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<sst xmlns="http://schemas.openxmlformats.org/spreadsheetml/2006/main" count="272330" uniqueCount="58172">
  <si>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</si>
  <si>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</si>
  <si>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</si>
  <si>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</si>
  <si>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</si>
  <si>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</si>
  <si>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</si>
  <si>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</si>
  <si>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</si>
  <si>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</si>
  <si>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</si>
  <si>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</si>
  <si>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</si>
  <si>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</si>
  <si>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</si>
  <si>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</si>
  <si>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</si>
  <si>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</si>
  <si>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</si>
  <si>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</si>
  <si>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</si>
  <si>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</si>
  <si>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</si>
  <si>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</si>
  <si>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DEPARTMENT OF EDUCATION - DIVISION OF CITY SCHOOLS, LAS PINA</t>
  </si>
  <si>
    <t>302ND CONTRACTING OFFICE, AFP PROCUREMENT SERVICE</t>
  </si>
  <si>
    <t>MINISTRY OF SCIENCE AND TECHNOLOGY - COTABATO CITY MAGUINDAN</t>
  </si>
  <si>
    <t>CITY OF CALOOCAN</t>
  </si>
  <si>
    <t>MUNICIPALITY OF CLAVERIA, MISAMIS ORIENTAL</t>
  </si>
  <si>
    <t>MUNTINLUPA BUSINESS HIGH SCHOOL</t>
  </si>
  <si>
    <t>DEVELOPMENT BANK OF THE PHILIPPINES - BORONGAN</t>
  </si>
  <si>
    <t>BARANGAY VILLA PANTINOPLE - BASILISA, DINAGAT ISLAND</t>
  </si>
  <si>
    <t>BARANGAY 09 POBLACION, CATBALOGAN CITY</t>
  </si>
  <si>
    <t>MUNICIPALITY OF KASIBU, NUEVA VIZCAYA</t>
  </si>
  <si>
    <t>CITY OF SORSOGON, SORSOGON</t>
  </si>
  <si>
    <t>CITY OF TACURONG, SULTAN KUDARAT</t>
  </si>
  <si>
    <t>MUNICIPALITY OF BATO, CATANDUANES</t>
  </si>
  <si>
    <t>MUNICIPALITY OF SAN VICENTE, PALAWAN</t>
  </si>
  <si>
    <t>DEPARTMENT OF PUBLIC WORKS AND HIGHWAYS - PALAWAN 1ST DEO</t>
  </si>
  <si>
    <t>PROVINCE OF DAVAO OCCIDENTAL</t>
  </si>
  <si>
    <t>MUNICIPALITY OF ABORLAN, PALAWAN</t>
  </si>
  <si>
    <t>MUNICIPALITY OF MOLAVE, ZAMBOANGA DEL SUR</t>
  </si>
  <si>
    <t>MUNICIPALITY OF TANAY, RIZAL</t>
  </si>
  <si>
    <t>MUNICIPALITY OF LIBUNGAN, COTABATO</t>
  </si>
  <si>
    <t>MUNICIPALITY OF MALAPATAN, SARANGANI</t>
  </si>
  <si>
    <t>GENERAL SANTOS CITY WATER DISTRICT</t>
  </si>
  <si>
    <t>MUNICIPALITY OF LUBUAGAN, KALINGA</t>
  </si>
  <si>
    <t>BARANGAY BALOGO,EAST DISTRICT,SORSOGON CITY</t>
  </si>
  <si>
    <t>MUNICIPALITY OF SAN JUAN, SOUTHERN LEYTE</t>
  </si>
  <si>
    <t>PROVINCE OF SOUTH COTABATO</t>
  </si>
  <si>
    <t>CITY OF MASBATE, MASBATE</t>
  </si>
  <si>
    <t>WESTERN PHILIPPINES UNIVERSITY</t>
  </si>
  <si>
    <t>DEPARTMENT OF SOCIAL WELFARE AND DEVELOPMENT - REGION I</t>
  </si>
  <si>
    <t>MUNICIPALITY OF BINDOY, NEGROS ORIENTAL</t>
  </si>
  <si>
    <t>MUNICIPALITY OF STA. CRUZ, MARINDUQUE</t>
  </si>
  <si>
    <t>MUNICIPALITY OF FLORIDABLANCA, PAMPANGA</t>
  </si>
  <si>
    <t>CITY OF VIGAN, ILOCOS SUR</t>
  </si>
  <si>
    <t>DAGUPAN CITY WATER DISTRICT</t>
  </si>
  <si>
    <t>DEPARTMENT OF PUBLIC WORKS AND HIGHWAYS - REGION X</t>
  </si>
  <si>
    <t>TECHNICAL EDUCATION &amp; SKILLS DEVELOPMENT AUTHORITY - NCR PAM</t>
  </si>
  <si>
    <t>DEPARTMENT OF HEALTH - CARAGA</t>
  </si>
  <si>
    <t>MUNICIPALITY OF BAY, LAGUNA</t>
  </si>
  <si>
    <t>MUNICIPALITY OF NAUJAN, ORIENTAL MINDORO</t>
  </si>
  <si>
    <t>CITY OF BAIS, NEGROS ORIENTAL</t>
  </si>
  <si>
    <t>MUNICIPALITY OF MACABEBE, PAMPANGA</t>
  </si>
  <si>
    <t>CITY OF MARIKINA</t>
  </si>
  <si>
    <t>MUNICIPALITY OF TAYTAY, PALAWAN</t>
  </si>
  <si>
    <t>BARANGAY LAMPAYA - CALINOG, ILOILO</t>
  </si>
  <si>
    <t>BARANGAY POBLACION 22, BATANGAS CITY</t>
  </si>
  <si>
    <t>BARANGAY LOMBO -MALABUYOC CEBU</t>
  </si>
  <si>
    <t>MUNICIPALITY OF TULUNAN, NORTH COTABATO</t>
  </si>
  <si>
    <t>BARANGAY 871, ZONE 95, DISTRICT VI, MANILA</t>
  </si>
  <si>
    <t>DEPARTMENT OF EDUCATION - DIVISION OF MAASIN CITY</t>
  </si>
  <si>
    <t>CITY OF KABANKALAN, NEGROS OCCIDENTAL</t>
  </si>
  <si>
    <t>DEPARTMENT OF PUBLIC WORKS AND HIGHWAYS - BATANGAS IV DEO</t>
  </si>
  <si>
    <t>101ST CONTRACTING OFFICE, AFP PROCUREMENT SERVICE</t>
  </si>
  <si>
    <t>CITY OF PASSI, ILOILO</t>
  </si>
  <si>
    <t>MUNICIPALITY OF RODRIGUEZ, RIZAL</t>
  </si>
  <si>
    <t>HEADQUARTERS COAST GUARD SURFACE SUPPORT FORCE</t>
  </si>
  <si>
    <t>MUNICIPALITY OF SARIAYA, QUEZON</t>
  </si>
  <si>
    <t>CITY OF TRECE MARTIRES</t>
  </si>
  <si>
    <t>DEPARTMENT OF EDUCATION DIVISION  OF HIMAMAYLAN CITY</t>
  </si>
  <si>
    <t>MUNICIPALITY OF LOPEZ, QUEZON</t>
  </si>
  <si>
    <t>MUNICIPALITY OF ROSALES, PANGASINAN</t>
  </si>
  <si>
    <t>MORONG WATER DISTRICT</t>
  </si>
  <si>
    <t>DEPARTMENT OF ENVIRONMENT AND NATURAL RESOURCES - PENRO OCCI</t>
  </si>
  <si>
    <t>CITY OF CAGAYAN DE ORO, MISAMIS ORIENTAL</t>
  </si>
  <si>
    <t>MUNICIPALITY OF PORAC, PAMPANGA</t>
  </si>
  <si>
    <t>MUNICIPALITY OF ANTEQUERA, BOHOL</t>
  </si>
  <si>
    <t>MUNICIPALITY OF CAGDIANAO, DINAGAT ISLAND</t>
  </si>
  <si>
    <t>MUNICIPALITY OF NABUNTURAN, COMPOSTELA VALLEY</t>
  </si>
  <si>
    <t>PROVINCE OF IFUGAO</t>
  </si>
  <si>
    <t>QUIRINO MEMORIAL MEDICAL CENTER</t>
  </si>
  <si>
    <t>MUNICIPALITY OF NASIPIT, AGUSAN DEL NORTE</t>
  </si>
  <si>
    <t>MUNICIPALITY OF CAUAYAN, NEGROS OCCIDENTAL</t>
  </si>
  <si>
    <t>AMLAN NATIONAL HIGH SCHOOL (MAIN CAMPUS) - AMLAN NEGROS ORIE</t>
  </si>
  <si>
    <t>MUNICIPALITY OF MAYORGA, LEYTE</t>
  </si>
  <si>
    <t>CITY OF ANTIPOLO, RIZAL</t>
  </si>
  <si>
    <t>EAST REMBO ELEMENTARY SCHOOL</t>
  </si>
  <si>
    <t>PHILIPPINE NAVY PROCUREMENT CENTER, AFP PROCUREMENT SERVICE</t>
  </si>
  <si>
    <t>MUNICIPALITY OF VINZONS, CAMARINES NORTE</t>
  </si>
  <si>
    <t>DEPARTMENT OF SOCIAL WELFARE AND DEVELOPMENT - REGION X</t>
  </si>
  <si>
    <t>MUNICIPALITY OF TOBIAS FORNIER,  ANTIQUE</t>
  </si>
  <si>
    <t>BARANGAY GUINBANGA-AN, LAUA-AN, ANTIQUE</t>
  </si>
  <si>
    <t>BARANGAY PILI ILAWOD, BACACAY, ALBAY</t>
  </si>
  <si>
    <t>DEPARTMENT OF PUBLIC WORKS AND HIGHWAYS - AGUSAN DEL SUR 2ND</t>
  </si>
  <si>
    <t>102ND CONTRACTING OFFICE, AFP PROCUREMENT SERVICE</t>
  </si>
  <si>
    <t>BANQUEROHAN ELEMENTARY SCHOOL  - LEGAZPI CITY ALBAY</t>
  </si>
  <si>
    <t>BARANGAY SEÑOR SANTO NIÑO, CEBU CITY</t>
  </si>
  <si>
    <t>BARANGAY CAPAYANG, MOGPOG, MARINDUQUE</t>
  </si>
  <si>
    <t>PROVINCE OF AGUSAN DEL NORTE</t>
  </si>
  <si>
    <t>MARIVELES MENTAL WELLNESS AND GENERAL HOSPITAL</t>
  </si>
  <si>
    <t>BARANGAY PASCUALA, LAUA-AN, ANTIQUE</t>
  </si>
  <si>
    <t>MUNICIPALITY OF PANGLAO, BOHOL</t>
  </si>
  <si>
    <t>BARANGAY MATAGNAO, ABUYOG, LEYTE</t>
  </si>
  <si>
    <t>MUNICIPALITY OF PALO - LEYTE LEYTE</t>
  </si>
  <si>
    <t>MUNICIPALITY OF PINAMUNGAJAN, CEBU</t>
  </si>
  <si>
    <t>DEPARTMENT OF PUBLIC WORKS AND HIGHWAYS - AGUSAN DEL SUR 1ST</t>
  </si>
  <si>
    <t>METRO MANILA DEVELOPMENT AUTHORITY</t>
  </si>
  <si>
    <t>BANGKO SENTRAL NG PILIPINAS</t>
  </si>
  <si>
    <t>MUNICIPALITY OF DOLORES, QUEZON</t>
  </si>
  <si>
    <t>BARANGAY  PANINAAN - BACARRA ILOCOS NORTE</t>
  </si>
  <si>
    <t>DEPARTMENT OF AGRICULTURE - REGION I</t>
  </si>
  <si>
    <t>NATIONAL MAPPING AND RESOURCE INFORMATION AUTHORITY (NAMRIA)</t>
  </si>
  <si>
    <t>DEPARTMENT OF ENVIRONMENT AND NATURAL RESOURCES  - REGION VI</t>
  </si>
  <si>
    <t>LEYTE NORMAL UNIVERSITY</t>
  </si>
  <si>
    <t>MUNICIPALITY OF ALBUERA, LEYTE</t>
  </si>
  <si>
    <t>NEW ORMOC CITY NATIONAL HIGH SCHOOL</t>
  </si>
  <si>
    <t>MUNICIPALITY OF GIPORLOS, EASTERN SAMAR</t>
  </si>
  <si>
    <t>MAYOR HILARION A. RAMIRO SR. REGIONAL TRNG &amp; TEACHING HOSP.</t>
  </si>
  <si>
    <t>CITY OF PANABO, DAVAO DEL NORTE</t>
  </si>
  <si>
    <t>PROVINCIAL GOVERNMENT OF CAMARINES NORTE</t>
  </si>
  <si>
    <t>MUNICIPALITY OF PUERTO GALERA, ORIENTAL MINDORO</t>
  </si>
  <si>
    <t>CITY OF TARLAC, TARLAC</t>
  </si>
  <si>
    <t>CITY OF BAYBAY, LEYTE</t>
  </si>
  <si>
    <t>DAVAO NATIONAL AGRICULTURAL SCHOOL</t>
  </si>
  <si>
    <t>BARANGAY 786 ZONE 86 DISTRICT V, MANILA</t>
  </si>
  <si>
    <t>BARANGAY KAYPIAN, SAN JOSE DEL MONTE CITY</t>
  </si>
  <si>
    <t>CITY OF MANILA</t>
  </si>
  <si>
    <t>DEPARTMENT OF TRADE AND INDUSTRY - REGION II, CAGAYAN VALLEY</t>
  </si>
  <si>
    <t>DEPARTMENT OF HEALTH - REGION VII</t>
  </si>
  <si>
    <t>CITY OF LAPU-LAPU</t>
  </si>
  <si>
    <t>MUNICIPALITY OF BONGABONG, ORIENTAL MINDORO</t>
  </si>
  <si>
    <t>CITY GOVERNMENT OF BALANGA, BATAAN</t>
  </si>
  <si>
    <t>PHILIPPINE COAST GUARD - CAGAYAN DE ORO CITY</t>
  </si>
  <si>
    <t>DEPARTMENT OF EDUCATION - SCHOOLS DIVISION OF SORSOGON PROVI</t>
  </si>
  <si>
    <t>NEW IMBATUG ELEMENTARY SCHOOL - IMPASUG-ONG BUKIDNON</t>
  </si>
  <si>
    <t>MARGARITA ROXAS DE AYALA ELEMENTARY SCHOOL</t>
  </si>
  <si>
    <t>MANUEL YULO ELEMENTARY SCHOOL - HIMAMAYLAN CITY NEGROS OCCID</t>
  </si>
  <si>
    <t>PROVINCE OF MOUNTAIN PROVINCE</t>
  </si>
  <si>
    <t>BARANGAY KILING, MACARTHUR, LEYTE</t>
  </si>
  <si>
    <t>BARANGAY TAPULAO, ORANI, BATAAN</t>
  </si>
  <si>
    <t>BARANGAY EAST VILLA FLORES - MAAYON,CAPIZ</t>
  </si>
  <si>
    <t>BARANGAY PUNONG, TOMAS OPPUS, SOUTHERN LEYTE</t>
  </si>
  <si>
    <t>BARANGAY ZONE III POBLACION, ATIMONAN, QUEZON</t>
  </si>
  <si>
    <t>BARANGAY TIGBAWAN MAASIN CITY SOUTHERN LEYTE</t>
  </si>
  <si>
    <t>BARANGAY BAGONG POOK, SAN JOSE, BATANGAS</t>
  </si>
  <si>
    <t>BARANGAY MALUSAK, ATIMONAN QUEZON</t>
  </si>
  <si>
    <t>ARAYAT NATIONAL HIGH SCHOOL - ARAYAT PAMPANGA</t>
  </si>
  <si>
    <t>BARANGAY GUSING NORTE, NAGUILIAN, LA UNION</t>
  </si>
  <si>
    <t>BENGUET STATE UNIVERSITY</t>
  </si>
  <si>
    <t>MALABAN ELEMENTARY SCHOOL</t>
  </si>
  <si>
    <t>BARANGAY BANAYBANAY 2.0, SAN JOSE, BATANGAS</t>
  </si>
  <si>
    <t>BARANGAY GUINDAPUNAN WEST, CARIGARA, LEYTE</t>
  </si>
  <si>
    <t>BARANGAY BUQUIG - BANTAY ILOCOS SUR</t>
  </si>
  <si>
    <t>BARANGAY SAN ANTONIO, SAN PASCUAL, BATANGAS</t>
  </si>
  <si>
    <t>ANDRES M. LUCIANO NATIONAL HIGH SCHOOL</t>
  </si>
  <si>
    <t>MUNICIPALITY OF KALAWIT, ZAMBOANGA DEL NORTE</t>
  </si>
  <si>
    <t>CITY OF SAN FERNANDO, LA UNION</t>
  </si>
  <si>
    <t>BARANGAY CABUSAY, LABO, CAMARINES NORTE</t>
  </si>
  <si>
    <t>MUNICIPALITY OF TALUSAN, ZAMBOANGA SIBUGAY</t>
  </si>
  <si>
    <t>DON JOSE INTEGRATED HIGH SCHOOL - STA. ROSA LAGUNA</t>
  </si>
  <si>
    <t>PROVINCE OF ZAMBALES</t>
  </si>
  <si>
    <t>GOVERNMENT SERVICE INSURANCE SYSTEM</t>
  </si>
  <si>
    <t>MUNICIPALITY OF BOAC, MARINDUQUE</t>
  </si>
  <si>
    <t>MUNICIPALITY OF CONCEPCION, ILOILO</t>
  </si>
  <si>
    <t>BARANGAY LIGTONG III ROSARIO CAVITE</t>
  </si>
  <si>
    <t>BARANGAY BARCOLAN - GAMU ISABELA</t>
  </si>
  <si>
    <t>NATIONAL CHILDREN'S HOSPITAL</t>
  </si>
  <si>
    <t>SALINUNGAN EAST ELEMENTARY SCHOOL - SAN MATEO ISABELA</t>
  </si>
  <si>
    <t>PROVINCE OF RIZAL</t>
  </si>
  <si>
    <t>NATIONAL HOUSING AUTHORITY - REGION III</t>
  </si>
  <si>
    <t>BARANGAY MADAYEGDEG - SAN FERNANDO CITY, LA UNION</t>
  </si>
  <si>
    <t>CENTER FOR HEALTH DEVELOPMENT - REGION VI</t>
  </si>
  <si>
    <t>BARANGAY NANGKA, MARIKINA CITY</t>
  </si>
  <si>
    <t>CAMINDANGAN ELEMENTARY SCHOOL - CAMINDANGAN, SIPALAY CITY</t>
  </si>
  <si>
    <t>MUNICIPALITY OF CABARROGUIS, QUIRINO</t>
  </si>
  <si>
    <t>ENVIRONMENTAL MANAGEMENT BUREAU - REG IV - B, MIMAROPA</t>
  </si>
  <si>
    <t>PHILIPPINE STATISTICS AUTHORITY</t>
  </si>
  <si>
    <t>BARANGAY CATUNGAN III SIBALOM ANTIQUE</t>
  </si>
  <si>
    <t>LUBAO NATIONAL HIGH SCHOOL</t>
  </si>
  <si>
    <t>MUNICIPALITY OF PASACAO, CAMARINES SUR</t>
  </si>
  <si>
    <t>LA ROXAS ELEMENTARY SCHOOL</t>
  </si>
  <si>
    <t>SK OF BARANGAY LIBJO - BATANGAS CITY BATANGAS</t>
  </si>
  <si>
    <t>BALIBAGO ELEMENTARY SCHOOL - STA. ROSA LAGUNA</t>
  </si>
  <si>
    <t>BARANGAY SALVACION - SIBALOM, ANTIQUE</t>
  </si>
  <si>
    <t>PROVINCE OF LAGUNA</t>
  </si>
  <si>
    <t>BARANGAY PAMANTOLON, TAYTAY, PALAWAN</t>
  </si>
  <si>
    <t>DEPARTMENT OF EDUCATION - DIVISION OF DAVAO CITY</t>
  </si>
  <si>
    <t>BARANGAY LEONES EAST, TUBAO, LA UNION</t>
  </si>
  <si>
    <t>BARANGAY CITY CAMP CENTRAL, BAGUIO CITY</t>
  </si>
  <si>
    <t>ECOSYSTEMS RESEARCH AND DEVELOPMENT BUREAU - (ERDB)</t>
  </si>
  <si>
    <t>BARANGAY TINGGA ITAAS, BATANGAS CITY</t>
  </si>
  <si>
    <t>BARANGAY MABUHAY, GENERAL SANTOS CITY</t>
  </si>
  <si>
    <t>TUMARAS INTEGRATED SCHOOL - KIBAWE BUKIDNON</t>
  </si>
  <si>
    <t>BARANGAY PATRIA PANDAN ANTIQUE</t>
  </si>
  <si>
    <t>BAGACAY ELEMENTARY SCHOOL</t>
  </si>
  <si>
    <t>PROVINCE OF KALINGA</t>
  </si>
  <si>
    <t>CITY  OF CAUAYAN, ISABELA</t>
  </si>
  <si>
    <t>MUNICIPAL GOVERNMENT OF PALIMBANG</t>
  </si>
  <si>
    <t>BARANGAY IBABANG IYAM, LUCENA CITY</t>
  </si>
  <si>
    <t>BARANGAY SYNDICATE, AROROY, MASBATE</t>
  </si>
  <si>
    <t>BARANGAY GUISIJAN, LAUA-AN, ANTIQUE</t>
  </si>
  <si>
    <t>MUNICIPALITY OF LOPE DE VEGA, NORTHERN SAMAR</t>
  </si>
  <si>
    <t>BARANGAY SAN MIGUEL A - MARAGONDON CAVITE</t>
  </si>
  <si>
    <t>CACUTUD ELEMENTARY SCHOOL</t>
  </si>
  <si>
    <t>MUNICIPALITY OF CURRIMAO, ILOCOS NORTE</t>
  </si>
  <si>
    <t>BARANGAY MAHIPON-LUMOT - CAVINTI LAGUNA</t>
  </si>
  <si>
    <t>GADDANAN ELEMENTARY SCHOOL</t>
  </si>
  <si>
    <t>MUNICIPALITY OF ALFONSO LISTA, IFUGAO</t>
  </si>
  <si>
    <t>DINAPIGUE NATIONAL HIGH SCHOOL - DINAPIGUE ISABELA</t>
  </si>
  <si>
    <t>PROVINCE OF MISAMIS OCCIDENTAL</t>
  </si>
  <si>
    <t>BARANGAY LUGUI, LABO, CAMARINES NORTE</t>
  </si>
  <si>
    <t>MUNICIPALITY OF TINOC, IFUGAO</t>
  </si>
  <si>
    <t>BARANGAY GALARIN, URBIZTONDO, PANGASINAN</t>
  </si>
  <si>
    <t>BARANGAY OTSO - MAMBURAO OCCIDENTAL MINDORO</t>
  </si>
  <si>
    <t>KISOLON CENTRAL ELEMENTARY SCHOOL</t>
  </si>
  <si>
    <t>MUNICIPALITY OF SAN ANTONIO, QUEZON</t>
  </si>
  <si>
    <t>BARANGAY MATANDANG BALARA, QUEZON CITY</t>
  </si>
  <si>
    <t>NATIONAL MEAT INSPECTION  SERVICE</t>
  </si>
  <si>
    <t>BARANGAY BITUAG, URBIZTONDO, PANGASINAN</t>
  </si>
  <si>
    <t>UNIVERSITY OF THE PHILIPPINES - LOS BAÑOS</t>
  </si>
  <si>
    <t>CAT HIGH SCHOOL</t>
  </si>
  <si>
    <t>MUNICIPALITY OF MAHINOG, CAMIGUIN</t>
  </si>
  <si>
    <t>COMMISSION ON THE FILIPINO LANGUAGE</t>
  </si>
  <si>
    <t>PROVINCE OF DAVAO DEL NORTE</t>
  </si>
  <si>
    <t>NATIONAL IRRIGATION ADMINISTRATION -CAUAYAN CITY ISABELA</t>
  </si>
  <si>
    <t>BARANGAY BUHANGINAN, NAGCARLAN, LAGUNA</t>
  </si>
  <si>
    <t>DEPARTMENT OF EDUCATION - SCHOOLS DIVISION OF CITY OF MEYCAU</t>
  </si>
  <si>
    <t>MUNICIPALITY OF SALCEDO, EASTERN SAMAR</t>
  </si>
  <si>
    <t>DAVAO DEL NORTE STATE COLLEGE</t>
  </si>
  <si>
    <t>BARANGAY 473 ZONE 47 DIST. IV, MANILA</t>
  </si>
  <si>
    <t>CAUAYAN CITY WATER DISTRICT</t>
  </si>
  <si>
    <t>MUNICIPALITY OF HERNANI, EASTERN SAMAR</t>
  </si>
  <si>
    <t>MUNICIPALITY OF CALATAGAN, BATANGAS</t>
  </si>
  <si>
    <t>GOMEZ ELEMENTARY SCHOOL - PONTEVEDRA II, NEGROS OCCIDENTAL</t>
  </si>
  <si>
    <t>UNIVERSITY OF THE PHILIPPINES - SYSTEM</t>
  </si>
  <si>
    <t>CITY  OF CABANATUAN, NUEVA ECIJA</t>
  </si>
  <si>
    <t>BARANGAY WEST BALABAG, VALENCIA, NEGROS ORIENTAL</t>
  </si>
  <si>
    <t>MUNICIPALITY OF SANTA FE, CEBU</t>
  </si>
  <si>
    <t>MUNICIPALITY OF GARCHITORENA, CAMARINES SUR</t>
  </si>
  <si>
    <t>BURGOS ELEMENTARY SCHOOL</t>
  </si>
  <si>
    <t>MUNICIPALITY OF AGUILAR, PANGASINAN</t>
  </si>
  <si>
    <t>BARANGAY SAN FRANCISCO, NAGCARLAN, LAGUNA</t>
  </si>
  <si>
    <t>DEPARTMENT OF EDUCATION - SCHOOLS DIVISION OF BACOOR CITY</t>
  </si>
  <si>
    <t>INDUSTRIAL TECHNOLOGY DEVELOPMENT INSTITIUTE</t>
  </si>
  <si>
    <t>GUEVARRA HIGH SCHOOL</t>
  </si>
  <si>
    <t>MUNICIPALITY OF ALEOSAN, COTABATO</t>
  </si>
  <si>
    <t>BARANGAY SAN FRANCISCO, ABUYOG, LEYTE</t>
  </si>
  <si>
    <t>SK OF BARANGAY BOLBOK - BATANGAS CITY</t>
  </si>
  <si>
    <t>DEPARTMENT OF EDUCATION - DIVISION OF LIPA CITY</t>
  </si>
  <si>
    <t>CAIGANGAN ELEMENTARY SCHOOL</t>
  </si>
  <si>
    <t>MUNICIPALITY OF SAN PABLO, ZAMBOANGA DEL SUR</t>
  </si>
  <si>
    <t>KIBAWE NATIONAL HIGH SCHOOL</t>
  </si>
  <si>
    <t>NATIONAL KIDNEY AND TRANSPLANT INSTITUTE</t>
  </si>
  <si>
    <t>MUNICIPALITY OF NAGUILIAN, LA UNION</t>
  </si>
  <si>
    <t>MUNICIPALITY OF CORDOVA, CEBU</t>
  </si>
  <si>
    <t>MUNICIPALITY OF MAGALLANES, SORSOGON</t>
  </si>
  <si>
    <t>MABINI NATIONAL HIGH SCHOOL - NEGROS OCCIDENTAL</t>
  </si>
  <si>
    <t>BARANGAY VALLE CRUZ CABANATUAN NUEVA ECIJA</t>
  </si>
  <si>
    <t>SPEAKER EUGENIO PEREZ NATIONAL AGRICULTURAL SCHOOL</t>
  </si>
  <si>
    <t>DEPARTMENT OF EDUCATION - DIVISION OF LA UNION</t>
  </si>
  <si>
    <t>CITY OF ILIGAN, LANAO DEL NORTE</t>
  </si>
  <si>
    <t>PROVINCE OF APAYAO</t>
  </si>
  <si>
    <t>BARANGAY DIOQUINO ZOBEL, QUEZON CITY</t>
  </si>
  <si>
    <t>DEPARTMENT OF PUBLIC WORKS AND HIGHWAYS - ALBAY 1ST DEO</t>
  </si>
  <si>
    <t>BARANGAY BAGACAY, LABO, CAMARINES NORTE</t>
  </si>
  <si>
    <t>BUREAU OF JAIL MANAGEMENT AND PENOLOGY - REGION VII</t>
  </si>
  <si>
    <t>NATIONAL POWER CORPORATION - MINDANAO GENERATION</t>
  </si>
  <si>
    <t>BARANGAY MABINI, LIPA CITY</t>
  </si>
  <si>
    <t>MUNICIPALITY OF JASAAN , MISAMIS ORIENTAL</t>
  </si>
  <si>
    <t>MUNICIPALITY OF NUNUNGAN, LANAO DEL NORTE</t>
  </si>
  <si>
    <t>106TH CONTRACTING OFFICE, AFP PROCUREMENT SERVICE</t>
  </si>
  <si>
    <t>BARANGAY IBABAO-BANA CABANATUAN CITY NUEVA ECIJA</t>
  </si>
  <si>
    <t>LA UNION MEDICAL CENTER</t>
  </si>
  <si>
    <t>BARANGAY KAPITOLYO, PASIG CITY</t>
  </si>
  <si>
    <t>BARANGAY DEL REMEDIO, SAN PABLO CITY</t>
  </si>
  <si>
    <t>DEVELOPMENT BANK OF THE PHILIPPINES - HEAD OFFICE</t>
  </si>
  <si>
    <t>BARANGAY PALUA, MANGALDAN, PANGASINAN</t>
  </si>
  <si>
    <t>MUNICIPALITY OF LIBONA, BUKIDNON</t>
  </si>
  <si>
    <t>MUNICIPALITY OF BAUNGON, BUKIDNON</t>
  </si>
  <si>
    <t>DEPARTMENT OF PUBLIC WORKS AND HIGHWAYS - ISABELA 2ND DEO</t>
  </si>
  <si>
    <t>405TH CONTRACTING OFFICE, AFP PROCUREMENT SERVICE</t>
  </si>
  <si>
    <t>MUNICIPALITY OF LAGAYAN, ABRA</t>
  </si>
  <si>
    <t>PROVINCE OF MAGUINDANAO</t>
  </si>
  <si>
    <t>BARANGAY TIBONGBONG, MATANAO, DAVAO DEL SUR</t>
  </si>
  <si>
    <t>MUNICIPALITY OF MARGOSATUBIG, ZAMBOANGA DEL SUR</t>
  </si>
  <si>
    <t>PHILIPPINE INSTITUTE FOR DEVELOPMENT STUDIES</t>
  </si>
  <si>
    <t>MUNICIPALITY OF BANAYOYO, ILOCOS SUR</t>
  </si>
  <si>
    <t>ALCALA WATER DISTRICT</t>
  </si>
  <si>
    <t>PINAGTONGULAN NATIONAL HIGH SCHOOL</t>
  </si>
  <si>
    <t>BARANGAY BANTOG, SAN QUINTIN, PANGASINAN</t>
  </si>
  <si>
    <t>BARANGAY POBLACION,MARGOSATUBIG, ZAMBOANGA DEL SUR</t>
  </si>
  <si>
    <t>BARANGAY CABANGARAN, SAN QUINTIN, PANGASINAN</t>
  </si>
  <si>
    <t>PHILIPPINE POSTAL CORPORATION</t>
  </si>
  <si>
    <t>DEPARTMENT OF EDUCATION - DIVISION OF NUEVA ECIJA</t>
  </si>
  <si>
    <t>CIVIL AVIATION AUTHORITY OF THE PHILIPPINES</t>
  </si>
  <si>
    <t>SEWAHON ELEMENTARY SCHOOL</t>
  </si>
  <si>
    <t>HOME DEVELOPMENT MUTUAL FUND - CUBAO BRANCH</t>
  </si>
  <si>
    <t>MUNICIPALITY OF TANGALAN, AKLAN</t>
  </si>
  <si>
    <t>BARANGAY LOWER STA. CRUZ, RAGAY, CAMARINES SUR</t>
  </si>
  <si>
    <t>DEPARTMENT OF AGRARIAN REFORM - MAIN</t>
  </si>
  <si>
    <t>DAMILAG INTEGRATED SCHOOL - MANOLO FORTICH BUKIDNON</t>
  </si>
  <si>
    <t>MUNICIPALITY OF LUNA, APAYAO</t>
  </si>
  <si>
    <t>ANSELMO A. SANDOVAL MEMORIAL NATIONAL HIGH SCHOOL</t>
  </si>
  <si>
    <t>BARANGAY BASUD, POLANGUI, ALBAY</t>
  </si>
  <si>
    <t>DEPARTMENT OF EDUCATION - DIVISION OF CATBALOGAN CITY</t>
  </si>
  <si>
    <t>NARVACAN WATER DISTRICT</t>
  </si>
  <si>
    <t>BARANGAY MINAHAN SUR - GENERAL NAKAR QUEZON</t>
  </si>
  <si>
    <t>BUREAU OF PLANT INDUSTRY - NSQCS I</t>
  </si>
  <si>
    <t>BARANGAY CATARATAN, ALLACAPAN, CAGAYAN</t>
  </si>
  <si>
    <t>EMPLOYEES' COMPENSATION COMMISSION</t>
  </si>
  <si>
    <t>BARANGAY 604 ZONE 60 DISTRICT 6, MANILA</t>
  </si>
  <si>
    <t>MUNICIPALITY OF ALAMADA, COTABATO</t>
  </si>
  <si>
    <t>MUNICIPALITY OF ALFONSO, CAVITE</t>
  </si>
  <si>
    <t>PHILIPPINE COAST GUARD - COAST GUARD SPECIAL OPERATION FORCE</t>
  </si>
  <si>
    <t>MANANGLE HIGH SCHOOL</t>
  </si>
  <si>
    <t>BARANGAY SALVACION, RAGAY, CAMARINES SUR</t>
  </si>
  <si>
    <t>MUNICIPALITY OF BAYOMBONG - NUEVA VISCAYA</t>
  </si>
  <si>
    <t xml:space="preserve">NABULAO ELEMENTARY SCHOOL, SIPALAY I, NEGROS OCCIDENTAL </t>
  </si>
  <si>
    <t>BARANGAY TIGBAYOG - CALINOG ILOILO</t>
  </si>
  <si>
    <t>BARANGAY PANAYTAYAN, RAGAY, CAMARINES SUR</t>
  </si>
  <si>
    <t>MUNICIPALITY OF CANTILAN, SURIGAO DEL SUR</t>
  </si>
  <si>
    <t>SAN NICOLAS CENTRAL ELEMENTARY SCHOOL - DON CARLOS BUKIDNON</t>
  </si>
  <si>
    <t>BARANGAY LIBORO, RAGAY, CAMARINES SUR</t>
  </si>
  <si>
    <t>MUNICIPALITY OF STA. LUCIA , ILOCOS SUR</t>
  </si>
  <si>
    <t>DEPARTMENT OF AGRICULTURE - REGION IV-A</t>
  </si>
  <si>
    <t>SUGAR REGULATORY ADMINISTRATION - VISAYAS</t>
  </si>
  <si>
    <t>DEPARTMENT OF HEALTH - MAIN</t>
  </si>
  <si>
    <t>CITY OF GENERAL SANTOS , SOUTH COTABATO</t>
  </si>
  <si>
    <t>BENIGNO "NINOY" AQUINO HIGH SCHOOL</t>
  </si>
  <si>
    <t>BARANGAY CATABANGAN PROPER, RAGAY, CAMARINES SUR</t>
  </si>
  <si>
    <t>LALIGAN ELEMENTARY SCHOOL</t>
  </si>
  <si>
    <t>BIGNAY I ELEMENTARY SCHOOL - SARIAYA QUEZON</t>
  </si>
  <si>
    <t>DITA ELEMENTARY SCHOOL</t>
  </si>
  <si>
    <t>ECOGAN ELEMENTARY SCHOOL, CALATRAVA, NEGROS OCCIDENTAL</t>
  </si>
  <si>
    <t>DEPARTMENT OF PUBLIC WORKS AND HIGHWAYS - REGION XII</t>
  </si>
  <si>
    <t>SAN FRANCISCO ELEMENTARY SCHOOL - LUBAO PAMPANGA</t>
  </si>
  <si>
    <t>DOÑA JUANA ELEMENTARY SCHOOL</t>
  </si>
  <si>
    <t>306TH CONTRACTING OFFICE, AFP PROCUREMENT SERVICE</t>
  </si>
  <si>
    <t>SURCOC INTEGRATED SCHOOL - NAGUILIAN ISABELA</t>
  </si>
  <si>
    <t>MUNICIPALITY OF  DATU ABDULLAH SANGKI- MAGUINDANAO</t>
  </si>
  <si>
    <t>BARANGAY SOUTH TRIANGLE - QUEZON CITY</t>
  </si>
  <si>
    <t>JOSE ABAD SANTOS HIGH SCHOOL</t>
  </si>
  <si>
    <t>BARANGAY SAN FELIPE, NAGA CITY, CAMARINES SUR</t>
  </si>
  <si>
    <t>MIARAYON ELEMENTARY SCHOOL - TALAKAG BUKIDNON</t>
  </si>
  <si>
    <t>BARANGAY BULAQUENA - ESTANCIA ILOILO</t>
  </si>
  <si>
    <t>AGRICULTURAL TRAINING INSTITUTE - CAMARINES SUR</t>
  </si>
  <si>
    <t>SAN MIGUEL CENTRAL ELEMENTARY SCHOOL</t>
  </si>
  <si>
    <t>MUNICIPALITY OF STO. NIÑO, SAMAR</t>
  </si>
  <si>
    <t>MALPITIC INTEGRATED SCHOOL - SAN FERNANDO CITY PAMPANGA</t>
  </si>
  <si>
    <t>DEPARTMENT OF TRADE AND INDUSTRY - REGION VII</t>
  </si>
  <si>
    <t>ALICIA WEST CENTRAL SCHOOL - ALICIA ISABELA</t>
  </si>
  <si>
    <t>MANUEL L. QUEZON ELEMENTARY SCHOOL</t>
  </si>
  <si>
    <t>BARANGAY SAN AGUSTIN SILANGAN, ISLA VERDE, BATANGAS CITY</t>
  </si>
  <si>
    <t>PROVINCE OF COTABATO</t>
  </si>
  <si>
    <t>BARANGAY CARIDAD IBABA, ATIMONAN, QUEZON</t>
  </si>
  <si>
    <t>ENVIRONMENTAL MANAGEMENT BUREAU - DENR</t>
  </si>
  <si>
    <t>VETERANS REGIONAL HOSPITAL</t>
  </si>
  <si>
    <t>TECHNICAL EDUCATION &amp; SKILLS DEVELOPMENT AUTHORITY - NCR</t>
  </si>
  <si>
    <t>KINAWE NATIONAL HIGH SCHOOL - LIBONA BUKIDNON</t>
  </si>
  <si>
    <t>NATIONAL IRRIGATION ADMINISTRATION - BANE-IMO</t>
  </si>
  <si>
    <t>DEPARTMENT OF INFORMATION AND COMMUNICATION TECHNOLOGY</t>
  </si>
  <si>
    <t>BARANGAY II-A, SAN PABLO CITY, LAGUNA</t>
  </si>
  <si>
    <t>PROVINCE OF QUEZON</t>
  </si>
  <si>
    <t>DEPARTMENT OF PUBLIC WORKS AND HIGHWAYS - METRO MANILA 2ND D</t>
  </si>
  <si>
    <t>SK OF BARANGAY CARMONA - MAKATI CITY</t>
  </si>
  <si>
    <t>BARANGAY MOTODERAZO, NAUJAN, ORIENTAL MINDORO</t>
  </si>
  <si>
    <t>CITY OF PUERTO PRINCESA, PALAWAN</t>
  </si>
  <si>
    <t>CITY OF TANGUB</t>
  </si>
  <si>
    <t>MUNICIPALITY OF BAYAMBANG - PANGASINAN</t>
  </si>
  <si>
    <t>BAGONG SILANG ELEMENTARY SCHOOL</t>
  </si>
  <si>
    <t>PROVINCE OF LA UNION</t>
  </si>
  <si>
    <t>DEPARTMENT OF PUBLIC WORKS AND HIGHWAYS - MASBATE 3RD DEO</t>
  </si>
  <si>
    <t>LUNUCAN ELEMENTARY SCHOOL - MANOLO FORTICH BUKIDNON</t>
  </si>
  <si>
    <t>BARANGAY GAVINO MADERAN, GEN. MARIANO ALVAREZ, CAVITE</t>
  </si>
  <si>
    <t>PHILIPPINE SCIENCE HIGH SCHOOL - SOCCSKSARGEN REGION CAMPUS</t>
  </si>
  <si>
    <t>BARANGAY SANTIAGO 2, SAN PABLO CITY</t>
  </si>
  <si>
    <t>DEPARTMENT OF EDUCATION - REGION VII</t>
  </si>
  <si>
    <t>PHILIPPINE STATISTICS AUTHORITY - REGION VII</t>
  </si>
  <si>
    <t>BARANGAY BINOG - ISABEL LEYTE</t>
  </si>
  <si>
    <t>MUNICIPALITY OF HINATUAN , SURIGAO DEL SUR</t>
  </si>
  <si>
    <t>MUNICIPALITY OF PIKIT, NORTH COTABATO</t>
  </si>
  <si>
    <t>MALITBOG CENTRAL ELEMENTARY SCHOOL</t>
  </si>
  <si>
    <t>NATIONAL POWER CORPORATION - SPUG VISAYAS</t>
  </si>
  <si>
    <t>GHQ PROCUREMENT CENTER, AFP PROCUREMENT SERVICE</t>
  </si>
  <si>
    <t>BARANGAY  SAN ROQUE - MARABUT SAMAR</t>
  </si>
  <si>
    <t>201ST CONTRACTING OFFICE, AFP PROCUREMENT SERVICE</t>
  </si>
  <si>
    <t>MUNICIPALITY OF CORON, PALAWAN</t>
  </si>
  <si>
    <t>REGIONAL PLANNING &amp; DEVELOPMENT OFFICE  - ARMM</t>
  </si>
  <si>
    <t>RIZAL ELEMENTARY SCHOOL</t>
  </si>
  <si>
    <t>TALISAY ELEMENTARY SCHOOL - QUEZON</t>
  </si>
  <si>
    <t>MUNICIPALITY OF PILAR, BOHOL</t>
  </si>
  <si>
    <t>DEPARTMENT OF  EDUCATION- DIVISION OF TUGUEGARAO CITY</t>
  </si>
  <si>
    <t>MUNICIPALITY OF JOVELLAR, ALBAY</t>
  </si>
  <si>
    <t>BARANGAY HABINGAN, ATIMONAN,QUEZON</t>
  </si>
  <si>
    <t>LIBAS ELEMENTARY SCHOOL</t>
  </si>
  <si>
    <t>BARANGAY ALASASIN, MARIVELES, BATAAN</t>
  </si>
  <si>
    <t>BUREAU OF FIRE PROTECTION - REGION XI</t>
  </si>
  <si>
    <t>BARANGAY MALINAO, KADINGILAN, BUKIDNON</t>
  </si>
  <si>
    <t>DEPARTMENT OF PUBLIC WORKS AND HIGHWAYS - APAYAO 1ST DEO</t>
  </si>
  <si>
    <t>BARANGAY IMBO, ANDA, PANGASINAN</t>
  </si>
  <si>
    <t>GOVERNOR CELESTINO GALLARES MEMORIAL HOSPITAL</t>
  </si>
  <si>
    <t>NATIONAL POWER CORPORATION</t>
  </si>
  <si>
    <t>DEPARTMENT OF PUBLIC WORKS AND HIGHWAYS - QUEZON 2ND ED</t>
  </si>
  <si>
    <t>BARANGAY MOLICAY, OZAMIS CITY</t>
  </si>
  <si>
    <t>DEPARTMENT OF PUBLIC WORKS AND HIGHWAYS - QUEZON CITY 1ST ED</t>
  </si>
  <si>
    <t>DEPARTMENT OF EDUCATION - DIVISION OF TANJAY CITY</t>
  </si>
  <si>
    <t>CIVIL SERVICE COMMISSION - CORDILLERA ADMINISTRATIVE REGION</t>
  </si>
  <si>
    <t>ZAMBOANGA STATE COLLEGE OF MARINE SCIENCES AND TECHNOLOGY</t>
  </si>
  <si>
    <t>BARANGAY NAPARAAN, SALCEDO, EASTERN SAMAR</t>
  </si>
  <si>
    <t>DEPARTMENT OF SOCIAL WELFARE AND DEVELOPMENT - CARAGA</t>
  </si>
  <si>
    <t>DEPARTMENT OF HEALTH - REGION XII</t>
  </si>
  <si>
    <t>SURIGAO STATE COLLEGE OF TECHNOLOGY</t>
  </si>
  <si>
    <t>BARANGAY SUBIC ILAYA, AGONCILLO, BATANGAS</t>
  </si>
  <si>
    <t>VICTORIAS CITY WATER DISTRICT</t>
  </si>
  <si>
    <t>DEPARTMENT OF EDUCATION - DIVISION OF ALBAY</t>
  </si>
  <si>
    <t>MUNICIPALITY OF BULALACAO, ORIENTAL MINDORO</t>
  </si>
  <si>
    <t>112TH CONTRACTING OFFICE, AFPPS</t>
  </si>
  <si>
    <t>BARANGAY GUINDAPUNAN - CULABA BILIRAN</t>
  </si>
  <si>
    <t>MUNICIPALITY OF LAMBUNAO, ILOILO</t>
  </si>
  <si>
    <t>BARANGAY BAESA</t>
  </si>
  <si>
    <t>BARANGAY CALLUNGAN SANCHEZ MIRA CAGAYAN</t>
  </si>
  <si>
    <t>METROPOLITAN TUGUEGARAO WATER DISTRICT</t>
  </si>
  <si>
    <t>BARANGAY OLUANGAN, LEON, ILOILO</t>
  </si>
  <si>
    <t>MUNICIPALITY OF HAMTIC, ANTIQUE</t>
  </si>
  <si>
    <t>BARANGAY SUBIC IBABA, AGONCILLO, BATANGAS</t>
  </si>
  <si>
    <t>BACOOR NATIONAL HIGH SCHOOL</t>
  </si>
  <si>
    <t>BARANGAY LANCHETA, TACURONG CITY, SULTAN KUDARAT</t>
  </si>
  <si>
    <t>GUIBANG ELEMENTARY SCHOOL - GAMU ISABELA</t>
  </si>
  <si>
    <t>PHILIPPINE STATISTICS AUTHORITY - NCR REGIONAL OFFICE</t>
  </si>
  <si>
    <t>BARANGAY NASAUG-MAASIN CITY SOUTHERN LEYTE</t>
  </si>
  <si>
    <t>UNIVERSITY OF THE PHILIPPINES - CEBU</t>
  </si>
  <si>
    <t>BANGKO SENTRAL NG PILIPINAS - CEBU REGIONAL OFFICE</t>
  </si>
  <si>
    <t>DAVAO CITY WATER DISTRICT</t>
  </si>
  <si>
    <t>DIPOLOG CITY WATER DISTRICT</t>
  </si>
  <si>
    <t>MARAPANGE INTEGRATED SCHOOL - KIBAWE BUKIDNON</t>
  </si>
  <si>
    <t>BARANGAY TAGUMPAY, GABALDON,NUEVA ECIJA</t>
  </si>
  <si>
    <t>BANCAL PUGAD INTEGRATED SCHOOL - LUBAO PAMPANGA</t>
  </si>
  <si>
    <t>BARANGAY POBLACION 2B - MARAGONDON, CAVITE</t>
  </si>
  <si>
    <t>BARANGAY DAANLUNGSOD , TOLEDO CITY</t>
  </si>
  <si>
    <t>MARIANO MARCOS STATE UNIVERSITY</t>
  </si>
  <si>
    <t>BARANGAY MASISIT SANCHEZ MIRA CAGAYAN</t>
  </si>
  <si>
    <t>MUNICIPALITY OF SABLAYAN, OCCIDENTAL MINDORO</t>
  </si>
  <si>
    <t>DEPARTMENT OF EDUCATION - DIVISION OF LAOAG CITY</t>
  </si>
  <si>
    <t>CITY OF TABUK, KALINGA</t>
  </si>
  <si>
    <t>C.P STA. TERESA ELEMENTARY SCHOOL</t>
  </si>
  <si>
    <t>OFFICE OF THE VICE-PRESIDENT OF THE PHILIPPINES</t>
  </si>
  <si>
    <t>MUNICIPALITY OF SILANG , CAVITE</t>
  </si>
  <si>
    <t>CITY OF BAGUIO, BENGUET</t>
  </si>
  <si>
    <t>RANG-AYAN INTEGRATED SCHOOL</t>
  </si>
  <si>
    <t>BARANGAY LIMAO, CALAUAN, LAGUNA</t>
  </si>
  <si>
    <t>DEPARTMENT OF SCIENCE AND TECHNOLOGY - REGION V</t>
  </si>
  <si>
    <t>DEPARTMENT OF EDUCATION - DIVISION OF CAMIGUIN</t>
  </si>
  <si>
    <t>BARANGAY POGO CHICO, DAGUPAN CITY</t>
  </si>
  <si>
    <t>WESTERN VISAYAS MEDICAL CENTER</t>
  </si>
  <si>
    <t>BARANGAY CENTRO VIII CLAVERIA CAGAYAN</t>
  </si>
  <si>
    <t>PHILIPPINE PORTS AUTHORITY - PMO SURIGAO</t>
  </si>
  <si>
    <t>DEPARTMENT OF EDUCATION - DIVISION OF MARIKINA CITY</t>
  </si>
  <si>
    <t>305TH CONTRACTING OFFICE, AFP PROCUREMENT SERVICE</t>
  </si>
  <si>
    <t>BARANGAY DAGNAWAN, INABANGA, BOHOL</t>
  </si>
  <si>
    <t>BARANGAY CABCAB - SAN ANDRES, CATANDUANES</t>
  </si>
  <si>
    <t>SK OF BARANGAY MALVAR - NAUJAN ORIENTAL MINDORO</t>
  </si>
  <si>
    <t>BUREAU OF LOCAL GOVERNMENT FINANCE</t>
  </si>
  <si>
    <t>BARANGAY SAN ROQUE, SAN ANDRES, CATANDUANES</t>
  </si>
  <si>
    <t>TECHNICAL EDUCATION &amp; SKILLS DEVELOPMENT AUTHORITY - RIZAL O</t>
  </si>
  <si>
    <t>MUNICIPALITY OF DUMALINAO, ZAMBOANGA DEL SUR</t>
  </si>
  <si>
    <t>BARANGAY QUISOL - DANAO CITY CEBU</t>
  </si>
  <si>
    <t>BARANGAY QUI-ONG, LA PAZ, LEYTE</t>
  </si>
  <si>
    <t>NATIONAL IRRIGATION ADMINISTRATION - CENTRAL OFFICE</t>
  </si>
  <si>
    <t>BARANGAY TOMINAWOG - SAN ANDRES CATANDUANES</t>
  </si>
  <si>
    <t>MUNICIPALITY OF BACACAY, ALBAY</t>
  </si>
  <si>
    <t>DEPARTMENT OF EDUCATION - DIVISION OF DANAO CITY</t>
  </si>
  <si>
    <t>BARANGAY MASI STA. TERESITA CAGAYAN</t>
  </si>
  <si>
    <t>BARANGAY MAYNGAWAY - SAN ANDRES, CATANDUANES</t>
  </si>
  <si>
    <t>MUNICIPALITY OF MABINI, COMPOSTELA VALLEY</t>
  </si>
  <si>
    <t>DEPARTMENT OF SOCIAL WELFARE AND DEVELOPMENT - REGION IV-A</t>
  </si>
  <si>
    <t>JUVENILE JUSTICE AND WELFARE COUNCIL</t>
  </si>
  <si>
    <t>STO. ROSARIO NATIONAL HIGH SCHOOL (SENIOR HIGH) - MINALIN, P</t>
  </si>
  <si>
    <t>VICTORIA INTEGRATED SCHOOL - SAN MATEO ISABELA</t>
  </si>
  <si>
    <t>MUNICIPALITY OF CORDON, ISABELA</t>
  </si>
  <si>
    <t>BARANGAY SICUL, STA. PRAXEDES, CAGAYAN</t>
  </si>
  <si>
    <t>BARANGAY SIMPATUYO - STA. TERESITA CAGAYAN</t>
  </si>
  <si>
    <t>BARANGAY MAGUGPO NORTH, TAGUM CITY, DAVAO DEL NORTE</t>
  </si>
  <si>
    <t>BONIFACIO CAMACHO NATIONAL HIGH SCHOOL</t>
  </si>
  <si>
    <t>MUNICIPALITY OF STA. JOSEFA, AGUSAN DEL SUR</t>
  </si>
  <si>
    <t>BARANGAY CANIUGAN, STA. TERESITA, CAGAYAN</t>
  </si>
  <si>
    <t>DEPARTMENT OF TRADE AND INDUSTRY - CAVITE</t>
  </si>
  <si>
    <t>COMMISSION ON POPULATION AND DEVELOPMENT - REGION IV</t>
  </si>
  <si>
    <t>CITY OF PASAY</t>
  </si>
  <si>
    <t>BARANGAY TAYTAY, LOON, BOHOL</t>
  </si>
  <si>
    <t>DEPARTMENT OF EDUCATION - DIVISION OF LANAO DEL NORTE</t>
  </si>
  <si>
    <t>SK OF BARANGAY PEMBO - MAKATI CITY</t>
  </si>
  <si>
    <t>DEPARTMENT OF AGRICULTURE - REGION XII</t>
  </si>
  <si>
    <t>MUNICIPALITY OF PRESENTACION, CAMARINES SUR</t>
  </si>
  <si>
    <t>BARANGAY LICTIN - SAN ANDRES, CATANDUANES</t>
  </si>
  <si>
    <t>MUNICIPALITY OF MALVAR, BATANGAS</t>
  </si>
  <si>
    <t>AUTHORITY OF THE FREEPORT AREA OF BATAAN</t>
  </si>
  <si>
    <t>DEPARTMENT OF HEALTH REGIONAL OFFICE II</t>
  </si>
  <si>
    <t>BARANGAY CABUNGAHAN - SAN ANDRES CATANDUANES</t>
  </si>
  <si>
    <t xml:space="preserve">TECHNICAL EDUCATION &amp; SKILLS DEVELOPMENT AUTHORITY - REGION </t>
  </si>
  <si>
    <t>JOSE B. LINGAD MEMORIAL GENERAL HOSPITAL</t>
  </si>
  <si>
    <t>DEPARTMENT OF EDUCATION - DIVISION OF BAGUIO CITY</t>
  </si>
  <si>
    <t>DEPARTMENT OF PUBLIC WORKS AND HIGHWAYS - CAPIZ 1ST DEO</t>
  </si>
  <si>
    <t>BARANGAY TUBOD - ISABEL, LEYTE</t>
  </si>
  <si>
    <t>PHILIPPINE NATIONAL POLICE</t>
  </si>
  <si>
    <t>DEPARTMENT OF EDUCATION - DIVISION OF SAN JUAN CITY</t>
  </si>
  <si>
    <t>BARANGAY PUSPUS - SAN FERNANDO CITY, LA UNION</t>
  </si>
  <si>
    <t>SAN VICENTE ELEMENTARY SCHOOL - SAN PABLO ISABELA</t>
  </si>
  <si>
    <t>COSINA INTEGRATED SCHOOL - TALAKAG BUKIDNON</t>
  </si>
  <si>
    <t>BARANGAY CAMINDOROAN - SAN NICOLAS PANGASINAN</t>
  </si>
  <si>
    <t>IBA INTEGRATED SCHOOL</t>
  </si>
  <si>
    <t>BARANGAY ROSARIO, DUMANGAS, ILOILO</t>
  </si>
  <si>
    <t>NATIONAL ECONOMIC AND DEVELOPMENT - REGION IV-A (CALABARZON)</t>
  </si>
  <si>
    <t>DEPARTMENT OF PUBLIC WORKS AND HIGHWAYS - ISABELA CITY DEO</t>
  </si>
  <si>
    <t>KALINGA STATE UNIVERSITY</t>
  </si>
  <si>
    <t>BARANGAY SUBA - MANJUYOD NEGROS ORIENTAL</t>
  </si>
  <si>
    <t>BARANGAY 04 POBLACION - GIPORLOS EASTERN SAMAR</t>
  </si>
  <si>
    <t>TESDA REGIONAL TRAINING CENTER - DAVAO</t>
  </si>
  <si>
    <t>MUNICIPALITY OF SANTA FE, NUEVA VIZCAYA</t>
  </si>
  <si>
    <t>UNIVERSITY OF EASTERN PHILIPPINES</t>
  </si>
  <si>
    <t xml:space="preserve">EFEGENIO LIZARES NATIONAL HIGH SCHOOL - TALISAY CITY NEGROS </t>
  </si>
  <si>
    <t>DEPARTMENT OF PUBLIC WORKS AND HIGHWAYS - SOUTH METRO MANILA</t>
  </si>
  <si>
    <t>DEPARTMENT OF AGRICULTURE - REGION XI</t>
  </si>
  <si>
    <t>DEPARTMENT OF EDUCATION - DIVISION OF ZAMBOANGA SIBUGAY</t>
  </si>
  <si>
    <t>CITY OF MANDAUE, CEBU</t>
  </si>
  <si>
    <t>BARANGAY CAPANICKIAN SUR, ALLACAPAN, CAGAYAN</t>
  </si>
  <si>
    <t>DEVELOPMENT BANK OF THE PHILIPPINES - REGION VI</t>
  </si>
  <si>
    <t>DEPARTMENT OF EDUCATION - DIVISION OF TAYABAS CITY</t>
  </si>
  <si>
    <t>PHILIPPINE AMUSEMENT AND GAMING CORPORATION</t>
  </si>
  <si>
    <t>GOVERNMENT SERVICE INSURANCE SYSTEM - REGION I</t>
  </si>
  <si>
    <t>BARANGAY SOLEDAD - SAN JOSE, CAMARINES SUR</t>
  </si>
  <si>
    <t>DEPARTMENT OF PUBLIC WORKS AND HIGHWAYS - MAIN</t>
  </si>
  <si>
    <t>TALA NATIONAL HIGH SCHOOL - NASUGBU BATANGAS</t>
  </si>
  <si>
    <t>DEPARTMENT OF SOCIAL WELFARE AND DEVELOPMENT - REGION IX</t>
  </si>
  <si>
    <t>BARANGAY MALTANA - TAMPAKAN SOUTH COTABATO</t>
  </si>
  <si>
    <t>BARANGAY ABBAG, MADDELA, QUIRINO</t>
  </si>
  <si>
    <t>DEPARTMENT OF AGRICULTURE - REGION VII</t>
  </si>
  <si>
    <t>BARANGAY SAN ANTONIO OGBON - NABUA CAMARINES SUR</t>
  </si>
  <si>
    <t>BARANGAY LIBOTON NAGA CITY</t>
  </si>
  <si>
    <t>DEPARTMENT OF PUBLIC WORKS AND HIGHWAYS - LAS PINAS- MUNTINL</t>
  </si>
  <si>
    <t>ZAMBOANGA CITY WATER DISTRICT - ZAMBOANGA CITY ZAMBOANGA DEL</t>
  </si>
  <si>
    <t>BARANGAY CABAROAN - BACNOTAN LA UNION</t>
  </si>
  <si>
    <t>BARANGAY NAZARETH SIBALOM ANTIQUE</t>
  </si>
  <si>
    <t>DEPARTMENT OF AGRARIAN REFORM - REGION VII</t>
  </si>
  <si>
    <t>MUNICIPALITY OF SOFRONIO ESPAÑOLA, PALAWAN</t>
  </si>
  <si>
    <t>BUREAU OF FISHERIES AND AQUATIC RESOURCES - REGION VIII</t>
  </si>
  <si>
    <t>GUMAOK ELEMENTARY SCHOOL</t>
  </si>
  <si>
    <t>MUNICIPALITY OF TANUDAN, KALINGA</t>
  </si>
  <si>
    <t>BARANGAY SAN DIONISIO 1, MADDELA, QUIRINO</t>
  </si>
  <si>
    <t>DEPARTMENT OF PUBLIC WORKS AND HIGHWAYS - ALBAY 3RD DEO</t>
  </si>
  <si>
    <t>BARANGAY AURORA - COMPOSTELA, COMPOSTELA VALLEY</t>
  </si>
  <si>
    <t>UNIVERSITY OF THE PHILIPPINES - MANILA PGH</t>
  </si>
  <si>
    <t>DEPARTMENT OF EDUCATION - DIVISION OF CITY SCHOOLS, CALOOCAN</t>
  </si>
  <si>
    <t>BARANGAY POBLACION SUR, MADDELA, QUIRINO</t>
  </si>
  <si>
    <t>MACA-OPAO ELEMENTARY SCHOOL</t>
  </si>
  <si>
    <t>PHILIPPINE CHILDREN'S MEDICAL CENTER</t>
  </si>
  <si>
    <t>MUNICIPALITY OF LORETO - DINAGAT ISLANDS</t>
  </si>
  <si>
    <t>MUNICIPALITY OF TUBUNGAN, ILOILO</t>
  </si>
  <si>
    <t>MUNICIPALITY OF KALAMANSIG, SULTAN KUDARAT</t>
  </si>
  <si>
    <t>BARANGAY BURABOD - LAGONOY CAMARINES SUR</t>
  </si>
  <si>
    <t>VIRGINIA RAMIREZ-CRUZ HIGH SCHOOL</t>
  </si>
  <si>
    <t>MUNICIPALITY OF CARMEN, AGUSAN DEL NORTE</t>
  </si>
  <si>
    <t>CITY OF SAGAY, NEGROS OCCIDENTAL</t>
  </si>
  <si>
    <t>NATIONAL IRRIGATION ADMINISTRATION - UPRIIS</t>
  </si>
  <si>
    <t>BARANGAY TALUMPOK SILANGAN, BATANGAS CITY</t>
  </si>
  <si>
    <t>DEPARTMENT OF PUBLIC WORKS AND HIGHWAYS - BATAAN 1ST DEO</t>
  </si>
  <si>
    <t>PROVINCE OF ILOCOS SUR</t>
  </si>
  <si>
    <t>KASARINLAN HIGH SCHOOL - CALOOCAN CITY METRO MANILA</t>
  </si>
  <si>
    <t>BARANGAY POBLACION, MAKATI CITY</t>
  </si>
  <si>
    <t>BUREAU OF FISHERIES AND AQUATIC RESOURCES - RV</t>
  </si>
  <si>
    <t xml:space="preserve">DEPARTMENT OF PUBLIC WORKS AND HIGHWAYS - CAMARINES SUR 3RD </t>
  </si>
  <si>
    <t>DEPARTMENT OF PUBLIC WORKS AND HIGHWAYS - EASTERN SAMAR DEO</t>
  </si>
  <si>
    <t>DEPARTMENT OF AGRICULTURE - REGION V</t>
  </si>
  <si>
    <t>APYAO ELEMENTARY SCHOOL</t>
  </si>
  <si>
    <t>BARANGAY CANITUAN, KALILANGAN, BUKIDNON</t>
  </si>
  <si>
    <t>PROVINCE OF NEGROS ORIENTAL</t>
  </si>
  <si>
    <t>CITY OF BAYAWAN, NEGROS ORIENTAL</t>
  </si>
  <si>
    <t>MUNICIPALITY OF BOTOLAN, ZAMBALES</t>
  </si>
  <si>
    <t>PROVINCE OF ILOILO</t>
  </si>
  <si>
    <t>PUSO ELEMENTARY SCHOOL</t>
  </si>
  <si>
    <t>BARANGAY TAMBO, LIPA CITY</t>
  </si>
  <si>
    <t>BARANGAY MANINGDING, STA. BARBARA, PANGASINAN</t>
  </si>
  <si>
    <t>MUNICIPALITY OF CALAYAN, CAGAYAN</t>
  </si>
  <si>
    <t>BUREAU OF FISHERIES AND AQUATIC RESOURCES - REGION III</t>
  </si>
  <si>
    <t>BARANGAY SAN TEODORO, MABINI, BATANGAS</t>
  </si>
  <si>
    <t>BARANGAY BATO I - MAASIN CITY SOUTHERN LEYTE</t>
  </si>
  <si>
    <t>MUNICIPALITY OF SAN JOSE DE BUENAVISTA, ANTIQUE</t>
  </si>
  <si>
    <t>MUNICIPALITY OF DANGCAGAN, BUKIDNON</t>
  </si>
  <si>
    <t>IMPALUTAO INTEGRATED SCHOOL, IMPALUTAO, IMPASUGONG, BUKIDNON</t>
  </si>
  <si>
    <t>GAT ANDRES BONIFACIO HIGH SCHOOL - TAGUIG CITY</t>
  </si>
  <si>
    <t>DEPARTMENT OF EDUCATION - REGION IV-A (CALABARZON)</t>
  </si>
  <si>
    <t>LUMINTAO ELEMENTARY SCHOOL</t>
  </si>
  <si>
    <t>BARANGAY BANZAL, STA. BARBARA, PANGASINAN</t>
  </si>
  <si>
    <t>BARANGAY SAN VICENTE BONTOC SOUTHERN LEYTE</t>
  </si>
  <si>
    <t>BARANGAY CENTRAL, HILONGOS, LEYTE</t>
  </si>
  <si>
    <t>MUNICIPALITY OF ALCANTARA, CEBU</t>
  </si>
  <si>
    <t>BAAO WEST CENTRAL SCHOOL - BAAO CAMARINES SUR</t>
  </si>
  <si>
    <t>DEPARTMENT OF PUBLIC WORKS AND HIGHWAYS - BUKIDNON 3RD DEO</t>
  </si>
  <si>
    <t>BARANGAY MANTATAO, CALAPE, BOHOL</t>
  </si>
  <si>
    <t>BARANGAY LANAG, LEON, ILOILO</t>
  </si>
  <si>
    <t>BARANGAY NAGA - JIMENEZ, MISAMIS OCCIDENTAL</t>
  </si>
  <si>
    <t>BARANGAY CALE, RAGAY, CAMARINES SUR</t>
  </si>
  <si>
    <t>BICOL MEDICAL CENTER</t>
  </si>
  <si>
    <t>MUNICIPALITY OF TUDELA, MISAMIS OCCIDENTAL</t>
  </si>
  <si>
    <t>DEPARTMENT OF EDUCATION - DIVISION OF OZAMIZ CITY</t>
  </si>
  <si>
    <t>PHILIPPINE RICE RESEARCH INSTITUTE</t>
  </si>
  <si>
    <t>MUNICIPALITY OF CAIBIRAN, BILIRAN</t>
  </si>
  <si>
    <t>MUNICIPALITY OF BURGOS, ILOCOS NORTE</t>
  </si>
  <si>
    <t>TUMAUINI WATER DISTRICT</t>
  </si>
  <si>
    <t>BARANGAY DAO, SAN FERNANDO, BUKIDNON</t>
  </si>
  <si>
    <t>BARANGAY LAGBAB - COMPOSTELA COMPOSTELA VALLEY</t>
  </si>
  <si>
    <t>MUNICIPALITY OF DUPAX DEL NORTE, NUEVA VIZCAYA</t>
  </si>
  <si>
    <t>SOCIAL SECURITY SYSTEM - LUZON CENTRAL 2</t>
  </si>
  <si>
    <t>NATIONAL ARCHIVES OF THE PHILIPPINES</t>
  </si>
  <si>
    <t>BARANGAY SAN ISIDRO, VALENCIA CITY, BUKIDNON</t>
  </si>
  <si>
    <t>BARANGAY SAN VICENTE, UBAY, BOHOL</t>
  </si>
  <si>
    <t>MUNICIPALITY OF STA. CRUZ, ZAMBALES</t>
  </si>
  <si>
    <t>MUNICIPALITY OF PAOAY, ILOCOS NORTE</t>
  </si>
  <si>
    <t>AMLAN CENTRAL ELEMENTARY SCHOOL - AMLAN NEGROS ORIENTAL</t>
  </si>
  <si>
    <t>DEPARTMENT OF THE INTERIOR AND LOCAL GOVERNMENT - NCR</t>
  </si>
  <si>
    <t>MUNICIPALITY OF GETAFE, BOHOL</t>
  </si>
  <si>
    <t>DEPARTMENT OF SCIENCE AND TECHNOLOGY REGION 1</t>
  </si>
  <si>
    <t>BUKIDNON STATE UNIVERSITY</t>
  </si>
  <si>
    <t>BUREAU OF PLANT INDUSTRY-BNCRDPSC</t>
  </si>
  <si>
    <t>DEPARTMENT OF EDUCATION - DIVISION OF TAGUIG AND PATEROS</t>
  </si>
  <si>
    <t>MUNICIPALITY OF TAYSAN, BATANGAS</t>
  </si>
  <si>
    <t>BARANGAY LUGSONGAN, LIMASAWA, SOUTHERN LEYTE</t>
  </si>
  <si>
    <t>COURT OF APPEALS</t>
  </si>
  <si>
    <t>BARANGAY NEW CARCAR - LA LIBERTAD ZAMBOANGA DEL NORTE</t>
  </si>
  <si>
    <t>BARANGAY MUNGAYANG - KIANGAN IFUGAO</t>
  </si>
  <si>
    <t>BARANGAY SILANGAN UNO - ROSARIO CAVITE</t>
  </si>
  <si>
    <t>MUNICIPALITY OF TAYASAN, NEGROS ORIENTAL</t>
  </si>
  <si>
    <t>BARANGAY SEIRAN, TAAL, BATANGAS</t>
  </si>
  <si>
    <t>MUNICIPALITY OF QUIRINO, ISABELA</t>
  </si>
  <si>
    <t>BAGUIO CITY SCHOOL OF ARTS AND TRADES</t>
  </si>
  <si>
    <t>MUNICIPALITY OF BANTAY, ILOCOS SUR</t>
  </si>
  <si>
    <t>MANOLO FORTICH NATIONAL HIGH SCHOOL</t>
  </si>
  <si>
    <t>BARANGAY SAN PEDRO - STA ELENA CAMARINES NORTE</t>
  </si>
  <si>
    <t>MUNICIPALITY OF BUENAVISTA, MARINDUQUE</t>
  </si>
  <si>
    <t>DEPARTMENT OF HEALTH - REGION X</t>
  </si>
  <si>
    <t>BARANGAY TABONTABON, DARAGA, ALBAY</t>
  </si>
  <si>
    <t>BARANGAY STA. CRUZ, STO. TOMAS, BATANGAS</t>
  </si>
  <si>
    <t>DEPARTMENT OF THE INTERIOR AND LOCAL GOVERNMENT - ILOCOS NOR</t>
  </si>
  <si>
    <t>CITY OF TOLEDO, CEBU</t>
  </si>
  <si>
    <t>BARANGAY SAN ROQUE - QUEZON CITY</t>
  </si>
  <si>
    <t>BARANGAY BUN-OT, HILONGOS, LEYTE</t>
  </si>
  <si>
    <t>MUNICIPALITY OF LA PAZ, ABRA</t>
  </si>
  <si>
    <t>MUSUAN ELEMENTARY SCHOOL</t>
  </si>
  <si>
    <t>BARANGAY BAGONG BAYAN/I-C, SAN PABLO CITY</t>
  </si>
  <si>
    <t>CITY OF DAVAO, DAVAO DEL SUR</t>
  </si>
  <si>
    <t>BARANGAY CANINGAY - CANDONI NEGROS OCCIDENTAL</t>
  </si>
  <si>
    <t>PROVINCE OF AKLAN</t>
  </si>
  <si>
    <t>MUNICIPALITY OF DON CARLOS, BUKIDNON</t>
  </si>
  <si>
    <t>MUNICIPALITY OF LIBMANAN, CAMARINES SUR</t>
  </si>
  <si>
    <t>MACABEBE WATER DISTRICT</t>
  </si>
  <si>
    <t>MUNICIPALITY OF SAGNAY, CAMARINES SUR</t>
  </si>
  <si>
    <t>PROVINCE OF CAMIGUIN</t>
  </si>
  <si>
    <t>MUNICIPALITY OF MULANAY, QUEZON</t>
  </si>
  <si>
    <t>PROVINCE OF NUEVA VIZCAYA - BAYOMBONG NUEVA VIZCAYA</t>
  </si>
  <si>
    <t>BARANGAY WAKAT, NAGCARLAN, LAGUNA</t>
  </si>
  <si>
    <t>DEPARTMENT OF AGRICULTURE - REGION VIII</t>
  </si>
  <si>
    <t>NATIONAL FOOD AUTHORITY - SORSOGON</t>
  </si>
  <si>
    <t>DEPARTMENT OF EDUCATION - BISLIG CITY DIVISION</t>
  </si>
  <si>
    <t>MUNICIPALITY OF TAGUDIN, ILOCOS SUR</t>
  </si>
  <si>
    <t>MUNICIPALITY OF STA. ANA, CAGAYAN</t>
  </si>
  <si>
    <t>BARANGAY BAGONG CLARIN, DON VICTORIANO CHIONGBIAN</t>
  </si>
  <si>
    <t>MUNICIPALITY OF BANAYBANAY, DAVAO ORIENTAL</t>
  </si>
  <si>
    <t>BARANGAY DALANGUIRING, URBIZTONDO, PANGASINAN</t>
  </si>
  <si>
    <t>MUNICIPALITY OF MARAGUSAN COMPOSTELA VALLEY</t>
  </si>
  <si>
    <t>SUBIC BAY METROPOLITAN AUTHORITY</t>
  </si>
  <si>
    <t>PROVINCE OF PANGASINAN</t>
  </si>
  <si>
    <t>SK OF BARANGAY LA PAZ - MAKATI CITY METRO MANILA</t>
  </si>
  <si>
    <t>MUNICIPALITY OF PALANAN, ISABELA</t>
  </si>
  <si>
    <t>DEPARTMENT OF AGRICULTURE - REGION II</t>
  </si>
  <si>
    <t>BARANGAY POBLACION - KIANGAN IFUGAO</t>
  </si>
  <si>
    <t>BARANGAY CANDAPING A. MARIA SIQ.</t>
  </si>
  <si>
    <t>BARANGAY SAN ANTONIO, CALAPAN CITY, ORIENTAL MINDORO</t>
  </si>
  <si>
    <t>DEPARTMENT OF EDUCATION - DIVISION OF BATAC CITY</t>
  </si>
  <si>
    <t>CITY OF SURIGAO, SURIGAO DEL NORTE</t>
  </si>
  <si>
    <t>BARANGAY KABUNGAAN - BAYBAY CITY LEYTE</t>
  </si>
  <si>
    <t>BARANGAY KASILAWAN, MAKATI CITY</t>
  </si>
  <si>
    <t>MUNICIPALITY OF BUGALLON - PANGASINAN</t>
  </si>
  <si>
    <t>DEPARTMENT OF PUBLIC WORKS AND HIGHWAYS - NEGROS ORIENTAL 2N</t>
  </si>
  <si>
    <t>MUNICIPALITY OF PAMPLONA, CAMARINES SUR</t>
  </si>
  <si>
    <t>BARANGAY CANTUGBAS</t>
  </si>
  <si>
    <t>BARANGAY CULAYLAY, SAN JOSE CITY, NUEVA ECIJA</t>
  </si>
  <si>
    <t>MUNICIPALITY OF ALBURQUERQUE, BOHOL</t>
  </si>
  <si>
    <t>DEPARTMENT OF AGRARIAN REFORM - ANTIQUE PROVINCIAL OFFICE</t>
  </si>
  <si>
    <t>BUREAU OF PLANT INDUSTRY - REGION X</t>
  </si>
  <si>
    <t>TALAKAG CENTRAL ELEMENTARY SCHOOL</t>
  </si>
  <si>
    <t>MUNICIPALITY OF BUENAVISTA, AGUSAN DEL NORTE</t>
  </si>
  <si>
    <t>PROVINCE OF DAVAO ORIENTAL</t>
  </si>
  <si>
    <t>CITY  OF CANLAON, NEGROS ORIENTAL</t>
  </si>
  <si>
    <t>DEPARTMENT OF PUBLIC WORKS AND HIGHWAYS - UPPER KALINGA DEO</t>
  </si>
  <si>
    <t>SENIOR HIGH SCHOOL- QUEZON  NATIONAL HIGH SCHOOL BUKIDNON</t>
  </si>
  <si>
    <t>DEPARTMENT OF EDUCATION - DIVISION OF ILOILO</t>
  </si>
  <si>
    <t>MUNICIPALITY OF SAN LORENZO RUIZ, CAMARINES NORTE</t>
  </si>
  <si>
    <t>DEPARTMENT OF PUBLIC WORKS AND HIGHWAYS - PANGASINAN 2ND</t>
  </si>
  <si>
    <t>CULION WATER DISTRICT</t>
  </si>
  <si>
    <t>DENR FORESTLAND MANAGEMENT PROJECT</t>
  </si>
  <si>
    <t>AGRICULTURAL TRAINING INSTITUTE - REGION I</t>
  </si>
  <si>
    <t>MUNICIPALITY OF MACO, COMPOSTELA VALLEY</t>
  </si>
  <si>
    <t>BARANGAY MAULAWIN - STA ELENA CAMARINES NORTE</t>
  </si>
  <si>
    <t>TOURISM PROMOTIONS BOARD</t>
  </si>
  <si>
    <t>BACOLOR WATER DISTRICT</t>
  </si>
  <si>
    <t>DEPARTMENT OF EDUCATION - REGION I</t>
  </si>
  <si>
    <t>CITY  OF LA CARLOTA, NEGROS OCCIDENTAL</t>
  </si>
  <si>
    <t>DEPARTMENT OF ENVIRONMENT AND NATURAL RES. - PENRO N. OCCIDE</t>
  </si>
  <si>
    <t>CEBU TECHNOLOGICAL UNIVERSITY</t>
  </si>
  <si>
    <t>BUREAU OF INTERNAL REVENUE - REVENUE REGION NO. 16</t>
  </si>
  <si>
    <t>DEPARTMENT OF ENVIRONMENT AND NATURAL RESOURCES - REGION I</t>
  </si>
  <si>
    <t>BARANGAY POBLACION, SAN VICENTE, PALAWAN</t>
  </si>
  <si>
    <t>DEPARTMENT OF PUBLIC WORKS AND HIGHWAYS - LOWER KALINGA DEO</t>
  </si>
  <si>
    <t>BARANGAY SAN ANTONIO - PASACAO CAMARINES SUR</t>
  </si>
  <si>
    <t>BARANGAY MARINIG, CABUYAO, LAGUNA</t>
  </si>
  <si>
    <t>DEPARTMENT OF PUBLIC WORKS AND HIGHWAYS - CAMIGUIN DEO</t>
  </si>
  <si>
    <t>SOUTHERN LUZON STATE UNIVERSITY</t>
  </si>
  <si>
    <t>MUNICIPALITY OF SAN PASCUAL, MASBATE</t>
  </si>
  <si>
    <t>NABUNTURAN WATER DISTRICT</t>
  </si>
  <si>
    <t>NATIONAL IRRIGATION ADMINISTRATION - MARIIS, DRD</t>
  </si>
  <si>
    <t>PNOC EXPLORATION CORPORATION - TAGUIG CITY</t>
  </si>
  <si>
    <t>BUENAVISTA CENTRAL SCHOOL</t>
  </si>
  <si>
    <t>DEPARTMENT OF PUBLIC WORKS AND HIGHWAYS - SOUTH COTABATO  1S</t>
  </si>
  <si>
    <t>PALOMPON INSTITUTE OF TECHNOLOGY</t>
  </si>
  <si>
    <t>MUNICIPALITY OF CABAGAN, ISABELA</t>
  </si>
  <si>
    <t>BARANGAY BOJO, ALOGUINSAN, CEBU</t>
  </si>
  <si>
    <t>KAYPIAN NATIONAL HIGH SCHOOL ( JUNIOR) -  SAN JOSE DEL MONTE</t>
  </si>
  <si>
    <t>PROVINCE OF SAMAR</t>
  </si>
  <si>
    <t>MUNICIPALITY OF LILOAN, SOUTHERN LEYTE</t>
  </si>
  <si>
    <t>DEPARTMENT OF PUBLIC WORKS AND HIGHWAYS - REGION XIII (CARAG</t>
  </si>
  <si>
    <t>AGUSAN DEL SUR STATE COLLEGE OF AGRICULTURE AND TECHNOLOGY</t>
  </si>
  <si>
    <t>MUNICIPALITY OF MONTEVISTA, COMPOSTELA VALLEY</t>
  </si>
  <si>
    <t>MUNICIPALITY OF SAN AGUSTIN, ISABELA</t>
  </si>
  <si>
    <t>MUNICIPALITY OF RIZAL, KALINGA</t>
  </si>
  <si>
    <t>DEPARTMENT OF EDUCATION - DIVISION OF ORMOC CITY</t>
  </si>
  <si>
    <t>NATIONAL ECONOMIC AND DEVELOPMENT AUTHORITY - REGION VI</t>
  </si>
  <si>
    <t>MUNICIPALITY OF STA. CATALINA, NEGROS ORIENTAL</t>
  </si>
  <si>
    <t>MUNICIPALITY OF KOLAMBUGAN, LANAO DEL NORTE</t>
  </si>
  <si>
    <t>BARANGAY MAGSAYSAY - PATNONGON ANTIQUE</t>
  </si>
  <si>
    <t>MUNICIPALITY OF LORETO, AGUSAN DEL SUR</t>
  </si>
  <si>
    <t>MUNICIPALITY OF MANKAYAN, BENGUET</t>
  </si>
  <si>
    <t>CAVITE STATE UNIVERSITY - ROSARIO CAMPUS</t>
  </si>
  <si>
    <t>BARANGAY POBLACION NORTE - PANIQUI TARLAC</t>
  </si>
  <si>
    <t>DEPARTMENT OF PUBLIC WORKS AND HIGHWAYS - ILOILO 3RD DEO</t>
  </si>
  <si>
    <t>MUNICIPALITY OF SEVILLA, BOHOL</t>
  </si>
  <si>
    <t>BARANGAY AYUSAN NORTE - VIGAN CITY, ILOCOS SUR</t>
  </si>
  <si>
    <t>DEPARTMENT OF PUBLIC WORKS AND HIGHWAYS - QUEZON 1ST ED</t>
  </si>
  <si>
    <t>MANSILINGAN AGRO-INDUSTRIAL HIGH SCHOOL</t>
  </si>
  <si>
    <t>HIMAMAYLAN NATIONAL HIGH SCHOOL(JUNIOR HIGH SCHOOL)-HIMAMAYL</t>
  </si>
  <si>
    <t>BARANGAY SAN PEDRO, NAUJAN, ORIENTAL MINDORO</t>
  </si>
  <si>
    <t>CITY OF LAOAG, ILOCOS NORTE</t>
  </si>
  <si>
    <t>BUREAU OF FIRE PROTECTION - REGION V</t>
  </si>
  <si>
    <t>MUNICIPALITY OF MAGALLANES, AGUSAN DEL NORTE</t>
  </si>
  <si>
    <t>EASTERN VISAYAS REGIONAL MEDICAL CENTER - DOH</t>
  </si>
  <si>
    <t>MUNICIPALITY OF JIMENEZ, MISAMIS OCCIDENTAL</t>
  </si>
  <si>
    <t>DEPARTMENT OF HEALTH EASTERN VISAYAS CHD - PALO LEYTE</t>
  </si>
  <si>
    <t>NATIONAL POWER CORPORATION SPUG - MINDANAO(EMOD)</t>
  </si>
  <si>
    <t>MUNICIPALITY OF DUMANJUG, CEBU</t>
  </si>
  <si>
    <t>BARANGAY AWANG - OPOL MISAMIS ORIENTAL</t>
  </si>
  <si>
    <t>KADINGILAN CENTRAL ELEMENTARY SCHOOL</t>
  </si>
  <si>
    <t>RIZAL TECHNOLOGICAL UNIVERSITY</t>
  </si>
  <si>
    <t>MUNICIPALITY OF DOÑA REMEDIOS TRINIDAD, BULACAN</t>
  </si>
  <si>
    <t>MUNICIPALITY OF LUPI, CAMARINES SUR</t>
  </si>
  <si>
    <t>SAN RAFAEL BBH ELEMENTARY SCHOOL</t>
  </si>
  <si>
    <t>MUNICIPALITY OF ESPERANZA, AGUSAN DEL SUR</t>
  </si>
  <si>
    <t>DEPARTMENT OF PUBLIC WORKS AND HIGHWAYS - BATANGAS 1ST DISTR</t>
  </si>
  <si>
    <t>BARANGAY SOUTH POBLACION, LA LIBERTAD, NEGROS ORIENTAL</t>
  </si>
  <si>
    <t>MUNICIPALITY OF SAN FRANCISCO, QUEZON</t>
  </si>
  <si>
    <t>DR. JUAN A. PASTOR MEMORIAL NATIONAL HIGH SCHOOL - IBAAN</t>
  </si>
  <si>
    <t>BARANGAY SALVACION, BAAO, CAMARINES SUR</t>
  </si>
  <si>
    <t>CITY OF SAN FERNANDO, PAMPANGA</t>
  </si>
  <si>
    <t>CENTRAL LUZON STATE UNIVERSITY</t>
  </si>
  <si>
    <t>BUREAU OF AGRICULTURAL RESEARCH</t>
  </si>
  <si>
    <t>CITY OF BIÑAN, LAGUNA</t>
  </si>
  <si>
    <t>PHILIPPINE AMUSEMENT AND GAMING CORPORATION-BACOLOD</t>
  </si>
  <si>
    <t>MUNICIPALITY OF ABRA DE ILOG, OCCIDENTAL MINDORO</t>
  </si>
  <si>
    <t>MUNICIPALITY OF MAJAYJAY, LAGUNA</t>
  </si>
  <si>
    <t>NORZAGARAY NATIONAL HIGH SCHOOL</t>
  </si>
  <si>
    <t>TAGUM WATER DISTRICT</t>
  </si>
  <si>
    <t>MUNICIPALITY OF SOGOD, CEBU</t>
  </si>
  <si>
    <t>BARANGAY SABANG - PINAMALAYAN, ORIENTAL MINDORO</t>
  </si>
  <si>
    <t>MUNICIPALITY OF BOCAUE, BULACAN</t>
  </si>
  <si>
    <t>DEPARTMENT OF PUBLIC WORKS AND HIGHWAYS - BOHOL 2ND DEO</t>
  </si>
  <si>
    <t>DEPARTMENT OF THE INTERIOR AND LOCAL GOVERNMENT - CAR</t>
  </si>
  <si>
    <t>MUNICIPALITY OF PINAMALAYAN, ORIENTAL MINDORO</t>
  </si>
  <si>
    <t>DEPARTMENT OF SCIENCE AND TECHNOLOGY - REGION II</t>
  </si>
  <si>
    <t>BARANGAY CANDA - IBABA, LOPEZ, QUEZON</t>
  </si>
  <si>
    <t>CAGAYAN VALLEY MEDICAL CENTER</t>
  </si>
  <si>
    <t>LEGAZPI CITY WATER DISTRICT</t>
  </si>
  <si>
    <t>MUNICIPALITY OF PIO DURAN, ALBAY</t>
  </si>
  <si>
    <t>DEPARTMENT OF SCIENCE AND TECHNOLOGY - REGION  III</t>
  </si>
  <si>
    <t>PHILIPPINE HEALTH INSURANCE CORPORATION - REGION IV-B</t>
  </si>
  <si>
    <t>BARANGAY GUINHAWA - TAYSAN, BATANGAS</t>
  </si>
  <si>
    <t>BILBAO WATKINS ELEMENTARY SCHOOL</t>
  </si>
  <si>
    <t>TARLAC COLLEGE OF AGRICULTURE</t>
  </si>
  <si>
    <t>PAITAN ELEMENTARY SCHOOL, PAITAN, QUEZON, BUKIDNON</t>
  </si>
  <si>
    <t>QUIRINO STATE UNIVERSITY</t>
  </si>
  <si>
    <t>DEPARTMENT OF AGRICULTURE - REGION IV-B (MIMAROPA)</t>
  </si>
  <si>
    <t>BARANGAY STO. NINO, TAYSAN, BATANGAS</t>
  </si>
  <si>
    <t>BUREAU OF CUSTOMS</t>
  </si>
  <si>
    <t>NATIONAL IRRIGATION ADMINISTRATION - ILOCOS NORTE IRRIGATION</t>
  </si>
  <si>
    <t>DEPARTMENT OF TRADE AND INDUSTRY - REGION III  PAMPANGA</t>
  </si>
  <si>
    <t>KALASUNGAY CENTRAL SCHOOL - MALAYBALAY CITY BUKIDNON</t>
  </si>
  <si>
    <t>DEPARTMENT OF EDUCATION - DIVISION OF AGUSAN DEL SUR</t>
  </si>
  <si>
    <t>CITY OF TABACO, ALBAY</t>
  </si>
  <si>
    <t>LIBONA NATIONAL HIGH SCHOOL</t>
  </si>
  <si>
    <t>BARANGAY MC ARTHUR, LAPAZ, ILOILO CITY</t>
  </si>
  <si>
    <t>INTELLECTUAL PROPERTY OF THE PHILIPPINES - TAGUIG CITY</t>
  </si>
  <si>
    <t>LANTAPAN NATIONAL HIGH SCHOOL</t>
  </si>
  <si>
    <t>CITY OF BUTUAN, AGUSAN DEL NORTE</t>
  </si>
  <si>
    <t>BARANGAY VILLA MARINA, SAN JOSE CITY, NUEVA ECIJA</t>
  </si>
  <si>
    <t>BUREAU OF INTERNAL REVENUE - REVENUE REGION NO. 4</t>
  </si>
  <si>
    <t>MUNICIPALITY OF PIDDIG, PIDDIG, ILOCOS NORTE</t>
  </si>
  <si>
    <t>UNIVERSITY OF THE PHILIPPINES - VISAYAS</t>
  </si>
  <si>
    <t>BARANGAY SUSO, STA. MARIA, ILOCOS SUR</t>
  </si>
  <si>
    <t>SAN RAFAEL NATIONAL HIGH SCHOOL</t>
  </si>
  <si>
    <t>JOSE R. TORRES ELEMENTARY SCHOOL - BACOLOD CITY NEGROS OCCID</t>
  </si>
  <si>
    <t>MUNICIPALITY OF SAN FABIAN, PANGASINAN</t>
  </si>
  <si>
    <t>BARANGAY DIVINAGRACIA, ILOILO CITY</t>
  </si>
  <si>
    <t>BATAAN PENINSULA STATE UNIVERSITY</t>
  </si>
  <si>
    <t>MUNICIPALITY OF BAGAC, BATAAN</t>
  </si>
  <si>
    <t>ADVANCED SCIENCE AND TECHNOLOGY INSTITUTE</t>
  </si>
  <si>
    <t>PANAYABAN TE SIMSIMEN</t>
  </si>
  <si>
    <t>NATIONAL POWER CORPORATION - SPUG LUZON</t>
  </si>
  <si>
    <t>DEPARTMENT OF PUBLIC WORKS AND HIGHWAYS - DINAGAT ISLANDS DI</t>
  </si>
  <si>
    <t>DEPARTMENT OF PUBLIC WORKS AND HIGHWAYS - PANGASINAN 3RD DEO</t>
  </si>
  <si>
    <t>PHIL COUNCIL FOR IND., ENERGY AND EMERGING TECH. RES.&amp; DEV.</t>
  </si>
  <si>
    <t>PROVINCE OF BENGUET</t>
  </si>
  <si>
    <t>MUNICIPALITY OF TAFT, EASTERN SAMAR</t>
  </si>
  <si>
    <t>WAWANG PULO NATIONAL HIGH SCHOOL - VALENZUELA CITY</t>
  </si>
  <si>
    <t>MUNICIPALITY OF TANZA, CAVITE</t>
  </si>
  <si>
    <t>DON M. GONZALVO MEMORIAL HIGH SCHOOL</t>
  </si>
  <si>
    <t>BANGBANGALON ELEMENTARY SCHOOL</t>
  </si>
  <si>
    <t>MINISTRY OF AGRICULTURE, FISHERIES AND AGRARIAN REFORM - COT</t>
  </si>
  <si>
    <t>BARANGAY SOUTH FUNDIDOR MOLO, ILOILO CITY</t>
  </si>
  <si>
    <t>BARANGAY CAMBACOL, DIMIAO, BOHOL</t>
  </si>
  <si>
    <t>HALAPITAN CENTRAL ELEMENTARY SCHOOL</t>
  </si>
  <si>
    <t>BARANGAY ROSARIO - BALINGASAG, MISAMIS ORIENTAL</t>
  </si>
  <si>
    <t>CITY OF BAYUGAN, AGUSAN DEL SUR</t>
  </si>
  <si>
    <t>MACASANDIG NATIONAL HIGH SCHOOL- CAGAYAN DE ORO CITY</t>
  </si>
  <si>
    <t>MUNICIPALITY OF MABINI, PANGASINAN</t>
  </si>
  <si>
    <t>LUIS HORA MEMORIAL REGIONAL HOSPITAL</t>
  </si>
  <si>
    <t>MUNICIPALITY OF MANGALDAN, PANGASINAN</t>
  </si>
  <si>
    <t>ISABELA REHABILITATION CENTER</t>
  </si>
  <si>
    <t>MUNICIPALITY OF LILOAN, CEBU</t>
  </si>
  <si>
    <t>TALUGTUG WATER DISTRICT</t>
  </si>
  <si>
    <t>MUNICIPALITY OF IROSIN, SORSOGON</t>
  </si>
  <si>
    <t>LIGA NG MGA BARANGAY, BANSALAN, DAVAO DEL SUR</t>
  </si>
  <si>
    <t>BARANGAY TANGLAD, SIBUNAG, GUIMARAS</t>
  </si>
  <si>
    <t>DEPARTMENT OF BUDGET AND MANAGEMENT - REGIONAL OFFICE V</t>
  </si>
  <si>
    <t>BUREAU OF ANIMAL INDUSTRY, DA</t>
  </si>
  <si>
    <t>BARANGAY BAGONG SIKAT, SAN JOSE CITY, NUEVA ECIJA</t>
  </si>
  <si>
    <t>MUNICIPALITY OF LA TRINIDAD, BENGUET</t>
  </si>
  <si>
    <t>DEPARTMENT OF PUBLIC WORKS AND HIGHWAYS - MINDORO ORIENTAL D</t>
  </si>
  <si>
    <t>CITY OF MALABON</t>
  </si>
  <si>
    <t>DEPARTMENT OF PUBLIC WORKS AND HIGHWAYS - BENGUET 2ND DEO</t>
  </si>
  <si>
    <t>MUNICIPALITY OF ALCANTARA, ROMBLON</t>
  </si>
  <si>
    <t>FRANCISCO P. FELIX MEMORIAL NATIONAL HIGH SCHOOL - (JICA EXT</t>
  </si>
  <si>
    <t>CITY GOVERNMENT OF BACOOR</t>
  </si>
  <si>
    <t>DEPARTMENT OF ENVIRONMENT AND NATURAL RESOURCES - REGION XI</t>
  </si>
  <si>
    <t>BARANGAY POBLACION, PANGANTUCAN, BUKIDNON</t>
  </si>
  <si>
    <t>MUNICIPALITY OF ESPERANZA, MASBATE</t>
  </si>
  <si>
    <t>MUNICIPALITY OF MERCEDES, EASTERN SAMAR</t>
  </si>
  <si>
    <t>MUNICIPALITY OF MALAY, AKLAN</t>
  </si>
  <si>
    <t>DEPARTMENT OF PUBLIC WORKS AND HIGHWAYS - ISABELA 1ST DEO</t>
  </si>
  <si>
    <t>105TH CONTRACTING OFFICE, AFP PROCUREMENT SERVICE</t>
  </si>
  <si>
    <t>DEPARTMENT OF TRADE AND INDUSTRY - BOHOL PROVINCIAL OFFICE</t>
  </si>
  <si>
    <t>CITY OF TANJAY, NEGROS ORIENTAL</t>
  </si>
  <si>
    <t>DEPARTMENT OF PUBLIC WORKS AND HIGHWAYS - LAGUNA III DISTRIC</t>
  </si>
  <si>
    <t>MUNICIPALITY OF LIAN, BATANGAS</t>
  </si>
  <si>
    <t>PHILIPPINE CARABAO CENTER - CENTRAL LUZON STATE UNIVERSITY</t>
  </si>
  <si>
    <t>DEPARTMENT OF SOCIAL WELFARE AND DEVELOPMENT - CAR</t>
  </si>
  <si>
    <t>MUNICIPALITY  OF SAN JOSE, NEGROS ORIENTAL</t>
  </si>
  <si>
    <t>MUNICIPALITY OF MOALBOAL, CEBU</t>
  </si>
  <si>
    <t>BARANGAY OLD MAHAYAG, CATBALOGAN, SAMAR</t>
  </si>
  <si>
    <t>CITY OF VALENCIA, BUKIDNON</t>
  </si>
  <si>
    <t>MUNICIPALITY OF CALUMPIT, BULACAN</t>
  </si>
  <si>
    <t>RIZAL HIGH SCHOOL</t>
  </si>
  <si>
    <t>MUNICIPALITY OF PONTEVEDRA, NEGROS OCCIDENTAL</t>
  </si>
  <si>
    <t>DEPARTMENT OF EDUCATION - MIMAROPA REGION</t>
  </si>
  <si>
    <t>MUNICIPALITY OF LIMASAWA, SOUTHERN LEYTE</t>
  </si>
  <si>
    <t>DEPARTMENT OF EDUCATION - DIVISION OF ANGELES CITY</t>
  </si>
  <si>
    <t>BACBACON ELEMENTARY SCHOOL</t>
  </si>
  <si>
    <t>UNIVERSITY OF SCIENCE &amp; TECH. OF SOUTHERN PHIL.-CLAVERIA</t>
  </si>
  <si>
    <t>SOUTHERN ISABELA MEDICAL CENTER</t>
  </si>
  <si>
    <t>MUNICIPALITY OF GONZAGA, CAGAYAN</t>
  </si>
  <si>
    <t>MINES AND GEOSCIENCES BUREAU - REGION I</t>
  </si>
  <si>
    <t>PROVINCE OF CAVITE</t>
  </si>
  <si>
    <t>PROVINCE OF SURIGAO DEL SUR</t>
  </si>
  <si>
    <t>MUNICIPALITY OF ALUBIJID, MISAMIS ORIENTAL</t>
  </si>
  <si>
    <t>MUNICIPALITY OF CONSOLACION, CEBU</t>
  </si>
  <si>
    <t>PROVINCIAL GOVERNMENT OF CAMARINES SUR</t>
  </si>
  <si>
    <t>MUNICIPALITY OF ALCALA, CAGAYAN</t>
  </si>
  <si>
    <t>DUMAGUETE CITY WATER DISTRICT</t>
  </si>
  <si>
    <t>MUNICIPALITY OF ROXAS, PALAWAN</t>
  </si>
  <si>
    <t>MUNICIPALITY OF ROSARIO, CAVITE</t>
  </si>
  <si>
    <t>BUREAU OF FIRE PROTECTION - REGION IV-A (CALABARZON)</t>
  </si>
  <si>
    <t>MUNICIPALITY OF ASINGAN, PANGASINAN</t>
  </si>
  <si>
    <t>MUNICIPALITY OF CALAMBA, MISAMIS OCCIDENTAL</t>
  </si>
  <si>
    <t>MUNICIPALITY OF KALAYAAN, LAGUNA</t>
  </si>
  <si>
    <t>MUNICIPALITY OF TAGOLOAN, MISAMIS ORIENTAL</t>
  </si>
  <si>
    <t>MUNICIPALITY OF AMBAGUIO, NUEVA VIZCAYA</t>
  </si>
  <si>
    <t>SK OF BARANGAY LUMBIA - ESTANCIA ILOILO</t>
  </si>
  <si>
    <t>BARANGAY STO. DOMINGO, CAINTA, RIZAL</t>
  </si>
  <si>
    <t>BARANGAY VII-E, SAN PABLO CITY</t>
  </si>
  <si>
    <t>MUNICIPALITY  OF KABAYAN, BENGUET</t>
  </si>
  <si>
    <t>DEPARTMENT OF EDUCATION - DIVISION OF CARCAR CITY</t>
  </si>
  <si>
    <t>NATIONAL IRRIGATION ADMINISTRATION - KALINGA IRRIGATION MANA</t>
  </si>
  <si>
    <t>BARANGAY BUTONG, QUEZON, BUKIDNON</t>
  </si>
  <si>
    <t>MUNICIPALITY OF GUIUAN, EASTERN SAMAR</t>
  </si>
  <si>
    <t>BARANGAY LILIBANGAN, CONCEPCION, TARLAC</t>
  </si>
  <si>
    <t>UNIVERSITY OF SCIENCE AND TECHNOLOGY OF SOUTHERN PHILIPPINES</t>
  </si>
  <si>
    <t>BARANGAY NANYO PANABO CITY DAVAO DEL NORTE</t>
  </si>
  <si>
    <t>DEPARTMENT OF PUBLIC WORKS AND HIGHWAYS - CEBU 5TH DEO</t>
  </si>
  <si>
    <t>MUNICIPALITY OF MANITO, ALBAY</t>
  </si>
  <si>
    <t>BARANGAY  BAGUINGE - KIANGAN IFUGAO</t>
  </si>
  <si>
    <t>MUNICIPALITY OF NUEVA VALENCIA, GUIMARAS</t>
  </si>
  <si>
    <t>MANILA INTERNATIONAL AIRPORT AUTHORITY</t>
  </si>
  <si>
    <t>WAO DISTRICT HOSPITAL</t>
  </si>
  <si>
    <t>BARANGAY VILLA CRUZ - PATNONGON, ANTIQUE</t>
  </si>
  <si>
    <t>MUNICIPALITY OF MEDELLIN, CEBU</t>
  </si>
  <si>
    <t>MUNICIPALITY OF TALIBON, BOHOL</t>
  </si>
  <si>
    <t>CITY OF CEBU, CEBU</t>
  </si>
  <si>
    <t>MUNICIPALITY OF PANTUKAN, COMPOSTELA VALLEY</t>
  </si>
  <si>
    <t>BARANGAY 31, TALINGAAN, LAOAG CITY</t>
  </si>
  <si>
    <t>MUNICIPALITY OF PANIQUI, TARLAC</t>
  </si>
  <si>
    <t>DEPARTMENT OF PUBLIC WORKS AND HIGHWAYS - PAMPANGA 3RD DEO</t>
  </si>
  <si>
    <t>DEPARTMENT OF PUBLIC WORKS AND HIGHWAYS - REGION IX</t>
  </si>
  <si>
    <t>ROGUS ELEMENTARY SCHOOL - CAUAYAN CITY ISABELA</t>
  </si>
  <si>
    <t>PROVINCE OF EASTERN SAMAR</t>
  </si>
  <si>
    <t>CITY  OF CAVITE</t>
  </si>
  <si>
    <t>OFFICE OF CIVIL DEFENSE - REGION III</t>
  </si>
  <si>
    <t>BARANGAY BUNGSI, MAMBUSAO, CAPIZ</t>
  </si>
  <si>
    <t>BARANGAY 59-PURO LEGAZPI CITY ALBAY</t>
  </si>
  <si>
    <t>MUNICIPALITY OF LAPINIG, NORTHERN SAMAR</t>
  </si>
  <si>
    <t>SUGAR REGULATORY ADMINISTRATION</t>
  </si>
  <si>
    <t>MUNICIPALITY OF SAN ISIDRO, BOHOL</t>
  </si>
  <si>
    <t>SAN NICOLAS WATER DISTRICT - ILOCOS NORTE</t>
  </si>
  <si>
    <t>TARLAC STATE UNIVERSITY</t>
  </si>
  <si>
    <t>BARANGAY BAHAY, PASACAO, CAMARINES SUR</t>
  </si>
  <si>
    <t>CITY OF SAN PABLO, LAGUNA</t>
  </si>
  <si>
    <t>PILI WATER DISTRICT</t>
  </si>
  <si>
    <t>PROVINCE OF GUIMARAS</t>
  </si>
  <si>
    <t>DEPARTMENT OF PUBLIC WORKS AND HIGHWAYS - SAMAR 2ND DEO</t>
  </si>
  <si>
    <t>CITY OF MAKATI</t>
  </si>
  <si>
    <t>BANGKO SENTRAL NG PILIPINAS (SECURITY PLANT COMPLEX) - QUEZO</t>
  </si>
  <si>
    <t>DEPARTMENT OF PUBLIC WORKS AND HIGHWAYS - NORTH COTABATO 1ST</t>
  </si>
  <si>
    <t>CARMONA WATER DISTRICT</t>
  </si>
  <si>
    <t>CITY OF BORONGAN, EASTERN SAMAR</t>
  </si>
  <si>
    <t>BARANGAY SAN AGUSTIN II, BACARRA, ILOCOS NORTE</t>
  </si>
  <si>
    <t>DEPARTMENT OF PUBLIC WORKS AND HIGHWAYS - SORSOGON 1ST DEO</t>
  </si>
  <si>
    <t>DEPARTMENT OF AGRARIAN REFORM - REGION II</t>
  </si>
  <si>
    <t>NATIONAL IRRIGATION ADMINISTRATION - REGION X</t>
  </si>
  <si>
    <t>CITY OF IRIGA</t>
  </si>
  <si>
    <t>BARANGAY MALIBAGO, LABO, CAMARINES NORTE</t>
  </si>
  <si>
    <t>STA. JOSEFA NATIONAL HIGH SCHOOL - STA. JOSEFA AGUSAN DEL SU</t>
  </si>
  <si>
    <t>PHILIPPINE PORTS AUTHORITY - HEAD OFFICE</t>
  </si>
  <si>
    <t>CITY OF SANTIAGO, ISABELA</t>
  </si>
  <si>
    <t>HOME DEVELOPMENT MUTUAL FUND - REGION III</t>
  </si>
  <si>
    <t>PHILIPPINE NORMAL UNIVERSITY</t>
  </si>
  <si>
    <t>DEPARTMENT OF PUBLIC WORKS AND HIGHWAYS - DAVAO CITY DEO</t>
  </si>
  <si>
    <t>METRO BANGUED WATER DISTRICT</t>
  </si>
  <si>
    <t>SOGOD WATER DISTRICT</t>
  </si>
  <si>
    <t>MUNICIPALITY OF PANUKULAN, QUEZON</t>
  </si>
  <si>
    <t>DEPARTMENT OF AGRARIAN REFORM - AURORA</t>
  </si>
  <si>
    <t>HOME DEVELOPMENT MUTUAL FUND - REGION X</t>
  </si>
  <si>
    <t>SUMILAO NATIONAL HIGH SCHOOL</t>
  </si>
  <si>
    <t>BARANGAY LAS ARENAS - PANTUKAN COMPOSTELA VALLEY</t>
  </si>
  <si>
    <t>MUNICIPALITY OF MERCEDES, CAMARINES NORTE</t>
  </si>
  <si>
    <t>BUENAVISTA WATER DISTRICT</t>
  </si>
  <si>
    <t>MUNICIPALITY OF DON MARCELINO - DAVAO OCCIDENTAL</t>
  </si>
  <si>
    <t>CITY OF SAN PEDRO, LAGUNA</t>
  </si>
  <si>
    <t>MUNICIPALITY OF LANTAPAN, BUKIDNON</t>
  </si>
  <si>
    <t>MUNICIPALITY OF PAGSANGHAN, SAMAR</t>
  </si>
  <si>
    <t>CITY OF MAASIN, SOUTHERN LEYTE</t>
  </si>
  <si>
    <t>BARANGAY VILLA ELIO - PATNONGON, ANTIQUE</t>
  </si>
  <si>
    <t>BARANGAY SAN ISIDRO, CONCEPCION, TARLAC</t>
  </si>
  <si>
    <t>MUNICIPALITY OF SISON, PANGASINAN</t>
  </si>
  <si>
    <t>NATIONAL IRRIGATION ADMINISTRATION - REGIONAL OFFICE NO. 2</t>
  </si>
  <si>
    <t>MUNICIPALITY OF SANTA IGNACIA, TARLAC</t>
  </si>
  <si>
    <t>CALABANGA NATIONAL HIGH SCHOOL</t>
  </si>
  <si>
    <t>DEPARTMENT OF PUBLIC WORKS AND HIGHWAYS - ALBAY 2ND DEO</t>
  </si>
  <si>
    <t>DEPARTMENT OF EDUCATION - DIVISION OF ANTIQUE</t>
  </si>
  <si>
    <t>NATIONAL FOOD AUTHORITY - PILI CAMARINES SUR</t>
  </si>
  <si>
    <t>DOMINGO LACSON NATIONAL HIGH SCHOOL</t>
  </si>
  <si>
    <t>DEPARTMENT OF PUBLIC  WORKS AND HIGHWAYS - APAYAO 2ND DEO</t>
  </si>
  <si>
    <t>BARANGAY POOK, AGONCILLO, BATANGAS</t>
  </si>
  <si>
    <t>LAND TRANSPORTATION OFFICE - MAIN</t>
  </si>
  <si>
    <t>MUNICIPALITY OF CALUBIAN, LEYTE</t>
  </si>
  <si>
    <t>PHILIPPINE COMPETITION COMMISSION</t>
  </si>
  <si>
    <t>PHILIPPINE CROP INSURANCE CORPORATION - REGION IV</t>
  </si>
  <si>
    <t>DEPARTMENT OF PUBLIC WORKS AND HIGHWAYS - AGUSAN DEL NORTE D</t>
  </si>
  <si>
    <t>PORAC MODEL COMMUNITY HIGH SCHOOL</t>
  </si>
  <si>
    <t>DEPARTMENT OF EDUCATION - DIVISION OF BULACAN</t>
  </si>
  <si>
    <t>MUNICIPALITY OF ALIAGA, NUEVA ECIJA</t>
  </si>
  <si>
    <t>BARANGAY POBLACION - NABUNTURAN, COMPOSTELA VALLEY</t>
  </si>
  <si>
    <t>MUNICIPALITY OF ALILEM, ILOCOS SUR</t>
  </si>
  <si>
    <t>PHILIPPINE CARABAO CENTER AT CENTRAL MINDANAO UNIVERSITY</t>
  </si>
  <si>
    <t>QUEZON-PANITIAN NATIONAL HIGH SCHOOL</t>
  </si>
  <si>
    <t>MUNICIPALITY OF CONNER, APAYAO</t>
  </si>
  <si>
    <t>MUNICIPALITY OF CANDONI, NEGROS OCCIDENTAL</t>
  </si>
  <si>
    <t>BICOL UNIVERSITY</t>
  </si>
  <si>
    <t>NATIONAL ECONOMIC AND DEVELOPMENT AUTHORITY - REGION I</t>
  </si>
  <si>
    <t>406TH CONTRACTING OFFICE, AFP PROCUREMENT SERVICE</t>
  </si>
  <si>
    <t>MUNICIPALITY OF ABUYOG, LEYTE</t>
  </si>
  <si>
    <t>MUNICIPALITY OF MALITA, DAVAO OCCIDENTAL</t>
  </si>
  <si>
    <t>MUNICIPALITY OF JUBAN, SORSOGON</t>
  </si>
  <si>
    <t>DEPARTMENT OF ENVIRONMENT AND NATURAL RES. - PENRO, N. VIZCA</t>
  </si>
  <si>
    <t>PAG-IBIG FUND - DAVAO HUB (TECHNICAL AND ADMIN SUPPORT)</t>
  </si>
  <si>
    <t>BAAO WATER DISTRICT</t>
  </si>
  <si>
    <t>ASSOCIATION OF BARANGAY CAPTAINS - MINALABAC, CAMARINES SUR</t>
  </si>
  <si>
    <t>PHILIPPINE NATIONAL POLICE - LOGISTICS SUPPORT SERVICE</t>
  </si>
  <si>
    <t>PROVINCE OF ISABELA</t>
  </si>
  <si>
    <t>CALAMBA WATER DISTRICT</t>
  </si>
  <si>
    <t>MUNICIPALITY OF MAASIM, SARANGANI</t>
  </si>
  <si>
    <t>BONGABON WATER DISTRICT</t>
  </si>
  <si>
    <t>BARANGAY PALATIW, PASIG CITY</t>
  </si>
  <si>
    <t>DEPARTMENT OF PUBLIC WORKS AND HIGHWAYS - ROMBLON DEO</t>
  </si>
  <si>
    <t>MUNICIPALITY OF TIGBAO, ZAMBOANGA DEL SUR</t>
  </si>
  <si>
    <t>DEPARTMENT OF THE INTERIOR AND LOCAL GOVERNMENT - AGUSAN DEL</t>
  </si>
  <si>
    <t>BARANGAY MUDAN, GLAN, SARANGANI</t>
  </si>
  <si>
    <t>DEPARTMENT OF THE INTERIOR AND LOCAL GOVERNMENT - REGION XII</t>
  </si>
  <si>
    <t>BARANGAY GAGGABUTAN EAST RIZAL CAGAYAN</t>
  </si>
  <si>
    <t>PROVINCE OF DAVAO DEL SUR</t>
  </si>
  <si>
    <t>DEPARTMENT OF EDUCATION - DIVISION OF PASIG CITY</t>
  </si>
  <si>
    <t>LAND TRANSPORTATION OFFICE - REGION IV-B</t>
  </si>
  <si>
    <t>MUNICIPALITY OF AMULUNG, CAGAYAN</t>
  </si>
  <si>
    <t>MUNICIPALITY OF QUEZON, QUEZON</t>
  </si>
  <si>
    <t>DEPARTMENT OF ENVIRONMENT AND NATURAL RES. - PENRO DAVAO OCC</t>
  </si>
  <si>
    <t>TIPAS NATIONAL HIGH SCHOOL</t>
  </si>
  <si>
    <t>DEPARTMENT OF PUBLIC WORKS AND HIGHWAYS - DAVAO DEL SUR DIST</t>
  </si>
  <si>
    <t>DEPED-ROVI-DIVISION OF AKLAN</t>
  </si>
  <si>
    <t>DEPARTMENT OF PUBLIC WORKS AND HIGHWAYS - REGION IV-B</t>
  </si>
  <si>
    <t>DEPARTMENT OF AGRARIAN REFORM - KALINGA PROVINCE</t>
  </si>
  <si>
    <t>BARANGAY ILLURU NORTE RIZAL CAGAYAN</t>
  </si>
  <si>
    <t>DEPARTMENT OF PUBLIC WORKS AND HIGHWAYS - CAMARINES NORTE ED</t>
  </si>
  <si>
    <t>CITY OF QUEZON</t>
  </si>
  <si>
    <t>NUEVA ECIJA UNIVERSITY OF SCIENCE AND TECHNOLOGY</t>
  </si>
  <si>
    <t>REMEDIOS NATIONAL HIGH SCHOOL - LUBAO PAMPANGA</t>
  </si>
  <si>
    <t>MUNICIPALITY OF GEN. LUNA, QUEZON</t>
  </si>
  <si>
    <t>MUNICIPALITY OF LOAY, BOHOL</t>
  </si>
  <si>
    <t>BARANGAY PASINGAN - RIZAL CAGAYAN</t>
  </si>
  <si>
    <t>MUNICIPALITY OF GINGOOG CITY, MISAMIS ORIENTAL</t>
  </si>
  <si>
    <t>BUREAU OF JAIL MANAGEMENT AND PENOLOGY - REGION IX</t>
  </si>
  <si>
    <t>MUNICIPALITY OF LAMUT, IFUGAO</t>
  </si>
  <si>
    <t>BUENAVISTA NATIONAL HIGH SCHOOL</t>
  </si>
  <si>
    <t>DON MARIANO MARCOS NATIONAL HIGH SCHOOL - ECHAGUE ISABELA</t>
  </si>
  <si>
    <t>PHILIPPINE NATIONAL POLICE - CRIME LABORATORY</t>
  </si>
  <si>
    <t>BARANGAY REAL, URBIZTONDO, PANGASINAN</t>
  </si>
  <si>
    <t>MUNICIPALITY OF SAN ISIDRO, NORTHERN SAMAR</t>
  </si>
  <si>
    <t>MUNICIPALITY OF SIERRA BULLONES, BOHOL</t>
  </si>
  <si>
    <t>DEPARTMENT OF PUBLIC WORKS AND HIGHWAYS - CAGAYAN 3RD DEO</t>
  </si>
  <si>
    <t>BARANGAY TINALMUD NUEVO, LIBMANAN, CAMARINES SUR</t>
  </si>
  <si>
    <t>BARANGAY PAYE, MOGPOG, MARINDUQUE</t>
  </si>
  <si>
    <t>BARANGAY UNANG SIGAW - QUEZON CITY</t>
  </si>
  <si>
    <t>BUREAU OF PLANT INDUSTRY - NCR</t>
  </si>
  <si>
    <t>MUNICIPALITY OF BONTOC, MOUNTAIN PROVINCE</t>
  </si>
  <si>
    <t>BARANGAY DELOS SANTOS INOPACAN LEYTE</t>
  </si>
  <si>
    <t>PHILIPPINE AIR FORCE - PROCUREMENT CENTER</t>
  </si>
  <si>
    <t>BARANGAY CANABUAN - TIGBAUAN ILOILO</t>
  </si>
  <si>
    <t>BARANGAY BOLIBO, OROQUIETA CITY</t>
  </si>
  <si>
    <t>BUREAU OF AGRICULTURAL AND FISHERIES ENGINEERING - QUEZON CI</t>
  </si>
  <si>
    <t>DEPARTMENT OF AGRICULTURE - MAIN</t>
  </si>
  <si>
    <t>BARANGAY SALAVANTE, URBIZTONDO, PANGASINAN</t>
  </si>
  <si>
    <t>SCIENCE EDUCATION INSTITUTE</t>
  </si>
  <si>
    <t>BALANDRA ELEMENTARY SCHOOL</t>
  </si>
  <si>
    <t>BARANGAY 677 ZONE 74 DISTRICT V, MANILA</t>
  </si>
  <si>
    <t>SAN ANTONIO NATIONAL HIGH SCHOOL</t>
  </si>
  <si>
    <t>MUNICIPALITY OF BUNAWAN, AGUSAN DEL SUR</t>
  </si>
  <si>
    <t>BARANGAY PISUAC, URBIZTONDO, PANGASINAN</t>
  </si>
  <si>
    <t>BARANGAY 749, ZONE 81, DISTRICT V, MANILA</t>
  </si>
  <si>
    <t>BARANGAY POBLACION, URBIZTONDO, PANGASINAN</t>
  </si>
  <si>
    <t>MUNICIPALITY OF CONCEPCION, TARLAC</t>
  </si>
  <si>
    <t>PROVINCE OF ANTIQUE</t>
  </si>
  <si>
    <t>UNIVERSITY OF THE PHILIPPINES - DILIMAN</t>
  </si>
  <si>
    <t>PNOC RENEWABLES CORPORATION</t>
  </si>
  <si>
    <t>DEPARTMENT OF AGRICULTURE - REGION III</t>
  </si>
  <si>
    <t>PHILIPPINE INTERNATIONAL TRADING CORPORATION</t>
  </si>
  <si>
    <t>DEPARTMENT OF PUBLIC WORKS AND HIGHWAYS - CEBU 2ND DEO</t>
  </si>
  <si>
    <t>CITY OF NAGA, CEBU</t>
  </si>
  <si>
    <t>UNIVERSITY OF THE PHILIPPINES - MANILA</t>
  </si>
  <si>
    <t>LIPA CITY NATIONAL HIGH SCHOOL</t>
  </si>
  <si>
    <t>BARANGAY CAMANBUGAN, URBIZTONDO, PANGASINAN</t>
  </si>
  <si>
    <t>CITY OF BISLIG, SURIGAO DEL SUR</t>
  </si>
  <si>
    <t>MUNICIPALITY OF DARAGA, ALBAY</t>
  </si>
  <si>
    <t>DEPARTMENT OF EDUCATION - DIVISION OF KALINGA</t>
  </si>
  <si>
    <t>BARANGAY PASIBI WEST - URBIZTONDO PANGASINAN</t>
  </si>
  <si>
    <t>CAIBIRAN NATIONAL HIGH SCHOOL - CAIBIRAN BILIRAN</t>
  </si>
  <si>
    <t>BARANGAY MALIBONG, URBIZTONDO, PANGASINAN</t>
  </si>
  <si>
    <t>SPECIAL EDUCATION HIGH SCHOOL</t>
  </si>
  <si>
    <t>MUNICIPALITY OF PINILI, ILOCOS NORTE</t>
  </si>
  <si>
    <t>FOOD AND NUTRITION RESEARCH INSTITUTE</t>
  </si>
  <si>
    <t>BARANGAY ANAHAWAY, PALO, LEYTE</t>
  </si>
  <si>
    <t>BARANGAY MALANSAD NUEVO, LIBMANAN, CAMARINES SUR</t>
  </si>
  <si>
    <t>MUNICIPALITY OF PITOGO, ZAMBOANGA DEL SUR</t>
  </si>
  <si>
    <t>CITY GOVERNMENT OF LUCENA</t>
  </si>
  <si>
    <t>DEPARTMENT OF AGRARIAN REFORM - NEGROS ORIENTAL PROV'L OFF.</t>
  </si>
  <si>
    <t>BARANGAY BENTICAYAN - BARAS CATANDUANES</t>
  </si>
  <si>
    <t>BARANGAY YOCTI - SAN ANDRES,CATANDUANES</t>
  </si>
  <si>
    <t>POWER SECTOR ASSETS AND LIABILITIES MANAGEMENT CORPORATION-Q</t>
  </si>
  <si>
    <t>MUNICIPALITY OF PALOMPON, LEYTE</t>
  </si>
  <si>
    <t>APO PRODUCTION UNIT, INC.</t>
  </si>
  <si>
    <t>MUNICIPALITY OF KIANGAN, IFUGAO</t>
  </si>
  <si>
    <t>MUNICIPALITY OF ALMAGRO, SAMAR</t>
  </si>
  <si>
    <t>PROVINCE OF ORIENTAL MINDORO</t>
  </si>
  <si>
    <t>KAUNLARAN ELEMENTARY SCHOOL</t>
  </si>
  <si>
    <t>MUNICIPALITY OF TORRIJOS, MARINDUQUE</t>
  </si>
  <si>
    <t>GAMES AND AMUSEMENTS BOARD</t>
  </si>
  <si>
    <t>DEPARTMENT OF EDUCATION - DIVISION OF CAGAYAN</t>
  </si>
  <si>
    <t>DEPARTMENT OF TRADE AND INDUSTRY - BUKIDNON</t>
  </si>
  <si>
    <t>BALULANG ELEMENTARY SCHOOL - CAGAYAN DE ORO CITY</t>
  </si>
  <si>
    <t>BARANGAY CORTES - BASILISA, DINAGAT ISLAND</t>
  </si>
  <si>
    <t>MUNICIPALITY OF MOBO, MASBATE</t>
  </si>
  <si>
    <t>BARANGAY CODON - SAN ANDRES CATANDUANES</t>
  </si>
  <si>
    <t>PROVINCE OF PALAWAN</t>
  </si>
  <si>
    <t>BARANGAY TAM-IS - MAASIN CITY SOUTHERN LEYTE</t>
  </si>
  <si>
    <t>BARANGAY VIZCAYA - PRESIDENT ROXAS, CAPIZ</t>
  </si>
  <si>
    <t>BARANGA YPANGAPISAN  -  ALAMINOS CITY,  PANGASINAN</t>
  </si>
  <si>
    <t>BARANGAY MARIA, LAUA-AN, ANTIQUE</t>
  </si>
  <si>
    <t>BUREAU OF FIRE PROTECTION - NATIONAL HEADQUARTERS</t>
  </si>
  <si>
    <t>MUNICIPALITY OF SAN ENRIQUE, NEGROS OCCIDENTAL</t>
  </si>
  <si>
    <t>PROVINCE OF NUEVA ECIJA</t>
  </si>
  <si>
    <t>BARANGAY 210 ZONE 19 DISTRICT II</t>
  </si>
  <si>
    <t>NATIONAL IRRIGATION ADMINISTRATION - COTABATO IMO</t>
  </si>
  <si>
    <t>ANDRES BONIFACIO ELEMENTARY SCHOOL</t>
  </si>
  <si>
    <t>MUNICIPALITY OF LAWAAN, EASTERN SAMAR</t>
  </si>
  <si>
    <t>MUNICIPALITY OF BUGUIAS, BENGUET</t>
  </si>
  <si>
    <t>BARANGAY SOUTHSIDE, MAKATI CITY</t>
  </si>
  <si>
    <t>BARANGAY 455 ZONE 45, MANILA</t>
  </si>
  <si>
    <t>BARANGAY CALIMPAK, GUINAYANGAN, QUEZON</t>
  </si>
  <si>
    <t>PHILIPPINE GUARANTEE CORPORATION</t>
  </si>
  <si>
    <t>TRES ANDANAS ELEMENTARY SCHOOL</t>
  </si>
  <si>
    <t>BARANGAY MAYOMBO, DAGUPAN CITY</t>
  </si>
  <si>
    <t>BARANGAY SAN PEDRO - QUINAPONDAN EASTERN SAMAR</t>
  </si>
  <si>
    <t>BARANGAY 344, ZONE 35, DISTRICT 111, MANILA</t>
  </si>
  <si>
    <t>BARANGAY CALAPE - PAYAO ZAMBOANGA SIBUGAY</t>
  </si>
  <si>
    <t>PUBLIC-PRIVATE PARTNERSHIP (PPP) CENTER OF THE PHILIPPI</t>
  </si>
  <si>
    <t>BARANGAY LABATAN -  PAYAO, ZAMBOANGA SIBUGAY</t>
  </si>
  <si>
    <t>BARANGAY GUIOB, ALCANTARA, ROMBLON</t>
  </si>
  <si>
    <t>PHILIPPINE STATISTICS AUTHORITY - REGION VI</t>
  </si>
  <si>
    <t>MUNICIPALITY OF CARMEN, DAVAO DEL NORTE</t>
  </si>
  <si>
    <t>MUNICIPALITY OF NAMPICUAN, NUEVA ECIJA</t>
  </si>
  <si>
    <t>MUNICIPALITY OF PADRE GARCIA, BATANGAS</t>
  </si>
  <si>
    <t>MUNICIPALITY OF LA PAZ, AGUSAN DEL SUR</t>
  </si>
  <si>
    <t>MUNICIPALITY OF SILAGO, SOUTHERN LEYTE</t>
  </si>
  <si>
    <t>INDANG WATER DISTRICT</t>
  </si>
  <si>
    <t>BARANGAY MABILOG, CONCEPCION, TARLAC</t>
  </si>
  <si>
    <t>MUNICIPALITY OF JAVIER, LEYTE</t>
  </si>
  <si>
    <t>EASTERN SAMAR STATE UNIVERSITY - BORONGAN CITY</t>
  </si>
  <si>
    <t>MUNICIPALITY OF NABAS, AKLAN</t>
  </si>
  <si>
    <t>DEPARTMENT OF PUBLIC WORKS AND HIGHWAYS - CAGAYAN DE ORO CIT</t>
  </si>
  <si>
    <t>CITY OF LIGAO, ALBAY</t>
  </si>
  <si>
    <t>DEPARTMENT OF PUBLIC WORKS AND HIGHWAYS - CAR</t>
  </si>
  <si>
    <t>BARANGAY SASA, DAVAO CITY</t>
  </si>
  <si>
    <t>MUNICIPALITY OF STO. DOMINGO, ALBAY</t>
  </si>
  <si>
    <t>BARANGAY A. BONIFACIO SUR, LLANERA, NUEVA ECIJA</t>
  </si>
  <si>
    <t>DEPARTMENT OF PUBLIC WORKS AND HIGHWAYS - SAMAR 1ST DEO</t>
  </si>
  <si>
    <t>CIVIL AVIATION AUTHORITY OF THE PHILIPPINES - GEN. SANTOS</t>
  </si>
  <si>
    <t>PAMPANGA HIGH SCHOOL</t>
  </si>
  <si>
    <t>METRO LIPA WATER DISTRICT</t>
  </si>
  <si>
    <t>LAGUNA STATE POLYTECHNIC UNIVERSITY - LOS BAÑOS CAMPUS</t>
  </si>
  <si>
    <t>OCCUPATIONAL SAFETY AND HEALTH CENTER</t>
  </si>
  <si>
    <t>MUNICIPALITY OF TIAONG, QUEZON</t>
  </si>
  <si>
    <t>DEPARTMENT OF SCIENCE AND TECHNOLOGY - REGION IV-B</t>
  </si>
  <si>
    <t>DINALUPIHAN WATER DISTRICT</t>
  </si>
  <si>
    <t>MUNICIPALITY OF MALALAG, DAVAO DEL SUR</t>
  </si>
  <si>
    <t>BARANGAY SAN PEDRO, MOLO, ILOILO CITY</t>
  </si>
  <si>
    <t>DEPARTMENT OF PUBLIC WORKS AND HIGHWAYS - LA UNION 2ND ED</t>
  </si>
  <si>
    <t>NATIONAL IRRIGATION ADMINISTRATION - LAMISCA IMO</t>
  </si>
  <si>
    <t>DEPARTMENT OF SOCIAL WELFARE AND DEVELOPMENT - REGION VII</t>
  </si>
  <si>
    <t>NEGROS ORIENTAL STATE UNIVERSITY</t>
  </si>
  <si>
    <t>BARANGAY 3, MALAYBALAY CITY, BUKIDNON</t>
  </si>
  <si>
    <t>CORAZON LOCSIN MONTELIBANO MEMORIAL REGIONAL HOSPITAL-DOH R6</t>
  </si>
  <si>
    <t>BICOL REGION GENERAL HOSPITAL AND GERIATRIC MEDICAL CENTER(F</t>
  </si>
  <si>
    <t>CITY OF SAN JOSE, NUEVA ECIJA</t>
  </si>
  <si>
    <t>MUNICIPALITY OF MONKAYO, COMPOSTELA VALLEY</t>
  </si>
  <si>
    <t>DEPARTMENT OF ENVIRONMENT AND NATURAL RES. - PENRO, ILOCOS S</t>
  </si>
  <si>
    <t>PROVINCE OF MARINDUQUE</t>
  </si>
  <si>
    <t>DEPARTMENT OF PUBLIC WORKS AND HIGHWAYS - DAVAO ORIENTAL 2ND</t>
  </si>
  <si>
    <t>CENTER FOR HEALTH DEVELOPMENT - REGION I</t>
  </si>
  <si>
    <t>MUNICIPALITY OF DONSOL, SORSOGON</t>
  </si>
  <si>
    <t>SURIGAO DEL SUR STATE UNIVERSITY</t>
  </si>
  <si>
    <t>BUREAU OF FISHERIES AND AQUATIC RESOURCES - CAR</t>
  </si>
  <si>
    <t>AGRICULTURAL TRAINING INSTITUTE - REGION III</t>
  </si>
  <si>
    <t>CITY OF BATANGAS, BATANGAS</t>
  </si>
  <si>
    <t>BARANGAY POTONG DEL NORTE - LAPINIG NORTHERN SAMAR</t>
  </si>
  <si>
    <t>DEPARTMENT OF EDUCATION - DIVISION OF KIDAPAWAN CITY</t>
  </si>
  <si>
    <t>BARANGAY SAN ISIDRO - BOBON NORTHERN SAMAR</t>
  </si>
  <si>
    <t>DEPARTMENT OF EDUCATION - DIVISION OF SIQUIJOR</t>
  </si>
  <si>
    <t>DEPARTMENT OF AGRICULTURE - CARFU</t>
  </si>
  <si>
    <t>MUNICIPALITY OF RONDA, CEBU</t>
  </si>
  <si>
    <t>DEPARTMENT OF EDUCATION - DIVISION OF BENGUET</t>
  </si>
  <si>
    <t>TANDAG CITY WATER DISTRICT</t>
  </si>
  <si>
    <t>DEPARTMENT OF LABOR AND EMPLOYMENT - REGION VIII</t>
  </si>
  <si>
    <t>DEPARTMENT OF PUBLIC WORKS AND HIGHWAYS - ILOCOS SUR 2ND DEO</t>
  </si>
  <si>
    <t>BARANGAY PAGCOLBON, RAPU-RAPU, ALBAY</t>
  </si>
  <si>
    <t>PHILIPPINE HEALTH INSURANCE CORPORATION - REGION VI</t>
  </si>
  <si>
    <t>MUNICIPALITY OF CAGWAIT, SURIGAO DEL SUR</t>
  </si>
  <si>
    <t>DEPARTMENT OF PUBLIC WORKS AND HIGHWAYS - CEBU 3RD DEO</t>
  </si>
  <si>
    <t>NATIONAL TELECOMMUNICATIONS COMMISSION</t>
  </si>
  <si>
    <t>DEPARTMENT OF  EDUCATION - DIVISION OF SAN CARLOS CITY</t>
  </si>
  <si>
    <t>DEPARTMENT OF TOURISM - REGION III</t>
  </si>
  <si>
    <t>BARANGAY BARBARANGAY BANNA ILOCOS NORTE</t>
  </si>
  <si>
    <t>ALAI CENTRAL ELEMENTARY SCHOOL - MANOLO FORTICH BUKIDNON</t>
  </si>
  <si>
    <t>MUNICIPALITY OF SAN MIGUEL, SURIGAO DEL SUR</t>
  </si>
  <si>
    <t>LASAM INSTITUTE OF TECHNOLOGY</t>
  </si>
  <si>
    <t>OLANGO ELEMENTARY SCHOOL - MALLIG ISABELA</t>
  </si>
  <si>
    <t>MUNICIPALITY OF HERMOSA, BATAAN</t>
  </si>
  <si>
    <t>MUNICIPALITY OF ATIMONAN, QUEZON</t>
  </si>
  <si>
    <t>JERUSALEM NATIONAL HIGH SCHOOL - CADIZ CITY NEGROS OCCIDENTA</t>
  </si>
  <si>
    <t>UNIVERSITY OF THE PHILIPPINES - OPEN UNIVERSITY</t>
  </si>
  <si>
    <t>BARANGAY PULONG ANAHAO, MABINI, BATANGAS</t>
  </si>
  <si>
    <t>DEPARTMENT OF PUBLIC WORKS AND HIGHWAYS - QUEZON 3RD ED</t>
  </si>
  <si>
    <t>MUNICIPALITY OF SAINT BERNARD, SOUTHERN LEYTE</t>
  </si>
  <si>
    <t>DEPARTMENT OF PUBLIC WORKS AND HIGHWAYS - REGION VIII</t>
  </si>
  <si>
    <t>DEPARTMENT OF ENVIRONMENT AND NATURAL RES. - PENRO, AKLAN</t>
  </si>
  <si>
    <t>PROFESSIONAL REGULATION COMMISSION - REGION XI</t>
  </si>
  <si>
    <t>DEPARTMENT OF TRADE AND INDUSTRY - BENGUET</t>
  </si>
  <si>
    <t>DEPARTMENT OF SCIENCE AND TECHNOLOGY - REGION XI</t>
  </si>
  <si>
    <t>MUNICIPALITY OF CAMALIG, ALBAY</t>
  </si>
  <si>
    <t>MUNICIPALITY OF IVISAN, CAPIZ</t>
  </si>
  <si>
    <t>DEPARTMENT OF THE INTERIOR AND LOCAL GOVERNMENT - MAIN</t>
  </si>
  <si>
    <t>DEPARTMENT OF PUBLIC WORKS AND HIGHWAYS - REGION III</t>
  </si>
  <si>
    <t>BARANGAY MANILA, RAPU-RAPU, ALBAY</t>
  </si>
  <si>
    <t>CAPIZ STATE UNIVERSITY - CENTRAL ADMINISTRATION</t>
  </si>
  <si>
    <t>CIVIL AVIATION AUTHORITY OF THE PHILIPPINES - CALBAYOG AIRPO</t>
  </si>
  <si>
    <t>DEPARTMENT OF EDUCATION - DIVISION OF LEGAZPI CITY</t>
  </si>
  <si>
    <t>MUNICIPALITY OF BALANGIGA, EASTERN SAMAR</t>
  </si>
  <si>
    <t>MUNICIPALITY OF BANI, PANGASINAN</t>
  </si>
  <si>
    <t>VICTORIAS ELEMENTARY SCHOOL - VICTORIAS CITY NEGROS OCCIDENT</t>
  </si>
  <si>
    <t>BALINGASAG WATER DISTRICT</t>
  </si>
  <si>
    <t>MARIANO MARCOS MEMORIAL HOSPITAL AND MEDICAL CENTER</t>
  </si>
  <si>
    <t>CITY  OF DANAO, CEBU</t>
  </si>
  <si>
    <t>OFFICE OF THE PRESIDENTIAL ADVISER ON THE PEACE PROCESS</t>
  </si>
  <si>
    <t>PHILIPPINE STATISTICS AUTHORITY - REGION IV-B</t>
  </si>
  <si>
    <t>PHILIPPINE NATIONAL RAILWAYS</t>
  </si>
  <si>
    <t>MUNICIPALITY OF BINANGONAN, RIZAL</t>
  </si>
  <si>
    <t>NATIONAL FOOD AUTHORITY - REGION VIII</t>
  </si>
  <si>
    <t>DEPARTMENT OF EDUCATION - DIVISION OF BALANGA CITY</t>
  </si>
  <si>
    <t>SAN JOSE INTEGRATED SCHOOL</t>
  </si>
  <si>
    <t>DEPARTMENT OF EDUCATION DIVISION OF DAVAO OCCIDENTAL</t>
  </si>
  <si>
    <t>DEPARTMENT OF PUBLIC WORKS AND HIGHWAYS - DAVAO OCCIDENTAL D</t>
  </si>
  <si>
    <t>BAYBAY CITY WATER DISTRICT</t>
  </si>
  <si>
    <t>BUREAU OF FISHERIES AND AQUATIC RESOURCES CARAGA</t>
  </si>
  <si>
    <t>MUNICIPALITY OF SAN ISIDRO, SURIGAO DEL NORTE</t>
  </si>
  <si>
    <t>BARANGAY DOLORES, SAN PABLO CITY, LAGUNA</t>
  </si>
  <si>
    <t>BARANGAY UMALO, LIBMANAN, CAMARINES SUR</t>
  </si>
  <si>
    <t>STA. QUITERIA ELEMENTARY SCHOOL</t>
  </si>
  <si>
    <t>TALISAY DISTRICT HOSPITAL</t>
  </si>
  <si>
    <t>SUM-AG NATIONAL HIGH SCHOOL</t>
  </si>
  <si>
    <t>BUREAU OF FISHERIES AND AQUATIC RESOURCES</t>
  </si>
  <si>
    <t>BARANGAY SAN MIGUEL, OAS, ALBAY</t>
  </si>
  <si>
    <t>BUREAU OF FISHERIES AND AQUATIC RESOURCES REGION 1</t>
  </si>
  <si>
    <t>MUNICIPALITY OF VILLAVICIOSA, ABRA</t>
  </si>
  <si>
    <t>DEPARTMENT OF TRANSPORTATION (DOTR) MAIN</t>
  </si>
  <si>
    <t>NATIONAL ELECTRIFICATION ADMINISTRATION</t>
  </si>
  <si>
    <t>DEPARTMENT OF PUBLIC WORKS AND HIGHWAYS - LEYTE 1ST ED</t>
  </si>
  <si>
    <t>BARANGAY PUHAGAN, VALENCIA, NEGROS ORIENTAL</t>
  </si>
  <si>
    <t>BARANGAY POTOT, LIBMANAN, CAMARINES SUR</t>
  </si>
  <si>
    <t>BARANGAY SERRANO, DULAG, LEYTE</t>
  </si>
  <si>
    <t>DR. E. B. ESPINOSA, SR. MEMORIAL STATE COL OF AGRIC AND TECH</t>
  </si>
  <si>
    <t>DEPARTMENT OF PUBLIC WORKS AND HIGHWAYS - QUEZON 4TH ED</t>
  </si>
  <si>
    <t>ADELINA 1 COMPLEX ELEMENTARY SCHOOL</t>
  </si>
  <si>
    <t>BARANGAY BOLILAO, MANDURRIAO, ILOILO CITY</t>
  </si>
  <si>
    <t>SOUTHERN PHILIPPINES MEDICAL CENTER</t>
  </si>
  <si>
    <t>LOCAL GOVERNMENT UNIT OF OTON, ILOILO</t>
  </si>
  <si>
    <t>BARANGAY BAGTING, GABALDON, NUEVA ECIJA</t>
  </si>
  <si>
    <t>BUSCO ELEMENTARY SCHOOL</t>
  </si>
  <si>
    <t>MINES AND GEO-SCIENCES BUREAU</t>
  </si>
  <si>
    <t xml:space="preserve">DEPARTMENT OF THE INTERIOR AND LOCAL GOVERNMENT - CAMARINES </t>
  </si>
  <si>
    <t xml:space="preserve">DEPARTMENT OF PUBLIC WORKS AND HIGHWAYS - CAMARINES SUR 5TH </t>
  </si>
  <si>
    <t xml:space="preserve">BARANGAY SALA </t>
  </si>
  <si>
    <t>CIELITO ZAMORA HIGH SCHOOL</t>
  </si>
  <si>
    <t>MUNICIPALITY OF PILILLA, RIZAL</t>
  </si>
  <si>
    <t>DEVELOPMENT BANK  OF  THE  PHILIPPINES - REGION XI</t>
  </si>
  <si>
    <t>CITY  OF ESCALANTE, NEGROS OCCIDENTAL</t>
  </si>
  <si>
    <t>DEPARTMENT OF AGRICULTURE - REGION IX</t>
  </si>
  <si>
    <t>MUNICIPALITY OF SAN LORENZO, GUIMARAS</t>
  </si>
  <si>
    <t>MUNICIPALITY OF PLARIDEL, MISAMIS OCCIDENTAL</t>
  </si>
  <si>
    <t>TALAVERA GENERAL HOSPITAL</t>
  </si>
  <si>
    <t>DEPARTMENT OF PUBLIC WORKS AND HIGHWAYS - MISAMIS ORIENTAL 1</t>
  </si>
  <si>
    <t>PRESIDENTIAL COMMUNICATIONS OPERATIONS OFFICE</t>
  </si>
  <si>
    <t>STA. JUSTINA NATIONAL HIGH SCHOOL - BUHI CAMARINES SUR</t>
  </si>
  <si>
    <t>MUNICIPALITY OF ARINGAY, LA UNION</t>
  </si>
  <si>
    <t>SAGAD HIGH SCHOOL</t>
  </si>
  <si>
    <t>OLD POBLACION NATIONAL HIGH SCHOOL</t>
  </si>
  <si>
    <t>DEPARTMENT OF PUBLIC WORKS AND HIGHWAYS - RIZAL II DEO</t>
  </si>
  <si>
    <t>MUNICIPALITY OF STO. TOMAS, BATANGAS</t>
  </si>
  <si>
    <t>BARANGAY MILAGROSA, QUEZON CITY</t>
  </si>
  <si>
    <t>TECHNOLOGICAL UNIVERSITY OF THE PHILIPPINES - MANILA CAMPUS</t>
  </si>
  <si>
    <t>BARANGAY SIBAGO, PINAMUNGAJAN, CEBU</t>
  </si>
  <si>
    <t>PRESIDENTIAL MANAGEMENT STAFF</t>
  </si>
  <si>
    <t>DEPARTMENT OF  EDUCATION - DIVISION OF MALOLOS CITY</t>
  </si>
  <si>
    <t>TIGLAWIGAN NATIONAL HIGH SCHOOL</t>
  </si>
  <si>
    <t>MUNICIPALITY OF BALABAC, PALAWAN</t>
  </si>
  <si>
    <t>BARANGAY SAN BLAS, PAOAY ILOCOS NORTE</t>
  </si>
  <si>
    <t>BARANGAY LIGA IBAAN BATANGAS</t>
  </si>
  <si>
    <t>MUNICIPALITY OF PROSPERIDAD, AGUSAN DEL SUR</t>
  </si>
  <si>
    <t>NATIONAL HOME MORTGAGE FINANCE CORPORATION</t>
  </si>
  <si>
    <t>EL NIDO NATIONAL HIGH SCHOOL - PALAWAN</t>
  </si>
  <si>
    <t>DEPARTMENT OF NATIONAL DEFENSE - PROCUREMENT UNIT</t>
  </si>
  <si>
    <t>CADUHA-AN NATIONAL HIGH SCHOOL</t>
  </si>
  <si>
    <t>BULACAN AGRICULTURAL STATE COLLEGE</t>
  </si>
  <si>
    <t>BARANGAY CROSSING DAPUYAN SAN JOAQUIN ILOILO</t>
  </si>
  <si>
    <t>NAPICO ELEMENTARY SCHOOL</t>
  </si>
  <si>
    <t>BARANGAY CROSSING BAYABAS, DAVAO CITY</t>
  </si>
  <si>
    <t>COMMISSION ON HIGHER EDUCATION - REGION VII</t>
  </si>
  <si>
    <t>DEPARTMENT OF  EDUCATION - DIVISION OF OLONGAPO CITY</t>
  </si>
  <si>
    <t>CITY GOVERNMENT OF NAVOTAS</t>
  </si>
  <si>
    <t>DEPARTMENT OF SOCIAL WELFARE AND DEVELOPMENT - REGION VI</t>
  </si>
  <si>
    <t>BARANGAY PINILI, SAN JOSE CITY, NUEVA ECIJA</t>
  </si>
  <si>
    <t>FR. WILLIAM MASTERSON SJ ELEMENTARY SCHOOL</t>
  </si>
  <si>
    <t>BAESA HIGH SCHOOL</t>
  </si>
  <si>
    <t>OCCIDENTAL MINDORO STATE COLLEGE</t>
  </si>
  <si>
    <t>MUNICIPALITY OF LUBAO, PAMPANGA</t>
  </si>
  <si>
    <t>MUNICIPALITY OF MANOLO FORTICH, BUKIDNON</t>
  </si>
  <si>
    <t>LAS PIÑAS GENERAL HOSPITAL AND SATELLITE TRAUMA CENTER</t>
  </si>
  <si>
    <t>DEPARTMENT OF TRADE AND INDUSTRY - REGION I</t>
  </si>
  <si>
    <t>BARANGAY STA. MONICA, AGOO, LA UNION</t>
  </si>
  <si>
    <t>OLD NONGNONGAN NATIONAL HIGH SCHOOL</t>
  </si>
  <si>
    <t>CITY OF ILOILO</t>
  </si>
  <si>
    <t>MUNICIPALITY OF BURAUEN, LEYTE</t>
  </si>
  <si>
    <t>MUNTINLUPA NATIONAL HIGH SCHOOL - TUNASAN ANNEX</t>
  </si>
  <si>
    <t>BATAAN GENERAL HOSPITAL AND MEDICAL CENTER</t>
  </si>
  <si>
    <t>BARANGAY DIVISORIA SUR, MADDELA, QUIRINO</t>
  </si>
  <si>
    <t>PROVINCE OF ROMBLON</t>
  </si>
  <si>
    <t>DEPARTMENT OF PUBLIC WORKS AND HIGHWAYS - SORSOGON 2ND DEO</t>
  </si>
  <si>
    <t>BARANGAY PANUBIGAN - CANLAON CITY NEGROS ORIENTAL</t>
  </si>
  <si>
    <t>PROVINCE OF ILOCOS NORTE</t>
  </si>
  <si>
    <t>MUNICIPALITY OF SIAY, ZAMBOANGA SIBUGAY</t>
  </si>
  <si>
    <t>DEPARTMENT OF HEALTH - NCR REGIONAL OFFICE(DOH-NCRO)</t>
  </si>
  <si>
    <t>MUNICIPALITY OF SAN JOSE, BATANGAS</t>
  </si>
  <si>
    <t>DOH-REGIONAL OFFICE IV-A</t>
  </si>
  <si>
    <t>CAGAYAN DE ORO CITY WATER DISTRICT</t>
  </si>
  <si>
    <t>MUNICIPALITY OF LEMERY, BATANGAS</t>
  </si>
  <si>
    <t>TERESA WATER DISTRICT</t>
  </si>
  <si>
    <t>BARANGAY VILLA REYES, SAN NARCISO, QUEZON</t>
  </si>
  <si>
    <t>BARANGAY SAN VICENTE - PAMPLONA CAMARINES SUR</t>
  </si>
  <si>
    <t>MUNICIPALITY OF BUGASONG, ANTIQUE</t>
  </si>
  <si>
    <t>ENVIRONMENTAL MANAGEMENT BUREAU - CAR, DENR</t>
  </si>
  <si>
    <t>BARANGAY ALBALATE, CATBALOGAN, SAMAR</t>
  </si>
  <si>
    <t>BARANGAY SAN SALVADOR, MADDELA, QUIRINO</t>
  </si>
  <si>
    <t>BARANGAY VILLA SUR, MADDELA, QUIRINO</t>
  </si>
  <si>
    <t>DEPARTMENT OF PUBLIC WORKS AND HIGHWAYS SARANGANI DISTRICT E</t>
  </si>
  <si>
    <t>CITY OF DAGUPAN  - PANGASINAN</t>
  </si>
  <si>
    <t>MUNICIPALITY OF KALIBO, AKLAN</t>
  </si>
  <si>
    <t>BARANGAY TULO, BATANGAS CITY, BATANGAS</t>
  </si>
  <si>
    <t>ODIONGAN WATER DISTRICT</t>
  </si>
  <si>
    <t>MUNICIPALITY OF MAUBAN, QUEZON</t>
  </si>
  <si>
    <t>PROVINCE OF NORTHERN SAMAR</t>
  </si>
  <si>
    <t>NATIONAL FOOD AUTHORITY - BATANGAS</t>
  </si>
  <si>
    <t>MUNICIPALITY OF SURALLAH, SOUTH COTABATO</t>
  </si>
  <si>
    <t>BARANGAY SAN PEDRO, MADDELA, QUIRINO</t>
  </si>
  <si>
    <t>BARANGAY SIBUT, SAN JOSE CITY, NUEVA ECIJA</t>
  </si>
  <si>
    <t>BARANGAY POBLACION NORTE, MADDELA, QUIRINO</t>
  </si>
  <si>
    <t>BARANGAY TIGBINAN, LABO, CAMARINES NORTE</t>
  </si>
  <si>
    <t>BUREAU OF INTERNAL REVENUE - REVENUE REGION NO.18</t>
  </si>
  <si>
    <t>CITY OF ORMOC, LEYTE</t>
  </si>
  <si>
    <t>KAPATAGAN WATER DISTRICT</t>
  </si>
  <si>
    <t>BARANGAY BUAYAHON, SANTA BARBARA, ILOILO</t>
  </si>
  <si>
    <t>PHILIPPINE ORTHOPEDIC CENTER</t>
  </si>
  <si>
    <t>MUNICIPALITY OF UPI, MAGUINDANAO</t>
  </si>
  <si>
    <t>MUNICIPALITY OF CANDELARIA, QUEZON</t>
  </si>
  <si>
    <t>DEPARTMENT OF SOCIAL WELFARE AND DEVELOPMENT - REGION III</t>
  </si>
  <si>
    <t>BARANGAY KAUNLARAN - QUEZON CITY</t>
  </si>
  <si>
    <t>MUNICIPALITY OF MABINAY, NEGROS ORIENTAL</t>
  </si>
  <si>
    <t>MUNICIPALITY OF UNISAN, QUEZON</t>
  </si>
  <si>
    <t>DONA A.BARRERA MEMORIAL SCHOOL-ENRIQUE B. MAGALONA NEGROS OC</t>
  </si>
  <si>
    <t>MUNICIPALITY OF INFANTA, QUEZON</t>
  </si>
  <si>
    <t>DEPARTMENT OF PUBLIC WORKS AND HIGHWAYS - BAGUIO CITY DEO</t>
  </si>
  <si>
    <t>DEPARTMENT OF SCIENCE AND TECHNOLOGY - REGION - VIII</t>
  </si>
  <si>
    <t>NATIONAL IRRIGATION ADMINISTRATION - SKIMO</t>
  </si>
  <si>
    <t>PROVINCE OF BATANGAS</t>
  </si>
  <si>
    <t>ROXAS CITY GOVERNMENT</t>
  </si>
  <si>
    <t>MUNICIPALITY OF SAN NARCISO, QUEZON</t>
  </si>
  <si>
    <t>SENATOR RENATO COMPAÑERO CAYETANO MEMORIAL SCIENCE &amp; TECHNOL</t>
  </si>
  <si>
    <t>PAMANTASAN NG LUNGSOD NG MAYNILA</t>
  </si>
  <si>
    <t>BARANGAY MANGGA, SIPOCOT, CAMARINES SUR</t>
  </si>
  <si>
    <t>BARANGAY BOBON, LEON, ILOILO</t>
  </si>
  <si>
    <t>MUNICIPALITY OF SAN ROQUE - NORTHERN SAMAR</t>
  </si>
  <si>
    <t>DEPARTMENT OF PUBLIC WORKS AND HIGHWAYS - PALAWAN 2ND DEO</t>
  </si>
  <si>
    <t>BARANGAY KAPASIGAN, PASIG CITY</t>
  </si>
  <si>
    <t>MUNICIPALITY OF LINGAYEN, PANGASINAN</t>
  </si>
  <si>
    <t>DON RICARDO JESENA SR. ELEMENTARY SCHOOL</t>
  </si>
  <si>
    <t>BARANGAY CENTRO WEST, BALLESTEROS, CAGAYAN</t>
  </si>
  <si>
    <t>BARANGAY EXCIBAN, LABO, CAMARINES NORTE</t>
  </si>
  <si>
    <t>MUNICIPALITY OF TAGO, SURIGAO DEL SUR</t>
  </si>
  <si>
    <t>MUNICIPALITY OF DARAM, SAMAR</t>
  </si>
  <si>
    <t>MUNICIPALITY OF CABATUAN, ILOILO</t>
  </si>
  <si>
    <t>DEPARTMENT OF PUBLIC WORKS AND HIGHWAYS - METRO MANILA 3RD E</t>
  </si>
  <si>
    <t>NATIONAL MUSEUM - MANILA METRO MANILA</t>
  </si>
  <si>
    <t>MUNICIPALITY OF TUBIGON, BOHOL</t>
  </si>
  <si>
    <t>CITY OF GINGOOG, MISAMIS ORIENTAL</t>
  </si>
  <si>
    <t>CITY OF MALAYBALAY, BUKIDNON</t>
  </si>
  <si>
    <t>BARANGAY  BOKIAWAN - KIANGAN IFUGAO</t>
  </si>
  <si>
    <t>DEPARTMENT OF PUBLIC WORKS AND HIGHWAYS - MINDORO OCCIDENTAL</t>
  </si>
  <si>
    <t>MUNICIPALITY OF STA. TERESITA, CAGAYAN</t>
  </si>
  <si>
    <t>DEPARTMENT OF PUBLIC WORKS AND HIGHWAYS - SURIGAO DEL SUR 1S</t>
  </si>
  <si>
    <t>DEPARTMENT OF AGRARIAN REFORM - APAYAO</t>
  </si>
  <si>
    <t>MUNICIPALITY OF BACO, ORIENTAL MINDORO</t>
  </si>
  <si>
    <t>MUNICIPALITY OF BURGOS, PANGASINAN</t>
  </si>
  <si>
    <t>MUNICIPALITY OF ODIONGAN, ROMBLON</t>
  </si>
  <si>
    <t>MUNICIPALITY OF ILOG, NEGROS OCCIDENTAL</t>
  </si>
  <si>
    <t>MUNICIPALITY OF ANDA, PANGASINAN</t>
  </si>
  <si>
    <t>MUNICIPALITY OF SOLANO, NUEVA VIZCAYA</t>
  </si>
  <si>
    <t>CITY OF OROQUIETA, MISAMIS OCCIDENTAL</t>
  </si>
  <si>
    <t>CITY OF DUMAGUETE, NEGROS ORIENTAL</t>
  </si>
  <si>
    <t>CITY OF EL SALVADOR, MISAMIS ORIENTAL</t>
  </si>
  <si>
    <t>AGRICULTURAL TRAINING INSTITUTE - REGION XII</t>
  </si>
  <si>
    <t>MUNICIPALITY OF MAMBAJAO, CAMIGUIN</t>
  </si>
  <si>
    <t>MUNICIPALITY OF PINTUYAN, SOUTHERN LEYTE</t>
  </si>
  <si>
    <t>BARANGAY LIBAS, CATBALOGAN, SAMAR</t>
  </si>
  <si>
    <t>BARANGAY WASIG, MANSALAY, ORIENTAL MINDORO</t>
  </si>
  <si>
    <t>MUNICIPALITY OF ALICIA, BOHOL</t>
  </si>
  <si>
    <t>BARANGAY BAGONG SIKAT, AGONCILLO, BATANGAS</t>
  </si>
  <si>
    <t>MUNICIPALITY OF TALAKAG, BUKIDNON</t>
  </si>
  <si>
    <t>DEPARTMENT OF ENVIRONMENT AND NATURAL RESOURCES - REGION V</t>
  </si>
  <si>
    <t>DEPARTMENT OF PUBLIC WORKS AND HIGHWAYS - NEG. OCC. 2ND DEO</t>
  </si>
  <si>
    <t>PROVINCE OF CAGAYAN</t>
  </si>
  <si>
    <t>MUNICIPALITY OF IGUIG, CAGAYAN</t>
  </si>
  <si>
    <t>NATIONAL ECONOMIC AND DEVELOPMENT AUTHORITY - CAR</t>
  </si>
  <si>
    <t>DEPARTMENT OF AGRICULTURE - PANGASINAN PROVINCIAL CENTER</t>
  </si>
  <si>
    <t>BARANGAY SAN RAFAEL LUISIANA, LAGUNA</t>
  </si>
  <si>
    <t>MUNICIPALITY OF NAGTIPUNAN, QUIRINO</t>
  </si>
  <si>
    <t>MUNICIPALITY OF RIZAL, ZAMBOANGA DEL NORTE</t>
  </si>
  <si>
    <t>CITY OF ANGELES, PAMPANGA</t>
  </si>
  <si>
    <t>MUNICIPALITY OF KALILANGAN, BUKIDNON</t>
  </si>
  <si>
    <t>BARANGAY UPPER SALUG DAKU, MAHAYAG, ZAMBOANGA DEL SUR</t>
  </si>
  <si>
    <t>SULTAN KUDARAT WATER DISTRICT</t>
  </si>
  <si>
    <t>BARANGAY MALINO, SAN FERNANDO CITY</t>
  </si>
  <si>
    <t>MUNICIPALITY OF SABTANG, BATANES</t>
  </si>
  <si>
    <t>BARANGAY MAHAGSAY, SAN LUIS, AGUSAN DEL SUR</t>
  </si>
  <si>
    <t>MUNICIPALITY OF STA. MARCELA, APAYAO</t>
  </si>
  <si>
    <t>MUNICIPALITY OF PADADA, DAVAO DEL SUR</t>
  </si>
  <si>
    <t>DEVELOPMENT ACADEMY OF THE PHILIPPINES</t>
  </si>
  <si>
    <t>MUNICIPALITY OF GUIMBA, NUEVA ECIJA</t>
  </si>
  <si>
    <t>PROVINCE OF BATAAN</t>
  </si>
  <si>
    <t>BARANGAY  AMBABAG - KIANGAN IFUGAO</t>
  </si>
  <si>
    <t>LINGATING INTEGRATED SCHOOL</t>
  </si>
  <si>
    <t>COMMISSION ON AUDIT - REGION XI</t>
  </si>
  <si>
    <t>BARANGAY BINUGAO TORIL DISTRICT</t>
  </si>
  <si>
    <t>COMMISSION ON AUDIT - COTABATO CITY</t>
  </si>
  <si>
    <t>CITY OF CALAPAN, ORIENTAL MINDORO</t>
  </si>
  <si>
    <t>PHILIPPINE CARABAO CENTER - KABACAN COTABATO</t>
  </si>
  <si>
    <t>BARANGAY SUMPONG, MALAYBALAY CITY</t>
  </si>
  <si>
    <t>BARANGAY ADIA, AGONCILLO, BATANGAS</t>
  </si>
  <si>
    <t>CIVIL AVIATION AUTHORITY OF THE PHILIPPINES - PANGLAO</t>
  </si>
  <si>
    <t>BARANGAY CONSUELO - STA. MARCELA APAYAO</t>
  </si>
  <si>
    <t>NATIONAL IRRIGATION ADMINISTRATION - REGION XI</t>
  </si>
  <si>
    <t>MUNICIPALITY OF SANTA CRUZ, LAGUNA</t>
  </si>
  <si>
    <t>BARANGAY CATULAYAN - SAN JUAN SIQUIJOR</t>
  </si>
  <si>
    <t>BUREAU OF FISHERIES AND AQUATIC RESOURCES - REGION XI</t>
  </si>
  <si>
    <t>DEPARTMENT OF PUBLIC WORKS AND HIGHWAYS - CEBU 4TH DEO</t>
  </si>
  <si>
    <t>BATANGAS MEDICAL CENTER</t>
  </si>
  <si>
    <t>MUNICIPALITY OF BAAO, CAMARINES SUR</t>
  </si>
  <si>
    <t>DEPARTMENT OF HEALTH - CHD, ZAMBOANGA PENINSULA</t>
  </si>
  <si>
    <t>BUREAU OF FISHERIES AND AQUATIC RESOURCES - REGION VII</t>
  </si>
  <si>
    <t>BARANGAY LIBSONG EAST, LINGAYEN, PANGASINAN</t>
  </si>
  <si>
    <t>LBP RESOURCES AND DEVELOPMENT CORPORATION</t>
  </si>
  <si>
    <t>MUNICIPALITY OF LABANGAN, ZAMBOANGA DEL SUR</t>
  </si>
  <si>
    <t>MUNICIPALITY OF LIBAGON, SOUTHERN LEYTE</t>
  </si>
  <si>
    <t>MUNICIPALITY OF COMPOSTELA, CEBU</t>
  </si>
  <si>
    <t>MUNICIPALITY OF GOA, CAMARINES SUR</t>
  </si>
  <si>
    <t>VICTORIA NATIONAL HIGH SCHOOL</t>
  </si>
  <si>
    <t>BARANGAY ROSITA, LIBJO, DINAGAT ISLANDS</t>
  </si>
  <si>
    <t>CITY OF ZAMBOANGA, ZAMBOANGA DEL SUR</t>
  </si>
  <si>
    <t>BARANGAY POBLACION, BAYUGAN, AGUSAN DEL SUR</t>
  </si>
  <si>
    <t>METRO MIDSAYAP WATER DISTRICT</t>
  </si>
  <si>
    <t>CITY OF KORONADAL, SOUTH COTABATO</t>
  </si>
  <si>
    <t>MUNICIPALITY OF SAN FERNANDO, CEBU</t>
  </si>
  <si>
    <t>MUNICIPALITY OF MAINIT, SURIGAO DEL NORTE</t>
  </si>
  <si>
    <t>BUREAU OF INTERNAL REVENUE - REVENUE REGION NO. 5</t>
  </si>
  <si>
    <t>DEPARTMENT OF SOCIAL WELFARE AND DEVELOPMENT - REGION XI</t>
  </si>
  <si>
    <t>MUNICIPALITY OF LIBON, ALBAY</t>
  </si>
  <si>
    <t>BARANGAY CADAWINONAN DUMAGUETE CITY NEGROS ORIENTAL</t>
  </si>
  <si>
    <t>BARANGAY SAN MARCELINO, TAYSAN, BATANGAS</t>
  </si>
  <si>
    <t>BARANGAY LUYONG BONBON, OPOL, MISAMIS ORIENTAL</t>
  </si>
  <si>
    <t>MUNICIPALITY OF RAGAY, CAMARINES SUR</t>
  </si>
  <si>
    <t>BARANGAY AGSALIN - GLORIA ORIENTAL MINDORO</t>
  </si>
  <si>
    <t>MUNICIPALITY OF BINUANGAN , MISAMIS ORIENTAL</t>
  </si>
  <si>
    <t>MUNICIPALITY OF LA LIBERTAD, NEGROS ORIENTAL</t>
  </si>
  <si>
    <t>NATIONAL IRRIGATION ADMINISTRATION - REGION 12</t>
  </si>
  <si>
    <t>DEPARTMENT OF PUBLIC WORKS AND HIGHWAYS - ILOCOS NORTE 2ND D</t>
  </si>
  <si>
    <t>MUNICIPALITY OF LUNA, ISABELA</t>
  </si>
  <si>
    <t>BARANGAY CARANHUG, JAVIER, LEYTE</t>
  </si>
  <si>
    <t>MUNICIPALITY OF ANAO, TARLAC</t>
  </si>
  <si>
    <t>BARANGAY SALVACION, STA. ELENA, CAMARINES NORTE</t>
  </si>
  <si>
    <t>MUNICIPALITY OF ALFONSO CASTAÑEDA, NUEVA VIZCAYA</t>
  </si>
  <si>
    <t>MUNICIPALITY OF BASCO, BATANES</t>
  </si>
  <si>
    <t>MUNICIPALITY OF PRES. MANUEL A. ROXAS, ZAMBOANGA DEL NORTE</t>
  </si>
  <si>
    <t>MUNICIPALITY OF SIBALOM, ANTIQUE</t>
  </si>
  <si>
    <t>MUNICIPALITY OF BAROBO, SURIGAO DEL SUR</t>
  </si>
  <si>
    <t>JOSE RIZAL MEMORIAL STATE UNIVERSITY - KATIPUNAN CAMPUS</t>
  </si>
  <si>
    <t>MUNICIPALITY OF PORO, CEBU</t>
  </si>
  <si>
    <t>BARANGAY SUMAGUI, BANSUD, ORIENTAL MINDORO</t>
  </si>
  <si>
    <t>BARANGAY GAKAT, LIBAGON, SOUTHERN LEYTE</t>
  </si>
  <si>
    <t>MUNICIPALITY OF AMLAN, NEGROS ORIENTAL</t>
  </si>
  <si>
    <t>DEVELOPMENT BANK OF THE PHILIPPINES - RMC-WESTERN MINDANAO</t>
  </si>
  <si>
    <t>BARANGAY TUMOG, LUNA, APAYAO</t>
  </si>
  <si>
    <t>BARANGAY STO. NINO, STO. DOMINGO, ALBAY</t>
  </si>
  <si>
    <t>BARANGAY BASIAD, STA. ELENA, CAMARINES  NORTE</t>
  </si>
  <si>
    <t>DEPARTMENT OF PUBLIC WORKS AND HIGHWAYS - LANAO DEL NORTE 1S</t>
  </si>
  <si>
    <t>CITY OF SAN CARLOS, NEGROS OCCIDENTAL</t>
  </si>
  <si>
    <t>MUNICIPALITY OF SAN FERNANDO, ROMBLON</t>
  </si>
  <si>
    <t>PROVINCE OF BOHOL</t>
  </si>
  <si>
    <t>MUNICIPALITY OF DINALUPIHAN, BATAAN</t>
  </si>
  <si>
    <t xml:space="preserve">DEPARTMENT OF PUBLIC WORKS AND HIGHWAYS - NUEVA VIZCAYA 2ND </t>
  </si>
  <si>
    <t>UMINGAN WATER DISTRICT</t>
  </si>
  <si>
    <t>BARANGAY 11-B, DAVAO CITY</t>
  </si>
  <si>
    <t>PARANG HIGH SCHOOL</t>
  </si>
  <si>
    <t>BARANGAY PACPACO, SAN MANUEL, TARLAC</t>
  </si>
  <si>
    <t>MUNICIPALITY OF CARMEN, BOHOL</t>
  </si>
  <si>
    <t xml:space="preserve">DEPARTMENT OF PUBLIC WORKS AND HIGHWAYS - ZAMBOANGA DEL SUR </t>
  </si>
  <si>
    <t>MUNICIPALITY OF SIBUTAD, ZAMBOANGA DEL NORTE</t>
  </si>
  <si>
    <t>NATIONAL IRRIGATION ADMINISTRATION - NIA MOMARO IMO</t>
  </si>
  <si>
    <t>BARANGAY ISAGANI-MAASIN CITY SOUTHERN LEYTE</t>
  </si>
  <si>
    <t>BARANGAY MARIBULAN, ALABEL, SARANGANI</t>
  </si>
  <si>
    <t>MUNICIPALITY OF JOSE PANGANIBAN, CAMARINES NORTE</t>
  </si>
  <si>
    <t>MARINDUQUE STATE COLLEGE</t>
  </si>
  <si>
    <t>MUNICIPALITY OF BAMBANG, NUEVA VIZCAYA</t>
  </si>
  <si>
    <t>BARANGAY BINALIAN - KAYAPA NUEVA VIZCAYA</t>
  </si>
  <si>
    <t>MUNICIPALITY OF DIMIAO, BOHOL</t>
  </si>
  <si>
    <t>ADELA SERRA TY MEMORIAL MEDICAL CENTER</t>
  </si>
  <si>
    <t>BARANGAY OF AYAO-IYAO, LEMERY, BATANGAS</t>
  </si>
  <si>
    <t>BARANGAY VILLA SOLIDARIDAD - BAYBAY CITY LEYTE</t>
  </si>
  <si>
    <t>MUNICIPALITY OF ALORAN, MISAMIS OCCIDENTAL</t>
  </si>
  <si>
    <t>BARANGAY SAN ISIDRO, STO. DOMINGO, ALBAY</t>
  </si>
  <si>
    <t>MUNICIPALITY OF SAN MARCELINO, ZAMBALES</t>
  </si>
  <si>
    <t>BANGKO SENTRAL NG PILIPINAS - CAGAYAN DE ORO CITY</t>
  </si>
  <si>
    <t>DEPARTMENT OF TRADE AND INDUSTRY - RIZAL PROVINCIAL OFFICE</t>
  </si>
  <si>
    <t>SALAWAGAN CENTRAL ELEMENTARY SCHOOL</t>
  </si>
  <si>
    <t>MUNICIPALITY OF TABINA, ZAMBOANGA DEL SUR</t>
  </si>
  <si>
    <t>LANDBANK OF THE PHILIPPINES - HEAD OFFICE</t>
  </si>
  <si>
    <t>DEPARTMENT OF BUDGET AND MANAGEMENT - NCR</t>
  </si>
  <si>
    <t>DEPARTMENT OF EDUCATION - DIVISION OF PAGADIAN CITY</t>
  </si>
  <si>
    <t>STA. MARIA WATER DISTRICT</t>
  </si>
  <si>
    <t>MUNICIPALITY OF GALIMUYOD, ILOCOS SUR</t>
  </si>
  <si>
    <t>DEPARTMENT OF PUBLIC WORKS AND HIGHWAYS - LANAO DEL NORTE 2N</t>
  </si>
  <si>
    <t>DEPARTMENT OF PUBLIC WORKS AND HIGHWAYS - MISAMIS OCCIDENTAL</t>
  </si>
  <si>
    <t>BARANGAY BULU-AN, CATBALOGAN CITY, SAMAR</t>
  </si>
  <si>
    <t>SAN ROQUE 2 ELEMENTARY SCHOOL - SAN JOSE OCCIDENTAL MINDORO</t>
  </si>
  <si>
    <t>NATIONAL IRRIGATION ADMINISTRATION - REGION III</t>
  </si>
  <si>
    <t>BARANGAY MALINAO, TORRIJOS, MARINDUQUE</t>
  </si>
  <si>
    <t>CITY OF PASIG</t>
  </si>
  <si>
    <t>CIVIL AVIATION AUTHORITY OF THE PHILIPPINES - SILAY AIRPORT</t>
  </si>
  <si>
    <t>CENTRAL BICOL STATE UNIVERSITY OF AGRICULTURE (CBSUA)</t>
  </si>
  <si>
    <t>MUNICIPALITY OF BAMBAN, TARLAC</t>
  </si>
  <si>
    <t xml:space="preserve">BARANGAY E. LOPEZ NATIONAL HIGH SCHOOL (JUNIOR HIGH SCHOOL) </t>
  </si>
  <si>
    <t>BARANGAY SAN ANTONIO, STO. TOMAS, BATANGAS</t>
  </si>
  <si>
    <t>NATIONAL IRRIGATION ADMINISTRATION - SOUTH COTABATO</t>
  </si>
  <si>
    <t>BARANGAY EL PARDO, BOLJOON, CEBU</t>
  </si>
  <si>
    <t>MUNICIPALITY OF ROXAS, ORIENTAL MINDORO</t>
  </si>
  <si>
    <t>MUNICIPALITY OF LAS NAVAS, NORTHERN SAMAR</t>
  </si>
  <si>
    <t>EUSTAQIUO LOPEZ ELEMENTARY SCHOOL</t>
  </si>
  <si>
    <t>MUNICIPALITY OF BANGA</t>
  </si>
  <si>
    <t>MUNICIPALITY OF VALLEHERMOSO, NEGROS</t>
  </si>
  <si>
    <t>BARANGAY STO. ANGEL, SAN MIGUEL, ILOILO</t>
  </si>
  <si>
    <t>MUNICIPALITY OF CALAPE, BOHOL</t>
  </si>
  <si>
    <t>PHILIPPINE SCIENCE HIGH SCHOOL - CALABARZON REGION CAMPUS</t>
  </si>
  <si>
    <t>BARANGAY KABULUAN, STA. ELENA, CAMARINES NORTE</t>
  </si>
  <si>
    <t>DEPARTMENT OF EDUCATION - DIVISION OF SIARGAO</t>
  </si>
  <si>
    <t>MUNICIPALITY OF TINAMBAC, CAMARINES SUR</t>
  </si>
  <si>
    <t>DEPARTMENT OF PUBLIC WORKS AND HIGHWAYS - ZAMBOANGA DEL NORT</t>
  </si>
  <si>
    <t>PHILIPPINE CHARITY SWEEPSTAKES OFFICE - MANDALUYONG CITY</t>
  </si>
  <si>
    <t>TOLEDO CITY WATER DISTRICT</t>
  </si>
  <si>
    <t>DEPARTMENT OF AGRARIAN REFORM - ILOCOS SUR</t>
  </si>
  <si>
    <t>DIAN-AY ELEMENTARY SCHOOL</t>
  </si>
  <si>
    <t>BARANGAY SAN PEDRO, AGOO, LA UNION</t>
  </si>
  <si>
    <t>MUNICIPALITY OF LAAK, DAVAO DE ORO</t>
  </si>
  <si>
    <t>MUNICIPALITY OF ANGADANAN, ISABELA</t>
  </si>
  <si>
    <t>BARANGAY 472 ZONE 47. DISTRICT IV</t>
  </si>
  <si>
    <t>BARANGAY PICO LA TRINIDAD BENGUET</t>
  </si>
  <si>
    <t>MUNICIPALITY OF MAPANAS, NORTHERN SAMAR</t>
  </si>
  <si>
    <t>CENTRAL BOARD OF ASSESSMENT APPEALS</t>
  </si>
  <si>
    <t>MUNICIPALITY OF KIBLAWAN, DAVAO DEL SUR</t>
  </si>
  <si>
    <t>MUNICIPALITY OF M'LANG, COTABATO</t>
  </si>
  <si>
    <t>NANGALID ELEMENTARY SCHOOL - DAVAO CITY DAVAO DEL SUR</t>
  </si>
  <si>
    <t>BARANGAY CASILAGAN, NAGUILIAN, LA UNION</t>
  </si>
  <si>
    <t>CAVITE STATE UNIVERSITY</t>
  </si>
  <si>
    <t>MUNICIPALITY OF ALABEL, SARANGANI PROVINCE</t>
  </si>
  <si>
    <t>MUNICIPALITY OF WAO, LANAO DEL SUR</t>
  </si>
  <si>
    <t>DEPARTMENT OF SCIENCE AND TECHNOLOGY - REGION IX</t>
  </si>
  <si>
    <t>DEPARTMENT OF EDUCATION - DIVISION OF COTABATO</t>
  </si>
  <si>
    <t>MUNICIPALITY OF MACARTHUR, LEYTE</t>
  </si>
  <si>
    <t>BARANGAY CARANDAY, BAAO, CAMARINES SUR</t>
  </si>
  <si>
    <t>DEPARTMENT OF PUBLIC WORKS AND HIGHWAYS - NUEVA ECIJA 1ST DE</t>
  </si>
  <si>
    <t>MUNICIPALITY OF IGBARAS, ILOILO</t>
  </si>
  <si>
    <t>MUNICIPALITY OF PRIETO DIAZ, SORSOGON</t>
  </si>
  <si>
    <t>DEPARTMENT OF PUBLIC WORKS AND HIGHWAYS - SOUTHERN LEYTE DEO</t>
  </si>
  <si>
    <t>BARANGAY OLD LABANGAN - LABANGAN ZAMBOANGA DEL SUR</t>
  </si>
  <si>
    <t>BARANGAY SABONG, BOAC, MARINDUQUE</t>
  </si>
  <si>
    <t>BARANGAY LODLOD, LIPA CITY</t>
  </si>
  <si>
    <t>BARANGAY POBLACION - SAN JUAN SIQUIJOR</t>
  </si>
  <si>
    <t>BARANGAY SAPANG BAYAN - CALUMPIT, BULACAN</t>
  </si>
  <si>
    <t>NATIONAL IRRIGATION ADMINISTRATION - MARIIS, DIVISION II</t>
  </si>
  <si>
    <t>CITY OF PARAÑAQUE</t>
  </si>
  <si>
    <t>CITY OF ALAMINOS, PANGASINAN</t>
  </si>
  <si>
    <t>BARANGAY VI-B, SAN PABLO, LAGUNA</t>
  </si>
  <si>
    <t>BARANGAY POBLACION, KADINGILAN, BUKIDNON</t>
  </si>
  <si>
    <t>BARANGAY MASALONG, LABO, CAMARINES NORTE</t>
  </si>
  <si>
    <t>HEADQUARTERS COAST  GUARD CIVIL SERVICE COMMAND</t>
  </si>
  <si>
    <t>NATIONAL IRRIGATION ADMINISTRATION - SARIS</t>
  </si>
  <si>
    <t>CORON SCHOOL OF FISHERIES</t>
  </si>
  <si>
    <t>MUNICIPALITY OF SAN GUILLERMO, ISABELA</t>
  </si>
  <si>
    <t>MUNICIPALITY OF CATMON, CEBU</t>
  </si>
  <si>
    <t>TABINA NATIONAL HIGH SCHOOL</t>
  </si>
  <si>
    <t>PROVINCE OF PAMPANGA</t>
  </si>
  <si>
    <t>DEPARTMENT OF THE INTERIOR AND LOCAL GOVERNMENT - REGION IX</t>
  </si>
  <si>
    <t>BARANGAY BALANAC, LIGAO CITY, ALBAY</t>
  </si>
  <si>
    <t>GHQ BAC1 SECRETARIAT, AFP PROCUREMENT SERVICE</t>
  </si>
  <si>
    <t>MUNICIPALITY OF ZAMBOANGUITA, NEGROS ORIENTAL</t>
  </si>
  <si>
    <t>DEPARTMENT OF THE INTERIOR AND LOCAL GOVERNMENT - BENGUET</t>
  </si>
  <si>
    <t>MARILOG CENTRAL ELEMENTARY SCHOOL - DAVAO CITY DAVAO DEL SUR</t>
  </si>
  <si>
    <t>MUNICIPALITY OF MASINLOC, ZAMBALES</t>
  </si>
  <si>
    <t>CITY OF DIGOS, DAVAO DEL SUR</t>
  </si>
  <si>
    <t>PROVINCE OF OCCIDENTAL MINDORO</t>
  </si>
  <si>
    <t>BARANGAY 8, LIPA CITY, BATANGAS</t>
  </si>
  <si>
    <t>PHIVIDEC INDUSTRIAL AUTHORITY, DND</t>
  </si>
  <si>
    <t>DEPARTMENT OF AGRARIAN REFORM - BUKIDNON</t>
  </si>
  <si>
    <t>BARANGAY CUMBA, LIPA CITY</t>
  </si>
  <si>
    <t>BARANGAY BULAWEN - PALAUIG, ZAMBALES</t>
  </si>
  <si>
    <t>MUNICIPALITY OF TRINIDAD, BOHOL</t>
  </si>
  <si>
    <t>BARANGAY 2, LIPA CITY, BATANGAS</t>
  </si>
  <si>
    <t>LIGA NG MGA BARANGAY, SAN LUIS, BATANGAS</t>
  </si>
  <si>
    <t>BARANGAY SAN ANTONIO, AGOO, LA UNION</t>
  </si>
  <si>
    <t>BARANGAY SAN ANTONIO - NAUJAN, ORIENTAL MINDORO</t>
  </si>
  <si>
    <t>BARANGAY SAN ISIDRO BUNAWAN, DAVAO CITY</t>
  </si>
  <si>
    <t>CITY OF TANDAG, SURIGAO DEL SUR</t>
  </si>
  <si>
    <t>ISABELA CITY WATER DISTRICT</t>
  </si>
  <si>
    <t>TESDA REGIONAL TRAINING CENTER - REGION I</t>
  </si>
  <si>
    <t>MUNICIPALITY OF TERNATE, CAVITE</t>
  </si>
  <si>
    <t>ENVIRONMENTAL MANAGEMENT BUREAU - REGION - LA UNION</t>
  </si>
  <si>
    <t xml:space="preserve">DA - PHILIPPINE RURAL DEVELOPMENT PROJECT - PSO VISAYAS </t>
  </si>
  <si>
    <t>MUNICIPALITY OF SIQUIJOR, SIQUIJOR</t>
  </si>
  <si>
    <t>DEPARTMENT OF PUBLIC WORKS AND HIGHWAYS - CAPIZ 2ND ED</t>
  </si>
  <si>
    <t>DENR-PENRO CAMARINES SUR</t>
  </si>
  <si>
    <t>DEPARTMENT OF AGRARIAN REFORM - CAMARINES SUR A</t>
  </si>
  <si>
    <t>MUNICIPALITY OF PILAR, SORSOGON</t>
  </si>
  <si>
    <t>MUNICIPALITY OF LAUA-AN, ANTIQUE</t>
  </si>
  <si>
    <t>BARANGAY LAON, MOGPOG, MARINDUQUE</t>
  </si>
  <si>
    <t>DA - PHILIPPINE RURAL DEVELOPMENT PROJECT - PSO LUZON A</t>
  </si>
  <si>
    <t>COMMISSION ON POPULATION - CARAGA</t>
  </si>
  <si>
    <t>BARANGAY TEJEROS, MAKATI CITY</t>
  </si>
  <si>
    <t>MUNICIPALITY OF BAYOG, ZAMBOANGA DEL SUR</t>
  </si>
  <si>
    <t>MINES AND GEOSCIENCES BUREAU - CARAGA</t>
  </si>
  <si>
    <t>BAGONG SILANG HIGH SCHOOL</t>
  </si>
  <si>
    <t>BARANGAY CALUNASAN - LARENA SIQUIJOR</t>
  </si>
  <si>
    <t>DEPARTMENT OF EDUCATION - DIVISION OF CADIZ CITY</t>
  </si>
  <si>
    <t>HOME DEVELOPMENT MUTUAL FUND - BACOLOD CITY</t>
  </si>
  <si>
    <t>MUNICIPALITY OF LASAM, CAGAYAN</t>
  </si>
  <si>
    <t>BARANGAY SAN PASCUAL, BURGOS, PANGASINAN</t>
  </si>
  <si>
    <t>DEPARTMENT OF PUBLIC WORKS AND HIGHWAYS - SULTAN KUDARAT 1ST</t>
  </si>
  <si>
    <t>MUNICIPALITY OF INOPACAN, LEYTE</t>
  </si>
  <si>
    <t>TALIBON WATER DISTRICT</t>
  </si>
  <si>
    <t>MUNICIPALITY OF DUPAX DEL SUR, NUEVA VIZCAYA</t>
  </si>
  <si>
    <t>BARANGAY BUCAL 2 MARAGONDON CAVITE</t>
  </si>
  <si>
    <t>BARANGAY MATAAS NA BAYAN, LEMERY, BATANGAS</t>
  </si>
  <si>
    <t>MUNICIPALITY OF SAN MIGUEL, CATANDUANES</t>
  </si>
  <si>
    <t>BARANGAY BAGACAY KAWAYAN, LOON, BOHOL</t>
  </si>
  <si>
    <t>BUREAU OF INTERNAL REVENUE RR8B  - MAKATI CITY</t>
  </si>
  <si>
    <t>DEPARTMENT OF PUBLIC WORKS AND HIGHWAYS - REGION VI</t>
  </si>
  <si>
    <t>MINES AND GEOSCIENCES BUREAU - CAR</t>
  </si>
  <si>
    <t>DEPARTMENT OF ENVIRONMENT AND NATURAL RESOURCES-10</t>
  </si>
  <si>
    <t>BARANGAY ULBUJAN, CALAPE, BOHOL</t>
  </si>
  <si>
    <t>MUNICIPALITY OF UMINGAN, PANGASINAN</t>
  </si>
  <si>
    <t>PROVINCE OF SARANGANI</t>
  </si>
  <si>
    <t>MARGOSATUBIG REGIONAL HOSPITAL</t>
  </si>
  <si>
    <t>MUNICIPALITY OF LILA,  BOHOL</t>
  </si>
  <si>
    <t>PHILIPPINE NATIONAL POLICE - INFORMATION TECHNOLOGY MANAGEME</t>
  </si>
  <si>
    <t>MUNICIPALITY OF POLANCO, ZAMBOANGA DEL NORTE</t>
  </si>
  <si>
    <t>BARANGAY POGORUAC, BURGOS, PANGASINAN</t>
  </si>
  <si>
    <t>MUNICIPALITY OF SIGAY, ILOCOS SUR</t>
  </si>
  <si>
    <t>MUNICIPALITY OF PILAR, CAPIZ</t>
  </si>
  <si>
    <t>BARANGAY TAGGAT SUR, CLAVERIA, CAGAYAN</t>
  </si>
  <si>
    <t>SAN AGUSTIN ELEMENTARY SCHOOL - LUBAO PAMPANGA</t>
  </si>
  <si>
    <t>DEPARTMENT OF FINANCE - MAIN</t>
  </si>
  <si>
    <t>MUNICIPALITY OF STO. TOMAS, PAMPANGA</t>
  </si>
  <si>
    <t>DEPARTMENT OF PUBLIC WORKS AND HIGHWAYS - BOHOL 3RD DEO</t>
  </si>
  <si>
    <t>MUNICIPALITY OF SAN ANTONIO, NUEVA ECIJA</t>
  </si>
  <si>
    <t>DOLOGON CENTRAL ELEMENTARY SCHOOL</t>
  </si>
  <si>
    <t>MUNICIPALITY OF COMPOSTELA, COMPOSTELA VALLEY</t>
  </si>
  <si>
    <t>BARANGAY AGAY-AY, SAN JUAN, SOUTHERN LEYTE</t>
  </si>
  <si>
    <t>MUNICIPALITY OF CORCUERA, ROMBLON</t>
  </si>
  <si>
    <t>BARANGAY AMBITACAY, AGOO, LA UNION</t>
  </si>
  <si>
    <t>MUNICIPALITY OF SAN ILDEFONSO, BULACAN</t>
  </si>
  <si>
    <t>MUNICIPALITY OF MINALABAC, CAMARINES SUR</t>
  </si>
  <si>
    <t>SAN LAZARO HOSPITAL</t>
  </si>
  <si>
    <t>MUNICIPALITY OF OSLOB, CEBU</t>
  </si>
  <si>
    <t>MUNICIPALITY OF POLANGUI, ALBAY</t>
  </si>
  <si>
    <t>BOCBOC NATIONAL HIGH SCHOOL</t>
  </si>
  <si>
    <t>COOPERATIVE DEVELOPMENT AUTHORITY - MAIN</t>
  </si>
  <si>
    <t>BARANGAY CALMANTE, TUDELA, CEBU</t>
  </si>
  <si>
    <t>COTABATO FOUNDATION COLLEGE OF SCIENCE &amp; TECHNOLOGY</t>
  </si>
  <si>
    <t>MUNICIPALITY OF GUINSILIBAN, CAMIGUIN</t>
  </si>
  <si>
    <t>MUNICIPALITY OF PUGO, LA UNION</t>
  </si>
  <si>
    <t>PABLO LORENZO NATIONAL HIGH SCHOOL - DAVAO CITY DAVAO DEL SU</t>
  </si>
  <si>
    <t>DEPARTMENT OF AGRARIAN REFORM PROVINCIAL OFFICE, COTABATO</t>
  </si>
  <si>
    <t>TESDA WOMEN'S CENTER</t>
  </si>
  <si>
    <t>CITY OF OZAMIS, MISAMIS OCCIDENTAL</t>
  </si>
  <si>
    <t>MUNICIPALITY OF NARVACAN, ILOCOS SUR</t>
  </si>
  <si>
    <t>162508 MARANGAL ELEMENTARY SCHOOL</t>
  </si>
  <si>
    <t>MUNICIPALITY OF HILONGOS, LEYTE</t>
  </si>
  <si>
    <t>BARANGAY STA. RITA EAST - AGOO, LA UNION</t>
  </si>
  <si>
    <t>MUNICIPALITY OF PANGIL, LAGUNA</t>
  </si>
  <si>
    <t>DON HONORIO VENTURA TECHNOLOGICAL STATE UNIVERSITY</t>
  </si>
  <si>
    <t>MUNICIPALITY OF UBAY, BOHOL</t>
  </si>
  <si>
    <t>CARCAR WATER DISTRICT</t>
  </si>
  <si>
    <t>BASILAN GENERAL HOSPITAL</t>
  </si>
  <si>
    <t>DEPARTMENT OF SOCIAL WELFARE AND DEVELOPMENT - REGION VIII</t>
  </si>
  <si>
    <t>MUNICIPALITY OF SUMILAO, BUKIDNON</t>
  </si>
  <si>
    <t>MUNICIPALITY OF SIOCON</t>
  </si>
  <si>
    <t>MUNICIPALITY OF MIAG-AO, ILOILO</t>
  </si>
  <si>
    <t>MUNICIPALITY OF MANUKAN, ZAMBOANGA DEL NORTE</t>
  </si>
  <si>
    <t>MUNICIPALITY OF GUIMBAL, ILOILO</t>
  </si>
  <si>
    <t>BARANGAY ABONGAN, TAYTAY, PALAWAN</t>
  </si>
  <si>
    <t>MUNICIPALITY OF SINACABAN , MISAMIS OCCIDENTAL</t>
  </si>
  <si>
    <t>MUNICIPALITY OF ITOGON, BENGUET</t>
  </si>
  <si>
    <t>DON MARIANO MARCOS MEMORIAL STATE UNIVERSITY - BACNOTAN</t>
  </si>
  <si>
    <t>BARANGAY LONOY - KANANGA LEYTE</t>
  </si>
  <si>
    <t>BARANGAY CENTRO, PAMPLONA, CAGAYAN</t>
  </si>
  <si>
    <t>DEPARTMENT OF TRADE AND INDUSTRY - SAMAR PROVINCIAL OFFICE</t>
  </si>
  <si>
    <t>MUNICIPALITY OF CAOAYAN, ILOCOS SUR</t>
  </si>
  <si>
    <t>DEPARTMENT OF PUBLIC WORKS AND HIGHWAYS - BOHOL 1ST ED</t>
  </si>
  <si>
    <t>PHILIPPINE PORTS AUTHORITY - PMO MINDORO</t>
  </si>
  <si>
    <t>PROFESSIONAL REGULATION COMMISSION - ILOILO REGIONAL OFFICE</t>
  </si>
  <si>
    <t>BARANGAY SAN ISIDRO, SIBAGAT, AGUSAN DEL SUR</t>
  </si>
  <si>
    <t>MUNICIPALITY OF CATEEL, DAVAO ORIENTAL</t>
  </si>
  <si>
    <t>DEPARTMENT OF PUBLIC WORKS AND HIGHWAYS - LAGUNA II DEO</t>
  </si>
  <si>
    <t>MUNICIPALITY OF REMEDIOS T. ROMUALDEZ, AGUSAN DEL NORTE</t>
  </si>
  <si>
    <t>DEPARTMENT OF PUBLIC WORKS AND HIGHWAYS - ZAMBALES 2ND DEO</t>
  </si>
  <si>
    <t>MUNICIPALITY OF CARAMORAN, CATANDUANES</t>
  </si>
  <si>
    <t>MUNICIPALITY OF SAN MARIANO, ISABELA</t>
  </si>
  <si>
    <t>DEPARTMENT OF SOCIAL WELFARE AND DEVELOPMENT - REGION XII</t>
  </si>
  <si>
    <t>CAVITE ECONOMIC ZONE - PEZA</t>
  </si>
  <si>
    <t>BARANGAY PINAGSABANGAN I, NAUJAN, ORIENTAL MINDORO</t>
  </si>
  <si>
    <t>KOLAMBUGAN WATER DISTRICT</t>
  </si>
  <si>
    <t>MUNICIPALITY OF STA. MAGDALENA, SORSOGON</t>
  </si>
  <si>
    <t>FRANCISCO P FELIX MEMORIAL NATIONAL HIGH SCHOOL</t>
  </si>
  <si>
    <t>NATIONAL IRRIGATION ADMINISTRATION - REGION V</t>
  </si>
  <si>
    <t>MUNICIPALITY OF CARMEN COTABATO</t>
  </si>
  <si>
    <t>CITY OF CABADBARAN, AGUSAN DEL NORTE</t>
  </si>
  <si>
    <t>MUNICIPALITY OF MINGLANILLA, CEBU</t>
  </si>
  <si>
    <t>BARANGAY PAMPANGO LIBACAO AKLAN</t>
  </si>
  <si>
    <t>MUNICIPALITY OF SAMBOAN, CEBU</t>
  </si>
  <si>
    <t>MUNICIPALITY OF TOMAS OPPUS, SOUTHERN LEYTE</t>
  </si>
  <si>
    <t>CITY OF OLONGAPO, ZAMBALES</t>
  </si>
  <si>
    <t>DEPARTMENT OF TOURISM - REGION V</t>
  </si>
  <si>
    <t>DEPARTMENT OF HEALTH - TREATMENT AND REHABILITATION CENTER -</t>
  </si>
  <si>
    <t>BARANGAY AL-ALINAO NORTE, NAGUILIAN, LA UNION</t>
  </si>
  <si>
    <t>MUNICIPALITY OF NAGA, ZAMBOANGA SIBUGAY</t>
  </si>
  <si>
    <t>PHIL. ATMOSPHERIC GEOPHYSICAL &amp; ASTRONOMICAL SERVICES ADM.</t>
  </si>
  <si>
    <t>DEPARTMENT OF EDUCATION - REGION X</t>
  </si>
  <si>
    <t>ENVIRONMENTAL MANAGEMENT BUREAU-REGION XII</t>
  </si>
  <si>
    <t>MUNICIPALITY OF BRAULIO DUJALI, DAVAO DEL NORTE</t>
  </si>
  <si>
    <t>MUNICIPALITY OF DINGRAS, ILOCOS NORTE</t>
  </si>
  <si>
    <t>BARANGAY 903, ZONE 100, DISTRICT VI, MANILA</t>
  </si>
  <si>
    <t>MISAMIS OCCIDENTAL NATIONAL HIGH SCHOOL</t>
  </si>
  <si>
    <t>MUNICIPALITY OF LOBOC, BOHOL</t>
  </si>
  <si>
    <t>CARAGA STATE UNIVERSITY - CABADBARAN CAMPUS</t>
  </si>
  <si>
    <t>DEPARTMENT OF PUBLIC WORKS AND HIGHWAYS - TARLAC 1ST DEO</t>
  </si>
  <si>
    <t>MUNICIPALITY OF BAGGAO, CAGAYAN</t>
  </si>
  <si>
    <t>NATIONAL IRRIGATION ADMINISTRATION - LIGAO CITY, ALBAY</t>
  </si>
  <si>
    <t>CIVIL AVIATION AUTHORITY OF THE PHILIPPINES - REGION V</t>
  </si>
  <si>
    <t>MUNICIPALITY OF VALDERRAMA, ANTIQUE</t>
  </si>
  <si>
    <t>MUNICIPALITY OF STA. ROSA, NUEVA ECIJA</t>
  </si>
  <si>
    <t>BARANGAY 54-B CAMANGGAAN, LAOAG CITY</t>
  </si>
  <si>
    <t>BARANGAY BARAOAS SUR, NAGUILIAN, LA UNION</t>
  </si>
  <si>
    <t>PROVINCIAL GOVERNMENT OF SURIGAO DEL NORTE</t>
  </si>
  <si>
    <t>LGU - BARANGAY CALAYUGAN, HINUNANGAN, SOUTHERN LEYTE</t>
  </si>
  <si>
    <t>NATIONAL IRRIGATION ADMINISTRATION REGION 7</t>
  </si>
  <si>
    <t>BARANGAY AGUMAYMAYAN, BOAC, MARINDUQUE</t>
  </si>
  <si>
    <t>VISAYAS STATE UNIVERSITY - MAIN CAMPUS</t>
  </si>
  <si>
    <t>DA - PHILIPPINE RURAL DEVELOPMENT PROJECT - CARAGA</t>
  </si>
  <si>
    <t>DEPARTMENT OF THE INTERIOR AND LOCAL GOVERNMENT - REGION VII</t>
  </si>
  <si>
    <t>MUNICIPALITY OF CALAMANIUGAN, CAGAYAN</t>
  </si>
  <si>
    <t>DEPARTMENT OF EDUCATION - DIVISION OF MATI CITY</t>
  </si>
  <si>
    <t>BUREAU OF PLANT INDUSTRY (NSQCS7) - UBAY, BOHOL</t>
  </si>
  <si>
    <t>MUNICIPALITY OF ZARAGOZA, NUEVA ECIJA</t>
  </si>
  <si>
    <t>MUNICIPALITY OF BACARRA, ILOCOS NORTE</t>
  </si>
  <si>
    <t>MUNICIPALITY OF ALABAT, QUEZON</t>
  </si>
  <si>
    <t>BARANGAY BONGABONG, TUDELA, MISAMIS OCCIDENTAL</t>
  </si>
  <si>
    <t>OFFICE OF THE PRESIDENT</t>
  </si>
  <si>
    <t>BARANGAY NAGUELGUEL, LINGAYEN, PANGASINAN</t>
  </si>
  <si>
    <t>NATIONAL COMMISSION ON INDIGENOUS PEOPLES - REGION X</t>
  </si>
  <si>
    <t>CEBU NORMAL UNIVERSITY</t>
  </si>
  <si>
    <t>MUNICIPALITY OF JAGNA, BOHOL</t>
  </si>
  <si>
    <t>DEPARTMENT OF PUBLIC WORKS AND HIGHWAYS - NORTHERN SAMAR 1ST</t>
  </si>
  <si>
    <t>CALAMBA NATIONAL HIGH SCHOOL-MAIN</t>
  </si>
  <si>
    <t>NUESTRA SEÑORA DEL PILAR INTEGRATED SCHOOL</t>
  </si>
  <si>
    <t>BARANGAY MAGSALANGI, MILAGROS, MASBATE</t>
  </si>
  <si>
    <t>SOCIAL SECURITY SYSTEM - CORDILLERA ADMINISTRATIVE REGION</t>
  </si>
  <si>
    <t>CITY OF LAS PIÑAS</t>
  </si>
  <si>
    <t>BARANGAY CALARIAN, ZAMBOANGA CITY</t>
  </si>
  <si>
    <t>HINATUAN WATER DISTRICT</t>
  </si>
  <si>
    <t>MUNICIPALITY OF PIÑAN, ZAMBOANGA DEL NORTE</t>
  </si>
  <si>
    <t>MUNICIPALITY OF MABITAC, LAGUNA</t>
  </si>
  <si>
    <t>MUNICIPALITY OF STO. TOMAS, LA UNION</t>
  </si>
  <si>
    <t>BARANGAY CALUNASAN - MARIA SIQUIJOR</t>
  </si>
  <si>
    <t>PHILIPPINE RICE RESEARCH INSTITUTE - BICOL</t>
  </si>
  <si>
    <t>DEPARTMENT OF PUBLIC WORKS AND HIGHWAYS - ILOILO 4TH DEO</t>
  </si>
  <si>
    <t>BARANGAY SALITRAN III DASMARIÑAS CITY CAVITE</t>
  </si>
  <si>
    <t>CITY OF DAPITAN</t>
  </si>
  <si>
    <t>MUNICIPALITY OF RAPU-RAPU, ALBAY</t>
  </si>
  <si>
    <t>AMANG RODRIGUEZ MEMORIAL MEDICAL CENTER</t>
  </si>
  <si>
    <t>AGRICULTURAL TRAINING INSTITUTE - CARAGA REGION</t>
  </si>
  <si>
    <t>MUNICIPALITY OF MAGSAYSAY, DAVAO DEL SUR</t>
  </si>
  <si>
    <t>PROVINCE OF ZAMBOANGA DEL SUR</t>
  </si>
  <si>
    <t>PHILIPPINE SCIENCE HIGH SCHOOL - CENTRAL LUZON CAMPUS</t>
  </si>
  <si>
    <t>DEPARTMENT OF EDUCATION - DIVISION OF BAIS CITY</t>
  </si>
  <si>
    <t>ALICIA WATER DISTRICT</t>
  </si>
  <si>
    <t>DEPARTMENT OF EDUCATION - DIVISION OF ORIENTAL MINDORO</t>
  </si>
  <si>
    <t>BARANGAY SABANG, DULAG, LEYTE</t>
  </si>
  <si>
    <t>MINDORO STATE COLLEGE OF AGRICULTURE AND TECHNOLOGY</t>
  </si>
  <si>
    <t>DEPARTMENT OF  EDUCATION - DIVISION OF URDANETA CITY</t>
  </si>
  <si>
    <t>MUNICIPALITY OF RIZAL, NUEVA ECIJA</t>
  </si>
  <si>
    <t>BANGKO SENTRAL NG PILIPINAS - CABANATUAN</t>
  </si>
  <si>
    <t>BARANGAY 62, ZONE 6, DISTRICT 1, MANILA</t>
  </si>
  <si>
    <t>MUNICIPALITY OF DIVILACAN, ISABELA</t>
  </si>
  <si>
    <t>BARANGAY BACONG, LIGAO CITY</t>
  </si>
  <si>
    <t>JOSE RIZAL MEMORIAL STATE UNIVERSITY - MAIN CAMPUS</t>
  </si>
  <si>
    <t>TECHNICAL EDUCATION &amp; SKILLS DEVELOPMENT AUTHORITY - NCR, CA</t>
  </si>
  <si>
    <t>STA. ANA NATIONAL HIGH SCHOOL - DAVAO CITY</t>
  </si>
  <si>
    <t>TESDA - APARRI POLYTECHNIC INSTITUTE</t>
  </si>
  <si>
    <t>MUNICIPALITY OF KALAYAAN, PALAWAN</t>
  </si>
  <si>
    <t>ANGELA GONZAGA NATIONAL HIGH SCHOOL - BACOLOD CITY NEGROS OC</t>
  </si>
  <si>
    <t>BARANGAY CENTRO SUR, ALCALA, CAGAYAN</t>
  </si>
  <si>
    <t>BARANGAY NADDUNGAN, GATTARAN, CAGAYAN</t>
  </si>
  <si>
    <t>MUNICIPALITY OF ABULUG, CAGAYAN</t>
  </si>
  <si>
    <t>DEPARTMENT OF SOCIAL WELFARE AND DEVELOPMENT - REGION IV-B</t>
  </si>
  <si>
    <t>MUNICIPALITY OF GUINOBATAN, ALBAY</t>
  </si>
  <si>
    <t>BARANGAY MASAGANA, NAUJAN, ORIENTAL MINDORO</t>
  </si>
  <si>
    <t>PHILIPPINE PORTS AUTHORITY - PMO CAGAYAN DE ORO</t>
  </si>
  <si>
    <t>DEPARTMENT OF PUBLIC WORKS AND HIGHWAYS - PANGASINAN IV DEO</t>
  </si>
  <si>
    <t>BARANGAY CAPIDDIGAN, GATTARAN, CAGAYAN</t>
  </si>
  <si>
    <t>BALIWAG WATER DISTRICT</t>
  </si>
  <si>
    <t>MAINAGA ELEMENTARY SCHOOL, IBA, CABANGLASAN, BUKIDNON</t>
  </si>
  <si>
    <t>BUREAU OF THE TREASURY</t>
  </si>
  <si>
    <t>RESEARCH INSTITUTE FOR TROPICAL MEDICINE, DOH</t>
  </si>
  <si>
    <t>MUNICIPALITY OF TUPI, SOUTH COTABATO</t>
  </si>
  <si>
    <t>TECHNICAL EDUCATION &amp; SKILLS DEVELOPMENT AUTHORITY - PANGASI</t>
  </si>
  <si>
    <t>CATANDUANES NATIONAL HIGH SCHOOL</t>
  </si>
  <si>
    <t>MUNICIPALITY OF KAPATAGAN, LANAO DEL NORTE</t>
  </si>
  <si>
    <t>BARANGAY 105 ZONE-8 DISTRICT 1, MANILA</t>
  </si>
  <si>
    <t>EAST AVENUE MEDICAL CENTER</t>
  </si>
  <si>
    <t>DEPARTMENT OF PUBLIC WORKS AND HIGHWAYS - NORTH MANILA DEO</t>
  </si>
  <si>
    <t>PROVINCE OF MISAMIS ORIENTAL</t>
  </si>
  <si>
    <t>DOLOGON NATIONAL HIGH SCHOOL</t>
  </si>
  <si>
    <t>CITY OF MATI, PROVINCE OF DAVAO ORIENTAL</t>
  </si>
  <si>
    <t>BARANGAY PAWILI, PILI, CAMARINES SUR</t>
  </si>
  <si>
    <t>MUNICIPALITY OF CUYAPO, NUEVA ECIJA</t>
  </si>
  <si>
    <t>CITY OF TAGUIG</t>
  </si>
  <si>
    <t>BARANGAY SAN ISIDRO, SAN PABLO CITY</t>
  </si>
  <si>
    <t>MUNICIPALITY OF VICTORIA, ORIENTAL MINDORO</t>
  </si>
  <si>
    <t>BARANGAY MARIBI, TANAUAN, LEYTE</t>
  </si>
  <si>
    <t>BARANGAY KILING, TANAUAN, LEYTE</t>
  </si>
  <si>
    <t>DEPARTMENT OF ENERGY - MAIN</t>
  </si>
  <si>
    <t>BARANGAY LIBERTAD, PORO, CEBU</t>
  </si>
  <si>
    <t>MUNICIPALITY OF SAN POLICARPO, EASTERN SAMAR</t>
  </si>
  <si>
    <t>DEPARTMENT OF EDUCATION - DIVISION OF TOLEDO CITY, CEBU</t>
  </si>
  <si>
    <t>BARANGAY BEBITO C. ARGOSINO, LOPEZ, QUEZON</t>
  </si>
  <si>
    <t>MUNICIPALITY OF VALENCIA, BOHOL</t>
  </si>
  <si>
    <t>BARANGAY CASTANAS, SARIAYA, QUEZON</t>
  </si>
  <si>
    <t>MUNICIPALITY OF ENRIQUE VILLANUEVA, SIQUIJOR</t>
  </si>
  <si>
    <t>MUNICIPALITY OF AGOO, LA UNION</t>
  </si>
  <si>
    <t>MUNICIPALITY OF CALUYA, ANTIQUE</t>
  </si>
  <si>
    <t>SANTIAGO ELEMENTARY SCHOOL</t>
  </si>
  <si>
    <t>BARANGAY LEONARDO - JOSEFINA, ZAMBOANGA DEL SUR</t>
  </si>
  <si>
    <t>DEPARTMENT OF EDUCATION - DIVISION OF TAGUM CITY</t>
  </si>
  <si>
    <t>BARANGAY 645, ZONE 67, DISTRICT VI, MANILA</t>
  </si>
  <si>
    <t>BARANGAY 555 ZONE 55 DISTRICT IV, MANILA</t>
  </si>
  <si>
    <t>MUNICIPALITY OF SIKATUNA, BOHOL</t>
  </si>
  <si>
    <t>DEPARTMENT OF PUBLIC WORKS AND HIGHWAYS - ISABELA 3RD DEO</t>
  </si>
  <si>
    <t>BARANGAY 94 ZONE 8 DISTRICT 1, MANILA</t>
  </si>
  <si>
    <t>DEPARTMENT OF PUBLIC WORKS AND HIGHWAYS - COTABATO SUB-DEO</t>
  </si>
  <si>
    <t>NATIONAL POWER CORPORATION - MINGEN, PULANGI IV HEP</t>
  </si>
  <si>
    <t>ENVIRONMENTAL MANAGEMENT BUREAU, DENR-REGION X</t>
  </si>
  <si>
    <t>DEVELOPMENT BANK OF THE PHILIPPINES - CENTRAL LUZON</t>
  </si>
  <si>
    <t>BARANGAY ALIBAGO, STA. BARBARA, PANGASINAN</t>
  </si>
  <si>
    <t>BARANGAY PANDAITAN, DAVAO CITY</t>
  </si>
  <si>
    <t>BARANGAY 842, ZONE 92, DISTRICT VI, MANILA</t>
  </si>
  <si>
    <t>CASTANAS ELEMENTARY SCHOOL - SARIAYA QUEZON</t>
  </si>
  <si>
    <t>MUNICIPALITY OF GANDARA, SAMAR</t>
  </si>
  <si>
    <t>RIZAL MEDICAL CENTER</t>
  </si>
  <si>
    <t>BARANGAY PALOC SOOL, DUMANGAS, ILOILO</t>
  </si>
  <si>
    <t>BARANGAY TIBOLO, STA. CRUZ, DAVAO DEL SUR</t>
  </si>
  <si>
    <t>MUNICIPALITY OF LUBANG, OCCIDENTAL MINDORO</t>
  </si>
  <si>
    <t>BARANGAY 20 ZONE 2 DISTRICT I. MANILA CITY</t>
  </si>
  <si>
    <t>BATO NORTH CENTRAL SCHOOL</t>
  </si>
  <si>
    <t>BARANGAY LAG-ON, DAET, CAMARINES NORTE</t>
  </si>
  <si>
    <t>BARANGAY DARAHUWAY DACO, CATBALOGAN CITY, SAMAR</t>
  </si>
  <si>
    <t>BARANGAY PAYAO, CATBALOGAN CITY</t>
  </si>
  <si>
    <t>BARANGAY SAN LAZARO - VICTORIA NORTHERN SAMAR</t>
  </si>
  <si>
    <t>MUNICIPALITY OF PANGANTUCAN, BUKIDNON</t>
  </si>
  <si>
    <t>SILAY CITY WATER DISTRICT</t>
  </si>
  <si>
    <t>BARANGAY JACINTO LUMBRERAS, GEN. MARIANO ALVAREZ, CAVITE</t>
  </si>
  <si>
    <t>LIGA NG BARANGAY DIPLAHAN</t>
  </si>
  <si>
    <t>MUNICIPALITY OF BURUANGA, AKLAN</t>
  </si>
  <si>
    <t>BARANGAY SAPA III ROSARIO CAVITE</t>
  </si>
  <si>
    <t>TAGUIG INTEGRATED SCHOOL</t>
  </si>
  <si>
    <t>KABANKALAN CITY WATER DISTRICT</t>
  </si>
  <si>
    <t>DEPARTMENT OF PUBLIC WORKS AND HIGHWAYS - REGION V</t>
  </si>
  <si>
    <t>CITY OF DIPOLOG, ZAMBOANGA DEL NORTE</t>
  </si>
  <si>
    <t>BARANGAY NAVITAS, CATANAUAN, QUEZON</t>
  </si>
  <si>
    <t>NATIONAL FOOD AUTHORITY - REGION II</t>
  </si>
  <si>
    <t>UNIVERSITY OF SOUTHERN MINDANAO - KIDAPAWAN CITY CAMPUS</t>
  </si>
  <si>
    <t>DEPARTMENT OF EDUCATION - DIVISION OF NEGROS ORIENTAL</t>
  </si>
  <si>
    <t>SORSOGON STATE COLLEGE - SORSOGON CITY</t>
  </si>
  <si>
    <t>DR. JOSE RIZAL MEMORIAL HOSPITAL</t>
  </si>
  <si>
    <t>PROVINCE OF ZAMBOANGA DEL NORTE</t>
  </si>
  <si>
    <t>CEBU PORT AUTHORITY</t>
  </si>
  <si>
    <t>LAND BANK OF THE PHILIPPINES - LEASING AND FINANCE CORPORATI</t>
  </si>
  <si>
    <t>MUNICIPALITY OF BUENAVISTA, QUEZON</t>
  </si>
  <si>
    <t>BARANGAY SAN JOSE (POBLACION), SAN JOSE, DINAGAT ISLAND</t>
  </si>
  <si>
    <t>CITY OF CALAMBA, LAGUNA</t>
  </si>
  <si>
    <t>PROVINCE OF SIQUIJOR</t>
  </si>
  <si>
    <t>DEPARTMENT OF PUBLIC WORKS AND HIGHWAYS - BENGUET I DEO</t>
  </si>
  <si>
    <t>PROVINCE OF BATANES</t>
  </si>
  <si>
    <t>PHILIPPINE HEALTH INSURANCE CORPORATION - REGION - IV A</t>
  </si>
  <si>
    <t>BUTONG MANJUYOD - MANJUYOD NEGROS ORIENTAL</t>
  </si>
  <si>
    <t>DAVAO REGIONAL MEDICAL CENTER</t>
  </si>
  <si>
    <t>SANTIAGO ELEMENTARY SCHOOL - MANOLO FORTICH BUKIDNON</t>
  </si>
  <si>
    <t>BARANGAY BAGO, VINTAR, ILOCOS NORTE</t>
  </si>
  <si>
    <t>MUNICIPALITY OF MAGSAYSAY, PALAWAN</t>
  </si>
  <si>
    <t>BARANGAY SAN FELIPE EAST - SAN NICOLAS PANGASINAN</t>
  </si>
  <si>
    <t>MUNICIPALITY OF DALAGUETE, CEBU</t>
  </si>
  <si>
    <t>DEPARTMENT OF LABOR AND EMPLOYMENT - REGION VII</t>
  </si>
  <si>
    <t>TALISAY WATER DISTRICT</t>
  </si>
  <si>
    <t>MUNICIPALITY OF ALTAVAS, AKLAN</t>
  </si>
  <si>
    <t>BARANGAY CANICANIAN, POLILLO, QUEZON</t>
  </si>
  <si>
    <t>BARANGAY CENTRO 2,  SANCHEZ MIRA, CAGAYAN</t>
  </si>
  <si>
    <t>DEPARTMENT OF PUBLIC WORKS AND HIGHWAYS - NORTHERN SAMAR 2ND</t>
  </si>
  <si>
    <t>BARANGAY ANNAFUNAN WEST - TUGUEGARAO CITY</t>
  </si>
  <si>
    <t>TIQUI INTEGRATED SCHOOL</t>
  </si>
  <si>
    <t>DEPARTMENT OF SCIENCE AND TECHNOLOGY - REGION XII</t>
  </si>
  <si>
    <t>MUNICIPALITY OF CLAVER, SURIGAO DEL NORTE</t>
  </si>
  <si>
    <t>BARANGAY POBLACION - SIBUTAD ZAMBOANGA DEL NORTE</t>
  </si>
  <si>
    <t>MUNICIPALITY OF MUTIA, ZAMBOANGA DEL NORTE</t>
  </si>
  <si>
    <t>AYUNGON WATER DISTRICT</t>
  </si>
  <si>
    <t>MUNICIPALITY OF CULASI, ANTIQUE</t>
  </si>
  <si>
    <t>MUNICIPALITY OF TINGLAYAN, KALINGA</t>
  </si>
  <si>
    <t>SAN MIGUEL BULACAN WATER DISTRICT</t>
  </si>
  <si>
    <t>MUNICIPALITY OF PONTEVEDRA, CAPIZ</t>
  </si>
  <si>
    <t>MUNICIPALITY OF DAUIN, NEGROS ORIENTAL</t>
  </si>
  <si>
    <t>BARANGAY POBLACION V, CUENCA, BATANGAS</t>
  </si>
  <si>
    <t>BARANGAY DON JUAN, CUENCA, BATANGAS</t>
  </si>
  <si>
    <t>BARANGAY CADITAAN, RAGAY, CAMARINES SUR</t>
  </si>
  <si>
    <t>BARANGAY BUNGAHAN, CUENCA, BATANGAS</t>
  </si>
  <si>
    <t>BARANGAY LEET, SANTA BARBARA, PANGASINAN</t>
  </si>
  <si>
    <t>BOHOL ISLAND STATE UNIVERSITY - CLARIN CAMPUS</t>
  </si>
  <si>
    <t xml:space="preserve">DAVAO CITY SPECIAL SCHOOL ELEMENTARY - DAVAO CITY DAVAO DEL </t>
  </si>
  <si>
    <t>LINGI-ON ELEMENTARY SCHOOL</t>
  </si>
  <si>
    <t>MUNICIPALITY OF STA. RITA, WESTERN SAMAR</t>
  </si>
  <si>
    <t>HOME DEVELOPMENT MUTUAL FUND - CALAMBA BRANCH</t>
  </si>
  <si>
    <t>CIVIL AVIATION AUTHORITY OF THE PHILIPPINES - ILOILO AIRPORT</t>
  </si>
  <si>
    <t>DEPARTMENT OF SOCIAL WELFARE AND DEVELOPMENT - MAIN</t>
  </si>
  <si>
    <t>BATANGAS STATE UNIVERSITY</t>
  </si>
  <si>
    <t>BARANGAY BUENAVISTA - LOPEZ QUEZON</t>
  </si>
  <si>
    <t>BARANGAY SAN FERNANDO - TALISAY CITY NEGROS OCCIDENTAL</t>
  </si>
  <si>
    <t>BARANGAY BLUMENTRIT - MURCIA NEGROS OCCIDENTAL</t>
  </si>
  <si>
    <t>BARANGAY 34-D, DAVAO CITY, DAVAO DEL SUR</t>
  </si>
  <si>
    <t>MUNICIPALITY OF STA.CRUZ, DAVAO DEL SUR</t>
  </si>
  <si>
    <t>BARANGAY RIZAL RURAL, LOPEZ, QUEZON</t>
  </si>
  <si>
    <t>BARANGAY STA. ANA, AGOO, LA UNION</t>
  </si>
  <si>
    <t>BARANGAY AMAYCO - MURCIA NEGROS OCCIDENTAL</t>
  </si>
  <si>
    <t>MUNICIPALITY OF PAYAO, ZAMBOANGA SIBUGAY</t>
  </si>
  <si>
    <t>METRO COTABATO WATER DISTRICT</t>
  </si>
  <si>
    <t>BARANGAY MALIMPIN, DASOL, PANGASINAN</t>
  </si>
  <si>
    <t>MUNICIPALITY OF BURGOS, ILOCOS SUR</t>
  </si>
  <si>
    <t>DEPARTMENT OF EDUCATION - DIVISION OF ZAMBOANGA DEL NORTE</t>
  </si>
  <si>
    <t>ANGELES CITY NATIONAL HIGH SCHOOL - REGION III</t>
  </si>
  <si>
    <t>BARANGAY SAN ISIDRO, ASTURIAS, CEBU</t>
  </si>
  <si>
    <t>DEPARTMENT OF ENVIRONMENT AND NATURAL RES. - PENRO XII-4</t>
  </si>
  <si>
    <t>NUEVA VIZCAYA POLYTCHNIC INSTITUTE</t>
  </si>
  <si>
    <t>MUNICIPALITY OF GUINDULMAN, BOHOL</t>
  </si>
  <si>
    <t>LAND BANK OF THE PHILIPPINES URDANETA CITY BRANCH</t>
  </si>
  <si>
    <t>DEPARTMENT OF AGRARIAN REFORM - AKLAN PROVINCIAL OFFICE</t>
  </si>
  <si>
    <t>BARANGAY MACAGOCO INOPACAN, LEYTE</t>
  </si>
  <si>
    <t>BARANGAY POBLACION - PUERTO GALERA ORIENTAL MINDORO</t>
  </si>
  <si>
    <t>MUNICIPALITY OF STA. MARIA, PANGASINAN</t>
  </si>
  <si>
    <t>CITY OF COTABATO</t>
  </si>
  <si>
    <t>LAND BANK OF THE PHILIPPINES - REGION XII</t>
  </si>
  <si>
    <t>MUNICIPALITY OF PARACALE, CAMARINES NORTE</t>
  </si>
  <si>
    <t>LIGA NG MGA BARANGAY BATO, LEYTE CHAPTER</t>
  </si>
  <si>
    <t>BARANGAY SAN ISIDRO, NAUJAN, ORIENTAL MINDORO</t>
  </si>
  <si>
    <t>NATIONAL TELECOMMUNICATIONS COMMISSION - REGION II</t>
  </si>
  <si>
    <t>ILOCOS SUR POLYTECHNIC STATE COLLEGE</t>
  </si>
  <si>
    <t>MUNICIPALITY OF SAN JOAQUIN, ILOILO</t>
  </si>
  <si>
    <t>PROVINCE OF SORSOGON</t>
  </si>
  <si>
    <t>MUNICIPALITY OF MONCADA, TARLAC</t>
  </si>
  <si>
    <t>DEPARTMENT OF PUBLIC WORKS AND HIGHWAYS - ILOILO 2ND DISTRIC</t>
  </si>
  <si>
    <t>BARANGAY KAYAPA, BAKUN, BENGUET</t>
  </si>
  <si>
    <t>BARANGAY TUMAGA, ZAMBOANGA CITY</t>
  </si>
  <si>
    <t>DEPARTMENT OF THE INTERIOR AND LOCAL GOVERNMENT - NORTHERN S</t>
  </si>
  <si>
    <t>BARANGAY LANGKONG - M'LANG COTABATO</t>
  </si>
  <si>
    <t>PHILIPPINE ECONOMIC ZONE AUTHORITY - BAGUIO CITY ECOZONE</t>
  </si>
  <si>
    <t>COTABATO REGIONAL AND MEDICAL CENTER</t>
  </si>
  <si>
    <t>NATIONAL IRRIGATION ADMINISTRATION - COMPOSTELA VALLEY</t>
  </si>
  <si>
    <t>METRO VIGAN WATER DISTRICT</t>
  </si>
  <si>
    <t>BARANGAY NATUNUAN SOUTH, SAN PASCUAL, BATANGAS</t>
  </si>
  <si>
    <t>CITY OF KIDAPAWAN, NORTH COTABATO</t>
  </si>
  <si>
    <t>MUNICIPALITY OF PASIL, KALINGA</t>
  </si>
  <si>
    <t>MUNICIPALITY OF ROXAS, ISABELA</t>
  </si>
  <si>
    <t>DEPARTMENT OF EDUCATION - DIVISION OF PAMPANGA</t>
  </si>
  <si>
    <t>BARANGAY SAN ISIDRO ITAAS, LEMERY, BATANGAS</t>
  </si>
  <si>
    <t>MUNICIPALITY OF HINGYON, IFUGAO</t>
  </si>
  <si>
    <t>DEPARTMENT OF EDUCATION - DIVISION OF BATAAN</t>
  </si>
  <si>
    <t>DEPARTMENT OF PUBLIC WORKS AND HIGHWAYS - AURORA DEO</t>
  </si>
  <si>
    <t>MUNICIPALITY OF SUGBONGCOGON, MISAMIS ORIENTAL</t>
  </si>
  <si>
    <t>ILOILO STATE COLLEGE OF FISHERIES</t>
  </si>
  <si>
    <t>PROVINCE OF LEYTE</t>
  </si>
  <si>
    <t>DEPARTMENT OF NATIONAL DEFENSE - GOVERNMENT ARSENAL, BATAAN</t>
  </si>
  <si>
    <t>MUNICIPALITY OF PIGCAWAYAN, COTABATO</t>
  </si>
  <si>
    <t>WEST VISAYAS STATE UNIVERSITY - JANIUAY CAMPUS</t>
  </si>
  <si>
    <t>MUNICIPALITY OF LOOC, OCCIDENTAL MINDORO</t>
  </si>
  <si>
    <t>BARANGAY SACRITAN - PINILI ILOCOS NORTE</t>
  </si>
  <si>
    <t>BARANGAY APLAYA, DIGOS, DAVAO DEL SUR</t>
  </si>
  <si>
    <t>MUNICIPALITY OF SAN AGUSTIN, ROMBLON</t>
  </si>
  <si>
    <t>BARANGAY BALLUYAN FLORA APAYAO</t>
  </si>
  <si>
    <t>MUNICIPALITY OF LAMBAYONG, SULTAN KUDARAT</t>
  </si>
  <si>
    <t>MUNICIPALITY OF ALAMINOS, LAGUNA</t>
  </si>
  <si>
    <t>BARANGAY J.P. LAUREL PANABO DAVAO DEL NORTE</t>
  </si>
  <si>
    <t>MUNICIPALITY OF MASANTOL, PAMPANGA</t>
  </si>
  <si>
    <t>MUNICIPALITY OF ALICIA, ZAMBOANGA SIBUGAY</t>
  </si>
  <si>
    <t>BARANGAY ORANBO, PASIG CITY</t>
  </si>
  <si>
    <t>BARANGAY IGANG - MASBATE CITY</t>
  </si>
  <si>
    <t>MUNICIPALITY OF MARIA AURORA, AURORA</t>
  </si>
  <si>
    <t>GENERAL TRIAS CITY CAVITE</t>
  </si>
  <si>
    <t>PHILIPPINE FISHERIES DEVELOPMENT AUTHORITY - SOUTH COTABATO</t>
  </si>
  <si>
    <t>HIYANG-HIYANG ELEMENTARY SCHOOL</t>
  </si>
  <si>
    <t>MUNICIPALITY OF SAN FRANCISCO, SURIGAO DEL NORTE</t>
  </si>
  <si>
    <t>DEPARTMENT OF ENVIRONMENT AND NATURAL RES. - PENRO, BUKIDNON</t>
  </si>
  <si>
    <t>BARANGAY DADIANGAS WEST - GENERAL SANTOS CITY, SOUTH COTABAT</t>
  </si>
  <si>
    <t>MUNICIPALITY OF TABUELAN, CEBU</t>
  </si>
  <si>
    <t>MUNICIPALITY OF BOLJOON, CEBU</t>
  </si>
  <si>
    <t>BARANGAY BOLBOK - BATANGAS CITY, BATANGAS</t>
  </si>
  <si>
    <t>BUREAU OF TREASURY - REGION II</t>
  </si>
  <si>
    <t>PROVINCE OF BUKIDNON</t>
  </si>
  <si>
    <t>MUNICIPALITY OF CALINTAAN, OCCIDENTAL MINDORO</t>
  </si>
  <si>
    <t>BARANGAY AMALBALAN, DASOL, PANGASINAN</t>
  </si>
  <si>
    <t>BARANGAY GAONGAN, SIPOCOT, CAMARINES SUR</t>
  </si>
  <si>
    <t>CAREER EXECUTIVE SERVICE BOARD</t>
  </si>
  <si>
    <t>BARANGAY TALAGUTON, DON MARCELINO, DAVAO DEL SUR</t>
  </si>
  <si>
    <t>MUNICIPALITY OF LA CASTELLANA, NEGROS OCCIDENTAL</t>
  </si>
  <si>
    <t>DAPITAN CITY WATER DISTRICT</t>
  </si>
  <si>
    <t>METRO SIQUIJOR WATER DISTRICT</t>
  </si>
  <si>
    <t>BARANGAY BAGSA, OAS, ALBAY</t>
  </si>
  <si>
    <t>PATNONGON  WATER DISTRICT</t>
  </si>
  <si>
    <t>MUNICIPALITY OF MILAGROS, MASBATE</t>
  </si>
  <si>
    <t>MUNICIPALITY OF RAMON, ISABELA</t>
  </si>
  <si>
    <t>HOUSE OF REPRESENTATIVES</t>
  </si>
  <si>
    <t>MUNICIPALITY OF SIPOCOT, CAMARINES SUR</t>
  </si>
  <si>
    <t>BARANGAY AMBACAN - BAYBAY CITY LEYTE</t>
  </si>
  <si>
    <t>PHILIPPINE NORMAL UNIVERSITY - ISABELA CAMPUS</t>
  </si>
  <si>
    <t>MUNICIPALITY OF KABUGAO, APAYAO</t>
  </si>
  <si>
    <t>MUNICIPALITY OF BULA, CAMARINES SUR</t>
  </si>
  <si>
    <t>BARANGAY POBLACION A - TAYUG PANGASINAN</t>
  </si>
  <si>
    <t>SAN CARLOS CITY WATER DISTRICT</t>
  </si>
  <si>
    <t>MUNICIPALITY OF SIBONGA, CEBU</t>
  </si>
  <si>
    <t>MUNICIPALITY OF SAN JUAN, SIQUIJOR</t>
  </si>
  <si>
    <t>MUNICIPALITY OF ALOGUINSAN, CEBU</t>
  </si>
  <si>
    <t>MUNICIPALITY OF SALLAPADAN, ABRA</t>
  </si>
  <si>
    <t>BARANGAY CANLUCANI, DAPITAN CITY, ZAMBOANGA DEL NORTE</t>
  </si>
  <si>
    <t>DEPARTMENT OF PUBLIC WORKS AND HIGHWAYS - PALAWAN 3RD DEO</t>
  </si>
  <si>
    <t>MPW BASILAN DISTRICT ENGINEERING OFFICE</t>
  </si>
  <si>
    <t>CITY OF GAPAN, NUEVA ECIJA</t>
  </si>
  <si>
    <t>MUNICIPALITY OF VINTAR, ILOCOS NORTE</t>
  </si>
  <si>
    <t>MUNICIPALITY OF TALAVERA, NUEVA ECIJA</t>
  </si>
  <si>
    <t>BARANGAY CAPACUAN, PARACALE, CAMARINES NORTE</t>
  </si>
  <si>
    <t>MUNICIPALITY OF ROSELLER T. LIM, ZAMBOANGA SIBUGAY</t>
  </si>
  <si>
    <t>BARANGAY CAGANDUNGAN, LUNA, APAYAO</t>
  </si>
  <si>
    <t>NATIONAL HOUSING AUTHORITY</t>
  </si>
  <si>
    <t>BARANGAY BANGCUANGAN, STA. CRUZ, MARINDUQUE</t>
  </si>
  <si>
    <t>BARANGAY VILLA MARIA CLARA, QUEZON CITY</t>
  </si>
  <si>
    <t>BARANGAY CABALITIAN - SUAL PANGASINAN</t>
  </si>
  <si>
    <t>MUNICIPALITY OF SAN FRANCISCO, AGUSAN DEL SUR</t>
  </si>
  <si>
    <t>SK OF BARANGAY BARANGAY LIGTONG IV - ROSARIO CAVITE</t>
  </si>
  <si>
    <t xml:space="preserve">DEPARTMENT OF PUBLIC WORKS AND HIGHWAYS - ZAMBOANGA SIBUGAY </t>
  </si>
  <si>
    <t>BARANGAY MASAPANG, VICTORIA, LAGUNA</t>
  </si>
  <si>
    <t>PONTEVEDRA WATER DISTRICT (CAPIZ)</t>
  </si>
  <si>
    <t>DEPARTMENT OF EDUCATION - DIVISION OF IRIGA CITY</t>
  </si>
  <si>
    <t>BARANGAY POBLACION, SAN PACUAL, BATANGAS</t>
  </si>
  <si>
    <t>PHILIPPINE COCONUT AUTHORITY - CARAGA</t>
  </si>
  <si>
    <t>ENERGY REGULATORY COMMISSION</t>
  </si>
  <si>
    <t>BARANGAY LIGTONG IV ROSARIO CAVITE</t>
  </si>
  <si>
    <t>TAGUM CITY NATIONAL COMPREHENSIVE HIGH SCHOOL</t>
  </si>
  <si>
    <t>MUNICIPALITY OF SAN MIGUEL, BULACAN</t>
  </si>
  <si>
    <t>MALUKO ELEMENTARY SCHOOL - MANOLO FORTICH BUKIDNON</t>
  </si>
  <si>
    <t>MUNICIPALITY OF SAN NICOLAS, PANGASINAN</t>
  </si>
  <si>
    <t>BARANGAY POBLACION III, NAUJAN, ORIENTAL MINDORO</t>
  </si>
  <si>
    <t>BARANGAY LOBO, CATBALOGAN, SAMAR</t>
  </si>
  <si>
    <t xml:space="preserve">DEPARTMENT OF PUBLIC WORKS AND HIGHWAYS - SURIGAO DEL NORTE </t>
  </si>
  <si>
    <t>MINDANAO CENTRAL SANITARIUM &amp; GENERAL HOSPITAL</t>
  </si>
  <si>
    <t>MUNICIPALITY OF SAN FERNANDO, CAMARINES SUR</t>
  </si>
  <si>
    <t>MUNICIPALITY OF DAUIS, BOHOL</t>
  </si>
  <si>
    <t>MUNICIPALITY OF BALAOAN, LA UNION</t>
  </si>
  <si>
    <t>BARANGAY SAUB, MATANAO, DAVAO DEL SUR</t>
  </si>
  <si>
    <t>BARANGAY STO.TOMAS CLAVERIA CAGAYAN</t>
  </si>
  <si>
    <t>PROVINCE OF CEBU</t>
  </si>
  <si>
    <t>MUNICIPALITY OF BADIAN, CEBU</t>
  </si>
  <si>
    <t>MUNICIPALITY OF DINAPIGUE, ISABELA</t>
  </si>
  <si>
    <t>DEPARTMENT OF EDUCATION - DIVISION OF VALENCIA CITY</t>
  </si>
  <si>
    <t>BARANGAY LINAO, ORMOC CITY</t>
  </si>
  <si>
    <t>DEPARTMENT OF PUBLIC WORKS AND HIGHWAYS - NEGROS ORIENTAL 1S</t>
  </si>
  <si>
    <t>BARANGAY BALOYBOAN - PAGADIAN CITY</t>
  </si>
  <si>
    <t>ENVIRONMENTAL MANAGEMENT BUREAU  - REG IV - A, CALABARZON</t>
  </si>
  <si>
    <t>CABANGAN HIGH SCHOOL - LEGAZPI CITY ALBAY</t>
  </si>
  <si>
    <t>MUNICIPALITY OF  PANAON, MISAMIS OCCIDENTAL</t>
  </si>
  <si>
    <t>MUNICIPALITY  OF NUMANCIA, AKLAN</t>
  </si>
  <si>
    <t>DEPARTMENT OF TRADE &amp; INDUSTRY - PROVINCE OF DINAGAT ISLANDS</t>
  </si>
  <si>
    <t>BARANGAY BAGBAG I ROSARIO CAVITE</t>
  </si>
  <si>
    <t>BARANGAY JABOYOAN, AROROY, MASBATE</t>
  </si>
  <si>
    <t>BARANGAY 56-B, BACSIL SOUTH, LAOAG, ILOCOS NORTE</t>
  </si>
  <si>
    <t>BARANGAY BICOK TUAO CAGAYAN</t>
  </si>
  <si>
    <t>PHILIPPINE NATIONAL POLICE - HEALTH SERVICE</t>
  </si>
  <si>
    <t>WEST VISAYAS STATE UNIVERSITY MEDICAL CENTER - REGION VI</t>
  </si>
  <si>
    <t>DEPARTMENT OF PUBLIC WORKS AND HIGHWAYS - CATANDUANES ED</t>
  </si>
  <si>
    <t>BARANGAY BAGONG SIKAT , LEMERY, BATANGAS</t>
  </si>
  <si>
    <t>BARANGAY LAKAMBINI - TUAO CAGAYAN</t>
  </si>
  <si>
    <t>CITY OF GUIHULNGAN, NEGROS ORIENTAL</t>
  </si>
  <si>
    <t>BANGKO SENTRAL NG PILIPINAS - DAGUPAN BRANCH</t>
  </si>
  <si>
    <t>MUNICIPALITY OF SAN JOSE, ROMBLON</t>
  </si>
  <si>
    <t>BARANGAY HIMAKILO, BONTOC SOUTHERN LEYTE</t>
  </si>
  <si>
    <t>MUNICIPALITY OF NUEVA ERA, ILOCOS NORTE</t>
  </si>
  <si>
    <t>BARANGAY CENTRO 2, TUAO, CAGAYAN</t>
  </si>
  <si>
    <t>BARANGAY BANGON, AROROY, MASBATE</t>
  </si>
  <si>
    <t>BARANGAY POBLACION II</t>
  </si>
  <si>
    <t>BARANGAY DUNGON, CONCEPCION, ILOILO</t>
  </si>
  <si>
    <t>LANDBANK OF THE PHILIPPINES - NEGROS ORIENTAL AND SIQUIJOR</t>
  </si>
  <si>
    <t>MUNICIPALITY OF LILOY, ZAMBOANGA DEL NORTE</t>
  </si>
  <si>
    <t>NATIONAL POWER CORPORATION SPUG-MINDANAO</t>
  </si>
  <si>
    <t>MUNICIPALITY OF DAO, CAPIZ</t>
  </si>
  <si>
    <t>BARANGAY ALABUG - TUAO CAGAYAN</t>
  </si>
  <si>
    <t>MUNICIPALITY OF BANAUE, IFUGAO</t>
  </si>
  <si>
    <t>DEPARTMENT OF BUDGET AND MANAGEMENT - REGIONAL OFFICE IX</t>
  </si>
  <si>
    <t>MUNICIPALITY OF MATANAO, DAVAO DEL SUR</t>
  </si>
  <si>
    <t>BARANGAY CANDADAM - BAYBAY CITY LEYTE</t>
  </si>
  <si>
    <t>CITY OF TAGBILARAN, BOHOL</t>
  </si>
  <si>
    <t>BARANGAY SAMPAGA, BATANGAS CITY, BATANGAS</t>
  </si>
  <si>
    <t>BARANGAY KANLURAN ROSARIO CAVITE</t>
  </si>
  <si>
    <t>SAN JOAQUIN BARANGAY PANDAN ANTIQUE</t>
  </si>
  <si>
    <t>DEPARTMENT OF PUBLIC WORKS AND HIGHWAYS - REGION I</t>
  </si>
  <si>
    <t>UNIVERSITY OF NORTHERN PHILIPPINES</t>
  </si>
  <si>
    <t>MUNICIPALITY OF ARGAO, CEBU</t>
  </si>
  <si>
    <t>STO. NIÑO WATER DISTRICT</t>
  </si>
  <si>
    <t>BARANGAY CABARBUHAN - SORSOGON CITY SORSOGON</t>
  </si>
  <si>
    <t>BARANGAY PINAHAN, NAUJAN, ORIENTAL MINDORO</t>
  </si>
  <si>
    <t>BARANGAY BIBINCAHAN, SORSOGON CITY</t>
  </si>
  <si>
    <t>NATIONAL DEVELOPMENT COMPANY</t>
  </si>
  <si>
    <t>BARANGAY SAN VICENTE (UPPER) - MACROHON SOUTHERN LEYTE</t>
  </si>
  <si>
    <t>MUNICIPALITY OF CLAVERIA, MASBATE</t>
  </si>
  <si>
    <t>BARANGAY  PANAMOREN - LAAK COMPOSTELA VALLEY</t>
  </si>
  <si>
    <t>CAUAYAN SOUTH CENTRAL SCHOOL - CAUAYAN CITY ISABELA</t>
  </si>
  <si>
    <t>DEPARTMENT OF EDUCATION - DIVISION OF CEBU CITY</t>
  </si>
  <si>
    <t>ENVIRONMENTAL MANAGEMENT BUREAU - REGION II</t>
  </si>
  <si>
    <t>MUNICIPALITY OF ECHAGUE, ISABELA</t>
  </si>
  <si>
    <t>BARANGAY GUADALUPE - BAYBAY CITY LEYTE</t>
  </si>
  <si>
    <t>BUREAU OF CUSTOMS - GENERAL SANTOS CITY</t>
  </si>
  <si>
    <t>BARANGAY MACABALAN, CAGAYAN DE ORO CITY</t>
  </si>
  <si>
    <t>UNIVERSITY OF SOUTHERN MINDANAO</t>
  </si>
  <si>
    <t>MUNICIPALITY OF CAMALIGAN, CAMARINES SUR</t>
  </si>
  <si>
    <t>BARANGAY LANGUB, ARGAO, CEBU</t>
  </si>
  <si>
    <t>BARANGAY TALAVERA, TAGANA-AN, SURIGAO DEL NORTE</t>
  </si>
  <si>
    <t>DEPARTMENT OF EDUCATION - REGION IX</t>
  </si>
  <si>
    <t>DEPARTMENT OF EDUCATION - DIVISION OF BUKIDNON</t>
  </si>
  <si>
    <t>MUNICIPALITY OF SIBAGAT, AGUSAN DEL SUR</t>
  </si>
  <si>
    <t>MUNICIPALITY OF HINDANG, LEYTE</t>
  </si>
  <si>
    <t>MUNICIPALITY OF DUMANGAS, ILOILO</t>
  </si>
  <si>
    <t>MUNICIPALITY OF SOLSONA, ILOCOS NORTE</t>
  </si>
  <si>
    <t>BUREAU OF FIRE PROTECTION - REGION X</t>
  </si>
  <si>
    <t>MUNICIPALITY OF SAN FERNANDO, BUKIDNON</t>
  </si>
  <si>
    <t>ISLAND GARDEN CITY OF SAMAL, DAVAO DEL NORTE</t>
  </si>
  <si>
    <t>MINISTRY OF HUMAN SETTLEMENTS AND DEVELOPMENT - COTABATO CIT</t>
  </si>
  <si>
    <t>MUNICIPALITY OF ROSARIO, LA UNION</t>
  </si>
  <si>
    <t>BARANGAY BACLAYAN - BOLJOON, CEBU</t>
  </si>
  <si>
    <t>MUNICIPALITY OF TADIAN, MOUNTAIN PROVINCE</t>
  </si>
  <si>
    <t>MUNICIPALITY OF BULAN, SORSOGON</t>
  </si>
  <si>
    <t>UNIVERSITY OF ANTIQUE - TARIO-LIM MEMORIAL CAMPUS</t>
  </si>
  <si>
    <t>CITY OF TALISAY, NEGROS OCCIDENTAL</t>
  </si>
  <si>
    <t>MUNICIPALITY OF BULUAN</t>
  </si>
  <si>
    <t>SOUTHERN ILOILO POLYTECHNIC COLLEGE, WVCST-MIAGAO BRANCH</t>
  </si>
  <si>
    <t>DEPARTMENT OF PUBLIC WORKS AND HIGHWAYS - IFUGAO</t>
  </si>
  <si>
    <t>BAGUIO GENERAL HOSPITAL AND MEDICAL CENTER</t>
  </si>
  <si>
    <t>DEPARTMENT OF TRADE AND INDUSTRY - REGION IV-B(MIMAROPA)</t>
  </si>
  <si>
    <t>BARANGAY TALOTO-AN, CONCEPCION, ILOILO</t>
  </si>
  <si>
    <t>BARANGAY SAN VICENTE, SAN JACINTO, PANGASINAN</t>
  </si>
  <si>
    <t>CITY OF ILAGAN WATER DISTRICT</t>
  </si>
  <si>
    <t>BARANGAY PANALICSICAN, CONCEPCION, TARLAC</t>
  </si>
  <si>
    <t>ILIGAN CITY NATIONAL HIGH SCHOOL</t>
  </si>
  <si>
    <t>LAND TRANSPORTATION OFFICE - REGION I</t>
  </si>
  <si>
    <t>MUNICIPALITY OF LIMAY, BATAAN</t>
  </si>
  <si>
    <t>ILOILO SCIENCE AND TECHNOLOGY UNIVERSITY</t>
  </si>
  <si>
    <t>DILAPA INTEGRATED SCHOOL DELAPA, QUEZON, BUKIDNON</t>
  </si>
  <si>
    <t>PHILIPPINE CARABAO CENTER</t>
  </si>
  <si>
    <t>BARANGAY SAN RAFAEL, STO. TOMAS, BATANGAS</t>
  </si>
  <si>
    <t>NATIONAL HOUSING AUTHORITY REGION IX</t>
  </si>
  <si>
    <t>MUNICIPALITY OF PRESIDENT ROXAS, CAPIZ</t>
  </si>
  <si>
    <t>DEPARTMENT OF EDUCATION - CAR</t>
  </si>
  <si>
    <t>GOVERNOR EMILIO GASTON MEMORIAL ELEMENTARY SCHOOL</t>
  </si>
  <si>
    <t>CITY OF SILAY, NEGROS OCCIDENTAL</t>
  </si>
  <si>
    <t>BARANGAY POBLACION STA. ELENA, CAMARINES NORTE</t>
  </si>
  <si>
    <t>MUNICIPALITY OF BATO, LEYTE</t>
  </si>
  <si>
    <t>BARANGAY BAYUIN, SOCORRO, ORIENTAL MINDORO</t>
  </si>
  <si>
    <t>STO. CRISTO ELEMENTARY SCHOOL - SARIAYA QUEZON</t>
  </si>
  <si>
    <t>MUNICIPALITY OF SAGADA, MOUNTAIN PROVINCE</t>
  </si>
  <si>
    <t>DEPARTMENT OF AGRARIAN REFORM - SOUTHERN LEYTE</t>
  </si>
  <si>
    <t>MUNICIPALITY OF INITAO, MISAMIS ORIENTAL</t>
  </si>
  <si>
    <t>DEPARTMENT OF AGRICULTURE - REGION VI</t>
  </si>
  <si>
    <t>DEPARTMENT OF PUBLIC WORKS AND HIGHWAYS - CAGAYAN 2ND DEO</t>
  </si>
  <si>
    <t>BARANGAY TANDARURA, LIGAO CITY</t>
  </si>
  <si>
    <t>MUNICIPALITY OF PILAR, CEBU</t>
  </si>
  <si>
    <t>BARANGAY LOWER BECERRIL, BOLJOON, CEBU</t>
  </si>
  <si>
    <t>DEPARTMENT OF EDUCATION - DIVISION OF BOHOL</t>
  </si>
  <si>
    <t>PHILIPPINE FISHERIES DEVELOPMENT AUTHORITY - NAVOTAS FISH PO</t>
  </si>
  <si>
    <t>MUNICIPALITY OF MAKILALA, NORTH COTABATO</t>
  </si>
  <si>
    <t>MUNICIPALITY OF MAGSINGAL - ILOCOS SUR</t>
  </si>
  <si>
    <t>DEPARTMENT OF PUBLIC WORKS AND HIGHWAYS - MARINDUQUE DEO</t>
  </si>
  <si>
    <t>CAGAYAN STATE UNIVERSITY - SANCHEZ MIRA</t>
  </si>
  <si>
    <t>PALOMPON INSTITUTE OF TECHNOLOGY - TABANGO CAMPUS</t>
  </si>
  <si>
    <t>DEPARTMENT OF EDUCATION - DIVISION OF CAMARINES NORTE</t>
  </si>
  <si>
    <t>MUNICIPALITY OF ASIPULO - IFUGAO</t>
  </si>
  <si>
    <t>DEPARTMENT OF ENVIRONMENT AND NATURAL RES. - PENRO, BOAC</t>
  </si>
  <si>
    <t>NATIONAL HOUSING AUTHORITY - REGION X</t>
  </si>
  <si>
    <t>MUNICIPALITY OF IMELDA, ZAMBOANGA SIBUGAY</t>
  </si>
  <si>
    <t>AKLAN STATE UNIVERSITY - CFMS</t>
  </si>
  <si>
    <t>PAG-IBIG FUND - REGION II</t>
  </si>
  <si>
    <t>MUNICIPALITY OF NABUA, CAMARINES SUR</t>
  </si>
  <si>
    <t>DEPARTMENT OF EDUCATION - DIVISION OF SAN PABLO CITY</t>
  </si>
  <si>
    <t>PINES CITY NATIONAL HIGH SCHOOL</t>
  </si>
  <si>
    <t>EASTERN VISAYAS STATE UNIVERSITY</t>
  </si>
  <si>
    <t>MUNICIPALITY OF BIRI, NORTHERN SAMAR</t>
  </si>
  <si>
    <t>DEPARTMENT OF PUBLIC WORKS AND HIGHWAYS - IFUGAO 2ND DEO</t>
  </si>
  <si>
    <t>DEPARTMENT OF LABOR AND EMPLOYMENT - ADMINISTRATIVE SERVICES</t>
  </si>
  <si>
    <t>DEPARTMENT OF PUBLIC WORKS AND HIGHWAYS - BUKIDNON 1ST DEO</t>
  </si>
  <si>
    <t>MUNICIPALITY OF SIATON, NEGROS ORIENTAL</t>
  </si>
  <si>
    <t>DEPARTMENT OF ENVIRONMENT AND NATURAL RES. - PENRO - XI</t>
  </si>
  <si>
    <t>MUNICIPALITY OF NAGCARLAN, LAGUNA</t>
  </si>
  <si>
    <t>DEPARTMENT OF PUBLIC WORKS AND HIGHWAYS - ABRA ED</t>
  </si>
  <si>
    <t>DEPARTMENT OF PUBLIC WORKS AND HIGHWAYS - RIZAL 1ST ED</t>
  </si>
  <si>
    <t>BARANGAY KAHIRUPAN, ILOILO CITY, ILOILO</t>
  </si>
  <si>
    <t>KATIPUNAN NATIONAL HIGH SCHOOL</t>
  </si>
  <si>
    <t>COTABATO SANITARIUM</t>
  </si>
  <si>
    <t>CITY OF BATAC, ILOCOS NORTE</t>
  </si>
  <si>
    <t>NATIONAL IRRIGATION ADMINISTRATION - CARAGA</t>
  </si>
  <si>
    <t>DEPARTMENT OF SCIENCE AND TECHNOLOGY</t>
  </si>
  <si>
    <t>DEPARTMENT OF EDUCATION - DIVISION OF TABUK CITY</t>
  </si>
  <si>
    <t>MUNICIPALITY OF ADAMS, ILOCOS NORTE</t>
  </si>
  <si>
    <t xml:space="preserve">DEPARTMENT OF PUBLIC WORKS AND HIGHWAYS - CAMARINES SUR 2ND </t>
  </si>
  <si>
    <t>LANGAON ELEMENTARY SCHOOL - BAUNGON BUKIDNON</t>
  </si>
  <si>
    <t>CANIOGAN ELEMENTARY SCHOOL - DIVISION OF PASIG CITY</t>
  </si>
  <si>
    <t>BARANGAY ALAC, SAN QUINTIN, PANGASINAN</t>
  </si>
  <si>
    <t>BARANGAY POBLACION ZONE 3, SAN QUINTIN, PANGASINAN</t>
  </si>
  <si>
    <t>BARANGAY LUBOGAN, DAVAO, DAVAO DEL SUR</t>
  </si>
  <si>
    <t>BARANGAY GAMUTON, CARRASCAL, SURIGAO DEL SUR</t>
  </si>
  <si>
    <t>MUNICIPALITY OF CARAMOAN, CAMARINES SUR</t>
  </si>
  <si>
    <t>BARANGAY LAGASIT, SAN QUINTIN, PANGASINAN</t>
  </si>
  <si>
    <t>BARANGAY CABALAOANGAN, SAN QUINTIN, PANGASINAN</t>
  </si>
  <si>
    <t>BARANGAY DAMPAS, TAGBILARAN CITY</t>
  </si>
  <si>
    <t>DEPARTMENT OF AGRARIAN REFORM - SARANGANI PROVINCE</t>
  </si>
  <si>
    <t>DEPARTMENT OF EDUCATION - DIVISION OF LEYTE</t>
  </si>
  <si>
    <t xml:space="preserve">CADUHA-AN NATIONAL HIGH SCHOOL (LUNA EXTENSION HIGH SCHOOL) </t>
  </si>
  <si>
    <t>BARANGAY NANGAPUGAN, SAN QUINTIN, PANGASINAN</t>
  </si>
  <si>
    <t>ALIMATOC ELEMENTARY SCHOOL</t>
  </si>
  <si>
    <t>MUNICIPALITY OF LAOANG, NORTHERN SAMAR</t>
  </si>
  <si>
    <t>NALA ELEMENTARY SCHOOL</t>
  </si>
  <si>
    <t>DEPARTMENT OF EDUCATION - DIVISION OF ISLAND GARDEN CITY</t>
  </si>
  <si>
    <t>BARANGAY POBLACION IV - TANAUAN CITY</t>
  </si>
  <si>
    <t>BARANGAY 380 ZONE 38 DISTRICT III, MANILA</t>
  </si>
  <si>
    <t>BARANGAY 42 ZONE 3 DISTRICT 1, MANILA</t>
  </si>
  <si>
    <t>SK OF BARANGAY NORTHSIDE - MAKATI CITY METRO MANILA</t>
  </si>
  <si>
    <t>BARANGAY CATIGBI-AN, TANAUAN, LEYTE</t>
  </si>
  <si>
    <t>BARANGAY 315 ZONE 32 DISTRICT 3, MANILA</t>
  </si>
  <si>
    <t>DEPARTMENT OF EDUCATION - DIVISION OF AURORA</t>
  </si>
  <si>
    <t>SOUTHVILLE 1 ELEMENTARY SCHOOL</t>
  </si>
  <si>
    <t>PULO NATIONAL HIGH SCHOOL - CABUYAO LAGUNA</t>
  </si>
  <si>
    <t>MINDANAO STATE UNIVERSITY - TAWI-TAWI</t>
  </si>
  <si>
    <t>BARANGAY SUMABNIT, BINALONAN, PANGASINAN</t>
  </si>
  <si>
    <t>MUNICIPALITY OF SAN CLEMENTE, TARLAC</t>
  </si>
  <si>
    <t>BARANGAY NABA - TIGBAUAN, ILOILO</t>
  </si>
  <si>
    <t>BARANGAY CADLAN, PILI, CAMARINES SUR</t>
  </si>
  <si>
    <t>BARANGAY 6A, TACLOBAN CITY, LEYTE</t>
  </si>
  <si>
    <t>DEPARTMENT OF AGRICULTURE MIMAROPA</t>
  </si>
  <si>
    <t>LUNG CENTER OF THE PHILIPPINES</t>
  </si>
  <si>
    <t>CAGBALETE I ELEMENTARY SCHOOL (ANNEX ES 10894) - MAUBAN QUEZ</t>
  </si>
  <si>
    <t>BARANGAY GOV. VICENTE DUTERTE, DAVAO CITY</t>
  </si>
  <si>
    <t>DEPARTMENT OF PUBLIC WORKS AND HIGHWAYS - COTABATO CITY DEO</t>
  </si>
  <si>
    <t>BARANGAY LABANGAL, GENERAL SANTOS CITY</t>
  </si>
  <si>
    <t>PROVINCE OF AGUSAN DEL SUR</t>
  </si>
  <si>
    <t>BARANGAY PULANTUBIG - DUMAGUETE CITY</t>
  </si>
  <si>
    <t>BARANGAY 775 ZONE 84 DISTRICT V, MANILA</t>
  </si>
  <si>
    <t>BARANGAY EAST REMBO, MAKATI CITY</t>
  </si>
  <si>
    <t>MARANGAL NATIONAL HIGH SCHOOL</t>
  </si>
  <si>
    <t>BARANGAY BATO - MABINAY,NEGROS ORIENTAL</t>
  </si>
  <si>
    <t>ANTIPOLO NATIONAL HIGH SCHOOL - MINALABAC CAMARINES SUR</t>
  </si>
  <si>
    <t>BARANGAY CABANBANAN, DIMIAO - DIMIAO BOHOL</t>
  </si>
  <si>
    <t>BARANGAY 24-C, DAVAO CITY</t>
  </si>
  <si>
    <t>BARANGAY POBLACION - KALAWIT ZAMBOANGA DEL NORTE</t>
  </si>
  <si>
    <t>MUNICIPALITY OF QUEZON, PALAWAN</t>
  </si>
  <si>
    <t>MUNICIPALITY OF SANTA MARIA, BULACAN</t>
  </si>
  <si>
    <t>BARANGAY KAHAPONAN, VALENCIA CITY</t>
  </si>
  <si>
    <t>CAMARINES NORTE STATE COLLEGE</t>
  </si>
  <si>
    <t>CAPIZ PROVINCIAL GOVERNMENT</t>
  </si>
  <si>
    <t>DEPARTMENT OF PUBLIC WORKS AND HIGHWAYS - LEYTE 3RD DEO</t>
  </si>
  <si>
    <t>SAGAY WATER DISTRICT</t>
  </si>
  <si>
    <t>DEPARTMENT OF PUBLIC WORKS AND HIGHWAYS - CAVITE II DISTRICT</t>
  </si>
  <si>
    <t>PROVINCIAL GOVERNMENT OF MASBATE</t>
  </si>
  <si>
    <t>TECHNICAL EDUCATION &amp; SKILLS DEVELOPMENT AUTHORITY-  ISABELA</t>
  </si>
  <si>
    <t>DEPARTMENT OF PUBLIC WORKS AND HIGHWAYS - BATANGAS 3RD ED</t>
  </si>
  <si>
    <t>ZAMBOANGA CITY MEDICAL CENTER</t>
  </si>
  <si>
    <t>DEPARTMENT OF EDUCATION - DIVISION OF LIGAO CITY</t>
  </si>
  <si>
    <t>PRIVATIZATION AND MANAGEMENT OFFICE</t>
  </si>
  <si>
    <t>PHILIPPINE FIBER INDUSTRY DEVELOPMENT AUTHORITY - NCR/REGION</t>
  </si>
  <si>
    <t>BARANGAY ROSARIO - LOPEZ QUEZON</t>
  </si>
  <si>
    <t>SK OF BARANGAY DANSULLAN - POLANCO ZAMBOANGA DEL NORTE</t>
  </si>
  <si>
    <t>MUNICIPALITY OF CAJIDIOCAN, ROMBLON</t>
  </si>
  <si>
    <t>BARANGAY AGAO-AO, RAGAY, CAMARINES SUR</t>
  </si>
  <si>
    <t>MANGATAREM NATIONAL HIGH SCHOOL</t>
  </si>
  <si>
    <t>CLARK DEVELOPMENT CORPORATION</t>
  </si>
  <si>
    <t>MUNICIPALITY OF DON VICTORIANO CHIONGBIAN, MIS. OCCIDENTAL</t>
  </si>
  <si>
    <t>BARANGAY STA. MONICA, NOVALICHES, QUEZON CITY</t>
  </si>
  <si>
    <t>BARANGAY TUPANG, ALCALA, CAGAYAN</t>
  </si>
  <si>
    <t>MUNICIPALITY OF GARCIA-HERNANDEZ, BOHOL</t>
  </si>
  <si>
    <t>DEPARTMENT OF ENVIRONMENT AND NATURAL RESOURCES - CENRO MATA</t>
  </si>
  <si>
    <t>BARANGAY CAGTING, UBAY, BOHOL</t>
  </si>
  <si>
    <t>SAN MANUEL WATER DISTRICT</t>
  </si>
  <si>
    <t>GUIMARAS NATIONAL CROPS RESEARCH, DEVELOPMENT &amp; PRODUCTION S</t>
  </si>
  <si>
    <t>DEPARTMENT OF PUBLIC WORKS AND HIGHWAYS - REGION II</t>
  </si>
  <si>
    <t>MUNICIPALITY OF MAIGO, LANAO DEL NORTE</t>
  </si>
  <si>
    <t>CITY OF URDANETA, PANGASINAN</t>
  </si>
  <si>
    <t>MUNICIPALITY OF GABALDON, NUEVA ECIJA</t>
  </si>
  <si>
    <t>BARANGAY VISAYAN VILLAGE, TAGUM CITY</t>
  </si>
  <si>
    <t>JOSE R. REYES MEMORIAL MEDICAL CENTER</t>
  </si>
  <si>
    <t>MUNICIPALITY OF KIBAWE , BUKIDNON</t>
  </si>
  <si>
    <t>BARANGAY TINAGO SAN ISIDRO LEYTE</t>
  </si>
  <si>
    <t>DEPARTMENT OF ENVIRONMENT AND NATURAL RES. - PENRO, PALAWAN</t>
  </si>
  <si>
    <t>MUNICIPALITY OF NEW LUCENA, ILOILO</t>
  </si>
  <si>
    <t>MUNICIPALITY OF SALCEDO, ILOCOS SUR</t>
  </si>
  <si>
    <t>BARANGAY SAN ISIDRO - MAUBAN QUEZON</t>
  </si>
  <si>
    <t>DEPARTMENT OF PUBLIC WORKS AND HIGHWAYS - DAVAO CITY II DEO</t>
  </si>
  <si>
    <t>PROVINCE OF BULACAN</t>
  </si>
  <si>
    <t>MUNICIPALITY OF ISULAN, SULTAN KUDARAT</t>
  </si>
  <si>
    <t>MUNICIPALITY OF BALANGKAYAN, EASTERN SAMAR</t>
  </si>
  <si>
    <t>MUNICIPALITY OF LAVEZARES, NORTHERN SAMAR</t>
  </si>
  <si>
    <t>PALAYAN CITY WATER DISTRICT</t>
  </si>
  <si>
    <t>BOHOL ISLAND STATE UNIVERSITY - MAIN CAMPUS</t>
  </si>
  <si>
    <t>MABINI WATER DISTRICT</t>
  </si>
  <si>
    <t>MUNICIPALITY OF TAPAZ, CAPIZ</t>
  </si>
  <si>
    <t>MUNICIPALITY OF CLARIN, BOHOL</t>
  </si>
  <si>
    <t>BARANGAY  BERSHIBA, KITAOTAO, BUKIDNON</t>
  </si>
  <si>
    <t>BARANGAY COGON SUR, LOON, BOHOL</t>
  </si>
  <si>
    <t>LIGA NG BARANGAY MAASIN ILOILO</t>
  </si>
  <si>
    <t>MUNICIPALITY OF PALAPAG, NORTHERN SAMAR</t>
  </si>
  <si>
    <t>BARANGAY 267 ZONE 24 DISTRICT II, MANILA</t>
  </si>
  <si>
    <t>BARANGAY CATININGAN, SOCORRO, ORIENTAL MINDORO</t>
  </si>
  <si>
    <t>SK OF  BARANGAY MAGALLANES - MAKATI CITY</t>
  </si>
  <si>
    <t>BARANGAY RIZAL, MAKATI CITY</t>
  </si>
  <si>
    <t>BARANGAY PUDOC, BAUANG, LA UNION</t>
  </si>
  <si>
    <t>LUTUCAN CENTRAL SCHOOL - SARIAYA QUEZON</t>
  </si>
  <si>
    <t>BARANGAY STO.NINO, MARIKINA CITY</t>
  </si>
  <si>
    <t>MARIVELES NATIONAL HIGH SCHOOL - CABCABEN</t>
  </si>
  <si>
    <t>BARANGAY TAOD-OY, MUNICIPALITY OF MAGALLANES, AGUSAN DEL NOR</t>
  </si>
  <si>
    <t>PROVINCE OF BILIRAN</t>
  </si>
  <si>
    <t>MUNICIPALITY OF SAN JUAN, ILOCOS SUR</t>
  </si>
  <si>
    <t>BARANGAY POBLACION, BURDEOS, QUEZON</t>
  </si>
  <si>
    <t>PHILIPPINE HEALTH INSURANCE CORPORATION - REGION III</t>
  </si>
  <si>
    <t>BARANGAY ALANGILAN, ABUYOG, LEYTE</t>
  </si>
  <si>
    <t>CITY OF CANDON, ILOCOS SUR</t>
  </si>
  <si>
    <t>MUNICIPALITY OF MAASIN, ILOILO</t>
  </si>
  <si>
    <t>DEPARTMENT OF EDUCATION - DIVISION OF NAGA CITY</t>
  </si>
  <si>
    <t>MUNICIPALITY OF BASAY, NEGROS ORIENTAL</t>
  </si>
  <si>
    <t>BARANGAY MARAYKIT - SAN JUAN BATANGAS</t>
  </si>
  <si>
    <t>BARANGAY BULAON, SAN FERNANDO, PAMPANGA</t>
  </si>
  <si>
    <t>NATIONAL IRRIGATION ADMINISTRATION - MAGUINDANAO</t>
  </si>
  <si>
    <t>BARANGAY MAILAG, VALENCIA CITY</t>
  </si>
  <si>
    <t>MUNICIPALITY OF GREGORIO DEL PILAR, ILOCOS SUR</t>
  </si>
  <si>
    <t>BARANGAY CANTANDOG I, HILONGOS, LEYTE</t>
  </si>
  <si>
    <t>BARANGAY BALIWAGAN, BALAMBAN, CEBU</t>
  </si>
  <si>
    <t>BARANGAY BANABA CENTER, BATANGAS CITY</t>
  </si>
  <si>
    <t>CITY OF TAGUM, DAVAO DEL NORTE</t>
  </si>
  <si>
    <t>DEPARTMENT OF PUBLIC WORKS AND HIGHWAYS - LEYTE 4TH DEO</t>
  </si>
  <si>
    <t>BARANGAY SAN VICENTE, MACARTHUR, LEYTE</t>
  </si>
  <si>
    <t>MUNICIPALITY OF BARLIG MOUNTAIN PROVINCE</t>
  </si>
  <si>
    <t>MUNICIPALITY OF CARCAR, CEBU</t>
  </si>
  <si>
    <t>DEPARTMENT OF AGRARIAN REFORM - BATAAN</t>
  </si>
  <si>
    <t>MUNICIPALITY OF HINOBA-AN, NEGROS OCCIDENTAL</t>
  </si>
  <si>
    <t>MUNICIPALITY OF ROSARIO, NORTHERN SAMAR</t>
  </si>
  <si>
    <t>NATIONAL IRRIGATION ADMINISTRATION - MALITUBOG-MARIDAGAO IRR</t>
  </si>
  <si>
    <t>MUNICIPALITY OF APALIT, PAMPANGA</t>
  </si>
  <si>
    <t>MUNICIPALITY OF DANGLAS, ABRA</t>
  </si>
  <si>
    <t>PHILIPPINE AMUSEMENT AND GAMING CORPORATION - ANGELES</t>
  </si>
  <si>
    <t>LIGA NG MGA BARANGAY - ALIMODIAN ILOILO</t>
  </si>
  <si>
    <t>MUNICIPALITY OF SAN NICOLAS, ILOCOS NORTE</t>
  </si>
  <si>
    <t>BARANGAY BAGAHABAG SOLANO NUEVA VIZCAYA</t>
  </si>
  <si>
    <t>BARANGAY BATU-PARADA, STA. ANA, CAGAYAN</t>
  </si>
  <si>
    <t>BARANGAY CAÑORONG, GINATILAN, CEBU</t>
  </si>
  <si>
    <t>MUNICIPALITY OF PILA, LAGUNA</t>
  </si>
  <si>
    <t>PROVINCE OF LANAO DEL SUR</t>
  </si>
  <si>
    <t>BARANGAY CUTA, BATANGAS CITY</t>
  </si>
  <si>
    <t>BARANGAY 1 POBLACION GENERAL LUNA QUEZON</t>
  </si>
  <si>
    <t>MUNICIPALITY OF MAHAYAG, ZAMBOANGA DEL SUR</t>
  </si>
  <si>
    <t>MUNICIPALITY OF QUEZON , BUKIDNON</t>
  </si>
  <si>
    <t>MUNICIPALITY OF MACROHON, SOUTHERN LEYTE</t>
  </si>
  <si>
    <t>BARANGAY STA. FE, MATALOM, LEYTE</t>
  </si>
  <si>
    <t>BARANGAY MAYABOBO, CANDELARIA, QUEZON</t>
  </si>
  <si>
    <t>MUNICIPALITY OF LIBACAO, AKLAN</t>
  </si>
  <si>
    <t>BARANGAY POBLACION, KAPATAGAN, LANAO DEL NORTE</t>
  </si>
  <si>
    <t>LAND BANK OF THE PHILIPPINES - OAH IV-B</t>
  </si>
  <si>
    <t>BARANGAY GAPAS - GUINAYANGAN QUEZON</t>
  </si>
  <si>
    <t>MUNICIPALITY OF BURDEOS, QUEZON</t>
  </si>
  <si>
    <t>GOLDENVILLE ELEMENTARY SCHOOL</t>
  </si>
  <si>
    <t>MUNICIPALITY OF AGDANGAN, QUEZON</t>
  </si>
  <si>
    <t>BARANGAY PUDI KASIBU NUEVA VIZCAYA</t>
  </si>
  <si>
    <t>MUNICIPALITY OF VICTORIA, LAGUNA</t>
  </si>
  <si>
    <t>BARANGAY BUKAL SUR, CANDELARIA, QUEZON</t>
  </si>
  <si>
    <t>BARANGAY ANTAO ,CARMEN SURIGAO DEL SUR</t>
  </si>
  <si>
    <t>GENERAL TINIO WATER DISTRICT</t>
  </si>
  <si>
    <t>DEPARTMENT OF EDUCATION - DIVISION OF ZAMBOANGA CITY</t>
  </si>
  <si>
    <t>PHILIPPINE HEALTH INSURANCE CORPORATION - REGION IX</t>
  </si>
  <si>
    <t>MAJADA IN NATIONAL HIGH SCHOOL</t>
  </si>
  <si>
    <t>BARANGAY DON MANUEL - QUEZON CITY</t>
  </si>
  <si>
    <t>BARANGAY KAGUMAY - BAYBAY CITY LEYTE</t>
  </si>
  <si>
    <t>MUNICIPALITY OF JONES, ISABELA</t>
  </si>
  <si>
    <t>BARANGAY RIZAL - SORSOGON CITY SORSOGON</t>
  </si>
  <si>
    <t>MUNICIPALITY OF KIBUNGAN, BENGUET</t>
  </si>
  <si>
    <t>BANGKO SENTRAL NG PILIPINAS - LUCENA</t>
  </si>
  <si>
    <t>PHILIPPINE NATIONAL POLICE - REGION VII</t>
  </si>
  <si>
    <t>BARANGAY MAGSAYSAY, LOPEZ, QUEZON</t>
  </si>
  <si>
    <t>BARANGAY STA. CLARA, BATANGAS CITY, BATANGAS</t>
  </si>
  <si>
    <t>MUNICIPALITY OF CAWAYAN, MASBATE</t>
  </si>
  <si>
    <t>COMMISSION ON POPULATION - REGION III</t>
  </si>
  <si>
    <t>BARANGAY POBLACION, PITOGO, ZAMBOANGA DEL SUR</t>
  </si>
  <si>
    <t>PAROLE AND PROBATION ADMNISTRATION - REGION XII</t>
  </si>
  <si>
    <t>MUNICIPALITY OF TUDELA, CEBU</t>
  </si>
  <si>
    <t>DEPARTMENT OF PUBLIC WORKS AND HIGHWAYS - BATANGAS 2ND ED</t>
  </si>
  <si>
    <t>DEPARTMENT OF EDUCATION - DIVISION OF CAMARINES SUR</t>
  </si>
  <si>
    <t>MUNICIPALITY OF CABUSAO, CAMARINES SUR</t>
  </si>
  <si>
    <t>MUNICIPALITY OF SAN MIGUEL, BOHOL</t>
  </si>
  <si>
    <t>MUNICIPALITY OF DEL CARMEN, SURIGAO DEL NORTE</t>
  </si>
  <si>
    <t>MUNICIPALITY OF IPIL, ZAMBOANGA SIBUGAY</t>
  </si>
  <si>
    <t>BARANGAY IPIL, MAGDIWANG, ROMBLON</t>
  </si>
  <si>
    <t>SOUTHERN LEYTE STATE UNIVERSITY - TOMAS OPPUS</t>
  </si>
  <si>
    <t>PROVINCE OF AURORA</t>
  </si>
  <si>
    <t>DEPARTMENT OF PUBLIC WORKS AND HIGHWAYS - ILOILO CITY DEO</t>
  </si>
  <si>
    <t>MUNICIPALITY OF DAPA, SURIGAO DEL NORTE</t>
  </si>
  <si>
    <t>MUNICIPALITY OF TITAY, ZAMBOANGA SIBUGAY</t>
  </si>
  <si>
    <t>BARANGAY JALANDONI WILSON CITY PROPER, ILOILO CITY</t>
  </si>
  <si>
    <t>CITY OF TUGUEGARAO, CAGAYAN</t>
  </si>
  <si>
    <t>MUNICIPALITY OF URBIZTONDO, PANGASINAN</t>
  </si>
  <si>
    <t>BARANGAY MACALIBRE - SERGIO OSMEÑA, ZAMBOANGA DEL NORTE</t>
  </si>
  <si>
    <t>BARANGAY ARACAY -  PANDAN ANTIQUE</t>
  </si>
  <si>
    <t>MUNICIPALITY OF TAMBULIG, ZAMBOANGA DEL SUR</t>
  </si>
  <si>
    <t>BENIGNO S. AQUINO NATIONAL HIGH SCHOOL</t>
  </si>
  <si>
    <t>SANDIGANBAYAN</t>
  </si>
  <si>
    <t>CITY OF MUNTINLUPA</t>
  </si>
  <si>
    <t>MUNICIPALITY OF TRENTO, AGUSAN DEL SUR</t>
  </si>
  <si>
    <t>BARANGAY MINAPAN - TULUNAN COTABATO</t>
  </si>
  <si>
    <t>CENTRAL BICOL STATE UNIVERSITY OF AGRICULTURE-SIPOCOT CAMPUS</t>
  </si>
  <si>
    <t>CIVIL AVIATION AUTHORITY OF THE PHILIPPINES - DUMAGUETE</t>
  </si>
  <si>
    <t>CITY  OF HIMAMAYLAN, NEGROS OCCIDENTAL</t>
  </si>
  <si>
    <t>BARANGAY STO. TOMAS PROPER BAGUIO CITY BENGUET</t>
  </si>
  <si>
    <t>DEPARTMENT OF PUBLIC WORKS AND HIGHWAYS - REGION XI</t>
  </si>
  <si>
    <t>BARANGAY CASILI GUBAT SORSOGON</t>
  </si>
  <si>
    <t>BARANGAY LIBJO - BATANGAS CITY</t>
  </si>
  <si>
    <t>BARANGAY STO. CRISTO, BAGO BANTAY</t>
  </si>
  <si>
    <t>BARANGAY UTANAN - HILONGOS, LEYTE</t>
  </si>
  <si>
    <t>BARANGAY CENTRO, STA. ANA, CAGAYAN</t>
  </si>
  <si>
    <t>BARANGAY CENTRO WEST, ALLACAPAN. CAGAYAN</t>
  </si>
  <si>
    <t>PHILIPPINE HEALTH INSURANCE CORPORATION - REGION VIII</t>
  </si>
  <si>
    <t>PHILIPPINE NATIONAL OIL COMPANY - MAIN OFFICE</t>
  </si>
  <si>
    <t>DEPARTMENT OF INFORMATION AND COMMUNICATIONS TECHNOLOGY - DA</t>
  </si>
  <si>
    <t>GINGOOG CITY WATER DISTRICT</t>
  </si>
  <si>
    <t>PUERTO PRINCESA CITY WATER DISTRICT</t>
  </si>
  <si>
    <t>BARANGAY 574 ZONE 56 DIST IV</t>
  </si>
  <si>
    <t>BARANGAY DALUPAON,PASACAO,CAMARINES SUR</t>
  </si>
  <si>
    <t>FOOD TERMINAL INCORPORATED</t>
  </si>
  <si>
    <t>CONCEPCION WATER DISTRICT</t>
  </si>
  <si>
    <t>BARANGAY TAGBAC SUR, OTON, ILOILO</t>
  </si>
  <si>
    <t>MUNICIPALITY OF CALACA, BATANGAS</t>
  </si>
  <si>
    <t>RIO TUBA CENTRAL SCHOOL</t>
  </si>
  <si>
    <t>MUNICIPALITY OF CATARMAN, CAMIGUIN</t>
  </si>
  <si>
    <t>MUNICIPALITY OF KIAMBA, SARANGANI</t>
  </si>
  <si>
    <t>MUNICIPALITY OF DANAO, BOHOL</t>
  </si>
  <si>
    <t>BARANGAY GUYAM MUNTI INDANG CAVITE</t>
  </si>
  <si>
    <t>MUNICIPALITY OF CARMEN, CEBU</t>
  </si>
  <si>
    <t>BARANGAY BUCAL CALATAGAN BATANGAS</t>
  </si>
  <si>
    <t>DEPARTMENT OF PUBLIC WORKS AND HIGHWAYS - SULTAN KUDARAT 2ND</t>
  </si>
  <si>
    <t>BARANGAY PARAISO, CALATAGAN, BATANGAS</t>
  </si>
  <si>
    <t>BARANGAY MABINI, BURDEOS, QUEZON</t>
  </si>
  <si>
    <t>DEPARTMENT OF EDUCATION - DIVISION OF SOUTHERN LEYTE</t>
  </si>
  <si>
    <t>BARANGAY MABNANG CLAVERIA CAGAYAN</t>
  </si>
  <si>
    <t>MUNICIPALITY OF GLORIA, ORIENTAL MINDORO</t>
  </si>
  <si>
    <t>DEPARTMENT OF LABOR AND EMPLOYMENT - REGION XII</t>
  </si>
  <si>
    <t>BARANGAY ORAS, TABACO CITY</t>
  </si>
  <si>
    <t>DEPARTMENT OF EDUCATION - DIVISION OF SAN FERNANDO CITY</t>
  </si>
  <si>
    <t>MUNICIPALITY OF BALUNGAO, PANGASINAN</t>
  </si>
  <si>
    <t>MUNICIPALITY OF GOV. GENEROSO, DAVAO ORIENTAL</t>
  </si>
  <si>
    <t>MUNICIPALITY OF ROSARIO, BATANGAS</t>
  </si>
  <si>
    <t>MUNICIPALITY OF STA. MARIA, ROMBLON</t>
  </si>
  <si>
    <t>NATIONAL FOOD AUTHORITY - REGION V</t>
  </si>
  <si>
    <t>DEPARTMENT OF PUBLIC WORKS AND HIGHWAYS - CEBU 1ST DEO</t>
  </si>
  <si>
    <t>BARANGAY MAYAPOSI - MABINAY NEGROS ORIENTAL</t>
  </si>
  <si>
    <t>DEPARTMENT OF PUBLIC WORKS AND HIGHWAYS - REGION IV-A</t>
  </si>
  <si>
    <t>BARANGAY SAN BENITO, LIPA CITY</t>
  </si>
  <si>
    <t>UWISAN ELEMENTARY SCHOOL</t>
  </si>
  <si>
    <t>BARANGAY POBLACION, TAYTAY, PALAWAN</t>
  </si>
  <si>
    <t>BARANGAY SAMPAGUITA, LIPA CITY</t>
  </si>
  <si>
    <t>POBLACION NATIONAL HIGH SCHOOL - MUNTINLUPA CITY METRO MANIL</t>
  </si>
  <si>
    <t>BARANGAY LINGLINGAY</t>
  </si>
  <si>
    <t>BARANGAY BONBON, OPOL, MISAMIS ORIENTAL</t>
  </si>
  <si>
    <t>KAWAYAN ELEMNTARY SCHOOL</t>
  </si>
  <si>
    <t>BARANGAY BULAG - BANTAY ILOCOS SUR</t>
  </si>
  <si>
    <t>BARANGAY AN-ANNAM  - BANTAY ILOCOS SUR</t>
  </si>
  <si>
    <t>NATIONAL FOOD AUTHORITY - REGION IV</t>
  </si>
  <si>
    <t>PHILIPPINE SCIENCE HIGH SCHOOL - CENTRAL MINDANAO CAMPUS</t>
  </si>
  <si>
    <t>CITY OF TAYABAS, QUEZON</t>
  </si>
  <si>
    <t>BARANGAY CAMBALEON, SAN ISIDRO, DAVAO ORIENTAL</t>
  </si>
  <si>
    <t>MUNICIPALITY OF BONIFACIO, MISAMIS OCCIDENTAL</t>
  </si>
  <si>
    <t>DEPARTMENT OF EDUCATION - DIVISION OF BAYUGAN CITY</t>
  </si>
  <si>
    <t>BARANGAY  ANAPOLON ARAKAN COTABATO</t>
  </si>
  <si>
    <t>SAN MIGUEL ELEMENTARY SCHOOL - MANOLO FORTICH BUKIDNON</t>
  </si>
  <si>
    <t>BARANGAY LAZARETO, CALAPAN, ORIENTAL MINDORO</t>
  </si>
  <si>
    <t>COMMISSION ON HIGHER EDUCATION - MAIN</t>
  </si>
  <si>
    <t>NATIONAL IRRIGATION ADMINISTRATION - ZAMBOANGA SIBUGAY</t>
  </si>
  <si>
    <t>PHILIPPINE AIR FORCE</t>
  </si>
  <si>
    <t>MUNICIPALITY OF STA. ANA, PAMPANGA</t>
  </si>
  <si>
    <t>MUNICIPALITY OF CALAUAG, QUEZON</t>
  </si>
  <si>
    <t>DEPARTMENT OF PUBLIC WORKS AND HIGHWAYS - BULACAN 1ST DEO</t>
  </si>
  <si>
    <t>MUNICIPALITY OF QUIRINO, ILOCOS SUR</t>
  </si>
  <si>
    <t>BARANGAY SABANG DANAO CITY</t>
  </si>
  <si>
    <t>PHILIPPINE OVERSEAS EMPLOYMENT ADMINISTRATION</t>
  </si>
  <si>
    <t>PA BAC SECRETARIAT, AFP PROCUREMENT SERVICE</t>
  </si>
  <si>
    <t>DEPARTMENT OF EDUCATION - MAIN</t>
  </si>
  <si>
    <t>BARANGAY MATIAO, MATI, DAVAO ORIENTAL</t>
  </si>
  <si>
    <t>BARANGAY TAVORA EAST, PUGO, LA UNION</t>
  </si>
  <si>
    <t>BARANGAY PITOGO, MAKATI CITY</t>
  </si>
  <si>
    <t>MUNICIPALITY OF KABACAN, COTABATO</t>
  </si>
  <si>
    <t>MUNICIPALITY OF NAVAL, BILIRAN</t>
  </si>
  <si>
    <t>MUNICIPALITY OF PINABACDAO, SAMAR</t>
  </si>
  <si>
    <t>BARANGAY POBLACION IV, TANZA, CAVITE</t>
  </si>
  <si>
    <t xml:space="preserve">DEPARTMENT OF  EDUCATION - SCHOOLS DIVISION OFFICE-DIVISION </t>
  </si>
  <si>
    <t>PHILIPPINE ARMY PROCUREMENT CENTER, AFP PROCUREMENT SERVICE</t>
  </si>
  <si>
    <t>BARANGAY PIGSALOHAN - GINGOOG CITY MISAMIS ORIENTAL</t>
  </si>
  <si>
    <t>MUNICIPALITY OF LANGIDEN, ABRA</t>
  </si>
  <si>
    <t>MUNICIPALITY OF MORONG, RIZAL</t>
  </si>
  <si>
    <t>PANGASINAN STATE UNIVERSITY - MAIN</t>
  </si>
  <si>
    <t>BARANGAY DOMOIT, LUCENA CITY</t>
  </si>
  <si>
    <t>BARANGAY GULANG GULANG, LUCENA CITY</t>
  </si>
  <si>
    <t>BARANGAY AYUSAN, STA. LUCIA, ILOCOS SUR</t>
  </si>
  <si>
    <t>MUNICIPALITY OF TUBAY, AGUSAN DEL NORTE</t>
  </si>
  <si>
    <t>SECURITIES AND EXCHANGE COMMISSION</t>
  </si>
  <si>
    <t>NATIONAL ECONOMIC AND DEVELOPMENT AUTHORITY - REGION IX</t>
  </si>
  <si>
    <t>BARANGAY BURABOD, CALABANGA, CAMARINES SUR</t>
  </si>
  <si>
    <t>BARANGAY PAGSABANGAN, TAGUM CITY</t>
  </si>
  <si>
    <t>NATIONAL WAGES AND PRODUCTIVITY COMMISSION</t>
  </si>
  <si>
    <t>BARANGAY AURELIO SAN JOSE, DINAGAT ISLAND</t>
  </si>
  <si>
    <t>BARANGAY MAGSAYSAY NORTE CABANATUAN CITY,NUEVA ECIJA</t>
  </si>
  <si>
    <t>PARTIDO STATE UNIVERSITY - GOA CAMPUS</t>
  </si>
  <si>
    <t>RIZALUNA ELEMENTARY SCHOOL - CORDON ISABELA</t>
  </si>
  <si>
    <t>MUNICIPALITY OF LAS NIEVES , AGUSAN DEL NORTE</t>
  </si>
  <si>
    <t>MUNICIPALITY OF STA. CRUZ, ILOCOS SUR</t>
  </si>
  <si>
    <t>PROVINCE OF COMPOSTELA VALLEY</t>
  </si>
  <si>
    <t>BARANGAY PONSO, POLANGUI, ALBAY</t>
  </si>
  <si>
    <t>MUNICIPALITY OF SARANGANI, DAVAO OCCIDENTAL</t>
  </si>
  <si>
    <t>MUNICIPALITY OF ARITAO, NUEVA VIZCAYA</t>
  </si>
  <si>
    <t>BARANGAY POBLACION, SIBONGA, CEBU</t>
  </si>
  <si>
    <t>MUNICIPALITY OF CALABANGA, CAMARINES SUR</t>
  </si>
  <si>
    <t>MUNICIPALITY OF SAN JUAN, BATANGAS</t>
  </si>
  <si>
    <t>MUNICIPALITY OF TUBA, BENGUET</t>
  </si>
  <si>
    <t>KORONADAL WATER DISTRICT</t>
  </si>
  <si>
    <t>MUNICIPALITY OF LUCBAN, QUEZON</t>
  </si>
  <si>
    <t>BARANGAY 584 ZONE 57 DISTRICT IV, MANILA</t>
  </si>
  <si>
    <t>BARANGAY HAGBUAYA CATIGBIAN BOHOL</t>
  </si>
  <si>
    <t>PHILIPPINE MERCHANT MARINE ACADEMY</t>
  </si>
  <si>
    <t>BARANGAY STO NIÑO TUGBOK DISTRICT, DAVAO CITY</t>
  </si>
  <si>
    <t>MUNICIPALITY OF MALIMONO, SURIGAO DEL NORTE</t>
  </si>
  <si>
    <t>DEPARTMENT OF EDUCATION - DIVISION OF DAVAO ORIENTAL</t>
  </si>
  <si>
    <t>KAPAYAPAAN INTEGRATED SCHOOL - CALAMBA CITY LAGUNA</t>
  </si>
  <si>
    <t>MUNICIPALITY OF BAUAN, BATANGAS</t>
  </si>
  <si>
    <t>BARANGAY CARANGAN - OZAMIS CITY, MISAMIS OCCIDENTAL</t>
  </si>
  <si>
    <t>DEPARTMENT OF TRADE AND INDUSTRY - REGION VIII</t>
  </si>
  <si>
    <t>BARANGAY SAN ISIDRO, JARO, ILOILO</t>
  </si>
  <si>
    <t>MUNICIPALITY OF SAN ISIDRO, ISABELA</t>
  </si>
  <si>
    <t>BARANGAY STA. CATALINA - LA LIBERTAD ZAMBOANGA DEL NORTE</t>
  </si>
  <si>
    <t>JULIAN P. GOMILLA ELEMENTARY SCHOOL</t>
  </si>
  <si>
    <t>MUNICIPALITY OF VINCENZO SAGUN, ZAMBOANGA DEL SUR</t>
  </si>
  <si>
    <t>BARANGAY ATULAYAN NORTE - TUGUEGARAO CITY CAGAYAN</t>
  </si>
  <si>
    <t>BARANGAY DAMPIG, PAGUDPUD, ILOCOS NORTE</t>
  </si>
  <si>
    <t>PHILIPPINE DEPOSIT INSURANCE CORPORATION</t>
  </si>
  <si>
    <t>BARANGAY SAN ROQUE - ALAMINOS CITY</t>
  </si>
  <si>
    <t>MUNICIPALITY OF LARENA, SIQUIJOR</t>
  </si>
  <si>
    <t>BARANGAY MULANSONG - SAN PABLO ZAMBOANGA DEL SUR</t>
  </si>
  <si>
    <t>OFFICE OF THE CHIEF MINISTER  - BARMM</t>
  </si>
  <si>
    <t>MUNICIPALITY OF PAGSANJAN, LAGUNA</t>
  </si>
  <si>
    <t>MAHAYAG NATIONAL HIGH SCHOOL - MAHAYAG ZAMBOANGA DEL SUR</t>
  </si>
  <si>
    <t>BARANGAY BULACAN -PAYAO ZAMBOANGA SIBUGAY</t>
  </si>
  <si>
    <t>CENTER FOR HEALTH DEVELOPMENT - REGION IV-B (MIMAROPA)</t>
  </si>
  <si>
    <t>MUNICIPALITY OF PULILAN, BULACAN</t>
  </si>
  <si>
    <t>BARANGAY 2, SAN JOSE, ANTIQUE</t>
  </si>
  <si>
    <t>MUNICIPALITY OF BAUANG, LA UNION</t>
  </si>
  <si>
    <t>PEDRO T. MENDIOLA SR. MEMORIAL NATIONAL HIGH SCHOOL</t>
  </si>
  <si>
    <t>BARANGAY CALDONG -  SAMPALOC, QUEZON</t>
  </si>
  <si>
    <t>MUNICIPALITY OF SAN LUIS, PAMPANGA</t>
  </si>
  <si>
    <t>MUNICIPALITY OF JOSE DALMAN, ZAMBOANGA DEL NORTE</t>
  </si>
  <si>
    <t>MUNICIPALITY OF DINAGAT, DINAGAT ISLANDS</t>
  </si>
  <si>
    <t>CITY OF MALOLOS, BULACAN</t>
  </si>
  <si>
    <t>CALABANGA WATER DISTRICT</t>
  </si>
  <si>
    <t>MUNICIPALITY OF GUBAT, SORSOGON</t>
  </si>
  <si>
    <t>DEPARTMENT OF  EDUCATION - DIVISION OF SAN FERNANDO CITY</t>
  </si>
  <si>
    <t>MUNICIPALITY OF CARAGA, DAVAO ORIENTAL</t>
  </si>
  <si>
    <t>DEPARTMENT OF EDUCATION - DIVISION OF SURIGAO DEL NORTE</t>
  </si>
  <si>
    <t>MUNICIPALITY OF SAN LUIS, AURORA</t>
  </si>
  <si>
    <t>BARANGAY COGON, TANAUAN, LEYTE</t>
  </si>
  <si>
    <t>BARANGAY PICAS, TANAUAN, LEYTE</t>
  </si>
  <si>
    <t>BARANGAY BANTIGUE, PAGBILAO, QUEZON</t>
  </si>
  <si>
    <t>BARANGAY STA. CRUZ, SAN FRANCISCO, CEBU</t>
  </si>
  <si>
    <t>MUNICIPALITY OF PANDAN, ANTIQUE</t>
  </si>
  <si>
    <t>NORTHWESTERN MINDANAO STATE COLLEGE OF SCIENCE &amp; TECHNOLOGY</t>
  </si>
  <si>
    <t>DEPARTMENT OF PUBLIC WORKS AND HIGHWAYS - LAGUNA 1ST ED</t>
  </si>
  <si>
    <t>BARANGAY UNION, SAN FRANCISCO, CEBU</t>
  </si>
  <si>
    <t>BARANGAY SOLANGON - SAN JUAN SIQUIJOR</t>
  </si>
  <si>
    <t>PROVINCE OF TARLAC</t>
  </si>
  <si>
    <t>BARANGAY AÑATO, PAGBILAO, QUEZON</t>
  </si>
  <si>
    <t>BARANGAY TALIPAN, PAGBILAO, QUEZON</t>
  </si>
  <si>
    <t>MUNICIPALITY OF MABINI, BATANGAS</t>
  </si>
  <si>
    <t>EULOGIO "AMANG" RODRIGUEZ INSTITUTE OF SCIENCE AND TECH.</t>
  </si>
  <si>
    <t>MUNICIPALITY OF TALACOGON, AGUSAN DEL SUR</t>
  </si>
  <si>
    <t>BARANGAY BAYABAS AURORA ZAMBOANGA DEL SUR</t>
  </si>
  <si>
    <t>MUNICIPALITY OF BALO-I, LANAO DEL NORTE</t>
  </si>
  <si>
    <t>BARANGAY DUYONG PANDAN ANTIQUE</t>
  </si>
  <si>
    <t>BUREAU OF SOILS AND WATER MANAGEMENT</t>
  </si>
  <si>
    <t>MINISTRY OF PUBLIC WORKS - BARMM LANAO DEL SUR 2ND DEO</t>
  </si>
  <si>
    <t>MUNICIPALITY OF PRESIDENT CARLOS P. GARCIA, BOHOL</t>
  </si>
  <si>
    <t>DEPARTMENT OF PUBLIC WORKS AND HIGHWAYS - NCR</t>
  </si>
  <si>
    <t>MUNICIPALITY OF SAN NICOLAS, BATANGAS</t>
  </si>
  <si>
    <t>MUNICIPALITY OF GIGMOTO, CATANDUANES</t>
  </si>
  <si>
    <t>BARANGAY  SAN FRANCISCO - SAN NICOLAS ILOCOS NORTE</t>
  </si>
  <si>
    <t>BARANGAY MALAPOC  DANAO CITY CEBU</t>
  </si>
  <si>
    <t>CENTER FOR HEALTH DEVELOPMENT - REGION III</t>
  </si>
  <si>
    <t>DEPARTMENT OF TRADE AND INDUSTRY - MAIN</t>
  </si>
  <si>
    <t>BARANGAY DULONG BAYAN, MOGPOG, MARINDUQUE</t>
  </si>
  <si>
    <t>BARANGAY NEW LOWER BICUTAN, TAGUIG CITY</t>
  </si>
  <si>
    <t>MUNICIPALITY OF TUNGA, LEYTE</t>
  </si>
  <si>
    <t>PALO ALTO ELEMENTARY SCHOOL</t>
  </si>
  <si>
    <t>BARANGAY SAMBULAWAN, LEYTE, LEYTE</t>
  </si>
  <si>
    <t>BARANGAY CALIBAN - MURCIA NEGROS OCCIDENTAL</t>
  </si>
  <si>
    <t>DEPARTMENT OF EDUCATION - DIVISION OF DAVAO DEL NORTE</t>
  </si>
  <si>
    <t>MUNICIPALITY OF QUEZON, NUEVA VIZCAYA</t>
  </si>
  <si>
    <t>BARANGAY MARKET SITE, MOGPOG, MARINDUQUE</t>
  </si>
  <si>
    <t>BARANGAY SAN ANTONIO , STA CRUZ MARINDUQUE</t>
  </si>
  <si>
    <t>BARANGAY LAPU-LAPU, STA. CRUZ, MARINDUQUE</t>
  </si>
  <si>
    <t>BARANGAY SAN RAMON - SORSOGON CITY</t>
  </si>
  <si>
    <t>MUNICIPALITY OF OCAMPO, CAMARINES SUR</t>
  </si>
  <si>
    <t>BARANGAY TUGTUG, SAN JOSE, BATANGAS</t>
  </si>
  <si>
    <t>MUNICIPALITY OF SUAL -  PANGASINAN</t>
  </si>
  <si>
    <t>BARANGAY DIVISORIA, ZAMBOANGA CITY, ZAMBOANGA DEL SUR</t>
  </si>
  <si>
    <t>BUREAU OF FIRE PROTECTION - NCR</t>
  </si>
  <si>
    <t>BARANGAY BANCURO, NAUJAN, ORIENTAL MINDORO</t>
  </si>
  <si>
    <t>BARANGAY PANGHAYAAN - TAYSAN, BATANGAS</t>
  </si>
  <si>
    <t>BARANGAY NAPO, STA. CRUZ, MARINDUQUE</t>
  </si>
  <si>
    <t>BARANGAY STA. LUCIA, BACON, SOROGON CITY</t>
  </si>
  <si>
    <t>BARANGAY CARICARAN SORSOGON CITY SORSOGON</t>
  </si>
  <si>
    <t>MUNICIPALITY OF LLORENTE, EASTERN SAMAR</t>
  </si>
  <si>
    <t>NATIONAL IRRIGATION ADMINISTRATION - CBIMO</t>
  </si>
  <si>
    <t>MUNICIPALITY OF MENDEZ-NUÑEZ, CAVITE</t>
  </si>
  <si>
    <t>BARANGAY CAWAYANAN - MABINI BOHOL</t>
  </si>
  <si>
    <t>BARANGAY DEL ROSARIO - SORSOGON CITY</t>
  </si>
  <si>
    <t>MUNICIPALITY OF DASOL, PANGASINAN</t>
  </si>
  <si>
    <t>MUNICIPALITY OF STA. CATALINA, ILOCOS SUR</t>
  </si>
  <si>
    <t>MUNICIPALITY OF CULABA, BILIRAN</t>
  </si>
  <si>
    <t>SENIOR HIGH SCHOOL -BALABAC HIGH SCHOOL 1</t>
  </si>
  <si>
    <t>BARANGAY SAN RAFAEL VILLAGE, NAVOTAS</t>
  </si>
  <si>
    <t>UNIVERSITY OF THE PHILIPPINES - BAGUIO</t>
  </si>
  <si>
    <t>BARANGAY SAMPALOC EAST SORSOGON CITY SORSOGON</t>
  </si>
  <si>
    <t>BARANGAY RITAGLENDA - BASILISA DINAGAT ISLAND</t>
  </si>
  <si>
    <t>MUNICIPALITY OF CASTILLA, SORSOGON</t>
  </si>
  <si>
    <t>DEPARTMENT OF HEALTH - EASTERN VISAYAS CENTER FOR HEALTH DEV</t>
  </si>
  <si>
    <t>MUNICIPALITY OF BORBON, CEBU</t>
  </si>
  <si>
    <t>MUNICIPALITY OF GUAGUA, PAMPANGA</t>
  </si>
  <si>
    <t>BARANGAY LANNA ENRILE CAGAYAN</t>
  </si>
  <si>
    <t>MUNICIPALITY OF DINGLE, ILOILO</t>
  </si>
  <si>
    <t>BARANGAY GUN-OB - LAPU-LAPU CITY</t>
  </si>
  <si>
    <t>BARANGAY BADIANGON SOUTHERN LEYTE</t>
  </si>
  <si>
    <t>BARANGAY MATACLA - GOA CAMARINES SUR</t>
  </si>
  <si>
    <t>DEPARTMENT OF HEALTH - CAR OFFICE</t>
  </si>
  <si>
    <t>MUNICIPALITY OF KUMALARANG, ZAMBOANGA DEL SUR</t>
  </si>
  <si>
    <t>BARANGAY TINALIAN, ABUYOG, LEYTE</t>
  </si>
  <si>
    <t>AGUDO ELEMENTARY SCHOOL</t>
  </si>
  <si>
    <t>PHILIPPINE NATIONAL POLICE - REGION XI</t>
  </si>
  <si>
    <t>LUBAO WATER DISTRICT</t>
  </si>
  <si>
    <t>BARANGAY ANAJAO, ARGAO, CEBU</t>
  </si>
  <si>
    <t>BARANGAY  DAGUPAN - TUAO CAGAYAN</t>
  </si>
  <si>
    <t>BARANGAY PAGSANG-AN, ABUYOG, LEYTE</t>
  </si>
  <si>
    <t>GUIUAN WATER DISTRICT</t>
  </si>
  <si>
    <t>TARIFF COMMISSION, NEDA</t>
  </si>
  <si>
    <t>BARANGAY COGON - KAPUTIAN</t>
  </si>
  <si>
    <t>MUNICIPALITY OF LAGAWE, IFUGAO</t>
  </si>
  <si>
    <t>MUNICIPALITY OF SAN ANDRES, QUEZON</t>
  </si>
  <si>
    <t>MUNICIPALITY OF SAN JORGE, SAMAR</t>
  </si>
  <si>
    <t>MUNICIPALITY OF SIBULAN, NEGROS ORIENTAL</t>
  </si>
  <si>
    <t>BARANGAY MADDARULUG SUR - ENRILE CAGAYAN</t>
  </si>
  <si>
    <t>DEPARTMENT OF EDUCATION - DIVISION OF ILIGAN CITY</t>
  </si>
  <si>
    <t>DEPARTMENT OF PUBLIC WORKS AND HIGHWAYS - METRO MANILA 1ST E</t>
  </si>
  <si>
    <t>CIRIACO P. TINGA ELEMENTARY SCHOOL</t>
  </si>
  <si>
    <t>BARANGAY BAGUMBAYAN, TUAO, CAGAYAN</t>
  </si>
  <si>
    <t>MUNICIPALITY OF SAN TEODORO, ORIENTAL MINDORO</t>
  </si>
  <si>
    <t>MUNICIPALITY OF DUMARAN, PALAWAN</t>
  </si>
  <si>
    <t>BARANGAY BARANCUAG - TUAO CAGAYAN</t>
  </si>
  <si>
    <t>SUPREME COURT OF THE PHILIPPINES</t>
  </si>
  <si>
    <t>MUNICIPALITY OF DAGOHOY, BOHOL</t>
  </si>
  <si>
    <t>SULTAN KUDARAT STATE UNIVERSITY</t>
  </si>
  <si>
    <t>PHILIPPINE COCONUT AUTHORITY - REGION XII</t>
  </si>
  <si>
    <t>MUNICIPALITY OF VIRAC , CATANDUANES</t>
  </si>
  <si>
    <t>MUNICIPALITY OF SAN DIONISIO, ILOILO</t>
  </si>
  <si>
    <t>MUNICIPALITY OF BARCELONA, SORSOGON</t>
  </si>
  <si>
    <t>MUNICIPALITY OF ALANGALANG, LEYTE</t>
  </si>
  <si>
    <t>MUNICIPALITY OF CABATUAN, ISABELA</t>
  </si>
  <si>
    <t>MUNICIPALITY OF MEDINA, MISAMIS ORIENTAL</t>
  </si>
  <si>
    <t>BARANGAY RANG AY, CABATUAN, ISABELA</t>
  </si>
  <si>
    <t>BARANGAY BURIAS, MAMBUSAO, CAPIZ</t>
  </si>
  <si>
    <t>DEPARTMENT OF ENVIRONMENT AND NATURAL RES. - PENRO, ILOILO</t>
  </si>
  <si>
    <t>BARANGAY BALAT-AN, MAMBUSAO, CAPIZ</t>
  </si>
  <si>
    <t>BARANGAY NAPNAPAN NORTE, TIGBAUAN, ILOILO</t>
  </si>
  <si>
    <t>MUNICIPALITY OF ASUNCION, DAVAO DEL NORTE</t>
  </si>
  <si>
    <t>BARANGAY CARANGIAN, TARLAC CITY, TARLAC</t>
  </si>
  <si>
    <t>DEVELOPMENT BANK OF THE PHILIPPINES - TACLOBAN BRANCH</t>
  </si>
  <si>
    <t>MUNICIPALITY OF BACONG, NEGROS ORIENTAL</t>
  </si>
  <si>
    <t>SCIENCE CITY OF MUÑOZ, NUEVA ECIJA</t>
  </si>
  <si>
    <t>MUNICIPALITY OF BARILI, CEBU</t>
  </si>
  <si>
    <t>MUNICIPALITY OF KAWIT,CAVITE</t>
  </si>
  <si>
    <t>BARANGAY MAGAPUY, BAYOMBONG, NUEVA VIZCAYA</t>
  </si>
  <si>
    <t>IFUGAO STATE UNIVERSITY</t>
  </si>
  <si>
    <t>BARANGAY GOGO - ESTANCIA ILOILO</t>
  </si>
  <si>
    <t>DEPARTMENT OF PUBLIC WORKS AND HIGHWAYS - DAVAO DEL NORTE DE</t>
  </si>
  <si>
    <t>VALENZUELA MEDICAL CENTER</t>
  </si>
  <si>
    <t>BARANGAY UBAUB, ARGAO, CEBU</t>
  </si>
  <si>
    <t>MUNICIPALITY OF PITOGO, QUEZON</t>
  </si>
  <si>
    <t>MUNICIPALITY OF VICTORIA, NORTHERN SAMAR</t>
  </si>
  <si>
    <t>MUNICIPALITY OF BENITO SOLIVEN, ISABELA</t>
  </si>
  <si>
    <t>MUNICIPALITY OF KAYAPA, NUEVA VIZCAYA</t>
  </si>
  <si>
    <t>MUNICIPALITY OF PASTRANA, LEYTE</t>
  </si>
  <si>
    <t>NATIONAL MARITIME POLYTECHNIC - REGION VIII</t>
  </si>
  <si>
    <t>PAGADIAN WATER DISTRICT</t>
  </si>
  <si>
    <t>METRO KALIBO WATER DISTRICT</t>
  </si>
  <si>
    <t>BARANGAY SAGUINSINAN - PITOGO QUEZON</t>
  </si>
  <si>
    <t>DEPARTMENT OF AGRARIAN REFORM - AGUSAN DEL SUR</t>
  </si>
  <si>
    <t>MUNICIPALITY OF LEBAK, SULTAN KUDARAT</t>
  </si>
  <si>
    <t>POLYTECHNIC UNIVERSITY OF THE PHILIPPINES</t>
  </si>
  <si>
    <t>MUNICIPALITY OF LIBJO, DINAGAT ISLANDS</t>
  </si>
  <si>
    <t>DEPARTMENT OF EDUCATION - DIVISION OF EL SALVADOR CITY</t>
  </si>
  <si>
    <t>MUNICIPALITY OF ASTURIAS, CEBU</t>
  </si>
  <si>
    <t>ASSOCIATION OF BARANGAY TREASURERS - GEN. MAMERTO NATIVIDAD</t>
  </si>
  <si>
    <t>BARANGAY CABULIHAN - LIMASAWA SOUTHERN LEYTE</t>
  </si>
  <si>
    <t>BARANGAY TUBAN, STA. CRUZ, DAVAO DEL SUR</t>
  </si>
  <si>
    <t>MUNICIPALITY OF GAMAY, NORTHERN SAMAR</t>
  </si>
  <si>
    <t>MUNICIPALITY OF KAUSWAGAN, LANAO DEL NORTE</t>
  </si>
  <si>
    <t>BARANGAY DONA FLAVIA, SAN LUIS, AGUSAN DEL SUR</t>
  </si>
  <si>
    <t>BARANGAY MANINANG, SAPIAN, CAPIZ</t>
  </si>
  <si>
    <t>MACALINAO ELEMENTARY SCHOOL</t>
  </si>
  <si>
    <t>BARANGAY SIPITAN-BADIANG, GUIMBAL, ILOILO</t>
  </si>
  <si>
    <t>BARANGAY INMALOG, SISON, PANGASINAN</t>
  </si>
  <si>
    <t>MUNICIPALITY OF LEON B. POSTIGO, ZAMBOANGA DEL NORTE</t>
  </si>
  <si>
    <t>SK OF BARANGAY BANGKAL - MAKATI CITY</t>
  </si>
  <si>
    <t>BARANGAY SAN VICENTE BACON  SORSOGON CITY</t>
  </si>
  <si>
    <t>BARANGAY TALAGA, ARGAO, CEBU</t>
  </si>
  <si>
    <t>DEPARTMENT OF PUBLIC WORKS AND HIGHWAYS - MALABON-NAVOTAS SD</t>
  </si>
  <si>
    <t>MUNICIPALITY OF BALIWAG, BULACAN</t>
  </si>
  <si>
    <t>MUNICIPALITY OF RIZAL, CAGAYAN</t>
  </si>
  <si>
    <t>MUNICIPALITY OF RIZAL,PALAWAN</t>
  </si>
  <si>
    <t>MUNICIPALITY OF HAGONOY, DAVAO DEL SUR</t>
  </si>
  <si>
    <t>DEPARTMENT OF PUBLIC WORKS AND HIGHWAYS - BILIRAN ED</t>
  </si>
  <si>
    <t>BARANGAY CAGBUNGA GAINZA CAMARINES SUR</t>
  </si>
  <si>
    <t>BANI WATER DISTRICT</t>
  </si>
  <si>
    <t>METALS INDUSTRY RESEARCH &amp; DEVELOPMENT CENTER</t>
  </si>
  <si>
    <t>MUNICIPALITY OF JOSEFINA, ZAMBOANGA DEL SUR</t>
  </si>
  <si>
    <t>MUNICIPALITY OF BALUD, MASBATE</t>
  </si>
  <si>
    <t>BARANGAY CONEL GENSAN SOUTH COTABATO</t>
  </si>
  <si>
    <t>MUNICIPALITY OF LABO, CAMARINES NORTE</t>
  </si>
  <si>
    <t>MUNICIPALITY OF GIGAQUIT, SURIGAO DEL NORTE</t>
  </si>
  <si>
    <t>BARANGAY POBLACION, MABINI, BATANGAS</t>
  </si>
  <si>
    <t>MUNICIPALITY OF VALENCIA, NEGROS ORIENTAL</t>
  </si>
  <si>
    <t>MUNICIPALITY OF MAGPET - NORTH COTABATO</t>
  </si>
  <si>
    <t>NATIONAL POWER CORPORATION - SPUG/BICOL OPERATIONS DIVISION</t>
  </si>
  <si>
    <t>MUNICIPALITY OF ROMBLON, ROMBLON</t>
  </si>
  <si>
    <t>BARANGAY DASMARIÑAS, MAKATI CITY</t>
  </si>
  <si>
    <t>MUNICIPALITY OF SISON, SURIGAO DEL NORTE</t>
  </si>
  <si>
    <t>BARANGAY NOLI, BAYUGAN CITY</t>
  </si>
  <si>
    <t>MUNICIPALITY LINAPACAN, PALAWAN</t>
  </si>
  <si>
    <t>MUNICIPALITY OF FLORA, APAYAO</t>
  </si>
  <si>
    <t>DR. VICENTE F. GUSTILO MEMORIAL NATIONAL HIGH SCHOOL</t>
  </si>
  <si>
    <t>MUNICIPALITY OF INABANGA, BOHOL</t>
  </si>
  <si>
    <t>MUNICIPALITY OF SINILOAN. LAGUNA</t>
  </si>
  <si>
    <t>BARANGAY SAN AGUSTIN - TAGUM CITY</t>
  </si>
  <si>
    <t>BARANGAY STA. CRUZ, AGONCILLO, BATANGAS</t>
  </si>
  <si>
    <t>MUNICIPALITY OF GAMU, ISABELA</t>
  </si>
  <si>
    <t>BARANGAY PIAO-ROXAS, ZAMBOANGA DEL NORTE</t>
  </si>
  <si>
    <t>MUNICIPALITY OF MARCOS, ILOCOS NORTE</t>
  </si>
  <si>
    <t>BARANGAY IMELDA, MONDRAGON, NORTHERN SAMAR</t>
  </si>
  <si>
    <t>PHILIPPINE INSTITUTE OF VOLCANOLOGY AND SEISMOLOGY</t>
  </si>
  <si>
    <t>NEGROS OCCIDENTAL HIGH SCHOOL</t>
  </si>
  <si>
    <t>MUNICIPALITY OF BARAS, CATANDUANES</t>
  </si>
  <si>
    <t>MUNICIPALITY OF LUPON, DAVAO ORIENTAL</t>
  </si>
  <si>
    <t>BARANGAY HIMO-AW, HILONGOS, LEYTE</t>
  </si>
  <si>
    <t>MUNICIPALITY OF OLUTANGA, ZAMBOANGA SIBUGAY</t>
  </si>
  <si>
    <t>GALAS NATIONAL HIGH SCHOOL</t>
  </si>
  <si>
    <t>MUNICIPALITY OF MAGDIWANG, ROMBLON</t>
  </si>
  <si>
    <t>DEPARTMENT OF EDUCATION - DIVISION OF COMPOSTELA VALLEY</t>
  </si>
  <si>
    <t>CAMIGUIN POLYTECHNIC STATE COLLEGE</t>
  </si>
  <si>
    <t>MUNICIPALITY OF LA LIBERTAD ZAMBOANGA DEL NORTE</t>
  </si>
  <si>
    <t>BARANGAY TOMADO - ALEOSAN COTABATO</t>
  </si>
  <si>
    <t>BARANGAY STO. DOMINGO, BACON DISTRICT SORSOGON CITY</t>
  </si>
  <si>
    <t>DIGOS WATER DISTRICT</t>
  </si>
  <si>
    <t>BARANGAY BALANTANG, JARO, ILOILO CITY</t>
  </si>
  <si>
    <t>BARANGAY TABOK, MANDAUE CITY</t>
  </si>
  <si>
    <t>BARANGAY ZONE 15 - BAYBAY CITY LEYTE</t>
  </si>
  <si>
    <t>BARANGAY CAYANG BOGO CEBU</t>
  </si>
  <si>
    <t>DEPARTMENT OF AGRARIAN REFORM - SORSOGON PROVINCIAL OFFICE</t>
  </si>
  <si>
    <t>BARANGAY NANCAMARINAN - PANIQUI, TARLAC</t>
  </si>
  <si>
    <t>BASILAN STATE COLLEGE</t>
  </si>
  <si>
    <t>GOVERNMENT SERVICE INSURANCE SYSTEM - LUCENA CITY BRANCH</t>
  </si>
  <si>
    <t>BARANGAY BOLIBOLIHAN - MABINAY NEGROS ORIENTAL</t>
  </si>
  <si>
    <t>DEPARTMENT OF SCIENCE AND TECHNOLOGY - REGION VI</t>
  </si>
  <si>
    <t>BACUAG WATER DISTRICT</t>
  </si>
  <si>
    <t>MUNICIPALITY OF BULAKAN BULACAN</t>
  </si>
  <si>
    <t>MUNICIPALITY OF CALBIGA, SAMAR</t>
  </si>
  <si>
    <t>BARANGAY PILIT, STA. FE, LEYTE</t>
  </si>
  <si>
    <t>MUNICIPALITY OF HINUNDAYAN, SOUTHERN LEYTE</t>
  </si>
  <si>
    <t>MUNICIPALITY OF AGLIPAY, QUIRINO</t>
  </si>
  <si>
    <t>WEST VISAYAS STATE UNIVERSITY</t>
  </si>
  <si>
    <t>MUNICIPALITY OF TUBAJON, DINAGAT ISLANDS</t>
  </si>
  <si>
    <t>BARANGAY POBLACION, MAGDIWANG, ROMBLON</t>
  </si>
  <si>
    <t>PHILIPPINE COCONUT AUTHORITY - REGION VIII</t>
  </si>
  <si>
    <t>BARANGAY BILOGO, BATANGAS CITY, BATANGAS</t>
  </si>
  <si>
    <t>BARANGAY NAVAL, HILONGOS, LEYTE</t>
  </si>
  <si>
    <t>BARANGAY ALO, OSLOB, CEBU</t>
  </si>
  <si>
    <t>DEPARTMENT OF PUBLIC WORKS AND HIGHWAYS - NEG. OCC. 1ST DEO</t>
  </si>
  <si>
    <t>BARANGAY MANDUS, LINGIG, SURIGAO DEL SUR</t>
  </si>
  <si>
    <t>DEPARTMENT OF ENVIRONMENT AND NATURAL RESOURCES - CAR</t>
  </si>
  <si>
    <t>PHILIPPINE PORTS AUTHORITY - PMO PUERTO PRINCESA</t>
  </si>
  <si>
    <t>BARANGAY CALUMPANG, OSLOB, CEBU</t>
  </si>
  <si>
    <t>BARANGAY BUENAVISTA - BAYBAY CITY LEYTE</t>
  </si>
  <si>
    <t>BUREAU OF INTERNAL REVENUE, REVENUE REGION NO. 7B EAST NCR</t>
  </si>
  <si>
    <t>MUNICIPALITY OF PURA, TARLAC</t>
  </si>
  <si>
    <t>CITY OF PALAYAN, NUEVA ECIJA</t>
  </si>
  <si>
    <t>MUNICIPALITY OF SAN MANUEL, TARLAC</t>
  </si>
  <si>
    <t>DEPARTMENT OF EDUCATION - DIVISION OF BILIRAN</t>
  </si>
  <si>
    <t>SK OF BARANGAY  POBLACION - MAKATI CITY</t>
  </si>
  <si>
    <t>DEPARTMENT OF AGRARIAN REFORM - CAUAYAN CITY, ISABELA</t>
  </si>
  <si>
    <t>OFFICE OF THE SOLICITOR GENERAL</t>
  </si>
  <si>
    <t>TANAY WATER DISTRICT</t>
  </si>
  <si>
    <t>MUNICIPALITY OF JIABONG, SAMAR</t>
  </si>
  <si>
    <t>LAL-LO WATER DISTRICT</t>
  </si>
  <si>
    <t>BARANGAY MADAYMEN, KIBUNGAN, BENGUET</t>
  </si>
  <si>
    <t>MUNICIPALITY OF SAN RAFAEL, ILOILO</t>
  </si>
  <si>
    <t>TUBOD-BAROY WATER DISTRICT</t>
  </si>
  <si>
    <t>BARANGAY BANTUGAN - PRESENTACION, CAMARINES SUR</t>
  </si>
  <si>
    <t>BATANES GENERAL HOSPITAL</t>
  </si>
  <si>
    <t>CITY OF SAN JUAN</t>
  </si>
  <si>
    <t xml:space="preserve">DEPARTMENT OF EDUCATION, DIVISION OF DAVAO DEL SUR </t>
  </si>
  <si>
    <t>MUNICIPALITY OF ESTANCIA, ILOILO</t>
  </si>
  <si>
    <t>DEPARTMENT OF PUBLIC WORKS AND HIGHWAYS - LEYTE 5TH ED</t>
  </si>
  <si>
    <t>BARANGAY POBLACION I, CARCAR CITY, CEBU</t>
  </si>
  <si>
    <t>DEPARTMENT OF PUBLIC WORKS AND HIGHWAYS - QUIRINO DEO</t>
  </si>
  <si>
    <t>MUNICIPALITY OF BAGULIN, LA UNION</t>
  </si>
  <si>
    <t>BARANGAY BALITE, GUINOBATAN, ALBAY</t>
  </si>
  <si>
    <t>NATIONAL CAPITAL REGION POLICE OFFICE - PNP</t>
  </si>
  <si>
    <t>BARANGAY GENERAL LUNA, MANGATAREM, PANGASINAN</t>
  </si>
  <si>
    <t>DEPARTMENT OF EDUCATION - DIVISION OF EASTERN SAMAR</t>
  </si>
  <si>
    <t>BARANGAY 1 MAPALAD, PALUAN, OCCIDENTAL MINDORO</t>
  </si>
  <si>
    <t>MUNICIPALITY OF PLACER, SURIGAO DEL NORTE</t>
  </si>
  <si>
    <t>BARANGAY ADA, TANAUAN, LEYTE</t>
  </si>
  <si>
    <t>DEPARTMENT OF AGRARIAN REFORM - DAVAO DEL SUR</t>
  </si>
  <si>
    <t>MUNICIPALITY OF MAHATAO, BATANES</t>
  </si>
  <si>
    <t>INSURANCE COMMISSION</t>
  </si>
  <si>
    <t>DEPARTMENT OF EDUCATION - SCHOOLS DIVISION OF TACURONG CITY</t>
  </si>
  <si>
    <t>BARANGAY HARRISON, PALUAN, OCCIDENTAL MINDORO</t>
  </si>
  <si>
    <t>MUNICIPALITY OF PILAR, SURIGAO DEL NORTE</t>
  </si>
  <si>
    <t>BARANGAY AGSUR - SAPIAN CAPIZ</t>
  </si>
  <si>
    <t>MUNICIPALITY OF PIAT, CAGAYAN</t>
  </si>
  <si>
    <t>MUNICIPALITY OF BINMALEY, PANGASINAN</t>
  </si>
  <si>
    <t>BARANGAY SAN ANDRES SANCHEZ MIRA CAGAYAN</t>
  </si>
  <si>
    <t>BARANGAY KAYAPA PROPER WEST - KAYAPA NUEVA VIZCAYA</t>
  </si>
  <si>
    <t>MUNICIPALITY OF BROOKE'S POINT, PALAWAN</t>
  </si>
  <si>
    <t>BARANGAY LINOBAYAN, TIGBAUAN, ILOILO</t>
  </si>
  <si>
    <t xml:space="preserve">PHILIPPINE SCIENCE HIGH SCHOOL - ZAMBOANGA PENINSULA REGION </t>
  </si>
  <si>
    <t>BAROBO WATER DISTRICT</t>
  </si>
  <si>
    <t>MUNICIPALITY OF ORION, BATAAN</t>
  </si>
  <si>
    <t>ILOCOS NORTE NATIONAL HIGH SCHOOL</t>
  </si>
  <si>
    <t>MINDANAO STATE UNIVERSITY - SULU</t>
  </si>
  <si>
    <t>MUNICIPALITY OF CAPAS, TARLAC</t>
  </si>
  <si>
    <t>MUNICIPALITY OF SULAT, EASTERN SAMAR</t>
  </si>
  <si>
    <t>MUNICIPALITY OF SAN JOSE, DINAGAT ISLANDS</t>
  </si>
  <si>
    <t>BARANGAY CALUMANGUIN, GUMACA, QUEZON</t>
  </si>
  <si>
    <t>BARANGAY BALILI, LA TRINIDAD, BENGUET</t>
  </si>
  <si>
    <t>DEPARTMENT OF PUBLIC WORKS AND HIGHWAYS - MT. PROVINCE I DEO</t>
  </si>
  <si>
    <t>MUNICIPALITY OF TUBURAN, CEBU</t>
  </si>
  <si>
    <t>MUNICIPALITY OF SINDANGAN, ZAMBOANGA DEL NORTE</t>
  </si>
  <si>
    <t>MUNICIPALITY OF SAN REMIGIO, ANTIQUE</t>
  </si>
  <si>
    <t>MUNICIPALITY OF BULUSAN, SORSOGON</t>
  </si>
  <si>
    <t>MUNICIPALITY OF MOTIONG, SAMAR</t>
  </si>
  <si>
    <t>PAGSANGAHAN NATIONAL HIGH SCHOOL - SAN FRANCISCO QUEZON</t>
  </si>
  <si>
    <t>MUNICIPALITY OF SAN AGUSTIN , SURIGAO DEL SUR</t>
  </si>
  <si>
    <t>MUNICIPALITY OF GERONA, TARLAC</t>
  </si>
  <si>
    <t>BARANGAY RIZAL - CASIGURAN SORSOGON</t>
  </si>
  <si>
    <t>BARANGAY CAMINDOROAN - SAN JUAN, ILOCOS SUR</t>
  </si>
  <si>
    <t>BARANGAY NAGSUPOTAN, SAN JUAN, ILOCOS SUR</t>
  </si>
  <si>
    <t>DEPARTMENT OF AGRARIAN REFORM - SULTAN KUDARAT</t>
  </si>
  <si>
    <t>MUNICIPALITY OF REAL, QUEZON</t>
  </si>
  <si>
    <t>MUNICIPALITY OF PARANAS</t>
  </si>
  <si>
    <t>BARANGAY WESTERN POBLACION, HILONGOS, LEYTE</t>
  </si>
  <si>
    <t>BARANGAY MALALINTA - TUAO CAGAYAN</t>
  </si>
  <si>
    <t>BARANGAY SAN RAFAEL, ATIMONAN,QUEZON</t>
  </si>
  <si>
    <t>MUNICIPALITY OF SAN JACINTO, PANGASINAN</t>
  </si>
  <si>
    <t>MUNICIPALITY OF BAGUMBAYAN, SULTAN KUDARAT</t>
  </si>
  <si>
    <t>DEPARTMENT OF THE INTERIOR AND LOCAL GOVERNMENT - REGION VI</t>
  </si>
  <si>
    <t>MUNICIPALITY OF MARABUT, SAMAR</t>
  </si>
  <si>
    <t>MUNICIPALITY OF SOCORRO , SURIGAO DEL NORTE</t>
  </si>
  <si>
    <t>ZAMBOANGA CITY STATE POLYTECHNIC COLLEGE</t>
  </si>
  <si>
    <t>MUNICIPALITY OF CARRASCAL, SURIGAO DEL SUR</t>
  </si>
  <si>
    <t>BARANGAY UGAC NORTE, TUGUEGARAO CITY, CAGAYAN</t>
  </si>
  <si>
    <t>MUNICIPALITY OF TUBOD, LANAO DEL NORTE</t>
  </si>
  <si>
    <t>BARANGAY TUBO-TUBO - MONKAYO, COMPOSTELA VALLEY</t>
  </si>
  <si>
    <t>MUNICIPALITY OF VILLASIS, PANGASINAN</t>
  </si>
  <si>
    <t>BARANGAY NARUANGAN - TUAO CAGAYAN</t>
  </si>
  <si>
    <t>MUNICIPALITY OF MANSALAY, ORIENTAL MINDORO</t>
  </si>
  <si>
    <t>MUNICIPALITY OF TARRAGONA, DAVAO ORIENTAL</t>
  </si>
  <si>
    <t>MUNICIPALITY OF DAANBANTAYAN, CEBU</t>
  </si>
  <si>
    <t>MUNICIPALITY OF BATARAZA</t>
  </si>
  <si>
    <t>MUNICIPALITY OF USON, MASBATE</t>
  </si>
  <si>
    <t>MUNICIPALITY OF TALISAYAN, MISAMIS ORIENTAL</t>
  </si>
  <si>
    <t>BARANGAY BAYOMBON, MASBATE CITY</t>
  </si>
  <si>
    <t>BARANGAY BUG-OT, ARGAO, CEBU</t>
  </si>
  <si>
    <t>BARANGAY DAJA DIOT</t>
  </si>
  <si>
    <t>MUNICIPALITY OF VILLAREAL, SAMAR</t>
  </si>
  <si>
    <t>PHILIPPINE NATIONAL POLICE - HEADQUARTERS SUPPORT SERVICE</t>
  </si>
  <si>
    <t>ANGELES CITY WATER DISTRICT</t>
  </si>
  <si>
    <t>BARANGAY 1ST DISTRICT - GAINZA CAMARINES SUR</t>
  </si>
  <si>
    <t>BARANGAY NAPASET, LUNA, LA UNION</t>
  </si>
  <si>
    <t>MUNICIPALITY OF MAYANTOC, TARLAC</t>
  </si>
  <si>
    <t>MUNICIPALITY OF SALUG, ZAMBOANGA DEL NORTE</t>
  </si>
  <si>
    <t>DEPARTMENT OF EDUCATION - DIVISION OF MISAMIS OCCIDENTAL</t>
  </si>
  <si>
    <t>MUNICIPALITY OF AGUTAYA, PALAWAN</t>
  </si>
  <si>
    <t>BARANGAY  - ROXAS ORIENTAL MINDORO</t>
  </si>
  <si>
    <t>MUNICIPALITY OF BALINGASAG, MISAMIS ORIENTAL</t>
  </si>
  <si>
    <t>BASEY WATER DISTRICT</t>
  </si>
  <si>
    <t>BARANGAY SAN FRANCISCO, CONCEPCION, TARLAC</t>
  </si>
  <si>
    <t>BENGUET GENERAL HOSPITAL</t>
  </si>
  <si>
    <t>BARANGAY SAN RAFAEL - CALACA BATANGAS</t>
  </si>
  <si>
    <t xml:space="preserve">DEPARTMENT OF PUBLIC WORKS AND HIGHWAYS - COMPOSTELA VALLEY </t>
  </si>
  <si>
    <t>BARANGAY CABUGAO - CALINOG ILOILO</t>
  </si>
  <si>
    <t>DEPARTMENT OF PUBLIC WORKS AND HIGHWAYS - PAMPANGA 1ST DEO</t>
  </si>
  <si>
    <t>DEPARTMENT OF PUBLIC WORKS AND HIGHWAYS - SOUTH COTABATO 1ST</t>
  </si>
  <si>
    <t>MUNICIPALITY OF RAMOS, TARLAC</t>
  </si>
  <si>
    <t>MUNICIPALITY OF MERIDA, LEYTE</t>
  </si>
  <si>
    <t>MUNICIPALITY OF POLA, ORIENTAL MINDORO</t>
  </si>
  <si>
    <t>MUNICIPALITY OF LUGAIT, MISAMIS ORIENTAL</t>
  </si>
  <si>
    <t>MUNICIPALITY OF BALATAN, CAMARINES SUR</t>
  </si>
  <si>
    <t>PAMPANGA STATE AGRICULTURAL UNIVERSITY</t>
  </si>
  <si>
    <t>MUNICIPALITY OF OAS, ALBAY</t>
  </si>
  <si>
    <t>MUNICIPALITY OF MAYOYAO, IFUGAO</t>
  </si>
  <si>
    <t>BARANGAY DOÑA IMELDA, QUEZON CITY</t>
  </si>
  <si>
    <t>BUREAU OF INTERNAL REVENUE - REVENUE REGION NO. 9B-LAQUEMAR</t>
  </si>
  <si>
    <t>BARANGAY POBLACION, AGONCILLO, BATANGAS</t>
  </si>
  <si>
    <t>MUNICIPALITY OF PANAY, CAPIZ</t>
  </si>
  <si>
    <t>MUNICIPALITY OF VILLABA, LEYTE</t>
  </si>
  <si>
    <t>BARANGAY CANDAHON, MOGPOG, MARINDUQUE</t>
  </si>
  <si>
    <t>MUNICIPALITY OF TUAO, CAGAYAN</t>
  </si>
  <si>
    <t>MUNICIPALITY OF VILLAVERDE, NUEVA VIZCAYA</t>
  </si>
  <si>
    <t>MUNICIPALITY OF STA. PRAXEDES, CAGAYAN</t>
  </si>
  <si>
    <t>MUNICIPALITY OF POLILLO, QUEZON</t>
  </si>
  <si>
    <t>BARANGAY SANTIAGO, SAN LUIS, AGUSAN DEL SUR</t>
  </si>
  <si>
    <t>BARANGAY POBLACION - TAMPAKAN SOUTH COTABATO</t>
  </si>
  <si>
    <t>DEPARTMENT OF PUBLIC WORKS AND HIGHWAYS - SOUTHERN MINDORO D</t>
  </si>
  <si>
    <t>MUNICIPALITY OF DULAG, LEYTE</t>
  </si>
  <si>
    <t>BARANGAY DANAO - MACARTHUR LEYTE</t>
  </si>
  <si>
    <t>MUNICIPALITY OF BANSALAN, DAVAO DEL SUR</t>
  </si>
  <si>
    <t>MUNICIPALITY OF QUINAPONDAN, EASTERN SAMAR</t>
  </si>
  <si>
    <t>BARANGAY SALVACION, ANINI-Y, ANTIQUE</t>
  </si>
  <si>
    <t>CITY OF TACLOBAN, LEYTE</t>
  </si>
  <si>
    <t>MUNICIPALITY OF CARLES, ILOILO</t>
  </si>
  <si>
    <t>BARANGAY ASLUMAN CARLES ILOILO</t>
  </si>
  <si>
    <t>PHILIPPINE ECONOMIC ZONE AUTHORITY</t>
  </si>
  <si>
    <t>MUNICIPALITY OF STO. TOMAS, DAVAO DEL NORTE</t>
  </si>
  <si>
    <t>BARANGAY PANDAN - ALAMINOS, PANGASINAN</t>
  </si>
  <si>
    <t>BARANGAY SAN ANTONIO DARAM SAMAR</t>
  </si>
  <si>
    <t>BARANGAY LOSA DARAM SAMAR</t>
  </si>
  <si>
    <t>MUNICIPALITY OF ROSARIO, AGUSAN DEL SUR</t>
  </si>
  <si>
    <t>MUNICIPALITY OF ALEGRIA, SURIGAO DEL NORTE</t>
  </si>
  <si>
    <t>MUNICIPALITY OF IBA, ZAMBALES</t>
  </si>
  <si>
    <t>CENTER FOR HEALTH DEVELOPMENT - REGION XI</t>
  </si>
  <si>
    <t>PROVINCE OF ZAMBOANGA SIBUGAY</t>
  </si>
  <si>
    <t>BARANGAY 20-B, DAVAO CITY</t>
  </si>
  <si>
    <t>MUNICIPALITY OF BACOLOR, PAMPANGA</t>
  </si>
  <si>
    <t>MINISTRY OF PUBLIC WORKS-BARMM</t>
  </si>
  <si>
    <t>MUNICIPALITY OF DATU BLAH T. SINSUAT - UPI MAGUINDANAO</t>
  </si>
  <si>
    <t>PHILIPPINE SCIENCE HIGH SCHOOL - REGION V</t>
  </si>
  <si>
    <t>BARANGAY LUMBO, VALENCIA CITY, BUKIDNON</t>
  </si>
  <si>
    <t>DEPARTMENT OF PUBLIC WORKS AND HIGHWAYS - MASBATE 2ND DEO</t>
  </si>
  <si>
    <t>CITY OF SAN CARLOS, PANGASINAN</t>
  </si>
  <si>
    <t>BARANGAY POBLACION STA. CATALINA NEGROS ORIENTAL</t>
  </si>
  <si>
    <t>MUNICIPALITY OF CATARMAN, NORTHERN SAMAR</t>
  </si>
  <si>
    <t>MUNICIPALITY OF SANTO DOMINGO, ILOCOS SUR</t>
  </si>
  <si>
    <t>MUNICIPALITY OF CABA, LA UNION</t>
  </si>
  <si>
    <t>BARANGAY OF TALIWA MALITBOG SOUTHERN LEYTE</t>
  </si>
  <si>
    <t>MUNICIPALITY OF SAN ENRIQUE, ILOILO</t>
  </si>
  <si>
    <t>MUNICIPALITY OF FAMY, LAGUNA</t>
  </si>
  <si>
    <t>MUNICIPALITY OF CABIAO, NUEVA ECIJA</t>
  </si>
  <si>
    <t>NATIONAL LIBRARY OF THE PHILIPPINES</t>
  </si>
  <si>
    <t>MUNICIPALITY OF MARIVELES, BATAAN</t>
  </si>
  <si>
    <t>MUNICIPALITY OF MATANOG, MAGUINDANAO</t>
  </si>
  <si>
    <t>BARANGAY ESTRELLA, MABINI, BATANGAS</t>
  </si>
  <si>
    <t>MUNICIPALITY OF TOLOSA, LEYTE</t>
  </si>
  <si>
    <t>BARANGAY TOLIBAO, CAPOOCAN, LEYTE</t>
  </si>
  <si>
    <t>VNHS - SEWAHON EXTENSION HIGH SCHOOL - CADIZ CITY NEGROS OCC</t>
  </si>
  <si>
    <t>DEPARTMENT OF PUBLIC WORKS AND HIGHWAYS - MIS. OCC. SUB-DEO</t>
  </si>
  <si>
    <t>BARANGAY NAGSAULAY - SAN JUAN BATANGAS</t>
  </si>
  <si>
    <t>MUNICIPALITY OF SANTIAGO, ILOCOS SUR</t>
  </si>
  <si>
    <t>BARANGAY KABATUAN - BAYBAY CITY LEYTE</t>
  </si>
  <si>
    <t>MUNICIPALITY OF LOOC, ROMBLON</t>
  </si>
  <si>
    <t>MUNICIPALITY OF MAGSAYSAY, MISAMIS ORIENTAL</t>
  </si>
  <si>
    <t>MUNICIPALITY OF BINALONAN, PANGASINAN</t>
  </si>
  <si>
    <t>DEPARTMENT OF EDUCATION - CARAGA</t>
  </si>
  <si>
    <t>BARANGAY MANGAGAWA GUINAYANGAN QUEZON</t>
  </si>
  <si>
    <t>MUNICIPALITY OF MAKATO, AKLAN</t>
  </si>
  <si>
    <t>MUNICIPALITY OF GLAN, SARANGANI PROVINCE</t>
  </si>
  <si>
    <t>PHILIPPINE NATIONAL POLICE - REGION I</t>
  </si>
  <si>
    <t>NATIONAL TOBACCO ADMINISTRATION</t>
  </si>
  <si>
    <t>MUNICIPALITY OF PRESIDENT ROXAS, COTABATO</t>
  </si>
  <si>
    <t>DEPARTMENT OF PUBLIC WORKS AND HIGHWAYS - CEBU 6TH DEO</t>
  </si>
  <si>
    <t>MUNICIPALITY OF LOBO, BATANGAS</t>
  </si>
  <si>
    <t>MUNICIPALITY OF BALBALAN, KALINGA</t>
  </si>
  <si>
    <t>DEPARTMENT OF EDUCATION - DIVISION OF CITY SCHOOLS, PARAÑAQU</t>
  </si>
  <si>
    <t>BARANGAY TARIBUBU - TUAO CAGAYAN</t>
  </si>
  <si>
    <t>MUNICIPALITY OF PATNANUNGAN, QUEZON</t>
  </si>
  <si>
    <t>BARANGAY TIRIS - CASIGURAN SORSOGON</t>
  </si>
  <si>
    <t>BARANGAY UGAC SUR - UGAC SUR TUGUEGARAO CITY</t>
  </si>
  <si>
    <t>PHILIPPINE RECLAMATION AUTHORITY</t>
  </si>
  <si>
    <t>BARANGAY NAMABBALAN NORTE - TUGUEGARAO CITY CAGAYAN</t>
  </si>
  <si>
    <t>MUNICIPALITY OF BACNOTAN, LA UNION</t>
  </si>
  <si>
    <t>PHILIPPINE COCONUT AUTHORITY - ARMM</t>
  </si>
  <si>
    <t>BARANGAY CABUL-AN, CAPOOCAN, LEYTE</t>
  </si>
  <si>
    <t>PROVINCE OF QUIRINO</t>
  </si>
  <si>
    <t>MUNICIPALITY OF TUKURAN, ZAMBOANGA DEL SUR</t>
  </si>
  <si>
    <t>CNHS-ANDRES BONIFACIO EXTENSION HIGH SCHOOL - CADIZ CITY NEG</t>
  </si>
  <si>
    <t>METROPOLITAN CEBU WATER DISTRICT</t>
  </si>
  <si>
    <t>DEPARTMENT OF PUBLIC WORKS AND HIGHWAYS - NEG. OCC. 3RD DEO</t>
  </si>
  <si>
    <t>DEPARTMENT OF LABOR AND EMPLOYMENT - MAIN</t>
  </si>
  <si>
    <t>DEPARTMENT OF EDUCATION - DIVISION OF SURIGAO DEL SUR</t>
  </si>
  <si>
    <t>MUNICIPALITY OF JAMINDAN, CAPIZ</t>
  </si>
  <si>
    <t>FOREST MANAGEMENT BUREAU ,DENR</t>
  </si>
  <si>
    <t>MUNICIPALITY OF KAPANGAN, BENGUET</t>
  </si>
  <si>
    <t>CITY OF VALENZUELA</t>
  </si>
  <si>
    <t>MUNICIPALITY OF MALILIPOT, ALBAY</t>
  </si>
  <si>
    <t>MUNICIPALITY OF SAN PASCUAL, BATANGAS</t>
  </si>
  <si>
    <t>DEPARTMENT OF INFORMATION AND COMMUNICATIONS TECHNOLOGY REGI</t>
  </si>
  <si>
    <t>COMPOSTELA VALLEY STATE COLLEGE</t>
  </si>
  <si>
    <t>BARANGAY MAMBAGO -B - ISLAND GARDEN CITY OF SAMAL, DAVAO DEL</t>
  </si>
  <si>
    <t>DEPARTMENT OF PUBLIC WORKS AND HIGHWAYS - SURIGAO DEL SUR 2N</t>
  </si>
  <si>
    <t>BARANGAY BUENAVISTA, SABLAYAN, OCCIDENTAL MINDORO</t>
  </si>
  <si>
    <t>DEPARTMENT OF  EDUCATION - DIVISION OF BATANES</t>
  </si>
  <si>
    <t>BARANGAY CAPIÑAHAN - BAIS CITY NEGROS ORIENTAL</t>
  </si>
  <si>
    <t>MUNICIPALITY OF MATAAS NA KAHOY, BATANGAS</t>
  </si>
  <si>
    <t>MUNICIPALITY OF SANTIAGO, AGUSAN DEL NORTE</t>
  </si>
  <si>
    <t>ISABELA STATE UNIVERSITY - CABAGAN CAMPUS</t>
  </si>
  <si>
    <t>ILOCOS TRAINING AND REGIONAL MEDICAL CENTER</t>
  </si>
  <si>
    <t>DEPARTMENT OF EDUCATION - DIVISION OF DUMAGUETE CITY</t>
  </si>
  <si>
    <t>NATIONAL IRRIGATION ADMINISTRATION - CAR</t>
  </si>
  <si>
    <t>MUNICIPALITY OF SAN JULIAN, EASTERN SAMAR</t>
  </si>
  <si>
    <t>LABUAN GENERAL HOSPITAL</t>
  </si>
  <si>
    <t>BARANGAY MAHABANG PARANG, LUCBAN, QUEZON</t>
  </si>
  <si>
    <t>NORTHERN MINDANAO MEDICAL CENTER</t>
  </si>
  <si>
    <t>MUNICIPALITY OF TABOGON, CEBU</t>
  </si>
  <si>
    <t>MUNICIPALITY OF MIDSAYAP, NORTH COTABATO</t>
  </si>
  <si>
    <t>BUSTOS WATER DISTRICT</t>
  </si>
  <si>
    <t>DEPARTMENT OF PUBLIC WORKS AND HIGHWAYS - CAVITE 3RD DISTRIC</t>
  </si>
  <si>
    <t>BARANGAY CATIGAN, DAVAO CITY, DAVAO DEL SUR</t>
  </si>
  <si>
    <t>BARANGAY MANLAYAAN, GUMACA, QUEZON</t>
  </si>
  <si>
    <t>MUNICIPALITY OF KANANGA, LEYTE</t>
  </si>
  <si>
    <t>NATIONAL IRRIGATION ADMINISTRATION - REGION I</t>
  </si>
  <si>
    <t>BARANGAY POBLACION - SIBAGAT, AGUSAN DEL SUR</t>
  </si>
  <si>
    <t>DEPARTMENT OF PUBLIC WORKS AND HIGHWAYS - BACOLOD CITY DEO</t>
  </si>
  <si>
    <t>MUNICIPALITY OF STA. MARGARITA, SAMAR</t>
  </si>
  <si>
    <t>MUNICIPALITY OF MANAOAG, PANGASINAN</t>
  </si>
  <si>
    <t>BARANGAY DUNGAN RIZAL CAGAYAN</t>
  </si>
  <si>
    <t>BOHOL ISLAND STATE UNIVERSITY - CANDIJAY CAMPUS</t>
  </si>
  <si>
    <t>DEPARTMENT OF EDUCATION - DIVISION OF NUEVA VIZCAYA</t>
  </si>
  <si>
    <t>DEPARTMENT OF ENVIRONMENT AND NATURAL RES. - PENRO ROMBLON</t>
  </si>
  <si>
    <t>NATIONAL STATISTICS OFFICE - REGION V</t>
  </si>
  <si>
    <t>ANTI-MONEY LAUNDERING COUNCIL</t>
  </si>
  <si>
    <t>DEPARTMENT OF EDUCATION - REGION V</t>
  </si>
  <si>
    <t>BARANGAY SAN VICENTE, BUTUAN CITY</t>
  </si>
  <si>
    <t>TOURISM INFRASTRUCTURE AND ENTERPRISE ZONE AUTHORITY</t>
  </si>
  <si>
    <t>MUNICIPALITY OF SIBUCO, ZAMBOANGA DEL NORTE</t>
  </si>
  <si>
    <t>SOUTHERN PHILIPPINES DEVELOPMENT AUTHORITY - REGION XI</t>
  </si>
  <si>
    <t>BARANGAY SAHUD-ULAN, TANZA CAVITE</t>
  </si>
  <si>
    <t>MUNICIPALITY OF MALUNGON, SARANGANI</t>
  </si>
  <si>
    <t>DEPARTMENT OF EDUCATION - DIVISION OF GUIHULNGAN CITY</t>
  </si>
  <si>
    <t>MUNICIPALITY OF LINAMON, LANAO DEL NORTE</t>
  </si>
  <si>
    <t>FOREST PRODUCT RESEARCH AND DEVELOPMENT INSTITUTE ( FPRDI )</t>
  </si>
  <si>
    <t>MUNICIPALITY OF BOBON, NORTHERN SAMAR</t>
  </si>
  <si>
    <t>BARANGAY BASUD,WEST DISTRICT,SORSOGON CITY</t>
  </si>
  <si>
    <t>DEPARTMENT OF EDUCATION - DIVISION OF GINGOOG CITY</t>
  </si>
  <si>
    <t>DEPARTMENT OF TOURISM</t>
  </si>
  <si>
    <t>PHILIPPINE CARABAO CENTER - REGION III</t>
  </si>
  <si>
    <t>MUNICIPALITY OF AYUNGON, NEGROS ORIENTAL</t>
  </si>
  <si>
    <t>BARANGAY SERING - BASILISA DINAGAT ISLAND</t>
  </si>
  <si>
    <t>MUNICIPALITY OF TUBLAY, BENGUET</t>
  </si>
  <si>
    <t>BARANGAY CATAGBACAN - GOA CAMARINES SUR</t>
  </si>
  <si>
    <t>MUNICIPALITY OF SADANGA, MOUNTAIN PROVINCE</t>
  </si>
  <si>
    <t>MASBATE-MOBO WATER DISTRICT</t>
  </si>
  <si>
    <t>BARANGAY POBLACION, ASTURIAS, CEBU</t>
  </si>
  <si>
    <t>BARANGAY MALINAO ILAYA, ATIMONAN, QUEZON</t>
  </si>
  <si>
    <t>BARANGAY 20 CABAGNAN EAST LEGAZPI CITY</t>
  </si>
  <si>
    <t>MUNICIPALITY OF KITAOTAO, BUKIDNON</t>
  </si>
  <si>
    <t>BARANGAY BIGA, LUGAIT, MISAMIS ORIENTAL</t>
  </si>
  <si>
    <t>MUNICIPALITY OF LAKE WOOD, ZAMBOANGA DEL SUR</t>
  </si>
  <si>
    <t>BARANGAY NALUNDAN, GUIMBAL, ILOILO</t>
  </si>
  <si>
    <t>CITY OF SIPALAY, NEGROS OCCIDENTAL</t>
  </si>
  <si>
    <t>BOHOL ISLAND STATE UNIVERSITY - BILAR</t>
  </si>
  <si>
    <t>NAGA ANGELA ELEMENTARY SCHOOL</t>
  </si>
  <si>
    <t>MUNICIPALITY OF AROROY, MASBATE</t>
  </si>
  <si>
    <t>PROVINCE OF NEGROS OCCIDENTAL</t>
  </si>
  <si>
    <t>CAMARINES SUR POLYTECHNIC COLLEGES - NABUA CAMPUS</t>
  </si>
  <si>
    <t>MUNICIPALITY OF AMADEO, CAVITE</t>
  </si>
  <si>
    <t>ROXAS WATER DISTRICT</t>
  </si>
  <si>
    <t>MUNICIPALITY OF DINGALAN, AURORA</t>
  </si>
  <si>
    <t>BARANGAY GUADALUPE INOPACAN LEYTE</t>
  </si>
  <si>
    <t>MUNICIPALITY OF SULTAN NAGA - DIMAPORO, LANAO DEL NORTE</t>
  </si>
  <si>
    <t>MUNICIPALITY OF BANGA, AKLAN</t>
  </si>
  <si>
    <t>MUNICIPALITY OF CORELLA, BOHOL</t>
  </si>
  <si>
    <t>BARANGAY LOMANGCAPAN ENRIQUE VILLANUEVA SIQUIJOR</t>
  </si>
  <si>
    <t>PROVINCE OF SOUTHERN LEYTE</t>
  </si>
  <si>
    <t>BARANGAY HILWAN - CALINOG ILOILO</t>
  </si>
  <si>
    <t>BARANGAY ALIBUNAN  - CALINOG ILOILO</t>
  </si>
  <si>
    <t>BARANGAY MALAYUGAN FLORA APAYAO</t>
  </si>
  <si>
    <t>BARANGAY SINGAY - MADALAG AKLAN</t>
  </si>
  <si>
    <t>BARANGAY SAN JOSE, SAN MIGUEL, ILOILO</t>
  </si>
  <si>
    <t>MUNICIPALITY OF PAOMBONG, BULACAN</t>
  </si>
  <si>
    <t>MUNICIPALITY OF MADDELA, QUIRINO</t>
  </si>
  <si>
    <t>MUNICIPALITY OF GUINAYANGAN, QUEZON</t>
  </si>
  <si>
    <t>DEPARTMENT OF EDUCATION - DIVISION OF SULTAN KUDARAT</t>
  </si>
  <si>
    <t>MUNICIPALITY OF BADOC, ILOCOS NORTE</t>
  </si>
  <si>
    <t>NATIONAL IRRIGATION ADMINISTRATION - CAMARINES SUR IMO</t>
  </si>
  <si>
    <t>CITY OF SANTA ROSA, LAGUNA</t>
  </si>
  <si>
    <t>BARANGAY POBLACION ILAYA, CALINOG, ILOILO</t>
  </si>
  <si>
    <t>MUNICIPALITY OF CAN-AVID, EASTERN SAMAR</t>
  </si>
  <si>
    <t>MUNICIPALITY OF EL NIDO, PALAWAN</t>
  </si>
  <si>
    <t>MUNICIPALITY OF DINAS, ZAMBOANGA DEL SUR</t>
  </si>
  <si>
    <t>PROGRESO ELEMENTARY SCHOOL</t>
  </si>
  <si>
    <t>MUNICIPALITY OF MADALAG, AKLAN</t>
  </si>
  <si>
    <t>MUNICIPALITY OF LEMERY, ILOILO</t>
  </si>
  <si>
    <t>BARANGAY BAGUMBAYAN - LLANERA NUEVA ECIJA</t>
  </si>
  <si>
    <t>MUNICIPALITY OF IMPASUGONG, BUKIDNON</t>
  </si>
  <si>
    <t>TAMBAN NATIONAL HIGH SCHOOL - TINAMBAC CAMARINES SUR</t>
  </si>
  <si>
    <t>DEPARTMENT OF ENVIRONMENT AND NATURAL RES. - CENRO ALCALA CA</t>
  </si>
  <si>
    <t>CANITOAN ELEMENTARY SCHOOL - CAGAYAN DE ORO CITY</t>
  </si>
  <si>
    <t>DON JOSE S. MONFORT MEDICAL CENTER EXTENSION HOSPITAL</t>
  </si>
  <si>
    <t>HOME DEVELOPMENT MUTUAL FUND - CORPORATE HEADQUARTERS</t>
  </si>
  <si>
    <t>NATIONAL BUREAU OF INVESTIGATION</t>
  </si>
  <si>
    <t>MUNICIPALITY OF GINATILAN, CEBU</t>
  </si>
  <si>
    <t>MUNICIPALITY OF SOGOD, SOUTHERN LEYTE</t>
  </si>
  <si>
    <t>CADIZ WEST I ELEMENTARY SCHOOL</t>
  </si>
  <si>
    <t>BARANGAY SAN MIGUEL - SAN ISIDRO LEYTE</t>
  </si>
  <si>
    <t>MUNICIPALITY OF MANAPLA, NEGROS OCCIDENTAL</t>
  </si>
  <si>
    <t>BARANGAY STA. MESA, MABINI, BATANGAS</t>
  </si>
  <si>
    <t>BARANGAY LAGUBANG - SEN. NINOY S. AQUINO SULTAN KUDARAT</t>
  </si>
  <si>
    <t>MUNICIPALITY OF CABUGAO, ILOCOS SUR</t>
  </si>
  <si>
    <t>ALAMINOS CITY WATER DISTRICT</t>
  </si>
  <si>
    <t>COMMISSION ON APPOINTMENTS</t>
  </si>
  <si>
    <t>MUNICIPALITY OF RIZAL, OCCIDENTAL MINDORO</t>
  </si>
  <si>
    <t>MUNICIPALITY OF GEN. MAMERTO NATIVIDAD, NUEVA ECIJA</t>
  </si>
  <si>
    <t>PHILIPPINE SCIENCE HIGH SCHOOL - MIMAROPA REGION CAMPUS</t>
  </si>
  <si>
    <t>BARANGAY 74, TACLOBAN CITY, LEYTE</t>
  </si>
  <si>
    <t>MUNICIPALITY OF SANTA MARIA, ILOCOS SUR</t>
  </si>
  <si>
    <t>BARANGAY ELIHAN - CAUAYAN NEGROS OCCIDENTAL</t>
  </si>
  <si>
    <t>BARANGAY CALITUBAN - TALIBON BOHO</t>
  </si>
  <si>
    <t>MUNICIPALITY OF DIFFUN, QUIRINO</t>
  </si>
  <si>
    <t>TANZA WATER DISTRICT</t>
  </si>
  <si>
    <t>NATIONAL COMMISSION FOR CULTURE AND THE ARTS</t>
  </si>
  <si>
    <t>MASBATE INSTITUTE OF FISHERIES AND TECHNOLOGY</t>
  </si>
  <si>
    <t>BUREAU OF CORRECTIONS - MUNTINLUPA CITY METRO MANILA</t>
  </si>
  <si>
    <t>MUNICIPALITY OF LEON, ILOILO</t>
  </si>
  <si>
    <t xml:space="preserve">TECHNICAL EDUCATION &amp; SKILLS DEVELOPMENT AUTHORITY - QUEZON </t>
  </si>
  <si>
    <t>DEPARTMENT OF PUBLIC WORKS AND HIGHWAYS - ILOCOS NORTE 1ST D</t>
  </si>
  <si>
    <t>BARANGAY MERCEDES - MADALAG AKLAN</t>
  </si>
  <si>
    <t>BARANGAY GUINATU-AN - MADALAG, AKLAN</t>
  </si>
  <si>
    <t>BARANGAY CAGGAY, TUGUEGARAO CITY, CAGAYAN</t>
  </si>
  <si>
    <t>MUNICIPALITY OF MOISES PADILLA, NEGROS OCCIDENTAL</t>
  </si>
  <si>
    <t>DEPARTMENT OF SCIENCE AND TECHNOLOGY - CARAGA</t>
  </si>
  <si>
    <t>MUNICIPALITY OF CARIGARA, LEYTE</t>
  </si>
  <si>
    <t>BARANGAY NASLO, POTOTAN, ILOILO</t>
  </si>
  <si>
    <t>BARANGAY NEW MALITBOG, PANABO CITY, DAVAO DEL NORTE</t>
  </si>
  <si>
    <t>BARANGAY DAGATKIDAVAO, VALENCIA CITY</t>
  </si>
  <si>
    <t>SOMBITO ELEMENTARY SCHOOL</t>
  </si>
  <si>
    <t>BARANGAY TUYABANG BAJO, OROQUIETA CITY</t>
  </si>
  <si>
    <t>MINDANAO STATE UNIVERSITY - GENERAL SANTOS CITY CAMPUS</t>
  </si>
  <si>
    <t>MUNICIPALITY OF BARAS, RIZAL</t>
  </si>
  <si>
    <t>MUNICIPAL GOVERNMENT OF ATOK, BENGUET</t>
  </si>
  <si>
    <t>BALAOAN WATER DISTRICT</t>
  </si>
  <si>
    <t>BARANGAY MAPINA -  MASBATE CITY</t>
  </si>
  <si>
    <t>BARANGAY BAYAMBANG, INFANTA, PANGASINAN</t>
  </si>
  <si>
    <t>BARANGAY SAN JUAN, SAN JACINTO, PANGASINAN</t>
  </si>
  <si>
    <t>MUNICIPALITY OF SAN MATEO - ISABELA</t>
  </si>
  <si>
    <t>BARANGAY BANI MASINLOC ZAMBALES</t>
  </si>
  <si>
    <t>DEPARTMENT OF BUDGET AND MANAGEMENT</t>
  </si>
  <si>
    <t>MUNICIPALITY OF NARRA, PALAWAN</t>
  </si>
  <si>
    <t>PROCUREMENT SERVICE</t>
  </si>
  <si>
    <t>DEPARTMENT OF EDUCATION - DIVISION OF BAYBAY CITY</t>
  </si>
  <si>
    <t>BUREAU OF INTERNAL REVENUE</t>
  </si>
  <si>
    <t>CONNER DISTRICT HOSPITAL</t>
  </si>
  <si>
    <t>SAMAR STATE UNIVERSITY</t>
  </si>
  <si>
    <t>MUNICIPALITY OF PAMBUJAN, NORTHERN SAMAR</t>
  </si>
  <si>
    <t>BARANGAY NAGSABARAN - SAN JUAN (LAPOG) ILOCOS SUR</t>
  </si>
  <si>
    <t>MUNICIPALITY OF CONCEPCION, ROMBLON</t>
  </si>
  <si>
    <t>BARANGAY LACTURAN, DUMANGAS, ILOILO</t>
  </si>
  <si>
    <t>BARANGAY TALAYONG BADIAN CEBU</t>
  </si>
  <si>
    <t>PEOPLE'S TELEVISION NETWORK, INC.</t>
  </si>
  <si>
    <t>BARANGAY CAGORAN LALLO CAGAYAN</t>
  </si>
  <si>
    <t>BARANGAY LOOC, LAPU-LAPU, CEBU</t>
  </si>
  <si>
    <t>BARANGAY LIM-AO, KANANGA, LEYTE</t>
  </si>
  <si>
    <t>BARANGAY BICAL LALLO CAGAYAN</t>
  </si>
  <si>
    <t>CITY OF VICTORIAS, NEGROS OCCIDENTAL</t>
  </si>
  <si>
    <t>UNIVERSITY OF ANTIQUE</t>
  </si>
  <si>
    <t>PHILIPPINE POSTAL CORPORATION - REGION I</t>
  </si>
  <si>
    <t>BAIS CITY WATER DISTRICT</t>
  </si>
  <si>
    <t>MUNICIPALITY OF BUSUANGA, PALAWAN</t>
  </si>
  <si>
    <t>MUNICIPALITY OF TAGKAWAYAN, QUEZON</t>
  </si>
  <si>
    <t>BARANGAY GUADALUPE LIBACAO AKLAN</t>
  </si>
  <si>
    <t>DEPARTMENT OF EDUCATION - DIVISION OF SAGAY CITY</t>
  </si>
  <si>
    <t>MUNICIPALITY OF LLANERA, NUEVA ECIJA</t>
  </si>
  <si>
    <t>MUNICIPALITY OF SAN JOSE, NORTHERN SAMAR</t>
  </si>
  <si>
    <t>MUNICIPALITY OF TUY, BATANGAS</t>
  </si>
  <si>
    <t>MUNICIPALITY OF ANAHAWAN, SOUTHERN LEYTE</t>
  </si>
  <si>
    <t>MUNICIPALITY OF AGUINALDO, IFUGAO</t>
  </si>
  <si>
    <t>MUNICIPALITY OF SANTA FE, ROMBLON</t>
  </si>
  <si>
    <t>MUNICIPALITY OF TAAL, BATANGAS</t>
  </si>
  <si>
    <t>COMMISSION ON AUDIT - REGION V</t>
  </si>
  <si>
    <t>MUNICIPALITY OF BARUGO, LEYTE</t>
  </si>
  <si>
    <t>PROVINCE OF ABRA</t>
  </si>
  <si>
    <t>BARANGAY 501 ZONE 49 DISTRICT IV, SAMPALOC, MANILA</t>
  </si>
  <si>
    <t>MUNICIPAL GOVERNMENT OF DELFIN ALBANO, ISABELA</t>
  </si>
  <si>
    <t>MUNICIPALITY OF LALA,  LANAO DEL NORTE</t>
  </si>
  <si>
    <t>DEPARTMENT OF PUBLIC WORKS AND HIGHWAYS - REGION VII</t>
  </si>
  <si>
    <t>MUNICIPALITY OF DUMARAO, CAPIZ</t>
  </si>
  <si>
    <t>MUNICIPALITY OF SUGPON, ILOCOS SUR</t>
  </si>
  <si>
    <t>PROVINCE OF LANAO DEL NORTE</t>
  </si>
  <si>
    <t>NATIONAL POWER CORPORATION - SPUG PALAWAN</t>
  </si>
  <si>
    <t>DR. PAULINO J. GARCIA MEMORIAL RESEARCH AND MEDICAL CENTER</t>
  </si>
  <si>
    <t>MUNICIPALITY OF SAN GABRIEL, LA UNION</t>
  </si>
  <si>
    <t>MUNICIPALITY OF JOSE ABAD SANTOS, DAVAO DEL SUR</t>
  </si>
  <si>
    <t>BARANGAY SAN JUAN, ALEGRIA, SURIGAO DEL NORTE</t>
  </si>
  <si>
    <t>DEPARTMENT OF PUBLIC WORKS AND HIGHWAYS - NEGROS ORIENTAL 3R</t>
  </si>
  <si>
    <t>DEPARTMENT OF PUBLIC WORKS AND HIGHWAYS - CEBU CITY DEO</t>
  </si>
  <si>
    <t>BARANGAY  SISI - GUINAYANGAN QUEZON</t>
  </si>
  <si>
    <t>DEPARTMENT OF EDUCATION - SCHOOLS DIVISION OF BORONGAN CITY</t>
  </si>
  <si>
    <t>PEREZ NATIONAL HIGH SCHOOL - PEREZ QUEZON</t>
  </si>
  <si>
    <t>OSPITAL NG PALAWAN</t>
  </si>
  <si>
    <t>DON LUIS CONSING ELEMENTARY SCHOOL</t>
  </si>
  <si>
    <t>BARANGAY TAGBONGABONG - R.T. ROMUALDEZ, AGUSAN DEL NORTE</t>
  </si>
  <si>
    <t>DEPARTMENT OF EDUCATION - DIVISION OF LAPU-LAPU CITY</t>
  </si>
  <si>
    <t>CITY OF DASMARIÑAS, CAVITE</t>
  </si>
  <si>
    <t>MUNICIPALITY OF DAGAMI, LEYTE</t>
  </si>
  <si>
    <t>DEPARTMENT OF SOCIAL WELFARE AND DEVELOPMENT - NCR</t>
  </si>
  <si>
    <t>MUNICIPALITY OF TUMAUINI, ISABELA</t>
  </si>
  <si>
    <t>MUNICIPALITY OF BUUG - ZAMBOANGA SIBUGAY</t>
  </si>
  <si>
    <t>MUNICIPALITY OF MIDSALIP, ZAMBOANGA DEL SUR</t>
  </si>
  <si>
    <t>BARANGAY BATO II - MAASIN CITY SOUTHERN LEYTE</t>
  </si>
  <si>
    <t>BARANGAY BIOSO - ZUMARRAGA, SAMAR</t>
  </si>
  <si>
    <t>BARANGAY LUZ - M'LANG COTABATO</t>
  </si>
  <si>
    <t>BARANGAY GUIMOD NORTE, SAN JUAN, ILOCOS SUR</t>
  </si>
  <si>
    <t>MUNICIPALITY OF INFANTA, PANGASINAN</t>
  </si>
  <si>
    <t>PROVINCE OF DINAGAT ISLANDS</t>
  </si>
  <si>
    <t>MUNICIPALITY OF BANISILAN, COTABATO</t>
  </si>
  <si>
    <t>MUNICIPALITY OF ORANI, BATAAN</t>
  </si>
  <si>
    <t>MUNICIPALITY OF MARIA, SIQUIJOR</t>
  </si>
  <si>
    <t>MUNICIPALITY OF BANGUI, ILOCOS NORTE</t>
  </si>
  <si>
    <t>SOUTHERN PHILS. AGRI-BUSS. &amp; MARINE &amp; AQUATIC SCH. OF TECH.</t>
  </si>
  <si>
    <t>MUNICIPALITY OF BURGOS, ISABELA</t>
  </si>
  <si>
    <t>MUNICIPALITY OF TIBIAO, ANTIQUE</t>
  </si>
  <si>
    <t>MUNICIPALITY OF MURCIA, NEGROS OCCIDENTAL</t>
  </si>
  <si>
    <t>BARANGAY INEANGAN - DUPAX DEL NORTE NUEVA VIZCAYA</t>
  </si>
  <si>
    <t>BARANGAY BULUANGAN, GUIMBAL, ILOILO</t>
  </si>
  <si>
    <t>DA - PHILIPPINE RURAL DEVELOPMENT PROJECT</t>
  </si>
  <si>
    <t>BARANGAY POBLACION 2 - DARAM SAMAR</t>
  </si>
  <si>
    <t>MUNICIPALITY OF ARACELI, PALAWAN</t>
  </si>
  <si>
    <t>PEDRO PITOGO ELEMENTARY SCHOOL</t>
  </si>
  <si>
    <t>BARANGAY PARED, ALCALA, CAGAYAN</t>
  </si>
  <si>
    <t>DEPARTMENT OF PUBLIC WORKS AND HIGHWAYS - REGION XII - COTAB</t>
  </si>
  <si>
    <t>DEPARTMENT OF PUBLIC WORKS AND HIGHWAYS - ZAMBALES 1ST DEO</t>
  </si>
  <si>
    <t>MUNICIPALITY OF STO. DOMINGO, NUEVA ECIJA</t>
  </si>
  <si>
    <t>DEPARTMENT OF PUBLIC WORKS AND HIGHWAYS - PAMPANGA 2ND DEO</t>
  </si>
  <si>
    <t>SOCIAL SECURITY SYSTEM</t>
  </si>
  <si>
    <t>BARANGAY MADASIGON, MOLAVE, ZAMBOANGA DEL SUR</t>
  </si>
  <si>
    <t>MUNICIPALITY OF ALIMODIAN, ILOILO</t>
  </si>
  <si>
    <t>NATIONAL ECONOMIC AND DEVELOPMENT AUTHORITY - MAIN</t>
  </si>
  <si>
    <t>MUNICIPALITY OF TIGBAUAN, ILOILO</t>
  </si>
  <si>
    <t xml:space="preserve">DEPARTMENT OF PUBLIC WORKS AND HIGHWAYS - CAMARINES SUR 1ST </t>
  </si>
  <si>
    <t>MUNICIPALITY OF SAGAY, CAMIGUIN</t>
  </si>
  <si>
    <t>MUNICIPALITY OF PILAR, BATAAN</t>
  </si>
  <si>
    <t>PATAG ELEMENTARY SCHOOL</t>
  </si>
  <si>
    <t>MINDANAO STATE UNIVERSITY - ILIGAN INSTITUTE OF TECHNOLOGY</t>
  </si>
  <si>
    <t>MUNICIPALITY OF KAPALONG, DAVAO DEL NORTE</t>
  </si>
  <si>
    <t>BARANGAY CASTILLO, CONCEPCION, TARLAC</t>
  </si>
  <si>
    <t>DEPARTMENT OF EDUCATION - DIVISION OF OROQUIETA CITY</t>
  </si>
  <si>
    <t>NATIONAL IRRIGATION ADMINISTRATION - UPRIIS, DRD</t>
  </si>
  <si>
    <t>DEPARTMENT OF PUBLIC WORKS AND HIGHWAYS - ZAMBOANGA CITY DEO</t>
  </si>
  <si>
    <t>DEPARTMENT OF EDUCATION - DIVISION OF NEGROS OCCIDENTAL</t>
  </si>
  <si>
    <t>PHILIPPINE VETERANS AFFAIRS OFFICE, DND</t>
  </si>
  <si>
    <t>LOCAL GOVERNMENT ACADEMY, DILG</t>
  </si>
  <si>
    <t>DEPARTMENT OF EDUCATION - DIVISION OF CATANDUANES</t>
  </si>
  <si>
    <t>MUNICIPALITY OF SAN JOSE, TARLAC</t>
  </si>
  <si>
    <t>BARANGAY OOGONG, STA. CRUZ, LAGUNA</t>
  </si>
  <si>
    <t>MUNICIPALITY OF NASUGBU, BATANGAS</t>
  </si>
  <si>
    <t>CITY OF NAGA, CAMARINES SUR</t>
  </si>
  <si>
    <t>BARANGAY CAHAGUIKICAN, POTOTAN, ILOILO</t>
  </si>
  <si>
    <t>DEPARTMENT OF EDUCATION - DIVISION OF ZAMBOANGA DEL SUR</t>
  </si>
  <si>
    <t>BARANGAY IWA ILAYA, POTOTAN, ILOILO</t>
  </si>
  <si>
    <t>BARANGAY CATOTORAN NORTE, CAMALANIUGAN, CAGAYAN</t>
  </si>
  <si>
    <t>BARANGAY TUMCON ILAYA, POTOTAN, ILOILO</t>
  </si>
  <si>
    <t>DAGA ELEMENTARY SCHOOL</t>
  </si>
  <si>
    <t>MUNICIPALITY OF TAGBINA, SURIGAO DEL SUR</t>
  </si>
  <si>
    <t>MUNICIPALITY OF GATTARAN, CAGAYAN</t>
  </si>
  <si>
    <t>BARANGAY JAMABALUD, POTOTAN, ILOILO</t>
  </si>
  <si>
    <t>NORZAGARAY WATER DISTRICT</t>
  </si>
  <si>
    <t>MINISTRY OF SOCIAL SERVICES, BARMM</t>
  </si>
  <si>
    <t>MUNICIPALITY OF CASTILLEJOS, ZAMBALES</t>
  </si>
  <si>
    <t>MUNICIPALITY OF LAL-LO, CAGAYAN VALLEY</t>
  </si>
  <si>
    <t>MECHANIZED INFANTRY DIVISION (PA) SBAC</t>
  </si>
  <si>
    <t>BARANGAY DEL ROSARIO, BAAO, CAMARINES SUR</t>
  </si>
  <si>
    <t>MUNICIPALITY OF ALITAGTAG, BATANGAS</t>
  </si>
  <si>
    <t>MUNICIPALITY OF GENERAL NAKAR, QUEZON</t>
  </si>
  <si>
    <t>BARANGAY SAN ANTONIO, BAGGAO, CAGAYAN</t>
  </si>
  <si>
    <t>BARANGAY ALBA, BAGGAO, CAGAYAN</t>
  </si>
  <si>
    <t>BARANGAY SAN VICENTE, BAGGAO, CAGAYAN</t>
  </si>
  <si>
    <t>BARANGAY DIPINTIN, MADDELA, QUIRINO</t>
  </si>
  <si>
    <t>BARANGAY SAN JUAN, SANTA FE, LEYTE</t>
  </si>
  <si>
    <t>MUNICIPALITY OF SARRAT, ILOCOS NORTE</t>
  </si>
  <si>
    <t>MUNICIPALITY OF LEYTE, LEYTE</t>
  </si>
  <si>
    <t>BARANGAY SAN BERNABE - MADDELA QUIRINO</t>
  </si>
  <si>
    <t>BARANGAY DIVISORIA NORTE, MADDELA, QUIRINO</t>
  </si>
  <si>
    <t>MUNICIPALITY OF LOON, BOHOL</t>
  </si>
  <si>
    <t>DEPARTMENT OF PUBLIC WORKS AND HIGHWAYS - ISABELA 4TH DEO</t>
  </si>
  <si>
    <t>BARANGAY NANGKA - BAYAWAN CITY NEGROS ORIENTAL</t>
  </si>
  <si>
    <t>BARANGAY 40, TACLOBAN CITY, LEYTE</t>
  </si>
  <si>
    <t>BARANGAY NADAWISAN, CATAINGAN, MASBATE</t>
  </si>
  <si>
    <t>BARANGAY STA. CRUZ, BONGABONG, ORIENTAL MINDORO</t>
  </si>
  <si>
    <t>MUNICIPALITY OF SAN BENITO, SURIGAO DEL NORTE</t>
  </si>
  <si>
    <t>MUNICIPALITY OF BOKOD, BENGUET</t>
  </si>
  <si>
    <t>BARANGAY SAN MIGUEL, BAGGAO, CAGAYAN</t>
  </si>
  <si>
    <t>BARANGAY CALANTAC, ALCALA, CAGAYAN</t>
  </si>
  <si>
    <t>DR. JOSE FABELLA MEMORIAL HOSPITAL</t>
  </si>
  <si>
    <t>MUNICIPALITY OF LUPAO, NUEVA ECIJA</t>
  </si>
  <si>
    <t>MUNICIPALITY OF SAN ISIDRO, LEYTE</t>
  </si>
  <si>
    <t>PHILIPPINE NATIONAL POLICE - CARAGA</t>
  </si>
  <si>
    <t>BARANGAY AFUSING DAGA, ALCALA, CAGAYAN</t>
  </si>
  <si>
    <t>BARANGAY ZONE 23 -  BAYBAY CITY LEYTE</t>
  </si>
  <si>
    <t>BARANGAY LIBERTY, HILONGOS, LEYTE</t>
  </si>
  <si>
    <t>MUNICIPALITY OF SUYO, ILOCOS SUR</t>
  </si>
  <si>
    <t>BARANGAY MALALATAN, ALCALA, CAGAYAN</t>
  </si>
  <si>
    <t>MUNICIPALITY OF KINOGUITAN , MISAMIS ORIENTAL</t>
  </si>
  <si>
    <t>DEPARTMENT OF EDUCATION - DIVISION OF CALBAYOG CITY</t>
  </si>
  <si>
    <t>MUNICIPALITY OF ISABEL, LEYTE</t>
  </si>
  <si>
    <t>BARANGAY CARALLANGAN, ALCALA, CAGAYAN</t>
  </si>
  <si>
    <t>BARANGAY PINAGSANJAN - PAGSANJAN LAGUNA</t>
  </si>
  <si>
    <t>MUNICIPALITY OF AJUY, ILOILO</t>
  </si>
  <si>
    <t>DEPARTMENT OF EDUCATION - DIVISION OF MASBATE CITY</t>
  </si>
  <si>
    <t>MUNICIPALITY OF ALMERIA, BILIRAN</t>
  </si>
  <si>
    <t>DIPACULAO WATER DISTRICT</t>
  </si>
  <si>
    <t>PN BAC SECRETARIAT, AFP PROCUREMENT SERVICE</t>
  </si>
  <si>
    <t xml:space="preserve">DEPARTMENT OF EDUCATION (SORSOGON CITY DIVISION) - SORSOGON </t>
  </si>
  <si>
    <t>MUNICIPALITY OF BALIGUIAN, ZAMBOANGA DEL NORTE</t>
  </si>
  <si>
    <t xml:space="preserve">BUREAU OF FISHERIES AND AQUATIC RESOURCES - REGION IV-B </t>
  </si>
  <si>
    <t>BARANGAY CUEVAS, TRENTO, AGUSAN DEL SUR</t>
  </si>
  <si>
    <t>MUNICIPALITY OF SOCORRO, ORIENTAL MINDORO</t>
  </si>
  <si>
    <t>MUNICIPALITY OF SAN JUAN, LA UNION</t>
  </si>
  <si>
    <t>MUNICIPALITY OF HINIGARAN, NEGROS OCCIDENTAL</t>
  </si>
  <si>
    <t>BARANGAY LIBO - ENRIQUE VILLANUEVA SIQUIJOR</t>
  </si>
  <si>
    <t>BOHOL ISLAND STATE UNIVERSITY - CALAPE</t>
  </si>
  <si>
    <t>PROVINCIAL GOVERNMENT OF APAYAO</t>
  </si>
  <si>
    <t>BARANGAY SAGPON, DARAGA, ALBAY</t>
  </si>
  <si>
    <t>CARLOS HILADO MEMORIAL STATE COLLEGE</t>
  </si>
  <si>
    <t>MUNICIPALITY OF ANTIPAS, COTABATO</t>
  </si>
  <si>
    <t>BARANGAY PROTECCION, HILONGOS, LEYTE</t>
  </si>
  <si>
    <t>BARANGAY BATUAN, POTOTAN, ILOILO</t>
  </si>
  <si>
    <t>MUNICIPALITY OF BACLAYON, BOHOL</t>
  </si>
  <si>
    <t>DEPARTMENT OF PUBLIC WORKS AND HIGHWAYS - MISAMIS ORIENTAL 2</t>
  </si>
  <si>
    <t>BARANGAY BAON, SAN ISIDRO, DAVAO ORIENTAL</t>
  </si>
  <si>
    <t>MUNICIPALITY OF VALLADOLID, NEGROS OCCIDENTAL</t>
  </si>
  <si>
    <t>GHQ BAC2 SECRETARIAT, AFP PROCUREMENT SERVICE</t>
  </si>
  <si>
    <t>NORTHERN ILOILO POLYTECHNIC STATE COLLEGE</t>
  </si>
  <si>
    <t>MUNICIPALITY OF STA. CRUZ, OCCIDENTAL MINDORO</t>
  </si>
  <si>
    <t>CITY OF MEYCAUAYAN, BULACAN</t>
  </si>
  <si>
    <t>AGRICULTURAL TRAINING INSTITUTE- REGIONAL TRAINING CENTER 02</t>
  </si>
  <si>
    <t>BARANGAY PAWICAN, CATAINGAN, MASBATE</t>
  </si>
  <si>
    <t>BARANGAY BIGAIN 1.0, SAN JOSE, BATANGAS</t>
  </si>
  <si>
    <t>ALUYAN ELEMENTARY SCHOOL</t>
  </si>
  <si>
    <t>BARANGAY SAN JOSE, BONGABONG, ORIENTAL MINDORO</t>
  </si>
  <si>
    <t>MUNICIPALITY OF SOLANA, CAGAYAN</t>
  </si>
  <si>
    <t>MUNICIPALITY OF KAWAYAN, BILIRAN</t>
  </si>
  <si>
    <t>BARANGAY NANGALINAN, BAGGAO, CAGAYAN</t>
  </si>
  <si>
    <t>BARANGAY CANAGATAN, BAGGAO, CAGAYAN</t>
  </si>
  <si>
    <t>BARANGAY REMUS, BAGGAO, CAGAYAN</t>
  </si>
  <si>
    <t>DEPARTMENT OF AGRARIAN REFORM - ZAMBOANGA DEL SUR PO</t>
  </si>
  <si>
    <t>MUNICIPALITY OF MARANTAO, LANAO DEL SUR</t>
  </si>
  <si>
    <t>BARANGAY MOCAG, BAGGAO, CAGAYAN</t>
  </si>
  <si>
    <t>MUNICIPALITY OF DIMASALANG, MASBATE</t>
  </si>
  <si>
    <t>MUNICIPALITY OF TABONTABON, LEYTE</t>
  </si>
  <si>
    <t>DEPARTMENT OF PUBLIC WORKS AND HIGHWAYS - AKLAN DEO</t>
  </si>
  <si>
    <t>BUREAU OF FISHERIES AND AQUATIC RESOURCES - REGION II</t>
  </si>
  <si>
    <t>DENR-PENRO,ORIENTAL MINDORO</t>
  </si>
  <si>
    <t>METRO ROXAS WATER DISTRICT</t>
  </si>
  <si>
    <t>MUNICIPALITY OF LIBERTAD, MISAMIS ORIENTAL</t>
  </si>
  <si>
    <t>MUNICIPALITY OF JULITA, LEYTE</t>
  </si>
  <si>
    <t>MUNICIPALITY OF SILVINO LOBOS, NORTHERN SAMAR</t>
  </si>
  <si>
    <t>MUNICIPALITY OF LA PAZ, LEYTE</t>
  </si>
  <si>
    <t>BARANGAY DUTUNG A MATAS, CONCEPCION, TARLAC</t>
  </si>
  <si>
    <t>NATIONAL IRRIGATION ADMINISTRATION - DAVAO DEL NORTE IMO</t>
  </si>
  <si>
    <t>BARANGAY LINAON</t>
  </si>
  <si>
    <t>BARANGAY HIGULOAN - BAYBAY CITY LEYTE</t>
  </si>
  <si>
    <t>OROQUIETA CITY WATER DISTRICT</t>
  </si>
  <si>
    <t>BARANGAY ISIO, CAUAYAN, NEGROS OCCIDENTAL</t>
  </si>
  <si>
    <t>DEPARTMENT OF SOCIAL WELFARE AND DEVELOPMENT - REGION V</t>
  </si>
  <si>
    <t>DEPARTMENT OF JUSTICE - MAIN</t>
  </si>
  <si>
    <t>BARANGAY GENERAL RICARTE LLANERA NUEVA ECIJA</t>
  </si>
  <si>
    <t xml:space="preserve">BARANGAY BASUD, SAN ISIDRO, LEYTE </t>
  </si>
  <si>
    <t>PAG-IBIG FUND NAGA BUSINESS CENTER</t>
  </si>
  <si>
    <t>MUNICIPALITY OF ZUMARRAGA, SAMAR</t>
  </si>
  <si>
    <t>BARANGAY SAN JUAN, PADRE BURGOS, SOUTHERN LEYTE</t>
  </si>
  <si>
    <t>DANGEROUS DRUGS BOARD</t>
  </si>
  <si>
    <t>CITY OF LEGAZPI, ALBAY</t>
  </si>
  <si>
    <t>BARANGAY PILAHAN, MABINI, BATANGAS</t>
  </si>
  <si>
    <t>BARANGAY LIGAYA, MABINI, BATANGAS</t>
  </si>
  <si>
    <t>APAYAO STATE COLLEGE</t>
  </si>
  <si>
    <t>BARANGAY POBLACION 1, PURA, TARLAC</t>
  </si>
  <si>
    <t>MUNICIPALITY OF BAUKO, MOUNTAIN PROVINCE</t>
  </si>
  <si>
    <t>MUNICIPALITY OF LOPEZ JAENA , MISAMIS OCCIDENTAL</t>
  </si>
  <si>
    <t>MUNICIPALITY OF TUBAO, LA UNION</t>
  </si>
  <si>
    <t>MUNICIPALITY OF LAUREL, BATANGAS</t>
  </si>
  <si>
    <t>MUNICIPALITY OF KITCHARAO , AGUSAN DEL NORTE</t>
  </si>
  <si>
    <t>BARANGAY PUSSIAN, ALCALA, CAGAYAN</t>
  </si>
  <si>
    <t>MUNICIPALITY OF SALVADOR, LANAO DEL NORTE</t>
  </si>
  <si>
    <t>MUNICIPALITY OF BALENO, MASBATE</t>
  </si>
  <si>
    <t>TONDO MEDICAL CENTER</t>
  </si>
  <si>
    <t>MUNICIPALITY OF CAPALONGA, CAMARINES NORTE</t>
  </si>
  <si>
    <t>MUNICIPALITY OF PADRE BURGOS, SOUTHERN LEYTE</t>
  </si>
  <si>
    <t>MUNICIPALITY OF SAN MIGUEL, LEYTE</t>
  </si>
  <si>
    <t>MUNICIPALITY OF TARANGNAN, SAMAR</t>
  </si>
  <si>
    <t>PHILIPPINE COCONUT AUTHORITY-REGION XI</t>
  </si>
  <si>
    <t>CARAGA REGIONAL HOSPITAL</t>
  </si>
  <si>
    <t>MUNICIPALITY OF JANIUAY, ILOILO</t>
  </si>
  <si>
    <t>BARANGAY USUSAN, TAGUIG CITY</t>
  </si>
  <si>
    <t>PROFESSIONAL REGULATION COMMISSION</t>
  </si>
  <si>
    <t>MUNICIPALITY OF PANDAN , CATANDUANES</t>
  </si>
  <si>
    <t>PHILIPPINE PORTS AUTHORITY - REGION VIII</t>
  </si>
  <si>
    <t>BARANGAY ABUNDA - MAGSAYSAY MISAMIS ORIENTAL</t>
  </si>
  <si>
    <t>NATIONAL IRRIGATION ADMINISTRATION - AGUSAN DEL NORTE IMO</t>
  </si>
  <si>
    <t>BICOL REGIONAL TRAINING AND TEACHING HOSPITAL</t>
  </si>
  <si>
    <t>VICENTE SOTTO MEMORIAL MEDICAL CENTER - REGION VII</t>
  </si>
  <si>
    <t>DEPARTMENT OF AGRARIAN REFORM - LAGUNA PROVINCIAL OFFICE</t>
  </si>
  <si>
    <t>MUNICIPALITY OF MARAMAG, BUKIDNON</t>
  </si>
  <si>
    <t>MUNICIPALITY OF MAITUM, SARANGANI</t>
  </si>
  <si>
    <t>BARANGAY LA VICTORIA - IMELDA ZAMBOANGA SIBUGAY</t>
  </si>
  <si>
    <t>LIGHT RAIL TRANSIT AUTHORITY</t>
  </si>
  <si>
    <t>DEPARTMENT OF SOCIAL WELFARE AND DEVELOPMENT - REGION II</t>
  </si>
  <si>
    <t>CULTURAL CENTER OF THE PHILIPPINES - PASAY CITY METRO MANILA</t>
  </si>
  <si>
    <t>POLOMOLOK WATER DISTRICT</t>
  </si>
  <si>
    <t>CITY OF CATBALOGAN, SAMAR</t>
  </si>
  <si>
    <t>BULACAN STATE UNIVERSITY</t>
  </si>
  <si>
    <t>COMMISSION ON HUMAN RIGHTS</t>
  </si>
  <si>
    <t>MINDANAO STATE UNIVERSITY - MARAWI CITY</t>
  </si>
  <si>
    <t>BARANGAY STA.CRUZ, HILONGOS, LEYTE</t>
  </si>
  <si>
    <t>BARANGAY MANIBAUG, PASIG PORAC, PAMPANGA</t>
  </si>
  <si>
    <t>BARANGAY TAMBALIZA, CONCEPCION, ILOILO</t>
  </si>
  <si>
    <t>NATIONAL HOUSING AUTHORITY - REGION XII</t>
  </si>
  <si>
    <t>CITY OF BACOLOD, NEGROS OCCIDENTAL</t>
  </si>
  <si>
    <t>BARANGAY SABANG SOUTH -  BORONGAN CITY, EASTERN SAMAR</t>
  </si>
  <si>
    <t>MUNICIPALITY  OF BANATE, ILOILO</t>
  </si>
  <si>
    <t>BARANGAY SAN VICENTE - IGUIG CAGAYAN</t>
  </si>
  <si>
    <t>DEPARTMENT OF TOURISM - INTRAMUROS ADMINISTRATION</t>
  </si>
  <si>
    <t>BANGKO SENTRAL NG PILIPINAS - DAVAO REGIONAL OFFICE</t>
  </si>
  <si>
    <t>NATIONAL INTELLIGENCE COORDINATING AGENCY</t>
  </si>
  <si>
    <t>NIA-JALAUR RIVER MULTI-PURPOSE PROJECT STAGE II</t>
  </si>
  <si>
    <t>DEPARTMENT OF EDUCATION - DIVISION OF BUTUAN CITY</t>
  </si>
  <si>
    <t>COMMISSION ON ELECTIONS</t>
  </si>
  <si>
    <t>BARANGAY POBLACION - LEGANES ILOILO</t>
  </si>
  <si>
    <t>PHILIPPINE FIBER INDUSTRY DEVELOPMENT AUTHORITY</t>
  </si>
  <si>
    <t>NATIONAL TELECOMMUNICATIONS COMMISSION - REGION IV</t>
  </si>
  <si>
    <t>PHILIPPINE INTERNATIONAL CONVENTION CENTER</t>
  </si>
  <si>
    <t>PHILIPPINE STATE COLLEGE OF AERONAUTICS</t>
  </si>
  <si>
    <t>METROPOLITAN WATERWORKS AND SEWERAGE SYSTEM</t>
  </si>
  <si>
    <t>CIVIL SERVICE COMMISSION  - CENTRAL OFFICE</t>
  </si>
  <si>
    <t>BARANGAY MAHAYAG, QUEZON, BUKIDNON</t>
  </si>
  <si>
    <t>NATIONAL HOUSING AUTHORITY - NCR NORTH SECTOR</t>
  </si>
  <si>
    <t>SENATE OF THE PHILIPPINES</t>
  </si>
  <si>
    <t>OFFICE OF CIVIL DEFENSE</t>
  </si>
  <si>
    <t>DEPARTMENT OF PUBLIC WORKS AND HIGHWAYS - BUKIDNON 2ND DEO</t>
  </si>
  <si>
    <t>GMA WATER DISTRICT</t>
  </si>
  <si>
    <t>MUNICIPALITY OF SAN VICENTE, ILOCOS SUR</t>
  </si>
  <si>
    <t>DEPARTMENT OF EDUCATION - DIVISION OF CALAMBA CITY</t>
  </si>
  <si>
    <t>PHILIPPINE HEALTH INSURANCE CORPORATION</t>
  </si>
  <si>
    <t>MUNICIPALITY OF SANTA BARBARA, PANGASINAN</t>
  </si>
  <si>
    <t>PILI INTEGRATED SCHOOL - DANAO CITY CEBU</t>
  </si>
  <si>
    <t>CAGAYAN STATE UNIVERSITY - TUGUEGARAO CITY CAGAYAN</t>
  </si>
  <si>
    <t>BARANGAY CATO-OGAN TOBIAS FORNIER ANTIQUE</t>
  </si>
  <si>
    <t>NATIONAL IRRIGATION ADMINISTRATION - REGION VI</t>
  </si>
  <si>
    <t>BARANGAY SAN VICENTE, STO. TOMAS, BATANGAS</t>
  </si>
  <si>
    <t>MUNICIPALITY OF SAN SEBASTIAN, SAMAR</t>
  </si>
  <si>
    <t>Replacement of Window</t>
  </si>
  <si>
    <t>SW-1008-2020-0118</t>
  </si>
  <si>
    <t>SECURITY SERVICES</t>
  </si>
  <si>
    <t>COVID-19 EMERGENCY PROCUREMENT - TABLET</t>
  </si>
  <si>
    <t>Procurement of  fuel  for 3rd and  4th  quarter  2020  for  different  barangays  and other offices</t>
  </si>
  <si>
    <t>August 2020 - Storage Box</t>
  </si>
  <si>
    <t>INVITATION/REQUEST FOR SUBMISSION OF PRICE QUOTATION (720-2020-01)</t>
  </si>
  <si>
    <t>PROVISION OF MATERIALS FOR THE COMPLETION OF  BAGSAKAN VEGETABLE CENTER-OTHER STRUCTURE</t>
  </si>
  <si>
    <t>Invitation to Bid</t>
  </si>
  <si>
    <t>IMPROVEMENT OF BATEC-LOGPOND KONGKONG ROAD</t>
  </si>
  <si>
    <t>IMPROVEMENT OF CASERREC-LOCOS</t>
  </si>
  <si>
    <t>CONSTRUCTION OF STANDARD DAYCARE CENTER BUILDING WITH COMPLETE FACILITIES</t>
  </si>
  <si>
    <t>REPAIR/IMPROVEMENT OF BACIA AUDITORIUM</t>
  </si>
  <si>
    <t>Improvement of Musical Fountain, City Hall Ground, Brgy. Poblacion, City of Tacurong</t>
  </si>
  <si>
    <t>CONCRETING OF NATIONAL ROAD TO SCHOOL-DINE</t>
  </si>
  <si>
    <t>SUPPLY AND DELIVERY OF VEGETABLE SEEDS &amp; OTHER SUPPLIES</t>
  </si>
  <si>
    <t>SUPPLY AND DELIVERY OF ONE (1) UNIT BRAND NEW TOURER VAN FOR THE MUN. ECONOMIC AND ENTERPRISE DEVELOPMENT OFFICE</t>
  </si>
  <si>
    <t>LOCAL ACCESS ROAD-IMPROVEMENT OF ALLOY-WATWAT-EDRALIN ROAD</t>
  </si>
  <si>
    <t>COMPLETION OF MULTI-PURPOSE BUILDING AT RMC COMPOUND, SO. MACATUMBALEN</t>
  </si>
  <si>
    <t>LOCAL ACCESS ROAD-IMPROVEMENT OF CAPPIT-PUDI-DINE ROAD</t>
  </si>
  <si>
    <t>20EE0143 Concreting of Highway Junction to Sitio Bagto,  Brgy. San Nicolas FMR, Sta. 00+000- Sta. 00+859.50 Brgy. San Nicolas, Roxas, Palawan</t>
  </si>
  <si>
    <t>PGO-CATERING SERVICES</t>
  </si>
  <si>
    <t>IMPROVEMENT OF INANGUB ROAD - PAQUET</t>
  </si>
  <si>
    <t>Supply and delivery of HARDWARE MATERIALS</t>
  </si>
  <si>
    <t>MDH-Calibration and Preventive Maintenance of CT Scan</t>
  </si>
  <si>
    <t>Construction of Dialysis Center - (Phase II), City Health Office, Brgy. Poblacion, City of Tacurong</t>
  </si>
  <si>
    <t>PEEIPO-DIESEL AND GASOLINE</t>
  </si>
  <si>
    <t>CONSTRUCTION OF SERVICE ROAD TO DA BUILDING-MUNICIPAL COMPOUND</t>
  </si>
  <si>
    <t>SUPPLY AND DELIVERY OF HARDWARE MATERIALS FOR THE CONSTRUCTION OF AGRI-TOURISM FARM</t>
  </si>
  <si>
    <t>CONSTRUCTION OF NURSERY SHED</t>
  </si>
  <si>
    <t>PENRO-DIVING EQUIPMENT</t>
  </si>
  <si>
    <t>REHABILITATION OF SLAUGHTERHOUSE</t>
  </si>
  <si>
    <t>REPAIR/RENOVATION OF LEGISLATIVE BUILDING</t>
  </si>
  <si>
    <t>Construction  of  multi-purpose hall  at new  municipal ground</t>
  </si>
  <si>
    <t>SUPPLY OF MEDICINES FOR MENTALLY ILL PATIENTS FOR MSWD ABORLAN</t>
  </si>
  <si>
    <t>SUPPLY/DELIVERY OF VARIOUS DRUGS AND MEDICINES TO BE USED IN THE MOLAVE RURAL                                         HEALTH UNIT</t>
  </si>
  <si>
    <t>PROCUREMENT OF VARIOUS IT EQUIPMENT AND ACCESSORIES TO BE USED IN DEPED MOLAVE EAST DISTRICT OFFICE</t>
  </si>
  <si>
    <t>20EE0144  Concreting of Sitio Kano , Brgy. Danleg FMR, Sta. 00+000-Sta. 00+661.50 Brgy. Danleg, Dumaran, Palawan</t>
  </si>
  <si>
    <t>Supply and Delivery of Toners with free use of Printers</t>
  </si>
  <si>
    <t>Procurement of RP Vehicle Oil</t>
  </si>
  <si>
    <t>Procurement of Heavy Equipment Parts for Backhoe 2</t>
  </si>
  <si>
    <t>Procurement of Catering Services for NDPR Week Celebration/PWD Day of MSWDO</t>
  </si>
  <si>
    <t>COMPLETION OF COVERED COURT-SIGUEM</t>
  </si>
  <si>
    <t>Project 2020-18: Purchase of 300mm Diameter Cement Coated and Cement Lined Spiral Welded Steel Pipes</t>
  </si>
  <si>
    <t>Procurement of Medicines under Control Mental Illness Program of MHO</t>
  </si>
  <si>
    <t>PACKAGE 2020-49: LOWER DANGOY CREEK PROTECTION WALL</t>
  </si>
  <si>
    <t>Procurement of Catering Services for Post Partum Patient &amp; Staff @ Poblacion Birthing Home MSP</t>
  </si>
  <si>
    <t>PROCUREMENT OF DUMP TRUCK</t>
  </si>
  <si>
    <t>PACKAGE 2020-16: CONSTRUCTION OF RESERVOIR AND WATER SUPPLY SYSTEM AT ANTONIO CANAO, DANGOY AND MABILONG</t>
  </si>
  <si>
    <t>PACCO-PHOTOCOPIER</t>
  </si>
  <si>
    <t>Completion of Line Canal at Brgy. San Roque, San Juan, Southern Leyte</t>
  </si>
  <si>
    <t>ITB 20-0079 - Supply and Delivery of 2 units Dump Truck, Brand New, 6 Wheelers.</t>
  </si>
  <si>
    <t>20EE0145 Repair/Maintenance of Roadsides Structure along El Nido-Jct. New Ibajay  Road Section (S00059PW), KO304+(-430) Brgy. San Fernando, El Nido, Palawan</t>
  </si>
  <si>
    <t>PROCUREMENT OF MOTORCYCLE WITH TRAILER</t>
  </si>
  <si>
    <t>2020MC-SVP082 Supply &amp; Delivery of Materials for the Repair &amp; Maintenance of Ticao Building @ City Hall Comp., Brgy. Kalipay, Masbate City</t>
  </si>
  <si>
    <t>Procurement of Heavy Equipment Parts for Backhoe 1</t>
  </si>
  <si>
    <t>Invitation to Bid for the Supply and Delivery of Customized Polo Shirt and Sling Bag</t>
  </si>
  <si>
    <t>Supply and Delivery of of Various Commodities for the Children Beneficiaries of Supplementary Feeding Program of Labrador, Pangasinan</t>
  </si>
  <si>
    <t>Concreting of Farm to Market Road (Barangay Cabcaban)</t>
  </si>
  <si>
    <t>Purchase of IT Equipment for RHU II</t>
  </si>
  <si>
    <t>Purchase of Furniture and Fixtures for RHU II</t>
  </si>
  <si>
    <t>Purchase of Office Equipment for RHU II</t>
  </si>
  <si>
    <t>Purchase of Medical, Dental Laboratory Equipment for RHU II</t>
  </si>
  <si>
    <t>Purchase of Seven Hundred Sixty Five (765) Bags of Cement to be given to the Different Barangays of this Municipality</t>
  </si>
  <si>
    <t>Construction of Hand Washing Facility of Various Public Schools of Vigan City</t>
  </si>
  <si>
    <t>2020MC-SVP081 Supply &amp; Delivery of Materials for the Repair &amp; Maintenance of Masbate Building @ City Hall Comp,. Brgy. Kalipay, Masbate City</t>
  </si>
  <si>
    <t>2020MC-SVP088 Purchase of Enzymes for Biodegradable Waste @ Masbate City</t>
  </si>
  <si>
    <t>The Proposed Construction of Customer Accounts Division Office</t>
  </si>
  <si>
    <t>2020MC-SVP085 Supply &amp; Delivery of Computer Supplies for use of DepEd City of LGU - Masbate City</t>
  </si>
  <si>
    <t>SUPPLY, DELIVERY, AND INSTALLATION OF ONE (1)UNIT DENTAL CHAIR WITH SET OF DENTAL FORCEPS/INSTRUMENTS TO BE USED IN THE DENTAL CLINIC OF MOLAVE RURAL HEALTH UNIT</t>
  </si>
  <si>
    <t>2020MC-SVP087 Supply &amp; Delivery of Medicines for Senior Citizen's Office of LGU - Masbate City</t>
  </si>
  <si>
    <t>The procurement of Materials &amp; fittings for new connection for the year 2020</t>
  </si>
  <si>
    <t>2020MC-SVP084 Supply &amp; Delivery of Office Supplies for used of City DepEd of LGU - Masbate City</t>
  </si>
  <si>
    <t>2020MC-SVP083 Supply &amp; Delivery of Materials for the Repair &amp; Maintenance of Lapay Building @ City Hall Comp., Brgy. Kalipay, Masbate City</t>
  </si>
  <si>
    <t>The procurement of 2 units Variable Frequency Drive (Inclusive of Installation, Testing and Commissioning)</t>
  </si>
  <si>
    <t>P.R. No. X11-20-07-336 - Supply and Delivery for the use of various service vehicles and heavy equipment, assigned at DPWH-Region X</t>
  </si>
  <si>
    <t>IMPROVEMENT OF TADJI-TUKOD ROAD</t>
  </si>
  <si>
    <t>2020MC-SVP086 Supply &amp; Delivery of Condiments &amp; Vegetable for Supplementray Feeding Program of Day Care Children @ Masbate City</t>
  </si>
  <si>
    <t>Supply/Delivery of ICT Equipment</t>
  </si>
  <si>
    <t>Invitation to Bid for the Procurement of various supplies and equipment in response to the “New Normal” condition.</t>
  </si>
  <si>
    <t>RFQ</t>
  </si>
  <si>
    <t>Garments</t>
  </si>
  <si>
    <t>PF-0620-633</t>
  </si>
  <si>
    <t>PF-0720-722</t>
  </si>
  <si>
    <t>DELIVERY OF LABOR AND MATERIALS FOR THE OVERHAULING AND BODY REPAIR OF MUNICIPAL VEHICLE WITH PLATE NO. SFT- 541 (GARBAGE TRUCK)</t>
  </si>
  <si>
    <t>Installation of Streetlights at Poblacion to Pinagsabangan II (Curva), Naujan, Oriental Mindoro</t>
  </si>
  <si>
    <t>2,136	pieces	CHB (4"), etc. PR # 627-19</t>
  </si>
  <si>
    <t>INVITATION TO BID FOR Sewing Machines and Sewing Materials/Tools</t>
  </si>
  <si>
    <t>Supply and Delivery of Various Construction Materials and Supplies for the Proposed Fabrication of I ♥ Marikina Heights Signages</t>
  </si>
  <si>
    <t>16000	ltrs.	Diesel, PR # 681-20</t>
  </si>
  <si>
    <t>IMPROVEMENT OF NAGSABARAN-PAPALUNGAN ROAD</t>
  </si>
  <si>
    <t>Live Animals (Livestock, Birds, Live Fish &amp; etc.)</t>
  </si>
  <si>
    <t>CONSTRUCTION OF MULTI-PURPOSE COURT AT SITIO TAKAS AND BANAY-BANAY</t>
  </si>
  <si>
    <t>1	unit	6 Wheeler Brand New Garbage Compactor, PR # 675-20</t>
  </si>
  <si>
    <t>Construction of Drainage System @ Barangay 22, Batangas City</t>
  </si>
  <si>
    <t>Supply of Materials for the Concreting of Barangay Acess Road</t>
  </si>
  <si>
    <t>SUPPLY AND DELIVERY OF ASSORTED MEDICINES AND VITAMINS FOR SENIOR CITIZENS ASSOCIATION IN THE MUNICIPALITY OF TULUNAN, COTABATO</t>
  </si>
  <si>
    <t>20% BDF 2020</t>
  </si>
  <si>
    <t>Supply and Delivery of 8 Unit Fire Extinguisher and 1 unit Emergency Light for Schools Division Office Fire Safety Purposes</t>
  </si>
  <si>
    <t>Purhase of 15 units wheelchairs for person with disability use</t>
  </si>
  <si>
    <t>3	kg	Common Wire Nails, #1 1/2", PR # 734-19</t>
  </si>
  <si>
    <t>19DD0539 Concreting of Road in Brgy. Pulang Bato, San Juan, Batangas</t>
  </si>
  <si>
    <t>1	unit	6 Wheeler Brand New Garbage Compactor, PR # 676-20</t>
  </si>
  <si>
    <t>19DD0537 Construction/ Improvement of Slope Protection/ Revetment of Malaking Ilog River, Brgy. Tipas, San Juan, Batangas</t>
  </si>
  <si>
    <t>1	unit	6-Wheeler Brand New DUMPTRUCK, PR # 674-20</t>
  </si>
  <si>
    <t>To Support The Logistical Requirements of HHCo,55EBDE,PA</t>
  </si>
  <si>
    <t>4	Igths.	G.l. Pipe 65mm Ø x 6.0m (S-40), etc. PR # 83-20</t>
  </si>
  <si>
    <t>1.Spareparts (for the maintenance of Compactor II)/CWMO 2. Tires (for I Care SAA-7005)/CMO-Motorpool</t>
  </si>
  <si>
    <t>1000	pcs	CHB 4" THK., etc. PR # 856-19</t>
  </si>
  <si>
    <t>1. Agricultural Supplies/CWMO 2. Pesticide (to be use in the Sanitary Landfill in Brgy. Aglalana, Passi City)/CWMO 3. Polo Shirt (for the use of Jesry Care)/CMO 4. Other Supplies/CWMO 5. Office Suppli</t>
  </si>
  <si>
    <t>15	pcs.	G-Melina Lumber- 2" x 2" x 10', etc. PR # 840-19</t>
  </si>
  <si>
    <t>SUPPLY &amp; DELIVERY OF VARIOUS SUPPLIES &amp; EQUIPMENT @ MHO, AGRICULTURE &amp; MAYOR'S OFFICE, RODRIGUEZ, RIZAL</t>
  </si>
  <si>
    <t>PROCUREMENT OF CATERING SERVICES FOR THE VARIOUS EVENTS OF HCGSSF AND SUB-UNITS FOR 3RD QUARTER OF CY 2020</t>
  </si>
  <si>
    <t>Vehicle Parts and Accessories</t>
  </si>
  <si>
    <t>INSTALLATION OF CCTV WITH NVR &amp; MONITOR AT VARIOUS RESETTLEMENT SITES FOR PEACE AND ORDER MONTIORING @ GOLDEN HORIZON , SUNSHINE VILLE &amp; SOUTHVILLE 2 PHASE 3, TMC</t>
  </si>
  <si>
    <t>4	Igths.	G.l. Pipe 65mm Ø x 6.0m (S-40), etc. PR # 84-20</t>
  </si>
  <si>
    <t>PROCUREMENT OF SUPPLIES FOR REPRODUCTION OF SELF-LEARNING MODULES</t>
  </si>
  <si>
    <t>Supply &amp; Delivery of Fuel, Oil &amp; Lubricants</t>
  </si>
  <si>
    <t>UNIFORMS AND FACE MASK FOR DAY CARE WORKERS</t>
  </si>
  <si>
    <t>Supply and Delivery of OPCEN Materials</t>
  </si>
  <si>
    <t>19DD0544 Construction/ Rehabilitation of Road, Brgy. Salaban 1, Ibaan, Batangas</t>
  </si>
  <si>
    <t>19DD0543 Construction/ Rehabilitation of Road with Drainage Facilities, Brgy. Lumil, San Jose, Batangas</t>
  </si>
  <si>
    <t>19DD0542 Construction/ Rehabilitation/ Widening of Road, Brgy. Mabalor, Rosario, Batangas</t>
  </si>
  <si>
    <t>Construction of Slab Rooftop</t>
  </si>
  <si>
    <t>ENGAGEMENT OF SERVICES FOR THE DEMARCATION OF MOUNTS IGLIT-BACO NATURAL PARK, A LEGISLATED TERRESTRIAL PROTECTED AREA, UNDER THE NATIONAL INTEGRATED PROTECTED AREAS SYSTEM (NIPAS), AS AMMENDED</t>
  </si>
  <si>
    <t>Supply &amp; Delivery 2 units Laptop; PR No. 20-1987 dated July 13, 2020</t>
  </si>
  <si>
    <t>19DD0541 Rehabilitation/ Improvement of Road at Brgy. Balintawak, Lipa City, Batangas</t>
  </si>
  <si>
    <t>Supply &amp; Delivery of Fuel, Oil &amp; Lubricant</t>
  </si>
  <si>
    <t>Rebidding of Conreting of Barangay Road at Brgy. Tumbaga 1, Sariaya, Quezon</t>
  </si>
  <si>
    <t>Purchase of relief goods for the affected families of COVID-19</t>
  </si>
  <si>
    <t>Rebidding of Concreting of Barangay Road at Barangay Talaan Aplaya, Sariaya. Quezon</t>
  </si>
  <si>
    <t>Purchase of Materials for the Reconstruction of Purok 2 Center (KIOSKO) Danicop, Antequera, Bohol</t>
  </si>
  <si>
    <t>20	pcs.	2"x2"x 10' G-melina, PR # 168-20</t>
  </si>
  <si>
    <t>Installation of Fixed Glass with Swing Door</t>
  </si>
  <si>
    <t>20	pcs.	2"x2"x 10' G-melina, PR # 169-20</t>
  </si>
  <si>
    <t>Supply &amp; Delivery 200 gal Ethyl Alcohol 70% Isoprophyl; PR No. 20-1454 dated May 15, 2020</t>
  </si>
  <si>
    <t>Rebidding of Concreting of Barangay Road at Barangay Lutucan Malabag, Sariaya, Quezon</t>
  </si>
  <si>
    <t>Supply and Delivery of Catering Services</t>
  </si>
  <si>
    <t>New Construction of Level II Potable Water Supply System at Brgy. Sta. Maria</t>
  </si>
  <si>
    <t>Construction of Water System at Brgy. Concepcion Pinagbakuran, Sariaya, Quezon</t>
  </si>
  <si>
    <t>4	m³	Sand, etc. PR # 58-20</t>
  </si>
  <si>
    <t>RFQ No. 134-2020-G 1 canvass (General Merchandise)</t>
  </si>
  <si>
    <t>Rebidding of Concreting of Barangay Road at Barangay Pili, Sariaya, Quezon</t>
  </si>
  <si>
    <t>2020-08-1230 ANTI-SARS-COV 2</t>
  </si>
  <si>
    <t>Procurement of Expanded NBS Collection Kits use for RHU and Family Planning Center</t>
  </si>
  <si>
    <t>PURCHASE OF OFFICE SUPPLIES USE AT CAUAYAN DISTRICT HOSPITAL, BARANAY ISIO, CAUAYAN, NEGROS OCCIDENTAL</t>
  </si>
  <si>
    <t>RFQ No. 135-2020-G 1 canvass (Printing Services)</t>
  </si>
  <si>
    <t>Drilling of One (1) Exploratory/Production Well Including Deepwell Pump and Pumping Station atBrgy. Sampaloc 2, Sariaya,Quezon</t>
  </si>
  <si>
    <t>PROCUREMENT OF OFFICE SUPPLIES AND CONSUMABLES</t>
  </si>
  <si>
    <t>RFQ No. 130-2020-G 1 canvass (Drugs and Medicines)</t>
  </si>
  <si>
    <t>Local Access Road Upgrading at Brgy. Pob. Zone III to Brgy. Burgos, Mayorga, Leyte</t>
  </si>
  <si>
    <t>Printing Services (Brochures &amp; Poster)</t>
  </si>
  <si>
    <t>19DD0536 Construction of Road and Slope Protection along Laiya- Malabrigo Road, Sitio Natungkad to Sitio Biga, Hugom Section, San Juan, Batangas</t>
  </si>
  <si>
    <t>VENETIAN BLINDS</t>
  </si>
  <si>
    <t>General Merchandise</t>
  </si>
  <si>
    <t>Supply and Delivery of Various Construction Materials and Supplies for the Proposed Development and Laying of Gravel Bed, River Parks Authority</t>
  </si>
  <si>
    <t>Supply &amp; Delivery of Grocery Items (CMOG-PN)</t>
  </si>
  <si>
    <t>New Construction of Level II Potable Water Supply System at P-2 Brgy. Ogao, Nabunturan</t>
  </si>
  <si>
    <t>Supply and Delivery of various medical and dental supplies</t>
  </si>
  <si>
    <t>Rebidding of Concreting of Barangay Road at Barangay Guisguis Talon, Sariaya, Quezon</t>
  </si>
  <si>
    <t>Construction of Water System at Brgy. Sampaloc 2, Sariaya, Quezon</t>
  </si>
  <si>
    <t>19DD0538 Road Rehabilitation of Lapo-Lapo 2.0- Salaban Road, Brgy. Lapo-Lapo 2.0 and Brgy. Salaban, San Jose, Batangas</t>
  </si>
  <si>
    <t>PURCHASE/DELIVERY OF FACESHIELD &amp; DISPOSABLE FACE MASK &amp; PPE'S</t>
  </si>
  <si>
    <t>Rebidding of Concreting of Barangay Road at Barangay Castañas, Sariaya, Quezon</t>
  </si>
  <si>
    <t>rebidding for Replenishment of family food packs for Disaster Response and Management Division stockpile</t>
  </si>
  <si>
    <t>Stand Fan - MSWDO</t>
  </si>
  <si>
    <t>2020-08-1231 Fluorescence Immunoassay Methold</t>
  </si>
  <si>
    <t>Purchase of Flashlight</t>
  </si>
  <si>
    <t>Certificates and Ribbons - MSWDO</t>
  </si>
  <si>
    <t>Supply and Delivery of Training Supplies (PMC)</t>
  </si>
  <si>
    <t>Purchase of Aluminum Ladder</t>
  </si>
  <si>
    <t>Purchase of Sounds &amp; Fixtures - MSWDO</t>
  </si>
  <si>
    <t>Supply and Delivery of Office Supplies for the Second Quarter not available at PS DBM</t>
  </si>
  <si>
    <t>Purchase of Laptop Computer</t>
  </si>
  <si>
    <t>Construction of Water Tank</t>
  </si>
  <si>
    <t>Contract ID No. 20NC0142 - Concreting of Brgy. La Fortuna to Purok 5 to Purok 6, Brgy. Sinobong FMR, Veruela, Agusan del Sur</t>
  </si>
  <si>
    <t>Procurement of Goods</t>
  </si>
  <si>
    <t>Reproduction of Self-Learning Modules ( Module 2) Kinder to Grade 6</t>
  </si>
  <si>
    <t>Purchase of Drugs &amp; Medicine</t>
  </si>
  <si>
    <t>Drugs and Medicines</t>
  </si>
  <si>
    <t>Installation of 24 CCTV Cameras</t>
  </si>
  <si>
    <t>Supply and Delivery of Other Supplies and Materials (PMC)</t>
  </si>
  <si>
    <t>Parts and Labor Services (Repair of Service Vehicle)</t>
  </si>
  <si>
    <t>Rehab / Improvement of Multi-Purpose Hall</t>
  </si>
  <si>
    <t>Purchase of One (1) unit All in One Desktop Computer and two (2) units printer for City Mayors Office use</t>
  </si>
  <si>
    <t>Repair/Maintenance of Brgy. Streetlight</t>
  </si>
  <si>
    <t>PURCHASE/DELIVERY OF DESKSTOP COMPUTER WITH PRINTER FOR ASSESSOR'S OFFICE AND 1 SET DESKTOP COMPUTER FOR BIOMETRICS</t>
  </si>
  <si>
    <t>Purchase of various electrical supplies for repair of streetlights and accessories- electrical works (for Poblacion of various streetlights) use</t>
  </si>
  <si>
    <t>PR-2020-1480 Three (3) Units Laptop (Rebid)-PHO</t>
  </si>
  <si>
    <t>PR-2020-2169 Plumbing Materials-PPDO</t>
  </si>
  <si>
    <t>For various food supplies for City Health Office (Nutrition Progam) use</t>
  </si>
  <si>
    <t>Concreting of Cayo Street</t>
  </si>
  <si>
    <t>Materials for Repair of Lighting Fixtures in various Offices and rooms</t>
  </si>
  <si>
    <t>Rebidding of Construction of Bench Type Niche at Brgy. Sampaloc 1, Sariaya, Quezon</t>
  </si>
  <si>
    <t>Purchase of Ultraviolet Disinfection Box</t>
  </si>
  <si>
    <t>Repair and maintenace of Brgy. Street Lights</t>
  </si>
  <si>
    <t>PROCUREMENT OF FIRE FIGHTING &amp; RESCUE AND SAFETY EQUIPMENT</t>
  </si>
  <si>
    <t>Rehabilitation/Improvement of Barangay Road, Phase II</t>
  </si>
  <si>
    <t>Supply/Delivery of Parts, Oil &amp; Lubricants for Tractor Unit of LGU-Palo, Leyte</t>
  </si>
  <si>
    <t>PR-2020-1878 Drugs &amp; Medicines (Rebid)-CDH</t>
  </si>
  <si>
    <t>REHABILITATION OF ROADS AT BIL-ISAN, LIBAONG, LOOC, &amp; TAWALA, PANGLAO, BOHOL</t>
  </si>
  <si>
    <t>REPLACEMENT OF PIPELINES AND VALVES OF ENGINE ROOM AND COPPER TUBES FOR AIR CONDITIONING UNIT CONDENSER OF SARV-004</t>
  </si>
  <si>
    <t>IMPROVEMENT OF LIGHTING SYSTEM OF BASKETBALL COURT INSIDE THE MUNICIPAL AUDITORIUM</t>
  </si>
  <si>
    <t>Supply and Delivery of Office Supplies for use in DPWH Agusan del Sur 1st District Engineering Office</t>
  </si>
  <si>
    <t>PR-2020-2138 Vegetable Seeds-PAO</t>
  </si>
  <si>
    <t>IMPROVEMENT OF WATER SYSTEM (Const. of Intake Box and Installation of Pipelines)</t>
  </si>
  <si>
    <t>Purchase of various medical supplies for Community Based Rehabilitation Center (CBR) use</t>
  </si>
  <si>
    <t>Supply and Delivery of Tool Box for use in the Repair and Maintenance of Various  Pumping Station</t>
  </si>
  <si>
    <t>Invitation to Bid for the Procurement of Medical and Disinfectant supplies and Handwashing station</t>
  </si>
  <si>
    <t>Rehabilitation of Armored Trucks</t>
  </si>
  <si>
    <t>PROGRAMS, PROJECTS AND ACTIVITIES TO ADDRESS THE CORONA VIRUS DISEASE 2019 (COVID 19) SITUATION, FOOD, ASSISTANCE AND RELIEF GOODS FOR THE AFFECTED HOUSEHOLDS	(Purchase of Rice)</t>
  </si>
  <si>
    <t>PR-2020-1285 One (1) Unit Brand new Pick-Up Vehicle (Rebid)-PGO</t>
  </si>
  <si>
    <t>Construction of Street Lights</t>
  </si>
  <si>
    <t>PURCHASE OF CONSTRUCTION MATERIALS FOR THE REHABILITATION OF MPH AND CONSTRUCTION OF SLOPE PROTECTION</t>
  </si>
  <si>
    <t>PROCUREMENT OF BUNKS AND STEEL LOCKER CABINET</t>
  </si>
  <si>
    <t>Supply and Delivery of various commodities for the children beneficiaries of Supplementary Feeding Program of the Municipality of Mapandan, Pangasinan</t>
  </si>
  <si>
    <t>Supply and Delivery of Communication Equipment Parts and Accessories (PMC)</t>
  </si>
  <si>
    <t>PR-2020-1936 Thirty (30) Unts Powered Air Purifying Respirators (Rebid)-PDRRMO</t>
  </si>
  <si>
    <t>Supply and delivery of various packaging materials in the processing of different products for AMIA Cooperators in Region 1</t>
  </si>
  <si>
    <t>CONSTRUCTION OF MOTORPOOL AT POBLACION, PANGLAO, BOHOL</t>
  </si>
  <si>
    <t>Supply, Delivery and Installation of Shaft Generator of BRP Hydrographer Presbitero</t>
  </si>
  <si>
    <t>Procurement of ICT Supplies and Equipment (2nd Semester FY 2020)</t>
  </si>
  <si>
    <t>2020-08-1254 Plastic Trash Bag</t>
  </si>
  <si>
    <t>SUPPLY, DELIVERY, &amp; INSTALLATION OF 5.36 KWP HYBRID, GI SHEETS SOLAR SYSTEM AT THE OFFICE OF THE MUNICIPAL TREASURER</t>
  </si>
  <si>
    <t>Supply and Delivery of dKart Inspector for Hydrography Branch</t>
  </si>
  <si>
    <t>1 LOT PLANTS</t>
  </si>
  <si>
    <t>Negotiated Procurement (under Two Failed Bidding) for the Supply and Delivery of One (1) Lot Various Other Machinery &amp; Equipment</t>
  </si>
  <si>
    <t>PROCUREMENT OF 2 UNITS MOTORCYCLE PATROL AND 1 UNIT UNCUSTOMIZED MOTORCYCLE (ALL BRAND NEW)</t>
  </si>
  <si>
    <t>Purchase of Printing Supplies</t>
  </si>
  <si>
    <t>Procurement of Two (2) Sets  Pontoon for  Pasig River Ferry Service, Quezon Bridge</t>
  </si>
  <si>
    <t>PROCUREMENT OF LABOR FOR PRINTING OF MODULES OF AMLAN NHS</t>
  </si>
  <si>
    <t>Supply and Delivery of Certified Palay Seeds</t>
  </si>
  <si>
    <t>SUPPLY, DELIVERY AND COMMISSIONING OF TWO (2) UNITS BRAND NEW POWER GENERATOR SETS FOR MGC BUILDING, THIS MUNICIPALITY /2020-020</t>
  </si>
  <si>
    <t>supplies and delivery of I.T Equipment</t>
  </si>
  <si>
    <t>Alcohol 0542</t>
  </si>
  <si>
    <t>SUPPLY AND DELIVERY OF 3 TONNER INVERTER AIRCON</t>
  </si>
  <si>
    <t>Supply and Delivery of Fuel, Oil &amp; Lubricants</t>
  </si>
  <si>
    <t>SUPPLY AND DELIVERY OF MUSICAL INSTRUMENTS</t>
  </si>
  <si>
    <t>Supply &amp; Delivery of Teaching  and Learning Materials for Child Development Center</t>
  </si>
  <si>
    <t>Procurement of One (1) Unit Reconditioned Mini Dump Truck for Brgy. San Miguel, Tarlac City. B2020-105-A</t>
  </si>
  <si>
    <t>Supply and Delivery of Glass Pad</t>
  </si>
  <si>
    <t>Repair and Maintenance of Vehicle</t>
  </si>
  <si>
    <t>Supply and Delivery of various commodities for the children beneficiaries of Supplementary Feeding Program of the Municipality of San Quintin, Pangasinan</t>
  </si>
  <si>
    <t>Purchase of Rescue Vehicle</t>
  </si>
  <si>
    <t>Purchase of Office Supplies and Devices</t>
  </si>
  <si>
    <t>Supply and Delivery for Fertilizer</t>
  </si>
  <si>
    <t>Supply, Delivery and Installation of CCTV Camera &amp; 13 others</t>
  </si>
  <si>
    <t>Supply and Delivery of Other Supplies</t>
  </si>
  <si>
    <t>Supply and Delivery of Semi-Expendable ICT Equipment (PMC)</t>
  </si>
  <si>
    <t>Cost of Preventive Maintenance of Digital X-Ray</t>
  </si>
  <si>
    <t>Lubricant Gel 0544</t>
  </si>
  <si>
    <t>SUPPLY AND DELIVERY OF MEALS &amp; SNACKS</t>
  </si>
  <si>
    <t>Supply and Delivery of Furniture and Fixtures</t>
  </si>
  <si>
    <t>Supply and Delivery of Common Office Supplies for HR office</t>
  </si>
  <si>
    <t>Laryngoscope Blade 0541</t>
  </si>
  <si>
    <t>For Improvement of DNAS 6-Bay Car Park</t>
  </si>
  <si>
    <t>Procurement of Office Supplies and gen mdse.</t>
  </si>
  <si>
    <t>1. Tires (for Toyota Hilux VN7250, Toyota Hilusx I Care &amp; Hino W04D/CMO-Motorpool 2. Tires (for Toyota Hilux Patrol Vehicle)/ CMO-Motorpool 3. Tire (for DT Daewoo DE12TIS, DT Quester CKE280 &amp; Grader V</t>
  </si>
  <si>
    <t>Supply and Delivery of various commodities for the children beneficiaries of Supplementary Feeding Program of the Municipality of Sto.Tomas, Pangasinan</t>
  </si>
  <si>
    <t>Supply and Delivery of Various Construction Materials and Supplies for the Repair and Maintenance of Electrical Facilities at Various Parks and Space, Marikina City</t>
  </si>
  <si>
    <t>SUPPLY AND DELIVERY OF MODEM, WIFI (REBID)</t>
  </si>
  <si>
    <t>Supply and Delivery of various commodities for the children beneficiaries of Supplementary Feeding Program of the Municipality of Sta. Maria, Pangasinan</t>
  </si>
  <si>
    <t>CONSTRUCTION / CONCRETING OF PAVEMENT</t>
  </si>
  <si>
    <t>Iv Cannula 0535</t>
  </si>
  <si>
    <t>RFQ 2020-08-502 Procurement of one (1) unit Photo Copying Machine for DTCAM</t>
  </si>
  <si>
    <t>Cover all suit 0534</t>
  </si>
  <si>
    <t>Dispo Syringe 0536</t>
  </si>
  <si>
    <t>Supply and delivery of Influenza Vaccine and COVID-19 test kits for DTI R02 Personnel</t>
  </si>
  <si>
    <t>RFQ 2020-08-504 Procurement of various Communication Equipment for DTCAM</t>
  </si>
  <si>
    <t>PROCUREMENT OF VARIOUS DRUGS AND MEDICINES (BAC 2020-G06 REBIDDING)</t>
  </si>
  <si>
    <t>construction of Ligisan</t>
  </si>
  <si>
    <t>P.R No. 20-07-0719: 1 Lot Training Pneumatic Package Equipment Set</t>
  </si>
  <si>
    <t>P.R. No. X6-20-07-328 - Supply and Delivery for the operation of Mitsubishi Strada (KFZ-995)-100801</t>
  </si>
  <si>
    <t>P.R. No. X6-20-07-311 - Supply and Delivery for the operation of Nissan Navara (FOI-421)-100101</t>
  </si>
  <si>
    <t>For Improvement of Schools's 6-bay car park</t>
  </si>
  <si>
    <t>Supply and Delivery of various commodities for the children beneficiaries of Supplementary Feeding Program of the Municipality of Pozzorubio, Pangasinan</t>
  </si>
  <si>
    <t>SUPPLY AND DELIVERY OF ONE (1) UNIT BRAND NEW 4 X 4 PICK-UP RESCUE VEHICLE FOR MUNICIPAL SOCIAL WELFARE DEVELOPMENT OFFICE (MSWDO) CLIENTS</t>
  </si>
  <si>
    <t>Supply &amp; Delivery of Construction Materials for the Improvement of Multi - Purpose Building (Septic Tank) at San Jose</t>
  </si>
  <si>
    <t>P.R. No. X6-20-07-312 - Supply and Delivery for the operation of Toyota HILUX (ACB-6830)-100810</t>
  </si>
  <si>
    <t>Supply and Delivery of One (1) Unit Fire/Water Truck for Use in the City Government of Balanga, Bataan</t>
  </si>
  <si>
    <t>Procurement of New Printers</t>
  </si>
  <si>
    <t>COMPLETION OF EVACUATION FACILITIES AT BOLOD, PANGLAO, BOHOL</t>
  </si>
  <si>
    <t>PROVISION OF CATERING SERVICES FOR THE 2020 GAWAD TAGAPAMANIHALA AND APPRECIATION NIGHT OF SDO SORSOGON PROVINCE</t>
  </si>
  <si>
    <t>Supply and Delivery of One (1) Unit Ladder Fire Truck for Use in the City Government of Balanga, Bataan</t>
  </si>
  <si>
    <t>Impasugong II District- School Supplies for Printing Modules</t>
  </si>
  <si>
    <t>PURCHASE OF OFFICE, OTHER SUPPLIES AND MATERIALS</t>
  </si>
  <si>
    <t>MANUEL YULO ELEMENTARY SCHOOL DELIVERY OF OFFICE SUPPLIES</t>
  </si>
  <si>
    <t>Procurement of Office Supplies and Materials</t>
  </si>
  <si>
    <t>CLUSTER 38-2020</t>
  </si>
  <si>
    <t>CONSTRUCTION/REHABILITATION OF HEALTH CENTER</t>
  </si>
  <si>
    <t>Negotiated Procurement (under Two Failed Bidding) for the Supply and Delivery of One (1) Lot Various Materials for the Rehabilitation of Fish Sanctuaries</t>
  </si>
  <si>
    <t>REHABILITATION/ CONSTRUCTION OF PALITUD BRIDGE</t>
  </si>
  <si>
    <t>IMPROVEMENT OF SAMOKI RIVERSIDE ROAD, BONTOC</t>
  </si>
  <si>
    <t>CEMENTING OF PATHWAYS</t>
  </si>
  <si>
    <t>Const. /Installation of Street Lights</t>
  </si>
  <si>
    <t>Supply and Delivery of various commodities for the children beneficiaries of Supplementary Feeding Program of the Municipality of San Nicolas, Pangasinan</t>
  </si>
  <si>
    <t>Purchase of furniture and fixtures (sala set)</t>
  </si>
  <si>
    <t>PROCUREMENT OF VARIOUS MATERIALS AND SUPPLIES FOR COVID19</t>
  </si>
  <si>
    <t>PABASA SA NUTRISYON</t>
  </si>
  <si>
    <t>Rehabilitation of Water Supply System</t>
  </si>
  <si>
    <t>Purchase of Office Supplies</t>
  </si>
  <si>
    <t>REHABILITATION OF LINED CANAL</t>
  </si>
  <si>
    <t>PURCHASE OF PROTECTIVE MATERIALS AND SUPPLIES</t>
  </si>
  <si>
    <t>PROVISION OF MATERIALS FOR THE CONSTRUCTION OF DRAINAGE CANAL – SEWER SYSTEM 690 Lm PHASE I</t>
  </si>
  <si>
    <t>PURCHASE OF LED TV</t>
  </si>
  <si>
    <t>P.R. No. X6-20-06-257 - Supply and Delivery for the use in DPWH Region-10 Weighbridge Operation</t>
  </si>
  <si>
    <t>PURCHASE OF MEDICINES/VITAMINS</t>
  </si>
  <si>
    <t>Backfilling and Concreting including Repair of Drainage System of Area Between Bakery and FPC</t>
  </si>
  <si>
    <t>Office Supply</t>
  </si>
  <si>
    <t>CONSTRUCTION OF DRAINAGE CANAL.</t>
  </si>
  <si>
    <t>For 2,500 pcs. Busines Sticker Plate for Business Permit and Licensing Office use</t>
  </si>
  <si>
    <t>PROVISION OF CATERING SERVICES ON THE INAUGURATION AND BLESSING OF THE NEW SCHOOLS DIVISION OFFICE BUILDING</t>
  </si>
  <si>
    <t>INSTALLATION OF REINFORCED CONCRETE PIPE CULVERT ( NALUNDAN)</t>
  </si>
  <si>
    <t>For Improvement of the SMAW NC I and NC II Training Center</t>
  </si>
  <si>
    <t>Purchase of Meals and Snacks</t>
  </si>
  <si>
    <t>Fabrication of Canal Steel Grating</t>
  </si>
  <si>
    <t>Purchase of various supplies for Instructional for shielded metal arc welding NC II 3rd quarter use</t>
  </si>
  <si>
    <t>Labor and Materials to be used for the Installation of Local Area Network of AVRC 1</t>
  </si>
  <si>
    <t>REHABILITATION OF CANAL AT LUMANG KALYE</t>
  </si>
  <si>
    <t>CLUSTER 36-2020</t>
  </si>
  <si>
    <t>REPAIR AND MAINTENANCE OF MACHINERY &amp; EQUIPMENT (CCTV)</t>
  </si>
  <si>
    <t>Printing of Modules (San Vicente ES) - Apalit District</t>
  </si>
  <si>
    <t>PROCUREMENT OF SUPPLY AND DELIVERY OF MEDICAL SUPPLIES</t>
  </si>
  <si>
    <t>Office Equipment</t>
  </si>
  <si>
    <t>CONCRETING OF FARM TO MARKET ROAD PROJECT (DANAO)</t>
  </si>
  <si>
    <t>INSTALLATION OF SOLAR STREET LIGHTS</t>
  </si>
  <si>
    <t>CONCRETING OF LOCAL ROAD FROM OLD ICEPLANT BARAH RES.- FILLING MATERIALS</t>
  </si>
  <si>
    <t>PROCUREMENT OF SUPPLY AND DELIVERY OF DRUGS AND MEDICINES</t>
  </si>
  <si>
    <t>Procurement of Printing Supplies to be used for the reproduction of Lerner's module</t>
  </si>
  <si>
    <t>Construction of Front Fence of Provincial Agriculture Office, Iba</t>
  </si>
  <si>
    <t>PROCUREMENT OF SUPPLY AND DELIVERY OF AGRICULTURAL SUPPLIES</t>
  </si>
  <si>
    <t>REHABILITATION OF MUNICIPAL BUILDING (PHASE 1)</t>
  </si>
  <si>
    <t>Printing of Modules (San Luis ES) - San Luis District</t>
  </si>
  <si>
    <t>Printing of Modules (Eliseo Belen ES) - Bacolor North District</t>
  </si>
  <si>
    <t>Printing of Modules (San Isidro ES) - Magalang North District</t>
  </si>
  <si>
    <t>Printing of Modules (San Isidro Resettlement ES)</t>
  </si>
  <si>
    <t>Printing of Modules (Fausto ES) - Apalit District</t>
  </si>
  <si>
    <t>Printing of Modules (Macabebe ES) - Macabebe East District</t>
  </si>
  <si>
    <t>Diesel Fuel for Service Vehicles at the GSIS Central Office Motor Pool</t>
  </si>
  <si>
    <t>Photo Copier</t>
  </si>
  <si>
    <t>furniture and fixtures</t>
  </si>
  <si>
    <t>ROAD OPENING AT BASUH RESIDENCE TO SS - FUEL</t>
  </si>
  <si>
    <t>Concreting of FMR from Sta. Rita Proper to Sitio Hamat, Brgy. Sta. Rita and Sitio Matalvis, Brgy. Inhobol; Masinloc</t>
  </si>
  <si>
    <t>Supply and Delivery of 3TR Floor Mounted Aircon for MPDO and Printer for ICT Section</t>
  </si>
  <si>
    <t>Grocery Items</t>
  </si>
  <si>
    <t>Construction Materials for the Fabrication and Installation of divider/Cabinet of the City AGR</t>
  </si>
  <si>
    <t>IMPROVEMENT OF EMERGENCY OPERATION CENTER</t>
  </si>
  <si>
    <t>Spare parts for the SHY 401</t>
  </si>
  <si>
    <t>Long Sleeved Shirt with Print</t>
  </si>
  <si>
    <t>Installation of Solar Street Light - Purok Aguinaldo, Brgy. Batiti</t>
  </si>
  <si>
    <t>ROAD OPENING AT BASUH RESIDENCE TO SS - FILLING MATERIALS</t>
  </si>
  <si>
    <t>Construction of Water System - Brgy. Bagongon</t>
  </si>
  <si>
    <t>Medical Health Service at Barangay Ligtong III, Rosario, Cavite</t>
  </si>
  <si>
    <t>Office supplies - MTO</t>
  </si>
  <si>
    <t>ROAD OPENING AT BASUH RESIDENCE TO SS - 10MM DIA. DEF.BARS</t>
  </si>
  <si>
    <t>REHABILITATION OF MUNICIPAL BUILDING (PHASE V)</t>
  </si>
  <si>
    <t>Motorcycle Unit with Accessories</t>
  </si>
  <si>
    <t>Construction of Community Center Concrete Perimeter Fence</t>
  </si>
  <si>
    <t>BIG - CONCRETING OF LOCAL ROAD FROM OLD ICEPLANT BARAH RES. -FINE AGGREGATES</t>
  </si>
  <si>
    <t>PROCUREMENT OF GOODS: CHECK-UP AND REPAIR OF DRAGGER FABIUS PLUS XL ANESTHESIA MACHINE - SVP 2020-151</t>
  </si>
  <si>
    <t>P.R. No. X7-20-08-350 - Supply and Delivery for the use in Planning and Design Division</t>
  </si>
  <si>
    <t>MATERIAL PROCUREMENT FOR THE MODULES</t>
  </si>
  <si>
    <t>REHABILITATION OF MUNICIPAL BUILDING (PHASE 1V)</t>
  </si>
  <si>
    <t>Improvement &amp; Repainting of Ynares Multi-Purpose Covered Court at Brgy. Lambac, Cardona, Rizal; a. Improvement of Ynares Multi-Purpose Covered Court at Brgy. Lambac, b. Repainting   of Ynares Multi-Pu</t>
  </si>
  <si>
    <t>Repair/Repainting of 1-storey, 5-rooms Ynares School Bldg. , Construction of Riprap &amp; Canal of Ynares Multi-Purpose Covered Court at Tuna Balibago National High School (Lambac Annex), Brgy. Lambac, Ca</t>
  </si>
  <si>
    <t>Construction of Multi-Purpose Provincial DRRM Center at Brgy. San Roque, Cardona, Rizal</t>
  </si>
  <si>
    <t>For Extension of Animal Production Building to put up Masonry Training/Assessment Center</t>
  </si>
  <si>
    <t>Construction/Provision of Wash Facilities (Water, Sanitation &amp; Hygiene) for Evacuation Center at Looc Elem. School, Cardona, Rizal</t>
  </si>
  <si>
    <t>Construction of School Fence with Gate at Arinda Elem. School, Brgy. San Juan, Cainta, Rizal</t>
  </si>
  <si>
    <t>Procurement of Toner for Photocopier Machine for NHA Region III Office</t>
  </si>
  <si>
    <t>Procurement of Janitorial Supplies for NHA Region III Office</t>
  </si>
  <si>
    <t>Construction of Daycare Center &amp; Health Center at Brgy. Macamot, Binangonan, Rizal</t>
  </si>
  <si>
    <t>Construction/Provision of Wash Facilities (Water, Sanitation &amp; Hygiene) for Evacuation Center at Victoriaville Homes Sitio Upper Lucban, Antipolo, City</t>
  </si>
  <si>
    <t>Construction of 2-storey Multi-Purpose Bldg. at Vermont Royale Executive Village, Brgy. Mayamot, Antipolo City</t>
  </si>
  <si>
    <t>IImprovement of Ynares Multi-Purpose Covered Court &amp; Construction of  Welcome Arc at Brgy. San Jose &amp; Brgy. San Isidro, Rodriguez, Rizal; a. Improvement of Ynares Multi-Purpose Covered Court at Kasigl</t>
  </si>
  <si>
    <t>Procurement of Computer Supplies and Consumables for NHA Region III Office</t>
  </si>
  <si>
    <t>Construction/Provision of Wash Facilities (Water, Sanitation &amp; Hygiene) for Evacuation Center at Meralco 4th Home Village, Binangonan, Rizal</t>
  </si>
  <si>
    <t>Improvement/ Rehabilitation of Electrical Lighting System of Ynares Multi-Purpose Covered Court at Brgy. Macabud &amp; Brgy. Mascap, Rodriguez, Rizal; a. Improvement of Ynares Multi-Purpose Covered Court,</t>
  </si>
  <si>
    <t>Installation of Solar Street Lights - Sitio Kasoy, Brgy. Agnaga</t>
  </si>
  <si>
    <t>Construction of Ynares Stage at Congressville Subd., Brgy. Manggahan, Rodriguez, Rizal</t>
  </si>
  <si>
    <t>Improvement of Ynares Multi-Purpose Covered Court &amp; Construction of Fence at Eastwood Residences, Phase 8/8A, Brgy. San Isidro, Rodriguez, Rizal</t>
  </si>
  <si>
    <t>Construction/Provision of Wash Facilities (Water, Sanitation &amp; Hygiene) for Evacuation Center at Eastwood Greenview Phase 3B, Rodriguez, Rizal</t>
  </si>
  <si>
    <t>Laboratory Supplies</t>
  </si>
  <si>
    <t>Construction/Provision of Wash Facilities (Water, Sanitation &amp; Hygiene) for Evacuation Center at Southville 8B  National  High  School,  Rodriguez,  Rizal</t>
  </si>
  <si>
    <t>Construction of Communal Toilet, Barangay Madayegdeg</t>
  </si>
  <si>
    <t>Labor services for the extension of Animal Production Building to put up Masonry Training/Assessment Center</t>
  </si>
  <si>
    <t>Repair/Repainting/Improvement of Ynares Multi-Purpose Building &amp; School Mini Playground at Brgy. Niogan &amp; Brgy. Quisao, Pililla, Rizal; a.  Repair/Repainting of Ynares Multi-Purpose Building at Brgy.</t>
  </si>
  <si>
    <t>Construction of Multi-Purpose Provincial DRRM Center at Brgy. San Pedro, Morong, Rizal</t>
  </si>
  <si>
    <t>Construction of 15x30m Ynares Multi-Purpose Covered Court (Rafter Type) at Villa Ana Maria Subd., Brgy. San Jose, Rodriguez, Rizal</t>
  </si>
  <si>
    <t>Construction of Perimeter Fence of Barangay Hall Compound a Sitio Tabing Ilog, Brgy. San Guillermo, Morong, Rizal</t>
  </si>
  <si>
    <t>Production/Reproduction of Travelling Bag, Shirts, &amp; Travel Vest IB No. 2020-062</t>
  </si>
  <si>
    <t>Construction/Provision of Wash Facilities (Water, Sanitation &amp; Hygiene) for Evacuation Center at Geronimo Elem. School, Rodriguez, Rizal</t>
  </si>
  <si>
    <t>Radio Plugging IB NO.2020-061</t>
  </si>
  <si>
    <t>Provision of Snellen Chart IB No. 2020-060</t>
  </si>
  <si>
    <t>Radio Plugging IB NO.2020-058</t>
  </si>
  <si>
    <t>Procurement of Dental Kits IB No. 2020-057</t>
  </si>
  <si>
    <t>Construction/Provision of Wash Facilities (Water, Sanitation &amp; Hygiene) for Evacuation Center at Bugarin Elem. School, Pililla, Rizal</t>
  </si>
  <si>
    <t>Construction of 2-storey Ynares Multi-Purpose Bldg. at Kasiglahan Village (Phase 1A), Brgy. San Jose, Rodriguez, Rizal</t>
  </si>
  <si>
    <t>Installation of Additional CCTV Cameras with Complete Accessories</t>
  </si>
  <si>
    <t>Procurement of Family Packs and Jerry Cans IB No. 2020-056</t>
  </si>
  <si>
    <t>Purchase of IT Consumable IB No. 2020-055</t>
  </si>
  <si>
    <t>TV Plugging IB NO.2020-047</t>
  </si>
  <si>
    <t>Rebidding for Purchase of IT Software IB NO.2020-046</t>
  </si>
  <si>
    <t>Supply and delivery of Office Supplies and Consumable</t>
  </si>
  <si>
    <t>Purchase of Power Generating Set IB NO.2020-059</t>
  </si>
  <si>
    <t>Rebidding for Procurement of Emergency Newborn Kits IB No. 2020-054</t>
  </si>
  <si>
    <t>PURCHASE AND DELIVERY OF ICT EQUIPMENT FOR DEP-ED CABARROGUIS DISTRICT, CABARROGUIS, QUIRINO</t>
  </si>
  <si>
    <t>Improvement of Ynares Multi-Purpose Covered Court at Manggahan Elem. School, Brgy. Manggahan, Rodriguez, Rizal</t>
  </si>
  <si>
    <t>Improvement of Ynares Multi-Purpose Covered Court &amp; Construction of Comfort Room at Brgy. Sto. Niňo &amp; Brgy. Malanday, San Mateo, Rizal; a. 	Improvement of Ynares Multi-Purpose Covered Court (Tennis Co</t>
  </si>
  <si>
    <t>Improvement / Construction of Double Box Culvert along Oja Road and Construction of Stone Masonry for Slope Protection (portion) of creek, Brgy. Mahabang Parang, Binangonan, Rizal</t>
  </si>
  <si>
    <t>PURCHASE AND DELIVERY OF MEDICAL SUPPLIES FOR DEP-ED CABARROGUIS DISTRICT, CABARROGUIS</t>
  </si>
  <si>
    <t>Construction of Stone Masonry for Slope Protection (portion) of Creek at Purok 6, Brgy. Bayugo, Jalajala, Rizal</t>
  </si>
  <si>
    <t>Rebidding for Purchase of IT Supplies, Peripherals and Equipment IB NO.2020-042</t>
  </si>
  <si>
    <t>PROCUREMENT OF VARIOUS ITEMS FOR STACK EMISSION OF EMB MIMAROPA (2ND POSTING)</t>
  </si>
  <si>
    <t>Rebidding for Procurement of Hygiene Kit and Collapsible Water Drinking Container IB No. 2020-045</t>
  </si>
  <si>
    <t>Construction of 10x18m Ynares Multi-Purpose Covered Court (Badminton Court) at La Mar Village, Brgy. Guitnang Bayan II, San Mateo, Rizal</t>
  </si>
  <si>
    <t>Water Dispenser (Hot and Cold)</t>
  </si>
  <si>
    <t>Supply and Delivery of Desktop Computer for PDAO</t>
  </si>
  <si>
    <t>Vehicle Rental in Western Visayas IB No. 2020-043</t>
  </si>
  <si>
    <t>Repair of Ynares Multi-Purpose Covered Court, Brgy.  Pagkalinawan, Jalajala, Rizal</t>
  </si>
  <si>
    <t>IMPROVEMENT OF BARANGAY ACCESS ROAD</t>
  </si>
  <si>
    <t>TRANSPARENT ENVELOP</t>
  </si>
  <si>
    <t>SUPPLY OF LIVELIHOOD MATERIALS</t>
  </si>
  <si>
    <t>Construction of Stone Masonry for Slope Protection (portion) of Creek at Purok 5 (Ilog Mingming), Brgy. Bayugo, Jalajala, Rizal</t>
  </si>
  <si>
    <t>REQUEST FOR RFQ</t>
  </si>
  <si>
    <t>PROCUREMENT OF 3 UNITS MOTORCYCLE  FOR THE SK-3</t>
  </si>
  <si>
    <t>PURCHASE OF OFFICE SUPPLIES</t>
  </si>
  <si>
    <t>Electrical Supplies,Water Facility,Installation of Water Pipe System and Handwashing</t>
  </si>
  <si>
    <t>Traffic gears for Laguna Traffic Management Office</t>
  </si>
  <si>
    <t>Purchase Request for Rice</t>
  </si>
  <si>
    <t>PR#20-08-0090 - Office Supplies and Consumables</t>
  </si>
  <si>
    <t>Construction of Covered Court Phase 4</t>
  </si>
  <si>
    <t>RENOVATION OF THE 1ST FLOOR OF THE BARANGAY MULTI-PURPOSE HALL</t>
  </si>
  <si>
    <t>RFQ-Vehicle Rent-WWRDEC</t>
  </si>
  <si>
    <t>PURCHASE OF MEDICAL SUPPLIES</t>
  </si>
  <si>
    <t>cleaning &amp; siphoning of portalet</t>
  </si>
  <si>
    <t>Electrical Supplies</t>
  </si>
  <si>
    <t>Construction of Concrete Fence- DF 20% '20</t>
  </si>
  <si>
    <t>CONCRETING OF LOCAL ROAD (JUNCTION PROVINCIAL ROAD TO OSORIO ROAD)</t>
  </si>
  <si>
    <t>SVP 20-0382 - Purchase of 5 units WOODEN DOUBLE DECK BED &amp; etc.</t>
  </si>
  <si>
    <t>Procurement of Office Supplies for NHA Region III Office</t>
  </si>
  <si>
    <t>SUPPLY DELIVERY AND INSTALLATION OF 2 UNITS 2HP WINDOW TYPE AIRCON</t>
  </si>
  <si>
    <t>PROCUREMENT OF OFFICE AIRCON UNIT</t>
  </si>
  <si>
    <t>SUPPLY INSTALLATION AND SET UP OF 6 SET 4K UHD TV MONITOR FOR CDRRMO</t>
  </si>
  <si>
    <t>Delivery of  Construction Supplies for School Repair and Maintenance MOOE subsidy of Tumaras Integrated School</t>
  </si>
  <si>
    <t>Improvement of Child Dev't. Center at Sitio Danao and Sitio Tabay</t>
  </si>
  <si>
    <t>Supply and Delivery of Office Supplies and Consumables</t>
  </si>
  <si>
    <t>PROCUREMENT OF MEDICAL/ SURGICAL/ LABORATORY/ DENTAL/ X-RAY/ ULTRASOUND SUPPLIES FOR USE AT KALINGA PROVINCIAL HOSPITAL, 20-08-1459</t>
  </si>
  <si>
    <t>Supply and Delivery of Painting Materials for Main Building Bleachers and Pool Bleachers of Cauayan City Sports Complex</t>
  </si>
  <si>
    <t>SUPPLY,  DELIVERY, INSTALLATION, AND COMMISSIONING OF CCTV CAMERAS</t>
  </si>
  <si>
    <t>Supply and Delivery of Painting Materials for Main Bleachers Terrace and Pool Bleachers Terrace of Cauayan City Sports Complex</t>
  </si>
  <si>
    <t>SVP 20-0388 - Purchase of 1 lot MEALS AND SNACKS WITH VENUE.</t>
  </si>
  <si>
    <t>Construction of Multi-Purpose Building, Purok Masagana, Barangay Ibabang Iyam, Lucena City</t>
  </si>
  <si>
    <t>PROCUREMENT OF 2 UNITS MANUAL WINDOW TYPE 2HP AIRCON FOR THE SP SEC. OFFICE</t>
  </si>
  <si>
    <t>Supply &amp; Delivery of One (1) Unit Pick-Up Type Vehicle for official use of the Office of the Vice Mayor</t>
  </si>
  <si>
    <t>Concreting of Pathway (0.10m x 1.50m x 60.0m)</t>
  </si>
  <si>
    <t>SVP 20-0384 - Purchase of 90 pax MEALS AND SNACKS &amp; etc.</t>
  </si>
  <si>
    <t>SVP 20-0396 - Purchase of 30 pcks FABRIC CONDITIONER , 500ml &amp; etc.</t>
  </si>
  <si>
    <t>Purchase of materials for the rehabilitation of barangay streetlights</t>
  </si>
  <si>
    <t>Delivery of School and Office Supplies MOOE subsidy of Tumaras Integrated School</t>
  </si>
  <si>
    <t>PROCUREMENT OF FAMILY PLANNING COMMODITIES AND PPE SET (BAC 2020-G07 REBIDDING)</t>
  </si>
  <si>
    <t>NEGOTIATED PROCUREMENT FOR THE PROCUREMENT OF FLU VACCINE QUADRIVALENT &amp; PREFILLED SYRINGE</t>
  </si>
  <si>
    <t>SVP 20-0386 - 1 lot Printing &amp; Binding of Ecological Profile 2018.</t>
  </si>
  <si>
    <t>Supply, Delivery &amp; Installation of Solar Powered Repeater System</t>
  </si>
  <si>
    <t>Proposed Upgrading of Electrical Facilities of PJMES Located at D. Tanjuatco St. Brgy. San- Isidro Tanay,Rizal</t>
  </si>
  <si>
    <t>Supply &amp; Delivery of Various Equipment for Budget Office, Assessor's Office &amp; MPDO</t>
  </si>
  <si>
    <t>Procurement of Office Supplies</t>
  </si>
  <si>
    <t>Procurement of Medicines</t>
  </si>
  <si>
    <t>SVP 20-0383 - Purchase of 3 units MOTORCYCLE , 150cc.</t>
  </si>
  <si>
    <t>PURCHASE OF FOOD STUFF FOR ASSISTANCE TO 450 HH</t>
  </si>
  <si>
    <t>Procurement of Catering Service Provider for the Region III Bulacan District Personnel-in-Charge in the Temporary Shelter of Locally Stranded Individuals (LSIs) in Pleasant View Residences, City of Sa</t>
  </si>
  <si>
    <t>Supply and Delivery of Tables, Tents and Other Materials for the Temporary Shelter of Locally Stranded Individuals (LSIs) in Pleasant View Residences, City of San Jose Del Monte, Bulacan</t>
  </si>
  <si>
    <t>Elementary School Modules</t>
  </si>
  <si>
    <t>Construction of 3 units Hand Washing Facility</t>
  </si>
  <si>
    <t>Purchase of Decorative Streetlights with Installation</t>
  </si>
  <si>
    <t>INSTALLATION OF STREET LIGHT</t>
  </si>
  <si>
    <t>INSTALLATION OF CCTV</t>
  </si>
  <si>
    <t>PURCHASE AND INSTALLATION OF CLEAR ACRYLIC SIGNAGES FOR VARIOUS OFFICES IN THE NEW SCHOOLS DIVISION OFFICE OF SORSOGON BUILDING</t>
  </si>
  <si>
    <t>SUPPLY AND DELIVERY OF CONSTRUCTION MATERIALS FOR THE INSTALLATION OF WOODEN MARKET STALL AT ROMPEOLAS, BAYWALK</t>
  </si>
  <si>
    <t>Supply, Delivery and Installation of Satellite Based Internet for Various Upland Schools of Dep Ed Tanay,Rizal</t>
  </si>
  <si>
    <t>SUPPLY, INSTALLATION AND ACTIVATION OF  CITY WIDE PUBLIC ADDRESS SYSTEM</t>
  </si>
  <si>
    <t>Supply and Delivery of IT Equipments for the use of Various Schools of the Municipality of Tanay,Rizal</t>
  </si>
  <si>
    <t>Proposed Rehabilitation and Improvement of Irrigation Canal Located at Sitio Nayon, Brgy.Sta.Ines, Tanay, Rizal</t>
  </si>
  <si>
    <t>Road Concreting and Open Canal</t>
  </si>
  <si>
    <t>Repost: Magnetic Glass Board</t>
  </si>
  <si>
    <t>Proposed Rehabilitation and Improvements of Irrigation Canal Located at Brgy. Wawa Tanay, Rizal.</t>
  </si>
  <si>
    <t>REPAIT OF MULTICAB SERVICE PATROL</t>
  </si>
  <si>
    <t>Proposed Repair and Maintenance of Tinukan Hanging Bridge I Located at Brgy. Tinukan, Tanay, Rizal</t>
  </si>
  <si>
    <t>Proposed Repair and Maintenance of Ibucao Hanging Bridge Located at Brgy. Laiban, Tanay, Rizal.</t>
  </si>
  <si>
    <t>Proposed Rehabilitation of Comfort Rooms Located at Glorietta,Plaza,Tanay,Rizal</t>
  </si>
  <si>
    <t>NP2020-08-496 Procurement of Various Construction Supplies GABMMC</t>
  </si>
  <si>
    <t>NP2020-08-493 Procurment of Various Linen and Laundry Supplies GABMMC</t>
  </si>
  <si>
    <t>NP2020-05-257 Procurement of IT Equipment OCS</t>
  </si>
  <si>
    <t>Proposed Repair Maintenance and Additional Improvement of Comfort Rooms, &amp; Shower Area Located at Daranak Falls, Brgy. Tandang Kutyo. Tanay,Rizal</t>
  </si>
  <si>
    <t>Proposed Installation of Metered Street Lights Located at Sitio Hinadyungan, Brgy. Sampaloc, Tanay,Rizal</t>
  </si>
  <si>
    <t>Proposed Installation of Metered Street Lights Located at Extension J.M. Catolos St. Brgy Kay-Buto, Tanay, Rizal</t>
  </si>
  <si>
    <t>Proposed Construction of Drainage Canal at Lakeshore Drive Located at Lakeshore Dr. Brgy. San Isidro, Tanay,Rizal</t>
  </si>
  <si>
    <t>PROCUREMENT OF MATERIALS FOR THE MODULES</t>
  </si>
  <si>
    <t>NP2020-08-491 Procurement of Various Printed Forms GABMMC</t>
  </si>
  <si>
    <t>Procurement of construction materials for Construction of Drainage at Purok 4, Potia</t>
  </si>
  <si>
    <t>Procurement of materials for the modules</t>
  </si>
  <si>
    <t>2020-08-1180 "Procurement of 150 bot. Sodium Hypochlorite 1000ml,etc for CDH"</t>
  </si>
  <si>
    <t>HARDWARE MATERIALS FOR THE CONSTRUCTION OF RURAL HEALTH CENTER (2ND BIDDING)</t>
  </si>
  <si>
    <t>Proposed Improvement of Water System Facility Located at Manhain Elementary School, Tanay,Rizal</t>
  </si>
  <si>
    <t>Supply and Delivery of various commodities for the children beneficiaries of Supplementary Feeding Program of the Municipality of Natividad, Pangasinan</t>
  </si>
  <si>
    <t>Keb-keb Proper Road Improvement</t>
  </si>
  <si>
    <t>Construction Supplies</t>
  </si>
  <si>
    <t>Procurement of Hardware Materials</t>
  </si>
  <si>
    <t>Package 01: Buning Foot Bridge Rehab., B. Spring Box Rehab. Hadungol</t>
  </si>
  <si>
    <t>Procurement of Waste Management Service Vehicle (Garong Type) and 175cc Motorcycle</t>
  </si>
  <si>
    <t>Construction of Materials and Supplies</t>
  </si>
  <si>
    <t>Bagaen Bridge Construction</t>
  </si>
  <si>
    <t>Procurement and delivery of suplemental office supplies and consumables</t>
  </si>
  <si>
    <t>Proposed Rehabilitation and Improvement of Irrigation Canal Located at Sitio Pasipit, Brgy. Plaza Aldea, Tanay, Rizal</t>
  </si>
  <si>
    <t>Stockpiling of Foodpacks for Covid19</t>
  </si>
  <si>
    <t>Package 02: Guinao Foot Bridge Construction, B. Tanod Outpost</t>
  </si>
  <si>
    <t>Procurement of Supplies &amp; Equipment for  Inst. of Traffic System Program</t>
  </si>
  <si>
    <t>Preventive Maintenance and Operational qualification of one (1) unit Shimadzu LCMSMS 8040</t>
  </si>
  <si>
    <t>Supply, Printing, Lay - Outing and Delivery of 2019 Annual Report</t>
  </si>
  <si>
    <t>Procurementof Office supplies and Materials for Maint. of GAD Office</t>
  </si>
  <si>
    <t>NP2020-08-487 Procurement of Vehicle Spare Parts PDO</t>
  </si>
  <si>
    <t>Procurement of Drug Test Kit</t>
  </si>
  <si>
    <t>Procurement of Office Equipment</t>
  </si>
  <si>
    <t>UPLB-I-026-09-20 SUPPLY, DELIVERY, AND INSTALLATION OF AIRCONDITIONING UNITS FOR CVM</t>
  </si>
  <si>
    <t>Supply and Delivery of Laboratory Supplies</t>
  </si>
  <si>
    <t>Supply and Delivery of Laboratory Supplies for Veterinary Drug Residue Monitoring</t>
  </si>
  <si>
    <t>Supply and Delivery for Painting Materials</t>
  </si>
  <si>
    <t xml:space="preserve">REQUEST FOR QUOTATION  The National Meat Inspection Service (NMIS) through the Bids and Awards Committee (BAC) is inviting interested parties to submit proposal/quotation for the here under project:  </t>
  </si>
  <si>
    <t>Proposed Improvement of Road with Drainage Canal Located at R.D Custodio,Brgy.Kat-Bayani,Tanay,Rizal</t>
  </si>
  <si>
    <t>PRINTING OF STUDENT’S MODULES.</t>
  </si>
  <si>
    <t>Supply &amp; Delivery of Construction Materials for Establishment of New Municipal Breeding Center on Swine</t>
  </si>
  <si>
    <t>Proposed Rehabilitation and Improvement of Irrigation Canal Located at Brgy. San Andres, Tanay,Rizal</t>
  </si>
  <si>
    <t>Application Developer para sa Online na Diksyunaryo ng Wikang FIlipino</t>
  </si>
  <si>
    <t>Catering Services for MEALS DURING THE BLESSING OF MASCA'S NEW BUILDING</t>
  </si>
  <si>
    <t>SUPPLY AND DELIVERY OF DRONE AND MOBILE STATION (2020-08-0063)</t>
  </si>
  <si>
    <t>C20204500 TARPAULIN FOR VARIOUS INFORMATION DISSEMINATION PURPOSES IN DIFF. BARANGAYS OF THIS PROVINCE</t>
  </si>
  <si>
    <t>SUPPLY AND DELIVERY OF SIX (6) – UNIT MOTORCYCLES</t>
  </si>
  <si>
    <t>Supply &amp; Delivery of Copier, Printer and Colour Scanner Machine</t>
  </si>
  <si>
    <t>PROCUREMENT OF SUPPLY AND DELIVERY OF BAKING EQUIPMENT AND SUPPLIES</t>
  </si>
  <si>
    <t>Procurement of Supply &amp; Equipment for Inst of Attendance  Notification System</t>
  </si>
  <si>
    <t>Supply and delivery of 3 in 1 Printer</t>
  </si>
  <si>
    <t>Supply and Delivery of ICT Supplies</t>
  </si>
  <si>
    <t>Package 01: Bangtinon-Ahbunan FMR Construction and Gugulo-Tubeng FMR Construction</t>
  </si>
  <si>
    <t>SUPPLY AND DELIVERY AND PRODUCT ORIENTATION OF INKJET CAD/TECHNICAL PLOTTER (2020-08-0062)</t>
  </si>
  <si>
    <t>Package 01: Taaw-Loloy FMR Opening &amp; Awa-Lamtang – Bayoyo FMR Opening</t>
  </si>
  <si>
    <t>Supply &amp; Delivery of Appliances</t>
  </si>
  <si>
    <t>Supply &amp; Delivery of Office Supplies</t>
  </si>
  <si>
    <t>Cost of Preventive Maintenance of CT Scan</t>
  </si>
  <si>
    <t>Negotiated Procurement (under Two Failed Bidding) for the Supply and Delivery of One (1) Lot Various Agricultural Chemical Materials and Supplies for the Use of Livestock Program of Albuera, Leyte</t>
  </si>
  <si>
    <t>SUPPLY AND DELIVERY OF OFFICE SUPPLIES</t>
  </si>
  <si>
    <t>Dengao Road Improvement</t>
  </si>
  <si>
    <t>ITB-Installation and Construction of Street Llight in Barangay 1 Poblacion</t>
  </si>
  <si>
    <t>RFQ 2020-02-0158-LIBRARY USE EQUIPMENT</t>
  </si>
  <si>
    <t>AB BDF AND RRMF 2020 PROJECT=-CCTV CAMERA, SUPPLIES, DEVICES AND GENERAL MERCHANDISE</t>
  </si>
  <si>
    <t>PROCUREMENT OF OFFICE SUPPLIES FOR THE FRANCHISING OFFICE</t>
  </si>
  <si>
    <t>August 2020 Multi Copy Paper 350</t>
  </si>
  <si>
    <t>Supply and  Delivery of 125 KVA Standby Generating Set</t>
  </si>
  <si>
    <t>August 2020 Multi Copy Paper 250</t>
  </si>
  <si>
    <t>Construction of Drainage Canal with Cover</t>
  </si>
  <si>
    <t>C20204504 IT Supplies for Office use</t>
  </si>
  <si>
    <t>Package 01: Bawi-Linheban Road Construction/ Lumay – Bawi Road Construction</t>
  </si>
  <si>
    <t>Supply and Delivery for IT Equipment</t>
  </si>
  <si>
    <t>CONSTRUCTION OF RETAINING WALL AT BARANGAY TALISAY</t>
  </si>
  <si>
    <t>RFQ 2020-02-0156-Scanner and Photocopier</t>
  </si>
  <si>
    <t>SUPPLY   AND DELIVERY OF VARIOUS SUPPLIES FOR THE ARTIFICIAL INSIMINATION CENTER</t>
  </si>
  <si>
    <t>Supply and Delivery of Office Supplies and Equipment</t>
  </si>
  <si>
    <t>RFQ 2020-02-0161 -JUNIOR SWIVEL CHAIR WITH ARM REST</t>
  </si>
  <si>
    <t>Supply &amp; Delivery of Feeds</t>
  </si>
  <si>
    <t>PBS 20-099 COMPUTING AND NETWORK EQUIPMENT FOR UP SYSTEM</t>
  </si>
  <si>
    <t>PROCUREMENT OF OFFICE SUPPLIES FOR THE OFFICE OF THE SP SECRETARY</t>
  </si>
  <si>
    <t>SUPPLY AND DELIVERY OF PORTABLE HANDHELD RADIO</t>
  </si>
  <si>
    <t>Concreting of  Barangay Balugo Road at Purok 6</t>
  </si>
  <si>
    <t>CONSTRUCTION OF BARANGAY STREETLIGHTS, Brgy. Ocoy, Santa Fe, Cebu - Barangay</t>
  </si>
  <si>
    <t>MILK FEEDING</t>
  </si>
  <si>
    <t>CONSTRUCTION OF RETAINING WALL AT BARANGAY BIGA</t>
  </si>
  <si>
    <t>CONSTRUCTION OF MULTIPURPOSE PAVEMENT, Brgy. Pooc, Santa Fe, Cebu - Municipal</t>
  </si>
  <si>
    <t>Supply &amp; Delivery of Chicken Dung</t>
  </si>
  <si>
    <t>PURCHASE OF EQUIPMENT</t>
  </si>
  <si>
    <t>PURCHASE OF BT HYBRID YELLOW CORN SEEDS</t>
  </si>
  <si>
    <t>ROAD WIDENING, Sitio Tunga, Brgy. Hilantagaan, Santa Fe, Cebu - Municipal</t>
  </si>
  <si>
    <t>PURCHASE OF OFFICE EQUIPMENT &amp; SUPPLIES</t>
  </si>
  <si>
    <t>Procurement of Dental Care Supplies</t>
  </si>
  <si>
    <t>Purchase of Various Drugs and Medicines</t>
  </si>
  <si>
    <t>Purchase of Various  Office Supplies</t>
  </si>
  <si>
    <t>Supply and delivery of Office Supplies</t>
  </si>
  <si>
    <t>Supply and delivery of Water Pump</t>
  </si>
  <si>
    <t>Procurement of Safety Health Standard Requirement</t>
  </si>
  <si>
    <t>Printing of Answer Sheet, Activity Sheet and Worksheet</t>
  </si>
  <si>
    <t>PURCHASE OF ABC BOOKS</t>
  </si>
  <si>
    <t>RFQ 2020-02-0127-SUPPLIES LIBRARY</t>
  </si>
  <si>
    <t>Supply &amp; Delivery of Materials for the  Fabrication of Booth (Construction of Environmental User’s Fee Office  and Medical Clinic)</t>
  </si>
  <si>
    <t>ITDI-200588_REBID - SUPPLY AND DELIVERY OF VIALS (FOR GCMS)</t>
  </si>
  <si>
    <t>REPAIR, IMPROVEMENT OF MALE/FEMALE STUDENTS COMFORT ROOMS.</t>
  </si>
  <si>
    <t>PRINTING OF MODULES (GRADE 7 – GRADE 10)</t>
  </si>
  <si>
    <t>Procurement of Semi-Expendable Furniture and Fixture</t>
  </si>
  <si>
    <t>RFQ 2020-02-0153-DSLR Accessories</t>
  </si>
  <si>
    <t>Overlaying of Concrete Pathway</t>
  </si>
  <si>
    <t>PROCUREMENT OF MOORING BUOYS (CUSHION FLOAT 500L)</t>
  </si>
  <si>
    <t>PROCUREMENT OF COMPUTER PRINTER</t>
  </si>
  <si>
    <t>SUPPLY AND DELIVERY OF TEXTBOOKS</t>
  </si>
  <si>
    <t>Repair of Classrooms at Bagongpook Elementary School</t>
  </si>
  <si>
    <t>Concreting of Farm to Market Road (Barangay Camudlas)</t>
  </si>
  <si>
    <t>Delivery of Office Equipment Supplies and Consumables</t>
  </si>
  <si>
    <t>Repair of Classrooms at San Sebastian Elementary School</t>
  </si>
  <si>
    <t>Procurement of 1 Unit Heavy Duty Photocopier Machine and Toners for San Pablo District</t>
  </si>
  <si>
    <t>Supply &amp; Delivery of Construction Materials for Perimeter Fence at BAC Office</t>
  </si>
  <si>
    <t>ITDI-200509_REBID - SUPPLY AND DELIVERY OF POLYLACTIC ACID/PLA PELLETS</t>
  </si>
  <si>
    <t>Supply and delivery of 2 units Forage Chopper to be distributed to the qualified Farmers Association/LGU/SUCs in support to the National Organic Agriculture</t>
  </si>
  <si>
    <t>ITDI-200500_REBID - SUPPLY AND DELIVERY OF GOLD NANOPARTICLES CRM</t>
  </si>
  <si>
    <t>REHABILITATION OF MUNICIPAL BUILDING (PHASE III)</t>
  </si>
  <si>
    <t>SUPPLY AND DELIVERY OF FUEL PRODUCTS</t>
  </si>
  <si>
    <t>500 TUBES T8 LED 18W FLOURESCENT TUBE</t>
  </si>
  <si>
    <t>Repair of Classrooms at Abundio Torre Memorial Elementary School</t>
  </si>
  <si>
    <t>Repair of Classrooms at Lodlod Elementary School</t>
  </si>
  <si>
    <t>Purchase of IT Equipment for Accounting Office</t>
  </si>
  <si>
    <t>SUPPLY AND DELIVERY OF ONE (1) - UNIT MOBILE CLINIC BUS</t>
  </si>
  <si>
    <t>CONSTRUCTION OF M R F FOR SEVEN PUROK, Brgy. langub, Santa Fe, Cebu - Barangay</t>
  </si>
  <si>
    <t>CONSTRUCTION OF CALAPE SPILLWAY</t>
  </si>
  <si>
    <t>IMPROVEMENT OF MULTIPURPOSE BUILDING, Brgy. Ocoy, Santa Fe, Cebu - Barangay</t>
  </si>
  <si>
    <t>LIGHTING OF THE MUNICIPAL PUBLIC MARKET 					(at Brgy. Poblacion)</t>
  </si>
  <si>
    <t>Supply and Delivery of Various Supplies and Materials for Reproduction of Self Learning Modules for Students</t>
  </si>
  <si>
    <t>REHABILITATION OF MUNICIPAL BUILDING (PHASE II)</t>
  </si>
  <si>
    <t>ITDI-200504_REBID - DIAGNOSTIC ANALYSIS FOR SPRAGUE DAWLEY RATS INJECTED WITH CAROTENOID IN OIL</t>
  </si>
  <si>
    <t>RFQ 20-130: Supply and Delivery of Chemical, Labor, Materials, Equipment, Technical Expertise for the Chilled and Condenser Water Treatment of Central Air-Conditioning System</t>
  </si>
  <si>
    <t>Rebidding of Concreting of Barangay Road at Brgy. Bignay 2, Sariaya, Quezon</t>
  </si>
  <si>
    <t>REPAIR/ REHABILITATION OF NATIVIDAD-SUGUIDAN NORTE ROAD, NATIVIDAD SECTION, NAGUILIAN, LA UNION.</t>
  </si>
  <si>
    <t>Purchase of Plastic Chairs, Santa Fe, Cebu - Municipal</t>
  </si>
  <si>
    <t>Civil Service Month Activity (Purchase of T-shirts)</t>
  </si>
  <si>
    <t>HARDWARE MATERIALS FOR THE CONC. OF ROAD P2 GUINACUTAN AND HARDWARE MTLS. FOR THE CONC. OF FMR P2 AGUIT-IT</t>
  </si>
  <si>
    <t>SUPPLY &amp; DELIVERY OF OFFICE SUPPLIES &amp; VACCINES FOR MAYORS' OFFICE, STOCKROOM &amp; MHO, RODRIGUEZ, RIZAL</t>
  </si>
  <si>
    <t>Supply &amp; Delivery of ICT Equipment Parts and Accessories (CMOG-PN)</t>
  </si>
  <si>
    <t>Purchase of Office Equipment</t>
  </si>
  <si>
    <t>8	shts.	5mmx1,20mx2.40m Mar. Plywood,A/A, PR # 113-20</t>
  </si>
  <si>
    <t>Rebidding of Concreting of Barangay Road at Barangay Guisguis San Roque, Sariaya, Quezon</t>
  </si>
  <si>
    <t>ITB FOR PROCUREMENT OF PORTABLE PRESSURE WASHER</t>
  </si>
  <si>
    <t>Repair of Classrooms at Bulacnin Elementary School</t>
  </si>
  <si>
    <t>Installation of Roadway Lights</t>
  </si>
  <si>
    <t>19DD0540 Construction/ Rehabilitation of Road, Brgy. Dagatan, Taysan, Batangas</t>
  </si>
  <si>
    <t>RFQ - GENERAL MERCHANDISE</t>
  </si>
  <si>
    <t>Spareparts (to be used for the repair &amp; miantenance of Compactor I)CWMO</t>
  </si>
  <si>
    <t>Construction of Drainage canal</t>
  </si>
  <si>
    <t>Oral Health Care Materials and Medical supplies for the 22 Central School Clinic</t>
  </si>
  <si>
    <t>Repair of Classrooms at Bulacnin Integrated National High School</t>
  </si>
  <si>
    <t>Rebidding of Concreting of Barangay Road at Baragay Talaan Pantoc, Sariaya, Quezon</t>
  </si>
  <si>
    <t>ITDI-200507_REBID - SUPPLY AND DELIVERY OF VARIOUS OFFICE SUPPLIES</t>
  </si>
  <si>
    <t>Repair of Classrooms at Tangway Loob Elementary School</t>
  </si>
  <si>
    <t>PROCUREMENT OF IT EQUIPMENT AT PANGLAO, BOHOL</t>
  </si>
  <si>
    <t>Procurement of Surveillance Security System</t>
  </si>
  <si>
    <t>ITDI-200305_REBID - PREVENTIVE MAINTENANCE FOR BINDER CONVECTION OVEN AND VACUUM OVEN</t>
  </si>
  <si>
    <t>Improvement of Eva-Tanglagan-Bucarot Provincial Road (Ayayao-Salongsong Section)Limits : 04+664 to 06+564, Calanasan, Apayao</t>
  </si>
  <si>
    <t>ITDI-200219_REBID - SUPPLY AND DELIVERY OF EPSON YELLOW 664</t>
  </si>
  <si>
    <t>ITDI-200499_REBID - SUPPLY AND DELIVERY OF A4 BOND PAPER</t>
  </si>
  <si>
    <t>PURCHASE OF PUBLIC ADDRESS</t>
  </si>
  <si>
    <t>Concreting of Farm to Market Road (Barangay Salong)</t>
  </si>
  <si>
    <t>ITDI-200486_REBID - SUPPLY AND DELIVERY OF BALANCE SOFTWARE</t>
  </si>
  <si>
    <t>2	Itr.	Roofing Sealant, PR # 776-19</t>
  </si>
  <si>
    <t>Procurement and Deliveries of Communication Equipment for use in Planning &amp; Construction Section for GEOTAGGING Reports Survey 123.</t>
  </si>
  <si>
    <t>ITDI-200510_REBID - PRESERVATIVE CHALLENGE TEST FOR DEVELOPED HALAL COSMETICS</t>
  </si>
  <si>
    <t>INSTALLATION OF STREET LIGHTING SYSTEM</t>
  </si>
  <si>
    <t>REQUEST FOR QUOTATION FOR THE PROCUREMENT OF OFFICE SUPPLIES FOR THE THIRD QUARTER CY 2020</t>
  </si>
  <si>
    <t>1.Projector with Screen/BFP 2. Office Equipment (Printer)/CHO TB DOTS</t>
  </si>
  <si>
    <t>Improvement of Malekkeg-Panay-Consuelo-Balluyan Provincial Road (San Juan-Consuelo Section) Limits : 16+800 to 19+000, Sta. Marcela, Apayao</t>
  </si>
  <si>
    <t>Supply and Delivery of Common Office Supplies for Accounting Office</t>
  </si>
  <si>
    <t>MA-A2T20-007 Tarpauline</t>
  </si>
  <si>
    <t>MA-A2O20-011 Disposal of Waterlilies, AG1</t>
  </si>
  <si>
    <t>MA-A2M20-068 Cleaner, Generator Spray and 1 Other</t>
  </si>
  <si>
    <t>REHABILITATION OF HEALTH CENTER</t>
  </si>
  <si>
    <t>MA-A2M20-065 Multi-Tester Portable and 1 Other</t>
  </si>
  <si>
    <t>Repair of Classrooms at Paninsingin Elementary School</t>
  </si>
  <si>
    <t>MA-A2O20-010 Disposal of Waterlilies, AG2</t>
  </si>
  <si>
    <t>MA-A2M20-056 Gasket Neoprene, Heat and Oil Resistant for Transformer</t>
  </si>
  <si>
    <t>Procurement of Folding Bed Single &amp; Blanket Double Size</t>
  </si>
  <si>
    <t>Full reconditioning of 1 unit-ambulance(Foton)</t>
  </si>
  <si>
    <t>MA-A2M20-060 Flashlight and 4 Other</t>
  </si>
  <si>
    <t>MA-A2M20-055 Fire Extinguisher and Suppressant</t>
  </si>
  <si>
    <t>MA-A2A19-040 Carbon Brush Exciter 1 x .75 x 2.50</t>
  </si>
  <si>
    <t>106CO-6MIB-2020-663</t>
  </si>
  <si>
    <t>19DD0535 Repair/Rehabilitation of Damaged Paved Road (Asphalt Overlay) along San Juan- Laiya Road, San Juan, Batangas San Juan, Batangas</t>
  </si>
  <si>
    <t>1	Igths.	G.l. Pipe 38mm Ø x 6.0m (S-40), etc. PR # 85-20</t>
  </si>
  <si>
    <t>Reproduction of Self Learning Modules</t>
  </si>
  <si>
    <t>Procurement of Medical Supplies</t>
  </si>
  <si>
    <t>Procurement of Non-Ionic Low Osmolar Contrast Media for Radiologic Procedure</t>
  </si>
  <si>
    <t>Supply and Delivery of Electrical Supplies</t>
  </si>
  <si>
    <t>P.R. No. X4-20-07-291 - Supply and Delivery for the use in the operation of TOYOTA HILUX (CAP3734/100804)</t>
  </si>
  <si>
    <t>MA-A2M20-028 Flashlight and 8 Others</t>
  </si>
  <si>
    <t>GAD</t>
  </si>
  <si>
    <t>Repair of Classrooms at Pangao Integrated School</t>
  </si>
  <si>
    <t>P.R. No. X1-20-07-307 - Supply and Delivery for the use in the Office of the Regional Director, 3rd Quarter</t>
  </si>
  <si>
    <t>Procurement of Modular Tents</t>
  </si>
  <si>
    <t>Proposed De-clogging and Installation of cover of line canal and Widening of Road at Brgy. Del Remedio, San Pablo city</t>
  </si>
  <si>
    <t>106CO-6MIB-2020-662</t>
  </si>
  <si>
    <t>PROC-20-SUPPLY &amp; INSTALLATION OF ATM CLADDING (WALL TYPE)</t>
  </si>
  <si>
    <t>REHAB/IMPROVEMENT OF DAYCARE CENTER</t>
  </si>
  <si>
    <t>106CO-6MIB-2020-661</t>
  </si>
  <si>
    <t>Supply and Delivery of bond Papers for Printed Learning Materials for the use of Dep Ed Tanay,Rizal</t>
  </si>
  <si>
    <t>Procurement of PPE's &amp; Medical Supplies</t>
  </si>
  <si>
    <t>Purchase of Various Supplies for Senior Citizen at Brgy. Banaoang,Mangaldan,Pangasinan</t>
  </si>
  <si>
    <t>Procurement of Drugs and Medicines</t>
  </si>
  <si>
    <t>Labor and Materials for Construction of Canal along zone 1 and 3 at Brgy.Malabago Mangaldan, Pangasinan</t>
  </si>
  <si>
    <t>Supply and delivery of Goods (piping materials)rebid</t>
  </si>
  <si>
    <t>MA-A2T20-006 Closet Cabinet Heavy Duty Wooden and 1 Other</t>
  </si>
  <si>
    <t>RISOGRAPH MACHINE</t>
  </si>
  <si>
    <t>Purchase of Barangay Officials Uniform for Brgy.Banaoang Mangaldan, Pangasinan</t>
  </si>
  <si>
    <t>P.R. No. 2020-08-0063: Purchase and Delivery of various Office Supplies for use at Construction Section, DPWH-ISDEO, Roxas, Isabela</t>
  </si>
  <si>
    <t>Purchase of Various Books for Prep and Nursery at Banaoang Mangaldan,Pangasinan</t>
  </si>
  <si>
    <t>Water service connection materials/ fittings</t>
  </si>
  <si>
    <t>PURCHASE OF TWO (2) UNITS EQUIPMENT</t>
  </si>
  <si>
    <t>SUPPLY &amp; DELIVERY OF SUPPLIES FOR PROVISION TO PEACE AND ORDER SECRETARIAT (3RD QUARTER) - PPDO</t>
  </si>
  <si>
    <t>MA-A2M20-061 Life Vest Jacket Type, Black Pack and 3 Other</t>
  </si>
  <si>
    <t>Procurement of Milk Product</t>
  </si>
  <si>
    <t>Purchase of Electrical Materials for Brgy. Guesang Mangaldan,Pangasinan</t>
  </si>
  <si>
    <t>Supply and Delivery of Supplies and Materials for the Improvement of Water System</t>
  </si>
  <si>
    <t>Supplementary Feeding Program for CDC and SNP</t>
  </si>
  <si>
    <t>Construction materials and supplies</t>
  </si>
  <si>
    <t>Purchase of Mixed gravel for Road Maintenance at Brgy. Malabago, Mangaldan, Pangasinan</t>
  </si>
  <si>
    <t>CONSTRUCTION OF LAGAYAN MULTI-PURPOSE BUILDING</t>
  </si>
  <si>
    <t>Supply of 3 units printers</t>
  </si>
  <si>
    <t>Construction of Farmers' Multi-Purpose Hall-Poblacion</t>
  </si>
  <si>
    <t>RFQ FOR THE SUPPLY &amp; DELIVERY OF VARIOUS FITTINGS &amp; GATEVALVES FOR INTERCONNECTION UPVC PIPELINES, INSTALLATION OF VALVING SYSTEM &amp; RELOCATION OF SERVICE LINES</t>
  </si>
  <si>
    <t>Janitorial Services</t>
  </si>
  <si>
    <t>Full reconditioning of 1-unit bulldozer(shantoi)</t>
  </si>
  <si>
    <t>Design and Build for Market Center Building 2 at Margosatubig, ZDS</t>
  </si>
  <si>
    <t>Implementation of Learning Resource of the Basic Education Learning Continuity Plan</t>
  </si>
  <si>
    <t>Procurement of Rapid Test Kits &amp; Thermal Scanners</t>
  </si>
  <si>
    <t>Power generation and distribution macheniries</t>
  </si>
  <si>
    <t>RFQ - Procurement of Supplies, Materials &amp; Equipment to Mitigate COVID19</t>
  </si>
  <si>
    <t>INSTALLATION OF ADDITIONAL STREET LIGHTS ( SOLAR TYPE )</t>
  </si>
  <si>
    <t>106CO-33IB-2020-665</t>
  </si>
  <si>
    <t>Installation of Streetlights Phase II at Poblacion, Margosatubig, ZDS</t>
  </si>
  <si>
    <t>Electrification of Un-energized Schools and Modernization of Electrical Systems On-Grid Schools at San Isidro Elementary School</t>
  </si>
  <si>
    <t>PROCUREMENT OF 1-unit MOTORCYCLE W/ SIDECAR</t>
  </si>
  <si>
    <t>Purchase of Mini-Emergency/Rescue Vehicle</t>
  </si>
  <si>
    <t>1Lot Procurement for the Rental of Photocopying Services - Mega Manila Area</t>
  </si>
  <si>
    <t>Supply and Delivery of Protection Equipment and Consumables - COVID 19</t>
  </si>
  <si>
    <t>Repair of Education Facilities Building</t>
  </si>
  <si>
    <t>SUPPLY &amp; DELIVERY OF LEARNING MATERIALS - GOVERNOR'S OFFICE</t>
  </si>
  <si>
    <t>SUPPLY &amp; DELIVERY OF MEDICAL SUPPLIES FOR CAPACITY BUILDING FOR LADAC MEMBERS 4TH QUARTER IN THE PROVINCE OF MAGUINDANAO - PGO</t>
  </si>
  <si>
    <t>SUPPLY &amp; DELIVERY OF OFFICE EQUIPMENT FOR PERSON WITH DISABILITY AFFAIRS OFFICE IN THE PROVINCE OF MAGUINDANAO - PGO</t>
  </si>
  <si>
    <t>106CO-33IB-2020-666</t>
  </si>
  <si>
    <t>SUPPLY &amp; DELIVERY OF FUEL IN THE CAPACITY BUILDING FOR LADAC MEMBERS 4TH QUARTER IN THE PROVINCE OF MAGUINDANAO - PGO</t>
  </si>
  <si>
    <t>Supply and Delivery of Office Equipment and Furnitures</t>
  </si>
  <si>
    <t>NEGO 2020 "UPGRADING OF POWER SYSTEMS AT GENERAL SANTOS (TAMBLER) AIRPORT</t>
  </si>
  <si>
    <t>SUPPLY &amp; DELIVERY OF SUPPLIES IN THE CAPACITY BUILDING FOR LADAC MEMBERS 4TH QUARTER IN THE PROVINCE OF MAGUINDANAO - PGO</t>
  </si>
  <si>
    <t>106CO-33IB-2020-668</t>
  </si>
  <si>
    <t>Purchase of Various Gulayan Supplies</t>
  </si>
  <si>
    <t>Provision of Car Rental for shuttle service of Skeletal Workforce of TAS- NCR North.</t>
  </si>
  <si>
    <t>Vehicle parts and accessories</t>
  </si>
  <si>
    <t>IMPROVEMENT OF PARKS AND PLAZA</t>
  </si>
  <si>
    <t>Rehabilitation/ Improvement of pathway</t>
  </si>
  <si>
    <t>APPD20-005SVP Office Supplies and Devices</t>
  </si>
  <si>
    <t>School and Office Supplies of Damilag IS for the Months of April-June,  2020 (Secondary)</t>
  </si>
  <si>
    <t>Supply and Delivery of Assorted Feeds for Livelihood Projects</t>
  </si>
  <si>
    <t>Supply and Delivery of Electronic Supplies for Public Address System for SHS</t>
  </si>
  <si>
    <t>SUPPLY OF VARIOUS MATERIALS FOR MSWDO (ACCESS TO SOCIAL PROTECTION -WOMENS PROJECT)</t>
  </si>
  <si>
    <t>1Lot Procurement for the Supply of Labor and Materials for the Proposed Relocation and Improvement of Post Master Office</t>
  </si>
  <si>
    <t>Purchase of Various Construction Suppies for the REPAIR of GULAYAN and FEEDING FENCES and REPAIR of TRANSPARENCY BOARD</t>
  </si>
  <si>
    <t>1Lot Supply of Labor and Materials for the 25pcs. Proposed Fabrication of forms shelves and 2pcs. package storage shelves.</t>
  </si>
  <si>
    <t>SUPPLY &amp; DELIVERY OF OFFICE EQUIPMENT IN SENIOR CITIZEN OFFICE - GOVERNOR'S OFFICE</t>
  </si>
  <si>
    <t>IMPROVEMENT OF MULTI-PURPOSE BUILDING</t>
  </si>
  <si>
    <t>SUPPLY &amp; DELIVERY OF FUEL FOR PROVISION TO PEACE AND ORDER SECRETARIAT (3RD QUARTER) - PPDO</t>
  </si>
  <si>
    <t>Purchase of Various Office Supplies used in Printing of Modules</t>
  </si>
  <si>
    <t>PROCUREMENT OF DISINFECTING MACHINE UV LAMP</t>
  </si>
  <si>
    <t>Provision of Car Rental for shuttle service of Skeletal Workforce of the following NCR North Branches</t>
  </si>
  <si>
    <t>Repair of Classrooms at Malagonlong Elementary School</t>
  </si>
  <si>
    <t>NARVACAN WATER SUPPLY SYSTEM IMPROVEMENT PROJECT</t>
  </si>
  <si>
    <t>Repair of Classrooms at Bugtongnapulo Integrated National High School</t>
  </si>
  <si>
    <t>PF-0820-794</t>
  </si>
  <si>
    <t>P.R. No. 2020-08-0060: Purchase and Delivery of Spare Parts for Brush Cutters &amp; Chainsaw use for Maintenance Activities along Road Networks of DPWH-ISDEO, Roxas, Isabela</t>
  </si>
  <si>
    <t>ADDITIONAL CONSTRUCTION OF DRAINAGE CANAL</t>
  </si>
  <si>
    <t>PROCUREMENT OF GOODS: MEDICAL SUPPLIES SVP 2020-187</t>
  </si>
  <si>
    <t>Delivery of Supplies and Materials Needed on Workshop Geotagging and Mapping of Nurseries and Mother Trees Cluster 1 and 2</t>
  </si>
  <si>
    <t>106CO-33IB-2020-669</t>
  </si>
  <si>
    <t>SUPPLY &amp; DELIVERY OF FUEL FOR PROVISION TO PEACE AND ORDER SECRETARIAT (4TH QUARTER) - PPDO</t>
  </si>
  <si>
    <t>Improvement of Multi-Purpose Building</t>
  </si>
  <si>
    <t>PF-0320-273</t>
  </si>
  <si>
    <t>106CO-33IB-2020-667</t>
  </si>
  <si>
    <t>Invitation to Bid for Supply, Delivery, and Installation of Sound System for WPU main and Puerto Princesa City campus gymnasium</t>
  </si>
  <si>
    <t>Various IT Equipment, Licenses</t>
  </si>
  <si>
    <t>Materials for Clean and Green</t>
  </si>
  <si>
    <t>20-08-645 Construction of PWS Makikilo Spring Source, Rangayen, Alamada in Brgy. Rangayen, Alamada, Cotabato</t>
  </si>
  <si>
    <t>Supply and delivery of various items for repair/maintenance of Alfonso Water, Alfonso, Cavite</t>
  </si>
  <si>
    <t>Procurement of supplies and materials</t>
  </si>
  <si>
    <t>Procurement of Printing of Modules</t>
  </si>
  <si>
    <t>Rehabilitation/ Improvement of Barangay roads</t>
  </si>
  <si>
    <t>FABRICATION OF GLASS PARTITION OF RHU BUILDING, LGU-BAYOMBONG, NUEVA VIZCYA</t>
  </si>
  <si>
    <t>Supply and Delivery of office supplies to be used by different offices in LGU-, Alfonso, Cavite</t>
  </si>
  <si>
    <t>Purchase of Various Medical and Dental Supplies</t>
  </si>
  <si>
    <t>CONSTRUCTION OF INTEGRATED SOLAR STREET LIGHT</t>
  </si>
  <si>
    <t>Labor and Materials for repair and maintenance of municipal service vehicle (Municipal Fire Truck  E-204C) at Alfonso, Cavite</t>
  </si>
  <si>
    <t>Repair and maintenance of Stage</t>
  </si>
  <si>
    <t>106CO-33IB-2020-664</t>
  </si>
  <si>
    <t>Supply &amp; Delivery of One unit Photocopier for Cantilan National High School</t>
  </si>
  <si>
    <t>School and Office Supplies</t>
  </si>
  <si>
    <t>Supply &amp; Delivery of One unit Risograph for Cantilan National High School</t>
  </si>
  <si>
    <t>Purchase of other PPE and other supplies</t>
  </si>
  <si>
    <t>Installation of Internet Connection at Cantilan National High School</t>
  </si>
  <si>
    <t>SUPPLY &amp; DELIVERY OF SUPPLIES FOR PROVISION TO PEACE AND ORDER SECRETARIAT (4TH QUARTER) - PPDO</t>
  </si>
  <si>
    <t>DON CARLOS III DISTRICT PRINTING SUPPLIES</t>
  </si>
  <si>
    <t>PURCHASE OF OFFICE SUPPLIES FOR THE USE OF SOLID WASTE MANAGEMENT OFFICE, MUNICIPALITY OF CAUAYAN, NEGROS OCCIDENTAL</t>
  </si>
  <si>
    <t>Supply &amp; Delivery of Two units Photocopier for Parang Elementary School and Cabangahan Integrated School</t>
  </si>
  <si>
    <t>Supply and delivery of Anti-Rabies Vaccines</t>
  </si>
  <si>
    <t>Supply and Delivery of 112 Heads Cattle (Heifer) under Livestock Program CY 2020</t>
  </si>
  <si>
    <t>PURCHASE OF MEDICINES FOR THE USE OF CAUAYAN DISTRICT HOSPITAL, BARANGAY ISIO, CAUAYAN, NEGROS OCCIDENTAL</t>
  </si>
  <si>
    <t>Labor and Materials for the improvement of multi-purpose hall at Barangay Mangas I, Alfonso, Cavite</t>
  </si>
  <si>
    <t>ITB - Airconditioners (short of award)</t>
  </si>
  <si>
    <t>Municipal Livestock Multiplier Farm</t>
  </si>
  <si>
    <t>PROCUREMENT OF CONSULTING SERVICES FOR THE DEVELOPMENT OF NEW DEPARTMENT OF HEALTH INTRANET REI NO. 2020-012</t>
  </si>
  <si>
    <t>(2FB)N20-08-093 PURCHASE OF SPARE PARTS FOR MOTOR VEHICLE</t>
  </si>
  <si>
    <t>Supply and Delivery of 3 in 1 Printers</t>
  </si>
  <si>
    <t>(2FB)N20-08-091 PURCHASE OF IT EQUIPMENT</t>
  </si>
  <si>
    <t>Purchase of Wrist Straps</t>
  </si>
  <si>
    <t>Construction of Barangay road</t>
  </si>
  <si>
    <t>(2FB)N20-08-089 PURCHASE OF EQUIPMENT</t>
  </si>
  <si>
    <t>(2FB)N20-08-090 PURCHASE OF MACHINERIES AND EQUIPMENT</t>
  </si>
  <si>
    <t>Supply and Delivery of Drugs and Medicines</t>
  </si>
  <si>
    <t>Concepcion JHS RFQ</t>
  </si>
  <si>
    <t>Supply and Delivery of 9,801 Bags Urea (46-0-0) in response to COVID-19 under Rice Program CY 2020</t>
  </si>
  <si>
    <t>MODULES PRINTING ( KINDER TO GRADE 6 )</t>
  </si>
  <si>
    <t>S20R-08-060 PURCHASE OF IT EQUIPMENT (RE-BID)</t>
  </si>
  <si>
    <t>Procurement of Various Materials for Module Reproduction</t>
  </si>
  <si>
    <t>SUPPLY AND DELIVERY OF THIRD QUARTER EDUCATIONAL MATERIALS</t>
  </si>
  <si>
    <t>RFQ-2020-060-SUPPLY AND DELIVERY OF OFFICE EQUIPMENT FOR USE OF ASSISTANT REGIONAL DIRECTOR OFFICE, DPWH REGION XII, KORONADAL CITY</t>
  </si>
  <si>
    <t>(2FB)N20-08-088 PURCHASE OF OFFICE EQUIPMENT</t>
  </si>
  <si>
    <t>Laligan RFQ</t>
  </si>
  <si>
    <t>Procurement of Various Medical Supplies</t>
  </si>
  <si>
    <t>Reproduction of Learning Modules</t>
  </si>
  <si>
    <t>Activity sheet week 1 and 2</t>
  </si>
  <si>
    <t>11ISU-2020-08-007 Vehicle Parts and Accessories</t>
  </si>
  <si>
    <t>PROCUREMENT OF MATERIALS FOR MODULE REPRODUCTION</t>
  </si>
  <si>
    <t>Rehabilitation of Brgy. Dimampao FMR</t>
  </si>
  <si>
    <t>Purchase of Furniture, Fixtures and Equipment</t>
  </si>
  <si>
    <t>Purchase and Installation of Fire Extinguishers</t>
  </si>
  <si>
    <t>Purchase of Office Supplies and Consumables</t>
  </si>
  <si>
    <t>Purchase of Bicycles and Accessories for the SK Bike Patrol</t>
  </si>
  <si>
    <t>Purchase of Supplies and Materials for the Distribution of Disinfectant Tools Program</t>
  </si>
  <si>
    <t>RFQ-2020-057- SUPPLY AND DELIVERY OF JANITORIAL SUPPLIES FOR USE OF QUALITY AND HYDROLOGY DIVISION, DPWH REGION XII, KORONADAL CITY</t>
  </si>
  <si>
    <t>Proposed Road Concreting</t>
  </si>
  <si>
    <t>Purchase of Supplies, Materials and Equipment for Barangay Gym</t>
  </si>
  <si>
    <t>(2FB)N20-08-100 PURCHASE OF DIESEL AND GASOLINE FOR BFP</t>
  </si>
  <si>
    <t>Papers and printing supplies for module reproduction</t>
  </si>
  <si>
    <t>Medical Supplies</t>
  </si>
  <si>
    <t>Various vegetable seeds</t>
  </si>
  <si>
    <t>PROCUREMENT OF EDUCATIONAL SUPPLIES</t>
  </si>
  <si>
    <t>Purchase of Supplies and Materials for Free Alcohol Program</t>
  </si>
  <si>
    <t>INVITATION TO BID FOR the Procurement of Movable Tent (Establishment of Municipal Isolation Unit for CoVID 19 Pandemic Crisis)</t>
  </si>
  <si>
    <t>Reproduction of DLPs</t>
  </si>
  <si>
    <t>Supply &amp; Delivery of One Unit Automatic Transmission</t>
  </si>
  <si>
    <t>MG-A5C20-072 - SUPPLY AND DELIVERY OF  SHIELDED TYPE POWER CABLE</t>
  </si>
  <si>
    <t>ITDI-200583 - SUPPLY AND DELIVERY OF ISOPROPYL ALCOHOL</t>
  </si>
  <si>
    <t>20CSM007- Sub-Surface Exploration of the Proposed Twelve (12) Bridges: a.)Raradangan-Macabasa Bridge, Alamada North Cotabato; b.)	Bridge Component, NHW Jct. Pob. Malungon Boundary, Sta. Maria Rd., Sar</t>
  </si>
  <si>
    <t>Air Purifier for DTI-7 SDD for DTI-7 Personal Wellness - COVID Protection / Prevention</t>
  </si>
  <si>
    <t>ITDI-200581 - SUPPLY AND DELIVERY OF BOND PAPER</t>
  </si>
  <si>
    <t>ITDI-200580 - SUPPLY AND DELIVERY OF VARIOUS OFFICE SUPPLIES</t>
  </si>
  <si>
    <t>procurement of materials for the reproduction of learning modules</t>
  </si>
  <si>
    <t>Procurement of construction materials for Repair and Improvement of Multi-Puropse hall (Ceiling, Painting, Tiles)Namillangan</t>
  </si>
  <si>
    <t>Procurement of various garden tools and PPEs</t>
  </si>
  <si>
    <t>Hardware and Construction Supplies for Rehabilitation 3 Classrooms at Main Building</t>
  </si>
  <si>
    <t>Solar System</t>
  </si>
  <si>
    <t>RFQ-2020-067-SUPPLY AND DELIVERY OF LAPTOP FOR USE OF RIGHT OF WAY ACQUISITION AND LEGAL DIVISION, DPWH REGION XII, KORONADAL CITY</t>
  </si>
  <si>
    <t>ITDI-200594 - SUPPLY AND DELIVERY OF VARIOUS LABORATORY SUPPLIES</t>
  </si>
  <si>
    <t>SM-20-034, Supply &amp;  Delivery of Janitorial Supplies for Provincial Assessor's Office, Amas, Kidapawan CIty</t>
  </si>
  <si>
    <t>Procurement of polypropylene (PP) plastics</t>
  </si>
  <si>
    <t>MS-20-011, Procurement of Information Advocacy (Blocktime Radio Program for the use  of the Office of the Vice Governor (VG) and Sangguniang Panlalawigan (SP)</t>
  </si>
  <si>
    <t>PRINTING OF RIGHT TO BREATHE CLEAN AIR: STEP UP. ACT NOW! FLYER UNDER EMB-EEID RFQ NO. EMB-EEID-SHOPPING-G-124-8-21-2020 2020-0752</t>
  </si>
  <si>
    <t>SUPPLY AND DELIVERY OF ABACA FACEMASK WITH DENR LOGO UNDER EMB-EEID RFQ NO. EMB-EEID-SHOPPING-G-125-8-21-2020 2020-0753</t>
  </si>
  <si>
    <t>Procurement of Modular Tent, with mosquito net and top cover</t>
  </si>
  <si>
    <t>ITDI-200593 - SUPPLY AND DELIVERY OF VARIOUS LABORATORY SUPPLIES</t>
  </si>
  <si>
    <t>ITDI-200590 - SUPPLY AND DELIVERY OF MOISTURE ANALYZER</t>
  </si>
  <si>
    <t>ITDI-200589 - SUPPLY AND DELIVERY OF HANDHELD pH METER</t>
  </si>
  <si>
    <t>ITDI-200586 - SUPPLY AND DELIVERY OF FLY ASH COMPLETE CHEMICAL ANALYSIS</t>
  </si>
  <si>
    <t>SUPPLY AND DELIVERY OF HP INK FOR OFFICE STOCK RFQ NO. EMB-EMB-PGSS 127-08-21-2020 PR NO.2020-0766</t>
  </si>
  <si>
    <t>SUPPLY AND DELIVERY OF DATA FILE FOLDER RFQ NO. EMB-EMB-PGSS 126-08-21-2020 PR NO.2020-0765</t>
  </si>
  <si>
    <t>Supply and Delivery of laminated and empty sacks</t>
  </si>
  <si>
    <t>SUPPLY AND DELIVERY OF EXTERNAL SOLID STATE DRIVE RFQ NO. EMB-EQMD-CMS-SHOPPING-G-122-8-21-2020  PR NO. 2020-0747</t>
  </si>
  <si>
    <t>ITDI-200592 - SUPPLY AND DELIVERY OF REFRIGERATOR</t>
  </si>
  <si>
    <t>FLU VACCINE AND HEALTH PACKAGES PR 0316</t>
  </si>
  <si>
    <t>REQUEST FOR QUOTAATION - VIRTUAL TRAINING ON BASIC MADIATION FOR LEGAL STAFF MEMBERS</t>
  </si>
  <si>
    <t>Purchase of Supplies and Materials for Anti-Covid Campaign Tiktok Challenge</t>
  </si>
  <si>
    <t>ITDI-200585 - SUPPLY AND DELIVERY OF TRACE METALS IN FLY ASH</t>
  </si>
  <si>
    <t>ITDI-200584 - SUPPLY AND DELIVERY OF BOND PAPER, LEGAL</t>
  </si>
  <si>
    <t>Procurement of School and Office Supplies</t>
  </si>
  <si>
    <t>C20204487 Office Supplies for PADO-PRC use</t>
  </si>
  <si>
    <t>C20204486 Office Supplies for VARIOUS SCHOOLS IN DAVAO DEL NORTE PROVINCE</t>
  </si>
  <si>
    <t>BU 67 Repair, Replacement and Installation of CCTV for Bustos Dam</t>
  </si>
  <si>
    <t>C20204480 Office Supplies for PPOC Office use</t>
  </si>
  <si>
    <t>MG-A5M20-074 - REPAINTING OF ANNEX, TRANSFORMER &amp; PUMP HOUSE BUILDING AT AGUS 4 HPP</t>
  </si>
  <si>
    <t>RFQ-2020-063-SUPPLY AND DELIVERY OF IT SUPPLIES FOR USE OF RECORDS SECTION, DPWH REGION XII, KORONADAL CITY</t>
  </si>
  <si>
    <t>(2FB)N20-08-099 PURCHASE OF IPMR UNIFORM</t>
  </si>
  <si>
    <t>Laptop Computer for DICT-LC3 Digital Transformation Center, Batangas City</t>
  </si>
  <si>
    <t>Proposed Rehabilitation of open Canal and others at Barangay II-A, SPC</t>
  </si>
  <si>
    <t>Printing of PIDS APPC Proceedings 2019</t>
  </si>
  <si>
    <t>Office Appliances for DICT LC3-Digital Transformation Center Training Room</t>
  </si>
  <si>
    <t>3539-20 Rental of Reverse Osmosis Machine</t>
  </si>
  <si>
    <t>C20204475 Medical Supplies for DDNH IGZACOS Zone</t>
  </si>
  <si>
    <t>3798-20 Procurement of Furniture and Fixtures</t>
  </si>
  <si>
    <t>3531-20 Procurement of Airconditioning Unit</t>
  </si>
  <si>
    <t>3362-20 Procurement of Multi Function Inject Printer</t>
  </si>
  <si>
    <t>SVP-20-0679, Supply and delivery of Rice for the use of Dr. Amado B. Diaz Provincial Foundation Hospital (DADPFH)</t>
  </si>
  <si>
    <t>3831-20 Procurement of Office Supplies</t>
  </si>
  <si>
    <t>3828-20 Procurement of Animal and Zoological Supplies</t>
  </si>
  <si>
    <t>20CSOC01 - SOIL EXPLORATION AND CALIFORNIA BEARING RATIO FOR PRELIMINARY DETAIL ENGINEERING (PDE) ACTIVITIES FOR THE PROPOSED FY-2019 PROJECTS</t>
  </si>
  <si>
    <t>Linggo ng Kabataan</t>
  </si>
  <si>
    <t>PRINTING OF EMB DESK CALENDAR UNDER EMB-EEID RFQ NO. EMB-EEID-SHOPPING-G-123-8-21-2020 2020-0729</t>
  </si>
  <si>
    <t>Proposed Pathwalk and RipRap</t>
  </si>
  <si>
    <t>MG-PLM20-047..TRASH RACK CLEANER, TRASH RAKE PARTS</t>
  </si>
  <si>
    <t>Installation of Street Light (Solar)</t>
  </si>
  <si>
    <t>3744-20 Procurement of Foods (Meals and Snacks)</t>
  </si>
  <si>
    <t>100-2020-07-887 Supply and delivery of steel tape (100 meters) steel tape (50 meters), spray paint, etc.</t>
  </si>
  <si>
    <t>100-2020-07-863 Supply and delivery of rims, stud bolts, backwheel cylinder, etc.</t>
  </si>
  <si>
    <t>100-2020-06-800 Supply and delivery of ballpen black, ballpen blue, battery AAA size, etc.</t>
  </si>
  <si>
    <t>MG-PLM20-095..SUPPLY &amp; INSTALLATION OF 400KVA DIESEL GENSET AT PH</t>
  </si>
  <si>
    <t>100-2020-08-946 Supply and delivery of Sound/Audio Recorder, water dispense, portable sound system, etc.</t>
  </si>
  <si>
    <t>Purchase of Food Supply for COVID-Related Activities</t>
  </si>
  <si>
    <t>MG-PLM20-152.Maint. of Transformer (Shell DB) Rehabilitation of spare 31.5 MVA Take-off Transformer</t>
  </si>
  <si>
    <t>RB2020-08-271 Monobloc chairs delivered to various Barangay</t>
  </si>
  <si>
    <t>Reproduction of modules</t>
  </si>
  <si>
    <t>3545-20 Procurement of Other Supplies</t>
  </si>
  <si>
    <t>Supply and Delivery of Janitorial Supplies</t>
  </si>
  <si>
    <t>MG-PAT20-016..SUPPLY AND DELIVERY OF GOVERNOR OIL PUMP WITH MOTOR</t>
  </si>
  <si>
    <t>3878-20 Procurement of Materials for the Repair and Maintenance of DT-50</t>
  </si>
  <si>
    <t>MAINT 2020-07-0038 - Purchase of Fuels to be use of Service Vehicle and Equipment assigned in Maintenance Section for 3rd Quarter of CY 2020</t>
  </si>
  <si>
    <t>3876-20 Procurement of Other Supplies</t>
  </si>
  <si>
    <t>3875-20 Procurement of Office Supplies</t>
  </si>
  <si>
    <t>3797-20 Procurement of Information and Communication Technology Equipment</t>
  </si>
  <si>
    <t>MOOE 2020-02/AWOL ELEMENTARY SCHOOL</t>
  </si>
  <si>
    <t>CONSTRUCTION OF OPEN CANAL NO. 02</t>
  </si>
  <si>
    <t>CONSTRUCTION OF OPEN CANAL NO 01</t>
  </si>
  <si>
    <t>Supply and Delivery of Books</t>
  </si>
  <si>
    <t>Supply and Delivery of Materials for ACU Electrical Wirings</t>
  </si>
  <si>
    <t>Proposed Construction and Renovation of multi-purpose hall at Brgy. Santiago II, SPC</t>
  </si>
  <si>
    <t>3847-20 Procurement of Office Supplies</t>
  </si>
  <si>
    <t>SVP-20-0678, Supply and delivery of Coverall Suit for the use of Provincial Governor's Office (PGO)</t>
  </si>
  <si>
    <t>SVP-20-0677, Supply of Petroleum Products for the use of Provincial Cooperatives Development Office (PCDO)</t>
  </si>
  <si>
    <t>SVP-20-0674, Supply and Delivery of Meals and Snacks for the use of Committee on Environment, Climate Change Adaptation and Disaster Risk Reduction and Management, Sangguniang Panlalawigan (SP)</t>
  </si>
  <si>
    <t>SVP-20-0672, Supply and Delivery of Meals and Snacks for the use of Committee on Municipal Affairs, Sangguniang Panlalawigan (SP)</t>
  </si>
  <si>
    <t>Procurement of Ink Supplies for Printing of Modules and other Documents</t>
  </si>
  <si>
    <t>RFQ: Disinfection Supplies</t>
  </si>
  <si>
    <t>SVP-20-0616, Supply of Diesel Fuel for the use of Sangguniang Panlalawigan- Committee on Health and Sanitation, Sangguniang Panlalawigan (SP)</t>
  </si>
  <si>
    <t>SVP-20-0549, Supply and delivery of Tire for the use of Provincial Disaster Risk Reduction Management Office,  Provincial Governor's Office (PGO)</t>
  </si>
  <si>
    <t>Supply and Delivery of Diving Equipment</t>
  </si>
  <si>
    <t>RFQ-2020-061-SUPPLY AND DELIVERY OF MUGS AND SHIRT JACK FOR USE IN DPWH REGION XII</t>
  </si>
  <si>
    <t>Additional Supplies for the Preparation and Printing of Barangay/EA/Block Maps for the 2020 CPH</t>
  </si>
  <si>
    <t>ROAD CONCRETING BARANGAY BINOG, ISABEL, LEYTE</t>
  </si>
  <si>
    <t>100-2020-07-891 Supply and delivery of toner, ballpen, special paper, etc.</t>
  </si>
  <si>
    <t>construction materials for fences</t>
  </si>
  <si>
    <t>100-2020-08-938 Supply and delivery of 6x8 polybags, 5x7 polybags, 14x16 polybags, etc.</t>
  </si>
  <si>
    <t>TALISAY WATER SYSTEM</t>
  </si>
  <si>
    <t>100-2020-08-933 Supply and delivery of Vehicle (Motorcycle with sidecar)</t>
  </si>
  <si>
    <t>SVP-20-0671, Supply and Delivery of Meals and Snacks for the use of Committee on Agriculture and Food, Sangguniang Panlalawigan (SP)</t>
  </si>
  <si>
    <t>PIKCOT-SUPP-002020-00183 (SUPPLY AND DELIVERY OF OFFICE EQUIPMENT)</t>
  </si>
  <si>
    <t>PIKCOT-SUPP-002020-00181 (SUPPLY AND DELIVERY OF OFFICE SUPPLIES )</t>
  </si>
  <si>
    <t>100-2020-08-930 Supply and delivery of fiber glass board, 1/4"x2"x2" angle bar, hacksaw blade, hacksaw handle, etc.</t>
  </si>
  <si>
    <t>PIKCOT-SUPP-002020-00178 (SUPPLY AND DELIVERY OF GLASS)</t>
  </si>
  <si>
    <t>PIKCOT-SUPP-002020-00182 (SUPPLY AND DELIVERY OF OFFICE EQUIPMENT)</t>
  </si>
  <si>
    <t>100-2020-08-929 Supply and delivery of 1/4" thk ordinary plywood, 2x3x12 coco lumber, 2x2x10 coco lumber, et.</t>
  </si>
  <si>
    <t>100-2020-08-928 Supply and delivery of conference table, executive chairs, receiving area sofa, etc.</t>
  </si>
  <si>
    <t>SVP-20-0600, Supply and Delivery of Meals and Snacks for the use of PDC, Local Governance, Support to Peace and Order of Provincial Governor's Office (PGO)</t>
  </si>
  <si>
    <t>100-2020-08-925 Supply and delivery of alternator, all purpose marine epoxy, epoxy paint, marine epoxy, etc.</t>
  </si>
  <si>
    <t>100-2020-08-920 Supply and delivery of printer, desktop computer,etc.</t>
  </si>
  <si>
    <t>PIKCOT-SUPP-002020-00179 (SUPPLY AND DELIVERY OF GLASS)</t>
  </si>
  <si>
    <t>100-2020-07-913 Supply and delivery of application for building permit, fencing permit, electrical permit, etc.</t>
  </si>
  <si>
    <t>100-2020-07-895 Supply and delivery of air freshener (spray), all-purpose cleaner, bathroom deodorizer, etc.</t>
  </si>
  <si>
    <t>PIKCOT-SUPP-002020-00180 (SUPPLY AND DELIVERY OF AGRICULTURAL CHEMICALS )</t>
  </si>
  <si>
    <t>100-2020-06-768 Supply and delivery of alcohol, correction tape, clip backfold, etc.</t>
  </si>
  <si>
    <t>Procurement of  Supplies,Materials  and Printers for the Reproduction of Self Learning Modules for the First Tranche.</t>
  </si>
  <si>
    <t>SUPPLY AND DELIVERY OF VARIOUS MECHANICAL SPARE PARTS FOR 160KW FG WILSON PERKINS, MODEL NO. P300H-1; SERIAL NO. FGWNAV04AJSW00275 INTENDED FOR ALMAGRO DPP</t>
  </si>
  <si>
    <t>100-2020-07-896 Supply and delivery of ballpen (black/blue, 24s), ballpen (blac/blue, 60s), battery 9V, etc.</t>
  </si>
  <si>
    <t>Repair &amp; Maintenance of Building OSSSM-RMB-1746-20 (Php198,537.50</t>
  </si>
  <si>
    <t>Repair and Maintenance of Hospital Ambulance</t>
  </si>
  <si>
    <t>Semi-Expandable Machinery &amp; Equipment-Books (OSSSM-SEB-1745) 65,750.00</t>
  </si>
  <si>
    <t>Information Technology Parts &amp; Accessories &amp; Perip</t>
  </si>
  <si>
    <t>Office Equipment Supplies and Consumables</t>
  </si>
  <si>
    <t>Improvement of Road / Road Concreting</t>
  </si>
  <si>
    <t>5THFW, Battery Non-Rechargeable PN: LS14250 &amp; 1 L/I</t>
  </si>
  <si>
    <t>Repair and Maintenance Other Structure</t>
  </si>
  <si>
    <t>5THFW, Seal PN: 85TV1038-48 &amp; 2 L/I</t>
  </si>
  <si>
    <t>5THFW, Seal PN: 85TV1040-1 &amp; 1 L/I</t>
  </si>
  <si>
    <t>5THFW, Pin PN: 85TP0016-1 &amp; 3 L/I</t>
  </si>
  <si>
    <t>Supply and Delivery of One (1) Lot Medical Supplies for MDRRM Office</t>
  </si>
  <si>
    <t>Supply and Delivery of 4000 Kilos Seaweed Seedlings.</t>
  </si>
  <si>
    <t>Supply and Delivery of I.T. Equipments</t>
  </si>
  <si>
    <t>5THFW, Micron Filter Kit PN: 3032444 &amp; 8 L/I</t>
  </si>
  <si>
    <t>Supply and Delivery of 5000 Pieces Pineapple Slips.</t>
  </si>
  <si>
    <t>100-2020-07-870 Supply and delivery of chicken</t>
  </si>
  <si>
    <t>Supply &amp; Delivery of Materials for Rehabilitation of Sitio Sampinitan Multipurpose Hall</t>
  </si>
  <si>
    <t>SUPPLY AND DELIVERY OF SCHOOL CARD JACKET FOR SCHOOL YEAR 2020-2021 (REPOSTING)</t>
  </si>
  <si>
    <t>20MC-INFRA-042 Cluster #13 Concreting/Rehabilitation of Roads/Alleys @ Various Barangays in Masbate City</t>
  </si>
  <si>
    <t>REPRODUCTION OF MODULES/PRINTING SERVICES</t>
  </si>
  <si>
    <t>Improvements of  Poblacion Public Market (Phase II)</t>
  </si>
  <si>
    <t>Semi-Expendable Mashinery &amp; Equipment (CE) OJ5-SEMECE-1747-20</t>
  </si>
  <si>
    <t>Drugs &amp; Medicine Expenses OTQMG-DME-1749-20 (Php55,800.00)</t>
  </si>
  <si>
    <t>Repair and maintenance Other Machinery &amp; Equipment (PKOC-Php64,325.00)</t>
  </si>
  <si>
    <t>20MC-GOODS-048 Supply &amp; Delivery of Batteries for the Equipment &amp; Service Vehicles of LGU - Masbate City</t>
  </si>
  <si>
    <t>20MC-GOODS-047 Supply &amp; Delivery of Groceries for the Supplementary Feeding Program of Day Care Children @ Masbate City</t>
  </si>
  <si>
    <t>20MC-GOODS-046 Supply &amp; Delivery of Sea Ambulance for LGU - Masbate City</t>
  </si>
  <si>
    <t>20MC-GOODS-044 Supply &amp; Delivery of Materials for the Repair/Rehabilitation of Susan Multi-purpose Hall @ City Hall Compound, Brgy. Kalipay, Masbate City</t>
  </si>
  <si>
    <t>20MC-INFRA-043 Cluster #14 Construction/Rehabilitation of Flood Control Mitigation Projects (Drainage Systems) @ Various Barangays in Masbate City</t>
  </si>
  <si>
    <t>Office Supplies and Other Non-PS Supplies</t>
  </si>
  <si>
    <t>SUPPLY &amp; DELIVERY OF VARIOUS ELECTRICAL SPARE PARTS FOR 250KW CUMMINS, MODEL NO. NTA855-G18, ENGINE NO. 41251386 INTENDED FOR SAN ANTONIO DPP</t>
  </si>
  <si>
    <t>100-2019-11-1717 Supply and delivery of multipurpose vehicle</t>
  </si>
  <si>
    <t>SUPPLY &amp; DELIVERY OF VARIOUS MECHANICAL SPARE PARTS FOR 250KW CUMMINS, MODEL NO. NTA855-G18, E/N; 41251386 INTENDED FOR SAN ANTONIO DPP</t>
  </si>
  <si>
    <t>20MC-GOODS-045 Supply &amp; Delivery of Tires for the Equipment &amp; Service Vehicles of LGU - Masbate City</t>
  </si>
  <si>
    <t>100-2019-10-1647 Supply and delivery of vehicle (Pick-type)</t>
  </si>
  <si>
    <t>Procurement of Supplies for Reproduction of Learning Modules of Tug. City Science HS</t>
  </si>
  <si>
    <t>100-2019-10-1648 Supply and delivery of multipurpose vehicle</t>
  </si>
  <si>
    <t>100-2020-07-894 Supply and delivery of marine plywood, copper nail 1 1/2, copper nail #1, etc.</t>
  </si>
  <si>
    <t>Restoration and Rehabilitation of Ortega Hall at Brgy. Rizal, Jovellar, Albay</t>
  </si>
  <si>
    <t>Purchase of Water Pump Hose</t>
  </si>
  <si>
    <t>RFQ-Office Supplies</t>
  </si>
  <si>
    <t>Purchase Filing Cabinet</t>
  </si>
  <si>
    <t>Construction of Slope Protection at Brgy. Calzada, Jovellar, Albay</t>
  </si>
  <si>
    <t>Purchase of Filing Cabinet (VAWC Office)</t>
  </si>
  <si>
    <t>ISANG LAPIS, ISANG PAPEL</t>
  </si>
  <si>
    <t>Rehabilitation of Spillway at Brgy. Quitinday, Jovellar, Albay</t>
  </si>
  <si>
    <t>Rehabilitation of Motor Pool at Brgy. Rizal, Jovellar, Albay</t>
  </si>
  <si>
    <t>Construction of Mess Hall at Brgy. Rizal, Jovellar, Albay</t>
  </si>
  <si>
    <t>PURCHASE OF FURNITURE &amp; FIXTURES</t>
  </si>
  <si>
    <t>Procurement of Office Supplies for 2nd Semester CY 2020</t>
  </si>
  <si>
    <t>Purchase of Face Mask</t>
  </si>
  <si>
    <t>Supply and Delivery of ICT Equipment and ICT Supplies for use of DPWH AFDEO.</t>
  </si>
  <si>
    <t>ITDI-200505 - SUPPLY AND DELIVERY OF VARIOUS DIAGNOSTIC AND LABORATORY SERVICES</t>
  </si>
  <si>
    <t>Completion of the Jovellar Rural Health Unit at Brgy. Cabraran, Jovellar, Albay</t>
  </si>
  <si>
    <t>Supply and Delivery of Survey Equipment for Use of the DPWH- AFDEO</t>
  </si>
  <si>
    <t>100-2020-07-916 Supply and delivery of release bearing, pressure plate, etc.</t>
  </si>
  <si>
    <t>Construction of Welcome Arc</t>
  </si>
  <si>
    <t>Hemoglobin with Hematocrit Microcuvettes for EKF Photometer, 50 tests / bot.</t>
  </si>
  <si>
    <t>ITDI-200555 - SUPPLY AND DELIVERY OF SODIUM PERIODATE</t>
  </si>
  <si>
    <t>ITDI-200371 - SUPPLY AND DELIVERY OF BOOTS WITH STEEL TOE</t>
  </si>
  <si>
    <t>Face shield with eyeglass frame</t>
  </si>
  <si>
    <t>S1-MTS20-005 - Supply and Delivery of 10kV Insulation Resistance Tester, Winding Analyzer and Three-Phase Portable Working Standard &amp; Power Quality Analyzer for WMTSD</t>
  </si>
  <si>
    <t>Supply and Delivery of Office Supplies, Janitorial Supplies, General Supplies, Office Equipment and Personal Protective Equipment/ Supplies for use of the DPWH- AFDEO.</t>
  </si>
  <si>
    <t>20DJ0113-LOCAL PROGRAM, Construction/Repair/Rehabilitation/Improvement of Various Infrastructure Including Local Projects, Construction of Missing Links/New Roads, Extension of Quezon Eco-Tourism-Sari</t>
  </si>
  <si>
    <t>CONCRETING OF PUROK 3 PATHWAY</t>
  </si>
  <si>
    <t>COMPLETION OF BARANGAY HEALTH CENTER, PUROK 2 MOLICAY, OZAMIZ CITY</t>
  </si>
  <si>
    <t>20OF0330 Rehabilitation of Disaster – Related Infrastructure and Other Facilities (State Owned Facilities and Other Predetermined Sites into Several Healthcare Facilities)</t>
  </si>
  <si>
    <t>Purchase Electrical Supplies for Division use</t>
  </si>
  <si>
    <t>CSC CAR RFQ NO 2020-012 Connection of Generator Set to the Learning and Development Center Building</t>
  </si>
  <si>
    <t>B-050-2020 SUPPLY AND DELIVERY OF 1 LOT VARIOUS HARDWARE SUPPLIES, WATER PUMP AND DISINFECTION SUPPLIES - SVP</t>
  </si>
  <si>
    <t>Supply, Delivery and Installation of Electrical Materials and Solar Lighting</t>
  </si>
  <si>
    <t>Other Supplies &amp; Material Expenses OTQMG-OTSM-1748-20 (Php394,200.00)</t>
  </si>
  <si>
    <t>PAMANA IP CDD MOTHER RPORPOSAL FOR COVID 19 RESPONSE CEAC IMPLEMENTATION in Agusan del Norte</t>
  </si>
  <si>
    <t>OFFICE SUPPLIES</t>
  </si>
  <si>
    <t>ITDI-200390 - SUPPLY AND DELIVERY OF TEST TUBE</t>
  </si>
  <si>
    <t>Supply and Delivery of Office Supplies for Module Production</t>
  </si>
  <si>
    <t>CONSTRUCTION OF DRAINAGE CANAL,SEEKERS &amp; LUCKY NINE STREET</t>
  </si>
  <si>
    <t>PAMANA IP CDD MOTHER PROPOSAL FOR COVID 19 RESPONSE CEAC IMPLEMENTATION</t>
  </si>
  <si>
    <t>IT SUPPLIES</t>
  </si>
  <si>
    <t>ITDI-200382 - SUPPLY AND DELIVERY OF ELECTRONIC BALANCE</t>
  </si>
  <si>
    <t>20-07-604 Purchase of Construction Supplies and Materials for COMELEC Office Renovation (Construction of Comfort Room)</t>
  </si>
  <si>
    <t>MEDICAL EQUIPMENT</t>
  </si>
  <si>
    <t>20-08-640 Meals and Snacks for the Visitors, Meetings and Other Activities of the Office of the Local Chief Executive</t>
  </si>
  <si>
    <t>ITDI-200386 - SUPPLY AND DELIVERY OF DNA EXTRACTION FROM SOIL KIT</t>
  </si>
  <si>
    <t>20-08-646 Land Survey Services for the Relocation and Subdivision Survey of the Different Government Lots in the Municipality of Alamada</t>
  </si>
  <si>
    <t>20-08-641 Purchase of Fuel to be used for the Office of the Municipal Mayor</t>
  </si>
  <si>
    <t>Supply and Delivery of Terraville Bridge Crossing Materials Lot 3</t>
  </si>
  <si>
    <t>Reproduction of Modules of Guinobatan East Central School</t>
  </si>
  <si>
    <t>Supply and Delivery of Terraville Bridge Crossing Materials Lot 2</t>
  </si>
  <si>
    <t>RENTAL OF WINGED VAN TRUCK &amp; HAULING RENTAL</t>
  </si>
  <si>
    <t>CERAMIC TOILET BOWLS (RE-BID)</t>
  </si>
  <si>
    <t>PAMANA IP CDD MOTHER PROPOSAL FOR COVID 19 RESPONSE CEAC IMPLEMENTATION IN TANDAG SURIGAO DEL SUR</t>
  </si>
  <si>
    <t>INVITATION TO BID FOR CONSTRUCTION OF 60M x 60M COMMUNITY HOSPITAL WITH SITE DEVELOPMENT</t>
  </si>
  <si>
    <t>Representation Expenses (50,800.00)</t>
  </si>
  <si>
    <t>20-07-609 Repair and Maintenance of Firetrucks</t>
  </si>
  <si>
    <t>Installation of Streetlight</t>
  </si>
  <si>
    <t>Road Concreting (One Job), Brgy. Pungsod, Lambunao, Iloilo</t>
  </si>
  <si>
    <t>FIRE EXTINGUISHER (RE-BID)</t>
  </si>
  <si>
    <t>Drugs and Medicines (RE-BID)</t>
  </si>
  <si>
    <t>Supply and Delivery of Terraville Bridge Crossing Materials Lot 1</t>
  </si>
  <si>
    <t>MID-RANGE SERVER (RAID-TYPE) (TOWER SERVER) (iHOMIS) RE-BID</t>
  </si>
  <si>
    <t>PAMANA IP CDD MOTHER PROPOSAL FOR COVID 19 RESPONSE CEAC IMPLEMENTATION IN AGUSAN DEL SUR</t>
  </si>
  <si>
    <t>ITDI-200396 - SUPPLY AND DELIVERY OF VARIOUS PHOTOGRAPHY PARTS, SUPPLIES AND ACCESSORIES</t>
  </si>
  <si>
    <t>ITDI- 200389 - SUPPLY AND DELIVERY OF VARIOUS LABORATORY SUPPLIES</t>
  </si>
  <si>
    <t>FP COMMODITIES (MEDICAL SUPPLIES) RE-BID</t>
  </si>
  <si>
    <t>PURCHASE OF STREET SIGN &amp; STREET POLE</t>
  </si>
  <si>
    <t>CONSTRUCTION OF MATERIALS AND SUPPLIES</t>
  </si>
  <si>
    <t>PAMANA IP CDD MOTHER PROPOSAL FOR COVID 19 RESPONSE CEAC IMPLEMENTATION IN BUTUAN CITY AGUSAN DEL NORTE</t>
  </si>
  <si>
    <t>PR NO. 20-02-085 (i. 1-13) (2020-08-302) PROCUREMENT OF UPVC BEND</t>
  </si>
  <si>
    <t>SUPPLY, DELIVERY AND INSTALLATION AND REPLACEMENT OF PARTS FOR ION CHROMATOGRAPHS (S/N: 20146, 02148 UNDER EMB-ERLSD-ELSS-ECMU</t>
  </si>
  <si>
    <t>Medical Equipment SGH (RE-BID)</t>
  </si>
  <si>
    <t>SUPPLY &amp; DELIVERY OF VARIOUS ELECTRICAL SPARE PARTS FOR 160KW FG WILSON, MODEL NO. P300H-1, SERIAL NO. FJWNAV04HJSW00277 &amp; FGWNAV04PJSW00270 INTENDED FOR CAPUL DPP</t>
  </si>
  <si>
    <t>Construction of Slope Protection</t>
  </si>
  <si>
    <t>Procurement of materials</t>
  </si>
  <si>
    <t>PACKAGE:I.CONCRETING OF BARANGAY ROAD,SITIO GULOD EAST AND SITIO BINGAW II. CONSTRUCTION OF CANAL,SITIO BLUE HEAVEN</t>
  </si>
  <si>
    <t>Supply &amp; Delivery of Construction Materials for Repair and Renovation of BAC Office</t>
  </si>
  <si>
    <t>Procurement Office Equipment Supplies and Consumables</t>
  </si>
  <si>
    <t>Rehabilitation of Comfort Room, Brgy. Site, Brgy. Lancheta,  Tacurong City (Re-bidding)</t>
  </si>
  <si>
    <t>PAMANA IP CDD MOTHER PROPOSAL FOR COVID 19 RESPONSE CEAC IMPLEMENTATION IN CLAVER SURIGAO DEL NORTE</t>
  </si>
  <si>
    <t>Lease of Venue for the 2020 Census of Population and Housing (2020 CPH) 4th Level Training within the City of Manila</t>
  </si>
  <si>
    <t>Procurement of Materials for  improvement of ACBS Facility.</t>
  </si>
  <si>
    <t>Concreting of Municipal Roads in Barangay Poblacion (Portion of Castanares)</t>
  </si>
  <si>
    <t>CONSTRUCTION OF EVACUATION CENTER</t>
  </si>
  <si>
    <t>SUPPLY &amp; DELIVERY OF VARIOUS MECHANICAL SPARE PARTS FOR 100KW CUMMINS MODEL NO. 6BT5.9-G2, SERIAL NO. 78467011 AND 80KW CUMMINS, MODEL NO. 6BTAA5.9-G2, SERIAL NO. 78258010 INTENDED FOR CAMANDAG DIESEL</t>
  </si>
  <si>
    <t>Construction of Brgy. Multi-Purpose Building, Brgy. Site, Brgy. Lancheta,   Tacurong City (Re-bidding)</t>
  </si>
  <si>
    <t>SUPPLY &amp; DELIVERY OF VARIOUS ELECTRICAL SPARE PARTS FOR 163KW DALE PERKINS, MODEL NO. 2006-TG1, SERIAL NO. 76 &amp; 59 INTENDED FOR CAPUL DPP</t>
  </si>
  <si>
    <t>VAN RENTALS</t>
  </si>
  <si>
    <t>PAMANA IP CDD MOTHER PROPOSAL FOR COVID 19 RESPONSE CEAC IMPLEMENTATION IN MAINIT SURIGAO DEL NORTE</t>
  </si>
  <si>
    <t>Repair &amp; Maintenance of School Building: Conversion of a room in Technology Innovation Center into a Café - Ref.  JOR 2020-08-0003 OCA</t>
  </si>
  <si>
    <t>1 LOT –  OMS  of Facilities – BSP Dumaguete (Supply of labor, tools and materials for the Operation and Basic Maintenance Servicing (OBMS) of the Electro-Mechanical System of the BSP Dumaguete Branch</t>
  </si>
  <si>
    <t>Supply of seven (7) pieces Headset with Noise Cancelling</t>
  </si>
  <si>
    <t>Supply and Delivery of Vehicle Maintenance ( H-041-0605-20 )</t>
  </si>
  <si>
    <t>VAN RENTALS (DATRC)</t>
  </si>
  <si>
    <t>Procurement and delivery of educational supplies for the Reproduction of Self - Learning Modules of Kibawe West District</t>
  </si>
  <si>
    <t>Improvement/Rehab. of Designated Evacuation Center (Municipal Gym)</t>
  </si>
  <si>
    <t>Supply of four (4) units Grass Cutter</t>
  </si>
  <si>
    <t>Supply and Delivery of Split Type Basic Wall Mounted Airconditioner ( H-044-0608-20 )</t>
  </si>
  <si>
    <t>SUPPLY &amp; DELIVERY OF VARIOUS MECHANICAL SPARE PARTS FOR 60KW PERKINS, MODEL NO. P65EI/1004TG2, SERIAL NO. FGWPEP03VDOA26987 &amp; 50KW PERKINS, MODEL NO. 1104C-44TAG2, SERIAL N0. RJ51175-ROO9242X INTENDED</t>
  </si>
  <si>
    <t>Purchase of Materials for the Rehabilitation and Construction of Barangay Roads</t>
  </si>
  <si>
    <t>DISTRIBUTION OF HYGIENE KIT</t>
  </si>
  <si>
    <t>PAMANA IP CDD MOTHER PROPOSAL FOR COVID 19 RESPONSE CEAC IMPLEMENTATION IN LINGIG SURIGAO DEL SUR</t>
  </si>
  <si>
    <t>SUPPLY &amp; DELIVERY OF AUTOMATIC VOLTAGE REGULATOR, SX460 INTENDED FOR MINI GRID ALMAGRO</t>
  </si>
  <si>
    <t>Supply of 12 pieces Stainless Steel 3-1/2" dia x 12" (stainless steel 316)</t>
  </si>
  <si>
    <t>PURCHASE OF SOLAR STREET LIGHT</t>
  </si>
  <si>
    <t>Supply and Delivery of Led Eco Downlight, Bangalore Slab, Bowl w/ Lavatory, Kitchen Sink &amp; Stair Nosing ( H-026-0590-20 )</t>
  </si>
  <si>
    <t>Supply of six (6) units SMS/GPRS Data Logger, 2 Channels, 2x Pressure</t>
  </si>
  <si>
    <t>SUPPLY &amp; DELIVERY OF VARIOUS MECHANICAL SPARE PARTS FOR 120KW CUMMINS, MODEL NO. 6CTA8.3-G2, SERIAL NO. 87761372 INTENDED FOR MINI GRID ALMAGRO.</t>
  </si>
  <si>
    <t>PURCHASE OF ELECTRONIC BILLBOARD</t>
  </si>
  <si>
    <t>Supply and Delivery of PPE for workers ( H-025-0589-20 )</t>
  </si>
  <si>
    <t>BPIS-MODULES-REQUEST FOR QUOTATION</t>
  </si>
  <si>
    <t>ITDI-200557- SUPPLY AND DELIVERY OF CELATOM ACID</t>
  </si>
  <si>
    <t>PROPOSED CONSTRUCTION OF MOTORPOOL SHED</t>
  </si>
  <si>
    <t>Construction of Gymnatorium Phase II, MMSU, City of Batac</t>
  </si>
  <si>
    <t>100-2019-10-1638 Supply and delivery of multipurpose vehicle</t>
  </si>
  <si>
    <t>ROAD OPENING</t>
  </si>
  <si>
    <t>TB DRUGS RE-BID)</t>
  </si>
  <si>
    <t>Procurement of Medicines for Botika ng Bayan and Other MHO Programs</t>
  </si>
  <si>
    <t>Rehabilitation &amp; Construction of Drainage Canal</t>
  </si>
  <si>
    <t>PAMANA IP CDD MOTHER PROPOSAL FOR COVID 19 RESPONSE CEAC IMPLEMENTATION IN TAGO SURIGAO DEL SUR</t>
  </si>
  <si>
    <t>Storage Equipment for the implementation of School Based Feeding Program (SBFP)- Milk Feeding Program</t>
  </si>
  <si>
    <t>Supply Labor and Materials for the Analysis of Sediment Samples from Tamugan River and its Tributaries</t>
  </si>
  <si>
    <t>OFFICE SUPPLIES &amp; EQUIPMENT</t>
  </si>
  <si>
    <t>Supply of two (2) units Container Office Van</t>
  </si>
  <si>
    <t>MASS FEEDING</t>
  </si>
  <si>
    <t>PAMANA IP CDD MOTHER PROPOSAL FOR COVID 19 RESPONSE CEAC IMPLEMENTATION IN CARMEN SURIGAO DEL SUR</t>
  </si>
  <si>
    <t>ZERO WASTE MANAGEMENT</t>
  </si>
  <si>
    <t>Procurement of Materials for Market Division</t>
  </si>
  <si>
    <t>Supply of 300 boxes Ascorbic Acid 500mg (100 pcs/box)</t>
  </si>
  <si>
    <t>Materials for the reproduction of modules</t>
  </si>
  <si>
    <t>Procurement of IT Equipment &amp; Software for Motorpool</t>
  </si>
  <si>
    <t>Procurement of Gloves &amp; Surgical Face Mask for PESO</t>
  </si>
  <si>
    <t>INSTALLATION OF WINDOW GRILLS AT THE BACK OF DPWH BUILDING #2</t>
  </si>
  <si>
    <t>Vehicle Rental for Delivery of PPEs and Medical Supplies in Various Areas in Luzon</t>
  </si>
  <si>
    <t>SUPPLY AND DELIVERY OF COMPUTER SUPPLIES FOR ORGANICS LABORATORY UNIT</t>
  </si>
  <si>
    <t>Procurement of Office Supplies for CSWD</t>
  </si>
  <si>
    <t>Procurement of IT &amp; Office Equipment &amp; Software for CENRO</t>
  </si>
  <si>
    <t>Procurement of IT &amp; Office Equipment for Civil Registrar</t>
  </si>
  <si>
    <t>Procurement of Mac Book Pro for SPO Bagayao</t>
  </si>
  <si>
    <t>Office Supplies</t>
  </si>
  <si>
    <t>Procurement of Brand New Crawler Excavator (Road Maintenance) Motor pool</t>
  </si>
  <si>
    <t>Procurement of Supplies for CHO</t>
  </si>
  <si>
    <t>SUPPLY AND DELIVERY OF MATERIALS FOR THE ENHANCEMENT/CONSTRUCTION OF IRRIGATION/SHALLOW TUBE WELLS</t>
  </si>
  <si>
    <t>Procurement of a Consultant for the Validation, Research, and Lay-outing Services for the book entitled: "Memoirs' of Baguio Volume II"</t>
  </si>
  <si>
    <t>DISTRIBUTION OF VITAMINS 1ST TO 3RD QUARTER</t>
  </si>
  <si>
    <t>Procurement of Laptops for Accounting Office</t>
  </si>
  <si>
    <t>Procurement of Rimo Blend and Curls of CHO</t>
  </si>
  <si>
    <t>Procurement of IT &amp; Office Equipment for City Mayor's Office</t>
  </si>
  <si>
    <t>Procurement of Signage of POSO</t>
  </si>
  <si>
    <t>DISTRIBUTION OF VITAMINS</t>
  </si>
  <si>
    <t>PROPOSED ROAD CONCRETING AT MAHAYAHAY, DAANLUNGSOD, TOLEDO CITY</t>
  </si>
  <si>
    <t>Procurement of IT Equipment for ICT</t>
  </si>
  <si>
    <t>OTHER SUPPLIES &amp; MATERIALS</t>
  </si>
  <si>
    <t>SUPPLIES FOR THE REPRODUCTION OF LEARNING RESOURCES</t>
  </si>
  <si>
    <t>Supply &amp; Delivery of Construction Materials for Construction of Commemorative Mark</t>
  </si>
  <si>
    <t>SUPPLY &amp; DELIVERY OF VARIOUS ELECTRICAL SPARE PARTS FOR 80KW FG WILSON, MODEL NO. 1106A-70TAG2, 80KW CUMMINS, MODEL NO. 2330/1500 INTENDED FOR MINI GRID STO. NINO</t>
  </si>
  <si>
    <t>PROVIDES MEDICINE, MEDICAL ASSISTANCE TO INDIGENT FAMILY</t>
  </si>
  <si>
    <t>Concreting of Parking  Lot/Area and Driveway Barangay Limao, Calauan, Laguna</t>
  </si>
  <si>
    <t>BPIS(ELEM)-MODULES-REQUEST FOR QUOTATION</t>
  </si>
  <si>
    <t>Procurement of Office Supplies for the 4th Qtr</t>
  </si>
  <si>
    <t>SUPPLY &amp; DELIVERY OF VARIOUS ELECTRICAL SPARE PARTS FOR 160KW FG WILSON, MODEL NO. 1606A-E93TAG4, SERIAL NO. WU5529N3346913, GENERATOR, SERIAL NO. FGWNAV04JJSW00269, MODEL NO. P300H-1 INTENDED FOR STO</t>
  </si>
  <si>
    <t>Supply and Delivery of Bondpaper for In-House Printing of Self-Learning Modules</t>
  </si>
  <si>
    <t>SUPPLY &amp; DELIVERY OF VARIOUS MECHANICAL SPARE PARTS FOR 100KW PERKINS, MODEL NO. 2330/1500, SERIAL NO. YB51048*U843772M* INTENDED FOR MINI GRID ALMAGRO.</t>
  </si>
  <si>
    <t>SUPPLY &amp; DELIVERY OF VARIOUS MECHANICAL SPARE PARTS FOR 163KW PERKINS, MODEL NO. 2006-TG1, SERIAL NO. 49, 51, &amp; 56 INTENDED FOR BIRI DPP.</t>
  </si>
  <si>
    <t>Request for Quotation for 1 Unit Used Container Van 20-08-0447</t>
  </si>
  <si>
    <t>Vehicle Repair &amp; Maintenance</t>
  </si>
  <si>
    <t>Procurement of Radio Equipment for CIO Community Radio Station</t>
  </si>
  <si>
    <t>PROCUREMENT OF GOAT(BUCK &amp; DOE) OF BRGY. CENTRO 8, CLAVERIA, CAGAYAN</t>
  </si>
  <si>
    <t>Consulting Services for the Implementation of the Performance Governance System (PGS) and Attainment of PGS Initiation and Compliance Stages for the City Government of Baguio</t>
  </si>
  <si>
    <t>Purchase of protective Gears &amp; Raincoats for MDRRM Personnel</t>
  </si>
  <si>
    <t>SUPPLY &amp; DELIVERY OF VARIOUS ELECTRICAL SPARE PARTS FOR 80KW CUMMINS, ENGINE NO. 6BTAA5.9-G2, SERIAL NO. 78333539, MINGPOWERS GEN. MODEL NO. MC110. SERIAL NO. 201609087 INTENDED FOR STO NINO DPP</t>
  </si>
  <si>
    <t>Purchase of Office/IT Equipment</t>
  </si>
  <si>
    <t>Purchase of Anti-Rabies Vaccines</t>
  </si>
  <si>
    <t>Supply &amp; Delivery of IT Equipment</t>
  </si>
  <si>
    <t>Supply and Delivery of Toner for In-House Printing of Self-Learning Modules</t>
  </si>
  <si>
    <t>SUPPLY &amp; DELIVERY OF VARIOUS ELECTRICAL SPARE PARTS FOR 163KW PERKINS ENGINE NO. 48, MODEL NO. 2006-TG1, &amp; DALE GEN. SERIAL NO. EM/222/DRR INTENDED FOR STO NINO DPP.</t>
  </si>
  <si>
    <t>Rental of Forklift Equipment’s for Cargo Handling  Operation at Philippine Ports Authority – Surigao Port Services for the Period of September 2, 2020 to October 1, 2020</t>
  </si>
  <si>
    <t>Supply and Delivery of Android Tablets for the conduct of Video teleconferencing (Online Meetings, Webinars, Online Class Simulations and Observations) at SDO Marikina City</t>
  </si>
  <si>
    <t>To support the 3rd and 4th Quarter CY-2020 AMOS of 220th AW.</t>
  </si>
  <si>
    <t>Repair and Improvement of Barangay Stage</t>
  </si>
  <si>
    <t>Purchase of Office-IT Equipment</t>
  </si>
  <si>
    <t>Purchase of Various Supplies for MHO</t>
  </si>
  <si>
    <t>ITDI-200403 - SUPPLY AND DELIVERY OF DISPOSABLE SYRINGES</t>
  </si>
  <si>
    <t>ITDI-200398 - SUPPLY AND DELIVERY OF MICROTAINER TUBES</t>
  </si>
  <si>
    <t>SUPPLY &amp; DELIVERY OF VARIOUS MECHANICAL SPARE PARTS FOR 160KW FG WILSON, MODEL NO. 1606-AE93TAG4, SERIAL NO. WU5529N3346913 INTENDED FOR STO NINO DPP</t>
  </si>
  <si>
    <t>Supply &amp; Delivery of Equipment and Gadgets for  a Coastal Law Enforcement Action Network (ACLEAN)</t>
  </si>
  <si>
    <t>Construction Materials and Supplies</t>
  </si>
  <si>
    <t>Request for Quotation for 120 Can Preschool Age Milk 0430</t>
  </si>
  <si>
    <t>Procurement of Supplies for Solid Waste Management of CENRO</t>
  </si>
  <si>
    <t>Request for Quotation for 1 Unit Refurbished/Used Container Van 20-07-0431</t>
  </si>
  <si>
    <t>Purchase of First Aid Kits</t>
  </si>
  <si>
    <t>SUPPLY &amp; DELIVERY OF VARIOUS MECHANICAL SPARE PARTS FOR 163KW FG WILSON PERKINS, SERIAL NO. WU5529N3346567, MODEL NO. 1606A-E93TAG4 INTENDED FOR TAGAPUL-AN DPP.</t>
  </si>
  <si>
    <t>Request for Quotation for Bubble CPAP Nasal Prongs etc 20-06-0376</t>
  </si>
  <si>
    <t>PROCUREMENT OF MATERIALS FOR REHABILITATION OF STONE RIPRAP WITH CONCRETE FACING</t>
  </si>
  <si>
    <t>SUPPLY &amp; DELIVERY OF VARIOUS MECHANICAL SPARE PARTS FOR 163KW DALE PERKINS, MODEL NO. 2006-TG1, SERIAL NO. 8B27396U86340V INTENDED FOR TAGAPUL-AN DPP.</t>
  </si>
  <si>
    <t>PROCUREMENT OF MATERIALS FOR CONSTRUCTION OF DRAINAGE SYSTEM</t>
  </si>
  <si>
    <t>PAMANA IP CDD MOTHER PROPOSAL FOR COVID 19 RESPONSE CEAC IMPLEMENTATION IN GIGAQUIT SURIGAO DEL NORTE</t>
  </si>
  <si>
    <t>PAMANA IP CDD MOTHER PROPOSAL FOR COVID 19 RESPONSE CEAC IMPLEMENTATION IN LANUZA SURIGAO DEL SUR</t>
  </si>
  <si>
    <t>Purchase of Fogging machine &amp; Other Equipment</t>
  </si>
  <si>
    <t>SUPPLY AND DELIVERY OF PERSONAL ANTI-VIRUS MATERIALS AND HYGIENE KITS TO BE DISTRIBUTED BY THE SANGGUNIANG KABATAAN OF BARANGAY MALVAR</t>
  </si>
  <si>
    <t>PAMANA IP CDD MOTHER PROPOSAL FOR COVID 19 RESPONSE CEAC IMPLEMENTATION IN SAN LUIS AGUSAN DEL SUR</t>
  </si>
  <si>
    <t>SUPPLY &amp; DELIVERY OF VARIOUS MECHANICAL SPARE PARTS FOR 100KW PERKINS, MODEL NO. 2330/1500, SERIAL NO. YB37574*U899520S* INTENDED FOR TAGAPUL-AN DPP.</t>
  </si>
  <si>
    <t>PURCHASE REQUEST COVID SUPPLIES</t>
  </si>
  <si>
    <t>ITDI-200587 - SUPPLY AND DELIVERY OF SMART TELEVISION WITH STAND</t>
  </si>
  <si>
    <t>PAMANA IP CDD MOTHER PROPOSAL FOR COVID 19 RESPONSE CEAC IMPLEMENTATION IN SANTA JOSEFA AGUSAN DEL SUR</t>
  </si>
  <si>
    <t>PROCUREMENT OF MATERIALS FOR IMPROVEMENT OF MULTI PURPOSE (EVACUATION CENTER)</t>
  </si>
  <si>
    <t>PAMANA IP CDD MOTHER PROPOSAL FOR COVID 19 RESPONSE CEAC IMPLEMENTATION IN SAN MIGUEL SURIGAO DEL SUR</t>
  </si>
  <si>
    <t>Purchase of Materials for the Concreting of Farm to Market Road (Continuation), Brgy. Pandan, Lambunao, Iloilo</t>
  </si>
  <si>
    <t>PAMANA IP CDD MOTHER PROPOSAL FOR COVID 19 RESPONSE CEAC IMPLEMENTATION IN CARRASCAL SURIGAO DEL SUR</t>
  </si>
  <si>
    <t>Concreting of Municipal Roads in Barangay Poblacion (Portion of Quezon Street)</t>
  </si>
  <si>
    <t>Purchase of Testing Kits for COVID-19</t>
  </si>
  <si>
    <t>SUPPLY AND DELIVERY OF TOOLS AND MATERIALS</t>
  </si>
  <si>
    <t>Supply and Delivery of Office Furniture for SDO-Marikina City Use</t>
  </si>
  <si>
    <t>PURCHASE OF VARIOUS MATERIALS FOR THE REPAIR &amp; REHAB. OF DAY CARE CENTER</t>
  </si>
  <si>
    <t>Procurement of Supplies for Reproduction of Learning Modules of Tuguegarao West Central School</t>
  </si>
  <si>
    <t>Request For Quotation for the project of Fabrication of Movable Stage</t>
  </si>
  <si>
    <t>Purchase of Diesel, Gasoline, Car Oils for LGU Vehicles</t>
  </si>
  <si>
    <t>PAMANA IP CDD MOTHER PROPOSAL FOR COVID 19 RESPONSE CEAC IMPLEMENTATION IN TALACOGON AGUSAN DEL SUR</t>
  </si>
  <si>
    <t>Procurement of Supplies for Reproduction of Learning Modules of Tug. City West HS</t>
  </si>
  <si>
    <t>PAMANA IP CDD MOTHER PROPOSAL FOR COVID 19 RESPONSE CEAC IMPLEMENTATION IN MARIHATAG SURIGAO DEL SUR</t>
  </si>
  <si>
    <t>ROAD CONCRETING</t>
  </si>
  <si>
    <t>PAMANA IP CDD MOTHER PROPOSAL FOR COVID 19 RESPONSE CEAC IMPLEMENTATION IN RTR AGUSAN DEL NORTE</t>
  </si>
  <si>
    <t>PRINTING AND DELIVERY OF NIA WALL AND TABLE CALENDAR FOR CY 2021</t>
  </si>
  <si>
    <t>Procurement of Supplies for Reproduction of Learning Modules of Libag Elementary School</t>
  </si>
  <si>
    <t>PURCHASE OF VARIOUS MATERIALS FOR THE REPAIR &amp; REHAB. OF MULTI-PURPOSED BUILDING</t>
  </si>
  <si>
    <t>PROCUREMENT OF MATERIALS FOR CONCRETING OF BARANGAY ROAD (PATHWAY)</t>
  </si>
  <si>
    <t>PAMANA IP CDD MOTHER PROPOSAL FOR COVID 19 RESPONSE CEAC IMPLEMENTATION IN BUENAVISTA AGUSAN DEL NORTE</t>
  </si>
  <si>
    <t>Procurement of Supplies for Reproduction of Learning Modules of Cataggaman Elementary School</t>
  </si>
  <si>
    <t>PAMANA IP CDD MOTHER PROPOSAL FOR COVID 19 RESPONSE CEAC IMPLEMENTATION IN ROSARIO AGUSAN DEL SUR</t>
  </si>
  <si>
    <t>SUPPLY &amp; DELIVERY OF VARIOUS MECHANICAL SPARE PARTS FOR 160KW CUMMINS, MODEL NO. 6LTAA8.9-G2, SERIAL NO. 78581542 INTENDED FOR TAGAPUL-AN DPP.</t>
  </si>
  <si>
    <t>SUPPLY AND DELIVERY OF MINI DUMP TRUCK</t>
  </si>
  <si>
    <t>SUPPLY AND DELIVERY OF OFFICE EQUIPMENT FOR SDS OFFICE</t>
  </si>
  <si>
    <t>Procurement of Supplies for Reproduction of Learning Modules of Capatan Elementary Schoo</t>
  </si>
  <si>
    <t>Improvement of Multi Purpose Hall</t>
  </si>
  <si>
    <t>Request for Quotation for Labor and materials for the Fabrication of Cabinets for Surgical Office 0399</t>
  </si>
  <si>
    <t>Procurement of Supplies for Reproduction of Learning Modules of Tuguegarao East Central School (1)</t>
  </si>
  <si>
    <t>Procurement of Supplies for Reproduction of Learning Modules of Pardo Elementary School</t>
  </si>
  <si>
    <t>PROCUREMENT OF MATERIALS FOR CONSTRUCTION OF WATER SYSTEM</t>
  </si>
  <si>
    <t>PAMANA IP CDD MOTHER PROPOSAL FOR COVID 19 RESPONSE CEAC IMPLEMENTATION IN JABONGA AGUSAN DEL NORTE</t>
  </si>
  <si>
    <t>Procurement of Supplies for Reproduction of Learning Modules of Cataggaman Nuevo Elementary School</t>
  </si>
  <si>
    <t>Supply and Delivery of food supplies for the Supplemental Feeding of Malnourished children, this Municipality</t>
  </si>
  <si>
    <t>PAMANA IP CDD MOTHER PROPOSAL FOR COVID 19 RESPONSE CEAC IMPLEMENTATION IN LAS NIEVES AGUSAN DEL NORTE</t>
  </si>
  <si>
    <t>Printing Modules</t>
  </si>
  <si>
    <t>SUPPLY AND DELIVERY OF LABORATORY METAL STANDARDS UNDER EMBERLSD-ELSS-INORGANICS LABORATORY UNIT</t>
  </si>
  <si>
    <t>PAMANA IP CDD MOTHER PROPOSAL FOR COVID 19 RESPONSE CEAC IMPLEMENTATION IN KITCHARAO AGUSAN DEL NORTE</t>
  </si>
  <si>
    <t>PAMANA IP CDD MOTHER PROPOSAL FOR COVID 19 RESPONSE CEAC IMPLEMENTATION IN BAYUGAN CITY AGUSAN DEL SUR</t>
  </si>
  <si>
    <t>Preparation of Municipal Roads in Barangay Poblacion (Portion of Road II Extension)</t>
  </si>
  <si>
    <t>SUPPLY AND DELIVERY OF BOD INCUBATOR UNDER EMB-ERLSD-ELSS-INORGANICS LABORATORY</t>
  </si>
  <si>
    <t>PROCUREMENT OF MATERIALS FOR CONCRETING OF BARANGAY ROAD</t>
  </si>
  <si>
    <t>ICT Equipment-Desktop &amp; Laptop Computer-UCT</t>
  </si>
  <si>
    <t>PAMANA IP CDD MOTHER PROPOSAL FOR COVID 19 RESPONSE CEAC IMPLEMENTATION IN LA PAZ AGUSAN DEL SUR</t>
  </si>
  <si>
    <t>Procurement of Laptop Computers and Office Productivity Software (Professional)</t>
  </si>
  <si>
    <t>Proc. of PPEs )surgical mask etc.) for ACT &amp; RPMOs-KC</t>
  </si>
  <si>
    <t>PAMANA IP CDD MOTHER PROPOSAL FOR COVID 19 RESPONSE CEAC IMPLEMENTATION IN SIBAGAT AGUSAN DEL SUR</t>
  </si>
  <si>
    <t>OFFICE SUPPLIES AND DEVICES</t>
  </si>
  <si>
    <t>PAMANA IP CDD MOTHER PROPOSAL FOR COVID 19 RESPONSE CEAC IMPLEMENTATION IN TAGBINA SURIGAO DEL SUR</t>
  </si>
  <si>
    <t>PAMANA IP CDD MOTHER PROPOSAL FOR COVID 19 RESPONSE CEAC IMPLEMENTATION IN MALIMONO SURIGAO DEL NORTE</t>
  </si>
  <si>
    <t>PAMANA IP CDD MOTHER PROPOSAL FOR COVID 19 RESPONSE CEAC IMPLEMENTATION IN CAGWAIT SURIGAO DEL SUR</t>
  </si>
  <si>
    <t>PROCUREMENT MATERIALS FOR MODULES</t>
  </si>
  <si>
    <t>PAMANA IP CDD MOTHER PROPOSAL FOR COVID 19 RESPONSE CEAC IMPLEMENTATION IN CANTILAN SURIGAO DEL SUR,.</t>
  </si>
  <si>
    <t>Homelife Supplies-Adult Diapers &amp; Underpads 3rd Qtr 2020-HE</t>
  </si>
  <si>
    <t>LGU-COR. 2020-95</t>
  </si>
  <si>
    <t>ITDI-200466_REBID - SUPPLY AND DELIVERY OF CANON INK CARTRIDGE</t>
  </si>
  <si>
    <t>Supply and Delivery of Information and Technology Equipment</t>
  </si>
  <si>
    <t>PAMANA IP CDD MOTHER PROPOSAL FOR COVID 19 RESPONSE CEAC IMPLEMENTATION IN PROSPERIDAD AGUSAN DEL SUR</t>
  </si>
  <si>
    <t>Supply and Delivery of Medical Supplies for MHO, this Municipality</t>
  </si>
  <si>
    <t>R/M of Multi-Purpose Center Phase III</t>
  </si>
  <si>
    <t>SUPPLY AND DELIVERY OF MATERIALS FOR THE CONSTRUCTION OF ANIMAL POUND</t>
  </si>
  <si>
    <t>PAMANA IP CDD MOTHER PROPOSAL FOR COVID 19 RESPONSE CEAC IMPLEMENTATION LORETO AGUSAN DEL SUR</t>
  </si>
  <si>
    <t>SUPPLY, DELIVERY AND INSTALLATION OF ECD DETECTORS FOR GAS CHROMATOGRAPH (S/N:C11804700447) UNDER EMB-ERLSD-ELSS-ECMU</t>
  </si>
  <si>
    <t>ITDI-200425_REBID - SUPPLY AND DELIVERY OF VARIOUS CHEMICAL PRODUCTS</t>
  </si>
  <si>
    <t>PREVENTIVE MAINTENANCE OF ONE (1) LOT AUTOMATED DIOXIN CLEANUP SYSTEM (S/N:401059) WITH SUPPLY, DELIVERY AND INSTALLATION OF SPARE PART(S) UNDER EMB-ERLSD-ECMU</t>
  </si>
  <si>
    <t>PAMANA IP CDD MOTHER PROPOSAL FOR COVID 19 RESPONSE CEAC IMPLEMENTATION IN SANTIAGO AGUSAN DEL NORTE</t>
  </si>
  <si>
    <t>PAMANA IP CDD MOTHER PROPOSAL FOR COVID 19 RESPONSE CEAC IMPLEMENTATION IN LORETO AGUSAN DEL SUR</t>
  </si>
  <si>
    <t>PAMANA IP CDD MOTHER PROPOSAL FOR COVID 19 RESPONSE CEAC IMPLEMENTATION IN VERUELA AGUSAN DEL SUR</t>
  </si>
  <si>
    <t>CONSTRUCTION OF DRAINAGE CANAL</t>
  </si>
  <si>
    <t>Office Supplies and Consumables</t>
  </si>
  <si>
    <t>ITDI-200457_REBID - SUPPLY AND DELIVERY OF ACETONITRILE</t>
  </si>
  <si>
    <t>PREVENTIVE MAINTENANCE AND CALIBRATION MERCURY ANALYZER, ANALYTIC JENA AG (S/N:K170A0158) WITH SUPPLY, DELIVERY AND INSTALLATION OF SPAREPARTS UNDER EMB-ERLSD-ECMU</t>
  </si>
  <si>
    <t>PAMANA IP CDD MOTHER PROPOSAL FOR COVID 19 RESPONSE CEAC IMPLEMENTATION IN SAN FRANCISCO ANAO AON SURIGAO DEL NORTE</t>
  </si>
  <si>
    <t>R/M of Multi-Purpose Center Phase V</t>
  </si>
  <si>
    <t>Procurement of Supplies for Reproduction of Learning Modules of Tuguegarao East Central School (2)</t>
  </si>
  <si>
    <t>RFQ No. SJADS SVP 2020-27: PROCUREMENT OF SPAREPARTS FOR RESCUE VEHICLE MAINTENANCE</t>
  </si>
  <si>
    <t>PREVENTIVE MAINTENANCE AND CALIBRATION SERVICES OF ONE (1) WATER PURIFICATION SYSTEM (SMART-N-SERIES) (S/N:19050328N30VF) WITH SUPPLY, DELIVERY AND INSTALLATION OF CONSUMABLES UNDER EMB-ERLSD-ECMU</t>
  </si>
  <si>
    <t>ITDI-200399_REBID - SUPPLY AND DELIVERY OF VARIOUS LABORATORY SUPPLIES</t>
  </si>
  <si>
    <t>PAMANA IP CDD MOTHER PROPOSAL FOR COVID 19 RESPONSE CEAC IMPLEMENTATION IN TRENTO AGUSAN DEL SUR</t>
  </si>
  <si>
    <t>PAMANA IP CDD MOTHER PROPOSAL FOR COVID 19 RESPONSE CEAC IMPLEMENTATION IN TUBOD SURIGAO DEL NORTE</t>
  </si>
  <si>
    <t>PAMANA IP CDD MOTHER PROPOSAL FOR COVID 19 RESPONSE CEAC IMPLEMENTATION IN ALEGRIA SURIGAO DEL NORTE</t>
  </si>
  <si>
    <t>PAMANA IP CDD MOTHER PROPOSAL FOR COVID 19 RESPONSE CEAC IMPLEMENTATION IN SISON SURIGAO DEL NORTE</t>
  </si>
  <si>
    <t>Purchase of IT Equipments</t>
  </si>
  <si>
    <t>SUPPLY AND DELIVERY OF LABORATORY CONSUMABLES UNDER EMB-ERLSD-ENVIRONMENTAL LABORATORY SERVICES SECTION (ELSS) INORGANICS LABORATORY UNIT</t>
  </si>
  <si>
    <t>ITDI-200476_REBID - SUPPLY AND DELIVERY OF HARDNESS PROFICIENCY TESTING SAMPLE</t>
  </si>
  <si>
    <t>ITDI-200480_REBID - SUPPLY AND DELIVERY OF HP 680 INK CARTRIDGE</t>
  </si>
  <si>
    <t>Continuation of Road Concreting at Brgy. Caniugan Sta. Teresita, Cagayan</t>
  </si>
  <si>
    <t>Supply and Delivery of Sari-Sari Store Package to Beneficiaries of Livelihood Seeding Program - Negosyo Serbisyo sa Barangay of DTI Cavite (Gen. Emilio Aguinaldo, Mendez and Ternate)</t>
  </si>
  <si>
    <t>Supply of Labor and Materials for the Emergency Repair of POPCOM IV-A Regional Office Roof</t>
  </si>
  <si>
    <t>RFQ No.SJADS SVP 2020-26: CATERING SERVICES (MDC QUARTERLY MEETING, BARANGAY SECRETARIES MEETING &amp; RE-ORIENTATION OF KATARUNGANG PAMBARANGAY (KP) LAWS)</t>
  </si>
  <si>
    <t>SUPPLY AND DELIVERY OF LABORATORY CONSUMABLES UNDER EMB-ERLSD-ELSS-INORGANICS LABORATORY UNIT</t>
  </si>
  <si>
    <t>PRINTING OF ENTRY POINTS FOR MAINSTREAMING EBA UNDER EMB-CCD RFQ NO. EMB-PROP.-SHOPPING-G-121-8-20-2020</t>
  </si>
  <si>
    <t>PAMANA IP CDD MOTHER PROPOSAL FOR COVID 19 RESPONSE CEAC IMPLEMENTATION IN NASIPIT AGUSAN DEL NORTE</t>
  </si>
  <si>
    <t>Supply and delivery of one (1) lot Various MEDICAL, DENTAL &amp; LABORATORY SUPPLIES - 3rd Qtr 2020 PCGH</t>
  </si>
  <si>
    <t>Installation of Sliding Glass Window and Door</t>
  </si>
  <si>
    <t>Supply and delivery of one (1) lot Various DRUGS &amp; MEDICINES - 3rd Qtr 2020 PCGH</t>
  </si>
  <si>
    <t>ELECTRICAL SUPPLIES FOR THE SERVER AND NETWORK BACKUP POWER TO PREVENT POWER DISRUPTION</t>
  </si>
  <si>
    <t>PAGASA SA MAKATI 2020</t>
  </si>
  <si>
    <t>Supply and Delivery of 12,844 bags Hybrid Rice Seeds TOTAL ABC: 62,507,200.00</t>
  </si>
  <si>
    <t>PURCHASE OF DUPLICATING MACHINES FOR DEPED MODULES</t>
  </si>
  <si>
    <t>ITDI-200520 - SUPPLY, DELIVERY AND INSTALLATION OF SPLIT TYPE INVERTER AIRCON</t>
  </si>
  <si>
    <t>PURCHASE OF IT EQUIPMENT TO BE USED AT MLGOO OFFICE</t>
  </si>
  <si>
    <t>ITDI-200556 - SUPPLY AND DELIVERY OF KJELTABS FOR NITROGEN ANALYIS</t>
  </si>
  <si>
    <t>Electric fan / exhaust fan</t>
  </si>
  <si>
    <t>RFQ196 Reproduction and book binding of manuals to be used during Smart VA Training on September 22-23, October 6-7  and October 27-28, 2020</t>
  </si>
  <si>
    <t>Supply and Delivery of 58,618 bags Urea Fertilizer ABC: 58,618,000.00</t>
  </si>
  <si>
    <t>Supply and delivery of one (1) lot Various COMMON OFFICE SUPPLIES - 3rd Qtr 2020</t>
  </si>
  <si>
    <t>Supply and delivery of one (1) lot Various COMMON COMPUTER SUPPLIES - 3rd Qtr. 2020</t>
  </si>
  <si>
    <t>PROCUREMENT OF MATERIALS FOR RIPRAPING OF BARANGAY ROAD</t>
  </si>
  <si>
    <t>Procurement of Agricultural Supplies</t>
  </si>
  <si>
    <t>Folding tables</t>
  </si>
  <si>
    <t>ITDI-200475_REBID - SUPPLY AND DELIVERY OF EMSURE AND SUPRAPUR</t>
  </si>
  <si>
    <t>RFQ198 Provision of Van Hire For use of CV-CHD Staff during conduct of monitoring and other related actvities</t>
  </si>
  <si>
    <t>Shipping of PPEs, Food Packs, Vitamins and Hygiene Kits C34 for Support to BPAs and Other Similar Facilities in relation to COVID-19</t>
  </si>
  <si>
    <t>SUPPLY AND DELIVERY OF STANDARD FOR AIR ANALYSES UNDER EMB-ERLSD-ELSS-INORGANICS LABORATORY</t>
  </si>
  <si>
    <t>Supply and Delivery of 18 sets Ionizer Filter with Carbon, as per BSP Specifications</t>
  </si>
  <si>
    <t>Procurement of Hepatitis B vaccine and other drugs and medicine</t>
  </si>
  <si>
    <t>RFQ&gt;&gt;&gt; Reproduction of Learners Modules | Quezon Hill NHS | ABC=P156,600.00</t>
  </si>
  <si>
    <t>RFQ-022-2020 - PROCUREMENT OF SUPPLY AND DELIVERY OF MATERIALS/TOOLS USED FOR MISCELLANEOUS REPAIR/MAINTENANCE OF DPWH COMPOUND CAPIZ 1ST DISTRICT ENGINEERING OFFICE.</t>
  </si>
  <si>
    <t>Repair and Construction of the new Distribution on line by Purok 2,3,4 at the Barangay Tubod, Isabel, Leyte</t>
  </si>
  <si>
    <t>Procurement of Consultancy Services (Individual) for the Review and Evaluation of the DSWD Self-Instructional Manual for Social Workers in Assessing Discernment of CICL</t>
  </si>
  <si>
    <t>PCADG-5020399000-1151-2020 Other Supplies Expenses (PCADG)</t>
  </si>
  <si>
    <t>PRINTING AND DELIVERY OF MODULES/SELF LEARNING KITS/ACTIVITY SHEETS FOR GRADE 7 TO GRADE 12 FOR WEEK 3</t>
  </si>
  <si>
    <t>RFQ-021-2020 - PROCUREMENT OF MATERIALS FOR THE REPAINTING OF BRIDGES, GUARDRAILS, DRAINAGE MARKERS, CURBS AND GUTTER AND SIGNAGES POSTS IN CONNECTION WITH THE REPAIR/MAINTENANCE OF NATIONAL ROADS AND</t>
  </si>
  <si>
    <t>Construction of E-Library and Teen Center, Barangay Puspus</t>
  </si>
  <si>
    <t>Purchase of Motorized Banca with Complete Accessories (20 Feet Fiber Boat)</t>
  </si>
  <si>
    <t>SUPPLY AND DELIVERY OF DIGITAL BAROMETER UNDER EMB-ERLSD-ENVIRONMENTAL LABORATORY SERVICES SECTION (ELSS)-ECMU</t>
  </si>
  <si>
    <t>RFQ&gt;&gt;&gt; Reproduction of Modules | Manuel Roxas ES | ABC=P224,217.88</t>
  </si>
  <si>
    <t>RFQ-024-2020 - PROCUREMENT OF ROAD SIGNS FOR ROAD SAFETY TO BE USED IN THE REPAIR/MAINTENANCE OF NATIONAL ROADS AND BRIDGES (DISTRICTWIDE)</t>
  </si>
  <si>
    <t>Procurement of Supplies MOOE Subsidy for LIGURON ES</t>
  </si>
  <si>
    <t>IBA ANG MAY ALAM 2020</t>
  </si>
  <si>
    <t>LINGGO NG KABATAAN 2020</t>
  </si>
  <si>
    <t>OFFICE EQUIPMENT AND MATERIALS PR 0310</t>
  </si>
  <si>
    <t>Purchase of Relief Goods</t>
  </si>
  <si>
    <t>RFQ-023-2020 - PROCUREMENT AND DELIVERY OF COMPUTERS AND ACCESSORIES TO BE USED IN THE PLANNING &amp; DESIGN SECTION, CONSTRUCTION SECTION AND OFFICE OF THE DISTRICT ENGINEER IN CONNECTION WITH THE CONDUC</t>
  </si>
  <si>
    <t>PCADG-5029902000-1152-2020 Printing &amp; Publication Expenses (PCADG)</t>
  </si>
  <si>
    <t>Iba Integrated School Supplemental APP</t>
  </si>
  <si>
    <t>IT EQUIPMENT AND ACCESSORIES PR 0284</t>
  </si>
  <si>
    <t>PCADG-5020301000-1153-2020  Office Supplies Expenses (PCADG)</t>
  </si>
  <si>
    <t>PCADG-5020399000-1159-2020	Other Supplies Expenses (TDPCR)</t>
  </si>
  <si>
    <t>PCADG-5020399000-1161-2020	Other Supplies Expenses (TDPCR)</t>
  </si>
  <si>
    <t>PCADG-5020301000-1158-2020	Office Supplies Expenses (TDPCR)</t>
  </si>
  <si>
    <t>Rehabilitation/Improvement of MP Building</t>
  </si>
  <si>
    <t>PCADG-5020301000-1156-2020	Office Supplies Expenses (TDPCR)</t>
  </si>
  <si>
    <t>PCADG-5029902000-1162-2020	Printing &amp; Publication Expenses (PIO)</t>
  </si>
  <si>
    <t>Supply and delivery of one (1) lot Various REAGENTS - 3rd Qtr 2020 PCGH</t>
  </si>
  <si>
    <t>Purchase of two (2) units mini tablet.</t>
  </si>
  <si>
    <t>PCADG-5029902000-1160-2020 Printing &amp; Publication Expenses (TDPCR)</t>
  </si>
  <si>
    <t>Lubricants for use in the various Service Vehicle of the Maintenance Section (Equipment Services Unit), DPWH Isabela City DEO</t>
  </si>
  <si>
    <t>ITDI-200540 - SUPPLY AND DELIVERY OF POLO JACKET</t>
  </si>
  <si>
    <t>PCADG-5020305000-1155-2020	Food Supplies Expenses (PCADG)</t>
  </si>
  <si>
    <t>PCADG-5020305000-1157-2020	Food Supplies Expenses (TDPCR)</t>
  </si>
  <si>
    <t>PCADG-5020399000-1165-2020	Other Supplies Expenses (PIO)</t>
  </si>
  <si>
    <t>IONIZER WITH AIR PURIFIER AND HUMIDIFIER PR 0314</t>
  </si>
  <si>
    <t>C20204469 Helmet &amp; Pack Bag for use of PGO</t>
  </si>
  <si>
    <t>Procurement of ICT and Laboratory Equipment</t>
  </si>
  <si>
    <t>Const. Materials for use in the Repair/Rehab. of Office of the District Engineer Phase II at DPWH Construction Section, Isabela City DEO</t>
  </si>
  <si>
    <t>ITDI-200552 - SUPPLY AND DELIVERY OF BACTERIAL CULTURE</t>
  </si>
  <si>
    <t>C20204465 IT equipment for PPOC OPERATION CENTER</t>
  </si>
  <si>
    <t>IMPROVEMENT OF DRAINAGE CANAL - 20% EDF (2016, 2018, 2019)</t>
  </si>
  <si>
    <t>PCADG-5020301000-1150-2020   Office Supplies Expenses (PCADG)</t>
  </si>
  <si>
    <t>C20204458 Air Purifier, Aerosol/shield stand &amp; UV disinfectant for DOH requirement for renewal of licence for DDNH Carmen Zone</t>
  </si>
  <si>
    <t>C20204436 Trashbag for DDNH Carmen Zone</t>
  </si>
  <si>
    <t>Const. Materials for use in the Repair/Rehab. of Office of the District Engineer Phase I at DPWH Construction Section, Isabela City DEO</t>
  </si>
  <si>
    <t>PRINTING AND DELIVERY OF MODULES/SELF LEARNING KITS/ACTIVITY SHEETS FOR GRADE 1 TO GRADE 12 FOR WEEK 3</t>
  </si>
  <si>
    <t>Supply and Delivery of Pre-Fab Solar Panels</t>
  </si>
  <si>
    <t>OFFICE SUPPLIES PR 0314</t>
  </si>
  <si>
    <t>ITDI-200539 - SUPPLY AND DELIVERY OF LAPTOP AND ACCESSORIES</t>
  </si>
  <si>
    <t>Supplies needed for Domestic Works NCII Training</t>
  </si>
  <si>
    <t>C20204472 Spare Parts for  use of PADO-Administrative Division with Plate No. SGM-123 NIssan Frontier 4X2</t>
  </si>
  <si>
    <t>PCADG-5020301000-1163-2020	Office Supplies Expenses (PIO)</t>
  </si>
  <si>
    <t>Equipment needed for Domestic Works NCII Training</t>
  </si>
  <si>
    <t>Flood Light</t>
  </si>
  <si>
    <t>PCADG-5020305000-1164-2020	Food Supplies Expenses (PIO)</t>
  </si>
  <si>
    <t>Supply and Delivery of Office Equipment’s, Supplies and Consumables for UEP Laoang Campus.</t>
  </si>
  <si>
    <t>Tools needed for Domestic Works NCII Training</t>
  </si>
  <si>
    <t>UPLB-I-025-09-20 SUPPLY AND DELIVERY OF CONSTRUCTION MATERIALS AND ELECTRICAL SUPPLIES FOR UHO</t>
  </si>
  <si>
    <t>Insecticide (Dengue)</t>
  </si>
  <si>
    <t>ITDI-200545- SUPPLY AND DELIVERY OF ACETYLENE GAS REFILL AND ARGON GAS REFILL</t>
  </si>
  <si>
    <t>Purchased of Suppliee for learning materials</t>
  </si>
  <si>
    <t>Motorcycle</t>
  </si>
  <si>
    <t>20OH0162-Proposed Repair/Rehabilitation of UPMO-Flood Control Management Cluster Office, NCR Compound, 2nd St. Port Area, Manila</t>
  </si>
  <si>
    <t>2020-185-I PROCUREMENT AND DELIVERY OF VARIOUS LABORATORY SUPPLIES FOR THE 3RD  QUARTER OF CY 2020 UNDER ILD</t>
  </si>
  <si>
    <t>ITDI-200554 - SUPPLY AND DELIVERY OF VARIOUS OFFICE SUPPLIES</t>
  </si>
  <si>
    <t>For the Used of COA Office 2nd Quarter Operation</t>
  </si>
  <si>
    <t>Supply and Delivery of 400 pcs. Analog Telephone Sets with LCD, as per BSP Specifications</t>
  </si>
  <si>
    <t>Bond paper, short, 8 1/2 x 11 etc. PR-2020-6542-0025</t>
  </si>
  <si>
    <t>Raincoats with logo PR-2020-1011-0245</t>
  </si>
  <si>
    <t>Center table L51, 75W 40.5, H 21.50 PR-2020-1011-0254</t>
  </si>
  <si>
    <t>Concreting of Barangay Road</t>
  </si>
  <si>
    <t>PCADG-5020399000-1154-2020	Other Supplies Expenses (PCADG)</t>
  </si>
  <si>
    <t>BACOLOD BRANCH - 7 TONNER LOBBY TYPE AIRCON</t>
  </si>
  <si>
    <t>Procurement of COVID Supplies and Equipment</t>
  </si>
  <si>
    <t>ITDI-200551 - SUPPLY AND DELIVERY OF SYRINGE AND PIPET TIPS</t>
  </si>
  <si>
    <t>Procurement of Three (3) Years Pest Control Services at PAGCOR Main Corporate Office and PAGCOR Corporate Annex Office</t>
  </si>
  <si>
    <t>Supply and Provision of Tires for GSIS La Union Branch Office (February-December 2020)</t>
  </si>
  <si>
    <t>Procurement of Construction Materials And Supplies for ROAD WIDENING</t>
  </si>
  <si>
    <t>20CSZ020 - Consulting Services for the Feasibility Study and Detailed Engineering Design of the Proposed Retarding Basin in Tigum-Aganan River in Iloilo</t>
  </si>
  <si>
    <t>Printing of Modules</t>
  </si>
  <si>
    <t>BangUN : 60	Deliveries Freight and hauling  for Bangun implementation in province of Sulu for 2020</t>
  </si>
  <si>
    <t>BangUN : Freight and hauling for Bangun implementation in province of Tawi-Tawi for 2020</t>
  </si>
  <si>
    <t>Procurement of Office Supplies for the 3rd Quarter</t>
  </si>
  <si>
    <t>BangUN : Freight and hauling to transport , To be used for Bangun implementation in province of Basilan for 2019</t>
  </si>
  <si>
    <t>20CSZ007 - Consulting Services for Engineering Design and Special Studies of DPWH Infrastructure projects CY 2020</t>
  </si>
  <si>
    <t>C20204473 Drugs &amp; Medicines for PSWDO Clinic</t>
  </si>
  <si>
    <t>Const. Materials for use in the Improvement and Completion of MPB &amp; Facilities at DPWH Construction Section, Isabela City DEO Phase III</t>
  </si>
  <si>
    <t>20CSZ018 - Consulting Services for the Detailed Engineering Design of Flood Control and River Improvement of Mapangi River (Regions IX and X)</t>
  </si>
  <si>
    <t>Construction of Day Care Center 2020</t>
  </si>
  <si>
    <t>20CSZ022 - CONSULTING SERVICES FOR THE QUALITY ASSURANCE CONSULTANT IN THE CONDUCT OF CIVIL WORKS PROJECT ASSESSMENT/INSPECTION IN VISAYAS-MINDANAO AREA</t>
  </si>
  <si>
    <t>20CSZ021 - CONSULTING SERVICES FOR THE QUALITY ASSURANCE CONSULTANT IN THE CONDUCT OF CIVIL WORKS PROJECT ASSESSMENT/INSPECTION IN LUZON AREA</t>
  </si>
  <si>
    <t>Supply and Delivery of One (1) Lot Various Machinery and Equipment</t>
  </si>
  <si>
    <t>Supply and Delivery of One (1) Lot Various Materials for the Repair/Maintenance of RHU Building</t>
  </si>
  <si>
    <t>Construction of Perimeter Fence (Right Side)</t>
  </si>
  <si>
    <t>Supply and Delivery of of Various Commodities for the Children Beneficiaries of Supplementary Feeding Program of the 1st District of Ilocos Sur</t>
  </si>
  <si>
    <t>ITDI-200553 - SUPPLY AND DELIVERY OF BUTERALDEYDE/BUTANAL</t>
  </si>
  <si>
    <t>Installation of Streetlights (ABBAG)</t>
  </si>
  <si>
    <t>DA7-09-STO-U-20-3084: Procurement of 571 bags of Hybrid White Corn Seeds</t>
  </si>
  <si>
    <t>Delivery receipt form PR-2020-1095-0012</t>
  </si>
  <si>
    <t>Purchase of CCTV Camera to be Used at Barangay San Antonio Ogbon</t>
  </si>
  <si>
    <t>Proposed Pathwalk</t>
  </si>
  <si>
    <t>REHABILITATION/IMPROVEMENT OF BARANGAY PLAZA</t>
  </si>
  <si>
    <t>SW-1008-2020-0111</t>
  </si>
  <si>
    <t>DA7-09-STO-U-20-3082: Procurement of Various Inorganic Fertilizer</t>
  </si>
  <si>
    <t>DA7-09-STO-U-20-3083: Procurement of Various Chemicals</t>
  </si>
  <si>
    <t>20GOI0001: Purchase/Installation of Weighbridge Equipment for CY 2020 - MSR Quirino Ave. and Alabang Viaduct</t>
  </si>
  <si>
    <t>P.R. # 20-0062 - Supply &amp; delivery of C.I. Fittings for subdivision interconnection works for Fatima Homes Subdivision, San Roque.</t>
  </si>
  <si>
    <t>Sign pen (0.5 mygel, black) etc. PR-2020-1032-0036</t>
  </si>
  <si>
    <t>Concreting of Barangay Road West</t>
  </si>
  <si>
    <t>Procurement of Construction Supplies and Materials for the Riprapping of Road Canal</t>
  </si>
  <si>
    <t>Procurement of Various Prepaid Cellular Cards</t>
  </si>
  <si>
    <t>SUPPLY AND DELIVERY OF CONSTRUCTION MATERIALS (2nd Posting)</t>
  </si>
  <si>
    <t>OPT-510A (black color) etc. PR-2020-1032-0042</t>
  </si>
  <si>
    <t>20-08-0702 3-in-1 Biometric time attendance (face recognition, proximity card, fingerprint)</t>
  </si>
  <si>
    <t>2020-184-I PROCUREMENT FOR THE SUPPLY AND DELIVERY OF 10,000 KILOGRAMS MOLASSES UNDER OAP CY 2020</t>
  </si>
  <si>
    <t>400 Reams A4 Bond Paper</t>
  </si>
  <si>
    <t>Procurement of One (1) unit Heavy Equipment (Payloader)</t>
  </si>
  <si>
    <t>Supply and Delivery of One (1) Lot Various Chemical &amp; Filtering Supplies (AMWSS)</t>
  </si>
  <si>
    <t>Supply &amp; Delivery of Materials for the Construction of Perimeter Fence (8 Span)(SAN DIONISIO)</t>
  </si>
  <si>
    <t>20GFO0036 - Purchase of Office Equipment for use in Planning &amp; Design Section</t>
  </si>
  <si>
    <t>REHABILITATION OF WATER SYSTEM</t>
  </si>
  <si>
    <t>20GFO0035 - Purchase of Office Accessories &amp; Fixtures for use in Planning &amp; Design Section</t>
  </si>
  <si>
    <t>Supply &amp; Delivery of Materials for the Extension of Public Comfort Room(SAN DIONISIO)</t>
  </si>
  <si>
    <t>SVP PUR20-07-0665 Procurement of Mattress Foam, etc. for Dept. Pay Patient Services, PGH</t>
  </si>
  <si>
    <t>DA7-09-FOD-C-20-3130: Procurement of 306 bags of GM Hybrid Yellow Corn Seeds</t>
  </si>
  <si>
    <t>Procurement of Ink and Master Roll</t>
  </si>
  <si>
    <t>REHABILITATION OF BARANGAY ROADS</t>
  </si>
  <si>
    <t>CONSTRUCTION OF ISUMBO ELEMENTARY SCHOOL MULTI-PURPOSE HALL</t>
  </si>
  <si>
    <t>Supply &amp; Delivery of Materials for the Installation of Streetlights (Poblacion Sur)</t>
  </si>
  <si>
    <t>Purchase of Rescue Vehicle (Recondition Van)-SAN DIONISIO</t>
  </si>
  <si>
    <t>20GFO0034 - Purchase of Office Accessories &amp; Fixtures for Capital Outlay-Release of Funds for the Preparation of Way Action Plan (RAP) and Environmental Impact Assessment (EIA) FY 2020 in Region V</t>
  </si>
  <si>
    <t>Second Quarter MOOE</t>
  </si>
  <si>
    <t>Supply and Delivery of One (1) Unit Negative Pressure Wound Therapy Machine (re-bid)</t>
  </si>
  <si>
    <t>Supply &amp; Delivery of Materials for Improvement / Repair of Bridges (Repair of Tsimber Bridges @ Cambinliw &amp; Layungan Area - Addt'l Works)</t>
  </si>
  <si>
    <t>Improvement of Barangay Road located at Barangay Bikil, Tubungan, Iloilo</t>
  </si>
  <si>
    <t>REHABILITATION OF HEAVY EQUIPMENT</t>
  </si>
  <si>
    <t>Supply and Delivery of One (1) Lot Various Materials for the Improvement of Man Power Development Center (Multi-Purpose Bldg. ABC Training Center)</t>
  </si>
  <si>
    <t>PCDP-2020-08-0321 : ECO BAG AND SAKO BAG</t>
  </si>
  <si>
    <t>Supplies and material Expenses</t>
  </si>
  <si>
    <t>purchased of 5000 module bag</t>
  </si>
  <si>
    <t>CONSTRUCTION OF DAY CARE CENTER-SITIO MINOROK, BRGY LIMULAN, KSK</t>
  </si>
  <si>
    <t>REHABILITATION OF DRAINAGE CANAL</t>
  </si>
  <si>
    <t>Procurement of Two (2) Units Risograph Machine Re-Bid</t>
  </si>
  <si>
    <t>SAAD-20-1237 (2 Failed Bidding): Procurement of 3,600 heads of Native Chicken</t>
  </si>
  <si>
    <t>Procurement of Materials in the Installation/Rehabilitation of Streetlight System Along National Road &amp; Provincial Road Re-Bid</t>
  </si>
  <si>
    <t>1,691 REAMS OF BONDPAPER (70GSM, A4) FOR DEPED DIVISION OF SAGAY CITY</t>
  </si>
  <si>
    <t>SUPPLIES AND MATERIALS FOR THE CONSTRUCTION OF DRAINAGE CANAL(PHASE I)</t>
  </si>
  <si>
    <t>1-LOT SUPPLY OF LABOR &amp; MATERIALS FOR THE CONSTRUCTION OF BARANGAY HEALTH STATION  (MOLOCABOC DIOT, BARANGAY MOLOCABOC, SAGAY CITY)</t>
  </si>
  <si>
    <t>SUPPLY AND DELIVERY OF SOUND SYSTEM EQUIPMENT</t>
  </si>
  <si>
    <t>MATERIALS FOR THE REHABILITATION OF BARANGAY  HEALTH STATION (BARANGAY SEWAHON I, SAGAY CITY)</t>
  </si>
  <si>
    <t>Purchase of Chainsaw</t>
  </si>
  <si>
    <t>2,135-UNITS OF CASSETTE RADIO FOR DEPED DIVISION OF SAGAY CITY</t>
  </si>
  <si>
    <t>ILOILO BRANCH - Signage</t>
  </si>
  <si>
    <t>2-UNITS PRINTER (A3, REFILL TANK WIRELESS/DUPLEX ALL IN  ONE) FOR DEPED DIVISION OF SAGAY CITY-REBID</t>
  </si>
  <si>
    <t>Procurement of   Road Sensors including Installation for the conduct of Automated Traffic Count under the National Road Traffic SurveyProgran (NRTSP),Bataan First District</t>
  </si>
  <si>
    <t>Rehabilitation of Madarang-Bulala-Leguey Farm-to-Market Road Salcedo, Ilocos Sur</t>
  </si>
  <si>
    <t>CONSTRUCTION OF DRAINAGE CANAL BRGY. STA. MARIA, KALAMANSIG, SK</t>
  </si>
  <si>
    <t>Construction of Farmer's Multi-Purpose Building at Brgy. Lucbuban, Salcedo, Ilocos Sur</t>
  </si>
  <si>
    <t>REHABILITATION OF SCHOOL CLINIC</t>
  </si>
  <si>
    <t>SELF - SKILLS ENHANCEMENT AND LEADERSHIP FORMATION - PUBLIC WORKS, MAINTENANCE AND UTILITIES</t>
  </si>
  <si>
    <t>JARO BRANCH - Safety Barriers</t>
  </si>
  <si>
    <t>Fabrication and Installation of Eighty (80) Units of Aquaponics System</t>
  </si>
  <si>
    <t>ILOILO BRANCH - ATM (Camera, Cassettes &amp; Divert Cassettes)</t>
  </si>
  <si>
    <t>Repair and Maintenance of Motor Vehicles - Ambulance &amp; DR Vehicles (Spareparts)</t>
  </si>
  <si>
    <t>20FF0096 (Re-Ad) - Construction of Multi-Purpose Building (Covered Court), Barangay Lugsad, Calabanga, Camarines Sur</t>
  </si>
  <si>
    <t>Supply and Delivery of FSP Advocacy Bag</t>
  </si>
  <si>
    <t>20GIB0044: Purchase/delivery of Grasscutter Blade and Spark Plug for use of Grasscutters.</t>
  </si>
  <si>
    <t>Construction of 2-Classroom Building at Lidlidda National High School, Poblacion Sur, Lidlidda, Ilocos Sur</t>
  </si>
  <si>
    <t>Printing and Binding of ECCD Worksheets for Child Development Children 2020</t>
  </si>
  <si>
    <t>Purchase of ICT Equipment for MDRRMO</t>
  </si>
  <si>
    <t>Repair and Maintenance of MDRRM Truck (Spareparts)</t>
  </si>
  <si>
    <t>VARIOUS LABORATORY FACILITIES &amp; EQUIPMENT FOR AEMSMDH</t>
  </si>
  <si>
    <t>2nd Invitation for the Supply and Delivery of Lot 2- Split Type Aircon, Lot 3-Steel Upright 4 Doors Chiller and Lot 4-Gasoline Generator</t>
  </si>
  <si>
    <t>Construction of Farmer's Multi-Purpose Building at Brgy. Abuor, Narvacan, Ilocos Sur</t>
  </si>
  <si>
    <t>MOOE</t>
  </si>
  <si>
    <t>Supply and Delivery of One (1) Lot Various Materials for the Fabrication of Cabinets and Painting of the same (MCRO)</t>
  </si>
  <si>
    <t>2nd Invitation for the Supply and Delivery of 1 unit Drone Sprayer</t>
  </si>
  <si>
    <t>REHABILITATION OF WATER SYSTEM (MALINAO TO CANITUAN MAINLINE)</t>
  </si>
  <si>
    <t>Various Medical Supplies for the use at CSR Section of NOPH (B-129-2020)</t>
  </si>
  <si>
    <t>Delivery of Various Office Equip, ICT Equip, Communication Equip, Furniture &amp; Fixtures and Other Property, Plant &amp; Equipment (NP/PB 20-0940)</t>
  </si>
  <si>
    <t>Construction of Multi-Purpose Building (Municipal Hall) Phase 2, Botolan, Zambales</t>
  </si>
  <si>
    <t>ISC-20-0340-B PURCHASE OF FAX MACHINE</t>
  </si>
  <si>
    <t>Procurement of Services for the Transport and Disposal of Hazardous Waste under ITB No. SV20-07-025COR</t>
  </si>
  <si>
    <t>Supply and Delivery of One (1) Lot Various Office Equipment</t>
  </si>
  <si>
    <t>OFFICE EQUIPMENT-AIR CONDITION</t>
  </si>
  <si>
    <t>Purchase/supply of various CVO"s Paraphernalias</t>
  </si>
  <si>
    <t>AMIA-20-3092:Procurement of Office Supplies to be used in the Planning, Monitoring and Evaluation Division</t>
  </si>
  <si>
    <t>Rehabilitation/ Improvement of Line canal</t>
  </si>
  <si>
    <t>Construction of School Facilities at Narvacan National Central High School, Narvacan, Ilocos Sur</t>
  </si>
  <si>
    <t>Delivery of various materials for the Construction of Multi-Purpose Session Hall</t>
  </si>
  <si>
    <t>Supplementary Budget for Printing of SLMModules 2020</t>
  </si>
  <si>
    <t>Supply and Delivery of Satellite Phone for use of  Sanguniang Bayan Office in the Municipality of Calayan, Province of Cagayan</t>
  </si>
  <si>
    <t>Repair and Maintenance of Day Care Center Brgy. Polo, Dolores, Punong, Kilo-Kilo, Masalukot, Devilla, Ipil &amp; Banogbog</t>
  </si>
  <si>
    <t>Supply and delivery of Bamboo for official use on FPSSD; Brackishwater Unit - Technology Demonstration Project</t>
  </si>
  <si>
    <t>Supply and delivery of uniform and search lights of Bantay Dagat for official use of Mabundo and Ditangol Marine Fish Sanctuary</t>
  </si>
  <si>
    <t>Supply and delivery of Order of Payment Forms and Certificate of Clearance Forms for the issuance of certificate of clearance for CFV and reportorial requirements</t>
  </si>
  <si>
    <t>Supply and delivery of Vehicle parts and accessories for the official use in the Repair/Maintenance of RP Vehicle</t>
  </si>
  <si>
    <t>Supplementary Budget for Printing of Self Learning 2020</t>
  </si>
  <si>
    <t>Riprapping of brgy. road @  Sitio Aguada San Teodoro,Mabini,Batangas</t>
  </si>
  <si>
    <t>ITDI-200296 - SUPPLY AND DELIVERY OF INK CARTRIDGE HP# 61 BLACK AND COLOR</t>
  </si>
  <si>
    <t>CONSTRUCTION OF WATER SYSTEM</t>
  </si>
  <si>
    <t>Construction of Flood Control at Brgy. Sorioan, Salcedo, Ilocos Sur</t>
  </si>
  <si>
    <t>ITB No. SJdB-2020-008: Construction of a Barangay Health Station (BHS) at Brgy. Atabay</t>
  </si>
  <si>
    <t>Educational and Office Supplies</t>
  </si>
  <si>
    <t>SELF - SKILLS ENHANCEMENT AND LEADERSHIP FORMATION - SPECIAL ACTION GROUP</t>
  </si>
  <si>
    <t>REHABILITATION OF MATERIAL RECOVERY FACILITIES @ BRGY. DOLOROSA</t>
  </si>
  <si>
    <t>RFQ 8-20-20</t>
  </si>
  <si>
    <t>GSO-20-0923-B PURCHASE OF DESKTOP COMPUTER</t>
  </si>
  <si>
    <t>Supply, Delivery and Installation of 4 Modules of Grouper Cages (Fixed Type) with Grouper Fingerlings</t>
  </si>
  <si>
    <t>Printing of Modules Grade 7 to Grade 10.</t>
  </si>
  <si>
    <t>CONSERVATION &amp; RESTORATION OF GABALDON BUILDING</t>
  </si>
  <si>
    <t>Const./Impvt. of Feeding Facilities Brgy. Haguimit, Labo, Kilo-Kilo, Tambangan &amp; Lusok</t>
  </si>
  <si>
    <t>Purchase /supply of Saftey Paraphernalias</t>
  </si>
  <si>
    <t>Rehab. &amp; Inst. of Electricity of Tanod Outpost</t>
  </si>
  <si>
    <t>Construction of Potable Water Supply System ( Drilling for test well ) at Brgy. Polo, Alcantara</t>
  </si>
  <si>
    <t>Supply and delivery of Boat materials as BFAR 3 Assistance to Fisherfolk in Bagac, Bataan</t>
  </si>
  <si>
    <t>PURCHASE2020</t>
  </si>
  <si>
    <t>ITDI-200335 - SUPPLY AND DELIVERY OF HP 61 TONER CARTRIDGE, TRI-COLOR</t>
  </si>
  <si>
    <t>ITDI-200351 - SUPPLY AND DELIVERY OF COPPER SULFATE</t>
  </si>
  <si>
    <t>2020-08-0183 - PROCUREMENT OF OFFICE SUPPLIES AND CONSUMABLES FOR USE IN THE OPERATION OF BUKIDNON 3RD DEO (3RD QUARTER CY 2020)</t>
  </si>
  <si>
    <t>IMPROVEMENT OF DAY CARE CENTER</t>
  </si>
  <si>
    <t>INVITATION TO BID FOR PROCUREMENT OF MATERIALS AND RENTAL OF EQUIPMENT FOR IMPROVEMENT OF MULTI-PURPOSE BUILDING (IMPROVEMENT/CONSTRUCTION OF PERIMETER FENCE)</t>
  </si>
  <si>
    <t>PURCHASE of PPE, FIRST AID SUPPLIES, EQUIPMENT</t>
  </si>
  <si>
    <t>Procurement of 1 Unit Airconditioner</t>
  </si>
  <si>
    <t>Rehabilitation/ Improvement of Multi-purpose hall</t>
  </si>
  <si>
    <t>Clozapine 100mg</t>
  </si>
  <si>
    <t>ECG METAL AND RUBBER BULB</t>
  </si>
  <si>
    <t>Procurement of 2 Units Hot &amp; Cold Water Dispenser</t>
  </si>
  <si>
    <t>Procurement of 5 Units Orbit Fan</t>
  </si>
  <si>
    <t>Detailed Engineering Design Preparation on the Construction of Tudela Gym On-Grid Solar Power System</t>
  </si>
  <si>
    <t>RFQ For Office Supplies use - Maximino Laurete CS</t>
  </si>
  <si>
    <t>Procurement of smart gen controller, battery charger, battery terminals, and supply of battery solution for Baifa Genset.</t>
  </si>
  <si>
    <t>Acquisition of Registered Seeds</t>
  </si>
  <si>
    <t>Purchase of Heavy Duty Copier (DepEd BAIS)</t>
  </si>
  <si>
    <t>DRILLING OF TWO (2) EXPLORATORY/PRODUCTION WELLS FOR BENITO SOLIVEN WATER DISTRICT</t>
  </si>
  <si>
    <t>Supply and Delivery of Materials for the Rehabilitation of Multi-Purpose Drying Pavement at Sitio Slide</t>
  </si>
  <si>
    <t>Medicine Cabinet</t>
  </si>
  <si>
    <t>INSTALLATION OF WATER SYSTEM LEVEL 1</t>
  </si>
  <si>
    <t>Supply and Delivery of Food Commodities to be utilized as Food for Work</t>
  </si>
  <si>
    <t>SUPPLY, DELIVERY AND INSTALLATION OF INDOOR SIGNAGES (SSS ANGELES BRANCH)</t>
  </si>
  <si>
    <t>Purchase of IT Equipment (for DepEd Elementary)</t>
  </si>
  <si>
    <t>Supply and delivery of Leafcasting Machine (2nd Posting)</t>
  </si>
  <si>
    <t>Repair and Maintenance of RP Vehicle (Ford Ranger Pick up with plate no. SKN 610)</t>
  </si>
  <si>
    <t>FABRICATION OF WINDOW GRILLS</t>
  </si>
  <si>
    <t>Multi purpose Court Concreting &amp; Fencing</t>
  </si>
  <si>
    <t>Supply and Delivery of Regional Office Bulletin Board Supplies and Materials</t>
  </si>
  <si>
    <t>ILD-20-2344(R1): Procurement of Other Supplies to be used in the Laboratories in M. Velez</t>
  </si>
  <si>
    <t>Procurement of Marine/Fisheries Equipment, LGU-CMMRO, Baybay City, Leyte</t>
  </si>
  <si>
    <t>Acquisition of Office Supplies, SO</t>
  </si>
  <si>
    <t>Purchase of Workbooks for Day Care Children and Child Development Workers</t>
  </si>
  <si>
    <t>REQUEST FOR A QUOTATION - MAINTENANCE OF MUNICIPAL AMBULANCE 345</t>
  </si>
  <si>
    <t>improvement of draiange system-lordsville, brgy. tambo, lipa city</t>
  </si>
  <si>
    <t>Purchase of IT supplies for the use of the different offices of the Municipality</t>
  </si>
  <si>
    <t>Supply and delivery of various office supplies for official use of Operations and Research Division</t>
  </si>
  <si>
    <t>Procurement of Laptops for Regional Office Use</t>
  </si>
  <si>
    <t>Procurement of Security Services for the month of July to December 2020</t>
  </si>
  <si>
    <t>Supply and Delivery of Materials for the Rehabilitation of Multi-Purpose Building (Tanod Outpost)</t>
  </si>
  <si>
    <t>Purchase of Equipment and Supplies for ICT and Electronic Classes (DepEd BAIS)</t>
  </si>
  <si>
    <t>Procurement of Janitorial Supplies for Building Preventive Maintenance</t>
  </si>
  <si>
    <t>SUPPLY &amp; DELIVERY OF IT PARTS AND ACCESSORIES</t>
  </si>
  <si>
    <t>Preventive Maintenance of GC Instruments</t>
  </si>
  <si>
    <t>Procurement of Wireless Microphone</t>
  </si>
  <si>
    <t>Purchase of Livestocks for Agriculture Classes (DepEd BAIS)</t>
  </si>
  <si>
    <t>RPQKISJHS</t>
  </si>
  <si>
    <t>Supply and Delivery of IT Equipment to be used for the Local Expenditure Program/Annual Budget</t>
  </si>
  <si>
    <t>REPAIR OF SGOD and CID CHIEF SUPERVISOR’S OFFICES</t>
  </si>
  <si>
    <t>Internet Connectivity Subscription (DepEd BAIS)</t>
  </si>
  <si>
    <t>PURCHASE OF FOOD ASSISTANCE - 095</t>
  </si>
  <si>
    <t>Supply and delivery of Microfilm Processing supplies and materials (2nd Posting)</t>
  </si>
  <si>
    <t>SUPPLY OF MATERIALS FOR THE COMPLETION OF SHORE PROTECTION</t>
  </si>
  <si>
    <t>Supply, Delivery, Dismantling and Installation of Ceiling Mounted Inverter ACU-Split Type 3 TR</t>
  </si>
  <si>
    <t>PhilRice-20-3171: Procurement of Agricultural Supplies (Inorganic Fertilizers) needed as inputs for the establishment of 10-ha rice seed production project at DA-BES, Ubay, Bohol for CY 2020</t>
  </si>
  <si>
    <t>Procurement of 930 bags Urea Fertilizer for rehabilitation and recovery of damage caused by Taal Eruption</t>
  </si>
  <si>
    <t>PURCHASE OF RICE FOR THE CONSTITUENTS WHO ARE AFFECTED BY THE PANDEMIC COVID-19</t>
  </si>
  <si>
    <t>IMPROVEMENT OF DRAINAGE SYSTEM - PUROK 4, BARANGAY TAMBO. LIPA CITY</t>
  </si>
  <si>
    <t>HOLHOG FLUME</t>
  </si>
  <si>
    <t>SUPPLY DELIVERY AND INSTALLATION INCLUDING COMMISSIONING  &amp; WARRANTY OF SOLAR STREETLIGHTS</t>
  </si>
  <si>
    <t>Purchase of Plastic Tables and Chairs for Day Care Children and Child Development Workers</t>
  </si>
  <si>
    <t>CONCRETING OF PATHWAY AT PARKVILLE PHASE 2, 3 &amp; 5 BRGY. SILANGAN 1, ROSARIO, CAVITE</t>
  </si>
  <si>
    <t>Purchase of 3 Units Corn Mill Transformer.</t>
  </si>
  <si>
    <t>PURCHASE OF RESCUE VEHICLE</t>
  </si>
  <si>
    <t>IMPROVEMENT OF MUNICIPAL SLAUGHTER HOUSE</t>
  </si>
  <si>
    <t>SMARTPHONE, CHILLER &amp; MOSQUITO LAMP</t>
  </si>
  <si>
    <t>Purchase of 3 Unit Air Conditioning Sets.</t>
  </si>
  <si>
    <t>Supply Delivery of Seedlings</t>
  </si>
  <si>
    <t>FOR MODULE REPRODUCTION</t>
  </si>
  <si>
    <t>Purchase of Equipment/Devices and Materials/Supplies for Agriculture and Carpentry (DepEd BAIS)</t>
  </si>
  <si>
    <t>Procurement of PVC Pipe and Cement to be used in the improvement of irrigation facilities at DA-RARES Tanay, Rizal</t>
  </si>
  <si>
    <t>CONCRETING OF FARM TO MARKET ROAD</t>
  </si>
  <si>
    <t>COVID-19 RESPONSE SUPPLIES/ MATERIALS</t>
  </si>
  <si>
    <t>Supply and Delivery of Office Supplies for Budget, HRMO and MSWD Office</t>
  </si>
  <si>
    <t>Procurement of 6 Wheeler Cargo Truck, LGU, Baybay City, Leyte</t>
  </si>
  <si>
    <t>Multifunction Cart</t>
  </si>
  <si>
    <t>Proposed construction for DOH-CHD-NM Covid/Personnel Entrance</t>
  </si>
  <si>
    <t>Various Infrastructure Projects</t>
  </si>
  <si>
    <t>PURCHASE OF ADDITIONAL EDUCATIONAL MATERIALS FOR CHILDREN</t>
  </si>
  <si>
    <t>Supplies for Provincial Office (COVID-19 OpCen)</t>
  </si>
  <si>
    <t>MATERIALS FOR REPRODUCTION OF SELF-LEARNING MODULES MANOLO DISTRICT</t>
  </si>
  <si>
    <t>Proposed Improvement of Covered Court @ Barangay Canlumampao, Toledo City</t>
  </si>
  <si>
    <t>Upgrading/Installation of CCTV</t>
  </si>
  <si>
    <t>LABOR AND MATERIALS FOR FABRICATION OF STAINLESS CUTOUT LETTERS SIGNAGE FOR RESEARCH DIVISION WITH LOGO AND REGIONAL ORGANIC AGRICULTURE R &amp; D CENTER BUILDING</t>
  </si>
  <si>
    <t>Procurement of 1 Unit Laptop</t>
  </si>
  <si>
    <t>PURCHASE OF RICE FOR THE CONSTITUENTS WHO ARE AFFECTED BY THE PANDEMIC COVID-19 THRU SK FUNDS</t>
  </si>
  <si>
    <t>Supply and Delivery of Various Agricultural Supplies for use of different research projects of research division</t>
  </si>
  <si>
    <t>Purchase of Learning Aids Materials and Supplies for Day Care Children and Child Development Workers</t>
  </si>
  <si>
    <t>Upgrading/Installation of Public Address System</t>
  </si>
  <si>
    <t>Procurement of 1 unit Drone Camera Aircraft with complete accessories</t>
  </si>
  <si>
    <t>Construction of Drainage and Widening of Roads</t>
  </si>
  <si>
    <t>Procurement and Delivery of Office and School Supplies/equipments and consumables</t>
  </si>
  <si>
    <t>Procurement of 1 unit Laptop to be used at Organic Agriculture Program Office</t>
  </si>
  <si>
    <t>PROPOSED REPAIR AND RENOVATION OF OPEN CANAL AND DE CLOGGING AT VARIOUS STREETS AT BRGY. BAGONG BAYAN, SAN PABLO CITY</t>
  </si>
  <si>
    <t>RFQ-DVO-PR.NO. 2008093 CAT. 80 FUEL, OIL, LUBRICANTS AND SERVICING</t>
  </si>
  <si>
    <t>CONSTRUCTION OF WATER SYSTEM (2 UNIT RESERVOIR L=1.20M WD=1.20M HT=1.20M)</t>
  </si>
  <si>
    <t>CPAR-20-3148: Procurement of Other Supplies to be used in support to the conduct of Community-Based Participatory Research on Rice-Based Farming System in the Municipality of Ubay...</t>
  </si>
  <si>
    <t>Procurement of Medical Oxygen for the use of Ibajay District Hospital, Ibajay, Aklan</t>
  </si>
  <si>
    <t>Proposed Construction of the Material Recovery Facility  at Barangay San Nicolas, Don Carlos, Bukidnon (Straight Contract)</t>
  </si>
  <si>
    <t>SENIOR CITIZEN's OFFICE BUILDING</t>
  </si>
  <si>
    <t>SUPPLY, DELIVERY AND TESTING OF TWO (2)  UNITS 25 KVA DISTRIBUTION TRANSFORMER 13.2 KV/230V UNDER CORN PROGRAM</t>
  </si>
  <si>
    <t>Construction of Hand Washing Facility, Various Elem. School, Baybay City, Leyte</t>
  </si>
  <si>
    <t>Supply and Delivery of  Various Materials/Fittings</t>
  </si>
  <si>
    <t>MEALS AND SNACKS FOR THE PARTICIPANTS ON BASIC SEWING</t>
  </si>
  <si>
    <t>Fuel to be used for the Continues Operation &amp; Monitoring of COVID-19</t>
  </si>
  <si>
    <t>(PAO) REQUEST FOR QUOTATION (RFQ) For the Procurement of Office Supplies For the Provincial Agricultural Office--95,085.82</t>
  </si>
  <si>
    <t>Supply &amp; Delivery of materials to be used in the Construction of Perimeter Fence at Central Business District, Barangay Pinagsabangan I, Naujan, Oriental Mindoro</t>
  </si>
  <si>
    <t>RFQ-DVO-PR.NO. 2008094 CAT. 801 FUEL, OIL, LUBRICANTS AND SERVICING</t>
  </si>
  <si>
    <t>Supply and Delivering of Medicine</t>
  </si>
  <si>
    <t>RICE20-08-18-1046 Provide catering services during the conduct of FGD Briefing/Orientation of RRP Research Protocol and Procedure in Achieving Outputs.</t>
  </si>
  <si>
    <t>Procurement of Battery and Tires to be used of RP vehicle Isuzu Highlander SLG-280 under RAED Program</t>
  </si>
  <si>
    <t>Supply and Delivery of Agricultural supplies to be used in the implementation of BAR fund project ''Outscaling of Rice-based (Rice+duck) Farming System in Maragondon, Cavite</t>
  </si>
  <si>
    <t>REPAIR OF COA OFFICE</t>
  </si>
  <si>
    <t>For Printing and reproduction of modules of San Isidro national High School</t>
  </si>
  <si>
    <t>Concreting of Poblacion - Noro FMR</t>
  </si>
  <si>
    <t>Supply, delivery and installation of IV Track System</t>
  </si>
  <si>
    <t>Procurement of Communication Equipment for Disater Preparedness and Rescue Use, LGU-Tagudin, Ilocos Sur</t>
  </si>
  <si>
    <t>Purchase of One (1) Unit Brand-new Coaster (29 seaters)</t>
  </si>
  <si>
    <t>RFQ-DVO-PR.NO. 2008118 CAT. 49 PRINTED FORMS AND PRINTING SERVICES</t>
  </si>
  <si>
    <t>REPAIR OF CONFERENCE ROOM, STAFFHOUSE, EA OFFICE AND DRYER HOUSE</t>
  </si>
  <si>
    <t>Procurement of Office Supplies, LGU (various Offices), Baybay City, Leyte</t>
  </si>
  <si>
    <t>FOR PNP PATROL CAR,BFP FIRETRUCK AND 28IB VEHICLE USE.</t>
  </si>
  <si>
    <t>Bid No. 20-0413 - PROCUREMENT OF CONSTRUCTION MATERIALS - MEO OPERATIONS (CONSTRUCTION OF CONCRETE CANAL LINING - RIZAL STREET, BRGY. POBLACION, MARAGUSAN, DAVAO DE ORO)</t>
  </si>
  <si>
    <t>Rehabilitation of Old RHU and Birthing Center</t>
  </si>
  <si>
    <t>Purchase of Solar Lights</t>
  </si>
  <si>
    <t>Procurement of Laboratory supplies needed for the processing of VCO under BAR funded project</t>
  </si>
  <si>
    <t>Bid No. 20-0412 - PROCUREMENT OF CONSTRUCTION MATERIALS - MEO OPERATIONS (CONSTRUCTION OF DIKES ALONG RIVERBANKS/RIVERBANKS STABILIZAT</t>
  </si>
  <si>
    <t>(20_0244) MEDIA MONITORING SERVICES: FOR THE YEAR 2020</t>
  </si>
  <si>
    <t>Concreting of Brgy. Babuyan Road, Infanta, Pangasinan</t>
  </si>
  <si>
    <t>Kabataan Bayanihan</t>
  </si>
  <si>
    <t>REGRAVELLING AND DELIVERY OF EARTHFILL FOR BARANGAY ROADS</t>
  </si>
  <si>
    <t>REQUEST FOR A QUOTATION - FOR DISINFECTION AND DECONTAMINATION OF MUNICIPAL BUILDING, PUBLIC MARKET, MUNICIPAL QUARANTINE FACILITY, NATIONAL ROADS, BFP, PNP STATION, MUNICIPAL PLAZA AND OTHER PUBLIC B</t>
  </si>
  <si>
    <t>Fluid Bin Delivery Car</t>
  </si>
  <si>
    <t>Procurement and Delivery of one (1) Unit Brand New Rescue Vehicle</t>
  </si>
  <si>
    <t>RFQ-DVO-PR.NO. 2008058 CAT. 56 SPARE PARTS FOR LIGHT &amp; HEAVY EQUIPMENT</t>
  </si>
  <si>
    <t>Procurement of Fuel &amp; Oil, LGU-CAO, Baybay City, Leyte</t>
  </si>
  <si>
    <t>SUPPLY &amp; DELIVERY OF WATER DISPENSER</t>
  </si>
  <si>
    <t>Metal Cabinet</t>
  </si>
  <si>
    <t>Purchase of Two (2) Units Motorcycle.</t>
  </si>
  <si>
    <t>SUPPLY AND DELIVERY OF SEVEN (7) UNITS MOTORCYCLE</t>
  </si>
  <si>
    <t>CATERING SERVICES</t>
  </si>
  <si>
    <t>MABBALAT DRAINAGE CONTINUATION (NEAR POLEN BAHNI'S PLACE)</t>
  </si>
  <si>
    <t>Outstanding and Community</t>
  </si>
  <si>
    <t>Bid No. 20-0414 - PROCUREMENT OF CONSTRUCTION MATERIAL - MEO OPERATIONS (CONSTRUCTION OF CONCRETE CANAL LINING - RIZAL STREET, BRGY. POBLACION, MARAGUSAN, DAVAO DE ORO)</t>
  </si>
  <si>
    <t>RFQ-DVO-PR.NO. 2008049 CAT. 56 SPARE PARTS FOR LIGHT &amp; HEAVY EQUIPMENT</t>
  </si>
  <si>
    <t>Procurement of Various Plumbing Materials</t>
  </si>
  <si>
    <t>RFQ-DVO-PR.NO. 2008060 CAT. 80 FUEL, OIL, LUBRICANTS AND SERVICING</t>
  </si>
  <si>
    <t>Construction of  Drainage Canal</t>
  </si>
  <si>
    <t>SUPPLY &amp; DELIVERY OF OFFICE TABLE WITH TOP GLASS</t>
  </si>
  <si>
    <t>PROCUREMENT OF MEDICAL SUPPLIES FOR COVID19 PREPAREDNESS &amp; RESPONSE MEASURES</t>
  </si>
  <si>
    <t>Stainless Steel Cart</t>
  </si>
  <si>
    <t>Construction of Multi-Purpose Building (Brgy. Hall), Brgy. Linta-on, Baybay City Leyte</t>
  </si>
  <si>
    <t>Supply and Delivery of Digital Copyprinter for DepEd Buenavista</t>
  </si>
  <si>
    <t>Purchase of Construction Supplies and Materials</t>
  </si>
  <si>
    <t>For use in City Auditor's Office, Surigao City.</t>
  </si>
  <si>
    <t>PATHWAY OF BARANGAY</t>
  </si>
  <si>
    <t>Barangay Pantawid at Pamproteksyon para sa Pamayanan</t>
  </si>
  <si>
    <t>For the Construction of Drainage System (RC Pipe Culvert) at Barangay Cabayaoasan, Bugallon, Pangasinan</t>
  </si>
  <si>
    <t>Supply and Delivery of Various Materials for use in the Fabrication of Bridge Load Limit Signs for the Implementation of Maintenance of National Roads and Bridges</t>
  </si>
  <si>
    <t>PROCUREMENT OF OFFICE SUPPLIES FOR THE ADOPT-A-SCHOOL PROGRAM ACTIVITIES</t>
  </si>
  <si>
    <t>PURCHASE OF HARDWARE MATERIALS</t>
  </si>
  <si>
    <t>OTHER SUPPLIES</t>
  </si>
  <si>
    <t>Construction R.C. Water Reservoir</t>
  </si>
  <si>
    <t>Rehabilitation and Maintenance of CCTV &amp; Public Address System</t>
  </si>
  <si>
    <t>CONSTRUCTION OF SLOPE PROTECTION</t>
  </si>
  <si>
    <t>Purchase of IT Equipment (DepEd-Alburquerque District)</t>
  </si>
  <si>
    <t>Technology Kit: Provision of Peanut Seeds to Agrarian Beneficiaries of Valderrama, Antique</t>
  </si>
  <si>
    <t>RFQ-DVO-PR.NO. 2008063 CAT. 6 AUTO REPAIR SHOP</t>
  </si>
  <si>
    <t>Supply and Delivery of Three (3) Pressure/Volume Ventilator (3 in 1)</t>
  </si>
  <si>
    <t>REPLACEMENT OF TERMITE INFESTED WALL ST PQS-ILIGAN</t>
  </si>
  <si>
    <t>COMMON OFFICE SUPPLIES, CONSUMABLES, COMMON OFFICE EQUIPMENT, SCHOOL SUPPLIES AND JANITORIAL AND SECURITY SUPPLIES AND SERVICES, COMMON JANITORIAL SUPPLIES</t>
  </si>
  <si>
    <t>Other Supplies and Materials</t>
  </si>
  <si>
    <t>RFQ-DVO-PR.NO. 2008116 NO CATEGORY</t>
  </si>
  <si>
    <t>For the Construction and Fabrication of Signages at Barangay, Poblacion, Bugallon, Pangasinan</t>
  </si>
  <si>
    <t>SUPPLY AND DELIVERY OF FOOD SUPPLIES TO BE USED FOR THE  LSI, RETURNING OFW's, RHU PERSONNEL AND OTHER PESONNEL ASSIGNED AT COVID LIGTAS CENTER</t>
  </si>
  <si>
    <t>LOT Procurement of AIR CONDITIONING UNITS with Installation for the Use of DOPMC</t>
  </si>
  <si>
    <t>Pork, lean meat</t>
  </si>
  <si>
    <t>Procurement of one unit Mobile Water Filtration System</t>
  </si>
  <si>
    <t>2020-08-050 - Purchase of Diesel Fuel for Construction Section, DPWH-UKDEO</t>
  </si>
  <si>
    <t>SUPPLIES AND MATERIALS FOR REPRODUCTION OF MODULES</t>
  </si>
  <si>
    <t>CONSTRUCTION OF DRAINAGE SYSTEM</t>
  </si>
  <si>
    <t>Purchase of Office Supplies for BAC Office Use</t>
  </si>
  <si>
    <t>PEN-20-0969-NP(SV) Purchase of Office Supplies</t>
  </si>
  <si>
    <t>Procurement of Medical Supplies for the use of Dr. Rafael S. Tumbokon Memorial Hospital-EEDD, Kalibo, Aklan</t>
  </si>
  <si>
    <t>MPDO-2020-02</t>
  </si>
  <si>
    <t>20AH0028SVP	Supply and Delivery of Common Office and Janitorial Supplies for use in DPWH Pangasinan 2nd DEO</t>
  </si>
  <si>
    <t>Procurement of Water Meters with Flow Meter 2020</t>
  </si>
  <si>
    <t>Bid No. 20-0415 - PROCUREMENT OF CONSTRUCTION MATERIALS - MEO OPERATIONS (CONSTRUCTION OF DIKES ALONG RIVERBANKS/RIVERBANKS STABILIZATION - TIPNASAN CREEK, BARANGAY MAGCAGONG, MARAGUSAN, DAVAO DE ORO)</t>
  </si>
  <si>
    <t>REHABILITATION OF INWALOY-MAGULON ACCESS ROAD(NEGOTIATED PROCUREMENT)</t>
  </si>
  <si>
    <t>Catering services of training for seed growers (1)</t>
  </si>
  <si>
    <t>DISASTER RISK REDUCTION &amp; MANAGEMENT PROGRAMS, PROJECT &amp; ACTIVITIES</t>
  </si>
  <si>
    <t>20AH0027SVP	Supply and Delivery of Various Disinfection/Sanitation and Medical Supplies for use in DPWH-Pangasinan 2nd DEO</t>
  </si>
  <si>
    <t>Concreting of Quiray Road in Sitio Kadampat at Brgy. Bolo, Labrador, Pangasinan</t>
  </si>
  <si>
    <t>INSTALLATION OF WATER SYSTEM (BAWASA)</t>
  </si>
  <si>
    <t>LOT Procurement of T-SHIRT with PRINT for the Use of the Provincial Governor’s Office</t>
  </si>
  <si>
    <t>Procurement of Materials for the Concreting of E. Campos</t>
  </si>
  <si>
    <t>TPB-PR 2020.08.236 Toner</t>
  </si>
  <si>
    <t>Supply and Delivery of Meter Reader and Thermal Printer</t>
  </si>
  <si>
    <t>Procurement of Various Office Supplies &amp; Devices</t>
  </si>
  <si>
    <t>Construction Materials</t>
  </si>
  <si>
    <t>Supply and Delivery of Thirteen (13) Pulse Oximeter</t>
  </si>
  <si>
    <t>For the Clearing of Barangay Road at Barangay Cayanga, Bugallon, Pangasinan</t>
  </si>
  <si>
    <t>20AH0030SVP	Supply and Delivery of Various Project Logbook for use in the Construction Section</t>
  </si>
  <si>
    <t>LCPC Other Supplies and Material Expenses</t>
  </si>
  <si>
    <t>Supply and Delivery of Office Furnitures and Fixtures for Mount Kanlaon Natural Park</t>
  </si>
  <si>
    <t>Office Supplies and Devices for Face Shields Making</t>
  </si>
  <si>
    <t>20AH0029SVP	Supply and Delivery of Various Materials Logbook for use in Quality Assurance Section</t>
  </si>
  <si>
    <t>ICT OFFICE SUPPLIES</t>
  </si>
  <si>
    <t>Office and Computer Supplies and Equipment -SMD</t>
  </si>
  <si>
    <t>SUPPLY AND DELIVERY OF MOTORCYCLE INTENDED FOR SOLID WASTE MANAGEMENT OF THE BARANGAY POBLACION GARBAGE COLLECTION AND DISPOSAL/2020-001.</t>
  </si>
  <si>
    <t>20PL0126 - Construction of 2STY4CL (Modified Plan), Pantar Elementary School, Tabuk City, Kalinga</t>
  </si>
  <si>
    <t>LOT Procurement of MATERIALS for Use in the Construction of Potable Water System at Sitio Lungagon, Brgy. Lucatan, Tarragona, Davao Oriental</t>
  </si>
  <si>
    <t>PROCUREMENT OF MATERIALS FOR IMPROVEMENT OF PATHWAY</t>
  </si>
  <si>
    <t>Filling Materials (Dacal-Dacal)</t>
  </si>
  <si>
    <t>PURCHASE OF 3 UNITS OF TABLE TOP TYPE PHOTOCOPIER MACHINE</t>
  </si>
  <si>
    <t>Concreting of Sitio Labayao Brgy. Alangilan FMR</t>
  </si>
  <si>
    <t>INK (FOR PRINTING MODULE)</t>
  </si>
  <si>
    <t>ICT Equipment, Accessories and Paraphernalia</t>
  </si>
  <si>
    <t>Construction of Slope Protection and Line Canal @ Diversion Road, Bolod &amp; Terraplin</t>
  </si>
  <si>
    <t>Hiring of Service Vehicle for FGD Briefing/Orientation of RRP Research Protocol</t>
  </si>
  <si>
    <t>Bid No. 20-0417 - PROCUREMENT OF OFFICE EQUIPMENT - DEPED (BAGONG SILANG NATIONAL HIGH SCHOOL)</t>
  </si>
  <si>
    <t>Supply and Delivery of Pipes &amp; Fittings</t>
  </si>
  <si>
    <t>Purchase of Furniture for the repair of the Administrative Section</t>
  </si>
  <si>
    <t>Construction of Box Culvert at Sitio Apoler, Tobuan, Labrador, Pangasinan</t>
  </si>
  <si>
    <t>Supply and Delivery of Photocopying and School Supplies for Brgy. Poblacion, Toledo City</t>
  </si>
  <si>
    <t>Supply and Delivery of Tools and Equipment, Personal Protective Equipment and Construction Supplies</t>
  </si>
  <si>
    <t>Supply and Delivery of one (1) unit of Thermal Camera for PNOC EC Mine 3 Coal Project</t>
  </si>
  <si>
    <t>Delivery of Office Supplies and Equipments</t>
  </si>
  <si>
    <t>RFQ NO. 2020-07-050-0019 -Procurement of  IT Consumables for use in the different sections (Assistant District Engineer, Construction Section, HRAS, Finance Section and Planning &amp; Design Section) for</t>
  </si>
  <si>
    <t>RFQ-DVO-PR.NO. 2008122 NO CATEGORY</t>
  </si>
  <si>
    <t>Supply of Drugs and Medicines for Bontoc General Hospital</t>
  </si>
  <si>
    <t>JANITORIAL SUPPLIES</t>
  </si>
  <si>
    <t>Supply and Delivery of Common Office Supplies</t>
  </si>
  <si>
    <t>OFFICE SUPPLIES (AUGUST - OCTOBER)</t>
  </si>
  <si>
    <t>Bid No. 20-0416 - PROCUREMENT OF OFFICE EQUIPMENT - DEPED (LANGGAWISAN NATIONAL HIGH SCHOOL)</t>
  </si>
  <si>
    <t>20AH0031SVP	Repair/Maintenance of Various Survey Instruments at DPWH Pangasinan 2nd DEO</t>
  </si>
  <si>
    <t>SUPPLY AND DELIVERY OF CONSTRUCTION MATERIALS FOR IMPROVEMENT OF EVACUATION CENTER</t>
  </si>
  <si>
    <t>Donation for Barangay Office of San Juan</t>
  </si>
  <si>
    <t>Concreting of Litac – Namacalan Road at Brgy. Boboy, Agno, Pangasinan</t>
  </si>
  <si>
    <t>Supply and Delivery of Materials for Under Brushing &amp; Fencing Works with Concrete Post</t>
  </si>
  <si>
    <t>Reconstruction of Three (3) Barrel Reinforced Concrete Box Culvert</t>
  </si>
  <si>
    <t>Supply, Fabrication, and Installation of Multi-Functional Digital Score Board with Complete Accessories</t>
  </si>
  <si>
    <t>MEDICAL TOOLS &amp; EQUIPMENT for BHS NC II</t>
  </si>
  <si>
    <t>Office Supplies for Gradschool Programs AACCUP Accredetation</t>
  </si>
  <si>
    <t>Online Educational Materials</t>
  </si>
  <si>
    <t>laptop</t>
  </si>
  <si>
    <t>For extension support (Free-range chicken) in support to Urban gardening / conduct of Back to Basics: Scientific and sustainable livestock and poultry production in pangasinan</t>
  </si>
  <si>
    <t>Purchase of CCTV and Fire Alarm System for EIM NCII of SHS TVL and JHS TVE Program</t>
  </si>
  <si>
    <t>RFQ-DVO-PR.NO. 2007394 CAT. 6 AUTO REPAIR SHOP</t>
  </si>
  <si>
    <t>20CSN020; CONSULTING SERVICES FOR THE CONDUCT OF GEOTECHNICAL AND GEOLOGICAL SURVEY/ INVESTIGATIONS FOR THE CONSTRUCTION OF BENONI BRIDGE ALONG SURIGAO-DAVAO COASTAL ROAD, CARRASCAL, SURIGAO DEL SUR</t>
  </si>
  <si>
    <t>Supply and Delivery of Various ICT Equipment and Accessories</t>
  </si>
  <si>
    <t>IT/ICT Equipment and Accessories</t>
  </si>
  <si>
    <t>FOODSTUFF</t>
  </si>
  <si>
    <t>PURCHASE OF MEDICINES</t>
  </si>
  <si>
    <t>Supply and Delivery of Acrylic Sneeze Guard</t>
  </si>
  <si>
    <t>Supply and Delivery of Bamboo (Kawayan) and Nylon Rope</t>
  </si>
  <si>
    <t>Procurement and delivery of printer and various supplies for the reproduction of locally developed learning resources</t>
  </si>
  <si>
    <t>Purchase of Books</t>
  </si>
  <si>
    <t>PRINTING OF JOURNAL FOR QUALITY ASSURANCE TEACHING MANUAL (QATM)</t>
  </si>
  <si>
    <t>OFFICE EQUIPMENT (PRINTER)</t>
  </si>
  <si>
    <t>2nd Posting- Procurement of ICT Equipment</t>
  </si>
  <si>
    <t>20FF0103 - Concreting of Farm-to-Mill Roads, Zone 7, Brgy. Binanuaanan, Pili, Camarines Sur</t>
  </si>
  <si>
    <t>RFQ - FUEL OF VARIOUS VEHICLES</t>
  </si>
  <si>
    <t>REHABILITATION OF BARANGAY HALL</t>
  </si>
  <si>
    <t>Materials for Widening of Barangay Road (FTMR) Purok 5</t>
  </si>
  <si>
    <t>Supply and Delivery of Catering Services for the conduct Training Assesment of Brgy. Drug Clearing Program - DILG</t>
  </si>
  <si>
    <t>REHAB AND IMPROVVEMENT OF AURORA TO LEPANTO ROAD (GABIONS)</t>
  </si>
  <si>
    <t>20CSN021; CONSULTING SERVICES FOR THE CONDUCT OF GEOTECHNICAL AND GEOLOGICAL SURVEY/ INVESTIGATIONS FOR THE CONSTRUCTION OF TAGO - GAMUT BRIDGE ALONG SURIGAO - DAVAO COASTAL ROAD, TAGO, SURIGAO DEL SU</t>
  </si>
  <si>
    <t>Supply and Delivery of Office Supply and Consumable (ACCRE)</t>
  </si>
  <si>
    <t>Office Equipment and Accessories</t>
  </si>
  <si>
    <t>Supply and Delivery of Furniture &amp; Fixture for Mayors Office</t>
  </si>
  <si>
    <t>Supply and delivery of construction materials for the improvement of day care center @ Licor St., Poblacion Norte, Paniqui, Tarlac</t>
  </si>
  <si>
    <t>RFQ NO. 2020-07-046-0020-(SHOPPING) Procurement of  Common Office Supplies for use in the Maintenance Section for 3rd Quarter of CY 2020 of DPWH South Cotabato 1st District Engineering Office, General</t>
  </si>
  <si>
    <t>RFQ-DVO-PR.NO. 2008028 CAT. 6 AUTO REPAIR SHOP</t>
  </si>
  <si>
    <t>101-20-08-RFQ1052 - USE FOR MIO-CDIAP OPERATION (OFFICE SUPPLIES EXPENSES) 2ND QUARTER</t>
  </si>
  <si>
    <t>Procurement of Farm inputs and materials in the implementation of Organic Culture Program, Kalibo, Aklan- Re Posting</t>
  </si>
  <si>
    <t>20GGH0033 – Purchase of Asphalt Materials for use in the Repair and Maintenance of Various Road Sections of Iloilo 3rd DEO</t>
  </si>
  <si>
    <t>Purchase of 4 in 1 Printer Machines</t>
  </si>
  <si>
    <t>CONSTRUCTION OF CANAL COVER LOCATED AT ZONE 5 (MESTIZO RIVER) AT BARANGAY TAMAG, VIGAN CITY</t>
  </si>
  <si>
    <t>Supply and Delivery of Medical Supplies</t>
  </si>
  <si>
    <t>computer</t>
  </si>
  <si>
    <t>Construction of Concrete Bridge</t>
  </si>
  <si>
    <t>For use  at DPWH Quezon I DEO, Lucban, Quezon (Planning &amp; Design Section)</t>
  </si>
  <si>
    <t>Procurement of additional supplies and materials</t>
  </si>
  <si>
    <t>OFFICE EQUIPMENT SUPPLIES &amp; CONSUMABLES</t>
  </si>
  <si>
    <t>SUPPLY AND DELIVERY OF MATERIALS TO BE USED IN  INSTALLATION OF STREET LIGHTS, SITIO CAMIA, BARANGAY SAN PEDRO</t>
  </si>
  <si>
    <t>20GGH0035 – Purchase of Aggregate Base Coarse (Item 201) for the use of Resurfacing of Shoulder of National Roads</t>
  </si>
  <si>
    <t>101-20-08-RFQ1056 - USE FOR PNP OPERATIONS</t>
  </si>
  <si>
    <t>20GGH0034 – Purchase of Portland Cement, Chippings and Fine Aggregates for the Repair and Maintenance of various Road Sections of Iloilo 3rd DEO</t>
  </si>
  <si>
    <t>BARANGAY HALL ROOFING, STAIR &amp; TILES AT BARANGAY TAMAG, VIGAN CITY</t>
  </si>
  <si>
    <t>Purchase of Medical Supplies for use during the Social Hygiene Clinic (COVID-19) of the City Health Office, for the 3rd &amp; 4th Quarter</t>
  </si>
  <si>
    <t>CONSTRUCTION OF INFIRMARY ANNEX BUILDING</t>
  </si>
  <si>
    <t>Procurement of Generator Sets</t>
  </si>
  <si>
    <t>ITB No. SJdB-2020-009: Construction of a Barangay Health Station at Brgy. 1</t>
  </si>
  <si>
    <t>Concreting of Road / Pathwalk at Brgy. Flores, San Manuel, Pangasinan</t>
  </si>
  <si>
    <t>Construction &amp; Improvement of Concrete Pathway in Purok 8, Poblacion, Kolambugan, LDN</t>
  </si>
  <si>
    <t>office equipment</t>
  </si>
  <si>
    <t>Supply and Delivery of Fruit Tree and Forest Tree Seedlings</t>
  </si>
  <si>
    <t>SUPPLY AND DELIVERY OF VARIOUS RESCUE EQUIPMENT</t>
  </si>
  <si>
    <t>ITB No. 20-31 Procurement of Drugs and Medicines</t>
  </si>
  <si>
    <t>Provision/Rehabilitation of Drainage System w/ Catch Basin</t>
  </si>
  <si>
    <t>S1-IDP20-001 (PB2) - Supply and Delivery of PMS Spare Parts for Unit 1 &amp; 2 - 163kW Dale Perkins, 2006-TG1, 6 Cylinders of Itbayat DPP</t>
  </si>
  <si>
    <t>Procurement of Anti rabies vaccination</t>
  </si>
  <si>
    <t>Rehabilition of Concrete Foothpath Bridge</t>
  </si>
  <si>
    <t>NETWORK FIREWALL (5 MONS. LICENSE SUBSCRIPTION)</t>
  </si>
  <si>
    <t>PR No. 2020-0866 (Capungcol) Procurement of Anticeptics/Disinfections for RESU/HEMS Use</t>
  </si>
  <si>
    <t>REQUEST FOR SERVICES: FREIGHT/HANDLING AND OTHER CHARGES TO FURNISH TRANSPORTATION OF VARIOUS  SPAREPARTS, MATERIALS AND SUPPLIES FROM AFD WAREHOUSE, DAVAO CITY TO DINAGAT DPP</t>
  </si>
  <si>
    <t>Medical Supplies for LDDRM Office</t>
  </si>
  <si>
    <t>Materials for the Construction of Reservoir</t>
  </si>
  <si>
    <t>For use  at DPWH Quezon I DEO, Lucban, Quezon (Traffic Counting)</t>
  </si>
  <si>
    <t>101-20-08-RFQ1054 - USE FOR PNP OPERATIONS</t>
  </si>
  <si>
    <t>Construction of Well Source (6”diam. Casing, 54m depth)</t>
  </si>
  <si>
    <t>PROCUREMENT OF SCHOOL AND OFFICE SUPPLIES</t>
  </si>
  <si>
    <t>Procurement of Monoblock Chairs</t>
  </si>
  <si>
    <t>101-20-08-RFQ1051 - ACQUISITION OF HEAVY EQUIPMENT - TRANSIT MIXER</t>
  </si>
  <si>
    <t>Medical and other Laboratory Supplies (Rapid Test Kit)</t>
  </si>
  <si>
    <t>Procurement of Hardware and Construction Supplies for SAN RAFAEL NORTE</t>
  </si>
  <si>
    <t>Office Supplies and Devices</t>
  </si>
  <si>
    <t>SUPPLY AND DELIVERY OF CONSTRUCTION MATERIALS USE FOR CONSTRUCTION OF MULTI PURPOSE CENTER @ BARANGAY CEBULAN, ESPERANZA, AGUSAN DEL SUR</t>
  </si>
  <si>
    <t>Purchase of Tires</t>
  </si>
  <si>
    <t>For the Annual Physical Examination of the Women Employees of DPWH Quezon I DEO  (GAD)</t>
  </si>
  <si>
    <t>20DB0143 Construction of Multi-Purpose Building Phase II, Taal, Batangas</t>
  </si>
  <si>
    <t>RFQ-DVO-PR.NO. 2008027 CAT. 14 CONSTRUCTION SUPPLIES AND MATERIALS</t>
  </si>
  <si>
    <t>Procurement of Supplies and Equipment for Mooring/Unmooring Operations of LGU Jimenez</t>
  </si>
  <si>
    <t>FIXTURES</t>
  </si>
  <si>
    <t>INSTALLATION OF TRANSFORMER FOR USE OF THE MUNICIPAL RURAL HEALTH UNIT</t>
  </si>
  <si>
    <t>Purchase of Knapsack Sprayer (Stainless)</t>
  </si>
  <si>
    <t>Purchase of COVID-19 Protective Supplies</t>
  </si>
  <si>
    <t>Materials for the Construction of Reservoir and Collection Box</t>
  </si>
  <si>
    <t>CONCRETING OF BRGY ROAD</t>
  </si>
  <si>
    <t>Contract of Service for the Enhanced Medical Insurance of Job-Order Employees of the City Government of San Fernando, Pampanga for 2020-2021</t>
  </si>
  <si>
    <t>RFQ for Laboratory Chemicals, Tools and Supplies for the use of Dragon Fruit Peel Project of CHSI</t>
  </si>
  <si>
    <t>for D.A Office use</t>
  </si>
  <si>
    <t>Supply and Delivery of Food Supplies of Malnutrition Feeding Program - MNAO/RHU</t>
  </si>
  <si>
    <t>RFQ-DVO-PR.NO. 2008055 CAT. 14 CONSTRUCTION SUPPLIES AND MATERIALS</t>
  </si>
  <si>
    <t>20CSN023;CONSULTING SERVICES FOR THE GEOTECHNICAL AND GEOLOGICAL SURVEY/INVESTIGATIONS FOR THE CONSTRUCTION OF COLORADO BRIDGE ALONG CIRCUMFERENTIAL ROAD LEADING TO LAKE MAINIT, JABONGA, AGUSAN DEL NO</t>
  </si>
  <si>
    <t>Construction Supplies for repair and repaint of perimeter fence, replacement of busted in perimeter and offices and repair of air-con drain multipurpose Building</t>
  </si>
  <si>
    <t>20DB0144 Construction of Multi-Purpose Center, Brgy. Carsuche, Taal, Batangas</t>
  </si>
  <si>
    <t>Purchase of Well-Milled Commercial Rice</t>
  </si>
  <si>
    <t>Repair/Rehabilitation of Barangay Health Center 2 at Brgy. San Antonio, Binan City, Laguna</t>
  </si>
  <si>
    <t>Procurement of Solane for the use of Dr. Rafael S. Tumbokon Memorial Hospital-EEDD, Kalibo, Aklan</t>
  </si>
  <si>
    <t>Procurement of Medals &amp; Certificate Holder</t>
  </si>
  <si>
    <t>Procurement of Airconditioning Units</t>
  </si>
  <si>
    <t>Re-bidding for the Procurement  of Services for the Installation and Cable TV Subscription for CF-Bacolod for One (1) Year under SV20-06-002BACa-08</t>
  </si>
  <si>
    <t>Procurement of Appliances</t>
  </si>
  <si>
    <t>Supply and Delivery of Materials for the Construction of Barangay Multi-Purpose Hall, Sta. Maria</t>
  </si>
  <si>
    <t>PURCHASE OF I.C.T., FURNITURE AND FIXTURES AND OFFICE EQUIPMENT</t>
  </si>
  <si>
    <t>Supplies for August 2020</t>
  </si>
  <si>
    <t>74918_Supply &amp; Delivery of Various Construction Supplies</t>
  </si>
  <si>
    <t>CONSTRUCTION OF REINFORCED CONCRETE CULVERT AND STORM DRAIN, AGLIPAY ST., CENTRO, SAI</t>
  </si>
  <si>
    <t>Procurement of Computerization Program Phase I, Office Links (Treasurer, SYS, Assessor)</t>
  </si>
  <si>
    <t>Supply and delivery of construction materials for the concreting of pathway @ Sta. Rosa St., Poblacion Norte, Paniqui, Tarlac</t>
  </si>
  <si>
    <t>Construction of Open Canal at So. Poblacion, Barangay Sabang</t>
  </si>
  <si>
    <t>Construction of Senior Citizen Building at Brgy. Baluyot, Bautista, Pangasinan</t>
  </si>
  <si>
    <t>Supply and Delivery of Pre-Mix Asphalt and Emulsified Asphalt</t>
  </si>
  <si>
    <t>75009_Supply &amp; Delivery of Tire 10 x 20</t>
  </si>
  <si>
    <t>PR No. 2020-0844 (Cerro) Air Conditioning Unit</t>
  </si>
  <si>
    <t>Labor and Materials for the Installation of Electricity in a 3-Storey Building Extension of Bocaue Hills Elementary School at Batia, Bocaue, Bulacan</t>
  </si>
  <si>
    <t>Supply and Delivery of Gang Chair for Lobbies</t>
  </si>
  <si>
    <t>Materials for the  Re-blocking of  Roadway  at  So. Poblacion,   Barangay Sabang</t>
  </si>
  <si>
    <t>20HC0191- REHABILITATION OF THE ROAD DAMAGED BY EARTHQUAKE AT BRGY. BONBON, CLARIN, BOHOL</t>
  </si>
  <si>
    <t>SUPPLY AND DELIVERY OF CONSTRUCTION MATERIALS FOR WATER SYSTEM EXPANSION</t>
  </si>
  <si>
    <t>IT Accessories for office use</t>
  </si>
  <si>
    <t>for Mayor's Office use</t>
  </si>
  <si>
    <t>Procurement of Materials for Handwashing facilities for Jimenez Public Schools</t>
  </si>
  <si>
    <t>CONSTRUCTION OF DRAINAGE CANAL AT BARANGAY SAN JULIAN NORTE, VIGAN CITY</t>
  </si>
  <si>
    <t>101-20-08-RFQ1053 - USE FOR MEEDO / TERMINAL 3RD QUARTER</t>
  </si>
  <si>
    <t>RFQ-DVO-PR.NO. 2007193 CAT. 13 COMPUTER SUPPLIES AND MATERIALS</t>
  </si>
  <si>
    <t>Purchase of food supplies for the operation of Bahay Pag-Asa in the City of Binan, Laguna</t>
  </si>
  <si>
    <t>Supply and Delivery of Software and IT Equipment</t>
  </si>
  <si>
    <t>SUPPLY AND DELIVERY of Supplies of Drugs and Medicines for Official use of MHO 3rd Quarter 2020</t>
  </si>
  <si>
    <t>RFQ-DVO-PR.NO. 2008065 CAT. 39 MEDICAL SUPPLIES AND MATERIALS</t>
  </si>
  <si>
    <t>Procurement of various Medical Equipment</t>
  </si>
  <si>
    <t>Purchase of supplies for DOST02 Office use (September - December 2020)</t>
  </si>
  <si>
    <t>RFQ for Office Supplies and Materials to be used for the Dragon Fruit Peel Project of CHSI</t>
  </si>
  <si>
    <t>COVID Mitigation</t>
  </si>
  <si>
    <t>improvement of multi-purpose building</t>
  </si>
  <si>
    <t>RFQ-DVO-PR.NO. 2008130 CAT. JANITORIAL SUPPLIES AND MATERIALS</t>
  </si>
  <si>
    <t>IT EQUIPMENT</t>
  </si>
  <si>
    <t>LCWD-2020-025 Various Fittings – Regular Stocks (Re-Bid)</t>
  </si>
  <si>
    <t>Purchase of Office Supplies (Consumables)</t>
  </si>
  <si>
    <t>Procurement of Materials in the Improvement Municipal Public Market</t>
  </si>
  <si>
    <t>3rd Quarter Supplies of DOST Special Projects</t>
  </si>
  <si>
    <t>RFQ for Laboratory Equipment for the Dragon Fruit Peel Project of CHSI</t>
  </si>
  <si>
    <t>2nd &amp; 3rd Quarter 2020 IT Supplies not available at DBM</t>
  </si>
  <si>
    <t>REHABILITATION OF  HEALTH CENTER AT BARANGAY GUINHAWA TAYSAN BATANGAS</t>
  </si>
  <si>
    <t>Upgrading and Improvement of Kuli-kuli Road 3</t>
  </si>
  <si>
    <t>PR No. 2020-0868 (Lego) Procurement of IT Supplies and Peripherals.</t>
  </si>
  <si>
    <t>Purchase     1 SET of   LCD  Projector for Barangay Sabang</t>
  </si>
  <si>
    <t>Supply and Delivery of Thirty-One (31) licenses (perpetual) Adobe Acrobat Professional Desktop (latest version), with Media Kit, as per BSP Terms of Reference</t>
  </si>
  <si>
    <t>2020-RFQ-041 "PURCHASE OF LAPTOP AND DESKTOP COMPUTER"</t>
  </si>
  <si>
    <t>PIS Supplemental 2020</t>
  </si>
  <si>
    <t>20DB0145 Construction/Improvement of Multi-Purpose Building (Evacuation Center), Lemery, Batangas</t>
  </si>
  <si>
    <t>SUPPLY AND DELIVERY OF OFFICE EQUIPMENT UNDER QSU BACMADD2020-041</t>
  </si>
  <si>
    <t>Office Supplies and Equipment for Various Offices</t>
  </si>
  <si>
    <t>GENERAL REPAIR OF NISSAN NAVARA PICK-UP WITH STICKER OY-5094</t>
  </si>
  <si>
    <t>Amiodarone Hydrochloride 50mg/ml,3ml</t>
  </si>
  <si>
    <t>CONCRETING OF BARANGAY ROADS AT SITIO BALISKAR  BARANGAY STO. NIÑO TAYSAN BATANGAS</t>
  </si>
  <si>
    <t>Renovation of Customer Care Center of the Port of NAIA</t>
  </si>
  <si>
    <t>RFQ-DVO-PR.NO. 2008068 CAT. 69 SUBSCRIPTION</t>
  </si>
  <si>
    <t>Supplies for COVID-19 Activities</t>
  </si>
  <si>
    <t>PR No. 2020-0872 (Atillo) Provision of labor and materials for the Repair/Improvement of DOH EVCHD Legal Office Government Center, Candahug, Palo, Leyte</t>
  </si>
  <si>
    <t>Road Concreting, Phase II, Andico</t>
  </si>
  <si>
    <t>Supply and Delivery of Office Device and Printer Consumables in NIA INISAIP Office</t>
  </si>
  <si>
    <t>DTI-Pangkabuhayan sa pag Bangon at Ginhawa (DTI-PBG) : A Livelihood Seeding Program for Microenterprises</t>
  </si>
  <si>
    <t>Construction of Potable Water System, Brgy. Sta. Maria</t>
  </si>
  <si>
    <t>PRINTING OF MODULES</t>
  </si>
  <si>
    <t>RFQ-DVO-PR.NO. 2008114 CAT. 35 GROCERIES</t>
  </si>
  <si>
    <t>LED TV Flat Screen TV</t>
  </si>
  <si>
    <t>Heavy Duty Storage Tub (Small, Medium &amp; Large)</t>
  </si>
  <si>
    <t>PURCHASE OF OFFICE AND SCHOOL SUPPLIES FOR BACAY ES</t>
  </si>
  <si>
    <t>20DB0147 Construction of Elementary and Secondary Classrooms under the DepEd’s CY 2020 Basic Educational Facilities Fund- Construction of Classrooms, 2STY 6CL at Ananias C. Hernandez Memorial National</t>
  </si>
  <si>
    <t>Supply &amp; Delivery of Medical Supplies for Livestock Production</t>
  </si>
  <si>
    <t>Supply and delivery of Educational Materials and Supplies for Junior HS of Libona NHS as Supplemental for SY 2020-2021</t>
  </si>
  <si>
    <t>Contraction of Drainage Drainage System</t>
  </si>
  <si>
    <t>PROFESSIONAL SERVICES - MULTILINGUAL BASIC ONLINE SCRIPT</t>
  </si>
  <si>
    <t>Procurement and Delivery of Office/School Supplies, Materials and Consumables</t>
  </si>
  <si>
    <t>Procurement of Vehicle Repair and Maintenance under P.R.Nos. 1886-2020(City Environment &amp; Natural Resources Office- City Parks and Waterways Services Division),etc.-1Lot.</t>
  </si>
  <si>
    <t>RENOVATION OF MULTI-PURPOSE HALL</t>
  </si>
  <si>
    <t>Dismantling and Installation of Airconditioning Units</t>
  </si>
  <si>
    <t>2nd &amp; 3rd Quarter 2020 Office Supplies not available at DBM</t>
  </si>
  <si>
    <t>Construction of Farmer's Multipurpose Pavement with drainage system in various barangays</t>
  </si>
  <si>
    <t>Supply and Installation of Biometric Machine</t>
  </si>
  <si>
    <t>Purchase of Flash Drives as storage device of e-modules for UPVTC Students</t>
  </si>
  <si>
    <t>Supply &amp; Delivery of Medical Supplies</t>
  </si>
  <si>
    <t>Riprapping of Barangay Roads</t>
  </si>
  <si>
    <t>PROCUREMENT OF PHOTOCOPIER CARTRIDGE TONER</t>
  </si>
  <si>
    <t>Installation of Streetlights</t>
  </si>
  <si>
    <t>UPLB-RQ-8-108-20-GOODS SUPPLY AND DELIVERY OF FERTILIZERS FOR LA GRANJA</t>
  </si>
  <si>
    <t>Diazepam 5mg</t>
  </si>
  <si>
    <t>Continuation of Barangay Roads</t>
  </si>
  <si>
    <t>Construction of Farmer's Multipurpose Building Phase II at Brgy. Sta. Maria</t>
  </si>
  <si>
    <t>UPLB-RQ-8-107-20-GOODS SUPPLY AND DELIVERY OF AGRICULTURAL CHEMICALS FOR LA GRANJA</t>
  </si>
  <si>
    <t>Purchase of janitorial supplies- Mayor's Office, San Fabian, Pangasinan</t>
  </si>
  <si>
    <t>purchase of CCTV cameras with accessories</t>
  </si>
  <si>
    <t>Purchase of Medicines</t>
  </si>
  <si>
    <t>BPSU-MC-HSU Medical Supplies</t>
  </si>
  <si>
    <t>BPSU-MC-HSU COVID 19 PREVENTION</t>
  </si>
  <si>
    <t>PAYEO EVACUATION CENTER (PHASE II COMPLETION), BEDBED, MANKAYAN, BENGUET</t>
  </si>
  <si>
    <t>PROCUREMENT OF COMMON OFFICE SUPPLIES</t>
  </si>
  <si>
    <t>Stand Fan</t>
  </si>
  <si>
    <t>UPLB-RQ-8-105-20-GOODS SUPPLY AND DELIVERY OF FIXTURES FOR CDC</t>
  </si>
  <si>
    <t>Supply and Delivery of One (1) unit Generator Set, 200KVA (open Type w/ Complete Accessories and Battery)</t>
  </si>
  <si>
    <t>Supply and Delivery of Various Office Equipment needed for the Official Activities of the Office of the Assistant General Manager for Planning</t>
  </si>
  <si>
    <t>UPLB-RQ-8-106-20-RES SUPPLY AND DELIVERY OF FERTILIZER FOR LA GRANJA</t>
  </si>
  <si>
    <t>Procurement of Educational Materials/Supplies</t>
  </si>
  <si>
    <t>Supply and Delivery of Office Supplies for Reproduction of Modules (Different Offices)</t>
  </si>
  <si>
    <t>Supply and Delivery of Sand paper and Other Supplies</t>
  </si>
  <si>
    <t>Supply and Delivery of One (1) lot Various Supplies and Ingredients for Supplementary Feeding for Day Care Children</t>
  </si>
  <si>
    <t>Supply and Delivery of 4,347 pcs. Virus Transport Medium</t>
  </si>
  <si>
    <t>procurement of office supplies</t>
  </si>
  <si>
    <t>PROCUREMENT OF PRINTERS</t>
  </si>
  <si>
    <t>Supply and Delivery of Goods and Materials for CALAYAN DPP</t>
  </si>
  <si>
    <t>Supply and Delivery of Assorted Seedlings</t>
  </si>
  <si>
    <t>Procurement of Food Stuff</t>
  </si>
  <si>
    <t>Procurement of High Speed Sewing Machine &amp; Sewing Machine Motor for the use of Dr. Rafael S. Tumbokon Memorial Hospital-Linen Section, Kalibo, Aklan- Re Posting</t>
  </si>
  <si>
    <t>SUPPLY AND DELIVERY OF MEDICAL, DENTAL AND LABORATORY SUPPLIES</t>
  </si>
  <si>
    <t>Supply and Delivery of Various Bottle Inks used in Printing Various Documents  related to MMDA-Traffic Engineering</t>
  </si>
  <si>
    <t>20CSNE0002-CONSULTING SERVICES FOR THE CONDUCT OF SOIL EXPLORATION AND/OR GEOTECHNICAL INVESTIGATION     FOR THE PROPOSED CONSTRUCTION OF EVACUATION        CENTER – CLUSTER A</t>
  </si>
  <si>
    <t>Procurement of Automation Equipment</t>
  </si>
  <si>
    <t>Repair/Maintenance of Ravelled Areas and Transition of Shoulders along Binalonan-Asingan-Sta. Maria Road, Asingan Section and Mangaldan-Manaoag-Binalonan Road</t>
  </si>
  <si>
    <t>Emergency Repair - Tower Cab Glass Panel at Sangley Airport</t>
  </si>
  <si>
    <t>PROCUREMENT OF CUSTOMIZED DATA FILE FOLDER</t>
  </si>
  <si>
    <t>CONSTRUCTION OF BOX CULVERTS (SITIO BANCUDO, BGY. PULOT SHORE)</t>
  </si>
  <si>
    <t>2 units Desktop Computer</t>
  </si>
  <si>
    <t>Purhcase and Delivery of One (1) Unit of Laptop for Municipal Planning &amp; Development Coordinator Office</t>
  </si>
  <si>
    <t>EDUCATIONAL MATERIALS AND SUPPLIES</t>
  </si>
  <si>
    <t>PROCUREMENT OF VARIOUS SPARE PARTS FOR THE REPAIR AND MAINTENANCE OF TRUCKS AND SERVICE MOTORCYCLE</t>
  </si>
  <si>
    <t>Consumable goods/supplies for office use</t>
  </si>
  <si>
    <t>Purchase of School Supplies</t>
  </si>
  <si>
    <t>Training on the Improvement of Fisheries Post-Harvest Handling with emphasis on On-board and Fish Landing Site Practices for Sulu province under 2020 block grant</t>
  </si>
  <si>
    <t>Construction Materials Recovery Facilities (MRF)</t>
  </si>
  <si>
    <t>Improvement of Multi Purpose Center</t>
  </si>
  <si>
    <t>School Supplies</t>
  </si>
  <si>
    <t>Construction of Covered Court</t>
  </si>
  <si>
    <t>Repair/Maintenance of Ravelled Areas along Manila North Road and Carmen Juntion-Manat Road, Carmen, Rosales Section</t>
  </si>
  <si>
    <t>supply and delivery of office equipment for Community Hospital</t>
  </si>
  <si>
    <t>REQUEST FOR OFFICE SUPPLIES AND EQUIPMENT FOR SENIOR HIGH SCHOOL</t>
  </si>
  <si>
    <t>supply and delivery of office supplies for Community Hospital</t>
  </si>
  <si>
    <t>Purchase of Various Medical and Laboratory Supplies for Rural Health Unit of Mabini, Pangasinan</t>
  </si>
  <si>
    <t>Supply and Delivery of Hybrid Rice Seeds for use under Increase Adoption of High Quality Seeds (Hybrid Seeds Distributed).</t>
  </si>
  <si>
    <t>Conversion of Old ER to Malasakit Center, Expansion of Pharmacy &amp; Ultrasound Room</t>
  </si>
  <si>
    <t>Hands-on Training on Fish Pot and Traps Construction for Basilan province under 2020 block grant</t>
  </si>
  <si>
    <t>SUPPLY AND DELIVERY OF ONE (1) UNIT SERVICE VEHICLE (MOBILE AGRI-TECHNO CLINIC VEHICLE)</t>
  </si>
  <si>
    <t>Supply and delivery of 2 units of fish cages (for Marine Water) with 4 compartment of net cages for Tawi-Tawi Province under 2020 block grant</t>
  </si>
  <si>
    <t>Purchase of 1 unit Laptop core i5 10th gen (Touchscreen) for Visual Session Meeting and other Purposes</t>
  </si>
  <si>
    <t>Construction of Municipal Boundaty Arc</t>
  </si>
  <si>
    <t>Delivery of Office Supplies and Consumables</t>
  </si>
  <si>
    <t>Materials for Installation of Streetlights –Remerco Subdivision , Brgy. Zone I and Zone II</t>
  </si>
  <si>
    <t>2020-08-0170 Supply and Delivery of Various Office Supplies for DOH-DATRC City of Ilagan, Isabela</t>
  </si>
  <si>
    <t>Hands-on Training on Tilapia Culture and Organic  Feed Making for Lanao del Sur province under 2020 block grant</t>
  </si>
  <si>
    <t>For the use in the Liloan Covid Operation Center</t>
  </si>
  <si>
    <t>Supply and Delivery of Suppies and Materials for Training and seminar of POPCCEN</t>
  </si>
  <si>
    <t>Procurement of Reproduction Services</t>
  </si>
  <si>
    <t>Supply and Delivery One Transport Ventilator</t>
  </si>
  <si>
    <t>REQUEST FOR OFFICE SUPPLIES AND DEVICES FOR JUNIOR HIGH SCHOOL</t>
  </si>
  <si>
    <t>Construction and delivery of 2 units Motorized Boat for Seaweed Buying Station for Tawi-Tawi province under the 2020 block grant</t>
  </si>
  <si>
    <t>Supply and Installation of electrmechanical equipment's for Buted Pump station of Talugtug Water District</t>
  </si>
  <si>
    <t>PROCUREMENT OF DIGITAL EDUCATION SUPPORT PACKAGE FOR THE SDO-SAN JUAN CITY</t>
  </si>
  <si>
    <t>SUPPLY AND DELIVERY OF SUPPLIES FOR NATIONAL DISASTER RESILIENCE MONTH IN LINE WITH COVID-19 PREVENTION AND CONTROL</t>
  </si>
  <si>
    <t>Construction of Multi-Purpose Hall Brgy. Pambisan Munti</t>
  </si>
  <si>
    <t>Supply and Delivery of Office Equipment for Radyo Kamalindig</t>
  </si>
  <si>
    <t>Repair and Rehabilitation of Farm to Market Road</t>
  </si>
  <si>
    <t>supply and delivery of office supplies for City Mayor's Office</t>
  </si>
  <si>
    <t>Supply and Delivery of Materials for Improvement of Multi Purpose Building</t>
  </si>
  <si>
    <t>SUPPLY AND DELIVERY OF VARIOUS ELECTRICAL SPARE PARTS FOR 106 KW CUMMINS INTENDED FOR BOHOL 2 MINI GRID</t>
  </si>
  <si>
    <t>20CB-GSC-541	PURCHASE OF AGRICULTURAL SUPPLIES (TRUST FUND)</t>
  </si>
  <si>
    <t>Conversion of DBM ROV tubelights from conventional lights to LED lights</t>
  </si>
  <si>
    <t>Supply and Delivery Two (2) Pulse Oximeter, MRI Compatible</t>
  </si>
  <si>
    <t>supply and delivery of office supplies for City Budget Office</t>
  </si>
  <si>
    <t>Replacement of filter for Biotek Microplate Reader (EQP PAR-31)</t>
  </si>
  <si>
    <t>Installation of Solar Street Light (32 UNITS)</t>
  </si>
  <si>
    <t>PROCUREMENT OF FERTILIZER (OMAG)</t>
  </si>
  <si>
    <t>Repair/Maintenance of Drainage System along CSR K0008+479 – K0008+643, Calapan City</t>
  </si>
  <si>
    <t>EDUCATIONAL  SERVICES CONSULTANCY (September 1, 2020 - December 31, 2020)</t>
  </si>
  <si>
    <t>2500 kgs Hauling, Treatment</t>
  </si>
  <si>
    <t>2 unit Laptop</t>
  </si>
  <si>
    <t>RFQ- ELECTRICAL SUPPLIES</t>
  </si>
  <si>
    <t>20GPF0014: Supply and delivery of tires, vehicle parts &amp; accessory for service vehicle SLH 110/H1-5786 assigned at the Planning and Design Section.</t>
  </si>
  <si>
    <t>Training on Seaweed Farming, Proper Post-Harvest and Marketing for Maguindanao province under 2020 block grant</t>
  </si>
  <si>
    <t>PURCHASE OF MATERIALS FOR INSTALLATION OF STREETLIGHTS FROM NATIONAL ROAD TO ANHS (CAMPUS B)</t>
  </si>
  <si>
    <t>PROCUREMENT OF SPARE PARTS FOR THE REPAIR AND MAINTENANCE OF CHAINSAW AND GENERATOR SET AND VARIOUS GARBAGE TRUCK</t>
  </si>
  <si>
    <t>Supply and Delivery of Motorcycle for City Engineering Office</t>
  </si>
  <si>
    <t>To support the Other Supplies and Materials Expenses</t>
  </si>
  <si>
    <t>REQUEST FOR QUOTATION</t>
  </si>
  <si>
    <t>20CB-GSC-542	PURCHASE OF CONSTRUCTION MATERIALS (TRUST FUND)</t>
  </si>
  <si>
    <t>Supply and Delivery One Unit Spirometer, portable</t>
  </si>
  <si>
    <t>PURCHASE AND DELIVERY OF MATERIAL RECOVERY FACILITY (MRF) EQUIPMENT FOR ECO-BRICK PRODUCTION</t>
  </si>
  <si>
    <t>Purchase of Uniforms for BPSU Personnel - Mayor's Office</t>
  </si>
  <si>
    <t>Supply &amp; delivery of IT equipment and accessories</t>
  </si>
  <si>
    <t>Supply and Delivery of One (1) Pressure/Volume Ventilator (4 in 1)</t>
  </si>
  <si>
    <t>PROCUREMENT OF MEDICAL &amp; OTHER HEALTH RELATED EQUIPMENT (4) ITB No. 2020-34</t>
  </si>
  <si>
    <t>Purchase of Construction Materials for the Rehabilitation of Multi-purpose Building, BDF 2019, ADMIN</t>
  </si>
  <si>
    <t>Fabrication and delivery of 5 units Portable Smoke House for Tawi-Tawi Province under 2020 block grant</t>
  </si>
  <si>
    <t>Repair of Vehicle Body Parts and Accessories</t>
  </si>
  <si>
    <t>Supply and Delivery of Office Supplies for DILG, BMPS, Health, Assessor, MDRRM, Budget, SB Legislative and Engineering Office</t>
  </si>
  <si>
    <t>PROPOSED BARANGAY ROADS CONCRETING</t>
  </si>
  <si>
    <t>Supply and Delivery of Module Level 1 and Level 2</t>
  </si>
  <si>
    <t>20GBE0030: Furnishing &amp; Delivery of Traffic Paint for Guardrails along National Roads of DPWH-IFDEO</t>
  </si>
  <si>
    <t>Supply and delivery of 5 units noodle machine for Tawi-Tawi 2020 block grant</t>
  </si>
  <si>
    <t>FOOD STUFF 54IB 51,200.00</t>
  </si>
  <si>
    <t>Supply and delivery of 2 units of Weighing Scale for Seaweed Buying Station for Tawi-Tawi province under the 2020 block grant</t>
  </si>
  <si>
    <t>Other Supplies</t>
  </si>
  <si>
    <t>Honorarium of trainer for the conduct of Product Development/EnhancementTrainings</t>
  </si>
  <si>
    <t>Completion of Rizal Park, Barangay 2, Tanjay City</t>
  </si>
  <si>
    <t>20GPF0022: Supply and delivery of Grass cutters &amp; paraphernalia for use of Maintenance Section.</t>
  </si>
  <si>
    <t>Peroxygen Based Disinfectant</t>
  </si>
  <si>
    <t>Supply and delivery of 50 sets floating-monoline and 100 sets bottom-stake seaweed farm implements for Tawi Tawi province 2020 block grant</t>
  </si>
  <si>
    <t>19DP0089: Concreting of Farm-to-Market Road of Brgy. Manaol, Nagcarlan, Laguna</t>
  </si>
  <si>
    <t>Supply and Delivery of One (1) High Flow Therapy</t>
  </si>
  <si>
    <t>Supply and Delivery of Zoological Supplies and Feeds</t>
  </si>
  <si>
    <t>Bidding 19, 2020</t>
  </si>
  <si>
    <t>RFQ for Supply and Delivery of Store Appliances for Dairy Products Outlet</t>
  </si>
  <si>
    <t>PURCHASE OF NON-PERISHABLE GOODS FOR THE 10TH CYCLE SUPPLEMENTARY FEEDING PROGRAM IN MANKAYAN, BENGUET</t>
  </si>
  <si>
    <t>PROCUREMENT OF OFFICE SUPPLIES - MAYOR'S OFFICE</t>
  </si>
  <si>
    <t>Supply and delivery of 17,000 kgs quality seaweed seedlings/propagules for Tawi-Tawi province under the 2020 block grant</t>
  </si>
  <si>
    <t>Purchase of Office Equipment for Mayor's Office</t>
  </si>
  <si>
    <t>Purchase of Office Equipments and Materials</t>
  </si>
  <si>
    <t>Construction of Concrete Bench (Brgy. Lanao)</t>
  </si>
  <si>
    <t>Supply and Delivery of One (1) Patient Monitor  (MRI Compatible)</t>
  </si>
  <si>
    <t>CONSTRUCTION OF BLEACHER (PHASE 2)</t>
  </si>
  <si>
    <t>20GPF0019: Supply and delivery of tires, lubricants, various vehicle parts &amp; accessories for repair and preventive maintenance of service vehicles assigned at the Construction Section.</t>
  </si>
  <si>
    <t>Supply and Delivery of One (1) set Video Laryngoscope with  Monitor and Blades</t>
  </si>
  <si>
    <t>invitation to bid</t>
  </si>
  <si>
    <t>CDRRMO-/CHO- PROTECTIVE EQUIPMENT SUPPLIES</t>
  </si>
  <si>
    <t>Purchase of service vehicle for the Office of the Municipal Vice Mayor in Calumpit, Bulacan</t>
  </si>
  <si>
    <t>Purchase and delivery of bond papers for SHS modules production</t>
  </si>
  <si>
    <t>Purchase of Office Equipment for New Government Building</t>
  </si>
  <si>
    <t>For use in Equipment Pool and on Heavy Equipments, assigned in the PEO.</t>
  </si>
  <si>
    <t>Provision of Health Care Supplies for Kinder to Grade 6 Learners</t>
  </si>
  <si>
    <t>:  SUPPLY OF MATERIALS FOR LGU WATER  SYSTEM REPAIR AND MAINTENANCE</t>
  </si>
  <si>
    <t>PRINTING OF LEARNING ACTIVITY SHEETS (LAS) 3</t>
  </si>
  <si>
    <t>PROCUREMENT OF OFFICE SUPPLIES AND DEVICES</t>
  </si>
  <si>
    <t>Purchase of Additional Air-conditioning Units for New Government Building</t>
  </si>
  <si>
    <t>Supply and Install Painting Works, Electrical and Wall-Fiber Cement Board</t>
  </si>
  <si>
    <t>PROCUREMENT FOR OFFICE EQUIPMENT  P.R NO. 0810 SERIES 2020</t>
  </si>
  <si>
    <t>19DP0090: Modernization/Upgrading of Public Market, Nagcarlan, Laguna</t>
  </si>
  <si>
    <t>Fabrication and Delivery of 108 sets Fishpot for Tawi-Tawi Province under 2020 block grant</t>
  </si>
  <si>
    <t>Supply and Delivery of Construction Supplies and Materials</t>
  </si>
  <si>
    <t>Vehicle Hire</t>
  </si>
  <si>
    <t>SUPPLY AND DELIVERY OF PORTABLE RADIO FOR THE USE OF PGCOPS-PPD</t>
  </si>
  <si>
    <t>Procurement of Medical Supplies for Lianga District Hospital Nursing Service and Dental.</t>
  </si>
  <si>
    <t>PROCUREMENT OF 1 UNIT BRAND NEW PATIENT TRANSPORT VEHICLE WITH ACCESSORIES FOR DISASTER AND EMRGENCY RESPONSE OPERATIONS</t>
  </si>
  <si>
    <t>Fabrication and Installation of Barangay Signage with Acrylic Diffuser White 5mm at Tayud, Consolacion,Cebu</t>
  </si>
  <si>
    <t>Supply and Delivery of Hardware Materials and Electrical Supplies for the Installation of CT Scan at Camarines Sur Provincial Medical Center (CPMC) &amp; Libmanan Diagnostic Center</t>
  </si>
  <si>
    <t>Honorarium of trainer for the conduct of Gender Sensitivity Trainings</t>
  </si>
  <si>
    <t>Repair and Maintenance of Grand Starex with plate no.MN 9403</t>
  </si>
  <si>
    <t>Supply and Delivery of 45 sets Marine Gillnets for Tawi-Tawi Province under 2020 block grant</t>
  </si>
  <si>
    <t>Supply and Delivery of Water Service Connection Materials/Fittings</t>
  </si>
  <si>
    <t>Supply and delivery of Seaweed Buying Station facilities for Tawi-Tawi province under the 2020 block grant</t>
  </si>
  <si>
    <t>PROVISION OF AIRTIME FOR THE RADIO PROGRAM "HEADLINE ROXAS" OF LGU ROXAS, PALAWAN FOR SEPTEMBER TO DECEMBER 2020</t>
  </si>
  <si>
    <t>Supply and Delivery of Spareparts</t>
  </si>
  <si>
    <t>Conduct Cadastral Survey Service Project in the Municipality of Rosario, Cavite (Phase I)</t>
  </si>
  <si>
    <t>INVITATION TO BID FOR THE PROPOSED TYPICAL 1-STOREY WITH MEZZANINE FIRE STATION OF NOVELETA, CAVITE OF BFP REGION 4A, FOR FY 2020</t>
  </si>
  <si>
    <t>Rehabilitation/concreting of barangay road at Zone 4, 5 and 6 of Brgy. Coldit, Asingan, Pangasinan.</t>
  </si>
  <si>
    <t>Supply and Install Tile and Painting Works</t>
  </si>
  <si>
    <t>Procurement of 1 unit Ambulance</t>
  </si>
  <si>
    <t>Supply and Delivery of Dispensary Supplies and Chlorine for Municipal Health Office</t>
  </si>
  <si>
    <t>PURCHASE OF MATERIALS FOR THE COMPLETION OF SUBANEN BUILDING FOR COVID-19 ISOLATION FACILITY</t>
  </si>
  <si>
    <t>MATERIALS FOR THE IMPROVEMENT/REHABILITATION OF WATERWORKS SYSTEM at P-5, Calatcat,  Alubijid, Mis. Or.</t>
  </si>
  <si>
    <t>Procurement of Hardware &amp; Electrical Supplies for SOOC</t>
  </si>
  <si>
    <t>Supply and Delivery of 1 unit Transformer for use in Calayan High School – Main,  Calayan, Province of  Cagayan.</t>
  </si>
  <si>
    <t>PURCHASE OF MATERIALS FOR THE IMPROVEMENT OF BARANGAY HOLDING FACILITIES FOR COVID-19 LSI</t>
  </si>
  <si>
    <t>Concreting of Tagbino - Maglahos Provincial Road, Vallehermoso, Negros Oriental(S-189-2020)</t>
  </si>
  <si>
    <t>Purchase of Municipal Employees’ Nutritional Package-Relief Assistance due to Covid-19</t>
  </si>
  <si>
    <t>Procurement of Office Supplies for PGO-Information Technology Unit Office.</t>
  </si>
  <si>
    <t>Supply and Delivery of School Supplies (Malay College)</t>
  </si>
  <si>
    <t>Procurement of Goods for Construction Supplies &amp; Materials</t>
  </si>
  <si>
    <t>CONSTRUCTION OF FLOOD CONTROL ALONG AMMOWEG ELEMENTRY SCHOOL</t>
  </si>
  <si>
    <t>SUPPLY AND DELIVERY OF AUTOMATIC VOLTAGE REGULATOR INTENDED FOR POWER BARGE 116</t>
  </si>
  <si>
    <t>Request for quotation for procurement of printer</t>
  </si>
  <si>
    <t>Provision of 3 in 1 Scanner/Printer</t>
  </si>
  <si>
    <t>Construction of BDRRMO Command Center</t>
  </si>
  <si>
    <t>HO-PEM20-002 - Supply and Delivery of Hiking Backpack PPE</t>
  </si>
  <si>
    <t>Proposed rehabilitation &amp; de-clogging of drainage canal at Barangay VII-E, San Pablo City</t>
  </si>
  <si>
    <t>INFRA2020-RDW-022 Supply and Installation of Piezometers at Pulangi 4 HEP (Phase 2), Maramag, Bukidnon</t>
  </si>
  <si>
    <t>Procurement of Two (2) units Risograph Machine for Provincial Governors Office.</t>
  </si>
  <si>
    <t>PROCUREMENT OF TIRE FOR WHEEL LOADER</t>
  </si>
  <si>
    <t>SUPPLY AND DELIVERY OF DISINFECTANT SOLUTION for schools as preventive measure against COVID-19</t>
  </si>
  <si>
    <t>Procurement of Fuel for COA-Supervising Auditors Office Service Vehicle.</t>
  </si>
  <si>
    <t>Supply and Delivery of Office Equipment/Supply - Php 47,800.00</t>
  </si>
  <si>
    <t>Supply of Limestone for Road surfacing</t>
  </si>
  <si>
    <t>PROPOSED REHABILITATION OF MUNICIPAL GROUND (REAR PORTION) AND CONTINUATION OF DRAINAGE SYSTEM, GUIUAN MUNICIPAL GROUND, GUIMBAOLIBOT AVENUE, BARANGAY 09-A, GUIUAN, E. SAMAR</t>
  </si>
  <si>
    <t>Improvement of the Boardwalk, Luca, Tanjay City	(S-185-2020)</t>
  </si>
  <si>
    <t>HO-MSD20-015 - Supply and Delivery of Insulation Sheet, Varnish and Tubing</t>
  </si>
  <si>
    <t>RFQ for Supply and Delivery of 4 units Ice Cream Machine</t>
  </si>
  <si>
    <t>Site Development of MPRA at Poblacion I</t>
  </si>
  <si>
    <t>MATERIALS FOR THE FENCING OF MULTI PURPOSE HALL COMPOUND</t>
  </si>
  <si>
    <t>Purchase of ECCD E-Learning Materials and Worksheets</t>
  </si>
  <si>
    <t>RFQ-NP-SVP-378-2020-Procurement of meals (CDO) for General Assembly CY 2020</t>
  </si>
  <si>
    <t>Improvement of Multi-Purpose Building  at Brgy. Miranda</t>
  </si>
  <si>
    <t>Improvement of Public Cemetery Facilities at Brgy. II</t>
  </si>
  <si>
    <t>Supply and Delivery of Fetal Doppler</t>
  </si>
  <si>
    <t>Supply and Delivery of Mechanical Equipment/Spareparts</t>
  </si>
  <si>
    <t>INSTALLATION OF CANOPY EXTENSION ON OUR BARANGAY COVERED COURT</t>
  </si>
  <si>
    <t>RFQ for Supply and Delivery of 2-bucket milking machine</t>
  </si>
  <si>
    <t>Installation of CCTV along the territorial jurisdiction of Ariston East, Asingan, Pangasinan.</t>
  </si>
  <si>
    <t>Supply and Delivery of 60 sets Squid jig for Tawi-Tawi Province under 2020 block grant</t>
  </si>
  <si>
    <t>20GHI0031 Vehicle Parts and Repair</t>
  </si>
  <si>
    <t>SUPPLY AND DELIVERY OF SHOTGUN FOR THE USE OF PGCOPS-PPD</t>
  </si>
  <si>
    <t>PROCUREMENT OF SERVICE VEHICLE</t>
  </si>
  <si>
    <t>Supply and Delivery of School Supplies (School Board)</t>
  </si>
  <si>
    <t>BULLAGO WATER SYSTEM</t>
  </si>
  <si>
    <t>Construction of Multi-Purpose Fence</t>
  </si>
  <si>
    <t>HO-OMR20-009 - Supply and Delivery of Carrier, Rear Differential Assy. And Brake Booster Assy. For Mitsubishi L300</t>
  </si>
  <si>
    <t>Rescuers Uniform with Sublimation Print of Municipal Disaster Risk Reduction and Management Office</t>
  </si>
  <si>
    <t>Supply and Delivery of Multi-Line Office Telephone (R.I.S. No.: 20-16-031)(Rebid)</t>
  </si>
  <si>
    <t>PROCUREMENT OF LABORATORY SUPPLIES</t>
  </si>
  <si>
    <t>Improving Access to basic social services through community-managed  concreting of barangay road</t>
  </si>
  <si>
    <t>PROCUREMENT OF 2 UNIT DIGITAL DUPLICATOR</t>
  </si>
  <si>
    <t>Improvement of Drainage System, Brgy. San Isidro Tanjay City, Neg. Or.(S-155-2020)</t>
  </si>
  <si>
    <t>Provision of Food to Locally Stranded Individuals and Overseas Filipino Workers who are undergoing mandatory Community Quarantine in designated LGU Facility to be serve during Locally Stranded Individ</t>
  </si>
  <si>
    <t>Procurement of Goods for Office Supplies</t>
  </si>
  <si>
    <t>supply and delivery 1 piece Executive Chair and other items</t>
  </si>
  <si>
    <t>PROCUREMENT OF INFORMATION TECHNOLOGY (IT) EQUIPMENT OF THE MUNICIPALITY OF LIMASAWA, SOUTHERN LEYTE</t>
  </si>
  <si>
    <t>Installation of Air Condition Unit for Brgy Multi Purpose</t>
  </si>
  <si>
    <t>HO-OMR20-008 - Supply and Delivery of Drum &amp; Toner Cartridge, Ribbon Typewriter and Correction Tape</t>
  </si>
  <si>
    <t>Retrofitting of P. Fuentes Elementary School @ Fuentes, Pantukan, Davao De Oro (Labor)</t>
  </si>
  <si>
    <t>***Construction of Concrete Pavement at Sitio Bacud and Talingaan Proper, Brgy. 31 Talingaan, Laoag City***</t>
  </si>
  <si>
    <t>25 Zoom Licenses</t>
  </si>
  <si>
    <t>Supply &amp; Delivery of Tweleve (12) Units Laptop for the Sangguniang Bayan of LGU-Paniqui, Tarlac</t>
  </si>
  <si>
    <t>Delivery of 2 units of Generators for Seaweed Buying Station for Tawi-Tawi province under the 2020 block grant</t>
  </si>
  <si>
    <t>Reconstruction/Rehabilitation of PSAU-Ayala Road, Magalang, Pampanga</t>
  </si>
  <si>
    <t>Supply and Delivery of Four (4) Units of Water Pump to be used in Sewage Treatment Palnts assigned to MPCG 108 Base, EDSA Ortigas Flyover Underneath Ortigas, Mandaluyong City</t>
  </si>
  <si>
    <t>Materials for product development/enhancement of banana chips, camote chips, camote delight bar, camote pastille, camote flour, coco chips and coco vinegar processing</t>
  </si>
  <si>
    <t>Mayors Office, 701st Brigade, PNP, BFP and Coast Guard for the month of September, 2020 - Fuel</t>
  </si>
  <si>
    <t>20J00218 - Construction/Repair/Rehabilitation/Improvement of Various Infrastructure including Local Projects – Structural Improvement of Public Building and Construction of Evacuation Centers – Region</t>
  </si>
  <si>
    <t>Construction of Materials Recovery Facilities (MRF)</t>
  </si>
  <si>
    <t>Procurement of A4 Bond Paper for Reproduction of Modules.</t>
  </si>
  <si>
    <t>Supply &amp; Delivery of Rabisin Vaccine for the Rabies Eradication Program</t>
  </si>
  <si>
    <t>UPLB-RQ-8-109-20-GOODS SUPPLY AND DELIVERY OF AGRICULTURAL CHEMICALS FOR LA GRANJA</t>
  </si>
  <si>
    <t>Procurement of Office Supplies and Consumables</t>
  </si>
  <si>
    <t>REPAIR OF PUBLIC FACILITIES AT BARANGAY TAMAG, VIGAN CITY</t>
  </si>
  <si>
    <t>PROCUREMENT OF MEDICAL SUPPLIES</t>
  </si>
  <si>
    <t>UPLB-RQ-8-104-20-GOODS SUPPLY AND DELIVERY OF LABORATORY SUPPLIES FOR IMSP</t>
  </si>
  <si>
    <t>20CSN022: CONSULTING SERVICES FOR THE CONDUCT OF GEOTECHNICAL AND GEOLOGICAL SURVEY/INVESTIGATIONS FOR THE CONSTRUCTION OF HUBO-BRIDGE ALONG SURIGAO-DAVAO COASTAL ROAD, SAN AGUSTIN,SURIGAO DEL SUR</t>
  </si>
  <si>
    <t>PURCHASE OF OFFICE AND SCHOOL SUPPLIES FOR BAUBO ES</t>
  </si>
  <si>
    <t>20DB0142 Construction of Covered Court, Lemery, Batangas</t>
  </si>
  <si>
    <t>ITB No. (INF) 2020-08-119 FISH AND MARINE SANCTUARY REHABILITATION (CONSTRUCTION OF CONCRETE GUARDHOUSE WITH WATCH TOWER), Brgy. Sta. Margarita, Quinapondan, Eastern Samar</t>
  </si>
  <si>
    <t>101-20-08-RFQ1055 - USE FOR PNP OPERATIONS</t>
  </si>
  <si>
    <t>PURCHASE SUPPLIES AND MATERIALS FOR THE REPRODUCTION OF MODULES</t>
  </si>
  <si>
    <t>PURCHASE OF VARIOUS FURNITURE &amp; FIXTURES, AND SOUND SYSTEM FOR USE OF CSWDO (PDAO), CAVITE CITY</t>
  </si>
  <si>
    <t>Procurement of Office Supplies for the Sustainment of OCD RO3 for 3rd Quarter FY 2020</t>
  </si>
  <si>
    <t>Appliances for Mini Hotel</t>
  </si>
  <si>
    <t>Procurement of 1 Package Improvement of City Accountants Office (Materials Only) under P.R.No. 2561-2020-Office of the City Accountant</t>
  </si>
  <si>
    <t>PR No. 2020-0883 (Bolito) Mother's Kit</t>
  </si>
  <si>
    <t>Bid No. 20-0418 - PROCUREMENT OF OFFICE EQUIPMENT - DEPED (BAGONG SILANG NATIONAL HIGH SCHOOL</t>
  </si>
  <si>
    <t>Supply and Delivery of Construction Materials</t>
  </si>
  <si>
    <t>Laptop for RHU TB DOTS Program and FHSIS reports &amp; Television for TB DOTS building</t>
  </si>
  <si>
    <t>One (1) Job Order for the Supply of Labor, Materials and Equipment for Concreting of Road</t>
  </si>
  <si>
    <t>Concreting of Road / Alley at Sitio San Isidro</t>
  </si>
  <si>
    <t>For extension support (Free-range chicken) in support to Urban gardening / conduct of Back to Basics: Scientific and sustainable livestock and poultry production in Ilocos Norte</t>
  </si>
  <si>
    <t>GOODS-ITB 2020-08-016 SUPPLY AND DELIVERY OF CONSTRUCTION MATERIALS FOR THE IMPROVEMENT OF STREET LIGHTS IN LAPINIG, N. SAMAR (1ST POSTING)</t>
  </si>
  <si>
    <t>Supply and Delivery of Fry Through and other materials use on establishment of intensive tilapia hatchery system for registered hatcheries under ALPAS Project</t>
  </si>
  <si>
    <t>CANOPY FOR PICK UP NISSAN 4 X 4 NISSAN NAVARRA</t>
  </si>
  <si>
    <t>Purchase &amp; Delivery of Janitorial &amp; Other Supplies for the Office of SPM Mildred M. Elaydo</t>
  </si>
  <si>
    <t>MEDICAL SUPPLIES for BHS NC II</t>
  </si>
  <si>
    <t>RFQ-DVO-PR.NO. 2008072 CAT. 6 AUTO REPAIR SHOP</t>
  </si>
  <si>
    <t>Gloves</t>
  </si>
  <si>
    <t>LOT Procurement of AIR CONDITIONING UNITS with Installation for the Use of DOPH Gov. Generoso</t>
  </si>
  <si>
    <t>Purchase of Fuel for Municipal Vehicle Maintenance</t>
  </si>
  <si>
    <t>Supply and Delivery of Materials for the Construction of Aluyan Tricycle Bridge Crossing</t>
  </si>
  <si>
    <t>CONSTRUCTION OF TUPLAC-LOWER DULLI ROAD</t>
  </si>
  <si>
    <t>Supply and Installation of Discharge Line Assembly</t>
  </si>
  <si>
    <t>Supply and Delivery of Two (2) Pressure/Volume Ventilator (2 in 1)</t>
  </si>
  <si>
    <t>Procurement of Drugs and Medicines for San Miguel Community Hospital Pharmacy (additional for 3rd Quarter).</t>
  </si>
  <si>
    <t>DRONE</t>
  </si>
  <si>
    <t>Supply and delivery of livelihood kits (sari-sari store package) to eligible/qualified MSME beneficiaries of LSP-NSB in the Province of Cagayan</t>
  </si>
  <si>
    <t>Construction of Monitoring Station @ Diat, Napnapan, Pantukan, Davao De Oro (Labor)</t>
  </si>
  <si>
    <t>PROCUREMENT OF MATERIALS FOR IMPROVEMENT OF  MULTI-PURPOSE HALL</t>
  </si>
  <si>
    <t>For PUM in Quarantine Facility</t>
  </si>
  <si>
    <t>PURCHASE OF DIESEL FUEL FOR THE MAINTENANCE OF FARM-TO-MARKET ROAD(FMR), BARANGAY NEW PANAY, TULUNAN, COTABATO</t>
  </si>
  <si>
    <t>SUPPLY OF AGRICULTURAL SEEDS FOR THE IMPLEMENTATION OF THE YOLANDA REHABILITATION AND RECONSTRUCTION PROGRAM (YRRP) OF THE MUNICIPALITY OF LIMASAWA, SOUTHERN LEYTE</t>
  </si>
  <si>
    <t>Purchase of Office Supplies. (City Accountant's Office)</t>
  </si>
  <si>
    <t>Digital Water Meter Analyzer(Service Utility Analyzer)</t>
  </si>
  <si>
    <t>Road Concreting at Polog to Cabangahan Road, Consolacion, Cebu</t>
  </si>
  <si>
    <t>Supply and delivery of Catering Services</t>
  </si>
  <si>
    <t>Procurement of Medical Supplies for Marihatag District Hospital ER and Ward.</t>
  </si>
  <si>
    <t>Procurement of Chlorine 2020</t>
  </si>
  <si>
    <t>For Repairs and Maintenance</t>
  </si>
  <si>
    <t>Other Machinery and Equipment</t>
  </si>
  <si>
    <t>(SP-SEC) REQUEST FOR QUOTATION (RFQ) For the Procurement of Office Supplies</t>
  </si>
  <si>
    <t>INFRA2020-RDW-023 Rehabilitation of Piezometers at Agus 4 HEP Dam, Balo-i, Lanao del Norte</t>
  </si>
  <si>
    <t>Concreting of Farm to Market Road at Brgy. Payar, Malasiqui, Pangasinan</t>
  </si>
  <si>
    <t>MICROVASCULAR SET</t>
  </si>
  <si>
    <t>20GIK0012-Supply and Delivery of Toner Cart, etc. for use in various documentation in the district</t>
  </si>
  <si>
    <t>SUPPLY AND DELIVERY OF FOOD COMMODITIES FOR MAINTENANCE OF SOCIAL DEVELOPMENT CENTER AND MAKATI YOUTH HOMES AND GROCERY PACKS FOR MAKATI BLOODLINES COMMUNITY</t>
  </si>
  <si>
    <t>Supply and Delivery of Spare Parts for Heavy Equipment - MEO  PR# 20-08-0612</t>
  </si>
  <si>
    <t>20J00219 - Construction/Repair/Rehabilitation/Improvement of Various Infrastructure including Local Projects – Structural Improvement of Public Building and Construction of Evacuation Centers – Region</t>
  </si>
  <si>
    <t>For PUM in Quarantine Facility - Supplies and Equipment</t>
  </si>
  <si>
    <t>Supply and Delivery of Various Tool Bit Insert and Holders (9 items)</t>
  </si>
  <si>
    <t>Purchase of Office Supplies for use in the Planning and Design Section Charge to  PDE funds</t>
  </si>
  <si>
    <t>IMPROVEMENT OF MUNICIPAL BUILDING</t>
  </si>
  <si>
    <t>Purchase of Bond Paper (A4 size sub 20) assistance in kind to various public Elementary &amp; Secondary School</t>
  </si>
  <si>
    <t>For Repairs and Maintenance - Pipes</t>
  </si>
  <si>
    <t>Purchase of Fuel for FMR Maintenance</t>
  </si>
  <si>
    <t>Concreting of Farm-to-Market Road, So. Busay Brgy. Sto. Niño, Tanjay City(S-154-2020)</t>
  </si>
  <si>
    <t>Semi Expendable ICT Equipment (100,000.00)</t>
  </si>
  <si>
    <t>Request for Quotation for the Supply and Delivery of Various Materials for Mabuhay Pumping Station Concrete Fence</t>
  </si>
  <si>
    <t>New Service Connection Materials</t>
  </si>
  <si>
    <t>Petroleum &amp; Oil consumption of Isuzu Manlifter-MDRRMO</t>
  </si>
  <si>
    <t>Procurement of Various Supplies</t>
  </si>
  <si>
    <t>PURCHASE OF CONSTRUCTION MATERIALS FOR THE REHABILITATION/MAINTENANCE OF DRAINAGE CANAL</t>
  </si>
  <si>
    <t>Construction of Monitoring Station @ Panganason, Pantukan, Davao De Oro (Labor)</t>
  </si>
  <si>
    <t>Purchase of 2 units of desktop computers for the Office of the City Agriculturist.</t>
  </si>
  <si>
    <t>20FK0066-Cluster XVIII-Repair/Improvement of Pilar Rural Health Unit &amp; Sorsogon City and Repair/Improvement of Donsol Community Hospital including Road Network Pilar, Donsol, Sorsogon City</t>
  </si>
  <si>
    <t>RIGID 90 DEGREES LARYNGEAL ENDOSCOPE</t>
  </si>
  <si>
    <t>Purchase of IT Equipment</t>
  </si>
  <si>
    <t>PROCUREMENT OF JANITORIAL SERVICES FOR OCTOBER TO DECEMBER 2020 FOR DAR REGIONAL OFFICE 02</t>
  </si>
  <si>
    <t>Meals, Snacks &amp; Venue Disinfection for the orientation, levelling, conduct of farmers satisfaction survey for CY2020 and Wrap-up session for Bukidnon IMO on September 1-4, 2020 at NIA-BIMO, Bagontaas,</t>
  </si>
  <si>
    <t>20J00221 - Construction/Repair/Rehabilitation/Improvement of Various Infrastructure including Local Projects – Structural Improvement of Public Building and Construction of Evacuation Centers – Region</t>
  </si>
  <si>
    <t>Hour Meter, Auto Transfer Switch &amp; Automatic Battery Charger</t>
  </si>
  <si>
    <t>RFQ- CONSTRUCTION MATERIALS AND SUPPLIES</t>
  </si>
  <si>
    <t>POBLACION WATER SYSTEM</t>
  </si>
  <si>
    <t>Repair of Vehicle Aircon</t>
  </si>
  <si>
    <t>Procurement of Goods for Fuel Supplies</t>
  </si>
  <si>
    <t>MATERIALS FOR THE SCHOOL SANITATION AND WATERWORKS SYSTEM FACILITIES for DepEd Alubijid, Mis. Or.</t>
  </si>
  <si>
    <t>Purchase of Construction Materials</t>
  </si>
  <si>
    <t>for NIF-C representation expense</t>
  </si>
  <si>
    <t>Labor and Materials for the Clearing/Desilting of Drainage Canal, along Mactan St., to Waras River, San Agustin, Iriga City</t>
  </si>
  <si>
    <t>fabricate of steel materials recovery facilities</t>
  </si>
  <si>
    <t>PR#20-07-0079 - Vehicle Parts and Accessories</t>
  </si>
  <si>
    <t>Supply and Delivery of Duplicating Machine - DEP.ED Loreto District  PR# 20-08-0617</t>
  </si>
  <si>
    <t>Purchase of school supplies for Sta. Josefa National High school</t>
  </si>
  <si>
    <t>Purchase of Various Food Stuff for Food Assistance and Relief Goods in the Municipality of Mabini, Pangasinan</t>
  </si>
  <si>
    <t>Rehabilitation and Improvement of La Libertad - Pacuan Provincial Road, La Libertad(S-191-2020)</t>
  </si>
  <si>
    <t>Supply and Delivery of Fifteen (15) Units Manlift</t>
  </si>
  <si>
    <t>SUPPLY AND DELIVERY OF IMESSENGER FOR INFORMATION DISSEMINATION</t>
  </si>
  <si>
    <t>Supply and delivery of various disinfectant spray and paper towel for Employees of Pag-IBIG Fund Central Luzon for five (5) months.</t>
  </si>
  <si>
    <t>20J00222 - Construction/Repair/Rehabilitation/Improvement of Various Infrastructure including Local Projects – Structural Improvement of Public Building and Construction of Evacuation Centers – Region</t>
  </si>
  <si>
    <t>Purchase of Office Equipment Combi blinds color coding A9-1 for the New Two (2) storey DPWH Building, Cotabato 2nd DEO Lanao, Kidapawan City</t>
  </si>
  <si>
    <t>SUPPLY AND DELIVERY OF DISTILLED WATER AND ZIP LOCK FOR QUARANTINE FACILITY</t>
  </si>
  <si>
    <t>PROCTOSIGMOIDOSCOPY SET</t>
  </si>
  <si>
    <t>Employees Wellness Center</t>
  </si>
  <si>
    <t>Procurement of Internal Quality Auditor's Training on Remote/Virtual Audit</t>
  </si>
  <si>
    <t>PR. No. 07-060-2020 - Procurement of Various Office Toners for Printer, for CY2020 3rd Quarter</t>
  </si>
  <si>
    <t>Pakyaw Contract for the Furnishing of Labor Only for the Completion of the Rehabilitation and Improvement of Balete-Arcangel-Ogsip-Calamcan-Julita-Libacao Road (Phase I), Libacao, Aklan</t>
  </si>
  <si>
    <t>INFRA2020-PUL-020 Fabrication and Installation of Walkway Shed and Concreting of Pathway- Phase 4 at Kiuntod, Camp 1, Maramag, Bukidnon</t>
  </si>
  <si>
    <t>Purchase of Anapog</t>
  </si>
  <si>
    <t>SUPPLY AND DELIVERY OF MATERIALS FOR WOODEN STAGE WITH BACKDROP, STAIRS, PLATFORM AND TOOLS AND LETTERING OF BANNERS AND STREAMER</t>
  </si>
  <si>
    <t>Material  Assistance to Public Schools of Pinamalayan East and West (Infrared Thermometer &amp; Chlorine).</t>
  </si>
  <si>
    <t>20J00220 - Construction/Repair/Rehabilitation/Improvement of Various Infrastructure including Local Projects – Structural Improvement of Public Building and Construction of Evacuation Centers – Region</t>
  </si>
  <si>
    <t>Construction of Evacuation Center - Brgy. Kauswagan,LADS</t>
  </si>
  <si>
    <t>Construction/Improvement of Drainage Canal along Villanueva Street, Brgy. IV, Siaton(S-187-2020)</t>
  </si>
  <si>
    <t>procurement of Teller's Receipt</t>
  </si>
  <si>
    <t>20J00223 - Construction/Repair/Rehabilitation/Improvement of Various Infrastructure including Local Projects – Structural Improvement of Public Building and Construction of Evacuation Centers – Region</t>
  </si>
  <si>
    <t>COMMON OFFICE SUPPLIES AND CONSUMABLES</t>
  </si>
  <si>
    <t>RFQ-DVO-PR.NO. 2008286 NO CATEGORY</t>
  </si>
  <si>
    <t>Procurement and Delivery of Various Materials &amp; Fittings</t>
  </si>
  <si>
    <t>Supply and Delivery of Diaper Changers to Port Areas and Buildings</t>
  </si>
  <si>
    <t>EXTENSION/CONCRETING OF A. BONIFACIO STREET</t>
  </si>
  <si>
    <t>RFQ for Supply and Delivery of 4 units Top loading Weighing scale</t>
  </si>
  <si>
    <t>REHABILITATION OF LINE CANAL</t>
  </si>
  <si>
    <t>SUPPLY AND DELIVERY OF ASSISTIVE DEVICES FOR PERSONS WITH DISABILITY OF VARIOUS BARANGAYS</t>
  </si>
  <si>
    <t>COVID RESPONSE PROTECTIVE SUPPLIES AND MATERIALS</t>
  </si>
  <si>
    <t>SVP PUR20-08-0690 / 0691 Procurement of  Prepaid Cards for PSD &amp; MSS, PGH</t>
  </si>
  <si>
    <t>PROCUREMENT OF EGG MACHINE CAGE, PULLETS, FEEDS AND BIOLOGICS FOR EGG PRODUCTION UNDER THE LIVELIHOOD SUPPORT FOR WOMEN IN CRISIS SITUATION, COMPONENT “C” (PACKAGE III), FUNDED UNDER THE PASSOVER: ARB</t>
  </si>
  <si>
    <t>PROVISION OF SECURITY SERVICES FOR NORTHERN MINDANAO Y2020-2022</t>
  </si>
  <si>
    <t>Bid No. 20-0419 - PROCUREMENT OF OFFICE EQUIPMENT - MHO OPERATIONS</t>
  </si>
  <si>
    <t>OFFICE EQUIPMENT, OFFICE SUPPLIES AND CONSUMABLES</t>
  </si>
  <si>
    <t>REPAIR OF ANOS FIRE TRUCK</t>
  </si>
  <si>
    <t>RFQ for Electrical Supplies and Equipment for the use of Research Office</t>
  </si>
  <si>
    <t>SUPPLY AND DELIVERY OF SNACKS FOR VARIOUS MEETINGS</t>
  </si>
  <si>
    <t>CAPABILITY BUILDING ON ABACA DISEASE PREVENTION WITH PROVISION OF ABACA PROCESSING TECHNOLOGY</t>
  </si>
  <si>
    <t>Road Concreting</t>
  </si>
  <si>
    <t>Supply, Delivery and Installation of Body Scanning Machines (Phase II)</t>
  </si>
  <si>
    <t>LED Street Lights DL 150 watts</t>
  </si>
  <si>
    <t>Supply and Delivery of Tires for Dumptruck &amp; Motor Grader - MEO  PR# 20-08-0613</t>
  </si>
  <si>
    <t>MATERIALS FOR THE CONSTRUCTION OF LIGTAS COVID CENTER (BLDG. 2) at Cabacaba, Loguilo, Alubijid, Mis. Or.</t>
  </si>
  <si>
    <t>Completion of Ecopark Perimeter Fence - Sitio Kape, Bitoon Lot B, C &amp; D</t>
  </si>
  <si>
    <t>SUPPLY AND DELIVERY OF IMESSENGER COVID 19 SPECIAL EDITION FOR INFORMATION DISSEMINATION</t>
  </si>
  <si>
    <t>PROCUREMENT OF SECURITY SERVICES FOR OCTOBER TO DECEMBER 2020 FOR DAR REGIONAL OFFICE 02</t>
  </si>
  <si>
    <t>SUPPLY OF FUEL, OIL AND LUBRICANTS- MUNICIPAL ENGINEERING OFFICE AND MOTORPOOL USE</t>
  </si>
  <si>
    <t>Emergency Operation Center Phase 4</t>
  </si>
  <si>
    <t>Construction of Evacuation Center - Brgy. San Isidro,LADS</t>
  </si>
  <si>
    <t>(PASSO) REQUEST FOR QUOTATION (RFQ) For the Procurement of Office Supplies</t>
  </si>
  <si>
    <t>Tires for the maintenance of Heavy Equipment (Backhoe Loader)-MO</t>
  </si>
  <si>
    <t>Request of Quotation for The Design and Construction of 20 meters Reinforced Concrete Retaining Wall</t>
  </si>
  <si>
    <t>Supply and Delivery of Catering Services for the conduct Land Uses and Land Cover at Brgy. Maitom,Manawe,Ferdinand,Mabuhay,Bugdangan,Ilang-ilang,Kapda and BDP Formulation at Brgy. Waloe,Magaud,Sta. Te</t>
  </si>
  <si>
    <t>Chicken, broiler, dressed and drawn, freshly</t>
  </si>
  <si>
    <t>FOR MAYOR'S OFFICE VEHICLE USE.</t>
  </si>
  <si>
    <t>Agricultural Products</t>
  </si>
  <si>
    <t>Concreting of Pathwalk at Cabaoangan Farm to Market Road, Brgy. Siblot, San Nicolas, Pangasinan</t>
  </si>
  <si>
    <t>To Furnish Labor and Materials for the Repair/Replacement of Defective Parts of Mitsubishi Strada SJZ-328</t>
  </si>
  <si>
    <t>Office Supplies (Supply Office)</t>
  </si>
  <si>
    <t>PR NO. 2133 Fabrication of Signboard</t>
  </si>
  <si>
    <t>Supply and Delivery of well-milled rice for the distribution of relief goods to the affected families in relation to the state of calamity for the General Community Quarantine(COVID-19)</t>
  </si>
  <si>
    <t>Rehabilitation of Multi-Purpose Building</t>
  </si>
  <si>
    <t>IMPROVEMENT OF DRAINAGE SYSTEM (CANAL)</t>
  </si>
  <si>
    <t>Completion of Road Opening of Maanghit, Baculin, Hinatuan, SDS</t>
  </si>
  <si>
    <t>for the Repair and Maintenance of Gymnasium (Nr-009)</t>
  </si>
  <si>
    <t>Product label design and printing needed for the VCO product under BAR funded project</t>
  </si>
  <si>
    <t>MATERIALS FOR THE IMPROVEMENT OF WATER SYSTEM from Spring/Filtration Plant to Centro Sampatulog, Alubijid, Mis. Or.</t>
  </si>
  <si>
    <t>SUPPLY AND DELIVERY OF BRAND NEW TOW TRUCK</t>
  </si>
  <si>
    <t>Labor and Materials for the Clearing/Desilting of Drainage Canal, along Rubi St. &amp; Bucao St. to National Highway, San Nicolas, Iriga City</t>
  </si>
  <si>
    <t>Purchase &amp; Delivery of Office Supplies &amp; Consumables for the Office of SPM Efren Sr,. A. Rafanan</t>
  </si>
  <si>
    <t>SUPPLY AND DELIVERY OF COMPUTER DESKTOP WITH PRINTER 2ND POSTING</t>
  </si>
  <si>
    <t>Bid No. 20-0420 - PROCUREMENT OF OFFICE EQUIPMENT - MHO OPERATIONS</t>
  </si>
  <si>
    <t>Supply and Delivery of Tactical Uniforms and Tactical Boots for Port Police Personnel</t>
  </si>
  <si>
    <t>SUPPLY AND DELIVERY OF RUNNING MESSAGE LED DISPLAY BOARD FOR INFORMATION DISSEMINATION</t>
  </si>
  <si>
    <t>Fuel consumption for use in the operation of Bantay Dagat Patrol Boats-OMAS</t>
  </si>
  <si>
    <t>90 D LENS</t>
  </si>
  <si>
    <t>PROCUREMENT OF PROGESTINE PILLS USE FOR FAMILY PLANNING OF MHO</t>
  </si>
  <si>
    <t>Automatic &amp; Manual Motor Controller</t>
  </si>
  <si>
    <t>Purchase of Washing Machine, Aircon, Filing Cabinet, Locker, Computer and Printer of San Pablo City General Hospital.</t>
  </si>
  <si>
    <t>Rehabilitation and Improvement of Cabaron - Quezon Provincial Road, Vallehermoso, Negros Oriental(s-193-2020)</t>
  </si>
  <si>
    <t>PR. 20-02-127 (i.1-2,4,6-7) (2020-08-301) PROCUREMENT OF LABORATORY SUPPLIES AND EQUIPMENT</t>
  </si>
  <si>
    <t>Printing &amp; Publication Expenses (71,800.00)</t>
  </si>
  <si>
    <t>PROCUREMENT OF EQUIPMENT for DepEd-Alubijid, Misamis Oriental</t>
  </si>
  <si>
    <t>Purchase of Hardware, Construction &amp; Lumber Materials, Repair of Concrete Drainage Canal, Brgy. Canlapwas, Pagsanghan, Samar</t>
  </si>
  <si>
    <t>Proposed Road Opening (Hospital-Hinulawan Road) Brgy. Poblacion, Toledo City (L=162.00m.; W=15.00m.)</t>
  </si>
  <si>
    <t>Procurement and Delivery of Various Tools</t>
  </si>
  <si>
    <t>SUPPLY AND DELIVERY OF TRI-WHEELER FOR SCLAO OPERATION USE</t>
  </si>
  <si>
    <t>SUPPLY AND DELIVERY OF BIRTHING BEDS (DELIVERY ROOM TABLE BEDS)</t>
  </si>
  <si>
    <t>SUPPLY, DELIVERY AND INSTALLATION OF VARIOUS IT EQUIPMENT (LAPTOPS, DESKTOPS, NETWORK LAN TESTER AND PROBE)</t>
  </si>
  <si>
    <t>PNEUMATIC TORNIQUET SET</t>
  </si>
  <si>
    <t>INFORMATION TECHNOLOGY - E-TUTORIAL SOFTWARE SUBSCRIPTION</t>
  </si>
  <si>
    <t>Supply &amp; Delivery of One (1) unit Waste Pulverizer for the implementation of Solid Waste Management Program (CGSO)</t>
  </si>
  <si>
    <t>Purchase of UV sterilizer machine, Air Purifier and Kendrick traction splint for Ambulance and OR Section of San Pablo City General Hospital.</t>
  </si>
  <si>
    <t>Supply, Delivery and Installation of Systems Furniture &amp; Seating Package for the Port Police Department</t>
  </si>
  <si>
    <t>Improving Access to Basic Social Services through Community Managed Concreting of Access Road.</t>
  </si>
  <si>
    <t>CONCRETING OF PATHWAY-mUNICPAL COMPOUND</t>
  </si>
  <si>
    <t>for Medical Supplies for Medical Services</t>
  </si>
  <si>
    <t>SUPPLY AND DELIVERY OF PORTABLE REFRIGERATORS FOR BLOOD BAGS</t>
  </si>
  <si>
    <t>Bid No. 20-0421 - PROCUREMENT OF OFFICE SUPPLIES - MEEDO/SLAUGHTERHOUSE</t>
  </si>
  <si>
    <t>MATERIALS FOR THE STEEL FENCING OF THE COVERED COURT</t>
  </si>
  <si>
    <t>IMPROVEMENT OF PACKING HOUSE(POST HARVEST AND PROCESSING FACILITY)</t>
  </si>
  <si>
    <t>SUPPLY AND DELIVERY OF VARIOUS EQUIPMENT FOR USE AT THE MATERIAL RECOVERY FACILITY</t>
  </si>
  <si>
    <t>Repair and Maintenance of the Generator Set</t>
  </si>
  <si>
    <t>Supply and Delivery of Office Supplies and Devices for the Use of Planning and Design Unit, Drafting, Encoding, Photogrametry &amp; GIS Data Processing</t>
  </si>
  <si>
    <t>Improvement of Road Brgy. Bugnay Mabinay Negros Oriental(N-229-2020)</t>
  </si>
  <si>
    <t>PROCUREMENT OF VARIOUS MEDICINES USE FOR PROVISION OF HPN &amp; DM MEDICATION AMONG SWEETHEART CLUB MEMBERS</t>
  </si>
  <si>
    <t>INFRA2020-AG5-017 AG5 Construction of Secondary Containment for Transformer Oil at Agus 5 HEP, Barangay Ditucalan, Iligan City</t>
  </si>
  <si>
    <t>(GO-Exec/Admin) REQUEST FOR QUOTATION (RFQ) For the Procurement of 4,500 Sq. Foot Tarpaulin</t>
  </si>
  <si>
    <t>SUPPLY AND DELIVERY OF LABORATORY SUPPLIES (HUMAN IMMUNOVIRUS (HIV) AG/AB COMBO TEST REAGENT FOR AUTOMATED IMMUNOLOGY ANALYZER - SENSOR LEVEL TRIGGER FOR AUTOMATED IMMUNOLOGY ANALYZER)</t>
  </si>
  <si>
    <t>Concreting of Roads - Cluster IV Area</t>
  </si>
  <si>
    <t>SUPPLY AND DELIVERY OF TIRES FOR HEAVY EQUIPMENT VEHICLES</t>
  </si>
  <si>
    <t>SUPPLY AND DELIVERY OF HISTOPATHOLOGY EMBEDDING STATION</t>
  </si>
  <si>
    <t>2020-337 various fertilizers</t>
  </si>
  <si>
    <t>2020 Module Printing Materials</t>
  </si>
  <si>
    <t>Procurement of IT Equipment for Use of DPWH- Albay 2nd DEO</t>
  </si>
  <si>
    <t>Procurement of I.T. Equipment</t>
  </si>
  <si>
    <t>Supply and Delivery of Goods and Services: Appliances for ALS Sparcling Snackhaus (140)</t>
  </si>
  <si>
    <t>Bid No. 20-0422 - PROCUREMENT OF OFFICE EQUIPMENT - MO/ADMIN SECTION</t>
  </si>
  <si>
    <t>REPAIR OF ADMIN BUILDING</t>
  </si>
  <si>
    <t>Supply and Delivery of Goods and Services: Raw Materials for ALS Sparcling Snackhaus (139)</t>
  </si>
  <si>
    <t>Supply and Delivery of Container Van (Customized) - Accounting  PR# 20-01-0131</t>
  </si>
  <si>
    <t>PURCHASE OF OFFICE SUPPLIES FOR PRINTING OF LEARNING MATERIALS</t>
  </si>
  <si>
    <t>Bid No. 20-0423 - PROCUREMENT OF JANITORIAL SUPPLIES - MSWDO OPERATIONS 2ND QTR.</t>
  </si>
  <si>
    <t>SUPPLY AND DELIVERY OF TIRE WITH TUBE FOR VARIOUS GOVERNMENT VEHICLES</t>
  </si>
  <si>
    <t>08-PR-2020-0049 FOR USE OF DOOSAN HYDRAULIC EXCAVATION DX225LCA F16-43</t>
  </si>
  <si>
    <t>MUNICIPAL BUILDING RHU AND BFP WATERWORKS, POBLACIN, MANKAYAN, BENGUET</t>
  </si>
  <si>
    <t>2020-313 -Plastic pail @ 100 liters</t>
  </si>
  <si>
    <t>Proposed Road Concreting @ Brgy. Matab-ang, Toledo City (L=1,000.00m.)</t>
  </si>
  <si>
    <t>SUPPLY AND DELIVERY OF DIESEL FOR VARIOUS SCHOOLS OPERATION</t>
  </si>
  <si>
    <t>CONST.OF LOCAL ROAD @ CABALLERO ST. &amp; REHAB./CONCRETING OF ROADS W/ FISSURES AT VARIOUS STREET</t>
  </si>
  <si>
    <t>For use of various service vehicles assigned in the PEO(N-227-2020)</t>
  </si>
  <si>
    <t>SUPPLY AND DELIVERY OF VARIOUS ELECTRICAL SPARE PARTS FOR 20 KW, 38 KW AND 56 KW PERKINS INTENDED FOR BOHOL 2 MINIGRID</t>
  </si>
  <si>
    <t>(GO-PITD) REQUEST FOR QUOTATION (RFQ) For the Procurement of 2 (Two) Licensed Software and 1 (One) 5KW Heavy Duty Inverter with Battery</t>
  </si>
  <si>
    <t>Procurement of Service Vehicles</t>
  </si>
  <si>
    <t>Purchase of 500 Sacks of Rice for Food Assistance and Relief Goods in the Municipality of Mabini, Pangasinan</t>
  </si>
  <si>
    <t>Procurement of Executive Chair</t>
  </si>
  <si>
    <t>2020 Materials for Printing Modules</t>
  </si>
  <si>
    <t>Construction of Box Culvert with Road Concreting at Barangay Calzada, Mabini, Pangasinan</t>
  </si>
  <si>
    <t>Safe Closure and Rehabilitation of Open Controlled Dump Site</t>
  </si>
  <si>
    <t>Procurement of Completed Study on Retail Consumers' Preference for Pharmaceutical Products in the Philippines</t>
  </si>
  <si>
    <t>Procurement of HP Laserjet Imaging Drum for HP Printer, LJ Pro M102a</t>
  </si>
  <si>
    <t>Rehabilitation and Improvement of Cabaron - Quezon Provincial Road, Vallehermoso, Negros Oriental(N-234-2020)</t>
  </si>
  <si>
    <t>Supply and Delivery of Furniture and Fixture for MSWD, MPDC and Accounting Office, ICT Equipment for Agriculture and BMPS Office</t>
  </si>
  <si>
    <t>SUPPLY AND DELIVERY OF OFFICE EQUIPMENT FOR CITY CIVIL REGISTRAR OFFICE USE</t>
  </si>
  <si>
    <t>SUPPLY AND DELIVERY OF FUNERAL WREATH FOR THE DECEASED CONSTITUENT OF SANTIAGO CITY</t>
  </si>
  <si>
    <t>Supply &amp; Delivery of Starter Assembly, 12 volts for PNP-Maasin City use (PNP-Maasin).</t>
  </si>
  <si>
    <t>Supply and Delivery of CATERING SERVICES FOR PEACE BUILDING COMMUNICATIONS: CONFLICT RESOLUTION SKILLS &amp; STRATEGIES FOR LUPONG TAGAPAMAYAPA - PR# 20-03-0300</t>
  </si>
  <si>
    <t>20NA0080 CONSTRUCTION OF QUARANTINE FACILITY IN AGUSAN DEL NORTE  NASIPIT, AGUSAN DEL NORTE</t>
  </si>
  <si>
    <t>SUPPLY AND DELIVERY OF MEALS FOR THE MEETING OF PERSONAL CONCERNING COVID 19 UPDATES WITH THE CHIEF EXECUTIVES</t>
  </si>
  <si>
    <t>Printing of Learning Modules for JHS</t>
  </si>
  <si>
    <t>Supply and Delivery of I.T. Accessories</t>
  </si>
  <si>
    <t>Prorcurement of Toner</t>
  </si>
  <si>
    <t>Bid No. 20-0424 - PROCUREMENT OF OFFICE EQUIPMENT - DEPED (MAPAWA NATIONAL HIGH SCHOOL)</t>
  </si>
  <si>
    <t>SUPPLY AND DELIVERY OF PAINTING MATERIALS FOR PAINTING OF CITY HALL PARK</t>
  </si>
  <si>
    <t>2020-361 Rice bran @40kg</t>
  </si>
  <si>
    <t>(GO-PITD) REQUEST FOR QUOTATION (RFQ) For the Procurement of Licensed Software Tool</t>
  </si>
  <si>
    <t>Purchase of 3 Desktop and 5 CPU units</t>
  </si>
  <si>
    <t>Procurement of External HDD Back-Up, 4TB</t>
  </si>
  <si>
    <t>Bid No. 20-0425 - PROCUREMENT OF OFFICE SUPPLIES - MBO OPERATIONS</t>
  </si>
  <si>
    <t>Procurement of various packaging supplies for PBBD</t>
  </si>
  <si>
    <t>To support the procurement of 2 Shaft Axle PN: APE4067 for use in the Unscheduled Maintenance of N 22 Aircraft</t>
  </si>
  <si>
    <t>Printing of Learning Modules for SHS</t>
  </si>
  <si>
    <t>2020-08-051 - Purchase of Diesel and Gasoline Fuel for Planning &amp; Design Section, DPWH-UKDEO</t>
  </si>
  <si>
    <t>Construction of Infrastructure Projects</t>
  </si>
  <si>
    <t>Purchase of Various Disinfecting Supplies for the Municipality of Mabini, Pangasinan</t>
  </si>
  <si>
    <t>Improving Access to Basic Social Services Through Community-Managed Concreting of Access Road</t>
  </si>
  <si>
    <t>Materials for Material Recovery Facility (MRF)</t>
  </si>
  <si>
    <t>LCWD-2020-048 Mechanical Gate Valves and Universal Flange Adaptors</t>
  </si>
  <si>
    <t>Purchase of office supplies</t>
  </si>
  <si>
    <t>SUPPLY AND DELIVERY OF OFFICE EQUIPMENT FOR BFP OFFICE USE</t>
  </si>
  <si>
    <t>SUPPLY AND DELIVERY OF VEHICLE PARTS FOR REPLACEMENT PARTS OF TRACTORS KUBOTA</t>
  </si>
  <si>
    <t>Agricultural Machinery &amp; Equipment</t>
  </si>
  <si>
    <t>SUPPLY AND DELIVERY OF MEDICAL SUPPLIES FOR DAILY OPERATION OF OSPITAL NG MAKATI (CATHETER, INTRAJUGULAR - CLOSED IV CATHETER SYSTEM) THROUGH ORDERING AGREEMENT</t>
  </si>
  <si>
    <t>RFQ for Agricultural Supplies (seedlings) for the use of LWRMC Project</t>
  </si>
  <si>
    <t>Procurement of School Supplies &amp; Office Equipment</t>
  </si>
  <si>
    <t>Supply &amp; Delivery of 10 heads Swine for livelihood of our local farmers (OCAS).</t>
  </si>
  <si>
    <t>CONSTRUCTION OF CHILD DEVELOPMENT CENTER-DAGA</t>
  </si>
  <si>
    <t>RFQ for Supply and Delivery of Agricultural Machine and Equipment</t>
  </si>
  <si>
    <t>Procurement of Rubber Rain Boots</t>
  </si>
  <si>
    <t>CONSTRUCTION OF 2-WIRE SECONDARY LINE</t>
  </si>
  <si>
    <t>Full Package of Catering Services for the Third Level Training of 2020 Census of Population and Housing (Batch 3)</t>
  </si>
  <si>
    <t>Purchase of Generator Set to be used as Back-up Power Supply for the College of Engineering Buildings</t>
  </si>
  <si>
    <t>Purchase of Well-Milled Commercial Rice for Women's Month Celebration</t>
  </si>
  <si>
    <t>SUPPLY AND DELIVERY OF MEDICAL SUPPLIES FOR DAILY OPERATION OF OSPITAL NG MAKATI (OR GOWN WITH LOGO - PLASTIC FOR PILLOW)</t>
  </si>
  <si>
    <t>SUPPLY AND DELIVERY of Supplies for Laboratory, Pre and Post Natal, Family Planning and TB Dots for Official use of the MHO 3rd Quarter 2020</t>
  </si>
  <si>
    <t>HEADSET FOR NEDA-RO1 STAFF</t>
  </si>
  <si>
    <t>SUPPLY AND DELIVERY OF AGRICULTURAL SUPPLIES FOR TANIM PUNO PROJECT</t>
  </si>
  <si>
    <t>RFQ-DVO-PR.NO. 2007181 CAT. 56 SPARE PARTS FOR LIGHT &amp; HEAVY EQUIPMENT</t>
  </si>
  <si>
    <t>HSETC-OSM-20-2008-70104</t>
  </si>
  <si>
    <t>LGU-AL-35-2020 CONSTRUCTION OF EVACUATION CENTER PHASE 2 BRGY. BALOCAWE ABUYOG, LEYTE</t>
  </si>
  <si>
    <t>COMPLETION OF COVERED COURT</t>
  </si>
  <si>
    <t>Improvement of LGU Compound</t>
  </si>
  <si>
    <t>LCWD-2020-056 Personal Refrigerator</t>
  </si>
  <si>
    <t>RFQ-DVO-PR.NO. 2007176 CAT. 56 SPARE PARTS FOR LIGHT &amp; HEAVY EQUIPMENT</t>
  </si>
  <si>
    <t>SUPPLY AND DELIVERY OF OFFICE EQUIPMENT FOR CITY BUDGET OFFICE USE</t>
  </si>
  <si>
    <t>Fabrication of Aluminum &amp; Steel Works</t>
  </si>
  <si>
    <t>(SP-BM) REQUEST FOR QUOTATION (RFQ) For the Procurement of Vehicle Parts for BM Byron Sevillena</t>
  </si>
  <si>
    <t>AGR-20-0987-NP(SV)</t>
  </si>
  <si>
    <t>Supply and delivery of various prepaid cards for TAS- Admin use</t>
  </si>
  <si>
    <t>PR NO. 2175 TARPAULIN</t>
  </si>
  <si>
    <t>20FO0109 - Construction of Day Care Center Constructed beside the Multi-Purpose Gym at Zone 4, Matacon, Polangui, Albay</t>
  </si>
  <si>
    <t>PR 2020-575 Supply and Delivery of Plumbing Supplies</t>
  </si>
  <si>
    <t>CONSTRUCTION OF DRAINAGE CANAL BRGY. ANTIPOLO AT ZONE 5B</t>
  </si>
  <si>
    <t>SUPPLY AND DELIVERY OF MEDICAL SUPPLIES FOR DAILY OPERATION OF OSPITAL NG MAKATI (WIPES - PERIPHERAL NERVE BLOCKS NEEDLE) THROUGH ORDERING AGREEMENT</t>
  </si>
  <si>
    <t>CONSTRUCTION OF PATHWAY BRGY. ANTIPOLO AT ZONE 1A</t>
  </si>
  <si>
    <t>Supply and Delivery of Office Equipment (District 1 &amp; 2), rebid</t>
  </si>
  <si>
    <t>3LSSM2020A-208 Office Supplies</t>
  </si>
  <si>
    <t>SUPPLY AND DELIVERY BRAND NEW AUV 2.8L, 4 CYLINDER, DIESEL, AT, WITH 3 YEARS LTO REGISTRATION</t>
  </si>
  <si>
    <t>3LSSM2020A-210 Office Supplies</t>
  </si>
  <si>
    <t>Supply and Delivery of Face Shield</t>
  </si>
  <si>
    <t>3LSSM2020A-213 Other Supplies and Materials</t>
  </si>
  <si>
    <t>3LSSM2020A-212 Office Supplies</t>
  </si>
  <si>
    <t>Tools and Equipment for Bartending NCII</t>
  </si>
  <si>
    <t>Concreting of San Felipe Blvd. - Barangay Poblacion</t>
  </si>
  <si>
    <t>3LSSM2020A-209 Office Supplies</t>
  </si>
  <si>
    <t>3LSSM2020A-211 Food Supplies</t>
  </si>
  <si>
    <t>Supply &amp; Delivery of Medical Supplies and Laboratory Instruments, (MNH), BNS</t>
  </si>
  <si>
    <t>Installation of Transformers &amp; Accessories under the Construction of Water Supply Project for Bongabon Water District</t>
  </si>
  <si>
    <t>PURCHASE OF COMPUTER  PERIPHERALS/ACCESORIES</t>
  </si>
  <si>
    <t>Lot I- For use in Multi-year planning and validation. Lot II- For use in Pavement Management System (PMS) Lot III- For use in National Road Traffic Survey Program (NRTSP) Automated Data Collection and</t>
  </si>
  <si>
    <t>Concreting of Macnit Road - Barangay Nomoh</t>
  </si>
  <si>
    <t>3LSSM2020A-220 Training Supplies</t>
  </si>
  <si>
    <t>Meals and Snacks</t>
  </si>
  <si>
    <t>CONDUCT OF RCSP NON-NEGOTIABLE ACTIVITIES: BDP Formulation for the Priority RCSP Barangays on September 1-2, 2020 (Carmen, ADN)</t>
  </si>
  <si>
    <t>One (1) lot Engagement of Cash-in-Transit (CIT) Services to Transport Philippine Currency</t>
  </si>
  <si>
    <t>3LSSM2020A-217 Other Supplies and Materials</t>
  </si>
  <si>
    <t>Road Improvement of Prk. Matinabangon to Malaumon</t>
  </si>
  <si>
    <t>3LSSM2020A-219 Training Supplies</t>
  </si>
  <si>
    <t>PROCUREMENT OF VACCINE INTENDED FOR DILG REGION XII MANAGEMENT OF CORONAVIRUS (COVID-19) SITUATION</t>
  </si>
  <si>
    <t>3LSSM2020A-218 Training Supplies</t>
  </si>
  <si>
    <t>REHABILITATION OF PERIMETER FENCE</t>
  </si>
  <si>
    <t>Supply/Delivery of 1 unit Set Desktop Computer with Printer</t>
  </si>
  <si>
    <t>Supply/Delivery of 2 pcs 1TB 5400 rpm with SATA External Hard Disk drive (laptop)</t>
  </si>
  <si>
    <t>PURCHASE OF OFFICE SUPPLIES AND CONSUMABLES</t>
  </si>
  <si>
    <t>3LSSM2020A-216 Other Supplies and Materials</t>
  </si>
  <si>
    <t>CY 2020 BEFF Repair and Rehabilitation of Classrooms  Batch 2</t>
  </si>
  <si>
    <t>Procurement of Common-Used Supplies for COVID-19</t>
  </si>
  <si>
    <t>Drilling of an Exploratory/Production Well @ Babayuan, Amulung Cagayan</t>
  </si>
  <si>
    <t>Supplies and Materials</t>
  </si>
  <si>
    <t>3LSSM2020A-197 Office Supplies</t>
  </si>
  <si>
    <t>Supply / Delivery of 25 units Height/Length Board</t>
  </si>
  <si>
    <t>3LSSM2020A-215 Other Supplies and Materials</t>
  </si>
  <si>
    <t>Heavy Equipment, MDRRMO</t>
  </si>
  <si>
    <t>3LSSM2020A-196 Office Supplies</t>
  </si>
  <si>
    <t>CONSTRUCTION OF PUMPHOUSE AT BRGY. VEGA, BONGABON, NUEVA ECIJA</t>
  </si>
  <si>
    <t>2020-08-014 PROCUREMENT OF CATERING SERVICES FOR ACTIVITIES ON THE PERIOD COVERING SEPTEMBER 3-18, 2020</t>
  </si>
  <si>
    <t>3LSSM2020A-195 Office Supplies</t>
  </si>
  <si>
    <t>PRINTING OF JHS MODULES FOR THE FIRST WEEK</t>
  </si>
  <si>
    <t>19LD0133-Repair/Rehabilitation of Multi-Purpose Building with Facilities, Brgy. Matti, Digos City, Davao del Sur</t>
  </si>
  <si>
    <t>CY 2020 Quick Response Fund (QRF) Repair and Rehabilitation of School Building – REBID – Lot 2 – Repair and Rehabilitation of  Classrooms at Unidos Elementary School, Nabas, Aklan</t>
  </si>
  <si>
    <t xml:space="preserve">IB_20E00102-R1: Cluster 8- Rehabilitation/Reconstruction of Roads with Slips, Slope Collapse and Landslide along San Jose-Port Barton Road Section  K0010+711.40 - K0010+795; K0013+060 – K0013+122.50; </t>
  </si>
  <si>
    <t>LOT 2: Supply, Delivery and Installation of COFFEE PROCESSING EQUIPMENT UNDER THE CRFP SUPPORT PROJECT</t>
  </si>
  <si>
    <t>Construction of Day Care Kitchen</t>
  </si>
  <si>
    <t>CY 2020 Basic Educational Facilities Fund (BEFF) Gabaldon Repair – Restoration and Conservation of Gabaldon Building at Ibajay Central School, Ibajay, Aklan</t>
  </si>
  <si>
    <t>20GFC0060: Purchase of Hazard Markers, Chevron Signs Along Daang Maharlika K0365+000 – K0370+670 with exception, Brgy. Tuaca, Basud, Camarines Norte</t>
  </si>
  <si>
    <t>CY 2020 Quick Response Fund (QRF) Repair and Rehabilitation of School Building – REBID – Lot 1 – Repair and Rehabilitation of  Classrooms at Gibon Elementary School, Nabas, Aklan, Toledo National High</t>
  </si>
  <si>
    <t>GF-20-03-00496 PUSH CART TROLLEY</t>
  </si>
  <si>
    <t>RFQ COMPUTER SUPPLIES AND MATERIALS 3RD QUARTER 2020</t>
  </si>
  <si>
    <t>3LSSM2020A-214 Other Supplies and Materials</t>
  </si>
  <si>
    <t>IB NO. 2020-08-56 Procurement of BIOSAFETY CABINET CLASS II TYPE 2A / A2</t>
  </si>
  <si>
    <t>Construction Supplies and Materials</t>
  </si>
  <si>
    <t>GF-20-02-00306B Impact Dot Matrix Printer</t>
  </si>
  <si>
    <t>Pick-Up Truck, MDRRMO</t>
  </si>
  <si>
    <t>CY 2020 Quick Response Fund (QRF) Repair and Rehabilitation of School Building – REBID – Lot 3 – Repair and Rehabilitation of  Classrooms at Jose F. Meñez, Balete, Aklan, Muguing Elementary School, Ba</t>
  </si>
  <si>
    <t>20GFC0062: Purchase of Fuel and Lubricants for use in Various Service Vehicle and Equipment, DPWH-CNDEO (Construction Section)</t>
  </si>
  <si>
    <t>CY 2020 Quick Response Fund (QRF) Repair and Rehabilitation of School Building – REBID – Lot 6 – Repair and Rehabilitation of  Classrooms at Rizal Elementary School, Ibajay, Aklan and San Isidro Eleme</t>
  </si>
  <si>
    <t>3LSSM2020A-201 Other Supplies &amp; Materials</t>
  </si>
  <si>
    <t>3LSSM2020A-185 Office Supplies</t>
  </si>
  <si>
    <t>3LSSM2020A-198 Office Supplies</t>
  </si>
  <si>
    <t>CONSTRUCTION OF LIGHT STATION (PHASE II)-BRGY. #5 POBLACION-GENERAL LUNA, QUEZON, ITB17-2020</t>
  </si>
  <si>
    <t>GF-20-02-00366B  LABELLER AND TAPE CARTRIDGE</t>
  </si>
  <si>
    <t>20GFC0061: Purchase of Field Accessories and Supplies, for RBIA</t>
  </si>
  <si>
    <t>Repair /Renovation of Barangay Hall, Tayong Occidental, Loay, Bohol</t>
  </si>
  <si>
    <t>COMPLETION OF BARANGAY HALL</t>
  </si>
  <si>
    <t>Supply/Delivery of Drugs and Medicines</t>
  </si>
  <si>
    <t>3LSSM2020A-199 Office Supplies</t>
  </si>
  <si>
    <t>PURCHASE OF RESCUE EQUIPMENT UNDER P.R. NO. 80-20-07-101</t>
  </si>
  <si>
    <t>IB_20E00103-R1: Cluster 9- Rehabilitation / Reconstruction of Roads with Slips, Slope Collapse and Landslide along San Jose-Port Barton Road Section K0014+118.90 – K0014+200.00; K0014+840 – K0014+921.</t>
  </si>
  <si>
    <t>CY 2020 Quick Response Fund (QRF) Repair and Rehabilitation of School Building – REBID – Lot 8 – Repair and Rehabilitation of  Classrooms at Baybay Alibagon Integrated School, Numancia, Aklan, Guinbal</t>
  </si>
  <si>
    <t>Rehabilitations Supply for September 2020</t>
  </si>
  <si>
    <t>Improvement of Level 1, Pump-Driven Water Supply System, Tocdog Dacu, Loay, Bohol</t>
  </si>
  <si>
    <t>3LSSM2020A-184 Office Supplies</t>
  </si>
  <si>
    <t>RFQ 033 Procurement of Tap Water (Reposting)</t>
  </si>
  <si>
    <t>3LSSM2020A-205 Other Supplies and Materials</t>
  </si>
  <si>
    <t>Supply/Delivery of 2 units Air Conditioner Window Inverter</t>
  </si>
  <si>
    <t>CY 2020 Quick Response Fund (QRF) Repair and Rehabilitation of School Building – REBID – Lot 10 – Repair and Rehabilitation of  Classrooms at Catabana Primary School, Madalag, Aklan, Banay-Banay Prima</t>
  </si>
  <si>
    <t>CY 2020 Quick Response Fund (QRF) Repair and Rehabilitation of School Building – REBID – Lot 5 – Repair and Rehabilitation of  Classrooms at Pepe Elementary School, Buruanga, Aklan and Argao Elementar</t>
  </si>
  <si>
    <t>3LSSM2020A-187 Food Supplies</t>
  </si>
  <si>
    <t>CY 2020 Quick Response Fund (QRF) Repair and Rehabilitation of School Building – REBID – Lot 9 – Repair and Rehabilitation of  Classrooms at Naile National High School, Ibajay, Aklan, Mantiguib Elemen</t>
  </si>
  <si>
    <t>PURCHASE OF OFFICE EQUIPMENT UNDER P.R. NO. 80-20-08-108</t>
  </si>
  <si>
    <t>CY 2020 BEFF Repair and Rehabilitation of Classrooms  Batch 4</t>
  </si>
  <si>
    <t>3LSSM2020A-186 Office Supplies</t>
  </si>
  <si>
    <t>GF-20-03-00406B EXECUTIVE TABLE AND CHAIR</t>
  </si>
  <si>
    <t>3LSSM2020A-203 Other Supplies and Materials</t>
  </si>
  <si>
    <t>3LSSM2020A-204 Other Supplies and Materials</t>
  </si>
  <si>
    <t>Supply &amp; Delivery of Supplies for Reproduction of Learning Materials at Buenavista NHS  SHS</t>
  </si>
  <si>
    <t>IB NO. 2020-08-57 R Procurement of AUTOCLAVE MACHINE</t>
  </si>
  <si>
    <t>3LSSM2020A-189 Other Supplies  and Materials</t>
  </si>
  <si>
    <t>Supply &amp; Delivery of Materials for Fabrication &amp; Installation of Iron Grills SHS</t>
  </si>
  <si>
    <t>3LSSM2020A-200 Food Supplies</t>
  </si>
  <si>
    <t>ITB# 47-2020 Food Supplies Expenses</t>
  </si>
  <si>
    <t>Procurement of various Medicine</t>
  </si>
  <si>
    <t>ITB# 46-2020 Office Supplies Expenses</t>
  </si>
  <si>
    <t>Repair of Roof Framing and Roofing</t>
  </si>
  <si>
    <t>Concreting of 0.0205 km Purok Manga and 0.0095 km Purok Malunggay access road, Brgy. Tambangan, Loay, Bohol</t>
  </si>
  <si>
    <t>3LSSM2020A-207 Printing and Publication</t>
  </si>
  <si>
    <t>ITB# 45-2020 Office Supplies Expenses</t>
  </si>
  <si>
    <t>Improvement of Barangay Health Center - Brgy La Union</t>
  </si>
  <si>
    <t>VLMC-SEICTCE-20-2408-120029</t>
  </si>
  <si>
    <t>3LSSM2020A-188 Food Supplies</t>
  </si>
  <si>
    <t>3LSSM2020A-202 Other Supplies and Materials</t>
  </si>
  <si>
    <t>20BD0015 –  LOCAL PROGRAM – LOCAL INFRASTRUCTURE PROGRAM – BUILDINGS AND OTHER STRUCTURES – MULTIPURPOSE/FACILITIES – REHABILITATION OF MULTI-PURPOSE BUILDING, BRGY. MASICAL, AMULUNG, CAGAYAN</t>
  </si>
  <si>
    <t>Improvement of Barangay Hall Tayong Occidental, Loay, Bohol</t>
  </si>
  <si>
    <t>SOLAR STREETLIGHTS WITH POST</t>
  </si>
  <si>
    <t>Procurement of Office Supplies for September 2020</t>
  </si>
  <si>
    <t>ITB# 51-2020 Other Supplies and Materials Expenses</t>
  </si>
  <si>
    <t>3LSSM2020A-206 Other Supplies and Materials</t>
  </si>
  <si>
    <t>Improvement of Barangay Hall, Villalimpia, Loay, Bohol</t>
  </si>
  <si>
    <t>Supplies &amp; Delivery for IT Equipment</t>
  </si>
  <si>
    <t>3LSSM2020A-191 Other Supplies and Materials</t>
  </si>
  <si>
    <t>ITB# 50-2020 Other Supplies and Materials Expenses</t>
  </si>
  <si>
    <t>IB NO. 2020-08-58 Procurement of 2D ECHOCARDIOGRAM MACHINE</t>
  </si>
  <si>
    <t>Landscaping of Nursery Garden, Poblacion Ubos, Loay, Bohol</t>
  </si>
  <si>
    <t>3LSSM2020A-190 Other Supplies and Materials</t>
  </si>
  <si>
    <t>RFQ No. 035- Procurement of Office Equipment (Water Dispenser and Split Type Air condition)-Reposting</t>
  </si>
  <si>
    <t>Elderly and PWD</t>
  </si>
  <si>
    <t>Procurement of Anti-COVID-19 Health Essentials/Merchandise</t>
  </si>
  <si>
    <t>GF-20-02-00196B   RM – COPIER MACHINE (PARTS AND LABOR)</t>
  </si>
  <si>
    <t>PURCHASE OF HORIZONTAL FEED MIXER WAGON UNDER P.R. NO. 50-20-06-051</t>
  </si>
  <si>
    <t>PURCHASE OF DRUG TESTING KIT</t>
  </si>
  <si>
    <t>ITB# 49-2020 Medical, Dental &amp; Laboratory Supplies Expenses</t>
  </si>
  <si>
    <t xml:space="preserve">IB_20E00104-R1: Cluster 10- Rehabilitation / Reconstruction of Roads with Slips, Slope Collapse and Landslide along San Jose-Port Barton Road Section K0015+415.00 – K0015+456.80; Section K0015+723.00 </t>
  </si>
  <si>
    <t>SUPPLY AND DELIVERY OF ID CARD RIBBON AND CLEANER KIT FOR ENDURO, PRONTO, RIO PRO CARD PRINTERS WITH PREMIER PVC CARD</t>
  </si>
  <si>
    <t>ITB# 44-2020 Office Supplies Expenses</t>
  </si>
  <si>
    <t>Supply/Delivery of 600 liters Diesel</t>
  </si>
  <si>
    <t>Purchase of 60 pcs. Traffic Cone and 48 pcs. Traffic Road Barrier</t>
  </si>
  <si>
    <t>ITB# 48-2020 Medical, Dental &amp; Laboratory Supplies Expenses</t>
  </si>
  <si>
    <t>Construction of Comfort Room and Partitioning of Municipal Quarantine Facility</t>
  </si>
  <si>
    <t>Concreting of 0.030  km Purok 6 Access Road, Concepcion, Loay, Bohol</t>
  </si>
  <si>
    <t>Road Concreting At Barangay Bagubad @ Barangay  Bagubad Under Contract Ref. 2020-INFRA-064</t>
  </si>
  <si>
    <t>Fabrication of Billboards/Signage</t>
  </si>
  <si>
    <t>3LSSM2020A-194 Training Expense</t>
  </si>
  <si>
    <t>CY 2020 Quick Response Fund (QRF) Repair and Rehabilitation of School Building – REBID – Lot 4 – Repair and Rehabilitation of  Classrooms at Cabugao Elementary School, Batan, Aklan, Mobo Elementary Sc</t>
  </si>
  <si>
    <t>Office Supplies Expenses</t>
  </si>
  <si>
    <t>3LSSM2020A-193 Other Supplies and Materials</t>
  </si>
  <si>
    <t>Supply &amp; Delivery of School &amp; Office Supplies for Buenavista NHS Senior HS</t>
  </si>
  <si>
    <t>AMP SVP-S NO: 20-08-0431A: Laptop Computer</t>
  </si>
  <si>
    <t>PROCUREMENT OF MATERIALS FOR THE CONSTRUCTION OF MULTIPURPOSE HALL (PHASE I) OF BRGY. CANABUAN, TIGBAUAN, ILOILO</t>
  </si>
  <si>
    <t>IB_20E00105-R1: Cluster 11- Rehabilitation / Reconstruction of Roads with Slips, Slope Collapse and Landslide along San Jose-Port Barton Road Section K0017+000 – K0017+071; K0017+100.00 – K0017+161.80</t>
  </si>
  <si>
    <t>SARI-SARI STORE</t>
  </si>
  <si>
    <t>ITB# 54-2020 Other Supplies and Materials Expenses</t>
  </si>
  <si>
    <t>Supply/Delivery of Catering Services</t>
  </si>
  <si>
    <t>ITB# 52-2020 Other Supplies and Materials Expenses</t>
  </si>
  <si>
    <t>Improvement of Barangay Hall, Hinawanan, Loay, Bohol</t>
  </si>
  <si>
    <t>SEF-20-02-00376B  DIGITAL CAMERA AND SOLAR PANEL</t>
  </si>
  <si>
    <t>ITB# 55-2020 Other Supplies and Materials Expenses</t>
  </si>
  <si>
    <t>Other supplies and materials expenses</t>
  </si>
  <si>
    <t>PRINTING OF IEC MATERIALS AND VARIOUS REPORTS OF BAFE</t>
  </si>
  <si>
    <t>R &amp; M - Communication Equipment</t>
  </si>
  <si>
    <t>3LSSM2020A-192 Other Supplies and Materials</t>
  </si>
  <si>
    <t>CY 2020 Quick Response Fund (QRF) Repair and Rehabilitation of School Building – REBID – Lot 7 – Repair and Rehabilitation of  Classrooms at Cabugao Primary School, Ibajay, Aklan, Naisud Central Schoo</t>
  </si>
  <si>
    <t>PURCHASE OF 4X4 TRUCK PASSENGER TYPE REAR CAB UNDER P.R. NO. 30-20-07-081</t>
  </si>
  <si>
    <t>MAINT 2020-07-0030 - Purchase of Materials for Sign Maintenance along Masbate-Cataingan-Placer Road &amp; Buenavista-Cawayan Road (3rd Quarter CY 2020)</t>
  </si>
  <si>
    <t>IB_20E00106-R1: Cluster 12- Rehabilitation / Reconstruction of Roads with Slips, Slope Collapse and Landslide along Langogan-Roxas Road Section K0098+160 – K0098+330.00; K0099+480 – K0099+570, K0099+7</t>
  </si>
  <si>
    <t>Package 041- Procurement of Sala Set</t>
  </si>
  <si>
    <t>Water Pipeline Installation, Alegria Sur, Loay, Bohol</t>
  </si>
  <si>
    <t>MAINT 2020-07-0036 - Purchase of Materials for Special Maintenance (Premix Patching  Bituminous Pavements) along Masbate-Cataingan-Placer Road (4th Quarter CY 2020)</t>
  </si>
  <si>
    <t>SH 003-20 (SBAC): PURCHASE OF SUPPLIES IN RESPONSE TO COVID-19 PANDEMIC</t>
  </si>
  <si>
    <t>Purchase of 1650 bags Cement</t>
  </si>
  <si>
    <t>SUPPLY, DELIVERY, AND INSTALLATION OF VARIOUS OFFICE EQUIPMENT</t>
  </si>
  <si>
    <t>3 units Cabinet (PR#20-07-0458)</t>
  </si>
  <si>
    <t>Road Concreting @ Barangay 24, Gingoog City Under Contract Ref. No. 2020-INFRA-063</t>
  </si>
  <si>
    <t>Purchase of Various Tools and Materials</t>
  </si>
  <si>
    <t>Medical, Dental and Laboratory supplies expenses</t>
  </si>
  <si>
    <t>PURCHASE OF PUPILS LEARNING KIT</t>
  </si>
  <si>
    <t>Purchase of Laboratory Supplies/Reagents</t>
  </si>
  <si>
    <t>Barangay 677 MOOE "ELECTRICAL SUPPLIES" / RRMF "EMERGENCY LIGHTS" 2020</t>
  </si>
  <si>
    <t>Development of Eco Park at Civoleg (Installation of Perimeter  Lightings) Under Contract Ref. No. 2020-INFRA-065</t>
  </si>
  <si>
    <t>CONCRETE PATHWAY</t>
  </si>
  <si>
    <t>Purchase of 3,500 pcs. IV Catheter g.24 and 500 pcs. IV catheter g.20</t>
  </si>
  <si>
    <t>R &amp; M - ICT Equipment</t>
  </si>
  <si>
    <t>Office Equipment, Supplies and Consumables</t>
  </si>
  <si>
    <t>Construction of Consuelo to Hagnaya Boundary FMR Double Barrel Box Culvert</t>
  </si>
  <si>
    <t>Rehabilitation of Bonbon Barangay Hall</t>
  </si>
  <si>
    <t>PROCUREMENT OF SUPPLIES FOR INTERNET CONNECTION</t>
  </si>
  <si>
    <t>Roofing of Stage, Poblacion Ibabao, Loay, Bohol</t>
  </si>
  <si>
    <t>PROCUREMENT OF SUPPLIES TO BE USED IN MODULAR LEARNING</t>
  </si>
  <si>
    <t>Publication of CAO 11-2020</t>
  </si>
  <si>
    <t>Concreting of 0.030 km purok 3 access road, Sagnap, Loay</t>
  </si>
  <si>
    <t>Purchase of 1 unit Smart TV 55”, 1 set Toilet Bowl with Lavatory, Bidet and Faucet, 1 unit Internet Router and 5 unit Electric Mosquito Swatter</t>
  </si>
  <si>
    <t>Barangay 749 BDF "CLEAN &amp; BEAUTIFICATION" 2020</t>
  </si>
  <si>
    <t>MAINT 2020-08-0039 - Purchase of Materials for Centerline and Lane Line Repainting along Masbate-Cataingan-Placer Road (4th Quarter CY 2020)</t>
  </si>
  <si>
    <t>IB_19E00066: Reconstruction/Rehabilitation of National Roads with Slips and Slope Collapse along F.B. Reyes (Busuang Coron Road), K0012+810.00 – K0015+550.00; K0020+763.98 – K0022+673.98, Coron, Palaw</t>
  </si>
  <si>
    <t>IB_20E00107-R1: Cluster 13- Rehabilitation / Reconstruction of Roads with Slips, Slope Collapse and Landslide along Langogan-Roxas Road Section K0100+310 – K0100+440, K0101+120 – K0101+202.90; K0104+0</t>
  </si>
  <si>
    <t>Supply/Delivery of 1 piece Mirrorless Camera</t>
  </si>
  <si>
    <t>VLMC-M-20-0608-010161</t>
  </si>
  <si>
    <t>SUPPLY, DELIVERY, AND INSTALLATION OF VARIOUS MEDICAL, HEALTH AND SAFETY SUPPLIES</t>
  </si>
  <si>
    <t>Purchase and delivery of Various Office supplies to be used by different offices of the Municipality of Concepcion, Tarlac</t>
  </si>
  <si>
    <t>ANIMAL FEEDS/IB No. AA-2020-005</t>
  </si>
  <si>
    <t>SH 054-20: PURCHASE OF HANDHELD TRANSCEIVER RADIO FOR OFFICIAL USE OF CREST-O STAFF &amp; USEC FOR REGULATION</t>
  </si>
  <si>
    <t>AMP SVP-D NO: 20-08-0328C: 2pack – D10 Hemoglobin Program Reorder Pack: 400T &amp; 1set Lyphocheck Diabetes Control (6x0.5ml)</t>
  </si>
  <si>
    <t>Office Services 2020 (Rebid)</t>
  </si>
  <si>
    <t>IB NO. 2020-08-60 Procurement of NASAL HIGH FLOW MACHINE</t>
  </si>
  <si>
    <t>Supply and Delivery of Certified Reference Material for the Feed Chemical Analysis Laboratory with an ABC of P110,000.00 and PR No. DA3-2020-08-18-132</t>
  </si>
  <si>
    <t>IB_20E00108-R1: Cluster 14- Rehabilitation / Reconstruction of Roads with Slips, Slope Collapse and Landslide along Langogan-Roxas Road Section K0104+780 – K0104+860, K0105+180 – K0105+282; K0105+500.</t>
  </si>
  <si>
    <t>MPG-B1-2020-349 - SUPPLY AND DELIVERY OF BRAND NEW 52,290 PIECES UNDERSHIRT, RAGLAN, POLYESTER, SPANDEX, ROUND NECK AND 8,137 SETS PHILIPPINE ARMY ATHLETIC UNIFORM FOR THE PHILIPPINE ARMY (PA)</t>
  </si>
  <si>
    <t>Supply of Materials for the Installation of Temporary Quarantine Facility with Amenities</t>
  </si>
  <si>
    <t>20GSHE0013 - Supply of Safety and Occupational Products for use by various personnels assigned in RBIA, BMS, PMS, RSM, Planning &amp; Design Section, Cebu 2nd DEO.</t>
  </si>
  <si>
    <t>Supply of Labor, Materials and Equipment for the Construction of Naga Sculpture at Brgy. East Pob., City of Naga, Cebu</t>
  </si>
  <si>
    <t>AMP SVP-D NO: 20-08-0342D:Granulated &amp; Powdered Culture Media &amp; Media Components</t>
  </si>
  <si>
    <t>PB SUPPLY AND DELIVERY OF MEDICAL SUPPLIES – 2ND BATCH – SINGLE BID</t>
  </si>
  <si>
    <t>IB NO. 2020-08-61 R Procurement of TRANSPORT STRETCHER</t>
  </si>
  <si>
    <t>Supply of Materials for the Purchase of Amenities</t>
  </si>
  <si>
    <t>IB_19E00067: Rehabilitation/Reconstruction of Roads with Slips, Slope Collapse and Landslide, Tablas Circumferential Road K0062+800 – K0063+110, Tablas, Romblon</t>
  </si>
  <si>
    <t>INVITATION TO BID FOR SUPPLY AND DELIVERY OF SERVICE VEHICLE</t>
  </si>
  <si>
    <t>R &amp; M - Office Equipment</t>
  </si>
  <si>
    <t>Purchase and delivery of 220 liters of Chemical Mist Spray (Deltamethrin) to be used in the Municipal Health Office, Concepcion, Tarlac</t>
  </si>
  <si>
    <t>Upgrading/Rehabilitation of Forest Road Extension @ Poblacion Urbiztondo, Pangasinan</t>
  </si>
  <si>
    <t>CATERING SERVICES/NEG. PROC. 53.10 U-2020-08-007</t>
  </si>
  <si>
    <t>R &amp; M - Dental Equipment</t>
  </si>
  <si>
    <t>AMP SVP-D NO: 20-08-0391C: Medals for the 2020 UP Diliman General Commencement</t>
  </si>
  <si>
    <t>Purchase of 33 M.T. Asphalt Pre-Mix and 2 drums Emulsified Asphalt</t>
  </si>
  <si>
    <t>20GSHE0017 - Supply of Information Technology for use by personnel assigned in Planning &amp; Design Section, Cebu 2nd DEO.</t>
  </si>
  <si>
    <t>Various Infrastructure Projects II (2020)</t>
  </si>
  <si>
    <t>Materials needed for the reproduction of locally developed learning resources for use by teachers of Kalinga</t>
  </si>
  <si>
    <t>ALTERNATIVE LEARNING MODULE/BINDING MODULE/OFFICE USE - JHS</t>
  </si>
  <si>
    <t>SMART TV</t>
  </si>
  <si>
    <t>R &amp; M - Office Building</t>
  </si>
  <si>
    <t>ASPHALT, 200 LITERS/IB No. K-2020-005</t>
  </si>
  <si>
    <t>Procurement of Services for Hauling and Loading of Filling Materials for Naga Marine Passenger Terminal (Coastal Development Project) at Brgy. East Poblacion, City of Naga, Cebu</t>
  </si>
  <si>
    <t>SUPPLIES FOR THE PRODUCTION OF MODULES</t>
  </si>
  <si>
    <t>IB NO. 2020-08-59 R Procurement of VARIOUS I.T. EQUIPMENT</t>
  </si>
  <si>
    <t>SUPPLY OF VARIOUS CONSTRUCTION MATERIALS FOR THE INSTALLATION OF  PARTITION WALL AT PINILI PUBLIC MARKET (STALLS)</t>
  </si>
  <si>
    <t>Supply &amp; Installation of Thermo Scientifi Barnstead Smart2Pure Pro Consumables</t>
  </si>
  <si>
    <t>IB NO. 2020-08-62 R Procurement of OPERATING TABLE FOR OB</t>
  </si>
  <si>
    <t>COMPLETION OF MULTI-PURPOSE CENTER (Tibiao Central School, Tibiao, Antique)/IB. NO. K-2020-101(SC)</t>
  </si>
  <si>
    <t>Automatic Motorcycle for a PWRD Beneficiary</t>
  </si>
  <si>
    <t>Supply of Various IT Personnel, as per BSP Terms of Reference</t>
  </si>
  <si>
    <t>SUPPLY OF VARIOUS CONSTRUCTION MATERIALS FOR THE CONSTRUCTION OF SLOPE PROTECTION AT BARANGAY PUZOL, PINILI, ILOCOS NORTE</t>
  </si>
  <si>
    <t>Procurement of Supplies for Reproduction of Learning Modules of Namabbalan Elementary School</t>
  </si>
  <si>
    <t>CONSTRUCTION OF PATHWAYS</t>
  </si>
  <si>
    <t>IB NO. 2020-08-63 R Procurement of INFANT RADIANT WARMER WITH RESUSCITATOR</t>
  </si>
  <si>
    <t>SUPPLY, DELIVERY, AND INSTALLATION OF FURNITURE AND FIXTURE</t>
  </si>
  <si>
    <t>Repair and Maintenance of Motor Vehicles of Pitogo Municipal Police Station</t>
  </si>
  <si>
    <t>LOT 1: Supply and Delivery of Multipurpose Microbial Inoculant as Support to ARBs Affected by Rice Importation under the Assistance to Community-Based Enterprises for Farmers' Orgn (ACE for FOs) Proje</t>
  </si>
  <si>
    <t>CONSTRUCTION OF 2ND FLOOR OF MULTI-PURPOSE CENTER (Brgy. Binangbang Centro, Barbaza, Antique)/IB. NO. K-2020-100(SC)</t>
  </si>
  <si>
    <t>Fabrication/Installation of Filing Cabinet of Comelec Office, Old City Hall Building , Barangay V, Lucena City (Rebid)</t>
  </si>
  <si>
    <t>Supply and Delivery of 1,125 kgs. Commemorative Coin Metals, 33.55mm dia., as per BSP Technical Specifications, Terms of Reference and Terms and Conditions</t>
  </si>
  <si>
    <t>Procurement of Supplies for Reproduction of Learning Modules of Tuguegarao North Central SChool (3)</t>
  </si>
  <si>
    <t>REPAIR OF STAFF HOUSE(Brgy. Tubudan, San Remigio, Antique)/IB. NO. K-2020-102(SC)</t>
  </si>
  <si>
    <t>AMP SVP-D NO: 20-08-0273B: Desktop Computer</t>
  </si>
  <si>
    <t>Procurement of Inorganic and Organic Fertilizers for the Corn Production of PBD Division of the DAR Negros Oriental</t>
  </si>
  <si>
    <t>procurement and deliveries of material and supplies for barangay streetlight maintenance</t>
  </si>
  <si>
    <t>Procurement of Supplies for Reproduction of Learning Modules of Dadda Elementary School</t>
  </si>
  <si>
    <t>Procurement of Supplies for Reproduction of Learning Modules of Tuguegarao North Central SChool (1)</t>
  </si>
  <si>
    <t>IMPROVEMENT OF BARANGAY HALL</t>
  </si>
  <si>
    <t>Procurement of Materials for the Repair of Gate and Principal's Office</t>
  </si>
  <si>
    <t>Service Analysis of Various Samples</t>
  </si>
  <si>
    <t>AMP SVP-D NO: 20-08-0242C: Laboratory Reagents and Supplies</t>
  </si>
  <si>
    <t>Procurement of Supplies for Reproduction of Learning Modules of Annafunan Elementary School (1)</t>
  </si>
  <si>
    <t>Concreting of Shoulder and Sidewalk, Barangay I, Lucena City</t>
  </si>
  <si>
    <t>MATERIALS FOR THE REPAIR AND MAINTENANCE OF PROVINCIAL ROAD/IB No. K-2020-004</t>
  </si>
  <si>
    <t>Procurement of Security Services for Agus 5 Hydroelectric Power Plant</t>
  </si>
  <si>
    <t>Procurement of Laptop</t>
  </si>
  <si>
    <t>Procurement of Supplies for Reproduction of Learning Modules of Tuguegarao North Central Sdhool (2)</t>
  </si>
  <si>
    <t>Procurement of Supplies for Reproduction of Learning Modules of Annafunan Elementary School (2)</t>
  </si>
  <si>
    <t>PRINTER AND SCANNER</t>
  </si>
  <si>
    <t>Procurement of LDPE Plain Plastic and Packaging Tape</t>
  </si>
  <si>
    <t>PROPER BOLOG - CEMETERY PATHWAY CONCRETING</t>
  </si>
  <si>
    <t>R &amp; M - Other Structure</t>
  </si>
  <si>
    <t>AMP SVP-D NO: 20-08-0210C: ChIP Reagents</t>
  </si>
  <si>
    <t>Procurement of Supplies for Reproduction of Learning Modules of Annafunan Elementary School (3)</t>
  </si>
  <si>
    <t>MISSION ROAD IMPROVEMENT</t>
  </si>
  <si>
    <t>Purchase of IT Equipments, Furniture and Fixture for the Mayor's Office</t>
  </si>
  <si>
    <t>REHABILITATION OF  WATER SYSTEM AT BRGY. IMELDA</t>
  </si>
  <si>
    <t>Procurement of Carbonless Paper</t>
  </si>
  <si>
    <t>MULTI-PURPOSE HALL CONTINUATION</t>
  </si>
  <si>
    <t>REHABILITATION OF  CONCRETE  PATHWAY AT BRGY. LUNANG-1</t>
  </si>
  <si>
    <t>Construction of Drainage Structure , Purok Masagana I, Barangay Talao-Talao, Lucena City</t>
  </si>
  <si>
    <t>Supply and Delivery of PH Meter</t>
  </si>
  <si>
    <t>CONSTRUCTION OF CULONG DAY CARE CENTER</t>
  </si>
  <si>
    <t>Supply and Delivery of Fertilizers for distribution under Mindoro Dinorado Rice Production Program - Agro Technology Resource and Management Services Division.</t>
  </si>
  <si>
    <t>Procurement of Organic Fertilizers for the Rice Production of PBD Division of the DAR Negros Oriental</t>
  </si>
  <si>
    <t>SVP PUR20-08-0699 Procurement of Disposable excision drape for ORMAT -ORSA, PGH</t>
  </si>
  <si>
    <t>Service Repair, Preventive Maintenance and System Verification of Gas Chromatograph Model: Varian 3800</t>
  </si>
  <si>
    <t>Concreting of Road, Purok Sampaguita (Rosario Village) Barangay Ilayang Iyam, Lucena City</t>
  </si>
  <si>
    <t>Supply and Delivery of Agricultural Products for distribution of Agro - Technology Resource Management Services - Organic Vegetable Production.</t>
  </si>
  <si>
    <t>CLUSTER 14 INFRASTRUCTURE PROJECT</t>
  </si>
  <si>
    <t>Procurement of Supplies for Reproduction of Learning Modules of Bagay Elementary School</t>
  </si>
  <si>
    <t>R &amp; M - Other Machinery and Equipment</t>
  </si>
  <si>
    <t>Procurement of Book Paper</t>
  </si>
  <si>
    <t>Supply and Delivery of Office Equipment for use of the OMPH</t>
  </si>
  <si>
    <t>Fabrication of Hands - Free Wash Area at Two Entrance Gates</t>
  </si>
  <si>
    <t>Supply and Delivery of General Merchandise for use in Aquaculture Development Program as Fishery Input Support to Fish farmers/growers in the province.</t>
  </si>
  <si>
    <t>Procurement of Supplies for Reproduction of Learning Modules of Linao Elementary School</t>
  </si>
  <si>
    <t>Procurement of Supplies for Reproduction of Learning Modules of Atulayan Elementary School</t>
  </si>
  <si>
    <t>PROVISION OF CATERING SERVICES FOR THE ADMINISTRATION OF THE COMPUTER-BASED ENGLISH PROFICIENCY TEST FOR TEACHER APPLICANTS FOR SY 2020-2021</t>
  </si>
  <si>
    <t>Supply and Delivery of Materials for Local Road Upgrading</t>
  </si>
  <si>
    <t>Cluster A. Rehab./Improvement of Multi-Purpose Hall and Const. of Deepwell w/ Water Pump, Brgy.Ilayang Dupay, Lucena City B. Repair of Pathway , Purok  Grand Alliance &amp; Manggahan, Brgy. Ilayang Dupay,</t>
  </si>
  <si>
    <t>AMP SVP-D NO: 20-08-0300D: Refrigerated Microcentrifuge and Accessories</t>
  </si>
  <si>
    <t>UPLB-S-056-09-20, SUPPLY AND DELIVERY OF BRANDED AND BRAND NEW ORIGINAL PRINTING SUPPLIES FOR OVCAA-OUR</t>
  </si>
  <si>
    <t>Procurement of Supplies for Reproduction of Learning Modules of Carig Integrated School</t>
  </si>
  <si>
    <t>UPLB-S-055-09-20, SUPPLY AND DELIVERY OF  BRANDED AND BRAND NEW VARIOUS PHOTOGRAPHIC EQUIPMENT</t>
  </si>
  <si>
    <t>Procurement of Supplies for Reproduction of Learning Modules of Carig Norte Elementary School</t>
  </si>
  <si>
    <t>Supply and Delivery of Aluminum Glass door for GAB Personnel Section</t>
  </si>
  <si>
    <t>Construction of Garage of the Schools Division Office of Cagayan</t>
  </si>
  <si>
    <t>Construction of Covered Court. Bliss E/S, Barangay Mayao Crossing, Lucena City</t>
  </si>
  <si>
    <t>Supply and Delivery of THREE HUNDRED (300) BAGS UREA (46-0-0)</t>
  </si>
  <si>
    <t>AMP SVP-S NO: 20-08-0228D: Bolted Steel Shelves</t>
  </si>
  <si>
    <t>Van Rental for the Training Course on the Preparation of Design, Installation and Management of Biogas Digesters</t>
  </si>
  <si>
    <t>REPOST: ntegrated Starter Kit for INREMP LES-2 assisted POs in Four covered Sectors (Abaca Sector)</t>
  </si>
  <si>
    <t>Supply and Delivery of 14,850 sets of Corrugated File Box, Kraft, B-Flute, as per BSP Terms of Reference</t>
  </si>
  <si>
    <t>Procurement of Supplies for Reproduction of Learning Modules of Cataggaman National High School (1)</t>
  </si>
  <si>
    <t>AMP SVP-D NO: 20-08-0292A: Fire Detection Alarm System</t>
  </si>
  <si>
    <t>BALULANG ELEMENTARY SCHOOL REPRODUCTION OF MODULES FOR QUARTER 1 (CENTRAL OFFICE FUNDS)</t>
  </si>
  <si>
    <t>PREVENTIVE  MAINTENANCE SERVICE OF TOYOTA INNOVA 2018 CSA8H-060 (38,029 KM</t>
  </si>
  <si>
    <t>Installation of 1 Set Basketball Post, Fiber Glass Board and Ring</t>
  </si>
  <si>
    <t>ITB-Supply and Delivery of Scuba Tank Compressor</t>
  </si>
  <si>
    <t>PROVISION OF CATERING SERVICES FOR THE TWO-DAY DIVISION TRAINING OF KINDERGARTEN TEACHERS</t>
  </si>
  <si>
    <t>INSTALLATION OF 4.00 x 2.25m MRF @ BRGY. DACU, MOBO, MASBATE</t>
  </si>
  <si>
    <t>PROCUREMENT OF MATERIALS FOR IMPROVEMENT OF MULTI PURPOSE BUILDING</t>
  </si>
  <si>
    <t>AU 137 - Supply, Delivery, &amp; Installation of Air-conditioning Unit</t>
  </si>
  <si>
    <t>Procurement of Fuel</t>
  </si>
  <si>
    <t>Rehabilitation of Evacuation Center</t>
  </si>
  <si>
    <t>Procurement of Construction Materials and Supplies for the Construction of Concrete Pavement of Barangay Plaza at Vizcaya Proper</t>
  </si>
  <si>
    <t>Procurement of Supplies for Reproduction of Learning Modules of Tuguegarao Northeast Central School</t>
  </si>
  <si>
    <t>BU 67 - Supply and Delivery of Printer Ink</t>
  </si>
  <si>
    <t>Supply and Delivery of ONE HUNDRED EIGHTY (180) BOTTLES FOLIAR FERTILIZER</t>
  </si>
  <si>
    <t>Supply and Delivery of Office Equipment Supplies and Consumables for IPED</t>
  </si>
  <si>
    <t>PURCHASE OF CERTIFICATE JACKET FOR VARIOUS EVENTS OF SCHOOLS DIVISION OFFICE OF SORSOGON</t>
  </si>
  <si>
    <t>Supply and Delivery of FIVE HUNDRED FORTY (540) BAGS UREA (46-0-0)</t>
  </si>
  <si>
    <t>Two lots Lease of Card Production and Personalization Equipment for PhilID Project</t>
  </si>
  <si>
    <t>PROCUREMENT  OF VARIOUS VEGETABLE  SEEDS FOR THE CONTINUED SUPPORT DURING PANDEMIC</t>
  </si>
  <si>
    <t>Supply and Delivery of Various Tools, Equipment and Power Tools - Lot 1</t>
  </si>
  <si>
    <t>EXTENSION BARANGAY HEALTH CENTER</t>
  </si>
  <si>
    <t>Procurement of Medical Oxygen Refill</t>
  </si>
  <si>
    <t>Construction of Hanging Bridge</t>
  </si>
  <si>
    <t>PROCUREMENT OF FUEL FOR BFP-NHQ</t>
  </si>
  <si>
    <t>Engineering Software</t>
  </si>
  <si>
    <t>Procurement of Materials for the Improvement of COA Stock Room - MEO</t>
  </si>
  <si>
    <t>Supply of Materials for the Construction and Rehabilitation of Drainage System</t>
  </si>
  <si>
    <t>Supply and Delivery of Various Tools, Equipment and Power Tools - Lot 4</t>
  </si>
  <si>
    <t>Supply and Delivery of EIGHTY (80) BAGS INORGANIC FERTILIZER (UREA)</t>
  </si>
  <si>
    <t>Procurement of Office Equipment and Supplies for District Offices - DepEd</t>
  </si>
  <si>
    <t>Supply and Delivery of FOUR THOUSAND (4000) SACHET RODENTICIDES</t>
  </si>
  <si>
    <t>CONSTRUCTION OF MULTI-PURPOSE FACILITY at Olivete Elementary School, Olivete, Bongabon, Nueva Ecija</t>
  </si>
  <si>
    <t>Barangay Supplies &amp; Equipment</t>
  </si>
  <si>
    <t>Procurement of Health &amp; Hygiene Supplies for COVID19 Prevention in 65 Schools - DepEd</t>
  </si>
  <si>
    <t>Supply and Delivery of EIGHT HUNDRED (800) BOTTLES PESTICIDES</t>
  </si>
  <si>
    <t>Supply and Delivery of Spare Part for Mitsubishi Pajero Jeep  (RFQ20-27)</t>
  </si>
  <si>
    <t>Supply and Delivery of Various Tools, Equipment and Power Tools - Lot 2</t>
  </si>
  <si>
    <t>Procurement of supplies to be used in modular learning #3.doc</t>
  </si>
  <si>
    <t>Rehabilitation/Repair of San Juan-Entapatan Farm to Market Road</t>
  </si>
  <si>
    <t>Supply and Delivery of Various Tools, Equipment and Power Tools - Lot 3</t>
  </si>
  <si>
    <t>Supply and Delivery of FOUR HUNDRED (400) BOTTLES FOLIAR FERTILIZER</t>
  </si>
  <si>
    <t>Request for Quotation for 1 SET PROJECTOR</t>
  </si>
  <si>
    <t>Purchase of Municipal DRR Rescue Vehicle</t>
  </si>
  <si>
    <t>Purchase of Supplies and Materials for Food Distribution</t>
  </si>
  <si>
    <t>Supply and Delivery of SEVEN HUNDRED (700) BAGS FERTILIZER (14-14-14)</t>
  </si>
  <si>
    <t>TRUCK SCALE REPAIR AND UPGRADING</t>
  </si>
  <si>
    <t>2020-08-0185 - PROCUREMENT OF VEHICLE PARTS AND ACCESSORIES FOR USE IN THE OPERATION OF ISUZU D-MAX 100107 AT CONSTRUCTION SECTION</t>
  </si>
  <si>
    <t>Request for Quotation for CONFERENCE MICROPHONE SYSTEM</t>
  </si>
  <si>
    <t>Backfilling of Barangay Lot</t>
  </si>
  <si>
    <t>Local Access Road Upgrading in Estrella to Mamlad Road in Barangay Estrella, Jovellar, Albay</t>
  </si>
  <si>
    <t>2020-07-0186 - PROCUREMENT OF VEHICLE PARTS AND ACCESSORIES FOR USE IN THE OPERATION OF NISSAN TERRANO, SJJ-663 (3RD QUARTER CY 2020)</t>
  </si>
  <si>
    <t>Repair/Widening of Carriageway of Poblacion Access Road</t>
  </si>
  <si>
    <t>CLUSTER 30: IMPROVEMENT OF SOCIO-CULTURAL &amp; EVACUATION CENTER PHASE VIII</t>
  </si>
  <si>
    <t>Supply and Delivery of ONE THOUSAND (1000) SACHET ENHANCER</t>
  </si>
  <si>
    <t>RFQ-650_reams_Bond_paper</t>
  </si>
  <si>
    <t>VARIOUS SUPPLIES TO BE USED IN MODULAR LEARNING FOR FOURTH QUARTER</t>
  </si>
  <si>
    <t>Supply and Delivery of TWO THOUSAND (2000) SACHET ENHANCER</t>
  </si>
  <si>
    <t>CONSTRUCTION OF MULTI-PURPOSE FACILITY at Curva Elementary School, Curva, Cuyapo, Nueva Ecija</t>
  </si>
  <si>
    <t>Rehabilitation of Brgy. Hall (Toilet and Kitchen) RE-BID</t>
  </si>
  <si>
    <t>Supply and Delivery of ONE THOUSAND SIX HUNDRED (1600) BAGS COMPLETE FERTILIZER (14-14-14)</t>
  </si>
  <si>
    <t>AMP SVP-D NO: 20-08-0442 One (1) Lot Centrifugal Vacuum Concentrator</t>
  </si>
  <si>
    <t>AMP SVP-D NO: 20-08-0443 One (1) Lot PCR Supplies</t>
  </si>
  <si>
    <t>Procurement of Office Supplies under the HVCDP</t>
  </si>
  <si>
    <t>Supply and Delivery of Various Tools, Equipment and Power Tools - Lot 5</t>
  </si>
  <si>
    <t>Procurement of Furnitures and Fixtures for Laboratory use-MHU</t>
  </si>
  <si>
    <t>Supply and Delivery of ONE HUNDRED EIGHTY (180) BOTTLES PESTICIDES</t>
  </si>
  <si>
    <t>Construction/Installation of Street Lights</t>
  </si>
  <si>
    <t>CLUSTER 29: CLUSTERED PROJECTS OF BARANGAY LOO - 2</t>
  </si>
  <si>
    <t>PROCUREMENT OF OFFICE SUPPLIES</t>
  </si>
  <si>
    <t>Additional 700 load for communication purposes#3.doc</t>
  </si>
  <si>
    <t>BALULANG ELEMENTARY SCHOOL REPRODUCTION OF MODULES FOR QUARTER 1 (SPECIAL EDUCATION FUNDS)</t>
  </si>
  <si>
    <t>Communication Equipment</t>
  </si>
  <si>
    <t>Periodic Maintenance of 11 Units of Toyota Vehicles</t>
  </si>
  <si>
    <t>ICT Equipment</t>
  </si>
  <si>
    <t>Supply and Delivery of EIGHTY (80)  BAGS UREA (46-0-0)</t>
  </si>
  <si>
    <t>Supply and Delivery of EIGHT HUNDRED (800) BAGS COMPLETE FERTILIZER</t>
  </si>
  <si>
    <t>Production and installation of SSF Outdoor Signages</t>
  </si>
  <si>
    <t>PROCUREMENT OF PERSONAL PROTECTIVE EQUIPMENTS (PPE)</t>
  </si>
  <si>
    <t>AMP SVP-D NO: 20-08-0248D: Certification Services to ISO 9001:2015</t>
  </si>
  <si>
    <t>Supply and Delivery of TWO HUNDRED (200) BOTTLES FOLIAR FERTILIZER</t>
  </si>
  <si>
    <t>Supply and Delivery of Four (4) Complete Sets of Desktop Computer (RFQ20-32)</t>
  </si>
  <si>
    <t>LOT 2: Supply and Delivery of Certified Lowland Inbreed Rice Seeds as Support to ARBs Affected by Rice Importation under Assistance to Community-Based Enterprises for Farmers Orgns (ACE for FOs) Proje</t>
  </si>
  <si>
    <t>Procurement of Security Services for Agus 6 &amp; 7 Hydroelectric Power Plants</t>
  </si>
  <si>
    <t>Repair/Rehabilitation of Municipal Road</t>
  </si>
  <si>
    <t>Installation of Water Supply System, Purok Kaimito and Purok Duhatan , Barangay Ilayang Talim, Lucena City</t>
  </si>
  <si>
    <t>CONSTRUCTION OF MULTI-PURPOSE FACILITIES (RE-BID)</t>
  </si>
  <si>
    <t>PURCHASE OF MATERIALS FOR MULTI-PURPOSE HALL BRGY GUI-OB PHASE 3</t>
  </si>
  <si>
    <t>Supply and Delivery of FIVE HUNDRED (500) BOTTLES FOLIAR FERTILIZER</t>
  </si>
  <si>
    <t>Materials for Improvement of Multi-Purpose Building</t>
  </si>
  <si>
    <t>Procurement and delivery of various office supplies for PSA Negros  Occidental PSO</t>
  </si>
  <si>
    <t>Purchase of Welfare Goods- BGCMF</t>
  </si>
  <si>
    <t>Tires</t>
  </si>
  <si>
    <t>SUPPLY AND DELIVERY OF ACETYLENE AND OXYGEN FOR MOTORPOOL USE</t>
  </si>
  <si>
    <t>Purchase of Canvas Cover(Mini Dump Truck Elf-Blue)</t>
  </si>
  <si>
    <t>Supply and Delivery of Materials, Labor and Equipment for the Installation of CCTV for the Official Use in the Municipality of Padre Garcia, Batangas</t>
  </si>
  <si>
    <t>Procurement of Meals and Snacks</t>
  </si>
  <si>
    <t>Procurement of 10 pcs. Signotec Sigma LCD Signature Pad</t>
  </si>
  <si>
    <t>SUPPLY AND DELIVERY OF GROCERY ITEMS FOR HALFWAY HOME FOR GIRLS/WOMEN SUPPLY FOR THE FIRST AND SECOND QUARTER</t>
  </si>
  <si>
    <t>Lot I- Use for Service Vehicle with plate no. ULO 262. Lot II- Use for Service Vehicle (H1-5080) with plate no. SKA 497. Lot III- Use for Service Vehicle (H1-7711) with plate no. FOZ 643.</t>
  </si>
  <si>
    <t>RFQ-DVO-PR.NO. 2007305 CAT. 56 SPARE PARTS FOR LIGHT HEAVY EQUIPMENT</t>
  </si>
  <si>
    <t>SUPPLY AND DELIVERY OF HYPERTENSIVE MEDICINES</t>
  </si>
  <si>
    <t>Supply and Delivery of Office Tables and other Equipment’s for UEP Laoang Campus</t>
  </si>
  <si>
    <t>Capacitor control box</t>
  </si>
  <si>
    <t>PROCUREMENT OF FACE SHIELD FOR THE 2020 CENSUS OF POPULATION AND HOUSING (CPH)-FIELD OPERATION</t>
  </si>
  <si>
    <t>Concreting of Tagbino - Maglahos Provincial Road, Vallehermoso, Negros Oriental(N-235-2020)</t>
  </si>
  <si>
    <t>MATERIALS FOR THE IMPROVEMENT OF COVERED COURT</t>
  </si>
  <si>
    <t>CONSTRUCTION/REHABILITATION/IMPROVEMENT OF BRGY. MAGSAYSAY-SITIO HURUBSAN BARANGAY ROAD AT BRGY. MAGSAYSAY-SITIO HURUBSAN, JAVIER, LEYTE</t>
  </si>
  <si>
    <t>Procurement of IT Materials for ESSU-IGP use in preparation of production of modules of the university PR#2020-OSPM-306</t>
  </si>
  <si>
    <t>PROVISION AND INSTALLATION OF SPLIT-TYPE AIR CONDITIONER</t>
  </si>
  <si>
    <t>ITB-2020-025 - SUPPLY AND DELIVERY OF LABORATORY SUPPLIES AND MACHINE</t>
  </si>
  <si>
    <t>20FO0110 - Construction of Cuyaoyao - Sitio Pantay Farm-to-Market Road, Cuyaoyao, Pioduran, Albay</t>
  </si>
  <si>
    <t>Bid No. 20-0426 - PROCUREMENT OF OFFICE SUPPLIES - PNP OPERATIONS</t>
  </si>
  <si>
    <t>RFQ 2020-08-038: SUPPLY AND DELIVERY OF OFFICE SUPPLIES AND DEVICES, CDOC 2ND DEO, MACABALAN, CDOC</t>
  </si>
  <si>
    <t>IMPROVEMENT OF HEALTH CENTER</t>
  </si>
  <si>
    <t>Procurement of Risograph Machine</t>
  </si>
  <si>
    <t>Use for maintenance office personnel at 3rd floor Romblon District Engineering Office.</t>
  </si>
  <si>
    <t>SUPPLY AND DELIVERY OF VARIOUS SUPPLIES AND MATERIALS FOR BALAY NAMNAMA YOUTH HOME FOR BOYS</t>
  </si>
  <si>
    <t>INSTALLATION OF GLASS PARTITION</t>
  </si>
  <si>
    <t>20GP00132 - Procurement of Cubicles for the Repair / Improvement of the Assistant Regional Director's Office, DPWH-CAR</t>
  </si>
  <si>
    <t>CONCRETING OF ROAD AT NELIA VILLE SUBDIVISION UPPER KM. 11</t>
  </si>
  <si>
    <t>RFQ 08-04-2020 Item A</t>
  </si>
  <si>
    <t>20GP00126 - Clustered Purchase Request for the Procurement of Various Merchandise (A) For use of  Road Slope Management (RSM), Planning and Design Division, and (B) For the Preparation of Right-of-Way</t>
  </si>
  <si>
    <t>20GP00119 - Procurement of IT Equipment and Devices for use of Road Slope Management (RSM), Planning and Design Division</t>
  </si>
  <si>
    <t>Purchase of 1 unit Computer Laptop for Engineering Office, Mabini, Pangasinan</t>
  </si>
  <si>
    <t>20IJ-0093 REPAIR/MAINTENANCE OF DepED DIVISION OFFICE CALBAYOG CITY DIVISION OFFICE BUILDING, BRGY. HAMORAWON, CALBAYOG CITY, SAMAR</t>
  </si>
  <si>
    <t>Procurement of Various Office supplies &amp; materials</t>
  </si>
  <si>
    <t>20FO0111 - Construction of Guinobatan Flood Control Structure, Tandarora Section, Guinobatan, Albay</t>
  </si>
  <si>
    <t>20GP00104 - Procurement of Diesel Fuel for use of Various Quick Response Equipment and Service Vehicles during Calamity Related Activities</t>
  </si>
  <si>
    <t>Purchase of Oshkosh Spare parts</t>
  </si>
  <si>
    <t>CONCRETING OF ROAD AT KM. 11 SAN JOSE</t>
  </si>
  <si>
    <t>Office supplies</t>
  </si>
  <si>
    <t>SUPPLY AND DELIVERY OF OFFICE EQUIPMENT FOR CPDO USE</t>
  </si>
  <si>
    <t>RFQ 08-04-2020 Item B</t>
  </si>
  <si>
    <t>For Electrical Maintenance Purpose - PR # 2020-12503</t>
  </si>
  <si>
    <t>Purchase of Various Relief Goods</t>
  </si>
  <si>
    <t>Procurement of Agricultural Materials</t>
  </si>
  <si>
    <t>SUPPLY OF FUEL, OIL AND LUBRICANTS- SOLID WASTE MANAGEMENT OPERATION CENTER USE</t>
  </si>
  <si>
    <t>DSC-RMOE-20-2008-30059</t>
  </si>
  <si>
    <t>SUPPLY AND DELIVERY OF DIPLOMA JACKET</t>
  </si>
  <si>
    <t>Purchase of Multicabs</t>
  </si>
  <si>
    <t>RFQ 2020-08-040: SUPPLY AND INSTALLATION OF VEHICLE PARTS AND ACCESSORIES FOR CONSTRUCTION SECTION, MACABALAN, CDOC</t>
  </si>
  <si>
    <t>Certifying Body for the OSHC Recertification on ISO 9001:2015</t>
  </si>
  <si>
    <t>LOCAL ACCESS ROAD (Brgy. Lalig)</t>
  </si>
  <si>
    <t>Purchasing of Laboratory Equipment with project entitled " Expansion of Food Testing Services to Support Food Safety Compliance among Street Food Vendors and Producers in Palawan"</t>
  </si>
  <si>
    <t>Procurement of Urea</t>
  </si>
  <si>
    <t>20GP00102 - Procurement of Diesel Fuel for use in the operations of Service Vehicle SLC 905 and SKD 802 for the Second Semester CY 2020 in relation to Hydrology Data Gathering</t>
  </si>
  <si>
    <t>Supply and Delivery of IT Equipment to be used at Bureau of Jail Management and Penology in the City of San Fernando, Pampanga</t>
  </si>
  <si>
    <t>Supply and Delivery of 1 Unit Brand New Motorcycle</t>
  </si>
  <si>
    <t>To support the office supplies expenses of 220th AW.</t>
  </si>
  <si>
    <t>Supplies and Materials for used in the Installation of Waterworks System</t>
  </si>
  <si>
    <t>1 J.O. Supply of Materials and Labor for the Repair of KIA 2700 Ambulance (SAA-9034)</t>
  </si>
  <si>
    <t>Aircondition unit</t>
  </si>
  <si>
    <t>SUPPLY AND DELIVERY OF VARIOUS SUPPLIES AND DEVICES FOR DENTAL SETTING MODIFICATION</t>
  </si>
  <si>
    <t>ITB-2020-026 - PROVISION OF SERVICE PROVIDER ON THE DISPOSAL OF CONFISCATED MEAT AND MEAT PRODUCTS</t>
  </si>
  <si>
    <t>PURCHASE OF RADIO HANDSET</t>
  </si>
  <si>
    <t xml:space="preserve">20GAF0064SVP – PURCHASE OF SUPPLIES/MATERIALS FOR USE IN  THE CONDUCT OF PREPARATION OF RIGHT OF WAY ACTION PLAN (RAP) AND ENVIRONMENTAL IMPACT ASSESSMENT (EIA), DPWH-LUSDEO, NATIVIDAD, NAGUILIAN, LA </t>
  </si>
  <si>
    <t>RFQ - CALIBRATION OF ONE UNIT INJECTION PUMP OF KENWORTH PRIME MOVER</t>
  </si>
  <si>
    <t>DSWD7-20-0896; Solid State Drive for Laptop</t>
  </si>
  <si>
    <t>SUPPLY OF FUEL, OIL AND LUBRICANTS- MAYOR'S OFFICE USE</t>
  </si>
  <si>
    <t>SUPPLY AND DELIVERY OF VARIOUS SUPPLIES FOR HEALTHY TOOTH AND HEALTHY BABY PROGRAM</t>
  </si>
  <si>
    <t>SUPPLY AND DELIVERY OF BRAND NEW DROP SIDE TRUCK FOR NORSU MAIN CAMPUS</t>
  </si>
  <si>
    <t>Purchase of Medical Supplies and PPE's</t>
  </si>
  <si>
    <t>UPGRADING OF GENERAL PURPOSE LABORATORY WITH CONCRETE RECTANGULAR FISH TANK II</t>
  </si>
  <si>
    <t>SUPPLY AND DELIVERY OF GROCERY ITEMS FOR BALAY NAMNAMA YOUTH HOME FOR BOYS</t>
  </si>
  <si>
    <t>Supply and Delivery of Office Supplies for official use</t>
  </si>
  <si>
    <t>Supply/Delivery of 190 bags Fish Feed Pellets Grower (Floater)</t>
  </si>
  <si>
    <t>Supply and Delivery for Hardware Supplies</t>
  </si>
  <si>
    <t>Construction of Unique Workshop MNHS II, Mahinog, Camiguin</t>
  </si>
  <si>
    <t>Request for Quotation</t>
  </si>
  <si>
    <t>Bid No. 20-0427 - PROCUREMENT OF OFFICE SUPPLIES - MO/YDP OPERATIONS</t>
  </si>
  <si>
    <t>DRUGS &amp; MEDICINES (PR#20-06-70448)</t>
  </si>
  <si>
    <t>Supply and Delivery of Ethyl Alcohol to be used at the different Offices/Department of the City Government of San Fernando, Pampanga for the prevention and control on Spread of Coronavirus Disease (CO</t>
  </si>
  <si>
    <t>Supply of office Supplies for PIO and BaDH</t>
  </si>
  <si>
    <t>Procurement of Norephinephrine 1mg/ml</t>
  </si>
  <si>
    <t>Purchase of Various Medicines</t>
  </si>
  <si>
    <t>Procurement of Fuel, Oil and Lubricants for Admin Office, Tourism Office, Admin Economics, Mayors Office, OMA, and MDRRMO</t>
  </si>
  <si>
    <t>Labor and Materials for Construction of Concrete Revetment at Brgy. Cupang Proper, City of Balanga, Bataan</t>
  </si>
  <si>
    <t>UPGRADING OF MULTI-PURPOSE INDOOR AQUACULTURE RESEARCH FACILITY II</t>
  </si>
  <si>
    <t>Procurement of Various Office Supplies for 3rd and Fourth Quarter</t>
  </si>
  <si>
    <t>INVITATION TO BID FOR THE PROCUREMENT OF DUPLICATING/ PHOTOCOPYING MACHINE</t>
  </si>
  <si>
    <t>General Printing and Engineering Services</t>
  </si>
  <si>
    <t>RFQ - CM VILLAFLOR CIS 2019</t>
  </si>
  <si>
    <t>Procurement of Grafted Pili Seedlings</t>
  </si>
  <si>
    <t>labor and materials for the repair of Toyota Fortuner with Plate No. SAA 5672, PGO, Boac, Marinduque</t>
  </si>
  <si>
    <t>Procurement of Fuel, Oil and Lubricants for Road Rehabilitation (Sto. Niño, Poblacion, Burgos, GEA, Tuban)</t>
  </si>
  <si>
    <t>Supply/Delivery of Tennis Sports Equipments</t>
  </si>
  <si>
    <t>19LG0118 - Construction of the ongoing projects of new town hall and other public building at Municipality of Lupon, Davao Oriental</t>
  </si>
  <si>
    <t>Procurement of Paper Shredder and Back UPS for use of ICT Unit</t>
  </si>
  <si>
    <t>Purchase of Various Personal Protective Equipment (PPE) for COVID-19 Personnel</t>
  </si>
  <si>
    <t>Supply and Delivery of Materials for Concreting of Pathway (Phase 2) at Purok 3, San Vicente, Donsol, Sorsogon</t>
  </si>
  <si>
    <t>Procurement of Fuel, Oil and Lubricants - (Other Machinery an Equipment and Construction and Heavy Equipment)</t>
  </si>
  <si>
    <t>Catering Services for the Conduct of Extension Activity of Household Production Resiliency of SDSSU Tandag Campus</t>
  </si>
  <si>
    <t>Purchase of various medical supplies &amp; PPE's</t>
  </si>
  <si>
    <t>procurement/delivery of hormone</t>
  </si>
  <si>
    <t>Labor, Automotive Spare Parts, Oil, and Lubricants for Fortuner POH-386</t>
  </si>
  <si>
    <t>Procurement of Fuel, Oil and Lubricants for MENRO</t>
  </si>
  <si>
    <t>Supply and Delivery of Office Equipment to be used at the City College of San Fernando, Pampanga</t>
  </si>
  <si>
    <t>Supply and Delivery of Medical Supplies &amp; Disinfection Equipments be used for the conduct of (face-to-face/blended) activities, training, and daily operations of the center for the 3rd quarter of 2020</t>
  </si>
  <si>
    <t>To support the procurement of eight (8) ea MLG Tire with PN: 112T06-2 for use in the Unscheduled Maintenance of NC-212i Aircraft with tail nr 2119.</t>
  </si>
  <si>
    <t>Labor, Automotive Spare Parts, Oil, and Lubricants for Fortuner POQ-211</t>
  </si>
  <si>
    <t>supply &amp; delivery of Various Agricultural Equipment</t>
  </si>
  <si>
    <t>GOODS-ITB 2020-08-001 SUPPLY AND DELIVERY OF CONSTRUCTION MATERIALS FOR THE REPAIR OR RENOVATION OF BRGY HALL IN  BRGY. POTONG DEL NORTE, LAPINIG, N. SAMAR (1ST POSTING)</t>
  </si>
  <si>
    <t>ITB-2020-023 - SUPPLY AND DELIVERY OF IT EQUIPMENT</t>
  </si>
  <si>
    <t>Labor and Materials for Construction of Canal at Cadena de Amor St. Brgy. Dona Francisca, Balanga City</t>
  </si>
  <si>
    <t>SUPPLY AND DELIVERY OF OFFICE EQUIPMENT FOR CICATO USE</t>
  </si>
  <si>
    <t>Supply and Delivery of Office Equipment for the Use of Budget, Admin and Supply Office Personnel</t>
  </si>
  <si>
    <t>Labor and Materials for Construction of Drainage System with Steel Gratings at Quezon St., Brgy. San Jose, City of Balanga, Bataan</t>
  </si>
  <si>
    <t>Procurement of General Merchandise</t>
  </si>
  <si>
    <t>SUPPLY  OF MATERIALS FOR  FOR THE REHABILITATION OF BRGY MULTI-PURPOSE HALL</t>
  </si>
  <si>
    <t>Printing of Self Learning Modules for Maria District</t>
  </si>
  <si>
    <t>Procurement of Petroleum (Diesel, Engine Oil and Grease)</t>
  </si>
  <si>
    <t>Warehouse Rental for use as storage facility of the farm inputs under Rice Resiliency in Mountain, Province (PR 568)</t>
  </si>
  <si>
    <t>Procurement of Foodstuffs during the Celebration of 107th Founding   Anniversary</t>
  </si>
  <si>
    <t>Supplies and Materials for the Construction of Steel Bridge at P-6, Ibo Malalag D/S</t>
  </si>
  <si>
    <t>RFQ-NP-SVP-379-2020-Procurement of Equipment for Design and Fabrication Laboratory</t>
  </si>
  <si>
    <t>Supply/Delivery of Office Supplies</t>
  </si>
  <si>
    <t>supply &amp; delivery of P.E. Pipe</t>
  </si>
  <si>
    <t>Supplies for printing &amp; reproduction of School Modules to be distributed to learners for Lepanto ES</t>
  </si>
  <si>
    <t>Supply/Delivery of 22 pcs Cell Cards (300’s) &amp; 31 pcs Cell Cards (100’s)</t>
  </si>
  <si>
    <t>Printing, Binding and Delivery of DepEd Learning Materials</t>
  </si>
  <si>
    <t>REQUEST FOR QUOTATION - CONSTRUCTION MATERIALS</t>
  </si>
  <si>
    <t>Purchase of One (1) unit Desktop Computer with Printer</t>
  </si>
  <si>
    <t>Labor and Materials for Installation of 30"Ø RCPC and Concreting of Pavement at Brgy. Tanato, Balanga City</t>
  </si>
  <si>
    <t>CONSTRUCTION OF 2 STOREY GOVERNMENT OFFICE/BUILDING (UTILITY/KALIPI/4P's) PHASE  1</t>
  </si>
  <si>
    <t>Warehouse Rental for use as storage facility of the farm inputs under Rice Resiliency in Paracelis Mountain, Province (PR 568)</t>
  </si>
  <si>
    <t>Supply and Delivery of Service for the Airing of City Government Projects</t>
  </si>
  <si>
    <t>Supply and Delivery of Laser Rangefinder Range at least 2400 meters and Other Items</t>
  </si>
  <si>
    <t>Various Medicines</t>
  </si>
  <si>
    <t>INVITATION TO BID FOR the Supply and delivery of fabricated nego carts, pedicabs, gas-operated ovens, power tools and grocery items for the implementation of diversified livelihood of NLFO</t>
  </si>
  <si>
    <t>Warehouse Rental for use as storage facility of the farm inputs under Rice Resiliency in Abra Site 1(PR 568)</t>
  </si>
  <si>
    <t>20HE0122 Construction of Four (4)  Storey Sixteen (16) Classrooms School Building, Tabunoc Central Elementary School, Talisay City, Cebu</t>
  </si>
  <si>
    <t>Supply/Delivery of 1 unit Desktop Computer w/ Printer WIFI Ready &amp; 1 unit Printer Inkjet 3 in 1 (WIFI DIRECT)</t>
  </si>
  <si>
    <t>Labor and Materials for Repair and Maintenance - Market (ALS Silid Aralan sa Pamilihan) Brgy. San Jose, Balanga City</t>
  </si>
  <si>
    <t>Repair/Improvement of District Office</t>
  </si>
  <si>
    <t>supply &amp; delivery of Meals &amp; Snacks</t>
  </si>
  <si>
    <t>20AD0115 : 41X: Emergency Repair/Maintenance along Cervantes-Quirino Road, Km385+300-Km404+100 with exception</t>
  </si>
  <si>
    <t>Purchase of Medical Supplies</t>
  </si>
  <si>
    <t>Labor and Materials for Improvement of Flooring at RHU III Brgy. Cupang Proper, Balanga City</t>
  </si>
  <si>
    <t>Supply and Delivery of Floor Mounted Airconditioner of SDSSU Tandag Campus</t>
  </si>
  <si>
    <t>Warehouse Rental for use as storage facility of the farm inputs under Rice Resiliency in Abra Site 2(PR 568)</t>
  </si>
  <si>
    <t>Procurement of 2,063 reams of Paper-Paper Multicopy, A4, for laser printer/inkjet printers, high speed, copier, 210mm x 297 mm(A-4), 80 gsm</t>
  </si>
  <si>
    <t>supply &amp; delivery of Disinfectant</t>
  </si>
  <si>
    <t>Procurement of HEPA filter</t>
  </si>
  <si>
    <t>supply and delivery of table with chairs and filing cabinet</t>
  </si>
  <si>
    <t>RFQ-NP-SVP-380-2020-Procurement of Supply, Delivery, Installation of Split Type Air-Conditioner (Inverter)</t>
  </si>
  <si>
    <t>Toner</t>
  </si>
  <si>
    <t>PR/RFQ NO.: 2020-08-0065 - Supply and Delivery of Air Conditioning Units for use in the Planning &amp; Design Section</t>
  </si>
  <si>
    <t>20HE0123 Construction of Four (4)  Storey Eight (8) Classrooms School Building, Minglanilla Central Elementary School, Minglanilla, Cebu</t>
  </si>
  <si>
    <t>REPAIR/REHABILITATION OF STAGING TANK AND DRILLING OF ONE (1) 150MM DIA. PRODUCTION WELL AT PHILRICE BATAC UNDER PRRI-PB-2020-044</t>
  </si>
  <si>
    <t>Supply and Delivery of Goods and Services: Meals During RBI and TBI Recording Phase II (141)</t>
  </si>
  <si>
    <t>Procurement on the Cleaning and Underground Cistern Tanks of the NTC Central Office CY2020</t>
  </si>
  <si>
    <t>SUPPLY AND DELIVERY OF CHEST FREEZER TO BE USED AS COLD STORAGE OF PASTEURIZED TONED MILK FOR THE IMPLEMENTATION OF SCHOOL BASED FEEDING PROGRAM – SCHOOL MILK COMPONENT</t>
  </si>
  <si>
    <t>JOB ORDER FOR INSTALLATION OF 21 UNITS PAVILLION</t>
  </si>
  <si>
    <t>REVERSE TRANSCRIPTION-POLYMERASE CHAIN REACTION TEST (PCR)/ COVID19 TESTING FOR DOT-RIII REGULAR AND JOB ORDER PERSONNEL (SECOND POSTING)</t>
  </si>
  <si>
    <t>Supply &amp; Delivery of Six (6) Units Computer Laptop for Sangguniang Bayan Members</t>
  </si>
  <si>
    <t>Warehouse Rental for use as storage facility of the farm inputs under Rice Resiliency in Tabuk, Kalinga(PR 568)</t>
  </si>
  <si>
    <t>Purchase of Electrical Supplies/Materials</t>
  </si>
  <si>
    <t>SUPPLY AND DELIVERY OF CONSTRUCTION MATERIALS FOR THE CONTINUATION/CONSTRUCTION OF PATHWAY</t>
  </si>
  <si>
    <t>PR/RFQ NO.: 2020-08-0064 - Supply and Delivery of Garments (Rubber Shoes and Hydration Bagpack) for the 3rd Quarter of CY 2020</t>
  </si>
  <si>
    <t>PURCHASE OF NON- PERISHABLE GOODS FOR THE 10TH CYCLE SUPPLEMENTARY FEEDING PROGRAM IN TADIAN, MT. PROVINCE</t>
  </si>
  <si>
    <t>Procurement of School Supplies and Materials of Mambatangan Elementary School</t>
  </si>
  <si>
    <t>supply, delivery &amp; printing of Information Campaign Materials</t>
  </si>
  <si>
    <t>Supply and delivery of various supplies for office disinfection use (PR 592)</t>
  </si>
  <si>
    <t>PURCHASE OF NON-PERISHABLE GOODS FOR THE 10TH CYCLE SUPPLEMENTARY FEEDING PROGRAM IN BAUKO, MT. PROVINCE</t>
  </si>
  <si>
    <t>Supply &amp; Delivery of Eighty Seven (87) Sets of Jetmatic Pump</t>
  </si>
  <si>
    <t>Supply and Delivery of Materials for Construction of Drainage System Phase 2 at Sta Cruz, Donsol, Sorsogon</t>
  </si>
  <si>
    <t>Reproduction of Modules of Cale Elementary School</t>
  </si>
  <si>
    <t>PROCUREMENT OF VARIOUS SPARE PARTS FOR THE REPAIR AND MAINTENANCE OF SGS-352</t>
  </si>
  <si>
    <t>Supply and Delivery of Laptop</t>
  </si>
  <si>
    <t>Construction Supplies &amp; Materials</t>
  </si>
  <si>
    <t>Procurement of Materials for the Reproduction of modules and Health kits</t>
  </si>
  <si>
    <t>PURCHASE OF PERISHABLE GOODS FOR THE 10TH CYCLE SUPPLEMENTARY FEEDING PROGRAM IN KAPANGAN, BENGUET</t>
  </si>
  <si>
    <t>supply &amp; delivery of various Veterinary Supplies &amp; Medicines</t>
  </si>
  <si>
    <t>Supply of Materials, Labor and Equipment for the Installation of Street Lights at Various Barangays</t>
  </si>
  <si>
    <t>UPPLY AND DELIVERY OF OFFICE EQUIPMENT’S,  LGU, SAN MIGUEL, SURIGAO DEL SUR</t>
  </si>
  <si>
    <t>Supply and delivery of  IT EQUIPMENTS  re: For Various Office use  c/o Office of the Municipal Mayor.</t>
  </si>
  <si>
    <t>SVP PUR20-05-0392 Procurement of Chlorexidine gluconate, etc. for PSD, PGH</t>
  </si>
  <si>
    <t>To support the Repair and Miantenance of Motor Vehicle of 220th AW.</t>
  </si>
  <si>
    <t>supply &amp; delivery of Various Office Supplies &amp; Equipment</t>
  </si>
  <si>
    <t>EXPANDABLE PLASTIC ENVELOP</t>
  </si>
  <si>
    <t>Procurement of Reference Books for Donsol Community College</t>
  </si>
  <si>
    <t>Procurement of Scrub Suit</t>
  </si>
  <si>
    <t>Supply/Delivery of Toner</t>
  </si>
  <si>
    <t>19LD0132-Concreting of 3 Kilometers road with line canal at Sitio Balutakay, Brgy. Managa, Bansalan, Davao del Sur</t>
  </si>
  <si>
    <t>Printing of four books (OVCAA)</t>
  </si>
  <si>
    <t>RIPRAPPING OF BARANGAY ROAD @ SITIO JASMIN, BRGY. PULONG ANAHAO</t>
  </si>
  <si>
    <t>Supply and Delivery of Materials for the Repair/Maint. of Detachment Mun. Wide, Mabini, Davao De Oro</t>
  </si>
  <si>
    <t>Construction of Public Comfort Room (Toilet) DPWH Quezon 3rd DEO Compound, Catanauan, Quezon</t>
  </si>
  <si>
    <t>Remdesivir 100mg/20ml</t>
  </si>
  <si>
    <t>LOCAL ACCESS ROAD CONSTRUCTION/ CONCRETING/ REHABILITATION OF CATMON TO STA. CRUZ FARM TO MARKET ROAD</t>
  </si>
  <si>
    <t>CID No. 20GI00008 - Supply/provision of spare parts and accessories for the preventive maintenance of various service vehicles and heavy equipment assigned at DPWH Regional Office VIII, Baras, Palo, L</t>
  </si>
  <si>
    <t>Repair of Temporary Office for Maintenance and Construction Section DPWH Quezon 3rd DEO Compound, Catanauan, Quezon</t>
  </si>
  <si>
    <t>PURCHASE OF PERISHABLE GOODS FOR THE 10TH CYCLE SUPPLEMENTARY FEEDING PROGRAM IN BOKOD, BENGUET</t>
  </si>
  <si>
    <t>CONSTRUCTION OF HEALTH CENTER LOCATED AT MANAGA, BANSALAN, DAVAO DEL SUR all in accordance to plans, specifications and scope of work and the Green Procurement Policy as adopted by Executive Order No.</t>
  </si>
  <si>
    <t>Procurement of Printers, Ink Cartridge Set and Plotter Paper for Official Use of DENR-PENRO Aklan</t>
  </si>
  <si>
    <t>SUPPLY OF FUEL, OIL AND LUBRICANTS</t>
  </si>
  <si>
    <t>Supply and delivery of  IT EQUIPMENTS  re: For Instructional Purposes of Various Schools (Secondary Education).</t>
  </si>
  <si>
    <t>PURCHASE OF GOODS FOR THE 10TH CYCLE SUPPLEMENTARY FEEDING PROGRAM IN KABAYAN, BENGUET</t>
  </si>
  <si>
    <t>19LG0119 - Construction/Repair/Rehabilitation/Improvement of Multi-purpose Building in Municipality of Banaybanay</t>
  </si>
  <si>
    <t>LSP-NSB Kabayan</t>
  </si>
  <si>
    <t>Procurement of Various Cellcards</t>
  </si>
  <si>
    <t>Procurement on the Cleaning of Four (4) corner Stainless Cladding and Front Window Panels CY 2020</t>
  </si>
  <si>
    <t>Procurement of office supplies to be distribute to 36 public schools in the municipality of Camalig in the implementation of distance and blended learning during the global crisis.</t>
  </si>
  <si>
    <t>Procurement of 18 sets Personal Protective Equipment</t>
  </si>
  <si>
    <t>PURCHASE OF PERISHABLE GOODS FOR THE 10TH CYCLE SUPPLEMENTARY FEEDING PROGRAM IN BAUKO AND TADIAN, MT. PROVINCE</t>
  </si>
  <si>
    <t>VSC-AZS-20-2008-21002</t>
  </si>
  <si>
    <t>PROCUREMENT OF UTILITY SUPPLIES AND DEVICES</t>
  </si>
  <si>
    <t>RFQ NO. 2020-191 "PROTECTIVE ISOLATION MASK- FACE SHIELD WITH GLASSES FRAME"</t>
  </si>
  <si>
    <t>Supply and Delivery of Construction Materials for the Construction of Tina Drainage, Tina, San Miguel, SDS.</t>
  </si>
  <si>
    <t>PROCUREMENT OF OTHER SUPPLIES AND DEVICES</t>
  </si>
  <si>
    <t>ITB &amp; Bid Docs for Procurement ID/Contract ID:19C00095  Contract Name:Construction of Bypass Road FAB to Bagac-Mariveles, Mariveles, Bataan</t>
  </si>
  <si>
    <t>Labor and Materials for Repainting of Building D (Frontage Section), Balanga Public Market, Brgy. San Jose, Balanga City</t>
  </si>
  <si>
    <t>SUPPLY AND DELIVERY OF MATERIALS (INK) TO BE USED FOR THE IN-HOUSE/BY ADMINISTRATION PRINTING AND DELIVERY OF PHASE 1 LOCALLY PRODUCED AND ALTERNATIVE DELIVERY MODE-SELF LEARNING MODULES FOR THE IMPLE</t>
  </si>
  <si>
    <t>Supplies and Materials for the Upgrading of Roofing, Ceiling and Cladding of Parapet of Academic Building of SDSSU Tandag Campus</t>
  </si>
  <si>
    <t>Improvement of Water System</t>
  </si>
  <si>
    <t>To support the procurement of Seventy two (72) ea and 14 other  L/l for use in the "Check B" Scheduled maintenance of F-27 Aircraft Nr 259.</t>
  </si>
  <si>
    <t>Purchase of one unit each of Laptop and Desktop Computer (OUR)</t>
  </si>
  <si>
    <t>Labor and Materials for Improvement of Barangay Outpost at Brgy. Munting Batangas, Balanga City</t>
  </si>
  <si>
    <t>PR/RFQ NO.: 2020-08-0063 - Supply and Delivery of Mist Blower Machine for use in the operation of the Maintenance Section</t>
  </si>
  <si>
    <t>Construction of Perimeter Fence at Proposed Motorpool Catanauan, Quezon</t>
  </si>
  <si>
    <t>Photo with Picture Frame and Phototack to be displayed at LGU Mulanay Sangguniang Bayan Session Hall</t>
  </si>
  <si>
    <t>INVITATION TO BID FOR THE PROCUREMENT OF TWO (2) UNITS MULTI-PARAMETER WATER QUALITY CHECKER</t>
  </si>
  <si>
    <t>Books - CapSU Pontevedra</t>
  </si>
  <si>
    <t>Procurement of tocilizumab</t>
  </si>
  <si>
    <t>To support the procurement of one (1) ea Nicad Battery MS24497-5 for use in the Unscheduled Maintenance of N-22 Aircraft nr C-87..</t>
  </si>
  <si>
    <t>Procurement of One (1) Unit Motor Bike for the Office of the Building Official</t>
  </si>
  <si>
    <t>EMERGENCY REPAIR OF 9 STRANDS FRANGIBLE FENCE AT CATARMAN AIRPORT</t>
  </si>
  <si>
    <t>SUPPLY AND DELIVERY OF CORPORATION COCK (RE-BIDDING)</t>
  </si>
  <si>
    <t>Procurement of Information Communication Technology (ICT) Laboratory Equipment for CEA and CIT at NORSU Main Campus (Batch 1)</t>
  </si>
  <si>
    <t>supply &amp; delivery of Various Materials</t>
  </si>
  <si>
    <t>Procurement of Laboratory Instrument</t>
  </si>
  <si>
    <t>Printing of Modules 1 and 2 (Bitano Elementary School</t>
  </si>
  <si>
    <t>Purchase of 30 pairs Rainboots, 30 pcs Raincoats, 1 pc Dry Seal, etc. for use at the CMO-Department of Public Safety, Laoag City</t>
  </si>
  <si>
    <t>CONSTRUCTION OF FINAL SORTING AREA</t>
  </si>
  <si>
    <t>For Reproduction of Modules (Mgy North)</t>
  </si>
  <si>
    <t>Labor and Materials for Construction of Head Wall (portion only) at Brgy. Malabia, Balanga City</t>
  </si>
  <si>
    <t>Procurement of 1 set Computer and 1 unit Printer (3 in 1)</t>
  </si>
  <si>
    <t>SUPPLY AND DELIVERY OF SPLIT TYPE AIR-CON 2.5 HP FOR CMO USE</t>
  </si>
  <si>
    <t>OFFICE SUPPLY AND DELIVERY OF BONDPAPERS MOOE 3RD QUARTER</t>
  </si>
  <si>
    <t>20GAF0063SVP, PURCHASE AND DELIVERY OF SUPPLIES FOR USE IN THE CONDUCT OF ROAD CONDITION AND INVENTORY SURVEYS, DPWH-LUSDEO, NATIVIDAD,NAGUILIAN,LA UNION</t>
  </si>
  <si>
    <t>Request for Qoutation for the Supply and Delivery of Sodium Hypo chlorite</t>
  </si>
  <si>
    <t>DSWD7-20-0897; Enterprise Hard Drive</t>
  </si>
  <si>
    <t>Bid No. 20-0429 - PROCUREMENT OF OFFICE SUPPLIES - MO/CADS OPERATIONS</t>
  </si>
  <si>
    <t>(PGSO) 4th REQUEST FOR QUOTATION (RFQ) For the Procurement of Construction Materials (Improvement of LMET Guard Post)</t>
  </si>
  <si>
    <t>PROCUREMENT OF DISTRIBUTION TRANSFORMER</t>
  </si>
  <si>
    <t>2020-RFQ "PURCHASE OF LET REVIEWER FOR THE COLLEGE OF EDUCATION BOARD EXAMINATION"</t>
  </si>
  <si>
    <t>Bid No. 20-0428 - PROCUREMENT OF OFFICE SUPPLIES - MSWDO OPERATIONS</t>
  </si>
  <si>
    <t>Supplies and Materials for the Valuation of Water Pollutants Along Moonglow Creek and Air Exhaust in Tandag Slaughter House</t>
  </si>
  <si>
    <t>Procurement of various HP Ink Cartridges</t>
  </si>
  <si>
    <t>Variable Frequency Drive</t>
  </si>
  <si>
    <t>SUPPLY AND DELIVERY OF LEARNING MATERIALS FOR KIDS THERAPEUTIC ART WORKSHOP AND QUARANTINE STORY BOOK</t>
  </si>
  <si>
    <t>RFQ (20-08-032) Various Medical Supplies</t>
  </si>
  <si>
    <t>Supply and Delivery of Materials used for the Quarantine Facility at Brgy. Cabuyoan, Mabini, Davao De Oro</t>
  </si>
  <si>
    <t>(SP-BM) 3rd REQUEST FOR QUOTATION (RFQ) For the Procurement of Vehicle Parts for BM Elma Pinao-An Lejao</t>
  </si>
  <si>
    <t>(SP-BM) 2nd REQUEST FOR QUOTATION (RFQ) For the Procurement of 4 Pcs Tires for BM Cirilo Galindez</t>
  </si>
  <si>
    <t>Request for Quotation - Supply and Delivery of Plumbing Materials for Pipe Laying at Taytay Bridge to San Roque (City Admin./Waterworks Division)</t>
  </si>
  <si>
    <t>Request for Quotation - Supply and Delivery of Hardware Materials for Improvement of Water Catchment @ Sitio Langob,  Barangay Guinacot, Danao City (CEO)</t>
  </si>
  <si>
    <t>:To support the procurement of six (6) ea Chuck Assy and one (1) other L/l for use in the Unscheduled Maintenance of C-130T Aircraft..</t>
  </si>
  <si>
    <t>REI_20CSE015: Consulting Services on the Conduct of Sub-soil Investigation for the Proposed Reconstruction/Rehabilitation of National Roads with Slips and Slope Collapse along F.B. Reyes (Busuanga Cor</t>
  </si>
  <si>
    <t>Repair and Improvement of Municipal Streets of Brgy. Poblacion and Brgy. Pansoy San Andres, Quezon</t>
  </si>
  <si>
    <t>CONSTRUCTION OF WATER SYSTEM AT BRGY. SAN JOSE, KIBLAWAN, DAVAO DEL SUR all in accordance to plans, specifications and scope of work and the Green Procurement Policy as adopted by Executive Order No.</t>
  </si>
  <si>
    <t>Supply of Labor, Equipment and Restoration Materials for the Installation, Testing and Commissioning of 250mm Dia. Transmission Line along Amulung Solana Road, Centro, Solana, Cagayan (Calamagui Upgra</t>
  </si>
  <si>
    <t>Vehicle Rental Cotabato_RFQ2020</t>
  </si>
  <si>
    <t>Supply/Delivery of 400 liters Diesel &amp; 185 liters Gasoline (Unleaded)</t>
  </si>
  <si>
    <t>WIDENING OF BARANGAY MAIN ROAD @ SITIO SCARLET</t>
  </si>
  <si>
    <t>Request for Quotation - Supply and Delivery of Food Stuff (CMO)</t>
  </si>
  <si>
    <t>Supply, Delivery, Installation and Testing of Laboratory Equipment for Research/Soils and Water Laboratory Group, Irrigation Engineering Center</t>
  </si>
  <si>
    <t>Establishment of Quezon Research and Extension Complex Project Catanauan, Quezon</t>
  </si>
  <si>
    <t>Supply and delivery of  HARDWARE MATERIALS  re: For Repair and Maintenance of Water Supply System @ Barangay Balubad, Atimonan, Quezon.</t>
  </si>
  <si>
    <t>Supply/Delivery of 846 liters Diesel &amp; 140 liters Gasoline</t>
  </si>
  <si>
    <t>PROVISION OF LABOR, MATERIAL, &amp; EQUIPMENT FOR CONCRETING OF RAMP ENTRANCE OF PHILRICE BATAC</t>
  </si>
  <si>
    <t>EXTENSION /EXPANSION OF LIBRARY / TECH 4ED CENTER/ MIS</t>
  </si>
  <si>
    <t>Request for Quotation - Supply and Delivery of Gasoline for Stock (GSO)</t>
  </si>
  <si>
    <t>Procurement of Audio Video System</t>
  </si>
  <si>
    <t>SVP PUR20-08-0673, PUR20-08-0711 &amp; PUR20-08-0712 Procurement of Pre-disinfectant tri enzymatic solution for DOPS, &amp; ORMAT, PGH</t>
  </si>
  <si>
    <t>2020 Census of Population and Housing (2020 CPH) - Information and Education Campaign (IEC) Materials</t>
  </si>
  <si>
    <t>Procurement of Consulting Services for PGS Application</t>
  </si>
  <si>
    <t>PROCUREMENT OF VARIOUS PRINTER INK FOR THE OPERATIONS DEPARTMENT</t>
  </si>
  <si>
    <t>Supply and Delivery of Laptop for Legislative Office</t>
  </si>
  <si>
    <t>INVITATION TO BID   CONSTRUCTION OF WS II OFFICE AT NFA COMPOUND, BORONGAN CITY</t>
  </si>
  <si>
    <t>Supply and delivery of  JETMATIC HAND PUMP  re: For Distribution to Various Barangays  c/o  MDRRMO.</t>
  </si>
  <si>
    <t>Request for Quotation - Supply and Delivery of (1,000) boxes Calcium Carbonate Tablet (CHO)</t>
  </si>
  <si>
    <t>PROCUREMENT OF VARIOUS FIRE EXTINGUISHERS FOR OPERATIONS DEPARTMENT</t>
  </si>
  <si>
    <t>Repair and Rehabilitation at BNHS-SHS</t>
  </si>
  <si>
    <t>To support the Other Supplies and Material Expenses of 220th AW.</t>
  </si>
  <si>
    <t>Request for Quotation - Supply and Delivery of Groceries for the Lockdown Families Due to COVID-19 (CSWDO)</t>
  </si>
  <si>
    <t>Improvement of STAKA (Riverbank Protection)</t>
  </si>
  <si>
    <t>Supply and Delivery of Bond Paper for Reproduction of Modules</t>
  </si>
  <si>
    <t>To support the procurement of One Hundred Ninety (190) ea Duct Tape, Gray and 12 other L/l for use in the "Check B" Scheduled Maintenance of C-295 Aircraft nr 140.</t>
  </si>
  <si>
    <t>SJIS JHS PROCUREMENT OF SUPPLIES</t>
  </si>
  <si>
    <t>Procurement of Alcohol for Sanitizer Production</t>
  </si>
  <si>
    <t>Purchase of One Hundred (100) Units of Printer for the Printing of Self-Learning Modules for the Division of Davao Occidental</t>
  </si>
  <si>
    <t>CID No. 20GLE0104/PR 20-03-0096, PR 20-03-0100 Purchase of Spare Parts for use in Heavy Equipment</t>
  </si>
  <si>
    <t>Supply and Delivery of Executive Chairs to be Used by Mayor's Conference Room (Repost)</t>
  </si>
  <si>
    <t>Surveying instrument-infrastructure multi-purpose design system-integrated RTK GNSS hardware and software with training</t>
  </si>
  <si>
    <t>PROVISION OF ELECTRICAL FIXTURES OF VAROUS ROOMS OF PHILRICE BATAC</t>
  </si>
  <si>
    <t>PROVISION OF MATERIALS FOR REPLACEMENT OF PLIMBING FIXTURES AND DORMITORY ACCESSORIES OF PHILRICE BATAC DORMITORY</t>
  </si>
  <si>
    <t>Improvement at GRHR - Public Comfort Room</t>
  </si>
  <si>
    <t>PROCUREMENT OF EIGHT (8) PIECES HP-CF256X TONER FOR THE OPERATIONS DEPARTMENT</t>
  </si>
  <si>
    <t>S PUR20-05-0443 Procurement of Alcohol 69-72% ethanol for PSD</t>
  </si>
  <si>
    <t>Supply and Delivery of USB 16GB original to be used by different Public Schools</t>
  </si>
  <si>
    <t>Re-bidding of Supply and Delivery of Feeds, Fertilizers and Neutralizers for the Implementation of the Fisheries Projects/ Programs CY 2020</t>
  </si>
  <si>
    <t>supply and delivery of one lot nutritional pack-goods</t>
  </si>
  <si>
    <t>Proposed repair &amp; rehabilitation of canal &amp; construction of canal cover with curb &amp; gutter at Barangay Dolores, San Pablo City</t>
  </si>
  <si>
    <t>Supply and Delivery of Portable Radio with Sim slot to be used by different Public Schools</t>
  </si>
  <si>
    <t>ITB No. SJdB-2020-010: Construction of a Barangay Health Station (BHS) at Brgy. 3</t>
  </si>
  <si>
    <t>STREETLIGHTS</t>
  </si>
  <si>
    <t>Diagnostic Test Paper</t>
  </si>
  <si>
    <t>Request for Quotation - Supply and Delivery of Two (2) unit LED TV with Signal Box (CDRRMO)</t>
  </si>
  <si>
    <t>Construction of Viewdeck at CSU</t>
  </si>
  <si>
    <t>20DB0146 Construction of Multi-Purpose Building (Municipal Building), Phase I, Brgy. Carsuche, Taal, Batangas</t>
  </si>
  <si>
    <t>SUPPLY AND DELIVERY OF PEST CONTROL PRODUCTS PR No. 0817 S.2020</t>
  </si>
  <si>
    <t>Procurement of Cacao Grinder and Tablea Molders</t>
  </si>
  <si>
    <t>Aquaculture Machinery and Equipment</t>
  </si>
  <si>
    <t>BAC 2020-023 One Job Order for the Construction of Double swing door, single sliding door with lead sheets and Lead doors and Lead sheets on XRAY Room</t>
  </si>
  <si>
    <t>Provision of UtilIty Boxes For Self-Learning  Modules distribution in All  Grade Levels.</t>
  </si>
  <si>
    <t>2020-25  “SUPPLY AND DELIVERY OF BATTERY BACKUP &amp; SURGE PROTECTOR FOR BFAR COMPUTERS HARDWARE AND LCD PROJECTOR TO BE DELIVERED AT THE BFAR-CENTRAL OFFICE”</t>
  </si>
  <si>
    <t>Procurement of Siphoning of Big Volume Cistern Tank</t>
  </si>
  <si>
    <t>procurement/delivery of bamboo</t>
  </si>
  <si>
    <t>Re-bidding of Supply and Delivery of Fishing Gears and Paraphernalia for the Implementation of the Fisheries Projects/ Programs CY 2020</t>
  </si>
  <si>
    <t>Concreting of Brgy. Road</t>
  </si>
  <si>
    <t>supply and delivery of 1 lot fuel, oils and lubricants (supplemental)</t>
  </si>
  <si>
    <t>ITB No. SJdB-2020-012: Construction of a Barangay Health Station (BHS) at Brgy. 5</t>
  </si>
  <si>
    <t>Installation of Additional Roadway Lights along National Road</t>
  </si>
  <si>
    <t>Delivery and Installation of Electrical Supplies and Components</t>
  </si>
  <si>
    <t>Catering Services - Capacity Building</t>
  </si>
  <si>
    <t>Supply and Delivery of Two (2) Units Motorcycle</t>
  </si>
  <si>
    <t>Reagents for the Monitoring and Surveillance of Shrimp Diseases</t>
  </si>
  <si>
    <t>Supply, Delivery, Installation, and Configuration of Active Directory</t>
  </si>
  <si>
    <t>Procurement of Services of Accredited Certifying Body for Three (3) years ISO 9001:2015 Recertification</t>
  </si>
  <si>
    <t>Fabrication and delivery of Fiberglass Reinforced Plastic (FRP) Fish tank</t>
  </si>
  <si>
    <t>Continuation of Livelihood/Processing Center</t>
  </si>
  <si>
    <t>Procurement of Motor Vehicle Battery</t>
  </si>
  <si>
    <t>CID No. 20IC0087: Const./Improvement/Rehab. of Flood Control Project along Limbuhan River, Brgy. Bislig, Tanauan, Leyte; ABC: P19,300,000.00; 200 CD</t>
  </si>
  <si>
    <t>Construction of Barangay Health Care Center</t>
  </si>
  <si>
    <t>Printing and Delivery of Parent's Manual for Kinder to Grade 12 in 33 public schools at SDO Marikina City</t>
  </si>
  <si>
    <t>Gender &amp; Development Program</t>
  </si>
  <si>
    <t>Construction of Clustered Infrastructure Projects (Drainage Canal &amp; Drainage Canal with Cover)</t>
  </si>
  <si>
    <t>Supply and Delivery of 6 units of Y19 Android Cellphone to be Used by City Public Safety Office (I Patroller)</t>
  </si>
  <si>
    <t>Supply and delivery of 2 units of fish cages (for Marine Water) with 4 compartment of net cages for Basilan Province under 2020 block grant</t>
  </si>
  <si>
    <t>Elevated Water Tank</t>
  </si>
  <si>
    <t>ITB No. SJdB-2020-011: Construction of a Barangay Health Station (BHS) at Brgy. 4</t>
  </si>
  <si>
    <t>Supply and delivery of 1 unit of fish cage (for Marine Water) with 4 compartment of net cages for Sulu Province under 2020 block grant</t>
  </si>
  <si>
    <t>PROCUREMENT OF FIFTY- FIVE (55) PIECES SEALED BEAM PAR 56 FOR HEADLIGHT ON DIESEL ELECTRIC LOCOMOTIVE</t>
  </si>
  <si>
    <t>Refurbishment/Upgrading of Old and Existing Building (FLTC Building)</t>
  </si>
  <si>
    <t>Catering Services - Provincial Integrated FARMC Strengthening</t>
  </si>
  <si>
    <t>19DL0219 - IMPLEMENTATION OF VARIOUS NEW AND URGENT INFRASTRUCTURE PROJECTS OF THE DISTRICT, 2. CONSTRUCTION / REHABILITATION OF MULTI-PURPOSE BUILDING, ALABAT, QUEZON</t>
  </si>
  <si>
    <t>20DL0240 - LOCAL PROGRAM, CONST. / REPAIR / REHAB. / IMPROVEMENT OF VARIOUS INFRASTRUCTURE INCLUDING LOCAL PROJECTS, NATIONAL ROADS AND BRIDGES, NATIONAL ROADS 4. CONSTRUCTION OF SLOPE PROTECTION ALON</t>
  </si>
  <si>
    <t>Installation of Additional Roadway Lights at Poblacion</t>
  </si>
  <si>
    <t>"Printing and Reproduction of Self-learnning Modules (SLMs)"</t>
  </si>
  <si>
    <t>20DL0235 - LOCAL PROGRAM, CONST. / REPAIR / REHAB. / IMPROVEMENT OF VARIOUS INFRASTRUCTURE INCLUDING LOCAL PROJECTS, NATIONAL ROADS AND BRIDGES, NATIONAL ROADS 1. CONSTRUCTION OF SLOPE PROTECTION ALON</t>
  </si>
  <si>
    <t>Concreting of Ipil-San Francisco Farm-to-Market Road</t>
  </si>
  <si>
    <t>procurement/delivery of hardware materials</t>
  </si>
  <si>
    <t>Supply and delivery of 1 unit of fish cage (for Marine Water) with 4 compartment of net cages for Cotabato City Province under 2020 block grant</t>
  </si>
  <si>
    <t>20DL0238 - LOCAL PROGRAM, CONST. / REPAIR / REHAB. / IMPROVEMENT OF VARIOUS INFRASTRUCTURE INCLUDING LOCAL PROJECTS, NATIONAL ROADS AND BRIDGES, NATIONAL ROADS 2. CONSTRUCTION OF SLOPE PROTECTION ALON</t>
  </si>
  <si>
    <t>Improvement of Day Care Center</t>
  </si>
  <si>
    <t>Construction of Drainage System</t>
  </si>
  <si>
    <t>ITB No. SJdB-2020-013: Construction of a Barangay Health Station (BHS) at Brgy. Bariri</t>
  </si>
  <si>
    <t>20DL0239 - LOCAL PROGRAM, CONST. / REPAIR / REHAB. / IMPROVEMENT OF VARIOUS INFRASTRUCTURE INCLUDING LOCAL PROJECTS, NATIONAL ROADS AND BRIDGES, NATIONAL ROADS 3. CONSTRUCTION OF SLOPE PROTECTION ALON</t>
  </si>
  <si>
    <t>Other Supplies Material Expenses (Php 59,500.00)</t>
  </si>
  <si>
    <t>20DL0236 - LOCAL PROGRAM, CONST. / REPAIR / REHAB. / IMPROVEMENT OF VARIOUS INFRASTRUCTURE INCLUDING LOCAL PROJECTS, NATIONAL ROADS AND BRIDGES, NATIONAL ROADS 1.  CONSTRUCTION OF SLOPE PROTECTION ALO</t>
  </si>
  <si>
    <t>Repair/Improvement of 2-Storey Public Market Building</t>
  </si>
  <si>
    <t>Construction of Perimeter Fence at GRHR (112 LM - 38 Span)</t>
  </si>
  <si>
    <t>RFQ: Hardware SUpplies</t>
  </si>
  <si>
    <t>COMPLETION OF WEAVING CENTER (DEMO AND DISPLAY AREA)</t>
  </si>
  <si>
    <t>20DL0237 - LOCAL PROGRAM, CONST. / REPAIR / REHAB. / IMPROVEMENT OF VARIOUS INFRASTRUCTURE INCLUDING LOCAL PROJECTS, NATIONAL ROADS AND BRIDGES, NATIONAL ROADS 2. CONSTRUCTION OF SLOPE PROTECTION ALON</t>
  </si>
  <si>
    <t>Purchase of Printer</t>
  </si>
  <si>
    <t>Procurement of Alcohol (Lot 1)</t>
  </si>
  <si>
    <t>19LG0120 - Construction/Repair/Rehabilitation/Improvement of Multi-purpose Building in Municipality of Lupon</t>
  </si>
  <si>
    <t>ITB No. SJdB-2020-014: Construction of a Barangay Health Station (BHS) at Brgy. Durog</t>
  </si>
  <si>
    <t>MOOE Busco   EDUCATIONAL MATERIALS &amp;SUPPLIES 3rd  Quater 2020</t>
  </si>
  <si>
    <t>One (1) Lot Laboratory Equipment</t>
  </si>
  <si>
    <t>SUPPLY AND DELIVERY OF MEDICAL AND SURGICAL SUPPLIES</t>
  </si>
  <si>
    <t>20FK0067-Construction of Sports Facilities including Swimming Pool, Warm Up Pool, Bleachers and Rest Room Casiguran, Sorsogon</t>
  </si>
  <si>
    <t>One (1) Day Online Coaching on the Updating/Enhancement and Refresher/Re-orientation on Capacity Development (CAPDEV) Agenda for Newly Elected Officials (NEO)</t>
  </si>
  <si>
    <t>20FN0112-Construction of Revetment and Channel Improvement at Barit River-Outfall (Bula and Nabua Section), Camarines Sur Sta. 0+723 - Sta.1+106</t>
  </si>
  <si>
    <t>Purchase of plants sprayer  at Barangay Sala, Tanauan City, Batangas</t>
  </si>
  <si>
    <t>Improvement of Waterlines at Bldg.2</t>
  </si>
  <si>
    <t>CONSTRUCTION OF PADDIG CHILD DEVELOPMENT CENTER (FENCING)</t>
  </si>
  <si>
    <t>Construction of Barangay Health Center</t>
  </si>
  <si>
    <t>Repair/Maintenance of Portion of Road @ Sitio Bagong Bayan, Brgy. Quisao</t>
  </si>
  <si>
    <t>PR# MG-ISD20-018, ADAPTER &amp; 13 OTHER ITEMS</t>
  </si>
  <si>
    <t>Supply, Delivery and Installation of Five Units 3.0TR Floor Stand Inverter Type Air Conditioner</t>
  </si>
  <si>
    <t>20FN0113-Concreting of Provincial Road from Brgy. Cabanban to Brgy. Pulang Daga, Balatan, Camarines Sur Sta. 0+685.00 - Sta. 1+183.00</t>
  </si>
  <si>
    <t>Concreting of Ipil-San Francisco Farm-to-Market Road (328.50ln.m.)</t>
  </si>
  <si>
    <t>PR# MG-STS20-020, TONER CARTRIDGES</t>
  </si>
  <si>
    <t>CONSTRUCTION OF SENIOR CITIZEN’S PAVILION AND RENTABLE SPACE, ESCALANTE CITY PUBLIC PLAZA (STRAIGHT CONTRACT LABOR &amp; MATERIALS)</t>
  </si>
  <si>
    <t>Supply and Delivery of Materials for the Fabrication of Twelve (12) units of Tents for the City Government of Balanga</t>
  </si>
  <si>
    <t>Purchase of supplies for the Printing of Self-Learning Modules for the Division of Davao Occidental</t>
  </si>
  <si>
    <t>SUPPLY, DELIVERY AND INSTALLATION OF TWO (2) UNITS MOBILE RECIRCULATING DRYER</t>
  </si>
  <si>
    <t>Repair/Maintenance of Portion of Mulawin Feeder Road, Brgy. Bagumbayan</t>
  </si>
  <si>
    <t>Construction of 3-Storey Public Market Building Phase III</t>
  </si>
  <si>
    <t>ITB No. SJdB-2020-015: Completion, Repair/Renovation/Rehabilitation/Relocation and Equipping of a Barangay Health Station (BHS) at Brgy. Guinbanga-an</t>
  </si>
  <si>
    <t>Hands-on Training on Tilapia Culture in Ponds  and Cages for North Cotabato province under 2020 block grant</t>
  </si>
  <si>
    <t>Supply and Delivery of One Thousand (1,000) Units of Radio with USB Port</t>
  </si>
  <si>
    <t>To support the procurement of 2 ea Ring Assy Drag Link with PN: 3/N-40-672 alt APE40672 for use in the Unscheduled Maintenance of N-22</t>
  </si>
  <si>
    <t>Supply/delivery of Materials for the Construction of Solar Dryer, Brgy. San Enrique</t>
  </si>
  <si>
    <t>CONSTRUCTION OF MULTI-PURPOSE BUILDING</t>
  </si>
  <si>
    <t>RFQ 2020-77 Outpatient Department CCTV</t>
  </si>
  <si>
    <t>RFQ 2020-78 Emergency Cart/Trolley</t>
  </si>
  <si>
    <t>One (1) Lot Design and Build Scheme Infrastracture Project</t>
  </si>
  <si>
    <t>PR # 2020-08-179 - Supply and Delivery of Items to be used for the Conduct of CY 2020 Axle Road Survey along BCIR Misamis Oriental</t>
  </si>
  <si>
    <t>Supply/delivery of Various Spare parts for Heavy Equipment</t>
  </si>
  <si>
    <t>Construction of Drainage Canal, Curb &amp; Gutter - Salvanera, Lasam, Peralta and Mabini Sts.</t>
  </si>
  <si>
    <t>Supply and Delivery of Aircraft Drones</t>
  </si>
  <si>
    <t>Supply and Delivery of Various Construction Materials for Solid Waste Segregation - MENRO  PR# 20-06-0463</t>
  </si>
  <si>
    <t>RFQ 2020-08-0124 (VAN RENTAL FOR CORDS X)</t>
  </si>
  <si>
    <t>Construction of Namuyukan Footbridge Phase II</t>
  </si>
  <si>
    <t>Supply/delivery of Tires for Municipal Ambulance</t>
  </si>
  <si>
    <t>Supply/delivery of Materials for the Construction of Material Recovery Facility (12 Schools)</t>
  </si>
  <si>
    <t>Construction of Material Recovery Facility, 12 Schools (Labor Only)</t>
  </si>
  <si>
    <t>Supply and delivery of bondpapers and toner for HP for school consumption.</t>
  </si>
  <si>
    <t>Invitation to Bid for the Repair &amp; Maintenance of Slope Protection &amp; other Infrastructure at Sitio Calimban, Gallano, this municipality</t>
  </si>
  <si>
    <t>RFQ - Purchase of 1000 reams of A4 Bond Paper 80 gsm, for the PRINTING of Learner's Module for SY 2020 - 2021</t>
  </si>
  <si>
    <t>Invitation to Bid for the Expansion of AWSS Water Lines along Sta. Lucia-Samara, San Benito Sur &amp; San Benito Norte, Aringay, La Union.</t>
  </si>
  <si>
    <t>SUPPLY AND DELIVERY OF PRINTING MATERIALS FOR MODULE REPRODUCTION</t>
  </si>
  <si>
    <t>2020-26 Rehabilitation of Regional FIMC Data Centers and Delivery and Installation of IT Equipment</t>
  </si>
  <si>
    <t>ITB No. SJdB-2020-016: Construction of a Barangay Health Station (BHS) at Brgy. Igbonglo</t>
  </si>
  <si>
    <t>Invitation to Bid for the Construction of Aringay Water Supply System Pumping Station II at Salapac, Poblacion, Aringay, La Union</t>
  </si>
  <si>
    <t>19LG0121 - Construction/Repair/Rehabilitation/Improvement of Multi-purpose Building in Municipality of Governor Generoso</t>
  </si>
  <si>
    <t>P.R No. 20-07-0762: Office Furniture</t>
  </si>
  <si>
    <t>Invitation to Bid for the Construction of Water Tank  for Aringay Water Supply System Pumping Station at Salapac, Poblacion, Aringay, La Union</t>
  </si>
  <si>
    <t>Invitation to Bid for the Construction of Multi-Purpose Drying Pavement at Brgy. Sta. Lucia, this municipality</t>
  </si>
  <si>
    <t>One (1) Lot Provision of Electrical Rewiring</t>
  </si>
  <si>
    <t>20-CS-DO-03: Preliminary Detailed Engineering Services for the Construction of Flood Control Structures along: 1. Upper Marikina River, 2. Morong River, 3. Teresa River, 4. Pililla River, 5. Puray Riv</t>
  </si>
  <si>
    <t>PRODUCTION AND DELIVERY OF K TO 3 AND SENIOR HIGH SCHOOL LEARNING MATERIALS (ORDERING AGREEMENT)</t>
  </si>
  <si>
    <t>PR#20-08-0410 Cash Book for City Treasurers Office Use</t>
  </si>
  <si>
    <t>Invitation to Bid for the Procurement of IT Equipment to be used for the Blended/Distance Learning of public elementary and secondary schools of Aringay District, this municicpality.</t>
  </si>
  <si>
    <t>SUPPLY AND DELIVERY OF THREE (3) UNITS RICE MILL</t>
  </si>
  <si>
    <t>PROCUREMENT OF MATERIALS FOR SPORTSFEST AND TALENT ENHANCEMENT</t>
  </si>
  <si>
    <t>Refurbishment/Upgrading of Old and Existing Building (Administration Building – Phase 2)</t>
  </si>
  <si>
    <t>Supply/delivery of Materials for the Completion/Repair/Renovation/Rehab. of BHS, Sebario</t>
  </si>
  <si>
    <t>Supply and delivery of Materials for the Completion/Repair/Renovation/Rehab. of BHS, Cabano</t>
  </si>
  <si>
    <t>RFQ 2020-76 Various Supplies for HIV HUB</t>
  </si>
  <si>
    <t>Supply and delivery of Materials for the Completion/Repair/Renovation/Rehab. of BHS, Igcawayan</t>
  </si>
  <si>
    <t>ITB No. SJdB-2020-017: Construction of a Barangay Health Station (BHS) at Brgy. Magcalon</t>
  </si>
  <si>
    <t>Improvement of Bldg. Facilities Work Area</t>
  </si>
  <si>
    <t>20-CS-DO-04: Preliminary Detailed Engineering Services for the different Roads and Bridges within the 2nd Legislative District of Rizal: 1. Pililla Jct. – Jalajala Road, 2. Tanay-Sampaloc Road, 3. Man</t>
  </si>
  <si>
    <t>Refurbishment/Upgrading of Old and Existing Buildings (Research, Extension and Business Affairs Building)</t>
  </si>
  <si>
    <t>Supply and Delivery of Video and Audio Equipment for the Production of Instructional Videos at SDO Marikina City</t>
  </si>
  <si>
    <t>Bed, Double Deck with Mattress</t>
  </si>
  <si>
    <t>One (1) Lot Information Technology</t>
  </si>
  <si>
    <t>RFQ-DESKTOP AND IT PERIPHERALS PR#20-02-0035</t>
  </si>
  <si>
    <t>Printing of Modules (Galang ES) Apalit District</t>
  </si>
  <si>
    <t>Construction of Box Culvert</t>
  </si>
  <si>
    <t>Supply and delivery of Materials for the Completion/Repair/Renovation/Rehab. of BHS, Sapal</t>
  </si>
  <si>
    <t>1 LOT – Supply of labor, tools and materials for Operation and Basic Maintenance Servicing (OBMS) of the Electro-Mechanical System of the BSP Bacolod Branch  for the period of four (4) months (Sep 202</t>
  </si>
  <si>
    <t>SUPPLY AND DELIVERY OF PERSONAL AIR IONIZERS FOR THE PRESIDENTIAL MANAGEMENT STAFF (PMS)</t>
  </si>
  <si>
    <t>Completion/Repair/Renovation/Rehab. of BHS, Cabano (Labor Only)</t>
  </si>
  <si>
    <t>Provisions of Supplies for Reproduction of Learning ResourcesIModules for Schools without Funding from the MOOE and Schools with MOOE but is Needing Additional Provisions</t>
  </si>
  <si>
    <t>Printing and Binding of Self Learning Modules for the Schools Division of Laoag City Learners</t>
  </si>
  <si>
    <t>Procurement of Bundy Clock</t>
  </si>
  <si>
    <t>Construction of Road and Entrance and Exit Signage at Graduate School</t>
  </si>
  <si>
    <t>SUPPLY AND DELIVERY OF DRUGS AND MEDICINES FOR COVID-19 PANDEMIC</t>
  </si>
  <si>
    <t>1 LOT –  Supply of labor, tools and materials for the Operation and Basic Maintenance Servicing (OBMS) of the Electro-Mechanical System of BSP Iloilo Branch as per BSP Terms of Reference</t>
  </si>
  <si>
    <t>ITB No. SJdB-2020-018: Construction of a Barangay Health Station (BHS) at Brgy. Maybato Sur</t>
  </si>
  <si>
    <t>Construction/Maintenance of Flood Mitigation Structures and Drainage Systems - Construction of Flood Control Dike Along Cawayan River, Manito, Albay</t>
  </si>
  <si>
    <t>RFQ-REFILL OF FIRE EXTINGUISHER PR#20-08-0053</t>
  </si>
  <si>
    <t>RE-Bidding for the Fabrication of New Classroom’s Cubicle Table (180 Sets</t>
  </si>
  <si>
    <t>Construction of Crisis Center</t>
  </si>
  <si>
    <t>Supply and delivery of Materials for the Completion/Repair/Renovation/Rehab. of RHU</t>
  </si>
  <si>
    <t>Purchase of Materials for the Concrete Paving of Road Shoulder of Young and Felipe St of Barangay San Blas, Paoay, Ilocos Norte</t>
  </si>
  <si>
    <t>Construction/Repair/Rehabilitation/Improvement of Various Infrastructure including Local Projects - Local Roads and Bridges-Asphalt Overlay of Banquerohan-Bariis-Sugoy Road, Legazpi City</t>
  </si>
  <si>
    <t>Supply and Delivery of BFAR Video/Photo Equipment for the Office Productivity Project</t>
  </si>
  <si>
    <t>Printing of Modules (Bucanan ES) Magalang North</t>
  </si>
  <si>
    <t>Repair and Maintenance of Water Works System @ Barangay Dayapan, Ibaan, Batangas</t>
  </si>
  <si>
    <t>Construction/Rehabilitation/Improvement of Pawa - Tamaoyan Road, Pawa and Tamaoyan, Legazpi City, Albay</t>
  </si>
  <si>
    <t>Construction/Maintenance of Flood Mitigation Structures and Drainage Systems - Construction/ Improvement of Buyo River Flood Control System, Manito, Albay</t>
  </si>
  <si>
    <t>PROCUREMENT OF BRAND NEW PICK UP 4X2</t>
  </si>
  <si>
    <t>Printing of Modules (Concepcion ES) Bacolor North</t>
  </si>
  <si>
    <t>PROCUREMENT OF BRAND NEW VEHICLE ( MPV) 15 SEATER</t>
  </si>
  <si>
    <t>Construction/Opening of Buyuan-Matanag-Mabini Alternate Road, Legazpi City, Albay</t>
  </si>
  <si>
    <t>Printing of Modules (Sto. Niño ES) San Luis</t>
  </si>
  <si>
    <t>SUPPLY AND DELIVERY OF 242 PCS PNUEMOCOCCAL VACCINE POLYVALENT</t>
  </si>
  <si>
    <t>Printing of Modules (san Jose ES) San Luis</t>
  </si>
  <si>
    <t>PROCUREMENT OF BONDPAPER A4 SIZE</t>
  </si>
  <si>
    <t>Supply and Delivery of ONE (1) UNIT  REAPER</t>
  </si>
  <si>
    <t>Printing of Modules (Bacolor ES) Bacolor North</t>
  </si>
  <si>
    <t>Supply and Delivery of TWO (2) UNITS FLOATING TILLER (Mud Boat Type)</t>
  </si>
  <si>
    <t>Printing of Modules (San Juan ES) San Luis</t>
  </si>
  <si>
    <t>Supply and Delivery of ONE (1) UNIT  POWER TILLER (Kuliglig)</t>
  </si>
  <si>
    <t>Preventive Maintenance Legazpi City - Punta De Jesus Rd - K0544+201 - K0546+000</t>
  </si>
  <si>
    <t>Supply and Delivery of TWO HUNDRED (200) BAGS ORGANIC FERTILIZER</t>
  </si>
  <si>
    <t>Printing of Modules (Talba ES) Bacolor North</t>
  </si>
  <si>
    <t>ITB No. SJdB-2020-020: Construction of a Barangay Health Station (BHS) at Brgy. Pantao</t>
  </si>
  <si>
    <t>1 LOT –  Supply of labor, tools and materials for the Operation and Basic Maintenance Servicing (OBMS) of the Electro-Mechanical System of BSP Roxas Branch as per BSP Terms of Reference</t>
  </si>
  <si>
    <t>Printing of Modules (Tinajero ES) Bacolor North</t>
  </si>
  <si>
    <t>Printing of Modules (San Miguel ES) Magalang North</t>
  </si>
  <si>
    <t>ITB No. SJdB-2020-022: Completion, Repair/Renovation/Rehabilitation/Relocation and Equipping of a Barangay Health Station (BHS) at Brgy. San Pedro</t>
  </si>
  <si>
    <t>Printing of Modules (San Isidro ES) San Simon</t>
  </si>
  <si>
    <t>1 LOT –  Supply of labor, tools and materials for the Operation and Basic Maintenance Servicing (OBMS) of the Electro-Mechanical System of BSP Tacloban Branch as per BSP Terms of Reference for the per</t>
  </si>
  <si>
    <t>El Nido NHS School Supplies</t>
  </si>
  <si>
    <t>Printing of Modules (Maliwalu ES) Bacolor North</t>
  </si>
  <si>
    <t>CSC CAR RFQ NO 2020-013 Potable Water System for CSC FO-Abra</t>
  </si>
  <si>
    <t>ITB No. SJdB-2020-023: Construction of a Barangay Health Station (BHS) at Brgy. Supa</t>
  </si>
  <si>
    <t>Enhancement of Physical Security using Natural Barriers at SND Quarters, Francisco Hall</t>
  </si>
  <si>
    <t>Repost Procurement and Delivery of Printers for Module Reproduction</t>
  </si>
  <si>
    <t>Supply and Delivery of Materials for Protective Face Mask Production CHED repost</t>
  </si>
  <si>
    <t>IMPROVEMENT OF BRGY. STREETLIGHTS</t>
  </si>
  <si>
    <t>Supply and Delivery of EIGHTY (80) BAGS UPLAND PALAY SEEDS</t>
  </si>
  <si>
    <t>ITB No. SJdB-2020-021: Construction of a Barangay Health Station (BHS) at Brgy. San Angel</t>
  </si>
  <si>
    <t>Supply and Delivery of FOUR HUNDRED (400) BAGS INBRED PALAY SEEDS</t>
  </si>
  <si>
    <t>Supply and Delivery of ONE HUNDRED EIGHTY (180) BAGS INBRED PALAY SEEDS</t>
  </si>
  <si>
    <t>PROCUREMENT OF MEDICINES</t>
  </si>
  <si>
    <t>Supply and Delivery of TWO HUNDRED (200) BAGS INBRED PALAY SEEDS</t>
  </si>
  <si>
    <t>Supply and Delivery of ONE HUNDRED (100) BAGS HYBRID PALAY SEEDS</t>
  </si>
  <si>
    <t>Printing of Modules (Calantas ES) Floridablanca West</t>
  </si>
  <si>
    <t>Supply and Delivery of ONE (1) UNIT RICE THRESHER</t>
  </si>
  <si>
    <t>Printing of Modules (Macario Arnedo ES) Apalit District</t>
  </si>
  <si>
    <t>PROCUREMENT OF 2020 FREEDOM OF INFORMATION (FOI) COLLATERALS</t>
  </si>
  <si>
    <t>Supply and Delivery of ONE THOUSAND (1000) PCS DUCKLINGS</t>
  </si>
  <si>
    <t>MODULAR REPRODUCTION</t>
  </si>
  <si>
    <t>DRAINAGE SYSTEM AT AVOCADO STREET RIGHT SIDE BRGY. CROSSING BAYABAS</t>
  </si>
  <si>
    <t>DRAINAGE SYSTEM</t>
  </si>
  <si>
    <t>A. DRAINAGE SYSTEM AT SANTOL LEFT SIDE (PUR0K 1)/ B. DRAINAGE SYSTEM</t>
  </si>
  <si>
    <t>A. DRAINAGE SYSTEM AT LANZONES STREET (PUROK 15) / ADDITIONAL RIPRAPPING OF CANAL AT PUROK 15 LANZONES STREET</t>
  </si>
  <si>
    <t>A. DRAINAGE SYSTEM AT MERCURY ST., (PUROK 3)/ DRAINAGE SYSTEM</t>
  </si>
  <si>
    <t>Printing of Modules (Masantol ES) Masantol North</t>
  </si>
  <si>
    <t>A. DRAINAGE SYSTEM AT SANTOL ST., RIGHT SIDE (PUROK 1) / B. DRAINAGE SYSTEM</t>
  </si>
  <si>
    <t>TO PROCURE GLASS BARRIER FOR FRONTLINE DESK</t>
  </si>
  <si>
    <t>Reproduction of ADM Self-Learning Modules, SY 2020-2021</t>
  </si>
  <si>
    <t>CONSTRUCTION OF VARIOUS INFRASTRUCTURE PROJECTS FOR THE CITY OF NAVOTAS UNDER OTHER INFRASTRUCTURE ASSETS</t>
  </si>
  <si>
    <t>UPGRADING AND IMPROVEMENT OF DIRIGKALIN ROAD IN BARANGAY MATOOGTOOG, MERCEDES, CAMARINES NORTE</t>
  </si>
  <si>
    <t>Printing of KWF Manwal iti Naurnos a Panagsurat iti Ilokano Maikaduwa ng Edisyon</t>
  </si>
  <si>
    <t>A. DRAINAGE SYSTEM AT DAHLIA STREET (PUROK 7) / B. DRAINAGE SYSTEM</t>
  </si>
  <si>
    <t>Supply and Delivery of 35 Pcs. G.I Corrugated Sheet Gauge 15; PR No. 20-1899 dated July 20, 2020</t>
  </si>
  <si>
    <t>ITB NO. GOP-20-DSWD-2020-08-05 Procurement of Various Office Supplies for the use of KALAHI-CIDSS Program Implementation CY2020</t>
  </si>
  <si>
    <t>Supply and Delivery of 40 Pcs. Plywood 1/4 &amp; Other Items; PR No. 20-1900 dated July 20, 2020</t>
  </si>
  <si>
    <t>Improvement of Multi-Purpose Hall at San Jose Elementary School, Barangay San Jose, Floridablanca, Pampanga</t>
  </si>
  <si>
    <t>PEO-20-0989-B- Purchase of Spare parts for use in the repair of Volvo Road Grader (VRG 4&amp;5) Model: G930 and Volvo Road Grader (VRG 1-3) Model: G710 B assigned at PEP, Sta. Barbara, Iloilo</t>
  </si>
  <si>
    <t>Supply and Delivery of Maritime Equipment for Carmen Campus</t>
  </si>
  <si>
    <t>DRAINAGE SYSTEM AT MABINI TO BONIFACIO STREET (PUROK 10)</t>
  </si>
  <si>
    <t>Contract ID No. 20K00365 - Concreting of Brgy. Pulacan to National Highway to Brgy. Perfecto Magdadaro FMR, Brgy. Pulacan and Brgy. Perfecto Magdadaro, Wao, Lanao del Sur</t>
  </si>
  <si>
    <t>Contract ID No. 20K00363 - Construction of Brgy. Piangologan to Brgy. Balut FMR, Brgy. Piangologan and Brgy. Balut, Marogong, Lanao del Sur</t>
  </si>
  <si>
    <t>Contract ID No. 20K00362 - Concreting of Brgy. Carigongan FMR, Brgy. Carigongan, Bubong, Bacolod-Kalawi, Lanao del Sur</t>
  </si>
  <si>
    <t>Supply &amp; Delivery 5 pcs Back-up Battery 12V 7.2 ah &amp; other items; PR No. 20-1915 dated June 3, 2020</t>
  </si>
  <si>
    <t>Contract ID No. 20K00361 - Concreting of Brgy. Bobong FMR, Brgy. Bobong, BAcolod-Kalawi, Lanao del Sur</t>
  </si>
  <si>
    <t>Materials for the Rehabilitation/Repair/Improvement of Barangay Health Station Brgy. Magamay</t>
  </si>
  <si>
    <t>Materials for the Rehabilitation/Repair/Improvement of Barangay Health Station Brgy. Igang</t>
  </si>
  <si>
    <t>lmprovement of Health Center</t>
  </si>
  <si>
    <t>PBD 20-026A One Step qRT PCR kit</t>
  </si>
  <si>
    <t>Purchase of goods and COVID-19 supplies of Fr. William F. Masterson, SJ Elementary School</t>
  </si>
  <si>
    <t>Contract ID No. 20K00364 - Concreting of Brgy. Pualas FMR, Brgy. Pualas, Buadipuso-Buntong, Lanao del Sur</t>
  </si>
  <si>
    <t>Purchase of Supplies to be used for Printing of  Modules</t>
  </si>
  <si>
    <t>PURCHASE OF 10 UNITS COMMUNICATION EQUIPMENT OF BRGY. BAGONGBONG</t>
  </si>
  <si>
    <t>Materials for the Rehabilitation/Repair/Improvement of Barangay Health Station Brgy. Poblacion</t>
  </si>
  <si>
    <t>PROCUREMENT OF E-BOOKS FOR THE COLLEGE OF ARCHITECTURE, ENGINEERING AND TECHNOLOGY, COLLEGE OF ARTS, SCIENCES AND TECHNOLOGY AND COLLEGE OF AGRICULTURE</t>
  </si>
  <si>
    <t>CONCRETING OF BARANGAY ROAD AT SAN JOSE APUNAN</t>
  </si>
  <si>
    <t>PURCHASE OF BIOMETRIC SCANNER AND CCTV SURVEILLANCE SYSTEM FOR MFCES, MFNHS AND SAN MIGUEL ELEMENTARY SCHOOL</t>
  </si>
  <si>
    <t>Syringe 50cc</t>
  </si>
  <si>
    <t>Shuttle Services for Komisyon sa Wikang Filipino Employees</t>
  </si>
  <si>
    <t>PROVISION OF NEGOSYO KITS FOR 19 SARI-SARI STORE AND 7 RICE STORE OWNERS IN PANGASINAN</t>
  </si>
  <si>
    <t>CONCRETING OF BRGY ROAD (PHASE III)</t>
  </si>
  <si>
    <t>Supply &amp; Delivery 45 packs Black Coffee &amp; other items; PR No. 20-1942 dated July 28, 2020</t>
  </si>
  <si>
    <t>Supply and Delivery of 1 Pc. Cylinder Head Gasket &amp; Other Items; PR No. 20-1717 dated May 21, 2020</t>
  </si>
  <si>
    <t>School supplies and materials for classroom repair</t>
  </si>
  <si>
    <t>Supply &amp; Delivery 500 pcs Monoblock Chair &amp; other item; PR No. 20-1937 dated February 11, 2020</t>
  </si>
  <si>
    <t>ITB No. SJdB-2020-019: Construction of a Barangay Health Station (BHS) at Brgy. Mojon</t>
  </si>
  <si>
    <t>Supply and Delivery of 2 Unit Wall Mounted Type Inverter Airconditioner; PR No. 20-1897 dated July 6, 2020</t>
  </si>
  <si>
    <t>Supply of Gasoline Fuel (PR No. 20-07-0286)</t>
  </si>
  <si>
    <t>REPAIR &amp; IMPROVEMENT OF MUNICIPAL BUILDING LGU-BURAUEN, LEYTE</t>
  </si>
  <si>
    <t>Supply and Delivery of 10 Tubes 35A Toner with free use of printer &amp; Other Item; PR No. 20-1884 dated July 22, 2020</t>
  </si>
  <si>
    <t>Supply and Delivery of 1 Set Universal convenience outlet 2 gang &amp; Other Items; PR No. 20-1682 dated July 1, 2020</t>
  </si>
  <si>
    <t>ELECTRICAL SYSTEM INSTALLATION AT BURAUEN SPORTS COMPLEX BURAUEN, LEYTE</t>
  </si>
  <si>
    <t>PROCUREMENT OF BOOKS FOR BURAUEN COMMUNITY COLLEGE</t>
  </si>
  <si>
    <t>SUPPLY, DELIVERY &amp; INSTALLATION OF AIR CONDITION FOR LGU-BURAUEN, LEYTE</t>
  </si>
  <si>
    <t>Printing of Student Modules (junior and Senior High School)</t>
  </si>
  <si>
    <t>Supply and Delivery of Medical Supply (PR No. 20-06-0228)</t>
  </si>
  <si>
    <t>2020 30TH PUBLIC BIDDING: PROCUREMENT OF IT SUPPLIES AND EQUIPMENT</t>
  </si>
  <si>
    <t>PURCHASE OF SERVER FOR IT DIVISION OFFICE USE (2ND BID OPENING)</t>
  </si>
  <si>
    <t>PURCHASE OF MULTI-JET WATER METER FOR BURAUEN WATER WORKS SYSTEM</t>
  </si>
  <si>
    <t>Construction of Umbrella Type Waiting Shed (Divisoria Sur)</t>
  </si>
  <si>
    <t>Procurement of Ambulance Van for use in transferring of patients from Corcuera (Calatrava to RPH-Odiongan) and PDRRMO, Province of Romblon</t>
  </si>
  <si>
    <t>Supply and Delivery of 30 Cart. Brother, TN2280 with existing printer; PR No. 20-1886 dated February 11, 2020</t>
  </si>
  <si>
    <t>Rehabilitation/Improvement/Widening of Agnaga-Talisay Provincial Road Romblon, Romblon</t>
  </si>
  <si>
    <t>Supply and Delivery of Various Equipment (PR No. 20-07-0298)</t>
  </si>
  <si>
    <t>20FL0090-Construction of 2STY6CL, Manlabong National High School, Prieto Diaz, Sorsogon Prieto Diaz, Sorsogon</t>
  </si>
  <si>
    <t>Construction of Maternity Half-Way House, Malipayon District Hospital, Poblacion, Corcuera, Romblon</t>
  </si>
  <si>
    <t>Procurement of One Unit Garbage Truck</t>
  </si>
  <si>
    <t>Construction of Pathological Pit, Malipayon District Hospital, Corcuera, Romblon</t>
  </si>
  <si>
    <t>Procurement of Medical, Dental and Laboratory Supplies for the official use of the Gov. Roque B. Ablan Sr. Memorial Hospital for the 3rd Quarter 2020</t>
  </si>
  <si>
    <t>PROCUREMENT OF 6 WHEELER FIRE TRUCK FOR MDRRMO BURAUEN, LEYTE</t>
  </si>
  <si>
    <t>PROCUREMENT OF 10 WHEELER FIRE TANKER TRUCK FOR MDRRMO BURAUEN, LEYTE</t>
  </si>
  <si>
    <t>Procurement of Office Supplies for the use of the Sangguniang Panlalawigan Office and Vice Governor’s Office for the 3rd Quarter 2020</t>
  </si>
  <si>
    <t>Construction of Flood Control Poblacion, Sta. Fe, Romblon</t>
  </si>
  <si>
    <t>Concrete Paving of Bachawan-Poblacion Road, Concepcion, Romblon</t>
  </si>
  <si>
    <t>INSTALLATION OF WINDOW GRILLS /SUN BREAKER AT BURAUEN MUNICIPAL HEALTH CENTER LGU MUNICIPAL COMPOND, BURAUEN, LEYTE</t>
  </si>
  <si>
    <t>PROCUREMENT OF ONE SET RICE MILL AND ONE SET CORN MILL FOR BALAGON ALSA MASA FARMERS ASSOCIATION AND SERVICE PROVIDER</t>
  </si>
  <si>
    <t>Completion of Cajidiocan Sports Complex Concrete Bleacher Cajidiocan, Romblon</t>
  </si>
  <si>
    <t>Procurement of 1,200 kits of Birthing Kit</t>
  </si>
  <si>
    <t>Construction/Rehabilitation of Seawall at Brgy. Hinactacan, Lapaz, Iloilo City (Bid No. 20-176)</t>
  </si>
  <si>
    <t>Maintenance/Installation of Street Lighting System (City Wide) (PR No. 20-07-0291)</t>
  </si>
  <si>
    <t>Supply and Delivery of Information and Communication Technology Equipment</t>
  </si>
  <si>
    <t>CP C01-2020</t>
  </si>
  <si>
    <t>(PR No. 20-06-05A-0031) 1 LOT SUPPLY AND DELIVERY OF VARIOUS PLASTIC FITTINGS</t>
  </si>
  <si>
    <t>Rebidding for the Purchase of disaster equipment (cutter and spreader portable)</t>
  </si>
  <si>
    <t>Supply and Delivery of Water Meter Testing Analyzer</t>
  </si>
  <si>
    <t>Procurement of 3,275 kits of Hygiene Kit</t>
  </si>
  <si>
    <t>Supply and Delivery of Materials for the Construction of Seawall (Phase III)</t>
  </si>
  <si>
    <t>PURCHASE OF HARDWARE MATERIALS AT ZONE 2, SAN VICENTE PAMPLONA, CAMARINES SUR</t>
  </si>
  <si>
    <t>Purchase of one (1) unit Emergency Response Vehicle (pick-up type)</t>
  </si>
  <si>
    <t>Procurement of 1unit Passenger Van Body Vehicle for use of Provincial Social Welfare and Development Office, Province of Romblon</t>
  </si>
  <si>
    <t>Construction of Post-Harvest Center for Abaca (Brgy. Besigan); SN 193 - 2020</t>
  </si>
  <si>
    <t>Repair of Two Rooms at Boys Scout Bldg. (Barangay. 40); SN 191 - 2020</t>
  </si>
  <si>
    <t>Development of the Laboratory Information and Management System</t>
  </si>
  <si>
    <t>BACOLOD BRANCH - VARIOUS OFFICE EQUIPMENT</t>
  </si>
  <si>
    <t>Supply and Delivery of 1 Lot General Upholstery (Ceiling, Flooring, Door Cover, Driver, Passenger &amp; Back Seat) and 35 other items;PR. No. 20-1634 ; Dated May 18, 2020</t>
  </si>
  <si>
    <t>VET-20-0888-B Purchase of Animal/Zoological Supplies</t>
  </si>
  <si>
    <t>Procurement of 376 kit Staining Kits</t>
  </si>
  <si>
    <t>Procurement of 9,004 box of Doxycycline (as Hyclate) 100mg capsule</t>
  </si>
  <si>
    <t>PB-PROCUREMENT OF MOBILE C-ARM WITH SPINAL TABLE AND FRACTURE TABLE (1 LOT) ITB No. 2020-33</t>
  </si>
  <si>
    <t>Procurement of 11,012 sachet of 0.5% Pyriproxifen, 5 grams/sachet, granular formulation</t>
  </si>
  <si>
    <t>CONSTRUCTION OF NAVO RESCUE CENTER AT C-3 ROAD CORNER DALAGANG BUKID, NBBS DAGAT-DAGATAN, NAVOTAS CITY</t>
  </si>
  <si>
    <t>Anti-SARS-CoV-2 Total Antibody test     (IgG, IgM, IgA).</t>
  </si>
  <si>
    <t>Supply of Labor, Materials and Equipment for the Construction of Line Canal, Brgy. Sabang, San Jose, Batangas</t>
  </si>
  <si>
    <t>CP C02-2020</t>
  </si>
  <si>
    <t>Procurement of 700 box Standard F HBA1C (FIA) and 8 kit SDB HBA1C Control Kit</t>
  </si>
  <si>
    <t>Procurement of 118 bottle Immersion Oil</t>
  </si>
  <si>
    <t>Procurement of 10,000 tests of Dengue NS1 AG + IgG/IgM Rapid Diagnostic Test</t>
  </si>
  <si>
    <t>Construction/Rehabilitation/Repair/Widening of Roads at Brgy. Bito-on, Jaro, Iloilo City (Bid No. 20-179)</t>
  </si>
  <si>
    <t>Procurement of 655 canister of Effervescent Chlorine Tablet 1.7g</t>
  </si>
  <si>
    <t>Procurement of 300 bottles of D-Tetramethrin 4%, Cyphenothrin 12%, 1L/Bottle</t>
  </si>
  <si>
    <t>Procurement of 537 bottles of Permethrin 173.1 g/L + S-Bioallethrin 7.2 g/l + Piperonyl Butoxide (PBO) 155.9 g/L, Emulsifiable Concentrate, 1 ltter/bottle</t>
  </si>
  <si>
    <t>Publication/Advertisement of Ordinance</t>
  </si>
  <si>
    <t>Procurement of 1,056 kit Syphilis Rapid Test Kits (30test/kit)</t>
  </si>
  <si>
    <t>Procurement of 1,500 sachet of Deltamethrin 25% (Water Dispersible Granules) WG, 20 grams per sachets WHOPES Recommended</t>
  </si>
  <si>
    <t>Procurement of 17 Units Brand New Garbage Compactor for Distribution and Provision of Other Forms of Assistance to the Different Municipalities and Cities of the Province of Ilocos Norte for Efficient</t>
  </si>
  <si>
    <t>Construction/Rehabilitation/Repair/Widening of Road at Brgy. Sooc (Guatelara Socialized Housing Project), Arevalo, Iloilo City (Bid No. 20-177)</t>
  </si>
  <si>
    <t>Purchase of Cellphone (SAN SALVADOR)-REPOST</t>
  </si>
  <si>
    <t>Procurement of Various Emergency Drugs and Medicines (Lot Bidding)</t>
  </si>
  <si>
    <t>Fabrication of Material Recovery Facility (MRF)-REPOST</t>
  </si>
  <si>
    <t>Installation of Streetlights (VILLA SUR)-REPOST</t>
  </si>
  <si>
    <t>PROCUREMENT OF ONE UNIT SPRAY DRYER FOR MUNICIPAL AGRICULTURE OFFICE</t>
  </si>
  <si>
    <t>20GDB0043 Supply of Materials for the Repair and Maintenance of Tagaytay-Nasugbu Road, K0077+144-K0077+271, Brgy. Kaylaway, Nasugbu, Batangas and K0080+861-K0081+980, Brgy. Aga, Nasugbu, Batangas</t>
  </si>
  <si>
    <t>2020-07-1405 "Procurement of 1500 pc Plastic Chair, White for PFCTC Supplies"</t>
  </si>
  <si>
    <t>Procurement of 575 bottles of 1.42 g/L + Permethrin 102.7 g/L + Piperonyl Butoxide 98.4 g/L, Emulsion Oil in Water (EW), WHOPES Recommended</t>
  </si>
  <si>
    <t>20GDB0030 Supply of Fuel &amp; Lubricants for use in various Service Vehicles &amp; Equipment in DPWH – Batangas I DEO (Main Office) for 3rd Quarter</t>
  </si>
  <si>
    <t>Supply of Labor, Materials and Equipment for the Road Widening, Brgy. Bigain II, San Jose, Batangas</t>
  </si>
  <si>
    <t>Supply of Labor, Materials and Equipment for the Road Widening, Brgy. Banaybanay II, San Jose, Batangas</t>
  </si>
  <si>
    <t>Supply of Labor, Materials and Equipment for the Road Concreting, Brgy. Aguila, San Jose, Batangas</t>
  </si>
  <si>
    <t>Vehicle/Pedestrian Facilities at Iloilo City National High School, Molo, Iloilo City (Bid No. 20-183)</t>
  </si>
  <si>
    <t>Procurement of 2,707 pcs. Etonogestrel Subdermal Implant</t>
  </si>
  <si>
    <t>Procurement of 16,836 pcs. of Progestin Subdermal Implant (PSI) Ancillary Kit</t>
  </si>
  <si>
    <t>20ME0147 - Concreting of Purok Saranay to Purok Pag-asa,  Brgy. Salakit FMR, Kiamba, Sarangani Province</t>
  </si>
  <si>
    <t>CONSTRUCTION/INSTALLATION OF BLAST FREEZER HOUSING AT MALIMGAS MARKET GALVAN ST., DAGUPAN CITY</t>
  </si>
  <si>
    <t>PROCUREMENT OF DIESOLINE AND OIL FOR THE USE OF LGU LIGHT AND HEAVY EQUIPMENT FOR THE REHAB/ IMPROVEMENT OF BRGY. LAGTING -SIBUGUEY FLOOD DIKE ROAD</t>
  </si>
  <si>
    <t>Repair of Drainage System</t>
  </si>
  <si>
    <t>Procurement of 3,500 kit HIV test kit (30test/kit)</t>
  </si>
  <si>
    <t>Purchase of CCTV Camera</t>
  </si>
  <si>
    <t>Drilling of 1 Exploratory/Production Well</t>
  </si>
  <si>
    <t>Construction of Seawall against storm surge (Phase V), Barangay Sadsaran, Mauban, Quezon</t>
  </si>
  <si>
    <t>Purchase of General Merchandise 2020-07-0285</t>
  </si>
  <si>
    <t>SMALL VALUE PROCUREMENT FOR THE SHIPPING SERVICES FOR THE TRANSFER OF 20,000 BAGS OF PALAY IN LUBANG, OCCIDENTAL MINDORO TO NFA BATANGAS</t>
  </si>
  <si>
    <t>Procurement of Construction Materials for the Construction of SLF Cell 2 - Phase 2</t>
  </si>
  <si>
    <t>Supply &amp; Delivery of Materials for the Installation of Streetlight (SAN PEDRO)REPOST</t>
  </si>
  <si>
    <t>fabrication and installation of solar street lights</t>
  </si>
  <si>
    <t>Supply &amp; Delivery of Materials for the Improvement of Multi-Purpose Gym,Daycare and Health Bldg.-Pob. Norte</t>
  </si>
  <si>
    <t>Procurement of Television set</t>
  </si>
  <si>
    <t>Supply and Delivery of Office Supplies</t>
  </si>
  <si>
    <t>Construction/Rehabilitation/Repair/Widening of Roads at Brgy. Sto. Niño Sur, Arevalo (Tatoy’s Area), Iloilo City (Bid No. 20-184)</t>
  </si>
  <si>
    <t>CATERING SERVICES/SVP No. T-2020-08-012</t>
  </si>
  <si>
    <t>FOOD SUPPLIES/IB No. N-2020-005</t>
  </si>
  <si>
    <t>globe card @300</t>
  </si>
  <si>
    <t>LEASE OF VENUE WITH CATERING SERVICES/NEG. PROC. 53.10 N-2020-08-058</t>
  </si>
  <si>
    <t>Supply &amp; Delivery of Various Vehicle Parts &amp; Accessories for Replacement of Spare Parts of CHD-Service Vehicle, City Health Office, Ormoc City</t>
  </si>
  <si>
    <t>Supply and Delivery of 7 Units Photocopier use for the Reproduction of Modules</t>
  </si>
  <si>
    <t>Installation of Grills for 2 Units at K-12 Building at Iloilo City National High School, Molo, Iloilo City (Bid No. 20-181)</t>
  </si>
  <si>
    <t>CATERING SERVICES/SVP No. C-2020-08-006</t>
  </si>
  <si>
    <t>PROCUREMENT OF DIESOLINE AND OIL FOR THE USE OF LGU LIGHT AND HEAVY EQUIPMENT FOR THE REHAB/ IMPROVEMENT OF COLORAN TO PARUK  LOCAL ROAD</t>
  </si>
  <si>
    <t>Construction of Materials Recovery Facility (MRF), Sitio Mantallo Brgy. Kinabjangan</t>
  </si>
  <si>
    <t>Supply, Delivery and Installation of Six (6) Multi-Media Filtration System</t>
  </si>
  <si>
    <t>CONSTRUCTION MATERIALS FOR THE IMPROVEMENT OF MULTI-PURPOSE CENTER</t>
  </si>
  <si>
    <t>PROCUREMENT OF DIESOLINE AND OIL FOR THE USE OF LGU LIGHT AND HEAVY EQUIPMENT FOR THE REHAB/ IMPROVEMENT OF BRGY. KIMOS LOCAL ROAD</t>
  </si>
  <si>
    <t>RFQ for THA Ceramic on Ceramic</t>
  </si>
  <si>
    <t>Procurement of Rice Planter use for Farm Mechanization Program</t>
  </si>
  <si>
    <t>Delivery of Various Agricultural Supplies for 1st Semester 2020 - Consolidated (NP/PB 20-0972)</t>
  </si>
  <si>
    <t>Re-Posting: Procurement of RP Vehicles(Multicab-Rescue Vehicle)</t>
  </si>
  <si>
    <t>CONSTRUCTION OF BARANGAY MATERIAL RECOVERY FACILITY, BRGY. MALABANBAN NORTE &amp; MALABANBAN SUR, CANDELARIA, QUEZON</t>
  </si>
  <si>
    <t>REPAIR AND MAINTENANCE-BUILDING AND OTHER STRUCTURES AT SANGGUNIANG PANLUNGSOD, DAGUPAN CITY</t>
  </si>
  <si>
    <t>PROCUREMENT OF SERVICE PROVIDE – VEHICLE RENTAL FOR THE USE OF GENERAL SERVICES SECTION OF DSWD FO III FOR THE MONTH OF SEPTEMBER-DECEMBER 2020</t>
  </si>
  <si>
    <t>Re-Posting: Procurement of Goods for the Construction of Warehouse @ Motorpool</t>
  </si>
  <si>
    <t>CONSTRUCTION OF EVACUATION CENTER, BRGY. MAYABOBO, CANDELARIA, QUEZON</t>
  </si>
  <si>
    <t>CONSTRUCTION OF BARANGAY MATERIAL RECOVERY FACILITY, BRGY. BUENAVISTA WEST &amp; EAST, BUKAL NORTE, KINATIHAN I &amp; II, MANGILAG NORTE, MASALUKOT II, MASALUKOT V, MAYABOBO, SAN ANDRES &amp; SAN ISIDRO, CANDELAR</t>
  </si>
  <si>
    <t>SUPPLY AND DELIVERY OF VARIOUS OFFICE EQUIPMENT, VARIOUS OFFICES, LGU CANDELARIA, QUEZON</t>
  </si>
  <si>
    <t>SUPPLYING OF LABOR FOR THE IMPROVEMENT OF NEW CAPITOL CANTEEN, SAN JOSE, ANTIQUE/IB No. LL-2020-002</t>
  </si>
  <si>
    <t>SUPPLY AND DELIVERY OF VARIOUS OFFICE AND JANITORIAL SUPPLIES, VARIOUS OFFICES, LGU CANDELARIA, QUEZON</t>
  </si>
  <si>
    <t>Purchase of Furnitures, Fixtures and Equipment</t>
  </si>
  <si>
    <t>PURCHASE OF PPE &amp; THERMOMETERS</t>
  </si>
  <si>
    <t>Supply and Delivery of Electrical Supplies - Lights</t>
  </si>
  <si>
    <t>SUPPLY AND DELIVERY OF GENERATOR SET, LGU - UNISAN, QUEZON</t>
  </si>
  <si>
    <t>CONSTRUCTION OF BARANGAY MATERIAL RECOVERY FACILITY, BRGY. MASIN NORTE, MASIN SUR &amp; MASALUKOT I, CANDELARIA, QUEZON</t>
  </si>
  <si>
    <t>PROCUREMENT OF GROCERY ITEMS AND MEDICAL SUPPLIES INTENDED FOR STOCKPILE AS PREPOSITIONED RESOURCES</t>
  </si>
  <si>
    <t>Supply &amp; Delivery of Various Office Furniture's for Assessor's Office use, City Assessor's Office, Ormoc City</t>
  </si>
  <si>
    <t>Supply &amp; Delivery of Various Office Furniture's for SP use, Sangguniang Panlungsod, Ormoc City</t>
  </si>
  <si>
    <t>Procurement of Various Other Supplies &amp; Equipment</t>
  </si>
  <si>
    <t>Video Live Feed Set-up w/ Equipment Services for Various Socio Cultural Activities &amp; Official Functions, City Mayor's Office, Ormoc City</t>
  </si>
  <si>
    <t>Construction/Rehabilitation/Improvement of Early Childhood Care and Development Center (ECCD) at Brgy. Sta. Felomina, Arevalo, Iloilo City (Bid No. 20-188)</t>
  </si>
  <si>
    <t>Construction of Two (2) Storey Eight (8) Classrooms Building at TCT-AR FIS, Brgy. Lanit, Jaro, Iloilo City (Bid No. 20-187)</t>
  </si>
  <si>
    <t>PROCUREMENT OF DIESOLINE AND OIL FOR THE USE OF LGU LIGHT AND HEAVY EQUIPMENT FOR THE REHAB/ IMPROVEMENT OF BATU-LAIH LOCAL ROAD</t>
  </si>
  <si>
    <t>Supply &amp; Delivery of Materials for the Improvement of Barangay Gym (Villa Sur)</t>
  </si>
  <si>
    <t>Supply &amp; Delivery of Diesel Fuel for the use of Different Government Vehicles, City General Services Office, Ormoc City</t>
  </si>
  <si>
    <t>Rehabilitation/ Reconstruction of Roads with Slips, Slope Collapse, and Landslide Tertiary Roads - Eastern Link Circumferential Rd. - K0248+620 - K0248+645, K0248+700 - K0248+715</t>
  </si>
  <si>
    <t>Supply &amp; Delivery of Various Office Supplies &amp; Consumables for Distribution to Different Local Government Offices in Ormoc City</t>
  </si>
  <si>
    <t>Supply and Delivery of 5 Cubic Meter Garbage Compactor 140 HP (Brand New)</t>
  </si>
  <si>
    <t>Supply, Delivery, Testing and Commissioning of Twenty (20) units Brand New Ambulance</t>
  </si>
  <si>
    <t>Improvement of Security Facilities at Donato Pison Elementary School, Mandurriao, Iloilo City (Bid No. 20-185)</t>
  </si>
  <si>
    <t>Procurement of Various Laboratory Equipment and Equipment Repair Works/Services for the DOST 8 RSTL</t>
  </si>
  <si>
    <t>Construction of Diversion Works (Repair of Dam), Protection Works, Canal Lining, Canal Structures and Terminal Facilities</t>
  </si>
  <si>
    <t>6.	Construction of Barangay / Farm to Market Road at Brgy. Aga, Nasugbu, Batangas</t>
  </si>
  <si>
    <t>20 – 0043– S - Procurement of Spare Parts for use of Pick-up with DPWH No. H1-6504 (A3F520) detailed in the Finance Section, DPWH, Quezon IV District Engineering Office, Gumaca, Quezon</t>
  </si>
  <si>
    <t xml:space="preserve">20 – 0042 – S - Procurement of Technical and Scientific Equipment and Printer Supplies for use in the conduct of Pavement Management System (PMS) Calibration, Assessment and Validation Program, DPWH, </t>
  </si>
  <si>
    <t>PROCUREMENT OF E-JOURNALS FOR GENERAL REFERENCES</t>
  </si>
  <si>
    <t>20 – 0044– S - Procurement of Spare Parts for use of Pick-up with Plate No. SJV 619 detailed in the Planning and Design Section, DPWH, Quezon IV District Engineering Office, Gumaca, Quezon</t>
  </si>
  <si>
    <t>20 – 0045 – S - Procurement of Sanitation Facilities and Gantries, Personal Protective Equipment (PPE), Sanitation/Hygienic Kit and Equipment for use in the Prevention of COVID-19 Pandemic, DPWH-Quezo</t>
  </si>
  <si>
    <t>3.	Construction of Barangay / Farm to Market Road at Brgy. Cumba, Lian, Batangas</t>
  </si>
  <si>
    <t>20 – 0040 – S - Procurement of Printer Supplies, Technical and Scientific Equipment and Personal Protective Equipment (PPE) for use in the Conduct of Inventory/Condition Inspection Survey for Bridge M</t>
  </si>
  <si>
    <t>20 – 0039 – S - Procurement of Office Supplies and Printer Supplies for use in the Conduct of Inventory, Validation and other related Activities for Road Slope Management (RSM), DPWH-Quezon IV Distric</t>
  </si>
  <si>
    <t>20 – 0038 – S - Procurement of Spare Parts for use of  Dump Truck with DPWH no. H3-6665 detailed in the  Maintenance Section, DPWH-Quezon IV District Engineering Office, Gumaca Quezon.</t>
  </si>
  <si>
    <t>2.	Construction of Barangay / Farm to Market Road at Brgy. Butucan, Nasugbu, Batangas</t>
  </si>
  <si>
    <t>Public Bidding of 3 Lots for the Supply and Delivery of Office Supplies, Computer Inks &amp; Cartridges and Janitorial Supplies for the use of Various Offices in the Roxas City Government (3rd Batch) unde</t>
  </si>
  <si>
    <t>MEALS AND SNACKS FOR COMPREHENSIVE DEVELOPMENT PLAN DRAFTING WORKSHOP</t>
  </si>
  <si>
    <t>PRINTING OF JHS AND SHS MODULES</t>
  </si>
  <si>
    <t>PROCUREMENT OF LIBRARY REFERENCES FOR ALL CAMPUSES</t>
  </si>
  <si>
    <t>1.	Construction of Barangay / Farm to Market Road at Brgy. Balibago, Calatagan, Batangas</t>
  </si>
  <si>
    <t>AVRC-2020-08-0320 : IT EQUIPMENT AND SUPPLIES FOR AVRC III</t>
  </si>
  <si>
    <t>Various Medical Equipment for the CPT, CM, and UHS (Negotiated Procurement)</t>
  </si>
  <si>
    <t>AVRC : 7	UNIT	COMPUTER PRINTER---30	UNIT	USB FLASH DRIVE FOR THE OPERATIONAL USE OF AVRC III</t>
  </si>
  <si>
    <t>Construction of open canal</t>
  </si>
  <si>
    <t>Improvement of Flood Control Facilities at Taal Elementary School, Molo, Iloilo City (Bid No. 20-186)</t>
  </si>
  <si>
    <t>2020-08-0191 - PROCUREMENT OF CONSTRUCTION MATERIALS AND SUPPLIES FOR USE IN THE MAINTENANCE FIELD OPERATION OF BUKIDNON 3RD DEO JURISDICTION, DICKLUM, MANOLO FORTICH, BUKIDNON</t>
  </si>
  <si>
    <t>CONSTRUCTION OF SOLAR STREETLIGHT</t>
  </si>
  <si>
    <t>15.	Construction of Street Lighting System at Brgy. Balibago, Lian, Batangas</t>
  </si>
  <si>
    <t>Procurement of Monoblock Chair</t>
  </si>
  <si>
    <t>20CSEF09-Parcellary Survey for the Construction of Various Roads and Bridges - Palawan Circumferential Road Latud-Canipaan-Buliluyan</t>
  </si>
  <si>
    <t>PURCHASE OF MEDICINE</t>
  </si>
  <si>
    <t>16.	Construction of Street Lighting System at Brgy. Mataas na Bayan, Lemery, Batangas</t>
  </si>
  <si>
    <t>INVITATION TO BID FOR THE DECLOGGING OF DRAINAGE CANAL</t>
  </si>
  <si>
    <t>Purchase of Animal Feeds 2020-08-0334</t>
  </si>
  <si>
    <t>Construction of Dugwell</t>
  </si>
  <si>
    <t>4.	Construction of Barangay / Farm to Market Road at Brgy. Balibago, Lian, Batangas</t>
  </si>
  <si>
    <t>Construction Supplies Handfree Handwashing</t>
  </si>
  <si>
    <t>“Procurement of Various Materials for the Rehabilitation of  Concrete Flooring of Multi-Purpose Gym.”</t>
  </si>
  <si>
    <t>PURCHASE OF RICE FOR RELIEF</t>
  </si>
  <si>
    <t>PROCUREMENT OF MEDICAL, DENTAL AND LABORATORY SUPPLIES</t>
  </si>
  <si>
    <t>PROCUREMENT OF TIRES, BATTERY, AND SPARE PARTS FOR THE REPAIR AND MAINTENANCE OF TRANSPORTATION EQUIPMENT</t>
  </si>
  <si>
    <t>20 – 0041– S - Procurement of Technical and Scientific Equipment, Personal Protective Equipment (PPE), Office Supplies and Printer Supplies for use in the conduct of Road Condition and Inventory Surve</t>
  </si>
  <si>
    <t>PROCUREMENT OF DIESEL</t>
  </si>
  <si>
    <t>PROCUREMENT OF TIRES FOR THE REPAIR AND MAINTENANCE OF TRANSPORTATION EQUIPMENT</t>
  </si>
  <si>
    <t>PROCUREMENT OF OTHER SUPPLIES AND MATERIALS</t>
  </si>
  <si>
    <t>PROCUREMENT OF OTHER SUPPLIES</t>
  </si>
  <si>
    <t>PROCUREMENT OF SEEDLINGS</t>
  </si>
  <si>
    <t>13.	Construction of Street Lighting System at Brgy. Bucana, Nasugbu, Batangas</t>
  </si>
  <si>
    <t>Procurement and Delivery of Various Materials for Water System of Tago, Surigao del Sur</t>
  </si>
  <si>
    <t>12.	Construction of Street Lighting System at Brgy. Dao, Tuy, Batangas</t>
  </si>
  <si>
    <t>Construction of Water System</t>
  </si>
  <si>
    <t>14.	Construction of Street Lighting System at Brgy. Taklang Anak, Calaca, Batangas</t>
  </si>
  <si>
    <t>10.	Construction of Street Lighting System at Brgy. Butong, Taal, Batangas</t>
  </si>
  <si>
    <t>9.	Construction of Street Lighting System at Brgy. Mahabang Dahilig, Lemery, Batangas</t>
  </si>
  <si>
    <t>7.	Construction of Barangay / Farm to Market Road at Brgy. Taludtud, Balayan, Batangas</t>
  </si>
  <si>
    <t>5.	Construction of Barangay / Farm to Market Road at Brgy. Humayingan, Lian, Batangas</t>
  </si>
  <si>
    <t>Catering Services for the Conduct of Basic Training Course for Municipal Paid ALS Literacy Volunteers of Daram I and II Districts</t>
  </si>
  <si>
    <t>Purchase of Live Animals 2020-08-0332</t>
  </si>
  <si>
    <t>CONSTRUCTION OF BARANGAY MATERIAL RECOVERY FACILITY, BRGY. MANGILAG SUR CANDELARIA, QUEZON</t>
  </si>
  <si>
    <t>20ME0146 - Concreting of Crossing Paraiso, Brgy. Pag-asa  Road to Paraiso Proper FMR, Brgy. Pag-asa, Alabel, Sarangani Province</t>
  </si>
  <si>
    <t>Supply of Labor, Materials and Equipment for the Road Widening, Brgy. Lepute, San Jose, Batangas</t>
  </si>
  <si>
    <t>20 – 0046 – S - Procurement of Technical and Scientific Equipment, Furniture &amp; Fixtures, Printer Supplies and Personal Protective Equipment (PPE) for use in the Preparation of Right-of-Way Action Plan</t>
  </si>
  <si>
    <t>8.	Construction of Street Lighting System at Brgy. Puting Kahoy, Lian, Batangas</t>
  </si>
  <si>
    <t>11.	Construction of Street Lighting System at Brgy. Carsuche, Taal, Batangas</t>
  </si>
  <si>
    <t>Procurement of 3,913 vial of Equine Rabies Immunoglobulin (ERIG)</t>
  </si>
  <si>
    <t>PURCHASE OF DESTTOP</t>
  </si>
  <si>
    <t>Supply and Delivery of Vehicle Parts &amp; Accessories for AERIAL BASKET-5 and SHACMAN A.B., PDO, Marikina City</t>
  </si>
  <si>
    <t>USB LACE</t>
  </si>
  <si>
    <t>Materials for the Upgrading/Rehabilitation of Perimeter Fence, PNP Building, Cabatuan, Iloilo</t>
  </si>
  <si>
    <t>P.R. # 20-08-099 For use in the repair and preventive maintenance of various equipment of this office.</t>
  </si>
  <si>
    <t>SUPPLY AND DELIVERY OF CHEMICAL AND FILTERING SUPPLIES FOR THE ZOOLOGY DIVISION</t>
  </si>
  <si>
    <t>Fabrication of Steel Gate (VILLA SUR)</t>
  </si>
  <si>
    <t>PURCHASE OF ASRBIC ACID FOR KIDS</t>
  </si>
  <si>
    <t>20CSEF10-Parcellary Survey for the Construction of Various Roads and Bridges - Palawan Circumferential Road Rizal-Panalingaan (S00023PW)</t>
  </si>
  <si>
    <t>Supply and Delivery of Various Materials for the Replacement of Riser Pipe (Waterworks)</t>
  </si>
  <si>
    <t>JOB ORDER</t>
  </si>
  <si>
    <t>17.	Construction of Street Lighting System at Brgy. Malapad na Bato, Nasugbu, Batangas</t>
  </si>
  <si>
    <t>Purchase of Vehicle Parts and Accessories FOR DTN-04 MODEL CWB-459H. Under P.R. No. 30-20-03-034</t>
  </si>
  <si>
    <t>18.	Construction of Street Lighting System at Brgy. Matabungkay, Lian,  Batangas</t>
  </si>
  <si>
    <t>To be used by MERU responders to provide high quality pre-hospital care and to comply with the DOH requirement for ambulance accreditation.</t>
  </si>
  <si>
    <t>For the different Barangay Office use.</t>
  </si>
  <si>
    <t>19.	Construction of Barangay / Farm to Market Road at Brgy. Orense, Bauan, Batangas</t>
  </si>
  <si>
    <t>Construction of Public Market - Phase III</t>
  </si>
  <si>
    <t>Concreting of Marcelo Abrenica Road</t>
  </si>
  <si>
    <t>Gulliwad - Lingay PW</t>
  </si>
  <si>
    <t>19EB0157: Construction/Improvement/Concreting of Marikit-Lumangbayan-Poblacion Bypass Road, Occidental Mindoro</t>
  </si>
  <si>
    <t>Enhancement of Municipal Wharf (Construction of Covered Walkway)</t>
  </si>
  <si>
    <t>CONCRETING OF PUBLIC CEMETERY ROAD (KAYAK)</t>
  </si>
  <si>
    <t>PR NO. 2020-08-213 PURCHASE OF VARIOUS EQUIPMENT TOOLS FOR USE IN MAINTENANCE SECTION</t>
  </si>
  <si>
    <t>20.	Construction of Canal/Drainage System, Seawall, Riprapping at Brgy. Balite, San Luis, Batangas</t>
  </si>
  <si>
    <t>Supply and Delivery of Vehicle Parts &amp; Accessories for Wrecker-2   SKS-359, OPSS, Marikina City</t>
  </si>
  <si>
    <t>Purchase of Vehicle Repair and Maintenance For Repair/Maintenance of Mitsubishi Strada SJB-794. Under P.R. No. 30-20-02-021</t>
  </si>
  <si>
    <t>PROCUREMENT OF GOAT</t>
  </si>
  <si>
    <t>Repair and Maintenance of Dump Truck #3</t>
  </si>
  <si>
    <t>Office Equipment for the Conference Room of LGU Burgos, Pangasinan</t>
  </si>
  <si>
    <t>21.	Construction of Multi-Purpose Covered Court at Brgy. San Mateo, San Pascual, Batangas</t>
  </si>
  <si>
    <t>OFFICE EQUIPMENT</t>
  </si>
  <si>
    <t>Supply and delivery of Materials for the Construction of Community Recovery Resource Center (CRRC) in Brgy. Quilo-Quilo North, Padre Garcia, Batangas</t>
  </si>
  <si>
    <t>Purchase of Medical Equipment for the use of Indigent Senior Citizens of Municipality of Ilog, Neg. Occ.</t>
  </si>
  <si>
    <t>REHABILITATION/CONCRETING OF CORE LOCAL ACCESS ROAD AT AWILE-MACANDOCANDONG ROAD</t>
  </si>
  <si>
    <t>SAAD-20-3159: Procurement of 3,000 sachets Dewormer needed for the DA SAAD Native Chicken Production Project in Bohol Province</t>
  </si>
  <si>
    <t>Supply &amp; Delivery of One (1) Unit Water Truck</t>
  </si>
  <si>
    <t>SUPPLY &amp; DELIVERY 4 TANKS STANDARD SIZE MEDICAL OXYGEN TANK (FILLED-UP), ETC.. FOR CDRRMO COVID-19 RESPONSE OPERATIONS.</t>
  </si>
  <si>
    <t>100 pcs Big notebook 80's and other items for educational assistance program for Elementary and High School/CSWD</t>
  </si>
  <si>
    <t>Bid No. 20-0399 - PROCUREMENT OF OFFICE EQUIPMENT - MAGRO OPERATIONS</t>
  </si>
  <si>
    <t>PROCUREMENT OF SURVEYING WORKS</t>
  </si>
  <si>
    <t>Supply and Delivery of  Buck and Does for the Training on Integrated Corn-Based Farming  cum Goat Production Training for Farmers  of Region XII  (Pigcawayan, North Cotabato)  for ATI-RTC XII.</t>
  </si>
  <si>
    <t>Rehab./ Improvement of Magting Level II Waterworks System</t>
  </si>
  <si>
    <t>REHABILITATION OF MUNICIPAL BUILDING</t>
  </si>
  <si>
    <t>22.	Construction of Street Lighting System at Brgy. San Agustin Kanluran, Isla Verde, Batangas City</t>
  </si>
  <si>
    <t>Procurement of Medicines and Medical Equipment for ILHZ Program Implementation 2020</t>
  </si>
  <si>
    <t>Procurement of Medicines and Medical Supplies for ILHZ PDH Indigent Patients and Hospital Week Celebration</t>
  </si>
  <si>
    <t>Purchase and Deliver of Materials for the Improvement of Multi-Purpose Building</t>
  </si>
  <si>
    <t>Rehabilitation &amp; Improvement of Drainage System (Supply of Materials)</t>
  </si>
  <si>
    <t>Medical Examination for Pesticide Applicators as per PR# 2020-08-1965</t>
  </si>
  <si>
    <t>SAAD-20-3158: Procurement of 300 bags Fish Meal needed for the DA SAAD Native Chicken Production Project in the Province of Bohol</t>
  </si>
  <si>
    <t>Purchase of Medical Equipment for the use of Persons with disability (PWD) of the Municipality of Ilog, Neg. Occ.</t>
  </si>
  <si>
    <t>Purchase of School and Office Equioment, ACES, Poblacion, Alicia, Bohol</t>
  </si>
  <si>
    <t>REHABILITATION/CONCRETING OF CORE LOCAL ACCESS ROAD AT POBLACION-AWAG ROAD</t>
  </si>
  <si>
    <t>Supply &amp; Delivery of One (1) Unit Self-Loading Truck with Crane</t>
  </si>
  <si>
    <t>CONCRETING OF BARANGAY ROAD, JUPITER STREET</t>
  </si>
  <si>
    <t>PROCUREMENT OF AIR CONDITION SYSTEM</t>
  </si>
  <si>
    <t>AMIA-20-3091: Procurement of Office Supplies to be used in the Planning, Monitoring and Evaluation Division</t>
  </si>
  <si>
    <t>PROCUREMENT OF I.T. EQUIPMENT (FOR POPSP UNLAD KABATAAN PROGRAM)</t>
  </si>
  <si>
    <t>Supply and Delivery of Office Supplies and Consumables per RFQ-194-2020-ED</t>
  </si>
  <si>
    <t>Purchase of Office Equipment for Pontevedra I &amp; II</t>
  </si>
  <si>
    <t>Procurement of Vegetable Seeds and Other Agricultural Crops and Fertilizer for Agricultural Production in MMFN per RFQ-190-2020-CDD</t>
  </si>
  <si>
    <t>24.	Construction of Street Lighting System at Brgy. San Andres, Isla Verde, Batangas City</t>
  </si>
  <si>
    <t>SUBM#2020 -08 - 13 - To purchase materials for use in the repair of drainage along National Roads within the Negros Occidental 2nd District Engineering Office, Binalbagan, Negros Occidental.</t>
  </si>
  <si>
    <t>Purchase of Dengue Test Kits and Covid Antibody Test Kits</t>
  </si>
  <si>
    <t>Procurement and Delivery of Bond Papers for 2020 Census of Population and Housing of SOCD RSSO 6</t>
  </si>
  <si>
    <t>Supply and Delivery of  Mask for use of Aparri Provincial Hospital</t>
  </si>
  <si>
    <t>Purchase of materials for the repair and maintenance of Municipal Circuit Trial Court (Perimeter Fence), Barangay Dancalan, Ilog, NEg. Occ.</t>
  </si>
  <si>
    <t>Purchase of medicines</t>
  </si>
  <si>
    <t>Supply and delivery of labor and materials for Monitoring Paraphernalia</t>
  </si>
  <si>
    <t>23.	Construction of Street Lighting System at Brgy. Liponpon, Isla Verde, Batangas City</t>
  </si>
  <si>
    <t>Purchase of Office Supplies at Pontevedra I &amp; II</t>
  </si>
  <si>
    <t>Rehab./ Improvement of Pandan  Level II Waterworks System</t>
  </si>
  <si>
    <t>Replacement of Tire of RP Vehicle with plate no. SES-167</t>
  </si>
  <si>
    <t>Purchase of Spareparts for Mun. Vehicles (Rescue, Firetruck, SAF Vehicle and Tractor), Alicia, Bohol</t>
  </si>
  <si>
    <t>Supply &amp; Delivery of 90 boxes Amoxicillin Capsule, 500mg, 100s and other items, Drugs and Medicines for City Health Office and Children</t>
  </si>
  <si>
    <t>Proposed Installation of Steel Grille Door and Windows at Multi-purposes Hall, Barangay San Rafael, Luisiana, Laguna.</t>
  </si>
  <si>
    <t>2 pcs Double Row Roller bearing and other items for the repair of vibratory road roller No. 02 (CEO), Dumaguete City /City Engineer's office</t>
  </si>
  <si>
    <t>Meals and Snacks for CBDRRM Training</t>
  </si>
  <si>
    <t>Purchase of materials for the construction of Drainage canal, Alambijod- Sitio Balik-Balik, Barangay Calubang, Ilog, NEg. Occ.</t>
  </si>
  <si>
    <t>Supply &amp; Delivery of Construction Materials for the Repair and Maintenance of Municipal Drain Canal at Poblacion</t>
  </si>
  <si>
    <t>Supply &amp; Delivery of materials for the Completion of One (1) Classroom Building (CDC) Brgy. Bangar, SNV.</t>
  </si>
  <si>
    <t>Purchase of Office and Other Office Supplies, LGU, Alicia, Bohol</t>
  </si>
  <si>
    <t>Office Supplies (General)</t>
  </si>
  <si>
    <t>25.	Construction of Street Lighting System at Brgy. San Antonio, Isla Verde, Batangas City</t>
  </si>
  <si>
    <t>MEDICAL SUPPLIES</t>
  </si>
  <si>
    <t>PROCUREMENT OF REPLACEMENT OF PUMP OF REVERSE OSMOSIS</t>
  </si>
  <si>
    <t>Rehabilitation of Barangay Roads (Between Purok-3 to Purok-6</t>
  </si>
  <si>
    <t>Const. of Purok 2-Purok 5 Farm to Market Road Phase I</t>
  </si>
  <si>
    <t>Supply and Delivery of 2 sets Laptop and 1 set Desktop Computer</t>
  </si>
  <si>
    <t>Purchase of RCPC, Barangay Ninoy Aquino, Kalilangan, Bukidnon</t>
  </si>
  <si>
    <t>Supply and Delivery of Construction Materials to be used for the Improvement of Multi-Purpose Hall at Barangay Malino, City of San Fernando, Pampanga</t>
  </si>
  <si>
    <t>P.R. # 20-06-082 -3- Units - Desktop, with SDD for use of Finance Section</t>
  </si>
  <si>
    <t>Purchase and Delivery of Chainsaw of the MDRRMO</t>
  </si>
  <si>
    <t>CONSTRUCTION OF TRIBAL HOUSE</t>
  </si>
  <si>
    <t>PROCUREMENT OF SUPPLIES/MATERIALS FOR THE IMPROVEMENT OF ELIAS K. BULUT MEMORIAL GYMNASIUM (ELECTRICAL WIRING, LIGHTING, MAIN SERVICE AND TRANSFORMER)</t>
  </si>
  <si>
    <t>Office Supplies for Treasurers Office</t>
  </si>
  <si>
    <t>SUPPLY AND INSTALLATION OF SOLAR POWERED SYSTEM &amp; SOLAR LIGHTS</t>
  </si>
  <si>
    <t>SUPPLY AND DELIVERY OF LEARNING KITS</t>
  </si>
  <si>
    <t>Office Supplies (MMO Engineering Services)</t>
  </si>
  <si>
    <t>26.	Construction of Street Lighting System at Brgy. San Agapito, Isla Verde, Batangas City</t>
  </si>
  <si>
    <t>PR 179-08-2020 OFFICE SUPPLIES 7 DEVICES FOR 2ND AND 3RD QTR.</t>
  </si>
  <si>
    <t>REPAIR AND MAINTENANCE OF PANGLAO PUBLIC MARKET</t>
  </si>
  <si>
    <t>Re-bid, Purchase of Medical supplies for the use of 15 Barangays of Ilog, Birthing Facility and Circumcision. Ilog, Neg. Occ.</t>
  </si>
  <si>
    <t>SUPPLY OF VARIOUS MATERIALS FOR THE CONSTRUCTION OF ISOLATION FACILITY at LOWER MALINAO, PADADA, DAVAO DEL SUR</t>
  </si>
  <si>
    <t>Purchase of materials for the improvement of Farm to Market Roads at Sitio Calumpang, Barangay Galicia, Ilog, NEg. Occ.</t>
  </si>
  <si>
    <t>Construction of Portland Cement Concrete Paving (PCCP) at Barangay Buenavista, Pintuyan, Southern Leyte</t>
  </si>
  <si>
    <t>Solar Dryer Barangay Ninoy Aquino, Kalilangan, Bukidnon</t>
  </si>
  <si>
    <t>PROCUREMENT OF PROFESSIONAL CAMCORDER</t>
  </si>
  <si>
    <t>Labor, Automotive Spare Parts, and Oil for TOR 4.4C Aluminum Van with Conduction Sticker IOD455</t>
  </si>
  <si>
    <t>2 Units Laptop &amp; Accessories</t>
  </si>
  <si>
    <t>PURCHASE OF SUPPLY OF MATERIALS FOR THE REHABILITATION OF DRAINAGE COVER</t>
  </si>
  <si>
    <t>Construction of Perimeter Fence Sumalo Integrated School Barangay Sumalo, Hermosa, Bataan</t>
  </si>
  <si>
    <t>DUGONG MALPAO DRAINAGE CANAL (BESIDE DUGONG ROAD X-DRAINAGE)</t>
  </si>
  <si>
    <t>Barangay Multi-Purpose Improvement - Villa Garcia</t>
  </si>
  <si>
    <t>PROCUREMENT OF URN REGULAR SIZE</t>
  </si>
  <si>
    <t>Procurement Items for Elementary (August 2020)</t>
  </si>
  <si>
    <t>For Repair of SGL 739 and COA Mini Bus SAA 4310</t>
  </si>
  <si>
    <t>Construction of Covered Gym San Ramon Elementary School Barangay	San Ramon, Dinalupihan, Bataan</t>
  </si>
  <si>
    <t>PURCHASE AND PRINTING OF T-SHIRTS FOR PDAO</t>
  </si>
  <si>
    <t>P.R. # 20-07-097 Mini Storage Cabinet-MTO for use of Bidding &amp; Awards Committee, MM3rdDEO</t>
  </si>
  <si>
    <t>Improvement of Drainage System @ Sitio Sta. Cruz</t>
  </si>
  <si>
    <t>Repair and Maintenance of Backhoe</t>
  </si>
  <si>
    <t>RFQ2020-07-032 - COA RO12 Procurement of ACUs General Cleaning and Maintenance</t>
  </si>
  <si>
    <t>Purchase and delivery of covid-19 anti body testing kits to be used by the City Health and Sanitation Department</t>
  </si>
  <si>
    <t>PURCHASE OF GOODS FOR THE 10TH CYCLE SUPPLEMENTARY FEEDING PROGRAM IN SADANGA, MT.PROVINCE</t>
  </si>
  <si>
    <t>Rebidding: 2 box Electrical Wire 150 mtrs/box (black) #3.5mm² THHN and other items for completion of the construction of 2-storey gender sensitive living quarter of girl CICL/CAR at Dumaguete Youth Ho</t>
  </si>
  <si>
    <t>Supply and Delivery of Food Stuff</t>
  </si>
  <si>
    <t>CONSTRUCTION OF MULTI-PURPOSE HALL=PHASE 2</t>
  </si>
  <si>
    <t>27.	Construction of Street Lighting System at Brgy. San Agustin Silangan, Isla Verde, Batangas City</t>
  </si>
  <si>
    <t>CONCRETING OF BARANGAY ROAD, ST. ISIDORE STREET</t>
  </si>
  <si>
    <t>PROPOSED IMPROVEMENT OF MULTI-PURPOSE HALL OF BARANGAY SAN RAFAEL, LUISIANA, LAGUNA.</t>
  </si>
  <si>
    <t>HRAS 2020-08-0002 - Purchase of IT Equipment for use of Administrative Officer &amp; Personnel Officer (Item 1) and for use of ADE (Item 2)</t>
  </si>
  <si>
    <t>SUPPLY AND DELIVERY OF CHEMICAL PRODUCTS</t>
  </si>
  <si>
    <t>Office Supplies (DepEd)</t>
  </si>
  <si>
    <t>Repair and maintenance-Motor Vehicle</t>
  </si>
  <si>
    <t>PROCUREMENT OF SUPPLIES AND MATERIALS FOR THE CONSTRUCTION OF FOUNDATION FOR CEMETERY BRIDGE</t>
  </si>
  <si>
    <t>Supply and Delivery of Electric Mosquito/Insect Killer</t>
  </si>
  <si>
    <t>Supply and Delivery of One (1) Unit Digital Flow Meter</t>
  </si>
  <si>
    <t>PURCHASE OF GOODS FOR THE 10TH CYCLE SUPPLEMENTARY FEEDING PROGRAM IN TINOC, IFUGAO</t>
  </si>
  <si>
    <t>Purchase of Drugs and Medicines</t>
  </si>
  <si>
    <t>29.	Construction of Street Lighting System at Brgy. Mahabang Parang, Batangas City</t>
  </si>
  <si>
    <t>proc-20-CONSTRUCTION MATERIALS</t>
  </si>
  <si>
    <t>Utilization Plan for the Implementation of the Basic Education Learning Continuity Plan (LCP)</t>
  </si>
  <si>
    <t>Office Equipment for the Gender and Development (GAD) Data Base in this Municipality of Santa Cruz Laguna</t>
  </si>
  <si>
    <t>MAINT 2020-06-0025 - Purchase of Road Maintenance Works’ Equipment/Tools to be used in Vegetation Control and Clearing Operation of Maintenance Section</t>
  </si>
  <si>
    <t>PURCHASE OF GOODS FOR THE 10TH CYCLE SUPPLEMENTARY FEEDING PROGRAM IN TUBLAY BENGUET</t>
  </si>
  <si>
    <t>Rehabilitation/Improvement of Manpower Development Center</t>
  </si>
  <si>
    <t>PROCUREMENT OF AUTOMATIC ALCOHOL DISPENSER WITH SENSOR (STAND TYPE)</t>
  </si>
  <si>
    <t>Construction of School for the Arts (Phase I), Bagac, Bataan</t>
  </si>
  <si>
    <t>PROCUREMENT OF POLO SHIRTS WITH COLLAR</t>
  </si>
  <si>
    <t>28.	Construction of Street Lighting System at Brgy. Banaba South, Batangas City</t>
  </si>
  <si>
    <t>P.R. NO. 20-07-183</t>
  </si>
  <si>
    <t>RFQ BOND PAPER, SHORT, SUBSTANCE 16, COLOR PINK &amp; GREEN</t>
  </si>
  <si>
    <t>SUPPLY AND DELIVERY OF LIFE SAVING AND RESCUE EQUIPMENT - MDRRMO</t>
  </si>
  <si>
    <t>Fuel and Lubricants for the maintenance of Roads to Tourist Spots</t>
  </si>
  <si>
    <t>MAINT 2020-06-0029 - Purchase of Replacement Parts for the repair of Service Vehicle Mitsubishi L300 FB with DPWH No. H1-6475</t>
  </si>
  <si>
    <t>PROCUREMENT OF RUBBER MATTING 4' X 10'</t>
  </si>
  <si>
    <t>PURCHASE OF OF MULTI-PURPOSE VEHICLE (DIESEL ENGINE)</t>
  </si>
  <si>
    <t>Office Equipment  (MCR)</t>
  </si>
  <si>
    <t>Spare parts for repair and maintenance of service vehicle of Management Information Systems Office</t>
  </si>
  <si>
    <t>Quotation No. 20-07-0439- Office Supplies</t>
  </si>
  <si>
    <t>30.	Construction of Street Lighting System at Brgy. Muzon, San Luis, Batangas</t>
  </si>
  <si>
    <t>CONSTRUCTION OF MULTI-PURPOSE HALL PHASE 1 – STA. TERESITA</t>
  </si>
  <si>
    <t>SPANISH TRAIL FOOTBRIDGE IMPROVEMENT</t>
  </si>
  <si>
    <t>Procurement of Information Technology under P.R.Nos. 3176-2020(Office of the City Engineer) and 3088-2019(CMO-Provision for Information and Communication Technology Equipment)-1Lot</t>
  </si>
  <si>
    <t>SUBM#2020 -08 - 15 -  To purchase  materials for use in the repair/replacement of road safety devices along National Roads within the Negros Occidental 2nd District Engineering Office, Binalbagan, Neg</t>
  </si>
  <si>
    <t>Labor/Installation and Materials, 3rd Floor Bldg. Installation of Windows, Doors and Comfort Rooms Partition and Accessories</t>
  </si>
  <si>
    <t>PROCUREMENT OF MEDICAL SUPPLIES/CHROMIC 0 ROUND 12's, ETC.</t>
  </si>
  <si>
    <t>PR# 20-08-794 PROCUREMENT OF VARIOUS OFFICE SUPPLIES.</t>
  </si>
  <si>
    <t>Invitation to Bid for the Additional Installation of streetlight at Brgy. libsong East, Concreting of farm to marekt road at Brgy. libsong East, Construction of drianage canal at Brgy. Libsong East</t>
  </si>
  <si>
    <t>Labor, Automotive Spare Parts, and Oil for TOR 2.4C Aluminum Van with Conduction Sticker IOD193</t>
  </si>
  <si>
    <t>LBP Miag-ao Branch Building Construction (New Unit) (Supply and Delivery of Electrical Wires)</t>
  </si>
  <si>
    <t>CORN20-08-07-0225 Supply and Delivery of Pest Control Product.</t>
  </si>
  <si>
    <t>CONDUCT OF CELEBRATION OF DISABILITY WEEK 2020</t>
  </si>
  <si>
    <t>RFQ2020-07-033 COA RO12 Procurement of ACUs General Cleaning and Maintenance (Kidapawan City)</t>
  </si>
  <si>
    <t>PR NO. 2108 CATERING SERVICES</t>
  </si>
  <si>
    <t>Purchase of Relief Kits for COVID-19 Awareness Program/Relief Operations (PCL Week Celebration)</t>
  </si>
  <si>
    <t>Labor, Automotive Spare Parts, and Oil for TOR 4.8C Aluminum Van with Conduction Sticker IOD552</t>
  </si>
  <si>
    <t>Procurement of Computer Set and other accessories</t>
  </si>
  <si>
    <t>Spare parts for repair and maintenance of service vehicle of BM Carait, Sangguniang Panlalawigan</t>
  </si>
  <si>
    <t>Improvement of Water System at Barangay Tautag, Pintuyan, Southern Leyte</t>
  </si>
  <si>
    <t>PROCUREMENT OF SUPPLIES AND MATERIALS TO BE USED FOR THE IMPROVEMENT/MODIFICATION  OF  PUBLIC CEMETERY AT BGY. SAN BENITO,  GOA, CAMARINES SUR</t>
  </si>
  <si>
    <t>RFQ2020-07-034 COA RO12 Procurement for the Maintenance of Five (5) Units of Isuzu Crosswind for CY 2021</t>
  </si>
  <si>
    <t>SUPPLIES FOR MODULES CLASS</t>
  </si>
  <si>
    <t>10 bots Epson 664 BCYM for Epson L120 Printer	 &amp; etc. for  the use at Supply SECTION	of NOPH (S-286-2020)</t>
  </si>
  <si>
    <t>500 tanks Oxygen Refill, Big for Bais District Hospital	 (S-285-2020)</t>
  </si>
  <si>
    <t>Bid No. 20-0400 - PROCUREMENT OF OFFICE EQUIPMENT - MACCO OPERATIONS</t>
  </si>
  <si>
    <t>05 sets Hazmat Suit with Accessories</t>
  </si>
  <si>
    <t>Labor, Automotive Spare Parts, and Oil for TOR 4.4C Aluminum Van with Conduction Sticker IOD443</t>
  </si>
  <si>
    <t>PURCHASE OF MEAT PROCESSING EQUIPMENT</t>
  </si>
  <si>
    <t>Spare parts for repair and maintenance of service vehicles of Governor’s Office - Executive</t>
  </si>
  <si>
    <t>SUPPLY AND DELIVERY OF METERING PUMP, ELECTRONIC 230V, 5 -7 LPH CAPACITY COMPLETE WITH ACCESSORIES</t>
  </si>
  <si>
    <t>P.R. # 20-06-083 Network Printer A3 and Network Printer A4 Item No. 1 for use of Construction Section and Item No.2 for use of Finance Section</t>
  </si>
  <si>
    <t>Construction of Various Lined Canal Projects (5 Lots), City of Koronadal</t>
  </si>
  <si>
    <t>SUPPLY AND DELIVERY OF VARIOUS SUPPLIES FOR USE IN THE OFFICE OF BM SALAZAR</t>
  </si>
  <si>
    <t>SVP PUR20-07-0654 Procurement of Mattress   for Patients Bed for Ward 6 Dept. of Surgery, PGH</t>
  </si>
  <si>
    <t>(PT &amp; KMH) Procurement of Desktop Computers, Laptop, etc. For the ProvincialTreasury and Kasibu Municiipal Hospital--290,000.00</t>
  </si>
  <si>
    <t>Fuels for CLLMM hospital Siaton, Negros Oriental (N-702-2020)</t>
  </si>
  <si>
    <t>Computer Ink &amp; IT’s</t>
  </si>
  <si>
    <t>For Use of Hauling and Disposal of Garbage (2nd Posting)</t>
  </si>
  <si>
    <t>RFQ2020-07-036 COA RO12 Procurement for the Maintenance of One (1) Unit Avanza MPV for CY 2021</t>
  </si>
  <si>
    <t>RFQ2020-07-035 COA RO12 Procurement for the Maintenance of One (1) Unit of Toyota Innova</t>
  </si>
  <si>
    <t>RP Vehicle BHE-21 General Repair</t>
  </si>
  <si>
    <t>PURCHASE OF ONE (1) UNIT VEHICLE VAN</t>
  </si>
  <si>
    <t>Spare parts for repair and maintenance of service vehicle of Provincial Population Office – Clinical Services</t>
  </si>
  <si>
    <t>Improvement of Slaughterhouse Building at Balud, San Fernando, Cebu</t>
  </si>
  <si>
    <t>Spare parts for repair and maintenance of service vehicles of Provincial Disaster Risk Reduction and Management Office (PDRRMO)</t>
  </si>
  <si>
    <t>Improvement of Water System in Tagbuyawan</t>
  </si>
  <si>
    <t>Supply and Delivery of VHF Handheld Tranceiver - Brandnew</t>
  </si>
  <si>
    <t>720 bots Dextrose .5% in LRS 500 ml &amp; etc. for GWBVMH, Guihulngan City, Negros Oriental (S-282-2020)</t>
  </si>
  <si>
    <t>Gloves 0517</t>
  </si>
  <si>
    <t>LBP BARILI BRANCH BUILDING CONSTRUCTION (Supply and Delivery of Electrical Wires)</t>
  </si>
  <si>
    <t>CNH-0520-055</t>
  </si>
  <si>
    <t>Request for Quotation - Various office supplies</t>
  </si>
  <si>
    <t>Shoe Cover 0522</t>
  </si>
  <si>
    <t>IT’s (COA)</t>
  </si>
  <si>
    <t>Purchase of Smart / Talk n' Text / Sun Cell Cards For the use of field office / centers / pantawid and other projects / programs for 4th quarter of 2020</t>
  </si>
  <si>
    <t>RFQ CORRECTIVE MAINTENANCE OF SUBMERSIBLE PUMP</t>
  </si>
  <si>
    <t>Installation of Street Lights</t>
  </si>
  <si>
    <t>01 unit Delivery Van with Complete Accessories</t>
  </si>
  <si>
    <t>Purchase of Various Materials for the Rehabilitation of Water System at Barangay Caranglaan, Mabini, Pangasinan</t>
  </si>
  <si>
    <t>IMOPROVEMENT OF CADAWINONAN HEALTH CENTER</t>
  </si>
  <si>
    <t>Procurement of Goods for Drugs and Medicines</t>
  </si>
  <si>
    <t>RFQ2020-08-040 COA RO12 Procurement for Postage and Delivery Services for CY 2021</t>
  </si>
  <si>
    <t>Rehabilitation /Improvement of Barangay Health Center of Barangay San Marcelino Taysan Batangas</t>
  </si>
  <si>
    <t>SOLAR LIGHTS  WITH POSTS INSTALLATION</t>
  </si>
  <si>
    <t>PROCUREMENT OF SUPPLIES AND MATERIALS TO BE USED FOR THE CONCRETING OF BGY. ROAD AT LAMON TO TAMBAN ROAD, GOA, CAMARINES SUR</t>
  </si>
  <si>
    <t>Procurement of Labor and Materials- Road Concreting at Catabangan Proper</t>
  </si>
  <si>
    <t>32.	Construction of Street Lighting System at Brgy. Papaya, Tingloy, Batangas</t>
  </si>
  <si>
    <t>SUPPLY AND DELIVERY OF I.T. EQUIPMENT FOR MDRRMO</t>
  </si>
  <si>
    <t>CONSTRUCTION OF LOCAL ROADS, CABALLERO ST. AND SAMPAGUITA ST.</t>
  </si>
  <si>
    <t>Spare parts for repair and maintenance of service vehicles of LPH-Dr. Jose P. Rizal Memorial District Hospital</t>
  </si>
  <si>
    <t>CNH-0520-044</t>
  </si>
  <si>
    <t>Improvement on the Offices of the  School Governance and Operations Division (SGOD) And Commission on Audit (COA)</t>
  </si>
  <si>
    <t>Purchase and delivery of office supplies and learning materials to be used by DepEd Calapan City</t>
  </si>
  <si>
    <t>SUBM#2020 -08 - 14 -  To purchase Concrete Cutter Blade for use in the repair and maintenance of National Roads and Bridges within the Negros Occidental 2nd District Engineering Office, Binalbagan, Ne</t>
  </si>
  <si>
    <t>INVITATION TO BID FOR SUPPLY AND DELIVERY OF HARDWARE MATERIALS FOR BUILDING MAINTENANCE C.Y. – 2020</t>
  </si>
  <si>
    <t>Isolation Gown 0524</t>
  </si>
  <si>
    <t>Fiber Glass Board &amp; Ring w/ Frame and Digital Score Board</t>
  </si>
  <si>
    <t>33.	Construction of Street Lighting System at  Brgy. Poblacion 14, Tingloy, Batangas</t>
  </si>
  <si>
    <t>PROCUREMENT OF CONSTRUCTION MATERIALS FOR THE DUMPSITE CLOSURE AND INSTALLATION</t>
  </si>
  <si>
    <t>SUPPLY AND DELIVERY OF VARIOUS SUPPLIES FOR THE USE IN THE OFFICE OF THE VICE GOVERNOR</t>
  </si>
  <si>
    <t>NEGOTIATED PROCUREMENT OF COMMERCIAL RICE</t>
  </si>
  <si>
    <t>04 units Hammermill</t>
  </si>
  <si>
    <t>Request for Quotation for Regional Management Review</t>
  </si>
  <si>
    <t>AB-2020-0031: Supply and Delivery of Survey Instrument (2) Rover GNSS Receivers for Use at Planning and Design Section at DPWH-INSDEO, San Pablo, San Nicolas, Ilocos Norte</t>
  </si>
  <si>
    <t>Gloves 0518</t>
  </si>
  <si>
    <t>31.	Construction of Street Lighting System at Brgy. Luya, San Luis, Batangas</t>
  </si>
  <si>
    <t>Cover all suit 0520</t>
  </si>
  <si>
    <t>36 units Computer with Complete Accessories, etc.</t>
  </si>
  <si>
    <t>Purchase of Materials for the Installation of Solar Streetlight, Brgy. Pughanan, Lambunao, Iloilo</t>
  </si>
  <si>
    <t>SUPPLY AND DELIVERY OF ADDITIONAL TWO (2) SETS OF BRAND NEW DUPLICATING MACHINE WITH PROVISION FOR EXTRA INKS AND MASTER ROLLS</t>
  </si>
  <si>
    <t>Supply and delivery of various construction materials for use in the Rehabilitation of Brgy. Multi-Purpose Gymnasium at Brgy. Caranhug, Javier, Leyte.</t>
  </si>
  <si>
    <t>Cell cards  (General)</t>
  </si>
  <si>
    <t>COMPLETION/REPAIR/RENOVATION/REHABILITATION/RELOCATION OF MABINAY RHU I</t>
  </si>
  <si>
    <t>Supply and Delivery of Chicken (2-3 months old) Dominant CZ for the Training on ICBFS cum  Free-Range Chicken Training for the Farmers of Region XII (Columbio, Sultan Kudarat) for ATI-RTC XII.</t>
  </si>
  <si>
    <t>Procurement of Construction Supplies</t>
  </si>
  <si>
    <t>purchase of gate valve</t>
  </si>
  <si>
    <t>Procurement of Rehabilitation of Deep Well 1 and 2</t>
  </si>
  <si>
    <t>Four Stroke Motorcycle, 150cc</t>
  </si>
  <si>
    <t>34.	Construction of Street Lighting System at  Brgy. San Isidro, Tingloy, Batangas</t>
  </si>
  <si>
    <t>AB-2020-0032: Supply and Delivery of Diesel Fuel for Use in the Environmental Impact Assessment</t>
  </si>
  <si>
    <t>Supply and Materials for the Capacity Building Program for the Livelihood Enhancement of the Anao Women’s Alliance for Progress (AWAP), through the DOLE Integrated Livelihood and Emergency Employment</t>
  </si>
  <si>
    <t>SUPPLY OF ANIMAL MEDICINES</t>
  </si>
  <si>
    <t>INVITATION FOR NEGOTIATED PROCUREMENT of  Diesel and Gasoline of the PNP-Basco Police Station After Two Failed Bidding</t>
  </si>
  <si>
    <t>INVITATION TO BID FOR THE SUPPLY &amp; DELIVERY OF OFFICE DEVICE &amp; ACCESSORIES WITH PR#2020-GF-08-453 FOR MMO-IT AND ABC OF P 817,000.00</t>
  </si>
  <si>
    <t>IB-2020-IX-08-01-ONE (1) UNIT BRAND NEW VAN - Php 2,800,000.00</t>
  </si>
  <si>
    <t>REPAIR AND MAINTENENACE OF LIEBHERR BULLDOZER OF PEO</t>
  </si>
  <si>
    <t>Procurement of Construction Supply</t>
  </si>
  <si>
    <t>SUPPLY &amp; DELIVERY OF FUEL  FOR SABANG POTABLE WATER SYSTEM</t>
  </si>
  <si>
    <t>Construction of Lined Canal from Agreville, Brgy. Sto. Niño to Prk. Maharlika, Brgy. GPS, City of Koronadal</t>
  </si>
  <si>
    <t>INVITATION FOR NEGOTIATED PROCUREMENT of  Materials for the Evacuation Facility in Barangay San Antonio-Phase III After Two Failed Bidding</t>
  </si>
  <si>
    <t>PURCHASE OF 31 UNITS 3IN1 PRINTER</t>
  </si>
  <si>
    <t>Purchase of Information Technology Equipment</t>
  </si>
  <si>
    <t>Procurement of Vehicle for use at Brgy. Bobonan, Asingan, Pangasinan.</t>
  </si>
  <si>
    <t>Rice 0516</t>
  </si>
  <si>
    <t>SUPPLY AND DELIVERY OF CONFERENCE TABLE AND CHAIRS USED FOR CONFERENCE ROOM</t>
  </si>
  <si>
    <t>35.	Construction of Street Lighting System at Brgy. Pallocan West, Batangas City</t>
  </si>
  <si>
    <t>Construction/Rehabilitation of Multi-purpose Hall</t>
  </si>
  <si>
    <t>Re-bidding for Purchase of Materials for the Rehabilitation of Drainage Canal</t>
  </si>
  <si>
    <t>SUPPLY &amp; DELIVERY OF AIRCON(SPLIT TYPE) FOR HRMO WITH PR#2020-GF-08-449 AND ABC OF P 60,000.00</t>
  </si>
  <si>
    <t>Purchase of Brand New and Latest 4X2 High Side Pick-up with Roof w/ dual Aircon Euro 4 Engine type: Rescue Vehicle</t>
  </si>
  <si>
    <t>Glucometer strip 0528</t>
  </si>
  <si>
    <t>P.R. NO. 20-07-184</t>
  </si>
  <si>
    <t>Sports Materials</t>
  </si>
  <si>
    <t>PCDP-2020-08-0322 : CUP NOODLES UP TO CUPCAKE TO BE SERVE DURING THE ARRIVAL OF REFs ON JULY TO DECEMBER 2020</t>
  </si>
  <si>
    <t>INVITATION TO BID FOR SUPPLY AND DELIVERY OF FERTILIZER FOR SUPPORT TO RICE FARMERS OF BISLIG CITY</t>
  </si>
  <si>
    <t>SUPPLY &amp; DELIVERY OF GENERAL MERCHANDISE</t>
  </si>
  <si>
    <t>IMPROVEMENT OF MULTI-PURPOSE HALL</t>
  </si>
  <si>
    <t>LABORATORY APPLIANCE - 6-PLATES OVEN</t>
  </si>
  <si>
    <t>MAINTENANCE OF 16 PUBLIC ELEMENTARY SCHOOLS @ LABANGAN DISTRICT I</t>
  </si>
  <si>
    <t>COMMON COMPUTER SUPPLIES</t>
  </si>
  <si>
    <t>CONDUCT OF CELEBRATION OF SENIOR CITIZEN WEEK</t>
  </si>
  <si>
    <t>PROVISION OF MEALS AND SNACKS FOR TRAININGS UNDER MSWD OFFICE</t>
  </si>
  <si>
    <t>REQUEST FOR QUOTATION - SERVER</t>
  </si>
  <si>
    <t>AB-2020-0036: Supply and Delivery of Road Right of Way (RROW) Marker Concrete Monument Post for use along national roads within Ilocos Norte 2nd District</t>
  </si>
  <si>
    <t>PURCHASE OF CONSTRUCTION MATERIALS FOR THE CONSTRUCTION OF STORAGE AND OPERATIONAL AREA OF WASTE REDUCTION OF BINUANGAN, MISAMIS ORIENTAL</t>
  </si>
  <si>
    <t>CNH-0720-074</t>
  </si>
  <si>
    <t>AB-2020-0033: Supply and Delivery of Photo Paper and various toners/inks for Use at Planning and Design Section (Travel Time Survey) at DPWH-INSDEO, San Pablo, San Nicolas, Ilocos Norte</t>
  </si>
  <si>
    <t>Operation of Municipal Traffic Management</t>
  </si>
  <si>
    <t>Office Supplies (MBO)</t>
  </si>
  <si>
    <t>INVITATION TO BID-HIRING OF GENERAL CONTRACTOR FOR THE REPAIRS/RENOVATION OF 2ND FLOOR OF DBP DIPOLOG BRANCH BUILDING</t>
  </si>
  <si>
    <t>Sspply &amp; Delivery of Materials (Installation of Streetlights</t>
  </si>
  <si>
    <t>Procurement of Motor Vehicle</t>
  </si>
  <si>
    <t>IB-2020-IX--8-01-ONE (1) UNIT BRAND NEW EMERGENCY RESPONSE VEHICLE - Php 1,250,000.00</t>
  </si>
  <si>
    <t>IMPROVEMENT OF MULTI-PURPOSE BUILDING (OSY ALTERNATIVE LEARNING CENTER)</t>
  </si>
  <si>
    <t>AB-2020-0037: Supply and Delivery of   Reflectorized Traffic Paint Yellow, Paint Thinner and Paint Brush 4" for repainting of Pavement Markings along National Roads within Ilocos Norte 2nd District</t>
  </si>
  <si>
    <t>20GKG0038 (PR No. 20-06-034)- Procurement of Office Equipment Supplies and Consumables for use in the operation at the Planning and Design Section, DPWH-Lanao del Norte 1st Engineering District, Semin</t>
  </si>
  <si>
    <t xml:space="preserve">Supply and Delivery  of Chickens (Starter Kit)  2 Mos. Old Dominant CZ for the Training on ICBFS cum Free Range Chicken Training for the Farmers of Region XII, Maitum, Sarangani Province for ATI0-RTC </t>
  </si>
  <si>
    <t>PR 18-20-07-0954, FOR USE ENERGIZATION OF SAN CARLOS CITY MULTI-PURPOSE HALL  - FIRST REVISION.</t>
  </si>
  <si>
    <t>CONSTRUCTION OF PUBLIC MARKET (PHASE III)</t>
  </si>
  <si>
    <t>PRDP-2020-0480 REQUEST FOR QUOTATION FOR THE CONSTRUCTION OF PROCESSING BUILDING OF THE "BOHOL VIRGIN COCONUT OIL PRODUCTION AND MARKETING ENTERPRISES"</t>
  </si>
  <si>
    <t>NC#2020-0425-PR2020-0567 Procurement of Various Various Hardware and Construction Materials for the Repair of Pandol Bridge at Pandol - Fatima Road, Corella, by the Provincial Engineer's Office, New C</t>
  </si>
  <si>
    <t>Purchase of Fuel  (4th Quarter 2020)  Rebid</t>
  </si>
  <si>
    <t>Laboratory 0526</t>
  </si>
  <si>
    <t>Invitation to Bid for SUPPLY AND DELIVERY OF  ONE (1) UNIT BRAND NEW REFRIGERATED VAN (JAPAN MADE) FOR LGU – BORONGAN CITY, EASTERN SAMAR</t>
  </si>
  <si>
    <t>INVITATION TO SUBMIT PRICE QUOTATION   REPAIR PROVL. OFFICE ENTRANCE AND EXIT DOORS AND NFA GUIUAN ENTRANCE GATE IN NFA-EASTERN SAMAR</t>
  </si>
  <si>
    <t>PR NO. 2020-08-104 : For use in the Repainting of Guardrails along various National Roads along NV2nd DEO Jurisdiction, under Work Category 187-Traffic Service Maintenance - Activity 303-Guardrail Mai</t>
  </si>
  <si>
    <t>Office Supplies (PESO)</t>
  </si>
  <si>
    <t>PURCHASE OF DRESS MAKING EQUIPMENT</t>
  </si>
  <si>
    <t>Bid No. 20-0401 - PROCUREMENT OF OFFICE EQUIPMENT - MO/TOURISM OPERATIONS</t>
  </si>
  <si>
    <t>TIRES (FOR DT DAEWOO DE12TIS, GRADER TINGONG PY160M, GRADER VOLVO G930, &amp; DTQUESTER CKE280)/ CMO-MOTORPOOL</t>
  </si>
  <si>
    <t>Supply and Delivery of Reflectorized Thermoplastic Pavement Markings for the use of MMIIDEO along Various National Roads (CY-2020-3rd Quarter).</t>
  </si>
  <si>
    <t>Purchase of Brand New and Latest Model 4X2 Cab and Chassis Only</t>
  </si>
  <si>
    <t>MINOR REPAIR OF TEACHER'S CENTER @ LABANGAN DISTRICT I</t>
  </si>
  <si>
    <t>Chlorine, Barided Hose and Check Valve Injector</t>
  </si>
  <si>
    <t>Construction of Two (2) Storey Six (6) Classrooms at Uswag San Isidro Elementary Schhol, Jaro, Iloilo City (Bid No. 20-189)</t>
  </si>
  <si>
    <t>INVITATION FOR NEGOTIATED PROCUREMENT of  Drugs and Medicines After Two Failed Bidding</t>
  </si>
  <si>
    <t>Purchase of Cake for Senior Citizen and Person With Disabilities Birthdays</t>
  </si>
  <si>
    <t>36.	Construction of Street Lighting System at Brgy. Trapiche, Tanauan City, Batangas</t>
  </si>
  <si>
    <t>Procurement of Agricultural Equipment for Laboratory and Project use at ESSU Salcedo Campus PR#07-2020-004-Salcedo</t>
  </si>
  <si>
    <t>Repair &amp; Maint. of Motor Vehicle (Nissan Terra)</t>
  </si>
  <si>
    <t>CAN JJASGH 680, ONMMC 698,VIB 666, GAT 722 OTHER SUPPLIES</t>
  </si>
  <si>
    <t>Rehabilitation of Drainage Canal Along Arellano Street, Panganiban Street, and V. Mapa Street Brgy. 11-B, Poblacion District Davao City</t>
  </si>
  <si>
    <t>Bid No. 20-0402 - PROCUREMENT OF OFFICE EQUIPMENT - MDRRMO OPERATIONS</t>
  </si>
  <si>
    <t>Supply and Delivery of Asphalt Cold Mix for Routine Maintenance Bridges (CY-2020-3rd Quarter).</t>
  </si>
  <si>
    <t>SUPPLY &amp; DELIVERY OF VEHICLE PARTS AND ACCESSORIES</t>
  </si>
  <si>
    <t>MINOR REPAIR OF DISTRICT OFFICE (CEILING &amp; ENTRANCE ROOF) @ LABANGAN DISTRICT I</t>
  </si>
  <si>
    <t>Handwashing Facilities</t>
  </si>
  <si>
    <t>Purchase of One (1) Unit Motorcycle (Brgy. Pob. West)</t>
  </si>
  <si>
    <t>CONSTRUCTION OF COVERED COURT</t>
  </si>
  <si>
    <t>SUPPLY &amp; DELIVERY OF OFFICE DEVICE(TABLET) FOR MMO-IT WITH PR#2020-GF-08-445 AND ABC OF P 50,000.00</t>
  </si>
  <si>
    <t>Labor and Materials for the Completion/Improvement of Carmen Municipal College</t>
  </si>
  <si>
    <t>37.	Construction of Street Lighting System at Brgy. Banjo East, Tanauan City, Batangas</t>
  </si>
  <si>
    <t>Purchase of Materials for Repair/Maintenance Along Jct. Blancia-Molave-Mahayag-Josefina Road/Jct. Switch-Monte Alegre Road/Jct. Aurora-Monte Alegre-Labangan Road, ZdelS.</t>
  </si>
  <si>
    <t>Procurement of Meals and Snacks for Disaster Response efforts to contain the spread of covid-19 Pandemic for MDRRMO</t>
  </si>
  <si>
    <t>P.R. NO. 20-07-146</t>
  </si>
  <si>
    <t>NBC-0620-174</t>
  </si>
  <si>
    <t>150 sets Glucose Strips w/ pricker, 50 strips, 50 prickers &amp; etc. for he Use at CSR SECTION of NOPH (S-289-2020)</t>
  </si>
  <si>
    <t>PR NO. 2128 Agricultural Supplies and Equipment</t>
  </si>
  <si>
    <t>Supply and Delivery of Office Supplies for the Annual Routine Maintenance Program (CY-2020-3rd Quarter).</t>
  </si>
  <si>
    <t>Supply and Delivery of Asphalt Sealant (60/70) for Bridges Routine Maintenance (CY-2020-3rd Quarter).</t>
  </si>
  <si>
    <t>Procurement of Office Supplies and Devices</t>
  </si>
  <si>
    <t>PROCUREMENT OF LABOR AND SPARE PARTS FOR THE REPAIR AND MAINTENANCE OF HINO DUMP TRUCK SBX720</t>
  </si>
  <si>
    <t>SPORT EQUIPMENT (FIBERGLASS BOARD)</t>
  </si>
  <si>
    <t>Supply, delivery, installation, and commissioning of various airconditioning units for Cotabato Branch</t>
  </si>
  <si>
    <t>Construction of MSWD Office, Asingan, Pangasinan.</t>
  </si>
  <si>
    <t>REPAIR/REPLACEMENT OF FIRE DETECTION &amp; ALARM SYSTEM (FDAS) (P.R. NO. 100-20-08-0310)</t>
  </si>
  <si>
    <t>Installation of Water Pipelines, Maribulan, Alabel, Sarangani Province</t>
  </si>
  <si>
    <t>SUPPLY &amp; DELIVERY OF FOOD STUFF (SOCIAL PENSION PAY OUT)</t>
  </si>
  <si>
    <t>PURCHASE OF VEHICLE (Municipal Agriculture Office - JPCN)</t>
  </si>
  <si>
    <t>CPAR-20-3149: Procurement of (161 pcs.) Prepaid Cellular Load Card to be used as communication support in the implementation of the Community-based Participatory Action Research Projects in the Region</t>
  </si>
  <si>
    <t>Purchase of supplies and materials for the Nipa Project</t>
  </si>
  <si>
    <t>38.	Construction of Street Lighting System at Brgy. Mabini, Tanauan City, Batangas</t>
  </si>
  <si>
    <t>MAINTENANCE OF 9 PUBLIC ELEMENTARY SCHOOLS @ LABANGAN DISTRICT II</t>
  </si>
  <si>
    <t>CONSTRUCTION/CONCRETING OF LOCAL ACCESS ROAD - LABNI, MABUSLO</t>
  </si>
  <si>
    <t>Various Office Supplies for use in the Office Of the Governor  (S-284-2020)</t>
  </si>
  <si>
    <t>Construction of Multi-purpose of Brgy. Binalian</t>
  </si>
  <si>
    <t>INVITATION FOR NEGOTIATED PROCUREMENT of Materials for the Repair and Maintenance of Mun. Bldg. After Two Failed Bidding</t>
  </si>
  <si>
    <t>39.	Construction of Street Lighting System at Brgy. Barigon, Agoncillo, Batangas</t>
  </si>
  <si>
    <t>For the use of Barangay Can-ayan.</t>
  </si>
  <si>
    <t>Purchase of Materials for Repair/Maintenance Along Jct. Mahayag-Dumingag-Siayan Road/Jct. Switch-Monte Alegre Road/Pagadian City-Zamboanga City Road, ZdelS.</t>
  </si>
  <si>
    <t>Improvement of DRRM Storage Room</t>
  </si>
  <si>
    <t>AB-2020-0038: Supply and Delivery of GRASSCUTTER and CHAINSAW  FOR USE ALONG NATIONAL ROADS WITHIN ILOCOS NORTE 2ND DISTRICT</t>
  </si>
  <si>
    <t>Procurement of Infrastructure and Construction Supplies RFQ No. 547</t>
  </si>
  <si>
    <t>SUPPLY &amp; DELIVERY OF CCTV &amp; ACCS WITH PR#2020-20%-08-025 FOR MARKET AND ABC OF P 57,000.00</t>
  </si>
  <si>
    <t>P.R. NO. 20-07-145</t>
  </si>
  <si>
    <t>Improvement of Multi-Purpose Hall</t>
  </si>
  <si>
    <t>Drugs and Medicines for Mental Health Program (RHU II)</t>
  </si>
  <si>
    <t>Construction of City Road at Southwind Subdivision Junction National Highway with Lined Canal, Brgy. Morales, City of Koronadal</t>
  </si>
  <si>
    <t>oxygen 0525</t>
  </si>
  <si>
    <t>WATER METERING</t>
  </si>
  <si>
    <t>CAN MHD 667 OTHER SUPPLIES</t>
  </si>
  <si>
    <t>Purchase of One (1) Unit Digital Duplicator for DEPED Aloran District, Aloran Misamis Occidental</t>
  </si>
  <si>
    <t>CONSTRUCTION OF PATHWALK @ PUROK 1 &amp; 3</t>
  </si>
  <si>
    <t>CNH-0620-064</t>
  </si>
  <si>
    <t>PROCUREMENT OF MEALS AND ACCOMMODATION FOR SEMINAR WORKSHOP</t>
  </si>
  <si>
    <t>Various Office Supplies for NOPH supply office (S-281-2020)</t>
  </si>
  <si>
    <t>Supply and Delivery of Customized Expanded Plastic Envelope</t>
  </si>
  <si>
    <t>CONSTRUCTION/CONCRETING OF LOCAL ACCESS ROAD - VILLALUZ, ABIAN</t>
  </si>
  <si>
    <t>RFQ Repair of roll up door</t>
  </si>
  <si>
    <t>Vehicle Parts and Accessories For Use in the Service Vehicle Assigned in the Office of the Governor	 (N-688-2020)</t>
  </si>
  <si>
    <t>Hiring of Food Designers for the Conduct of OTOP Next Gen Product Development</t>
  </si>
  <si>
    <t>Supply and Delivery of PPE / Uniform / Tools for the Annual Routine Maintenance Program						 (Roadside) (CY-2020-3rd Quarter).</t>
  </si>
  <si>
    <t>NC#2020-0426-PR2002-0568 Procurement of Office and I.T. Equipment for the use at the Provincial Information and Media Relations (PrIMeR), New Capitol Building, Tagbilaran City</t>
  </si>
  <si>
    <t>Procurement of Office and School Supplies</t>
  </si>
  <si>
    <t>PURCHASE OF SUPPLIES FOR THE REPAIR AND MAINTENANCE OF WATER SYSTEM - 2ND POSTING</t>
  </si>
  <si>
    <t>ITB-GS-20200305-01 - Supply and Delivery of 18 Units Laptop Computer</t>
  </si>
  <si>
    <t>Ultrasound thermal Paper 0519</t>
  </si>
  <si>
    <t>NBC-0520-143</t>
  </si>
  <si>
    <t>HFE: REPAIR AND MAINTENANCE FOR THE CENTER VEHICLE TOYOTA LAND CRUISER plate no.: SAT-218 of the HOME FOR THE ELDERLY, CY 2020.</t>
  </si>
  <si>
    <t>Procurement of Two (2) Sets Dashboard Camera</t>
  </si>
  <si>
    <t>Printing of 2019 DOH Annual Reports with Envelope under SVP No. 2020-045</t>
  </si>
  <si>
    <t>NOTICE FOR NEGOTIATED PROCUREMENT  THE PROCUMENTFIXTURES (Executive Table and Swivel Chairs) FOR IDENTIFIED SCHOOLS OF DEPED, DIVISION OF PAGADIAN CITY.</t>
  </si>
  <si>
    <t>Supply and Delivery of Equipment / Equipment Accessories and Services for the use of MMIIDEO 							 for Various National Roads.</t>
  </si>
  <si>
    <t>MINOR REPAIR OF TEACHER'S CENTER @ LABANGAN DISTRICT II</t>
  </si>
  <si>
    <t>40.	Construction of Street Lighting System at Brgy. Cale, Tanauan City, Batangas</t>
  </si>
  <si>
    <t>SUPPLY AND DELIVERY OF ELECTROMAGNETIC FLOWTUBE AND POTTING KIT</t>
  </si>
  <si>
    <t>Purchase and Delivery of Materials for the Construction of Material Recovery Facility - Sapang, Galimuyod, Ilocos Sur</t>
  </si>
  <si>
    <t>PURCHASE OF 15 UNITS WHEEL TIRE LOCK CLAMPS AND IMMOBILITY CHAINS, 3 UNITS SPEEDGUN ( BUSHNELL SPEEDSTER 3 RADAR) AND TRAFFIC PARAPHERNALIA</t>
  </si>
  <si>
    <t>SUPPLY AND DELIVERY OF CONSTRUCTION SUPPLIES FOR THE CONSTRUCTION OF STANDARDIZED DAY CARE CENTER PHASE II- SAN ISIDRO</t>
  </si>
  <si>
    <t>PR 20-08-115</t>
  </si>
  <si>
    <t>AB-2020-0035: SUPPLY AND DELIVERY OF PLASTIC BARRIERS with DPWH Logo AND TRAFFIC CONES with DPWH Logo FOR USE WITHIN ILOCOS NORTE 2ND DISTRICT</t>
  </si>
  <si>
    <t>20GKI0031 (Public Bidding) Contract Name: Furnishing of Materials for Work Category No. 10 – Pavement Maintenance 		  Act. 503 – Indirect Cost Work or Expenses Purchase of Tents (Lakbay Alalay Program</t>
  </si>
  <si>
    <t>SAAD-20-3157: Procurement of 300 bags Corn Grits needed for the DA SAAD Native Chicken Production Project in the Province of Bohol</t>
  </si>
  <si>
    <t>PRINTER EPSON WITHOUT SCANNER 2</t>
  </si>
  <si>
    <t>Supply of Autocad License Software for BULO SRIP</t>
  </si>
  <si>
    <t>Supply and Delivery of Medical Supplies for the use of City Health Office</t>
  </si>
  <si>
    <t>Dispo Cap 0523</t>
  </si>
  <si>
    <t>INVITATION FOR NEGOTIATED PROCUREMENT of Materials for the Rehabilitation of Mun. Building-Stairs and Hallway After Two Failed Bidding</t>
  </si>
  <si>
    <t>PRINTER EPSON WITHOUT SCANNER 3</t>
  </si>
  <si>
    <t>SUPPLY AND DELIVERY OF MATERIALS FOR THE INSTALLATION OF SITIO STREETLIGHTS</t>
  </si>
  <si>
    <t>MINOR REPAIR OF DISTRICT OFFICE (ROOF &amp; CEILING) @ LABANGAN DISTRICT II</t>
  </si>
  <si>
    <t>PROCUREMENT OF MEALS AND TRAINING MATERIALS FOR THE CONDUCT OF TRAINING'S UNDER CFO-DAVAO CITY</t>
  </si>
  <si>
    <t>Supply &amp; Delivery of Laboratory Supplies ABC:57,000.00</t>
  </si>
  <si>
    <t>Supply and Delivery of Medicines Supplies for the use of City Health Office</t>
  </si>
  <si>
    <t>INVITATION TO BID</t>
  </si>
  <si>
    <t>ITB-GS-20200605-01 - One (1) Year Background Investigation Services for LANDBANK’s 1,000 Applicants for Employment and Special Cases</t>
  </si>
  <si>
    <t>VARIOUS MEDICAL SUPPLIES</t>
  </si>
  <si>
    <t>Purchase of Office Supplies (G-20-05)</t>
  </si>
  <si>
    <t>AB-2020-0034: Supply and Delivery of Guardrails  with complete accessories for use along national roads within Ilocos Norte 2nd District</t>
  </si>
  <si>
    <t>Supply and Delivery of 2000pcs. of File Folder 75mm230mm380mm for General use of this District for CY-2020.</t>
  </si>
  <si>
    <t>FURNISHING AND DELIVERY OF ASSORTED MEDICINES AND MEDICAL SUPPLIES</t>
  </si>
  <si>
    <t>Installation of 127 Units Integrated Solar Street Lights, City of Koronadal</t>
  </si>
  <si>
    <t>20GKI0041 (Public Bidding) Contract Name: Supply of Diesel Fuel and Other Various Items 		  for use in the Operation of Service Vehicles of DPWH-Mis. Occ. 1st DEO</t>
  </si>
  <si>
    <t>Office Supplies for Brgy. E. Lopez National High School JHS</t>
  </si>
  <si>
    <t>CONSTRUCTION OF MATERIAL RECOVERY FACILITY</t>
  </si>
  <si>
    <t>5-DAY (Live-In) GAD related ORIENTATION SEMINAR AND TRAINING FOR MUNICIPAL GAD FOCAL POINT SYSTEM</t>
  </si>
  <si>
    <t>20GKI0038 (Public Bidding) Contract Name: Supply of Tires, Battery II Plates and Other Vehicle Spare Parts for use in the replacement 		  of worn out parts of DPWH service vehicles</t>
  </si>
  <si>
    <t>REQUEST FOR QUOTATION FOR USE OF ALARIS MOTORPOOL</t>
  </si>
  <si>
    <t>PURCHASE OF COMMON OFFICE SUPPLIES</t>
  </si>
  <si>
    <t>SUPPLY AND DELIVERY OF LAPTOP USED FOR PORO DISTRICT OFFICE AND CAGCAGAN ELEMENTARY SCHOOL</t>
  </si>
  <si>
    <t>HFE : 150 Boxes Face Mask--3 pcs. Arm Sling For the medical use of clients in the HOME FOR THE ELDERLY, 2nd semester CY 2020.</t>
  </si>
  <si>
    <t>Door Signages</t>
  </si>
  <si>
    <t>PROCUREMENT OF GARBAGE TRUCK FOR USE IN HAULING OF SEGRATED WASTE FROM MRF'S SANITARY LANDFILL-REPOST</t>
  </si>
  <si>
    <t>CONSTRUCTION OF EVACUATION CENTER PHASE-1</t>
  </si>
  <si>
    <t>PR NO. 2088 SEEDLING TRAY</t>
  </si>
  <si>
    <t>SUPPLY AND DELIVERY OF VARIOUS IT EQUIPMENTS</t>
  </si>
  <si>
    <t>SUPPLY AND DELIVERY OF OFFICE SUPPLY AT EUSTAQUIO LOPEZ ELEMENTARY SCHOOL (FREE DELIVERY)</t>
  </si>
  <si>
    <t>SUPPLY AND DELIVERY OF ELEVEN (11) UNITS PRINTER USED FOR DAAN PAZ, ESPERANZA, MERCEDES, PORO CENTRAL, RIZAL, SAN JOSE, AND TEGUIS ELEMENTARY SCHOOL</t>
  </si>
  <si>
    <t>(PVSO) Procurement of Animal Feeds and Veterinary Supplies For the Provincial Veterinary Services Office--116,190.00</t>
  </si>
  <si>
    <t>PURCHASE BRAND NEW ONE (1) UNIT PICK-UP VEHICLE, LGU-Banga, South Cotabato</t>
  </si>
  <si>
    <t>Waterworks Materials</t>
  </si>
  <si>
    <t>Supply &amp; Delivery of Microtubes ABC:73,400.00</t>
  </si>
  <si>
    <t>PR-2020-0820 Laboratory Supplies (Renegotiated)-PHO</t>
  </si>
  <si>
    <t>Construction of Multipurpose Building/Peoples Center</t>
  </si>
  <si>
    <t>PURCHASE OF TWO (2) UNITS RISOGRAPH MACHINE AND ITS ACCESSORIES - DEPED, CALAPE DISTRICT OFFICE, CALAPE, BOHOL</t>
  </si>
  <si>
    <t>PURCHASE OF ONE (1) UNIT LAPTOP w/ COMPLETE ACCESSORIES and ONE (1) UNIT COMMUNICATION EQUIPMENT ( CELLPHONE)</t>
  </si>
  <si>
    <t>REQUEST FOR QUOTATION FOR USE OF MARBEL 2 RIS</t>
  </si>
  <si>
    <t>Supply &amp; Delivery of Shallow Tube well ABC:500,000.00</t>
  </si>
  <si>
    <t>SUPPLY AND DELIVERY OF VARIOUS PRINTERS CONSUMABLES</t>
  </si>
  <si>
    <t>SUPPLEMENTAL BID NO.2 FOR THE "Procurement of Various Supplies and Materials for CRM and Livelihood Sub-Projects under FishCORAL Project, CY 2019"</t>
  </si>
  <si>
    <t>41.	Construction of Street Lighting System at Brgy. 6, Tanauan City, Batangas</t>
  </si>
  <si>
    <t>Supply &amp; Delivery of ICT Equipment &amp; Computer Supplies ABC:100,100.00</t>
  </si>
  <si>
    <t>PURCHASE OF MONOBLOCK CHAIRS (FOR SC)</t>
  </si>
  <si>
    <t>SUPPLY AND DELIVERY OF MEDICAL EQUIPMENT AND SUPPLIES FOR PSHS-CBZRC'S FIGHT AGAINST THE COVID-19 VIRUS</t>
  </si>
  <si>
    <t>42.	Construction of Street Lighting System at Brgy. Bagbag, Tanauan City, Batangas</t>
  </si>
  <si>
    <t>Rehabilitation of Soils Laboratory Extension (Ceiling &amp; Roof) ABC:180,745.43</t>
  </si>
  <si>
    <t>Purchase of Laptop for Mayor's Office</t>
  </si>
  <si>
    <t>RT-PCR Test ng mga Opisyal at Empleado ng Komisyon sa Wikang Filipino</t>
  </si>
  <si>
    <t>Fuel</t>
  </si>
  <si>
    <t>WOMEN'S LIVELIHOOD PROGRAM cum BANGUS FARM PRODUCTION</t>
  </si>
  <si>
    <t>Supply &amp; Delivery of Construction Materials &amp; Supplies for the Rehabilitation of School Bldg., at Matagbac Elementary School, Matagbac, Tabaco City</t>
  </si>
  <si>
    <t>Lunch and Snacks for the Basic Training-Workshop on Continuous Improvement (CI) Methodology and Principles to SDO &amp; District CI Teams.</t>
  </si>
  <si>
    <t>Procurement of Seeds  RC18 for PBD Division under Major Crop Rice of DAR Negros Oriental</t>
  </si>
  <si>
    <t>43.	Construction of Street Lighting System at Brgy. Luyos, Tanauan City, Batangas</t>
  </si>
  <si>
    <t>Supply and Delivery of Multi-Functional Printer</t>
  </si>
  <si>
    <t>PR 20-08-139, C0MPUTER DESKT0P WITH COMPLETE ACCESSORIES AND PRlNTER</t>
  </si>
  <si>
    <t>Supply and Delivery of Four Cylinder Engine for BSIT-Automotive Laboratory UEP-PRMC Campus</t>
  </si>
  <si>
    <t>150 Gallons of Isopropyl Alcohol and 100 boxes Non-woven Surgical Face Mask 3-ply</t>
  </si>
  <si>
    <t>44.	Construction of Street Lighting System at Brgy. Poblacion 2, Sto. Tomas, Batangas</t>
  </si>
  <si>
    <t>MATERIALS FOR MULTI-PURPOSE BLDG. BEAUTIFICATION</t>
  </si>
  <si>
    <t>Delivery and Installation of Carpet</t>
  </si>
  <si>
    <t>NC#2020-0427-PR2020-0569 Procurement of Digital Camera for the use at the Provincial Information and Media Relations (PrIMeR), New Capitol Building, Tagbilaran City</t>
  </si>
  <si>
    <t>SUPPLY AND DELIVERY OF VARIOUS OFFICE SUPPLIES AND EQUIPMENT</t>
  </si>
  <si>
    <t>Procurement of One (1) Unit Cargo Box and One (1) Unit Multicab Cowl Head for Replacement of Delapidated Parts of Service Vehicle with Plate No. SJK 468 - PR 2020-08-058</t>
  </si>
  <si>
    <t>Supply &amp; Delivery of Various Rice Seeds ABC:400,000.00</t>
  </si>
  <si>
    <t>45.	Construction of Barangay / Farm to Market Road at Brgy. Malainin, Ibaan, Batangas</t>
  </si>
  <si>
    <t>CATERING SERVICES FOR IMT/IATF COVID-19/ASF AND OTHER DISASTER RELATED ACTIVITIES</t>
  </si>
  <si>
    <t>PRDP-2020-0457 REQUEST FOR QUOTATION FOR THE CONSTRUCTION OF GETAFE SEAWEEDS WAREHOUSE OF THE "BOHOL SEAWEEDS CONSOLIDATION, PRODUCTION AND MARKETING ENTERPRISES"</t>
  </si>
  <si>
    <t>FARM MACHINERIES AND EQUIPMENTS UNDER THE MAJOR CROP-BASED BLOCK FARM PRODUCTIVITY ENHANCEMENT PROGRAM</t>
  </si>
  <si>
    <t>SUPPLY AND DELIVERY OF VARIOUS CLEANING SUPPLIES AND EQUIPMENT FOR THE GENERAL SERVICES UNIT</t>
  </si>
  <si>
    <t>Supply and Delivery of Risograph and Photocopying Machine</t>
  </si>
  <si>
    <t>PRODUCTION OF LISTAHANAN IEC MATERIALS</t>
  </si>
  <si>
    <t>PURCHASE OF RESCUE SPEED BOAT (CUSTOMIZED)</t>
  </si>
  <si>
    <t>48.	Construction of Barangay / Farm to Market Road at Brgy. Namuco, Rosario, Batangas</t>
  </si>
  <si>
    <t>pr no. 2089 Organic Fertilizer</t>
  </si>
  <si>
    <t>PURCHASE OF LAP TOPS &amp; PRINTER</t>
  </si>
  <si>
    <t>Hiring of Non-Food Designers for the Conduct of OTOP Next Gen Product Development</t>
  </si>
  <si>
    <t>47.	Construction of Barangay / Farm to Market Road at Brgy. Itlugan, Rosario, Batangas</t>
  </si>
  <si>
    <t>20GGL0010 - PROCUREMENT OF MATERIALS FOR USE IN THE REPAIR/REPLACEMENT OF VARIOUS SIGNAGES AND OTHER ROAD SAFETY DEVICES ALONG NATIONAL ROADS WITHIN THE NEGROS OCCIDENTAL 2ND DISTRICT ENGINEERING OFFI</t>
  </si>
  <si>
    <t>IMPROVEMENT OF MULTI-PURPOSE HALL LOCATED @ BRGY SAN PEDRO, AGOO, LA UNION</t>
  </si>
  <si>
    <t>CATERING SERVICES FOR THE PANTAWID PAMILYANG PILIPINO PROGRAM REGIONAL AND PROVINCIAL CONFERENCE CY 2020- MT. PROVINCE</t>
  </si>
  <si>
    <t>Procurement of Three (3) Units Disinfectant Fogging Machines and Disinfectant Solutions</t>
  </si>
  <si>
    <t>Procurement of Herbicide and Seed Treatment under the Corn Production Program of MAGRO - Laak, Davao De Oro</t>
  </si>
  <si>
    <t>SUPPLY AND DELIVERY OF CONSTRUCTION MATERIALS FOR MULTI-PURPOSE PAVEMENT</t>
  </si>
  <si>
    <t>Supply and Delivery of Construction supplies and Materials</t>
  </si>
  <si>
    <t>AB BDF 2020 PROJECT=CLEAN AND BEAUTIFICATION, SUPPLIES,DEVICES AND GENERAL MERCHANDISE</t>
  </si>
  <si>
    <t>CATERING SERVICES FOR THE PANTAWID PAMILYANG PILIPINO PROGRAM REGIONAL AND PROVINCIAL CONFERENCE CY 2020- KALINGA</t>
  </si>
  <si>
    <t>Purchased of Medical Supplies to be used in Municipal Health Office</t>
  </si>
  <si>
    <t>46.	Construction of Barangay / Farm to Market Road at Brgy. Mayuro, Rosario, Batangas</t>
  </si>
  <si>
    <t>Supply and Delivery of Two (2) Units Service Vehicle 4x4 Pick Up for CHU</t>
  </si>
  <si>
    <t>CATERING SERVICES FOR THE PANTAWID PAMILYANG PILIPINO PROGRAM REGIONAL AND PROVINCIAL CONFERENCE CY 2020- IFUGAO</t>
  </si>
  <si>
    <t>Construction of Two Storey/Eight-Classroom Building Type II (Phase II) Pambayang Kolehiyo ng Mauban Campus, National Highway, Brgy. Polo, Mauban, Quezon.</t>
  </si>
  <si>
    <t>CATERING SERVICES FOR THE PANTAWID PAMILYANG PILIPINO PROGRAM REGIONAL AND PROVINCIAL CONFERENCE CY 2020- BAGUIO CITY &amp; BENGUET</t>
  </si>
  <si>
    <t>49.	Construction of Barangay / Farm to Market Road at Brgy. San Jose, Rosario, Batangas</t>
  </si>
  <si>
    <t>REHABILITATION OF FLOOD CONTROL NEAR SAGUBO AREA, UPPER BAYABAS CREEK</t>
  </si>
  <si>
    <t>50.	Construction of Street Lighting System at  Brgy. Antipolo del Norte, Lipa City, Batangas</t>
  </si>
  <si>
    <t>PR NO. 2020-08-028 PROCUREMENT OF OFFICE SUPPLIES, ECCD MODULES &amp; CHECLIST FOR MSWDO, MAPANAS, NORTHERN SAMAR</t>
  </si>
  <si>
    <t>Rehabilitation of Bridge at Barangay Son-ok I, Pintuyan, Southern Leyte</t>
  </si>
  <si>
    <t>SUPPLY AND DELIVERY OF CONSTRUCTION MATERIALS FOR THE IMPROVEMENT OF EVACUATION CENTER (KITCHEN &amp; MESS HALL)</t>
  </si>
  <si>
    <t>COMPUTER LAPTOP for Cebu City (REPOST)</t>
  </si>
  <si>
    <t>PR 20-08-141, INTERNATIONAL ORANGE, PAINT THINNER, STEEL BRUSH, ETC.</t>
  </si>
  <si>
    <t xml:space="preserve">NC#2020-0428-PR2020-0570 Procurement of Shotgun Condenser Microphone with Lyre Shockmount &amp; Wind Jammer, SmartLav + Lavalier Condenser Microphone, Boompole with Bag and LED Light with V-Mount Battery </t>
  </si>
  <si>
    <t>CATERING SERVICES FOR THE PANTAWID PAMILYANG PILIPINO PROGRAM REGIONAL AND PROVINCIAL CONFERENCE CY 2020- APAYAO</t>
  </si>
  <si>
    <t>PROCUREMENT OF DIGITAL COPIER MACHINE FOR THE SCHOOLS OF KIBLAWAN SOUTH DISTRICT</t>
  </si>
  <si>
    <t>Supply and delivery of meals and snacks served during the SK Program</t>
  </si>
  <si>
    <t>CATERING SERVICES FOR THE PANTAWID PAMILYANG PILIPINO PROGRAM REGIONAL AND PROVINCIAL CONFERENCE CY 2020- ABRA</t>
  </si>
  <si>
    <t>PURCHASE OF CONDOMS AND LUBRICANTS</t>
  </si>
  <si>
    <t>Office Supplies, Equipment and other office supplies</t>
  </si>
  <si>
    <t>CONSTRUCTION OF VAWC ROOM</t>
  </si>
  <si>
    <t>Supply and Delivery of Office Supplies and Equipment for Department of Economics – CEMDS</t>
  </si>
  <si>
    <t>Barangay Development Projects 20% Development Funds for 2020 (Materials for Road Concreting, Construction &amp; Rehab. Of Multi-Purpose, Installation of Water Supply System)</t>
  </si>
  <si>
    <t>Supply and Delivery of Catering Services for 5-Day Handicraft-Bead Works</t>
  </si>
  <si>
    <t>SUPPLY &amp; DELIVERY OF MATERIALS FOR THE CONSTRUCTION OF SOIL RETAINING WALL WITH LINE DITCH , SITIO DIOMEL, BRGY. BANGA, WAO, LANAO DEL SUR</t>
  </si>
  <si>
    <t>Job Order for Repair of Motorpool Building, Binuangan, Maco Davao de Oro</t>
  </si>
  <si>
    <t>INVITATION TO BID   ITB NO. 2020-003-GOODS  PROCUREMENT OF FOUR (4) UNITS DIGITAL DUPLICATOR</t>
  </si>
  <si>
    <t>SUPPLY AND DELIVERY OF VARIOUS REAGENTS FOR MICROBIOLOGY LABORATORY</t>
  </si>
  <si>
    <t>Food and Accommodation for the Quality Assurance (QA) Process on the Region and Division Initiated Self Instructional Modules (SIM) in Filipino in Response to Covid Pandemic</t>
  </si>
  <si>
    <t>KC-2020-08-0323 : MEDICAL SUPPLIES FOR THE USE OF KC-PAMANA STAFF OF RPMO and 19 ACTs</t>
  </si>
  <si>
    <t>Purchase of 12 units Session Table and 12 units Executive Chair</t>
  </si>
  <si>
    <t>Procurement of ICT Equipment for 3rd Qtr. 2020</t>
  </si>
  <si>
    <t>INSTALLATION OF STREET LIGHTS</t>
  </si>
  <si>
    <t>20GCE0034: Procurement of Electrcial Supplies to be used for 83KVA generator intended for Planning/Design and Maintenance Building</t>
  </si>
  <si>
    <t>PURCHASE OF ONE (1) UNIT FOR MUNICIPAL GOVERNMENT OFFICES AND FACILITIES</t>
  </si>
  <si>
    <t>ICT-20-0756-NP2 (SV) PURCHASE OF RUGGED WATERPROOF TWO-WAY VHF/UHF RADIO</t>
  </si>
  <si>
    <t>Supplies for SDO Cotabato Preparedness and Response Measures for COVID-19 Pandemic</t>
  </si>
  <si>
    <t>Construction of New Evacuation Center</t>
  </si>
  <si>
    <t>CONSTRUCTION OF POWER TRANSMISSION/DISTRIBUTION LINE at Barangay Centro 2 and Magsidel, Calayan, Cagayan</t>
  </si>
  <si>
    <t>Supply and Delivery of Equipment and Software for CEIT</t>
  </si>
  <si>
    <t>20IL0153(REINVITATION-LOCAL INFRASTRUCTURE PROGRAM - LOCAL ROADS AND BRIDGES - LOCAL ROADS COSTRUCTION/REHABILITATION OF NATIONAL ROADS ALONG BDRY. SO. LEYTE - MAASIN - MACROHON - SOGOD- - JCT. DAANG</t>
  </si>
  <si>
    <t>PROVISION OF PPE's among FRONTLINER / WORKING WOMEN</t>
  </si>
  <si>
    <t>PR-2020-1435 Laboratory Supplies(Negotiated)-PHO</t>
  </si>
  <si>
    <t>For use in the operation of Garbage Compactor (DOH-430, DOH-462).</t>
  </si>
  <si>
    <t>INSTALLATION / CONSTRUCTION OF BASKETBALL FIBER GLASS HEADBOARD @ BRGY. OLD LABANGAN, LABANGAN ZDS</t>
  </si>
  <si>
    <t>PURCHASE OF AIRCONDITION UNITS</t>
  </si>
  <si>
    <t>CONDUCT OF CELEBRATION OF ARAW NG ZAMBOANGA DEL SUR</t>
  </si>
  <si>
    <t>Concreting of Farm to Market Road</t>
  </si>
  <si>
    <t>CONSTRUCTION OF PATHWAYS PUROK 1</t>
  </si>
  <si>
    <t>Supply and Delivery of Hardware Materials</t>
  </si>
  <si>
    <t>Purchase of Prepaid WIFI</t>
  </si>
  <si>
    <t>SUPPLY &amp; DELIVERY OF CONSTRUCTION MATERIALS FOR THE MAINTENANCE OF ALL WEATHER ROAD (CONSTRUCTION OF LINE DITCH)</t>
  </si>
  <si>
    <t>Supply and Delivery of Vegetable Seeds</t>
  </si>
  <si>
    <t>SUPPLY AND DELIVERY OF BAGGAGE X-RAY MACHINE AND HEAVY EQUIPMENT for the Municipality of Calayan, Province of Cagayan</t>
  </si>
  <si>
    <t>Installation of CCTV Cameras</t>
  </si>
  <si>
    <t>53.	Construction of Street Lighting System at Brgy. Pinagkawitan, Lipa City, Batangas</t>
  </si>
  <si>
    <t>PR-2020-1389 Laboratory Supplies (Negotiated)-PHO</t>
  </si>
  <si>
    <t>Procurement of Materials for the Construction of Terminal Shed for HABAL-HABAL Transportation</t>
  </si>
  <si>
    <t>Construction of PKM Multi-Purpose Covered Court (Phase II) Pambayang Kolehiyo ng Mauban Campus, National Highqay, Brgy. Polo, Mauban, Quezon.</t>
  </si>
  <si>
    <t>Supply and Delivery of Medicines</t>
  </si>
  <si>
    <t>Materials for the Rehabilitation/Repair/Improvement of Barangay Health Station Brgy. Calaya</t>
  </si>
  <si>
    <t>Suplly &amp; Delivery &amp; demonstration of Photo Copier</t>
  </si>
  <si>
    <t>52.	Construction of Street Lighting System at Brgy. Sabang, Lipa City, Batangas</t>
  </si>
  <si>
    <t>Construction of Reflecting Pool with Musical Fountain and Landscaping (Project Sub Component #2 of the Proposed Davao Occidental-Government Business Center and Industrial Estates) located at Lais, Mal</t>
  </si>
  <si>
    <t>Materials for the Fencing of Material Recovery Facility, Brgy. Sto. Domingo</t>
  </si>
  <si>
    <t>Procurement of Hospital Supplies for the Ospital ng Parañaque 1</t>
  </si>
  <si>
    <t>PR-2020-1358 Construction Materials (Negotiated)-PSWDO</t>
  </si>
  <si>
    <t>Materials for the Construction of School Canopy, Magamay ES, Brgy. Magamay</t>
  </si>
  <si>
    <t>REPRODUCTION / PRINTING SERVICES OF QUALITY ASSURED MODULES FOR PROJECT WRITE, WRITE, WRITE OF SCHOOLS DIVISON OFFICE, CITY OF ALAMINOS, PANGASINAN</t>
  </si>
  <si>
    <t>Purchase of food &amp; non food items for covid response program</t>
  </si>
  <si>
    <t>54.	Construction of Street Lighting System at Brgy. Balintawak, Lipa City, Batangas</t>
  </si>
  <si>
    <t>Materials for the Rehabilitation/Repair/Improvement of Barangay Health Station Brgy. Tando</t>
  </si>
  <si>
    <t>Construction of Water System @ Purok-6B</t>
  </si>
  <si>
    <t>Materials for the Improvement of Covered Court- Brgy. Calaya</t>
  </si>
  <si>
    <t>PURCHASE OF FUELS</t>
  </si>
  <si>
    <t>PURCHASE OF GOODS FOR FOOD ASSISTANCE</t>
  </si>
  <si>
    <t>MEMENTO FOR THE RETIREMENT OF MCPO</t>
  </si>
  <si>
    <t>Supply and Delivery of Office Equipment - Laptop Computer etc.</t>
  </si>
  <si>
    <t>Construction of PKM Administration Building (Phase II) Pambayang Kolehiyo ng Mauban Campus, National Highway, Brgy. Polo, Mauban, Quezon</t>
  </si>
  <si>
    <t>Supply and Delivery of Office Supplies for Coron School of Fisheries Printing of modules</t>
  </si>
  <si>
    <t>Purchase of Construction Materials for the Fabrication of Warning Signages at Various Location, San Guillermo, Isabela</t>
  </si>
  <si>
    <t>56.	Construction of Street Lighting System at  Brgy. San Ignacio, Rosario, Batangas</t>
  </si>
  <si>
    <t>Materials for the Improvement of School Stage, Concordia ES-Brgy. Concordia</t>
  </si>
  <si>
    <t>Purchase of Computer Laptop for DepEd Catmon District</t>
  </si>
  <si>
    <t>58.	Construction of Garage at Provincial Capitol Compound, Capitol Site, Batangas City</t>
  </si>
  <si>
    <t>55.	Construction of Street Lighting System at Brgy. Banay-Banay, Lipa City, Batangas</t>
  </si>
  <si>
    <t>Supplies and Equipment</t>
  </si>
  <si>
    <t>Supply and delivery of meals and snacks for Stress Defriefing Seminar for all RHU-Mlang Personnel.</t>
  </si>
  <si>
    <t>PR# 20-1749- 31,250 KITS SYPHILIS SCREENING RAPID TEST KITS</t>
  </si>
  <si>
    <t>57.	Repair of Provincial Engineer's Office Building, Brgy. Kumintang Ilaya, Batangas City</t>
  </si>
  <si>
    <t>CATERING SERVICES FOR REVIEW OF THE LRNDP AND ORIENTATION ON EN</t>
  </si>
  <si>
    <t>Purchase of Construction Materials for the Construction of Canal Lining along Anonang-Colorado Road, San Guillermo, Isabela</t>
  </si>
  <si>
    <t>CONSTRUCTION OF COMFORT ROOM BAGACAY, SIBUTAD, ZAMBOANGA DEL NORTE</t>
  </si>
  <si>
    <t>20IL0114(REINVITATION-NETWORK DEVELOPMENT-OFF-CARRIAGEWAY IMPROVEMENT-SECONDARY ROADS-JCT. HIMAY-ANGAN-SILAGO-ABUYOG BDRY. RD- K1050+(-300)-K1050+(-292), K1050+(-292)-K1050+(-170), K1050+(-170)-K1050+</t>
  </si>
  <si>
    <t>FURNISHING OF MATERIALS &amp; RENTAL OF EQUIPMENT FOR THE RENOVATION OF FENCE W/ ANGLE BAR AT COVERED COURT</t>
  </si>
  <si>
    <t>VIDEO PRODUCTION OF LSPU-LOS BAÑOS CAMPUS VIRTUAL COMMENCEMENT EXERCISES</t>
  </si>
  <si>
    <t>Procurement of Food Supplies Requirement of VLMC, AFPHSC (Line Item Bidding) (Ordering Agreement)</t>
  </si>
  <si>
    <t>60.	Repair of Electrical System of PG-ENRO Building, Capitol Compound, Brgy. Kumintang Ibaba, Batangas City</t>
  </si>
  <si>
    <t>59.	Repair of Sangguniang Panlalawigan Building (Phase IV), Capitol Site, Brgy. Kumintang Ibaba, Batangas City</t>
  </si>
  <si>
    <t>RIP RAPPING OF SIDE SLOPE</t>
  </si>
  <si>
    <t>Payment of Security Services rendered at DLSP from October to December, 2020.</t>
  </si>
  <si>
    <t>Procurement of Office Equipment for the Business Permits and Licensing Office</t>
  </si>
  <si>
    <t>Audio and Visual Equipment</t>
  </si>
  <si>
    <t>Purchase of Construction Materials for the Concreting of Urban Road C. Aquino St., Centro 2, San Guillermo, Isabela</t>
  </si>
  <si>
    <t>Supply and Delivery of Footbath for use of schools as mitigation for COVID-19 to ensure disinfection and lessen spread of communicable diseases</t>
  </si>
  <si>
    <t>Improvement of Park Entrance</t>
  </si>
  <si>
    <t>PROCUREMENT OF VARIOUS MATERIALS AND DIVING GEAR AND EQUIPMENT FOR THE IMPLEMENTATION OF ACTION FOR RESOURCE CONSERVATION TOWARDS HABITAT MANAGEMENT (ARTH) PROJECT FOR THE CITY GOVERNMENT OF ALAMINOS,</t>
  </si>
  <si>
    <t>51.	Construction of Street Lighting System at Brgy. Lumbangan, Rosario, Batangas</t>
  </si>
  <si>
    <t>Purchase of Medicines for PWD at MSWD Office</t>
  </si>
  <si>
    <t>Purchase of 5 Units Motorcycle</t>
  </si>
  <si>
    <t>Procurement of Office Equipment for the Office of the City Accountant</t>
  </si>
  <si>
    <t>CVO Support Anti Crime - 33 sacks rice</t>
  </si>
  <si>
    <t>Procurement of Agricultural and Marine Supplies and Vaccine of MAGRO - Laak, Davao De Oro</t>
  </si>
  <si>
    <t>Purchase of Communication Equipment, Cabinet, Office Tables and Chairs for establishment of DRRM Operation Center</t>
  </si>
  <si>
    <t>Purchase of Outdoor Sound System with Complete Accessories</t>
  </si>
  <si>
    <t>304 bags Portland Cement (40 kgs/bag) Type 1 and other items for road concrete at Purok Kalubihan fronting the Residence of Nemesio Larena towards Palm and Pines street at Barangay Daro.</t>
  </si>
  <si>
    <t>Supply and delivery of drugs and medicines for Mun. Health Office use.</t>
  </si>
  <si>
    <t>Meals &amp; Snacks for t he CMGP-Provincial Writeshop on LRNDP Updating on September 7-11, 2020 at Benguet Provincial Capitol</t>
  </si>
  <si>
    <t>CVO Support Anti Crime - General Merchandise</t>
  </si>
  <si>
    <t>Payment of Janitorial Services rendered at DLSP from October to December, 2020.</t>
  </si>
  <si>
    <t>SALAYSAY NHS OFFICE SUPPLIES AND DEVICES</t>
  </si>
  <si>
    <t>PROCUREMENT OF ONE (1) UNIT MANUAL GENERATOR SET, LGU, MASINLOC, ZAMBALES</t>
  </si>
  <si>
    <t>Purchase of Construction Materials for the Installation of 1-L 36'' RC Pipes with Head Wall at Purok 2, Rizal, San Guillermo, Isabela</t>
  </si>
  <si>
    <t>Purchase of Toner Cartridge for SB Office</t>
  </si>
  <si>
    <t>PR NO. 2079 VERMI CAST</t>
  </si>
  <si>
    <t>20 sacks Rice-tonner</t>
  </si>
  <si>
    <t>Supply and Delivery of Office Equipment for Various Office of the PGOM</t>
  </si>
  <si>
    <t>1 unit Brand New Passenger Van for transportation of GAD Focal Point System (GFPS) members in conducting series of monthly/quarterly monitoring and assessment of GAD programs and activities implemente</t>
  </si>
  <si>
    <t>Repair and Maintenance of Roads various Roads, City of Tacurong</t>
  </si>
  <si>
    <t>FABRICATION OF GARBAGE BIN</t>
  </si>
  <si>
    <t>HAND HELD DATA COLLECTOR	GSD A-20-412</t>
  </si>
  <si>
    <t>Rebidding: 3 kgs CW Nails 4” and other items for installation of canopy at the Dumaguete Police station at Barangay Poblacion 7.</t>
  </si>
  <si>
    <t>one (1) unit Patrol/Rescue brand new vehicle for emergency and rescue operations of Dumaguete City Fire Station.</t>
  </si>
  <si>
    <t>Purchase of Complete sets PPE's.</t>
  </si>
  <si>
    <t>Procurement of LGU Vehicle Maintenance</t>
  </si>
  <si>
    <t>Purchase of Chainsaw, Diving Apparatus and Body Bag for use during disaster preparedness and response.</t>
  </si>
  <si>
    <t>DARAB 1ST QUARTER OFFICE SUPPLIES</t>
  </si>
  <si>
    <t>PR 129-07-2020 INSTALLATION OF BIRTHING FACILITY - Progreso Este</t>
  </si>
  <si>
    <t>( PR NO. 20-08-08-0066 SUPPLY AND DELIVERY OF 1 lot Supply, Delivery &amp; Installation of Laboratory Refrigerator/Chiller)</t>
  </si>
  <si>
    <t>10 gals Heavy Duty H20 Soluble Degreaser Deodorizer: Citrus Base Scented Organic Base for maintenance of the restrooms Public Market complex, Kiwanis abd Boulevard, Dumaguete City.</t>
  </si>
  <si>
    <t>Mealbox paper, 3 division, biodegradable</t>
  </si>
  <si>
    <t>CONSTRUCTION OF DRAINAGE SYSTEM PUROK MOLAVE</t>
  </si>
  <si>
    <t>Repair and Maintenance of Drainage Canals City Wide</t>
  </si>
  <si>
    <t>Purchase and Delivery of 1 Unit Multi-Purpose Vehicle</t>
  </si>
  <si>
    <t>Supply and Delivery of 80 Poultry Cage Module  for Poultry Program (Balik Sigla Agrikultura – Covid19 Response)- 2nd Bid</t>
  </si>
  <si>
    <t>Supply and delivery of PWUD Handbook for Counselling Session for PWUD on Intensive Outpatient for People, with Stimulant Use Disorder ( Batch 2)</t>
  </si>
  <si>
    <t>Supply and Delivery of Supplies and Materials for Poultry and Livestock Program (Balik Sigla Agrikultura – Covid19 Response) -2nd Bid</t>
  </si>
  <si>
    <t>PURCHASE OF COMMUNICATION EQUIPMENTS</t>
  </si>
  <si>
    <t>Construction of Riprap-Tejero, San Luis, Batangas</t>
  </si>
  <si>
    <t>CONSTRUCTION OF PATHWAY AT SECTOR 3 LOCATED AT SAN ANTONIO, Agoo, La Union</t>
  </si>
  <si>
    <t>Supply and Delivery of Office Supplies for Coron School of Fisheries -Junior High School Printing of modules</t>
  </si>
  <si>
    <t>CONCRETE PAVEMENT WITH DRAINAGE – POBLACION AREA (BARLIN ST., DON JUAN ST., SAN ROQUE)</t>
  </si>
  <si>
    <t>62.	Construction of Two (2) Storey Four (4) Classroom HIM Type School Building at Maria Paz Fronda MNHS, Brgy. Malibu, Tuy, Batangas</t>
  </si>
  <si>
    <t>SUPPLY AND DELIVERY OF MATERIALS TO BE USED IN ROAD DEVELOPMENT PROGRAM, SITIO 3, BARANGAY SAN ANTONIO</t>
  </si>
  <si>
    <t>Procurement of Materials and Supplies for the Pro-poor Project at North Section (Sto Niño to Dumlog) - PR 2020-05-044</t>
  </si>
  <si>
    <t>63.	Construction of Two (2) Storey Four (4) Classroom HIM Type School Building at Manghinao I ES, Brgy. Manghinao I, Bauan, Batangas</t>
  </si>
  <si>
    <t>Replacement of Electrical Raceways and Ceiling Works at Dry Goods Section, Wet Market, San Francisco, Iriga City</t>
  </si>
  <si>
    <t>Disinfectant Supplies</t>
  </si>
  <si>
    <t>Repair/Rehab. of Multi-Purpose Hall (Purok 1), Brgy. SAn Isidro, Bunawan District, Davao City</t>
  </si>
  <si>
    <t>Meals &amp; Snacks for 3 days,Notebook,Ballpen,Plastic Envelope</t>
  </si>
  <si>
    <t>Supply and Delivery of Hardware Materials for the Construction of Perimeter Fence</t>
  </si>
  <si>
    <t>SCAA Materials</t>
  </si>
  <si>
    <t>PROCUREMENT OF LAPTOP FOR COLLECTOR</t>
  </si>
  <si>
    <t>SUPPLY AND DELIVERY OF VARIOUS GI FITTINGS</t>
  </si>
  <si>
    <t>61.	Construction of Two (2) Storey Four (4) Classroom HIM Type School Building at Sambal ES, Brgy. Sambal Ilaya, Lemery, Batangas</t>
  </si>
  <si>
    <t>Proposed Multi-Purpose Rehabilitation Center for PWD (Phase II), Government Center, Sta. Cruz Sur, Iriga City</t>
  </si>
  <si>
    <t>Supplies and Materials for Motorcycle/Small Engine Servicing NC II Training</t>
  </si>
  <si>
    <t>Purchase &amp; Delivery of Janitorial &amp; Other Supplies for the Office of SPM Virginia C. Pe Benito</t>
  </si>
  <si>
    <t>NC#2020-0430-PR2020-0572 Procurement of Tires for the use at the Provincial Motor Pool, New Capitol Building, Tagbilaran City</t>
  </si>
  <si>
    <t>CONCRETING OF BARANGAY ROAD (RIVERSIDE TO STO. DOMINGO) AT SAN FRANCISCO</t>
  </si>
  <si>
    <t>PROCUREMENT OF DRUGS AND MEDICINES</t>
  </si>
  <si>
    <t>Supply and Delivery of 12,927 Pieces Vitamin C with Zinc, Non-Acidic Capsule</t>
  </si>
  <si>
    <t>Procurement of Vegetable Seeds and Planting tools under the Vegetable Seed Production of MAGRO - Laak, Davao De Oro</t>
  </si>
  <si>
    <t>Purchase &amp; Delivery of Laptop  Computer Sets and Printer for the PGIS Covid Action Center and Administrator's Office</t>
  </si>
  <si>
    <t>64.	Construction of Two (2) Storey Six (6) Classroom HIM Type School Building at Manalupang - San Vicente ES, Brgy. Manalupang, Bauan, Batangas</t>
  </si>
  <si>
    <t>Procurement of LMS Server</t>
  </si>
  <si>
    <t>Hiring of Consultancy Services (Individual Consultants)</t>
  </si>
  <si>
    <t>Acquisition Of MPDC Office Supplies</t>
  </si>
  <si>
    <t>20GP0075-REPAIR/MAINTENANCE of MAMBUSAO RIVER REVETMENT (F40013PN) Brgy. Tumalalud,Mambusao, PANAY RIVER REVETMENT (F40014PN) Brgy. Bitoon,Ilawod,Cuartero, SIBAGUAN CREEK REVETMENT (F40024PN) Brgy.Sib</t>
  </si>
  <si>
    <t>( PR NO. 20-07-05A-0047 SUPPLY AND DELIVERY OF 200 pcs Fabricated Rubber O-ring 4"Ø)</t>
  </si>
  <si>
    <t>PRO POWER</t>
  </si>
  <si>
    <t>Supply and Delivery of Covid-19 Response Items for Official Use of PENRO Camarines Sur</t>
  </si>
  <si>
    <t>REQUEST FOR SUBDIVISION SURVEY LOT 8-CSI-2020(NL)</t>
  </si>
  <si>
    <t>PROCUREMENT OF SERVICES (PUBLICATION OF MUNICIPAL ORDINANCES)</t>
  </si>
  <si>
    <t>20AD0114 : 41X: Emergency Repair along Sta. Cruz_Pilar-Pinipin Road, K0334+000-K0336+700 with exception</t>
  </si>
  <si>
    <t>Completion of Climate Proof Multi-Purpose/Evacuation Center at Brgy. Tibacan, Laua-an, Antique</t>
  </si>
  <si>
    <t>INVITATION TO BID FOR THE  FABRICATION OF SHELVES/CABINET/GRILLS AT NATIONAL GOVERNMENT OFFICE, BARANGAY POBLACION, LINGAYEN, PANGASINAN</t>
  </si>
  <si>
    <t>PR NO. 2126 HARDWARE SUPPLIES</t>
  </si>
  <si>
    <t>(DDH) 2nd REQUEST FOR QUOTATION (RFQ)  For the Procurement of One (1) unit Defibrillator with Paddle</t>
  </si>
  <si>
    <t>Meals &amp; Snacks for 50 pax w/venue</t>
  </si>
  <si>
    <t>Repair &amp; Maintenance of Street Lighting</t>
  </si>
  <si>
    <t>SUPPLY OF LABOR AND MATERIALS FOR THE MAINTENANCE OF THE RP Vehicle OV4661</t>
  </si>
  <si>
    <t>SELF - SKILLS ENHANCEMENT AND LEADERSHIP FORMATION - BARANGAY STAFF</t>
  </si>
  <si>
    <t>Construction of Client's Lounge</t>
  </si>
  <si>
    <t>65.	Construction of Two (2) Storey Two (2) Classroom HIM Type School Building at Balite PS, Brgy. Balite, San Luis, Batangas</t>
  </si>
  <si>
    <t>URBAN GARDENING</t>
  </si>
  <si>
    <t>CONSTRUCTION OF TWO-STOREY DISTRICT SUPERVISOR OFFICE AT TERNATE CENTRAL ELEMENTARY SCHOOL,</t>
  </si>
  <si>
    <t>“SUPPLY AND DELIVERY OF VEHICLE PARTS AND ACCESSORIES”</t>
  </si>
  <si>
    <t>2020-08-221</t>
  </si>
  <si>
    <t>Acquisition Of MHO Supplies</t>
  </si>
  <si>
    <t>REHABILITATION OF OPEN SPACE at PIMENTEL BLDNG</t>
  </si>
  <si>
    <t>Repair/ Maintenance (Reblocking of Damaged Concrete Pavement) Along Urdaneta Junction-Dagupan-Lingayen Road</t>
  </si>
  <si>
    <t>Maintenance of Waterwork System</t>
  </si>
  <si>
    <t>67.	Construction of Two (2) Storey Four (4) Classroom HIM Type School Building at Cesar Oroña ES, Brgy, Makina, Balete, Batangas</t>
  </si>
  <si>
    <t>Procurement of Various Office Supplies</t>
  </si>
  <si>
    <t>(1) Lot Supply, Delivery and Installation of Structured Cabling System for Pag-IBIG Fund Sagay Branch</t>
  </si>
  <si>
    <t>Purchase of Various Materials for Bamboo Production Enhancing</t>
  </si>
  <si>
    <t>Wheel Chair,Cane,Walker,etc...</t>
  </si>
  <si>
    <t>NC#2020-0431-PR2020-0573 Procurement of Tires for the Road Graders at the Provincial Motor Pool, New Capitol Building, Tagbilaran City</t>
  </si>
  <si>
    <t>GPG-B2-2020-382 - DESIGN AND CONSTRUCTION OF THE BUREAU OF CUSTOMS  PORT OF CEBU BUILDING</t>
  </si>
  <si>
    <t>Siphoning Services for the Septic Tanks (GCH)</t>
  </si>
  <si>
    <t>66.	Construction of HIM Type Open Classroom Building (Phase II) at Masaguitsit Banalo NHS, Brgy. Masaguitsit, Lobo, Batangas</t>
  </si>
  <si>
    <t>PURCHASE OF VARIOUS MEDICINES FOR MBC</t>
  </si>
  <si>
    <t>SELF - SKILLS ENHANCEMENT AND LEADERSHIP FORMATION - PHYSICAL THERAPY</t>
  </si>
  <si>
    <t>SUPPLY AND DELIVERY OF REGRAVELING MATERIALS  FOR THE REGRAVELING OF ROADS</t>
  </si>
  <si>
    <t>SELF - SKILLS ENHANCEMENT AND LEADERSHIP FORMATION -BENHUR ACTION TEAM</t>
  </si>
  <si>
    <t>Stranded Wire #6,Stranded Wire #10,Led Floodlight ,etc...</t>
  </si>
  <si>
    <t>RFQ-2020-08-0052 For use of DPWH SK 1st DEO for Civil Service Celebration</t>
  </si>
  <si>
    <t>Purchase of construction materials for storage room</t>
  </si>
  <si>
    <t>REHABILITATION OF MULTI-PURPOSE BUILDING (BRGY. LUKLUKAN SUR- JPCN)</t>
  </si>
  <si>
    <t>PURCHASE OF COVID-19 PROTECTIVE GEAR</t>
  </si>
  <si>
    <t>risograph for different booklets and brochures for Provincial Agriculturist Office	 (N-548-2020)</t>
  </si>
  <si>
    <t>Purchase of One (1) Unit Brand New Garbage Compactor</t>
  </si>
  <si>
    <t xml:space="preserve">( PR NO. 20-08-04-0096 SUPPLY AND DELIVERY OF 12 pcs Oil Filter(ISUZU NQR Water Tanker, 4HJ1 eng.), 3 pcs Fuel Filter(ISUZU NQR Water Tanker, 4HJ1 eng.), 3 pcs Air Filter(ISUZU NQR Water Tanker, 4HJ1 </t>
  </si>
  <si>
    <t>Purchase of Coverall Suit PPE</t>
  </si>
  <si>
    <t>Diesel Fuel,Gasoline Fuel,Printer Toner 214 black,etc....</t>
  </si>
  <si>
    <t>HATID / SUNDO SA ESKWELA PROJECT</t>
  </si>
  <si>
    <t>SUPPLY AND DELIVERY OF ONE (1) UNIT BOOSTER PUMP (BRAND: GOULDS) 15 HP, 15 LPS, 237 GPM @ 50 M TDH WITH CONTROLLER AND COMPLETE ACCESSORIES TO BE USED FOR FILTER/RESERVOIR AT SAN JOSE, TALIBON, BOHOL</t>
  </si>
  <si>
    <t>CONSTRUCTION OF TWO STOREY MUTLI-PURPOSE BUILDING PHASE 1 @ BRGY. CAROLOTAN</t>
  </si>
  <si>
    <t>68.	Construction of Two (2) Storey Six (6) Classroom HIM Type School Building at Itlugan ES, Brgy. Itlugan, Rosario, Batangas</t>
  </si>
  <si>
    <t>Comcolor Black,Comcolor Magenta,etc....</t>
  </si>
  <si>
    <t>INSTALLATION OF SOLAR STREETLIGHTS WITH MONOPOLE</t>
  </si>
  <si>
    <t>SUPPLIES AND MATERIALS OF CARPENTRY NC II(TRAINING CUM PRODUCTION) DORMITORY</t>
  </si>
  <si>
    <t>SELF - SKILLS ENHANCEMENT AND LEADERSHIP FORMATION - RESCUE</t>
  </si>
  <si>
    <t>Improvement of Barangay Waterworks</t>
  </si>
  <si>
    <t>MONTHLY PREVENTIVE MAINTENANCE OF AIRCONDITIONED UNITS OF BIR-RR8B SOUTH NCR</t>
  </si>
  <si>
    <t>Ink Cartridge Black,Ink Cartridge Magenta,etc....</t>
  </si>
  <si>
    <t>2 units Syringe Pump with specs For the use at CSR SECTION of NOPH (N-684-2020)</t>
  </si>
  <si>
    <t>Procurement of construction materials for Concreting of FMR at Tingal Portion, Pk. 4, pinto</t>
  </si>
  <si>
    <t>71.	Construction of Two (2) Storey Four (4) Classroom HIM Type School Building at Sampiro ES, Brgy. Sampiro, San Juan, Batangas</t>
  </si>
  <si>
    <t>3,000 pcs. Washable facemask</t>
  </si>
  <si>
    <t>CVMO- MEALS AND SNACKS FOR SPECIAL/ REGULAR SESSION, COMMITTEE HEARING/MEETINGS, ETC. FOR 3RD QUARTER 2020</t>
  </si>
  <si>
    <t>Split  Type 1.5hp Inverter Aircon,Split Type 2hp Inverter Aircon</t>
  </si>
  <si>
    <t>19G00109 - Bacolod Negros Occidental Economic Highway (BANOCEH), Segment 3, Including ROW, Bacolod City</t>
  </si>
  <si>
    <t>Request For Quotation for Paper Materials, Products and Supplies</t>
  </si>
  <si>
    <t>Completion of Climate Proof Pandanan BHS/Birthing Center at Brgy. Pandanan, Laua-an, Antique</t>
  </si>
  <si>
    <t>Supply and Delivery of Various Printing Materials per PR# 2020-08-0430</t>
  </si>
  <si>
    <t>IMPROVEMENT OF ROAD CONCRETING</t>
  </si>
  <si>
    <t>AYUDA PARA SA PWD &amp; SENIOR CITIZENS</t>
  </si>
  <si>
    <t>SUPPLY AND DELIVERY OF AIR RELEASE VALVE 1"</t>
  </si>
  <si>
    <t>Purchase/Delivery of Educational Materials for ECCD Books - LGU, Umingan, Pangasinan.</t>
  </si>
  <si>
    <t>70.	Construction of Two (2) Storey Four (4) Classroom HIM Type School Building at Abung ES, Brgy. Abung, San Juan, Batangas</t>
  </si>
  <si>
    <t>Omeprazole 40 mg Capsule 100's</t>
  </si>
  <si>
    <t>( PR NO. 20-08-05A-0055 SUPPLY AND DELIVERY OF 20 pcs Storage Battery 12 Volts-25 plates with battery solution)</t>
  </si>
  <si>
    <t>To Support The Logistical Requirements of OG7,1ID,PA</t>
  </si>
  <si>
    <t>PURCHASE AND DELIVERY OF OTHER SUPPLIES AND MATERIALS FOR MALUNGON MUNICIPAL HOSPITAL</t>
  </si>
  <si>
    <t>To Support The Logistical Requirements of 55IB,1ID,PA</t>
  </si>
  <si>
    <t>Procurement of construction materials for Construction of 1 Classroom Bldg. Phase 1 at Little Tadian ES Ext. (Tagumpay)</t>
  </si>
  <si>
    <t>72.	Construction of Early Childhood Care and Development Center at Capitol Complex, Brgy. Kumintang Ibaba, Batangas City</t>
  </si>
  <si>
    <t>Various Drugs &amp; Medicines</t>
  </si>
  <si>
    <t>Procurement of Chicken Breast and Beef Lean</t>
  </si>
  <si>
    <t>CONSTRUCTION OF PATHWAY (PHASE I) LOCATED AT SAN ANTONIO, AGOO, LA UNION</t>
  </si>
  <si>
    <t>Supply and Delivery of Equipment’s for the College of Agriculture PRMC Campus</t>
  </si>
  <si>
    <t>Supply and delivery of spare parts and supplies for municipal vehicles</t>
  </si>
  <si>
    <t>REQUEST FOR QUOTATION FOR THE  PROCUREMENT 5.56 MM AMMUNITION</t>
  </si>
  <si>
    <t>IMPROVEMENT OF SCHOOL STAGE @ GACES, BRGY. DOPAJ</t>
  </si>
  <si>
    <t>19G00110 - Preventive Maintenance: Asphalt Overlay along Bacolod South Road, K0085+608-K0087+608, Kabankalan City, Negros Occidental</t>
  </si>
  <si>
    <t>Procurement of One (1) Lot Information and Communications Technology (ICT) Equipment for the Philippine National Police Directorate for Operations (PNP DO)- PNPTR-DO-DP-20-08</t>
  </si>
  <si>
    <t>Construction of Public Market (Phase 2)</t>
  </si>
  <si>
    <t>19G00111 - Preventive Maintenance of Road: Asphalt Overlay –Bacolod South Road – K0011+000-K0012+000, K0014+000-K0015+956, K0016+000-K0018+000, K0018+221-K0018+653</t>
  </si>
  <si>
    <t>Revamp of Electrical &amp; New Window of Sports  Bldg., La Carlota North Elem. School, LCC</t>
  </si>
  <si>
    <t>LABOR AND MATERIALS FOR THE RENOVATION OF CHOCOLATE HILLS KITCHEN AT CHOCOLATE HILLS COMPLEX, BUENOS AIRES, CARMEN, BOHOL(re-bidding)</t>
  </si>
  <si>
    <t>1 pc. Piston</t>
  </si>
  <si>
    <t>Construction/Improvement of Road Network &amp; Facilities (63.00 ln.m.)@ Quezon St, Camunggay Road, Pob.North</t>
  </si>
  <si>
    <t>30 pcs Marine Plywood 1/4" x 4' x 8' {local)		 &amp; etc. for use  use at Maintenance Section of NOPH (N-686-2020)</t>
  </si>
  <si>
    <t>69.	Construction of HIM Type Open Classroom Building at Macalamcam A ES, Brgy. Macalamcam A, Rosario, Batangas</t>
  </si>
  <si>
    <t>SUPPLY &amp; DELIVERY OF CONSTRUCTION MATERIALS FOR THE PROPOSED CONSTRUCTION OF TIPC PERIMETER FENCE &amp; FIRE ESCAPE LADDER AT TOURISM &amp; INVESTMENT PROMOTION BLDG.</t>
  </si>
  <si>
    <t>CONCRETING OF BARANGAY ROAD</t>
  </si>
  <si>
    <t>SUPPLY AND DELIVERY OF VARIOUS CONSTRUCTION MATERIALS  FOR THE CONCRETE PAVING OF ROADS</t>
  </si>
  <si>
    <t>(NVPH) 2nd REQUEST FOR QUOTATION (RFQ) For the Procurement of Laboratory Supplies</t>
  </si>
  <si>
    <t>Repair/ Maintenance Ravelled Areas Along Carmen Junction-Manat Road, Rosales and Bautista Section</t>
  </si>
  <si>
    <t>Installation of Internet Connection for 24 Elementary Schools &amp; 6 National High Schools - Pilar, Capiz</t>
  </si>
  <si>
    <t>Request For Quotation for Office Supplies</t>
  </si>
  <si>
    <t>Re-gravelling of Barangay Roads</t>
  </si>
  <si>
    <t>20M00081- Repair/Maintenance of DPWH Building Apopong Weighbridge Station Building, General Santos City</t>
  </si>
  <si>
    <t>REPRODUCTION OF LEARNING MODULES</t>
  </si>
  <si>
    <t>Supply and Delivery of Equipment’s for the Development of an In-House Learning Management System</t>
  </si>
  <si>
    <t>Supply, Delivery, Installation and Configuration of the Subscription License for the Enterprise Microservices Development and Deployment Platform Component of the TradeNet Technology Stack</t>
  </si>
  <si>
    <t>Construction of Government Building Perimeter Fence in Bondoc Ville, Sto. Niño (Sapa)</t>
  </si>
  <si>
    <t>Acquisition Of MDRRMO</t>
  </si>
  <si>
    <t>FURNISHING AND DELIVERY OF PRINTERS AND COPIERS FOR REPRODUCTION OF MODULES/LEARNING ACTIVITY SHEETS (LAS) FOR LEARNERS</t>
  </si>
  <si>
    <t>IPG No.: 20-07-0008 Purchase/Rental of Service Vehicle, Planning and Design Section, DPWH-Bohol III DEO</t>
  </si>
  <si>
    <t>CONSTRUCTION OF STA. BARBARA NATIONAL HIGH SCHOOL MULTI-PURPOSE BUILDING</t>
  </si>
  <si>
    <t>73.	Rehabilitation/Improvement/Upgrading of Lalayat, San Jose - Bungahan, Cuenca - Pinagkurusan, Alitagtag - Gelerang Kawayan, San Pascual, Bauan Provincial Road (Phase IV), San Pascual, Batangas</t>
  </si>
  <si>
    <t>Digital Event Production, PR, Marketing and Branding Service for DTI 7 online Programs-32 sessions of Digital Conference, Trainings and Workshops</t>
  </si>
  <si>
    <t>74.	Rehabilitation/Improvement/Upgrading of Poblacion, Rosario - Mahanadiong, Taysan - Poblacion - Dagatan, Taysan Road, Rosario - Taysan, Batangas (Phase III)</t>
  </si>
  <si>
    <t>Procurement of construction materials for Rehabilitation of Drainage at Buminaang Residence, Sta. Maria</t>
  </si>
  <si>
    <t>Meals &amp; Snacks for 3 days,Notebook,Ballpen,Plastic Envelope Long</t>
  </si>
  <si>
    <t>CONCRETING OF ROAD AT SITIO DE VICTORIA @ STA. MARIA</t>
  </si>
  <si>
    <t>Cotrimoxazole (Sulfamethoxazole + Trimethoprim) 800 mg+160 mg Tablet 100's</t>
  </si>
  <si>
    <t>CDRRMO- MEDICAL SUPPLIES TO BE USED FOR EMERGENCIES</t>
  </si>
  <si>
    <t>20GDD0001 Repair/ Maintenance of Road Safety Facilities (Supply and Delivery of Road Signs) along Various National Roads</t>
  </si>
  <si>
    <t>SUPPLY AND DELIVERY OF VARIOUS MATERIALS TO BE USED FOR SAN ROQUE WELL 2 DISCHARGE LINE, PIPELINE, EXISTING LINE TO RESERVOIR/CLARIFIER AND SIX INTERCONNECTION POINT AT SAN ROQUE, TALIBON, BOHOL</t>
  </si>
  <si>
    <t>Maramag II District Materials for Modules Printing</t>
  </si>
  <si>
    <t>Concreting of Barangay Road (L=82, W=4.0, Thk-0.15) - Brgy Canlangit</t>
  </si>
  <si>
    <t>PR# 20-0904- 2 units Brand New Barge (RE-BIDDING)</t>
  </si>
  <si>
    <t>Re-bid: Purchase of Supplies and Materials needed for Evacuation Center - MDRRMO</t>
  </si>
  <si>
    <t>PR. No: 20-07-0082 Supply and Delivery of Common Office Supplies, Maintenance Section, DPWH-Bohol III DEO</t>
  </si>
  <si>
    <t>PURCHASE AND DELIVERY OF VARIOUS OF OFFICE SUPPLIES FOR MALUNGON MUNICIPAL HOSPITAL</t>
  </si>
  <si>
    <t>Supply and Delivery of Materials for the Completion of Sanctuary Shelter</t>
  </si>
  <si>
    <t>Completion of Evacuation Center</t>
  </si>
  <si>
    <t>Request for Ouotation-Medical Supplies</t>
  </si>
  <si>
    <t>Bond Paper,Signpen,Ballpen,Bond Paper Long,etc....</t>
  </si>
  <si>
    <t>Supply and Delivery of UEP-PRMC College of Criminology Laboratory Equipments</t>
  </si>
  <si>
    <t>75.	Construction of Street Lighting System at Brgy. San Isidro, San Luis, Batangas</t>
  </si>
  <si>
    <t>PURCHASE OF NEW BORN SCREENING KITS</t>
  </si>
  <si>
    <t>CONSTRUCTION OF CANAL SLOPE PROTECTION LOCATED AT AMBITACAY, AGOO, LA UNION</t>
  </si>
  <si>
    <t>1 LOT OFFICE EQUIPMENT</t>
  </si>
  <si>
    <t>CONSTRUCTION OF SCHOOL CANTEEN AT STA. CATALINA BATA HIGH SCHOOL</t>
  </si>
  <si>
    <t>CONSTRUCTION OF MATERIALS RECOVERY FACILITY</t>
  </si>
  <si>
    <t>( PR NO. 20-07-07-0250 SUPPLY AND DELIVERY OF 34 m³ Washed Sand,  36 m³Crushed Gravel 3/4")</t>
  </si>
  <si>
    <t>REHABILITATION/CONCRETING OF MUNICIPAL ROAD</t>
  </si>
  <si>
    <t>PROCUREMENT OF THREE (3) UNITS MOTORCYCLE FOR TREASURER'S OFFICE, ENGINEERING OFFICE AND WATER WORKS</t>
  </si>
  <si>
    <t>76.	Construction of Two (2) Storey Eight (8) Classroom HIM Type School Building at Bilaran ES, Brgy. Bilaran, Nasugbu, Batangas</t>
  </si>
  <si>
    <t>PURCHASE AND DELIVERY OF OTHER MACHINERY AND EQUIPMENT FOR GLAN MEDICARE COMMUNITY HOSPITAL</t>
  </si>
  <si>
    <t>CIS MLGU COUNTERPART TO ARISP lll PROJECT @ SITIO ONKAY, BRGY. DOPAJ</t>
  </si>
  <si>
    <t>77.	Construction of Two (2) Storey Four (4) Classroom HIM Type School Building at Lumbangan ES, Brgy. Lumbangan, Rosario, Batangas</t>
  </si>
  <si>
    <t>PURCHASE OF WATERPUMP TANK &amp; AIRCON SPLIT TYPE</t>
  </si>
  <si>
    <t>Procurement of School Supplies, Medical supplies and other supplies for structures and repair</t>
  </si>
  <si>
    <t>Various Laboratory Supplies</t>
  </si>
  <si>
    <t>DEVELOPMENT OF CDA ONLINE LEARNING FACILITY FOR PRE-REGISTRATION SEMINAR (PRS)</t>
  </si>
  <si>
    <t>Repair of Ceiling, Doors, Lightings, Walls and  Repainting of SP Interior Building, SP Office,LCC</t>
  </si>
  <si>
    <t>Installation of Light for Covered Court</t>
  </si>
  <si>
    <t>Purchase/Delivery of Educational Materials for Grades 1 &amp; 2 Books - LGU, Umingan, Pangasinan.</t>
  </si>
  <si>
    <t>Health Care and Development Center</t>
  </si>
  <si>
    <t>Purchase of Common Use Office Supplies for LGU-Guinsiliban</t>
  </si>
  <si>
    <t>Construction of Composting Area, Municipal Landfill, Maoasoas Norte, Pugo, La Union</t>
  </si>
  <si>
    <t>Purchase of Additional Tablet Devices for City School Division of Bacoor Blended Learning Program - CSDO</t>
  </si>
  <si>
    <t>PR. No: 20-07-0093 Supply and Delivery of Common Office Supplies, Planning and Design Section, DPWH-Bohol III DEO</t>
  </si>
  <si>
    <t>CMO- TARPAULIN FOR COVID-19 (3RD AND 4TH QUARTER 2020)</t>
  </si>
  <si>
    <t>PROCUREMENT OF OFFICE SUPPLIES AND EQUIPMENT</t>
  </si>
  <si>
    <t>PROCUREMENT OF ONE (1) UNIT MOTORCYCLE FOR PNP USE</t>
  </si>
  <si>
    <t>PURCHASE OF MEDICAL &amp; LABORATORY SUPPLIES</t>
  </si>
  <si>
    <t>Supply and Delivery of Medical and Other Supplies to be used by Frontliners and Employees of the Municipality of Naujan, Oriental Mindoro</t>
  </si>
  <si>
    <t>MEALS AND SNACKS FOR VARIOUS TRAINING UNDER CRFPSP</t>
  </si>
  <si>
    <t>BALAI SILANGAN REHABILITATION FOR COVID-19 ISOLATION FACILITY AT  PILAR, SORSOGON</t>
  </si>
  <si>
    <t>IMPROVEMENT OF PANABINGAN ELEMENTARY SCHOOL MULTI-PURPOSE BUILDING</t>
  </si>
  <si>
    <t>Annual Cleaning and Preventive Maintenance</t>
  </si>
  <si>
    <t>Construction/Development of Covered Court with Holding Area, Stage, Dressing Room &amp; Bleacher at Ozamiz City National High School (OCNHS), OCNHS Compound, Ozamiz City</t>
  </si>
  <si>
    <t>Procurement of Office Supply (Mayor's Office)</t>
  </si>
  <si>
    <t>Procurement of Fish for the use at Dietary Section</t>
  </si>
  <si>
    <t>CONSTRUCTION OF SCHOOL CANTEEN AT AKLE HIGH SCHOOL</t>
  </si>
  <si>
    <t>Request For Quotation</t>
  </si>
  <si>
    <t>Rental of Bulldozer</t>
  </si>
  <si>
    <t>Procurement of Manpower Services for Bagac Property</t>
  </si>
  <si>
    <t>Supply and Delivery of Office/School Supplies (Camalig ES)</t>
  </si>
  <si>
    <t>78.	Construction of Two (2) Storey Four (4)  Classroom HIM Type School Building at Don Leon Mercado SR MNHS, Brgy. Mabalanoy, San Juan, Batangas</t>
  </si>
  <si>
    <t>Purchase of Laptop for Teachers on Different Schools in the City School Division of Bacoor - CSDO</t>
  </si>
  <si>
    <t>Purchase/Delivery of Ten (10) Units Laptop for SB Members - LGU, Umingan, Pangasinan.</t>
  </si>
  <si>
    <t>CONCRETING OF BARANGAY ROAD LOCATED AT STA RITA EAST, AGOO, LA UNION</t>
  </si>
  <si>
    <t>( PR NO. 20-08-08-0061 SUPPLY AND DELIVERY OF 20 btls Chlorine Reagent CI2-1, 10 btls Chlorine Reagent CI2-2)</t>
  </si>
  <si>
    <t>CMO- MATERIALS FOR THE CONSTRUCTION OF PERIMETER FENCE AT PINATILAN ELEMENTARY SCHOOL</t>
  </si>
  <si>
    <t>Various Office Supplies</t>
  </si>
  <si>
    <t>1 LOT IMPROVEMENT/REPAIR OF 3 UNITS LNU GATE</t>
  </si>
  <si>
    <t>PURCHASE OF AIRCONDITIONING UNIT</t>
  </si>
  <si>
    <t>Construction of Farmer's Irrigation Cum Pathway, Poblacion West, Pugo, La Union</t>
  </si>
  <si>
    <t>chain Block 2 tonner good quality &amp; etc. for the use at Transport section	 of NOPH (N-683-2020)</t>
  </si>
  <si>
    <t>PURCHASE AND DELIVERY OF MEALS AND SNACKS FOR PGO-GAD</t>
  </si>
  <si>
    <t>Re-Bidding of Transformer for Water Pump at Eco Park Main Water Pump Station</t>
  </si>
  <si>
    <t>20GDB0044 Purchase of Geotagging Device for Multi-Year Planning and Scheduling (MYPS) Application and Validation Survey and Infratrack Application</t>
  </si>
  <si>
    <t>RENOVATION OF DAYCARE CENTER AT BARANGAY CALASAG</t>
  </si>
  <si>
    <t>Supply, Delivery, and Installation of one (1) 3TR Air-Conditioning Unit to be used at the Cashier's Office, DHVSU, Bacolor, Pampanga.</t>
  </si>
  <si>
    <t>CMO- MEALS &amp; SNACKS FOR THE MEETINGS, FORA &amp; PRESS CONFERENCES/ BRIEFING RELATED TO COVID-19 (4TH QUARTER)</t>
  </si>
  <si>
    <t>Supply, Delivery and Installation of Giant Industrial Fan</t>
  </si>
  <si>
    <t>Procurement of Non-Food Items ( Family Hygiene and Sanitation Kit)</t>
  </si>
  <si>
    <t>Construction of Drainage at Bakhaw Sur, Kalibo, Aklan (to Drainage Outlet)</t>
  </si>
  <si>
    <t>Purchase of Office Equipments, Supplies and Consumables for Ubay 3</t>
  </si>
  <si>
    <t>BRASS BALL VALVE 1/2" &amp; BRASS ANGLE VALVE 3/4"</t>
  </si>
  <si>
    <t>Geotechnical Exploration Survey for the Construction/Replacement/Widening of Proposed Bridges and Flood Control Projects within the Jurisdiction of Pampanga 3rd District Engineering Office for CY 2021</t>
  </si>
  <si>
    <t>PR# 20-0833- Supply and delivery of office furniture</t>
  </si>
  <si>
    <t>PURCHASE AND DELIVERY OF MEALS AND SNACKS FOR PGO-SULONG</t>
  </si>
  <si>
    <t>HW-2020-08-0324 : PURCHASE OF SERVICE FOR HOUSEPARENT, COOK AND LAUNDRESS ASSIGN AT HOME FOR WOMEN</t>
  </si>
  <si>
    <t>Procurement of Supply, Delivery, Testing and Commissioning of VIDEO LARYNGOSCOPE</t>
  </si>
  <si>
    <t>Purchase of USB Flash Drive for the Teachers Using as File Storage on Various School Division of Bacoor - CSDO</t>
  </si>
  <si>
    <t>Supply and Delivery of Monoblocks for the use of Nuestra Señora De Piat District Hospital</t>
  </si>
  <si>
    <t>Supply and Delivery of Chicken and Ducks for Support to Poultry Growers of Bislig</t>
  </si>
  <si>
    <t>SELF - SKILLS ENHANCEMENT AND LEADERSHIP FORMATION - LIVELIHOOD</t>
  </si>
  <si>
    <t>5 pcs Outer Casing 265/T5R16 for the use of PHO Tech Div. Dumaguete City 	 (N-687-2020)</t>
  </si>
  <si>
    <t>Purchase of Narra Seedlings</t>
  </si>
  <si>
    <t>20-08-1074 - Provision of security services for DSWD FO VIII Extension Office- PPD.</t>
  </si>
  <si>
    <t>PROCUREMENT OF INFORMATION TECHNOLOGY (IT) EQUIPMENT</t>
  </si>
  <si>
    <t>4WD MULTICAB MANUAL 5SPEED for BFP</t>
  </si>
  <si>
    <t>PURCHASE OF VARIOUS LABORATORY SUPPLIES &amp; EQUIPMENTS</t>
  </si>
  <si>
    <t>1 Lot Diesel Fuel 	For Government Vehicles use ( PGSO )	 (N-696-2020)</t>
  </si>
  <si>
    <t>PURCHASEA AND DELIVERY OF MEALS WITH ACCOMMODATION FOR PGO-GAD</t>
  </si>
  <si>
    <t>for i solation center-covid 19</t>
  </si>
  <si>
    <t>Clutch Pressure		 &amp; etc. to be used in the Maintenance of Various Government Vehicles Assigned in the office of the Provincial Agriculturist		(N-682-2020)</t>
  </si>
  <si>
    <t>2020-08-223</t>
  </si>
  <si>
    <t>Construction of Sitio Sigkop, Brgy. Bagsik – Brgy. Camili FMR, Brgy. Bagsik, Alcantara, Romblon</t>
  </si>
  <si>
    <t>READY MIX CONCRETE 3000 PSI (INCLUDES PROVISION OF PUMPCRETE) 14 Days Strength, 3/4" Course Aggregates Size, 6" Slump</t>
  </si>
  <si>
    <t>UPGRADING OF DRYING FACILITY FOR SEAWEEDS - PERMANENT SEAWEEDS DRYER</t>
  </si>
  <si>
    <t>Supply and Delivery of Supplies for UEP Registrars Office</t>
  </si>
  <si>
    <t>CMO- MEALS &amp; SNACKS W/ VENUE FOR THE REGULAR MONTHLY MEETING OF CPOC AND CADAC FOR THE MONTH OF AUG-SEPT 2020</t>
  </si>
  <si>
    <t>Rehab of Guimbal Roads (Including Sidewalks and Drainage System)</t>
  </si>
  <si>
    <t>Construction/Development of Oval Track at OCNHS Compound, Ozamiz City</t>
  </si>
  <si>
    <t>MEDICINE SUPPLIES</t>
  </si>
  <si>
    <t>Construction of concreting cemetery road-20% DF 2019</t>
  </si>
  <si>
    <t>71 Assorted Trophies Small	&amp; etc. for the use in the Governer  of the Governor	 (N-690-2020)</t>
  </si>
  <si>
    <t>PIKCOT-002020-0022 (SUPPLY AND DELIVERY OF MUSCOVY DUCK)</t>
  </si>
  <si>
    <t>Construction of "Negosyo Center" Building</t>
  </si>
  <si>
    <t>Clopidogrel 75 mg Tablet 100's</t>
  </si>
  <si>
    <t>Cont. Ref. No. 105-20-20: Re-Construction of Footbridge at Calhorr, Virac located at Virac, Itogon, Benguet</t>
  </si>
  <si>
    <t>Fabrication of Tissue Culture Rack</t>
  </si>
  <si>
    <t>Construction of Flood Control @ Zone IIII Barangay Lonoy, Kananga, Leyte</t>
  </si>
  <si>
    <t>Rehabilitation of Barangay Hall</t>
  </si>
  <si>
    <t>PROCUREMENT OF FOOD STUFF FOR SUPPLEMENTAL FEEDING PROGRAM</t>
  </si>
  <si>
    <t>Fabrication and installation of panaflex signages on eight (8) SSF projects on NWSSU, BNHS, BIS, APCAT, CARFA, BANIG, SOLOFA and Legaspi-Veloso Furniture Makers Asso.</t>
  </si>
  <si>
    <t>INVITATION TO BID FOR PROCUREMENT OF MULTICOPY PAPERS AND PRINTER INKS FOR UTILIZATION PLAN FOR THE IMPLEMENTATION OF THE BASIC EDUCATION LEARNING CONTINUITY PLAN (LCP)</t>
  </si>
  <si>
    <t>SUPPLY AND DELIVERY OF I.T SUPPLIES</t>
  </si>
  <si>
    <t>(PROCEDE) Procurement of 1 unit Photocopier For the Provincial Cooperative &amp; Enterprise Development Office--150,000.00</t>
  </si>
  <si>
    <t>Installation of Street Lighting System along the bridge</t>
  </si>
  <si>
    <t>PURCHASE AND DELIVERY OF DRUGS AND MEDICINES FOR GMCH</t>
  </si>
  <si>
    <t>Construction for the Improvement of Germplasm Coldroom (Research Building)at PhilRice Midsayap</t>
  </si>
  <si>
    <t>20HA0130 (Re-Ad) - CONSTRUCTION OF CATIGBIAN WATER SUPPLY, CATIGBIAN, BOHOL</t>
  </si>
  <si>
    <t>Proposed   Improvement/ Maintenance of Public Mall (Dried &amp; Wet Section)</t>
  </si>
  <si>
    <t>Supplies for modules, Learning Materials and reports of Lubas Elementary School</t>
  </si>
  <si>
    <t>Rehabilitation/Improvement of Multi Purpose Hall Evacuation Center</t>
  </si>
  <si>
    <t>SELF - SKILLS ENHANCEMENT AND LEADERSHIP FORMATION - PUBLIC INFORMATION</t>
  </si>
  <si>
    <t>CONSTRUCTION OF LED STREETLIGHTS</t>
  </si>
  <si>
    <t>Purchase of Books (CGS)</t>
  </si>
  <si>
    <t>Supply and Delivery of Sports Shoes</t>
  </si>
  <si>
    <t>Purchase Request for Auditors Office laptop use.</t>
  </si>
  <si>
    <t>Small Value Procurement - Procurement of Genuine HP Toners</t>
  </si>
  <si>
    <t>SUPPLY AND DELIVERY OF ASSORTED CONSTRUCTION MATERIALS FOR THE CONSTRUCTION OF BARANGAY MULTI PURPOSE HALL PHASE III OF BARANGAY SAN ISIDRO,SIBAGAT,AGUSAN DEL SUR</t>
  </si>
  <si>
    <t>Supply and Delivery of Goats for Support to Livestock Growers of Bislig</t>
  </si>
  <si>
    <t>Supply and delivery of various commodities for the children beneficiaries of Supplementary Feeding Program of the Municipality of Tubao, La Union</t>
  </si>
  <si>
    <t>Rehabilitation/Concreting of Municipal Streets</t>
  </si>
  <si>
    <t>Celecoxib 200 mg Capsule 100's</t>
  </si>
  <si>
    <t>Procurement of Citation Ticket</t>
  </si>
  <si>
    <t>20DI0161 - Repair/Maintenance of DPWH Building, Area Equipment Services Building , Los Baños, Laguna</t>
  </si>
  <si>
    <t>Catering Services for the Conduct of RTR Farmers Congress and Launching of Dedicated and Committed Administration (DCA) Farm</t>
  </si>
  <si>
    <t>DARF02.QES.115.20-08-060 I.T. EQUIPMENTS</t>
  </si>
  <si>
    <t>CONSTRUCTION &amp; REHABILITATION OF MULTI-PURPOSE HALL, BRGY. NAM-O SUR MIAGAO</t>
  </si>
  <si>
    <t>Purchase of Chemicals and Reagents_Garlic Tissue</t>
  </si>
  <si>
    <t>Hauling Services of Waste Disposal for the Month of August 2020</t>
  </si>
  <si>
    <t>Cont. Ref. No. 106-20: Rehabilitation of Footpath White Fence, Ucab, Itogon. Benguet</t>
  </si>
  <si>
    <t>PR-2020-08-0044 - Procurement of Office Supplies for use by DPWH Zambales DEO, Castillejos, Zambales</t>
  </si>
  <si>
    <t>Construction of River/Flood Control-Sitio San Jose, Mabini, Caramoran, Catanduanes</t>
  </si>
  <si>
    <t>20DI0160 - Repair/ Maintenance of DENR Building, CENRO – Records Building, Brgy. Lalakay, Los Baños, Laguna</t>
  </si>
  <si>
    <t>PURCHASE AND DELIVERY OF DRUGS AND MEDICINES FOR DCMMH</t>
  </si>
  <si>
    <t>Supply and Delivery of Brand New D65 Bulldozer</t>
  </si>
  <si>
    <t>PREVENTIVE MAINTENANCE OF ICT EQUIPMENTS IN REGIONAL FIELD OFFICE 12</t>
  </si>
  <si>
    <t>ASSORTED ORNAMENTAL PLANTS &amp; SEED</t>
  </si>
  <si>
    <t>Construction of Canopy at CEZ Corral Office</t>
  </si>
  <si>
    <t>Supply and delivery of various commodities for the children beneficiaries of Supplementary Feeding Program of the Municipality of Sudipen, La Union</t>
  </si>
  <si>
    <t>Procurement of One (1) Set Lambaklad for Tampugo Baklad Fishermen’s Association, Tagudin, Ilocos Sur</t>
  </si>
  <si>
    <t>Local Access Road-Upgrading of Toytoy Barangay Road-Toytoy, Caramoran, Catanduanes</t>
  </si>
  <si>
    <t>PURCHASE AND DELIVERY OF OTHER SUPPLIES AND MATERIALS FOR CLIMATE CHANGE OFFICE</t>
  </si>
  <si>
    <t>Supply and Delivery of Radio and Accessories for Implementation and Monitoring of Marine Protected Area</t>
  </si>
  <si>
    <t>Road Development Program</t>
  </si>
  <si>
    <t>Cloxacillin (as Sodium) 500 mg Capsule 100's</t>
  </si>
  <si>
    <t>Plumbing materials for maintenance repair installation of new service connec</t>
  </si>
  <si>
    <t>PROPOSED SCHOOL IMPROVEMENT</t>
  </si>
  <si>
    <t>Acquisition of Equipment for Techno-Gabay Program</t>
  </si>
  <si>
    <t>20DI0162 - Repair/ Maintenance of DND Building MESS Hall Building Camp Gen. Macario Sakay , Los Baños, Laguna</t>
  </si>
  <si>
    <t>PROCUREMENT OF AGRICULTURAL SUPPLIES</t>
  </si>
  <si>
    <t>PROCUREMENT OF OFFICE SUPPLIES &amp; MATERIALS FOR USE IN THE OFFICE OF THE COMELEC</t>
  </si>
  <si>
    <t>Supply and Delivery of Construction materials for the Improvement of SB office and Sesion Hall</t>
  </si>
  <si>
    <t>Supply and Delivery of Agricultural Supplies for COAFC Project</t>
  </si>
  <si>
    <t>Catering Services for the Conduct of Stress De-briefing for Frontliners</t>
  </si>
  <si>
    <t>Supply/Delivery of Office Supplies for the use at Regional Office V, Naga City</t>
  </si>
  <si>
    <t>CSR SUPPLIES (PR#20-08-70610)</t>
  </si>
  <si>
    <t>Concreting of Rambutan St. (from Sampaloc - Acasia St. &amp; from Jasmin to Ilang-ilang St.) Poblacion</t>
  </si>
  <si>
    <t>Concreting of Cadena de Amor St. (from Mango - Narra Ave.., Poblacion Carmen, Cotabato</t>
  </si>
  <si>
    <t>Purchase of Laboratory Glasswares_Garlic Tissue</t>
  </si>
  <si>
    <t>SUPPLY AND DELIVERY OF IT EQUIPMENT AND ACCESSORIES FOR VARIOUS OFFICES - 2ND BIDDING</t>
  </si>
  <si>
    <t>PURCHASE OF SAFETY AND PROTECTION KIT FOR BARANGAY FRONTLINERS AT MINGLANILLA, CEBU</t>
  </si>
  <si>
    <t>ANTI-VIRUS WITH ENDPOINT PROTECTION</t>
  </si>
  <si>
    <t>Re-Bidding for the Construction Installation of Railings Foot Bridge Barangay Pampango</t>
  </si>
  <si>
    <t>CONSTRUCTION AND DEVELOPMENT OF SANITARY LANDFILL (PHASE I)</t>
  </si>
  <si>
    <t>PURCHASE COMPUTER AND PRINTER</t>
  </si>
  <si>
    <t>LIVESTOCK PROJECT FOR CRFPSP</t>
  </si>
  <si>
    <t>Catering Services</t>
  </si>
  <si>
    <t>Procurement of Office Equipment (8 units Inkjets 3 in 1 Printer)</t>
  </si>
  <si>
    <t>(DDH) Procurement of Office Supplies (Stamp Pad Ink, Cartolina, etc.) For the Dupax District Hospital--55,785.00</t>
  </si>
  <si>
    <t>FUEL</t>
  </si>
  <si>
    <t>Ciprofloxacin 500 mg Tablet 100's</t>
  </si>
  <si>
    <t>PRDP-RPCOXI-017-2020 Catering for I-REAP Activities for 3rd and 4th Qtr</t>
  </si>
  <si>
    <t>Improvement of multi purpose hall/evacuation center</t>
  </si>
  <si>
    <t>PURCHASE AND DELIVERY OF 200 PIECES OF MONOBLOCK CHAIR FOR PGO-BAU</t>
  </si>
  <si>
    <t>20DI0163 - Repair/ Maintenance of DILG Building, Anti-Cybercrime Building Camp Vicente Lim , Calamba City, Laguna</t>
  </si>
  <si>
    <t>PROCUREMENT FOR THE SUPPLY AND DELIVERY OF SEVEN (7) UNITS OF FB VAN</t>
  </si>
  <si>
    <t>Purchase Request for Office Equipment used for Municipal Engineer of LGU-UPI.</t>
  </si>
  <si>
    <t>INVITATION TO BID FOR THE CONSTRUCITON OF LCOAL ROAD AT RAMOS STREET EAST, BRGY. POBLACION, LINGAYEN, PANGASINAN</t>
  </si>
  <si>
    <t>Concreting of Guijo St. (from Molave - Acascia St. &amp; from Orchid - Sampaguita Ave. &amp; Ilang-Ilang - JasminSt.</t>
  </si>
  <si>
    <t>CP 2020-59 BIDDING FOR THE SUPPLY AND DELIVERY OF TWO (2) UNITS DUMP TRUCK C/O GSO</t>
  </si>
  <si>
    <t>Amies 15 cm</t>
  </si>
  <si>
    <t>Concreting of Sitio Suong, Brgy. Tampayan FMR, Brgy. Tampayan, Magdiwang, Romblon</t>
  </si>
  <si>
    <t>PROCUREMENT OF TRAINING VENUE, MEALS AND ACCOMMODATION FOR THE CONDUCT OF TOURISM AWARENESS SEMINAR, PRODUCT DEVELOPMENT AND TOURISM CIRCUIT DEVELOPMENT FOR THE PROVINCE OF CAMARINES NORTE ON SEPTEMBE</t>
  </si>
  <si>
    <t>Supply Professional Medical Services and Materials needed for the Conduct the CoVID-19 Confirmatory Testing (RT-PCR)</t>
  </si>
  <si>
    <t>RFQ No. 20-08-028 Medical Supplies and Laboratory Instrument</t>
  </si>
  <si>
    <t>SDH-20-0988-B FREEZER</t>
  </si>
  <si>
    <t>PURCHASE OF MANUAL CONCRETE MIXER MACHINE</t>
  </si>
  <si>
    <t>PURCHASE AND DELIVERY OF VEHICLE PARTS FOR PGO-IAU</t>
  </si>
  <si>
    <t>Construction of Concrete Fence @ Sanitary Land Fill, Tacupan, Carmen, Cotabato</t>
  </si>
  <si>
    <t>CSR SUPPLIES (PR#20-07-70703)</t>
  </si>
  <si>
    <t>Portable External Hard Drive 2TB</t>
  </si>
  <si>
    <t>Procurement of Photocopier Machine for ECCD of LGU-Naga</t>
  </si>
  <si>
    <t>Request for Quotation (CAD-2020-08-0363 Ink)</t>
  </si>
  <si>
    <t>Publication No. 39-2020- G (Second Publication) BRAND NEW LIGHT TRUCK</t>
  </si>
  <si>
    <t>BAR20-07-03-0047 Supply and Delivery of Office Equipment.</t>
  </si>
  <si>
    <t>CP 2020-60 BIDDING FOR THE SUPPLY AND DELIVERY OF THERMOPLASTIC PAINTS C/O CEO</t>
  </si>
  <si>
    <t>NTH-20-0810-B GENERATING SET WITH ATS</t>
  </si>
  <si>
    <t>PURCHASE AND DELIVER OF MEDICAL EQUIPMENT AND LABORATORY INSTRUMENT FOR SARANGANI MEDICDAL CENTER</t>
  </si>
  <si>
    <t>INVITATION TO BID FOR THE PROCUREMENT OF HEALTH CARE SUPPLIES FOR KINDERGARTEN TO GRADE VI LEARNERS (SDHCP 2020)</t>
  </si>
  <si>
    <t>ISOLATION DELIVERY ROOM AND O.B. COMPLEX DOFFING AREA</t>
  </si>
  <si>
    <t>RFQ for PR No. 2020-08-0018 - Procurement of Tires for Service Vehicle, Nissan Navarra, Conduction Sticker No. F0 G395  DPWH No. H1-6809</t>
  </si>
  <si>
    <t>SDH-20-0960-B MEDICAL EQUIPMENT</t>
  </si>
  <si>
    <t>Supply and Delivery of Piglet for Swine Fattening Project for BCVHWA</t>
  </si>
  <si>
    <t>RFQ Laboratory Equipment</t>
  </si>
  <si>
    <t>MEDICAL SUPPLIES (PR#20-08-70741)</t>
  </si>
  <si>
    <t>2020-08-0061-Distribution Transformer 37.5 kva</t>
  </si>
  <si>
    <t>Overseas Filipino Bank (Supply and Delivery of Systems Furniture)</t>
  </si>
  <si>
    <t>Publication No. 41-2020- G (First Publication) THREE (3) UNITS BRAND NEW AMBULANCE</t>
  </si>
  <si>
    <t>CP 2020-61 BIDDING FOR THE SUPPLY AND DELIVERY OF SURVEYING EQUIPMENT AND SOFTWARE C/O CEO</t>
  </si>
  <si>
    <t>Request for Quotation (CAD-2020-08-0364 Cellcard)</t>
  </si>
  <si>
    <t>Meals &amp; Snacks</t>
  </si>
  <si>
    <t>PURCHASE AND DELIVERY OF PLANTS AND TREES (SUPPORT TO FOREST REHABILITATION PROJECT) AT CABARROGUIS</t>
  </si>
  <si>
    <t>EMERGENCY EMPLOYMENT PROGRAM (COVID BAHAY PATROLLERS) - OTHER SUPPLIES - MAYOR'S OFFICE</t>
  </si>
  <si>
    <t>RFQ-GS-20200721-04 - 1 Lot Supply, Delivery,  Installation &amp; Dismantling of Office Furnit ure at Various LANDBANK Branches</t>
  </si>
  <si>
    <t>Acquisition of Various Extension Support Services for Vegetables Techno-Demo &amp; Crops Production</t>
  </si>
  <si>
    <t>Publication No. 40-2020- G (Second Publication) BRAND NEW MERCY VAN</t>
  </si>
  <si>
    <t>SELF - SKILLS ENHANCEMENT AND LEADERSHIP FORMATION - ARTS, CULTURE AND TOURISM</t>
  </si>
  <si>
    <t>Purchase of various office supplies and janitorial supplies for use of the Municipality of Dingras, Ilocos Norte</t>
  </si>
  <si>
    <t>Shredder Machine</t>
  </si>
  <si>
    <t>20% BDF 2019</t>
  </si>
  <si>
    <t>ABG SPECIMEN COLLECTION DEVICE</t>
  </si>
  <si>
    <t>Supply and Delivery of Motorcycle Sidecar</t>
  </si>
  <si>
    <t>Publication No. 43-2020- G (First Publication) BRAND NEW DRILLING MACHINE</t>
  </si>
  <si>
    <t>Construction of Water system @ Zone IV Barangay Lonoy, Kananga, Leyte</t>
  </si>
  <si>
    <t>RE-BID PROCUREMENT AND SUPPLY OF IT SUPPLIES FOR VARIOUS DEPARTMENTS</t>
  </si>
  <si>
    <t>SDH-20-0959-B MEDICAL EQUIPMENT</t>
  </si>
  <si>
    <t>LOYALTY AWARD 2020.</t>
  </si>
  <si>
    <t>EMERGENCY EMPLOYMENT PROGRAM (COVID BAHAY PATROLLERS) - TSHIRTS - MAYOR'S OFFICE</t>
  </si>
  <si>
    <t>Purchase Medicines &amp; Supplies for CMH</t>
  </si>
  <si>
    <t>Supply and delivery of various commodities for the children beneficiaries of Supplementary Feeding Program of the Municipality of Caba, La Union</t>
  </si>
  <si>
    <t>VARIOUS OFFICE SUPPLIES FOR LTS &amp; DARAB</t>
  </si>
  <si>
    <t>BAR20-07-08-0057 Supply and Delivery of Office Equipment</t>
  </si>
  <si>
    <t>2020-08-0062-Mountain Shoes</t>
  </si>
  <si>
    <t>(PGSO) REQUEST FOR QUOTATION (RFQ)  For the Procurement of Construction Materials</t>
  </si>
  <si>
    <t>Supply and Delivery of Office and Device</t>
  </si>
  <si>
    <t>Publication No. 44-2020- G (First Publication) BRAND NEW GENERATOR SET, HEAVY DUTY</t>
  </si>
  <si>
    <t>Extension Phone</t>
  </si>
  <si>
    <t>RE-BID PROCUREMENT FOR THE SUPPLY AND DELIVERY OF VARIOUS SUPPLIES FOR 1ST AND 2ND QUARTER CY 2020 (2ND BATCH)</t>
  </si>
  <si>
    <t>SUPPLY AND DELIVERY OF MATERIALS FOR CONCRETING OF BARANGAY ROAD, BONBON LOWER, LOBOC, BOHOL</t>
  </si>
  <si>
    <t>TRIBUTE TO RETIREES 2020.</t>
  </si>
  <si>
    <t>(PPDO) REQUEST FOR QUOTATION (RFQ)  For the Procurement of 1 Unit Motor Vehicle/Service Vehicle (4x2) Brand New</t>
  </si>
  <si>
    <t>PROCUREMENT ON SUPPLY AND DELIVERY OF VARIOUS OFFICE SUPPLIES</t>
  </si>
  <si>
    <t>PROPOSED FARM TO MARKET ROAD CONCRETING</t>
  </si>
  <si>
    <t>RFQ - 20GCJ0064 -  Supply and Delivery of Asphalt Cement Penetration (Hot Asphalt) Grade 60/70 and Aggregate Surface Course, Grading D for Patching of Potholes, Sealing of Cracks, Joints along various</t>
  </si>
  <si>
    <t>PACKAGE 20-38:  REHABILITATION/RENOVATION OF MODERN ABATTOIR BUILDING</t>
  </si>
  <si>
    <t>Lot1-Construction of Slope Protection of Bridges Approach w/ concreting at Hacienda-Intal &amp; Asinga Via, Baggao, Cagayan</t>
  </si>
  <si>
    <t>LIQUIFIED PETROLEUM GAS (50KG PER TANK)</t>
  </si>
  <si>
    <t>PURCHASE AND DELIVERY OF CONSTRUCTION MATERIALS FOR VARIOUS ELEMENTARY SCHOOLS (29 SCHOOLS) WATER SYSTEM AND HANDWASHING FACILITIES AT CABARROGUIS</t>
  </si>
  <si>
    <t>Supply and Delivery of Agricultural Supplies for Seedlings, Processing Facilities and Other Farm Inputs Distribution</t>
  </si>
  <si>
    <t>Procurement of Various Medical Supplies and Accessories</t>
  </si>
  <si>
    <t>Purchase of Medical Supplies for CMH</t>
  </si>
  <si>
    <t>Concreting of Sitio Atras - Sitio Abante Road, Lilliongan, Carme</t>
  </si>
  <si>
    <t>RFQ-GS-20200806-01 - 1 Lot Supply, Delivery &amp; Installation of ATM &amp; CDM  Acrylic Frame Panels,  Signages &amp; ATM Sunshade at Five (5) LANDBANK Branches</t>
  </si>
  <si>
    <t>PURCHASE AND DELIVERY OF COMMON OFFICE SUPPLIES FOR DEP-ED CABARROGUIS DISTRICT, CABARROGUIS</t>
  </si>
  <si>
    <t>FENCING WITHIN THE BENGUET - KOCHI SISTERHOOD PARK, PAOAY, ATOK (PHASE III)</t>
  </si>
  <si>
    <t>Supply &amp; Delivery of Computer Equipment and Accessories for  the 3rd Quarter CY 2020</t>
  </si>
  <si>
    <t>Supply &amp; Delivery Of Airconditioning Repair Tools  At Legazpi Airport – 2nd SVP</t>
  </si>
  <si>
    <t>Procurement of 1-Unit Risograph Printing Machine for Valderrama National High School (VNHS)</t>
  </si>
  <si>
    <t>Publication No. 42-2020- G (First Publication) BRAND NEW SPORTS UTILITY VEHICLE (SUV) 4x2</t>
  </si>
  <si>
    <t>CSR SUPPLIES (PR#20-08-70758)</t>
  </si>
  <si>
    <t>Publication No. 45-2020- G (First Publication) COMMON OFFICE SUPPLIES</t>
  </si>
  <si>
    <t>Supply and Delivery of Materials for the Construction of Centralized Kitchen at San Gregorio E/S, Barangay San Gregorio</t>
  </si>
  <si>
    <t>construction of canal lining at sitio 1</t>
  </si>
  <si>
    <t>RFQ-GS-20200817-04 - 1 Lot Supply, Delivery, Installation, Testing and Commissioning of Diesel Generating Unit at LANDBANK Balingasag Branch</t>
  </si>
  <si>
    <t>REHABILITATION OF FTMR</t>
  </si>
  <si>
    <t>ARTERIAL BLOOD GAS REAGENT</t>
  </si>
  <si>
    <t>SUPPLY AND DELIVERY OF MEDICAL EQUIPMENT</t>
  </si>
  <si>
    <t>PROPOSED REHABILITATION OF BPLO</t>
  </si>
  <si>
    <t>Supply of 5 units laptop computer with 4 others for Institutional Section</t>
  </si>
  <si>
    <t>Purchase of PPEs and Other Medical Supplies</t>
  </si>
  <si>
    <t>Purchase of Medical Equipment for Disaster Action Team (Municipal) and School Disaster Action Team and Barangay Level- MDRRMO</t>
  </si>
  <si>
    <t>ITB and Bid Docs for 1)	Procurement ID/Contract ID:    19C00094  Contract Name:      Construction, Rehabilitation of Flood Control Structures along Rio-Chico River, Sta. 5+840 – Sta. 6+368.8, Brgy. Ma</t>
  </si>
  <si>
    <t>Supply and Delivery of 25 Kilograms Special Dinorado Rice</t>
  </si>
  <si>
    <t>RFQ 2020-08-031: Procurement of Various Office Supplies for use of DPWH Pangasinan 3rd DEO</t>
  </si>
  <si>
    <t>PROCUREMENT OF GENERATOR SET FOR WATER SYSTEM ( LEVEL 3 )</t>
  </si>
  <si>
    <t>PROCUREMENT OF I.C.T. EQUIPMENT FOR THE USE OF SCHOOLS DIVISION OFFICE (SECOND BIDDING)</t>
  </si>
  <si>
    <t>RFQ 2020-08-032 Procurement of Container Van and Its Accessories as Field Office in the Desiltation and Rechanneling of Totonuguen River along Agno River, Rosales, Pangasinan</t>
  </si>
  <si>
    <t>(SBMA-BAC-GOODS-ITB-16-20) TWO (2) – YEAR CONTRACT OF PHOTOCOPYING SERVICES</t>
  </si>
  <si>
    <t>Publication No. 46-2020- G (First Publication) COMPUTER SUPPLIES AND ACCESSORIES</t>
  </si>
  <si>
    <t>PR NO. 2132 TRASH CAN</t>
  </si>
  <si>
    <t>BANANA</t>
  </si>
  <si>
    <t>Concreting of Farm-to-Market Road</t>
  </si>
  <si>
    <t>Construction for Reinforced Concrete Box Culvert @ Sitio Arik-Ikan, Liliongan</t>
  </si>
  <si>
    <t>Supply and Delivery of Office Supplies for VSU Main and Component Colleges (GOODS-20-44)</t>
  </si>
  <si>
    <t>Procurement of Promotional Materials</t>
  </si>
  <si>
    <t>Purchase of Medicines for Rural Health Unit @ LGU - Carmen, Bohol</t>
  </si>
  <si>
    <t>RFQ 2020-206 Meals for the Updating of the LRNDP</t>
  </si>
  <si>
    <t>DIALYZER F8/LOPS 18 / (LOW FLUX 2.0 MM)</t>
  </si>
  <si>
    <t>Supply and delivery of various commodities for the children beneficiaries of Supplementary Feeding Program of the Municipality of Pugo, La Union</t>
  </si>
  <si>
    <t>(PSWDO) REQUEST FOR QUOTATION (RFQ)  For the Procurement of 1 Unit Motor Vehicle/Service Vehicle (4x4 Pick-Up)</t>
  </si>
  <si>
    <t>FURNISHING &amp; DELIVERY OF ONE (1) UNIT CAMERA AND TWO (2) UNITS LAPTOP (2nd Posting)</t>
  </si>
  <si>
    <t>UPLB-RES-040-09-20  SUPPLY AND DELIVERY OF BRANDED AND BRAND NEW CHEMICALS AND CHEMICAL PRODUCTS FOR IPB</t>
  </si>
  <si>
    <t>Concreting of San francicsco St. (from Lawaan - Rambutan St.) Poblacion, Carmen, Cot.</t>
  </si>
  <si>
    <t>DISPOSABLE STERILE CHEMOTHERAPY PACK</t>
  </si>
  <si>
    <t>Supplies/Equipment and Delivery for SBFP Complementary Activities FY 2020</t>
  </si>
  <si>
    <t>Materials to be used in installation of Solar Streetlights in Brgy. Alag, Baco</t>
  </si>
  <si>
    <t>Supply and delivery of various commodities for the children beneficiaries of Supplementary Feeding Program of the Municipality of San Gabriel, La Union</t>
  </si>
  <si>
    <t>Lot1-Construction of Canal Lining/Flume at Pallagao, Baggao, Cagayan</t>
  </si>
  <si>
    <t>FURNISHING &amp; DELIVERY OF ONE (1) UNIT XEROX/COPIER MACHINE</t>
  </si>
  <si>
    <t>Supply and Delivery of Wireless tablle buzzer for Tourism Office</t>
  </si>
  <si>
    <t>SUPPLY OF VARIOUS CONSTRUCTION SUPPLY</t>
  </si>
  <si>
    <t>ROAD OPENING OF DAMOAG TO PALAG-ANG, AMPUSONGAN</t>
  </si>
  <si>
    <t>Supply &amp; Delivery of Office Equipment (Airconditioner and Refrigerator)</t>
  </si>
  <si>
    <t>Procurement of Materials for the Improvement of LEIPO Office</t>
  </si>
  <si>
    <t>Purchase of Laboratory Supplies for CMH</t>
  </si>
  <si>
    <t>Procurement of 1-Unit Risograph Printing Machine with Toner for the District of Valderrama</t>
  </si>
  <si>
    <t>Supply and Delivery of Materials for the Construction of Drainage Canal at Barangay Del Pilar</t>
  </si>
  <si>
    <t>Purchase of Materials for the Enhancement of Multi-Purpose Building</t>
  </si>
  <si>
    <t>COVID 19 Operations Equipment and Supplies</t>
  </si>
  <si>
    <t>GPG-B1-2020-085-SUPPLY &amp; DELIVERY OF FOUR (4) UNITS BRAND NEW  ASIAN UTILITY VEHICLE (AUV) FOR TECHNICAL EDUCATION &amp; SKILLS DEVT AUTHORITY (TESDA)</t>
  </si>
  <si>
    <t>Supply and Delivery of Materials for the Rehabilitation of Municipal Street</t>
  </si>
  <si>
    <t>Procurement of Labor and Materials for Various Civil Works</t>
  </si>
  <si>
    <t>20CB-GSC-536	PURCHASE OF CONSTRUCTION SUPPLIES</t>
  </si>
  <si>
    <t>RENTAL OF PUMPING UNITS (10HP/UNIT) INCLUSIND PUMP TESTING (UNDERGROUND SPRING) AND DATA COLLECTION @ LGU-CARMEN, BOHOL</t>
  </si>
  <si>
    <t>IMPROVEMENT OF ALAM-AM - KILONG FMR, GAMBANG, BAKUN</t>
  </si>
  <si>
    <t>20NA0079 Construction of Level II Water System, Brgy. Calamba, Cabadbaran City, Agusan del Norte</t>
  </si>
  <si>
    <t>CONSTRUCTION OF SOLAR LIGHTINGS-BARANGAY CENTRO NAPU, TUDELA, MIS. OCC</t>
  </si>
  <si>
    <t>PROCUREMENT OF BONDPAPER TO BE USED BY THE DISTRICT OF VALDERRAMA</t>
  </si>
  <si>
    <t>Concreting of Road at Talusan St., Barangay Soledad</t>
  </si>
  <si>
    <t>RFQ-NP-SVP-373-2020-Procurement of Furnitures and Fixtures for Health Management System Project</t>
  </si>
  <si>
    <t>RFQ 2020-08-035: Procurement of Various Spare Parts for use in the Repair/Maintenance of Various Equipment and Service Vehicle of DPWH Pangasinan 3rd DEO, Tomana, Rosales, Pangasinan</t>
  </si>
  <si>
    <t>ITB Design, Manufacture, Supply and Installation of Furniture and Fixtures of EMB XII</t>
  </si>
  <si>
    <t>Office Supplies for PHO - Technical Division (S-287-2020)</t>
  </si>
  <si>
    <t>20CB-GSC-539	PURCHASE OF OVERHEAD CRANE</t>
  </si>
  <si>
    <t>Procurement of Medical Supplies for Health, Safety &amp; Welfare Program (Other Development Program)</t>
  </si>
  <si>
    <t>PUBLIC BIDDING / PR 20-07-0343 / MODULAR TYPE AIR HANDLING UNITS (AHUS)</t>
  </si>
  <si>
    <t>tires</t>
  </si>
  <si>
    <t>IMPROVEMENT OF MAN-ASOK KAULA-AN TO SEBANG ANITO FMR, BACULONGAN SUR, BUGUIAS</t>
  </si>
  <si>
    <t>Publication No. 49-2020- G (First Publication) SEEDLINGS</t>
  </si>
  <si>
    <t>RFQ (20-08-065) Various Medical Supplies</t>
  </si>
  <si>
    <t>Supply &amp; Delivery of Survey Equipment/Accessories</t>
  </si>
  <si>
    <t>Supply and Delivery of Various Office Supplies and Consumables</t>
  </si>
  <si>
    <t>PR. 20-08-305 (2020-08-299) PROCUREMENT OF CONSTRUCTION MATERIALS AND SUPPLIES</t>
  </si>
  <si>
    <t>Publication No. 50-2020- G (First Publication) VETERINARY MEDICINES AND MEDICAL SUPPLIES</t>
  </si>
  <si>
    <t>RFQ-NP-SVP-366-2020-Repairs and Maintenance of Equipment and Systems</t>
  </si>
  <si>
    <t>RFQ 2020-08-034: Procurement of Personal Protective Equipment for use by Dredge Crews of DPWH Pangasinan 3rd DEO Maintenance Crews in the Desiltation and Rechanneling of Totonoguen River along Agno Ri</t>
  </si>
  <si>
    <t>Supply &amp; Delivery Of Airport Rescue Equipment  At Legazpi Airport – 2nd SVP</t>
  </si>
  <si>
    <t>invitation to bid for the concreting of arm to marekt road at Brgy. Naguelguel, Lingayen, Pangasinan</t>
  </si>
  <si>
    <t>IMPROVEMENT OF BILA HEALTH STATION - COROS - SALISHET - BAJOMBONG WATERWORKS SYSTEM, BILA, BOKOD</t>
  </si>
  <si>
    <t>PR NO. 1432 Reagents for RENDER KT-6180 Hematology analyzer</t>
  </si>
  <si>
    <t>PROCUREMENT OF SCHOOL AND OTHER SUPPLIES FOR SHS</t>
  </si>
  <si>
    <t>Implementation of ADSDPP CADC-172</t>
  </si>
  <si>
    <t>Procurement of  Computer Accessories, Supplies and Equipment's for all offices</t>
  </si>
  <si>
    <t>CNU Procurement for Office Chair etc No.20-08-273</t>
  </si>
  <si>
    <t>Purchase of RPT Cards and Cash Books Supplies (3rd Qtr.) - MTO</t>
  </si>
  <si>
    <t>Purchase of materials for Self Learning Modules Reproduction Qtr.1</t>
  </si>
  <si>
    <t>diesel</t>
  </si>
  <si>
    <t>Publication No. 48-2020- G (First Publication) VEHICLE TIRES AND SPAREPARTS</t>
  </si>
  <si>
    <t>Supply &amp; Delivery of Office Supplies/Equipment for the 3rd Quarter CY 2020</t>
  </si>
  <si>
    <t>RFQ 2020-08-033: Procurement of Diesel for use in Desiltation and Rechanneling of Totonoguen River along Agno River, Rosales, Pangasinan</t>
  </si>
  <si>
    <t>20CSEB06: Sub-Surface/Soil Exploration for FY 2020 Construction of School Building Projects: Mapaya II ES, San Jose, Occidental Mindoro</t>
  </si>
  <si>
    <t>Supply and delivery of various commodities for the children beneficiaries of Supplementary Feeding Program of the Municipality of Burgos, La Union</t>
  </si>
  <si>
    <t>DELIVERY OF MATERIALS FOR THE CONSTRUCTION OF COMFORT ROOMS - BARANGAY HALL (PANGDAN)</t>
  </si>
  <si>
    <t>20IH0114-Repair/Maintenance of DPWH Building –Warehouse # 4 Northern Samar First  District Engineering Office, Brgy. Lapu-Lapu, Catarman, N. Samar</t>
  </si>
  <si>
    <t>Office.Supply.06</t>
  </si>
  <si>
    <t>Procurement of Medical Ambulance for LGU Sablayan</t>
  </si>
  <si>
    <t>20CB-GSC-540	PURCHASE OF SPARE PARTS FOR HEAVY EQUIPMENTS</t>
  </si>
  <si>
    <t>COVID Test Kits and Testing</t>
  </si>
  <si>
    <t>20CB-GSC-538	PURCHASE OF INFORMATION TECHNOLOGY</t>
  </si>
  <si>
    <t>Procurement of Powdered air purfying respirator</t>
  </si>
  <si>
    <t>IMPROVEMENT OF OPEN GYM, POBLACION, BUGUIAS</t>
  </si>
  <si>
    <t>PHOTOCOPY MACHINE AND RISOGRAPH</t>
  </si>
  <si>
    <t>Contract ID No. 20GP00131 - Procurement of Ultrasonic Disinfection Machine for use of DPWH-CAR Regional Office and Twelve (12) District Engineering Offices</t>
  </si>
  <si>
    <t>Establishment of Nursery &amp; Vegetable Production</t>
  </si>
  <si>
    <t>REPRODUCTION Of DLP MODULES FOR 1ST QTR FOR WEEK 1-7 FOR ELEM</t>
  </si>
  <si>
    <t>CSR SUPPLY (PR#20-08-70767)</t>
  </si>
  <si>
    <t>Visitation of NCIP Offices and IP communities for the Adopt a Community Approach on Food Security Program (meals and snacks)</t>
  </si>
  <si>
    <t>20IH0116-Concreting of Poblacion to Sitio Nangca, Brgy. Tarnate FMR, San Vicente, Northern   Samar</t>
  </si>
  <si>
    <t>fuel and lubricants</t>
  </si>
  <si>
    <t>Improvement of Barangay Plaza</t>
  </si>
  <si>
    <t>Preventive Maintenance of 144 KVA Generator Set of SSS Baguio (1 Lot)</t>
  </si>
  <si>
    <t>20IH0113-Repair/Maintenance of Area Equipment Service, MRS Building, Brgy. Macagtas, Catarman, Northern Samar</t>
  </si>
  <si>
    <t>CONSTRUCTION/REHABILITATION/IMPROVEMENT  OF  DRAINAGE  SYSTEM  AT  PUROK 6A LOPEZ SUBDIVISION,  CALARIAN ,</t>
  </si>
  <si>
    <t>20IH0115-Repair/Maintenance of DPWH Building – Power House Northern Samar First District Engineering Office, Brgy. Macagtas, Catarman, Northern Samar</t>
  </si>
  <si>
    <t>Procurement of Supply &amp; Delivery of uPVC Pipes, various fittings &amp; materials</t>
  </si>
  <si>
    <t>Procurement of closed system drug transfer device and other medical supplies</t>
  </si>
  <si>
    <t>PROCUREMENT OF CONSTRUCTION MATERIALS AND SUPPLIES USE FOR IMPROVEMENT OF PIÑAN SLAUGHTERHOUSE – CONCRETE PAVEMENT</t>
  </si>
  <si>
    <t>20CB-GSC-537	PURCHASE OF MOTORCYCLES</t>
  </si>
  <si>
    <t>Construction/Rehabilitation/Improvement of Multi-Purpose Building at Municipal Building Compound, Mabitac, Laguna</t>
  </si>
  <si>
    <t>Supply and Delivery of 35 units Non-Motorized Fiber Glass Boat with complete Accessories</t>
  </si>
  <si>
    <t>Purchase of Relief Goods for the Affected Families During Pandemic</t>
  </si>
  <si>
    <t>PURCHASE OF RICE FOR COMMUNITY ASSISTANCE DURING COVID-19 PANDEMIC, POB. SAWANG, LOBOC, BOHOL</t>
  </si>
  <si>
    <t>CONSTRUCTION OF LEGISLATIVE BUILDING AT CALONGAY, PILAR, SORSOGON</t>
  </si>
  <si>
    <t>Supply and Delivery of Materials for the Construction of Chili Consolidation Building</t>
  </si>
  <si>
    <t>UPLB-RES-041-09-20 PROCUREMENT OF GENOTYPING-BY-SEQUENCING (GBS) FOR IPB</t>
  </si>
  <si>
    <t>Supply and Delivery of T-Shirt with Embroidered 102th Founding Anniversary Logo</t>
  </si>
  <si>
    <t>Upgrading Of Barangay Multi-Purpose Hall</t>
  </si>
  <si>
    <t>2020 DTI-OTOP Next Gen Fabrication of Frame and Cover (Tent)</t>
  </si>
  <si>
    <t>Supply and delivery of various hardware supplies and materials</t>
  </si>
  <si>
    <t>21CSGI0002 - CONSULTANCY SERVICES FOR THE CONDUCT OF GEOTECHNICAL SUBSURFACE EXPLORATION FOR PROPOSED FY 2021 VARIOUS BRIDGE PROJECTS  1. Widening of Bridge - Jalaur Br. Along Iloilo City-Leganes-Duma</t>
  </si>
  <si>
    <t>RFQ-NP-SVP-re357-2020-Procurement of  Furniture and Fixture for QAA.</t>
  </si>
  <si>
    <t>CONSTRUCTION OF DAY CARE CENTER AT BRGY. SALITRAN III, CITY OF DASMARIÑAS, CAVITE</t>
  </si>
  <si>
    <t>Supply &amp; Delivery of Various Construction Materials &amp; Supplies for the Repair &amp; Maintenance: Infrastructure Assets (Slope Protection) at Brgy. Alta Vista &amp; Other Barangays, Ormoc City, City Engineer's</t>
  </si>
  <si>
    <t>Acquisition of Sheep's</t>
  </si>
  <si>
    <t>Vehicle</t>
  </si>
  <si>
    <t>Procurement of Fabricated Office Equipment PR # 2020-06-19-206</t>
  </si>
  <si>
    <t>Procurement on Delivery of Materials for the Construction of Concrete Pathway</t>
  </si>
  <si>
    <t>Catering Services PR # 2020-06-25-216</t>
  </si>
  <si>
    <t>PURCHASE AND DELIVERY OF ONE (1) UNIT BRAND NEW MINI DUMPTRUCK (GARBAGE TRUCK) AT CABARROGUIS</t>
  </si>
  <si>
    <t>Procurement of Vehicle- 4x4 Pick-Up</t>
  </si>
  <si>
    <t>Purchase of Agricultural and Marine Supplies(GAD)</t>
  </si>
  <si>
    <t>PROCUREMENT FOR MEDICAL SUPPLIES  P.R NO. 0796 SERIES 2020</t>
  </si>
  <si>
    <t>Purchase of Diesel Fuel</t>
  </si>
  <si>
    <t>Purchase of Wheelchair</t>
  </si>
  <si>
    <t>Procurement of Constructions Materials and Supplies</t>
  </si>
  <si>
    <t>Procurement of Laboratory Reagents</t>
  </si>
  <si>
    <t>Tools for Small Engine Services After Training Support</t>
  </si>
  <si>
    <t>Supply &amp; Delivery of Grocery Items for the Crime Prevention Program of Magsaysay, Davao del Sur</t>
  </si>
  <si>
    <t>Office.Supply.07</t>
  </si>
  <si>
    <t>Supply and Delivery of Automatic Voltage Stabilizer Including Wiring Installation of Stabilizer, Control Box, and Submersible Pump for Ten (10) Barangays  (Angeles, Caglate, Bacong, Villa Victoria, Ba</t>
  </si>
  <si>
    <t>Implementation of ADSDPP CADC-172 (Food and accommodation)</t>
  </si>
  <si>
    <t>Purchase of Office Equipment for the use of SP- BM Vidad's Office</t>
  </si>
  <si>
    <t>Procurement of Electrical and Hardware Supplies for Spare Parts and for Installation of Fabricated Handwashing Bins - OMSC San Jose and Labangan</t>
  </si>
  <si>
    <t>Supply and Delivery of Other Supplies and Materials for 3RD Quarter Stock of Supply and Property Unit of PSHS-CLC</t>
  </si>
  <si>
    <t>REPRODUCTION Of DLP MODULES FOR 1ST QTR FOR WEEK 1-7 FOR JHS</t>
  </si>
  <si>
    <t>Health Essential Supplies for Schools against COVID-19</t>
  </si>
  <si>
    <t>Purchase of Multi-function Photocopier Laser Machine for DepEd Catmon District</t>
  </si>
  <si>
    <t>Supply and Delivery of 15 rolls of PE Pipe 1/2 "</t>
  </si>
  <si>
    <t>RFQ&gt;&gt;&gt; Office Supplies | Dona Aurora H. Bueno ES | ABC=P76,000.00</t>
  </si>
  <si>
    <t>PROCUREMENT AND DELIVERY OF BOAT WITH DIESEL ENGINE FOR MAASIN HIGH SCHOOL, BULALACAO DISTRICT</t>
  </si>
  <si>
    <t>Purchase of Materials for the Expansion of Pipe Lengths for Catmon Waterworks System</t>
  </si>
  <si>
    <t>Visitation of NCIP Offices and IP communities for the Adopt a Community Approach on Food Security Program (vehicle rental))</t>
  </si>
  <si>
    <t>RFQ&gt;&gt;&gt; Reproduction of Modules | Manuel A. Roxas ES | ABC=P218,214.60</t>
  </si>
  <si>
    <t>PUBLIC BIDDING / PR 20-02-0073 Re-Bid   / VEHICLE RENTAL</t>
  </si>
  <si>
    <t>"CLUSTER ""A"":  A. CONSTRUCTION OF 8X8 WATER TANK WITH 25 ROLLS OF 3/4"" HOSE PIPE AT ANSAGAN PROPER, ANSAGAN, TUBA;  B. CONSTRUCTION OF 8X8 WATER TANK WITH 25 ROLLS OF 3/4"" HOSE PIPE AT SITIO LUPIT</t>
  </si>
  <si>
    <t>RFQ-NP-SVP-re242-2020-Procurement of   Furnitures and Fixtures for Balubal Campus.</t>
  </si>
  <si>
    <t>Procurement of Office Equipment PR # 2020-07-29-304</t>
  </si>
  <si>
    <t>Purchase of Furniture and Fixtures for SP-BM Fernandez Office use</t>
  </si>
  <si>
    <t>Supply and Delivery of Materials and Equipment for Rural Improvement Club, Lipote Production,Coco Jam Production,Sili Grower Association</t>
  </si>
  <si>
    <t>Supply, Delivery and Installation of Projector Screen and Mounting of Projectors</t>
  </si>
  <si>
    <t>PUBLIC BIDDING / PR 20-07-0417  / 18 AIR CONDITIONING UNITS</t>
  </si>
  <si>
    <t>PROCUREMENT OF WHEEL LOADER</t>
  </si>
  <si>
    <t>Rehabilitation of Barangay Community Center</t>
  </si>
  <si>
    <t>Procurement of Hardware Supplies PR # 2020-07-29-304</t>
  </si>
  <si>
    <t>21CSGI0003 - CONSULATNCY SERVICES FOR THE CONDUCT OF GEOTECHNICAL SUBSURFACE EXPLORATION FOR PROPOSED FY 2021 VARIOUS FLOOD CONTROL PROJECTS  1.	Construction of Flood Mitigation Structure - Constructi</t>
  </si>
  <si>
    <t>Procurement of Office Supplies, Equipment, ICT Related Equipment &amp; Peripherals and Learning Management System for Flexible Alternative Mode of  Teaching and Learning in MinSCAT</t>
  </si>
  <si>
    <t>Labor and Materials for the Repair of Covered Pathway damaged due to Typhoon Ursula- OMSC Murtha</t>
  </si>
  <si>
    <t>Procurement of Data file box and other office supplies and devices</t>
  </si>
  <si>
    <t>Procurement of protective items for the schools and SDO</t>
  </si>
  <si>
    <t>Supply and Delivery of 10 unit office chair for the use of NSDPDH</t>
  </si>
  <si>
    <t>Procurement of ICT equipment and supplies for SGOD units (SMN, HRD &amp; DRRM)</t>
  </si>
  <si>
    <t>Procurement of protective items for the schools and SDO (consumables)</t>
  </si>
  <si>
    <t>Supply &amp; Delivery of Grocery Items for ELCAC-Barangay Enhancement for Illegal Gambling of Magsaysay, Davao del Sur</t>
  </si>
  <si>
    <t>Procurement of equipment to be use at different barangays</t>
  </si>
  <si>
    <t>10 pcs Automotive Battery  (G/MF65/DIN65) -Supply &amp; delivery</t>
  </si>
  <si>
    <t>CID No. 20GI0-06-091 - Purchase/delivery of consumables toner for the existing copier machines (FUJI) assigned at the Planning and Design Division, and Procurement Office, DPWH Regional Office VIII, B</t>
  </si>
  <si>
    <t>Janitorial Services 2020 (3rd Rebid)</t>
  </si>
  <si>
    <t>For Office use (Misamis Oriental PO</t>
  </si>
  <si>
    <t>PRINTING AND DELIVERY OF QUARTER 1 ADMS-SELF LEARNING MODULES FOR THE IMPLEMENTATION OF BE-LCP</t>
  </si>
  <si>
    <t>Supply &amp; Delivery of Diesel Fuel use for Municipal Heavy Equipment of Magsaysay, Davao del Sur</t>
  </si>
  <si>
    <t>Supply &amp; Delivery of Diesel Fuel for Government Vehicle of Magsaysay, Davao del Sur</t>
  </si>
  <si>
    <t>Messengerial and Driving Services 2020 (3rd Rebid)</t>
  </si>
  <si>
    <t>SUPPLIES AND DELIVERY OF GENERAL MERCHANDISE OF YDF, (FURNITURE AND FIXTURES AND IT EQUIPMENT)</t>
  </si>
  <si>
    <t>Procurement of advocacy materials and school supplies for Partnership Building and Linkages'</t>
  </si>
  <si>
    <t>6 units Steel Shelf  including Supply &amp; Delivery (see attached specifications)</t>
  </si>
  <si>
    <t>Procurement of Office supplies</t>
  </si>
  <si>
    <t>Procurement of Medical Supplies PR # 2020-08-03-309</t>
  </si>
  <si>
    <t>RFQ&gt;&gt;&gt; Production of Learning Materials/Modules  | Lucban ES | ABC=P550,202.50</t>
  </si>
  <si>
    <t>Conduct of Medical Mission to AD Areas (3rd &amp; 4th Quarter)</t>
  </si>
  <si>
    <t>PUBLIC BIDDING / PR 19-11-1126 Re-Bid  / REHABILITATION/RESTORATION OF KALAYAAN HALL EXTERIOR</t>
  </si>
  <si>
    <t>CNU Procurement for Tables with Drawer No.20-08-264</t>
  </si>
  <si>
    <t>Procurement of Janitorial Supplies PR # 2020-07-29-305</t>
  </si>
  <si>
    <t>Purchase of Rapid Test Kits</t>
  </si>
  <si>
    <t>CONSTRUCTION OF BASKETBALL STAND @ PUROK 7, BACONG, LIGAO, CITY</t>
  </si>
  <si>
    <t>Supply &amp; Delivery of Uniform for UDRRM Council Members</t>
  </si>
  <si>
    <t>TNTI Projects</t>
  </si>
  <si>
    <t>Procurement of Forms  PR # 2020-07-29-302</t>
  </si>
  <si>
    <t>RFQ 2020-08-002 OFFICE EQUIPMENT SUPPLIES AND CONSUMABLES</t>
  </si>
  <si>
    <t>EMC-025-2020 R &amp; M Motor Vehicle</t>
  </si>
  <si>
    <t>Catering Services PR # 2020-08-05-314</t>
  </si>
  <si>
    <t>Procurement of Office Equipment PR # 2020-08-03-309</t>
  </si>
  <si>
    <t>for Landscaping</t>
  </si>
  <si>
    <t>PROCUREMENT FOR OFFICE SUPPLIES P.R NO. 0803 SERIES 2020</t>
  </si>
  <si>
    <t>HIRING OF MOTOR LAUNCH INTENDED FOR MOBILIZATION OF CONSTRUCTION MATERIALS FOR CONSTRUCTION OF SANITARY TOILET WITH HYGIENE FACILITIES FOR PUBLIC PLACES BOUND TO PAG-ASA ISLAND</t>
  </si>
  <si>
    <t>Supply and Delivery of Office Equipment -CCTV</t>
  </si>
  <si>
    <t>PRLEC items for Sir PJ</t>
  </si>
  <si>
    <t>SUPPLY AND DELIVERY OF TEXTBOOKS FOR PEDIATRICS USE P.R NO. 0804 SERIES 2020</t>
  </si>
  <si>
    <t>Purchase of Supplies and Materials for Modular Modality for distance Learning</t>
  </si>
  <si>
    <t>Installation of Streetlights, Libertador, Lauis, Poblacion Candelaria and Brgy. Balincaguing, San Felipe</t>
  </si>
  <si>
    <t>Request for Quotation for PR Number 2020-08-104: Purchase of Materials for the Repainting of I-Beam for Bridges. Daang Maharlika (S03784LZ); Daang Maharlika (S03789LZ); Talobatib-Jose Panganiban Pobla</t>
  </si>
  <si>
    <t>Supply &amp; Delivery of IT Equipment (Laptop) for Extension</t>
  </si>
  <si>
    <t>RFQ&gt;&gt;&gt; Construction Materials and Tools | Lucban ES | ABC=P136,925.00</t>
  </si>
  <si>
    <t>Procurement of 3 units  Hand Washing Facilities</t>
  </si>
  <si>
    <t>Supply &amp; Delivery of Multifunction Printer</t>
  </si>
  <si>
    <t>Request for Quotation for PR Number 2020-07-089: Purchase of Field Uniform and Personal Protective Equipment</t>
  </si>
  <si>
    <t>Purchase of Hubbards/Sasso</t>
  </si>
  <si>
    <t>Provision of Labor and Materials for the improvement of Irrigation Canal under PRRI-2020-043</t>
  </si>
  <si>
    <t>Catering Services PR # 2020-08-05-316</t>
  </si>
  <si>
    <t>SUPPLY AND DELIVERY OF CONSTRUCTION MATERIALS FOR THE FABRICATION OF MATERIAL RECOVERY FACILITIES</t>
  </si>
  <si>
    <t>Catering Services PR # 2020-08-05-315</t>
  </si>
  <si>
    <t>Supply and Delivery of Rice for Rice Subsidy Program (50:50 scheme) of this Municipality C.Y. 2020, Botolan, Zambales</t>
  </si>
  <si>
    <t>Supply &amp; Delivery of Office Equipment for Research</t>
  </si>
  <si>
    <t>ROAD CONCRETING (BRGY. SAN JULIAN)</t>
  </si>
  <si>
    <t>Supply and Delivery of 3 Grass Cutter intended for Grass cutting along Municipal Streets and Plaza</t>
  </si>
  <si>
    <t>Lot 1: One (1) Application of Polyurethane Foam on all BSP Buildings of BSP Cebu RO (see attached Scope of Work and Specifications)  Lot 2:  One (1) Lot Application of Polyurethane Foam Insulation at</t>
  </si>
  <si>
    <t>Supply and Delivery of Rapid Test Kits intended for MHO Use</t>
  </si>
  <si>
    <t>2020-08-0767 PURCHASE OF TIRES AND REPAIR OF MOTOR VEHICLE MITSUBISHI STRADA WITH PLATE NO. NK 3643</t>
  </si>
  <si>
    <t>IMPROVEMENT OF MULTI-PURPOSE BUILDING (BRGY. STA. ROSA)</t>
  </si>
  <si>
    <t>Purchase of IT Equipment for used at Budget Office</t>
  </si>
  <si>
    <t>Supply and Delivery of Various Toners/Consumables</t>
  </si>
  <si>
    <t>CONSTRUCTION OF DRAINAGE CANAL @ PUROK TUGAS BARANGAY CADAWINONAN</t>
  </si>
  <si>
    <t>Supply and delivery of calcified filling materials</t>
  </si>
  <si>
    <t>Supply and delivery of various commodities for the children beneficiaries of Supplementary Feeding Program of the Municipality of Bagulin, La Union</t>
  </si>
  <si>
    <t>Construction of Connecting Ramp and Tiling of Entrance Pavement of the New Medical Clinic Building</t>
  </si>
  <si>
    <t>Publication No. 47-2020- G (First Publication) GENERAL HOME SUPPLIES</t>
  </si>
  <si>
    <t>ROAD CONCRETING (BRGY. SIGUIRAN)</t>
  </si>
  <si>
    <t>VENUE RENTAL FOR THE CONDUCT OF SEMINAR WORKSHOP FOR COMPREHENSIVE DEVELOPMENT PLAN CY 2019 - 2022</t>
  </si>
  <si>
    <t>Forklift Rental for PPA-Opol Port Services, for the  period Sept. 1 to Dec. 31, 2020</t>
  </si>
  <si>
    <t>CONSTRUCTION/REHABILITATION/IMPROVEMENT  OF  DRAINAGE  SYSTEM  AT  PUROK 4, 28th  IB,  CALARIAN ,</t>
  </si>
  <si>
    <t>Lot1- Construction/Rehabilitation of Public Market (Phase II) at San Jose, Baggao, Cagayan</t>
  </si>
  <si>
    <t>RFQ 0032</t>
  </si>
  <si>
    <t>SUPPLY AND DELIVERY OF CONSTRUCTION MATERIALS FOR THE CONSTRUCTION OF MULTI-PURPOSE HALL</t>
  </si>
  <si>
    <t>SUPPLY AND INSTALLATION OF 1 UNIT 3HP CEILING SUSPENDED INVERTER AIRCONDITIONING UNIT</t>
  </si>
  <si>
    <t>Purchase of Two (2) Units Air Conditioner for the Provincial Governor's Office use</t>
  </si>
  <si>
    <t>Maintenance and Other Operating Expenses (MOOE)</t>
  </si>
  <si>
    <t>PROCUREMENT FOR THE COMPREHENSIVE MAINTENANCE SUPPORT AND SERVICES FOR THE PRIVATE AUTOMATIC BRANCH EXCHANGE (PABX) SYSTEM OF THE BUREAU OF THE TREASURY</t>
  </si>
  <si>
    <t>SELF - SKILLS ENHANCEMENT AND LEADERSHIP FORMATION - CLEAN AND GREEN</t>
  </si>
  <si>
    <t>One (1) Lot Supply, Delivery and Installation of Additional Access Control System and Panic Buttons in the BSP Dumaguete Branch (see attached TOR/Scope of Work)</t>
  </si>
  <si>
    <t>HIV VIRAL LOAD EQUIPMENT REAGENT TIE-UP for CY 2021 (BAC-IB NO. 2020-35)</t>
  </si>
  <si>
    <t>IPH-20-0715-B - PURCHASE OF DRUGS AND MEDICINES</t>
  </si>
  <si>
    <t>SUPPLY AND DELIVERY OF MATERIALS FOR THE REHABILITATION OF HOSPITAL GUTTER AND DOWN SPROUT</t>
  </si>
  <si>
    <t>Procurement of Raw Banana Fruit PR # 2020-08-10-326</t>
  </si>
  <si>
    <t>SUPPLIES AND MATERIALS USED IN CONDUCT OF TRAINING OF AUTOMOTIVE SERVICING NC I</t>
  </si>
  <si>
    <t>ORDINARY OFFICE SUPPLIES</t>
  </si>
  <si>
    <t>Procurement of Drugs &amp; Biologics PR # 2020-08-06-321</t>
  </si>
  <si>
    <t>IPH-20-0374-B - PURCHASE OF DRUGS AND MEDICINES</t>
  </si>
  <si>
    <t>Purchase of Seven (7) Units Printer for the use of Provincial  Budget Office</t>
  </si>
  <si>
    <t>PROCUREMENT FOR OFFICE EQUIPMENT  P.R NO. 0808 SERIES 2020</t>
  </si>
  <si>
    <t>Purchase of Vehicle PARTS and Repair</t>
  </si>
  <si>
    <t>Supply, Delivery &amp; Fabrication of Pigeon Boxes for JRMSU FLS</t>
  </si>
  <si>
    <t>SUPPLY AND DELIVERY OF VARIOUS STORAGE INVENTORY RACKS (BAC-IB NO. 2020-36)</t>
  </si>
  <si>
    <t>Purchase of Rice for the 10th Cycle Supplementary Feeding Program in Baguio City and Abra</t>
  </si>
  <si>
    <t>08-018-20 Catering Services w/ Accommodation in Dipolog City, Zamboanga del Norte (PRDP)</t>
  </si>
  <si>
    <t>supply and delivery of construction materials for tigasao MP bldg</t>
  </si>
  <si>
    <t>Procurement of Office Equipment's</t>
  </si>
  <si>
    <t>Procurement of educational materials/equipment and gen. mdse.</t>
  </si>
  <si>
    <t>08-019-20 Catering Services with Accommodation in Pagadian City (PRDP)</t>
  </si>
  <si>
    <t>PURCHASE OF 32 PCS UPVC RISER PIPE 4" DIAMETER X 3 METERS</t>
  </si>
  <si>
    <t>Bidding for Supply, Delivery, Installation and Commissioning of Various Medical Equipment – IV</t>
  </si>
  <si>
    <t>Contract ID No.: 20GOE0033 - Capital Outlay – Regionwide/Nationwide – Others – Gender and Development (GAD) Integration Framework in Road Infrastructure Sector and Other Related Activites - Release of</t>
  </si>
  <si>
    <t>Bidding for Supply, Delivery, Installation and Commissioning of Various Medical Equipment for Dental Department</t>
  </si>
  <si>
    <t>Procurement and Delivery of Various Medicines for 3rd and 4th quarter year 2020</t>
  </si>
  <si>
    <t>Re-Bidding for Supply and Delivery of DOH-Eye Center Supplies</t>
  </si>
  <si>
    <t>PROCUREMENT FOR THE PREVENTIVE MAINTENANCE FOR THE AUDIO VISUAL SYSTEM AT THE CAFETERIA, MARBLE HALL AND OSMENA THEATER OF THE BUREAU OF THE TREASURY</t>
  </si>
  <si>
    <t>PROCUREMENT FOR OFFICE EQUIPMENT  P.R NO. 0807 SERIES 2020</t>
  </si>
  <si>
    <t>Bidding for Supply and Delivery of National Reference Laboratory Supplies II</t>
  </si>
  <si>
    <t>PURCHASE OF PORTABLE RECHARGEABLE SPEAKER &amp; PURCHASE OF QR SCANNER AND PRINTERS</t>
  </si>
  <si>
    <t>08-014-20 Catering Services w/ Accommodation in Dipolog City, Zamboanga del Norte( PRDP)</t>
  </si>
  <si>
    <t>08-021-20 (Disinfectants and Face Masks)</t>
  </si>
  <si>
    <t>08-012-20 (Procurement of Office Equipments (Laminator machine and Printer)</t>
  </si>
  <si>
    <t>Procurement of Cloth PR # 2020-08-10-327</t>
  </si>
  <si>
    <t>Supply and Delivery of 3,000 Heads Ready to Lay and (3) other items under Purchase Request No. 787-20</t>
  </si>
  <si>
    <t>continuation of Barangay Road Constraction along Purok 2</t>
  </si>
  <si>
    <t>Purchase of Food Supplies for the 10th Cycle Supplementary Feeding Program in Abra, Benguet, Ifugao, Kalinga and Paracelis, Mt. Province</t>
  </si>
  <si>
    <t>Supply &amp; Delivery of Office Equipment ABC:250,000.00</t>
  </si>
  <si>
    <t>Supply and Delivery of 5,200 Heads Ducklings and (3) other items under Purchase Request No. 788-20</t>
  </si>
  <si>
    <t>Dologon NHS Procurement of materials for the reproduction of modules</t>
  </si>
  <si>
    <t>Negotiation Due to Two Failed Biddings for Supply and Delivery of National Reference Laboratory Supplies - Gas</t>
  </si>
  <si>
    <t>Negotiation Due to Two Failed Biddings for Supply and Delivery of National Reference Laboratory Supplies - Accessories for AAS Varian and ICP-MS Agilent</t>
  </si>
  <si>
    <t>Negotiation Due to Two Failed Biddings for Supply and Delivery of National Reference Laboratory Reagents</t>
  </si>
  <si>
    <t>Negotiation Due to Two Failed Biddings for Supply and Delivery of National Reference Laboratory Supplies - Standards (Must be provided with Certificate of Analysis)</t>
  </si>
  <si>
    <t>08-015-20 Catering Services w/ Accommodation in Pagadian City, Zamboanga del Sur (PRDP)</t>
  </si>
  <si>
    <t>Negotiation Due to Two Failed Biddings for Supply and Delivery of National Reference Laboratory Supplies - Certified Reference Materials (Must be provided with Certificate of Analysis)</t>
  </si>
  <si>
    <t>08-013-20 Supply and Delivery of Various Laboratory Supplies (DA-RADDL IX)</t>
  </si>
  <si>
    <t>Diesel (Mobilization for Heavy Equipment, Road Rehabilitation and Other Related Services)</t>
  </si>
  <si>
    <t>IPH-20-0687-B - PURCHASE OF LABORATORY SUPPLIES</t>
  </si>
  <si>
    <t>07-046-20 Various Supplies for ZPSRC Pamucutan, Zamboanga City</t>
  </si>
  <si>
    <t>Office Equipment (Printer)</t>
  </si>
  <si>
    <t>HSCTR-EM-0022-2020 R &amp; M Other Machinery and Equipment</t>
  </si>
  <si>
    <t>03-034-20 (7 units of Laptop)</t>
  </si>
  <si>
    <t>REHABILITATION OF MULTIPURPOSE BUILDING</t>
  </si>
  <si>
    <t>08-008-20 Supply and Delivery of Various Supplies</t>
  </si>
  <si>
    <t>Information Technology</t>
  </si>
  <si>
    <t>PURCHASE OF 6 UNITS MACHINE (COPIER, PRINTER, SCANNER)</t>
  </si>
  <si>
    <t>CONSTRUCTION OF MULTI PURPOSE HALL(PHASE III)</t>
  </si>
  <si>
    <t>08-009-20 Catering Services in DIMATALING, ZAMBOANGA DEL SUR (DA-PRDP)</t>
  </si>
  <si>
    <t>Lot 1: One (1) Unit Motor Vehicle for BSP Bacolod Branch, as per attached specifications  Lot 2: One (1) Unit Motor Vehicle for BSP Dumaguete Branch, as per attached specifications  Lot 3: One (1) Uni</t>
  </si>
  <si>
    <t>Negotiation Due to Two Failed Biddings for Supply and Delivery of National Reference Laboratory Supplies</t>
  </si>
  <si>
    <t>Supply and Delivery of 2 lbs EC medium broth (E.coli medium) anhydrous and (14) other items under Purchase Request No. 1052-20</t>
  </si>
  <si>
    <t>Supply and Delivery of Culture Bottles (200-220ml) under Purchase Request No. 1042-20</t>
  </si>
  <si>
    <t>RE-BID Repair of Classroom (Replacement of Roofing, Trusses, Celing Works and Painting Works) @ Sta. Rita High School, Barangay Sta. Rita, Olongapo City</t>
  </si>
  <si>
    <t>Supply and Delivery of Integrated Learning Management System Licenses and Services</t>
  </si>
  <si>
    <t>07-051-20 Computer Spare Parts</t>
  </si>
  <si>
    <t>Supply, Delivery and Installation of Two Units 5.0TR Floor Mounted Air Conditioner</t>
  </si>
  <si>
    <t>08-011-20 Catering Services w/ Accommodation in Dipolog City, Zamboanga del Norte (RICE PROGRAM)</t>
  </si>
  <si>
    <t>Purchase of 7 units Handheld radio.</t>
  </si>
  <si>
    <t>RE-BID Proposed Upgrading of Drainage System @ 16th St. Across Gordon Avenue, Barangay New Kalalake,  Olongapo City</t>
  </si>
  <si>
    <t>Materials (Rehabilitation of Road – Dona Rosa-1, Brgy. Central, City of Mati, Davao Oriental)</t>
  </si>
  <si>
    <t>Office Supplies and Other Supplies and Materials</t>
  </si>
  <si>
    <t>Proposed Asphalt Overlay at Fendler St.(1st St. - 5th St.) Barangay New Asinan, Olongapo City</t>
  </si>
  <si>
    <t>Procurement Of Airconditioning Unit and Steel Cabinet</t>
  </si>
  <si>
    <t>Diesel (Ambulance Use)</t>
  </si>
  <si>
    <t>Spare Parts (Isuzu D-Max She-551)</t>
  </si>
  <si>
    <t>Organic Fertilizer (Maintenance of the Planted Seedlings under the Forest Greening Program)</t>
  </si>
  <si>
    <t>Construction/Installation of Streetlights</t>
  </si>
  <si>
    <t>Rice (Greencom Advocacy Program)</t>
  </si>
  <si>
    <t>08-003-20 SORGHUM SEEDS</t>
  </si>
  <si>
    <t>Completion of 6th St. Shed (Including Comfort Rooms) Barangay New Asinan, Olongapo City</t>
  </si>
  <si>
    <t>08-010-20 Catering Services w/ Accommodation in Pagadian City, Zamboanga del Sur (RICE PROGRAM)</t>
  </si>
  <si>
    <t>Supply and Delivery of 20 boxes Adhesive Plaster, HypoAllergenic, 1”, 10 yards, 12’s and (110) other items under Purchase Request No. 1024-20</t>
  </si>
  <si>
    <t>Negotiation Due to Two Failed Biddings for Supply and Delivery of National Reference Laboratory Supplies - Proficiency Test</t>
  </si>
  <si>
    <t>08-016-20 Catering Services w/ Accommodation in SIAYAN, Zamboanga del Norte (PRDP)</t>
  </si>
  <si>
    <t>Negotiation Due to Two Failed Biddings for Supply, Delivery, Installation and Commissioning of Various Medical Equipment for PICU</t>
  </si>
  <si>
    <t>Supply &amp; Delivery of Office Supplies &amp; Equipment for FMO</t>
  </si>
  <si>
    <t>01-004-20 Rebidding of Mango Asexually Propagated</t>
  </si>
  <si>
    <t>08-017-20 Catering Services w/ Accommodation in Ipil, Zamboanga Sibugay (PRDP)</t>
  </si>
  <si>
    <t>PURCHASE OF MATERIALS AND INSTALLATION OF CORN MILL (2ND BID OPENING)</t>
  </si>
  <si>
    <t>Negotiation Due to Two Failed Biddings for Supply and Delivery of National Reference Laboratory Calibration and Preventive Maintenance</t>
  </si>
  <si>
    <t>Purchase of 5 Units Reproduction Machines and 8 pcs. CCTV Camera</t>
  </si>
  <si>
    <t>RFQ-GS-20200805-01 -1 Lot Supply, Delivery &amp; Installation of Cash Vault Door, Emergency Exit Door, Vault Ventilator &amp; Cash Safe at LANDBANK Balingasag Branch</t>
  </si>
  <si>
    <t>INVITATION TO BID FOR THE Rebidding for the Procurement of Various Office Furnitures under the DOE Locally Funded Oil Industry Deregulation Program</t>
  </si>
  <si>
    <t>Supply and delivery of various commodities for the children beneficiaries of Supplementary Feeding Program of the Municipality of Santol, La Union</t>
  </si>
  <si>
    <t>ELECTRICAL SUPPLIES (PR#20-08-70734)</t>
  </si>
  <si>
    <t>Purchase of A4 Bondpaper for Module learning of 29 Schools (Elementary &amp; High Schools) of the Municipality of Dingras, Ilocos Norte</t>
  </si>
  <si>
    <t>Purchase of Materials for the Improvement of Multi Purpose Brgy. Hall and Evacuation Center</t>
  </si>
  <si>
    <t>(DEH) Procurement of Janitorial Supplies For the Diadi Memorial Hospital--61,962.50</t>
  </si>
  <si>
    <t>PROCUREMENT ON SUBSCRIPTION OF VIDEO CONFERENCING APP FOR VIRTUAL MEETING</t>
  </si>
  <si>
    <t>Improvement of Batulawan, Pikit Extension Classroom (Bldg 1 &amp; Bldg 2</t>
  </si>
  <si>
    <t>Re-Bidding for the Construction of Multi-Purpose Hall Kitchen Barangay Pampango</t>
  </si>
  <si>
    <t>Construction of One Unit  Water System at Manobo Village, Pob. Carmen, Cotabato</t>
  </si>
  <si>
    <t>Rehabilitation of Damage Government Facilities, Brgy. Japunan and Brgy. Pangpang Day Care Center, San Policarpo, Eastern Samar</t>
  </si>
  <si>
    <t>Supply and Delivery of Dental Health Care Supplies for Kindergarten to Grade 6 Learners of Deped - SDO Toledo City</t>
  </si>
  <si>
    <t>PURCHASE AND DELIVERY OF MEALS WITH ACCOMMODATION FOR PGO-SULONG</t>
  </si>
  <si>
    <t>Engagement of Consulting Services for 2020 NHMFC Customer Satisfaction Survey</t>
  </si>
  <si>
    <t>PURCHASE AND DELIVERY OF 10 PIECES OF TIRE FOR MALUNGON MUNICIPAL HOSPITAL</t>
  </si>
  <si>
    <t>CONSTRUCTION OF COVERED ROOF EXTENSION FROM GYM TO STAGE</t>
  </si>
  <si>
    <t>SUPPLY AND DELIVERY OF HARDWARE/ CONSTRUCTION MATERIALS (RE-BID)</t>
  </si>
  <si>
    <t>SUPPLY OF MATERIALS FOR THE EXTENSION OF MULTI-PURPOSE BLDG.</t>
  </si>
  <si>
    <t>Zoom License Plan - CapSU Central Admin</t>
  </si>
  <si>
    <t>Purchase of Ambulance</t>
  </si>
  <si>
    <t>CONSTRUCTION OF MULTI-PURPOSE BUILDING LOCATED AT SAN VICENTE NORTE, AGOO, LA UNION</t>
  </si>
  <si>
    <t>Public Bidding of 4 Lots for the Supply and Delivery of Diesel and Motor Oil for the use of City Mayor’s Office, RCDRRMO, City Engineer’s Office and TATC under ITB No. 2020-020-A</t>
  </si>
  <si>
    <t>ASSORTED FARM INPUTS &amp; FERTILIZERS</t>
  </si>
  <si>
    <t>PROCUREMENT OF MATERIALS FOR PROPOSED ROAD CONCRETING AT BARANGAY ALEGRIA</t>
  </si>
  <si>
    <t>Procurement of office supplies, fire extinguisher, nebulizer, glucometer and gen mdse.</t>
  </si>
  <si>
    <t>Learners' Modules for Week 1 and 2 for the 1st Quarter</t>
  </si>
  <si>
    <t>Improvement of Barangay Road Purok 2-3, Barangay Leonardo</t>
  </si>
  <si>
    <t>Public Bidding for the Supply and Delivery of Food Stuff for City Social Welfare and Development Office – PSP Crisis Center under ITB No. 2020-025</t>
  </si>
  <si>
    <t>CY 2020 BASIC EDUCATION FACILITIES FUND - ELECTRIFICATION OF UN-ENERGIZED SCHOOLS AND MODERNIZATION OF ELECTRICAL SYSTEMS ON-GRID SCHOOLS-BATCH 2</t>
  </si>
  <si>
    <t>CONSTRUCTION OF MULTI-PURPOSE BUILDING LOCATED AT CONSOLACION, AGOO, LA UNION</t>
  </si>
  <si>
    <t>PROCUREMENT OF MATERIALS FOR THE IMPROVEMENT OF ALEGRIA WATER SYSTEM</t>
  </si>
  <si>
    <t>AB BDF 2020 PROEJCT-CLEAN AND BEAUTIFICATION,SUPPLIES,DEVICES AND GENERAL MERCHANDISE</t>
  </si>
  <si>
    <t>AB BDF AND RRMF 2020 PROJECT, PURCHASE OF CCTV CAMERA, SUPPLIES, DEVICES AND GENERAL MERCHANDISE</t>
  </si>
  <si>
    <t>PROCUREMENT OF EQUIPMENT, REAGENTS AND KITS FOR COVID-19 TESTING</t>
  </si>
  <si>
    <t>ROAD CONCRETING, BARANGAY NAGCURALAN</t>
  </si>
  <si>
    <t>SPLIT TYPE AIR CONDITIONED</t>
  </si>
  <si>
    <t>REPAIR OF PATHWAY</t>
  </si>
  <si>
    <t>ITB No. DSWD7-PB-2020-29 - Provision of Trucking and Hauling Services of Visayas Disaster Resource Center (VDRC)</t>
  </si>
  <si>
    <t>20BG0049-Local Infrastructure Program - Buildings and Other Structures – Multipurpose/Facilities - Construction (Completion) of Multi-Purpose Building, Brgy. Bagong Sikat, Naguilian, Isabela</t>
  </si>
  <si>
    <t>ROAD CONCRETING, BRGY. BAMBANABA TO BRGY. SANTA CRUZ</t>
  </si>
  <si>
    <t>SUPPLY AND DELIVERY OF DRUGS AND MEDICINES FOR  PROVINCIAL HEALTH OFFICE</t>
  </si>
  <si>
    <t>Procurement of IT Equipment, School supplies, Food stuff and gen. mdse.</t>
  </si>
  <si>
    <t>IMPROVEMENT OF LEVEL lll WATER SYSTEM @ BRGY. GABUT</t>
  </si>
  <si>
    <t>Supply and Delivery of Various repainting materials for genset &amp; backhoe ( H-036-0600-20 )</t>
  </si>
  <si>
    <t>Concreting of Brgy. New Rizal - Brgy. New Janiuay - Brgy. Buayan FMR, Brgy. New Rizal and Brgy. New Janiuay and Brgy. Buayan, M’lang, North Cotabato</t>
  </si>
  <si>
    <t>INSTALLATION OF SOLAR STREET LIGHTS, SAN JOSE – CURVA ROAD</t>
  </si>
  <si>
    <t>MG-PLM20-088 - SUPPLY OF MATERIALS, TOOLS, EQUIPMENT, LABOR AND INCLUDING TECHNICAL EXPERTISE FOR THE RESTORATION TO NORMAL OPERATING CONDITION OF 20 TR CENTRALIZED AIR CONDITION UNIT (RE-BID)</t>
  </si>
  <si>
    <t>SUPPLY AND DELIVERY OF MEDICAL SUPPLIES FOR PROVINCIAL HEALTH OFFICE</t>
  </si>
  <si>
    <t>ITB No. DSWD7-PB-2020-30 - Supply and Delivery of Office Supplies</t>
  </si>
  <si>
    <t>Rebidding for the Supply and Delivery of Customized Movable Waste Collection Facility with Plastic Bins/Containers)</t>
  </si>
  <si>
    <t>Supply, Delivery and Testing of One (1) Unit Heavy Duty Paper Shredder for DBP Guagua Branch</t>
  </si>
  <si>
    <t>One (1) Lot BSP Regional Wide Area Network (RWAN) Enhancement 2020 Project, as per BSP Terms of Reference</t>
  </si>
  <si>
    <t>Supply, Delivery, Installation and Testing of One (1) Unit Vault Door Mechanism for the Main Vault Door of San Fernando Pampanga Branch</t>
  </si>
  <si>
    <t>LOT 1 - Reproduction and Delivery of Self-Learning Modules in English, Filipino and Edukasyon Sa Pagpapakatao for Grades 2 to Senior High School for DepEd - SDO Toledo City</t>
  </si>
  <si>
    <t>Procurement of Materials for Solar Powered Street Lights</t>
  </si>
  <si>
    <t>CONSTRUCTION OF MULTI-PURPOSE HALL (GYM) AT BARANGAY PANDAITAN, PAQUIBATO DISTRICT, DAVAO CITY</t>
  </si>
  <si>
    <t>Materials for Desktop Computer and Printer</t>
  </si>
  <si>
    <t>Purchase of One (1) Fully Automated Hematology Analyzer</t>
  </si>
  <si>
    <t>SUPPLY AND DELIVERY OF 10 units MS PROJECT PLAN 5 OPEN LICENSE</t>
  </si>
  <si>
    <t>Public Bidding for the Supply and Delivery of Panel Blinds for the use of City Planning and Development Office under ITB No. 2020-024</t>
  </si>
  <si>
    <t>MODULES</t>
  </si>
  <si>
    <t>SUPPLY AND DELIVERY OF TOILET BOWLS</t>
  </si>
  <si>
    <t>Supply and Delivery of I.T. Equipment</t>
  </si>
  <si>
    <t>PURCHASE OF HOUSEKEEPING SUPPLIES FOR TWO MONTHS CONSUMPTION, GOOD FOR 120 PUMs AT THE QUARANTINE ISOLATION AREA FACILITY  IN SITIO TALAPTAP, CALUYA, ANTIQUE</t>
  </si>
  <si>
    <t>Construction of Municipal Green Bldg 2 Phase 3</t>
  </si>
  <si>
    <t>Catering Services for the conduct of three (3) days Writeshop of NIA XI Irrigation Canal ROW Procedures manual 2020 on September 2-4,2020</t>
  </si>
  <si>
    <t>Inspection and Cleaning of Wastewater Drainage Pipes at Taguig City – Phase 1</t>
  </si>
  <si>
    <t>08-022-20 Printing of POLO SHIRT AND T-SHIRT DRY-FIT (DA-REGULATORY DIVISION)</t>
  </si>
  <si>
    <t>Purchase of Books (NLUC Library)</t>
  </si>
  <si>
    <t>Supply, Delivery, Testing and Commissioning of Industrial Wall Fans</t>
  </si>
  <si>
    <t>PROCUREMENT OF MEDICINES, MEDICAL, LABORATORY AND DENTAL SUPPLIES FOR THE USE OF CITY HEALTH OFFICE</t>
  </si>
  <si>
    <t>20CSGH02 - Soil Test (Sub – Soil Exploration) for the proposed River Control and Road Slip projects - a.) Construction of Barotac Viejo River Control, Brgy. Poblacion Ilawod and Brgy. Natividad, Barot</t>
  </si>
  <si>
    <t>ITDI-200280 - SUPPLY AND DELIVERY OF NUTRIENT AGAR</t>
  </si>
  <si>
    <t>08-005-20 Procurement of Photographic Supplies and Equipment for DA-IX</t>
  </si>
  <si>
    <t>Supply and Delivery of Office Equipment’s, Supplies and Consumables</t>
  </si>
  <si>
    <t>PROCUREMENT OF 1 LOT 4X2 CLOSED-VAN TYPE RESCUE VEHICLE</t>
  </si>
  <si>
    <t>SUPPLY AND DELIVERY OF PAINTS FOR DIFFERENT BARANGAYS OF NUEVA ECIJA</t>
  </si>
  <si>
    <t>Particle Agglutination Test</t>
  </si>
  <si>
    <t>INVITATION TO BID FOR CONSTRUCTION OF SOLAR-POWERED POTABLE WATER SYSTEM</t>
  </si>
  <si>
    <t>Barangay 20 Peace and Order</t>
  </si>
  <si>
    <t>Spare Parts (SADAM Rescue Vehicle Temp. Plate No. 1201-288084)</t>
  </si>
  <si>
    <t>SUPPLY AND DELIVERY OF PRINTING SUPPLIES AND EQUIPMENTS  FOR REPRODUCTION OF LEARNING MATERIALS FOR THE IMPLEMENTATION OF LEARNING CONTINUITY PLAN (LCP)</t>
  </si>
  <si>
    <t>INVITATION TO BID FOR CONSTRUCTION OF KAWAYAN-MASAGA FMR PHASE I</t>
  </si>
  <si>
    <t>INVITATION TO BID FOR REHABILITATION AND UPGRADING OF TILIK WATER SYSTEM</t>
  </si>
  <si>
    <t>Barangay 20 Office Supplies</t>
  </si>
  <si>
    <t>INVITATION TO BID FOR UPGRADING OF AKLE WATER SYSTEM</t>
  </si>
  <si>
    <t>INVITATION TO BID FOR REHABILITATION OF STREETLIGHTS ALONG ANTONIO LUNA HIGHWAY AND BRGY. ARAW AT BITUIN TO OMSC</t>
  </si>
  <si>
    <t>Barangay 20 Clean and Beautification Materials</t>
  </si>
  <si>
    <t>LOT 2 - Reproduction and Delivery of Self-Learning Modules in Science, Araling Panlipunan and Math for Grades 2 to Senior High School for DepEd - SDO Toledo City</t>
  </si>
  <si>
    <t>CONSTRUCTION OF MULTI-PURPOSE FACILITY at San Agustin ES, Guimba, Nueva Ecija  (RE-BID)</t>
  </si>
  <si>
    <t>CONSTRUCTION OF MULTI-PURPOSE HALL AT BARANGAY CALASAG</t>
  </si>
  <si>
    <t>INSTALLATION OF CCTV WIRELESS SET</t>
  </si>
  <si>
    <t>Construction of Storage Warehouse and Parking, Municipal</t>
  </si>
  <si>
    <t>LOT 3 - Reproduction and Delivery of Self-Learning Modules in Music,  Arts, Physical Education, and Health for Grade 2 to Grade 8 for DepEd - SDO Toledo City</t>
  </si>
  <si>
    <t>PROCUREMENT OF TOKENS</t>
  </si>
  <si>
    <t>IMPROVEMENT OF ELECTRICAL FACILITIES - MAINIT CAMPUS</t>
  </si>
  <si>
    <t>(GO-PDAD) rocurement of Construction Materials For the Governor’s Office – Parks Development &amp; Administrative Division--159,500.00</t>
  </si>
  <si>
    <t>PURCHASE AND DELIVERY OF DRUGS AND MEDICINES FOR MAASIM MUNICIPAL HOSPITAL</t>
  </si>
  <si>
    <t>Cont. Ref. No. 099-20: Repair of Gutters at ITC Sleeping Quarters</t>
  </si>
  <si>
    <t>(PROCEDE) Procurement of 1 unit Desktop Computer (AIO) For the Provincial Cooperative &amp; Enterprise Development Office--60,000.00</t>
  </si>
  <si>
    <t>3608-20 Construction of Multi-Purpose Building (Phase 1), Purok Matahimik, Mayao Castillo, Lucena City - PEO</t>
  </si>
  <si>
    <t>PROCUREMENT OF PHARMCEUTICALS (2) ITB No. 2020-32</t>
  </si>
  <si>
    <t>SUPPLY AND DELIVERY OF GOODS AND SERVICES FOR THE INSTALLITION OF SOLAR STREET LIGHT PHASE 1</t>
  </si>
  <si>
    <t>3627-20 Concreting of Farm To Market Road with Line Canal at Sitio Malapia and Sitio Malaking Arado, Brgy. Samil, Lucban, Quezon - PEO</t>
  </si>
  <si>
    <t>Purchase of Spare Parts for Repair &amp; Maintenance of Heavy Equipment (Re-bid)</t>
  </si>
  <si>
    <t>3628-20 Construction of Slope Protection, Brgy. Mamala I, Sariaya, Quezon - PEO</t>
  </si>
  <si>
    <t>EXTENSION OF 620 METERS TRANSMISSION PIPELINE TO BE LAID FROM IMBANG BRIDGE TO BACOLOD-SILAY AIRPORT ACCESS ROAD (BSAAR) CORNER SILAY-PATAG ROAD, BRGY. E. LOPEZ, SILAY CITY</t>
  </si>
  <si>
    <t>INSTALLATION OF CCTV CAMERA</t>
  </si>
  <si>
    <t>MATERIALS USE FOR MAINTENANCE OF DISASTER VEHICLES</t>
  </si>
  <si>
    <t>Improvement Of Multi-Purpose Building at Barangay Sampoli-B</t>
  </si>
  <si>
    <t>Installation of street light at Poblacion Diplahan ZSP</t>
  </si>
  <si>
    <t>Construction Of Local Road at Barangay Poblacion Diplahan ZSP</t>
  </si>
  <si>
    <t>PURCHASE OF WATER METERS AND FITTINGS &amp; MAINTENANCE OF WATERWORKS SYSTEM</t>
  </si>
  <si>
    <t>Installation of Solar Streetlights at San Roque St., Sapa 3, Rosario, Cavite</t>
  </si>
  <si>
    <t>CONSTRUCTION OF MULTI-PURPOSE BUILDING LOCATED AT SAN ISIDRO, AGOO, LA UNION</t>
  </si>
  <si>
    <t>SW-1008-2020-0122</t>
  </si>
  <si>
    <t>GOV-20-0377-B/ PRINTING SERVICES FOR CITIZEN'S CHARTER BOOKLETS</t>
  </si>
  <si>
    <t>SUPPLY AND DELIVERY OF MODULES OF JHS</t>
  </si>
  <si>
    <t>Supply &amp; Delivery Of 1 Set Submersible Pump &amp; Motor, &amp; 110 Meters Submersible Cable</t>
  </si>
  <si>
    <t>PROCUREMENT OF FUEL,OIL AND LUBRICANTS FOR MDRRMO</t>
  </si>
  <si>
    <t>20CSF002 (Re-advertisement) – Conduct of Feasibility Studies/Preliminary &amp; Detailed Engineering/Economic Analysis/Technical Studies/Traffic Impact Assessment for Daet-Roy Padilla Highway-Jct. Rolando</t>
  </si>
  <si>
    <t>Supply &amp; Delivery of Various Plastic Fittings</t>
  </si>
  <si>
    <t>1 unit Computer Set (07-0822) City Admin.</t>
  </si>
  <si>
    <t>Road Concreting located @ Camolinas, Poblacion, Cordova, Cebu</t>
  </si>
  <si>
    <t>Road Concreting located @ Bangbang to San Migeul, Cordova, Cebu</t>
  </si>
  <si>
    <t>Road Concreting located @ Kasadya to Gaisano Road, Poblacion, Cordova, Cebu</t>
  </si>
  <si>
    <t>Road Asphalting (Phase 2) located @ Bliss, Ibabao, Cordova, Cebu</t>
  </si>
  <si>
    <t>SUPPLIES AND DELIVEY OF CONSTRUCTION OF SPILL WAY</t>
  </si>
  <si>
    <t>19CSF009 - Parcellary Surveys and Land Titling of National Roads and Bridges and Other Facilities</t>
  </si>
  <si>
    <t>PROCUREMENT OF DROPSIDE TRUCK FOR MARKET OFFICE</t>
  </si>
  <si>
    <t>Contract ID No. 19K00473 - Construction of Malaybalay Circumferential Road, Bukidnon</t>
  </si>
  <si>
    <t>Purchase of Medicines &amp; Medical Supplies for MHO 3rd Quarter</t>
  </si>
  <si>
    <t>REPAIR OF ROOFDECK LEAKAGES OF NFA REGIONAL AND PROVINCIAL OFFICE BLDG. AND PROVISION OF  3RD FLOOR ROOFING/REGIONAL OFFICE LAB. THROUGH DESIGN AND BUILD</t>
  </si>
  <si>
    <t>Contract ID No. 19K00474 - Construction of Kibawe-Arakan Road, Bukidnon</t>
  </si>
  <si>
    <t>Renovation of Administration Building</t>
  </si>
  <si>
    <t>CY 2020 BASIC EDUCATIONAL FACILITIES FUNDS (BEFF) - REPAIR OF CLASSROOMS BATCH 2</t>
  </si>
  <si>
    <t>PROCUREMENT OF MATERIALS FOR NUTRITION PROGRAM</t>
  </si>
  <si>
    <t>Dog Soap etc.(07-0829) CMO</t>
  </si>
  <si>
    <t>LABOR AND MATERIALS FOR THE REPAIR OF AUTOMOTIVE BUILDING (DAMAGED BY TYPHOON TISOY) AT SORSOGON CITY CAMPUS</t>
  </si>
  <si>
    <t>PURCHASE OF 5 UNITS MOTORCYCLE FOR LGU</t>
  </si>
  <si>
    <t>LABOR AND MATERIALS FOR THE REPAIR OF STUDENT SERVICES BUILDING (DAMAGED BY TYPHOON TISOY) AT SORSOGON CITY CAMPUS</t>
  </si>
  <si>
    <t>Purchase of Fuel for RHU</t>
  </si>
  <si>
    <t>Animal Feeds</t>
  </si>
  <si>
    <t>PROCUREMENT OF DRUGS AND MEDICINES UNDER NEGOTIATED PROCUREMENT (TWO FAILED BIDDINGS), DR. JOSE RIZAL MEMORIAL HOSPITAL</t>
  </si>
  <si>
    <t>Jetmatic Pump etc. (08-0842) Hon. Baron</t>
  </si>
  <si>
    <t>LABOR AND MATERIALS FOR THE REPAIR OF COLLEGE BUILDING (DAMAGED BY TYPHOON TISOY) AT SORSOGON CITY CAMPUS</t>
  </si>
  <si>
    <t>Portland Cement etc.  (07-0774) CEO</t>
  </si>
  <si>
    <t>Other Machinery &amp; Equipment ( Waste Management Equipment)</t>
  </si>
  <si>
    <t>Procurement of Various Medical Supplies-08-122(Q)ZNMC</t>
  </si>
  <si>
    <t>Other Machinery &amp; Equipment</t>
  </si>
  <si>
    <t>Procurement of Diesel Fuel-08-468(A)PGO</t>
  </si>
  <si>
    <t>Contract ID No. 19CSK00060 – Consultancy Services for the Conduct of Feasibility Study for Masterson Avenue Alternate Diversion Road (ReXPRIP-30), Cagayan de Oro 1st Legislative District, L=16.00 KM</t>
  </si>
  <si>
    <t>Tile Works etc. (08-0898) CMO</t>
  </si>
  <si>
    <t>Construction of Pier 5 @ Berth 14, Cebu Baseport</t>
  </si>
  <si>
    <t>Computer Ribbon Refill etc. (08-0888) CTO</t>
  </si>
  <si>
    <t>Desktop Processor etc. (08-0882) DepEd Dipolog</t>
  </si>
  <si>
    <t>Provision of Additional Comfort Rooms and Upgrading of Electrical System @ Pier 1 Passenger Terminal, Cebu Baseport</t>
  </si>
  <si>
    <t>Procurement of Emergency Tents for the Disaster Risk Reduction Management Office</t>
  </si>
  <si>
    <t>ADH-20-0958-B PURCHASE OF MEDICAL EQUIPMENT</t>
  </si>
  <si>
    <t>Procurement of ICT Equipment for the Local School Board</t>
  </si>
  <si>
    <t>BREEDING AND NURSERY HOUSE LOT 1 and LOT 2 Rebid</t>
  </si>
  <si>
    <t>Procurement of Consultancy Services for Project Management and Quantity Surveyor</t>
  </si>
  <si>
    <t>Proposed Replacement of Covered Court Roofings Located at Sampaguita Hills, Brgy. Marcelo Green</t>
  </si>
  <si>
    <t>Procurement of Customized Bicycle for the Office of the Mayor</t>
  </si>
  <si>
    <t>Procurement of Office Supplies for the Local School Board</t>
  </si>
  <si>
    <t>Proposed Repair and Rehabilitation of Fourth Estate Elementary School – BF Extension, Brgy., B.F.</t>
  </si>
  <si>
    <t>Proposed Asphalt Overlay and Selective Patching of Various Road</t>
  </si>
  <si>
    <t>LABOR AND MATERIALS FOR THE REPAIR OF CANTEEN BUILDING (DAMAGED BY TYPHOON TISOY) AT CASTILLA CAMPUS</t>
  </si>
  <si>
    <t>Procurement of Internet Service Provider for the Public Elementary and Secondary Schools of Parañaque City</t>
  </si>
  <si>
    <t>Procurement of Meals for the CSWDO’s Bahay Aruga</t>
  </si>
  <si>
    <t>Procurement of Office Supplies for the Office of the City Treasurer</t>
  </si>
  <si>
    <t>Proposed Renovation and Additional Second Floor of All Top Day Care Center,Brgy. Merville</t>
  </si>
  <si>
    <t>Procurement of Hospital Supplies for the Ospital ng Parañaque I</t>
  </si>
  <si>
    <t>Supply and Delivery of Electrical and Other Supplies for the Ospital ng Parañaque I</t>
  </si>
  <si>
    <t>Supply &amp; Delivery of Vitamins for Students, DepEd-Buenavista District, Buenavista, Quezon</t>
  </si>
  <si>
    <t>Proposed Renovation and Additional Second Floor of Sitio Malaya Day Care Center,Brgy. Merville</t>
  </si>
  <si>
    <t>Supply &amp; Delivery of Office Supplies, LGU-Buenavista, Quezon</t>
  </si>
  <si>
    <t>Supply &amp; Delivery of Information &amp; Technology (IT) Equipment, LGU-Buenavista, Quezon</t>
  </si>
  <si>
    <t>Supply and Delivery of 230 Pcs. Raincoats and 1 Other Items;PR. No. 20-1679;Dated June 30, 2020</t>
  </si>
  <si>
    <t>Proposed Repair and Improvement of Multi-Purpose Hall Located at Teoville 3, Brgy. B.F.</t>
  </si>
  <si>
    <t>Proposed Replacement of Covered Court Roofings Located at Landscape, Brgy. Marcelo Green</t>
  </si>
  <si>
    <t>RETROFITTING OF BARANGAY MULTI PURPOSE HALL FOR QUARANTINE FACILITY</t>
  </si>
  <si>
    <t>Proposed Installation of Thirty Five (35) Units Solar Lamppost at Brgy., Marcelo Green</t>
  </si>
  <si>
    <t>Supply and Delivery of Office Furniture’s</t>
  </si>
  <si>
    <t>Supply &amp; Delivery of Laboratory Supplies, Municipal Health Office, Buenavista, Quezon</t>
  </si>
  <si>
    <t>G-2020-542 Supply and Delivery of Printing Supplies, City Schools Division</t>
  </si>
  <si>
    <t>Construction of Siquijor Provincial AA Abattoir</t>
  </si>
  <si>
    <t>G-2020-544 Supply and Delivery of Printers, City Schools Division</t>
  </si>
  <si>
    <t>G-2020-534 Supply and Delivery of Backfilling Materials, City Engineering and Infrastructure Development Department</t>
  </si>
  <si>
    <t>G-2020-488 Supply and Delivery of Fertilizer, City Agricultural Services Department</t>
  </si>
  <si>
    <t>G-2020-497 Supply and Delivery of Food Commodities, Gender and Development</t>
  </si>
  <si>
    <t>G-2020-541 Supply and Delivery of Printer Ink, City Schools Division</t>
  </si>
  <si>
    <t>G-2020-543 Supply and Delivery of Office Equipments, City Schools Division</t>
  </si>
  <si>
    <t>Seedling for Beautification &amp; Landscaping</t>
  </si>
  <si>
    <t>G-2020-535 Supply and Delivery of Sticker, City Treasury Management Office</t>
  </si>
  <si>
    <t>Supply and Delivery of Penetration Asphalt (85/100) and Repainting of Concrete Pavements including Guardrails along Various National Roads within BFDEO</t>
  </si>
  <si>
    <t>S &amp; D of Materials - Installation of Water Supply Pipelines to Batanes Resort (PEO)</t>
  </si>
  <si>
    <t>S &amp; D of IT Equipment (PTO)</t>
  </si>
  <si>
    <t>Improvement of Multi-purpose Hall at Parada-Batu</t>
  </si>
  <si>
    <t>Supply, Delivery and Installation of  Brand New Air-conditioners</t>
  </si>
  <si>
    <t>G-2020-516 Supply and Delivery of Furniture &amp; Fixture, City Schools Division</t>
  </si>
  <si>
    <t>20GF00003 - Purchase of 6 lots Road Sensors and 5 sets of ATC Machines assigned at PDD, (PR No. 20-06-125 dated 6/15/2020), DPWH Regional Office No. V, Rawis, Legazpi City</t>
  </si>
  <si>
    <t>COMMUNICATION EQUIPMENT</t>
  </si>
  <si>
    <t>Procurement of Supplies for the COVID19 Response 2nd Semester CY 2020</t>
  </si>
  <si>
    <t>SUPPL AND DELIVERY OF DRUGS &amp; MEDICINES</t>
  </si>
  <si>
    <t>PURCHASE OF MDRRMO RESCUE VEHICLE (LGU-JPCN)</t>
  </si>
  <si>
    <t>delivery of school and office supplies for the second quarter (april-june 2020)</t>
  </si>
  <si>
    <t>I-2020-021 Construction of Barangay Hall, Barangay I</t>
  </si>
  <si>
    <t>Proposed Renovation and Additional Second Floor of Cubic Day Care Center,Brgy. Merville</t>
  </si>
  <si>
    <t>(2020-023-II) - Construction of  Goat House</t>
  </si>
  <si>
    <t>Procurement of Construction Materials &amp; Supplies for the Construction of Slope Protection</t>
  </si>
  <si>
    <t>CONCRETING OF BARANGAY ROAD AT BRGY. CALANUTAN, ROSALES, PANG.</t>
  </si>
  <si>
    <t>Construction of Los Angeles Concrete Fence</t>
  </si>
  <si>
    <t>Installation of Surveillance Cameras</t>
  </si>
  <si>
    <t>Construction of 1 storey - 2 classroom School Building</t>
  </si>
  <si>
    <t>S &amp; D of Office and Other Supplies (PGB-GAD)</t>
  </si>
  <si>
    <t>S &amp; D of Two (2) Units Horizontal Steel Water Storage (P. Agri.)</t>
  </si>
  <si>
    <t>Fuel, Oil &amp; Lubricants</t>
  </si>
  <si>
    <t>Procurement of Tires for the Repair and Maintenance of Transportation Equipment</t>
  </si>
  <si>
    <t>Construction of Vegetable Trading Center</t>
  </si>
  <si>
    <t>Engagement of Mailing Service of PRO IVA for CY 2020</t>
  </si>
  <si>
    <t>Procurement of Services - Fiber Internet Connection@50Mbps</t>
  </si>
  <si>
    <t>Procurement of One (1) Lot Supply of Labor and Materials for the Proposed Repair/Rehabilitation of Comfort Rooms at Quezon City Central Post Office (Re-bidding)</t>
  </si>
  <si>
    <t>Procurement of One (1) Lot Supply of Labor and Materials for the Proposed Repair/Rehabilitation of Old Property Building (Re-bidding)</t>
  </si>
  <si>
    <t>MEDICAL SUPPLIES-JCH-20-0231-B(RE-BID)</t>
  </si>
  <si>
    <t>EXPLORATORY WELL AT SETIO GUSA PUMPING STATION, TALISAY CITY</t>
  </si>
  <si>
    <t>For the Egg Program</t>
  </si>
  <si>
    <t>G-2020-545 Supply and Installation of Partition and Office Chair, City College of Calamba</t>
  </si>
  <si>
    <t>Elevated Water Tank etc. (07-0819) CGSO</t>
  </si>
  <si>
    <t>LABORATORY REAGENTS-JCH-20-0174-B(RE-BID2)</t>
  </si>
  <si>
    <t>Enclosure of Cansusi Warehouse (DSWMP Facility)</t>
  </si>
  <si>
    <t>32 Inches FlatScreen Led TV etc. (08-0859) CIO</t>
  </si>
  <si>
    <t>Rep. &amp; Maint. of Vehicle</t>
  </si>
  <si>
    <t>G-2020-517 Supply and Installation of CCTV, City Planning and Development Office</t>
  </si>
  <si>
    <t>Rehabilitation of Level I / Jet Matic Pump, Altavas, Aklan</t>
  </si>
  <si>
    <t>Generator Set</t>
  </si>
  <si>
    <t>DRUGS AND MEDICINES-RTH-20-0709-B</t>
  </si>
  <si>
    <t>S &amp; D of Construction Materials for the Upgrading/Concreting of Kaumbakan-Tukon Provincial Road, PI &amp; PII (PEO)</t>
  </si>
  <si>
    <t>S &amp; D of Office Equipment (P. Acctg)</t>
  </si>
  <si>
    <t>Public Bidding of Two (2) Well Drilling Projects at Can-asujan, Carcar City, Cebu</t>
  </si>
  <si>
    <t>Procurement of Construction Supplies-08-535(O)PEO</t>
  </si>
  <si>
    <t>Procurement of Electrical System and Lighting Components-07-468(O)PEO</t>
  </si>
  <si>
    <t>MEDICAL SUPPLIES-RTH-20-0180-B(RE-BID2)</t>
  </si>
  <si>
    <t>DRUGS AND MEDICINES-RTH-20-0214-B(RE-BID)</t>
  </si>
  <si>
    <t>Proposed Repair, Rehabilitation and Improvement of Sidewalk along the Heritage Zone, Rizal Ave., San Pablo City.</t>
  </si>
  <si>
    <t>MEDICAL SUPPLIES-RTH-20-0177-B(RE-BID2)</t>
  </si>
  <si>
    <t>CATERING SERVICES/SVP No. BB-2020-08-005</t>
  </si>
  <si>
    <t>Procurement of Services for Printing and Delivery of Definitive Stamps “Philippine Shells/Flowers” and PHLPost Mailing Center Stamps</t>
  </si>
  <si>
    <t>REHABILITATION OF LINE CANAL ALONG BURGOS ST, MARZAN ST, MORIONES ST, &amp; BONIFACIO ST., CENTRO 02, SANCHEZ MIRA, CAGAYAN</t>
  </si>
  <si>
    <t>DRUGS AND MEDICINES-RTH-20-0371-B</t>
  </si>
  <si>
    <t>20GII0011 Procurement of Personal Protective Equipment and Accessories</t>
  </si>
  <si>
    <t>Construction of Masonry Drainage Structure Going Aquino St., Annafunan West, Tuguegarao City</t>
  </si>
  <si>
    <t>2nd Quarter Office Supplies and Equipment</t>
  </si>
  <si>
    <t>Invitation to Bid for the Procurement of ICT Equipment Under 2020 MITHI Program</t>
  </si>
  <si>
    <t>Procurement of 252,000 Liters Unleaded Gasoline, 210,000 Liters Diesel and 1 Lot Oil and Lubricants</t>
  </si>
  <si>
    <t>IMPROVEMENT OF  MUNICIPAL HALL BUILDING</t>
  </si>
  <si>
    <t>CONSTRUCTION OF HAND WASHING AREAS IN SCHOOL</t>
  </si>
  <si>
    <t>Purchase of 1 unit Double Door Vehicle</t>
  </si>
  <si>
    <t>Purchase of Materials &amp; Facilities for SK Basketball court project</t>
  </si>
  <si>
    <t>Improvement/Rehabilitation of Head Tipan-Newland Road</t>
  </si>
  <si>
    <t>Rehabilitation/Repair of COA Office and Construction of 2-Storey Storage Building(PR No.20-03-0188)</t>
  </si>
  <si>
    <t>Purchase of Construction materials for the REPAIR OF PBCC FARM DEMO SHED AT ADTUYON, PANGANTUCAN BUKIDNON</t>
  </si>
  <si>
    <t>EXPANSION OF AY-WD SERVICE COVERAGE TO BARANGAY INACBAN</t>
  </si>
  <si>
    <t>Procurement of Various Appliance</t>
  </si>
  <si>
    <t>Purchase of construction materials for the project: Fabrication of Signage and Painting of Pedestrian lane at Poblacion, Pangantucan Bukidnon</t>
  </si>
  <si>
    <t>Supply and Delivery of Various Office Supplies &amp; Office Equipment's for DepEd Culasi, Antique</t>
  </si>
  <si>
    <t>KABUJUAN ISLET DEVELOPMENT PROJECT</t>
  </si>
  <si>
    <t>Proposed Renovation of City Civil Registry Office (City Hall Compound); SN 190 - 2020</t>
  </si>
  <si>
    <t>DRUGS AND MEDICINES-RTH-20-0369-B</t>
  </si>
  <si>
    <t>Contract for Building Improvement (Construction of Hallway of Legislative Office)</t>
  </si>
  <si>
    <t>MEDICAL SUPPLIES-RTH-20-0181-B(RE-BID2)</t>
  </si>
  <si>
    <t>LABORATORY SUPPLIES-RTH-20-0974-B</t>
  </si>
  <si>
    <t>Alternator Assy. etc. (08-0833) Operation of Public Motorpool</t>
  </si>
  <si>
    <t>Construction of ILU' CIS</t>
  </si>
  <si>
    <t>DRUGS AND MEDICINES-RTH-20-0368-B</t>
  </si>
  <si>
    <t>MEDICAL SUPPLIES-RTH-20-0218-B(RE-BID)</t>
  </si>
  <si>
    <t>Photographic Equipment (Camera)</t>
  </si>
  <si>
    <t>PROCUREMENT OF WHEEL TYPE BACKHOE WITH ADDITIONAL BREAKER (WITH BREAKER LINE, 6 TONS BREAKER ASSEMBLY, AND 20 TONS BREAKER ASSEMBLY).</t>
  </si>
  <si>
    <t>Purchase of diesel &amp; gasoline for the implementation of various municipal projects &amp; activities</t>
  </si>
  <si>
    <t>Procurement of  DSLR Camera</t>
  </si>
  <si>
    <t>Expansion and Maintenance of Motorpool Area</t>
  </si>
  <si>
    <t>Supply and Delivery of A &amp; B Liquid Chlorine (Chlorine Dioxide)</t>
  </si>
  <si>
    <t>Supply and Delivery of 3300 boxes Sodium Ascorbate Fortified with Zinc Capsule</t>
  </si>
  <si>
    <t>DELIVERY/SUPPLY FOR THE IMPROVEMENT OF MULTI-PURPOSE HALL, DISTRICT 2, DAUIN. (RE-BID)</t>
  </si>
  <si>
    <t>CONSTRUCTION OF MARFUWANG FOOTPATH, BELONG MAN-UBAL</t>
  </si>
  <si>
    <t>Repair and Maintenance of Office Building</t>
  </si>
  <si>
    <t>ROOFING OF PATHWAYS (STEPS)</t>
  </si>
  <si>
    <t>S &amp; D of Vegetable Seeds (P. Agri)</t>
  </si>
  <si>
    <t>Procurement of Construction of Line Canal at Panaytayan Dumpsite</t>
  </si>
  <si>
    <t>PROCUREMENT OF TOTAL STATION SURVEY EQUIPMENT AND VARIOUS EQUIPMENTS FOR PLANNING OFFICE</t>
  </si>
  <si>
    <t>PURCHASE OF MEALS AND SNACKS</t>
  </si>
  <si>
    <t>EXPANSION/INSTALLATION OF STREETLIGHTS</t>
  </si>
  <si>
    <t>PROCUREMENT OF FUEL AND OIL</t>
  </si>
  <si>
    <t>Street Lights (ES)</t>
  </si>
  <si>
    <t>Delivery of various materials for the repair and maintenance of Barangay  Leet Hanging Bridge</t>
  </si>
  <si>
    <t>2 Lots - Primary and Secondary Internet Access Service (IAS) for BSP – Head Office and BSP – Security Plant Complex as per BSP Terms of Reference and Service Level Agreement</t>
  </si>
  <si>
    <t>PR-2020-05-115 CLA Supply, Delivery &amp; Installation of Air-conditioning Equipment for the Laboratory Rooms &amp; Offices</t>
  </si>
  <si>
    <t>IMPROVEMENT OF DRAINAGE CANAL,, A. CANAO</t>
  </si>
  <si>
    <t>Maintenance and Other Operating Expenses ( MOOE)</t>
  </si>
  <si>
    <t>CONSTRUCTION OF DRAINAGE CANAL, DANGOY</t>
  </si>
  <si>
    <t>CONSTRUCTION OF WATER WORKS, DANGOY</t>
  </si>
  <si>
    <t>IMPROVEMENT OF FARM TO MARKET ROAD, BAWAK, MALUCSAD</t>
  </si>
  <si>
    <t>Delivery of various materials for the construction/installation of Streetlights with Posts</t>
  </si>
  <si>
    <t>UPGRADING/IMPROVEMENT OF ROAD, CALBAYAN, CALBAYAN</t>
  </si>
  <si>
    <t>Procurement of Kitchenware and beddings use for MDRRM Operation Center (Non-Goods Items)</t>
  </si>
  <si>
    <t>MAINTENANCE/REPAIR OF PROVINCIAL ROAD, LIWAN WEST-ANONANG PROVINCIAL ROAD</t>
  </si>
  <si>
    <t>PROCUREMENT OF SUPPLIES OF MOOE OF LINGI-ON ES</t>
  </si>
  <si>
    <t>ESTABLISHMENT OF INTERNET-BASED ATTENDANCE TRACKING SYSTEM</t>
  </si>
  <si>
    <t>IMPROVEMENT OF WATER WORKS SYSTEM, BISSONG, POBLACION</t>
  </si>
  <si>
    <t>Provision for Freight Services of Pag-IBIG Fund Calamba Hub, Calamba Branch &amp; Santa Rosa Branch from August to December 2020</t>
  </si>
  <si>
    <t>Supply and delivery of various commodities for the children beneficiaries of Supplementary Feeding Program of the Municipality of Quirino, Ilocos Sur</t>
  </si>
  <si>
    <t>DRUGS AND MEDICINES-RTH-20-0217-B(RE-BID)</t>
  </si>
  <si>
    <t>For use in Service Vehicles of DepEd, this city.</t>
  </si>
  <si>
    <t>Supply and delivery of various commodities for the children beneficiaries of Supplementary Feeding Program of the Municipality of San Emilio, Ilocos Sur</t>
  </si>
  <si>
    <t>SUPPLY AND DELIVERY OF JANITORIAL SUPPLIES FOR AUGUST- SEPTEMBER 2020 AT ILOILO INTERNATIONAL AIRPORT</t>
  </si>
  <si>
    <t>RFQ No.20-0745 Shopping (B) - Procurement of consumables needed for Samsung Digital Multi-Express X7400GX (Toners and Ink Drums)</t>
  </si>
  <si>
    <t>Procurement of Communication Equipment for Various Offices</t>
  </si>
  <si>
    <t>CONSTRUCTION OF CONCRETE FOOTPATH, BACACAO BRIDGE TO IP HALL, TAWANG</t>
  </si>
  <si>
    <t>construction of pathway</t>
  </si>
  <si>
    <t>Water supply</t>
  </si>
  <si>
    <t>Name of Project : To purchase another inconeof the association menbers and opportunity of employment and project sustainability</t>
  </si>
  <si>
    <t>ITB NO. 20-081 SUPPLY AND DELIVERY OF NINE THOUSAND FIVE HUNDRED PIECES (9,500 PCS.) GOWN, SURGICAL DISPOSABLE (STERILE)</t>
  </si>
  <si>
    <t>MEDICAL SUPPLIES-JCH-20-0230-B(RE-BID2)</t>
  </si>
  <si>
    <t>MEDICAL SUPPLIES-JCH-20-0690-B</t>
  </si>
  <si>
    <t>Supply and delivery of various commodities for the children beneficiaries of Supplementary Feeding Program of the Municipality of San Ildefonso, Ilocos Sur</t>
  </si>
  <si>
    <t>2nd RE-BIDIDNG FOR SUPPLY AND DELIVERY OF VARIOUS PATIENT CARDIAC MONITORS / DEFIBRILLATORS (LINE BIDDING)</t>
  </si>
  <si>
    <t>Procurement of Catering Services (1 Day) (Conduct Seminar of Force Multipliers)</t>
  </si>
  <si>
    <t>20FK0065-Modified Standard DPWH-DepED 2-units One (1) storey Two (2) Classroom School Building (7.0m x 18.0 m plus 2.5 m. corridor) with common toilet at one site La Union Elementary School, Castilla,</t>
  </si>
  <si>
    <t>IMPROVEMENT OF MULTI-PURPOSE HALL LOCATED AT STA ANA, AGOO, LA UNION</t>
  </si>
  <si>
    <t>MATERIALS FOR CONCRETE ROAD CONSTRUCTUONAT PUROK MINORO,BRGY AMAYCO</t>
  </si>
  <si>
    <t>PIKCOT-002020-021*REPOST*(SUPPLY AND DELIVERY OF KNAPSACK SPRAYERS)</t>
  </si>
  <si>
    <t>Barangay Service Vehicle</t>
  </si>
  <si>
    <t>CONSTRUCTION OF SEAWEEDS NURSERY (MAO)</t>
  </si>
  <si>
    <t>CONCRETING OF LOCAL ACCESS ROAD</t>
  </si>
  <si>
    <t>Procurement of Catering Services (1 Day) (Enforcement of Laws and Prevention of Crimes)</t>
  </si>
  <si>
    <t>IMPROVEMENT OF BARANGAY TANOD OUTPOST</t>
  </si>
  <si>
    <t>Record Book</t>
  </si>
  <si>
    <t>Procurement of Bottled Water and Rice (Support to Aid for PNP Operation)</t>
  </si>
  <si>
    <t>OSMEÑA 03-2020 - Installation of Solar-Powered LED Streetlights</t>
  </si>
  <si>
    <t>Supply and delivery of various commodities for the children beneficiaries of Supplementary Feeding Program of the Municipality of Santa, Ilocos Sur</t>
  </si>
  <si>
    <t>Procurement of Grocery Items</t>
  </si>
  <si>
    <t>CCTV Surveillance System complete with Accessories</t>
  </si>
  <si>
    <t>Rehabilitation of San Miguel Barangay  Road</t>
  </si>
  <si>
    <t>CONSTRUCTION OF FLOATING DRYER (MAO)</t>
  </si>
  <si>
    <t>PROCUREMENT OF SUPPLIES FOR THE REALIGNMENT OF DRRM FUND - DISINFECTION OF SCHOOL BUILDING AND FACILITIES</t>
  </si>
  <si>
    <t>CONSTRUCTION OF MULTIPURPOSE DRYING PAVEMENT ( 2 UNITS)</t>
  </si>
  <si>
    <t>Supply and Delivery of Service Connection Materials and for Distribution lines expansion and repair of Talugtug Water District</t>
  </si>
  <si>
    <t>REPLACEMENT AND UPGRADE PARTS FOR DESKTOP COMPUTERS.</t>
  </si>
  <si>
    <t>Purchase of Commodities for MPDO</t>
  </si>
  <si>
    <t>ADMINISTRATION AND STA. TERESITA BUILDING TERMITE TREATMENT</t>
  </si>
  <si>
    <t>Supply and delivery of various commodities for the children beneficiaries of Supplementary Feeding Program of the Municipality of San Esteban, Ilocos Sur</t>
  </si>
  <si>
    <t>SUPPLY AND DELIVERY OF VEHICLE MAINTENANCE SUPPLIES, PARTS AND ACCESSORIES FOR VARIOUS TRANSPORTATION EQUIPMENT / VEHICLE OF THE CITY - TWO FAILED BIDDING</t>
  </si>
  <si>
    <t>Purchase of Human Medicine</t>
  </si>
  <si>
    <t>PR. 20-08-308 (2020-08-290) PROCUREMENT OF TOOLS FOR HYDRAULIC SOUNDING, PIPE THREADER, WRENCH AND STEEL TAPE METER</t>
  </si>
  <si>
    <t>SUPPLY AND DELIVERY OF IT SUPPLIES FOR AUGUST- SEPTEMBER 2020 AT ILOILO INTERNATIONAL AIRPORT</t>
  </si>
  <si>
    <t>FURNITURE</t>
  </si>
  <si>
    <t>PROCUREMENT OF CONSTRUCTION MATERIALS</t>
  </si>
  <si>
    <t>Procurement of Materials &amp; Supplies for Solid Waste Management</t>
  </si>
  <si>
    <t>Transport Boxes for COVID-19 Surveillance</t>
  </si>
  <si>
    <t>SUPPLY AND DELIVERY OF ADDITIONAL MATERIALS FOR GUIO-ANG COVERED COURT.</t>
  </si>
  <si>
    <t>Procurement of Laboratory Supplies for Hinatuan District Hospital Laboratory.</t>
  </si>
  <si>
    <t>Purchase of Construction Materials for the Rehabilitation of Multi-purpose Building, BDF</t>
  </si>
  <si>
    <t>Supply and delivery of various commodities for the children beneficiaries of Supplementary Feeding Program of the Municipality of Santiago, Ilocos Sur</t>
  </si>
  <si>
    <t>Rebidding: 4 pcs Printer, Print, Scan &amp; Copy with Built-in Wireless and other items for enhancement of the educational learning of Piapi High school.</t>
  </si>
  <si>
    <t>ITB2020-022 LBP Dagupan re: Construction of LANDBANK Dagupan Branch Offsite ATM at CSI Bonuan</t>
  </si>
  <si>
    <t>Tire 265x60x18</t>
  </si>
  <si>
    <t>INFORMATION TECHNOLOGY PARTS AND ACCESSORIES AND PERIPHERALS</t>
  </si>
  <si>
    <t>Supply &amp; Delivery of Plumbing Supplies - Rebid</t>
  </si>
  <si>
    <t>Water Dispenser,Double A Battery,etc....</t>
  </si>
  <si>
    <t>Rehabilitation of Farm-to-Market Road - Paduros</t>
  </si>
  <si>
    <t>Supply of Materials for the Installation of Temporary Quarantine Facility Project 2</t>
  </si>
  <si>
    <t>ROAD OPENING OF MUNICIPAL STREET AT POBLACION/CIPRIANO ESPALDON ST.</t>
  </si>
  <si>
    <t>ACQUISITION OF TRI WHEEL MOTOR VEHICLE</t>
  </si>
  <si>
    <t>Extension of Barangay Street lightings (materials)</t>
  </si>
  <si>
    <t>PURCHASE OF MEDICAL SUPPLIES AND EQUIPMENTS</t>
  </si>
  <si>
    <t>SUPPLY AND DELIVERY OF HARDWARE SUPPLIES AND MATERIALS FOR VARIOUS OFFICES - TWO FAILED BIDDING</t>
  </si>
  <si>
    <t>For use of Office of the City Budget Officer</t>
  </si>
  <si>
    <t>One (1) Job Contract for the Construction of Government Complex-Gymnasium Phase V, F. Palmares St. Passi City, Iloilo/CEO</t>
  </si>
  <si>
    <t>INFRASTRUCTURE WORKS FOR THE CONSTRUCTION/IMPROVEMENT OF WATER SUPPLY SYSTEM (PHASER 2) AT SITIO BATO,  BARANGAY BASAK, ZAMBOANGUITA, NEGROS ORIENTAL</t>
  </si>
  <si>
    <t>ZDS-2020-009: 2nd SEMESTER ZDS PANTAWID OFFICE SUPPLIES (July-December 2020)</t>
  </si>
  <si>
    <t>Commodities to be used for COVID-19 Response</t>
  </si>
  <si>
    <t>SUPPLY, DELIVERY, INSTALLATION, TESTING AND COMMISIONING OF AIRCONDITIONING UNIT (1 UNIT 2.0 TR WALL MOUNTED (INVERTER) FOR LBP KIDAPAWAN BRANCH INCLUDING INSTALLATION OF ELECTRICAL FEEDER LINES AND D</t>
  </si>
  <si>
    <t>PURCHASE AND INSTALLATION OF WINDOW BLINDS OF DIFFERENT OFFICES (sec. publication)</t>
  </si>
  <si>
    <t>NVITATION TO BID FOR THE PROCUREMENT OF MATERIALS FOR THE PROJECT OF CONSTRUCTION OF HANGING BRIDGE (PHASE 1) LOCATED @ PUROK 7, LAMACANAN, BARANGAY SALVACION, MONKAYO, DAVAO DE ORO PROVINCE</t>
  </si>
  <si>
    <t>1 UNIT LAPTOP COMPUTER AND 1 UNIT SWIVEL CHAIR</t>
  </si>
  <si>
    <t>Supply and Delivery of Reusable Bags (Polypropylene &amp; Katsa Cloth with Print</t>
  </si>
  <si>
    <t>1 SET WALL GLASS SIZE 316</t>
  </si>
  <si>
    <t>Purchase and Delivery of Materials for Construction of Additional Tables (Galvan National High School)</t>
  </si>
  <si>
    <t>Procurement of Fuel for Provincial Equipments from Marihatag-Lianga, Surigao del Sur (For the month of August 2020 3rd Quarter).</t>
  </si>
  <si>
    <t>Supply &amp; Delivery of Various Materials for the Construction of Public Comfort Room of Brgy. Bago, Bato, Leyte (BAGOGOODS2020-02)</t>
  </si>
  <si>
    <t>CARPENTRY AND PAINTING SUPPLIES</t>
  </si>
  <si>
    <t>SUPPLY AND DELIVERY OF OFFICE SUPPLIES FOR AUGUST- SEPTEMBER 2020 AT ILOILO INTERNATIONAL AIRPORT</t>
  </si>
  <si>
    <t>PURCHASE OF ANTI VIRUS AND OFFICE PRODUCTIVITY SUITE</t>
  </si>
  <si>
    <t>Purchase of Office Equipment for President's Office use</t>
  </si>
  <si>
    <t>Invitation to Bid for the Construction of Drainage Canal</t>
  </si>
  <si>
    <t>Sealed Quotation - One (1) Lot - Rental of three (3) service vehicle for Pag-IBIG Fund Property OVP-HLO Valuation Division from September to November 2020</t>
  </si>
  <si>
    <t>CONSTRUCTION OR REHAB. OF LOCAL ROAD AT BARANGAY CALAPE - CEMETERY</t>
  </si>
  <si>
    <t>Invitation to Bid for the Concreting of Motorpool Road</t>
  </si>
  <si>
    <t>BPSU-MC-REDO Electronic Materials for Development of Mussels Automated Depuration System</t>
  </si>
  <si>
    <t>Supply and delivery of various commodities for the children beneficiaries of Supplementary Feeding Program of the Municipality of Sigay, Ilocos Sur</t>
  </si>
  <si>
    <t>Furnishing of construction materials for Can-asujan SRIS</t>
  </si>
  <si>
    <t>Construction of Roads and Leveling (of New Barangay Site)</t>
  </si>
  <si>
    <t>HARDWARE MATERIALS</t>
  </si>
  <si>
    <t>INFRASTRUCTURE WORKS FOR THE IMPROVEMENT OF WATER SUPPLY SYSTEM AT SITIO MAG-ABO, BARANGAY MALUAY, ZAMBOANGUITA, NEGROS ORIENTAL</t>
  </si>
  <si>
    <t>Procurement of Diesel Fuel for Provincial Equipments from Barobo-Lingig, Surigao del Sur (For the Month of August 2020 3rd Quarter)</t>
  </si>
  <si>
    <t>Supply and delivery of various commodities for the children beneficiaries of Supplementary Feeding Program of the Municipality of Sta. Maria, Ilocos Sur</t>
  </si>
  <si>
    <t>Supply and Delivery One Unit Tire Changer</t>
  </si>
  <si>
    <t>SUPPLY AND DELIVERY OF INFORMATION AND COMMUNICATION TECHNOLOGY EQUIPMENT</t>
  </si>
  <si>
    <t>Improvement of Consignation Building at the Public Market</t>
  </si>
  <si>
    <t>20GG0066-G - Procurement of Packed Snacks and Lunch for the conduct of Public Consultations/Coordination Meetings regarding the Widening of National Roads and Bridges along National Roads of DPWH Iloi</t>
  </si>
  <si>
    <t>Various Infrastructure Projects Under Cluster A-2020</t>
  </si>
  <si>
    <t>Labor and Materials for the RE – PIPING  OF SCHOOL WATER LINE</t>
  </si>
  <si>
    <t>Invitation to Bid for the Reblocking / Concreting of Municipal Streets</t>
  </si>
  <si>
    <t>ESTABLISHMENT OF LGU WEBSITE</t>
  </si>
  <si>
    <t>NLP20-08-17-0328 Supply and Delivery of Vehicle Parts and Accessories.</t>
  </si>
  <si>
    <t>Information Technology &amp; Communication Equipment (Computer Printer)</t>
  </si>
  <si>
    <t>Procurement of Fuel for Provincial Government of Surigao del Sur Equipments and Vehicles (for the month of August 3rd Quarter of the year 2020).</t>
  </si>
  <si>
    <t>Repair and Maintenance of one (01) unit L300 (Jeepney Type) Mitsubishi w/ Plate No -SJF-290</t>
  </si>
  <si>
    <t>SUPPLY AND DELIVERY OF MEDICAL SUPPLIES</t>
  </si>
  <si>
    <t>ROAD OPENING OF LOCAL ROAD AT BARANGAY KATIPUNAN</t>
  </si>
  <si>
    <t>Procurement of ICT and Printing Equipment and Supplies under MITHI Program CY 2020</t>
  </si>
  <si>
    <t>Supply and delivery of Vehicle Parts and Accessories</t>
  </si>
  <si>
    <t>S &amp; D of Materials for the Installation of Metal Structure (Water Tank Stand) (P. Agri.)</t>
  </si>
  <si>
    <t>Orientation of CSOs on Participatory Governance as Mechanism in Stregnthening the Local Development Council for Selected LGUs (September 1-4, 2020)</t>
  </si>
  <si>
    <t>COMPLETION OF MULTI-PURPOSE BUILDING</t>
  </si>
  <si>
    <t>FOOD STUFF/SUPPLIES</t>
  </si>
  <si>
    <t>Procurement of Fuel for Provincial Equipments (For the month of August 2020 3rd Quarter).</t>
  </si>
  <si>
    <t>RFQ NO. 20-128 SUPPLY AND DELIVERY OF VARIOUS OR SUPPLIES (LINE ITEM)</t>
  </si>
  <si>
    <t>MEALS AND SNACKS</t>
  </si>
  <si>
    <t>CONSTRUCTION OF PUBLIC MARKET DRAINAGE SYSTEM – PHASE I</t>
  </si>
  <si>
    <t>Supply and delivery of various commodities for the children beneficiaries of Supplementary Feeding Program of the Municipality of Sugpon, Ilocos Sur</t>
  </si>
  <si>
    <t>Supply and Delivery of Various Supplies and Materials for the COVID-19 Disinfection Program and Precautionary Measures</t>
  </si>
  <si>
    <t>CONSTRUCTION OR REHAB. OF LOCAL ROAD AT BARANGAY KIMA (TABYON-PANTALAN)</t>
  </si>
  <si>
    <t>SUPPLY &amp; DELIVERY OF T-SHIRTS</t>
  </si>
  <si>
    <t>Supply of 1 unit Floor Polisher, 16" diameter, heavy duty and 1 unit Vacuum Cleaner, 1.5HP, heavy duty, wet &amp; dry</t>
  </si>
  <si>
    <t>PROCUREMENT OF ONE (1) LOT SPARE PARTS FOR USE OF VL NISSAN NAVARA 1312-431193</t>
  </si>
  <si>
    <t>Supply and Delivery of Rust Remover Soak, Spark Plug &amp; Carburator ( H-021-0585-20 )</t>
  </si>
  <si>
    <t>Purchase of Commodities for DepEd North</t>
  </si>
  <si>
    <t>Supply and Installation of 5100 Fixed Volleyball Post for Volleyball Post and Net, City of Passi Arena, Passi City, Iloilo/CSDO</t>
  </si>
  <si>
    <t>Ascorbic Acid with Zinc</t>
  </si>
  <si>
    <t>ZDS-2020-010: Provision of Meals and Snacks for the Staff Conducting UCT-Listahanan Payout Activity in Pagadian City</t>
  </si>
  <si>
    <t>Procurement of Service for Printing of Self-Learning Modules (SLMs)</t>
  </si>
  <si>
    <t>Supply and Delivery of Manhole Cover</t>
  </si>
  <si>
    <t>Purchase of Submersible Pump</t>
  </si>
  <si>
    <t>Supply and delivery of steel cabinets for the Office of the City Assessor, Kidapawan City.</t>
  </si>
  <si>
    <t>SUPPLY AND DELIVERY OF MATERIALS FOR THE REHABILITATION OF STREETLIGHTS, BRGY. PAG-AGUASAN, UNISAN, QUEZON</t>
  </si>
  <si>
    <t>Supply and delivery of various commodities for the children beneficiaries of Supplementary Feeding Program of the Municipality of Sta. Catalina, Ilocos Sur</t>
  </si>
  <si>
    <t>Supply and Delivery of Drugs and Medicines for RHU of Pasil</t>
  </si>
  <si>
    <t>2020-335 Certification services for Organic Agriculture Third Party Certification</t>
  </si>
  <si>
    <t>RICE20-08-11-1002 Provide catering services during the Regional Retooling on Pest Risk Identification and Management (PRIME) Crop Health Assessment.</t>
  </si>
  <si>
    <t>Rehabilitation/Repair of Barangay Road along M.H.Del Pilar St., Rizal, Roxas, Isabela</t>
  </si>
  <si>
    <t>CONCRETING OF CALAYAN CIRCUMFERENTIAL ROAD (BIRA-BIRA - CAANAWAN SECTION) Barangay Magsidel, Calayan, Province of Cagayan</t>
  </si>
  <si>
    <t>Purchase of Fuel</t>
  </si>
  <si>
    <t>Supply and Delivery of Floor Tiles, Electric Hand Dryer, Led Eco Downlight, Canyon Esperanza and Wood Moulding Skirting ( H-007-0566-20 )</t>
  </si>
  <si>
    <t>CY 2020 BEFF REPAIR OF CLASSROOMS BATCH 2</t>
  </si>
  <si>
    <t>Riprapping/Embankment Protection</t>
  </si>
  <si>
    <t>17 UNITS WHEELCHAIR</t>
  </si>
  <si>
    <t>Delivery and Supply of Brand New Ambulance Vehicle with Equipment and Accessories</t>
  </si>
  <si>
    <t>ITB No. 019-2020-First Posting-Supply and Delivery of Photocopier for the Distance Learning Modules of LGU-Hingyon, Ifugao.</t>
  </si>
  <si>
    <t>Materials for Expansion of Antequera Waterworks System at Bantolinao, Antequera, Bohol</t>
  </si>
  <si>
    <t>SLOTTED ANGLE BAR</t>
  </si>
  <si>
    <t>Construction of Multi-Purpose Evacuation Center @ una-Rang-ayan E/S, Luna, Roxas, Isabela</t>
  </si>
  <si>
    <t>Supply and delivery of fabricated Poultry Steel Shed for the Office of the City Veterinarian, Kidapawan City</t>
  </si>
  <si>
    <t>Construction of Ampongol Barangay Hall Extension</t>
  </si>
  <si>
    <t>Supply and Delivery of Expansion Bolt, C-Purlins, Forstner Bit &amp; Deformed Steel Bars ( H-008-0567-20 )</t>
  </si>
  <si>
    <t>Request for quotation PR No. 1181-20</t>
  </si>
  <si>
    <t>CY 2020 BEFF Repair of Classrooms Batch 2 – San Simon ES (Lot 3)</t>
  </si>
  <si>
    <t>Construction of 3 Storey Multi-Purpose Building with Early Childhood Care Development Center @ Luna, Roxas, Isabela</t>
  </si>
  <si>
    <t>Purchase of Meals and Snacks For Gingoog City Response Team Training. Under P.R. No. 60-20-08-171</t>
  </si>
  <si>
    <t>Invitation to Bid for SUPPLY, DELIVERY AND INSTALLATION OF SLAUGHTERHOUSE MACHINERY AND EQUIPMENT FOR LGU – BORONGAN CITY, EASTERN SAMAR</t>
  </si>
  <si>
    <t>20CN0157 (Re-adv.) - Repair/Maintenance of Bridges along National Roads, A. Castañeda – Ma. Aurora – San Luis Road &amp; Baler – Casiguran Road (Baler – Dinadiawan)</t>
  </si>
  <si>
    <t>2020-336 Certification services for Organic Agriculture Third Party Certification-Vizcaya Fresh</t>
  </si>
  <si>
    <t>Supply and Delivery of Mantianak Botanical Garden and Zoological Park Animal Feeds</t>
  </si>
  <si>
    <t>Rebidding of the Procurement of Furniture and Fixtures (Lot 3)</t>
  </si>
  <si>
    <t>Supply and delivery of 265 pcs. T-Shirts with collar and logo for use in LPH Hospital Week Celebration. ABC PHP119,250.00</t>
  </si>
  <si>
    <t>Printing of Animal Bite Record Card for the Office of the City Health, Kidapawan City.</t>
  </si>
  <si>
    <t>Supply &amp; Installation of Airconditioning Unit at GSO</t>
  </si>
  <si>
    <t>Procurement of Plastic Bag</t>
  </si>
  <si>
    <t>Improvement of ETRACS Database and Server of San Jose de Buenavista, Antique</t>
  </si>
  <si>
    <t>Procurement of  biologics</t>
  </si>
  <si>
    <t>Sealed Quotation - One (1) Lot - Supply, Delivery and Installation of Acrylic Partitions for Teller's Counter, Frontline and Clerical Workstations of Pag-IBIG Fund Calapan Branch</t>
  </si>
  <si>
    <t>Package 1 – Supply and delivery of materials for the Construction of Twenty (20) Units Solar Drier under Local Economic Development Project for the following barangays; Anick, Banucagon, Buluan, Buluc</t>
  </si>
  <si>
    <t>CY 2020 BEFF Repair of Classrooms Batch 2 – Old San Jose ES (Lot 1)</t>
  </si>
  <si>
    <t>20GG0067-G - Procurement of Various Spare Parts for Use of Various Service Vehicles Assigned for the Repair and Maintenance of National Roads of DPWH Iloilo 2nd DEO, Balabag, Dumangas, Iloilo</t>
  </si>
  <si>
    <t>Purchase of Construction Materials Used for the Installation of Perimeter Fence of the PNP</t>
  </si>
  <si>
    <t>Package 3 – Supply and Delivery of Materials for the Concreting of Labanon Street, Poblacion 1, Pigcawayan, Cotabato.</t>
  </si>
  <si>
    <t>Preventive Maintenance Services for Motor Vehicles (2017 Toyota Altis A/T) of the Philippine Competition Commission</t>
  </si>
  <si>
    <t>CY 2020 BEFF Repair of Classrooms Batch 2 – San Pablo ES (Lot 2)</t>
  </si>
  <si>
    <t>Supply and Delivery of 4" Digital Electromagnetic ( H-011-0570-20 )</t>
  </si>
  <si>
    <t>PROCUREMENT OF SUPPLIES AND MATERIALS FOR MODULE PRINTING</t>
  </si>
  <si>
    <t>Supply and Delivery of 4000 reams Bond Paper Substance 20</t>
  </si>
  <si>
    <t>20GJC0245 – 200 bags Portland Cement etc.</t>
  </si>
  <si>
    <t>MATERIALS FOR FENCING OF MUN. NURSERY</t>
  </si>
  <si>
    <t>DRUGS &amp; MEDICINES SUPPLIES</t>
  </si>
  <si>
    <t>SUPPLY OF MATERIALS FOR THE IMPROVEMENT OF MULTI-PURPOSE HALL</t>
  </si>
  <si>
    <t>Procurement of Carton Box</t>
  </si>
  <si>
    <t>Repair and Maintenance of heavy equipment - backhoe</t>
  </si>
  <si>
    <t>LBP Bayawan Branch Renovation (Supply and Delivery of Construction Materials)</t>
  </si>
  <si>
    <t>Improvement of Multipurpose Building Brgy. Maligaya, Malaybalay City.</t>
  </si>
  <si>
    <t>Road Concreting of Sitio Bantolinao Barangay Bawo, Sogod, Cebu</t>
  </si>
  <si>
    <t>PURCHASE OF MATERIALS FOR THE SITE IMPROVEMENT OF BARANGAY CAWAYAN BLUE HOLE AND GORDA POINT LIGHT HOUSE FOR ECO TOURISM</t>
  </si>
  <si>
    <t>1 lot Fabrication of ten (10) units Hand Washing Facility (Lavatory), inclusive of labor, materials and installation in various locations within 3rd District municipalities of Leyte. ABC PHP500,000.00</t>
  </si>
  <si>
    <t>GRAVELLING OF VARIOUS ROADS</t>
  </si>
  <si>
    <t>Supply and Delivery of Solar Street Lights Panel</t>
  </si>
  <si>
    <t>GOODS 2020-08-0010  FOOD SECURITY PROGRAM</t>
  </si>
  <si>
    <t>Purchase of Office Supplies (SB)</t>
  </si>
  <si>
    <t>PR. 20-08-310 (2020-08-291) PROCUREMENT OF PREMIUM RICE</t>
  </si>
  <si>
    <t>2020-08-216</t>
  </si>
  <si>
    <t>Supply and delivery of Office Supplies for use in the Provincial Engineering's Office. ABC PHP66,660.00</t>
  </si>
  <si>
    <t>Supply and Delivery of Rizograph and Photo-copy Machine (Branded and Brand New) of DepEd Alaminos, District</t>
  </si>
  <si>
    <t>Office Supplies for CSWD Office use (2nd &amp; 3rd quarter) and for City Civil Registrar’s Office for the 3rd and 4th Quarter 2020.</t>
  </si>
  <si>
    <t>20GJC0246 – 143 bags Blown Asphalt.</t>
  </si>
  <si>
    <t>INVITATION TO BID FOR THE PROCUREMENT OF AGRI-SUPPLIES</t>
  </si>
  <si>
    <t>Procurement of Supplies for Person's w/ Disability [PWD] ID's and Booklets [MSWDO]</t>
  </si>
  <si>
    <t>ITB No. 2020-08-30 Supply and Delivery of Various Livestock and Equipment</t>
  </si>
  <si>
    <t>ROAD GRAVELLING ( SPOT GRAVELLING) BRGY. J. P. LAUREL PANABO CITY</t>
  </si>
  <si>
    <t>2020-334 Certification services for Organic Agriculture Third Party Certification-agrizkaya</t>
  </si>
  <si>
    <t>Toner printing services consumables for the Pantawid Printing of CV Forms and Payroll</t>
  </si>
  <si>
    <t>Upgrading of Pathway @ Purok Centro/ Maligaya Brgy. Paguiaba</t>
  </si>
  <si>
    <t>Foods</t>
  </si>
  <si>
    <t>1 unit Multi-Purpose Vehicle for Bahay Pag-asa catering client</t>
  </si>
  <si>
    <t>Airconditioning unit</t>
  </si>
  <si>
    <t>CY 2020 BEFF Repair of Classrooms Batch 2 – Pag Asa ES (Lot 4)</t>
  </si>
  <si>
    <t>Const./Rehab/Repair of Multi-Purpose Bldg. (Phase 4)</t>
  </si>
  <si>
    <t>CONCRETING OF BARANGAY ROAD (PHASE II) at Brgy. Debucao</t>
  </si>
  <si>
    <t>INFR-20-024- REPAIR OF EVACUATION CENTER AT TEJERO ELEMENTARY SCHOOL, BARANGAY TEJERO, CITY OF GEN. TRIAS, CAVITE</t>
  </si>
  <si>
    <t>Invitation to Bid for NEGOTIATED PROCUREMENT DUE TO TWO –FAILED BIDDINGS  SUPPLY AND DELIVERY OF FIVE (5) UNITS ALL NEW CARRY UTILITY VAN AND THREE (3) UNITS ALL NEW CARRY TRUCK FOR LGU – BORONGAN CIT</t>
  </si>
  <si>
    <t>Supply and Delivery of Construction Materials (Solar Street Lights)</t>
  </si>
  <si>
    <t>Gloves Examination, Large</t>
  </si>
  <si>
    <t>Construction of Day Care Center at Recodo</t>
  </si>
  <si>
    <t>Miscellaneous Expenses</t>
  </si>
  <si>
    <t>Procurement of Bacterial Culture for WWTP</t>
  </si>
  <si>
    <t>Sealed Quotation - One (1) Lot - Supply and Delivery of Various Office Supplies</t>
  </si>
  <si>
    <t>ITB for CoViD-19 Pandemic Preparedness Supplies</t>
  </si>
  <si>
    <t>Purchase of 2 units Desktop Branded Computer for Ethel Salazar &amp; Marie Antonette B. Malantar.</t>
  </si>
  <si>
    <t>plumbing materials and fittings</t>
  </si>
  <si>
    <t>Backpack Gas Powered Leaf Blower</t>
  </si>
  <si>
    <t>Procurement of Civil Works for the Completion of Public Market</t>
  </si>
  <si>
    <t>CY 2020 BEFF Repair of Classrooms Batch 2 – Pantalan Luma ES (Lot 5)</t>
  </si>
  <si>
    <t>20GJC0247 – 250 pcs. Anniversary T-Shirt (sublimation).</t>
  </si>
  <si>
    <t>Construction of Box Culvert at Pasovilla, Pasonanca</t>
  </si>
  <si>
    <t>Computer Supplies for Official Use of INREMP-PPMO Bukidnon CY 2020</t>
  </si>
  <si>
    <t>PROP. CONSTRUCTION OF FENCE, CANOPY, STORAGE AND OTHER IMPROVEMENT AT HEALTH SERVICES CENTER</t>
  </si>
  <si>
    <t>CPAR-20-3140: Procurement of Agricultural Supplies (Inorganic Fertilizers) to be used as inputs for the implementation of Community-based Participatory Action Research (CPAR) Project...</t>
  </si>
  <si>
    <t>Purchase of Spare Parts and Lubricants to be used for repair and maintenance of Backhoe of the Municipality of Tabuelan, Cebu</t>
  </si>
  <si>
    <t>Repair and Maintenance of Barangay Vehicle</t>
  </si>
  <si>
    <t>Supply and Delivery of Various Medical Equipment for Pag-IBIG Fund Calamba Business Center</t>
  </si>
  <si>
    <t>Concreting of Road at Pastoral Nuñez Ext.-Fernando Compound Road</t>
  </si>
  <si>
    <t>Package 2 – Supply and Delivery of Materials for the Concreting of Llera Street (ND Avenue-Garcesa St.), Poblacion 3, Pigcawayan, Cotabato</t>
  </si>
  <si>
    <t>Fresh Fish (Barilison)</t>
  </si>
  <si>
    <t>Supply and delivery of Wifi All-in-One Ink Tank Printer with ADF</t>
  </si>
  <si>
    <t>Procurement of Air conditioning units</t>
  </si>
  <si>
    <t>RFQ / PR 20-07-0460 / PROCUREMENT OF 32 BOTTLES SPACE SPRAY CONCENTRATE INSECTICIDE AND 3 OTHER LINE ITEMS</t>
  </si>
  <si>
    <t>CONSTRUCTION OF FARM TO MARKET ROAD at Brgy. Dianawan</t>
  </si>
  <si>
    <t>SUPPLY AND DELIVERY OF ELECTRICAL SUPPLIES (rfq#2020-01-799)-(bph-maramag)</t>
  </si>
  <si>
    <t>Repair and Maintenance Office Building</t>
  </si>
  <si>
    <t>Newspaper Advertisement and Publication (Greecom Campaign)</t>
  </si>
  <si>
    <t>Proposed City Sports, SK &amp; LYDO Office @ Malaybalay City Public Market at Brgy. 9, Malaybalay City.</t>
  </si>
  <si>
    <t>Procurement of Office Blinds</t>
  </si>
  <si>
    <t>Supply and delivery of electrical materials for the Proposed Line Extension at Brgy. Meohao, Kidapawan City.</t>
  </si>
  <si>
    <t>Construction of Covered Court at Recodo Elementary School, Recodo</t>
  </si>
  <si>
    <t>INFRASTRUCTURE WORKS FOR THE IMPROVEMENT OF WATER SUPPLY SYSTEM AT SITIO MALATAPAY, BARANGAY MALUAY, ZAMBOANGUITA, NEGROS ORIENTAL</t>
  </si>
  <si>
    <t>REHABILITATION/IMPROVEMENT OF LOCAL ACCESS ROAD @ BRGY. TANYAG, CALINTAAN OCCIDENTAL MINDORO</t>
  </si>
  <si>
    <t>20CN0100-Construction of Municipal Sanitary Landfill, Dinalungan, Aurora</t>
  </si>
  <si>
    <t>AMALBALAN 02-2020 - INSTALLATION OF SOLAR-POWERED LED STREETLIGHTS</t>
  </si>
  <si>
    <t>Rebidding: Job Order: Lumpsum for completion of the construction of 2-storey gender sensitive living quarter of girl CICL/CAR at Dumaguete Youth Home at Barangay Talay.</t>
  </si>
  <si>
    <t>Supply and delivery of various commodities for the children beneficiaries of Supplementary Feeding Program of the Municipality of Suyo, Ilocos Sur</t>
  </si>
  <si>
    <t>IMPROVEMENT OF BARANGAY HEALTH CENTER</t>
  </si>
  <si>
    <t>1 Lot Provision of labor, materials and Equipment for the Construction of Brgy. Outpost at Brgy. Cabalquinto, Calubian, Leyte. ABC PHP670,585.49</t>
  </si>
  <si>
    <t>SUPPLY, DELIVERY AND INSTALLATION OF VARIOUS AIR-CONDITIONING UNITS</t>
  </si>
  <si>
    <t>REHABILITATION OF BARANGAY BASKETBALL COURT, DALUPA</t>
  </si>
  <si>
    <t>CONSTRUCTION OF WATER WORKS SYSTEM PHASE I, SAN PEDRO</t>
  </si>
  <si>
    <t>CONSTRUCTION OF WATER WORKS SYSTEM PUROK 6, HILLTOP</t>
  </si>
  <si>
    <t>SUPPLY AND DELIVERY OF DRUGS AND MEDICINES</t>
  </si>
  <si>
    <t>CONSTRUCTION OF RIPRAP FRONT OF WESTERN KALINGA NHS, BUAYA</t>
  </si>
  <si>
    <t>CONSTRUCTION OF FOOTPATH, CENTRO POBLACION</t>
  </si>
  <si>
    <t>PURCHASE OF ICT EQUIPMENT SUPPLIES</t>
  </si>
  <si>
    <t>IMPROVEMENT OF DAYCARE CENTER (De La Paz)</t>
  </si>
  <si>
    <t>CONSTRUCTION/EXPANSION OF MAGSAYSAY STREET, BRGY. LADGARON</t>
  </si>
  <si>
    <t>PURCHASE OF DIESEL AND GASOLINE</t>
  </si>
  <si>
    <t>Supply and Delivery of Office Supplies and Devices -3rd and 4th Quarter Supplies</t>
  </si>
  <si>
    <t>INSTALLATION OF FIBER OPTIC CCTV SURVEILLANCE CAMERA</t>
  </si>
  <si>
    <t>SUPPLY AND DELIVERY OF MEALS AND SNACKS (rfq#2020-07-2,838)-(pho)</t>
  </si>
  <si>
    <t>RFQ / PR 20-07-0459 / PROCUREMENT OF 200 COPY PRINTING OF THE NATIONAL ACTION PLAN ON COUNTERING AND PREVENTING VIOLENT EXTREMISM (NAP P/CVE)</t>
  </si>
  <si>
    <t>REPAIR OF MEDICAL, DENTAL AND LABORATORY EQUIPMENT (rfq#2020-07-2,830)-(bph-maramag)</t>
  </si>
  <si>
    <t>Planning and Development of E-Learning Materials for the Leadership and Management Proficiency (LAMP) Program</t>
  </si>
  <si>
    <t>RFQ / PR 20-08-0483 / PROCUREMENT OF 40 SQ.M. SUPPLY AND INSTALLATION OF FABRIC PADDED WALLS ON 1"THK. FOAM AND PLYWOOD BACKING</t>
  </si>
  <si>
    <t>Fabrication of COVID – 19 SWAB TEST BOOTH for the Municipality of Calayan, Province of  Cagayan.</t>
  </si>
  <si>
    <t>Machinery</t>
  </si>
  <si>
    <t>PROCUREMENT OF MATERIALS FOR FABRICATION OF FIBERGLASS PUMP BOAT</t>
  </si>
  <si>
    <t>PURCHASE OF DISINFECTION MATERIALS &amp; SUPPLIES IN SUPPORT TO COVID-19 RESPONSE, IMPLEMENTATION,MONITORING AND RECOVERY PROGRAM</t>
  </si>
  <si>
    <t>CY 2020 BEFF Repair of Classrooms Batch 2 – Baseco ES (Lot 6)</t>
  </si>
  <si>
    <t>Repair and Maintenance of 69kV Substation</t>
  </si>
  <si>
    <t>Supply and Delivery of Various Sizes of CI Sleeve Type Coupling</t>
  </si>
  <si>
    <t>PURCHASE AND DELIVERY OF OFFICE/IT EQUIPMENT</t>
  </si>
  <si>
    <t>Construction of Nahus-an Barangay Hall (Phase II)</t>
  </si>
  <si>
    <t>Proposed Purchase of Street Lights</t>
  </si>
  <si>
    <t>Supply of Smart Phones for Geotagging &amp; Identification of Newly Identified Area and Project and its Coordinate</t>
  </si>
  <si>
    <t>Procurement of 2 units computer package; 3 units UPS; 2 units Printer</t>
  </si>
  <si>
    <t>Purchase of Sound System</t>
  </si>
  <si>
    <t>CY 2020 BEFF Repair of Classrooms Batch 2 – Lucanin ES (Lot 7)</t>
  </si>
  <si>
    <t>Labor for the Installation of Solar Street Lights</t>
  </si>
  <si>
    <t>Supply and Delivery of One (1) Lot Materials and Supplies for the Installation of Streetlights</t>
  </si>
  <si>
    <t>SUPPLY AND DELIVERY OF STEEL CABINET (rfq#2020-07-2,823)-(p.e.o.)</t>
  </si>
  <si>
    <t>CONCRETING OF BARANGAY ROAD at Brgy. Dimanpudso,</t>
  </si>
  <si>
    <t>Construction of Pathway @ Purok Centro &amp; Iglesia Brgy. Paguiaba</t>
  </si>
  <si>
    <t>SUPPLY AND DELIVERY OF OFFICE SUPPLIES (rfq#2020-07-2,862)-(pgo-popdev)</t>
  </si>
  <si>
    <t>SUPPLY AND DELIVERY OF CONSTRUCTION SUPPLIES (rfq#2020-07-2,855)-(p.e.o.)</t>
  </si>
  <si>
    <t>SUPPLY AND DELIVERY OF CONSTRUCTION SUPPLIES (rfq#2020-08-2,870)-(p.e.o.)</t>
  </si>
  <si>
    <t>Request for Quotation (RDTD-2020-02-0200 Repair Rehab of Planetarium Time and Scale Room)</t>
  </si>
  <si>
    <t>TONER</t>
  </si>
  <si>
    <t>Provision for the Enhancement Business Kits of 51 Beneficiaries</t>
  </si>
  <si>
    <t>Dress Checken (Not Less Than 1 kl)</t>
  </si>
  <si>
    <t>Construction of Drainage System at Canelar</t>
  </si>
  <si>
    <t>Supply and Delivery of  One (1) Unit Submersible Pumps</t>
  </si>
  <si>
    <t>CONSTRUCTION OF MULTI-PURPOSE HALL at Brgy. Dikildit</t>
  </si>
  <si>
    <t>Procurement of Two (2) units Risograph Machine</t>
  </si>
  <si>
    <t>Purchase of Solid Waste Management Equipments @ Bry. San Antonio</t>
  </si>
  <si>
    <t>SUPPLY AND DELIVERY OF VETERINARY SUPPLIES (rfq#2020-05-2,409)-(pvo)</t>
  </si>
  <si>
    <t>20GBJ0003 : Purchase and Delivery of 1 (one ) unit Brand New Global Navigation Satellite System (GNSS) Real Time Kinetic (RTK) with Internet Base Station Service (IBSS) DPWH-NV2DEO, Malasin Dupax del</t>
  </si>
  <si>
    <t>Supply and Delivery of School Supplies for the Municipality of Roxas, Isabela</t>
  </si>
  <si>
    <t>TIRES FOR KINGLONG AMBULANCE</t>
  </si>
  <si>
    <t>Construction of Covered Court at Sto. Niño</t>
  </si>
  <si>
    <t>SUPPLY AND DELIVERY OF OFFICE SUPPLIES AND EQUIPMENT FOR DEPED</t>
  </si>
  <si>
    <t>PROPOSED CONSTRUCTION OF WATER TANK-BARANGAY MAIKAY</t>
  </si>
  <si>
    <t>SUPPLY AND DELIVERY OF CONSTRUCTION SUPPLIES (rfq#2020-07-2,840)-(p.e.o.)</t>
  </si>
  <si>
    <t>TESTING, COMMISSIONING &amp; INSTALLATION OF AIR CONDITIONING UNIT</t>
  </si>
  <si>
    <t>SUPPLY, DELIVERY AND INSTALLATION OF PORTABLE HANDWASHING STATIONS FOR THE SANITATION AND DISINFECTION OF STUDENST AND PERSONNEL WITHIN THE PREMISES OF PHILIPPINE SCIENCE HIGH SCHOOL-CALABARZON REGION</t>
  </si>
  <si>
    <t>CY 2020 BEFF Repair of Classrooms Batch 2 – Daan Pare ES (Lot 8)</t>
  </si>
  <si>
    <t>Road Concreting at Purok 3, Brgy. Bantayan, Kabankalan City, Negros Occidental</t>
  </si>
  <si>
    <t>Office Supplies for Official use of DENR-INREMP</t>
  </si>
  <si>
    <t>Supply of Labor and Materials for the Repair and Replacement of Detached Dilapidated Wall Cladding at the Main, NW, and SW Buildings as per JSR 20-07-0090</t>
  </si>
  <si>
    <t>Procurement of Wooden Medals - MO</t>
  </si>
  <si>
    <t>Improvement of Slaughter House</t>
  </si>
  <si>
    <t>Construction of Slope Protection at Culianan River, Culianan</t>
  </si>
  <si>
    <t>CONSTRUCTION OF BRGY HALL (PHASE III)</t>
  </si>
  <si>
    <t>Supply and Delivery of Laptop for Various Offices and Flexible Learning Equipment</t>
  </si>
  <si>
    <t>Construction of Covered Stage at Lacumba Elementary School, Limpapa</t>
  </si>
  <si>
    <t>Procurement of IT Equipment</t>
  </si>
  <si>
    <t>SUPPLY AND DELIVERY OF (PPE'S AND DISINFECTANT)-PGO</t>
  </si>
  <si>
    <t>Improvement of Access Road - MBSNATHS</t>
  </si>
  <si>
    <t>CONSTRUCTION /IMPROVEMENT OF WATER SYSTEM</t>
  </si>
  <si>
    <t>Supply and Delivery of One (1) Lot Decoration and Lighting Materials for Municipal Building(Re-Bid)</t>
  </si>
  <si>
    <t>Purchase of Concrete Cutter and Power Chainsaw for Solid Waste Management @ Brgy. San Antonio</t>
  </si>
  <si>
    <t>PURCHASE OF FUEL (MMO)</t>
  </si>
  <si>
    <t>Supply and delivery of medical supplies for the use of the Kidapawan City Hospital, Kidapawan City.</t>
  </si>
  <si>
    <t>CONTINUATION OF PHASE II SB OFFICE EXTENSION</t>
  </si>
  <si>
    <t>CY 2020 BEFF Repair of Classrooms Batch 2 – Pablo Roman ES (Lot 9)</t>
  </si>
  <si>
    <t>INVITATION TO BID  FOR  THE REHABILITATION OF BARANGAY MULTI-PURPOSE BUILDING OF BARANGAY POBLACION A, TAYUG, PANGASINAN</t>
  </si>
  <si>
    <t>PURCHASE OF VAULT</t>
  </si>
  <si>
    <t>Construction of Potable Water Supply Level II</t>
  </si>
  <si>
    <t>2 Unit Laptop</t>
  </si>
  <si>
    <t>Construction of Drainage System at Cabato Drive, Canelar</t>
  </si>
  <si>
    <t>Supply, delivery and installation of wall mounted aircons for the use of the Office of the City Health, Kidapawan City</t>
  </si>
  <si>
    <t>INVITATION TO BID FOR THE SUPPLY AND DELIVERY OF EQUIPMENT FOR E-LIBRARY OF BARANGAY POBLACION A, TAYUG, PANGASINAN</t>
  </si>
  <si>
    <t>PGO-EXEC-TUBELESS TIRES AND BRAKE PAD</t>
  </si>
  <si>
    <t>Construction of Concrete Footstep with Railings</t>
  </si>
  <si>
    <t>Potable Water System</t>
  </si>
  <si>
    <t>Supply and Delivery of PE Tubings # 1/2" dia x 300mtrs/roll SDR 11 160 psi</t>
  </si>
  <si>
    <t>Procurement of Office Supplies  &amp; Devices</t>
  </si>
  <si>
    <t>Request for Quotation on Provision of response and preventive efforts for necessary COVID-19 related PPA's and other expenses (MDRRMF-70 % disaster Preparedness and Mitigation Fund)</t>
  </si>
  <si>
    <t>SUPPLY AND DELIVERY OF GENERATOR SET</t>
  </si>
  <si>
    <t>BLGU201920%DFCW-005: Extension of Concreting and CHB Slope Protection of Brgy. Subusob Cemetery</t>
  </si>
  <si>
    <t>SUPPLY AND DELIVERY OF IT EQUIPMENTS-PGO</t>
  </si>
  <si>
    <t>supply, delivery and Installation of Street Lightings</t>
  </si>
  <si>
    <t>20EG0092-Concreting of Brgy. Tagpait to Fish Landing FMR, Station 00+000 - 00+963, Brgy. Tagpait, Aborlan, Palawan</t>
  </si>
  <si>
    <t>Supply &amp; Delivery of Materials for the Repair and Maintenance of Barangay Street Light at Masical Amulung Cagayan</t>
  </si>
  <si>
    <t>PURCHASE &amp; DELIVERY OF MEDICAL SUPPLIES</t>
  </si>
  <si>
    <t>Construction Materials to be used in the construction of Multi-Purpose Building ARMM-HELPS 2015: Taberlongan, Maluso Municipality, Basilan</t>
  </si>
  <si>
    <t>CONCRETING OF BARANGAY ROAD AT BRGY. STO. CRISTO</t>
  </si>
  <si>
    <t>Supply and Delivery of One (1) Unit Brand New 225hp Outboard Motor (Re-Bid)</t>
  </si>
  <si>
    <t>MOTHER BOARD SOCKET</t>
  </si>
  <si>
    <t>SUPPLY &amp; DELIVERY OF TENTS WITH LONA</t>
  </si>
  <si>
    <t>2 Unit Scanner</t>
  </si>
  <si>
    <t>20EG0094-Construction of 2STY4CL, Mateo Jagmis MES, Brgy. San Miguel, Puerto Princesa City, Palawan</t>
  </si>
  <si>
    <t>PURCHASE OF LAPTOP FOR EBEIS ROOM OF HILONGOS SOUTH CENTRAL SCHOOL</t>
  </si>
  <si>
    <t>Purchase of large white piglets for fattening as livelihood project for the Women NGOs of different barangays of the Municipality</t>
  </si>
  <si>
    <t>SUPPLY AND DELIVERY OF OFFICE EQUIPMENTS</t>
  </si>
  <si>
    <t>GOODS 2020-8C</t>
  </si>
  <si>
    <t>Installation of Solar Street Light Purok 1 to Purok 6</t>
  </si>
  <si>
    <t>IB NO. 2020-18: PROCUREMENT OF VARIOUS FURNITURE AND FIXTURES</t>
  </si>
  <si>
    <t>Construction Materials for the Rehabilitation of Barangay Roads (san Jose – New Antique Segment)</t>
  </si>
  <si>
    <t>Supply and delivery of laptops for the use of the City Health Office and Kidapawan City Blood Center, Kidapawan City</t>
  </si>
  <si>
    <t>GOODS 2020-8B</t>
  </si>
  <si>
    <t>Purchase of Materials for the Fabrication of Movable Basketball Post with Fiber Glass Back Board</t>
  </si>
  <si>
    <t>Mech Fittings</t>
  </si>
  <si>
    <t>GOODS 2020-8</t>
  </si>
  <si>
    <t>RFQ VARIOUS OFFICE SUPPLIES</t>
  </si>
  <si>
    <t>SUPPLY &amp; DELIVERY OF COMPUTER PRINTER CONSUMABLES FOR CPD</t>
  </si>
  <si>
    <t>Supply and delivery of office and janitorial supplies for the COMELEC Office, PESO, DILG, City Health Office and City Engineering Office, Kidapawan City</t>
  </si>
  <si>
    <t>GOODS 2020-8A</t>
  </si>
  <si>
    <t>Supply of labor, materials, tools and technical supervision for the general repair of vertical turbine pump, 550 GPM, Main fire pump for the fire suppression system of the South Annex Bldg as per JSR</t>
  </si>
  <si>
    <t>Purchase of Furniture and Fixtures</t>
  </si>
  <si>
    <t>Invitation to Bid for INSTALLATION OF SOLAR LIGHT</t>
  </si>
  <si>
    <t>Completion of Computer Room (Materials) at Bucana elementary school, Bucana, Maco, davao de Oro</t>
  </si>
  <si>
    <t>Office supplies (DSWD)</t>
  </si>
  <si>
    <t>CONSTRUCTION OF SEPARATE COMFORT ROOM FOR MALE AND FEMALE</t>
  </si>
  <si>
    <t>INFRA 2020- 8</t>
  </si>
  <si>
    <t>CONSTRUCTION OF ONE (1) UNIT THREE (3) CLASSROOM SCHOOL BUILDING, ALEGRIA, NATIONAL HIGH SCHOOL, SEF, BARANGAY ALEGRIA, SFADS</t>
  </si>
  <si>
    <t>Supply and delivery of motorcycles for the use of the CDRRMO/Public Safety, Kidapawan City.</t>
  </si>
  <si>
    <t>PROVISION OF FOOD SUPPLY TO THE AFFECTED FAMILIES OF JAGNA DUE TO COVID19 PANDEMIC</t>
  </si>
  <si>
    <t>SUPPLY &amp; DELIVERY OF ELECTRICAL SUPPLIES</t>
  </si>
  <si>
    <t>Supply and Delivery of One (1) Lot Oil and Spare parts Rescue Speedboat.</t>
  </si>
  <si>
    <t>Purchase of Flu Vaccine</t>
  </si>
  <si>
    <t>Supply and delivery of office and janitorial supplies for the use of the Kidapawan City District Jail, CDRRMO and CHRMO, Kidapawan City</t>
  </si>
  <si>
    <t>20GJF0149 -  Office Supplies and Consumables for the use in the Construction Section, this district</t>
  </si>
  <si>
    <t>Procurement of 1 Job Consultancy Services under P.R.No. 2793-2020-CMO-Provision for Priority Development Project (Continuing)</t>
  </si>
  <si>
    <t>Supply and Delivery of one (1) unit Multi-Purpose Vehicle</t>
  </si>
  <si>
    <t>Rehabilitation of Line Canal</t>
  </si>
  <si>
    <t>Procurement of Aircondition</t>
  </si>
  <si>
    <t>6ID SBAC-01-20     Supply and Delivery of Construction Materials for Cotabato Airport Development Project CY-2018 (Runway Strip Grade Correction)- Brgy Awang DOS, Maguindanao, 6ID, PA (RE - POSTING)</t>
  </si>
  <si>
    <t>service connection fittings</t>
  </si>
  <si>
    <t>SUPPLY AND DELIVERY OF STEEL CABINET (rfq#2020-02-1,322)-(pgo-pdrrmd)</t>
  </si>
  <si>
    <t>SUPPLY OF LABOR, TOOLS, MATERIALS, EQUIPMENT &amp; SUPERVISION FOR THE DISMANTLING OF AIR HANDLING UNIT</t>
  </si>
  <si>
    <t>Rehabilitation of Water System (Materials) at Concepcion, Maco, davao de Oro</t>
  </si>
  <si>
    <t>Supply and delivery of medical equipments for the use of the CDRRMO/Call 911, Kidapawan City.</t>
  </si>
  <si>
    <t>ALL SEASON FISHING (CANJULAO, PAGINA, POBLACION AND TEJERO FISHERFOLKS)</t>
  </si>
  <si>
    <t>2 pcs. Tire (265/17)</t>
  </si>
  <si>
    <t>Procurement of Catering Services-08-011(C)PPDO</t>
  </si>
  <si>
    <t>SUPPLY &amp; DELIVERY OF TIRES &amp; BATTERIES FOR NHA'S VEHICLE - TOYOTA INNOVA</t>
  </si>
  <si>
    <t>ALL SEASON FISHING (FISHING BOAT AND GEARS) - POBLACION</t>
  </si>
  <si>
    <t>Procurement and Delivery of Supplies for the In-House Reproduction of Self-Learning Modules (SLMs) as Learning Resources for Quarters 1 and 2</t>
  </si>
  <si>
    <t>SUPPLY AND DELIVERY OF DESKTOP COMPUTER (rfq#2020-01-1,077)-(bpmc)</t>
  </si>
  <si>
    <t>PURCHASE OF PHOTOCOPYING MACHINE</t>
  </si>
  <si>
    <t>upgraded billing &amp; collection system w/ android meter reading app</t>
  </si>
  <si>
    <t>2020 Smallholder Oil Palm Development Project (SOPDP): Oil Palm Seedlings - Rebidding</t>
  </si>
  <si>
    <t>Procurement of Consulting Services for the Development of the RAB Handbook to include the Standardization of the Replacement Costs and Asset Lives for Privately-Owned Distribution Utilities and Fieldw</t>
  </si>
  <si>
    <t>4 set825-20 Lug Tire with Flap and tube (16 ply)</t>
  </si>
  <si>
    <t>20GL0098 - CONCRETING OF SUGARCANE FARM-TO-MILL ROAD, POBLACION 5 HIGHWAY TO HACIENDA NALIPAY, ISABELA, NEGROS OCCIDENTAL</t>
  </si>
  <si>
    <t>GINGER TEA "SALABAT" PRODUCTION AND MARKETING - LACA</t>
  </si>
  <si>
    <t>PRIMER-NC-2020-0438 PR2020-0584 REQUEST FOR QUOTATION FOR THE PROCUREMENT OF LAPTOPS AND COMPUTER DESKTOP</t>
  </si>
  <si>
    <t>Concreting of Pathways at B. Toledo St.</t>
  </si>
  <si>
    <t>Procurement of Paper Bond for Module Production</t>
  </si>
  <si>
    <t>Procurement of IT Equipment-08-014(E)PTO</t>
  </si>
  <si>
    <t>Materials for the Construction of Addtional MRF of this Municipality</t>
  </si>
  <si>
    <t>Procurement and Delivery of Materials and Supplies for Supplemental</t>
  </si>
  <si>
    <t>Construction of Evacuation Center Phase 1 &amp; 2 at Agguirit, Amulung Cagayan</t>
  </si>
  <si>
    <t>20GIL0052(SUPPLY/DELIVERY OF FUEL, LUBRICANTS, ETC.,DPWH-SLDEO, MAASIN CITY, SOUTHERN LEYTE)</t>
  </si>
  <si>
    <t>LABOR AND MATERIALS FOR THE REPAIR AND MAINTENANCE OF MUNICIPAL AMBULANCE (FOTON)</t>
  </si>
  <si>
    <t>IB NO. 2020-17: PROCUREMENT OF VARIOUS FURNITURE</t>
  </si>
  <si>
    <t>Improvement of Laboratory Room in RHU-I Building</t>
  </si>
  <si>
    <t>Supply, Delivery and Assistance on the Installation of Electromechanical Equipment and Discharge Set-Up of Linao Norte Pumping Station 2</t>
  </si>
  <si>
    <t>Construction of Covered Drainage Canal</t>
  </si>
  <si>
    <t>1 pc Piston</t>
  </si>
  <si>
    <t>SUPPLY AND DELIVERY OF I.T. SUPPLIES (rfq#2020-02-1,385)-(sp-albarece)</t>
  </si>
  <si>
    <t>2020 EXPANDED PCA RESPONSE to COVID-19 PROGRAM (EPRCP): Animal Integration (Enhanced Livestock Oil Palm Integration)-Rebidding</t>
  </si>
  <si>
    <t>SUPPLY AND DELIVERY OF AIR CONDITIONING UNIT (rfq#2020-01-478)-(sp-balansag)</t>
  </si>
  <si>
    <t>PURCHASE OF TWO (2) DESKTOP COMPUTER FOR LAMAK CS</t>
  </si>
  <si>
    <t>17NG0090:CONSTRUCTION OF 4 STY 20-CLR SCHOOL BLDG.,DAPA NHS (SCH. ID 304774)</t>
  </si>
  <si>
    <t>Procurement of IT Equipment-08-030(V)PDH</t>
  </si>
  <si>
    <t>Procurement of office Supplies &amp; Devices ( Diploma Jacket/Hoder)</t>
  </si>
  <si>
    <t>Procurement of Furniture-08-008(I)CAO</t>
  </si>
  <si>
    <t>20EG0093-Concreting of Purok Dam-ay, Sitio Tagumpay, Brgy. Inagawan Sub FMR, Sta. 000+000 - Sta. 000+778.00, Brgy. Inagawan Sub, Puerto Princesa City, Palawan</t>
  </si>
  <si>
    <t>Purchase of Newborn Hearing Screening Equipment</t>
  </si>
  <si>
    <t>SUPPLY &amp; DELIVERY OF COMPUTER PRINTER CONSUMABLES</t>
  </si>
  <si>
    <t>Purchase of Construction Materials (Repair of MEO)</t>
  </si>
  <si>
    <t>Supply and Delivery of Office Fixtures use at the Dauis Central School at Dauis, Bohol.</t>
  </si>
  <si>
    <t>ITB for Modules  Supplies</t>
  </si>
  <si>
    <t>MOOE2020-03</t>
  </si>
  <si>
    <t>CONSTRUCTION SUPPLIES</t>
  </si>
  <si>
    <t>CY 2020 BEFF Repair of Classrooms Batch 2 – Diwa ES (Lot 10)</t>
  </si>
  <si>
    <t>FURNISHING OF LABOR, MATERIALS &amp; EQUIPMENT for the EMBANKMENT PROTECTION OF BARANGAY ROAD in San Roque and San Pedro, Bato, Catanduanes</t>
  </si>
  <si>
    <t>Procurement of Office Supplies for Elementary and Secondary schools, Vintar, Ilocos Norte</t>
  </si>
  <si>
    <t>Site Development at Curuan</t>
  </si>
  <si>
    <t>PROCUREMENT OF OFFICE SUPPLIES 2020</t>
  </si>
  <si>
    <t>Rehabilitation of Farm to Market Road</t>
  </si>
  <si>
    <t>Purchase of Offices Supplies, Equipment &amp; Construction Materials</t>
  </si>
  <si>
    <t>Supply and delivery of materials for the concreting of brgy. road</t>
  </si>
  <si>
    <t>CPAR-20-3137: Procurement of Agricultural Supplies (Inorganic Fertilizers) to be used as Inputs for on-farm corn-legumes (Peanut &amp;Mungbean) rotation technology demonstration...</t>
  </si>
  <si>
    <t>1,000 pax Managed Buffet; Meals: rice, (3main course) sweet and sour pork, buttered chicken, fish with tartar, (1 side dish) crab meat soup, dessert, and assorted 350 ml soft drinks</t>
  </si>
  <si>
    <t>INVITATION TO BID-MATERIALS FOR SLOPE PROTECTION</t>
  </si>
  <si>
    <t>SUPPLY AND DELIVERY OF PERSONAL PROTECTIVE EQUIPMENTS (PPE'S)-PGO</t>
  </si>
  <si>
    <t>BAC-VARIOUS OFFICE SUPPLIES</t>
  </si>
  <si>
    <t>CONSTRUCTION AND IMPROVEMENT OF DRAINAGE CANAL IN ALL BARANGAY</t>
  </si>
  <si>
    <t>SUPPLY AND DELIVERY OF DRUGS AND MEDICINES FOR FIRST HALF OF 2020 (SODIUM CHLORIDE, DEXTROSE, ETC.), FOR USE IN 12 DISTRICT HOSPITAL AND FOUR PROVINCIAL HOSPITAL OF PROVINCE OF CEBU (SEMI-ANNUAL REQUI</t>
  </si>
  <si>
    <t>PROCUREMENT OF 2 UNITS LAPTOP FOR SANGGUNIANG BAYAN USAGE</t>
  </si>
  <si>
    <t>SUPPLY AND DELIVERY OF MEALS AND SNACKS (rfq#2020-08-2,876)-(pho)</t>
  </si>
  <si>
    <t>Installation of RC Pipes Culverts at Brgy. Digumased, Dinapigue, Isabela</t>
  </si>
  <si>
    <t>Grocery Items as food packs for employees on Employees Day Celebration</t>
  </si>
  <si>
    <t>17NG0091:CONSTRUCTION OF 3 STY-15 CLR SCHOOL BUILDING, GENERAL LUNA NHS (SCH. ID 304777)</t>
  </si>
  <si>
    <t>Procurement of Agricultural Products-08-096(M)OPAG</t>
  </si>
  <si>
    <t>PURCHASE OF ONE (1) UNIT LAPTOP FOR LAMAK CS</t>
  </si>
  <si>
    <t>Procurement of Office Equiptment for Disaster Preparedness</t>
  </si>
  <si>
    <t>Procurement of Various Office Supplies-08-007(AH)RTC</t>
  </si>
  <si>
    <t>PROCUREMENT OF ECCD CECKLIST, HYGIENE KIT, EATING UTENSIL AND FIRST AID KIT</t>
  </si>
  <si>
    <t>Procurement of Airconditioning Unit for Provincial Treasurers Office</t>
  </si>
  <si>
    <t>CY 2020 BEFF Electrification of Un-Energized School &amp; Modernization of Electrical System on On-Grid Schools</t>
  </si>
  <si>
    <t>FOOD PROCESSING ENHANCEMENT "PANCIT YANING" PRODUCTION - LUBCANAN, TUBOD MONTE</t>
  </si>
  <si>
    <t>Construction of Multipurpose Building (Evacuation Center) at Concepcion, Amulung Cagayan</t>
  </si>
  <si>
    <t>SUPPLY AND DELIVERY OF I.T. SUPPLIES (rfq#2020-02-1,488)-(pgo-buktamaco)</t>
  </si>
  <si>
    <t>PRIMER-NC-2020-0434 PR2020-0577 REQUEST FOR QUOTATION FOR THE PROCUREMENT OF GANG CHAIR, OFFICE CHAIR, MAGAZINE RACK, FILING CABINET, METAL SHELVING RACK, AND SOUNDPROOFING FOAM SOUND ABSORPTION PYRAM</t>
  </si>
  <si>
    <t>Procurement of Various General Merchandise-08-095(M)OPAG</t>
  </si>
  <si>
    <t>PROCUREMENT OF 1 UNIT BRAND NEW DUMPTRUCK OF THE MUNICIPALITY OF LIMASAWA, SOUTHERN LEYTE</t>
  </si>
  <si>
    <t>Invitation to Bid for Local Access Road-Upgrading of Catulayan-Cang-asa Road San Juan, Siquijor</t>
  </si>
  <si>
    <t>Purchase of Assorted Vegetables Seeds</t>
  </si>
  <si>
    <t>SUPPLY AND DELIVERY OF TEN (10) SETS BRAND NEW COMPUTER DESKTOP WITH COMPUTER TABLE and ACCESSORIES, ALS, SFADS</t>
  </si>
  <si>
    <t>17NG0092:CONSTRUCTION OF 3 STY 9 CLR SCHOOL BUILDING, SAN BENITO NHS (SCH. ID 304781), SAN BENITO, SURIGAO DEL NORTE</t>
  </si>
  <si>
    <t>Procurement of Medical Supplies and Equipment for the use of DOH SFLU TRC</t>
  </si>
  <si>
    <t>Procurement of Various Aggregates Supplies-08-525(O)PEO</t>
  </si>
  <si>
    <t>Procurement of Various Electrical Supplies-08-534(O)PEO</t>
  </si>
  <si>
    <t>Desktop Computer with Complete Accessories and Printer</t>
  </si>
  <si>
    <t>ROAD SHOULDERING @ PUROK 2, BRGY. LINAO , ORMOC CITY</t>
  </si>
  <si>
    <t>PROCUREMENT OF MATERIALS   FOR THE COMPLETE REPAIR OF 40FT REINFORCED FIBER GLASS PATROL BOAT WITH ACCESSORIES</t>
  </si>
  <si>
    <t>SUPPLY AND DELIVERY OF DESKTOP COMPUTER (rfq#2020-03-1,663)-(pgo-pnp crime)</t>
  </si>
  <si>
    <t>For use in Planning and Design Section.</t>
  </si>
  <si>
    <t>INSTALLATION OF CULVERT</t>
  </si>
  <si>
    <t>Materials for Improvement of Child Development Center Bldgs.</t>
  </si>
  <si>
    <t>Procurement for Supply and Delivery of Web Camera, 4g LTE Mobile Wifi, 1 terabyte External Hard Drive and Canva Pro Subscription</t>
  </si>
  <si>
    <t>REproduction of First Quarter Self Learning Modules for Grade 7 - 12</t>
  </si>
  <si>
    <t>Improvement of Health center &amp; Extention of Height for Fence</t>
  </si>
  <si>
    <t>20NG0100 - CONSTRUCTION OF TWO-STOREY (6 CLASSROOMS) SCHOOL BUILDING/ OMBONG ELEMENTARY SCHOOL, ALEGRIA, SURIGAO DEL NORTE</t>
  </si>
  <si>
    <t>SUPPLY AND DELIVERY OF VARIOUS SUPPLIES AND MATERIALS FOR CHRISTMAS DECORATION (FESTIVAL OF LIGHTS)</t>
  </si>
  <si>
    <t>Completion of Multi-Purpose Building at Public Market</t>
  </si>
  <si>
    <t>Procurement of Various Construction Supplies and Materials-08-506(O)PEO</t>
  </si>
  <si>
    <t>SUPPLY AND DELIVERY OF LAPTOP COMPUTER (rfq#2020-05-2,264)-(pgo-bac secretariat)</t>
  </si>
  <si>
    <t>Purchase of Medicines and Medical Supplies</t>
  </si>
  <si>
    <t>Supplies for the Distribution of Livelihood Seeding Program-Negosyo Serbisyo sa Barangay Negosyo Kits to the Identified 60 MSMEs in the Province of Dinagat Islands</t>
  </si>
  <si>
    <t>Vehicles</t>
  </si>
  <si>
    <t>Oil and Lubricants</t>
  </si>
  <si>
    <t>17NG0093:CONSTRUCTION OF  2 STOREY 6 CLASSROOM SCHOOL BUILDING, SAN ISIDRO NATIONAL HIGH SCHOOL, SAN ISIDRO, SURIGAO DEL NORTE</t>
  </si>
  <si>
    <t>Repair of Daycare and Multi Purpose Hall</t>
  </si>
  <si>
    <t>Procurement of brush cutter,folded table,cooler</t>
  </si>
  <si>
    <t>PROCUREMENT OF MATERIALS/SUPPLIES FOR THE CONSTRUCTION OF OIL AND WATER SEPARATOR USED OIL CONCRETE POND</t>
  </si>
  <si>
    <t>Printer, Impact, dot matrix, 36 pins</t>
  </si>
  <si>
    <t>Procurement of Various Construction Supplies and Materials-08-537(O)PEO</t>
  </si>
  <si>
    <t>Materials for Construction of Ground Reservoir</t>
  </si>
  <si>
    <t>Construction of Multi-Purpose Drying Pavement</t>
  </si>
  <si>
    <t>Procurement of Medical, Dental &amp; Laboratory Supplies</t>
  </si>
  <si>
    <t>Supply &amp; delivery of Desktop &amp; Laptop Computers</t>
  </si>
  <si>
    <t>20NF-GOODS-02:SUPPLY, DELIVERY AND INSTALLATION OF DPWH OFFICE CUBICLE STAND @ PLANNING AND DESIGN SECTION</t>
  </si>
  <si>
    <t>Purchase of Equipments for the use of MENRO, Lambunao, Iloilo</t>
  </si>
  <si>
    <t>One Lot Repair/ Rehabilitation/ Improvement/ Renovation of Ultrasound Unit (with Provision Against Covid 19 and other Emerging Highly Infectious Diseases)(Re-bidding)</t>
  </si>
  <si>
    <t>SUPPLY AND DELIVERY OF I.T. SUPPLIES (rfq#2020-05-2,405)-(phrmo)</t>
  </si>
  <si>
    <t>20FH0103 - CONCRETING OF BRGY. BATONG PALOWAY TO BRGY. SAN VICENTE FARM-TO-MARKET ROAD PHASE 2, BRGY. BATONG PALOWAY AND BRGY. SAN VICENTE,  SAN ANDRES, CATANDUANES</t>
  </si>
  <si>
    <t>IMPROVEMENT OF DRAINAGE CANAL</t>
  </si>
  <si>
    <t>SUPPLY AND DELIVERY OF OFFICE SUPPLIES (SEF)</t>
  </si>
  <si>
    <t>Purchase of Fuel (Gasoline &amp; Diesel)</t>
  </si>
  <si>
    <t>SEWING "RAG, DOORMAT, PILLOW CASE, P-HOLDER" PRODUCTION - TUBOD MAR</t>
  </si>
  <si>
    <t>SUPPLY AND DELIVERY OF WIRELESS CONFERENCE MIC SYSTEM (rfq#2020-05-2,266)-(pgo-bac secretariat)</t>
  </si>
  <si>
    <t>IMPROVEMENT OF STREETLIGHTS</t>
  </si>
  <si>
    <t>Procurement of Other Supplies &amp; Materials</t>
  </si>
  <si>
    <t>PURCHASE OF OFFICE SUPPLIES FOR VARIOUS SCHOOLS</t>
  </si>
  <si>
    <t>20FH0102 - CONCRETING OF BRGY. SAN ROQUE TO BRGY. BATALAY FARM-TO-MARKET ROAD PHASE 2, BRGY. SAN ROQUE &amp; BRGY. BATALAY, BATO,  CATANDUANES</t>
  </si>
  <si>
    <t>Supply , Delivery and Installation of Transmission Assembly of Armored Truck, F750</t>
  </si>
  <si>
    <t>REHABILITATION OF DRAINAGE @ PUROK 8 AND 10</t>
  </si>
  <si>
    <t>SUPPLY AND DELIVERY OF DESKTOP COMPUTER (rfq#2020-04-1,709)-(p.e.o.)</t>
  </si>
  <si>
    <t>SUPPLY AND DELIVERY OF MATERIALS FOR CONSTRUCTION OF HAND WASHING FACILITY FOR BOTH SECONDARY AND ELEMENTARY SCHOOLS</t>
  </si>
  <si>
    <t>Installation of Water System in Barangay Himakilo</t>
  </si>
  <si>
    <t>SUPPLY AND DELIVERY OF LAPTOP COMPUTER (rfq#2020-04-1,959)-(sp-beltran)</t>
  </si>
  <si>
    <t>Procurement of Supplies &amp; Materials for the use of Dr. Rafael S. Tumbokon Memorial Hospital-EEDD, Kalibo, Aklan- Re Bidding /ITB no: 2020-506</t>
  </si>
  <si>
    <t>Improvement/Opening of Road at Barangay Poblacion, Nueva Era, Ilocos Norte</t>
  </si>
  <si>
    <t>CPAR-20-3139:Procurement of Agricultural Supplies to be used as inputs for the implementation of the project “Community-based Participatory Action Research on Rice-based Farming.."</t>
  </si>
  <si>
    <t>Installation of Street Lights (SOLAR)</t>
  </si>
  <si>
    <t>Procurement of Hospital medical Services</t>
  </si>
  <si>
    <t>Procurement of Reversible Jacket for the use of DOH CHD I UHC Project Management Team in Universal Healthcare communication and campaign</t>
  </si>
  <si>
    <t>CALIBRATION OF LABORATORY EQUIPMENTS AGAINST MEASUREMENT STANDARD TRACEABLE TO NATIONAL OR INTERNATIONAL STANDARDS</t>
  </si>
  <si>
    <t>Construction of Function Hall (Phase I)</t>
  </si>
  <si>
    <t>Procurement of IT Equipment for the use of Dr. Rafael S. Tumbokon Memorial Hospital-EEDD, Kalibo, Aklan- Re Bidding /ITB no: 2020-507</t>
  </si>
  <si>
    <t>SUPPLY AND DELIVERY OF I.T. SUPPLIES (rfq#2020-03-1,533)-(pgo-housing)</t>
  </si>
  <si>
    <t>Procurement of Other supplies, furnitures and fixtures requested by barangays during the conduct of Bisita sa Barangay; LGU Offices and the Department of Education</t>
  </si>
  <si>
    <t>20FH0104 - REPAIR/MAINTENANCE OF DPWH EXISTING MAIN OFFICE BUILDING, CATANDUANES DEO, VIRAC, CATANDUANES</t>
  </si>
  <si>
    <t>OPA-CROPS-NC-2020-0446 PR2020-0593 REQUEST FOR QUOTATION FOR THE PROCUREMENT OF CERTIFIED ORGANIC FERTILIZER, CERTIFIED ORGANIC SEAWEED BASED FOLIAR FERTILIZER, CERTIFIED ORGANIC SEAWEED BASED PLANT B</t>
  </si>
  <si>
    <t>Procurement of Various Construction Supplies and Materials-08-519(O)PEO</t>
  </si>
  <si>
    <t>Procurement of Various Construction Supplies and Materials-07-397(O)PEO</t>
  </si>
  <si>
    <t>Supply and Delivery of Assorted Automotive Batteries</t>
  </si>
  <si>
    <t>Rehabilitation/ Improvement of Road</t>
  </si>
  <si>
    <t>SUPPLY AND DELIVERY OF I.T. EQUIPMENT (rfq#2020-08-2,903)-(pgo-pdrrmd)</t>
  </si>
  <si>
    <t>( PR NO. 20-07-07-0236 Re-canvass SUPPLY AND DELIVERY OF 6 lgths Wide Flange, W6x15)</t>
  </si>
  <si>
    <t>Repair and Maintenance of Electrification, Powers &amp; Energy Structures</t>
  </si>
  <si>
    <t>2020-04-0043 Catering services for CEAC Activities 2020 in Baco, Oriental Mindoro</t>
  </si>
  <si>
    <t>Installation of Solar Street Lights at Brgy. Malangabang, Concepcion,Iloilo</t>
  </si>
  <si>
    <t>Supply and Delivery of Hardware Supplies and Construction Materials</t>
  </si>
  <si>
    <t>PEANUT BUTTER PRODUCTION - CAMBUGASON</t>
  </si>
  <si>
    <t>Procurement of Drugs and Medicines for Lingig Community Hospital Medical/Nursing Department.</t>
  </si>
  <si>
    <t>SUPPLY, DELIVERY AND INSTALLATION OF PLASTIC PROTECTIVE SHEETS</t>
  </si>
  <si>
    <t>Supply and Delivery of 10 Pcs - Batteries</t>
  </si>
  <si>
    <t>One unit RISO</t>
  </si>
  <si>
    <t>Supply &amp; Delivery of Consumable Materials, Labor &amp; Expertise for the Reconditioning of VTR-304 Turbocharger, for Jolo DPP (1	S3-JOL20-017 (NP5)</t>
  </si>
  <si>
    <t xml:space="preserve">20CSCM06 - Consultancy Services for the Geotechnical Investigation (Sub-Soil Exploration) of Various Local Programs (Multipurpose/Facilities Projects) for the proposed  FY 2021 Infrastructure Program </t>
  </si>
  <si>
    <t>BM-JALA-NC-2020-0447 PR2020-0594 REQUEST FOR QUOTATION FOR THE PROCUREMENT OF TUBELESS TIRE, CLEANING AND RECHARGING OF FREON, ORING, COMPRESSION OIL, AND SILICON OIL</t>
  </si>
  <si>
    <t>IMPROVEMENT OF NVPH PLUMBING AND SANITARY Located at NVPH, Almaguer North, Bambang, Nueva Vizcaya</t>
  </si>
  <si>
    <t>Procurement of Various Hardware Supplies-08-112(M)OPAG</t>
  </si>
  <si>
    <t>Procurement of Oxford cloth</t>
  </si>
  <si>
    <t>Purchased of 1 HONDA TMX 125 MOTORCYCLE</t>
  </si>
  <si>
    <t>SUPPLY AND DELIVERY OF TWO (2) UNITS DIGITAL DUPLICATOR MACHINES, INK AND MASTER ROLL, SEF, SFADS</t>
  </si>
  <si>
    <t>IMPROVEMENT OF D.D.H. PERIMETER FENCE (ALONG DIETARY BUILDING) Located at D.D.H. Cpd., Dupax del Norte, Nueva Vizcaya</t>
  </si>
  <si>
    <t>ENHANCEMENT OF TABLEYA AND CHOCOLATE PRODUCTION - CANJULAO</t>
  </si>
  <si>
    <t>Medical &amp; Laboratory Supplies</t>
  </si>
  <si>
    <t>Plastic Stackable Chair</t>
  </si>
  <si>
    <t>CID No. 20CSIO14: Consultancy Services for the Conduct of Feasibility Study of the Proposed: 1.	Construction of Brgy. Malobago, Jaro – Brgy. Tingib, Pastrana – Brgy. Patoc, Dagami Road, Leyte;2.	Const</t>
  </si>
  <si>
    <t>SUPPLY AND DELIVERY OF DRUGS AND MEDICINES FOR SENIOR CITIZENS WELLNESS</t>
  </si>
  <si>
    <t>Repair of Nursery/Vermi-Culture at Poblacion Nueva Era, Ilocos Norte</t>
  </si>
  <si>
    <t>SVP PUR20-06-0515 Procurement of Tires, etc. for OETS, PGH</t>
  </si>
  <si>
    <t>CID No. 20GLE0099/PR 20-08-0153 Purchase of Fuel for use in various service vehicle of Davao Occidental DEO-Malita, along Buhangin Jnct. Felis-Bolila-Sanghay-Kilalag-Demoloc-Datu Danwata Projects (for</t>
  </si>
  <si>
    <t>Repair/Improvement of Fence at the back of Municipal Hall, Nueva Era, Ilocos Norte</t>
  </si>
  <si>
    <t>Procurement of Office equipment</t>
  </si>
  <si>
    <t>20NG0101 - CONSTRUCTION OF TWO-STOREY (4 CLASSROOMS) SCHOOL BUILDING/ QUEZON ELEMENTARY SCHOOL, SURIGAO CITY</t>
  </si>
  <si>
    <t>Supply and delivery of materials for the construction of drainage canal</t>
  </si>
  <si>
    <t>Improvement of 33 Day Care Center</t>
  </si>
  <si>
    <t>SUPPLY AND DELIVERY OF 209 VERO CELL VIALS FOR THE CITY HEALTH OFFICE</t>
  </si>
  <si>
    <t>Supply and Delivery of Office Equipment and Supplies</t>
  </si>
  <si>
    <t>PEO-NC-2020-0449 PR2020-0596 REQUEST FOR QUOTATION FOR THE PROCUREMENT OF CALIBRATION SERVICES, SIEVE SHAKER, AND PLATFORM BALANCE</t>
  </si>
  <si>
    <t>CONSTRUCTION OF DRAINAGE CANAL SITIO BRANDY</t>
  </si>
  <si>
    <t>HO-DMD20-006 - Supply and Delivery of Battery 3SMF</t>
  </si>
  <si>
    <t>SUPPLY AND DELIVERY OF SAN FRANCISCO, AGUSAN DEL SUR BARANGAY TANODs’ UNIFORM FOR BARANGAY PEACE AND ORDER ACTIVITIES, SFADS</t>
  </si>
  <si>
    <t>SUPPLY AND DELIVERY OF GARDENING SUPPLIES (P.R. NO. 100-20-08-0301)</t>
  </si>
  <si>
    <t>PROCUREMENT OF CONSTRUCTION MATERIALS FOR THE REHABILITATION OF BARANGAY LOCAL ROADS</t>
  </si>
  <si>
    <t>CY2020 BEFF Repair and Rehabilitation of Classrooms in Cabatoan ES and Magaswe ES</t>
  </si>
  <si>
    <t>RFQ No. 2008-420 Proc. of Infra (Drainage Canal along M. Parras St.)</t>
  </si>
  <si>
    <t>Supplemental Medical Supplies for GCH Operations for 4th Quarter</t>
  </si>
  <si>
    <t>Supply &amp; Delivery of Various Electrical Parts for Perkins &amp; FG Wilson Gensets of Manuk Mangkaw DPP for PR # S3-MAN20-007, S3-MAN20-008 &amp; S3-MAN20-010 (S3-SPUGWM20-003 (NP5)</t>
  </si>
  <si>
    <t>Purchase of various Calamity Materials</t>
  </si>
  <si>
    <t>Concreting/Improvement of Farm to Market Road at Barangay Cabittauran, Nueva Era, Ilocos Norte</t>
  </si>
  <si>
    <t>HO-EMA20-001 &amp; 5 OTHERS - Supply of Labor and Materials for the Calibration and Preventive Maintenance Service of Laboratory Equipment</t>
  </si>
  <si>
    <t>ENHANCEMENT OF MAIZE KAPE PRODUCTION - CANTAGAY</t>
  </si>
  <si>
    <t>CONSTRUCTION OF DRAINAGE CANAL SITIO CENTRO</t>
  </si>
  <si>
    <t>PURCHASE OF MINI AMBULANCE</t>
  </si>
  <si>
    <t>Supply &amp; Delivery of Generator Set &amp; Air Condition Units, Municipal Health Office, Buenavista, Quezon</t>
  </si>
  <si>
    <t>Rehabilitation of Barangay Health Center</t>
  </si>
  <si>
    <t>Rehabilitation of Various FMR</t>
  </si>
  <si>
    <t>Supply, Delivery &amp; Installation of Sunscreen Curtains of BSP Dagupan Branch</t>
  </si>
  <si>
    <t>20FH0105 - EMERGENCY REPAIR/MAINTENANCE OF DRAINAGE SYSTEM ALONG CCR VIRAC-BATO-SAN MIGUEL ROAD SECTION AT (K0002+050 – K0002+250), SAN VICENTE, VIRAC, CATANDUANES</t>
  </si>
  <si>
    <t>REPAIR &amp; REPAINTING OF RUNWAY MARKERS/MARKINGS</t>
  </si>
  <si>
    <t>21A00006: Retrofitting/Strengthening of Permanent Bridges, Bocal Bridge (B00532LZ) along Manila North Road</t>
  </si>
  <si>
    <t>Computer Printer and Thermal Scanner</t>
  </si>
  <si>
    <t>I.T. EQUIPMENT AND PERIPHERALS</t>
  </si>
  <si>
    <t>(PAssO) (2ND) INVITATION TO BID FOR THE SUPPLY &amp; DELIVERY OF HIGH-SPEED SCANNER, LAPTOP &amp; ALL IN ONE DESKTOP COMPUTER FOR THE  PROVINCIAL ASSESSMENT OFFICE--305,000.00</t>
  </si>
  <si>
    <t>PURCHASE OF ONE (1) UNIT FOUR-WHEELED VEHICLE (4X4, PICK-UP TYPE) FOR INFRASTRUCTURE RELATED AND ENGINEERING SERVICES/OBO FUNCTIONS FOR 45 BARANGAY'S FOR ARGAO, CEBU</t>
  </si>
  <si>
    <t>PURCHASE OF PURIFIED RABIES VACCINE (SPEEDA)</t>
  </si>
  <si>
    <t>1 Lot closed circuit Television</t>
  </si>
  <si>
    <t>PEO-NC-2020-0450 PR2020-0597 REQUEST FOR QUOTATION FOR THE PROCUREMENT OF PRINTER AND UPS</t>
  </si>
  <si>
    <t>RFQ FOUR DRAWER STEEL FILING CABINET WITH LOCK</t>
  </si>
  <si>
    <t>CID No. 20GLE0100/PR 20-08-0154 Purchase of Fuel for use in various service vehicle of Davao Occidental DEO-Malita, along Buhangin-Malita-Don Marcelino-JAS Projects (for 4th Quarter CY 2020).</t>
  </si>
  <si>
    <t>SUPPLY &amp; DELIVERY OF 1 UNIT BRAND NEW 7-TONNER HAULING TRUCK In support to Consolidation, Processing and Marketing of Copra for Bulucaon Farmers Multi-Purpose Cooperative (BFMPC), Bulucaon, Pigcawayan</t>
  </si>
  <si>
    <t>PURCHASE OF VARIOUS PARTS FOR THE MAINTENANCE OF MUNICIPAL SERVICE VEHICLE</t>
  </si>
  <si>
    <t>PURCHASE OF OFFICE EQUIPMENT (GCH)</t>
  </si>
  <si>
    <t>Delivery of Various Construction Supplies/Materials Needed for Various Projects of LGU Bayawan City.(NP-PB 20-0965)</t>
  </si>
  <si>
    <t>Supply &amp; Delivery of Various O-Rings &amp; Rubber Ring for Power Barge 119 (S3-B1920-009 (NP-3)</t>
  </si>
  <si>
    <t>Folding Table</t>
  </si>
  <si>
    <t>Fabrication/Construction of 12 Units streetlights</t>
  </si>
  <si>
    <t>Supply and Delivery of 2 Months Old Dominant CZ Chicken for the Integrated Corn-Based Farming system cum Free-Range Chicken Training  for Farmers of Matalam, Cotabato for ATI-RTC XII.</t>
  </si>
  <si>
    <t>Supplemental Medicine Supplies for Guimba Community Hospital Operations for 4th Quarter</t>
  </si>
  <si>
    <t>21A00008: Retrofitting/Strengthening of Permanent Bridges, Pantal Bridge II (B04222LZ) along Judge Jose De Venecia Boulevard Extension Road</t>
  </si>
  <si>
    <t>Purchase of printer (OMM)</t>
  </si>
  <si>
    <t>2nd Invitation to Bid for the  CONSTRUCTION OF CADISULAN II CIS Located at Bone South, Aritao, Nueva Vizcaya</t>
  </si>
  <si>
    <t>SUPPLY AND DELIVERY OF MATERIALS TO BE USED IN INSTALLATION OF POTABLE WATER SUPPLY SYSTEM LEVEL 2 SITI0 LANZONES, &amp; MANGGA, BARANGAY PIǸAHAN</t>
  </si>
  <si>
    <t>Improvement of Water system &amp; intallation</t>
  </si>
  <si>
    <t>Procurement of Various Kitchen Equipment</t>
  </si>
  <si>
    <t>20NG0102 - CONSTRUCTION OF 1 STOREY 3 CLASSROOM SCHOOL BUILDING/ KARIHATAG ELEMETARY SCHOOL, BARANGAY KARIHATAG, MALIMONO, SURIGAO DEL NORTE</t>
  </si>
  <si>
    <t>PR NO. 20-08-319 (2020-08-294) PROCUREMENT OF ALCOHOL</t>
  </si>
  <si>
    <t>Construction materials of Multi-purpose hall Brgy. Tanod Outpost Sitio BARIBAG BRGY. BIBINCAHAN</t>
  </si>
  <si>
    <t>Repair, Replacement and Repainting of Aircon Pipe Cladding</t>
  </si>
  <si>
    <t>21A00007: Retrofitting/Strengthening of Permanent Bridges, Cuenca Bridge (B00829LZ) along Rosario-Pugo Road</t>
  </si>
  <si>
    <t>(1) Lot Supply,Delivery and Installation of Structured Cabling System with Network Access Switch for Pag-IBIG Fund Cadiz Branch</t>
  </si>
  <si>
    <t>Proposed Road Concreting (18.0 meters x 5.0meters x 0.15m (2 lanes)) at Purok 5, Brgy. Magsaysay, Kidapawan City.</t>
  </si>
  <si>
    <t>Steel Locker and Sliding Glass Door Cabinet</t>
  </si>
  <si>
    <t>Construction of two units Footbridge and Stone Masonry Slope Protection</t>
  </si>
  <si>
    <t>4 pcs. 10.00 x 20 Lug Tire w Tube &amp; Flap (16 ply)</t>
  </si>
  <si>
    <t>Supply &amp; Delivery of Electrical Spare Parts for MAN 6L21/31 of Basilan DPP (S3-BAI20-018 (NP-2)</t>
  </si>
  <si>
    <t>20FH0106 - REPAIR/MAINTENANCE OF SLOPE PROTECTION ALONG JCT. PANGANIBAN-SABLOYON ROAD SECTION (K0063+300 – K0063+400) AT INTERMITTENT SECTION, SARA-SARAAN, PANGANIBAN, CATANDUANES</t>
  </si>
  <si>
    <t>Procurement for the supply of labor and materials for the installation of two (2) units of 2TR inverter suspended type aircon and two (2) units of air curtains at the ground floor lobby of NDC bldg.</t>
  </si>
  <si>
    <t>PAYMENT FOR CATERING SERVICES FOR THE PARTICIPANTS FOR THE REVISION OF MUNICIPAL FISHERIES ORDINANCE #081-2014</t>
  </si>
  <si>
    <t>Procurement of One (1) Unit Brand New Backhoe Excavator (Supply and Delivery)</t>
  </si>
  <si>
    <t>PHO-NC-2020-159 PR2020-218 REQUEST FOR QUOTATION FOR THE PROCUREMENT OF LAPTOP COMPUTER</t>
  </si>
  <si>
    <t>Procurement of Medicines &amp; Medical Supplies for the use of Emergency Preparedness and Response of Provincial Disaster Risk Reduction and Management Office- Re Bidding /ITB no: 2020-508</t>
  </si>
  <si>
    <t>Printing of the 2019 Annual Report</t>
  </si>
  <si>
    <t>Procurement of Hardware &amp; Construction Materials for the Construction of Various Infra Projects, Vintar, Ilocos Norte</t>
  </si>
  <si>
    <t>Credenza</t>
  </si>
  <si>
    <t>Completion of Covered Court of VSU Tolosa (INFRA-21-01)</t>
  </si>
  <si>
    <t>Concreting/Improvement of Farm to Market Road at Sitio Dongdong, Barangangay Acnam, Nueva Era, Ilocos Norte</t>
  </si>
  <si>
    <t>PIAO-NC-2020-0417 PR2020-0556 REQUEST FOR QUOTATION FOR THE PROCUREMENT OF DESKTOP COMPUTERS</t>
  </si>
  <si>
    <t>21A00011: Retrofitting/Strengthening of Permanent Bridges, Quiray Bridge (B04488LZ) along Pangasinan-Tarlac Road</t>
  </si>
  <si>
    <t>PURCHASE AND DELIVERY OF MEDICINES</t>
  </si>
  <si>
    <t>Extension &amp; Rehabilitation of Evacuation Center</t>
  </si>
  <si>
    <t>Invitation to Apply for Eligibility and to Bid for the Supply and Delivery of Risograph Machine</t>
  </si>
  <si>
    <t>pick-up van</t>
  </si>
  <si>
    <t>PEO-20-0927-B (REBID)- Purchase of Spare Parts for use in the repair of Isuzu Dump Truck (NDT 21-40) Model: FTR33FLD assigned at PEP, Sta. Barbara, Iloilo</t>
  </si>
  <si>
    <t>Supply and Delivery of Materials Including Installation and Fabrication of Partition of Multi-Purpose Brgy. Hall Phase II of BLGU Doña Josefa, Laak, Davao De Oro</t>
  </si>
  <si>
    <t>REPRODUCTION AND DELIVERY OF LEARNING MODULES FOR GRADE III, GRADE IV, GRADE V, AND GRADE VI.</t>
  </si>
  <si>
    <t>Supply and Delivery of Medical Supplies for DepEd Cebu City Division COVID-19 Response Use</t>
  </si>
  <si>
    <t>PURCHASE OF VARIOUS ITEMS TO BE DISTRIBUTED TO TOP TEN OUTSTANDING ELEMENTARY SCHOOL PUPILS AND TOP TEN OUTSTANDING SENIOR HIGH SCHOOL STUDENTS OF CALUYA, STUDENTS, PARENTS, SCHOOLS AND THE COMMUNITY</t>
  </si>
  <si>
    <t>CID No. 20GLE0101/PR 20-08-0155 Purchase of Fuel for use in various service vehicle of Davao Occidental DEO-Malita, along Buhangin-Balangonan (JAS)-Sarangani Projects (for 4th Quarter CY 2020).</t>
  </si>
  <si>
    <t>BEMO-NC-2020-0458 REQUEST FOR QUOTATION FOR THE PROCUREMENT OF HIRING OF THIRD PARTY CERTIFICATION BODY TO ASSESS THE EFFECTIVENESS OF THE EMS IMPLEMENTATION OF THE PGBH IN CONFORMANCE TO THE REQUIREM</t>
  </si>
  <si>
    <t>PROCUREMENT OF PROFESSIONAL CONSULTING  SERVICE FOR THE CONDUCT OF AIR DISPERSION  MODELLING FOR THE PIESTTA AIRSHED</t>
  </si>
  <si>
    <t>S &amp; D of Aircon and Complete Accessories (PDRRMO)</t>
  </si>
  <si>
    <t>PROCUREMENT OF  GOAT AND SHEEP  ( INCLUDE SKILLS TRAINING)</t>
  </si>
  <si>
    <t>CID No. 20GLE0103/PR 20-08-0157 Purchase of Fuel for use in various service vehicle of Davao Occidental DEO-Malita, along Buhangin-Malita-Jnct. Mana-Little Baguio Projects (for 4th Quarter CY 2020).</t>
  </si>
  <si>
    <t>21A00010: Retrofitting/Strengthening of Permanent Bridges, Pasaleng Bridge (B00550LZ) along Manila North Road</t>
  </si>
  <si>
    <t>CONSTRUCTION OF MINI GYM CANOPY (PHASE II)</t>
  </si>
  <si>
    <t>SUPPLY AND DELIVERY OF CHRISTMAS LIGHTS (1.30m x 1.80m @ 800bulb, 50w)</t>
  </si>
  <si>
    <t>Furniture</t>
  </si>
  <si>
    <t>20GGI0038 - Supply/Delivery of Fuel for use of Service Vehicles assigned at the DE/ADE, Construction Section, Planning and Design Section, Administrative Section, Quality Assurance Section and Account</t>
  </si>
  <si>
    <t>Purchase of Electrical Supplies</t>
  </si>
  <si>
    <t>Supply and delivery of medical supplies for the use of the Kidapawan City Hospital, Kidapawan City</t>
  </si>
  <si>
    <t>Construction of Police Community Precinct (PCP) at Barangay Buenavista</t>
  </si>
  <si>
    <t>OPA-ADMIN-NC-2020-0415 PR2020-0553 REQUEST FOR QUOTATION FOR THE PROCUREMENT OF DIESEL AND GASOLINE</t>
  </si>
  <si>
    <t>PURCHASE OF 2-UNITS MULTI FUNCTION PHOTOCOPIER FOR MEEDO OFFICE</t>
  </si>
  <si>
    <t>Internet Subscription (Upgrading of the Existing Bandwidth)</t>
  </si>
  <si>
    <t>CPAR-20-3138: Procurement of Agricultural Supplies to be used as Inputs for the implementation of the project “Community-based Participatory Action Research..”</t>
  </si>
  <si>
    <t>BLGU STO.TOMAS(IMPROVEMENT OF DRAINAGE)</t>
  </si>
  <si>
    <t>FOOD PROCESSING "SUMAN" PRODUCTION AND MARKETING - TUBOD MONTE</t>
  </si>
  <si>
    <t>CID No. 20GLE0102/PR 20-08-0156 Purchase of Fuel for use in various service vehicle of Davao Occidental DEO-Malita, along Buhangin-Sta.Maria Area Projects (for 4th Quarter CY 2020).</t>
  </si>
  <si>
    <t>20GA00005: Purchase and Delivery of Various Heavy Equipment in connection with the Dredging Projects of Region I</t>
  </si>
  <si>
    <t>PEO-20-0898 B (REBID)- Purchase of Spare Parts for use in the repair of Kawasaki Payloader (KFL-3) Model: 65Z III assigned at PEP, Sta. Barbara, Iloilo</t>
  </si>
  <si>
    <t>INVITATION TO BID FOR SUPPLY OF MATERIALS FOR BARANGAY ROAD CONCRETING - FIRST BIDDING</t>
  </si>
  <si>
    <t>Construction of Covered Court-Brgy. Maniak</t>
  </si>
  <si>
    <t>Construction of Multi-Purpose Hall – Brgy. Basak</t>
  </si>
  <si>
    <t>Purchase of CCTV Camera with Installation</t>
  </si>
  <si>
    <t>PB PUR20-08-0697 &amp; PUR20-08-0707 Supply &amp; delivery of Medical Supplies for PSD, PGH</t>
  </si>
  <si>
    <t>PURCHASE OF VARIOUS PARTS FOR THE MAINTENANCE OF ENGINEERING DUMP TRUCK (MITSUBISHI CANTER, PROP NO. 170223-473)</t>
  </si>
  <si>
    <t>(GO-Jail) (2ND) INVITATION TO BID FOR THE SUPPLY &amp; DELIVERY OF1 UNIT PHOTOCOPIER   FOR THE  GOVERNOR’S OFFICE – PROVINCIAL JAIL--150,000.00</t>
  </si>
  <si>
    <t>SUPPLY AND DELIVERY OF VARIOUS LED ROPE LIGHTS</t>
  </si>
  <si>
    <t>Purchase of Rescue Vehicles for use of City Disaster Risk Reduction and Management Office</t>
  </si>
  <si>
    <t>Construction of Police Community Precinct (PCP) at Barangay Trinidad</t>
  </si>
  <si>
    <t>SOLAR STREET LIGHTING</t>
  </si>
  <si>
    <t>Concreting &amp; Widening of Nabas-Buenavista-Buenafortuna Road, Nabas, Aklan</t>
  </si>
  <si>
    <t>PHO-NC-2020-157 PR2020-216 REQUEST FOR QUOTATION FOR THE PROCUREMENT OF LIQUIFIED PETROLEUM GAS</t>
  </si>
  <si>
    <t>Office Supplies of 1st and 2nd Quarter for DepEd RO-IX</t>
  </si>
  <si>
    <t>Procurement of Meals, Venue, Accommodation and Materials for the Training of Trainors on Government Procurement Reform Act (R.A. 9184) and Its Revised IRR Updates (Elementary)</t>
  </si>
  <si>
    <t>Supply and Delivery of Materials for the Construction of Materials Recovery Facility at Purok 2 of BLGU Doña Josefa, Laak, Davao De Oro</t>
  </si>
  <si>
    <t>PROCUREMENT OF  FACE  MASKS</t>
  </si>
  <si>
    <t>Supply and delivery of Medical Supplies and Laboratory Equipment for CTU-Tuburan Campus</t>
  </si>
  <si>
    <t>Supply and Delivery of assorted Computer Equipments/Supplies for LGU Sibagat Agusan del Sur</t>
  </si>
  <si>
    <t>Purchase of Bond Paper A4 and Printer Ink for the reproduction of Modules for the indigent children of DepEd Hindang, Leyte Elementary Level.</t>
  </si>
  <si>
    <t>Upgrading of Munguia-Parai Road</t>
  </si>
  <si>
    <t>Supply, Delivery &amp; Installation of Steel Grill with Expanded Metal Screen &amp; Exhaust Fan</t>
  </si>
  <si>
    <t>Procurement of Emergency Response Tools and Equipments Mabini,  R. T. Lim, Zamboanga Sibugay</t>
  </si>
  <si>
    <t>Supply, Delivery and Installation of Interactive Projector (Educational Use)</t>
  </si>
  <si>
    <t>IMPROVEMENT OF MULTI-PURPOSE BUILDING - BRGY. NAUSOK</t>
  </si>
  <si>
    <t>FURNISHING OF LABOR AND MATERIALS FOR THE CONSTRUCTION OF DRAINAGE AND SIDEWALK- SOUTHBOUND TERMINAL AT BRGY. TABUCAN, DUMANGAS, ILOILO (REBIDDING)</t>
  </si>
  <si>
    <t>PHO-NC-2020-158 PR2020-217 REQUEST FOR QUOTATION FOR THE PROCUREMENT OF LAPTOP COMPUTER, EXTERNAL DRIVE, AND FLASH DRIVE</t>
  </si>
  <si>
    <t>PURCHASE OF IT EQUIPMENT FOR LIGA STAFF TO BE USED FOR PREPARING OF NECESSARY DOCUMENTS AND OTHER LIGA PAPERS</t>
  </si>
  <si>
    <t>Purchase of Various Disaster Preparedness Equipment (MDRRMO)</t>
  </si>
  <si>
    <t>Rehabilitation of Water Source from Sitio Anahaw to Proper Nagsaha, Brgy. Nagsaha, Guihulngan City</t>
  </si>
  <si>
    <t>supply and installation</t>
  </si>
  <si>
    <t>Repair of Security Desk Counter at Lobby Area</t>
  </si>
  <si>
    <t>PARTS FOR SOUND SYSTEM</t>
  </si>
  <si>
    <t>Improvement Of Multi-Purpose Building 3 and 4</t>
  </si>
  <si>
    <t>FURNISHING OF LABOR AND MATERIALS FOR THE IMPROVEMENT OF FLOORING OF THE NEW MSWDO OFFICE AND BPLO AT DUMANGAS, ILOILO</t>
  </si>
  <si>
    <t>Purchase of Supplies &amp; Materials for the Usage of MPP and Barangay Street Lights</t>
  </si>
  <si>
    <t>Security Services Provider of Three (3) Security Guards at DepEd RO-IX, Balintawak, Pagadian City</t>
  </si>
  <si>
    <t>Supply and Delivery 1 Unit Multi-Purpose Vehicle 2.2L 4 In-Line 16 Valve DOHC with Turbocharged and etc.,</t>
  </si>
  <si>
    <t>Rehabilitation of Protection Wall</t>
  </si>
  <si>
    <t>Construction of Typical Fire Station with Mezzanine of Kinoguitan Fire Station</t>
  </si>
  <si>
    <t>Supply and Installation of Solar Street Lights</t>
  </si>
  <si>
    <t>Printing of tarpaulin for CHO-ANTI-SMOKING PROGRAM under PR#2020-08-3057</t>
  </si>
  <si>
    <t>Supply and Delivery of Various Supplies Materials for the Upgrading of Internet Connection</t>
  </si>
  <si>
    <t>Construction of forty (40) housing units of the BARMM Housing Project Phase II</t>
  </si>
  <si>
    <t>IT equipment’s for Municipal Health Office, San Jose dB, Antique</t>
  </si>
  <si>
    <t>MIXER, MICROPHONE, CROSSOVER</t>
  </si>
  <si>
    <t>Installation of Water Distribution Line with Tapstand at Brgy. Malusay</t>
  </si>
  <si>
    <t>Water Borehole Drilling (Additional 48-M Depth), Barangay Udiao</t>
  </si>
  <si>
    <t>Procurement of 15000 Tons Solid Waste Collection and Disposal Services.</t>
  </si>
  <si>
    <t>SUPPLY AND DELIVERY OF VARIOUS LED STRING LIGHTS</t>
  </si>
  <si>
    <t>Invitation to Apply for Eligibility and to Bid for the Supply and Delivery of Licensed Repeater and  Hand Held Radio</t>
  </si>
  <si>
    <t>Supply and Delivery of 200 pcs. Angle Valve 1/2 x 1/2 and other various plumbing materials and etc.,</t>
  </si>
  <si>
    <t>Reblocking of Tondog-Baybay-Dapdap Road, Tangalan, Aklan</t>
  </si>
  <si>
    <t>Purchase of Vehicle (multicab)</t>
  </si>
  <si>
    <t>Supply and delivery of triple bags for the use of the Kidapawan City Blood Center, Kidapawan City.</t>
  </si>
  <si>
    <t>20FH0108 - REPAIR/MAINTENANCE OF SLOPE PROTECTION ALONG JCT. BATO-BARAS ROAD SECTION, (K0020+500 – K0020+700) AT INTERMITTENT SECTION, TILOD, BARAS, CATANDUANES</t>
  </si>
  <si>
    <t>PROCUREMENT OF BARANGAY QUARANTINE FACILITY CONSTRUCTION MATERIALS – CLUSTER 1</t>
  </si>
  <si>
    <t>Concreting of Farm to Market Road at Purok Canadem-Macbel-Samin, Barangay Macabenga</t>
  </si>
  <si>
    <t>FURNISHING LABOR, MATERIALS &amp; EQUIPMENT RENTAL FOR THE INSTALLATION OF TRANSFORMER PLATFORM</t>
  </si>
  <si>
    <t>PURCHASE OF SWIVEL CHAIR FOR AGRICULTURE OFFICE</t>
  </si>
  <si>
    <t>Materials for Road Opening of Brgy. Inabasan, San Jose dB, Antique</t>
  </si>
  <si>
    <t>Procurement of Technical and Scientific Equipment (Lot 3. Automated rain gauge and Water level monitoring) Repost</t>
  </si>
  <si>
    <t>Purchase of Duplicating Machine</t>
  </si>
  <si>
    <t>20GEG0006-Supply/Delivery of Spare Parts for use in Various Maintenance Equipment, DPWH-Palawan 3rd DEO, Puerto Princesa City, Palawan</t>
  </si>
  <si>
    <t>Supply and Delivery of 50 pcs. Tire, Tubeless, 155 R12 and other various Tire supplies.</t>
  </si>
  <si>
    <t>Procurement of Fuel &amp; Lubricant for the Rehabilitation of Barangay Road (Damaged by LPA) Taruc,  R. T. Lim, Zamboanga Sibugay</t>
  </si>
  <si>
    <t>Road Rehabilitation located at following: Lot 1) Hacienda Cataywa - Barangay Concepcion, Hacienda Esmeralda 3 - Barangay Katilingban, Hacienda Esmeralda 2 - Barangay San Fernando  Lot 2) Hacienda Balo</t>
  </si>
  <si>
    <t>Improvement of New Public Market</t>
  </si>
  <si>
    <t>Invitation to Apply for the Eligibility and to Bid for the Renovation and Repair of Food Technology Laboratory (Bldg J)</t>
  </si>
  <si>
    <t>20GPG0003 - Purchase and Delivery of Information and Communication Technology Equipment/ Devices and Accessories for use of Planning and Design Section, DPWH - Ifugao First District Engineering Office</t>
  </si>
  <si>
    <t>SUPPLY, DELIVERY, INSTALLATION, TESTING AND COMMISSIONING OF BRAND-NEW BED/ PASSENGER ELEVATOR (RE-BID)</t>
  </si>
  <si>
    <t>Room accommodation under emerging/re-emerging disease program under PR#2020-08-3120</t>
  </si>
  <si>
    <t>Construction of Multi-Purpose Building, Brgy. Atabay, San Jose dB, Antique</t>
  </si>
  <si>
    <t>Supply and Delivery of two (2) units Brand New  2020 6-Wheeler Truck with Customized Body</t>
  </si>
  <si>
    <t>Invitation to bid for the Supply and Delivery of Materials for INSTALLATION OF LIGHTING POST AND ELECTRICAL WORKS</t>
  </si>
  <si>
    <t>PURCHASE OF IT EQUIPMENT FOR THE BANTAY DAGAT PERSONNEL</t>
  </si>
  <si>
    <t xml:space="preserve">Establishment of Common Service Facility on Food Processing and Toll Packaging in Taytay, Palawan (Lot 1: Supply, Delivery and Installation of Equipment, Tools and Machineries for Food Processing and </t>
  </si>
  <si>
    <t>Procurement of Consultancy Services for LGU-Borongan City</t>
  </si>
  <si>
    <t>Concreting of Maloco-Mabusao Road (Maloco Segment), Ibajay, Aklan</t>
  </si>
  <si>
    <t>20FH0107 - REPAIR/MAINTENANCE OF NATIONAL ROAD ALONG CATANDUANES CIRCUMFERENTIAL ROAD, PANGANIBAN-BAGAMANOC ROAD SECTION (K0060+000 – K0060+500) AT INTERMITTENT SECTION, PANGANIBAN-BAGAMANOC ROAD SECT</t>
  </si>
  <si>
    <t>Construction of Rural Access Road</t>
  </si>
  <si>
    <t>SAAD-20-3160: Procurement of 300 bags Copra Meal needed for the DA SAAD Native Chicken Production Project in the Province of Bohol</t>
  </si>
  <si>
    <t>Concreting of Road Sitio Abalaten, Barangay San Vicente, San Jacinto, Pangasinan</t>
  </si>
  <si>
    <t>IMPROVEMENT OF FARM TO MARKET ROAD AT SITIO BANTOLINAO,BARANGAY PADIAY, SIBAGAT AGUSAN DEL SUR</t>
  </si>
  <si>
    <t>Supply &amp; Delivery of One (1) Unit Brand New Service Vehicle of the City Mayor's Office, Ormoc City</t>
  </si>
  <si>
    <t>SUPPLY &amp; DELIVERY OF HARDWARE/MATERIALS &amp; RENTAL OF EQUIPMENT FOR THE REHABILITATION OF TONGDOL, CARACDACAN, CARRIEDO, BUENAVISTA</t>
  </si>
  <si>
    <t>Construction of Quarantine Facilities at Brgy. T-Beach</t>
  </si>
  <si>
    <t>Supply , Delivery &amp; Installation of Storage Container Van for Alternate Storage Facility of the City Disaster &amp; Risk Reduction Management Office, Ormoc City</t>
  </si>
  <si>
    <t>PURCHASE OF FEEDS FOR POULTRY RAISING PROJECT OF LGU-CALUYA</t>
  </si>
  <si>
    <t>TRANSMISSION/DISTRIBUTION PIPELINE EXPANSION</t>
  </si>
  <si>
    <t>Office Supplies for use in Municipal General Services Office</t>
  </si>
  <si>
    <t>Purchase of Various Food Stuff for Stockpile (MDRRMO)</t>
  </si>
  <si>
    <t>PROCUREMENT OF LABORATORY SUPPLIES AND REAGENTS FOR COVID-19 RESPONSE</t>
  </si>
  <si>
    <t>Supply and delivery of various parts of VRF</t>
  </si>
  <si>
    <t>PR-2020-05-101 CLA BLUE GUARDS</t>
  </si>
  <si>
    <t>Establishment of Common Service Facility on Food Processing and Toll Packaging in Taytay, Palawan (Lot 2: Supply, Delivery and Installation of Water Filtration and Purification System) (1st Posting)</t>
  </si>
  <si>
    <t>Procurement of Replacement/Upgrading of Public Address System of PGO Conference Room, Governor’s Office, Province of Aklan- Re Bidding/ITB no: 2020-500</t>
  </si>
  <si>
    <t>Repair of 1 Pair Movable Basketball Hoops</t>
  </si>
  <si>
    <t>CONSTRUCTION OF MULTI-PURPOSE BUILDING @ HALAPITAN</t>
  </si>
  <si>
    <t>20GEG0007-Supply/Delivery of Office Equipment and Supplies for the use of Road Condition and Inventory Surveys, Roughness Surveys, VOC/RUC Surveys and Technology Enhancement for RBIA  CY-2020, DPWH-Pa</t>
  </si>
  <si>
    <t>Procurement of Technical and Scientific Equipment (Lot 5. Dual powered solar dryer) Repost</t>
  </si>
  <si>
    <t>MATERIALS FOR THE CONSTRUCTION OF STEEL CANAL COVER</t>
  </si>
  <si>
    <t>Supply &amp; Delivery of Gift Certificates for Loyalty Awardees, 2020, Human Resources &amp; Management Office, Ormoc City</t>
  </si>
  <si>
    <t>20GG0068-G - Procurement of Road Safety Devices and Supplies for the use of Planning and Design Section, DPWH Iloilo 2nd DEO, Balabag, Dumangas, Iloilo</t>
  </si>
  <si>
    <t>RFQ (20-08-054) Enteral Nutrition for Cancer Patients 380g; Enteral Nutrition-Semi Elemental Nutrition with whey peptide or partiallt hydrolyzed protein</t>
  </si>
  <si>
    <t>Construction and Installation of a Community Radio Station for Distant Learning</t>
  </si>
  <si>
    <t>PROCUREMENT OF MEDICAL SUPPLIES FOR COVID-19 RESPONSE</t>
  </si>
  <si>
    <t>Construction of New Office Building, Laoag City (LTO- Laoag District Office)</t>
  </si>
  <si>
    <t>Purchase of Various Office Furnitures to be Used in Dep-Ed- Molave East District Office</t>
  </si>
  <si>
    <t>Purchase of Various Merchandise and Kitchen Appliances to be Used in Dep-Ed- Molave East District Office</t>
  </si>
  <si>
    <t>REHABILITATION REPAINTING, FABRICATION AND INSTALLATION OF NEW TRUSSES AT KINARAGAN ELEMENTARY SCHOOL BARANGAY DUALE, LIMAY, BATAAN</t>
  </si>
  <si>
    <t>Reblocking of Boracay Provincial Road (Boracay Road Development Project – Concreting of Access Roads in Boracay Island), Malay, Aklan</t>
  </si>
  <si>
    <t>Procurement of TABLET</t>
  </si>
  <si>
    <t>Supplemental APP</t>
  </si>
  <si>
    <t>UPLB-S-053-09-20, SUPPLY AND DELIVERY OF  BRANDED AND BRAND NEW AGRICULTURAL MACHINERY AND EQUIPMENT</t>
  </si>
  <si>
    <t>PURCHASE OF VARIOUS MATERIALS FOR CATCHING/GATHERING OF RABBIT FISH INFESTED SEAWEEDS PRODUCTION AREA AT PANAGATAN ISLAND</t>
  </si>
  <si>
    <t>(VJLN - GSU) REPAIR AND IMPROVEMENT OF VARIOUS OFFICE AT LIB COMPLEX</t>
  </si>
  <si>
    <t>SUPPLY &amp; DELIVERY OF VARIOUS HYGIENIC KIT FOR SK DISTRIBUTION IN BARANGAY SAN RAFAEL</t>
  </si>
  <si>
    <t>Expansion of Level II Water Supply System of Brgy. Himacugo, Hindang, Leyte</t>
  </si>
  <si>
    <t>Purchase of Plastic Tables and Chairs</t>
  </si>
  <si>
    <t>SUPPLY &amp; DELIVERY OF FUEL  FOR LEGISLATIVE OFFICE OPERATION</t>
  </si>
  <si>
    <t>Digital Production for the Promotion of Canlaon City</t>
  </si>
  <si>
    <t>CONTRACT/PROJECT ID NO. 20GBD0042 - PURCHASE OF SPARE PARTS FOR USE IN THE REPLACEMENT OF DEFECTIVE PARTS OF PHOTO COPIER MACHINE (INEO 227) ASSIGNED IN THE QUALITY ASSURANCE AND FINANCE SECTION</t>
  </si>
  <si>
    <t>Procurement of One (1) Unit Whiteprint Machine</t>
  </si>
  <si>
    <t>PURCHASE OF PRINTERS FOR ELEMENTARY SCHOOLS LOCATED AT THE ISLAND BARANGAYS AND SITIO OF THE MUNICIPALITY OF CALUYA</t>
  </si>
  <si>
    <t>SUPPLY AND DELIVERY OF DRUGS AND MEDICINES FOR THE OSPITAL NG MALABON (3RD QUARTER)</t>
  </si>
  <si>
    <t>Water Supply (Level II) for Various Barangays, Brgy. Mahayahay, Ormoc City</t>
  </si>
  <si>
    <t>Procurement of Two Thousand (2,000) Reams of Bond Paper as Supplies for the Reproduction of Modules of Eighteen (18) Elementary Schools and One (1) Integrated School</t>
  </si>
  <si>
    <t>SUPPLY AND DELIVERY OF GROCERY ITEMS FOR THE PROJECT "FOOD FOR WORK PROGRAM 202"</t>
  </si>
  <si>
    <t>INVITATION TO BID FOR THE SUPPLY AND DELIVERY  OF VARIOUS MATERIALS FOR USE IN THE CRIMINAL INVESTIGATION AND DETECTION UNIT BUILDING (COMPLETION) AT CAMP NARANJO,  BARANGAY LOWER LAMAC, OROQUIETA CIT</t>
  </si>
  <si>
    <t>VARIOUS FURNITURES AND FIXTURES</t>
  </si>
  <si>
    <t>PURCHASE OF IT EQUIPMENT FOR MEEDO OFFICE</t>
  </si>
  <si>
    <t>SUPPLY AND DELIVERY OF POSTERS FOR INFORMATION, EDUCATION AND COMMUNICATION MATERIALS ON LEARNERS AND SCHOOLS AS ZONES OF PEACE</t>
  </si>
  <si>
    <t>SUPPLY AND DELIVERY OF OFFICE SUPPLY AT GOVERNOR EMILIO GASTON MEMORIAL ELEMENTARY SCHOOL (FREE DELIVERY)</t>
  </si>
  <si>
    <t>SUPPLY AND DELIVERY OF MEDICAL, DENTAL AND LABORATORY SUPPLIES FOR THE OSPITAL NG MALABON (3RD QUARTER)</t>
  </si>
  <si>
    <t>Purchase of Gasoline Premium for use in Government Vehicles, Silay City.</t>
  </si>
  <si>
    <t>IMPROVEMENT OF DRAINAGE CANAL AT PERIL, PICO</t>
  </si>
  <si>
    <t>MATERIALS FOR TRAINING AND SEMINAR</t>
  </si>
  <si>
    <t>Supply and Delivery of One (1) Unit Wall Mounted Inverter and One (1) Unit Floor Mounted Inverter Airconditioning</t>
  </si>
  <si>
    <t>Concreting of Binatug-Luzcon Gangalan Road Section Including Cross Drainage</t>
  </si>
  <si>
    <t>20GAB0005: SUPPLY AND DELIVERY OF IT EQUIPMENTS FOR USE AT DPWH-INSDEO, SAN PABLO, SAN NICOLAS, ILOCOS NORTE</t>
  </si>
  <si>
    <t>SUPPLY AND DELIVERY OF ONE (1) UNIT ENGINE TYPE/SD 16 FOR THE REPAIR OF SHANTUI BULLDOZER-LGU SIBAGAT,AGUSAN DEL SUR</t>
  </si>
  <si>
    <t>Supply and delivery of Fuel for Municipal Agriculture Office Vehicle use.</t>
  </si>
  <si>
    <t>SUPPLY &amp; DELIVERY OF T-SHIRT FOR MHO, RODRIGUEZ, RIZAL</t>
  </si>
  <si>
    <t>INVITATION TO SUBMIT PRICE QUOTATION REPAIR OF COMFORT ROOM, WATER SYSTEM, KITCHEN AND DINING AREA AT GUIUAN, EASTERN SAMAR</t>
  </si>
  <si>
    <t>Procurement of One (1) Unit Blueprint Machine (Non-Ammonia)</t>
  </si>
  <si>
    <t>Purchase of Various Appliances to be Used in DepEd-Molave East District Office</t>
  </si>
  <si>
    <t>CONSTRUCTION OF FOOT BRIDGE</t>
  </si>
  <si>
    <t>REHABILITATION OF GUTTERS AND DOWNSPOUTS</t>
  </si>
  <si>
    <t>Construction Supplies and Materials for ISS &amp; Center Director's Office</t>
  </si>
  <si>
    <t>Supply and Delivery of various materials for the Renovation of Municipal Ground Floor-North Wing Side, Bato Municipal Hall Phase II, Bato, Leyte</t>
  </si>
  <si>
    <t>Purchase of Various Materials for DOLE Intgrated Livelihood Emergency Employment Program (DILEEP)</t>
  </si>
  <si>
    <t>Agricultural Products for FBS Extension Support</t>
  </si>
  <si>
    <t>Establishment of Common Service Facility on Food Processing and Toll Packaging in Roxas, Palawan (Lot 2: Supply, Delivery and Installation of Water Filtration and Purification System) (1st Posting)</t>
  </si>
  <si>
    <t>TABLE TOP PROTECTED SHIELD</t>
  </si>
  <si>
    <t>SUPPLY AND DELIVERY OF CONSTRUCTION MATERIALS AND SUPPLIES FOR THE CONCRETING OF BARANGAY ROADS OF DIFFERENT SITIO'S OF BARANGAY BAYUIN, SOCORRO, ORIENTAL MINDORO</t>
  </si>
  <si>
    <t>20CB-GSC-528	PURCHASE FURNITURE AND FIXTURE (TRUST FUND) (RE-BID)</t>
  </si>
  <si>
    <t>CONSTRUCTION OF FLOOD CONTROL AT SAMOYAO</t>
  </si>
  <si>
    <t>Printing/Reproduction of Modules for Kindergarten to Grade 6</t>
  </si>
  <si>
    <t>DREDGING AND CONSTRUCTION/ EXTENSION OF FLOOD CONTROL PROJECT PHASE III ALONG DUMATATA BURGOS, CABARROGUIS</t>
  </si>
  <si>
    <t>CONSTRUCTION/REHAB./IMPROVEMENT OF VARIOUS INFRA PROJECTS (CLUSTER 7)</t>
  </si>
  <si>
    <t>Room accommodation under emerging/re-emerging disease program/COVID19 under PR#2020-08-3121</t>
  </si>
  <si>
    <t>Public Buildings - Satellite Public Market (Phase I) at Brgy. Valencia, Ormoc City</t>
  </si>
  <si>
    <t>INVITATION TO BID FOR CONTRACT FOR THE SUPPLY AND DELIVERY OF ONE UNIT MOBILE RICE MILL/ROLLING CONO UNDER CRFP CY 2020 OF ARBDSP</t>
  </si>
  <si>
    <t>PROCUREMENT OF  COVID 19 RAPID  ANTIBODY TEST KITS</t>
  </si>
  <si>
    <t>Purchase of DIESEL FUEL for use in all Government Vehicles, Silay City.</t>
  </si>
  <si>
    <t>20CB-GSC-527	PURCHASE OF FOOD SUPPLIES FOR DJPRH</t>
  </si>
  <si>
    <t>PURCHASE/DELIVERY OF HARDWARE MATERIALS FOR  DIFFERENT PROJECTS</t>
  </si>
  <si>
    <t>Concreting of Farm-to-Market Road (Gimangpang)</t>
  </si>
  <si>
    <t>REHABILITATION OF BARANGAY MULTI-PURPOSE HALL GROUNDS</t>
  </si>
  <si>
    <t>Procurement of Vehicle Rental</t>
  </si>
  <si>
    <t>Request for quotation PR No. 1182-20</t>
  </si>
  <si>
    <t>Procurement of Food Supplies</t>
  </si>
  <si>
    <t>PROJECT DEVELOPMENT INITIATIVE- ECONOMIC SECTOR SERVICES AT CABARROGUIS</t>
  </si>
  <si>
    <t>20CB-GSC-530	PURCHASE OF IT EQUIPMENT (TRUST FUND)</t>
  </si>
  <si>
    <t>Book Paper (A4, 70 GSM) - City Schools Division of Tacurong</t>
  </si>
  <si>
    <t>Procurement of supply and delivery of Catering Services</t>
  </si>
  <si>
    <t>20GBC0013 - Furnishing/Delivery of Asphalt Materials for use along National/Secondary Roads (Asphalt Emulsified Cationic (SS-1)</t>
  </si>
  <si>
    <t>FURNISHING OF MATERIALS &amp; RENTAL OF EQUIPMENT FOR THE CONSTRUCTION OF EVACUATION CENTER AT PUROK 5</t>
  </si>
  <si>
    <t>Improvement of Evacuation Center at Bgy. Ogod, Donsol, Sorsogon</t>
  </si>
  <si>
    <t>PROCUREMENT OF POLO SHIRTS FOR 161ST  FOUNDING ANNIVERSARY OF THE MUNICIPALITY OF PILAR,CEBU WITH PRINT</t>
  </si>
  <si>
    <t>CONSTRUCTION OF SLOPE PROTECTION AT SAPSING</t>
  </si>
  <si>
    <t>20CB-GSC-529	PURCHASE OF OFFICE EQUIPMENT (TRUST FUND)</t>
  </si>
  <si>
    <t>Procurement of disposable face mask and adult humidifier for ventilator</t>
  </si>
  <si>
    <t>Procurement of various IT supplies</t>
  </si>
  <si>
    <t>20GBC0012 - Furnishing/Delivery of Asphalt Materials for use along National/Secondary Roads (Asphalt Cement Pen. Grade 60/70)</t>
  </si>
  <si>
    <t>purchace of Material for New Multi Purpose Building</t>
  </si>
  <si>
    <t>IMPROVEMENT OF FMR AT LOWER WESTERN BUYAGAN POND 1</t>
  </si>
  <si>
    <t>CY 2020 Basic Educational Facilities Fund Repair of Classrooms Batch 2</t>
  </si>
  <si>
    <t>Local Access Road Upgrading (Materials, Labor &amp; Equipment) at Brgy. Canha-ayon-Mahilum, Hindang, Leyte</t>
  </si>
  <si>
    <t>CONSTRUCTION OF POWER HOUSE OF EVACUATION CENTER AT MUNICIPAL COMPOUND, CABARROGUIS</t>
  </si>
  <si>
    <t>Supply/Delivery of Photocopier Units for the District II of Palo, Leyte   PR No. 20-07-0422</t>
  </si>
  <si>
    <t>MS OFFICE SOFTWARE AND LICENSE</t>
  </si>
  <si>
    <t>Purchase of Vehicle Tires</t>
  </si>
  <si>
    <t>Establishment of Common Service Facility on Food Processing and Toll Packaging in Roxas, Palawan (Lot 1: Supply, Delivery and Installation of Equipment, Tools and Machineries for Food Processing and T</t>
  </si>
  <si>
    <t>Supply and Delivery of Fuel &amp; Lubricants</t>
  </si>
  <si>
    <t>NEGOTIATED PROCUREMENT – TWO FAILED COMPETITIVE PUBLIC BIDDING</t>
  </si>
  <si>
    <t>CONSTRUCTION OF BARANGAY ROAD OF HOBO</t>
  </si>
  <si>
    <t>SUPPLIES FOR INSTALLATION OF CABLE TRAY AND RE-WIRE AT LIMAY MUNICIPAL HALL</t>
  </si>
  <si>
    <t>COMPLETION OF CELL 3 EXPANSION</t>
  </si>
  <si>
    <t>IMPROVEMENT OF POTABLE WATER SYSTEM AT MANGANDINGAY, CABARROGUIS</t>
  </si>
  <si>
    <t>Purchase of office supplies(family card) for ECCD Program under PR#2020-08-3085</t>
  </si>
  <si>
    <t>S &amp; D of Materials (PTO)</t>
  </si>
  <si>
    <t>Repair of Temporary Classrooms/tents</t>
  </si>
  <si>
    <t>Construction of Flood Control</t>
  </si>
  <si>
    <t>20EA0059 - Construction of Torrijos Public Market (Phase II), Torrijos, Marinduque</t>
  </si>
  <si>
    <t>SUPPLY AND DELIVERY OF MATERIALS FOR THE REPAIR OF OPEN STAGE</t>
  </si>
  <si>
    <t>RFQ for Furnitures (Accounting &amp; Registrar)</t>
  </si>
  <si>
    <t>Procurement of Supply and Delivery of Office  Supplies</t>
  </si>
  <si>
    <t>PROCUREMENT OF FURNITURE &amp; FIXTURE (VM/SB OFFICE)</t>
  </si>
  <si>
    <t>20CB-GSC-532	PURCHASE OF IT EQUIPMENT (RE-BID)</t>
  </si>
  <si>
    <t>Request for Quotation (CAD-2020-08-0357 Printer and Scanner)</t>
  </si>
  <si>
    <t>Printing of PFA Modules for Covid Response</t>
  </si>
  <si>
    <t>Construction/Rehabilitation &amp; Improvement of Various Municipal Projects (Package 20-06)</t>
  </si>
  <si>
    <t>PROJECT DEVELOPMENT INITIATIVE- SOCIAL SECTOR SERVICES AT CABARROGUIS</t>
  </si>
  <si>
    <t>PROCUREMENT OF VARIOUS BRANDED AND BRAND NEW CAVING INSTRUMENTS/GEARS for OFFICIAL USE OF CDS-Biodiversity Management Unit of PENRO MARINDUQUE with an ABC of Php134,300.00</t>
  </si>
  <si>
    <t>Request for Quotation (CAD-2020-08-0358 Ink)</t>
  </si>
  <si>
    <t>RFQ for Information Technology (Accounting)</t>
  </si>
  <si>
    <t>20CB-GSC-531	REPAIR OF MOTOR VEHICLE  (RE-BID)</t>
  </si>
  <si>
    <t>Request for Quotation (CAD-2020-08-0356 Pocket Wifi and Prepaid card)</t>
  </si>
  <si>
    <t>SUPPLY &amp; DELIVERY OF VARIOUS SUPPLIES FOR MDRRMO RODRIGUEZ, RIZAL</t>
  </si>
  <si>
    <t xml:space="preserve">Procurement of Two (2) Real Estate External Appraisal-Service Providers for Land Appraisal of One (1) Foreclosed Lot Located at Brgy. Bulua, Cagayan de Oro City; Two (2) Institutional Lots Located at </t>
  </si>
  <si>
    <t>CONSTRUCTION/REHAB./IMPROVEMENT OF VARIOUS INFRA PROJECTS (CLUSTER 6)</t>
  </si>
  <si>
    <t>FURNISHING OF MATERIALS FOR THE REHABILITATION OF WATER SYSTEM</t>
  </si>
  <si>
    <t>INVITATION TO SUBMIT PRICE QUOTATION  REPAIR OF NFA NORTHERN SAMAR  PROVINCIAL OFFICE IN DANCALAN, BOBON, NORTHERN SAMAR</t>
  </si>
  <si>
    <t>Power Supply System</t>
  </si>
  <si>
    <t>CLI-20-0355-B(REBID2) Purchase of Drugs and Medicines for Medical/ Dental Services Office- HMO</t>
  </si>
  <si>
    <t>Procurement of Various Construction Supplies and Materials-08-543(O)PEO</t>
  </si>
  <si>
    <t>Supply &amp; Delivery of IT Peripherals for the Department of Education, Ormoc City</t>
  </si>
  <si>
    <t>BEMO-2020-0196 Rebidding INVITATION TO BID FOR THE PROCUREMENT OF LABOR, EQUIPMENT, AND MATERIALS FOR THE EXPANSION OF GIANT CLAM HATCHERY AT BFAR, SINANDINGAN, UBAY, BOHOL</t>
  </si>
  <si>
    <t>PROPOSED CONSTRUCTION OF NATIONAL CHILD DEVELOPMENT CENTER AT CABARROGUIS, QUIRINO</t>
  </si>
  <si>
    <t>Procurement of Furniture and Fixtures</t>
  </si>
  <si>
    <t>Supply and Delivery of Books for Criminology Program (IC)</t>
  </si>
  <si>
    <t>AIR CONDINTIONING UNIT</t>
  </si>
  <si>
    <t>Supply &amp; Installation of Protective Structures of the City Agriculture Office for Distribution to Various Barangays in Ormoc City, City Gariculture Office, Ormoc City</t>
  </si>
  <si>
    <t>Procurement of Internet Connectivity</t>
  </si>
  <si>
    <t>Procurement of One (1) Unit Passenger Van Vehicle</t>
  </si>
  <si>
    <t>IMPROVEMENT OF CICL DROP CENTER &amp; GSO OFFICE</t>
  </si>
  <si>
    <t>Procurement of Supply and Delivery of ICT Supplies</t>
  </si>
  <si>
    <t>SUPPLY AND DELIVERY OF VARIOUS FURNITURES FOR Pag-IBIG FUND, TUGUEGARAO HUB</t>
  </si>
  <si>
    <t>Purchase of Materials for the Continuing - Const. of Multi Purpose Hall (Extension), Brgy. Marong, Lambunao, Iloilo</t>
  </si>
  <si>
    <t>SUPPLY AND DELIVERY OF DRUGS AND MEDICINES FOR THE CITY HEALTH OFFICE</t>
  </si>
  <si>
    <t>Barangay Material Recovery Facility</t>
  </si>
  <si>
    <t>FURNISHING OF LABOR AND MATERIALS FOR THE SOLID WASTE MANAGEMENT PROGRAM (CONSTRUCTION OF RCA, CONSTRUCTION OF WASH AREA AND WATER SYSTEM AT BRGY. CAPALIZ, DUMANGAS, ILOILO</t>
  </si>
  <si>
    <t>Bid No. 20-0395 - PROCUREMENT OF CONSTRUCTION MATERIALS - MEO OPERATIONS (CONSTRUCTION OF EVACUATION CENTER DESIGN FOR PREGNANT AND LACTATING WOMEN, SENIOR CITIZEN, CHILD FRIENDLY AND PERSON WITH DISA</t>
  </si>
  <si>
    <t>20CB-GSC-534	PURCHASE OF FURNITURE AND FIXTURES (RE-BID)</t>
  </si>
  <si>
    <t>PRDP-GEF-MPA-001 REQUEST FOR QUOTATION FOR THE PROCUREMENT OF FUEL</t>
  </si>
  <si>
    <t>S2-CAM20-004 (PB2) - Supply and Delivery of Mechanical Spare Parts for 500kW MAN B&amp;W Diesel Engine Model: 8L 20/27 of Camotes DPP</t>
  </si>
  <si>
    <t>SUPPLY AND DELIVERY OF 1UNIT MCBOOK PRO 13 INCHES USE IN MUNICIPALITY OF BULUAN, MAGUINDANAO</t>
  </si>
  <si>
    <t>Bid No. 20-0394 - PROCUREMENT OF WINDOW MATERIALS - MEO (CONSTRUCTION OF EVACUATION CENTER DESIGN FOR PREGNANT AND LACTATING WOMEN, SENIOR CITIZEN, CHILD FRIENDLY AND PERSON WITH</t>
  </si>
  <si>
    <t>20CB-GSC-535	PURCHASE OF VARIOUS OFFICE EQUIPMENT(RE-BID)</t>
  </si>
  <si>
    <t>20CB-GSC-533	PURCHASE OF COMMERCIAL RICE (RE-BID)</t>
  </si>
  <si>
    <t>Request for Quotation (CAD-2020-08-0360 staff chair)</t>
  </si>
  <si>
    <t>Procurement of Various Medical Supplies (TFB 2020-006 Recanvass) BAC EP 2020-003</t>
  </si>
  <si>
    <t>Construction/Rehabilitation of Bariis Road</t>
  </si>
  <si>
    <t>IMPROVEMENT OF BARANGAY ROADS AT CABARROGUIS</t>
  </si>
  <si>
    <t>Rehabilitation of Kawayan Footbridge</t>
  </si>
  <si>
    <t>Furnish "Labor, Materials and Equipment"</t>
  </si>
  <si>
    <t>Supply and Delivery of Materials and Equipment Rentals use for the Following Projects at Brgy. Lourdes Young, Nabua, Camarines Sur</t>
  </si>
  <si>
    <t>CY 2019 BASIC EDUCATIONAL FACILITIES FUND ELECTRIFICATION OF UN-ENERGIZED SCHOOLS AND MODERNIZATION OF ELECTRICAL SYSTEMS ON-GRID SCHOOLS (CLUSTER 1 - GUADALUPE ELEMENTARY SCHOOL)</t>
  </si>
  <si>
    <t>Supply / Delivery of 1 lot Scuba Diving Equipments and 1 unit Underwater Camera w/ Flash and Casing Complete w/ Accessories</t>
  </si>
  <si>
    <t>SUPPLY AND DELIVERY OF MATERIALS FOR THE REPAIR OF THE COLLEGE OF INFORMATION AND COMPUTING SCIENCES BUILDING</t>
  </si>
  <si>
    <t>Improvement of SB Building Including Furniture and Fixtures PH1</t>
  </si>
  <si>
    <t>Bid No. 20-0397 - PROCUREMENT OF OFFICE SUPPLIES - MASSO/TAX MAPPING PROGRAM</t>
  </si>
  <si>
    <t>RFQ - PRINTING OF SELF LEARNING MODULES</t>
  </si>
  <si>
    <t>PRDP-GEF-MPA-002 REQUEST FOR QUOTATION FOR THE PROCUREMENT OF SOLAR LIGHTING/PANEL SYSTEM</t>
  </si>
  <si>
    <t>Procurement of Office Supplies , Ink, Toner for 4th Qtr. 2020</t>
  </si>
  <si>
    <t>Purchase of 1 unit 2.5HP Inverter Air Conditioning Unit (MAO)</t>
  </si>
  <si>
    <t>SUPPLY AND DELIVERY OF MATERIALS FOR THE REPAIR OF SCIENCE LABORATORY BUILDING</t>
  </si>
  <si>
    <t>Lot 1 – Supply &amp; Delivery of IT Equipment and Accessories for the use of Planning &amp; Design Section</t>
  </si>
  <si>
    <t>IB-2020-07-06-106 SUPPLY AND DELIVERY OF SCHOOL VEHICLE (PASSENGER VAN) EVSU-TC</t>
  </si>
  <si>
    <t>Supply &amp; Delivery of 97 pcs 18K Service Ring for LGU Employees of Oroquieta City</t>
  </si>
  <si>
    <t>Improvement of Evacuation Center at LGU Compound, Awaii, Donsol, Sorsogon</t>
  </si>
  <si>
    <t>Procurement for Reproduction of Modules for Grade 3 to 12 with ALS (Week 5 and 6)</t>
  </si>
  <si>
    <t>CONSTRUCTION OF CANAL LINING AT BRGY. CONCHU, TMC</t>
  </si>
  <si>
    <t>Local Access Road Upgrading (Materials, Labor &amp; Equipment) at Brgy. Capudloza - Canha-ayon, Hindang, Leyte</t>
  </si>
  <si>
    <t>Construction of Fence at Municipal Drug Facility, San Vicente Gorong-Gorong, Nabua, Camarines Sur</t>
  </si>
  <si>
    <t>Supply and delivery of photocopying machines (risograph and copier) for LGU, Biri, Northern Samar</t>
  </si>
  <si>
    <t>RFQ&gt;&gt;&gt; Reproduction of modules and supply and delivery of plastic envelop |Joaquin Smith NHS | ABC=P89,098.10</t>
  </si>
  <si>
    <t>Purchase of 110 KVA 3 Phase One (1) unit Diesel Generator</t>
  </si>
  <si>
    <t>20CSPJ03: Soil Testing/Exploration for the projects: Soil Testing/Exploration for the projects:</t>
  </si>
  <si>
    <t>CONSTRUCTION OF 2ND CELL AT SANITARY LANDFILL/ IMPROVEMENT OF SANITARY LANDFILL AT CABARROGUIS</t>
  </si>
  <si>
    <t>Supply and Delivery of 70-inch Ultra HD TV for the DOLE Command Center</t>
  </si>
  <si>
    <t>2020-08-0245  Supply and delivery of materials for use in various maintenance activities and grass mowing along various road section</t>
  </si>
  <si>
    <t>20DJ0110-Construction of Two (2) Storey Four (4) Classroom Academic School Building at Kinatihan I Elementary School, Candelaria, Quezon</t>
  </si>
  <si>
    <t>Supply and Delivery of Oil/Lubricants - Php573,540.00</t>
  </si>
  <si>
    <t>Bid No. 20-0398 - PROCUREMENT OF JANITORIAL SUPPLIES - COMELEC OFFICE</t>
  </si>
  <si>
    <t>SUPPLY AND DELIVERY OF UAV DRONE FOR DIGITALIZATION  OF AGRICULTURE VALUE CHAIN IN CACAO AND COFFEE PRODUCTIVITY IN ZAMBOANGA DEL SUR</t>
  </si>
  <si>
    <t>GENERAL MERCHANDISE</t>
  </si>
  <si>
    <t>CONSTRUCTION OF POTABLE WATER SYSTEM LEVEL II (LOT 1 &amp; LOT 2) IN TWO (2) IDENTIFIED BARANGAYS NAMELY NABUNDASAN &amp; NEW CULASI, ALL OF THE MUNICIPALITY OF TULUNAN, COTABATO</t>
  </si>
  <si>
    <t>2020-08-0237  Supply and delivery of Mylar to be used in the printing of plans in the Planning and Design section, DPWH Buk. 1st DEO ,Malaybalay City</t>
  </si>
  <si>
    <t>PURCHASE OF (5) UNITS DISTRIBUTION TRANSFORMER AND (1) UNIT GENERATOR</t>
  </si>
  <si>
    <t>PR. 20-08-316 (2020-08-292) PROCUREMENT OF OFFICE SUPPLIES</t>
  </si>
  <si>
    <t>CY 2019 BASIC EDUCATIONAL FACILITIES FUND ELECTRIFICATION OF UN-ENERGIZED SCHOOLS AND MODERNIZATION OF ELECTRICAL SYSTEMS ON-GRID SCHOOLS (CLUSTER 2 - SAN CRISTOBAL INTEGRATED HIGH SCHOOL)</t>
  </si>
  <si>
    <t>Consulting Services for the Preparation of Protected Area Suitability Assessment (PASA) Report of Malagos Protected Landscape</t>
  </si>
  <si>
    <t>IPH-20-0170-B(REBID) - PURCHASE OF LABORATORY SUPPLIES</t>
  </si>
  <si>
    <t>SOIL DUMPING OF BARANGAY ROAD OF SAN FELIPE SANTIAGO</t>
  </si>
  <si>
    <t>Invitation to Bid for CONSTRUCTION OF COVERED COURT/MULTI – PURPOSE HALL AT BARANGAY HINDANG ELEMENTARY SCHOOL, BARANGAY HINDANG, BORONGAN CITY, EASTERN SAMAR</t>
  </si>
  <si>
    <t>PURCHASE OF AMBULANCE EQUIPMENT OF MDRRMO OTON</t>
  </si>
  <si>
    <t>Supply and delivery of Two (2) unit Laptop to be used in the Office of the Municipal Health Officer</t>
  </si>
  <si>
    <t>2020-08-0209 - SUPPLY AND DELIVERY OF VARIOUS OFFICE SUPPLIES - CONSTRUCTION SECTION</t>
  </si>
  <si>
    <t>CITY OFFICIAL PHOTO SHOOT AND FRAME</t>
  </si>
  <si>
    <t>20CSDN02 - CONSULTANCY SERVICES FOR THE GEOTECHNICAL INVESTIGATION OF PROPOSED CY 2021 PROJECTS</t>
  </si>
  <si>
    <t>CY 2020 BASIC EDUCATIONAL FACILITIES FUND REPAIR OF CLASSROOMS (BATCH 2 - CLUSTER 2 PLACIDO ESCUDERO MEMORIAL SCHOOL)</t>
  </si>
  <si>
    <t>20DJ0112-Construction of Four (4) Storey Eight (8) Classroom Academic School Building at Camp Nakar Elementary School, Lucena City</t>
  </si>
  <si>
    <t>20CSDN03 - CONSULTANCY SERVICES FOR THE CONDUCT OF PARCELLARY SURVEY OF MARIKINA – INFANTA ROAD KM 19+(-218) – 37+498</t>
  </si>
  <si>
    <t>SUPPLY AND DELIVERY OF VEGETABLE  SEEDS The Request for Quotation must be email at bpibac@yahho.com</t>
  </si>
  <si>
    <t>Supply and delivery of various Hospital and Medical Equipments for use in Tabango Community Hospital. ABC PHP211,000.00</t>
  </si>
  <si>
    <t>Supply and delivery of Materials for the Construction of Wash Area at CGMES @ Brgy. Pob. I, Nagcarlan, Laguna</t>
  </si>
  <si>
    <t>Supply and delivery of Food for Distribution of Relief Goods &amp; various meeting related to Covid-19</t>
  </si>
  <si>
    <t>20DJ0111-Construction of Two (2) Storey Four (4) Classroom Academic School Building at Callejon National High School, San Antonio, Quezon</t>
  </si>
  <si>
    <t>CONSTRUCTION OF CREEK RAILINGS OF BRGY. SAN FELIPE SANTIAGO</t>
  </si>
  <si>
    <t>Lot 2 – Procurement of Goods of Survey Equipment for the use of Planning &amp; Design Section</t>
  </si>
  <si>
    <t>Supply and delivery of communication equipments and accessories for the use of the CDRRMO, Kidapawan City</t>
  </si>
  <si>
    <t>UPLB-S-054-09-20, SUPPLY AND DELIVERY OF BRANDED AND BRAND NEW LAPTOP COMPUTERS FOR CPAF</t>
  </si>
  <si>
    <t>(GO-Jail) (2ND) INVITATION TO BID FOR THE SUPPLY &amp; DELIVERY OF FIREARMS (9MM FS W/ LICENSE)  FOR THE  GOVERNOR’S OFFICE – PROVINCIAL JAIL--150,000.00</t>
  </si>
  <si>
    <t>INSTALLATION OF SOLAR POWERED LIGHTING SYSTEM</t>
  </si>
  <si>
    <t>Supply and delivery of DDR Tools and Materials Automotive Supplies.REBID</t>
  </si>
  <si>
    <t>Package 040- Procurement of Kitchen Utensils and other Supplies</t>
  </si>
  <si>
    <t>Supply of fuel for the use of the City Engineering Office, Kidapawan City.</t>
  </si>
  <si>
    <t>OPA-FISHERIES-2020-0193 Rebidding INVITATION TO BID FOR THE PROCUREMENT OF SPINY BAMBOO, B-NET, P.E. ROPES, AND MONONYLON</t>
  </si>
  <si>
    <t>Package 039- Procurement of Equipments</t>
  </si>
  <si>
    <t>Large Format Printer for Engineering use under PR# 2020-08-3088.</t>
  </si>
  <si>
    <t>Procurement of Various Drugs and Medicines (TFB 2020-007 Recanvass) BAC EP 2020-001</t>
  </si>
  <si>
    <t>COMPUTER PARTS AND ACCESSORIES</t>
  </si>
  <si>
    <t>Supply and Delivery of Brand New Engine Fire Fighting Truck: 3000 Liters (750 Gallons) Water Tank Capacity.</t>
  </si>
  <si>
    <t>SUPPLY AND DELIVERY OF VARIOUS SERVICE VEHICLES FOR LGU ABORLAN</t>
  </si>
  <si>
    <t>COMPLETION OF INTENSIVE CARE UNIT COMPLEX</t>
  </si>
  <si>
    <t>Supply and delivery of Materials for the Repair of Ceiling of 2 Classroom DECS Bldg. at Yukos E/S (Main) @ Brgy. Yukos, Nagcarlan, Laguna</t>
  </si>
  <si>
    <t>IPH-20-0375-B - PURCHASE OF DRUGS AND MEDICINES</t>
  </si>
  <si>
    <t>Procurement of Assorted Cellcards (for 3rd and 4th Qtr, 2020 Communication)</t>
  </si>
  <si>
    <t>PROCUREMENT ON THE SUPPLY AND DELIVERY OF CATERING SERVICES FOR STRESS MANAGEMENT SEMINAR-WORKSHOP ON AUGUST 27-28, 2020 AT NIA RO2, MINANTE 1, CAUAYAN CITY, ISABELA</t>
  </si>
  <si>
    <t>IPH-20-0684-B - PURCHASE OF HOUSEKEEPING SUPPLIES</t>
  </si>
  <si>
    <t>Procurement of Various Drugs and Medicines (TFB 2020-008 Recanvass) BAC EP 2020-001</t>
  </si>
  <si>
    <t>Group A -Medical Supplies</t>
  </si>
  <si>
    <t>PURCHASE OF ADDITIONAL MATERIALS FOR DSWD SHELTER UNIT</t>
  </si>
  <si>
    <t>Supply and delivery of Materials for the Improvement of School Stage at Talangan E/S @ Brgy. Talangan, Nagcarlan, Laguna</t>
  </si>
  <si>
    <t>Purchase of service vehicles</t>
  </si>
  <si>
    <t>Cost of labor and materials for the repair of government assigned at the Laoag City General Hospital</t>
  </si>
  <si>
    <t>SUPPLY AND DELIVERY OF PHOTOCOPIER MACHINE FOR THE USE OF VARIOUS OFFICES</t>
  </si>
  <si>
    <t>PROCUREMENT OF THE HOTEL LODGING/ACCOMMODATION FOR THE STRESS MANAGEMENT SEMINAR-WORKSHOP ON AUGUST 27-28, 2020 AT NIA RO2, MINANTE 1, CAUAYAN CITY, ISABELA</t>
  </si>
  <si>
    <t>PRINTING SUPPLIES INK</t>
  </si>
  <si>
    <t>CY 2020 BASIC EDUCATIONAL FACILITIES FUND REPAIR OF CLASSROOMS (BATCH 2 - CLUSTER 5 SAN CRISTOBAL INTEGRATED HIGH SCHOOL)</t>
  </si>
  <si>
    <t>SUPPLY AND DELIVERY OF AGRICULTURAL SUPPLIES The Request for Quotation must be email at the bpibac@yahoo.com</t>
  </si>
  <si>
    <t>Social and Environmental Impact Assessment (SEIA) of Libang RIP</t>
  </si>
  <si>
    <t>Invitation to Apply for Eligibility and to Bid for the Supply ang Delivery of Large Cattle</t>
  </si>
  <si>
    <t>Procurement for the Supply, Delivery, On-Site Fabrication and Installation of Container Vans for the DOST-Technology Resource Center (DOST-TRC)</t>
  </si>
  <si>
    <t>Rebidding for the Procurement of Office Equipment  PR # 2020-06-19-206</t>
  </si>
  <si>
    <t>Purchase of 6 pcs. Tire 215/75/R17.5 for use in the maintenance of Toyota Coaster assigned at the Office of the City General Services Office</t>
  </si>
  <si>
    <t>CY 2020 BASIC EDUCATIONAL FACILITIES FUND REPAIR OF CLASSROOMS  (BATCH 2-CLUSTER 1 SAN GABRIEL ELEMENTARY SCHOOL)</t>
  </si>
  <si>
    <t>PURCHASE OF VARIOUS INK AND BOND PAPER FOR THE USE IN PROJECT CARINA</t>
  </si>
  <si>
    <t>Group B - Drugs and medicines</t>
  </si>
  <si>
    <t>CY 2020 BASIC EDUCATIONAL FACILITIES FUND REPAIR OF CLASSROOMS (BATCH 2 - CLUSTER 3 FULE ALMEDA ELEMENTARY SCHOOL)</t>
  </si>
  <si>
    <t>Purchase of 3 units Submersible Pump for use at the Office of the City Mayor, Laoag City</t>
  </si>
  <si>
    <t>SUPPLY AND DELIVERY OF AGRI SUPPLIES The Request for Quotation must be email at the bpibac@yahoo.com</t>
  </si>
  <si>
    <t>Construction of IP Farm Tourism Site and IP Center @ Sapinit</t>
  </si>
  <si>
    <t>Supply and delivery of Materials for the Repair of Grade 5 Room Ceiling at Yukos E/S (Annex) @ Brgy. Yukos, Nagcarlan, Laguna</t>
  </si>
  <si>
    <t>1 Lot Provision of Labor, Materials and Equipment for the Construction of 2 units Makeshift Delivery Room for Suspected Covid Patient @ Leyte Provincial Hospital, Palo, Leyte. ABC PHP942,050.83</t>
  </si>
  <si>
    <t>PURCHASE OF VARIOUS VEHICLES FOR USE IN THE DIFFERENT OPERATION OF THE CITY OF BATAC</t>
  </si>
  <si>
    <t>IPH-20-0717-B - PURCHASE OF DRUGS AND MEDICINES</t>
  </si>
  <si>
    <t>SUPPLIES AND MATERIALS OF ORGANIC AGRICULTURE PRODUCTION NC II USED IN CONDUCT OF TRAINING</t>
  </si>
  <si>
    <t>TRAINING SUPPLIES AND MATERIALS IN CONDUCT OF TRAINING OF CSS NC II</t>
  </si>
  <si>
    <t>PROVISION OF REPRODUCTION, PACKAGING AND DELIVERY OF LEARNING MODULES BATCH 1</t>
  </si>
  <si>
    <t>3LSSM2020A-154 Office Supplies</t>
  </si>
  <si>
    <t>Group E - Laboratory Supplies</t>
  </si>
  <si>
    <t>3LSSM2020A-158 Office Supplies</t>
  </si>
  <si>
    <t>3LSSM2020A-155 Office Supplies</t>
  </si>
  <si>
    <t>3LSSM2020A-156 Office Supplies</t>
  </si>
  <si>
    <t>3LSSM2020A-153 Office Supplies</t>
  </si>
  <si>
    <t>purchase of prepaid cards</t>
  </si>
  <si>
    <t>Group D-It Supplies and equipment</t>
  </si>
  <si>
    <t>3LSSM2020A-157 Office Supplies</t>
  </si>
  <si>
    <t>GPG-B2-2020-320 3rd Rebid - DESIGN AND BUILD OF TYPICAL FIRE STATIONS FOR THE  BUREAU OF FIRE PROTECTION – NATIONAL HEADQUARTERS (BFP-NHQ)</t>
  </si>
  <si>
    <t>SUPPLY AND DELIVERY OF AGRICULTURAL  SUPPLIES The Request for Quotation must be email at the bpibac@yahoo.com</t>
  </si>
  <si>
    <t>3LSSM2020A-159 Office Supplies</t>
  </si>
  <si>
    <t>20GG0072-G - Procurement of Various Spare Parts for Use of Various Service Vehicles Assigned for the Repair and Maintenance of National Roads of DPWH Iloilo 2nd DEO, Balabag, Dumangas, Iloilo</t>
  </si>
  <si>
    <t>TROLLEY TRASH BIN</t>
  </si>
  <si>
    <t>Supply of Labor and Materials for Rehabilitation / Renovation of Techno Center Building located at Mexico, Pampanga for the DOST-Technology Resource Center (DOST-TRC)</t>
  </si>
  <si>
    <t>Group C - Opthal Equipment</t>
  </si>
  <si>
    <t>Motor control for 30 HP, 220 Volts Submersible motor</t>
  </si>
  <si>
    <t>Construction of Three (3) Storey Administration Building Phase II of SDSSU Tagbina Campus</t>
  </si>
  <si>
    <t>Supply and delivery of various Office Furnitures for use in Ormoc District Hospital. ABC PHP402,500.00</t>
  </si>
  <si>
    <t>SVP-20-002-PURCHASE OF SPARE PARTS FOR THE REPAIR AND MAINTENANCE OF DPWH EQUIPMENT AND SERVICE VEHICLE</t>
  </si>
  <si>
    <t>Youth and Sports Development 2020</t>
  </si>
  <si>
    <t>SUPPLY AND DELIVERY OF AGRI SUPPLIES  The Request for Quotation must be email at the bpibac@yahoo.com</t>
  </si>
  <si>
    <t>3LSSM2020A-165 Food Supplies</t>
  </si>
  <si>
    <t>20FC0082 : CONSTRUCTION OF BARANGAY BIBIRAO ROAD OPENING, Brgy. Bibirao, Daet, Camarines Norte</t>
  </si>
  <si>
    <t>3LSSM2020A-166 Food Supplies</t>
  </si>
  <si>
    <t>3LSSM2020A-164 Food Supplies</t>
  </si>
  <si>
    <t>Procurement of Office Supplies MOOE Subsidy for Langaon ES</t>
  </si>
  <si>
    <t>Construction of Three (3) Storey Administration Building Phase II of SDSSU Tandag Campus</t>
  </si>
  <si>
    <t>3LSSM2020A-167 Food Supplies</t>
  </si>
  <si>
    <t>Supply and Delivery of  Various Construction Materials for the Renovation of the LGLC Building Ground Floor</t>
  </si>
  <si>
    <t>Group A (rebid) - Medical Equipment</t>
  </si>
  <si>
    <t>3LSSM2020A-161 Food Supplies</t>
  </si>
  <si>
    <t>Group F - Office Supplies</t>
  </si>
  <si>
    <t>3LSSM2020A-177 Other Supplies and Materials</t>
  </si>
  <si>
    <t>PRINTING OF MODULES FOR FIRST GRADING PERIOD</t>
  </si>
  <si>
    <t>HIRING OF SERVICE PROVIDER FOR VARIOUS PRINTING MATERIALS</t>
  </si>
  <si>
    <t>REHABILITATION OF SHORE CONTROL</t>
  </si>
  <si>
    <t>3LSSM2020A-180 Other Supplies and Materials</t>
  </si>
  <si>
    <t>20FC0085 : CONSTRUCTION OF DAET RIVER CONTROL STRUCTURES ALAWIHAO SECTION, Brgy. Alawihao, Daet, Camarines Norte</t>
  </si>
  <si>
    <t>3LSSM2020A-178 Other Supplies and Materials</t>
  </si>
  <si>
    <t>3LSSM2020A-175 Other Supplies and Materials</t>
  </si>
  <si>
    <t>CY 2020 BASIC EDUCATIONAL FACILITIES FUND REPAIR OF CLASSROOMS (BATCH 2 - CLUSTER 4 SAN DIEGO ELEMENTARY SCHOOL)</t>
  </si>
  <si>
    <t>3LSSM2020A-179 Other Supplies and Materials</t>
  </si>
  <si>
    <t>Rehabilitation of Multi-Purpose Hall, Barangay Cagbalogo</t>
  </si>
  <si>
    <t>3LSSM2020A-172 Other Supplies and Materials</t>
  </si>
  <si>
    <t>3LSSM2020A-176 Other Supplies and Materials</t>
  </si>
  <si>
    <t>3LSSM2020A-162 Food Supplies</t>
  </si>
  <si>
    <t>3LSSM2020A-174 Other Supplies and Materials</t>
  </si>
  <si>
    <t>PROCUREMENT OF 1-UNIT AIRCONDITIONER</t>
  </si>
  <si>
    <t>REHABILITATION OF DRAINAGE SYSTEM ( CANAL LINING / CANAL COVER )</t>
  </si>
  <si>
    <t>3LSSM2020A-163 Food Supplies</t>
  </si>
  <si>
    <t>2020-08-0246  Supply and delivery of materials (latex paint) for use in painting of concrete barrier along various road section</t>
  </si>
  <si>
    <t>Completion and Retrofitting of the Construction of a  Two-Storey Mall Type Building – Variation Order in Don Carlos, Bukidnon (Straight Contract)</t>
  </si>
  <si>
    <t>GAD Purchase of Relief Goods</t>
  </si>
  <si>
    <t>Rehabilitation and Improvement of Cultural Site Kugtong Spring</t>
  </si>
  <si>
    <t>3LSSM2020A-171 Other Supplies and Materials</t>
  </si>
  <si>
    <t>3LSSM2020A-170 Other Supplies and Materials</t>
  </si>
  <si>
    <t>INSTALLATION OF ONE (1) UNIT AIRCON</t>
  </si>
  <si>
    <t>Supply and Delivery of Construction Materials - Repair/Rehabilitation of Municipal SB Office</t>
  </si>
  <si>
    <t>Supply &amp; Delivery of Limestone Materials and Aggregates intended for the Maintenance of Provincial Roads and Bridges: Re-gravelling in Don Carlos, Bukidnon (Complete Bid)</t>
  </si>
  <si>
    <t>REPAIR / INSTALLATION OF STREET LIGHTS ( relocation )- phase 02</t>
  </si>
  <si>
    <t>3LSSM2020A-183 Training Supplies</t>
  </si>
  <si>
    <t>3LSSM2020A-181 Other Supplies &amp; Materials</t>
  </si>
  <si>
    <t>Rehabilitation/Improvement of Multi-Purpose Hall, Barangay Montaña</t>
  </si>
  <si>
    <t>REPAIR / INSTALLATION OF STREET LIGHTS ( relocation )</t>
  </si>
  <si>
    <t>3LSSM2020A-182 Printing and Publication</t>
  </si>
  <si>
    <t>Construction of Comfort Room of Barangay Evacuation Center</t>
  </si>
  <si>
    <t>2020-08-0765 REPAIR OF MOTOR VEHICLE TOYOTA TAMARAW FX WITH PLATE NO. SEP 265</t>
  </si>
  <si>
    <t>Supply &amp; Delivery of Brand New Cargo Truck to Alkikan Vegetables Grower Association (ALVEGA) – Alkikan, Malungon, Sarangani Province</t>
  </si>
  <si>
    <t>Renovation and Improvement of Day Care Center and Multi-Purpose Building (Carao-an Day Care Renovation)</t>
  </si>
  <si>
    <t>Supply &amp; Delivery of Limestone Materials intended for the Rehabilitation of Twenty-Eight (28) Barangay Roads in Don Carlos, Bukidnon (Complete Bid)</t>
  </si>
  <si>
    <t>2020-08-0255  Supply  delivery of Oil and Lubricants, filters  and Air Cleaner for use in the Preventive Maintenance (PM) of service vehicles and equipment, Maintenance section, DPWH-Malaybalay City</t>
  </si>
  <si>
    <t>Electrification of Un-Energized Schools and Modernization of Electrical Systems of On-Grid Schools at Tabunok Elementary School and Cantuhaon National High School, PALOMPON</t>
  </si>
  <si>
    <t>Construction/Rehabilitation of Child Development Centers at 10 Barangays</t>
  </si>
  <si>
    <t>Office Supplies 01</t>
  </si>
  <si>
    <t>2020-08-0254  Supply and delivery of 2.0HP Split-type Air Conditioner unit, Inverter, wall mounted</t>
  </si>
  <si>
    <t>IMPROVEMENT OF WATER SYSTEM ( SPRING DEVELOPMENT )</t>
  </si>
  <si>
    <t>Construction of Water Supply System (Level I), Barangay Montaña</t>
  </si>
  <si>
    <t>Small Value of 3 in 1 Printer</t>
  </si>
  <si>
    <t>Procurement of Consulting Services to Undertake the Feasibility Study (FS) on Solid waste Management Facility (LGU Sanitary Landfill for Local Government Unit-Cluster (LGU Cluster)</t>
  </si>
  <si>
    <t>Construction/Rehabilitation and Improvement Portion of Legislative Office and Proposed Construction and Improvement Portion of Roofing and Ceiling Board of Executive Building</t>
  </si>
  <si>
    <t>3LSSM2020A-173 Other Supplies and Materials</t>
  </si>
  <si>
    <t>NALA ELEMENTARY SCHOOL SUPPLIES AND EQUIPMENT</t>
  </si>
  <si>
    <t>SUPPLY, DELIVERY, INSTALLATION AND COMMISSIONING OF: 3 UNITS ANALYTICAL BALANCE; 1 UNIT ANTI-STATIC DEVICE; 2 UNITS BALANCE TABLE FOR ALU; 4 UNITS BALANCE TABLE FOR ILU; 7 UNITS DEHUMIDIFIER; 1 SET OF</t>
  </si>
  <si>
    <t>Take Over and Completion of the Construction of a  Two-Storey Mall Type Building in Don Carlos, Bukidnon (Straight Contract)</t>
  </si>
  <si>
    <t>Procurement of Office Supplies for the Division Office</t>
  </si>
  <si>
    <t>Construction of Class "AA" Municipal Slaughterhouse at Camalig, Albay (Phase 2)</t>
  </si>
  <si>
    <t>Procurement of IBM SPSS Statistics Standard Campus Edition Authorized User Licence for UP Cebu</t>
  </si>
  <si>
    <t>Unlimited Data Plan Subscription for 24 Months With Free Tablets with Pen</t>
  </si>
  <si>
    <t>Purchase of Office Supplies and Equiments for use in Planning and Design Section</t>
  </si>
  <si>
    <t>Construction/Improvement of Local Access Road at Sitio Greenhills, Barangay Cotmon, Camalig, Albay</t>
  </si>
  <si>
    <t>Supply and Delivery of Diesel Generator Set</t>
  </si>
  <si>
    <t>Supply &amp; delivery of materials for the Installation / Rehabilitation of Streetligth at Barangay Ambulong, Tanauan City, Batangas</t>
  </si>
  <si>
    <t>SUPPLY, DELIVERY, INSTALLATION, AND COMMISSIONING OF 1 SET AMMONIA ION SELECTIVE ELECTRODE; 2 SETS CHLORIDE METER; 2 UNITS DIGITAL BOTTLE-TOP BURETTE; 1 SET NITRATE ION SELECTIVE ELECTRODE; 1 UNIT ULT</t>
  </si>
  <si>
    <t>Supply and Delivery of Materials for the Construction of Senior Citizens Building</t>
  </si>
  <si>
    <t>Supply &amp; Delivery of Brand New Cargo Truck to Domolok Tokawal Irrigators Association (DTIA) - Domolok, Alabel, Sarangani Province</t>
  </si>
  <si>
    <t>Supply and Printing of Various Advocacy Materials for First Time Jobseekers Assistance Act (FTJAA)</t>
  </si>
  <si>
    <t>Purchase of Office Supplies for use in Procurement Unit</t>
  </si>
  <si>
    <t>Supply and Delivery of One (1) Brand New Service Vehicle for the Department of Labor and Employment-Central Office</t>
  </si>
  <si>
    <t>Procurement of CCTV with poe and accessories and gen mdse.</t>
  </si>
  <si>
    <t>Repair &amp; Maintenance of Water System-Naga Waterworks</t>
  </si>
  <si>
    <t>Procurement of One (1) Lot ICT Equipment</t>
  </si>
  <si>
    <t>20EA0061 - Concreting of Brgy. Bangwayin FMR, Brgy. Bangwayin, Torrijos, Marinduque</t>
  </si>
  <si>
    <t>Supply and Delivery of Materials for the Construction of 3 Barrel Box Culvert</t>
  </si>
  <si>
    <t>SUPPLY AND DELIVERY OF ORGANIC DEGREASER DECLOGGER, ANTI BACTERIAL MULTISURFACE CLEANER WITH BLEACH AND ANTIBACTERIAL SOAP FOR USE IN DIFFERENT SCHOOL IN THE DIVISION OF CAVITE</t>
  </si>
  <si>
    <t>Supply and delivery of 24 sets floating-monoline for Maguindanao province under 2020 block grant</t>
  </si>
  <si>
    <t>Supply and delivery of 46 sets freshwater gillnet  for Maguindanao province under 2020 block grant</t>
  </si>
  <si>
    <t>small value of Lawn Mower</t>
  </si>
  <si>
    <t>Procurement ofOffice supplies, peace &amp; order supplies, electrical supplies, R/M of motorcycle, two-way radio, refill fire extinguisher , electric grinder and gen. mdse.</t>
  </si>
  <si>
    <t>LINGGO NG KABATAAN</t>
  </si>
  <si>
    <t>Materials for the Const. of Water System at Barangay Upper Sulitan, Naga</t>
  </si>
  <si>
    <t xml:space="preserve">SUPPLY, DELIVERY, INSTALLATION AND COMMISSIONING OF 3 UNITS HAZARDOUS WASTE FILTRATION SYSTEM FOR TCLP (NON-VOLATILE) WITH COMPLETE ACCESSORIES, AND 2 SETS AGITATION APPARATUS FOR TCLP (NON-VOLATILE) </t>
  </si>
  <si>
    <t>Materials for the Improvement of Multi-Purpose Building (Bleacher) at Barangay Baluno, Naga</t>
  </si>
  <si>
    <t>Supply and delivery of 49 sets marine gillnets for Maguindanao province under 2020 block grant</t>
  </si>
  <si>
    <t>(DDH) INVITATION TO BID FOR THE SUPPLY AND DELIVERY OF DRUGS AND MEDICINES</t>
  </si>
  <si>
    <t>Procurement of Communication Equipment (Handheld Radio) for LDRRMC of LGU-Naga</t>
  </si>
  <si>
    <t>PROCUREMENT OF VARIOUS FERTILIZER FOR THE 2ND CROPPING SEASON</t>
  </si>
  <si>
    <t>Construction of Concrete Shouldering</t>
  </si>
  <si>
    <t>Construction of 1 unit of solar dryer for Seaweed Buying Stations for Maguindanao province under 2020 block grant</t>
  </si>
  <si>
    <t>small value 3 in 1 printer</t>
  </si>
  <si>
    <t>Procurement of Fire Extinguisher and Refill for LDRRM Operation of LGU-Naga</t>
  </si>
  <si>
    <t>CONSTRUCTION OF DRAINAGE CANAL PHASE 4</t>
  </si>
  <si>
    <t>Procurement of Education materials &amp; supplies and gen mdse.</t>
  </si>
  <si>
    <t>SECOND PHASE OF REPRODUCTION OF SELF LEARNING MODULES (SLMS)</t>
  </si>
  <si>
    <t>Reproduction Service of Modules for First Quarter for the SY 2020-2021</t>
  </si>
  <si>
    <t>20EA0062 - Concreting of Brgy. Dawis FMR, Gasan, Marinduque</t>
  </si>
  <si>
    <t>Procurement of Knapsacks Sprayers for Covid 19 Preparedness and Response</t>
  </si>
  <si>
    <t>Construction of other equipments for Seaweed Buying Stations for Maguindanao province under 2020 block grant</t>
  </si>
  <si>
    <t>SVP Procurement of School Forms</t>
  </si>
  <si>
    <t>Supply and Delivery of Goods for PWD Year-End Activity</t>
  </si>
  <si>
    <t>Supply and Delivery of Goods for Senior Citizens Year-End Activity</t>
  </si>
  <si>
    <t xml:space="preserve">SUPPLY AND DELIVERY: 6 UNITS CHEMICAL CABINET (FOR DRY CHEMICALS); 3 UNITS REAGENT CABINET; 3 UNITS UNDERBENCH CHEMICAL CABINET; 2 UNITS SOLVENT CABINET; 2 UNITS MEDIA CABINET; 2 UNITS SAFETY CABINET </t>
  </si>
  <si>
    <t>Supply and Delivery of 100 bags Portland Cement and other various items.</t>
  </si>
  <si>
    <t>Printing and Delivery of Modules</t>
  </si>
  <si>
    <t>CLOSURE AND REHABILITATION OFOPEN AND CONTROLLED WASTE DISPOSAL FACILITY LOCATED AT PUROK 5, BARANGAY NEW PANAY, TULUNAN, COTABATO</t>
  </si>
  <si>
    <t>PB-20-462, Supply of Diesel Fuel for RP vehicle use of Committee on Youth and Sports and Committee on Infrastructure, Energy, Transportation and Communications (SP, Amas, Kidapawan City)</t>
  </si>
  <si>
    <t>Supply and delivery of 8,000 kgs quality Seaweed Seedlings/propagules for Maguindanao province under 2020 block grant</t>
  </si>
  <si>
    <t>SVP Procurement of ID cord</t>
  </si>
  <si>
    <t>PB-20-465, Supply &amp; Delivery of Vehicle Parts for various heavy equipment of Provincial Engineer’s Office, Amas, Kidapawan City</t>
  </si>
  <si>
    <t>Supply and delivery of 60 sets fishpot for Maguindanao province under 2020 block grant</t>
  </si>
  <si>
    <t>PB-20-464, Supply &amp; Delivery of Blueprint Machine for Provincial Engineer’s Office, Amas, Kidapawan City</t>
  </si>
  <si>
    <t>PB-20-463, Supply &amp; Delivery of Office Supplies for Provincial Engineer’s Office, Amas, Kidapawan City</t>
  </si>
  <si>
    <t>PB-20-445, Supply &amp; Delivery of Digital Duplicators for reproduction of DEPED modules</t>
  </si>
  <si>
    <t>20EA0060 - Construction of Torrijos Public Market (Phase III), Torrijos, Marinduque Province</t>
  </si>
  <si>
    <t>PB-20-436, Supply &amp; Delivery of Fertilizers to be given to farmers affected by earthquake provincewide</t>
  </si>
  <si>
    <t>PB-20-435, Supply &amp; Delivery of Laboratory Equipment for Biocon Laboratory, Office of the Provincial Agriculturist, Amas, Kidapawan City</t>
  </si>
  <si>
    <t>(KMH) INVITATION TO BID FOR THE SUPPLY AND DELIVERY OF DRUGS AND MEDICINES</t>
  </si>
  <si>
    <t>PB-20-374, Supply &amp; Delivery of Shelter &amp; Modular Tents to be used in evacuation centers</t>
  </si>
  <si>
    <t>Supply and Delivery of Printing Equipment and Supplies for the Printing of Manuals, Guides and Other Information Materials</t>
  </si>
  <si>
    <t>(KMH) INVITATION TO BID FOR THE SUPPLY AND DELIVERY OF ONE (1) UNIT DIGITAL HEMATOCRIT CENTRIFUGE 12 PLACERS WITH READER</t>
  </si>
  <si>
    <t>(DEH) INVITATION TO BID FOR THE SUPPLY AND DELIVERY OF MEDICAL AND LABORATORY SUPPLIES</t>
  </si>
  <si>
    <t>Purchase of Spare Parts for use in Maintenance Section</t>
  </si>
  <si>
    <t>PURCHASE OF BRAND NEW 6-WHEELER CAB TO BE USED FOR THE DELIVERY OF SOCIAL SERVICES OF THE PROVINCIAL GOVERNMENT OF CAVITE</t>
  </si>
  <si>
    <t>PB-20-434, Supply &amp; Delivery of Vegetable Seeds to be given to farmers affected by earthquake provincewide</t>
  </si>
  <si>
    <t>2020-08-0247  Supply and delivery of materials (tools) for use in various equipment in the maintenance section</t>
  </si>
  <si>
    <t>2020-07-0171 - PROCUREMENT OF VEHICLE PARTS AND ACCESSORIES FOR USE IN THE OPERATION OF MINI DUMP TRUCK, TORNADO 4.4C WITH PLATE NO.IOD-896</t>
  </si>
  <si>
    <t>PB-20-429, Supply &amp; Delivery of Mobility Assistant Devices for mental health patients</t>
  </si>
  <si>
    <t>2020-07-0177 - PROCUREMENT OF VEHICLE PARTS AND ACCESSORIES FOR USE IN THE OPERATION OF DROPSIDE WITH CRANE, TORNADO 4.8C WITH PLATE NUMBER IOE-251 (3RD QUARTER CY 2020)</t>
  </si>
  <si>
    <t>PROCUREMENT OF OXYGEN GAS REFILL</t>
  </si>
  <si>
    <t>REHABILITATION OF SENIOR CITIZEN'S BLDG AT SUMABNIT, BINALONAN</t>
  </si>
  <si>
    <t>Supply and delivery of 5 units noodle machine for BARMM-MAFAR Sulu 2020 block grant</t>
  </si>
  <si>
    <t>Supply of Materials for the Rehabilitation of roof framing, roofing and windows of school building at So. Tapao, Nagsabaran, San Clemente, Tarlac</t>
  </si>
  <si>
    <t>Fabrication and delivery of 5 units PORTABLE SMOKE HOUSE for BARMM-MAFAR-Sulu province under 2020 block grant</t>
  </si>
  <si>
    <t>Supply and delivery of 2 units of Weighing Scale for Seaweed Buying Station for Sulu province under the 2020 block grant</t>
  </si>
  <si>
    <t>SUPPLY AND DELIVERY OF JANITORIAL/ HOUSEKEEPING SUPPLIES</t>
  </si>
  <si>
    <t>Procurement of supplies, materials and equipment for COVID-19</t>
  </si>
  <si>
    <t>(KMH) INVITATION TO BID FOR THE SUPPLY AND DELIVERY OF MEDICAL SUPPLIES</t>
  </si>
  <si>
    <t>CONSTRUCTION OF PATHWAY AT SITIO CAANUNANGAN</t>
  </si>
  <si>
    <t>Delivery of 2 units of Generators for Seaweed Buying Station for Sulu province under the 2020 block grant</t>
  </si>
  <si>
    <t>2020-07-0159 - PROCUREMENT OF VEHICLE PARTS AND ACCESSORIES FOR USE IN THE OPERATION OF TOYOTA HI-LUX 2.8l 4X4  WITH PLATE NO. 102004 (3RD QUARTER CY 2020)</t>
  </si>
  <si>
    <t>(KMH) INVITATION TO BID FOR THE SUPPLY AND DELIVERY OF ONE (1) UNIT DIGITAL CENTRIFUGE 24 PLACERS</t>
  </si>
  <si>
    <t>Concreting of Local Roads at Barangay Tambanan, Naga</t>
  </si>
  <si>
    <t>2020-08-0193 - PROCUREMENT OF CONSTRUCTION MATERIALS AND SUPPLIES FOR USE IN THE EMERGENCY RESPONSE IN ROADS AND BRIDGES WITHIN THE JURISDICTION OF DPWH BUKIDNON 3RD DEO, DICKLUM, MANOLO FORTICH, BUKI</t>
  </si>
  <si>
    <t>PROCUREMENT OF MATERIALS FOR THE REHABILITATION AND IMPROVEMENT OF MULTI-PURPOSE HALL OF BRGY. NAGBA, TIGBAUAN, ILOILO</t>
  </si>
  <si>
    <t>Construction and delivery of 2 units Motor Boat for Seaweed Buying Station for Sulu province under the 2020 block grant</t>
  </si>
  <si>
    <t>100-2020-07-847 Supply and delivery of construction materials and supplies re Concreting of City Employees Village Phase III, Bgy. San Jose</t>
  </si>
  <si>
    <t>Procurement of Office Supplies for ECCD Modular Sessions</t>
  </si>
  <si>
    <t>2020-08-0200 - PROCUREMENT OF CONSTRUCTION MATERIALS AND SUPPLIES FOR  FURNISHING MATERIALS FOR REPAIR OF DRAINAGE STRUCTURES ALONG SAYRE HIGHWAY ALAE- KISOLON ROAD, (SELECTION PORTION), MANOLO FORTIC</t>
  </si>
  <si>
    <t>Supplies and Materials for RTC - KPTVC registration of BHS NC II requirements</t>
  </si>
  <si>
    <t>CONSTRUCTION/RIPRAPPING OF IRRIGATION CANAL LINING</t>
  </si>
  <si>
    <t>100-2020-07-853 Supply and delivery of 530.73 cum ready mixed concrete re Concreting of Santan Road at City Employees Village, Bgy. Sta. Monica</t>
  </si>
  <si>
    <t>100-2020-07-855 Supply and delivery of 881.42 cum ready mixed concrete re Concreting of City Employees Village Phase III, Bgy. San Jose</t>
  </si>
  <si>
    <t>Replacement of defective Air Conditioning Unit at Procurement Office</t>
  </si>
  <si>
    <t>Fabrication and Delivery of 60 sets Fishpot for Sulu Province under 2020 block grant</t>
  </si>
  <si>
    <t>Supply and delivery of Seaweed Buying Station facilities for Sulu province under the 2020 block grant</t>
  </si>
  <si>
    <t>Supply and Delivery of 50 sets Marine Gillnets for Sulu Province under 2020 block grant</t>
  </si>
  <si>
    <t>(PIHO) INVITATION TO BID FOR THE SUPPLY AND DELIVERY OF LABORATORY SUPPLIES</t>
  </si>
  <si>
    <t>Supply and Delivery of 60 sets Squid jigger for Sulu Province under 2020 block grant</t>
  </si>
  <si>
    <t>Supply and delivery of 30 sets floating-monoline and 75 sets bottom-stake seaweed farm implements for Sulu Province under the 2020 block grant</t>
  </si>
  <si>
    <t>SUPPLY AND DELIVERY OF DRUGS AND MEDICINES FOR MENTALLY ILL PATIENTS AND OTHER MATERIALS FOR MSWD-PWD OFFICE</t>
  </si>
  <si>
    <t>Supply and delivery of 10,000 kgs quality seaweed seedlings/propagules for Sulu province under the 2020 block grant</t>
  </si>
  <si>
    <t>(KMH) INVITATION TO BID FOR THE SUPPLY AND DELIVERY OF LABORATORY SUPPLIES</t>
  </si>
  <si>
    <t>100-2020-07-845 Supply and delivery of construction materials and supplies re Concreting of Santan Road at City Employees Village, Bgy. Sta. Monica</t>
  </si>
  <si>
    <t>PB-20-466, Supply &amp; Delivery of Agricultural Supplies for the Office of the Provincial Agriculturist, Amas, Kidapawan City</t>
  </si>
  <si>
    <t>Web Hosting for Moodle</t>
  </si>
  <si>
    <t>REHABILITATION OF MULTI PURPOSE HALL AT ZONE 3 CADLAN, PILI, CAM. SUR</t>
  </si>
  <si>
    <t>(NVPH) INVITATION TO BID FOR THE SUPPLY AND DELIVERY OF DRUGS AND MEDICINES</t>
  </si>
  <si>
    <t xml:space="preserve">Contract ID No. 20CSNC0005 - Cluster 5 - Consulting Services for the Conduct of Soil Exploration and/or Geotechnical Investigation in the preparation for the Preliminary Engineering Design of various </t>
  </si>
  <si>
    <t xml:space="preserve">Contract ID No. 20CSNC0009 - Cluster 9 - Consulting Services for the Conduct of Soil Exploration and/or Geotechnical Investigation in the preparation for the Preliminary Engineering Design of various </t>
  </si>
  <si>
    <t>Repair of Electronic, Mechanical Extension and Academic Building</t>
  </si>
  <si>
    <t>Purchase of medicines for COVID-19</t>
  </si>
  <si>
    <t>Contract ID No. 20CSNC0004 - Cluster 4 - Consulting Services for the Conduct of Soil Exploration and/or Geotechnical Investigation in the preparation for the Preliminary Engineering Design of various</t>
  </si>
  <si>
    <t>Supply &amp; delivery of various supplies to be used in Feed Formulation for Organic Native Pig at DA-RIARC in Alcate, Victoria, Oriental Mindoro</t>
  </si>
  <si>
    <t>CONSTRUCTION OF ADMINISTRATION BUILDING (PHASE 1), SAN ANTONIO SOUTH</t>
  </si>
  <si>
    <t>Construction of Drainage Canal at Calantas Elementary School, Barangay Calantas, Floridablanca, Pampanga</t>
  </si>
  <si>
    <t>Contract ID No. 20CSNC0008 - Cluster 8 - Consulting Services for the Conduct of Soil Exploration and/or Geotechnical Investigation in the preparation for the Preliminary Engineering Design of various</t>
  </si>
  <si>
    <t>Construction of Multi-Purpose Building (Phase 1) Day Care Center at Barangay Bocator</t>
  </si>
  <si>
    <t>PROCUREMENT FOR SUPPLY AND DELIVERY OF VARIOUS DIETARTY SUPPLIES ITB NO. 20-15</t>
  </si>
  <si>
    <t>Plate etc. (Kitchen Equipment)  (PR-2020-7611-0046)</t>
  </si>
  <si>
    <t>PURCHASE OF RICE</t>
  </si>
  <si>
    <t>Procurement of fuel - 20GMA0008</t>
  </si>
  <si>
    <t>Procurement of 1 Lot Meals and Snacks; PR No. 20-1904 dated June 26, 2020</t>
  </si>
  <si>
    <t xml:space="preserve">Contract ID No. 20CSNC0007 - Cluster 7 - Consulting Services for the Conduct of Soil Exploration and/or Geotechnical Investigation in the preparation for the Preliminary Engineering Design of various </t>
  </si>
  <si>
    <t>Procurement of 1 Lot Meals and Snacks; PR No. 20-1909 dated June 30, 2020</t>
  </si>
  <si>
    <t xml:space="preserve">Contract ID No. 20CSNC0006 - Cluster 6 - Consulting Services for the Conduct of Soil Exploration and/or Geotechnical Investigation in the preparation for the Preliminary Engineering Design of various </t>
  </si>
  <si>
    <t>purchase of multi purpose vehicle</t>
  </si>
  <si>
    <t>Procurement of 1 Lot Meals and Snacks; PR No. 20-1908 dated June 29, 2020</t>
  </si>
  <si>
    <t>Procurement of Vehicle</t>
  </si>
  <si>
    <t>Procurement of Agricultural Machinery and Equipment</t>
  </si>
  <si>
    <t>CONTINUANCE OF CONSTRUCTION OF SLOPE PROTECTION AND EROSION STRUCTURE  ALONG PULANTUBIG CREEK</t>
  </si>
  <si>
    <t>Procurement of 1 Lot Meals and Snacks; PR No. 20-1906 dated June 17, 2020</t>
  </si>
  <si>
    <t>SUPPLY OF MEALS &amp; SNACKS</t>
  </si>
  <si>
    <t>20GFL0007-Supply and delivery of various construction materials for various Maintenance Works, 3rd Quarter, CY 2020</t>
  </si>
  <si>
    <t>100-2020-05-704 Supply and delivery of food supplies intended for supplementary feeding program</t>
  </si>
  <si>
    <t>CONSTRUCTION OF VARIOUS INFRASTRUCTURE PROJECTS FOR THE CITY OF NAVOTAS UNDER LGSF</t>
  </si>
  <si>
    <t>Procurement of 1 Lot Meals and Snacks; PR No. 20-1905 dated June 22, 2020</t>
  </si>
  <si>
    <t>Proposed Construction of LGU-Garage</t>
  </si>
  <si>
    <t>PROCUREMENT OF FUEL, OIL AND LUBRICANTS FOR USE OF LGU LIGHT VEHICLES AND HEAVY EQUIPMENTS (2ND QUARTER AND 3RD QUARTER 2020 – MOOE) RE-BID</t>
  </si>
  <si>
    <t>Procurement of 2 units collapsible tent &amp; 48 pcs Mono block Chairs PR # 20-07-1341 &amp; PR # 20-07-1344 PGO</t>
  </si>
  <si>
    <t>Barangay 775 Office Equipment</t>
  </si>
  <si>
    <t>Office Supplies (Supplemental)</t>
  </si>
  <si>
    <t>100-2020-07-851 Supply and delivery of construction materials and supplies re Concreting of Purok Masunurin Road at Purok Kaakbayan,Bgy. Tiniguiban</t>
  </si>
  <si>
    <t>Macroset etc. (08-0876)CCAH</t>
  </si>
  <si>
    <t>Completion Of Commercial Building (Phase lll)</t>
  </si>
  <si>
    <t>INFORMATION COMMUNICATION TECHNOLOGY/OFFICE EQUIPMENT</t>
  </si>
  <si>
    <t>CONSTRUCTION/REHAB OF DAMAGE INFRA FACILITIES, UTILITIES &amp; OTHER STRUCTURES</t>
  </si>
  <si>
    <t>ROAD REHABILITATION (PROPER BATO MABINAY, NEGROS ORIENTAL)</t>
  </si>
  <si>
    <t>CONST./REPAIR/REHAB/IMPROVEMENT OF MULTI-PURPOSE BUILDINGS OTHER STRUCTURES AND OTHER INFRASTRUCTURE FACILITIES AND UTILITIES (MUN. WIDE)</t>
  </si>
  <si>
    <t>CONSTRUCTION OF DRAINAGE CANAL @ ANISLAGAN,</t>
  </si>
  <si>
    <t>Supply and delivery of various commodities for the children beneficiaries of Supplementary Feeding Program of the Municipality of Pinili, Ilocos Norte</t>
  </si>
  <si>
    <t>PRINTING OF MODULES GOOD FOR 2 WEEKS</t>
  </si>
  <si>
    <t>Medicines for LPH-Dr. J.P. Rizal Memorial District Hospital</t>
  </si>
  <si>
    <t>CONST./REPAIR/REHAB/IMPROVEMENT OF MULTI-PURPOSE BUILDINGS, OTHER STRUCTURE AND OTHER INFRASTRUCTURE FACILITIES AND UTILITIES (MUN. WIDE)</t>
  </si>
  <si>
    <t>Construction of Other equipments for Seaweeds Buying Stations for Sulu Province under the block grant</t>
  </si>
  <si>
    <t>Photocopy of Learning Modules for 1st Quarter</t>
  </si>
  <si>
    <t>Supply and Delivery of 10 Packs Cotton Pledget 100's Nonsterile 25's &amp; Other Items; PR No. 20-1801 dated July 15, 2020</t>
  </si>
  <si>
    <t>Medical Supplies for LPH-Dr. J.P. Rizal Memorial District Hospital</t>
  </si>
  <si>
    <t>Supply and Delivery of 50 Vials Zoletil 5ml &amp; Other Items; PR No. 20-1790 dated July 9, 2020</t>
  </si>
  <si>
    <t>MG-A5O20-009 ( AGGREGATES, GRAVEL 1" DIA.</t>
  </si>
  <si>
    <t>Supply and delivery of various commodities for the children beneficiaries of Supplementary Feeding Program of the Municipality of Bangui, Ilocos Norte</t>
  </si>
  <si>
    <t>Supply/Delivery of Medical, Dental and Laboratory Supplies and Drugs and Medicines</t>
  </si>
  <si>
    <t>Supply/Delivery of Special Rice</t>
  </si>
  <si>
    <t>Supply/Delivery of Construction Materials</t>
  </si>
  <si>
    <t>Supply and delivery of various commodities for the children beneficiaries of Supplementary Feeding Program of the Municipality of Banna, Ilocos Norte</t>
  </si>
  <si>
    <t>Supply/Delivery of Food Supplies</t>
  </si>
  <si>
    <t>Crystal Gray Quartz with Installation etc. (07-0828)CEO</t>
  </si>
  <si>
    <t>Supply and delivery of various commodities for the children beneficiaries of Supplementary Feeding Program of the Municipality of Burgos Ilocos Norte</t>
  </si>
  <si>
    <t>100-2020-07-854 Supply and delivery of 776.51 cumready mixed concrete re Concreting of Purok Masunurin Road at Purok Kaakbayan,Bgy. Tiniguiban</t>
  </si>
  <si>
    <t>Supply and delivery of various commodities for the children beneficiaries of Supplementary Feeding Program of the Municipality of Dumalneg, Ilocos Norte</t>
  </si>
  <si>
    <t>Local Cable TV Airtime Services etc. (08-0874)DepEd</t>
  </si>
  <si>
    <t>Water Materials</t>
  </si>
  <si>
    <t>Procurement of Construction Materials and Supplies</t>
  </si>
  <si>
    <t>Supply and delivery of various commodities for the children beneficiaries of Supplementary Feeding Program of the Municipality of Carasi, Ilocos Norte</t>
  </si>
  <si>
    <t>Purchase of medical supplies and equipment</t>
  </si>
  <si>
    <t>Methyl Eugenol etc.- REBID (05-0560) Agriculture</t>
  </si>
  <si>
    <t>20EB0145: Emergency Repair of damaged/scoured Slope Protection, Jct. TLLR-Burol Road, K0010+263 – K0010+278</t>
  </si>
  <si>
    <t>20EB0144: Cluster RM02: Emergency Repair of damaged/scoured Slope Protection:  a)	MWCR, K0387+564 – K0387+754 Left side, Brgy. San Vicente Section b)	MWCR, K0388+894.50 – K0388+917; K0388+932 – K0388+</t>
  </si>
  <si>
    <t>20EB0143: Cluster RM01: Emergency Repair of damaged/scoured Slope Protection:  a)	Baboy Bridge Approach “A”, K0415+939 (B0011MR) along Mindoro West Coastal Road, Mamburao b)	MWCR, K0429+676.50 – K0429</t>
  </si>
  <si>
    <t>PURCHASE OF RESCUE VEHICLES</t>
  </si>
  <si>
    <t>SUPPLY, DELIVERY AND INSTALLATION OF SOLAR LIGHTING FACILITIES</t>
  </si>
  <si>
    <t>Supply &amp; Delivery of One (1) unit Brand New 6-Wheeler Dump Truck</t>
  </si>
  <si>
    <t>SW-1008-2020-0115</t>
  </si>
  <si>
    <t>Supply of Crude Oil</t>
  </si>
  <si>
    <t>Supply/Delivery of Medical Supplies</t>
  </si>
  <si>
    <t>Facial Tissue etc. (08-0850) CMO</t>
  </si>
  <si>
    <t>Supply/Delivery of Laptop and Printer</t>
  </si>
  <si>
    <t>Supply/Delivery of Medical, Dental and Laboratory Supplies</t>
  </si>
  <si>
    <t>Desktop Computer with Printer - Office for the Development of Cooperatives</t>
  </si>
  <si>
    <t>Anti Rabies Vaccine etc. (02-0617)City Veterinarian</t>
  </si>
  <si>
    <t>Local Frequecy for Radio Broadcasting etc. (0875) DepEd Dipolog</t>
  </si>
  <si>
    <t>Supply and Delivery of Tent at LGU - Santa Maria, Bulacan</t>
  </si>
  <si>
    <t>Supply, Deliver and Installation of Solar Streetlights at Brgy. Kahaponan</t>
  </si>
  <si>
    <t>Supply and delivery of various commodities for the children beneficiaries of Supplementary Feeding Program of the Municipality of Nueva Era, Ilocos Norte</t>
  </si>
  <si>
    <t>Supply and Delivery of Various Furnitures and Fixtures at LGU - Santa Maria, Bulacan</t>
  </si>
  <si>
    <t>Hauling, Transfer and Disposal of Solid Waste Materials at LGU - Santa Maria, Bulacan</t>
  </si>
  <si>
    <t>SUPPLY AND DELIVERY OF COMPUTER EQUIPMENT AND PERIPHERALS FOR THE REHABILITATION OF SSC NETWORK INFRASTRUCTURE OF THREE CAMPUSES OF SORSOGON STATE COLLEGE</t>
  </si>
  <si>
    <t>Desktop Computer with Printer - Office of the City Mayor</t>
  </si>
  <si>
    <t>SUPPLY AND DELIVERY OF COMMON-USED SUPPLIES AND EQUIPMENT FOR FOUR CAMPUSES OF SSC AND SCHOOL OF GRADUATE STUDIES US</t>
  </si>
  <si>
    <t>Construction of Temporary Stalls TIPT, Barangay New Isabela, City of Tacurong</t>
  </si>
  <si>
    <t>Improvement of Perimeter Fence at PUP-SMB Campus, Pulong Buhangin, Santa Maria, Bulacan</t>
  </si>
  <si>
    <t>Supply/Delivery of Food Packs</t>
  </si>
  <si>
    <t>CONSTRUCTION/EXTENSION OF DIAGNOSTIC CENTER BUILDING FOR CT-SCAN AT CITY HEALTH OFFICE, BARANGAY HERRERO-PEREZ, DAGUPAN CITY</t>
  </si>
  <si>
    <t>CONSTRUCTION OF DRAINAGE CANAL, PUROK 6, BARANGAY CARLATAN</t>
  </si>
  <si>
    <t>LABOR AND MATERIALS FOR THE REPAIR OF LIBRARY BUILDING (DAMAGED BY TYPHOON TISOY) AT BULAN CAMPUS</t>
  </si>
  <si>
    <t>CONSTRUCTION OF WATER SUPPLY SYSTEM   AT BRGY.  BULAKIN 2, DOLORES, QUEZON</t>
  </si>
  <si>
    <t>AGR-19-1176-B  Construction of Access Road of the Provincial Agriculture Office ART-Center.</t>
  </si>
  <si>
    <t>Supply &amp; Delivery of Seeds &amp; Fertilizers</t>
  </si>
  <si>
    <t>MATERIALS AND FITTINGS</t>
  </si>
  <si>
    <t>CONSTRUCTION OF X-RAY ROOM, NUTRITION AND COMPUTER ROOM, 2ND FLOOR MARCOS BUILDING</t>
  </si>
  <si>
    <t>Contract ID No. 19FA0099: CLUSTER 54 REHABILITATION/IMPROVEMENT OF SOA FLOOD CONTROL (UPSTREAM), MALINAO, ALBAY AND CONSTRUCTION OF BALZA RIVER FLOOD CONTROL STRUCTURE, BRGY. BALZA, MALINAO, ALBAY</t>
  </si>
  <si>
    <t>CONSTRUCTION OF MULTI-PURPOSE BUILDING (PHASE II)</t>
  </si>
  <si>
    <t>CONSTRUCTION OF SLOPE PROTECTION &amp; REHABILITATION OF FARM TO MARKET ROAD, BARANGAY SACYUD</t>
  </si>
  <si>
    <t>Other Supplies - Janitorial Supplies - Various Offices</t>
  </si>
  <si>
    <t>Supply, Delivery and Installation of Online Plagiarism Checker</t>
  </si>
  <si>
    <t>Concreting of Road in Brgy. Opong, Tolosa, Leyte, ABC PHP3,206,094.34</t>
  </si>
  <si>
    <t>Public Bidding of 3 Lots for the Supply &amp; Delivery of Various Office Equipment for RMPH, SGMRMDH &amp; PTCAO, under ITB No. 2020-025R</t>
  </si>
  <si>
    <t>20IE0117 - CONCRETING OF JUNCTION NATIONAL ROAD, BRGY. PAYAO TO SITIO HILL VIEW TO SITIO BARANGBANG FMR, BRGY. PAYAO, VILLABA, LEYTE Villaba, Leyte</t>
  </si>
  <si>
    <t>SUPPLY AND DELIVERY OF UNPLASTICIZED POLYVINYL CHLORINE (uPVC) PIPES  FOR REHAB OF TRANSMISSION PIPELINE AT BRGY. BULANON, BRGY. RAFAELA BARRERA AND BRGY. VITO,  SAGAY CITY</t>
  </si>
  <si>
    <t>Public Bidding for the Supply &amp; Delivery of Carabao for Provincial Tourism and Cultural Affairs Office, under ITB No. 2020-024R</t>
  </si>
  <si>
    <t>Office, Other and Food Supplies - City Social Welfare and Development Office - CICWC</t>
  </si>
  <si>
    <t>20GSDG0028: Furnishing Labor for Software Update and Calibration of Survey Equipment of DPWH, Cavite II District Engineering Office, Alfonso, Cavite</t>
  </si>
  <si>
    <t>Supply and Delivery of Materials for the Construction of Multi-Purpose Bleacher at Bgy. Tagusao, Quezon, Palawan</t>
  </si>
  <si>
    <t>Supply and Delivery of Breeder Goat Animals for the Masbate Goat Production and Marketing Eneterprise Project</t>
  </si>
  <si>
    <t>Supply and Delivery of Materials for the Construction of Composting Facility Building</t>
  </si>
  <si>
    <t>Supply &amp; Delivery of Various Disaster Equipment for MDRRM Office</t>
  </si>
  <si>
    <t>PURCHASE OF VARIOUS SEEDLINGS USE FOR THE REHABILITATION OF ALANIB RIVER WATERSHED (2ND BID)</t>
  </si>
  <si>
    <t>20IE0118 - CONCRETING OF BRGY. TAGHARIGUE TO  BRGY. IGANG FMR, BRGY. TAGHARIGUE AND BRGY. IGANG, CALUBIAN, LEYTE Calubian, Leyte</t>
  </si>
  <si>
    <t>POLO SHIRTS</t>
  </si>
  <si>
    <t>Office Vehicle (SKC 235) use</t>
  </si>
  <si>
    <t>Supply &amp; Delivery of Six (6) units Laptop for Sangguniang Bayan Office</t>
  </si>
  <si>
    <t>Improvement of Farm to Market Road at Purok  Tamsi to Malaunay</t>
  </si>
  <si>
    <t>Improvement of Farm to Market Road at Purok Tukgaw to Purok Hagomhom</t>
  </si>
  <si>
    <t>PURCHASE OF PLASTIC CONTAINER USE FOR THE LOCAL GOVERNMENT (1ST BID)</t>
  </si>
  <si>
    <t>PRINTING OF TARPAULIN</t>
  </si>
  <si>
    <t>20DC0223 - Construction/Rehabilitation of Road, Brgy. Sto. Niño, San Nicolas, Batangas</t>
  </si>
  <si>
    <t>PURCHASE OF VARIOUS SEEDLINGS USE FOR ALANIB RIVER WATERSHED REHABILITATION PROGRAM (2ND BID)</t>
  </si>
  <si>
    <t>2020-08-471  General Cleaning and Repair of Various Air conditioning units</t>
  </si>
  <si>
    <t>Public Bidding for the Supply &amp; Delivery of Construction Materials for the Proposed Construction of Multiplier Farm @ Brgy. Nagba Cuartero, Capiz under ITB No. 2020-023R</t>
  </si>
  <si>
    <t>20DC0222 - Concreting of Farm to Market Road for Barangay Balakilong, Laurel, Batangas</t>
  </si>
  <si>
    <t>20DC0221 - Construction/Rehabilitation of Road, Sta. Elena-San Vicente Road, Sto. Tomas, Batangas</t>
  </si>
  <si>
    <t>Construction of Pasalubong Center, Brgy. Poblacion, Buenavista, Quezon</t>
  </si>
  <si>
    <t>Construction of Sanitary Landfill - Eco Park, Brgy. Wasay Ibaba, Buenavista, Quezon</t>
  </si>
  <si>
    <t>Completion of RHU Building, Brgy. Poblacion, Buenavista, Quezon</t>
  </si>
  <si>
    <t>Supply, Delivery, Installation, and Commissioning of Steam Sterilizer High Pressure Machine (Autoclave)</t>
  </si>
  <si>
    <t>PROCUREMENT OF SUPPLIES/MATERIALS FOR THE REPRODUCTION OF SELF-LEARNING MODULES/LEARNING RESOURCES TO BE USED BY SCHOOLS DURING MODULAR/ONLINE DISTANCE LEARNING FOR THE 1ST &amp; 2ND QTR OF SY 2020-2021</t>
  </si>
  <si>
    <t>Termite Abatement Services for Sta. Cruz Agro-Industrial Corporation (SCAIC) Warehouse</t>
  </si>
  <si>
    <t>FOR THE SUPPLY OF CONSTRUCTION MATERIALS</t>
  </si>
  <si>
    <t>Construction of Patrol Base</t>
  </si>
  <si>
    <t>Supply and Delivery of 20 units of Handloom Weaving Devices in Torrijos, Marinduque</t>
  </si>
  <si>
    <t>Construction of Multi-Purpose Bldg. (Phase 2) in Brgy. Poblacion V. Burauen, Leyte, ABC PHP2,662,217.28</t>
  </si>
  <si>
    <t>FACRICATION OF LGU LOGO AND NAME</t>
  </si>
  <si>
    <t>provision of meals and accommodations for the conduct of the SPCAR IEC Consultation and Capability Building on August 13-14, 2020</t>
  </si>
  <si>
    <t>PURCHASE OF ONE(1)SET FABRICATED TEMPERED GLASS MOVABLE RING INCLUDING INSTALLATION</t>
  </si>
  <si>
    <t>PURCHASE OF OFFICE SUPPLIES, MUNICIPAL HEALTH OFFICE, CAJIDIOCAN, ROMBLON</t>
  </si>
  <si>
    <t>CONSTRUCTION OF MULTI-PURPOSE BUILDING (GAD BUILDING) PHASE II</t>
  </si>
  <si>
    <t>Rehabilitation/improvement of Water System in Brgy. Hinabuyan, Villaba, Leyte, ABC PHP2,884,283.42</t>
  </si>
  <si>
    <t>Construction of pathway</t>
  </si>
  <si>
    <t>CONSTRUCTION OF FARM-TO-MARKET ROAD AT SITIO CAMP VALLEY-TIBBEG, SUGUIDAN NORTE, NAGUILIAN, LA UNION.</t>
  </si>
  <si>
    <t>RFQ-2020-08-054: Procurement/Supply/Delivery of IT and Communication Equipment for use in the DPWH-Mindoro Occidental DEO (Planning and Design Section)</t>
  </si>
  <si>
    <t>CONSTRUCTION OF MULTIPURPOSE HALL/ ISOLATION CENTER, SUGOD CAJIDIOCAN, ROMBLON</t>
  </si>
  <si>
    <t>Construction of Multi-Purpose Bldg. (Phase 1) in Brgy. Caray-caray, San Miguel, Leyte, ABC PHP2,495,627.56</t>
  </si>
  <si>
    <t>PURCHASE OF MEDICAL AND DENTAL SUPPLY, MUNICIPAL HEALTH OFFICE, CAJIDIOCAN, ROMBLON</t>
  </si>
  <si>
    <t>Improvement of Farm to Market Road at Purok  Hagomhom to Purok Aguila</t>
  </si>
  <si>
    <t>Laptop-SHS</t>
  </si>
  <si>
    <t>Supply &amp; delivery of various chemicals for the management of Fall armyworm in Corn (MiMaRoPa) in Barcenaga, Naujan, Oriental Mindoro</t>
  </si>
  <si>
    <t>20GEB0057: Procurement/Supply/Delivery of Multi-Function Printer/ Copier/Scanner Heavy Duty with one (1) unit Colored Printer/ Copier for use in DPWH-Mindoro Occidental DEO, Planning and Design Sectio</t>
  </si>
  <si>
    <t>R&amp;D-20-3066: Procurement of Chemical and Filtering Supplies needed for Laboratory use in support to “Mass production of quality banana planting materials..."</t>
  </si>
  <si>
    <t>Spare Parts for 4D Theater</t>
  </si>
  <si>
    <t>LABOR AND MATERIALS FOR THE REPAIR OF BTTE BUILDING (DAMAGED BY TYPHOON TISOY) AT BULAN CAMPUS</t>
  </si>
  <si>
    <t>20GEB0073: Procurement/Supply of Diesel, Gasoline Fuel and Lubricants for use in the operation of DPWH Equipment for the Repair/ Maintenance of National Roads and Bridges (Lubang Island)</t>
  </si>
  <si>
    <t>Construction of Multi-Purpose Bldg. (Phase 1) in Brgy. San Antonio (Poblacion), Alangalang, Leyte, ABC PHP2,585,810.74</t>
  </si>
  <si>
    <t>Procurement of construction materials for Rehabilitation of Drainage System @ Public Market, Sta. Maria</t>
  </si>
  <si>
    <t>PROCUREMENT OF SOUND SYSTEM</t>
  </si>
  <si>
    <t>Anti-Radiation Glassess</t>
  </si>
  <si>
    <t>PURCHASE OF CELLPHONES</t>
  </si>
  <si>
    <t>Construction of Multi-Purpose Bldg. (Phase 1) in Brgy. Rizal, Javier, Leyte, ABC PHP2,499,134.05</t>
  </si>
  <si>
    <t>Supply and Delivery of Materials for Construction of Storage Room and Bleachers st Barangay Candanas</t>
  </si>
  <si>
    <t>Construction of a 2-Classroom School Building at Aringit Primary School in Pastrana, Leyte, ABC PHP2,051,036.76</t>
  </si>
  <si>
    <t>Procurement of Vehicle Parts and Accessories under P.R Nos. 2368-2020 and 2372-2020 - Office of the City Engineer-1Lot.</t>
  </si>
  <si>
    <t>Purchase of Electrical Supplies and Materials for the use of CENRO Matalam</t>
  </si>
  <si>
    <t>Procurement of construction materials for Concreting of Road @ Sitio Pugo, San Juan</t>
  </si>
  <si>
    <t>Construction of Multi-Purpose Bldg. (Phase 2) in Brgy. Palanugan, Mahaplag, Leyte, ABC PHP2,367,340.51</t>
  </si>
  <si>
    <t>Construction of Covered Court (continuation)</t>
  </si>
  <si>
    <t>Concreting of Road in Brgy. Brigida, Tolosa, Leyte, ABC PHP2,008,946.72</t>
  </si>
  <si>
    <t>Supply and Delivery of Motor Vehicle</t>
  </si>
  <si>
    <t>CONSTRUCTION OF DROP-IN AND CRISIS CENTER</t>
  </si>
  <si>
    <t>Labor - Extension of transmission &amp; distribution mains(Parallel to the existing lines at Perez, Roxas, Ramos, Villamor &amp; Cerezo Streets, Guiset Norte, San Manuel, Pangasinan)</t>
  </si>
  <si>
    <t>Procurement of construction materials for Concreting of Road at Sitio Pabalay, Namillangan</t>
  </si>
  <si>
    <t>Supply &amp; Delivery of Communication Equipment and Accessories</t>
  </si>
  <si>
    <t>Construction of Water System in Brgy. Buenavista, Burauen, Leyte, ABC PHP2,435,464.09</t>
  </si>
  <si>
    <t>19B00062: Organizational Outcome 1: Ensure Safe and Reliable National Road System: Network Development: Rehabilitation/ Reconstruction of Roads with Slips, Slope Collapse and Landslide Peñablanca – Ca</t>
  </si>
  <si>
    <t>INVITATION TO APPLY FOR ELIGIBILITY AND TO BID</t>
  </si>
  <si>
    <t>SUPPLY AND DELIVERY OF RAMBUTAN SEEDLINGS</t>
  </si>
  <si>
    <t>Red Lead Paint,Cyclone Wire,etc...</t>
  </si>
  <si>
    <t>Supply and Delivery of 20 units of Handloom Weaving Devices in Sariaya, Quezon</t>
  </si>
  <si>
    <t>Proposed Construction of Solar Street Lights</t>
  </si>
  <si>
    <t>Supply and Delivery of Various Construction materials use for the Maintenance of Streetlights, Rehabilitation of Drainage Canal, Construction of Slope Protection at Brgys. San Vicente, Consolacion, Sa</t>
  </si>
  <si>
    <t>R&amp;D-20-3064: Procurement of Other Supplies needed for Laboratory use in support to “Mass production of quality banana planting materials...”</t>
  </si>
  <si>
    <t>CONSTRUCTION/EXTENSION OF NEW GUINLO BOAT LANDING, PHASE II (TAYTAY, PALAWAN)</t>
  </si>
  <si>
    <t>Construction Projects</t>
  </si>
  <si>
    <t>SUPPLY AND DELIVERY OF DAY CARE SCHOOL KIT</t>
  </si>
  <si>
    <t>School Material</t>
  </si>
  <si>
    <t>RFQ 0996-1005 Various Drugs and Medicines</t>
  </si>
  <si>
    <t>Construction of Multi-Purpose Bldg. (Phase 2) in Brgy. Canhandugan, Jaro, Leyte, ABC PHP2,639,851.62</t>
  </si>
  <si>
    <t>PURCHASE OF FUEL AND LUBRICANTS FOR HEAVY AND LIGHT EQUIPMENTS (LGU- KIBAWE)</t>
  </si>
  <si>
    <t>CONSTRUCTION OF BARANGAY HEALTH STATION IN BGY. BUNOG RIZAL (MUNICIPALITY OF RIZAL, PALAWAN)</t>
  </si>
  <si>
    <t>IMPROVEMENT OF BARANGAY HEALTH STATION</t>
  </si>
  <si>
    <t>PURCHASE OF SOFTWARE AND VARIOUS EQUIPMENTS OF DENR-PENRO PALAWAN</t>
  </si>
  <si>
    <t>Construction of Transport Terminal</t>
  </si>
  <si>
    <t>ILD-20-3132: Procurement of Chemical and Filtering Supplies to be used in Metarhizium production and Diagnosis</t>
  </si>
  <si>
    <t>CONSTRUCTION OF MASILAG FMR BRIDGE</t>
  </si>
  <si>
    <t>IMPROVEMENT OF HOSPITAL LANDSCAPING AND FACILITIES (CORON DISTRICT HOSPITAL, CORON, PALAWAN)</t>
  </si>
  <si>
    <t>Board Games</t>
  </si>
  <si>
    <t>SUPPLY &amp; DELIVERY OF MATERIALS FOR VARIOUS CLASSROOMS REPAIR AT CAGAWASAN ELEMENTARY SCHOOL, NATULONGAN NHS AND WEST KIBAWE E/S</t>
  </si>
  <si>
    <t>Purchase of Photocopying Machine for Modular Learning</t>
  </si>
  <si>
    <t>CONSTRUCTION OF EVACUATION CENTER/MULTI-PURPOSE BUILDING, BGY. BUNOG RIZAL (MUNICIPALITY OF RIZAL, PALAWAN)</t>
  </si>
  <si>
    <t>Procurement of Labor and Materials for the Construction/Repair/Renovation of Various Civil Works at 3rd Floor of Blue Building</t>
  </si>
  <si>
    <t>Home School Materials</t>
  </si>
  <si>
    <t>Supply and delivery of materials for the Improvement of Multi - Purpose Hall at Sitio Cruz, Barangay San Isidro, Mauban, Quezon</t>
  </si>
  <si>
    <t>20GLH0020 - (P.R. 2020-08-049 dated 08/10/2020) - 41X – Emergency Projects (Removal of Structures and Obstruction) along National Roads, 3rd Congressional District, Davao City</t>
  </si>
  <si>
    <t>RFQ-19-06-1229-1 - POSTER 15" X 20"</t>
  </si>
  <si>
    <t>Battery 13 plates,Tires,etc...</t>
  </si>
  <si>
    <t>REPAIR &amp; MAINTENANCE MOTOR VEHICLE (PKOC-PHP181,300.00)</t>
  </si>
  <si>
    <t>PROCUREMENT OF SURVEYING EQUIPMENT USE IN MUNICIPALITY OF BULUAN, MAGUINDANAO</t>
  </si>
  <si>
    <t>Room accommodation under Emerging/re-emerging disease program/COVID-19 under PR#2020-08-3103</t>
  </si>
  <si>
    <t>Supply &amp; Delivery of Complete Fertilizer</t>
  </si>
  <si>
    <t>Supply and Installation of Air-Conditioning Units for the New Municipal Hall Building</t>
  </si>
  <si>
    <t>CONSTRUCTION OF BATARAZA DISTRICT HOSPITAL PERIMETER FENCE PHASE II (MUNICIPALITY OF BATARAZA, PALAWAN)</t>
  </si>
  <si>
    <t>Room accommodation under Emerging/re-emerging disease program/COVID-19 under PR#2020-08-3102</t>
  </si>
  <si>
    <t>Made to Order BPAT Uniform</t>
  </si>
  <si>
    <t>For the use in Hazard Assessment/Inspection, IEC Campaign on DRRm &amp; COVID-19 Monitoring Municipal Wide</t>
  </si>
  <si>
    <t>Procurement of Hospital/Medical Equipment</t>
  </si>
  <si>
    <t>Supply &amp; Delivery of Assorted Items for DOLE Kabuhayan Projects</t>
  </si>
  <si>
    <t>Procurement of construction materials for Rehab. of Overflow Potia-Banbanay Road, Namnama</t>
  </si>
  <si>
    <t>Procurement of Labor and Materials- Road Concreting at Laguio</t>
  </si>
  <si>
    <t>PURCHASE OF TOTAL STATION A1 SURVEY INSTRUMENT LAVEZARES, N. SAMAR</t>
  </si>
  <si>
    <t>Furnishing of construction materials for Babayongan CIS</t>
  </si>
  <si>
    <t>Room accommodation under Emerging/re-emerging disease program/COVID-19 under PR#2020-08-3104</t>
  </si>
  <si>
    <t>COUPON BOND (A4) FOR ODIONGAN SOUTH DISTRICT</t>
  </si>
  <si>
    <t>CONSTRUCTION OF SEWAGE TREATMENT PLANT IN CUYO DISTRICT HOSPITAL (MUNICIPALITY OF CUYO, PALAWAN)</t>
  </si>
  <si>
    <t>Print and Scan Supplies and Equipment</t>
  </si>
  <si>
    <t>One (1) Lot – BSP Open Wireless Network (BSP Open WIFI) Project Upgrade, consisting of Design, Supply, Delivery, Installation, Configuration, Setup and Maintenance of Managed Wireless Network Infrastr</t>
  </si>
  <si>
    <t>Furnishing of construction materials for Lower Sudlon II PIS</t>
  </si>
  <si>
    <t>Supply and Delivery of Textbooks and Instructional Materials for the Library (PR No. 2020-08-0661)</t>
  </si>
  <si>
    <t>MDH-JANITORIAL SUPPLIES</t>
  </si>
  <si>
    <t>Supply, Delivery and Installation of Room Emergency Lights (PR No. 2020-06-0550)</t>
  </si>
  <si>
    <t>Procurement of 24 Set Hematology Reagent Set ;1,500 Tests/Set (5 Parts), 30 Sets,etc. under P.R No. 0970-2020-Butuan Medical Center</t>
  </si>
  <si>
    <t>provision of Autonomy face masks for the celebration of the 33rd Cordillera month</t>
  </si>
  <si>
    <t>PROCUREMENT OF VEGETABLE SEEDS, MAO, CAJIDIOCAN, ROMBLON</t>
  </si>
  <si>
    <t>PROCUREMENT AND DELIVERY OF CAST IRON MATERIALS</t>
  </si>
  <si>
    <t>Purchase and Delivery of Office Supplies of the MSWDO</t>
  </si>
  <si>
    <t>Procurement of Works for the Upgrading of Public Plaza and Playground Facilities for Male and Female of this municipality, Brgy. Poblacion, Tapaz, Capiz</t>
  </si>
  <si>
    <t>RFQ-19-08-1848 - BULACAN SIGNAGE</t>
  </si>
  <si>
    <t>Improvement of Barangay Road- Buacao, Clarin, Bohol</t>
  </si>
  <si>
    <t>SUPPLY &amp; DELIVERY OF CONSTRUCTION MATERIALS FOR THE INSTALLATION OF STREET LIGHTING SYSTEM (ELECTRIFICATION PROJECT) (50 UNITS) KIBAWE, BUKIDNON</t>
  </si>
  <si>
    <t>RFQ-20-07-1630 - ROAD BARRIER, DISH DRYER AND MISTING FAN</t>
  </si>
  <si>
    <t>To be Used to Replace Damaged Pipelines, Auxilliary Lines and Disinfect Reservoirs. - WATERWORKS R. T. Lim,  Zamboanga Sibugay</t>
  </si>
  <si>
    <t>PGO-DIESOLINE</t>
  </si>
  <si>
    <t>RFQ 2020-08-0318 REPAIR AND MAINTENANCE FOR LABORATORY USE</t>
  </si>
  <si>
    <t>RFQ-20-07-1638 - EXHAUST FAN CEILING AND WALL</t>
  </si>
  <si>
    <t>Barangay Streetlights</t>
  </si>
  <si>
    <t>AMIA-20-3085: Procurement of Other Supplies to be used in the irrigation system of Model Farm at Ubay Stock Farm, Ubay, Bohol</t>
  </si>
  <si>
    <t>Quotation No. 20-07-0426- Office Supplies</t>
  </si>
  <si>
    <t>REPAIR &amp; MAINTENANCE OFFICE EQUIP (PKOC-70,228.00)</t>
  </si>
  <si>
    <t>Concreting of Barangay Road - Brgy Poblacion</t>
  </si>
  <si>
    <t>TLDH-OTHER SUPPLIES</t>
  </si>
  <si>
    <t>Procurement of Drugs and Medicines for Bislig District Hospital.</t>
  </si>
  <si>
    <t>FURNISHING AND DELIVERY OF MATERIALS FOR THE CONSTRUCTION OF 5 UNITS BARANGAY MATERIAL RECOVERY FACILITIES</t>
  </si>
  <si>
    <t>Supply and Delivery of various TENTS for Marikina City Various Activities, City Government of Marikina</t>
  </si>
  <si>
    <t>RFQ-19-11-2595 - MEDALS AND TROPHIES FOR DEPED</t>
  </si>
  <si>
    <t>CONSTRUCTION OF SEAVIEW MULTI-PURPOSE HALL, POBLACION, CAJIDIOCAN, ROMBLON</t>
  </si>
  <si>
    <t>CONSTRUCTION OF FMR SITIO MALUBAGO, GUTIVAN, CAJIDIOCAN, ROMBLON</t>
  </si>
  <si>
    <t>REHABILITATION OF SEAWALL AND INSTALLATION OF LIGHTS IN SHORELINE, POBLACION, CAJIDIOCAN, ROMBLON</t>
  </si>
  <si>
    <t>CONSTRUCTION OF ACCESS ROAD - NALUS-UCAN, SUGOD, CAJIDIOCAN, ROMBLON</t>
  </si>
  <si>
    <t>INK PIGMENT - FOR PD's Printer</t>
  </si>
  <si>
    <t>RFQ-20-02-0420 - 1,000 PCS BATTERY AA</t>
  </si>
  <si>
    <t>Procurement of 100 boxes Official Receipts</t>
  </si>
  <si>
    <t>CONSOL-JANITORIAL SUPPLIES</t>
  </si>
  <si>
    <t>Construction of Flood Control Structure in Brgy. District III, Babatngon, Leyte, ABC PHP1,996,389.20</t>
  </si>
  <si>
    <t>Catering Services  (Meals &amp; Snacks for 3 days)</t>
  </si>
  <si>
    <t>Rebidding of MOTOR VEHICLE</t>
  </si>
  <si>
    <t>IMPROVEMENT OF RHU, POBLACION, CAJIDIOCAN, ROMBLON</t>
  </si>
  <si>
    <t>RFQ 2020-08-0373 Accountable forms # 51 for Cashier's Office use</t>
  </si>
  <si>
    <t>ICT : ICT DEVICE AND EQUIPMENT TO BE USE FOR VIDEO CONFERENCING FOR ALL DIVISION OF DSWD FO IX</t>
  </si>
  <si>
    <t>Improvement of Barangay Road</t>
  </si>
  <si>
    <t>RFQ-20-07-1678 - DESKTOP COMPUTERS AND PRINTERS</t>
  </si>
  <si>
    <t>Supply and Delivery of 100 Units Electric Fan (Stand Fan 16”) and 50 Units LED TV 20”</t>
  </si>
  <si>
    <t>Rehabilitation of Barangay Road</t>
  </si>
  <si>
    <t>SUPPLY &amp; DELIVERY OF ELECTRICAL MATERIALS FOR THE INSTALLATION OF STREET LIGHTING SYSTEM (ELECTRIFICATION PROJECT) (50 UNITS) KIBAWE, BUKIDNON</t>
  </si>
  <si>
    <t>Continuation of the Construction of the Legislative Building</t>
  </si>
  <si>
    <t>PROCUREMENT OF RISO MACHINE AND RISO INK</t>
  </si>
  <si>
    <t>PROJ. 267 - Donation - MOOE 2020</t>
  </si>
  <si>
    <t>SUPPLY AND DELIVERY OF ID LANYARD AND PRINTER RIBBON FOR USE IN THE ADMISSION AND REGISTRATION OFFICE</t>
  </si>
  <si>
    <t>Supply &amp; Delivery of Construction Materials and Supplies</t>
  </si>
  <si>
    <t>Construction of Multi-Purpose Hall Barangay Palangan</t>
  </si>
  <si>
    <t>Procurement of Hardware and Construction Supplies</t>
  </si>
  <si>
    <t>Procurement of Diesel</t>
  </si>
  <si>
    <t>PROCUREMENT OF FUEL, OIL AND LUBRICANTS</t>
  </si>
  <si>
    <t>CONSTRUCTION OF PROPOSED 11M X 12.5M BUNK HOUSE (BGY. IRAWAN, PUERTO PRINCESA CITY, PALAWAN)</t>
  </si>
  <si>
    <t>Construction of Minolo Pier</t>
  </si>
  <si>
    <t>PR NO. 2020-08-026 Construction of 80 units sub-structure septic tank w/ bowl @ Sta Potenciana, Mapanas, Northern Samar</t>
  </si>
  <si>
    <t>Construction of Multi-Purpose Hall in Brgy. Dapdap, Alangalang, Leyte, ABC PHP1,913,208.95</t>
  </si>
  <si>
    <t>Construction of Seaweed Solar Dryer on Stilt with Storage for Six Barangays</t>
  </si>
  <si>
    <t>Procurement of supply and delivery of hammer mill</t>
  </si>
  <si>
    <t>SUPPLY &amp; DELIVERY OF LED STREET LIGHT FOR THE INSTALLATION OF STREET LIGHTING SYSTEM ( ELECTRIFICATION PROJECT) (50 UNITS) KIBAWE, BUKIDNON</t>
  </si>
  <si>
    <t>PROCUREMENT OF GARBAGE TRUCK (DUMP TRUCK)</t>
  </si>
  <si>
    <t>Purchase of Motor Vehicle</t>
  </si>
  <si>
    <t>Construction of Multi-Purpose Bldg. (Phase 1) in Brgy. Camitoc, Dulag, Leyte, ABC PHP1,995,573.92</t>
  </si>
  <si>
    <t>Purchase of Light Cargo Truck for Transport of Cargo and Delivery of Equipment</t>
  </si>
  <si>
    <t>Procurement of Furniture and Fixtures for the SK Office</t>
  </si>
  <si>
    <t>LGU-AL-G-24-2020 PURCHASE OF 4X4 2.4L VEHICLE</t>
  </si>
  <si>
    <t>(SBMA-BAC-INFRA-IB-10-20) REPAIR &amp; REPAINTING OF VARIOUS SBMA BUILDINGS &amp; FACILITIES (BLDG. 229, BLDG. 705, BLDG. 697, REGULATORY BUILDING &amp; KALAKLAN GATE TERMINAL)</t>
  </si>
  <si>
    <t>Procurement of Basic Advance Flight &amp; Training Course</t>
  </si>
  <si>
    <t>Supply &amp; Delivery of Various Agricultural Supplies</t>
  </si>
  <si>
    <t>Concreting of Bangbangolan Farm to Market Road, San Fernando</t>
  </si>
  <si>
    <t>PR NO. 2020-08-027 CONSTRUCTION OF 70 UNITS SUB-STRUCTURE SEPTIC TANK W/ BOWL @ SAN JOSE, MAPANAS, NORTHERN SAMAR</t>
  </si>
  <si>
    <t>Supply &amp; Delivery of Disaster Tools and Equipment for MDRRM Office</t>
  </si>
  <si>
    <t>Supply &amp; Delivery of Two (2) units Off-Road Motorcycle for MDRRM Office</t>
  </si>
  <si>
    <t>Procurement of Office Supplies for Different Offices</t>
  </si>
  <si>
    <t>Supply and Delivery of Materials for the Construction/Completion of Municipal Sanitary Landfill</t>
  </si>
  <si>
    <t>Supply &amp; Delivery of Rabies Vaccine for MHO Patients.</t>
  </si>
  <si>
    <t>Clean Up Green Up</t>
  </si>
  <si>
    <t>CONSTRUCTION OF PROPOSED 11M X 12.5M BUNK HOUSE (BGY. APURAWAN, ABORLAN,  PALAWAN)</t>
  </si>
  <si>
    <t>Supply &amp; Delivery of Fuel for Concreting of 375m Magsaysay Street, Bgy. Alfonso XIII</t>
  </si>
  <si>
    <t>Procurement of Tires, Spare Parts and Oil Filter for the Repair and Maintenance of Transportation Equipment</t>
  </si>
  <si>
    <t>Supply &amp; Delivery of GROCERY ITEMS for Frontliners, Health Workers and Quarantined Persons</t>
  </si>
  <si>
    <t>Rehabilitation of Multi-Purpose Bldg. in Brgy. Laray, Abuyog, Leyte, ABC PHP1,827,523.52</t>
  </si>
  <si>
    <t>Procurement of materials and supplies for the Rehabilitation of Barangay Multi-purpose Hall</t>
  </si>
  <si>
    <t>Proposed Improvement of Isolation Area Phase II, Sitio Bunot, Barangay Lunsad, Binangonan Rizal</t>
  </si>
  <si>
    <t>Supply &amp; Delivery of Three (3) units Motorcycle for Mayor’s Office</t>
  </si>
  <si>
    <t>Improvement of Brgy. Road (Daguro Road)  -  Lesseb</t>
  </si>
  <si>
    <t>REQUEST FOR QUOTATION (SUPPLIES AND DELIVERY OF  PRINTING MATERIALS AND OTHER SUPPLIES</t>
  </si>
  <si>
    <t>Purchaser of Irrigation Hose  -  Ambugat</t>
  </si>
  <si>
    <t>RFQ-19-09-2038- 1 - FOLDING BED, HD ETC</t>
  </si>
  <si>
    <t>Printing and Binding of the Fire Code of the Philippines RA 9514, Revised Implementing Rules and Regulations Revised 2019</t>
  </si>
  <si>
    <t>20FL0088-Construction of 1STY2CL, Cabagahan Elementary School, Matnog, Sorsogon,Matnog, Sorsogon</t>
  </si>
  <si>
    <t>Supply &amp; Delivery of Various Equipment for MDRRM Office.</t>
  </si>
  <si>
    <t>Proposed GAD Office with client friendly safe interview &amp; Counselling room</t>
  </si>
  <si>
    <t>RFQ 2020-08-0384 POST EARTHQUAKE REPAIRS FOR MPEC STAIRS</t>
  </si>
  <si>
    <t>Printing of Learning Materials</t>
  </si>
  <si>
    <t>CONSTRUCTION MATERIALS AND EQUIPMENT RENTAL FOR CONCRETING OF ROAD @PUROK 5 OBENZA ST., BRGY. APLAYA, DIGOS CITY</t>
  </si>
  <si>
    <t>Procurement of Twelve (12) Units Biodegradable Shredders - GSO</t>
  </si>
  <si>
    <t>Construction of Wet Market (Talipapa) with Elevated Water Tank in Brgy. San Agustin, Babatngon, Leyte, ABC PHP1,727,015.66</t>
  </si>
  <si>
    <t>Supply &amp; Delivery of OFFICE EQUIPMENT</t>
  </si>
  <si>
    <t>Fabrication/Construction of MRF - Brgy Poblacion</t>
  </si>
  <si>
    <t>SUPPLY AND DELIVERY OF AQUATIC FEEDS AND FERTILIZER FOR BANGUS PRODUCTION</t>
  </si>
  <si>
    <t>Supply and Delivery of Two (2) units 100 KVA Generator Set for use in the Operation of Malalag Waterworks System</t>
  </si>
  <si>
    <t>supply and Delivery of 10 units sewing machines</t>
  </si>
  <si>
    <t>Supply &amp; Delivery of OTHER SUPPLIES for the use of Different Offices (2nd Quarter)</t>
  </si>
  <si>
    <t>Potable Water Supply System - Macaoayan</t>
  </si>
  <si>
    <t>Purchase of book papers for the used of Office of the Mayor</t>
  </si>
  <si>
    <t>Construction of Infrastructure Projects ITB 20-004</t>
  </si>
  <si>
    <t>CONSTRUCTION MATERIALS FOR IMPROVEMENT OF COMFORT ROOM @BRGY. APLAYA, DIGOS CITY</t>
  </si>
  <si>
    <t>Rehabilitation &amp; improvement of Multi-Purpose Bldg. in Brgy. Apale, Isabel, Leyte, ABC PHP1,787,190.91</t>
  </si>
  <si>
    <t>Supply &amp; Delivery of OFFICE SUPPLIES for the use of Different Offices (2nd Quarter)</t>
  </si>
  <si>
    <t>Rehab. of Multi-Purpose Hall - Macaoayan</t>
  </si>
  <si>
    <t>Procurement of supply and delivery of various Vegetable Seeds</t>
  </si>
  <si>
    <t>PURCHASE OF FOGGING MACHINE - SAN JUAN, ILOCOS SUR</t>
  </si>
  <si>
    <t>SUPPLY AND DELIVERY OF VARIOUS EQUIPMENT FOR BANGUS PRODUCTION</t>
  </si>
  <si>
    <t>OTHER SUPPLIES &amp; MATERIAL EXP (PKOC-Php89,335.00)</t>
  </si>
  <si>
    <t>SUPPLY AND DELIVERY OF HARDWARE MATERIALS FOR BANGUS PRODUCTION</t>
  </si>
  <si>
    <t>Procurement of Furniture</t>
  </si>
  <si>
    <t>Supply &amp; Delivery of MARKET ITEMS for Frontliners, Health Workers and Quarantined Persons</t>
  </si>
  <si>
    <t>20FL0089-Construction of 2STY8CL, Gubat North CS, Gubat, Sorsogon, Gubat, Sorsogon</t>
  </si>
  <si>
    <t>Improvement of Fence  -  Subadi Norte</t>
  </si>
  <si>
    <t>CONSTRUCTION OF LINE CANAL, SO. PULANG LUPA, BARANGAY POBLACION, BURDEOS, QUEZON</t>
  </si>
  <si>
    <t>CONCRETING OF TAPON NORTE - BASAK ROAD</t>
  </si>
  <si>
    <t>Construction of Perimeter Fence of Manloy Elem. School in Capoocan, Leyte, ABC PHP1,211,100.32</t>
  </si>
  <si>
    <t>Construction of Box Culvert - Brgy Danicop</t>
  </si>
  <si>
    <t>Renovation of Slope Protection - Mapanit</t>
  </si>
  <si>
    <t>Construction of Multi-Purpose Bldg. in Brgy. Sto. Rosario, Isabel, Leyte, ABC PHP1,374,028.70</t>
  </si>
  <si>
    <t>Procurement of Civil Works for the Renovation of Multi-Purpose Building</t>
  </si>
  <si>
    <t>PROCUREMENT OF MOTOR VEHICLE</t>
  </si>
  <si>
    <t>Rehabilitation of Drainage System</t>
  </si>
  <si>
    <t>Contract Labor and Materials for the Construction of Drainage &amp; Improvement of Basketball Court of BLGU Sisimon, Laak, Davao De Oro</t>
  </si>
  <si>
    <t>CONSTRUCTION OF SLOPE PROTECTION (STA. CATALINA NATIONAL HIGH SCHOOL), Barangay Sta. Catalina Lopez, Quezon</t>
  </si>
  <si>
    <t>NBC-0520-145</t>
  </si>
  <si>
    <t>PR 1-20-07-0869, FOR USE OF OFFICE OF THE BUILDING OFFICIAL, CITY ENGINEERING DEPARTMENT.</t>
  </si>
  <si>
    <t>Construction of Drainage Canal - Subadi Norte</t>
  </si>
  <si>
    <t>Construction of 2 units One-Storey Three Classroom School Building w/ Toilet Attached at Each Classroom at Laos Es, Guihulngan, Negros Oriental</t>
  </si>
  <si>
    <t>Concreting of  Circumferential Road (BLISS), EPO</t>
  </si>
  <si>
    <t>Construction of Perimeter Fence of Camansi Elem. School in Carigara, Leyte. ABC PHP1,003,356.32</t>
  </si>
  <si>
    <t>Improvement of Barangay Roads - Subadi Norte</t>
  </si>
  <si>
    <t>PR 1-20-07-0824, FOR USE OF VARIOUS EQUIPMENT ASSIGNED AT CED, THIS CITY.</t>
  </si>
  <si>
    <t>Expansion &amp; Improvement of Multi-Purpose Bldg. Brgy. Poblacion Dist. II, Babatngon, Leyte, ABC PHP1,029,031.90</t>
  </si>
  <si>
    <t>RFQ for the Supply and Delivery of Electric Ultra Low Volume (ULV) Sprayer</t>
  </si>
  <si>
    <t>Supply and Delivery of Face Mask with Full Sublimation and Embroidered Logo</t>
  </si>
  <si>
    <t>BLGU-AL-ALANGILAN-01-2020 CONSTRUCTION OF MULTI-PURPOSE BUILDING, PHASE-1 BRGY. ALANGILAN ABUYOG, LEYTE</t>
  </si>
  <si>
    <t>Supply &amp; Delivery of Office Supplies - Rebid</t>
  </si>
  <si>
    <t>BARANGAY ENHANCEMENT PROGRAM - BENHUR ACTION TEAM (3RD QUARTER)</t>
  </si>
  <si>
    <t>NBC-0520-146</t>
  </si>
  <si>
    <t>Invitation to Bid for the Project "Completion of Basco Rural Health Unit, Rehabilitation/Repair/Improvement of BHS Building-Barangay San Joaquin (Valugan) and Chanarian</t>
  </si>
  <si>
    <t>PR 1-20-08-0964, FOR THE USE OF CPDCO, THIS CITY.</t>
  </si>
  <si>
    <t>Supply &amp; Delivery of Various Mechanical Parts for Pandami DPP (S3-PDM20-022 (Re-bid)</t>
  </si>
  <si>
    <t>PR 1-20-07-0910, FOR USE IN TECHNICAL AND MARKET SUPPORT FOR INTEGRATED FARMING SYSTEM, CITY AGRICULTURE OFFICE, THIS CITY.</t>
  </si>
  <si>
    <t>PR 1-20-07-0893, FOR USE OF THE CITY MAYOR’S OFFICE, THIS CITY.</t>
  </si>
  <si>
    <t>Delivery of Various Medical, Dental &amp; Laboratory Supplies and Veterinary Supplies for 1st Semester 2020-Consolidated (NP/PB 20-0953)</t>
  </si>
  <si>
    <t>PR 1-20-07-0892, FOR USE IN FREE RANGE CHICKEN UPGRADING AND MULTIPLIER FARM PROGRAM, CITY AGRICULTURE OFFICE, THIS CITY.</t>
  </si>
  <si>
    <t>INVITATION TO BID FOR SECURITY SERVICES (RE-BID)</t>
  </si>
  <si>
    <t>PR 1-20-07-0956, FOR USE OF MAINTENANCE OF CITY AUDITORIUM, THIS CITY.</t>
  </si>
  <si>
    <t>PROCUREMENT OF INFORMATION AND COMMUNICATION TECHNOLOGY EQUIPMENT</t>
  </si>
  <si>
    <t>PR 1-20-07-0924, TO BE INSTALLED AT COASTAL RESOURCE MGT. OFFICE.</t>
  </si>
  <si>
    <t>PR 1-20-07-0887, FOR USE IN RICE PRODUCTION PROGRAM, CITY AGRICULTURE OFFICE, THIS CITY.</t>
  </si>
  <si>
    <t>REHABILITATION/IMPROVEMENT OF LOCAL ACCESS ROAD @ BRGY. POBLACION, CALINTAAN OCCIDENTAL MINDORO</t>
  </si>
  <si>
    <t>NBC-0520-162</t>
  </si>
  <si>
    <t>PROCUREMENT OF IT EQUIPMENT,FURNITURES AND FIXTURES FOR SANGGUNIANG BAYAN OFFICE</t>
  </si>
  <si>
    <t>PR 1-20-07-0871, FOR REPLACEMENT, REPAIR AND MAINTENANCE OF BANTAY DAGAT PUMPBOAT 103.</t>
  </si>
  <si>
    <t>Supply &amp; Delivery of Information Technology (I.T.) Supplies - Rebid</t>
  </si>
  <si>
    <t>Supply and Delivery of Rice for Kabuhayan Individual Starter/ Enhancement Kits.</t>
  </si>
  <si>
    <t>PURCHASE OF FARM TRACTORS/MACHINERIES</t>
  </si>
  <si>
    <t>Construction of Bleacher and Modular Stage in Brgy. Libertad, Palo, Leyte, ABC PHP1,089,415.24</t>
  </si>
  <si>
    <t>Improvement of Day Care Center - Subadi Norte</t>
  </si>
  <si>
    <t>PURCHASE of SUPPLIES FOR SOLAR REPAIR</t>
  </si>
  <si>
    <t>Supply of various office supplies_PR 11480</t>
  </si>
  <si>
    <t>Purchase of Brand New Spareparts for Motor Grader - LGU, Maasin, Iloilo</t>
  </si>
  <si>
    <t>REBIDDING OF CONSTRUCTION/IMPROVEMENT OF LEVEL II WATER SUPPLY SYSTEM-Barangay Villa Espina Lopez, Quezon</t>
  </si>
  <si>
    <t>Purchase of Furnitures And Fixtures _2nd Posting</t>
  </si>
  <si>
    <t>Supply and Delivery of Automated Banknote Processing Machine</t>
  </si>
  <si>
    <t>Procurement of Health and Dental  Supplies for the Learners of City of Naga, Cebu Division.</t>
  </si>
  <si>
    <t>PR No. : 2020-08-044 SUPPLY AND DELIVERY OF CONSTRUCTION EQUIPMENT</t>
  </si>
  <si>
    <t>PR 1-20-08-0976, FOR USE IN HIGH VALUE COMMERCIAL CROPS - FRUITS PRODUCTION AND OTHER VARIOUS CROPS, CITY AGRICULTURE OFFICE, THIS CITY.</t>
  </si>
  <si>
    <t>Re-bidding for the Procurement of Firefighter's Helmets</t>
  </si>
  <si>
    <t>Procurement of Office Supplies for SK Office</t>
  </si>
  <si>
    <t>Procurement of Hardware and Construction Supplies under P.R Nos. 2677-2020(Office of the City Economic Enterprise-Public Market Operation), etc.-1Lot</t>
  </si>
  <si>
    <t>Purchase of One (1) Unit Slightly Used Patrol Boat (Body Only) for the Municipality of Basay</t>
  </si>
  <si>
    <t>Procurement of Information and Communication Technology Equipment for SK Office</t>
  </si>
  <si>
    <t>Improvement of Evacuation Center &amp; Facilities(Concreting of Driveway)</t>
  </si>
  <si>
    <t>Supply and Delivery of Construction Materials for the Rehabilitation of Lined Canal at Barangay Bulaon, City of San Fernando, Pampanga</t>
  </si>
  <si>
    <t>PROCUREMENT OF CONST'N MATERIALS FOR SERVICE ROAD SAPALAN RIP CY 2019</t>
  </si>
  <si>
    <t>INVITATION TO BID FOR THE PROCUREMENT OF BOTTLE CRUSHER</t>
  </si>
  <si>
    <t>Procurement of Other Property and Equipment for SK Office</t>
  </si>
  <si>
    <t>PR 1-20-08-0967, FOR USE OF KANLAON GREEN BRIGADE (KGB) AND BANTAYBUKID BRIGADE (BBB), CITY ENVIRONMENT MANAGEMENT OFFICE.</t>
  </si>
  <si>
    <t>PR 1-20-08-0973, FOR REPLACEMENT OF ONE (1) COLOR PRINTER AND ONE (1) DOT PRINTER IN THE CITY LEGAL OFFICE.</t>
  </si>
  <si>
    <t>Improvement of Multi Purpose Bldg</t>
  </si>
  <si>
    <t>PR 1-20-08-0972, FOR USE OF THE OFFICE OF THE CITY ACCOUNTANT, THIS CITY.</t>
  </si>
  <si>
    <t>Procurement of General Merchandise under P.R Nos. 2375-2020 and 2379-2020- City Social Development Office-1Lot</t>
  </si>
  <si>
    <t>Construction of Farmer's Multi-purpose Building 3</t>
  </si>
  <si>
    <t>IMPROVEMENT OF MULTI-PURPOSE BUILDING (ABC)</t>
  </si>
  <si>
    <t xml:space="preserve">Procurement of Portable Gasoline Generator Equipment for Clearing/Demolition of Illegal Structures that Encroached the road right-of-way, foreshore easement and the wetlands of Boracay Island, Malay, </t>
  </si>
  <si>
    <t>Construction of Covered Court Flooring (Phase II)</t>
  </si>
  <si>
    <t>MG-TSE20-032..REHAB/REPAIR OF VARIOUS DEFECTIVE LOW/MEDIUM/HIGH VOLTAGE EQUIPMENT</t>
  </si>
  <si>
    <t>Quotation No. 20-07-0428- Office Supplies</t>
  </si>
  <si>
    <t>Multi-Purpose Drying Pavement (Materials only) - Luna</t>
  </si>
  <si>
    <t>Quotation No. 20-07-0427- Janitorial Supplies</t>
  </si>
  <si>
    <t>REHABILITATION/IMPROVEMENT OF LOCAL ACCESS ROAD @ BRGY. NEW DAGUPAN, CALINTAAN, OCCIDENTAL MINDORO</t>
  </si>
  <si>
    <t>PURCHASE OF (1) UNIT MOTORCYCLE WITH FABRICATED SIDE CAR - CANTUOD, BALAMBAN, CEBU</t>
  </si>
  <si>
    <t>PR 1-20-08-0966, FOR USE OF FABRICATION OF 3 UNITS OFFICE TABLE FOR PROCUREMENT DEPARTMENT AND 10 LOCKER CABINETS FOR DOCTORS.</t>
  </si>
  <si>
    <t>Purchase of Environmental Health and Safety Equipment</t>
  </si>
  <si>
    <t>PRE-BID CONFERENCE 25/Aug/2020 - Procurement of Goods: Const'n Materials &amp; Supplies for the use of CEO-Electrical(Electrification, Power &amp; Energy Structure 2020 at Tagum City Area) (PR#100-20-08-0126)</t>
  </si>
  <si>
    <t>RFQ for the Supply and Delivery of Regular Office Supplies (Continuous Forms)</t>
  </si>
  <si>
    <t>CID NO. 20IF0143 - Construction of Access Road, National Highway Leading to Merida Municipal Hall, Merida, Leyte</t>
  </si>
  <si>
    <t>Purchase of Vehicle Parts and Accessories For City Accountant't Office. Under P.R. No. 30-20-07-087</t>
  </si>
  <si>
    <t>PR 4-20-07-0948, FOR USE OF THE MEDINA WATER TREATMENT PLANT, THIS CITY.</t>
  </si>
  <si>
    <t>Improvement of Barangay Health Center, Phase I, Brgy. Proper, Kinatarkan, Santa Fe, Cebu - Municipal</t>
  </si>
  <si>
    <t>PRE-BID CONFERENCE 25/Aug/2020 - Procurement of Goods: Const'n Materials &amp; Supplies for the use of CMO-Concreting of Alley-GAD(City Historical &amp; Cultural Center-Sidewalk Enhance't) (PR#100-20-08-0125)</t>
  </si>
  <si>
    <t>CONTRUCTION/IMPROVEMENT OF MULTI-PURPOSE HALL (Phase II)</t>
  </si>
  <si>
    <t>Stone Masonry - Poblacion Sur</t>
  </si>
  <si>
    <t>Regular Bidding 25/Aug/2020 - Procurement of Goods: Const'n Materials &amp; Supplies for the use of DEPED(Const'n of School Gate at Busaon Integrated School) (PR#200-20-08-0121)</t>
  </si>
  <si>
    <t>POWDERED MILK AND PACKAGING MATERIALS</t>
  </si>
  <si>
    <t>INVITATION TO BID FOR THE PROCUREMENT OF MATERIALS FOR BASCO WATERWORKS SYSTEM</t>
  </si>
  <si>
    <t>Procurement of one (1) unit Digital Duplicator (RISO) for lthe printing of Course Instructional Modules Course Instructional Programs and test papers</t>
  </si>
  <si>
    <t>Procurement of Services under P.R Nos. 2908-2020 (City Internal Audit Service), etc.-1Lot.</t>
  </si>
  <si>
    <t>COMPONENT 3 – ARBOLD MOVE PROJECT LIVELIHOOD SUPPORT FOR WOMEN IN CRISIS SITUATION</t>
  </si>
  <si>
    <t>Supply &amp; Delivery of AVR &amp; Breaker for Languyan DPP (S3-LGY20-019)</t>
  </si>
  <si>
    <t>Job Order: Polo Shirt Traffic Uniform with Embroidered Traffic Logos for to be use in Traffic Management Office Uniform of Personnel./Traffic Management Office</t>
  </si>
  <si>
    <t>PR 1-20-06-0760, FOR USE IN THE OFFICE OF THE CITY TREASURER, THIS CITY.</t>
  </si>
  <si>
    <t>SUPPLY &amp; DELIVERY 10 ROLLS HDPE PIPE SDR11 1"Ø X 60M AND OTHER ITEMS FOR USE IN THE IMPROVEMENT OF VILLAFLOR ELEMENTARY SCHOOL WATER SYSTEM @ VILLAFLOR, OROQUIETA CITY.</t>
  </si>
  <si>
    <t>MG-CEN20-001..SUPPLY AND DELIVERY OF DRILL, RADIAL 2500MM ARM</t>
  </si>
  <si>
    <t>CID NO. 20IF0144 - Road Conreting of Brgy. Mahayag to Brgy. Anislag, Isabel, Leyte</t>
  </si>
  <si>
    <t>Quotation No. 20-07-0431- Office Supplies</t>
  </si>
  <si>
    <t>Construction of Bulwangan Multi-Purpose Center Phase1</t>
  </si>
  <si>
    <t>Quotation No. 20-07-0429- Office Supplies</t>
  </si>
  <si>
    <t>One (1) Job Contract for the Road Rehabilitation (Concreting-Sitio Bubon Section) Phase II, Brgy. Arac, Passi City, Iloilo/CEO</t>
  </si>
  <si>
    <t>Installation of Street Light along Imelda and Real Streets, (Brgy. 1, 2 &amp; 3) LGU-Rosario, Northern Samar</t>
  </si>
  <si>
    <t>Quotation No. 20-07-0434- Ink refill for brother printer DCP-T710W</t>
  </si>
  <si>
    <t>(20-0232) FOR THE REPLACEMENT OF VARIOUS TOILET FIXTURES AND ACCESSORIES</t>
  </si>
  <si>
    <t>INVITATION TO BID FOR THE PROCUREMENT OF MATERIALS FOR THE IMPROVEMENT OF FACILITIES AT MARINE SANCTUARY</t>
  </si>
  <si>
    <t>Quotation No. 20-07-0430- Office Supplies</t>
  </si>
  <si>
    <t>360	bags	Portland Cement, 40 kg./bag, etc. PR # 631-20</t>
  </si>
  <si>
    <t>Supply and Delivery of Various Sizes of Steel Gates with Attachments and Accessories</t>
  </si>
  <si>
    <t>Supply and Delivery of Computers, LGU-Rosario, Northern Samar</t>
  </si>
  <si>
    <t>PR 1-20-08-1004, FOR USE IN THE OFFICE OF THE CITY TREASURER, THIS CITY.</t>
  </si>
  <si>
    <t>Supply of Drugs and Medicines for RHU 1 C.Y. 2020</t>
  </si>
  <si>
    <t>Construction of Niches (Public Cemetery)</t>
  </si>
  <si>
    <t>BARANGAY ENHANCEMENT PROGRAM - ARTS, CULTURE AND TOURISM (3RD QUARTER)</t>
  </si>
  <si>
    <t>PURCHASE OF DISASTER RISK REDUCTION AND MANAGEMENT RELATED EQUIPMENT</t>
  </si>
  <si>
    <t>ITB NO. SV20-08-005ANG PROCUREMENT OF SERVICE PROVIDER FOR THE REPAIRS AND MAINTENANCE OF VARIOUS MOTOR VEHICLES</t>
  </si>
  <si>
    <t>Improvement of Multi-Purpose Pavement,Brgy. Punong,Alimodian Iloilo</t>
  </si>
  <si>
    <t>purchase of school supplies for 11 schools of SN District</t>
  </si>
  <si>
    <t>Improvement of Stage,Brgy. Cagay, Alimodian Iloilo</t>
  </si>
  <si>
    <t>Zero Waste Mng't. Supplies and Materials</t>
  </si>
  <si>
    <t>Supply and Delivery of Bungulan Suckers for Organic Bungulan Production at Barangay Buhay</t>
  </si>
  <si>
    <t>Quotation No. 20-07-0433- Office Supplies</t>
  </si>
  <si>
    <t>Construction of Concrete Bridge at Simpa</t>
  </si>
  <si>
    <t>Quotation No. 20-07-0432- Office Supplies</t>
  </si>
  <si>
    <t>Quotation No. 20-07-0435- Desludging/siphoning of septic tanks at DOH ZPCHD</t>
  </si>
  <si>
    <t>Rebidding: of 40 sets LED circline 26 watts for Continuance construction of the 3rd and 4th floors of the City Treasurer”s Office (For City Accounting and other offices) at Barangay 4.</t>
  </si>
  <si>
    <t>Improvement of Multi-Purpose Facilities(Construction of Comfort Room)</t>
  </si>
  <si>
    <t>Invitation to Bid for the  CONSTRUCTION/IMPROVEMENT OF PUROK 7, BAGAHABAG FTMR PHASE  Located at Brgy. Bagahabag, Solano, Nueva Vizcaya</t>
  </si>
  <si>
    <t>Procurement of Materials for the Project "Improvement of Waterworks System"_2nd Posting</t>
  </si>
  <si>
    <t>Upgrading for the Repair &amp; Maintenance of Street Lights</t>
  </si>
  <si>
    <t>INVITATION TO BID FOR THE PROCUREMENT OF FOOD ITEMS 2020</t>
  </si>
  <si>
    <t>PROCUREMENT OF FERTILIZERS AND FEEDS</t>
  </si>
  <si>
    <t>Materials for the Construction of Solar Street Light, Brgy. Sablogon, Passi City, Iloilo/Brgy. Sablogon</t>
  </si>
  <si>
    <t>PR 9-20-08-0961, FOR THE USE OF SAN CARLOS CITY HOSPITAL, THIS CITY.</t>
  </si>
  <si>
    <t>MG-A5M20-090..SUPPLY/INST. &amp; COMMISSIONING OF ADDITIONAL CONVEYOR AT THE COMPACTING SYSTEM</t>
  </si>
  <si>
    <t>CCTV Repair and Maintenance</t>
  </si>
  <si>
    <t>Invitation to Bid for Take-Over of Contract for the Construction of Advanced Science and Technology Building (ASTB) Phase 1 of PSHS Central Luzon Campus Lily Hill, Clark Freeport Zone, Pampanga (Rebid</t>
  </si>
  <si>
    <t>BARANGAY ENHANCEMENT PROGRAM - PEACE AND ORDER COMMITTEE (3RD QUARTER)</t>
  </si>
  <si>
    <t>Procurement of Rescue Supplies for the use of in conduct of Search, Rescue and Recovery Operations of Provincial Disaster Risk Reduction and Management Office, Kalibo, Aklan- Re Bidding /ITB no: 2020-</t>
  </si>
  <si>
    <t>Construction/Rehabilitation of RHU Building, LGU_Rosario, Northern Samar</t>
  </si>
  <si>
    <t>Procurement of Surveillance Equipment for Mayor’s Office</t>
  </si>
  <si>
    <t>Supply of Drugs and Medicines for RHU 2 C.Y. 2020</t>
  </si>
  <si>
    <t>PROCUREMENT OF COMPUTERS, PRINTERS AND FILING CABINETS FOR OFFICE USE - 1ST POSTING</t>
  </si>
  <si>
    <t>REOI Solicitation No. SIC-009-008-2020 Hiring on Consultancy Services</t>
  </si>
  <si>
    <t>Supply of Materials for the Construction of Multi-Purpose Covered Court (P-2) at Sucad Highschool, Sucad, Apalit, Pampanga</t>
  </si>
  <si>
    <t>Proposed Rehabilitation of Covered Court Langgam Elementary School, Brgy. Langgam</t>
  </si>
  <si>
    <t>Purchase of Other Supplies and Other Materials_Bgy. Basiao</t>
  </si>
  <si>
    <t>PR 18-20-07-0930, FOR USE OF THE CWD IN THE INSTALLATION OF ENCLOSURES OF SELECTED STUBOUTS IN THE CITY.</t>
  </si>
  <si>
    <t>Procurement of Various Information Technology parts &amp; Accessories &amp; Perip-08-474(A)PGO</t>
  </si>
  <si>
    <t>INVITATION TO BID FOR THE PROCUREMENT OF FULL FABRIC PARTITION AND SLIDING WINDOW FOR THE REPAIR OF MUNICIPAL BUILDING – TREASURY OFFICE, ACCOUNTING OFFICE AND BUDGET OFFICE</t>
  </si>
  <si>
    <t>RFQ 2020-07-0310 OFFICE EQUIPMENT FOR ADMIN SERVICE USE</t>
  </si>
  <si>
    <t>PW-2020-11</t>
  </si>
  <si>
    <t>Codification of Ordinances and Resolutions of the Sangguniang Bayan of Pila, Laguna</t>
  </si>
  <si>
    <t>Procurement of Vehicle Repair and Maintenance under P.R Nos. 1690-2020 (Office of the City Administrator), etc. -1Lot.</t>
  </si>
  <si>
    <t>Construction of New Public Market (Dry Goods Section Building 02), Burgos St., Brgy. Tablang, Paniqui, Tarlac</t>
  </si>
  <si>
    <t>20G0108</t>
  </si>
  <si>
    <t>Purchase of Electrical Supplies and Materials_Bgy. Janay-janay</t>
  </si>
  <si>
    <t>Supply &amp; Delivery of Planting Materials</t>
  </si>
  <si>
    <t>PURCHASE OF HYGIENE AND SANITARY SUPPLIES</t>
  </si>
  <si>
    <t>Proposed Renovation of Day Care  Brgy. Estrella</t>
  </si>
  <si>
    <t>CONSTRUCTION OF SOLAR LIGHTS</t>
  </si>
  <si>
    <t>Procurement of Concreting of Local Access Road to Lower Salug Daku</t>
  </si>
  <si>
    <t>Supply and Delivery of Risograph Machine for DepEd I and II</t>
  </si>
  <si>
    <t>Rebidding: 300 pcs CHB 4” for continuance improvement of Scandinavian Multi-purpose building (Sports Facility and Evacuation Center) Phase 2 at Barangay Candau-ay.</t>
  </si>
  <si>
    <t>Procurement of 120 Unit Plastic Drum with Faucet, 200L Capacity, etc. under P.R No. 3073-2020 - Office of the City Agriculturist.</t>
  </si>
  <si>
    <t>For Municipal Water System</t>
  </si>
  <si>
    <t>Concreting of Roads to Resettlement Site of Barangay Buhay</t>
  </si>
  <si>
    <t>Purchase of Tables &amp; Chairs_Brgy. Janay-Janay</t>
  </si>
  <si>
    <t>BARANGAY ENHANCEMENT PROGRAM - SPECIAL ACTION GROUP (3RD QUARTER)</t>
  </si>
  <si>
    <t>Continuation for the Construction of Evacuation Center at Brgy. Poblacion, Urdaneta City</t>
  </si>
  <si>
    <t>ITB - PROCUREMENT OF CONSTRUCTION MATERIALS AND SUPPLIES FOR BARANGAY ROAD CONCRETING 2 - (agbanga)</t>
  </si>
  <si>
    <t>Concreting of Roads to Resettlement Site of Barangay Luayon</t>
  </si>
  <si>
    <t>Road Rehabilitation</t>
  </si>
  <si>
    <t>RFQ 2020-08-0386 LAPTOP FOR PHYSICAL FACILITIES &amp; ENGINEERING OFFICE USE</t>
  </si>
  <si>
    <t>HALAL-20-2849: Procurement of Office Supplies to be used in the Implementation of Halal Food Industry Development Program in Region VII</t>
  </si>
  <si>
    <t>IB NO. 2020-09-09 (11) Cat I, Drugs and Meds</t>
  </si>
  <si>
    <t>Construction of Drainage (Portion), Roxas Street, Brgy. Poblacion, Libacao, Aklan</t>
  </si>
  <si>
    <t>CW-Construction of MRF</t>
  </si>
  <si>
    <t>LOCAL ROAD IMPROVEMENT/REHABILITATION OF STO. ROSARIO-SUYO (BOUNDARY) ROAD</t>
  </si>
  <si>
    <t>INVITATION TO BID FOR THE PROCUREMENT OF ONE (1) UNIT BRAND NEW RISOGRAPH MACHINE</t>
  </si>
  <si>
    <t>SUPPLY AND DELIVERY OF POULTRY SUPPLIES</t>
  </si>
  <si>
    <t>Procurement of General Merchandise under P.R Nos. 3075-2020 and 3079-2020- Office of the City Agriculturist-1Lot.</t>
  </si>
  <si>
    <t>Rebidding: 32 pcs Ceramics Wall Tiles 12” x 12”, and other items for improvement of Ramon T. Pastor Memorial Day Care Center at Barangay Daro.</t>
  </si>
  <si>
    <t>One (1) lot Procurement of Toner for Brother Printer/Scanner at LANDBANK Field Legal Office Laguna - Los Banos, Laguna</t>
  </si>
  <si>
    <t>Procurement of Procurement of construction materials for the Construction of IP Housing (Materials)</t>
  </si>
  <si>
    <t>Improvement of Evacuation Center</t>
  </si>
  <si>
    <t>Construction of Spillway @ Brgy. Poblacion (Butunan ), Burdeos, Quezon</t>
  </si>
  <si>
    <t>Purchase of Supplies for School Modules</t>
  </si>
  <si>
    <t>Purchase and Delivery of Supply for Water Treatment Compound of Municipal Water System</t>
  </si>
  <si>
    <t>Construction of covered court (Phase III)</t>
  </si>
  <si>
    <t>FABRICATION/INSTALLATION OF SOLAR LAMP STREET LIGHTINGS</t>
  </si>
  <si>
    <t>Procurement of Vehicle Parts</t>
  </si>
  <si>
    <t>MAINTENANCE OF LOCAL ROADS &amp; BRIDGES</t>
  </si>
  <si>
    <t>RFQ-20-06-1479 - ITALIAN INSPIRED FORMAL SOFA SET</t>
  </si>
  <si>
    <t>CONSTRUCTION OF MULTI-PURPOSE CENTER(Liberato ES, Liberato, Lua-an, Antique)/IB. NO. K-2020-095(SC)</t>
  </si>
  <si>
    <t>COMPLETION OF MULTI-PURPOSE CENTER WITH STAGE (San Vicente, Culasi, Antique)/IB. NO. K-2020-096(SC)</t>
  </si>
  <si>
    <t>RFQ-20-02-0520 - JANITORIAL SUPPLIES FOR PYSPESO</t>
  </si>
  <si>
    <t>CW-Construction of MPB (Phase II)</t>
  </si>
  <si>
    <t>INSTALLATION OF BLEACHER</t>
  </si>
  <si>
    <t>Procurement of 2”, 3” and 4” uPVC Pressure Pipes C-100 of the General Tinio Water District</t>
  </si>
  <si>
    <t>Procurement of 700 Vial Rabies Vaccine (10 Dose/Vial), etc. under P.R No. 3015-2020 - Office of the City Veterinarian.</t>
  </si>
  <si>
    <t>CONSTRUCTION OF COMMUNAL IRRIGATION &amp; WATER IMPOUNDING FACILITY</t>
  </si>
  <si>
    <t>Materials for the Learning Resources for Basic  Education-Learning Continuity Plan( BE-LCP) CAPSLET Production/Self -Learning Modules (SLM) in this division</t>
  </si>
  <si>
    <t>Purchase and delivery of One (1) unit Brand New Fully Automated Monochrome Digital Copier</t>
  </si>
  <si>
    <t>Concreting of Loop Road at Concepcion</t>
  </si>
  <si>
    <t>ITB NO. PRO IX 2020-004 (OFFICE EQUIPMENT-REBIDDING)</t>
  </si>
  <si>
    <t>Procurement of Construction of IP Housing (Labor)</t>
  </si>
  <si>
    <t>Purchase of Digital Duplicator ( Rizzo Copier )</t>
  </si>
  <si>
    <t>Procurement of Improvement/ Rehab of Mahayag Municipal Hospital</t>
  </si>
  <si>
    <t>Purchase of Steel Cabinet _Bgy. Janay-Janay</t>
  </si>
  <si>
    <t>Majada In IS -JHS- Canvass 2020 - Module Reproduction - August</t>
  </si>
  <si>
    <t>Construction of Temporary Learning Shelters MIST Campus, Barangay Concepcion, Makilala, Cotabato</t>
  </si>
  <si>
    <t>Construction of Irrigation System at Kabacab</t>
  </si>
  <si>
    <t>Concreting of Badengna-Lus-oc Road</t>
  </si>
  <si>
    <t>RFQ-20-02-0418 - FOODS, LIGHTS AND SOUNDS RENTALS WITH PHYSICAL DISTANCING FOR THE VGO EVENT</t>
  </si>
  <si>
    <t>Procurement of Insecticides and Peanut Seeds</t>
  </si>
  <si>
    <t>Procurement of Handheld Radio and accessories</t>
  </si>
  <si>
    <t>CONSTRUCTION OF CENTRO WESTE-TABOC HANGING BRIDGE WITH BANK PROTECTION (Brgy. Centro Weste, Libertad, Antique)/IB. NO. K-2020-093(SC)</t>
  </si>
  <si>
    <t>PROCUREMENT OF I.T. AND EQUIPMENT FOR VARIOUS OFFICES 2020</t>
  </si>
  <si>
    <t>BARANGAY ENHANCEMENT PROGRAM - BARANGAY HALL (3RD QUARTER)</t>
  </si>
  <si>
    <t>REPAIR/IMPROVEMENT OF MINIGYM(CANOPY &amp; GUTTER)</t>
  </si>
  <si>
    <t>SUPPLY &amp; DELIVERY 1000 PCS. MASK (KN95) FOR ISOLATION/QUARANTINE FACILITY USED AND RAPID TESTING.</t>
  </si>
  <si>
    <t>CONCRETING OF PROVINCIAL ROAD(Brgy. Mojon, Belison, Antique)/IB. NO. K-2020-098(SC)</t>
  </si>
  <si>
    <t>IMPROVEMENT OF BRGY. HALL</t>
  </si>
  <si>
    <t>Purchase and Delivery of materials for maintenance and extension of water line of municipal water system</t>
  </si>
  <si>
    <t>REHABILITATION OF EBJ-UDP Manpower Development   Center (Formerly EBJ-UDP Training Center)(Binirayan Hills, San Jose, Antique)/IB. NO. K-2020-097(SC)</t>
  </si>
  <si>
    <t>REHABILITATION OF ROAD (2 PORTIONS)</t>
  </si>
  <si>
    <t>Procurement of Construction of Installation of Fuel Tank</t>
  </si>
  <si>
    <t>Construction of Material Recovery Facility</t>
  </si>
  <si>
    <t>CW-Rehabilitation of New Mun. Hall-Libertad</t>
  </si>
  <si>
    <t>CONCRETING OF NHW JCT. MALBANG-BNDRY. T’BOLI PROVINCIAL ROAD PHASE II Maasim, Sarangani Province</t>
  </si>
  <si>
    <t>AIR PURIFYING SYSTEM/SVP No. C-2020-08-005</t>
  </si>
  <si>
    <t>SUPPLY AND INSTALLATION OF WATER SYSTEM</t>
  </si>
  <si>
    <t>Supply and Delivery of One (1) Set Digital Hog Scale</t>
  </si>
  <si>
    <t>Supply and Delivery of Materials for DT#2 8PD and for the Maintenance of Other Municipal Equipment</t>
  </si>
  <si>
    <t>CONCRETING OF NHW JCT. TAMADANG-FALEL  PROVINCIAL ROAD Kiamba, Sarangani Province</t>
  </si>
  <si>
    <t>IMPROVEMENT OF LED-AG NAMATINGAN ROAD</t>
  </si>
  <si>
    <t>FOLDKOTE PAPER #12/SVP No. N-2020-08-056</t>
  </si>
  <si>
    <t>CONSTRUCTION OF FUNCTION HALL PHASE-IV</t>
  </si>
  <si>
    <t>PROCUREMENT OF    Procurement of Ambulance 44    units    Ambulance (Type 1) (BAC 2020-E02 REBIDDING)</t>
  </si>
  <si>
    <t>CONSTRUCTION OF LOCAL ROAD</t>
  </si>
  <si>
    <t>PURCHASE OF ONE UNIT MULTIFUNCTION PRINTER</t>
  </si>
  <si>
    <t>Procurement of Rice</t>
  </si>
  <si>
    <t>1 LOT VARIOUS SPECIAL SUPPLIES</t>
  </si>
  <si>
    <t>Procurement of Eleven (11) Units of Rescue Vehicle</t>
  </si>
  <si>
    <t>RFQ-20-03-0671-1 - 1,764 PCS ID PRODUCTION - PVC, 4 COLORS</t>
  </si>
  <si>
    <t>RETROFITTING/STRENGTHENING OF 3 CONCRETE BRIDGES ALONG NHW JCT. CALABANIT-E. ALEGADO PROVINCIAL ROAD (CALABANIT SECTION) Glan, Sarangani Province</t>
  </si>
  <si>
    <t>Construction of RHPU7 Building</t>
  </si>
  <si>
    <t>CONSTRUCTION OF ONE(1) UNIT MESS HALL OF 10.00M X 10.00M</t>
  </si>
  <si>
    <t>PROCUREMENT OF SUPPLIES &amp; MATERIALS FOR DISASTER RESPONSE EFFORTS TO CONTAIN THE SPREAD OF COVID 19/ FOR PREVENTION AND RECOVERY ESP. FOR LSI’s AND RFO’S AT ISOLATION CENTER 1 AND 2.</t>
  </si>
  <si>
    <t>Invitation for Negotiated Procurement  SUPPLY AND DELIVERY OF TEXTBOOKS AND REFERENCES FOR CY 2020 FOR PSHS-CLC</t>
  </si>
  <si>
    <t>CONSTRUCTION OF REINFORCED CONCRETE BOX CULVERT</t>
  </si>
  <si>
    <t>37 cu.m Sand (std. specs) and other items for improvement and rehabilitation of various drainage canal with cover (Along Cervantes street and San Jose street) at Barangay Poblacion 7”./CEO</t>
  </si>
  <si>
    <t>Procurement of Construction of Sanitary Landfill Category 1 Phase 1</t>
  </si>
  <si>
    <t>Installation of Built-Up Letters For All LGU Owned Building</t>
  </si>
  <si>
    <t>Purchase of  Drugs and Medicines</t>
  </si>
  <si>
    <t>PR 221-20-07-0957, FOR USE OF REPAIR WORKS AT SIPAWAY NATIONAL HIGH SCHOOL BRGY ERMITA, SAN CARLOS CITY.</t>
  </si>
  <si>
    <t>2nd Posting: Purchase and Installation of CCTV System</t>
  </si>
  <si>
    <t>Purchase of face shields and production of laminated RPFP Info Boards to be distributed to the local population offices for continuous provision of Family Planning Services (By Line Item)</t>
  </si>
  <si>
    <t>Rehabilitation of Multi-purposed Building</t>
  </si>
  <si>
    <t>Purchase of Public Address System</t>
  </si>
  <si>
    <t>Concreting of Tubalina-Skyline Road(Phase I)</t>
  </si>
  <si>
    <t>REHABILITATION OF SITIO UPPER FOOTBRIDGE  POBLACION, ALABEL Alabel, Sarangani Province</t>
  </si>
  <si>
    <t>Procurement of Dental and Laboratory Supplies 2020</t>
  </si>
  <si>
    <t>Procurement of Civil Works for the Construction of Balite E/S Stage</t>
  </si>
  <si>
    <t>IB NO. 2020-09-09 (11) Cat II, Med/Lab Supplies and Reagents</t>
  </si>
  <si>
    <t>Supply and delivery of various commodities for the children beneficiaries of Supplementary Feeding Program of the Municipality of Nagbukel, Ilocos Sur</t>
  </si>
  <si>
    <t>Purchase of office partition system w/ table</t>
  </si>
  <si>
    <t>Procurement of of one (1) unit Heavy Duty Hydraulic Disc Harrow</t>
  </si>
  <si>
    <t>BARANGAY ENHANCEMENT PROGRAM - BARANGAY HALL (HARDWARE SUPPLIES)</t>
  </si>
  <si>
    <t>MATERIALS FOR THE USE OF  FABRICATION OF CONCRETE TETRAPOD STEEL FORM</t>
  </si>
  <si>
    <t>PROCUREMENT OF CONSTRUCTION MATERIALS FOR THE REHABILITATION OF MULTI-PURPOSE BUILDING.</t>
  </si>
  <si>
    <t>DESKTOP COMPUTER/SVP No. K-2020-08-010</t>
  </si>
  <si>
    <t>IMPROVEMENT OF SENIOR CITIZEN MULTI-PURPOSE BUILDING</t>
  </si>
  <si>
    <t>Cluster 04-2020 (1. Improvement of Doddo Ato, Talubin 2. Improvement of Gannas Pathway, Doddo Talubin 3. Improvement of Lamkakayen Pakkil Pathway)</t>
  </si>
  <si>
    <t>LBP Bunawan Branch Building Construction (Supply and Delivery of Construction Materials)</t>
  </si>
  <si>
    <t>Procurement of two (2) sets engine assembly, differential housing and transmission for motor vehicles</t>
  </si>
  <si>
    <t>Procurement of Tire (Big Yellow)</t>
  </si>
  <si>
    <t>Supply and Delivery of Laptops for Research and Development and Other Items</t>
  </si>
  <si>
    <t>Cluster 10-2020 (1. Additional Counterpart for the Construction of Favuyan/Finakkar Daycare Center 2. Rehabilitation of Foyayeng Pathway 3. Construction and Installation of  Wooden Cabinet and Stockro</t>
  </si>
  <si>
    <t>20GDE0002 Outsourcing of Security Guards at DPWH Batangas II District Engineering Office</t>
  </si>
  <si>
    <t>SUPPLY AND DELIVERY OF IT SUPPLIES &amp; EQUIPMENT AND OFFICE SUPPLIES FOR THE DIVISION OFFICE FOR 4TH QUARTER OF 2020 (LOT 2) (REBID)</t>
  </si>
  <si>
    <t>PROCUREMENT OF CONSTRUCTION MATERIALS FOR THE COMPLETION OF MULTI-PURPOSE BUILDING</t>
  </si>
  <si>
    <t>PURCHASE OF FILLING MATERIALS</t>
  </si>
  <si>
    <t>REPAIR OF 12 CHILD DEVELOPMENT CENTER</t>
  </si>
  <si>
    <t>SUPPLY AND DELIVERY OF CONSTRUCTION MATERIALS FOR MULTIPURPOSE BUILDING</t>
  </si>
  <si>
    <t>Construction of Legislative Annex Building</t>
  </si>
  <si>
    <t>PROCUREMENT OF PRINTING SERVICES FOR THE PUBLICATION OF PADANUM NEWSLETTER FOR THE 1ST SEMESTER, NATIONAL IRRIGATION ADMINISTRATION REGIONAL OFFICE 02, MINANTE 1, CAUAYAN CITY, ISABELA</t>
  </si>
  <si>
    <t>PROCUREMENT OF IT EQUIPMENT TO BE USED DURING DIGITAL SKWELA PROGRAM FOR THE SELECTED BARANGAY</t>
  </si>
  <si>
    <t>Upgrading of Local Access Road in Barangay Ipil Heights</t>
  </si>
  <si>
    <t>IMPROVEMENT OF WATER WORKS SYSTEM_BGY. NAIBA</t>
  </si>
  <si>
    <t>MATERIALS FOR THE ADDITIONAL FUND FOR THE CONSTRUCTION OF MULTI-PURPOSE BUILDING</t>
  </si>
  <si>
    <t>Invitation to Bid for the Supply, Delivery and Installation of Furnitures and Fixtures for Graduate School Building</t>
  </si>
  <si>
    <t>Purchase of Computers and Printers</t>
  </si>
  <si>
    <t>AIRCONDITIONER, WINDOW TYPE, INVERTER/SVP No. K-2020-08-009</t>
  </si>
  <si>
    <t>Improvement of Dingalan-Umiray Provincial Road, Dingalan, Aurora</t>
  </si>
  <si>
    <t>20GGJ0062 Supply and Delivery of IT Equipment and Computer Accessories for the use of Construction Section, DPWH - ICDEO</t>
  </si>
  <si>
    <t>Embankment of Boulevard Area - Brgy. 6, Dapa, Surigao del Norte</t>
  </si>
  <si>
    <t>Supply and delivery of various commodities for the children beneficiaries of Supplementary Feeding Program of the Municipality of Salcedo, Ilocos Sur</t>
  </si>
  <si>
    <t>Procurement of Drugs &amp; Medicines for the use of Dr. Rafael S. Tumbokon Memorial Hospital-EEDD, Kalibo, Aklan – Re Bidding/ITB no: 2020-501</t>
  </si>
  <si>
    <t>Procurement of Procurement of assorted vegetables seeds</t>
  </si>
  <si>
    <t>Improvement of Multi-Purpose Hall 2, Brgy. Bannawag, Maria Aurora, Aurora</t>
  </si>
  <si>
    <t>Purchase of  Office supplies for Titay District use</t>
  </si>
  <si>
    <t>CONSTRUCTION OF DRAINAGE SYSTEM WITH COVER</t>
  </si>
  <si>
    <t>Procurements of Information and Communication Technology Equipment and peripherals</t>
  </si>
  <si>
    <t>Procurement of eleven (11) units office table standards size</t>
  </si>
  <si>
    <t>For use in City Mayor's Office, Surigao City.</t>
  </si>
  <si>
    <t>UPGRADING OF TUGUEGARAO HALL (TRU OFFICE) BASEMENT CITY HALL BUILDING, CARIG SUR, TUGUEGARAO CITY</t>
  </si>
  <si>
    <t>Supply of Materials for the Completion of PWD Building - Phase 2</t>
  </si>
  <si>
    <t>Construction of Multi-Purpose Hall/Parking Space &amp; Fencing @ Brgy. Gueteb, Urbiztondo, Pangasinan</t>
  </si>
  <si>
    <t>PROCUREMENT OF CONSTRUCTION MATERIALS FOR THE REHABILITATION OF DRAINAGE SYSTEM</t>
  </si>
  <si>
    <t>Procurements of Office Supplies and Consumables</t>
  </si>
  <si>
    <t>For use in Enforcement of Traffic Laws &amp; Ordinances.</t>
  </si>
  <si>
    <t>Improvement of Streetlights at Poblacion, Nabua, Camarines Sur</t>
  </si>
  <si>
    <t>Procurement of Concrete Post Lamp for the Installation of Solar Street Light</t>
  </si>
  <si>
    <t>MOTORCYCLE VEHICLE/SVP No. A-2020-08-006</t>
  </si>
  <si>
    <t>PROCUREMENT OF HAND HELD RADIO (FOR POPSP/CONDUCT DRUG SYSPOSIUM)</t>
  </si>
  <si>
    <t>Construction of Street Lighting System</t>
  </si>
  <si>
    <t>Supply and Delivery of Office Supplies for Sangguniang Bayan</t>
  </si>
  <si>
    <t>PURCHASE OF CHICKEN BREEDER STOCKS, FEEDS AND BIOLOGICS</t>
  </si>
  <si>
    <t>CONSTRUCTION OF PROVINCIAL CAPITOL ENTRANCE WELCOME ARC AND CANOPY Alabel, Sarangani Province</t>
  </si>
  <si>
    <t>Procurements of 300 pcs Plastic Chairs</t>
  </si>
  <si>
    <t>Supply and Delivery of Electric Field Mill</t>
  </si>
  <si>
    <t>OFFICE SUPPLY</t>
  </si>
  <si>
    <t>PROPOSED CONSTRUCTION OF MULTI-PURPOSE BUILDING (PHASE 1) AT ST. GENEVIEVE VILLAGE, BARANGAY TAGPORO, GUIUAN, EASTERN SAMAR</t>
  </si>
  <si>
    <t>PROCUREMENT OF CONSTRUCTION MATERIALS FOR THE REHABILITATION OF MULTI-PURPOSE HALL</t>
  </si>
  <si>
    <t>IB NO. 2020-09-09 (11) Cat III, Medical Equip</t>
  </si>
  <si>
    <t>Municipal Electrification Program of Streetlights Poblacion, Nabua, Camarines Sur</t>
  </si>
  <si>
    <t>Emission Testing of Generator Set</t>
  </si>
  <si>
    <t>PROCUREMENT OF CONSTRUCTION MATERIALS FOR THE IMPROVEMENT OF MULTI-PURPOSE BUILDING.</t>
  </si>
  <si>
    <t>Procurements of Office Equipments</t>
  </si>
  <si>
    <t>IMPROVEMENT WORKS AT PLMUN (REHABILITATION OF WINDOWS &amp; INSTALLATION OF EXHAUST AT 5TH FLOOR PLMUN COLLEGE BUILDING, BRGY. POBLACION, MUNTINLUPA CITY</t>
  </si>
  <si>
    <t>ITB No. 20-082: One (1) Lot Supply and Delivery of Clinical Decision Support System  Internet - Based</t>
  </si>
  <si>
    <t>REHABILITATION &amp; IMPROVEMENT OF WATER SYSTEM</t>
  </si>
  <si>
    <t>Supply And Delivery Of Range Finder For SMO Of Legazpi Airport -3rd SVP</t>
  </si>
  <si>
    <t>PROCUREMENT OF ANIMAL / ZOOLOGICAL SUPPLIES</t>
  </si>
  <si>
    <t>LABOR COMPONENT FOR THE INSTALLATION OF FLOOR TILES AND STEEL GRATINGS AT SAGÑAY  PUBLIC MARKET</t>
  </si>
  <si>
    <t>Supply/ Delivery of Hardware &amp; Construction Materials for Construction of Multi-Purpose Building at Brgy. Pangyan, Trento, Agusan del Sur</t>
  </si>
  <si>
    <t>Construction of Multi Purpose Building, Barangay Taway, Ipil, ZSP.</t>
  </si>
  <si>
    <t>SUPPY AND DELIVERY OF LIVELIHOOD STARTER KIT</t>
  </si>
  <si>
    <t>Procurement of Medical, Dental Supplies and Laboratory Equipment for  City of Naga, Cebu -Division.</t>
  </si>
  <si>
    <t>Supply and Delivery of Office Supplies for Legislative Office</t>
  </si>
  <si>
    <t>Procurements of Motor Vehicles for PNP</t>
  </si>
  <si>
    <t>Supply and Delivery of Hybrid White Corn Seeds</t>
  </si>
  <si>
    <t>Supply and delivery of various commodities for the children beneficiaries of Supplementary Feeding Program of the Municipality of Banayoyo, Ilocos Sur</t>
  </si>
  <si>
    <t>SUPPLY &amp; DELIVERY OF RICE TO BE GIVEN TO VARIOUS CONSTITUENTS OF MUNTINLUPA</t>
  </si>
  <si>
    <t>PROCUREMENT OF FUEL AND LUBRICANTS (FOR LDRRMO EMERGENCY PURPOSES)</t>
  </si>
  <si>
    <t>PROCUREMENT OF CONSTRUCTION MATERIALS FOR THE REHABILITATION OF DRAINAGE CANAL</t>
  </si>
  <si>
    <t>Supply and Delivery of One (1) Unit Passenger Van</t>
  </si>
  <si>
    <t>SUPPLY AND DELIVERY OF SOLID WASTE MANAGEMENT EQUIPMENT FOR ORGANIC FERTILIZER PRODUCTION AS LIVELIHOOD PROGRAM</t>
  </si>
  <si>
    <t>PROCUREMENT FOR THE SUPPLY AND DELIVERY OF VEHICLE PARTS/ACCESSORIES FOR PREVENTIVE MAINTENANCE OF VARIOUS NISSAN NAVARA PICK UP ASSIGNED AT NIA RO2, MINANTE 1, CAUAYAN CITY, ISA.</t>
  </si>
  <si>
    <t>Glass Partitioning of Center for Flexible Learning, MMSU University Library, City of Batac, Ilocos Norte</t>
  </si>
  <si>
    <t>SUPPLY AND DELIVERY OF 11 PLATES 12 VOLTS BATTERY AT DUMAGUETE AIRPORT.</t>
  </si>
  <si>
    <t>Supply and delivery of various commodities for the children beneficiaries of Supplementary Feeding Program of the Municipality of Alilem, Ilocos Sur</t>
  </si>
  <si>
    <t>Installation/Repair of Drainage System - Barangay Poblacion</t>
  </si>
  <si>
    <t>Local Road Upgrading &amp; Rehabilitation Shoreline Protection</t>
  </si>
  <si>
    <t>Construction of Multi-Purpose Covered Court at IBT Area, Located in Brgy. Taway, Ipil, ZSP.</t>
  </si>
  <si>
    <t>Straight Contract for Construction of Waiting Shed at Purok 2, Crossing Libacao, Brgy. Libacao, Himamaylan City</t>
  </si>
  <si>
    <t>Consulting Services in the Formulation of the Tourism Development Plan (Master Plan) for the Province of Marinduque, PGO-Tourism, Boac, Marinduque</t>
  </si>
  <si>
    <t>PROCUREMENT FOR THE SUPPLY AND DELIVERY OF VEHICLE PARTS/ACCESSORIES FOR PREVENTIVE MAINTENANCE OF VARIOUS VEHICLES ASSIGNED AT NIA RO2, MINANTE 1, CAUAYAN CITY, ISABELA</t>
  </si>
  <si>
    <t>Construction of Canal at Interior B, Continuation of the Construction of Canal at Interior B</t>
  </si>
  <si>
    <t>Office.Supply.05</t>
  </si>
  <si>
    <t>CONSTRUCTION OF ECPC CHEMICAL STORAGE FACILITY, CAPITOL, ALABEL Alabel, Sarangani Province</t>
  </si>
  <si>
    <t>PROCUREMENT OF LAPTOP - VM OFFICE</t>
  </si>
  <si>
    <t>RFQ No. 2020-08-059 DATED 8/14/2020; PR NO. 2020-06-072 DATED 6/18/2020: PROCUREMENT OF ONE (1) JOB ORDER: LABOR AND MATERIALS, FOR THE REPAIR OF 5.0HP FLOOR MOUNTED INVERTER AIRCONDITIONING UNIT, FOR</t>
  </si>
  <si>
    <t>SUPPLY, DELIVERY AND INSTALLATION OF WASTE WATER TREATMENT PLANT</t>
  </si>
  <si>
    <t>IB NO. 2020-09-09 (11) CAT IV, Chemical/Chemical Products</t>
  </si>
  <si>
    <t>20DJ0108-Local Program, Local Infrastructure Program, Construction of Road, Brgy. Bulakin 1- Brgy. Sta. Lucia, Dolores, Quezon</t>
  </si>
  <si>
    <t>Procurements of Manhaul Vehicle</t>
  </si>
  <si>
    <t>INVITATION TO BID FOR THE “CONSTRUCTION OF STREETLIGHTS AT PUROK 5, BRGY. CASILI, GUBAT, SORSOGON”</t>
  </si>
  <si>
    <t>Supply and delivery of various commodities for the children beneficiaries of Supplementary Feeding Program of the Municipality of Bantay, Ilocos Sur</t>
  </si>
  <si>
    <t>Supply and Delivery of Computer Ink for different Municipal Offices</t>
  </si>
  <si>
    <t>DIETARY SUPPLEMENTATION FOR PREGNANT WOMEN</t>
  </si>
  <si>
    <t>ITB No. 20-079  ONE (1) LOT SUPPLY AND DELIVERY OF HIGH EFFICIENCY PARTICLE AIR (HEPA) FILTER MACHINE WITH COMPLETE SET OF REPLACEMENT FILTERS PER UNIT</t>
  </si>
  <si>
    <t>PURCHASE OF CCTV</t>
  </si>
  <si>
    <t>9	pcs.	Plastic Folding Table (10 seaters), etc. PR # 656-20</t>
  </si>
  <si>
    <t>CONSTRUCTION OF RAILINGS ON RIVER CONTROL, RIVERSIDE, RIZAL ST. BARANGAY POBLACION, BURDEOS, QUEZON</t>
  </si>
  <si>
    <t>INVITATION TO BID FOR THE PROCUREMENT OF SUBMERSIBLE PUMPS</t>
  </si>
  <si>
    <t>SUPPLY AND DELIVERY OF OFFICE SUPPLIES AND CONSUMABLES for CTU-Tuburan Campus</t>
  </si>
  <si>
    <t>supply &amp; delivery of Highly Concentrated Muriatic Acid and High Granular Chlorine</t>
  </si>
  <si>
    <t>Barangay 749 YDF " FOLDING LAPTOP TABLE, SCHOOL SUPPLIES" 2020</t>
  </si>
  <si>
    <t>Procurement of one (1) unit Drone</t>
  </si>
  <si>
    <t>PR-2020-08-0049 - Procurement of Paint Materials for Routine Maintenance of Pedestrian Lane, Center Line and Edge (S01359LZ) w/ exception Line along Jose Abad Santos Avenue</t>
  </si>
  <si>
    <t>Purchase of Communications &amp; Office Equipment for Legislative Office</t>
  </si>
  <si>
    <t>IB NO. 2020-09-09 (11) Cat V, Other Commodities</t>
  </si>
  <si>
    <t>RFQ No. 2020-08-061 DATED 8/14/2020; PR NO. 2020-08-109 DATED 8/03/2020: PROCUREMENT OF ONE (1) LOT OF VARIOUS TOOLS AND EQUIPMENT, FOR USE IN THE OPERATION OF THE FACILITIES &amp; MAINTENANCE (MOTORPOOL)</t>
  </si>
  <si>
    <t>Supply and delivery of various commodities for the children beneficiaries of Supplementary Feeding Program of the Municipality of Lidlidda, Ilocos Sur</t>
  </si>
  <si>
    <t>CAPITAL OUTLAY - EQUIPMENT (AIRCON)</t>
  </si>
  <si>
    <t>PROCUREMENT OF CONSTRUCTION MATERIALS (FOR THE CONSTRUCTION OF MHO MAIN SEPTIC VAULT)</t>
  </si>
  <si>
    <t>20	boxes	Examination gloves, non-sterile (medium), etc. PR #655-20</t>
  </si>
  <si>
    <t>PRE-BID CONFERENCE 25/Aug/2020 - Procurement of Goods: DRONE for the use of Department of Transportation &amp; LGU Tagum for the Mindanao Railway Project (PR#300-20-08-0144)</t>
  </si>
  <si>
    <t>CONSTRUCTION OF MULTI-PURPOSED BUILDING (PHASE II)</t>
  </si>
  <si>
    <t>WAREHOUSE EXPANSION OF BARANGAY HALL (CENTRO, STA. ANA, CAGAYAN)</t>
  </si>
  <si>
    <t>PR-2020-08-0050 - Procurement of Materials for the Repair and Maintenance of National Roads and Bridges within Zambales 2nd DEO</t>
  </si>
  <si>
    <t>SUPPLY AND DELIVERY OF OTHER TRANSPORT EQUIPMENT (HAULING TRANSPORT EQUIPMENT)</t>
  </si>
  <si>
    <t>CONSTRUCTION OF CONCRETE LINE CANAL</t>
  </si>
  <si>
    <t>PROCUREMENT OF VARIOUS OFFICE SUPPLIES (1st and 2nd QUARTER) (ITB # M20-08-03)- REBIDDING</t>
  </si>
  <si>
    <t>RFQ No. 2020-08-064 DATED 8/14/2020; PR NO. 2020-05-052 (REBID) DATED 5/05/2020: PROCUREMENT OF ONE (1) JOB ORDER: LABOR &amp; MATERIALS, FOR THE GENERAL REPAIR OF CONTROL PANEL, TROUBLESHOOTING OF ELECTR</t>
  </si>
  <si>
    <t>Concreting/Construction/Widening of Climate Change Resilient road at Barangay Cahilan II, Lemery, Batangas</t>
  </si>
  <si>
    <t>repair &amp; maintenance of various service vehicles</t>
  </si>
  <si>
    <t>Supply and delivery of various commodities for the children beneficiaries of Supplementary Feeding Program of the Municipality of Caoayan, Ilocos Sur</t>
  </si>
  <si>
    <t>5	pcs.	Tire (Toyota Hilux), 205/70R15C, etc. PR # 658-20</t>
  </si>
  <si>
    <t>PROCUREMENT OF EMERGENCY MEDICAL SERVICES (EMS) FOR ONE (1) UNIT  WITH THREE (3) MANNED CREW</t>
  </si>
  <si>
    <t>Concreting of Pathwalk</t>
  </si>
  <si>
    <t>Concreting/Construction/Widening of Climate Change Resilient road at Barangay Arumahan, Lemery, Batangas</t>
  </si>
  <si>
    <t>PROCUREMENT OF DSLR CAMERA</t>
  </si>
  <si>
    <t>Supply &amp; Delivery of One (1) Unit Multi-Purpose Truck for COVID-19 related Operations</t>
  </si>
  <si>
    <t>Purchase of IT Equipment (Desktop, Laptop, CPU, Printer, UPS, Anti-Virus &amp; Flat Screen TV) for the Official Use of Various Offices</t>
  </si>
  <si>
    <t>Supply and Delivery of Various HArdware and Construction Materials</t>
  </si>
  <si>
    <t>Concreting of Barangay Roads at Sinamar, Roxas, Isabela</t>
  </si>
  <si>
    <t>Scanner</t>
  </si>
  <si>
    <t>SUPPLY, DELIVERY &amp; INSTALLATION OF AIRCONDITIONERS FOR VARIOUS HEALTH FACILITIES IN MUNTINLUPA CITY (*RE-POSTED)</t>
  </si>
  <si>
    <t>Concreting of Barangay Roads at San Placido, Roxas, Isabela</t>
  </si>
  <si>
    <t>Construction of Two (2) Day Care Centers (Barangay Buhay and Sta. Felomina</t>
  </si>
  <si>
    <t>SECURITY GUARD SERVICES TO PROTECT AND WATCH-OVER THE GCWD OFFICE AND ALL FACILITIES - REBID</t>
  </si>
  <si>
    <t>Supply and Delivery of Injector Valve and Chemical Hose</t>
  </si>
  <si>
    <t>20NA0077 Construction of 1-unit 1STY4CL with Toilet Attached and Handwashing Facility at both endwalls at Victory ES Tubay, Agusan del Norte</t>
  </si>
  <si>
    <t>SURGICAL HEAD CAPS, SHOE COVER, SURGICAL GLOVES ( ALL DISPOSABLE) , PAPER TOWELS</t>
  </si>
  <si>
    <t>REPOST; PROCUREMENT OF 3 UNITS OF PHOTOCOPIER AND 5 CARTRIDGE TONER/TENEUR USE IN PIÑAN NATIONAL HIGH SCHOOL AND PIÑAN CENTRAL ELEMENTARY SCHOOL (PRINTING OF SCHOOL PAPERS AND MODULES)</t>
  </si>
  <si>
    <t>SYSTEMS SUBSCRIPTON/RENTALS FOR THE ACCOUNTING OFFICE AND BUDGET OFFICE FOR THE MONTH OF JANUARY TO DECEMBER 2020</t>
  </si>
  <si>
    <t>COMPLETION OF KINABALAN MULTI-PURPOSE BUILDING Malungon, Sarangani Province</t>
  </si>
  <si>
    <t>Purchase of Office Equipment for CBMS-APP Program</t>
  </si>
  <si>
    <t>supply &amp; delivery of Various Medical, dental &amp; Laboratory Supplies</t>
  </si>
  <si>
    <t>Procurement for Construction Materials &amp; Supply for Sitio Bingcungan Pumping Station</t>
  </si>
  <si>
    <t>20CB-GSC-521 PURCHASE OF GRASS CUTTER</t>
  </si>
  <si>
    <t>10	rolls	Hospital Gauze roll 40's/40's 28x24 mesh 2 ply, etc. PR # 671-20</t>
  </si>
  <si>
    <t>20CB-GSC-520 PURCHASE OF JANITORIAL SUPPLIES</t>
  </si>
  <si>
    <t>PRE-BID CONFERENCE 25/Aug/2020 - Procurement of Goods: PLOTTER for the use of Department of Transportation &amp; LGU Tagum for the Mindanao Railway Project (PR#300-20-08-0145)</t>
  </si>
  <si>
    <t>Invitation to Bid 574 SK 2020 001</t>
  </si>
  <si>
    <t>supply &amp; delivery of Various Maintenance Materials</t>
  </si>
  <si>
    <t>supply &amp; delivery of Various Veterinary Supplies &amp; Medicines</t>
  </si>
  <si>
    <t>PROCUREMENT OF MATERIALS FOR CONSTRUCTION OF 2 UNITS CONCRETE BASKETBALL POST / CONCRETE PAVEMENT</t>
  </si>
  <si>
    <t>RFQ No. 20-08-211 for PR No. 20-08-205</t>
  </si>
  <si>
    <t>ITB No. 20-080  ONE (1) LOT SUPPLY, DELIVERY, INSTALLATION, TESTING AND COMMISSIONING OF VARIOUS TYPES OF AIR-CONDITIONING UNITS INCLUDING REMOVAL AND DISMANTLING OF OLD UNITS</t>
  </si>
  <si>
    <t>20CB-GSC-519 PURCHASE OF OFFICE EQUIPMENT</t>
  </si>
  <si>
    <t>Site Devt. Ramps, Handrails &amp; Canopy-MEO Construction-GAD</t>
  </si>
  <si>
    <t>4	gals.	All purpose adhesive, 4liters/gal., etc. PR # 666-20</t>
  </si>
  <si>
    <t>Rehabilitation/Repair of Barangay Road at Vira, Roxas, Isabela</t>
  </si>
  <si>
    <t>For use in the Office of the City Treasurer, this city.</t>
  </si>
  <si>
    <t>Repair/Maintenance of FTI-Owned Buildings, Vishay, Admin, Tourist Duty Free Shop Building.</t>
  </si>
  <si>
    <t>20NA0078 Repair/Maintenance of DPWH Building Disaster Command Building, J. Rosales Avenue, Butuan City</t>
  </si>
  <si>
    <t>repair &amp; maintenance of various services vehicles</t>
  </si>
  <si>
    <t>Proposed Construction of Isolation Facility at Barangay Calumpang, Binangonan Rizal</t>
  </si>
  <si>
    <t>Drilling of One (1) Exploratory/Production Well and Supply, Delivery &amp; Installation of Discharge Line Materials at Brgy. Balutu</t>
  </si>
  <si>
    <t>GPG-B1-2020-440-CONSULTING SERVICES FOR A FULL BUILDING ASSESSMENT, PREPARATION OF DETAILED ARCHITECTURAL AND ENGINEERING PLANS, PROVISION OF TECHNICAL SUPPORT IN THE PROCUREMENT OF A RETROFITTING CON</t>
  </si>
  <si>
    <t>1 lot General body repair of Toyota Hi-Ace Van SGY 139 (Labor &amp; materials), JSOR 84-20</t>
  </si>
  <si>
    <t>20CB-GSC-522 PURCHASE OF COMPUTER SERVER FOR LCR</t>
  </si>
  <si>
    <t>RFQ No. 20-08-210 for PR No. 20-08-204</t>
  </si>
  <si>
    <t>BARANGAY ENHANCEMENT PROGRAM - LIVELIHOOD COMMITTEE (3RD QUARTER)</t>
  </si>
  <si>
    <t>Repair and Construction of Gender Responsive Facilities (CR Renovation)</t>
  </si>
  <si>
    <t>1	unit	Photocopier Machine, etc. PR # 679-20</t>
  </si>
  <si>
    <t>FOR MEALS AND SNACKS DURING BNS MEETING</t>
  </si>
  <si>
    <t>Procurement of Concrete Hollow Block  for the Construction of 100 IP’s Housing Units   [LGU Counterpart-GOODS]</t>
  </si>
  <si>
    <t>Procurement of Materials &amp; Supplies for the Construction of 100 IP’s Housing Units  [NHA Grant-GOODS]</t>
  </si>
  <si>
    <t>Completion of two - storey Multi - Purpose Hall</t>
  </si>
  <si>
    <t>DELIVERY OF SUPPLIES AND MATERIALS FOR THE INSTALLATION OF FLOOR TILES AND STEEL GRATINGS AT SAGÑAY  PUBLIC MARKET</t>
  </si>
  <si>
    <t>20CB-GSC-523 PURCHASE OF AGRICULTURAL SUPPLIES</t>
  </si>
  <si>
    <t>20GGJ0063 Request for Quotation</t>
  </si>
  <si>
    <t>20CB-GSC-518 PURCHASE OF PLAQUES AND TOKENS</t>
  </si>
  <si>
    <t>SUPPLY AND DELIVERY OF OILS AND LUBRICANTS FOR LIGHT AND HEAVY EQUIPMENTS-PEO</t>
  </si>
  <si>
    <t>Supply and delivery of various commodities for the children beneficiaries of Supplementary Feeding Program of the Municipality of Gregorio del Pilar, Ilocos Sur</t>
  </si>
  <si>
    <t>DEP ED SUPPLIES</t>
  </si>
  <si>
    <t>Procurments of Personal Equipments for LDRRMO</t>
  </si>
  <si>
    <t>2020-07-1069 "Procurement of 5 units Computer Ups,etc for PGO"</t>
  </si>
  <si>
    <t>INSTALLATION OF STREET LIGHTS ALONG PROVINCIAL ROAD FROM PUROK 3 TO PUROK 4, BARANGAY COMAGASCAS - 2ND BIDDING</t>
  </si>
  <si>
    <t>PROCUREMENT OF CONSTRUCTION MATERIALS (FOR THE REPAIR AND MAINTENANCE OF DISTRICT SUPERVISOR OFFICE)</t>
  </si>
  <si>
    <t>Invitation to Bid for Const. of Two Storey Four Classroom Bldg. at Cahil NHS, Brgy. Cahil, Calaca, Batangas</t>
  </si>
  <si>
    <t>Supply and delivery of various commodities for the children beneficiaries of Supplementary Feeding Program of the Municipality of San Vicente, Ilocos Sur</t>
  </si>
  <si>
    <t>Goods</t>
  </si>
  <si>
    <t>Invitation to Bid for Supply and Delivry of Bond Paper to be used during Modular Learning pf Public School Students at DepEd Calaca District, Calaca, Batangas</t>
  </si>
  <si>
    <t>“SUPPLY AND DELIVERY OF VARIOUS MATERIALS AND EQUIPMENT FOR SEARCH AND RESCUE OPERATIONS”</t>
  </si>
  <si>
    <t>Purchase of Fuel for MDRRMO</t>
  </si>
  <si>
    <t>MUNICIPAL EVACUATION CENTER MESS HALL (PHASE I)</t>
  </si>
  <si>
    <t>2	units	COMPUTER UNIT, etc. PR # 661-20</t>
  </si>
  <si>
    <t>20CB-GSC-526 PURCHASE OF MACHINERIES AND EQUIPMENT</t>
  </si>
  <si>
    <t>SUPPLY AND DELIVERY OF VARIOUS SIZES CI SADDLE CLAMP</t>
  </si>
  <si>
    <t>Purchase of Drugs &amp; Medicines for 2nd &amp; 3rd Quarters of 2020</t>
  </si>
  <si>
    <t>IMPROVEMENT OF MULTI-PURPOSE BUILDING, BRGY. VILLA ANUNCIADO</t>
  </si>
  <si>
    <t>Delivery of Various Materials for the Improvement of Multi Purpose Hall</t>
  </si>
  <si>
    <t>Construction of Drainage Canal System at Zone 6, Brgy. Dilan-Paurido, Urdaneta City</t>
  </si>
  <si>
    <t>PROCUREMENT OF CONSTRUCTION MATERIALS (FOR THE SAFE CLOSURE OF OLD DUMPSITE)</t>
  </si>
  <si>
    <t>Concreting of Roads to Resettlement Site of Barangay Cabilao</t>
  </si>
  <si>
    <t>Concrete Canal Cover w/ Curb &amp; Gutter at Brgy. 9, Kabankalan City, Negros Occidental</t>
  </si>
  <si>
    <t>PURCHASE OF 8,000 SACHETS RICE + MONGO INSTANT BABY BLEND DRY CEREAL TO BE USED FOR 6 MONTHS TO 59 MONTHS MALNOURISHED CHILDREN FOR SUPPLEMENTARY FEEDING</t>
  </si>
  <si>
    <t>Repair and Maintenance of barangay Patrol</t>
  </si>
  <si>
    <t>20MH0116 - Concreting of Upper Balayan to Kidanao, Barangay Basak, Lebak, Sultan Kudarat</t>
  </si>
  <si>
    <t>Rebidding: 2990 pcs CHB 4” for construction of fence of the Barangay Multi-Purpose and Evacuation Center 1 Purok Narra (Phase 1) at Barangay Cadawinonan.</t>
  </si>
  <si>
    <t>RFQ No. 2020- 14 (10 Single Projects + 10 Packages with 23 Projects= 33 Projects)</t>
  </si>
  <si>
    <t>PR 9-20-08-0965, FOR USE OF THE SAN CARLOS CITY HOSPITAL, THIS CITY.</t>
  </si>
  <si>
    <t>UPLB-S-051-09-20, SUPPLY, DELIVERY AND INSTALLATION OF  BRAND NEW VARIOUS FURNITURE</t>
  </si>
  <si>
    <t>20MH0115 - Construction of Road Slope Protection Structure along IsulanJct-Ninoy Aquino Rd, K1834+110 – K1834+178, K1845+471 – K1845+544, Bagumbayan/Sen. Ninoy Aquino, Sultan Kudarat</t>
  </si>
  <si>
    <t>CATERING SERVICES FOR PERSONS DEPRIVED OF LIBERTY (PDL)</t>
  </si>
  <si>
    <t>Supply and delivery of various commodities for the children beneficiaries of Supplementary Feeding Program of the Municipality of Burgos, Ilocos Sur</t>
  </si>
  <si>
    <t>PRE-BID CONFERENCE 25/Aug/2020 - Procurement of Goods: IT Equip't &amp; Supplies for the use of Dep't of Trans'n &amp; LGU Tagum for the Mindanao Railway Proj.(PR#300-20-08-0141,300-20-08-0142,300-20-08-0143)</t>
  </si>
  <si>
    <t>Purchase of Office Supplies &amp; Devices for 2nd &amp; 3rd Quarters 2020</t>
  </si>
  <si>
    <t>Improvement of Socialized Housing Project (GK) Footwalk and Electric Lights (One Job), Brgy. Tampucao, Lambunao, Iloilo</t>
  </si>
  <si>
    <t>20MH0114 - Construction of River Bank Protection/Flood Control at Salaman River, Brgy. Salaman, Lebak, Sultan Kudarat</t>
  </si>
  <si>
    <t>Supply and Delivery of Printer Consumables, PR# 2020-07-0853 and 2020-07-0854</t>
  </si>
  <si>
    <t>Repair and Construction of Gender Responsive Facilities (Water Supply System)</t>
  </si>
  <si>
    <t>20MH0113 - Construction of Road Slope Protection Structure along Awang-Upi-Lebak-Kalamansig-Palimbang-Sarangani Rd – K1985+733 – K1985+793, K2005+845 – K2005+965, Palimbang, Sultan Kudarat</t>
  </si>
  <si>
    <t>PURCHASE OF FUEL</t>
  </si>
  <si>
    <t>20CB-GSC-524 REPAIR OF MOTOR VEHICLE MITSUBISHI GRADER</t>
  </si>
  <si>
    <t>ITB and Bid Docs for 1)	Procurement ID/Contract ID:    19C00092 Contract Name:      Construction of 2-Storey Sniper’s Building (100 person capacity) at First Scout Ranger Regiment, Philippine Army Cam</t>
  </si>
  <si>
    <t>Supply and Delivery of Mousar Equipment and Supplies</t>
  </si>
  <si>
    <t>Improvement of water Supply System</t>
  </si>
  <si>
    <t>Purchase of Equipment (Microscope) for the use of Lambunao MHO Laboratory, Lambunao, Iloilo</t>
  </si>
  <si>
    <t>PURCHASE OF BATTERY FOR ICOM RADIO, BARANGAY MABINI, BURDEOS, QUEZON</t>
  </si>
  <si>
    <t>Procurement of Door-to-Door Delivery of Materials and Equipment for the Reproduction of Self-Learning Modules (SLMs) Lot 2</t>
  </si>
  <si>
    <t>SUPPLY AND DELIVERY OF ONE (1) UNIT DRONE FOR AERIAL MONITORING - 2ND BIDDING</t>
  </si>
  <si>
    <t>Purchase of Office Supplies for Provincial Governor’s Office use for the Second Semester of CY-2020</t>
  </si>
  <si>
    <t>20G0109</t>
  </si>
  <si>
    <t>MUNICIPAL EVACUATION CENTER MESS HALL (PHASE II)</t>
  </si>
  <si>
    <t>Supply &amp; Delivery of Furniture &amp; Fixtures</t>
  </si>
  <si>
    <t>Procurement of Door-to-Door Delivery of Materials and Equipment for the Reproduction of Self-Learning Modules (SLMs) Lot 1</t>
  </si>
  <si>
    <t>LOT Procurement of OFFICE SUPPLIES and EQUIPMENT for the Use of the Provincial Engineer’s Office</t>
  </si>
  <si>
    <t>Quotation No.20-08-436 = PROCUREMENT OF COMMON OFFICE SUPPLIES (RD's Office)</t>
  </si>
  <si>
    <t>Invitation to Bid for Const. of Two Storey Four Classroom Bldg. at Baclas ES, Brgy. Baclas, Calaca, Batangas</t>
  </si>
  <si>
    <t>SUPPLY AND DELIVERY OF IT EQUIPMENT AND ACCESSORIES FOR VARIOUS LAW ENFORCEMENT AGENCIES - 2ND BIDDING</t>
  </si>
  <si>
    <t>SUPPLY AND DELIVERY OF MECHANICAL SECURITY SPARE PARTS INTENDED FOR UNIT NO. 11 OF BASCO DPP</t>
  </si>
  <si>
    <t>20MH0117 - Concreting Local Road, PurokNarra, Brgy.Poblacion, Sultan Kudarat</t>
  </si>
  <si>
    <t>Procurement of Materials &amp; Supplies for the Upgrading/Improvement of Basketball Court of Barangay Mabnang, Claveria, Cagayan Valley</t>
  </si>
  <si>
    <t>20MH0119 - Concreting of Upper Balayan to Kinadao, Barangay Badiangon, Palimbang, Sultan Kudarat</t>
  </si>
  <si>
    <t>Supply, Delivery and Installation of Office Furniture And Fixture For Use In CASC, Sci Lab, D Post Office, CESC, Guidance Office, KMS Office,  Registration &amp; Admission Office / (RFQ 2020-02F)</t>
  </si>
  <si>
    <t>PROCUREMENT OF OFFICE SUPPLIES, DEVICES AND CONSUMABLES FOR DENR-PENRO PALAWAN</t>
  </si>
  <si>
    <t>SUPPLY AND DELIVERY OF VARIOUS IT EQUIPMENT (DESKTOP COMPUTER, LAPTOP, PRINTER) FOR THE CITY HEALTH OFFICE - TWO FAILED BIDDING</t>
  </si>
  <si>
    <t>Improvement/Rehabilitation of Auction Market</t>
  </si>
  <si>
    <t>Supply and Delivery of Materials for the Installation of Protective Barriers</t>
  </si>
  <si>
    <t>Invitation to Bid for Const. of Two Storey Four Classroom Bldg. at Lumbang na Matanda ES, Brgy. Lumbang na Matanda, Calaca, Batangas</t>
  </si>
  <si>
    <t>SUPPLY AND DELIVERY OF FUEL (GASOLINE) FOR SANGGUNIANG PANLUNGSOD OFFICE - 2ND BIDDING</t>
  </si>
  <si>
    <t>Medical Supplies to be used by DOLE XII personnel in the conduct of Monitoring visits re: DTI and DOLE Interim Guidelines on Workplace Prevention and Control of COVID-19</t>
  </si>
  <si>
    <t>Purchase of BS Information Systems Books for Zamboanga del Sur Provincial Government College (ZDSPGC) use.</t>
  </si>
  <si>
    <t>Procurement of Door-to-Door Delivery of Materials and Equipment for the Reproduction of Self-Learning Modules (SLMs) Lot 3</t>
  </si>
  <si>
    <t>Supply and Delivery of Various Furniture, as per BSP Terms of Reference, Design and Technical Specifications:</t>
  </si>
  <si>
    <t>20CB-GSC-525 PURCHASE OF FURNITURE &amp; FIXTURES</t>
  </si>
  <si>
    <t>20MH0120 - Rehabilitation of Maligaya - Road Side, Barangay Sagasa, Esperanza, Sultan Kudarat</t>
  </si>
  <si>
    <t>Procurement of Spare of LGU Vehicles</t>
  </si>
  <si>
    <t>ITB-REBID05-2020</t>
  </si>
  <si>
    <t>SUPPLY AND DELIVERY OF ELECTRICAL DEVICES FOR ORIENTAL MINDORO S/S AND 69KV T/L</t>
  </si>
  <si>
    <t>Procurement of Fuel and Lubricants  for the Construction of 100 IP’s Housing Units    [NHA Grant-GOODS]</t>
  </si>
  <si>
    <t>Supply and Delivery of Office Furniture for VSU Main and Component Colleges</t>
  </si>
  <si>
    <t>UPGRADING OF MUNICIPAL SLAUGHTERHOUSE (PHASE II)</t>
  </si>
  <si>
    <t>FOR SUPPLEMENTAL FEEDING OF UNDERWEIGHT AND SEVERELY UNDERWEIGHT PRESCHOOL CHILDREN OF 14 BARANGAYS.</t>
  </si>
  <si>
    <t>Quotation No.20-08-437 = PROCUREMENT OF COMMON OFFICE SUPPLIES</t>
  </si>
  <si>
    <t>2nd Invitation to Bid for the  CONCRETING OF KINACAO-KURASAY-KINALABASA ROAD Located at Bagabag, Nueva Vizcaya</t>
  </si>
  <si>
    <t>Supply and Delivery of Office Supplies different Municipal Offices</t>
  </si>
  <si>
    <t>supply &amp; delivery of Traffic Cones &amp; Traffic Signage</t>
  </si>
  <si>
    <t>Procurement of Materials and Rental of Equipment for the Improvement of Streetlights at Barangay Oras, Tabaco City</t>
  </si>
  <si>
    <t>Installation of Solar Streetlights at Limao, Caliclic, Pangubatan, IGaCoS  under PR No. 2020-04-2139 (Re-bidding)</t>
  </si>
  <si>
    <t>Printing and door-to-door delivery of Self Learning Modules Quarter 1 for use of DepEd SDO San Fernando City (La Union)</t>
  </si>
  <si>
    <t>supply &amp; delivery of Goods &amp; Commodities</t>
  </si>
  <si>
    <t>Quotation No.20-08-438 = PROCUREMENT OF COMMON OFFICE SUPPLIES (Planning unit)</t>
  </si>
  <si>
    <t>PROPOSED MULTI-PURPOSE COVERED COURT OF NIA INIMO PHASE II</t>
  </si>
  <si>
    <t>supply &amp; delivery of Various Maintenance materials</t>
  </si>
  <si>
    <t>IMPROVEMENT OF PANACOL-TAMAYO FARM TO MARKET ROAD</t>
  </si>
  <si>
    <t>Purchase of Tires for the Maintenance of PEO Prime Mover and Low Bed Trailer.</t>
  </si>
  <si>
    <t>STAGE CEILING,STORAGE ROOM, AND TILES OF BARANGAY MULTI - PURPOSE HALL ANGAYAN NORTE, BALUNGAO, PANGASINAN</t>
  </si>
  <si>
    <t>Procurement BY LOT of FILTERS and OIL &amp; LUBRICANTS for Use of 79 UNITS LIGHT AND HEAVY EQUIPMENT</t>
  </si>
  <si>
    <t>Procurement of Construction Materials for the Construction of Senior Building</t>
  </si>
  <si>
    <t>Supply and Delivery of  Equipment, Supplies and Consumables For Use in D Post, CESC, Guidance Office, Registration &amp; Admission Office/ (RFQ 2020-05F)</t>
  </si>
  <si>
    <t>INVITATION TO BID FOR THE PROCUREMENT OF VARIOUS CONSTRUCTION MATERIALS FOR THE INSTALLATION OF STEELGATE AND SIGNAGE FOR SIGABOY CENTRAL ELEMENTARY SCHOOL</t>
  </si>
  <si>
    <t>CONSTRUCTION OF MULTI-PURPOSE BUILDING, BARANGAY STA. FE</t>
  </si>
  <si>
    <t>Supply of materials for the Construction of MRF(Materials Recovery Facility),Central  MRF, Brgy. Maalas-as, Rosario, Batangas</t>
  </si>
  <si>
    <t>Concreting of Roads to Resettlement Site of Barangay Bato</t>
  </si>
  <si>
    <t>Concreting of Farm to Market Road in Malag-Alag, Concepcion Norte</t>
  </si>
  <si>
    <t>Invitation to Bid for Const. of Two Storey Four Classroom Bldg. at Bagong Tubig ES, Brgy. Bagong Tubig, Calaca, Batangas</t>
  </si>
  <si>
    <t>Supply and Delivery of 1 Unit Brand New Pick Up Truck, 4x2, A/T</t>
  </si>
  <si>
    <t>Procurement of Stickers (floor decals) for Regionwide advocacy against COVID-19</t>
  </si>
  <si>
    <t>INVITATION TO BID FOR CONST. OF STAGE WITH DRESSING ROOM AND PERIMETER FENCE AT BRGY. MATIPOK, CALACA, BATANGAS</t>
  </si>
  <si>
    <t>Supply and Delivery of Vitamins Supplements</t>
  </si>
  <si>
    <t>Purchase of Database Server for I-trac System, Smart UPS and Laptops  under PR No. 2020-06-2661 (Re-bidding)</t>
  </si>
  <si>
    <t>Procurement of Supplementary Components of the Real Property Tax Management of the Provincial Government of Cagayan- GIS Based Electronic Real Property Tax Administration System (eRPTAS)</t>
  </si>
  <si>
    <t>SUPPLY, DELIVERY, INSTALLATION, TESTING AND COMMISSIONING OF 80-TON CAPACITY ELECTRONIC TRUCKSCALE WITH TRUCKSCALE HOUSE IN TABACO, ALBAY</t>
  </si>
  <si>
    <t>RFQ&gt;&gt;&gt; Supply and Delivery of Office Supplies | Apolinario Mabini ES | ABC=P63,810.00</t>
  </si>
  <si>
    <t>20HD0100 - Rehabilitation/Concreting/Widening of Provincial Road, Brgy. Muabog to Brgy. Tapul, Tabogon, Cebu</t>
  </si>
  <si>
    <t>CONCRETE PAVING OF LAOAG FARM TO MARKET ROAD (Crispin de Vera Road)</t>
  </si>
  <si>
    <t>Invitation to Bid for Const. of Two Storey Four Classroom Bldg. at Madalunot ES, BRgy. Madalunot, Calaca, Batangas</t>
  </si>
  <si>
    <t>Construction of River Control</t>
  </si>
  <si>
    <t>Clerical Tables and Conference Chairs for official use of personnel of DOLE XII - North Cotabato Field Office, Kidapawan City, Cotabato Province</t>
  </si>
  <si>
    <t>Installation of Lighting Facilities inside Pahulayan Memorial (Solar Light) @ San Miguel, Samal District, IGaCoS  under PR No. 2020-04-2131 (Re-bidding)</t>
  </si>
  <si>
    <t>UPGRADING OF MUN. SLAUGHTERHOUSE (PHASE III)</t>
  </si>
  <si>
    <t>20MH0118 - Concreting of Road connecting PurokNarra, Brgy. Numo, Esperanza, Sultan Kudarat</t>
  </si>
  <si>
    <t>supply &amp; delivery of Various Printing Materials</t>
  </si>
  <si>
    <t>Procurement of Door-to-Door Delivery of Materials and Equipment for the Reproduction of Self-Learning Modules (SLMs) Lot 5</t>
  </si>
  <si>
    <t>CONCRETE PAVING OF BOCACLIW-BANAYBAYAN FARM TO MARKET ROAD</t>
  </si>
  <si>
    <t>supply, delivery &amp; installation of various Airconditioning units</t>
  </si>
  <si>
    <t>20CSD011 : CONSULTING SERVICES FOR THE FEASIBILITY STUDY OF THE PROPOSED SANGLEY AIRPORT ACCESS ROAD &amp; ENVIRONMENTAL &amp; SOCIAL IMPACT ASSESSMENT OF THE PROPOSED MANILA – CAVITE DIVERSION ROAD</t>
  </si>
  <si>
    <t>RFQ / 20-08-0482 / PROCUREMENT OF REPAIR AND MAINTENANCE SUPPLIES</t>
  </si>
  <si>
    <t>Procurement of Door-to-Door Delivery of Materials and Equipment for the Reproduction of Self-Learning Modules (SLMs) Lot 4</t>
  </si>
  <si>
    <t>Invitation to Bid for Improvement of Canteen Flooring at Batangas Province HS &amp; Upgrading/Concreting of School Ground/ Access Road at Calaca Central ES (Package I), Calaca, Batangas</t>
  </si>
  <si>
    <t>CONCRETE PAVING OF SAN JOSE FARM TO MARKET ROAD (Diantreng Road)</t>
  </si>
  <si>
    <t>NCB Publication No. 2020- 33 (First Publication)- Hud-ok Flood Control Construction, Caba</t>
  </si>
  <si>
    <t>Supply and Delivery of Materials for the Park Development Brgy. Peñaplata (Freedom Park) at Freedom park, Peñaplata, Samal District, IGaCoS  under PR No. 2020-08-3060</t>
  </si>
  <si>
    <t>Invitation to Bid for Const. of Stage with Roofing at Puting Kahoy ES, Brgy. Puting Kahoy, Calaca, Batangas</t>
  </si>
  <si>
    <t>ITB-B17-2020</t>
  </si>
  <si>
    <t>CONSTRUCTION OF WAREHOUSE BUILDING</t>
  </si>
  <si>
    <t>Supply and Delivery of Materials for the Development of Water System and Facilities at Brgy. Sto Niño, Babak District, IGaCoS  under PR No. 2020-08-3040</t>
  </si>
  <si>
    <t>Concreting of Farm to Market Road at Agbunyog, Concepcion Sur</t>
  </si>
  <si>
    <t>RFQ NO. 2020-07-046-0017-Procurement of Communication Equipment for use in the Operations of Planning &amp; Design Section for 3rd Quarter of CY 2020 of DPWH South Cotabato 1st DEO, GSC.</t>
  </si>
  <si>
    <t>RFQ / 20-08-1417 / PROCUREMENT OF MATERIALS TO BE USED FOR DISINFECTION AND SANITATION</t>
  </si>
  <si>
    <t>RFQ / 20-08-0514 / PROCUREMENT OF ALCOHOL</t>
  </si>
  <si>
    <t>CONCRETE PAVING OF POGONSILI (ADARNA EAST) FARM TO MARKET ROAD</t>
  </si>
  <si>
    <t>Procurement of Various Dietary Supplies (BAC 2020-021)</t>
  </si>
  <si>
    <t>Supply and Delivery of 40 Units Brand New Motorcycle</t>
  </si>
  <si>
    <t>Purchase of T-shirt with Print for the Barangay Officials during 68th Araw ng Zamboanga del Sur Celebration.</t>
  </si>
  <si>
    <t>Construction/ Repair/ Rehabilitation/ Improvement of Various Infrastructure Including Local Projects - Rehabilitation of Barangay Multi-Purpose Hall, Baguio City</t>
  </si>
  <si>
    <t>Rehabilitation and Upgrading of Multi Species  Fish  Hatchery</t>
  </si>
  <si>
    <t>Improvement and Rehabilitation of Public Market Facilities</t>
  </si>
  <si>
    <t>CONCRETE PAVING OF BUER-CALSIB  FARM TO MARKET ROAD</t>
  </si>
  <si>
    <t>Installation of Sitio Nalbot Basketball Court Light</t>
  </si>
  <si>
    <t>Supply and Delivery of Materials for the Development of Water System and Facilities at Brgy. San Isidro, Babak District, IGaCoS  under PR No. 2020-03-1593 (Re-bidding)</t>
  </si>
  <si>
    <t>SUPPLY AND DELIVERY OF 1 UNIT BACKHOE CRAWLER TYPE</t>
  </si>
  <si>
    <t>Procurement of Various Drugs and Medicines (BAC 2020-022)</t>
  </si>
  <si>
    <t>Purchase of T-shirt with Print for the Provincial Government Employee and LGU Officials during 68th Araw ng Zamboanga del Sur Celebration.</t>
  </si>
  <si>
    <t>INSTALLATION OF PUBLIC ADDRESS SYSTEM</t>
  </si>
  <si>
    <t>NCB Publication No. 2020- 34 (First Publication)- (1. Continuation of Brgy. Road Opening of Brgy. Namal 2. Namal Road Opening and Improvement  3. Namal Road Opening, Namal 4. Namal FMR Improvement)</t>
  </si>
  <si>
    <t>Reproduction of Students Modules</t>
  </si>
  <si>
    <t>Purchase of T-shirt with Print for Barangay Tanod during 68th Araw ng Zamboanga del Sur Celebration.</t>
  </si>
  <si>
    <t>Improvement of Farm to Market Road</t>
  </si>
  <si>
    <t>20DJ0109-LOCAL PROGRAM, Local Infrastructure Program, Rehabilitation of Old Quezon Capitol Building, Lucena City, Quezon</t>
  </si>
  <si>
    <t>CONSTRUCTION OF OPEN CANAL PUROK 2</t>
  </si>
  <si>
    <t>CONCRETE PAVING OF CALSIB-BAYAOAS TO CALUMBUYAN-BAYAOAS FARM TO MARKET ROAD</t>
  </si>
  <si>
    <t>Supply and Delivery of Materials for the Development of Water System and Facilities at Brgy. San Miguel, IGaCoS  under PR No. 2020-03-2030 (Re-bidding)</t>
  </si>
  <si>
    <t>SUPPLEMENTAL BID BULLETIN NUMBER 1 ON THE Procurement of Various Supplies and Materials for CRM and Livelihood Sub-Projects under FishCORAL Project, CY 2019</t>
  </si>
  <si>
    <t>Supply of Materials for the Upgrading and Concreting of Multi-Purpose Pavement at San Bartolome, San Vicente, Apalit, Pampang</t>
  </si>
  <si>
    <t>Rebidding: 2 cu.m Sand, std. specs and other items for continuance  construction of Talay Brgy. Health Center at Brgy. Talay – 1st Revision.</t>
  </si>
  <si>
    <t>Supply &amp; Delivery of Bartending food service supplies &amp; materials 01D HES H30-2020</t>
  </si>
  <si>
    <t>basketball board (set)-linglingay</t>
  </si>
  <si>
    <t>CONSTRUCTION PROJECTS, SUPPLIES AND EQUIPMENT, BARANGAY POBLACION, BURDEOS, QUEZON</t>
  </si>
  <si>
    <t>DELIVERY OF GOODS FOR IMPROVEMENT OF WATER SYSTEM (CONTINUING)</t>
  </si>
  <si>
    <t>Cementing of Donato-Joaquin St.  -  Manaboc</t>
  </si>
  <si>
    <t>Procurement of supply and delivery of Starter Kit</t>
  </si>
  <si>
    <t>Dismantling, Hauling, Relocation and Re-installation of the following Airconditiong Units</t>
  </si>
  <si>
    <t>AMIA-20-3089: Procurement of Agricultural Supplies needed for the Vegetable and Crop production at DA-Ubay Stock Farm, Lomangog, Ubay, Bohol</t>
  </si>
  <si>
    <t>Request of Price Quotation</t>
  </si>
  <si>
    <t>Contract ID:20MB0046 :	Construction of Multi-Purpose Building (Infirmary), Brgy. Poblcaion, Tampakan, South Cotabato</t>
  </si>
  <si>
    <t>Procurement of Door-to-Door Delivery of Materials and Equipment for the Reproduction of Self-Learning Modules (SLMs) Lot 8</t>
  </si>
  <si>
    <t>CONSTRUCTION OF CONTAINMENT AREA</t>
  </si>
  <si>
    <t>Office Supplies - Various Offices</t>
  </si>
  <si>
    <t>Procurement of Various Aggregates Supplies-07-396(O)PEO</t>
  </si>
  <si>
    <t>CONSTRUCTION OF ROAD PROTECTION</t>
  </si>
  <si>
    <t>Procurement of Door-to-Door Delivery of Materials and Equipment for the Reproduction of Self-Learning Modules (SLMs) Lot 7</t>
  </si>
  <si>
    <t>Procurement of Door-to-Door Delivery of Materials and Equipment for the Reproduction of Self-Learning Modules (SLMs) Lot 6</t>
  </si>
  <si>
    <t>CONSTRUCTION OF PIPEBRIDGE ALONG SAMPAO BRIDGE</t>
  </si>
  <si>
    <t>Purchase of Two (2) Units 15-Seater Service Van for Zamboanga del Sur Provincial Government College (ZDSPGC) use.</t>
  </si>
  <si>
    <t>Procurement of Door-to-Door Delivery of Materials and Equipment for the Reproduction of Self-Learning Modules (SLMs) Lot 9</t>
  </si>
  <si>
    <t>PR. No. 2020-08-0050 (Small Value Procurement): Purchase/delivery of Supplier per DO 14 s. of 2020</t>
  </si>
  <si>
    <t>Installation of Streetlights (Islandwide), IGaCoS under PR No. 2020-04-2179(Re-bidding)</t>
  </si>
  <si>
    <t>Procurement of Packed Meals and Packed Snacks for the Youth Symposium on the National Security Framework and Effects and Impacts of Illegal Drugs (First Batch).</t>
  </si>
  <si>
    <t>Contract ID: 20MB0156 :  Concreting of Brgy. Upper Labay FMR, Brgy. Upper Labay, General Santos City, South Cotabato</t>
  </si>
  <si>
    <t>Purchase of One Unit Brand New Rescue Vehicle (Ambulance) under PR No. 2020-07-2852</t>
  </si>
  <si>
    <t>Procurement of Door-to-Door Delivery of Materials and Equipment for the Reproduction of Self-Learning Modules (SLMs) Lot 15</t>
  </si>
  <si>
    <t>Invitation to Bid for Rehab/Extension of Roofing at P.A Paterno NHS and Rehab/ Repair of Two Storey Four Classroom Bldg. at Tamayo ES (Package I), Calaca, Batangas</t>
  </si>
  <si>
    <t>CONCRETING OF FARM-TO-MARKET ROAD</t>
  </si>
  <si>
    <t>SELECTIVE/SECTIONAL REPAIR AND REHABILITATION OF HEAVILY DAMAGED CONCRETE PAVEMENT BESIDE THE WAREHOUSE IN BARANGAY ISABANG LUCENA CITY, QUEZON</t>
  </si>
  <si>
    <t>Procurement of Door-to-Door Delivery of Materials and Equipment for the Reproduction of Self-Learning Modules (SLMs) Lot 13</t>
  </si>
  <si>
    <t>Invitation to Bid for Full Motion Flight Simulator Acquisition Project</t>
  </si>
  <si>
    <t>SUPPLY, DELIVERY, INSTALLATION  AND COMMISSIONING OF UV-VIS  SPECTROPHOTOMETER</t>
  </si>
  <si>
    <t>CONSTRUCTION OF SLOPE PROTECTION AT THE TOURISTS ASSISTANCE CENTER PERIPHERIES</t>
  </si>
  <si>
    <t>Procurement of Door-to-Door Delivery of Materials and Equipment for the Reproduction of Self-Learning Modules (SLMs) Lot 14</t>
  </si>
  <si>
    <t>PURCHASE OF VARIOUS OFFICE EQUIPMENTS</t>
  </si>
  <si>
    <t>PROJECT # 20-032 - CIVIL WORKS FOR CONSTRUCTION OF MULTI-PURPOSE BUILDING PHASE II (TIFARC) – BRGY. MASIN, CITY OF TAYABAS</t>
  </si>
  <si>
    <t>FOR THE PROCUREMENT OF CIVIL WORKS OF CONSTRUCTION OF DOUBLE BARREL BOX CULVERT AND DESILTING OF RIVER</t>
  </si>
  <si>
    <t>SUPPLY AND DELIVERY OF BROADCAST TRANSMITTERS, ANTENNA SYSTEM AND VARIOUS COMMUNICATION EQUIPMENT AND ACCESSORIES FOR THE ESTABLISHMENT  OF RADIO BROADCAST STATION FACILITY</t>
  </si>
  <si>
    <t>Project No. 2020-001: Repair and Rehabilitation of Classrooms of Katipunan Elementary School</t>
  </si>
  <si>
    <t>SUPPLY &amp; DELIVERY OF MATERIALS FOR THE ESTABLISHMENT OF MATERIAL RECOVERY FACILITY AT BANTUANON (1ST BID)</t>
  </si>
  <si>
    <t>CONSTRUCTION OF POTABLE WATER SYSTEM LEVEL II (SPRING DEVELOPMENT)</t>
  </si>
  <si>
    <t>Procurement of Door-to-Door Delivery of Materials and Equipment for the Reproduction of Self-Learning Modules (SLMs) Lot 22</t>
  </si>
  <si>
    <t>Procurement of Door-to-Door Delivery of Materials and Equipment for the Reproduction of Self-Learning Modules (SLMs) Lot 21</t>
  </si>
  <si>
    <t>Two lots Utility Vehicles</t>
  </si>
  <si>
    <t>Procurement of Door-to-Door Delivery of Materials and Equipment for the Reproduction of Self-Learning Modules (SLMs) Lot 18</t>
  </si>
  <si>
    <t>Procurement of Door-to-Door Delivery of Materials and Equipment for the Reproduction of Self-Learning Modules (SLMs) Lot 23</t>
  </si>
  <si>
    <t>Purchase of Sports Uniform and Polo Shirt</t>
  </si>
  <si>
    <t>Procurement of Door-to-Door Delivery of Materials and Equipment for the Reproduction of Self-Learning Modules (SLMs) Lot 19</t>
  </si>
  <si>
    <t>Procurement of Door-to-Door Delivery of Materials and Equipment for the Reproduction of Self-Learning Modules (SLMs) Lot 12</t>
  </si>
  <si>
    <t>Procurement of Door-to-Door Delivery of Materials and Equipment for the Reproduction of Self-Learning Modules (SLMs) Lot 16</t>
  </si>
  <si>
    <t>Contract ID: 20MB0158 :  Construction of Multi-Purpose Building, Brgy. Buayan, General Santos City, South Cotabato</t>
  </si>
  <si>
    <t>Procurement of Door-to-Door Delivery of Materials and Equipment for the Reproduction of Self-Learning Modules (SLMs) Lot 20</t>
  </si>
  <si>
    <t>Contract ID: 20MB0047:  Construction of Multi-Purpose Building within Government Center, City Hall Drive, General Santos City, South Cotabato</t>
  </si>
  <si>
    <t>Procurement of Door-to-Door Delivery of Materials and Equipment for the Reproduction of Self-Learning Modules (SLMs) Lot 17</t>
  </si>
  <si>
    <t>Contract ID: 20MB0138 :  Construction of Multi-Purpose Building, Brgy. Buayan, General Santos City, South Cotabato</t>
  </si>
  <si>
    <t>Purchase of Master Roll,copier ink,Rizograph,Copier ink,gestetner</t>
  </si>
  <si>
    <t>PROJECT # 20-015 - CIVIL WORKS FOR REHABILITATION OF HANGING BRIDGE - BRGY. SILANGANG KATIGAN, TAYABAS CITY</t>
  </si>
  <si>
    <t>Concreting of road</t>
  </si>
  <si>
    <t>RFQ2020-08-019 GAA Procurement of Flat-bed trolley for  UNIFAST Office use</t>
  </si>
  <si>
    <t>Project No. 2020-005: Upgrading Electrification and Modernization of Electrical Systems of East Bayugan Central Elementary School</t>
  </si>
  <si>
    <t>PROJECT # 20-065 CIVIL WORKS FOR CONSTRUCTION OF PHARMACIA DE TAYABAS  – BRGY. SAN DIEGO ZONE-1, TAYABAS CITY</t>
  </si>
  <si>
    <t>Proposed Construction and Improvement of Municipal Step Landing (Concrete Step Landing, River Control and Concrete Pathing)</t>
  </si>
  <si>
    <t>RFQ2020-08-018 GAA Procurement of extension wires for  UNIFAST Office use</t>
  </si>
  <si>
    <t>Procurement of Fuel PR # 2020-07-29-298</t>
  </si>
  <si>
    <t>Procurement of Door-to-Door Delivery of Materials and Equipment for the Reproduction of Self-Learning Modules (SLMs) Lot 11</t>
  </si>
  <si>
    <t>Contract ID No. ADS II GOODS-020-04 - Maintenance/Painting/Repainting of Faded Pavement Markings (Edge Line &amp; Center Line) using Reflectorized Thermoplastic Pavement Markings along Butuan City-Talacog</t>
  </si>
  <si>
    <t>INFRASTRUCTURE Project -LOWER SIBUGUEY I RIS EXTENSION PROJECT PACKAGE 3 CY 2016 REMAINING WORKS</t>
  </si>
  <si>
    <t>Cell Cards for Division Webinar on Scriptwriting and Broadcasting of Radio-Based Instruction and Orientation of SDO non-teaching and teaching related PFA Providers</t>
  </si>
  <si>
    <t>Contract ID: 20MB0157 :  Concreting of Brgy. San Jose FMR, Brgy. San Jose, General Santos City, South Cotabato</t>
  </si>
  <si>
    <t>PROJECT # 20-064 CIVIL WORKS FOR CONSTRUCTION OF MULTI-PURPOSE BUILDING PHASE 2   – BRGY. IPILAN, TAYABAS CITY</t>
  </si>
  <si>
    <t>PROJECT # 20-037 - CIVIL WORKS FOR IMPROVEMENT/CONCRETING OF CITY ROAD/LINE CANAL – BRGY. LITA, CITY OF TAYABAS</t>
  </si>
  <si>
    <t>Rehabilitation of Catholic Cemetery Access Road (Phase 2)</t>
  </si>
  <si>
    <t>Project No. 2020-002: Repair and Rehabilitation of Classrooms of Kiawan Elementary School</t>
  </si>
  <si>
    <t>CONCRETING OF PATHWALK</t>
  </si>
  <si>
    <t>Construction/Improvement of Giray Street (71 ln.m. PCCP, 71 ln.m. Drainage Canal)</t>
  </si>
  <si>
    <t>Procurement of Door-to-Door Delivery of Materials and Equipment for the Reproduction of Self-Learning Modules (SLMs) Lot 10</t>
  </si>
  <si>
    <t>PROJECT # 20-056 - CIVIL WORKS FOR CONSTRUCTION OF HIGH SCHOOL PERIMETER FENCE – BRGY POTOL, CITY OF TAYABAS</t>
  </si>
  <si>
    <t>Project No. 2020-008: Upgrading Electrification and Modernization of Electrical Systems of Calaitan NHS</t>
  </si>
  <si>
    <t>CONSTRUCTION OF CANAL AT RURAL HEALTH UNIT II</t>
  </si>
  <si>
    <t>RFQ NO. 2020-07-049-0018- Procurement of Customized Garments and Protective Eyegear for use in GAD and PDE for the 3rd Quarter of CY 2020 for use in the Operation of Planning and Design Section of DPW</t>
  </si>
  <si>
    <t>PUBLICATION OF COMPREHENSIVE LAND USE PLAN FOR CY 2017 TO 2026 AND ZONING ORDINANCE</t>
  </si>
  <si>
    <t>INVITATION TO BID FOR THE UPGRADING OF VMMC ELECTRICAL SYSTEM (PHASE 2)- 2nd REBIDDING</t>
  </si>
  <si>
    <t>Spares and Services for the Avionics Upgrade of C-130B Aircraft Nr 3633</t>
  </si>
  <si>
    <t>Project No. 2020-007: Upgrading Electrification and Modernization of Electrical Systems of Mt. Olive NHS</t>
  </si>
  <si>
    <t>Spares and Services for the Avionics Upgrade of C-130H Aircraft Nr 4704</t>
  </si>
  <si>
    <t>PROJECT # 20-080 CIVIL WORKS FOR IMPROVEMENT/CONCRETING OF FARM TO MARKET ROAD   – BRGY. LAKAWAN, CITY OF TAYABAS</t>
  </si>
  <si>
    <t>Construction of Street Lights Pedestal at 500 pcs (Phase I) National Road and City Streets of Dapitan City POW # 2020-08-11-011</t>
  </si>
  <si>
    <t>MG-A5C20-073  ( INSTALLATION OF SAFETY SIGNAGES AT AGUS 4 SPILLWAY )</t>
  </si>
  <si>
    <t>PROCUREMENT OF TWO (2) UNITS COPIER FOR THE OFFICE OF THE DISTRICT SUPERVISOR</t>
  </si>
  <si>
    <t>Supply and Delivery of Original Corporate Generator Set (Brand New) for the use of Municipal Town Hall, Calauag, Quezon</t>
  </si>
  <si>
    <t>Spares for the Repair and Maintenance of Avionics of C-130 Fleet</t>
  </si>
  <si>
    <t>Supply &amp; delivery of materials to be used for the Repair/Maintenance along Daang Maharlika and Plaridel-Pulilan Diversion Road</t>
  </si>
  <si>
    <t>SUPPLY &amp; DELIVERY OF MATERIALS FOR THE COMPLETION /IMPROVEMENT OF DAYCARE CENTER AT SITIO KIBUDA [1ST BID]</t>
  </si>
  <si>
    <t>Project No. 2020-004: Repair and Rehabilitation of Classrooms of New Leyte Elementary School</t>
  </si>
  <si>
    <t>Installation of 18 Units Solar Panel for RHU Building, Brgy. Poblacion, Buenavista, Quezon</t>
  </si>
  <si>
    <t>Purchase of 2 units Window Type 2Hp Air-con Unit</t>
  </si>
  <si>
    <t>Procurement of Various Inks of POEA for 3rd and 4th Quarter (ITB 06-2020)</t>
  </si>
  <si>
    <t>Printing of Modules (San Roque - San Luis ES)</t>
  </si>
  <si>
    <t>Procurement of Grocery Items PR # 2020-08-10-326</t>
  </si>
  <si>
    <t>ENG'G PASBAC 006-20 Supply and Delivery of One (1) Unit  Generator Set (250 KVA)  with Trailer</t>
  </si>
  <si>
    <t>Procurement of Health Supplies for Kinder to Grade 6 (Rebid)</t>
  </si>
  <si>
    <t>Drilling of the Potable Water System &amp; Installation of Submersible Pump with Completer Accessories &amp; Pipelines</t>
  </si>
  <si>
    <t>Spares for the Maintenance and Recovery of T-41K Nr 976 Aircraft</t>
  </si>
  <si>
    <t>Printing of Modules (San Luis ES)</t>
  </si>
  <si>
    <t>Supply and Installation Solar Street Lights</t>
  </si>
  <si>
    <t>Project No. 2020-009: Upgrading Electrification and Modernization of Electrical Systems of Magkiangkang National High School</t>
  </si>
  <si>
    <t>Procurement of Tyrosine Kinase Inhibitor</t>
  </si>
  <si>
    <t>“Purchase of One (1) Unit Forward Six Wheeler Truck Self-Loading with Boom (Second Hand)”</t>
  </si>
  <si>
    <t>3 Gate of Barangay Complex</t>
  </si>
  <si>
    <t>Spares for the Maintenance and Recovery of T-41B Aircraft Tail Nr 086</t>
  </si>
  <si>
    <t>PROCUREMENT OF MEDICINES, VITAMINS, TESTING KITS AND OTHER MEDICAL SUPPLIES USE FOR HATUD SERBISYO SA BARANGAY [1ST BID]</t>
  </si>
  <si>
    <t>Procurement of N95 respirator, filter and other supplies</t>
  </si>
  <si>
    <t>One (1) Lot Supply, Delivery, Installation, Testing and Commissioning of Four (4) Brand New passenger Elevators including Dismantling of Existing Elevators (ITB 05-2020)</t>
  </si>
  <si>
    <t>Barangay Day</t>
  </si>
  <si>
    <t>ENG'G PASBAC 007-20 Supply and Delivery of Four (4) Units  Generator Set (25 KVA)  with Trailer</t>
  </si>
  <si>
    <t>Purchase of Educational Supplies and Materials (BCPC Program)</t>
  </si>
  <si>
    <t>Procurement of Door-to-Door Delivery of Additional Materials and Equipment for the Reproduction of Self-Learning Modules in the schools under DepEd Southern Leyte</t>
  </si>
  <si>
    <t>Construction of Dagman River Control</t>
  </si>
  <si>
    <t>Procurement and Delivery of Catering Services for Feeding Program 2020</t>
  </si>
  <si>
    <t>SUPPLY AND DELIVERY OF OFFICE EQUIPMENT AND SUPPLIES FOR DEPED CARAMOAN DISTRICT</t>
  </si>
  <si>
    <t>RFQ 2020-08-014</t>
  </si>
  <si>
    <t>BCPC Children's Playground</t>
  </si>
  <si>
    <t>One (1) Lot – Enterprise Backup and Recovery System Upgrade for the BSP Data Centers – Backup as a Service, as per BSP Terms of Reference</t>
  </si>
  <si>
    <t>Purchase of Supplies and Materials for PWD Livelihood Program</t>
  </si>
  <si>
    <t>ENG'G PASBAC 008-20 Supply and Delivery of  Seven (7) Units  Generator Set (15 KVA)  with Trailer</t>
  </si>
  <si>
    <t>Supply of Fuel for Various Municipal Offices Public Utility Vehicles</t>
  </si>
  <si>
    <t>Purchase of KKDK Counselling Supplies and Materials</t>
  </si>
  <si>
    <t>Boundary Marker</t>
  </si>
  <si>
    <t>RFQ 2020-08-013</t>
  </si>
  <si>
    <t>SUPPLY AND DELIVERY OF MATERIALS FOR THE CONSTRUCTION OF CONCRETE STAIRS W/ HANDRAIL / SITIO BARAS, BRGY. CATMON</t>
  </si>
  <si>
    <t>Purchase and Installation of 100ft Tower Mast with 1 Unit VHF Repeater &amp; Accessorie</t>
  </si>
  <si>
    <t>SUPPLY AND DELIVERY OF MATERIALS FOR THE CONCRETING OF PATHWAY  / BRGY. MABINI</t>
  </si>
  <si>
    <t>SUPPLY AND DELIVERY OF LABOR AND MATERIAS FOR THE REPAIR OF CANAL LINING WITH COVER AND CONCRETING OF PATHWAY AT BRGY POBLACION iv, TANZA CAVITE</t>
  </si>
  <si>
    <t>SUPPLY AND DELIVERY OF MATERIALS FOR THE CONSTRUCTION OF FLOOD CONTROL / ABAD AREA, BRGY. CALUMPANG</t>
  </si>
  <si>
    <t>Reproduction and Delivery of 1st Quarter Learning Modules for SY 2020-2021</t>
  </si>
  <si>
    <t>Procurement of PPE's for Fronliners-BGCM</t>
  </si>
  <si>
    <t>S/D of 570 Bag	Cement &amp; 71 others</t>
  </si>
  <si>
    <t>Procurement of Construction Materials for Road Concreting, Purok 2B, Barangay Pigsalohan</t>
  </si>
  <si>
    <t>Purchase of Livelihood Supplies and Materials (BADAC Program)</t>
  </si>
  <si>
    <t>Purchase of Cosmetology Supplies and Materials (BCPC Livelihood Program)</t>
  </si>
  <si>
    <t>Construction of Drainage Canal</t>
  </si>
  <si>
    <t>Supply and Delivery of Plastic Shredder (Pet Bottles) Gas Engine</t>
  </si>
  <si>
    <t>RENOVATION / IMPROVEMENT OF SANGGUNIANG BAYAN SESSION HALL</t>
  </si>
  <si>
    <t>Construction of Farm to Market Road @ so. Subok, Brgy. Aluyon, Burdeos, Quezon</t>
  </si>
  <si>
    <t>GPG-B1-2020-395 – REBID -PROCUREMENT OF TWENTY-FOUR (24) MONTHS SUPPORT AND MAINTENANCE SERVICE FOR THE DATA CENTER EQUIPMENT OF THE BUREAU OF CUSTOMS (BOC)</t>
  </si>
  <si>
    <t>COMPLETION OF  BHS BUILDING (FINISHING WORKS INCLUDING PROVISION OF WATERSYSTEM) KAKIDUGEN</t>
  </si>
  <si>
    <t>Completion of Multi-Purpose Building at Brgy. Aringay, Bangilan &amp; Bannawag, Kabacan, Cotabato</t>
  </si>
  <si>
    <t>Purchased of supplies for the reproduction of learning materials</t>
  </si>
  <si>
    <t>2020-GOODS-057_Repair of Multi-Media Classroom – Lingayen Campus (Equipment)</t>
  </si>
  <si>
    <t>CONSTRUCTION OF HAND WASHING FACILITY WITH OVERHEAD WATER TANK IN DEP. ED. SCHOOLS</t>
  </si>
  <si>
    <t>PROCUREMENT FOR THE SUPPLY AND DELIVERY OF   FORTY-FIVE (45) UNITS LAPTOP COMPUTERS (BRANDED)</t>
  </si>
  <si>
    <t>2020-GOODS-056_Upgrading of Information Technology Laboratory Rooms in Urdaneta City Campus (Equipment)</t>
  </si>
  <si>
    <t>Construction of Drainage Canal Purok Rosas, Barangay Domoit, Lucena City</t>
  </si>
  <si>
    <t>2020-GOODS-055_Procurement of Diploma Forms, Diploma Jackets, OTR Forms, Abaray, Souvenir Programs, Medals and Pins for the 41st University Commencement Exercises</t>
  </si>
  <si>
    <t>Procurement of 4,624 LITERS DIESEL FUEL for the Use of the Government Vehicles under the Vice Governor’s Office</t>
  </si>
  <si>
    <t>Concreting of Road Purok Maganda Demesa Compound Barangay Gulang Gulang, Lucena City</t>
  </si>
  <si>
    <t>REHABILITATION OF STREETLIGHT SYSTEM</t>
  </si>
  <si>
    <t>Procurement of 6,000 KILOS ROOTCROPS (Purple Ube and Taro or ColocasiaEsculenta) for Use in NLD-Forest Landscape Restoration for Sustainable Development (NLD-FLRSD) Program</t>
  </si>
  <si>
    <t>Procurement of 25,000 Pieces ABACA SUCKERS/SHOOTS for Use in NLD-Forest Landscape Restoration for Sustainable Development (NLD-FLRSD) Program Amid COVID-19 Crisis</t>
  </si>
  <si>
    <t>SLF Fencing and Electrification (Single Phase Line Extension) Project, Kabacan, Cotabato</t>
  </si>
  <si>
    <t>Maintenance of CCTV</t>
  </si>
  <si>
    <t>Supply &amp; Delivery of Tires</t>
  </si>
  <si>
    <t>UPLB-S-052-09-20, SUPPLY AND DELIVERY OF  DRUGS AND MEDICINES FOR UHS</t>
  </si>
  <si>
    <t>LOT Procurement of Vehicle Parts for the Use of Isuzu Elf</t>
  </si>
  <si>
    <t>LOT Procurement of SPAREPARTS for the Use of Toyota Grandia of the Provincial Tourism Office</t>
  </si>
  <si>
    <t>Completion of Multi-Purpose Building at Brgy. Dagupan, Kilagasan &amp; Magatos, Kabacan, Cotabato</t>
  </si>
  <si>
    <t>Supply and Delivery of Construction Materials and Supplies</t>
  </si>
  <si>
    <t>LOT Procurement of VETERINARY SUPPLIES for Use in Provincial Livestock and Breeding Center at PARDC, Magay, City of Mati</t>
  </si>
  <si>
    <t>Construction of Farm to Market Road @ So. Lawis, Brgy. Carlagan, Burdeos, Quezon</t>
  </si>
  <si>
    <t>PROCUREMENT OF CATERED MEALS</t>
  </si>
  <si>
    <t>Construction of Farm to Market Road @ So. Proper toward Brgy. Mabini, Brgy. Carlagan, Burdoes,Quezon</t>
  </si>
  <si>
    <t>20GD0115 - CONCRETING OF FARM-TO-MILL ROAD, SITIO ESPERANZA, BRGY. BINUNTUCAN TO BRGY. CABUNGAHAN ROAD, PONTEVEDRA, CAPIZ</t>
  </si>
  <si>
    <t>Supply and Delivery of Pulverizing  Machine (Bottles) Electric Engine</t>
  </si>
  <si>
    <t>Supply and Delivery of Initial Supplies for the  Securities and Exchange Commission - Disaster Management Committee</t>
  </si>
  <si>
    <t>20GGD0004 - PROCUREMENT AND DELIVERY OF COPIER TO BE USED IN THE PLANNING AND DESIGN SECTION FOR THE CONDUCT OF FEASIBILITY STUDY/ PRE-FEASIBILITY STUDY/ PRELIMINARY AND DETAILED ENGINEERING (PDE) ACT</t>
  </si>
  <si>
    <t>Street Barrier</t>
  </si>
  <si>
    <t>2020-GOODS-054_Upgrading of Engineering and Technology Laboratories of the Pangasinan State University (Furnitures and Aircondition Units)</t>
  </si>
  <si>
    <t>Procurement of Safety Equipment for DepEd Central Office</t>
  </si>
  <si>
    <t>RFQ 2020-08-015</t>
  </si>
  <si>
    <t>Electrification Project along USM Avenue, Part of Sunrise &amp; Sunset in Brgy. Poblacion</t>
  </si>
  <si>
    <t>20GD0114 - CONCRETING OF BRGY. IBACA TO BRGY. ARANGUEL FMR, BRGY. IBACA AND BRGY. ARANGUEL, PRESIDENT ROXAS, CAPIZ</t>
  </si>
  <si>
    <t>Purchase of Supplies and Materials for Upgrading of Day Care Playground (BCPC Program)</t>
  </si>
  <si>
    <t>MATERIALS FOR THE INSTALLATION OF 55-UNITS STREET LIGHTS (SWD TO PALANAS (BIOMASS AREA), SAGAY CITY,  		NEGROS OCCIDENTAL)</t>
  </si>
  <si>
    <t>LOT Procurement of SPAREPARTS and REPAIR for the Use of KIA Bongo Vehicle (Drop Side Cargo)</t>
  </si>
  <si>
    <t>Completion of LIGA Building, Centro Poblacion, Culasi, Antique</t>
  </si>
  <si>
    <t>BARANGAY SERVICE AND RESCUE MOTOR VEHICLE WITH SIDECAR OF CATANUSAN</t>
  </si>
  <si>
    <t>CONTRACT ID: 20-08-111 - PROGESTIN SUB-DERMAL IMPLANT (PSI) ANCILLARY KITS</t>
  </si>
  <si>
    <t>Purchase of Electronic Digital Scoreboard (Wireless) Dual Scorebaord</t>
  </si>
  <si>
    <t>IMPROVEMENT OF ANDELUCIA FMR</t>
  </si>
  <si>
    <t>VARIOUS MEDICAL &amp; SURGICAL SUPPLIES FOR AEMSMDH</t>
  </si>
  <si>
    <t>Invitation to Bid for the Procurement of General Support Services (Janitorial, Security, and Driving Services)  For FY 2020</t>
  </si>
  <si>
    <t>Procurement of Reproduction and Soft Binding of FHSIS Reporting and Recording Tools</t>
  </si>
  <si>
    <t>1-UNIT FORAGE CHOPPER WITH BASE &amp; WITH SHORT CHUTE (WITHOUT ENGINE FOR SAGAY CITY CATTLE FARM)</t>
  </si>
  <si>
    <t>Procurement of mats. for Road Concreting (FMR)</t>
  </si>
  <si>
    <t>Farm Tractor with trailer</t>
  </si>
  <si>
    <t>Supply and delivery of 150 box Disposable Face Mask for distribution to different Barangays of the 2nd district of Leyte. ABC PHP127,500.00</t>
  </si>
  <si>
    <t>20-08-621 Purchase of Commonly-Used Office Supplies of the Different Offices in the Local Government Unit of Alamada, Cotabato</t>
  </si>
  <si>
    <t>Continuation/ Construction of Farm to Market Road @ Brgy. Amot, Brgy. Poblacion, Burdeos, Quezon</t>
  </si>
  <si>
    <t>Repair of School Building @ Burdeos Central Elementary School, Brgy. Poblacion, Burdeos, Quezon</t>
  </si>
  <si>
    <t>Procurement of Creative Cloud and Firewall</t>
  </si>
  <si>
    <t>RFQ 2020-08-012</t>
  </si>
  <si>
    <t>SUPPLY AND DELIVERY OF PCR COLLECTION KIT</t>
  </si>
  <si>
    <t>Purchase of BCPC Furnitures</t>
  </si>
  <si>
    <t>SUPPLIES AND DELIVERIES OF CONSTRUCTION MATERIALS FOR THE IMPROVEMENT OF STREET LIGHTING SYSTEM</t>
  </si>
  <si>
    <t>Spares for the Maintenance and Recovery of SF260FH Aircraft Tail Nr 038</t>
  </si>
  <si>
    <t>Concreting of Batonan Norte-San Pascual FMR, Brgy. Batonan Norte, Culasi, Antique</t>
  </si>
  <si>
    <t>Improvement/Rehab of Multipurpose  Building</t>
  </si>
  <si>
    <t>8918-20-051)  REHABILITATION OF ROAD AT LEXBER HEIGHTS, CAMP 7 C/O CEO (RE-BIDDING)</t>
  </si>
  <si>
    <t>20-08-637 Purchase of Musical Instruments for LGU Use</t>
  </si>
  <si>
    <t>8918-19-228)  CONTINUATION OF THE REHABILITATION OF THE MULTI-PURPOSE HALL AT UPPER GEN. LUNA C/O CBAO (RE-BIDDING)</t>
  </si>
  <si>
    <t>8918-20-198)  REHABILITATION OF GALLIANO CREEK AT UPPER Q. M. C/O CEO (RE-BIDDING)</t>
  </si>
  <si>
    <t>14 Fire Hose and Fire Hydrant Key</t>
  </si>
  <si>
    <t>8918-20-137/8918-20-201)  A.  COVERING OF CANAL FROM POLINEC'S RESIDENCE GOING INFRONT OF THE EPISCOPAL CHURCH PUROK 2 AT UPPER ROCK QUARRY, B.  REHABILITATION OF CANAL SYSTEM AT MIDDLE ROCK QUARRY C/</t>
  </si>
  <si>
    <t>8918-20-064)  CONCRETING OF ROAD, URDHI, ROAD 2 SECTOR 5 AT DOMINICAN-MIRADOR C/O CEO (RE-BIDDING)</t>
  </si>
  <si>
    <t>Construction of Light House @ Brgy. Calutcot, Burdeos, Quezon</t>
  </si>
  <si>
    <t>Renovation of Welding and Fabrication Building (Phase 1)</t>
  </si>
  <si>
    <t>8918-19-206) REHABILITATION OF MULTI-PURPOSE HALL (FEDERATION OF BAGUIO SENIOR CITIZENS ASSOCIATION, FBASECA-FCCAP BAGUIO CHAPTER AT UPPER SESSION ROAD, SALUD MITRA C/O CBAO (RE-BIDDING)</t>
  </si>
  <si>
    <t>8918-20-151/8918-20-045)  A. REPAIR AND REHABILITATION OF SIDEWALK AND INSTALLATION OF WALKSHED INFRONT OF DONA AURORA ELEM. SCHOOL PUROK I AT NORTH CENTRAL AURORA HILL, B.  DRAINAGE CANAL AT PUROK 3,</t>
  </si>
  <si>
    <t>8918-20-034/8918-20-035) A. REHABILITATION OF SIDEWALK ALONG SGT. FLORESCA ST., B.  SIDEWALK REHABILITATION, BOTH AT AURORA HILL PROPER C/O CEO (RE-BIDDING)</t>
  </si>
  <si>
    <t>8918-20-052)  REHABILITATION OF ROAD AT LEXBER HEIGHTS BEING USED AS ACCESS ROAD BY RESIDENTS AT CAMP 7 C/O CEO (RE-BIDDING)</t>
  </si>
  <si>
    <t>8918-20-154) CONSTRUCTION OF BOX CULVERT AT REGIDOR FRONTING DANGAWEN'S RESIDENCE TO COEDNO'S RESIDENCE AT PACDAL C/O CEO (RE-BIDDING)</t>
  </si>
  <si>
    <t>8918-20-155) CONSTRUCTION OF CANAL FROM LITENG SCHOOL GOING TO DONGAAS RESIDENCE AT PACDAL C/O CEO (RE-BIDDING)</t>
  </si>
  <si>
    <t>CONSTRUCTION OF PATHWALK</t>
  </si>
  <si>
    <t>8918-20-145/8918-20-144/8918-20-141/8918-20-146/8918-20-142/8918-20-147) A. INSTALLATION OF HAND RAILINGS ALONG THE PATHWAY FROM MASLAS RESIDENCE AT LOWER PUROK 3, B.  DRAINAGE CANAL, C. CONCRETING OF</t>
  </si>
  <si>
    <t>PHO-20-0921-B PURCHASE OF OFFICE EQUIPMENT</t>
  </si>
  <si>
    <t>Improvement/Completion of Multi-Purpose Building (Caridad) Brgy. Caridad, Culasi, Antique</t>
  </si>
  <si>
    <t>8918-20-157) CONTINUATION OF ROAD AT COMICHOS RESIDENCE TO MOLINTAS RESIDENCE AT PACDAL C/O CEO (RE-BIDDING)</t>
  </si>
  <si>
    <t>LOT Procurement of SPAREPARTS and REPAIR for the Use of FORD RANGER Vehicle</t>
  </si>
  <si>
    <t>Procurement of Office Supplies, IT Equipment Parts &amp; Accessories  PR # 2020-08-03-308</t>
  </si>
  <si>
    <t>RETROFITTING OF GABALDON TYPE BUILDING (ADMINISTRATION BUILDING) - GOA</t>
  </si>
  <si>
    <t>Project No. 2020-006: Upgrading Electrification and Modernization of Electrical Systems of Bayugan Central Elementary School and SPED Center</t>
  </si>
  <si>
    <t>PROJECT # 20-078 CIVIL WORKS FOR CONSTRUCTION OF NCDC PARKING AND OTHER FACILITY   – BRGY. POTOL, CITY OF TAYABAS</t>
  </si>
  <si>
    <t>PROJECT # 20-077 CIVIL WORKS FOR CONSTRUCTION OF IRRIGATION CANAL  – BRGY. OPIAS, CITY OF TAYABAS</t>
  </si>
  <si>
    <t>8918-20-194) CONCRETING OF SPILLWAY CANAL AT PUROK 6, UPPER DAGSIAN C/O CEO (RE-BIDDING)</t>
  </si>
  <si>
    <t>Local Infrastructure Program – Construction of School Covered Court Manuel L. Quezon Elementary School, Brgy. Upper Session Road, Baguio City, Benguet</t>
  </si>
  <si>
    <t>Spares for the IRAN Requirements of SF260M Tail Nr 687</t>
  </si>
  <si>
    <t>8918-20-136)  CONSTRUCTION AND INSTALLATION OF A PROTECTIVE GATE AND CANOPY AND TILING OF THE STAIRS, MULTI-PURPOSE HALL AT MIDDLE ROCK QUARRY C/O CBAO (RE-BIDDING)</t>
  </si>
  <si>
    <t>Desktop Computers with Printers &amp; CCTV Monitoring Equipment - Office of the City Mayor</t>
  </si>
  <si>
    <t>Other Machineries and Equipment</t>
  </si>
  <si>
    <t>Split Type Aircon etc. (08-0881) DepEd</t>
  </si>
  <si>
    <t>CONCRETE PAVING OF ROAD SHOULDER AT SAN PEDRO STREET</t>
  </si>
  <si>
    <t>PROCUREMENT OF 7 POSTS OF SOLAR POWERED  STREET LIGHTING SYSTEM</t>
  </si>
  <si>
    <t>Procurement of Non-Regulated Drugs for ZDSMC Pharmacy Stocking/Sale Purposes (O.R. use)</t>
  </si>
  <si>
    <t>supply &amp; delivery of Various Furniture &amp; Fixture</t>
  </si>
  <si>
    <t>Purchase of school and office supplies</t>
  </si>
  <si>
    <t>Procurement of Motorcycle PR # 2020-07-29-302-B</t>
  </si>
  <si>
    <t>CID No. 19OD0324 - Construction of Seven (7) Storey Valenzuela Center for Academic Excellence, Brgy. Malinta, Valenzuela City</t>
  </si>
  <si>
    <t>Road Opening at Brgy. Katipunan</t>
  </si>
  <si>
    <t>Improvement and Concreting of Farm to Market Road, Quinfermin</t>
  </si>
  <si>
    <t>Procurement of 5,251 pcs. Washable face masks-B-20-0215-rebid</t>
  </si>
  <si>
    <t>Improvement of Multi-Purpose Building, Mambog</t>
  </si>
  <si>
    <t>2020-TF-05: WATERWORKS SYSTEM PROJECT IN BRGYS. DANGOY, POBLACION, ANTONIO CANAO, AND MABILONG, LUBUAGAN</t>
  </si>
  <si>
    <t>Improvement of Multi-Purpose Building, Villa Hermosa</t>
  </si>
  <si>
    <t>CONTRACT ID: 19-12 - 273 2ND REBID - PROCUREMENT OF VARIOUS DRUGS AND MEDICINES</t>
  </si>
  <si>
    <t>CONSTRUCTION OF CONCRETE FOOT BRIDGE BRGY. PONSO POLANGUI ALBAY</t>
  </si>
  <si>
    <t>Procurement of 500 pcs polo shirt with design-B-20-0216-rebid</t>
  </si>
  <si>
    <t>REHABILITATION OF MULTI-PORPUSE BUILDING / NEW MUNICIPAL HALL (8000-2-2-17) MABILA, SARANGANI, DAVAO OCCIDENTAL</t>
  </si>
  <si>
    <t>IB No. 2008-391 Proc. of Infra [Road Concreting of Cabise Road (Coastal Road to Taloto-Ubujan Road)]</t>
  </si>
  <si>
    <t>Construction and Rehab of River Control @ Sitio Nanamburan Brooks, Sitio Nanamburan, Calaoaan</t>
  </si>
  <si>
    <t>Construction of Overflow Bridge at Bet-Lower Anayo, Aritao, Nueva Vizcaya</t>
  </si>
  <si>
    <t>Construction of River Wall, Pilar-Las-ud-Villa Hermosa</t>
  </si>
  <si>
    <t>Procurement of various tires-B-20-0220</t>
  </si>
  <si>
    <t>Construction of Drainage Canal Quezon Ave. (Beside SKSU), Brgy. Poblacion, City of Tacurong</t>
  </si>
  <si>
    <t>ROAD CONCRETING (DOUBLE LANE)  GOMEZ ST. (8000-2-2-16) MABILA, SARANGANI, DAVAO OCCIDENTAL</t>
  </si>
  <si>
    <t>Proposed Construction of Seawall</t>
  </si>
  <si>
    <t>Procurement of food supplies (meals and snacks) within Davao de Oro-B-20-0228</t>
  </si>
  <si>
    <t>Procurement of Various Construction Supplies and Materials 08-511(O)PEO</t>
  </si>
  <si>
    <t>CW20-035-1 Lot Construction of Water System at Liwanag Center, Brgy. Libasan ( Construction of elevated tank, well drilling, installation of pipelines and 1 set 3.0 Hp single phase submersible pump) (</t>
  </si>
  <si>
    <t>Procurement of Various Construction Supplies and Materials 06-316(O)PEO</t>
  </si>
  <si>
    <t>Procurement of Various Furniture 08-509(O)PEO</t>
  </si>
  <si>
    <t>Procurement of Various Construction Supplies and Materials 06-318(O)PEO</t>
  </si>
  <si>
    <t>8918-19-216)  REHABILITATION OF THE MULTI-PURPOSE HALL-REWIRING OF ELECTRICAL LINES, PLUMBING WORKS, REPAINTING AND TILING WORKS AT DAY CARE CENTER, STA. ESCOLASTICA VILLAGE C/O CBAO (RE-BIDDING)</t>
  </si>
  <si>
    <t>Improvement of Barangay Multi- Purpose BUilding</t>
  </si>
  <si>
    <t>Procurement of Various Medical Supplies 07-026(V)PDH</t>
  </si>
  <si>
    <t>Purchase &amp; Delivery of Const. Materials &amp; Supplies for the   project Concreting of Access Road towards Silop Cave,  Brgy. Silop, Surigao City</t>
  </si>
  <si>
    <t>PROCUREMENT OF MEALS FOR THE SUPPLEMENTARY FEEDING PROGRAM FOR NUTRITIONALLY AT RISK PREGNANT MOTHERS</t>
  </si>
  <si>
    <t>RIPRAPPING/SLOPE PROTECTION OF LAWAYE RIVER- BRGY. POCTOL, PALINGOWAK, BALAGBAG</t>
  </si>
  <si>
    <t>Purchase &amp; Delivery of Const. Materials &amp; Supplies for the  project Concreting of Pathway @ Sitio Guiso,  Brgy. Capalayan, Surigao City</t>
  </si>
  <si>
    <t>CONTRACT ID:20-07-096 - PROCUREMENT OF AEROSOL BOX</t>
  </si>
  <si>
    <t>Procurement of Various Aggregates Supplies 08-520(O)PEO</t>
  </si>
  <si>
    <t>Improvement &amp; Concreting of Farm to Market Road, Tampugo</t>
  </si>
  <si>
    <t>SUPPLY AND DELIVERY OF MEDICINES FOR COVID -19 RESPONSE</t>
  </si>
  <si>
    <t>ITB No. 2020-08-044:PURCHASE AND DELIVERY OF DIGITAL DUPLICATOR WITH COMPUTER INTERFACE AND SUPPLIES</t>
  </si>
  <si>
    <t>Procurement of Various Aggregates Supplies 08-515(O)PEO</t>
  </si>
  <si>
    <t>IMPROVEMENT OF BRGY. ROAD &amp; CONSTRUCTION OF BOX CULVERT- BRGY. ESCRIBANO</t>
  </si>
  <si>
    <t>Purchase of One Unit Marine Ambulance Boat under PR No. 2020-06-2516</t>
  </si>
  <si>
    <t>Procurement of Various Construction Supplies and Materials 06-317(O)PEO</t>
  </si>
  <si>
    <t>Procurement of Construction Supplies 08-517(O)PEO</t>
  </si>
  <si>
    <t>CLUSTER 45-2020</t>
  </si>
  <si>
    <t>Purchase &amp; Delivery of Const. Materials &amp; Supplies for the   project Embankment &amp; concreting of Brgy. Roads (Phase II)   Purok 1-2,  Brgy. Baybay, Surigao City</t>
  </si>
  <si>
    <t>1.87 pcs.-Jetnatic Pump,2.87pcs.-GI Pipe S-40</t>
  </si>
  <si>
    <t>Supply, Delivery and Commissioning of One (1) unit Brand New Portable Air Compressor</t>
  </si>
  <si>
    <t>RE BIDDING - CONCRETING OF REGIDOR ST. BRGY. 9 LUCBAN, QUEZON</t>
  </si>
  <si>
    <t>Procurement of Various Aggregates Supplies 08-512(O)PEO</t>
  </si>
  <si>
    <t>IB No. 2003-206 Proc. of Goods (Operational Tent)(Rebid)</t>
  </si>
  <si>
    <t>Medical Assistance/Laboratories Fees of Indigents of Passi City/CMO</t>
  </si>
  <si>
    <t>Supply and Delivery of One (1) Unit Passenger Van (for conversion into an ambulance and fitted with necessary medical equipment and apparatus) to be deployed in the Incident Command Post in Barangay B</t>
  </si>
  <si>
    <t>YDP 2020 IT EQUIPMENT , SCHOOL SUPPLIES  DEVICE &amp; GEN. MERCHANDISE</t>
  </si>
  <si>
    <t>IB No. 2001-22 Proc. of Goods (Books)(Rebid)</t>
  </si>
  <si>
    <t>SDH-20-0975-B HOUSEKEEPING SUPPLIES</t>
  </si>
  <si>
    <t>Procurement of Various Aggregates Supplies 08-505(O)PEO</t>
  </si>
  <si>
    <t>SDH-20-0976-B OFFICE SUPPLIES</t>
  </si>
  <si>
    <t>PORT OF MEDELLIN STREET LIGHTING</t>
  </si>
  <si>
    <t>CONSTRUCTION OF SOLAR DRIER</t>
  </si>
  <si>
    <t>IB CADETS UNIFORM LOT A</t>
  </si>
  <si>
    <t>SDH-20-0848-B FIRE EXTINGUISHER (REFILL)</t>
  </si>
  <si>
    <t>Purchase of Medicines for LGU Health Program for 3rd Quarter 2020</t>
  </si>
  <si>
    <t>PROCUREMENT OF MEDICINES FOR MUNICIPAL HEALTH OFFICE</t>
  </si>
  <si>
    <t>CONCRETING OF ROAD AT CHRIST THE KING STREET CORNER NARRA ST., PUROK 9 PHASE 2, BRGY. STO. NIÑO, TUGBOK DISTRICT, DAVAO CITY</t>
  </si>
  <si>
    <t>Construction of Warehouse Phase I</t>
  </si>
  <si>
    <t>SDH-20-0977-B MEDICAL SUPPLIES</t>
  </si>
  <si>
    <t>Cemetery Development (P-1, Barangay Maparat)</t>
  </si>
  <si>
    <t>Livestock</t>
  </si>
  <si>
    <t>SUPPLY AND DELIVERY OF OFFICE CHAIRS</t>
  </si>
  <si>
    <t>Repair of Sitio Balibayon  Irrigation System    Brgy. Rizal, Surigao City</t>
  </si>
  <si>
    <t>CONSTRUCTION OF MUNICIPAL PIGGERY BUILDING II, SITIO BUNGA, BRGY. STA RITA,  MASINLOC, ZAMBALES</t>
  </si>
  <si>
    <t>Riprapping and Seawall of Purok 3  Brgy. Bilabid, Surigao City</t>
  </si>
  <si>
    <t>PROCUREMENT OF TABLETS INCLUSIVE OF AR SYSTEM FOR 18 MARITIME COURSES AND AUDIO VIDEO RECORDING SYSTEM FOR BLENDED LEARNING</t>
  </si>
  <si>
    <t>Repair/Rehab. Of Senior High School Training Center Phase II, S.C. Pilot School, Brgy. Taft, Surigao City</t>
  </si>
  <si>
    <t>CONSTRUCTION BARANGAY MULTIPURPOSE HALL, BRGY. BALOGANON, MASINLOC, ZAMBALES</t>
  </si>
  <si>
    <t>Purchase &amp; Delivery of Electrical Supplies for the project Installation of City Street Lights at Bernadeth Village, Sitio Looc/Bacud,  Brgy. Luna, Surigao City</t>
  </si>
  <si>
    <t>Procurement of Construction Supplies 08-514(O)PEO</t>
  </si>
  <si>
    <t>Procurement of Various Construction Supplies and Materials 08-513(O)PEO</t>
  </si>
  <si>
    <t>IMPROVEMENT OF SLAUGHTERHOUSE (ACQUISITION OF NECESSARY EQUIPMENT (SUPPLY AND INSTALLATION OF ADDITIONAL CATTLE LINE EQUIPMENTE</t>
  </si>
  <si>
    <t>PB INFRA 20-070 Construction of Tribal Hall @ Sitio B'laan, Owas, Magpet, Cotabato</t>
  </si>
  <si>
    <t>PROCUREMENT OF BOOKPAPER-A4 FOR THE REPRODUCTION OF MODULES</t>
  </si>
  <si>
    <t>Procurement of 20 units mechanical beds with mattress and 2 cranks, with side rails and wheels-B-20-0225</t>
  </si>
  <si>
    <t>PB INFRA 20-069 Construction of Tribal Hall @ Sitio B'laan, Kanibong, Tulunan, Cotabato</t>
  </si>
  <si>
    <t>FUELS/FUEL ADDITIVES &amp; LUBRICANT &amp; ANTI-CORROSIVE</t>
  </si>
  <si>
    <t>Procurement of 4 units led wall rental-B-20-0226</t>
  </si>
  <si>
    <t>Completion of Brgy Mat-I Irrigation System   Phase 1,  Brgy. Mat-i, Surigao City</t>
  </si>
  <si>
    <t>Procurement of Various Construction Supplies and Materials 08-518(O)PEO</t>
  </si>
  <si>
    <t>IB CADETS UNIFORM LOT F</t>
  </si>
  <si>
    <t>Procurement of 1 package mega tent 40x60 and railings (1 day) rental-B-20-0227</t>
  </si>
  <si>
    <t>IB CADETS UNIFORM LOT G</t>
  </si>
  <si>
    <t>IB CADETS UNIFORM LOT E</t>
  </si>
  <si>
    <t>Procurement of Construction Supplies 08-516(O)PEO</t>
  </si>
  <si>
    <t>Concreting of Brgy. Road Purok 3</t>
  </si>
  <si>
    <t>SDH-20-0708-B DIESEL FUEL</t>
  </si>
  <si>
    <t>ICT ACCESSORIES</t>
  </si>
  <si>
    <t>Rehabilitation of Floodway East Embankment Road Cainta-Taytay, Rizal</t>
  </si>
  <si>
    <t>Improvement of Concrete Stage</t>
  </si>
  <si>
    <t>PROPOSED PUBLIC TOILET AT PORT OF MEDELLIN</t>
  </si>
  <si>
    <t>Purchase of office and IT equipment and supplies to be used in the reproduction of modules for students of various schools at Bauan, Batangas</t>
  </si>
  <si>
    <t>Purchase of one (1) unit, 4 x 2, Dsl, Garbage Dump Truck to be used for garbage collection within the Municipality of Bauan, Batangas</t>
  </si>
  <si>
    <t>PR-2020-2139 Health Kits to IP Households-PSWDO</t>
  </si>
  <si>
    <t>CONCRETING OF CARANGAN BARANGAY ROAD</t>
  </si>
  <si>
    <t>ESTABLISHMENT OF 40 FOOTER VAN AS ADMINISTRATION OFFICE AT MEDELLIN PORT</t>
  </si>
  <si>
    <t>Supplies for use at the Office of the Municipal Health Officer (Capitation)</t>
  </si>
  <si>
    <t>PR-2020-1441 One (1) Unit Utility Vehicle Cab &amp; Chassis Type, Brand new (Rebid)-PGO</t>
  </si>
  <si>
    <t>PR-2020-1605 One (1) Unit Brand new Mobile Radiographic X-ray, Heavy duty (Rebid)-PHO</t>
  </si>
  <si>
    <t>CLUSTER 46-2020</t>
  </si>
  <si>
    <t>SUPPLY AND DELIVERY OF 3 UNITS BRAND NEW UTILITY VEHICLE</t>
  </si>
  <si>
    <t>Purchase &amp; Delivery of Const. Materials &amp; Supplies for the  	project Concreting of Roads,  Brgy. San Pedro, Surigao City</t>
  </si>
  <si>
    <t>SDH-20-0444-B (RE-BID) LABORATORY SUPPLIES</t>
  </si>
  <si>
    <t>Construction of Pathway Purok 4</t>
  </si>
  <si>
    <t>IB CADETS UNIFORM LOT D</t>
  </si>
  <si>
    <t>INVITATION TO BID FOR SUPPLY AND DELIVERY OF GOODS (SAMAR LIVELIHOOD SEEDING PROGRAM)</t>
  </si>
  <si>
    <t>SDH-20-0363-B (RE-BID) DRUGS AND MEDICINES</t>
  </si>
  <si>
    <t>SDH-20-0273-B (RE-BID) OFFICE SUPPLIES</t>
  </si>
  <si>
    <t>SDH-20-0448-B (RE-BID) LABORATORY SUPPLIES</t>
  </si>
  <si>
    <t>Improvement of Multi- purpose Hall</t>
  </si>
  <si>
    <t>PR-2020-1293 Drugs &amp; Medicines (Rebid)-CDH</t>
  </si>
  <si>
    <t>Purchase of Medical Supplies (Birthing) and Dental Supplies for 3rd  Quarter 2020</t>
  </si>
  <si>
    <t>PR-2020-2103 Office Supplies-DepEd</t>
  </si>
  <si>
    <t>IB CADETS UNIFORM LOT C</t>
  </si>
  <si>
    <t>Upgrading of Gud-Nagbukel-Villaflor (port.) Road</t>
  </si>
  <si>
    <t>SUPPLY AND DELIVERY OF MEALS AND SNACKS SERVED DURING THE RE-OPENING OF TOURISM ACTIVITIES - PORO, CEBU</t>
  </si>
  <si>
    <t>Construction of Pathway Purok 5</t>
  </si>
  <si>
    <t>Supply and Delivery of 52,950 bags Urea Fertilizer</t>
  </si>
  <si>
    <t>Supply and Delivery of construction materials requirements for the Repair and  maintenance of school building OF JULIAN P. GOMILLA ELEM. SCHOOL</t>
  </si>
  <si>
    <t>COMPLETION OF ALS BUILDING</t>
  </si>
  <si>
    <t>Procurement of WIFI MODEM</t>
  </si>
  <si>
    <t>Rescue Suit</t>
  </si>
  <si>
    <t>Concreting of Roads, Along E. Meman Alley, Atulayan Norte, Tuguegarao City, Cagayan</t>
  </si>
  <si>
    <t>20GIL0055(SUPPLY/DELIVERY OF GRASS CUTTER TD40 SPARE PARTS AND ACCESSORIES, ETC.,DPWH-SLDEO, MAASIN CITY, SOUTHERN LEYTE)</t>
  </si>
  <si>
    <t>REQUEST FOR EXPRESSION OF INTEREST FOR THE ENGAGEMENT OF A CONSULTING SERVICE PROVIDER (CSP) FOR THE REVIEW AND DESIGN OF THE INFORMATION TECHNOLOGY (ITG) STRUCTURE &amp; STRATEGY</t>
  </si>
  <si>
    <t>Fertilizer</t>
  </si>
  <si>
    <t>Concreting along J. Montemayor Street of Brgy. San Roque, Alaminos City, Pangasinan</t>
  </si>
  <si>
    <t>IB No. 2008-407 Proc. of Goods (ICT and Office Equipment)</t>
  </si>
  <si>
    <t>Job Order for Repair of Municipal Nursery (MGSO) at Municipal Hall Site, Binuangan, Maco, Davao de Oro</t>
  </si>
  <si>
    <t>Procurement of Fire and IT Equipment (Bureau of Fire Protection - Larena)</t>
  </si>
  <si>
    <t>General Housekeeping Services for GSIS Head Office and Quezon City Branch Office</t>
  </si>
  <si>
    <t>REHABILITATION  OF SAMMUKI-PULAG WATER WORKS SYSTEM</t>
  </si>
  <si>
    <t>Construction of Daycare Center, Brgy. Maticdum, Tandag City</t>
  </si>
  <si>
    <t>Procurement of 319 sacks of rice (well milled) 50kgs./sack-B-20-0223</t>
  </si>
  <si>
    <t>IB CADETS UNIFORM LOT B</t>
  </si>
  <si>
    <t>Procurement of spareparts-B-20-0221</t>
  </si>
  <si>
    <t>SDH-20-0978-B MEDICAL OXYGEN</t>
  </si>
  <si>
    <t>Procurement of various office supplies-B-20-0224</t>
  </si>
  <si>
    <t>Repair of Hanging Bridge Deadman</t>
  </si>
  <si>
    <t>CONSTRUCTION OF SAMMUKI-POLAG DRAINAGE CANAL</t>
  </si>
  <si>
    <t>Concreting of Demoloc-Guisok-Sarangani Road Phase II located at Demoloc-Guisok-Sarangani, Malita, Davao Occidental</t>
  </si>
  <si>
    <t>Cartolina etc. (07-0815)City Health Office</t>
  </si>
  <si>
    <t>HBA1C Test  etc. (08-0878) CCAH</t>
  </si>
  <si>
    <t>Procurement of food supplies (grocery items)-B-20-0222</t>
  </si>
  <si>
    <t>CY 2020 Supply and Delivery of 150 units of COMCOLOR FW1230-INK CARTRIDGE BLACK for In House Printing of Learning Modules for SY 2020-2021</t>
  </si>
  <si>
    <t>Payao -Fish Shelter etc.(07-0818) Agriculturist</t>
  </si>
  <si>
    <t>Supply and Delivery of 4 Units Refrigerator, Single Door; PR No. 20-1722 dated July 7, 2020</t>
  </si>
  <si>
    <t>Supply and Delivery of 4 Pc. Cut-off Wheel 14" &amp; Other Items; PR No. 20-1794 dated March 4, 2020</t>
  </si>
  <si>
    <t>Supply and Delivery of 20 Gal. Quick Dry Enamel Yellow - 4 liters &amp; Other Items; PR No. 20-1721 dated June 29, 2020</t>
  </si>
  <si>
    <t>3LSSM2020A-169 Food Supplies</t>
  </si>
  <si>
    <t>SUPPLY AND DELIVERY OF LEARNING MATERIALS-GAD</t>
  </si>
  <si>
    <t>Supply/Delivery of Farm Tractor</t>
  </si>
  <si>
    <t>Construction of Two (2) Storey Registrar's Office Building of SDSSU Lianga Campus</t>
  </si>
  <si>
    <t>3LSSM2020A-168 Food Supplies</t>
  </si>
  <si>
    <t>2020-08-0764 VAN RENTAL (44 Days-On Call) FOR THE USE OF DSWD MIMAROPA FIELD OFFICE STAFF DURING THE COMMUNITY QUARANTINE</t>
  </si>
  <si>
    <t>Procurement of Various Goods for the Maintenance and Operation of the Office of the Chief Minister-Bangsamoro Autonomous Region in Muslim Mindanao (OCM-BARMM) (Re-Bid)</t>
  </si>
  <si>
    <t>Procurement of Digital Duplicator &amp; Bond Paper for Printing of Modules of Dep Ed Pagsanjan</t>
  </si>
  <si>
    <t>Supply and delivery of Materials for the Stage Ceiling at Lowland INHS @ Brgy. Maravilla, Nagcarlan, Laguna</t>
  </si>
  <si>
    <t>VAN RENTAL FOR LOCALLY STRANDED INDIVIDUALS (LSI)</t>
  </si>
  <si>
    <t>3LSSM2020A-160 Office Supplies</t>
  </si>
  <si>
    <t>Group B- (rebid) - Office Equipment</t>
  </si>
  <si>
    <t>20GGI0025 - Supply/Delivery of Various  Spare Parts for use in the repair of Mitsubishi Road Grader (N1-2070) assigned at Maintenance Section, DPWH, Iloilo 4th District Engineering Office</t>
  </si>
  <si>
    <t>FURNISHING OF LABOR AND MATERIALS FOR THE REPAIR OF FARM TO MARKET ROAD AT BRGY. PATLAD, DUMANGAS, ILOILO (REBIDDING)</t>
  </si>
  <si>
    <t>Disinfectant Solution etc.(08-0877) CCAH</t>
  </si>
  <si>
    <t>Procurement of Hospital medical Equipment Services</t>
  </si>
  <si>
    <t>Repair, Repainting and Rehabilitation of Control Circuit of Primary and Secondary Gates</t>
  </si>
  <si>
    <t>MNHS printing of modules</t>
  </si>
  <si>
    <t>REHABILITATION OF MULTI-PURPOSE BUILDING AT BARANGAY BULACAN, PAYAO, ZAMBOANGA SIBUGAY</t>
  </si>
  <si>
    <t>Supply and Delivery of Executive Table, Executive Chair and Smart TV for the office of Assistant Secretary for Legal and Overseas Operation</t>
  </si>
  <si>
    <t>Supply and Delivery of Male and Female for the Training on Integrated Corn-Based Farming System cum Goat Production Farmers of Alabel, Sarangani  for ATI-RTC XII.</t>
  </si>
  <si>
    <t>SUPPLY &amp; DELIVERY OF T-SHIRT</t>
  </si>
  <si>
    <t>CONTRACT ID: 20-08-112 - PROCUREMENT OF VARIOUS DRUGS AND MEDICINES</t>
  </si>
  <si>
    <t>IPH-20-0685-B - PURCHASE OF MEDICAL SUPPLIES</t>
  </si>
  <si>
    <t>Purchase of Additional Instructional Materials, Workbook &amp; Textbooks (LSB)</t>
  </si>
  <si>
    <t>IMPROVEMENT OF MULTI-PURPOSE BUILDING (COVERED COURT FLOORING), UPPER SUMILONG, PAYAO, ZAMBOANGA SIBUGAY</t>
  </si>
  <si>
    <t>Repair of Municipal Building and Legislative Building</t>
  </si>
  <si>
    <t>POWER BILL DEPOSIT - METER DEPOSIT AT NEW CITYHALL, PEÑAPLATA, SAMAL DISTRICT, IGACOS under PR# 2020-08-3067.</t>
  </si>
  <si>
    <t>Security Services Provider of Three (3) Security Guards at RELC, Cabatangan and DepEd Satelite Office, Normal Road, Baliwasan, Zamboanga City</t>
  </si>
  <si>
    <t>Purchase of Construction Materials and Supply</t>
  </si>
  <si>
    <t>Construction of Acao Multi- Pupose Hall Phase II</t>
  </si>
  <si>
    <t>supply &amp; delivery of digital duplicator</t>
  </si>
  <si>
    <t>PEO-20-0962-B Purchase of Outer Tires for use in the replacement of worn out tires of Various Heavy Equipments assigned at PEP, Sta. Barbara, Iloilo</t>
  </si>
  <si>
    <t>Purchase of Heavy Duty Fast Speed Full Color Printer Line-Inkjet System and Supplies</t>
  </si>
  <si>
    <t>GOV-20-0477-B Purchase of Office Equipment</t>
  </si>
  <si>
    <t>Purchase of Rubber Boat with Outboard Motor (MDRRMO)</t>
  </si>
  <si>
    <t>Improvement of Sanitary Landfill at Sitio Dupacpac, Acao, Bauang</t>
  </si>
  <si>
    <t>PEO-20-0963-B- Purchase of Spare Parts for use of Service Vehicles PU-20, 21, 22, 23, 24, 25 and 26 assigned at PEP, Sta. Barbara, Iloilo</t>
  </si>
  <si>
    <t>20GG0071-G - Procurement of Various Spare Parts for Use of Various Service Vehicles Assigned for the Repair and Maintenance of National Roads of DPWH Iloilo 2nd DEO, Balabag, Dumangas, Iloilo</t>
  </si>
  <si>
    <t>Purchase of Bond Paper for School Modules (LSB)</t>
  </si>
  <si>
    <t>Supply and Delivery of Materials for the Installation of Solar Lights at Basketball Court, Caldong Resettlement, Barangay Caldong</t>
  </si>
  <si>
    <t>PEO-20-0961-B Purchase of Spare Parts for use in the repair of Volvo Payloader (VFL 3, 4 and 5) Model: L60F assigned at PEP, Sta. Barbara, Iloilo</t>
  </si>
  <si>
    <t>IMPROVEMENT OF GONOGON MULTIPURPOSE HALL</t>
  </si>
  <si>
    <t>Contract ID No. 20NC0141 - Construction of Quarantine Facility in Agusan del Sur</t>
  </si>
  <si>
    <t>IB No. 2008-408 Proc. of Goods (Pocket WiFi with Prepaid Sim)</t>
  </si>
  <si>
    <t>AGR-20-0992-B Purchase of Motorcycle</t>
  </si>
  <si>
    <t>Procurement of Diesel Fuel-08-472(A)PGO</t>
  </si>
  <si>
    <t>Procurement of Construction Materials for the Improvement/Upgrading of Facilities at PAGCOR Itum Baylao, Mambajao, Camiguin and Procurement of Construction Materials of BODEGA at Provincial Plant Nurs</t>
  </si>
  <si>
    <t>Upgrading/Concreting of Barangay Road</t>
  </si>
  <si>
    <t>PURCHASE OF CONSTRUCTION MATERIALS AND SUPPLIES</t>
  </si>
  <si>
    <t>Purchase Assorted Office Supplies and Office Equipment</t>
  </si>
  <si>
    <t>GOV-20-0990-B Purchase of Generator Set</t>
  </si>
  <si>
    <t>Establishment of Command Center for Public Safety and Disaster Preparedness (Phase VI)</t>
  </si>
  <si>
    <t>ITB No. (INF) 2020-08-117 CONSTRUCTION OF NEW CAPITOL BUILDING, Capitol Site, Brgy. Alang-alang, Borongan City, Eastern Samar</t>
  </si>
  <si>
    <t>CONSTRUCTION OF POKIPOK RETAINING WALL, MALIGCONG</t>
  </si>
  <si>
    <t>Procurement of Gasoline Fuel-08-467(A)PGO</t>
  </si>
  <si>
    <t>Procurement of two (2) units Mini- Excavator with dozer</t>
  </si>
  <si>
    <t>Procurement of Hardware Supplies-08-495(O)PEO</t>
  </si>
  <si>
    <t>Purchase of Medical Ambulance</t>
  </si>
  <si>
    <t>Improvement/Rehabilitation of Drainage at Pilandora St., Barangay Liang, City of Malolos</t>
  </si>
  <si>
    <t>ITB No. 20-076   RE-BIDDING FOR ONE (1) LOT SUPPLY, DELIVERY, TESTING AND COMMISSIONING OF TWENTY (20) UNITS PULSE OXIMETERS</t>
  </si>
  <si>
    <t>DISTRIBUTION LINE EXPANSION AT BRGY BONOT STA. ROSA - LABOR AND MATERIALS</t>
  </si>
  <si>
    <t>Procurement of Hardware Supplies-08-475(A)PGO</t>
  </si>
  <si>
    <t>Fullway Road Concreting of Farm to Market Road (L=590.00m; W=4.00m; t=0.20m) at Cabungaan to Cambangkaya, Catmon, Cebu</t>
  </si>
  <si>
    <t>Construction of Road and Drainage of City Government Center, Mc Arthur Highway, Brgy Bulihan, City of Malolos</t>
  </si>
  <si>
    <t>Construction of Barangay Health Station at Brgy San Vicente, City of Malolos</t>
  </si>
  <si>
    <t>Construction of Barangay Health Station at Brgy Mambog, City of Malolos</t>
  </si>
  <si>
    <t>Rehabilitation of PAMANA Terminal Building Phase II</t>
  </si>
  <si>
    <t>AGR-20-0994-B Purchase of AGRICULTURAL SUPPLIES</t>
  </si>
  <si>
    <t>Procurement of Streetlights</t>
  </si>
  <si>
    <t>20KG0101: Rehabilitation of Existing Damaged Stone Masonry (Catch Wall) to Reinforced Concrete (Catch Wall) along Dobleston-Butadon Road Contract ,  Kapatagan, Lanao del Norte, K2007+441-K2007+459</t>
  </si>
  <si>
    <t>Procurement of Diesel Fuel-08-470(A)PGO</t>
  </si>
  <si>
    <t>CLUSTER 49-2020</t>
  </si>
  <si>
    <t>20KG0100: Repair of Maranding Bridge Revetment (Downstream) along Linamon-Zamboanga Road, Maranding, Lala, Lanao del Norte</t>
  </si>
  <si>
    <t>Procurement of Diesel Fuel-08-469(A)PGO</t>
  </si>
  <si>
    <t>PURCHASE OF DIESEL FUEL</t>
  </si>
  <si>
    <t>PROCUREMENT OF AGRICULTURAL SUPPLIES AND INPUTS FOR THE SUSTAINABLE LAND RESOURCE MANAGEMENT APPROACH IN DEVELOPING AGRO-ENVIRONMENTAL POTENTIAL OF VULNERABLE UPLANDS AND HILLY LAND</t>
  </si>
  <si>
    <t>Procurement of Diesel Fuel-08-471(A)PGO</t>
  </si>
  <si>
    <t>CLUSTER 48-2020</t>
  </si>
  <si>
    <t>20KG0099: Repair of Damaged Overflow Submarine Bridge Flooring and Clearing of Waterways along Salvador-Sapad-Nunungan Road, Putidon, Salvador, Lanao del Norte, K1615+750-K1615798</t>
  </si>
  <si>
    <t>AGR-20-0995-B Purchase of Animal Feeds</t>
  </si>
  <si>
    <t>CLUSTER 47-2020</t>
  </si>
  <si>
    <t>Procurement of Supply &amp; Delivery of 5,500 heads Native Chicken (rebid)</t>
  </si>
  <si>
    <t>PEO-20-0926-B- Purchase of Diesel Fuel for use in truck team operation for the repair and maintenance of Provincial roads and bridges in the Province of Iloilo</t>
  </si>
  <si>
    <t>IB No. 2008-409 Proc. of Goods (3 Months Prepaid Load)</t>
  </si>
  <si>
    <t>Procurement of Supply &amp; Delivery of 1,076 bags Fertilizers</t>
  </si>
  <si>
    <t>CY 2020 BEFF REPAIR AND REHABILITATION OF CLASSROOMS (BATCH 2)</t>
  </si>
  <si>
    <t>PPD-20-0957-B Purchase of DESKTOP SIMULATOR AND 3D PRINTER</t>
  </si>
  <si>
    <t>COMPLETION OF MULTI-PURPOSE BUILDING (at Brgy. Rizal)</t>
  </si>
  <si>
    <t>NEGOTIATION for the Procurement of Supply &amp; Delivery of Piglets (Typhoon Ursula)</t>
  </si>
  <si>
    <t>CONSTRUCTION OF SPILLWAY AT LOWER CAMPO, POBLACION</t>
  </si>
  <si>
    <t>Purchase of Materials for the Improvements/ Rehabilitation of Senior Citizen Bldg. at Mun. Compound Vic,Lag.</t>
  </si>
  <si>
    <t>INVITATION TO BID FOR THE REBIDDING OF THE CONSTRUCTION OF DAY CARE CENTER  AT SITIO BUTAY,PICHON</t>
  </si>
  <si>
    <t>20KG0102: Rehabilitation of Damaged Drainage along Tagoloan – Balo-I Road Contract, Tagoloan, Lanao del Norte, K1544+253-K1544+568</t>
  </si>
  <si>
    <t>Food Supplies and Delivery of School Based Feeding Program (SBFP)</t>
  </si>
  <si>
    <t>Concreting of Hacienda-Camalatan Road - Brgy. Nonong Sr., SLA</t>
  </si>
  <si>
    <t>Purchase of Various Medicines for RHU</t>
  </si>
  <si>
    <t>Rehabilitation/Improvement of Maintenance of SB Building/Construction of Children's Library - Barangay 2, SLA</t>
  </si>
  <si>
    <t>Construction of Ynares Stage at Dr. Vivencio Villamayor Integrated School, Brgy. San Isidro, Angono, Rizal</t>
  </si>
  <si>
    <t>Construction of Evacuation Center - Barangay Dibut, SLA</t>
  </si>
  <si>
    <t>Procurement of Computer Accessories/Consumables, Janitorial Supplies, Office Supplies, Construction Supplies &amp; Electrical Supplies, Office Accessories &amp; Equipment and Other Categories &amp; Sports Equipme</t>
  </si>
  <si>
    <t>Spring Development - Barangay Dimanayat, SLA</t>
  </si>
  <si>
    <t>Construction of Multipurpose Building Phase III - Barangay 04, SLA</t>
  </si>
  <si>
    <t>Invitation to Bid for the Procurement of Liquid Chromatography-Tandem Mass Spectrometry (MS/MS) System-REFERENCE # 2020-08-10</t>
  </si>
  <si>
    <t>Invitation to Bid for the Procurement of Assorted Technical and Scientific Equipment-REFERENCE # 2020-08-09</t>
  </si>
  <si>
    <t>FOOD PROVISIONS FOR COVID-19 AFFECTED VULNERABLE GROUPS AND INDIVIDUALS (SAN LUIS, AURORA)</t>
  </si>
  <si>
    <t>Construction of Office, Locker &amp; Shower Room and Pool Pump Room at Zambales Sports Center Phase 2, Iba</t>
  </si>
  <si>
    <t>PURCHASE OF 1 UNIT VEHICLE (SAN LUIS, AURORA)</t>
  </si>
  <si>
    <t>Supply and delivery of integrated all in one solar powered street lights</t>
  </si>
  <si>
    <t>Improvement of Ynares Multi-Purpose Covered Court and Stage at Montevilla Subd., Brgy. Bilibiran, Binangonan, Rizal</t>
  </si>
  <si>
    <t>Construction of Flood Control - Barangay Dibayabay, SLA</t>
  </si>
  <si>
    <t>Construction of Concrete Canal Lining - Diotorin, Barangay Dibayabay, SLA</t>
  </si>
  <si>
    <t>Construction/Provision of Wash Facilities (Water, Sanitation &amp; Hygiene) for Evacuation Center at Hulo National High School, Pililla, Rizal</t>
  </si>
  <si>
    <t>Improvement/Repair of Ynares Multi-Purpose Covered Court &amp; Improvement of Perimeter Fence at Brgy. Sta. Cruz &amp; Brgy. Dela Paz, Antipolo City</t>
  </si>
  <si>
    <t>Construction/Provision of Wash Facilities (Water, Sanitation &amp; Hygiene) for Evacuation Center at Hulo Elem. School, Pililla, Rizal</t>
  </si>
  <si>
    <t>Construction/Provision of Wash Facilities (Water, Sanitation &amp; Hygiene) for Evacuation Center at URS Pililla, Pililla, Rizal</t>
  </si>
  <si>
    <t>Construction/Provision of Wash Facilities (Water, Sanitation &amp; Hygiene) for Evacuation Center at Sipsipin Elem. School, Jalajala, Rizal</t>
  </si>
  <si>
    <t>One (1) lot Supply, Delivery, Installation, and Make Operational of Inverter and Variable Refrigerant Flow Air-Conditioning System, including the Dismantling of Existing Units at 5-Storey and EDPC Bui</t>
  </si>
  <si>
    <t>Construction/Provision of Wash Facilities (Water, Sanitation &amp; Hygiene) for Evacuation Center at Bagumbong Elem. School, Jalajala, Rizal</t>
  </si>
  <si>
    <t>Improvement / Construction of Stone Masonry for Slope Protection of creek (portion), Brgy. Nagsulo, Cardona, Rizal</t>
  </si>
  <si>
    <t>Concreting of School Ground &amp; Construction of Artesian Well at Brgy. 2nd District &amp; Brgy. Pagkalinawan, Jalajala, Rizal</t>
  </si>
  <si>
    <t>INVITATION TO BID FOR THE  REBIDDING OF THE  SUPPLY AND DELIVERY OF VARIOUS CONSTRUCTION MATERIALS</t>
  </si>
  <si>
    <t>Concreting of creek bed at Purok 1 and Purok 2, Brgy. Balibago, Cardona, Rizal</t>
  </si>
  <si>
    <t>Repair/Repainting of Various Ynares School Building at Dalig Elem. School, Brgy. Dalig, Cardona, Rizal</t>
  </si>
  <si>
    <t>Construction of 47 In. m. Drainage Canal w/ Cover</t>
  </si>
  <si>
    <t>Purchase of Rescue Motor Vehicle</t>
  </si>
  <si>
    <t>Repair of Ynares Multi-Purpose Covered Court, Brgy. Looc, Cardona, Rizal</t>
  </si>
  <si>
    <t>Continuation of Construction of Multi Purpose Building /cum evac.center Phase 3</t>
  </si>
  <si>
    <t>Improvement of Covered Court (Bleacher Phase 2)</t>
  </si>
  <si>
    <t>CONSTRUCTION/INSTALLATION OF STREET LIGHTINGS,  CENTRO SUR-CENTRO NORTE, PANDAN, ANTIQUE</t>
  </si>
  <si>
    <t>Construction/Provision of Wash Facilities (Water, Sanitation &amp; Hygiene) for Evacuation Center at Pililla Elem. School (Central), Pililla, Rizal</t>
  </si>
  <si>
    <t>Supply and Delivery of Butcher’s Tools and Meat Processing Equipment (Strengthening the Agriculture and Food Technology Programs)</t>
  </si>
  <si>
    <t>Construction of Three (3) Storey, Twelve (12) Classroom School Building Maytalang I E/S, Lumban, Laguna</t>
  </si>
  <si>
    <t>Purchase of 1 set CCTV 16 Channels 12” Monitor with Accessories and Installation</t>
  </si>
  <si>
    <t>Construction/Provision of Wash Facilities (Water, Sanitation &amp; Hygiene) at Sitio Abuyod, Brgy. Dalig, Teresa, Rizal</t>
  </si>
  <si>
    <t>Construction/Provision of Wash Facilities (Water, Sanitation &amp; Hygiene) for Evacuation Center at Sitio Aguho, Tanay, Rizal</t>
  </si>
  <si>
    <t>Repair/Repainting/Improvement of Ynares School Buildings, Ynares Stage and Ynares Multi-Purpose Covered Court at Hulo Nat'l. High School, Brgy. Hulo, Pililla, Rizal</t>
  </si>
  <si>
    <t>IMPROVEMENT OF PUBLIC TOILET IN THE MANPOWER &amp; DEVELOPMENT CENTER</t>
  </si>
  <si>
    <t>Rehabilitation / Concreting of Zinia Street and Cardinal Ext. Street, Modesta Village, Sto. Niňo, San Mateo, Rizal</t>
  </si>
  <si>
    <t>Construction/Rehabilitation of Water Supply/Septage and Sewerage/Rain Water Collectors System</t>
  </si>
  <si>
    <t>Procurement of Various Medical Equipment for the Healthcare Waste Management Program of the Congressman Enrique “Henry” M. Cojuangco Memorial District Hospital - B-G-2020-120</t>
  </si>
  <si>
    <t>Printing of Newsletters for Information Dissemination - B-G-2020-119</t>
  </si>
  <si>
    <t>Procurement of Four (4) units Brand New Motorcycle for use of the Provincial Government of Tarlac (Rebid) - B-G-2020-118</t>
  </si>
  <si>
    <t>Purchase of Xerox Machine</t>
  </si>
  <si>
    <t>Installation of Street Light</t>
  </si>
  <si>
    <t>Construction of Covered Pathwalk at Punta Elem. School, Brgy. Punta, Jalajala, Rizal</t>
  </si>
  <si>
    <t>Concrete Reblocking of Cattleya Street, Modesta Village, Sto. Niňo, San Mateo, Rizal</t>
  </si>
  <si>
    <t>S3-PLM20-002 (PB2) - Supply and Delivery of Various Mechanical Spares for Perkins Genset for Palimbang Diesel Power Plant</t>
  </si>
  <si>
    <t>Supply, Delivery and Installation of Accelerographs</t>
  </si>
  <si>
    <t>CONSTRUCTION OF MULTI-PURPOSE COVERED COURT/EVACUATION CENTER @ BRGY. PULONG NIOGAN, MABINI, BATANGAS</t>
  </si>
  <si>
    <t>S1-LDP20-013 (PB2) - Lease of 0.5 MW Modular Diesel Gensets for Lubang DPP, Lubang, Occidental Mindoro</t>
  </si>
  <si>
    <t>REPAIR AND REHABILITATION OF ROOFING AND GUTTER OF THE ADMINISTRATIVE BUILDING AND ADJOINING SPACE</t>
  </si>
  <si>
    <t>CONSTRUCTION OF STA ANA-SAN JOAQUIN FARM-TO-MARKET  ROAD (SASJ FMR), PANDAN, ANTIQUE</t>
  </si>
  <si>
    <t>OPENING/CONSTRUCTION OF ACCESS ROAD,  CARMEN, PANDAN, ANTIQUE</t>
  </si>
  <si>
    <t>PURCHASE OF BLUE DIGITAL DUPLICATOR @ MUNICIPALITY OF MOBO, MASBATE</t>
  </si>
  <si>
    <t>CONSTRUCTION OF BARANGAY ROAD, ZALDIVAR, PANDAN, ANTIQUE</t>
  </si>
  <si>
    <t>NOTICE FOR NEGOTIATED PROCUREMENT - SUPPLY AND DELIVERY OF AIR CONDITION UNITS</t>
  </si>
  <si>
    <t>S1-TIN20-010 (PB2) - Lease of 0.6 MW Modular Diesel Gensets for Tingloy DPP, Tingloy, Batangas</t>
  </si>
  <si>
    <t>IMPROVEMENT OF WATER SYTEM</t>
  </si>
  <si>
    <t>SUPPLY AND DELIVERY OF MATERIALS NEEDED FOR THE REPAIR AND MAINTENANCE OF FACILITIES OF ITBAYAT DPP</t>
  </si>
  <si>
    <t>PROCUREMENT OF PROPOSED INSTALLATION OF SECURITY SURVEILLANCE SYSTEM (CCTV)(BARANGAY BALONGATING, GUIPOS ZDS)</t>
  </si>
  <si>
    <t>Construction of Foot Bridge at Brgy. Angayen to Brgy. Mamaanun</t>
  </si>
  <si>
    <t>Improvement of Road</t>
  </si>
  <si>
    <t>PEO- 20-068-B (RE-BID) NORTHERN ILOILO FISHERY REHABILITATION AND DEVELOPMENT PROJECT (NI-FRDP) - REHABILITATION AND IMPROVEMENT OF CONCEPCION FISH PORT Concepcion, Iloilo</t>
  </si>
  <si>
    <t>CONCRETING OF BARANGAY ROAD, ZALDIVAR, PANDAN, ANTIQUE</t>
  </si>
  <si>
    <t>Construction of Canopy for Multi-Purpose Building (Brgy Hall)</t>
  </si>
  <si>
    <t>Construction of Perimeter Fence at Talaga Elem. School, Sitio Talaga, Brgy. Maybancal, Morong, Rizal</t>
  </si>
  <si>
    <t>Construction of Additional Material Recovery Facility (MRF)</t>
  </si>
  <si>
    <t>SUPPLY AND DELIVERY OF MEDICAL , DENTAL AND LABORATORY SUPPLIES</t>
  </si>
  <si>
    <t>Construction of Executive Complex Drainage</t>
  </si>
  <si>
    <t>Repair and Maintenance of existing Small Water Impounding System and Small Farm Reservoir on NSWRRDC, Cuyambay, Tanay Rizal CY 2020 IB NO: BSWM-2020-08-014</t>
  </si>
  <si>
    <t>Concreting of 250 Linear Meters "Access Road to School" Brgy. Sigayan</t>
  </si>
  <si>
    <t>PURCHASE AND INSTALLATION OF CCTV's WITH IT'S COMPLETE ACCESSORIES AT MPW-BARMM LANAO DEL SUR 2ND DISTRICT ENGINEERING OFFICE</t>
  </si>
  <si>
    <t>Supply and Delivery of various Chemicals and Laboratory supplies (Batch 2) CY 2020 IB NO: BSWM-2020-08-013</t>
  </si>
  <si>
    <t>Rehabilitation of BSWM Hitachi Elevators CY 2020 IB NO: BSWM-2020-08-012</t>
  </si>
  <si>
    <t>Construction of Drainage Canal, From Petron Bulilit - Purok Sampaguita, Brgy. Buenaflor, City of Tacurong</t>
  </si>
  <si>
    <t>Widening of Barangay Roads, Purok Sampaguita, Brgy. New Isabela, City of Tacurong - (Re-Bidding)</t>
  </si>
  <si>
    <t>SUPPLY OF LABOR AND MATERIALS FOR THE REPAIR OF EQUIPMENT CALIBRATOR (BOARD POWER SUPPLY) OF WMTSD</t>
  </si>
  <si>
    <t>SUPPLY AND DELIVERY OF GPE ITEMS FOR THE REPAIR AND RESTORATION OF GENERATING SET OF KABUGAO DPP</t>
  </si>
  <si>
    <t>MG-PLM20-086 - TO SUPPLY LABOR, TOOLS, EQUIPMENT AND MATERIALS FOR THE CUTTING OF TREES ALONG SLOPES OF POWER CHANNEL AND TREE PLANTING - PHASE 2 WITHIN THE PLANT.</t>
  </si>
  <si>
    <t>Construction of Burial Facility at Brgy. Sampaloc 1, Sariaya, Quezon</t>
  </si>
  <si>
    <t>MG-PLM20-122 - REPAIR OF STREET LIGHTING'S AT COMPOUND, INTAKE AND POWERHOUSE</t>
  </si>
  <si>
    <t>Re-Blocking/Concreting of Roads, Brgy. Rajah Muda, City of Tacurong</t>
  </si>
  <si>
    <t>Improvement of various school buildings at Tagumpay National High School, Brgy.  San Jose, Rodriguez, Rizal</t>
  </si>
  <si>
    <t>Construction of Perimeter Fence at Crisis Intervention Center</t>
  </si>
  <si>
    <t>Access Road to Special Drug Rehabilitation Center</t>
  </si>
  <si>
    <t>delivery &amp; installation of split type air-condition</t>
  </si>
  <si>
    <t>MG-PLM20-121 - ANNUAL PMS OF THREE UNITS, SUPPLY AND DELIVERY OF GENERATOR CLEANER, FAST DRYING &amp; SLOW DRYING</t>
  </si>
  <si>
    <t>Rehabilitation of Seawall along Manila Bay (Paraňaque Section) Phase II Paraňaque (Contract ID No. 20O00066)</t>
  </si>
  <si>
    <t>Construction of Municipal Multi-Purpose Hall Phase 1 under the "Design and Build" scheme at Barangay Poblacion, Biri, Northern Samar</t>
  </si>
  <si>
    <t>Purchase of  Dump Truck to be used in Solid Waste Management at the Municipality of San Nicolas, Batangas</t>
  </si>
  <si>
    <t>Contract ID No. 20GO00001: Procurement of Security Services Contract for DPWH-NCR.</t>
  </si>
  <si>
    <t>MG-PLM20-102 - UNINTERRUPTIBLE POWER SUPPLY (UPS) AT WAREHOUSE SERVER</t>
  </si>
  <si>
    <t>RFQ&gt;&gt;&gt; Reproduction of Self Learning Module for Kindergarten to Grade VI Learner|  Rizal Elementary School | ABC=P677,855.95</t>
  </si>
  <si>
    <t>RFQ&gt;&gt;&gt; Reproduction of Self Learning Module for Kindergarten to Grade VI Learner|  Rizal Elementary School | ABC=P110,999.25</t>
  </si>
  <si>
    <t>Rehabilitation of Seawall along Manila Bay (Paraňaque Section) Phase I Paraňaque (Contract ID No. 20O00065)</t>
  </si>
  <si>
    <t>Closing of Gaps along Malabon-Navotas River, Malabon City (Contract ID No. 20O00064)</t>
  </si>
  <si>
    <t>Repair and Rehabilitation of 2 units Foot Bridge at Brgy. Angayen</t>
  </si>
  <si>
    <t>EXTENSION OF MULTI-PURPOSE BUILDING, PHASE-1 (BARANGAY PAO, SAN PABLO ZDS)</t>
  </si>
  <si>
    <t>Demolition/Clearing of Existing Four (4) Structures affected by the Implementation of C-5 Northern Link Road Project, Segment 10, Exit Ramp from McArthur Highway, Valenzuela City to Malabon &amp; C-3 Road</t>
  </si>
  <si>
    <t>Subscription of an Off-The-Shelf Household-Level Data Management System (Developed for LGUs) and Formulation of Comprehensive Land Use Plan (CLUP)</t>
  </si>
  <si>
    <t>Purchase of Brgy. Patrol Car and Mini Dumptruck</t>
  </si>
  <si>
    <t>RFQ&gt;&gt;&gt; Reproduction of Learner's Modules (module 1) | Quezon Hill NHS | ABC=P103,200.00</t>
  </si>
  <si>
    <t>Request for quotation for procurement of Face Shields and Face Mask</t>
  </si>
  <si>
    <t>Construction of  Ynares Multi-Purpose Building &amp; Construction of Drainage Canal at Rodriguez &amp; Baras, Rizal</t>
  </si>
  <si>
    <t>MA-A2H20-014 Submersible Pump, Domestic Water, 10HP, AG1</t>
  </si>
  <si>
    <t>MA-A2M20-043 O/M of Garbage Cleaner &amp; Weeds Harvester, AG2</t>
  </si>
  <si>
    <t>MA-A2M20-048 Repair/Upgrading Ventilation Blower Duct Unit, AG1</t>
  </si>
  <si>
    <t>MA-A2M20-053 Rehab of Pipelines, AG2</t>
  </si>
  <si>
    <t>MA-A2M20-004 Network Upgrading for IPMS</t>
  </si>
  <si>
    <t>MA-A2H20-015 I/O Module, AG1</t>
  </si>
  <si>
    <t>MG-PAT20-040 - BUSHING, CURRENT TRANSFORMER, HIGH VOLTAGE SIDE, SUPPLY AND DELIVERY OF ONE HIGH VOLTAGE BUSHING OF PULANGI IV HEP 31.5MVA TAKE-OFF TRANSFORMER</t>
  </si>
  <si>
    <t>MG-PAT20-043 - BREAKER, CIRCUIT BREAKER, MOLDED CIRCUIT BREAKERS OF VARIOUS AMPERES</t>
  </si>
  <si>
    <t>Office.Supply.04</t>
  </si>
  <si>
    <t>Construction of RHU-Birthing Center</t>
  </si>
  <si>
    <t>Office.Supply.03</t>
  </si>
  <si>
    <t>INVITATION TO APPLY TO BID-CONSTRUCTION OF MATERIALS RECOVERY FACILITIES</t>
  </si>
  <si>
    <t>MG-PAT20-045 - FUSE LINK, SUPPLY AND DELIVERY OF TYPE H FUSE 221 &amp; 1 OTHER ITEM</t>
  </si>
  <si>
    <t>MG-PAT20-048 - DIGITAL METER, VOLTMETER</t>
  </si>
  <si>
    <t>Improvement / Construction of Drainage Canal at Block 3 Street and Block 17 Street, St. Peterville Subd., Brgy. San Jose, Rodriguez, Rizal</t>
  </si>
  <si>
    <t>20GFC0055: Purchase of Hot Asphalt (60/70), Primary and Secondary National Roads</t>
  </si>
  <si>
    <t>Construction/Provision of Wash Facilities (Water, Sanitation &amp; Hygiene) for Evacuation Center at Malaya  Elem. School, Pililla, Rizal</t>
  </si>
  <si>
    <t>Various Laboratory Supplies 1,173,065.20</t>
  </si>
  <si>
    <t>Supply and Delivery of Vehicles for the Integrated Natural Resources and Environmental Management Project – Livelihood Enhancement Support 2 (INREMP-LES 2)</t>
  </si>
  <si>
    <t>MA-A2M20-045 O/M of Standby Generator Set, AG1</t>
  </si>
  <si>
    <t>Various Testing Kits 7,107,340.00</t>
  </si>
  <si>
    <t>Various Drugs and Medicines 7,627,865.04</t>
  </si>
  <si>
    <t>MA-A2M20-018 Enhancement of Internet Connection</t>
  </si>
  <si>
    <t>Various Insecticides 9,536,175.00</t>
  </si>
  <si>
    <t>Supply &amp; Delivery for IT &amp; Furniture's Fixtures  Equipment</t>
  </si>
  <si>
    <t>Re-Bid Various Drugs and Medicines</t>
  </si>
  <si>
    <t>Construction of Covered Canal with manhole at Bayside, Purok 5.</t>
  </si>
  <si>
    <t>Supply and Delivery of Exit Signage and Various LED Lamps (7-line items), as per BSP Technical Specifications and BSP Supplied Evaluation Matrix</t>
  </si>
  <si>
    <t>SUPPLY AND DELIVERY OF 20 UNITS GENERATOR SET FOR DISTRIBUTION TO FARMERS ASSOCIATION/GROUP RECIPIENTS IN REGION III WHO ARE RECIPIENTS OF RECIRCULATING AND MOBILE FLASH DRYER UNDER RICE PROGRAM FOR T</t>
  </si>
  <si>
    <t>20GFC0059: Regravelling of Roadway along Sta. Elena – Capalonga – By Pass Coastal Road, Section 1: Brgy. Del Pilar, Capalonga, Camarines Norte; Section 3: Brgy. Itok, Capalonga, Camarines Norte</t>
  </si>
  <si>
    <t>One Lot Expansion of Evacuation Center, Phase V</t>
  </si>
  <si>
    <t>Expenses for August 2020</t>
  </si>
  <si>
    <t>Rebid Rabies Vaccine</t>
  </si>
  <si>
    <t>REPAIR/IMPROVEMENT OF MULTI-PURPOSE HALL</t>
  </si>
  <si>
    <t>Supply and Delivery of Various Office Supplies and Materials, as per BSP Terms of Reference (36 Lots)</t>
  </si>
  <si>
    <t>PROCUREMENT OF REPAIR AND MAINTENANCE OF RECORDS OFFICE OF BUILDING 9</t>
  </si>
  <si>
    <t>surplus truck double cab turbo diesel</t>
  </si>
  <si>
    <t>Supply and Delivery of Learning Resource Materials for the Implementation of BE-LCP</t>
  </si>
  <si>
    <t>PB INFRA 20-068_Concreting of Patindiguen Road, Patindiguen, Midsayap, Cotabato</t>
  </si>
  <si>
    <t>PB INFRA 20-067_Concreting of Road, New Consolacion, Mlang, Cotabato</t>
  </si>
  <si>
    <t>PB INFRA 20-073_Concreting of Palao - Kitubod Road, Libungan, Cotabato</t>
  </si>
  <si>
    <t>Concreting of Perlita Road</t>
  </si>
  <si>
    <t>Rehabilitation of Puspus-Calabugao Farm to Market Road, San Fernando City</t>
  </si>
  <si>
    <t>PB INFRA 20-066_Concreting of Paco - Inac Road, Kidapawan City</t>
  </si>
  <si>
    <t>MG-PAT20-041 - BUSHING, CURRENT TRANSFORMER, SUPPLY AND DELIVERY OF ONE LOW VOLTAGE BUSHING OF PULANGI IV HEP 31.5MVA TAKE-OFF TRANSFORMER</t>
  </si>
  <si>
    <t>PB-20-446, Supply &amp; Delivery of Smart Android TV for DEPED Offline Video Lessons</t>
  </si>
  <si>
    <t>PB-20-415, Supply &amp; Delivery of Certified Palay Seeds for distribution to farmers affected by calamities provincewide</t>
  </si>
  <si>
    <t>PB-20-414, Supply &amp; Delivery of Inorganic Fertilizer for production support to identified farmers provincewide</t>
  </si>
  <si>
    <t>Supply &amp; Delivery for capital Outlay</t>
  </si>
  <si>
    <t>Construction of Farmers Multi-Purpose Center, San Carlos, Caba</t>
  </si>
  <si>
    <t>PURCHASE OF 11 SETS OF SWIVEL CHAIRS AND OFFICE TABLES</t>
  </si>
  <si>
    <t>Construction of Pathway</t>
  </si>
  <si>
    <t>Purchase &amp; Installation of CCTV Camera</t>
  </si>
  <si>
    <t>PROCUREMENT OF CONSTRUCTION SUPPLIES AND MATERIALS FOR THE EXTENSION OF LOCAL ROAD</t>
  </si>
  <si>
    <t>PROVISION OF LEVEL I- POTABLE WATER SUPPLY SYSTEM</t>
  </si>
  <si>
    <t>AMP SVP-D NO: 20-08-0433 One (1) Lot Boxes for Mercury-containing Busted Flourescent Lamps</t>
  </si>
  <si>
    <t>20KC0127: Installation of Road Safety Devices (Road Signs) Along Sayre Highway Alae-Kisolon Road, Manolo Fortich &amp; Sumilao, Bukidnon</t>
  </si>
  <si>
    <t>Printing of Modules (Sapang Maisac ES)</t>
  </si>
  <si>
    <t>Printing of Modules (Tangle ES)</t>
  </si>
  <si>
    <t>Printing of Modules (San Carlos - San Luis ES)</t>
  </si>
  <si>
    <t>Supply &amp; Delivery of Agri Inputs to Tinagacan Agrarian Reform Beneficiaries Cooperative – Tinagacan General Santos City</t>
  </si>
  <si>
    <t>Concreting of Tutong Tawitawi Road</t>
  </si>
  <si>
    <t>Invitation to Bid for PROCUREMENT OF MEDICAL SUPPLIES AND EQUIPMENT</t>
  </si>
  <si>
    <t>ONCRETING  OF  ROAD  AT  ZONE 2,  WARAY DRIVE  ,DIVISORIA</t>
  </si>
  <si>
    <t>Supply and Delivery of Various Office Supplies and Materials, as per BSP Terms of Reference (42 Lots)</t>
  </si>
  <si>
    <t>PROCUREMENT OF AUTOMOTIVE FUEL  FY 2020</t>
  </si>
  <si>
    <t>SUPPLY AND DELIVERY OF BATTERIES</t>
  </si>
  <si>
    <t>Printing of Modules (San Isidro - San Luis ES)</t>
  </si>
  <si>
    <t>Printing of Modules (Cabetican ES)</t>
  </si>
  <si>
    <t>Various IEC Materials nad Printing Forms 4,402,466.00</t>
  </si>
  <si>
    <t>20GFC0056: Purchase of Asphalt Aggregates for Asphalt Patching of Primary and Secondary National Road, Camarines Norte</t>
  </si>
  <si>
    <t>20GFC0058: Equipment Rental along K0338+000 – K0340+000 Talobatib – Jose Panganiban Pob. – Port Road, K0338+000 – K0340+000, Jose Panganiban, Camarines Norte</t>
  </si>
  <si>
    <t>Construction of Bancagan Farmers Multi-Purpose Center, Naguilian</t>
  </si>
  <si>
    <t>Extension of Existing 2-storey Ynares Multi-Purpose Building, Brgy. 3rd District, Jalajala, Rizal</t>
  </si>
  <si>
    <t>Rental of Service Vehicle for use in the Supervision of Maintenance Activities along Makilala-Ala Valley Rd. and Kidapawan-Calunasan-Mlang Road (Makilala-Sinkatulan Sect.; Kidapawan-Calunasan Sect.) (</t>
  </si>
  <si>
    <t>20GFC0057: Purchase of Materials for Road Reblocking along K0338+000 – K0340+000, Talobatib – Jose Panganiban Pob. – Port Road, K0338+000 – K0340+000, Jose Panganiban, Camarines Norte</t>
  </si>
  <si>
    <t>Construction/Provision of Wash Facilities (Water, Sanitation &amp; Hygiene), Brgy. Tuna, Cardona, Rizal</t>
  </si>
  <si>
    <t>Concreting of Esso Road</t>
  </si>
  <si>
    <t>PB INFRA 20-074_Concreting of Owas Road, Magpet, Cotabato</t>
  </si>
  <si>
    <t>REPAIR OF DAYCARE CENTER</t>
  </si>
  <si>
    <t>Construction of 2-Storey Ynares Multi-Purpose Building at Jannsen Ville Subd., Brgy. San Juan, Cainta, Rizal</t>
  </si>
  <si>
    <t>Rental of Service Vehicle for Supervision/Implementation of Regular Infra Projects (December 1 - 15, 2020) (Equipment Rental Only),(4x4 Pick-Up type A/T);</t>
  </si>
  <si>
    <t>Rental of Service Vehicle for use in the Supervision of Routine Maintenance  Activities along Davao-Cotabato Rd. (Bulatukan – East Patadon Section (December 1 - 15, 2020) (Equipment Rental Only).</t>
  </si>
  <si>
    <t>SUPPLY AND DELIVERY OF 4 UNITS HAND TRACTOR WITH COMPLETE ACCESSORIES FOR DISTRIBUTION TO QUALIFIED FARMERS ASSOCIATION/GROUP RECIPIENTS IN CENTRAL LUZON UNDER RICE PROGRAM FOR THE YEAR 2020(REBID)</t>
  </si>
  <si>
    <t>Rental of Service Vehicle for use in the Supervision of Maintenance Activities along Paco-Roxas-Arakan Valley Road and Matalam- Lampayan-Antipas Rd. (Paco-Antipas Section and Antipas Sect. (December 1</t>
  </si>
  <si>
    <t>Rental of Service Vehicle for use in the Supervision of Maintenance Activities along Pob.Magpet-Nowa-Basak-Greenfield Rd. (Pob.Magpet-Greenfield Sect.) (December 1 - 15, 2020) (Equipment Rental Only);</t>
  </si>
  <si>
    <t>Rental of Service Vehicle for use in the Supervision of Maintenance Activities along Paco-Roxas-Arakan Valley Rd. (Antipas-Katipunan Sect.)(December 1 - 15, 2020) (Equipment Rental Only);</t>
  </si>
  <si>
    <t>SUPPLY AND DELIVERY OF MATERIALS TO BE USED  FOR INSTALLATION OF STREET LIGHTS</t>
  </si>
  <si>
    <t>Rental of Service Vehicle for Use in the Soil Survey &amp; Supervision of   Various Projects (December 1 - 15, 2020) (Equipment Rental Only)</t>
  </si>
  <si>
    <t>Rental of Service Vehicle for use in the Supervision of Maintenance Activities along Kidapawan-Ilomavis Tourist Rd and Kidapawan-Magpet-Pangao-an Rd.  (Kidapawan-Sayaban Sect.; Kidapawan-Magpet Sect.)</t>
  </si>
  <si>
    <t>procurement of Construction materials</t>
  </si>
  <si>
    <t>Installation of Creek Guide at Panghayaan Taysan Batangas</t>
  </si>
  <si>
    <t>Concreting of Barangay Road at Sitio 6 Panghayaan Taysan Batangas</t>
  </si>
  <si>
    <t>procurement of construction materials</t>
  </si>
  <si>
    <t>Construction of 2-storey Ynares Multi-Purpose Building at Oliveros Compound, Kalawaan, Brgy. Darangan, Binangonan, Rizal</t>
  </si>
  <si>
    <t>Supply / Delivery of Agricultural Supplies</t>
  </si>
  <si>
    <t>Construction/Provision of Wash Facilities (Water, Sanitation &amp; Hygiene) at Binangonan Central Elem. School, Brgy. Layunan, Binangonan, Rizal</t>
  </si>
  <si>
    <t>PURCHASE OF 1 UNIT RESCUE MOTORIZED BANCA AND ACCESSORIES  (San Luis, Aurora)</t>
  </si>
  <si>
    <t>UPLB-NP-IF-001-09-20, PL480 UP-VETMED RENOVATION, (ANIMAL DISEASE DIAGNOSTIC LABORATORY &amp; TEACHING COMPLEX), COLLEGE OF VETERINARY MEDICINE COMPLEX, UP LOS BAÑOS, COLLEGE, LAGUNA</t>
  </si>
  <si>
    <t>Procurement of Supply &amp; Delivery of 200 heads Goat (Rebid)</t>
  </si>
  <si>
    <t>SUPPLY AND DELIVERY OF MATERIALS FOR THE END LOCAL COMMUNIST ARM CONFLICT (ELCAC PROGRAM)</t>
  </si>
  <si>
    <t>Procurement of Supply &amp; Delivery of Corn Seeds for Food Security (COVID 19) By Lot (rebid)</t>
  </si>
  <si>
    <t>INVITATION TO BID FOR CONSTRUCTION OF MULTIPURPOSE HALL AT BATINAO,SAN PEDRO</t>
  </si>
  <si>
    <t>Purchase of one (1) unit of Rescue Vehicle</t>
  </si>
  <si>
    <t>REPAIR/IMPROVEMENT OF MULTI PURPOSE BUILDING (BARANGAY HALL) P2</t>
  </si>
  <si>
    <t>INSTALLATION OF 12 UNITS STREET LIGHTS</t>
  </si>
  <si>
    <t>PROCUREMENT OF  SARI-SARI STORE LIVELIHOOD KITS FOR THE 190 MICRO ENTERPRISES IN THE EIGHT (8) MUNICIPALITIES OF THE SECOND (2ND) DISTRICT OF ILOCOS SUR</t>
  </si>
  <si>
    <t>Rental of service Vehicle for RBIA Survey Activities charge to PDE fund 2020  (December 16 - 31, 2020)</t>
  </si>
  <si>
    <t>Supply and Delivery of Plastic Melter Densifier</t>
  </si>
  <si>
    <t>SUPPLY AND DELIVERY OF MEDICINE</t>
  </si>
  <si>
    <t>Supply/Delivery of Ink Black &amp; Master Roll</t>
  </si>
  <si>
    <t>One (1) Job for Servicing and Rewinding of Two (2) Units 350 HP, 440 V Electric Motor at Solana Pumping Station, SPIS, Solana, Cagayan</t>
  </si>
  <si>
    <t>Computerization of Revenue Generating System of the Municipality of Mendez-Nuñez</t>
  </si>
  <si>
    <t>procurement of Laptop</t>
  </si>
  <si>
    <t>Rental of Service Vehicle for use in the Supervision of Maintenance Activities along Pob.Magpet-Nowa-Basak-Greenfield Rd. (Pob.Magpet-Greenfield Sect.) (December 18 - 31, 2020) (Equipment Rental Only)</t>
  </si>
  <si>
    <t>Rental of Service Vehicle for use in the Supervision of Maintenance Activities along Paco-Roxas-Arakan Valley Rd. (Antipas-Katipunan Sect.) (December 18 - 31, 2020) (Equipment Rental Only)</t>
  </si>
  <si>
    <t>ROOFING OF COVERED COURT (BAY 1)</t>
  </si>
  <si>
    <t>CONSTRUCTION OF 2 STOREY MULTI-PURPOSE BUILDING (PHASE VI)</t>
  </si>
  <si>
    <t>Rental of Service Vehicle for use in the Supervision of Routine Maintenance  Activities along Davao-Cotabato Rd. (Bulatukan – East Patadon Section) (December 18 - 31, 2020) (Equipment Rental Only)</t>
  </si>
  <si>
    <t>Delivery of digital duplicator for DepEd use.</t>
  </si>
  <si>
    <t>Concreting of FMR,  Subec, Sta. Catalina, Ilocos Sur</t>
  </si>
  <si>
    <t>Rental of Service Vehicle for Supervision/Implementation of Regular Infra Projects (December 16 - 31, 2020) (Equipment Rental Only), (4x4 Pick-Up type A/T)</t>
  </si>
  <si>
    <t>20-06-473 Improvement of Tennis Court located at Mirasol, Alamada, Cotabato</t>
  </si>
  <si>
    <t>Rental of Service Vehicle for Use in the Soil Survey &amp; Supervision of Various Projects (December 16 - 31, 2020) (Equipment Rental Only)</t>
  </si>
  <si>
    <t>20-08-631 Purchase of Food Supplies for Food Packs Assistance for Person’s with Disability and Pasilungan Center under MSWDO</t>
  </si>
  <si>
    <t>PROCUREMENT OF MEDICINES, LGU-CULABA, BILIRAN</t>
  </si>
  <si>
    <t>Office supplies of JHS, SHS and Annex School of Balabac NHS for the 3RD quarter of FY 2020 USED fpr printing MODULES</t>
  </si>
  <si>
    <t>PURCHASE OF MONOBLOCK CHAIR</t>
  </si>
  <si>
    <t>Construction of Two Storey Commercial Building (Dasol Public Market).</t>
  </si>
  <si>
    <t>Supply and Delivery of Third Quarter Janitorial Supplies for the University of the Philippines Baguio</t>
  </si>
  <si>
    <t>Delivery &amp; Installation, Sulfur Hexaflouride (SF6) Gas Live Tank Circuit Breaker, Backup Battery Panel (Charger and Battery Bank),  and including Testing and Commissioning  and Supply &amp; Delivery  of 6</t>
  </si>
  <si>
    <t>Supply and Delivery for the Third Quarter Office Supplies for the University of the Philippines Baguio</t>
  </si>
  <si>
    <t>PROCUREMENT OF 1 UNIT BACKHOE, LGU-CULABA, BILIRAN</t>
  </si>
  <si>
    <t>PURCHASE OF PORTABLE TENT</t>
  </si>
  <si>
    <t>PROCUREMENT OF REPRODUCTION LEARNING MATERIALS, SUPPLIES AND EQUIPMENT'S FOR THE USE OF MODULAR DISTANCE LEARNING-DISTRICT OF CULABA, DEPED, CULABA, BILIRAN.</t>
  </si>
  <si>
    <t>REPAIR/EXPANSION OF POTABLE WATER SYSTEM</t>
  </si>
  <si>
    <t>Delivery of Casket Lowering Device for Cemetery use.</t>
  </si>
  <si>
    <t>PURCHASE OF ONE (1) UNIT SERVICE VEHICLE (MTO)</t>
  </si>
  <si>
    <t>PROCUREMENT OF 1 UNIT RESCUE BOAT MDRRM OFFICE-CULABA, BILIRAN</t>
  </si>
  <si>
    <t>PROCUREMENT OF COMPUTER LAPTOPS AND OFFICE PRINTERS, LGU-CULABA, BILIRAN</t>
  </si>
  <si>
    <t>CONST. OF SEA WALL @ BRGY. BUENAVISTA</t>
  </si>
  <si>
    <t>CONST. OF LEVEL II WATER SYSTEM @ BRGY. BONGA</t>
  </si>
  <si>
    <t>ROAD REHABILITATION (SITIO YABUNAN, BATO MABINAY, NEGROS ORIENTAL)</t>
  </si>
  <si>
    <t>INVITATION TO BID FOR PROCUREMENT OF OFFICE SUPPLIES FOR UTILIZATION PLAN FOR THE IMPLEMENTATION OF THE BASIC EDUCATION LEARNING CONTINUITY PLAN (LCP)</t>
  </si>
  <si>
    <t>EXPANSION OF LEVEL II WATER SYSTEM @ BRGY. CUMADCAD, SOGOY, LORETO, MAYON, BURABOD</t>
  </si>
  <si>
    <t>Purchase of Outdoor LED Display Wall at the Capitol ground</t>
  </si>
  <si>
    <t>ITB No. 2020-03(02) Cluster 2: Const/Completion/Relocation of various BHS in Baybay &amp; Hilongos, Leyte</t>
  </si>
  <si>
    <t>CONSTRUCTION OF 40 UNITS STREET LIGHTS FROM CENTRO 2 GOING TO PIGALO BRIDGE AND FROM CENTRO 2 GOING TO CUMU BRIDGE</t>
  </si>
  <si>
    <t>PURCHASE OF PORTABLE FOGGING MACHINE</t>
  </si>
  <si>
    <t>FABRICATION AND INSTALLATION OF PUMPBOATS</t>
  </si>
  <si>
    <t>Supply and Delivery of Third Quarter Drums, Toners and Ink Consumables for the University of the Philippines Baguio</t>
  </si>
  <si>
    <t>CONSTRUCTION OF ANGADANAN INTEGRATED HOSPITAL (PHASE 2)</t>
  </si>
  <si>
    <t>20CSF003 - Consulting Services for the Conduct of Geotechnical and Geological Survey/Investigation of Proposed Six Evacuation Centers in Region V</t>
  </si>
  <si>
    <t>Purchase of Emergency Vehicles, Heavy Equipment, Rescue Equipment- (Procurement/Acquisition of life-saving rescue equipment, tools and firefighting PPG/PPE)</t>
  </si>
  <si>
    <t>Construction of FMR Slope Protection, Subec, Sta. Catalina, Ilocos Sur</t>
  </si>
  <si>
    <t>PURCHASE OF FOOD PACKS FOR MODERATELY ACUTE MALNOURISHED CHILDREN</t>
  </si>
  <si>
    <t>REGRAVELLING OF FARM TO MARKET ROAD</t>
  </si>
  <si>
    <t>ITB No. 2020-03(01) Cluster 1:  Completion of Various BHS in Albuera, Kananga &amp; Ormoc</t>
  </si>
  <si>
    <t>CONSTRUCTION OF COCOA PROCESSING FACILITY BUILDING PHASE II</t>
  </si>
  <si>
    <t>Procurement of Laptops and Printers to be used at Guagua East District and Guagua West District</t>
  </si>
  <si>
    <t>nyg2020-05</t>
  </si>
  <si>
    <t>ITB No. 2020-03(06) Cluster 6: Completion of BHS Carolina Can-avid, E. Samar; &amp; Improvement of RHU Maslog, Eastern Samar</t>
  </si>
  <si>
    <t>Concreting/Cementing Along Inilian-Galutan-Burac-Coroconog-Himabug-at FMR (STA 1+826-STA 2+707) Extra work.</t>
  </si>
  <si>
    <t>ITB No. 2020-03(05) Cluster 5: Completion of BHS Tugas, Daram; BHS Malaguining Phase I, BHS Navatas Guti, BHS Placer &amp; BHS Victory, Talalora, Samar</t>
  </si>
  <si>
    <t>ITB No. 2020-03(04) Cluster 4: Completion of BHS Aurora, BHS Tomogbong in San Jorge, Samar; BHS Sundara, Sta. Margarita, Samar;  BHS Cagtutulo &amp; BHS Tizon, Tarangnan, Samar</t>
  </si>
  <si>
    <t>CONSTRUCTION OF TOILETS WITH SEPTIC TANK</t>
  </si>
  <si>
    <t>CATERING SERVICES FOR VARIOUS PROGRAMS AND ACTIVITIES OF THE CITY</t>
  </si>
  <si>
    <t>SUPPLY AND DELIVERY OF ONE (1) UNIT HEAVY DUTY PHOTOCOPIER MACHINE FOR CITY PEACE &amp; ORDER SECRETARIAT</t>
  </si>
  <si>
    <t>Construction of Evacuation Center Phase II (Project ID Nr: 2020-8751-01014)</t>
  </si>
  <si>
    <t>CATERING SERVICES FOR HANDOG PASASALAMAT AND LOYALTY AWARD PROGRAM</t>
  </si>
  <si>
    <t>BLGU-TINALIAN-AL-01-2020 CONSTRUCTION OF CONCRETE PAVEMENT</t>
  </si>
  <si>
    <t>ITB No. (INF) 2020-08-118 FISH AND MARINE SANCTUARY REHABILITATION, Mercedes, Salcedo, Guiuan, Lawaan, Quinapondan, Eastern Samar</t>
  </si>
  <si>
    <t>CONCRETING OF 125LN.M ACCESS ROAD</t>
  </si>
  <si>
    <t>Rental of service Vehicle for RBIA Survey Activities charge to PDE fund 2020 (December 1 - 15, 2020)</t>
  </si>
  <si>
    <t>Multi Purpose Hall at Bahay Kalinga, Brgy Mambog, City of Malolos</t>
  </si>
  <si>
    <t>PURCHASE OF MDRRMO OFFICE EQUIPMENT</t>
  </si>
  <si>
    <t>Procurement of Medicines to be used at RHU-I, II, III, and III-Extension for 3rd and 4th Quarter for the Year 2020, Guagua, Pampanga</t>
  </si>
  <si>
    <t>Fullway Road Concreting of Farm to Market Road (L=100.00m; W=4.00m; t=0.20m) at Cambangkaya to Bongyas, Catmon, Cebu</t>
  </si>
  <si>
    <t>PRINTING/REPRODUCTION OF MODULES</t>
  </si>
  <si>
    <t>Construction of San Isidro  Municipal Police Station Building,  Davao del Norte</t>
  </si>
  <si>
    <t>Installation of Main Distribution Line for Purok 4 Sitio Akli Brgy. Sta. Teresa 1st,Lubao, Pampanga</t>
  </si>
  <si>
    <t>21A00009: Retrofitting/Strengthening of Permanent Bridges, Pancian Bridge (B00549LZ) along Manila North Road</t>
  </si>
  <si>
    <t>SUPPLY AND DELIVERY OF VEHICLE MAINTENANCE SUPPLIES FOR VARIOUS TRANSPORTATION EQUIPMENT OF THE CITY</t>
  </si>
  <si>
    <t>SUPPLY AND DELIVERY OF SUBMERSIBLE PUMP, MOTOR AND VFD CONTROLLER</t>
  </si>
  <si>
    <t>CONCRETING OF LOCAL ACCESS ROAD - LOURDES, ANGADANAN, ISABELA</t>
  </si>
  <si>
    <t>INVITATION TO BID FOR CONSTRUCTION OF SCHOOL CONCRETE PERIMETER FENCE</t>
  </si>
  <si>
    <t>INVITATION TO BID FOR THE SUPPLY OF MATERIALS AND EQUIPMENT RENTAL FOR BARANGAY ROAD CONCRETING - FIRST BIDDING</t>
  </si>
  <si>
    <t>Procurement of Materials for the Expansion of Water System (Distribution of Pipes)</t>
  </si>
  <si>
    <t>ITB No. 2020-03(03) Cluster 3: Completion of BHS Malobago and BHS San Isidro, Almagro, Samar</t>
  </si>
  <si>
    <t>RE-GRAVELLING OF FARM TO MARKET ROAD</t>
  </si>
  <si>
    <t>BLGU-PAGSANGAN-AL-02-2020 REHABILITATION/IMPROVEMENT OF SENIOR CITIZEN BUILDING</t>
  </si>
  <si>
    <t>Design and Build of Consolidated Program of Works (POWs) for Water Supply to NHA Resettlement Sites of LGUs with No LWD in Samar and Eastern Samar Provinces</t>
  </si>
  <si>
    <t>ITB No. 2020-03(08) Cluster 8: Completion of BHS Maragat &amp; BHS Tarnate, San Vicente, Northern Samar</t>
  </si>
  <si>
    <t>Land Development of Proposed Feedmill Building and Training Center at Barangay Tamontaka Mother, Cotabato City</t>
  </si>
  <si>
    <t>INVITATION TO BID FOR the Procurement of fuel (diesel and gasoline)</t>
  </si>
  <si>
    <t>RFQ - Printing of 2,500 copies of the “Tariff Administration and Policy including the ASEAN Harmonised Tariff Nomenclature 2017 (AHTN 2017)</t>
  </si>
  <si>
    <t>ITB No. 2020-03(07) Cluster 7: Completion of BHS Cagdine &amp; BHS Dao, Oras, E. Samar and Completion of BHS Batiawan &amp; BHS Danao, Taft, E. Samar</t>
  </si>
  <si>
    <t>INVITATION TO BID FOR Supply and Delivery of Construction Materials for the Improvement of Water System at Brgy Cogon, Talicud Island, Kaputian Dist., IGaCoS under PR No. 003 (Re-bidding)</t>
  </si>
  <si>
    <t>Improvement/Concreting of Barangay Kitaan-Dagat Local Access Road</t>
  </si>
  <si>
    <t>ITB No. 2020-G-09-01: Purchase of Brand New Small Bulldozer</t>
  </si>
  <si>
    <t>PURCHASE OF DROPSIDE TRUCK (ELF TYPE) FOR CARGO TRANSPORT AND DELIVERY EQUIPMENT</t>
  </si>
  <si>
    <t>Construction of Multi-purpose Building at Brgy. Tala, San Andres, Quezon</t>
  </si>
  <si>
    <t>Supply and Delivery of Regulated Drugs and Medicines and Medical Supplies for use of Occidental Mindoro Provincial Hospital</t>
  </si>
  <si>
    <t>Construction of Sanitary Toilets with Hygiene Facilities for Public Place (Barangay Lolomboy and Igulot)</t>
  </si>
  <si>
    <t>Supply and delivery of 2 units brand new duplicator machine with 3n1 photocopier develop including installation and training</t>
  </si>
  <si>
    <t>INVITATION TO BID FOR THE PROCUREMENT OF FUEL FOR MAYOR’S OFFICE USE</t>
  </si>
  <si>
    <t>Purchase of Information and Communication Technology Equipment for Official use of LGU-San Andres, Quezon (2nd Posting)</t>
  </si>
  <si>
    <t>PROPOSED LEVEL II WATER SYSTEM (Submersible Pump) Guadalupe</t>
  </si>
  <si>
    <t>PGBH-C-2020-024 PR2020-155 INVITATION TO BID FOR THE BULK PROCUREMENT OF CATERING SERVICES AND ACCOMMODATION SERVICES FOR THE 3RD QUARTER OF CY 2020</t>
  </si>
  <si>
    <t>PROPOSED LEVEL II WATER SYSTEM (Submersible Pump) Libertad</t>
  </si>
  <si>
    <t>ITB No. 2020-03(09) Cluster 9: Completion of BHS Magtaon, Mapanas; BHS Cabatuan, BHS Capacujan, BHS Jangtud, Palapag, Northern Samar</t>
  </si>
  <si>
    <t>PGBH-C-2020-023 PR2020-154 INVITATION TO BID FOR THE BULK PROCUREMENT OF CATERING SERVICES AND ACCOMMODATION SERVICES FOR THE 3RD QUARTER OF CY 2020</t>
  </si>
  <si>
    <t>ITB No. 2020-G-07-01: Purchase of Steel-Wheeled Backhoe,Wheeled Backhoe,Pay Loader, Garbage Compactor Truck &amp; Breaker</t>
  </si>
  <si>
    <t>ITB No. 2020-G-08-01: Purchase of Wheeled Backhoe and Mini Dumptruck</t>
  </si>
  <si>
    <t>CONSTRUCTION OF CEMETERY COMFORT ROOM</t>
  </si>
  <si>
    <t>Solar Street Light</t>
  </si>
  <si>
    <t>20GKF0052-Purchase of Fuel for Service Vehicles at DPWHLanao del Norte 2nd DEO</t>
  </si>
  <si>
    <t>PURCHASE OF MATERIALS – CONSTRUCTION OF SEA WALL IN BRGY. POBLACION (LDRRMF-2017)</t>
  </si>
  <si>
    <t>CONSTRUCTION OF THE EXTENSION OF BARANGAY HALL WITH COMFORT ROOM-PHASE 1</t>
  </si>
  <si>
    <t>IB-2020-IX-07-01-BOOKPAPER, A4 (SEF) - Php 747,840.00</t>
  </si>
  <si>
    <t>PROCUREMENT OF VARIOUS SUPPLIES FOR BADIAN DRRM PREPAREDNESS AND RESPONSE USAGE</t>
  </si>
  <si>
    <t>Procurement of Printing and Binding of Self-Learning Modules from Kindergarten to Grade 2 for Second Quarter SY 2020-2021 (LOT 1)</t>
  </si>
  <si>
    <t>PROPOSED LEVEL II WATER SYSTEM (Submersible Pump) Canyaki</t>
  </si>
  <si>
    <t>SUPPLY AND DELIVERY-COMMON USED OFFICE SUPPLIES NOT AVAILABLE AT PS</t>
  </si>
  <si>
    <t>ESTIMATED-PRINTING-COST-OF-MODULES-FOR-CPTINGA-ES</t>
  </si>
  <si>
    <t>PROPOSED REPAIR AND REHABILITATION OF CANTEEN, H.E. FEEDING ROOM AND GUIDANCE ROOM</t>
  </si>
  <si>
    <t>Invitation to Bid for the Construction of Livelihood Building</t>
  </si>
  <si>
    <t>Supply and Delivery of 2 units 6-Wheeler Dumptruck</t>
  </si>
  <si>
    <t>PROPOSED LEVEL II WATER SYSTEM (Submersible Pump) Poblacion I</t>
  </si>
  <si>
    <t>PROPOSED LEVEL II WATER SYSTEM (Submersible Pump) Mancol</t>
  </si>
  <si>
    <t>RENOVATION AND EXPANSION OF SILAGO PUBLIC MARKET</t>
  </si>
  <si>
    <t>Supply And Delivery of 1 unit 6-Wheeler Dumptruck</t>
  </si>
  <si>
    <t>PROPOSED LEVEL II WATER SYSTEM (Submersible Pump) Mobo-ob</t>
  </si>
  <si>
    <t>Purchase of Materials for the Rehabilitation/Improvement of Perimeter Fence of Municipal Sanitary Landfill in Sitio Sampaloc, Brgy. Camflora, San Andres, Quezon (2nd Posting)</t>
  </si>
  <si>
    <t>Construction of Soil Exploration for FY 2021 Regular Infra</t>
  </si>
  <si>
    <t>Procurement of Reproduction and Printing Services</t>
  </si>
  <si>
    <t>Purchased of Tent (2 UNITS)</t>
  </si>
  <si>
    <t>RJO-FURNISHING OF MATERIALS AND LABOR FOR THE OPERATION/		 MAINTENANCE/UPKEEP OF FACILITIES AT DAM AREA OF AGUS 6 HEP</t>
  </si>
  <si>
    <t>Procurement of Printing and Binding of Self Learning Modules from Grade 3 to Grade 12  for Second Quarter SY 2020-2021 (LOT 2)</t>
  </si>
  <si>
    <t>Invitation to Bid (Refurbishment of Leased Property)(Regional Trial Courts in Bacoor City, Cavite)</t>
  </si>
  <si>
    <t>Concreting/Improvement of Farm to Market Road at Barangay Sto. Nino, Nueva Era, Ilocos Norte</t>
  </si>
  <si>
    <t>PROPOSED LEVEL II WATER SYSTEM (Submersible Pump) Erenas</t>
  </si>
  <si>
    <t>Supply and Delivery of Accountable forms.</t>
  </si>
  <si>
    <t>Rebidding: 240 pcs CHB 4” for completion of the Const. of 2 storey gender sensitive living quarters of girls CICL/CAR at Dgte. Youth Home Brgy. Talay.</t>
  </si>
  <si>
    <t>Purchase of Rescue Equipment, Gears, etc. for LGU-Dagohoy</t>
  </si>
  <si>
    <t>PHRMDO-C-NC-2020-134 PR2020-151 REQUEST FOR QUOTATION FOR THE PROCUREMENT OF CATERING SERVICES</t>
  </si>
  <si>
    <t>Procurement of Laptop, Desktop Computers &amp; Printers</t>
  </si>
  <si>
    <t>Supply and Delivery of Computer Laptops for Use of Balanga City National High School in the City Government of Balanga, Bataan</t>
  </si>
  <si>
    <t>RJO-UPDATING OF SPARES &amp; MATERIALS REQUIREMENTS OF ALL PLANT 			 GENERATING SYSTEMS/STANDARD PLANT IDENTIFICATION NUMBERS(SPIN)</t>
  </si>
  <si>
    <t>Supply and Delivery of Computer Laptops for Use of Balanga City National Science High School in the City Government of Balanga, Bataan</t>
  </si>
  <si>
    <t>Supply and Delivery of Computer laptops for Use of DEPED in the City of Government of Balanga, Bataan</t>
  </si>
  <si>
    <t>PGBH-C-2020-022 PR2020-153 INVITATION TO BID FOR THE BULK PROCUREMENT OF CATERING SERVICES AND ACCOMMODATION SERVICES FOR THE 3RD QUARTER OF CY 2020</t>
  </si>
  <si>
    <t>PROPOSED LEVEL II WATER SYSTEM (Submersible Pump) Puhagan</t>
  </si>
  <si>
    <t>Renovation/Construction of National Disaster Risk Reduction and Management Office</t>
  </si>
  <si>
    <t>PGBH-C-2020-021 PR2020-152 INVITATION TO BID FOR THE BULK PROCUREMENT OF CATERING SERVICES AND ACCOMMODATION SERVICES FOR THE 3RD QUARTER OF CY 2020</t>
  </si>
  <si>
    <t>Construction of Record Center</t>
  </si>
  <si>
    <t>Supply and Delivery of Materials for the Construction of Multi-Purpose Bldg., (Senior Citizen) Phase II at BLGU Doña Josefa, Laak, Davao De Oro</t>
  </si>
  <si>
    <t>PROPOSED LEVEL II WATER SYSTEM (Submersible Pump) Poblacion II</t>
  </si>
  <si>
    <t>REPOSTING FOR THE COMPLETION OF GYMNASIUM AT SKSU-ACCESS CAMPUS</t>
  </si>
  <si>
    <t>Procurement of Equipment for Center for Flexible Learning</t>
  </si>
  <si>
    <t>SB-2020-01</t>
  </si>
  <si>
    <t>procurement of Printer</t>
  </si>
  <si>
    <t>Materials for the Construction of Slope Protection of this Municipality</t>
  </si>
  <si>
    <t>For use of DepEd Division, Cotabato City (lot-3)</t>
  </si>
  <si>
    <t>SUPPLY, TRANSPORT, DELIVERY &amp; HANDLING OF GOOD QUALITY OIL PALM F1 SEEDLINGS FOR SOPDP CY 2020 COVID-19 RESPONSE PROGRAM OF PCA REGION XII</t>
  </si>
  <si>
    <t>UPGRADING OF LOCAL ACCESS ROAD</t>
  </si>
  <si>
    <t>Purchase of Laptop for various Public schools in Calumpit, Bulacan</t>
  </si>
  <si>
    <t>Construction of Sanggunian Bayan, ABC/SK and DILG Building ( Phase II)</t>
  </si>
  <si>
    <t>Procurement-Supply &amp; Delivery of Traffic Enforcers Uniform</t>
  </si>
  <si>
    <t>20JB0088 - Construction of Two (2) Storey Four (4) Classroom School Building, Galas NHS, Dipolog City, Zamboanga Del Norte.</t>
  </si>
  <si>
    <t>Supply, Delivery and Installation of LED Wall and Procurement of Broadcasting System and Smart TV for the Disaster Risk Reduction and Management Office</t>
  </si>
  <si>
    <t>Delivery of Construction Supplies &amp; Materials for the Annex Room for Processing Working Area</t>
  </si>
  <si>
    <t>PURCHASE OF CONSTRUCTION MATERIALS</t>
  </si>
  <si>
    <t>Procurement-Supply &amp; Delivery of Office &amp; Medical Supplies</t>
  </si>
  <si>
    <t>Delivery of Office &amp; School Equipments</t>
  </si>
  <si>
    <t>SITE DEVELOPMENT</t>
  </si>
  <si>
    <t>Supply, Delivery and Installation of Sound System for Computer Rooms and Conference Room of Center for Flexible Learning of the University</t>
  </si>
  <si>
    <t>20FK0064-Modified Standard DPWH-DepED Two (2) storey Four Classroom School Building (Regular Classroom Layout) (9.5m x 23.0m) Pili National High School, Magallanes, Sorsogon</t>
  </si>
  <si>
    <t>Purchase of Prepaid Cards for Communication Services</t>
  </si>
  <si>
    <t>Purchase of Distilled Water and Disinfectant Concentrate (Benzalkonium chloride)</t>
  </si>
  <si>
    <t>SUPPLY, TRANSPORT, DELIVERY &amp; HANDLING OF INORGANIC FERTILIZERS FOR SOPDP CY 2020 - REHABILITATION COVID-19 RESPONSE PROGRAM OF PCA REGION XI</t>
  </si>
  <si>
    <t>20FK0063-Modified Standard DPWH-DepED One Storey Unique Workshop School Building (7.0m  x 22.50m plus 2.0m Corridor) with common toilet at one side Mayon National High School, Castilla, Sorsogon</t>
  </si>
  <si>
    <t>PROPOSED LEVEL II WATER SYSTEM (Submersible Pump) San Juan, Leyte-Leyte</t>
  </si>
  <si>
    <t>SUPPLY, TRANSPORT, DELIVERY &amp; HANDLING OF INORGANIC FERTILIZERS FOR SOPDP CY 2020 PLANTING- BASAL COVID-19 RESPONSE PROGRAM OF PCA REGION XII</t>
  </si>
  <si>
    <t>Procurement-Supply &amp; Delivery of Info. &amp; Comm. Tech Equipt. &amp; Technical &amp; Scientific Equipment</t>
  </si>
  <si>
    <t>SUPPLY AND DELIVERY-COMMON USED IT SUPPLIES NOT AVAILABLE AT PS</t>
  </si>
  <si>
    <t>MG-STS20-021</t>
  </si>
  <si>
    <t>20GKF0053- Purchase of Fuel for Service Vehicles at DPWH-Lanao del Norte 2nd DEO Contract Location: Iligan City</t>
  </si>
  <si>
    <t>PR# 20-1542- To supply labor, materials and necessary equipment for the Construction of Line Canal at San Agustin, Sta. Rita, Pampanga</t>
  </si>
  <si>
    <t>Procurement of Contraceptives (Injectable and Implant)</t>
  </si>
  <si>
    <t>SUPPLY AND DELIVERY OF A4 BOND PAPER OF LGU-ALANGALANG, LEYTE</t>
  </si>
  <si>
    <t>SUPPLY, TRANSPORT, DELIVERY &amp; HANDLING OF INORGANIC FERTILIZER (AS+KCL) FOR COCONUT REJUVENATION THRU FERTILIZATION CY 2020 COVID-19 RESPONSE PROGRAM OF PCA REGION XII</t>
  </si>
  <si>
    <t>Purchase of Brand New vehicle and Accessories(Pick-up truck)</t>
  </si>
  <si>
    <t>Procurement of Oral Contraceptives</t>
  </si>
  <si>
    <t>Construction/Concreting/Rehabilitation/Improvement of Roads, South Pob., Medina, Mis. Or.</t>
  </si>
  <si>
    <t>Supply, Delivery and Installation of Blinds for Center for Flexible Learning of the University</t>
  </si>
  <si>
    <t>Furnishing of materials for the construction of drainage canal</t>
  </si>
  <si>
    <t>PR# 20-1551- To supply labor, materials and necessary equipment for the Construction/Installation of Elevator at the Municipal Building of Lubao, Sta. Catalina, Lubao, Pampanga. (Re-bidding)</t>
  </si>
  <si>
    <t>One (1) Job Order for the Supply of Labor, Materials and Equipment for Improvement of Burias Public Plaza at Brgy. Burias Mambusao, Capiz</t>
  </si>
  <si>
    <t>Re-Invitation To Bid for the Construction of Aglobong Irrigation Pipeline System of PENRO, Iloilo FMP</t>
  </si>
  <si>
    <t>Procurement of Laboratory Supplies</t>
  </si>
  <si>
    <t>One (1) Job Order for the Supply of Labor, Materials and Equipment for Concreting of Road at Brgy. Balat-an, Mambusao, Capiz</t>
  </si>
  <si>
    <t>Invitation to Bid for Negotiated Procurement on Lease of Open Lot to serve as the City Grand Terminal.</t>
  </si>
  <si>
    <t>CONSTRUCTION OF DRAINAGE SYSTEM AND PATHWAYS AT CAVITE NATIONAL HIGH SCHOOL, CARIDAD, CAVITE CITY</t>
  </si>
  <si>
    <t>PROCUREMENT OF MATERIALS FOR THE CONTINUING IMPROVEMENT OF MULTIPURPOSE COVERED GYM OF BRGY. NAPNAPAN NORTE, TIGBAUAN, ILOILO</t>
  </si>
  <si>
    <t>Rental of Service Vehicle for use in the Supervision of Maintenance                           Activities along Makilala-Ala Valley Rd. and Kidapawan-Calunasan-Mlang Road (Makilala-Sinkatulan Sect.; Ki</t>
  </si>
  <si>
    <t>Improvement of Road along Calubian-Camote-Hindang Road Section in Dulag, Leyte, ABC PHP18,016,110.00</t>
  </si>
  <si>
    <t>CONSTRUCTION OF 3-STOREY, 8-UNITS CLASSROOM BUILDING AT LADISLAO DIWA ELEMENTARY SCHOOL, CARIDAD, CAVITE CITY</t>
  </si>
  <si>
    <t>procurement of supplies and materials for the installation of cctv equipments</t>
  </si>
  <si>
    <t>CONSTRUCTION OF DRAINAGE SYSTEM ALONG A. SORIANO STREET, JCT. F. REYES ST. - DEAD END, CARIDAD, CAVITE CITGY</t>
  </si>
  <si>
    <t>Improvement of ROad along Marao-Hinabay Provincial Road Section in Inopacan,Leyte, ABC PHP15,558,119.00</t>
  </si>
  <si>
    <t>Supply and Delivery of Medical Oxygen Refill - Different Hospital</t>
  </si>
  <si>
    <t>Improvement of Road along Poblacion-Mabagon Provincial Road Section in Hindang, Leyte, ABC PHP18,155,489.00</t>
  </si>
  <si>
    <t>CONSTRUCTION OF 4-DAY CARE CENTER AT LADISLAO DIWA ELEMENTARY SCHOOL, CARIDAD, CAVITE CITY</t>
  </si>
  <si>
    <t>Supply and Delivery of LED Road Lighting Luminaire</t>
  </si>
  <si>
    <t>Reblocking of Provincial Road along Brgy. Maghubas-Libas (Burauen, Leyte) - Cambucao (Tabontabon, Leyte) Road Section, ABC PHP19,200,292.68</t>
  </si>
  <si>
    <t>Request for Quotations - Sound System / Paging w/ 5 Microphones</t>
  </si>
  <si>
    <t>Improvement of Road along JNR-Caridad-Esperanza Road Section in Matalom, Leyte, ABC PHP14,856,470.00</t>
  </si>
  <si>
    <t>CONSTRUCTION OF DRAINAGE SYSTEM ALONG VELENTIN ST.-SOLEDAD ST., PARKWAY I JCT. VALENTIN ST, SAN ROQUE, CAVITE CITY</t>
  </si>
  <si>
    <t>Rental of Service Vehicle for Supervision/Implementation of Regular Infra Projects (November 1 - 15, 2020) (Equipment Rental Only),(4x4 Pick-Up type A/T);</t>
  </si>
  <si>
    <t>CONSTRUCTION OF 3-BARANGAY DAY CARE CENTER AT JULIAN FELIPE ELEMENTARY SCHOOL, SAN ANTONIO, CAVITE CITY</t>
  </si>
  <si>
    <t>Rental of Service Vehicle for use in the Supervision of Maintenance                      Activities along Kidapawan-Ilomavis Tourist Rd and Kidapawan-Magpet-Pangao-an Rd.  (Kidapawan-Sayaban Sect.; Ki</t>
  </si>
  <si>
    <t>CONSTRUCTION OFDRAINAGE SYSTEM ALONG H. DEL TRABAJO STREET, JCT. P. BURGOS-A DEL ROSARIO, SAN ROQUE, CAVITE CITY</t>
  </si>
  <si>
    <t>Agricultural Equipment</t>
  </si>
  <si>
    <t>Rental of service Vehicle for RBIA Survey Activities charge to PDE fund 2020 (November 1 - 15, 2020)</t>
  </si>
  <si>
    <t>Expansion of waterworks system, Bacong Negros Oriental  BacongRFQ 2020-12</t>
  </si>
  <si>
    <t>Rental of Service Vehicle for Use in the Soil Survey &amp; Supervision of  Various Projects (November 1 - 15, 2020) (Equipment Rental Only)</t>
  </si>
  <si>
    <t>Site Development/improvement of Breakwater in Brgy. Poblacion Dist. 1, Capoocan, Leyte, ABC PHP9,999,401.02</t>
  </si>
  <si>
    <t>Improvement of Road along JNR-Talisay-Tabunok-Tuguipa Road Section in Hilongos, Leyte, ABC PHP13,600,482.00</t>
  </si>
  <si>
    <t>BACK TO SCHOOL PROTOCOL (COVID-19 MITIGATION): SUPPLY AND DELIVERY OF TEMPERATURE MONITORING AND ACCESS CONTROL SYSTEM AND OTHER RELATED MATERIALS</t>
  </si>
  <si>
    <t>CONSTRUCTION OF DRAINAAGE SYSTEM ALONG LOPEN JAENA STREET, JCT. DRA.SALAMANCA-CAJIGAS ST., SAN ROQUE, CAVITE CITY</t>
  </si>
  <si>
    <t>Rental of Service Vehicle for use in the Supervision of Maintenance  Activities    along Paco-Roxas-Arakan Valley Road and Matalam- Lampayan-Antipas Rd. (Paco-Antipas Section and Antipas Sect. (Novemb</t>
  </si>
  <si>
    <t>Improvement of Road along JNR-Taguite Road Section in Babatngon, Leyte, ABC PHP13,489,034.00</t>
  </si>
  <si>
    <t>Rental of Service Vehicle for use in the Supervision of Maintenance                      Activities along Pob.Magpet-Nowa-Basak-Greenfield Rd. (Pob.Magpet-Greenfield Sect.) (November 2 - 13, 2020) (Eq</t>
  </si>
  <si>
    <t>SUPPLY, TRANSPORT, DELIVERY &amp; HANDLING OF COCONUT COIR-BASED ORGANIC FERTILIZER (CCBOF)  FOR COCONUT REJUVENATION THRU FERTILIZATION CY 2020 COVID-19 RESPONSE PROGRAM OF PCA REGION XII</t>
  </si>
  <si>
    <t>Rental of Service Vehicle for use in the Supervision of Routine Maintenance                      Activities along Davao-Cotabato Rd. (Bulatukan – East Patadon Section)(November 2 - 13, 2020) (Equipmen</t>
  </si>
  <si>
    <t>Supply and Delivery of Sixteen (16) Units of Brgy. Rescue Ambulance at different barangay's, this city</t>
  </si>
  <si>
    <t>ROAD CONCRETING OF BALAO-KANGDAMPAS ROAD</t>
  </si>
  <si>
    <t>Provison of Potable Water Supply in-Expansion of Waterworks in San Miguel,Bacong Negros Oriental  BacongRFQ 2020-13</t>
  </si>
  <si>
    <t>INVITATION TO BID FOR THE UPGRADING OF ROAD (FILLING OF ROAD)</t>
  </si>
  <si>
    <t>Rehabilitation of Demo Farm Building</t>
  </si>
  <si>
    <t>ROAD CONCRETING OF CTU-CAGAY PROPER ROAD</t>
  </si>
  <si>
    <t>20JB0089 - Concreting of Road at Galokso, Pres. Manuel A. Roxas, Zamboanga Del Norte.</t>
  </si>
  <si>
    <t>PHILIPPINE BIDDING DOCUMENTS Republic of the Philippines Province of Nueva Vizcaya MUNICIPALITY OF BAYOMBONG BARANGAY MAGAPUY PROCUREMENT OF GOODS PURCHASE OF 1 UNIT BRAND NEW 12 HP DIESEL ENGINE OF B</t>
  </si>
  <si>
    <t>SUPPLY AND DELIVERY OF DRUGS, MEDICINES AND OTHER MEDICAL SUPPLIES FOR EMERGENCY RESPONSE SERVICES OF MAKATI DRRM OFFICE</t>
  </si>
  <si>
    <t>Concreting of Road along Sitio Abucayan-Sitio Kawarayan Road Section in Brgy. Rizal, Kananga, Leyte, ABC PHP5,023,746.01</t>
  </si>
  <si>
    <t>Subscription of internet service and installation of Network Infrastructure for Lamut &amp; Lagawe Campus</t>
  </si>
  <si>
    <t>SUPPLY AND DELIVERY OF SUPPLIES AND MATERIALS FOR MANDATORY DRUG TESTING</t>
  </si>
  <si>
    <t>Purchased of Multi-purpose Vehicle</t>
  </si>
  <si>
    <t>CONCRETE UPGRADING WITH DRAINAGE SYSTEM ALONG G. BASA STREET UCT. H. DEL TRABAJO ST.-R.PALMA ST., SAN ANTONIO, CAVITE CITY</t>
  </si>
  <si>
    <t>Construction of Multi-Purpose Bldg. (Phase 2) in Brgy. Potot, Capoocan, Leyte, ABC PHP3,899,090.61</t>
  </si>
  <si>
    <t xml:space="preserve">20LC0171 - Repair and Maintenance of Road Safety Facilities – Installation of Road Safety Signages along Agusan – Davao Road (Daang Maharlika Road), Surigao – Davao Coastal Road, Tagum City Diversion </t>
  </si>
  <si>
    <t>Construction of Multi-Purpose Bldg. in Brgy. Libertad, Capoocan, Leyte, ABC PHP4,908,541.77</t>
  </si>
  <si>
    <t>20LC0044 - Tanglaw Bridge 3 (B00186MN) along Tagum – Panabo Circumferential Rd.</t>
  </si>
  <si>
    <t>SUPPLY AND DELIVERY OF FETAL MONITOR</t>
  </si>
  <si>
    <t>Procurement for the Supply, Delivery &amp; Installation of Various IT Equipments for the Recording &amp; Media Production Facility of the City Information Office, City of Koronadal.</t>
  </si>
  <si>
    <t>Purchase of Printer and Laptop for Polanco National High School Extension - Isis</t>
  </si>
  <si>
    <t>PROCUREMENT OF TONER WITH FREE USE OF PRINTER</t>
  </si>
  <si>
    <t>20LC0043 - Tanglaw Bridge 2 (B00187MN) along Tagum – Panabo Circumferential Rd.</t>
  </si>
  <si>
    <t>Improvement of Road along Julita-Hindang-Anibong Road Section (Phase 2) in Julita, Leyte, ABC PHP14,226,948.00</t>
  </si>
  <si>
    <t>Concreting of Road along Brgy. Visares-Brgy. Balugo Road Section in Capoocan, Leyte, ABC PHP4,999,986.85</t>
  </si>
  <si>
    <t>Concreting of Road in Brgy. Capangihan, Sitio Baquilid, Tolosa, Leyte, ABC PHP5,000,787.37</t>
  </si>
  <si>
    <t>Proposed Construction of Spillway with Side Protection @ Subayon, Toledo City</t>
  </si>
  <si>
    <t>Construction of 10-Barrel Box Culvert in Brgy. Astorga, Tunga, Leyte, ABC PHP5,999,998.44</t>
  </si>
  <si>
    <t>20LC0042 - Locutan Bridge 1 (B00190MN) along Tagum – Panabo Circumferential Rd.</t>
  </si>
  <si>
    <t>PRINTING OF TICKETS FOR PASKUHAN GIVEAWAYS 2020</t>
  </si>
  <si>
    <t>INVITATION TO BID FOR CONSTRUCTION OF MULTI-PURPOSE DRY PAVEMENT - SECOND BIDDING</t>
  </si>
  <si>
    <t>20LC0111 - Jct. Tagum City Bypass Road – San Agustin – New Bohol, New Corella, leading to Matin-ao Inland Resort, New Corella, Davao del Norte</t>
  </si>
  <si>
    <t>REPAIR AND MAINTENANCE OF MUNICIPAL VEHCILE - FORTUNER</t>
  </si>
  <si>
    <t>Concreting of Road along Brgy. Hilabago-Brgy. Camonoan Road Section in Dagami, Leyte, ABC PHP4,997,817.18</t>
  </si>
  <si>
    <t>Provison of Potable Water Supply in-Expansion of Waterworks in Combado,Bacong Negros Oriental  BacongRFQ 2020-14</t>
  </si>
  <si>
    <t>SUPPLY AND DELIVERY OF VARIOUS OFFICE EQUIPMENT (LCD PROJECTOR – PORTABLE FOLDING TABLE)</t>
  </si>
  <si>
    <t>Provison of Potable Water Supply,Bacong Negros Oriental  BacongRFQ 2020-15</t>
  </si>
  <si>
    <t>Reblocking of Road along MacrArthur-Palale-San Antonio Provincial Road Section in MacArthur, Leyte, ABC PHP9,969,583.12</t>
  </si>
  <si>
    <t>SUPPLY AND DELIVERY OF PLANTS FOR CITYWIDE BEAUTIFICATION AND LANDSCAPING PROJECTS OF PARKS AND GREEN DIVISION</t>
  </si>
  <si>
    <t>Supply and Delivery of Fertilizers</t>
  </si>
  <si>
    <t>Construction of Legistative Building in Javaier, Leyte, ABC PHP8,593,283.28</t>
  </si>
  <si>
    <t>Procurement of Linens Requirement of VLMC, AFPHSC (Lot 1) (Re-Bidding)</t>
  </si>
  <si>
    <t>Rental of Service Vehicle for use in the Supervision of Maintenance                        Activities along Paco-Roxas-Arakan Valley Rd. (Antipas-Katipunan Sect.)  (November 2 - 13, 2020) (Equipment R</t>
  </si>
  <si>
    <t>CONCRETING OF ROAD POBLACION-MAIGANG</t>
  </si>
  <si>
    <t>Improvement of Road in Brgy. Uguisan, MacArthur, Leyte, ABC PHP9,999,195.07</t>
  </si>
  <si>
    <t>SUPPLY AND DELIVERY OF DESKTOP COMPUTERS</t>
  </si>
  <si>
    <t>RIPRAPPING</t>
  </si>
  <si>
    <t>Supply and Delivery of Information Technology Equipment-REBID</t>
  </si>
  <si>
    <t>20IJ-0090 APPLICATION OF THERMOPLASTIC PAVEMENT MARKING ALONG NATIONAL ROADS KO738+000 – KO786+000 WITH EXEPTION</t>
  </si>
  <si>
    <t>Procurement of Rescue Equipment</t>
  </si>
  <si>
    <t>Procurement for the Supply &amp; Delivery of One (1) Unit Brand New Four (4) Wheeled Vehicle (Pick-Up Truck) for the Bureau of Fire Protection, City of Koronadal</t>
  </si>
  <si>
    <t>PURCHASE OF CONSTRUCTION  MATERIALS TO BE USE FOR THE CONSTRUCTION OF SCHOOL BUILDING AT SIOTES ELEMENTARY SCHOOL AT CAURASAN, CARMEN, CEBU</t>
  </si>
  <si>
    <t>Construction of a 2-Classroom School Building at Catoogan Elem. School in Brgy. Catoogan, Sta. Fe, Leyte, ABC PHP3,668,808.81</t>
  </si>
  <si>
    <t>Reblocking/Concreting of Road from Brgy. Los Martires to Brgy. San Antonio Dist. 5 in Dagami, Leyte, ABC PHP3,517,944.70</t>
  </si>
  <si>
    <t>Supply and Delivery of Construction Materials for the Improvement of Acacia-Binalian Road</t>
  </si>
  <si>
    <t>Purchase of Printer/Copier and External Drive for Polanco National High School Main Campus</t>
  </si>
  <si>
    <t>IMPROVEMENT OF BARANGAY EVACUATRION CENTER</t>
  </si>
  <si>
    <t>nyg2020-07</t>
  </si>
  <si>
    <t>20IJ-0092 REPAIR/MAINTENANCE OF DOTR BUILDING, LAND TRANSPORTATION OFFICE, CALBAYOG CITY, SAMAR</t>
  </si>
  <si>
    <t>BARANGAY ROAD MAINTENANCE</t>
  </si>
  <si>
    <t>PURCHASE OF OFFICE EQUIPMENT</t>
  </si>
  <si>
    <t>Construction of Multi-Purpose Bldg. (Phase 2) in Brgy. Tigbao, Dulag, Leyte, ABC PHP3,432,345.02</t>
  </si>
  <si>
    <t>INVITATION FOR NEGOTIATED PROCUREMENT DUE TO TWO-FAILED BIDDINGS  SUPPLY AND DELIVERY OF ONE (1) UNIT WATER TANKER (BRAND NEW, 6-WHEELER, 10 TONS)</t>
  </si>
  <si>
    <t>PURCHASE OF CONSTRUCTION MATERIALS TO BE USE FOR THE CONSTRUCTION OF GUARDRAIL AT BARANGAY IPIL, CARMEN, CEBU</t>
  </si>
  <si>
    <t>Purchase of Diesel for Emergency Response</t>
  </si>
  <si>
    <t>Purchase of Diesel for Emergency REsponse</t>
  </si>
  <si>
    <t>RFQ– G.I. Pipe, 150mm</t>
  </si>
  <si>
    <t>EXPANSION OF LIMAY ELEMENTARY PARKING AREA AT BARANGAY TOWNSITE, LIMAY, BATAAN</t>
  </si>
  <si>
    <t>CONSTRUCTION OF CONCRETE PAVEMENT AND LANDSCAPE AT LIMAY ELEMENTARY SCHOOL BARANGAY TOWNSITE, LIMAY, BATAAN</t>
  </si>
  <si>
    <t>PURCHASE OF TWO (2) UNITS RISOGRAPH MACHINE TO BE USE FOR DEPED CARMEN DISTRICT</t>
  </si>
  <si>
    <t>Supply and Delivery of Various Electro-Mechanical Equipment and Accessories for the Construction of Tigayon Pumping Station No. 2</t>
  </si>
  <si>
    <t>Labor and Materials for the Repair/Replacement of Electrical Works at NHA School Building, Maimpis, City of San Fernando, Pampanga</t>
  </si>
  <si>
    <t>Procurement of 1 unit Pavement Breaker</t>
  </si>
  <si>
    <t>CONSTRUCTION/REHABILITATION OF BRGY. MULTI-PURPOSE HALL</t>
  </si>
  <si>
    <t>nyg2020-06</t>
  </si>
  <si>
    <t>CONSTRUCTION OF AA SLAUGHTERHOUSE</t>
  </si>
  <si>
    <t>PURCHASE OF ONE (1) UNIT PICK UP VEHICLE (BRANDNEW) WITH ACCESSORIES (WANG-WANG/WHELEN LED LIGHT BAR, WINCH IN FRONT, REAR TOW HOOK) TO BE USE FOR CARMEN PNP STATION</t>
  </si>
  <si>
    <t>SUPPLY &amp; DELIVERY OF SURGICAL INSTRUMENTS- REBID</t>
  </si>
  <si>
    <t>CONSTRUCTION SUPPLIES OPEN LINE CANAL  GARCIA CMPND</t>
  </si>
  <si>
    <t>Rental of Service Vehicle for use in the Supervision of Maintenance  Activities along Paco-Roxas-Arakan Valley Rd. (Antipas-Katipunan Sect.) (November 16 - 27, 2020) (Equipment Rental Only)</t>
  </si>
  <si>
    <t>Procurement/Supply &amp; Delivery of Catering Services for Various Activities of DAR-ADS under Project ConVERGE</t>
  </si>
  <si>
    <t>Purchase of Diesel for Ambulance Vehicles for Covid-19</t>
  </si>
  <si>
    <t>Procurement of Works for the Construction of Barangay Health Station (BHS),  Brgy. San Anotnio, Tapaz, Capiz</t>
  </si>
  <si>
    <t>Purchase of Fireworks</t>
  </si>
  <si>
    <t>Repair of Guard House for Jolo DPP (S3-JOL20-013)</t>
  </si>
  <si>
    <t>Procurement of Medicines for Birthing Clinic</t>
  </si>
  <si>
    <t>PURCHASE OF EQUIPMENT AND APPLIANCES TO BE USE FOR CARMEN FIRE STATION</t>
  </si>
  <si>
    <t>ITB No. 2020-03(10): Completion of BHS Cabungaan, Silvino Lobos, Northern Samar</t>
  </si>
  <si>
    <t>IMPROVEMENT OF WATER SUPPLY SYSTEM</t>
  </si>
  <si>
    <t>Rental of Service Vehicle for Supervision/Implementation of Regular Infra Projects (November 16 - 30, 2020) (Equipment Rental Only), (4x4 Pick-Up type A/T)</t>
  </si>
  <si>
    <t>Rental of service Vehicle for RBIA Survey Activities charge to PDE fund 2020 (November 16 - 30, 2020)</t>
  </si>
  <si>
    <t>Supply and delivery of 1 unit LED Television, digital "55 inches" for the Provincial Legal Office. ABC PHP65,000.00</t>
  </si>
  <si>
    <t>PURCHASE OF (3) UNITS BRAND NEW AIRCONDITION SPLIT TYPE (INVERTED) USED OF MAYOR'S OFFICE AND BAC OFFICE, MUNICIPALITY OF CAUAYAN, NEGROS OCCIDENTAL</t>
  </si>
  <si>
    <t>Rental of Service Vehicle for Use in the Soil Survey &amp; Supervision of  Various Projects (November 16 - 30, 2020) (Equipment Rental Only)</t>
  </si>
  <si>
    <t>Procurement of Wheelchair, Crutches &amp; Walker</t>
  </si>
  <si>
    <t>Rental of Service Vehicle for use in the Supervision of Routine Maintenance Activities along Davao-Cotabato Rd. (Bulatukan – East Patadon Section) (November 16 - 27, 2020) (Equipment Rental Only)</t>
  </si>
  <si>
    <t>COMPLETION/EXTENTION OF UBAY RURAL HEALTH UNIT I</t>
  </si>
  <si>
    <t>PURCHASE OF FIVE (5) UNITS SOLAR STREET LIGHTS AT BARANGAY TILING, CAUAYAN, NEGROS OCCIDENTAL</t>
  </si>
  <si>
    <t xml:space="preserve">Supply/Delivery of the following: Digital Projector, Multifunction Printers, Central Processing Units, Computer Sets, Scanner, Branded Laptop, Desktop Computer with Printer WIFI Ready, Printer Inkjet </t>
  </si>
  <si>
    <t xml:space="preserve">Rental of Service Vehicle for use in the Supervision of Maintenance Activities  along Paco-Roxas-Arakan Valley Road and Matalam- Lampayan-Antipas Rd. (Paco-Antipas Section and Antipas Sect. (November </t>
  </si>
  <si>
    <t>20CSIL0001(SUBSURFACE SOIL TESTING FOR THE PROPOSED WIDENING OF PERMANENT BRIDGES)</t>
  </si>
  <si>
    <t>Procurement of Garments for CSU Uniform</t>
  </si>
  <si>
    <t>PURCHASE OF MATERIALS FOR THE IMPROVEMENT OF MULTI-PURPOSE HALL</t>
  </si>
  <si>
    <t>SVP PUR20-07-0608 Procurement of Anti-formalin solution, etc. for Surgical Pathology, Dept. of Laboratories, PGH</t>
  </si>
  <si>
    <t>20-002-08 DELTA "SUPPLY, INSTALLATION, TESTING AND COMMISSIONING OF AIRFIELD LIGHTING SYSTEM AT NEW BICOL INTERNATIONAL AIRPORT  (REDL, RTHL/E, TEDL, PAPI, RTIL, WDIL, ABN, FL)" RE-POST</t>
  </si>
  <si>
    <t>AMP-20-07-052	Construction of PWD Ramp at NALLRC	(PR # 20-07-150)</t>
  </si>
  <si>
    <t>Rebidding for the Supply and Delivery of One (1) Unit Passenger Van</t>
  </si>
  <si>
    <t>PURCHASE OF CONTROLLER FOR WATER PUMPING STATION</t>
  </si>
  <si>
    <t>Procurement of Relief Goods for Affected Families</t>
  </si>
  <si>
    <t>IB_20E00110: AWP 3/Preventive Maintenance, Mindoro West Coastal Road, K0254+000 – K0260+476, Occidental Mindoro</t>
  </si>
  <si>
    <t>20-003-08 DELTA "CONSTRUCTION OF NEW PASSENGER TERMINAL BUILDING (PHASE I) OF TACLOBAN AIRPORT DEVELOPMENT PROJECT" RE_POST</t>
  </si>
  <si>
    <t>Procurement for Various Semi-Expendable - Furniture and Fixtures for NEDA IX Guest House and Drivers' Quarter</t>
  </si>
  <si>
    <t>CONSTRUCTION SUPPLIES LINE CANAL W/ CONC. COVER Housing project</t>
  </si>
  <si>
    <t>Procurement and Delivery of Materials for the Reproduction of Modules_Batch 2</t>
  </si>
  <si>
    <t>Installation of IP based Paging System with Siren on the Security Cameras with Face Recognition</t>
  </si>
  <si>
    <t>Purchase of Office Tables, Chairs, Bookshelves/Filing Cabinet ,Computer Table &amp; Office Sala set</t>
  </si>
  <si>
    <t>Procurement for the Supply, Delivery, Installation &amp; Commissioning of ICT Equipments, Telephone Channeling, Internet Cabling, LAN Connection of Patient Queuing System of the City Health Office, City o</t>
  </si>
  <si>
    <t>Procurement of Cellphone for QR Coding Scanning</t>
  </si>
  <si>
    <t>LABOR AND MATERIALS FOR THE REHAB/IMPROVEMENT OF FARM TO MARKET ROAD AT PUROK 3, BARANGAY TUYOM , CAUAYAN, NEGROS OCCIDENTAL, CAUAYAN, NEGROS OCCIDENTAL</t>
  </si>
  <si>
    <t>Purchase of Diesel for Ambulance Vehicle (Covid -19)</t>
  </si>
  <si>
    <t>PURCHASE OF ONE (1) UNIT MANLIFT OF MUNICIPALITY OF CAUAYAN, NEGROS OCCIDENTAL</t>
  </si>
  <si>
    <t>Procurement of Const. Supplies for the Repair and Maintenance of Office Building</t>
  </si>
  <si>
    <t>20IJ-0091 REHABILITATION/MAJOR REPAIR OF TANGAO RIVER REVETMENT 2, BRGY.SAN JOAQUIN, CALBAYOG CITY, SAMAR</t>
  </si>
  <si>
    <t>Purchase of  Diesel for Fuel Consumption while on official Travel/Business (Drumming)</t>
  </si>
  <si>
    <t>:  SUPPLY OF MATERIALS FOR THE CONSTRUCTION OF    CHB FENCE</t>
  </si>
  <si>
    <t>Procurement/ Installation of Solar Street Lighting</t>
  </si>
  <si>
    <t>Purchase of Medical and Laboratory Supplies for Corona Virus Disease (COVID-19) Pandemic</t>
  </si>
  <si>
    <t>Purchase of Modem and Printer for Polanco National High School Extension - Lingasad</t>
  </si>
  <si>
    <t>PURCHASE OF EMERGENCY RESCUE VEHICLE</t>
  </si>
  <si>
    <t>Upgrading and Improvement of Sto. Niño Street in Brgy. Baybay, Gamay, Northern Samar</t>
  </si>
  <si>
    <t>SUPPLY AND DELIVERY OF 12 UNITS LAPTOP</t>
  </si>
  <si>
    <t>Construction of River Dike in Brgy. Caghalo, Carigara, Leyte, ABC PHP3,506,084.15</t>
  </si>
  <si>
    <t>IMPROVEMENT OF MULTI-PURPOSE BUILDING (GYMNASIUM STAGE)</t>
  </si>
  <si>
    <t>Supply and Delivery of 154,074 pcs. Canvas Bags</t>
  </si>
  <si>
    <t>SVP PUR20-08-0679 Procurement of Dressing control gel formula, etc. for PSD, PGH</t>
  </si>
  <si>
    <t>CONCRETING OF BRGY. ROADS AT SITIO MANAWAYAN, BRGY. MANINANG, CAPIZ</t>
  </si>
  <si>
    <t>Printing Materials for Reproduction of Modules</t>
  </si>
  <si>
    <t>Proposed Construction of Four (4) Storey Twelve Classrooms School Building and Facilities at PHILIPPINE SCHOOL FOR THE DEAF (PSD), Phase 1</t>
  </si>
  <si>
    <t>CONSTRUCTION OF NARRA ROAD (PUROK 7)</t>
  </si>
  <si>
    <t>CONSTRUCTION OF COCO HUB PROCESSING FACILITIES AT KAWIT ORIENTAL, KAUSWAGAN, LANAO DEL NORTE</t>
  </si>
  <si>
    <t>SVP PUR20-07-0616 Procurement of Radiolucent Defibrillator for Cardiac Cathlab, PGH</t>
  </si>
  <si>
    <t>Office Equipment and Supplies (2020-07-190)</t>
  </si>
  <si>
    <t>Hardware (2020-07-201)</t>
  </si>
  <si>
    <t>Office Equipment (2020-07-202)</t>
  </si>
  <si>
    <t>Vehicle Part and Accessories (2020-07-199)</t>
  </si>
  <si>
    <t>Text Tiles (2020-07-198)</t>
  </si>
  <si>
    <t>Vehicle Part and Accessories (2020-07-196)</t>
  </si>
  <si>
    <t>Proposed Construction of Four (4) Storey - Twelve (12) Rooms School Building and Facilities at PASAY CITY NORTH HIGH SCHOOL - M. Dela Cruz - Phase 2</t>
  </si>
  <si>
    <t>SAKUNA, ATING PAGHANDAAN (EMERGENCY RESPONSE KIT) FOR DISASTER PREPAREDNESS</t>
  </si>
  <si>
    <t>Vehicle Part and Accessories (2020-07-195)</t>
  </si>
  <si>
    <t>Vehicle Part and Accessories (2020-07-197)</t>
  </si>
  <si>
    <t>Office Equipment (2020-07-193)</t>
  </si>
  <si>
    <t>Purchase of Hardware(2020-07-189)</t>
  </si>
  <si>
    <t>Office Equipment (2020-05-060)</t>
  </si>
  <si>
    <t>CONSTRUCTION OF NEW PUBLIC MARKET AT POBLACION, KAUSWAGAN, LANAO DEL NORTE</t>
  </si>
  <si>
    <t>Office Equipment (2020-07-191)</t>
  </si>
  <si>
    <t>Office Equipment and Supplies (2020-02-020)</t>
  </si>
  <si>
    <t>PROCUREMENT OF SUPPLIES AND MATERIALS FOR THE IMPROVEMENT OF WATER SYSTEM (PIPE LAYING)</t>
  </si>
  <si>
    <t>PROCUREMENT OF CONSTRUCTION SUPPLIES AND MATERIALS FOR THE CONSTRUCTION OF LOCAL ROAD NETWORK</t>
  </si>
  <si>
    <t>20CSCM05 - Consultancy Services for the Geotechnical Investigation (Sub-Soil Exploration) of Various Flood Control and National Road Projects for the proposed  FY 2021 Infrastructure Program of Zambal</t>
  </si>
  <si>
    <t>Office Supplies (2020-07-192)</t>
  </si>
  <si>
    <t>Office Equipment and Supplies (2020-02-022)</t>
  </si>
  <si>
    <t>Office Supplies (2020-07-227)</t>
  </si>
  <si>
    <t>Fuels (2020-07-225)</t>
  </si>
  <si>
    <t>Asphalt Overlay at Barangay Sta. Monica, Floridablanca, Pampanga</t>
  </si>
  <si>
    <t>Catering Services (2020-07-214)</t>
  </si>
  <si>
    <t>SK BANGKAL INFORMATION AND COMMUNICATION MANAGEMENT SYSTEM</t>
  </si>
  <si>
    <t>Office Supplies (2020-07-181)</t>
  </si>
  <si>
    <t>Purchase of Hardware (2020-07-207)</t>
  </si>
  <si>
    <t>Rehabilitation/Improvement of Barangay Road</t>
  </si>
  <si>
    <t>SUPPLY AND DELIVERY OF ELECTRICAL AND PLUMBING MATERIALS FOR THE NEWLY CONSTRUCTED MULTI-PURPOSE BLDG.</t>
  </si>
  <si>
    <t>Electrical Supplies (2020-07-194)</t>
  </si>
  <si>
    <t>Office Supplies (2020-07-228)</t>
  </si>
  <si>
    <t>Office Supplies (2020-07-205)</t>
  </si>
  <si>
    <t>Vehicle Part and Accessories (2020-07-223)</t>
  </si>
  <si>
    <t>Hardware and Construction Materials (2020-07-222)</t>
  </si>
  <si>
    <t>20CSOA001 - CONSULTING SERVICES FOR THE PREPARATION OF DETAILED ARCHITECTURAL &amp; ENGINEERING DESIGN (DAED) INCLUDING QUANTITY ESTIMATES FOR THE PROPOSED CONST. OF NAVOTAS POLYTECHNIC COLLEGE (NPC) BLDG</t>
  </si>
  <si>
    <t>Purchase of Hardware(2020-07-221)</t>
  </si>
  <si>
    <t>Office Equipment (2020-07-217)</t>
  </si>
  <si>
    <t>Purchase of Hardware(2020-07-224)</t>
  </si>
  <si>
    <t>WIRELESS INTERNET CONNECTION FOR VARIOUS SCHOOL OF BALIWAG NORTH AND SOUTH DISTRICT</t>
  </si>
  <si>
    <t>Public Bidding of 2 Lots for the Supply &amp; Delivery of Manual Transmission &amp; Radiator for Equipment Pool Division, under ITB No. 2020-022R</t>
  </si>
  <si>
    <t>Animals (2020-07-216)</t>
  </si>
  <si>
    <t>General Merchandise (2020-07-215)</t>
  </si>
  <si>
    <t>Catering Services (2020-07-219)</t>
  </si>
  <si>
    <t>Electrical Supplies (2019-07-213)</t>
  </si>
  <si>
    <t>VLMC-MS-20-0608-10180</t>
  </si>
  <si>
    <t>Catering Services (2020-07-042)</t>
  </si>
  <si>
    <t>Local Access Road in Barangay Nanungaran and Barangay Anungu</t>
  </si>
  <si>
    <t>Catering Services (2020-07-229)</t>
  </si>
  <si>
    <t>DSC-M-20-0608-010179</t>
  </si>
  <si>
    <t>PROCUREMENT OF SURVEILLANCE AND DETECTIVE  EQUIPMENT</t>
  </si>
  <si>
    <t>Office Supplies and Devices (2020-07-175)</t>
  </si>
  <si>
    <t>PROCUREMENT OF INFORMATION TECHNOLOGY PARTS AND ACCESSORIES</t>
  </si>
  <si>
    <t>Fuels (2020-07-226)</t>
  </si>
  <si>
    <t>PROCUREMENT OF 1 LOT HARDWARE AND CONSTRUCTION SUPPLIES</t>
  </si>
  <si>
    <t>PROCUREMENT OF 1 LOT WATER &amp; WASTE WATER TREATMENT SUPPLY &amp; DISPOSAL</t>
  </si>
  <si>
    <t>PROCUREMENT OF CONSTRUCTION EQUIPMENT</t>
  </si>
  <si>
    <t>VLMC-MS-20-0608-10183</t>
  </si>
  <si>
    <t>Office Supplies (2020-06-155)</t>
  </si>
  <si>
    <t>Purchase and Delivery of Tent</t>
  </si>
  <si>
    <t>Concreting of T. Cossid Street</t>
  </si>
  <si>
    <t>VLMC-M-20-0608-010175</t>
  </si>
  <si>
    <t>Installation of Automated Weather Monitoring System</t>
  </si>
  <si>
    <t>Hardware Supplies (2020-07-212)</t>
  </si>
  <si>
    <t>Office Supplies (2020-07-218)</t>
  </si>
  <si>
    <t>Vehicle Part and Accessories (2020-07-235)</t>
  </si>
  <si>
    <t>PROPOSED FACULTY AND EMPLOYEE CENTER</t>
  </si>
  <si>
    <t>Concreting of Road at Zone 3, Tumaga, Zamboanga city</t>
  </si>
  <si>
    <t>Medical Equipment (2020-07-232)</t>
  </si>
  <si>
    <t>Agricultural Equipment (2020-07-230)</t>
  </si>
  <si>
    <t>Agricultural Medicines (2020-07-234)</t>
  </si>
  <si>
    <t>Office Supplies (2020-07-204)</t>
  </si>
  <si>
    <t>Office Supplies (2020-07-210)</t>
  </si>
  <si>
    <t>Purchase and Delivery of Printer and Bond Paper</t>
  </si>
  <si>
    <t>Office Equipment (2020-07-209)</t>
  </si>
  <si>
    <t>Catering Services (2020-07-206)</t>
  </si>
  <si>
    <t>Office Supplies (2020-07-203)</t>
  </si>
  <si>
    <t>Rental of Service Vehicle for use in the Supervision of Maintenance Activities along Pob.Magpet-Nowa-Basak-Greenfield Rd. (Pob.Magpet-Greenfield Sect.) (November 16 - 27, 2020) (Equipment Rental Only)</t>
  </si>
  <si>
    <t>Office Supplies (2020-07-233)</t>
  </si>
  <si>
    <t>Purchase of Hardware Supplies (2020-07-208)</t>
  </si>
  <si>
    <t>Construction Materials and Supplies (2020-07-203)</t>
  </si>
  <si>
    <t>21CSIA003 Consultancy Services for the conduct of Feasibility Study of the Proposed Calumpang-Atipolo Diversion Road; Naval Terminal - Atipolo Diversion Road and Naval Diversion Road (Riverside-Provin</t>
  </si>
  <si>
    <t>PROCUREMENT OF RESCUE VEHICLE</t>
  </si>
  <si>
    <t>21CSIA002 Conduct of Soil Exploration for the Rehabilitation/Reconstruction of National Roads with Slips, Slope Collapse and Landslides for the following projects under FY 2021 fund</t>
  </si>
  <si>
    <t>PURCHASE OF ONE (1) UNIT PICK UP TRUCK WITH ACCESSORIES FOR USE OF PNP, CAVITE CITY</t>
  </si>
  <si>
    <t>Procurement of Assorted Mainline Fittings and Materials</t>
  </si>
  <si>
    <t>DSC-RMDE-20-1208-17004</t>
  </si>
  <si>
    <t>Development of Collapsible food hub  including fabrication of chassis components, electrical and automation works - Negotiated</t>
  </si>
  <si>
    <t>PTO-20-0861-B / Furniture and Fixtures</t>
  </si>
  <si>
    <t>20IK0100- Reblocking of Municipal Roads, Brgys. Baybay, Salud, Lawaan, Palaypay, Mercado, Loyo, Basey, Samar</t>
  </si>
  <si>
    <t>Electrical Supplies (2019-07-211)</t>
  </si>
  <si>
    <t>B20200309 - TOWER CONSTRUCTION AND INSTALLATION FOR DAVNOT ICT INFRA DEVELOPMENT</t>
  </si>
  <si>
    <t>PROCUREMENT OF WATER SYSTEM FIXTURES</t>
  </si>
  <si>
    <t>CONSTRUCTION OF NEW DISASTER RESILIENT MUNICIPAL BUILDING</t>
  </si>
  <si>
    <t>Office Equipment (2020-07-231)</t>
  </si>
  <si>
    <t>Upgrading of Local Access Road at Ajat to Manaoag to Campo</t>
  </si>
  <si>
    <t>2020 29TH PUBLIC BIDDING: PROCUREMENT OF FOOD STUFF FOR 2020 2ND SEMESTER CONSUMPTION</t>
  </si>
  <si>
    <t>Access point to be used at Centers and Institutions and CIS Pangasinan and memory upgrade for laptop to be used in virtual laboratory</t>
  </si>
  <si>
    <t>PROCUREMENT OF 2 LOTS FUEL, OIL AND LUBRICANTS</t>
  </si>
  <si>
    <t>Improvement of Solar Dryer at Purok Malinawon, Conel, GSC</t>
  </si>
  <si>
    <t>PURCHASE OF OFFICE SUPPLIES FOR THE 3RD QUARTER</t>
  </si>
  <si>
    <t>Bidding (Infra Project)</t>
  </si>
  <si>
    <t>Purchase of various office supplies for the operation of UCT RPMO</t>
  </si>
  <si>
    <t>Supply and delivery of various commodities for the children beneficiaries of Supplementary Feeding Program of the Municipality of Sarrat, Ilocos Norte</t>
  </si>
  <si>
    <t>Office Supplies for use during the Listahanan 3 Validation Activity</t>
  </si>
  <si>
    <t>Various ICT Materials for DSWD FO 1 staff</t>
  </si>
  <si>
    <t>Valproate Disodium Valproic Acid 500mg/5ml     IV, infusion</t>
  </si>
  <si>
    <t>Construction of Evacuation Center (Phase 2), Brgy. Pampango, Libacao, Aklan</t>
  </si>
  <si>
    <t>Purchase of various materials for Improvement of Water Works System, Brgy. Liptong</t>
  </si>
  <si>
    <t>for livelihood starter kits of 91beneficiareies of DILP</t>
  </si>
  <si>
    <t>B20200311 - FUEL FOR REHAB. OF SAN JOSE - SITIO MAHAYAHAY MAGWAWA PROV'L. ROAD, STO. TOMAS, DDN</t>
  </si>
  <si>
    <t>PROCUREMENT OF MEDICINE AND MEDICAL SUPPLIES (3RD QUARTER)</t>
  </si>
  <si>
    <t>Supply &amp; Delivery of Piglets, Feeds, Drugs and Biologics.</t>
  </si>
  <si>
    <t>PURCHASE OF OFFICE EQUIPMENT @ POBLACION, MABINI, BATANGAS</t>
  </si>
  <si>
    <t>B20200314 - FUEL FOR VARIOUS LOCAL ROADS &amp; DRAINAGE DEV'T. PRJ. STO. TOMAS, DDN (4TH QTR.)</t>
  </si>
  <si>
    <t>B20200313 - FUEL FOR VARIOUS LOCAL ROADS AND DRAINAGE DEV'T. PROJECT, KAPALONG AND SAN ISIDRO, DDN (POL)</t>
  </si>
  <si>
    <t>Purchase and Delivery of Farm Tractor and Hose</t>
  </si>
  <si>
    <t>Improvement of Valencia District Office (PHASE 2)</t>
  </si>
  <si>
    <t>Supply and Delivery of 2 Units BRand New 4 x 4 Pick-UP</t>
  </si>
  <si>
    <t>Construction of 38 Units Temporary Shelter ,Magpet,Cotabato</t>
  </si>
  <si>
    <t>Supply and Delivery of Adhesive Epoxy and Forty-Eight Others for OM-BOD</t>
  </si>
  <si>
    <t>Purchase and delivery of One (1) unit Brand New Multifunction Copier</t>
  </si>
  <si>
    <t>LOT Procurement of SPAREPARTS for Use in the Repair of Light and Heavy Equipment</t>
  </si>
  <si>
    <t>PROCUREMENT OF OFFICE EQUIPMENT AND ACCESSORIES (3RD QUARTER)</t>
  </si>
  <si>
    <t>20IB0146 - Repair/Maintenance of Unpaved Shoulder and Clearing of Landslide along Eastern Samar National Roads</t>
  </si>
  <si>
    <t>B20200318 - FUEL FOR REHAB. OF JCT. NEW BOHOLANO-NEW LOON ROAD, KAPALONG, DDN (POL)</t>
  </si>
  <si>
    <t>ITB Delivery, Installation, Rehabilitation of Air Quality Monitoring Network, Calibration and Maintenance of Technical and Scientific Equipment</t>
  </si>
  <si>
    <t>B20200315 - FUEL FOR REHAB. OF SAUG BRIDGE SLOPE PROTECTION, NEW CORELLA, DDN (POL)</t>
  </si>
  <si>
    <t>B20200312 - FUEL FOR REHAB./IMPV'T. OF TUBOD PILAR PROV'L. ROAD CARMEN, DDN (4TH QTR.)</t>
  </si>
  <si>
    <t>Office Equipment - MDRRMO</t>
  </si>
  <si>
    <t>IMPROVEMENT OF  MULTI-PURPOSE HALL @ POBLACION, MABINI, BATANGAS</t>
  </si>
  <si>
    <t>B20200317 - FUEL FOR VARIOUS LOCAL ROADS &amp; DRAINAGE DEV'T. PRJ. STO. TOMAS, DDN (3RD QTR.)</t>
  </si>
  <si>
    <t>Concreting of Pias Norte Farm to Market Road, Phase II</t>
  </si>
  <si>
    <t>Proposed D.D Trans Cyphenothrin for Anti-Dengue Project</t>
  </si>
  <si>
    <t>Construction of Retaining Wall along Brgy. Agmailig-Brgy. Bato-Bato, Sitio Dagna, Brgy. Can-awan, Libacao, Aklan</t>
  </si>
  <si>
    <t>Purchase of COVID19 IEC Materials</t>
  </si>
  <si>
    <t>Purchase of Supplies and Materials for Schools</t>
  </si>
  <si>
    <t>Proposed Kabalikat sa Kalinisan (KKK): Enhancement of Materials/Supplies for Environmental Use</t>
  </si>
  <si>
    <t>Printing of Coffee table book for the project entitled “ESSU:  60 Years and Beyond” RPG# 2020-OSPM-115</t>
  </si>
  <si>
    <t>Purchase of Construction Materials for Road Concreting</t>
  </si>
  <si>
    <t>Improvement of Brgy. Multi-purpose Building, Brgy. Ninoy Aquino, Canlaon City</t>
  </si>
  <si>
    <t>Rebidding: 5416 pcs CHB 4” x 8” x16” for continuance construction of the 3rd and 4th Floors of the city Treasurer”s office (For City Accounting and Other Offices) at Barangay 4.</t>
  </si>
  <si>
    <t>Purchase of 1 unit BACKHOE</t>
  </si>
  <si>
    <t>PURCHASE OF THE MATERIALS FOR THE FLOOD &amp; EROSION PROJECTS PUROK 2B</t>
  </si>
  <si>
    <t>B20200316 - FUEL FOR REP OF DAMAGE DRAINAGE/CREEKS ALONG SADPODON CREEK, CARMEN, DDN (3RD QTR.)</t>
  </si>
  <si>
    <t>CONSTRUCTION OF PATIENT WAITING AREA T RHU BUILDING</t>
  </si>
  <si>
    <t>Procurement of Printer and Ink for Different Schools (Batch 2)</t>
  </si>
  <si>
    <t>B20200320 - FUEL FOR THE USE OF PADO VEHICLE CONSUMPTION FOR 3RD QTR.</t>
  </si>
  <si>
    <t>CONCRETING OF VARIOUS BARANGAY ROADS</t>
  </si>
  <si>
    <t>Purchase of Materials for the Installation of Solar Streetlight, Brgy. Madarag, Lambunao, Iloilo</t>
  </si>
  <si>
    <t>REHABILITATION/IMPROVEMENT OF LOCAL ROADS PACKAGE 5-2020</t>
  </si>
  <si>
    <t>PROCUREMENT OF CONSUMABLE OFFICE SUPPLIES</t>
  </si>
  <si>
    <t>B20200319 - AGRICULTURAL SUPPLIES FOR PAGRO USE</t>
  </si>
  <si>
    <t>Purchase and Delivery of One Unit Rescue Vehicle</t>
  </si>
  <si>
    <t>CID NO. 20GIF0003-Supply/Delivery of OILS AND TIRES for SERVICE VEHICLES AND HEAVY EQUIPMENT OF LEYTE IV DEO</t>
  </si>
  <si>
    <t>B20200321 - FUELS FOR PGO VEHICLE CONSUMPTION FOR 3RD QTR.</t>
  </si>
  <si>
    <t>Procurement of Pest Control Services</t>
  </si>
  <si>
    <t>CONSTRUCTION OF CHILD DEVELOPMENT CENTER @ SO. ALIPUNDO TANYAG, CALINTAAN OCCIDENTAL MINDORO</t>
  </si>
  <si>
    <t>Fencing of Solid Waste Management Facilities</t>
  </si>
  <si>
    <t>CONSTRUCTION OF MULTI-PURPOSE BUILDING (C0VERED COURT) - BARANGAY CAMANGA</t>
  </si>
  <si>
    <t>Supply and Installation of Equipment for AA Municipal Slaughterhouse and Waste Water Treatment Plant</t>
  </si>
  <si>
    <t>Proposed Construction of AA Municipal Slaughterhouse (Including Site Development &amp; Slaughterhouse Building)</t>
  </si>
  <si>
    <t>Supply and Delivery of Medicines and Supply for the Municipal Health Office (3rd Quarter 2020)</t>
  </si>
  <si>
    <t>PURCHASE OF 6 WHEELER  DUMPTRUCK</t>
  </si>
  <si>
    <t>PROCUREMENT OF IGM/IGG ANTIBODY DIAGNOSTIC KIT FOR COVID-19 RESPONSE - 2ND POSTING</t>
  </si>
  <si>
    <t>Construction of Canal Lining at Brgy. Nancasalan, Mangatarem, Pangasinan</t>
  </si>
  <si>
    <t>Construction of Balat-Cayanga CIP at Brgy. Cayanga, Bugallon, Pangasinan</t>
  </si>
  <si>
    <t>Repair of Barangay Hall, Apang, Alilem, Ilocos Sur</t>
  </si>
  <si>
    <t>CIVIL WORKS FOR THE CONSTRUCTION OF MDRRMO BUILDING, MAGALLANES, AGUSAN DEL NORTE</t>
  </si>
  <si>
    <t>SUPPLY AND DELIVERY OF AIR-CONDITIONING UNITS (OPERATIONAL LEASE)</t>
  </si>
  <si>
    <t>Ecological Solid Waste Management Program (Construction of Drainage)</t>
  </si>
  <si>
    <t>Construction of Residual Containment Area</t>
  </si>
  <si>
    <t>Supply and Delivery of Service Land Rescue Vehicle (Pick up Rescue Car)</t>
  </si>
  <si>
    <t>Supply and Delivery of Two (2) Units of Reefer/Refrigerated Van</t>
  </si>
  <si>
    <t>Procurement and Delivery of 4 WD Brand New Farm Tractor</t>
  </si>
  <si>
    <t>PROCUREMENT OF LGU VEHICLE FUELS AND LUBRICANTS</t>
  </si>
  <si>
    <t>Furnishing and Delivering of Face Mask N95 3m for Distribution to Frontliners to Prevent the Spread of COVID-19 Virus in this Municipality of Santa Cruz Laguna</t>
  </si>
  <si>
    <t>20FK0061-Cluster XVI -Modified Standard DPWH DepED Two (2) storey Eight (8) classroom (2-Regular Workshop, 1-Science Laboratory and 1-ICT Laboratory School Building and Modified Standard Two (2) store</t>
  </si>
  <si>
    <t>CONSTRUCTION OF WATER SYSTEM (DRILLING OF 6"Ø CASING WELL BOREHOLE)</t>
  </si>
  <si>
    <t>Proposed Flu Vaccine for Bakuna sa Dasma</t>
  </si>
  <si>
    <t>Procurement of Cabinets wth vault for SDO's of SPPMO</t>
  </si>
  <si>
    <t>Construction of Canal Lining of Patapaya CIS at Brgy. Bayaoas, Aguilar, Pangasinan</t>
  </si>
  <si>
    <t>CONCRETING OF BARANGAY ROAD,SAMPAGUITA STREET</t>
  </si>
  <si>
    <t>Installation of WIFI and Networking in 15 offices of Municipal Hall</t>
  </si>
  <si>
    <t>PROCUREMENT OF RIVER MIX FOR EARTH FILLING (PHASE 2) AT BATO NHS - 1ST POSTING</t>
  </si>
  <si>
    <t>Purchase of Equipment for Healthy Lifestyle Facility</t>
  </si>
  <si>
    <t>RFQ (20-08-033) Various Supplies and Materials for Hemodialysis Patients that are in need of assisstive devices in celebration of the National Disability Prevention and Rehabilitation</t>
  </si>
  <si>
    <t>Supply and Delivery of 3 Units Desktop Computer and 1 Unit 3n1 ADF Printer</t>
  </si>
  <si>
    <t>B20200310 - FUEL FOR REHAB. OF NEW CORELLA-SAUG ROAD, NEW CORELLA, DDN (POL)</t>
  </si>
  <si>
    <t>Construction of Cnal Lining at Sitio 4 and 5, Brgy. Ferdinand, Marcos, Ilocos Norte</t>
  </si>
  <si>
    <t>Repair of Barangay Stage at Brgy. Imelda, Mondragon, Norther Samar</t>
  </si>
  <si>
    <t>CONTRACT ID # 20-06-090 2nd REBID = PROCUREMENT OF INFORMATION TECHNOLOGY AND PERIPHERALS</t>
  </si>
  <si>
    <t>20GH0131 - Concreting of Purok 2 Brgy. Bagacay FMR, Brgy. Bagacay, San Dionisio, Iloilo</t>
  </si>
  <si>
    <t>CONCRETING OF GENERAL LUNA STREET, QUIRINO DISTRICT, PADADA, DAVAO DEL SUR</t>
  </si>
  <si>
    <t>Supply and Delivery of Seventeen (17) units Branded Laptop Computer, Five (5) boxes Office 365, Three (3) units Branded LED Monitor and Ten (10) units Portable External Hard Drive</t>
  </si>
  <si>
    <t>INVITATION TO BID FOR THE PROCUREMENT OF FUEL FOR MOBILIZATION OF VARIOUS OFFICES</t>
  </si>
  <si>
    <t>Provision of three (3) Security Guards Under a Security Agency for Negros Occidental High School</t>
  </si>
  <si>
    <t>PROCUREMENT OF LINEN SUPPLIES ITB No. 2020-31</t>
  </si>
  <si>
    <t>Construction of material Recovery Facilities (MRF-2)</t>
  </si>
  <si>
    <t>CONCRETING OF DAGOHOY STREET, QUIRINO DISTRICT,PADADA, DAVAO DEL SUR</t>
  </si>
  <si>
    <t>Procurement of Medical and Miscellaneous Supplies for Covid-19 Response</t>
  </si>
  <si>
    <t>Procurement and Delivery of 1 Unit Backhoe</t>
  </si>
  <si>
    <t>Procurement and Delivery of 1 Unit Dump Truck</t>
  </si>
  <si>
    <t>Procurement of Two (2) Units Digital Duplicating Machines</t>
  </si>
  <si>
    <t>Procurement of Office Supplies ( Continuous Form &amp; Ribbons)</t>
  </si>
  <si>
    <t>Newborn Screening  Program</t>
  </si>
  <si>
    <t>Construction of Camalin Water Impounding Project (SWIP) at Brgy. Camagsingalan, Sual, Pangasinan</t>
  </si>
  <si>
    <t>ROPOSED FEEDMILL</t>
  </si>
  <si>
    <t>Procurement of Furnitures &amp; Fixtures</t>
  </si>
  <si>
    <t>Procurement of IT Equipment (Printer)</t>
  </si>
  <si>
    <t>Supply &amp; Delivery of Various Spareparts (Vehicle Maintenance)</t>
  </si>
  <si>
    <t>REHABILITATION OF MULTI PURPOSE PAVEMENT FENCE</t>
  </si>
  <si>
    <t>BDRRM SUPPLIES</t>
  </si>
  <si>
    <t>Procurement of Vehicle for Logistical Support to DILG-NCR RPOC Secretariat Satellite Office at Parañaque City Field Office in Assisting Mayor Olivarez in his Function as RPOC-NCR Chairperson</t>
  </si>
  <si>
    <t>1 set of electric generator</t>
  </si>
  <si>
    <t>For Quotation  Bond Paper A4</t>
  </si>
  <si>
    <t>PURCHASE OF OFFICE AND IT EQUIPMENT</t>
  </si>
  <si>
    <t>IMPLEMENTATION OF THE BASIC EDUCATION LEARNING CONTINUITY PLAN, PROVISION OF LEARNING RESOURCES</t>
  </si>
  <si>
    <t>2020-02 Supply and Delivery of Computers for Online Instructions</t>
  </si>
  <si>
    <t>Construction of Canal Lining along the Dam of Brgy. Tabucbuc, Marcos, I.N</t>
  </si>
  <si>
    <t>FOR RADIO OPERATORS AND MDRRMO VOLUNTEERS</t>
  </si>
  <si>
    <t>CONSTRUCTION OF ONE (1) DAY CARE CENTER (MATERIALS)</t>
  </si>
  <si>
    <t>FOR THE 61ST FOUNDING ANNIVERSARY CELEBRATION (ARAW NG LA LIBERTAD)</t>
  </si>
  <si>
    <t>Invitation to bid for the Purchase of tents for various barangays at  Lingayen, Pangasinan</t>
  </si>
  <si>
    <t>Construction of material Recovery Facilities (MRF-1)</t>
  </si>
  <si>
    <t>NEGOTIATED PROCUREMENT OF DUCT HOSE &amp; WATER PUMP AS LIVELIHOOD ASSISTANCE FOR TOBACCO FARMERS</t>
  </si>
  <si>
    <t>Construction of Cabisbislacan CIP at Brgy. Casilan, Umingan, Pangasinan</t>
  </si>
  <si>
    <t>REPAIR/REHABILITATION OF EXISTING GROUND FLOOR OF MALE EMPLOYEE'S DORMITORY</t>
  </si>
  <si>
    <t>REPAIR OF WOODEN FOOTBRIDGE at Sitio Maybolo, Bgy. San Miguel</t>
  </si>
  <si>
    <t>Supply and Delivery of Diesel-Fuel for use of Different Offices of the PGOM (Mamburao Area)</t>
  </si>
  <si>
    <t>SUPPLY AND DELIVERY OF AGRICULTURAL EQUIPMENT FOR GUNOT SEED FARM</t>
  </si>
  <si>
    <t>2 SETS OF VOLTAGE REGULATOR</t>
  </si>
  <si>
    <t>Supply and Delivery of Lobster Production</t>
  </si>
  <si>
    <t>Supply and delivery of Additional PPE for LGU Employees to fight against Covid 19</t>
  </si>
  <si>
    <t>Construction of Multi-Purpose Building - Baracbac, Galimuyod, Ilocos Sur</t>
  </si>
  <si>
    <t>Purchase and Delivery of Twenty-One (21) Units of 3-in-1 Printer (Continuous - A4)</t>
  </si>
  <si>
    <t>Consulting Services for the Conduct of Study for the Establishment of toll food and packaging center for Micro, Small and Medium Entrepreneurs in the Province</t>
  </si>
  <si>
    <t>SUPPLY AND DELIVERY OF CRUDE OIL FOR THE OPENING OF HOMESTEAD ROAD AT BARANGAY TOMADO</t>
  </si>
  <si>
    <t>CONSTRUCTION/IMPROVEMENT OF MULTI-PURPOSE HALL PHASE VI</t>
  </si>
  <si>
    <t>Supply and Delivery of Rescue Vehicle (MDRRMO)</t>
  </si>
  <si>
    <t>SUPPLY AND DELIVERY OF PETROLEUM FOR VARIOUS GOVERNMENT VEHICLES</t>
  </si>
  <si>
    <t>Construction of Perimeter Fence</t>
  </si>
  <si>
    <t>Construction of Fence for Brgy. Multi-purpose Hall</t>
  </si>
  <si>
    <t>Supply and delivery of various commodities for the children beneficiaries of Supplementary Feeding Program of the Municipality of Currimao, Ilocos Norte</t>
  </si>
  <si>
    <t>FURNITURE AND FIXTURE (DSWD-LGU)</t>
  </si>
  <si>
    <t>CY 2020 BASIC EDUCATION FACILITIES FUND (BEFF) REPAIR OF CLASSROOMS- Lot 3 (RE-BID).</t>
  </si>
  <si>
    <t>Improvement of Public Market, Asingan, Pangasinan.</t>
  </si>
  <si>
    <t>INVITATION TO B ID FOR THE PURCHASE OF HIGH VOLUME LOW SPEED CEILING FAN AT LINGAYEN CIVIC CENTER, LINGAYEN, PANGASINAN</t>
  </si>
  <si>
    <t>CONSTRUCTION OF DRAINAGE CANAL AT PUROK 2</t>
  </si>
  <si>
    <t>SUPPLY AND DELIVERY OF COMPUTER DESKTOP AND TABLET FOR BLENDED LEARNING MANAGEMENT SYSTEM</t>
  </si>
  <si>
    <t>Invitation to Bid for the Procurement of Compression Plastic Fittings-Rebid</t>
  </si>
  <si>
    <t>PROCUREMENT OF ELECTRICAL SUPPLIES</t>
  </si>
  <si>
    <t>PROPOSED ROAD CONCRETING NUEVA CACERES, OSLOB, CEBU</t>
  </si>
  <si>
    <t>Negotiated Procurement - Two Failed Biddings: Procurement of Various Medical</t>
  </si>
  <si>
    <t>Bond Paper A4 (08-0873) DepEd Dipolog City</t>
  </si>
  <si>
    <t>200 pcs flash drive 16 gigabytes with otg for Educational Assistance Program for Elementary and High School.</t>
  </si>
  <si>
    <t>SUPPLY AND DELIVERY OF SUPPLIES FOR MODULES REPRODUCTION OF VARIOUS PUBLIC SCHOOLS</t>
  </si>
  <si>
    <t>2020-028 Provision of meals and snacks for the conduct of Webinar / Video Conference on the RPCO 1-PPMIU-PG Coordination Meeting re. Updates on the implementation of PRDP in Region 1</t>
  </si>
  <si>
    <t>PURCHASE OF VEHICLES (MAN LIFTER AND DUMP TRUCK)</t>
  </si>
  <si>
    <t>Upgrading of Pipes from 1" to 1 1/2" (720 m) &amp; Transfer of Water Meter from existing water distribution pipes to new Distribution Pipes</t>
  </si>
  <si>
    <t>20FH0101 - REPAIR/MAINTENANCE OF DPWH FIELD BUILDING, NAPO, PANDAN,  CATANDUANES</t>
  </si>
  <si>
    <t>Purchase Request of Medical Equipments for Toledo City Hospital (DOH Standard)</t>
  </si>
  <si>
    <t>Concreting School Ground at Toboy National High School, Asingan, Pangasinan.</t>
  </si>
  <si>
    <t>Provision and Delivery of Farm Machinery and Equipment under the "Climate Resilient Farm Productivity Support Project" (CRFPSP)</t>
  </si>
  <si>
    <t>Supply and delivery of various commodities for the children beneficiaries of Supplementary Feeding Program of the Municipality of Badoc, Ilocos Norte</t>
  </si>
  <si>
    <t>Installation of Solar Powered Streetlights, Barangay Nancamarinan, Paniqui, Tarlac</t>
  </si>
  <si>
    <t>P.R. No. 20-164-058 "Bulk Purchase of Desktop and Laptop Computers with Software License for Different Colleges"</t>
  </si>
  <si>
    <t>gsisluc rt pcr</t>
  </si>
  <si>
    <t>Construction of 3-Stage Water Treatment Septic Tanks at Asingan Public Market, Asingan, Pangasinan.</t>
  </si>
  <si>
    <t>SENIOR CITIZEN ASSEMBLY MEETING 2020</t>
  </si>
  <si>
    <t>EXTENSION OF HEALTH CENTER</t>
  </si>
  <si>
    <t>PROCUREMENT OF MEALS FOR THE SUPPLEMENTARY FEEDING PROGRAM FOR MALNOURISHED CHILDREN</t>
  </si>
  <si>
    <t>IT EQUIPMENT (PWD)</t>
  </si>
  <si>
    <t>Special Maintenance along Maburao-Paluan PR(A)-Brgy. Tayamaan, Mamburao, Occidental Mindoro</t>
  </si>
  <si>
    <t>Procurement of ICT and Packaging Equipment for the project "Enhancing the Market Competitiveness of Western Visayas Agriculture and Fishery Products Through Packaging Improvement" (Bid No. 2020-03)</t>
  </si>
  <si>
    <t>Supply and Delivery of Marine Fishing Supplies and Equipment</t>
  </si>
  <si>
    <t>CONSTRUCTION OF 1UNIT SEPTIC VAULT</t>
  </si>
  <si>
    <t>Computerized Billing and Collection System (Read and Bill)</t>
  </si>
  <si>
    <t>PURCHASE OF OFFICE EQUIPMENT &amp; SUPPLIES FOR AUDIO VISUAL ROOM</t>
  </si>
  <si>
    <t>Supply and Delivery of Construction Materials for the Improvement of CR at Municipal Building and Stardome</t>
  </si>
  <si>
    <t>VLMC-MS-20-0608-10179</t>
  </si>
  <si>
    <t>Supply and Delivery of Drugs and Medicines and Medical Supplies for use of San Jose District Hopital, Abra de Ilog Community Hospital and Lubang District Hospital</t>
  </si>
  <si>
    <t>Procurement of Printing Materials</t>
  </si>
  <si>
    <t>Repair of Stardome's Roofing</t>
  </si>
  <si>
    <t>Procurement of ICT equipment and ICT supplies for LGU Offices, Elementary and Secondary Schools, Vintar</t>
  </si>
  <si>
    <t>Supply and Delivery of One (1) Unit Dump Truck</t>
  </si>
  <si>
    <t>MUNICIPAL NUTRITION PARTICIPATORY PLANNING</t>
  </si>
  <si>
    <t>construction Local road network, brgy. road</t>
  </si>
  <si>
    <t>Repainting/Rehabilitation of Municipal Library (Restroom, Gutters, Lightings), Poblacion East, Asingan, Pangasinan.</t>
  </si>
  <si>
    <t>SUPPLY AND DELIVERY OF VARIOUS SUPPLIES FOR RE-OPENING OF SANTIAGO CITY BIRTHING CENTER</t>
  </si>
  <si>
    <t>SUPPLY AND DELIVERY OF DIGITAL DUPLICATOR MACHINE FOR MODULES REPRODUCTION OF PUBLIC SCHOOLS</t>
  </si>
  <si>
    <t>Supply and Delivery of Materials for the Repair/Rehabilitation of Water System Pipeline/Contract No. GDS-2020-006</t>
  </si>
  <si>
    <t>Supply of Technical Assistance for  the Installation of Financial &amp; Inventory Management System for SASEPCO</t>
  </si>
  <si>
    <t>20GH0130 - Construction of 3STY9CL, Luca NHS, Ajuy, Iloilo</t>
  </si>
  <si>
    <t>LUC-PAPER 80GSM</t>
  </si>
  <si>
    <t>Repair of Hanging Bridge</t>
  </si>
  <si>
    <t>PROPOSED ROAD CONCRETING DAANLUNGSOD, OSLOB, CEBU</t>
  </si>
  <si>
    <t>IMPROVEMENTS OF 2ND FLOOR MULTI-PURPOSE CENTER</t>
  </si>
  <si>
    <t>Supply and delivery of various commodities for the children beneficiaries of Supplementary Feeding Program of the Municipality of Pasuquin, Ilocos Norte</t>
  </si>
  <si>
    <t>Invitation to Bid - Infrastructure Project for Construction of Covered Court at Barangay Baliang, Danao City</t>
  </si>
  <si>
    <t>NVITATION TO BID FOR THE  PROCUREMENT OF 7 SETS TRUMPA, 7 PCS TRANSFORMER. 3,000 METERS TELEPHONE DROP WIRE CAT 3 300 METERS, 7 PCS METAL BOX, 1 PACK ELECTRIC TAPE, 1 PC GOOSENECK MIC, 24 METERS SPEAK</t>
  </si>
  <si>
    <t>PURCHASE OF ONE (1) UNIT BRAND NEW SERVICE VEHICLE (4WD, PICK-UP TYPE) OF MUNICIPALITY OF CAUAYAN, NEGROS OCCIDENTAL</t>
  </si>
  <si>
    <t>Invitation to Bid - Infrastructure Project for Construction of Covered Court at Barangay Bayabas, Danao City</t>
  </si>
  <si>
    <t>2020-05-0101 - Furnishing/Delivery of spareparts for use of service vehicle assigned in the Maintenance Section</t>
  </si>
  <si>
    <t>SUPPLY AND DELIVERY OF SEEDS ITB No. 2020-186A</t>
  </si>
  <si>
    <t>Supply  and Delivery of Multivitamin Plus Iron</t>
  </si>
  <si>
    <t>CONCRETING OF VILLA PAGADUAN-PROGRESO FARM TO MARKET ROAD</t>
  </si>
  <si>
    <t>PROPOSED ROAD CONCRETING SITIO CANSABOD, TUMALOG, OSLOB, CEBU</t>
  </si>
  <si>
    <t>SUPPLY AND DELIVERY OF RISO GRAPH MACHINE AND ACCESSORIES</t>
  </si>
  <si>
    <t>Procurement of Various Library Books  for ULRC and COM (Re-bidding)</t>
  </si>
  <si>
    <t>Supply &amp; Delivery of Medicines (Municipal Health Center)</t>
  </si>
  <si>
    <t>Supply and delivery of various commodities for the children beneficiaries of Supplementary Feeding Program of the Municipality of Adams, Ilocos Norte</t>
  </si>
  <si>
    <t>CONCRETING OF J.REYES ST., TO BOX CULVERT IN BRGY. STA. CRUZ</t>
  </si>
  <si>
    <t>Invitation to Bid - Infrastructure Project for Improvement of Streetlights at Various Barangays, Sitio Cogon to Sitio Tabunok Barangay Maslog, Danao City</t>
  </si>
  <si>
    <t>Construction of Guangan Bridge, Makilala, North Cotabato</t>
  </si>
  <si>
    <t>SUPPLY AND DELIVERY OF TRANSISTOR RADIO WITH USB INPUT FOR BLENDED LEARNING MANAGEMENT SYSTEM OF VARIOUS PUBLIC SCHOOLS</t>
  </si>
  <si>
    <t>Construction of Multi-Purpose Hall at Brgy. Palaris, Asingan, Pangasinan.</t>
  </si>
  <si>
    <t xml:space="preserve">20FK0062-Cluster XVII -Modified Standard DPWH DepED Two (2) storey Four (4) classroom classroom School Building (9.5m x 23.0m) &amp; Two (2) storey Four (4) classroom School Building 9.5m x 23 m Ambrosio </t>
  </si>
  <si>
    <t>CONCRETING OF SITIO PONDOY ACCESS ROAD (PHASE I)</t>
  </si>
  <si>
    <t>2GI0066 - Rehabilitation of Municipal Hall, Brgy. Poblacion, New Lucena, Iloilo</t>
  </si>
  <si>
    <t>Continuation of the Multi-Purpose Hall at Brgy. Toboy, Asingan, Pangasinan.</t>
  </si>
  <si>
    <t>Delivery of Laptop for CTU Danao</t>
  </si>
  <si>
    <t>Supply, Handling, Transport, and Delivery of 6,581 Bags of Fertilizer</t>
  </si>
  <si>
    <t>Supply and delivery of various commodities for the children beneficiaries of Supplementary Feeding Program of the Municipality of Paoay, Ilocos Norte</t>
  </si>
  <si>
    <t>Construction of Drainage System @ Purok 1, Bilogo, Batangas City</t>
  </si>
  <si>
    <t>Rehabilitation of Seawall</t>
  </si>
  <si>
    <t>PROPOSED CONCRETE PAVEMENT</t>
  </si>
  <si>
    <t>Invitation to Bid - Infrastructure Project for Construction of School Stage at Barangay Magtagobtob Elementary School, Danao City</t>
  </si>
  <si>
    <t>FENCING OF MULTI-PURPOSE HALL</t>
  </si>
  <si>
    <t>20CSGK01 - Consultancy Services for the Conduct of Geotechnical Investigation of Various Projects for the Widening of Bridges in Negros Occidental First Legislative District</t>
  </si>
  <si>
    <t>Repair/Upgrading of CCTV's and other ICT equipments installed (ED)</t>
  </si>
  <si>
    <t>VARIOUS MAINTENANCE OF PORT PHYSICAL FACILITIES (PHASEII), PORT OF PUERTO PRINCESA, PALAWAN</t>
  </si>
  <si>
    <t>INVITATION TO BID FOR THECONSTRUCTION OF COVERED COURT (PHASE II), BARANGAY DOLIPOS ALTO, OROQUIETA CITY</t>
  </si>
  <si>
    <t>PROPOSED REPAIR OF COMMUNITY STAGE</t>
  </si>
  <si>
    <t>CONSTRUCTION/IMPROVEMENT OF MULTI-PURPOSE BUILDING</t>
  </si>
  <si>
    <t>Procurement of Semi-Expendable Furniture for Revenue District Office No. 46 – Cainta/Taytay</t>
  </si>
  <si>
    <t>Construction of School Stage at Domanpot Community School, Asingan, Pangasinan.</t>
  </si>
  <si>
    <t>Procurement of Various Hardware/ Electrical, IT, Janitorial, Medical/ Dental, Office and Sports Supplies</t>
  </si>
  <si>
    <t>Rehabilitation of COM Electrical System</t>
  </si>
  <si>
    <t>SVP 20-0379 - Purchase of 310 kgs WELDING ROD , N-55 &amp; etc.</t>
  </si>
  <si>
    <t>Commercial Rice for Welfare Goods Assistance to the Twenty Six (26) Barangay Frontliners in this Municipality of Santa Cruz Laguna</t>
  </si>
  <si>
    <t>Consulting Services for the Provision of Technical Assistant on Gender and Development</t>
  </si>
  <si>
    <t>Purchase of Equipment and Materials for Sustainable Livelihood of the PWD Association of Pura, Inc.</t>
  </si>
  <si>
    <t>Modular Tent for Disaster Preparedness and Response in this Municipality of Santa Cruz Laguna</t>
  </si>
  <si>
    <t>PROCUREMENT OF PVC ID CARD, INK AND WEBCAM</t>
  </si>
  <si>
    <t>Supply  and Delivery of Laboratory  Supplies</t>
  </si>
  <si>
    <t>PANGKABUHAYAN STARTER KITS, FARMS TOOLS FOR TOBACCO FARMERS</t>
  </si>
  <si>
    <t>PROCUREMENT OF CONSUMABLES FOR DUPLO DP-A120ll</t>
  </si>
  <si>
    <t>SUPPLY AND DELIVERY OF OLYSET NET WINDOW SCREEN ITB No. 2020-187A</t>
  </si>
  <si>
    <t>PROVISION OF FARM MACHINERIES AND EQUIPMENT FOR FARM MECHANIZATION UNDER CLIMATE RESILIENT FARM PRODUCTIVITY PROJECT (CRFPS)</t>
  </si>
  <si>
    <t>CONTRACT ID:20-07-093 REBID - PROCUREMENT OF PETROLEUM FUEL (DIESEL AND GASOLINE)</t>
  </si>
  <si>
    <t>INVITATION TO BID FOR THE CONSTRUCTION OF COVERED COURT (PHASE II), BARANGAY MIALEN, OROQUIETA CITY</t>
  </si>
  <si>
    <t>CONTRACT ID:20-07- 095 REBID - CONTRACT NAME:  PROCUREMENT OF BED FOAMS</t>
  </si>
  <si>
    <t>Supplies &amp; Materials for Distribution to Frontliners &amp; for Disinfection of Government Facilities to Prevent the Spread of Covid-19 Virus in this Municipality of Santa Cruz Laguna</t>
  </si>
  <si>
    <t>One (1) Year Health Maintenance Organization (HMO) Program for All Officials &amp; Employees of the Office of the Solicitor General</t>
  </si>
  <si>
    <t>Supply and delivery of various commodities for the children beneficiaries of Supplementary Feeding Program of the Municipality of Solsona, Ilocos Norte</t>
  </si>
  <si>
    <t>20CSGK02 - Consultancy Services for the Conduct of Geotechnical Investigation of Various Projects for the Widening of Bridges in Negros Occidental Second Legislative District</t>
  </si>
  <si>
    <t>Supply and Delivery of Security Services for 2021</t>
  </si>
  <si>
    <t>Construction of Open Canal @ Purok 4, Bilogo, Batangas City</t>
  </si>
  <si>
    <t>Repair of School Classrooms at Various Schools for Quarantine Facilities,  Lapu-Lapu City</t>
  </si>
  <si>
    <t>Concreting of Road at Purok 5 Barangay Limao, Calauan, Laguna</t>
  </si>
  <si>
    <t>Road Concreting (Phase 5) ssitio Mangubat</t>
  </si>
  <si>
    <t>PROPOSED ROAD CONCRETING SITIO HIMAYPAYAN, TUMALOG, OSLOB, CEBU</t>
  </si>
  <si>
    <t>2020-05-0090 et al - Furnishing/Delivery of spareparts for use of service vehicles assigned in the District</t>
  </si>
  <si>
    <t>LOCAL ACCESS ROAD (CANANGCAAN TO CANSALOY, OSLOB, CEBU)</t>
  </si>
  <si>
    <t>Purchase Request of Hospital Equipments for Toledo City Hospital (DOH Standard)</t>
  </si>
  <si>
    <t>Supply / Delivery of Medical and Dental Supplies</t>
  </si>
  <si>
    <t>Supply and Delivery of Commercial Rice, 50 kgs.</t>
  </si>
  <si>
    <t>SUPPLY AND DELIVERY OF FIRST AID KITS FOR DEPLOYMENT / RESPONSE OPERATION</t>
  </si>
  <si>
    <t>construction of civic center brgy san miguel jiabong</t>
  </si>
  <si>
    <t>Purchase of 1 Unit Portable Plastic Shredder for Solid Waste Management</t>
  </si>
  <si>
    <t>20CSGK06 - Consultancy Services for the Conduct of Geotechnical Investigation of Various Projects for the Flood Mitigation Structure in Negros Occidental Second Legislative District</t>
  </si>
  <si>
    <t>INVITATION TO BID FOR THE PURCHASE OF ONE UNIT FREEZER VAN AT SLAUGHTHERHOUSE, BARANGAY DOMALANDAN WEST, LINGAYEN, PANGASINAN</t>
  </si>
  <si>
    <t>Procurement  of materials for service connection</t>
  </si>
  <si>
    <t>Procurement  of  GARBAGE TRUCK/BARANGAY GOVERNMENT EMERGENCY VEHICLE</t>
  </si>
  <si>
    <t>Supply and Delivery of Water Service Connection Materials and Fittings</t>
  </si>
  <si>
    <t>MSWDO PRONTLINERS CONSUMPTION</t>
  </si>
  <si>
    <t>VARIOUS MAINTENANCE OF PORT PHYSICAL FACILITIES (PHASE I), PORT OF PUERTO PRINCESA, PALAWAN</t>
  </si>
  <si>
    <t>20CSGK04 - Consultancy Services for the Conduct of Geotechnical Investigation of Various Projects for the Slope Protection Structure in Negros Occidental First Legislative District</t>
  </si>
  <si>
    <t>Procurement of Medical oxygen for PFO-Agusan Del Sur, Placer Pond, Kitcharao Technology Outreach Station and Masao Technology Outreach Station.</t>
  </si>
  <si>
    <t>APPLIANCES</t>
  </si>
  <si>
    <t>Development of New Deep Well Source (2nd Phase)</t>
  </si>
  <si>
    <t>construction of water system brgy san fernando</t>
  </si>
  <si>
    <t>Supply, Delivery and Installation of One (1) Unit  Standby Generator Set and One (1) Unit Air Compressor in Support to Dairy Milk Processing and Marketing Enterprise</t>
  </si>
  <si>
    <t>LAND IMPROVEMENT /REHAB. FMR</t>
  </si>
  <si>
    <t>PURCHASE OF HARDWARE MATERIALS FOR FARM TO MARKET ROAD WITH 2 LINES BOX CULVERT</t>
  </si>
  <si>
    <t>Supply &amp; Delivery of Various Medical Supplies</t>
  </si>
  <si>
    <t>CONSTRUCTION OF COMMUNITY STAGE AND INSTALLATION OF STREET LIGHTING</t>
  </si>
  <si>
    <t>20CSGK03 - Consultancy Services for the Conduct of Geotechnical Investigation of Various Projects for the Construction Bridges in Negros Occidental Third Legislative District</t>
  </si>
  <si>
    <t>2nd Invitation to Bid for the CONCRETING OF PAPAYA-CABINUANGAN-RUNRUNO ROAD Located at Kasibu and Quezon, Nueva Vizcaya</t>
  </si>
  <si>
    <t>One (1) Lot – Supply and Delivery of Office Supplies for Various offices</t>
  </si>
  <si>
    <t>One (1) Lot –Supply and Delivery of 25 pcs. Bike Rack and 105 pcs Mountain Bike with Helmet and Lock for the use of City Government of San Juan Employees</t>
  </si>
  <si>
    <t>Supply and Delivery of Tractor for use at Science City of Muñoz Memorial Park, this city</t>
  </si>
  <si>
    <t>Procurement of 23,046 reams A4 Book Paper substance 20</t>
  </si>
  <si>
    <t>2nd Invitation to Bid for the IMPROVEMENT OF JCT. SALINAS-MAPAYAO-BINALIAN-BABADI-PINAYAG-NANSIAKAN ROAD</t>
  </si>
  <si>
    <t>Procurement of IT Equipment for DepEd North and South District</t>
  </si>
  <si>
    <t>Agency Procurement Receipt</t>
  </si>
  <si>
    <t>Construction of Philippine Air Force Aviation Leaders Excellence Nexus (ALEN)</t>
  </si>
  <si>
    <t>Construction of Multi-Purpose Bleachers @ Brgy. Mabuhay</t>
  </si>
  <si>
    <t>DISINFECTANTS/SUPPLIES FOR ISOLATION FACILITY</t>
  </si>
  <si>
    <t>Spares for the Unscheduled Maintenance Activities of MD-500ER Nr 8622</t>
  </si>
  <si>
    <t>CONSTRUCTION OF NATIONAL CHILD DEVELOPMENT CENTER-BARANGAY 3, MERCEDES, CAMARINES NORTE</t>
  </si>
  <si>
    <t>Contract ID 20IG0072 - Concreting of Brgy. Gaas FMR, Brgy. Gaas, Baybay City, Leyte</t>
  </si>
  <si>
    <t>Spares and Services for the Repair of Turret FLIR Units of AW-109AH #819, 820, 821 and 824</t>
  </si>
  <si>
    <t>20CSGK05 - Consultancy Services for the Conduct of Geotechnical Investigation of Various Projects for the Flood Mitigation Structure in Negros Occidental First Legislative District</t>
  </si>
  <si>
    <t>Drainage at P. Vasquez St. Carcar City, Cebu</t>
  </si>
  <si>
    <t>Main Rotor Blade Assembly of AW-109AH</t>
  </si>
  <si>
    <t>CONTRACT ID:20-07-094 REBID - PROCUREMENT OF INFORMATION TECHNOLOGY PARTS AND PERIPHERALS</t>
  </si>
  <si>
    <t>Procurement of Delivery Meat Van, Slaughter House at Sto Domingo, LGU-Nabua, Camarines Sur</t>
  </si>
  <si>
    <t>constraction supplies for the flood control &amp; erosion projects (little town)</t>
  </si>
  <si>
    <t>Spares and Services of Turbine Assembly of MD-520MG Aircraft</t>
  </si>
  <si>
    <t>Supply and Delivery of Materials and Food for Covid Use</t>
  </si>
  <si>
    <t>Main Rotor Blade Assembly for the Use of MD-520MG #439</t>
  </si>
  <si>
    <t>Data Acquisition Unit for the Use of AW-109AH Aircraft Nr 824</t>
  </si>
  <si>
    <t>Road concreting @ sition Dan-Dan , Poblacion 1, City of Carcar</t>
  </si>
  <si>
    <t>20BK0151  Repair/ Maintenance along Jct. Dumabato Norte - Jct. Balligui Road K0373+035 - K0373+065   Maddela, Quirino</t>
  </si>
  <si>
    <t>Road Entrance Rehabilitation</t>
  </si>
  <si>
    <t>Spares for the Recovery of AW-109AH #824</t>
  </si>
  <si>
    <t>INVITATION TO BID FOR THE PURCHASE OF FUEL, OIL AND LUBRICANTS AND MATERIALS FOR THE MAINTENANCE OF PROVINCIAL ROADS AND BRIDGES AT VALENCIA AREA 2020 AT VALENCIA CITY, BUKIDNON</t>
  </si>
  <si>
    <t>Contract ID 20IG0073 - Construction of 2STY2 Sci. Lab., Baybay City National Night High School, City of Baybay, Leyte</t>
  </si>
  <si>
    <t>One (1) Lot – Supply and Delivery of Various Drugs and Medicines for 21 Barangays of the City of San Juan</t>
  </si>
  <si>
    <t>Supply &amp; delivery of materials for the Impvt of Multi-purpose hall at Cardiz, Bagulin LU</t>
  </si>
  <si>
    <t>construction of multi-purpose hall brgy bugho</t>
  </si>
  <si>
    <t>2nd ITB Rehab. CVR Bayombong-Masoc-Ambaguio Road (Ambaguio Section)</t>
  </si>
  <si>
    <t>One (1) Lot – Supply and Delivery of Various Drugs and Medicines for San Juan Medical Center</t>
  </si>
  <si>
    <t>PROCUREMENT OF OFFICE &amp; IT EQUIPMENTS (SB/VM OFFICE)</t>
  </si>
  <si>
    <t>20GHF0009: Supply and Delivery of ICT Equipment and Peripherals for use in the operation of the Maintenance Section and Planning &amp; Design Section</t>
  </si>
  <si>
    <t>Purchase of Printer (3 in 1) for Polanco Central School</t>
  </si>
  <si>
    <t>Repair of Health Center @ Maximina Poblacion 1, City of Carcar</t>
  </si>
  <si>
    <t>RB2020-08-263 SUPPLY DELIVERY OF LABORATORY AND TB-DOTS SUPPLIES  FOR RHU-II AND RHU-III</t>
  </si>
  <si>
    <t>PROCUREMENT OF EQUIPMENT, REAGENTS &amp; KITS FOR COVID-19 TESTING</t>
  </si>
  <si>
    <t>Rehabilitation/Improvement of Multi-Purpose Building</t>
  </si>
  <si>
    <t>2nd ITB RECONSTRUCTION OF LABBUNAN BRIDGE (ABUTMENT &amp; WATERWAY)</t>
  </si>
  <si>
    <t>INVITATION TO BID FOR THE PURCHASE OF MATERIALS FOR BARANGAY ROAD REHABILITATION AT VALENCIA CITY, BUKIDNON</t>
  </si>
  <si>
    <t>Installation of 29 Units of Street Light at Poblacion 1, City of Carcar</t>
  </si>
  <si>
    <t>Construction Works for Renovation of ISAT U Administration Building</t>
  </si>
  <si>
    <t>Supply and Delivery of Various Office Supplies</t>
  </si>
  <si>
    <t>Procurement of Desktop Computers</t>
  </si>
  <si>
    <t>SUPPLY AND DELIVERY OF VARIOUS LABORATORY SUPPLIES, CHEMICALS AND PERSONAL PROTECTIVE EQUIPMENT (PB 20-03-24)</t>
  </si>
  <si>
    <t>Repair / Improvement of GSO Bldg., Pusok, Lapu-Lapu City</t>
  </si>
  <si>
    <t>FURNISHING OF LABOR AND MATERIALS FOR THE CONSTRUCTION OF MULTIPURPOSE GYM/ EVACUATION CENTER OF BARANGAY NAPNAPAN NORTE, SITIO NASULI, TIGBAUAN, ILOILO</t>
  </si>
  <si>
    <t>Rehabilitation and Renovation of Southern Police District Firing Range</t>
  </si>
  <si>
    <t>Construction of Activity Center with Stage for MAPEH at Bankal National High Schoo,  Bankal, Lapu-Lapu City</t>
  </si>
  <si>
    <t>SUPPLY AND DELIVERY OF VARIOUS LABORATORY SUPPLIES AND CHEMICALS AND PERSONAL PROTECTIVE EQUIPMENT (PB 20-03-25)</t>
  </si>
  <si>
    <t>20GFC0050: Purchase of Fuel and Lubricants for Use in Various Service Vehicle and Equipment, DPWH-CNDEO, Maintenance Section</t>
  </si>
  <si>
    <t>Supply and Delivery of Various Quarantine Facility Supplies and Equipment</t>
  </si>
  <si>
    <t>Purchase of Fox Tail Palm and Assorted Fruit Trees</t>
  </si>
  <si>
    <t>Local Infrastructure Program – Construction and/or Repair/ Rehabilitation of Multi-Purpose Building, Brgy. Quirino Hill, Baguio City</t>
  </si>
  <si>
    <t>Purhase of Toners with Free Use of Colored and Monochrome Multi-Function Printers for DSWD-CAR</t>
  </si>
  <si>
    <t>Purchase of Vehicle to be used at Brgy. General Luna, Mangatarem, Pangasinan</t>
  </si>
  <si>
    <t>Procurement of Supplies and Materials for the Mass Reproduction/Printing of SLMs and Modules</t>
  </si>
  <si>
    <t>Invitation to Bid for Construction of Line Canal of Brgy. 1 Mapalad</t>
  </si>
  <si>
    <t>20GFC0054: Purchase of Reflectorized Traffic Paint, DPWH-CNDEO, Maintenance Section</t>
  </si>
  <si>
    <t>Supply and Delivery of 70 Pieces Steel Sheet Piles</t>
  </si>
  <si>
    <t>CONSTRUCTION OF BARANGAY NURSERIES (19 BARANGAYS), ESTABLISHMENT OF VERMICULTURE WITH AFRICAN NIGHT CRAWLER IN 17 BARANGAY AND CONSTRUCTION OF MUNICIPAL NURSERY AT ANISLAGAN</t>
  </si>
  <si>
    <t>Construction of 4-Storey Building with 10 Rooms for the Arts and Design at Looc National High School, Looc, LLC</t>
  </si>
  <si>
    <t>Construction of Manpower Human Development Technical Center (MHDTC) at  Olango Is., Lapu-Lapu City</t>
  </si>
  <si>
    <t>Rehabilitation/Improvement Multi-Purpose Building</t>
  </si>
  <si>
    <t>CONCRETING OF BARANGAY ROAD AT BARANGAY PANGHAYAAN, TAYSAN, BATANGAS-093</t>
  </si>
  <si>
    <t>20GFC0053: Purchase of Cold Mix Asphalt Materials, DPWH-CNDEO, Maintenance Section</t>
  </si>
  <si>
    <t>Procurement of Farm Machineries/Equipment of Climate Resilient Farm Productivity Support Program of Davao del Sur</t>
  </si>
  <si>
    <t>RFQ / PR 20-07-1416 / PROCUREMENT OF OBD SCANNER</t>
  </si>
  <si>
    <t>20GFC0052: Purchase of Materials for the Regravelling of Shoulder along Daang Maharlika K0266+600 – K0269+678 (with exception), Brgy. Rizal, Sta. Elena, Camarines Norte</t>
  </si>
  <si>
    <t>FINANCIAL SUPPORT IN THE ESTABLISHMENT OF MRF</t>
  </si>
  <si>
    <t>S3-MOD20-018 &amp; 3 OTHERS - Supply of Two (2) Years Security Services for SPUG Eastern Mindanao Area Plants and Installations</t>
  </si>
  <si>
    <t>Procurement of Supplies and Materials for Rehabilitation of Diura Ecolodge</t>
  </si>
  <si>
    <t>Construction/ Repair/ Rehabilitation/ Improvement of Various Infrastructure Including Local Projects: Rehabilitation of Multi-Purpose Building (Covered Court), Baguio City</t>
  </si>
  <si>
    <t>RB2020-08-264 SUPPLY DELIVERY OF MEDICINES FOR RHU-II AND RHU-III</t>
  </si>
  <si>
    <t>PROCUREMENT OF INFORMATION TECHNOLOGY (IT) EQUIPMENT (2020)</t>
  </si>
  <si>
    <t>RICE SUBSIDY TO THE SECURITY FORCES (PNP, MILITARY, BJMP, BFP, CAFGO, ETC.) STATIONED ON ESCALANTE CITY</t>
  </si>
  <si>
    <t>Construction of 1- Unit 2-Storey 4 Classroom Senior High School Technical Vocational Laboratory Bldg. at Pusok NHS</t>
  </si>
  <si>
    <t>20GFC0051: Purchase of Brush Cutter, Blade, Piles and Accessories, DPWH-CNDEO, Maintenance Section</t>
  </si>
  <si>
    <t>RB2020-08-265 PROCUREMENT OF SERVICE VEHICLE FOR ENGINEERING OFFICE</t>
  </si>
  <si>
    <t>P.E TUBE FOR IMPROVEMENT OF WATER SUPPLY SYSTEM, SO. URBASA &amp; CROSSING BULI, BRGY. MABINI</t>
  </si>
  <si>
    <t>Procurement of Printing Supplies</t>
  </si>
  <si>
    <t>Invitation To Bid for Purchase Service Vehicle (Chariot) of Brgy. Harrison</t>
  </si>
  <si>
    <t>Supply and delivery of Medicine for emergency used for Covid 19 case.</t>
  </si>
  <si>
    <t>20GFE0019 – PROCUREMENT OF EQUIPMENT AND TOOLS USE FOR MAINTENANCE OF NATIONAL ROADS AND BRIDGES CY 2020</t>
  </si>
  <si>
    <t>PURCHASE OF MULTICAB MINI DUMP TRUCK (4X4)</t>
  </si>
  <si>
    <t>Repair of Comfort Room of Sangunian Panglungsod and Ceiling of Registry of Deeds at CityHall ,Pusok, Lapu-Lapu City</t>
  </si>
  <si>
    <t>Procurement of Supplies and Materials for Repair and Maintenance of Municipal Facilities</t>
  </si>
  <si>
    <t>IMPROVEMENT OF PLACER PUBLIC MARKET.</t>
  </si>
  <si>
    <t>Lot 1:Two (2) units Electric Pallet Truck; and Lot 2:Two (2) units Diesel Forklift</t>
  </si>
  <si>
    <t>I.T. EQUIPMENT/CONSUMABLES</t>
  </si>
  <si>
    <t>Purchase of Medicine</t>
  </si>
  <si>
    <t>Supply and Delivery of 30 Units Brand New Motorcycles</t>
  </si>
  <si>
    <t>RFQ2020-08-047_PROCUREMENT OF TWO (2) UNITS RECEIPT PRINTER FOR TELLER’S USE</t>
  </si>
  <si>
    <t>20GIB0043: Purchase/delivery of Technical &amp; Scientific Equipment for use at the Planning and Design Section</t>
  </si>
  <si>
    <t>20GIB0042: Purchase/delivery of Lubricants for use of various vehicles, heavy equipment and Grasscutter</t>
  </si>
  <si>
    <t>Supply and Delivery of 1 Unit Heavy Duty Lathe Machine</t>
  </si>
  <si>
    <t>PROVISION OF HAND TRACTOR AND POWER SPRAYER FOR THE FARM MECHANIZATION PROGRAM OF THIS MUNICIPALITY</t>
  </si>
  <si>
    <t>RFQ2020-08-046_PROCUREMENT OF VARIOUS IT EQUIPMENT FOR OFFICE USE</t>
  </si>
  <si>
    <t>ACQUISITION OF BRAND NEW CLOSE VAN FOR SLAUGHTERHOUSE</t>
  </si>
  <si>
    <t>Procurement of Materials for the Improvement of San Isidro Hill Eco Tourism Park at Brgy. San Isidro Pagsanjan, Laguna</t>
  </si>
  <si>
    <t>CONCRETING OF BRGY. ROADS AT SITIO SULAYON</t>
  </si>
  <si>
    <t>Procurement of Materials for Completion of San Isidro Hill Eco Tourism Park at Brgy. San Isidro Pagsanjan, Laguna</t>
  </si>
  <si>
    <t>SUPPLY AND DELIVERY OF FUEL, OIL AND LUBRICANTS FOR VARIOUS PROGRAMS AND ACTIVITIES OF THIS MUNICIPALITY</t>
  </si>
  <si>
    <t>RB2020-08-267 SUPPLY DELIVERY OF SIX(6) UNITS BRAND NEW LAPTOP COMPUTER</t>
  </si>
  <si>
    <t>Local Access Road( Cacabelos street, Paetan) -MEO</t>
  </si>
  <si>
    <t>ITB# 132-2020 Other Supplies and Materials</t>
  </si>
  <si>
    <t>MUNICIPAL SOCIAL WELFARE AND DEVELOPMENT OFFICE (MSWDO) DATA PROFILING SYSTEM</t>
  </si>
  <si>
    <t>SUPPLY AND DELIVERY OF MEDICINES AND MEDICAL SUPPLIES FOR RHU II</t>
  </si>
  <si>
    <t>Construction of Multi-Purpose Hall (Justice Hall)</t>
  </si>
  <si>
    <t>Expansion of Level-II Water Supply System (Brgy.Pag-Asa) -MEO</t>
  </si>
  <si>
    <t>Expansion of Level-II Water Supply System (So. Aplaya, Burgos) -MEO</t>
  </si>
  <si>
    <t>Provision of Gongs and Solibaos</t>
  </si>
  <si>
    <t>Construction of Barangay Road - San Nicolas GEA Road  - MEO</t>
  </si>
  <si>
    <t>Expansion of Level-II Water Supply System - Brgy Ilvita  - MEO</t>
  </si>
  <si>
    <t>Supply and delivery of Materials (Lot #1), Good Lumber (Lot #2), Fuel &amp; Diesel (Lot #3) and Labor (Lot #4) for Proposed Road Concreting from National Highway Sta. 000+015 to Sta. 000+315m leading to B</t>
  </si>
  <si>
    <t>Local Access Road(So. Aplaya, Burgos)</t>
  </si>
  <si>
    <t>Rehabilitation of Sabangan Footbridge</t>
  </si>
  <si>
    <t>Provision Crates</t>
  </si>
  <si>
    <t>IMPROVEMENT OF MULTIPURPOSE /EVACUATION CENTER</t>
  </si>
  <si>
    <t>installation of integrated solar street lights at Sitio Proper</t>
  </si>
  <si>
    <t>CONCRETING OF BRGY. ROADS AT SITIO PULOS</t>
  </si>
  <si>
    <t>Procurement of ICT Equipment (REBID)</t>
  </si>
  <si>
    <t>Local Access Road(So. Tiloy, Ilvita)</t>
  </si>
  <si>
    <t>FABRICATION OF PORTABLE FIBERGLASS GARBAGE BIN, CEO</t>
  </si>
  <si>
    <t>Local Access Road( So. Receiving to Pandan, Sta. Lucia) -MEO</t>
  </si>
  <si>
    <t>ONE AIRCONDITIONING UNIT AND ACCESSORIES FOR CITY MAYOR’S OFFICE USE</t>
  </si>
  <si>
    <t>SUPPLY, DELIVERY AND INSTALLATION OF AIRCONDITIONING UNITS INCLUDING WALL BRACKETS FOR OUTDOOR UNITS OF BUREAU OF AGRICULTURE AND FISHERIES STANDARDS BUILDING</t>
  </si>
  <si>
    <t>CONSTRUCTION OF FOOTBRIDGE - PHASE I</t>
  </si>
  <si>
    <t>RB2020-08-266 ASPHALT OVERLAY OF BARANGAY ROAD</t>
  </si>
  <si>
    <t>OFFICE EQUIPMENT SUPPLIES</t>
  </si>
  <si>
    <t>Procurement of Janitorial Supplies</t>
  </si>
  <si>
    <t>Procurement of Medical Supplies and Laboratory Instrument</t>
  </si>
  <si>
    <t>Supply and Delivery of Various Brand New Motor Vehicles (Re-Bid) (BAC-IB NO. 2020-34)</t>
  </si>
  <si>
    <t>GENERAL BODY REPAIR OF FIRE TRUCK #3, BFP</t>
  </si>
  <si>
    <t>Procurement of Supply and delivery of unplasticized polyvinyl Chloride (UPVC) Pipes and HDPE Tubing SDR. 11</t>
  </si>
  <si>
    <t>Supply and Delivery of One (1) Unit Brand New Emergency Vehicle for use in the City Government of Balanga, Bataan</t>
  </si>
  <si>
    <t>Supply and Delivery of Medical Supply and Equipment for Covid Use</t>
  </si>
  <si>
    <t>Supply and Delivery of One (1) Unit Brand New Response Vehicle for use in the City Government of Balanga, Bataan</t>
  </si>
  <si>
    <t>Labor and Materials for the Construction of New Rural Health Unit  (Phase II)</t>
  </si>
  <si>
    <t>Straight Contract for Construction of Public Market, Brgy. Su-ay, Himamaylan City</t>
  </si>
  <si>
    <t>Procurement of Laboratory Supplies and Equipment</t>
  </si>
  <si>
    <t>Construction of Two Storey Commercial Building</t>
  </si>
  <si>
    <t>Main Server computer</t>
  </si>
  <si>
    <t>Purchase of One (1) Year Subscription of Internet Services with minimum of 20mbps dedicated bandwidth Unlimited. With at least 5mbps Committed Information Rate (CIR): Re-Posting</t>
  </si>
  <si>
    <t>ITB# 134-2020 Other Supplies and Materials</t>
  </si>
  <si>
    <t>ITB# 133-2020 Other Supplies and Materials</t>
  </si>
  <si>
    <t>Package 32-Procurement of various Infra Projects</t>
  </si>
  <si>
    <t>CONSTRUCTION OF MRF</t>
  </si>
  <si>
    <t>Repair / Improvement of Tourism Bldg,  Pusok, Lapu-Lapu City</t>
  </si>
  <si>
    <t>PBD 20-098 GPU Server</t>
  </si>
  <si>
    <t>Procurement of Information Technology</t>
  </si>
  <si>
    <t>PURCHASE OF BOOKS FOR MSU-SULU (RE-POSTING)</t>
  </si>
  <si>
    <t>PBD 20-097 Handheld Tablet</t>
  </si>
  <si>
    <t>ITB# 135-2020 Repair &amp; Maintenance IT Equipment &amp; Software</t>
  </si>
  <si>
    <t>Supply and delivery of tires for Garbage Truck</t>
  </si>
  <si>
    <t>Supply and Delivery of Furniture and Fixtures (PR No. 20-08-0305)</t>
  </si>
  <si>
    <t>Supply and Delivery of Fabricated Trash Bin (PR No. 20-07-0294)</t>
  </si>
  <si>
    <t>CONSTRUCTION OF DRAINAGE CANAL ALONG OBNIMAGA STREET POBLACION, SIBUTAD, ZAMBOANGA DEL NORTE</t>
  </si>
  <si>
    <t>Supply and Delivery of Weighing Scale (PR No. 20-06-0247)</t>
  </si>
  <si>
    <t>Underdeck Retrofitting and Concrete Shotcreting of Pier 2, Cebu Baseport</t>
  </si>
  <si>
    <t>Supply of Labor and Materials for the Repair of Erosion Control and Flood Control Structures at Abuyog Experiment Station</t>
  </si>
  <si>
    <t>Replacement of Damaged Rubber Dock Fenders @ Domestic Area, Cebu Baseport</t>
  </si>
  <si>
    <t>SUPPLY AND DELIVERY OF 1 UNIT GENERATOR SET, 4 UNITS HAND TRUCK TROLLEY, 1 PC. PALLET STACKER AND 100 PCS. PLASTIC PALLET UNDER IFUGAO COFFEE PROCESSING AND MARKETING ENTERPRISE</t>
  </si>
  <si>
    <t>SUPPLY AND DELIVERY OF 125 PCS. HERMETIC BAG, 25 PCS. HDPE DRUMS AND 1 UNIT BAG CLOSURE MACHINE UNDER IFUGAO COFFEE PROCESSING AND MARKETING ENTERPRISE</t>
  </si>
  <si>
    <t>SUPPLY AND DELIVERY OF MATERIALS FOR THE CONSTRUCTION OF ONE (1) UNIT DEL MONTE PUBLIC OFFICE BUILDING</t>
  </si>
  <si>
    <t>Supply and Delivery of Planting Materials</t>
  </si>
  <si>
    <t>Module School Year 2020-2021</t>
  </si>
  <si>
    <t>Procurement and Delivery of Various Office Supplies for 3rd and 4th quarter CY 2020</t>
  </si>
  <si>
    <t>IV Cannula G-18 etc. (07-0825) CCAH</t>
  </si>
  <si>
    <t>CONSTRUCTION OF BARANGAY EVACUATION CENTER (PHASE I)</t>
  </si>
  <si>
    <t>Procurement of Pumpboat/Motorboat</t>
  </si>
  <si>
    <t>REHABILITATION OF MULTI-PURPOSE HALL</t>
  </si>
  <si>
    <t>PBD 20-086A Fixed Spectrum RWB and RW Tube</t>
  </si>
  <si>
    <t>Construction of Drainage Canal with Steel Grills at Central</t>
  </si>
  <si>
    <t>20PI0092 - Constn/Rehab/Impvt of Waterworks, Brgy. Bontoc Ili, Poblacion and Calutit, Bontoc, Mountain Province (Re-ITB)</t>
  </si>
  <si>
    <t>Construction of  San Jose Water System</t>
  </si>
  <si>
    <t>Construction of Slope Protection (Right-side of Municipal Evacuation Center)</t>
  </si>
  <si>
    <t>PROCUREMENT OF LABOR AND MATERIALS FOR THE  IMPROVEMENT OF POBLACION WATER SYSTEM – DISTRIBUTION  LINES</t>
  </si>
  <si>
    <t>Repair of Cabunga-an Multi-Purpose Building</t>
  </si>
  <si>
    <t>INVITATION TO BID FOR THE SUPPLY AND DELIVERY 14 UNITS LAPTOP FOR USE IN THE LEGISLATIVE TRACKING SYSTEM OF THE SANGGUNIANG PANLUNGSOD, OROQUIETA CITY (SECOND NOTICE)</t>
  </si>
  <si>
    <t>SUPPLY AND DELIVERY OF OFFICE EQUIPMENT FOR SEF</t>
  </si>
  <si>
    <t>Installation of Steel Railings at Tabangaoen</t>
  </si>
  <si>
    <t>CONSTRUCTION OF MULTI PURPOSE BUILDING AT BARANGAY A-ET, BRGY. A-ET, SULAT, EASTERN SAMAR</t>
  </si>
  <si>
    <t>Construction of Drainage Canal and footpath near joan mangadchil Area nearing Nilda Dalgis area at Botiwtiw</t>
  </si>
  <si>
    <t>PROCUREMENT OF IT EQUIPMENT FOR TUBURAN DEPED</t>
  </si>
  <si>
    <t>Construction of Water Supply System @ Misok, Sindangan, Zamboanga del Norte</t>
  </si>
  <si>
    <t>SUPPLY AND DELIVERY OF WELL-MILLED RICE (25 KLS)</t>
  </si>
  <si>
    <t>IMPROVEMENT/ REPAIR OF MULTI- PURPOSE HALL</t>
  </si>
  <si>
    <t>Completion of San Simon Water System (Partial); SN 188 - 2020</t>
  </si>
  <si>
    <t>Supply and Delivery of Laboratory Equipment</t>
  </si>
  <si>
    <t>PROPOSED CONSTRUCTION OF GORA LANE POCKET GARDENS ALONG MOTHER IGNACIA AVENUE</t>
  </si>
  <si>
    <t>eMail Infrastructure Technology Refresh</t>
  </si>
  <si>
    <t>Contract No.: 20-012    PROCUREMENT OF ONE (1)-UNIT MULTI-PURPOSE VEHICLE</t>
  </si>
  <si>
    <t>Contract No.: 20-011    PROCUREMENT OF INFRASTRUCTURE FOR THE DUMPSITE CLOSURE PLAN IMPLEMENTATION (PHASE 3)</t>
  </si>
  <si>
    <t>Contract No.: 20-013    PROCUREMENT OF INFRASTRUCTURE FOR THE UPGRADING OF LOCAL ACCESS ROAD SECTION-SEGMENT 1 FROM BRGY. MINAROG- BRGY. MAYPANGE CROSSING CANDUMACOL - INALAD</t>
  </si>
  <si>
    <t>Printing or Purchase of Modules for Junior High School and Senior High School</t>
  </si>
  <si>
    <t>INVITATION TO BID FOR THE SUPPLY AND DELIVERY OF 1 UNIT BRAND NEW DROPSIDE TRANSPORT VEHICLE FOR ENVIRONMENTAL AND MANAGEMENT PROTECTION IN OROQUIETA CITY (SECOND NOTICE)</t>
  </si>
  <si>
    <t>Procurement of Drugs and Medicine</t>
  </si>
  <si>
    <t>Supply and Delivery of Circuit Breakers and Other Items; PR No. 20-0550 dated 29 January 2020; SN 177 - 2020</t>
  </si>
  <si>
    <t>Supply and Delivery of One (1) Unit Van Type Vehicle; PR No. 20-1580 dated 23 March 2020; SN 170a - 2020</t>
  </si>
  <si>
    <t>Construction of Riprap Wall with sidewalk at Tebteb Balili</t>
  </si>
  <si>
    <t>PROCUREMENT OF MOBILE SOUND SYSTEM</t>
  </si>
  <si>
    <t>SERVICES OF GUARDS/IB No. N-2020-004</t>
  </si>
  <si>
    <t>“SUPPLY AND DELIVERY OF FIFTY (50) PIECES PLASTIC DRUMS (WATER CONTAINER)”</t>
  </si>
  <si>
    <t>Purchase of Ambulance, Gerona, Tarlac</t>
  </si>
  <si>
    <t>Outside labor (w/ necessary tools/equipment) and materials for fabrication with 3 coat painting finished including installation of various /assorted  furnitures and partition divider</t>
  </si>
  <si>
    <t>“SUPPLY AND DELIVERY OF CONSTRUCTION SUPPLIES AND MATERIALS”</t>
  </si>
  <si>
    <t>Purchase of  Tractor Trailer</t>
  </si>
  <si>
    <t>Supply and Delivery of Assorted Construction Materials</t>
  </si>
  <si>
    <t>Purchase of Four (4) units Brand New Walk Behind Roller (600-800 kgs. Cap.), for Provincial Engineer’s Office use, Province of Negros Oriental (B-122-2020)</t>
  </si>
  <si>
    <t>PROCUREMENT OF GOODS (Additional Supplies for DRRM)</t>
  </si>
  <si>
    <t>Contract No.: 20-010    PROCUREMENT OF INFRASTRUCTURE FOR THE CONCRETING OF PATHWAY FROM BRGY. CAPAYSAGAN TO BRGY. MALONOY</t>
  </si>
  <si>
    <t>Supply and On-Site Delivery of Farm Machinery (Set -C) 2nd Posting</t>
  </si>
  <si>
    <t>Supply and On-Site Delivery of Agri-Inputs (Vegetable Seeds &amp; Fertilizer) 2nd posting</t>
  </si>
  <si>
    <t>Purchase of Seventy Three (73) Units Computer Desktop</t>
  </si>
  <si>
    <t>Supply and On-Site Delivery of Farm Machinery (Set -B) 2nd Posting</t>
  </si>
  <si>
    <t>Supply and On-Site Delivery of Agri-Inputs(Rice &amp; Corn) For Municipality of Lambayong 2nd Posting</t>
  </si>
  <si>
    <t>PROPOSED GORA LANE PHASE 1 ALONG MOTHER IGNACIA AVENUE (FROM EDSA TO SCOUT TOBIAS STREET)</t>
  </si>
  <si>
    <t>PROPOSED GORA LANE PHASE 1 ALONG DOñA HEMADY AVENUE (FROM AURORA BLVD TO 10th STREET)</t>
  </si>
  <si>
    <t>Supply and On-Site Delivery of Non-Agri-Inputs 2nd Posting</t>
  </si>
  <si>
    <t>PROPOSED  GORA LANE PHASE 1 ALONG DOñA HEMADY AVENUE (FROM 10th STREET TO SCOUT CHUATOCO STREET)</t>
  </si>
  <si>
    <t>PROCUREMENT OF LABOR AND MATERIALS FOR THE  CONSTRUCTION OF MUNICIPAL STORAGE FACILITY</t>
  </si>
  <si>
    <t>SUPPLY AND DELIVERY OF DAYCARE CENTER SCHOOL SUPPLIES.</t>
  </si>
  <si>
    <t>Procurement of Fuel and Lubricants</t>
  </si>
  <si>
    <t>PROPOSED GORA LANE PHASE 1 ALONG SCOUT TOBIAS STREET (FROM SCOUT CHUATOCO STREET TO MOTHER IGNACIA AVENUE)</t>
  </si>
  <si>
    <t>Rehab./Imp. of Core Local Access Road</t>
  </si>
  <si>
    <t>Supply and On-Site Delivery of Non-Production Inputs (IT Equipment) 2nd Posting</t>
  </si>
  <si>
    <t>20GPG0002 - PURCHASE AND DELIVERY OF OFFICE SUPPLIES AND EQUIPMENT FOR USE OF PLANNING AND DESIGN SECTION, DPWH-IFUGAO FIRST DISTRICT ENGINEERING OFFICE</t>
  </si>
  <si>
    <t>PROCUREMENT OF DESIGN AND BUILD SCHEME FOR THE  CONSTRUCTION OF VIEWING DECK FOR THE IMPROVEMENT OF  ATABAY PEAK</t>
  </si>
  <si>
    <t>Labor and Materials for the Construction of City Animal Impounding Center at City Nursery, Lara, City of San Fernando, Pampanga</t>
  </si>
  <si>
    <t>PROCUREMENT OF CONSTRUCTION MATERIALS  (FOR CONSTRUCTION OF DEEPWELL TANK, BRGY. 2 – PHASE II)</t>
  </si>
  <si>
    <t>Supply and On-Site Delivery of Farm Machineries (Set -A) 2nd Posting</t>
  </si>
  <si>
    <t>20DD0383 Concreting of Farm-to-Mill Road, Brgy. Pangao, Ibaan, Batangas</t>
  </si>
  <si>
    <t>Construction/Concreting of Solupan- Mangcal Road, Brgy. Solupan Et. Al., Paranas</t>
  </si>
  <si>
    <t>Purchase of Risograph Equipments for reproduction of support instructional materials for Public Schools Under New Normal.</t>
  </si>
  <si>
    <t>PROCUREMENT OF MATERIALS FOR REHABILITATION AND EXTENSION OF THE MULTI-PURPOSE BUILDING</t>
  </si>
  <si>
    <t>Procurement of Materials for the Construction of Comfort Room</t>
  </si>
  <si>
    <t>REPAIR/MAINTENANCE OF ELECTRICAL FACILITIES</t>
  </si>
  <si>
    <t>Purchase of IT Equipment for Accessing Data away from Home or Office, System Management, Works Projects/Programs Virtually and Reproduction of Learning Resources.</t>
  </si>
  <si>
    <t>Purchase of Office Supplies for operation of Maintenance for Public Schools Under New Normal. Ilog, Neg. Occ.</t>
  </si>
  <si>
    <t>SUPPLY AND DELIVERY OF DIESEL FUEL, LUBRICANTS AND TIRE WITH FLUP USED FOR ROAD REHABILITATION(0.2Mx5.0Mx18KM) AT TUGAS RIVERSIDE, KANMANGASANG, CAIPE, CAGCAGAN, ADELA TO STA. RITA, PORO, CEBU</t>
  </si>
  <si>
    <t>PURCHASE OF OFFICE DEVICES (DESKTOP, LAPTOP &amp; PRINTER)</t>
  </si>
  <si>
    <t>SUPPLY OF LABOR &amp; MATERIALS FOR THE PROPOSED LEVEL II WATER SYSTEM AT BARANGAY CATANG, ARGAO, CEBU</t>
  </si>
  <si>
    <t>Construction of Multi-Purpose Covered Court in Brgy. San Vicente</t>
  </si>
  <si>
    <t>Procurement of Spare Parts-08-474(O)PEO</t>
  </si>
  <si>
    <t>Supply and On-Site Delivery of Agri-Inputs Livestock &amp; Poultry Feeds) 2nd Posting</t>
  </si>
  <si>
    <t>PROCUREMENT OF VARIOUS MATERIALS FOR KABUHAYAN STARTER KIT ( NEGO KART) UNDER DOLE-DILEEP</t>
  </si>
  <si>
    <t>Procurement of Ambulance</t>
  </si>
  <si>
    <t>INVITATION TO BID FOR IMPLEMENTATION OF "TV ARALAN" SERIES UNDER RETOOLED COMMUNITY SUPPORT PROGRAM (RCSP)</t>
  </si>
  <si>
    <t>SUPPLY AND DELIVERY OF PRINTING EQUIPMENT AND MATERIALS FOR PRINTING OF LEARNING RESOURCES FOR NEW NORMAL APPROACH.</t>
  </si>
  <si>
    <t>FRT-19-1689-B(Rebid) - PURCHASE OF DEFIBRILLATOR</t>
  </si>
  <si>
    <t>CONSTRUCTION OF PUBLIC CEMETERY, PHASE II</t>
  </si>
  <si>
    <t>Procurement of Hardware Materials used for Construction Rehabilitation of A. Taruc, Socorro, SDN</t>
  </si>
  <si>
    <t>S3-BAD20-013 &amp; 4 OTHERS - Supply and Delivery of Various Mechanical Spare Parts of Cummins Generator Sets of SPUG WMOD Plants</t>
  </si>
  <si>
    <t>Q-125-20 UPGRADING OF POWER LINES OF THE COLLEGE</t>
  </si>
  <si>
    <t>Construction of Multi-Purpose Center in Brgy. Capaoay – Phase II</t>
  </si>
  <si>
    <t>1             	unit  		Risograph (DepEd -Carrascal District)</t>
  </si>
  <si>
    <t>Construction of Masonry Drainage Structure, Along Pagulayan Street, Ugac Norte, Tuguegarao City</t>
  </si>
  <si>
    <t>PWS DRILLING PRODUCTION DEEP WELL Sitio Dalsan, Barangay Kalilangan, Tubod, Lanao del Norte</t>
  </si>
  <si>
    <t>Construction of Masonry Drainage Structure, Along Iringan Street - Bariuan Alley (Interior Road), Ugac Norte, Tuguegarao City</t>
  </si>
  <si>
    <t>Road Widening going to Senior High School in Brgy. Capaoay</t>
  </si>
  <si>
    <t>Construction of Masonry Drainage Structure, Along Iringan Street - Sacramento Alley (Interior Road), Ugac Norte, Tuguegarao City</t>
  </si>
  <si>
    <t>20DD0384 Concreting of Farm-to-Mill Road, Brgy. Quilo-Quilo South, Padre Garcia, Batangas</t>
  </si>
  <si>
    <t>Construction/ Repair of LEVEL III Potable Water System</t>
  </si>
  <si>
    <t>Construction of Slope Protection in Brgy. Capaoay</t>
  </si>
  <si>
    <t>Supply, Delivery &amp; Installation of Two (2) Units High Volume Low Speed (HVLS) Fan for Public Market, Gerona, Tarlac</t>
  </si>
  <si>
    <t>Procurement of Aggregates used for Construction Rehabilitation of A. Taruc, Socorro, SDN</t>
  </si>
  <si>
    <t>Supply and Delivery of Assorted Office/Other Supplies and Materials</t>
  </si>
  <si>
    <t>For use in Maintenance Section, Service Vehicle, DPWH. Pagadian City</t>
  </si>
  <si>
    <t>SUPPLY AND DELIVERY OF RESCUE EQUIPMENT</t>
  </si>
  <si>
    <t>Supply and Delivery of various construction materials for the improvement of Palay Drying Plant &amp; Warehouse Facility, Brgy. Unzad, Villasis, Pangasinan</t>
  </si>
  <si>
    <t>CCTV Supplies &amp; Maintenance</t>
  </si>
  <si>
    <t>CONSTRUCTION OF MOTORPOOL AND WAREHOUSE PHASE IX</t>
  </si>
  <si>
    <t>CONSTRUCTION OF ECO GREEN PARK PERIMETER FENCE</t>
  </si>
  <si>
    <t>SUPPLY AND DELIVERY OF ONE (1) UNIT COPIER USED FOR LUCIANO B. RAMA SR. MEMORIAL NATIONAL HIGH SCHOOL (LBRSMNHS) - ESPERANZA, PORO, CEBU</t>
  </si>
  <si>
    <t>For use in Construction Section, Service Vehicle, DPWH, Pagadian City</t>
  </si>
  <si>
    <t>Procurement of Civil Works for the Concreting of Roadway Shoulder</t>
  </si>
  <si>
    <t>Procurement of Livestock and Poultry Rehabilitation due to Typhoon Ursula, Province of Aklan/ITB no: 2020-451</t>
  </si>
  <si>
    <t>For use in Construction Service Vehicle, Ford Everest KDT-199</t>
  </si>
  <si>
    <t>Procurement of Lumber &amp; Aggregates used for Repair/ Improvement of Tourism Hub/ Waiting Area @ Brgy. Navarro, Socorro, SDN</t>
  </si>
  <si>
    <t>Purchased and Delivery of One (1) UNIT CHAINSAW</t>
  </si>
  <si>
    <t>Electrical Materials	 (Maintenance of Municipal Building)</t>
  </si>
  <si>
    <t>Purchased of Materials for the Construction of Drainage Canal</t>
  </si>
  <si>
    <t>For use in H3-6700 Hino Dumptruck, DPWH, Pagadian City</t>
  </si>
  <si>
    <t>Inabaan Catering Services Project</t>
  </si>
  <si>
    <t>SUPPLY AND DELIVERY OF VARIOUS ASSORTED SUPPLIES USE FOR DepEd ESPERANZA DISTRICT I, II &amp; III.</t>
  </si>
  <si>
    <t>20OI0132: Repair/ Maintenance of DSWD Building, Haven for Women- Ilang-ilang Building, Brgy. Alabang, Muntinlupa City</t>
  </si>
  <si>
    <t>Purchase of Materials (Blown Asphalt) for re-sealing of Concrete Joints and Crack Along Jct. Blancia - Molave - Mahayag - Josefina Road, ZdelS.</t>
  </si>
  <si>
    <t>For use in Construction Service Vehicle, Toyota Hi-Lux LHL-309</t>
  </si>
  <si>
    <t>PROCUREMENT OF VEGETABLE SEEDS FOR BIO INTENSIVE GARDENING</t>
  </si>
  <si>
    <t>ECCD CHECKLIST BOOKLET</t>
  </si>
  <si>
    <t>Purchase and Deliver of Twelve (12) unit of Tablet to be used in the Sangguniang Office of the Local Government Unit of Mansalay, Oriental Mindoro</t>
  </si>
  <si>
    <t>PROCUREMENT OF VULCANIZING &amp; CARWASH SUPPLIES  AND MOTOR PARTS</t>
  </si>
  <si>
    <t>Purchase of One (1) Unit Wheeled Backhoe</t>
  </si>
  <si>
    <t>Supply &amp; Delivery of Computerized Integrated Office Management System for Sangguniang Bayan in this Municipality, LGU Villasis, Pangasinan</t>
  </si>
  <si>
    <t>Invitation to Bid for the Supply and Delivery of Materials for the Street Lighting at Poblacion, Daanbantayan, Cebu</t>
  </si>
  <si>
    <t>20OI0135: Completion/Rehabilitation of School Building and other Improvement, Golden Acres Elementary School, Talon 1, Las Pinas City</t>
  </si>
  <si>
    <t>Construction of Various Projects - Package X</t>
  </si>
  <si>
    <t>Supply &amp; Installation of Wooden Doors &amp; Aluminum Glass Window used for Repair/ Improvement of Tourism Hub/ Waiting Area @ Brgy. Navarro, Socorro, SDN</t>
  </si>
  <si>
    <t>20OI0134: Construction of Drainage System including other Improvement, Alabang Elementary School, Alabang, Muntinlupa City</t>
  </si>
  <si>
    <t>SUPPLY &amp; DELIVERY OF DRUGS &amp; MEDICINES</t>
  </si>
  <si>
    <t>Supply and Delivery of ICT Equipment (Laptop) (Operational Lease)</t>
  </si>
  <si>
    <t>PR-2020-1593 Medical Supplies-PHO</t>
  </si>
  <si>
    <t>Supply and Delivery of Various ICT Equipment  (Operational Lease)</t>
  </si>
  <si>
    <t>SUPPLY AND DELIVERY OF 4 IN 1 HEAVY DUTY PRINTER/PHOTOCOPIER FOR SEF</t>
  </si>
  <si>
    <t>20OI0136: Rehabilitation of Road including Drainage, Brgy. Pamplona 2,  Las Pinas City</t>
  </si>
  <si>
    <t>INVITATION TO BID FOR Procurement of Office Supplies (SEF)</t>
  </si>
  <si>
    <t>ITB-PHILGUARANTEE Security Services</t>
  </si>
  <si>
    <t>Procurement of Civil Works for the Construction / Repair of Barangay Gymnasium Roofing</t>
  </si>
  <si>
    <t>Invitation to Bid For the Completion of CURMA Building at Siitio Canghaling</t>
  </si>
  <si>
    <t>PR-2020-2006 Various Food Supplies-PGO</t>
  </si>
  <si>
    <t>PROCUREMENT OF GADGETS ( TABLETS)</t>
  </si>
  <si>
    <t>Repair and Maintenance of Payloader</t>
  </si>
  <si>
    <t>Invitation to bid for the rehabilitation and improvement of slaughter house at Buenavista, Uson, Masbate</t>
  </si>
  <si>
    <t>20OI0133: Repair / Maintenance of DSWD Building, Marillac Hills Storage Building,  Brgy. Alabang, Muntinlupa City</t>
  </si>
  <si>
    <t>INVITATION TO BID FOR CONCRETING OF 500L.M. FARM TO MARKET ROAD</t>
  </si>
  <si>
    <t>SUPPLY AND DELIVERY OF OTHER OFFICE SUPPLIES &amp; MEDICAL SUPPLIES.</t>
  </si>
  <si>
    <t>Procurement of Stone Tile Roofing used for Repair/ Improvement of Tourism Hub/ Waiting Area @ Brgy. Navarro, Socorro, SDN</t>
  </si>
  <si>
    <t>Rehabilitation of PWS (Potable Water System) for Barangay Bogayo</t>
  </si>
  <si>
    <t>PR-2020-1869 Twenty Two (22) Units Brand New Digital Duplicator-DepEd</t>
  </si>
  <si>
    <t>Delivery and Supply of Various Office Equipment for the Adoption of Distance Learning (DEP-ED)</t>
  </si>
  <si>
    <t>INVITATION TO BID FOR PURCHASED OF CONCRETING MATERIALS OF ACCESS ROAD TO ELEMENTARY SCHOOL</t>
  </si>
  <si>
    <t>Procurement of Security Services 2020</t>
  </si>
  <si>
    <t>20BBGOODS-001 Supply &amp; Delivery of Materials for the Construction of Perimeter Fence @ Brgy. Multi-purpose Hall, Purok 1, Brgy. Bayombon, Masbate City</t>
  </si>
  <si>
    <t>procurement of double cab truck (garbage truck)rebid</t>
  </si>
  <si>
    <t>PR-2020-1356 Drugs &amp; Medicines-PHO</t>
  </si>
  <si>
    <t>Procurement of Motorcycle (125cc),rebid</t>
  </si>
  <si>
    <t>INVITATION TO BID FOR PURCHASE OF MATERIALS FOR LEVEL II WATER SYSTEM - First Bidding</t>
  </si>
  <si>
    <t>Procurement of Hardware Materials used for Completion of Salog-Busay Access Road @ Brgy. Salog, Socorro, SDN</t>
  </si>
  <si>
    <t>Procurement of Various Drugs and Medicines</t>
  </si>
  <si>
    <t>Procurement of Lumber &amp; Aggregates used for Completion of Salog-Busay Access Road @ Brgy. Salog, Socorro, SDN</t>
  </si>
  <si>
    <t>CONSTRUCTION OF 100 CU. M. CONCRETE RESERVOIR</t>
  </si>
  <si>
    <t>SUPPLY &amp; DELIVERY OF ASSORTED GOODS</t>
  </si>
  <si>
    <t>Procurement of Fuel &amp; Lubricants used for Completion of Salog-Busay Access Road @ Brgy. Salog, Socorro, SDN</t>
  </si>
  <si>
    <t>CONSTRUCTION OF BARANGAY ISOLATION UNITWITH TOILET &amp; BATHROOM @ DAJA DIOT</t>
  </si>
  <si>
    <t>SUPPLY &amp; DELIVERY OF FUEL, OIL &amp; LUBRICANTS(SBO)</t>
  </si>
  <si>
    <t>Supply of Labor, Materials and Equipment for the Proposed Water System at Purok Pandayan 2, Brgy. Balirong, City of Naga, Cebu</t>
  </si>
  <si>
    <t>Invitation to bid for the concreting of barangay road at Magsaysay to San Mateo Road Section, Uson, Masbate</t>
  </si>
  <si>
    <t>CONSTRUCTION OF LEVEL III WATER SUPPLY SYSTEM (Installation of Transmission Line from the water source in the Municipality of Calbiga, Samar to the Tapping Point Leading to the Municipality of Villare</t>
  </si>
  <si>
    <t>5020301000-392-2020</t>
  </si>
  <si>
    <t>For use in Nissan Navarra UOG-575, QAS Service Vehicle, DPWH, Pagadian City</t>
  </si>
  <si>
    <t>5020305000-399-2020</t>
  </si>
  <si>
    <t>MATERIALS FOR REHABILITATION OF MUNICIPAL MAYORS OFFICE</t>
  </si>
  <si>
    <t>Purchase of ICT Supplies and Equipment</t>
  </si>
  <si>
    <t>10605020-387-2020</t>
  </si>
  <si>
    <t>5020399000-398-2020</t>
  </si>
  <si>
    <t>Procurement of Supply, Delivery, Testing and Commissioning of GAS FLOW ANALYZER</t>
  </si>
  <si>
    <t>5020301000-397-2020</t>
  </si>
  <si>
    <t>5020305000-396-2020</t>
  </si>
  <si>
    <t>5020399000-394-2020</t>
  </si>
  <si>
    <t>One (1) Lot Geotechnical Equipment</t>
  </si>
  <si>
    <t>LABOR SERVICE FOR RELOCATION AND EXPANSION OF ISOLATION FACILITY</t>
  </si>
  <si>
    <t>PURCHASE OF FOUR (4) UNITS SWM / EMERGENCY MULTI-PURPOSE VEHICLE FOR SWM/DRRM PROGRAMS OF THE POBLACION BARANGAYS (BRGYS 1, 2, 3 &amp; 5)</t>
  </si>
  <si>
    <t>5020399000-391-2020</t>
  </si>
  <si>
    <t>Supply &amp; Installation of Signage used for Repair/ Improvement of Tourism Hub/ Waiting Area @ Brgy. Navarro, Socorro, SDN</t>
  </si>
  <si>
    <t>INVITATION TO BID FOR NO CATEGORY (CONSULTING SERVICES - ORGANIZATIONAL ASSESSTMENT) (BID NO. 200903-01)</t>
  </si>
  <si>
    <t>SUPPLY &amp; DELIVERY OF OFFICE SUPPLIES FOR ALL ELEMENTARY SCHOOLS IN BAGULIN, LA UNION</t>
  </si>
  <si>
    <t>Procurement of Hardware Materials used for Road Concreting of Purok 1 @ Brgy. Sta. Cruz, Socorro, SDN</t>
  </si>
  <si>
    <t>Procurement of Brand New Power Transformer</t>
  </si>
  <si>
    <t>REHABILITATION/IMPROVEMENT OF LUMOCAB BRIDGE</t>
  </si>
  <si>
    <t>5020399000-400-2020</t>
  </si>
  <si>
    <t>PURCHASE AND INSTALLATION OF VARIABLE FREQUENCY DRIVE</t>
  </si>
  <si>
    <t>INVITATION TO BID FOR VEHICLE (4 WHEELS) AND ACCESSORIES (BID NO. 200903-02)</t>
  </si>
  <si>
    <t>5020399000-393-2020</t>
  </si>
  <si>
    <t>Disinfection and Sanitization Services for Municipal Hall, Rural Health Center, Isolation Facilities and other government entities including houses of Covid 19 Positive Patient (one month)</t>
  </si>
  <si>
    <t>5020399000-389-2020</t>
  </si>
  <si>
    <t>5020301000-395-2020</t>
  </si>
  <si>
    <t>Purchase of Tarpaulin</t>
  </si>
  <si>
    <t>Supply and delivery of Rescue Tools and Equipment (Lighting &amp; Collapse Structure)</t>
  </si>
  <si>
    <t>INVITATION TO BID FOR VEHICLE (4 WHEELS) AND ACCESSORIES (BID NO. 200903-04)</t>
  </si>
  <si>
    <t>5020399000-402-2020</t>
  </si>
  <si>
    <t>Procurement of Laboratory Supplies for the use of Dr. Rafael S. Tumbokon Memorial Hospital-EEDD, Kalibo, Aklan/ITB no: 2020-450</t>
  </si>
  <si>
    <t>5020399000-390-2020</t>
  </si>
  <si>
    <t>Procurement of IT Equipments, Office Equipements and Accessories</t>
  </si>
  <si>
    <t>Procurement of Aggregates used for Road Concreting of Purok 1 @ Brgy. Sta. Cruz, Socorro, SDN</t>
  </si>
  <si>
    <t>SUPPLY AND DELIVERY OF ONE HUNDRED FORTY (140) DRUMS OF GRANULAR CALCIUM HYPOCHLORITE FOR ANGELES CITY WATER DISTRICT</t>
  </si>
  <si>
    <t>PR 4-20-07-0878, FOR USE AS SPARE FOR THE IMMEDIATE REPLACEMENT OF PUMPS AND MOTORS IN CASE OF BREAKDOWN OF DIFFERENT PUMPING STATIONS OF THE CITY WATERWORKS DEPARTMENT, THIS CITY.</t>
  </si>
  <si>
    <t>PROCUREMENT FOR THE SUPPLY OF VARIOUS I.T EQUIPMENT</t>
  </si>
  <si>
    <t>LABOR SERVICES FOR REHABILITATION OF MUNICIPAL MAYOR'S OFFICE</t>
  </si>
  <si>
    <t>CID No. 20IC0079: Concreting of Brgy. Veteranos FMR, Brgy. Veteranos, Alangalang, Leyte; ABC: P12,935,000.00; 66 CD</t>
  </si>
  <si>
    <t>PROCUREMENT OF HARDWARE MATERIALS FOR CONCRETE SHOULDERING OF BARANGAY ROAD</t>
  </si>
  <si>
    <t>MATERIALS FOR RELOCATION AND EXPANSION OF ISOLATION FACILITY FOR COVID-19.</t>
  </si>
  <si>
    <t>5020301000-406-2020</t>
  </si>
  <si>
    <t>PURCHASE AND DELIVERY OF BRAND-NEW AMBULANCE</t>
  </si>
  <si>
    <t>PURCHASE OF 2 UNITS ACRYLIC ROSTRUM AND 2 UNITS FLADSTAND WITH BASE</t>
  </si>
  <si>
    <t>SUPPLY &amp; DELIVERY OF DRUGS &amp; MEDICINES(RHU)</t>
  </si>
  <si>
    <t>5029902000-408-2020</t>
  </si>
  <si>
    <t>Procurement of CY 2020 SND’s Token of Appreciation During Birthday Celebrations</t>
  </si>
  <si>
    <t>Procurement of Lumber &amp; Aggregates used for Road Concreting of Brgy. Streets @ Brgy. Rizal, Socorro, SDN</t>
  </si>
  <si>
    <t>INVITATION TO BID FOR TIRE, BATTERIES, AND ACCESSORIES - 4 WHEELS (BID NO. 200903-08)</t>
  </si>
  <si>
    <t>INVITATION TO BID FOR VEHICLE (4 WHEELS) AND ACCESSORIES (BID NO. 200903-03)</t>
  </si>
  <si>
    <t>CID No. 20IC0080: Concreting of Brgy. Arado FMR, Brgy. Arado, Palo, Leyte; ABC: P11,940,000.00; 66 CD</t>
  </si>
  <si>
    <t>SUPPLY &amp; DELIVERY OF OTHER SUPPLIES &amp; MATERIALS EXPENSE</t>
  </si>
  <si>
    <t>5020305000-405-2020</t>
  </si>
  <si>
    <t>CID No. 20IC0081: Concreting of Sitio Caulanghan, Brgy. Barayong FMR, Brgy. Barayong, Palo, Leyte; ABC: P11,940,000.00; 61 CD</t>
  </si>
  <si>
    <t>2nd Invitation to Bid for the REHABILITATION/IMPROVEMENT OF PRAYERS AND FAITH SIGNAGE Located at Capitol Cpd., Bayombong, Nueva Vizcaya</t>
  </si>
  <si>
    <t>Procurement of Hardware Materials used for Road Concreting of Brgy. Streets @ Brgy. Rizal, Socorro, SDN</t>
  </si>
  <si>
    <t>5020201000-404-2020</t>
  </si>
  <si>
    <t>5020305000-409-2020</t>
  </si>
  <si>
    <t>Construction of Transmitter Tower at Molino III</t>
  </si>
  <si>
    <t>5020399000-407-2020</t>
  </si>
  <si>
    <t>INVITATION TO BID FOR VEHICLE (4 WHEELS) AND ACCESSORIES (BID NO. 200903-05)</t>
  </si>
  <si>
    <t>5020399000-414-2020</t>
  </si>
  <si>
    <t>5020301000-401-2020</t>
  </si>
  <si>
    <t>CONSTRUCTION OF UBINA-CABANTAC FTMR Located at Mabuslo, Bambang, Nueva Vizcaya ABC Php416,691.84</t>
  </si>
  <si>
    <t>CID No. 20IC0084: Const. of Two-Storey, Six-Classroom School Building, San Jose Elementary School, Palo, Leyte; ABC: P14,404,483.72; 164 CD</t>
  </si>
  <si>
    <t>Procurement of 1 unit motorcycle</t>
  </si>
  <si>
    <t>INVITATION TO BID FOR MEASUREMENT AND ANALYSIS INSTRUMENTS (BID NO. 200903-10)</t>
  </si>
  <si>
    <t>INVITATION TO BID FOR MEASUREMENT AND ANALYSIS INSTRUMENTS (BID NO. 200903-09)</t>
  </si>
  <si>
    <t>5020305000-403-2020</t>
  </si>
  <si>
    <t>5020399000-412-2020</t>
  </si>
  <si>
    <t>5020305000-411-2020</t>
  </si>
  <si>
    <t>SUPPLY &amp; DELIVERY OF CONSTRUCTION MATERIALS &amp; SUPPLIES</t>
  </si>
  <si>
    <t>Purchase of Laptop</t>
  </si>
  <si>
    <t>CID No. 20IC0082: Concreting of Brgy. Libertad FMR, Brgy. Libertad, Palo, Leyte; ABC: P11,940,000.00; 61 CD</t>
  </si>
  <si>
    <t>Supply and Delivery of Garments and Sewing Machine for Barangay Poblacion, Toledo City</t>
  </si>
  <si>
    <t>Construction of 2STY4CL, Buyo Elementary School, Manito, Albay</t>
  </si>
  <si>
    <t>Construction of Road Network going to Sanitary Landfill Facility of LGU Buluan, Maguindanao, BARMM.</t>
  </si>
  <si>
    <t>CID No. 20IC0083: Concreting of Brgy. Katipunan-Sitio Dango, Brgy. Pitogo FMR, Brgy. Katipunan, Sta. Fe, Leyte; ABC: P11,940,000.00; 61 CD</t>
  </si>
  <si>
    <t>5020301000-410-2020</t>
  </si>
  <si>
    <t>CONSTRUCTION OF UBINA-CABANTAC FTMR Located at Mabuslo, Bambang, Nueva Vizcaya  Php193,152.37</t>
  </si>
  <si>
    <t>5020399000-413-2020</t>
  </si>
  <si>
    <t>Construction of Sanitary Landfill Facility at Buluan, Maguindanao</t>
  </si>
  <si>
    <t>2nd Invitation to Bid for the REPAINTING OF DUMLAO STADIUM (CLISOC FIELD) BLEACHERS Located at Bayombong, Nueva Vizcaya</t>
  </si>
  <si>
    <t>INVITATION TO BID FOR VEHICLE (4 WHEELS) AND ACCESSORIES (BID NO. 200903-07)</t>
  </si>
  <si>
    <t>5020399000-418-2020</t>
  </si>
  <si>
    <t>INVITATION TO BID FOR GROCERIES (BID NO. 200903-12)</t>
  </si>
  <si>
    <t>CONSTRUCTION OF COVERED COURT AT BRGY. MANINIOG</t>
  </si>
  <si>
    <t>SUPPLY AND DELIVERY OF ADULT THERMAL TRANSFER SNAP CLOSURE WHITE PATIENT WRISTBANDS WITH CLIP (FOR SATO) THROUGH ORDERING AGREEMENT</t>
  </si>
  <si>
    <t>Purchase of Fortified Powdered Milk Drink</t>
  </si>
  <si>
    <t>CID No. 20IC0085: Const. of One-Storey, Four-Classroom School Building, Babatngon Central School, Babatngon, Leyte; ABC: P8,611,601.97; 123 CD</t>
  </si>
  <si>
    <t>IMPROVEMENT OF JUSTICE HALL’S WATER SYSTEM Located at Capitol Cpd., Bayombong, Nueva Vizcaya</t>
  </si>
  <si>
    <t>5020305000-416-2020</t>
  </si>
  <si>
    <t>Supply and delivery of OFFICE EQUIPMENT</t>
  </si>
  <si>
    <t>INVITATION TO BID FOR VEHICLE (4 WHEELS) AND ACCESSORIES (BID NO. 200903-06)</t>
  </si>
  <si>
    <t>CID No. 20IC0086: Const. of One-Storey, Three Classroom School Building, Lukay Elementary School, Alangalang, Leyte; ABC: P6,518,468.56; 111 CD</t>
  </si>
  <si>
    <t>5020301000-417-2020</t>
  </si>
  <si>
    <t>5020399000-421-2020</t>
  </si>
  <si>
    <t>CONSTRUCTION OF MULTI-PURPOSE DRYING PAVEMENT AT BARANGAY NABAONG GARLANG</t>
  </si>
  <si>
    <t>Construction of 3STY6CL, Tamaoyan ES, Legazpi City, Albay</t>
  </si>
  <si>
    <t>SEED</t>
  </si>
  <si>
    <t>CATERIG SERVICES AND MATERIALS FOR SEAWEEDS FARM AREA MAPPING PROJECT.</t>
  </si>
  <si>
    <t>Construction of EID-Center (Building) Phase I</t>
  </si>
  <si>
    <t>SUPPLY AND DELIVERY OF CONFERENCE TABLE AND CHAIRS-(ITB No. 2020-192)-(SP-Balansag)</t>
  </si>
  <si>
    <t>502030500-420-2020</t>
  </si>
  <si>
    <t>CONSTRUCTION OF GAMPALANG BRIDGE Located at Besong, Kayapa, Nueva Vizcaya</t>
  </si>
  <si>
    <t>Invitation To Bid for the Reproduction of First and Second Quarter Modules for Distribution</t>
  </si>
  <si>
    <t>5020301000-419-2020</t>
  </si>
  <si>
    <t>Supply and Delivery of Water Materials use for Water Treatment Plant Facility &amp; Equipment’s/ Contract ID No. ESP-GOODS-022-2020</t>
  </si>
  <si>
    <t>RENTAL OF EQUIPMENT FOR THE IMPROVEMENT OF VARIOUS STREETS AT UPPER TUNDOL BARANGAY REFORMISTA, LIMAY BATAAN</t>
  </si>
  <si>
    <t>Procurement of 1 Unit Self-Bailing Raft of CDRRMC</t>
  </si>
  <si>
    <t>PROCUREMENT OF CONSTRUCTION MATERIALS FOR CONSTRUCTION OF POBLACION SEAWALL</t>
  </si>
  <si>
    <t>Supply &amp; delivery of materials for the opening/gravelling of Brgy. Pulidan Farm to Market Road, Titay, ZSP.</t>
  </si>
  <si>
    <t>PRINTING SERVICES FOR VARIOUS PROJECTS OF OSSP AND MHD</t>
  </si>
  <si>
    <t>20GME0071 –	Lease of One (1) Unit Service Vehicle for Eleven (11)  days for inspection/validation of infrastructure projects within Sarangani Engineering District for the period of September 1-15, 202</t>
  </si>
  <si>
    <t>Re-bidding for the Procurement of Oil and Lubricants</t>
  </si>
  <si>
    <t>PURCHASE &amp; DELIVERY OF DRUGS &amp; MEDICINE FOR THE 3RD QUARTER 2020</t>
  </si>
  <si>
    <t>Supply and Delivery of Medicine for RHU -PR# 20-07-0556</t>
  </si>
  <si>
    <t>Procurement of Two (2) Units Multicab for the Use of the LGU, Tagudin, Ilocos Sur</t>
  </si>
  <si>
    <t>Construction of 3STY9CL, Solong Elementary School, Camalig, Albay</t>
  </si>
  <si>
    <t>PURCHASE OF CARIOUS MEDICAL EQUIPMENT FOR LABORATORY AND LYING-IN CLNIC, CARIDAD, CAVITE CITY BARANGAY #39</t>
  </si>
  <si>
    <t>5029905003-422-2020</t>
  </si>
  <si>
    <t>Concreting of Sitio Libtong, Brgy. Balatero FMR, Brgy. Balatero, Puerto Galera</t>
  </si>
  <si>
    <t>OFFICE SUPPLIES FOR FIRST QUARTER</t>
  </si>
  <si>
    <t>Purchase and Installation of Weigh-in-Motion (WIM) Axle Weigher for Malabon – Navotas District Engineering Office – Anti-Truck Overloading Mobile Enforcement (MNDEO-ATOME) Operation for C.Y. 2020.</t>
  </si>
  <si>
    <t>One (1) Lot Provision of Firewall Protection</t>
  </si>
  <si>
    <t>PURCHASE OF LAPTOP AND EXTERNAL HARD DRIVE FOR USE OF THE CITY ACCOUNTANT,SILAY CITY.</t>
  </si>
  <si>
    <t>2020-014-1		SUPPLY AND DELIVERY OF FUEL AND LUBRICANTS FOR CONSTRUCTION OF POBLACION SEAWALL	8/13/2020	8/17/2020	8/31/2020	1	20-014-1	 32,000.00 		25</t>
  </si>
  <si>
    <t>MAINTENANCE OF FARM TO MARKET ROAD TO SITIO CALINISAN</t>
  </si>
  <si>
    <t>5020301000-426-2020</t>
  </si>
  <si>
    <t>SUPPLY AND DELIVERY OF OFFICE AND OTHER SUPPLIES</t>
  </si>
  <si>
    <t>IMPROVEMENT OF FR. P. CAMPEON STREET COR. JACINTO STREET.</t>
  </si>
  <si>
    <t>20CB-GSC-515	PURCHASE OF TOKENS  FOR MILESTONES AND RETIREES</t>
  </si>
  <si>
    <t>20GME0073 –	Lease of One (1) Unit Service Vehicle for Eleven (11)  days for inspection/validation of infrastructure projects within Sarangani Engineering District for the period of October 1-15, 2020,</t>
  </si>
  <si>
    <t>Procurement of Audio Visual &amp; IT Equipment for ICT</t>
  </si>
  <si>
    <t>Supply and Delivery of Catering Services for 3-Day Peace Building Seminar at Brgy. Kasapa - PR# 20-07-0535</t>
  </si>
  <si>
    <t>INSTALLATION OF TRAFFIC LIGHT</t>
  </si>
  <si>
    <t>Project: Procurement of Hardware Materials used for Rehabilitation of Senior Citizen's Building @ Brgy. Navarro, Socorro, SDN</t>
  </si>
  <si>
    <t>Proposed Concreting of Basketball Court @ Sitio Relocation Site, Barangay Biga, Toledo City</t>
  </si>
  <si>
    <t>5020305000-425-2020</t>
  </si>
  <si>
    <t>SUPPLY AND DELIVERY OF VARIOUS TOOLS AND MATERIALS FOR DEPW (2 LOTS)</t>
  </si>
  <si>
    <t>20GME0072 –	Lease of One (1) Unit Service Vehicle for Eleven (11)  days for inspection/validation of infrastructure projects within Sarangani Engineering District for the period of September 16-30, 20</t>
  </si>
  <si>
    <t>Supply and Delivery of 15 Drums of Chlorine 70% Granules 45 Kgs.</t>
  </si>
  <si>
    <t>INVITATION TO BID FOR GROCERIES (BID NO. 200903-13)</t>
  </si>
  <si>
    <t>5020301000-424-2020</t>
  </si>
  <si>
    <t>Proposed Concreting of Basketball Court @ Sitio Tanke, Barangay Biga, Toledo City</t>
  </si>
  <si>
    <t>5020399000-423-2020</t>
  </si>
  <si>
    <t>PURCHASE OF EMERGENCY TRANSPORT VEHICLE (DOH-COMPLIANT AMBULANCE)</t>
  </si>
  <si>
    <t>CONSTRUCTION OF KMH ANCILLARY BUILDING PHASE IV Located at KMH, Compound, Kasibu, Nueva Vizcaya</t>
  </si>
  <si>
    <t>PURCHASE OF 1 UNIT CORE i7 LAPTOP</t>
  </si>
  <si>
    <t>SUPPLY AND DELIVERY OF LOCALLY PRODUCED MATERIALS FOR CCOMPLETION OF DRRM BUILDING</t>
  </si>
  <si>
    <t>FOR DOH OFFICE SUPPLIIES</t>
  </si>
  <si>
    <t>PURCHASE OF MATERIALS FOR THE IMPROVEMENT OF MULTI-PURPOSE EVACUATION CENTER</t>
  </si>
  <si>
    <t>PURCHASE OF MATERIALS FOR THE IMPROVEMENT OF COVERED COURT</t>
  </si>
  <si>
    <t xml:space="preserve">20GME0076 –	Lease of One (1) Unit Service Vehicle for Ten (10)  days for inspection/validation of infrastructure projects within Sarangani Engineering District for the period of November 16-30, 2020, </t>
  </si>
  <si>
    <t>Procurement of Brand New One Unit Dump Truck of Motorpool</t>
  </si>
  <si>
    <t>Purchase of  One (1) Unit Patient Transport Vehicle (2020-07-105)</t>
  </si>
  <si>
    <t>CONSTRUCTION OF TWO STOREY MULTI PURPOSE HALL AT BRGY. SAN RAFAEL, CALACA, BATANGAS</t>
  </si>
  <si>
    <t>20GME0075 –	Lease of One (1) Unit Service Vehicle for Nine (9)  days for inspection/validation of infrastructure projects within Sarangani Engineering District for the period of November 1-15, 2020, S</t>
  </si>
  <si>
    <t>CONSTRUCTION OF COVERED PATHWAY FROM MAIN BUILDING TO ANCILLARY BUILDING (KMH) Located at KMH, Compound, Kasibu, Nueva Vizcaya</t>
  </si>
  <si>
    <t>Supply and delivery DRUG and MEDICINES</t>
  </si>
  <si>
    <t>CONSTRUCTION OF MULTI-PURPOSE DRYING PAVEMENT AT BARANGAY STA. CATALINA BATA</t>
  </si>
  <si>
    <t>SUPPLY AND DELIVERY OF LOCALLY PRODUCED MATERIALS FOR CONSTRUCTION OF POBLACION SEAWALL</t>
  </si>
  <si>
    <t>5020201000-432-2020</t>
  </si>
  <si>
    <t>PURCHASE OF HYBRID YELLOW CORN SEEDS</t>
  </si>
  <si>
    <t>PROCUREMENT OF CONSTRUCTION MATERIALS FOR COMPLETION OF DRRM BUILDING</t>
  </si>
  <si>
    <t>SUPPLY AND DELIVERY OF CORNEAL DIAGNOSTIC CAMERA SYSTEM</t>
  </si>
  <si>
    <t>PR 2020-07-156 Supply and Delivery of Materials for the use in Installation of Solar Pavement Levelled Marker/ Stud Flush Type for Activity 301 (SIGN MAINTENANCE) along Surigao – Davao Coastal Road (S</t>
  </si>
  <si>
    <t>5020301000-427-2020</t>
  </si>
  <si>
    <t>PROCUREMENT OF HOUSEHOLD AND KITCHEN EQUIPMENT-(ITB No. 2020-194)-(BPH-Manolo and BPMC)</t>
  </si>
  <si>
    <t>PURCHASE OF MATERIALS FOR THE FABRICATION/INSTALLATION OF POLES FOR SOLAR STREET LIGHTS</t>
  </si>
  <si>
    <t>5020201000-431-2020</t>
  </si>
  <si>
    <t>Supply and Delivery of 17 units Palay Seed Cleaner for Implementation under 2020 Rice Program</t>
  </si>
  <si>
    <t>20GME0077 –	Lease of One (1) Unit Service Vehicle for Eleven (11)  days for inspection/validation of infrastructure projects within Sarangani Engineering District for the period of December 1-15, 2020</t>
  </si>
  <si>
    <t>REHABILITATION OF SENIOR CITIZEN'S BUILDING</t>
  </si>
  <si>
    <t>ITB FOR PROCUREMENT OF VARIOUS PAINTS</t>
  </si>
  <si>
    <t>5020305000-430-2020</t>
  </si>
  <si>
    <t>Procurement of two (2) units Firetruck for preparedness</t>
  </si>
  <si>
    <t>INF-ITB 20-042 Installation of Road Signs and Pavement Markings at Junction National Highway - Guinsang-an to Norala Poblacion, Norala, South Cotabato</t>
  </si>
  <si>
    <t>20GME0078 –	Lease of One (1) Unit Service Vehicle for Eight (08)  days for inspection/validation of infrastructure projects within Sarangani Engineering District for the period of December 16-31, 2020</t>
  </si>
  <si>
    <t>SUPPLY AND DELIVERY OF MEDICAL SUPPLIES FOR DAILY AND EMERGENCY OPERATIONS OF OSPITAL NG MAKATI (AUTOMATIC DOCUMENTATION SYSTEM LABEL FOR FORMALDEHYDE PROCESS - INK CARTRIDGE FOR AUTOMATIC DOCUMENTATI</t>
  </si>
  <si>
    <t>PROCUREMENT OF ADDITIONAL PRE-DISASTER EQUIPMENTS FOR EMERGENCY OPERATION CENTER.</t>
  </si>
  <si>
    <t>CONSTRUCTION OF WATCHER’S LOUNGE (PHASE II)(NVPH) Located at Bambang, Nueva Vizcaya</t>
  </si>
  <si>
    <t>20CB-GSC-517	PURCHAS EOF DIESEL FOR WMO</t>
  </si>
  <si>
    <t>5020399000-436-2020</t>
  </si>
  <si>
    <t>Supply &amp; Delivery of  Vegetable Seeds</t>
  </si>
  <si>
    <t>Rebidding of 5 Construction Projects (B-127-2020)</t>
  </si>
  <si>
    <t>SUPPLY AND DELIVERY OF LABORATORY SUPPLIES (ACID FAST BACILLI (AFB) STRAIN)</t>
  </si>
  <si>
    <t>COMPLETION OF MULTI-PURPOSE HALL</t>
  </si>
  <si>
    <t>Procurement of Books of CSWD</t>
  </si>
  <si>
    <t>5020399000-435-2020</t>
  </si>
  <si>
    <t>20CG0268 - Local Program: Construction/ Repair/ Rehabilitation/ Improvement of Buildings and other structures – Multi-Purpose/ Facilities – Rehabilitation of Multi-Purpose Building (Barangay Hall), La</t>
  </si>
  <si>
    <t>Contract Package for the Continuation of the Rehabilitation of Tagudin Farmers' Civic Center (Phase II), Barangay Magsaysay, Tagudin, Ilocos Sur</t>
  </si>
  <si>
    <t>19MG0175-Construction of Bakneb Rivercave MPB for tourism site located at Brgy. Laconon, T’boli, South Cotabato</t>
  </si>
  <si>
    <t>5020305000-441-2020</t>
  </si>
  <si>
    <t>20CG0270 - Construction of Multi-Purpose Building, Phase I Brgy. Poblacion, Santo Tomas, Pampanga</t>
  </si>
  <si>
    <t>SUPPLY AND DELIVERY OF ELECTRICAL ITEMS USE FOR WATER TREATMENT PLANT</t>
  </si>
  <si>
    <t>5020301000-440-2020</t>
  </si>
  <si>
    <t>“Four (4) Lots Various Construction Materials for the use in the Rehabilitation/Improvement of Drainage System and Road Sidewalk within Barangay Pobalcion 6, Dumaguete City, Negros Oriental (N2FB-112-</t>
  </si>
  <si>
    <t>20GME0067 - Supply &amp; Delivery of vehicle parts for use of various  Equipment and Service Vehicles at Sarangani District Engineering Office, Sarangani Province</t>
  </si>
  <si>
    <t>5020305000-439-2020</t>
  </si>
  <si>
    <t>20CG0271 - Local Infrastructure Program: Buildings and Other Structures – Multipurpose/ Facilities – Construction of New Material Recovery Facility Structure, Brgy. San Nicolas, Sta. Ana, Pampanga</t>
  </si>
  <si>
    <t>SUPPLY AND DELIVERY OF MATERIALS AND EQUIPMENT FOR OPERATIONS AND MAINTENANCE OF ITBAYAT DPP</t>
  </si>
  <si>
    <t>PROCUREMENT OF DISASTER SUPPLIES (MEDICAL AND MEDICINES)</t>
  </si>
  <si>
    <t>5020301000-437-2020</t>
  </si>
  <si>
    <t>20CG0269 - Reblocking of Deteriorated/ Shattered Slabs along Jose Abad Santos Avenue, Mexico, Pampanga</t>
  </si>
  <si>
    <t>5020301000-438-2020</t>
  </si>
  <si>
    <t>PURCHASE OF BOOKS AND PLAYGROUND SET</t>
  </si>
  <si>
    <t>Labor and Materials for the Repair/Improvement of City College at Brgy. San Juan, City of San Fernando, Pampanga</t>
  </si>
  <si>
    <t>Supply and Delivery of Desktop Computer, Laptop, and Printers</t>
  </si>
  <si>
    <t>5020301000-428-2020</t>
  </si>
  <si>
    <t>20GME0068 - Supply &amp; Delivery of vehicle parts for use of  various Equipment and Service Vehicles at Sarangani District Engineering Office, Sarangani Province</t>
  </si>
  <si>
    <t>SUPPLY AND DELIVERY OF CLAMP METER, PUMP &amp; TESTER USE FOR WATER TREATMENT FACILITY</t>
  </si>
  <si>
    <t>MATERIALS FOR WALL PARTITION AT BAROY ELEM. SCHOOL.</t>
  </si>
  <si>
    <t>5020305000-348-2020</t>
  </si>
  <si>
    <t>Construction/ Repair/ Rehabilitation/ Improvement of Various Infrastructure Including Local Projects - Rehabilitation of Multi-Purpose Building (Day Care Center for Health, Nutrition and Sanitation Of</t>
  </si>
  <si>
    <t>Construction/ Upgrading/ Rehabilitation of Drainage along National Roads - Secondary Roads - Session Road # 2 K0251+746 - K0252+028</t>
  </si>
  <si>
    <t>19MG0176-Construction of Farm to Market Road at Sitio Lubol, Upper Sepaka, Suralla, South Cotabato</t>
  </si>
  <si>
    <t>WIDENING OF ROAD AT POB. SOUTH</t>
  </si>
  <si>
    <t>20GME0069 - Supply &amp; Delivery of Const. Materials for use in  Maintenance Section, Sarangani Province</t>
  </si>
  <si>
    <t>IMPROVEMENT OF HEALTH STATION AT BRGY. PANCE</t>
  </si>
  <si>
    <t>REHAB./REPAIR OF 1 UNIT CLASSROOM - TUBO-PAIT E.S.</t>
  </si>
  <si>
    <t>SUPPLY OF MATERIALS FOR THE IMPROVEMENT OF LIMASAWA WATER SYSTEM</t>
  </si>
  <si>
    <t>Construction of Local Road at Rizal Street, Brgy. Poblacion, Merida, Leyte</t>
  </si>
  <si>
    <t>Completion of Hospital located at Municipal Government Site</t>
  </si>
  <si>
    <t>20CG0272 - Local Infrastructure Program: Buildings and Other Structures – Multipurpose and Facilities – Construction/ Rehabilitation of Multi-Purpose Building, Brgy. San Isidro, San Fernando City, Pam</t>
  </si>
  <si>
    <t>PROCUREMENT OF IT EQUIPMENT FOR THE DIFFERENT OFFICES OF  LGU-TUBURAN</t>
  </si>
  <si>
    <t>CONCRETING OF 360.0 L.M. FARM TO MARKET ROAD AT SITIO LINABO, Barangay Aya-Aya, Municipality of Lugait, Misamis Oriental.</t>
  </si>
  <si>
    <t>Supply and Delivery of Uniforms to be used by the personnel of City Public Order and Safety Coordinating Office in the City of San Fernando, Pampanga</t>
  </si>
  <si>
    <t>PURCHASE OF EQUIPMENT TO BE USED AT DEPED BALATAN DISTRICT  [GOODS-CB-2020-08-011]</t>
  </si>
  <si>
    <t>SUPPLY AND DELIVERY OF SUPPLIES, MATERIALS AND EQUIPMENT TO BE USED AT THE NEW LADIES’ DORM &amp; PSAU HOSTEL</t>
  </si>
  <si>
    <t>CONSTRUCTION OF MULTIPURPOSE BUILDING (PHASE 2) AT POB. SOUTH</t>
  </si>
  <si>
    <t>Purchase of Sanitary Supplies for Prevention of COVID 19</t>
  </si>
  <si>
    <t>PROCUREMENT OF MEDICINES , MED. EQUIPMENT AND  SUPPLIES</t>
  </si>
  <si>
    <t>IT Equipments for RTLTTAC TESDA R. T. Lim R. T. Lim,  Zamboanga Sibugay</t>
  </si>
  <si>
    <t>Information and Communication Technology  Equipment</t>
  </si>
  <si>
    <t>PURCHASE OF MATERIALS FOR BARANGAY ROAD CONCRETING @ BARANGAY LANGTAD, ARGAO, CEBU</t>
  </si>
  <si>
    <t>SUPPLY AND DELIVERY OF VARIOUS OFFICE EQUIPMENT USE FOR MCDO, MCR &amp; HRM OFFICE</t>
  </si>
  <si>
    <t>Construction of Culvert along Inwaloy FMR</t>
  </si>
  <si>
    <t>Purchase of Container Van, 20ft x 8ft x 8.5ft</t>
  </si>
  <si>
    <t>PURCHASE OF VARIOUS MACHINERY EQUIPMENTS FOR FEEDMILL</t>
  </si>
  <si>
    <t>Construction/Completion/Rehabilitation of Multi-Purpose Building, Barangay Manubuan, Matalam, North Cotabato</t>
  </si>
  <si>
    <t>Supply and Delivery of Personal Protective Gears and Equipment to be used by the personnel of the City Public Order and Safety Coordinating Office in the City of San Fernando, Pampanga</t>
  </si>
  <si>
    <t>PURCHASE OF SUPPLIES &amp; MATERIALS FOR CLEAN &amp; GREEN POJECT</t>
  </si>
  <si>
    <t>Procurement of PPE’S and other Supplies</t>
  </si>
  <si>
    <t>PURCHASE OF BOOKS</t>
  </si>
  <si>
    <t>SUPPLY &amp; DELIVERY OF FURNITURE &amp; FIXTURES FOR THE  DIFFERENT OFFICES OF LGU-TUBURAN</t>
  </si>
  <si>
    <t>Proposed Road Improvement, Barangay Esperanza, Kinoguitan,  Misamis Oriental</t>
  </si>
  <si>
    <t>PURCHASE OF OFFICE SUPPLIES AND MATERIALS</t>
  </si>
  <si>
    <t>Concreting of Access Road to Resettlement Site - Bagumbayan</t>
  </si>
  <si>
    <t>UPGRADING OF THE PSAU TAMARIND RDE CENTER FACILITIES</t>
  </si>
  <si>
    <t>ITB# 20-2020 Training Expenses</t>
  </si>
  <si>
    <t>SUPPLY AND DELIVERY OF TONERS, IMAGING AND  PHOTOCONDUCTOR KIT FOR MULTIFUNCTION  (COPIER, SCANNER, PRINTER) MACHINE AND LASER PRINTERS  OF BIR-RR NO. 9B LAQUEMAR, SAN PABLO CITY</t>
  </si>
  <si>
    <t>ITB# 22-2020 Office Supplies</t>
  </si>
  <si>
    <t>20GA00003: Procurement of Axle Load Survey Equipment (Portable Weighing Scale) in the conduct of Axle Load Survey under NRTSP/RTIA within Region I</t>
  </si>
  <si>
    <t>CONCRETING OF BRGY. ROAD E. MENDOZA ST. &amp; R. MENDOZA ST.</t>
  </si>
  <si>
    <t>ITB# 21-2020 Office Supplies</t>
  </si>
  <si>
    <t>Contract Package for the Concreting of Pudoc West Farm to Market Road with Slope Protection, Barangay Pudoc West, Tagudin, Ilocos Sur</t>
  </si>
  <si>
    <t>REHAB. OF ROAD SHOULDERS ALONG COGON - LUS ONAN LINAO - DAGA FMR</t>
  </si>
  <si>
    <t>PROVISION OF RELIEF GOODS</t>
  </si>
  <si>
    <t>REPLACEMENT OF CONCRETE PAVEMENT OF PTC ACCESS ROAD</t>
  </si>
  <si>
    <t>Construction of Sanitary Land Fill</t>
  </si>
  <si>
    <t>Elevator at Clark Museum (Civil Works)</t>
  </si>
  <si>
    <t>Concreting of Farm to Market Road - San Ramon</t>
  </si>
  <si>
    <t>20GA00004: Supply, Delivery and Installation of Automatic Traffic Count In-Ground Sensor under NRTSP/RTIA within Region 1</t>
  </si>
  <si>
    <t>CONCRETING OF LINAO - DAGA FARM TO MARKET ROAD</t>
  </si>
  <si>
    <t>Security Services for City Hall Building, Plazuela, PNP Building, Legislative Building, Kaisa Hall, Tarlac City Public Market and BOSS Building for September 16 to December 31, 2020. B2020-104-A</t>
  </si>
  <si>
    <t>CONCRETING OF DAGA FARM TO MARKET ROAD, PANAY, CAPIZ</t>
  </si>
  <si>
    <t>ITB# 25-2020 Medical/Laboratory Supplies</t>
  </si>
  <si>
    <t>Installation of Solar Street Lights</t>
  </si>
  <si>
    <t>Rehabilitation of Banao Potable Water System</t>
  </si>
  <si>
    <t>PURCHASE OF VEHICLES FOR FEEDMILL USED</t>
  </si>
  <si>
    <t>PURCHASE OF FARM INPUTS FOR BANGUS FISH CULTURE/BANGUS PRODUCTION</t>
  </si>
  <si>
    <t>ITB# 24-2020 Food Supplies</t>
  </si>
  <si>
    <t>Procurement for 55” Smart LED TV under IB No. 2020-236</t>
  </si>
  <si>
    <t>PURCHASE OF VARIOUS MEDICINES FOR USE IN THE RURAL HEALTH UNIT - VILLABA, LEYTE - MOOE 2020</t>
  </si>
  <si>
    <t>supplies and delivery of Office and I.T Equipment</t>
  </si>
  <si>
    <t>ITB# 23-2020 Office Supplies</t>
  </si>
  <si>
    <t>Supply and Delivery of Agricultural Materials and Supplies for Organic and Cut flower Farming @ Kayapa Nueva Vizcaya</t>
  </si>
  <si>
    <t>Supply and Installation of 150Mbps Leased Line (GOODS-20-42)</t>
  </si>
  <si>
    <t>Acquisition of Digital Desktop High Speed Duplicator</t>
  </si>
  <si>
    <t>IMPROVEMENT OF VARIOUS BARANGAY ROADS</t>
  </si>
  <si>
    <t>20AJ0101 (Republish) - Construction of Four (4) Storey Eight (8) Classroom School Building, Primicias NHS, Mapandan, Pangasinan</t>
  </si>
  <si>
    <t>Procurement of Lumber &amp; Aggregates used for Rehabilitation of Senior Citizen's Building @ Brgy. Navarro, Socorro, SDN</t>
  </si>
  <si>
    <t>ITB# 41-2020 Printing of Forms</t>
  </si>
  <si>
    <t>ITB# 30-2020 Other Supplies and Materials</t>
  </si>
  <si>
    <t>PURCHASE OF MEDICAL SUPPLIES FOR USE OF DENGUE PROGRAM, CITY HEALTH OFFICE,SILAY CITY.</t>
  </si>
  <si>
    <t>Other Maint. an Operating Expense</t>
  </si>
  <si>
    <t>Contract Package for the Construction of Borono Post Harvest Facility, Barangay Borono, Tagudin, Ilocos Sur</t>
  </si>
  <si>
    <t>Rehabilitation of Drainage System and Pavement along Capitol Area, Brgy. Capaclan, Romblon, Romblon</t>
  </si>
  <si>
    <t>INVITATION TO BID FOR THE Rebidding for the Procurement of DOE Internet Subscription (Pocket WiFi) under the DOE Regular Fund</t>
  </si>
  <si>
    <t>ITB# 29-2020 Other Supplies and Materials</t>
  </si>
  <si>
    <t>Package 030- Procurement of Construction Materials</t>
  </si>
  <si>
    <t>ITB# 28-2020 Other Supplies and Materials</t>
  </si>
  <si>
    <t>ITB# 26-2020 Medical/Laboratory Supplies</t>
  </si>
  <si>
    <t>Supply &amp; Installation of Doors &amp; Windows used for Rehabilitation of Senior Citizen's Building @ Brgy. Navarro, Socorro, SDN</t>
  </si>
  <si>
    <t>ITB# 27-2020 Other Supplies and Materials</t>
  </si>
  <si>
    <t>Supply and Delivery of 1 unit motocycle-for Barangay Acacia</t>
  </si>
  <si>
    <t>Construction of Multi-Purpose Building Phase II, Capacuan ES</t>
  </si>
  <si>
    <t>ITB No. (INF) 2020-08-116 IMPROVEMENT OF LEGISLATIVE BUILDING, Brgy. Alang-alang, Borongan City, Eastern Samar</t>
  </si>
  <si>
    <t>20BF0067: Bridge Program-Widening of Permanent Bridges-Mallig Bridge (B001158LZ) along Santiago-Tuguegarao Road, Mallig, Isabela</t>
  </si>
  <si>
    <t>REPAIR &amp; IMPROVEMENT OF SI-FLUME</t>
  </si>
  <si>
    <t>Procurement of Construction Materials (MEEDO)</t>
  </si>
  <si>
    <t>One (1) Lot Supply, Delivery, Commissioning, and Testing of Four (4) units Drum Tilter, including Training of Personnel, as per BSP Technical Specifications and Terms of Reference</t>
  </si>
  <si>
    <t>GPG-B1-2020-358-3RD REBID-SUPPLY &amp; DELIVERY OF 25 UNITS BRAND NEW TRACTORS (120HP) FOR THE SUGAR REGULATORY ADMINISTRATION (SRA)</t>
  </si>
  <si>
    <t>Supply &amp; Delivery of Itik Pinas to be Distributed as Starter Kit (DUCK) For Back to Basic - Scientific and Sustainable Livestock Production Advocacy Seminar on September 2020 in Bataan</t>
  </si>
  <si>
    <t>Electrification/Modernization of Electrical System On-Grid School CY 2020 at  DALIPUGA NATIONAL HIGH SCHOOL</t>
  </si>
  <si>
    <t>Supply &amp; Delivery of Free-Range Chicken  to be Distributed as Starter Kit (FRC) For Back to Basic - Scientific and Sustainable Livestock Production Advocacy Seminar on September 2020 in Zambales</t>
  </si>
  <si>
    <t>Construction of Halag-Magatawa Farm to market road</t>
  </si>
  <si>
    <t>ITB# 137-2020 Other Supplies and Materials</t>
  </si>
  <si>
    <t>PURCHASE OF FARM INPUTS FOR TILAPIA FISH CULTURE/TILAPIA PRODUCTION</t>
  </si>
  <si>
    <t>CONCRETING OF 350.0 L.M. FARM TO MARKET ROAD AT SITIO LINABO, Barangay Aya-Aya, Municipality of Lugait, Misamis Oriental.</t>
  </si>
  <si>
    <t>ITB# 42-2020 Other MOOE</t>
  </si>
  <si>
    <t>SUPPLY AND DELIVERY OF MEDICAL SUPPLIES FOR COVID-19 RESPONSE</t>
  </si>
  <si>
    <t>INSTALLATION OF POTABLE WATER SYSTEM</t>
  </si>
  <si>
    <t>GPG-B1-2020-357-REBID-SUPPLY &amp; DELIVERY OF 37 UNITS BRAND NEW TRACTORS (90HP) FOR THE SUGAR REGULATORY ADMINISTRATION (SRA)</t>
  </si>
  <si>
    <t>Package 031- Procurement of Commercial Rice</t>
  </si>
  <si>
    <t>Rehabilitation of Daram Water System</t>
  </si>
  <si>
    <t>ITB# 136-2020 Other Supplies and Materials</t>
  </si>
  <si>
    <t>Straight Contract for Improvement of Overflow at So. Upad, Brgy. Libacao Himamaylan City</t>
  </si>
  <si>
    <t>CONSTRUCTION OF MATERIAL RECOVERY FACILITIES</t>
  </si>
  <si>
    <t>20EI0186 - Concreting of Road, Panggulayan – Anoling – Buli, Pinamalayan, Oriental Mindoro_078</t>
  </si>
  <si>
    <t>INVITATION TO BID FOR THE Rebidding for Two (2) Units of Document Scanner under the DOE Locally Funded Biofuels  Program</t>
  </si>
  <si>
    <t>Straight Contract for Road Improvement at So. Casipungan to So. Tugas, Brgy. Carabalan, Himamaylan City</t>
  </si>
  <si>
    <t>Supply, Delivery, Installation &amp; Commissioning of 50KVA Generator Set and</t>
  </si>
  <si>
    <t>Purchase of Portable Toilet, Portalet</t>
  </si>
  <si>
    <t>CONST. OF FARM TO MARKET ROAD, BRGY. ALEGRE, DULAG LEYTE</t>
  </si>
  <si>
    <t>Construction of (2) Additional Classroom Building, Bangbang Elementary School, Medina,  Misamis Oriental</t>
  </si>
  <si>
    <t>20EI0187 - Concreting of Road, Sitio Calunacon – Sitio Bating, Brgy. Milagrosa, Bulalacao, Oriental Mindoro_079</t>
  </si>
  <si>
    <t>PURCHASE OF ADDITIONAL PUBLIC ADDRESS</t>
  </si>
  <si>
    <t>One (1) -unit Garbage Vehicle</t>
  </si>
  <si>
    <t>PURCHASE OF ADDITIONAL CCTV</t>
  </si>
  <si>
    <t>For Supplemental Feeding Program -MNAO R. T. Lim,  Zamboanga Sibugay</t>
  </si>
  <si>
    <t>2020-GOODS-05; SUPPLY/ DELIVERY FOR THE PURCHASE OF DREDGING EQUIPMENT FOR THE USE IN THE FLOOD CONTROL PROGRAM OF DPWH R.O. XIII, BUTUAN CITY</t>
  </si>
  <si>
    <t>Completion of Water Supply System Level III, Brgy. Sto Nino, Quinapondan, Eastern Samar</t>
  </si>
  <si>
    <t>Purchase of Engine with Transmission, 4 cylinder, rotary injection pump, diesel</t>
  </si>
  <si>
    <t>MATERIALS FOR THE CONSTRUCTION OF SCHOOL PATHWAY AT MCLNHS - TICKWAS</t>
  </si>
  <si>
    <t>Construction / Completion / Rehabilitation of Multi-Purpose Building in Brgy. Manubuan, Matalam, North Cotabato</t>
  </si>
  <si>
    <t>20GME0079 - Supply &amp; Delivery of Office Furniture for use in  the Planning and Design Section, Alabel, Sarangani Province</t>
  </si>
  <si>
    <t>Procurement of MOTORCYCLE</t>
  </si>
  <si>
    <t>Labor and Materials for the Repair/Rehabilitation of Health Center at San Nicolas, City of San Fernando, Pampanga</t>
  </si>
  <si>
    <t>20EI0188 - Construction of 2 STY 6 CL, Marcelo I. Cabrera Vocational HS, Roxas, Oriental Mindoro_080</t>
  </si>
  <si>
    <t>5020399000-434-2020</t>
  </si>
  <si>
    <t>Purchase of One (1) unit 4x4 G 2.8L Diesel Manual Transmission Pick-Up</t>
  </si>
  <si>
    <t>CONSTRUCTION OF FARM TO MARKET ROAD, BRGY. SAN AGUSTIN, DULAG LEYTE</t>
  </si>
  <si>
    <t>IMPROVEMENT OF UDDIAWAN-COMMONAL-ABLANG-CABULUAN-NAGBITIN ROAD Located at Solano and Villavede, Nueva Vizcaya</t>
  </si>
  <si>
    <t>Barangay Health Isolation Facility</t>
  </si>
  <si>
    <t>CONSTRUCTION OF ANNEX BUILDING PHASE V-BRGY. POBLACION POLILLO, QUEZON</t>
  </si>
  <si>
    <t>5020399000-433-2020</t>
  </si>
  <si>
    <t>SUPPLY AND DELIVERY OF TRAINING MICROSCOPE</t>
  </si>
  <si>
    <t>Excavation of Earth Canal (570 ln.m.) @ Flood Prone Areas in Metro Barangays in R. T. Lim, Zamboanga Sibugay</t>
  </si>
  <si>
    <t>5020399000-429-2020</t>
  </si>
  <si>
    <t>SUPPLY AND DELIVERY OF TWO (2) UNITS OF DIGITAL LEUKOCYTE DIFFERENTIAL COUNTER</t>
  </si>
  <si>
    <t>our (4) Lots Construction Materials for use in the Construction of Slope Protection (Riprapping with Open Canal) Beside the Covered Court at Brgy. Malaunay, Valencia, Negros Oriental (B-126-2020)</t>
  </si>
  <si>
    <t>SUPPLY AND DELIVERY OF PLASMA STERILIZER</t>
  </si>
  <si>
    <t>Procurement of FUEL</t>
  </si>
  <si>
    <t>20GME0074 –	Lease of One (1) Unit Service Vehicle for Eleven (11)  days for inspection/validation of infrastructure projects within Sarangani Engineering District for the period of October 16-31, 2020</t>
  </si>
  <si>
    <t>Supply/Delivery of Laptop and Printer Units for the Virtual Learning Program of the District II of Palo, Leyte   PR No. 20-07-0421</t>
  </si>
  <si>
    <t>BONDPAPER A4 FOR MODULES PRINTING</t>
  </si>
  <si>
    <t>Supply/Delivery of Appliances for the Virtual Learning Program of the District II of Palo, Leyte  PR No. 20-07-0427</t>
  </si>
  <si>
    <t>20CB-GSC-516	PURCHASE OF SPAREPARTS FOR HEAVY EQUIPMENTS</t>
  </si>
  <si>
    <t>INVITATION TO BID FOR OFFICE SUPPLIES AND MATERIALS (BID NO. 200903-14)</t>
  </si>
  <si>
    <t>Concreting of Barangay Road at Various Locations Bansalan, Davao del Sur</t>
  </si>
  <si>
    <t>SUPPLY AND DELIVERY PASKUHAN GIVEAWAYS 2020 FOR MAKATI RESIDENTS</t>
  </si>
  <si>
    <t>Construction Materials for the Rehabilitation/Repair of BEMONC Building – Phase II, Municipal Site, R. T. Lim, Zamboanga Sibugay</t>
  </si>
  <si>
    <t>Construction of 2STY6CL, Banquerohan Resettlement Elementary School, Legazpi City, Albay</t>
  </si>
  <si>
    <t>PROCUREMENT OF FURNITURE'S AND MEDICAL SUPPLIES-(ITB No. 2020-193)-(BPH-Kalilangan)</t>
  </si>
  <si>
    <t>Concreting of Brgy. Tabon - Tabon FMR, Brgy. Tabon - Tabon, Baco</t>
  </si>
  <si>
    <t>Purchase of Medical Ambulance for Emergency Response</t>
  </si>
  <si>
    <t>CONCRETING OF 330.0 L.M. FARM TO MARKET ROAD AT PUROK 2, Barangay Kaluknayan, Municipality of Lugait, Misamis Oriental.</t>
  </si>
  <si>
    <t>20A00214 (Rebid): Rehabilitation of Calincamasan - Quidem Road (including construction of two bridges), Brgys. Calincamasan and Quidem, San Juan, La Union</t>
  </si>
  <si>
    <t>Construction of Flood Control Structure along Jct. Sayre H'way (Kibawe)-Tumaras Road at Kibawe</t>
  </si>
  <si>
    <t>5020399000-415-2020</t>
  </si>
  <si>
    <t>Supply and Delivery of Various Reagents &amp; Supplies - IPS project</t>
  </si>
  <si>
    <t>CONCRETING OF 167.0 L.M. FARM TO MARKET ROAD AT SITIO TONGAON, Barangay Calangahan, Municipality of Lugait, Misamis Oriental.</t>
  </si>
  <si>
    <t>PROCUREMENT OF SUPPLY AND  DELIVERY FOR THE PRINTING OF MOTORCYCLE ENTRANCE &amp; PARKING TICKETS</t>
  </si>
  <si>
    <t>REHAB. AND IMPROVEMENT OF .300 KM POBLACION - KITAMBAN CORE LOCAL ACCESS ROAD</t>
  </si>
  <si>
    <t>2020-179-I PROCUREMENT AND DELIVERY OF  UPGRADED CATTLE AND CARABAO UNDER NLP CY 2020</t>
  </si>
  <si>
    <t>INVITATION TO BID FOR ROAD CONSTRUCTION MATERIALS (BID NO. 200903-11)</t>
  </si>
  <si>
    <t>4PS : FOR 3rd TO 4rt QUARTER OFFICE EQUIPMENT SUPPIES OF LILOY (POO STAFF AND MOO STAFF) OF CLUSTER 1C &amp; 1D OF LILOY ZDN</t>
  </si>
  <si>
    <t>Supply and delivery of construction materials for Public Toilet</t>
  </si>
  <si>
    <t>Improvement of Water System Project Bgy. Asluman, Carles, Iloilo</t>
  </si>
  <si>
    <t>Proposed Design and Build of PEZA Auditorium, Command Center, and Hall of Flags including Supply and Installation of Equipment, Furniture, and other Furnishings at the New PEZA Head Office in the Doub</t>
  </si>
  <si>
    <t>INF-ITB 20-041 Construction of Lined Canal along Junction National Highway Crossing Palkan Road, Polomolok, South Cotabato</t>
  </si>
  <si>
    <t>Purchase of Drone Unit for DRRM-Search and Rescue Operation</t>
  </si>
  <si>
    <t>Supply and delivery of One unit Truck use for emergency operation &amp; early warning maintenance</t>
  </si>
  <si>
    <t>Upgrading/Enhancement of FM Radio Station/DRR-EWS Information Relay Station for DRRM/CCA Program Promotion and COVID-19 IEC Campaign</t>
  </si>
  <si>
    <t>Construction of Municipal Complex Phase 2(Isolation Facility)</t>
  </si>
  <si>
    <t>Improvement of Dario River, District VI, Quezon City</t>
  </si>
  <si>
    <t>Contract for the Construction of 3-Classroom Building @ Kinamayan IS</t>
  </si>
  <si>
    <t>Lot1-Purchase of Meat Delivery Van for Slaughterhouse Office</t>
  </si>
  <si>
    <t>Construction of Flood Control Structure along Jct. (Kiliog) - Kianus-Nangka Road (Concrete Line Canal and Slope Protection  with Embankment) at Libona</t>
  </si>
  <si>
    <t>FABRICATION OF MATERIAL RECOVERY FACILITY, BRGY. CAGNOCOT, VILLABA, LEYTE  20% AIP 2020</t>
  </si>
  <si>
    <t>Proposed Concreting of Barangay Auditorium/Basketball Court</t>
  </si>
  <si>
    <t>Contract for the Rehabilitation of Comfort Rooms @ Public Market</t>
  </si>
  <si>
    <t>Drainage Improvement along Asuncion St. and Vicinity, District I, Caloocan City</t>
  </si>
  <si>
    <t>REHAB./IMPROVEMENT OF PANGLUGATUB INTAKE, BRGY. A. TUMAMAK, VILLABA, LEYTE - SUPPLEMENTAL BUDGET</t>
  </si>
  <si>
    <t>Rehabilitation of Pateros River, District I, Pateros</t>
  </si>
  <si>
    <t>2020-180-I PROCUREMENT AND DELIVERY OF AGRICULTURAL SUPPLIES: SEEDS, FRESH FRUITS AND PLANTING  MATERIALS FOR RESEARCH DIVISION CY 2020</t>
  </si>
  <si>
    <t>Procurement of Information and Communication Technology Equipment (13 Units Inkjets 3 in 1 Printer)</t>
  </si>
  <si>
    <t>Construction of Elevated Pathwalk (Phase II)</t>
  </si>
  <si>
    <t>Construction of Stage</t>
  </si>
  <si>
    <t>Drainage Improvement along Susano Road, District I, Caloocan City</t>
  </si>
  <si>
    <t>Rehabilitation of Pinagsama Creek, District II, Taguig City</t>
  </si>
  <si>
    <t>Improvement of Center Island at Poblacion, Rosario, Agusan del Sur</t>
  </si>
  <si>
    <t>Supply &amp; Delivery of Vehicle (Brand New Pick-up)</t>
  </si>
  <si>
    <t>HO-IST20-006 (PB3) - Subscription of Data Analytics License and Partner Support for NPC Head Office, Diliman, Quezon City</t>
  </si>
  <si>
    <t>2020-181-I PROCUREMENT AND DELIVERY OF VARIOUS FERTILIZER AND PESTICIDE FOR RESEARCH DIVISION, RICE AND CORN PROGRAM CY 2020</t>
  </si>
  <si>
    <t>se of Medicines &amp; Medical Supplies for Dental Program and services 2020</t>
  </si>
  <si>
    <t>INVITATION TO BID FOR THE PROCUREMENT OF VARIOUS IT EQUIPMENT AND OPERATING SYSTEM</t>
  </si>
  <si>
    <t>Urban Re-Greening and Renewal Program</t>
  </si>
  <si>
    <t>Proposed Improvement of Water System level III at Brgy. Budlingin-Ouano, Alegria,Surigao del Norte</t>
  </si>
  <si>
    <t>Drainage Improvement along Second Street and Vicinity, East Grace Park, District II, Caloocan City</t>
  </si>
  <si>
    <t>Improvement and Deepening of Lagarian Creek, Brgy. Kristong Hari, District IV, Quezon City</t>
  </si>
  <si>
    <t>CONCRETING OF 230 LM DANAC STREET WITH LINE CANAL AT BRGY. ZONE 5, IBA, ZAMBALES</t>
  </si>
  <si>
    <t>Lot1- Purchase of materials for the installation of billboards on environmental laws for massive information dissemination (3rd quarter)</t>
  </si>
  <si>
    <t>S3-SIB20-014, S3-TAN20-004, S3-LGY20-014 - Supply and Delivery of Various Mechanical Spare Parts of Perkins Generator Sets of SPUG WMOD Plants</t>
  </si>
  <si>
    <t>INVITATION TO BID FOR PROCUREMENT OF VARIOUS CHEMICALS AND GLASSWARES FOR PUERTO PRINCESA SATELLITE ENVIRONMENTAL LABORATORY</t>
  </si>
  <si>
    <t>Package 17: Supply and Delivery of Medical Instruments Sets</t>
  </si>
  <si>
    <t>4PS SWADT LILOY : 1 LOT OFFICE SUPPLIES FOR THE 3rd AND 4th QUARTER OFFICE SUPPLIES OF LILOY CLUSTER (POO STTAFF AND MOO STAFF) OF CLUSTER 1C &amp; 1D OF LILOY ZDN FOR CY 2020 4PS-2020-06-0229</t>
  </si>
  <si>
    <t>Construction of Water System (Drilling) @ Brgy. Mali Little Baguio, Imelda, Zamboanga Sibugay (INFR-2020-040)</t>
  </si>
  <si>
    <t>Improvement of Multi-Purpose Building at Brgy. Hall Brgy. 20-B, Poblacion District, Davao City</t>
  </si>
  <si>
    <t>Construction of Water System (Drilling) @ Brgy. Lumbog, Imelda, Zamboanga Sibugay (INFR-2020-038)</t>
  </si>
  <si>
    <t>INSTALLATION OF ST. LIGHTS @ BRGY. CABALANTIAN &amp; BRGY. CONCEPCION, CONSTRUCTION OF CHB LINED CANAL @ BRGY. DOLORES, BRGY. MAGLIMAN, BRGY. POTRERO &amp; BRGY. STA. INES, IMPROVEMENT/REHAB. OF MULTI-PURPOSE</t>
  </si>
  <si>
    <t>PROCUREMENT OF MATERIALS &amp; EQUIPMENTS FOR MDRRMO -MITIGATION PROGRAM</t>
  </si>
  <si>
    <t>PROVISION OF LEARNING RESOURCES for the IMPLEMENTATION of BASIC EDUCATION LEARNING CONTINUITY PLAN (BE-LCP)</t>
  </si>
  <si>
    <t>Maintenance of Provincial Roads and Bridges at San Fernando Area CY 2020, San Fernando</t>
  </si>
  <si>
    <t>Supply of 2 units Motorcycle</t>
  </si>
  <si>
    <t>Security Services (4 person, 12 hours duty/day)</t>
  </si>
  <si>
    <t>Rental of Service Vehicle 4x4 Pick Up Vehicle Fuel and Driver included whole day use for the use for project survey of various CY 2020 BARMM - Regular Infra Projects</t>
  </si>
  <si>
    <t>Construction of Water System (Drilling) @ Brgy. San Jose, Imelda, Zamboanga Sibugay (INFR-2020-039)</t>
  </si>
  <si>
    <t>20-DO-0091: Public Markets/Farmers Markets (Bagsakan Centers) and Public Cemeteries Projects – Rehabilitation of Pililla Municipal Cemetery, Bagumbayan, Pililla, Rizal</t>
  </si>
  <si>
    <t>Package 19: Supply and Delivery of Medical, Laboratory and Other Equipment</t>
  </si>
  <si>
    <t>Procurement of Disaster Response Operations Equipment</t>
  </si>
  <si>
    <t>Construction of Seawall / Sea Protection Dike (100 L.M.)</t>
  </si>
  <si>
    <t>Invitation to Bid FOR PROCUREMENT OF ICT EQUIPMENT (REBIDDING)</t>
  </si>
  <si>
    <t>Purchase of Rice for the Frontliners of Barangay Lumbo</t>
  </si>
  <si>
    <t>20CSFI03- Consulting Services for the Sub-Soil Investigation for the Proposed Construction of New Bridges-Ambolong Bridge and Campintor Bridge along Jct. Milagros-Baleno-Lagta Road under Regular Infra</t>
  </si>
  <si>
    <t>20F00128 - CLUSTER IV: A. Repair/Maintenance of DOTR Building, LTO Regional Office Building, Rawis, Legazpi City; B. Repair/Maintenance of DOTR Building, LTFRB Canteen and Storage Building, Rawis, Leg</t>
  </si>
  <si>
    <t>SUPPLY/DELIVERY OF ONE (1) UNIT UTILITY VEHICLE (SECOND POSTING)</t>
  </si>
  <si>
    <t>Concreting of Barangay Access Road at Martirez Extension, Poblacion, Sta. Catalina</t>
  </si>
  <si>
    <t>SO-SPU20-006 (PB2) - Supply and Delivery of Various Personnel Protective Equipment (PPE) for SPUG Plant Personnel</t>
  </si>
  <si>
    <t>Purchase of Modular Tents</t>
  </si>
  <si>
    <t>Purchase of Air Conditioning Units</t>
  </si>
  <si>
    <t>Purchase of Chainsaw (big)</t>
  </si>
  <si>
    <t>Improvement of Barangay Access Road at Villareal Subdivision, Poblacion</t>
  </si>
  <si>
    <t>Construction of Signages/Names</t>
  </si>
  <si>
    <t>Improvement of Mulit-purpose Hall of Poblacion, Sta. Catalina, Negros Oriental</t>
  </si>
  <si>
    <t>PROJECT: CONSTRUCTION AND INSTALLATION OF ELEVATOR</t>
  </si>
  <si>
    <t>20F00115 - Rehabilitation/Improvement along Daang Maharlika Highway Jct. Legazpi-Sto. Domingo-Camarines Sur Bdry. Road – K0528+760 – K0529+533, K0530+200 – K0532+616, Legazpi City, Albay, Albay 2nd LD</t>
  </si>
  <si>
    <t>Supply of Labor &amp; Materials for Rehabilitation of Cabas-an Multipurpose Hall, Construction of Day Care Center at Barangay Cabas-an Phase 1, Completion of Pag-antayan BHS, and Rehabilitation of Buntali</t>
  </si>
  <si>
    <t>Improvement of Barangay Access Road at BLISS, Poblacion</t>
  </si>
  <si>
    <t>Supply &amp; Delivery of Materials for Concreting of Taboan Ground</t>
  </si>
  <si>
    <t>REPAIR OF MECHANICAL SHOP AT AGUS 6 HEP</t>
  </si>
  <si>
    <t>ADH-20-0948-B PURCHASE OF MEDICAL EQUIPMENT</t>
  </si>
  <si>
    <t>INSTALLATION OF LED STREETLIGHTS AT VARIOUS RESETTLEMENT SITES FOR PEACE AND ORDER MONITORING @ GOLDEN HORIZON,SUNSHINE VILLE AND SOUTHVILLE 2 PHASE 3, TMC</t>
  </si>
  <si>
    <t>REHABILITATION OF CITYHALL BUILDING ( PHASE 11)</t>
  </si>
  <si>
    <t>Public Bidding of 26 Lots for the Supply &amp; Delivery of Medical Supplies and Medical Oxygen for Various Hospitals of the Capiz Provincial Government, under ITB No. 2020-010H</t>
  </si>
  <si>
    <t>S &amp; D of Const. Mat. - Materials for the Improvement of Access Road to Kavaywan Organic Vegetable Production at Itbayat (P. Agri)</t>
  </si>
  <si>
    <t>Prefabricated Construction of PEO Motorpool Repair Bay, Garage, Warehouse &amp; Other Related Structures at Obay, Polanco, Zamboanga del Norte-07-445(O)PEO</t>
  </si>
  <si>
    <t>ITB, 3Q</t>
  </si>
  <si>
    <t>Establishment of Eco-Tourism Building Business Center Phase 1</t>
  </si>
  <si>
    <t>Agricultural Products (Seeds, Seedlings, Plants…) for Distribution under Binhian sa Barangay and Mindoro Dinorado Rice Production Program-Agro Technology Resource and Management Services Division</t>
  </si>
  <si>
    <t>Additional Improvement of Streetlightings within Poblacion, Sta. Catalina</t>
  </si>
  <si>
    <t>CONCRETING OF BARANGAY ROAD AT BRGY. TALIWA, MALITBOG SOUTHERN LEYTE</t>
  </si>
  <si>
    <t>Purchase of various office supplies of different offices of the LGU- San Enrique, Iloilo</t>
  </si>
  <si>
    <t>Vehicle for use of Bulalacao Community Hospital (BCH)</t>
  </si>
  <si>
    <t>Chemicals and Chemical Products for use of the OMPH patients/2nd quarter 2020</t>
  </si>
  <si>
    <t>purchase of vitamin c,e , for covid related activity</t>
  </si>
  <si>
    <t>Repair and Rehabilitation of Hanging Bridge at Dedekkel, Brgy. Digumased, Dinapigue, Isabela</t>
  </si>
  <si>
    <t>Purchase of Material Recovery Facility - Machineries of LGU, Famy Laguna</t>
  </si>
  <si>
    <t>Procurement of Various Construction Supplies and Materials -08-483(O)PEO</t>
  </si>
  <si>
    <t>catering foods for the lsi and frontliners</t>
  </si>
  <si>
    <t>PROCUREMENT OF ONE (1) UNIT BRAND NEW PICK-UP 4 x 4 MANUAL (MEO)</t>
  </si>
  <si>
    <t>EMERGENCY PURCHASE OF SLEEPING SET</t>
  </si>
  <si>
    <t>Road Concreting of Commercial Center (195.90 L.M.)</t>
  </si>
  <si>
    <t>20GSK00018 – Vehicle rental for use in the Planning &amp; Design Division</t>
  </si>
  <si>
    <t>Public Bidding of 65 Lots for the Supply &amp; Delivery of Medicines, Medical Fluids &amp; Pharmacy Supplies for Various Hospitals of the Capiz Provincial Government, under ITB No. 2020-009H</t>
  </si>
  <si>
    <t>CONTRACT ID: 20-08 - 108 Contract Name: PROCUREMENT OF VARIOUS MEDICAL KITS</t>
  </si>
  <si>
    <t>Supply and Delivery of Bond Paper</t>
  </si>
  <si>
    <t>purchase of office equipment</t>
  </si>
  <si>
    <t>EMERGENCY PURCHASE catering foods for the lsi and frontliners</t>
  </si>
  <si>
    <t>Construction of Stock Room at Impounding Compound , Brgy Acacia,Catarman, N. Samar</t>
  </si>
  <si>
    <t>Construction of Washing Facility</t>
  </si>
  <si>
    <t>Street Concreting at UEP Zone I, Catarman, N. Samar</t>
  </si>
  <si>
    <t>Quotation No.20-08-424 - Procurement of Drugs and Medicines</t>
  </si>
  <si>
    <t>SUPPLY, INSTALLATION, TESTING AND COMMISSIONING OF SECURITY SURVEILLANCE SYSTEM FOR THE NATIONAL LIBRARY OF THE PHILIPPINES</t>
  </si>
  <si>
    <t>Supply and Delivery of Bronchoscope Machine (Adult and Pedia)</t>
  </si>
  <si>
    <t>Supply and Delivery of Stickers with Plrint</t>
  </si>
  <si>
    <t>Supply and Delivery of 1-unit Electroconvulsive Therapy Machine</t>
  </si>
  <si>
    <t>SUPPLY AND DELIVERY OF OFFICE SUPPLIES 1ST AND 2ND QUARTER, 2020</t>
  </si>
  <si>
    <t>SUPPLY, DELIVERY AND COMMISSIONING OF COMPUTER LAPTOPS</t>
  </si>
  <si>
    <t>Procurement of Generator Set</t>
  </si>
  <si>
    <t>20GSK00017 – Supply &amp; delivery of Office Consumables for the use in the Planning and Design Division, 2nd Quarter of 2020</t>
  </si>
  <si>
    <t>Supply and Delivery of 1-unit Colposcope</t>
  </si>
  <si>
    <t>Supply and Delivery of 2-units ENT Treatment Unit</t>
  </si>
  <si>
    <t>Supply and Delivery of OR Rhinology Set</t>
  </si>
  <si>
    <t>Supply and Delivery of 1-unit MRI Compatible Anesthesia Machine</t>
  </si>
  <si>
    <t>Supply and Delivery of Plant Growth Regulator</t>
  </si>
  <si>
    <t>Supply of Labor and Materials for the Printing of Various DA-SAAD Printed Materials</t>
  </si>
  <si>
    <t>Supply and Delivery of Muscovy Duck</t>
  </si>
  <si>
    <t>Supply and Delivery of OR Laryngoscopy Set</t>
  </si>
  <si>
    <t>Garbage Hauling and Disposal Services (General Waste)</t>
  </si>
  <si>
    <t>Supply and Delivery of Native Goat</t>
  </si>
  <si>
    <t>Supply and Delivery of 1-unit Ultrasound Machine – OB</t>
  </si>
  <si>
    <t>Rehabilitation of Municipal Pathways</t>
  </si>
  <si>
    <t>purchase of PPE for covid related activity (2)</t>
  </si>
  <si>
    <t>purchase of PPE for covid related activity</t>
  </si>
  <si>
    <t>Supply and Delivery of Desktop Computer and Laptop</t>
  </si>
  <si>
    <t>Supply of Labor &amp; Materials for Rehabilitation and Concreting of Municipal and Barangay Roads</t>
  </si>
  <si>
    <t>Construction of Slope Protection at Sitio Kulatog, Poblacion, Sta. Catalina, Negros Oriental</t>
  </si>
  <si>
    <t>Package 18: Supply and Delivery of Dental Units &amp; Accessories</t>
  </si>
  <si>
    <t>Purchase of Diesel fuel for Heavy equipment &amp; Service Vehicles</t>
  </si>
  <si>
    <t>20-DO-0090: Public Markets/Farmers Markets (Bagsakan Centers) and Public Cemeteries Projects – Rehabilitation of Tanay Municipal Cemetery, Plaza Aldea and Tandang Kutyo, Tanay, Rizal</t>
  </si>
  <si>
    <t>Supply and Delivery of Free Range Chicken</t>
  </si>
  <si>
    <t>20-DO-0089: Repair/Maintenance of DOJ Building, Registry of Deeds Office Building, Brgy. San Pedro, Morong, Rizal</t>
  </si>
  <si>
    <t>Additional Relief Pumping Station, Brgy. Salapan, San Juan City</t>
  </si>
  <si>
    <t>purchase ofhygiene kit and eating utensils for covid related activity</t>
  </si>
  <si>
    <t>S1-PWN20-015 - Supply, Delivery, Installation, Testing and Commissioning of 15kV Automatic Circuit Reclosers for Various SPUG-Palawan Diesel Power Plants</t>
  </si>
  <si>
    <t>20GEE0052-Supply and Delivery of Gasoline &amp; 2T Oil for use of Grass Cutter in Maintenance of National Roads, Roxas, Palawan</t>
  </si>
  <si>
    <t>Rehabilitation of Maytunas Creek, Mandaluyong City</t>
  </si>
  <si>
    <t>INVITATION TO BID FOR PROCUREMENT OF OFFICE SUPPLIES AND CONSUMABLES (REBIDDING)</t>
  </si>
  <si>
    <t>Procurement of Thermal Gun</t>
  </si>
  <si>
    <t>CONSTRUCTION OF MRF EXTENSION PHASE II, BRGY. A. TUMAMAK, VILLABA, LEYTE - SUPPLEMENTAL NO. 2</t>
  </si>
  <si>
    <t>CONSTRUCTION OF LINED CANAL AT GAMBOA ST. PUROK 4, BRGY ZONE 1, IBA, ZAMBALES</t>
  </si>
  <si>
    <t>Rehabilitation / Improvement and Maintenance of Drainage System along Remedios St. and Vicinity, Malate, District V, Manila</t>
  </si>
  <si>
    <t>Procurement of Office Equipment (2 Units Digital Duplicator Machine with FREE Heavy Duty Multi-Function Copier Machine - Laser Printer)</t>
  </si>
  <si>
    <t>REPAIR OF MUNICIPAL BODEGA PHASE 1 FOR WATERWORKS, LGU COMPOUND, VILLABA, LEYTE - SUPPLEMENTAL BUDGET</t>
  </si>
  <si>
    <t>20GSK00009 - Re-ITB – Supply and delivery of Office Supplies &amp; Consumables for use in the Office of the Regional Director, 1st quarter of 2020</t>
  </si>
  <si>
    <t>HOUSE CONSTRUCTION FOR BOLOHATON SETTLERS VILLAGE (RESETTLEMENT AREA) – Procurement of Materials</t>
  </si>
  <si>
    <t>WIDENING OF BARANGAY ROAD @ SITIO GUINHAWA BRGY. ESTRELLA, MABINI, BATANGAS</t>
  </si>
  <si>
    <t>Improvement of Marulas Creek, District II, Valenzuela City</t>
  </si>
  <si>
    <t>Rehab. of Fence of Multi-Purpose Building, Sitio Bacuranan, Brgy. Nagba, Maasin, Iloilo</t>
  </si>
  <si>
    <t>INFRA 2K20-55 CONSTRUCTION/REPAIR/EXPANSION OF BRGY. HEALTH STATION BUILDING PROJECTS (CLUSTER III)</t>
  </si>
  <si>
    <t>CONSTRUCTION OF MULTI-PURPOSE BUILDING (PHASE II) AT BRGY. PLAZA, BRGY. IPIL, DIPACULAO, AURORA</t>
  </si>
  <si>
    <t>CONSTRUCTION OF OPEN MULTI-PURPOSE BUILDING (PHASE 2),BRGY. DIANED, DIPACULAO, AURORA</t>
  </si>
  <si>
    <t>Supply and Delivery of 1-unit Ophthalmic Operating Microscope 90 w/xy</t>
  </si>
  <si>
    <t>Supply and Delivery of 1-unit Standard Percutaneous Nephrolithotomy</t>
  </si>
  <si>
    <t>Supply and Delivery of 1- unit Mobile C-arm System</t>
  </si>
  <si>
    <t>Purchase of Rice for the less fortunate families of Barangay Lumbo</t>
  </si>
  <si>
    <t>ITB No. 2020-02(2) Procurement of Hospital Equipment II (DOH  Delivery)</t>
  </si>
  <si>
    <t>Rehabilitation of Multi-Purpose Hall, Nagba, Maasin, Iloilo</t>
  </si>
  <si>
    <t>Supply and Delivery of 1-unit Digital Fluoroscopy Machine</t>
  </si>
  <si>
    <t>ITB No. 2020-02(1) Procurement of  Hospital Equipment I (DOH Delivery)</t>
  </si>
  <si>
    <t>ITB No. 2020-01(2) Procurement of Hospital Equipment II (On-site Delivery)</t>
  </si>
  <si>
    <t>Construction Of Senior Citizen Hall (Phase II),  Brgy. Dikildit, Maria Aurora, Aurora</t>
  </si>
  <si>
    <t>Supply and Delivery of 1-unit Ultrasound Machine – Radiology</t>
  </si>
  <si>
    <t>ITB No. 2020-02(4) Procurement of Hospital Equipment IV (DOH Delivery)</t>
  </si>
  <si>
    <t>ITB No. 2020-01(1) Procurement of  Hospital Equipment I (On-site Delivery)</t>
  </si>
  <si>
    <t>ITB No. 2020-01(3) Procurement of Hospital Equipment III (On-site Delivery)</t>
  </si>
  <si>
    <t>ITB No. 2020-02(3) Procurement of Hospital Equipment III (DOH Delivery)</t>
  </si>
  <si>
    <t>Expansion, Repair &amp; Maintenance of Production Center, LGU Compound, Tolosa,Leyte</t>
  </si>
  <si>
    <t>Supply &amp; Delivery of One Unit Vehicle</t>
  </si>
  <si>
    <t>AVRC-2020-04-0150 : ENHANCE INDOOR IEC MATERIALS FOR PWDs FOR SUSTAINED LEVEL 3 ACCREDITATION.</t>
  </si>
  <si>
    <t>INFRA 2020-08-003</t>
  </si>
  <si>
    <t>Supply and Delivery of Construction Materials for Const. /Improvement of Day Care Center Bldg. cum Evacuation Center</t>
  </si>
  <si>
    <t>(VJLN - MSAO) CONDUCT OF ANNUAL MEDICAL &amp; PHYSICAL EXAMINATION WITH DRUG TESTING</t>
  </si>
  <si>
    <t>ITB No. 2020-01(4) Procurement of Hospital Equipment IV (On-site Delivery)</t>
  </si>
  <si>
    <t>Supply and Delivery of 1-unit Steam Sterilizer</t>
  </si>
  <si>
    <t>Const.Repair,DecloggingDrainageCanalBrgy.SnRoque,Tolosa, Leyte</t>
  </si>
  <si>
    <t>Repair and Rehabilitation of Two (2) Classrooms and Construction of Retaining Wall under BEFF 2019 Savings - Lot 31</t>
  </si>
  <si>
    <t>Procurement of Supplies and Materials for the Improvement of Multi-Purpose Center</t>
  </si>
  <si>
    <t>1 unit brand new 4x2, 2.4L diesel SUV</t>
  </si>
  <si>
    <t>Supply and Delivery of PC Tablet for SDO Benguet Personnel to be used for Webinars and Teleconference</t>
  </si>
  <si>
    <t>Procurement of Semi-Expandable Equipment and Materials for Repair and Renovation of Water System Facilities</t>
  </si>
  <si>
    <t>PROCUREMENT OF VARIOUS LEARNING MATERIALS FOR LEARNERS</t>
  </si>
  <si>
    <t>20GKJ0006: Supply and Delivery of Office Equipment Supplies and Consumables (Consolidated Purchase Request 3rd Quarter), DPWH 2nd DEO, Sta. Maria, Tangub City</t>
  </si>
  <si>
    <t>Repair and Rehabilitation of Schools under Aboitiz Power Donation 2020 - Lot 17</t>
  </si>
  <si>
    <t>Furnishing labor, materials and rental of equipment for the Rehab./Improvement of Brgy. Water System at Brgy. Banot, Gasan, Marinduque</t>
  </si>
  <si>
    <t>Procurement of Office Supplies, Other Supplies and Materials, Office Equipment and IT Equipment</t>
  </si>
  <si>
    <t>Purchase of Ambulance @ Santiago, Ilocos Sur</t>
  </si>
  <si>
    <t>CONSTRUCTION OF MULTI-PURPOSE BUILDING, BRGY. DIKILDIT, MARIA AURORA, AURORA</t>
  </si>
  <si>
    <t>CONSTRUCTION OF MUSHROOM HOUSE @ POB. LA LIBERTAD, ZN.</t>
  </si>
  <si>
    <t>Furnishing labor, materials and equipment for the Improvement of Ogbac Multi-Purpose Building/ Evacuation Center (Phase I) at Boac, Marinduque</t>
  </si>
  <si>
    <t>Purchase Construction Materials for the Road Concreting @ Morrow St, Brgy. Reyes, LGU-Banga, South Cotabato</t>
  </si>
  <si>
    <t>Subdivision &amp; Road Development for Tandag Housing &amp; Resettlement (Main Subdivision Road)Mabua-Telaje, Tandag City</t>
  </si>
  <si>
    <t>Purchase of Rescue Vehicles @ Santiago, Ilocos Sur</t>
  </si>
  <si>
    <t>GOODS 2020-08-0007  ICFP BENEFICIARIES (BACKYARD POULTRY PRODUCTION)</t>
  </si>
  <si>
    <t>Repair and Rehabilitation of Twelve (12) Classrooms under BEFF 2019 - Lot 1</t>
  </si>
  <si>
    <t>Supply and Delivery of Office Equipment for MDRRM Office</t>
  </si>
  <si>
    <t>20GKK0033 – Supply and Delivery of Office Equipment to be used by RROW Personnel</t>
  </si>
  <si>
    <t>SUPPLY AND DELIVERY OF THREE (3) UNITS DIGITAL DUPLICATORS MACHINE</t>
  </si>
  <si>
    <t>CONSTRUCTION OF MULTI-PURPOSE BUILDING AND EVACUATION CENTER</t>
  </si>
  <si>
    <t>Installation of Hardware/Software Computer Components for Magsaysay College</t>
  </si>
  <si>
    <t>Furnishing labor, materials and equipment for the Concreting of Balogo-Buliasnin Road at Boac, Marinduque</t>
  </si>
  <si>
    <t>PROCUREMENT OF ONE (1) UNIT BRAND NEW PICK-UP 4 x 4 AT (SB)</t>
  </si>
  <si>
    <t>Procurement of Passenger Van</t>
  </si>
  <si>
    <t>Construction of One (1) Unit Classroom Building at Manuel Marcos Sr. Memorial Elementary School, Barangay Bayani and One (1) Unit Classroom Building at Tigbao Elementary School, Barangay Montelago, Na</t>
  </si>
  <si>
    <t>REBLOCKING OF ROAD (PHASE II) WITH BOX CULVERT, BRGY. OBLIGACION, BALER, AURORA</t>
  </si>
  <si>
    <t>20DN0181 - CONCRETING OF SITIO SAN YSIRO – SITIO LIBIS, BRGY. SAN JOSE FMR, BRGY. SAN JOSE, ANTIPOLO CITY, RIZAL</t>
  </si>
  <si>
    <t>SUPPLY AND DELIVERY OF VARIOUS CONSTRUCTION MATERIALS FOR REPAIR AND REHAB OF BARANGAY HALL, STO. NIÑO, MAGALLANES, AGUSAN DEL NORTE (RE-BID)</t>
  </si>
  <si>
    <t>Furnishing labor, materials and equipment for the Concreting of Kasily Road, Sta. Cruz, Marinduque</t>
  </si>
  <si>
    <t>1.10,000 rms-A4 Book/Bond Paper 80gsm,100 bx-PVC Cover 100's box,etc...</t>
  </si>
  <si>
    <t>FOD-L-20-2347 (Two-Failed Bidding): Procurement of Assorted Feeds</t>
  </si>
  <si>
    <t>Purchase Construction Materials for the Road Concreting @ Naraval St, Brgy. Benitez, LGU-Banga, South Cotabato</t>
  </si>
  <si>
    <t>CONSTRUCTION OF SCHOOL STAGE, FLORIDA ELEMENTARY SCHOOL, MARIA, AURORA</t>
  </si>
  <si>
    <t>Supply and Delivery of 1 unit Mcbook Pro 13 inches</t>
  </si>
  <si>
    <t>Procurement of Gloves and Face masks for DOLE-TUPAD beneficiaries</t>
  </si>
  <si>
    <t>Purchase of Various Supplies</t>
  </si>
  <si>
    <t>Purchase Construction Materials for the Road Concreting @ Aguirre st, brgy. Rizal Pob., LGU-Banga, South Cotabato</t>
  </si>
  <si>
    <t>Furnishing labor, materials and equipment for the Concreting/Rehabilitation/Improvement/Upgrading of Balanacan-Argao Provincial Road, Mogpog, Marinduque</t>
  </si>
  <si>
    <t>CONSTRUCTION OF MULTI-PURPOSE HALL BRGY. DIBALO, SAN LUIS, AURORA</t>
  </si>
  <si>
    <t>Purchase of Coaster @ Santiago, Ilocos Sur</t>
  </si>
  <si>
    <t>Procurement for the Conservation and Restoration of Gabaldon Buildings</t>
  </si>
  <si>
    <t>Purchase and Installation of streetlighting system(solar lights)</t>
  </si>
  <si>
    <t>HAND DRYER AND AIR PURIFIER</t>
  </si>
  <si>
    <t>Supply and Delivery of Brand New 6-Wheeler Dump Truck for Solid Waste Management</t>
  </si>
  <si>
    <t>Purchase Construction Materials for the Road Concreting @ Junction Provincial Road-Cinco Access Road, LGU-Banga, South Cotabato</t>
  </si>
  <si>
    <t>CONSTRUCTION OF SERVICE TABLE AND WASTE RACK @BRGY. STA. CATALINA, LA LIBERTAD,ZN.</t>
  </si>
  <si>
    <t>CONSTRUCTION OF EVACUATION CENTER @ NEW BATAAN, LA LIBERTAD, ZN.</t>
  </si>
  <si>
    <t>Supply and Delivery for Rabies Control Program (Vaccine for Victims of Dog bite).</t>
  </si>
  <si>
    <t>Construction of Water Supply System Level II</t>
  </si>
  <si>
    <t>Furnishing labor, materials and equipment for the Repair/Improvement of Expo, San Miguel, Boac, Marinduque</t>
  </si>
  <si>
    <t>Riprapping of Bridge Approach - Gumabao Flood Control System</t>
  </si>
  <si>
    <t>Purchase of Rescue Supplies for Water Search and Rescue and Collapse Structure for the use of Provincial Disaster Risk Reduction and Management Office</t>
  </si>
  <si>
    <t>REPAIR OF LAOAG POLICE STATION</t>
  </si>
  <si>
    <t>20GKK0034 – Supply and Delivery of Photocopier/Printer to be used by the PDS and RROW Personnel</t>
  </si>
  <si>
    <t>20DN0182 - CONCRETING OF SITIO SAN JOSEPH, BRGY. SAN JOSE FMR, BRGY. SAN JOSE, ANTIPOLO CITY, RIZAL</t>
  </si>
  <si>
    <t>FTMR WITH BOX CULVERT, So. Kengkeng,, Diarabasin, Dipaculo, Aurora</t>
  </si>
  <si>
    <t>CONCRETING OF 1 LANE BARANGAY ROAD-BARANGAY NAPUROG</t>
  </si>
  <si>
    <t>Supply and Delivery of Drugs and Medicines for Medical and Dental Outreach.</t>
  </si>
  <si>
    <t>Extension of the Provincial Treasury Office, Brgy. Suklayin, Baler, Aurora</t>
  </si>
  <si>
    <t>Local Bridge Construction/Rehabilitation at Barangay Apas (Phase II)</t>
  </si>
  <si>
    <t>Procurement of Laboratory Equipment / Reagent Tie-up 2020</t>
  </si>
  <si>
    <t>20DN0183 - CONCRETING OF SITIO TANZA I, BRGY. SAN JOSE FMR PHASE 3, BRGY. SAN JOSE, ANTIPOLO CITY, RIZAL</t>
  </si>
  <si>
    <t>20DN0184 - CONSTRUCTION OF 2 STOREY 4 CL, SAN ISIDRO ES, ANTIPOLO CITY</t>
  </si>
  <si>
    <t>PROCUREMENT OF HYGIENIC SUPPLIES</t>
  </si>
  <si>
    <t>500 HEADS BROILER CHICKEN</t>
  </si>
  <si>
    <t>Concreting of Farm to Market Road - Nagas</t>
  </si>
  <si>
    <t>20DN0185 - CONSTRUCTION OF 4 STOREY 20 CL, TAYTAY ES, TAYTAY, RIZAL</t>
  </si>
  <si>
    <t>Purchase Construction Materials for the Road Concreting @ Gomez st, brgy. Improgo, LGU-Banga, South Cotabato</t>
  </si>
  <si>
    <t>Supply and delivery of face shields</t>
  </si>
  <si>
    <t>Construction of Livelihood Development Center P-II (PEO)</t>
  </si>
  <si>
    <t>Purchase of rescue equipment for the Provincial Disaster Risk Reduction and Management Office</t>
  </si>
  <si>
    <t>Construction Of Multi-Purpose Building, Brgy. Decoliat, Maria Aurora, Aurora</t>
  </si>
  <si>
    <t>Purchase Construction Materials for the Road Concreting in front of brgy hall, barangay san vicente, LGU-Banga, South Cotabato</t>
  </si>
  <si>
    <t>20GKK0037 – Supply and Delivery of Office Supplies to be used at DPWH-MOFDEO (All Section)</t>
  </si>
  <si>
    <t>Concreting of Farm to Market Road - Banao-San Jose</t>
  </si>
  <si>
    <t>Supply and delivery of construction materials for the constrauction of drainage canal Phase-2 at Barangay F. Cajelo, Pres. Roxas, Cotabato.</t>
  </si>
  <si>
    <t>Concreting of Farm to Market Road - Badian</t>
  </si>
  <si>
    <t>20HN0117 -Repair/Reblocking and Maintenance along Intermittent  Sections of Pajo-Basak-Marigondon Road (S00014LP) KM.  11+500 – KM. 12+067, Lapu-Lapu City</t>
  </si>
  <si>
    <t>PURPOSE: FOR THE USE OF HOME FOR WOMEN -FURNITURE AND FIXTURES.</t>
  </si>
  <si>
    <t>20HN0118 -Repainting of Mandaue Flyover (B00590CB) Mandaue City</t>
  </si>
  <si>
    <t>INSTALLATION OF UNIFI WI-FI FOR TEACHING AND LEARNING METHOD IN PUBLIC SCHOOLS OF MARIVELES, BATAAN</t>
  </si>
  <si>
    <t>Purchase &amp; Delivery of five (5) units Brand New Patrol/Rescue Vehicle</t>
  </si>
  <si>
    <t>Construction of 2 Storey Multi-Purpose Building with Early Childhood Care and Development Care @ Barangay Muñoz East, Roxas, Isabela</t>
  </si>
  <si>
    <t>20DN0186 - CONSTRUCTION OF 4 STOREY 8 CL, ANGONO NHS, ANGONO, RIZAL</t>
  </si>
  <si>
    <t>Supply of Materials, Labor and Equipment for the Installation of Street Lighting System (Solar) at Market Site, Barangay Poblacion, Lobo, Batangas</t>
  </si>
  <si>
    <t>RFQ 2020-07-0306-ARCGIS</t>
  </si>
  <si>
    <t>20GKK0038 – Supply and Delivery of Consumable Supplies for Develop Ineo+ 3850 Printer to be used at Administrative Section, Cash Unit, Supply, ICT, COA and Finance Section</t>
  </si>
  <si>
    <t>Purchase of Portalet (Portable Toilet)</t>
  </si>
  <si>
    <t>Concreting of Farm to Market Road - Banao</t>
  </si>
  <si>
    <t>Procurement of Long Lasting Insecticide Treated Nets</t>
  </si>
  <si>
    <t>COMPLETION OF BUAYA BARANGAY HEALTH CLINIC, MAPITPITA, BUAYA, BALBALAN, KALINGA PROVINCE</t>
  </si>
  <si>
    <t>Printing and Delivery of Modules to SDO Parañaque Schools</t>
  </si>
  <si>
    <t>20B00024 (re-ad): Organizational Outcome 1: Ensure Safe and Reliable National Road System: Bridge Program: Widening of Permanent Bridges: Naguilian Bridge along Daang Maharlika (LZ)(Parallel Bridge)</t>
  </si>
  <si>
    <t>Concreting of Farm to Market Road - San Jose</t>
  </si>
  <si>
    <t>20DN0187 - CONSTRUCTION OF 4 STOREY 8 CL, DON JOSE M. YNARES SR. MEMORIAL NATIONAL HIGH SCHOOL, BINANGONAN, RIZAL</t>
  </si>
  <si>
    <t>CONSTRUCTION OF BALBALAN BRGY. HALL PROTECTION WALL, BALBALAN PROPER, BALBALAN, KALINGA PROVINCE</t>
  </si>
  <si>
    <t>CONTRACT ID: 20-03-070 REBID - PROCUREMENT OF LABORATORY REAGENTS AND SUPPLIES</t>
  </si>
  <si>
    <t>Supply and Delivery of Materials for the Repair of Multi-Purpose Building at Barangay Norte, Patnanungan, Quezon.</t>
  </si>
  <si>
    <t>Supply &amp; Delivery of various Construction Materials</t>
  </si>
  <si>
    <t>Upgrading of Montan Road at PD Galima-Uddiawan and Upgrading of Silap Road at Sitio Silap, Brgy. Roxas, SNV.</t>
  </si>
  <si>
    <t>Furniture and Fixtures</t>
  </si>
  <si>
    <t>20GKK0041 – Supply and Delivery of IT Equipment to be used for Technical and Administrative Application</t>
  </si>
  <si>
    <t>Veterinary Medical Supplies</t>
  </si>
  <si>
    <t>Supply of Materials, Labor and Equipment for the Construction of Additional Structure for Lobo Public Market at Barangay Poblacion, Lobo, Batangas</t>
  </si>
  <si>
    <t>20GKK0040 – Supply and Delivery of Consumables for Fuji Xerox DCS C2020 and Docucentre S2520 to be used at Records Unit, BAC-TWG, Monitoring Unit, QAS, Maintenance, PDS and Construction Section</t>
  </si>
  <si>
    <t>Spareparts</t>
  </si>
  <si>
    <t>SUPPLY AND DELIVERY OF CONSTRUCTION MATERIALS AND SUPPLIES (GOODS-2020-015) - REBID</t>
  </si>
  <si>
    <t>Supply &amp; Delivery of One (1) Unit Digital Color Copier Memory w/ Smart Panel Operating Panel</t>
  </si>
  <si>
    <t>PROCUREMENT OF CATTLE (BRAHMAN GRADES)</t>
  </si>
  <si>
    <t>Other Supplies and Materials Expense</t>
  </si>
  <si>
    <t>Supply and Delivery of One (1) Unit Multi Cab (Rebuilt/Reconditioned), Ugac Sur, Tuguegarao City</t>
  </si>
  <si>
    <t>RFQ for the Supply and Delivery of Continuous Forms</t>
  </si>
  <si>
    <t>SUPPLY AND INSTALLATION OF A PAPERLESS BOARD MEETING SOLUTION FOR ONE (1) YEAR SUBSCRIPTION</t>
  </si>
  <si>
    <t>CONCRETING OF LOCAL ACCESS ROAD AT BAYWALK WITH DRAINAGE CANAL, BRGY. F. DE JESUS, UNISAN, QUEZON</t>
  </si>
  <si>
    <t>CONSTRUCTION OF CANAO DAY CARE CENTER BUILDING, MABACA, BALBALAN, KALINGA PROVINCE</t>
  </si>
  <si>
    <t>Materials for the Concreting of Farm to Market Road, Brgy. Tiring, Cabatuan, Iloilo</t>
  </si>
  <si>
    <t>Completion of Multi - Purpose Hall, Namabbalan Norte, Tuguegarao City, Cagayan</t>
  </si>
  <si>
    <t>DELIVERY OF LABOR AND MATERIALS FOR THE CONSTRUCTION/REHABILATION OF DRAINAGE SYSTEM AT BRGY. TAGUMPAY BAY, LAGUNA FOR THEIR IMPLEMENTATION OF 20% ECONOMIC DEVELOPMENT FUND (C.Y. 2020)</t>
  </si>
  <si>
    <t>CONSTRUCTION MATERIALS FOR HANDWASHING FACILITIES</t>
  </si>
  <si>
    <t>Materials for the Improvement of Jelicuon BHS, Brgy. Jelicuon Montinola, Cabatuan, Iloilo</t>
  </si>
  <si>
    <t>Materials for the Concreting of Farm to Market Road, Brgy. Tupol Central, Cabatuan, Iloilo</t>
  </si>
  <si>
    <t>PR# 20-1455- To supply labor, materials and necessary equipment for the Construction of Perimeter Fence with Service Gate at Provincial MRF Extension, Mitla, Porac, Pampanga</t>
  </si>
  <si>
    <t>(NVPH) INVITATION TO BID FOR THE SUPPLY AND DELIVERY OF MEDICAL SUPPLIES</t>
  </si>
  <si>
    <t>PROPOSED SITE DEVELOPMENT OF 1) PS # 441 SICO 10 (CATALINA VILLAGE 2), CATALINA VILLAGE, BRGY. SICO, LIPA CITY; 2) PS # 482 BUGTONG 5 (SUNNY VALE), SUNNYVALE SUBDIVISION, BRGY. BUGTONG NA PULO, LIPA C</t>
  </si>
  <si>
    <t>Supply and Delivery of Medical Equipments for Municipal Health Office</t>
  </si>
  <si>
    <t>One (1) lot Supply, Delivery, Installation, Configuration Programming, Make-Operational, Testing and Commissioning of a New Projection Mapping System at the Façade of the EDPC Building, BSP Head Offic</t>
  </si>
  <si>
    <t>Supply and Delivery of Equipments for the Municipal Disaster and Risk Reduction Management Council (MDRRMC)</t>
  </si>
  <si>
    <t>INVITATION TO BID FOR SUPPLY AND DELIVERY OF GOODS (EASTERN SAMAR LIVELIHOOD SEEDING PROGRAM)</t>
  </si>
  <si>
    <t>To supply, handling, transport and delivery of 4,620 CCBOF</t>
  </si>
  <si>
    <t>Construction of Multi Purpose Building/Warehouse Phase II, Municipal Compound, SNV</t>
  </si>
  <si>
    <t>PEO-2020-0200 PR2020-0582 INVITATION TO BID FOR THE PROCUREMENT OF DIESEL FUEL</t>
  </si>
  <si>
    <t>PROCUREMENT OF MATERIALS FOR BANGUS IN CAGE PRODUCTION</t>
  </si>
  <si>
    <t>PR# 20-1547- To supply labor, materials and necessary equipment for the Improvement/Concreting of Barangay Road at Sta. Ursulla, Betis, Guagua, Pampanga</t>
  </si>
  <si>
    <t>Procurement of Supplies and Materials for the Improvement of Water System</t>
  </si>
  <si>
    <t>SUPPLY OF LABOR, MATERIALS &amp; EQUIPMENT FOR THE PROPOSED BARANGAY ROAD CONCRETING OF SUYCO ST., LAMACAN, ARGAO, CEBU</t>
  </si>
  <si>
    <t>PR# 20-1543- To supply labor, materials and necessary equipment for the Improvement of Multi-Purpose Covered Area and Stage at Gutad, Floridablanca, Pampanga</t>
  </si>
  <si>
    <t>Improvement of Tapon Norte - Basiao Road</t>
  </si>
  <si>
    <t>Supply of High Speed/High Volume Copier, Network Printer and Scanner (3in1) for Various Schools at Lobo, Batangas</t>
  </si>
  <si>
    <t>Procurement of Various Fruit &amp; Forest Tree Seedlings for replanting of QIADP beneficiaries</t>
  </si>
  <si>
    <t>PR# 20-1545- To supply labor, materials and necessary equipment for the Construction of Two (2) Storey Multi-Purpose Building at Dolores Piring, Mexico, Pampanga</t>
  </si>
  <si>
    <t>SUPPLIES FOR OFFICE USE</t>
  </si>
  <si>
    <t>PR# 20-1535- To supply labor, materials and necessary equipment for the Construction of Two (2) Storey Multi-Purpose Building at Sto. Cristo, Lubao, Pampanga</t>
  </si>
  <si>
    <t>PR# 20-1538- To supply labor, materials and necessary equipment for the Improvement of Barangay Road at Sitio Tramo, Parulog, Bacolor, Pampanga.</t>
  </si>
  <si>
    <t>CONCRETING OF CORE LOCAL ROAD FROM BRGY. UPPER BAYAO-LUY-A</t>
  </si>
  <si>
    <t>CATERING SERVICES FOR TEACHERS DAY</t>
  </si>
  <si>
    <t>PGBH-2020-0199 PR2020-0581 INVITATION TO BID FOR THE BULK PROCUREMENT OF FUEL (DIESEL AND GASOLINE) FOR USE BY VARIOUS OFFICE OF PGBH OFFICES - 2ND SEMESTER OF YEAR 2020</t>
  </si>
  <si>
    <t>PR# 20-1811- To supply labor, materials and necessary equipment for the Concreting of Barangay Road at Sta. Filomena, Guagua, Pampanga.</t>
  </si>
  <si>
    <t>CONSTRUCTION OF BONLAO MULTI-PURPOSE HALL</t>
  </si>
  <si>
    <t>Supply and Delivery of Modules for Day Care Pupils</t>
  </si>
  <si>
    <t>Additional Works for Sogod Level II Water System (Ampongol Source)</t>
  </si>
  <si>
    <t>PR# 20-1539- To supply labor, materials and necessary equipment for the Concreting of Multi-Purpose Area at Barangay Batasan, Macabebe, Pampanga</t>
  </si>
  <si>
    <t>INVITATION TO BID FOR SECURITY SERVICES (CONTRACT A &amp; B) PR Nos. 27921-001, 27919-001</t>
  </si>
  <si>
    <t>PR# 20-1451- To supply labor, materials and necessary tools and equipment for the Construction of Multi-Purpose Covered Area with Reinforced Concrete Slab at San Jose, San Luis Pampanga</t>
  </si>
  <si>
    <t>Procurement of Computer Database System</t>
  </si>
  <si>
    <t>20GM0084 - Construction of Road, Sitio Cemeco, Brgy. Culipapa, Hinoba-an, Negros Occidental</t>
  </si>
  <si>
    <t>(DDH) 2ND INVITATION TO BID FOR THE SUPPLY AND DELIVERY OF AIR-CONDITIONING UNITS &amp; RISO MACHINE FOR THE  DUPAX DISTRICT HOSPITAL--340,000.00</t>
  </si>
  <si>
    <t>(PGSO)  2ND INVITATION TO BID FOR THE SUPPLY AND DELIVERY OF 1 SET SOUND SYSTEM W/ INSTALLATION FOR THE  PROVINCIAL GENERAL SERVICES OFFICE--1,000,000.00</t>
  </si>
  <si>
    <t>Subscription 30Mbps Internet Leased Line Connection via Fiber Optic Cable for Public Employment Service Office (PESO) Portal of the Bureau of Local Employment</t>
  </si>
  <si>
    <t>Supply and Delivery of Information Technology Equipment</t>
  </si>
  <si>
    <t>Supply and Delivery of  Reproduction Machine  and Duplicating Machine Ink .</t>
  </si>
  <si>
    <t>Procurement of Medical Supplies for QIP</t>
  </si>
  <si>
    <t>RE-BID ELECTRIFICATION OF UN-ENERGIZED SCHOOLS AND MODERNIZATION OF  ELECTRICAL SYSTEMS ON-GRID SCHOOLS CY 2020</t>
  </si>
  <si>
    <t>Supply and Installation of Air-Conditioning Units</t>
  </si>
  <si>
    <t>HFW: 1 LOT FROZEN GOODS OF HFW CLIENT FOR 2nd SEM OF 2020.</t>
  </si>
  <si>
    <t>Development of Trinidad People's Park (Installation of CCTV Cameras and Upgrading)</t>
  </si>
  <si>
    <t>PROVISION OF SUPPLIES FOR COVID 19 PANDEMIC PREPAREDNESS</t>
  </si>
  <si>
    <t>Supply and Delivery of Various Medicines</t>
  </si>
  <si>
    <t>Provision of Farm Inputs and Implements for Farmers-LBM No. 76</t>
  </si>
  <si>
    <t>Purchase Construction Materials for the Road Concreting @ roxas st, brgy. Benitez, LGU-Banga, South Cotabato</t>
  </si>
  <si>
    <t>SUPPLIES FOR NUTRITION PROGRAM</t>
  </si>
  <si>
    <t>INVITATION TO BID FOR SUPPLY AND DELIVERY OF GOODS (LEYTE LIVELIHOOD SEEDING PROGRAM)</t>
  </si>
  <si>
    <t>Completion of Two-Storey RHU Building including Improvement of Birthing Facility at Brgy. Poblacion, Jamindan, Capiz</t>
  </si>
  <si>
    <t>PROCUREMENT OF DRUGS AND MEDICINES, DR. JOSE RIZAL MEMORIAL HOSPITAL</t>
  </si>
  <si>
    <t>PURCHASE OF MATERIALS FOR MOTHER AND BABY KITS</t>
  </si>
  <si>
    <t>Supply and Delivery of Toner Cartridges</t>
  </si>
  <si>
    <t>INSTALLATION OF RAMPS FOR MULTI-PURPOSE BUILDING</t>
  </si>
  <si>
    <t>SUPPLY &amp; DELIVERY OF TEXTILE</t>
  </si>
  <si>
    <t>Purchase of Tent/canopies cover</t>
  </si>
  <si>
    <t>PRN 054-PRINTING/VAL NGAYON-GSO-GOODS-2020</t>
  </si>
  <si>
    <t>Purchase of 6 wheeler Mounted with 16 Footer Drop Side Cargo and Built  with 10M Bucket Manlift/Boom Truck</t>
  </si>
  <si>
    <t>Purchase of Computer set and Accessories</t>
  </si>
  <si>
    <t>INVITATION TO BID FOR PURCHASE OF MATERIALS FOR MULTI-PURPOSE HALL IMPROVEMENT - FIRST BIDDING</t>
  </si>
  <si>
    <t>Procurement of Two (2) Real Estate External Appraisal-Service Providers for Land and Housing Unit Appraisal of Scout Ranger Ville Housing Project located at Brgy. Calumpang/Tartaro-Sibul, San Miguel,</t>
  </si>
  <si>
    <t>CONSTRUCTION/IMPROVEMENT/REHABILITATION OF SLOPE PROTECTION LUMANG KALYE @ SAN ANTONIO, SAN PASCUAL, BATANGAS</t>
  </si>
  <si>
    <t>To supply, handling, transport and delivery of 7,020 bags of Potassium chloride and 5,265 bags of ammonium sulfate</t>
  </si>
  <si>
    <t>Repair and rEHABILITATION of Barangay Farm to Market Road</t>
  </si>
  <si>
    <t>Illumination of Road at Regional Government Center (R02) Tuguegarao, City</t>
  </si>
  <si>
    <t>RE-BIDDING OF SUPPLY, DELIVERY, INSTALLATION, TESTING, AND ACCEPTANCE OF LIGHTNING PROTECTION SYSTEM</t>
  </si>
  <si>
    <t>SUPPLY &amp; DELIVERY OF DESKTOP COMPUTER-LIBRARY</t>
  </si>
  <si>
    <t>INSTALLATION OF POLYURETHANE MATERIAL FOR FLOORING LOCATED BACSIL, BACNOTAN, LA UNION</t>
  </si>
  <si>
    <t>Provision of Farm Inputs and Implements For Farmers-LBM No. 79</t>
  </si>
  <si>
    <t>Barangay Road Rehabilitation, Ganzon, Jamindan, Capiz</t>
  </si>
  <si>
    <t>IMPROVEMENT OF BARANGAY WATER SYSTEM UNDER PR#30</t>
  </si>
  <si>
    <t>Printing, Binding, Supply and Delivery of  Learning Modules for the City Schools Division of Tayabas City-Batch 2</t>
  </si>
  <si>
    <t>Package 61: Supply and Delivery of Household Supplies &amp; Materials</t>
  </si>
  <si>
    <t>SUPPLIES FOR ALTERNATIVE LEARNING SYSTEM (ALS)</t>
  </si>
  <si>
    <t>Supply and Delivery of Furniture and Fixture for Bacnotan Farmer’s Agri-Tourism Center</t>
  </si>
  <si>
    <t>Construction of Deep Well w/ Elevated Tank (GAD) Wanti, Bulanao</t>
  </si>
  <si>
    <t>Supply and Delivery of Five (5) Units Riso Digital Duplicator</t>
  </si>
  <si>
    <t>Installation of Street Lights (GAD) Lower Cacaligan, Bantay</t>
  </si>
  <si>
    <t>SUPPLY &amp; DELIVERY OF HOUSEKEEPING SUPPLIES</t>
  </si>
  <si>
    <t>Construction of School Building (Phase I)</t>
  </si>
  <si>
    <t>Road Concreting, Samonte Subdivision Section Barangay Poblacion</t>
  </si>
  <si>
    <t>Water System (GAD) Banagan to Eco Village, Bagumbayan</t>
  </si>
  <si>
    <t>SUPPLY AND DELIVERY OF ONE(1) UNIT PICK-UP TYPE VEHICLE</t>
  </si>
  <si>
    <t>Construction of Deep Well (GAD) Mataddong, Bantay</t>
  </si>
  <si>
    <t>Construction of Canal Lining @ Mabato, Amlao</t>
  </si>
  <si>
    <t>Rip-rapping of Abogado Creek, Laya East</t>
  </si>
  <si>
    <t>Invitation to Bid for Supply and Delivery of Various Valves and Fittings for Fabrication and Installation of Discharge Line for the Construction of  Tigayon Pumping Station No. 2</t>
  </si>
  <si>
    <t>Concreting of Tourism Access Road leading to Kawasan Falls</t>
  </si>
  <si>
    <t>Supply and Delivery of Various Medical Equipment (Re-bid)</t>
  </si>
  <si>
    <t>Extension of Barangay Hall New Site Barangay Lot, Nambaran</t>
  </si>
  <si>
    <t>Comprehensive Land Use Plan &amp; Zoning Ordinance</t>
  </si>
  <si>
    <t>Purchase of 66 sets Tire with tubes and flaps, 10.00-20 20 PR Road Lug for various Dump Trucks.</t>
  </si>
  <si>
    <t>Procurement of Two (2) Real Estate External Appraisal-Service Providers for Land and Housing Unit Appraisal of Dinalungan Heights (Expansion Area) Resettlement Project located at Brgy. Nipoo, Dinalung</t>
  </si>
  <si>
    <t>CONSTRUCTION/IMPROVEMENT/REHABILITATION OF FLOOD CONTROL SYSTEM @ AQUINO AVE., POBLACION, SAN PASCUAL, BATANGAS</t>
  </si>
  <si>
    <t>20NI0086 - Concreting of Brgy. Magsaysay to Sitio Matina-oa, Brgy. Poblacion FMR, Brgy. Magsaysay and Brgy. Poblacion, Tagbina, Surigao del Sur</t>
  </si>
  <si>
    <t>Construction of Stage, Cudal National School</t>
  </si>
  <si>
    <t>Water System (GAD) Magpawayan, Guilayon</t>
  </si>
  <si>
    <t>RE-BID REPAIR/REHABILITATION OF CLASSROOMS BEFF CY 2020</t>
  </si>
  <si>
    <t>Purchase of Materials for Construction of Installation of Solar Street Lights</t>
  </si>
  <si>
    <t>Electrification of Un-energized Schools and Modernization of Electrical Systems On-grid Schools in Itbayat</t>
  </si>
  <si>
    <t>Improvement of IT Park II and Dormitory (Construction of Covered Court) at IT Park II, Tibag, Tarlac City - B-CW-2020-038</t>
  </si>
  <si>
    <t>Construction of Canal Lining w/ Cover @ Baac St, Bulanao Norte</t>
  </si>
  <si>
    <t>Supply of Materials, Labor and Equipment for the Expansion of Municipal Hall.</t>
  </si>
  <si>
    <t>Improvement of Road @ Battikin Village, Bulanao</t>
  </si>
  <si>
    <t>Construction of Canal Cover Along Oroquieta St, Dagupan Weste  (GAD)</t>
  </si>
  <si>
    <t>ITB No. 20-078: Supply and Delivery of Three Hundred Thirty-Four (334) Pieces Hemoperfusion Sepsis Cartridge</t>
  </si>
  <si>
    <t>Repair and Rehabilitation of Various School Building 2020</t>
  </si>
  <si>
    <t>SUPPLY &amp; DELIVERY OF MEDICAL EQUIPMENT ACCESSORIES &amp; CONSUMABLES-REBID</t>
  </si>
  <si>
    <t>20GB00029 (re-ad): Purchase, Delivery and Installation of Four (4) Units Highway Design Software</t>
  </si>
  <si>
    <t>PACKAGE 7-LDF20</t>
  </si>
  <si>
    <t>6 length Angle Bar 2”x2”x20’x1/4” thick, etc. - 003</t>
  </si>
  <si>
    <t>2020 28TH PUBLIC BIDDING: PROCUREMENT OF MEDICAL IMAGING SUPPLIES</t>
  </si>
  <si>
    <t>50 pcs. 2x4x12’ G.melina, etc. - 002</t>
  </si>
  <si>
    <t>Printing of Educational Research Output (Educational Support and Notes) for use during the implementation of Project SYMPLE (Supporting Young Minds Program for Learning the Essentials) - B-G-2020-116</t>
  </si>
  <si>
    <t>ROAD CONCRETING (CLUSTER 4-2020) 2nd POSTING [INFRA-CB-2020-07-007]</t>
  </si>
  <si>
    <t>SUPPLY OF LABOR AND MATERIALS for the Rehabilitation of Multi-Purpose Hall ,  Municipal Compound , Mataasnakahoy, Batangas</t>
  </si>
  <si>
    <t>ADS II GOODS - 020-03 - Repair/Maint. of Asphalt/Concrete Pavement (Patching of Potholes and Joint Sealing) along National Primary &amp; Secondary Roads with exceptions/intermittent sections (Furnishing/P</t>
  </si>
  <si>
    <t>Purchase of pre and Post-Harvest Facilities for Rice Production</t>
  </si>
  <si>
    <t>Supply and Delivery with Installation of Scientific/Technical Laboratory Equipment for BS Physics Lab. and BS Chemistry Lab., Isabela State University, Cabagan, Isabela</t>
  </si>
  <si>
    <t>Procurement of Two (2) Real Estate External Appraisal-Service Providers for Land and Housing Unit Appraisal of San Luis Villas Resettlement Project located at Brgy. Ditumabo, San Luis, Aurora Province</t>
  </si>
  <si>
    <t>Construction of  Water Tank &amp; Installation of Pipeline for the Operation of Taytay &amp; Napo Deepwells</t>
  </si>
  <si>
    <t>20GM0083 - Construction of Road, Sitio Otod to Brgy. Hilamonan, Kabankalan City, Negros Occidental</t>
  </si>
  <si>
    <t>Supply and Delivery of Knowledge Channel K-12 Curriculum-Based Portable Media Library</t>
  </si>
  <si>
    <t>HFW : 1 LOT VEGETABLES  SUPPLIES FOR THE CONSUMPTION OF HFW CLIENT FOR 2nd SEMESTER OF 2020</t>
  </si>
  <si>
    <t>Package 62: Supply and Delivery of Novelty Supplies &amp; Materials</t>
  </si>
  <si>
    <t>ITB No. 2020-01(5) Procurement of Hospital Equipment V (On-site Delivery)</t>
  </si>
  <si>
    <t>SUPPLY &amp; DELIVERY OF MEDICAL EQUIPMENT ACCESSORIES &amp; CONSUMABLES- REBID</t>
  </si>
  <si>
    <t>Repair and Rehabilitation to be Used/Converted to Dental/Medical Clinic in Itbayat, Sabtang and Basco Central School</t>
  </si>
  <si>
    <t>Construction of Drainage Canal (GAD) Upper Sunrise Village, San Juan</t>
  </si>
  <si>
    <t>Improvement of Road Forest Section @ Purok 5, Bulanao</t>
  </si>
  <si>
    <t>Procurement of Civil Works- Improvement of Mt. Pack-Laneb-Anit it Road, Cabayo, Kayapa, Nueva Vizcaya</t>
  </si>
  <si>
    <t>SUPPLY AND DELIVERY OF VARIOUS PHARMACEUTICAL DRUGS, MEDICINES AND CONTRAST MEDIA (NEGOTIATED PROCUREMENT - 2 FAILED BIDDINGS)</t>
  </si>
  <si>
    <t>Procurement of Two (2) Real Estate External Appraisal-Service Providers for Land and Housing Unit Appraisal of Casa San Miguel located at Brgy. San Juan De Valdez, San Jose, Tarlac</t>
  </si>
  <si>
    <t>20GBC0010 - Furnishing/Delivery of Signages for use along National Roads</t>
  </si>
  <si>
    <t>Supply &amp; Delivery of Printed Forms - Rebid</t>
  </si>
  <si>
    <t>CONSTRUCTION OF 420 SQ.M. CONCRETE PAVEMENT LOCATED GUINABANG, BACNOTAN, LA UNION</t>
  </si>
  <si>
    <t>Ink Toner/Cartridge for printer and photocopier and bond paper</t>
  </si>
  <si>
    <t>PACKAGE 6-LDF20</t>
  </si>
  <si>
    <t>CONSTRUCTION OF TICKET BOOTH AND GATE, BRGY. BUGA-BUGA, VILLABA, LEYTE - BRGY. FUND 20%EDF</t>
  </si>
  <si>
    <t>Construction of Multi-Purpose Building (Phase II),  Brgy. Ditale, Dipaculao, Aurora</t>
  </si>
  <si>
    <t>Supply, Delivery, Installation and Testing of Laboratory Equipment for (Lot 1) the Upgrading of the Pests and Disease Diagnostic Laboratory for High Value Vegetables and Indigenous Crops in Research O</t>
  </si>
  <si>
    <t>Package 63: Supply and Delivery of Blood Bags</t>
  </si>
  <si>
    <t>Invitation to Bid for the Supply and Delivery of Labor and Materials  for the Construction of Covered Court (Multi-purpose Building) at Calape National High School, Calape, Daanbantayan, Cebu</t>
  </si>
  <si>
    <t>Rehabilitation/ Improvement of Local Access Road</t>
  </si>
  <si>
    <t>Procurement of Time Attendance Biometric Machine PR # 2020-07-21-269</t>
  </si>
  <si>
    <t>CW-ALPIP-02-2020/ALFONSO LISTA PIP</t>
  </si>
  <si>
    <t>IMPROVEMENT OF OMAS TRAINING CENTER GROUND</t>
  </si>
  <si>
    <t>PROCUREMENT OF MEDICAL SUPPLIES AND PPE’S</t>
  </si>
  <si>
    <t>25 pcs. 2x2x12’ G.melina, etc. -004</t>
  </si>
  <si>
    <t>PACKAGE 10-LDF20</t>
  </si>
  <si>
    <t>PRN 055-PLASTIC WRAPPER-GSO-GOODS-2020</t>
  </si>
  <si>
    <t>Rehabilitation of Barangay Roads</t>
  </si>
  <si>
    <t>RFQ– (3 tons) Floor mounted inverter aircon</t>
  </si>
  <si>
    <t>Road Concreting,Sumabat Street Section Barangay Poblacion</t>
  </si>
  <si>
    <t>Communal Irrigation System (NIA Counterpart) Banneng, Calaccad</t>
  </si>
  <si>
    <t>Procurement of One (1) Unit Ambulance</t>
  </si>
  <si>
    <t>Supply and Delivery of School Supplies for the “Tulong para sa Mag-aaral” Project</t>
  </si>
  <si>
    <t>Rehabilitation of Barnhouses (Renovation of Building 2089 Including Studio Room)(Second Bidding)</t>
  </si>
  <si>
    <t>Supply and Delivery of Livestocks for the use of Small Ruminant Center Project (CHED DARE TO PROJECT) (Re-bid)</t>
  </si>
  <si>
    <t>REHAB./IMPROVEMENT OF ISOLATION ROOM, BRGY. BALITE, VILLABA, LEYTE - BRGY. FUND</t>
  </si>
  <si>
    <t>PROCUREMENT OF VARIOUS HOSPITAL EQUIPMENT</t>
  </si>
  <si>
    <t>Four (4) Lots Construction Materials for use in the Concreting of Road, Brgy. San Miguel, Bayawan City, Negros Oriental (B-125-2020)</t>
  </si>
  <si>
    <t>IMPROVEMENT OF TABOGON WATERWORKS SYSTEM</t>
  </si>
  <si>
    <t>Invitation to Bid for the Supply and Delivery of Materials for the Repair of Cultural Center Roof</t>
  </si>
  <si>
    <t>Supply and Delivery of 122 head Upgraded Anglo Nubian Goat ABC: Php1,220,000.00</t>
  </si>
  <si>
    <t>Nine (9) Lots Construction Materials for use in the Construction of Barangay Multi-Purpose Hall, Brgy. Cadawinonan, Dumaguete City, Negros Oriental (B-124-2020)</t>
  </si>
  <si>
    <t>Supply &amp; Delivery of Spare Parts for Various Vehicles</t>
  </si>
  <si>
    <t>SUPPLIES FOR LA LIBERTAD DISTRICT (DEP-ED)</t>
  </si>
  <si>
    <t>Supply and Delivery of 3,600 head Free Range Chicken ABC: Php1,800,000.00</t>
  </si>
  <si>
    <t>20GBC0011 - Furnishing/Delivery of Reflectorized Traffic Paint Materials for use along National/Secondary Roads</t>
  </si>
  <si>
    <t>Invitation to Bid for the Supply and Delivery of Labor and Materials  for the Construction of Balay Silangan (P-1) at Pajo, Daanbantayan, Cebu</t>
  </si>
  <si>
    <t>BRGY. ROAD CONCRETING</t>
  </si>
  <si>
    <t>Completion of Open Multi-Purpose Building , Brgy. Calaokan, Dipaculao, Aurora</t>
  </si>
  <si>
    <t>CW-ALPIP-03-2020/ ALFONSO LISTA PIP</t>
  </si>
  <si>
    <t>Ten (10) Lots Construction Materials for use in the Improvement of Treasurer’s Office, Province of Negros Oriental (B-123-2020)</t>
  </si>
  <si>
    <t>Invitation for Negotiation for the Procurement of  Brand New Van (for Mobile Blood Donation)</t>
  </si>
  <si>
    <t>2020-103, CONSTRUCTION OF MULTI-PURPOSE (R.I.C) BUILDING, VILLARICA, MIDSAYAP, COTABATO</t>
  </si>
  <si>
    <t>Procurement of Two (2) Real Estate External Appraisal-Service Providers for Land Appraisal of Six (6) Commercial Lots located at Pleasant Hills Subdivision, Brgy. San Manuel, City of San Jose Del Mont</t>
  </si>
  <si>
    <t>Procurement for Lease of Water Treatment Facility for Malamig Pumping Station (Minimum of 4mld of treated water at 50psi output)</t>
  </si>
  <si>
    <t>20GDQ0026  Corrective and Preventive Maintenance of Various Service Vehicles/ Heavy Equipment used at Cavite 3rd DEO (Second and Third Quarter CY 2020)</t>
  </si>
  <si>
    <t>A. ROAD CONCRETING AT PUROK 5-MALINAN B. ROAD CONCRETING AT PUROK 5 - MALINAN BRGY.CATIGAN, TORIL DISTRICT, DAVAO CITY</t>
  </si>
  <si>
    <t>ROAD CONCRETING (CLUSTER 3-2020) 2nd POSTING [INFRA-CB-2020-07-006</t>
  </si>
  <si>
    <t>Procurement of Various Fruit and Forest Tree Seedlings to be distributed to the Forest Protection Program (FPP) beneficiaries</t>
  </si>
  <si>
    <t>SUPPLY AND DELIVERY OF MEDICAL SUPPLY</t>
  </si>
  <si>
    <t>20GKK0039 – Supply and Delivery of SS1 - Emulsified Asphalt to be used for Act. III - Premix Patching Bituminous Pavement along BCIR</t>
  </si>
  <si>
    <t>FLOOD CONTROL AT LANGAWAN RIVER (GABION TYPE), BRGY. CARAGSACAN, DINGALAN, AURORA</t>
  </si>
  <si>
    <t>Concreting of Local Access Road (Upgrading of Brgy. Banutan to Brgy. G. Antonino Road)</t>
  </si>
  <si>
    <t>REHABILITATION/IMPROVEMENT OF FARM-TO-MARKET ROAD PANAWNAWAN-MAGTIAW, BRGY. CAMPIDHAN, SAN JULIAN E. SAMAR</t>
  </si>
  <si>
    <t>Procurement of Two (2) Real Estate External Appraisal-Service Providers for Lot Appraisal of Ninety-Seven (97) Commercial Lots located at Pandacaqui Resettlement (Pampanga Housing Project), Brgy. Pand</t>
  </si>
  <si>
    <t>IMPROVEMENT OF MULTI - PURPOSE HALL</t>
  </si>
  <si>
    <t>Installation of Powerline to the Customized Solid Waste Processing Center</t>
  </si>
  <si>
    <t>Installation of CCTV</t>
  </si>
  <si>
    <t>GF-20-05-00718 - DIGITAL COPIER AND MANUAL TYPEWRITER</t>
  </si>
  <si>
    <t>Construction of Molecular Testing Laboratory at Diagnostic Building, Sitio Cabading, Brgy. Inarawan, Antipolo City</t>
  </si>
  <si>
    <t>Supply and Delivery of 610 Traditional Lowland Rice Seeds ABC: Php1,464,000.00</t>
  </si>
  <si>
    <t>Supply and Delivery of 3,218 pack Biological Insecticide ABC: Php1,367,650.00</t>
  </si>
  <si>
    <t>Contract ID No. 20GP00088 - Procurement of Fuel for use in the operations of DPWH-CAR Regional Office for the Second Semester of CY 2020 in relation to Construction Project Management</t>
  </si>
  <si>
    <t>Supply and Delivery of 3,188 sachet Pheromone ABC: Php2,072,200.00</t>
  </si>
  <si>
    <t>SUPPLY AND DELIVERY OF VARIOUS IT SUPPLIES AND EQUIPMENT  (PB 20-03-20)</t>
  </si>
  <si>
    <t>Supply &amp; Delivery of Continuous Positive Airway Pressure (CPAP) Machine</t>
  </si>
  <si>
    <t>“CONSTRUCTION OF RESIDUAL CONTAINMENT BUILDING”</t>
  </si>
  <si>
    <t>Procurement of Medical Oxygen for the use of IPHO-TPH - B-G-2020-117</t>
  </si>
  <si>
    <t>SUPPLY AND DELIVERY OF VARIOUS HEALTH SUPPLIES AND EQUIPMENT, BRGY. MABINI, BURDEOS, QUEZON</t>
  </si>
  <si>
    <t>Construction of Bridge/ Board Walk (Tagbak Marine Park)</t>
  </si>
  <si>
    <t>Supply, Delivery, and Installation of Laboratory Furniture BAC-NP NO. 2020-07</t>
  </si>
  <si>
    <t>Supply and Delivery of 14,638 packs Vegetable Seeds (Pinakbet) ABC: Php3,439,930.00</t>
  </si>
  <si>
    <t>FOR EMERGENCY/RESCUE VEHICLE (MUNICIPALITY OF LA LIBERTAD, ZAMBOANGA DEL NORTE)</t>
  </si>
  <si>
    <t>Improvement of PWS</t>
  </si>
  <si>
    <t>GF-20-03-00482 PROCUREMENT OF VARIOUS GROCERY ITEMS</t>
  </si>
  <si>
    <t>FABRICATION OF OPEN SHELVES</t>
  </si>
  <si>
    <t>SUPPLY OF LABOR, MATERIALS AND TOOLS FOR THE REPAIR OF FIRE HYDRANT AT AGUS 7 HPP</t>
  </si>
  <si>
    <t>GF-20-05-00719 PNEUMONIA AND INFLUENZA VACCINE</t>
  </si>
  <si>
    <t>Gasoline/ Fuel Allocation for the Service Vehicles of the Municipality of Bocaue</t>
  </si>
  <si>
    <t>SUPPLY AND DELIVERY OF VARIOUS CONSTRUCTION MATERIALS FOR THE CONSTRUCTION OF THE MAIN OFFICE BUILDING EXTENSION</t>
  </si>
  <si>
    <t>GF-20-09-3C-QCU - LAPTOP COMPUTERS FOR STUDENTS AND FACULTY MEMBERS</t>
  </si>
  <si>
    <t>BRGY. ROAD CONCRETING (Entrance of Brgy. Himo-aw)</t>
  </si>
  <si>
    <t>FOR OFFICE USE</t>
  </si>
  <si>
    <t>Purchase of Fluids for ZDSMC Pharmacy stocking/sale purposes.</t>
  </si>
  <si>
    <t>GF-20-07-01052 - PROCUREMENT OF TABLE</t>
  </si>
  <si>
    <t>Procurement of Various Office IT Equipment - Repost</t>
  </si>
  <si>
    <t>Procurement of Labor and Materials for Repair of Various Civil Works</t>
  </si>
  <si>
    <t>Supply &amp; Delivery of Maintenance Supplies</t>
  </si>
  <si>
    <t>Hiring of Security Services</t>
  </si>
  <si>
    <t>SUYO SIP/CY 2020 SIP FUND</t>
  </si>
  <si>
    <t>SUPPLY AND DELIVERY OF VARIOUS IT SUPPLIES AND EQUIPMENT  (PB 20-03-21)</t>
  </si>
  <si>
    <t>TWO (2) UNITS INFANT TRANSPORT VENTILATOR</t>
  </si>
  <si>
    <t>Supply and delivery of Various Inorganic Fertilizer ABC: Php21,000,000.00</t>
  </si>
  <si>
    <t>Construction of Flood Control with River Walk at Brgy. Poblacion, Kananga, Leyte</t>
  </si>
  <si>
    <t>CONSULTANCY SERVICES FOR WEBSITE DEVELOPMENT, INCLUSIVE OF  DOMAIN NAME REGISTRATION AND WEB HOSTING.</t>
  </si>
  <si>
    <t>SEF-20-08-01196 - LAPTOP COMPUTERS</t>
  </si>
  <si>
    <t>GF-20-05-00787 PEST CONTROL SOLUTION</t>
  </si>
  <si>
    <t>BINONGAN SIP/CY 2020 SIP FUND</t>
  </si>
  <si>
    <t>SUPPLY AND DELIVERY OF HARDWARE MATERIALS FOR THE CONSTRUCTION OF BLEACHER FOR EVACUATION CENTER</t>
  </si>
  <si>
    <t>Contract ID No. 20K00358 - Cluster "RO-07" Concreting/ Landscaping of Various Access Road in Misamis Oriental 1. Landscaping, Poblacion, El Salvador City, Misamis Oriental Php = 1,000,000.00 2. Concre</t>
  </si>
  <si>
    <t>20GO0105-Construction of Revetment w/ Floodwall along Sum-ag River, Bacolod City</t>
  </si>
  <si>
    <t>CONSTRUCTION OF THREE (3) UNITS LED WALL AT ST. AGUSTINE PARK AND MUNICIPAL COMPOUND</t>
  </si>
  <si>
    <t>Contract ID No. 20K00360 - Installation of Water System Poblacion, El Salvador City, Misamis Oriental</t>
  </si>
  <si>
    <t>LIDLIDDA SIP/CY 2020 SIP FUND</t>
  </si>
  <si>
    <t>GF-20-05-00710 ANTI-TB KIT AND OTHERS</t>
  </si>
  <si>
    <t>SUPPLY AND DELIVERY FOR THE INSTALLATION OF SOLAR STREETLIGHTS AT PUROK 14 &amp; PUROK 15,POBLACION,SIBAGAT,AGUSAN DEL SUR</t>
  </si>
  <si>
    <t>Proposed Repair of Old Municipal Building, LGU - Sta. Margarita, Samar</t>
  </si>
  <si>
    <t>Contract ID No. 20K00359 - Repair/ Maintenance and Rehabilitation of Infrastructure Facilities, Public Buildings 1. Repair/ Maintenance of DPWH Building GAD Building (Comfort Room), Engineer's Hill, B</t>
  </si>
  <si>
    <t>Purchase of 22 Units Duplicating/Copying Machine for the operational use in Balik Eskwela Program CY - 2020</t>
  </si>
  <si>
    <t>SUPPLY AND DELIVERY OF 42,400 TONS SOLID WASTE  (SOLID WASTE DISPOSAL SERVICES)</t>
  </si>
  <si>
    <t>Installation of Streetlighting (Phase II)</t>
  </si>
  <si>
    <t>Completion of Barangay Hall</t>
  </si>
  <si>
    <t>GF-20-02-00229B VARIOUS ENGINEERING BOOKS</t>
  </si>
  <si>
    <t>SUPPLY AND DELIVERY OF AGRICULTURAL SUPPLIES  (PB 20-03-23)</t>
  </si>
  <si>
    <t>Purchase of One (1) Unit Premium Level Digital Color Doppler Ultrasound System for Zamboanga del Sur Medical Center Radiology Department use.</t>
  </si>
  <si>
    <t>Procurement of Non-Regulated Drugs for ZDSMC Pharmacy Stocking/Sale Purposes (Respiratory Patients use)</t>
  </si>
  <si>
    <t>CONSTRUCTION OF CORN SHED</t>
  </si>
  <si>
    <t>Supply &amp; Delivery of Window Blinds for Clinic, NSTP, Library, CADS and QA</t>
  </si>
  <si>
    <t>Procurement of Non-Regulated Drugs for ZDSMC Pharmacy Stocking/Sale Purposes (ICU Patients use)</t>
  </si>
  <si>
    <t>Purchase of Polo Shirt with Print for the Youth Symposium on the National Security Framework and Effects and Impacts of Illegal Drugs Program of the Provincial Government of Zamboanga del Sur (1st Bat</t>
  </si>
  <si>
    <t>Procurement of Printers and Flash Drives under CY 2018 PSEF</t>
  </si>
  <si>
    <t>Purchase of T-shirt with Print for Women’s Participation in the Campaign Against Criminality Program of the Province of Zamboanga del Sur (District I)</t>
  </si>
  <si>
    <t>Street Lighting, Barangay Hagdan, Santa Fe, Cebu - Municipal</t>
  </si>
  <si>
    <t>Purchase of Medical Supplies for ZDSMC Pharmacy Stocking/Sale Purposes (Admitting Patients use)</t>
  </si>
  <si>
    <t>Procurement of Bond Papers, Binding Materials and IT Equipment under CY 2020 PSEF</t>
  </si>
  <si>
    <t>MAINTENANCE AND IMPROVEMENT OF WILD LIFE RESCUECENTER (WRC) FACILITIES AT BRGY. TAMPAYAN, MAGDIWANG, ROMBLON</t>
  </si>
  <si>
    <t>20GO0106 - CONSTRUCTION/REPAIR/ REHABILITATION/ IMPROVEMENT/UPGRADING OF LOCAL ROAD IN BRGY. 16, 35, 34, 14 &amp; 13, BACOLOD CITY</t>
  </si>
  <si>
    <t>ONE (1) LOT CONVENTIONAL MOBILE X-RAY</t>
  </si>
  <si>
    <t>FIVE (5) UNITS MECHANICAL VENTILATOR</t>
  </si>
  <si>
    <t>Procurement and Delivery of Furniture and Fixtures for PSA RSSO V New Office Building</t>
  </si>
  <si>
    <t>SUPPLY AND DELIVERY OF AGRICULTURAL SUPPLIES (PB 20-03-22)</t>
  </si>
  <si>
    <t>INFRA 2K20-59 CONSTRUCTION OF BRGY. PIWAN WATER SYSTEM (LEVEL II), BRGY. PIWAN, MIDSALIP, ZAMBOANGA DEL SUR</t>
  </si>
  <si>
    <t>Purchase of Senior Citizen's Booklet</t>
  </si>
  <si>
    <t xml:space="preserve">Contact ID No. 20K00357 - Cluster “RO-06” Construction of Various Building Projects in Bukidnon 1. Semen Processing Plant/ Laboratory, NMACLRC, Dalwangan, Malaybalay City, Bukidnon Php = 3,000,000.00 </t>
  </si>
  <si>
    <t>HIRE OF 1 UNIT VAN</t>
  </si>
  <si>
    <t>Improvement of Access Road @ Purok 4 -Paddaoan</t>
  </si>
  <si>
    <t>GF-20-05-00713- SUPPLIES FOR COFFEE VENDING MACHINE</t>
  </si>
  <si>
    <t>Improvement of Barangay Bong-ao Road</t>
  </si>
  <si>
    <t>Purchase of Various Materials (Stocking Requirement) for the Repairs and Maintenance of PGO Vehicles.</t>
  </si>
  <si>
    <t>CONSTRUCTION OF ACCESS ROAD AT PUROK 1, HILLTOP-Talifugo</t>
  </si>
  <si>
    <t>Document Management (Attache) System</t>
  </si>
  <si>
    <t>CONSTRUCTION OF BARANGAY HEALTH STATION (PHASE III)-Calafug</t>
  </si>
  <si>
    <t>Construction of Water System @ Banban, Conner, Apayao</t>
  </si>
  <si>
    <t>Improvement of Multi-purpose Building @ Tinongtongan, Diplahan, Zamboanga Sibugay (INFR-2020-041)</t>
  </si>
  <si>
    <t>REPAIR AND MAINTENANCE OF BUILDING AND OTHER STRUCTURES-Caglayan</t>
  </si>
  <si>
    <t>Construction of Water System @ Catub Paddaoan</t>
  </si>
  <si>
    <t>Improvement of Multi-purpose Building @ Natan, Diplahan, Zamboanga Sibugay (INFR-2020-042)</t>
  </si>
  <si>
    <t>INVITATION TO BID FOR THE REBIDDING OF THE Supply and Delivery of Third Quarter Office Supplies for CY 2020</t>
  </si>
  <si>
    <t>PROCUREMENT OF FAMILY PLANNING COMMODITIES (BAC 2020-G09)</t>
  </si>
  <si>
    <t>CID No. 20IO0095 - Annual Work Program 3/Preventive Maintenance (AWP3/PM) - Palompon - Isabel - Merida - Ormoc Road (S00152LT), K1076+352 - K1083+372, Leyte 4LD</t>
  </si>
  <si>
    <t>Supply &amp; Delivery of Musical Instruments &amp; Costume for Drum &amp; Bugle Corps</t>
  </si>
  <si>
    <t>CONSTRUCTION OF HEALTH CENTER LOCATED AT BULACAN, MALALAG, DAVAO DEL SUR all in accordance to plans, specifications and scope of work and the Green Procurement Policy as adopted by Executive Order No.</t>
  </si>
  <si>
    <t>PROCUREMENT OF HYGIENE KIT AND OTHER FOR KINDER LEARNER OF AGUTAYA</t>
  </si>
  <si>
    <t>PROCUREMENT OF CONSTRUCTION MATERIALS FOR CONCRETING OF BANCAL ROAD</t>
  </si>
  <si>
    <t xml:space="preserve">CONCRETING OF FMR (DOMINGO ROAD) LOCATED AT MARBER, BANSALAN, DAVAO DEL SUR all in accordance to plans, specifications and scope of work and the Green Procurement Policy as adopted by Executive Order </t>
  </si>
  <si>
    <t>REPAIR OF FIBER OPTIC BACKBONE-AGUS 6&amp;7 HPPC</t>
  </si>
  <si>
    <t>CONSTRUCTION OF MULTI-PURPOSE BUILDING (PHASE II) PUROK 6-Caglayan</t>
  </si>
  <si>
    <t>PROCUREMENT OF CONSTRUCTION MATERIALS FOR CONCRETING OF DORONGAN ROAD</t>
  </si>
  <si>
    <t>Supply and Delivery of Camping Equipment</t>
  </si>
  <si>
    <t>PROCUREMENT OF ASSORTED MDRRM EQUIPMENTS</t>
  </si>
  <si>
    <t>PROCUREMMENT OF 1 UNIT ANDROIND PHONE FOR MDRRM USE</t>
  </si>
  <si>
    <t>GF-20-03-00494- PROCUREMENT OF BUS 30 SEATER</t>
  </si>
  <si>
    <t>CID No. 20IO0096 - Network Development – Construction of By-Pass and Diversion Roads – Baybay City Diversion Road, Leyte, Leyte 5th LD</t>
  </si>
  <si>
    <t>CONSTRUCTION OF MACASSAB FOOTBRIDGE</t>
  </si>
  <si>
    <t>SUPPLY AND DELIVERY OF TEN (10) UNITS GOLF CARTS FOR THE USE OF CLUB INTRAMUROS GOLF COURSE</t>
  </si>
  <si>
    <t>Improvement of Multi-purpose Building @ Sto. Niño, Tungawan, Zamboanga Sibugay (INFR-2020-046)</t>
  </si>
  <si>
    <t>PROCUREMENT OF 2 UNITS OF WINDOW TYPE AIRCON WITH ACCESSORIES  AND CURTAIN</t>
  </si>
  <si>
    <t>PROCUREMENT OF SLIPPERS (SANDAL TYPE) FOR AGE 6-12 YEARS</t>
  </si>
  <si>
    <t>CID No. 20IO0097 - Network Development – Construction of By-Pass and Diversion Roads – Baybay City Diversion Road, Leyte, Leyte 5th LD</t>
  </si>
  <si>
    <t>Construction of Multi-purpose Building at Olutanga Central School @ Brgy. Solar, Olutanga, Zamboanga Sibugay (INFR-2020-043)</t>
  </si>
  <si>
    <t>Construction of Slope Protection along Capitol Service Road (at the back of Generator set) @ Brgy. Ipil Heights, Ipil, Zamboanga Sibugay (INFR-2020-048)</t>
  </si>
  <si>
    <t>Concreting of Brgy. Road @ Brgy.  Sitio Guinacutan to Loboc, Tungawan, Zamboanga Sibugay (INFR-2020-047)</t>
  </si>
  <si>
    <t>Construction of of Flood Control Along Acutan River ( Caglayan Section)</t>
  </si>
  <si>
    <t>CONSTRUCTION OF ONE (1) UNIT BRGY. HALL</t>
  </si>
  <si>
    <t>Construction of Water System (Drilling) @ Brgy. Imelda, Titay, Zamboanga Sibugay (INFR-2020-045)</t>
  </si>
  <si>
    <t>20CW-GSC-028 REPAIR/REHABILITATION OF OVAL PLAZA COVERED COURT, GENERAL SANTOS CITY</t>
  </si>
  <si>
    <t>20CW-GSC-026 IMPROVEMENTS OF ROAD FACILITIES AT CABEL ST., BRGY. LAGAO, GENERAL SANTOS CITY</t>
  </si>
  <si>
    <t>Procurement of Infrastructure Projects for the Improvement/Renovation of the KBC Appertelle's Cafeteria and Administrative Office</t>
  </si>
  <si>
    <t>20CW-GSC-029 FLOOD CONTROL SYSTEMS (CONSTRUCTION OF FLOODWAY ALONG MABUHAY ROAD, CITY HEIGHTS, SAN ISIDRO &amp; MABUHAY - LEFTSIDE) ADDITIONAL APPROPRIATION, BRGY. CITY HEIGHTS AND SAN ISIDRO, GENERAL SAN</t>
  </si>
  <si>
    <t>20CW-GSC-025 BUILDING - CITY HALL RENOVATION, CITY HALL COMPOUND, GENERAL SANTOS CITY</t>
  </si>
  <si>
    <t>PROCUREMENT OF CONSTRUCTION MATERIALS FOR WOMENS CRISIS CENTER</t>
  </si>
  <si>
    <t>20CW-GSC-027 BUILDING - EXPANSION AND IMPROVEMENT OF CITY PUBLIC LIBRARY MAIN BUILDING, GENERAL SANTOS CITY</t>
  </si>
  <si>
    <t>Procurement of Medical Equipment (Orthopedic Set)</t>
  </si>
  <si>
    <t>Provision of Two (2) Pumping Station along Navotas Coastal Dike with Box Culvert (Phase 2), Navotas City (Completion of Pumphouse No. 1 and 2 and Installation of Pump No. 2 for Pumphouse No. 1) (Contr</t>
  </si>
  <si>
    <t>Supply and Delivery of Labor and MAterials for the Construction of Fence ( Basketball Court)@ Brgy SAhud-Ulan, Tanza, Cavite</t>
  </si>
  <si>
    <t>PROCUREMENT IF IT SUPPLIES-MO ADMIN-1ST POSTING=PHP 694,000.00</t>
  </si>
  <si>
    <t>Rehabilitation of Tugop Footbridge at San Fernando</t>
  </si>
  <si>
    <t>CONSTRUCTION STORAGE FACILITY</t>
  </si>
  <si>
    <t>INVITATION TO BID FOR REPRODUCTION OF LOCALLY PREPARED LEARNING MODULES OF ALL SUBJECT AREAS FROM KINDERGARTEN TO GRADE 12 FOR FIRST QUARTER OF SCHOOL YEAR 2020-2021</t>
  </si>
  <si>
    <t>INVITATION TO BID FOR SUPPLY AND DELIVERY OF CONSTRUCTION MATERIALS FOR SLAUGHTERHOUSE ENHANCEMENT AT BARANGAY BOSQUE, LINAMON, LANAO DEL NORTE</t>
  </si>
  <si>
    <t>SUPPLY AND DELIVERY OF UPVC PIPES AND FITTINGS FOR REHABILITATION OF PIPES FOR SIBUCO WATER DISTRICT</t>
  </si>
  <si>
    <t>Construction/Improvement of Special Action Force Headquarters Building Phase I, Camp. Bagong Diwa, Bicutan, Taguig City (Contract ID No. 20O00019)</t>
  </si>
  <si>
    <t>Construction of 7-Storey Office Building of Intelligence Service Armed Forces of the Philippines (ISAFP), Camp. Gen. Emilio Aguinaldo, Quezon City (Contract ID No. 20O00028)</t>
  </si>
  <si>
    <t>Supply and delivery of Solar Inverter (AFV 2020-122)</t>
  </si>
  <si>
    <t>Supply and Delivery of Brand New Cargo Truck to TARBC-Tinagancan, Gen. Santos City</t>
  </si>
  <si>
    <t>FURNISHED LABOR AND MATERIALS FOR THE CONSRUCTION OF WATER SYSTEM LEVEL II-BRGY. DATAL BILA-1ST POSTING=PHP 972,000.00</t>
  </si>
  <si>
    <t>Construction of Wet Filer -type finishing spray booth at Zamboanga Sibugay (VGR 2020-123)</t>
  </si>
  <si>
    <t>20CW-GSC-030 ROAD CONCRETING FROM FIL-AM HIGHWAY TO ANTONIO C. ACHARON MEMORIAL PARK, BARANGAY FATIMA, GENERAL SANTOS CITY</t>
  </si>
  <si>
    <t>Supply and delivery of Sound System Package &amp; Laptop with Software (ECC 2020-121)</t>
  </si>
  <si>
    <t>PROCUREMENT OF ONE (1) UNIT BRAND NEW PICK-UP TRUCK VEHICLE</t>
  </si>
  <si>
    <t>PROCUREMENT OF CONSTRUCTION MATERIALS FOR CONCRETING OF INTERMITTENT ROAD (ABAGAT-VILLA SOL RD)</t>
  </si>
  <si>
    <t>SUPPLY OF OFFICE SUPPLIES &amp; EQUIPMENT FOR LGU-BOBON, NORTHERN SAMAR</t>
  </si>
  <si>
    <t>INVITATION TO BID FOR SUPPLY AND DELIVERY OF CONSTRUCTION MATERIALS FOR THE ESTABLISHMENT OF TECHNO DEMO FACILITY (PERIMETER FENCE EXTENSION) AT BALAK II, MANADI, PURAKAN, LINAMON, LANAO DEL NORTE</t>
  </si>
  <si>
    <t>PB-20-404, Supply of 50,492.29 liters Diesel Fuel for various road building equipment assigned in the repair/maintenance of Provincial and Barangay roads at District II, Province of Cotabato</t>
  </si>
  <si>
    <t>PB-20-403, Supply of 109,399.98 liters Diesel Fuel for various road building equipment assigned in the repair/maintenance of Provincial and Barangay roads at District II, Province of Cotabato</t>
  </si>
  <si>
    <t>SUPPLY AND DELIVERY OF MATERIALS FOR THE CONCRETING OF FARM TO MARKET ROAD, PUROK 1, SAN ANTONIO SOUTH</t>
  </si>
  <si>
    <t>CONSTRUCTION and INSTALLATION OF SOLAR STREETLIGHTS (P-2)</t>
  </si>
  <si>
    <t>Package 2: Supply and Delivery of Medical Stretchers and Tables</t>
  </si>
  <si>
    <t>Purchase of jetmatic pumps for barangays (Repost)</t>
  </si>
  <si>
    <t>PB-20-401, Supply of 50,672 liters Diesel Fuel for various road building equipment assigned in the repair/maintenance of Provincial and Barangay roads at District I, Province of Cotabato</t>
  </si>
  <si>
    <t>PB-20-402, Supply of 118,764 liters Diesel Fuel for various road building equipment assigned in the repair/maintenance of Provincial and Barangay roads at District I, Province of Cotabato</t>
  </si>
  <si>
    <t>Package 3: Supply and Delivery of Electro-mechanical Equipment Part 1</t>
  </si>
  <si>
    <t>PB-20-405, Supply of 159,892.28 liters Diesel Fuel for various road building equipment assigned in the repair/maintenance of Provincial and Barangay roads at District III, Province of Cotabato</t>
  </si>
  <si>
    <t>Printing and Reproduction of Self-Learning Modules for the 2nd Quarter of SY 2020-2021</t>
  </si>
  <si>
    <t>PROCUREMENT OF CONSTRUCTION MATERIALS FOR VILLA FRIA DRAINAGE SYSTEM</t>
  </si>
  <si>
    <t>PB-20-400, Supply &amp; Delivery of GeneXprt Machine (GeneXpert IV) for the use of HIV treatment hub</t>
  </si>
  <si>
    <t>PROCUREMENT AND DISTRIBUTION OF 576 HEAD CHICKEN TO THE TD-USMAN AFFECTED FARMERS OF BOBON, NORTHERN SAMAR</t>
  </si>
  <si>
    <t>Package 1: Supply and Delivery of Medical Beds, Carts, and Cabinets</t>
  </si>
  <si>
    <t>20DG0052: Concreting of Brgy. Taywanak Ilaya FMR, Brgy. Taywanak Ilaya, Alfonso, Cavite; Project I.D No. 20DG0052</t>
  </si>
  <si>
    <t>20DG0054:	Construction of Four (4) Storey – Twelve (12) Classroom School Building at Urdaneta Elementary School, Magallanes, Cavite; Project I.D No. 20DG0054</t>
  </si>
  <si>
    <t>Procurement of Structural Retrofitting and Repair of Building 19 under IB No. CW 2020-001</t>
  </si>
  <si>
    <t>Package 5: Supply and Delivery of Sterilizers</t>
  </si>
  <si>
    <t>Supply and Delivery of Office Supplies and Consumables (SEF-0678, 0677, 0676, 0679-072020)</t>
  </si>
  <si>
    <t>PB-20-086, Procurement of Catering Services for the conduct of Parliamentary and Emergency Response Training of Sangguniang Panlalawigan &amp; Office of the Vice Governor, Amas, Kidapawan City</t>
  </si>
  <si>
    <t>SUPPLY AND DELIVERY OF CONSTRUCTION AND MAINTENANCE EQUIPMENT FOR THE UNIVERSITY</t>
  </si>
  <si>
    <t>MEALS AND SNACKS FOR THE CONDUCT OF SBM CAPABILITY BUILDING-MO ADMIN=PHP 235,000.00</t>
  </si>
  <si>
    <t>Purchase of Seeds and Fertilizers</t>
  </si>
  <si>
    <t>BAYBAYOG AGRI-TRADE &amp; TOURISM ACTIVITY CENTER</t>
  </si>
  <si>
    <t>ACQUISITION OF EQUIPMENT FOR MENRO-BOBON, NORTHERN SAMAR</t>
  </si>
  <si>
    <t>Package 16: Supply and Delivery Physical and Rehabilitation Equipment</t>
  </si>
  <si>
    <t>OR INSTRUMENTS AND VARIOUS EQUIPMENT</t>
  </si>
  <si>
    <t>Package 14: Supply and Delivery of Laboratory Equipment (Cold Chain)</t>
  </si>
  <si>
    <t>Package 13: Supply and Delivery of Laboratory Equipment (Electro-mechanical 2)</t>
  </si>
  <si>
    <t>Disaster Recovery Data Center Co-Location and ICT Equipment (Phase 2)</t>
  </si>
  <si>
    <t>Package 11: Supply and Delivery of Radiology Equipment</t>
  </si>
  <si>
    <t>Package 10: Supply and Delivery of NICU Equipment</t>
  </si>
  <si>
    <t>PB-20-413, Supply &amp; Delivery of Transistor Radios &amp; Flash Drives in support to DEPED TV/Radio Base Instruction and offline programs</t>
  </si>
  <si>
    <t>Package 9: Supply and Delivery of ER/OR Equipment</t>
  </si>
  <si>
    <t>Package 7: Supply and Delivery of ICU Equipment Part 1</t>
  </si>
  <si>
    <t>Package 4: Supply and Delivery of Electro-mechanical Equipment Part 2</t>
  </si>
  <si>
    <t>Misting of Different Public Schools (Purchase of Deltamethrin</t>
  </si>
  <si>
    <t>Construction and Rehabilitation of Potable Water Supply Level II</t>
  </si>
  <si>
    <t>Package 15: Supply and Delivery of Laboratory Equipment (Analyzer)</t>
  </si>
  <si>
    <t>Package 8: Supply and Delivery of ICU Equipment Part 2</t>
  </si>
  <si>
    <t>SUPPLY AND DELIVERY OF ONE (1) UNIT FORAGE HARVESTER (FLAIL CHOPPER) PCC-WVSU</t>
  </si>
  <si>
    <t>Package 12: Supply and Delivery of Laboratory Equipment (Electro-mechanical 1)</t>
  </si>
  <si>
    <t>SUPPLY AND DELIVERY OF FARM MACHINERIES/EQUIPMENT PCC GENE POOL</t>
  </si>
  <si>
    <t>SUPPLY AND DELIVERY OF FARM MACHINERIES/EQUIPMENT PCC-CLSU</t>
  </si>
  <si>
    <t>20DG0053: Construction of Four (4) Storey – Eight (8) Classroom School Building at Baliwag Elementary School, Magallanes, Cavite; Project I.D No. 20DG0053</t>
  </si>
  <si>
    <t>Duplicating Machine for Different Schools in the Province of Laguna</t>
  </si>
  <si>
    <t>SUPPLY AND DELIVERY OF ONE (1) UNIT FORAGE HARVESTER (FLAIL CHOPPER) PCC-MLPC</t>
  </si>
  <si>
    <t>SUPPLY AND DELIVERY OF FARM MACHINERIES/EQUIPMENT PCC-UPLB</t>
  </si>
  <si>
    <t>I.V. Fluids for LPH-San Pablo City District Hospital</t>
  </si>
  <si>
    <t>Laboratory Equipment for LPH-Dr. J.P. Rizal Memorial District Hospital</t>
  </si>
  <si>
    <t>Misting Solution, Mosquito Net and Larvicide for Preparedness Measure and Response of the Provincial Government of Laguna Against Vector Borne Diseases and for Distribution to Affected Areas of LGUs</t>
  </si>
  <si>
    <t>Medicines for LPH-Luisiana District Hospital</t>
  </si>
  <si>
    <t>Supplies for Donation to Different Barangays and Municipalities in the Province of Laguna</t>
  </si>
  <si>
    <t>SUPPLY AND DELIVERY OF ONE (1) UNIT BRAND NEW DIESEL AC POWER GENSET 75KVA (SILENT TYPE) PCC-MMSU</t>
  </si>
  <si>
    <t>Improvement of Barangay Site and Access Road</t>
  </si>
  <si>
    <t>SUPPLY AND DELIVERY OF ONE (1) UNIT FORAGE HARVESTER (FLAIL CHOPPER) PCC-LCSF</t>
  </si>
  <si>
    <t>Medical Supplies for Laguna Medical Center (NBB)</t>
  </si>
  <si>
    <t>Completion of Multi-Purpose Building, Drug Rehabilitation Center, and Satellite Treatment and Rehabilitation Center (Administration Building) at Barangay Kimat</t>
  </si>
  <si>
    <t>Food Stuff (supplemental Feeding)</t>
  </si>
  <si>
    <t>Laboratory Supplies for LPH-Gen. Cailles Memorial District Hospital</t>
  </si>
  <si>
    <t>CONCRETING OF PORTION OF BARANGAY ROAD (AMDUS BARANGAY SITE-AMDUS ELEMENTARY SCHOOL), AYUNGON, NEGROS ORIENTAL</t>
  </si>
  <si>
    <t>Concreting of Access Road</t>
  </si>
  <si>
    <t>CONCRETING; PORTION OF MANOGTONG BARANGAY ROAD, AYUNGON, NEGROS ORIENTAL</t>
  </si>
  <si>
    <t>PRE-BID CONFERENCE 18/Aug/2020 - Procurement of Goods: Lighting and Sound Systems for the Enhancement of Multi-Purpose Building (PR#100-20-08-0012)</t>
  </si>
  <si>
    <t>SUPPLY AND DELIVERY OF FARM MACHINERIES/EQUIPMENT PCC-USF</t>
  </si>
  <si>
    <t>CONCRETING; PORTION OF TIGUIB-TUMAMPON ROAD, AYUNGON, NEGROS ORIENTAL</t>
  </si>
  <si>
    <t>Package 6: Supply and Delivery of Medical Lights</t>
  </si>
  <si>
    <t>Procurement of Water Laboratory Supplies Lot 7</t>
  </si>
  <si>
    <t>CONCRETING OF PORTION OF BARANGAY ROAD AWA-AN-POBLACION (VIA ATABAY) BARANGAY ROAD, AYUNGON, NEGROS ORIENTAL</t>
  </si>
  <si>
    <t>Procurement of Water Laboratory Supplies Lot 4</t>
  </si>
  <si>
    <t>Procurement of Water Laboratory Supplies Lot 3</t>
  </si>
  <si>
    <t>Procurement of Water Laboratory Supplies Lot 1</t>
  </si>
  <si>
    <t>Procurement of Medical Equipment Package for BHS</t>
  </si>
  <si>
    <t>Concreting of 500 meters Barangay Road Phase 1</t>
  </si>
  <si>
    <t>Procurement of Water laboratory Supplies Lot 6</t>
  </si>
  <si>
    <t>Rehab. &amp; Repair of Brgy Roads  Brgy. Bilabid, Surigao City</t>
  </si>
  <si>
    <t>PRE-BID CONFERENCE 18/Aug/2020 - Procurement of Goods: Rescue and Response Equipment for the use of CDRRMO (PR#100-20-08-0011)</t>
  </si>
  <si>
    <t>Procurement of Water laboratory Supplies Lot 5</t>
  </si>
  <si>
    <t>PRE-BID CONFERENCE 18/Aug/2020 - Procurement of Goods: Supply &amp; Installation of Electronic Stage Curtain &amp; Lighting Batten System for the Enhancement of Muti-purpose Bldg. (PR#100-20-08-0023)</t>
  </si>
  <si>
    <t>Construction of Flood Control Phase I</t>
  </si>
  <si>
    <t>Cont. of Construction of Seawall P-4 to P-5</t>
  </si>
  <si>
    <t>CLUSTER IV-2020: CONSTRUCTION/ IMPROVEMENT/ REHABILITATION OF VARIOUS INFRASTRUCTURE PROJECTS LOCATED AT BARANGAYS BA-AYAN AND DACLAN, TUBLAY, BENGUET</t>
  </si>
  <si>
    <t>Proposed Continuation of Road Concreting at Barangay Campoyong, Guiuan, Eastern Samar</t>
  </si>
  <si>
    <t>CLUSTER III-2020: IMPROVEMENT/ COMPLETION OF VARIOUS INFRASTRUCTURE PROJECTS LOCATED AT BARANGAY TUBLAY CENTRAL, TUBLAY, BENGUET</t>
  </si>
  <si>
    <t>Procurement of Water Laboratory Supplies Lot 2</t>
  </si>
  <si>
    <t>Procurement of Fetal Doppler</t>
  </si>
  <si>
    <t>PROPOSED WATER PROOFING OF FIRE WALL</t>
  </si>
  <si>
    <t>IT Equipment for CTU Dumanjug</t>
  </si>
  <si>
    <t>PROPOSED PATHWAY AND DRAINAGE</t>
  </si>
  <si>
    <t>IMPROVEMENT OF MUNICIPAL ECO PARK</t>
  </si>
  <si>
    <t>CLUSTER II-2020: ELECTRIFICATION OF TUBLAY AGRI-MARKETING AND FOOD PROCESSING CENTER (TAMFPC) BUILDING AND MUNICIPAL INTEGRATED ORGANIC AGRICULTURAL LEARNING SITE (MIO-ALS) BUILDING AT TUBLAY, BENGUET</t>
  </si>
  <si>
    <t>CLUSTER OF CONSTRUCTION PROJECTS 2 (MDRRMO) AT AYUNGON, NEGROS ORIENTAL</t>
  </si>
  <si>
    <t>Construction of Seawall P-2</t>
  </si>
  <si>
    <t>Improvement / Construction of Various MDF Infra Projects - Cluster 3</t>
  </si>
  <si>
    <t>IMPROVEMENT OF MUNICIPAL ECO PARK PHASE III</t>
  </si>
  <si>
    <t>PROCUREMENT OF 1 (ONE) PACKAGE ELECTRICAL AND LIGHTING SUPPLY AT AYUNGON, NEGROS ORIENTAL</t>
  </si>
  <si>
    <t>Purchase of Various Medical Supplies for 2nd and 3rd Quarter CY - 2020</t>
  </si>
  <si>
    <t>CONSTRUCTION OF MUNICIPAL SOLID WASTE LANDFILL – AWA-AN, AYUNGON, NEGROS ORIENTAL</t>
  </si>
  <si>
    <t>Supply and Delivery of Class C  Volumetric Water Meter</t>
  </si>
  <si>
    <t>Procurement of Spare Submersible Pump &amp; Motor 2020</t>
  </si>
  <si>
    <t>LGU-AL-34-2020 CONSTRUCTION OF MRF &amp; RCA BUILDING BRGY. KATIPUNAN ABUYOG, LEYTE</t>
  </si>
  <si>
    <t>INSTALLATION OF STREET LIGHT SYSTEM ( SOLAR STREET LIGHT)</t>
  </si>
  <si>
    <t>PROPOSED REHABILITATION OF MULTI-PURPOSE HALL</t>
  </si>
  <si>
    <t>Purchase of One (1) unit surplus rescue vehicle</t>
  </si>
  <si>
    <t>CONSTRUCTION OF LIBI WATER SYSTEM Malapatan, Sarangani Province</t>
  </si>
  <si>
    <t>CONSTRUCTION OF MULTIPURPOSE BUILDING, KIULOM, KITAOTAO, BUKIDNON</t>
  </si>
  <si>
    <t>Purchase of garbage Truck Vehicle fir Solid Waste Management for the use of Brgy. Biga</t>
  </si>
  <si>
    <t>PBD OF VARIOUS HEAVY EQUIPMENT AND LIGHT VEHICLE OF THIS MUNICIPALITY</t>
  </si>
  <si>
    <t>Construction of Shoreline Protection</t>
  </si>
  <si>
    <t>Supply and Delivery of Common Office Supplies of various offices for the 1st &amp; 2nd Quarter 2020</t>
  </si>
  <si>
    <t>Procurement of Water Laboratory Supplies Lot 10</t>
  </si>
  <si>
    <t>CIRCUIT BREAKER</t>
  </si>
  <si>
    <t>Procurement of Water Laboratory Supplies Lot 9</t>
  </si>
  <si>
    <t>Procurement of Water Laboratory Supplies Lot 8</t>
  </si>
  <si>
    <t>CONSTRUCTION OF SOLAR STREET LIGHTS</t>
  </si>
  <si>
    <t>Landscaping along Barangays Naslo, Bagacay West, Bagacay East ad Mandog, Maasin, Iloilo</t>
  </si>
  <si>
    <t>REHABILITATION/CONCRETING OF MUNICIPAL STREETS, BARANGAY CALAG CALAG, AYUNGON, NEGROS ORIENTAL</t>
  </si>
  <si>
    <t>Purchase of Rice for Barangay Tanod</t>
  </si>
  <si>
    <t>Procurement of Consulting Services for Hydrological and Drainage Master Plan of Clark Freeport Zone</t>
  </si>
  <si>
    <t>PROCUREMENT OF TIRE</t>
  </si>
  <si>
    <t>Re-Bidding of the Supply and Delivery of Motorcycle for SP Office use, Sipalay City, Negros Occidental</t>
  </si>
  <si>
    <t>CONSTRUCTION OF MULTIPURPOSE BUILDING PHASE II, TAWAS, KITAOTAO, BUKIDNON</t>
  </si>
  <si>
    <t>CONSTRUCTION OF MALAPATAN KASFALA HALL Poblacion, Malapatan, Sarangani Province</t>
  </si>
  <si>
    <t>PROCUREMENT OF SEA PATROL SUPPLIES AND EQUIPMENT FOR THE IMPLEMENTATION OF COASTAL REGULATION, MONITORING AND SEABORNE PATROL OPERATION FOR FISHERIES REGULATORY AND LAW ENFOR</t>
  </si>
  <si>
    <t>PROCUREMENT OF CONST. MATERIALS AND SUPPLIES FOR APARTMENT TYPE CEMETERY</t>
  </si>
  <si>
    <t>Supply/Delivery of One (1) Unit Motor Vehicle (PR# 20-08-0774)</t>
  </si>
  <si>
    <t>ITB_PR#20-06-0121-Installation of SciCAT Signage and Pergola</t>
  </si>
  <si>
    <t>Purchase of Machinery and Equipment for the provision of Post-harvest Machinery and Equipment, Bataan</t>
  </si>
  <si>
    <t>2nd ITB Printer Materials and Materials for the reproduction of modules 2020</t>
  </si>
  <si>
    <t>CONSTRUCTION OF 1 STOREY, 2 CLASSROOM SCHOOL BUILDING AT BCT ELEMENTARY SCHOOL, BRGY. 10, MALAYBALAY CITY.</t>
  </si>
  <si>
    <t>20GGK0009 - Supply and Delivery of Fuel and Oil for use of Various Light Vehicles and Heavy Equipment assigned in the Maintenance Section, DPWH-Negros Occidental 1st District Engineering Office, Matab</t>
  </si>
  <si>
    <t>Supply/Installation of COVID19 Prevention Measures, LGU, Baybay City, Leyte</t>
  </si>
  <si>
    <t>SUPPLY AND DELIVERY OF  OTHER SUPPLIES (3RD QUARTER) FOR MO</t>
  </si>
  <si>
    <t>Asphalt Overlay, Brgy. Aplaya, Sta. Rosa City, Laguna</t>
  </si>
  <si>
    <t>(NVPH) INVITATION TO BID FOR THE SUPPLY AND DELIVERY OF 2,000 TANKS MEDICAL OXYGEN REFILL</t>
  </si>
  <si>
    <t>Concreting of Road Portion @ So. Luya, Brgy. Talbak, DRT, Bulacan</t>
  </si>
  <si>
    <t>BARANGAY ENHANCEMENT PROGRAM - BARANGAY HALL (EQUIPMENT)</t>
  </si>
  <si>
    <t>Construction of Piggery, Brgy. Kilim, Baybay City, Leyte</t>
  </si>
  <si>
    <t>Supply &amp; Delivery of Various Communication Equipment</t>
  </si>
  <si>
    <t>SUPPLY AND DELIVERY OF CONSOLIDATED LAPTOP AND COMPUTER DESKTOP</t>
  </si>
  <si>
    <t>Lightning of Cagayan Sports Complex Tuguegarao City</t>
  </si>
  <si>
    <t>SUPPLY AND DELIVERY OF SURVEYING EQUIPMENT ( REBID)</t>
  </si>
  <si>
    <t>Cluster 20 Installation of Street Lights San Luis, Tuao Cagayan, Installation of Street Lights Bagumbayan Tuao, Cagayan, Installation of Street Lights Caggay Tuguegarao City, Lightning and Improvement</t>
  </si>
  <si>
    <t>Improvement, Construction and Concreting of Various MDF Infra Projects - Cluster 4</t>
  </si>
  <si>
    <t>Procurement of Reference Books &amp; Professional Journals (Lot 1-2) Reposting</t>
  </si>
  <si>
    <t>ITB 2020-08-109A Procurement of 4,674 pcs. Manila Banner for DTCAM</t>
  </si>
  <si>
    <t>CONCTRUCTION OF MULTI-PURPOSE BUILDING (PHASE II), BRGY. ROMUALDEZ, DULAG LEYTE</t>
  </si>
  <si>
    <t>PROCUREMENT OF SIXTEEN (16) UNITS PHOTOCOPIER</t>
  </si>
  <si>
    <t>PURCHASE OF RISOGRAPH MACHINE FOR USE OF PUBLIC SCHOOLS</t>
  </si>
  <si>
    <t>SUPPLY AND DELIVERY OF 3 UNITS BRAND NEW RESCUE VEHICLE</t>
  </si>
  <si>
    <t>Completion of Multi-Purpose Building, Brgy. Sto. Angel, San Pablo City, Laguna</t>
  </si>
  <si>
    <t>Supply and Delivery of Twenty Two (22) Units Brand New Dump Truck</t>
  </si>
  <si>
    <t>Cluster5 Concreting of Road Leading to Zone1 San Esteban Alcala, Cagayan, Construction of Concrete Canal Pussian Alcala, Cagayan and Concreting of Barangay Marobbob Amulung Cagayan</t>
  </si>
  <si>
    <t>PROCUREMENT OF SUPPLIES AND MATERIALS (PRINTING OF SLMs and Activity Sheets), DEPED, MASINLOC, ZAMBALES</t>
  </si>
  <si>
    <t>Establishment of Binaybayon Park, Baybay City Sports Complex, Brgy. Hibunawan, Baybay City, Leyte</t>
  </si>
  <si>
    <t>Cluster 6 Construction of Slope Protection Wall at Centro II Calayan, Cagayan and Concreting of Barangay Road Babuyan Claro Calayan, Cagayan</t>
  </si>
  <si>
    <t>Drilling of One (1) Exploratory Production Well in Roxas, Palawan.</t>
  </si>
  <si>
    <t>Procurement of Modular Tent, LGU-CDRRMO, Baybay City, Leyte</t>
  </si>
  <si>
    <t>DESILTING OF RIVERS</t>
  </si>
  <si>
    <t>RFQ for the Procurement of Mailing Services for Unwarranted Claims</t>
  </si>
  <si>
    <t>Supply of Materials for the Pathway along the Seaview of Guadalupe</t>
  </si>
  <si>
    <t>Procurement of Agricultural Products</t>
  </si>
  <si>
    <t>Procurement of Vaccine, LGU-City Health Baybay City</t>
  </si>
  <si>
    <t>Repair and Maintenance of Sta. Cruz-Calumpang-Nagcarlan Provincial Road (Asphalt Overlay), Brgy. Talangan and Poblacion II, Nagcarlan, Laguna</t>
  </si>
  <si>
    <t>SUPPLY AND DELIVERY OF  VARIOUS OFFICE SUPPLIES (3RD QUARTER) FOR MO</t>
  </si>
  <si>
    <t>Installation of 30 Units Double Arm Round Steel Electrical Posts at Barangay Silanga</t>
  </si>
  <si>
    <t>Rental of Heavy Equipment for 2020 - DEPW</t>
  </si>
  <si>
    <t>CONCRETING OF 170 LINEAL METER BARANGAY MAMAGUM ROAD</t>
  </si>
  <si>
    <t>Procurement of Reference Books (Lot 1-4)</t>
  </si>
  <si>
    <t>Upgrading and Improvement of Barangay Canticum to Barangay Calayaan Access Road, Barangay Canticum-Calayaan Road, Calbiga, Samar/Contract No. INF-2020-005</t>
  </si>
  <si>
    <t>Installation of Streetlights Along Guimbal Roads (Phase II)</t>
  </si>
  <si>
    <t>Procurement of One (1) unit of Vehicle for Administration and for Multipurpose use  of SK Barangay Magallanes</t>
  </si>
  <si>
    <t>Supply and Delivery of Plastic Container</t>
  </si>
  <si>
    <t>Development of Eco Park ( Concreting of Road Leading to Maguddayao Street) Cagayan Sports Complex, Tuguegarao City</t>
  </si>
  <si>
    <t>SECURING A FRIENDLIER ENVIRONMENT (S.A.F.E.) (3RD QUARTER)</t>
  </si>
  <si>
    <t>Transfer of Generator Set and Installation of Secondary Power Distribution Line of Aparri District Hospital Toran, Aparri, Cagayan</t>
  </si>
  <si>
    <t>Rehabilitation of Maternal Care Package Building (MCP)</t>
  </si>
  <si>
    <t>Construction of Street Lights (Polocate, Banga, Aklan)</t>
  </si>
  <si>
    <t>BARANGAY ENHANCEMENT PROGRAM - PUBLIC WORKS, MAINTENANCE AND UTILITIES (3RD QUARTER)</t>
  </si>
  <si>
    <t>Construction of Box Culvert &amp; Road Maintenance (Polocate, Banga, Aklan)</t>
  </si>
  <si>
    <t>Cluster 4 Concreting Farm to Market Road Ziminila Camalaniugan, Cagayan, Regravelling of Barangay Road Paruddun Sur, Aparri, Cagayan, Construction of Drainage Canal Centro Lallo, Cagayan, Completion o</t>
  </si>
  <si>
    <t>Completion of Barangay Road at Sitio Bobong at Brgy. Suquib, Tayasan, Negros Oriental.</t>
  </si>
  <si>
    <t>INVITATION TO BID FOR: UPGRADING/REHABILITATION OF CORE LOCAL ACCESS ROAD (ZARAGOSA) – CANCATAC, CORELLA, BOHOL</t>
  </si>
  <si>
    <t>Rehabilitation/Improvement of Multi-Purpose Hall Phase V</t>
  </si>
  <si>
    <t>Procurement of Various Catering Services - OSP</t>
  </si>
  <si>
    <t>Cluster 8 Concreting of Cato Road Tuao, Cagayan and Concreting of Pata – Fugu Road Tauo, Cagayan</t>
  </si>
  <si>
    <t>PROCUREMENT OF VARIOUS FISHING GEARS AND PARAPHERNALIA FOR THE IMPLEMENTATION OF FISHERIES DEVELOPMENT PROGRAM IN THE CITY OF ALAMINOS, PANGASINAN</t>
  </si>
  <si>
    <t>Procurement of Vehicle Spare Parts &amp; Labor - PASSO</t>
  </si>
  <si>
    <t>Construction of Slope Protection @ Sapang Bulac E/S, Sapang Bulac, DRT, Bul</t>
  </si>
  <si>
    <t>Package 60: Supply and Delivery of Vehicle Rental Services</t>
  </si>
  <si>
    <t>Procurement of Vehicle Spareparts and Labor - OVG</t>
  </si>
  <si>
    <t>Supply &amp; Delivery of Construction Materials for the Installation of Portable Solar Lighting System,Brgy. Hilwan, Calinog, Iloilo</t>
  </si>
  <si>
    <t>Completion of Multi-Purpose Building, Brgy. Silangang Bukal, Liliw, Laguna</t>
  </si>
  <si>
    <t>Supply &amp; Delivery of Construction Materials for the Construction of Perimeter Fence, Brgy. Alibunan, Calinog, Iloilo</t>
  </si>
  <si>
    <t>CONSTRUCTION OF MULTI-PURPOSE PAVEMENT</t>
  </si>
  <si>
    <t>1.0 km Boardwalk (Phase 01) 96 Spans x 3.00m ( Cagayan Eco Tourism Forest Park) Nassiping, Gattaran, Cagayan</t>
  </si>
  <si>
    <t>Construction of Public Market Afusing Daga, Alcala, Cagayan</t>
  </si>
  <si>
    <t>PURCHASE OF GOODS (GROCERIES) FOR THE TEACHER'S DAY CELEBRATION 2020</t>
  </si>
  <si>
    <t>20KK0133 - Construction of Flood Control Structure, Downstream of Kibaluyot Bridge, Gingoog City, Misamis Oriental</t>
  </si>
  <si>
    <t>POBLACION POST AND STREETS REHABILITATION (3RD QUARTER)</t>
  </si>
  <si>
    <t>PROCUREMENT FOR THE SUPPLY AND DELIVERY OF ICT EQUIPMENT (PHASE 3)</t>
  </si>
  <si>
    <t>Const./Rehabof Multi-Purpose Pavement (Tabayon, Banga, Aklan)</t>
  </si>
  <si>
    <t>Supply and Delivery of Pendant for PRAISE 2020 (PR No. 2020-06-0585)</t>
  </si>
  <si>
    <t>Procurement-Supply &amp; Delivery of Vehicle Batteries</t>
  </si>
  <si>
    <t>Re-bidding: Supply and Delivery of Test Materials for the Guidance Office (PR No. 2020-01-0042)</t>
  </si>
  <si>
    <t>Procurement-Supply &amp; Delivery of Office Supplies &amp; Equipment</t>
  </si>
  <si>
    <t>BPSU Abucay Campus: Supply, Delivery and Installation of Hybrid Soil and Plant Laboratory Equipment for the Rehabilitation of BSA/BTVTE Building (Rebidding)</t>
  </si>
  <si>
    <t>PROCUREMENT OF SUPPLIES AND MATERIALS FOR THE ESTABLISHMENT OF TECHNO DEMONSTRATIONS ON GROUPER PRODUCTION IN FISH CAGE AND POLYCULTURE OF SEABASS AND MALAGA IN POND IN THE C</t>
  </si>
  <si>
    <t>Supply and Delivery of Construction Materials for the Concreting of Brgy. Road, Singay, Madalag, Aklan</t>
  </si>
  <si>
    <t>Procurement-Supply &amp; Delivery of Construction &amp; Hardware materials</t>
  </si>
  <si>
    <t>Procurement of 1 Package Safe Closure &amp; Rehabilitation of Doongan Controlled Dumpsite (LOT B) Phase 3 (Materials only) under P.R No. 2047-2020 -CEO -Trust Fund</t>
  </si>
  <si>
    <t>SUPPLY AND DELIVERY OF 31 CANS YELLOW ONION F1</t>
  </si>
  <si>
    <t>Re-bidding: Supply and Delivery of White Board for different departments (PR No. 2020-02-0241, 2020-02-0386, 2020-03-0450)</t>
  </si>
  <si>
    <t>Supply &amp; Delivery of  One (1)  Unit Motor Grader and One (1) Unit Walk Behind Machine, LGU-Paniqui, Tarlac</t>
  </si>
  <si>
    <t>Procurement of Catering Services, Venue and Accommodation - PHSO</t>
  </si>
  <si>
    <t>•	Design and Construction of Sanitary Land Fill at Sitio Midtawa, Central Panatan, Pigcawayan, Cotabato – Phase I (Design and Build Scheme)</t>
  </si>
  <si>
    <t>PROCUREMENT OF VARIOUS SUPPLIES FOR THE IMPLEMENTATION OF MANGROVE POPULATION ENHANCEMENT PROJECT IN THE CITY OF ALAMINOS, PANGASINAN</t>
  </si>
  <si>
    <t>PB2020-08-121 Procurement of Various Air Conditioning Units GABMMC</t>
  </si>
  <si>
    <t>Cluster 19 Construction of Public Toilet Piat Public Market Piat, Cagayan, Construction of Public Comfort Room at Gagabutan West, Rizal, Cagayan, Rehabilitation of Evacuation Center at Población 02, P</t>
  </si>
  <si>
    <t>Concreting of Sta. Maria Bilibigao Farm to Market Road, Claveria, Cagayan</t>
  </si>
  <si>
    <t>Repair, Rehabilitation and Improvement of Various School Building- Cluster 1</t>
  </si>
  <si>
    <t>Cluster 3 a – (Dev’t of Ballesteros Agri – Eco Tourism Park Project) Animal Farm Development (Cagayan Breeding Farm) and Forage and Pasture Development Zitanga, Ballesteros, Cagayan</t>
  </si>
  <si>
    <t>Procurement of Various Catering Services - PAGSO</t>
  </si>
  <si>
    <t>FARM TO MARKET ROAD</t>
  </si>
  <si>
    <t>PROCUREMENT OF TWO HUNDRED (200) UNITS  LAPTOP AND THREE THOUSAND (3000) PORTABLE TRANSISTOR RADIO , DEPED, MASINLOC, ZAMBALES</t>
  </si>
  <si>
    <t>Const./Rehab of Barangay Road (Ugsod, Banga, Aklan)</t>
  </si>
  <si>
    <t>UPGRADING &amp; CONCRETING OF PATHWAYS AT SITIO MANGAS BRGY. SAN VICENTE</t>
  </si>
  <si>
    <t>Construction of Water System (BALLIGUI)</t>
  </si>
  <si>
    <t>Supply and Delivery of  Brand New Ambulance  - ITB 054-2020 GQ</t>
  </si>
  <si>
    <t>Procurement of Food Stuff- Supplemental Feeding Program</t>
  </si>
  <si>
    <t>Sewing Machines</t>
  </si>
  <si>
    <t>PROCUREMENT OF OFFICE SUPPLIES FOR SCHOOLS</t>
  </si>
  <si>
    <t>Procurement of Two (2) Lots Hotel Room Accommodation for CF-Bacolod and CF-Iloilo Employees and Guests at Bacolod, Iloilo and Other Cities Nationwide for a period of Three (3) years (Lot 2)</t>
  </si>
  <si>
    <t>PROCUREMENT OF OFFICE EQUIPMENT, FURNITURES &amp; FIXTURES, ICT EQUIPMENT &amp; OTHER PROPERTY, PLANT &amp; EQUIPMENT</t>
  </si>
  <si>
    <t>SUPPLY AND DELIVERY OF CONSTRUCTION MATERIALS OF MULTI PURPOSE BUILDING HALL PHASE III-B,  TAGAPUA, SAN FRANCISCO, AGUSAN DEL SUR</t>
  </si>
  <si>
    <t>Procurement of Two (2) Lots Hotel Room Accommodation for CF-Bacolod and CF-Iloilo Employees and Guests at Bacolod, Iloilo and Other Cities Nationwide for a period of Three (3) years (Lot 1)</t>
  </si>
  <si>
    <t>19JC0077- Concreting of Municipal Roads, Liloy, Zamboanga del Norte</t>
  </si>
  <si>
    <t>Procurement of Equipment and Materials for the Upgrade of Lighting System used in MPB Auditorium and Gymnasium</t>
  </si>
  <si>
    <t>Construction of Water System (YSMAEL)</t>
  </si>
  <si>
    <t>RENOVATION OF GSO ROOF BUILDING (CAPITOL COMPLEX, PUERTO PRINCESA CITY)</t>
  </si>
  <si>
    <t>Procurement of Tires for the Repair and Maintenance of Machinery and Equipment</t>
  </si>
  <si>
    <t>SUPPLY, DELIVERY, INSTALLATION AND COMMISSIONING OF TREADMILL STRESS TEST SYSTEM</t>
  </si>
  <si>
    <t>PROCUREMENT OF RAPID DETECTION TEST KITS AND OTHER SUPPLIES</t>
  </si>
  <si>
    <t>Construction of Box Culvert (3 x 2 x 6m Double Barrel) at Barangay Pagsanahan Sur</t>
  </si>
  <si>
    <t>SUPPLY AND DELIVERY OF SCHOOL ARMCHAIR AND CLASSROOM BLACK BOARD-PGO</t>
  </si>
  <si>
    <t>BUALAN CIP 2017 (SUPPLY OF CM)-5TH ED.GOODS (2020)</t>
  </si>
  <si>
    <t>Construction of Water System (CABUA-AN)</t>
  </si>
  <si>
    <t>Improvement of Water System (DIDUYON)</t>
  </si>
  <si>
    <t>Concreting of Barangay Roads at Rizal, Roxas, Isabela</t>
  </si>
  <si>
    <t>PROCUREMENT OF VARIOUS ICT EQUIPMENT</t>
  </si>
  <si>
    <t>SUPPLY AND DELIVERY OF VARIOUS ELECTRICAL SPARE PARTS FOR 163KW DALE PERKINS INTENDED FOR DOONG DPP</t>
  </si>
  <si>
    <t>SUPPLY/DELIVERY OF CONSTRUCTION MATERIALS FOR REPAIR/REHABILITATION OF CANALIZATION &amp; CANAL STRUCTURES OF NIA-LCPIS, Libmanan and Cabusao, Camarines Sur (REBID</t>
  </si>
  <si>
    <t>Installation/Construction of Streetlights</t>
  </si>
  <si>
    <t>Construction of Multi-Purpose Center</t>
  </si>
  <si>
    <t>Supply and Delivery of Furniture/Furnishing/Movables for New Government Center, Poblacion, Tapaz, Capiz</t>
  </si>
  <si>
    <t>Procurement of Motor Vehicle (Land Ambulance)</t>
  </si>
  <si>
    <t>Supply and Delivery of Medical Supplies and Medicines PII</t>
  </si>
  <si>
    <t>Local Access Road Opening/Rehabilitation &amp; Improvements from Sitio Caratukot to Sitio Bartolome, &amp; Sitio Gulayan Farm-to-Market Road, San Placido, Roxas, Isabela</t>
  </si>
  <si>
    <t>Supply and Delivery of IT Equipment for Research &amp; Extension (PR No. 2020-02-0143, 2020-02-0168)</t>
  </si>
  <si>
    <t>Supply and Delivery of Supplies for Modular Learning in Learning in Elementary and Secondary Level</t>
  </si>
  <si>
    <t>CONCRETING OF BARANGAY STREET, Brgy. Balagon, Can-avid Eastern Samar</t>
  </si>
  <si>
    <t>Construction of Slope Protection  @ View Deck &amp; Calle Onse, P.S., DRT, Bulacan</t>
  </si>
  <si>
    <t>Construction of Water System (JOSE ANCHETA)</t>
  </si>
  <si>
    <t>PROPOSED STREETLIGHTING ALONG GRANDEUR ST., LOCATED AT BRGY. SAN ISIDRO, MAKATI CITY</t>
  </si>
  <si>
    <t>Construction of Multi-Purpose Hall at Brgy. Matatalaib, Tarlac City, Improvement of Multi-Purpose Hall at Brgy. Mabini, Tarlac City and Improvement of Mulit-Purpose Hall at Brgy. Trinidad, Tarlac City</t>
  </si>
  <si>
    <t>SUPPLY/DELIVERY OF CONSTRUCTION MATERIALS FOR REPAIR/REHABILITATION OF CHECKGATE # 2 &amp; CANALIZATION WORKS OF YABO FRANCIA CIS, Milaor, Camarines Sur (REBID 3)</t>
  </si>
  <si>
    <t>Procurement of Airconditioner</t>
  </si>
  <si>
    <t>(NVPH) INVITATION TO BID FOR THE SUPPLY AND DELIVERY OF DENTAL SUPPLIES</t>
  </si>
  <si>
    <t>Supply and Delivery of IT and Office Equipment</t>
  </si>
  <si>
    <t>SUPPLY/DELIVERY OF CONSTRUCTION MATERIALS FOR CONSTRUCTION OF CONCRETE CANAL LINING OF RONGOS PIP, Libmanan, Camarines Sur</t>
  </si>
  <si>
    <t>INVITATION TO BID FOR: CONCRETING OF CORE LOCAL ACCESS ROAD (D. CURAYAG ST.) – ANISLAG, CORELLA, BOHOL</t>
  </si>
  <si>
    <t>CONSTRUCTION OF FISH PORT AT BRGY. CORONG CORONG</t>
  </si>
  <si>
    <t>Repair/Rehabilitation of Main Building and Completion of Wards at Tablas Island District Hospital (TIDH) San Agustin, Romblon</t>
  </si>
  <si>
    <t>PROPOSED LINE EXTENSION OF SINGLE PHASE PRIMARY</t>
  </si>
  <si>
    <t>Concreting of Barangay Roads at Rang-ayan, Roxas, Isabela</t>
  </si>
  <si>
    <t>Procurement of Various Medical Equipment - SOYMPH</t>
  </si>
  <si>
    <t>CONCRETING OF BARANGAY STREET, Brgy. Canteros, Can-avid Eastern Samar</t>
  </si>
  <si>
    <t>Procurement of OFFICE EQUIPMENT</t>
  </si>
  <si>
    <t>BARANGAY RESOURCE ENHANCEMENT (3RD QUARTER)</t>
  </si>
  <si>
    <t>Repair, Rehabilitation and Improvement of Various School Buildings – Cluster 2 – (BEFF-2020-R-B2-C2)</t>
  </si>
  <si>
    <t>Concreting of Barangay Roads at San Rafael, Roxas, Isabela</t>
  </si>
  <si>
    <t>Flood Control Project (Rehabilitation/Improvement of Drainage System) at Barangay Alogoog, Badoc, Ilocos Norte</t>
  </si>
  <si>
    <t>PROCUREMENT OF SUPPLIES AND MATERIALS FOR THE ESTABLISHMENT OF TECHNO DEMONSTRATION ON SHELLFISH (OYSTER) CULTURE AND PRODUCTION IN THE CITY OF ALAMINOS, PANGASINAN</t>
  </si>
  <si>
    <t>Supply and Delivery of One (1) unit Brand New PICK-UP  for Engineering Dept., City Government of Marikina</t>
  </si>
  <si>
    <t>PROCUREMENT OF VARIOUS ELECTRICAL MATERIALS TO BE USED IN THE REPAIR &amp; MAINTENANCE OF STREETLIGHTS &amp; BUILDINGS/FACILITIES</t>
  </si>
  <si>
    <t>PROCUREMENT OF TRAFFIC MOBILE PATROL UNIT  (FOR LGU USE)</t>
  </si>
  <si>
    <t>CONCRETING OF UPPER MAINIT-LOWER MAINIT-NAGPAN PROVINCIAL ROAD Malungon, Sarangani Province</t>
  </si>
  <si>
    <t>Straight Contract for Improvement of Multi-Purpose Hall (Youth Center), Brgy. Cabanbanan, Himamaylan City</t>
  </si>
  <si>
    <t>Straight Contract for Installation of Street Lights at WVSU, Brgy. Caradio-an, Himamaylan City</t>
  </si>
  <si>
    <t>REQUEST FOR EXPRESSION OF INTEREST FOR THE CONSULTING SERVICES ON THE MASTER DEVELOPMENT PLANS OF NEUST TWO (2) CAMPUSES IN NUEVA ECIJA</t>
  </si>
  <si>
    <t>Procurement-Supply &amp; Delivery of Office Supplies</t>
  </si>
  <si>
    <t>CONSTRUCTION OF RIVER CONTROL STRUCTURE MARIBULAN, ALABEL Alabel, Sarangani Province</t>
  </si>
  <si>
    <t>PES Purchase of Various Office Supplies available to PS 2020</t>
  </si>
  <si>
    <t>Construction of Farm to Market Road (FTMR)-Brgy. Cabaruan, San Fabian, Pangasinan</t>
  </si>
  <si>
    <t>Cluster 12 Construction of Covered pathway Abbangkeruan Elem. School Pamplona, Cagayan, Construction of Covered Pathway Cabaggan Elem, School, Pamplo na, Cagayan, Construction of Covered Walk David m</t>
  </si>
  <si>
    <t>Improvement of Drainage Canal, Poblacion, Madalag, Aklan</t>
  </si>
  <si>
    <t>Procurement of Foodstuff</t>
  </si>
  <si>
    <t>CONSTRUCTION OF 1 STOREY, 3 CLASSROOM SCHOOL BUILDING AT APO MACOTE NATIONAL HIGH SCHOOL, BRGY. APO MACOTE, MALAYBALAY CITY.</t>
  </si>
  <si>
    <t>One Job Order for Freight and Handling services from receipt of Purchase Order until December 31, 2020 or until the total ABC is consumed whichever comes first for cargoes from DOH-CV CHD Warehouse to</t>
  </si>
  <si>
    <t>ITB-B16-2020</t>
  </si>
  <si>
    <t>Invitation to Bid Flooring of Gymnasium</t>
  </si>
  <si>
    <t>CONTRACT ID # 20-08-110 - PROPOSED COMPLETION OF MALANGAS RHU</t>
  </si>
  <si>
    <t>(PIHO) INVITATION TO BID FOR THE SUPPLY AND DELIVERY OF DRUGS AND MEDICINES</t>
  </si>
  <si>
    <t>Construction of Two) (2) unit comfort room-Sobol Elementary School, San Fabian, Pangasinan</t>
  </si>
  <si>
    <t>OPLAN SAGIP BUHAY (3RD QUARTER)</t>
  </si>
  <si>
    <t>CONCRETING OF BARANGAY STREET, Brgy. Mabuhay, Can-avid Eastern Samar</t>
  </si>
  <si>
    <t>Procurement of Signages and Stickers</t>
  </si>
  <si>
    <t>Supply and Delivery of Monobloc Chairs</t>
  </si>
  <si>
    <t>Powdered Milk etc. (07-0826) CSWDO</t>
  </si>
  <si>
    <t>PROPOSED REHABILITATION AND UPGRADING OF EXISTING STREETLIGHTING ALONG PONTE ST., LOCATED AT BRGY. SINGKAMAS/TEJEROS/STA. CRUZ, MAKATI CITY</t>
  </si>
  <si>
    <t>REPAINTING OF PROVINCIAL CAPITOL PERIMETER FENCE Capitol Complex, Alabel, Sarangani Province</t>
  </si>
  <si>
    <t>Concreting/Rehabilitation of Local Road at Brgy. Amucao and Brgy. Batang-Batang, Tarlac City. B2020-101-A</t>
  </si>
  <si>
    <t>Repair, Rehabilitation and Improvement of Various School Buildings – Cluster 3 – (BEFF-2020-R-B2-C3)</t>
  </si>
  <si>
    <t>PROPOSED REHABILITATION AND UPGRADING OF EXISTING STREETLIGHTING ALONG P. MEDINA ST., LOCATED AT BRGY. PIO DEL PILAR, MAKATI CITY</t>
  </si>
  <si>
    <t>Procurement of Newspaper Publication of Three (3) SP Ordinances</t>
  </si>
  <si>
    <t>PROPOSED ROAD IMPROVEMENT OF PAGKAKAISA ST., LOCATED AT BRGY. KASILAWAN, MAKATI CITY</t>
  </si>
  <si>
    <t>SUPPLY AND DELIVERY OF MAIN AIR COMPRESSOR ASSYMBLY FOR YANMAR ENGINE INTENDED FOR NPC TUGBOAT NO. 1</t>
  </si>
  <si>
    <t>MAINTENANCE OF MUNICIPAL HALL, POBLACION, IMPASUGONG, BUKIDNON</t>
  </si>
  <si>
    <t>HEAVY DUTY PRINTER (RENT TO OWN) FOR PRINTING OF LEARNING MATERIALS ON MODULAR LEARNING</t>
  </si>
  <si>
    <t>CONSTRUCTION OF 1 STOREY, 2 CLASSROOM SCHOOL BUILDING AT INCALBOG ELEMENTARY SCHOOL, BRGY. CAN-AYAN, MALAYBALAY CITY.</t>
  </si>
  <si>
    <t>PROCUREMENT AND DELIVERY OF CONSTRUCTION MATERIAL FOR ROAD CONCRETING AT TABERNA-BUCANA</t>
  </si>
  <si>
    <t>Concreting/Rehabilitation of Local Road at Brgy. Atioc, Brgy. Dela Paz and Brgy. San Francisco, Tarlac City. B2020-103-A</t>
  </si>
  <si>
    <t>Rehabilitation and Upgrading of Freshwater Fish Hatchery in Support to BASIL Program</t>
  </si>
  <si>
    <t>CLUSTER 28: CLUSTERED PROJECTS OF BARANGAY BANGAO</t>
  </si>
  <si>
    <t>Supply and delivery of fuel for Mun. Vice Mayor's Office vehicles use.</t>
  </si>
  <si>
    <t>CONSTRUCTION OF MULTI - PURPOSE BUILDING, DISASTER OPERATION CENTER</t>
  </si>
  <si>
    <t>INVITATION TO BID FOR Procurement of Construction Materials for Construction of Rural Health Unit II</t>
  </si>
  <si>
    <t>Invitation to Bid Construction of LIGA Ext. Hall</t>
  </si>
  <si>
    <t>Prov. of Labor and Mat. for the Construction of Two (2) Units Small Water Impounding System (SWIS) with Storage Capacity of 37.50 cu. m. each to be constructed in Sitio Hot Spring, Asinga Via, Baggao,</t>
  </si>
  <si>
    <t>Supply and Delivery of Medallion and Certificate with Frame for PRAISE AWARD 2020 on September 30, 2020</t>
  </si>
  <si>
    <t>(NVPH) INVITATION TO BID FOR THE SUPPLY AND DELIVERY OF RADIOLOGY SUPPLIES</t>
  </si>
  <si>
    <t>PROPOSED REHABILITATION AND UPGRADING OF EXISTING STREETLIGHTING ALONG PASONG TIRAD ST., LOCATED AT BRGY. LA PAZ/TEJEROS, MAKATI CITY</t>
  </si>
  <si>
    <t>CONSTRUCTION OF EVACUATION CENTER, Brgy. Lindero, Libertad, Antique/IB No. K-2020-094(SC)</t>
  </si>
  <si>
    <t>Concreting/Rehabilitation of Local Road at Brgy. Dolores and Brgy. Laoang, Tarlac City. B2020-102-A</t>
  </si>
  <si>
    <t>Proposed Construction of Community Fish Landing Center at Barangay Sulangan, Guiuan, Eastern Samar</t>
  </si>
  <si>
    <t>SUPPLY AND DELIVERY OF 1 UNIT BRAND NEW SPEED BOAT</t>
  </si>
  <si>
    <t>REPRODUCTION OF MODULES</t>
  </si>
  <si>
    <t>Surveying services (27.5ha relocation survey)</t>
  </si>
  <si>
    <t>Rehabilitation and Improvement of Brgy. Road along Cabisilan to Lower San Agustin Road, Bauang</t>
  </si>
  <si>
    <t>PROPOSED REHABILITATION AND UPGRADING OF EXISTING STREETLIGHTING ALONG ARNAIZ AVENUE LOCATED AT VARIOUS BARANGAYS OF MAKATI CITY</t>
  </si>
  <si>
    <t>Construction of Overflow R.C. Pipe Culvert</t>
  </si>
  <si>
    <t>IB 2020-08-013 NPPV Negotiated Procurement of Passenger Van Service Vehicle 2020-13</t>
  </si>
  <si>
    <t>Pag-IBIG Fund CHQ (Supply and Delivery of Y2020 Pag-IBIG Fund Promotional Tokens)</t>
  </si>
  <si>
    <t>FURNISHING &amp; DELIVERY OF MATERIALS FOR THE IMPROVEMENT OF CLIENTELE PARKING AREA INFRONT OF MTH</t>
  </si>
  <si>
    <t>INVITATION TO BID FOR: CONCRETING OF CORE LOCAL ACCESS ROAD (KADAWNGAN) – POBLACION, CORELLA, BOHOL</t>
  </si>
  <si>
    <t>“Acquisition of One (1) Unit Supply, Delivery and Installation of Gas Chromatography-Mass Spectrometry (GCMS)”</t>
  </si>
  <si>
    <t>SUPPLY AND DELIVERY OF VARIOUS MECHANICAL SPARE PARTS FOR THE OVERHAULING OF 2X135HP CUMMINS AUXILIARY GENERATOR OF NPC TUGBOAT 1</t>
  </si>
  <si>
    <t>CONSTRUCTION OF 1-STOREY COVID-19 ISOLATION CENTER IN THE QUARANTINE AREA FACILITY</t>
  </si>
  <si>
    <t>PROPOSED ROAD IMPROVEMENT FOR M. ESTRELLA ST. (VILLENA ST.), LOCATED AT BRGY. CARMONA, MAKATI CITY</t>
  </si>
  <si>
    <t>Procurement of 6 Piece Philippine Flag , Nylon Tafetta, Size: 15 x 30 under P.R.No. 2374-2020- City Tourism Office.</t>
  </si>
  <si>
    <t>Rehabilitation and Improvement of Brgy. Road along Boy-Utan to Payocpoc Norte Este Road, Bauang</t>
  </si>
  <si>
    <t>2020-176-I PROCUREMENT OF CATERING SERVICES FOR IDS, PMED, RAFC AND SAAD/CORN/GAD PROGRAM, RESEARCH AND REGULATORY DIVISION IN DAVAO REGION CY 2020</t>
  </si>
  <si>
    <t>KIANGAN PUBLIC MARKET CONTINUATION  IMPROVEMENT OF KIANGAN PUBLIC MARKET</t>
  </si>
  <si>
    <t>PROPOSED REHABILITATION AND UPGRADING OF EXISTING STREETLIGHTING ALONG DON CHINO ROCES AVENUE LOCATED AT VARIOUS BARANGAYS OF MAKATI CITY</t>
  </si>
  <si>
    <t>CONTRACT ID # 20-08-109 - PROPOSED COMPLETION OF HALFWAY HOUSE AT ROXAS RHU</t>
  </si>
  <si>
    <t>Construction of Farm to Market Road (FTMR) - Brgy. Tocok, San Fabian, Pangasinan</t>
  </si>
  <si>
    <t>Construction of Central Kitchen at the APTC Compound, Muñoz West, Roxas, Isabela</t>
  </si>
  <si>
    <t>COLD STORAGE- BARANGAY CENTRO NAPU</t>
  </si>
  <si>
    <t>“Acquisition of One (1) Lot Supply and Delivery of Various Security Equipment”</t>
  </si>
  <si>
    <t>CONSTRUCTION OF SEAWALL, Sitio Nasunugan to Sitio Mugnao, Brgy. Bacalan, Sebaste, Antique/IB. NO. K-2020-091(SC)</t>
  </si>
  <si>
    <t>Procurement of Goods (Chicken Pullets, Chicken Cockerels and Livestock Supplies and Materials for the Free Range Native Chicken Project)</t>
  </si>
  <si>
    <t>ITB No. 20 - 30: Procurement of Medical - Surgical Supplies</t>
  </si>
  <si>
    <t>Construction of Multi-purpose covered court (Phase I)- Brgy. Angio, San Fabian, Pangasinan</t>
  </si>
  <si>
    <t>Upgrading and Improvement of Brgy. Pandan Road, Brgy. Pandan, Sogod, Southern Leyte</t>
  </si>
  <si>
    <t>MOBILE LOAD</t>
  </si>
  <si>
    <t>PHYSICAL THERAPY ENHANCEMENT PROGRAM (3RD QUARTER)</t>
  </si>
  <si>
    <t>FURNISHING &amp; DELIVERY OF ONE (1) UNIT DUPLICATOR MACHINE</t>
  </si>
  <si>
    <t>CONSTRUCTION OF MULTI-PURPOSE CENTER (Valderrama ES, Brgy. Valderrama, Culasi, Antique)/IB. NO. K-2020-083(SC)</t>
  </si>
  <si>
    <t>CONSTRUCTION OF STREETLIGHTS @  BARANGAY SAN MIGUEL</t>
  </si>
  <si>
    <t>CONSTRUCTION OF MULTI-PURPOSE CENTER/EMERGENCY EVACUATION CENTER (Barangay Barusbus, Libertad, Antique)/IB. NO. K-2020-086(SC)</t>
  </si>
  <si>
    <t>IT EQUIPMENT/IB No. MM-2020-031</t>
  </si>
  <si>
    <t>Purchase of One (1) Unit Riso and One(1) Unit Copier Machine</t>
  </si>
  <si>
    <t>CONCRETING OF FARM TO MARKET ROAD, Brgy. San Pascual, Culasi, Antique/IB. NO. K-2020-092(SC)</t>
  </si>
  <si>
    <t>Supply, Delivery and Installation of LED Wall of City Auditorium Located at City Hall Building B</t>
  </si>
  <si>
    <t>PAINTING OF BASKETBALL COURT @ BRGY. STA. MESA, MABINI, BATANGAS</t>
  </si>
  <si>
    <t>OFFICE EQUIPMENT(AIR ONDITIONER, EXHAUST, INDUSTRIAL FUN )/IB No. OE-2020-001</t>
  </si>
  <si>
    <t>PROJECT 8 -   PROCUREMENT AND DELIVERY OF ANALGESICS FOR DOH CHD 1 FOR CY 2020</t>
  </si>
  <si>
    <t>PROJECT 9 -   PROCUREMENT AND DELIVERY OF HPN AND DM DRUGS AND MEDICINES FOR DOH CHD ILOCOS FOR CY 2020</t>
  </si>
  <si>
    <t>SUPPLY AND DELIVERY OF PRINTING SUPPLIES (BOND PAPERS AND INKS)</t>
  </si>
  <si>
    <t>FURNISHING &amp; DELIVERY OF COVID19 ANTIBODY RAPID DIAGNOSTIC TEST SCREENING KIT</t>
  </si>
  <si>
    <t>HO-FFW20-002 - Supply and Delivery of Data Backup Storage, Digital Camera, Water Distiller, Refrigerator and Filing Cabinet</t>
  </si>
  <si>
    <t>PROJECT 6 -   PROCUREMENT AND DELIVERY OF ANTIBIOTICS DRUGS AND MEDICINES FOR DOH CHD ILOCOS FOR CY 2020</t>
  </si>
  <si>
    <t>BOOKPAPER/IB NO. DE-2020-012</t>
  </si>
  <si>
    <t>PROCUREMENT OF MOTORVEHICLE WITH SIDECAR</t>
  </si>
  <si>
    <t>PROJECT 2 -  PROCUREMENT AND DELIVERY OF TOPICAL DRUGS AND MEDICINE FOR DOH CHD ILOCOS FOR CY 2020</t>
  </si>
  <si>
    <t>PROJECT 1 - PROCUREMENT AND DELIVERY OF MULTI-VITAMINS FOR DOH CHD 1 FOR CY 2020</t>
  </si>
  <si>
    <t>PROJECT 7 -   PROCUREMENT AND DELIVERY OF LAGUNDI AND SAMBONG FOR DOH CHD ILOCOS FOR CY 2020</t>
  </si>
  <si>
    <t>ITB for the Supply and Delivery of ICT Supplies and Equipment</t>
  </si>
  <si>
    <t>Construction of Covered Court/Mini Gym (Materials, Labor and Equipment)</t>
  </si>
  <si>
    <t>HO-TWT20-004 - Supply and Delivery of Various Ink Toner and Cartridges</t>
  </si>
  <si>
    <t>Invitation to Bid for the Construction of Multi-Purpose Drying Pavement (MPDP) @ Brgy. Turod Patac, Ilocos Sur</t>
  </si>
  <si>
    <t>CONSTRUCTION OF MULTI-PURPOSE BUILDING (DAIRY FARM)</t>
  </si>
  <si>
    <t>PCHT PABAC2 001-20 LOT1 Procurement of Freight Forwarding Services for the Transport of Supplies in Luzon.</t>
  </si>
  <si>
    <t>FURNISHING &amp; DELIVERY OF ISOLATION BEDDINGS AND ELECTRIC FAN FOR LIGTAS COVID CENTER @ CENTRO SUR GYMNASIUM</t>
  </si>
  <si>
    <t>Improvement / Rehabilitation of Various MDF Infra Projects - Cluster 5</t>
  </si>
  <si>
    <t>HO-TWT20-003 - Supply and Delivery of Various Office Supplies</t>
  </si>
  <si>
    <t>FURNISHING &amp; DELIVERY OF MEDICAL SUPPLIES</t>
  </si>
  <si>
    <t>Rehabilitation of Damaged Road, Brgy. San Roque Sagumay, Nabua, Camarines Sur</t>
  </si>
  <si>
    <t>20MF0092-Repair/Maintenance of Reflective Thermoplastic Stripping Materials (Solid  Form) along Kidapawan-Allah Junction Road, K1673+(000)-K1673+393 (S00747MN), Tacurong City, Sultan Kudarat</t>
  </si>
  <si>
    <t>Procurement of 1 lot Real - Time  Polymerase Chain Reaction (PCR) Workflow machines</t>
  </si>
  <si>
    <t>PROCUREMENT OF OFFICE TABLES, CABINET AND CHAIRS</t>
  </si>
  <si>
    <t>Supply, Delivery and Installation of 1 Unit Large Format Printer of Bukidnon State University</t>
  </si>
  <si>
    <t>20MF0091-Concreting of Brgy. Sadsalan to Brgy. Udtong FMR, Brgy. Sadsalan and Brgy. Udtong, Lambayong, Sultan Kudarat, Sta.0+000-Sta. 0+896.7</t>
  </si>
  <si>
    <t>NCB Publication No. 2020- 32 (First Publication)- Package 2020-15 - PB (1. Grouted Riprap of IPFHARC Fishponds 1,2,3 2. Concreting of Road Side Approach at IPFHARC)</t>
  </si>
  <si>
    <t>HO-TWT20-002 - Supply and Delivery of Caliper, Laminating Machine and Saw Cross</t>
  </si>
  <si>
    <t>Production, Printing and Delivery of the following BSP Publications, as per BSP Scope of Work, Specifications and Terms of Reference (5 Lots)</t>
  </si>
  <si>
    <t>QM PABAC 033-20 Procurement of 1,715 sets PA Ballistic Helmet</t>
  </si>
  <si>
    <t>Invitation to Bid for the Procurement of Laptops</t>
  </si>
  <si>
    <t>“Acquisition of One (1) Unit, Supply and Delivery of Passenger Van for the Office of the Director.”</t>
  </si>
  <si>
    <t>Fabrication and Installation of Material Recovery Facility (MRF) of Eleven Barangays of Rizal, Occidental Mindoro</t>
  </si>
  <si>
    <t>CONCRETING/MAINTENANCE OF VARIOUS BARANGAY AND MUNICIPAL INFRASTRUCTURE</t>
  </si>
  <si>
    <t>Concreting of Local Road at Brgy. San Vicente Ogbon, Nabua, Camarines Sur</t>
  </si>
  <si>
    <t>NCB Publication No. 2020- 31 (First Publication)- Poblacion- Balangbang Road Improvement</t>
  </si>
  <si>
    <t>RENOVATION OF GUESTHOUSE</t>
  </si>
  <si>
    <t>PCHT PABAC2 001-20 LOT 3 Procurement of Freight Forwarding Services for the Transport of Supplies in Mindanao</t>
  </si>
  <si>
    <t>Invitation to Bid for the Construction of Multi-Purpose Drying Pavement (MPDP) @ Brgy. Cuantacla, Cabugao, Ilocos Sur</t>
  </si>
  <si>
    <t>20MF0090-Concreting of Norway Road, Brgy. Bannawag FMR, Pres. Quirino, Sultan Kudarat, Sta. 0+000-Sta.0+730</t>
  </si>
  <si>
    <t>20GKD0004: Purchase of Cubicle with Chair &amp; Mobile Pedestal Metal for Planning &amp; Design Section, Cagayan de Oro City 2nd District Engineering Office, Macabalan, Cagayan de Oro City</t>
  </si>
  <si>
    <t>Community Empowerment through Science and Technology</t>
  </si>
  <si>
    <t>MUNICIPAL-WIDE STREET LIGHTING PROJECT</t>
  </si>
  <si>
    <t>WIDENING OF BRIDGE AT PULONG SINGKAMAS</t>
  </si>
  <si>
    <t>Contract ID No. 20J00217 - Repair/Maintenance of DPWH Building Main Repair Bay Building DPWH Compound, Veterans Avenue Extension, Tetuan, Zamboanga City</t>
  </si>
  <si>
    <t>CONSULTING SERVICES FOR THE ARCHITECTURAL AND DETAILED ENGINEERING DESIGN FOR THE CONSTRUCTION OF MULTI-PURPOSE GYMNASIUM AND CONSTRUCTION OF ACADEMIC BUILDING II</t>
  </si>
  <si>
    <t>PROCUREMENT OF SCHOOL EQUIPMENT FOR OPLAN BALIK SKWELA (OBE) 2020  (ELEMENTARY &amp; SECONDARY)</t>
  </si>
  <si>
    <t>MUNICIPAL-WIDE STREET LIGHTING PROJECT (CONSTRUCTION OF STREETLIGHT PEDESTAL &amp; ELECTRICAL WORKS)</t>
  </si>
  <si>
    <t>Construction of Multi-Purpose Pavement-Plaza Naguimba</t>
  </si>
  <si>
    <t>Construction of Slope Protection-(Arc Section) Elefante</t>
  </si>
  <si>
    <t>Rehabilitation of Farm to Market Road-(Daniel Section) Banbanaal</t>
  </si>
  <si>
    <t>Acquisition of Furniture and Fixtures</t>
  </si>
  <si>
    <t>Construction of Slope Protection-Bagbag, Bagbagotot</t>
  </si>
  <si>
    <t>20GFE0018- PROCUREMENT OF FUEL, OIL, LUBRICANT AND SPARE PARTS FOR QUALITY ASSURANCE SECTION</t>
  </si>
  <si>
    <t>IP BASED CCTV- 21 CAMERAS WITH FIBER OPTIC CABLING BACKBONE</t>
  </si>
  <si>
    <t>SUPPLY AND DELIVERY OF VARIOUS COMMUNICATION EQUIPMENT AND DIGITAL DISCUSSION SYSTEM (SECOND BIDDING)</t>
  </si>
  <si>
    <t>PCHT PABAC2 001-20 LOT 2 Procurement of Freight Forwarding Services for the Transport of Supplies in Visayas.</t>
  </si>
  <si>
    <t>CONSTRUCTION OF FARM TO MARKET ROAD (FTMR)- BRGY. PALAPAD, SAN FABIAN, PANGASINAN</t>
  </si>
  <si>
    <t>Purchase and Upgrading of Chemistry and Physics Laboratory Equipment</t>
  </si>
  <si>
    <t>SUPPLY AND DELIVERY OF AGRICULTURAL FARM MACHINERIES (Electric water pumps &amp; Diesel water pumps)</t>
  </si>
  <si>
    <t>CONSTRUCTION OF PERIMETER FENCE AT CENTRAL MRF</t>
  </si>
  <si>
    <t>Procurement of Instrument Transformer Tester</t>
  </si>
  <si>
    <t>Construction of River Flood Control Phase II</t>
  </si>
  <si>
    <t>Upgrading and Improvement of Barangay Road</t>
  </si>
  <si>
    <t>PURCHASE AND INSTALLATION OF WEIGHBRIDGE EQUIPMENT FOR CY 2020 - TURBINA, CALAMBA CITY, LAGUNA</t>
  </si>
  <si>
    <t>CONSTRUCTION OF CONCRETE PATHWAY &amp; LINED CANAL</t>
  </si>
  <si>
    <t>PURCHASE OF ONE UNIT RESCUE/ MULTI-PURPOSE VEHICLE OF BRGY. ELIHAN, CAUAYAN. NEGROS OCCIDENTAL</t>
  </si>
  <si>
    <t>Rehabilitation of Footbridge</t>
  </si>
  <si>
    <t>PROCUREMENT OF CELLPHONES</t>
  </si>
  <si>
    <t>Upgrading of Manhilo-Libhu-Bactul II Road, Maasin City, Southern Leyte</t>
  </si>
  <si>
    <t>Construction of Concrete Perimeter Fence with Steel Gate at STA. Cecilia II Subd.</t>
  </si>
  <si>
    <t>Construction materials for BDRRMC Office</t>
  </si>
  <si>
    <t>PROCUREMENT OF DESIGN, SUPPLY, INSTALLATION, AND COMMISSIONING OF THEATRE CINEMA PROJECTION, EQUIPMENT AND AUDIO SYSTEM FOR THE METROPOLITAN THEATRE</t>
  </si>
  <si>
    <t>Construction/ Expansion of Public Cemetery Perimeter Tomb Phase 3</t>
  </si>
  <si>
    <t>Construction Materials for the Repair of roofing for Marcos Type Building</t>
  </si>
  <si>
    <t>PROCUREMENT OF DEVELOPMENT AND PRINTING SERVICES FOR EVERYDAY CULTURE BOOK (A Series of Books on the School of Living Traditions)</t>
  </si>
  <si>
    <t>One Lot Office Supplies for Modular Learning Scheme No. 20-08-247</t>
  </si>
  <si>
    <t>Construction of Slope Protection-(Franklin Gacusana Section) Casilagan  orte</t>
  </si>
  <si>
    <t>ITB NO. GOP/20-DSWD-046 - Supply and Delivery of Laptop and Desktop Computers for DSWD Central Office and Field Offices</t>
  </si>
  <si>
    <t>Construction of Slope Protection/Footbridge-(Llaneza Section) Pila</t>
  </si>
  <si>
    <t>Purchase of Medical, Dental, X-ray &amp; Laboratory Supplies for the use of JCPJMH, Bataan</t>
  </si>
  <si>
    <t>PACKAGE 2020-23: CONTINUATION OF DANGOY MULTI PURPOSE BUILDING</t>
  </si>
  <si>
    <t>Construction of Road at Barangay Mabical, Floridablanca, Pampanga</t>
  </si>
  <si>
    <t>PROCUREMENT OF 11 UNITS iPAD FOR THE OFFICE OF THE SANGGUNIANG BAYAN</t>
  </si>
  <si>
    <t>REPAIR/RENOVATION OF DIRECTORATE FOR ADMINISTRATION OFFICE</t>
  </si>
  <si>
    <t>Purchase of Medical Supplies for the use of Mariveles District Hospital, Bataan</t>
  </si>
  <si>
    <t>Printing and Binding of Student Yearbook (Oracle) 2018</t>
  </si>
  <si>
    <t>Procurement of office supplies for the different offices of LGU Calabanga</t>
  </si>
  <si>
    <t>Concreting of barangay road at Garab</t>
  </si>
  <si>
    <t>SERVICE VEHICLE (RECONDITIONED)</t>
  </si>
  <si>
    <t>Shoreline Protection (Seawall), Centro Poblacion, Culasi, Antique</t>
  </si>
  <si>
    <t>Supply and Delivery of Communication Equipment for Online Meetings</t>
  </si>
  <si>
    <t>Completion of Multi-Purpose Building (Phase 3), Centro Poblacion, Culasi, Antique</t>
  </si>
  <si>
    <t>20AA0345 - CONCRETING OF BRGY. CALAMBEG TO BRGY. MARUAYA FARM-TO-MARKET ROAD, BRGY. CALAMBEG AND BRGY. MARUAYA, PIDDIG, ILOCOS NORTE</t>
  </si>
  <si>
    <t>PROCUREMENT OF MOTOR VEHICLE FOR EXTENSION SERVICES (2ND PUBLIC BIDDING)</t>
  </si>
  <si>
    <t>Procurement of Information and Communication Technology Equipment</t>
  </si>
  <si>
    <t>Supply and Delivery of Construction Materials for Concreting for the Concreting of Brgy. Road</t>
  </si>
  <si>
    <t>Supply nad Delivery of Construction Materials and Supplies, Brgy. Guinatuan, Madalag, Aklan</t>
  </si>
  <si>
    <t>Concreting of barangay road at Ilang-Ilang Street, Nattanzan</t>
  </si>
  <si>
    <t>Concreting of B. P. Sanchez Access Road</t>
  </si>
  <si>
    <t>CLUSTER 41-2020</t>
  </si>
  <si>
    <t>SOIL/ GEOTECHNICAL INVESTIGATION FOR THE PROPOSED CONSTRUCTION OF VARIOUS BRIDGE PROJECTS WITHIN 6TH DISTRICT OF PANGASINAN</t>
  </si>
  <si>
    <t>Declogging of Drainage along Batang Street</t>
  </si>
  <si>
    <t>ITB 20-0077 - Supply and Delivery of 1,000 bags Fertilizer, Complete 14-14-14 Plus &amp; etc.</t>
  </si>
  <si>
    <t>ITB for the Purchase of Fuel</t>
  </si>
  <si>
    <t>ITB 20-0076 - Supply and Delivery of 40,178 liters Diesoline.</t>
  </si>
  <si>
    <t>Upgrading of the DSWD FO 1 OCP Server</t>
  </si>
  <si>
    <t>ITB - Supply, Delivery and Installation of 1 unit Large Format Printer for the Packaging and Labelling Innovation Center - 2nd Public Bidding</t>
  </si>
  <si>
    <t>REHABILITATION OF BAGNEN PROVINCIAL ROAD</t>
  </si>
  <si>
    <t>1	unit	Four-wheel vehicle, Brand new, PR 624-20</t>
  </si>
  <si>
    <t>Purchase and Deliver of One (1) unit Service Vehicle at the Local Government Unit, Mansalay, Oriental Mindoro</t>
  </si>
  <si>
    <t>Construction of Multi-Purpose Building (Stockroom), Brgy Centro Poblacion, Culasi, Antique</t>
  </si>
  <si>
    <t>ROAD REBLOCKING MARKET AREA.</t>
  </si>
  <si>
    <t>PROCUREMENT OF MEDICAL/DENTAL SUPPLIES, EQUIPMENT AND OTHER PPE (PERSONAL PROTECTIVE EQUIPMENT)</t>
  </si>
  <si>
    <t>REPAIR OF REGIONAL AND PROVINCIAL OFFICE BUILDING AT NFA COMPOUND</t>
  </si>
  <si>
    <t>REHABILITATION OF UNP WATER SYSTEM</t>
  </si>
  <si>
    <t>Sari - Sari Store</t>
  </si>
  <si>
    <t>CONTINUATION/ IMPROVEMENT OF AGAWA SLOPE PROTECTION</t>
  </si>
  <si>
    <t>Purchase and Deliver of One (1) Unit Service Vehicle to be used in Vice Mayor's Office of Local Government Unit of Mansalay</t>
  </si>
  <si>
    <t>Improvement of PNP Building &amp; Barracks Centro Poblacion, Culasi, Antique</t>
  </si>
  <si>
    <t xml:space="preserve">20GFH0025 - SUPPLY AND DELIVERY OF HEAVY EQUIPMENT UNITS FOR USE IN CONNECTION WITH THE PROJECT, CONSTRUCTION OF SEWAGE FACILITIES IN VIRAC, CATANDUANES, DPWH CATANDUANES DISTRICT ENGINEERING OFFICE, </t>
  </si>
  <si>
    <t>IMPROVEMENT OF ACCESS ROAD TOWARDS AM-AMCHO WASTE MANAGEMENT FACILITY</t>
  </si>
  <si>
    <t>Procurement of Rescue Vehicle</t>
  </si>
  <si>
    <t>Construction of Hawker's Plaza Shed located at Santa Cruz Public Market, Santa Cruz, Laguna</t>
  </si>
  <si>
    <t>Procurement of Laboratory Supplies for the use of Dr. Rafael S. Tumbokon Memorial Hospital-EEDD, Kalibo, Aklan/ITB no: 2020-444</t>
  </si>
  <si>
    <t>Supply, Delivery and Fabrication of 50 Units Food-Kart (Metal)</t>
  </si>
  <si>
    <t>ITB FOR THE ACQUISITION OF PATIENT TRANSPORT VEHICLE (SPECIFIC – PURPOSE VEHICLE)</t>
  </si>
  <si>
    <t>REPAIR AND REHABILITATION OF CULVERT.</t>
  </si>
  <si>
    <t>CLUSTER 42-2020</t>
  </si>
  <si>
    <t>Supply and Delivery of Medical and Disinfectant Supplies</t>
  </si>
  <si>
    <t>CY 2020 BEFF ELECTRIFICATION - NAVAL CS</t>
  </si>
  <si>
    <t>Construction of DepEd Temporary Learning Spaces (TLS)</t>
  </si>
  <si>
    <t>Procurement of Various Supplies and Construction Materials Intended for Grants and Donations</t>
  </si>
  <si>
    <t>ITB 20-0078 - Supply and Delivery of 25 units Service Vehicle, Pick-up Type, Brand New.</t>
  </si>
  <si>
    <t>Purchase of Dialysis supplies for the use of JCPMH, Bataan</t>
  </si>
  <si>
    <t>CLUSTER 43-2020</t>
  </si>
  <si>
    <t>Supply and Delivery of Laptops and Other Items</t>
  </si>
  <si>
    <t>Supply and Delivery of One (1) Unit Brand New Bulldozer with Ripper for the use of Municipal Solid Waste Management Programs/Projects</t>
  </si>
  <si>
    <t>ROAD CONCRETING OF SITIO CAMPANGDAN</t>
  </si>
  <si>
    <t>CONSTRUCTION OF PERIMETER FENCE</t>
  </si>
  <si>
    <t>Purchase of Medical, Dental and Laboratory Supplies for the use of Orani District Hospital, Bataan</t>
  </si>
  <si>
    <t>CONTINUATION OF CONSTRUCTION/ IMPROVEMENT OF AGKHUYO RIVER FLOOD CONTROL</t>
  </si>
  <si>
    <t>reproduction of module for 1st and 2nd quarter for SY 2020-2021</t>
  </si>
  <si>
    <t>Procurement of Office Supplies for use at Various Offices of the IPHO-TPH - B-G-2020-113</t>
  </si>
  <si>
    <t>Invitation to Bid for the Construction of Multi-Purpose Building @ Brgy. Salomague (Proper), Cabugao, Ilocos Sur</t>
  </si>
  <si>
    <t>Procurement of Laboratory Supplies for use at the Laboratory Section of the IPHO-TPH - B-G-2020-112</t>
  </si>
  <si>
    <t>Procurement of Drugs and Medicines for use at the Pharmacy Section of the IPHO-TPH - B-G-2020-111</t>
  </si>
  <si>
    <t>INVITATION TO BID - PROCUREMENT OF PROFESSIONAL DRIVERS SERVICES</t>
  </si>
  <si>
    <t>SUPPLY AND DELIVERY OF MEDICINES AND SUPPLIES FOR LABORATORY SERVICES AND BIRTHING HOME FACILITY</t>
  </si>
  <si>
    <t>CP 2020-58 BIDDING FOR THE SUPPLY AND DELIVERY OF VARIOUS AMMUNITIONS C/O BCPO</t>
  </si>
  <si>
    <t>Finishing of Communication Arts Building, MMSU, City of Batac</t>
  </si>
  <si>
    <t>IMPROVEMENT OF MULTI-PURPOSE HALL AND STEEL FENCE</t>
  </si>
  <si>
    <t>Procurement of Housekeeping Supplies for use at Various Wards of the IPHO-TPH - B-G-2020-114</t>
  </si>
  <si>
    <t>Materials for the Concreting of Farm to Market Road, Brgy, Morobuan, Cabatuan, Iloilo</t>
  </si>
  <si>
    <t>20N00116; REPAIR/ IMPROVEMENT OF DPWH REGIONAL OFFICE XIII- FMD OFFICE EXTENSION, J. ROSALES AVENUE, BUTUAN CITY</t>
  </si>
  <si>
    <t>Materials for the Construction of Perimeter Fence, Don Nicolas Catalan MES, Brgy. Tacdangan, Cabatuan, Iloilo</t>
  </si>
  <si>
    <t>20CSBF0004: Soil Testing/Exploration for the Construction of Multi-Purpose Building, Two-Storey Barangay Hall at 1. Ballesteros, Aurora, Isabela; 2. San Pedro, Mallig, Isabela; 3. Arellano, Quezon, Is</t>
  </si>
  <si>
    <t>Provision of Seven (7) Sets Solar Streetlight at Brgy Estipona, Pura, Tarlac</t>
  </si>
  <si>
    <t>3RD QUARTER OFFICE SUPPLIES</t>
  </si>
  <si>
    <t>Construction of Farm to Market Road at Barangay Beddeng Laud, Vigan City</t>
  </si>
  <si>
    <t>CONCRETING OF ROAD LEADING TO THE NEW MUNICIPAL CEMETERY IN BARANGAY PANDACAN</t>
  </si>
  <si>
    <t>Supply, Delivery and Installation of Various Office and IT Equipment</t>
  </si>
  <si>
    <t>COST OF IMPROVEMENT (BACKFILLING) OF BARAS KASARINLAN ECO PARK, BRGY. SANTIAGO,  BARAS, RIZAL</t>
  </si>
  <si>
    <t>PURCHASE AND DELIVERY OF MULTI-PURPOSE RESCUE VEHICLE FOR OFFICIAL USE OF THE MUNICIPAL RISK REDUCTION AND MANAGEMENT OFFICE ------Php 3,500,000.00</t>
  </si>
  <si>
    <t>Materials for the Concreting of Farm to Market Road, Brgy, Jelicuon Lusaya, Cabatuan, Iloilo</t>
  </si>
  <si>
    <t>PROVISION OF SIXTY NINE (69) SETS TABLE FOR AMBULANT VENDORS AT PUBLIC MARKET</t>
  </si>
  <si>
    <t>PROVISIONOF ASSISTIVE DEVICE FOR PDWS</t>
  </si>
  <si>
    <t>MDF CLUSTER 15-2020 PROJECTS AT ABIANG AND TOPDAC, ATOK, BENGUET</t>
  </si>
  <si>
    <t>Procurement of Various ICT Equipment for use of MIS Office - B-G-2020-115</t>
  </si>
  <si>
    <t>MATERIALS USED FOR SEAWEEDS FLOATING DRYER</t>
  </si>
  <si>
    <t>CLOSURE/REHABILITATION OF THE EXISTING CONTROLLED DUMPSITE, BONUAN BOQUIG, DAGUPAN CITY – PHASE I</t>
  </si>
  <si>
    <t>SUPPLY AND DELIVERY OF LOT 3: PUMP AND ENGINE WITH TANK</t>
  </si>
  <si>
    <t>Supply and delivery of 1,000 units rescue vehicles for use of various barangays and municipalities of the Province of Batangas under its Capability Building Program</t>
  </si>
  <si>
    <t>Proposed Covered Driveway and Walkway/OPD &amp; Emergency Triage Area</t>
  </si>
  <si>
    <t>Procurement of Rehabilitation of the Greenhouses damaged by Typhoon Ursula, Province of Aklan/ITB no: 2020-426</t>
  </si>
  <si>
    <t>PROVISION OF FIFTEEN (15) SETS TABLE FOR AMBULANT VENDORS AT PUBLIC MARKET, POBLACION 2, PURA, TARLAC</t>
  </si>
  <si>
    <t>Supply, Delivery, Installation and Commissioning of Various Medical Equipment (2nd Semester)</t>
  </si>
  <si>
    <t>ITB 05-002-20 REBIDDING OF SUPPLY AND DELIVERY OF 2,695 HEADS OF LAYER CHICKEN (RTL) - DA SAAD IX</t>
  </si>
  <si>
    <t>Drilling of One (1) Exploratory/Production Well for Balaoan WD @Brgy. Calliat, Balaoan, La Union</t>
  </si>
  <si>
    <t>Purchase of 45 Units Laptop</t>
  </si>
  <si>
    <t>Supply and Delivery of Various Furniture and Fixtures</t>
  </si>
  <si>
    <t>Purchase of Two (2) Units Patrol Cars (DILG-SGLG)</t>
  </si>
  <si>
    <t>Purchase of Anti-Rabies Vaccines (RHU)</t>
  </si>
  <si>
    <t>Purchase of Office Supplies (MO)</t>
  </si>
  <si>
    <t>CW-ALPIP-07-2020/ ALFONSO LISTA PIP</t>
  </si>
  <si>
    <t>Purchase of Materials for Service Connection (PWS)</t>
  </si>
  <si>
    <t>INVITATION TO BID FOR THE  PROJECT: SUPPLY AND DELIVERY OF OBSTETRICS AND GYNECOLOGY EQUIPMENT │ ITB NO. 2020-08-016</t>
  </si>
  <si>
    <t>Purchase of Medicines (RHU)</t>
  </si>
  <si>
    <t>CW-ALPIP-05-2020/ ALFONSO LISTA PIP</t>
  </si>
  <si>
    <t>INVITATION TO BID FOR THE  PROJECT: SUPPLY AND DELIVERY OF DENTAL EQUIPMENT │ ITB NO. 2020-08-015</t>
  </si>
  <si>
    <t>CW-ALPIP-04-2020/ ALFONSO LISTA PIP</t>
  </si>
  <si>
    <t>CW-ALPIP-01-2020/ ALFONSO LISTA PIP</t>
  </si>
  <si>
    <t>CONCRETE PAVING OF CORPUZ ROAD (CONMTINUATION), BRGY. BAYAMBANG, INFANTA, PANGASINAN</t>
  </si>
  <si>
    <t>INFRA2020-CMD-021 Construction of Fire Hydrant System for CMTSD, Ditucalan, Iligan City</t>
  </si>
  <si>
    <t>CW-ALPIP-06-2020/ ALFONSO LISTA PIP</t>
  </si>
  <si>
    <t>Purchase of One (1) Unit Service Vehicle (SB)</t>
  </si>
  <si>
    <t>Rehabilitation of Drainage Canal at Zone 4, Brgy. San Jose, San Jacinto, Pangasinan</t>
  </si>
  <si>
    <t>Well drilling  150 ft. depth 10" bore hole</t>
  </si>
  <si>
    <t>CW-APAYAO-L-01-2020/ NABUANGAN - CUPIZ  MAGLANGAT PIGOC SIP Phase II</t>
  </si>
  <si>
    <t>Construction of Multi-Purpose Hall at Salinungan West</t>
  </si>
  <si>
    <t>SUPPLY &amp; DELIVERY OF MATERIALS FOR THE CONSTRUCTION OFCOVER DRAINAGE CANAL @ PUROK 1, BRGY. BAYAMBANG, INFANTA, PANGASINAN</t>
  </si>
  <si>
    <t>Concreting of Road at Zone 1, Tumaga, Zamboanga City</t>
  </si>
  <si>
    <t>Materials for the Construction of Drainage System along Confesor Drive, Cabatuan, Iloilo</t>
  </si>
  <si>
    <t>Provision of Safe Water access for Every Household of Barangay Bani</t>
  </si>
  <si>
    <t>One (1) Lot Supply and Delivery of 30,000 sets Corrugated Box for Currency Notes, as per BSP Technical Specifications</t>
  </si>
  <si>
    <t>Replacement of Tiles and Repainting of the Interior Walls and Finishes of Budget Information and Training Service and Budget and Management Bureau-B Offices</t>
  </si>
  <si>
    <t>Materials for the Concreting of Farm to Market Road, Brgy, Tupol Oeste, Cabatuan, Iloilo</t>
  </si>
  <si>
    <t>PROJECT 3 –  PROCUREMENT AND DELIVERY OF DOXCYCYLINE FOR HEMS DOH CHD 1 FOR CY 2020</t>
  </si>
  <si>
    <t>Supply and Delivery of Vehicle for National Capital Regional Office</t>
  </si>
  <si>
    <t>Purchase of Agricultural Products (Seeds, Seedlings, Plants…) Coconut use to Support HVCDP</t>
  </si>
  <si>
    <t>PROJECT 5 -   PROCUREMENT AND DELIVERY OF ESSENTIAL DRUGS AND MEDICINES FOR DOH CHD ILOCOS FOR CY 2020</t>
  </si>
  <si>
    <t>FURNISHING &amp; DELIVERY OF MOUNTAIN SOIL FOR BACKFILLING AND LEVELING OF LOW LYING AREAS @ CEMETERY L</t>
  </si>
  <si>
    <t>Consultancy Services in Different Offices in the Municipality of Pulilan Mayor's,Accounting,Treasurer's,Market,MENRO,RHU,PUP,Tourism Offices</t>
  </si>
  <si>
    <t>SUPPLY &amp; DELIVERY OF FUEL, OIL AND LUBRICANTS FOR ROAD DEVELOPMENT MUNICIPAL SANITARY LANDFILL AT BRGY. BATO-BATO</t>
  </si>
  <si>
    <t>Digital Public Address-Warning Siren &amp; Device (MDRRMO)</t>
  </si>
  <si>
    <t>PURCHASE OF VARIOUS MEDICAL AND DENTAL SUPPLIES FOR USE IN THE CHO</t>
  </si>
  <si>
    <t>Completion of Health Station (One Job), Brgy. Caninguan, Lambunao, Iloilo</t>
  </si>
  <si>
    <t>PB No. 20-025-1: Supply and Delivery of Cut-Size Paper Products for the Procurement Service (Framework Agreement)</t>
  </si>
  <si>
    <t>PROCUREMENT OF HFEP EQUIPMENT PACKAGE 3 - REBID</t>
  </si>
  <si>
    <t>Purchase of Medical Equipments and Supplies, Brgy. Coto, Lambunao, Iloilo</t>
  </si>
  <si>
    <t>IB-2020-IX-01-01- CONSTRUCTION OF FEEDMILL</t>
  </si>
  <si>
    <t>ASPHALTING OF ROAD AT BARANGAY CABULOAN TO BARANGAY MALILION</t>
  </si>
  <si>
    <t>Procurement of Medical and Laboratory Equipment</t>
  </si>
  <si>
    <t>Invitation to Bid for Construction of Three (3) Units Potable Water Supply System Level 3 (Camagsingalan, Bolaoen &amp; Sto. Domingo)</t>
  </si>
  <si>
    <t>SUPPLY &amp; DELIVERY OF FUEL, OIL AND LUBRICANTS FOR MUNICIPAL VEHICLES (3RD QTR)</t>
  </si>
  <si>
    <t>Construction of Water Tank Concrete Pedestal (One Job), Brgy. Buri, Lambunao, Iloilo</t>
  </si>
  <si>
    <t>Supply and Delivery of Materials for the Implementation of the Modular Learning Delivery Modality using Print and Multimedia Learning Resources</t>
  </si>
  <si>
    <t>PROJECT 4 -   PROCUREMENT AND DELIVERY OF VITAMIN C FOR DOH CHD 1 FOR CY 2020</t>
  </si>
  <si>
    <t>20-07-597 Upgrading and Improvement of Harab to Sumbacan Road in Barangay Barangiran, Alamada, Cotabato</t>
  </si>
  <si>
    <t>PB 2020-32 (GOODS) Procurement of BIR Minor Forms for the Calendar Year 2020  (1 Lot)</t>
  </si>
  <si>
    <t>Purchase of Materials for the Installation of Solar Lighting System, Brgy. Coto, Lambunao, Iloilo</t>
  </si>
  <si>
    <t>Procurement of Laboratory Equipment</t>
  </si>
  <si>
    <t>CONCRETING OF ROAD AT BARANGAY SOBOL</t>
  </si>
  <si>
    <t>SUPPLY AND DELIVERY OF ONE (1) SET  PRINTING PRESS SET-UP</t>
  </si>
  <si>
    <t>CONCRETING OF FLOORING OF COVERED COURTS 	(Covered Courts at Brgys. Tupas,  Busay,  Butong, Guimbawian &amp; Sibago)</t>
  </si>
  <si>
    <t>SUPPLY AND DELIVERY OF LIVESTOCK AND POULTRY FOR REHABILITATION OF TD-USMAN VICTIMS</t>
  </si>
  <si>
    <t>Procurement of One Unit Brand New Ambulance (Pick Up) not Availavle in DBM-PS</t>
  </si>
  <si>
    <t>SUPPLY AND DELIVERY OF SEVEN (7) UNITS DIGITAL PRINTING/DUPLICATING  MACHINE FOR VARIOUS COLLEGES (FOR  INSTRUCTIONAL DELIVERY VIA FLEXIBLE  LEARNING MODALITIES)</t>
  </si>
  <si>
    <t>PROCUREMENT OF RESCUE VEHICLE FOR MDRRMO USE</t>
  </si>
  <si>
    <t>CONSTRUCTION OF MULTI-PURPOSE COVERED COURT, PANGLIT ELEMENTARY SCHOOL</t>
  </si>
  <si>
    <t>PURCHASE OF GARBAGE VEHICLE</t>
  </si>
  <si>
    <t>Procurement of DumptruckRepair and Maintenance Supply</t>
  </si>
  <si>
    <t>Construction of Street Light</t>
  </si>
  <si>
    <t>LABOR AND MATERIALS FOR THE CONSTRUCTION OF PERIMETER FENCE ALONG BASKETBALL COURT</t>
  </si>
  <si>
    <t>ITB NO. 2020-0019 Rebid of the Provision of Security Services of People’s Television Network, Inc.(PTNI) Manila Office and its Provincial Station</t>
  </si>
  <si>
    <t>PURCHASE OF HAND TRACTOR WITH TRAILER</t>
  </si>
  <si>
    <t>20GM0008 (Re-bid) - PROCUREMENT OF DRYDOCKING AND REPAIR OF DPWH K3-22 (WATERMASTER 4) STATIONED AT MOTHER BRGY. KALANGANAN I, COTABATO CITY</t>
  </si>
  <si>
    <t>Upgrading of Local Access Road Brgy. Poblacion, Concepcion, Romblon</t>
  </si>
  <si>
    <t>Construction of Riverwall Protection at Brgy. San Antonio I (Phase II) Noveleta, Cavite</t>
  </si>
  <si>
    <t>LABOR AND MATERIALS FOR THE RIPRAPPING OF MULTI-PURPOSE HALL AREA</t>
  </si>
  <si>
    <t>CONSTRUCTION OF COMFORT ROOMS AT PSAU GATE 2</t>
  </si>
  <si>
    <t>CONSTRUCTION OF BAUNGON MUNICIPAL HALL @ BAUNGON, BUKIDNON</t>
  </si>
  <si>
    <t xml:space="preserve">Procurement of Laboratory Equipment (1 Unit Fully Automated Microbial Identification and Sensitivity Analyzer, 1 Unit Fully Automated Chemistry Analyzer &amp; 1 Unit Fully Automated/Automatic Immunoassay </t>
  </si>
  <si>
    <t>SUPPLY AND DELIVERY OF 122,574 BAGS UREA FERTILIZER TO BE DISTRIBUTED TO RICE FARMERS WHO ARE RECIPIENT OF RCEF IN REGION III FUNDED UNDER RICE PROGRAM FOR LATER RELEASE, INCLUDED IN BAYANIHAN ACT FOR</t>
  </si>
  <si>
    <t>Improvement of Water Distribution Lines (One Job), Brgy. Cabugao, Lambunao, Iloilo</t>
  </si>
  <si>
    <t>PROCUREMENT OF SCHOOL SUPPLIES FOR LEARNERS'USE (ELEMENTARY, KINDER TO GRADE 12), DEPED, MASINLOC, ZAMBALES</t>
  </si>
  <si>
    <t>SUPPLY AND DELIVERY OF 56,370 BAGS UREA FERTILIZER TO BE DISTRIBUTED TO RICE FARMERS WHO ARE RECIPIENT OF RCEF IN REGION III FUNDED UNDER RICE PROGRAM COMPREHENSIVE RELEASE FOR CY 2020</t>
  </si>
  <si>
    <t>Repair of comfort rooms and water supply system in various schools in Mendez, Amadeo and Tagaytay City, Cavite.</t>
  </si>
  <si>
    <t>20GM0011-SUPPLY AND DELIVERY OF OFFICE SUPPLIES FOR USE OF DPWH REGIONAL OFFICE XII, KORONADAL CITY</t>
  </si>
  <si>
    <t>procurement of native chicken</t>
  </si>
  <si>
    <t>procurement of Nipa shingles</t>
  </si>
  <si>
    <t>Procurement of Three (3) Units Mechanical Ventilator</t>
  </si>
  <si>
    <t>furnishing of materials for the regravelling of farm to market road</t>
  </si>
  <si>
    <t>20gm0012-SUPPLY AND DELIVERY OF IT SUPPLIES FOR USE OF DPWH REGIONAL OFFICE XII, KORONADAL CITY</t>
  </si>
  <si>
    <t>Completion of Ligtas-Covid Center, Const. of Footbridge, Spillway, Slope Protection &amp; Concreting</t>
  </si>
  <si>
    <t>Procurement of Office Supplies for General Revision</t>
  </si>
  <si>
    <t>Procurement of Labor and Materials- Upgrading of Water Supply System @ Salvacion</t>
  </si>
  <si>
    <t>purchase of 1 unit mini dump truck</t>
  </si>
  <si>
    <t>Supply and Delivery of Gemstone Processing Machines</t>
  </si>
  <si>
    <t>Survey of Barangay Owned Lot</t>
  </si>
  <si>
    <t>Purchase of 1 unit Suzuki FB Scrum Type (RE/CE)</t>
  </si>
  <si>
    <t>Procurement of Communication Equipment (Mobile Phones)</t>
  </si>
  <si>
    <t>Repair of comfort rooms and water supply system in various schools at Carmona and G.M.A., Cavite.</t>
  </si>
  <si>
    <t>PURCHASE OF MATERIALS FOR CONSTRUCTION OF 176 UNITS ADDITIONAL TOMBS AT VICTORIAS CITY PEOPLE’S MEMORIAL PARK, HAD. ESTRELLA, BRGY XIV, VICTORIAS CITY</t>
  </si>
  <si>
    <t>REPAIR AND IMPROVEMENT OF ONE ( 1) UNIT 2 CLASSROOM FERRER BUILDING ESTADO ELEMENTARY SCHOOL, BRGY XI, VICTORIAS CITY NEGROS OCCIDENTAL</t>
  </si>
  <si>
    <t>Provision of Comprehensive Preventive Maintenance  and Repair Services of the Three (3) Elevator Units located at the DOLE Main Building</t>
  </si>
  <si>
    <t>PURCHASE OF MATERIALS FOR ROAD MAINTENANCE OF VARIOUS BARANGAYS AND CITY ROADS  ( Basa Road,Brgy X.,Romana-Dacumon Road Barangay XII, Minoro-Salome-San Jose Road,Brgy X, Access Road Going to Villa Vic</t>
  </si>
  <si>
    <t>REPAIR AND IMPROVEMENT OF ONE ( 1) UNIT CLASSROOM AT DAPES, BRGY X, VICTORIAS CITY NEGROS OCCIDENTAL</t>
  </si>
  <si>
    <t>Construction of Perimeter Fence of Barangay Compound</t>
  </si>
  <si>
    <t>Improvement/Concreting of FTMR</t>
  </si>
  <si>
    <t>20gm0013-SUPPLY AND DELIVERY OF HANDHELD LASER SCANNER FOR USE OF PLANNING AND DESIGN DIVISION, DPWH REGIONAL OFFICE XII</t>
  </si>
  <si>
    <t>ROAD CONSTRUCTION AND REHABILITATION OF PORTION JOVER STREET, DE LEON STREET AND MAGSAYSAY STREET EXTENSION</t>
  </si>
  <si>
    <t>Rehabilitation/Upgrading and Drainage Improvement along Sampaguita St., Jasmin St., Ilang-Ilang St., Camia St. and its Vicinity, Brgy. Cembo, Makati City, Metro Manila</t>
  </si>
  <si>
    <t>Construction of Multi-Purpose Building at Municipal Demo Farm in Brgy. Baga</t>
  </si>
  <si>
    <t>Cont. Ref. No. 104-20: Concreting to Monterrazas – Baguio Gold Barangay road – Tuding at Barangay Tuding, Itogon, Benguet</t>
  </si>
  <si>
    <t>Improvement and Construction of RC Box Culvert along Villanueva Creek Tributary near the President Avenue, Brgy. B.F., Parañaque City, Metro Manila</t>
  </si>
  <si>
    <t>CONSTRUCTION OF PATHWAY (ROAD CONCRETING) AT BRGY POLANGI, VILLAREAL SAMAR</t>
  </si>
  <si>
    <t>Procurement / Acquisition of Portable Weigh-In-Motion (WIM) Axle Weigher set for MMIIDEO ATOME Operation, Roxas Boulevard, Parañaque City.</t>
  </si>
  <si>
    <t>Cont. Ref. No. 103-20: Rehabilitation of Bagueng Penged  CIS at Tinongdan, Itogon, Benguet</t>
  </si>
  <si>
    <t>PROCUREMENT OF LABORATORY EQUIPMENT</t>
  </si>
  <si>
    <t>Procurement and Delivery of Construction Supplies and Materials for the Improvement of Baywalk</t>
  </si>
  <si>
    <t>Repair/Rehabilitation of Dagupan City Post Office, Dagupan City,  Pangasinan</t>
  </si>
  <si>
    <t>SUBSCRIPTION OF ADDITIONAL INTERNET BANDWIDTH</t>
  </si>
  <si>
    <t>Invitation to Apply for Eligibility and to Bid</t>
  </si>
  <si>
    <t>DEVELOPMENT OF JANIPAAN FALLS</t>
  </si>
  <si>
    <t>ONE STOREY MULTI-PURPOSE BUILDING (PNP COMPOUND)</t>
  </si>
  <si>
    <t>Supply and Delivery of 20 units Fiber-Reinforced Plastic Boat (9.35m) with 12 HP Diesel Marine Engine (Re-Bidding)</t>
  </si>
  <si>
    <t>Renovation of Regional Accounting Office</t>
  </si>
  <si>
    <t>CONSTRUCTION OF INTELLECTUAL PROPERTY AND TECHNOLOGY BUSINESS MANAGEMENT FACILITY</t>
  </si>
  <si>
    <t>Provision of New Drainage System</t>
  </si>
  <si>
    <t>PURCHASE OF RESCUE VEHICLE FOR THE USE OF RESCUE PERSONNEL ( RE – BID )</t>
  </si>
  <si>
    <t>Concreting of Barangay Road (portion) Barangay Guadalupe, Libacao, Aklan</t>
  </si>
  <si>
    <t>SUPPLY AND DELIVERY OF BOND PAPERS FOR THE REPRODUCTION OF MODULES</t>
  </si>
  <si>
    <t>Supply and Delivery of Printers</t>
  </si>
  <si>
    <t>PURCHASE OF 2 UNITS DIGITAL DUPLICATOR</t>
  </si>
  <si>
    <t>Supply and Delivery of Construction Materials for the Rehabilitation of Green Valley PWS</t>
  </si>
  <si>
    <t>CONCRETING OF BARANGAY STREET, Brgy. Boco, Can-avid Eastern Samar</t>
  </si>
  <si>
    <t>Contract Package for the Construction of Lubnac Diversion Dam, Barangay Lubnac, Tagudin, Ilocos Sur</t>
  </si>
  <si>
    <t>“LOCAL ACCESS ROAD: UPGRADING (GRAVEL TO PAVED) OF BARANGAY LAMARE ROAD (Sta 0+960 – Sta 2+020)”</t>
  </si>
  <si>
    <t>Construction of School Building at Aggub Elementary School, Aggub, Solano, NV.</t>
  </si>
  <si>
    <t>Supply and Delivery of Construction Materials for the Repainting of Day Care Centers</t>
  </si>
  <si>
    <t>Rehabilitation of Road including Drainage along La Consolacion St., Brgy. Guadalupe Nuevo, Makati City, Metro Manila</t>
  </si>
  <si>
    <t>Supply and Delivery of Construction Materials for the Construction of Day Care Center</t>
  </si>
  <si>
    <t>Supply and Delivery of 3 Units Digital Duplicator (RISOGRAPH MACHINE)</t>
  </si>
  <si>
    <t>SJADS GOODS 20-13: PROCUREMENT OF IT EQUIPMENT (SEF)</t>
  </si>
  <si>
    <t>Reproduction of Grade 4 Modules for Alternative Delivery Mode</t>
  </si>
  <si>
    <t>Rehabilitation/Upgrading and Drainage Improvement along Local Roads Connecting J. P. Rizal Extension, F. Dagohoy St., P. Gomez St., E. Jacinto St., Lapu-Lapu St., G. L. Jaena St., A. Luna St., M. Malv</t>
  </si>
  <si>
    <t>Repair/Renovation of Service Stairwell</t>
  </si>
  <si>
    <t>ITB No. GOP/20-DSWD-045-A - Subscription to a Multi-Telco Bulk SMS Service for DSWD Enterprise</t>
  </si>
  <si>
    <t>Supply and delivery of 6 units risograph machine</t>
  </si>
  <si>
    <t>Supply, Delivery, Installation and Commissioning of CCTV Surveillance Monitoring (Phase II)</t>
  </si>
  <si>
    <t>Procurement of Office Equipment- Risograph Machine</t>
  </si>
  <si>
    <t>Procurement of Two (2) Units Dump Truck for the Use of the Municipality, Tagudin, Ilocos Sur</t>
  </si>
  <si>
    <t>PURCHASE OF RESCUE VEHICLE (AMBULANCE TYPE)</t>
  </si>
  <si>
    <t>Procurement of Office and Other Supplies - VM,SB SEC, MO, GSO, PESO</t>
  </si>
  <si>
    <t>CONSTRUCTION OF LUBUAN-TEOR-NAPOH FMR</t>
  </si>
  <si>
    <t>REHABILITATION/COMPLETION OF CABETICAN, VILLA DE BACOLOR, TRINIDAD CALIBUTBUT, SACOP CALIBUTBUT, MAGLIMAN, TINAJERO, STA. INES, MACABAKLE. SAN ISIDRO &amp; MALIWALU DAY CARE CENTER.</t>
  </si>
  <si>
    <t>Construction of Bridge, Brgy. Bonga Menor, Bustos, Bulacan</t>
  </si>
  <si>
    <t>Publication in Newspapers of Municipal Ordinances (Municipal Revenue Code and Zoning Ordinance)</t>
  </si>
  <si>
    <t>Supply and Delivery of Office Equipment for MPDC</t>
  </si>
  <si>
    <t>ITB:Supply of Labor &amp; Materials For the Proposed Site Development of the Evacuation Center located at Brgy. Carsuche Taal Batangas                                                             (cb-infra</t>
  </si>
  <si>
    <t>Procurement of Office and Other Supplies - Budget, MENRO, MSWD,ADMIN/LEIPO</t>
  </si>
  <si>
    <t>Construction of Proposed Residual Containment Area</t>
  </si>
  <si>
    <t>ITB:Supply of Labor &amp; Materials For the Construction of Multi-Purpose Center Located at Buli Taal Batangas(cb-infra-2020-08)</t>
  </si>
  <si>
    <t>ITB:Supply of Labor &amp; Materials For the Construction of Level II Potable Water System at Brgy. Carsuche Taal Batangas (cb-infra-2020-09)</t>
  </si>
  <si>
    <t>INTERNET CONNECTION</t>
  </si>
  <si>
    <t>PBD- PSAO Sorsogon Furniture and Fixtures</t>
  </si>
  <si>
    <t>Construction of Evacuation Center, Tablan, Kabayan Bario, Kabayan, Benguet</t>
  </si>
  <si>
    <t>Procurement of Civil Works for the Repair/Rehabilitation of Seawall at  Brgy. Minuhang, Barugo, Leyte</t>
  </si>
  <si>
    <t>Supply and Delivery of Information Equipment, Communication Equipment, Technical/Scientific Equipment, Furnitures and Fixtures.</t>
  </si>
  <si>
    <t>USE FOR ROAD REPAIR &amp; MAINTENANCE-SURFACING OF PATHOLE &amp; LEVELING ALONG PUERTOBELLO ROAD TO SECANTE BAG-O BOUNDARY, TUDELA, CEBU</t>
  </si>
  <si>
    <t>Construction of Buenavista Multi- Purpose Hall</t>
  </si>
  <si>
    <t>CLAMP</t>
  </si>
  <si>
    <t>LOT Procurement of GROCERY GOODS in Support to Individuals Under the Enhanced Community Quarantine due to COVID-19 per Presidential Proclamation 929 and as Adapted by the Provincial Government of Dava</t>
  </si>
  <si>
    <t>ROAD OPENING AND IMPROVEMENT OF MALABBAGA FARM TO MARKET ROAD (PHASE 1)</t>
  </si>
  <si>
    <t>SUPPLY &amp; DELIVERY OF VARIOUS ELECTRICAL SUPPLIES FOR 315KW FG WILSON PERKINS, MODEL NO. 2506A-E15TAG3, SERIAL NO. MGDF7150U10595A; 163KW DALE PERKINS, MODEL N0.: 2006 TGI, SERIAL NO. 45; &amp; 150KW CUMMI</t>
  </si>
  <si>
    <t>Barangay 501 BDF "REHABILITATION OF STREETLIGHTS" 2020</t>
  </si>
  <si>
    <t>POBLACION-MADLING-QUIDAG-UM ACCESS ROAD PROJECT</t>
  </si>
  <si>
    <t>CONSTRUCTION OF MAUI POTABLE WATER SYSTEM (LEVEL II)</t>
  </si>
  <si>
    <t>Supply of Labor and Materials for the Provision of Quarantine Space/Isolation Room for COVID Program at Brgy. Antipolo, Tinambac, Cam. Sur</t>
  </si>
  <si>
    <t>Purchase of Office Supplies and Equipment for Lala Districts Office</t>
  </si>
  <si>
    <t>20H00082 - Organizational Outcome 1: Ensure Safe and Reliable National Road System, Network Development, Construction of By-pass and Diversion Roads, Metro Cebu Expressway, Sta. 0+000 - Sta. 2+500 (Si</t>
  </si>
  <si>
    <t>20GH00003 - Freight and Handling of Multi-Purpose Amphibious Dredge – Watermaster Classic II from DPWH-NCR-RES Compound Bicutan, Taguig to DPWH Regional Office VII, SRP, Cebu City</t>
  </si>
  <si>
    <t>SUPPLY &amp; DELIVERY OF VARIOUS ELECTRICAL SUPPLIES FOR 100KW CUMMINS, MODEL NO. 6BT5 9-G2, SERIAL NO. 78467011 &amp; 80KW CUMMINS, MODEL NO. 6BTAA5 9-G2, SERIAL NO. 78258010 FOR ITEM # 4, INTENDED FOR CAMAN</t>
  </si>
  <si>
    <t>SWITCH</t>
  </si>
  <si>
    <t>CHEMICALS</t>
  </si>
  <si>
    <t>20HC0190- CONSTRUCTION OF RAINWATER COLLECTOR SYSTEM (RWCS-12 UNITS)</t>
  </si>
  <si>
    <t>Supply and Delivery of 66 truck load of Aggregate Base Course Materials (1st Quarter)- Re-bidding</t>
  </si>
  <si>
    <t>Improvement of RCD Office</t>
  </si>
  <si>
    <t>Proposed Single Barrel Box Culvert in Brgy. Alipaciawan</t>
  </si>
  <si>
    <t>SUPPLY AND DELIVERY OF VARIOUS ELECTRICAL SPARE PARTS FOR 36 KW FG WILSON PERKINS INTENDED FOR PANANY MINI GRID</t>
  </si>
  <si>
    <t>PURCHASE OF HEAVY EQUIPMENT ( ONE UNIT BRAND NEW BACK HOE WITH BREAKER)</t>
  </si>
  <si>
    <t>Construction of Drainage with Shoulder (Phase 1), Brgy. Nancamarinan, Paniqui, Tarlac</t>
  </si>
  <si>
    <t>Costruction of Quarters for PNP Personnel</t>
  </si>
  <si>
    <t>Procurement of brandnew vehicle for Disaster Response use.</t>
  </si>
  <si>
    <t>S1-ARA20-007  -  SUPPLY AND DELIVERY OF FAST MOVING SPARE PARTS FOR ARACELI DPP.</t>
  </si>
  <si>
    <t>Procurement of vitamins for distribution to senior citizen of this Province.</t>
  </si>
  <si>
    <t>ROAD CONCRETING (CONCRETE PAVING),  BRGY. DEL CARMEN, DULAG LEYTE</t>
  </si>
  <si>
    <t>IB No. 2020 - 08 - INSTALLATION OF VENTILATION SYSTEM FOR THE PROPOSED MOLECULAR BIOLOGY LABORATORY</t>
  </si>
  <si>
    <t>S1-CGY20-009  SUPPLY AND DELIVERY OF VARIOUS MATERIALS FOR OPERATIONS.</t>
  </si>
  <si>
    <t>SUPPLY &amp; DELIVERY OF VARIOUS MECHANICAL SPARES FOR UNIT # 1-163KW DALE PERKINS, MODEL NO.: 2006-TGI, SERIAL ENGINE NO. 52 INTENDED FOR SAN VICENTE DPP.:</t>
  </si>
  <si>
    <t>PROCUREMENT OF I.T. CONSUMABLES AND SUPPLIES</t>
  </si>
  <si>
    <t>SUPPLY Z7 DELIVERY OF VARIOUS MECHANICAL SPARE PARTS UNIT 4 FOR 315KW FG WILSON PERKINS MODEL NO. 2506A-E15TAG3, SERIAL NO. MGDF7150U10595A INTENDED FOR MARIPIPI DPP</t>
  </si>
  <si>
    <t>SUPPLY &amp; DELIVERY OF VARIOUS ELECTRICAL SPARE PARTS INTENDED FOR TAGAPUL-AN DPP</t>
  </si>
  <si>
    <t>PROCUREMENT OF FUEL, LUBRICANTS AND OIL USE IN DIFFERENT OFFICE IN LOCAL GOVERNMENT UNIT OF PIÑAN, ZN</t>
  </si>
  <si>
    <t>Procurement of Ink for the Reproduction of First Quarter Modules for SY 2020-2021</t>
  </si>
  <si>
    <t>S1-END20-013 - SUPPLY AND DELIVERY OF MATERIALS AND SUPPLIES FOR ELECTRICAL MAINTENANCE USE.</t>
  </si>
  <si>
    <t>REHABILITATION OF SANTA FE SPILLWAY</t>
  </si>
  <si>
    <t>Purchase of Solar Panel with Complete Accessories</t>
  </si>
  <si>
    <t>SUPPLY WITH DELIVERY OF CONSTRUCTION MATERIALS</t>
  </si>
  <si>
    <t>Construction of 1 Unit One-Storey Two Classroom School Building with Toilet attached at each Classroom at Pasto ES, Canlaon City, Negros Oriental</t>
  </si>
  <si>
    <t>Construction of 1 Unit One-Storey Two Classroom School Building with Toilet attached at each Classroom at Carmen ES, Canlaon City, Negros Oriental</t>
  </si>
  <si>
    <t>SUPPLY AND DELIVERY OF VARIOUS MECHANICAL SPARE PARTS FOR 300KW CUMMINS INTENDED FOR GIGANTES DPP</t>
  </si>
  <si>
    <t>S1-BAC20-004 - SUPPLY AND DELIVERY OF VARIOUS MATERIALS FOR OPERATION AND MAINTENANCE USE.</t>
  </si>
  <si>
    <t>20HL0115 - Construction of 2 STY 8 CL School Building @ Olandao Elementary School, Basay, Negros Oriental</t>
  </si>
  <si>
    <t>PROCUREMENT OF ONE (1) SOFTWARE PROGRAM FOR REAL PROPERTY TAX ADMINISTRATION (RPTA) USE FOR THE CONDUCT OF 2020 GENERAL REVISION OF REAL PROPERTY ASSESSMENTS</t>
  </si>
  <si>
    <t>MPG-B1-2020-373 (2nd Rebid) SUPPLY AND DELIVERY OF ONE (1) LOT SPARE PARTS FOR THE MAINTENANCE AND REPAIR OF PHILIPPINE MARINE CORPS (PMC) FLOATING ASSETS FOR THE PHILIPPINE NAVY (PN)</t>
  </si>
  <si>
    <t>S1-SVD20-010 - SUPPLY AND DELIVERY OF VARIOUS MATERIALS FOR OPERATION USE.</t>
  </si>
  <si>
    <t>Rehabilitation of Linear Park along Chino Roces Avenue Extension, Brgy. Fort Bonifacio, Taguig City</t>
  </si>
  <si>
    <t>ASPHALTING OF ROAD AT BARANGAY DALUMPINAS, SAN NICOLAS, PANGASINAN</t>
  </si>
  <si>
    <t>20GIL0056(PURCHASE OF SPARE PARTS, DPWH-SLDEO MAASIN CITY, SOUTHERN LEYTE)</t>
  </si>
  <si>
    <t>IB No. 2020 - 09 - Supply, Delivery and Testing of  One (1) unit Brand New Multi-Purpose Van</t>
  </si>
  <si>
    <t>SUPPLY AND DELIVERY OF VARIOUS ELECTRICAL SPARE PARTS FOR 163KW PERKINS INTENDED FOR GUINTARCAN DPP</t>
  </si>
  <si>
    <t>SUPPLY AND DELIVERY OF VARIOUS MECHANICAL SPARE PARTS FOR 56KW PERKINS, INTENDED FOR BOHOL MINI GRID II</t>
  </si>
  <si>
    <t>SUPPLY AND DELIVERY OF VARIOUS MECHANICAL SPARE PARTS FOR 300KW CUMMINS INTENDED FOR CALUYA DPP</t>
  </si>
  <si>
    <t>S1-LIN20-006 - SUPPLY AND DELIVERY OF MATERIALS AND SUPLIES FOR OPERATION AND MAINTENANCE USE.</t>
  </si>
  <si>
    <t>SUPPLY AND DELIVERY OF VARIOUS MECHANICAL SPARE PARTS FOR 163KW PERKINS INTENDED FOR GIGANTES DPP</t>
  </si>
  <si>
    <t>Supply and Delivery of Uniforms and Paraphernalia to be used by the CPOSCO TF KKK Multipliers in connection with the Task Force KKK Enforcement at the Barangay Level for the year 2020 in the City of S</t>
  </si>
  <si>
    <t>20DQ0134 - Construction of 2STY10CL, Carmen ES, Silang, Cavite</t>
  </si>
  <si>
    <t>Construction of One Unit Two Storey Eight Classroom School Building at Lutay,Elementary School, Tayasan, Negros Oriental</t>
  </si>
  <si>
    <t>20HH0150-Concreting of Sitio Agbuacan II, Brgy. Agsungot to Sitio Catibis, Brgy. Guba FMR, Cebu City, Cebu</t>
  </si>
  <si>
    <t>S1-ADP20-008  - SUPPLY AND DELIVERY OF FAST MOVING SPAREPARTS FOR AGUTAYA DPP.</t>
  </si>
  <si>
    <t>S1-CUL20-017 - SUPPLY AND DELIVERY OF MATERIALS AND SUPPLIES FOR OPERATIONS OF CULION DPP.</t>
  </si>
  <si>
    <t>Procurement of One (1) unit brandnew 6 wheelers 16ft Heavy Duty Rivetless Aluminum Van use for delivery of  various medicines, intravenous fluids and supplies to six provincial hospitals.</t>
  </si>
  <si>
    <t>20HL0114 - Construction of  2 STY 4 CL  School Building @ Palayuhan High School, Siaton, Negros Oriental</t>
  </si>
  <si>
    <t>Fuel for use in the Operation of DPWH-NOFDEO Vehicles and Equipment.</t>
  </si>
  <si>
    <t>20DQ0132 - Concreting of Brgy. Toledo FMR, Brgy. Toledo, Silang, Cavite</t>
  </si>
  <si>
    <t>Procurement of Bond Paper in Preparation for the Re-production of Modules for Learning Continuity Plan</t>
  </si>
  <si>
    <t>20DQ0133 - Concreting of Brgy. Langkaan 2 FMR, Brgy. Langkaan 2, Dasmariñas, Cavite and Concreting of Sitio Caragao, Brgy. Sampaloc II, Dasmariñas, Cavite</t>
  </si>
  <si>
    <t>Perez National High School - Self Learning Modules</t>
  </si>
  <si>
    <t>Supply and Delivery of Multifunctional Inkjet Colored Printer with Continuous Ink Supply System</t>
  </si>
  <si>
    <t>Supply, Delivery and Installation of 1 lot Internet Subscription of Bukidnon State University (re-bidding)</t>
  </si>
  <si>
    <t>Procurement of various Electromechanical Equipment and Chlorination Equipment for Catacte Pumping Station</t>
  </si>
  <si>
    <t>Construction of One Unit Two Storey Six Classroom School Building at Bayog Elementary School, Canlaon City, Negros Oriental</t>
  </si>
  <si>
    <t>Repair/Maintenance of Road Slope Protection along Dumaguete North Road, Brgy. Malaga, Bindoy, Negros Oriental</t>
  </si>
  <si>
    <t>PROCUREMENT OF 32" TELEVISION</t>
  </si>
  <si>
    <t>Supply and delivery of food pack (3 meals) for Health Personnel's food managing COVID-19 facilities.</t>
  </si>
  <si>
    <t>SJADS INFRA 20-10: CONCRETING/REHABILITATION OF  MUNICIPAL STREETS</t>
  </si>
  <si>
    <t>IB-GOODS-2020-04A Procurement of Medical, Dental and Laboratory Supplies-Rebid</t>
  </si>
  <si>
    <t>MPG-B1-2020-344 - SUPPLY AND DELIVERY OF BRAND NEW 46,026 PAIRS ARMY COMBAT BOOTS, SUEDE, FIELD USE AND 24,400 PAIRS ARMY COMBAT BOOTS, SUEDE URBAN  USE FOR THE PHILIPPINE ARMY (PA)</t>
  </si>
  <si>
    <t>HO-PIB20-007 (PB2) - Design, Supply, Delivery, Test and Commissioning of Two (2) Units of 5MW Power Barge at Mooring Facility, Bo. Obrero, Iloilo City</t>
  </si>
  <si>
    <t>Supply and Delivery of Heavy-duty 3 in 1 Copier</t>
  </si>
  <si>
    <t>REPRODUCTION OF LEARNING MATERIALS</t>
  </si>
  <si>
    <t>PROCUREMENT OF MEDICINES AND MEDICAL SUPPLIES FOR FAMILY PLANNING PROGRAM, MHO MALAPATAN, SARANGANI PROVINCE</t>
  </si>
  <si>
    <t>SUPPLY AND DELIVERY OF VARIOUS ELECTRICAL SPARE PARTS FOR 336KW CUMMINS, MODEL NO.: KTA19-G2, ENGINE NO.: 41233013 INTENDED FOR BIRI DPP</t>
  </si>
  <si>
    <t>20HH0149-Concreting of Brgy. Buot Taop FMR, Brgy. Buot Taop, Cebu City, Cebu</t>
  </si>
  <si>
    <t>PROCUREMENT OF MATERIALS FOR THE MAINTENANCE AND DEVELOPMENT OF HRIS SYSTEM, MALAPATAN, SARANGANI PROVINCE</t>
  </si>
  <si>
    <t>SUPPLY AND DELIVERY OF  VARIOUS SIZES HDPE PIPE</t>
  </si>
  <si>
    <t>PROCUREMENT OF MEDICINES AND MEDICAL SUPPLIES FOR PROVISION OF BASIC HEALTH SERVICES, MHO MALAPATAN, SARANGANI PROVINCE</t>
  </si>
  <si>
    <t>Procurement of Water Supply Accessories and Materials for the Improvement of Water System (2nd Posting)</t>
  </si>
  <si>
    <t>PROCUREMENT OF GOODS FOR SENIOR CITIZEN AND PERSON WITH DISABILITY, MALAPATAN, SARANGANI PROVINCE</t>
  </si>
  <si>
    <t>IMPROVEMENT OF MUNICIPAL PUBLIC MARKET, PUROK 8B, BARANGAY POBLACION, MALAPATAN, SARANGANI PROVINCE</t>
  </si>
  <si>
    <t>Procurement of Supplies (Bond Paper) for Printing of Self Learning  Modules</t>
  </si>
  <si>
    <t>Purchase of Medical, Laboratory, Dental, Radiologic &amp; Opthalmology Supplies</t>
  </si>
  <si>
    <t>Procurement of CY 2020 OASPP-FOCIS ICT Requirements</t>
  </si>
  <si>
    <t>Supply and Delivery of Agricultural Supplies and Medicines</t>
  </si>
  <si>
    <t>PROCUREMENT OF 1 LOT FOOD STUFF</t>
  </si>
  <si>
    <t>Printing and Delivery of Self-Learning Modules for DepED-Division of Lapu-Lapu City</t>
  </si>
  <si>
    <t>PURCHASE OF HEAVY EQUIPMENT FOR THE OFFICIAL USE OF THE CITY OF DASMARIÑAS</t>
  </si>
  <si>
    <t>CONCRETING OF JUNCTION NATIONAL HIGHWAY – MASBONG 1 ROAD (PHASE-III), BARANGAY POBLACION, MALAPATAN, SARANGANI PROVINCE</t>
  </si>
  <si>
    <t>Construction of Bridge at Sta. Maria, Mansalay, Or. Mindoro</t>
  </si>
  <si>
    <t>20GD0113 - BASIC EDUCATIONAL FACILITIES FUND (BEFF) CONSTRUCTION OF ELEMENTARY AND SECONDARY CLASSROOMS – CONSTRUCTION OF 2STY4CL, TANZA ES, ROXAS CITY, CAPIZ</t>
  </si>
  <si>
    <t>PROCUREMENT OF 1 LOT FUEL, OIL AND LUBRICANTS</t>
  </si>
  <si>
    <t>PURCHASE OF VARIOUS DRUGS AND MEDICINES FOR THE PAGAMUTAN NG DASMARIÑAS</t>
  </si>
  <si>
    <t>PURCHASE OF MINI ELECTRIC VEHICLES FOR THE OFFICIAL USE OF THE CITY OF DASMARIÑAS</t>
  </si>
  <si>
    <t>Construction of Day Care Center at Sampaguita, Victoria, Or. Mindoro</t>
  </si>
  <si>
    <t>Construction of Senior Citizen's Building at Calocmoy, Socorro, Or. Mindoro</t>
  </si>
  <si>
    <t>Construction of Montemayor-Herrera Road, Naujan, Oriental Mindoro</t>
  </si>
  <si>
    <t>Upgrading of Naujan Community Hospital Electrical System, Naujan, Oriental Mindoro</t>
  </si>
  <si>
    <t>Cluster: Swine Enterprise Development: Four (4) Units Hogstel Project (Pacific Area), Brgy. Somoje, San Juan, Brgy. Look, Anahawan, Brgy. Manalog, Hinunangan &amp; Brgy. Ambao, Hinundayan, Southern Leyte</t>
  </si>
  <si>
    <t>PROCUREMENT OF 4 LOTS FUEL, OIL AND LUBRICANTS</t>
  </si>
  <si>
    <t>Concreting of Road at Zone 6, Tumaga, Zamboanga City</t>
  </si>
  <si>
    <t>Cluster: Swine Enterprise Development: Three (3) Units Hogstel Project (Sogod Bay Area), Brgy. Bugasong, Libagon, Brgy. Buenavista, Bontoc &amp; Brgy. Bogo, Tomas Oppus, Southern Leyte</t>
  </si>
  <si>
    <t>Repair/Rehabilitation of fence at Bansud Provincial Jail at Pag-asa, Bansud, Or. Mindoro</t>
  </si>
  <si>
    <t>Cluster: Swine Enterprise Development: Three (3) Units Hogstel Project (Maasin City, Malitbog &amp; Padre Burgos), Brgy. Hantag, Maasin City, Brgy. Cabul-anonan, Malitbog &amp; Brgy. Bunga, Padre Burgos, Sout</t>
  </si>
  <si>
    <t>SUPPLY AND DELIVERY OF MEDICAL SUPPLIES AND EQUIPMENT AND LABORATORY SUPPLIES</t>
  </si>
  <si>
    <t>Rehabilitation of Carmen Central ES Multi-Purpose Hall/Building</t>
  </si>
  <si>
    <t>Concreting of Road at Sitio Quinaban, San Jose, Bongabong, Oriental Mindoro</t>
  </si>
  <si>
    <t>MG-TSE20-031..SUPPLY, DELIVERY &amp; INST. OF ELECT'L. DIST. PANEL, CIRCUIT BREAKER ,TOOLS &amp; EQPT. FOR HIGH VOLTAGE REPAIR</t>
  </si>
  <si>
    <t>Supply &amp; Delivery of Construction Materials for the Construction of 13 Units Core Shelter</t>
  </si>
  <si>
    <t>Completion of Slaughter House</t>
  </si>
  <si>
    <t>20HL0113 - Concreting of Brgy. Malaunay to Brgy. Doddob Farm-to-Market Road (FMR), Brgy. Malaunay and Brgy. Dobdob, Valencia, Negros Oriental</t>
  </si>
  <si>
    <t>AMP SVP-S NO: 20-08-0430 One (1) Lot Managed WiFi for Executive House</t>
  </si>
  <si>
    <t>CDH-20-0826-B MEDICAL EQUIPMENT</t>
  </si>
  <si>
    <t>Concreting  of 1 km. junction  Panampawan  to Madaguing  FMR</t>
  </si>
  <si>
    <t>Construction of Two-Storey Legislative Session Hall (Expansion)</t>
  </si>
  <si>
    <t>Concreting  of 0.200 km junction national highway  to Sitio Tapon (Via Mat-i NHS)</t>
  </si>
  <si>
    <t>CDH-20-0823-B MEDICAL EQUIPMENT</t>
  </si>
  <si>
    <t>Rehabilitation and Improvement of Public Market Buildings</t>
  </si>
  <si>
    <t>Supply and Delivery of Goods under Supplementary Feeding Program of the Department of Social Welfare and Development – National Capital Region (DSWD-NCR) (ITB 20-08-13,SFP)</t>
  </si>
  <si>
    <t>CDH-20-0824-B OFFICE EQUIPMENT</t>
  </si>
  <si>
    <t>Construction of Drainage Canal for Various Barangays (Re-Bid)</t>
  </si>
  <si>
    <t>Supply and Delivery of Modular Tent for the City Government of Balanga, Bataan</t>
  </si>
  <si>
    <t>Construction of Riverbank protection (flood Control ) Phase II</t>
  </si>
  <si>
    <t>Construction of 1STY 2CL with toilet, Banawe Elementary School, Pamplona, Negros Oriental</t>
  </si>
  <si>
    <t>Construction of Bridge and Stair (Connecting DBP/Market Mall to Building H) at Public Market, Brgy. San Pedro Tumauini, Isabela</t>
  </si>
  <si>
    <t>MG-A5M20-071..RE-TUBING OF 7 SETS AIR COOLER, AGUS 4 HE PLANT</t>
  </si>
  <si>
    <t>Rehabilitation of Barangay Road (Guintuloan)</t>
  </si>
  <si>
    <t>Provision of Potable Water Supply, Apolong, Valencia, Negros Oriental</t>
  </si>
  <si>
    <t>B-047-2020 SUPPLY AND DELIVERY OF 1 LOT VARIOUS OFFICE SUPPLIES</t>
  </si>
  <si>
    <t>MG-A7C20-027..FILTER, GOVERNOR, UNITS 3, 4 &amp; 5 FOR AGUS 6 HEP</t>
  </si>
  <si>
    <t>MA-A2M20-003..REHAB OF GANTRY CRANE, AGUS 1 HE PLANT</t>
  </si>
  <si>
    <t>Procurement of CY 2020 PAS-ICT Requirements</t>
  </si>
  <si>
    <t>MA-A2H20-019..TRANSDUCER, KW MULTI PROGRAMMABLE TRANSDUCER, AGUS 1 HE PLANT</t>
  </si>
  <si>
    <t>20DB0140 Concreting of Brgy. Tanagan FMR, Brgy. Tanagan, Calatagan, Batangas</t>
  </si>
  <si>
    <t>Construction of 1STY 2CL with toilet, Pilipigan Lnd. PIS, Tanjay, Negros Oriental</t>
  </si>
  <si>
    <t>Construction of River Flood Control</t>
  </si>
  <si>
    <t>PROCUREMENT OF 4 LOTS DRUGS AND MEDICINES</t>
  </si>
  <si>
    <t>SUPPLY AND DELIVERY OF DIGITAL DUPLICATOR MACHINES WITH ADDITIONAL INK AND MASTER ROLL, SEF, SFADS</t>
  </si>
  <si>
    <t>ITB No. 20-056 Supply and Delivery of Various Laboratory Reagents and Supplies  (Line Bidding)</t>
  </si>
  <si>
    <t>20DB0141 Concreting of Brgy. Humayingan FMR, Brgy. Humayingan, Lian, Batangas</t>
  </si>
  <si>
    <t>MG-A5C20-002..SUBMERSIBLE PUMP FOR POTABLE WATER, AGUS 4 HE PLANT</t>
  </si>
  <si>
    <t>Various Materials -Architectural, Roof, Painting &amp; Electrical Work Use for Const. of New LGU Main Building</t>
  </si>
  <si>
    <t>PROCUREMENT OF 2 LOTS CATERING SERVICES</t>
  </si>
  <si>
    <t>Construction of Concrete Canal</t>
  </si>
  <si>
    <t>IMPROVEMENT OF TREASURY OFFICE</t>
  </si>
  <si>
    <t>Purchase of Goods/Materials for Improvement and Rehabilitation of Material Recovery Facility (Negotiated Procurement)</t>
  </si>
  <si>
    <t>CONSTRUCTION/ WIDENING OF BARANGAY ROAD (PHASE 2), BRGY. BIOSO, ZUMARRAGA, SAMAR</t>
  </si>
  <si>
    <t>Food Stuff</t>
  </si>
  <si>
    <t>SUPPLY AND DELIVERY OF VARIOUS MATERIALS, FUEL AND OIL FOR GRAVELLING OF BARANGAY ROADS</t>
  </si>
  <si>
    <t>REHABILITATION OF BARANGAY ROAD</t>
  </si>
  <si>
    <t>PURCHASE OF FORTY (40) UNITS FISHING BOAT FOR FISHER FOLKS OF THE MUNICIPALITY OF INFANTA, PANGASINAN (BANGKA PARA SA MANGINGISDA PROJECT, DOLE RO1)</t>
  </si>
  <si>
    <t>Procurement of ICT Related Equipment and Peripherals, Furniture and Electronic Learning Materials for Flexible/Alternative Mode of Teaching and Learning</t>
  </si>
  <si>
    <t>CONSTRUCTION OF 2-STOREY TOURISM INN</t>
  </si>
  <si>
    <t>Supply and Delivery of Supplies for Rabies Prevention and Control Program of the City Government of Balanga, Bataan</t>
  </si>
  <si>
    <t>PROCUREMENT OF 1 LOT VEHICLE PARTS &amp; ACCESSORIES</t>
  </si>
  <si>
    <t>Procurement of seedlings for dispersal to mango farmers beneficiaries and establishment of a Municipal Mango Seedling Nursery</t>
  </si>
  <si>
    <t>PROCUREMENT OF RESCUE / EXTRICATION EQUIPMENT OF MDRRMO, MALAPATAN, SARANGANI PROVINCE</t>
  </si>
  <si>
    <t>ITB No. 20-074   RE-BIDDING OF ONE (1) LOT SUPPLY AND DELIVERY OF LABOR, TOOLS, MATERIALS, CONSUMABLES, SUPERVISION AND TECHNICAL EXPERTISE FOR THE INSTALLATION, TESTING AND COMMISSIONING OF ONE (1) U</t>
  </si>
  <si>
    <t>P.R No. 20-07-0761: GASOLINE &amp; DIESEL</t>
  </si>
  <si>
    <t>CONCRETING OF ACCESS ROAD, PUROK 3 JUSTINIANA, DINAGAT</t>
  </si>
  <si>
    <t>MPG-B1-2020-244 - SUPPLY AND DELIVERY OF BRAND NEW 16,490 PIECES PONCHO TENT, PHILARPAT FOR THE PHILIPPINE ARMY (PA)</t>
  </si>
  <si>
    <t>Supply &amp; Delivery of IT Equipment for office use at the City Engineering Services &amp; Architecture Planning &amp; Design (OCES).</t>
  </si>
  <si>
    <t>20CSBD001 - CONSULTING SERVICES FOR PARCELLARY SURVEY, ROUTE SURVEY-DETAILED ENGINEERING SURVEY, MONUMENTING AND RESEARCH WORKS FOR THE CONVERSION OF ROAD FROM LOCAL TO NATIONAL ROAD, QUIBAL-NANGUILAT</t>
  </si>
  <si>
    <t>SUPPLY AND DELIVERY OF FIVE ( 5) UNITS DUPLICATOR MACHINE WITH A3 MONOCHROME PHOTOCOPIER, PRINTER AND SCANNER</t>
  </si>
  <si>
    <t>20GD0112 - BASIC EDUCATIONAL FACILITIES FUND (BEFF) CONSTRUCTION OF ELEMENTARY AND SECONDARY CLASSROOMS – CONSTRUCTION OF 2STY4CL, WEST VILLAFLORES ES, MA-AYON, CAPIZ</t>
  </si>
  <si>
    <t>HANDWASHING FACILITY</t>
  </si>
  <si>
    <t>CONSTRUCTION OF LEVEL 3 WATER SYSTEM, DOŇA HELEN, LIBJO</t>
  </si>
  <si>
    <t>Construction of Two Storey Four Classroom School Building at Cambagahan National High School, Bais City</t>
  </si>
  <si>
    <t>Expansion of Pot. Water Supply System (Nalubbunan)</t>
  </si>
  <si>
    <t>TIPPING AND HAULING OF SOLID WASTE FOR THE MUNICIPALITY OF ORANI, BATAAN</t>
  </si>
  <si>
    <t>Supply &amp; Delivery of Construction Materials (Construction of Drainage Canal Sanitary Landfill)</t>
  </si>
  <si>
    <t>Supply and Delivery of Public Utility Vehicle (Van)</t>
  </si>
  <si>
    <t>Construction of Public Cemetery Comfort Room</t>
  </si>
  <si>
    <t>MATERIALS FOR THE INSTALLATION OF AIRCON</t>
  </si>
  <si>
    <t>OFFICE SUPPPLIES</t>
  </si>
  <si>
    <t>Expansion of Pot. Water Supply System (Calaocan)</t>
  </si>
  <si>
    <t>Expansion of Pot. Water Supply System (Maasin)</t>
  </si>
  <si>
    <t>Construction of 2 Storey 4 Classroom School Building at Taclobo NHS, Dumaguete City, Negros Oriental</t>
  </si>
  <si>
    <t>ITB No. 20-075  RE-BIDDING OF DESIGN AND BUILD OF THE PROPOSED REPLACEMENT OF THE EXISTING 34.5KV UNDERGROUND TRANSMISSION LINES INCLUSIVE OF LABOR, TOOLS, EQUIPMENT, MATERIALS, CONSUMABLES, SUPERVISI</t>
  </si>
  <si>
    <t>Negotiated Procurement</t>
  </si>
  <si>
    <t>Purchase &amp; Delivery of Bond Paper for the Reproduction of Learning Modules &amp; Self-learning Kits in Support &amp; Compliance to Basic Education</t>
  </si>
  <si>
    <t>CONSTRUCTION OF MULTI-PURPOSE BUILDING, FERDINAND, LORETO</t>
  </si>
  <si>
    <t>Construction of Senior Citizen Building Poblacion, Getafe Bohol</t>
  </si>
  <si>
    <t>Upgrading and Improvement of Ora-Tay-ac Road at Bantay, Ilocos Sur</t>
  </si>
  <si>
    <t>20L00174 : Construction of Sumlog Parallel Bridge (Substructure Only) Along Pres. Diosdado P. Macapagal Natl Hi-way, Davao Oriental</t>
  </si>
  <si>
    <t>Construction of Water System at ISPH-Gabriela Silang General Hospital, Tamag, Vigan City, Ilocos Sur</t>
  </si>
  <si>
    <t>Mantenance/Repair of Manpower Development Center (Repair of CR)</t>
  </si>
  <si>
    <t>PROCUREMENT OF IT EQUIPMENT FOR USE AT SB OFFICE &amp; MSWDO</t>
  </si>
  <si>
    <t>COMPLETION OF PROVINCIAL GARAGE</t>
  </si>
  <si>
    <t>Upgrading and Improvement of Lubong-Tanggaoan-Dunglayan Road at Sta. Maria, Ilocos Sur</t>
  </si>
  <si>
    <t>Design and Build of 3-storey Administration Building with Meeting Halls in SPAMAST Malita, Davao Occidental 2nd Posting</t>
  </si>
  <si>
    <t>SUPPLY AND DELIVERY OF 3 UNITS HIGH-SPEED PRINTER/DIGITAL DUPLICATOR.</t>
  </si>
  <si>
    <t>Installation of Automated Weather Station</t>
  </si>
  <si>
    <t>Upgrading and Improvement of Immayos-Saoang Road at San Juan, Ilocos Sur</t>
  </si>
  <si>
    <t>Procurement of 4 units Duplicating Machine use for printing of module for Online DepEd Program</t>
  </si>
  <si>
    <t>Supply &amp; Delivery of 12 units Cultivator for Agri-infra support for Rice Production to selected Farmers Association (OCAS).</t>
  </si>
  <si>
    <t>Construction of Niches</t>
  </si>
  <si>
    <t>PAINT</t>
  </si>
  <si>
    <t>Supply And Delivery of Environmental Water And Sanitation Project (Water Quality Monitoring)MHO Tibiao Ant.</t>
  </si>
  <si>
    <t>Construction of Post-Harvest Facility at Barangay Caterman, Candon City, Ilocos Sur</t>
  </si>
  <si>
    <t>Supply and Delivery of Office Supplies and Printer</t>
  </si>
  <si>
    <t>Delivery of vehicle parts/accessories needed for Dump trucks &amp; Heavy Equipment (ITB 20-098)</t>
  </si>
  <si>
    <t>CONSTRUCTION OF 52 METERS CATWALK SHED</t>
  </si>
  <si>
    <t>20GFI0003 - Purchase of Materials for 3rd &amp; 4th Quarter (Maintenance Section).</t>
  </si>
  <si>
    <t>Delivery of various Equipment, Other &amp; Agricultural supplies/materials (ITB 20-097)</t>
  </si>
  <si>
    <t>Procurement of Various Seeds, Planting Materials, Fertilizers, Various Pesticides &amp; Various Merchandise Lot 1 - Various Seeds</t>
  </si>
  <si>
    <t>Concreting of Farm-to-Market Road at Sitio Anteng, Brgy. Ambulogan, Narvacan, Ilocos Sur</t>
  </si>
  <si>
    <t>Canalization</t>
  </si>
  <si>
    <t>DELIVERY OF MATERIALS FOR THE INSTALLATION OF PARALLEL MAIN WATERLINE PIPES</t>
  </si>
  <si>
    <t>Procurement of Various Seeds, Planting Materials, Fertilizers, Various Pesticides &amp; Various Merchandise Lot 3 - Various Fertilizers</t>
  </si>
  <si>
    <t>PURCHASE OF MATERIALS – CONSTRUCTION OF SHORELINE PROTECTION – BRGY. POBLACION</t>
  </si>
  <si>
    <t>2020 26TH PUBLIC BIDDING: PROCUREMENT OF VARIOUS MEDICAL EQUIPMENT</t>
  </si>
  <si>
    <t>PROCUREMENT OF GARBAGE COMPACTOR</t>
  </si>
  <si>
    <t>Improvement of NHJ-Bitaugan-Maputi Road (Phase I) at Brgy. Bitaugan &amp; Brgy. Maputi, San Isidro,  Davao Oriental</t>
  </si>
  <si>
    <t>One (1) Lot Hiring of Professional Webinar Manager for the Conduct of Bangko Sentral ng Pilipinas’ (BSP) Financial Education Stakeholders Expo on 23 to 27 November 2020, as per BSP Terms of Reference</t>
  </si>
  <si>
    <t>Supply and Delivery of Various Medical Supplies for PRDP-NPCO (PRAS No. 2020-069 &amp; SH-027-2020)</t>
  </si>
  <si>
    <t>PURCHASE OF MATERIALS – CONSTRUCTION OF LINE CANAL DRAINAGE WITH REINFORCED COVER AT SAN ANTONIO STREET – BRGY. POBLACION</t>
  </si>
  <si>
    <t>20GFO0026 - Supply and Delivery of Materials for Work Cat. 18 Traffic Services Maintenance Act. 302 Center Line and Lane Line Repainting along National Roads within 3rd District of Albay</t>
  </si>
  <si>
    <t>Rehabilitation of Brgy. Road @ Purok 7</t>
  </si>
  <si>
    <t>LANDSCAPING WORKS (front Municipal Hall, Plaza, Rizal Park)</t>
  </si>
  <si>
    <t>Supply and Delivery of Materials for the Cons't. of Improvement of Multi-Purpose Center in TLMNHS(Phase IV)</t>
  </si>
  <si>
    <t>Supply and Delivery of Various Laboratory Equipment for Ospital ng Makati (6 Lots)</t>
  </si>
  <si>
    <t>DELIVERY OF MATERIALS FOR DepEd CONTINUITY LEARNING PROGRAM</t>
  </si>
  <si>
    <t>SUPPLY, DELIVERY,WIRING AND COMMISSIONING OF DIESEL GENERATOR FOR THE NEW MUNICIPAL BUILDING</t>
  </si>
  <si>
    <t>Supply and Delivery of Medical Equipment for Autopsy</t>
  </si>
  <si>
    <t>DELIVERY OF COVID 19 USE MEDICINE FOR RHU-1</t>
  </si>
  <si>
    <t>Support Facilities and Equipment for the Production of Quality Corn</t>
  </si>
  <si>
    <t>Cloud Server Setup and Hosting with Local backup HCI and Server with Pre-Installed HCI for UMAK Learning Management System (LMS)</t>
  </si>
  <si>
    <t>Improvement of Waterworks at Barangay Liptong, Bacong, Negros Oriental</t>
  </si>
  <si>
    <t>SUPPLY AND DELIVERY OF  13 UNITS TENT AND 130 PCS FOLDING BED</t>
  </si>
  <si>
    <t>Supply and Delivery of Diesel Fuel use for Construction/Rehab. of Local Roads.</t>
  </si>
  <si>
    <t>ADDITIONAL SUPPLIES FOR PRINTING OF MODULES</t>
  </si>
  <si>
    <t>Procurement of Grafted Jackfruit, Various Commercial Fertilizers and Agricultural Supplies Lot 2 - Various Commercial Fertilizers</t>
  </si>
  <si>
    <t>Concreting of Liangan-Camp I-Mahayahay Provincial Road</t>
  </si>
  <si>
    <t>SUPPLY AND DELIVERY OF TWO (2) UNITS MOTORCYCLE</t>
  </si>
  <si>
    <t>20BD0138 - CONSTRUCTION OF FOUR (4) STOREY, TWELVE (12) CLASSROOMS (WITH 4 REGULAR CLASSROOMS, 2 SCIENCE LABS AND 2 ICT LABS) LINAO NATIONAL HIGH SCHOOL, TUGUEGARAO CITY, CAGAYAN</t>
  </si>
  <si>
    <t>Construction of Fisherman's Wharf@ Poblacion Tibiao, Ant.</t>
  </si>
  <si>
    <t>INSTALLATION OF SOLAR LIGHTS</t>
  </si>
  <si>
    <t>20MA0132-Concreting of Brgy. Bulod FMR, Brgy. Bulod, Datu Paglas, Maguindanao</t>
  </si>
  <si>
    <t>20-014 Bidding of Supply and Delivery of Grocery Items for Stockpile</t>
  </si>
  <si>
    <t>Procurement of Grafted Jackfruit, Various Commercial Fertilizers and Agricultural Supplies Lot 1 - Grafted Jackfruit</t>
  </si>
  <si>
    <t>Construction of Sanitary Landfill (Phase II) Brgy. Maningcol</t>
  </si>
  <si>
    <t>Supply and Delivery of Thermal Scanners and Megger Testers</t>
  </si>
  <si>
    <t>20MA0131-Concreting of Brgy. Bugasan Sur FMR, Brgy. Bugasan Sur, Matanog,  Maguindanao</t>
  </si>
  <si>
    <t>20CL0089 - Concreting of Galumayen Rd.,Brgy. Bangantalinga FMR,  Brgy. Bangantalinga,Iba, Zambales</t>
  </si>
  <si>
    <t>Procurement of Fertilizers</t>
  </si>
  <si>
    <t>Supply, Delivery and Installation of Furnitures and Fixtures for Councilor’s Offices at 19F – 20F, Makati City Hall Building I</t>
  </si>
  <si>
    <t>Purchase and Delivery of Supplies for Livestock and Poultry Raising Multiplier Farm Rehabilitation Program</t>
  </si>
  <si>
    <t>Procurement of Grafted Jackfruit, Various Commercial Fertilizers and Agricultural Supplies Lot 3 - Various Agricultural Supplies</t>
  </si>
  <si>
    <t>Procurement of One Unit Brand New Motor Vehicle for the Municipal Vice Mayor's Office</t>
  </si>
  <si>
    <t>Procurement of ICT Equipment</t>
  </si>
  <si>
    <t>Construction of Covered Court /Quinabigan High School, Brgy. Quinabigan</t>
  </si>
  <si>
    <t>Conduct of Subsurface Exploration/Preliminary Detailed Engineering for FY 2021 Regular Infrastructure, Mabato Bridge 1, Mabato Bridge 2, Balogo Bridge, Malaiba Br. 1 (B00409nr), Alangilanan Bridge, Ma</t>
  </si>
  <si>
    <t>Supply and Delivery of Adult Emergency and Transport Stretcher Beds</t>
  </si>
  <si>
    <t>Supply and Delivery of Materials use for Construction/Rehab. of Local Roads.</t>
  </si>
  <si>
    <t>Procurement of Various Seeds, Planting Materials, Fertilizers, Various Pesticides &amp; Various Merchandise Lot 4 - Various Pesticides</t>
  </si>
  <si>
    <t>Supply and Delivery of Medical Equipments for Veterinary Services (Biological Refrigerator – Dry Heat Sterilizer Stainless)</t>
  </si>
  <si>
    <t>AMP SVP-D NO: 20-08-0378C:  Copy Paper</t>
  </si>
  <si>
    <t>SUPPLY AND DELIVERY OF  MEDICINES</t>
  </si>
  <si>
    <t>PURCHASE OF DRUGS AND MEDICINES – MHO</t>
  </si>
  <si>
    <t>SUPPLY AND DELIVERY OF 10 UNITS (1 HP) WINDOW TYPE AIR CONDITIONER.</t>
  </si>
  <si>
    <t>Supply and Delivery of Airconditioning Units</t>
  </si>
  <si>
    <t>Construction of Solar-Powered Street Light</t>
  </si>
  <si>
    <t>Delivery of Fertilizer needed for Plantation Crops Production Program (ITB 20-096)</t>
  </si>
  <si>
    <t>Procurement of Various Seeds, Planting Materials, Fertilizers, Various Pesticides &amp; Various Merchandise Lot 5 - Various Merchandise</t>
  </si>
  <si>
    <t>PURCHASE OF GARBAGE COMPACTOR</t>
  </si>
  <si>
    <t>Installation of 2nd Level Deck Bleacher</t>
  </si>
  <si>
    <t>Retrofitting of Lorenzo D. Zayco District Hospital, Kabankalan City, Neg. Occ./PEO-2020-1327</t>
  </si>
  <si>
    <t>Construction of 3CL Building Phase II, Concepcion Elementary School, Barangay Concepcion, Municipality of Sto. Domingo, Nueva Ecija</t>
  </si>
  <si>
    <t>Procurement of Various Seeds, Planting Materials, Fertilizers, Various Pesticides &amp; Various Merchandise Lot 2 - Planting Materials</t>
  </si>
  <si>
    <t>Electrification of Different Barangays, Municipality of Sto. Domingo, Nueva Ecija</t>
  </si>
  <si>
    <t>20GCH0023: Purchase of Office Supplies and Materials (For Use in the Planning &amp; Design Section) DPWH-Pampanga 2nd DEO, San Antonio, Guagua, Pampanga</t>
  </si>
  <si>
    <t>Procurement of Bangus Fingerlings &amp; Feeds Lot 1 - Bangus Fingerlings</t>
  </si>
  <si>
    <t>PROCUREMENT OF WELL-MILLED RICE &amp; GROCERY ITEMS FOR STOCKPILING TO BE USED DURING DISASTER OPERATIONS</t>
  </si>
  <si>
    <t>Procurement of Bangus Fingerlings &amp; Feeds Lot 2 - Feeds</t>
  </si>
  <si>
    <t>Expansion of Pot. Water Supply System (Bonifacio)</t>
  </si>
  <si>
    <t>CONCRETING OF PROVINCIAL ROAD DIEGAS TO RITA GLENDA SECTION, BASILISA</t>
  </si>
  <si>
    <t>Supply of Hybridization Incubator</t>
  </si>
  <si>
    <t>ANNUAL SERVICING OF THE SSS MAIN BUILDING'S POWER SUBSTATIONS AND OTHER RELATED WORKS</t>
  </si>
  <si>
    <t>CONTINUOUS LINING OF MUNICIPAL STREET DRAINAGE CANAL</t>
  </si>
  <si>
    <t>Procurement of Feeds for Bangos Production</t>
  </si>
  <si>
    <t>SJADS GOODS 20-14: PROCUREMENT OF OFFICE AND SCHOOL SUPPLIES (SEF)</t>
  </si>
  <si>
    <t>CONCRETING OF ACCESS ROAD, CONALES STREET, MABINI, TUBAJON</t>
  </si>
  <si>
    <t>(VJLN - BES) PREVENTIVE MAINTENANCE AND CALIBRATION OF LABORATORY EQUIPMENTS</t>
  </si>
  <si>
    <t>Rehabilitation of Rubberized Track Oval (Warm-up and Two(2) D-Section), Phase II, Pana-ad Park, Brgy. Mansilingan, Bacolod City, Neg. Occ./ PPS-2020-0161</t>
  </si>
  <si>
    <t>Purchase of Computer Equipment, Printer and Accessories for NEUST OFF Campus, Old Municipal Building, Barangay Malaya, Municipality of Sto. Domingo, Nueva Ecija</t>
  </si>
  <si>
    <t>Supply, Delivery, Installation and Commissioning of New Elevator Units at PPA Head Office</t>
  </si>
  <si>
    <t>Concreting of Linglingay Brgy. Road</t>
  </si>
  <si>
    <t>Strengthening the Information Technology Program of IFSU</t>
  </si>
  <si>
    <t>Construction of Multi-Purpose Building (Covered Court) near Umbel St., Brgy. Pembo, Makati City, Metro Manila</t>
  </si>
  <si>
    <t>IMPROVEMENT OF BRGY. HALL GROUND</t>
  </si>
  <si>
    <t>Contract ID No.: 20OB0441 Contract Name: Construction of 4-Storey Organic Personnel and Students Barracks Billeting PAICOE, AIR, Philippine Army, Legaspi Compound, Fort Bonifacio, Taguig City</t>
  </si>
  <si>
    <t>INSTALLATION, TESTING AND COMMIS- SIONING OF CLIMATE CONTROL SYSTEM FOR THE NATIONAL LIBRARY OF THE PHILIPPINES (NLP)</t>
  </si>
  <si>
    <t>Purchase &amp; Delivery of Office Supplies for the 3rd Quarter 2020</t>
  </si>
  <si>
    <t>Replacement of Bridge: Demonstration Br. (B02184LZ) along Kennon Rd, Tuba, Benguet</t>
  </si>
  <si>
    <t>Contract ID No.: 20OB0389 Contract Name: Improvement of Iwahig Creek, Barangay Tumana, Marikina City</t>
  </si>
  <si>
    <t>20GFL0006-Supply and delivery of various office supplies for use of personnel/employees of DPWH Sorsogon 2nd DEO for 3rd Quarter, CY 2020</t>
  </si>
  <si>
    <t>ITB No. 20-29 Procurement of Laboratory Supplies and Reagents</t>
  </si>
  <si>
    <t>PROCUREMENT OF VARIOUS LABORATORY SUPPLIES</t>
  </si>
  <si>
    <t>Contract ID No.: 20OB0387 Contract Name: Construction of Drainage System along JACAMAR St., Marikina City</t>
  </si>
  <si>
    <t>20MA0137-Concreting of Brgy. Pandan FMR, Brgy. Pandan, South Upi, Maguindanao</t>
  </si>
  <si>
    <t>Procurement of Various Information Technology Equipment &amp; Construction Supplies Lot 2 - Various Construction Materials</t>
  </si>
  <si>
    <t>20BD0139 - CONSTRUCTION OF TWO (2) STOREY SIX (6) CLASSROOM, LIBAG ELEMENTARY SCHOOL, TUGUEGARAO CITY</t>
  </si>
  <si>
    <t>Construction of Covered Court in Cacawan National High School, Brgy. Cacawan</t>
  </si>
  <si>
    <t>Supply and Delivery of Various Office Equipment and Supplies for Various Departments/Offices of City Government of Makati</t>
  </si>
  <si>
    <t>CONCRETING OF MAIGO-MENTRING-INOMA PROVINCIAL ROAD Sta. 5+237.00 -Sta. 6+007.40; Sta. 6+914.24 – Sta. 10+470.00</t>
  </si>
  <si>
    <t>20MA0134-Concreting of Sitio Pinaginuman, Brgy. Elian to Sitio Kapulen, Brgy. Gawang  FMR, Brgy. Elian and Brgy. Gawang, Datu Saudi – Ampatuan, Maguindanao</t>
  </si>
  <si>
    <t>Procurement of Various Information Technology Equipment &amp; Construction Supplies Lot 1 - Various Information Technology Equipment</t>
  </si>
  <si>
    <t>20MA0135-Concreting of Crossing Borongotan to Kabalo Road FMR, Brgy. Borongotan   and Brgy. Kabalo, Upi, Maguindanao</t>
  </si>
  <si>
    <t>2020-07-1031-1032 - Supply and Delivery of Assorted Goods for SFP Implementation for the Provinces of Leyte and Southern, Leyte</t>
  </si>
  <si>
    <t>Water Source Drilling at QPMC</t>
  </si>
  <si>
    <t>20DJ0099 (Re-advertised) LOCAL PROGRAM, Construction/Repair/Rehabilitation/Improvement of Various Infrastructure including Local Projects, Rehabilitation of Multi-Purpose Building in Barangay Silangan</t>
  </si>
  <si>
    <t>20MA0136-Concreting of Sitio Sucob to Sitio Saramuray (Phase I), Brgy. Pilar FMR,   Brgy. Pilar, South Upi, Maguindanao</t>
  </si>
  <si>
    <t>20CSA011: Feasibility Study of Proposed Construction of Bypasses/ Diversion Roads, Construction of Alaminos-Lucap Bypass Road</t>
  </si>
  <si>
    <t>Chicken Meat Production for Food Sufficiency amidst the threat of Covid-19 Pandemic</t>
  </si>
  <si>
    <t>Purchase of Drugs and Medicines for the use of Orani District Hospital, Bataan</t>
  </si>
  <si>
    <t>Construction of Leachate Treatment Facility for the Garbage open Dumpsite in Brgy. Bonbonon, Iliga City</t>
  </si>
  <si>
    <t>Procurement of Water Testing Reagent and Disinfectant,  IB No. SB-2020-029</t>
  </si>
  <si>
    <t>Purchase of Drugs and Medicines for the use of JCPJMH, Bataan</t>
  </si>
  <si>
    <t>Procurement and Delivery of Materials for the Concreting of Roads</t>
  </si>
  <si>
    <t>Supply and Delivery of Medical Supplies (Helix Test 5.3-MIS Detergent) through Ordering Agreement</t>
  </si>
  <si>
    <t xml:space="preserve">19GG00099- Procurement of Weighbridge Equipment and for the Installation of Permanent Weighing Machines in Region VI at ATOME- Negros Occidental including Sanitation Facilities for use of Maintenance </t>
  </si>
  <si>
    <t>Construction of Medical Storage Room at RHU</t>
  </si>
  <si>
    <t>20MA0138-Concreting of Brgy. Oring FMR, Brgy. Oring, Buldon, Maguindanao</t>
  </si>
  <si>
    <t>Purchase of Drugs and Medicines for the use of Bagac Community and Medicare Hospital, Bataan</t>
  </si>
  <si>
    <t>Venue Rental (without aircon) &amp; Catering Services for Refresher Course on the implementation of the Early Childhood Care &amp; Development Program (CSWDO).</t>
  </si>
  <si>
    <t>Concreting of Resettlement Center to Sitio Pasbul, Brgy. Camias FMR, Brgy. Camias Porac, Pampanga</t>
  </si>
  <si>
    <t>INVITATION TO BID FOR THE  SUPPLY AND DELIVERY  OF VARIOUS GENERATOR SETS -PR#12257,12268,12274,12278</t>
  </si>
  <si>
    <t>CONSTRUCTION OF ISOLATION BUILDING @ BURGOS, ISABELA</t>
  </si>
  <si>
    <t>Procurement of Lubricated Male Condoms IB No. SB-2020-033</t>
  </si>
  <si>
    <t>Rehabilitation Upgrading of Sangkol - San Jose Barangay Road, Dipolog City Zamboanga del Norte (Revised)-08-481(O)PEO</t>
  </si>
  <si>
    <t>Negotiated Procurement – (Two Failed Biddings) for the Consulting Services for the Review and Updating of the Study on the Fluctuation Factors (Ks) and Parametric Formula under the Revised Contract Pr</t>
  </si>
  <si>
    <t>PR NO. MG-IPP20-002, FUSER ASSEMBLY &amp; 3 OTHER ITEMS</t>
  </si>
  <si>
    <t>Medical and other Laboratory Supplies (FaceMask)</t>
  </si>
  <si>
    <t>(20NH0094)Concreting of Brgy. Bitaugan East FMR, Brgy. Bitaugan East, Cagwait, Surigao del Sur</t>
  </si>
  <si>
    <t>PR NO. MG-IPP20-005, CABINET FILING</t>
  </si>
  <si>
    <t>Construction of Promenade</t>
  </si>
  <si>
    <t>Upgrading of Roads , Brgy. Panggulayan</t>
  </si>
  <si>
    <t>Purchase of Drugs and Medicines for the use of Mariveles District Hospital, Bataan</t>
  </si>
  <si>
    <t>PR NO. MG-CEN20-003, TONER &amp; 2 OTHER ITEMS</t>
  </si>
  <si>
    <t>PR NO. MG-RDW20-019, SCANNER/ PRINTER</t>
  </si>
  <si>
    <t>ITB No. (INF) 2020-08-115 CONSTRUCTION OF MULTI-PURPOSE BUILDING (PHASE I), Brgy. Palamrag, Mercedes, Eastern Samar</t>
  </si>
  <si>
    <t>CONCRETE  PAVING OF LIBERTAD-ARABIAT ROAD</t>
  </si>
  <si>
    <t>Construction of One (1) Storey Four (4) Classroom Sagay CS</t>
  </si>
  <si>
    <t>FURNISHING OF LABOR, MATERIALS AND EQUIPMENT RENTALS FOR THE CORE LOCAL ACCESS ROAD (SUPA-CANSILAYAN CIRCUMFERENCIAL ROAD) AT BRGY. SUPA-CANSILAYAN, TIGBAUAN, ILOILO.</t>
  </si>
  <si>
    <t>PROCUREMENT OF PHOTO COPIER</t>
  </si>
  <si>
    <t>Procurement of Electro-Mechanical, Piping Distribution,Electrical,Water Treatment Facilities and Civil Works for the Construction of San Roque Pumping Station</t>
  </si>
  <si>
    <t>Supply &amp; Delivery of Educational Materials &amp; Supplies for Brigada Eskwela 2020 (CMO).</t>
  </si>
  <si>
    <t>Contract ID Number 20FD0074 REPAIR/MAINTENANCE  OF FLOOD CONTROL/ DRAINAGE STRUCTURES , BRGY. PANAYTAYAN, RAGAY, CAMARINES SUR</t>
  </si>
  <si>
    <t>Construction of Ware House Building</t>
  </si>
  <si>
    <t>Construction of ASCOM Facilities at Camp Aquino, Tarlac for the Bases Conversion and Development Authority | PB No. 20-022-3</t>
  </si>
  <si>
    <t>HAULING OF RESIDUAL WASTE (Including loading cost and tipping fee)</t>
  </si>
  <si>
    <t>Spillway Construction at Brgy. Canlinte</t>
  </si>
  <si>
    <t>Procurement of Drugs and Medicines for Botika ng Bayan,  IB No. SB-2020-035</t>
  </si>
  <si>
    <t>Procurement of Drugs and Medicines,  IB No. SB-2020-034</t>
  </si>
  <si>
    <t>PR NO. MG-TSE20-005, INK (3 ITEMS)</t>
  </si>
  <si>
    <t>Barangay Development Projects 20% Development Funds (Manpower Development ,Water Supply System &amp; Evacuation Center )</t>
  </si>
  <si>
    <t>Procurement of Computer Sets</t>
  </si>
  <si>
    <t>ITB NO. (GDS.) 2020-08-020 PROCUREMENT OF MEDICAL SUPPLIES, Province of Eastern Samar</t>
  </si>
  <si>
    <t>Installation of 10,000 Gallons Capacity Stainless Water Tank and Main Pipelines for Public Grandstand, VIP Grandstand and other Facilities @ QPSTC</t>
  </si>
  <si>
    <t>Construction of 10,000 Gals. Elevated Water Tank for Dialysis at QPMC</t>
  </si>
  <si>
    <t>Proccurement of Submersible Water Pump and Its Accessories</t>
  </si>
  <si>
    <t>20B00064: Organizational Outcome 1: Ensure Safe and Reliable National Road System: Network Development: Construction of Bypass and Diversion Roads: Alicia-Angadanan-San Guillermo-Cauayan City-Naguilia</t>
  </si>
  <si>
    <t>ITB No. (INF) 2020-08-114 RENOVATION OF QUINAPONDAN COMMUNITY HOSPITAL, Quinapondan, Eastern Samar</t>
  </si>
  <si>
    <t>Improvement of Hostel A at QWC</t>
  </si>
  <si>
    <t>PW-2020-10</t>
  </si>
  <si>
    <t>PROCUREMENT OF HANDHELD RADIO</t>
  </si>
  <si>
    <t>Supply and Delivery of Medical Supplies (Implantable Access Port System – Power Injectable Safety Non-Coring Needle) through Ordering Agreement</t>
  </si>
  <si>
    <t>Supply and delivery of one (1) unit pick-up type vehicle for Engineering Office</t>
  </si>
  <si>
    <t>Concreting of Purok 1, Brgy. Palat FMR, Brgy. Palat  Porac, Pampanga</t>
  </si>
  <si>
    <t>CONCRETING OF RUPAGAN-PAGAYAWAN PROVINCIAL ROAD Sta. 1+778.63 -Sta. 3+770.00</t>
  </si>
  <si>
    <t>SUPPLY AND DELIVERY OF 909 SACKS COMMERCIAL RICE</t>
  </si>
  <si>
    <t>PROCUREMENT OF OFFICE SUPPLIES (RHU)</t>
  </si>
  <si>
    <t>Procurement of Laboratory Supplies for TB Infection Control, IB No. SB-2020-032</t>
  </si>
  <si>
    <t>“CONSTRUCTION OF ISOLATION BUILDING/QUARANTINE AREA IN PAG-ASA ISLAND”</t>
  </si>
  <si>
    <t>S1-END20-003 - SUPPLY AND DELIVERY OF MATERIALS, SUPPLIES FOR OFFICE EQUIPMENTS USE.</t>
  </si>
  <si>
    <t>Procurement of one unit Mini-Ambulance</t>
  </si>
  <si>
    <t>Concreting of Municipal Road in Sitio  Libis</t>
  </si>
  <si>
    <t>Procurement of, Digital Duplicator, Ink &amp; Supplies for Public Schools Elementary &amp; Secondary of Pinamalayan East &amp; Weast</t>
  </si>
  <si>
    <t>Procurement of Hospital Equipment,  IB No. SB-2020-036</t>
  </si>
  <si>
    <t>Construction of Daycare Center Taytay</t>
  </si>
  <si>
    <t>REPAIR/IMPROVEMENT OF WAITING SHED AT BRGY SAN ANDRES, VILLAREAL, SAMAR</t>
  </si>
  <si>
    <t>Ecological Solid Waste Program (Construction of Structure for Equipment and Special Waste)</t>
  </si>
  <si>
    <t>Local Access Road Concreting of Vasquez Street to Mayana Cemetery Road</t>
  </si>
  <si>
    <t>Supply and delivery of Medical, Dental and Laboratory Supplies</t>
  </si>
  <si>
    <t>FURNISHING OF LABOR, MATERIALS AND EQUIPMENT RENTALS FOR THE CONCRETING OF LEON-OMAMBONG-CORDOVA ROAD, TIGBAUAN, ILOILO.</t>
  </si>
  <si>
    <t>SUPPLY &amp; DELIVERY OF TRANSPORT VEHICLE (PASSENGER VAN) FOR SANGGUNIANG BAYAN OFFICE</t>
  </si>
  <si>
    <t>PPO-19-1873-B (REBID)</t>
  </si>
  <si>
    <t>CONSTRUCTION OF DRAINAGE COVER AT BRGY TAYUD, VILLAREAL, SAMAR</t>
  </si>
  <si>
    <t>PURCHASE OF PROJECTOR</t>
  </si>
  <si>
    <t>INFRA PROJECT AUGUST 27, 2020</t>
  </si>
  <si>
    <t>PPO-20-0937-B (OFFICE EQUIPMENT)</t>
  </si>
  <si>
    <t>Construction of 2 Storey 4 Classroom School Building at Escaguit Elementary School, Sibulan, Negros Oriental</t>
  </si>
  <si>
    <t>GOODS-082620-047 - PURCHASE OF VARIOUS OFFICE AND INK SUPPLIES FOR BM’S OFFICES AND VGO</t>
  </si>
  <si>
    <t>20MA0133-Concreting of Brgy. Kitango to Brgy. Udsudan (Phase II) FMR, Brgy. Kitango and Brgy. Udsudan, Datu Saudi – Ampatuan, Maguindanao</t>
  </si>
  <si>
    <t>CONSTRUCTION OF CONCRETE PATHWAY AT SITIO SUNGDUAN, BRGY MAHAYAG, VILLAREAL, SAMAR</t>
  </si>
  <si>
    <t>Agricultural and Forestry Equipment</t>
  </si>
  <si>
    <t>GOODS-082620-046 - PURCHASE OF VARIOUS MATERIALS FOR VGO AND BM’S OFFICES</t>
  </si>
  <si>
    <t>Supply of labor and materials in the Construction of Conference Room, Roof Deck, TBI Building</t>
  </si>
  <si>
    <t>IMPROVEMENT OF BARANGAY WHARF AT BARANGAY PACAO, VILLAREAL, SAMAR</t>
  </si>
  <si>
    <t>PRINTING AND INFORMATION AND COMMUNICATION TECHNOLOGY (ICT) EQUIPMENT FOR VARIOUS SCHOOL OF BALIWAG NORTH DISTRICT</t>
  </si>
  <si>
    <t>Hospital/Medical Equipment for use of OMSDH/ for the Covid &amp; Non Covid patients of OMSDH</t>
  </si>
  <si>
    <t>IMPROVEMENT OF BARANGAY ROAD (ROAD CONCRETING) AT BRGY PATAG, VILLAREAL, SAMAR</t>
  </si>
  <si>
    <t>Supply &amp; Delivery of Other Supplies</t>
  </si>
  <si>
    <t>Construction of Drainage System at Zone 1, Tumaga, Zamboanga City</t>
  </si>
  <si>
    <t>Improvement of Old RHU Building</t>
  </si>
  <si>
    <t>Pag-IBIG Fund-CHQ (PROVISION OF PEST CONTROL AND DISINFECTION SERVICES)</t>
  </si>
  <si>
    <t>Chemicals and Chemical Products for OMPH patients use</t>
  </si>
  <si>
    <t>Completion of Comfort Room Passenger Terminal</t>
  </si>
  <si>
    <t>Purchase and Delivery of Cover All and Mask Set for Front Liners</t>
  </si>
  <si>
    <t>Supply and delivery of Various Office Supplies</t>
  </si>
  <si>
    <t>MATERIALS FOR THE PERIMETER FENCE AND GATE</t>
  </si>
  <si>
    <t>20IH0109-Repair/Maintenance of DPWH Building AES-Fuel Station Northern Samar First District Engineering Office, Brgy. Macagtas, Catarman, N. Samar</t>
  </si>
  <si>
    <t>REHABILITATION OF LAGAN FLOOD CONTROL</t>
  </si>
  <si>
    <t>Construction of 2 Storey 6 Classroom School Building at Manlingay Elementary School, Mabinay, Negros Oriental</t>
  </si>
  <si>
    <t>CONSTRUCTION/ IMPROVEMENT OF NAMATEC MULTIPURPOSE HALL</t>
  </si>
  <si>
    <t>CONSTRUCTION/IMPROVEMENT OF CONCRETE ROAD (ROAD CONCRETING) AT BARANGAY SAN RAFAEL, VILLAREAL, SAMAR</t>
  </si>
  <si>
    <t>20IH0110-Construction of Rainwater Collection System (RWCS) FY 2020, Allen, Lavezares, Catarman, Mondragon, Northern Samar</t>
  </si>
  <si>
    <t>Supply and Delivery of Office Supplies for the Printing of Self-Learning Modules</t>
  </si>
  <si>
    <t>SUPPLY, DELIVERY AND INSTALLATION OF IP RADIO FOR TELEMETERING OF ACCELEROGRAPH, WATER LEVEL AND HYDROMET SYSTEM</t>
  </si>
  <si>
    <t>20JA0094 - CONSTRUCTION OF FOUR (4) STOREY TWENTY (20) CLASSROOM SCHOOL BUILDING – PHASE 1 AT ZNHS WEST – BALIWASAN SENIOR HIGH SCHOOL, ZAMBOANGA CITY</t>
  </si>
  <si>
    <t>Delivery &amp; Supply of Electronics Gadgets</t>
  </si>
  <si>
    <t>ITB - Repair/Restoration of Gabaldon Building- 3 Classrooms at Don Remegio M. Limsiaco MS</t>
  </si>
  <si>
    <t>GOODS-082620-048 - INSTALLATION OF AIRCONDITIONING UNIT SYSTEM FOR BMC LABORATORY</t>
  </si>
  <si>
    <t>B20200300 - MEDICAL SUPPLIES FOR HOSPITAL USE OF DDNH-IGACOS</t>
  </si>
  <si>
    <t>Concreting of Front Yard at LTO</t>
  </si>
  <si>
    <t>Information Technology Parts and Accessories &amp; Perip for OMSDH use</t>
  </si>
  <si>
    <t>20CG0267 - Local Infrastructure Program: Buildings and Other Structures – Multipurpose/ Facilities – Construction of Multi-Purpose Building (Convention Center), Phase II, City of San Fernando, Pampang</t>
  </si>
  <si>
    <t>Commercial Fertilizers</t>
  </si>
  <si>
    <t>Construction Materials and Supplies for use in the Construction of SSG Office at San Teodro NHS, San Teodoro, Oriental Mindoro/ Completion of Gymnasium at Ma. Estrella E/S, Tawiran, Calapan City, Orie</t>
  </si>
  <si>
    <t>Construction Materials and Supplies for use in the Improvement of Barangay Hall at Brgy. Bagumbayan, Roxas, Oriental Mindoro/ Repair of Kinder and Grade 1 Classroom at San Juan E/S, Brgy. Cantil Roxas</t>
  </si>
  <si>
    <t>20IH0108-Repair/Maintenance of DPWH Building Common Comfort Room Northern Samar First District Engineering Office Airport Village, Catarman, N. Samar</t>
  </si>
  <si>
    <t>Water Metering System (For Brgy. Bacnit, Bugang, Mayana and Poblacion</t>
  </si>
  <si>
    <t>Construction of Iligan's Best Display Center</t>
  </si>
  <si>
    <t>Repair/Renovation of MSB Building and Construction of Green Park and Car Park</t>
  </si>
  <si>
    <t>GOODS-082620-050 - SUPPLY AND DELIVERY OF CCTV IP CAMERA SURVEILLANCE SYSTEM FOR COVID 19 ISOLATION DEPARTMENT</t>
  </si>
  <si>
    <t>B20200302 - MOTOR VEHICLES FOR DILG USE</t>
  </si>
  <si>
    <t>B20200303 - PURIFIES RABBIES VACCINE FOR PHO USE</t>
  </si>
  <si>
    <t>PROCUREMENT OF SUPPLY, DELIVERY, CONFIGURATION  AND INSTALLATION SERVICES  OF NETWORK EQUIPMENT AND INFRASTRUCTURE  FOR PSA-RSSO V OFFICE BUILDING</t>
  </si>
  <si>
    <t>Procurement of Office and IT Equipment for LGA</t>
  </si>
  <si>
    <t>Improvement of Drainage Canal and Pavement along V.V. Soliven Avenue, Brgy. Mayamot, Antipolo City</t>
  </si>
  <si>
    <t>20HA0135 - CONSTRUCTION OF 4STY 24CL, TAGBILARAN CITY CENTRAL ELEMENTARY SCHOOL, TAGBILARAN CITY, BOHOL</t>
  </si>
  <si>
    <t>SVCS-082620-049 - JANITORIAL SERVICES FOR THE PERIOD OF SEPTEMBER TO DECEMBER 2020</t>
  </si>
  <si>
    <t>Improvement of Drainage Canal and Concreting of Road at Portion of Napoleon Street  &amp; Louis Street, Edward VIII Street, Kingsville Subdivision, Barangay Mayamot &amp; Barangay Mambugan, Antipolo City</t>
  </si>
  <si>
    <t>Procurement of Furniture &amp; Fixtures (MBO)</t>
  </si>
  <si>
    <t>Rehabilitation/Improvement/Construction of Drainage System at M. Santos Extension, Barangay San Jose, Antipolo City</t>
  </si>
  <si>
    <t>Procurement of Bondpaper- (A4 size S-20) for the Reproduction of Self-Learning Modules for Quarter 1</t>
  </si>
  <si>
    <t>Construction of Drainage System from Frederick St., Gustavos St., Michael St. Open Space (Area 7) to Creek, Kingsville Subdivision, Brgy. Mambugan, Antipolo City</t>
  </si>
  <si>
    <t>Construction of 1-Unit Multi-Purpose Building (Child Development Center) at Aglipay, San Jose, Tarlac</t>
  </si>
  <si>
    <t>SUPPLY AND DELIVERY OF 5 UNITS PHOTOCOPIER</t>
  </si>
  <si>
    <t>B20200305 - OVAL FLAT RING FOR SERVICE OF THE RETIREES OF PROVINCE OF DAVAO DEL NORTE</t>
  </si>
  <si>
    <t>6ID SBAC-02-20     Supply and Delivery of Additional Subsistence Allowance (ASA) / Food Support Meals of Military Personnel / Security for Cotabato Airport Development Project CY-2018 (Runway Strip Gr</t>
  </si>
  <si>
    <t>SUPPLY AND DELIVERY OF PRINTER</t>
  </si>
  <si>
    <t>20HA0137 - CONCRETING OF BRGY. GENONOCAN FMR, BRGY. GENONOCAN, TUBGION, BOHOL</t>
  </si>
  <si>
    <t>20GL0096 - CONCRETING OF SUGARCANE FARM-TO-MILL ROAD, CROSSING RENANTE TO HAD. MARIA ELENA, BRGY. BUENAVISTA, HIMAMAYLAN CITY, NEGROS OCCIDENTAL</t>
  </si>
  <si>
    <t>Rehabilitation of Multi-Purpose Building  located at Barangay Oogong, Santa Cruz, Laguna</t>
  </si>
  <si>
    <t>SUPPLY, DELIVERY AND INSTALLATION OF SEEPAGE WEIR NO. 1 TELEMETERING SYSTEM</t>
  </si>
  <si>
    <t>B20200304 - IT EQUIPMENT FOR OSS USE</t>
  </si>
  <si>
    <t>IMPROVEMENT OF MALIGCONG PROVINCIAL ROAD (FINAKKAR SECTION)</t>
  </si>
  <si>
    <t>ITB-GS-20200210-01  - Printing of Various LANDBANK Forms</t>
  </si>
  <si>
    <t>20IH0111-Construction of 1sty4cl School Building, Veriato ES, San Isidro, Northern Samar</t>
  </si>
  <si>
    <t>20GL0095 - CONCRETING OF SUGARCANE FARM-TO-MILL ROAD, BRGY. ARANDA TO CANDUMARAO/CAMALOBALO/CALAPI, HINIGARAN, NEGROS OCCIDENTAL</t>
  </si>
  <si>
    <t>Chlorine Granules and Const Mat. For Environment</t>
  </si>
  <si>
    <t>20HA0138 - CONSTRUCTION OF ROAD, BRGY. TOTOLAN AND SONGCULAN, DAUIS, BOHOL</t>
  </si>
  <si>
    <t>Renovation of Barangay Health Center located at Barangay Oogong, Santa Cruz, Laguna</t>
  </si>
  <si>
    <t>Construction of Stone Masonry Riverwall (Portion), Trash Trap and Box Culvert along Labahan Creek at Poseidon Street, Crestview Subdivision, Brgy. Cupang, Antipolo City</t>
  </si>
  <si>
    <t>Supply and Delivery of Office Supplies and IT Equipment for the Implementation of Learning Continuity Plan</t>
  </si>
  <si>
    <t>B20200306 - HARDWARE MATERIALS FOR PROPOSED 1 BARREL CULVERT ALONG KAPALONG-MABANTAO-FLORIDA PROVINCIAL ROAD</t>
  </si>
  <si>
    <t>20IH0112-Construction of 2sty4cl School Building, Generoso R. Frigillana MS, Catarman, Northern Samar</t>
  </si>
  <si>
    <t>SUPPLY, DELIVERY AND INSTALLATION OF FIBER OPTIC CABLE FROM FGEN-TOWER TO DRD-TOWER</t>
  </si>
  <si>
    <t>Supply and Delivery of Office Supplies and Equipment for the Implementation of Learning Continuity Plan</t>
  </si>
  <si>
    <t>Procurement of Ten (10) Units Laptop for Online Classes of Brgy San Lorenzo</t>
  </si>
  <si>
    <t>Purchase of Nutrition Pack for Feeding Program</t>
  </si>
  <si>
    <t>CONSTRUCTION/REHABILITATION OF ANIMAL BITE CENTER</t>
  </si>
  <si>
    <t>Construction of Drainage System Phase II at Maguey Road, Brgy. San Isidro &amp; San Luis, Antipolo City</t>
  </si>
  <si>
    <t>20GIB0041: Purchase/delivery of External Hard Drive and Office Equipment for use of RBIA and BMS Team.</t>
  </si>
  <si>
    <t>Supply and Delivery of Electrical Materials (1 lot)</t>
  </si>
  <si>
    <t>Constructions of Footwalk</t>
  </si>
  <si>
    <t>Rehabilitation /Improvement of DepED SDO Building and COA Office Building</t>
  </si>
  <si>
    <t>Purchase of other office equipment for the UCT program implementation for CY 2020</t>
  </si>
  <si>
    <t>PROCUREMENT OF OFFICE SUPPLIES, JANITORIAL AND OTHER SUPPLIES FOR THE USE OF LGU-TIGBAUAN, ILOILO.</t>
  </si>
  <si>
    <t>Procurement of Listahanan 3 ICT Equipment (Desktop Computer)</t>
  </si>
  <si>
    <t>CONSTRUCTION &amp; INSTALLATION OF STREETLIGHT @ BARANGAY CATOTORAN NORTE</t>
  </si>
  <si>
    <t>20HA0136 - CONSTRUCTION OF 1 UNIT 4STY 4LAB, BUSAO NATIONAL HIGH SCHOOL, MARIBOJOC, BOHOL</t>
  </si>
  <si>
    <t>Completion of Covered Court</t>
  </si>
  <si>
    <t>SUPPLY AND DELIVERY OF TWO (2) UNITS 6-WHEELER LIGHT DUTY TRUCK WITH REFRIGERATED VAN FOR BFAR XI CY 2020</t>
  </si>
  <si>
    <t>ITB-GS-20200605-02 - Supply, Delivery and Installation of Advanced Malware Protection System with Three (3) Years Warranty and Subscription</t>
  </si>
  <si>
    <t>Purchase of Medicines &amp; Medical Supplies for the use Mun. Health for the Municipality of Lugait, Misamis Oriental.</t>
  </si>
  <si>
    <t>Reproduction of School Forms</t>
  </si>
  <si>
    <t>Supply &amp; Delivery of Laboratory Machine Reagents including the Lending of Laboratory Machine through Ordering Agreement Modality</t>
  </si>
  <si>
    <t>ITB 08-002-20 Supply and Delivery of 21,909 bags of Urea Fertilizer</t>
  </si>
  <si>
    <t>ITB-GS-20200326-01 - Supply, Delivery, Installation and Configuration of Network and Security Automated Backup &amp; Recovery Solution with Hardware Infrastructure with Three (3) Years Warranty</t>
  </si>
  <si>
    <t>Construction of Single Barrel Box Culvert along Binoog Creek across V.V. Soliven Avenue, Brgy. Mayamot, Antipolo City</t>
  </si>
  <si>
    <t>Supply and delivery of materials for the Rehabilitation of Municipal Hall</t>
  </si>
  <si>
    <t>Procurement of Office Supplies (Lot 1-5)</t>
  </si>
  <si>
    <t>Supply and Delivery of One (1) Unit Brand New Rescue Transport Van</t>
  </si>
  <si>
    <t>Procurement of Semi-Expendable ICT Equipment</t>
  </si>
  <si>
    <t>Purchase of Veterinary Medicine, Feeds and Pet ID Tag</t>
  </si>
  <si>
    <t>Installation of Sanitary Toilet of Multi-Purpose Building</t>
  </si>
  <si>
    <t>INSTALLATION OF MANUAL SPILLWAY GATE OPERATORS FOR HOISTING MECHANISM OF MASIWAY SPILLWAY GATES</t>
  </si>
  <si>
    <t>PROCUREMENT OF DRUGS, MEDICINES AND CHEMICAL SUPPLIES FOR THE USE OF TIGBAUAN MUNICIPAL HEALTH AND BIRTHING CENTER, TIGBAUAN, ILOILO.</t>
  </si>
  <si>
    <t>20GL0097 - CONCRETING OF SUGARCANE FARM-TO-MILL ROAD, CROSSING SAMBAG TO BONTON, BRGY. CARABALAN, HIMAMAYLAN CITY, NEGROS OCCIDENTAL</t>
  </si>
  <si>
    <t>INVITATION TO BID FOR SUPPLY OF SECURITY PERSONNEL FOR NORZAGARAY WATER DISTRICT</t>
  </si>
  <si>
    <t>GOODS-082620-051 - PURCHASE OF VARIOUS LABORATORY EQUIPMENT FOR BMC LABORATORY (MICRO)</t>
  </si>
  <si>
    <t>Training on the Implementation of Family Planning Program  BHW and Health Navigators- (Training kit)</t>
  </si>
  <si>
    <t>20GFC0038: Regravelling of Roadway along Sta. Elena – Capalonga – By Pass Coastal Road (Section 3), Brgy. Itok, Capalonga, Camarines Norte</t>
  </si>
  <si>
    <t>Supply and Delivery of Laboratory Equipment (GOODS-20-41)</t>
  </si>
  <si>
    <t>20GFC0039: Purchase of Office Supplies, DPWH-CNDEO, Daet, Camarines Norte</t>
  </si>
  <si>
    <t>Supply and Delivery of OTG-USB with customized lanyard and gift box and other item</t>
  </si>
  <si>
    <t>Office supplies on the Implementation of Family Planning Program BHW and Health Navigators</t>
  </si>
  <si>
    <t>Rehabiltation of Barangay Road( Del Monte)</t>
  </si>
  <si>
    <t>Design and Build for the Construction of Alternative Water Supply (Level III)</t>
  </si>
  <si>
    <t>INVITATION TO BID: PROCUREMENT OF VARIOUS FURNITURE AND FIXTURES</t>
  </si>
  <si>
    <t>20GFC0040: Purchase of Spare Parts and Accessories for Motor Vehicles, DPWH – Maintenance Section</t>
  </si>
  <si>
    <t>20GIH0017-Supply and Delivery of Office Equipment, DPWH-NSFDEO, Catarman, N. Samar</t>
  </si>
  <si>
    <t>20GI0099 - Construction of Hanging Foot Bridge, Brgy. Balabag,  Sta. Barbara, Iloilo</t>
  </si>
  <si>
    <t>Repair of Classrooms for Conversion to Medical/Dental Clinic under CY 2019 BEFF Lot 1 and 2 (revised Lot 3)</t>
  </si>
  <si>
    <t>MPG-B1-2020-418 - SUPPLY AND DELIVERY OF 11,300,000 ROUNDS BRAND NEW  CTG 9MM, BALL FOR THE PHILIPPINE ARMY (PA)</t>
  </si>
  <si>
    <t>Access Point to be used by DSWD FO 1 staff</t>
  </si>
  <si>
    <t>Supply/Delivery &amp; Installation of Brand New Air Condition Units (19 Units)</t>
  </si>
  <si>
    <t>20GFC0047: Purchase of Thermoplastic Paint Material, Primary and Secondary Road</t>
  </si>
  <si>
    <t>ITB-GS-20200629-01 - 1 Lot Supply, Delivery, and Installation of 300 Units Automated Teller Machines (Thru-the-Wall Type) inclusive of a Four (4) Year Maintenance Support Services and Spare Parts</t>
  </si>
  <si>
    <t>Meals &amp; Snack during malaria advocacy</t>
  </si>
  <si>
    <t>CONSTRUCTION OF THREE-STOREY MULTI PURPOSE BUILDING (PHASE 2) ADDITIONAL WORKS/RETROFITTING/CONSTRUCTION OF BUILDING AND STRUCTURE LOOC, CASTILLEJOS, ZAMBALES</t>
  </si>
  <si>
    <t>EO-ERS20-001 (PB3) - Construction, Supply, Delivery Installation, Test and Commissioning of Various Utilities at NPC Minuyan Complex, SJDM, Bulacan</t>
  </si>
  <si>
    <t>The Procurement and Delivery of Materials for the Reproduction of Modules</t>
  </si>
  <si>
    <t>Training on the Implementation of Family Planning Program BHW and Health Navigators (Diesel)</t>
  </si>
  <si>
    <t>20GFC0045: Purchase of Materials for the Repair/ Rehabilitation along Bagong Silang – Capalonga Wye Road Sta. 0 – Sta. 0+105, Bagong Silang, Labo, Camarines Norte</t>
  </si>
  <si>
    <t>20GFC0044: Equipment Rental along Bagong Silang – Capalonga Wye Road Sta. 0 – Sta. 0+105, Brgy. Bagong Silang I, Labo, Camarines Norte</t>
  </si>
  <si>
    <t>FENCING AND SITE DEVELOPMENT OF NEW CEMETERY, NAGBUNGA CASTILLEJOS, ZAMBALES</t>
  </si>
  <si>
    <t>Training on the Implementation of Family Planning Program  BHW and Health Navigators- (Various Drinks)</t>
  </si>
  <si>
    <t>CONSTRUCTION OF SIBUL-CEMETERY ROAD STA. MARIA, CASTILLEJOS, ZAMBALES</t>
  </si>
  <si>
    <t>20GFC0046: Purchase of Hardware Materials, DPWH – CNDEO, Camarines Norte</t>
  </si>
  <si>
    <t>20GFC0043: Purchase of Tires for Motor Vehicles, DPWH – Camarines Norte District Engineering Office</t>
  </si>
  <si>
    <t>Procurement of Additional Services for Brokerage under IB No. 2020-233</t>
  </si>
  <si>
    <t>20GBF0003: Purchase &amp; Delivery of Asphalt Materials (Hot Asphalt) for use in the Repair/Maintenance of National Roads for Third and Fourth Quarter of CY 2020, within the District</t>
  </si>
  <si>
    <t>Supply and Delivery of 1 Unit Multi-Purpose Vehicle</t>
  </si>
  <si>
    <t>FENCING OF NEW SLAUGHTERHOUSE, SAN AGUSTIN, CASTILLEJOS ,ZAMBALES</t>
  </si>
  <si>
    <t>PROCUREMENT OF 1 UNIT SERVICE VEHICLE, RHU CASTILLEJOS, ZAMBALES</t>
  </si>
  <si>
    <t>Procurement of 200 pcs Tires for SFV and Commando V150</t>
  </si>
  <si>
    <t>Supply and Delivery of 2 Units 20 KVA Generator Set</t>
  </si>
  <si>
    <t>PROCUREMENT OF GENERATOR SET, RHU, CASTILLEJOS, ZAMBALES</t>
  </si>
  <si>
    <t>Construction of RHU Extension Building</t>
  </si>
  <si>
    <t>Supply and Delivery of 2 Units Generator Set for Multi-Purpose Center</t>
  </si>
  <si>
    <t>PROCUREMENT OF 1-UNIT AMBULANCE (FULLY EQUIPPED) RHU, CASTILLEJOS, ZAMBALES</t>
  </si>
  <si>
    <t>REPAIR AND MAINTENANCE- MARKET (IMPROVEMENT OF MEAT SECTION), SAN JUAN,CASTILLEJOS,ZAMBALES</t>
  </si>
  <si>
    <t>20GFC0049: Purchase of Small Equipments, DPWH-CNDEO, Daet, Camarines Norte</t>
  </si>
  <si>
    <t>Procurement of Video conference Equipment for LGA</t>
  </si>
  <si>
    <t>Construction of Protection Works  at Barangay Dalaya</t>
  </si>
  <si>
    <t>ROAD REPAIR WORKS ALONG PRESIDENT DIOSDADO MACAPAGAL BOULEVARD (PDMB), ASEAN AVENUE AND J.W. DIOKNO (BAY) BOULEVARD</t>
  </si>
  <si>
    <t>REPAIR AND MAINTENANCE- MARKET (IMPROVEMENT OF PROPOSED FISH SECTION), SAN JUAN,CASTILLEJOS,ZAMBALES</t>
  </si>
  <si>
    <t>20GFC0048: Purchase of Materials of Road Safety Devices (Guardrails), Daang Maharlika (S03784LZ) K0249+800 – K0273+679 (with exception)</t>
  </si>
  <si>
    <t>20GFE0017 – SUPPLY OF MATERIALS FOR EROSION CONTROL, TRAFFIC SERVICES, PAVEMENT, PAVEMENT AND BRIDGE MAINTENANCE ALONG NATIONAL ROADS – 3RD QUARTER</t>
  </si>
  <si>
    <t>Training on the Implementation of Family Planning Program BHW and Health Navigators( Meals &amp; snacks)</t>
  </si>
  <si>
    <t>S1-MRO20-008 - Supply and Delivery of Electrical Spare Parts for 600kW Cummins Diesel Engine, Model No. KTA38-G1 Intended for Power Plants under MROD</t>
  </si>
  <si>
    <t>Procurement of IT Equipment and Structured Cabling Peripherals for Local Government Academy</t>
  </si>
  <si>
    <t>20OH0157-Proposed Repair, Renovation and Installation of Modular Partition at Usec. Ramos Office, DPWH Main Office, Bonifacio Drive, Port Area, Manila</t>
  </si>
  <si>
    <t>Concreting of Box Culvert Approach at Barangay Paranum</t>
  </si>
  <si>
    <t>PROCUREMENT OF VARIOUS SUPPLIES TO BE USED IN MODULAR LEARNING</t>
  </si>
  <si>
    <t>CONSTRUCTION  OF CONCRETE BLEACHER (P-1)</t>
  </si>
  <si>
    <t>20OH0156-Proposed Renovation and Installation of Modular Partition at Asec. Pipo’s Office, DPWH Main Office, Bonifacio Drive, Port Area, Manila</t>
  </si>
  <si>
    <t>20GMH075 - SUPPLY/DELIVERYOFREPAIRMATERIALSFORPLANNEDCORRECTIVEMAINTENANCEOFONE(1)UNITDUMPTRUCK(H3-6416)ANDONE(1)UNITPAYLOADER (L2-1494)</t>
  </si>
  <si>
    <t>Various drinks during SBI</t>
  </si>
  <si>
    <t>20GMH073 - SUPPLY/DELIVERYOFONE(1)UNITGENERATOR SET,DIESELENGINEANDSUPPLY/INSTALLATIONOF ONE(1)AUTOMATICTRANSFERSWITCH(ATS)FOR USEOFSULTANKUDARAT2NDDISTRICT ENGINEERING OFFICE</t>
  </si>
  <si>
    <t>20GMH074 - SUPPLY/DELIVERYOFOFFICESUPPLIESFORUSEOFCONSTRUCTION SECTION</t>
  </si>
  <si>
    <t>Procurement of Molecular Laboratory Information System</t>
  </si>
  <si>
    <t>REHABILITATION AND IMPROVEMENT OF SLAUGHTER HOUSE (STRAIGHT CONTRACT LABOR &amp; MATERIALS)	Contract Reference Number: ITB#2020-080; PR# 2020-07-1288 Name of the Contract: REHABILITATION AND IMPROVEMENT O</t>
  </si>
  <si>
    <t>Construction and Installation of Street Lights</t>
  </si>
  <si>
    <t>CONSTRUCTION/ IMPROVEMENT OF EVACUATION CENTER AT PINAGKURUSAN, ALITAGTAG, BATANGAS</t>
  </si>
  <si>
    <t>PROCUREMENT OF MEDICAL SUPPLIES, RHU, CASTILLEJOS, ZAMBALES</t>
  </si>
  <si>
    <t>Group Personal Accident with Health Insurance of the ASTHRDP, NCGSME, ERDT, HRDP and Strand Scholars</t>
  </si>
  <si>
    <t>Group Personal Accident with Health Insurance of the RA 7687, RA 10612 and Merit Scholars</t>
  </si>
  <si>
    <t>PROCUREMENT OF ANTI RABIES, RHU, CASTILLEJOS, ZAMBALES</t>
  </si>
  <si>
    <t>Proposed Upgrading and Expansion of Calatrava District Hospital, Calatrava, Neg. Occ. / PEO-2020-0072</t>
  </si>
  <si>
    <t>RM OF SCHOOL FENCE</t>
  </si>
  <si>
    <t>20GFC0041: Purchase of Fuel and Lubricants for use in Various Service Vehicle and Equipment, DPWH – CNDEO Maintenance Section</t>
  </si>
  <si>
    <t>Supply, Delivery and Installation of Modular Work Stations, Tables and Pantry Cabinet for POPCOM Region IV-A</t>
  </si>
  <si>
    <t>Catering Services for the Various Committees Activities</t>
  </si>
  <si>
    <t>Replacement of Odiong Bridge, Brgy. Odiong , Moises Padilla , Negros Occidental  / PEO-2020-1043</t>
  </si>
  <si>
    <t>Procurement of ICT Devices and Software, Installation, Configuration and Operationalization of Motor Vehicle Recognition and Enforcement System (MVRES)</t>
  </si>
  <si>
    <t>Procurement of DOH Web Application Firewall</t>
  </si>
  <si>
    <t>S1-OMS20-031 (PB2) - Supply and Delivery of Transformer Differential Relay and Multi Meter Module Power &amp; Energy Meter intended for Calapan Substation</t>
  </si>
  <si>
    <t>20GFC0042: Purchase of Asphalt Aggregates for Asphalt Patching of Primary and Secondary National Road, Camarines Norte</t>
  </si>
  <si>
    <t>Construction of Vermi Composting Facility, NFOTEC, Brgy. Tabunan, Bago City, Neg. Occ. / (OPA-2020-0516)</t>
  </si>
  <si>
    <t>PROCUREMENT OF ONE (1) UNIT MULTI-PURPOSE VEHICLE TO TRANSPORT MATERIALS, MANPOWER AND EQUIPMENT FOR TCWD OPERATIONS - 2020-07-055</t>
  </si>
  <si>
    <t>S1-OCS20-021 (PB2) - Supply and Delivery of Bolt, Double Arming, Galvanized Steel, 5/8 Dia x 22 &amp; 30 others intended for Occidental Mindoro Substation &amp; 69KV Transmission Lines</t>
  </si>
  <si>
    <t>TRANSPORT AND DISPOSAL OF MUNICIPAL SOLID WASTE</t>
  </si>
  <si>
    <t>PROCUREMENT OF GREENHOUSE MATERIALS (TUNNEL TYPE GREENHOUSE/NETHOUSE W/ INSTALLATION AND DELIVERY) AGRICULTURE OFFICE, CASTILLEJOS, ZAMBALES</t>
  </si>
  <si>
    <t>Small Value of 2 set printer</t>
  </si>
  <si>
    <t>Supplies and Materials for Magsaysay College</t>
  </si>
  <si>
    <t>PUBLIC BIDDING FOR THE ONE YEAR MAINTENANCE OF DICT-FIBER OPTIC CABLE (FOC) NETWORK IN LEGAZPI, ALBAY</t>
  </si>
  <si>
    <t>Negros Occidental Integrated Food Processing and Showroom, Negros First Food Terminal / PEO-2020-0065</t>
  </si>
  <si>
    <t>Construction / Concreting Bridge, Sitio Kumunoy, Brgy. Minahan Sur, General Nakar, Quezon</t>
  </si>
  <si>
    <t>Improvement of Water Supply System, Brgy. Umiray, General Nakar, Quezon</t>
  </si>
  <si>
    <t>Procurement of Nine (9) sets Detroit Engine Assy 6V-53N (Power Pack) for M113 APC</t>
  </si>
  <si>
    <t>Purchase of one (1) unit Rescue Vehicle for San Antonio, Baggao, Cagayan</t>
  </si>
  <si>
    <t>Small Value of Improvement of KKinderGarten CR</t>
  </si>
  <si>
    <t>Purchase of materials for the construction of box culvert at Alba,  Baggao, Cagayan</t>
  </si>
  <si>
    <t>CONSTRUCTION OF PUBLIC MARKET (PHASE 2)</t>
  </si>
  <si>
    <t>Improvement of Multi-purpose Hall at Sta. Clara</t>
  </si>
  <si>
    <t>Improvement of Multi-Purpose Hall at Kapanikian</t>
  </si>
  <si>
    <t>Concrete Paving of Malasag Circumferential Road Cugman (Phase 4); SN 185 - 2020</t>
  </si>
  <si>
    <t>Purchase of  mixed gravel and sand for regravelling of barangay road at San Vicente, Baggao, Cagayan</t>
  </si>
  <si>
    <t>Construction of Boundary Marker (DIPINTIN)</t>
  </si>
  <si>
    <t>Purchase of Heavy Duty Risograph Digital Duplicator Machine</t>
  </si>
  <si>
    <t>INSTALLATION OF BASKETBALL GOAL FIBER GLASS BOARD WITH RING AT SITO PROPER BRGY. KINAM , MALAPATAN SARANGANI PROVINCE</t>
  </si>
  <si>
    <t>Construction of Drainage at Bantiles Zone 1, Bugo; SN 187 - 2020</t>
  </si>
  <si>
    <t>20CSPJ02: Soil Testing/Exploration for the projects:  1. Construction/ Maintenance of Flood Mitigation Structure and Drainage System  2. Construction/ Rehabilitation of Flood Mitigation Facilities wit</t>
  </si>
  <si>
    <t>Supply and Delivery of Clinical Weighing Scale (PR No. 20-07-0284)</t>
  </si>
  <si>
    <t>Installation of Streetlight (DIPINTIN)</t>
  </si>
  <si>
    <t>Straight Contract for Construction of Farm to Market Road at So. Suba Su-ay, Brgy. Mahalang, Himamaylan City</t>
  </si>
  <si>
    <t>Straight Contract for Construction of Farm to Market Road at So. Buhi-an, Brgy. To-oy, Himamaylan City</t>
  </si>
  <si>
    <t>Construction of Drainage System Along Ramon Chaves St. from Corrales to V. Roa St., Brgy. 30; SN 186 - 2020</t>
  </si>
  <si>
    <t>Provision Of Garbage Collection And Disposal Service At General Santos Fish Port Complex</t>
  </si>
  <si>
    <t>Supply and Delivery of ICT Equipment (PR No. 20-07-0296)</t>
  </si>
  <si>
    <t>Supply and Delivery of Medical, Dental and Laboratory Supplies</t>
  </si>
  <si>
    <t>PBD 20-093 IT EQUIPMENT</t>
  </si>
  <si>
    <t>Invitation to Bid for  	EXPANSION OF CONCRETE DRAINAGE CANAL</t>
  </si>
  <si>
    <t>PBD 20-094 Server</t>
  </si>
  <si>
    <t>Purchase of Two Units of PNP Patrol Vehicle</t>
  </si>
  <si>
    <t>Supply and Delivery of Laptop, Printer and Printer Ink</t>
  </si>
  <si>
    <t>Construction of Manpower Development Center</t>
  </si>
  <si>
    <t>Construction/Rehabilitation/Improvement of Multi-Purpose Hall at Brgy. North Baluarte, Molo, Iloilo City (Bid No. 20-174)</t>
  </si>
  <si>
    <t>Construction of Two (2) Storey Eight (8) Classrooms Building at Hibao-an Elementary School, Mandurriao, Iloilo City (Bid No. 20-173)</t>
  </si>
  <si>
    <t>Concrete Paving of Balubal CDORSHIP 4 Roads with Drainage (Phase 2); SN 178 - 2020</t>
  </si>
  <si>
    <t>Construction/Rehabilitation/Repair/Widening of Roads at Brgy. Tabuc Suba (Hechanova Subdivision), Jaro, Iloilo City (Bid No. 20-172)</t>
  </si>
  <si>
    <t>Construction/Rehab. of Concrete Pavement</t>
  </si>
  <si>
    <t>Construction of Two (2) Storey Four (4) Classrooms Building with Demolition at Bakhaw Elementary School, Mandurriao, Iloilo City (Bid No. 20-171)</t>
  </si>
  <si>
    <t>Straight Contract for Construction of Farm to Market Road at So. Cunalum to So, Lunoy, Brgy. Carabalan, Himamaylan City</t>
  </si>
  <si>
    <t>Construction of Roads at Soldier’s Hill Bulua to Camp Evangelista; SN 180 - 2020</t>
  </si>
  <si>
    <t>Construction of Two (2) Storey Ten (10) Classrooms Building at Sto. Niño Sur Elementary School, Arevalo, Iloilo City (Bid No. 20-170)</t>
  </si>
  <si>
    <t>Construction of Bigaan River Flood Mitigation Structure (Cugman Phase 2); SN 184 - 2020</t>
  </si>
  <si>
    <t>Concrete Paving of Road at Caritas to Ecoverde Subd. with Drainage, Indahag; SN 181 - 2020</t>
  </si>
  <si>
    <t>Concrete Paving of Melecia Homes Subd. Road with Drainage, Macasandig (Phase 3); SN 182 - 2020</t>
  </si>
  <si>
    <t>19F00143 - Construction of BLGF Training Center (Phase II), Government Regional Center, Rawis, Legazpi City</t>
  </si>
  <si>
    <t>Construction of Two (2) Storey Ten (10) Classrooms Building at Jalandoni Memorial Elementary School, Lapuz, Iloilo City (Bid No. 20-169)</t>
  </si>
  <si>
    <t>Livelihood Starter Kits</t>
  </si>
  <si>
    <t>Installation of Streetlight (SAN BERNABE)</t>
  </si>
  <si>
    <t>Construction of Cemetery Shed (DIPINTIN)</t>
  </si>
  <si>
    <t>Installation of 11 - Units Streetlight (DIVISORIA NORTE)</t>
  </si>
  <si>
    <t>Procurement of Copy Printer Machine</t>
  </si>
  <si>
    <t>Improvement of School Compound (San Bernabe)</t>
  </si>
  <si>
    <t>Proposed Multi-Purpose Building  (Mercado de Loon Tubaan)</t>
  </si>
  <si>
    <t>Straight Contract for Construction of Farm to Market Road at Meñez Road, Prk. 7, Brgy. IV-Poblacion, Himamaylan City</t>
  </si>
  <si>
    <t>Proposed Multi-Purpose Building Shed (Mercado de Loon Tabo-an)</t>
  </si>
  <si>
    <t>Repair and Maintenance of Road Safety Facilities within the District</t>
  </si>
  <si>
    <t>Rescue Vehicle</t>
  </si>
  <si>
    <t>Concreting/Improvement of Gunting-Balao Road Section (Phase II) Barili, Cebu</t>
  </si>
  <si>
    <t>Procurement of One (1) Unit Passenger Van in Batangas State University, JPLPC – Malvar</t>
  </si>
  <si>
    <t>CONSTRUCTION OF RESERVOIR</t>
  </si>
  <si>
    <t>CONSTRUCTION OF CLUSTER MATERIAL RECOVERY FACILITIES(MRF)</t>
  </si>
  <si>
    <t>CONSTRUCTION OF MATERIALS RECOVERY FACILITY BUILDING</t>
  </si>
  <si>
    <t>SUPPLY &amp; INSTALLATION OF STREET LIGHTS AT POBLACION, BALILA HIGHWAY ROAD AND P-3 &amp; P-5 BALILA (2ND BID)</t>
  </si>
  <si>
    <t>PBD 20-096 HIGH PERFORMANCE COMPUTING (HPC) SYSTEM</t>
  </si>
  <si>
    <t>Concrete Paving of Road with Drainage at Purok XI, Tablon; SN 183 - 2020</t>
  </si>
  <si>
    <t>Installation of Solar Street Lights Additional (All Sitio's)</t>
  </si>
  <si>
    <t>CONSTRUCTION OF BRGY TUNGA-TUNGA MULTI-PURPOSE CENTER(Phase II)</t>
  </si>
  <si>
    <t>Concreting Of Municipal Road</t>
  </si>
  <si>
    <t>SUPPLY AND DELIVERY OF 18 UNITS DESKTOP COMPUTER &amp; OTHER RELATED PARTS &amp; ACCESSORIES (RE-BIDDING)</t>
  </si>
  <si>
    <t>20GDB0042 Supply of Materials for the Repair and Maintenance of various National Roads, Batangas 1st LD (Sealing of Bituminous Pavement)</t>
  </si>
  <si>
    <t>CONSTRUCTION OF MUNICIPAL PARK (Phase II)</t>
  </si>
  <si>
    <t>SUPPLY AND DELIVERY OF COMMON USE SUPPLIES .</t>
  </si>
  <si>
    <t>Concrete Paving of Road at Grotto St., Bulua; SN 179 - 2020</t>
  </si>
  <si>
    <t>PROCUREMENT OF 1 UNIT SOFA-3 SEATERS</t>
  </si>
  <si>
    <t>PURCHASE OF 1 UNIT SPLIT TYPE AIRCON</t>
  </si>
  <si>
    <t>CONSTRUCTION OF LOCAL ROADS</t>
  </si>
  <si>
    <t>CONSTRUCTION OF WELCOME ARC AT GUISSET, AMBUKLAO, BOKOD, BENGUET (MDF 2020)</t>
  </si>
  <si>
    <t>PROCUREMENT OF MICRO-INFRA PROJECTS CLUSTER 07-2020 (MDF 2020), NAWAL &amp; TIKEY, BOKOD, BENGUET</t>
  </si>
  <si>
    <t>Repair/Improvement of Civic Center</t>
  </si>
  <si>
    <t>PROCUREMENT OF MICRO-INFRA PROJECTS CLUSTER 08-2020 (MDF 2020), POBLACION, BOKOD, BENGUET</t>
  </si>
  <si>
    <t>PROCUREMENT OF PRODUCTION INPUTS OF SWINE FATTENING LIVELIHOOD PROJECT FOR DATAG FARMER'S ASSOCIATION</t>
  </si>
  <si>
    <t>20GF00002 - Purchase/Installation of Weighbridge Equipment for Polangui Weighbridge Station, Sorsogon ATOME Station and Camarines Norte ATOME Station, (PR No. 2020-07-151 dated 7/15/2020), DPWH Region</t>
  </si>
  <si>
    <t>PROCUREMENT OF MICRO-INFRA PROJECTS CLUSTER 09-2020 (MDF 2020), EKIP, &amp; TIKEY, BOKOD, BENGUET</t>
  </si>
  <si>
    <t>Purchase of 1 unit rescue vehicle for San Miguel,  Baggao, Cagayan</t>
  </si>
  <si>
    <t>REGRAVELLING</t>
  </si>
  <si>
    <t>SUPPLY &amp; INSTALLATION OF STREET LIGHTS IN VARIOUS PUROKS, BARANGAYS AND SITIOS (2ND BID)</t>
  </si>
  <si>
    <t>20GDB0041 Purchase of Office Supplies (Customized Looseleaf Folder Hardbound) to be used in Records Unit at DPWH-Batangas I DEO</t>
  </si>
  <si>
    <t>ITB - Supply and Delivery of Foodstuff (September-December 2020)</t>
  </si>
  <si>
    <t>20CSN019: CONSULTING SERVICES FOR THE CONDUCT OF FEASIBILITY STUDY OF THE PROPOSED TRENTO - LINGIG ROAD, TRENTO, AGUSAN DEL SUR AND  AND LINGIG, SURIGAO DEL SUR</t>
  </si>
  <si>
    <t>CONSTRUCTION OF MATERIALS RECOVERY FACILITY (MRF)</t>
  </si>
  <si>
    <t>Procurement of Gas, Oil and Lubricants</t>
  </si>
  <si>
    <t>Installation of Solar Street Lights in Brgy. Buntay, Abuyog, Leyte, ABC PHP2,098,233.12</t>
  </si>
  <si>
    <t>PROCUREMENT OF I.T. EQUIPMENT FOR CBET</t>
  </si>
  <si>
    <t>Construction of Multi-Purpose Bldg. (Phase 1) in Brgy. Capulhan, Dagami, Leyte, ABC PHP2,104,761.77</t>
  </si>
  <si>
    <t>Supply and Delivery of Mechanical Ventilator with Compressor and Other Items; PR No. 20-1618 dated 09 June 2020; SN 172 - 2020</t>
  </si>
  <si>
    <t>Concreting of Road in Brgy. Hitomnog, Dagami, Leyte, ABC PHP2,438,095.62</t>
  </si>
  <si>
    <t>20GDB0040 Purchase of Window Blinds including Installation to be used in DPWH-Batangas I DEO New Building, Brgy. Lanatan, Balayan, Batangas</t>
  </si>
  <si>
    <t>Construction of Multi-Purpose Building in Brgy. San Fernando, Palo, Leyte, ABC PHP2,000,000.00</t>
  </si>
  <si>
    <t>IMPROVEMENT OF LABANGON RIVER UPSTREAM @ SITIO LABANGON, BRGY. BAWOD, SAN ISIDRO, LEYTE</t>
  </si>
  <si>
    <t>CONSTRUCTION OF NCDC BUIDING</t>
  </si>
  <si>
    <t>Construction of Post Harvest Facility - Mabayag, Galimuyod, Ilocos Sur</t>
  </si>
  <si>
    <t>Construction of Multi-Purpose Bldg. (Phase 1) in Brgy. Malaguinabot, San Miguel, Leyte, ABC PHP2,458,693.79</t>
  </si>
  <si>
    <t>Procurement of Medicines for use of Romblon Provincial Hospital, Odiongan, Romblon</t>
  </si>
  <si>
    <t>Procurement of Medical Supplies for use of Romblon Provincial Hospital, Odiongan, Romblon</t>
  </si>
  <si>
    <t>INVITATION TO BID (REBIDDING) FOR THE Procurement of Various ICT Equipment and Corel Draw Graphics Software under the DOE Locally Funded Philippine Conventional Energy Contracting Program</t>
  </si>
  <si>
    <t>Improvement of Water System in Brgy. Antipolo, Albuera, Leyte, ABC PHP2,469,208.94</t>
  </si>
  <si>
    <t>Procurement of  2-Units RISO Machine and (INK&amp;Master)Consumables for the Lugait District under Local School Board of Local Government Unit of Lugait, Misamis Oriental.</t>
  </si>
  <si>
    <t>Procurement of Drugs for use of Romblon Provincial Hospital, Odiongan, Romblon</t>
  </si>
  <si>
    <t>20CSN018: CONSULTING SERVICES FOR THE CONDUCT OF FEASIBILITY STUDY OF THE PROPOSED BUNAWAN BYPASS ROAD; TRENTO DIVERSION ROAD, BUNAWAN AND TRENTO AGUSAN DEL SUR</t>
  </si>
  <si>
    <t>Completion of PRO13 Multi-Purpose Center (Last Phase)</t>
  </si>
  <si>
    <t>1 lot Gypsum #6x1 for wood at 100pcs per box etc.(07-0793) CMO</t>
  </si>
  <si>
    <t>Completion of Multi-purpose Building (Loon Town Square)</t>
  </si>
  <si>
    <t>20GD0111 - REPAIR/MAINTENANCE OF DRAINAGE (CLUSTERED)</t>
  </si>
  <si>
    <t>20OH0160-Proposed Installation of Waterline Distribution System (Phase 1-6) at CJVAB, Pasay City</t>
  </si>
  <si>
    <t>20OH0159-Proposed Construction of One (1) Unit 5-Storey Officer’s Condominium at CJVAB, Pasay City</t>
  </si>
  <si>
    <t>Supply and Delivery of Five (5) Units Basic Life Support (BLS) Ambulance Vehicle with Complete Accessories; PR No. 19-1240 dated 16 May 2019; SN 174 - 2020</t>
  </si>
  <si>
    <t>PROCUREMENT OF DRUGS AND MEDICINES, RHU CASTILLEJOS, ZAMBALES</t>
  </si>
  <si>
    <t>S1-MRO20-007 - Supply and Delivery of Electrical Spare Parts for 600/650kW FG Wilson Diesel Engine, Model No. P730P1 Intended for Power Plants under MROD</t>
  </si>
  <si>
    <t>Procurement of Additional Services for the Temperature-Controlled Packaging and Transport of Vaccines Including Diluents under IB No. 2020-234</t>
  </si>
  <si>
    <t>PBD 20-095 Computation Modeling Set-up and Accessories</t>
  </si>
  <si>
    <t>Installation of Streetlights(Solar Lights) at Lakambini, Tuao</t>
  </si>
  <si>
    <t>INVITATION TO BID: PROCUREMENT (SUPPLY AND DELIVERY) OF VARIOUS INFORMATION TECHNOLOGY (IT) EQUIPMENT</t>
  </si>
  <si>
    <t>CONSTRUCTION OF DAYCARE CENTER @ BRGY. ATATE(old) PALAYAN CITY</t>
  </si>
  <si>
    <t>CONSTRUCTION OF COVERED COURT PHASE 2</t>
  </si>
  <si>
    <t>20JA0095 - CONSTRUCTION OF MULTI-PURPOSE BUILDING, EVACUATION CENTER, ZAMBOANGA CITY, ZAMBOANGA DEL SUR</t>
  </si>
  <si>
    <t>Construction of Multi-Purpose Bldg. (Phase 1) in Brgy. Monte Alegre, Isabel, Leyte, ABC PHP1,992,757.62</t>
  </si>
  <si>
    <t>ITB - Supply and Delivery of Elevators including Installation, 5 units (Re-Bid)</t>
  </si>
  <si>
    <t>PROCUREMENT OF GARBAGE COLLECTION MOTOR VEHICLE</t>
  </si>
  <si>
    <t>20OH0158-Proposed Construction of One (1) Unit 4-Storey Transient officers Quarters at CJVAB, Pasay City</t>
  </si>
  <si>
    <t>20GB00032: Purchase and Delivery of Survey and IT Equipment</t>
  </si>
  <si>
    <t>IMPROVEMENT OF BRGY.HALL</t>
  </si>
  <si>
    <t>2020-0198-PR2020-0580 Furnishing of Labor, Materials and Equipment for the Construction of 2 Class Room School Building with Two Toilets at Hanopol National High School at Hanopol, Balilihan, Bohol, b</t>
  </si>
  <si>
    <t>Construction of Multi-Purpose Bldg. at Mayorga National High School in Mayorga, Leyte, ABC PHP1,920,650.19</t>
  </si>
  <si>
    <t>CONCRETING OF DEL PILAR BARANGAY ROAD AT DEL PILAR, PIÑAN, ZAMBOANGA DEL NORTE</t>
  </si>
  <si>
    <t>Completion/Construction of Multi Purpose Gym Brgy. Burot,New Lucena Iloilo</t>
  </si>
  <si>
    <t>Improvement of Road @ Purok 6, Dagupan Weste</t>
  </si>
  <si>
    <t>Rehabilitation of Covered Court Flooring</t>
  </si>
  <si>
    <t>Rechanneling @ Chico River (Calanan Section), Calanan</t>
  </si>
  <si>
    <t>LGU201820%DFGoods-003</t>
  </si>
  <si>
    <t>Improvement of Road @ San Francisco, Dagupan Weste</t>
  </si>
  <si>
    <t>Procurement of Relief/Search and Rescue Operations Vehicle - Rescue Utility Van (2nd Posting)</t>
  </si>
  <si>
    <t>CONSTRUCTION OF COVERED COURT PHASE 1</t>
  </si>
  <si>
    <t>2020 25TH PUBLIC BIDDING PROCUREMENT OF HOUSEKEEPING AND LINEN AND LAUNDRY SUPPLIES FOR 2020 2ND SEMESTER CONSUMPTION</t>
  </si>
  <si>
    <t>Concreting of Public Trail</t>
  </si>
  <si>
    <t>LOT 1: REHABILITATION AND REPAIR OF MURTHA SEED FARM</t>
  </si>
  <si>
    <t>Improvement of Road @ Purok 1 &amp; 2, San Juan</t>
  </si>
  <si>
    <t>CONSTRUCTION OF COMMUNITY PRECINT (COMPAC) @ BRGY. MANACNAC, PALAYAN CITY</t>
  </si>
  <si>
    <t>Construction of Multi-Purpose Bldg. (Phase 2) in Brgy. Alegre, Julita, Leyte, ABC PHP1,944,317.51</t>
  </si>
  <si>
    <t>Purchase of One Unit Motor Vehicle (Ambulance)</t>
  </si>
  <si>
    <t>Procurement of Groundwood Paper (A3)</t>
  </si>
  <si>
    <t>Continuation of Street Lights (GAD) River Side, Dupag</t>
  </si>
  <si>
    <t>IMPROVEMENT OF MULTIPURPOSE HALL</t>
  </si>
  <si>
    <t>PURCHASE OF RISOGRAPH MACHINE WITH COMPUTER INTERFACE FOR THE USE IN REPRODUCTION OF MODULES OF DEP-ED, LA CARLOTA CITY</t>
  </si>
  <si>
    <t>Procurement of Construction Materials for Water Tank Construction(Guminta)</t>
  </si>
  <si>
    <t>Improvement of Bolisong Water System Power Supply</t>
  </si>
  <si>
    <t>CONSTRUCTION OF FARMERS' PUBLIC MARKET</t>
  </si>
  <si>
    <t>LOT 3: REHABILITATION AND REPAIR OF 2 UNITS FLATBED DRYER</t>
  </si>
  <si>
    <t>Improvement of Alinanag-Banneng FMR-Comadam, Calaccad</t>
  </si>
  <si>
    <t>Improvement of Road @ Purok 5, San Julian</t>
  </si>
  <si>
    <t>Improvement of Multi-Purpose Bldg. in Brgy. Bito, Abuyog, Leyte, ABC PHP1,829,770.53</t>
  </si>
  <si>
    <t>Supply, Delivery and Installation of Double Throw Circuit Breaker</t>
  </si>
  <si>
    <t>Installation of Solar Street Lights in Brgy. Dumarag, Pastrana, Leyte, ABC PHP1,847,565.32</t>
  </si>
  <si>
    <t>Improvement of Barangay Road -  All Puroks, Calanan</t>
  </si>
  <si>
    <t>AUGMENTATION OF CONSTRUCTION OF COVERED COURT PHASE 3</t>
  </si>
  <si>
    <t>Furnishing of materials for the Expansion of Tanod Outpost</t>
  </si>
  <si>
    <t>Rehabilitation of Barangay Roads for 24 Barangays at San Fernando</t>
  </si>
  <si>
    <t>Improvement of Road @ Zapote, Dilag</t>
  </si>
  <si>
    <t>Opening/Improvement of Road (GAD) Mataddong, Bantay</t>
  </si>
  <si>
    <t>Purchase of Spare Parts for Backhoe JS205</t>
  </si>
  <si>
    <t>Installation of Pipe Culvert (Purok 1, Songgoy, San Pablo, ZDS.)</t>
  </si>
  <si>
    <t>2nd posting CY 2020 Basic Educational Facilities  Fund(BEFF) Electrification of Un-Energized Schools and Modernization of Electrical Systems on Grid Schools Batch 1 c1</t>
  </si>
  <si>
    <t>Construction of Multi-Purpose Bldg. at Barugo I Central School in Barugo, Leyte, ABC PHP1,889,328.91</t>
  </si>
  <si>
    <t>Repair/rehabilitation of Perimeter Fence &amp; Pergola of Hiabangan Elem. School in Dagami, Leyte, ABC PHP1,004,238.07</t>
  </si>
  <si>
    <t>Meals and Hotel Accommodation</t>
  </si>
  <si>
    <t>Construction of Covered Walk at the Isolation Building, Leyte Provincial Hospital, Palo, Leyte, ABC PHP1,155,333.86</t>
  </si>
  <si>
    <t>UPLB-RES-037-08-20  SUPPLY AND DELIVERY OF BRANDED AND BRAND NEW REAL-TIME PCR DETECTION SYSTEM FOR IPB</t>
  </si>
  <si>
    <t>PURCHASE OF MULTI-PURPOSE VEHICLE</t>
  </si>
  <si>
    <t>Construction of one-storey evacuation center (35m x 12m)</t>
  </si>
  <si>
    <t>Expansion of Existing Swimming Pool a, Rebi Beach Resort.</t>
  </si>
  <si>
    <t>CONSTRUCTION OF MUNICIPAL SANITARY LANDFILL</t>
  </si>
  <si>
    <t>Construction of Slope Protection in Brgy. Cabaohan, Pastrana, Leyte, ABC PHP1,315,784.28</t>
  </si>
  <si>
    <t>Catbalogan Airport Development Project C.Y. 2020-(Construction of Terminal Area, Apron and Taxiway)</t>
  </si>
  <si>
    <t>FURNISHING AND DELIVERY OF NINE (9) UNITS XEROX/COPIER MACHINE</t>
  </si>
  <si>
    <t>Rehabilitation of Hanging Bridge in Brgy. Libertad, Abuyog, Leyte, ABC PHP1,385,962.99</t>
  </si>
  <si>
    <t>Construction of Multi-Purpose Hall in Brgy. Bulacan, Hindang, Leyte, ABC PHP1,913,208.95</t>
  </si>
  <si>
    <t>2nd posting CY 2020 Basic Educational Facilities  Fund(BEFF) Electrification of Un-Energized Schools and Modernization of Electrical Systems on Grid Schools Batch 2</t>
  </si>
  <si>
    <t>Purchase of Furniture and Fixtures for Various Offices</t>
  </si>
  <si>
    <t>SUPPLY AND DELIVERY OF INFORMATION TECHNOLOGY EQUIPMENT</t>
  </si>
  <si>
    <t>Procurement of Construction and Establishment of Concrete Artificial Reefs (ARs) Project, Province of Aklan-Re Bidding/ITB no: 2020-430</t>
  </si>
  <si>
    <t>Construction of Multi-purpose Drying Pavement (MPDP) at Urzadan</t>
  </si>
  <si>
    <t>RBE GYMNASIUM BASKETBALL COURT COVER MATTING</t>
  </si>
  <si>
    <t>Construction of Foot Steps (GAD) Purok 1 &amp; 2, Tuga</t>
  </si>
  <si>
    <t>Supplying one (1) unit Brand New Crawler Excavator, etc. for Disaster Response Operations, Mitigation &amp; Climate Change, PEO, Boac, Marinduque</t>
  </si>
  <si>
    <t>SUPPLY AND DELIVERY OF VARIOUS DRUG AND MEDICINES TO BE USED AT PROVINCIAL VETERINARY OFFICE FOR ANIMAL HEALTH PROGRAM</t>
  </si>
  <si>
    <t>SUPPLY AND DELIVERY OF RICE FOR USE IN COUNTER INSURGENCY AND TERRORISM</t>
  </si>
  <si>
    <t>Cont. of Brgy. Hall</t>
  </si>
  <si>
    <t>CONST. OF ROAD/IMPROVEMENT/REFURBISHMENT OF FACILITIES AND AMENITIES/FABRICATION &amp; INSTALLATION OF DRAINAGE CANAL COVER.</t>
  </si>
  <si>
    <t>Office Supplies and Devices for Distribution to Different Schools Provincewide</t>
  </si>
  <si>
    <t>Construction of Single-Detached Isolation Housing Facility for COVID-19</t>
  </si>
  <si>
    <t>Construction of Multi-Purpose Building in Brgy. Serrano, Dulag, Leyte, ABC PHP1,241,627.40</t>
  </si>
  <si>
    <t>LOT 1 Project No.: GOODS-2020-08-003 INVITATION TO BID Provision of Supply and Delivery of Printing Materials for the Reproduction of Self-Learning Materials for Kinder to Grade 11</t>
  </si>
  <si>
    <t>LOT 3 Project No.: GOODS-2020-08-003 INVITATION TO BID Provision of LOT 3 Supply and Delivery of Printing Materials for the Reproduction of Self-Learning Materials for Kinder to Grade 11</t>
  </si>
  <si>
    <t>PURCHASE OF MOTORCYCLES FOR BARANGAYS (2ND BID)</t>
  </si>
  <si>
    <t>LOT 2 Project No.: GOODS-2020-08-003 INVITATION TO BID Provision of Supply and Delivery of Printing Materials for the Reproduction of Self-Learning Materials for Kinder to Grade 11</t>
  </si>
  <si>
    <t>Construction of Comfort Room in Libacao Public Market, Brgy. Poblacion, Libacao, Aklan</t>
  </si>
  <si>
    <t>PR 221-20-06-0712, FOR USE OF CITY ENGINEERING DEPARTMENT ASSIGNED AT CED, THIS CITY.CONSTRUCTION OF COVERED COURT WITH STAGE AND BLEACHERS AT BAGONBON NATIONAL HIGH SCHOOL, BRGY. BAGONBON, SAN CARLOS</t>
  </si>
  <si>
    <t>LOCAL ACCESS ROAD (UPGRADING AND IMPROVEMENT OF SALANGI ROAD) – BRGY. SALANGI, ALMERIA, BILIRAN</t>
  </si>
  <si>
    <t>INF-ITB 20-040 Construction of Lake Lahit Tourism Facility, Lake Lahit, Lake Sebu, South Cotabato</t>
  </si>
  <si>
    <t>SUPPLY, DELIVERY AND INSTALLATION OF AIR-CONDITIONING UNIT FOR THE NEW BUILDING</t>
  </si>
  <si>
    <t>SUPPLY AND DELIVERY OF ECOBAGS WITH LOGO FOR   DIVISION OF CITY SCHOOLS</t>
  </si>
  <si>
    <t>Delivery of Motor Vehicle</t>
  </si>
  <si>
    <t>Supplying one (1) unit Brand New Wheel Loader, etc. for Disaster Response Operations, Mitigation &amp; Climate Change, PEO, Boac, Marinduque</t>
  </si>
  <si>
    <t>CP 2020-56 BIDDING FOR THE SUPPLY AND DELIVERY OF CHLORINATED RUBBERIZED BASE (CRB) PAINTS C/O CEO</t>
  </si>
  <si>
    <t>SUPPLY, DELIVERY, INSTALLATION, TESTING AND COMMISSIONING OF PUMPING EQUIPMENT FOR THE DIPACULAO WATER DISTRICT’S WATER SUPPLY SYSTEM AND IMPROVEMENT PROJECT</t>
  </si>
  <si>
    <t>PB-PROCUREMENT OF MEDICAL &amp; OTHER HEALTH RELATED EQUIPMENT (3) ITB No. 2020-30</t>
  </si>
  <si>
    <t>PR 18-20-07-0915, FOR USE OF CITY ENGINEERING DEPARTMENT ASSIGNED AT CED, THIS CITY.</t>
  </si>
  <si>
    <t>Procurement of WCEIS Equipment of PBL1, PBL2, PBL5 AND 9MTR RIB 02, Lot 1 - Procurement of WCEIS Equipment of PBL1, PBL2, PBL5 and 9MTR RIB 02</t>
  </si>
  <si>
    <t>Procurement and Installation of WCEIS For PC374, PC376, PC377, PC387, PC389 and YT225, LOT 1 - Procurement and Installation of NAVSENS Equipment for PC374, PC376, PC377, PC387, PC389 and YT225</t>
  </si>
  <si>
    <t>PR 1-20-07-0896, FOR USE OF THE CITY MAYOR'S OFFICE, THIS CITY.</t>
  </si>
  <si>
    <t>LOT 4 Project No.: GOODS-2020-08-003 INVITATION TO BID Provision ofLOT4 Supply and Delivery of Printing Materials for the Reproduction of Self-Learning Materials for Kinder to Grade 11</t>
  </si>
  <si>
    <t>(PAssO) REQUEST FOR QUOTATION (RFQ)  For the Procurement 250 pax Meals &amp; Snacks, etc for Various Meetings For the Provincial Assesment Office--62,500.00</t>
  </si>
  <si>
    <t>PR 1-20-07-0873, FOR USE OF THE CITY MAYOR'S OFFICE, THIS CITY.</t>
  </si>
  <si>
    <t>Supplying various medical equipment for use in MPH Bldg. B (Pedia and Medicine Ward) Marinduque Provincial Hospital, Boac, Marinduque</t>
  </si>
  <si>
    <t>CP 2020-55 BIDDING FOR THE SUPPLY AND DELIVERY OF DESKTOPS AND LAPTOPS C/O HSO</t>
  </si>
  <si>
    <t>RE BIDDING OF CY 2020 QUICK RESPONSE FUND (QRF) - REPAIR/REHABILITATION OF CLASSROOM FOR BACON WEST CENTRAL SCHOOL</t>
  </si>
  <si>
    <t>Procurement of Labor and materials- Completion of Hanging Bridge @ Salvacion</t>
  </si>
  <si>
    <t>Information Technology  for Distribution to Senior High School Students provincewide</t>
  </si>
  <si>
    <t>Installation of Pipe Culvert (Purok 5, Daplayan, San Pablo, ZDS.)</t>
  </si>
  <si>
    <t>Acquisition of CCTV Camera</t>
  </si>
  <si>
    <t>Concreting of Road along JNR-Old Taligue Section in Abuyog, Leyte, ABC PHP1,981,179.50</t>
  </si>
  <si>
    <t>SUPPLY AND DELIVERY OF MULTIVITAMINS</t>
  </si>
  <si>
    <t>SUPPLY AND DELIVERY OF VARIOUS MATERIALS FOR CAPTURE FISHERIES LIVELIHOOD PROJECTS</t>
  </si>
  <si>
    <t>REHABILITATION/IMPROVEMENT OF LEVEL III WATER SYSTEM IN BRGY. SAN RAFAEL</t>
  </si>
  <si>
    <t>INSTALLATION OF GUTTER FOR MULTI-PURPOSE BUILDING</t>
  </si>
  <si>
    <t>Completion/Construction of Multi Purpose Gym Brgy.Janipa - an Oeste,New Lucena Iloilo</t>
  </si>
  <si>
    <t>Construction of Vigan Display Center-Phase IV at Crisologo St. Barangay I, Vigan City</t>
  </si>
  <si>
    <t>PROCUREMENT OF OUTBOARD MOTOR</t>
  </si>
  <si>
    <t>S1-MRO20-006 - Supply and Delivery of Electrical Spare Parts for 163kW Perkins Diesel Engine, Model No. Perkins/2006-TG1 Intended for Power Plants under MROD</t>
  </si>
  <si>
    <t>Freebies during SBI</t>
  </si>
  <si>
    <t>Various ICT Materials for Communication and Network Maintenance</t>
  </si>
  <si>
    <t>Delivery of Medicines (Lots 1 &amp; 2)</t>
  </si>
  <si>
    <t>Supply &amp; Delivery of Rescue Recovery Hand Tools (Spreader Cutter)</t>
  </si>
  <si>
    <t>CCTV Monitoring at DSWD FO 1 Guardhouse</t>
  </si>
  <si>
    <t>Procurement of 1 (One) Unit Double Cab Pick – Up for the Prevention of Human Induced Hazards</t>
  </si>
  <si>
    <t>Information Technology Parts for Distribution to different schools provincewide</t>
  </si>
  <si>
    <t>Procurement and Installation of WCEIS For PC374, PC376, PC377, PC387, PC389 and YT225, LOT 3 - Procurement and Installation of WEAPONS ACCCESSORIES for PC374, PC376, PC377, PC387 and PC389</t>
  </si>
  <si>
    <t>Procurement of Brand New Ambulance Vehicle for the use of Malay Municipal Hospital, Malay, Aklan/ITB no: 2020-433</t>
  </si>
  <si>
    <t>20HI0095 - Repair/Maintenance of Danao Bridge I Flood Control Structure (Abutment A, Downstream)</t>
  </si>
  <si>
    <t>Contract ID No. 20NC0140 - Rehabilitation/Reconstruction/Upgrading of Damaged Pave Roads along Daang Maharlika (Agusan-Davao Section) k1304+(-)147.50 – k1304+(-)035</t>
  </si>
  <si>
    <t>Completion of Barangay Health Facitility (To served as Covid-19 Isolation Facility) Brgy. Maungib, Pura, Tarlac</t>
  </si>
  <si>
    <t>SUPPLY AND DELIVERY OF FIRE TRUCKS FOR DAVAO PRISON AND PENAL FARM (DPPF) AND SAN RAMON PRISON AND PENAL FARM (SRPPF) LOT 3 RE-BID</t>
  </si>
  <si>
    <t>2nd posting CY 2020 Basic Educational Facilities  Fund(BEFF) Electrification of Un-Energized Schools and Modernization of Electrical Systems on Grid Schools c2</t>
  </si>
  <si>
    <t>CONSTRUCTION OF EVACUATION CENTER BUILDING</t>
  </si>
  <si>
    <t>Proposed Construction of Box Culvert along Nangka-Kiliog Road(Jct. Nat'l. H'way) Libona-Kiliog Road (Kianus-Nangka Road) at Libona</t>
  </si>
  <si>
    <t>LOCAL ACCESS ROAD (UPGRADING AND IMPROVEMENT OF TAMARINDO ROAD) – BRGY. TAMARINDO, ALMERIA, BILIRAN</t>
  </si>
  <si>
    <t>MAINTENANCE OF 10 SECONDARY SCHOOLS</t>
  </si>
  <si>
    <t>PROCUREMENT OF MEDICAL, DENTAL &amp; LABORATORY SUPPLIES</t>
  </si>
  <si>
    <t>Procurement of Services – Collection, Hauling, and Disposal of Solid Waste at the City of Bacoor - CENRO</t>
  </si>
  <si>
    <t>Supply of Materials for the Repair and Maintenance of COMMELEX &amp; NAVSENS  Equipment of Five (5) AW109 Helicopter (NH430, NH431, NV432, NH434, NH435) and Two (2) ASW159 Helicopter (NH440, NH441)</t>
  </si>
  <si>
    <t>Supply and Delivery of IT Equipment to be used for the Instructional Video Lessons for Offline Learning of the City Schools Division of San Fernando, Pampanga</t>
  </si>
  <si>
    <t>Improvement of Other DRRM Facilities (Supply and Installation of Solar Panel at ALERT 161 Center Talaba IV</t>
  </si>
  <si>
    <t>Supply and Delivery of Commonly-Used Supplies of SPAMAST for FY 2020 (2nd Posting)</t>
  </si>
  <si>
    <t>Construction of Municipal Drainage System</t>
  </si>
  <si>
    <t>ITB-Farm Implements (Rebid)</t>
  </si>
  <si>
    <t>CONSTRUCTION OF ACADEMIC BUILDING, SED ANNEX 2 BUILDING (BUILD ONLY)</t>
  </si>
  <si>
    <t>REHABILITATION/IMPROVEMENT OF 390 LIN.M EXISTING PIPELINES AND INSTALLATION OF 1,170 LIN. M PIPELINE EXPANSION</t>
  </si>
  <si>
    <t>Construction of Road Railings / Road Guard</t>
  </si>
  <si>
    <t>ITB-197 Rehabilitation of Tribal House, Sitio Lombuyan,  Brgy. Guinabsan, Buenavista, Agusan del Norte</t>
  </si>
  <si>
    <t>Grouted Riprap Slope Protection with  Concrete Barrier at P.L. RESORT Access  Road</t>
  </si>
  <si>
    <t>ROAD CONCRETING (PCCP) at Bgy. Cabunlawan</t>
  </si>
  <si>
    <t xml:space="preserve">20HI0097 - Maintenance, Repair and Rehabilitation of Infrastructure Facilities and Other Related Activities – Repair and Maintenance of Road Safety Facilities along Sogod-Tabuelan Road, Chainage 0000 </t>
  </si>
  <si>
    <t>Regravelling of Roads at various Barangays, Municipality of Hinigaran, Negros Occidental.</t>
  </si>
  <si>
    <t>ROAD CONCRETING (PCCP) at Bgy. Barangonan</t>
  </si>
  <si>
    <t>invitation to bid for the purchase of generator set</t>
  </si>
  <si>
    <t>Antithymocyte Immunoglobulin (ATG) (Rabbit)</t>
  </si>
  <si>
    <t>Supply and Delivery of:LOT 1-7 units Palay Thresher with Blower,LOT 2- 10 units Handtractor for Implementation under Rice Program 2020</t>
  </si>
  <si>
    <t>S1-TDP20-006 (PB2) - Lease of 1.0 MW Modular Diesel Generating Set/s for Ticao DPP</t>
  </si>
  <si>
    <t>UPLB-RES-039-08-20  SUPPLY AND DELIVERY OF BRANDED AND BRAND NEW LABORATORY SUPPLIES AND SCIENTIFIC EQUIPMENT FOR MNH</t>
  </si>
  <si>
    <t>ITB-199 Upgrading/Improvement of Sanghan-Luna-Calulutay-Calamba  Provincial Road, Cabadbaran City, Agusan del Norte</t>
  </si>
  <si>
    <t>SUPPLY AND DELIVERY OF PAINTS, SPRAY PAINTS AND OTHER RELATED MATERIALS FOR SAFETY AND SECURITY ENVIRONMENTAL NUMBERING (SSEN) SYSTEM</t>
  </si>
  <si>
    <t>ITB No. 20-072 Supply and Delivery of Various Common Laboratory Reagent Solutions  (Line Bidding)</t>
  </si>
  <si>
    <t>REPARATION OF MUNICIPAL GYMNASIUM at Bgy. San Miguel</t>
  </si>
  <si>
    <t>SUPPLY AND DELIVERY OF VARIOUS VEGETABLE SEEDS</t>
  </si>
  <si>
    <t>21A00001: Retrofitting/Strengthening of Permanent Bridges, Don Teofilo Sison Bridge (B00722LZ) along Manila North Road</t>
  </si>
  <si>
    <t>Const. of Drainage Canal and Concrete canal at Mabini St., San Miguel, Linapacan, Palawan</t>
  </si>
  <si>
    <t>2020-100, CONSTRUCTION OF CONCRETE CANAL WITH SLOPE PROTECTION AT PUROK WALING- WALING, KIMAGANGO, MIDSAYAP, COTABATO</t>
  </si>
  <si>
    <t>Contract of Service for the City Employee's Health Services Program (Medical Health Card) for Permanent and Co-Terminus Employee of the Local Government of San Fernando, Pampanga</t>
  </si>
  <si>
    <t>Supply of Materials/Parts for the SMI and ARAS of NAW Units (NH430, NH431, NH432, NH434 &amp; NH435)</t>
  </si>
  <si>
    <t>PROCUREMENT OF A4 BONDPAPER FOR THE REPRODUCTION OF MODULES FOR NEW NORMAL SY 2020-2021</t>
  </si>
  <si>
    <t>Supply and Delivery of Digital Duplicating Machine, Photocopying Machines and Print on Demand Machine to be used by the various Schools of the City Schools Division of San Fernando Pampanga</t>
  </si>
  <si>
    <t>Supply and Delivery of Electrical Supplies, Instrument and Security Equipment (CCTV)</t>
  </si>
  <si>
    <t>Purchase of 1 unit Floor Standing Airconditioner (4.5 HP) for Barangay Health Station at Barangay Polong, Bugallon, Pangasinan</t>
  </si>
  <si>
    <t>INVITATION TO BID FOR THE SUPPLY AND DELIVERY OF VARIOUS GOODS</t>
  </si>
  <si>
    <t>ROAD CONCRETING (PCCP) at Bgy. New Colaylayan</t>
  </si>
  <si>
    <t>20GIB0038: Purchase of Fuel for Service Vehicles, Heavy Equipment and Grasscutters used in the Maintenance activites along Eastern Samar Road.</t>
  </si>
  <si>
    <t>ITB - Photocopiers/Digital Duplicator (short of award0</t>
  </si>
  <si>
    <t>ROAD CONCRETING (PCCP) at Bgy. Calibangbangan</t>
  </si>
  <si>
    <t>Rehabilitation of Cable Foot Bridge</t>
  </si>
  <si>
    <t>S3-BAI20-024 - Lease of 2.0 MW Modular Diesel Generating Set/s for Basilan DPP</t>
  </si>
  <si>
    <t>Contract ID 20IG0071 - Resurfacing of Unpaved Shoulder along National Road within the Leyte V DEO</t>
  </si>
  <si>
    <t>ITB-198 Construction of Provincial Jail Covered Court,  Brgy. Libertad, Butuan City, Agusan del Norte</t>
  </si>
  <si>
    <t>S1-IDP20-003 - Supply and Delivery of Mechanical Spare Parts of 193kW FG-Wilson, 6 Cyl, Model P300H-1, Serial No. FGWNAV04KJSW00254, of Itbayat DPP</t>
  </si>
  <si>
    <t>Construction of Multi-Purpose Pavement</t>
  </si>
  <si>
    <t>Inspection and Repair as Necessary of NV320</t>
  </si>
  <si>
    <t>Acquisition of Engineering Equipment-Two(2) Units Mini Dumptruck (Dumping).</t>
  </si>
  <si>
    <t>Const. of JCT Nat'l H-way - MRDP Road</t>
  </si>
  <si>
    <t>ITB-196 Construction of Bodega GSO, Capitol Compound,  Butuan City, Agusan del Norte</t>
  </si>
  <si>
    <t>PROCUREMENT OF COLEGIO DE KAPATAGAN LIBRARY BOOKS</t>
  </si>
  <si>
    <t>21A00005: Retrofitting/Strengthening of Permanent Bridges, Bued Bridge (B00735LZ) along Manila North Road</t>
  </si>
  <si>
    <t>SUPPLY AND DELIVERY OF 166 HEADS UPGRADED GOAT</t>
  </si>
  <si>
    <t>Enhancement of Engineering and Technology Green Building (ETGB) Roof Skirting (Labor and Materials) - Talisay Campus, Brgy. Zone 1, Mabini St., Talisay City, Negros Occidental (2nd Publication)</t>
  </si>
  <si>
    <t>SUPPLY AND DELIVERY OF VARIOUS MATERIALS FOR RESCUE EQUIPMENTS</t>
  </si>
  <si>
    <t>Concreting of Lapaz - Tagbuyacan FMR (Completion Phase)</t>
  </si>
  <si>
    <t>21A00004: Retrofitting/Strengthening of Permanent Bridges, Bauang Bridge 1 (B02644LZ) along Manila North Road</t>
  </si>
  <si>
    <t>ITB- SUPPLY, DELIVERY and INSTALLATION OF 1 LOT GERMINATOR RCEF GOODS 20-07-05A</t>
  </si>
  <si>
    <t>Supply, Delivery and Installation of one (1) unit pressure vessel HFTB</t>
  </si>
  <si>
    <t>PROCUREMENT OF 2 UNITS RISOGRAPH MACHINE</t>
  </si>
  <si>
    <t>Supply and Delivery of Printer</t>
  </si>
  <si>
    <t>2020-101, SUPPLY AND DELIVERY OF AGRICULTURAL INPUTS FOR ORGANIC FARMERS OF THE  MUNICIPALITY OF MIDSAYAP, COTABATO</t>
  </si>
  <si>
    <t>Supply of Materials/Parts for the PMS and COBS of PHILFLT Vessels (MTU Engines of PS39)</t>
  </si>
  <si>
    <t>21A00003: Bridge Rehabilitation, Rehabilitation of Padilla Bridge (B02144LZ) along Pangasinan-Zambales Road</t>
  </si>
  <si>
    <t>Procurement of Hardware &amp; Construction  Supplies - 2ND. SCHEDULE</t>
  </si>
  <si>
    <t>SUPPLY AND DELIVERY OF 2 UNITS COMBINE HARVESTER</t>
  </si>
  <si>
    <t>21A00002: Retrofitting/Strengthening of Permanent Bridges, Cagubay Bridge (B00679LZ) along Pangasinan-Tarlac Road</t>
  </si>
  <si>
    <t>Proposed Construction of Drainage System along Managantan Street, Barangay 09-A, Guiuan, Eastern Samar</t>
  </si>
  <si>
    <t>REBLOCKING OF ROAD</t>
  </si>
  <si>
    <t>CONSTRUCTION OF TEMPORARY MARKET STALLS FOR P-3 CROSSING GABI (Procurement of Materials)</t>
  </si>
  <si>
    <t>Concreting of Highway-Demo Farm Road</t>
  </si>
  <si>
    <t>Purchase of Construction Materials for the Rehab of Road of different Flooded Barangay at  Santos St., RH-6, Cotabato City</t>
  </si>
  <si>
    <t>AIRCON</t>
  </si>
  <si>
    <t>Installation of Streetlights(Solar Lights) at Bugnay, Tuao</t>
  </si>
  <si>
    <t>RBE GYMNASIUM ROOFING REPAIR</t>
  </si>
  <si>
    <t>20PA0138 : CONSTRUCTION OF 2-STOREY 4-CLASSROOM SCHOOL BUILDING, Dugong NHS, Bucay, Abra</t>
  </si>
  <si>
    <t>20HI0094 - Rehabilitation of DPWH Building, Motor Pool and Perimeter Fence</t>
  </si>
  <si>
    <t>20EE0141 Construction of 2 units 1 Storey 2 Classroom School Building, Sta. Cruz Elementary School,Cagayancillo, Palawan</t>
  </si>
  <si>
    <t>SUPPLY AND DELIVERY OF VARIOUS  INFORMATION AND COMMUNICATION TECHNOLOGY EQUIPMENT FOR USE IN DIFFERENT SCHOOLS IN THE DIVISION OF CAVITE</t>
  </si>
  <si>
    <t>CP 2020-57 BIDDING FOR THE SUPPLY AND DELIVERY OF POWER UNIT COMPATIBLE WITH EXISTING EQUIPMENT C/O CDRRMC</t>
  </si>
  <si>
    <t>Repair of Multi-Purpose Center</t>
  </si>
  <si>
    <t>Supply and Delivery of Dental Chair</t>
  </si>
  <si>
    <t>FOR INDIGENT CONSTITUENTS OF TALUSAN MUNICIPALITY</t>
  </si>
  <si>
    <t>20EE0142 Construction of 1 Storey 2 Classroom School Building, Mampio Elementary School Cagayancillo, Palawan</t>
  </si>
  <si>
    <t>Procurement and Installation of WCEIS For PC374, PC376, PC377, PC387, PC389 and YT225, LOT 2 - Procurement and Installation of COMMELEX Equipment for PC374, PC376, PC377, PC387, PC389 and YT225</t>
  </si>
  <si>
    <t>20AH0224  Repair/Maintenance/Installation of Railings and Garden Lamps at Socony Island along Pangasinan-Zambales Road and Pangasinan-Tarlac Road</t>
  </si>
  <si>
    <t>ITB - Irrigation Project (short of award)</t>
  </si>
  <si>
    <t>CONTRACT FOR SECURITY SERVICES, UPM-SHS PALO LEYTE (REBID)</t>
  </si>
  <si>
    <t>CID No. 20GI00005 - Purchase/Delivery of Common Office and Janitorial Supplies for Use of Various Sections/Divisions for the 3rd Quarter, DPWH Regional Office VIII, Baras, Palo, Leyte</t>
  </si>
  <si>
    <t>20KK0128 (2nd Advertisement) - Construction of 2STY6CL, Sangalan Integrated School, Gingoog City, Misamis Oriental</t>
  </si>
  <si>
    <t>SUPPLY AND DELIVERY OF 1,175 BOTTLES SPINETORAM AND 1,000 BOTTLES CHLORANTRANILIPROLE PESTICIDES TO BE USED FOR THE PREVENTION AND CONTROL MANAGEMENT AGAINST FALL ARMYWORM UNDER CORN PROGRAM FOR CY 20</t>
  </si>
  <si>
    <t>ENG'G PASBAC 001-20 Supply and Delivery of Three (3) Units Well Drilling Truck/Rig (Rotary) with Trailer and Accessories</t>
  </si>
  <si>
    <t>Supply and Delivery of Laboratory Iquipment</t>
  </si>
  <si>
    <t>20GGJ0061 Supply and Delivery of Office Supplies/Furniture for the use of Planning and Design Section, DPWH - ICDEO</t>
  </si>
  <si>
    <t>PROCUREMENT OF 4x2 VAN PICK-UP DRIVEN WITH ACCESSORIES 		(BRAND NEW)</t>
  </si>
  <si>
    <t>Purchase and Delivery of Various Paraphernalia for Temporary Disaster Operation Centers(Lakambini &amp; Bugnay)</t>
  </si>
  <si>
    <t>20CB-GSC-504	PURCHASE OF SPARE PARTS FOR HEAVY EQUIPMENTS</t>
  </si>
  <si>
    <t>Procurement of Motorcycle and Office Equipments</t>
  </si>
  <si>
    <t>ITB No. 20-055 Supply and Delivery of Various Common Laboratory Glasswares (Line Bidding)</t>
  </si>
  <si>
    <t>20KL010 (Goods) - Procurement of High Production Wide Format Toner/Laser Based Color Copier with Printing and Scanning Function</t>
  </si>
  <si>
    <t>Growth Repairs on the Machinery Growth Repairs of AGS701</t>
  </si>
  <si>
    <t>Procurement of Supplementary Feeding Supplies</t>
  </si>
  <si>
    <t>SUPPLY AND DELIVERY OF ASSORTED PLASTIC CRATES, PLASTIC PALLETS, TROLLEY, MOBILE PLASTIC BIN AND MULTI-PURPOSE FOOD CONTAINER</t>
  </si>
  <si>
    <t>CID No. 20GI00002 (Re-advertisement) - Purchase/Delivery/Installation of RTIA Traffic Count Equipment of Planning Section, Planning and Design Division, DPWH Regional Office VIII, Baras, Palo, Leyte</t>
  </si>
  <si>
    <t>20HI0096 - Concreting of Brgy. Ipil FMR, Carmen, Cebu</t>
  </si>
  <si>
    <t>PROC. OF WORKS FOR THE CONST'N OF WATER SYSTEM AT BRGY BAON,  SAN ISIDRO, DAVAO ORIENTAL</t>
  </si>
  <si>
    <t>SUPPLY AND DELIVERY OF VARIOUS SCHOOL MATERIALS FOR THE PRINTING OF MODULES FOR THE LEARNERS AND STUDENTS</t>
  </si>
  <si>
    <t>20CB-GSC-505	PURCHASE OF BRAND NEW RESCUE AMBULANCE</t>
  </si>
  <si>
    <t>Proposed Design and Build for the Construction of Covered Court (Phase-1) - Binalbagan Campus, Brgy. Enclaro, Binalbagan, Negros Occidental (2nd Publication)</t>
  </si>
  <si>
    <t>Supply and Delivery of Kitchen Equipment</t>
  </si>
  <si>
    <t>PR-2020-1160 Four (4) Units Brand new Defibrillators (Rebid)-PHO</t>
  </si>
  <si>
    <t>20KK0132 - Repair/Rehabilitation of Roads (Asphalt Overlay) along BCIR, Misamis Oriental, STA. K1376+800 - K1380+470</t>
  </si>
  <si>
    <t>Procurement of Various ICT Equipment SVP No. 2020-044</t>
  </si>
  <si>
    <t>HO-GRF20-001(PB2) - Split Type Metal Enclosure (STME) and Other Accessories Needed for the Reinforcement of the Buckle Anomaly and Damaged Flange Connection of Ilijan Natural Gas Pipeline</t>
  </si>
  <si>
    <t>Procurement of Furniture/ Fixture, Office and IT Equipment for Different Offices 2020</t>
  </si>
  <si>
    <t>Repair and Maintenance of Komatsu Grader</t>
  </si>
  <si>
    <t>Supply &amp; Delivery of materials for the Construction of Multi Purpose Hall, Brgy. Uddiawan, SNV.</t>
  </si>
  <si>
    <t>Renovation of Female &amp; Male Comfort Room at 2nd Floor, Executive Building, Municipal compound, SNV</t>
  </si>
  <si>
    <t>SUPPLY AND DELIVERY OF LOT 1: 950 HEADS IMPROVED/FREE-RANGE NATIVE CHICKEN (ROOSTER) AND 3,800 HEADS IMPROVED/FREE-RANGE NATIVE CHICKEN (PULLET) IN MIMARO</t>
  </si>
  <si>
    <t>Acquisition of rescue/multi-purpose Vehicle</t>
  </si>
  <si>
    <t>Supply of Materials/ Parts for the PMS and COBS of PHIFLEET Vessels (PIELSTICK Engines)</t>
  </si>
  <si>
    <t>Procurement of ICIE (PHILARPAT Uniforms and 2 other items – (Lot 10)</t>
  </si>
  <si>
    <t>Procurement of 1 Unit Passenger Van, NIPSC, Barotac Viejo, Iloilo</t>
  </si>
  <si>
    <t>20KK0126 (2nd Advertisement) - Construction of 1STY2CL, Damayuhan NHS, Magsaysay (Linugos), Misamis Oriental</t>
  </si>
  <si>
    <t>Procurement of Solid Waste Management Machineries Equipments</t>
  </si>
  <si>
    <t>Supply and Delivery of PHILARPAT Uniform PMA Project</t>
  </si>
  <si>
    <t>SUPPLY AND DELIVERY OF LOT 2: 760 BAGS CHICK GROWER CRUMBLE FEEDS IN MIMARO</t>
  </si>
  <si>
    <t>SUPPLY &amp; DELIVERY OF ONE (1) UNIT OF SERVICE VEHICLE FOR SAGIP MUNTINLUPA CENTER</t>
  </si>
  <si>
    <t>Construction of One (1) classroom School Building Phase II, Brgy. Concepcion, SNV.,</t>
  </si>
  <si>
    <t>Procurement for the Supply and Delivery of Twelve (12) Units Diesel-Type Brand New Four-Wheeled Vehicles (Pick-Up) for the Operations of the City Peace &amp; Order Council.</t>
  </si>
  <si>
    <t>Invitation to Bid for Supply and Delivery of Materials and Equipment for DA-ACEF Mango Project</t>
  </si>
  <si>
    <t>CONSTRUCTION OF NEW MUNTINLUPA CITY PUBLIC MARKET (PHASE 2) AT BRGY. ALABANG, MUNTINLUPA CITY</t>
  </si>
  <si>
    <t>20GIB0040: Purchase/delivery of Asphalt for use in the Crack and Joint Sealing, and for use in the Maintenance activities along Eastern Samar Road Network.</t>
  </si>
  <si>
    <t>Drydocking and Other Related Repairs of LD602</t>
  </si>
  <si>
    <t>20GIB0039: Purchase/delivery of Paints for use in the Repainting of Permanent Bridges and Railings.</t>
  </si>
  <si>
    <t>Continuation of the DRRM Operation Center</t>
  </si>
  <si>
    <t>Supply &amp; Delivery of Ten (10) Wooden Table for use in Pasalubong Center</t>
  </si>
  <si>
    <t>Supply of Materials/Parts for the PMS and RAS of NAVSOG Units (Sponson)</t>
  </si>
  <si>
    <t>SUPPLY &amp; DELIVERY OF IV FLUIDS IN BAG TO BE USED AT OSPITAL NG MUNTINLUPA (*RE-POSTED)</t>
  </si>
  <si>
    <t>Development of a Prototype Trimaran Multipurpose Fishing Vessel, NIPSC, Estancia, Iloilo</t>
  </si>
  <si>
    <t>Supply and Delivery of Hardware Supplies and Materials for the Food Processing Center of MSC Gasan</t>
  </si>
  <si>
    <t>S1-B1420-010 - Supply and Delivery of Spare Parts for 650kW FG Wilson Diesel Engine, Model: 4006-23TAG3A (P800P1) of Power Barge 114</t>
  </si>
  <si>
    <t>SUPPLY AND DELIVERY OF VARIOUS SUPPLIES AND EQUIPMENT MDRRMO OPERATION</t>
  </si>
  <si>
    <t>S1-B0620-021 - Supply and Delivery of Mechanical Spare Parts for 3.6MW Daihatsu Diesel Engine, Model No.: 12DK-32B of Power Barge 106</t>
  </si>
  <si>
    <t>Procurement of Multipurpose Vehicle - MO</t>
  </si>
  <si>
    <t>Supply and Delivery of Engineering Facilities (Improving Teaching and Learning of Engineering And Technology Programs Through Upgrading Of Facilities To Produce Graduates With Technical Skills Aligned</t>
  </si>
  <si>
    <t>ENG'G PASBAC 002-20 Supply and Delivery of Three (3) Units Truck Water Lorry</t>
  </si>
  <si>
    <t>REPRODUCTION OF SELF-LEARNING MODULES</t>
  </si>
  <si>
    <t>Installation and Fabrication of Water System</t>
  </si>
  <si>
    <t>Procurement of ICT Equipment in response to the New Normal Education for the use of Public School Teachers in the City of Meycauayan, Bulacan</t>
  </si>
  <si>
    <t>Supply and Delivery of Additional Materials for the Growth Repairs on the DDORR of AGS701</t>
  </si>
  <si>
    <t>Procurement of Duplicating Machines and Printers for the use of Public School Teachers in the City of Meycauayan, Bulacan</t>
  </si>
  <si>
    <t>Construction of Reservoir at Brgy. Tubod, Merida, Leyte</t>
  </si>
  <si>
    <t>"Contract for the Supply of Labor, Materials, Tools and Equipments necessary for the Construction of Evacuation Center at Barangay Salvacion and La Paz, Carmen, Davao del Norte</t>
  </si>
  <si>
    <t>Construction of Reservoir at Brgy. Masumbang, Merida, Leyte</t>
  </si>
  <si>
    <t>Construction of Covered Court Phase II in Sanica, Cabadiangan, Cebu</t>
  </si>
  <si>
    <t>20AF0080, CONSTRUCTION OF THREE (3) STOREY SIX (6) CLASSROOM SCHOOL BUILDING, DON EULOGIO DE GUZMAN MEMORIAL NATIONAL HIGH SCHOOL, BAUANG, LA UNION</t>
  </si>
  <si>
    <t>Construction of Reservoir at Brgy. Calunasan, Merida, Leyte</t>
  </si>
  <si>
    <t>Construction of Covered Court Phase I &amp; II in Sitio Urban San Vicente, Liloan</t>
  </si>
  <si>
    <t>PURCHASE OF COMMUNICATION EQUIPMENT (3RD QUARTER) FOR THE MUNICIPALITY OF INFANTA, PANGASINAN</t>
  </si>
  <si>
    <t>Construction of Covered Court Phase I &amp; II in Suba Elem. School</t>
  </si>
  <si>
    <t>Invitation to Bid for the Catering Services for Training Programs and Extension Activities for Third and Fourth Quarter</t>
  </si>
  <si>
    <t>Construction of Covered Court Phase II in tuhob Cabadiangan</t>
  </si>
  <si>
    <t>Procurement of Agong</t>
  </si>
  <si>
    <t>SUPPLY AND DELIVERY OF MATERIALS AND EQUIPMENT FOR DEVT. OF WATER SUPPLY AT SITIO SUGOD</t>
  </si>
  <si>
    <t>Supply of Materials/Parts for the PMS/ COBS/RAS of PHILFLEET Vessels (Cummins Engines)</t>
  </si>
  <si>
    <t>1. construction of Brgy. Plaza 2. Construction of Street Lights</t>
  </si>
  <si>
    <t>Asphalt overlay in Jubay, Liloan, cebu</t>
  </si>
  <si>
    <t>Melt Loading System</t>
  </si>
  <si>
    <t>Invitation to Bid for Supply and Delivery of IT Supplies and Equipment for the adoption of flexible learning under New Normal</t>
  </si>
  <si>
    <t>CONSTRUCTION OF DA-MIMAROPA RESEARCH DIVISION MULTI-PURPOSE RESEARCH AND DEVELOPMENT FACILITY - SECOND POSTING</t>
  </si>
  <si>
    <t>Completion of Evacuation Center at Brgy. Poblacion, Merida, Leyte</t>
  </si>
  <si>
    <t>AMP SVP-D NO: 20-08-0082C: Laboratory Supplies</t>
  </si>
  <si>
    <t>Installation of Water System at Brgy. Poblacion, Merida, Leyte</t>
  </si>
  <si>
    <t>Improvement of Bachelors Officers Quarters (BOQ) Bldg Nr 6743</t>
  </si>
  <si>
    <t>Rehabilitation/Improvement of OSCA Building at Brgy. Poblacion, Merida, Leyte</t>
  </si>
  <si>
    <t>Supply and Delivery of Handwashing Facilities</t>
  </si>
  <si>
    <t>Invitation to Bid for Supply, Delivery, and Installation of Laboratory Furniture</t>
  </si>
  <si>
    <t>Improvement of Drainage System at Brgy. Poblacion, Merida, Leyte</t>
  </si>
  <si>
    <t>SUPPLY AND DELIVERY OF 1I EQUIPMENTS</t>
  </si>
  <si>
    <t>Supply and Delivery of DRRM Preparedness Materials and Equipment</t>
  </si>
  <si>
    <t>ENG'G PASBAC 012-20 Supply and Delivery of Materials and Labor for the Enhancement Of Financial Records Branch (FRB) Building At Fort Bonifacio, Metro Manila</t>
  </si>
  <si>
    <t>20GFE0015- PROCUREMENT OF EQUIPMENT/APPARATUS, OFFICE, IT AND JANITORIAL SUPPLIES FOR QUALITY ASSURANCE SECTION</t>
  </si>
  <si>
    <t>CONDUCT OF LAND, RELOCATION AND PARCELLARY SURVEY</t>
  </si>
  <si>
    <t>Installation of Assessment and Warning Devices in Major Rivers</t>
  </si>
  <si>
    <t>PURCHASE OF WATERPUMP FOR DISTRIBUTION TO FARMERS AND IRRIGATORS ASSOCIATION OF THE CITY OF BATAC</t>
  </si>
  <si>
    <t>Construction/Establishment of Three Storey with Roof Deck PMS - OP Integrated Operations and Service Continuity Building with Carport, Powerhouse, Site Development including Solar Panels and Landscapi</t>
  </si>
  <si>
    <t>SUPPLY AND INSTALLATION OF VARIOUS AIRCONDITIONING UNIT FOR THE USE OF VARIOUS OFFICES</t>
  </si>
  <si>
    <t>ESTABLISHMENT OF NAVAL MUNICIPAL WATERWORKS SYSTEM PROJECTS (PHASE I)</t>
  </si>
  <si>
    <t>SUPPLY AND DLEIVERY OF BOOKSHELVES AND TABLES FOR MUNICIPAL LIBRARY</t>
  </si>
  <si>
    <t>Invitation to Bid for Repair and Improvement of various buildings at WPU-Main and WPU-PPC campuses</t>
  </si>
  <si>
    <t>Procurement of Commonly-Used Supplies, NIPSC, Estancia, Iloilo</t>
  </si>
  <si>
    <t>Spares for the Maintenance of Crew Escape System of FA-50PH Aircraft</t>
  </si>
  <si>
    <t>Construction of DRRM Operation Center (Phase 2)</t>
  </si>
  <si>
    <t>INVITATION TO BID FOR PROCUREMENT OF CATERING SERVICES FOR THE KALAHI CEAC ACTIVITIES-2ND POSTING PROJECT ID NO: DSWD4B-2020-013</t>
  </si>
  <si>
    <t>Runway Sweeper</t>
  </si>
  <si>
    <t>Spares for the Scheduled Maintenance of FA-50PH Aircraft</t>
  </si>
  <si>
    <t>Construction/Rehab. of Multi-Purpose Building at Brgy. Poblacion, Merida, Leyte</t>
  </si>
  <si>
    <t>INVITATION TO BID FOR THE PURCHASE OF VACUUM FRYER</t>
  </si>
  <si>
    <t>ENG'G PASBAC 014-20 Supply and Delivery of Materials for the Construction of Artillery Training School Classroom at Fort Ramon Magsaysay, Nueva Ecija</t>
  </si>
  <si>
    <t>Construction of Reservoir at Brgy. Mahayag, Merida, Leyte</t>
  </si>
  <si>
    <t>IMPROVEMENT OF QUADRANGLE (PHASE I) AT OMSC LABANGAN</t>
  </si>
  <si>
    <t>One (1) Lot – Hardware and Software Maintenance and Technical Support Services for the Network Data Leakage Protection (NDLP), as per BSP Terms of Reference and Service Level Agreement</t>
  </si>
  <si>
    <t>Gala Uniform with Accessories</t>
  </si>
  <si>
    <t>20GAF0004, PURCHASE AND DELIVERY OF EQUIPMENT FOR USE IN THE CONDUCT OF PRELIMINARY DETAILED ENGINEERING, DPWH-LUSDEO, NATIVIDAD, NAGUILIAN, LA UNION</t>
  </si>
  <si>
    <t>Procurement of two (2) units of motorcycle</t>
  </si>
  <si>
    <t>Spares and Services for the Maintenance of FA-50PH Aircraft</t>
  </si>
  <si>
    <t>20CSKC0003: SOIL TESTING / EXPLORATION FOR THE WIDENING OF PERMANENT BRIDGE (5 SITE LOCATIONS), KALILANGAN &amp; PANGANTUCAN, BUKIDNON</t>
  </si>
  <si>
    <t>20FJ0030 - Construction of One(1) Unit One(1) Storey One(1) Classroom School Building at San Isidro Elementary School, Cataingan, Masbate</t>
  </si>
  <si>
    <t>Supply and Delivery of Bond Papers for the Reproduction of Quarter 1 Learning Activity Sheets/Modules</t>
  </si>
  <si>
    <t>20CM0087 - Concreting of Sitio Aros, Brgy. San Guillermo FMR, Brgy. San Guillermo, San Marcelino, Zambales</t>
  </si>
  <si>
    <t>20CM0086 - Concreting of Sitio Kanaynayan, Brgy. San Pablo FMR, Brgy. San Pablo, Castillejos, Zambales</t>
  </si>
  <si>
    <t>For the printing and Soft Binding of Self Learning Modules for the Schools Division Of Laoag City learners (to cover funding requirements for the implementation of basic education learning continuity</t>
  </si>
  <si>
    <t>Consulting Services for the Standardization of the Performance Incentive Scheme (PIS) For Privately-Owned Electricity Distribution Utilities (DUs)</t>
  </si>
  <si>
    <t>20CM0085 - Rehabilitation and Re-Installation of Existing Traffic Survey Sites Including   In-Ground Sensors and Automated Traffic Classifiers for Four(4) Lanes</t>
  </si>
  <si>
    <t>20CSKC0004: SOIL TESTING / EXPLORATION FOR THE WIDENING OF PERMANENT BRIDGE (3 SITE LOCATIONS), MANOLO FORTICH, TALAKAG &amp; MALITBOG, BUKIDNON</t>
  </si>
  <si>
    <t>Rocket, 2.75 Inch, HE with Mod 4 and M229 Warhead</t>
  </si>
  <si>
    <t>Cartridge, 9mm, Ball</t>
  </si>
  <si>
    <t>Cartridge, 20mm, HEI Linked, and Two (2) Other Line Items</t>
  </si>
  <si>
    <t>LGU- COR. 2020-90</t>
  </si>
  <si>
    <t>20FJ0032 - Construction of One(1) Unit One(1) Storey One(1) Classroom School Building at  N.B. Cabrera ES, Dimasalang, Masbate</t>
  </si>
  <si>
    <t>Bomb, 500lbs, LDGP HE and one (1) Other Line Item</t>
  </si>
  <si>
    <t>SUPPLY AND DELIVERY OF COMPUTER NOTEBOOKS  FOR  DIVISION OF CITY SCHOOLS</t>
  </si>
  <si>
    <t>Construction of Barangay Streets (Openning)</t>
  </si>
  <si>
    <t>20BG0151-Construction of One (1) Storey Two (2) Classroom School Building with Toilet attached at each classroom (9.5m x 18.0m plus CR), Daramuangan Norte Elementary School, San Mateo, Isabela, School</t>
  </si>
  <si>
    <t>20FJ0033 - Construction of One(1) Unit One(1) Storey One(1) Classroom School Building at  Chimenea ES, Cataingan, Masbate</t>
  </si>
  <si>
    <t>Various Reloading Components</t>
  </si>
  <si>
    <t>Supplies to be used in modular learning  (office supplies)</t>
  </si>
  <si>
    <t>Purchase of Construction Materials use for the Maintenance of Street Light</t>
  </si>
  <si>
    <t>Construction/Installation of Guard Rail</t>
  </si>
  <si>
    <t>REPAIR/IMPROVEMENT OF PERIMETER FENCE AND REPAIR AND MAINTENANCE: COMPLETION OF FRONT PERIMETER FENCE AT OMSC LABANGAN (LOT 1&amp;2)</t>
  </si>
  <si>
    <t>Supply and Delivery of Bond Papers for the Reproduction of Quarter 2 Learning Activity Sheets/Modules</t>
  </si>
  <si>
    <t>Rental of Equipment for the Rehabilitation of NRJ – Taigyan – Cabohan – Sta. Monica Road Section (Selected Patching)</t>
  </si>
  <si>
    <t>20BG0153-Construction of One (1) Storey Four (4) Classroom School Building with Toilet attached at each classroom (9.5m x 36.0m plus CR), Ueg National High School, San Mariano, Isabela , School ID No.</t>
  </si>
  <si>
    <t>Supplies to be used in modular learning  (Printer)</t>
  </si>
  <si>
    <t>Development of Land / Embankment of New Integrated Terminal</t>
  </si>
  <si>
    <t>Purchase of Motor Boat Fiberglass (Modified “V” Hull)</t>
  </si>
  <si>
    <t>INVITATION TO BID FOR PURCHASE OF ONE (1) UNIT AMBULANCE</t>
  </si>
  <si>
    <t>Bomb, 500lbs, Inert and Six (6) Other Line Items</t>
  </si>
  <si>
    <t>Construction of Seawall in Brgy. Inasuyan, Kawayan, Biliran</t>
  </si>
  <si>
    <t>20BG0152-Construction of One (1) Storey Three (3) Academic Classroom School Building with Toilet attached at each classroom (9.5m x 27.0m plus CR), Daramuangan Norte Elementary School, San Mateo, Isab</t>
  </si>
  <si>
    <t>Installation of CCTV along Strategic Areas</t>
  </si>
  <si>
    <t>Purchase of mixed gravel and sand for the rehabilitation of brgy. road (regravelling) at Nangalinan, Baggao, Cagayan</t>
  </si>
  <si>
    <t>Proposed Road Concreting of Circumferential Road/Ninoy Aquino Extension at junction Kidapawan-Calunasan Mlang Road-Purslane Section, Brgy. Magsaysay, Kidapawan City</t>
  </si>
  <si>
    <t>Purchase of  mixed gravel and sand for the regravelling of brgy road at Canagatan, Baggao, Cagayan</t>
  </si>
  <si>
    <t>Procurement of RHU 2020 Medical Instrument Lot 4- Rebidding</t>
  </si>
  <si>
    <t>PURCHASE OF MATERIALS FOR THE REPAIR AND IMPROVEMENT  OF MULTI-PURPOSE BUILDING AT  REMUS, BAGGAO, CAGAYAN</t>
  </si>
  <si>
    <t>PURCHASE OF MATERIALS FOR THE CONSTRUCTION/INSTALLATION OF STREETLIGHT (SOLAR) AT  REMUS, BAGGAO, CAGAYAN</t>
  </si>
  <si>
    <t>Rocket, 2.75 inch, Inert Mod 1</t>
  </si>
  <si>
    <t>Completion of MultiPurpose and Productivity Center at Brgy. Sua, San Juan, Southern Leyte</t>
  </si>
  <si>
    <t>Procurement of Medical Equipment for Taglatawan Hygienic Clinic- Hygienic- Rebidding</t>
  </si>
  <si>
    <t>Procurement of RHU 2020 Medical Instrument Lot 2- Rebidding</t>
  </si>
  <si>
    <t>Repainting of Exterior Walls at Provincial District Hospital, Carcar City, Cebu</t>
  </si>
  <si>
    <t>Concreting/ Improvement of Poblacion-Cogon-Lawaan Road Section, Dumanjug, Cebu</t>
  </si>
  <si>
    <t>Procurement of RHU 2020 Oxygen Tank with Gauge in Trolley or Rack (20L)- Rebidding</t>
  </si>
  <si>
    <t>Improvement of Patiacan FMR, Inuman, Patiacan, Quirino, Ilocos Sur</t>
  </si>
  <si>
    <t>Construction of Cabaroan Box Culvert, Patungcaleo, Quirino, Ilocos Sur</t>
  </si>
  <si>
    <t>CONSTRUCTION OF BOB-OCOC FOOTBRIDGE, POBLACION, QUIRINO, ILOCOS SUR</t>
  </si>
  <si>
    <t>CONCRETING/IMPROVEMENT OF ALLIBANG STREET, POBLACION, QUIRINO, ILOCOS SUR</t>
  </si>
  <si>
    <t>REQUEST FOR EXPRESSION OF INTEREST FOR THE CONSULTANCY SERVICES FOR INSTALLATION OF A FINANCIAL AND INVENTORY MANAGEMENT SYSTEM FOR MAHAYAG FARMERS MULTI-PURPOSE COOPERATIVE(MAFAMCO) OF THE SALUG VALL</t>
  </si>
  <si>
    <t>DRL-20-0326-B PURCHASE OF DUPLICATING MACHINE</t>
  </si>
  <si>
    <t>DRL-20-0721-B PURCHASE OF EMERGENCY CART TROLLY</t>
  </si>
  <si>
    <t>Procurement of RHU 2020 Refrigerator- Rebidding</t>
  </si>
  <si>
    <t>DRL-20-0722-B PURCHASE OF NEBULIZER MACHINE</t>
  </si>
  <si>
    <t>Project Reference No.: 20R0001- Equipment Rental for the Rehabilitation of Municipal Complex Road (Phase I) @ Marantao, Lanao del Sur</t>
  </si>
  <si>
    <t>Continuation of the Construction of Inawey Flood Control, Lamag, Quirino, Ilocos Sur</t>
  </si>
  <si>
    <t>DRL-20-0327-B PURCHASE OF DIGITAL COPIER PRINTER SCANNER</t>
  </si>
  <si>
    <t>DRL-20-0723-B PURCHASE OF PORTABLE DROPLIGHT</t>
  </si>
  <si>
    <t>Procurement of RHU 2020 Medical Instrument Lot 3- Rebidding</t>
  </si>
  <si>
    <t>Purchase of mixed gravel and sand for the const./rehab of road (regravelling) at Mocag,  Baggao, Cagayan</t>
  </si>
  <si>
    <t>DRL-20-0744-B PURCHASE OF INFANT WEIGHING SCALE</t>
  </si>
  <si>
    <t>Procurement of office equipment of various offices</t>
  </si>
  <si>
    <t>Supply of Labor, Materials and Equipment for the Construction/Rehabilitation of Pipe Culvert/Box Culvert, Brgy. Pinagtung-Ulan, San Jose, Batangas</t>
  </si>
  <si>
    <t>Supply of Labor, Materials and Equipment for the Installation of Streetlights, Brgy. Don Luis, San Jose, Batangas</t>
  </si>
  <si>
    <t>Supply of Labor, Materials and Equipment for the Improvement of Sidewalk, Poblacion Barangay I, San Jose, Batangas</t>
  </si>
  <si>
    <t>Supply of Labor, Materials and Equipment for the Installation of Streetlights, Brgy. Lapolapo I (Sitio Aguila Compound), San Jose, Batangas</t>
  </si>
  <si>
    <t>Supply of Labor, Materials and Equipment for the Installation of Streetlights, Brgy. Palanca, San Jose, Batangas</t>
  </si>
  <si>
    <t>DRL-20-0743-B PURCHASE OF CAUTERY MACHINE</t>
  </si>
  <si>
    <t>Supply of Labor, Materials and Equipment for the Installation of Streetlights, Brgy. Mojon-Tampoy, San Jose, Batangas</t>
  </si>
  <si>
    <t>Transport Vehicle (CABANCALAN-01-2020)</t>
  </si>
  <si>
    <t>Supply and Delivery of Motor Vehicle, Waterworks Section, San Jose, Batangas (Re-Bid)</t>
  </si>
  <si>
    <t>DRL-20-0745-B PURCHASE OF SUCTION MACHINE</t>
  </si>
  <si>
    <t>Supply of Labor, Materials and Equipment for the Installation of Streetlights, Brgy. Lapolapo I, San Jose, Batangas</t>
  </si>
  <si>
    <t>2020-091, CONCRETING OF PAVEMENT AND DRAINAGE CANAL AT POBLACION 5, MIDSAYAP,  COTABATO</t>
  </si>
  <si>
    <t>Supply and Delivery of Two (2) Units Ambulance Re-bid</t>
  </si>
  <si>
    <t>Concrete Paving at Purok 1, Brgy. Cambarus</t>
  </si>
  <si>
    <t>20LA0347 Construction of One (1) Unit, Two (2) Storey Four (4) Classroom Building at Nagas ES, Pantukan, Compostela Valley</t>
  </si>
  <si>
    <t>Completion of Multi-Purpose Hall Building at Barangay Salomague Norte, Bugallon, Pangasinan</t>
  </si>
  <si>
    <t>20LA0345 Construction of One (1) Unit, One (1) Storey Four (4) Classroom School Building at Doroteo De Castro ES, Pantukan, Compostela Valley</t>
  </si>
  <si>
    <t>UPGRADING OF LOCAL ACCESS ROAD ALONG INFRES ROAD SECTION</t>
  </si>
  <si>
    <t>Construction of 332 L.M. Concrete Drainage Cover @ Brgy. III Bonifacio</t>
  </si>
  <si>
    <t>2019-12-1246 "Procurement of Works for the Proposed Renovation of Provincial Capitol Lobby"</t>
  </si>
  <si>
    <t>20GGA0008-Purchase of Asphalt MC 60/70 for use in the Maintenance of National Roads and Bridges Along Aklan East &amp; West Road Section</t>
  </si>
  <si>
    <t>Supply and Delivery of Commercial Feeds</t>
  </si>
  <si>
    <t>Supply and Delivery of Ambulance with Complete Accessories and LTO Registration</t>
  </si>
  <si>
    <t>CID NO. 20IF0078 (READV)-CONSTRUCTION OF BRGY. CATIGAHAN-BRGY. HINAGBUAN ROAD, PALOMPON, LEYTE</t>
  </si>
  <si>
    <t>Supply and Delivery of Two (2) Units Reefer Van in Support to KADIWA on Wheels Activities</t>
  </si>
  <si>
    <t>2020-07-931 "Procurement of 1 unit 6x4 Water Truck for PGO"</t>
  </si>
  <si>
    <t>20LA0352 Construction of One (1) Unit, Two (2) Storey Four (4) Classroom Building at Bon-Temple ES, Pantukan, Compostela Valley</t>
  </si>
  <si>
    <t>Public Bidding of 3 Lots for the Supply &amp; Delivery of Construction Materials for the Various Projects of Provincial Engineer’s Office, under ITB No. 2020-019R</t>
  </si>
  <si>
    <t>Construction of New Level III Waterworks System (Phase II) Carmen, Cebu</t>
  </si>
  <si>
    <t>Concreting/ Improvement of Barangay Salag Road Section, Tabogon, Cebu</t>
  </si>
  <si>
    <t>Repainting of Exterior Walls at Provincial District Hospital, Bogo City, Cebu</t>
  </si>
  <si>
    <t>Repainting of Exterior Walls at Provincial District Hospital (2-storey building) Balamban, Cebu</t>
  </si>
  <si>
    <t>Concreting/ Improvement of Poblacion-Sombil Diversion Road Section, Tabuelan, Cebu</t>
  </si>
  <si>
    <t>Concreting/Improvement of Upper Natimao-an-Caurasan Road Section, Carmen, Cebu</t>
  </si>
  <si>
    <t>Concreting/ Improvement of Barangay Triumpo Road Section, Carmen, Cebu</t>
  </si>
  <si>
    <t>Procurement of Digital Hanging Scale and Height and Length Board for distribution in the Municipal/Barangay Evacuation Center to assess Preschooler</t>
  </si>
  <si>
    <t>2020-083, CONCRETTING OF FARM TO MARKET ROAD FROM PUROK 2 TO PUROK 7,  BALIKI, MIDSAYAP, COTABATO</t>
  </si>
  <si>
    <t>Purchase of materials for the construction/installation of streetlights  at Nangalinan, Baggao, Cagayan</t>
  </si>
  <si>
    <t>ESTABLISHMENT OF THREE (3) UNITS OF SMALL WATER IMPOUNDING SYSTEM (SWIS) AT BRGY. ROSACARA, BANSUD, ORIENTAL MINDORO</t>
  </si>
  <si>
    <t>Supply and Delivery of Spare Parts</t>
  </si>
  <si>
    <t>Improvement of Lobolbo Creek to Banoen Plaza, Banoen, Quirino, Ilocos Sur</t>
  </si>
  <si>
    <t>Public Bidding of 2 Lots for the Supply &amp; Delivery of I.T. Equipment for Tapaz District Hospital, under ITB No. 2020-020R.</t>
  </si>
  <si>
    <t>Purchase of Seven (7) Units Barangay Police Patrol</t>
  </si>
  <si>
    <t>IB 2020-08-012 PME2 Procurement of Medical Equipment (Part 2) 2020-12</t>
  </si>
  <si>
    <t>CONTRACT FOR THE SUPPLY AND DELIVERY OF VARIOUS PIPES AND  FITTINGS, GATE VALVES AND CONSTRUCTION MATERIALS</t>
  </si>
  <si>
    <t>Procurement of Office Supplies for the use of the different offices of the PGIN for the 3rd Quarter 2020</t>
  </si>
  <si>
    <t>SUPPLY, DELIVERY, INSTALLATION AND CONFIGURATION OF TSU WIFI MODERNIZATION FOR LUCINDA CAMPUS (PHASE I)</t>
  </si>
  <si>
    <t>Supply and Delivery of Various Machineries</t>
  </si>
  <si>
    <t>REHABILITATION AND IMPROVEMENT OF WATER SUPPLY DISTRIBUTION SYSTEM AT BRGY PALDIT, SISON PANGASINAN</t>
  </si>
  <si>
    <t>Supply, delivery and installation of multi-function full color inkjet printer for the printing and reproduction of self-learning modules of the Kidapawan City Division</t>
  </si>
  <si>
    <t>20OA0077: Construction/Rehabilitation of Water Supply/Septage and Sewerage/Rain Water Collectors – Rain Water Collectors in Public Facilities, Navotas City.</t>
  </si>
  <si>
    <t>2020-07-999 "Procurement of Civil Works for the Rehabilitation of Bahay Pag-asa Development Center"</t>
  </si>
  <si>
    <t>PROCUREMENT OF VARIOUS I.T. EQUIPMENT</t>
  </si>
  <si>
    <t>Concrete Paving  at Sitio Pinabalunan, Brgy. Antipolo</t>
  </si>
  <si>
    <t>UPGRADING/ IMPROVEMENT OF LEGISLATIVE BUILDING, CAPITOL COMPOUND</t>
  </si>
  <si>
    <t>PURCHASE OF MULTI CAB</t>
  </si>
  <si>
    <t>Office Supplies for use of Listahanan 3 Validation Activities</t>
  </si>
  <si>
    <t>PROCUREMENT FOR THE 4,440 LITERS OF DIESOLINE FOR THE ALIGNMENT OF RIVER AT NURSERY BRGY. POBLACION BSK</t>
  </si>
  <si>
    <t>PROCUREMENT OF 1 UNIT AMBULANCE</t>
  </si>
  <si>
    <t>Housing &amp; Resettlement Project Access Road to LGU Lot No. 2793, Mabua, Tandag City</t>
  </si>
  <si>
    <t>IMPROVEMENT OF LIBERTAD WATERWORKS SYSTEM          (Purok 8, Poblacion Libertad, Mis.Or)</t>
  </si>
  <si>
    <t>Installation of Upgraded Local Government System and Purchase of Read and Bill</t>
  </si>
  <si>
    <t>2020-095, SUPPLY AND DELIVERY OF VETERINARY MEDICINES TO PREVENT THE SPREAD OF AFRICAN  SWINE FEVER (ASF) AT LGU MIDSAYAP, COTABATO</t>
  </si>
  <si>
    <t>2020-07-1004 "Procurement of Works for the Construction of Multi-Purpose Building at Provincial Engineer's (PEO)"</t>
  </si>
  <si>
    <t>IMPROVEMENT OF NIA ACCESS ROAD TO CARAA GROUND</t>
  </si>
  <si>
    <t>Supply and Delivery of Animals and Feeds</t>
  </si>
  <si>
    <t>PROCUREMENT OF VARIOUS CONSTRUCTION MATERIALS FOR THE CONSTRUCTION OF BOX CULVERT AT UPPER ALAS-AS BRGY.MASIAG BSK</t>
  </si>
  <si>
    <t>IMPROVEMENT OF LIBERTAD WATERWORKS SYSEM</t>
  </si>
  <si>
    <t>2020-05-693 "Procurement of Goods for Repainting of Capitol Old and New Building (Exterior Surface)"</t>
  </si>
  <si>
    <t>PURCHASE OF OFFICE EQUIPMENTS, OFFICE SUPPLIES, DEVICES, AND CONSUMABLES FOR VARIOUS OFFICES</t>
  </si>
  <si>
    <t>Construction/Rehab of MPP (Covered Court)</t>
  </si>
  <si>
    <t>Supply and Delivery of Office Equipment for Municipal Engineering Office</t>
  </si>
  <si>
    <t>20R002-03 Rental of Heavy Equipment for the use various of Repair/Improvement in Marantao, Lanao del Sur</t>
  </si>
  <si>
    <t>Construction of Water Pump and Gen. Set House</t>
  </si>
  <si>
    <t>SUPPLY AND DELIVERY  FOR THE PROCUREMENT  OF TWO COMPLETE SETS  4TB CCTV DIGITAL VIDEO  RECORDER (DVR)</t>
  </si>
  <si>
    <t>CONSTRUCTION OF LOCAL ACCESS ROAD (BRGY. BAGACAY WEST-PANSUD ROAD)</t>
  </si>
  <si>
    <t>Ozamiz City, Misamis Occidental HFEP 2019 Proposed New Construction of Liposong BHS</t>
  </si>
  <si>
    <t>Construction of Sanitary Landfill, Brgy. Upper Katungal, Tacurong City</t>
  </si>
  <si>
    <t>Ozamiz City, Misamis Occidental HFEP 2019 Proposed New Construction of Bañadero MCP</t>
  </si>
  <si>
    <t>PURCHASE OF MATERIALS FOR THE IMPROVEMENT OF COVERED COURT METAL CLADDING PHASE 1 &amp; 2</t>
  </si>
  <si>
    <t>Ozamiz City, Misamis Occidental HFEP 2019 Proposed New Construction of Labo MCP</t>
  </si>
  <si>
    <t>PROCUREMENT OF VARIOUS CONSTRUCTION MATERIALS FOR THE LEVEL III POTABLE WATER SYSTEM AT BRGY. DALUGA BSK</t>
  </si>
  <si>
    <t>20M0012-13 Procurement of Construction Materials Materials for the use various of Repair/Improvement in Marantao, Lanao del Sur</t>
  </si>
  <si>
    <t>CONSTRUCTION OF MULTI PURPOSE BUILDING</t>
  </si>
  <si>
    <t>PR 20-07-0091 Supply and Delivery of Common Laboratory Equipment’s, Quality and Assurance Section, DPWH-Bohol III, DEO</t>
  </si>
  <si>
    <t>Procurement of One (1) Unit X-Ray Tube Assembly and One (1) Unit High Voltage Tank for CT Scan Compatible with GE Brightspeed Select Edge CT Scan, 8 Slice</t>
  </si>
  <si>
    <t>IMPROVEMENT OF BUSINESS CENTER BUILDING I &amp; II</t>
  </si>
  <si>
    <t>MUNICIPAL COUNTERPART FOR THE CONSTRUCTION OF ISOLATION UNITS FOR 16 BARANGAYS (Procurement of Hardware Materials)</t>
  </si>
  <si>
    <t>UPLB-S-050-08-20, SUPPLY AND DELIVERY OF  BOOKS FOR UNIVERSITY LIBRARY</t>
  </si>
  <si>
    <t>Invitation to Bid for the Construction of Public Market</t>
  </si>
  <si>
    <t>Supply and Delivery of Office Equipment for Municipal Social Welfare and Development Office</t>
  </si>
  <si>
    <t>MUSICAL INSTRUMENTS</t>
  </si>
  <si>
    <t>Construction of Multi-Purpose Bldg. (Covered Court) in Brgy. Campokpok, Tabango, Leyte, ABC PHP4,989,598.41</t>
  </si>
  <si>
    <t>Procurement of Various Medical Supplies for COVID-19 Prevention</t>
  </si>
  <si>
    <t>REHABILITATION OF BARANGAY ROADS AT SUMILAO AREA 2020</t>
  </si>
  <si>
    <t>Supply and Delivery of Office IT Equipment to be used for different schools of the Municipality of Tabuelan, Cebu</t>
  </si>
  <si>
    <t>CONCRETING OF PORTION ANGGA ROAD (FARM TO MARKET ROAD)</t>
  </si>
  <si>
    <t>20OA0078: Repair/Maintenance of DPWH Building, Malabon-Navotas District Engineering Office, Navotas City.</t>
  </si>
  <si>
    <t>Construction/ Rehabilitation of Barangay Road @ Sitio Daungan, Brgy. San Rafael, Burdeos, Quezon</t>
  </si>
  <si>
    <t>Repair and Maintenance of Different Vehicles of Mayor's Office, PNP and BFP</t>
  </si>
  <si>
    <t>Contract ID: 20KH0048 Construction of Classrooms: 2STY4CL Iponan National High School,Cagayan de Oro City, Misamis Oriental</t>
  </si>
  <si>
    <t>Ozamiz City, Misamis Occidental HFEP 2019 Proposed New Construction of San Roque BHS</t>
  </si>
  <si>
    <t>Improvement of Multi-Purpose Pavement</t>
  </si>
  <si>
    <t>PROCUREMENT OF FAMILY PLANNING KITS</t>
  </si>
  <si>
    <t>Progressive Construction of Multi-Purpose Building, City Hall Compound, Brgy. Poblacion, Tacurong City</t>
  </si>
  <si>
    <t>Procurement of Various Construction Supplies and Materials-07-436(O)PEO</t>
  </si>
  <si>
    <t>Purchase of Medical and Laboratory Supplies for the Northern Samar Provincial Hospital Barangay Acacia Catarman, Northern Samar</t>
  </si>
  <si>
    <t>Construction /  Installation of  Forty Two (42)  Units Street  Lightings</t>
  </si>
  <si>
    <t>Concreting of Road in Brgy. Sta. Fe, Abuyog, Leyte, ABC PHP3,264,650.15</t>
  </si>
  <si>
    <t>PROCUREMENT OF HOUSEKEEPING SUPPLIES ITB No. 2020-29</t>
  </si>
  <si>
    <t>Improvement of Mayor's Office Extension</t>
  </si>
  <si>
    <t>MATERIALS FOR RIPRAPPING/ RETAINING  WALL</t>
  </si>
  <si>
    <t>Procurement of Digital Mobile X-Ray Machine</t>
  </si>
  <si>
    <t>Construction of Multi-Purpose Bldg. (Phase 2) in Brgy. Calingcaguing, Barugo, Leyte, ABC PHP3,315,231.96</t>
  </si>
  <si>
    <t>Rehabilitation of Comfort Room at 2nd Floor RHU BLDG.</t>
  </si>
  <si>
    <t>Procurement of Materials for Building Maintenance</t>
  </si>
  <si>
    <t>(PENARO) INVITATION TO BID FOR THE SUPPLY, DELIVERY &amp; FABRICATION OF 30 UNITS STORAGE BINS FOR THE  PROVINCIAL ENVIRONMENT &amp; NATURAL RESOURCES OFFICE--450,000.00</t>
  </si>
  <si>
    <t>Concreting of Road in Brgy. Buenavista, Palompon, Leyte, ABC PHP3,637,869.68</t>
  </si>
  <si>
    <t>Construction of Water System in Brgy. Nebga, Abuyog, Leyte, ABC PHP4,278,091.47</t>
  </si>
  <si>
    <t>(PDRRMO) INVITATION TO BID FOR THE SUPPLY AND DELIVERY OF IRON SYRUPS/DROPS/TABLETS</t>
  </si>
  <si>
    <t>Construction of Barangay Road @ proper toward Cabugao, Brgy. San Rafael, Burdeos, Quezon</t>
  </si>
  <si>
    <t>Procurement of Various Drugs and Medicines for QIP</t>
  </si>
  <si>
    <t>20OA0079: Construction of Box Culvert along Gov. W. Pascual Ave. (from MH del Pilar St. to Maria Clara St.), Malabon City.</t>
  </si>
  <si>
    <t>20OA0080: Construction (Completion) of Multi-purpose Building, Brgy. Panghulo, Malabon City.</t>
  </si>
  <si>
    <t>PROCUREMENT OF VARIOUS OFFICE SUPPLIES, CLEANING EQUIPMENT SUPPLIES AND COMPUTER SUPPLIES (3RD &amp; 4TH QUARTER CONSOLIDATED 2020) (BY LOT), LGU, MALAYBALAY CITY.</t>
  </si>
  <si>
    <t>(PENARO) INVITATION TO BID FOR THE SUPPLY, DELIVERY &amp; PRINTING OF DELIVERY RECEIPTS, TRANSPORT SLIPS AND SIGN BOARDS FOR THE  PROVINCIAL ENVIRONMENT &amp; NATURAL RESOURCES OFFICE--366,000.00</t>
  </si>
  <si>
    <t>DDN GDSI 2020-35</t>
  </si>
  <si>
    <t>(PIHO) INVITATION TO BID FOR THE SUPPLY AND DELIVERY OF ONE (1) SET REFRIGERATED CENTRIFUGE</t>
  </si>
  <si>
    <t>20FH0096 - REPAIR/MAINTENANCE OF DPWH BUILDING, MAIN OFFICE BUILDING, CATANDUANES DEO, VIRAC, CATANDUANES</t>
  </si>
  <si>
    <t>20FH0100 - CONSTRUCTION OF TWO (2) STOREY SIX (6) CLASSROOM (7X9) SENIOR HIGH SCHOOL BUILDING, TINAGO NATIONAL HIGH SCHOOL, VIGA, CATANDUANES</t>
  </si>
  <si>
    <t>(GO-Pjail) INVITATION TO BID FOR THE SUPPLY &amp; DELIVERY OF1 UNIT LAPTOP   FOR THE  GOVERNOR’S OFFICE – PROVINCIAL JAIL--55,000.00</t>
  </si>
  <si>
    <t>2020-07-1116 "Procurement of Pipes for Transmission and Distribution, Solar Pumps for Water System"</t>
  </si>
  <si>
    <t>PURCHASE OF ONE UNIT RESCUE/ MULTI-PURPOSE VEHICLE OF BRGY. LINAON, CAUAYAN. NEGROS OCCIDENTAL</t>
  </si>
  <si>
    <t>INSTALLATION OF WATER PIPELINES</t>
  </si>
  <si>
    <t>Procurement of One (1) Unit AUV 2.8 L Diesel, Manual (Procurement of Goods)</t>
  </si>
  <si>
    <t>Supply and Delivery of 24,592 bags Hybrid Palay Seeds for use of Rice Program 2020</t>
  </si>
  <si>
    <t>1 set Transit Total Station (GNSSRTK)</t>
  </si>
  <si>
    <t>Invitation to Bid for the Excavation, Backfilling, Compaction, Pavement Demolition and Restoration of the Proposed Rehabilitation of Old Distribution Main Line of City Proper &amp; Villafor #1 Pumping Sta</t>
  </si>
  <si>
    <t>(PIHO-BDH) INVITATION TO BID FOR THE SUPPLY AND DELIVERY OF VARIOUS HOSPITAL EQUIPMENT</t>
  </si>
  <si>
    <t>UPGRADING OF PERIMETER FENCE OF CIRIACO P. TINGA ELEMENTARY SCHOOL</t>
  </si>
  <si>
    <t>IB No. 2020 - 06 - Package II. Re-bid of Medical and Surgical Supplies</t>
  </si>
  <si>
    <t>IB No. 2020 – 06 - Package I.  Re-bid of Various Medical Supplies</t>
  </si>
  <si>
    <t>Invitation to Re-Bid:   Procurement of Works for the Installation of 869 units of Integrated Solar Powered Street Lights, Brgy. Abangay, Lahug, Nayawan and Daan Sur, Tapaz, Capiz</t>
  </si>
  <si>
    <t>Multi-Purpose Pavement-Gaboc</t>
  </si>
  <si>
    <t>Construction of Multi-Purpose Bldg. (Phase 2) in Brgy. Cantariwis, Tolosa, Leyte, ABC PHP2,708,6401.31</t>
  </si>
  <si>
    <t>IMPROVEMENT OF MATERIAL RECOVERY FACILITY (MRF)</t>
  </si>
  <si>
    <t>Procurement of Various Construction Supplies and Materials -08-470(O)PEO</t>
  </si>
  <si>
    <t>20GGJ0060 Supply and Delivery of Office Equipment (3rd Quarter, CY 2020) for the use of Planning and Design Section, DPWH - ICDEO</t>
  </si>
  <si>
    <t>PURCHASE OF ONE UNIT RESCUE/ MULTI-PURPOSE VEHICLE OF BRGY. ISIO, CAUAYAN. NEGROS OCCIDENTAL</t>
  </si>
  <si>
    <t>Installation of Solar Street Lights in Brgy. District IV, Pastrana, Leyte, ABC PHP2,604,216.30</t>
  </si>
  <si>
    <t>Installation of Solar Street Lights in Brgys. Cabuloran &amp; Hinabuyan and at Maragondong Elem. School, all in Dagami, Leyte, ABC PHP2,646,574.12</t>
  </si>
  <si>
    <t>INVITATION TO BID   REPAIR OF GID CATUBIG WAREHOUSE AT CATUBIG, NORTHERN SAMAR</t>
  </si>
  <si>
    <t>One (1) Job Contract for the Proposed 60 L.M. Hanging Foot Bridge, Brgy. Sarapan, Passi City, Iloilo/CEO</t>
  </si>
  <si>
    <t>Purchase of Construction Materials and Supplies for Rehabilitation of Water Supply System at Don Serafin Gamboa Elementary School, Hda. Sta. Isabel, Brgy. Bagtic, Silay City.</t>
  </si>
  <si>
    <t>Purchase of Construction Materials and Supplies for Renovation of Old Female Medical Ward at City Health Office, Silay City.</t>
  </si>
  <si>
    <t>FABRICATION OF MRF</t>
  </si>
  <si>
    <t>Supply and Delivery of Office Equipment for PDAO</t>
  </si>
  <si>
    <t>Construction of Concrete Pathway in Brgy. Buenavista, Abuyog, Leyte, ABC PHP2,639,337.41</t>
  </si>
  <si>
    <t>1 unit Stake Truck 6 wheelers</t>
  </si>
  <si>
    <t>Construction of Multi-Purpose Bldg. (Phase 2) in Brgy. Pilit, Sta. Fe, Leyte, ABC PHP3,134,682.45</t>
  </si>
  <si>
    <t>CONSULTING SERVICES FOR THE PREPARATION OF SAN ISIDRO MALL (AGRO MALL), PUBLIC MARKET AND TRANSPORT TERMINAL FEASIBILITY STUDY, PLAN AND DETAILED ENGINEERING DESIGN</t>
  </si>
  <si>
    <t>Voice &amp; Data subscription for Inmarsat Disaster Emergency Communication Equipment</t>
  </si>
  <si>
    <t>INVITATION TO BID FOR THE  SUPPLY AND DELIVERY OF QUEUING SYSTEM  PR Nos. 27831-001</t>
  </si>
  <si>
    <t>20GGJ0059 Supply and Delivery of Materials for the Instructional/Coordination Meeting, Validation, Survey and other MYPS Enhancement for the use of Planning and Design Section, DPWH - ICDEO</t>
  </si>
  <si>
    <t>Procurement of One (1) Unit AUV 2.8 L Diesel, Automatic (Procurement of Goods)</t>
  </si>
  <si>
    <t>Construction of Multi-Purpose Bldg. (Phase 2) in Brgy. Casilda, Merida, Leyte, ABC PHP2,544,437.45</t>
  </si>
  <si>
    <t>CONSULTING SERVICES FOR THE PREPARATION OF FEASIBILITY STUDY (FS), SURVEY AND DETAILED ENGINEERING DESIGN (D.E.D.) OF THE PHILIPPINE RURAL DEVELOPMENT PROJECT (PRDP): 1) CONCRETING OF RIZAL WEST-RAMOS</t>
  </si>
  <si>
    <t>UPLB-S-030-08-20 REBID, PROCUREMENT OF SIPHONING SERVICES OF SEPTIC TANKS FOR UPLB DORMITORIES (NEW DORMITORY, VETMED DORMITORY, FORESTRY RESIDENCE HALL, NEW FORESTRY RESIDENCE HALL) REBID</t>
  </si>
  <si>
    <t>Construction of Multi-Purpose Bldg. (Phase 2) in Brgy. San Jose, Dulag, Leyte, ABC PHP2,988,619.00</t>
  </si>
  <si>
    <t>MG-A7M20-010..TOTAL REPLACEMENT OF STOP LOGS IN THE TAILRACE OF UNITS 1 &amp; 2</t>
  </si>
  <si>
    <t>Procurement of Supply &amp; Delivery of Inorganic Fertilizers (rebid)</t>
  </si>
  <si>
    <t>Construction of Multi-Purpose Bldg. (Phase 2) in Brgy.  Calunangan, Merida, Leyte, ABC PHP2,584,238.36</t>
  </si>
  <si>
    <t>20CSKG04 - Conduct of Parcellary Survey of Affected Lots within the Road Right-of-Way in Order to Ensure Expeditious Implementations of All Infrastructure Projects, Linamon-Zamboanga Road, K1594+(-190</t>
  </si>
  <si>
    <t>Purchase of Construction Materials and Supplies for Rehab/ Improvement of Mambag-id Elem. School Covered Court, Brgy. Balaring, Silay City.</t>
  </si>
  <si>
    <t>PAKYAW LABOR FOR THE COMPLETION OF MANGAYANG MULTI-PURPOSE HALL</t>
  </si>
  <si>
    <t>Supply &amp; Delivery of Various Medical Supplies (NP-TFB)</t>
  </si>
  <si>
    <t>Construction of Multi-Purpose Bldg. (Phase 2) in Brgy. Paghudlan, Burauen, Leyte ABC PHP2,588,734.33</t>
  </si>
  <si>
    <t>INVITATION TO BID FOR THE  SUPPLY AND DELIVERY OF VARIOUS GI FITTINGS (PR Nos. 27796-033 to 27796-052, 27803-001 to 27803-019)</t>
  </si>
  <si>
    <t xml:space="preserve">rebidding of the requirement “Purchase of One (1) unit Brand New DRRM/Emergency Response Vehicle (4x4 Close Van Box-Type) with Accessories to be used for hazard mapping, geotagging, vulnerability and </t>
  </si>
  <si>
    <t>MG-A7M20-006..FABRICATION OF TRASH RACKS AT AGUS 6 HEP UNIT 3</t>
  </si>
  <si>
    <t>Expansion of Level III Water System</t>
  </si>
  <si>
    <t>IB 2020-06-Package III.  Ancillary Service Supplies</t>
  </si>
  <si>
    <t>PROCUREMENT OF ONE (1) UNIT MOTOR VEHICLE (PASSENGER VAN)</t>
  </si>
  <si>
    <t>MG-A5C20-021..BUCHHOLZ RELAY, AGUS 5 HE PLANT</t>
  </si>
  <si>
    <t>2020-097, INSTALLATION OF WATER SYSTEM AT PUROK DECOLORES, KIMAGANGO,  MIDSAYAP, COTABATO</t>
  </si>
  <si>
    <t>REBIDDING OF THE SUPPLY, DELIVERY, INSTALLATION AND COMMISSIONING OF ONE (1) UNIT ENT-HNS DIGITAL VIDEO STROBOSCOPE</t>
  </si>
  <si>
    <t>Supply and Delivery of Ultrasound Scanning Device</t>
  </si>
  <si>
    <t>PROCUREMENT OF VEHICLE</t>
  </si>
  <si>
    <t>FURNISHING AND DELIVERY OF CONSTRUCTION MATERIALS FOR THE COMPLETION OF MANGAYANG MULTI-PURPOSE HALL</t>
  </si>
  <si>
    <t>Concreting/ Improvement of Dakit-Cagay Road Section, Barili, Cebu</t>
  </si>
  <si>
    <t>Purchase of One (1) unit Brand New 6 Wheeler Mini Bus (Coaster, 29 seater capacity) for Provincial Governor’s Office use, Province of  Negros Oriental</t>
  </si>
  <si>
    <t>IB 2020-08-25(10) Goods Cat I Drugs and Medicines</t>
  </si>
  <si>
    <t>Supply &amp; Delivery of 5 Units Four Wheeled Farm Tractor for the Municipal Agriculturist Office</t>
  </si>
  <si>
    <t>Construction of Multi-Purpose Bldg. (Phase 1) in Brgy. Bayabas, Dagami, Leyte, ABC PHP2,500,185.19</t>
  </si>
  <si>
    <t>CONSTRUCTION OF SLOPE PROTECTION AT ABANATAN CREEK, BRGY. BALZAIN</t>
  </si>
  <si>
    <t>Concreting/ Improvement of Mantalongon Circumferenctial Road Section, Barili, Cebu</t>
  </si>
  <si>
    <t>Supply and delivery of various livelihood materials for swine production, rice trading, sari-sari store, dried fish and pusit trading and carpentry under DOLE-SFO (Second Posting)</t>
  </si>
  <si>
    <t>INVITATION TO BID - 1.) Supply and Delivery of 16 Units Firewall</t>
  </si>
  <si>
    <t>PROCUREMENT OF MEDICAL GRADE OXYGEN</t>
  </si>
  <si>
    <t>Improvement of Multi-Purpose Bldg. (Phase 1) of Matalom National High School in Matalom, Leyte, ABC PHP2,516,977.72</t>
  </si>
  <si>
    <t>INVITATION TO BID - 2.) Supply and Delivery of 125 Units Access Points</t>
  </si>
  <si>
    <t>INVITATION TO BID - 3.) Supply, Delivery, Installation of Endpoint Security Solution (Anti-Virus License) for 235 users/units</t>
  </si>
  <si>
    <t>Provision of 20 Units Shallow Tube Well for the Municipal Agriculturist Office</t>
  </si>
  <si>
    <t>Construction of Access Road to Bulan Multi-Purpose Gymnasium</t>
  </si>
  <si>
    <t>Procurement of Supply &amp; Delivery of 38 sets Layer Poultry Package</t>
  </si>
  <si>
    <t>Concreting/ Improvement of Mantayupan-Luhod Road Section, Barili, Cebu</t>
  </si>
  <si>
    <t>IB No. 2020 - 07 - REPAIR AND CONVERSION OF PEDIATRIC WARD INTO MOLECULAR BIOLOGY LABORATORY</t>
  </si>
  <si>
    <t>REHABILATATION OF BRGY. PUBLIC MARKET (REPAIR OF ROOFING)</t>
  </si>
  <si>
    <t>Purchase of  Tents</t>
  </si>
  <si>
    <t>IB 2020-08-25(10) Goods Cat II Medical Equipment</t>
  </si>
  <si>
    <t>Purchase of 3 in 1 Multifunction Printer - M.O</t>
  </si>
  <si>
    <t>Procurement of Various Medical Supplies for the Use of Heart Institute</t>
  </si>
  <si>
    <t>INVITATION TO BID - 4.) Procurement of Renewal of Firewall License</t>
  </si>
  <si>
    <t>20-05-162 - Provision for Janitorial and General Support Services for Bicol Area (Re-bidding)</t>
  </si>
  <si>
    <t>Aid to Barangays (Purchase of Motorcycles)</t>
  </si>
  <si>
    <t>Construction of Multi-Purpose Bldg. (Phase 1) in Brgy. Sherwood, Albuera, Leyte, ABC PHP2,495,607.20</t>
  </si>
  <si>
    <t>PROCUREMENT OF IT EQUIPMENT AND PHOTOCOPIER</t>
  </si>
  <si>
    <t>INVITATION TO BID REPAIR OF  RAWIS  DUPLEX OWNED WAREHOUSE AT RAWIS, NORTHERN SAMAR</t>
  </si>
  <si>
    <t>Concreting of Farm to Market Road @ San Jose, Santiago, Ilocos Sur</t>
  </si>
  <si>
    <t>2020-098, REMOVAL AND REPLACEMENT OF CONCRETE PAVEMENT AT PUROK 7, VILLARICA, MIDSAYAP, COTABATO</t>
  </si>
  <si>
    <t>Rehabilitation/Improvement of Pepita Park</t>
  </si>
  <si>
    <t>Supply &amp; Delivery of Construction Materials for the Installation of Solar  Powered Streetligts (K.I. BRIDGE, POBLACION, HAGUPIT, SAGANA &amp; MORENTE)</t>
  </si>
  <si>
    <t>Construction of Farm to Market Road @ Ubbog, Santiago, Ilocos Sur</t>
  </si>
  <si>
    <t>Construction of Concrete Footbridge at Sta. Cruz</t>
  </si>
  <si>
    <t>Completion of Ticol Brgy. Health Center</t>
  </si>
  <si>
    <t>PROCUREMENT OF DIGITAL DUPLICATOR AND PHOTOCOPIER</t>
  </si>
  <si>
    <t>Supply &amp; Delivery of Anesthetics - Rebid</t>
  </si>
  <si>
    <t>Supply &amp; Delivery of Construction Materials for the Construction of Powerhouse - (BWS)</t>
  </si>
  <si>
    <t>Supply and delivery of rescue equipments and apparel for the use of the CDRRMO/Call 911, Kidapawan City</t>
  </si>
  <si>
    <t>Construction of Farm to Market Road @ Baybayabas, Santiago, Ilocos Sur</t>
  </si>
  <si>
    <t>(PAO)  	  INVITATION TO BID FOR THE SUPPLY AND DELIVERY OF AGRICULTURAL PRODUCTS  FOR THE  PROVINCIAL AGRICULTURAL OFFICE (PAO)</t>
  </si>
  <si>
    <t>Procurement of Plastic envelopes for Distance Learning Program of the Tarlac City Schools Division Office. B2020-099-A</t>
  </si>
  <si>
    <t>Construction of Evacuation Center at San Juan</t>
  </si>
  <si>
    <t>Supply &amp; Delivery of Aircon (Mayor's Office)</t>
  </si>
  <si>
    <t>Supply and Delivery of 400pcs. Toilet Bowl &amp; 400pcs. Plastic Blue Drums</t>
  </si>
  <si>
    <t>(PENARO)INVITATION TO BID FOR THE SUPPLY AND DELIVERY OF GRAFTED FRUIT TREES THE  PROVINCIAL ENVIRONMENT AND NATURAL RESOURCES OFFICE (PENARO)</t>
  </si>
  <si>
    <t>Repost: Bulaklakan Farm to Market Road (FMR) Concreting</t>
  </si>
  <si>
    <t>Supply &amp; Delivery of ICT Equipment for the General Services Office &amp; Bids and Awards Committee Office</t>
  </si>
  <si>
    <t>2020-096, SUPPLY AND DELIVERY CONSTRUCTION MATERIALS FOR THE REPAIR / REHABILITATION OF  DIFFERENT SCHOOLS IN MIDSAYAP SOUTHWEST DISTRICT, MIDSAYAP, COTABATO</t>
  </si>
  <si>
    <t>CONCRETING OF TULATULA-AN TO ILAJAS ROAD</t>
  </si>
  <si>
    <t>Supply &amp; Delivery of ICT Equipment for the MAO, MEO, BND, MHO &amp; Tourism Office</t>
  </si>
  <si>
    <t>Supply &amp; Delivery of Desktop Computers for CFMS, CTAS, NSTP, Library &amp; CADS</t>
  </si>
  <si>
    <t>CLUSTER III - Irosin, Sorsogon</t>
  </si>
  <si>
    <t>ITB NO. GOP/20-DSWD-044 - Supply, Delivery and Installation of Office Furniture for the DSWD Central Office - Malasakit Building</t>
  </si>
  <si>
    <t>CONSTRUCTION OF PAGSANGAAN FOOTBRIDGE, BRGY. PAGSANGAAN, PRESENTACION, CAMARINES SUR</t>
  </si>
  <si>
    <t>Supply &amp; Delivery of Smart TV, FULL HD &amp; TV, LED for Bongabong South District &amp; Bongabong North District</t>
  </si>
  <si>
    <t>PURCHASE OF MOTORBOAT SERVICE FOR TRANSPORTING LSI's, FOR LGU ZUMARRAGA</t>
  </si>
  <si>
    <t>Supply &amp; Delivery of Electrical Supplies</t>
  </si>
  <si>
    <t>Construction of Solar Dryer @ Bulbulala, Santiago, Ilocos Sur</t>
  </si>
  <si>
    <t>Construction of Flood Control, Barangay San Jose (Additional Allocation)</t>
  </si>
  <si>
    <t>CLUSTER II - Bulan &amp; Magallanes, Sorsogon</t>
  </si>
  <si>
    <t>rebidding of the requirement “One (1) Lot Repair and Maintenance – Infrastructure Assets (Provincial Roads &amp; Bridges), Province of Negros Oriental (B-118-2020)</t>
  </si>
  <si>
    <t>SUPPLY AND  DELIVERY   OF MEDICINES  AND MEDICAL  SUPPLIES</t>
  </si>
  <si>
    <t>SUPPLY, DELIVERY, INSTALLATION, AND COMMISSIONING OF ONE (1) UNIT 32 SLICE COMPUTED TOMOGRAPHY- SCAN MACHINE (CT-SCAN)</t>
  </si>
  <si>
    <t>MG-A5C20-011..BATTERY BANK, 125VDC INDUSTRIAL LEAD ACID BATTERIES, 60 UNITS</t>
  </si>
  <si>
    <t>CONSTRUCTION /REHABILITATION OF MULTI-PURPOSE HALL AT BARANGAY SANDOVAL, ROXAS, PALAWAN</t>
  </si>
  <si>
    <t>(PAO)  INVITATION TO BID FOR THE SUPPLY AND DELIVERY OF 6,000 PCS GRAFTED CACAO SEEDLINGS AND 4,000 PCS TISSUE CULTURED BANANA FOR THE  PROVINCIAL AGRICULTURAL OFFICE (PAO)</t>
  </si>
  <si>
    <t>CLUSTER I - Barcelona, Sorsogon</t>
  </si>
  <si>
    <t>Construction of Solar Dryer @ Al-aludig, Santiago, Ilocos Sur</t>
  </si>
  <si>
    <t>REHABILITATION OF STREET LIGHTING</t>
  </si>
  <si>
    <t>Rehabilitation of Calipayan-San Sotero-Pitombayog Provincial Road at Brgy. Calipayan and San Sotero, Sta. Ignacia, Tarlac - B-CW-2020-035</t>
  </si>
  <si>
    <t>Rehabilitation of Labney-David Provincial Road at Brgy. Labney and David, San Jose, Tarlac - B-CW-2020-034</t>
  </si>
  <si>
    <t>20LB0316 - Repair/Maintenance of National Roads and Bridges, Provision of New Traffic Safety Devices and Signages along Mabuhay-Pañalum-Paquibato Road (K1525+700-K1529+500), Davao City</t>
  </si>
  <si>
    <t>20LB0301 - Repair/Maintenance of DAR Building RO-XI Legal and Planning Office, Catalunan Pequeño, Davao City</t>
  </si>
  <si>
    <t>20LB0296 - Repair/Maintenance of DILG Building PNP – Command Barracks Camp. Sgt. Quintin M. Merecido Catitipan, Davao City</t>
  </si>
  <si>
    <t>PROPOSED PATHWAY TO BASKETBALL COURT</t>
  </si>
  <si>
    <t>2020-07-935 "Procurement of Two (2) units 6-Wheeler 4000L PTO Fire Truck"</t>
  </si>
  <si>
    <t>Supply &amp; Delivery of TV for CFMS &amp; Admin</t>
  </si>
  <si>
    <t>Supply &amp; Delivery of Printers for Different Departments</t>
  </si>
  <si>
    <t>Supply and Delivery of Various Office Supplies for the Maintenance of LGU Different Offices for 2020</t>
  </si>
  <si>
    <t>Supply &amp; Delivery og LPG, 50kgs</t>
  </si>
  <si>
    <t>Supply and Delivery of 80,260 bags Urea Fertilizer (Granular) for use under National Rice Program 2020 FLR</t>
  </si>
  <si>
    <t>Signage for Provincial Fisheries Office of Surigao Del Sur And Provincial Fisheries Office of Agusan Del Sur</t>
  </si>
  <si>
    <t>2020-07- 899 "Procurement of Various Medical Supplies for the use at MOPH Hematology/Microscopy, Blood Bank (2nd Quarter)"</t>
  </si>
  <si>
    <t>Supply &amp; Delivery of Books and Other Library Resources</t>
  </si>
  <si>
    <t>IMPROVEMENT OF ROXAS LAND TRANSPORT TERMINAL</t>
  </si>
  <si>
    <t>ONE (1) UNIT 2D ECHOCARDIOLOGY SYSTEM (2D ECHO)</t>
  </si>
  <si>
    <t>2020- 06-718 "Procurement of Various Drugs and Medicines for MOPH Pharmacy (NBB Patient Use)"</t>
  </si>
  <si>
    <t>CLUSTER IV - Juban &amp; Gubat, Sorsogon</t>
  </si>
  <si>
    <t>20LB0324 - 66x: Repair Maintenance Of National Roads And Bridges, Selective Replacement Of Concrete Pavement Activities Along Daang Maharlika Road, K1487+500-K1489+600, Davao City</t>
  </si>
  <si>
    <t>20CG0261 - Local Infrastructure Program: Buildings and Other Structures – Multipurpose/ Facilities – Construction of Multi-Purpose Building (Covered Court) Dolores, San Fernando, Pampanga</t>
  </si>
  <si>
    <t>Purchase of Goods/Materials for the Maintenance of Municipal Waterworks System (for brgy. Calayugan, West Balabag, Balugo &amp; East Balabag)</t>
  </si>
  <si>
    <t>20CG0259 - Local Infrastructure Program: Local Roads and Bridges – Local Roads – Improvement of Brgy. Road, San Vicente Apalit, Pampanga</t>
  </si>
  <si>
    <t>Supply and Delivery of Brass Water Meter (Re-bidding)</t>
  </si>
  <si>
    <t>2020-07-890 "Procurement of 5 units Infusion Pump and etc. for MOPH"</t>
  </si>
  <si>
    <t>Rehabilitation of Tarlac-Gerona-Paniqui via San Isidro Provincial Road at Brgy. Sembrano, Gerona, Tarlac - B-CW-2020-036</t>
  </si>
  <si>
    <t>Development and Deployment of Philippines Anti-Illegal Drugs Strategy - Agency Reporting and Monitoring System (PADS-ARMS)</t>
  </si>
  <si>
    <t>PGSO-2020-0194 PR2020-0561 INVITATION TO BID FOR THE PROCUREMENT OF CANOPY FOR TENT AND TENTS WITH CANOPY FOR USE AT PGBH ACTIVITIES AT NEW CAPITOL BUILDING AND OTHER FACILITIES</t>
  </si>
  <si>
    <t>PEO-2020-0195 PR2020-0562 INVITATION TO BID FOR THE PROCUREMENT OF ANAPOG</t>
  </si>
  <si>
    <t>20CG0262 - Local Infrastructure Program: Buildings and Other Structures – Multipurpose/ Facilities – Rehabilitation/ Improvement of Multi-Purpose Building (Covention Center), Brgy. Lourdes, City of Sa</t>
  </si>
  <si>
    <t>20LB0323 - 66x: Repair Maintenance Of National Roads And Bridges, Selective Replacement Of Concrete Pavement Activities Along Fatima-Malabog Road (K1513+750 - K1514+233), Mabuhay-Pañalum Road (K1524+9</t>
  </si>
  <si>
    <t>20CG0260 - Local Infrastructure Program: Buildings and Other Structures – Multipurpose/ Facilities – Construction of Multi-Purpose Building (Covered Court), Brgy. Sto Niño (Sapa), Sto. Tomas, Pampanga</t>
  </si>
  <si>
    <t>20CG0266 - Construction/ Repair/ Rehabilitation/ Improvement of Various Infrastructure including Local Projects: Local Roads and Bridges – Local Roads – Construction of Aquino By-Way Extension Brgy. C</t>
  </si>
  <si>
    <t>20MH0112 - Concreting of Brgy. Kiadzam to Sitio Dongdong, Brgy. Kiadzam FMR</t>
  </si>
  <si>
    <t>20CG0265 - Construction of Two (2) – Storey, Four (4) Classroom School Building at Potrero NHS, Bacolor, Pampanga</t>
  </si>
  <si>
    <t>Printing, Collating, Saddle Stitching and Delivery of Self-Learning Modules to 32 School Districts of the Province of Zamboanga del Sur</t>
  </si>
  <si>
    <t>Supply, Delivery, Installation, Programming, Testing and Commissioning of Equipment and Appurtenances for the Upgrading of Inline Booster for Larion Bajo Pumping Station (Re-bidding)</t>
  </si>
  <si>
    <t>20CG0264 - Construction of Two (2) – Storey, Four (4) Classroom School Building at Mapaniqui Elementary, Candaba, Pampanga</t>
  </si>
  <si>
    <t>20CG0263 - Construction of Two (2) – Storey, Four (4) Classroom School Building at San Juan Baño High School, Arayat, Pampanga</t>
  </si>
  <si>
    <t>PEO-2020-0197 PR2020-0575 INVITATION TO BID FOR THE PROCUREMENT OF LABOR, MATERIALS, AND EQUIPMENT FOR THE CONSTRUCTION OF 2-CLASSROOM SCHOOL BUILDING WITH PWD TOILETS AT MAHANAY HIGH SCHOOL AT MAHANA</t>
  </si>
  <si>
    <t>PB INFRA 20-072_Concreting of Mateo - Linangkob - San Roque Road, Kidapawan City</t>
  </si>
  <si>
    <t>invitation to bid for the Proposed Construction/Rehabilitation/Improvement of Various Government Building Structures and Facilities under Infra-001-2020</t>
  </si>
  <si>
    <t>SUPPLY AND DELIVERY OF OFFICE AND JANITORIAL SUPPLIES  AND DEVICES  FOR VARIOUS OFFICES OF THE CITY GOVERNMENT</t>
  </si>
  <si>
    <t>Procurement of 40540.54 kilos Hazardous Hospital Waste Management of Cebu City Medical Center.</t>
  </si>
  <si>
    <t>SUPPLY AND DELIVERY OF DRUGS AND MEDICINES FOR VARIOUS  HEALTH CENTERS AT SOUTH CALOOCAN CITY</t>
  </si>
  <si>
    <t>ITB 08-001-20 Supply and Delivery of HYBRID RICE SEEDS (DA IX - RICE PROGRAM)</t>
  </si>
  <si>
    <t>Painting of Thermoplastic Pavement Markings along Bukidnon-Cotabato Road</t>
  </si>
  <si>
    <t>Supply and Delivery of 550 Boxes Continuous Form and other 550 Boxes Continuous Form and other items items.</t>
  </si>
  <si>
    <t>WIDENING OF BARANGAY ROAD @ SITIO LIWANAG BRGY. ESTRELLA, MABINI, BATANGAS</t>
  </si>
  <si>
    <t>Procurement of 33 Packs Chromogenic Substrate and various items.</t>
  </si>
  <si>
    <t>Construction of ATV Parking Bay and Storeroom at Jose V. Yap Recreational Park, San Juan de Valdez, San Jose, Tarlac - B-CW-2020-037</t>
  </si>
  <si>
    <t>ENRICHMENT OF OPEN SPACE PARK PROJECT-PHASE 2, ESCALANTE CITY PUBLIC PLAZA (STRAIGHT CONTRACT LABOR &amp; MATERIALS)</t>
  </si>
  <si>
    <t>SUPPLY AND DELIVERY OF DRUGS AND MEDICINES FOR VARIOUS HEALTH CENTERS AT NORTH CALOOCAN CITY</t>
  </si>
  <si>
    <t>Construction of Drainage @ Brgy. Talaga Proper, Mabini, Batangas</t>
  </si>
  <si>
    <t>Painting of Thermoplastic Pavement Markings along Kidapawan-Calunasan-M’lang Road</t>
  </si>
  <si>
    <t>20EA0058 - Construction of 1STY 2CL with Toilets, Cawit NHS, Boac, Marinduque</t>
  </si>
  <si>
    <t>20EA0057 - Construction of 1STY 3CL, Tungib ES, Buenavista, Marinduque</t>
  </si>
  <si>
    <t>CONSTRUCTION OF SANITARY LANDFILL, BRGY. JAPITAN (STRAIGHT CONTRACT LABOR &amp; MATERIALS)</t>
  </si>
  <si>
    <t>ITB-GS-20200609-01(2) - Online Competency Assessment</t>
  </si>
  <si>
    <t>Procurement of Rental of Heavy Equipments</t>
  </si>
  <si>
    <t>'PB Infra 20-071_Concreting of Carmen - Maridagao Road, Carmen, Cotabato</t>
  </si>
  <si>
    <t>Public Bidding for the Supply and Delivery of Detachable Tablet Laptops and Printer for City Mayor’s Office under ITB No. 2020-023</t>
  </si>
  <si>
    <t>100-2020-02-308 Supply and delivery of 4 units ambulance</t>
  </si>
  <si>
    <t>Procurement of Calibration Equipment in Batangas State University, Pablo Borbon Main II</t>
  </si>
  <si>
    <t>Procurement of Various Hospital Equipment and Instruments</t>
  </si>
  <si>
    <t>Installation of CCTV at Brgy. Ligaya, Mabini, Batangas</t>
  </si>
  <si>
    <t>Procurement of 55,200 Tons Garbage (Solid Waste) Disposal Services.</t>
  </si>
  <si>
    <t>100-2020-07-915 Supply and delivery of construction materials and supplies</t>
  </si>
  <si>
    <t>Concreting of Left Shoulder of Aggub Street (Left Side from Magsaysay to Rizal Street)</t>
  </si>
  <si>
    <t>Concreting of Impoyan Road (Villa Agullana)</t>
  </si>
  <si>
    <t>Concreting of Barangay Road (Villa Gracia)</t>
  </si>
  <si>
    <t>Completion of ICT Four Storey Reinforced Concrete Building (Phase IV)</t>
  </si>
  <si>
    <t>Continuation of Payanan Research and Development Center Food Production and Related Facility Phase IV</t>
  </si>
  <si>
    <t>UPGRADING OF TSU ADVANCED TECHNOLOGY TRAINING LABORATORY</t>
  </si>
  <si>
    <t>Procurement of Three (3) Units Passenger Van and One (1) Unit Multi-Purpose Vehicle in Batangas State University, Pablo Borbon Main I</t>
  </si>
  <si>
    <t>MODERNIZATION OF LABORATORY EQUIPMENT FOR BACHELOR OF SCIENCE IN ELECTRICAL ENGINEERING,Rebid</t>
  </si>
  <si>
    <t>Procurement of Meter Seals – Acceptance Test</t>
  </si>
  <si>
    <t>100-2020-07-849 Supply and delivery of 1 unit power rated 270kw (340KA) generator – diesel engine</t>
  </si>
  <si>
    <t>Construction of Palay Shed (Villa Sur)</t>
  </si>
  <si>
    <t>100-2020-01-129 Supply and delivery of 1unit truck (light cargo truck) with open/drop-side cargo hol, 18 ft.</t>
  </si>
  <si>
    <t>Rebidding of Various Laboratory Reagents and Supplies and Procurement of Molecular Laboratory Supplies</t>
  </si>
  <si>
    <t>Procurement of construction materials for  Construction of Potable Water System @ Laya</t>
  </si>
  <si>
    <t>TAPE</t>
  </si>
  <si>
    <t>AIRCONDITIONING UNIT</t>
  </si>
  <si>
    <t>PROCUREMENT OF MATERIALS FOR MDRRMO  MITIGATION AND RECOVERY PROGRAM</t>
  </si>
  <si>
    <t>PROVISION AND INSTALLATION OF EIGHT (8) UNITS SOLAR STREETLIGHTS @ BRGY.POBLACION 1</t>
  </si>
  <si>
    <t>2020 20TH PUBLIC BIDDING: PROCUREMENT OF OFFICE SUPPLIES, SEMI-EXPENDABLES AND IT SUPPLIES FOR 2020 2ND SEMESTER CONSUMPTION</t>
  </si>
  <si>
    <t>P – 2020 – 15: Improvement/Rehabilitation/Construction of BHS, Flood Control, RCA and Box Culvert</t>
  </si>
  <si>
    <t>P – 2020 – 16: Road Opening of Pangao – Leseb</t>
  </si>
  <si>
    <t>BOLT</t>
  </si>
  <si>
    <t>ITB-2020-08-058 PROCUREMENT OF PERISHABLE ITEMS FOR BANGUN IMPLEMENTATION IN TAWI-TAWI PROVINCE</t>
  </si>
  <si>
    <t>IMPROVEMENT OF EVACUATION &amp; MULTI-PURPOSE CENTER</t>
  </si>
  <si>
    <t>ITB-2020-08-055 PROCUREMENT OF PERISHABLE ITEMS FOR BANGUN IMPLEMENTATION IN BASILAN PROVINCE</t>
  </si>
  <si>
    <t>1	set	Panel board, moulded circuit breaker, 40 Amp center, etc. PR # 601-20</t>
  </si>
  <si>
    <t>Procurement of Printing Machine (Risograph)-DepEd ,Lopez Jaena</t>
  </si>
  <si>
    <t>Supply and Delivery of Brass Water Meters</t>
  </si>
  <si>
    <t>B PACKAGE 2020 – 01: Rehabilitation of Pathways, Barangay Road and Construction/Completion of Tribunal Center/Multi-purpose Hall</t>
  </si>
  <si>
    <t>PURCHASE OF MDRRM VEHICLE</t>
  </si>
  <si>
    <t>Construction/Concreting of Local Access Road From Barangay San Vicente to Barangay Gobon</t>
  </si>
  <si>
    <t>CONCRETING OF BRGY. ROAD</t>
  </si>
  <si>
    <t>IMPROVEMENT OF SCHOOL STAGE @ ALALUM NATIONAL HIGH SCHOOL, SAN PASCUAL, BATANGAS</t>
  </si>
  <si>
    <t>HO-OMR20-006 - Supply and Delivery of  Various Vehicle Parts</t>
  </si>
  <si>
    <t>Purchase of 2 UNITS OF RISOGRAPH</t>
  </si>
  <si>
    <t>RE-BIDDING- Procurement of IT Equipment -MEO,Lopez Jaena</t>
  </si>
  <si>
    <t>Rehabilitationof Evacuation Center, Barangay VII, Mercedes, Camarines Norte</t>
  </si>
  <si>
    <t>HARDWARE SUPPLIES</t>
  </si>
  <si>
    <t>Retaining Wall</t>
  </si>
  <si>
    <t>Radiogram</t>
  </si>
  <si>
    <t>PRE-BID CONFERENCE 11/Aug/2020 - Procurement of Goods: 37 Units SHOTGUN for the use of CGSO -Safety and Security (PR#100-20-07-0335)</t>
  </si>
  <si>
    <t>Procurement of Equipment for Glass Bottom Kayak's &amp; Equipment for Rentals</t>
  </si>
  <si>
    <t>Purchase &amp; Delivery of Common Borrow for the project Filling of Brgy. Site, Brgy. Day-asan</t>
  </si>
  <si>
    <t>Construction of Evacuation Center, Daguit High School, Brgy. Daguit, Labo, Camarines Norte</t>
  </si>
  <si>
    <t>Medical</t>
  </si>
  <si>
    <t>HO-UAR20-005 - Supply and Delivery of  Various Construction Materials</t>
  </si>
  <si>
    <t>HO-UAR20-006 - Supply and Delivery of  Ink for EPSON</t>
  </si>
  <si>
    <t>Construction of Evacuation Center, Brgy. Catioan, Capalonga, Camarines Norte</t>
  </si>
  <si>
    <t>SUPPLY, DELIVERY AND INSTALLATION OF THREE (3) UNITS 50KVA TRANSFORMER AND ACCESSORIES OF MUNICIPAL HALL BUILDING</t>
  </si>
  <si>
    <t>Imp. of Multi-Purpose Hall</t>
  </si>
  <si>
    <t>CONSTRUCTIONF LOCAL ACCESS ROAD AT BRGY LAM-AWAN TO POLANGI, VILLAREAL, SAMAR</t>
  </si>
  <si>
    <t>2020-074, SUPPLY AND DELIVERY OF 2 UNITS MINI DUMPTRUCK (SURPLUS) AT LGU MIDSAYAP, COTABATO</t>
  </si>
  <si>
    <t>Re-bidding: Supply and Delivery of Hotel Property Management System (PMS) Software (PR No. 2020-03-0474)</t>
  </si>
  <si>
    <t>Construction of COVID-19 Isolation Facility</t>
  </si>
  <si>
    <t>20DD0379 Construction of 2STY4CL, Aya Elementary School, San Jose, Batangas</t>
  </si>
  <si>
    <t>Purchase of Machinery and Equipment for White Corn Processing Center</t>
  </si>
  <si>
    <t>20DD0377 Construction of 4STY20CL, Gaudencio B. Lontok Memorial Integrated School, Lipa City, Batangas</t>
  </si>
  <si>
    <t>Re-bidding: Supply and Delivery of Plaque for the PRAISE Awarding 2020 (PR No. 2020-06-0584)</t>
  </si>
  <si>
    <t>PROCUREMENT OF THREE HUNDRED (300) TRUCKLOAD FILLING MATERIALS INCLUDING FUEL, OIL AND RIGHTS FOR ROAD MAINTENANCE AT EL SALVADOR CITY</t>
  </si>
  <si>
    <t>20DD0381 Concreting of Brgy. Mavalor to Brgy. Tiquiwan FMR, Brgy. Mavalor and Brgy. Tiquiwan, Rosario, Batangas</t>
  </si>
  <si>
    <t>Supply and Delivery of Desktop Computers (PR No. 2020-01-0054, 2020-02-0308, 2020-02-0204, 2020-06-0563)</t>
  </si>
  <si>
    <t>20GFL0005-Supply and delivery of various tires for use of various service vehicle at DPWH Sorsogon 2nd District Engineering Office</t>
  </si>
  <si>
    <t>Supply and Delivery of Laptops (PR No. 2020-02-0226, 2020-02-0210, 2020-02-0280)</t>
  </si>
  <si>
    <t>Supply and Delivery of Printers and Scanner (PR No. 2020-06-0593, 2020-05-0507, 2020-02-0243, 2020-02-0308, 2020-02-0210, 2020-03-0462, 2020-02-0314, 2020-01-0052, 2020-02-0260, 2020-02-0120, 2020-02-</t>
  </si>
  <si>
    <t>brand new generator set, DIESEL</t>
  </si>
  <si>
    <t>Procurement of Equipment and CCTV Set for New I.T. Building</t>
  </si>
  <si>
    <t>CONSTRUCTION OF BOUNDARY MARKER (LED DISPLAY)</t>
  </si>
  <si>
    <t>Re-bidding: Supply and Delivery of Arm Chairs and Sala Sets (PR No. 2020-02-0376, 2020-02-0240, 2020-02-0371)</t>
  </si>
  <si>
    <t>CONSTRUCTION OF FOOTBRIDGE-TUCAO-BUENAVISTA, CARAMORAN, CATANDUANES</t>
  </si>
  <si>
    <t>20DD0378 Construction of 4STY12CL, Sen. Claro M. Recto Memorial Integrated School, Lipa City, Batangas</t>
  </si>
  <si>
    <t>Construction of Public Parks and Plaza</t>
  </si>
  <si>
    <t>20DD0380 Construction of 2STY4CL, Marilag Elementary School, Rosario, Batangas</t>
  </si>
  <si>
    <t>Invitation to Apply for Eligibility and to Bid for CONSTRUCTION OF BARANGAY GANGAO LEVEL II WATER SYSTEM</t>
  </si>
  <si>
    <t>Proposed Construction of Police Headquarters, Mapsa Headquarters &amp; Cental Fire Station, located at Malugay Street, Brgy. San Antonio, Makati City</t>
  </si>
  <si>
    <t>Lot 1: Supply and Delivery of Laboratory Equipment for Food Technology Instruction (PR No. 2020-02-0292) &amp; Lot 2: Supply and Delivery of Tools and Materials for Food Technology Instruction (PR No. 202</t>
  </si>
  <si>
    <t>20DD0382 Local Program, Local Infrastructure Program, Buildings and Other Structures, Multipurpose/ Facilities, Construction of Multi-Purpose Building/ Brgy. Hall, Brgy. Quilo-Quilo North, Padre Garci</t>
  </si>
  <si>
    <t>Supply and Delivery of IT Parts and Accessories (PR No. 2020-02-0120, 2020-02-0312, 2020-02-0203, 2020-02-0337, 2020-01-0034, 2020-01-0053, 2020-02-0225, 2020-02-0271, 2020-02-0308, 2020-02-0329, 2020</t>
  </si>
  <si>
    <t>Supply and Installation of Audio-Visual Equipment</t>
  </si>
  <si>
    <t>20G00114 - Construction of River bank protection works along Kalibo River, Kalibo Bridge III, Tigayon, Kalibo Section, Aklan</t>
  </si>
  <si>
    <t>Proposed Improvement of STP at Makati Homes-I located at H. Santos Street, Barangay Tejeros, Makati City</t>
  </si>
  <si>
    <t>HAND TRUCK / PLATFORM TRUCK AND ELECTRIC SHOWER HEATER OF PHARMACY SECTION</t>
  </si>
  <si>
    <t>20G00115 - Construction of River Bank Protection Works along Kalibo River, Kalibo Bridge III, Mina, Lezo Section, Aklan</t>
  </si>
  <si>
    <t>Construction of Ramp and Other PWD Requirements (Various Public Schools and Public Buildings), located at Makati City</t>
  </si>
  <si>
    <t>Rehabilitation, Repair, Renovation and Repainting of Cembo Talipapa located at Narra St. Brgy. Cembo, Makati City</t>
  </si>
  <si>
    <t>Lot 2: Supply and Delivery of Laboratory Supplies for Garments Technology Instruction (PR No. 2020-02-0285)</t>
  </si>
  <si>
    <t>ITB20-7(infra)</t>
  </si>
  <si>
    <t>Supply and Delivery of Office Equipment (PR No. 2020-02-0311, 2020-02-0380, 2020-02-0273, 2020-01-0141)</t>
  </si>
  <si>
    <t>Continuation of MDRRM Building</t>
  </si>
  <si>
    <t>Procurement of Seedlings (Forest Greening and Reforestation)</t>
  </si>
  <si>
    <t>Proposed Rehabilitation and Upgrading of Existing Streetlighting along H. Santos Street located at Barangay Tejeros, Makati City</t>
  </si>
  <si>
    <t>General Examination Chair</t>
  </si>
  <si>
    <t>“Purchase of Three (3) units Ambulance with Medical Equipment and Accessories for use in the City of Guihulngan, Province of Negros Oriental (B-115-2020)</t>
  </si>
  <si>
    <t>ESTABLISHMENT OF ECO-TOURISM SPOT, BINUMBUHAN FALLS, BRGY. CARAYCARAY, SAN MIGUEL, LEYTE</t>
  </si>
  <si>
    <t>Purchase &amp; Delivery of Various Medical Supplies  for PVET (Re-bid)</t>
  </si>
  <si>
    <t>Construction of Perimeter Fence of Sports Complex Phase I at Poblacion III, Carcar City, Cebu</t>
  </si>
  <si>
    <t>Proc. of Various Drug and Medicine for 3rd Quarter</t>
  </si>
  <si>
    <t>Procurement of VEHICLE (SINGLE CAB)</t>
  </si>
  <si>
    <t>Procurement of Multi-Functional Ambulance</t>
  </si>
  <si>
    <t>Proposed Perimeter Fence along Residential Area at Makati Homes-I, located at H. Santos Street, Brgy. Tejeros, Makati City</t>
  </si>
  <si>
    <t>ITB MPHallP3</t>
  </si>
  <si>
    <t>Oxygen Refill for Human Consumption</t>
  </si>
  <si>
    <t>Purchase of Various Fertilizers-Other than Tobacco Farmers (MAO)</t>
  </si>
  <si>
    <t>ITB No. 20-073: Supply and Delivery of Three Hundred (300) vial of Polymyxin B Sulfate 500,000 units powder for solution, 5mL</t>
  </si>
  <si>
    <t>Proposed Entry Landmark in Various Locations at Makati City</t>
  </si>
  <si>
    <t>Renovation and Improvement of Pitogo Community Complex located at Cebu St. Cor. Luzon St., Brgy. Pitogo, Makati City</t>
  </si>
  <si>
    <t>ITB Med2020</t>
  </si>
  <si>
    <t>CONSTRUCTION OF SOLAR STREETLIGHT(PHASE II), BRGY. LIBTONG, SAN MIGUEL, LEYTE</t>
  </si>
  <si>
    <t>PROCUREMENT OF 1 UNIT REFRIGERATED VAN (BRAND NEW), MINI ALUMINUM VAN (RECONDITIONED) AND 11 UNITS MOTORCYCLES (BY LOT) LGU, MALAYBALAY CITY.</t>
  </si>
  <si>
    <t>SUPPLY &amp; DELIVERY OF VARIOUS ICT EQUIPMENT FOR THE E-LEARNING TELECONFERENCING UNDER THE NEW NORMAL EDUCATION SYSTEM IN PLMUN</t>
  </si>
  <si>
    <t>UPGRADING OF LOCAL ACCESS ROAD II AT P5 GENERAL AGUINALDO, RAMON, ISABELA</t>
  </si>
  <si>
    <t>Labor and Materials for the Completion Works for Command and Control Center at Civic Center, San Isidro, City of San Fernando, Pampanga</t>
  </si>
  <si>
    <t>Proposed Rehabilitation and Upgrading of Existing Streetlighting along Antipolo Street (Phase 1 and 2) located at Barangay Poblacion/Valenzuela, Makati City</t>
  </si>
  <si>
    <t>Labor and Materials for the Improvement/Construction of Road at Bulaon, City of San Fernando, Pampanga</t>
  </si>
  <si>
    <t>PROJECT 4 -  PROCUREMENT AND DELIVERY OF VARIOUS EQUIPMENT FOR THE USE OF DISTRICT 2 OF LINGAYEN PANGASINAN</t>
  </si>
  <si>
    <t>PROJECT 1 - PROCUREMENT AND DELIVERY OF VARIOUS HOSPITAL FIXTURE FOR THE USE OF DISTRICT 2 OF LINGAYEN PANGASINAN</t>
  </si>
  <si>
    <t>PRN 039- MEDICAL/DEN/LAB SUPPLIES-CHO-GOODS-2020</t>
  </si>
  <si>
    <t>20AB0123: CONSTRUCTION OF ONE (1) STOREY - FOUR (4) CLASSROOM SCHOOL BUILDING, (100241) DON MARIANO MEMORIAL SCHOOL, PINILI, ILOCOS NORTE</t>
  </si>
  <si>
    <t>PROJECT 3 - PROCUREMENT AND DELIVERY OF VARIOUS LABORATORY EQUIPMENT FOR THE USE OF DISTRICT 2 OF LINGAYEN PANGASINAN</t>
  </si>
  <si>
    <t>REQUEST FOR QUOTATION -Supply, Delivery, Wiring and Installation of One (1) Unit Automatic Transfer Switch for 80KVACummins Genset</t>
  </si>
  <si>
    <t>Labor and Materials for the Repair/Rehabilitation of Health Center at Sta. Lucia, City of San Fernando, Pampanga</t>
  </si>
  <si>
    <t>INVITATION TO BID FOR THE SALE OF VARIOUS UNSERVICEABLE PROPERTIES ON “AS IS, WHERE IS” BASIS</t>
  </si>
  <si>
    <t>Procurement of Glass Pulvorizer</t>
  </si>
  <si>
    <t>ITB Access AM2020</t>
  </si>
  <si>
    <t>Supply and Delivery of Multimedia Projectors (PR No. 2020-02-0185, 2020-02-0299, 2020-02-0152, 2020-02-0339, 2020-02-0270, 2020-02-0299, 2020-02-0261)</t>
  </si>
  <si>
    <t>REPAIR OF FLOOR TILES AND CEILING AND REPLACEMENT OF DOOR AND PAINTING OF WALLS AT MIS OFFICE , PLMUN, POBLACION, MUNTINLUPA CITY</t>
  </si>
  <si>
    <t>ITB Park2020</t>
  </si>
  <si>
    <t>ITB No. GOP/20-DSWD-028-B - Supply and Delivery of Stretch Film to be used for the Production of Family Food Packs for CY 2020 Through Framework Agreement</t>
  </si>
  <si>
    <t>Particles Filter for Air purifier Blueair 650E (1 unit: 3 filters)</t>
  </si>
  <si>
    <t>Purchase of Various Fertilizers-Tobacco Farmers (MAO)</t>
  </si>
  <si>
    <t>8918-20-018)  CONTINUATION OF ROAD WIDENING ALONG CARIÑO STREET CONNECTING BRIGHT ALLEY AND EVERLASTING STREET C/O CEO</t>
  </si>
  <si>
    <t>PROJECT 7 -PROCUREMENT AND DELIVERY OF VARIOUS MEDICAL EQUIPMENT FOR RURAL HEALTH UNIT (RHU) IN ILOCOS REGION</t>
  </si>
  <si>
    <t>2020-079, SUPPLY AND DELIVERY OF 2 UNITS MOTORCYCLE (BRAND NEW) AT LGU MIDSAYAP, COTABATO</t>
  </si>
  <si>
    <t>20CSKA0001 Conduct of Soil Testing/Exploration for F.Y. 2021 Projects Malaybalay City</t>
  </si>
  <si>
    <t>PROJECT 2 - PROCUREMENT AND DELIVERY OF VARIOUS MEDICAL EQUIPMENT FOR THE USE OF DISTRICT 2 OF LINGAYEN PANGASINAN</t>
  </si>
  <si>
    <t>PROJECT 5 -  PROCUREMENT AND DELIVERY OF VARIOUS MEDICAL EQUIPMENT FOR LGU HOSPITALS IN ILOCOS REGION</t>
  </si>
  <si>
    <t>Labor and Materials for the Improvement/Construction of Road at San Felipe, City of San Fernando, Pampanga</t>
  </si>
  <si>
    <t>Food Supplies 3LSSM2020A-115</t>
  </si>
  <si>
    <t>(PPDO)  REQUEST FOR QUOTATION (RFQ) For the Procurement of Office Supplies (3rd Quarter) For the Provincial Planning and Development Office (PPDO)</t>
  </si>
  <si>
    <t>PURCHASE &amp; DELIVERY OF CUSTOMIZED RESCUE VEHICLE</t>
  </si>
  <si>
    <t>PROJECT 8 - PROCUREMENT AND DELIVERY OF VARIOUS MEDICAL EQUIPMENT FOR BARANGAY HEALTH STATION (BHS) IN ILOCOS REGION</t>
  </si>
  <si>
    <t>2020-081, SUPPLY AND DELIVERY OF ELECTRONIC DEVICES AND EQUIPMENT FOR EXPLOSIVE ORDNANCE DISPOSAL (EOD) UNIT AT LGU MIDSAYAP, COTABATO</t>
  </si>
  <si>
    <t>SUPPLY &amp; DELIVERY OF  IT SUPPLIES, MATERIALS &amp; CONSUMABLES</t>
  </si>
  <si>
    <t>Office Supplies 3LSSM2020A-111</t>
  </si>
  <si>
    <t>Office Supplies 3LSSM2020A-113</t>
  </si>
  <si>
    <t>PROJECT 6 - PROCUREMENT AND DELIVERY OF VARIOUS LABORATORY EQUIPMENT FOR LGU HOSPITALS IN ILOCOS REGION</t>
  </si>
  <si>
    <t>Supply, Handling, Transport, and  Delivery of Various Fertilizer</t>
  </si>
  <si>
    <t>Supply, Handling, Transport, and  Delivery of Coconut Coir Based Organic Fertilizer</t>
  </si>
  <si>
    <t>Food Supplies 3LSSM2020A-114</t>
  </si>
  <si>
    <t>Other Supplies and Materials 3LSSM2020A-119</t>
  </si>
  <si>
    <t>2020-080, SUPPLY AND DELIVERY OF BUSINESS REGISTRATION PLATE AT LGU MIDSAYAP, COTABATO</t>
  </si>
  <si>
    <t>3LSSM2020A-121 Other Supplies  and Materials</t>
  </si>
  <si>
    <t>2020-082, CONSTRUCTION OF MULTI-PURPOSE BUILDING FOR RURAL IMPROVEMENT CLUB (RIC)  AND FARMERS ASSOCIATION AT ILBOCEAN, MIDSAYAP, COTABATO</t>
  </si>
  <si>
    <t>CONSTRUCTION OF CONCRETE PATHWAY @ SITIO PIKAS, BRGY. HACIENDA MARIA</t>
  </si>
  <si>
    <t>Other Supplies and Materials 3LSSM2020A-120</t>
  </si>
  <si>
    <t xml:space="preserve">NCB Publication No. 2020- 30 (First Publication)- Package 2020-14 - PB (1. Ubuag Brgy. Gym Finishing 2. Multi-purpose Building Construction/ Continuation, Ubuag 3. Multi-purpose Building Construction </t>
  </si>
  <si>
    <t>PROJECT 9 – PROCUREMENT AND DELIVERY OF MEDICAL EQUIPMENT FOR THE USE OF VARIOUS FACILITIES IN REGION I</t>
  </si>
  <si>
    <t>PROCUREMENT OF VARIOUS MEDICAL EQUIPMENT</t>
  </si>
  <si>
    <t>SUPPLY AND DELIVERY OF WATER TANKER (SURPLUS)</t>
  </si>
  <si>
    <t>Office Supplies 3LSSM2020A-112</t>
  </si>
  <si>
    <t>Concreting of ARC Road, Brgy. Jibolo-Balanac-Aguingay-Danao and Calmay, JAniuay, Iloilo</t>
  </si>
  <si>
    <t>NCB Publication No. 2020- 28 (First Publication)- Package 2020-12 - PB (1. Buti-e - Tanifong FMR Rehab, Itab 2. Buti-e Overflow Constrcution, Itab)</t>
  </si>
  <si>
    <t>Other Supplies and Materials 3LSSM2020A-118</t>
  </si>
  <si>
    <t>NCB Publication No. 2020- 29 (First Publication)- Package 2020-13 - PB (1. Kiling- Palaad Road Concreting 2. Kiling- Palaad FMR Concreting 3. Kiling to Catubangan FMR Concreting)</t>
  </si>
  <si>
    <t>HEALTH AND SANITARY SUPPLIES 3</t>
  </si>
  <si>
    <t>MISTING CHEMICAL</t>
  </si>
  <si>
    <t>OFFICE SUPPLIES EXPENSES</t>
  </si>
  <si>
    <t>PRN 053-IT EQPT-LSB-GOODS-2020</t>
  </si>
  <si>
    <t>Supply, Handling, Transport, and  Delivery of Livestock</t>
  </si>
  <si>
    <t>Supply and Delivery of 1666 Units Android Tablets for use of the students for the new normal delivery of Basic Education</t>
  </si>
  <si>
    <t>Invitation to Bid for the Supply and Delivery of Hygiene Supplies K to Grade 6 Learners for SHDP</t>
  </si>
  <si>
    <t>One (1) Lot Supply and Installation of Additional Security Fence and Gate at Gate 2, BSP Quezon City, as per BSP Scope of Work and Specifications and Plans/Drawings</t>
  </si>
  <si>
    <t>rehabilitation of brgy. road @ Sitio Guitisan</t>
  </si>
  <si>
    <t>SUPPLY AND DELIVERY OF 6-WHEELER DUMP TRUCKS 4X2 (BRAND NEW)</t>
  </si>
  <si>
    <t>2020-089, SUPPLY, DELIVERY AND INSTALLATION OF SOLAR STREET LIGHTS AT IDENTIFIED EVACUATION CENTERS  OF LGU MIDSAYAP, COTABATO</t>
  </si>
  <si>
    <t>concreting of pathway @ Sitio Panay</t>
  </si>
  <si>
    <t>construction of  concrete water tank @ Sitio Aguada</t>
  </si>
  <si>
    <t>CONSTRUCTION OF DRAINAGE SYSTEM AT TAMBALING 2, PEDRO SA BACULIO, EL SALVADOR CITY</t>
  </si>
  <si>
    <t>INVITATION TO BID - 3.) Purchase of 132 units All-In-One Ink Tank Printers &amp; 1 Unit Multifunction Printer (High End)</t>
  </si>
  <si>
    <t>2020-092, CONCRETING OF ROAD FROM OLD SLAUGHTERHOUSE TO DAY CARE CENTER AT  POBLACION 1, MIDSAYAP, COTABATO</t>
  </si>
  <si>
    <t>INVITATION TO BID - 1.) Purchase of 10 Units High-End Laptop and 104 units Regular Laptop</t>
  </si>
  <si>
    <t>3LSSM2020A-123 Procurement of Audio Visual Equipment</t>
  </si>
  <si>
    <t>3LSSM2020A-122 Office Supplies</t>
  </si>
  <si>
    <t>HEALTH AND SANITARY SUPPLIES 4</t>
  </si>
  <si>
    <t>2020-094, CONSTRUCTION OF DISTRIBUTION LINE AT UPPER GLAD 2 RESETTLEMENT PROJECT  PHASE 1 AT UPPER GLAD 2, MIDSAYAP, COTABATO</t>
  </si>
  <si>
    <t>ITB for the Completion of the Rewiring of the Electrical Feeder Lines of PIT Tabango</t>
  </si>
  <si>
    <t>CONSTRUCTION OF WATERWORKS SYSTEM AT RELOCATION SITE, LINABO, COGON, EL SALVADOR CITY</t>
  </si>
  <si>
    <t>OTHER SUPPLIES 6</t>
  </si>
  <si>
    <t>EMERGENCY PURCHASE OF GOODS AND SERVICES 3</t>
  </si>
  <si>
    <t>EMERGENCY PURCHASE OF GOODS AND SERVICES 2</t>
  </si>
  <si>
    <t>EMERGENCY PURCHASE OF GOODS AND SERVICES 1</t>
  </si>
  <si>
    <t>PURCHASE OF EMERGENCY MATERIALS AND SUPPLIES</t>
  </si>
  <si>
    <t>REPRODUCTION AND DOOR TO DOOR DELIVERY TO SCHOOLS DIVISION OFFICES OF REGION VII OF SELF-LEARNING MODULES PROVIDED BY THE DEPED CENTRAL OFFICE FOR QUARTER I</t>
  </si>
  <si>
    <t>HEALTH AND SANITARY SUPPLIES 2</t>
  </si>
  <si>
    <t>PROCUREMENT OF PLASTIC PALLET IB NO. 2020-232</t>
  </si>
  <si>
    <t>OTHER SUPPLIES 4</t>
  </si>
  <si>
    <t>OTHER SUPPLIES 2</t>
  </si>
  <si>
    <t>EMERGENCY PURCHASE OF GOODS AND SERVICES 4</t>
  </si>
  <si>
    <t>ITB-2020-08-063 PROCUREMENT OF SEMI-PERISHABLE ITEMS FOR BANGUN IMPLEMENTATION IN SULU PROVINCE</t>
  </si>
  <si>
    <t>PURCHASE OF RESPONSE AND RESCUE EQUIPMENT</t>
  </si>
  <si>
    <t>SUPPLY, AND DELIVERY OF BROTHER TONER, TN-3448 (ORIGINAL) COMPATIBLE WITH  HL-L6400DW HIGH VOLUME MONOCHROME LASER PRINTER</t>
  </si>
  <si>
    <t>Supply, Delivery, Installation, Configuration, Migration, and Testing of Additional Servers for BTMS Infrastructure</t>
  </si>
  <si>
    <t>Road Opening of Porot San Isidro Road (Phase II)</t>
  </si>
  <si>
    <t>ITB-2020-08-057 PROCUREMENT OF SEMI-PERISHABLE ITEMS FOR BANGUN IMPLEMENTATION IN BASILAN PROVINCE</t>
  </si>
  <si>
    <t>PROCUREMENT OF 1000 LICENSES FOR CLOUD ENDPOINT SECURITY SOLUTION 2020</t>
  </si>
  <si>
    <t>HO-TFM20-061 - Supply and Delivery of Various Lighting Components</t>
  </si>
  <si>
    <t>ITB-2020-08-062 PROCUREMENT OF GROCERY ITEMS FOR BANGUN IMPLEMENTATION IN SULU PROVINCE</t>
  </si>
  <si>
    <t>Procurement and Installation of CCTV Cameras for MMDA’s No Contact Apprehension Program to Expand MMDA’s Network Coverage in Traffic Monitoring and Safe Environment</t>
  </si>
  <si>
    <t>OTHER SUPPLIES 5</t>
  </si>
  <si>
    <t>Procurement of Internet Access Subscription (IAS2) (Main, Visayas, Mindanao) (100, 20, 20 Mbps)</t>
  </si>
  <si>
    <t>Proposed Construction of Sewage Treatment Plant House with Solar Panel Installation for Carbon Footprint Reduction and Water Storage Tank</t>
  </si>
  <si>
    <t>OTHER SUPPLIES 3</t>
  </si>
  <si>
    <t>Construction of Multi-Purpose Hall (Phase II)</t>
  </si>
  <si>
    <t>SUPPLY AND DELIVERY OF SODIUM ASCORBATE (VITAMIN C) FOR THE BOTIKA ON WHEELS PROGRAM OF THE PROVINCIAL GOVERNMENT OF CAVITE</t>
  </si>
  <si>
    <t>PURCHASE OF HIGH PRESSURE VEHICLE EXTRICATION KIT AND DRONE FOR USE IN DISASTER PREPAREDNESS PROGRAMS FOR CY 2020</t>
  </si>
  <si>
    <t>ITB-2020-08-059 PROCUREMENT OF GROCERY ITEMS FOR BANGUN IMPLEMENTATION IN TAWI-TAWI PROVINCE</t>
  </si>
  <si>
    <t>ITB-2020-08-060 PROCUREMENT OF SEMI-PERISHABLE ITEMS FOR BANGUN IMPLEMENTATION IN TAWI-TAWI PROVINCE</t>
  </si>
  <si>
    <t>PURCHASE/INSTALLATION OF SUBMERSIBLE PUMP- SITIO CARUFF, BRGY. SAMPIRO</t>
  </si>
  <si>
    <t>PURCHASE/INSTALLATION OF SUBMERSIBLE PUMP- BRGY. LIBATO</t>
  </si>
  <si>
    <t>brand new concrete mixer</t>
  </si>
  <si>
    <t>PURCHASE/INSTALLATION OF SUBMERSIBLE PUMP- BRGY. PUTINGBUHANGIN</t>
  </si>
  <si>
    <t>PURCHASE/INSTALLATION OF SUBMERSIBLE PUMP- BRGY. ESCRIBANO</t>
  </si>
  <si>
    <t>EMERGENCY PURCHASE OF GOODS AND SERVICES 5</t>
  </si>
  <si>
    <t>PURCHASE/INSTALLATION OF SUBMERSIBLE PUMP- SITIO NIUGAN, BRGY. SAPANGAN</t>
  </si>
  <si>
    <t>Procurement of One Lot Office Equipment 2020-03</t>
  </si>
  <si>
    <t>DEVELOPMENT/IMPROVEMENT OF THE PORT OF SAN ANTONIO, PORT OF SAN ANTONIO, SAN ANTONIO, NORTHERN SAMAR</t>
  </si>
  <si>
    <t>SUPPLY &amp; DELIVERY OF TRUCKS FOR ABORLAN MDRRMO</t>
  </si>
  <si>
    <t>SUPPLY AND DELIVERY OF VARIOUS SUPPLIES FOR USE IN THE REPAIR/TROUBLESHOOTING/ MAINTENANCE OF IT EQUIPMENT OF DIFFERENT OFFICES OF THE PROVINCIAL GOVERNMENT OF CAVITE</t>
  </si>
  <si>
    <t>Supply, Delivery and Installation of various materials to be use in the construction of Solar Power Frame and Floater for 6 Units Venturi Aeration System as Resilience Project under ALPAS COVID 19</t>
  </si>
  <si>
    <t>Ordering Agreement Contract for the Procurement of Various Fish Feeds for Fish Stocks of the 4 Units Aquaponics, 6 units Pond with Venturi and 10 units Fish Cages</t>
  </si>
  <si>
    <t>SUPPLY AND DELIVERY OF VARIOUS DRUGS AND MEDICINES FOR THE BOTIKA ON WHEELS PROGRAM OF THE PROVINCIAL GOVERNMENT OF CAVITE</t>
  </si>
  <si>
    <t>Reinsurance of the Industrial All Risk Insurance of the Department of Transportation – Metro Rail Transit 3 (DOTr-MRT3)</t>
  </si>
  <si>
    <t>IMPROVEMENT OF EXISTING ROCK CAUSEWAY, PORT OF SAN ROQUE, DARAM, SAMAR</t>
  </si>
  <si>
    <t>GOV-20-0942-B Purchase of DIESEL FUEL</t>
  </si>
  <si>
    <t>PURCHASE OF DIGITAL DUPLICATING MACHINE, LAPTOP AND PRINTER USE FOR MODULAR REPRODUCTION OF DEPED LANTAPAN EAST AND WEST DISTRICT [1ST BID]</t>
  </si>
  <si>
    <t>Purchase of Risograph needed by the Ajuy National High School and Luca Junior High School for the reproduction of their educational materials</t>
  </si>
  <si>
    <t>Concreting of Station Driveway (BFP-2020)</t>
  </si>
  <si>
    <t>PURCHASE OF TWO (2) UNITS DUMPTRUCK (1ST BID)</t>
  </si>
  <si>
    <t>Fencing of Multi-Purpose Bldg./Covered Court</t>
  </si>
  <si>
    <t>CONNECTING THE EARIST LABORATORIES AND FACULTY ROOMS in the immediate distribution function for the demands on LMS/Blended Learning</t>
  </si>
  <si>
    <t>PURCHASE OF BRAND NEW SHUTTLE BUS FOR USE AS SHUTTLE SERVICE OF THE PROVINCIAL CAPITOL EMPLOYEES</t>
  </si>
  <si>
    <t>REHABILITATION OF MUNICIPAL PUBLIC CEMETERY</t>
  </si>
  <si>
    <t>Construction of  Irrigation Facilities/CABTRIS 20</t>
  </si>
  <si>
    <t>Procurement of Desktop Computers for Various Offices and Campuses in Batangas State University</t>
  </si>
  <si>
    <t>Design &amp; Build of Safe Closure and Rehabilitation of Existing Dumpsite at Purok Maligaya Barangay Lungag, Digos City, with progress billing:</t>
  </si>
  <si>
    <t>Brangay Operation Monitoring System (BOMS)</t>
  </si>
  <si>
    <t>Door to Door Campaign on Waste Segregation</t>
  </si>
  <si>
    <t>Urban Greening</t>
  </si>
  <si>
    <t>Computer Literacy Program</t>
  </si>
  <si>
    <t>CONSTRUCTION OF LANDMARK: WELCOME SIGNAGES AT BARANGAY BUGCAON AND BASAC (1ST BID)</t>
  </si>
  <si>
    <t>Construction of Provincial Veterinary Multi Purpose Building at Barangay Osorio, Trece Martires City, Cavite.</t>
  </si>
  <si>
    <t>Construction of concrete slope protection@ Cavite Evacuation Center at Barangay San Agustin, Trece Martires City, Cavite.</t>
  </si>
  <si>
    <t>IB NO. 08-2020 - PROCUREMENT OF UV GERMICIDAL LIGHT (HFEP)</t>
  </si>
  <si>
    <t>Construction of concrete shoulder and 18.30 m riprap at Barangay Anuling Cerca I, Mendez, Cavite.</t>
  </si>
  <si>
    <t>IMPROVEMENT OF OFFICE OF THE MUNICIPAL MAYOR</t>
  </si>
  <si>
    <t>Public Bidding for the Proposed Construction of Multi-Purpose Covered Court @ Brgy. Binantu-an, Panay, Capiz, Under ITB No. 2020-006C-A</t>
  </si>
  <si>
    <t>Procurement of Goods for Fish Production-Related Program in Support to Bayanihan to Heal as One Act</t>
  </si>
  <si>
    <t>Concreting of Barangay Street (Materials Only)</t>
  </si>
  <si>
    <t>PROCUREMENT FOR SUPPLY AND DELIVERY OF VARIOUS REGULAR MEDICINES AND IV FLUIDS ITB NO. 20-12</t>
  </si>
  <si>
    <t>PB INFRA 20-053_Concreting of Saguing - Libertad Road, Makilala, Catabato</t>
  </si>
  <si>
    <t>PROCUREMENT FOR SUPPLY AND DELIVERY OF VARIOUS ONCOLOGY DRUGS ITB NO. 2013</t>
  </si>
  <si>
    <t>Public Bidding for the Proposed Construction of Multi-Purpose Covered Court @ Brgy. Goce, Pres. Roxas, Capiz, Under ITB No. 2020-010C</t>
  </si>
  <si>
    <t>Repair/Maintenance of DPWH Building Staffhouse/Multi-Purpose Building, Isabela City, Basilan</t>
  </si>
  <si>
    <t>Procurement of various medical supplies-B-20-0219</t>
  </si>
  <si>
    <t>SUPPLY AND DELIVERY OF LOYALTY MEMORABILIA</t>
  </si>
  <si>
    <t>Supply and Delivery of Parts for KM Trucks</t>
  </si>
  <si>
    <t>Public Bidding for the Proposed Construction of Multi-Purpose Covered Court @ Brgy. Lus-onan, Panay, Capiz, Under ITB No. 2020-007C</t>
  </si>
  <si>
    <t>PB INFRA 20-058_Concreting of New Leon - Luanan Road, Aleosan, Cotabato</t>
  </si>
  <si>
    <t>PURCHASE/INSTALLATION OF SUBMERSIBLE PUMP- SITIO BAGONG POOK, BRGY. SAPANGAN</t>
  </si>
  <si>
    <t>One (1) Lot – Pest and Termite Control Services for SJMC</t>
  </si>
  <si>
    <t>20GEF013 Cluster VII – 1. Supply and Delivery of Office equipment for use in the Office of the District Engineer 2. Supply and Delivery of Semi-Expendable Furniture &amp; Fixtures and Furniture &amp; Fixtures</t>
  </si>
  <si>
    <t>Public Bidding for the Supply and Delivery of Construction Materials for the Repair / Rehab of Kabalaka People's Center @ Esla, Brgy. Lanot, Roxas City (Phase 1), under ITB No. 2020-017R-A</t>
  </si>
  <si>
    <t>One (1) Lot –Supply and Delivery of Office Supplies for the use of SJMC</t>
  </si>
  <si>
    <t>CP 2020-51 BIDDING FOR THE SUPPLY AND DELIVERY OF VARIOUS TIRES C/O GSO</t>
  </si>
  <si>
    <t>Public Bidding for the Proposed Construction of Multi-Purpose Covered Court @ Brgy. Quios, Panitan, Capiz, Under ITB No. 2020-018C</t>
  </si>
  <si>
    <t>Public Bidding for the Proposed Construction of Multi-Purpose Covered Court @ Brgy. Poblacion Ilaya, Panitan, Capiz, Under ITB No. 2020-017C</t>
  </si>
  <si>
    <t>CP 2020-49 BIDDING FOR JANITORIAL SERVICES FOR THE PERIOD OCTOBER 01, 2020 TO SEPTEMBER 30, 2023</t>
  </si>
  <si>
    <t>Public Bidding for the Proposed Construction of Multi-Purpose Covered Court @ Brgy. Cubay, Pres. Roxas, Capiz, Under ITB No. 2020-008C</t>
  </si>
  <si>
    <t>One (1) Lot –Pest Control Services for City Government of San Juan</t>
  </si>
  <si>
    <t>Public Bidding for the Proposed Construction of Multi-Purpose Covered Court @ Brgy. Culilang, Pres. Roxas, Capiz, Under ITB No. 2020-009C</t>
  </si>
  <si>
    <t>CP 2020-45 BIDDING FOR THE SUPPLY,DELIVERY AND INSTALLATION OF STRAWBERRY GREENHOUSES AND OTHERS INCLUDING TRAINING C/O CVAO</t>
  </si>
  <si>
    <t>PURCHASE AND DELIVERY OF MATERIALS FOR THE CONSTRUCTION OF CAN-AVID MARKER AT CAN-AVID GREAT PARK, Brgy. 7 Poblacion, Can-avid Eastern Samar</t>
  </si>
  <si>
    <t>20AD0098 : Construction of Candon Sports Complex, Phase I, Bagani Campo, Candon City, Ilocos Sur</t>
  </si>
  <si>
    <t>Public Bidding for the Proposed Construction of Multi-Purpose Covered Court @ Brgy. San Ramon, Pilar, Capiz, Under ITB No. 2020-016C</t>
  </si>
  <si>
    <t>Concreting of road at Sitio Malinta, Barangay Kabulusan, Magallanes, Cavite.</t>
  </si>
  <si>
    <t>Public Bidding for the Concreting of Cabug-Cabug – Bayuyan – Yating – Tabun-acan Provincial Road (Portion), Under ITB No. 2020-013C</t>
  </si>
  <si>
    <t>20GFL0004-Procurement of gasoline/diesel and oil for use in the operation of DPWH Sorsogon 2nd DEO various vehicle and equipment</t>
  </si>
  <si>
    <t>Public Bidding for the Proposed Construction of Multi-Purpose Covered Court @ Brgy. Bilao, Sapian, Capiz, Under ITB No. 2020-012C</t>
  </si>
  <si>
    <t>20AD0097 : Construction of Candon Sports Complex, Phase II, Bagani Campo, Candon City, Ilocos Sur</t>
  </si>
  <si>
    <t>Public Bidding for the Concreting of Farm to Market Road at Brgy. Milibili, Roxas City, Under ITB No. 2020-015C</t>
  </si>
  <si>
    <t>PB INFRA 20-057_Concreting of Busaon  Road, Banisilan, Cotabato</t>
  </si>
  <si>
    <t>Procurement of Various Agricultural Machineries/ Farm Equipment under CRFPS program of DAR-Laguna</t>
  </si>
  <si>
    <t>Laundry Services for San Juan Medical Center  (September – December 2020)</t>
  </si>
  <si>
    <t>PB INFRA 20-047_Construction of Two (2) Lane RCDG Bridge, Manobo, Magpet, Cotabato</t>
  </si>
  <si>
    <t>Procurement of Works for the Construction of Support Facilities to Category 3 Sanitary Land Fill (SLF), Brgy. Agcococ, Tapaz, Capiz</t>
  </si>
  <si>
    <t>Procurement  of   Diesel, Gasoline, Oil and  Lubricants  for  the month of  July  to  September 2020</t>
  </si>
  <si>
    <t>Drilling of Exploratory Well on Various Areas of Calamba City, Laguna</t>
  </si>
  <si>
    <t>Public Bidding for the Concreting of Farm to Market Road at Sitio Proper to Sitio Rosal, Brgy. Mongpong, Roxas City, Under ITB No. 2020-014C</t>
  </si>
  <si>
    <t>Consulting Services For The  Revenue and Finance Operation Modernization Project</t>
  </si>
  <si>
    <t>PB INFRA 20-055_Concreting of Presbitero - Tigbawan Road, Pigcawayan, Cotabato</t>
  </si>
  <si>
    <t>SUPPLY AND DELIVERY OF  DRRM RESCUE VEHICLE (4 WHEEL DRIVE MULTICAB)</t>
  </si>
  <si>
    <t>Rehabilitation of  Multi  Purpose  Building-Barangay  Palanas, Paracale  Camarines  Norte</t>
  </si>
  <si>
    <t>Public Bidding for the Proposed Construction of Multi-Purpose Covered Court @ Brgy. Carmincita, Pres. Roxas, Capiz, Under ITB No. 2020-011C</t>
  </si>
  <si>
    <t>Purchase of 1 Unit Ambulance for the use of Disaster Risk Reduction and Management Office (Re-Bidding)</t>
  </si>
  <si>
    <t>Supply/Delivery of Medicines for Rural Health Unit Consultation and Birthing Clinic Medicines  (PR# 20-07-0743)</t>
  </si>
  <si>
    <t>REHABILITATION OF  MULTI PURPOSE  BUILDING- Barangay  Dalnac, Paracale,Camarines  Norte</t>
  </si>
  <si>
    <t>Supply and Delivery of Various I.T Equipment of Different Departments</t>
  </si>
  <si>
    <t>Stack Emission Test of 450kW FG Wilson Engines for CALAYAN DPP</t>
  </si>
  <si>
    <t>Procurement of Various Construction Supplies -07-451(O)PEO</t>
  </si>
  <si>
    <t>Construction of Lined Canal within Barangay Malalag</t>
  </si>
  <si>
    <t>20CSKG03 - Conduct of Preliminary Detailed Engineering (PDE) Activities for the Project : Construction of Multi-purpose Building (Performance Arts Center) at Kapatagan National High School,Kapatagan,</t>
  </si>
  <si>
    <t>Purchase and Delivery of Desktop Computer Set Use for Universal Health Care Implementation of RHU-Orion, Bataan</t>
  </si>
  <si>
    <t>PURCHASE AND DELIVERY OF OFFICE EQUIPMENTS, RHU, Can-avid Eastern Samar</t>
  </si>
  <si>
    <t>Contract for the Supply of Various Spare Parts (Kit Mimic Panel HMI, Fuse 200A, Fuse 10A, etc.) under PR No. RS-0620-008 and ITB No. 2007-038-01</t>
  </si>
  <si>
    <t xml:space="preserve">20GEF011 (Re-bid 1) Supply and Delivery of IT equipment, Parts Tools and Software for Installation and Configuration of Communication Networking Equipment including System Integration of DPWH Palawan </t>
  </si>
  <si>
    <t>CP 2020-50 BIDDING FOR THE SUPPLY, DELIVERY AND INSTALLATION OF FILE COMPACTOR C/O LCR</t>
  </si>
  <si>
    <t>SUPPLY OF DIESOLINE AND SPL GAS FOR THE  CONSUMPTION OF THE DIFFERENT VEHICLE/OFFICES  OF LGU-MOLAVE, ZDS</t>
  </si>
  <si>
    <t>Supply and Delivery of Office Supplies for the First Quarter</t>
  </si>
  <si>
    <t>Ref. No. 2020-028 Procurement of Additional Fully Developed Lots and Completed Housing Units Under NHA's Yolanda Permanent Housing Program - Sta. Fe Residences, Pandan, Antique (Re-Bid)</t>
  </si>
  <si>
    <t>Rescue vehicle (Brandnew)</t>
  </si>
  <si>
    <t>Ref. No. 2020-027 Procurement of Additional Fully Developed Lots and Completed Housing Units Under NHA's Yolanda Permanent Housing Program - Kawayan, Biliran (Re-Bid)</t>
  </si>
  <si>
    <t>Ref. No. 2020-026 Procurement of Additional Fully Developed Lots and Completed Housing Units Under NHA's Yolanda Permanent Housing Program - Prime Town IV, Tanauan, Leyte (Re-Bid)</t>
  </si>
  <si>
    <t>Preventive Maintenance of Uninterruptible Power Supply (UPS) for two (2) quarters at various SSS Branch Offices under Luzon North 1 Division (1 lot) CY 2020</t>
  </si>
  <si>
    <t>Ref. No. 2020-025 Procurement of Additional Fully Developed Lots and Completed Housing Units Under NHA's Yolanda Permanent Housing Program - Our Lady of Assumption, Tanauan, Leyte (Re-Bid)</t>
  </si>
  <si>
    <t>Ref. No. 2020-024 Procurement of Additional Fully Developed Lots and Completed Housing Units Under NHA's Yolanda Permanent Housing Program - Burauen, Leyte (Re-Bid)</t>
  </si>
  <si>
    <t>Integrated Monitoring, Observation and Communication System for the Municipality of Mendez-Nuñez with Command Center</t>
  </si>
  <si>
    <t>SUPPLY AND DELIVERY OF RADIOLOGY SUPPLIES (JULY-DECEMBER 2020)</t>
  </si>
  <si>
    <t>Ref. No. 2020-022 Procurement of Additional Fully Developed Lots and Completed Housing Units Under NHA's Yolanda Permanent Housing Program - Coron Residences, Coron, Palawan</t>
  </si>
  <si>
    <t>SUPPLY AND DELIVERY OF ANESTHESIA SUPPLIES (JULY-DECEMBER 2020)</t>
  </si>
  <si>
    <t>Compacted Solid Waste (Garbage) hauling and disposal to hauler’s disposal site-LGU Mataasnakahoy, Batangas</t>
  </si>
  <si>
    <t>CP 2020-52 BIDDING FOR THE SUPPLY AND DELIVERY OF ONE (1) UNIT INSULATED MANLIFT TRUCK C/O CEO</t>
  </si>
  <si>
    <t>PURCHASE OF IT EQUIPMENT AND FURNITURE, MTO, CAJIDIOCAN, ROMBLON</t>
  </si>
  <si>
    <t>Ref. No. 2020-023 Procurement of Additional Fully Developed Lots and Completed Housing Units Under NHA's Yolanda Permanent Housing Program - Tabontabon, Leyte (Re-Bid)</t>
  </si>
  <si>
    <t>Supply of fuels for the proposed road rehabilitation/crowning and compaction of various barangay roads of different barangays (Perez, Poblacion, San Isidro, San Roque,  Sibawan) all of Kidapawan City</t>
  </si>
  <si>
    <t>Supply of fuels for the proposed road rehabilitation/crowning and compaction of various barangay roads of different barangays (Sikitan, Singao, Sto.Niño, Sudapin, Sumbac) all of Kidapawan City</t>
  </si>
  <si>
    <t>19GL00119; P.R. No. 2020-03-042 DATED 03/19/2020: PROCUREMENT OF ONE (1) LOT OF VARIOUS FURNITURE, FOR USE IN THE OPERATION OF THE DPWH R.O. XI (NEW BUILDING), UNDER THE PLANNING AND DESIGN, CONSTRUCT</t>
  </si>
  <si>
    <t>Ref. No. 2020-021 Procurement of Additional Fully Developed Lots and Completed Housing Units Under NHA's Yolanda Permanent Housing Program - Coron Heights, Coron, Palawan</t>
  </si>
  <si>
    <t>SUPPLY AND DELIVERY OF CONSERVATION, PRESERVATION AND EXHIBITION MATERIALS FOR THE NATIONAL LIBRARY OF THE PHILIPPINES</t>
  </si>
  <si>
    <t>Procurement of Security Services for Batangas State University</t>
  </si>
  <si>
    <t>:  Supply and Delivery of Food Items (1 lot) for the Supplementary Feeding Program for the 10th cycle implementation CY 2020</t>
  </si>
  <si>
    <t>PR-2020-06-132 Campus Road Improvement Project</t>
  </si>
  <si>
    <t>Labor and Materials for the Construction of New Municipal Disaster Risk Reduction and Management Office Headquarters (Phase II)</t>
  </si>
  <si>
    <t>Supply and Materials for the Conduct of Recruitment for Officers and EP Pre-Entry Trainees</t>
  </si>
  <si>
    <t>Supply and Delivery of Sailor Battle Dress Uniform (SBDU) with Herring Bone Twill (HBT) Cap (FRAMEWORK AGREEMENT)</t>
  </si>
  <si>
    <t>Improvement of Barangay North Poblacion Road</t>
  </si>
  <si>
    <t>Proposed Construction of open canal (Installation RCP 24”Ø (32pcs) / Open Canal Equiv. 24” RCP (L-208 mtrs.)) at Sinsuat Street (from Petron – Perez St. Section), Brgy. Poblacion, Kidapawan City</t>
  </si>
  <si>
    <t>CONSTRUCTION OF DRAINAGE SYSTEM ALONG BURGOS STREET, CORNER VALOIS STREET TO SAN AGUSTIN STREET, LA CARLOTA CITY</t>
  </si>
  <si>
    <t>ROAD OPENING AT BABY'S BREATH, POBLACION WEST, FLORA, APAYAO</t>
  </si>
  <si>
    <t>Negotiated Procurement of Supply and Delivery of Office Supplies</t>
  </si>
  <si>
    <t>REHABILITATION/IMPROVEMENT OF SAN JOSE DIVERSION DAM</t>
  </si>
  <si>
    <t>Concreting of Brgy. Road in Barangay Salvacion</t>
  </si>
  <si>
    <t>Concreting of Farm-To-Market Road (San Roque)</t>
  </si>
  <si>
    <t>Supplies/Material for CCIE Mobstock for Reservist</t>
  </si>
  <si>
    <t>Concreting of Farm-To-Market Road (Sitio Baybayabas, Balbalungao))</t>
  </si>
  <si>
    <t>Concreting of Local Core Road at Sitio Balot 2</t>
  </si>
  <si>
    <t>Concreting of Farm-To-Market Road (Agupalo Este Road)</t>
  </si>
  <si>
    <t>19GL00120; P.R. No. 2020-03-042 DATED 03/19/2020: PROCUREMENT OF ONE (1) LOT OF VARIOUS CABINETS &amp; FILE STORAGE, FOR USE IN THE DPWH R.O. XI, UNDER ADMINISTRATIVE DIVISION, DAVAO CITY</t>
  </si>
  <si>
    <t>I.T. EQUIPMENT AND SOFTWARE-ACC-20-0918-B</t>
  </si>
  <si>
    <t>REPAIR OF DRAINAGE CANAL AT URIARTE SUBDIVISION, BARANGAY III,  LA CARLOTA CITY</t>
  </si>
  <si>
    <t>Concreting of Farm-To-Market Road (San Isidro)</t>
  </si>
  <si>
    <t>PURCHASE OF NUTRITION PRODUCTS (ADULT MILK AND INSTANT OATMEAL), MDRRMO, CAJIDIOCAN, ROMBLON</t>
  </si>
  <si>
    <t>Procurement of Supply &amp; Delivery of 186 heads Goat</t>
  </si>
  <si>
    <t>PURCHASE OF MOBILE PHONES, SB OFFICE, CAJIDIOCAN, ROMBLON</t>
  </si>
  <si>
    <t>PURCHASE OF FISHING EQUIPMENT, MAO, CAJIDIOCAN, ROMBLON</t>
  </si>
  <si>
    <t>Construction of 1 Unit 2 Classrooms at Sitio Salvacion, Barangay Manila De Bugabos, Butuan City</t>
  </si>
  <si>
    <t>Concreting of Farm-To-Market Road (San-Isidro Mapangpang Road)</t>
  </si>
  <si>
    <t>PURCHASE OF OFFICE SUPPLIES, BFP-DILG, CAJIDIOCAN, ROMBLON</t>
  </si>
  <si>
    <t>PUBLIC BIDDING / PR 19-11-1191 Re-Bid / BRAND NEW 4x2 6 WHEELER CAB</t>
  </si>
  <si>
    <t>Invitation to Bid (Baler, Aurora)(Imus City, Cavite)</t>
  </si>
  <si>
    <t>19GL00121; P.R. No. 2020-03-042 DATED 03/19/2020: PROCUREMENT OF ONE (1) OF LOT ROLLER BLINDS,  FOR USE IN THE OPERATION OF THE DPWH R.O. XI (NEW BUILDING), UNDER THE PLANNING AND DESIGN, CONSTRUCTION</t>
  </si>
  <si>
    <t>Training of Trainers on the NTP Manual of Procedure, 6th Edition</t>
  </si>
  <si>
    <t>Purchase of 95 units Branded Laptop for use by Senior High School Learners in the Publci Secondary Schools, Laoag City</t>
  </si>
  <si>
    <t>PUBLIC BIDDING / PR 20-06-1410  / LICENSES,NETWORK ACCESS CONTROL (NAC) APPLAINCE</t>
  </si>
  <si>
    <t>rebidding of the requirement “Five (5) Lots Various Construction Materials for the use in the Construction/Rehabilitation of Shoreline Protection Structures along Coastal Barangays, Dumaguete City, Pr</t>
  </si>
  <si>
    <t>PURCHASE OF OFFICE SUPPLIES, MSWDO, CAJIDIOCAN, ROMBLON</t>
  </si>
  <si>
    <t>Construction of Pantry and tiling of PE Office ( RFQ 2020-4235)</t>
  </si>
  <si>
    <t>PROPOSED 100MM X 394 LM. DI PIPELINE EXPANSION AT SITIO LUTAW-LUTAW, BRGY. TISA, CEBU CITY, CEBU</t>
  </si>
  <si>
    <t>Supply &amp; Delivery of Furniture for CADS,Library,RDE Office and Disaster</t>
  </si>
  <si>
    <t>(SBMA-BAC-CONS-RFEI-20-03) CONSULTANCY SERVICES FOR THE PREPARATION OF DETAILED ENGINEERING DESIGN FOR THE REHABILITATION OF SHIP REPAIR FACILITIES (SRF) PIER AND WHARVES PROJECT</t>
  </si>
  <si>
    <t>PROPOSED PIPELINE REHABILITATION PROJECT FOR GARDEN BLOOM ACRES SUBDIVISION, BRGY. PITOGO, CONSOLACION, CEBU</t>
  </si>
  <si>
    <t>Construction of Buntis Lounge</t>
  </si>
  <si>
    <t>One (1) Year Garbage Collection, Transport and Disposal Services (2nd Posting)</t>
  </si>
  <si>
    <t>IMPROVEMENT  OF BRGY. WARD I COVERED COURT/ MULTI-PURPOSE BUILDING (PHASE III) AT BRGY. WARD I, MINGLANILLA, CEBU</t>
  </si>
  <si>
    <t>IMPROVEMENT/ CONSTRUCTION OF DRAINAGE SYSTEM AT BRGY. TULAY, MINGLANILLA, CEBU</t>
  </si>
  <si>
    <t>IMPROVEMENT  OF BRGY. LINAO COVERED COURT/ MULTI-PURPOSE HALL AT LINAO, MINGLANILLA, CEBU</t>
  </si>
  <si>
    <t>CONSTRUCTION OF MULTI-PURPOSE BUILDING (BODEGA) (8000-2-2-15) MABILA, SARANGANI, DAVAO OCCIDENTAL</t>
  </si>
  <si>
    <t>Supply and delivery of Drugs and Medicines for use at the City Health Office, RHU’s, BHS’s &amp; Medical Mission Request (for 3rd &amp; 4th quarter), Laoag City</t>
  </si>
  <si>
    <t>PURCHASE OF MEDICAL, DENTAL &amp; LABORATORY SUPPLIES ALLOCATION FOR 2020 FOR RHU 1 FOR MINGLANILLA, CEBU</t>
  </si>
  <si>
    <t>Supply and Delivery of Assorted Materials for the Establishment of District Metering Area</t>
  </si>
  <si>
    <t>B-046-2020 UPGRADE OF MARITIME EDUCATION LABORATORIES AND EQUIPMENT</t>
  </si>
  <si>
    <t>Contract ID No. 19CSK00056 – Consulting Services for the Conduct of Soil Testing/Exploration for Bridge Projects - Geotechnical Investigation - Construction of Bridge, Cagayan de Oro Diversion Road, J</t>
  </si>
  <si>
    <t>Procurement of Hardware Supplies PR # 2020-07-17-250, 2020-07-17-253, 2020-07-17-254, 2020-07-17-255-A, 2020-07-17-256</t>
  </si>
  <si>
    <t>Procurement of Books PR # 2020-07-20-266</t>
  </si>
  <si>
    <t>Supply and Delivery of 20 Pieces Battery, N100L, LM, 80 RC Min., 15 Plates, 600 CCA and other various items.</t>
  </si>
  <si>
    <t>Supply and Delivery of 2000 Units Fire Extinguishers Weight: 5.0 kilos and 3000 Kilos Refill of Fire Extinguishers.</t>
  </si>
  <si>
    <t>Supply/Delivery of Motor Vehicle</t>
  </si>
  <si>
    <t>Supply and Delivery of 330 Bags Thermoplastic Road Marking Compound-White and other items including purchase of Construction supplies.</t>
  </si>
  <si>
    <t>Supply and Delivery Consumables with free use Monochrome Photocopier Machine and other items.</t>
  </si>
  <si>
    <t>Supply and Delivery of 1 Unit Brand New Heavy Duty Water Tanker 6 Cylinder, common rail fuel injection diesel engine.</t>
  </si>
  <si>
    <t>Rescue Transport Vehicle (Ambulance)</t>
  </si>
  <si>
    <t>PURCHASE OF MEDICAL, DENTAL &amp; LABORATORY SUPPLIES ALLOCATION FOR 2020 FOR RHU 2 FOR MINGLANILLA, CEBU</t>
  </si>
  <si>
    <t>PROCUREMENT OF VARIOUS ELECTRICAL SUPPLIES</t>
  </si>
  <si>
    <t>WELDING ROD</t>
  </si>
  <si>
    <t>PROCUREMENT OF STENO WRITER/MACHINE</t>
  </si>
  <si>
    <t>REPAIR OF BUTTERFLY VALVE LIGHTING SYSTEM</t>
  </si>
  <si>
    <t>PROCUREMENT OF VARIOUS PUBLICATION &amp; PRINTING EQUIPMENT</t>
  </si>
  <si>
    <t>20L00172 : Construction of Rainwater Collection System, Island Garden City of Samal, Davao del Norte</t>
  </si>
  <si>
    <t>CONSTRUCTION MATERIALS</t>
  </si>
  <si>
    <t>Procurement of Non-Contact Temperature Screening Camera for the Covid-19 Prevention of the College</t>
  </si>
  <si>
    <t>Purchase of Materials for the Fabrication of Wooden windows Mosquito Net Frame at Bryg. Poblacion, San Andres, Quezon</t>
  </si>
  <si>
    <t>Contract for One (1) Lot Cloud Storage, 20TB under P.R. No. KMT-2002-008 and ITB No. 2006-029-10</t>
  </si>
  <si>
    <t>Contract for the Supply of Various Spare Parts (Static Inverter IGBT, Static Inverter Gate Drive Unit, and SIV Fuse) under P.R. No. RS-0720-010 and ITB No.2007-037-01</t>
  </si>
  <si>
    <t>Purchase of IT Equipment for use of the Different Offices of the City Government of Laoag.</t>
  </si>
  <si>
    <t>Supply, Delivery and Commissioning of Submersible Pumps and Motors with Accessories for PS No. 4, PS N0. 9 and PS No. 9A</t>
  </si>
  <si>
    <t>RJO FABRICATION, REPAIR AND SERVICING- FURNISHING OF LABOR, TOOLS AND EQUIPMENT CONSUMABLES AND EXPERTISE FOR THE REPAIR AND REPLACEMENT OF HEAVILY CORRODED AND LEAKING PENSTOCK</t>
  </si>
  <si>
    <t>Supply, Delivery and Commissioning of Submersible Pumps and Motors, Motor Controller (VFD) and Accessories for PS No. 8</t>
  </si>
  <si>
    <t>Supply, Delivery and Commissioning of Submersible Pumps and Motors, Motor Controller (VFD) and Accessories for PS No. 7</t>
  </si>
  <si>
    <t>Goods 2020-018 Supply and Delivery of  Computer Equipment (Laptop and Printer)  and Nine (9) units Office Equipment (aircondition)</t>
  </si>
  <si>
    <t>Supply and Delivery of Assorted Service Connection Materials</t>
  </si>
  <si>
    <t>Preventive Maintenance of Substations</t>
  </si>
  <si>
    <t>Modern Audio Visual Room at Laboratory High School (LHS) I-2020-17</t>
  </si>
  <si>
    <t>Contract ID No. 19CSK00053 – Consulting Services for the Conduct of Soil Testing/Exploration for Bridge Projects - Geotechnical Investigation - Construction of Pigsuotan Bridge, Brgy. Mandulog, Iligan</t>
  </si>
  <si>
    <t>HO-UAR20-004 - Supply and Delivery of Rain Coat and Flashlight</t>
  </si>
  <si>
    <t>HO-FAU20-003 - Supply and Delivery of Scanner/Printer, Camera Digital &amp; Shredder Paper</t>
  </si>
  <si>
    <t>B-044-2020 PROCUREMENT OF 1 LOT VARIOUS MEDICAL and DENTAL SUPPLIES</t>
  </si>
  <si>
    <t>PROCUREMENT OF ONE (1) UNIT RESCUE VEHICLE 2.2 L 4x4 Manual Transmission</t>
  </si>
  <si>
    <t>B-043-2020 CONTINUOUS SUBSCRIPTION TO E-JOURNAL &amp; E-BOOKS AND SUBSCRIPTION OF E-LEARNING RESOURCES</t>
  </si>
  <si>
    <t>Bidding for Supply &amp; Delivery of Medical Supplies – Face Mask</t>
  </si>
  <si>
    <t>(SBMA-BAC-INFRA-IB-07-20) PROPOSED CONSTRUCTION OF STORAGE FACILITY FOR HAZARDOUS MATERIALS</t>
  </si>
  <si>
    <t>(SBMA-BAC-INFRA-IB-08-20) REHABILITATION OF MT. STA. RITA COMMUNICATION FACILITY</t>
  </si>
  <si>
    <t xml:space="preserve">REQUEST FOR EXPRESSION OF INTEREST FOR THE PROCUREMENT OF CONSULTING SERVICES TO DEVELOP THE COMMISSION ON HUMAN RIGHTS ORGANIZATIONAL STRUCTURE AND STAFFING PATTERN AND PREPARATION FOR LEVEL 2 PRIME </t>
  </si>
  <si>
    <t>Supply and Delivery of Remote Sensing Software License CY 2020 IB NO: BSWM-2020-07-010</t>
  </si>
  <si>
    <t>B-045-2020 UPGRADING THE OFFICE EQUIPMENT AND FACILITIES AND ACCESSORIES OF THE CFFS</t>
  </si>
  <si>
    <t>Supply &amp; Delivery of Steel Cabinets for Different Departments</t>
  </si>
  <si>
    <t>Supply &amp; Delivery of Airconditioning &amp; Aircinditioning Systems - CO for RDE, Clinic, Extension, CADS, IGE &amp; Planning</t>
  </si>
  <si>
    <t>Proposed Construction of Multi-Purpose Building (Phase II) @ Brgy. Cabitoonan, Toledo City</t>
  </si>
  <si>
    <t>Supply &amp; Delivery of Office Equipment for CTAS &amp; CTE</t>
  </si>
  <si>
    <t>PR-2020-03-060 Supply &amp; Delivery of Reference Books for the Library</t>
  </si>
  <si>
    <t>PR-2020-03-071 Upgrading of Internet Infrastructure</t>
  </si>
  <si>
    <t>Supply and Delivery of Light Rescue 4x4 Vehicle</t>
  </si>
  <si>
    <t>Negotiation due to Two Failed Biddings for Various Drugs and Medicines</t>
  </si>
  <si>
    <t>ITB-GS-20200611-01 - Supply and Delivery of Additional 120 Units for Existing Cisco ISR 4221 Routers</t>
  </si>
  <si>
    <t>Procurement of Mini Dump Truck</t>
  </si>
  <si>
    <t>CONCRETING OF TACTAC-ATBU ROAD</t>
  </si>
  <si>
    <t>One (1) Lot Replacement of Twelve (12) sets Roll-Up Doors at the Cash Loading Bay, Bldg. D, BSP-SPC, as per BSP Scope of Works and Specifications and Plan/Drawing</t>
  </si>
  <si>
    <t>Procurement of Floating Ball Buoy</t>
  </si>
  <si>
    <t>Purchase of Laboratory Supplies for use at the Laoag City General Hospital – Dialysis Unit.</t>
  </si>
  <si>
    <t>SUPPLY AND DELIVERY OF SERVICE/GARDENING TOOLS FOR CULTURAL HERITAGE CENTER EQUIPMENT, MSU MAIN CAMPUS, MARAWI CITY</t>
  </si>
  <si>
    <t>Rescue Boat- MDRRMO</t>
  </si>
  <si>
    <t>RETAINING WALL BRGY. GYM</t>
  </si>
  <si>
    <t>Contract ID No. 19CSK00054 – Consulting Services for the Conduct of Soil Testing/Exploration for Bridge Projects - Geotechnical Investigation - Construction of Concrete Bridge, Magsaysay-Butuan City C</t>
  </si>
  <si>
    <t>SUPPLY AND DELIVERY OF OFFICE SUPPLIES FOR CULTURAL HERITAGE CENTER EQUIPMENT, MSU MAIN CAMPUS, MARAWI CITY</t>
  </si>
  <si>
    <t>IMPROVEMENT OF BASKETBALL COURT AND CONSTRUCTION OF CONCRETE BENCH, BARANGAY MABINI, BURDEOS, QUEZON</t>
  </si>
  <si>
    <t>HO-CWA20-006 - Supply and Delivery of Megaphone and Screen Projector with Stand</t>
  </si>
  <si>
    <t>Contract ID No. 19CSK00055 – Consulting Services for the Conduct of Soil Testing/Exploration for Bridge Projects - Geotechnical Investigation - Construction of Concrete Bridge, Impasug-ong Bdry. Bukid</t>
  </si>
  <si>
    <t>Supply &amp; Delivery of Commercial Feeds for Bangus and Vannamei Production</t>
  </si>
  <si>
    <t>DIS-20-0817-B - Purchase of Medical &amp; Laboratory Supplies</t>
  </si>
  <si>
    <t>UPLB-S-049-08-20, PROCUREMENT FOR THE REHABILITATION/UPGRADE OF INTERNET CONNECTION FOR BAC SECRETARIAT OFFICE</t>
  </si>
  <si>
    <t>UPLB-S-047-08-20, SUPPLY AND DELIVERY OF BRANDED AND BRAND NEW VARIOUS INFORMATION TECHNOLOGY, PARTS &amp; ACCESSORIES &amp; PERIPHERALS</t>
  </si>
  <si>
    <t>vehicle service</t>
  </si>
  <si>
    <t>Purchase of Goods/Materials for Concreting of Malabo Brgy. Road (Re-Bid)</t>
  </si>
  <si>
    <t>Supply, Delivery and Installation of Barangay Solar Street Light (Off-Grid Street Lighting) for Barangay Electrification Program of the Provincial Government of Zamboanga del Sur</t>
  </si>
  <si>
    <t>UPLB-S-048-08-20, SUPPLY AND DELIVERY OF BRANDED AND BRAND NEW CHEMICALS AND CHEMICAL PRODUCTS FOR BIOTECH</t>
  </si>
  <si>
    <t>Proposed Completion of GSD Warehouse &amp; Construction of Perimeter Fence @ Brgy. Poblacion, Toledo City</t>
  </si>
  <si>
    <t>Invitation to Bid for the Construction of “Ang Lumang Gapan Project”</t>
  </si>
  <si>
    <t>Construction of Rural Access Road of Various Sitios (Barangay Tambaliza)</t>
  </si>
  <si>
    <t>PROCUREMENT/SUPPLY OF TECHNICAL ASSISTANCE FOR MARKETING OF RICE COMMODITY OF VETREBUNS ARC CLUSTER UNDER PROJECT CONVERGE</t>
  </si>
  <si>
    <t>19KA0162 Concreting of Sitio Kibuda, Brgy. Kibangay FMR, Brgy. Kibangay, Lantapan, Bukidnon Brgy. Kibangay, Lantapan, Bukidnon Lantapan, Bukidnon 2nd LD</t>
  </si>
  <si>
    <t>Invitation to Bid for the Installation of Fiber Optic, CCTV, Early Warning System, and other Paraphernalia for Central Command Center</t>
  </si>
  <si>
    <t>PROCUREMENT  OF  MEDICINES  AND  SUPPLIES  FOR  MUNICIPAL  HEALTH OFFICE - RHU1 AND RHU 11- 3RD AND 4TH QUARTER</t>
  </si>
  <si>
    <t>Procurement of Works for the Construction of Category 3 Sanitary Land Fill (SLF), Brgy. Agcococ, Tapaz, Capiz</t>
  </si>
  <si>
    <t>Asphalt overlay of road at Purok 1, Purok 2, at Barangay Gregorio, Trece Martires City, Cavite.</t>
  </si>
  <si>
    <t>20CSCN02 -Consulting Services for the Concept Study of Baler By-Pass Road, Baler, Aurora</t>
  </si>
  <si>
    <t>Construction of grouted riprap at Along Araro Creek Barangay Poblacion 1, Gen.Emilio Aguinaldo, Cavite.</t>
  </si>
  <si>
    <t>Construction of grouted riprap at Barangay Limbon, Indang, Cavite.</t>
  </si>
  <si>
    <t>Purchase of Polo Shirt with Print for the Youth Symposium on the National Security Framework and Effects and Impacts of Illegal Drugs Program of the Province of Zamboanga del Sur (2nd Batch)</t>
  </si>
  <si>
    <t>Recorder, Standalone h.264 USB, portable</t>
  </si>
  <si>
    <t>One  (1)  Lot  Engagement  of  Consultant  for  the  Assessment  of  Enterprise  Risk,  Business  Continuity  Management  Frameworks  and  Development  of  Compliance  Management  Framework and Progra</t>
  </si>
  <si>
    <t>Construction of Retaining Wall (Phase III), Barangay Sta. Rosa Noveleta, Cavite.</t>
  </si>
  <si>
    <t>Concreting of Sitio Cabangan, Barangay Norte to Barangay Kilogan Farm to Market Road, Barangay Norte and Barangay Kilogan, Patnanungan, Quezon</t>
  </si>
  <si>
    <t>SUPPLY AND DELIVERY OF CONSOLIDATED OFFICE SUPPLIES FOR USE OF PROVINCIAL HOSPITAL/SATELLITE HOSPITALS AND CCMH</t>
  </si>
  <si>
    <t>PURCHASE OF BRAND NEW JET SKI WITH TRAILER FOR USE IN PEACE AND ORDER PROGRAM OF THE PROVINCIAL GOVERNMENT</t>
  </si>
  <si>
    <t>SUPPLY AND DELIVERY OF FOUR (4) UNITS BRANDNEW MOTOR VEHICLE</t>
  </si>
  <si>
    <t>Procurement of Consulting Services for the Technical Review and Audit of the Net Settlement Surplus (NSS) Allocation of the Wholesale Electricity Spot Market (WESM)</t>
  </si>
  <si>
    <t>IMPROVEMENT OF DRAINAGE CANAL ALONG NATIONAL HIGHWAY.</t>
  </si>
  <si>
    <t>Proposed Fabrication and Installation of Stairs and Waiting Shed for Bus Stop at MRT3/LRT1 and Footbridges along EDSA from Roxas Blvd. to Monumento</t>
  </si>
  <si>
    <t>Procurement of Technical Assistance for the Evaluation and Approval of the Price Determination Methodology (PDM) of the Wholesale Electricity Spot Market (WESM)</t>
  </si>
  <si>
    <t>Procurement of Security Services (For the Energy Regulatory Commission’s Main Office, Visayas Area Operations Division, and Mindanao Area Operations Division)</t>
  </si>
  <si>
    <t>SUPPLY AND DELIVERY OF CONSOLIDATED JANITORIAL SUPPLIES FOR USE OF PROVINCIAL HOSPITAL/SATELLITE HOSPITALS AND CCMH</t>
  </si>
  <si>
    <t>ITB-2020-08-056 PROCUREMENT OF GROCERY ITEMS FOR BANGUN IMPLEMENTATION IN BASILAN PROVINCE</t>
  </si>
  <si>
    <t>SUPPLY &amp; DELIVERY OF LIVESTOCK AND OTHER VARIOUS MATERIALS FOR ICFP PROGRAM</t>
  </si>
  <si>
    <t>SOCIAL WELFARE PROGRAM</t>
  </si>
  <si>
    <t>ENVIRONMENT AND SANITATION PROGRAM</t>
  </si>
  <si>
    <t>Concreting of Barangay Amot to Bonifacio Farm to Market Road Barangay Amot and Bonifacio Burdeos, Quezon</t>
  </si>
  <si>
    <t>Cellcards for the Digital Platform re: Monitoring of SWDAs, ABSNet Meetings and Webinar</t>
  </si>
  <si>
    <t>OTHER SUPPLIES 1</t>
  </si>
  <si>
    <t>HEALTH AND SANITARY SUPPLIES 6</t>
  </si>
  <si>
    <t>Other Supplies and Materials 3LSSM2020A-116</t>
  </si>
  <si>
    <t>20CG0255 - Concreting of Sitio 2 to Sitio 3, Brgy. Vizal San Pablo FMR, Brgy. Vizal San Pablo, Candaba, Pampanga</t>
  </si>
  <si>
    <t>FOD-C-20-2963: Procurement of 753 bags of Chicken Dung</t>
  </si>
  <si>
    <t>CONSTRUCTION OF POBLACION TO MALANTUYON BAYWALK ACCESS ROAD</t>
  </si>
  <si>
    <t>ITB-2020-08-061 PROCUREMENT OF PERISHABLE ITEMS FOR BANGUN IMPLEMENTATION IN SULU PROVINCE</t>
  </si>
  <si>
    <t>Construction of MCC-HOTEL WAREHOUSE BUILDING</t>
  </si>
  <si>
    <t>Procurement of various drugs and medicines for provision of commodities and supplies for the continuation of PGLDN Covid-19 response.</t>
  </si>
  <si>
    <t>Construction of Makilala Institute of Science and Technology (MIST) Indigenous People Dormitory Located at Brgy. Concepcion, Makilala, Cotabato</t>
  </si>
  <si>
    <t>Supply and Delivery of Laptop Computers for the Department of Trade &amp; Industry (DTI)</t>
  </si>
  <si>
    <t>SUPPLY AND DELIVERY OF APPLIANCES FOR CULTURAL HERITAGE CENTER  MSU MAIN CAMPUS, MARAWI CITY</t>
  </si>
  <si>
    <t>Consulting Service for the Support and Maintenance of the Business Name Registration System Next Generation (BNRSNextGEN)</t>
  </si>
  <si>
    <t>UPLB-IF-005-08-20 REBID, COMPLETION OF TECHNOLOGY HUB SND ONE STOP SHOP, MARIANO M. MONDOÑEDO AVE., UPLB, COLLEGE, LAGUNA</t>
  </si>
  <si>
    <t>Construction of PGLDN Butterfly House.</t>
  </si>
  <si>
    <t>Procurement of One (1) unit service vehicle for PVO field operation.</t>
  </si>
  <si>
    <t>Other Supplies and Materials 3LSSM2020A-117</t>
  </si>
  <si>
    <t>Supply and delivery of One unit Brandnew Ambulance for PGLDN covid-19 response use.</t>
  </si>
  <si>
    <t>PROCUREMENT  OF TWO (2) UNITS  BRAND NEW MEDICAL AMBULANCE</t>
  </si>
  <si>
    <t>HEALTH AND SANITARY SUPPLIES 7</t>
  </si>
  <si>
    <t>Procurement of SECURITY Services for One (1) Year Contract</t>
  </si>
  <si>
    <t>Supply and Delivery of Various Cast Iron Fittings</t>
  </si>
  <si>
    <t>Procurement &amp; Delivery of Medical Supplies</t>
  </si>
  <si>
    <t>HEALTH AND SANITARY SUPPLIES 5</t>
  </si>
  <si>
    <t>CONTRACT FOR THE SUPPLY AND DELIVERY OF ONE (1) ASSEMBLY MOULDED  CASE CIRCUIT BREAKER AND ONE (1) ASSEMBLY AUTOMATIC TRANSFER  SWITCH (ATS)  INCLUDING INSTALLATION, TESTING, AND COMMISSIONING</t>
  </si>
  <si>
    <t>SUPPLY AND DELIVERY OF IT EQUIPMENT FOR CULTURAL HERITAGE CENTER EQUIPMENT, MSU MAIN CAMPUS, MARAWI CITY</t>
  </si>
  <si>
    <t>SUPPLY AND DELIVERY OF AUDIO &amp; VISUAL EQUIPMENT  FOR CULTURAL HERITAGE CENTER, MSU MAIN CAMPUS, MARAWI CITY</t>
  </si>
  <si>
    <t>PURCHASE OF MATERIALS FOR THE CONCRETING OF ROAD AT FORTUNE TOWNE, 5TH ROAD, BRGY. ESTEFANIA</t>
  </si>
  <si>
    <t>Supply and Delivery various Agricultural Inputs for CY 2020 IB NO: BSWM-2020-07-011</t>
  </si>
  <si>
    <t>PURCHASE OF MATERIALS FOR THE ROAD IMPROVEMENT AT JUNCTION BURGOS AND SAN JUAN STREETS (SAN JUAN TO RECLAMATION AREA) (BURGOS TO BRIDGE)</t>
  </si>
  <si>
    <t>PURCHASE OF MATERIALS FOR THE ROAD IMPROVEMENT AT SAN SEBASTIAN ST. (DAWIS), BRGY. 13 (SAN JUAN ST. TO PALANCA ST.)</t>
  </si>
  <si>
    <t>SUPPLY AND DELIVERY OF BIOTECH LABORATORY EQUIPMENT FOR CULTURAL HERITAGE CENTER EQUIPMENT, MSU MAIN CAMPUS, MARAWI CITY</t>
  </si>
  <si>
    <t>PURCHASE OF MATERIALS FOR IMPROVEMENT OF FACILITIES AT SOCIAL DEVELOPMENT CENTER, BRGY. SINGCANG-AIRPORT, BACOLOD CITY</t>
  </si>
  <si>
    <t>Construction of  Agos River Flood Control                                             Infanta, Quezon</t>
  </si>
  <si>
    <t>Pag-IBIG Fund CHQ (PROVISION OF A QUANTITATIVE SURVEY ON LEVELS OF AWARENESS  AND PREFERENCE ON PAG-IBIG FUND PRODUCTS)</t>
  </si>
  <si>
    <t>CONSTRUCTION OF MATERIALS RECOVERY FACILITY, MERCED, BANATE, ILOILO</t>
  </si>
  <si>
    <t>Purchase of Protective Clothing (Bunker Suit)</t>
  </si>
  <si>
    <t>ITB-PROCUREMENT OF A SERVICE PROVIDER TO RENDER MEDIA PLACEMENT FOR THE WIDE-SCALE PROMOTION OF THE RCEF-RICE EXTENSION SERVICES PROGRAM UNDER RCEF GOODS 20-07-08</t>
  </si>
  <si>
    <t>THE PURCHASE OF MATERIALS FOR THE ROAD IMPROVEMENT OF STA. ANA ST., BRGY. 30 &amp; 31 (FROM EXISTING PAVEMENT-LUZURIAGA ST.)</t>
  </si>
  <si>
    <t>CONSTRUCTION/REHABILITATION/ IMPROVEMENT OF DRAINAGE SYSTEM @ BRGY. 27</t>
  </si>
  <si>
    <t>EMBANKMENT OF PROPOSED ROAD AND OTHER STRUCTURES AT GREAT PARK, Brgy. 03 Poblacion, Can-avid Eastern Samar</t>
  </si>
  <si>
    <t>PROVISION OF ADDITIONAL FISHING GEARS AS AN ALTERNATIVE LIVELIHOOD TO MUNICIPAL MODIFIED DANISH SEINE (HULBOT – HULBOT DE MANO)</t>
  </si>
  <si>
    <t>Supply &amp; Delivery of Agricultural Products for urban gardening and vegetable production program (OCAS).</t>
  </si>
  <si>
    <t>20-06-0349</t>
  </si>
  <si>
    <t>SUPPLY AND DELIVERY OF TEN (10) UNITS DESKTOP COMPUTER INTENDED FOR THE MAYOR’S OFFICE, THIS MUNICIPALITY /2020-012</t>
  </si>
  <si>
    <t>Contraction of Evacuation Center Phase 3</t>
  </si>
  <si>
    <t>Conduct of Preliminary and Detailed Engineering (Sub-Soil Exploration) of Proposed Various Projects FY-2021 Batch 2 Pampanga 2nd  District</t>
  </si>
  <si>
    <t>SUPPLY AND DELIVERY OF 1 UNIT BRAND NEW RESCUE PICK-UP 4 X 4 FOR EMERGENCY AND DISASTER SITUATION AND DISASTER PREPAREDNESS PROGRAM,  THIS MUNICIPALITY /2020-009</t>
  </si>
  <si>
    <t>One (1) lot New Air Conditioning Units at Reception Area, Building A-Annex, BSP Quezon City</t>
  </si>
  <si>
    <t>SUPPLY AND DELIVERY OF FURNITURE &amp; FIXTURE FOR CULTURAL HERITAGE CENTER EQUIPMENT, MSU MAIN CAMPUS, MARAWI CITY</t>
  </si>
  <si>
    <t>SUPPLY AND DELIVERY OF HARDWARE MATERIALS FOR THE REHABILITATION OF PUBLIC MARKET ROOFING AND GUTTER, BGY. POBLACION,  THIS MUNICIPALITY /2020-008</t>
  </si>
  <si>
    <t>Supply and Delivery of Various Electrical Supplies</t>
  </si>
  <si>
    <t>SUPPLY AND DELIVERY OF INFORMATION TECHNOLOGY (IT) EQUIPMENT AND ACCESSORIES FOR E-GOVERNMENT FOR DIFFERENT OFFICES, THIS MUNICIPALITY /2020-013</t>
  </si>
  <si>
    <t>Construction of Heirloom Rice Center in Support to Heirloom Rice Processing and Marketing</t>
  </si>
  <si>
    <t>20CSDD04 - Consultancy Services for the Conduct of Geotechnical Investigation/Soil Exploration, Tanauan - Talisay - Tagaytay Road, K0082+250 - K0082+255 (L/S), K0083+209 - K0083+268 (R/S), K0083+287 -</t>
  </si>
  <si>
    <t>20CSDD03 - Consultancy Services for the Conduct of Pavement Core Test of the following road sections namely: 1. Daang Maharlika (LZ) – 12.605 km.; 2. Manila – Batangas Road – 11.193 km.; 3. Banay-Bana</t>
  </si>
  <si>
    <t>SUPPLY AND DELIVERY OF HARDWARE MATERIALS FOR THE REHABILITATION OF PUBLIC MARKET, BGY. POBLACION,  THIS MUNICIPALITY /2020-007</t>
  </si>
  <si>
    <t>Construction of Dairy Microbiological Facility</t>
  </si>
  <si>
    <t>SUPPLY AND DELIVERY OF OFFICE SUPPLIES AND EQUIPMENT NOT AVAILABLE AT PROCUREMENT SERVICE (PS)-DEPOT INTENDED FOR DIFFERENT OFFICES FOR CY 2020, THIS MUNICIPALITY</t>
  </si>
  <si>
    <t>Contract ID No. 20NC0137 - Construction of Legislative Building, Sta. Josefa, Agusan del Sur</t>
  </si>
  <si>
    <t>Proposed Flu Vaccine for Wellness Enhancement Program (Libreng Bakuna sa Dasma)</t>
  </si>
  <si>
    <t>PR No. 2020-03-0432-MAIN - Supply and Delivery of Mechanical Technology Laboratory Equipment for CTAS</t>
  </si>
  <si>
    <t>Re-bidding: PR No. 2020-02-0267-MAIN-Supply and Delivery of Cosmetology Equipment for the Cosmetology Technology Laboratory of CTAS</t>
  </si>
  <si>
    <t>Re-bidding: PR No. 2020-02-0252-MAIN-Supply and Delivery of RFID Library Security System</t>
  </si>
  <si>
    <t>Procurement of Consulting Services for the Design and Development of Intramuros Administration Integrated Information System (Re-bid)</t>
  </si>
  <si>
    <t>20-010-07 CHARLIE "CATBALOGAN AIRPORT DEVELOPMENT PROJECT (CONSTRUCTION OF RUNWAY EXTENSION)"</t>
  </si>
  <si>
    <t>SUPPLY AND DELIVERY OF INFORMATION AND COMMUNICATION TECHNOLOGY EQUIPMENT FOR INFORMATION TECHNOLOGY (IT) CLIENT SYSTEM @ MAYOR’S OFFICE, THIS MUNICIPALITY /2020-011</t>
  </si>
  <si>
    <t>Pag-IBIG Fund CHQ (SUPPLY AND DELIVERY OF THE Y2020 PAG-IBIG FUND CORPORATE GIVEAWAYS)</t>
  </si>
  <si>
    <t>20LB0191 - Road Widening along Davao City Div Rd - K1511 + 535 –  K1513 +700, K1514 + 100 - K1514 + 581, K1514 + 646 –  K1515 + 000</t>
  </si>
  <si>
    <t>SUPPLY AND DELIVERY OF 1 UNIT BRAND NEW RESCUE VAN VEHICLE FOR EMERGENCY AND DISASTER SITUATION AND DISASTER PREPAREDNESS PROGRAM,  THIS MUNICIPALITY /2020-010</t>
  </si>
  <si>
    <t>Proposed Purchase of Various Items for Communication Equipment</t>
  </si>
  <si>
    <t>One (1) Lot Supply of Labor, Tools, Equipment, Materials and Supplies, including Supervision for Janitorial, Hauling, Landscaping and Other Related Services for BSPRO Davao (1 Year Contract), as per B</t>
  </si>
  <si>
    <t>RE-BID FOR THE SUPPLY OF LABOR SERVICE, SUPPLIES, AND MATERIALS FOR THE ESTABLISHMENT OF 20KW GRID-TIED SOLAR PV ENERGY SYSTEM FOR TISSUE CULTURE LABORATORY OF BPI-DNCRDPSC, BAGO OSHIRO, DAVAO CITY</t>
  </si>
  <si>
    <t>SUPPLY OF LABOR AND MATERIALS FOR THE REPAIR AND IMPROVEMENT OF NSQCS BUILDING, REGION III, NUEVA ECIJA</t>
  </si>
  <si>
    <t>INVITATION TO BID FOR THE SUPPLY AND DELIVERY OF FORTY-NINE (49) UNITS CELLPHONE</t>
  </si>
  <si>
    <t>SUPPLY OF LABOR AND MATERIALS FOR THE IMPROVEMENT OF NSQCS LABORATORY BUILDING (PHASE I), SAN MATEO, ISABELA</t>
  </si>
  <si>
    <t>PROCUREMENT OF BUSINESS INTELLIGENCE PLATFORM SUBSCRIPTION</t>
  </si>
  <si>
    <t>Three (3) unit Fetal Monitor</t>
  </si>
  <si>
    <t>Three (3) units Suction Machine</t>
  </si>
  <si>
    <t>Supply and Delivery of Construction Materials for the Roads, Solid Waste Disposal, and Water Disposal Treatment of Site Development – Resettlement Area NIAR6-JRMPII-GS01-20</t>
  </si>
  <si>
    <t>SUPPLY OF LABOR AND MATERIALS FOR THE REPAIR AND IMPROVEMENT OF GERMINATION UNIT AT NSQCS SEED TESTING LABORATORY IN QUEZON CITY</t>
  </si>
  <si>
    <t>Detailed Architectural Engineering Design for the UP Visayas Watersports Training Facility, UPV Miag-ao Campus (ITB 2020-013)</t>
  </si>
  <si>
    <t>One (1) Unit Radiant Warmer</t>
  </si>
  <si>
    <t>Supply of Materials, Labor, Tools, Equipment, Consumables, Technical Supervision and Other Services necessary for the Repair of various Architectural Finishes at the BSP Head Office</t>
  </si>
  <si>
    <t>Construction of Power House in Batangas State University - Balayan</t>
  </si>
  <si>
    <t>SUPPLY OF LABOR AND MATERIALS FOR THE UPGRADING AND IMPROVEMENT OF NSQCS LABORATORY-REGION 4-A, LAGUNA</t>
  </si>
  <si>
    <t>ITB - Rice (White Special Rice 50kg per sack) (P.R. No. 20-06-70545)</t>
  </si>
  <si>
    <t>Construction of the Proposed Administration Services Building Phase I, UPV Iloilo City Campus”;(ITB 2020-010)</t>
  </si>
  <si>
    <t>Construction of Reinforced Concrete Slope Protection for CY 2020</t>
  </si>
  <si>
    <t>PB20-021-1: Construction of New Clark City Connecting Road Package 1</t>
  </si>
  <si>
    <t>Supply and Delivery of Brother HL-L5100DN Toner Cartridges to be used for the Overseas Registration Period</t>
  </si>
  <si>
    <t>Rehabilitation of barangay roads at jardeleza subdivision and san vicente subdivision</t>
  </si>
  <si>
    <t>Supply and Delivery of HD Webcam for  Various Field Offices of the Commission</t>
  </si>
  <si>
    <t>20EB0094: Construction of Balibago Bridge, Brgy. Payompon, Mamburao, Occidental Mindoro</t>
  </si>
  <si>
    <t>Const. of Riprap @ Cambayog</t>
  </si>
  <si>
    <t>Const. of Road Protection (Riprap Type)</t>
  </si>
  <si>
    <t>Const. or River Protection @ Cabadiangan</t>
  </si>
  <si>
    <t>Procurement of Hardware Supplies PR # 2020-07-10-236</t>
  </si>
  <si>
    <t>20KA0101(Readvertisement) - Cluster 2 1.) Construction of Flood Control Structure along Malaybalay -Gingoog Road (Kulaman Br.), Malaybalay City, Bukidnon 2.) Construction of Flood Control Structure al</t>
  </si>
  <si>
    <t>Supply and Delivery of Various Supplies to be used by the Field Election Officers for the 2020 Resumption of the Continuing Registration of Voters in connection with 2022 NLE &amp; BSKE, Lots 1 and 5 – 2n</t>
  </si>
  <si>
    <t>Conduct of Preliminary and Detailed Engineering (Sub-Soil Exploration) of Proposed Various Projects FY-2021 Batch 1 Pampanga 2nd  District</t>
  </si>
  <si>
    <t>ITB - Various CSSD Supplies (P.R. No.  20-06-70563)</t>
  </si>
  <si>
    <t>Supply and Delivery of Brand-New Desktop Computers for Issuance/Replacement of Defective/Beyond Economic Repair of Voter Registration Machines in Various Field Offices of the Commission</t>
  </si>
  <si>
    <t>ITB - Various CSSD Supplies (P.R. No.  20-06-70548)</t>
  </si>
  <si>
    <t>ITB - Various CSSD Supplies (P.R. No.  20-06-70544)</t>
  </si>
  <si>
    <t>ITB - Various CSSD Supplies (P.R. No.  20-06-70509)</t>
  </si>
  <si>
    <t>REQUEST FOR EXPRESSION OF INTEREST FOR THE Procurement of a Consultancy Service Provider (CSP) for the Review and Design of PDIC’s Organizational Structure and Staffing Pattern(OSSP)</t>
  </si>
  <si>
    <t>ITB - Various CSSD Supplies (P.R. No.  20-06-70507)</t>
  </si>
  <si>
    <t>Supply of Security Services for UP Visayas Miag-ao and Iloilo City Campuses to include: Brackishwater Aquaculture Station Marine Biological Station	 Batan Mariculture Station( ITB 2020-009)</t>
  </si>
  <si>
    <t>ITB - Bond Paper (Long and Short) (P.R. No.  20-07-70670)</t>
  </si>
  <si>
    <t>ITB - Various Medical Oxygen (P.R. No.  20-07-70685)</t>
  </si>
  <si>
    <t>ITB - One (1) Lot CT Scan Machine (At least 64-slice) (P.R. No. 20-04-70407)</t>
  </si>
  <si>
    <t>ITB - One (1) Job One (1) Year Hauling of Non-infectious (Wet &amp; Dry) Waste from Corazon Locsin Montelibano Memorial Regional Hospital (CLMMRH) to the Authorized /Designated City Dumpsite (P.R. No. 20-</t>
  </si>
  <si>
    <t>ITB - Various CSSD Supplies (P.R. No.  20-06-70513)</t>
  </si>
  <si>
    <t>Procurement of supply and delivery of  Mechanical Corn sheller</t>
  </si>
  <si>
    <t>CONTRACT ID: 20-07-097- PROCUREMENT OF PCR TEST KIT FOR COVID 19</t>
  </si>
  <si>
    <t>ITB - Various Housekeeping Supplies (P.R. No.  20-06-70574)</t>
  </si>
  <si>
    <t>ITB - Various Housekeeping Supplies (P.R. No.  20-06-70573)</t>
  </si>
  <si>
    <t>ITB - Various CSSD Supplies (P.R. No.  20-06-70515)</t>
  </si>
  <si>
    <t>ITB - Arterial Blood Gas Reagent (P.R. No. 20-06-70506)</t>
  </si>
  <si>
    <t>Supply and Delivery of Various IT Equipment for the Educating Science Teachers for All (ESTA) Project</t>
  </si>
  <si>
    <t>ITB - One (1) Lot Wireless Retrofit Direct Radiography System with PACS and RIS (P.R. No. 20-05-70501)</t>
  </si>
  <si>
    <t>CONSTRUCTION OF STREET LIGHT, BARANGAY PROPER OF MABINI, BURDEOS, QUEZON</t>
  </si>
  <si>
    <t>ITB - One (1) Lot Hazardous Waste Transport and Treatment (P.R. No. 20-02-70191)</t>
  </si>
  <si>
    <t>ITB - Various Operating Room Instruments (P.R. No. 20-06-70593)</t>
  </si>
  <si>
    <t>ITB - Laboratory Supplies and Reagents (Histopathology Section) (P.R. No. 20-06-70519)</t>
  </si>
  <si>
    <t>ITB - Laboratory Supplies and Reagents (Histopathology Section) (P.R. No. 20-06-70520)</t>
  </si>
  <si>
    <t>ITB - Laboratory Supplies and Reagents (Bacteriology Section) (P.R. No. 20-06-70503)</t>
  </si>
  <si>
    <t>ITB - Laboratory Supplies and Reagents (Blood Bank Section) (P.R. No. 20-06-70528)</t>
  </si>
  <si>
    <t>ITB -Four (4) Units of Biological Refrigerator-Double Door (P.R. No. 20-06-70649)</t>
  </si>
  <si>
    <t>ITB - Laboratory Supplies and Reagents (Bacteriology Section) (P.R. No. 20-06-70505)</t>
  </si>
  <si>
    <t>ITB - Five (5) units Defibrillator (P.R. No. 20-06-70549)</t>
  </si>
  <si>
    <t>ITB - Various CSSD Supplies (P.R. No.  20-07-70643)</t>
  </si>
  <si>
    <t>ITB - Various CSSD Supplies (P.R. No.  20-07-70640)</t>
  </si>
  <si>
    <t>ITB - Various CSSD Supplies (P.R. No.  20-06-70631)</t>
  </si>
  <si>
    <t>ITB - Various CSSD Supplies (P.R. No.  20-06-70581)</t>
  </si>
  <si>
    <t>ITB - Various CSSD Supplies (P.R. No.  20-06-70579)</t>
  </si>
  <si>
    <t>ITB - Various Operating Room Instruments (P.R. No. 20-06-70514)</t>
  </si>
  <si>
    <t>ITB - One Lot Integrated Hospital Information System (P.R. No. 20-06-70580)</t>
  </si>
  <si>
    <t>ITB - Laboratory Supplies and Reagents (Bacteriology Section) (P.R. No. 20-06-70504)</t>
  </si>
  <si>
    <t>ITB - Laboratory Supplies and Reagents (Blood Bank Section) (P.R. No. 20-06-70532)</t>
  </si>
  <si>
    <t>ITB - Various CSSD Supplies (P.R. No.  20-07-70639)</t>
  </si>
  <si>
    <t>Invitation to Bid for the Supply and Delivery of Branded and Brand New Printers and Consumables</t>
  </si>
  <si>
    <t>ITB - Drugs and Medicines (P.R. No. 20-06-70558)</t>
  </si>
  <si>
    <t>Supply of Laboratory Furniture for PGC Visayas Genomics Laboratory and Bioinformatics Laboratory (ITB 2020-012)</t>
  </si>
  <si>
    <t>ITB - Drugs and Medicines (P.R. No. 20-06-70554)</t>
  </si>
  <si>
    <t>ITB - Laboratory Supplies and Reagents (Blood Bank Section) (P.R. No. 20-06-70529)</t>
  </si>
  <si>
    <t>ITB - Laboratory Supplies and Reagents (Blood Bank Section) (P.R. No. 20-06-70527)</t>
  </si>
  <si>
    <t>ITB - Drugs and Medicines (P.R. No. 20-06-70555)</t>
  </si>
  <si>
    <t>ITB - Drugs and Medicines (P.R. No. 20-06-70546)</t>
  </si>
  <si>
    <t>ITB - Laboratory Supplies and Reagents (Clinical Chemistry Section) (P.R. No. 20-06-70526)</t>
  </si>
  <si>
    <t>ITB - Laboratory Supplies and Reagents (Clinical Microscopy Section) (P.R. No. 20-06-70584)</t>
  </si>
  <si>
    <t>PROCUREMENT OF RAPIDLY DEPLOYABLE COMMUNICATIONS SYSTEM</t>
  </si>
  <si>
    <t>PROCUREMENT OF MULTI-BAND NETWORK SCANNING RECEIVER AND POST PROCESSING TOOL</t>
  </si>
  <si>
    <t>REI, TOR &amp; Bid Docs for CONTRACT ID NO.:	     20CSC001   Procurement of Consulting Services for the Feasibility Study of San Ildefonso-Candaba Bypass Road and Balagtas Bypass Road</t>
  </si>
  <si>
    <t>ITB - Drugs and Medicines (P.R. No. 20-06-70553)</t>
  </si>
  <si>
    <t>ITB - Laboratory Supplies and Reagents (Blood Bank Section) (P.R. No. 20-06-70531)</t>
  </si>
  <si>
    <t>ITB - Drugs and Medicines (P.R. No. 20-06-70559)</t>
  </si>
  <si>
    <t>Contract ID 20CSCC01 Conduct of Sub Soil Exploration/Geotechnical Survey for the proposed building projects within the District</t>
  </si>
  <si>
    <t>MEDICAL, DENTAL AND LABORATORY SUPPLIES EXPENSES</t>
  </si>
  <si>
    <t>SUPPLY, DELIVERY AND INSTALLATION OF AIR CONDITIONING UNITS FOR USE IN SEED TESTING AND SEED CERTIFICATION OF NATIONAL SEED QUALITY CONTROL SERVICES DIVISION (NSQCSD)</t>
  </si>
  <si>
    <t>CONTRACT ID: 20-07-098 - PROCUREMENT OF VARIOUS MASK AND ALCOHOL</t>
  </si>
  <si>
    <t>REI, TOR &amp; Bid Docs for CONTRACT ID NO.:	     20CSC003   Procurement of Consulting Services for the Feasibility Study of Tarlac River Right Dike Bypass Road, Tarlac and EGSA and Ala-Uli Flyovers, Bata</t>
  </si>
  <si>
    <t>SUPPLY AND DELIVERY OF RICETER/RICE MOISTURE TESTER AND DIGITAL MOISTURE TESTER FOR USE IN SEED TESTING AND SEED CERTIFICATION OF NATIONAL SEED QUALITY CONTROL SERVICES DIVISION (NSQCSD)</t>
  </si>
  <si>
    <t>PARTIAL REPLACEMENT OF 3-SET CIRCUIT BREAKERS FOR LOW VOLTAGE SWITCHGEAR (LVS) AT POWER SUBSTATION # 1 (ATS AND STANDARD CONFIGURATION)</t>
  </si>
  <si>
    <t>ITB - Laboratory Supplies and Reagents (Blood Bank Section) (P.R. No. 20-06-70530)</t>
  </si>
  <si>
    <t>CONTRACT ID: 20-07-099- PROCUREMENT OF PERSONAL PROTECTIVE EQUIPMENT</t>
  </si>
  <si>
    <t>Supply &amp; Delivery of Various Agricultural &amp; Marine Supplies use for Environment Management Program 2020 for 3rd quarter, Himamaylan City</t>
  </si>
  <si>
    <t>YELLOW PLASTIC BAG FOR HOUSEKEEPING SECTION</t>
  </si>
  <si>
    <t>Construction of Five (5) Storey Higher Education Building in Batangas State University - JPLPC - Malvar (Phase I)</t>
  </si>
  <si>
    <t>Supply and Delivery of 720 heads Ready to Lay Ducks</t>
  </si>
  <si>
    <t>ITB NO. 2020-0015 Supply, Delivery, Design and Retrofitting of the Quezon City TV Broadcast Transmitter Tower including Rehabilitation of Building/Transmitter Shelter, Grounding and Lightning Protecti</t>
  </si>
  <si>
    <t>B20200263 - DIESEL AND GASOLINE FOR REHAB. OF JCT. HWAY CANATAN-DONA ANDREA, ASUNCION, DDN</t>
  </si>
  <si>
    <t>PROCUREMENT OF GEODETIC SERVICES FOR THE RELOCATION SURVEY OF THE PNR PROPERTY LOCATED AT BRGY. SAN ISIDRO, IRIGA CITY, CAMARINES SUR (IRIGA BALLAST PIT)</t>
  </si>
  <si>
    <t>Contract ID No. 20GZ00015- Supply, Delivery, Installation and Commissioning of Centrally-Managed Wireless Access Points (WAP)</t>
  </si>
  <si>
    <t>PB BAC1-20-004 SUPPLY AND DELIVERY OF CHEMICALS AND REAGENTS – REAL TIME POLYMERASE CHAIN REACTION (RT-PCR) REAGENTS - CY 2020</t>
  </si>
  <si>
    <t>Supply and Delivery of Medical Supplies and Materials for use of MNH</t>
  </si>
  <si>
    <t>PB BAC1-20-013 SUPPLY AND DELIVERY OF CHEMICALS AND REAGENTS FOR 2020</t>
  </si>
  <si>
    <t>Supply and Delivery of Janitorial and Garbage Collection Services at Naval Base Rafael Ramos (NBRR)</t>
  </si>
  <si>
    <t>SUPPLY, DELIVERY, INSTALLATION AND CONFIGURATION OF ADDITIONAL ACCESS POINT WITH FIBER OPTICS, CAT6 CABLE AND ACCESSORIES</t>
  </si>
  <si>
    <t>SUPPLY OF LABOR AND MATERIALS FOR THE REHABILITATION OF ADMINISTRATION BUILDING (PHASE I) OF BPI-BNCRDPSC, GUISAD, BAGUIO CITY</t>
  </si>
  <si>
    <t>SUPPLY OF LABOR AND MATERIALS FOR THE CORRECTIVE/REPAIR WORKS OF FIRE ENGINE PUMP AND ITS CONTROL SYSTEM AT POWERHOUSE</t>
  </si>
  <si>
    <t xml:space="preserve">REI, TOR &amp; Bid Docs for CONTRACT ID NO.:	  20CSC002   Procurement of Consulting Services for the Feasibility Study of Sto. Tomas-Arayat Bypass Road and Arayat-Magalang-Sta. Ana-Mexico Circumferential </t>
  </si>
  <si>
    <t>Supply and Delivery of Drugs and Medicines for Pharmaceutical Services of MNH</t>
  </si>
  <si>
    <t>PB Supply, Delivery, and Testing &amp; Commissioning of Digital Mobile C-Arm (Image Intensifier), Dept. of Orthopedics, PGH</t>
  </si>
  <si>
    <t>Construction/Maintenance of Flood Mitigation Structures and Drainage Systems – Construction of Slope Protection along Porac River (Upstream), Valdez, Floridablanca, Pampanga</t>
  </si>
  <si>
    <t>(20Z00006) Construction of the Priority Bridges Crossing Pasig-Marikina River and Manggahan Floodway Bridges Construction Project, under China Government Financing Facility, Contract Package 2 – Palan</t>
  </si>
  <si>
    <t>PB PUR19-12-1459 Supply, Delivery, Testing &amp; Commissioning of One (1) Operating Microscope for the Department of Otorhinolaryngology, PGH</t>
  </si>
  <si>
    <t>HO-MRM20-008 - Supply and Delivery of Acetylene Content and Six (6) Other Items</t>
  </si>
  <si>
    <t>Construction of Four (4) Storey Student Services Center Building in Batangas State University, ARASOF-Nasugbu (Phase I)</t>
  </si>
  <si>
    <t>ITB - Drugs and Medicines (P.R. No. 20-06-70541)</t>
  </si>
  <si>
    <t>ITB - Laboratory Supplies and Reagents (Clinical Microscopy Section) (P.R. No. 20-06-70524)</t>
  </si>
  <si>
    <t>ITB - Laboratory Supplies and Reagents (Histopathology Section) (P.R. No. 20-06-70522)</t>
  </si>
  <si>
    <t>PB PUR19-09-1140 Supply and Delivery of Over Bed Table, Bedside Cabinet and Chair Convertible to Bed for Dept. of Pay Patient Services,PGH</t>
  </si>
  <si>
    <t>Procurement of Various Medicines</t>
  </si>
  <si>
    <t>CONSTRUCTION OF DRAINAGE CANAL AT SAN MARIANO</t>
  </si>
  <si>
    <t>ITB No. FB20-03-007COR SUPPLY, FABRICATION AND DELIVERY OF STEEL GATE AND WINDOW GLASS FOR THE REHABILITATION AND IMPROVEMENT OF ANTIPOLO REPEATER TOWER</t>
  </si>
  <si>
    <t>FILM</t>
  </si>
  <si>
    <t>SUPPLY OF LABOR AND MATERIALS FOR THE REPAIR AND ALIGNMENT OF THE OPERABLE WALL PARTITION AT SUMMIT HALL</t>
  </si>
  <si>
    <t>Provision of Security Services for a Period of One (1) Year in the DOLE Central Office from October 2020 to October 2021</t>
  </si>
  <si>
    <t>Procurement of supply and delivery of NATIVE CHICKEN</t>
  </si>
  <si>
    <t>Procurement of supply and delivery of Laboratory Supplies</t>
  </si>
  <si>
    <t>PROCUREMENT OF ONE (1) UNIT MOTOR VEHICLE</t>
  </si>
  <si>
    <t>Contract ID No. 20GZ00004-Supply and Delivery of Six (6) Units Ground Penetrating Radar (GPR) for the Use of DPWH Regional Offices FY 2020</t>
  </si>
  <si>
    <t>Supply and Delivery of Materials for the Sustainment of Unit/Office Daily Operations LOT 1 and Sustainment of Daily Shipboard Operations of BRP TARLAC (LD601) and BRP DAVAO DEL SUR (LD602) LOT 2</t>
  </si>
  <si>
    <t>Procurement for the Purchase of Various Medical Equipment and Instrument for Medical Office</t>
  </si>
  <si>
    <t>Procurement of Janitorial Services Provider CY 2020 (Contract No. RO-PG2020-003)</t>
  </si>
  <si>
    <t>SUPPLY AND DELIVERY OF 2V LEAD ACID BATTERY FOR MARINAWA DPP</t>
  </si>
  <si>
    <t>ITB - Laboratory Supplies and Reagents (Histopathology Section) (P.R. No. 20-06-70523)</t>
  </si>
  <si>
    <t>SUPPLY AND DELIVERY OF PARTS AND ACCESSORIES INTENDED FOR SYNCHRONIZING AND PARALLEL OPERATION OF MASBATE MINI GRID PLANTS</t>
  </si>
  <si>
    <t>SUPPLY AND DELIVERY OF PARTS AND ACCESSORIES INTENDED FOR SYNCHRONIZING AND PARALLEL OPERATION OF BURIAS ISLAND MINI GRID</t>
  </si>
  <si>
    <t>ITB-GS-20200608-01 - Two (2) Years Subscription of Dark Fiber Facility</t>
  </si>
  <si>
    <t>Public Bidding re: Procurement of CSC Central Office Primary Internet Services Leased Line</t>
  </si>
  <si>
    <t>Public Bidding re: Procurement of Laptops and Printers</t>
  </si>
  <si>
    <t>Public Bidding re: Procurement of Anti-Virus Software (AVS) Licenses Renewal for 1,500 Workstations  at the CSC Central and Regional Offices</t>
  </si>
  <si>
    <t>Feasibility Study for Ihaon RIP</t>
  </si>
  <si>
    <t>Procurement of Construction Materials</t>
  </si>
  <si>
    <t>Contract ID No. 20FA0061: CLUSTER 34 - CONSTRUCTION OF 2-STOREY SCHOOL BUILDINGS UNDER DEPED CY 2020 BEFF IN THE FIRST DISTRICT OF ALBAY</t>
  </si>
  <si>
    <t>ACCOUNT ADMINISTRATION AND MANAGEMENT OF NHA NCR-NORTH SECTOR OFFICE’S VARIOUS PROJECTS UNDER SERVICE PROVIDER</t>
  </si>
  <si>
    <t>Supply and Delivery of Various Vehicles for Resource Generation and Management Service (RGMS)</t>
  </si>
  <si>
    <t>One (1) Lot Structural Engineering Audit/Investigation and Design Consultancy Services for the Proposed BSP Museum at PICC Project, as per BSP Terms of Reference</t>
  </si>
  <si>
    <t>One (1) Lot Supply of Labor and Materials for the Construction of PCMC's New Building (Phase 2)</t>
  </si>
  <si>
    <t>Supply and Delivery of Global Navigation Satellite System (GNSS) Equipment for Use of Various District Engineering Offices (CY 2020)</t>
  </si>
  <si>
    <t>RFQ / PR 20-05-1394 / PROCUREMENT OF CONSTRUCTION MATERIALS FOR THE REPAINTING OF NEB POWER HOUSE EXTERIOR WALLS AND WATER TANK HOUSE EXTERIOR WALLS</t>
  </si>
  <si>
    <t>PROCUREMENT OF DRUGS AND MEDICINES FOR CHO USE</t>
  </si>
  <si>
    <t>20-06-239 SUPPLY AND DELIVERY OF  SIX (6) UNITS OF VAN AND  TWO (2) UNITS OF MULTI PURPOSE VAN</t>
  </si>
  <si>
    <t>ITB-GS-20200311-01 - One (1) Lot Supply, Delivery and Installation of Office Furniture at LANBBANK Buendia Branch</t>
  </si>
  <si>
    <t>Procurement of Medicines &amp; Medical Supplies PR # 2020-06-15-193</t>
  </si>
  <si>
    <t>Contract ID No. 20FA0060: CLUSTER 33 - CONCRETING OF FARM TO MARKET ROADS IN THE FIRST DISTRICT OF ALBAY</t>
  </si>
  <si>
    <t>Procurement of Supply and Delivery of Office  Supplies &amp; Equipment</t>
  </si>
  <si>
    <t>20DQ0121 - LOCAL PROGRAM – Local Infrastructure Program – Local Roads and Bridges – Local Roads – Widening of Congressional Avenue, GMA, Cavite</t>
  </si>
  <si>
    <t>20LB0206 - Construction of Pedestrian Overpass along Davao City Diversion Road, Davao City</t>
  </si>
  <si>
    <t>SUPPLY AND DELIVERY OF GPE ITEMS FOR THE OPERATION OF NARO DPP</t>
  </si>
  <si>
    <t>SUPPLY AND DELIVERY OF TEST EQUIPMENT FOR WMTSD</t>
  </si>
  <si>
    <t>20DN0160 - CONSTRUCTION OF MULTI - PURPOSE BUILDING, SITIO PINAGMISAHAN, BARANGAY DELA PAZ, ANTIPOLO CITY</t>
  </si>
  <si>
    <t>20DN0150 - ASPHALT OVERLAY, PINAGMISAHAN ST., BRGY. DELA PAZ, ANTIPOLO CITY</t>
  </si>
  <si>
    <t>20EI0182 - Construction of Evacuation Center, Barangay San Juan,  Bongabong, Oriental Mindoro_063</t>
  </si>
  <si>
    <t>20DN0148 - REHABILITATION OF ROAD WITH DRAINAGE, ORCHID ST., BRGY. MAYAMOT, ANTIPOLO CITY</t>
  </si>
  <si>
    <t>20DN0168 - CONSTRUCTION OF FLOODGATE, CAINTA RIVER, SAN FRANCISCO, MANGGAHAN FLOODWAY, BRGY. SAN JUAN (PHASE 2), CAINTA, RIZAL</t>
  </si>
  <si>
    <t>MG-TSE20-018..METER MULTIFUNCTION</t>
  </si>
  <si>
    <t>20DN0145 - CONSTRUCTION OF PEDESTRIAN OVERPASS, MAMBUGAN, ANTIPOLO CITY, RIZAL</t>
  </si>
  <si>
    <t>20DN0157 - IMPROVEMENT/ CONSTRUCTION OF FLOOD CONTROL STRUCTURES OF KAMIAS CREEK (COGEO GATE 1), ANTIPOLO CITY, RIZAL</t>
  </si>
  <si>
    <t>20DN0149 - REHABILITATION OF ROAD WITH DRAINAGE, CAROLINA VILLAGE, STA. CRUZ, ANTIPOLO CITY, RIZAL</t>
  </si>
  <si>
    <t>20DN0169 - CONSTRUCTION OF FLOODGATE, CAINTA RIVER, SAN FRANCISCO MANGGAHAN FLOODWAY, PHASE 3, BRGY. SAN JUAN, CAINTA, RIZAL</t>
  </si>
  <si>
    <t>Supply &amp; Delivery of Thirty (30) sets Solar Kit for Donations to Various Schools, Himamaylan City</t>
  </si>
  <si>
    <t>20DN0161 - CONSTRUCTION OF PEDESTRIAN OVERPASS, SUN VALLEY (BARANGAY BAGONG NAYON TO DELA PAZ), ANTIPOLO CITY</t>
  </si>
  <si>
    <t>PB BAC1-20-006 SUPPLY AND DELIVERY OF VARIOUS CONSTRUCTION SUPPLIES - PABX –  FOR 2020</t>
  </si>
  <si>
    <t>Supply of Labor and Materials for the Replacement of Two (2) Units Four (4) MVA 4160/440 Oil Type Transformer, Main Electrical Room NAIA Terminal 1</t>
  </si>
  <si>
    <t>20CN0125 - Slope Protection along Nueva Ecija – Aurora Road, K0184+800 – K0184+880, K0184+980 – K0185+090</t>
  </si>
  <si>
    <t>20CN0124 - Slope Protection along Nueva Ecija – Aurora Road, K0176+200 – K0176+360</t>
  </si>
  <si>
    <t>SUPPLY AND DELIVERY OF 20 PIECES OFFICE CHAIR FOR OFFICIAL USE OF AMAD</t>
  </si>
  <si>
    <t>20CN0123 - Construction of Slope Protection along Baler - Casiguran Road (Dinadiawan-Casiguran Section), K0297+060 – K0297+143, K0297+190 – K0297+300, Casigura, Aurora</t>
  </si>
  <si>
    <t>Rehabilitation/Extension of MIAA Buildings (MIAA Records Center, PMD Office, T3 Satellite Office) NAIA Complex, Pasay City</t>
  </si>
  <si>
    <t>PROCUREMENT OF GEODETIC SERVICES FOR THE RELOCATION SURVEY OF THE PNR PROPERTY LOCATED AT EDSA MANDALUYONG METRO MANILA</t>
  </si>
  <si>
    <t>ITB No. 19-DSWD-059-A - Supply and Delivery of Workstation Computer for DSWD-UCT NPMO</t>
  </si>
  <si>
    <t>20CN0126 - Slope Protection along Nueva Ecija – Aurora Road, (K0190+740 – K0190+890), (K0191+211 – K0191+260)</t>
  </si>
  <si>
    <t>20CN0072 - Construction of Slope Protection along Nueva Ecija – Aurora Road, K0171+150 – K0171+195.52, Aurora</t>
  </si>
  <si>
    <t>20CN0073 - Construction of Slope Protection along Nueva Ecija – Aurora Road, K0212+155 – K0212+203, Aurora</t>
  </si>
  <si>
    <t>20CN0068 - Construction of Slope Protection Along A. Castañeda – Ma. Aurora San Luis Road, (K0211+175 – K0211+310), Aurora</t>
  </si>
  <si>
    <t>20CN0066 - Construction of Slope Protection along Madela – Dinadiawan Road, K0410+100 – K0410+146, Aurora</t>
  </si>
  <si>
    <t>HO-EMA20-020 - Supply and Delivery of Vision Headlights</t>
  </si>
  <si>
    <t>20CN0075 - Construction of Slope Protection along Nueva Ecija – Aurora Road, K0204+325 – K0204+386, Aurora</t>
  </si>
  <si>
    <t>20CN0071 - Construction of Slope Protection Along Baler – Casiguran Road (Dinadiawan – Casiguran Section), (K0302+490 – K0302+570), Casiguran, Aurora</t>
  </si>
  <si>
    <t>20CN0069 - Construction of Slope Protection Along Baler – Casiguran Road (Baler – Dinadiawan Section), (K0259+735 – K0259+775), Casiguran, Aurora</t>
  </si>
  <si>
    <t>SUPPLY, DELIVERY, INSTALLATION INTO OPERATIONAL STATE, AND MAINTENANCE OF AN INVESTMENT MANAGEMENT SYSTEM (IMS) (RE-ADVERTISEMENT)</t>
  </si>
  <si>
    <t>20DQ0128 - LOCAL PROGRAM – Construction / Repair / Rehabilitation / Improvement of Various Infrastructure including Local Projects – Flood Control and Drainage – Flood Control Structures/Facilities –</t>
  </si>
  <si>
    <t>ITB-GS-20200413-01 - Three (3) Years Subscription for Web Security Protection for LANDBANK Branches (700 Users)</t>
  </si>
  <si>
    <t>Procurement of Wheelchair &amp; Reading Glasses PR # 2020-06-23-209</t>
  </si>
  <si>
    <t>20DN0141 (Re-Schedule) - ASPHALT OVERLAY, BRGY.MAYAMOT, ANTIPOLO CITY</t>
  </si>
  <si>
    <t>20DN0140 (Re-Schedule) - CONSTRUCTION OF PEDESTRIAN OVERPASS, BRGY. STA. CRUZ, ANTIPOLO CITY</t>
  </si>
  <si>
    <t>PB BAC1-20-005 SUPPLY AND DELIVERY OF VARIOUS CONSTRUCTION SUPPLIES - BIOMEDICAL –  FOR 2020</t>
  </si>
  <si>
    <t>20DN0139 (Re-Schedule) - CONSTRUCTION OF PEDESTRIAN OVERPASS, BRGY. DELA PAZ, ANTIPOLO CITY</t>
  </si>
  <si>
    <t>20DN0144 (Re-Schedule) - CONSTRUCTION OF PEDESTRIAN OVERPASS, BRGY. MAMBUGAN, ANTIPOLO CITY</t>
  </si>
  <si>
    <t>20DN0174 - REHABILITATION OF NHA ROAD WITH DRAINAGE, BRGY. SAN ISIDRO, ANTIPOLO CITY</t>
  </si>
  <si>
    <t>20DN0173 - CONSTRUCTION OF SPORTS FACILITY BUILDING AT BLUEBELLS, BRGY. MAYAMOT, ANTIPOLO CITY, RIZAL</t>
  </si>
  <si>
    <t>20CN0067 - Construction of Slope Protection Along A. Castañeda – Ma. Aurora San Luis Road, (K0198+120 – K0198+171.84), Aurora</t>
  </si>
  <si>
    <t>20DN0131 (Re-Schedule) - REHABILITATION OF ROAD AND DRAINAGE SYSTEM, ANTIPOLO HILLS MUNICIPAL ROAD, BRGY. SAN LUIS, ANTIPOLO CITY</t>
  </si>
  <si>
    <t>20DN0138 (Re-Schedule) - REHABILITATION OF ROAD AND DRAINAGE SYSTEM AT BROOKSIDE HILLS, BRGY. SAN JUAN, CAINTA, RIZAL</t>
  </si>
  <si>
    <t>20DN0137 (Re-Schedule) - CONSTRUCTION/ IMPROVEMENT OF CLIFFSIDE AND ROAD WIDENING WITH DRAINAGE SYSTEM, BRGY. MACAMOT, BINANGONAN, RIZAL</t>
  </si>
  <si>
    <t>PB BAC1-20-014 SUPPLY AND DELIVERY OF VARIOUS CONSTRUCTION SUPPLIES –  TRANSPORTATION - FOR 2020</t>
  </si>
  <si>
    <t>PB BAC1-20-011 Supply and Delivery of Various Construction Supplies  PLUMBING - for 2020</t>
  </si>
  <si>
    <t>PB BAC1-20-009 SUPPLY AND DELIVERY OF VARIOUS CONSTRUCTION SUPPLIES - ELECTRICAL FOR 2020</t>
  </si>
  <si>
    <t>20DN0170 - REHABILITATION OF MULTI - PURPOSE BUILDING (ANTIPOLO SPORTS HUB), SITIO ORETA, BARANGAY SAN ISIDRO, ANTIPOLO CITY</t>
  </si>
  <si>
    <t>ITB-GS-20200323-01 - 1 Lot Supply, Delivery and Installation of Systems Furniture for LANDBANK Malolos Highway Office Building</t>
  </si>
  <si>
    <t>20DN0130 (Re-Schedule) - REHABILITATION OF ROAD WITH DRAINAGE AT ORCHID ST., GREENHEIGHTS SUBD., MAYAMOT , ANTIPOLO CITY, RIZAL</t>
  </si>
  <si>
    <t xml:space="preserve">20FN0092 Construction/Repair/Rehabilitation/Improvement of Various Infrastructure including Local Project – Local Roads Concreting Neighborhood Bacolod – San Vicente Road, Barangay San Vicente, Bato, </t>
  </si>
  <si>
    <t>Supply and Delivery of Various ICT Equipment to Support the Command, Control, and Communications Information System (C3IS)</t>
  </si>
  <si>
    <t>20KA0142 Construction of Multi Purpose Building - Construction of Multi-Purpose  Building, Brgy. Iba, Cabanglasan, Bukidnon (Phase II) Cabanglasan, Bukidnon</t>
  </si>
  <si>
    <t>20FN0089 Local Program - Building and Other Structures - Multipurpose/Facilities - Local Infrastructure Program -Construction of Multi-Purpose Building, Baao Community College, Brgy. San Juan, Baao, C</t>
  </si>
  <si>
    <t>SUPPLY OF DELIVERY OF TOOLS AND EQUIPMENT FOR OM MQNL</t>
  </si>
  <si>
    <t>INVITATION TO RE-BID FOR THE  SUPPLY, DELIVERY, AND INSTALLATION OF FIRE SUPRESSION SYSTEM PR No. 27388-001</t>
  </si>
  <si>
    <t>INVITATION TO RE-BID FOR THE  SUPPLY, DELIVERY, AND INSTALLATION OF LOCAL AREA NETWORK (LAN) STRUCTURED CABLING IN THE NEW MSSD BUILDING, TALAMBAN, CEBU CITY PR No. 27608-001</t>
  </si>
  <si>
    <t>20FN0094 Construction/Repair/Rehabilitation/Improvement of Various Infrastructure including Local Projects – Flood Control Structure/Facilities – Improvement of Flood Control, Sulong Creek, San Franci</t>
  </si>
  <si>
    <t>INVITATION TO RE-BID FOR THE  SUPPLY AND DELIVERY OF COMPUTER NOTEBOOK PR Nos. 27619-001 to 27619-003</t>
  </si>
  <si>
    <t>C-2020-01: ENGAGEMENT OF AN ADVERTSING /DESIGN AGENCY FOR THE DESIGN, CONTENT DEVELOPMENT, PRINTING AND DELIVERY OF THE 2019 ANNUAL REPORT OF THE DEVELOPMENT BANK OF THE PHILIPPINES (DBP)</t>
  </si>
  <si>
    <t>20FN0102 Local Program – Building and Other Structures – Multipurpose/Facilities – Local Infrastructure Program Construction of Multi-Purpose Covered Court at San Ramon Elementary School Compound, San</t>
  </si>
  <si>
    <t xml:space="preserve">20FN0100 Construction/Repair/Rehabilitation/Improvement of Various Infrastructure including Local Projects – Construction of Flood Control (Slope Protection, Rip-Rap) Project, Brgy. La Medalla, Baao, </t>
  </si>
  <si>
    <t>SUPPLY OF LABOR, MATERIALS, MATERIALS AND EXPERTISE FOR THE REPAIR OF 600KW CUMMINS RADIATOR OF TICAO DPP</t>
  </si>
  <si>
    <t>INVITATION TO RE-BID FOR THE  SUPPLY AND DELIVERY OF GIS DESKTOP SOFTWARE PR No. 27611-001</t>
  </si>
  <si>
    <t>20KB0167   Construction of Multi-Purpose Building (Municipal Risk Reduction Management Office), Maramag, Bukidnon</t>
  </si>
  <si>
    <t>20KB0168   Construction of Multi-Purpose Building (Kibawe Sports Complex) Brgy. East Kibawe, Kibawe, Bukidnon</t>
  </si>
  <si>
    <t>Contract ID No. 19CSK00041 – Consultancy Services for the Conduct of Geotechnical &amp; Geological Investigation and Survey Works for the Proposed Construction of Sabo Dam on Upper and Lower Dinanggasan R</t>
  </si>
  <si>
    <t>PB BAC1-20-012 FOR THE SUPPLY AND DELIVERY OF VARIOUS CONSTRUCTION SUPPLIES –  REFRIGERATION &amp; AIRCON - FOR 2020</t>
  </si>
  <si>
    <t>PB BAC1-20-010 SUPPLY AND DELIVERY OF VARIOUS CONSTRUCTION SUPPLIES – MECHANICAL/CMGVS - FOR 2020</t>
  </si>
  <si>
    <t>Supply and Delivery of Shredder Machine</t>
  </si>
  <si>
    <t>PB BAC1-20-008 SUPPLY AND DELIVERY OF VARIOUS CONSTRUCTION SUPPLIES - PAINTING  FOR 2020</t>
  </si>
  <si>
    <t>Supply and Delivery of Construction Materials for the Enhancement of Storage Facility at NSJM</t>
  </si>
  <si>
    <t>Supply and Delivery of Construction Materials for the Enhancement of Storage Facility at NSFA</t>
  </si>
  <si>
    <t>Supply &amp; Delivery of Seven (7) units Motorcycles use for Mayor's Office &amp; Barangay Buenavista, Himamaylan City</t>
  </si>
  <si>
    <t>PB BAC1-20-007 SUPPLY AND DELIVERY OF VARIOUS CONSTRUCTION SUPPLIES - CARPENTRY –  FOR 2020</t>
  </si>
  <si>
    <t>Invitation to Apply for Eligibility and to Bid For the Software update and Maintenance of a Cloud-Based Geographic Information System (GIS)</t>
  </si>
  <si>
    <t>Supply and Delivery of Labor and Materials for the Repair/Rehabilitation of NLC Electrical Distribution System and Electrical Layouts and Flooring of Warehouse Nr 8</t>
  </si>
  <si>
    <t>Contract ID No. 20GZ00002- Supply and Delivery of Six (6) Units 24-Channel Seismograph for the Use of DPWH Regional Offices FY 2020</t>
  </si>
  <si>
    <t>ITB-GS-20200313-01 - Supply and Delivery of 11,360 bundles Clear Plastic Jacket for Savings, Signature Card  and 10,400 reams Whitewove Paper Mimeo</t>
  </si>
  <si>
    <t>SUPPLY AND DELIVERY OF 2 UNITS CASSAVA GRANULATOR</t>
  </si>
  <si>
    <t>ITB - Drugs and Medicines (P.R. No. 20-06-70123)</t>
  </si>
  <si>
    <t>ITB - Various CSSD Supplies (P.R. No.  20-06-70578)</t>
  </si>
  <si>
    <t>ITB - Various CSSD Supplies (P.R. No.  20-06-70569)</t>
  </si>
  <si>
    <t>ITB - Various CSSD Supplies (P.R. No.  20-06-70564)</t>
  </si>
  <si>
    <t>VARIOUS LABORATORY SUPPLIES/CONSUMABLES</t>
  </si>
  <si>
    <t>Installation of CCTV's in Various Barangays</t>
  </si>
  <si>
    <t>20KB0174   Construction of Multi-Purpose Building (Kibawe Sports Complex), Brgy. East Kibawe, Kibawe, Bukidnon</t>
  </si>
  <si>
    <t>CY 2020 BASIC EDUCATIONAL FACILITIES FUND (BEFF) REPAIR/IMPROVEMENT OF VARIOUS SCHOOL BUILDINGS – SAN JUAN ES (ITB 2020-Infra-004)</t>
  </si>
  <si>
    <t>HO-FAU20-002 - Supply and Delivery of Hiking Shoes and Luggage Bag</t>
  </si>
  <si>
    <t>CY 2020 BASIC EDUCATIONAL FACILITIES FUND (BEFF) REPAIR/IMPROVEMENT OF VARIOUS SCHOOL BUILDINGS – PUNTA ES (ITB 2020-Infra-003)</t>
  </si>
  <si>
    <t>ITB and Bid Docs for Procurement ID/Contract ID:    20C00042 - Local Program-Construction/Repair/Rehabilitation/Improvement of various Infrastructure including Local Projects – Flood Control &amp; Drainag</t>
  </si>
  <si>
    <t>RFQ / 20-05-0245 / PROCUREMENT OF TIRES AND BATTERY-MAINTENANCE</t>
  </si>
  <si>
    <t>BIDDING FOR THE PROCUREMENT OF ONE (1) LOT INTEGRATED SECURITY SUITE FOR TWO (2) YEARS</t>
  </si>
  <si>
    <t>CY 2020 BASIC EDUCATIONAL FACILITIES FUND (BEFF) REPAIR/IMPROVEMENT OF VARIOUS SCHOOL BUILDINGS – JOSE PLATON MS (ITB 2020-Infra-001)</t>
  </si>
  <si>
    <t>ITB and Bid Docs for Procurement ID/Contract ID:    20C00036  Contract Name:      Local Program – Local Infrastructure Program – Buildings and Other Structures – Multi Purpose Facilities – Constructio</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</si>
  <si>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</si>
  <si>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</si>
  <si>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CY 2020 BASIC EDUCATIONAL FACILITIES FUND (BEFF) REPAIR/IMPROVEMENT OF VARIOUS SCHOOL BUILDINGS – LOOC ES (ITB 2020-Infra-002)</t>
  </si>
  <si>
    <t>Supply and Delivery of Gold Ring as token for GSIS Employees with 35 years of service</t>
  </si>
  <si>
    <t>20CN0070 - Construction of Slope Protection Along Baler – Casiguran Road (Dinadiawan – Casiguran Section), K0292+910 – K0292+988, Aurora</t>
  </si>
  <si>
    <t>20-DO-0079:LOCAL PROGRAM - Local Infrastructure Program - Building and Other Structures - Multipurpose/Facilities - Construction of Multi-Purpose Building and Facilities, San Francisco St., Brgy. Patu</t>
  </si>
  <si>
    <t>20CN0074 - Construction of Slope Protection along Nueva Ecija – Aurora Road, K0196+230 – K0196+277, Aurora</t>
  </si>
  <si>
    <t>20KA0137 Paving of Unpaved Roads with Construction of Road Slope Protection Structure along Jct SH Aglayan-Zamboanguita Rd (S00631MN) - K1569 + 187 - K1570 + 092 (Package 1 - K1569 + 187 - K1569 + 607</t>
  </si>
  <si>
    <t>Improvement of Public Plaza</t>
  </si>
  <si>
    <t>20KA0139 Road Widening along Jct SH Aglayan-Zamboanguita Rd (S00631MN) - K1523 + 850 - K1525 + 500 (Package 2 - K1525 + 340 - K1525 + 500) Malaybalay City, Bukidnon</t>
  </si>
  <si>
    <t>MPG-B1-2020-415 - SUPPLY AND DELIVERY OF BRAND NEW 3,552 PAIRS TANKER SUIT, PHILARPAT FOR THE PHILIPPINE ARMY (PA)</t>
  </si>
  <si>
    <t>MPG-B1-2020-250 - SUPPLY AND DELIVERY OF BRAND NEW 14,871 SETS TOWEL BATH AND FACE, MICROFIBER OD FOR THE PHILIPPINE ARMY (PA)</t>
  </si>
  <si>
    <t>ITB - Laboratory Supplies and Reagents (Histopathology Section) (P.R. No. 20-06-70521)</t>
  </si>
  <si>
    <t>MPG-B1-2019-416 - SUPPLY AND DELIVERY OF 9,615 BRAND NEW INDIVIDUAL FIRST AID KITS FOR THE PHILIPPINE ARMY (PA)</t>
  </si>
  <si>
    <t>MPG-B2-2020-310 Nego - SUPPLY OF LABOR AND MATERIALS FOR THE REPAIR AND IMPROVEMENT OF GEN. RICARTE SHRINE GROUNDS AND ATTENDANT PARKS OF THE PHILIPPINE VETERANS AFFAIRS OFFICE (PVAO)</t>
  </si>
  <si>
    <t>GPG-B2-2020-103 2nd Rebid - Design and Build of Pagadian City and Navotas City Fire Stations for thBureau of Fire Protection – National Headquarters (BFP-NHQ)</t>
  </si>
  <si>
    <t>RFQ-STEEL CABINET PR#20-03-0040</t>
  </si>
  <si>
    <t>MPG-B1-2020-231 Rebid - SUPPLY AND DELIVERY OF ONE LOT BRAND NEW OPHTHALMIC OPERATING MICROSCOPE AND BRAND NEW OPHTHALMIC CHAIR AND STAND FOR THE  PHILIPPINE ARMY (PA)</t>
  </si>
  <si>
    <t>ITB-GS-20191202-01 - Additional License for the Existing Solarwinds Servers, Networks, Database and Application Monitoring Tool</t>
  </si>
  <si>
    <t>MA-A2H20-006..BATTERY BANK, STATION BATTERY, AGUS 1 HEP</t>
  </si>
  <si>
    <t>ITB-GS-20190703-01 (2) - One (1) Lot Supply, Delivery, Installation, Testing and Commissioning of Variable Refrigerant Flow (VRF) Air-Conditioning Units at LANDBANK Sta. Cruz Office Building</t>
  </si>
  <si>
    <t>Construction of Sta. Barbara Arena, Phase I under Design and Build Scheme</t>
  </si>
  <si>
    <t>PROVISION OF WATCHMAN SERVICES FROM MARCH 1-DECEMBER 31, 2020</t>
  </si>
  <si>
    <t>Procurement of Repair and Rehabilitation of Various School Building (Repair of 11 Classrooms) in Sinaloc Elementary School, Project 2020-03-0023</t>
  </si>
  <si>
    <t>20KA0138 Construction of Multi Purpose Building - Construction of Multi-Purpose  Building, Brgy. Iba, Cabanglasan, Bukidnon (Phase I) Cabanglasan, Bukidnon</t>
  </si>
  <si>
    <t>Contract ID No. 20FA0047: CLUSTER 26 WIDENING AND CONCRETING OF BANAO-BICAL ROAD, BACACAY AND STO. DOMINGO, ALBAY AND REHABILITATION OF PAWA-TULIW-LABNIG-ESTANCIA-PARAPUTO ROAD, MALINAO AND TABACO CIT</t>
  </si>
  <si>
    <t>EXTENSION OF MULTI-PURPOSE BUILDING AT BRGY. MACATIW, CITY OF ALAMINOS, PANGASINAN</t>
  </si>
  <si>
    <t>GPG-B2-2020-272 2nd Rebid - RENOVATION OF VARIOUS LABORATORIES AND TRAINING FACILITIES OF THE UNIVERSITY OF THE PHILIPPINES LOS BAÑOS – COLLEGE OF VETERINARY MEDICINE (UPLB – CVM)</t>
  </si>
  <si>
    <t>REHABILITATION / UPGRADING OF FARM TO MARKET ROAD (SABANGAN PORTION) AT BRGY. SABANGAN, CITY OF ALAMINOS, PANGASINAN</t>
  </si>
  <si>
    <t>Contract ID No. 20FA0048: CLUSTER 27 CONSTRUCTION OF WATER SYSTEM IN THE FIRST DISTRICT OF ALBAY</t>
  </si>
  <si>
    <t>GPG-B2-2020-282 2nd Rebid - REPAIR/RENOVATION OF DEPARTMENT OF HEALTH (DOH) BUILDING NO. 1</t>
  </si>
  <si>
    <t>ITB-GS-20200212-01 - Supply and Delivery of 600 Units Passbook Printer</t>
  </si>
  <si>
    <t>CONSTRUCTION OF MULTI-PURPOSE BUILDING AT BRGY. TANGCARANG, CITY OF ALAMINOS, PANGASINAN</t>
  </si>
  <si>
    <t>FOD-C-20-1802: Procurement of 1 unit Generator Set</t>
  </si>
  <si>
    <t>20HD0067 - Construction of Multi-Purpose Building, Brgy. Gibitngil, Medellin, Cebu</t>
  </si>
  <si>
    <t>20HD061 - Construction and/or Repair/Rehabilitation of Multi-Purpose Building, Brgy. Ticad, Bantayan, Cebu</t>
  </si>
  <si>
    <t>20JC0056 Construction of Covered Court in front of Tanghalan ng Paraiso, Brgy. Poblacion, Siocon, Zamboanga del Norte</t>
  </si>
  <si>
    <t>Contract I.D. No. 20OE0173 - Rehabilitation / Reconstruction / Improvement of Multi-purpose Building, Brgy. 152, Tondo, Manila</t>
  </si>
  <si>
    <t>20JE0080 Construction and/or Repair/Rehabilitation of Multi-Purpose Building, Brgy. San Francisco Pagadian City, Zamboanga del Sur</t>
  </si>
  <si>
    <t>INFR-20-016– CONSTRUCTION OF HIMLAYANG GENERAL TRIAS ANNEX (PHASE II) AT BARANGAY BUENAVISTA III, CITY OF GEN. TRIAS, CAVITE</t>
  </si>
  <si>
    <t>20HD0058 - Construction and/or Repair/Rehabilitation of Multi-Purpose Building, Brgy. Lawis, San Remigio, Cebu</t>
  </si>
  <si>
    <t>Supply and Delivery of Various ICT Supplies</t>
  </si>
  <si>
    <t>20JE0070 Construction of Multi-Purpose Building Tambulig, Zamboanga del Sur</t>
  </si>
  <si>
    <t>20JE0067 Construction (Completion) of Multi-Purpose Building Barangay Upper Salug Daku, Mahayag, Zamboanga del Sur</t>
  </si>
  <si>
    <t>CONSTRUCTION OF WINGS OF MULTI-PURPOSE BUILDING AT BRGY. TELBANG, CITY OF ALAMINOS, PANGASINAN</t>
  </si>
  <si>
    <t>Contract I.D. No. 20OE0190 - Continuation of Multi – Purpose Building, Brgy. 259, Tondo, Manila</t>
  </si>
  <si>
    <t>PB No. 19-341-7 Engineering, Procurement, Construction and Commissioning (EPCC) Contract for the Subic-Clark Railway Project for the Department of Transportation (DOTr)</t>
  </si>
  <si>
    <t>CID No. 20OD0128 - Construction of Flood Control Gravity Wall along the Banks of Creeks in Brgy. 186, Caloocan City</t>
  </si>
  <si>
    <t>CID No. 20OD0127 - Construction of Flood Control Wall along the Bank of Creeks in Brgy. 177, Caloocan City</t>
  </si>
  <si>
    <t>20JE0069 Construction of Multi-Purpose Building (Organic Building) Dumingag, Zamboanga del Sur</t>
  </si>
  <si>
    <t>GPG-B1-2020-010-SUPPLY &amp; DELIVERY OF VARIOUS BRAND NEW MEDICAL EQPT FOR THE DEPT. OF HEALTH–CENTER FOR HEALTH DEVT I (DOH–CHD I)</t>
  </si>
  <si>
    <t>MPG-B1-2020-054 - SUPPLY AND DELIVERY OF BRAND NEW 17,059 PAIRS PHILIPPINE ARMY RUBBER SHOES BLACK FOR THE PHILIPPINE ARMY (PA)</t>
  </si>
  <si>
    <t>Procurement of supply and delivery of flour mill</t>
  </si>
  <si>
    <t>20JE0079 Construction/Completion of 3 units Multi-Purpose Building Pagadian City, Zamboanga del Sur</t>
  </si>
  <si>
    <t xml:space="preserve">20FN0077 Concreting of La Purisima to Inoyonan, Barangay La Purisima, Bula, Camarines Sur Section A – Sta. 2+300.00 – Sta. 3+320.00 Section B – Sta. 3+600.00 – Sta. 3+820.00 Section C – Sta. 4+025.00 </t>
  </si>
  <si>
    <t>Procurement for the Repair of Classrooms at Lanao del Norte Provincial Science and Technology High School under CY 2020 BEFF - Lot 6 (Rebid)</t>
  </si>
  <si>
    <t>Contract ID No. 20FA0040: CLUSTER 22 - REHABILITATION/CONSTRUCTION/IMPROVEMENT OF VARIOUS RIVER CONTROL AT STO. DOMINGO, MALINAO AND MALILIPOT, ALBAY</t>
  </si>
  <si>
    <t>20FN0081 Construction/Repair/Rehabilitation/Improvement of various Infrastructure including Local Projects Flood Control Structures/ Facilities - Rehabilitation/Improvement of Balayan Creek San Nicola</t>
  </si>
  <si>
    <t>Contract I.D. No. 20OE0091 - Construction of Retention Basin at Estero de Sampaloc, Manila City</t>
  </si>
  <si>
    <t>MPG-B1-2020-002 - SUPPLY AND DELIVERY OF FOURTEEN (14) SETS BRAND NEW TRACKASSY (T130) FOR M113 APC OF THE PHILIPPINE ARMY (PA)</t>
  </si>
  <si>
    <t>GPG-B1-2020-220-3RD REBID-SUPPLY, DELIVERY, INSTALLATION, TESTING &amp; COMMISSIONING OF ONE (1) LOT BRAND NEW AIR-CONDITIONING UNITS FOR THE NATIONAL BUREAU OF INVESTIGATION (NBI)</t>
  </si>
  <si>
    <t>Purchase of Desktop Computers, NUC System, and Laptops - Rebid</t>
  </si>
  <si>
    <t>Contract ID No. 20FA0049: REPLACEMENT AND CONCRETING OF TRAMO BRIDGE WHICH CONNECTS BRGYS. STO. CRISTO AND SAN ROQUE TO BRGY. TAGAS AND NEIGHBORING BARANGAYS IN TABACO CITY, ALBAY</t>
  </si>
  <si>
    <t>MPG-B1-2019-562 3rd Rebid - SUPPLY AND DELIVERY OF BRAND NEW KM 500 TIRE 11.00-20, 16PR   (LUG TRACTION DESIGN) FOR THE PHILIPPINE NAVY (PN)</t>
  </si>
  <si>
    <t>Production of Updated Risen from the Ashes</t>
  </si>
  <si>
    <t>MPG-BI 2020-318 4th Rebid SUPPLY AND DELIVERY OF BRAND NEW 2,031 PIECES MILITARY BINOCULAR, COMPACT, MODEL 1 FOR THE PHILIPPINE ARMY (PA)</t>
  </si>
  <si>
    <t>Contract ID No. 20FA0050: REHABILITATION/RECONSTRUCTION OF NATIONAL ROADS W/SLIPS, SLOPE COLLAPSE AND LANDSLIDE-SECONDARY ROADS, DM JCT-LEGAZPI-STO. DOMINGO-TABACO-CAMARINES SUR BDRY. RD- K0582+330-K0</t>
  </si>
  <si>
    <t>CY 2020 BASIC EDUCATIONAL FACILITIES FUND (BEFF) ELECTRICAL UPGRADE OF BUBUYAN NATIONAL HIGH SCHOOL (ITB 2020-Infra-007)</t>
  </si>
  <si>
    <t>ITB-GS-20200305-03 - Supply &amp; Delivery of 4,300 Pcs. Ribbon for EPSON Printer FX2190 &amp; 440 Pcs.  Genuine Burroughs Black Multiline Print Inkjet Cartridge</t>
  </si>
  <si>
    <t>CY 2020 BASIC EDUCATIONAL FACILITIES FUND (BEFF) REPAIR/IMPROVEMENT OF VARIOUS SCHOOL BUILDINGS – ULANGO ES (ITB 2020-Infra-005)</t>
  </si>
  <si>
    <t>REPAIR OF PHYTON CAGE</t>
  </si>
  <si>
    <t>ITB-GS-20200402-01 - Supply and Delivery of 250 Units Gigabit Ethernet Switch</t>
  </si>
  <si>
    <t>CY 2020 BASIC EDUCATIONAL FACILITIES FUND (BEFF) ELECTRICAL UPGRADE OF MAKILING NATIONAL HIGH SCHOOL (ITB 2020-Infra-006)</t>
  </si>
  <si>
    <t>SUPPLY AND DELIVERY OF KITCHEN WARES AND TOOLS FOR THE CSU HOTEL (PROJECT REF. No.: CSU2020-07-007- SUPPLIES)</t>
  </si>
  <si>
    <t>SUPPLY, DELIVERY AND INSTALLATION OF KITCHEN EQUIPMENT   (PROJECT REF. No.: CSU2020-07-008-HOTEL)</t>
  </si>
  <si>
    <t>CONSTRUCTION REHAB PROVISION OF AMENTIES OF DETENTION CELL</t>
  </si>
  <si>
    <t>Contract ID No. 20NC0138 - Construction of Two-Storey Municipal Operation Center at LGU Trento Municipal Complex Area, Trento, Agusan del Sur</t>
  </si>
  <si>
    <t>Supply and Delivery of One (1) Unit Mid to High Range</t>
  </si>
  <si>
    <t>Supply and Delivery of One (1) Unit Portable 2D Echo Machine</t>
  </si>
  <si>
    <t>20KA0136 Paving of Unpaved Roads with Construction of Road Slope Protection Structure along Kapalong-Talaingod-Valencia (Bukidnon) Rd (S00641MN) -  K1582 + 587 - K1582 + 734 (Package 1 - K1582 + 680 -</t>
  </si>
  <si>
    <t>ITB-GS-20200407-01 - Supply, Delivery, Installation &amp; Configuration of Privileged Access Management (PAM) Solution  with Hardware Appliance with Three (3) Years Warranty</t>
  </si>
  <si>
    <t>Construction of Drainage Facility</t>
  </si>
  <si>
    <t>Supply and Delivery of Various Printing Requirements of the Corporate Affairs Office, as per BSP Production Specifications</t>
  </si>
  <si>
    <t>Supply, Delivery, Installation and Commissioning of 24 Units Solar Powered Pumps</t>
  </si>
  <si>
    <t>Conduct Feasibility/Pre-Feasibility Study/Preliminary Detailed Engineering (Parcellary Survey) of DPWH Projects - Angeles-Porac-Floridablanca- Dinalupihan Road K0100+000 – K0105+000, JASA K0089+000 –</t>
  </si>
  <si>
    <t>20KA0135 Road Widening along Jct SH Aglayan-Zamboanguita Rd (S00631MN) - K1523 + 850 - K1525 + 500 (Package 1 - K1523 + 850 - K1525 + 340) Malaybalay City, Bukidnon</t>
  </si>
  <si>
    <t>VARIOUS LABORATORY SUPPLIES</t>
  </si>
  <si>
    <t>SUPPLY AND DELIVERY OF BRANDNEW GENERATOR SET WITH MOBILE TRAILER WEATHER &amp; SOUNDPROOF ENCLOSURE</t>
  </si>
  <si>
    <t>IMPROVEMENT OF BACOLOD ARTS CENTER, BCNHS CPD., BRGY. TACULING, BACOLOD CITY</t>
  </si>
  <si>
    <t>CONSTRUCTION OF DRUG REHABILITATION CENTER BRGY. ALIJIS, BACOLOD CITY</t>
  </si>
  <si>
    <t>ITB-Procurement of Service Provider for Digital Marketing to Promote the PhilRice RCEF Seed Program under the New Normal Through Social Media RCEF Goods 20-07-06</t>
  </si>
  <si>
    <t>Purchase of LED Emergency Lighting with Battery Pack for NAIA</t>
  </si>
  <si>
    <t>Supply of materials for renovation/rehabilitation/improvement of Multi-Purpose Hall</t>
  </si>
  <si>
    <t>HO-FMG20-003 - Supply and Delivery of Engine Lubricating Oil to SPUG Power Plants and Barges for CY 2020</t>
  </si>
  <si>
    <t>ITB-Procurement of a Service Provider to Conduct an Information, Education and Communication (IEC) Strategy in Support of the PhilRice RCEF Extension Program Under the New Normal RCEF Goods 20-07-07</t>
  </si>
  <si>
    <t>LOCAL ROAD UPGRADING (AM 2019)</t>
  </si>
  <si>
    <t>INVITATION TO BID to the 4th Public Bidding of the Procurement for the Site Development Works for the NDC Industrial Estate (NDCIE)Project in Brgy. Langkaan, Dasmariñas City, Cavite</t>
  </si>
  <si>
    <t>Metro Manila</t>
  </si>
  <si>
    <t>Cavite</t>
  </si>
  <si>
    <t>Cotabato</t>
  </si>
  <si>
    <t>Misamis Oriental</t>
  </si>
  <si>
    <t>Eastern Samar</t>
  </si>
  <si>
    <t>Dinagat Island</t>
  </si>
  <si>
    <t>Nueva Vizcaya</t>
  </si>
  <si>
    <t>Sorsogon</t>
  </si>
  <si>
    <t>Sultan Kudarat</t>
  </si>
  <si>
    <t>Catanduanes</t>
  </si>
  <si>
    <t>Palawan</t>
  </si>
  <si>
    <t>Davao Occidental</t>
  </si>
  <si>
    <t>Zamboanga Del Sur</t>
  </si>
  <si>
    <t>Rizal</t>
  </si>
  <si>
    <t>Sarangani</t>
  </si>
  <si>
    <t>South Cotabato</t>
  </si>
  <si>
    <t>Kalinga</t>
  </si>
  <si>
    <t>Southern Leyte</t>
  </si>
  <si>
    <t>Masbate</t>
  </si>
  <si>
    <t>Pangasinan</t>
  </si>
  <si>
    <t>Negros Oriental</t>
  </si>
  <si>
    <t>Marinduque</t>
  </si>
  <si>
    <t>Pampanga</t>
  </si>
  <si>
    <t>Ilocos Sur</t>
  </si>
  <si>
    <t>Agusan Del Norte</t>
  </si>
  <si>
    <t>Laguna</t>
  </si>
  <si>
    <t>Oriental Mindoro</t>
  </si>
  <si>
    <t>Iloilo</t>
  </si>
  <si>
    <t>Batangas</t>
  </si>
  <si>
    <t>Cebu</t>
  </si>
  <si>
    <t>Negros Occidental</t>
  </si>
  <si>
    <t>Quezon</t>
  </si>
  <si>
    <t>Occidental Mindoro</t>
  </si>
  <si>
    <t>Bohol</t>
  </si>
  <si>
    <t>Compostela Valley</t>
  </si>
  <si>
    <t>Ifugao</t>
  </si>
  <si>
    <t>Leyte</t>
  </si>
  <si>
    <t>Camarines Norte</t>
  </si>
  <si>
    <t>Antique</t>
  </si>
  <si>
    <t>Albay</t>
  </si>
  <si>
    <t>Agusan Del Sur</t>
  </si>
  <si>
    <t>Bataan</t>
  </si>
  <si>
    <t>Ilocos Norte</t>
  </si>
  <si>
    <t>Basilan</t>
  </si>
  <si>
    <t>Davao Del Norte</t>
  </si>
  <si>
    <t>Tarlac</t>
  </si>
  <si>
    <t>Bulacan</t>
  </si>
  <si>
    <t>Cagayan</t>
  </si>
  <si>
    <t>Bukidnon</t>
  </si>
  <si>
    <t>Mountain Province</t>
  </si>
  <si>
    <t>Capiz</t>
  </si>
  <si>
    <t>La Union</t>
  </si>
  <si>
    <t>Benguet</t>
  </si>
  <si>
    <t>Zamboanga Del Norte</t>
  </si>
  <si>
    <t>Zamboanga Sibugay</t>
  </si>
  <si>
    <t>Zambales</t>
  </si>
  <si>
    <t>Isabela</t>
  </si>
  <si>
    <t>Quirino</t>
  </si>
  <si>
    <t>Davao Del Sur</t>
  </si>
  <si>
    <t>(Independent City)</t>
  </si>
  <si>
    <t>Northern Samar</t>
  </si>
  <si>
    <t>Misamis Occidental</t>
  </si>
  <si>
    <t>Camiguin</t>
  </si>
  <si>
    <t>Nueva Ecija</t>
  </si>
  <si>
    <t>Camarines Sur</t>
  </si>
  <si>
    <t>Lanao Del Norte</t>
  </si>
  <si>
    <t>Apayao</t>
  </si>
  <si>
    <t>Lanao Del Sur</t>
  </si>
  <si>
    <t>Maguindanao</t>
  </si>
  <si>
    <t>Abra</t>
  </si>
  <si>
    <t>Aklan</t>
  </si>
  <si>
    <t>Samar</t>
  </si>
  <si>
    <t>Surigao Del Sur</t>
  </si>
  <si>
    <t>Philippines</t>
  </si>
  <si>
    <t>Biliran</t>
  </si>
  <si>
    <t>Surigao Del Norte</t>
  </si>
  <si>
    <t>Bulacan,Cagayan</t>
  </si>
  <si>
    <t>Sulu</t>
  </si>
  <si>
    <t>Tawi-Tawi</t>
  </si>
  <si>
    <t>Nueva Ecija,Nueva Vizcaya,Occidental Mindoro,Oriental Mindoro,Palawan</t>
  </si>
  <si>
    <t>Davao Oriental</t>
  </si>
  <si>
    <t>Siquijor</t>
  </si>
  <si>
    <t>Biliran,Eastern Samar,Leyte,Northern Samar,Samar</t>
  </si>
  <si>
    <t>Leyte,Samar</t>
  </si>
  <si>
    <t>Guimaras</t>
  </si>
  <si>
    <t>Romblon</t>
  </si>
  <si>
    <t>Basilan,Iloilo</t>
  </si>
  <si>
    <t>Aurora</t>
  </si>
  <si>
    <t>Zamboanga Del Sur,Zamboanga Sibugay</t>
  </si>
  <si>
    <t>Maguindanao,Marinduque,Masbate</t>
  </si>
  <si>
    <t>Batanes</t>
  </si>
  <si>
    <t>Metro Manila,Nueva Ecija</t>
  </si>
  <si>
    <t>Camarines Norte,Camarines Sur</t>
  </si>
  <si>
    <t>Camarines Norte,Camarines Sur,Catanduanes,Sorsogon</t>
  </si>
  <si>
    <t>Cavite,Laguna,Quezon</t>
  </si>
  <si>
    <t>Agusan Del Sur,Surigao Del Sur</t>
  </si>
  <si>
    <t>Aklan,Antique,Capiz,Iloilo</t>
  </si>
  <si>
    <t>Davao Del Norte,Davao Del Sur,Davao Occidental</t>
  </si>
  <si>
    <t>Biliran,Leyte,Samar,Southern Leyte</t>
  </si>
  <si>
    <t>Aklan,Antique,Capiz,Guimaras,Iloilo,Negros Occidental</t>
  </si>
  <si>
    <t>Albay,Camarines Norte,Camarines Sur,Masbate,Sorsogon</t>
  </si>
  <si>
    <t>Negros Occidental,Negros Oriental</t>
  </si>
  <si>
    <t>Eastern Samar,Leyte,Northern Samar,Samar,Southern Leyte</t>
  </si>
  <si>
    <t>Cagayan,Camarines Norte</t>
  </si>
  <si>
    <t>Abra,(Independent City)</t>
  </si>
  <si>
    <t>Negros Occidental,Zambales</t>
  </si>
  <si>
    <t>Biliran,Leyte,Samar</t>
  </si>
  <si>
    <t>Abra,Albay</t>
  </si>
  <si>
    <t>Antique,Negros Occidental</t>
  </si>
  <si>
    <t>Albay,Camarines Sur,Masbate,Sorsogon</t>
  </si>
  <si>
    <t>2020-13</t>
  </si>
  <si>
    <t>2020-08-0001</t>
  </si>
  <si>
    <t>ITB No. 2020-08-06</t>
  </si>
  <si>
    <t>2020-08-18-01</t>
  </si>
  <si>
    <t>252-878-056-000</t>
  </si>
  <si>
    <t>720-2020-01</t>
  </si>
  <si>
    <t>VILLAPAN-2020-006</t>
  </si>
  <si>
    <t>2020-Brgy. Bagongon-004</t>
  </si>
  <si>
    <t>119-2020</t>
  </si>
  <si>
    <t>118-2020</t>
  </si>
  <si>
    <t>117-2020</t>
  </si>
  <si>
    <t>CW 2020-008-028</t>
  </si>
  <si>
    <t>2020-CW-026</t>
  </si>
  <si>
    <t>120-2020</t>
  </si>
  <si>
    <t>CRN 2020-09</t>
  </si>
  <si>
    <t>2020-018</t>
  </si>
  <si>
    <t>2020-017</t>
  </si>
  <si>
    <t>116-2020</t>
  </si>
  <si>
    <t>2020-016</t>
  </si>
  <si>
    <t>115-2020</t>
  </si>
  <si>
    <t>ECV-20EE0143</t>
  </si>
  <si>
    <t>000408</t>
  </si>
  <si>
    <t>123-2020</t>
  </si>
  <si>
    <t>CRN 2020-06</t>
  </si>
  <si>
    <t>000465</t>
  </si>
  <si>
    <t>2020-CW-028</t>
  </si>
  <si>
    <t>0000454</t>
  </si>
  <si>
    <t>125-2020</t>
  </si>
  <si>
    <t>2020-019</t>
  </si>
  <si>
    <t>124-2020</t>
  </si>
  <si>
    <t>000450</t>
  </si>
  <si>
    <t>2020-015</t>
  </si>
  <si>
    <t>2020-014</t>
  </si>
  <si>
    <t>2020-08-19-01</t>
  </si>
  <si>
    <t>CRN-PB-027-GOODS-2020</t>
  </si>
  <si>
    <t>PROC-012-2020</t>
  </si>
  <si>
    <t>PROC-GOODS-012-2020</t>
  </si>
  <si>
    <t>ECV-20EE0144</t>
  </si>
  <si>
    <t>2020-07-001</t>
  </si>
  <si>
    <t>106-2020</t>
  </si>
  <si>
    <t>105-2020</t>
  </si>
  <si>
    <t>2020-08-630</t>
  </si>
  <si>
    <t>121-2020</t>
  </si>
  <si>
    <t>2020-18</t>
  </si>
  <si>
    <t>2020-07-504</t>
  </si>
  <si>
    <t>8-21-20-ID1</t>
  </si>
  <si>
    <t>2020-08-623</t>
  </si>
  <si>
    <t>12345</t>
  </si>
  <si>
    <t>8-17-20-ID18</t>
  </si>
  <si>
    <t>000473</t>
  </si>
  <si>
    <t>msj-2020-33</t>
  </si>
  <si>
    <t>ITB 20-0079</t>
  </si>
  <si>
    <t>ECV-20EE0145</t>
  </si>
  <si>
    <t>123456</t>
  </si>
  <si>
    <t>2020MC-SVP082</t>
  </si>
  <si>
    <t>104-2020</t>
  </si>
  <si>
    <t>WPU-2020-014</t>
  </si>
  <si>
    <t>2008-0734-SFP</t>
  </si>
  <si>
    <t>PB2020-14</t>
  </si>
  <si>
    <t>2020-286D</t>
  </si>
  <si>
    <t>2020-285C</t>
  </si>
  <si>
    <t>2020-285B</t>
  </si>
  <si>
    <t>2020-285A</t>
  </si>
  <si>
    <t>RFQ No. 20-08-68</t>
  </si>
  <si>
    <t>09142020-125</t>
  </si>
  <si>
    <t>2020MC-SVP081</t>
  </si>
  <si>
    <t>2020MC-SVP088</t>
  </si>
  <si>
    <t>DCWD-BID 013-2020</t>
  </si>
  <si>
    <t>2020MC-SVP085</t>
  </si>
  <si>
    <t>GOODS PROC 014-2020</t>
  </si>
  <si>
    <t>2020MC-SVP087</t>
  </si>
  <si>
    <t>DCWD BID 012-2020</t>
  </si>
  <si>
    <t>2020MC-SVP084</t>
  </si>
  <si>
    <t>2020MC-SVP083</t>
  </si>
  <si>
    <t>DCWD-BID 014-2020</t>
  </si>
  <si>
    <t>P.R. No. X11-20-07-336</t>
  </si>
  <si>
    <t>122-2020</t>
  </si>
  <si>
    <t>2020MC-SVP086</t>
  </si>
  <si>
    <t>G-CONSO-093-20</t>
  </si>
  <si>
    <t>WPU-2020-016</t>
  </si>
  <si>
    <t>2020-08-028-101</t>
  </si>
  <si>
    <t>2020-06-413</t>
  </si>
  <si>
    <t>G-CONSO-091-20</t>
  </si>
  <si>
    <t>PR 2020-0473</t>
  </si>
  <si>
    <t>INFRA 2020-009</t>
  </si>
  <si>
    <t>cgb2020-325</t>
  </si>
  <si>
    <t>0011</t>
  </si>
  <si>
    <t>Mkna-GSO-20-345</t>
  </si>
  <si>
    <t>cgb2020-324</t>
  </si>
  <si>
    <t>G-MDH-092-20</t>
  </si>
  <si>
    <t>126-2020</t>
  </si>
  <si>
    <t>0820-082</t>
  </si>
  <si>
    <t>G-CONSO-090-20</t>
  </si>
  <si>
    <t>08202020</t>
  </si>
  <si>
    <t>cgb2020-322</t>
  </si>
  <si>
    <t>008</t>
  </si>
  <si>
    <t>2020-001</t>
  </si>
  <si>
    <t>BAC SVP 2020-56</t>
  </si>
  <si>
    <t>2020-871-001</t>
  </si>
  <si>
    <t>2020-0819MOOE-088</t>
  </si>
  <si>
    <t>BAC-2020-910</t>
  </si>
  <si>
    <t>cgb2020-326</t>
  </si>
  <si>
    <t>ITB (CW-08-2020-024) 19DD0539</t>
  </si>
  <si>
    <t>cgb2020-676</t>
  </si>
  <si>
    <t>ITB (CW-08-2020-024) 19DD0537</t>
  </si>
  <si>
    <t>cgb2020-321</t>
  </si>
  <si>
    <t>P-0895</t>
  </si>
  <si>
    <t>cgb2020-331</t>
  </si>
  <si>
    <t>SV-69-G-2020</t>
  </si>
  <si>
    <t>cgb2020-329</t>
  </si>
  <si>
    <t>SV-67-G-2020</t>
  </si>
  <si>
    <t>cgb2020-328</t>
  </si>
  <si>
    <t>GOODS-2020-052</t>
  </si>
  <si>
    <t>CGSSF-CTR-20-08-001</t>
  </si>
  <si>
    <t>SAR-GOODS-08-059-2020</t>
  </si>
  <si>
    <t>2020-07-460</t>
  </si>
  <si>
    <t>cgb2020-332</t>
  </si>
  <si>
    <t>2008006</t>
  </si>
  <si>
    <t>2020-08-390-RFQ</t>
  </si>
  <si>
    <t>ROSAL 0477-2020</t>
  </si>
  <si>
    <t>128-2020</t>
  </si>
  <si>
    <t>ITB (CW-08-2020-024) 19DD0544</t>
  </si>
  <si>
    <t>ITB (CW-08-2020-024) 19DD0543</t>
  </si>
  <si>
    <t>ITB (CW-08-2020-024) 19DD0542</t>
  </si>
  <si>
    <t>PR No. 20-08-235</t>
  </si>
  <si>
    <t>ITB-2020-005</t>
  </si>
  <si>
    <t>20-1987</t>
  </si>
  <si>
    <t>ITB (CW-08-2020-024) 19DD0541</t>
  </si>
  <si>
    <t>PBI-2020-38</t>
  </si>
  <si>
    <t>2020-162</t>
  </si>
  <si>
    <t>PBI-2020-37</t>
  </si>
  <si>
    <t>2020-08-08B</t>
  </si>
  <si>
    <t>cgb2020-335</t>
  </si>
  <si>
    <t>2020-161</t>
  </si>
  <si>
    <t>cgb2020-336</t>
  </si>
  <si>
    <t>20-1454</t>
  </si>
  <si>
    <t>PBI-2020-35</t>
  </si>
  <si>
    <t>RFQ 2020-028</t>
  </si>
  <si>
    <t>CW20-06</t>
  </si>
  <si>
    <t>PBI-2020-49</t>
  </si>
  <si>
    <t>cgb2020-330</t>
  </si>
  <si>
    <t>RFQ No. 134-2020-G</t>
  </si>
  <si>
    <t>PBI-2020-36</t>
  </si>
  <si>
    <t>2020-08-1230</t>
  </si>
  <si>
    <t>LGU Nasipit-2020-032</t>
  </si>
  <si>
    <t>20-08-383</t>
  </si>
  <si>
    <t>RFQ No. 135-2020-G</t>
  </si>
  <si>
    <t>PBI-2020-52</t>
  </si>
  <si>
    <t>2020-08-01</t>
  </si>
  <si>
    <t>RFQ No. 130-2020-G</t>
  </si>
  <si>
    <t>2020-07</t>
  </si>
  <si>
    <t>2020-245</t>
  </si>
  <si>
    <t>ITB (CW-08-2020-024) 19DD0536</t>
  </si>
  <si>
    <t>003</t>
  </si>
  <si>
    <t>0820-083</t>
  </si>
  <si>
    <t>Mkna-GSO-20-346</t>
  </si>
  <si>
    <t>CMOG-PN-031-20</t>
  </si>
  <si>
    <t>CW20-07</t>
  </si>
  <si>
    <t>127-2020</t>
  </si>
  <si>
    <t>PBI-2020-42</t>
  </si>
  <si>
    <t>PBI-2020-47</t>
  </si>
  <si>
    <t>ITB (CW-08-2020-024) 19DD0538</t>
  </si>
  <si>
    <t>VIN BAC 060-2020</t>
  </si>
  <si>
    <t>PBI-2020-43</t>
  </si>
  <si>
    <t>2020-0-0011</t>
  </si>
  <si>
    <t>AMP2020-148</t>
  </si>
  <si>
    <t>2020-08-1231</t>
  </si>
  <si>
    <t>2020 14</t>
  </si>
  <si>
    <t>AMP2020-147</t>
  </si>
  <si>
    <t>PMC-020-233</t>
  </si>
  <si>
    <t>2020 15</t>
  </si>
  <si>
    <t>AMP2020-146</t>
  </si>
  <si>
    <t>129-2020</t>
  </si>
  <si>
    <t>2020-246</t>
  </si>
  <si>
    <t>20-08-0022</t>
  </si>
  <si>
    <t>20NC0142</t>
  </si>
  <si>
    <t>102CO-2020-328</t>
  </si>
  <si>
    <t>2020-08-020</t>
  </si>
  <si>
    <t>2020 13</t>
  </si>
  <si>
    <t>0820-084</t>
  </si>
  <si>
    <t>0010820</t>
  </si>
  <si>
    <t>PMC-020-201</t>
  </si>
  <si>
    <t>2020-247</t>
  </si>
  <si>
    <t>2020-08-02</t>
  </si>
  <si>
    <t>BAC-2020-924</t>
  </si>
  <si>
    <t>2020 12</t>
  </si>
  <si>
    <t>VIN BAC 061-2020</t>
  </si>
  <si>
    <t>BAC-2020-923</t>
  </si>
  <si>
    <t>102CO-2020-330</t>
  </si>
  <si>
    <t>PR-2020-1480</t>
  </si>
  <si>
    <t>PR-2020-2169</t>
  </si>
  <si>
    <t>BAC-2020-919</t>
  </si>
  <si>
    <t>2020 16</t>
  </si>
  <si>
    <t>2020-133</t>
  </si>
  <si>
    <t>PBI-2020-44</t>
  </si>
  <si>
    <t>2020-248</t>
  </si>
  <si>
    <t>2020 03</t>
  </si>
  <si>
    <t>2020-10</t>
  </si>
  <si>
    <t>BLGU-MATAGNAO-AL-02-2020</t>
  </si>
  <si>
    <t>200056</t>
  </si>
  <si>
    <t>PR-2020-1878</t>
  </si>
  <si>
    <t>CGSSF-WO-20-08-002</t>
  </si>
  <si>
    <t>MUNPINCE-2008-154</t>
  </si>
  <si>
    <t>20-08-0052</t>
  </si>
  <si>
    <t>PR-2020-2138</t>
  </si>
  <si>
    <t>BLGU-MATAGNAO-AL-01-2020</t>
  </si>
  <si>
    <t>BAC-2020-925</t>
  </si>
  <si>
    <t>RE-IB-2020-020-GOODS-FCSMO</t>
  </si>
  <si>
    <t>WPU-2020-017</t>
  </si>
  <si>
    <t>BAC-2020-922</t>
  </si>
  <si>
    <t>2020-0397 and 2020-0472</t>
  </si>
  <si>
    <t>MUNPINCE-2008-155</t>
  </si>
  <si>
    <t>PR-2020-1285</t>
  </si>
  <si>
    <t>Barangay Silanganan -08-01,2020</t>
  </si>
  <si>
    <t>SN 2020-001</t>
  </si>
  <si>
    <t>CGSSF-20-08-002</t>
  </si>
  <si>
    <t>2008-0733 SFP</t>
  </si>
  <si>
    <t>PMC-020-204</t>
  </si>
  <si>
    <t>PR-2020-1936</t>
  </si>
  <si>
    <t>102CO-2020-329</t>
  </si>
  <si>
    <t>2020-PR20-927-261</t>
  </si>
  <si>
    <t>HB 2007-033</t>
  </si>
  <si>
    <t>20-43</t>
  </si>
  <si>
    <t>2020-08-1254</t>
  </si>
  <si>
    <t>HB 2007-029</t>
  </si>
  <si>
    <t>20200818</t>
  </si>
  <si>
    <t>2020-08-007</t>
  </si>
  <si>
    <t>IB-2020-021-GOODS-PRFS</t>
  </si>
  <si>
    <t>2020-08-03</t>
  </si>
  <si>
    <t>2020-08-003</t>
  </si>
  <si>
    <t>102CO-2020-332</t>
  </si>
  <si>
    <t>2020-020</t>
  </si>
  <si>
    <t>20-0542</t>
  </si>
  <si>
    <t>143</t>
  </si>
  <si>
    <t>PR No. 20081530</t>
  </si>
  <si>
    <t>144</t>
  </si>
  <si>
    <t>ITB 2020-030</t>
  </si>
  <si>
    <t>B2020-105-A</t>
  </si>
  <si>
    <t>PR No. 20081527</t>
  </si>
  <si>
    <t>PR No. 20081542</t>
  </si>
  <si>
    <t>2008-0737 SFP</t>
  </si>
  <si>
    <t>ITB 2020-031</t>
  </si>
  <si>
    <t>2020-08-006</t>
  </si>
  <si>
    <t>BAYLE0820AMP0813</t>
  </si>
  <si>
    <t>102CO-2020-333</t>
  </si>
  <si>
    <t>PR No. 20081552</t>
  </si>
  <si>
    <t>PR No. 20081551</t>
  </si>
  <si>
    <t>PMC-020-206</t>
  </si>
  <si>
    <t>PR No. 20081543</t>
  </si>
  <si>
    <t>20-0744</t>
  </si>
  <si>
    <t>146</t>
  </si>
  <si>
    <t>PR No. 20081537</t>
  </si>
  <si>
    <t>2020-0820REGMOOE-089</t>
  </si>
  <si>
    <t>PR No. 20081554</t>
  </si>
  <si>
    <t>PR No. 20081531</t>
  </si>
  <si>
    <t>20-0541</t>
  </si>
  <si>
    <t>PR # 2020-08-139</t>
  </si>
  <si>
    <t>2020-786-104</t>
  </si>
  <si>
    <t>SV-71-G-2020</t>
  </si>
  <si>
    <t>2008-0736 SFP</t>
  </si>
  <si>
    <t>Mkna-GSO-19-232</t>
  </si>
  <si>
    <t>102CO-2020-334</t>
  </si>
  <si>
    <t>147</t>
  </si>
  <si>
    <t>2008-0735 SFP</t>
  </si>
  <si>
    <t>20-08-008</t>
  </si>
  <si>
    <t>20-0535</t>
  </si>
  <si>
    <t>2020-08-502</t>
  </si>
  <si>
    <t>20-0534</t>
  </si>
  <si>
    <t>20-0729</t>
  </si>
  <si>
    <t>PR 2020-08-349</t>
  </si>
  <si>
    <t>2020-08-504</t>
  </si>
  <si>
    <t>BAC 2020-G06 REBIDDING</t>
  </si>
  <si>
    <t>20-07-0020</t>
  </si>
  <si>
    <t>20-07-0719</t>
  </si>
  <si>
    <t>P.R. No. X6-20-07-328</t>
  </si>
  <si>
    <t>P.R. No. X6-20-07-311</t>
  </si>
  <si>
    <t>PR #2020-08-139</t>
  </si>
  <si>
    <t>2008-0740 SFP</t>
  </si>
  <si>
    <t>2020-021</t>
  </si>
  <si>
    <t>2020-AMP-099</t>
  </si>
  <si>
    <t>P.R. No. X6-20-07-312</t>
  </si>
  <si>
    <t>COB BAC Goods 2020-016-01</t>
  </si>
  <si>
    <t>2020-08-001</t>
  </si>
  <si>
    <t>2020-11</t>
  </si>
  <si>
    <t>20-08-133</t>
  </si>
  <si>
    <t>COB BAC Goods 2020-016-02</t>
  </si>
  <si>
    <t>006</t>
  </si>
  <si>
    <t>2020-008-001</t>
  </si>
  <si>
    <t>2020-0821</t>
  </si>
  <si>
    <t>2020-08-002</t>
  </si>
  <si>
    <t>lgm</t>
  </si>
  <si>
    <t>Civil Works 04</t>
  </si>
  <si>
    <t>2020-08-11B</t>
  </si>
  <si>
    <t>tapulao_infras2020-08-003</t>
  </si>
  <si>
    <t>002-2020</t>
  </si>
  <si>
    <t>2008-0738 SFP</t>
  </si>
  <si>
    <t>2020-08-16</t>
  </si>
  <si>
    <t>PB2020-21</t>
  </si>
  <si>
    <t>Baramgay Zpme III-Poblacion 2020-08-013</t>
  </si>
  <si>
    <t>ITB-2020-08-001</t>
  </si>
  <si>
    <t>PR 2020-08-05</t>
  </si>
  <si>
    <t>2020-08-17</t>
  </si>
  <si>
    <t>tapulao_infras2020-08-002</t>
  </si>
  <si>
    <t>Barangay Malusak 2020-08-0016</t>
  </si>
  <si>
    <t>VILLAPAN-2020-007</t>
  </si>
  <si>
    <t>08212020</t>
  </si>
  <si>
    <t>P.R. No. X6-20-06-257</t>
  </si>
  <si>
    <t>2020-</t>
  </si>
  <si>
    <t>IB 2020-22</t>
  </si>
  <si>
    <t>Request for quotation</t>
  </si>
  <si>
    <t>PR 2020-08-04</t>
  </si>
  <si>
    <t>INFRA 2020-08-21</t>
  </si>
  <si>
    <t>BAC-2020-938</t>
  </si>
  <si>
    <t>20-08-129</t>
  </si>
  <si>
    <t>PB2020-15</t>
  </si>
  <si>
    <t>PR # 2020-08-140</t>
  </si>
  <si>
    <t>PR 2020-08-03</t>
  </si>
  <si>
    <t>2020-Buquig-01</t>
  </si>
  <si>
    <t>BAC-2020-946</t>
  </si>
  <si>
    <t>2008-0820-AVRC</t>
  </si>
  <si>
    <t>2020-08-009</t>
  </si>
  <si>
    <t>kal-2020-08-60</t>
  </si>
  <si>
    <t>2020-SVP-356</t>
  </si>
  <si>
    <t>pb2020-16</t>
  </si>
  <si>
    <t>PR # 2020-08- 140</t>
  </si>
  <si>
    <t>08-01-2020</t>
  </si>
  <si>
    <t>TALB-09-01-2020</t>
  </si>
  <si>
    <t>kal-2020-08-61</t>
  </si>
  <si>
    <t>2020-08-08</t>
  </si>
  <si>
    <t>Infra GF 10-2020</t>
  </si>
  <si>
    <t>kal-2020-08-55</t>
  </si>
  <si>
    <t>PB2020-18</t>
  </si>
  <si>
    <t>gsis/npsvp-262-20</t>
  </si>
  <si>
    <t>2020-SVP-357</t>
  </si>
  <si>
    <t>2020-SVP-366</t>
  </si>
  <si>
    <t>TALB-09-05-2020</t>
  </si>
  <si>
    <t>Infra EDF 15-2020</t>
  </si>
  <si>
    <t>BPB 2020-032</t>
  </si>
  <si>
    <t>2020-SVP-365</t>
  </si>
  <si>
    <t>2020-SVP-363</t>
  </si>
  <si>
    <t>PB2020-17</t>
  </si>
  <si>
    <t>2020-SVP-362</t>
  </si>
  <si>
    <t>2020-SVP-364</t>
  </si>
  <si>
    <t>PG-RFQ-2020-08-03</t>
  </si>
  <si>
    <t>TALB-09-04-2020</t>
  </si>
  <si>
    <t>PG-RFQ-2020-08-02</t>
  </si>
  <si>
    <t>SK-FVL3-2020</t>
  </si>
  <si>
    <t>PG-RFQ-2020-08-04</t>
  </si>
  <si>
    <t>TALB-09-03-2020</t>
  </si>
  <si>
    <t>PB2020-20</t>
  </si>
  <si>
    <t>2020-SVP-360</t>
  </si>
  <si>
    <t>10111002018001</t>
  </si>
  <si>
    <t>TALB-09-02-2020</t>
  </si>
  <si>
    <t>SVP 2020-151</t>
  </si>
  <si>
    <t>P.R. No. X7-20-08-350</t>
  </si>
  <si>
    <t>2020-08-21-01</t>
  </si>
  <si>
    <t>PB2020-19</t>
  </si>
  <si>
    <t>RIZAL-15SEPTEMBER2020-9</t>
  </si>
  <si>
    <t>RIZAL-15SEPTEMBER2020-7</t>
  </si>
  <si>
    <t>RIZAL-15SEPTEMBER2020-10</t>
  </si>
  <si>
    <t>PR#2020-08-141</t>
  </si>
  <si>
    <t>RIZAL-15SEPTEMBER2020-8</t>
  </si>
  <si>
    <t>RIZAL-15SEPTEMBER2020-6</t>
  </si>
  <si>
    <t>R3-2020-G-06</t>
  </si>
  <si>
    <t>R3-2020-G-05</t>
  </si>
  <si>
    <t>RIZAL-15SEPTEMBER2020-4</t>
  </si>
  <si>
    <t>RIZAL-15SEPTEMBER2020-1</t>
  </si>
  <si>
    <t>RIZAL-15SEPTEMBER2020-2</t>
  </si>
  <si>
    <t>RIZAL-15SEPTEMBER2020-27</t>
  </si>
  <si>
    <t>R3-2020-G-04</t>
  </si>
  <si>
    <t>RIZAL-15SEPTEMBER2020-3</t>
  </si>
  <si>
    <t>RIZAL-15SEPTEMBER2020-25</t>
  </si>
  <si>
    <t>PG-RFQ-2020-08-01</t>
  </si>
  <si>
    <t>RIZAL-15SEPTEMBER2020-24</t>
  </si>
  <si>
    <t>RIZAL-15SEPTEMBER2020-26</t>
  </si>
  <si>
    <t>RIZAL-15SEPTEMBER2020-20</t>
  </si>
  <si>
    <t>2020-SVP-361</t>
  </si>
  <si>
    <t>RIZAL-15SEPTEMBER2020-19</t>
  </si>
  <si>
    <t>M-001-2020</t>
  </si>
  <si>
    <t>PR #2020-08-141</t>
  </si>
  <si>
    <t>RIZAL-15SEPTEMBER2020-17</t>
  </si>
  <si>
    <t>RIZAL-15SEPTEMBER2020-15</t>
  </si>
  <si>
    <t>RIZAL-15SEPTEMBER2020-21</t>
  </si>
  <si>
    <t>RIZAL-15SEPTEMBER2020-14</t>
  </si>
  <si>
    <t>IB NO. 2020-062</t>
  </si>
  <si>
    <t>RIZAL-15SEPTEMBER2020-18</t>
  </si>
  <si>
    <t>IB NO. 2020-061</t>
  </si>
  <si>
    <t>IB NO. 2020-060</t>
  </si>
  <si>
    <t>IB NO. 2020-058</t>
  </si>
  <si>
    <t>IB NO. 2020-057</t>
  </si>
  <si>
    <t>RIZAL-15SEPTEMBER2020-16</t>
  </si>
  <si>
    <t>RIZAL-15SEPTEMBER2020-22</t>
  </si>
  <si>
    <t>RGL2020-015</t>
  </si>
  <si>
    <t>IB NO. 2020-056</t>
  </si>
  <si>
    <t>IB NO. 2020-055</t>
  </si>
  <si>
    <t>IB NO. 2020-047</t>
  </si>
  <si>
    <t>IB NO. 2020-046</t>
  </si>
  <si>
    <t>2020-01</t>
  </si>
  <si>
    <t>IB NO. 2020-059</t>
  </si>
  <si>
    <t>IB NO. 2020-054</t>
  </si>
  <si>
    <t>G-2020-27</t>
  </si>
  <si>
    <t>RIZAL-15SEPTEMBER2020-23</t>
  </si>
  <si>
    <t>RIZAL-15SEPTEMBER2020-28</t>
  </si>
  <si>
    <t>RIZAL-15SEPTEMBER2020-5</t>
  </si>
  <si>
    <t>G-2020-26</t>
  </si>
  <si>
    <t>RIZAL-15SEPTEMBER2020-13</t>
  </si>
  <si>
    <t>IB NO. 2020-042</t>
  </si>
  <si>
    <t>EMB-R4B-35-20</t>
  </si>
  <si>
    <t>IB NO. 2020-045</t>
  </si>
  <si>
    <t>RIZAL-15SEPTEMBER2020-29</t>
  </si>
  <si>
    <t>PR-ESSS00-20-07-00003</t>
  </si>
  <si>
    <t>BPB 2020-033</t>
  </si>
  <si>
    <t>IB NO. 2020-043</t>
  </si>
  <si>
    <t>RIZAL-15SEPTEMBER2020-11</t>
  </si>
  <si>
    <t>ITB-2020-001</t>
  </si>
  <si>
    <t>2020-08-22</t>
  </si>
  <si>
    <t>PRN 2020-08-010</t>
  </si>
  <si>
    <t>RIZAL-15SEPTEMBER2020-12</t>
  </si>
  <si>
    <t>2020-2</t>
  </si>
  <si>
    <t>SVP 2020-08-477</t>
  </si>
  <si>
    <t>001-020</t>
  </si>
  <si>
    <t>2020-06-006PR</t>
  </si>
  <si>
    <t>ITB-2020-002</t>
  </si>
  <si>
    <t>PGL-20 NEGO-44-08</t>
  </si>
  <si>
    <t>08-001-20</t>
  </si>
  <si>
    <t>PR#20-08-0090</t>
  </si>
  <si>
    <t>8222020</t>
  </si>
  <si>
    <t>2020-07-02</t>
  </si>
  <si>
    <t>WWRDEC Vehicle Rent</t>
  </si>
  <si>
    <t>BAC-PG-002-20</t>
  </si>
  <si>
    <t>2020-SVP-368</t>
  </si>
  <si>
    <t>2020-SVP-367</t>
  </si>
  <si>
    <t>08-002-20</t>
  </si>
  <si>
    <t>TALB-09-06-2020</t>
  </si>
  <si>
    <t>SVP 20-0382</t>
  </si>
  <si>
    <t>R3-2020-G-03</t>
  </si>
  <si>
    <t>SVP 2020-08-482</t>
  </si>
  <si>
    <t>3041051</t>
  </si>
  <si>
    <t>SVP 2020-08-481</t>
  </si>
  <si>
    <t>PR2020-08-0003</t>
  </si>
  <si>
    <t>PB 2020-002</t>
  </si>
  <si>
    <t>109903-08-2020</t>
  </si>
  <si>
    <t>PR# 20-08-1459</t>
  </si>
  <si>
    <t>CYN-BAC-SVP-2020-153</t>
  </si>
  <si>
    <t>PB-2020-GDS-028</t>
  </si>
  <si>
    <t>CYN-BAC-SVP-2020-152</t>
  </si>
  <si>
    <t>SVP 20-0388</t>
  </si>
  <si>
    <t>V01-Aug-20</t>
  </si>
  <si>
    <t>SVP 2020-08-479</t>
  </si>
  <si>
    <t>BPB 2020-036</t>
  </si>
  <si>
    <t>SVP 20-0384</t>
  </si>
  <si>
    <t>SVP 20-0396</t>
  </si>
  <si>
    <t>2020-08-014</t>
  </si>
  <si>
    <t>PR2020-08-0002</t>
  </si>
  <si>
    <t>BAC 2020-G07 RE-BIDDING</t>
  </si>
  <si>
    <t>2020-GD-08-02</t>
  </si>
  <si>
    <t>SVP 20-0386</t>
  </si>
  <si>
    <t>BPB 2020-035</t>
  </si>
  <si>
    <t>2020-042</t>
  </si>
  <si>
    <t>BPB 2020-034</t>
  </si>
  <si>
    <t>2020-GD-08-04</t>
  </si>
  <si>
    <t>2020-GD-08-03</t>
  </si>
  <si>
    <t>SVP 20-0383</t>
  </si>
  <si>
    <t>2020-08</t>
  </si>
  <si>
    <t>R3-2020-G-08</t>
  </si>
  <si>
    <t>R3-2020-G-07</t>
  </si>
  <si>
    <t>CES 2020</t>
  </si>
  <si>
    <t>2020-CW-08-03</t>
  </si>
  <si>
    <t>2020-039</t>
  </si>
  <si>
    <t>2020-08-2</t>
  </si>
  <si>
    <t>20-08-139</t>
  </si>
  <si>
    <t>SVP 2020-008-484</t>
  </si>
  <si>
    <t>2020-041</t>
  </si>
  <si>
    <t>SVP 2020-08-483</t>
  </si>
  <si>
    <t>2020-040</t>
  </si>
  <si>
    <t>2020-052</t>
  </si>
  <si>
    <t>2020-CW-08-04</t>
  </si>
  <si>
    <t>PSYS-20-07-034</t>
  </si>
  <si>
    <t>2020-051</t>
  </si>
  <si>
    <t>2020-08-04</t>
  </si>
  <si>
    <t>2020-049</t>
  </si>
  <si>
    <t>2020-048</t>
  </si>
  <si>
    <t>2020-054</t>
  </si>
  <si>
    <t>NP2020-08-496</t>
  </si>
  <si>
    <t>NP2020-08-493</t>
  </si>
  <si>
    <t>NP2020-05-257</t>
  </si>
  <si>
    <t>2020-050</t>
  </si>
  <si>
    <t>2020-046</t>
  </si>
  <si>
    <t>2020-047</t>
  </si>
  <si>
    <t>2020-044</t>
  </si>
  <si>
    <t>2020-22-01</t>
  </si>
  <si>
    <t>NP2020-08-491</t>
  </si>
  <si>
    <t>344</t>
  </si>
  <si>
    <t>2020-08-22-01</t>
  </si>
  <si>
    <t>2020-08-1180</t>
  </si>
  <si>
    <t>08-02-2020</t>
  </si>
  <si>
    <t>2020-043</t>
  </si>
  <si>
    <t>2008-0739 SFP</t>
  </si>
  <si>
    <t>AP-APID-2020-01</t>
  </si>
  <si>
    <t>102CO-2020-335</t>
  </si>
  <si>
    <t>TINOC-2020-10-GOODS</t>
  </si>
  <si>
    <t>DANGGO-2020-01</t>
  </si>
  <si>
    <t>galarin08-2020</t>
  </si>
  <si>
    <t>DANGGO-2020-03</t>
  </si>
  <si>
    <t>2020-004</t>
  </si>
  <si>
    <t>2020-053</t>
  </si>
  <si>
    <t>RFQ 17-2020</t>
  </si>
  <si>
    <t>DANGGO-2020-02</t>
  </si>
  <si>
    <t>202029</t>
  </si>
  <si>
    <t>bituag08-2020</t>
  </si>
  <si>
    <t>202024</t>
  </si>
  <si>
    <t>NP2020-08-487</t>
  </si>
  <si>
    <t>202023</t>
  </si>
  <si>
    <t>2020822</t>
  </si>
  <si>
    <t>UPLB-I-026-09-20 SUPPLY, DELIVERY, AND INSTALLATIO</t>
  </si>
  <si>
    <t>PR No. 20081540</t>
  </si>
  <si>
    <t>BAYLE0820AMP0814</t>
  </si>
  <si>
    <t>2020-045</t>
  </si>
  <si>
    <t>CATHS-JHS 00001-2020</t>
  </si>
  <si>
    <t>2020-GOODS-RFQ-107</t>
  </si>
  <si>
    <t>2020-055</t>
  </si>
  <si>
    <t>20082304</t>
  </si>
  <si>
    <t>DDN_08/27/2020</t>
  </si>
  <si>
    <t>2020-05-0063</t>
  </si>
  <si>
    <t>PB-2020-GDS-029</t>
  </si>
  <si>
    <t>2020-GOODS-RFQ-106</t>
  </si>
  <si>
    <t>kal-2020-08-62</t>
  </si>
  <si>
    <t>202025</t>
  </si>
  <si>
    <t>PR-2020</t>
  </si>
  <si>
    <t>SDOCoM-PR# 2020-08-039 (ICT Supplies &amp; Equipment)</t>
  </si>
  <si>
    <t>BINABLAYAN-2020-01</t>
  </si>
  <si>
    <t>2020-08-0062</t>
  </si>
  <si>
    <t>AHIN-2020-01</t>
  </si>
  <si>
    <t>2020-GOODS-RFQ-105</t>
  </si>
  <si>
    <t>2020-GOODS-RFQ-104</t>
  </si>
  <si>
    <t>PR No. 20081539</t>
  </si>
  <si>
    <t>2020-08-09B</t>
  </si>
  <si>
    <t>145</t>
  </si>
  <si>
    <t>AHIN-2020-02</t>
  </si>
  <si>
    <t>2020-0001</t>
  </si>
  <si>
    <t>2020-02-0158</t>
  </si>
  <si>
    <t>S-2020-08-155</t>
  </si>
  <si>
    <t>202008G</t>
  </si>
  <si>
    <t>2020-09</t>
  </si>
  <si>
    <t>Poblacion-2020-06</t>
  </si>
  <si>
    <t>BAYLE0820AMP0816</t>
  </si>
  <si>
    <t>RFQ-029-2020</t>
  </si>
  <si>
    <t>2020-02-0156</t>
  </si>
  <si>
    <t>SVP 2020-008-485</t>
  </si>
  <si>
    <t>2020-3Q-001</t>
  </si>
  <si>
    <t>2020-02-0161</t>
  </si>
  <si>
    <t>2020-GOODS-RFQ-108</t>
  </si>
  <si>
    <t>PBS 20-099</t>
  </si>
  <si>
    <t>S-2020-08-156</t>
  </si>
  <si>
    <t>RFQ 2020-0368</t>
  </si>
  <si>
    <t>2020-0811-01</t>
  </si>
  <si>
    <t>20-08-03</t>
  </si>
  <si>
    <t>030</t>
  </si>
  <si>
    <t>RFQ-028-2020</t>
  </si>
  <si>
    <t>20-08-13</t>
  </si>
  <si>
    <t>2020-GOODS-RFQ-109</t>
  </si>
  <si>
    <t>028</t>
  </si>
  <si>
    <t>LGU-2020-217</t>
  </si>
  <si>
    <t>20-08-14</t>
  </si>
  <si>
    <t>029</t>
  </si>
  <si>
    <t>2020-08PP-15</t>
  </si>
  <si>
    <t>LGU-2020-216</t>
  </si>
  <si>
    <t>LGU-2020-215</t>
  </si>
  <si>
    <t>2020-08-I14</t>
  </si>
  <si>
    <t>RFQ20-MBL20-0021</t>
  </si>
  <si>
    <t>027</t>
  </si>
  <si>
    <t>2020-02-0127</t>
  </si>
  <si>
    <t>ITB 2020-029</t>
  </si>
  <si>
    <t>ITDI-200588</t>
  </si>
  <si>
    <t>GHS0006-2020</t>
  </si>
  <si>
    <t>GHS0005-2020</t>
  </si>
  <si>
    <t>20-44</t>
  </si>
  <si>
    <t>08232020001</t>
  </si>
  <si>
    <t>2020-02-0153</t>
  </si>
  <si>
    <t>BLGU-SAN FRANCISCO-AL-01-2020</t>
  </si>
  <si>
    <t>2020-01-002</t>
  </si>
  <si>
    <t>142</t>
  </si>
  <si>
    <t>R4A-LC-2020-19</t>
  </si>
  <si>
    <t>SVP2020-41</t>
  </si>
  <si>
    <t>RFQ 2020-09</t>
  </si>
  <si>
    <t>102CO-2020-331</t>
  </si>
  <si>
    <t>R4A-LC-2020-18</t>
  </si>
  <si>
    <t>ppn-158-2020</t>
  </si>
  <si>
    <t>2020-GOODS-RFQ-110</t>
  </si>
  <si>
    <t>ITDI-200509_REBID</t>
  </si>
  <si>
    <t>2020-PR20-1114-262</t>
  </si>
  <si>
    <t>ITDI-200500_REBID</t>
  </si>
  <si>
    <t>SVP2020-40</t>
  </si>
  <si>
    <t>RFQ 2020-0364</t>
  </si>
  <si>
    <t>202008013</t>
  </si>
  <si>
    <t>R4A-LC-2020-15</t>
  </si>
  <si>
    <t>R4A-LC-2020-17</t>
  </si>
  <si>
    <t>ppn-157-2020</t>
  </si>
  <si>
    <t>PB-2020-GDS-030</t>
  </si>
  <si>
    <t>20-08-10</t>
  </si>
  <si>
    <t>SVP2020-043</t>
  </si>
  <si>
    <t>20-08-04</t>
  </si>
  <si>
    <t>MUNPINCE-2008-156</t>
  </si>
  <si>
    <t>JH2020-08-0004</t>
  </si>
  <si>
    <t>SVP2020-39</t>
  </si>
  <si>
    <t>ITDI-200504_REBID</t>
  </si>
  <si>
    <t>RFQ 20-130: Supply and Delivery of Chemical, Labor</t>
  </si>
  <si>
    <t>PBI-2020-41</t>
  </si>
  <si>
    <t>CW2020-55</t>
  </si>
  <si>
    <t>20-08-15</t>
  </si>
  <si>
    <t>17202008079</t>
  </si>
  <si>
    <t>VIN BAC 062-2020</t>
  </si>
  <si>
    <t>RFQ-GOODS-2020-101</t>
  </si>
  <si>
    <t>CMOG-PN-032-20</t>
  </si>
  <si>
    <t>LGU-RFQ-2020-82</t>
  </si>
  <si>
    <t>cgb2020-334</t>
  </si>
  <si>
    <t>PBI-2020-40</t>
  </si>
  <si>
    <t>20-07-027</t>
  </si>
  <si>
    <t>R4A-LC-2020-16</t>
  </si>
  <si>
    <t>2020-002</t>
  </si>
  <si>
    <t>ITB (CW-08-2020-024) 19DD0540</t>
  </si>
  <si>
    <t>5-88</t>
  </si>
  <si>
    <t>SV-70-G-2020</t>
  </si>
  <si>
    <t>DepEd 020-2020</t>
  </si>
  <si>
    <t>R4A-LC-2020-22</t>
  </si>
  <si>
    <t>PBI-2020-39</t>
  </si>
  <si>
    <t>ITDI-200507_REBID</t>
  </si>
  <si>
    <t>R4A-LC-2020-21</t>
  </si>
  <si>
    <t>CAD(ICTC)-20-002</t>
  </si>
  <si>
    <t>ITDI-200305_REBID</t>
  </si>
  <si>
    <t>CMGP-02-2020 REPOST</t>
  </si>
  <si>
    <t>ITDI-200219_REBID</t>
  </si>
  <si>
    <t>ITDI-200499</t>
  </si>
  <si>
    <t>08-23-20</t>
  </si>
  <si>
    <t>SVP2020-042</t>
  </si>
  <si>
    <t>ITDI-200486_REBID</t>
  </si>
  <si>
    <t>cgb2020-327</t>
  </si>
  <si>
    <t>ITB PR NO. 20-08-124</t>
  </si>
  <si>
    <t>ITDI-200510_REBID</t>
  </si>
  <si>
    <t>OFFICE-2020-03</t>
  </si>
  <si>
    <t>SV-68-G-2020</t>
  </si>
  <si>
    <t>CMGP-01-2020 REPOST</t>
  </si>
  <si>
    <t>2020-0818REGMOOE-087</t>
  </si>
  <si>
    <t>MA-A2T20-007</t>
  </si>
  <si>
    <t>MA-A2O20-011</t>
  </si>
  <si>
    <t>MA-A2M20-068</t>
  </si>
  <si>
    <t>2020-037</t>
  </si>
  <si>
    <t>MA-A2M20-065</t>
  </si>
  <si>
    <t>R4A-LC-2020-20</t>
  </si>
  <si>
    <t>MA-A2O20-010</t>
  </si>
  <si>
    <t>MA-A2M20-056</t>
  </si>
  <si>
    <t>2020-08-0683</t>
  </si>
  <si>
    <t>MA-A2M20-060</t>
  </si>
  <si>
    <t>MA-A2M20-055</t>
  </si>
  <si>
    <t>MA-A2M20-040</t>
  </si>
  <si>
    <t>ITB (CW-08-2020-024) 19DD0535</t>
  </si>
  <si>
    <t>cgb2020-333</t>
  </si>
  <si>
    <t>DepEd LU021-2020</t>
  </si>
  <si>
    <t>CHO-20-096</t>
  </si>
  <si>
    <t>20-07-63</t>
  </si>
  <si>
    <t>SAR-GOODS-08-036-2020</t>
  </si>
  <si>
    <t>P.R. No. X4-20-07-291</t>
  </si>
  <si>
    <t>MA-A2M20-028</t>
  </si>
  <si>
    <t>08-004</t>
  </si>
  <si>
    <t>R4A-LC-2020-23</t>
  </si>
  <si>
    <t>P.R. No. X1-20-07-307</t>
  </si>
  <si>
    <t>2020-08-0682</t>
  </si>
  <si>
    <t>08-2-20</t>
  </si>
  <si>
    <t>proc-20-SUPPLY &amp; INSTALLATION  OF ATM CLADDING (WA</t>
  </si>
  <si>
    <t>2020-056</t>
  </si>
  <si>
    <t>2020-08-0680</t>
  </si>
  <si>
    <t>2020-08-23</t>
  </si>
  <si>
    <t>GTLMH-TF-20-029 DM</t>
  </si>
  <si>
    <t>05-20 cap</t>
  </si>
  <si>
    <t>MA-A2T20-006</t>
  </si>
  <si>
    <t>2020-83</t>
  </si>
  <si>
    <t>P.R. No. 2020-08-0063</t>
  </si>
  <si>
    <t>NIFW-08-170-20</t>
  </si>
  <si>
    <t>LANDBANK LOAN-02-20</t>
  </si>
  <si>
    <t>2020-GOODS-362</t>
  </si>
  <si>
    <t>MA-A2M20-061</t>
  </si>
  <si>
    <t>2020-08PP-18</t>
  </si>
  <si>
    <t>2020-08-24</t>
  </si>
  <si>
    <t>Barangay Tibongbong 2020-001</t>
  </si>
  <si>
    <t>MZDS-BAC-G-2020-06</t>
  </si>
  <si>
    <t>NIFW-08-167-20</t>
  </si>
  <si>
    <t>LANDBANK LOAN-01-20</t>
  </si>
  <si>
    <t>RFQ042d</t>
  </si>
  <si>
    <t>LGU-Banayoyo, ISur 2020-08-076</t>
  </si>
  <si>
    <t>08-2020-28</t>
  </si>
  <si>
    <t>NIFW-08-166-20</t>
  </si>
  <si>
    <t>MZDS-BAC-CW-2020-10</t>
  </si>
  <si>
    <t>2020-08PP-17</t>
  </si>
  <si>
    <t>2020-08-0681</t>
  </si>
  <si>
    <t>NIFW-08-168-20</t>
  </si>
  <si>
    <t>PR No. 20-08-16</t>
  </si>
  <si>
    <t>2020-02</t>
  </si>
  <si>
    <t>BPOB-BAC-2020-07</t>
  </si>
  <si>
    <t>R4A-LC-2020-26</t>
  </si>
  <si>
    <t>BPOB-BAC-2020-08</t>
  </si>
  <si>
    <t>20-08-015</t>
  </si>
  <si>
    <t>DEPED-NE-GOODS-2020-022</t>
  </si>
  <si>
    <t>DEPED-NE-INFRA-004-2020</t>
  </si>
  <si>
    <t>2020-GOODS-369</t>
  </si>
  <si>
    <t>2020-GOODS-366</t>
  </si>
  <si>
    <t>2020-GOODS-371</t>
  </si>
  <si>
    <t>2020-GOODS-367</t>
  </si>
  <si>
    <t>DEPED-NE-GOODS-2020-021</t>
  </si>
  <si>
    <t>NEGO UPGRADING OF POWER SYSTEM AT GENERAL SANTOS A</t>
  </si>
  <si>
    <t>2020-GOODS-368</t>
  </si>
  <si>
    <t>SEHS 2020_020</t>
  </si>
  <si>
    <t>TAS-2020-08-001A</t>
  </si>
  <si>
    <t>NIFW-08-169-20</t>
  </si>
  <si>
    <t>SF-GOODS:2020-008-006A</t>
  </si>
  <si>
    <t>002</t>
  </si>
  <si>
    <t>APPD20-005SVP</t>
  </si>
  <si>
    <t>CRN-PB-028-GOODS-2020</t>
  </si>
  <si>
    <t>20-08-016</t>
  </si>
  <si>
    <t>SES 2020_019</t>
  </si>
  <si>
    <t>20-08-017</t>
  </si>
  <si>
    <t>2020-GOODS-370</t>
  </si>
  <si>
    <t>2020-003</t>
  </si>
  <si>
    <t>2020-GOODS-363</t>
  </si>
  <si>
    <t>SES 2020_020</t>
  </si>
  <si>
    <t>UVLIGHT-082020</t>
  </si>
  <si>
    <t>TAS-2020-08-001B</t>
  </si>
  <si>
    <t>R4A-LC-2020-25</t>
  </si>
  <si>
    <t>NwdBAC2020-008</t>
  </si>
  <si>
    <t>R4-LC-2020-24</t>
  </si>
  <si>
    <t>P.R. No. 2020-08-0060</t>
  </si>
  <si>
    <t>PB-CW-2020-001</t>
  </si>
  <si>
    <t>SVP 2020-187</t>
  </si>
  <si>
    <t>20-0002</t>
  </si>
  <si>
    <t>2020-GOODS-365</t>
  </si>
  <si>
    <t>ImpvtMPB2020-823-2</t>
  </si>
  <si>
    <t>WPU-2020-015</t>
  </si>
  <si>
    <t>ECC-Supply 2020-08-029</t>
  </si>
  <si>
    <t>2020-604-041</t>
  </si>
  <si>
    <t>20-08-645</t>
  </si>
  <si>
    <t>20-08-563</t>
  </si>
  <si>
    <t>CGSOF 08-20-015</t>
  </si>
  <si>
    <t>CGSOF 08-20-014</t>
  </si>
  <si>
    <t>NIW-08-171-20</t>
  </si>
  <si>
    <t>001</t>
  </si>
  <si>
    <t>pr 2020-08-09</t>
  </si>
  <si>
    <t>20-06-351</t>
  </si>
  <si>
    <t>SES 2020_022</t>
  </si>
  <si>
    <t>2020-20-10</t>
  </si>
  <si>
    <t>20-06-427</t>
  </si>
  <si>
    <t>004</t>
  </si>
  <si>
    <t>106CO-38IB-2020-664</t>
  </si>
  <si>
    <t>RFQ-2020-105</t>
  </si>
  <si>
    <t>RFQ-2020-106</t>
  </si>
  <si>
    <t>RFQ-2020-107</t>
  </si>
  <si>
    <t>2020-GOODS-364</t>
  </si>
  <si>
    <t>20-08-385</t>
  </si>
  <si>
    <t>RFQ-2020-104</t>
  </si>
  <si>
    <t>20-40 goods</t>
  </si>
  <si>
    <t>ITB-131-2020</t>
  </si>
  <si>
    <t>20-08-384</t>
  </si>
  <si>
    <t>20-07-540</t>
  </si>
  <si>
    <t>SRAVIS 20-08-354</t>
  </si>
  <si>
    <t>20-14 infra</t>
  </si>
  <si>
    <t>REI No. 2020-012</t>
  </si>
  <si>
    <t xml:space="preserve">(2FB)N20-08-093 PURCHASE OF SPARE PARTS FOR MOTOR </t>
  </si>
  <si>
    <t>20-41 goods</t>
  </si>
  <si>
    <t>11</t>
  </si>
  <si>
    <t>(2FB)N20-08-090 PURCHASE OF MACHINERIES AND EQUIPM</t>
  </si>
  <si>
    <t>20-39 goods</t>
  </si>
  <si>
    <t>ITB-132.2020</t>
  </si>
  <si>
    <t>BIES-GOOD-08-001-2020</t>
  </si>
  <si>
    <t>DES-2020-08-008</t>
  </si>
  <si>
    <t>116920Ecogan</t>
  </si>
  <si>
    <t>RFQ-2020-060</t>
  </si>
  <si>
    <t>DES-2020-08-009</t>
  </si>
  <si>
    <t>1</t>
  </si>
  <si>
    <t>20200015</t>
  </si>
  <si>
    <t>2020-20</t>
  </si>
  <si>
    <t>JASHS-GO0208SH-012</t>
  </si>
  <si>
    <t>RFQ-2020-057</t>
  </si>
  <si>
    <t>007238-2020-01</t>
  </si>
  <si>
    <t>2020-04</t>
  </si>
  <si>
    <t>(2FB)N20-08-100 PURCHASE OF DIESEL AND GASOLINE FO</t>
  </si>
  <si>
    <t>RFQ-MES-2020-08-001</t>
  </si>
  <si>
    <t>08-21-20</t>
  </si>
  <si>
    <t>2020-06-0075/76</t>
  </si>
  <si>
    <t>D-2020-001-0001</t>
  </si>
  <si>
    <t>2020-05</t>
  </si>
  <si>
    <t>RFQ-2020-109</t>
  </si>
  <si>
    <t>MG-A5C20-072</t>
  </si>
  <si>
    <t>ITDI-200583</t>
  </si>
  <si>
    <t>20CSM007</t>
  </si>
  <si>
    <t>2020-08-0071</t>
  </si>
  <si>
    <t>ITDI-200581</t>
  </si>
  <si>
    <t>ITDI-200580</t>
  </si>
  <si>
    <t>343</t>
  </si>
  <si>
    <t>2020-07-0080</t>
  </si>
  <si>
    <t>MLQES 2020-008-014</t>
  </si>
  <si>
    <t>Bac-Pg-001-20</t>
  </si>
  <si>
    <t>RFQ-2020-067</t>
  </si>
  <si>
    <t>ITDI-200594</t>
  </si>
  <si>
    <t>SM-20-034</t>
  </si>
  <si>
    <t>2020-06-0080</t>
  </si>
  <si>
    <t>MS-20-011</t>
  </si>
  <si>
    <t>Brgy Caridad Ibaba</t>
  </si>
  <si>
    <t>RFQ NO. EMB-EEID-SHOPPING-G-124-8-21-2020 2020-075</t>
  </si>
  <si>
    <t>RFQ NO. EMB-EEID-SHOPPING-G-125-8-21-2020 2020-075</t>
  </si>
  <si>
    <t>08222001</t>
  </si>
  <si>
    <t>ITDI-200593</t>
  </si>
  <si>
    <t>ITDI-200590</t>
  </si>
  <si>
    <t>ITDI-200589</t>
  </si>
  <si>
    <t>ITDI-200586</t>
  </si>
  <si>
    <t>RFQ NO. EMB-EMB-PGSS 127-08-21-2020 PR NO.2020-076</t>
  </si>
  <si>
    <t>RFQ NO. EMB-EMB-PGSS 126-08-21-2020 PR NO.2020-076</t>
  </si>
  <si>
    <t>2020-06-0017</t>
  </si>
  <si>
    <t>RFQ NO. EMB-EQMD-CMS-SHOPPING-G-122-8-21-2020</t>
  </si>
  <si>
    <t>ITDI-200592</t>
  </si>
  <si>
    <t>TESDA PR-0316</t>
  </si>
  <si>
    <t>DGPD2020-RFQ08-002-G</t>
  </si>
  <si>
    <t>ITDI-200585</t>
  </si>
  <si>
    <t>ITDI-200584</t>
  </si>
  <si>
    <t>R3-BANE-GAA-2020-Bustos Dam CCTV-67</t>
  </si>
  <si>
    <t>MG-A5M20-074</t>
  </si>
  <si>
    <t>RFQ-2020-063</t>
  </si>
  <si>
    <t>2020-08-34</t>
  </si>
  <si>
    <t>202001</t>
  </si>
  <si>
    <t>RFQ061</t>
  </si>
  <si>
    <t>2020-08-35</t>
  </si>
  <si>
    <t>3539-20</t>
  </si>
  <si>
    <t>3798-20</t>
  </si>
  <si>
    <t>3531-20</t>
  </si>
  <si>
    <t>3362-20</t>
  </si>
  <si>
    <t>SVP-20-0679</t>
  </si>
  <si>
    <t>3831-20</t>
  </si>
  <si>
    <t>3828-20</t>
  </si>
  <si>
    <t>20CSOC01</t>
  </si>
  <si>
    <t>SKC-001-08-20</t>
  </si>
  <si>
    <t>RFQ NO. EMB-EEID-SHOPPING-G-123-8-21-2020 2020-072</t>
  </si>
  <si>
    <t>7240-0000-00</t>
  </si>
  <si>
    <t>2020bid001</t>
  </si>
  <si>
    <t>3744-20</t>
  </si>
  <si>
    <t>100-2020-07-887</t>
  </si>
  <si>
    <t>100-2020-07-863</t>
  </si>
  <si>
    <t>100-2020-06-808</t>
  </si>
  <si>
    <t>MG-PLM20-095..400KVA DIESEL GENSET AT PH</t>
  </si>
  <si>
    <t>100-2020-08-946</t>
  </si>
  <si>
    <t>SVP-08222020-1</t>
  </si>
  <si>
    <t>MG-PLM20-152..maint. of Transformer(Shell DB) Reha</t>
  </si>
  <si>
    <t>RB2020-08-271</t>
  </si>
  <si>
    <t>03</t>
  </si>
  <si>
    <t>3545-20</t>
  </si>
  <si>
    <t>lu-200818-03</t>
  </si>
  <si>
    <t>MG-PAT20-016.SUPPLY AND DELIVERY OF GOVERNOR OIL P</t>
  </si>
  <si>
    <t>3878-20</t>
  </si>
  <si>
    <t>MAINT 2020-07-0038</t>
  </si>
  <si>
    <t>3876-20</t>
  </si>
  <si>
    <t>3875-20</t>
  </si>
  <si>
    <t>3797-20</t>
  </si>
  <si>
    <t>2020-07-03</t>
  </si>
  <si>
    <t>SRC GOODS 2020-026</t>
  </si>
  <si>
    <t>SRC GOODS 2020-025</t>
  </si>
  <si>
    <t>3847-20</t>
  </si>
  <si>
    <t>SVP-20-0678</t>
  </si>
  <si>
    <t>SVP-20-0677</t>
  </si>
  <si>
    <t>SVP-20-0674</t>
  </si>
  <si>
    <t>SVP-20-0672</t>
  </si>
  <si>
    <t>SVP-20-0616</t>
  </si>
  <si>
    <t>SVP-20-0549</t>
  </si>
  <si>
    <t>lu-200818-02</t>
  </si>
  <si>
    <t>RFQ-2020-061</t>
  </si>
  <si>
    <t>0700-2020-08-046</t>
  </si>
  <si>
    <t>BG-2020-08-001</t>
  </si>
  <si>
    <t>100-2020-07-891</t>
  </si>
  <si>
    <t>2020-GE08-0036</t>
  </si>
  <si>
    <t>100-2020-08-938</t>
  </si>
  <si>
    <t>BAC-08-1120</t>
  </si>
  <si>
    <t>100-2020-08-933</t>
  </si>
  <si>
    <t>SVP-20-0671</t>
  </si>
  <si>
    <t>PIKCOT-SUPP-002020-00183</t>
  </si>
  <si>
    <t>PIKCOT-SUPP-002020-00181</t>
  </si>
  <si>
    <t>100-2020-08-930</t>
  </si>
  <si>
    <t>PIKCOT-SUPP-002020-00178</t>
  </si>
  <si>
    <t>PIKCOT-SUPP-002020-00182</t>
  </si>
  <si>
    <t>100-2020-08-929</t>
  </si>
  <si>
    <t>100-2020-08-928</t>
  </si>
  <si>
    <t>SVP-20-0600</t>
  </si>
  <si>
    <t>100-2020-08-925</t>
  </si>
  <si>
    <t>100-2020-08-920</t>
  </si>
  <si>
    <t>PIKCOT-SUPP-002020-00179</t>
  </si>
  <si>
    <t>100-2020-07-913</t>
  </si>
  <si>
    <t>100-2020-07-895</t>
  </si>
  <si>
    <t>PIKCOT-SUPP-002020-00180</t>
  </si>
  <si>
    <t>100-2020-06-768</t>
  </si>
  <si>
    <t>2020-06-0019</t>
  </si>
  <si>
    <t>S2-ALD20-002</t>
  </si>
  <si>
    <t>100-2020-07-896</t>
  </si>
  <si>
    <t>OSSSM-RMB-1746-20</t>
  </si>
  <si>
    <t>lu-200818-01</t>
  </si>
  <si>
    <t>2020-06-0018</t>
  </si>
  <si>
    <t>OSSSM-SEB-1745-20</t>
  </si>
  <si>
    <t>WC-2020-08-284</t>
  </si>
  <si>
    <t>WC-2020-08-283</t>
  </si>
  <si>
    <t>5TH FW-2020-0365</t>
  </si>
  <si>
    <t>CEISS-RMOS-1744-20</t>
  </si>
  <si>
    <t>5TH FW-2020-0364</t>
  </si>
  <si>
    <t>5TH FW-2020-0363</t>
  </si>
  <si>
    <t>5TH FW-2020-0362</t>
  </si>
  <si>
    <t>G-20-13</t>
  </si>
  <si>
    <t>G20-08-3091</t>
  </si>
  <si>
    <t>20200002</t>
  </si>
  <si>
    <t>5TH FW-2020-0357</t>
  </si>
  <si>
    <t>G20-08-3092</t>
  </si>
  <si>
    <t>100-2020-07-870</t>
  </si>
  <si>
    <t>RFQ-2020-108</t>
  </si>
  <si>
    <t>PR-2020-07-06</t>
  </si>
  <si>
    <t>20MC-INFRA-042</t>
  </si>
  <si>
    <t>PB-20-17</t>
  </si>
  <si>
    <t>GHQPC-OJ5-SEMECE-1747-20</t>
  </si>
  <si>
    <t>GHQPC-OTQMG-DME-1749-2020</t>
  </si>
  <si>
    <t>PKOC-RMOME-1734-20</t>
  </si>
  <si>
    <t>20MC-GOODS-048</t>
  </si>
  <si>
    <t>20MC-GOODS-047</t>
  </si>
  <si>
    <t>20MC-GOODS-046</t>
  </si>
  <si>
    <t>20MC-GOODS-044</t>
  </si>
  <si>
    <t>20MC-INFRA-043</t>
  </si>
  <si>
    <t>SES 2020_021</t>
  </si>
  <si>
    <t>S2-ANT20-006</t>
  </si>
  <si>
    <t>100-2019-11-1717</t>
  </si>
  <si>
    <t>S2-ANT20-001</t>
  </si>
  <si>
    <t>20MC-GOODS-045</t>
  </si>
  <si>
    <t>100-2019-10-1647</t>
  </si>
  <si>
    <t>RFQ 2020-52</t>
  </si>
  <si>
    <t>100-2019-10-1648</t>
  </si>
  <si>
    <t>100-2020-07-894</t>
  </si>
  <si>
    <t>21 August 2020</t>
  </si>
  <si>
    <t>Barangay Habingan 2020-08-022</t>
  </si>
  <si>
    <t>2020-9</t>
  </si>
  <si>
    <t>Barangay Habingan 2020-08-021</t>
  </si>
  <si>
    <t>Barangay Habingan 2020-08-020</t>
  </si>
  <si>
    <t>Barangay Habingan 2020-08-019</t>
  </si>
  <si>
    <t>20 August 2020</t>
  </si>
  <si>
    <t>2020-8</t>
  </si>
  <si>
    <t>BA 2020-11</t>
  </si>
  <si>
    <t>BFPXI-3Q20-025</t>
  </si>
  <si>
    <t>2020-001-RFQ</t>
  </si>
  <si>
    <t>20GPB0006</t>
  </si>
  <si>
    <t>ITDI-200505</t>
  </si>
  <si>
    <t>20GPB0005</t>
  </si>
  <si>
    <t>100-2020-07-916</t>
  </si>
  <si>
    <t>2020-08-1345</t>
  </si>
  <si>
    <t>ITDI-200555</t>
  </si>
  <si>
    <t>ITDI-200371</t>
  </si>
  <si>
    <t>2020-08-1333</t>
  </si>
  <si>
    <t>BCS-2020-0304</t>
  </si>
  <si>
    <t>20GPB0004</t>
  </si>
  <si>
    <t>20DJ0113</t>
  </si>
  <si>
    <t>PR-08-06-2020</t>
  </si>
  <si>
    <t>PR-08-05-2020</t>
  </si>
  <si>
    <t>20OF0330</t>
  </si>
  <si>
    <t>CSC CAR PR NO 2020-012</t>
  </si>
  <si>
    <t>B-050-2020</t>
  </si>
  <si>
    <t>001-01-2020</t>
  </si>
  <si>
    <t>GHQPC-OTQMG-OTSM-1748-2020</t>
  </si>
  <si>
    <t>20-CRG-20-08-1259</t>
  </si>
  <si>
    <t>DOH/CHD12/GOODS/2020-08-006 OFFICE SUPPLIES</t>
  </si>
  <si>
    <t>ITDI-200390</t>
  </si>
  <si>
    <t>PR# 20-08-1072</t>
  </si>
  <si>
    <t>08-2020-01I</t>
  </si>
  <si>
    <t>CRG-20-08-1258</t>
  </si>
  <si>
    <t>DOH/CHD12/GOODS/2020-08-006 IT SUPPLIES</t>
  </si>
  <si>
    <t>ITDI-200382</t>
  </si>
  <si>
    <t>DOH/CHD12/GOODS/2020-08-006 DRUGS AND MEDICINES</t>
  </si>
  <si>
    <t>20-07-604</t>
  </si>
  <si>
    <t>DOH/CHD12/GOODS/2020-08-006 MEDICAL EQUIPMENTS</t>
  </si>
  <si>
    <t>20-08-640</t>
  </si>
  <si>
    <t>ITDI-200386</t>
  </si>
  <si>
    <t>20-08-646</t>
  </si>
  <si>
    <t>20-08-641</t>
  </si>
  <si>
    <t>VCWD-2020-020</t>
  </si>
  <si>
    <t>NIU-125-2020</t>
  </si>
  <si>
    <t>VCWD-2020-019</t>
  </si>
  <si>
    <t>DOH/CHD12/GOODS/2020-08-006 RENTAL OF WINGED VAN T</t>
  </si>
  <si>
    <t>CERAMIC TOILET BOWL (RE-BID)</t>
  </si>
  <si>
    <t>20-CRG-20-08-1262</t>
  </si>
  <si>
    <t>ITB 008-065-2020</t>
  </si>
  <si>
    <t>CMOR-03-2020-038</t>
  </si>
  <si>
    <t>20-07-609</t>
  </si>
  <si>
    <t>BP-082120-036</t>
  </si>
  <si>
    <t>FIRE EXTINGUISHER RE-BID</t>
  </si>
  <si>
    <t>DRUGS AND MEDICINES (RE-BIDDING)</t>
  </si>
  <si>
    <t>VCWD-2020-018</t>
  </si>
  <si>
    <t>MID-RANGE SERVER (RAID-TYPE) (TOWER SERVER) (iHOMI</t>
  </si>
  <si>
    <t>20-CRG-20-08-1254</t>
  </si>
  <si>
    <t>ITDI-200396</t>
  </si>
  <si>
    <t>ITDI-200389</t>
  </si>
  <si>
    <t>ITB 2020-08</t>
  </si>
  <si>
    <t>20-CRG-20-08-1264</t>
  </si>
  <si>
    <t>PR. 20-02-085 (i. 1-13) (2020-08-302)</t>
  </si>
  <si>
    <t>RFQ NO. EMB-SVP-ERLSD-ECMU ION CHROMATOGRAPH PM 20</t>
  </si>
  <si>
    <t>MEDICAL EQUIPMENT SGH (RE-BID)</t>
  </si>
  <si>
    <t>S2-CAP20-005</t>
  </si>
  <si>
    <t>SVP 2020-043</t>
  </si>
  <si>
    <t>2020-GOODS-100</t>
  </si>
  <si>
    <t>2020-0002</t>
  </si>
  <si>
    <t>2020-03</t>
  </si>
  <si>
    <t>20-CRG-20-08-1263</t>
  </si>
  <si>
    <t>PSA-NCR-RO-20-31</t>
  </si>
  <si>
    <t>RFQ 008-066-2020</t>
  </si>
  <si>
    <t>2020-INFRA-010</t>
  </si>
  <si>
    <t>S2-CMD20-001</t>
  </si>
  <si>
    <t>S2-CAP20-004</t>
  </si>
  <si>
    <t>DOH/CHD12/GOODS/2020-08-006 VAN RENTAL</t>
  </si>
  <si>
    <t>20-CRG-20-08-1261</t>
  </si>
  <si>
    <t>UPC SVP2020-08-027</t>
  </si>
  <si>
    <t>4000004621</t>
  </si>
  <si>
    <t>20-CRG-20-08-1220</t>
  </si>
  <si>
    <t>RQ 08-246</t>
  </si>
  <si>
    <t>H-041-0605-20</t>
  </si>
  <si>
    <t>DOH/CHD12/GOODS/2020-08-006 VAN RENTAL (DATRC)</t>
  </si>
  <si>
    <t>2020-08-0003</t>
  </si>
  <si>
    <t>2020-INFRA-009</t>
  </si>
  <si>
    <t>RQ 08-241</t>
  </si>
  <si>
    <t>H-044-0608-20</t>
  </si>
  <si>
    <t>S2-MGA20-019</t>
  </si>
  <si>
    <t>BR-07132020</t>
  </si>
  <si>
    <t>20-CRG-20-08-1265</t>
  </si>
  <si>
    <t>DOH/CHD12/GOODS/2020-08-006 MEDICAL SUPPLIES</t>
  </si>
  <si>
    <t>S2-MGA20-021</t>
  </si>
  <si>
    <t>RQ 08-240</t>
  </si>
  <si>
    <t>H-026-0590-20</t>
  </si>
  <si>
    <t>RQ 08-242</t>
  </si>
  <si>
    <t>S2-MGA20-017</t>
  </si>
  <si>
    <t>H-025-0589-20</t>
  </si>
  <si>
    <t>20-08-001</t>
  </si>
  <si>
    <t>2020-06</t>
  </si>
  <si>
    <t>ITDI-200557</t>
  </si>
  <si>
    <t>100-2019-10-1638</t>
  </si>
  <si>
    <t>RE-ITBF-2020-04INFRA</t>
  </si>
  <si>
    <t>TB DRUGS (RE-BID)</t>
  </si>
  <si>
    <t>001-2020</t>
  </si>
  <si>
    <t>RCDC-07252020</t>
  </si>
  <si>
    <t>20-CRG-20-08-1266</t>
  </si>
  <si>
    <t>2020-G-016</t>
  </si>
  <si>
    <t>RQ 08-030A</t>
  </si>
  <si>
    <t>RQ 08-249</t>
  </si>
  <si>
    <t>20-CRG-20-08-1260</t>
  </si>
  <si>
    <t>211592</t>
  </si>
  <si>
    <t>2020-G-017</t>
  </si>
  <si>
    <t>RQ 08-208</t>
  </si>
  <si>
    <t>2020-G-018</t>
  </si>
  <si>
    <t>211593</t>
  </si>
  <si>
    <t>211590</t>
  </si>
  <si>
    <t>RFQ-29-20</t>
  </si>
  <si>
    <t>PR no. 2020-409</t>
  </si>
  <si>
    <t>RFQ NO. EMB-ERLSD-ELSS-SHOPPING-0036-7-22-2020</t>
  </si>
  <si>
    <t>211597</t>
  </si>
  <si>
    <t>211599</t>
  </si>
  <si>
    <t>211591</t>
  </si>
  <si>
    <t>211598</t>
  </si>
  <si>
    <t>2020-8-397</t>
  </si>
  <si>
    <t>211601</t>
  </si>
  <si>
    <t>211588</t>
  </si>
  <si>
    <t>SVP 2020-007-466</t>
  </si>
  <si>
    <t>CS 2020-03</t>
  </si>
  <si>
    <t>211595</t>
  </si>
  <si>
    <t>211594</t>
  </si>
  <si>
    <t>211600</t>
  </si>
  <si>
    <t>211596</t>
  </si>
  <si>
    <t>211589</t>
  </si>
  <si>
    <t>P.R NO.: 2020-07-001</t>
  </si>
  <si>
    <t>2020-GOODS-101</t>
  </si>
  <si>
    <t>S2-MGS20-011</t>
  </si>
  <si>
    <t>2020 - 2</t>
  </si>
  <si>
    <t>2020-08-036</t>
  </si>
  <si>
    <t>2020-8-416</t>
  </si>
  <si>
    <t>S2-SND20-023</t>
  </si>
  <si>
    <t>08202018</t>
  </si>
  <si>
    <t>72671</t>
  </si>
  <si>
    <t>2020-8-424</t>
  </si>
  <si>
    <t>2020-8-414</t>
  </si>
  <si>
    <t>S2-MGS20-009</t>
  </si>
  <si>
    <t>S2-BIR20-016</t>
  </si>
  <si>
    <t>20-08-0447</t>
  </si>
  <si>
    <t>2020-8-395</t>
  </si>
  <si>
    <t>211602</t>
  </si>
  <si>
    <t>2020-CENTRO 8-008</t>
  </si>
  <si>
    <t>CS 2020-02</t>
  </si>
  <si>
    <t>LGU-2020-210</t>
  </si>
  <si>
    <t>S2-SND20-022</t>
  </si>
  <si>
    <t>LGU-2020-209</t>
  </si>
  <si>
    <t>LGU-2020-207</t>
  </si>
  <si>
    <t>2020-GOODS-103</t>
  </si>
  <si>
    <t>08212018</t>
  </si>
  <si>
    <t>S2-SND20-004</t>
  </si>
  <si>
    <t>GOODS-SPS-01-2020</t>
  </si>
  <si>
    <t>DepEd-20-SDO-123</t>
  </si>
  <si>
    <t>2020-8-406</t>
  </si>
  <si>
    <t>305THCO-14432-220AW-134-2020</t>
  </si>
  <si>
    <t>Dagnawan-INB-2020-002</t>
  </si>
  <si>
    <t>LGU-2020-206</t>
  </si>
  <si>
    <t>LGU-2020-205</t>
  </si>
  <si>
    <t>ITDI-200403</t>
  </si>
  <si>
    <t>ITDI-200398</t>
  </si>
  <si>
    <t>S2-SND20-003</t>
  </si>
  <si>
    <t>2020-GOODS-102</t>
  </si>
  <si>
    <t>63939</t>
  </si>
  <si>
    <t>20-07-0430</t>
  </si>
  <si>
    <t>211603</t>
  </si>
  <si>
    <t>20-07-0431</t>
  </si>
  <si>
    <t>LGU-2020-211</t>
  </si>
  <si>
    <t>S2-TAG20-011</t>
  </si>
  <si>
    <t>20-06-0376</t>
  </si>
  <si>
    <t>geps-2020-004</t>
  </si>
  <si>
    <t>S2-TAG20-016</t>
  </si>
  <si>
    <t>geps-2020-002</t>
  </si>
  <si>
    <t>20-CRG-20-08-1270</t>
  </si>
  <si>
    <t>20-CRG-20-08-1269</t>
  </si>
  <si>
    <t>LGU-2020-212</t>
  </si>
  <si>
    <t>ITB 2020-09-001</t>
  </si>
  <si>
    <t>20-CRG-20-08-1268</t>
  </si>
  <si>
    <t>S2-TAG20-017</t>
  </si>
  <si>
    <t>BLGF 041-2020</t>
  </si>
  <si>
    <t>ITDI-200587</t>
  </si>
  <si>
    <t>20-CRG-20-08-1267</t>
  </si>
  <si>
    <t>geps-2020-001</t>
  </si>
  <si>
    <t>20-CRG-20-08-1273</t>
  </si>
  <si>
    <t>BP-082020-035</t>
  </si>
  <si>
    <t>20-CRG-20-08-1272</t>
  </si>
  <si>
    <t>2020-INFRA-011</t>
  </si>
  <si>
    <t>LGU-2020-213</t>
  </si>
  <si>
    <t>PURCHASE REQUEST NO. 2020-08-031</t>
  </si>
  <si>
    <t>DepEd-20-SDO-0128</t>
  </si>
  <si>
    <t>geps-2020-003</t>
  </si>
  <si>
    <t>RFQ 2020-54</t>
  </si>
  <si>
    <t>RFQ-2020-04</t>
  </si>
  <si>
    <t>LGU-2020-214</t>
  </si>
  <si>
    <t>20-CRG-20-08-1275</t>
  </si>
  <si>
    <t>RFQ 2020-53</t>
  </si>
  <si>
    <t>20-CRG-20-08-1276</t>
  </si>
  <si>
    <t>20200821</t>
  </si>
  <si>
    <t>20-CRG-20-08-1271</t>
  </si>
  <si>
    <t>BS-008-2020</t>
  </si>
  <si>
    <t>RFQ 2020-61</t>
  </si>
  <si>
    <t>20-CRG-20-08-1227</t>
  </si>
  <si>
    <t>RFQ 2020-55</t>
  </si>
  <si>
    <t>20-CRG-20-08-1226</t>
  </si>
  <si>
    <t>S2-TAG20-012</t>
  </si>
  <si>
    <t>2020-1011-059</t>
  </si>
  <si>
    <t>0042-07-2020</t>
  </si>
  <si>
    <t>RFQ 2020-60</t>
  </si>
  <si>
    <t>BM-005-2020</t>
  </si>
  <si>
    <t>20-07-0399</t>
  </si>
  <si>
    <t>RFQ 2020-58</t>
  </si>
  <si>
    <t>RFQ 2020-57</t>
  </si>
  <si>
    <t>20-CRG-20-08-1222</t>
  </si>
  <si>
    <t>100-20-07-451</t>
  </si>
  <si>
    <t>20-CRG-20-08-1238</t>
  </si>
  <si>
    <t>2020-SVP-359</t>
  </si>
  <si>
    <t>RFQ NO. 2020-0675-EMB-S-ERLSD-ELSS METAL STANDARDS</t>
  </si>
  <si>
    <t>20-CRG-20-08-1237</t>
  </si>
  <si>
    <t>20-CRG-20-08-1223</t>
  </si>
  <si>
    <t>20-CRG-20-08-1236</t>
  </si>
  <si>
    <t>2020-INFRA-012</t>
  </si>
  <si>
    <t>RFQ NO. 2020-0479-EMB-S-ERLSD-ELSS BOD INCUBATOR (</t>
  </si>
  <si>
    <t>2020-121</t>
  </si>
  <si>
    <t>20-CRG-20-08-1230</t>
  </si>
  <si>
    <t>20-035</t>
  </si>
  <si>
    <t>2020-120</t>
  </si>
  <si>
    <t>20-CRG-20-08-1234</t>
  </si>
  <si>
    <t>PR NO.02020-08-004</t>
  </si>
  <si>
    <t>20-CRG-20-08-1274</t>
  </si>
  <si>
    <t>20-CRG-20-08-1228</t>
  </si>
  <si>
    <t>20-CRG-20-08-1232</t>
  </si>
  <si>
    <t>20-CRG-20-08-1225</t>
  </si>
  <si>
    <t>2020-119</t>
  </si>
  <si>
    <t>LGU-COR.-2020-95</t>
  </si>
  <si>
    <t>ITDI-200466_REBID</t>
  </si>
  <si>
    <t>ITB - Goods - 2020 - 08-008</t>
  </si>
  <si>
    <t>20-CRG-20-08-1244</t>
  </si>
  <si>
    <t>100-20-07-452</t>
  </si>
  <si>
    <t>BM-002-2020</t>
  </si>
  <si>
    <t>SVP 2020-007-450</t>
  </si>
  <si>
    <t>20-CRG-20-08-1243</t>
  </si>
  <si>
    <t>20-CRG-20-08-1242</t>
  </si>
  <si>
    <t>RFQ NO. 2020-0648-EMB-SVP-ERLSD-ECMU ECD DETECTORS</t>
  </si>
  <si>
    <t>ITDI-200425_REBID</t>
  </si>
  <si>
    <t>RFQ NO. EMB-SVP-ERLSD-ECMU ADCS PM 2020-0466(3rd)</t>
  </si>
  <si>
    <t>20-CRG-20-08-1233</t>
  </si>
  <si>
    <t>20-CRG-20-08-1240</t>
  </si>
  <si>
    <t>20-CRG-20-08-1229</t>
  </si>
  <si>
    <t>BMN-2020-CDC-PB005</t>
  </si>
  <si>
    <t>2020.08.001</t>
  </si>
  <si>
    <t>ITDI-200457_REBID</t>
  </si>
  <si>
    <t>RFQ NO. 2020-0502-EMB-SVP-ERLSD-ECMU ANALYTIC JENA</t>
  </si>
  <si>
    <t>20-CRG-20-08-1239</t>
  </si>
  <si>
    <t>BSS-001-2020</t>
  </si>
  <si>
    <t>RFQ 2020-59</t>
  </si>
  <si>
    <t>RFQ No. SJADS SVP 2020-27</t>
  </si>
  <si>
    <t>RFQ NO. 2020-0475-EMB-SVP-ERLSD-ECMU SMART-N SERIE</t>
  </si>
  <si>
    <t>ITDI-200399_REBID</t>
  </si>
  <si>
    <t>20-CRG-20-08-1251</t>
  </si>
  <si>
    <t>20-CRG-20-08-1221</t>
  </si>
  <si>
    <t>20-CRG-20-08-1247</t>
  </si>
  <si>
    <t>20-CRG-20-08-1249</t>
  </si>
  <si>
    <t>2020-038</t>
  </si>
  <si>
    <t>RFQ NO. 2020-0531-EMB-S-ERLSD-ELSS LABORATORY CONS</t>
  </si>
  <si>
    <t>20-CRG-20-08-1246</t>
  </si>
  <si>
    <t>ITDI-200476_REBID</t>
  </si>
  <si>
    <t>ITDI-200480_REBID</t>
  </si>
  <si>
    <t>CW-001-2020</t>
  </si>
  <si>
    <t>RFQ NO. EMB-S-ERLSD-ELSS LABORATORY CONSUMABLES 20</t>
  </si>
  <si>
    <t>CAV-RFQ-2020-08-01</t>
  </si>
  <si>
    <t>2020-08-013</t>
  </si>
  <si>
    <t>RFQ No. SJADS SVP 2020-26</t>
  </si>
  <si>
    <t>RFQ NO. 2020-0257-EMB-S-ERLSD-ELSS CONSUMABLES(3rd</t>
  </si>
  <si>
    <t>RFQ NO. EMB-PROP.-SHOPPING-G-121-8-20-2020</t>
  </si>
  <si>
    <t>20-CRG-20-08-1248</t>
  </si>
  <si>
    <t>itb20-08-033B</t>
  </si>
  <si>
    <t>88000</t>
  </si>
  <si>
    <t>itb20-08-033A</t>
  </si>
  <si>
    <t>20-08-044</t>
  </si>
  <si>
    <t>SKP-2020-08-002</t>
  </si>
  <si>
    <t>ITB-DARFO12-2020-0721</t>
  </si>
  <si>
    <t>2020-08-21-203</t>
  </si>
  <si>
    <t>geps-2020-007</t>
  </si>
  <si>
    <t>ITDI-200520</t>
  </si>
  <si>
    <t>G-082020-00893</t>
  </si>
  <si>
    <t>ITDI-200556</t>
  </si>
  <si>
    <t>2020-08-0034</t>
  </si>
  <si>
    <t>RFQ196 Reproduction and book binding of manuals to</t>
  </si>
  <si>
    <t>ITB-DARFO12-2020-0720</t>
  </si>
  <si>
    <t>itb20-08-033E</t>
  </si>
  <si>
    <t>itb20-08-033D</t>
  </si>
  <si>
    <t>2020-08-0033</t>
  </si>
  <si>
    <t>ITDI-200475_REBID</t>
  </si>
  <si>
    <t>RFQ198 Provision of Van Hire For use of CV-CHD Sta</t>
  </si>
  <si>
    <t>20-036</t>
  </si>
  <si>
    <t>RFQ NO. 2020-0489-EMB-S-ERLSD-ELSS AIR ANALYSES ST</t>
  </si>
  <si>
    <t>BAC-HO GS No. 2020-0233</t>
  </si>
  <si>
    <t>2020 - 08 - 031 (148 - Shopping)</t>
  </si>
  <si>
    <t>08212020-1</t>
  </si>
  <si>
    <t>RFQ-022-2020</t>
  </si>
  <si>
    <t>Tubod-20-08-001</t>
  </si>
  <si>
    <t>JJWC-NNP-20-017</t>
  </si>
  <si>
    <t>PCADG-08-21-2020</t>
  </si>
  <si>
    <t>2020-08-SJC-RFQ-002</t>
  </si>
  <si>
    <t>RFQ-021-2020</t>
  </si>
  <si>
    <t>SKpuspus-001-20</t>
  </si>
  <si>
    <t>ppn-156-2020</t>
  </si>
  <si>
    <t>RFQ NO. 2020-0673-EMB-S-ERLSD-ELSS DIGITAL BAROMET</t>
  </si>
  <si>
    <t>08212020-2</t>
  </si>
  <si>
    <t>2020-08-14-21</t>
  </si>
  <si>
    <t>RFQ-024-2020</t>
  </si>
  <si>
    <t>2</t>
  </si>
  <si>
    <t>SKP-2020-08-004</t>
  </si>
  <si>
    <t>SKP-2020-08-003</t>
  </si>
  <si>
    <t>TESDA PR-0310</t>
  </si>
  <si>
    <t>B2020-08-217 (G)</t>
  </si>
  <si>
    <t>RFQ-023-2020</t>
  </si>
  <si>
    <t>TESDA PR-0284</t>
  </si>
  <si>
    <t>itb20-08-033C</t>
  </si>
  <si>
    <t>RFQ-RDCTF2020-08-001</t>
  </si>
  <si>
    <t>PR 2020-08-0053</t>
  </si>
  <si>
    <t>ITDI-200540</t>
  </si>
  <si>
    <t>TESDA PR-0314</t>
  </si>
  <si>
    <t>IB_Goods_2020-08-047</t>
  </si>
  <si>
    <t>PR 2020-07-0043</t>
  </si>
  <si>
    <t>ITDI-200552</t>
  </si>
  <si>
    <t>2020-08-008</t>
  </si>
  <si>
    <t>PR 2020-07-0042</t>
  </si>
  <si>
    <t>2020-08-SJC-RFQ-001</t>
  </si>
  <si>
    <t>ITDI-200539</t>
  </si>
  <si>
    <t>2020-08-053</t>
  </si>
  <si>
    <t>2020-08-052</t>
  </si>
  <si>
    <t>SF-G- MDRRMO-2020-38</t>
  </si>
  <si>
    <t>ITB No. Goods-2020-26</t>
  </si>
  <si>
    <t>2020-08-051</t>
  </si>
  <si>
    <t>UPLB-I-025-09-20 SUPPLY AND DELIVERY OF CONSTRUCTI</t>
  </si>
  <si>
    <t>SF-G- MDRRMO/GADF-2020-37</t>
  </si>
  <si>
    <t>ITDI-200545</t>
  </si>
  <si>
    <t>2020-008-003</t>
  </si>
  <si>
    <t>SF-G-MTO-2020-33</t>
  </si>
  <si>
    <t>20OH0162</t>
  </si>
  <si>
    <t>2020-185-I</t>
  </si>
  <si>
    <t>ITDI-200554</t>
  </si>
  <si>
    <t>2020-08-21</t>
  </si>
  <si>
    <t>BAC-HO GS No. 2020-0561 dated 05 August 2020  (FME</t>
  </si>
  <si>
    <t>PR-2020-6542-0025</t>
  </si>
  <si>
    <t>PR-2020-1011-0245</t>
  </si>
  <si>
    <t>PR-2020-1011-0254</t>
  </si>
  <si>
    <t>concreting2020-2</t>
  </si>
  <si>
    <t>BBG-WV#028-2020</t>
  </si>
  <si>
    <t>RFQ-2020-006</t>
  </si>
  <si>
    <t>ITDI-200551</t>
  </si>
  <si>
    <t>PB20-07-039COR</t>
  </si>
  <si>
    <t>GSIS LAU/SVP/TYRES</t>
  </si>
  <si>
    <t>20CSZ020</t>
  </si>
  <si>
    <t>2020-24-07</t>
  </si>
  <si>
    <t>BangUN-2020-06-0240</t>
  </si>
  <si>
    <t>BangUN-2020-06-0239</t>
  </si>
  <si>
    <t>RFQ-2020-007</t>
  </si>
  <si>
    <t>BangUN-2020-06-0238</t>
  </si>
  <si>
    <t>20CSZ007</t>
  </si>
  <si>
    <t>PR 2020-07-0044</t>
  </si>
  <si>
    <t>20CSZ018</t>
  </si>
  <si>
    <t>Mal-PB-2020-002</t>
  </si>
  <si>
    <t>20CSZ022</t>
  </si>
  <si>
    <t>20CSZ021</t>
  </si>
  <si>
    <t>2020-08-01B</t>
  </si>
  <si>
    <t>2020-08-04B</t>
  </si>
  <si>
    <t>20ABBAG002</t>
  </si>
  <si>
    <t>20-DSWDFO1-003</t>
  </si>
  <si>
    <t>ITDI-200553</t>
  </si>
  <si>
    <t>20ABBAG001</t>
  </si>
  <si>
    <t>DA7-09-20-STO-U-20-3084</t>
  </si>
  <si>
    <t>PR-2020-1095-0012</t>
  </si>
  <si>
    <t>ITB 001</t>
  </si>
  <si>
    <t>007264-2020-01</t>
  </si>
  <si>
    <t>DA7-09-20-STO-U-20-3082</t>
  </si>
  <si>
    <t>DA7-09-20-STO-U-20-3083</t>
  </si>
  <si>
    <t>20GOI0001</t>
  </si>
  <si>
    <t>P.R. No. 20-0062</t>
  </si>
  <si>
    <t>PR-2020-1032-0036</t>
  </si>
  <si>
    <t>ITB-N-2020-08-001</t>
  </si>
  <si>
    <t>20-07-126-127-135-136</t>
  </si>
  <si>
    <t>GOODS-2020-16</t>
  </si>
  <si>
    <t>PR-2020-1032-0042</t>
  </si>
  <si>
    <t>20-08-0702</t>
  </si>
  <si>
    <t>2020-184-I</t>
  </si>
  <si>
    <t>Gumaoc-01-2020</t>
  </si>
  <si>
    <t>G-2020- 03</t>
  </si>
  <si>
    <t>2020-08-03B</t>
  </si>
  <si>
    <t>20SANDIO004</t>
  </si>
  <si>
    <t>20GFO0036</t>
  </si>
  <si>
    <t>20GFO0035</t>
  </si>
  <si>
    <t>20SANDIO003</t>
  </si>
  <si>
    <t>PUR20-07-0665</t>
  </si>
  <si>
    <t>DA7-09-20-FOD-C-20-3130</t>
  </si>
  <si>
    <t>2020-023</t>
  </si>
  <si>
    <t>2020-08-005</t>
  </si>
  <si>
    <t>INFRA-2020-06</t>
  </si>
  <si>
    <t>20POBSUR001</t>
  </si>
  <si>
    <t>20SANDIO005</t>
  </si>
  <si>
    <t>20GFO0034</t>
  </si>
  <si>
    <t>08192020</t>
  </si>
  <si>
    <t>IB-2020-096</t>
  </si>
  <si>
    <t>2020_GOODS_022</t>
  </si>
  <si>
    <t>20-08-027B</t>
  </si>
  <si>
    <t>2020-08-017</t>
  </si>
  <si>
    <t>2020-08-02B</t>
  </si>
  <si>
    <t>PCDP-2020-08-0321</t>
  </si>
  <si>
    <t>2020-08-018</t>
  </si>
  <si>
    <t>CAR-ADN-2020-105</t>
  </si>
  <si>
    <t>DA7-09-SAAD-20-1237 (2 Failed Bidding)</t>
  </si>
  <si>
    <t>CAR-ADN-2020-103</t>
  </si>
  <si>
    <t>LGU-Sagay-4773</t>
  </si>
  <si>
    <t>2020-08-015</t>
  </si>
  <si>
    <t>LGU-Sagay-4771</t>
  </si>
  <si>
    <t>RFQ 2020-08-38</t>
  </si>
  <si>
    <t>LGU-Sagay-4770</t>
  </si>
  <si>
    <t>LGU-Sagay-4772</t>
  </si>
  <si>
    <t>BBG - WV 036 - 2020</t>
  </si>
  <si>
    <t>LGU-Sagay-4769</t>
  </si>
  <si>
    <t>200005</t>
  </si>
  <si>
    <t>08-19-2020-332</t>
  </si>
  <si>
    <t>2020-08-016</t>
  </si>
  <si>
    <t>08-19-2020-331</t>
  </si>
  <si>
    <t>2020-KHS-CP-001</t>
  </si>
  <si>
    <t>2020-POBLACION-062</t>
  </si>
  <si>
    <t>BBG - WV#038 - 2020</t>
  </si>
  <si>
    <t>BFAR5BAC-2020-152</t>
  </si>
  <si>
    <t>BBG - WV#037 - 2020</t>
  </si>
  <si>
    <t>2020-323</t>
  </si>
  <si>
    <t>20FF0096 (Re-Ad)</t>
  </si>
  <si>
    <t>BFAR5BAC-2020-153</t>
  </si>
  <si>
    <t>20GIB0044</t>
  </si>
  <si>
    <t>08-19-2020-335</t>
  </si>
  <si>
    <t>2020-297</t>
  </si>
  <si>
    <t>2020-321</t>
  </si>
  <si>
    <t>2020-322</t>
  </si>
  <si>
    <t>LGU-Sagay-4774</t>
  </si>
  <si>
    <t>33-GOODS-HVCDP-2020</t>
  </si>
  <si>
    <t>08-19-2020-330</t>
  </si>
  <si>
    <t>3</t>
  </si>
  <si>
    <t>2020-08-06B</t>
  </si>
  <si>
    <t>32-GOODS-CORN-2020</t>
  </si>
  <si>
    <t>B-129-2020</t>
  </si>
  <si>
    <t>NP/PB 20-0940</t>
  </si>
  <si>
    <t>SF-INFRA-2020-0015</t>
  </si>
  <si>
    <t>ISC-20-0340-B</t>
  </si>
  <si>
    <t>SV20-07-025COR</t>
  </si>
  <si>
    <t>2020-08-05B</t>
  </si>
  <si>
    <t>117226</t>
  </si>
  <si>
    <t>20-07-57</t>
  </si>
  <si>
    <t>lgu sta. Barbara</t>
  </si>
  <si>
    <t>DA7-2020-08-AMIA-20-3092</t>
  </si>
  <si>
    <t>08-19-2020-334</t>
  </si>
  <si>
    <t>1021-20-08-004</t>
  </si>
  <si>
    <t>2020-286</t>
  </si>
  <si>
    <t>20-08-596</t>
  </si>
  <si>
    <t>20-08-585</t>
  </si>
  <si>
    <t>20-07-555</t>
  </si>
  <si>
    <t>20-08-580</t>
  </si>
  <si>
    <t>doc 2</t>
  </si>
  <si>
    <t>ITDI-200296</t>
  </si>
  <si>
    <t>ITB-2020-08-002</t>
  </si>
  <si>
    <t>08-19-2020-333</t>
  </si>
  <si>
    <t>ITB No. SJdB-2020-008</t>
  </si>
  <si>
    <t>2020-POBLACION-061</t>
  </si>
  <si>
    <t>NONE</t>
  </si>
  <si>
    <t>RFQ NO. 01 08/19/20</t>
  </si>
  <si>
    <t>GSO-20-0923-B</t>
  </si>
  <si>
    <t>BFAR5BAC-2020-154</t>
  </si>
  <si>
    <t>2020-324</t>
  </si>
  <si>
    <t>LES2016</t>
  </si>
  <si>
    <t>Brgy. Central Pob. - 2020 - 10</t>
  </si>
  <si>
    <t>6073</t>
  </si>
  <si>
    <t>20-06-466</t>
  </si>
  <si>
    <t>ITDI-20335</t>
  </si>
  <si>
    <t>ITDI- 200351</t>
  </si>
  <si>
    <t>2020-08-0183</t>
  </si>
  <si>
    <t>2020-03-01</t>
  </si>
  <si>
    <t>PR 20-08-9A</t>
  </si>
  <si>
    <t>2020-65</t>
  </si>
  <si>
    <t>Brgy. Central Pob. - 2020 - 11</t>
  </si>
  <si>
    <t>BMC-N-20-0341</t>
  </si>
  <si>
    <t>BMC -N-20-0332</t>
  </si>
  <si>
    <t>Brgy. Central Pob. - 2020 -13</t>
  </si>
  <si>
    <t>Brgy. Central Pob. 2020 - 12</t>
  </si>
  <si>
    <t>08202020SOLARPOWERPREPDED</t>
  </si>
  <si>
    <t>092-Goods2020-036</t>
  </si>
  <si>
    <t>2020-08-1921</t>
  </si>
  <si>
    <t>2020 Caib 157</t>
  </si>
  <si>
    <t>burgos-2020-217-066</t>
  </si>
  <si>
    <t>TWDPR 2020-08-06</t>
  </si>
  <si>
    <t>2020-DAO-001</t>
  </si>
  <si>
    <t>BMC -N-20-0331</t>
  </si>
  <si>
    <t>PR 08-3813</t>
  </si>
  <si>
    <t>2020-010</t>
  </si>
  <si>
    <t>burgos-2020-216-065</t>
  </si>
  <si>
    <t>20-08-20-024</t>
  </si>
  <si>
    <t>20-08-148</t>
  </si>
  <si>
    <t>2020-07-0279a</t>
  </si>
  <si>
    <t>DA7-2020-08-ILD-20-2344(R1)</t>
  </si>
  <si>
    <t>BAYLEGOOD0620074 (RE-BID)</t>
  </si>
  <si>
    <t>2020 Caib 158</t>
  </si>
  <si>
    <t>burgos-2020-220-069</t>
  </si>
  <si>
    <t>2020-32</t>
  </si>
  <si>
    <t>20-07-55</t>
  </si>
  <si>
    <t>RFQ-223-2020</t>
  </si>
  <si>
    <t>08-20-004</t>
  </si>
  <si>
    <t>2020-08-099</t>
  </si>
  <si>
    <t>08202009</t>
  </si>
  <si>
    <t>2020-DAO-002</t>
  </si>
  <si>
    <t>burgos-2020-218-067</t>
  </si>
  <si>
    <t>DOSTR01-RFQ2020-35</t>
  </si>
  <si>
    <t>20-06-884</t>
  </si>
  <si>
    <t>08-066-20</t>
  </si>
  <si>
    <t>Brgy, Central Pob. - 2020 -14</t>
  </si>
  <si>
    <t>burgos-2020-219-068</t>
  </si>
  <si>
    <t>PR 08-3821</t>
  </si>
  <si>
    <t>DTP-CY2020-INFRA-003</t>
  </si>
  <si>
    <t>burgos-2020-227-073</t>
  </si>
  <si>
    <t>TAYSAN2020-095</t>
  </si>
  <si>
    <t>20-08-20-023</t>
  </si>
  <si>
    <t>01-2020</t>
  </si>
  <si>
    <t>CA-20-08-70</t>
  </si>
  <si>
    <t>DA7-2020-08-PhilRice-20-3171</t>
  </si>
  <si>
    <t>2020-09-022</t>
  </si>
  <si>
    <t>RFQ-224-2020</t>
  </si>
  <si>
    <t>20-07-49</t>
  </si>
  <si>
    <t>burgos-2020-222-071</t>
  </si>
  <si>
    <t>silangan1-bdf2020</t>
  </si>
  <si>
    <t>2020-08-20-42</t>
  </si>
  <si>
    <t>CB-GOODS-001</t>
  </si>
  <si>
    <t>LGU - Quirino INFRA 2020 - 011</t>
  </si>
  <si>
    <t>047</t>
  </si>
  <si>
    <t>2020-08-20-43</t>
  </si>
  <si>
    <t>2020-8-2165/2020-8-2163</t>
  </si>
  <si>
    <t>JHS-2020-08-0061</t>
  </si>
  <si>
    <t>burgos-2020-223-224-225-072</t>
  </si>
  <si>
    <t>RFQ-226-2020</t>
  </si>
  <si>
    <t>ITB5</t>
  </si>
  <si>
    <t>2020-08-019</t>
  </si>
  <si>
    <t>064-2020</t>
  </si>
  <si>
    <t>BAYLEGOOD0820084</t>
  </si>
  <si>
    <t>BMC-N-20-333</t>
  </si>
  <si>
    <t>RFQ-0819 INFRA-3</t>
  </si>
  <si>
    <t>INFRA 2020-001</t>
  </si>
  <si>
    <t>stacruz-2020-005</t>
  </si>
  <si>
    <t>2020-08-20</t>
  </si>
  <si>
    <t>JHS-2020-08-0060</t>
  </si>
  <si>
    <t>ITB Brgy. Canlumampao</t>
  </si>
  <si>
    <t>SVP 57</t>
  </si>
  <si>
    <t>Brgy. Bun-ot - 2020 - 05</t>
  </si>
  <si>
    <t>RFQ-225-2020</t>
  </si>
  <si>
    <t>burgos-2020-221-070</t>
  </si>
  <si>
    <t>RFQ no. 2020-604</t>
  </si>
  <si>
    <t>LPZ - 2020 - 010</t>
  </si>
  <si>
    <t>002/06/2020</t>
  </si>
  <si>
    <t>RFQ-227-2020</t>
  </si>
  <si>
    <t>RFQ-DVO-PR.NO. 2008093 CAT. 80 FUEL, OIL, LUBRICAN</t>
  </si>
  <si>
    <t>2020 INFRA C-02</t>
  </si>
  <si>
    <t>DA7-2020-08-CPAR-20-3148</t>
  </si>
  <si>
    <t>Aklan BAC RFQ 509 Series of 2020</t>
  </si>
  <si>
    <t>008-032-2020</t>
  </si>
  <si>
    <t>2020-065</t>
  </si>
  <si>
    <t>SVP 58</t>
  </si>
  <si>
    <t>BAYLECON0820085</t>
  </si>
  <si>
    <t>mwd_2020-08-20-12</t>
  </si>
  <si>
    <t>RFQ-GOODS-2020-024</t>
  </si>
  <si>
    <t>RFQ-40</t>
  </si>
  <si>
    <t>08-065-20</t>
  </si>
  <si>
    <t>082020-R1</t>
  </si>
  <si>
    <t>GOODS 2020-027</t>
  </si>
  <si>
    <t>RFQ-DVO-PR.NO. 2008094 CAT. 801 FUEL, OIL, LUBRICA</t>
  </si>
  <si>
    <t>20-47052</t>
  </si>
  <si>
    <t>RFQ-228-2020</t>
  </si>
  <si>
    <t>RFQ-229-2020</t>
  </si>
  <si>
    <t>REBIDDING REPAIR OF COA OFFICE</t>
  </si>
  <si>
    <t>20-08-013 J</t>
  </si>
  <si>
    <t>LPZ - 2020 - 011</t>
  </si>
  <si>
    <t>BMC-N-20-330</t>
  </si>
  <si>
    <t>GS-2020-14</t>
  </si>
  <si>
    <t>04-2020_G</t>
  </si>
  <si>
    <t>RFQ-DVO-PR.NO. 2008118 CAT. 49 PRINTED FORMS AND P</t>
  </si>
  <si>
    <t>REBIDDING REPAIR OF CONFERENCE ROOM, STAFFHOUSE, E</t>
  </si>
  <si>
    <t>BC-2020-I01</t>
  </si>
  <si>
    <t>BAYLEGOOD0820086</t>
  </si>
  <si>
    <t>20-730</t>
  </si>
  <si>
    <t>dalanguiring08-2020</t>
  </si>
  <si>
    <t>Bid No. 20-0413</t>
  </si>
  <si>
    <t>08202012</t>
  </si>
  <si>
    <t>RFQ-230-2020</t>
  </si>
  <si>
    <t>Bid No. 20-0412</t>
  </si>
  <si>
    <t>00004-20-0604-0244</t>
  </si>
  <si>
    <t>PANG-2020-1031</t>
  </si>
  <si>
    <t>20-728</t>
  </si>
  <si>
    <t>2020-33</t>
  </si>
  <si>
    <t>BMC-N-20-336</t>
  </si>
  <si>
    <t>GOODS 2020-12</t>
  </si>
  <si>
    <t>RFQ-DVO-PR.NO. 2008058 CAT. 56 SPARE PARTS FOR LIG</t>
  </si>
  <si>
    <t>BAYLEGOOD0820087</t>
  </si>
  <si>
    <t>RFQ-41</t>
  </si>
  <si>
    <t>2020-1011-057</t>
  </si>
  <si>
    <t>BMC-N-20-334</t>
  </si>
  <si>
    <t>2020-08-20-44</t>
  </si>
  <si>
    <t>GOODS-2020-24</t>
  </si>
  <si>
    <t>DARFO2.CVRC.115.REC.2020-08-1103.00</t>
  </si>
  <si>
    <t>2020-005</t>
  </si>
  <si>
    <t>Bid No. 20-0414</t>
  </si>
  <si>
    <t>RFQ-DVO-PR.NO. 2008049 CAT. 56 SPARE PARTS FOR LIG</t>
  </si>
  <si>
    <t>CAND-A-0001G-2020</t>
  </si>
  <si>
    <t>RFQ-DVO-PR.NO. 2008060 CAT. 80 FUEL, OIL, LUBRICAN</t>
  </si>
  <si>
    <t>2020-1011-058</t>
  </si>
  <si>
    <t>A14-42-07-20109</t>
  </si>
  <si>
    <t>BMC-N-20-335</t>
  </si>
  <si>
    <t>BAYLECON0820087</t>
  </si>
  <si>
    <t>RFQ-42</t>
  </si>
  <si>
    <t>065-2020</t>
  </si>
  <si>
    <t>pgeps#380-2020</t>
  </si>
  <si>
    <t>KABUNGAAN202001</t>
  </si>
  <si>
    <t>2020</t>
  </si>
  <si>
    <t>RFQ No. 20-08-093</t>
  </si>
  <si>
    <t>A14-42-07-20108</t>
  </si>
  <si>
    <t>100-20-08-452</t>
  </si>
  <si>
    <t>2020-8-27</t>
  </si>
  <si>
    <t>TUGBAS-0001I-2020</t>
  </si>
  <si>
    <t>RFQ-43</t>
  </si>
  <si>
    <t>2020-1</t>
  </si>
  <si>
    <t>20-07-14-23c</t>
  </si>
  <si>
    <t>a.20.08.23</t>
  </si>
  <si>
    <t>IB-2020-088</t>
  </si>
  <si>
    <t>2020-08-0093</t>
  </si>
  <si>
    <t>LGUBTA 20-091</t>
  </si>
  <si>
    <t>PR0275-20 DOPMC</t>
  </si>
  <si>
    <t>BMC-N-20-339</t>
  </si>
  <si>
    <t>2020-08-119-A</t>
  </si>
  <si>
    <t>2020-08-050</t>
  </si>
  <si>
    <t>2020 AUG -001</t>
  </si>
  <si>
    <t>8-20-20</t>
  </si>
  <si>
    <t>PEN-20-0969-NP(SV)</t>
  </si>
  <si>
    <t>Aklan BAC RFQ 510 Series of 2020</t>
  </si>
  <si>
    <t>20AH0028SVP</t>
  </si>
  <si>
    <t>RFQ 0820-14</t>
  </si>
  <si>
    <t>Bid No. 20-0415</t>
  </si>
  <si>
    <t>2020-INFRA-01</t>
  </si>
  <si>
    <t>2020-08-0120</t>
  </si>
  <si>
    <t>PR # 300-2020-08-0006</t>
  </si>
  <si>
    <t>20AH0027SVP</t>
  </si>
  <si>
    <t>PANG-2020-1033</t>
  </si>
  <si>
    <t>ITB7</t>
  </si>
  <si>
    <t>PR0143-20 PGO</t>
  </si>
  <si>
    <t>CAR-ADN-2020-106</t>
  </si>
  <si>
    <t>PR # 300-2020-08-0007</t>
  </si>
  <si>
    <t>BWD-2020-12</t>
  </si>
  <si>
    <t>2020-08-52</t>
  </si>
  <si>
    <t>2020-0243</t>
  </si>
  <si>
    <t>IB-2020-090</t>
  </si>
  <si>
    <t>20AH0030SVP</t>
  </si>
  <si>
    <t>27</t>
  </si>
  <si>
    <t>penrneg2020-gs23</t>
  </si>
  <si>
    <t>PR2020-180</t>
  </si>
  <si>
    <t>20AH0029SVP</t>
  </si>
  <si>
    <t>2020-316</t>
  </si>
  <si>
    <t>RFQ T-12-20A</t>
  </si>
  <si>
    <t>20PL0126</t>
  </si>
  <si>
    <t>PR0123-20 PEO</t>
  </si>
  <si>
    <t>PRN-2020-08-001</t>
  </si>
  <si>
    <t>2020-0242</t>
  </si>
  <si>
    <t>2020-0801</t>
  </si>
  <si>
    <t>20KE0066</t>
  </si>
  <si>
    <t>00010256</t>
  </si>
  <si>
    <t>PR2020-184</t>
  </si>
  <si>
    <t>103-2020</t>
  </si>
  <si>
    <t>DA 8 SVP Goods 2020-08-0126 (Rice 20-08--18-1045)</t>
  </si>
  <si>
    <t>Bid No. 20-0417</t>
  </si>
  <si>
    <t>2020-08-073</t>
  </si>
  <si>
    <t>8-21-2020</t>
  </si>
  <si>
    <t>PANG-2020-1036</t>
  </si>
  <si>
    <t>ITB Brgy. Poblacion</t>
  </si>
  <si>
    <t>PURCHASE REQUEST NO. 2020-PR-171</t>
  </si>
  <si>
    <t>ESD Mine3 20-011</t>
  </si>
  <si>
    <t>RFQ-2020-08A</t>
  </si>
  <si>
    <t>RFQ NO. 2020-07-050-0019</t>
  </si>
  <si>
    <t>2020-315</t>
  </si>
  <si>
    <t>SUC 2020-08-005</t>
  </si>
  <si>
    <t>00010246</t>
  </si>
  <si>
    <t>Bid No. 20-0416</t>
  </si>
  <si>
    <t>20AH0031SVP</t>
  </si>
  <si>
    <t>GOODS-2020-25</t>
  </si>
  <si>
    <t>PANG-2020-1034</t>
  </si>
  <si>
    <t>PR# 20-08-1020</t>
  </si>
  <si>
    <t>PANG-2020-1035</t>
  </si>
  <si>
    <t>2019-002</t>
  </si>
  <si>
    <t>2020-08-022</t>
  </si>
  <si>
    <t>PR2020-157</t>
  </si>
  <si>
    <t>2020-08-038</t>
  </si>
  <si>
    <t>80020012020</t>
  </si>
  <si>
    <t>2020-08-0116</t>
  </si>
  <si>
    <t>GOODS-2020-40</t>
  </si>
  <si>
    <t>20CSN020</t>
  </si>
  <si>
    <t>20-08-110</t>
  </si>
  <si>
    <t>PR2020-185</t>
  </si>
  <si>
    <t>S-0269</t>
  </si>
  <si>
    <t>2020-GOODS-11</t>
  </si>
  <si>
    <t>2020-08-15</t>
  </si>
  <si>
    <t>20-08-111</t>
  </si>
  <si>
    <t>PURCHASE REQUEST NO. 2020-PR-198</t>
  </si>
  <si>
    <t>20-08-06-114</t>
  </si>
  <si>
    <t>PR No. 2020-8-2157</t>
  </si>
  <si>
    <t>PR# 20-08-1023</t>
  </si>
  <si>
    <t>2020-08-023</t>
  </si>
  <si>
    <t>20FF0103</t>
  </si>
  <si>
    <t>2020-08-01-081</t>
  </si>
  <si>
    <t>8202020</t>
  </si>
  <si>
    <t>20-206</t>
  </si>
  <si>
    <t>20CSN021</t>
  </si>
  <si>
    <t>142020</t>
  </si>
  <si>
    <t>PR2020-191</t>
  </si>
  <si>
    <t>20-208</t>
  </si>
  <si>
    <t>Goods-2020-002</t>
  </si>
  <si>
    <t>RFQ NO.2020-07-050-0020 (SHOPPING)</t>
  </si>
  <si>
    <t>101-20-08-RFQ1052</t>
  </si>
  <si>
    <t>Aklan BAC RFQ 511 Series of 2020</t>
  </si>
  <si>
    <t>20GGH0033</t>
  </si>
  <si>
    <t>2020-07-00618</t>
  </si>
  <si>
    <t>TMG08C</t>
  </si>
  <si>
    <t>PURCHASE REQUEST NO. 2020-PR-200</t>
  </si>
  <si>
    <t>80020022020</t>
  </si>
  <si>
    <t>PANG-2020-1039</t>
  </si>
  <si>
    <t>20GDK0047</t>
  </si>
  <si>
    <t>Shs 2020-08-01</t>
  </si>
  <si>
    <t>20-08-01</t>
  </si>
  <si>
    <t>20GGH0035</t>
  </si>
  <si>
    <t>101-20-08-RFQ1056</t>
  </si>
  <si>
    <t>20GGH0034</t>
  </si>
  <si>
    <t>TMG08C02</t>
  </si>
  <si>
    <t>2020-039J</t>
  </si>
  <si>
    <t>INFRA-2020-002</t>
  </si>
  <si>
    <t>2020-028</t>
  </si>
  <si>
    <t>ITB No. SJdB-2020-009</t>
  </si>
  <si>
    <t>PANG-2020-1038</t>
  </si>
  <si>
    <t>80020032020</t>
  </si>
  <si>
    <t>PURCHASE REQUEST NO. 2020-PR-205</t>
  </si>
  <si>
    <t>Supplies 321-2020</t>
  </si>
  <si>
    <t>ITB No. 20-31</t>
  </si>
  <si>
    <t>2020-RL08-029</t>
  </si>
  <si>
    <t>PANG-2020-1040</t>
  </si>
  <si>
    <t>BCS-2020-0299</t>
  </si>
  <si>
    <t>J08-2020-006</t>
  </si>
  <si>
    <t>00010397</t>
  </si>
  <si>
    <t>PR No. 2020-0866 (Capungcol)</t>
  </si>
  <si>
    <t>S3-DIN20-034</t>
  </si>
  <si>
    <t>2020-08-0016</t>
  </si>
  <si>
    <t>AWANG 2020-001</t>
  </si>
  <si>
    <t>PR No. 2020-8-2204</t>
  </si>
  <si>
    <t>20GDK0048</t>
  </si>
  <si>
    <t>101-20-08-RFQ1054</t>
  </si>
  <si>
    <t>PANG-2020-1041</t>
  </si>
  <si>
    <t>SUP-08-2020</t>
  </si>
  <si>
    <t>RFQ - 2020-08-071</t>
  </si>
  <si>
    <t>101-20-08-RFQ1051</t>
  </si>
  <si>
    <t>01-05-2020-08-840</t>
  </si>
  <si>
    <t>2020-27B</t>
  </si>
  <si>
    <t>2008-08-040</t>
  </si>
  <si>
    <t>Cebulan-GOODS-003-2020</t>
  </si>
  <si>
    <t>PR No. 2020-8-2203</t>
  </si>
  <si>
    <t>20GDK0049</t>
  </si>
  <si>
    <t>20DB0143</t>
  </si>
  <si>
    <t>RFQ-DVO-PR.NO. 2008027 CAT. 14 CONSTRUCTION SUPPLI</t>
  </si>
  <si>
    <t>J08-2020-007</t>
  </si>
  <si>
    <t>10</t>
  </si>
  <si>
    <t>2020-08-11</t>
  </si>
  <si>
    <t>20-08-112</t>
  </si>
  <si>
    <t>Awang202-002</t>
  </si>
  <si>
    <t>S5-20-1662</t>
  </si>
  <si>
    <t>5844-clsu-2020</t>
  </si>
  <si>
    <t>2020-122</t>
  </si>
  <si>
    <t>20-207</t>
  </si>
  <si>
    <t>RFQ-DVO-PR.NO. 2008055 CAT. 14 CONSTRUCTION SUPPLI</t>
  </si>
  <si>
    <t>S-0268</t>
  </si>
  <si>
    <t>20CSN023</t>
  </si>
  <si>
    <t>2020-101-076</t>
  </si>
  <si>
    <t>20DB0144</t>
  </si>
  <si>
    <t>2020-08-00710</t>
  </si>
  <si>
    <t>BINAN-PB-072-2020</t>
  </si>
  <si>
    <t>Aklan BAC RFQ 512 Series of 2020</t>
  </si>
  <si>
    <t>RFQ - 2020-08-069</t>
  </si>
  <si>
    <t>RFQ - 2020-08-070</t>
  </si>
  <si>
    <t>SV20-06-002BACa-08</t>
  </si>
  <si>
    <t>RFQ - 2020-08-072</t>
  </si>
  <si>
    <t>27-2020</t>
  </si>
  <si>
    <t>MJJLECG013-2020-01</t>
  </si>
  <si>
    <t>PR 74918</t>
  </si>
  <si>
    <t>CIVIL-2020-8</t>
  </si>
  <si>
    <t>0008-2020</t>
  </si>
  <si>
    <t>Goods-2020-03</t>
  </si>
  <si>
    <t>PANG-2020-1161</t>
  </si>
  <si>
    <t>PANG-2020-1030</t>
  </si>
  <si>
    <t>PR 75009</t>
  </si>
  <si>
    <t>PR No. 2020-0844 (Cerro)</t>
  </si>
  <si>
    <t>2020-12</t>
  </si>
  <si>
    <t>20-08-113</t>
  </si>
  <si>
    <t>20HC0191</t>
  </si>
  <si>
    <t>GOODS-2020-26</t>
  </si>
  <si>
    <t>2020-08-90</t>
  </si>
  <si>
    <t>J08-2020-008</t>
  </si>
  <si>
    <t>SJN08C</t>
  </si>
  <si>
    <t>101-20-08-RFQ1053</t>
  </si>
  <si>
    <t>RFQ-DVO-PR.NO. 2007193 CAT. 13 COMPUTER SUPPLIES A</t>
  </si>
  <si>
    <t>BINAN-PB-071-2020</t>
  </si>
  <si>
    <t>PURCHASE REQUEST NO. 2020-PR-211</t>
  </si>
  <si>
    <t>RFQ 2020-119</t>
  </si>
  <si>
    <t>RFQ-DVO-PR.NO. 2008065 CAT. 39 MEDICAL SUPPLIES AN</t>
  </si>
  <si>
    <t>08202001</t>
  </si>
  <si>
    <t>PR No. 2020-08-153</t>
  </si>
  <si>
    <t>5845-clsu-2020</t>
  </si>
  <si>
    <t>2020-RL08-030</t>
  </si>
  <si>
    <t>RFQ-DVO-PR.NO. 2008130 CAT. JANITORIAL SUPPLIES AN</t>
  </si>
  <si>
    <t>FD-2020-08-002</t>
  </si>
  <si>
    <t>LCWD-2020-025 Various Fittings - Regular Stocks (R</t>
  </si>
  <si>
    <t>100-2008-1572</t>
  </si>
  <si>
    <t>CAR-ADN-2020-107</t>
  </si>
  <si>
    <t>2020-08-0558</t>
  </si>
  <si>
    <t>5846-clsu-2020</t>
  </si>
  <si>
    <t>20-08-05</t>
  </si>
  <si>
    <t>2020-GH-001</t>
  </si>
  <si>
    <t>02-2020</t>
  </si>
  <si>
    <t>PR No. 2020-0868 (Lego)</t>
  </si>
  <si>
    <t>ITB-2020-08-003</t>
  </si>
  <si>
    <t>100-2008-1571</t>
  </si>
  <si>
    <t>BWES1</t>
  </si>
  <si>
    <t>2020-0018</t>
  </si>
  <si>
    <t>2020-RFQ-041 "PURCHASE OF LAPTOP AND DESKTOP COMPU</t>
  </si>
  <si>
    <t>PIS 2020 002</t>
  </si>
  <si>
    <t>20DB0145</t>
  </si>
  <si>
    <t>QSU-BACMADD2020-041</t>
  </si>
  <si>
    <t>419</t>
  </si>
  <si>
    <t>SVP 20-1332</t>
  </si>
  <si>
    <t>BMC-N-20-0340</t>
  </si>
  <si>
    <t>2020-SN-001</t>
  </si>
  <si>
    <t>BOC-INFRA-2020-01</t>
  </si>
  <si>
    <t>2020-08-92</t>
  </si>
  <si>
    <t>PR No. 2020-0872 (Atillo)</t>
  </si>
  <si>
    <t>2020-08-20-01</t>
  </si>
  <si>
    <t>INIMO-S20-08-011</t>
  </si>
  <si>
    <t>DTI-Pangkabuhayan sa pagBangon at Ginhawa (DTI-PBG</t>
  </si>
  <si>
    <t>03-2020</t>
  </si>
  <si>
    <t>28</t>
  </si>
  <si>
    <t>2020-101-077</t>
  </si>
  <si>
    <t>2020-08-058</t>
  </si>
  <si>
    <t>20DB0147</t>
  </si>
  <si>
    <t>2020-08-0162</t>
  </si>
  <si>
    <t>AP-01-08-2020-03</t>
  </si>
  <si>
    <t>20-09-20</t>
  </si>
  <si>
    <t>NP-SVC-2008-071</t>
  </si>
  <si>
    <t>2020-08-4</t>
  </si>
  <si>
    <t>2020-284</t>
  </si>
  <si>
    <t>00660-2020</t>
  </si>
  <si>
    <t>20-08-06</t>
  </si>
  <si>
    <t>LGU_Piddig_2020_054</t>
  </si>
  <si>
    <t>20-08-114</t>
  </si>
  <si>
    <t>144-2020-RQ</t>
  </si>
  <si>
    <t>2020-08-0161</t>
  </si>
  <si>
    <t>Brgy Suso-2020-002</t>
  </si>
  <si>
    <t>20-015</t>
  </si>
  <si>
    <t>Brgy Suso-2020-003</t>
  </si>
  <si>
    <t>UPLB-RQ-8-108-20-GOODS FERTILIZERS</t>
  </si>
  <si>
    <t>BMC-N-20-0329</t>
  </si>
  <si>
    <t>Brgy Suso-2020-001</t>
  </si>
  <si>
    <t>LGU_Piddig_2020_056</t>
  </si>
  <si>
    <t>UPLB-RQ-8-107-20-GOODS AGRICULTURAL CHEMICALS</t>
  </si>
  <si>
    <t>sfbac2020</t>
  </si>
  <si>
    <t>LGU_Piddig_2020_055</t>
  </si>
  <si>
    <t>08202020-A</t>
  </si>
  <si>
    <t>08202020-B</t>
  </si>
  <si>
    <t>29</t>
  </si>
  <si>
    <t>UPLB-RQ-8-105-20-GOODS FIXTURES</t>
  </si>
  <si>
    <t>PANG-2020-1042</t>
  </si>
  <si>
    <t>RFQ-2020-174-GOODS</t>
  </si>
  <si>
    <t>UPLB-RQ-8-106-20-GOODS FERTILIZERS</t>
  </si>
  <si>
    <t>CMO(ADM)-20-234(SHOPPING)</t>
  </si>
  <si>
    <t>MOB-BAC-2020-08-008-GOODS</t>
  </si>
  <si>
    <t>20-08-3187</t>
  </si>
  <si>
    <t>2020-08-07B</t>
  </si>
  <si>
    <t>PANG-2020-1162</t>
  </si>
  <si>
    <t>2020-08-004</t>
  </si>
  <si>
    <t>LGU_Piddig_2020_057</t>
  </si>
  <si>
    <t>SP(SO-ONG)-20-007(NP/SV)</t>
  </si>
  <si>
    <t>Aklan BAC RFQ 513 Series of 2020</t>
  </si>
  <si>
    <t>GOODS-2020-27</t>
  </si>
  <si>
    <t>RFQ-2020-178-GOODS</t>
  </si>
  <si>
    <t>20CSNE0002</t>
  </si>
  <si>
    <t>CEMO-20-86(NP/SV)</t>
  </si>
  <si>
    <t>20AI0189</t>
  </si>
  <si>
    <t>CVO-20-030(NP/SV)</t>
  </si>
  <si>
    <t>2020-066</t>
  </si>
  <si>
    <t>047-2020</t>
  </si>
  <si>
    <t>INFRA-2020-07</t>
  </si>
  <si>
    <t>SV-0976-2020</t>
  </si>
  <si>
    <t>01-2020-0038</t>
  </si>
  <si>
    <t>2020-AM-0744</t>
  </si>
  <si>
    <t>MAFAR-08-172-2020</t>
  </si>
  <si>
    <t>20-09-002</t>
  </si>
  <si>
    <t>20-012-01</t>
  </si>
  <si>
    <t>004990978</t>
  </si>
  <si>
    <t>20AI0190</t>
  </si>
  <si>
    <t>0820-002</t>
  </si>
  <si>
    <t>MOD-SHS-08-2020</t>
  </si>
  <si>
    <t>0820-003</t>
  </si>
  <si>
    <t>mabpang-0820-2020-RHU</t>
  </si>
  <si>
    <t>DA8-Goods-TFB-2020-2 (PR NO. RICE 20-02-19-0514)Re</t>
  </si>
  <si>
    <t>101010</t>
  </si>
  <si>
    <t>MAFAR-08-171-2020</t>
  </si>
  <si>
    <t>GOODS-2020-28</t>
  </si>
  <si>
    <t>MAFAR-08-174-2020</t>
  </si>
  <si>
    <t>2020-160</t>
  </si>
  <si>
    <t>RFQ-2020-08B</t>
  </si>
  <si>
    <t>ITB-2020-47</t>
  </si>
  <si>
    <t>2020-08-0170</t>
  </si>
  <si>
    <t>MAFAR-08-173-2020</t>
  </si>
  <si>
    <t>08-014-20</t>
  </si>
  <si>
    <t>0820-004</t>
  </si>
  <si>
    <t>IB-2020-093</t>
  </si>
  <si>
    <t>MOD-JHS-08-2020</t>
  </si>
  <si>
    <t>MAFAR-08-176-2020</t>
  </si>
  <si>
    <t>RFQ 2020-08-05</t>
  </si>
  <si>
    <t>SJC-2020-08-ITB--001</t>
  </si>
  <si>
    <t>BAC-0062-2020</t>
  </si>
  <si>
    <t>ITB-2020-48</t>
  </si>
  <si>
    <t>066-2020</t>
  </si>
  <si>
    <t>Tubod 2020-06-003</t>
  </si>
  <si>
    <t>0820-005</t>
  </si>
  <si>
    <t>PR No.: 100-20-08-024</t>
  </si>
  <si>
    <t>S2-BH220-001</t>
  </si>
  <si>
    <t>20CB-GSC-541	PURCHASE OF AGRICULTURAL SUPPLIES (TR</t>
  </si>
  <si>
    <t>PR No 2020-72</t>
  </si>
  <si>
    <t>IB-2020-091</t>
  </si>
  <si>
    <t>FS 2020-08-094</t>
  </si>
  <si>
    <t>044-RFQ-2020 (OMAG)</t>
  </si>
  <si>
    <t>20ED0139</t>
  </si>
  <si>
    <t>2020-264</t>
  </si>
  <si>
    <t>SV-0942-2020</t>
  </si>
  <si>
    <t>SV-0977-2020</t>
  </si>
  <si>
    <t>2020-08-01-082</t>
  </si>
  <si>
    <t>20GPF0014</t>
  </si>
  <si>
    <t>MAFAR-08-170-2020</t>
  </si>
  <si>
    <t>2020-035</t>
  </si>
  <si>
    <t>2020-AM-0745</t>
  </si>
  <si>
    <t>0820-001</t>
  </si>
  <si>
    <t>305THCO-14354-220AW-121-2020</t>
  </si>
  <si>
    <t>RFQ-J2020-08-001</t>
  </si>
  <si>
    <t>20CB-GSC-542	PURCHASE OF CONSTRUCTION MATERIALS (T</t>
  </si>
  <si>
    <t>IB-2020-092</t>
  </si>
  <si>
    <t>01-2020-0039</t>
  </si>
  <si>
    <t>2001-08M01</t>
  </si>
  <si>
    <t>RFQ No. 20-08-297</t>
  </si>
  <si>
    <t>IB-2020-094</t>
  </si>
  <si>
    <t>ITB No. 2020-34</t>
  </si>
  <si>
    <t>MAFAR-08-179-2020</t>
  </si>
  <si>
    <t>ESPERANZA-GDS-2020-08-26</t>
  </si>
  <si>
    <t>067-2020</t>
  </si>
  <si>
    <t>INFRA-2020- 011</t>
  </si>
  <si>
    <t>20-03-029</t>
  </si>
  <si>
    <t>20GBE0030</t>
  </si>
  <si>
    <t>MAFAR-08-178-2020</t>
  </si>
  <si>
    <t>105TH-13746-54IB-2020</t>
  </si>
  <si>
    <t>MAFAR-08-177-2020</t>
  </si>
  <si>
    <t>S-0255</t>
  </si>
  <si>
    <t>B20-08-014-INREMP</t>
  </si>
  <si>
    <t>BAC 08/20/20-01</t>
  </si>
  <si>
    <t>20GPF0022</t>
  </si>
  <si>
    <t>ASF 2020-07-055</t>
  </si>
  <si>
    <t>MAFAR-08-182-2020</t>
  </si>
  <si>
    <t>S-0771</t>
  </si>
  <si>
    <t>19DP0089</t>
  </si>
  <si>
    <t>IB-2020-095</t>
  </si>
  <si>
    <t>Reference No.: DA8-Goods-TFB-2020-3 (PR NO. NLP 20</t>
  </si>
  <si>
    <t>2008036</t>
  </si>
  <si>
    <t>2020-08-586</t>
  </si>
  <si>
    <t>RFQ-GOODS-2020-025</t>
  </si>
  <si>
    <t>RFQ-2020-09</t>
  </si>
  <si>
    <t>MAFAR-08-180-2020</t>
  </si>
  <si>
    <t>SJ-20-235</t>
  </si>
  <si>
    <t>LGU-MOALBOAL2020-0809</t>
  </si>
  <si>
    <t>IB-2020-098</t>
  </si>
  <si>
    <t>S-0262</t>
  </si>
  <si>
    <t>Tubod 2020-08-004</t>
  </si>
  <si>
    <t>20GPF0019</t>
  </si>
  <si>
    <t>IB-2020-097</t>
  </si>
  <si>
    <t>2020-Barangay Cabugawan-004</t>
  </si>
  <si>
    <t>20-378</t>
  </si>
  <si>
    <t>2020-07-022</t>
  </si>
  <si>
    <t>S-0265</t>
  </si>
  <si>
    <t>2020-0820-0015</t>
  </si>
  <si>
    <t>pontevedra-20-G030</t>
  </si>
  <si>
    <t>N-226-2020</t>
  </si>
  <si>
    <t>ITB Health Care Supplies</t>
  </si>
  <si>
    <t>14-2020</t>
  </si>
  <si>
    <t>pontevedra-20-G029</t>
  </si>
  <si>
    <t>20-06-66-A</t>
  </si>
  <si>
    <t>P.R NO 0810 SERIES 2020</t>
  </si>
  <si>
    <t>19DP0090</t>
  </si>
  <si>
    <t>MAFAR-08-184-2020</t>
  </si>
  <si>
    <t>2020-RFQ-042G</t>
  </si>
  <si>
    <t>2020-08-021</t>
  </si>
  <si>
    <t>nlontoc-RFQ-219-2020</t>
  </si>
  <si>
    <t>2020-08-0485</t>
  </si>
  <si>
    <t>2020-80</t>
  </si>
  <si>
    <t>RFQ20-166</t>
  </si>
  <si>
    <t>GDS-430-2020</t>
  </si>
  <si>
    <t>B20-08-004-INREMP</t>
  </si>
  <si>
    <t>2020-104</t>
  </si>
  <si>
    <t>MAFAR-08-181-2020</t>
  </si>
  <si>
    <t>0820-021</t>
  </si>
  <si>
    <t>MAFAR-08-185-2020</t>
  </si>
  <si>
    <t>rfq 2020-08-08</t>
  </si>
  <si>
    <t>2020-RFQ-041G</t>
  </si>
  <si>
    <t>100-04-076-17-755</t>
  </si>
  <si>
    <t>BFPRHQSR4A-083</t>
  </si>
  <si>
    <t>LGU-211-2020</t>
  </si>
  <si>
    <t>20-06-63-A</t>
  </si>
  <si>
    <t>ITB-2020-49</t>
  </si>
  <si>
    <t>068-2020</t>
  </si>
  <si>
    <t>2020-7-01</t>
  </si>
  <si>
    <t>2020-81</t>
  </si>
  <si>
    <t>2020-28B</t>
  </si>
  <si>
    <t>1011-20-08-45</t>
  </si>
  <si>
    <t>2020-07-01</t>
  </si>
  <si>
    <t>S-189-2020</t>
  </si>
  <si>
    <t>2020-08-0487</t>
  </si>
  <si>
    <t>20-03-032</t>
  </si>
  <si>
    <t>LGUTBAC-2020-1460</t>
  </si>
  <si>
    <t>2020-08-05</t>
  </si>
  <si>
    <t>S2-B1620-021</t>
  </si>
  <si>
    <t>SJ-20-237</t>
  </si>
  <si>
    <t>2020-011</t>
  </si>
  <si>
    <t>BCS-2020-0301</t>
  </si>
  <si>
    <t>2020-08-7E</t>
  </si>
  <si>
    <t>INFRA2020-RDW-022 Supply and Installation of Piezo</t>
  </si>
  <si>
    <t>2020-08-0488</t>
  </si>
  <si>
    <t>SMV AUGUST 2020-003</t>
  </si>
  <si>
    <t>19</t>
  </si>
  <si>
    <t>2020-08-0486</t>
  </si>
  <si>
    <t>Office Equipment/Supply - Php  47,800.00</t>
  </si>
  <si>
    <t>1011-20-08-22</t>
  </si>
  <si>
    <t>S-185-2020</t>
  </si>
  <si>
    <t>BCS-2020-0300</t>
  </si>
  <si>
    <t>2008038</t>
  </si>
  <si>
    <t>pontevedra-20-G032</t>
  </si>
  <si>
    <t>SJ-20-236</t>
  </si>
  <si>
    <t>RFQ-NP-SVP-378-2020</t>
  </si>
  <si>
    <t>S-0267</t>
  </si>
  <si>
    <t>pontevedra-20-G033</t>
  </si>
  <si>
    <t>pontevedra-20-G031</t>
  </si>
  <si>
    <t>20-03-031</t>
  </si>
  <si>
    <t>2020-RFQ-040G</t>
  </si>
  <si>
    <t>P.O.W. 2020-07-278</t>
  </si>
  <si>
    <t>2008037</t>
  </si>
  <si>
    <t>LGU-212-2020</t>
  </si>
  <si>
    <t>S-0770</t>
  </si>
  <si>
    <t>MAFAR-08-183-2020</t>
  </si>
  <si>
    <t>20GHI0031</t>
  </si>
  <si>
    <t>nlontoc-RFQ-220-2020</t>
  </si>
  <si>
    <t>mnto 20 0018</t>
  </si>
  <si>
    <t>20-03-030</t>
  </si>
  <si>
    <t>2020-009</t>
  </si>
  <si>
    <t>Brgy Suso-2020-004</t>
  </si>
  <si>
    <t>BCS-2020-0303</t>
  </si>
  <si>
    <t>NV 2020-264</t>
  </si>
  <si>
    <t>R.I.S. No.: 20-16-031</t>
  </si>
  <si>
    <t>2020-543</t>
  </si>
  <si>
    <t>RFQ-053-2020</t>
  </si>
  <si>
    <t>S-155-2020</t>
  </si>
  <si>
    <t>proc.123</t>
  </si>
  <si>
    <t>LGUTBAC-2020-1144</t>
  </si>
  <si>
    <t>SHOPPING AUGUST 2020-001</t>
  </si>
  <si>
    <t>20-08-00496</t>
  </si>
  <si>
    <t>2020-012</t>
  </si>
  <si>
    <t>BCS-2020-0302</t>
  </si>
  <si>
    <t>PR-2020-1223</t>
  </si>
  <si>
    <t>GS No. 2020-0085</t>
  </si>
  <si>
    <t>G-2020-008</t>
  </si>
  <si>
    <t>SP(SO-ONG)-20-012(NP/SV)</t>
  </si>
  <si>
    <t>MAFAR-08-175-2020</t>
  </si>
  <si>
    <t>20CI0107</t>
  </si>
  <si>
    <t>2020-034</t>
  </si>
  <si>
    <t>CMO(HEALTH)20-001(NP/SV)</t>
  </si>
  <si>
    <t>RFQ-2020-175-GOODS</t>
  </si>
  <si>
    <t>B20-08-015-INREMP</t>
  </si>
  <si>
    <t>BAC-08-1118</t>
  </si>
  <si>
    <t>20J00218</t>
  </si>
  <si>
    <t>20-09-21</t>
  </si>
  <si>
    <t>2020-08-0163</t>
  </si>
  <si>
    <t>UPLB-RQ-8-109-20-GOODS AGRICULTURAL CHEMICALS</t>
  </si>
  <si>
    <t>CMO(ADM)-20-030(SHOPPING)</t>
  </si>
  <si>
    <t>TMG08C03</t>
  </si>
  <si>
    <t>2020-527</t>
  </si>
  <si>
    <t>UPLB-RQ-8-104-20-GOODS LABORATORY SUPPLIES &amp; EQUIP</t>
  </si>
  <si>
    <t>20CSN022</t>
  </si>
  <si>
    <t>2020-08-059</t>
  </si>
  <si>
    <t>20DB0142</t>
  </si>
  <si>
    <t>ITB No. (INF) 2020-08-119 FISH AND MARINE SANCTUAR</t>
  </si>
  <si>
    <t>101-20-08-RFQ1055</t>
  </si>
  <si>
    <t>S-0261</t>
  </si>
  <si>
    <t>GOODS #2020-427</t>
  </si>
  <si>
    <t>OCDROIII-2020-08-001</t>
  </si>
  <si>
    <t>PR2020-187</t>
  </si>
  <si>
    <t>2020-283</t>
  </si>
  <si>
    <t>PR No. 2020-0883 (Bolito)</t>
  </si>
  <si>
    <t>Bid No. 20-0418</t>
  </si>
  <si>
    <t>PURCHASE REQUEST NO. 2020-PR-180</t>
  </si>
  <si>
    <t>lgumambu_brgybungsi_cw_aug_2020_001</t>
  </si>
  <si>
    <t>00002</t>
  </si>
  <si>
    <t>2020-08-0137</t>
  </si>
  <si>
    <t>GOODS-ITB 2020-08-016</t>
  </si>
  <si>
    <t>20-06-465</t>
  </si>
  <si>
    <t>JR # 20-275-CANOPY FOR NISSAN NAVARRA</t>
  </si>
  <si>
    <t>08-20-2020-338</t>
  </si>
  <si>
    <t>BMC-N-20-343</t>
  </si>
  <si>
    <t>PR0152-20 DOPHGG</t>
  </si>
  <si>
    <t>GD35-2020</t>
  </si>
  <si>
    <t>34-2020</t>
  </si>
  <si>
    <t>2020-08-039</t>
  </si>
  <si>
    <t>2020-08-06</t>
  </si>
  <si>
    <t>050-20</t>
  </si>
  <si>
    <t>IB-2020-089</t>
  </si>
  <si>
    <t>2020-08-0490</t>
  </si>
  <si>
    <t>275-2020</t>
  </si>
  <si>
    <t>PR 2020-008-151 Cagayan</t>
  </si>
  <si>
    <t>PR-2020-1221</t>
  </si>
  <si>
    <t>BAC-08-1117</t>
  </si>
  <si>
    <t>PB 2020-01 BGY. NEW PANAY</t>
  </si>
  <si>
    <t>08-2020</t>
  </si>
  <si>
    <t>RFQ-2020-256</t>
  </si>
  <si>
    <t>20-08-220</t>
  </si>
  <si>
    <t>RFQ20-154</t>
  </si>
  <si>
    <t>2020-08-467</t>
  </si>
  <si>
    <t>2020-08-0489</t>
  </si>
  <si>
    <t>RFQ 0820-12</t>
  </si>
  <si>
    <t>202008D</t>
  </si>
  <si>
    <t>082020-D01</t>
  </si>
  <si>
    <t>INFRA2020-RDW-023 Rehabilitation of Piezometers at</t>
  </si>
  <si>
    <t>PANG-2020-1037</t>
  </si>
  <si>
    <t>OD-2020-07-004</t>
  </si>
  <si>
    <t>20GIK0012</t>
  </si>
  <si>
    <t>BS 20-08-GR004</t>
  </si>
  <si>
    <t>20-209</t>
  </si>
  <si>
    <t>20J00219</t>
  </si>
  <si>
    <t>BAC-08-1116</t>
  </si>
  <si>
    <t>1000033273</t>
  </si>
  <si>
    <t>20GMC0233</t>
  </si>
  <si>
    <t>INFRA AUGUST 2020-001</t>
  </si>
  <si>
    <t>ITB-2020-50</t>
  </si>
  <si>
    <t>202008E</t>
  </si>
  <si>
    <t>GD36-2020</t>
  </si>
  <si>
    <t>S-154-2020</t>
  </si>
  <si>
    <t>525ECB-03-2020-015 (SPF)</t>
  </si>
  <si>
    <t>2020-08-0262</t>
  </si>
  <si>
    <t>202008F</t>
  </si>
  <si>
    <t>NV 2020-266</t>
  </si>
  <si>
    <t>2020-08-511</t>
  </si>
  <si>
    <t>20-07-001</t>
  </si>
  <si>
    <t>PR-2020-1337</t>
  </si>
  <si>
    <t>RFQ-2020-257</t>
  </si>
  <si>
    <t>20FK0066</t>
  </si>
  <si>
    <t>OD-2020-08-001</t>
  </si>
  <si>
    <t>GD37-2020</t>
  </si>
  <si>
    <t>BIMO-GOODS-SVP2020-IDS-P4</t>
  </si>
  <si>
    <t>20J00221</t>
  </si>
  <si>
    <t>20-08-222</t>
  </si>
  <si>
    <t>2020-08-01-083</t>
  </si>
  <si>
    <t>RFQ-054-2020</t>
  </si>
  <si>
    <t>ESPERANZA-GDS-2020-08-27</t>
  </si>
  <si>
    <t>LGUTBAC-2020-1419</t>
  </si>
  <si>
    <t>2020-85</t>
  </si>
  <si>
    <t>GD38-2020</t>
  </si>
  <si>
    <t>305THCO-14377-NAVFORCEN-57-2020</t>
  </si>
  <si>
    <t>ICRFQ08202020A</t>
  </si>
  <si>
    <t>342613</t>
  </si>
  <si>
    <t>PR#20-07-0079</t>
  </si>
  <si>
    <t>20-210</t>
  </si>
  <si>
    <t>mabpang-0820-2020-01</t>
  </si>
  <si>
    <t>S-191-2020</t>
  </si>
  <si>
    <t>BAC-PGCS-006-2020</t>
  </si>
  <si>
    <t>08-20-30</t>
  </si>
  <si>
    <t>2020-029</t>
  </si>
  <si>
    <t>20J00222</t>
  </si>
  <si>
    <t>20GMC0234</t>
  </si>
  <si>
    <t>08-20-29</t>
  </si>
  <si>
    <t>OD-2020-07-03</t>
  </si>
  <si>
    <t>LGUTBAC-2020-1517</t>
  </si>
  <si>
    <t>20-03-033</t>
  </si>
  <si>
    <t>PNU2020-0080</t>
  </si>
  <si>
    <t>PR No. 07-060-2020</t>
  </si>
  <si>
    <t>AKLAN BAC ITB 502 SERIES 2020</t>
  </si>
  <si>
    <t xml:space="preserve">INFRA2020-PUL-020 Fabrication and Installation of </t>
  </si>
  <si>
    <t>GD39-2020</t>
  </si>
  <si>
    <t>LGUTBAC-2020-1416</t>
  </si>
  <si>
    <t>BS 20-08-0856</t>
  </si>
  <si>
    <t>ITB-2020-51</t>
  </si>
  <si>
    <t>20J00220</t>
  </si>
  <si>
    <t>20-212</t>
  </si>
  <si>
    <t>S-187-2020</t>
  </si>
  <si>
    <t>20-08-103</t>
  </si>
  <si>
    <t>20J00223</t>
  </si>
  <si>
    <t>20-08-032</t>
  </si>
  <si>
    <t>BAC PGCS-042-2020</t>
  </si>
  <si>
    <t>2020-46</t>
  </si>
  <si>
    <t>2008039</t>
  </si>
  <si>
    <t>2020-45</t>
  </si>
  <si>
    <t>08-20-32</t>
  </si>
  <si>
    <t>PUR20-08-0691 PUR20-08-0690</t>
  </si>
  <si>
    <t>2020-PBDD-WCSC-08-20-054A</t>
  </si>
  <si>
    <t>TAS 20-08-122</t>
  </si>
  <si>
    <t>Bid No. 20-0419</t>
  </si>
  <si>
    <t>100-20-08-448</t>
  </si>
  <si>
    <t>5847-clsu-2020</t>
  </si>
  <si>
    <t>08-20-33</t>
  </si>
  <si>
    <t>PR-2019-017</t>
  </si>
  <si>
    <t>20-03-035</t>
  </si>
  <si>
    <t>BAC PGCS-045-2020</t>
  </si>
  <si>
    <t>2020-0244</t>
  </si>
  <si>
    <t>20-211</t>
  </si>
  <si>
    <t>2020-87</t>
  </si>
  <si>
    <t>BAC-08-1119</t>
  </si>
  <si>
    <t>08-20-31</t>
  </si>
  <si>
    <t>1011-20-08-540</t>
  </si>
  <si>
    <t>20-03-034</t>
  </si>
  <si>
    <t>20-213</t>
  </si>
  <si>
    <t>082020-D02</t>
  </si>
  <si>
    <t>NV 2020-265</t>
  </si>
  <si>
    <t>20-205</t>
  </si>
  <si>
    <t>BMC-N-20-338</t>
  </si>
  <si>
    <t>20-729</t>
  </si>
  <si>
    <t>DM-BAC-2020-0079</t>
  </si>
  <si>
    <t>PANG-2020-1032</t>
  </si>
  <si>
    <t>RFQ NO. 20-08-095</t>
  </si>
  <si>
    <t>PR2020-104</t>
  </si>
  <si>
    <t>2133</t>
  </si>
  <si>
    <t>0590</t>
  </si>
  <si>
    <t>00001</t>
  </si>
  <si>
    <t>305THCO-14371-NAVFORCEN-58-2020</t>
  </si>
  <si>
    <t>RFQ-231-2020</t>
  </si>
  <si>
    <t>BS 20-08-0867</t>
  </si>
  <si>
    <t>ICRFQ08202020B</t>
  </si>
  <si>
    <t>08-20-2020-339</t>
  </si>
  <si>
    <t>2020-08-040</t>
  </si>
  <si>
    <t>Bid No. 20-0420</t>
  </si>
  <si>
    <t>BAC PGCS-181-2020</t>
  </si>
  <si>
    <t>08-20-34</t>
  </si>
  <si>
    <t>NV 2020-268</t>
  </si>
  <si>
    <t>OD-2020-07-005</t>
  </si>
  <si>
    <t>RFQ # 2020-08-20214</t>
  </si>
  <si>
    <t>20-08-221</t>
  </si>
  <si>
    <t>RFQ-2020-258</t>
  </si>
  <si>
    <t>s-193-2020</t>
  </si>
  <si>
    <t>PR. 20-02-127 (i.1-2,4,6-7) (2020-08-301)</t>
  </si>
  <si>
    <t>5</t>
  </si>
  <si>
    <t>51E-03-2020-077 (MOOE)</t>
  </si>
  <si>
    <t>2020-86</t>
  </si>
  <si>
    <t>2020-29</t>
  </si>
  <si>
    <t>ITB No. I30-03-2020</t>
  </si>
  <si>
    <t>20-08-033</t>
  </si>
  <si>
    <t>2020-01-001</t>
  </si>
  <si>
    <t>08-20-36</t>
  </si>
  <si>
    <t>BS 20-08-0865</t>
  </si>
  <si>
    <t>BS 20-08-0846</t>
  </si>
  <si>
    <t>OD-2020-07-007</t>
  </si>
  <si>
    <t>NP-INT-2008-072</t>
  </si>
  <si>
    <t>2020-08-0357</t>
  </si>
  <si>
    <t>RFQ-2020-259</t>
  </si>
  <si>
    <t>BAC PGCS-185-2020</t>
  </si>
  <si>
    <t>2020-47</t>
  </si>
  <si>
    <t>305THCO-14380-NAVFORCEN-54-2020</t>
  </si>
  <si>
    <t>BS 20-08-0852</t>
  </si>
  <si>
    <t>Bid No. 20-0421</t>
  </si>
  <si>
    <t>100-2020-Goods-551</t>
  </si>
  <si>
    <t>2020-V007</t>
  </si>
  <si>
    <t>RFQ-GOODS-ISAIMO-07-20</t>
  </si>
  <si>
    <t>NV 2020-269</t>
  </si>
  <si>
    <t>N-229-2020</t>
  </si>
  <si>
    <t>RFQ # 2020-08-20213</t>
  </si>
  <si>
    <t>INFRA2020-AG5-017 AG5 Construction of Secondary Co</t>
  </si>
  <si>
    <t>082020-D03</t>
  </si>
  <si>
    <t>BS 20-08-0866</t>
  </si>
  <si>
    <t>100-20-08-99</t>
  </si>
  <si>
    <t>2020-09-02-030</t>
  </si>
  <si>
    <t>BS 20-08-0855</t>
  </si>
  <si>
    <t>2020-337 various fertilizer</t>
  </si>
  <si>
    <t>2020-008-045</t>
  </si>
  <si>
    <t>20GFB06</t>
  </si>
  <si>
    <t>2020-08-515</t>
  </si>
  <si>
    <t>R6-D2-2020-08-140</t>
  </si>
  <si>
    <t>Bid No. 20-0422</t>
  </si>
  <si>
    <t>R6-D2-2020-08-139</t>
  </si>
  <si>
    <t>20-214</t>
  </si>
  <si>
    <t>8/20/2020</t>
  </si>
  <si>
    <t>Bid No. 20-0423</t>
  </si>
  <si>
    <t>08-20-37</t>
  </si>
  <si>
    <t>08-PR-2020-0049</t>
  </si>
  <si>
    <t>2020-129</t>
  </si>
  <si>
    <t>2020-313- Plastic pail @ 100 liters</t>
  </si>
  <si>
    <t>ITB No. I39-03-2020</t>
  </si>
  <si>
    <t>08-20-39</t>
  </si>
  <si>
    <t>n-227-2020</t>
  </si>
  <si>
    <t>S2-BH220-003</t>
  </si>
  <si>
    <t>082020-D04</t>
  </si>
  <si>
    <t>mnto 20 0019</t>
  </si>
  <si>
    <t>mabpang-0820-2020-02</t>
  </si>
  <si>
    <t>LTO-SU-20-073</t>
  </si>
  <si>
    <t>2020-008-044</t>
  </si>
  <si>
    <t>mabpang-0820-2020-03</t>
  </si>
  <si>
    <t>PR 2020-07-0092</t>
  </si>
  <si>
    <t>RFQ-GOODS-ISAIMO-08-20</t>
  </si>
  <si>
    <t>LTO-SU-20-074</t>
  </si>
  <si>
    <t>n-234-2020</t>
  </si>
  <si>
    <t>069-2020</t>
  </si>
  <si>
    <t>08-20-35</t>
  </si>
  <si>
    <t>08-20-41</t>
  </si>
  <si>
    <t>2020-08-0351</t>
  </si>
  <si>
    <t>20-215</t>
  </si>
  <si>
    <t>20NA0080</t>
  </si>
  <si>
    <t>08-20-38</t>
  </si>
  <si>
    <t>2020-08-0296</t>
  </si>
  <si>
    <t>2020-08-512</t>
  </si>
  <si>
    <t>Bid No. 20-0424</t>
  </si>
  <si>
    <t>08-20-40</t>
  </si>
  <si>
    <t>2020-361 rice bran @ 40kg</t>
  </si>
  <si>
    <t>082020-D05</t>
  </si>
  <si>
    <t>20-08-20</t>
  </si>
  <si>
    <t>LTO-SU-20-075</t>
  </si>
  <si>
    <t>Bid No. 20-0425</t>
  </si>
  <si>
    <t>2020-07-0799,2020-07-0801,2020-07-0809 etc</t>
  </si>
  <si>
    <t>305THCO-14380-220AW-121-2020</t>
  </si>
  <si>
    <t>MDF2019-008/08-19-2020</t>
  </si>
  <si>
    <t>mabpang-0820-2020-MO</t>
  </si>
  <si>
    <t>20-003</t>
  </si>
  <si>
    <t>LCWD-2020-048 Mechanical Gate VAlves and Universal</t>
  </si>
  <si>
    <t>Bidding-06-August2020</t>
  </si>
  <si>
    <t>08-20-42</t>
  </si>
  <si>
    <t>08-20-43</t>
  </si>
  <si>
    <t>2020-PR-134</t>
  </si>
  <si>
    <t>BS 20-08-0853</t>
  </si>
  <si>
    <t>5848-clsu-2020</t>
  </si>
  <si>
    <t>2020-08-011</t>
  </si>
  <si>
    <t>2020-08-0349</t>
  </si>
  <si>
    <t>20MGU-080</t>
  </si>
  <si>
    <t>2008040</t>
  </si>
  <si>
    <t>LTO-SU-20-076</t>
  </si>
  <si>
    <t>2020 INFRA 09</t>
  </si>
  <si>
    <t>PSA-NCR-RO-20-29</t>
  </si>
  <si>
    <t>CENG-GDS2020-051</t>
  </si>
  <si>
    <t>2020-08-00711</t>
  </si>
  <si>
    <t>BS 20-08-0851</t>
  </si>
  <si>
    <t>RFQ 2020-114</t>
  </si>
  <si>
    <t>RFQ NO.:20-08-91</t>
  </si>
  <si>
    <t>08-20-45</t>
  </si>
  <si>
    <t>RFQ-DVO-PR.NO. 2007181 CAT. 56 SPARE PARTS FOR LIG</t>
  </si>
  <si>
    <t>LGU-AL-35-2020</t>
  </si>
  <si>
    <t>2020-07-34</t>
  </si>
  <si>
    <t>2020-08-3122</t>
  </si>
  <si>
    <t>RFQ-DVO-PR.NO. 2007176 CAT. 56 SPARE PARTS FOR LIG</t>
  </si>
  <si>
    <t>08-20-44</t>
  </si>
  <si>
    <t>2020-48</t>
  </si>
  <si>
    <t>082020-D06</t>
  </si>
  <si>
    <t>TAS20-08-243</t>
  </si>
  <si>
    <t>2175</t>
  </si>
  <si>
    <t>20FO0109</t>
  </si>
  <si>
    <t>PR 2020-575</t>
  </si>
  <si>
    <t>ANTI-36-20</t>
  </si>
  <si>
    <t>BS 20-08-0854</t>
  </si>
  <si>
    <t>ANTI-38-20</t>
  </si>
  <si>
    <t>30-20</t>
  </si>
  <si>
    <t>3LSSM2020A-208</t>
  </si>
  <si>
    <t>2020-G-024</t>
  </si>
  <si>
    <t>3LSSM2020A-210</t>
  </si>
  <si>
    <t>CWD 42-2020</t>
  </si>
  <si>
    <t>3LSSM2020A-213</t>
  </si>
  <si>
    <t>3LSSM2020A-212</t>
  </si>
  <si>
    <t>56,300.00</t>
  </si>
  <si>
    <t>082420-87</t>
  </si>
  <si>
    <t>3LSSM2020A-209</t>
  </si>
  <si>
    <t>3LSSM2020A-211</t>
  </si>
  <si>
    <t>BNS-0620-090</t>
  </si>
  <si>
    <t>PF-0820-791</t>
  </si>
  <si>
    <t>0025-S-2020</t>
  </si>
  <si>
    <t>20-08-083</t>
  </si>
  <si>
    <t>082420-88</t>
  </si>
  <si>
    <t>3LSSM2020A-220</t>
  </si>
  <si>
    <t>2020-43</t>
  </si>
  <si>
    <t>RFQ No. 2020-08-006</t>
  </si>
  <si>
    <t>SPC PR No. 4000004523</t>
  </si>
  <si>
    <t>3LSSM2020A-217</t>
  </si>
  <si>
    <t>3LSSM2020A-219</t>
  </si>
  <si>
    <t>2020-08-318</t>
  </si>
  <si>
    <t>3LSSM2020A-218</t>
  </si>
  <si>
    <t>01-20</t>
  </si>
  <si>
    <t>0882</t>
  </si>
  <si>
    <t>0883</t>
  </si>
  <si>
    <t>2020ALISHS-06-21</t>
  </si>
  <si>
    <t>3LSSM2020A-216</t>
  </si>
  <si>
    <t>PB 2020-INFRA-002</t>
  </si>
  <si>
    <t>R4B-GS-2020-04</t>
  </si>
  <si>
    <t>08242020D</t>
  </si>
  <si>
    <t>2020-44</t>
  </si>
  <si>
    <t>3LSSM2020A-197</t>
  </si>
  <si>
    <t>0518</t>
  </si>
  <si>
    <t>3LSSM2020A-215</t>
  </si>
  <si>
    <t>2020-08-37</t>
  </si>
  <si>
    <t>3LSSM2020A-196</t>
  </si>
  <si>
    <t>3LSSM2020A-195</t>
  </si>
  <si>
    <t>011</t>
  </si>
  <si>
    <t>19LD0133</t>
  </si>
  <si>
    <t>DepED-RO6-D1-2020QRF(REPAIR)REBID-C2-059-2020</t>
  </si>
  <si>
    <t>20E00102-R1</t>
  </si>
  <si>
    <t>07-135</t>
  </si>
  <si>
    <t>DepED-RO6-D1-2020BEFFGABALDONREPAIR-057-2020</t>
  </si>
  <si>
    <t>20GFC0060</t>
  </si>
  <si>
    <t>DepED-RO6-D1-2020QRF(REPAIR)REBID-C1-058-2020</t>
  </si>
  <si>
    <t>GF-20-03-00496</t>
  </si>
  <si>
    <t>PR2020-557</t>
  </si>
  <si>
    <t>3LSSM2020A-214</t>
  </si>
  <si>
    <t>IB NO. 2020-08-56 Procurement of BIOSAFETY CABINET</t>
  </si>
  <si>
    <t>2020-08-09</t>
  </si>
  <si>
    <t>GF-20-02-00306B</t>
  </si>
  <si>
    <t>2020-08-38</t>
  </si>
  <si>
    <t>DepED-RO6-D1-2020QRF(REPAIR)REBID-C3-060-2020</t>
  </si>
  <si>
    <t>20GFC0062</t>
  </si>
  <si>
    <t>DepED-RO6-D1-2020QRF(REPAIR)REBID-C6-063-2020</t>
  </si>
  <si>
    <t>3LSSM2020A-201</t>
  </si>
  <si>
    <t>3LSSM2020A-185</t>
  </si>
  <si>
    <t>3LSSM2020A-198</t>
  </si>
  <si>
    <t>GLQ-2020-17</t>
  </si>
  <si>
    <t>GF-20-02-00366B</t>
  </si>
  <si>
    <t>20GFC0061</t>
  </si>
  <si>
    <t>2020-032</t>
  </si>
  <si>
    <t>0827</t>
  </si>
  <si>
    <t>3LSSM2020A-199</t>
  </si>
  <si>
    <t>80-20-07-101</t>
  </si>
  <si>
    <t>20E00103-R1</t>
  </si>
  <si>
    <t>DepED-RO6-D1-2020QRF(REPAIR)REBID-C8-065-2020</t>
  </si>
  <si>
    <t>20-08-02-24</t>
  </si>
  <si>
    <t>2020-033</t>
  </si>
  <si>
    <t>3LSSM2020A-184</t>
  </si>
  <si>
    <t>2020-033g (Reposting)</t>
  </si>
  <si>
    <t>3LSSM2020A-205</t>
  </si>
  <si>
    <t>0921</t>
  </si>
  <si>
    <t>DepED-RO6-D1-2020QRF(REPAIR)REBID-C10-067-2020</t>
  </si>
  <si>
    <t>DepED-RO6-D1-2020QRF(REPAIR)REBID-C5-062-2020</t>
  </si>
  <si>
    <t>3LSSM2020A-187</t>
  </si>
  <si>
    <t>DepED-RO6-D1-2020QRF(REPAIR)REBID-C9-066-2020</t>
  </si>
  <si>
    <t>80-20-08-108</t>
  </si>
  <si>
    <t>PB 2020-INFRA-003</t>
  </si>
  <si>
    <t>3LSSM2020A-186</t>
  </si>
  <si>
    <t>GF-20-03-00406B</t>
  </si>
  <si>
    <t>3LSSM2020A-203</t>
  </si>
  <si>
    <t>3LSSM2020A-204</t>
  </si>
  <si>
    <t>RFQ-2020-015 SHS</t>
  </si>
  <si>
    <t>IB NO. 2020-08-57 R Procurement of AUTOCLAVE MACHI</t>
  </si>
  <si>
    <t>3LSSM2020A-189</t>
  </si>
  <si>
    <t>RFQ-2020-014 SHS</t>
  </si>
  <si>
    <t>2020-08-24-01</t>
  </si>
  <si>
    <t>3LSSM2020A-200</t>
  </si>
  <si>
    <t>real08-2020-02</t>
  </si>
  <si>
    <t>SINS-Inf-2020-07</t>
  </si>
  <si>
    <t>3LSSM2020A-207</t>
  </si>
  <si>
    <t>G-BRGY-Improvement of Barangay Health Center - Brg</t>
  </si>
  <si>
    <t>3LSSM2020A-188</t>
  </si>
  <si>
    <t>3LSSM2020A-202</t>
  </si>
  <si>
    <t>20BD0015</t>
  </si>
  <si>
    <t>2020-006</t>
  </si>
  <si>
    <t>20-08-03-25</t>
  </si>
  <si>
    <t>3LSSM2020A-206</t>
  </si>
  <si>
    <t>2020-036</t>
  </si>
  <si>
    <t>3LSSM2020A-191</t>
  </si>
  <si>
    <t>IB NO. 2020-08-58 Procurement of 2D ECHOCARDIOGRAM</t>
  </si>
  <si>
    <t>3LSSM2020A-190</t>
  </si>
  <si>
    <t>2020-35g (Reposting)</t>
  </si>
  <si>
    <t>08-005</t>
  </si>
  <si>
    <t>real08-2020-03</t>
  </si>
  <si>
    <t>GF-20-02-00196B</t>
  </si>
  <si>
    <t>50-20-06-051</t>
  </si>
  <si>
    <t>08-24-20</t>
  </si>
  <si>
    <t>ITB# 49-2020 Medical, Dental &amp; Laboratory Supplies</t>
  </si>
  <si>
    <t>20E00104-R1</t>
  </si>
  <si>
    <t>1265-20BAC</t>
  </si>
  <si>
    <t>0968</t>
  </si>
  <si>
    <t>PANG-2020-1116</t>
  </si>
  <si>
    <t>ITB# 48-2020 Medical, Dental &amp; Laboratory Supplies</t>
  </si>
  <si>
    <t>RFQ INFRA 01-2020</t>
  </si>
  <si>
    <t>2020-INFRA-064</t>
  </si>
  <si>
    <t>DELOS-2020-008-01</t>
  </si>
  <si>
    <t>3LSSM2020A-194</t>
  </si>
  <si>
    <t>DepED-RO6-D1-2020QRF(REPAIR)REBID-C4-061-2020</t>
  </si>
  <si>
    <t>1016-2020-0020</t>
  </si>
  <si>
    <t>3LSSM2020A-193</t>
  </si>
  <si>
    <t>RFQ-2020-016 SHS</t>
  </si>
  <si>
    <t>AMP SVP-S NO: 20-08-0431A</t>
  </si>
  <si>
    <t>20E00105-R1</t>
  </si>
  <si>
    <t>0967</t>
  </si>
  <si>
    <t>SEF-20-02-00376B</t>
  </si>
  <si>
    <t>1042-2020-0021</t>
  </si>
  <si>
    <t>IB No. 002-20</t>
  </si>
  <si>
    <t>1016-2020-0026</t>
  </si>
  <si>
    <t>3LSSM2020A-192</t>
  </si>
  <si>
    <t>DepED-RO6-D1-2020QRF(REPAIR)REBID-C7-064-2020</t>
  </si>
  <si>
    <t>30-20-07-081</t>
  </si>
  <si>
    <t>MAINT 2020-07-0030</t>
  </si>
  <si>
    <t>20E00106-R1</t>
  </si>
  <si>
    <t>2020-41g</t>
  </si>
  <si>
    <t>MAINT 2020-07-0036</t>
  </si>
  <si>
    <t>SH 003-20 (SBAC)</t>
  </si>
  <si>
    <t>PANG-2020-1118</t>
  </si>
  <si>
    <t>sawat08-2020</t>
  </si>
  <si>
    <t>IB No. 003-20</t>
  </si>
  <si>
    <t>2020-039-RFQ</t>
  </si>
  <si>
    <t>2020-INFRA-063</t>
  </si>
  <si>
    <t>PANG-2020-1117</t>
  </si>
  <si>
    <t>1016-2020-0022</t>
  </si>
  <si>
    <t>1012-2020-0061</t>
  </si>
  <si>
    <t>PANG-2020-1160</t>
  </si>
  <si>
    <t>0614-001</t>
  </si>
  <si>
    <t>2020-INFRA-065</t>
  </si>
  <si>
    <t>2020-007</t>
  </si>
  <si>
    <t>PANG-2020-1137</t>
  </si>
  <si>
    <t>1016-2020-0028</t>
  </si>
  <si>
    <t>2020-08-BLGUC-TF-0033</t>
  </si>
  <si>
    <t>pisuac08-2020-01</t>
  </si>
  <si>
    <t>1022-2020-0039</t>
  </si>
  <si>
    <t>BOC-GOODS-RFQ-84-2020</t>
  </si>
  <si>
    <t>PANG-2020-1138</t>
  </si>
  <si>
    <t>MAINT 2020-08-0039</t>
  </si>
  <si>
    <t>19E00066</t>
  </si>
  <si>
    <t>20E00107-R1</t>
  </si>
  <si>
    <t>0974</t>
  </si>
  <si>
    <t>poblacion08-2020</t>
  </si>
  <si>
    <t>SW-1008-2020-0125</t>
  </si>
  <si>
    <t>IB No. 004-20</t>
  </si>
  <si>
    <t>Budget Certificate No. 354-2020</t>
  </si>
  <si>
    <t>IB No. AA-2020-005</t>
  </si>
  <si>
    <t>SH 054-20</t>
  </si>
  <si>
    <t>AMP SVP-D NO: 20-08-0328C</t>
  </si>
  <si>
    <t>WOR 20-005</t>
  </si>
  <si>
    <t>IB NO. 2020-08-60 Procurement of NASAL HIGH FLOW M</t>
  </si>
  <si>
    <t>DA3-2020-08-18-132</t>
  </si>
  <si>
    <t>20E00108-R1</t>
  </si>
  <si>
    <t>MPG-B1-2020-349</t>
  </si>
  <si>
    <t>1012-2020-0042</t>
  </si>
  <si>
    <t>DELOS-2020-008-03</t>
  </si>
  <si>
    <t>dpwh-c2-deo 20GSHE0018</t>
  </si>
  <si>
    <t>ITB No. 2020-INFRA-9(01)</t>
  </si>
  <si>
    <t>AMP SVP-D NO: 20-08-0342D</t>
  </si>
  <si>
    <t>PUR20-06-0560, 0551,0521, 0522,  0729, 0758</t>
  </si>
  <si>
    <t>IB NO. 2020-08-61 R Procurement of TRANSPORT STRET</t>
  </si>
  <si>
    <t>2020-08-27</t>
  </si>
  <si>
    <t>DELOS-2020-008-02</t>
  </si>
  <si>
    <t>camanbugan08-2020</t>
  </si>
  <si>
    <t>19E00067</t>
  </si>
  <si>
    <t>08242020A</t>
  </si>
  <si>
    <t>1012-2020-0062</t>
  </si>
  <si>
    <t>Budget Certificate No. 350-2020</t>
  </si>
  <si>
    <t>poblacion08-2020-02</t>
  </si>
  <si>
    <t>NEG. PROC. 53.10 U-2020-08-007</t>
  </si>
  <si>
    <t>SW-1008-2020-0123</t>
  </si>
  <si>
    <t>1012-2020-0070</t>
  </si>
  <si>
    <t>SW-1008-2020-0124</t>
  </si>
  <si>
    <t>AMP SVP-D NO: 20-08-0391C</t>
  </si>
  <si>
    <t>PANG-2020-1163</t>
  </si>
  <si>
    <t>dpwh-c2-deo 20GSHE0017</t>
  </si>
  <si>
    <t>INFRA 20-003</t>
  </si>
  <si>
    <t>pr 2020-08-088</t>
  </si>
  <si>
    <t>1012-2020-0038</t>
  </si>
  <si>
    <t>pasibiwest082020</t>
  </si>
  <si>
    <t>08240003</t>
  </si>
  <si>
    <t>malibong08-2020</t>
  </si>
  <si>
    <t>IB No. K-2020-005</t>
  </si>
  <si>
    <t>ITB No. 2020-GOODS-9(01)</t>
  </si>
  <si>
    <t>IB NO. 2020-08-59 R Procurement of VARIOUS I.T. EQ</t>
  </si>
  <si>
    <t>PIN2020-098</t>
  </si>
  <si>
    <t>2020-08-142</t>
  </si>
  <si>
    <t>IB NO. 2020-08-62 R Procurement of OPERATING TABLE</t>
  </si>
  <si>
    <t>IB. NO. K-2020-101(SC)</t>
  </si>
  <si>
    <t>ECC-Supply 2020-08-030</t>
  </si>
  <si>
    <t>BAC GS Nos. 2020-0335 and -0342 04 August 2020</t>
  </si>
  <si>
    <t>PIN2020-097</t>
  </si>
  <si>
    <t>RFQ 2020-62</t>
  </si>
  <si>
    <t>ana-2020-003</t>
  </si>
  <si>
    <t>2020 - 010</t>
  </si>
  <si>
    <t xml:space="preserve">IB NO. 2020-08-63 R Procurement of INFANT RADIANT </t>
  </si>
  <si>
    <t>IB No. 005-20</t>
  </si>
  <si>
    <t>PZDS-2020-08-061-IB</t>
  </si>
  <si>
    <t>PR No. 08-145</t>
  </si>
  <si>
    <t>IB. NO. K-2020-100(SC)</t>
  </si>
  <si>
    <t>V01-Sept-20</t>
  </si>
  <si>
    <t>MROD PR No. 1000033229</t>
  </si>
  <si>
    <t>1029-2020-0019</t>
  </si>
  <si>
    <t>RFQ 2020-66</t>
  </si>
  <si>
    <t>IB. NO. K-2020-102(SC)</t>
  </si>
  <si>
    <t>AMP SVP-D NO: 20-08-0273B</t>
  </si>
  <si>
    <t>RFQ 08-20-109</t>
  </si>
  <si>
    <t>benticayan2020-001</t>
  </si>
  <si>
    <t>RFQ 2020-63</t>
  </si>
  <si>
    <t>2020-08-145</t>
  </si>
  <si>
    <t>RFQ 2020-64</t>
  </si>
  <si>
    <t>ana-2020-004</t>
  </si>
  <si>
    <t>2020-08-143</t>
  </si>
  <si>
    <t>AMP SVP-D NO: 20-08-0242C</t>
  </si>
  <si>
    <t>RFQ 2020-67</t>
  </si>
  <si>
    <t>H02-Sept-20</t>
  </si>
  <si>
    <t>IB No. K-2020-004</t>
  </si>
  <si>
    <t>2020-PB-SS-AGUS5-025-02</t>
  </si>
  <si>
    <t>2020-1509-019</t>
  </si>
  <si>
    <t>RFQ 2020-65</t>
  </si>
  <si>
    <t>RFQ 2020-68</t>
  </si>
  <si>
    <t>2020-022</t>
  </si>
  <si>
    <t>2836</t>
  </si>
  <si>
    <t>2020129</t>
  </si>
  <si>
    <t>1012-2020-0043</t>
  </si>
  <si>
    <t>AMP SVP-D NO: 20-08-0210C</t>
  </si>
  <si>
    <t>RFQ 2020-69</t>
  </si>
  <si>
    <t>2020128</t>
  </si>
  <si>
    <t>1012-2020-0044</t>
  </si>
  <si>
    <t>2020-08-147</t>
  </si>
  <si>
    <t>PZDS-2020-08-062-IB</t>
  </si>
  <si>
    <t>2020-08-146</t>
  </si>
  <si>
    <t>POW-038-2020</t>
  </si>
  <si>
    <t>2847</t>
  </si>
  <si>
    <t>2020130</t>
  </si>
  <si>
    <t>POW-039-2020</t>
  </si>
  <si>
    <t>H03-Sept-20</t>
  </si>
  <si>
    <t>2020-08-148</t>
  </si>
  <si>
    <t>2020131</t>
  </si>
  <si>
    <t>RFQ No. 2020 TFB-8</t>
  </si>
  <si>
    <t>1012-2020-0045</t>
  </si>
  <si>
    <t>RFQ 08-20-110</t>
  </si>
  <si>
    <t>PUR20-08-0699</t>
  </si>
  <si>
    <t>2020-08-144</t>
  </si>
  <si>
    <t>H04-Sept-20</t>
  </si>
  <si>
    <t>RFQ No. 2020 TFB-6</t>
  </si>
  <si>
    <t>POW-040-2020</t>
  </si>
  <si>
    <t>RFQ 2020-71</t>
  </si>
  <si>
    <t>1012-2020-0037</t>
  </si>
  <si>
    <t>2839</t>
  </si>
  <si>
    <t>RFQ No. 2020 Shopping-99</t>
  </si>
  <si>
    <t>KAES - 2020 - 08 - 007</t>
  </si>
  <si>
    <t>RFQ No. 2020 TFB-7</t>
  </si>
  <si>
    <t>2838</t>
  </si>
  <si>
    <t>RFQ 2020-74</t>
  </si>
  <si>
    <t>RFQ 2020-70</t>
  </si>
  <si>
    <t>20-08-119</t>
  </si>
  <si>
    <t>RFQ 2020-08-0732</t>
  </si>
  <si>
    <t>V07-Sept-20</t>
  </si>
  <si>
    <t>AMP SVP-D NO: 20-08-0300D</t>
  </si>
  <si>
    <t>UPLB-S-056-09-20</t>
  </si>
  <si>
    <t>RFQ 2020-72</t>
  </si>
  <si>
    <t>UPLB-S-055-09-20</t>
  </si>
  <si>
    <t>RFQ 2020-73</t>
  </si>
  <si>
    <t>SR-2020-07-071</t>
  </si>
  <si>
    <t>INFRA2020-053</t>
  </si>
  <si>
    <t>V06-Sept-20</t>
  </si>
  <si>
    <t>MAFAR-08-209-2020</t>
  </si>
  <si>
    <t>AMP SVP-S NO: 20-08-0228D</t>
  </si>
  <si>
    <t>002-20</t>
  </si>
  <si>
    <t>2020-12-202A</t>
  </si>
  <si>
    <t>2020-0212</t>
  </si>
  <si>
    <t>RFQ 2020-77</t>
  </si>
  <si>
    <t>AMP SVP-D NO: 20-08-0292A</t>
  </si>
  <si>
    <t>MODULE REPRODUCTION QUARTER 1 BALULANG ES</t>
  </si>
  <si>
    <t>2020-07-0072</t>
  </si>
  <si>
    <t>RFQ 2020-76</t>
  </si>
  <si>
    <t>00227-2019</t>
  </si>
  <si>
    <t>20-08-116</t>
  </si>
  <si>
    <t>2020-INFRA-002</t>
  </si>
  <si>
    <t>R3-BANE-GAA-2019-AU-137</t>
  </si>
  <si>
    <t>SB4 POP 200-20-08-10021</t>
  </si>
  <si>
    <t>1012-2020-0073</t>
  </si>
  <si>
    <t>ITB-2020-01</t>
  </si>
  <si>
    <t>RFQ 2020-75</t>
  </si>
  <si>
    <t>R3-BANE-GAA-2020-BANE IMO-67</t>
  </si>
  <si>
    <t>MAFAR-08-216-2020</t>
  </si>
  <si>
    <t>1012-2020-0040</t>
  </si>
  <si>
    <t>Goods2020-54</t>
  </si>
  <si>
    <t>20-07-113</t>
  </si>
  <si>
    <t>MAFAR-08-215-2020</t>
  </si>
  <si>
    <t>SPC PR No. BSPD-2020-0004</t>
  </si>
  <si>
    <t>GS 2020-008-030</t>
  </si>
  <si>
    <t>FB20-02-005CORb-03</t>
  </si>
  <si>
    <t>SB4 AMH 200-20-08-10460</t>
  </si>
  <si>
    <t>BFP BAC IB No. 003 (G) s. 2020</t>
  </si>
  <si>
    <t>010-20</t>
  </si>
  <si>
    <t>220 - 2020</t>
  </si>
  <si>
    <t>2020 - 09</t>
  </si>
  <si>
    <t>1029-2020-0018</t>
  </si>
  <si>
    <t>MAFAR-08-220-2020</t>
  </si>
  <si>
    <t>219 - 2020</t>
  </si>
  <si>
    <t>MAFAR-08-219-2020</t>
  </si>
  <si>
    <t>08-25-2020-02</t>
  </si>
  <si>
    <t>210</t>
  </si>
  <si>
    <t>218 - 2020</t>
  </si>
  <si>
    <t>MAFAR-08-218-2020</t>
  </si>
  <si>
    <t>RFQ20-27-Ref-Mit-Paj-SCA-508</t>
  </si>
  <si>
    <t>074</t>
  </si>
  <si>
    <t>SINS-Inf-2020-09</t>
  </si>
  <si>
    <t>MAFAR-08-217-2020</t>
  </si>
  <si>
    <t>47-2020</t>
  </si>
  <si>
    <t>388548502</t>
  </si>
  <si>
    <t>2020-S34</t>
  </si>
  <si>
    <t>MAFAR-08-214-2020</t>
  </si>
  <si>
    <t>08-25-2020-04</t>
  </si>
  <si>
    <t>2020-08-0185</t>
  </si>
  <si>
    <t>46-2020</t>
  </si>
  <si>
    <t>455</t>
  </si>
  <si>
    <t>24 August 2020</t>
  </si>
  <si>
    <t>2020--07-0186</t>
  </si>
  <si>
    <t>SINS-Inf-2020-10</t>
  </si>
  <si>
    <t>388548501</t>
  </si>
  <si>
    <t>MAFAR-08-223-2020</t>
  </si>
  <si>
    <t>PGC-RFQ-20200824-1</t>
  </si>
  <si>
    <t>MAFAR-08-222-2020</t>
  </si>
  <si>
    <t>08-25-2020-03</t>
  </si>
  <si>
    <t>47399</t>
  </si>
  <si>
    <t>San Pedro 01-02-2020</t>
  </si>
  <si>
    <t>MAFAR-08-221-2020</t>
  </si>
  <si>
    <t>AMP SVP-D NO: 20-08-0442 One (1) Lot Centrifugal V</t>
  </si>
  <si>
    <t>MAFAR-08-225-2020</t>
  </si>
  <si>
    <t>388548503</t>
  </si>
  <si>
    <t>MAFAR-08-224-2020</t>
  </si>
  <si>
    <t>SINS-Inf-2020-11</t>
  </si>
  <si>
    <t>388548500</t>
  </si>
  <si>
    <t>PR-2020-08-001</t>
  </si>
  <si>
    <t>75</t>
  </si>
  <si>
    <t>MODULE REPRODUCTION QUARTER 1 BALULANG ES (Special</t>
  </si>
  <si>
    <t>011-20</t>
  </si>
  <si>
    <t>RFQ 2020-06-014</t>
  </si>
  <si>
    <t>009-20</t>
  </si>
  <si>
    <t>MAFAR-08-212-2020</t>
  </si>
  <si>
    <t>MAFAR-08-211-2020</t>
  </si>
  <si>
    <t>2020-08-80I</t>
  </si>
  <si>
    <t>PR-2020-08-007</t>
  </si>
  <si>
    <t>AMP SVP-D NO: 20-08-0248D</t>
  </si>
  <si>
    <t>MAFAR-08-213-2020</t>
  </si>
  <si>
    <t>RFQ20-32-4PC-Corei7</t>
  </si>
  <si>
    <t>PR No. 08-144</t>
  </si>
  <si>
    <t>2020-PB-SS-AGUS6/7-026-02</t>
  </si>
  <si>
    <t>SINS-Inf-2020-08</t>
  </si>
  <si>
    <t>V05-Sept-20</t>
  </si>
  <si>
    <t>08-25-2020-01</t>
  </si>
  <si>
    <t>MAFAR-08-210-2020</t>
  </si>
  <si>
    <t>RFQ 2020-08-0736</t>
  </si>
  <si>
    <t>PSA-RSSO6-2020-154</t>
  </si>
  <si>
    <t>388548504</t>
  </si>
  <si>
    <t>RFQ-1</t>
  </si>
  <si>
    <t>08-20-46</t>
  </si>
  <si>
    <t>BACNAMPICUAN2020-041</t>
  </si>
  <si>
    <t>PG-2020-071</t>
  </si>
  <si>
    <t>2020svp - 323-723</t>
  </si>
  <si>
    <t>LTO-SU-20-077</t>
  </si>
  <si>
    <t>08-20-47</t>
  </si>
  <si>
    <t>20-08-084</t>
  </si>
  <si>
    <t>RFQ-DVO-PR.NO. 2007305 CAT. 56 SPARE PARTS FOR LIG</t>
  </si>
  <si>
    <t>2020-PR-135</t>
  </si>
  <si>
    <t>2020-0245</t>
  </si>
  <si>
    <t>2020 - 158</t>
  </si>
  <si>
    <t>ITB No. Goods-2020-25</t>
  </si>
  <si>
    <t>P.R. No. 2020-08-0126</t>
  </si>
  <si>
    <t>PSA-NCR-RO-20-30</t>
  </si>
  <si>
    <t>n-235-2020</t>
  </si>
  <si>
    <t>2020-08-025</t>
  </si>
  <si>
    <t>2020-08-081</t>
  </si>
  <si>
    <t>2020-08-082</t>
  </si>
  <si>
    <t>ITB-2020-025</t>
  </si>
  <si>
    <t>2020svp - 322 -724</t>
  </si>
  <si>
    <t>20FO0110</t>
  </si>
  <si>
    <t>Bid No. 20-0426</t>
  </si>
  <si>
    <t>2020-08-0398</t>
  </si>
  <si>
    <t>2020-07-35</t>
  </si>
  <si>
    <t>GOODS-NP-2020-018</t>
  </si>
  <si>
    <t>20-08-085</t>
  </si>
  <si>
    <t>08-20-48</t>
  </si>
  <si>
    <t>GSISLAU/NPSVP-2020005</t>
  </si>
  <si>
    <t>20GP00132</t>
  </si>
  <si>
    <t>20GP00126</t>
  </si>
  <si>
    <t>20GP00119</t>
  </si>
  <si>
    <t>ABS-02-08-20-GOODS</t>
  </si>
  <si>
    <t>mabpang-0820-2020-ME</t>
  </si>
  <si>
    <t>20IJ-0093</t>
  </si>
  <si>
    <t>LTO-SU-20-078</t>
  </si>
  <si>
    <t>20FO0111</t>
  </si>
  <si>
    <t>20GP00104</t>
  </si>
  <si>
    <t>70-08-191</t>
  </si>
  <si>
    <t>2020-0802</t>
  </si>
  <si>
    <t>08-20-50</t>
  </si>
  <si>
    <t>001-08-20-2020</t>
  </si>
  <si>
    <t>BACNAMPICUAN2020-042</t>
  </si>
  <si>
    <t>GOODS-NP-2020-121</t>
  </si>
  <si>
    <t>1011-20-08-542</t>
  </si>
  <si>
    <t>LSPU-LBC2020-028</t>
  </si>
  <si>
    <t>2020-08-00699</t>
  </si>
  <si>
    <t>oshc2020FAD_010</t>
  </si>
  <si>
    <t>041</t>
  </si>
  <si>
    <t>20-08-0326</t>
  </si>
  <si>
    <t>GOODS-NP-2020-019</t>
  </si>
  <si>
    <t>20GP00102</t>
  </si>
  <si>
    <t>I4-20-1682</t>
  </si>
  <si>
    <t>DWD#2020- 044</t>
  </si>
  <si>
    <t>305THCO-14396-220AW-124-2020</t>
  </si>
  <si>
    <t>GD-SH-2020-08-0356</t>
  </si>
  <si>
    <t>0891</t>
  </si>
  <si>
    <t>RFQ-2</t>
  </si>
  <si>
    <t>08-20-55</t>
  </si>
  <si>
    <t>ITB-2020-026</t>
  </si>
  <si>
    <t>20GAF0064SVP</t>
  </si>
  <si>
    <t>LAMISCA IMO 08-20-2020 RFQ</t>
  </si>
  <si>
    <t>DSWD7-20-0896</t>
  </si>
  <si>
    <t>1011-20-08-541</t>
  </si>
  <si>
    <t>08-20-54</t>
  </si>
  <si>
    <t>GOOD20200701</t>
  </si>
  <si>
    <t>BACNAMPICUAN2020-043</t>
  </si>
  <si>
    <t>LSPU-LBC2020-029</t>
  </si>
  <si>
    <t>08-20-49</t>
  </si>
  <si>
    <t>0600</t>
  </si>
  <si>
    <t>0940</t>
  </si>
  <si>
    <t>BAYLE0820AMP0815</t>
  </si>
  <si>
    <t>20KE0067</t>
  </si>
  <si>
    <t>Bid No. 20-0427</t>
  </si>
  <si>
    <t>20-08-020</t>
  </si>
  <si>
    <t>M7-20-1683</t>
  </si>
  <si>
    <t>8-04</t>
  </si>
  <si>
    <t>BACNAMPICUAN2020-044</t>
  </si>
  <si>
    <t>214 - 2020</t>
  </si>
  <si>
    <t>RFQ 2020-138</t>
  </si>
  <si>
    <t>LSPU-LBC2020-030</t>
  </si>
  <si>
    <t>20-231</t>
  </si>
  <si>
    <t>2020-22</t>
  </si>
  <si>
    <t>GOODS-NP-2020-120</t>
  </si>
  <si>
    <t>goods 232-2020</t>
  </si>
  <si>
    <t>217 - 2020</t>
  </si>
  <si>
    <t>0941</t>
  </si>
  <si>
    <t>19LG0118</t>
  </si>
  <si>
    <t>20-08-489</t>
  </si>
  <si>
    <t>mabpang-0820-2020-RHU2</t>
  </si>
  <si>
    <t>SVP-G-2020-019</t>
  </si>
  <si>
    <t>216 - 2020</t>
  </si>
  <si>
    <t>331</t>
  </si>
  <si>
    <t>BACNAMPICUAN2020-045</t>
  </si>
  <si>
    <t>162-08-2020</t>
  </si>
  <si>
    <t>NP-SVP-431-2020</t>
  </si>
  <si>
    <t>215 - 2020</t>
  </si>
  <si>
    <t>O1-20-1676</t>
  </si>
  <si>
    <t>ATI-RTC3-2020-0114</t>
  </si>
  <si>
    <t>305THCO-14400-220AW-125-2020</t>
  </si>
  <si>
    <t>NP-SVP-432-2020</t>
  </si>
  <si>
    <t>BAC-PG-00200-20</t>
  </si>
  <si>
    <t>GOODS-ITB 2020-08-001</t>
  </si>
  <si>
    <t>ITB-2020-023</t>
  </si>
  <si>
    <t>RFQ 2020-140</t>
  </si>
  <si>
    <t>08-20-52</t>
  </si>
  <si>
    <t>2020-08-100</t>
  </si>
  <si>
    <t>RFQ 2020-137</t>
  </si>
  <si>
    <t>8-01-A</t>
  </si>
  <si>
    <t>100-2020-08-001</t>
  </si>
  <si>
    <t>2020-21</t>
  </si>
  <si>
    <t>NP-SVP-433-2020</t>
  </si>
  <si>
    <t>2020-568</t>
  </si>
  <si>
    <t>2020-50</t>
  </si>
  <si>
    <t>GD-SH-2020-08-0130</t>
  </si>
  <si>
    <t>RFQ-NP-SVP-379-2020</t>
  </si>
  <si>
    <t>0938</t>
  </si>
  <si>
    <t>BAC-PG-00199-20</t>
  </si>
  <si>
    <t>2020-08-003 Lepanto ES</t>
  </si>
  <si>
    <t>0944</t>
  </si>
  <si>
    <t>2020-08-102</t>
  </si>
  <si>
    <t>000322</t>
  </si>
  <si>
    <t>BACNAMPICUAN2020-046</t>
  </si>
  <si>
    <t>S-436-2020</t>
  </si>
  <si>
    <t>RFQ 2020-141</t>
  </si>
  <si>
    <t>043</t>
  </si>
  <si>
    <t>0612</t>
  </si>
  <si>
    <t>20-08-3191</t>
  </si>
  <si>
    <t>2020-0382 and 2020-0555</t>
  </si>
  <si>
    <t>doletac8-2020-22</t>
  </si>
  <si>
    <t>dpwh-c2-deo 20HE0122</t>
  </si>
  <si>
    <t>0939</t>
  </si>
  <si>
    <t>RFQ 2020-146</t>
  </si>
  <si>
    <t>501</t>
  </si>
  <si>
    <t>2020-51</t>
  </si>
  <si>
    <t>BAC-PG-00201-20</t>
  </si>
  <si>
    <t>20AD0115</t>
  </si>
  <si>
    <t>Pagcolbon202009</t>
  </si>
  <si>
    <t>RFQ 2020-145</t>
  </si>
  <si>
    <t>320</t>
  </si>
  <si>
    <t>0110-2020</t>
  </si>
  <si>
    <t>BAC-PG-00203-20</t>
  </si>
  <si>
    <t>2020 - 08 - 028 (147 - Shopping)</t>
  </si>
  <si>
    <t>405-202</t>
  </si>
  <si>
    <t>RFQ-NP-SVP-380-2020</t>
  </si>
  <si>
    <t>490</t>
  </si>
  <si>
    <t>PR/RFQ NO.: 2020-08-0065</t>
  </si>
  <si>
    <t>dpwh-c2-deo 20HE0123</t>
  </si>
  <si>
    <t>PRRI-PB-2020-044</t>
  </si>
  <si>
    <t>R6-D2-2020-08-141</t>
  </si>
  <si>
    <t>2020-08-10</t>
  </si>
  <si>
    <t>PR # 100-2020-08-0142</t>
  </si>
  <si>
    <t>2020-13G</t>
  </si>
  <si>
    <t>BARBARANGAY-ITB-1(PATHWAY)-2020</t>
  </si>
  <si>
    <t>PR/RFQ NO.: 2020-08-0064</t>
  </si>
  <si>
    <t>0950</t>
  </si>
  <si>
    <t>2020-08-587</t>
  </si>
  <si>
    <t>BAC-PG-00204-20</t>
  </si>
  <si>
    <t>434A</t>
  </si>
  <si>
    <t>2020-592</t>
  </si>
  <si>
    <t>2020-08-588</t>
  </si>
  <si>
    <t>2020-14G</t>
  </si>
  <si>
    <t>SVP-G-2020-021</t>
  </si>
  <si>
    <t>NIU-124-2020</t>
  </si>
  <si>
    <t>2020-AM-0749</t>
  </si>
  <si>
    <t>100-20-02-74</t>
  </si>
  <si>
    <t>2020-08-150</t>
  </si>
  <si>
    <t>2020-08-18-0002</t>
  </si>
  <si>
    <t>2020-08-590</t>
  </si>
  <si>
    <t>2020-08-149</t>
  </si>
  <si>
    <t>20CRN008</t>
  </si>
  <si>
    <t>100-20-08-528</t>
  </si>
  <si>
    <t>0951</t>
  </si>
  <si>
    <t>08-2020-0320</t>
  </si>
  <si>
    <t>PUR20-05-0392</t>
  </si>
  <si>
    <t>305THCO-14412-220AW-127-2020</t>
  </si>
  <si>
    <t>BAC-PG-00206-20</t>
  </si>
  <si>
    <t>JHS - 2020 - 008 - 0040</t>
  </si>
  <si>
    <t>SVP-G-2020-022</t>
  </si>
  <si>
    <t>8-06</t>
  </si>
  <si>
    <t>0971</t>
  </si>
  <si>
    <t>19LD0132</t>
  </si>
  <si>
    <t>0981</t>
  </si>
  <si>
    <t>20-08-001-RFQ</t>
  </si>
  <si>
    <t>PA202008001</t>
  </si>
  <si>
    <t>100-20-07-465</t>
  </si>
  <si>
    <t>20DM0071</t>
  </si>
  <si>
    <t>BMC-N-20-344</t>
  </si>
  <si>
    <t>BAC-SBSL-MEO-2020-16</t>
  </si>
  <si>
    <t>INVITATION TO BID No. 2020-08-007</t>
  </si>
  <si>
    <t>20DM0072</t>
  </si>
  <si>
    <t>2020-08-589</t>
  </si>
  <si>
    <t>C-025-20</t>
  </si>
  <si>
    <t>2020-19</t>
  </si>
  <si>
    <t>2020-08-151</t>
  </si>
  <si>
    <t>RFQ NO. DVO-2020-08-044</t>
  </si>
  <si>
    <t>07-2020-0300</t>
  </si>
  <si>
    <t>2020-08-583</t>
  </si>
  <si>
    <t>19LG0119</t>
  </si>
  <si>
    <t>20202008001</t>
  </si>
  <si>
    <t>DOST XI 2020-051</t>
  </si>
  <si>
    <t>LGU-Camalig-Goods-41</t>
  </si>
  <si>
    <t>IV-08-2020-04</t>
  </si>
  <si>
    <t>2020-08-585</t>
  </si>
  <si>
    <t>SHOPPING AUGUST 2020-003</t>
  </si>
  <si>
    <t>RFQ NO. 2020-191</t>
  </si>
  <si>
    <t>100-20-08-531</t>
  </si>
  <si>
    <t>SHOPPING AUGUST 2020-002</t>
  </si>
  <si>
    <t>19C00095</t>
  </si>
  <si>
    <t>RFQ 2020-147</t>
  </si>
  <si>
    <t>316</t>
  </si>
  <si>
    <t>Manila202009</t>
  </si>
  <si>
    <t>305THCO-14408-220AW-126-2020</t>
  </si>
  <si>
    <t>20-08-002-RFQ</t>
  </si>
  <si>
    <t>RFQ 2020-142</t>
  </si>
  <si>
    <t>PR/RFQ NO.: 2020-08-0063</t>
  </si>
  <si>
    <t>20DM0073</t>
  </si>
  <si>
    <t>EMB-R4B-34-20</t>
  </si>
  <si>
    <t>20-08-138</t>
  </si>
  <si>
    <t>2020 - 08 - 028 (146 - Shopping)</t>
  </si>
  <si>
    <t>305THCO-14418-220AW-128-2020</t>
  </si>
  <si>
    <t>SVP-G-2020-020</t>
  </si>
  <si>
    <t>CAT-2020-003</t>
  </si>
  <si>
    <t>RFQ20-167</t>
  </si>
  <si>
    <t>SUPPLY AND DELIVERY OF CORPORATION COCK (RE-BIDDIN</t>
  </si>
  <si>
    <t>GOOD20200002(a)</t>
  </si>
  <si>
    <t>BAC-PG-00202-20</t>
  </si>
  <si>
    <t>8-01</t>
  </si>
  <si>
    <t>2020-040J</t>
  </si>
  <si>
    <t>2020-08-026</t>
  </si>
  <si>
    <t>20-08-0194H</t>
  </si>
  <si>
    <t>RFQ 2020-139</t>
  </si>
  <si>
    <t>2020-G-82</t>
  </si>
  <si>
    <t>NP-SVP-435-2020</t>
  </si>
  <si>
    <t>08-20-53</t>
  </si>
  <si>
    <t>117435</t>
  </si>
  <si>
    <t>20GAF0063SVP</t>
  </si>
  <si>
    <t>DSWD7-20-0897</t>
  </si>
  <si>
    <t>Bid No. 20-0429</t>
  </si>
  <si>
    <t>2020-RFQ "PURCHASE OF LET REVIEWER FOR THE COLLEGE</t>
  </si>
  <si>
    <t>Bid No. 20-0428</t>
  </si>
  <si>
    <t>309</t>
  </si>
  <si>
    <t>LTO-SU-20-079</t>
  </si>
  <si>
    <t>P.R. No. 2020-08-0127</t>
  </si>
  <si>
    <t>08-20-51</t>
  </si>
  <si>
    <t>RFQ 20-08-032</t>
  </si>
  <si>
    <t>100-20-06-423</t>
  </si>
  <si>
    <t>RFQ-2020-07-125</t>
  </si>
  <si>
    <t>RFQ-2020-08-15</t>
  </si>
  <si>
    <t>305THCO-14419-220AW-129-2020</t>
  </si>
  <si>
    <t>20CSE015</t>
  </si>
  <si>
    <t>19DM0121</t>
  </si>
  <si>
    <t>C-026-20</t>
  </si>
  <si>
    <t>SUPPLY OF LABOR, EQUIPMENT AND RESTORATION MATERIA</t>
  </si>
  <si>
    <t>6907446</t>
  </si>
  <si>
    <t>0942</t>
  </si>
  <si>
    <t>PA202008002</t>
  </si>
  <si>
    <t>RFQ-2020-08-30</t>
  </si>
  <si>
    <t>BS-005-2020</t>
  </si>
  <si>
    <t>19DM0122</t>
  </si>
  <si>
    <t>02-2020-0137</t>
  </si>
  <si>
    <t>0935</t>
  </si>
  <si>
    <t>PRRI-2020-045</t>
  </si>
  <si>
    <t>EXTENSION /EXPANSION OF LIBRARY / TECH 4ED CENTER/</t>
  </si>
  <si>
    <t>RFQ-2020-08-100</t>
  </si>
  <si>
    <t>DOST XI 2020-052</t>
  </si>
  <si>
    <t>PUR20-08-0673 PUR20-08-0711, and PUR20-08-0712</t>
  </si>
  <si>
    <t>2020-08-534</t>
  </si>
  <si>
    <t>DOST XI 2020-053</t>
  </si>
  <si>
    <t>RFQ NO. SVP-050-2020</t>
  </si>
  <si>
    <t>ITB - 06 AUGUST 2020</t>
  </si>
  <si>
    <t>2020- NFA-RBAC8-INFR- 26</t>
  </si>
  <si>
    <t>03-2020-0146</t>
  </si>
  <si>
    <t>RFQ-2020-08-149</t>
  </si>
  <si>
    <t>RFQ NO. SVP-049-2020</t>
  </si>
  <si>
    <t>305THCO-14422-220AW-131-2020</t>
  </si>
  <si>
    <t>RFQ-2020-07-209</t>
  </si>
  <si>
    <t>2020-009-PBi</t>
  </si>
  <si>
    <t>200-2008-004-SEF</t>
  </si>
  <si>
    <t>305THCO-14421-220AW-133-2020</t>
  </si>
  <si>
    <t>08/20/20 SJIS JHS</t>
  </si>
  <si>
    <t>DOST XI 2020-054</t>
  </si>
  <si>
    <t>RFQ 08-116-2020</t>
  </si>
  <si>
    <t>CID No. 20GLE0104 PR 20-03-0096 PR 20-03-0100</t>
  </si>
  <si>
    <t>RFQ 2020-151</t>
  </si>
  <si>
    <t>014</t>
  </si>
  <si>
    <t>PRRI-2020-046</t>
  </si>
  <si>
    <t>PRRI-2020-047</t>
  </si>
  <si>
    <t>2020-011-PBi</t>
  </si>
  <si>
    <t>RFQ NO. SVP-051-2020</t>
  </si>
  <si>
    <t>PUR20-05-0443</t>
  </si>
  <si>
    <t>ITB - 07 AUGUST 2020</t>
  </si>
  <si>
    <t>090-20</t>
  </si>
  <si>
    <t>2020-MUN-GF-GOODS-028</t>
  </si>
  <si>
    <t>2020-08-BD</t>
  </si>
  <si>
    <t>ITB - 08 AUGUST 2020</t>
  </si>
  <si>
    <t>ITB No. SJdB-2020-010</t>
  </si>
  <si>
    <t>PR No. 2020-05</t>
  </si>
  <si>
    <t>2020-0041</t>
  </si>
  <si>
    <t>RFQ-2020-08-89</t>
  </si>
  <si>
    <t>2020-012-PBi</t>
  </si>
  <si>
    <t>20DB0146</t>
  </si>
  <si>
    <t>PR No. 0817 SERIES 2020</t>
  </si>
  <si>
    <t>DOST XI 2020-056</t>
  </si>
  <si>
    <t>2020-07-0014</t>
  </si>
  <si>
    <t>BAC 2020-023</t>
  </si>
  <si>
    <t>2020 JHS 033</t>
  </si>
  <si>
    <t>2020-25 fimc projector</t>
  </si>
  <si>
    <t>DOST XI 2020-055</t>
  </si>
  <si>
    <t>161-08-2020</t>
  </si>
  <si>
    <t>091-20</t>
  </si>
  <si>
    <t>2020-MUN-GF-GOODS-027</t>
  </si>
  <si>
    <t>ITB No. SJdB-2020-012</t>
  </si>
  <si>
    <t>RFQ 092</t>
  </si>
  <si>
    <t>RFQ 087</t>
  </si>
  <si>
    <t>FY2019DILG-AM-04</t>
  </si>
  <si>
    <t>RFQ 091</t>
  </si>
  <si>
    <t>BAC-CO-GS-2020-06</t>
  </si>
  <si>
    <t>RFQ 090</t>
  </si>
  <si>
    <t>2020-014-PBi</t>
  </si>
  <si>
    <t>RFQ 089</t>
  </si>
  <si>
    <t>20IC0087</t>
  </si>
  <si>
    <t>INF 2020-08-14</t>
  </si>
  <si>
    <t>SDO-Marikina-ITB 2020 - 022</t>
  </si>
  <si>
    <t>RGL2020-014</t>
  </si>
  <si>
    <t>PR No. 2020-08  and 2020-09</t>
  </si>
  <si>
    <t>RFQ 2020-150</t>
  </si>
  <si>
    <t>MAFAR-08-188-2020</t>
  </si>
  <si>
    <t>202008001</t>
  </si>
  <si>
    <t>ITB No. SJdB-2020-011</t>
  </si>
  <si>
    <t>MAFAR-08-187-2020</t>
  </si>
  <si>
    <t>RFQ NO. SVP-053-2020</t>
  </si>
  <si>
    <t>IAEB 2020-013</t>
  </si>
  <si>
    <t>RFQ 088</t>
  </si>
  <si>
    <t>19DL0219</t>
  </si>
  <si>
    <t>20DL0240</t>
  </si>
  <si>
    <t>2020-015-PBi</t>
  </si>
  <si>
    <t>GEPS2020</t>
  </si>
  <si>
    <t>20DL0235</t>
  </si>
  <si>
    <t>2020-017-PBi</t>
  </si>
  <si>
    <t>163-08-2020</t>
  </si>
  <si>
    <t>MAFAR-08-189-2020</t>
  </si>
  <si>
    <t>20DL0238</t>
  </si>
  <si>
    <t>ITB No. SJdB-2019-013</t>
  </si>
  <si>
    <t>20DL0239</t>
  </si>
  <si>
    <t>HHBn,CMOR-08-2020-028</t>
  </si>
  <si>
    <t>20DL0236</t>
  </si>
  <si>
    <t>2020-016-PBi</t>
  </si>
  <si>
    <t>2020-010-PBi</t>
  </si>
  <si>
    <t>2020-08-0352</t>
  </si>
  <si>
    <t>IB No. 2020-36</t>
  </si>
  <si>
    <t>20DL0237</t>
  </si>
  <si>
    <t>P-20200820</t>
  </si>
  <si>
    <t>DM2020-08-034</t>
  </si>
  <si>
    <t>19LG0120</t>
  </si>
  <si>
    <t>ITB No. SJdB-2020-014</t>
  </si>
  <si>
    <t>010</t>
  </si>
  <si>
    <t>ITB 2020-08-015</t>
  </si>
  <si>
    <t>20FK0067</t>
  </si>
  <si>
    <t>20FN0112</t>
  </si>
  <si>
    <t>20MGU-081</t>
  </si>
  <si>
    <t>2020-019-PBi</t>
  </si>
  <si>
    <t>H-25(2)-20</t>
  </si>
  <si>
    <t>2020-SH-008</t>
  </si>
  <si>
    <t>20FN0113</t>
  </si>
  <si>
    <t>2020-018-PBi</t>
  </si>
  <si>
    <t>ITB-2020-095</t>
  </si>
  <si>
    <t>RFQ 2020-148</t>
  </si>
  <si>
    <t>RFQ 08-114-2020</t>
  </si>
  <si>
    <t>08-0051-20</t>
  </si>
  <si>
    <t>H-25(1)</t>
  </si>
  <si>
    <t>2020-022-PBi</t>
  </si>
  <si>
    <t>ITB No. SJdB-2020-015</t>
  </si>
  <si>
    <t>MAFAR-08-169-2020</t>
  </si>
  <si>
    <t>Goods2020-050</t>
  </si>
  <si>
    <t>305THCO-14419-220AW-130-2020</t>
  </si>
  <si>
    <t>2020-006-003</t>
  </si>
  <si>
    <t>2020-PLA-089</t>
  </si>
  <si>
    <t>RFQ 2020-78</t>
  </si>
  <si>
    <t>2020-08-179</t>
  </si>
  <si>
    <t>2020-006-002</t>
  </si>
  <si>
    <t>2020-021-PBi</t>
  </si>
  <si>
    <t>20-216</t>
  </si>
  <si>
    <t>RFQ 2020-08-0214</t>
  </si>
  <si>
    <t>2020-020-PBi</t>
  </si>
  <si>
    <t>2020-006-001</t>
  </si>
  <si>
    <t>2020-006-004</t>
  </si>
  <si>
    <t>2020-006-005</t>
  </si>
  <si>
    <t>1001-2020</t>
  </si>
  <si>
    <t>NMF INFRA 2020-38</t>
  </si>
  <si>
    <t>2020 - 03</t>
  </si>
  <si>
    <t>NMF INFRA 2020-37</t>
  </si>
  <si>
    <t>2020-26 fimc data center</t>
  </si>
  <si>
    <t>ITB No. SJdB-2020-016</t>
  </si>
  <si>
    <t>NMF INFRA 2020-41</t>
  </si>
  <si>
    <t>19LG0121</t>
  </si>
  <si>
    <t>20-07-0762</t>
  </si>
  <si>
    <t>NMF INFRA 2020-40</t>
  </si>
  <si>
    <t>NMF INFRA 2020-39</t>
  </si>
  <si>
    <t>20-CS-DO-03</t>
  </si>
  <si>
    <t>Goods2020-051</t>
  </si>
  <si>
    <t>GSO-20-08-0380</t>
  </si>
  <si>
    <t>NMF GOODS 2020-10</t>
  </si>
  <si>
    <t>08-0052-20</t>
  </si>
  <si>
    <t>IAEB 2020-014</t>
  </si>
  <si>
    <t>2020-006-006</t>
  </si>
  <si>
    <t>2020-006-008</t>
  </si>
  <si>
    <t>2020-006-007</t>
  </si>
  <si>
    <t>ITB No. SJdB-2020-017</t>
  </si>
  <si>
    <t>SPC PR No. 2000005501</t>
  </si>
  <si>
    <t>20-CS-DO-04</t>
  </si>
  <si>
    <t>IAEB 2020-015</t>
  </si>
  <si>
    <t>DepEd-20-SDO-122</t>
  </si>
  <si>
    <t>gsis/npsvp-261-20</t>
  </si>
  <si>
    <t>RFQ-DESKTOP AND PERIPHERALS PR#20-02-0035</t>
  </si>
  <si>
    <t>10220820</t>
  </si>
  <si>
    <t>2020-006-010</t>
  </si>
  <si>
    <t>4000004622</t>
  </si>
  <si>
    <t>PMS-BAC_2020 SUPPLY AND DELIVERY OF PERSONAL AIR I</t>
  </si>
  <si>
    <t>2020-006-009</t>
  </si>
  <si>
    <t>202008073</t>
  </si>
  <si>
    <t>2020-PB-003</t>
  </si>
  <si>
    <t>57-2020</t>
  </si>
  <si>
    <t>IAEB 2020-012</t>
  </si>
  <si>
    <t>025-20%-2020</t>
  </si>
  <si>
    <t>4000004624</t>
  </si>
  <si>
    <t>ITB No. SJdB-2020-018</t>
  </si>
  <si>
    <t>19FB0258</t>
  </si>
  <si>
    <t>RFQ-REFILL of FIRE EXTINGUISHER</t>
  </si>
  <si>
    <t>IAEB 2020-011</t>
  </si>
  <si>
    <t>2020-006-012</t>
  </si>
  <si>
    <t>2020-006-011</t>
  </si>
  <si>
    <t>19FB0261</t>
  </si>
  <si>
    <t>2020-15-A (Rebidding)</t>
  </si>
  <si>
    <t>Ibaan/2020/261</t>
  </si>
  <si>
    <t>19FB0260</t>
  </si>
  <si>
    <t>19FB0259</t>
  </si>
  <si>
    <t>PB0032</t>
  </si>
  <si>
    <t>PB0014</t>
  </si>
  <si>
    <t>19FB0262</t>
  </si>
  <si>
    <t>20-08-201</t>
  </si>
  <si>
    <t>PB0058</t>
  </si>
  <si>
    <t>MAFAR-08-192-2020</t>
  </si>
  <si>
    <t>MAFAR-08-194-2020</t>
  </si>
  <si>
    <t>MAFAR-08-193-2020</t>
  </si>
  <si>
    <t>19FB0263</t>
  </si>
  <si>
    <t>MAFAR-08-190-2020</t>
  </si>
  <si>
    <t>ITB No. SJdB-2020-020</t>
  </si>
  <si>
    <t>4000004623</t>
  </si>
  <si>
    <t>ITB No. SJdB-2020-022</t>
  </si>
  <si>
    <t>4000004626</t>
  </si>
  <si>
    <t>3016931</t>
  </si>
  <si>
    <t>CSC CAR PR NO 2020-013</t>
  </si>
  <si>
    <t>ITB No. SJdB-2020-023</t>
  </si>
  <si>
    <t>SVP-2020-08-006</t>
  </si>
  <si>
    <t>20-005-03</t>
  </si>
  <si>
    <t>BASC2020-08-058</t>
  </si>
  <si>
    <t>CDSJI 2020-01</t>
  </si>
  <si>
    <t>MAFAR-08-200-2020</t>
  </si>
  <si>
    <t>ITB No. SJdB-2020-021</t>
  </si>
  <si>
    <t>MAFAR-08-199-2020</t>
  </si>
  <si>
    <t>MAFAR-08-198-2020</t>
  </si>
  <si>
    <t>PB0057</t>
  </si>
  <si>
    <t>MAFAR-08-197-2020</t>
  </si>
  <si>
    <t>MAFAR-08-196-2020</t>
  </si>
  <si>
    <t>MAFAR-08-195-2020</t>
  </si>
  <si>
    <t>2020-PCOO-I-002</t>
  </si>
  <si>
    <t>MAFAR-08-191-2020</t>
  </si>
  <si>
    <t>2020-008</t>
  </si>
  <si>
    <t>202-001</t>
  </si>
  <si>
    <t>2020-06-131</t>
  </si>
  <si>
    <t>2020-08-137</t>
  </si>
  <si>
    <t>CONSTRUCTION OF VARIOUS INFRASTRUCTURE PROJECTS FO</t>
  </si>
  <si>
    <t>401-20-07-438</t>
  </si>
  <si>
    <t>20072802</t>
  </si>
  <si>
    <t>20-1899</t>
  </si>
  <si>
    <t>ITB No. GOP-20-DSWD-2020-08-05</t>
  </si>
  <si>
    <t>20-1900</t>
  </si>
  <si>
    <t>ITB No. 20-08-21</t>
  </si>
  <si>
    <t>PEO-20-0989-B</t>
  </si>
  <si>
    <t>Carmen Maritime</t>
  </si>
  <si>
    <t>20K00365</t>
  </si>
  <si>
    <t>20K00363</t>
  </si>
  <si>
    <t>20K00362</t>
  </si>
  <si>
    <t>20-1915</t>
  </si>
  <si>
    <t>20K00361</t>
  </si>
  <si>
    <t>NV 2020-044</t>
  </si>
  <si>
    <t>NV 2020-042</t>
  </si>
  <si>
    <t>01</t>
  </si>
  <si>
    <t>PBD 20-026A</t>
  </si>
  <si>
    <t>20K00364</t>
  </si>
  <si>
    <t>08-11-20-004</t>
  </si>
  <si>
    <t>BAGO-02-20</t>
  </si>
  <si>
    <t>NV 2020-043</t>
  </si>
  <si>
    <t>B-8661-20-18</t>
  </si>
  <si>
    <t>2020-062</t>
  </si>
  <si>
    <t>100 - 2020</t>
  </si>
  <si>
    <t>2020-0377</t>
  </si>
  <si>
    <t>20072701</t>
  </si>
  <si>
    <t>DTI-R01-PN-2020-08-02</t>
  </si>
  <si>
    <t>2020-06-01</t>
  </si>
  <si>
    <t>PB0031</t>
  </si>
  <si>
    <t>20-1942</t>
  </si>
  <si>
    <t>20-1717</t>
  </si>
  <si>
    <t>6646965</t>
  </si>
  <si>
    <t>20-1937</t>
  </si>
  <si>
    <t>ITB No. SJdB-2020-019</t>
  </si>
  <si>
    <t>20-1897</t>
  </si>
  <si>
    <t>20-07-0286</t>
  </si>
  <si>
    <t>PB-Goods-15-2020</t>
  </si>
  <si>
    <t>20-1884</t>
  </si>
  <si>
    <t>20-1682</t>
  </si>
  <si>
    <t>PB-Goods-19-2020</t>
  </si>
  <si>
    <t>PB-Goods-20-2020</t>
  </si>
  <si>
    <t>PB-Goods-17-2020</t>
  </si>
  <si>
    <t>20-06-0228</t>
  </si>
  <si>
    <t>BGHMCPB-2020-30-001</t>
  </si>
  <si>
    <t>097 (A) - 2020</t>
  </si>
  <si>
    <t>PB-Goods-18-2020</t>
  </si>
  <si>
    <t>20DIVSUR001</t>
  </si>
  <si>
    <t>PGR-GOODS-22-2020</t>
  </si>
  <si>
    <t>20-1886</t>
  </si>
  <si>
    <t>PGR-INFRA-2020-03-01</t>
  </si>
  <si>
    <t>20-07-0298</t>
  </si>
  <si>
    <t>20FL0090</t>
  </si>
  <si>
    <t>PGR-INFRA-2020-08-01</t>
  </si>
  <si>
    <t>0815202001</t>
  </si>
  <si>
    <t>PGR-INFRA-2020-08-02</t>
  </si>
  <si>
    <t>IN-BAC-2020-08-067</t>
  </si>
  <si>
    <t>PB-Goods-21-2020</t>
  </si>
  <si>
    <t>PB-Goods-22-2020</t>
  </si>
  <si>
    <t>IN-BAC-2020-08-065</t>
  </si>
  <si>
    <t>PGR-INFRA-2020-03-04</t>
  </si>
  <si>
    <t>PGR-INFRA-2020-08-03</t>
  </si>
  <si>
    <t>PB-INFRA-06-2020</t>
  </si>
  <si>
    <t>ITB-20-0715-219</t>
  </si>
  <si>
    <t>PGR-INFRA-2020-07-3</t>
  </si>
  <si>
    <t>IB 2020 – 061</t>
  </si>
  <si>
    <t>20-176</t>
  </si>
  <si>
    <t>20-07-0291</t>
  </si>
  <si>
    <t>SanJoseBatsAeb2020-114</t>
  </si>
  <si>
    <t>20-06-05A-0031</t>
  </si>
  <si>
    <t>B-2020-039</t>
  </si>
  <si>
    <t>IB 2020 – 060</t>
  </si>
  <si>
    <t>ITB  No 2020-10</t>
  </si>
  <si>
    <t>PGR-GOODS-06-2018</t>
  </si>
  <si>
    <t>193 - 2020</t>
  </si>
  <si>
    <t>191 - 2020</t>
  </si>
  <si>
    <t>EMBCAR-2020-8-51</t>
  </si>
  <si>
    <t>BBG-WV#035-2020</t>
  </si>
  <si>
    <t>Barangay Albalate-03-2020</t>
  </si>
  <si>
    <t>20-1634</t>
  </si>
  <si>
    <t>VET-20-0888-B</t>
  </si>
  <si>
    <t>IB 2020 – 069</t>
  </si>
  <si>
    <t>IB 2020 – 074</t>
  </si>
  <si>
    <t>ITB No. 2020-33</t>
  </si>
  <si>
    <t>IB 2020 – 073</t>
  </si>
  <si>
    <t>CONSTRUCTION OF NAVO RESCUE CENTER AT C-3 ROAD COR</t>
  </si>
  <si>
    <t>BMC-N-20-328</t>
  </si>
  <si>
    <t>SanJoseBatsAeb2020-137</t>
  </si>
  <si>
    <t>IB 2020 – 071</t>
  </si>
  <si>
    <t>IB 2020 – 070</t>
  </si>
  <si>
    <t>IB 2020 – 068</t>
  </si>
  <si>
    <t>20-179</t>
  </si>
  <si>
    <t>IB 2020 – 066</t>
  </si>
  <si>
    <t>IB 2020 – 065</t>
  </si>
  <si>
    <t>IB 2020 – 064</t>
  </si>
  <si>
    <t>SanJoseBatsAeb2020-151</t>
  </si>
  <si>
    <t>IB 2020 – 067</t>
  </si>
  <si>
    <t>IB 2020 – 063</t>
  </si>
  <si>
    <t>IN-BAC-2020-08-066</t>
  </si>
  <si>
    <t>20-177</t>
  </si>
  <si>
    <t>20SANSAL003</t>
  </si>
  <si>
    <t>IB 2020 – 075</t>
  </si>
  <si>
    <t>20VILSUR004</t>
  </si>
  <si>
    <t>20VILSUR003</t>
  </si>
  <si>
    <t>ITB-20-0507-114</t>
  </si>
  <si>
    <t>20GDB0043</t>
  </si>
  <si>
    <t>2020-07-1405</t>
  </si>
  <si>
    <t>IB 2020 – 062</t>
  </si>
  <si>
    <t>20GDB0030</t>
  </si>
  <si>
    <t>SanJoseBatsAeb2020-155</t>
  </si>
  <si>
    <t>SanJoseBatsAeb2020-154</t>
  </si>
  <si>
    <t>SanJoseBatsAeb2020-153</t>
  </si>
  <si>
    <t>20-183</t>
  </si>
  <si>
    <t>IB 2020 – 078</t>
  </si>
  <si>
    <t>IB 2020 – 077</t>
  </si>
  <si>
    <t>20ME0147</t>
  </si>
  <si>
    <t>ITB INFRA-035-2020</t>
  </si>
  <si>
    <t>ITB-20-0812-251</t>
  </si>
  <si>
    <t>08-020-532-20</t>
  </si>
  <si>
    <t>IB 2020 – 072</t>
  </si>
  <si>
    <t>2020-08-481</t>
  </si>
  <si>
    <t>NS-2020-07-0285</t>
  </si>
  <si>
    <t>BAT-GOODS-2020-015</t>
  </si>
  <si>
    <t>700-2020</t>
  </si>
  <si>
    <t>20SANPEDRO003</t>
  </si>
  <si>
    <t>2020-09-01</t>
  </si>
  <si>
    <t>20POBNOR003</t>
  </si>
  <si>
    <t>PR 2020-08-127</t>
  </si>
  <si>
    <t>20-184</t>
  </si>
  <si>
    <t>SVP No. T-2020-08-012</t>
  </si>
  <si>
    <t>IB No. N-2020-005</t>
  </si>
  <si>
    <t>TAL-08-54-2020</t>
  </si>
  <si>
    <t>NEG. PROC. 53.10 N-2020-08-058</t>
  </si>
  <si>
    <t>202238</t>
  </si>
  <si>
    <t>LGU Nasipit-2020-089</t>
  </si>
  <si>
    <t>20-181</t>
  </si>
  <si>
    <t>SVP No. C-2020-08-006</t>
  </si>
  <si>
    <t>ITB-20-0812-247</t>
  </si>
  <si>
    <t>LGU Nasipit-2020-090</t>
  </si>
  <si>
    <t>IB 2020-01</t>
  </si>
  <si>
    <t>ITB-20-0812-250</t>
  </si>
  <si>
    <t>20-08-0079</t>
  </si>
  <si>
    <t>13-2020</t>
  </si>
  <si>
    <t>NP/PB 20-0972</t>
  </si>
  <si>
    <t>12-2020</t>
  </si>
  <si>
    <t>INFRA-08-18-2020-03</t>
  </si>
  <si>
    <t>ITB INFRA-036-2020</t>
  </si>
  <si>
    <t>20200818 01</t>
  </si>
  <si>
    <t>11-2020</t>
  </si>
  <si>
    <t>INFRA-08-18-2020-01</t>
  </si>
  <si>
    <t>INFRA-08-18-2020-02</t>
  </si>
  <si>
    <t>GOODS-08-18-2020-02</t>
  </si>
  <si>
    <t>IB No. LL-2020-002</t>
  </si>
  <si>
    <t>GOODS-08-18-2020-01</t>
  </si>
  <si>
    <t>SN-2020-08-024</t>
  </si>
  <si>
    <t>PR 2020-08-125</t>
  </si>
  <si>
    <t>008-2020</t>
  </si>
  <si>
    <t>1170-016</t>
  </si>
  <si>
    <t>INFRA-08-18-2020-04</t>
  </si>
  <si>
    <t>P. R. No. 2020-0624</t>
  </si>
  <si>
    <t>202247</t>
  </si>
  <si>
    <t>202315</t>
  </si>
  <si>
    <t>673-2020</t>
  </si>
  <si>
    <t>202359</t>
  </si>
  <si>
    <t>20-188</t>
  </si>
  <si>
    <t>20-187</t>
  </si>
  <si>
    <t>ITB-20-0812-249</t>
  </si>
  <si>
    <t>20VILSUR006</t>
  </si>
  <si>
    <t>202296</t>
  </si>
  <si>
    <t>20PD0128</t>
  </si>
  <si>
    <t>202286</t>
  </si>
  <si>
    <t>msj-2020-32</t>
  </si>
  <si>
    <t>IB 2020 – 080</t>
  </si>
  <si>
    <t>20-185</t>
  </si>
  <si>
    <t>NDP08-18</t>
  </si>
  <si>
    <t>ITB#26 - 2020</t>
  </si>
  <si>
    <t>2020-002I</t>
  </si>
  <si>
    <t>20 – 0043– S</t>
  </si>
  <si>
    <t>20 – 0042 – S</t>
  </si>
  <si>
    <t>B-8661-20-21</t>
  </si>
  <si>
    <t>20 – 0044– S</t>
  </si>
  <si>
    <t>20 – 0045 – S</t>
  </si>
  <si>
    <t>20 – 0040 – S</t>
  </si>
  <si>
    <t>20 – 0039 – S</t>
  </si>
  <si>
    <t>20 – 0038 – S</t>
  </si>
  <si>
    <t>ITB No. 2020-019-A</t>
  </si>
  <si>
    <t>2020-088-snq</t>
  </si>
  <si>
    <t>PR# 20-08-1046</t>
  </si>
  <si>
    <t>AVRC-2020-08-0320</t>
  </si>
  <si>
    <t>13ads20</t>
  </si>
  <si>
    <t>AVRC-2020-08-0319</t>
  </si>
  <si>
    <t>barangay 2020-2</t>
  </si>
  <si>
    <t>20-186</t>
  </si>
  <si>
    <t>2020-08-0191</t>
  </si>
  <si>
    <t>2020-190</t>
  </si>
  <si>
    <t>20CSEF09</t>
  </si>
  <si>
    <t>0035-S-2020</t>
  </si>
  <si>
    <t>epslingayen2020-97</t>
  </si>
  <si>
    <t>NS-2020-08-0334</t>
  </si>
  <si>
    <t>ITB 03-2020</t>
  </si>
  <si>
    <t>EN 200-20-08-09774</t>
  </si>
  <si>
    <t>DPP 200-20-06-07635</t>
  </si>
  <si>
    <t>20 – 0041– S</t>
  </si>
  <si>
    <t>SB4 PADAP 200-20-07-08943</t>
  </si>
  <si>
    <t>AGR 200-20-06-06765</t>
  </si>
  <si>
    <t>PADAP 200-20-07-09631</t>
  </si>
  <si>
    <t>MPDAC 200-20-07-08093</t>
  </si>
  <si>
    <t>BKP 200-20-05-05226</t>
  </si>
  <si>
    <t>LM 200-20-07-08288</t>
  </si>
  <si>
    <t>100-08-485</t>
  </si>
  <si>
    <t>LWC 200-20-05-05178</t>
  </si>
  <si>
    <t>RFQ2020 -36</t>
  </si>
  <si>
    <t>NS-2020-08-0332</t>
  </si>
  <si>
    <t>INFRA-08-18-2020-05</t>
  </si>
  <si>
    <t>20ME0146</t>
  </si>
  <si>
    <t>SanJoseBatsAeb2020-152</t>
  </si>
  <si>
    <t>20 – 0046 – S</t>
  </si>
  <si>
    <t>IB 2020 – 076</t>
  </si>
  <si>
    <t>0036-S-2020</t>
  </si>
  <si>
    <t>Mkna-GSO-20-343</t>
  </si>
  <si>
    <t>2020-08-13</t>
  </si>
  <si>
    <t>P.R. # 20-08-099</t>
  </si>
  <si>
    <t>NMPBAC-RFQ-08-01</t>
  </si>
  <si>
    <t>20VILSUR005</t>
  </si>
  <si>
    <t>0037-S-2020</t>
  </si>
  <si>
    <t>20CSEF10</t>
  </si>
  <si>
    <t>0890</t>
  </si>
  <si>
    <t>DARFO2.CVRC.115.REC.2020-08-305.00</t>
  </si>
  <si>
    <t>30-20-03-034</t>
  </si>
  <si>
    <t>20201802</t>
  </si>
  <si>
    <t>20201808</t>
  </si>
  <si>
    <t>LGU-MOALBOAL2020-0803</t>
  </si>
  <si>
    <t>LGU-MOALBOAL2020-0802</t>
  </si>
  <si>
    <t>19EB0157</t>
  </si>
  <si>
    <t>LGU-MOALBOAL2020-0804</t>
  </si>
  <si>
    <t>2020-CW014</t>
  </si>
  <si>
    <t>RFQ NO. 2020-08-213</t>
  </si>
  <si>
    <t>Mkna-GSO-20-342</t>
  </si>
  <si>
    <t>30-20-02-021</t>
  </si>
  <si>
    <t>016</t>
  </si>
  <si>
    <t>RFQ-2020-38</t>
  </si>
  <si>
    <t>ITB2020-08-06</t>
  </si>
  <si>
    <t>PR 172-08-2020</t>
  </si>
  <si>
    <t>PG-2020-068</t>
  </si>
  <si>
    <t>2020-08-028</t>
  </si>
  <si>
    <t>PB NO:2020-08-30</t>
  </si>
  <si>
    <t>DA7-2020-08-SAAD-20-3159</t>
  </si>
  <si>
    <t>SOLANO 102-2020</t>
  </si>
  <si>
    <t>100-08-20-02169</t>
  </si>
  <si>
    <t>0016-0245-1405-2020</t>
  </si>
  <si>
    <t>Bid No. 20-0399</t>
  </si>
  <si>
    <t>lgu-es-20-08-200</t>
  </si>
  <si>
    <t>ATI-RTC 2020-0054</t>
  </si>
  <si>
    <t>2020-57</t>
  </si>
  <si>
    <t>MJJLECINFRA002-2020-02</t>
  </si>
  <si>
    <t>Competitive Bidding 2020-26</t>
  </si>
  <si>
    <t>2020-Barangay new mahayag-oo3</t>
  </si>
  <si>
    <t>Competitive Bidding 2020-27</t>
  </si>
  <si>
    <t>LGU-MOALBOAL2020-0805</t>
  </si>
  <si>
    <t>2020-08-1965</t>
  </si>
  <si>
    <t>DA7-2020-08-SAAD-20-3158</t>
  </si>
  <si>
    <t>2020-08-029</t>
  </si>
  <si>
    <t>20G037</t>
  </si>
  <si>
    <t>PB NO:2020-08-31</t>
  </si>
  <si>
    <t>SOLANO 103-2020</t>
  </si>
  <si>
    <t>lgu-es-20-08-201</t>
  </si>
  <si>
    <t>DA7-2020-08-AMIA-20-3091</t>
  </si>
  <si>
    <t>RFQ-20-08106</t>
  </si>
  <si>
    <t>RFQ-194-2020-ED</t>
  </si>
  <si>
    <t>pontevedra-20-G028</t>
  </si>
  <si>
    <t>RFQ-190-2020-CDD</t>
  </si>
  <si>
    <t>2020-Barangay new mahayag-003</t>
  </si>
  <si>
    <t>SUBM#2020 -08 - 13</t>
  </si>
  <si>
    <t>LGU-MOALBOAL2020-0806</t>
  </si>
  <si>
    <t>PSA-RSSO6-2020-151</t>
  </si>
  <si>
    <t>S00372-2020</t>
  </si>
  <si>
    <t>2020-08-030</t>
  </si>
  <si>
    <t>MEDS-19</t>
  </si>
  <si>
    <t>NEDA-CAR 2020-08-7</t>
  </si>
  <si>
    <t>pontevedra-20-G027</t>
  </si>
  <si>
    <t>2020-58</t>
  </si>
  <si>
    <t>2020-0091</t>
  </si>
  <si>
    <t>20G038</t>
  </si>
  <si>
    <t>100-08-20-02241</t>
  </si>
  <si>
    <t>2020-08-19 BRGY. SAN RAFAEL</t>
  </si>
  <si>
    <t>0020-0304-1388-2020</t>
  </si>
  <si>
    <t>CG-2-69-2020</t>
  </si>
  <si>
    <t>2020-08-031</t>
  </si>
  <si>
    <t>2020-AMP-098</t>
  </si>
  <si>
    <t>SOLANO 104-2020</t>
  </si>
  <si>
    <t>20G039</t>
  </si>
  <si>
    <t>RRCY 2020-067</t>
  </si>
  <si>
    <t>86-20</t>
  </si>
  <si>
    <t>Kibaning Goods 2020-08-001</t>
  </si>
  <si>
    <t>20-0202</t>
  </si>
  <si>
    <t>Ninoy Aquino Infra 2020-08-006</t>
  </si>
  <si>
    <t>P.R. # 20-06-082</t>
  </si>
  <si>
    <t>200-20-08-0156</t>
  </si>
  <si>
    <t>2020-63</t>
  </si>
  <si>
    <t>2020-08-0015</t>
  </si>
  <si>
    <t>PB NO:2020-08-32</t>
  </si>
  <si>
    <t>rfq 2020-08-06</t>
  </si>
  <si>
    <t>PR 179-08-2020</t>
  </si>
  <si>
    <t>2020-08-033</t>
  </si>
  <si>
    <t>lgu padada -0036-08-19-2020</t>
  </si>
  <si>
    <t>2020-08-032</t>
  </si>
  <si>
    <t>Competitive Bidding 2020-28</t>
  </si>
  <si>
    <t>Ninoy Aquino Infra 2020-08-007</t>
  </si>
  <si>
    <t>88-20</t>
  </si>
  <si>
    <t>NP-SVP-425-2020</t>
  </si>
  <si>
    <t>8192020</t>
  </si>
  <si>
    <t>2020-08-220</t>
  </si>
  <si>
    <t>Infra-056-2020</t>
  </si>
  <si>
    <t>G-BRGY-08192020-Barangay Multi-Purpose Improvement</t>
  </si>
  <si>
    <t>87-20</t>
  </si>
  <si>
    <t>0000000</t>
  </si>
  <si>
    <t>PR#20-08-047</t>
  </si>
  <si>
    <t>Infra-057-2020</t>
  </si>
  <si>
    <t>2020-07-196</t>
  </si>
  <si>
    <t>P.R. # 20-07-097</t>
  </si>
  <si>
    <t>2020-08-483</t>
  </si>
  <si>
    <t>RFQ-2020-40</t>
  </si>
  <si>
    <t>RFQ2020-07-032</t>
  </si>
  <si>
    <t>2020-081901</t>
  </si>
  <si>
    <t>2020-08-575</t>
  </si>
  <si>
    <t>0020-0277-1287A2020</t>
  </si>
  <si>
    <t>20-059</t>
  </si>
  <si>
    <t>HRAS 2020-08-0002</t>
  </si>
  <si>
    <t>tag-028-2020</t>
  </si>
  <si>
    <t>2020-8-2109</t>
  </si>
  <si>
    <t>NEDA-CAR 2020-08-8</t>
  </si>
  <si>
    <t>TSE-2020-08-154B</t>
  </si>
  <si>
    <t>2020-08-578</t>
  </si>
  <si>
    <t>LGU-MOALBOAL2020-0807</t>
  </si>
  <si>
    <t>implementationofbasiceducationlearningcontinuitypl</t>
  </si>
  <si>
    <t>STC-GOOD- NO. 2020-0055</t>
  </si>
  <si>
    <t>MAINT 2020-06-0025</t>
  </si>
  <si>
    <t>2020-08-584</t>
  </si>
  <si>
    <t>INFRA -01- 2020</t>
  </si>
  <si>
    <t>89-20</t>
  </si>
  <si>
    <t>Infra-058-2020</t>
  </si>
  <si>
    <t>PR 20-08-0323</t>
  </si>
  <si>
    <t>RFQ 2020-08-0223</t>
  </si>
  <si>
    <t>2020-043-GDS</t>
  </si>
  <si>
    <t>CG-2-70-2020</t>
  </si>
  <si>
    <t>MAINT 2020-06-0029</t>
  </si>
  <si>
    <t>90-20</t>
  </si>
  <si>
    <t>08192020GOODSVEHICLES</t>
  </si>
  <si>
    <t>PGL-20 NEGO-38-08</t>
  </si>
  <si>
    <t>Quotation No. 20-07-0439</t>
  </si>
  <si>
    <t>2020-042-INF</t>
  </si>
  <si>
    <t>2020-113</t>
  </si>
  <si>
    <t>SUBM#2020 -08 - 15</t>
  </si>
  <si>
    <t>20-0204</t>
  </si>
  <si>
    <t>91-20</t>
  </si>
  <si>
    <t>2020-08-170</t>
  </si>
  <si>
    <t>libsongeast2020-02</t>
  </si>
  <si>
    <t>NP-SVP-426-2020</t>
  </si>
  <si>
    <t>RFQ 2020-175</t>
  </si>
  <si>
    <t>20-46874</t>
  </si>
  <si>
    <t>2020-070</t>
  </si>
  <si>
    <t>RFQ2020-07-033</t>
  </si>
  <si>
    <t>2108</t>
  </si>
  <si>
    <t>19082020</t>
  </si>
  <si>
    <t>NP-SVP-427-2020</t>
  </si>
  <si>
    <t>GOODS-NP-2020-106</t>
  </si>
  <si>
    <t>G20-62</t>
  </si>
  <si>
    <t>PGL-20 NEGO-39-08</t>
  </si>
  <si>
    <t>Competitive Bidding 2020-29</t>
  </si>
  <si>
    <t>545-08/17/2020</t>
  </si>
  <si>
    <t>RFQ2020-07-034</t>
  </si>
  <si>
    <t>Goods 2020-01 (Repost)</t>
  </si>
  <si>
    <t>S-286-2020</t>
  </si>
  <si>
    <t>S-285-2020</t>
  </si>
  <si>
    <t>Bid No. 20-0400</t>
  </si>
  <si>
    <t>Solicitation No. Goods 20-0820-0041R</t>
  </si>
  <si>
    <t>NP-SVP-428-2020</t>
  </si>
  <si>
    <t>PGL-20 NEGO-40-08</t>
  </si>
  <si>
    <t>MMWD-0029-2020</t>
  </si>
  <si>
    <t>P.R. # 20-06-083</t>
  </si>
  <si>
    <t>G20-63</t>
  </si>
  <si>
    <t>ITB-KOR: 20-08-0767 CEO</t>
  </si>
  <si>
    <t>8-07</t>
  </si>
  <si>
    <t>nlontoc-RFQ-215-2020</t>
  </si>
  <si>
    <t>PUR20-07-0654</t>
  </si>
  <si>
    <t>081920-TFB1</t>
  </si>
  <si>
    <t>N-702-2020</t>
  </si>
  <si>
    <t>08-012-20</t>
  </si>
  <si>
    <t>RFQ2020-07-036</t>
  </si>
  <si>
    <t>RFQ2020-07-035</t>
  </si>
  <si>
    <t>CG-RFQ-171-2020</t>
  </si>
  <si>
    <t>2020-071</t>
  </si>
  <si>
    <t>PGL-20 NEGO-42-08</t>
  </si>
  <si>
    <t>ITB NO. 2020-08-012</t>
  </si>
  <si>
    <t>PGL-20 NEGO-41-08</t>
  </si>
  <si>
    <t>ITB 27-2020</t>
  </si>
  <si>
    <t>20-0160</t>
  </si>
  <si>
    <t>S-282-2020</t>
  </si>
  <si>
    <t>20-0517</t>
  </si>
  <si>
    <t>RFQ 2020-176</t>
  </si>
  <si>
    <t>BIR-RR5-2020-08-015</t>
  </si>
  <si>
    <t>20-0522</t>
  </si>
  <si>
    <t>20-08-SO178</t>
  </si>
  <si>
    <t>RFQ 2020-08-0224</t>
  </si>
  <si>
    <t>2020-94</t>
  </si>
  <si>
    <t>Solicitation No. Goods 20-0820-0061R</t>
  </si>
  <si>
    <t>mabpang-0819-2020-ME</t>
  </si>
  <si>
    <t>2020-08-010</t>
  </si>
  <si>
    <t>LGTMO-2020-19</t>
  </si>
  <si>
    <t>RFQ2020-08-040</t>
  </si>
  <si>
    <t>2020-SM-001</t>
  </si>
  <si>
    <t>547-08/17/2020</t>
  </si>
  <si>
    <t>2020-076</t>
  </si>
  <si>
    <t>2020-037-GDS</t>
  </si>
  <si>
    <t>PGL-20 NEGO-43-08</t>
  </si>
  <si>
    <t>PB 2020-INFRA-001</t>
  </si>
  <si>
    <t>2020-081902</t>
  </si>
  <si>
    <t>SUBM#2020 -08 - 14</t>
  </si>
  <si>
    <t>100-2003-284-GF</t>
  </si>
  <si>
    <t>20-0716</t>
  </si>
  <si>
    <t>Binmisor 026-2020</t>
  </si>
  <si>
    <t>nlontoc-RFQ-216-2020</t>
  </si>
  <si>
    <t>833</t>
  </si>
  <si>
    <t>Solicitation No. Goods 20-0820-0064R</t>
  </si>
  <si>
    <t>2020-087</t>
  </si>
  <si>
    <t>AB-2020-0031</t>
  </si>
  <si>
    <t>20-0518</t>
  </si>
  <si>
    <t>20-0520</t>
  </si>
  <si>
    <t>Solicitation No. Goods 20-0820-0084</t>
  </si>
  <si>
    <t>MP-081920-082</t>
  </si>
  <si>
    <t>2020goods-08-002</t>
  </si>
  <si>
    <t>SN-2020-08-025</t>
  </si>
  <si>
    <t>ATI-RTC 2020-0056</t>
  </si>
  <si>
    <t>2020-08-508</t>
  </si>
  <si>
    <t>2020-030</t>
  </si>
  <si>
    <t>8-05</t>
  </si>
  <si>
    <t>CG-RFQ-172-2020</t>
  </si>
  <si>
    <t>LGTMO-2020-20</t>
  </si>
  <si>
    <t>AB-2020-0032</t>
  </si>
  <si>
    <t>A46</t>
  </si>
  <si>
    <t>ITB14</t>
  </si>
  <si>
    <t>RFQ2020-08-09</t>
  </si>
  <si>
    <t>GOODS 2020-29</t>
  </si>
  <si>
    <t>100(08-27-2020)</t>
  </si>
  <si>
    <t>IB-2020-IX-08-01</t>
  </si>
  <si>
    <t>nlontoc-RFQ-217-2020</t>
  </si>
  <si>
    <t>8-03</t>
  </si>
  <si>
    <t>796</t>
  </si>
  <si>
    <t>ITB-KOR: 20-08-0768 CEO</t>
  </si>
  <si>
    <t>GOODS 2020-30</t>
  </si>
  <si>
    <t>2020-073</t>
  </si>
  <si>
    <t>08-20-A148</t>
  </si>
  <si>
    <t>LGU-208-2020</t>
  </si>
  <si>
    <t>20-0708</t>
  </si>
  <si>
    <t>PR. NO. 2020080907</t>
  </si>
  <si>
    <t>100(08-27-2020)1</t>
  </si>
  <si>
    <t>PR-2020-1339</t>
  </si>
  <si>
    <t>20-0528</t>
  </si>
  <si>
    <t>PCDP-2020-08-0322</t>
  </si>
  <si>
    <t>100-2006-474-GF</t>
  </si>
  <si>
    <t>797</t>
  </si>
  <si>
    <t>PR2020-160</t>
  </si>
  <si>
    <t>2020-074</t>
  </si>
  <si>
    <t>RRCY 2020-068</t>
  </si>
  <si>
    <t>2020-072</t>
  </si>
  <si>
    <t>rfq 2020-08-07</t>
  </si>
  <si>
    <t>000321</t>
  </si>
  <si>
    <t>AB-2020-0036</t>
  </si>
  <si>
    <t>Binmisor 027-2020</t>
  </si>
  <si>
    <t>CG-RFQ-173-2020</t>
  </si>
  <si>
    <t>AB-2020-0033</t>
  </si>
  <si>
    <t>SVP 20-08-175</t>
  </si>
  <si>
    <t>85</t>
  </si>
  <si>
    <t>ITB-0037</t>
  </si>
  <si>
    <t>AB-2020-0037</t>
  </si>
  <si>
    <t>20GKG0038</t>
  </si>
  <si>
    <t>ATI-RTC 2020-0057</t>
  </si>
  <si>
    <t>PR 18-20-07-0954 - CED</t>
  </si>
  <si>
    <t>SF-2020-065</t>
  </si>
  <si>
    <t>PRDP-2020-0480</t>
  </si>
  <si>
    <t>NC#2020-0425-PR2020-0567</t>
  </si>
  <si>
    <t>PB 2020-12</t>
  </si>
  <si>
    <t>20-0526</t>
  </si>
  <si>
    <t>2020-08-097bid</t>
  </si>
  <si>
    <t>2020- NFA-RBAC8-INFR- 25</t>
  </si>
  <si>
    <t>PR NO. 2020-08-104</t>
  </si>
  <si>
    <t>Bid No. 20-0401</t>
  </si>
  <si>
    <t>B-ITB-55-2020</t>
  </si>
  <si>
    <t>08-20-A147</t>
  </si>
  <si>
    <t>PR-2020-1338</t>
  </si>
  <si>
    <t>2020-075</t>
  </si>
  <si>
    <t>2020-013</t>
  </si>
  <si>
    <t>20-189</t>
  </si>
  <si>
    <t>GOODS 2020-32</t>
  </si>
  <si>
    <t>2020-031</t>
  </si>
  <si>
    <t>2020-08-81</t>
  </si>
  <si>
    <t>LGU-SCM 2020-328</t>
  </si>
  <si>
    <t>2020-08-498</t>
  </si>
  <si>
    <t>Bid No. 20-0402</t>
  </si>
  <si>
    <t>798</t>
  </si>
  <si>
    <t>RFQ-2020-07-002</t>
  </si>
  <si>
    <t>LGU-MOALBOAL2020-0808</t>
  </si>
  <si>
    <t>12042019A</t>
  </si>
  <si>
    <t>100(08-27-2020)2</t>
  </si>
  <si>
    <t>2020 ITB - 038</t>
  </si>
  <si>
    <t>RFQ # 20-08-087 (Goods)</t>
  </si>
  <si>
    <t>GFP100-2020-08-084</t>
  </si>
  <si>
    <t>S-289-2020</t>
  </si>
  <si>
    <t>2128</t>
  </si>
  <si>
    <t>2020-08-0036</t>
  </si>
  <si>
    <t>2020-08-0035</t>
  </si>
  <si>
    <t>2020-077</t>
  </si>
  <si>
    <t>PR# 2020-08-0437</t>
  </si>
  <si>
    <t>ITB2020801</t>
  </si>
  <si>
    <t>COT20-08-035</t>
  </si>
  <si>
    <t>LGU-209-2020</t>
  </si>
  <si>
    <t>100-20-08-0310</t>
  </si>
  <si>
    <t>2020-PBINFRA-08-001</t>
  </si>
  <si>
    <t>799</t>
  </si>
  <si>
    <t>202008-004</t>
  </si>
  <si>
    <t>DA7-2020-08-CPAR-20-3149</t>
  </si>
  <si>
    <t>Grants-20-08-60</t>
  </si>
  <si>
    <t>2020-30</t>
  </si>
  <si>
    <t>S-284-2020</t>
  </si>
  <si>
    <t>09264780482</t>
  </si>
  <si>
    <t>GOODS 2020-33</t>
  </si>
  <si>
    <t>20201818</t>
  </si>
  <si>
    <t>RFQ # 20-08-088 (Goods)</t>
  </si>
  <si>
    <t>20-08-256</t>
  </si>
  <si>
    <t>AB-2020-0038</t>
  </si>
  <si>
    <t>RFQ NO. 547</t>
  </si>
  <si>
    <t>100(08-27-2020)3</t>
  </si>
  <si>
    <t>Infra 2020-02</t>
  </si>
  <si>
    <t>LGU-SCM 2020-331</t>
  </si>
  <si>
    <t>ITB-KOR: 20-08-0769 CEO</t>
  </si>
  <si>
    <t>20-0525</t>
  </si>
  <si>
    <t>villa sol</t>
  </si>
  <si>
    <t>2020-08-500</t>
  </si>
  <si>
    <t>20-5283</t>
  </si>
  <si>
    <t>PR 20-06-0175</t>
  </si>
  <si>
    <t>S-281-2020</t>
  </si>
  <si>
    <t>Product ID No. Goods-2020-007</t>
  </si>
  <si>
    <t>2020-31</t>
  </si>
  <si>
    <t>PR 1000033484</t>
  </si>
  <si>
    <t>N-688-2020</t>
  </si>
  <si>
    <t>RIZRFP20-001</t>
  </si>
  <si>
    <t>2020-08-0037</t>
  </si>
  <si>
    <t>NC#2020-0426-PR2002-0568</t>
  </si>
  <si>
    <t>048-08-2020</t>
  </si>
  <si>
    <t>ITB-GS-20200305-01</t>
  </si>
  <si>
    <t>20-0519</t>
  </si>
  <si>
    <t>HFE-2020-07-0281</t>
  </si>
  <si>
    <t>DBM-NCR-2020-011</t>
  </si>
  <si>
    <t>SVP NO. 2020-045</t>
  </si>
  <si>
    <t>GEPS-015-2020</t>
  </si>
  <si>
    <t>2020-08-0038</t>
  </si>
  <si>
    <t>2020-078</t>
  </si>
  <si>
    <t>P-RFQ No. 2020-015B</t>
  </si>
  <si>
    <t>bacgal-63-2020</t>
  </si>
  <si>
    <t>2020-080</t>
  </si>
  <si>
    <t>2020-038-GDS</t>
  </si>
  <si>
    <t>AB-2020-0035</t>
  </si>
  <si>
    <t>20GKI0031</t>
  </si>
  <si>
    <t>Barangay Bulu-an-004-2020</t>
  </si>
  <si>
    <t>DA7-2020-08-SAAD-20-3157</t>
  </si>
  <si>
    <t>2020-025</t>
  </si>
  <si>
    <t>NIAR3-2020-BULO SRIP-AUTOCAD-G4</t>
  </si>
  <si>
    <t>RFQ No. 271</t>
  </si>
  <si>
    <t>20-0523</t>
  </si>
  <si>
    <t>GOODS 2020-34</t>
  </si>
  <si>
    <t>2020-024</t>
  </si>
  <si>
    <t>M003-2020</t>
  </si>
  <si>
    <t>2020-079</t>
  </si>
  <si>
    <t>PR 20-08-0333</t>
  </si>
  <si>
    <t>RFQ-DARFO12-2020-0712</t>
  </si>
  <si>
    <t>RFQ No. 270</t>
  </si>
  <si>
    <t>bac-20-0819a</t>
  </si>
  <si>
    <t>ITB-GS-20200605-01</t>
  </si>
  <si>
    <t>BACRFQ2020-111</t>
  </si>
  <si>
    <t>G-20-05</t>
  </si>
  <si>
    <t>AB-2020-0034</t>
  </si>
  <si>
    <t>2020-08-0039</t>
  </si>
  <si>
    <t>2020-GOODS-026</t>
  </si>
  <si>
    <t>ITB-KOR: 20-08-0770 CEO</t>
  </si>
  <si>
    <t>20GKI0041</t>
  </si>
  <si>
    <t>20200819</t>
  </si>
  <si>
    <t>2020 - SAN - 0003</t>
  </si>
  <si>
    <t>2020-081</t>
  </si>
  <si>
    <t>20GKI0038</t>
  </si>
  <si>
    <t>bac-20-0819b</t>
  </si>
  <si>
    <t>NCM-017-20</t>
  </si>
  <si>
    <t>PR. NO. 2020080923</t>
  </si>
  <si>
    <t>HFE-2020-06-0207</t>
  </si>
  <si>
    <t>2020-8-2119</t>
  </si>
  <si>
    <t>ITB 2020-0025</t>
  </si>
  <si>
    <t>LGU-Las Navas:001-08-2020</t>
  </si>
  <si>
    <t>2088</t>
  </si>
  <si>
    <t>P-RFQ No. 2020-018</t>
  </si>
  <si>
    <t>PR. NO. 2020080924</t>
  </si>
  <si>
    <t>081920-TFB2</t>
  </si>
  <si>
    <t>20-032</t>
  </si>
  <si>
    <t>08-19-02</t>
  </si>
  <si>
    <t>RFQ-DARFO12-2020-0714</t>
  </si>
  <si>
    <t>PR-2020-0820</t>
  </si>
  <si>
    <t>08-19-01</t>
  </si>
  <si>
    <t>SF-GOODS NO. 78-(08-20-20)</t>
  </si>
  <si>
    <t>2020-082</t>
  </si>
  <si>
    <t>RFQ-DARFO12-2020-0713</t>
  </si>
  <si>
    <t>2020-08-097</t>
  </si>
  <si>
    <t>MAFAR-08-138-2020</t>
  </si>
  <si>
    <t>NCM-018-20</t>
  </si>
  <si>
    <t>bac-20-0819c</t>
  </si>
  <si>
    <t>ITB8</t>
  </si>
  <si>
    <t>bac-20-0819e</t>
  </si>
  <si>
    <t>RFQ-DARFO12-2020-0717</t>
  </si>
  <si>
    <t>RFQ20-164</t>
  </si>
  <si>
    <t>20081903</t>
  </si>
  <si>
    <t>08-19-03</t>
  </si>
  <si>
    <t>2020-083</t>
  </si>
  <si>
    <t>2020-08-0160</t>
  </si>
  <si>
    <t>bac-20-0819d</t>
  </si>
  <si>
    <t>G-2020-044</t>
  </si>
  <si>
    <t>RFQ 08-20-108</t>
  </si>
  <si>
    <t>08-19-04</t>
  </si>
  <si>
    <t>B-20-36</t>
  </si>
  <si>
    <t>SVP 139</t>
  </si>
  <si>
    <t>ITB No. Goods-2020-18</t>
  </si>
  <si>
    <t>20-08-003</t>
  </si>
  <si>
    <t>NCM-020-20</t>
  </si>
  <si>
    <t>500</t>
  </si>
  <si>
    <t>NC#2020-0427-PR2020-0569</t>
  </si>
  <si>
    <t>2020-08-096</t>
  </si>
  <si>
    <t>RFQ-DARFO12-2020-0716</t>
  </si>
  <si>
    <t>2020-039-GDS</t>
  </si>
  <si>
    <t>PRDP-2020-0457</t>
  </si>
  <si>
    <t>006-20</t>
  </si>
  <si>
    <t>RRCY 2020-069</t>
  </si>
  <si>
    <t>2020-08-098</t>
  </si>
  <si>
    <t>B-20-37</t>
  </si>
  <si>
    <t>2020-08-550</t>
  </si>
  <si>
    <t>04</t>
  </si>
  <si>
    <t>2020-084</t>
  </si>
  <si>
    <t>2089</t>
  </si>
  <si>
    <t>NCM=019-20</t>
  </si>
  <si>
    <t>RIZRFP20-002</t>
  </si>
  <si>
    <t>20GGL0010</t>
  </si>
  <si>
    <t>2020-08-564</t>
  </si>
  <si>
    <t>DBM-NCR-2020-012</t>
  </si>
  <si>
    <t>2020-0053</t>
  </si>
  <si>
    <t>2020-G-55</t>
  </si>
  <si>
    <t>2020-08-563</t>
  </si>
  <si>
    <t>RFQ-2020-41</t>
  </si>
  <si>
    <t>CHU-14-19</t>
  </si>
  <si>
    <t>2020-08-562</t>
  </si>
  <si>
    <t>2020-08-486</t>
  </si>
  <si>
    <t>2020-08-561</t>
  </si>
  <si>
    <t>POW-1041-2020-PCO-05B</t>
  </si>
  <si>
    <t>PR NO. 2020-08-027</t>
  </si>
  <si>
    <t>Competitive Bidding 2020-30</t>
  </si>
  <si>
    <t>2020-G-56</t>
  </si>
  <si>
    <t>CBAA2020-08-09</t>
  </si>
  <si>
    <t>SVP 141</t>
  </si>
  <si>
    <t>NC#2020-0428-PR2020-0570</t>
  </si>
  <si>
    <t>2020-08-560</t>
  </si>
  <si>
    <t>20-08-0839</t>
  </si>
  <si>
    <t>PR-2008-917</t>
  </si>
  <si>
    <t>2020-08-559</t>
  </si>
  <si>
    <t>2020-085</t>
  </si>
  <si>
    <t>0</t>
  </si>
  <si>
    <t>20-0166</t>
  </si>
  <si>
    <t>ITB-2020-45</t>
  </si>
  <si>
    <t>2020-SVP-08-044</t>
  </si>
  <si>
    <t>goods2020_42</t>
  </si>
  <si>
    <t>100-2020-08-0071</t>
  </si>
  <si>
    <t>45-2020</t>
  </si>
  <si>
    <t>PR-20-08-0184</t>
  </si>
  <si>
    <t>061-2020</t>
  </si>
  <si>
    <t>KC-2020-08-0323</t>
  </si>
  <si>
    <t>ITB-2020-46</t>
  </si>
  <si>
    <t>20GCE0034</t>
  </si>
  <si>
    <t>BAC 2020-46</t>
  </si>
  <si>
    <t>ICT-20-0756-NP2 (SV)</t>
  </si>
  <si>
    <t>063-2020</t>
  </si>
  <si>
    <t>PBD-20-08-008</t>
  </si>
  <si>
    <t>20-0167</t>
  </si>
  <si>
    <t>20IL0153 (REINVITATION)</t>
  </si>
  <si>
    <t>2020-086</t>
  </si>
  <si>
    <t>PR-2020-1435</t>
  </si>
  <si>
    <t>20201091</t>
  </si>
  <si>
    <t>NCM-021-20</t>
  </si>
  <si>
    <t>PR No. 20081518</t>
  </si>
  <si>
    <t>PR No. 20081529</t>
  </si>
  <si>
    <t>goods2020_43</t>
  </si>
  <si>
    <t>PR No. 20081522</t>
  </si>
  <si>
    <t>PBD-20-08-009</t>
  </si>
  <si>
    <t>2020-08 - 001</t>
  </si>
  <si>
    <t>PR-2020-1389</t>
  </si>
  <si>
    <t>RFQ2020 - 37</t>
  </si>
  <si>
    <t>2020-08-488</t>
  </si>
  <si>
    <t>PR No. 20081511</t>
  </si>
  <si>
    <t>NV 2020-045</t>
  </si>
  <si>
    <t>08-26-20</t>
  </si>
  <si>
    <t>C-PEO-060-20</t>
  </si>
  <si>
    <t>NV 2020-048</t>
  </si>
  <si>
    <t>PR No. 20081533</t>
  </si>
  <si>
    <t>RFQ-20-029</t>
  </si>
  <si>
    <t>PR-2020-1358</t>
  </si>
  <si>
    <t>NV 2020-047</t>
  </si>
  <si>
    <t>Alaminos City</t>
  </si>
  <si>
    <t>2020-6B-06</t>
  </si>
  <si>
    <t>NV 2020-046</t>
  </si>
  <si>
    <t>Pob 02</t>
  </si>
  <si>
    <t>NV 2020-050</t>
  </si>
  <si>
    <t>masalong 08-2020</t>
  </si>
  <si>
    <t>SK MASALONG 001-2020</t>
  </si>
  <si>
    <t>190820-CRS-019-20</t>
  </si>
  <si>
    <t>2020-08-130</t>
  </si>
  <si>
    <t>2020-08-487</t>
  </si>
  <si>
    <t>NV 2020-049</t>
  </si>
  <si>
    <t>2020-03-001</t>
  </si>
  <si>
    <t>PR-2008-922</t>
  </si>
  <si>
    <t>ITB 2020-34</t>
  </si>
  <si>
    <t>61</t>
  </si>
  <si>
    <t>GFP100-2020-08-081</t>
  </si>
  <si>
    <t>20IL0114 (REINVITATION)</t>
  </si>
  <si>
    <t>BALANAC 2020-001</t>
  </si>
  <si>
    <t>LSPU-LBC2020-027</t>
  </si>
  <si>
    <t>GHQBAC1-PB-014-GHQ-20</t>
  </si>
  <si>
    <t>RFQ-2020-252</t>
  </si>
  <si>
    <t>RFQ-20-028</t>
  </si>
  <si>
    <t>2020-08-0281</t>
  </si>
  <si>
    <t>PR NO. 1125 - 20</t>
  </si>
  <si>
    <t>2020-60</t>
  </si>
  <si>
    <t>INFRA-2020-38</t>
  </si>
  <si>
    <t>2020-001I</t>
  </si>
  <si>
    <t>PR-2020-1488</t>
  </si>
  <si>
    <t>RFQ-20-030</t>
  </si>
  <si>
    <t>PR No. 1302 - 20</t>
  </si>
  <si>
    <t>2020-0075</t>
  </si>
  <si>
    <t>GEPS – 2020 – 88</t>
  </si>
  <si>
    <t>0020-0310-1408-2020</t>
  </si>
  <si>
    <t>PR-2008-926</t>
  </si>
  <si>
    <t>PR NO. 1309 - 20</t>
  </si>
  <si>
    <t>RFQ-2020-251</t>
  </si>
  <si>
    <t>none</t>
  </si>
  <si>
    <t>PB20200819-052</t>
  </si>
  <si>
    <t>2020-59</t>
  </si>
  <si>
    <t>2079</t>
  </si>
  <si>
    <t>2020-2459</t>
  </si>
  <si>
    <t>477-2020 Bidding</t>
  </si>
  <si>
    <t>0008-0004-1373-2020</t>
  </si>
  <si>
    <t>PR No. 1329 - 20</t>
  </si>
  <si>
    <t>GSD-A-20-412</t>
  </si>
  <si>
    <t>0020-0290-1332.2020</t>
  </si>
  <si>
    <t>0031-0005-1399-2020</t>
  </si>
  <si>
    <t>RFQ-2020-253</t>
  </si>
  <si>
    <t>GOODS-2020-39</t>
  </si>
  <si>
    <t>GEPS – 2020 – 89</t>
  </si>
  <si>
    <t>2020-07-020-101</t>
  </si>
  <si>
    <t>birthingProgEste</t>
  </si>
  <si>
    <t>20-08-08-0066</t>
  </si>
  <si>
    <t>0023-0102-1393-2020</t>
  </si>
  <si>
    <t>BMC-N-20-341</t>
  </si>
  <si>
    <t>PR No. 1308 - 20</t>
  </si>
  <si>
    <t>BULAWEN-01-2020</t>
  </si>
  <si>
    <t>545-2020 Bidding</t>
  </si>
  <si>
    <t>PR-2008-925</t>
  </si>
  <si>
    <t>546-2020 Bidding</t>
  </si>
  <si>
    <t>SN20-08-948</t>
  </si>
  <si>
    <t>B-20-002-B</t>
  </si>
  <si>
    <t>2020-041-INF</t>
  </si>
  <si>
    <t>ITB 2020-08-001</t>
  </si>
  <si>
    <t>2020-05-044</t>
  </si>
  <si>
    <t>ICRFQ08192020A</t>
  </si>
  <si>
    <t>2020-0239</t>
  </si>
  <si>
    <t>2020-111</t>
  </si>
  <si>
    <t>2020-08-0946 TDG</t>
  </si>
  <si>
    <t>GDS-429-2020</t>
  </si>
  <si>
    <t>PR No. 1335 - 20</t>
  </si>
  <si>
    <t>CA100-2020-08-007</t>
  </si>
  <si>
    <t>PR NO. 004-08-20</t>
  </si>
  <si>
    <t>ICITB08192020B</t>
  </si>
  <si>
    <t>20-08-0103</t>
  </si>
  <si>
    <t>2020-08-0295</t>
  </si>
  <si>
    <t>08-19-2020-337</t>
  </si>
  <si>
    <t>08-19-08</t>
  </si>
  <si>
    <t>NC#2020-0430-PR2020-0572</t>
  </si>
  <si>
    <t>0007-2020</t>
  </si>
  <si>
    <t>R1-675-2020</t>
  </si>
  <si>
    <t>2020-0333</t>
  </si>
  <si>
    <t>08-19-2020-336</t>
  </si>
  <si>
    <t>141-2020-RQ</t>
  </si>
  <si>
    <t>PSO-VIS-SIC-005-20</t>
  </si>
  <si>
    <t>Goods-157-2020</t>
  </si>
  <si>
    <t>20GP0075</t>
  </si>
  <si>
    <t>20-07-05A-0047</t>
  </si>
  <si>
    <t>2020-POBLACION-056</t>
  </si>
  <si>
    <t>090-08-2020</t>
  </si>
  <si>
    <t>CSI-2020-030</t>
  </si>
  <si>
    <t>ITBO9-SERVICES-PUBLICATION</t>
  </si>
  <si>
    <t>20AD0114</t>
  </si>
  <si>
    <t>epslingayen2020-98</t>
  </si>
  <si>
    <t>2126</t>
  </si>
  <si>
    <t>081920-H01</t>
  </si>
  <si>
    <t>2020-08-0941 TDG</t>
  </si>
  <si>
    <t>08-19-09</t>
  </si>
  <si>
    <t>PRDP-PSO-2020-08-06</t>
  </si>
  <si>
    <t>2020-POBLACION-057</t>
  </si>
  <si>
    <t>TEJ-009</t>
  </si>
  <si>
    <t>2020-02-134</t>
  </si>
  <si>
    <t>Goods-159-2020</t>
  </si>
  <si>
    <t>20AI0187</t>
  </si>
  <si>
    <t>INFRA-001-2020</t>
  </si>
  <si>
    <t>050-2020</t>
  </si>
  <si>
    <t>2020-34</t>
  </si>
  <si>
    <t>2020-101</t>
  </si>
  <si>
    <t>08-19-10</t>
  </si>
  <si>
    <t>2020-08-0945 TDG</t>
  </si>
  <si>
    <t>NC#2020-0431-PR2020-0573</t>
  </si>
  <si>
    <t>GPG-B2-2020-382</t>
  </si>
  <si>
    <t>SN20-08-960</t>
  </si>
  <si>
    <t>2020-POBLACION-059</t>
  </si>
  <si>
    <t>sanpascual-1908-1</t>
  </si>
  <si>
    <t>2020-POBLACION-058</t>
  </si>
  <si>
    <t>2020-08-0947 TDG</t>
  </si>
  <si>
    <t>RFQ-2020-08-0052</t>
  </si>
  <si>
    <t>100-08-489</t>
  </si>
  <si>
    <t>202008-005</t>
  </si>
  <si>
    <t>TEJ-010</t>
  </si>
  <si>
    <t>N-548-2020</t>
  </si>
  <si>
    <t>ITB NO. 2020-08-013</t>
  </si>
  <si>
    <t>20-08-04-0096</t>
  </si>
  <si>
    <t>BACSVP-14-2020</t>
  </si>
  <si>
    <t>2020-08-0939 TDG</t>
  </si>
  <si>
    <t>TEJ-011</t>
  </si>
  <si>
    <t>2020-08-00043</t>
  </si>
  <si>
    <t>2020-8-19-2</t>
  </si>
  <si>
    <t>2020-08-0936 TDG</t>
  </si>
  <si>
    <t>Infra 2020-01</t>
  </si>
  <si>
    <t>050-FTC 2020</t>
  </si>
  <si>
    <t>20-03-0102</t>
  </si>
  <si>
    <t>2020-POBLACION-060</t>
  </si>
  <si>
    <t>135000</t>
  </si>
  <si>
    <t>RFQ-2020-08-GS-006</t>
  </si>
  <si>
    <t>2020-08-0937 TDG</t>
  </si>
  <si>
    <t>N-684-2020</t>
  </si>
  <si>
    <t>337</t>
  </si>
  <si>
    <t>2020-2468</t>
  </si>
  <si>
    <t>20-369</t>
  </si>
  <si>
    <t>2020-08-0931 TDG</t>
  </si>
  <si>
    <t>19G00109</t>
  </si>
  <si>
    <t>2020-07-076b</t>
  </si>
  <si>
    <t>2020-063</t>
  </si>
  <si>
    <t>DENR10 2020-08-0430</t>
  </si>
  <si>
    <t>TEJ-012</t>
  </si>
  <si>
    <t>PR NO. 028-06-20</t>
  </si>
  <si>
    <t>005-2020-001</t>
  </si>
  <si>
    <t>DOH-MMCHD 2020-08-265</t>
  </si>
  <si>
    <t>20-08-05A-0055</t>
  </si>
  <si>
    <t>P-0893</t>
  </si>
  <si>
    <t>RFQ 2020-08-0922</t>
  </si>
  <si>
    <t>P-0894</t>
  </si>
  <si>
    <t>338</t>
  </si>
  <si>
    <t>2020-08-0934 TDG</t>
  </si>
  <si>
    <t>2020-08-379</t>
  </si>
  <si>
    <t>RFQ No. Goods-140-2020</t>
  </si>
  <si>
    <t>RFQ20-165</t>
  </si>
  <si>
    <t>LGULILA-08-2020</t>
  </si>
  <si>
    <t>2020-8-19-3</t>
  </si>
  <si>
    <t>19G00110</t>
  </si>
  <si>
    <t>PNPTR-DO-DP-20-08</t>
  </si>
  <si>
    <t>19G00111</t>
  </si>
  <si>
    <t>2020-0240</t>
  </si>
  <si>
    <t>2020 ITB - 039</t>
  </si>
  <si>
    <t>2020-2876</t>
  </si>
  <si>
    <t>20-265</t>
  </si>
  <si>
    <t>N-686-2020</t>
  </si>
  <si>
    <t>goods2020_44</t>
  </si>
  <si>
    <t>pogoruac-0819-1</t>
  </si>
  <si>
    <t>081920-H02</t>
  </si>
  <si>
    <t>20AI0188</t>
  </si>
  <si>
    <t>101</t>
  </si>
  <si>
    <t>2020-08-063</t>
  </si>
  <si>
    <t>2020-07-075b</t>
  </si>
  <si>
    <t>RFQ-08-009</t>
  </si>
  <si>
    <t>20M00081</t>
  </si>
  <si>
    <t>ITB No. Goods-2020-22</t>
  </si>
  <si>
    <t>100</t>
  </si>
  <si>
    <t>ITB No. 2020-03-G</t>
  </si>
  <si>
    <t>Goods-158-2020</t>
  </si>
  <si>
    <t>2020-8-19-1</t>
  </si>
  <si>
    <t>IPG 20-07-0008</t>
  </si>
  <si>
    <t>2020-08-0070</t>
  </si>
  <si>
    <t>342</t>
  </si>
  <si>
    <t>2020-08-0927 TDG</t>
  </si>
  <si>
    <t>2020-8-19-4</t>
  </si>
  <si>
    <t>DOH-MMCHD 2020-08-266</t>
  </si>
  <si>
    <t>20-370</t>
  </si>
  <si>
    <t>ITB (GS-08-2020-01) 20GDD0001</t>
  </si>
  <si>
    <t>2020-08-00042</t>
  </si>
  <si>
    <t>G-BRGY-08192020-Concreting of Barangay Road - Brgy</t>
  </si>
  <si>
    <t>ITB 2020-33</t>
  </si>
  <si>
    <t>PR NO. 300-1192-3-20-07-0802</t>
  </si>
  <si>
    <t>PR 20-07-0082</t>
  </si>
  <si>
    <t>RFQ 2020-08-0921</t>
  </si>
  <si>
    <t>8-19-20</t>
  </si>
  <si>
    <t>2020-056R</t>
  </si>
  <si>
    <t>2020-08-0928 TDG</t>
  </si>
  <si>
    <t>RFQ No.Good-173-2020</t>
  </si>
  <si>
    <t>SN20-08-957</t>
  </si>
  <si>
    <t>202008015</t>
  </si>
  <si>
    <t>INFRASIB-2020-22</t>
  </si>
  <si>
    <t>INF2020-08-032</t>
  </si>
  <si>
    <t>20-07-07-0250</t>
  </si>
  <si>
    <t>BAC 2-2020-08-088</t>
  </si>
  <si>
    <t>rehabmunroad</t>
  </si>
  <si>
    <t>076-2020</t>
  </si>
  <si>
    <t>RFQ 2020-08-0875</t>
  </si>
  <si>
    <t>2020-8-19-5</t>
  </si>
  <si>
    <t>RFQ-2020-055</t>
  </si>
  <si>
    <t>303948 JHS</t>
  </si>
  <si>
    <t>2020-08-0932 TDG</t>
  </si>
  <si>
    <t>2020-232</t>
  </si>
  <si>
    <t>2020-0241</t>
  </si>
  <si>
    <t>005-2020-002</t>
  </si>
  <si>
    <t>2020-057R</t>
  </si>
  <si>
    <t>2020-08-0292</t>
  </si>
  <si>
    <t>guincam2020-08-001</t>
  </si>
  <si>
    <t>2040-S3M01</t>
  </si>
  <si>
    <t>PR 20-07-0093</t>
  </si>
  <si>
    <t>20-374</t>
  </si>
  <si>
    <t>077-2020</t>
  </si>
  <si>
    <t>078-2020</t>
  </si>
  <si>
    <t>AMP-RFQ 2020-075</t>
  </si>
  <si>
    <t>2020-23</t>
  </si>
  <si>
    <t>ITB10-INFRA-REHAB|BALAISILANGAN</t>
  </si>
  <si>
    <t>0678</t>
  </si>
  <si>
    <t>INF-SFO-14-20</t>
  </si>
  <si>
    <t>PR-NarvBAC2020-040</t>
  </si>
  <si>
    <t>079-2020</t>
  </si>
  <si>
    <t>2020-08-380</t>
  </si>
  <si>
    <t>INFRASIB-2020-23</t>
  </si>
  <si>
    <t>GOODS-NP-2020-008</t>
  </si>
  <si>
    <t>2020-PB-MSBP-043-01</t>
  </si>
  <si>
    <t>SDOCoM-PR# 101-20-011-002 (Camalig ES)</t>
  </si>
  <si>
    <t>HILONGOS 2020-251</t>
  </si>
  <si>
    <t>2040-S3C01</t>
  </si>
  <si>
    <t>005-2020-003</t>
  </si>
  <si>
    <t>bac-20-0819q</t>
  </si>
  <si>
    <t>20-08-08-0061</t>
  </si>
  <si>
    <t>20-376</t>
  </si>
  <si>
    <t>2020-08-0917 TDG</t>
  </si>
  <si>
    <t>SN20-08-959</t>
  </si>
  <si>
    <t>N-683-2020</t>
  </si>
  <si>
    <t>RFQ 2020-08-0878</t>
  </si>
  <si>
    <t>ITB-2020-022</t>
  </si>
  <si>
    <t>20GDB0044</t>
  </si>
  <si>
    <t>INFRASIB-2020-24</t>
  </si>
  <si>
    <t>2020 DHVSU - 042</t>
  </si>
  <si>
    <t>20-375</t>
  </si>
  <si>
    <t>ITB NO. 2020-08-014</t>
  </si>
  <si>
    <t>2020-058R</t>
  </si>
  <si>
    <t>07-012-474-20</t>
  </si>
  <si>
    <t>20-108</t>
  </si>
  <si>
    <t>20CSI0002.</t>
  </si>
  <si>
    <t>RFQ 2020-08-0877</t>
  </si>
  <si>
    <t>HW-2020-08-0324</t>
  </si>
  <si>
    <t>BGH - 08 - 0142</t>
  </si>
  <si>
    <t>2040-S3M03</t>
  </si>
  <si>
    <t>S00373-2020</t>
  </si>
  <si>
    <t>100-2002-006-20%</t>
  </si>
  <si>
    <t>2020-POBLACION-063</t>
  </si>
  <si>
    <t>N-687-2020</t>
  </si>
  <si>
    <t>20-0249</t>
  </si>
  <si>
    <t>300-20-07-0110</t>
  </si>
  <si>
    <t>SN20-08-958</t>
  </si>
  <si>
    <t>N-696-2020</t>
  </si>
  <si>
    <t>RFQ 2020-08-0885</t>
  </si>
  <si>
    <t>300-20-08-1065</t>
  </si>
  <si>
    <t>N-682-2020</t>
  </si>
  <si>
    <t>20EH0086</t>
  </si>
  <si>
    <t>101-2020-08-279</t>
  </si>
  <si>
    <t>RFQ No.Good-177-2020</t>
  </si>
  <si>
    <t>20-377</t>
  </si>
  <si>
    <t>020-0920-CP</t>
  </si>
  <si>
    <t>INF-SFO-15-20</t>
  </si>
  <si>
    <t>RRCY 2020-070</t>
  </si>
  <si>
    <t>08-001-2020</t>
  </si>
  <si>
    <t>N-690-2020</t>
  </si>
  <si>
    <t>PIKCOT-002020-022</t>
  </si>
  <si>
    <t>LGU-SIN-2020-08-226</t>
  </si>
  <si>
    <t>DOH-MMCHD 2020-08-267</t>
  </si>
  <si>
    <t>105-20</t>
  </si>
  <si>
    <t>RFQ 2020-08-0886</t>
  </si>
  <si>
    <t>2020-50604040 99-224</t>
  </si>
  <si>
    <t>INFRA 20-08-002</t>
  </si>
  <si>
    <t>HILONGOS 2020-252</t>
  </si>
  <si>
    <t>DTIWS-20-08-127</t>
  </si>
  <si>
    <t>Paper&amp;InksLCP-082020</t>
  </si>
  <si>
    <t>tag-029-2020</t>
  </si>
  <si>
    <t>081920-R2</t>
  </si>
  <si>
    <t>philgeps08192020b</t>
  </si>
  <si>
    <t>RFQ 2020-08-0924</t>
  </si>
  <si>
    <t>2020-08-461</t>
  </si>
  <si>
    <t>20HA0130</t>
  </si>
  <si>
    <t>INF-SFO-16-20</t>
  </si>
  <si>
    <t>2020-08-0009</t>
  </si>
  <si>
    <t>philgeps08192020</t>
  </si>
  <si>
    <t>2020-POBLACION-064</t>
  </si>
  <si>
    <t>LGU-SIN-2020-08-225</t>
  </si>
  <si>
    <t>2020-1-06-07-020-220</t>
  </si>
  <si>
    <t>CAL-3812-20</t>
  </si>
  <si>
    <t>upi_2020_023</t>
  </si>
  <si>
    <t>100-2004-025-20%</t>
  </si>
  <si>
    <t>2008-0724-SFP</t>
  </si>
  <si>
    <t>LGU-SIN-2020-08-227</t>
  </si>
  <si>
    <t>DOH-MMCHD 2020-08-270</t>
  </si>
  <si>
    <t>MTO-2020-08-19-001</t>
  </si>
  <si>
    <t>2020-14 (20DI0161)</t>
  </si>
  <si>
    <t>SVP017-2020</t>
  </si>
  <si>
    <t>20-109</t>
  </si>
  <si>
    <t>P.R. No.:DARFO2.QES.115.20-08-060</t>
  </si>
  <si>
    <t>100-20-08-1072</t>
  </si>
  <si>
    <t>2020-50203130 00-222</t>
  </si>
  <si>
    <t>106-20</t>
  </si>
  <si>
    <t>PR-2020-08-0044</t>
  </si>
  <si>
    <t>INFRA-2020-029</t>
  </si>
  <si>
    <t>2020-14 (20DI0160)</t>
  </si>
  <si>
    <t>RFQ 2020-08-0926</t>
  </si>
  <si>
    <t>GOODS-ETG-20-08-018</t>
  </si>
  <si>
    <t>2020-08-0544</t>
  </si>
  <si>
    <t>2020-24</t>
  </si>
  <si>
    <t>2008-0725-SFP</t>
  </si>
  <si>
    <t>GS-2020-13</t>
  </si>
  <si>
    <t>INFRA-2020-030</t>
  </si>
  <si>
    <t>RFQ 2020-08-0914</t>
  </si>
  <si>
    <t>100-1911-069-20%</t>
  </si>
  <si>
    <t>2020bid002</t>
  </si>
  <si>
    <t>DOH-MMCHD 2020-08-268</t>
  </si>
  <si>
    <t>2020-08-283</t>
  </si>
  <si>
    <t>SEF-BSNHS2020-107-04-010</t>
  </si>
  <si>
    <t>2020 Caib 153</t>
  </si>
  <si>
    <t>2020-14 (20DI0162)</t>
  </si>
  <si>
    <t>HILONGOS 2020-253</t>
  </si>
  <si>
    <t>GFP100-2020-08-082</t>
  </si>
  <si>
    <t>RFQ-2020-08-002</t>
  </si>
  <si>
    <t>100-1903-023-20%</t>
  </si>
  <si>
    <t>2020-08-0541 HRMDD</t>
  </si>
  <si>
    <t>F501-RO-063-20</t>
  </si>
  <si>
    <t>20-08-007</t>
  </si>
  <si>
    <t>2020-50203080 00-223</t>
  </si>
  <si>
    <t>2020-059R</t>
  </si>
  <si>
    <t>2020-484</t>
  </si>
  <si>
    <t>20-RFQ-062</t>
  </si>
  <si>
    <t>2020-149</t>
  </si>
  <si>
    <t>Pampango - 06</t>
  </si>
  <si>
    <t>PR # 100-2020-07-0227</t>
  </si>
  <si>
    <t>SAM-2020-31</t>
  </si>
  <si>
    <t>2020-26</t>
  </si>
  <si>
    <t>DM-BAC-2020-0077</t>
  </si>
  <si>
    <t>221-2020-08-01-060</t>
  </si>
  <si>
    <t>081920-R4</t>
  </si>
  <si>
    <t>2020-27</t>
  </si>
  <si>
    <t>DOH-MMCHD 2020-08-269</t>
  </si>
  <si>
    <t>PRDP-RPCOXI-017-2020</t>
  </si>
  <si>
    <t>philgeps 08192020c</t>
  </si>
  <si>
    <t>RFQ 2020-08-0905</t>
  </si>
  <si>
    <t>2020-14 (20DI0163)</t>
  </si>
  <si>
    <t>OC-78(CMO-06) 20 GD</t>
  </si>
  <si>
    <t>upi_2020_024</t>
  </si>
  <si>
    <t>epslingayen2020-99</t>
  </si>
  <si>
    <t>2020-49</t>
  </si>
  <si>
    <t>CP 2020-59 B</t>
  </si>
  <si>
    <t>DOH-MMCHD 2020-08-271</t>
  </si>
  <si>
    <t>20EH0087</t>
  </si>
  <si>
    <t>2020-17</t>
  </si>
  <si>
    <t>RQ 08-029A</t>
  </si>
  <si>
    <t>RFQ No. 20-08-028</t>
  </si>
  <si>
    <t>SDH-20-0988-B</t>
  </si>
  <si>
    <t>RFQ 2020-08-0919</t>
  </si>
  <si>
    <t>DOH-MMCHD 2020-08-273</t>
  </si>
  <si>
    <t>N20-MSWD-128</t>
  </si>
  <si>
    <t>CAD-2020-08-0363</t>
  </si>
  <si>
    <t>Publication No. 39-2020- G (Second Publication)</t>
  </si>
  <si>
    <t>20-46353</t>
  </si>
  <si>
    <t>CP 2020-60 B</t>
  </si>
  <si>
    <t>NTH-20-0810-B</t>
  </si>
  <si>
    <t>RFQ 2020-08-0918</t>
  </si>
  <si>
    <t>PR No. 20-08-263</t>
  </si>
  <si>
    <t>20-08-009</t>
  </si>
  <si>
    <t>2020-08-0018</t>
  </si>
  <si>
    <t>SDH-20-0960-B</t>
  </si>
  <si>
    <t>300-2002-006-TF</t>
  </si>
  <si>
    <t>2020-08-0040</t>
  </si>
  <si>
    <t>20-08-011</t>
  </si>
  <si>
    <t>2020-08-0061</t>
  </si>
  <si>
    <t>RFQ 2020-177</t>
  </si>
  <si>
    <t>Publication No. 41-2020- G (First Publication)</t>
  </si>
  <si>
    <t>CP 2020-61 B</t>
  </si>
  <si>
    <t>CAD-2020-08-0334</t>
  </si>
  <si>
    <t>100-20-07-349</t>
  </si>
  <si>
    <t>LGUCQ-G-2020-08-0020</t>
  </si>
  <si>
    <t>2020-262</t>
  </si>
  <si>
    <t>RFQ-GS-20200721-04</t>
  </si>
  <si>
    <t>2020 Caib 154</t>
  </si>
  <si>
    <t>Publication No. 40-2020- G (Second Publication)</t>
  </si>
  <si>
    <t>2020-POBLACION-065</t>
  </si>
  <si>
    <t>DOH-MMCHD 2020-08-272</t>
  </si>
  <si>
    <t>2020-903-001</t>
  </si>
  <si>
    <t>20-08-012</t>
  </si>
  <si>
    <t>20-08-217</t>
  </si>
  <si>
    <t>Publication No. 43-2020- G (First Publication)</t>
  </si>
  <si>
    <t>OC-80(CMO-07) 20 GD</t>
  </si>
  <si>
    <t>SDH-20-0959-B</t>
  </si>
  <si>
    <t>20201822</t>
  </si>
  <si>
    <t>2020-263</t>
  </si>
  <si>
    <t>2008-0727-SFP</t>
  </si>
  <si>
    <t>2020-28</t>
  </si>
  <si>
    <t>20-46393</t>
  </si>
  <si>
    <t>081920-D01</t>
  </si>
  <si>
    <t>ITB-2020-08-015</t>
  </si>
  <si>
    <t>Publication No. 44-2020- G (First Publication)</t>
  </si>
  <si>
    <t>DOH-MMCHD 2020-08-274</t>
  </si>
  <si>
    <t>OC-79(GSO-05) 20 GD</t>
  </si>
  <si>
    <t>20201821</t>
  </si>
  <si>
    <t>081920-D02</t>
  </si>
  <si>
    <t>2020-91</t>
  </si>
  <si>
    <t>8000-3-01-010-009-001-011</t>
  </si>
  <si>
    <t>20GCJ0064</t>
  </si>
  <si>
    <t>INFRA 20-12-38: PACKAGE 20-38</t>
  </si>
  <si>
    <t>CW-2020-008</t>
  </si>
  <si>
    <t>20-08-013</t>
  </si>
  <si>
    <t>LGUCQ-G-2020-08-0022</t>
  </si>
  <si>
    <t>100-2003-024-20%</t>
  </si>
  <si>
    <t>IB No. 2020-030</t>
  </si>
  <si>
    <t>2020-52</t>
  </si>
  <si>
    <t>2020-53</t>
  </si>
  <si>
    <t>RFQ-GS-20200806-01</t>
  </si>
  <si>
    <t>bac-20-0819s</t>
  </si>
  <si>
    <t>LGUCQ-G-2020-08-0021</t>
  </si>
  <si>
    <t>GF20044</t>
  </si>
  <si>
    <t>AL-LFP-008-2020RFQ</t>
  </si>
  <si>
    <t>AREA V- 2020-SVP-041</t>
  </si>
  <si>
    <t>20-028</t>
  </si>
  <si>
    <t>Publication No. 42-2020- G (First Publication)</t>
  </si>
  <si>
    <t>Publication No. 45-2020- G (First Publication)</t>
  </si>
  <si>
    <t>0866620</t>
  </si>
  <si>
    <t>RFQ-GS-20200817-04</t>
  </si>
  <si>
    <t>G-008-2020</t>
  </si>
  <si>
    <t>107-09-010</t>
  </si>
  <si>
    <t>20-08-14-156</t>
  </si>
  <si>
    <t>BAC2020-27</t>
  </si>
  <si>
    <t>PR NO. 100-1192-3-20-03-0359</t>
  </si>
  <si>
    <t>19C00094</t>
  </si>
  <si>
    <t>CWD 41-2020</t>
  </si>
  <si>
    <t>RFQ 2020-08-031</t>
  </si>
  <si>
    <t>ITB No. Goods-2020-08-009</t>
  </si>
  <si>
    <t>PROCUREMENT OF I.C.T. EQUIPMENT FOR THE USE OF SCH</t>
  </si>
  <si>
    <t>RFQ 2020-08-032</t>
  </si>
  <si>
    <t>00007-20-0713-0295</t>
  </si>
  <si>
    <t>Publication No. 46-2020- G (First Publication)</t>
  </si>
  <si>
    <t>2132</t>
  </si>
  <si>
    <t>2020-54</t>
  </si>
  <si>
    <t>GOODS-20-44</t>
  </si>
  <si>
    <t>20-0056-08</t>
  </si>
  <si>
    <t>2020 ITB - 041</t>
  </si>
  <si>
    <t>2020-206</t>
  </si>
  <si>
    <t>20-08-014</t>
  </si>
  <si>
    <t>2008-0728-SFP</t>
  </si>
  <si>
    <t>081920-D03</t>
  </si>
  <si>
    <t>ITB # 2020-53</t>
  </si>
  <si>
    <t>UPLB-RES-040-09-20 CHEMICALS AND CHEMICAL PRODUCTS</t>
  </si>
  <si>
    <t>20-08-019</t>
  </si>
  <si>
    <t>2020-08-140</t>
  </si>
  <si>
    <t>RFQ-2020-44</t>
  </si>
  <si>
    <t>2008-0729-SFP</t>
  </si>
  <si>
    <t>CW-2020-009</t>
  </si>
  <si>
    <t>ITB # 2020-54</t>
  </si>
  <si>
    <t>S00374-2020</t>
  </si>
  <si>
    <t>064-20</t>
  </si>
  <si>
    <t>20056</t>
  </si>
  <si>
    <t>AL-LFP-009-2020RFQ</t>
  </si>
  <si>
    <t>210-2020 RFQ</t>
  </si>
  <si>
    <t>2020-55</t>
  </si>
  <si>
    <t>20-029</t>
  </si>
  <si>
    <t>08068120</t>
  </si>
  <si>
    <t>108</t>
  </si>
  <si>
    <t>20-444</t>
  </si>
  <si>
    <t>211-2020</t>
  </si>
  <si>
    <t>GPG-B1-2020-085-ASIAN UTILITY VEHICLE</t>
  </si>
  <si>
    <t>PRN 2020-029</t>
  </si>
  <si>
    <t>IB No. 2020-031-I</t>
  </si>
  <si>
    <t>2020 ITB - 042</t>
  </si>
  <si>
    <t>20061</t>
  </si>
  <si>
    <t>20NA0079</t>
  </si>
  <si>
    <t>20-030</t>
  </si>
  <si>
    <t>08066720</t>
  </si>
  <si>
    <t>RFQ-NP-SVP-373-2020</t>
  </si>
  <si>
    <t>RFQ 2020-08-035</t>
  </si>
  <si>
    <t>2020-0007</t>
  </si>
  <si>
    <t>S-287-2020</t>
  </si>
  <si>
    <t>212-2020</t>
  </si>
  <si>
    <t>20-07-0343</t>
  </si>
  <si>
    <t>80019012020</t>
  </si>
  <si>
    <t>2077</t>
  </si>
  <si>
    <t>Publication No. 49-2020- G (First Publication)</t>
  </si>
  <si>
    <t>20-08-065</t>
  </si>
  <si>
    <t>AL-LFP-010-2020RFQ</t>
  </si>
  <si>
    <t>ITB No. Goods-2020-23</t>
  </si>
  <si>
    <t>PR. 20-08-305 (2020-08-299)</t>
  </si>
  <si>
    <t>Publication No. 50-2020- G (First Publication)</t>
  </si>
  <si>
    <t>RFQ-NP-SVP-366-2020</t>
  </si>
  <si>
    <t>RFQ 2020-08-034</t>
  </si>
  <si>
    <t>AREA V- 2020-SVP-042</t>
  </si>
  <si>
    <t>naguelguel2020-02</t>
  </si>
  <si>
    <t>20013</t>
  </si>
  <si>
    <t>1432</t>
  </si>
  <si>
    <t>2020-008-002</t>
  </si>
  <si>
    <t>NCIP-2020-08-029</t>
  </si>
  <si>
    <t>PR NO. 100-1091-20-08-0845</t>
  </si>
  <si>
    <t>80019032020</t>
  </si>
  <si>
    <t>Publication No. 48-2020- G (First Publication)</t>
  </si>
  <si>
    <t>AL-LFP-011-2020RFQ</t>
  </si>
  <si>
    <t>RFQ 2020-08-033</t>
  </si>
  <si>
    <t>20CSEB06</t>
  </si>
  <si>
    <t>2008-0730-SFP</t>
  </si>
  <si>
    <t>20IH0114</t>
  </si>
  <si>
    <t>213-2020</t>
  </si>
  <si>
    <t>20CB-GSC-540	PURCHASE OF SPARE PARTS FOR HEAVY EQU</t>
  </si>
  <si>
    <t>BAC2020-28</t>
  </si>
  <si>
    <t>2020 - 08 - 027 (143 - Shopping)</t>
  </si>
  <si>
    <t>20016</t>
  </si>
  <si>
    <t>PR 175-08-2020</t>
  </si>
  <si>
    <t>20GP00131</t>
  </si>
  <si>
    <t>2020 Caib 155</t>
  </si>
  <si>
    <t>20202-08-02</t>
  </si>
  <si>
    <t>20-08-018</t>
  </si>
  <si>
    <t>NCIP-2020-08-031</t>
  </si>
  <si>
    <t>20IH0116</t>
  </si>
  <si>
    <t>80019022020</t>
  </si>
  <si>
    <t>MAGSALANGI-INFR-2020-08-01</t>
  </si>
  <si>
    <t>0402020</t>
  </si>
  <si>
    <t>20IH0113</t>
  </si>
  <si>
    <t>CW 20-09</t>
  </si>
  <si>
    <t>20IH0115</t>
  </si>
  <si>
    <t>2020-08-119</t>
  </si>
  <si>
    <t>2020 - 08 - 027 (145 - Shopping)</t>
  </si>
  <si>
    <t>2020-08-108</t>
  </si>
  <si>
    <t>STLU-028-2020</t>
  </si>
  <si>
    <t>ITB11-INFRA-LEGISLATIVE BUILDING</t>
  </si>
  <si>
    <t>PRN 2020-030</t>
  </si>
  <si>
    <t>UPLB-RES-041-09-20 GENOTYPING-BY-SEQUENCING FOR IP</t>
  </si>
  <si>
    <t>ITB No. Goods-2020-7</t>
  </si>
  <si>
    <t>CAL-0001I-2020</t>
  </si>
  <si>
    <t>2020 DTI-OTOP Next Gen Fabrication of Frame and Co</t>
  </si>
  <si>
    <t>20-08-0162</t>
  </si>
  <si>
    <t>21CSGI0002</t>
  </si>
  <si>
    <t>RFQ-NP-SVP-re357-2020</t>
  </si>
  <si>
    <t>GEPS-01-2020</t>
  </si>
  <si>
    <t>202150</t>
  </si>
  <si>
    <t>2020 Caib 156</t>
  </si>
  <si>
    <t>0412020</t>
  </si>
  <si>
    <t>2020237</t>
  </si>
  <si>
    <t>2020239</t>
  </si>
  <si>
    <t>LGUCQ-G-2020-08-0023</t>
  </si>
  <si>
    <t>202008081</t>
  </si>
  <si>
    <t>P.R NO 0796 SERIES 2020</t>
  </si>
  <si>
    <t>08-2020-TF544</t>
  </si>
  <si>
    <t>202008082</t>
  </si>
  <si>
    <t>Goods2020-061</t>
  </si>
  <si>
    <t>2020-08-041</t>
  </si>
  <si>
    <t>PRN 2020-031</t>
  </si>
  <si>
    <t>NCIP-2020-08-030</t>
  </si>
  <si>
    <t>SVP-2020-08-188</t>
  </si>
  <si>
    <t>OMSC RFQ 20-037</t>
  </si>
  <si>
    <t>2020-08-005-03</t>
  </si>
  <si>
    <t>2020-08-02-jhs</t>
  </si>
  <si>
    <t>BCD-2020-059</t>
  </si>
  <si>
    <t>20-08-104-N</t>
  </si>
  <si>
    <t>08192020-2</t>
  </si>
  <si>
    <t>SDO GOODS 2020-046</t>
  </si>
  <si>
    <t>NCIP-2020-08-032</t>
  </si>
  <si>
    <t>8192020-1</t>
  </si>
  <si>
    <t>20-02-0073 Re-Bid</t>
  </si>
  <si>
    <t>20025;20026</t>
  </si>
  <si>
    <t>RFQ-NP-SVP-1re242-2020</t>
  </si>
  <si>
    <t>2020242</t>
  </si>
  <si>
    <t>SVP-2020-08-189</t>
  </si>
  <si>
    <t>PRN 2020-032</t>
  </si>
  <si>
    <t>2020-08-005-01</t>
  </si>
  <si>
    <t>20-07-0417</t>
  </si>
  <si>
    <t>ITB12-GOODS-WHEEL LOADER</t>
  </si>
  <si>
    <t>2020241</t>
  </si>
  <si>
    <t>21CSGI0003</t>
  </si>
  <si>
    <t>MinSCAT ITB 2020-11</t>
  </si>
  <si>
    <t>OMSC RFQ 20-038</t>
  </si>
  <si>
    <t>2020 - 08 - 027 (144 - Shopping)</t>
  </si>
  <si>
    <t>RFQ-009-2020</t>
  </si>
  <si>
    <t>S00375-2020</t>
  </si>
  <si>
    <t>RFQ-007-2020</t>
  </si>
  <si>
    <t>RFQ-010-2020</t>
  </si>
  <si>
    <t>2020-08-20-02</t>
  </si>
  <si>
    <t>LGU-Camalig-Goods-39</t>
  </si>
  <si>
    <t xml:space="preserve">10 pcs Automotive Battery  (G/MF65/DIN65) -Supply </t>
  </si>
  <si>
    <t>RFQ No. 2020-08-044</t>
  </si>
  <si>
    <t>WOR 20-006</t>
  </si>
  <si>
    <t>NCIP-2020-08-034</t>
  </si>
  <si>
    <t>2020-08-20-04</t>
  </si>
  <si>
    <t>2020-08-20-03</t>
  </si>
  <si>
    <t>WOR 20-007</t>
  </si>
  <si>
    <t>2020-62-05</t>
  </si>
  <si>
    <t>RFQ-008-2020</t>
  </si>
  <si>
    <t>PR No. 1000033583 dated 17 July 2020</t>
  </si>
  <si>
    <t>Goods2020-062</t>
  </si>
  <si>
    <t>2020244</t>
  </si>
  <si>
    <t>8192020-4</t>
  </si>
  <si>
    <t>NCIP-2020-08-033</t>
  </si>
  <si>
    <t>19-11-1126 Re-bid</t>
  </si>
  <si>
    <t>CNU Procurement for Tables with Drawer No.20-08-26</t>
  </si>
  <si>
    <t>2020243</t>
  </si>
  <si>
    <t>2020-3Q058</t>
  </si>
  <si>
    <t>BACONG 003-2020</t>
  </si>
  <si>
    <t>20-04-0206</t>
  </si>
  <si>
    <t>PR-2020-08-012</t>
  </si>
  <si>
    <t>2020240</t>
  </si>
  <si>
    <t>2020246</t>
  </si>
  <si>
    <t>2020245</t>
  </si>
  <si>
    <t>20-08-379</t>
  </si>
  <si>
    <t>P.R NO 0803 SERIES 2020</t>
  </si>
  <si>
    <t>38-2020</t>
  </si>
  <si>
    <t>2020-08-115</t>
  </si>
  <si>
    <t>PR-2020-08-011</t>
  </si>
  <si>
    <t>P.R NO 0804 SERIES 2020</t>
  </si>
  <si>
    <t>2020-008-018</t>
  </si>
  <si>
    <t>Infra GF 09-2020</t>
  </si>
  <si>
    <t>2020-08-104</t>
  </si>
  <si>
    <t>20-08-0273</t>
  </si>
  <si>
    <t>2020-008-017</t>
  </si>
  <si>
    <t>20-01-0143</t>
  </si>
  <si>
    <t>2020-07-089</t>
  </si>
  <si>
    <t>PRRI-2020-043</t>
  </si>
  <si>
    <t>2020248</t>
  </si>
  <si>
    <t>2020247</t>
  </si>
  <si>
    <t>SF-GOODS-2020-0011</t>
  </si>
  <si>
    <t>20-08-0272</t>
  </si>
  <si>
    <t>PB 2020-21</t>
  </si>
  <si>
    <t>08-89-2020</t>
  </si>
  <si>
    <t>ITB 2020-04</t>
  </si>
  <si>
    <t>08-88-2020</t>
  </si>
  <si>
    <t>DSWD 4B 2020-08-0767</t>
  </si>
  <si>
    <t>SVP 2020-22</t>
  </si>
  <si>
    <t>BACGbtn-S-2008-514</t>
  </si>
  <si>
    <t>ECC-Supply 2020-08-028</t>
  </si>
  <si>
    <t>20-08-0163</t>
  </si>
  <si>
    <t>2008-0732-SFP</t>
  </si>
  <si>
    <t>RFQ 2020-590</t>
  </si>
  <si>
    <t>Publication No. 47-2020- G (First Publication)</t>
  </si>
  <si>
    <t>SVP 2020-20</t>
  </si>
  <si>
    <t>37-2020</t>
  </si>
  <si>
    <t>CW 20-08</t>
  </si>
  <si>
    <t>SVP-2020-08-190</t>
  </si>
  <si>
    <t>CW-2020-007</t>
  </si>
  <si>
    <t>2020-76</t>
  </si>
  <si>
    <t>SVP-2020-08-187</t>
  </si>
  <si>
    <t>0101-2020</t>
  </si>
  <si>
    <t>2020-08-0217 SAD</t>
  </si>
  <si>
    <t>2020-POBLACION-066</t>
  </si>
  <si>
    <t>ITB No. 2020-05</t>
  </si>
  <si>
    <t>BAC-IB NO. 2020-35</t>
  </si>
  <si>
    <t>IPH-20-0715-B</t>
  </si>
  <si>
    <t>ITB-048-2020</t>
  </si>
  <si>
    <t>2020250</t>
  </si>
  <si>
    <t>2020-08-056</t>
  </si>
  <si>
    <t>G2020-08-004</t>
  </si>
  <si>
    <t>2020249</t>
  </si>
  <si>
    <t>IPH-20-0374-B</t>
  </si>
  <si>
    <t>SVP-2020-08-191</t>
  </si>
  <si>
    <t>P.R NO 0808 SERIES 2020</t>
  </si>
  <si>
    <t>100-08-449</t>
  </si>
  <si>
    <t>20-08-0278</t>
  </si>
  <si>
    <t>BAC-IB NO. 2020-36</t>
  </si>
  <si>
    <t>ITB 2020-DSWD-CAR-19</t>
  </si>
  <si>
    <t>08-018-20</t>
  </si>
  <si>
    <t>2020-TIGASAO-GOOD-05</t>
  </si>
  <si>
    <t>2020-114</t>
  </si>
  <si>
    <t>2020-105-101</t>
  </si>
  <si>
    <t>08-019-20</t>
  </si>
  <si>
    <t>2020-75</t>
  </si>
  <si>
    <t>2020-B6-01</t>
  </si>
  <si>
    <t>20GOE0033</t>
  </si>
  <si>
    <t>2020-B6-02</t>
  </si>
  <si>
    <t>300-07-011</t>
  </si>
  <si>
    <t>2020-B6-04</t>
  </si>
  <si>
    <t>2020-08-0210 HMD</t>
  </si>
  <si>
    <t>P.R NO 0807 SERIES 2020</t>
  </si>
  <si>
    <t>2020-B6-03</t>
  </si>
  <si>
    <t>2020-008-019</t>
  </si>
  <si>
    <t>08-021-20</t>
  </si>
  <si>
    <t>2020251</t>
  </si>
  <si>
    <t>787-20</t>
  </si>
  <si>
    <t>ITB 2020-DSWD-CAR-20</t>
  </si>
  <si>
    <t>RFQ-DARFO12-2020-0718</t>
  </si>
  <si>
    <t>788-20</t>
  </si>
  <si>
    <t>2020-B6-10</t>
  </si>
  <si>
    <t>2020-B6-12</t>
  </si>
  <si>
    <t>2020-B6-09</t>
  </si>
  <si>
    <t>2020-B6-08</t>
  </si>
  <si>
    <t>08-015-20</t>
  </si>
  <si>
    <t>2020-B6-07</t>
  </si>
  <si>
    <t>08-013-20</t>
  </si>
  <si>
    <t>RFQ No. 1144-20</t>
  </si>
  <si>
    <t>IPH-20-0687-B</t>
  </si>
  <si>
    <t>07-046-20</t>
  </si>
  <si>
    <t>RFQ No. 1156-20</t>
  </si>
  <si>
    <t>HSCTR-EM-0022-2020 R &amp; M Other Machinery and Equip</t>
  </si>
  <si>
    <t>03-034-20</t>
  </si>
  <si>
    <t>08-008-20</t>
  </si>
  <si>
    <t>RFQ No. 1158-20</t>
  </si>
  <si>
    <t>PR20-DEPED01-2026AUGSEP08</t>
  </si>
  <si>
    <t>08-009-20</t>
  </si>
  <si>
    <t>Invitation to Bid No. 2020-06</t>
  </si>
  <si>
    <t>2020-B6-11</t>
  </si>
  <si>
    <t>1052-20</t>
  </si>
  <si>
    <t>1042-20</t>
  </si>
  <si>
    <t>OC-85(CEO-27) 20 CW</t>
  </si>
  <si>
    <t>2020-0104</t>
  </si>
  <si>
    <t>07-051-20</t>
  </si>
  <si>
    <t>2020-SH-007</t>
  </si>
  <si>
    <t>08-011-20</t>
  </si>
  <si>
    <t>082020</t>
  </si>
  <si>
    <t>RFQ No. 1132-20</t>
  </si>
  <si>
    <t>OC-84(CEO-26) 20 CW</t>
  </si>
  <si>
    <t>RFQ No. 1150-20</t>
  </si>
  <si>
    <t>2020-S033</t>
  </si>
  <si>
    <t>RFQ No. 1134-20</t>
  </si>
  <si>
    <t>OC-82(CEO-24) 20 CW</t>
  </si>
  <si>
    <t>RFQ No. 1136-20</t>
  </si>
  <si>
    <t>RFQ No. 1138-20</t>
  </si>
  <si>
    <t>RFQ No. 1143-20</t>
  </si>
  <si>
    <t>Maribi-2020-08-001</t>
  </si>
  <si>
    <t>RFQ No. 1135-20</t>
  </si>
  <si>
    <t>Kiling-2020-08-001</t>
  </si>
  <si>
    <t>08-003-20</t>
  </si>
  <si>
    <t>OC-81(CEO-23) 20 CW</t>
  </si>
  <si>
    <t>08-010-20</t>
  </si>
  <si>
    <t>1024-20</t>
  </si>
  <si>
    <t>2020-B6-06</t>
  </si>
  <si>
    <t>08-016-20</t>
  </si>
  <si>
    <t>2020-B6-05</t>
  </si>
  <si>
    <t>20-08-0275</t>
  </si>
  <si>
    <t>01-004-20</t>
  </si>
  <si>
    <t>08-017-20</t>
  </si>
  <si>
    <t>001(A) - GUILANG-GUILANG - 2020</t>
  </si>
  <si>
    <t>2020-B6-13</t>
  </si>
  <si>
    <t>2020-102</t>
  </si>
  <si>
    <t>RFQ-GS-20200805-01</t>
  </si>
  <si>
    <t>IB-08192020</t>
  </si>
  <si>
    <t>2008-0726-SFP</t>
  </si>
  <si>
    <t>20-08-010</t>
  </si>
  <si>
    <t>2020-08-378</t>
  </si>
  <si>
    <t>PR NO. 2020-08-025</t>
  </si>
  <si>
    <t>PR # 100-2020-07-0194</t>
  </si>
  <si>
    <t>081920-R5</t>
  </si>
  <si>
    <t>2020-90</t>
  </si>
  <si>
    <t>2020-08-0285</t>
  </si>
  <si>
    <t>Pampango - 05</t>
  </si>
  <si>
    <t>2020-08-19-A</t>
  </si>
  <si>
    <t>RFQ 2020-08-0892</t>
  </si>
  <si>
    <t>CSAT 2020</t>
  </si>
  <si>
    <t>LGU-Valencia, Bohol 2020-076</t>
  </si>
  <si>
    <t>RFQ 2020-08-0874</t>
  </si>
  <si>
    <t>PR20-DEPED02-2026AUGSEP08</t>
  </si>
  <si>
    <t>08-20-2020-01</t>
  </si>
  <si>
    <t>2020-GOODS-01</t>
  </si>
  <si>
    <t>20-08-137</t>
  </si>
  <si>
    <t>G2020-08-01</t>
  </si>
  <si>
    <t>AGINF2020-0820B</t>
  </si>
  <si>
    <t>2020-020-A</t>
  </si>
  <si>
    <t>2020-25</t>
  </si>
  <si>
    <t>NPSVP-2020-95</t>
  </si>
  <si>
    <t>2020-786-102</t>
  </si>
  <si>
    <t>DEPED-BEFF2020F-TAGUM CITY</t>
  </si>
  <si>
    <t>AGINF2020-0820C</t>
  </si>
  <si>
    <t>NPSVP-2020-94</t>
  </si>
  <si>
    <t>2020-08-80</t>
  </si>
  <si>
    <t>PR20-MOC003-2027AUG08SEP</t>
  </si>
  <si>
    <t>ITB No. DSWD7-PB-2020-29</t>
  </si>
  <si>
    <t>Invitation to Bid (IB2020-067)</t>
  </si>
  <si>
    <t>08-20-2020-05</t>
  </si>
  <si>
    <t>PR20-MOC002-2027AUG08SEP</t>
  </si>
  <si>
    <t>08-20-2020-03</t>
  </si>
  <si>
    <t>2020-94-103</t>
  </si>
  <si>
    <t>2020-8-19-6</t>
  </si>
  <si>
    <t>H-036-0600-20</t>
  </si>
  <si>
    <t>20M00193</t>
  </si>
  <si>
    <t>PR20-MOC001-2027AUG08SEP</t>
  </si>
  <si>
    <t>MG-PLM20-088 (RE-BID)</t>
  </si>
  <si>
    <t>08-20-2020-04</t>
  </si>
  <si>
    <t>ITB No. DSWD7-PB-2020-30</t>
  </si>
  <si>
    <t>PUBLIC BIDDING PR NO. 126-2020</t>
  </si>
  <si>
    <t>2020-0080 dated 10 August 2020</t>
  </si>
  <si>
    <t>2020-08-19-B</t>
  </si>
  <si>
    <t>2020-002-Alibago</t>
  </si>
  <si>
    <t>1524168</t>
  </si>
  <si>
    <t>2020-842-040</t>
  </si>
  <si>
    <t>G2020-08-02</t>
  </si>
  <si>
    <t>20-08-199</t>
  </si>
  <si>
    <t>08-20-2020-02</t>
  </si>
  <si>
    <t>2020-0105</t>
  </si>
  <si>
    <t>NPSVP-2020-93</t>
  </si>
  <si>
    <t>G2020-08-03</t>
  </si>
  <si>
    <t>MISC-2020-08-154</t>
  </si>
  <si>
    <t>08-022-20</t>
  </si>
  <si>
    <t>2020-1-06-07-020-028</t>
  </si>
  <si>
    <t>PROCUREMENT OF MEDICINES, MEDICAL, LABORATORY AND</t>
  </si>
  <si>
    <t>20CSGH02</t>
  </si>
  <si>
    <t>ITDI-200280</t>
  </si>
  <si>
    <t>08-005-20</t>
  </si>
  <si>
    <t>ITB No. Goods-2020-24</t>
  </si>
  <si>
    <t>06-Goods-2020</t>
  </si>
  <si>
    <t>08-20-2020-07</t>
  </si>
  <si>
    <t>2020-0375</t>
  </si>
  <si>
    <t>ML-2020-04-23</t>
  </si>
  <si>
    <t>RFQ No. 1152-20</t>
  </si>
  <si>
    <t>ML-2020-04-22</t>
  </si>
  <si>
    <t>ML-2020-02-21</t>
  </si>
  <si>
    <t>ML-2020-02-20</t>
  </si>
  <si>
    <t>ML-2020-02-19</t>
  </si>
  <si>
    <t>2020-08-19-C</t>
  </si>
  <si>
    <t>08-20-2020-06</t>
  </si>
  <si>
    <t>INFRASIB-2020-25</t>
  </si>
  <si>
    <t>2020-08-19-D</t>
  </si>
  <si>
    <t>SMV AUGUST 2020-002</t>
  </si>
  <si>
    <t>PR#20-08-1045</t>
  </si>
  <si>
    <t>081920-R3</t>
  </si>
  <si>
    <t>RFQ 2020-08-0925</t>
  </si>
  <si>
    <t>099-20</t>
  </si>
  <si>
    <t>081920-R1</t>
  </si>
  <si>
    <t>2020-Barangay Darahuway daco</t>
  </si>
  <si>
    <t>INFRA-CNO-20-0010</t>
  </si>
  <si>
    <t>2020-Barangay Old mahayag-003</t>
  </si>
  <si>
    <t>Barangay Erenas Payao-003-2020</t>
  </si>
  <si>
    <t>ITB No. 2020-32</t>
  </si>
  <si>
    <t>BLGU-SL-2020-01</t>
  </si>
  <si>
    <t>INFRA-CNO-20-0012</t>
  </si>
  <si>
    <t>ITB NO. 2020-008-040</t>
  </si>
  <si>
    <t>INFRA-CNO-20-0011</t>
  </si>
  <si>
    <t>JR# 020-0077</t>
  </si>
  <si>
    <t>TAL-09-01-2020</t>
  </si>
  <si>
    <t>4</t>
  </si>
  <si>
    <t>020-05-17</t>
  </si>
  <si>
    <t>020-05-16</t>
  </si>
  <si>
    <t>2020-15</t>
  </si>
  <si>
    <t>SP3001-04</t>
  </si>
  <si>
    <t>AGINF2020-0820A</t>
  </si>
  <si>
    <t>SW-1008-2020-0112</t>
  </si>
  <si>
    <t>GOV-20-0377-B</t>
  </si>
  <si>
    <t>CRN-PB-026-GOODS-2020</t>
  </si>
  <si>
    <t>20CSF002</t>
  </si>
  <si>
    <t>100-20-07-0822</t>
  </si>
  <si>
    <t>17202008077</t>
  </si>
  <si>
    <t>17202008076</t>
  </si>
  <si>
    <t>17202008075</t>
  </si>
  <si>
    <t>17202008074</t>
  </si>
  <si>
    <t>19CSF009</t>
  </si>
  <si>
    <t>CRN-PB-0011-GOODS-2020</t>
  </si>
  <si>
    <t>19K00473</t>
  </si>
  <si>
    <t>ITB NO: 2020-008-043</t>
  </si>
  <si>
    <t>NFA-R02-BAC-H-01</t>
  </si>
  <si>
    <t>19K00474</t>
  </si>
  <si>
    <t>20-07-06</t>
  </si>
  <si>
    <t>ITB 2020-08-01</t>
  </si>
  <si>
    <t>CRN-PB-025-GOODS-2020</t>
  </si>
  <si>
    <t>100-20-07-0829</t>
  </si>
  <si>
    <t>2020-142</t>
  </si>
  <si>
    <t>ITB NO: 2020-008-042</t>
  </si>
  <si>
    <t>2020-141</t>
  </si>
  <si>
    <t>100-07-445</t>
  </si>
  <si>
    <t>B18-3</t>
  </si>
  <si>
    <t>IB NO. N-2020-08-121</t>
  </si>
  <si>
    <t>100-20-08--0842</t>
  </si>
  <si>
    <t>2020-140</t>
  </si>
  <si>
    <t>100-20-07-0774</t>
  </si>
  <si>
    <t>B18-2</t>
  </si>
  <si>
    <t>200(01)20-08-122(Q)</t>
  </si>
  <si>
    <t>B18-4</t>
  </si>
  <si>
    <t>200(01)20-08-468(A)</t>
  </si>
  <si>
    <t>19CSK00060</t>
  </si>
  <si>
    <t>INFRA-20-08-0898</t>
  </si>
  <si>
    <t>20200819a</t>
  </si>
  <si>
    <t>100-20-08-0888</t>
  </si>
  <si>
    <t>200-20-08-0882</t>
  </si>
  <si>
    <t>20200819b</t>
  </si>
  <si>
    <t>ITB-20-056</t>
  </si>
  <si>
    <t>ADH-20-0958-B</t>
  </si>
  <si>
    <t>ITB-20-054</t>
  </si>
  <si>
    <t>B18-6</t>
  </si>
  <si>
    <t>B18-5</t>
  </si>
  <si>
    <t>5842-clsu-2020</t>
  </si>
  <si>
    <t>LLFC-GAP-20-001</t>
  </si>
  <si>
    <t>ITB-20-065</t>
  </si>
  <si>
    <t>ITB-20-055</t>
  </si>
  <si>
    <t>ITB-20-052</t>
  </si>
  <si>
    <t>ITB-20-063</t>
  </si>
  <si>
    <t>ITB-20-062</t>
  </si>
  <si>
    <t>2020-143</t>
  </si>
  <si>
    <t>ITB-20-061</t>
  </si>
  <si>
    <t>ITB-20-058</t>
  </si>
  <si>
    <t>ITB-20-057</t>
  </si>
  <si>
    <t>ITB-20-064</t>
  </si>
  <si>
    <t>ITB-20-059</t>
  </si>
  <si>
    <t>ITB-20-060</t>
  </si>
  <si>
    <t>BQ-Goods-2020-015</t>
  </si>
  <si>
    <t>ITB-20-066</t>
  </si>
  <si>
    <t>BQ-Goods-2020-013</t>
  </si>
  <si>
    <t>BQ-Goods-2020-012</t>
  </si>
  <si>
    <t>20-1679</t>
  </si>
  <si>
    <t>ITB-20-070</t>
  </si>
  <si>
    <t>ITB-20-069</t>
  </si>
  <si>
    <t>SJPOB-2020-05</t>
  </si>
  <si>
    <t>ITB-20-067</t>
  </si>
  <si>
    <t>20200001</t>
  </si>
  <si>
    <t>BQ-Goods-2020-014</t>
  </si>
  <si>
    <t>G-2020-542</t>
  </si>
  <si>
    <t>PRDP-IB-R007-SIQ-002-000-000-2017-AF-R1</t>
  </si>
  <si>
    <t>G-2020-544</t>
  </si>
  <si>
    <t>G-2020-534</t>
  </si>
  <si>
    <t>G-2020-488</t>
  </si>
  <si>
    <t>G-2020-497</t>
  </si>
  <si>
    <t>G-2020-541</t>
  </si>
  <si>
    <t>G-2020-543</t>
  </si>
  <si>
    <t>100-20-07-0028</t>
  </si>
  <si>
    <t>G-2020-535</t>
  </si>
  <si>
    <t>20PE0003(G)</t>
  </si>
  <si>
    <t>2020-693-07</t>
  </si>
  <si>
    <t>2020-727-08</t>
  </si>
  <si>
    <t>24-2020_INFR</t>
  </si>
  <si>
    <t>2020-PB-10</t>
  </si>
  <si>
    <t>G-2020-516</t>
  </si>
  <si>
    <t>20GF00003</t>
  </si>
  <si>
    <t>BFPXI-3Q20-024</t>
  </si>
  <si>
    <t>20-08-0183</t>
  </si>
  <si>
    <t>202008-003</t>
  </si>
  <si>
    <t>I-2020-021</t>
  </si>
  <si>
    <t>ITB-20-068</t>
  </si>
  <si>
    <t>2020-023-II</t>
  </si>
  <si>
    <t>B2820-0817 itb</t>
  </si>
  <si>
    <t>ROSAL-0462-2020</t>
  </si>
  <si>
    <t>BAC-GS-001-2020-B</t>
  </si>
  <si>
    <t>PR2020</t>
  </si>
  <si>
    <t>2020-03-5</t>
  </si>
  <si>
    <t>B18-9</t>
  </si>
  <si>
    <t>B18-8</t>
  </si>
  <si>
    <t>2020-755-08</t>
  </si>
  <si>
    <t>B18-7</t>
  </si>
  <si>
    <t>2020-751-08</t>
  </si>
  <si>
    <t>BP 200-20-07-08434</t>
  </si>
  <si>
    <t>100-20-07-0135</t>
  </si>
  <si>
    <t>PEPO 200-20-08-10020</t>
  </si>
  <si>
    <t>2020-03-3</t>
  </si>
  <si>
    <t>2020-PB-11</t>
  </si>
  <si>
    <t>20-8-92-POS-IMSD</t>
  </si>
  <si>
    <t>PPC-BAC-2020-07</t>
  </si>
  <si>
    <t>PPC-BAC-2020-06</t>
  </si>
  <si>
    <t>JCH-20-0231-B(RE-BID)</t>
  </si>
  <si>
    <t>JR2020-08-00011</t>
  </si>
  <si>
    <t>100-2020-08-0082</t>
  </si>
  <si>
    <t>G-2020-545</t>
  </si>
  <si>
    <t>100-20-07-0819</t>
  </si>
  <si>
    <t>JCH-20-0174-B(RE-BID2)</t>
  </si>
  <si>
    <t>2020-03-4</t>
  </si>
  <si>
    <t>100-20-08-0859</t>
  </si>
  <si>
    <t>B18-14</t>
  </si>
  <si>
    <t>B18-16</t>
  </si>
  <si>
    <t>G-2020-517</t>
  </si>
  <si>
    <t>B18-15</t>
  </si>
  <si>
    <t>lgualtavasaklan2020-16</t>
  </si>
  <si>
    <t>B18-12</t>
  </si>
  <si>
    <t>RTH-20-0709-B</t>
  </si>
  <si>
    <t>2020-760-08</t>
  </si>
  <si>
    <t>2020-750-08</t>
  </si>
  <si>
    <t>20-08-0001</t>
  </si>
  <si>
    <t>100(18)20-08-535(O)</t>
  </si>
  <si>
    <t>200(18)20-07-468(O)</t>
  </si>
  <si>
    <t>RTH-20-0180-B(RE-BID2)</t>
  </si>
  <si>
    <t>RTH-20-0214-B(RE-BID)</t>
  </si>
  <si>
    <t>PB NO. 2020-053</t>
  </si>
  <si>
    <t>RTH-20-0177-B(RE-BID2)</t>
  </si>
  <si>
    <t>SVP No. BB-2020-08-005</t>
  </si>
  <si>
    <t>PPC-BAC-2020-05</t>
  </si>
  <si>
    <t>RE-ITB 2020-001 ROAD NETWORKS</t>
  </si>
  <si>
    <t>RTH-20-0371-B</t>
  </si>
  <si>
    <t>20GII0011</t>
  </si>
  <si>
    <t>PB-INF-001-2020</t>
  </si>
  <si>
    <t>11131983</t>
  </si>
  <si>
    <t>DOST XII 2020-003</t>
  </si>
  <si>
    <t>PPC-BAC-2020-04</t>
  </si>
  <si>
    <t>C-063-2020</t>
  </si>
  <si>
    <t>C-062-2020</t>
  </si>
  <si>
    <t>2020-PBCW-07</t>
  </si>
  <si>
    <t>20-03-0188</t>
  </si>
  <si>
    <t>RFQ NO. 2020-08-070</t>
  </si>
  <si>
    <t>019</t>
  </si>
  <si>
    <t>RFQ - 2020-08-063</t>
  </si>
  <si>
    <t>RFQ NO. 2020-08-069</t>
  </si>
  <si>
    <t>GOODS-2020-010</t>
  </si>
  <si>
    <t>C-061-2020</t>
  </si>
  <si>
    <t>190 - 2020</t>
  </si>
  <si>
    <t>RTH-20-0369-B</t>
  </si>
  <si>
    <t>B18-11</t>
  </si>
  <si>
    <t>RTH-20-0181-B(RE-BID2)</t>
  </si>
  <si>
    <t>RTH-20-0974-B</t>
  </si>
  <si>
    <t>100-20-08-0833</t>
  </si>
  <si>
    <t>PB-CW-2020-08-47</t>
  </si>
  <si>
    <t>RTH-20-0368-B</t>
  </si>
  <si>
    <t>RTH-20-0218-B(RE-BID)</t>
  </si>
  <si>
    <t>B18-10</t>
  </si>
  <si>
    <t>2020-03-2</t>
  </si>
  <si>
    <t>RFQ - 2020-08-062</t>
  </si>
  <si>
    <t>2020-03-1</t>
  </si>
  <si>
    <t>007-2020</t>
  </si>
  <si>
    <t>ITB # 2020-029</t>
  </si>
  <si>
    <t>2020-07-61-02</t>
  </si>
  <si>
    <t>8918-03-3424-19</t>
  </si>
  <si>
    <t>POBLACION 5 2020-08-001</t>
  </si>
  <si>
    <t>CBGAD 200-20-07-08696</t>
  </si>
  <si>
    <t>DON JUAN 2020-08-001</t>
  </si>
  <si>
    <t>2020-743-08</t>
  </si>
  <si>
    <t>005</t>
  </si>
  <si>
    <t>CRN-PB-005-GOODS-2020</t>
  </si>
  <si>
    <t>LNO 200-20-07-08704</t>
  </si>
  <si>
    <t>C-069-2020</t>
  </si>
  <si>
    <t>BUNGAHAN 2020-08-005</t>
  </si>
  <si>
    <t>PREDP 200-20-07-08432</t>
  </si>
  <si>
    <t>POBSF-CW-ES-2020-03</t>
  </si>
  <si>
    <t>BAC-ITIO GS No. 2020-0086</t>
  </si>
  <si>
    <t>PR-2020-05-115</t>
  </si>
  <si>
    <t>6911-04-1198-20</t>
  </si>
  <si>
    <t>6911-05-1237-19</t>
  </si>
  <si>
    <t>6911-12-760-20</t>
  </si>
  <si>
    <t>8911-04-1936-20</t>
  </si>
  <si>
    <t>8918-5-1632-20 LDF-2020</t>
  </si>
  <si>
    <t>RFQ 008-063-2020</t>
  </si>
  <si>
    <t>8751-5-02-13-030</t>
  </si>
  <si>
    <t>LINGI-ON ES MOOE</t>
  </si>
  <si>
    <t>6911-03-574-19</t>
  </si>
  <si>
    <t>2020-06-185</t>
  </si>
  <si>
    <t>2008-0699-SFP</t>
  </si>
  <si>
    <t>RTH-20-0217-B(RE-BID)</t>
  </si>
  <si>
    <t>pgeps#379-2020</t>
  </si>
  <si>
    <t>2008-0700-SFP</t>
  </si>
  <si>
    <t>BSVP 2062</t>
  </si>
  <si>
    <t>RFQ No. 20-0745 Shopping (B)</t>
  </si>
  <si>
    <t>BSU Project No. 2020-310</t>
  </si>
  <si>
    <t>8918-03-3288-19</t>
  </si>
  <si>
    <t>080120A</t>
  </si>
  <si>
    <t>ITB No. 20-081 SUPPLY AND DELIVERY OF NINE THOUSAN</t>
  </si>
  <si>
    <t>JCH-20-0230-B(RE-BID2)</t>
  </si>
  <si>
    <t>JCH-20-0690-B</t>
  </si>
  <si>
    <t>2008-0701-SFP</t>
  </si>
  <si>
    <t>ITB No. 20-083</t>
  </si>
  <si>
    <t>813</t>
  </si>
  <si>
    <t>20FK0065</t>
  </si>
  <si>
    <t>PIKCOT-002020-021</t>
  </si>
  <si>
    <t>USF-G-PDAF/BLGU-2020-01</t>
  </si>
  <si>
    <t>7076771</t>
  </si>
  <si>
    <t>PR2020-08-11-107</t>
  </si>
  <si>
    <t>812</t>
  </si>
  <si>
    <t>PR#20-08-0502</t>
  </si>
  <si>
    <t>811</t>
  </si>
  <si>
    <t>OSMEÑA 03-2020 - Installation of Solar-Powered LED</t>
  </si>
  <si>
    <t>2008-0703-SFP</t>
  </si>
  <si>
    <t>CMO(HEALTH)20-004(NP/SV)</t>
  </si>
  <si>
    <t>2020-0818-1</t>
  </si>
  <si>
    <t>2020-PBCW-08</t>
  </si>
  <si>
    <t>7077147</t>
  </si>
  <si>
    <t>SDO GOODS 2020-045</t>
  </si>
  <si>
    <t>PB-CW-2020-08-48</t>
  </si>
  <si>
    <t>RFQ 2020-08-004</t>
  </si>
  <si>
    <t>2020-08-0045</t>
  </si>
  <si>
    <t>RFQ NO. 2020-08-71</t>
  </si>
  <si>
    <t>2008-0702-SFP</t>
  </si>
  <si>
    <t>2020-472</t>
  </si>
  <si>
    <t>RFQ NO. 522</t>
  </si>
  <si>
    <t>SanIsidro2020Goods002</t>
  </si>
  <si>
    <t>PR. 20-08-308 (2020-08-290)</t>
  </si>
  <si>
    <t>BSVP 2063</t>
  </si>
  <si>
    <t>DENR XII-SP-38-2020</t>
  </si>
  <si>
    <t>PR 20-06064</t>
  </si>
  <si>
    <t>2020-PBG-62</t>
  </si>
  <si>
    <t>08-0063-20</t>
  </si>
  <si>
    <t>Barangay Guio-ang-2020-08-01</t>
  </si>
  <si>
    <t>2020-08-0478</t>
  </si>
  <si>
    <t>2008-0704-SFP</t>
  </si>
  <si>
    <t>0067-0014-1286-2020</t>
  </si>
  <si>
    <t>ITB2020-022</t>
  </si>
  <si>
    <t>2020-08-0918 TDG</t>
  </si>
  <si>
    <t>DARAKLAN20-050</t>
  </si>
  <si>
    <t>2020-08-0913 TGD</t>
  </si>
  <si>
    <t>2020-0818-2</t>
  </si>
  <si>
    <t>Supply of Materials for the Installation of Tempor</t>
  </si>
  <si>
    <t>PR2020-08-11-108</t>
  </si>
  <si>
    <t>ITB 2020-08-003</t>
  </si>
  <si>
    <t>SanIsidro2020Goods001</t>
  </si>
  <si>
    <t>08182020-1</t>
  </si>
  <si>
    <t>2020-473</t>
  </si>
  <si>
    <t>CBO-2020-03</t>
  </si>
  <si>
    <t>B-ITB-32-2020-I</t>
  </si>
  <si>
    <t>GEPS – 2020 – 82</t>
  </si>
  <si>
    <t>ZDS-2020-009</t>
  </si>
  <si>
    <t>08-0062-20</t>
  </si>
  <si>
    <t>2020-171</t>
  </si>
  <si>
    <t>08182020GOODSWINDOWBLINDS</t>
  </si>
  <si>
    <t>20-229</t>
  </si>
  <si>
    <t>RFQ-210-2020</t>
  </si>
  <si>
    <t>msj-2020-31</t>
  </si>
  <si>
    <t>RFQ-211-2020</t>
  </si>
  <si>
    <t>2020-07-211</t>
  </si>
  <si>
    <t>2020-08-0479</t>
  </si>
  <si>
    <t>BAGOGOODS2020-02</t>
  </si>
  <si>
    <t>H-2020-08-11</t>
  </si>
  <si>
    <t>BSVP 2064</t>
  </si>
  <si>
    <t>NTCR2-RFQ-2020-08-017</t>
  </si>
  <si>
    <t>ISPSC-2020-G-J001</t>
  </si>
  <si>
    <t>220-022</t>
  </si>
  <si>
    <t>PR2020-08-11-110</t>
  </si>
  <si>
    <t>220-021</t>
  </si>
  <si>
    <t>RFQ-213-2020</t>
  </si>
  <si>
    <t>08182020-A</t>
  </si>
  <si>
    <t>2008-0705-SFP</t>
  </si>
  <si>
    <t>20-07-08-115</t>
  </si>
  <si>
    <t>CMO(HEALTH)-20-003(NP/SV)</t>
  </si>
  <si>
    <t>RFQ-212-2020</t>
  </si>
  <si>
    <t>GEPS – 2020 – 83</t>
  </si>
  <si>
    <t>2020-08-0480</t>
  </si>
  <si>
    <t>2008-0706-SFP</t>
  </si>
  <si>
    <t>2020-08-463</t>
  </si>
  <si>
    <t>GO-20-08-058</t>
  </si>
  <si>
    <t>mda131</t>
  </si>
  <si>
    <t>20GG0066-G</t>
  </si>
  <si>
    <t>220-020</t>
  </si>
  <si>
    <t>20-47037</t>
  </si>
  <si>
    <t>2020-0818-3</t>
  </si>
  <si>
    <t>G20-18</t>
  </si>
  <si>
    <t>2020-08-0482</t>
  </si>
  <si>
    <t>T-2020-06-15-038</t>
  </si>
  <si>
    <t>GO-20-08-060</t>
  </si>
  <si>
    <t>PR2020-08-11-111</t>
  </si>
  <si>
    <t>DOST1PB2020-02</t>
  </si>
  <si>
    <t>2020-08-464</t>
  </si>
  <si>
    <t>2020-764-08</t>
  </si>
  <si>
    <t>RFQ 2020-05</t>
  </si>
  <si>
    <t>PR. NO. 2020-07-020</t>
  </si>
  <si>
    <t>RFQ-215-2020</t>
  </si>
  <si>
    <t>2020-08-0481</t>
  </si>
  <si>
    <t>RFQ NO. 20-128</t>
  </si>
  <si>
    <t>RFQ-214-2020</t>
  </si>
  <si>
    <t>ITB-20-08087</t>
  </si>
  <si>
    <t>2008-0708-SFP</t>
  </si>
  <si>
    <t>PR20-08-67</t>
  </si>
  <si>
    <t>PR2020-08-11-109</t>
  </si>
  <si>
    <t>2020-08-413-35</t>
  </si>
  <si>
    <t>POG DDO 2020-SP-003</t>
  </si>
  <si>
    <t>H-021-0585-20</t>
  </si>
  <si>
    <t>RFQ NO. 2020-08-72</t>
  </si>
  <si>
    <t>RB-17-2020-I</t>
  </si>
  <si>
    <t>ZDS-2020-010</t>
  </si>
  <si>
    <t>SVP2020-08-0156</t>
  </si>
  <si>
    <t>BRGY 016-2020</t>
  </si>
  <si>
    <t>2008-0780-SFP</t>
  </si>
  <si>
    <t>4411-101-2020-08-370</t>
  </si>
  <si>
    <t>2020-335 Certification services for Organic Agricu</t>
  </si>
  <si>
    <t>20-46926</t>
  </si>
  <si>
    <t>LGU-ROX-CWC-28-2020</t>
  </si>
  <si>
    <t>PBD-20-08-007</t>
  </si>
  <si>
    <t>G20-43</t>
  </si>
  <si>
    <t>G20-19</t>
  </si>
  <si>
    <t>H-007-0566-20</t>
  </si>
  <si>
    <t>I-2020-08-001</t>
  </si>
  <si>
    <t>RFQ-216-2020</t>
  </si>
  <si>
    <t>BACNAMPICUAN2020-040</t>
  </si>
  <si>
    <t>ITB No. 019-2020</t>
  </si>
  <si>
    <t>HI-2020-02-0001</t>
  </si>
  <si>
    <t>LGU-ROX-CWC-29-2020</t>
  </si>
  <si>
    <t>SVP2020-08-0158</t>
  </si>
  <si>
    <t>01A-2020</t>
  </si>
  <si>
    <t>H-008-0567-20</t>
  </si>
  <si>
    <t>1181-20</t>
  </si>
  <si>
    <t>LGU-ROX-CWC-30-2020</t>
  </si>
  <si>
    <t>60-20-08-171</t>
  </si>
  <si>
    <t>2020-08-469</t>
  </si>
  <si>
    <t>2020-08-094bid</t>
  </si>
  <si>
    <t>20CN0157 9RE-ADV.)</t>
  </si>
  <si>
    <t>2020-336 Certification services for Organic Agricu</t>
  </si>
  <si>
    <t>G20-52</t>
  </si>
  <si>
    <t>2020-008-006</t>
  </si>
  <si>
    <t>G20-61</t>
  </si>
  <si>
    <t>SVP20-669</t>
  </si>
  <si>
    <t>SVP2020-08-0157</t>
  </si>
  <si>
    <t>ITB No. GOODS-20-133</t>
  </si>
  <si>
    <t>GA-BAC-2020DP-13</t>
  </si>
  <si>
    <t>08-06-20-1041</t>
  </si>
  <si>
    <t>2020-08-18-02</t>
  </si>
  <si>
    <t>2020-05-024C</t>
  </si>
  <si>
    <t>14-08-2020</t>
  </si>
  <si>
    <t>20GG0067-G</t>
  </si>
  <si>
    <t>G20-64</t>
  </si>
  <si>
    <t>16-08-2020</t>
  </si>
  <si>
    <t>2020-08-0098</t>
  </si>
  <si>
    <t>H-011-0570-20</t>
  </si>
  <si>
    <t>PB 08-03-2020</t>
  </si>
  <si>
    <t>20GJC0245</t>
  </si>
  <si>
    <t>SAC-G-2020-01</t>
  </si>
  <si>
    <t>GA-BAC-2019C-DP-22</t>
  </si>
  <si>
    <t>2020-08-044</t>
  </si>
  <si>
    <t>RFQ 2020-174</t>
  </si>
  <si>
    <t>20201775</t>
  </si>
  <si>
    <t>02B-2020</t>
  </si>
  <si>
    <t>2020-100-08-029</t>
  </si>
  <si>
    <t>SVP20-671</t>
  </si>
  <si>
    <t>BLGUBALLUYAN-CW-004</t>
  </si>
  <si>
    <t>lam-bac-288-020</t>
  </si>
  <si>
    <t>2020-08-0010</t>
  </si>
  <si>
    <t>2020-07-214</t>
  </si>
  <si>
    <t>2020-0238</t>
  </si>
  <si>
    <t>PR. 20-08-310 (2020-08-291)</t>
  </si>
  <si>
    <t>2020-08-2016</t>
  </si>
  <si>
    <t>SVP20-672</t>
  </si>
  <si>
    <t>8-56-20</t>
  </si>
  <si>
    <t>ITB No. GOODS-20-135</t>
  </si>
  <si>
    <t>20GJC0246</t>
  </si>
  <si>
    <t>20-227</t>
  </si>
  <si>
    <t>2020-SHPNG-104</t>
  </si>
  <si>
    <t>2020-08-30</t>
  </si>
  <si>
    <t>2020-334 Certification services for Organic Agricu</t>
  </si>
  <si>
    <t>20-08-SO176</t>
  </si>
  <si>
    <t>2020-08-18-50</t>
  </si>
  <si>
    <t>2020-0237</t>
  </si>
  <si>
    <t>2020-08-0282</t>
  </si>
  <si>
    <t>G20-44</t>
  </si>
  <si>
    <t>O-020-015</t>
  </si>
  <si>
    <t>2020-08-121</t>
  </si>
  <si>
    <t>INFR-20-024</t>
  </si>
  <si>
    <t>2020-08-095bid</t>
  </si>
  <si>
    <t>lam-bac-289-020</t>
  </si>
  <si>
    <t>2020-0376</t>
  </si>
  <si>
    <t>2020-08-472</t>
  </si>
  <si>
    <t>CW -20-0819-035-1</t>
  </si>
  <si>
    <t>01-01-2020-08-876</t>
  </si>
  <si>
    <t>20-08-287</t>
  </si>
  <si>
    <t>2020-07-100, 101, 130, 131, 116, 117, 118, 124, 12</t>
  </si>
  <si>
    <t>20-07-0018</t>
  </si>
  <si>
    <t>ITB No. GOODS-20-134</t>
  </si>
  <si>
    <t>020</t>
  </si>
  <si>
    <t>2020-08-0283</t>
  </si>
  <si>
    <t>SF-20-18</t>
  </si>
  <si>
    <t>20GJC0247</t>
  </si>
  <si>
    <t>CW -20-0819-047</t>
  </si>
  <si>
    <t>PENRO-BUK.-20-049</t>
  </si>
  <si>
    <t>DA7-2020-08-CPAR-20-3140</t>
  </si>
  <si>
    <t>BAC2020-08-039</t>
  </si>
  <si>
    <t>0045/August/2020</t>
  </si>
  <si>
    <t>202001011</t>
  </si>
  <si>
    <t>2020-06-101</t>
  </si>
  <si>
    <t>CW -20-0819-046</t>
  </si>
  <si>
    <t>15-08-2020</t>
  </si>
  <si>
    <t>20-08-296</t>
  </si>
  <si>
    <t>RFQ-202008-002</t>
  </si>
  <si>
    <t>20-07-0460</t>
  </si>
  <si>
    <t>2020-08-122</t>
  </si>
  <si>
    <t>rfq#2020-01-799-bph-maramag</t>
  </si>
  <si>
    <t>01-01-2020-08-874</t>
  </si>
  <si>
    <t>RFQ No. 1122-20</t>
  </si>
  <si>
    <t>20201776</t>
  </si>
  <si>
    <t>RFQ-202008-001</t>
  </si>
  <si>
    <t>SVP2020-08-0155</t>
  </si>
  <si>
    <t>CW -20-0819-044</t>
  </si>
  <si>
    <t>GEPS – 2020 – 84</t>
  </si>
  <si>
    <t>20CN0100</t>
  </si>
  <si>
    <t xml:space="preserve">AMALBALAN 02-2020 - INSTALLATION OF SOLAR-POWERED </t>
  </si>
  <si>
    <t>0020-0277-1287D2020</t>
  </si>
  <si>
    <t>2008-0707-SFP</t>
  </si>
  <si>
    <t>SVP20-667</t>
  </si>
  <si>
    <t>08-19-2020-01</t>
  </si>
  <si>
    <t>3918-03-543-19 2019 DF</t>
  </si>
  <si>
    <t>6911-13-859-20</t>
  </si>
  <si>
    <t>6911-04-911-20</t>
  </si>
  <si>
    <t>GO-20-08-059</t>
  </si>
  <si>
    <t>6911-03-1054-19</t>
  </si>
  <si>
    <t>8918-04-2885-20</t>
  </si>
  <si>
    <t>C-067-2020</t>
  </si>
  <si>
    <t>BUNGAHAN 2020-08-006</t>
  </si>
  <si>
    <t>C-066-2020</t>
  </si>
  <si>
    <t>C-068-2020</t>
  </si>
  <si>
    <t>C-065-2020</t>
  </si>
  <si>
    <t>rfq#2020-07-2,838-pho</t>
  </si>
  <si>
    <t>20-07-0459</t>
  </si>
  <si>
    <t>rfq#2020-07-2,830-bph-maramag</t>
  </si>
  <si>
    <t>20-08-0483</t>
  </si>
  <si>
    <t>4411-20-08-031</t>
  </si>
  <si>
    <t>BDM-BAC-2020-009</t>
  </si>
  <si>
    <t>C-054-2020</t>
  </si>
  <si>
    <t>2020-98</t>
  </si>
  <si>
    <t>2020-08-07</t>
  </si>
  <si>
    <t>20-01-05</t>
  </si>
  <si>
    <t>PR 481-20</t>
  </si>
  <si>
    <t>2020-08-125</t>
  </si>
  <si>
    <t>01N-2020</t>
  </si>
  <si>
    <t>RFQ-2020-08-17-653</t>
  </si>
  <si>
    <t>RFQ.2020.012</t>
  </si>
  <si>
    <t>100-08-483</t>
  </si>
  <si>
    <t>lam-bac-290-020</t>
  </si>
  <si>
    <t>MGCP-20G-610A</t>
  </si>
  <si>
    <t>rfq#2020-07-2,823-peo</t>
  </si>
  <si>
    <t>2020-08-124</t>
  </si>
  <si>
    <t>2020-08-18-51</t>
  </si>
  <si>
    <t>rfq#2020-07-2,862-pgo-popdev</t>
  </si>
  <si>
    <t>rfq#2020-07-2,855-p.e.o.</t>
  </si>
  <si>
    <t>rfq#2020-08-2,870-p.e.o.</t>
  </si>
  <si>
    <t>RDTD-2020-02-0200</t>
  </si>
  <si>
    <t>SS-2020-00010</t>
  </si>
  <si>
    <t>2020-08-</t>
  </si>
  <si>
    <t>2020-08-462</t>
  </si>
  <si>
    <t>2020-08-0284</t>
  </si>
  <si>
    <t>CW -20-0819-049</t>
  </si>
  <si>
    <t>2020-08-123</t>
  </si>
  <si>
    <t>MIL-GOODS-2020-08-01</t>
  </si>
  <si>
    <t>20-297</t>
  </si>
  <si>
    <t>rfq#2020-05-2,409-pvo</t>
  </si>
  <si>
    <t>20GBJ0003</t>
  </si>
  <si>
    <t>LGU-ROX-SDG-08-2020</t>
  </si>
  <si>
    <t>H-2020-08-12</t>
  </si>
  <si>
    <t>CW -20-0819-048</t>
  </si>
  <si>
    <t>2020-16</t>
  </si>
  <si>
    <t>rfq#2020-07-2,840-p.e.o.</t>
  </si>
  <si>
    <t>2020-08-414-36</t>
  </si>
  <si>
    <t>2020-08-092</t>
  </si>
  <si>
    <t>ITB No. Infra-2020-01</t>
  </si>
  <si>
    <t>PENRO-BUK.-20-050</t>
  </si>
  <si>
    <t>JSR 20-07-0090</t>
  </si>
  <si>
    <t>Sip-2020-119</t>
  </si>
  <si>
    <t>045-FTC 2020</t>
  </si>
  <si>
    <t>CW -20-0819-052</t>
  </si>
  <si>
    <t>AMBACAN202001</t>
  </si>
  <si>
    <t>PNUNL GD 2020-08-18</t>
  </si>
  <si>
    <t>CW -20-0819-051</t>
  </si>
  <si>
    <t>RFQ - 2020-08-064</t>
  </si>
  <si>
    <t>SF Infra 2020-23</t>
  </si>
  <si>
    <t>AMBACAN202002</t>
  </si>
  <si>
    <t>MGCP-20G-604B</t>
  </si>
  <si>
    <t>20-298</t>
  </si>
  <si>
    <t>PR2020-08-18-115</t>
  </si>
  <si>
    <t>SVP2020-08-0160</t>
  </si>
  <si>
    <t>2020-08-0190</t>
  </si>
  <si>
    <t>SF Infra 2020-22</t>
  </si>
  <si>
    <t>SV-0964-2020</t>
  </si>
  <si>
    <t>CW -20-0819-054</t>
  </si>
  <si>
    <t>SVP2020-08-0165</t>
  </si>
  <si>
    <t>000492</t>
  </si>
  <si>
    <t>SF Infra 2020-24</t>
  </si>
  <si>
    <t>IABE 319-20</t>
  </si>
  <si>
    <t>PR 482-20</t>
  </si>
  <si>
    <t>RFQ - 2020-08-066</t>
  </si>
  <si>
    <t>GOODS-74-2020</t>
  </si>
  <si>
    <t>2020-AP-08-44</t>
  </si>
  <si>
    <t>BLGU201920%DFCW-005: Extension of Concreting abd C</t>
  </si>
  <si>
    <t>2020-08-127</t>
  </si>
  <si>
    <t>008182020</t>
  </si>
  <si>
    <t>20EG0092</t>
  </si>
  <si>
    <t>08182020A</t>
  </si>
  <si>
    <t>2020-08-131</t>
  </si>
  <si>
    <t>MGCP-20G-588B</t>
  </si>
  <si>
    <t>2020-07-B</t>
  </si>
  <si>
    <t>GoodsSVP-70-2020</t>
  </si>
  <si>
    <t>SV-0965-2020</t>
  </si>
  <si>
    <t>20EG0094</t>
  </si>
  <si>
    <t>HILONGOS 2020-247</t>
  </si>
  <si>
    <t>20-08280</t>
  </si>
  <si>
    <t>GoodsSVP-71-2020</t>
  </si>
  <si>
    <t>PR No. 2020-08-019</t>
  </si>
  <si>
    <t>IB NO. 2020-18</t>
  </si>
  <si>
    <t>PR082000658</t>
  </si>
  <si>
    <t>PB2020-08-119G</t>
  </si>
  <si>
    <t>GOODS  2020-8</t>
  </si>
  <si>
    <t>RFQ 2020-08-0221</t>
  </si>
  <si>
    <t>RFQ-2020-0042</t>
  </si>
  <si>
    <t>PB2020-08-116G</t>
  </si>
  <si>
    <t>JSR 20-07-0091</t>
  </si>
  <si>
    <t>VMC2020-08001</t>
  </si>
  <si>
    <t>2020-01ITB</t>
  </si>
  <si>
    <t>100-2020-08-0156-A</t>
  </si>
  <si>
    <t>CG-RFQ-170-2020</t>
  </si>
  <si>
    <t>INFRA 2020 - 8</t>
  </si>
  <si>
    <t>2020-08-034_MEO</t>
  </si>
  <si>
    <t>PB2020-08-121G</t>
  </si>
  <si>
    <t>RFQ-2020-0043</t>
  </si>
  <si>
    <t>MGCP-20G-612A</t>
  </si>
  <si>
    <t>skl4-2020-003</t>
  </si>
  <si>
    <t>PB2020-08-120G</t>
  </si>
  <si>
    <t>20GJF0149</t>
  </si>
  <si>
    <t>2020-282</t>
  </si>
  <si>
    <t>2020-755</t>
  </si>
  <si>
    <t>VMC2020-08002</t>
  </si>
  <si>
    <t>6ID SBAC-01-2020</t>
  </si>
  <si>
    <t>rfq#2020-02-1,322-pgo-pdrrmd</t>
  </si>
  <si>
    <t>RFQ-2020-0044</t>
  </si>
  <si>
    <t>300-2020-08-0003A</t>
  </si>
  <si>
    <t>PB2020-08-122G</t>
  </si>
  <si>
    <t>20200818-3</t>
  </si>
  <si>
    <t>2020-2501</t>
  </si>
  <si>
    <t>200(01)20-08-011(C)</t>
  </si>
  <si>
    <t>RFQ-2020-0045</t>
  </si>
  <si>
    <t>G20-66</t>
  </si>
  <si>
    <t>20200818-1</t>
  </si>
  <si>
    <t>Procurement and Delivery of Supplies for the In-Ho</t>
  </si>
  <si>
    <t>rfq#2020-01-,1077-bpmc</t>
  </si>
  <si>
    <t>2020-004-08</t>
  </si>
  <si>
    <t>007263-2020-01</t>
  </si>
  <si>
    <t>PR No. 2020 07 0086</t>
  </si>
  <si>
    <t>2020-2926</t>
  </si>
  <si>
    <t>20GL0098</t>
  </si>
  <si>
    <t>20200818-2</t>
  </si>
  <si>
    <t>G20-60</t>
  </si>
  <si>
    <t>PRIMER-NC-2020-0438 PR2020-0584</t>
  </si>
  <si>
    <t>L4-2020-007</t>
  </si>
  <si>
    <t>TCNCHS082020</t>
  </si>
  <si>
    <t>200(01)20-08-014(E)</t>
  </si>
  <si>
    <t>2020-020-smb</t>
  </si>
  <si>
    <t>08182020B</t>
  </si>
  <si>
    <t>20GIL0052</t>
  </si>
  <si>
    <t>LGU-100-2020-08-860</t>
  </si>
  <si>
    <t>IB NO. 2020-17</t>
  </si>
  <si>
    <t>2020-08-18</t>
  </si>
  <si>
    <t>Supply, Delivery and Assistance on the Installatio</t>
  </si>
  <si>
    <t>2020-Barangay Bangon-004</t>
  </si>
  <si>
    <t>2020-2942</t>
  </si>
  <si>
    <t>rfq#2020-02-1,385-sp-albarece</t>
  </si>
  <si>
    <t>PR No. 2020 07 0085</t>
  </si>
  <si>
    <t>rfq#2020-01-478-sp-balansag</t>
  </si>
  <si>
    <t>HILONGOS 2020-248</t>
  </si>
  <si>
    <t>17NG0090</t>
  </si>
  <si>
    <t>300(01)20-08-030(V)</t>
  </si>
  <si>
    <t>RFQ - 2020-08-067</t>
  </si>
  <si>
    <t>300(01)20-08-008(I)</t>
  </si>
  <si>
    <t>20EG0093</t>
  </si>
  <si>
    <t>RFQ No. MCS-20-08-069</t>
  </si>
  <si>
    <t>RFQ-2020-0041</t>
  </si>
  <si>
    <t>20-08-08</t>
  </si>
  <si>
    <t>20-07-019</t>
  </si>
  <si>
    <t>INFR 2020-05</t>
  </si>
  <si>
    <t>20-08277</t>
  </si>
  <si>
    <t>CW -20-0819-058</t>
  </si>
  <si>
    <t>046-FTC 2020</t>
  </si>
  <si>
    <t>047-FTC 2020</t>
  </si>
  <si>
    <t>DA7-2020-08-CPAR-20-3137</t>
  </si>
  <si>
    <t>19-12-00694 (LATE POSTING)</t>
  </si>
  <si>
    <t>INVITATION TO BID  2020</t>
  </si>
  <si>
    <t>000496</t>
  </si>
  <si>
    <t>C-064-2020</t>
  </si>
  <si>
    <t>Adv. 20-021</t>
  </si>
  <si>
    <t>SB-258-C-2020</t>
  </si>
  <si>
    <t>rfq#2020-08-2,976-pho</t>
  </si>
  <si>
    <t>2020-08-126</t>
  </si>
  <si>
    <t>17NG0091</t>
  </si>
  <si>
    <t>200(01)20-08-096(M)</t>
  </si>
  <si>
    <t>HILONGOS 2020-249</t>
  </si>
  <si>
    <t>048-FTC 2020</t>
  </si>
  <si>
    <t>100(01)20-08-007(AH)</t>
  </si>
  <si>
    <t>08-19-2020-02</t>
  </si>
  <si>
    <t>2020-08-0483</t>
  </si>
  <si>
    <t>18-08-2020</t>
  </si>
  <si>
    <t>20200818-4</t>
  </si>
  <si>
    <t>08182020C</t>
  </si>
  <si>
    <t>007265-0000-00</t>
  </si>
  <si>
    <t>rfq#2020-02-1,488-pgo-buktamaco</t>
  </si>
  <si>
    <t>PRIMER-NC-2020-0434 PR2020-0577</t>
  </si>
  <si>
    <t>200(01)20-08-095(M)</t>
  </si>
  <si>
    <t>INFRA-12-2020</t>
  </si>
  <si>
    <t>049-FTC 2020</t>
  </si>
  <si>
    <t>2020-07-1197</t>
  </si>
  <si>
    <t>17NG0092</t>
  </si>
  <si>
    <t>20-08-483</t>
  </si>
  <si>
    <t>BGH - 08 - 0137</t>
  </si>
  <si>
    <t>100(18)20-08-525(O)</t>
  </si>
  <si>
    <t>G20-59</t>
  </si>
  <si>
    <t>100(200)20-08-534(O)</t>
  </si>
  <si>
    <t>20-0070</t>
  </si>
  <si>
    <t>INFRA 01-2020</t>
  </si>
  <si>
    <t>HILONGOS 2020-250</t>
  </si>
  <si>
    <t>rfq#2020-03-1,663-pgo-pnp crime</t>
  </si>
  <si>
    <t>BRGY. BALOYBOAN 05</t>
  </si>
  <si>
    <t>20-0071</t>
  </si>
  <si>
    <t>EMB-R4A-018-20</t>
  </si>
  <si>
    <t>chs-2020-08-003a</t>
  </si>
  <si>
    <t>BRGY 08-02-2020</t>
  </si>
  <si>
    <t>20NG0100</t>
  </si>
  <si>
    <t>2020-474</t>
  </si>
  <si>
    <t>2020-483</t>
  </si>
  <si>
    <t>300(200)20-08-506(O)</t>
  </si>
  <si>
    <t>rfq#2020-05-2,264-pgo-bac secretariat</t>
  </si>
  <si>
    <t>2020-08-031 Purchase of Medicines and Medical Supp</t>
  </si>
  <si>
    <t>PDI-2020-08-18-001</t>
  </si>
  <si>
    <t>BGH - 08 - 0138</t>
  </si>
  <si>
    <t>20-0073</t>
  </si>
  <si>
    <t>2020-08-024</t>
  </si>
  <si>
    <t>17NG0093</t>
  </si>
  <si>
    <t>NPSVP-2020-80</t>
  </si>
  <si>
    <t>20-08-0577</t>
  </si>
  <si>
    <t>100(01)20-08-537(O)</t>
  </si>
  <si>
    <t>20-0072</t>
  </si>
  <si>
    <t>HS-5020308000-090-2020</t>
  </si>
  <si>
    <t>08-25-20</t>
  </si>
  <si>
    <t>20NF-GOODS-02</t>
  </si>
  <si>
    <t>MP-081820-081</t>
  </si>
  <si>
    <t>umcbac20-19</t>
  </si>
  <si>
    <t>rfq#2020-05-2,405-phrmo</t>
  </si>
  <si>
    <t>20FH0103</t>
  </si>
  <si>
    <t>PB2020-061</t>
  </si>
  <si>
    <t>20200818-5</t>
  </si>
  <si>
    <t>rfq#2020-05-2,266-pgo-bac secretariat</t>
  </si>
  <si>
    <t>HS-5020399000-091-2020</t>
  </si>
  <si>
    <t>SEF2020-502-03-010</t>
  </si>
  <si>
    <t>20FH0102</t>
  </si>
  <si>
    <t>2020-66</t>
  </si>
  <si>
    <t>INFRA 02-2020</t>
  </si>
  <si>
    <t>rfq#2020-04-1,709-p.e.o.</t>
  </si>
  <si>
    <t>2020-LGU-08-020</t>
  </si>
  <si>
    <t>rfq#2020-04-1,959-sp-beltran</t>
  </si>
  <si>
    <t>Aklan BAC ITB 506 Series of 2020</t>
  </si>
  <si>
    <t>MNE-I-2020-08-012</t>
  </si>
  <si>
    <t>DA7-2020-08-CPAR-20-3139</t>
  </si>
  <si>
    <t>20-08-484</t>
  </si>
  <si>
    <t>001-08-18-2020</t>
  </si>
  <si>
    <t>PB2020-062</t>
  </si>
  <si>
    <t>HS-5020308000-092-2020</t>
  </si>
  <si>
    <t>Aklan BAC ITB 507 Series of 2020</t>
  </si>
  <si>
    <t>rfq#2020-03-1,533-pgo-housing</t>
  </si>
  <si>
    <t>20-08281</t>
  </si>
  <si>
    <t>20FH0104</t>
  </si>
  <si>
    <t>OPA-CROPS-NC-2020-0446 PR2020-0593</t>
  </si>
  <si>
    <t>300(01)20-08-519(O)</t>
  </si>
  <si>
    <t>100(18)20-07-397(O)</t>
  </si>
  <si>
    <t>GDS-419-2020</t>
  </si>
  <si>
    <t>BGH - 08 - 0139</t>
  </si>
  <si>
    <t>BRGY3</t>
  </si>
  <si>
    <t>2020-Barangay Cawayan-002</t>
  </si>
  <si>
    <t>S-0252</t>
  </si>
  <si>
    <t>rfq#2020-08-2,903-pgo-pdrrmd</t>
  </si>
  <si>
    <t>20-07-07-0236 Re-canvass</t>
  </si>
  <si>
    <t>DSWD4B-2020-07-0043</t>
  </si>
  <si>
    <t>PG-RFQ-2020-08- Malangabang</t>
  </si>
  <si>
    <t>GDS-420-2020</t>
  </si>
  <si>
    <t>20200818-6</t>
  </si>
  <si>
    <t>2020-08-0484</t>
  </si>
  <si>
    <t>NORS-2020-006</t>
  </si>
  <si>
    <t>2020-41</t>
  </si>
  <si>
    <t>S3-JOL20-017 (NP5)</t>
  </si>
  <si>
    <t>20CSCM06</t>
  </si>
  <si>
    <t>BM-JALA-NC-2020-0447 PR2020-0594</t>
  </si>
  <si>
    <t>1-8-182020</t>
  </si>
  <si>
    <t>200(01)20-08-112(M)</t>
  </si>
  <si>
    <t>cw-2020-020</t>
  </si>
  <si>
    <t>BGH - 08 - 0140</t>
  </si>
  <si>
    <t>20-08-1341</t>
  </si>
  <si>
    <t>2-08182020</t>
  </si>
  <si>
    <t>20200818-7</t>
  </si>
  <si>
    <t>G-2020-025</t>
  </si>
  <si>
    <t>CID No. 20CSIO14</t>
  </si>
  <si>
    <t>2020-476</t>
  </si>
  <si>
    <t>MNE-I-2020-08-013</t>
  </si>
  <si>
    <t>PUR20-06-0515</t>
  </si>
  <si>
    <t>CID No. 20GLE0099 PR 20-08-0153</t>
  </si>
  <si>
    <t>MNE-I-2020-08-014</t>
  </si>
  <si>
    <t>BGH - 08 - 0141</t>
  </si>
  <si>
    <t>20NG0101</t>
  </si>
  <si>
    <t>17-2020</t>
  </si>
  <si>
    <t>PB2020-063</t>
  </si>
  <si>
    <t>2020-475</t>
  </si>
  <si>
    <t>GDS-421-2020</t>
  </si>
  <si>
    <t>PEO-NC-2020-0449 PR2020-0596</t>
  </si>
  <si>
    <t>CANDADAM202001</t>
  </si>
  <si>
    <t>BCS-2020-0297</t>
  </si>
  <si>
    <t>20-07-1025-EXE2</t>
  </si>
  <si>
    <t>300-20-08-0301</t>
  </si>
  <si>
    <t>BEFF-2020-Repair-B1-L4</t>
  </si>
  <si>
    <t>2020-420</t>
  </si>
  <si>
    <t>5-02-03-080-2-1-3</t>
  </si>
  <si>
    <t>S3-SPUGWM20-003 (NP5)</t>
  </si>
  <si>
    <t>Bac-Pg-003-20</t>
  </si>
  <si>
    <t>MNE-I-2020-08-009</t>
  </si>
  <si>
    <t>BCS-2020-0298</t>
  </si>
  <si>
    <t>20200818-8</t>
  </si>
  <si>
    <t>CANDADAM202002</t>
  </si>
  <si>
    <t>bk-2020-4</t>
  </si>
  <si>
    <t>BQ-Goods-2020-016</t>
  </si>
  <si>
    <t>cw-2020-021</t>
  </si>
  <si>
    <t>S-0251</t>
  </si>
  <si>
    <t>1000032678</t>
  </si>
  <si>
    <t>20FH0105</t>
  </si>
  <si>
    <t>CLB-2020-09</t>
  </si>
  <si>
    <t>21A00006</t>
  </si>
  <si>
    <t>G-2020-06</t>
  </si>
  <si>
    <t>081820-B1</t>
  </si>
  <si>
    <t>202008180001</t>
  </si>
  <si>
    <t>50203070</t>
  </si>
  <si>
    <t>20-08-0023</t>
  </si>
  <si>
    <t>PEO-NC-2020-0450 PR2020-0597</t>
  </si>
  <si>
    <t>RFQ 2020-08-0222</t>
  </si>
  <si>
    <t>CID No. 20GLE0100 PR 20-08-0154</t>
  </si>
  <si>
    <t>PRDP-IR-RO12-NCO-007-PIG-001-2019-a</t>
  </si>
  <si>
    <t>NPSVP-2020-81</t>
  </si>
  <si>
    <t>10705020</t>
  </si>
  <si>
    <t>NP-PB 20-0965</t>
  </si>
  <si>
    <t>S3-B1920-009 (NP-3)</t>
  </si>
  <si>
    <t>cw-001-2020</t>
  </si>
  <si>
    <t>ATI-RTC 2020-0052</t>
  </si>
  <si>
    <t>5-02-03-070-1-3</t>
  </si>
  <si>
    <t>21A00008</t>
  </si>
  <si>
    <t>Bidding-05-August2020</t>
  </si>
  <si>
    <t>3-08182020</t>
  </si>
  <si>
    <t>20NG0102</t>
  </si>
  <si>
    <t>PR. 20-08-319 (2020-08-294)</t>
  </si>
  <si>
    <t>25</t>
  </si>
  <si>
    <t>1000032664</t>
  </si>
  <si>
    <t>21A00007</t>
  </si>
  <si>
    <t>PB2020-08-064I</t>
  </si>
  <si>
    <t>S-0248</t>
  </si>
  <si>
    <t>ITB-2020-15</t>
  </si>
  <si>
    <t>2020-2814</t>
  </si>
  <si>
    <t>S3-BAI20-018 (NP-2)</t>
  </si>
  <si>
    <t>20FH0106</t>
  </si>
  <si>
    <t>MR20-07-066</t>
  </si>
  <si>
    <t>NPSVP-2020-82</t>
  </si>
  <si>
    <t>SF-G-DF-2020-24</t>
  </si>
  <si>
    <t>PHO-NC-2020-159 PR2020-218</t>
  </si>
  <si>
    <t>Aklan BAC ITB 508 Series of 2020</t>
  </si>
  <si>
    <t>RFQ No.Good-227-2020</t>
  </si>
  <si>
    <t>20-08268</t>
  </si>
  <si>
    <t>INFRA-21-01</t>
  </si>
  <si>
    <t>MNE-I-2020-08-011</t>
  </si>
  <si>
    <t>PIAO-NC-2020-0417 PR2020-0556</t>
  </si>
  <si>
    <t>21A00011</t>
  </si>
  <si>
    <t>2020-08-133</t>
  </si>
  <si>
    <t>GOODS-2020-01</t>
  </si>
  <si>
    <t>001-08-2020</t>
  </si>
  <si>
    <t>80018022020</t>
  </si>
  <si>
    <t>PEO-20-0927-B (REBID)</t>
  </si>
  <si>
    <t>BLGU Doña Josefa 2020-010-019</t>
  </si>
  <si>
    <t>DepEdCCD – 202008-81</t>
  </si>
  <si>
    <t>NPSVP-2020-83</t>
  </si>
  <si>
    <t>CID No. 20GLE0101 PR 20-08-0155</t>
  </si>
  <si>
    <t>BEMO-NC-2020-0458</t>
  </si>
  <si>
    <t>EMBR02-PB-CONSULTINGSERVICES- EMED022020-066</t>
  </si>
  <si>
    <t>2020-717-08</t>
  </si>
  <si>
    <t>CID No. 20GLE0103 PR 20-08-0157</t>
  </si>
  <si>
    <t>21A00010</t>
  </si>
  <si>
    <t>GUADALUPE202002</t>
  </si>
  <si>
    <t>2020-479</t>
  </si>
  <si>
    <t>003-2020</t>
  </si>
  <si>
    <t>20GGI0038</t>
  </si>
  <si>
    <t>PB2020-08-117G</t>
  </si>
  <si>
    <t>PB2020-067</t>
  </si>
  <si>
    <t>OPA-ADMIN-NC-2020-0415 PR2020-0553</t>
  </si>
  <si>
    <t>NPSVP-2020-84</t>
  </si>
  <si>
    <t>146-2020-A</t>
  </si>
  <si>
    <t>DA7-2020-08-CPAR-20-3138</t>
  </si>
  <si>
    <t>INFRA-ST02-2020</t>
  </si>
  <si>
    <t>20200818-9</t>
  </si>
  <si>
    <t>CID No. 20GLE0102 PR 20-08-0156</t>
  </si>
  <si>
    <t>20GA00005</t>
  </si>
  <si>
    <t>PEO-20-0898-B (REBID)</t>
  </si>
  <si>
    <t>LANGUB ITB 2020-01</t>
  </si>
  <si>
    <t>80018032020</t>
  </si>
  <si>
    <t>PB2020-066</t>
  </si>
  <si>
    <t>PB2020-064</t>
  </si>
  <si>
    <t>PUR20-08-0697 &amp; PUR20-08-0707</t>
  </si>
  <si>
    <t>NPSVP-2020-85</t>
  </si>
  <si>
    <t>081820-B2</t>
  </si>
  <si>
    <t>2020-480</t>
  </si>
  <si>
    <t>CDRRMO-2020-02</t>
  </si>
  <si>
    <t>PB2020-068</t>
  </si>
  <si>
    <t>005-infra-2020</t>
  </si>
  <si>
    <t>AKLAN BAC ITB 429 SERIES 2020</t>
  </si>
  <si>
    <t>PHO-NC-2020-157 PR2020-216</t>
  </si>
  <si>
    <t>RFQ2020-08-079</t>
  </si>
  <si>
    <t>AP-01-08-2020-0130</t>
  </si>
  <si>
    <t>BLGU Doña Josefa 2020-010-020</t>
  </si>
  <si>
    <t>2020-08-060</t>
  </si>
  <si>
    <t>2020-07-101</t>
  </si>
  <si>
    <t>08182020</t>
  </si>
  <si>
    <t>6523-2020-049</t>
  </si>
  <si>
    <t>PoW01-081820</t>
  </si>
  <si>
    <t>2020-38</t>
  </si>
  <si>
    <t>PR082000659</t>
  </si>
  <si>
    <t>145-2020-A</t>
  </si>
  <si>
    <t>18082020</t>
  </si>
  <si>
    <t>100-2020-06-008A</t>
  </si>
  <si>
    <t>PHO-NC-2020-158 PR2020-217</t>
  </si>
  <si>
    <t>NPSVP-2020-86</t>
  </si>
  <si>
    <t>PB-2020-08-008</t>
  </si>
  <si>
    <t>PB2020-069</t>
  </si>
  <si>
    <t>004-2020</t>
  </si>
  <si>
    <t>2020-37</t>
  </si>
  <si>
    <t>2020-03-22B</t>
  </si>
  <si>
    <t>100-2020-07-115A</t>
  </si>
  <si>
    <t>SJ-20-233</t>
  </si>
  <si>
    <t>RFQ2020-03-051</t>
  </si>
  <si>
    <t>20-06-00397</t>
  </si>
  <si>
    <t>PoW02-081820</t>
  </si>
  <si>
    <t>BFPX 2020-10</t>
  </si>
  <si>
    <t>08-18-2020-A</t>
  </si>
  <si>
    <t>2020-08-3057</t>
  </si>
  <si>
    <t>147-2020-A</t>
  </si>
  <si>
    <t>78-08-20-4411</t>
  </si>
  <si>
    <t>PB2020-070</t>
  </si>
  <si>
    <t>JGE2020-032</t>
  </si>
  <si>
    <t>20-07-00456</t>
  </si>
  <si>
    <t>2020-481</t>
  </si>
  <si>
    <t>003-08-2020</t>
  </si>
  <si>
    <t>20-05-00366</t>
  </si>
  <si>
    <t>AKLAN BAC ITB 409 SERIES 2020</t>
  </si>
  <si>
    <t>003/8/2020</t>
  </si>
  <si>
    <t>PB2020-08-124G</t>
  </si>
  <si>
    <t>20FH0108</t>
  </si>
  <si>
    <t>Tadian LGU 2020 -04</t>
  </si>
  <si>
    <t>PoW03-081820</t>
  </si>
  <si>
    <t>2020-08-055</t>
  </si>
  <si>
    <t>NPSVP-2020-87</t>
  </si>
  <si>
    <t>35-07-20-AIP</t>
  </si>
  <si>
    <t>ITB No. UATLMC2020-101-03-005L3</t>
  </si>
  <si>
    <t>IV-08-2020-03</t>
  </si>
  <si>
    <t>20GEG0006</t>
  </si>
  <si>
    <t>20-06-00424</t>
  </si>
  <si>
    <t>PR082000660</t>
  </si>
  <si>
    <t>tgs 20-20</t>
  </si>
  <si>
    <t>ITB No. 04-CW-2020</t>
  </si>
  <si>
    <t>20GPG0003</t>
  </si>
  <si>
    <t>2020-009 BAC I</t>
  </si>
  <si>
    <t>2020-08-3120</t>
  </si>
  <si>
    <t>36-08-20-AIP</t>
  </si>
  <si>
    <t>LLFC-GAP-20-002</t>
  </si>
  <si>
    <t>NPSVP-2020-90</t>
  </si>
  <si>
    <t>BD20-08-002</t>
  </si>
  <si>
    <t>2020-08-506</t>
  </si>
  <si>
    <t>AKLAN BAC ITB 411 SERIES 2020</t>
  </si>
  <si>
    <t>20FH0107</t>
  </si>
  <si>
    <t>ITB-2020-04</t>
  </si>
  <si>
    <t>DA7-2020-08-SAAD-20-3160</t>
  </si>
  <si>
    <t>San Vicente-2020-03</t>
  </si>
  <si>
    <t>53-202205-20</t>
  </si>
  <si>
    <t>GOOD 24-2020</t>
  </si>
  <si>
    <t>PB2020-071</t>
  </si>
  <si>
    <t>52-200410-20</t>
  </si>
  <si>
    <t>NPSVP-2020-88</t>
  </si>
  <si>
    <t>57-08-20-1061</t>
  </si>
  <si>
    <t>PB-2020-08-009</t>
  </si>
  <si>
    <t>2020-35</t>
  </si>
  <si>
    <t>PR-2020-05-101</t>
  </si>
  <si>
    <t>BD20-08-003</t>
  </si>
  <si>
    <t>Aklan BAC ITB 500 Series of 2020</t>
  </si>
  <si>
    <t>1000032668</t>
  </si>
  <si>
    <t>08-18-2020-B</t>
  </si>
  <si>
    <t>20GEG0007</t>
  </si>
  <si>
    <t>ITB No. UATLMC2020-101-03-005L5</t>
  </si>
  <si>
    <t>55-202245-20</t>
  </si>
  <si>
    <t>20GG0068-G</t>
  </si>
  <si>
    <t>20-08-054</t>
  </si>
  <si>
    <t>JOR 20-08-169</t>
  </si>
  <si>
    <t>LTOR1-2020-012</t>
  </si>
  <si>
    <t>SVP-0100-2020</t>
  </si>
  <si>
    <t>SVP-099-2020</t>
  </si>
  <si>
    <t>SEF-I-74-2020</t>
  </si>
  <si>
    <t>AKLAN BAC ITB 413 SERIES 2020</t>
  </si>
  <si>
    <t>ISAT U GOODS-2020-07-10</t>
  </si>
  <si>
    <t>102CO-2020-327</t>
  </si>
  <si>
    <t>08172020</t>
  </si>
  <si>
    <t>UPLB-S-053-09-20</t>
  </si>
  <si>
    <t>NPSVP-2020-89</t>
  </si>
  <si>
    <t>SVP-VJLN-2020-08-0814</t>
  </si>
  <si>
    <t>sanrafael-2020-007</t>
  </si>
  <si>
    <t>6523-2020-050</t>
  </si>
  <si>
    <t>SJ-20-234</t>
  </si>
  <si>
    <t>795</t>
  </si>
  <si>
    <t>20GBD0042(Re-ad)</t>
  </si>
  <si>
    <t>RIX&amp;BARMM-GOODS-2020-004</t>
  </si>
  <si>
    <t>NPSVP-2020-91</t>
  </si>
  <si>
    <t>41-2020</t>
  </si>
  <si>
    <t>ITB-MPR-Goods-2020-029</t>
  </si>
  <si>
    <t>049-20</t>
  </si>
  <si>
    <t>0046/August/2020</t>
  </si>
  <si>
    <t>300-08-20-0019</t>
  </si>
  <si>
    <t>2020-07-438</t>
  </si>
  <si>
    <t>NPSVP-2020-92</t>
  </si>
  <si>
    <t>RFQ 20-08-057</t>
  </si>
  <si>
    <t>051-20</t>
  </si>
  <si>
    <t>GOODS#0160, ITB#0163,  PR#0528: SCG-2020</t>
  </si>
  <si>
    <t>POW - 8751 - 2020 - PCO - 13</t>
  </si>
  <si>
    <t>2020-07-424</t>
  </si>
  <si>
    <t>OE-2020-08-150</t>
  </si>
  <si>
    <t>INFRA-ETG-20-07-014</t>
  </si>
  <si>
    <t>20GAB0005</t>
  </si>
  <si>
    <t>081820201</t>
  </si>
  <si>
    <t>PR-2008-941</t>
  </si>
  <si>
    <t>RFQ-GOODS-2020-100</t>
  </si>
  <si>
    <t>08-1334</t>
  </si>
  <si>
    <t>2020-NFA -RBAC8-INFR- 24</t>
  </si>
  <si>
    <t>RIX&amp;BARMM-GOODS-2020-005</t>
  </si>
  <si>
    <t>SVP-0101-2020</t>
  </si>
  <si>
    <t>POB-07-2020</t>
  </si>
  <si>
    <t>POW - 8751 - 2020 - PCO - 07</t>
  </si>
  <si>
    <t>batgoods 2020-08-020</t>
  </si>
  <si>
    <t>PESO-2020-04</t>
  </si>
  <si>
    <t>BD20-08-005</t>
  </si>
  <si>
    <t>20CB-GSC-528	PURCHASE FURNITURE AND FIXTURE (TRUST</t>
  </si>
  <si>
    <t>POW - 8751 - 2020 - ALA - 02</t>
  </si>
  <si>
    <t>LGUCQ-I-2020-08-0014</t>
  </si>
  <si>
    <t>CW-08-2020</t>
  </si>
  <si>
    <t>2020-08-3121</t>
  </si>
  <si>
    <t>42-2020</t>
  </si>
  <si>
    <t>darposoleyte_2020-01-0025</t>
  </si>
  <si>
    <t>2020-08-061</t>
  </si>
  <si>
    <t>GOODS#0161, ITB#0164,  PR#0529: SCG-2020</t>
  </si>
  <si>
    <t>VIN BAC 058-2020</t>
  </si>
  <si>
    <t>8182020-050</t>
  </si>
  <si>
    <t>POW - 8751 - 2020 - TWG - 02</t>
  </si>
  <si>
    <t>SVP 2020-430</t>
  </si>
  <si>
    <t>1182-20</t>
  </si>
  <si>
    <t>PJMD 200-20-07-08156</t>
  </si>
  <si>
    <t>LGUCQ-I-2020-08-0016</t>
  </si>
  <si>
    <t>PR 1285-20</t>
  </si>
  <si>
    <t>SVP 2020-429</t>
  </si>
  <si>
    <t>20GBC0013</t>
  </si>
  <si>
    <t>TANDARURA 2020-001</t>
  </si>
  <si>
    <t>INFRA-PB-2020-020</t>
  </si>
  <si>
    <t>PILAR-20-08-005</t>
  </si>
  <si>
    <t>POW - 8751 - 2020 - BKL - 05</t>
  </si>
  <si>
    <t>20CB-GSC-529	PURCHASE OF OFFICE EQUIPMENT (TRUST F</t>
  </si>
  <si>
    <t>2020 - 08 - 026 (141 - Shopping)</t>
  </si>
  <si>
    <t>2020 - 08 - 026 (142 - Shopping)</t>
  </si>
  <si>
    <t>20GBC0012</t>
  </si>
  <si>
    <t>002/august/2020</t>
  </si>
  <si>
    <t>POW - 8751 - 2020 - PBN - 06</t>
  </si>
  <si>
    <t>DEPED-BOHOL-2020-08-119</t>
  </si>
  <si>
    <t>POW - 8751 - 2020 - PCO - 08</t>
  </si>
  <si>
    <t>6523-2020-051</t>
  </si>
  <si>
    <t>LGUCQ-I-2020-08-0013</t>
  </si>
  <si>
    <t>200053</t>
  </si>
  <si>
    <t>BAC 1-2020-08-87</t>
  </si>
  <si>
    <t>PR2020-07-02G RE-CANVASS</t>
  </si>
  <si>
    <t>BD20-08-004</t>
  </si>
  <si>
    <t>08-18-2020-C</t>
  </si>
  <si>
    <t>HOBO-10-11</t>
  </si>
  <si>
    <t>GF-G-83-2020</t>
  </si>
  <si>
    <t>POW - 8751 - 2020 - ALN - 04</t>
  </si>
  <si>
    <t>LGUCQ-I-2020-08-0012</t>
  </si>
  <si>
    <t>2020-08-3085</t>
  </si>
  <si>
    <t>2020-735-08</t>
  </si>
  <si>
    <t>2020-08-113</t>
  </si>
  <si>
    <t>20EA0059</t>
  </si>
  <si>
    <t>07.2020.0189</t>
  </si>
  <si>
    <t>202007029-202008039</t>
  </si>
  <si>
    <t>SVP 2020-428</t>
  </si>
  <si>
    <t>2020-62</t>
  </si>
  <si>
    <t>CAD-2020-08-0357</t>
  </si>
  <si>
    <t>202008048</t>
  </si>
  <si>
    <t>LGUCQ-I-2020-08-0017</t>
  </si>
  <si>
    <t>DENR-MRQ-2020-006-SVP</t>
  </si>
  <si>
    <t>CAD-2020-08-0358</t>
  </si>
  <si>
    <t>202007029</t>
  </si>
  <si>
    <t>CAD-2020-08-0356</t>
  </si>
  <si>
    <t>RFQ-GOODS-2020-099</t>
  </si>
  <si>
    <t>CS RX-2020-002</t>
  </si>
  <si>
    <t>CW-07-2020</t>
  </si>
  <si>
    <t>TANDARURA 2020-002</t>
  </si>
  <si>
    <t>2020-NFA- RBAC8-INFR- 23</t>
  </si>
  <si>
    <t>100-2020-07-190</t>
  </si>
  <si>
    <t>100-2020-07-174</t>
  </si>
  <si>
    <t>CLI-20-0355-B(REBID2)</t>
  </si>
  <si>
    <t>300(01)20-08-543(O)</t>
  </si>
  <si>
    <t>54-202034-20</t>
  </si>
  <si>
    <t>BEMO-2020-0196 Rebidding</t>
  </si>
  <si>
    <t>LGUCQ-I-2020-08-0015</t>
  </si>
  <si>
    <t>ITB No. UATLMC2020-101-08-006</t>
  </si>
  <si>
    <t>8182020-049</t>
  </si>
  <si>
    <t>51-201706-20</t>
  </si>
  <si>
    <t>Goods_ICT Internet Connectivity</t>
  </si>
  <si>
    <t>POW - 8751 - 2020 - PCO - 09</t>
  </si>
  <si>
    <t>SVP 2020-427</t>
  </si>
  <si>
    <t>2020-02-105 &amp; 2020-02-114</t>
  </si>
  <si>
    <t>BP-081820-034</t>
  </si>
  <si>
    <t>2020-482</t>
  </si>
  <si>
    <t>BALSF-G-PDAF-2020-02</t>
  </si>
  <si>
    <t>100-2020-08-020B</t>
  </si>
  <si>
    <t>Bid No. 20-0395</t>
  </si>
  <si>
    <t>20CB-GSC-534	PURCHASE OF FURNITURE AND FIXTURES (R</t>
  </si>
  <si>
    <t>PRDP-GEF-MPA-001</t>
  </si>
  <si>
    <t>BCS-2020-0296</t>
  </si>
  <si>
    <t>ITB No. 06-Goods-2020</t>
  </si>
  <si>
    <t>Bid No. 20-0394</t>
  </si>
  <si>
    <t>20CB-GSC-535	PURCHASE OF VARIOUS OFFICE EQUIPMENT(</t>
  </si>
  <si>
    <t>CAD-2020-08-0360</t>
  </si>
  <si>
    <t>TFB 2020-006 Recanvass</t>
  </si>
  <si>
    <t>202008080</t>
  </si>
  <si>
    <t>LGUCQ-I-2020-08-0018</t>
  </si>
  <si>
    <t>08-18-2020-E</t>
  </si>
  <si>
    <t>PR#20-08-0491</t>
  </si>
  <si>
    <t>2020 Goods 002</t>
  </si>
  <si>
    <t>G-135-20</t>
  </si>
  <si>
    <t>02.2020.0101</t>
  </si>
  <si>
    <t>INFRA-PB-2020-021</t>
  </si>
  <si>
    <t>Bid No. 20-0397</t>
  </si>
  <si>
    <t>PRDP-GEF-MPA-002</t>
  </si>
  <si>
    <t>ITB-2020-44</t>
  </si>
  <si>
    <t>PB-2020-08-010</t>
  </si>
  <si>
    <t>02.2020.0103</t>
  </si>
  <si>
    <t>20GKE0008 Lot1</t>
  </si>
  <si>
    <t>IB-2020-07-06-106</t>
  </si>
  <si>
    <t>POB-08-2020</t>
  </si>
  <si>
    <t>100-07-20-01720</t>
  </si>
  <si>
    <t>INFRA-PB-2020-022</t>
  </si>
  <si>
    <t>Goods-2020-003</t>
  </si>
  <si>
    <t>2020-08-485</t>
  </si>
  <si>
    <t>6523-2020-052</t>
  </si>
  <si>
    <t>2020 INFRA 039</t>
  </si>
  <si>
    <t>ITB No. 2020-08-061</t>
  </si>
  <si>
    <t>8182020</t>
  </si>
  <si>
    <t>08-18-2020-D</t>
  </si>
  <si>
    <t>20CSPJ03</t>
  </si>
  <si>
    <t>LGUCQ-I-2020-08-0019</t>
  </si>
  <si>
    <t>BAC-OSEC-2020-08-036</t>
  </si>
  <si>
    <t>2020-08-0245</t>
  </si>
  <si>
    <t>20DJ0110</t>
  </si>
  <si>
    <t>PROL-08-01-20</t>
  </si>
  <si>
    <t>Bid No. 20-0398</t>
  </si>
  <si>
    <t>DOST IX-20-0004</t>
  </si>
  <si>
    <t>DARFO2.CVRC.115.REC.2020-08-1065.00</t>
  </si>
  <si>
    <t>BAC PB 2020-20</t>
  </si>
  <si>
    <t>2020-08-0237</t>
  </si>
  <si>
    <t>2020-0321</t>
  </si>
  <si>
    <t>PR. 20-08-316 (2020-08-292)</t>
  </si>
  <si>
    <t>IPH-20-0170-B(REBID)</t>
  </si>
  <si>
    <t>SFS-17-20</t>
  </si>
  <si>
    <t>2020-08-096bid</t>
  </si>
  <si>
    <t>IB No. 2020-33</t>
  </si>
  <si>
    <t>2020-ODY-08-268</t>
  </si>
  <si>
    <t>2020-08-0209</t>
  </si>
  <si>
    <t>20CSDN02</t>
  </si>
  <si>
    <t>LGU-RFQ-2020-81</t>
  </si>
  <si>
    <t>20DJ0112</t>
  </si>
  <si>
    <t>20CSDN03</t>
  </si>
  <si>
    <t>RP No. 1748 -20BAC</t>
  </si>
  <si>
    <t>SVP19-674</t>
  </si>
  <si>
    <t>2020-ODY-08-269</t>
  </si>
  <si>
    <t>2020-ODY-08-267</t>
  </si>
  <si>
    <t>20DJ0111</t>
  </si>
  <si>
    <t>SFS-15-20</t>
  </si>
  <si>
    <t>20GKE0008 Lot 2</t>
  </si>
  <si>
    <t>PB2020-08-123G</t>
  </si>
  <si>
    <t>UPLB-S-054-09-20</t>
  </si>
  <si>
    <t>081820-B3</t>
  </si>
  <si>
    <t>20-04-00317</t>
  </si>
  <si>
    <t>2020-040g</t>
  </si>
  <si>
    <t>PB2020-08-118G</t>
  </si>
  <si>
    <t>OPA-FISHERIES-2020-0193 Rebidding</t>
  </si>
  <si>
    <t>2020-039g</t>
  </si>
  <si>
    <t>2020-08-2581</t>
  </si>
  <si>
    <t>TFB 2020-007 Recanvass</t>
  </si>
  <si>
    <t>JHS - 006- 08 - 2020</t>
  </si>
  <si>
    <t>20-02-00171</t>
  </si>
  <si>
    <t>CRN-PB-010-GOODS-2020</t>
  </si>
  <si>
    <t>MRH-012-2020</t>
  </si>
  <si>
    <t>2020-ODY-08-272</t>
  </si>
  <si>
    <t>IPH-20-0375-B</t>
  </si>
  <si>
    <t>824</t>
  </si>
  <si>
    <t>RFQ-23-2020 (LOT 1)</t>
  </si>
  <si>
    <t>IPH-20-0684-B</t>
  </si>
  <si>
    <t>TFB 2020-008 Recanvass</t>
  </si>
  <si>
    <t>IB No. 2020-34</t>
  </si>
  <si>
    <t>2020-ODY-08-271</t>
  </si>
  <si>
    <t>26</t>
  </si>
  <si>
    <t>2020-036J</t>
  </si>
  <si>
    <t>CGB-2020-08-011</t>
  </si>
  <si>
    <t>RFQ-23-2020 (LOT 2)</t>
  </si>
  <si>
    <t>JHS - 007 - 08 - 2020</t>
  </si>
  <si>
    <t>2020-026</t>
  </si>
  <si>
    <t>PR No. 1758 -20BAC</t>
  </si>
  <si>
    <t>SEIA-LIBANG-RIP-001-RO</t>
  </si>
  <si>
    <t>002-08-2020</t>
  </si>
  <si>
    <t>DOST-CO-PB NO. 2020-08-005</t>
  </si>
  <si>
    <t>2020235</t>
  </si>
  <si>
    <t>2020-038J</t>
  </si>
  <si>
    <t>IB No. 2020-35</t>
  </si>
  <si>
    <t>2020-037J</t>
  </si>
  <si>
    <t>PR No. 1757 -20BAC</t>
  </si>
  <si>
    <t>2020-ODY-08-273</t>
  </si>
  <si>
    <t>SVP20-675</t>
  </si>
  <si>
    <t>CGB-2020-08-010</t>
  </si>
  <si>
    <t>IPH-20-0717-B</t>
  </si>
  <si>
    <t>2020-08-0052</t>
  </si>
  <si>
    <t>2020-08-0055</t>
  </si>
  <si>
    <t>PB-G-2020-1</t>
  </si>
  <si>
    <t>3LSSM2020A-154</t>
  </si>
  <si>
    <t>3LSSM2020A-158</t>
  </si>
  <si>
    <t>3LSSM2020A-155</t>
  </si>
  <si>
    <t>3LSSM2020A-156</t>
  </si>
  <si>
    <t>3LSSM2020A-153</t>
  </si>
  <si>
    <t>rdd go 2020-25</t>
  </si>
  <si>
    <t>3LSSM2020A-157</t>
  </si>
  <si>
    <t>GPG-B2-2020-320 3rd Rebid</t>
  </si>
  <si>
    <t>PR No. 1756 -20BAC</t>
  </si>
  <si>
    <t>3LSSM2020A-159</t>
  </si>
  <si>
    <t>20GG0072-G</t>
  </si>
  <si>
    <t>JHS - 008 - 08 - 2020</t>
  </si>
  <si>
    <t>DOST-CO-PB NO. 2020-08-006</t>
  </si>
  <si>
    <t>P.R. No. 2020-08-0125</t>
  </si>
  <si>
    <t>SVP20-676</t>
  </si>
  <si>
    <t>SVP-20-002</t>
  </si>
  <si>
    <t>6071</t>
  </si>
  <si>
    <t>PR No. 1746 -20BAC</t>
  </si>
  <si>
    <t>3LSSM2020A-165</t>
  </si>
  <si>
    <t>20FC0082</t>
  </si>
  <si>
    <t>3LSSM2020A-166</t>
  </si>
  <si>
    <t>3LSSM2020A-164</t>
  </si>
  <si>
    <t>Langaon ES MOOe Subsidy</t>
  </si>
  <si>
    <t>3LSSM2020A-167</t>
  </si>
  <si>
    <t>BAC-OSEC-2020-07-023</t>
  </si>
  <si>
    <t>3LSSM2020A-161</t>
  </si>
  <si>
    <t>3LSSM2020A-177</t>
  </si>
  <si>
    <t>IB NO. 041-20</t>
  </si>
  <si>
    <t>CW 2020-008-026</t>
  </si>
  <si>
    <t>3LSSM2020A-180</t>
  </si>
  <si>
    <t>20FC0085</t>
  </si>
  <si>
    <t>3LSSM2020A-178</t>
  </si>
  <si>
    <t>3LSSM2020A-175</t>
  </si>
  <si>
    <t>2020-027</t>
  </si>
  <si>
    <t>3LSSM2020A-179</t>
  </si>
  <si>
    <t>2020-08-47</t>
  </si>
  <si>
    <t>3LSSM2020A-172</t>
  </si>
  <si>
    <t>3LSSM2020A-176</t>
  </si>
  <si>
    <t>3LSSM2020A-162</t>
  </si>
  <si>
    <t>3LSSM2020A-174</t>
  </si>
  <si>
    <t>3LSSM2020A-163</t>
  </si>
  <si>
    <t>2020-08-0246</t>
  </si>
  <si>
    <t>008-036-2020</t>
  </si>
  <si>
    <t>6072</t>
  </si>
  <si>
    <t>3LSSM2020A-171</t>
  </si>
  <si>
    <t>3LSSM2020A-170</t>
  </si>
  <si>
    <t>007</t>
  </si>
  <si>
    <t>2020-GOODS-008</t>
  </si>
  <si>
    <t>008-033-2020</t>
  </si>
  <si>
    <t>3LSSM2020A-183</t>
  </si>
  <si>
    <t>3LSSM2020A-181</t>
  </si>
  <si>
    <t>2020-08-49</t>
  </si>
  <si>
    <t>2019-004</t>
  </si>
  <si>
    <t>3LSSM2020A-182</t>
  </si>
  <si>
    <t>SN 2020-08-03</t>
  </si>
  <si>
    <t>DSWD 4B 2020-08-0765</t>
  </si>
  <si>
    <t>ITA-05-2020</t>
  </si>
  <si>
    <t>SN 2020-08-01</t>
  </si>
  <si>
    <t>008-034-2020</t>
  </si>
  <si>
    <t>2020-08-0255</t>
  </si>
  <si>
    <t>2020-08-1017</t>
  </si>
  <si>
    <t>LGU-Camalig-Infra-06</t>
  </si>
  <si>
    <t>016-2020</t>
  </si>
  <si>
    <t>2020-08-0254</t>
  </si>
  <si>
    <t>015-2020</t>
  </si>
  <si>
    <t>2020-08-48</t>
  </si>
  <si>
    <t>Public Bidding Pr no. 159-2020</t>
  </si>
  <si>
    <t>62</t>
  </si>
  <si>
    <t>3LSSM2020A-173</t>
  </si>
  <si>
    <t>202081</t>
  </si>
  <si>
    <t>ITB No. EMB-GOODS-NCB-2020-0009</t>
  </si>
  <si>
    <t>008-035-2020</t>
  </si>
  <si>
    <t>G003-08-2020</t>
  </si>
  <si>
    <t>LGU-Camalig-Infra-08</t>
  </si>
  <si>
    <t>UPC PB2020-08-05</t>
  </si>
  <si>
    <t>BAC-BLR-2020-08-037</t>
  </si>
  <si>
    <t>20GM00186</t>
  </si>
  <si>
    <t>LGU-Camalig-Infra-07</t>
  </si>
  <si>
    <t>29-2020</t>
  </si>
  <si>
    <t>ITB No. EMB-GOODS-NCB-2020-0012</t>
  </si>
  <si>
    <t>31-2020</t>
  </si>
  <si>
    <t>ITA-06-2020</t>
  </si>
  <si>
    <t>BAC-BLE-2020-08-039</t>
  </si>
  <si>
    <t>20GM00187</t>
  </si>
  <si>
    <t>BAC-AS-2020-08-035</t>
  </si>
  <si>
    <t>2020-380-099</t>
  </si>
  <si>
    <t>N20-NWS-121</t>
  </si>
  <si>
    <t>DOSTXI-PB-2020-08-003</t>
  </si>
  <si>
    <t>20EA0061</t>
  </si>
  <si>
    <t>30-2020</t>
  </si>
  <si>
    <t>nlontoc-ITB075-2020</t>
  </si>
  <si>
    <t>MAFAR-08-150-2020</t>
  </si>
  <si>
    <t>MAFAR-08-151-2020</t>
  </si>
  <si>
    <t>2020-42-098</t>
  </si>
  <si>
    <t>PPNSSK-08-001</t>
  </si>
  <si>
    <t>N20-LDF-126</t>
  </si>
  <si>
    <t>ITB No. EMB-GOODS-NCB-2020-0011</t>
  </si>
  <si>
    <t>N20-LDF-125</t>
  </si>
  <si>
    <t>MAFAR-08-152-2020</t>
  </si>
  <si>
    <t>081820-H01</t>
  </si>
  <si>
    <t>N20-LDRRM-124</t>
  </si>
  <si>
    <t>08-19-2020-03</t>
  </si>
  <si>
    <t>GS 2020-008-027</t>
  </si>
  <si>
    <t>Catigbi-an-2020-08-001</t>
  </si>
  <si>
    <t>MAFAR-08-156-2020</t>
  </si>
  <si>
    <t>N20-LDRRM-123</t>
  </si>
  <si>
    <t>2020-315-100</t>
  </si>
  <si>
    <t>2020-08-188</t>
  </si>
  <si>
    <t>GEPS-2020-010</t>
  </si>
  <si>
    <t>20EA0062</t>
  </si>
  <si>
    <t>G004-08-2020</t>
  </si>
  <si>
    <t>MAFAR-08-154-2020</t>
  </si>
  <si>
    <t>56-2020</t>
  </si>
  <si>
    <t>32-2020</t>
  </si>
  <si>
    <t>33-2020</t>
  </si>
  <si>
    <t>ITB No. EMB-GOODS-NCB-2020-0010</t>
  </si>
  <si>
    <t>20-08-00492</t>
  </si>
  <si>
    <t>PNHS 026-08-2020</t>
  </si>
  <si>
    <t>BAC PB 2020-27</t>
  </si>
  <si>
    <t>PB-20-462</t>
  </si>
  <si>
    <t>MAFAR-08-155-2020</t>
  </si>
  <si>
    <t>55-2020</t>
  </si>
  <si>
    <t>CELPDS 200-20-07-08940</t>
  </si>
  <si>
    <t>PB-20-465</t>
  </si>
  <si>
    <t>MAFAR-08-153-2020</t>
  </si>
  <si>
    <t>PB-20-464</t>
  </si>
  <si>
    <t>PB-20-463</t>
  </si>
  <si>
    <t>08-19-2020-04</t>
  </si>
  <si>
    <t>PB-20-445</t>
  </si>
  <si>
    <t>20EA0060</t>
  </si>
  <si>
    <t>PB-20-436</t>
  </si>
  <si>
    <t>PB-20-435</t>
  </si>
  <si>
    <t>081820-H03</t>
  </si>
  <si>
    <t>PB-20-374</t>
  </si>
  <si>
    <t>2020-G-142</t>
  </si>
  <si>
    <t>081820-H04</t>
  </si>
  <si>
    <t>081820-H02</t>
  </si>
  <si>
    <t>20GM00188</t>
  </si>
  <si>
    <t>nlontoc-ITB076-2020</t>
  </si>
  <si>
    <t>PB-20-434</t>
  </si>
  <si>
    <t>2020-08-0247</t>
  </si>
  <si>
    <t>2020-07-0171</t>
  </si>
  <si>
    <t>PB-20-429</t>
  </si>
  <si>
    <t>2020-07-0177</t>
  </si>
  <si>
    <t>DJRHD 200-20-08-10023</t>
  </si>
  <si>
    <t>MAFAR-08-160-2020</t>
  </si>
  <si>
    <t>MAFAR-08-161-2020</t>
  </si>
  <si>
    <t>MAFAR-08-159-2020</t>
  </si>
  <si>
    <t>08-19-2020-05</t>
  </si>
  <si>
    <t>081820-H07</t>
  </si>
  <si>
    <t>MAFAR-08-157-2020</t>
  </si>
  <si>
    <t>2020-07-0159</t>
  </si>
  <si>
    <t>081820-H05</t>
  </si>
  <si>
    <t>N20-LDF-127</t>
  </si>
  <si>
    <t>2020-08-0193</t>
  </si>
  <si>
    <t>MAFAR-08-158-2020</t>
  </si>
  <si>
    <t>PCAG 200-20-03-02274</t>
  </si>
  <si>
    <t>100-2020-07-847</t>
  </si>
  <si>
    <t>N20-MSWD-122</t>
  </si>
  <si>
    <t>2020-08-0200</t>
  </si>
  <si>
    <t>2020-08-049</t>
  </si>
  <si>
    <t>100-2020-07-853</t>
  </si>
  <si>
    <t>100-2020-07-855</t>
  </si>
  <si>
    <t>MAFAR-08-165-2020</t>
  </si>
  <si>
    <t>MAFAR-08-167-2020</t>
  </si>
  <si>
    <t>MAFAR-08-164-2020</t>
  </si>
  <si>
    <t>081820-H09</t>
  </si>
  <si>
    <t>MAFAR-08-166-2020</t>
  </si>
  <si>
    <t>MAFAR-08-163-2020</t>
  </si>
  <si>
    <t>CRN-PB-009-GOODS-2020</t>
  </si>
  <si>
    <t>MAFAR-08-162-2020</t>
  </si>
  <si>
    <t>081820-H06</t>
  </si>
  <si>
    <t>PADAP 200-20-06-07420</t>
  </si>
  <si>
    <t>100-2020-07-845</t>
  </si>
  <si>
    <t>PB-20-466</t>
  </si>
  <si>
    <t>ITB No. Goods-2020-17</t>
  </si>
  <si>
    <t>081820-H08</t>
  </si>
  <si>
    <t>20CSNC0005</t>
  </si>
  <si>
    <t>20CSNC0009</t>
  </si>
  <si>
    <t>20-07-08</t>
  </si>
  <si>
    <t>20CSNC0004</t>
  </si>
  <si>
    <t>037 20-1209</t>
  </si>
  <si>
    <t>ITB No. 20-08-20</t>
  </si>
  <si>
    <t>20CSNC0008</t>
  </si>
  <si>
    <t>PB-08182020-1</t>
  </si>
  <si>
    <t>ITB NO 20-015</t>
  </si>
  <si>
    <t>313357</t>
  </si>
  <si>
    <t>PR-2020-7611-0046</t>
  </si>
  <si>
    <t>20GMA0008</t>
  </si>
  <si>
    <t>20-1904</t>
  </si>
  <si>
    <t>20CSNC0007</t>
  </si>
  <si>
    <t>20-1909</t>
  </si>
  <si>
    <t>20CSNC0006</t>
  </si>
  <si>
    <t>BDN-09-07-2020</t>
  </si>
  <si>
    <t>20-1908</t>
  </si>
  <si>
    <t>ADS-1862-20</t>
  </si>
  <si>
    <t>ADS-1784-20</t>
  </si>
  <si>
    <t>ADS-1799-20</t>
  </si>
  <si>
    <t>ADS-1798-20</t>
  </si>
  <si>
    <t>20-1906</t>
  </si>
  <si>
    <t>ADS-1926-20</t>
  </si>
  <si>
    <t>RFQ2020-08-08</t>
  </si>
  <si>
    <t>MRH-010-2020</t>
  </si>
  <si>
    <t>20GFL0007</t>
  </si>
  <si>
    <t>100-2020-05-704</t>
  </si>
  <si>
    <t>20-1905</t>
  </si>
  <si>
    <t>60</t>
  </si>
  <si>
    <t>ITB-20-0623-198</t>
  </si>
  <si>
    <t>15th Batch 2020</t>
  </si>
  <si>
    <t>100-2020-07-851</t>
  </si>
  <si>
    <t>100-20-08-0876</t>
  </si>
  <si>
    <t>PO NO. 37</t>
  </si>
  <si>
    <t>PR # 100-2020-07-0152</t>
  </si>
  <si>
    <t>PR # 100-2020-07-0160</t>
  </si>
  <si>
    <t>PR # 100-2020-07-0190</t>
  </si>
  <si>
    <t>2008-0710-SFP</t>
  </si>
  <si>
    <t>PR # 100-2020-07-0191</t>
  </si>
  <si>
    <t>PGL 20-110</t>
  </si>
  <si>
    <t>PR # 100-2020-07-0159</t>
  </si>
  <si>
    <t>MAFAR-08-168-2020</t>
  </si>
  <si>
    <t>ANHSM 2020-08-001</t>
  </si>
  <si>
    <t>20-1801</t>
  </si>
  <si>
    <t>PGL 20-109</t>
  </si>
  <si>
    <t>20-1790</t>
  </si>
  <si>
    <t>MG-A5O20-009</t>
  </si>
  <si>
    <t>2008-0722-SFP</t>
  </si>
  <si>
    <t>G-HMO-081-20</t>
  </si>
  <si>
    <t>G-PSWDO-076-20</t>
  </si>
  <si>
    <t>G-PEO-080-20</t>
  </si>
  <si>
    <t>2008-0718-SFP</t>
  </si>
  <si>
    <t>G-PSWDO-075-20</t>
  </si>
  <si>
    <t>100-20-07-0828</t>
  </si>
  <si>
    <t>2008-0723-SFP</t>
  </si>
  <si>
    <t>100-2020-07-854</t>
  </si>
  <si>
    <t>2008-0716-SFP</t>
  </si>
  <si>
    <t>200-20-08-0874</t>
  </si>
  <si>
    <t>20-010-01</t>
  </si>
  <si>
    <t>ADS-1863-20</t>
  </si>
  <si>
    <t>2008-0719-SFP</t>
  </si>
  <si>
    <t>100-20-05-0560</t>
  </si>
  <si>
    <t>20EB0145</t>
  </si>
  <si>
    <t>20EB0144</t>
  </si>
  <si>
    <t>20EB0143</t>
  </si>
  <si>
    <t>PR # 100-2020-08-0016</t>
  </si>
  <si>
    <t>G-PEO-079-20</t>
  </si>
  <si>
    <t>2020-08-184</t>
  </si>
  <si>
    <t>G-PGO-087-20</t>
  </si>
  <si>
    <t>G-TLDH-085-20</t>
  </si>
  <si>
    <t>100-20-08-0850</t>
  </si>
  <si>
    <t>G-PEEIPO-088-20</t>
  </si>
  <si>
    <t>G-HMO-082-20</t>
  </si>
  <si>
    <t>PR 1283-20</t>
  </si>
  <si>
    <t>G-TLDH-086-20</t>
  </si>
  <si>
    <t>100-20-06-0617</t>
  </si>
  <si>
    <t>G-PHO-084-20</t>
  </si>
  <si>
    <t>200-20-08-0875</t>
  </si>
  <si>
    <t>SMB-20G013-0807</t>
  </si>
  <si>
    <t>CW-BKVC-2020-04</t>
  </si>
  <si>
    <t>2008-0715-SFP</t>
  </si>
  <si>
    <t>SMB-20G012-0807</t>
  </si>
  <si>
    <t>SMB-20G011-0807</t>
  </si>
  <si>
    <t>CW-BKVC-2020-03</t>
  </si>
  <si>
    <t>2020-137</t>
  </si>
  <si>
    <t>PR 1162-20</t>
  </si>
  <si>
    <t>2020-136</t>
  </si>
  <si>
    <t>Various PR's</t>
  </si>
  <si>
    <t>SMB-20I050-0807</t>
  </si>
  <si>
    <t>G-PGO-089-20</t>
  </si>
  <si>
    <t>ITB INFRA-034-2020</t>
  </si>
  <si>
    <t>2020-PB-030</t>
  </si>
  <si>
    <t>2020-138</t>
  </si>
  <si>
    <t>101-8918-08-25-2020</t>
  </si>
  <si>
    <t>G-PHO-083-20</t>
  </si>
  <si>
    <t>AGR-19-1176-B</t>
  </si>
  <si>
    <t>101-8911-08-24-2020</t>
  </si>
  <si>
    <t>P.R. No. 2020-08-00062</t>
  </si>
  <si>
    <t>2020-PB-033</t>
  </si>
  <si>
    <t>19FA0099</t>
  </si>
  <si>
    <t>PR # 100-2020-08-0032</t>
  </si>
  <si>
    <t>2020-PB-031</t>
  </si>
  <si>
    <t>CNSCPLAGIARISM2020</t>
  </si>
  <si>
    <t>2020-082-20-24</t>
  </si>
  <si>
    <t>2020-025R</t>
  </si>
  <si>
    <t>20IE0117</t>
  </si>
  <si>
    <t>PR#2020-08-070</t>
  </si>
  <si>
    <t>2020-024R</t>
  </si>
  <si>
    <t>PR 1280-20</t>
  </si>
  <si>
    <t>20GSDG0028</t>
  </si>
  <si>
    <t>2020-08-195</t>
  </si>
  <si>
    <t>PRDP ID No. PRDP-IR-R005-MAS-007-000-000-2017</t>
  </si>
  <si>
    <t>2020-08-194</t>
  </si>
  <si>
    <t>2020-08-193</t>
  </si>
  <si>
    <t>ITB # 2020-08-060</t>
  </si>
  <si>
    <t>20IE0118</t>
  </si>
  <si>
    <t>2020-07-0011</t>
  </si>
  <si>
    <t>2020-07-009</t>
  </si>
  <si>
    <t>2020-08-196</t>
  </si>
  <si>
    <t>INF 2020-08-12</t>
  </si>
  <si>
    <t>INF 2020-08-10</t>
  </si>
  <si>
    <t>ITB # 2020-08-054</t>
  </si>
  <si>
    <t>2020-07-0008</t>
  </si>
  <si>
    <t>BTG3-2020-0223</t>
  </si>
  <si>
    <t>ITB # 2020-08-059</t>
  </si>
  <si>
    <t>2020-08-471</t>
  </si>
  <si>
    <t>2020-023R</t>
  </si>
  <si>
    <t>BTG3-2020-0222</t>
  </si>
  <si>
    <t>BTG3-2020-0221</t>
  </si>
  <si>
    <t>BQ-Infra-2020-023</t>
  </si>
  <si>
    <t>BQ-Infra-2020-006</t>
  </si>
  <si>
    <t>BQ-Infra-2020-005</t>
  </si>
  <si>
    <t>BAC -2020-08-08</t>
  </si>
  <si>
    <t>CY2020-GOODS-007</t>
  </si>
  <si>
    <t>PMO-20-39</t>
  </si>
  <si>
    <t>RO4 20-273A</t>
  </si>
  <si>
    <t>2020-082-20-26</t>
  </si>
  <si>
    <t>GOODS-PB-2020-008</t>
  </si>
  <si>
    <t>RDC-CAR-2020-08-11</t>
  </si>
  <si>
    <t>ITB No. 2020-040</t>
  </si>
  <si>
    <t>PR # 100-2020-08-0031</t>
  </si>
  <si>
    <t>2020-082-20-25</t>
  </si>
  <si>
    <t>CW2020-32</t>
  </si>
  <si>
    <t>RFQ-2020-08-054</t>
  </si>
  <si>
    <t>ITB No. 2020-041</t>
  </si>
  <si>
    <t>2020-082-20-30</t>
  </si>
  <si>
    <t>ITB No. 2020-039</t>
  </si>
  <si>
    <t>INF 2020-08-11</t>
  </si>
  <si>
    <t>2020-08-213</t>
  </si>
  <si>
    <t>038 20-1247</t>
  </si>
  <si>
    <t>20GEB0057</t>
  </si>
  <si>
    <t>DA7-2020-08-R&amp;D-20-3066</t>
  </si>
  <si>
    <t>20-08-029</t>
  </si>
  <si>
    <t>2020-139</t>
  </si>
  <si>
    <t>20GEB0073</t>
  </si>
  <si>
    <t>2020-082-20-28</t>
  </si>
  <si>
    <t>329</t>
  </si>
  <si>
    <t>DV -2020-G14</t>
  </si>
  <si>
    <t>031-20</t>
  </si>
  <si>
    <t>2020-082-20-29</t>
  </si>
  <si>
    <t>PB-2019-B-01</t>
  </si>
  <si>
    <t>2020-082-20-33</t>
  </si>
  <si>
    <t>333</t>
  </si>
  <si>
    <t>2020-082-20-32</t>
  </si>
  <si>
    <t>2020-082-20-34</t>
  </si>
  <si>
    <t>048-20</t>
  </si>
  <si>
    <t>ITB No. 08-INFRA-2020</t>
  </si>
  <si>
    <t>smwd08172020-7180987</t>
  </si>
  <si>
    <t>332</t>
  </si>
  <si>
    <t>PR# 20-08-0329</t>
  </si>
  <si>
    <t>2020-082-20-31</t>
  </si>
  <si>
    <t>19B00062</t>
  </si>
  <si>
    <t>95</t>
  </si>
  <si>
    <t>2020-08-0907 TDG</t>
  </si>
  <si>
    <t>RO4 20-274</t>
  </si>
  <si>
    <t>ITB-2020-09</t>
  </si>
  <si>
    <t>PB-GOODS-SEPTEMBER 08, 2020-01</t>
  </si>
  <si>
    <t>DA7-2020-08-R&amp;D-20-3064</t>
  </si>
  <si>
    <t>B2 PEO 300-20-08-10035</t>
  </si>
  <si>
    <t>8172020</t>
  </si>
  <si>
    <t>2020-G-53</t>
  </si>
  <si>
    <t>033-20</t>
  </si>
  <si>
    <t>2020-08-011 (Re-bid)</t>
  </si>
  <si>
    <t>2020-082-20-27</t>
  </si>
  <si>
    <t>B2 PEO 300-20-08-10029</t>
  </si>
  <si>
    <t>TIN-2020-03</t>
  </si>
  <si>
    <t>pal-20-08-024</t>
  </si>
  <si>
    <t>DA7-2020-08-ILD-20-3132</t>
  </si>
  <si>
    <t>salbac 2020 33</t>
  </si>
  <si>
    <t>B2 SB1 PEO19 300-20-08-09854</t>
  </si>
  <si>
    <t>036-20</t>
  </si>
  <si>
    <t>SJ-20-224</t>
  </si>
  <si>
    <t>B2 PEO 300-20-08-10037</t>
  </si>
  <si>
    <t>IB No. 2020-029-I</t>
  </si>
  <si>
    <t>032-20</t>
  </si>
  <si>
    <t>PR No. 2020-08-009</t>
  </si>
  <si>
    <t>20GLH00020 - (P.R. 2020-08-049 dated 08/10/2020)</t>
  </si>
  <si>
    <t>RFQ-19-06-1229-1</t>
  </si>
  <si>
    <t>2020-08-0910 TDG</t>
  </si>
  <si>
    <t>035-20</t>
  </si>
  <si>
    <t>PKOC-RMMV-1737-20</t>
  </si>
  <si>
    <t>ITB No. 05-Goods-2020</t>
  </si>
  <si>
    <t>2020-08-3103</t>
  </si>
  <si>
    <t>GFG-2020-07-022NP</t>
  </si>
  <si>
    <t>GD-PB-2020-08-0345</t>
  </si>
  <si>
    <t>B2 PEO 300-20-08-10031</t>
  </si>
  <si>
    <t>2020-08-3102</t>
  </si>
  <si>
    <t>GFG-2020-08-027R</t>
  </si>
  <si>
    <t>100-2020-08-0079</t>
  </si>
  <si>
    <t>ADS-0732-20</t>
  </si>
  <si>
    <t>335</t>
  </si>
  <si>
    <t>2020-170</t>
  </si>
  <si>
    <t>itb08172020</t>
  </si>
  <si>
    <t>20-07-30-137</t>
  </si>
  <si>
    <t>2020-08-3104</t>
  </si>
  <si>
    <t>PR 177-08-2020</t>
  </si>
  <si>
    <t>B2 PEO 300-20-08-10036</t>
  </si>
  <si>
    <t>034-20</t>
  </si>
  <si>
    <t>BAC-ITIO GS No. 2020-0084 dated 10 August 2020</t>
  </si>
  <si>
    <t>PR 176-08-2020</t>
  </si>
  <si>
    <t>20-14</t>
  </si>
  <si>
    <t>20-08-05-144</t>
  </si>
  <si>
    <t>2020-08-0661</t>
  </si>
  <si>
    <t>100-2020-07-0197</t>
  </si>
  <si>
    <t>2020-08-010 (Re-bid)</t>
  </si>
  <si>
    <t>000157</t>
  </si>
  <si>
    <t>2020-06-0550</t>
  </si>
  <si>
    <t>2020-112</t>
  </si>
  <si>
    <t>RDC-CAR-2020-08-12</t>
  </si>
  <si>
    <t>ITB No. 2020-038</t>
  </si>
  <si>
    <t>PB No. 2020-004</t>
  </si>
  <si>
    <t>200-20-08-0151</t>
  </si>
  <si>
    <t>008-2020-I</t>
  </si>
  <si>
    <t>RFQ-19-08-1848</t>
  </si>
  <si>
    <t>B-001-20</t>
  </si>
  <si>
    <t>RFQ-20-07-1630</t>
  </si>
  <si>
    <t>PR082000657</t>
  </si>
  <si>
    <t>000436</t>
  </si>
  <si>
    <t>2020-08-0318</t>
  </si>
  <si>
    <t>RFQ-20-07-1638</t>
  </si>
  <si>
    <t>ADS-1927-20</t>
  </si>
  <si>
    <t>KB-IP-GOODS-2020-02</t>
  </si>
  <si>
    <t>DA7-2020-08-AMIA-20-3085</t>
  </si>
  <si>
    <t>Quotation No. 20-07-0426</t>
  </si>
  <si>
    <t>PKOC-RMOE-1735-20</t>
  </si>
  <si>
    <t>G-BRGY-08172020-Concreting of Barangay Road - Brgy</t>
  </si>
  <si>
    <t>000508</t>
  </si>
  <si>
    <t>2020-08-0475</t>
  </si>
  <si>
    <t>Mkna-GSO-20-340</t>
  </si>
  <si>
    <t>RFQ-19-11-2595</t>
  </si>
  <si>
    <t>ITB No. 2020-037</t>
  </si>
  <si>
    <t>ITB No. 2020-035</t>
  </si>
  <si>
    <t>ITB No. 2020-034</t>
  </si>
  <si>
    <t>ITB No. 2020-033</t>
  </si>
  <si>
    <t>2020-07-0010</t>
  </si>
  <si>
    <t>RFQ-20-02-0420</t>
  </si>
  <si>
    <t>RFQ.2020-012</t>
  </si>
  <si>
    <t>0000412</t>
  </si>
  <si>
    <t>2020-082-20-35</t>
  </si>
  <si>
    <t>TFG-2020-08-026R</t>
  </si>
  <si>
    <t>ITB No. 2020-036</t>
  </si>
  <si>
    <t>2020-08-0373</t>
  </si>
  <si>
    <t>SVP 2020-424</t>
  </si>
  <si>
    <t>ICTMU-2020-08-0318</t>
  </si>
  <si>
    <t>110500</t>
  </si>
  <si>
    <t>RFQ-20-07-1678</t>
  </si>
  <si>
    <t>GDS-408-2020</t>
  </si>
  <si>
    <t>M-13-20</t>
  </si>
  <si>
    <t>MEO-INFRA-CONT'.LEGISLATIVE BLDG.-1PB</t>
  </si>
  <si>
    <t>DV -2020-G22</t>
  </si>
  <si>
    <t>04-267-2020</t>
  </si>
  <si>
    <t>RFQ 2020-325</t>
  </si>
  <si>
    <t>ITB 2020-028</t>
  </si>
  <si>
    <t>ADS-1801-20</t>
  </si>
  <si>
    <t>SB4 WDP 200-20-07-09104</t>
  </si>
  <si>
    <t>DV -2020-G20</t>
  </si>
  <si>
    <t>B2 SB2 POP19 300-20-03-02966</t>
  </si>
  <si>
    <t>ITB 2020-027</t>
  </si>
  <si>
    <t>PR NO. 2020-08-026</t>
  </si>
  <si>
    <t>2020-082-20-37</t>
  </si>
  <si>
    <t>202008079</t>
  </si>
  <si>
    <t>SVP 2020-425</t>
  </si>
  <si>
    <t>GOODS-PB-2020-007</t>
  </si>
  <si>
    <t>037-20</t>
  </si>
  <si>
    <t>2020-082-20-36</t>
  </si>
  <si>
    <t>MJJLECG012-2020-01</t>
  </si>
  <si>
    <t>306489</t>
  </si>
  <si>
    <t>LGU-AL-G-24-2020</t>
  </si>
  <si>
    <t>00041-20-0603-0239</t>
  </si>
  <si>
    <t>SB4 PDRRMO 200-20-06-07780</t>
  </si>
  <si>
    <t>RFQ - 2020-08-056</t>
  </si>
  <si>
    <t>TFG-2020-07-023NP</t>
  </si>
  <si>
    <t>INFRA-13-20-04</t>
  </si>
  <si>
    <t>2020-08-192</t>
  </si>
  <si>
    <t>2020-08-190</t>
  </si>
  <si>
    <t>2020-08-187</t>
  </si>
  <si>
    <t>2020-08-185</t>
  </si>
  <si>
    <t>B2 SB2 POP19 300-20-03-02965</t>
  </si>
  <si>
    <t>2020-08-191</t>
  </si>
  <si>
    <t>WDP 200-20-06-07623</t>
  </si>
  <si>
    <t>2020-082-20-38</t>
  </si>
  <si>
    <t>Barangay Pudoc-20-08-001</t>
  </si>
  <si>
    <t>ITB - 01 AUGUST 2020</t>
  </si>
  <si>
    <t>2020-08-189</t>
  </si>
  <si>
    <t>2020-0817-2</t>
  </si>
  <si>
    <t>LUT-GOODS-08-001-2020</t>
  </si>
  <si>
    <t>2020-0817-1</t>
  </si>
  <si>
    <t>RFQ-19-09-2038-1</t>
  </si>
  <si>
    <t>RFQ No. 2020-15</t>
  </si>
  <si>
    <t>20FL0088</t>
  </si>
  <si>
    <t>2020-08-186</t>
  </si>
  <si>
    <t>RCJ2020-008</t>
  </si>
  <si>
    <t>2020-08-0384</t>
  </si>
  <si>
    <t>2020-08-042</t>
  </si>
  <si>
    <t>Sip-2020-118</t>
  </si>
  <si>
    <t>2020-082-20-40</t>
  </si>
  <si>
    <t>2020-09-026</t>
  </si>
  <si>
    <t xml:space="preserve">I-BRGY-08172020-Fabrication/Construction of MRF - </t>
  </si>
  <si>
    <t>Supplies 319-2020</t>
  </si>
  <si>
    <t>GD-PB-2020-08-0346</t>
  </si>
  <si>
    <t>RO4 20-297</t>
  </si>
  <si>
    <t>2020-0817-5</t>
  </si>
  <si>
    <t>2020-019-smb</t>
  </si>
  <si>
    <t>ITB 20-004</t>
  </si>
  <si>
    <t>2020-08-043</t>
  </si>
  <si>
    <t>2020-082-20-39</t>
  </si>
  <si>
    <t>2020-0817-4</t>
  </si>
  <si>
    <t>SVP 2020-431</t>
  </si>
  <si>
    <t>20-00055</t>
  </si>
  <si>
    <t>Supplies 317-2020</t>
  </si>
  <si>
    <t>PKOC-OTSM-1732-20</t>
  </si>
  <si>
    <t>Supplies 318-2020</t>
  </si>
  <si>
    <t>ADS-1803-20</t>
  </si>
  <si>
    <t>20FL0089</t>
  </si>
  <si>
    <t>2020-0817-8</t>
  </si>
  <si>
    <t>blgupoblacion-2019</t>
  </si>
  <si>
    <t>SJ-20-225</t>
  </si>
  <si>
    <t>2020-082-20-42</t>
  </si>
  <si>
    <t>I-BRGY-08172020-Construction of Box Culvert - Brgy</t>
  </si>
  <si>
    <t>2020-0817-7</t>
  </si>
  <si>
    <t>2020-082-19-41</t>
  </si>
  <si>
    <t>SF-20-16</t>
  </si>
  <si>
    <t>DV -2020-G21</t>
  </si>
  <si>
    <t>M-14-20</t>
  </si>
  <si>
    <t>BLGU Sisimon 2020-003</t>
  </si>
  <si>
    <t>2020-14-042-INFRA</t>
  </si>
  <si>
    <t>PR 1-20-07-0869 - CED (REBIDDING)</t>
  </si>
  <si>
    <t>2020-0817-11</t>
  </si>
  <si>
    <t>20HJ0125</t>
  </si>
  <si>
    <t>20-06-08-16c</t>
  </si>
  <si>
    <t>2020-082-20-45</t>
  </si>
  <si>
    <t>2020-0817-10</t>
  </si>
  <si>
    <t>PR 1-20-07-0824 - CED (REBIDDING)</t>
  </si>
  <si>
    <t>2020-082-20-44</t>
  </si>
  <si>
    <t>R3-2020-06-020-B</t>
  </si>
  <si>
    <t>CNSCFACEMASK2020</t>
  </si>
  <si>
    <t>BLGU-AL-ALANGILAN-01-2020</t>
  </si>
  <si>
    <t>2020-08-0187</t>
  </si>
  <si>
    <t>2020-POBLACION-049</t>
  </si>
  <si>
    <t>PR 1-20-08-0964 - CPDCO</t>
  </si>
  <si>
    <t>S3-PDM20-022 (Re-bid)</t>
  </si>
  <si>
    <t>PR 1-20-07-0910 - AGRI (REBIDDING)</t>
  </si>
  <si>
    <t>PR 1-20-07-0893 - CMO (REBIDDING)</t>
  </si>
  <si>
    <t>NP/PB 20-0953</t>
  </si>
  <si>
    <t>PR 1-20-07-0892 - AGRI (REBIDDING)</t>
  </si>
  <si>
    <t>ITB No. 2020-04-027 SG RE-BID</t>
  </si>
  <si>
    <t>PR 1-20-07-0956 - CED</t>
  </si>
  <si>
    <t>DV -2020-G15</t>
  </si>
  <si>
    <t>PR 1-20-07-0924 - CEMO</t>
  </si>
  <si>
    <t>PR 1-20-07-0887 - AGRI (REBIDDING)</t>
  </si>
  <si>
    <t>PR 1-20-07-0871 - CEMO</t>
  </si>
  <si>
    <t>2020-08-0184</t>
  </si>
  <si>
    <t>2020-082-20-43</t>
  </si>
  <si>
    <t>2020-0817-9</t>
  </si>
  <si>
    <t>2020-64</t>
  </si>
  <si>
    <t>11480</t>
  </si>
  <si>
    <t>M-20-27</t>
  </si>
  <si>
    <t>2020-14-041-INFRA</t>
  </si>
  <si>
    <t>SJ-20-226</t>
  </si>
  <si>
    <t>PR No. 1000033479 - Supply and Delivery of Automat</t>
  </si>
  <si>
    <t>PR No. 2020-08-0298</t>
  </si>
  <si>
    <t>PR No. : 2020-08-044</t>
  </si>
  <si>
    <t>PR 1-20-08-0976 - AGRI</t>
  </si>
  <si>
    <t>BFPX 2020-08</t>
  </si>
  <si>
    <t>2020-275</t>
  </si>
  <si>
    <t>202-08-002</t>
  </si>
  <si>
    <t>20-0057</t>
  </si>
  <si>
    <t>GOODS 2020-36</t>
  </si>
  <si>
    <t>PR 1-20-08-0967 - CEMO</t>
  </si>
  <si>
    <t>PR 1-20-08-0973 - LEGAL</t>
  </si>
  <si>
    <t>PR 1-20-08-0972 - AIAS</t>
  </si>
  <si>
    <t>2020-281</t>
  </si>
  <si>
    <t>Infra-20-002</t>
  </si>
  <si>
    <t>2020-PLA-088</t>
  </si>
  <si>
    <t>Aklan BAC ITB 458 Series of 2020</t>
  </si>
  <si>
    <t>MG-TSE20-032...REHAB/REPAIR OF VARIOUS DEFECTIVE V</t>
  </si>
  <si>
    <t>Quotation No. 20-07-0428</t>
  </si>
  <si>
    <t>2020-0817-12</t>
  </si>
  <si>
    <t>Quotation No. 20-07-0427</t>
  </si>
  <si>
    <t>2020-08-36</t>
  </si>
  <si>
    <t>2020-080-Cantuod</t>
  </si>
  <si>
    <t>PR 1-20-08-0966 - CED</t>
  </si>
  <si>
    <t>20-31</t>
  </si>
  <si>
    <t>R3-2020-011</t>
  </si>
  <si>
    <t>CID NO. 20IF0143</t>
  </si>
  <si>
    <t>30-20-07-087</t>
  </si>
  <si>
    <t>PR 4-20-07-0948 - CWD</t>
  </si>
  <si>
    <t>Civil Works 02</t>
  </si>
  <si>
    <t>2020-0817-6</t>
  </si>
  <si>
    <t>20-29</t>
  </si>
  <si>
    <t>G42-2020</t>
  </si>
  <si>
    <t>GOODS 2020-40</t>
  </si>
  <si>
    <t>2020-363</t>
  </si>
  <si>
    <t>2020-276</t>
  </si>
  <si>
    <t>GOODSZAM-2020-008</t>
  </si>
  <si>
    <t>S3-LGY20-019</t>
  </si>
  <si>
    <t>0001-0023-0254-2020</t>
  </si>
  <si>
    <t>PR 1-20-06-0760 - CTO (REBIDDING)</t>
  </si>
  <si>
    <t>200-08-20-00005</t>
  </si>
  <si>
    <t>MG-CEN20-001..RADIAL DRILL, 2500MM</t>
  </si>
  <si>
    <t>CID NO. 20IF0144</t>
  </si>
  <si>
    <t>Quotation No. 20-07-0431</t>
  </si>
  <si>
    <t>MH-INFRA-BULWANGAN-MPC-2020060</t>
  </si>
  <si>
    <t>2020-377</t>
  </si>
  <si>
    <t>RFQ - 2020-08-057</t>
  </si>
  <si>
    <t>Quotation No. 20-07-0429</t>
  </si>
  <si>
    <t>B-ITB-31-2020-I</t>
  </si>
  <si>
    <t>038-20</t>
  </si>
  <si>
    <t>RNS-2020-08-015</t>
  </si>
  <si>
    <t>Quotation No. 20-07-0434</t>
  </si>
  <si>
    <t>00044-20-0526-0232</t>
  </si>
  <si>
    <t>GOODS 2020-37</t>
  </si>
  <si>
    <t>Quotation No. 20-07-0430</t>
  </si>
  <si>
    <t>cgb2020-312</t>
  </si>
  <si>
    <t>MMIPII-S-2020-02</t>
  </si>
  <si>
    <t>RNS-2020-08-017</t>
  </si>
  <si>
    <t>PR 1-20-08-1004 - CTO</t>
  </si>
  <si>
    <t>LGU-APA-20-08-64</t>
  </si>
  <si>
    <t>MH-INFRA-MEO-CEMETERY-NICHES-1038</t>
  </si>
  <si>
    <t>2020-POBLACION-050</t>
  </si>
  <si>
    <t>Invitation to Bid 12-2020</t>
  </si>
  <si>
    <t>ITB NO. SV20-08-005ANG PROCUREMENT OF SERVICE PROV</t>
  </si>
  <si>
    <t>Quotation No. 20-07-0433</t>
  </si>
  <si>
    <t>Infra-20-003</t>
  </si>
  <si>
    <t>Quotation No. 20-07-0432</t>
  </si>
  <si>
    <t>Quotation No. 20-07-0435</t>
  </si>
  <si>
    <t>0020-0246-1196.2020</t>
  </si>
  <si>
    <t>02</t>
  </si>
  <si>
    <t>00</t>
  </si>
  <si>
    <t>SJ-20-227</t>
  </si>
  <si>
    <t>GOODS 2020-38</t>
  </si>
  <si>
    <t>RB-16-2020-M</t>
  </si>
  <si>
    <t>PR 9-20-08-0961 - CITY HOSPITAL</t>
  </si>
  <si>
    <t>MG-A5M20-090..CONVEYOR</t>
  </si>
  <si>
    <t>039-20</t>
  </si>
  <si>
    <t>PSHSCLC_TAKEOVERASTBP1REBID</t>
  </si>
  <si>
    <t>2020-POBLACION-051</t>
  </si>
  <si>
    <t>Aklan BAC ITB 459 Series of 2020</t>
  </si>
  <si>
    <t>RNS-2020-08-016</t>
  </si>
  <si>
    <t>RFQ - 2020-08-058</t>
  </si>
  <si>
    <t>LGU-SIN-2020-08-224</t>
  </si>
  <si>
    <t>LGU-APA-19-08-65</t>
  </si>
  <si>
    <t>28-Goods-2020</t>
  </si>
  <si>
    <t>2020-08-080</t>
  </si>
  <si>
    <t>LGU-APA-20-08-60</t>
  </si>
  <si>
    <t>ITB 2020-0023</t>
  </si>
  <si>
    <t>SJ-20-228</t>
  </si>
  <si>
    <t>PR 18-20-07-0930 - CWD</t>
  </si>
  <si>
    <t>300(18)20-08-474(A)</t>
  </si>
  <si>
    <t>GOODS 2020-39</t>
  </si>
  <si>
    <t>2020-07-0310</t>
  </si>
  <si>
    <t>20-08-28</t>
  </si>
  <si>
    <t>2020-277</t>
  </si>
  <si>
    <t>I-2020-024</t>
  </si>
  <si>
    <t>2020-08-0477</t>
  </si>
  <si>
    <t>SJ-20-229</t>
  </si>
  <si>
    <t>BAC-PG-005-20</t>
  </si>
  <si>
    <t>ITB 2020-0024</t>
  </si>
  <si>
    <t>GLQ-2020-1.3</t>
  </si>
  <si>
    <t>LGUPROC 2020 - 176B</t>
  </si>
  <si>
    <t>Goods-ETG -20-08-016</t>
  </si>
  <si>
    <t>0020-0274.1282A2020</t>
  </si>
  <si>
    <t>2020-278</t>
  </si>
  <si>
    <t>GOODS-2020-29</t>
  </si>
  <si>
    <t>SJ-20-230</t>
  </si>
  <si>
    <t>2020-POBLACION-052</t>
  </si>
  <si>
    <t>PB-INFRA-SEPTEMBER 08, 2020-01</t>
  </si>
  <si>
    <t>brgy.-020</t>
  </si>
  <si>
    <t>MH-INFRA-MEO-ROAD-REHABILITATION-865</t>
  </si>
  <si>
    <t>2020-08-0386</t>
  </si>
  <si>
    <t>DA7-2020-08-HALAL-20-2849</t>
  </si>
  <si>
    <t>IB NO. 2020-09-09 (11) Goods</t>
  </si>
  <si>
    <t>2020LGU016</t>
  </si>
  <si>
    <t>97</t>
  </si>
  <si>
    <t>Goods-ETG -20-08-017</t>
  </si>
  <si>
    <t>2020-279</t>
  </si>
  <si>
    <t>0020-0233-1172.2020</t>
  </si>
  <si>
    <t>LGUPROC 2020 -178B</t>
  </si>
  <si>
    <t>9-aballa-2020</t>
  </si>
  <si>
    <t>GOVES-2020-1</t>
  </si>
  <si>
    <t>No. 01-2020</t>
  </si>
  <si>
    <t>2020 - 05</t>
  </si>
  <si>
    <t>081720</t>
  </si>
  <si>
    <t>RFQ-20-06-1479</t>
  </si>
  <si>
    <t>IB. NO. K-2020-095(SC)</t>
  </si>
  <si>
    <t>IB. NO. K-2020-096(SC)</t>
  </si>
  <si>
    <t>RFQ-20-02-0520</t>
  </si>
  <si>
    <t>2020 - 06</t>
  </si>
  <si>
    <t>2020-280</t>
  </si>
  <si>
    <t>98</t>
  </si>
  <si>
    <t>08-17-20</t>
  </si>
  <si>
    <t>20-355</t>
  </si>
  <si>
    <t>Infra-20-006</t>
  </si>
  <si>
    <t>ITB NO. PRO IX 2020 - 004 (OFFICE EQUIPMENT-REBIDD</t>
  </si>
  <si>
    <t>LGUPROC 2020 - 179B</t>
  </si>
  <si>
    <t>LGUPROC 2020 - 180B</t>
  </si>
  <si>
    <t>SJ-20-231</t>
  </si>
  <si>
    <t>Infra-20-005</t>
  </si>
  <si>
    <t>RFQ-20-02-0418</t>
  </si>
  <si>
    <t>LGUPROC 2020 - 182B</t>
  </si>
  <si>
    <t>IB. NO. K-2020-093(SC)</t>
  </si>
  <si>
    <t>08-18-2020-01</t>
  </si>
  <si>
    <t>2020-POBLACION-053</t>
  </si>
  <si>
    <t>KAGUMAY202003</t>
  </si>
  <si>
    <t>DM-BAC-2020-0075</t>
  </si>
  <si>
    <t>100-08-20-02207</t>
  </si>
  <si>
    <t>IB. NO. K-2020-098(SC)</t>
  </si>
  <si>
    <t>KAGUMAY202002</t>
  </si>
  <si>
    <t>IB. NO. K-2020-097(SC)</t>
  </si>
  <si>
    <t>LGYPROC 2020 - 181B</t>
  </si>
  <si>
    <t>Infra-20-007</t>
  </si>
  <si>
    <t>INFRA 2020-52</t>
  </si>
  <si>
    <t>SVP No. C-2020-08-005</t>
  </si>
  <si>
    <t>BA 2020-09</t>
  </si>
  <si>
    <t>Goods-2020-17</t>
  </si>
  <si>
    <t>SVP-2020-21</t>
  </si>
  <si>
    <t>INFRA 2020-54</t>
  </si>
  <si>
    <t>96</t>
  </si>
  <si>
    <t>KAGUMAY202001</t>
  </si>
  <si>
    <t>SVP No. N-2020-08-056</t>
  </si>
  <si>
    <t>DV-2020-I14</t>
  </si>
  <si>
    <t>BAC 2020-E02 REBIDDING</t>
  </si>
  <si>
    <t>PN 2020-20</t>
  </si>
  <si>
    <t>PR No. 1000033329 dated 29 June 2020</t>
  </si>
  <si>
    <t>PBG-2020-33</t>
  </si>
  <si>
    <t>Goods-20-016</t>
  </si>
  <si>
    <t>RFQ-20-03-0671-1</t>
  </si>
  <si>
    <t>INFRA 2020-53</t>
  </si>
  <si>
    <t>04-2020</t>
  </si>
  <si>
    <t>DV-2020-I13</t>
  </si>
  <si>
    <t>300-2020-08-010</t>
  </si>
  <si>
    <t>2020-APP-BOOKS-NCSM-001-NEGO</t>
  </si>
  <si>
    <t>BoxCulvertBaito</t>
  </si>
  <si>
    <t>0020-0152-0911A2020</t>
  </si>
  <si>
    <t>LGUPROC 2020 - 177B</t>
  </si>
  <si>
    <t>ITB 26-2020</t>
  </si>
  <si>
    <t>Bac-Pg-006-20</t>
  </si>
  <si>
    <t>PR 221-20-07-0957 - CED</t>
  </si>
  <si>
    <t>20200114</t>
  </si>
  <si>
    <t>PR20-08-056</t>
  </si>
  <si>
    <t>UP-2020-08-006-IB</t>
  </si>
  <si>
    <t>Infra-20-004</t>
  </si>
  <si>
    <t>INFRA 2020-55</t>
  </si>
  <si>
    <t>08-18-2020-03</t>
  </si>
  <si>
    <t>SF-20-17</t>
  </si>
  <si>
    <t>2008-0697-SFP</t>
  </si>
  <si>
    <t>DOJPPAXII-20-08-11</t>
  </si>
  <si>
    <t>LGUPROC 2020 - 184B</t>
  </si>
  <si>
    <t>2020-POBLACION-054</t>
  </si>
  <si>
    <t>2020-08-046</t>
  </si>
  <si>
    <t>SVP No. K-2020-08-010</t>
  </si>
  <si>
    <t>INFRA 2020-05</t>
  </si>
  <si>
    <t>RFQ 2020-173</t>
  </si>
  <si>
    <t>LGUPROC 2020 - 186B</t>
  </si>
  <si>
    <t>RFQ 008-062-2020</t>
  </si>
  <si>
    <t>20-08-3181</t>
  </si>
  <si>
    <t>INFRA 2020-15</t>
  </si>
  <si>
    <t>20GDE0002</t>
  </si>
  <si>
    <t>ITB No. 2020-08-009</t>
  </si>
  <si>
    <t>2020 - 07</t>
  </si>
  <si>
    <t>cabusao-2020-018</t>
  </si>
  <si>
    <t>2020-08-17-01</t>
  </si>
  <si>
    <t>ITB2020-08-01</t>
  </si>
  <si>
    <t>RFQ-19-2020</t>
  </si>
  <si>
    <t>2020-08-054</t>
  </si>
  <si>
    <t>SJ-20-232</t>
  </si>
  <si>
    <t>2020-003-IPIL</t>
  </si>
  <si>
    <t>PB-2020-G-10</t>
  </si>
  <si>
    <t>Goods-20-017</t>
  </si>
  <si>
    <t>SVP No. K-2020-08-009</t>
  </si>
  <si>
    <t>2020-08-72-CMGP20 (INFRA)</t>
  </si>
  <si>
    <t>20GGJ0062</t>
  </si>
  <si>
    <t>DAPA-092-2020</t>
  </si>
  <si>
    <t>2008-0698-SFP</t>
  </si>
  <si>
    <t>Aklan BAC ITB 501 Series of 2020</t>
  </si>
  <si>
    <t>LGUPROC 2020 - 183B</t>
  </si>
  <si>
    <t>2020-08-65-20DF20 (INFRA)</t>
  </si>
  <si>
    <t>200-2008-006</t>
  </si>
  <si>
    <t>LGUPROC 2020 - 188B</t>
  </si>
  <si>
    <t>LGUPROC 2020 -158B</t>
  </si>
  <si>
    <t>pgeps#376-2020</t>
  </si>
  <si>
    <t>RFQ-INF-2020-038</t>
  </si>
  <si>
    <t>DAPA-093-2020</t>
  </si>
  <si>
    <t>infra2020015</t>
  </si>
  <si>
    <t>2020-39</t>
  </si>
  <si>
    <t>LGUPROC 2020 - 187B</t>
  </si>
  <si>
    <t>pgeps#375-2020</t>
  </si>
  <si>
    <t>2020 INFRA 037</t>
  </si>
  <si>
    <t>2020-MACALIBRE-01</t>
  </si>
  <si>
    <t>SVP No. A-2020-08-006</t>
  </si>
  <si>
    <t>RFQ-20-07120</t>
  </si>
  <si>
    <t>INFRA 2020-57</t>
  </si>
  <si>
    <t>LGUPROC 2020 - 190B</t>
  </si>
  <si>
    <t>20-08-3182</t>
  </si>
  <si>
    <t>1011-20-08-16</t>
  </si>
  <si>
    <t>2020 INFRA 038</t>
  </si>
  <si>
    <t>20-07-356</t>
  </si>
  <si>
    <t>2020-40</t>
  </si>
  <si>
    <t>LGUPROC 2020 - 189B</t>
  </si>
  <si>
    <t>100-202007-01079</t>
  </si>
  <si>
    <t>ITB NO. 20-082</t>
  </si>
  <si>
    <t>AREA V- 2020-SVP-040</t>
  </si>
  <si>
    <t>08-18-2020-02</t>
  </si>
  <si>
    <t>RFQ-PAKYAW-2020-001</t>
  </si>
  <si>
    <t>PR No. 03</t>
  </si>
  <si>
    <t>PR No. 2020-08-0299</t>
  </si>
  <si>
    <t>ITB - 02 AUGUST 2020</t>
  </si>
  <si>
    <t>LGUPROC 2020 - 191B</t>
  </si>
  <si>
    <t>DA8-Goods-2020-52 (PR No. CORN 20-08-14-0232)</t>
  </si>
  <si>
    <t>2008-0695-SFP</t>
  </si>
  <si>
    <t>1914,1756</t>
  </si>
  <si>
    <t>RFQ-20-07025</t>
  </si>
  <si>
    <t>2020-42</t>
  </si>
  <si>
    <t>CBSUA-SIP-GOODS-09-2020</t>
  </si>
  <si>
    <t>PB-G-2020-008</t>
  </si>
  <si>
    <t>RFQ-20-2020</t>
  </si>
  <si>
    <t>08-01 (08-063-20)</t>
  </si>
  <si>
    <t>2008-0696-SFP</t>
  </si>
  <si>
    <t>MEO-2020-08-17-001</t>
  </si>
  <si>
    <t>2020 Caib 151</t>
  </si>
  <si>
    <t>08-01094</t>
  </si>
  <si>
    <t>consulting services 001-2020</t>
  </si>
  <si>
    <t>RFQ-21-2020</t>
  </si>
  <si>
    <t>INFRA 2020-56</t>
  </si>
  <si>
    <t>RFQ-GOODS-2020-022</t>
  </si>
  <si>
    <t>RFQ No. 2020-08-059</t>
  </si>
  <si>
    <t>PB-G-2020-009</t>
  </si>
  <si>
    <t>20DJ0108</t>
  </si>
  <si>
    <t>LGUPROX 2020 - 192B</t>
  </si>
  <si>
    <t>PR01</t>
  </si>
  <si>
    <t>2008-0694-SFP</t>
  </si>
  <si>
    <t>ITB - 03 AUGUST 2020</t>
  </si>
  <si>
    <t>2020-08-047</t>
  </si>
  <si>
    <t>ITB No. 20-079  ONE (1) LOT SUPPLY AND DELIVERY OF</t>
  </si>
  <si>
    <t>cgb2020-314</t>
  </si>
  <si>
    <t>GOODS 2020-41</t>
  </si>
  <si>
    <t>2020-08-107</t>
  </si>
  <si>
    <t>BAC-PG-00186-20</t>
  </si>
  <si>
    <t>LGUPROC 2020 - 193B</t>
  </si>
  <si>
    <t>PR-2020-08-0049</t>
  </si>
  <si>
    <t>DAPA-095-2020</t>
  </si>
  <si>
    <t>RFQ No. 2020-08-061</t>
  </si>
  <si>
    <t>2008-0689-SFP</t>
  </si>
  <si>
    <t>RFQ-20-08082</t>
  </si>
  <si>
    <t>cgb2020-313</t>
  </si>
  <si>
    <t>BARANGAY UTANAN</t>
  </si>
  <si>
    <t>PR-2020-08-0050</t>
  </si>
  <si>
    <t>PB-G-2020-010</t>
  </si>
  <si>
    <t>CENTROWEST-002</t>
  </si>
  <si>
    <t>PROCUREMENT OF VARIOUS OFFICE SUPPLIES (1st and 2n</t>
  </si>
  <si>
    <t>RFQ No. 2020-08-064</t>
  </si>
  <si>
    <t>B-2020-036</t>
  </si>
  <si>
    <t>BAC-PG-00187-20</t>
  </si>
  <si>
    <t>2008-0692-SFP</t>
  </si>
  <si>
    <t>cgb2020-315</t>
  </si>
  <si>
    <t>FB20-03-006CORa-8</t>
  </si>
  <si>
    <t>cabusao-2020-019</t>
  </si>
  <si>
    <t>B-2020-037</t>
  </si>
  <si>
    <t>RFQ-GOODS-2020-023</t>
  </si>
  <si>
    <t>MH-GOODS-MO-MULTI-PURPOSE-TRUCK-2099</t>
  </si>
  <si>
    <t>PG-2020-067</t>
  </si>
  <si>
    <t>LES-20-039 to 055</t>
  </si>
  <si>
    <t>LGU-ROX-CWC-26-2020</t>
  </si>
  <si>
    <t>20-168</t>
  </si>
  <si>
    <t>1738</t>
  </si>
  <si>
    <t>LGU-ROX-CWC-25-2020</t>
  </si>
  <si>
    <t>20-08-32</t>
  </si>
  <si>
    <t>0820-012</t>
  </si>
  <si>
    <t>20NA0077</t>
  </si>
  <si>
    <t>2020-07-445</t>
  </si>
  <si>
    <t>MBO-012A-2020,ACCTG-019A-2020</t>
  </si>
  <si>
    <t>INFRA 2020-58</t>
  </si>
  <si>
    <t>DAPA-094-2020</t>
  </si>
  <si>
    <t>BAC-PG-00190-20</t>
  </si>
  <si>
    <t>2020-08-117</t>
  </si>
  <si>
    <t>cgb2020-317</t>
  </si>
  <si>
    <t>30-31</t>
  </si>
  <si>
    <t>ITB 574 SK 2020 001</t>
  </si>
  <si>
    <t>BAC-PG-00189-20</t>
  </si>
  <si>
    <t>BAC-PG-00188-20</t>
  </si>
  <si>
    <t>RFQ NO. 20-08-211</t>
  </si>
  <si>
    <t>ITB No. 20-080  ONE (1) LOT SUPPLY, DELIVERY, INST</t>
  </si>
  <si>
    <t>cgb2020-316</t>
  </si>
  <si>
    <t>LGU-ROX-CWC-27-2020</t>
  </si>
  <si>
    <t>pgeps#378-2020</t>
  </si>
  <si>
    <t>J.O. No. 009 EEMU2020-08-01</t>
  </si>
  <si>
    <t>20NA0078</t>
  </si>
  <si>
    <t>BAC-PG-00193-20</t>
  </si>
  <si>
    <t>CWD-08-2020-Infra01</t>
  </si>
  <si>
    <t>GPG-B1-2020-440-CONSULTING SERVICES FOR A FULL BUI</t>
  </si>
  <si>
    <t>cgb2020-319</t>
  </si>
  <si>
    <t>BAC-PG-00192-20</t>
  </si>
  <si>
    <t>RFQ No. 20-08-210</t>
  </si>
  <si>
    <t>BAC-PG-00191-20</t>
  </si>
  <si>
    <t>2020-POBLACION-055</t>
  </si>
  <si>
    <t>cgb2020-318</t>
  </si>
  <si>
    <t>TAL-09-04-2020</t>
  </si>
  <si>
    <t>2020-PBG-64</t>
  </si>
  <si>
    <t>2020-PBG-65</t>
  </si>
  <si>
    <t>ITB 2020-001</t>
  </si>
  <si>
    <t>INFRA-MATERIALS-2020-001</t>
  </si>
  <si>
    <t>20GGJ0063</t>
  </si>
  <si>
    <t>2008-0690-SFP</t>
  </si>
  <si>
    <t>TAL-09-05-2020</t>
  </si>
  <si>
    <t>LGUPROC 2020 - 194B</t>
  </si>
  <si>
    <t>2020-07-1069</t>
  </si>
  <si>
    <t>2020-467</t>
  </si>
  <si>
    <t>RFQ-20-08086</t>
  </si>
  <si>
    <t>Calaca 2020-064</t>
  </si>
  <si>
    <t>RFQ - 2020-08-061</t>
  </si>
  <si>
    <t>2008-0688-SFP</t>
  </si>
  <si>
    <t>Calaca 2020-063</t>
  </si>
  <si>
    <t>2020-02-133</t>
  </si>
  <si>
    <t>CATCAM-2020-27</t>
  </si>
  <si>
    <t>cgb2020-320</t>
  </si>
  <si>
    <t>SUPPLY AND DELIVERY OF VARIOUS SIZES CI SADDLE CLA</t>
  </si>
  <si>
    <t>'030</t>
  </si>
  <si>
    <t>2020-08-204</t>
  </si>
  <si>
    <t>20-002</t>
  </si>
  <si>
    <t>PB-INFRA-SEPTEMBER 08, 2020-02</t>
  </si>
  <si>
    <t>RFQ-20-08083</t>
  </si>
  <si>
    <t>ITB No. Infra-2020-02</t>
  </si>
  <si>
    <t>2020-GGSS-BRGY. BUCAL</t>
  </si>
  <si>
    <t>DPWH-SK2DEO-20MH0116</t>
  </si>
  <si>
    <t>ADS-1335-20</t>
  </si>
  <si>
    <t>0020-0276.1284A2020</t>
  </si>
  <si>
    <t>RFQ No. 2020- 14</t>
  </si>
  <si>
    <t>PR 9-20-08-0965 - CITY HOSPITAL</t>
  </si>
  <si>
    <t>UPLB-S-051-09-20</t>
  </si>
  <si>
    <t>DPWH-SK2DEO-20MH0115</t>
  </si>
  <si>
    <t>2008-0693-SFP</t>
  </si>
  <si>
    <t>'031</t>
  </si>
  <si>
    <t>MP-081720-079</t>
  </si>
  <si>
    <t>DPWH-SK2DEO-20MH0114</t>
  </si>
  <si>
    <t>2020-07-0853 and 2020-07-0854</t>
  </si>
  <si>
    <t>DPWH-SK2DEO-20MH0113</t>
  </si>
  <si>
    <t>20CB-GSC-524 REPAIR OF MOTOR VEHICLE MITSUBISHI GR</t>
  </si>
  <si>
    <t>19C00092</t>
  </si>
  <si>
    <t>CB(B)-20-034(CMO-ICDRRMO)</t>
  </si>
  <si>
    <t>2020-GGSS-BRGY PARAISO</t>
  </si>
  <si>
    <t>MP-081720-080</t>
  </si>
  <si>
    <t>blgumabini-2019</t>
  </si>
  <si>
    <t>gas-2003-slmslot2</t>
  </si>
  <si>
    <t>2020-469</t>
  </si>
  <si>
    <t>GOODS-2020-173</t>
  </si>
  <si>
    <t>CATCAM-2020-28</t>
  </si>
  <si>
    <t>2020-03-0185</t>
  </si>
  <si>
    <t>gas-2003-slmslot1</t>
  </si>
  <si>
    <t>PR0126-20 + 0127-20 PEO</t>
  </si>
  <si>
    <t>Quotation No.20-08-436</t>
  </si>
  <si>
    <t>Calaca 2020-065</t>
  </si>
  <si>
    <t>2020-468</t>
  </si>
  <si>
    <t>S1-BAS20-012</t>
  </si>
  <si>
    <t>DPWH-SK2DEO-20MH0117</t>
  </si>
  <si>
    <t>2020-MABNANG-003</t>
  </si>
  <si>
    <t>DPWH-SK2DEO-20MH0119</t>
  </si>
  <si>
    <t>RFQ 2020-02F</t>
  </si>
  <si>
    <t>pal-20-08-025</t>
  </si>
  <si>
    <t>2020-471</t>
  </si>
  <si>
    <t>B-2020-038</t>
  </si>
  <si>
    <t>LGUPROC 2020 - 196N</t>
  </si>
  <si>
    <t>ITB 2020-014</t>
  </si>
  <si>
    <t>Calaca 2020-066</t>
  </si>
  <si>
    <t>2020-470</t>
  </si>
  <si>
    <t>RFQ No. 2020-08-199</t>
  </si>
  <si>
    <t>GOODS-2020-174</t>
  </si>
  <si>
    <t>gas-2003-slmslot3</t>
  </si>
  <si>
    <t>BAC-HO GS No. 2020-0493 and 0494</t>
  </si>
  <si>
    <t>DPWH-SK2DEO-20MH0120</t>
  </si>
  <si>
    <t>LGUPROC 2020 -195B</t>
  </si>
  <si>
    <t>S1-OMS20-002</t>
  </si>
  <si>
    <t>2020-PBG-63</t>
  </si>
  <si>
    <t>GOODS-20-43</t>
  </si>
  <si>
    <t>CATCAM-2020-29</t>
  </si>
  <si>
    <t>TAL-08-53-2020</t>
  </si>
  <si>
    <t>Quotation No.20-08-437</t>
  </si>
  <si>
    <t>1-08172020</t>
  </si>
  <si>
    <t>ITB - 04 AUGUST 2020</t>
  </si>
  <si>
    <t>BAC-PG-00196-20</t>
  </si>
  <si>
    <t>2020-04-2131</t>
  </si>
  <si>
    <t>CSFLU-GOODS-001-2020</t>
  </si>
  <si>
    <t>BAC-PG-00195-20</t>
  </si>
  <si>
    <t>Quotation No.20-08-438</t>
  </si>
  <si>
    <t>INIMO-2020-08-042</t>
  </si>
  <si>
    <t>BAC-PG-00194-20</t>
  </si>
  <si>
    <t>LGU-020-192</t>
  </si>
  <si>
    <t>GOODS-2020-175</t>
  </si>
  <si>
    <t>PR0097-20 MOTORPOOL</t>
  </si>
  <si>
    <t>2020-PBG-61</t>
  </si>
  <si>
    <t>RFQ 2020-05F</t>
  </si>
  <si>
    <t>2020-08-205</t>
  </si>
  <si>
    <t>Calaca 2020-067</t>
  </si>
  <si>
    <t>Goods 0050-2020</t>
  </si>
  <si>
    <t>20-08-481</t>
  </si>
  <si>
    <t>Calaca 2020-069</t>
  </si>
  <si>
    <t>ITB - 05 AUGUST 2020</t>
  </si>
  <si>
    <t>2020-06-2661</t>
  </si>
  <si>
    <t>Goods 0049-2020</t>
  </si>
  <si>
    <t>rebidtruckscale</t>
  </si>
  <si>
    <t>8172020-2</t>
  </si>
  <si>
    <t>20HD0100</t>
  </si>
  <si>
    <t>LGU-2020-193</t>
  </si>
  <si>
    <t>Calaca 2020-068</t>
  </si>
  <si>
    <t>RFQ No. 2020-08-200</t>
  </si>
  <si>
    <t>CATCAM-2020-30</t>
  </si>
  <si>
    <t>DPWH-SK2DEO-20MH0118</t>
  </si>
  <si>
    <t>BAC-PG-00197-20</t>
  </si>
  <si>
    <t>gas-2003-slmslot5</t>
  </si>
  <si>
    <t>LGU-2020-195</t>
  </si>
  <si>
    <t>BAC-PG-00198-20</t>
  </si>
  <si>
    <t>20csd11</t>
  </si>
  <si>
    <t>20-08-0482</t>
  </si>
  <si>
    <t>gas-2003-slmslot4</t>
  </si>
  <si>
    <t>Calaca 2020-071</t>
  </si>
  <si>
    <t>LGU-2020-196</t>
  </si>
  <si>
    <t>NCB Publication No. 2020- 33</t>
  </si>
  <si>
    <t>2020-08-3060</t>
  </si>
  <si>
    <t>Calaca 2020-070</t>
  </si>
  <si>
    <t>CATCAM-2020-31</t>
  </si>
  <si>
    <t>2020-08-3040</t>
  </si>
  <si>
    <t>09-200</t>
  </si>
  <si>
    <t>RFQ NO. 2020-07-046-0017</t>
  </si>
  <si>
    <t>20-08-1417</t>
  </si>
  <si>
    <t>010-2020-017</t>
  </si>
  <si>
    <t>20-08-0514</t>
  </si>
  <si>
    <t>LGU-2020-198</t>
  </si>
  <si>
    <t>BAC 2020-021</t>
  </si>
  <si>
    <t>Goods 0051-2020</t>
  </si>
  <si>
    <t>GOODS-2020-179</t>
  </si>
  <si>
    <t>20PD0088</t>
  </si>
  <si>
    <t>ITB220011</t>
  </si>
  <si>
    <t>2020-PBINFRA-08-008</t>
  </si>
  <si>
    <t>LGU-2020-197</t>
  </si>
  <si>
    <t>2020-03-1593</t>
  </si>
  <si>
    <t>BAC 2020-022</t>
  </si>
  <si>
    <t>GOODS-2020-178</t>
  </si>
  <si>
    <t>20-08-056</t>
  </si>
  <si>
    <t>NCB Publication No. 2020- 34</t>
  </si>
  <si>
    <t>PNHS2020S0001</t>
  </si>
  <si>
    <t>GOODS-2020-177</t>
  </si>
  <si>
    <t>20DJ0109</t>
  </si>
  <si>
    <t>LGU-2020-194</t>
  </si>
  <si>
    <t>2020-03-2030</t>
  </si>
  <si>
    <t>LGU-APA-20-08-63</t>
  </si>
  <si>
    <t>0020-0278-1291A2020</t>
  </si>
  <si>
    <t>QSU-BAC-H-30-2020 01D HES</t>
  </si>
  <si>
    <t>008-001-2020</t>
  </si>
  <si>
    <t>2020-08-0476</t>
  </si>
  <si>
    <t>2020-0817-3</t>
  </si>
  <si>
    <t>SVP 2020-426</t>
  </si>
  <si>
    <t>RFJO# 20-0021</t>
  </si>
  <si>
    <t>DA7-2020-08-AMIA-20-3089</t>
  </si>
  <si>
    <t>09-01</t>
  </si>
  <si>
    <t>20MB0046</t>
  </si>
  <si>
    <t>gas-2003-slmslot8</t>
  </si>
  <si>
    <t>LGU-2020-200</t>
  </si>
  <si>
    <t>100(18)20-07-396(O)</t>
  </si>
  <si>
    <t>2020-BULAG-02</t>
  </si>
  <si>
    <t>gas-2003-slmslot7</t>
  </si>
  <si>
    <t>gas-2003-slmslot6</t>
  </si>
  <si>
    <t>20-2013</t>
  </si>
  <si>
    <t>GOODS-2020-181</t>
  </si>
  <si>
    <t>gas-2003-slmslot9</t>
  </si>
  <si>
    <t>PR. No. 2020-08-0050 (Small Value Procurement)</t>
  </si>
  <si>
    <t>2020-04-2179</t>
  </si>
  <si>
    <t>GOODS-2020-176</t>
  </si>
  <si>
    <t>20MB0156</t>
  </si>
  <si>
    <t>2020-07-2852</t>
  </si>
  <si>
    <t>gas-2003-slmslot15</t>
  </si>
  <si>
    <t>Calaca 2020-072</t>
  </si>
  <si>
    <t>2020-SAGNEB-04</t>
  </si>
  <si>
    <t>RO4-GOODS-2020-02-A</t>
  </si>
  <si>
    <t>gas-2003-slmslot13</t>
  </si>
  <si>
    <t>04213531</t>
  </si>
  <si>
    <t>CMC GOODS 20-08-008</t>
  </si>
  <si>
    <t>LGU-2020-202</t>
  </si>
  <si>
    <t>gas-2003-slmslot14</t>
  </si>
  <si>
    <t>LGU-2020-203</t>
  </si>
  <si>
    <t>PROJECT # 20-032</t>
  </si>
  <si>
    <t>ITB 08-020-2020</t>
  </si>
  <si>
    <t>2020-3Q057</t>
  </si>
  <si>
    <t>ITB # 2020-08-055</t>
  </si>
  <si>
    <t>2020-001-AN</t>
  </si>
  <si>
    <t>gas-2003-slmslot22</t>
  </si>
  <si>
    <t>gas-2003-slmslot21</t>
  </si>
  <si>
    <t>ROSS PR Nos. 1000032416 and 1000033046</t>
  </si>
  <si>
    <t>gas-2003-slmslot18</t>
  </si>
  <si>
    <t>gas-2003-slmslot23</t>
  </si>
  <si>
    <t>2020-3Q056</t>
  </si>
  <si>
    <t>2020-SAGNEB-03</t>
  </si>
  <si>
    <t>gas-2003-slmslot19</t>
  </si>
  <si>
    <t>LGU-2020-204</t>
  </si>
  <si>
    <t>gas-2003-slmslot12</t>
  </si>
  <si>
    <t>gas-2003-slmslot16</t>
  </si>
  <si>
    <t>20MB0158</t>
  </si>
  <si>
    <t>gas-2003-slmslot20</t>
  </si>
  <si>
    <t>20MB0047</t>
  </si>
  <si>
    <t>gas-2003-slmslot17</t>
  </si>
  <si>
    <t>20MB0138</t>
  </si>
  <si>
    <t>2020-LINGSAT-07</t>
  </si>
  <si>
    <t>PROJECT # 20-015</t>
  </si>
  <si>
    <t>RFQ2020-08-019 GAA</t>
  </si>
  <si>
    <t>PROJECT # 20-065</t>
  </si>
  <si>
    <t>RFQ2020-08-018 GAA</t>
  </si>
  <si>
    <t>2020230</t>
  </si>
  <si>
    <t>gas-2003-slmslot11</t>
  </si>
  <si>
    <t>ADS II GOODS-020-04</t>
  </si>
  <si>
    <t>NIAREG9-08172020-698</t>
  </si>
  <si>
    <t>20-171</t>
  </si>
  <si>
    <t>PB-PAFBAC-180-20</t>
  </si>
  <si>
    <t>20MB0157</t>
  </si>
  <si>
    <t>PROJECT # 20-064</t>
  </si>
  <si>
    <t>PROJECT # 20-037</t>
  </si>
  <si>
    <t>58</t>
  </si>
  <si>
    <t>2020-LINGSAT-08</t>
  </si>
  <si>
    <t>59</t>
  </si>
  <si>
    <t>gas-2003-slmslot10</t>
  </si>
  <si>
    <t>PROJECT # 20-056</t>
  </si>
  <si>
    <t>LGU-2020-201</t>
  </si>
  <si>
    <t>RFQ NO. 2020-07-049-0018</t>
  </si>
  <si>
    <t>SA-GS-2020-08-0010</t>
  </si>
  <si>
    <t>PB-PAFBAC-183-20</t>
  </si>
  <si>
    <t>PB-PAFBAC-184-20</t>
  </si>
  <si>
    <t>PROJECT # 20-080</t>
  </si>
  <si>
    <t>2020234</t>
  </si>
  <si>
    <t>MG-A5C20-073</t>
  </si>
  <si>
    <t>SA-GOODS-2020-08-0008</t>
  </si>
  <si>
    <t>037-08-2020</t>
  </si>
  <si>
    <t>PB-PAFBAC-182-20</t>
  </si>
  <si>
    <t>PR No. 20-08-089</t>
  </si>
  <si>
    <t>QIS_GDS_2020#26</t>
  </si>
  <si>
    <t>ITB # 2020-08-056</t>
  </si>
  <si>
    <t>BQ-Infra-2020-024</t>
  </si>
  <si>
    <t>ITB 06-2020</t>
  </si>
  <si>
    <t>2020233</t>
  </si>
  <si>
    <t>ENG'G PASBAC 006-20 Supply and Delivery of One (1)</t>
  </si>
  <si>
    <t>2020c-BLSS2(001)-BI-CB-003</t>
  </si>
  <si>
    <t>Matiao - 001-20</t>
  </si>
  <si>
    <t>PB-PAFBAC-188-20</t>
  </si>
  <si>
    <t>2020 - 08 - 025 (139 - Shopping)</t>
  </si>
  <si>
    <t>QIS_GDS_2020#27</t>
  </si>
  <si>
    <t>pitogo 2020-08-08</t>
  </si>
  <si>
    <t>PB-PAFBAC-187-20</t>
  </si>
  <si>
    <t>ITB # 2020-08-057</t>
  </si>
  <si>
    <t>2020 - 08 - 025 (140 - Shopping)</t>
  </si>
  <si>
    <t>ITB 05-2020</t>
  </si>
  <si>
    <t>07710</t>
  </si>
  <si>
    <t>ENG'G 007-20 Supply and Delivery of  Four (4) Unit</t>
  </si>
  <si>
    <t>ST2020-08003</t>
  </si>
  <si>
    <t>gas-2004-slms2</t>
  </si>
  <si>
    <t>QIS_NFRA_2020#53</t>
  </si>
  <si>
    <t>2020-PB-046</t>
  </si>
  <si>
    <t>2020-GOODS-009</t>
  </si>
  <si>
    <t>BAC-ITIO GS No. 2020-0075 dated 10 August 2020</t>
  </si>
  <si>
    <t>ST2020-08001</t>
  </si>
  <si>
    <t>ENG'G 008-20 Supply and Delivery of  Seven (7) Uni</t>
  </si>
  <si>
    <t>ST2020-08002</t>
  </si>
  <si>
    <t>Pitogo 2020-08-05</t>
  </si>
  <si>
    <t>CAT-2020-04</t>
  </si>
  <si>
    <t>2020032</t>
  </si>
  <si>
    <t>MAB-2020-02</t>
  </si>
  <si>
    <t>POBLACION IV -2020 - 001</t>
  </si>
  <si>
    <t>CAL-2020-05</t>
  </si>
  <si>
    <t>DepEd-OccMdo-2020-02</t>
  </si>
  <si>
    <t>388548494</t>
  </si>
  <si>
    <t>PAPC-OACS_HHSG-2020-11370-5374</t>
  </si>
  <si>
    <t>ST2020-08007</t>
  </si>
  <si>
    <t>ST2020-08006</t>
  </si>
  <si>
    <t>20%EDF2020G1</t>
  </si>
  <si>
    <t>2020LGUMROFDL052</t>
  </si>
  <si>
    <t>10-aballa-2020</t>
  </si>
  <si>
    <t>Bid Reference No.: GPG-B1-2020-395 – REBID -PROCUR</t>
  </si>
  <si>
    <t>114-2020</t>
  </si>
  <si>
    <t>2020-GOODS-057</t>
  </si>
  <si>
    <t>2020LGUMROFDL050</t>
  </si>
  <si>
    <t>ITB No. EMB-GOODS-NCB-2020-0024</t>
  </si>
  <si>
    <t>2020-GOODS-056</t>
  </si>
  <si>
    <t>H01-Aug2020</t>
  </si>
  <si>
    <t>2020-GOODS-055</t>
  </si>
  <si>
    <t>PR0111-20 VGO</t>
  </si>
  <si>
    <t>PR0026-20 ENRO</t>
  </si>
  <si>
    <t>PR0025-20 ENRO</t>
  </si>
  <si>
    <t>2020-08-39</t>
  </si>
  <si>
    <t>pitogo 2020-08-07</t>
  </si>
  <si>
    <t>2020-08-40</t>
  </si>
  <si>
    <t>UPLB-S-052-09-20</t>
  </si>
  <si>
    <t>PR0071-20 MotorPool REBID</t>
  </si>
  <si>
    <t>PR0062-20 TOURISM REBID</t>
  </si>
  <si>
    <t>20-01 goods Ayusan</t>
  </si>
  <si>
    <t>PR0040-20 PVET REBID</t>
  </si>
  <si>
    <t>12-aballa-2020</t>
  </si>
  <si>
    <t>11-aballa-2020</t>
  </si>
  <si>
    <t>20GD0115</t>
  </si>
  <si>
    <t>20%EDF2020G2</t>
  </si>
  <si>
    <t>RFQ No. 2020-SVP-047</t>
  </si>
  <si>
    <t>20GGD0004</t>
  </si>
  <si>
    <t>Pitogo 2020-08-06</t>
  </si>
  <si>
    <t>2020-GOODS-054</t>
  </si>
  <si>
    <t>2020c-DRRMS(005)-BI-CB-004</t>
  </si>
  <si>
    <t>20GD0114</t>
  </si>
  <si>
    <t>ST2020-08005</t>
  </si>
  <si>
    <t>LGU-Sagay-4767</t>
  </si>
  <si>
    <t>PR0087-20 MOTORPOOL</t>
  </si>
  <si>
    <t>CAT-13-20</t>
  </si>
  <si>
    <t>CONTRACT ID: 20-08-111</t>
  </si>
  <si>
    <t>17202008073</t>
  </si>
  <si>
    <t>113-2020</t>
  </si>
  <si>
    <t>ITB No. 2019-11-008</t>
  </si>
  <si>
    <t>2020-08-33</t>
  </si>
  <si>
    <t>EN 200-20-07-08291</t>
  </si>
  <si>
    <t>LGU-Sagay-4766</t>
  </si>
  <si>
    <t>2020-08-17-001</t>
  </si>
  <si>
    <t>20-08-043</t>
  </si>
  <si>
    <t>SVP20-668</t>
  </si>
  <si>
    <t>20-08-621</t>
  </si>
  <si>
    <t>13-aballa-2020</t>
  </si>
  <si>
    <t>14-aballa-2020</t>
  </si>
  <si>
    <t>PB-2020-08-015</t>
  </si>
  <si>
    <t>MHO-2020-71</t>
  </si>
  <si>
    <t>ST2020-08004</t>
  </si>
  <si>
    <t>Aurelio-2020-004</t>
  </si>
  <si>
    <t>PB-PAFBAC-186-20</t>
  </si>
  <si>
    <t>10-082520</t>
  </si>
  <si>
    <t>20-08-637</t>
  </si>
  <si>
    <t>16-082520</t>
  </si>
  <si>
    <t>13-082520</t>
  </si>
  <si>
    <t>pitogo 2020-08-09</t>
  </si>
  <si>
    <t>12-082520</t>
  </si>
  <si>
    <t>9-082520</t>
  </si>
  <si>
    <t>20-07-05</t>
  </si>
  <si>
    <t>14-082520</t>
  </si>
  <si>
    <t>8-082520</t>
  </si>
  <si>
    <t>7-082520</t>
  </si>
  <si>
    <t>11-082520</t>
  </si>
  <si>
    <t>5-082520</t>
  </si>
  <si>
    <t>4-082520</t>
  </si>
  <si>
    <t>2-082520</t>
  </si>
  <si>
    <t>PHO-20-0921-B</t>
  </si>
  <si>
    <t>INFRA-2020-31</t>
  </si>
  <si>
    <t>3-082520</t>
  </si>
  <si>
    <t>PR0088-20 MOTORPOOL</t>
  </si>
  <si>
    <t>2020232</t>
  </si>
  <si>
    <t>PSU ITB 2008-109</t>
  </si>
  <si>
    <t>PROJECT # 20-078</t>
  </si>
  <si>
    <t>PROJECT # 20-077</t>
  </si>
  <si>
    <t>6-082520</t>
  </si>
  <si>
    <t>20PD0102</t>
  </si>
  <si>
    <t>PB-PAFBAC-185-20</t>
  </si>
  <si>
    <t>15-082520</t>
  </si>
  <si>
    <t>PR 1169-20</t>
  </si>
  <si>
    <t>PB-PAFBAC-181-20</t>
  </si>
  <si>
    <t>200-20-08-0881</t>
  </si>
  <si>
    <t>LGU-2020-199</t>
  </si>
  <si>
    <t>008-002-2020</t>
  </si>
  <si>
    <t>GOODS-2020-180</t>
  </si>
  <si>
    <t>BAC-PG-00185-20</t>
  </si>
  <si>
    <t>2020231</t>
  </si>
  <si>
    <t>19OD0324</t>
  </si>
  <si>
    <t>20-29 INFRA</t>
  </si>
  <si>
    <t>DDO-20-5069</t>
  </si>
  <si>
    <t>20-28 INFRA</t>
  </si>
  <si>
    <t>6-15-20-ID6</t>
  </si>
  <si>
    <t>20-27 INFRA</t>
  </si>
  <si>
    <t>CONTRACT ID: 19-12 - 273 2ND REBID</t>
  </si>
  <si>
    <t>DDO-20-5520</t>
  </si>
  <si>
    <t>8000-2-2-17</t>
  </si>
  <si>
    <t>2020-391</t>
  </si>
  <si>
    <t>20-30 INFRA</t>
  </si>
  <si>
    <t>ITB-OVERFLOW BRIDGE-20-08-01</t>
  </si>
  <si>
    <t>20-26 INFRA</t>
  </si>
  <si>
    <t>DDO-20-C0835</t>
  </si>
  <si>
    <t>PR 1171-20 &amp; 1173-20</t>
  </si>
  <si>
    <t>8000-2-2-16</t>
  </si>
  <si>
    <t>ITB-2020-08</t>
  </si>
  <si>
    <t>DDO-20-5709</t>
  </si>
  <si>
    <t>100(18)20-08-511(O)</t>
  </si>
  <si>
    <t>DDO-20-5598</t>
  </si>
  <si>
    <t>100(18)20-06-316(O)</t>
  </si>
  <si>
    <t>ITB-2020-07</t>
  </si>
  <si>
    <t>TF-20-08-509(O)</t>
  </si>
  <si>
    <t>CNSCMEDICALSUPPLIES2020</t>
  </si>
  <si>
    <t>100(18)20-06-318(O)</t>
  </si>
  <si>
    <t>17-082520</t>
  </si>
  <si>
    <t>100(01)20-07-026(V)</t>
  </si>
  <si>
    <t>ITB No. 117-Brgy-2020</t>
  </si>
  <si>
    <t>cal08122020-03</t>
  </si>
  <si>
    <t>sj 2020 b sep 003</t>
  </si>
  <si>
    <t>ITB No. 112-Brgy-2020</t>
  </si>
  <si>
    <t>CONTRACT ID:20-07-096</t>
  </si>
  <si>
    <t>100(18)20-08-520(O)</t>
  </si>
  <si>
    <t>20-25 INFRA</t>
  </si>
  <si>
    <t>2020-AP-08-43</t>
  </si>
  <si>
    <t>ITB No. 2020-08-044</t>
  </si>
  <si>
    <t>G-PGO-073-20</t>
  </si>
  <si>
    <t>100(18)20-08-515(O)</t>
  </si>
  <si>
    <t>sj 2020 b sep 002</t>
  </si>
  <si>
    <t>2020-06-2516</t>
  </si>
  <si>
    <t>100(18)20-06-317(O)</t>
  </si>
  <si>
    <t>100(18)20-08-517(O)</t>
  </si>
  <si>
    <t>ITB No. 116-Brgy-2020</t>
  </si>
  <si>
    <t>2020-08-0897 TDG</t>
  </si>
  <si>
    <t>PWR-03-017</t>
  </si>
  <si>
    <t>100-1917-20-513</t>
  </si>
  <si>
    <t>DM-BAC-2020-0066</t>
  </si>
  <si>
    <t>100(18)20-08-512(O)</t>
  </si>
  <si>
    <t>B-ITB-49-G-2020</t>
  </si>
  <si>
    <t>GOODS 2020-021</t>
  </si>
  <si>
    <t>2020-08-0838 TDG</t>
  </si>
  <si>
    <t>SDH-20-0975-B</t>
  </si>
  <si>
    <t>100(18)20-08-505(O)</t>
  </si>
  <si>
    <t>SDH-20-0976-B</t>
  </si>
  <si>
    <t>ITB-013-2020</t>
  </si>
  <si>
    <t>pmma-IB-14-20</t>
  </si>
  <si>
    <t>SDH-20-0848-B</t>
  </si>
  <si>
    <t>2020-08-32</t>
  </si>
  <si>
    <t>DM-BAC-2020-0072</t>
  </si>
  <si>
    <t>cal08122020-05</t>
  </si>
  <si>
    <t>DM-BAC-2020-0070</t>
  </si>
  <si>
    <t>20-004</t>
  </si>
  <si>
    <t>ID NO. TPDF-MAL-SDN-11-20</t>
  </si>
  <si>
    <t>SDH-20-0977-B</t>
  </si>
  <si>
    <t>PR NO. 100-8751-20-08-0824</t>
  </si>
  <si>
    <t>DM-BAC-2020-0073</t>
  </si>
  <si>
    <t>DM-BAC-2020-0068</t>
  </si>
  <si>
    <t>DM-BAC-2020-0067</t>
  </si>
  <si>
    <t>ITB No. 119-Infra-2020</t>
  </si>
  <si>
    <t>PB20200813-051</t>
  </si>
  <si>
    <t>ITB No. 114-Infra-2020</t>
  </si>
  <si>
    <t>pmma-IB-13-20</t>
  </si>
  <si>
    <t>ITB No. 115-Infra-2020</t>
  </si>
  <si>
    <t>PB20200813-050</t>
  </si>
  <si>
    <t>ITB No. 0113-Goods-2020</t>
  </si>
  <si>
    <t>100(18)20-08-514(O)</t>
  </si>
  <si>
    <t>100(18)20-08-513(O)</t>
  </si>
  <si>
    <t>sj 2020 b sep 004</t>
  </si>
  <si>
    <t>PB INFRA 20-070</t>
  </si>
  <si>
    <t>GS-2020-056</t>
  </si>
  <si>
    <t>DM-BAC-2020-0071</t>
  </si>
  <si>
    <t>DDO-20-5732</t>
  </si>
  <si>
    <t>DM-BAC-2020-0069</t>
  </si>
  <si>
    <t>PB INFRA 20-069</t>
  </si>
  <si>
    <t>PB-0820-62</t>
  </si>
  <si>
    <t>DDO-20-5657</t>
  </si>
  <si>
    <t>ITB No. 120-Infra-2020</t>
  </si>
  <si>
    <t>100(18)20-08-518(O)</t>
  </si>
  <si>
    <t>pmma-IB-19-20</t>
  </si>
  <si>
    <t>DDO-20-5658</t>
  </si>
  <si>
    <t>pmma-IB-20-20</t>
  </si>
  <si>
    <t>pmma-IB-18-20</t>
  </si>
  <si>
    <t>100(18)20-08-516(O)</t>
  </si>
  <si>
    <t>PR No. 2020-08-020</t>
  </si>
  <si>
    <t>SDH-20-0708-B</t>
  </si>
  <si>
    <t>RIZAL-04SEPTEMBER2020-1</t>
  </si>
  <si>
    <t>LGU-RFQ-2020-80</t>
  </si>
  <si>
    <t>ITB-015-2020</t>
  </si>
  <si>
    <t>BG-2020-18</t>
  </si>
  <si>
    <t>BG-2020-17</t>
  </si>
  <si>
    <t>PR-2020-2139</t>
  </si>
  <si>
    <t>ITB-014-2020</t>
  </si>
  <si>
    <t>PR-2020-1441</t>
  </si>
  <si>
    <t>PR-2020-1605</t>
  </si>
  <si>
    <t>139</t>
  </si>
  <si>
    <t>ITB No. 118-Brgy-2020</t>
  </si>
  <si>
    <t>SDH-20-0444-B (RE-BID)</t>
  </si>
  <si>
    <t>PR No. 2020-08-021</t>
  </si>
  <si>
    <t>pmma-IB-17-20</t>
  </si>
  <si>
    <t>DTI8REGRO.20.08118</t>
  </si>
  <si>
    <t>SDH-20-0363-B (RE-BID)</t>
  </si>
  <si>
    <t>SDH-20-0273-B (RE-BID)</t>
  </si>
  <si>
    <t>SDH-20-0448-B (RE-BID)</t>
  </si>
  <si>
    <t>PR-2020-1293</t>
  </si>
  <si>
    <t>PR-2020-2103</t>
  </si>
  <si>
    <t>pmma-IB-16-20</t>
  </si>
  <si>
    <t>Infra-2020-11</t>
  </si>
  <si>
    <t>08142020</t>
  </si>
  <si>
    <t>PR. NO. 2020080871</t>
  </si>
  <si>
    <t>PR No. 2020-08-022</t>
  </si>
  <si>
    <t>DA8-Goods-2020-51 (PR No. RICE 20-07-30-0969)</t>
  </si>
  <si>
    <t>20-08-046</t>
  </si>
  <si>
    <t>20-08-047</t>
  </si>
  <si>
    <t>20-08-045</t>
  </si>
  <si>
    <t>VS-2020-039</t>
  </si>
  <si>
    <t>CG-2-86-2020</t>
  </si>
  <si>
    <t>20GIL0055</t>
  </si>
  <si>
    <t>BGPIN 202-01</t>
  </si>
  <si>
    <t>SRBC2020-002</t>
  </si>
  <si>
    <t>2020-407</t>
  </si>
  <si>
    <t>100-2020-08-0062</t>
  </si>
  <si>
    <t>GOODS-039-2020</t>
  </si>
  <si>
    <t>2020-GSIS-PB-036</t>
  </si>
  <si>
    <t>2020-20% EDF - 32 - 3000-3-01-011-001-001-0-2</t>
  </si>
  <si>
    <t>2020-08-0912 TDG</t>
  </si>
  <si>
    <t>DDO-20-C0831</t>
  </si>
  <si>
    <t>pmma-IB-15-20</t>
  </si>
  <si>
    <t>DDO-20-C0836</t>
  </si>
  <si>
    <t>SDH-20-0978-B</t>
  </si>
  <si>
    <t>DDO-20-C0824</t>
  </si>
  <si>
    <t>ppn-006-2020</t>
  </si>
  <si>
    <t>2020-20% EDF - 31 - 3000-3-01-011-001-00-16</t>
  </si>
  <si>
    <t>300-20-07-0815</t>
  </si>
  <si>
    <t>G-PEO-078-20</t>
  </si>
  <si>
    <t>100-20-08-0878</t>
  </si>
  <si>
    <t>DDO-20-C0830</t>
  </si>
  <si>
    <t>2020-ADM-08-002</t>
  </si>
  <si>
    <t>100-20-07-0818</t>
  </si>
  <si>
    <t>20-1722</t>
  </si>
  <si>
    <t>ADS-1864-20</t>
  </si>
  <si>
    <t>20-1794</t>
  </si>
  <si>
    <t>20-1721</t>
  </si>
  <si>
    <t>3LSSM2020A-169</t>
  </si>
  <si>
    <t>2020-GOODS-357</t>
  </si>
  <si>
    <t>G-PAGRO-074-20</t>
  </si>
  <si>
    <t>3LSSM2020A-168</t>
  </si>
  <si>
    <t>DSWD 4B 2020-08-0764</t>
  </si>
  <si>
    <t>PB-OCM-MOOE2020-01-REBID</t>
  </si>
  <si>
    <t>PCMT 2020 - 085</t>
  </si>
  <si>
    <t>2020-ODY-08-270</t>
  </si>
  <si>
    <t>3LSSM2020A-160</t>
  </si>
  <si>
    <t>20GGI0025</t>
  </si>
  <si>
    <t>100-2020-06-064</t>
  </si>
  <si>
    <t>100-20-08-0877</t>
  </si>
  <si>
    <t>1000032666</t>
  </si>
  <si>
    <t>PR2020-08-17-006</t>
  </si>
  <si>
    <t>BAC-OSEC-2020-08-041</t>
  </si>
  <si>
    <t>ATI-RTC 2020-0053</t>
  </si>
  <si>
    <t>2020-036-SVP</t>
  </si>
  <si>
    <t>CONTRACT ID: 20-08-112</t>
  </si>
  <si>
    <t>80018012020</t>
  </si>
  <si>
    <t>IPH-20-0685-B</t>
  </si>
  <si>
    <t>mwd_2020-08-01A</t>
  </si>
  <si>
    <t>MOP-2020-01</t>
  </si>
  <si>
    <t>PR2020-08-18-004</t>
  </si>
  <si>
    <t>MEO-2020-08-14-001</t>
  </si>
  <si>
    <t>2020-08-2574</t>
  </si>
  <si>
    <t>RFQ2020-03-052</t>
  </si>
  <si>
    <t>LGU-BLU-20-08-067</t>
  </si>
  <si>
    <t>08-08b-2020</t>
  </si>
  <si>
    <t>PEO-20-0962-B</t>
  </si>
  <si>
    <t>ISPSC-2020-G-K018</t>
  </si>
  <si>
    <t>GOV-20-0477-B</t>
  </si>
  <si>
    <t>MOP-2020-03</t>
  </si>
  <si>
    <t>LGU-BLU-20-08-066</t>
  </si>
  <si>
    <t>PEO-20-0963-B</t>
  </si>
  <si>
    <t>20GG0071-G</t>
  </si>
  <si>
    <t>MOP-2020-02</t>
  </si>
  <si>
    <t>Project No. 2020-03</t>
  </si>
  <si>
    <t>PEO-20-0961-B</t>
  </si>
  <si>
    <t>20NC0141</t>
  </si>
  <si>
    <t>2020-408</t>
  </si>
  <si>
    <t>AGR-20-0992-B</t>
  </si>
  <si>
    <t>200(01)20-08-472(A)</t>
  </si>
  <si>
    <t>033-2020</t>
  </si>
  <si>
    <t>18-10.A-4</t>
  </si>
  <si>
    <t>2020-08-JD68</t>
  </si>
  <si>
    <t>AEE August14-2020(1)</t>
  </si>
  <si>
    <t>GOV-20-0990-B</t>
  </si>
  <si>
    <t>LGU-BLU-20-08-069</t>
  </si>
  <si>
    <t>ITB No. (INF) 2020-08-117 CONSTRUCTION OF NEW CAPI</t>
  </si>
  <si>
    <t>200(01)20-08-467(A)</t>
  </si>
  <si>
    <t>LGU-BLU-20-08-068</t>
  </si>
  <si>
    <t>200(01)20-08-495(O)</t>
  </si>
  <si>
    <t>2020-234</t>
  </si>
  <si>
    <t>PR-2020-05-647</t>
  </si>
  <si>
    <t>ITB No. 20-076   RE-BIDDING FOR ONE (1) LOT SUPPLY</t>
  </si>
  <si>
    <t>PB-2020-08-001</t>
  </si>
  <si>
    <t>200(01)20-08-475(A)</t>
  </si>
  <si>
    <t>2020-07-024-101</t>
  </si>
  <si>
    <t>PR-2020-07-988</t>
  </si>
  <si>
    <t>PR-2020-07-1003</t>
  </si>
  <si>
    <t>PR-2020-02-211</t>
  </si>
  <si>
    <t>PR11081</t>
  </si>
  <si>
    <t>AGR-20-0994-B</t>
  </si>
  <si>
    <t>LGU-BLU-08-070</t>
  </si>
  <si>
    <t>20KG0101</t>
  </si>
  <si>
    <t>200(01)20-08-470(A)</t>
  </si>
  <si>
    <t>SAR-GOODS-08-043-2020</t>
  </si>
  <si>
    <t>20KG0100</t>
  </si>
  <si>
    <t>200(01)20-08-469(A)</t>
  </si>
  <si>
    <t>2020-08-JD69</t>
  </si>
  <si>
    <t>200(01)20-08-471(A)</t>
  </si>
  <si>
    <t>20KG0099</t>
  </si>
  <si>
    <t>AGR-20-0995-B</t>
  </si>
  <si>
    <t>2020-93 (GAS)</t>
  </si>
  <si>
    <t>PEO-20-0926-B</t>
  </si>
  <si>
    <t>2020-409</t>
  </si>
  <si>
    <t>2020-94 (GAS)</t>
  </si>
  <si>
    <t>DO-CSFP-2020-007</t>
  </si>
  <si>
    <t>PPD-20-0957-B</t>
  </si>
  <si>
    <t>MUNPINCE-2008-148</t>
  </si>
  <si>
    <t>np 2020-25 (GAS)</t>
  </si>
  <si>
    <t>MUNPINCE-2008-147</t>
  </si>
  <si>
    <t>8918-0420-352</t>
  </si>
  <si>
    <t>20KG0102</t>
  </si>
  <si>
    <t>sdn-2020-08-048</t>
  </si>
  <si>
    <t>INFRA-2020-22</t>
  </si>
  <si>
    <t>2020-159</t>
  </si>
  <si>
    <t>INFRA-2020-21</t>
  </si>
  <si>
    <t>RIZAL-04SEPTEMBER2020-2</t>
  </si>
  <si>
    <t>INFRA-2020-20</t>
  </si>
  <si>
    <t>034-2020</t>
  </si>
  <si>
    <t>INFRA-2020-19</t>
  </si>
  <si>
    <t>INFRA-2020-18</t>
  </si>
  <si>
    <t>2020-08-138</t>
  </si>
  <si>
    <t>GOODS-2020-20</t>
  </si>
  <si>
    <t>Infra GF 08-2020</t>
  </si>
  <si>
    <t>GOODS-2020-19</t>
  </si>
  <si>
    <t>16-2020</t>
  </si>
  <si>
    <t>RIZAL-04SEPTEMBER2020-4</t>
  </si>
  <si>
    <t>INFRA-2020-17</t>
  </si>
  <si>
    <t>INFRA-2020-16</t>
  </si>
  <si>
    <t>RIZAL-04SEPTEMBER2020-20</t>
  </si>
  <si>
    <t>RIZAL-04SEPTEMBER2020-1a</t>
  </si>
  <si>
    <t>RIZAL-04SEPTEMBER2020-21</t>
  </si>
  <si>
    <t>RIZAL-04SEPTEMBER2020-19</t>
  </si>
  <si>
    <t>RIZAL-04SEPTEMBER2020-15</t>
  </si>
  <si>
    <t>BAC-HO-GS No. 2020-0369 dated 29 July 2020 (FMED)</t>
  </si>
  <si>
    <t>RIZAL-04SEPTEMBER2020-14</t>
  </si>
  <si>
    <t>Cogon-2020-08-001</t>
  </si>
  <si>
    <t>RIZAL-04SEPTEMBER2020-11</t>
  </si>
  <si>
    <t>04SEPTEMBER2020-16</t>
  </si>
  <si>
    <t>8751-0820-625</t>
  </si>
  <si>
    <t>RIZAL-04SEPTEMBER2020-10</t>
  </si>
  <si>
    <t>RIZAL-04SEPTEMBER2020-9</t>
  </si>
  <si>
    <t>Picas-2020-08-001</t>
  </si>
  <si>
    <t>RIZAL-04SEPTEMBER2020-8</t>
  </si>
  <si>
    <t>2020-07-006</t>
  </si>
  <si>
    <t>PB - 2020 -10</t>
  </si>
  <si>
    <t>RIZAL-04SEPTEMBER2020-18</t>
  </si>
  <si>
    <t>20PBTNMSC13 - G</t>
  </si>
  <si>
    <t>Lgn1 - 20-DH-0099</t>
  </si>
  <si>
    <t>RIZAL-04SEPTEMBER2020-30</t>
  </si>
  <si>
    <t>RIZAL-04SEPTEMBER2020-29</t>
  </si>
  <si>
    <t>RIZAL-04SEPTEMBER2020-17</t>
  </si>
  <si>
    <t>RIZAL-04SEPTEMBER2020-27</t>
  </si>
  <si>
    <t>Lgn1 - 20-DH-0098</t>
  </si>
  <si>
    <t>B-G-2020-120</t>
  </si>
  <si>
    <t>B-G-2020-119</t>
  </si>
  <si>
    <t>B-G-2020-118</t>
  </si>
  <si>
    <t>RIZAL-04SEPTEMBER2020-13</t>
  </si>
  <si>
    <t>RIZAL-04SEPTEMBER2020-28</t>
  </si>
  <si>
    <t>BCS-2020-0292</t>
  </si>
  <si>
    <t>2020-GSIS-PB-002</t>
  </si>
  <si>
    <t>DOC1</t>
  </si>
  <si>
    <t>BCS-2020-0290</t>
  </si>
  <si>
    <t>EARIST-2020-BID-010</t>
  </si>
  <si>
    <t>PB - 2020 -14</t>
  </si>
  <si>
    <t>PB - 2020 -13</t>
  </si>
  <si>
    <t>2020-GOODS-005</t>
  </si>
  <si>
    <t>PB - 2020 -11</t>
  </si>
  <si>
    <t>2020-08-02-027</t>
  </si>
  <si>
    <t>BCS-2020-0291</t>
  </si>
  <si>
    <t>BAC-LGU-TADS-2020-16</t>
  </si>
  <si>
    <t>S1-IDP20-006</t>
  </si>
  <si>
    <t>ITB-001-08-2020</t>
  </si>
  <si>
    <t>BAL-08-07-2020 Construction of Foot Bridge at Brgy</t>
  </si>
  <si>
    <t>PEO-20-068-B (Re-Bid)</t>
  </si>
  <si>
    <t>PB - 2020 -12</t>
  </si>
  <si>
    <t>RIZAL-04SEPTEMBER2020-26</t>
  </si>
  <si>
    <t>BAL-08-07-2020 Construction of Additional Material</t>
  </si>
  <si>
    <t>2020-08-02-029</t>
  </si>
  <si>
    <t>BAL-08-07-2020 Construction of Executive Complex D</t>
  </si>
  <si>
    <t>Repair and Maintenance of existing Small Water Imp</t>
  </si>
  <si>
    <t>BAL-08-07-2020 Concreting of 250 meters "Access Ro</t>
  </si>
  <si>
    <t>NP-SVP-2020-01</t>
  </si>
  <si>
    <t>Supply and Delivery of various Chemicals and Labor</t>
  </si>
  <si>
    <t>Rehabilitation of BSWM Hitachi Elevators CY 2020 I</t>
  </si>
  <si>
    <t>2020-CW-027</t>
  </si>
  <si>
    <t>2020-CW-019</t>
  </si>
  <si>
    <t>S1-MTS20-018</t>
  </si>
  <si>
    <t>S1-KAB20-012</t>
  </si>
  <si>
    <t>MG-PLM20-086</t>
  </si>
  <si>
    <t>PBI-2020-45</t>
  </si>
  <si>
    <t>MG-PLM20-122</t>
  </si>
  <si>
    <t>2020-CW-024</t>
  </si>
  <si>
    <t>RIZAL-04SEPTEMBER2020-25</t>
  </si>
  <si>
    <t>infra2020</t>
  </si>
  <si>
    <t>doc 1</t>
  </si>
  <si>
    <t>MG-PLM20-121</t>
  </si>
  <si>
    <t>20O00066</t>
  </si>
  <si>
    <t>ITB No. 2020-08-060</t>
  </si>
  <si>
    <t>2020-G005</t>
  </si>
  <si>
    <t>20GO00001</t>
  </si>
  <si>
    <t>MG-PLM20-102</t>
  </si>
  <si>
    <t>8162020-4</t>
  </si>
  <si>
    <t>8162020-3</t>
  </si>
  <si>
    <t>20O00065</t>
  </si>
  <si>
    <t>20O00064</t>
  </si>
  <si>
    <t>BAL-08-07-2020 Repair and Rehabilitation of 2 unit</t>
  </si>
  <si>
    <t>20O00067</t>
  </si>
  <si>
    <t>2020-C-001</t>
  </si>
  <si>
    <t>8162020-2</t>
  </si>
  <si>
    <t>RIZAL-04SEPTEMBER2020-24</t>
  </si>
  <si>
    <t>MA-A2H20-014</t>
  </si>
  <si>
    <t>MA-A2M20-043</t>
  </si>
  <si>
    <t>2020-08-02-028</t>
  </si>
  <si>
    <t>MA-A2M20-048</t>
  </si>
  <si>
    <t>MA-A2M20-053</t>
  </si>
  <si>
    <t>MA-A2M20-004</t>
  </si>
  <si>
    <t>MA-A2H20-015</t>
  </si>
  <si>
    <t>MG-PAT20-040</t>
  </si>
  <si>
    <t>MG-PAT20-043</t>
  </si>
  <si>
    <t>BAL-08-07-2020 Construction of RHU-Birthing Center</t>
  </si>
  <si>
    <t>2020-08-037</t>
  </si>
  <si>
    <t>I.T.B-2020-01</t>
  </si>
  <si>
    <t>MG-PAT20-045</t>
  </si>
  <si>
    <t>MG-PAT20-048</t>
  </si>
  <si>
    <t>RIZAL-04SEPTEMBER2020-23</t>
  </si>
  <si>
    <t>20GFC0055</t>
  </si>
  <si>
    <t>RIZAL-04SEPTEMBER2020-22</t>
  </si>
  <si>
    <t>08172020- D</t>
  </si>
  <si>
    <t>DTI PB-20-015</t>
  </si>
  <si>
    <t>MA-A2M20-045</t>
  </si>
  <si>
    <t>08172020- C</t>
  </si>
  <si>
    <t>08172020- A</t>
  </si>
  <si>
    <t>MA-A2M20-018</t>
  </si>
  <si>
    <t>08172020- B</t>
  </si>
  <si>
    <t>08172020-Rebid B</t>
  </si>
  <si>
    <t>BAC-HO GS No. 2020-0487 dated 27 July 2020 (FMED)</t>
  </si>
  <si>
    <t>DA3-2020-07-23-232</t>
  </si>
  <si>
    <t>20GFC0059</t>
  </si>
  <si>
    <t>Expansion of Evacuation Center Phase V</t>
  </si>
  <si>
    <t>08172020-Rebid A</t>
  </si>
  <si>
    <t>PB08-001</t>
  </si>
  <si>
    <t>BAC-HO-GS No. 2020-0429 dated 03 July 2020 (ASD)</t>
  </si>
  <si>
    <t>SVP No. 2020-043</t>
  </si>
  <si>
    <t>20-08-0117</t>
  </si>
  <si>
    <t>PB INFRA 20-068</t>
  </si>
  <si>
    <t>PB INFRA 20-067</t>
  </si>
  <si>
    <t>PB INFRA 20-073</t>
  </si>
  <si>
    <t>QNV-028-2020</t>
  </si>
  <si>
    <t>INFRA-13-20-01</t>
  </si>
  <si>
    <t>PB INFRA 20-066</t>
  </si>
  <si>
    <t>MG-PAT20-041</t>
  </si>
  <si>
    <t>QNV-033-2020</t>
  </si>
  <si>
    <t>PB-20-446</t>
  </si>
  <si>
    <t>PB-20-415</t>
  </si>
  <si>
    <t>PB-20-414</t>
  </si>
  <si>
    <t>INFRA-13-20-02</t>
  </si>
  <si>
    <t>GDS 08-2020-18</t>
  </si>
  <si>
    <t>AMP SVP-D NO: 20-08-0433 One (1) Lot Boxes for Mer</t>
  </si>
  <si>
    <t>20KC0127</t>
  </si>
  <si>
    <t>ITA-04-2020</t>
  </si>
  <si>
    <t>QNV-037-2020</t>
  </si>
  <si>
    <t>8-20-07</t>
  </si>
  <si>
    <t>CW 20-07-02</t>
  </si>
  <si>
    <t>BAC-HO GS NO. 2020-0441 dated 09 July 2020 (ASD)</t>
  </si>
  <si>
    <t>BFP NCR IB No. 001 s. 2020s</t>
  </si>
  <si>
    <t>BFP NCR IB No. 002 s. 2020s</t>
  </si>
  <si>
    <t>08172020- E</t>
  </si>
  <si>
    <t>20GFC0056</t>
  </si>
  <si>
    <t>20GFC0058</t>
  </si>
  <si>
    <t>INFRA-13-20-03</t>
  </si>
  <si>
    <t>RIZAL-04SEPTEMBER2020-12</t>
  </si>
  <si>
    <t>20GMC0215 (Equipment Rental Only)</t>
  </si>
  <si>
    <t>20GFC0057</t>
  </si>
  <si>
    <t>RIZAL-04SEPTEMBER2020-7</t>
  </si>
  <si>
    <t>QNV-031-2020</t>
  </si>
  <si>
    <t>PB INFRA 20-074</t>
  </si>
  <si>
    <t>PB08-002</t>
  </si>
  <si>
    <t>RIZAL-04SEPTEMBER2020-6</t>
  </si>
  <si>
    <t>20GMC0221 (Equipment Rental Only)</t>
  </si>
  <si>
    <t>20GMC0220 (Equipment Rental Only)</t>
  </si>
  <si>
    <t>DA3-2020-07-08-102</t>
  </si>
  <si>
    <t>20GMC0219 (Equipment Rental Only)</t>
  </si>
  <si>
    <t>20GMC0218 (Equipment Rental Only)</t>
  </si>
  <si>
    <t>20GMC0217 (Equipment Rental Only)</t>
  </si>
  <si>
    <t>20GMC0222(Equipment Rental Only)</t>
  </si>
  <si>
    <t>20GMC0216 (Equipment Rental Only)</t>
  </si>
  <si>
    <t>101-2020-08-275</t>
  </si>
  <si>
    <t>2020-PH-002</t>
  </si>
  <si>
    <t>2020-PH-001</t>
  </si>
  <si>
    <t>101-2020-08-278</t>
  </si>
  <si>
    <t>RIZAL-04SEPTEMBER2020-5</t>
  </si>
  <si>
    <t>0863</t>
  </si>
  <si>
    <t>RIZAL-04SEPTEMBER2020-3</t>
  </si>
  <si>
    <t>GOODS-2020-18</t>
  </si>
  <si>
    <t>UPLB-NP-IF-001-09-20</t>
  </si>
  <si>
    <t>2020-91 (GAS)</t>
  </si>
  <si>
    <t>BAC-LGU-TADS-2020-17</t>
  </si>
  <si>
    <t>2020-92 (GAS)</t>
  </si>
  <si>
    <t>8751-0220-121</t>
  </si>
  <si>
    <t>DTIR01-2020-010</t>
  </si>
  <si>
    <t>20GMC0232 (Equiptment Rental Only)</t>
  </si>
  <si>
    <t>MAYOR-2020-69</t>
  </si>
  <si>
    <t>SN-2020-11</t>
  </si>
  <si>
    <t>G-B016-2020</t>
  </si>
  <si>
    <t>0870</t>
  </si>
  <si>
    <t>Job Order No.CBIMO-SPIS-20-07-0496.</t>
  </si>
  <si>
    <t>101-2020-08-274</t>
  </si>
  <si>
    <t>20GMC0227 (Equiptment Rental Only)</t>
  </si>
  <si>
    <t>20GMC0226 (Equiptment Rental Only)</t>
  </si>
  <si>
    <t>20GMC0225 (Equiptment Rental Only)</t>
  </si>
  <si>
    <t>20GMC0224 (Equiptment Rental Only)</t>
  </si>
  <si>
    <t>20GMC0229 (Equiptment Rental Only)</t>
  </si>
  <si>
    <t>G-04-2020</t>
  </si>
  <si>
    <t>20GMC0230 (Equiptment Rental Only)</t>
  </si>
  <si>
    <t>20-06-473</t>
  </si>
  <si>
    <t>20GMC0231 (Equiptment Rental Only)</t>
  </si>
  <si>
    <t>20-08-631</t>
  </si>
  <si>
    <t>20GMC0228 (Equiptment Rental Only)</t>
  </si>
  <si>
    <t>CULABA 2020-11</t>
  </si>
  <si>
    <t>2020-08-0004</t>
  </si>
  <si>
    <t>CW-04-2020</t>
  </si>
  <si>
    <t>UPB-2020-062</t>
  </si>
  <si>
    <t>Job Order No. CBIMO-SPIS-20-07-0497.</t>
  </si>
  <si>
    <t>UPB-2020-061</t>
  </si>
  <si>
    <t>CULABA 2020-08</t>
  </si>
  <si>
    <t>2020-SRV-016</t>
  </si>
  <si>
    <t>CULABA 2020-07</t>
  </si>
  <si>
    <t>G-03-2020</t>
  </si>
  <si>
    <t>GGSS-2020-006</t>
  </si>
  <si>
    <t>CULABA 2020-09</t>
  </si>
  <si>
    <t>CULABA 2020-10</t>
  </si>
  <si>
    <t>CW-2020-022</t>
  </si>
  <si>
    <t>CW-2020-020</t>
  </si>
  <si>
    <t>BASICEdLCP-082020</t>
  </si>
  <si>
    <t>CW-2020-021</t>
  </si>
  <si>
    <t>B-08-33-20</t>
  </si>
  <si>
    <t>ITB No. 2020-03(02)</t>
  </si>
  <si>
    <t>2020-CW-51</t>
  </si>
  <si>
    <t>2020-SRV-017</t>
  </si>
  <si>
    <t>126</t>
  </si>
  <si>
    <t>UPB-2020-063</t>
  </si>
  <si>
    <t>2020-CW-50</t>
  </si>
  <si>
    <t>20CSF003</t>
  </si>
  <si>
    <t>LGU GUA 34-20</t>
  </si>
  <si>
    <t>125</t>
  </si>
  <si>
    <t>ITB No. 2020-03(01)</t>
  </si>
  <si>
    <t>036-2020</t>
  </si>
  <si>
    <t>LGU GUA 33-20</t>
  </si>
  <si>
    <t>ITB No. 2020-03(06)</t>
  </si>
  <si>
    <t>2020-188</t>
  </si>
  <si>
    <t>ITB No. 2020-03(05)</t>
  </si>
  <si>
    <t>ITB No. 2020-03(04)</t>
  </si>
  <si>
    <t>2020-08-13-002</t>
  </si>
  <si>
    <t>IB 2020-13</t>
  </si>
  <si>
    <t>2020-08-13-001</t>
  </si>
  <si>
    <t>2020-462</t>
  </si>
  <si>
    <t>2020-461</t>
  </si>
  <si>
    <t>2020-187</t>
  </si>
  <si>
    <t>08-13-20</t>
  </si>
  <si>
    <t>2020-460</t>
  </si>
  <si>
    <t>BLGU-TINALIAN-AL-01-2020</t>
  </si>
  <si>
    <t>ITB No. (INF) 2020-08-018 FISH AND MARINE SANCTUAR</t>
  </si>
  <si>
    <t>20GMC0223(Equipment Rental Only)</t>
  </si>
  <si>
    <t>PR-2020-07-1004</t>
  </si>
  <si>
    <t>GGSS-2020-007</t>
  </si>
  <si>
    <t>LGU GUA 32-20</t>
  </si>
  <si>
    <t>PRO 11 2020-07</t>
  </si>
  <si>
    <t>21A00009</t>
  </si>
  <si>
    <t>2020-477</t>
  </si>
  <si>
    <t>PB-2020-08-002</t>
  </si>
  <si>
    <t>2020-CW-52</t>
  </si>
  <si>
    <t>8751-0820-661</t>
  </si>
  <si>
    <t>ANAJAO ITB 2020-01</t>
  </si>
  <si>
    <t>BLGU-PAGSANGAN-AL-02-2020</t>
  </si>
  <si>
    <t>200814</t>
  </si>
  <si>
    <t>ITB No. 2020-03(08)</t>
  </si>
  <si>
    <t>CEO-2018-C29</t>
  </si>
  <si>
    <t>TC-NPGDS-2020-02</t>
  </si>
  <si>
    <t>ITB No. 2020-03(07)</t>
  </si>
  <si>
    <t>08-14-20</t>
  </si>
  <si>
    <t>ITB No. 2020-G-09-01</t>
  </si>
  <si>
    <t>MJJLECG010-2020-01</t>
  </si>
  <si>
    <t>528-2020 Bidding</t>
  </si>
  <si>
    <t>405-2020</t>
  </si>
  <si>
    <t>20-228</t>
  </si>
  <si>
    <t>PGBH-C-2020-024 PR2020-155</t>
  </si>
  <si>
    <t>ITB No. 2020-03(09)</t>
  </si>
  <si>
    <t>PGBH-C-2020-023 PR2020-154</t>
  </si>
  <si>
    <t>ITB No. 2020-G-07-01</t>
  </si>
  <si>
    <t>ITB No. 2020-G-08-01</t>
  </si>
  <si>
    <t>037-2020</t>
  </si>
  <si>
    <t>20GKF0052</t>
  </si>
  <si>
    <t>20-08-062</t>
  </si>
  <si>
    <t>IB-2020-IX-07-01</t>
  </si>
  <si>
    <t>OM-255-S-2020</t>
  </si>
  <si>
    <t>Procurement of Printing and Binding of Self-Learni</t>
  </si>
  <si>
    <t>PR-2020-06-035</t>
  </si>
  <si>
    <t>2020-0006</t>
  </si>
  <si>
    <t>PR2020-07-05</t>
  </si>
  <si>
    <t>ITB No. 2020-16</t>
  </si>
  <si>
    <t>2020-191</t>
  </si>
  <si>
    <t>2020-0005</t>
  </si>
  <si>
    <t>2020 - 153</t>
  </si>
  <si>
    <t>20CSKE01</t>
  </si>
  <si>
    <t>IB 2020-14</t>
  </si>
  <si>
    <t>101-2020-08-267</t>
  </si>
  <si>
    <t>MG-A7O20-017</t>
  </si>
  <si>
    <t>Procurement of Printing and Binding of Self Learni</t>
  </si>
  <si>
    <t>BAC-HOJ-006-20</t>
  </si>
  <si>
    <t>MNE-I-2020-08-010</t>
  </si>
  <si>
    <t>DWD#2020-043</t>
  </si>
  <si>
    <t>0020-0277.1287B2020</t>
  </si>
  <si>
    <t>2020-61</t>
  </si>
  <si>
    <t>PHRMDO-C-NC-2020-134 PR2020-151</t>
  </si>
  <si>
    <t>COB BAC Goods 2020-015-01</t>
  </si>
  <si>
    <t>MG-A7M20-131</t>
  </si>
  <si>
    <t>COB BAC Goods 2020-015-03</t>
  </si>
  <si>
    <t>COB BAC Goods 2020-015-02</t>
  </si>
  <si>
    <t>PGBH-C-2020-022 PR2020-153</t>
  </si>
  <si>
    <t>ITB No. 03-CW-2020</t>
  </si>
  <si>
    <t>PGBH-C-2020-021 PR2020-152</t>
  </si>
  <si>
    <t>099-2020</t>
  </si>
  <si>
    <t>BLGU Doña Josefa 2020-010-021</t>
  </si>
  <si>
    <t>0119-2020</t>
  </si>
  <si>
    <t>2020-07-122(05206441)</t>
  </si>
  <si>
    <t>101-2020-08-268</t>
  </si>
  <si>
    <t>2020-018-smb</t>
  </si>
  <si>
    <t>DEP-ED-2019-01 (LOT-3)</t>
  </si>
  <si>
    <t>08-14-07</t>
  </si>
  <si>
    <t>101-2020-08-448</t>
  </si>
  <si>
    <t>20JB0088</t>
  </si>
  <si>
    <t>2020-06-113(05206441)</t>
  </si>
  <si>
    <t>101-2020-07-432</t>
  </si>
  <si>
    <t>2020 - 21</t>
  </si>
  <si>
    <t>2020-07-141(05206441)</t>
  </si>
  <si>
    <t>20FK0064</t>
  </si>
  <si>
    <t>08-14-06</t>
  </si>
  <si>
    <t>08-14-05</t>
  </si>
  <si>
    <t>20-08-121</t>
  </si>
  <si>
    <t>20FK0063</t>
  </si>
  <si>
    <t>2020-08-12</t>
  </si>
  <si>
    <t>20-08-120</t>
  </si>
  <si>
    <t>08-14-04</t>
  </si>
  <si>
    <t>101-2020-08-450,451,453,454,455,464</t>
  </si>
  <si>
    <t>PR-2020-07-036</t>
  </si>
  <si>
    <t>20GKF0053</t>
  </si>
  <si>
    <t>ITB 2020-32</t>
  </si>
  <si>
    <t>20-08-421</t>
  </si>
  <si>
    <t>20-08-118</t>
  </si>
  <si>
    <t>PR No. 300-20-08-387</t>
  </si>
  <si>
    <t>2020-07-123(05206441)</t>
  </si>
  <si>
    <t>2020-3</t>
  </si>
  <si>
    <t>lgumambu_brgyburias_cw_aug_2020_001</t>
  </si>
  <si>
    <t>lgumambu_brgybalatan_cw_aug_2020_001</t>
  </si>
  <si>
    <t>PB NO. 2020-052</t>
  </si>
  <si>
    <t>20GMC0197 (Equipment Rental Only)</t>
  </si>
  <si>
    <t>2020-082-20-3</t>
  </si>
  <si>
    <t>geps(carangian) 2020-08-005</t>
  </si>
  <si>
    <t>2020-36</t>
  </si>
  <si>
    <t>2020-082-20-4</t>
  </si>
  <si>
    <t>529-2020 Bidding</t>
  </si>
  <si>
    <t>2020-082-20-2</t>
  </si>
  <si>
    <t>CB(B)-20-019(CEO)</t>
  </si>
  <si>
    <t>2020-082-20-1</t>
  </si>
  <si>
    <t>2020-082-20-5</t>
  </si>
  <si>
    <t>20GMC0203 (Equipment Rental Only)</t>
  </si>
  <si>
    <t>20GMC0198 (Equipment Rental Only)</t>
  </si>
  <si>
    <t>08-14-08</t>
  </si>
  <si>
    <t>20GMC0205 (Equipment Rental Only)</t>
  </si>
  <si>
    <t>BacongRFQ 2020-12</t>
  </si>
  <si>
    <t>20GMC0204 (Equipment Rental Only)</t>
  </si>
  <si>
    <t>2020-082-20-9</t>
  </si>
  <si>
    <t>2020-082-20-7</t>
  </si>
  <si>
    <t>BS 20-08-0836</t>
  </si>
  <si>
    <t>20GMC0201(Equipment Rental Only)</t>
  </si>
  <si>
    <t>2020-082-20-8</t>
  </si>
  <si>
    <t>20GMC0200 (Equipment Rental Only)</t>
  </si>
  <si>
    <t>20GMC0202(Equipment Rental Only)</t>
  </si>
  <si>
    <t>SCM 0814-01-2020</t>
  </si>
  <si>
    <t>BAC2020-022</t>
  </si>
  <si>
    <t>BacongRFQ 2020-13</t>
  </si>
  <si>
    <t>024-2020</t>
  </si>
  <si>
    <t>MAO-GOODS-PR2020-08-167-1PB</t>
  </si>
  <si>
    <t>BAC2020-021</t>
  </si>
  <si>
    <t>20JB0089</t>
  </si>
  <si>
    <t>BS 20-08-MS008</t>
  </si>
  <si>
    <t>2020-082-20-14</t>
  </si>
  <si>
    <t>ITB-20-08-006</t>
  </si>
  <si>
    <t>BS 20-08-0845</t>
  </si>
  <si>
    <t>2020-06-10</t>
  </si>
  <si>
    <t>2020-082-20-19</t>
  </si>
  <si>
    <t>20LC0171</t>
  </si>
  <si>
    <t>2020-082-20-18</t>
  </si>
  <si>
    <t>20LC0044</t>
  </si>
  <si>
    <t>BS 20-08-0847</t>
  </si>
  <si>
    <t>ITB-KOR: 20-08-0766 CIO</t>
  </si>
  <si>
    <t>20-287</t>
  </si>
  <si>
    <t>VMC-2020-081</t>
  </si>
  <si>
    <t>20LC0043</t>
  </si>
  <si>
    <t>2020-082-20-6</t>
  </si>
  <si>
    <t>2020-082-20-16</t>
  </si>
  <si>
    <t>2020-082-20-15</t>
  </si>
  <si>
    <t>ITB. No. 20-18-02</t>
  </si>
  <si>
    <t>2020-082-20-13</t>
  </si>
  <si>
    <t>20LC0042</t>
  </si>
  <si>
    <t>BS 20-08-0850</t>
  </si>
  <si>
    <t>UBAUB ITB 02-2020</t>
  </si>
  <si>
    <t>20LC0111</t>
  </si>
  <si>
    <t>PURCHASE REQUEST NO. 101-2020-08-192</t>
  </si>
  <si>
    <t>2020-082-20-17</t>
  </si>
  <si>
    <t>BacongRFQ 2020-14</t>
  </si>
  <si>
    <t>BS 20-08-OE010</t>
  </si>
  <si>
    <t>BacongRFQ 2020-15</t>
  </si>
  <si>
    <t>2020-082-20-11</t>
  </si>
  <si>
    <t>BS 20-08-0833</t>
  </si>
  <si>
    <t>LGU-PI-2020-08-19PB</t>
  </si>
  <si>
    <t>2020-082-20-12</t>
  </si>
  <si>
    <t>GHQBAC1-PB-018-GHQ-20</t>
  </si>
  <si>
    <t>20GMC0199 (Equipment Rental Only)</t>
  </si>
  <si>
    <t>BAC2020-023</t>
  </si>
  <si>
    <t>2020-082-20-10</t>
  </si>
  <si>
    <t>BS 20-08-0835</t>
  </si>
  <si>
    <t>BAC2020-024</t>
  </si>
  <si>
    <t>CB(B)-20-029(LSB-DEPED)</t>
  </si>
  <si>
    <t>20IJ-0090</t>
  </si>
  <si>
    <t>03-2020-429</t>
  </si>
  <si>
    <t>ITB-KOR: 20-08-0764 BFP</t>
  </si>
  <si>
    <t>2020-082-20-20</t>
  </si>
  <si>
    <t>2020-082-20-21</t>
  </si>
  <si>
    <t>20-291</t>
  </si>
  <si>
    <t>BAC2020-025</t>
  </si>
  <si>
    <t>7176811</t>
  </si>
  <si>
    <t>20IJ-0092</t>
  </si>
  <si>
    <t>MEO-GOODS-PR2020-07-157-1PB</t>
  </si>
  <si>
    <t>2020-879</t>
  </si>
  <si>
    <t>8-14-20</t>
  </si>
  <si>
    <t>2020-082-20-23</t>
  </si>
  <si>
    <t>Public Bidding No. 2019-007-G</t>
  </si>
  <si>
    <t>2020-919</t>
  </si>
  <si>
    <t>2020-921</t>
  </si>
  <si>
    <t>SEF-I-72-2020</t>
  </si>
  <si>
    <t>SEF-I-73-2020</t>
  </si>
  <si>
    <t>MKWD2020-012</t>
  </si>
  <si>
    <t>C10-20-1655</t>
  </si>
  <si>
    <t>IV-08-2020-02</t>
  </si>
  <si>
    <t>PURCHASE REQUEST NO. 2020-08-010</t>
  </si>
  <si>
    <t>7176810</t>
  </si>
  <si>
    <t>BAC2020-026</t>
  </si>
  <si>
    <t>20GMC0207 (Equiptment Rental Only)</t>
  </si>
  <si>
    <t>20-08-0176</t>
  </si>
  <si>
    <t>2020-923</t>
  </si>
  <si>
    <t>24</t>
  </si>
  <si>
    <t>20GMC0208 (Equiptment Rental Only)</t>
  </si>
  <si>
    <t>DAR-ADS PB-2020-C-06-050</t>
  </si>
  <si>
    <t>2020-900</t>
  </si>
  <si>
    <t>007-2020-I</t>
  </si>
  <si>
    <t>2020-818</t>
  </si>
  <si>
    <t>S3-JOL20-013</t>
  </si>
  <si>
    <t>20GMC0206 (Equiptment Rental Only)</t>
  </si>
  <si>
    <t>ITB No. 2020-03(10)</t>
  </si>
  <si>
    <t>20GMC0212 (Equiptment Rental Only)</t>
  </si>
  <si>
    <t>20GMC0214 (Equiptment Rental Only)</t>
  </si>
  <si>
    <t>SVP20-665</t>
  </si>
  <si>
    <t>20-08-311</t>
  </si>
  <si>
    <t>20GMC0213 (Equiptment Rental Only)</t>
  </si>
  <si>
    <t>2020-920</t>
  </si>
  <si>
    <t>2020-814</t>
  </si>
  <si>
    <t>20GMC0211 (Equiptment Rental Only)</t>
  </si>
  <si>
    <t>20-08-310</t>
  </si>
  <si>
    <t>G-134-20C</t>
  </si>
  <si>
    <t>20GMC0210 (Equiptment Rental Only)</t>
  </si>
  <si>
    <t>20CSIL0001</t>
  </si>
  <si>
    <t>2020-826</t>
  </si>
  <si>
    <t>PUR20-07-0608</t>
  </si>
  <si>
    <t>20-002-08 DELTA (RE-POST)</t>
  </si>
  <si>
    <t>AMP-20-07-052</t>
  </si>
  <si>
    <t>Rebidding for the Supply and Delivery of One (1) U</t>
  </si>
  <si>
    <t>2020-08-79</t>
  </si>
  <si>
    <t>Goods 2020-09</t>
  </si>
  <si>
    <t>20E00110</t>
  </si>
  <si>
    <t>20-003-08 DELTA (RE-POST)</t>
  </si>
  <si>
    <t>2020-08-116</t>
  </si>
  <si>
    <t>PBD No. 2020-08-0060</t>
  </si>
  <si>
    <t>ASTCIVILGOODS814</t>
  </si>
  <si>
    <t>08152020</t>
  </si>
  <si>
    <t>ITB-KOR: 20-08-0765 CHO</t>
  </si>
  <si>
    <t>20-08-312</t>
  </si>
  <si>
    <t>2020-852</t>
  </si>
  <si>
    <t>20-08-313</t>
  </si>
  <si>
    <t>2020-895</t>
  </si>
  <si>
    <t>20IJ-0091</t>
  </si>
  <si>
    <t>2020-858</t>
  </si>
  <si>
    <t>001-Goods-2020</t>
  </si>
  <si>
    <t>ASTGOODS31</t>
  </si>
  <si>
    <t>20-295</t>
  </si>
  <si>
    <t>20-107</t>
  </si>
  <si>
    <t>2020-042-I</t>
  </si>
  <si>
    <t>2020-0023</t>
  </si>
  <si>
    <t>2020-082-20-22</t>
  </si>
  <si>
    <t>2020DBSHS 08-14</t>
  </si>
  <si>
    <t>SPC PR No. 1000033314</t>
  </si>
  <si>
    <t>PUR20-08-0679</t>
  </si>
  <si>
    <t>2020-4</t>
  </si>
  <si>
    <t>PB-2020-0814-05</t>
  </si>
  <si>
    <t>itb20-08-032A</t>
  </si>
  <si>
    <t>2020-0024</t>
  </si>
  <si>
    <t>PUR20-07-0616</t>
  </si>
  <si>
    <t>005-08142020</t>
  </si>
  <si>
    <t>016-08142020</t>
  </si>
  <si>
    <t>015-08142020</t>
  </si>
  <si>
    <t>014-08142020</t>
  </si>
  <si>
    <t>013-08142020</t>
  </si>
  <si>
    <t>011-08142020</t>
  </si>
  <si>
    <t>itb20-08032B</t>
  </si>
  <si>
    <t>skbangkal-003</t>
  </si>
  <si>
    <t>010-08142020</t>
  </si>
  <si>
    <t>012-08142020</t>
  </si>
  <si>
    <t>008-08142020</t>
  </si>
  <si>
    <t>004-08142020</t>
  </si>
  <si>
    <t>003-08142020</t>
  </si>
  <si>
    <t>2020-0025</t>
  </si>
  <si>
    <t>006-08142020</t>
  </si>
  <si>
    <t>001-08142020</t>
  </si>
  <si>
    <t>20CSCM05</t>
  </si>
  <si>
    <t>007-08142020</t>
  </si>
  <si>
    <t>002-08142020</t>
  </si>
  <si>
    <t>031-08142020</t>
  </si>
  <si>
    <t>029-08142020</t>
  </si>
  <si>
    <t>ITB No. 20-08-19</t>
  </si>
  <si>
    <t>027-08142020</t>
  </si>
  <si>
    <t>skbangkal-004</t>
  </si>
  <si>
    <t>026-08142020</t>
  </si>
  <si>
    <t>025-08142020</t>
  </si>
  <si>
    <t>STLU - 025 - 2020</t>
  </si>
  <si>
    <t>20200801</t>
  </si>
  <si>
    <t>009-08142020</t>
  </si>
  <si>
    <t>032-08142020</t>
  </si>
  <si>
    <t>024-08142020</t>
  </si>
  <si>
    <t>STLU - 023 - 2020</t>
  </si>
  <si>
    <t>048-08142020</t>
  </si>
  <si>
    <t>046-08142020</t>
  </si>
  <si>
    <t>20CSOA001</t>
  </si>
  <si>
    <t>047-08142020</t>
  </si>
  <si>
    <t>043-08142020</t>
  </si>
  <si>
    <t>BAC-2020-0019</t>
  </si>
  <si>
    <t>STLU - 024 - 2020</t>
  </si>
  <si>
    <t>2020-022R</t>
  </si>
  <si>
    <t>040-08142020</t>
  </si>
  <si>
    <t>039-08142020</t>
  </si>
  <si>
    <t>044-08142020</t>
  </si>
  <si>
    <t>050-08142020</t>
  </si>
  <si>
    <t>042-08142020</t>
  </si>
  <si>
    <t>013-2020</t>
  </si>
  <si>
    <t>041-08142020</t>
  </si>
  <si>
    <t>GO-2020-08-167</t>
  </si>
  <si>
    <t>045-08142020</t>
  </si>
  <si>
    <t>GO-2020-08-166</t>
  </si>
  <si>
    <t>030-08142020</t>
  </si>
  <si>
    <t>GO-2020-08-160</t>
  </si>
  <si>
    <t>GO-2020-08-158</t>
  </si>
  <si>
    <t>GO-2020-08-165</t>
  </si>
  <si>
    <t>053-08142020</t>
  </si>
  <si>
    <t>STLU - 027 - 2020</t>
  </si>
  <si>
    <t>07-2020-1238</t>
  </si>
  <si>
    <t>052-08142020</t>
  </si>
  <si>
    <t>051-08142020</t>
  </si>
  <si>
    <t>037-08142020</t>
  </si>
  <si>
    <t>00008310</t>
  </si>
  <si>
    <t>TCW-2020-08-06-046</t>
  </si>
  <si>
    <t>035-08142020</t>
  </si>
  <si>
    <t>033-08142020</t>
  </si>
  <si>
    <t>038-08142020</t>
  </si>
  <si>
    <t>022-08142020</t>
  </si>
  <si>
    <t>020-08142020</t>
  </si>
  <si>
    <t>STLU - 026 - 2020</t>
  </si>
  <si>
    <t>019-08142020</t>
  </si>
  <si>
    <t>018-08142020</t>
  </si>
  <si>
    <t>023-08142020</t>
  </si>
  <si>
    <t>20GMC0209 (Equiptment Rental Only)</t>
  </si>
  <si>
    <t>036-08142020</t>
  </si>
  <si>
    <t>021-08142020</t>
  </si>
  <si>
    <t>017-08142020</t>
  </si>
  <si>
    <t>21CSIA003 Consultancy Services for the conduct of</t>
  </si>
  <si>
    <t>21CSIA002 Conduct of Soil Exploration for the Reha</t>
  </si>
  <si>
    <t>skbangkal-002</t>
  </si>
  <si>
    <t>GOODS #2020-4 (2ND NOTICE)</t>
  </si>
  <si>
    <t>20030200</t>
  </si>
  <si>
    <t>20IK0100</t>
  </si>
  <si>
    <t>028-08142020</t>
  </si>
  <si>
    <t>20063938</t>
  </si>
  <si>
    <t>BAC 2020-08-59</t>
  </si>
  <si>
    <t>INFRA-03-2019 (REPOST)</t>
  </si>
  <si>
    <t>034-08142020</t>
  </si>
  <si>
    <t>LAR-18</t>
  </si>
  <si>
    <t>BGHMCPB-2020-29-001</t>
  </si>
  <si>
    <t>2008-0768-RICTMS</t>
  </si>
  <si>
    <t>GO-2020-08-159</t>
  </si>
  <si>
    <t>202008-02</t>
  </si>
  <si>
    <t>HILONGOS 2020-245</t>
  </si>
  <si>
    <t>612020a</t>
  </si>
  <si>
    <t>2007-0656-NHTS</t>
  </si>
  <si>
    <t>2008-0709-SFP</t>
  </si>
  <si>
    <t>2008-0758-NHTS</t>
  </si>
  <si>
    <t>2008-0767-RICTMS</t>
  </si>
  <si>
    <t>BMC-N-20-0315</t>
  </si>
  <si>
    <t>592020a</t>
  </si>
  <si>
    <t>2020LGU014</t>
  </si>
  <si>
    <t>602020a</t>
  </si>
  <si>
    <t>2020-0812-001</t>
  </si>
  <si>
    <t>08-12-2020</t>
  </si>
  <si>
    <t>572020a</t>
  </si>
  <si>
    <t>20074266</t>
  </si>
  <si>
    <t>562020a</t>
  </si>
  <si>
    <t>BAC 2020-08-60</t>
  </si>
  <si>
    <t>08132020</t>
  </si>
  <si>
    <t>doc</t>
  </si>
  <si>
    <t>582020a</t>
  </si>
  <si>
    <t>20074549</t>
  </si>
  <si>
    <t>20074482</t>
  </si>
  <si>
    <t>bacgal-60-2020</t>
  </si>
  <si>
    <t>20-08-0386</t>
  </si>
  <si>
    <t>PB044-20</t>
  </si>
  <si>
    <t>PB043-20</t>
  </si>
  <si>
    <t>BOD20-132</t>
  </si>
  <si>
    <t>20-323</t>
  </si>
  <si>
    <t>PRs 0086-20 +0094-20 MOTORPOOL</t>
  </si>
  <si>
    <t>BAC 2020-08-61</t>
  </si>
  <si>
    <t>20IB0146</t>
  </si>
  <si>
    <t>20074610</t>
  </si>
  <si>
    <t>20064161</t>
  </si>
  <si>
    <t>20074341</t>
  </si>
  <si>
    <t>PR No. 2008-180</t>
  </si>
  <si>
    <t>20074548</t>
  </si>
  <si>
    <t>20-08-034</t>
  </si>
  <si>
    <t>2020LGU015</t>
  </si>
  <si>
    <t>philgeps08132020b</t>
  </si>
  <si>
    <t>philgeps08132020</t>
  </si>
  <si>
    <t>20-08-035</t>
  </si>
  <si>
    <t>2020-08-077</t>
  </si>
  <si>
    <t>001/august/2020</t>
  </si>
  <si>
    <t>2020-06-052-D</t>
  </si>
  <si>
    <t>0020-0249-1199.2020</t>
  </si>
  <si>
    <t>235-20</t>
  </si>
  <si>
    <t>20074447</t>
  </si>
  <si>
    <t>47-20</t>
  </si>
  <si>
    <t>sdn-2020-08-047</t>
  </si>
  <si>
    <t>20063902</t>
  </si>
  <si>
    <t>PRs 0095-20 +0096-20 MOTORPOOL</t>
  </si>
  <si>
    <t>ITB # 2020 - 052</t>
  </si>
  <si>
    <t>MP-081320-078</t>
  </si>
  <si>
    <t>FLGU-CW-2020-27</t>
  </si>
  <si>
    <t>2020-A1</t>
  </si>
  <si>
    <t>20074613</t>
  </si>
  <si>
    <t>CID NO. 20GIF0003</t>
  </si>
  <si>
    <t>20063908</t>
  </si>
  <si>
    <t>IB-09-2020</t>
  </si>
  <si>
    <t>2020-123</t>
  </si>
  <si>
    <t>133</t>
  </si>
  <si>
    <t>132</t>
  </si>
  <si>
    <t>Goods-2020-16</t>
  </si>
  <si>
    <t>2020-08-045</t>
  </si>
  <si>
    <t>25-Goods-2020</t>
  </si>
  <si>
    <t>PANG-2020-1015</t>
  </si>
  <si>
    <t>PANG-2020-1014</t>
  </si>
  <si>
    <t>Bidding-01-Apang-August2020</t>
  </si>
  <si>
    <t>Civil Works 029-2020</t>
  </si>
  <si>
    <t>2020-031-PB</t>
  </si>
  <si>
    <t>IB-08-2020</t>
  </si>
  <si>
    <t>IB-07-2020</t>
  </si>
  <si>
    <t>GOODS 2020-06.2</t>
  </si>
  <si>
    <t>BFAR5BAC-2020-151</t>
  </si>
  <si>
    <t>GOODS 2020-11</t>
  </si>
  <si>
    <t>LGULILA-05-2020</t>
  </si>
  <si>
    <t>STC-GOOD- NO. 2020-0059</t>
  </si>
  <si>
    <t>20FK0061</t>
  </si>
  <si>
    <t>2008-0805-SPPMO</t>
  </si>
  <si>
    <t>PANG-2020-1016</t>
  </si>
  <si>
    <t>100-1011-2020-07-581</t>
  </si>
  <si>
    <t>27-Goods-2020</t>
  </si>
  <si>
    <t>Bidding-04-August2020</t>
  </si>
  <si>
    <t>2020-10%-11</t>
  </si>
  <si>
    <t>20063680</t>
  </si>
  <si>
    <t>IB-2020-61</t>
  </si>
  <si>
    <t>PB042-20</t>
  </si>
  <si>
    <t>ITB2020-01</t>
  </si>
  <si>
    <t>CONTRACT ID # 20-06-090 2nd REBID</t>
  </si>
  <si>
    <t>20GH0131</t>
  </si>
  <si>
    <t>lgu padada -0033-08-13-2020</t>
  </si>
  <si>
    <t>320200602623</t>
  </si>
  <si>
    <t>20-226</t>
  </si>
  <si>
    <t>ITB No. 2020-31</t>
  </si>
  <si>
    <t>0041/August/2020</t>
  </si>
  <si>
    <t>lgu padada 0032-08-13-2020</t>
  </si>
  <si>
    <t>LGUBaras-2020-0060</t>
  </si>
  <si>
    <t>LGUBaras-2020-0059</t>
  </si>
  <si>
    <t>Competitive Bidding 2020-25</t>
  </si>
  <si>
    <t>RFQ - 2020-08-044</t>
  </si>
  <si>
    <t>goods 1 2020</t>
  </si>
  <si>
    <t>PANG-2020-1018</t>
  </si>
  <si>
    <t>2020-105</t>
  </si>
  <si>
    <t>ITB2020-02</t>
  </si>
  <si>
    <t>RFQ - 2020-08-046</t>
  </si>
  <si>
    <t>RFQ - 2020-08-048</t>
  </si>
  <si>
    <t>076-20</t>
  </si>
  <si>
    <t>BARANGAY HIMO-AW 5</t>
  </si>
  <si>
    <t>RFQ - 2020-08-043</t>
  </si>
  <si>
    <t>2020-08-094</t>
  </si>
  <si>
    <t>OGDS 08-13-20</t>
  </si>
  <si>
    <t>Project No.: SDCV-02-2020</t>
  </si>
  <si>
    <t>IB-2020-62</t>
  </si>
  <si>
    <t>epslingayen2020-89</t>
  </si>
  <si>
    <t>0042/August/2020</t>
  </si>
  <si>
    <t>PANG-2020-1017</t>
  </si>
  <si>
    <t>GDS-407-2020</t>
  </si>
  <si>
    <t>BMC-N-20-316</t>
  </si>
  <si>
    <t>46-20</t>
  </si>
  <si>
    <t>508-2020 Bidding</t>
  </si>
  <si>
    <t>ITB NO. 08-20-02</t>
  </si>
  <si>
    <t>2020-14</t>
  </si>
  <si>
    <t>Goods 2020-004</t>
  </si>
  <si>
    <t>bacgal-59-2020</t>
  </si>
  <si>
    <t>01-2020-0037</t>
  </si>
  <si>
    <t>01-08142020</t>
  </si>
  <si>
    <t>08132020001</t>
  </si>
  <si>
    <t>lam-bac-273-020</t>
  </si>
  <si>
    <t>ITB NO. 08-20-01</t>
  </si>
  <si>
    <t>0043/August/2020</t>
  </si>
  <si>
    <t>2020-08-069-D</t>
  </si>
  <si>
    <t>SDCV-001-2020</t>
  </si>
  <si>
    <t>LGU-192-2020</t>
  </si>
  <si>
    <t>epslingayen2020-90</t>
  </si>
  <si>
    <t>2020-454</t>
  </si>
  <si>
    <t>ITB NO. 08-20-06</t>
  </si>
  <si>
    <t>2020-02-15</t>
  </si>
  <si>
    <t>2124798</t>
  </si>
  <si>
    <t>BGHMCTFD-2020-08-043</t>
  </si>
  <si>
    <t>200-20-08-0873</t>
  </si>
  <si>
    <t>0016-0243-1382-2020</t>
  </si>
  <si>
    <t>ITB NO. 08-20-04</t>
  </si>
  <si>
    <t>PRDP-RPCO 1-2020-028</t>
  </si>
  <si>
    <t>2020-08 BARANGAY BANILAD, MANDAUE CITY</t>
  </si>
  <si>
    <t>brgy.zone 15</t>
  </si>
  <si>
    <t>20-08-02</t>
  </si>
  <si>
    <t>20FH0101</t>
  </si>
  <si>
    <t>ITB No. G11-03-2020</t>
  </si>
  <si>
    <t>LGU-194-2020</t>
  </si>
  <si>
    <t>DAR-2020-14</t>
  </si>
  <si>
    <t>2008-0721-SFP</t>
  </si>
  <si>
    <t>INFRA2020-001</t>
  </si>
  <si>
    <t>20-164-058</t>
  </si>
  <si>
    <t>gsis/luc 08132020</t>
  </si>
  <si>
    <t>LGU-193-2020</t>
  </si>
  <si>
    <t>cal08122020-04</t>
  </si>
  <si>
    <t>516-2020 Bidding</t>
  </si>
  <si>
    <t>20-08-0560</t>
  </si>
  <si>
    <t>Goods 2020-005</t>
  </si>
  <si>
    <t>BWD2020-08-025</t>
  </si>
  <si>
    <t>RFQ - 2020-08-047</t>
  </si>
  <si>
    <t>LGU-PI-2020-08-17PB</t>
  </si>
  <si>
    <t>524-2020 Bidding</t>
  </si>
  <si>
    <t>BB-2020-05</t>
  </si>
  <si>
    <t>LGU-PI-2020-08-16PB</t>
  </si>
  <si>
    <t>20-08276</t>
  </si>
  <si>
    <t>LGU-PI-2020-08-18PB</t>
  </si>
  <si>
    <t>BAC2020-028</t>
  </si>
  <si>
    <t>23</t>
  </si>
  <si>
    <t>LGU-195-2020</t>
  </si>
  <si>
    <t>ITB NO. 08-20-03</t>
  </si>
  <si>
    <t>ITB NO. 08-20-07</t>
  </si>
  <si>
    <t>GDS-2020-006</t>
  </si>
  <si>
    <t>DAR-ADS PB-2020-OS-05-122B</t>
  </si>
  <si>
    <t>20GH0130</t>
  </si>
  <si>
    <t>gsis/luc 2080</t>
  </si>
  <si>
    <t>070-2020</t>
  </si>
  <si>
    <t>2020-124</t>
  </si>
  <si>
    <t>2008-0711-SFP</t>
  </si>
  <si>
    <t>ITB No. DC-20-30</t>
  </si>
  <si>
    <t>BP-2020-01</t>
  </si>
  <si>
    <t>ITB No. DC-20-31</t>
  </si>
  <si>
    <t>2020-05-0101/2020-07-0129/2020-07-0149</t>
  </si>
  <si>
    <t>2020-186A</t>
  </si>
  <si>
    <t>081320</t>
  </si>
  <si>
    <t>ITB 22-2020</t>
  </si>
  <si>
    <t>Supplies 316-2020</t>
  </si>
  <si>
    <t>IB No. 20-08-09</t>
  </si>
  <si>
    <t>077-20</t>
  </si>
  <si>
    <t>2008-0720-SFP</t>
  </si>
  <si>
    <t>INFRA2020-016</t>
  </si>
  <si>
    <t>ITB No. DC-20-33</t>
  </si>
  <si>
    <t>20MC0116</t>
  </si>
  <si>
    <t>ITB NO. 08-20-05</t>
  </si>
  <si>
    <t>LGU-197-2020</t>
  </si>
  <si>
    <t>20FK0062</t>
  </si>
  <si>
    <t>20GI0066</t>
  </si>
  <si>
    <t>LGU-196-2020</t>
  </si>
  <si>
    <t>IT-Danao Laptop</t>
  </si>
  <si>
    <t>PCA-2020-08-007</t>
  </si>
  <si>
    <t>2008-0712-SFP</t>
  </si>
  <si>
    <t>2020-infra-001</t>
  </si>
  <si>
    <t>009-2020</t>
  </si>
  <si>
    <t>ITB No. DC-20-32</t>
  </si>
  <si>
    <t>20CSGK01</t>
  </si>
  <si>
    <t>MANDUS-002-03-2020</t>
  </si>
  <si>
    <t>2020-07-269 (Repair/Upgrading of CCTVs) ED</t>
  </si>
  <si>
    <t>MPF-PLW-02-2020</t>
  </si>
  <si>
    <t>INF-23-August 13, 2020</t>
  </si>
  <si>
    <t>005-2020</t>
  </si>
  <si>
    <t>BUENAVISTA202002</t>
  </si>
  <si>
    <t>080022020</t>
  </si>
  <si>
    <t>LGU-198-2020</t>
  </si>
  <si>
    <t>IB No. 20-08-10</t>
  </si>
  <si>
    <t>IB No. 20-08-08</t>
  </si>
  <si>
    <t>SVP 20-0379</t>
  </si>
  <si>
    <t>STC-GOOD- NO. 2020-0062</t>
  </si>
  <si>
    <t>20-02-131</t>
  </si>
  <si>
    <t>202058</t>
  </si>
  <si>
    <t>STC-GOOD- NO. 2020-0060</t>
  </si>
  <si>
    <t>AUGUST132020-6</t>
  </si>
  <si>
    <t>150820</t>
  </si>
  <si>
    <t>2020.08.13</t>
  </si>
  <si>
    <t>2020-187A</t>
  </si>
  <si>
    <t>RFQ 0820-010</t>
  </si>
  <si>
    <t>2020-POBSK-005</t>
  </si>
  <si>
    <t>08132020332</t>
  </si>
  <si>
    <t>CONTRACT ID:20-07-093 REBID</t>
  </si>
  <si>
    <t>INF-24-August 13, 2020</t>
  </si>
  <si>
    <t>CONTRACT ID:20-07- 095 REBID</t>
  </si>
  <si>
    <t>STC-GOOD- NO. 2020-0061</t>
  </si>
  <si>
    <t>OSG PR No. 020-08-088</t>
  </si>
  <si>
    <t>2008-0714-SFP</t>
  </si>
  <si>
    <t>20CSGK02</t>
  </si>
  <si>
    <t>09438</t>
  </si>
  <si>
    <t>2020-infr-002</t>
  </si>
  <si>
    <t>INFRA 20-22A GENERAL FUND</t>
  </si>
  <si>
    <t>0044/August/2020</t>
  </si>
  <si>
    <t>2020-05-0090/2020-05-0100/2020-06-0113/2020-06-011</t>
  </si>
  <si>
    <t>ITB No. G12-03-2020</t>
  </si>
  <si>
    <t>G-133-20</t>
  </si>
  <si>
    <t>2020-891</t>
  </si>
  <si>
    <t>PANG-2020-1029</t>
  </si>
  <si>
    <t>2020-459</t>
  </si>
  <si>
    <t>JIAB-2020-40A</t>
  </si>
  <si>
    <t>20CSGK06</t>
  </si>
  <si>
    <t>epslingayen2020-91</t>
  </si>
  <si>
    <t>PR NO.2020-02</t>
  </si>
  <si>
    <t>RFQ 0820-008</t>
  </si>
  <si>
    <t>MPF-PLW-01-2020</t>
  </si>
  <si>
    <t>20CSGK04</t>
  </si>
  <si>
    <t>089-20</t>
  </si>
  <si>
    <t>JIAB-2020-42A</t>
  </si>
  <si>
    <t>1624-19</t>
  </si>
  <si>
    <t>2020-08-13-004</t>
  </si>
  <si>
    <t>ITB 2020-09</t>
  </si>
  <si>
    <t>BAC2020-027</t>
  </si>
  <si>
    <t>20CSGK03</t>
  </si>
  <si>
    <t>1-08132020</t>
  </si>
  <si>
    <t>CSJ-2020-038</t>
  </si>
  <si>
    <t>CSJ-2020-039</t>
  </si>
  <si>
    <t>SCM 0813-02-2020</t>
  </si>
  <si>
    <t>DS-LR-2020</t>
  </si>
  <si>
    <t>5-08132020</t>
  </si>
  <si>
    <t>8-2020-1275</t>
  </si>
  <si>
    <t>PB-PAFBAC-172-20</t>
  </si>
  <si>
    <t>236-20</t>
  </si>
  <si>
    <t>PB-PAFBAC-173-20</t>
  </si>
  <si>
    <t>401/1011-20-08-502</t>
  </si>
  <si>
    <t>20IG0072</t>
  </si>
  <si>
    <t>PB-PAFBAC-179-20</t>
  </si>
  <si>
    <t>20CSGK05</t>
  </si>
  <si>
    <t>ESB2020-006-082</t>
  </si>
  <si>
    <t>PB-PAFBAC-177-20</t>
  </si>
  <si>
    <t>CONTRACT ID:20-07-094 REBID</t>
  </si>
  <si>
    <t>2020 Goods 001</t>
  </si>
  <si>
    <t>22</t>
  </si>
  <si>
    <t>PB-PAFBAC-175-20</t>
  </si>
  <si>
    <t>29-20</t>
  </si>
  <si>
    <t>PB-PAFBAC-174-20</t>
  </si>
  <si>
    <t>PB-PAFBAC-178-20</t>
  </si>
  <si>
    <t>2020-006-028</t>
  </si>
  <si>
    <t>20BK0151</t>
  </si>
  <si>
    <t>LGU-RFQ-2020-79</t>
  </si>
  <si>
    <t>PB-PAFBAC-176-20</t>
  </si>
  <si>
    <t>20-1015</t>
  </si>
  <si>
    <t>20IG0073</t>
  </si>
  <si>
    <t>CSJ-2020-040</t>
  </si>
  <si>
    <t>BAG-1-2020-058</t>
  </si>
  <si>
    <t>JIAB-2020-41A</t>
  </si>
  <si>
    <t>RFQ 0820-007</t>
  </si>
  <si>
    <t>2-08132020</t>
  </si>
  <si>
    <t>SJMC-2020-008</t>
  </si>
  <si>
    <t>20GHF0009</t>
  </si>
  <si>
    <t>20-283</t>
  </si>
  <si>
    <t>ESB2020-006-074</t>
  </si>
  <si>
    <t>RB2020-08-263</t>
  </si>
  <si>
    <t>2008001</t>
  </si>
  <si>
    <t>3-08132020</t>
  </si>
  <si>
    <t>20-1016</t>
  </si>
  <si>
    <t>ESB2020-006-076</t>
  </si>
  <si>
    <t>ISAT U INFRA-2020-08-03</t>
  </si>
  <si>
    <t>Goods 0045-2020</t>
  </si>
  <si>
    <t>ISAT U GOODS-2020-08-11</t>
  </si>
  <si>
    <t>PB 20-03-24</t>
  </si>
  <si>
    <t>INFRA 20-27A GENERAL FUND</t>
  </si>
  <si>
    <t>NCRPO BAC 08-2020-11</t>
  </si>
  <si>
    <t>INFRA 20-28 A SEF__________</t>
  </si>
  <si>
    <t>PB 20-03-25</t>
  </si>
  <si>
    <t>20GFC0050</t>
  </si>
  <si>
    <t>Goods 0046-2020</t>
  </si>
  <si>
    <t>IV-08-2020-01</t>
  </si>
  <si>
    <t>20PD0079</t>
  </si>
  <si>
    <t>ITB 2020-DSWD-CAR-18</t>
  </si>
  <si>
    <t>2019-01-01</t>
  </si>
  <si>
    <t>CID-SARO-2020-08-065</t>
  </si>
  <si>
    <t>001-20</t>
  </si>
  <si>
    <t>20GFC0054</t>
  </si>
  <si>
    <t>Goods 0048-2020</t>
  </si>
  <si>
    <t>INFRA 20-30A SEF</t>
  </si>
  <si>
    <t>INFRA 20-31A DEVELOPMENT</t>
  </si>
  <si>
    <t>Ada-2020-08-001</t>
  </si>
  <si>
    <t>TAYSAN2020-093</t>
  </si>
  <si>
    <t>20GFC0053</t>
  </si>
  <si>
    <t>ITB-13-crps-ds-2020</t>
  </si>
  <si>
    <t>20-07-1416</t>
  </si>
  <si>
    <t>20GFC0052</t>
  </si>
  <si>
    <t>BCS-2020-0289</t>
  </si>
  <si>
    <t>100-20-07-061</t>
  </si>
  <si>
    <t>20PD0110</t>
  </si>
  <si>
    <t>RB2020-08-264</t>
  </si>
  <si>
    <t>PR 2020 – 02 – 064</t>
  </si>
  <si>
    <t>ITB-2020-086</t>
  </si>
  <si>
    <t>INFRA 20-29A SEF</t>
  </si>
  <si>
    <t>20GFC0051</t>
  </si>
  <si>
    <t>RB2020-08-265</t>
  </si>
  <si>
    <t>ITB-2020-085</t>
  </si>
  <si>
    <t>20GFE0019</t>
  </si>
  <si>
    <t>INFRA 20-33A GENERAL FUND</t>
  </si>
  <si>
    <t>100-20-08-071</t>
  </si>
  <si>
    <t>BAC-GS 2020-100; BAC-GS 2020-101</t>
  </si>
  <si>
    <t>48</t>
  </si>
  <si>
    <t>G20-04</t>
  </si>
  <si>
    <t>Goods 0047-2020</t>
  </si>
  <si>
    <t>MKWD2020-068</t>
  </si>
  <si>
    <t>20GIB0043</t>
  </si>
  <si>
    <t>20GIB0042</t>
  </si>
  <si>
    <t xml:space="preserve">PR No. 1000033260 - Supply and Delivery of 1 Unit </t>
  </si>
  <si>
    <t>itb 2020-48</t>
  </si>
  <si>
    <t>MKWD2020-067</t>
  </si>
  <si>
    <t>itb 2020-47</t>
  </si>
  <si>
    <t>PCMT 2020 - 084</t>
  </si>
  <si>
    <t>2020-5</t>
  </si>
  <si>
    <t>PCMT 2020 - 083</t>
  </si>
  <si>
    <t>itb 2020-46</t>
  </si>
  <si>
    <t>RB2020-08-267</t>
  </si>
  <si>
    <t>204 - 2020</t>
  </si>
  <si>
    <t>101-020-008-084</t>
  </si>
  <si>
    <t>209 - 2020</t>
  </si>
  <si>
    <t>ITB-2020-05-GOODS</t>
  </si>
  <si>
    <t>206 - 2020</t>
  </si>
  <si>
    <t>205 - 2020</t>
  </si>
  <si>
    <t>208 - 2020</t>
  </si>
  <si>
    <t>207 - 2020</t>
  </si>
  <si>
    <t>201 - 2020</t>
  </si>
  <si>
    <t>2020-08-0313</t>
  </si>
  <si>
    <t>202 - 2020</t>
  </si>
  <si>
    <t>ITB-2020-090</t>
  </si>
  <si>
    <t>203 - 2020</t>
  </si>
  <si>
    <t>ITB-2020-088</t>
  </si>
  <si>
    <t>IB NO. 043-20</t>
  </si>
  <si>
    <t>2020-6</t>
  </si>
  <si>
    <t>RB2020-08-266</t>
  </si>
  <si>
    <t>50</t>
  </si>
  <si>
    <t>ADS-1807-20</t>
  </si>
  <si>
    <t>ADS-1809-20</t>
  </si>
  <si>
    <t>ADS-1812-20</t>
  </si>
  <si>
    <t>BAC-IB NO. 2020-34</t>
  </si>
  <si>
    <t>ADS-1810-20</t>
  </si>
  <si>
    <t>ITB-2020-087</t>
  </si>
  <si>
    <t>GOODS 2020-001</t>
  </si>
  <si>
    <t>COB BAC Goods 2020-014-02</t>
  </si>
  <si>
    <t>28-20</t>
  </si>
  <si>
    <t>ADS-1808-20</t>
  </si>
  <si>
    <t>COB BAC Good 2020-014-01</t>
  </si>
  <si>
    <t>20ITB-INF-03-00060</t>
  </si>
  <si>
    <t>08-01053</t>
  </si>
  <si>
    <t>ADS-1811-20</t>
  </si>
  <si>
    <t>000001-20</t>
  </si>
  <si>
    <t>ICT-01-20</t>
  </si>
  <si>
    <t>2020-32cw</t>
  </si>
  <si>
    <t>INFRA 20-32A GENERAL FUND</t>
  </si>
  <si>
    <t>PBD 20-098</t>
  </si>
  <si>
    <t>ADS-1815-20</t>
  </si>
  <si>
    <t>ADS-1804-20</t>
  </si>
  <si>
    <t>ADS-1813-20</t>
  </si>
  <si>
    <t>BOOKS-01-20</t>
  </si>
  <si>
    <t>PBD 20-097</t>
  </si>
  <si>
    <t>ITB# 135-2020 Repair &amp; Maintenance IT Equipment &amp;</t>
  </si>
  <si>
    <t>ADS-1806-20</t>
  </si>
  <si>
    <t>2020-042 Tires</t>
  </si>
  <si>
    <t>20-08-0305</t>
  </si>
  <si>
    <t>20-07-0294</t>
  </si>
  <si>
    <t>CA100-2020-07-006</t>
  </si>
  <si>
    <t>20-06-0247</t>
  </si>
  <si>
    <t>20200813b</t>
  </si>
  <si>
    <t>ADS-1805-20</t>
  </si>
  <si>
    <t>DA8-Infra-2020-14 (PR No. QRF URSULA 20-08-06-0018</t>
  </si>
  <si>
    <t>20200813a</t>
  </si>
  <si>
    <t>PRDP-IR-RCAR-IFU-001-000-000-2015-R1</t>
  </si>
  <si>
    <t>BAC-LGU-TADS-2020-15</t>
  </si>
  <si>
    <t>DA8-Goods-2020-49 (PR No. SAAD 20-07-27-0241)</t>
  </si>
  <si>
    <t>000002-20</t>
  </si>
  <si>
    <t>100-08-470</t>
  </si>
  <si>
    <t>100-20-07-0825</t>
  </si>
  <si>
    <t>PIP 11-2020</t>
  </si>
  <si>
    <t>8-13-2020</t>
  </si>
  <si>
    <t>PBD 20-086A</t>
  </si>
  <si>
    <t>POW-1041-2020-BAL-08B</t>
  </si>
  <si>
    <t>20PI0092</t>
  </si>
  <si>
    <t>Infra 2020-017</t>
  </si>
  <si>
    <t>Infra 2020-016</t>
  </si>
  <si>
    <t>0820-116</t>
  </si>
  <si>
    <t>Infra 2020-015</t>
  </si>
  <si>
    <t>100-07-20-01956</t>
  </si>
  <si>
    <t>2020-AP-08-36</t>
  </si>
  <si>
    <t>POW-1041-2020-BAL-11B</t>
  </si>
  <si>
    <t>PIP 12-2020</t>
  </si>
  <si>
    <t>POW-1041-2020-BAL-10B</t>
  </si>
  <si>
    <t>0820-117</t>
  </si>
  <si>
    <t>INFRA-2020-08-002</t>
  </si>
  <si>
    <t>G-2020-004</t>
  </si>
  <si>
    <t>PG-20-08-006</t>
  </si>
  <si>
    <t>188 - 2020</t>
  </si>
  <si>
    <t>ICWS-16-001(CB)</t>
  </si>
  <si>
    <t>20-00008</t>
  </si>
  <si>
    <t>2020-GSIS-PB-072</t>
  </si>
  <si>
    <t>goods_20-012</t>
  </si>
  <si>
    <t>infra 20-011</t>
  </si>
  <si>
    <t>infra 20-013</t>
  </si>
  <si>
    <t>100-07-20-01868</t>
  </si>
  <si>
    <t>2020-005 LGUSJ-G</t>
  </si>
  <si>
    <t>177 - 2020</t>
  </si>
  <si>
    <t>170a - 2020</t>
  </si>
  <si>
    <t>POW-1041-2020-BAL-04B</t>
  </si>
  <si>
    <t>155-2020</t>
  </si>
  <si>
    <t>IB No. N-2020-004</t>
  </si>
  <si>
    <t>2020-02-132</t>
  </si>
  <si>
    <t>027-ECE20</t>
  </si>
  <si>
    <t>BMC-N-20-312</t>
  </si>
  <si>
    <t>2020-02-131</t>
  </si>
  <si>
    <t>SN-2020-8</t>
  </si>
  <si>
    <t>B-122-2020</t>
  </si>
  <si>
    <t>PG-20-08-007</t>
  </si>
  <si>
    <t>infra 20_010</t>
  </si>
  <si>
    <t>PBDD-PR-2020-07-003</t>
  </si>
  <si>
    <t>PBDD-PR-2020-07-011</t>
  </si>
  <si>
    <t>H-28-20</t>
  </si>
  <si>
    <t>PBDD-PR-2020-07-002</t>
  </si>
  <si>
    <t>PBDD-PR-2020-07-013</t>
  </si>
  <si>
    <t>20-00011</t>
  </si>
  <si>
    <t>20-00010</t>
  </si>
  <si>
    <t>PBDD-PR-2020-07-010</t>
  </si>
  <si>
    <t>20-00009</t>
  </si>
  <si>
    <t>0820-120</t>
  </si>
  <si>
    <t>BID20-024</t>
  </si>
  <si>
    <t>GOODS-042-2020</t>
  </si>
  <si>
    <t>20-00012</t>
  </si>
  <si>
    <t>PBDD-PR-2020-07-009</t>
  </si>
  <si>
    <t>20GPG0002</t>
  </si>
  <si>
    <t>0820-121</t>
  </si>
  <si>
    <t>C10-20-1592</t>
  </si>
  <si>
    <t>ITB-20-08049</t>
  </si>
  <si>
    <t>PBDD-PR-2020-07-001</t>
  </si>
  <si>
    <t>ITB (CW-08-2020-023) 20DD0383</t>
  </si>
  <si>
    <t>PAR INF-2020-05</t>
  </si>
  <si>
    <t>BRGY. WESTERN POB. 2020-6</t>
  </si>
  <si>
    <t>Barangay San Rafael Atimonan, Quezon 2020-</t>
  </si>
  <si>
    <t>PR. NO. 2020060699</t>
  </si>
  <si>
    <t>202008-002</t>
  </si>
  <si>
    <t>202008120001</t>
  </si>
  <si>
    <t>Bidding No. 04A-09-01-2020</t>
  </si>
  <si>
    <t>200(01)20-08-474(O)</t>
  </si>
  <si>
    <t>PBDD-PR-2020-07-012</t>
  </si>
  <si>
    <t>2020-235</t>
  </si>
  <si>
    <t>2020-007 LGUSJ-G</t>
  </si>
  <si>
    <t>ITB 20-03</t>
  </si>
  <si>
    <t>BID20-025</t>
  </si>
  <si>
    <t>FRT-19-1689-B(REBID)</t>
  </si>
  <si>
    <t>116-20</t>
  </si>
  <si>
    <t>BCS-2020-0284</t>
  </si>
  <si>
    <t>Q-125-20</t>
  </si>
  <si>
    <t>Bidding No. 04C-09-01-2020</t>
  </si>
  <si>
    <t>Invitation to Bid 20-46</t>
  </si>
  <si>
    <t>PB-INF-005-2020</t>
  </si>
  <si>
    <t>ITB-2020-JDL-018 Re-Bid</t>
  </si>
  <si>
    <t>PB-INF-004-2020</t>
  </si>
  <si>
    <t>Bidding No. 04B-09-01-2020</t>
  </si>
  <si>
    <t>PB-INF-003-2020</t>
  </si>
  <si>
    <t>ITB (CW-08-2020-023) 20DD0384</t>
  </si>
  <si>
    <t>Bidding No. 04D-09-01-2020</t>
  </si>
  <si>
    <t>028-ECE20</t>
  </si>
  <si>
    <t>117-20</t>
  </si>
  <si>
    <t>SN-2020-9</t>
  </si>
  <si>
    <t>RFQ # 20-08-084 (Goods)</t>
  </si>
  <si>
    <t>BAC-SBSL-MDRRMO-2020-015A</t>
  </si>
  <si>
    <t>2008128</t>
  </si>
  <si>
    <t>Invitation to Bid 20-48</t>
  </si>
  <si>
    <t>035-2020</t>
  </si>
  <si>
    <t>PR. NO. 2020080897</t>
  </si>
  <si>
    <t>RFQ # 20-08-085 (Goods)</t>
  </si>
  <si>
    <t>RFQ # 20-08-083 (Goods)</t>
  </si>
  <si>
    <t>BBN-20-01</t>
  </si>
  <si>
    <t>Aklan BAC ITB 451 Series of 2020</t>
  </si>
  <si>
    <t>RFQ # 20-08-081 (Goods)</t>
  </si>
  <si>
    <t>118-20</t>
  </si>
  <si>
    <t>Invitation to Bid 20-47</t>
  </si>
  <si>
    <t>RFQ # 20-08-082 (Goods)</t>
  </si>
  <si>
    <t>Bidding No. 04E-09-01-2020</t>
  </si>
  <si>
    <t>ESP-GOODS-028-2020</t>
  </si>
  <si>
    <t>20OI0132</t>
  </si>
  <si>
    <t>RFQ # 20-08-079 (Goods)</t>
  </si>
  <si>
    <t>RFQ # 20-08-080 (Goods)</t>
  </si>
  <si>
    <t>GOODSIB-2020-08</t>
  </si>
  <si>
    <t>20-08-248</t>
  </si>
  <si>
    <t>11AUGUST2020</t>
  </si>
  <si>
    <t>TINOC-2020-09-GOODS (2nd Publication)</t>
  </si>
  <si>
    <t>2008130</t>
  </si>
  <si>
    <t>PB-2020-08-46</t>
  </si>
  <si>
    <t>20OI0135</t>
  </si>
  <si>
    <t>120-20</t>
  </si>
  <si>
    <t>20OI0134</t>
  </si>
  <si>
    <t>2020-554</t>
  </si>
  <si>
    <t>2020-029-PB</t>
  </si>
  <si>
    <t>PR-2020-1593</t>
  </si>
  <si>
    <t>2020-030-PB</t>
  </si>
  <si>
    <t>2020-AP-08-37</t>
  </si>
  <si>
    <t>20OI0136</t>
  </si>
  <si>
    <t>ITB 008-062-2020</t>
  </si>
  <si>
    <t>PGC-ITB-20200812-1</t>
  </si>
  <si>
    <t>BMG-20-01</t>
  </si>
  <si>
    <t>INFRA-11-2020</t>
  </si>
  <si>
    <t>PR-2020-2006</t>
  </si>
  <si>
    <t>20OI0133</t>
  </si>
  <si>
    <t>2020-100-08-485</t>
  </si>
  <si>
    <t>ESP-GOODS-027-2020</t>
  </si>
  <si>
    <t>121-20</t>
  </si>
  <si>
    <t>08-12-20</t>
  </si>
  <si>
    <t>PR-2020-1869</t>
  </si>
  <si>
    <t>BACNAMPICUAN2020-035</t>
  </si>
  <si>
    <t>2020-100-08-486</t>
  </si>
  <si>
    <t>2020-00-04</t>
  </si>
  <si>
    <t>20BBGOODS-001</t>
  </si>
  <si>
    <t>05-20 p</t>
  </si>
  <si>
    <t>PR-2020-1356</t>
  </si>
  <si>
    <t>04-20p</t>
  </si>
  <si>
    <t>BUG-OT ITB 2020-02</t>
  </si>
  <si>
    <t>124-20</t>
  </si>
  <si>
    <t>BGH - 08 - 0136</t>
  </si>
  <si>
    <t>123</t>
  </si>
  <si>
    <t>2020-106</t>
  </si>
  <si>
    <t>2020-556</t>
  </si>
  <si>
    <t>122-20</t>
  </si>
  <si>
    <t>DD-2020-08-05</t>
  </si>
  <si>
    <t>2020-555</t>
  </si>
  <si>
    <t>ITB No. 2020-INFRA-8(01) BRGY. BALIRONG</t>
  </si>
  <si>
    <t>INFRA-2020-23</t>
  </si>
  <si>
    <t>2020081201</t>
  </si>
  <si>
    <t>392-20</t>
  </si>
  <si>
    <t>399-20</t>
  </si>
  <si>
    <t>2020-110</t>
  </si>
  <si>
    <t>RI-675-2020</t>
  </si>
  <si>
    <t>387-20</t>
  </si>
  <si>
    <t>398-20</t>
  </si>
  <si>
    <t>BGH - 0135</t>
  </si>
  <si>
    <t>397-20</t>
  </si>
  <si>
    <t>396-20</t>
  </si>
  <si>
    <t>394-20</t>
  </si>
  <si>
    <t>2020-109</t>
  </si>
  <si>
    <t>BAC 2020-44</t>
  </si>
  <si>
    <t>391-20</t>
  </si>
  <si>
    <t>119-20</t>
  </si>
  <si>
    <t>DVO-200903-01</t>
  </si>
  <si>
    <t>BAG-1-2020-057</t>
  </si>
  <si>
    <t>125-20</t>
  </si>
  <si>
    <t>SF-20-15</t>
  </si>
  <si>
    <t>INFRA-03-2020</t>
  </si>
  <si>
    <t>400-20</t>
  </si>
  <si>
    <t>2020-107</t>
  </si>
  <si>
    <t>DVO-200903-02</t>
  </si>
  <si>
    <t>393-20</t>
  </si>
  <si>
    <t>389-20</t>
  </si>
  <si>
    <t>395-20</t>
  </si>
  <si>
    <t>2020DBSHS 08-16</t>
  </si>
  <si>
    <t>2020-08-465</t>
  </si>
  <si>
    <t>DVO-200903-04</t>
  </si>
  <si>
    <t>402-20</t>
  </si>
  <si>
    <t>Aklan BAC ITB 450 Series of 2020</t>
  </si>
  <si>
    <t>390-20</t>
  </si>
  <si>
    <t>GOODS-2020-37</t>
  </si>
  <si>
    <t>126-20</t>
  </si>
  <si>
    <t>20-07-009-A-PO</t>
  </si>
  <si>
    <t>PR 4-20-07-0878 - CWD</t>
  </si>
  <si>
    <t>2020-236</t>
  </si>
  <si>
    <t>20IC0079</t>
  </si>
  <si>
    <t>2020-108</t>
  </si>
  <si>
    <t>406-20</t>
  </si>
  <si>
    <t>NAPASET LUNA,LU 2020-08-01</t>
  </si>
  <si>
    <t>2020-558</t>
  </si>
  <si>
    <t>408-20</t>
  </si>
  <si>
    <t>ITB-2020-08-010</t>
  </si>
  <si>
    <t>128-20</t>
  </si>
  <si>
    <t>DVO-200903-08</t>
  </si>
  <si>
    <t>DVO-200903-03</t>
  </si>
  <si>
    <t>20IC0080</t>
  </si>
  <si>
    <t>2020-557</t>
  </si>
  <si>
    <t>405-20</t>
  </si>
  <si>
    <t>20IC0081</t>
  </si>
  <si>
    <t>1-7132020</t>
  </si>
  <si>
    <t>127-20</t>
  </si>
  <si>
    <t>404-20</t>
  </si>
  <si>
    <t>409-20</t>
  </si>
  <si>
    <t>2050-01c01-02</t>
  </si>
  <si>
    <t>407-20</t>
  </si>
  <si>
    <t>DVO-200903-05</t>
  </si>
  <si>
    <t>314-20</t>
  </si>
  <si>
    <t>401-20</t>
  </si>
  <si>
    <t>3-07122020</t>
  </si>
  <si>
    <t>20IC0084</t>
  </si>
  <si>
    <t>RFQ.2020-011</t>
  </si>
  <si>
    <t>2020-08-012</t>
  </si>
  <si>
    <t>DVO-200903-10</t>
  </si>
  <si>
    <t>DVO-200903-09</t>
  </si>
  <si>
    <t>403-20</t>
  </si>
  <si>
    <t>412-20</t>
  </si>
  <si>
    <t>411-20</t>
  </si>
  <si>
    <t>2020-559</t>
  </si>
  <si>
    <t>2020-231</t>
  </si>
  <si>
    <t>20IC0082</t>
  </si>
  <si>
    <t>ITB No. Poblacion</t>
  </si>
  <si>
    <t>20FB0163</t>
  </si>
  <si>
    <t>ITB No. 01-CW-2020</t>
  </si>
  <si>
    <t>20IC0083</t>
  </si>
  <si>
    <t>410-20</t>
  </si>
  <si>
    <t>4-07122020</t>
  </si>
  <si>
    <t>413-20</t>
  </si>
  <si>
    <t>ITB No. 02-CW-2020</t>
  </si>
  <si>
    <t>2-7122020</t>
  </si>
  <si>
    <t>DVO-200903-07</t>
  </si>
  <si>
    <t>418-20</t>
  </si>
  <si>
    <t>DVO-200903-12</t>
  </si>
  <si>
    <t>2020-GEN. FUND-ITB-015</t>
  </si>
  <si>
    <t>BS 20-08-0831</t>
  </si>
  <si>
    <t>20IC0085</t>
  </si>
  <si>
    <t>5-07122020</t>
  </si>
  <si>
    <t>416-20</t>
  </si>
  <si>
    <t>RFQ NO. 77</t>
  </si>
  <si>
    <t>DVO-200903-06</t>
  </si>
  <si>
    <t>20IC0086</t>
  </si>
  <si>
    <t>417-20</t>
  </si>
  <si>
    <t>421-20</t>
  </si>
  <si>
    <t>INFRASIB-2020-19</t>
  </si>
  <si>
    <t>20FB0164</t>
  </si>
  <si>
    <t>0033-05-2020-B</t>
  </si>
  <si>
    <t>HILONGOS 2020-243</t>
  </si>
  <si>
    <t>2020-08-12-01</t>
  </si>
  <si>
    <t>ITB No. 2020-192-sp-balansag</t>
  </si>
  <si>
    <t>420-20</t>
  </si>
  <si>
    <t>6-07122020</t>
  </si>
  <si>
    <t>Goods-001-2020</t>
  </si>
  <si>
    <t>419-20</t>
  </si>
  <si>
    <t>ESP-GOODS-022-2020</t>
  </si>
  <si>
    <t>GF-G-77-2020</t>
  </si>
  <si>
    <t>211584</t>
  </si>
  <si>
    <t>2020-012-1</t>
  </si>
  <si>
    <t>100-2008-853</t>
  </si>
  <si>
    <t>BS 20-08-PR006</t>
  </si>
  <si>
    <t>20GME0071</t>
  </si>
  <si>
    <t>BFPX 2020-09</t>
  </si>
  <si>
    <t>2020-GEN. FUND-ITB-014</t>
  </si>
  <si>
    <t>20-203</t>
  </si>
  <si>
    <t>GS-2020-11</t>
  </si>
  <si>
    <t>20FB0166</t>
  </si>
  <si>
    <t>GOODS#2020-5</t>
  </si>
  <si>
    <t>422-20</t>
  </si>
  <si>
    <t>20ED0138</t>
  </si>
  <si>
    <t>TAL-08-34-2020</t>
  </si>
  <si>
    <t>MNDEO-PUBLIC BIDDING-014-2020</t>
  </si>
  <si>
    <t>GOODS#0158, ITB#0161,  PR#0515: SCG-2020</t>
  </si>
  <si>
    <t>2020-014-1</t>
  </si>
  <si>
    <t>BGRY-2020-001</t>
  </si>
  <si>
    <t>426-20</t>
  </si>
  <si>
    <t>GO-20-08-057</t>
  </si>
  <si>
    <t>20CB-GSC-515	PURCHASE OF TOKENS  FOR MILESTONES AN</t>
  </si>
  <si>
    <t>20GME0073</t>
  </si>
  <si>
    <t>211585</t>
  </si>
  <si>
    <t>20-204</t>
  </si>
  <si>
    <t>LGU-BALINGASAG-9005-20-091</t>
  </si>
  <si>
    <t>ITB. Brgy. Biga</t>
  </si>
  <si>
    <t>425-20</t>
  </si>
  <si>
    <t>BS 20-08-TM01</t>
  </si>
  <si>
    <t>20GME0072</t>
  </si>
  <si>
    <t>02-010-2020</t>
  </si>
  <si>
    <t>DVO-200903-13</t>
  </si>
  <si>
    <t>424-20</t>
  </si>
  <si>
    <t>423-20</t>
  </si>
  <si>
    <t>100-20-08-426</t>
  </si>
  <si>
    <t>7-07122020</t>
  </si>
  <si>
    <t>2020-115</t>
  </si>
  <si>
    <t>2020-015-1</t>
  </si>
  <si>
    <t>TAL-08-35-2020</t>
  </si>
  <si>
    <t>6</t>
  </si>
  <si>
    <t>2020-08-027</t>
  </si>
  <si>
    <t>20GME0076</t>
  </si>
  <si>
    <t>211586</t>
  </si>
  <si>
    <t>2020-07-105</t>
  </si>
  <si>
    <t>CW2020-03</t>
  </si>
  <si>
    <t>20GME0075</t>
  </si>
  <si>
    <t>8-07122020</t>
  </si>
  <si>
    <t>RFQ NO. 76</t>
  </si>
  <si>
    <t>INFRASIB-2020-20</t>
  </si>
  <si>
    <t>2020-013-1</t>
  </si>
  <si>
    <t>432-20</t>
  </si>
  <si>
    <t>2020-016-1</t>
  </si>
  <si>
    <t>BS 20-08-0830</t>
  </si>
  <si>
    <t>PR 2020-07-156</t>
  </si>
  <si>
    <t>427-20</t>
  </si>
  <si>
    <t>ITB No. 2020-194-bpmc</t>
  </si>
  <si>
    <t>431-20</t>
  </si>
  <si>
    <t>RP-37-2020</t>
  </si>
  <si>
    <t>20GME0077</t>
  </si>
  <si>
    <t>INFRASIB-2020-21</t>
  </si>
  <si>
    <t>20-07-026</t>
  </si>
  <si>
    <t>430-20</t>
  </si>
  <si>
    <t>2020-374</t>
  </si>
  <si>
    <t>INF-ITB 20-042</t>
  </si>
  <si>
    <t>20GME0078</t>
  </si>
  <si>
    <t>BS 20-07-0722-1</t>
  </si>
  <si>
    <t>2020-117</t>
  </si>
  <si>
    <t>9-07122020</t>
  </si>
  <si>
    <t>20CB-GSC-517	PURCHAS OF DIESEL FOR WMO</t>
  </si>
  <si>
    <t>436-20</t>
  </si>
  <si>
    <t>2020-08-28</t>
  </si>
  <si>
    <t>B-127-2020</t>
  </si>
  <si>
    <t>BS 20-07-0728-1</t>
  </si>
  <si>
    <t>2020815</t>
  </si>
  <si>
    <t>211587</t>
  </si>
  <si>
    <t>435-20</t>
  </si>
  <si>
    <t>20CG0268</t>
  </si>
  <si>
    <t>INFR-2020-12</t>
  </si>
  <si>
    <t>19MG0175</t>
  </si>
  <si>
    <t>441-20</t>
  </si>
  <si>
    <t>20CG0270</t>
  </si>
  <si>
    <t>ESP-GOODS-019-2020</t>
  </si>
  <si>
    <t>440-20</t>
  </si>
  <si>
    <t>N2FB-112-2020</t>
  </si>
  <si>
    <t>20GME0067</t>
  </si>
  <si>
    <t>439-20</t>
  </si>
  <si>
    <t>20CG0271</t>
  </si>
  <si>
    <t>2020-017-1</t>
  </si>
  <si>
    <t>437-20</t>
  </si>
  <si>
    <t>20CG0269</t>
  </si>
  <si>
    <t>438-20</t>
  </si>
  <si>
    <t>PG2020-001</t>
  </si>
  <si>
    <t>C10-20-1629</t>
  </si>
  <si>
    <t>ITB 2020-08-051</t>
  </si>
  <si>
    <t>428-20</t>
  </si>
  <si>
    <t>20GME0068</t>
  </si>
  <si>
    <t>ESP-GOODS-020-2020</t>
  </si>
  <si>
    <t>348-20</t>
  </si>
  <si>
    <t>20PD0084</t>
  </si>
  <si>
    <t>20PD0130</t>
  </si>
  <si>
    <t>19MG0176</t>
  </si>
  <si>
    <t>CW2020-004</t>
  </si>
  <si>
    <t>20GME0070</t>
  </si>
  <si>
    <t>CW2020-002</t>
  </si>
  <si>
    <t>2020-118</t>
  </si>
  <si>
    <t>ITB 2020-08-052</t>
  </si>
  <si>
    <t>20CG0272</t>
  </si>
  <si>
    <t>08-12-01</t>
  </si>
  <si>
    <t>0820-118</t>
  </si>
  <si>
    <t>IB No. 2020-043</t>
  </si>
  <si>
    <t>ITB No.10.August 10,2020.GSO.LGU.Lugait</t>
  </si>
  <si>
    <t>G3-20-1634</t>
  </si>
  <si>
    <t>GOODS-CB-2020-08-011</t>
  </si>
  <si>
    <t>PB-2020-164-022</t>
  </si>
  <si>
    <t>CW2020-003</t>
  </si>
  <si>
    <t>2020-018-1</t>
  </si>
  <si>
    <t>PR082000655</t>
  </si>
  <si>
    <t>202008120002</t>
  </si>
  <si>
    <t>ESP-GOODS-024-2020</t>
  </si>
  <si>
    <t>2020-08-86</t>
  </si>
  <si>
    <t>2020-08-31</t>
  </si>
  <si>
    <t>20M00192</t>
  </si>
  <si>
    <t>G3-20-1633</t>
  </si>
  <si>
    <t>RFQ NO. 81</t>
  </si>
  <si>
    <t>0820-119</t>
  </si>
  <si>
    <t>1168-20</t>
  </si>
  <si>
    <t>PB-2020-184-013</t>
  </si>
  <si>
    <t>011-2020</t>
  </si>
  <si>
    <t>20GA00003</t>
  </si>
  <si>
    <t>INFR-2020-10</t>
  </si>
  <si>
    <t>010-2020</t>
  </si>
  <si>
    <t>2020-08-87</t>
  </si>
  <si>
    <t>CDC 62-08-2020</t>
  </si>
  <si>
    <t>20GA00004</t>
  </si>
  <si>
    <t>B2020-104-A</t>
  </si>
  <si>
    <t>ITB-2020-PW-12- Macatunao</t>
  </si>
  <si>
    <t>2020-08-88</t>
  </si>
  <si>
    <t>IB No. 2020-236</t>
  </si>
  <si>
    <t>ITB2020-09-01 MEDICINES</t>
  </si>
  <si>
    <t>GOODS-20-42</t>
  </si>
  <si>
    <t>34</t>
  </si>
  <si>
    <t>20AJ0101 (Republish)</t>
  </si>
  <si>
    <t>129-20</t>
  </si>
  <si>
    <t>GOODS#0157, ITB#0160,  PR#0504: SCG-2020</t>
  </si>
  <si>
    <t>INFR-2020-13</t>
  </si>
  <si>
    <t>PGR-GOODS-12-2020</t>
  </si>
  <si>
    <t>RB-09032020-A</t>
  </si>
  <si>
    <t>2020-30g</t>
  </si>
  <si>
    <t>130-20</t>
  </si>
  <si>
    <t>ITB-INFRA-2020-08-005</t>
  </si>
  <si>
    <t>2020-07-018</t>
  </si>
  <si>
    <t>ITB No. (INF) 2020-08-116 IMPROVEMENT OF LEGISLATI</t>
  </si>
  <si>
    <t>20BF0067</t>
  </si>
  <si>
    <t>CW-BUK-RESTO-NIS-TALAKAG IP-2020</t>
  </si>
  <si>
    <t>102-2020</t>
  </si>
  <si>
    <t>BAC-GS 2020-215 (MROD PR No. 1000032999)</t>
  </si>
  <si>
    <t>GPG-B1-2020-358-3RD REBID-25 UNITS BRAND NEW TRACT</t>
  </si>
  <si>
    <t>ATI-RTC3-2020-0106</t>
  </si>
  <si>
    <t>Electrification/Modernization of Electrical System</t>
  </si>
  <si>
    <t>ATI-RTC3-2020-0105</t>
  </si>
  <si>
    <t>2020-08-89</t>
  </si>
  <si>
    <t>ITB No.11.August 10,2020.GSO.LGU.Lugait</t>
  </si>
  <si>
    <t>ITB 2020-024</t>
  </si>
  <si>
    <t>GPG-B1-2020-357-REBID-BRAND NEW TRACTORS (90HP)</t>
  </si>
  <si>
    <t>2020-31G</t>
  </si>
  <si>
    <t>08-01051</t>
  </si>
  <si>
    <t>2020-06-005</t>
  </si>
  <si>
    <t>078</t>
  </si>
  <si>
    <t>RB-09032020-B</t>
  </si>
  <si>
    <t>08-01059</t>
  </si>
  <si>
    <t>NIAR3-2020-BULO SRIP-G3</t>
  </si>
  <si>
    <t>2020-08-267</t>
  </si>
  <si>
    <t>1167-20</t>
  </si>
  <si>
    <t>079</t>
  </si>
  <si>
    <t>Goods 01</t>
  </si>
  <si>
    <t>PR082000656</t>
  </si>
  <si>
    <t>2020-GOODS-05</t>
  </si>
  <si>
    <t>2020-0084</t>
  </si>
  <si>
    <t>QES-08-012-20</t>
  </si>
  <si>
    <t>2020-08-29</t>
  </si>
  <si>
    <t>20M00191</t>
  </si>
  <si>
    <t>20GME0079</t>
  </si>
  <si>
    <t>RFQ NO. 83</t>
  </si>
  <si>
    <t>C10-20-1628</t>
  </si>
  <si>
    <t>080</t>
  </si>
  <si>
    <t>434-20</t>
  </si>
  <si>
    <t>LGU-BALINGASAG-9005-20-092</t>
  </si>
  <si>
    <t>2020-08-266</t>
  </si>
  <si>
    <t>10-07122020</t>
  </si>
  <si>
    <t>ITB 2020-023</t>
  </si>
  <si>
    <t>433-20</t>
  </si>
  <si>
    <t>BS 20-08-0832</t>
  </si>
  <si>
    <t>PR082000654</t>
  </si>
  <si>
    <t>429-20</t>
  </si>
  <si>
    <t>BS 20-08-0828</t>
  </si>
  <si>
    <t>B-126-2020</t>
  </si>
  <si>
    <t>BS 20-08-0829</t>
  </si>
  <si>
    <t>REF #051-08-2020</t>
  </si>
  <si>
    <t>20GME0074</t>
  </si>
  <si>
    <t>200048</t>
  </si>
  <si>
    <t>200049</t>
  </si>
  <si>
    <t>20GME0069</t>
  </si>
  <si>
    <t>20CB-GSC-516	PURCHASE OF SPAREPARTS FOR HEAVY EQUI</t>
  </si>
  <si>
    <t>DVO-200903-14</t>
  </si>
  <si>
    <t>2020-0083</t>
  </si>
  <si>
    <t>BS 20-08-0834</t>
  </si>
  <si>
    <t>PR082000653</t>
  </si>
  <si>
    <t>20FB0165</t>
  </si>
  <si>
    <t>ITB No. 2020-193-bph-kalilangan</t>
  </si>
  <si>
    <t>IB No. 2020-042</t>
  </si>
  <si>
    <t>20ED0137</t>
  </si>
  <si>
    <t>ITB No.12.August 10,2020.GSO.LGU.Lugait</t>
  </si>
  <si>
    <t>20A00214 (Rebid)</t>
  </si>
  <si>
    <t>ITB 2020-198</t>
  </si>
  <si>
    <t>415-20</t>
  </si>
  <si>
    <t>RGAO-PR-11276</t>
  </si>
  <si>
    <t>ITB No.13.August 10,2020.GSO.LGU.Lugait</t>
  </si>
  <si>
    <t>2020-07-268</t>
  </si>
  <si>
    <t>Binmisor 025-2020</t>
  </si>
  <si>
    <t>2020-179-I</t>
  </si>
  <si>
    <t>DVO-200903-11</t>
  </si>
  <si>
    <t>4PS-2020-06-0248</t>
  </si>
  <si>
    <t>26-20</t>
  </si>
  <si>
    <t>PEZA-HO-2020-003</t>
  </si>
  <si>
    <t>INF-ITB 20-041</t>
  </si>
  <si>
    <t>2020-0008</t>
  </si>
  <si>
    <t>27-20 cw</t>
  </si>
  <si>
    <t>IB-2020-114-INFRA</t>
  </si>
  <si>
    <t>B20-26-01</t>
  </si>
  <si>
    <t>G-2020-032</t>
  </si>
  <si>
    <t>ITB 2020-197</t>
  </si>
  <si>
    <t>ITB2020-09-02</t>
  </si>
  <si>
    <t>BARANGAY PANDAN-2020-08-001</t>
  </si>
  <si>
    <t>B20-26-02</t>
  </si>
  <si>
    <t>IB-2020-116-INFRA</t>
  </si>
  <si>
    <t>ITB2020-09-03</t>
  </si>
  <si>
    <t>IB-2020-113-INFRA</t>
  </si>
  <si>
    <t>2020-180-I</t>
  </si>
  <si>
    <t>101-2020-08-222-056</t>
  </si>
  <si>
    <t>2019-003</t>
  </si>
  <si>
    <t>IB-2020-111-INFRA</t>
  </si>
  <si>
    <t>IB-2020-112-INFRA</t>
  </si>
  <si>
    <t>2020-0378</t>
  </si>
  <si>
    <t>300-20-08-013</t>
  </si>
  <si>
    <t>BCS-2020-0287</t>
  </si>
  <si>
    <t>2020-181-I</t>
  </si>
  <si>
    <t>G-2020-034</t>
  </si>
  <si>
    <t>EMB-R4B-32-20</t>
  </si>
  <si>
    <t>IB-2020-121-INFRA</t>
  </si>
  <si>
    <t>BAC2020-04</t>
  </si>
  <si>
    <t>IB-2020-115-INFRA</t>
  </si>
  <si>
    <t>IB-2020-120-INFRA</t>
  </si>
  <si>
    <t>INFRA 2020-07</t>
  </si>
  <si>
    <t>G-2020-033</t>
  </si>
  <si>
    <t>BCS-2020-0286</t>
  </si>
  <si>
    <t>EMB-R4B-31-20</t>
  </si>
  <si>
    <t>ITB 2020-011</t>
  </si>
  <si>
    <t>4PS-2020-06-0229</t>
  </si>
  <si>
    <t>INFR-2020-040</t>
  </si>
  <si>
    <t>0368</t>
  </si>
  <si>
    <t>INFR-2020-038</t>
  </si>
  <si>
    <t>015-20</t>
  </si>
  <si>
    <t>CRN-PB-024-GOODS-2020</t>
  </si>
  <si>
    <t>DTP-CY20-GOODS-005</t>
  </si>
  <si>
    <t>ITB 2020-195</t>
  </si>
  <si>
    <t>2020-0250</t>
  </si>
  <si>
    <t>2020-0429</t>
  </si>
  <si>
    <t>20S035</t>
  </si>
  <si>
    <t>INFR-2020-039</t>
  </si>
  <si>
    <t>20-DO-0091</t>
  </si>
  <si>
    <t>GOODS-041-2020</t>
  </si>
  <si>
    <t>DBS-007-2020</t>
  </si>
  <si>
    <t>ICT-02</t>
  </si>
  <si>
    <t>2020-08-0012</t>
  </si>
  <si>
    <t>20CSFI03</t>
  </si>
  <si>
    <t>20F00128</t>
  </si>
  <si>
    <t>GOODS2020-09-01</t>
  </si>
  <si>
    <t>193559</t>
  </si>
  <si>
    <t>BCS-2020-0288</t>
  </si>
  <si>
    <t>I-20-08-017</t>
  </si>
  <si>
    <t>20F00115</t>
  </si>
  <si>
    <t>RFQ-2020-61</t>
  </si>
  <si>
    <t>ITB-2020-59</t>
  </si>
  <si>
    <t>MG-A7M20-116</t>
  </si>
  <si>
    <t>ADH-20-0948-B</t>
  </si>
  <si>
    <t>2020-07-462</t>
  </si>
  <si>
    <t>2020-07-459</t>
  </si>
  <si>
    <t>2020-010H</t>
  </si>
  <si>
    <t>2020-628-07</t>
  </si>
  <si>
    <t>300(01)20-07-445(O)</t>
  </si>
  <si>
    <t>IB No. GS-2020 – 097</t>
  </si>
  <si>
    <t>IB No. GS-2020 – 099</t>
  </si>
  <si>
    <t>IB No. GS-2020 – 098</t>
  </si>
  <si>
    <t>JIAB-2020-39A</t>
  </si>
  <si>
    <t>ITB 2020-005</t>
  </si>
  <si>
    <t>300(18)20-08-483(O)</t>
  </si>
  <si>
    <t>JIAB-2020-37A</t>
  </si>
  <si>
    <t>SF-G-MEO-CO-2020-21</t>
  </si>
  <si>
    <t>JIAB-2020-35A</t>
  </si>
  <si>
    <t>PZDS-2020-08-060-IB</t>
  </si>
  <si>
    <t>20GSK00018</t>
  </si>
  <si>
    <t>2020-009H</t>
  </si>
  <si>
    <t>CONTRACT ID: 20-08 - 108</t>
  </si>
  <si>
    <t>2020-08-447</t>
  </si>
  <si>
    <t>JIAB-2020-38A</t>
  </si>
  <si>
    <t>JIAB-2020-36A</t>
  </si>
  <si>
    <t>Quotation No.20-08-424</t>
  </si>
  <si>
    <t>nlp2020-23</t>
  </si>
  <si>
    <t>IB2020-005D</t>
  </si>
  <si>
    <t>CB(B)-20-026(LSB-DEPED)</t>
  </si>
  <si>
    <t>IB2020-005H</t>
  </si>
  <si>
    <t>G2020-08-003</t>
  </si>
  <si>
    <t>CMC GOODS 20-08-007</t>
  </si>
  <si>
    <t>LGU-BLU-20-08-065</t>
  </si>
  <si>
    <t>20GSK00017</t>
  </si>
  <si>
    <t>IB2020-005F</t>
  </si>
  <si>
    <t>IB2020-005E</t>
  </si>
  <si>
    <t>IB2020-005B</t>
  </si>
  <si>
    <t>IB2020-005A</t>
  </si>
  <si>
    <t>IB2020-005C</t>
  </si>
  <si>
    <t>IB2020-004</t>
  </si>
  <si>
    <t>IB2020-005G</t>
  </si>
  <si>
    <t>RMP-09312020-MAT-MAG-BARMM</t>
  </si>
  <si>
    <t>2020-08-448</t>
  </si>
  <si>
    <t>ITB-2020-62</t>
  </si>
  <si>
    <t>G-2020-035</t>
  </si>
  <si>
    <t>20-DO-0090</t>
  </si>
  <si>
    <t>20-DO-0089</t>
  </si>
  <si>
    <t>IB-2020-119-INFRA</t>
  </si>
  <si>
    <t>BCS-2020-0285</t>
  </si>
  <si>
    <t>ICR-20GEE0052</t>
  </si>
  <si>
    <t>IB-2020-118-INFRA</t>
  </si>
  <si>
    <t>OfficeSupplies-02</t>
  </si>
  <si>
    <t>101-2020-08-223-057</t>
  </si>
  <si>
    <t>ITB2020-09-05</t>
  </si>
  <si>
    <t>INFRA 2020-06</t>
  </si>
  <si>
    <t>IB-2020-110-INFRA</t>
  </si>
  <si>
    <t>101-2020-08-224-058</t>
  </si>
  <si>
    <t>ITB2020-09-04</t>
  </si>
  <si>
    <t>20GSK00009 - Re-ITB</t>
  </si>
  <si>
    <t>PR NO. 100-8751-20-08-0821</t>
  </si>
  <si>
    <t>doc1</t>
  </si>
  <si>
    <t>IB-2020-117-INFRA</t>
  </si>
  <si>
    <t>M-20-24</t>
  </si>
  <si>
    <t>INFRA 2K20-55</t>
  </si>
  <si>
    <t>2020-08-46-20DF20(INFRA)</t>
  </si>
  <si>
    <t>2020-08-43-20DF20 (INFRA)</t>
  </si>
  <si>
    <t>IB2020-005L</t>
  </si>
  <si>
    <t>IB2020-005K</t>
  </si>
  <si>
    <t>IB2020-005J</t>
  </si>
  <si>
    <t>2020-08-0013</t>
  </si>
  <si>
    <t>ITB No. 2020-02(2)</t>
  </si>
  <si>
    <t>IB2020-005M</t>
  </si>
  <si>
    <t>ITB No. 2020-02(1)</t>
  </si>
  <si>
    <t>ITB No. 2020-01(2)</t>
  </si>
  <si>
    <t>2020-08-13-20DF20 (INFRA)</t>
  </si>
  <si>
    <t>IB2020-005I</t>
  </si>
  <si>
    <t>ITB No. 2020-02(4)</t>
  </si>
  <si>
    <t>ITB No. 2020-01(1)</t>
  </si>
  <si>
    <t>ITB No. 2020-01(3)</t>
  </si>
  <si>
    <t>ITB No. 2020-02(3)</t>
  </si>
  <si>
    <t>Expansion, Repair &amp; Maintenance of Production Cent</t>
  </si>
  <si>
    <t>ITB-2020-60</t>
  </si>
  <si>
    <t>AVRC-2020-04-0150</t>
  </si>
  <si>
    <t>ITB No. 2020-08-003</t>
  </si>
  <si>
    <t>BAC-SBSL-MEO-2020-14A</t>
  </si>
  <si>
    <t>SVP-VJLN-2020-07-0737 GAA</t>
  </si>
  <si>
    <t>ITB No. 2020-01(4)</t>
  </si>
  <si>
    <t>IB2020-005N</t>
  </si>
  <si>
    <t>Const.Repair,DecloggingDrainageCanalBrgy.SnRoque,T</t>
  </si>
  <si>
    <t>RR-2019-L31(savings)</t>
  </si>
  <si>
    <t>Goods-2020-PB-O1</t>
  </si>
  <si>
    <t>NP-08-43-20</t>
  </si>
  <si>
    <t>SEHS 2020_021</t>
  </si>
  <si>
    <t>SEHS 2020_017</t>
  </si>
  <si>
    <t>20GKJ0006</t>
  </si>
  <si>
    <t>Aboitiz-2020-L17</t>
  </si>
  <si>
    <t>infra 057-2020</t>
  </si>
  <si>
    <t>TINOC-2020-08-GOODS</t>
  </si>
  <si>
    <t>SANTIAGO, I. SUR 20-076</t>
  </si>
  <si>
    <t>2020-08-09-20DF20 (INFRA)</t>
  </si>
  <si>
    <t>infra 059-2020</t>
  </si>
  <si>
    <t>20-025</t>
  </si>
  <si>
    <t>2020-08-0877 TDG</t>
  </si>
  <si>
    <t>KABATUAN202001</t>
  </si>
  <si>
    <t>SANTIAGO, I. SUR 20-075</t>
  </si>
  <si>
    <t>2020-08-0007</t>
  </si>
  <si>
    <t>RR-2019-L1</t>
  </si>
  <si>
    <t>ITB GOODS 2020-08-55</t>
  </si>
  <si>
    <t>2020-06-102</t>
  </si>
  <si>
    <t>056-LGU-LAOANG-2020</t>
  </si>
  <si>
    <t>Tanudan005</t>
  </si>
  <si>
    <t>2020-07-30009</t>
  </si>
  <si>
    <t>infra 058-2020</t>
  </si>
  <si>
    <t>SF-G-SB-2020-22</t>
  </si>
  <si>
    <t>INFRA 2020-008</t>
  </si>
  <si>
    <t>2020-08-052-20DF20(INFRA)</t>
  </si>
  <si>
    <t>20DN0181</t>
  </si>
  <si>
    <t>Supplies 313-2020</t>
  </si>
  <si>
    <t>infra 060-2020</t>
  </si>
  <si>
    <t>2020-08-0878 TDG</t>
  </si>
  <si>
    <t>DA7-08-FOD-L-20-2347</t>
  </si>
  <si>
    <t>20-026</t>
  </si>
  <si>
    <t>2020-08-35-GF19(INFRA)</t>
  </si>
  <si>
    <t>ITB NO. 04-GOODS-2020</t>
  </si>
  <si>
    <t>BINALONAN-2020-79</t>
  </si>
  <si>
    <t>20-024</t>
  </si>
  <si>
    <t>infra 061-2020</t>
  </si>
  <si>
    <t>2020-08-051-20DF20(INFRA)</t>
  </si>
  <si>
    <t>SANTIAGO, I. SUR 20-077</t>
  </si>
  <si>
    <t>August 11, 2020</t>
  </si>
  <si>
    <t>002116</t>
  </si>
  <si>
    <t>20-027</t>
  </si>
  <si>
    <t>ITB 100-2020-08-01</t>
  </si>
  <si>
    <t>PB 08-02-2020</t>
  </si>
  <si>
    <t>infra 062-2020</t>
  </si>
  <si>
    <t>Goods-038-2020</t>
  </si>
  <si>
    <t>INFRA-PRO1-06-2020</t>
  </si>
  <si>
    <t>20DN0182</t>
  </si>
  <si>
    <t>2020-08-59-20DF20(INFRA)</t>
  </si>
  <si>
    <t>ITB 100-2020-08-02</t>
  </si>
  <si>
    <t>2020-08-35-GF18(INFRA)</t>
  </si>
  <si>
    <t>8112020-047</t>
  </si>
  <si>
    <t>2020-00-03</t>
  </si>
  <si>
    <t>20DN0183</t>
  </si>
  <si>
    <t>20DN0184</t>
  </si>
  <si>
    <t>KADIWA-2020-003</t>
  </si>
  <si>
    <t>20DN0185</t>
  </si>
  <si>
    <t>2020-041 Face Shields</t>
  </si>
  <si>
    <t>2020-003-08</t>
  </si>
  <si>
    <t>Goods-039-2020</t>
  </si>
  <si>
    <t>2020-08-10-20DF20(INFRA)</t>
  </si>
  <si>
    <t>2020-07-146</t>
  </si>
  <si>
    <t>20200811</t>
  </si>
  <si>
    <t>20HN0117</t>
  </si>
  <si>
    <t>HFW-2020-06-0214</t>
  </si>
  <si>
    <t>20HN0118</t>
  </si>
  <si>
    <t>100-20-08-95</t>
  </si>
  <si>
    <t>LGU-ROX-CWC-24-2020</t>
  </si>
  <si>
    <t>20DN0186</t>
  </si>
  <si>
    <t>3-01-001-20-070A (Re-bidding)</t>
  </si>
  <si>
    <t>2020-07-0306</t>
  </si>
  <si>
    <t>2020-07-160</t>
  </si>
  <si>
    <t>SJ-20-222</t>
  </si>
  <si>
    <t>G-2020-08-017 GF2020</t>
  </si>
  <si>
    <t>2020-02-INFRA-AUGUST-06</t>
  </si>
  <si>
    <t>PB 2020-011</t>
  </si>
  <si>
    <t>08-11-01</t>
  </si>
  <si>
    <t>20B00024 (re-ad)</t>
  </si>
  <si>
    <t>20DN0187</t>
  </si>
  <si>
    <t>2020-02-INFRA-AUGUST-07</t>
  </si>
  <si>
    <t>CONTRACT ID: 20-03-070 REBID</t>
  </si>
  <si>
    <t>MGPQ-BN-JCS-2020-08-001 (2)</t>
  </si>
  <si>
    <t>SOLANO 096-2020</t>
  </si>
  <si>
    <t>SOLANO 099-2020</t>
  </si>
  <si>
    <t>2020-08-015-016</t>
  </si>
  <si>
    <t>2020-06-119</t>
  </si>
  <si>
    <t>08-11-03</t>
  </si>
  <si>
    <t>20-MDF-07</t>
  </si>
  <si>
    <t>2020-07-164</t>
  </si>
  <si>
    <t>08-11-02</t>
  </si>
  <si>
    <t>Goods-2020-015 - Rebid</t>
  </si>
  <si>
    <t>SOLANO 097-2020</t>
  </si>
  <si>
    <t>G-2020-07-021-GF SB3</t>
  </si>
  <si>
    <t>2020-08-013-014</t>
  </si>
  <si>
    <t>PB-G-001-2020</t>
  </si>
  <si>
    <t>R3-2020-07-006</t>
  </si>
  <si>
    <t>20-07-0413</t>
  </si>
  <si>
    <t>019-2020</t>
  </si>
  <si>
    <t>2020-02-INFRA-AUGUST-08</t>
  </si>
  <si>
    <t>PB-INF-002-2020</t>
  </si>
  <si>
    <t>PROJECT ID NO. I-2020-017</t>
  </si>
  <si>
    <t>ITB 2020-31</t>
  </si>
  <si>
    <t>081120-H01</t>
  </si>
  <si>
    <t>001-08-11-2020</t>
  </si>
  <si>
    <t>GOOD-2020-005</t>
  </si>
  <si>
    <t>BAC-HO GS No. 2020-0501 dated 30 July 2020</t>
  </si>
  <si>
    <t>GOOD-2020-006</t>
  </si>
  <si>
    <t>DTI8.REGRO.20-08112</t>
  </si>
  <si>
    <t>2020-08-0338</t>
  </si>
  <si>
    <t>SOLANO 098-2020</t>
  </si>
  <si>
    <t>PEO-2020-0200 PR2020-0582</t>
  </si>
  <si>
    <t>2020-PLA-086</t>
  </si>
  <si>
    <t>202008110001</t>
  </si>
  <si>
    <t>SJ-20-223</t>
  </si>
  <si>
    <t>20-SEF-001</t>
  </si>
  <si>
    <t>PB-GS-2020-014</t>
  </si>
  <si>
    <t>V08112020-221</t>
  </si>
  <si>
    <t>048</t>
  </si>
  <si>
    <t>PGBH-2020-0199 PR2020-0581</t>
  </si>
  <si>
    <t>GOOD-2020-010</t>
  </si>
  <si>
    <t>27921-001, 27919-001</t>
  </si>
  <si>
    <t>20GM0084</t>
  </si>
  <si>
    <t>081120-B2</t>
  </si>
  <si>
    <t>081120-B1</t>
  </si>
  <si>
    <t>BAC-BLE-2020-07-025</t>
  </si>
  <si>
    <t>GDS-406-2020</t>
  </si>
  <si>
    <t>GOOD-2020-008</t>
  </si>
  <si>
    <t>2020-08-449</t>
  </si>
  <si>
    <t>PB-GS-2020-016</t>
  </si>
  <si>
    <t>GOOD-2020-007</t>
  </si>
  <si>
    <t>HFW-2020-06-0218</t>
  </si>
  <si>
    <t>ABC20-07-001</t>
  </si>
  <si>
    <t>GOOD-2020-013</t>
  </si>
  <si>
    <t>DTI8.REGRO.20-08114</t>
  </si>
  <si>
    <t>IB NO. PB-2020-08-25</t>
  </si>
  <si>
    <t>G2020-006</t>
  </si>
  <si>
    <t>KAP-20-21</t>
  </si>
  <si>
    <t>2020-08-0173</t>
  </si>
  <si>
    <t>SN20-07-726</t>
  </si>
  <si>
    <t>PRN 054</t>
  </si>
  <si>
    <t>025-2020-PB</t>
  </si>
  <si>
    <t>SN20-04-412</t>
  </si>
  <si>
    <t>UBAUB ITB 01-2020</t>
  </si>
  <si>
    <t>R3-2020-CS-01</t>
  </si>
  <si>
    <t>INFRA-2020-242</t>
  </si>
  <si>
    <t>2020-08-0339</t>
  </si>
  <si>
    <t>DOLO-2020-08-001</t>
  </si>
  <si>
    <t>B083-2020</t>
  </si>
  <si>
    <t>2020-03-0096</t>
  </si>
  <si>
    <t>PR No:2020-06-186</t>
  </si>
  <si>
    <t>infra-2020-006</t>
  </si>
  <si>
    <t>GOOD-2020-014</t>
  </si>
  <si>
    <t>30</t>
  </si>
  <si>
    <t>ITB-2020-006</t>
  </si>
  <si>
    <t>IB-0811 #1 Package 61</t>
  </si>
  <si>
    <t>GOOD-2020-012</t>
  </si>
  <si>
    <t>211575</t>
  </si>
  <si>
    <t>GOOD-2020-009</t>
  </si>
  <si>
    <t>211573</t>
  </si>
  <si>
    <t>20-08-0177</t>
  </si>
  <si>
    <t>027-2020-PB</t>
  </si>
  <si>
    <t>211572</t>
  </si>
  <si>
    <t>FY2019DILG-AM-03</t>
  </si>
  <si>
    <t>211574</t>
  </si>
  <si>
    <t>211571</t>
  </si>
  <si>
    <t>211570</t>
  </si>
  <si>
    <t>MKWD2020-065</t>
  </si>
  <si>
    <t>ABC20-07-002</t>
  </si>
  <si>
    <t>211583</t>
  </si>
  <si>
    <t>026-2020-PB</t>
  </si>
  <si>
    <t>ITB No. GOODS-20-132</t>
  </si>
  <si>
    <t>R3-2020-CS-02</t>
  </si>
  <si>
    <t>INFRA-2020-243</t>
  </si>
  <si>
    <t>20NI0086</t>
  </si>
  <si>
    <t>211582</t>
  </si>
  <si>
    <t>211580</t>
  </si>
  <si>
    <t>B-CW-2020-038</t>
  </si>
  <si>
    <t>211578</t>
  </si>
  <si>
    <t>Infra-2020-14</t>
  </si>
  <si>
    <t>211577</t>
  </si>
  <si>
    <t>211579</t>
  </si>
  <si>
    <t>ITB No. 20-078: Supply and Delivery of Three Hundr</t>
  </si>
  <si>
    <t>I-2020-3</t>
  </si>
  <si>
    <t>20-08-0175</t>
  </si>
  <si>
    <t>20GB00029 (re-ad)</t>
  </si>
  <si>
    <t>LDF20-08-036</t>
  </si>
  <si>
    <t>capinahan2020-003</t>
  </si>
  <si>
    <t>BGHMCPB-2020-28-001</t>
  </si>
  <si>
    <t>capinahan2020-002</t>
  </si>
  <si>
    <t>B-G-2020-116</t>
  </si>
  <si>
    <t>INFRA-CB-2020-07-007</t>
  </si>
  <si>
    <t>lgu-2020-034</t>
  </si>
  <si>
    <t>ADS II GOODS -020-03</t>
  </si>
  <si>
    <t>SAN-ADN-EQUIPMENT-2020-02</t>
  </si>
  <si>
    <t>R3-2020-CS-03</t>
  </si>
  <si>
    <t>2020-292</t>
  </si>
  <si>
    <t>20GM0083</t>
  </si>
  <si>
    <t>2020-08-450</t>
  </si>
  <si>
    <t>HFW-2020-06-0217</t>
  </si>
  <si>
    <t>IB-0811 #2 Package 62</t>
  </si>
  <si>
    <t>ITB No. 2020-01(5)</t>
  </si>
  <si>
    <t>20-08-0174</t>
  </si>
  <si>
    <t>2020-08-0072</t>
  </si>
  <si>
    <t>211581</t>
  </si>
  <si>
    <t>211576</t>
  </si>
  <si>
    <t>2020-74</t>
  </si>
  <si>
    <t>2020-GOODS-002NP-02-0812</t>
  </si>
  <si>
    <t>R3-2020-CS-05</t>
  </si>
  <si>
    <t>20GBC0010</t>
  </si>
  <si>
    <t>2020-08-0171</t>
  </si>
  <si>
    <t>infra-2020-005</t>
  </si>
  <si>
    <t>LDF20-08-035</t>
  </si>
  <si>
    <t>ITB2020-09-01 BUGA-BUGA</t>
  </si>
  <si>
    <t>2020-08-70-20DF20 (INFRA)</t>
  </si>
  <si>
    <t>5827-clsu-2020</t>
  </si>
  <si>
    <t>IB-0811 #3 Package 63</t>
  </si>
  <si>
    <t>PB-2020-08-43</t>
  </si>
  <si>
    <t>2020-293</t>
  </si>
  <si>
    <t>2020229</t>
  </si>
  <si>
    <t>CW-ALPIP-02-2020</t>
  </si>
  <si>
    <t>SJ 2020-02-INFRA</t>
  </si>
  <si>
    <t>ITB 20-08-010</t>
  </si>
  <si>
    <t>capinahan2020-004</t>
  </si>
  <si>
    <t>LDF20-08-031</t>
  </si>
  <si>
    <t>PRN 055</t>
  </si>
  <si>
    <t>ITB No. 2020-028</t>
  </si>
  <si>
    <t>20-08-005</t>
  </si>
  <si>
    <t>211569</t>
  </si>
  <si>
    <t>AGGDS2020-0812</t>
  </si>
  <si>
    <t>GOOD-2020-011</t>
  </si>
  <si>
    <t>CDC 61-08-2020</t>
  </si>
  <si>
    <t>5828-clsu-2020</t>
  </si>
  <si>
    <t>ITB2020-09-01 BALITE</t>
  </si>
  <si>
    <t>ITB No. 2020-04-004</t>
  </si>
  <si>
    <t>B-125-2020</t>
  </si>
  <si>
    <t>20-08-659</t>
  </si>
  <si>
    <t>PB-2020-08-45</t>
  </si>
  <si>
    <t>ITB-DARFO12-2020-0686</t>
  </si>
  <si>
    <t>B-124-2020</t>
  </si>
  <si>
    <t>2020-08-0172</t>
  </si>
  <si>
    <t>ITB-DARFO12-2020-0685</t>
  </si>
  <si>
    <t>20GBC0011</t>
  </si>
  <si>
    <t>PB-2020-08-44</t>
  </si>
  <si>
    <t>BARANGAY HIMO-AW 1</t>
  </si>
  <si>
    <t>2020-08-71-20DF20(INFRA)</t>
  </si>
  <si>
    <t>CW-ALPIP-03-2020</t>
  </si>
  <si>
    <t>B-123-2020</t>
  </si>
  <si>
    <t>08112001</t>
  </si>
  <si>
    <t>ITB 2020-103</t>
  </si>
  <si>
    <t>R3-2020-CS-07</t>
  </si>
  <si>
    <t>20-038</t>
  </si>
  <si>
    <t>SVP 2020-422</t>
  </si>
  <si>
    <t>20GDQ0026</t>
  </si>
  <si>
    <t>01860</t>
  </si>
  <si>
    <t>INFRA-CB-2020-07-006</t>
  </si>
  <si>
    <t>PB-GS-2020-015</t>
  </si>
  <si>
    <t>20-08-0178</t>
  </si>
  <si>
    <t>2020-07-161</t>
  </si>
  <si>
    <t>2020-08-54-20DF20(INFRA)</t>
  </si>
  <si>
    <t>ITB 2020-012</t>
  </si>
  <si>
    <t>SJ 2020-12-INFRA</t>
  </si>
  <si>
    <t>R3-2020-CS-10</t>
  </si>
  <si>
    <t>08-11-20</t>
  </si>
  <si>
    <t>INFRA-2020-36</t>
  </si>
  <si>
    <t>BARANGAY CARIDAD IBABA 20-08-25b</t>
  </si>
  <si>
    <t>GF-20-05-00718</t>
  </si>
  <si>
    <t>ANTIPOLO-01SEPTEMBER2020-01</t>
  </si>
  <si>
    <t>ITB-DARFO12-2020-0688</t>
  </si>
  <si>
    <t>ITB-DARFO12-2020-0690</t>
  </si>
  <si>
    <t>20GP00088</t>
  </si>
  <si>
    <t>ITB-DARFO12-2020-0689</t>
  </si>
  <si>
    <t>PB 20-03-20</t>
  </si>
  <si>
    <t>2020-08-0179</t>
  </si>
  <si>
    <t>2020-02-130</t>
  </si>
  <si>
    <t>B-G-2020-048</t>
  </si>
  <si>
    <t>INFRA-2020-35</t>
  </si>
  <si>
    <t>BAC-NP NO. 2020-07</t>
  </si>
  <si>
    <t>ITB-DARFO12-2020-0687</t>
  </si>
  <si>
    <t>2020-08-14</t>
  </si>
  <si>
    <t>LDF20-08-034</t>
  </si>
  <si>
    <t>GF-20-03-00482</t>
  </si>
  <si>
    <t>MG-A7T20-066</t>
  </si>
  <si>
    <t>GF-20-05-00719</t>
  </si>
  <si>
    <t>PR NO. 020-05-20</t>
  </si>
  <si>
    <t>GF-20-09-3C-QCU</t>
  </si>
  <si>
    <t>BARANGAY HIMO-AW 4</t>
  </si>
  <si>
    <t>GOODS-2020-171</t>
  </si>
  <si>
    <t>GF-20-07-01052</t>
  </si>
  <si>
    <t>GOODS20-08-055</t>
  </si>
  <si>
    <t>IB No. 2020-028-I</t>
  </si>
  <si>
    <t>2020-08-0181</t>
  </si>
  <si>
    <t>R1-ISIMO-20-08-028</t>
  </si>
  <si>
    <t>PB 20-03-21</t>
  </si>
  <si>
    <t>ITB No. 2020-INFANT VENT-100</t>
  </si>
  <si>
    <t>ITB-DARFO12-2020-0692</t>
  </si>
  <si>
    <t>INFRA20-08-061</t>
  </si>
  <si>
    <t>BID20-23</t>
  </si>
  <si>
    <t>SEF-20-08-01196</t>
  </si>
  <si>
    <t>GF-20-05-00787</t>
  </si>
  <si>
    <t>R1-ISIMO-20-08-029</t>
  </si>
  <si>
    <t>08112020</t>
  </si>
  <si>
    <t>20K00358</t>
  </si>
  <si>
    <t>20GO0105</t>
  </si>
  <si>
    <t>INFRA-2020-08-51</t>
  </si>
  <si>
    <t>20K00360</t>
  </si>
  <si>
    <t>R1-ISIMO-20-08-030</t>
  </si>
  <si>
    <t>GF-20-05-00710</t>
  </si>
  <si>
    <t>081120201</t>
  </si>
  <si>
    <t>SM2020-08-014</t>
  </si>
  <si>
    <t>20K00359</t>
  </si>
  <si>
    <t>LG2020MP</t>
  </si>
  <si>
    <t>20-07-00457</t>
  </si>
  <si>
    <t>SM2020-08-015</t>
  </si>
  <si>
    <t>GF-20-02-00229B</t>
  </si>
  <si>
    <t>PB 20-03-23</t>
  </si>
  <si>
    <t>GOODS-2020-169</t>
  </si>
  <si>
    <t>GOODS-2020-168</t>
  </si>
  <si>
    <t>02-20</t>
  </si>
  <si>
    <t>20-03-043</t>
  </si>
  <si>
    <t>GOODS-2020-167</t>
  </si>
  <si>
    <t>GOODS-2020-166</t>
  </si>
  <si>
    <t>GOODS-2020-165</t>
  </si>
  <si>
    <t>GOODS-2020-172</t>
  </si>
  <si>
    <t>PENRO-2020-15</t>
  </si>
  <si>
    <t>20GO0106</t>
  </si>
  <si>
    <t>ITB No. 2020-XRAY-109</t>
  </si>
  <si>
    <t>ITB No. 2020 –MECH VENT–110</t>
  </si>
  <si>
    <t>PB 20-03-22</t>
  </si>
  <si>
    <t>INFRA 2K20-59</t>
  </si>
  <si>
    <t>SM2020-08-017</t>
  </si>
  <si>
    <t>20K00357</t>
  </si>
  <si>
    <t>G41-2020</t>
  </si>
  <si>
    <t>20MGU-074</t>
  </si>
  <si>
    <t>GF-20-05-00713</t>
  </si>
  <si>
    <t>20-08-0392</t>
  </si>
  <si>
    <t>GOODS-2020-160</t>
  </si>
  <si>
    <t>20MGU-075</t>
  </si>
  <si>
    <t>PR20-014</t>
  </si>
  <si>
    <t>20MGU-073</t>
  </si>
  <si>
    <t>20MGU-078</t>
  </si>
  <si>
    <t>INFR-2020-041</t>
  </si>
  <si>
    <t>20MGU-072</t>
  </si>
  <si>
    <t>20MGU-076</t>
  </si>
  <si>
    <t>INFR-2020-042</t>
  </si>
  <si>
    <t>BAC 2020-G09</t>
  </si>
  <si>
    <t>CID No. 20IO0095</t>
  </si>
  <si>
    <t>C-024-20</t>
  </si>
  <si>
    <t>2020-003-2</t>
  </si>
  <si>
    <t>2020-008-2</t>
  </si>
  <si>
    <t>C-023-20</t>
  </si>
  <si>
    <t>MG-A7T20-062</t>
  </si>
  <si>
    <t>20MGU-077</t>
  </si>
  <si>
    <t>2020-007-2</t>
  </si>
  <si>
    <t>G2020-007</t>
  </si>
  <si>
    <t>2020-006-2</t>
  </si>
  <si>
    <t>2020-005-2</t>
  </si>
  <si>
    <t>GF-20-03-00494</t>
  </si>
  <si>
    <t>CID No. 20IO0096</t>
  </si>
  <si>
    <t>CW53-2020</t>
  </si>
  <si>
    <t>TIEZA-83-2020</t>
  </si>
  <si>
    <t>INFR-2020-046</t>
  </si>
  <si>
    <t>2020-004-2</t>
  </si>
  <si>
    <t>2020-002-2</t>
  </si>
  <si>
    <t>CID No. 20IO0097</t>
  </si>
  <si>
    <t>INFR-2020-043</t>
  </si>
  <si>
    <t>INFR-2020-048</t>
  </si>
  <si>
    <t>CB(B)-20-020 (GTLMH)</t>
  </si>
  <si>
    <t>INFR-2020-047</t>
  </si>
  <si>
    <t>20MGU-079</t>
  </si>
  <si>
    <t>2020-SIB-14</t>
  </si>
  <si>
    <t>SM2020-08-016</t>
  </si>
  <si>
    <t>INFR-2020-045</t>
  </si>
  <si>
    <t>20CW-GSC-028</t>
  </si>
  <si>
    <t>20CW-GSC-026</t>
  </si>
  <si>
    <t>017</t>
  </si>
  <si>
    <t>CB(B)-20-023 (GTLMH)</t>
  </si>
  <si>
    <t>20CW-GSC-029</t>
  </si>
  <si>
    <t>2020-SIB-12</t>
  </si>
  <si>
    <t>20CW-GSC-025</t>
  </si>
  <si>
    <t>2020-011-2</t>
  </si>
  <si>
    <t>2020-SIB-13</t>
  </si>
  <si>
    <t>2020-SIB-15</t>
  </si>
  <si>
    <t>20CW-GSC-027</t>
  </si>
  <si>
    <t>2020-SIB-11</t>
  </si>
  <si>
    <t>CB(B)-20-026 (GTLMH)</t>
  </si>
  <si>
    <t>20O00063</t>
  </si>
  <si>
    <t>Sahud -Ulan 2020-02</t>
  </si>
  <si>
    <t>GOODS</t>
  </si>
  <si>
    <t>CB(B)-20-021 (GTLMH)</t>
  </si>
  <si>
    <t>ITB 2020-196</t>
  </si>
  <si>
    <t>ITB 2020-08-012</t>
  </si>
  <si>
    <t>Invititation to Bid-2020-002</t>
  </si>
  <si>
    <t>LIN-LDN-08-11-20A</t>
  </si>
  <si>
    <t>2020-SIB-17</t>
  </si>
  <si>
    <t>20O00019</t>
  </si>
  <si>
    <t>20O00028</t>
  </si>
  <si>
    <t>ITA-03-2020</t>
  </si>
  <si>
    <t>PROJECT REF. NO. 08-01-2020-INFRA-DATAL BILA</t>
  </si>
  <si>
    <t>20CW-GSC-030</t>
  </si>
  <si>
    <t>CB(B)-20-027 (CHO)</t>
  </si>
  <si>
    <t>2020-SIB-16</t>
  </si>
  <si>
    <t>2020-010-2</t>
  </si>
  <si>
    <t>PHILGEPS-2020-21</t>
  </si>
  <si>
    <t>LIN-LDN-08-11-20</t>
  </si>
  <si>
    <t>PB-20-404</t>
  </si>
  <si>
    <t>PB-20-403</t>
  </si>
  <si>
    <t>11 August 2020</t>
  </si>
  <si>
    <t>PB-20-401</t>
  </si>
  <si>
    <t>PB-20-402</t>
  </si>
  <si>
    <t>PB-20-405</t>
  </si>
  <si>
    <t>SLM-Quarter02</t>
  </si>
  <si>
    <t>2020-009-2</t>
  </si>
  <si>
    <t>PB-20-400</t>
  </si>
  <si>
    <t>PHILGEPS-2020-23</t>
  </si>
  <si>
    <t>20DG0052</t>
  </si>
  <si>
    <t>20DG0054</t>
  </si>
  <si>
    <t>IB NO. CW-2020-001</t>
  </si>
  <si>
    <t>SEF-0678, 0677, 0676, 0679-072020</t>
  </si>
  <si>
    <t>PB-20-086</t>
  </si>
  <si>
    <t>17202008071</t>
  </si>
  <si>
    <t>PHILGEPS-2020-22</t>
  </si>
  <si>
    <t>2020-E002</t>
  </si>
  <si>
    <t>BAC-IB-2020-007</t>
  </si>
  <si>
    <t>PB-20-413</t>
  </si>
  <si>
    <t>17202008072</t>
  </si>
  <si>
    <t>SF Infra 2020-19</t>
  </si>
  <si>
    <t>fm-pcc-wvsu</t>
  </si>
  <si>
    <t>fm-gene pool</t>
  </si>
  <si>
    <t>fm-pcc-clsu</t>
  </si>
  <si>
    <t>20DG0053</t>
  </si>
  <si>
    <t>PGL 20-108</t>
  </si>
  <si>
    <t>fm-pcc-mlpc</t>
  </si>
  <si>
    <t>fm-pcc-uplb</t>
  </si>
  <si>
    <t>PGL 20-104</t>
  </si>
  <si>
    <t>PGL 20-107</t>
  </si>
  <si>
    <t>PGL 20-102</t>
  </si>
  <si>
    <t>PGL 20-105</t>
  </si>
  <si>
    <t>PGL 20-101</t>
  </si>
  <si>
    <t>fm-pcc-mmsu</t>
  </si>
  <si>
    <t>SF Infra 2020-21</t>
  </si>
  <si>
    <t>fm-pcc-lcsf</t>
  </si>
  <si>
    <t>PGL 20-106</t>
  </si>
  <si>
    <t>PB-08112020-2</t>
  </si>
  <si>
    <t>07-02-2020-08-835</t>
  </si>
  <si>
    <t>PGL 20-103</t>
  </si>
  <si>
    <t>SF Infra 2020-20</t>
  </si>
  <si>
    <t>20-30</t>
  </si>
  <si>
    <t>fm-pcc-usf</t>
  </si>
  <si>
    <t>MS2020-08-037.9</t>
  </si>
  <si>
    <t>MS2020-08-037.6</t>
  </si>
  <si>
    <t>MS2020-08-037.5</t>
  </si>
  <si>
    <t>MS2020-08-037.3</t>
  </si>
  <si>
    <t>MS2020-08-037.1</t>
  </si>
  <si>
    <t>INFRA-3-2020-12</t>
  </si>
  <si>
    <t>MS2020-08-037.8</t>
  </si>
  <si>
    <t>ITB No. 0111-Infra-2020</t>
  </si>
  <si>
    <t>MS2020-08-037.7</t>
  </si>
  <si>
    <t>2020-INFRA-350</t>
  </si>
  <si>
    <t>1011-20-08-06</t>
  </si>
  <si>
    <t>2020-INFRA-349</t>
  </si>
  <si>
    <t>MS2020-08-037.4</t>
  </si>
  <si>
    <t>MS2020-08-037.2</t>
  </si>
  <si>
    <t>276</t>
  </si>
  <si>
    <t>2020-CW-08-01</t>
  </si>
  <si>
    <t>2020-INFRA-348</t>
  </si>
  <si>
    <t>MDF CY 18 to 20 - 03</t>
  </si>
  <si>
    <t>2020-CW-08-02</t>
  </si>
  <si>
    <t>2020-100</t>
  </si>
  <si>
    <t>PR#20-08-076</t>
  </si>
  <si>
    <t>DCWD2020 - BID 011</t>
  </si>
  <si>
    <t>LGU-AL-34-2020</t>
  </si>
  <si>
    <t>ITB-INFRA-PROPOSED REHABILITATION OF MULTI-PURPOSE</t>
  </si>
  <si>
    <t>OGDS 08-10-20</t>
  </si>
  <si>
    <t>INFRA-2020-47</t>
  </si>
  <si>
    <t>KB-INFRA-2020-08</t>
  </si>
  <si>
    <t>20-293</t>
  </si>
  <si>
    <t>MS2020-08-037.12</t>
  </si>
  <si>
    <t>MG-A7M20-123</t>
  </si>
  <si>
    <t>MS2020-08-037.11</t>
  </si>
  <si>
    <t>MS2020-08-037.10</t>
  </si>
  <si>
    <t>03-20</t>
  </si>
  <si>
    <t>M-20-26</t>
  </si>
  <si>
    <t>MOP-2019-10</t>
  </si>
  <si>
    <t>CDC 60-08-2020</t>
  </si>
  <si>
    <t>00167-2020</t>
  </si>
  <si>
    <t>CGS-2020-021 (RE-BID)</t>
  </si>
  <si>
    <t>INFRA-2020-50</t>
  </si>
  <si>
    <t>PR# 20-08-0774</t>
  </si>
  <si>
    <t>20-06-0121</t>
  </si>
  <si>
    <t>Goods-037-2020</t>
  </si>
  <si>
    <t>2020-07-002</t>
  </si>
  <si>
    <t>20GGK0009</t>
  </si>
  <si>
    <t>BAYLECON0820081</t>
  </si>
  <si>
    <t>ITB 2020 - 091</t>
  </si>
  <si>
    <t>PGL INFRA 20-057</t>
  </si>
  <si>
    <t>081020-H01</t>
  </si>
  <si>
    <t>06-01-2020-08-836</t>
  </si>
  <si>
    <t>2020-POBLACION-042</t>
  </si>
  <si>
    <t>BAYLECON0820080</t>
  </si>
  <si>
    <t>HOD-2020-0783</t>
  </si>
  <si>
    <t>135</t>
  </si>
  <si>
    <t>B070-2020</t>
  </si>
  <si>
    <t>136</t>
  </si>
  <si>
    <t>B071-2020</t>
  </si>
  <si>
    <t>MDF 2020 - 04</t>
  </si>
  <si>
    <t>2020-GOODS-33</t>
  </si>
  <si>
    <t>2020-08-109A</t>
  </si>
  <si>
    <t>2020-08-265</t>
  </si>
  <si>
    <t>PB20200810-047</t>
  </si>
  <si>
    <t>221-20-7-07</t>
  </si>
  <si>
    <t>134</t>
  </si>
  <si>
    <t>PGL INFRA 20-059</t>
  </si>
  <si>
    <t>LGU - Quirino GOODS 2020 - 005</t>
  </si>
  <si>
    <t>B073-2020</t>
  </si>
  <si>
    <t>PB20200810-048</t>
  </si>
  <si>
    <t>BAYLECON0820083</t>
  </si>
  <si>
    <t>B072-2020</t>
  </si>
  <si>
    <t>2020-08-023-PB</t>
  </si>
  <si>
    <t>BAYLEGOOD0820082</t>
  </si>
  <si>
    <t>08-20-018</t>
  </si>
  <si>
    <t>R3-2020-07-009</t>
  </si>
  <si>
    <t>GUA-2020-08-001</t>
  </si>
  <si>
    <t>G-2020-33</t>
  </si>
  <si>
    <t>BAYLEGOOD0820079</t>
  </si>
  <si>
    <t>PGL INFRA 20-058</t>
  </si>
  <si>
    <t>ITB 2020 - 092</t>
  </si>
  <si>
    <t>2020-08-120</t>
  </si>
  <si>
    <t>07-SND-LDN-10-2020</t>
  </si>
  <si>
    <t>2020-GOODS-43</t>
  </si>
  <si>
    <t>INF-2020-005</t>
  </si>
  <si>
    <t>019-0920-CP</t>
  </si>
  <si>
    <t>CB(B)-20-027(LSB-DEPED)</t>
  </si>
  <si>
    <t>B076-2020</t>
  </si>
  <si>
    <t>2020-POBLACION-044</t>
  </si>
  <si>
    <t>B075-2020</t>
  </si>
  <si>
    <t>2020-548</t>
  </si>
  <si>
    <t>2020-POBLACION-043</t>
  </si>
  <si>
    <t>28-2020</t>
  </si>
  <si>
    <t>B074-2020</t>
  </si>
  <si>
    <t>2020-10-08-01</t>
  </si>
  <si>
    <t>2020-06-421</t>
  </si>
  <si>
    <t>2020-infralom-001</t>
  </si>
  <si>
    <t>2020-09-01-457PG</t>
  </si>
  <si>
    <t>B077-2020</t>
  </si>
  <si>
    <t>2020-09-01-456PG</t>
  </si>
  <si>
    <t>01-05-2020-08-837</t>
  </si>
  <si>
    <t>ITB-0810 Package 60</t>
  </si>
  <si>
    <t>2020-09-01-455PG</t>
  </si>
  <si>
    <t>2020- 8- 10</t>
  </si>
  <si>
    <t>PGL INFRA 20-060</t>
  </si>
  <si>
    <t>BLGUMALAYUGAN-CW-2020-003</t>
  </si>
  <si>
    <t>B080-2020</t>
  </si>
  <si>
    <t>B082-2020</t>
  </si>
  <si>
    <t>sj 2020 b sep 001</t>
  </si>
  <si>
    <t>20KK0133</t>
  </si>
  <si>
    <t>2020-POBLACION-045</t>
  </si>
  <si>
    <t>DOT-BAC-IB NO. 2020-008</t>
  </si>
  <si>
    <t>2020-06-0585</t>
  </si>
  <si>
    <t>101-2020-07-435</t>
  </si>
  <si>
    <t>2020-01-0042</t>
  </si>
  <si>
    <t>101-2020-07-436</t>
  </si>
  <si>
    <t>08102020-A</t>
  </si>
  <si>
    <t>101-2020-07-404,405,406</t>
  </si>
  <si>
    <t>SVP 20-1308</t>
  </si>
  <si>
    <t>2020-02-0241, 2020-02-0386, 2020-03-0450</t>
  </si>
  <si>
    <t>G-2020-007</t>
  </si>
  <si>
    <t>2020-09-01-459PG</t>
  </si>
  <si>
    <t>12-08-2020</t>
  </si>
  <si>
    <t>PB2020-08-121</t>
  </si>
  <si>
    <t>B079-2020</t>
  </si>
  <si>
    <t>B078-2020</t>
  </si>
  <si>
    <t>C.Y. 2020 Basic Educational Facilities Fund (BEFF)</t>
  </si>
  <si>
    <t>B081-2020</t>
  </si>
  <si>
    <t>2020-09-01-458PG</t>
  </si>
  <si>
    <t>PB20200810-049</t>
  </si>
  <si>
    <t>20MADD0037</t>
  </si>
  <si>
    <t>ITB No. 054-2020 GQ</t>
  </si>
  <si>
    <t>0388</t>
  </si>
  <si>
    <t>PB20-07-003BACa-08 Lot 2</t>
  </si>
  <si>
    <t>ADS-1802-20</t>
  </si>
  <si>
    <t>ITB GOODS 20-08-015</t>
  </si>
  <si>
    <t>2020-03-005_TAGAPUA</t>
  </si>
  <si>
    <t>PB20-07-003BACa-08 Lot 1</t>
  </si>
  <si>
    <t>19JC0077</t>
  </si>
  <si>
    <t>2020-GOODS-44</t>
  </si>
  <si>
    <t>20MADD0036</t>
  </si>
  <si>
    <t>B2 PEO 200-20-08-09850</t>
  </si>
  <si>
    <t>PEPO 200-20-07-09514</t>
  </si>
  <si>
    <t>MEDICINE 2020-07-0001</t>
  </si>
  <si>
    <t>00168-2020</t>
  </si>
  <si>
    <t>BAC INFRA 2020-09-002</t>
  </si>
  <si>
    <t>2020-GOODS-347</t>
  </si>
  <si>
    <t>LAMISCA IMO 08-10-2020 GOODS</t>
  </si>
  <si>
    <t>20MADD0035</t>
  </si>
  <si>
    <t>20MADD0039</t>
  </si>
  <si>
    <t>LGU-ROX-CWC-20-2020</t>
  </si>
  <si>
    <t>ITB GOODS 20-08-016</t>
  </si>
  <si>
    <t>S2-DOO20-011</t>
  </si>
  <si>
    <t>RRENIS20-CS-LCPIS-038-20</t>
  </si>
  <si>
    <t>I-2020-023</t>
  </si>
  <si>
    <t>SJ-20-220</t>
  </si>
  <si>
    <t>AMH 300-20-07-09513</t>
  </si>
  <si>
    <t>MNE-G-2020-08-015</t>
  </si>
  <si>
    <t>LGU-ROX-CWC-19-2020</t>
  </si>
  <si>
    <t>2020-02-0143, 2020-02-0168</t>
  </si>
  <si>
    <t>MNE-G-2020-08-016</t>
  </si>
  <si>
    <t>2020810</t>
  </si>
  <si>
    <t>08-110-2020</t>
  </si>
  <si>
    <t>01-05-2020-08-838</t>
  </si>
  <si>
    <t>20MADD0038</t>
  </si>
  <si>
    <t>BS 20-07-0810</t>
  </si>
  <si>
    <t>B2020-100-A</t>
  </si>
  <si>
    <t>RRECIS20-CS-032-20</t>
  </si>
  <si>
    <t>081020-H02</t>
  </si>
  <si>
    <t>msj-2020-29</t>
  </si>
  <si>
    <t>EGPIP20-CS-006-19-2</t>
  </si>
  <si>
    <t>2020-06-445</t>
  </si>
  <si>
    <t>2020-07-437,2020-07-435,2020-07-438</t>
  </si>
  <si>
    <t>PGR-INFRA-2020-07-11</t>
  </si>
  <si>
    <t>BAC-LOC-01-2020</t>
  </si>
  <si>
    <t>LGU-ROX-CWC-22-2020</t>
  </si>
  <si>
    <t>2020-09-01-460PG</t>
  </si>
  <si>
    <t>08-210-2020</t>
  </si>
  <si>
    <t>ADS-1800-20</t>
  </si>
  <si>
    <t>2020-POBLACION-046</t>
  </si>
  <si>
    <t>LGU-ROX-CWC-21-2020</t>
  </si>
  <si>
    <t>BAC INFRA 2020-09-001</t>
  </si>
  <si>
    <t>Mkna-GSO-20-338</t>
  </si>
  <si>
    <t>ITB GOODS 20-08-017</t>
  </si>
  <si>
    <t>ITB-20-08048</t>
  </si>
  <si>
    <t>INFRA-2020-51</t>
  </si>
  <si>
    <t>07-01036</t>
  </si>
  <si>
    <t>08-01061</t>
  </si>
  <si>
    <t>0810202001</t>
  </si>
  <si>
    <t>101-2020-07-408,413,414,416</t>
  </si>
  <si>
    <t>INFRA-2020-49</t>
  </si>
  <si>
    <t>033-2020 PES Purchase of Various Office Supplies a</t>
  </si>
  <si>
    <t>sfbac2020- SAIP NO. 5 CY-2019 1000-8</t>
  </si>
  <si>
    <t>B069-2020</t>
  </si>
  <si>
    <t>INFRA 2020-19</t>
  </si>
  <si>
    <t>BAC 2020-G08</t>
  </si>
  <si>
    <t>31</t>
  </si>
  <si>
    <t>CONTRACT ID # 20-08-110</t>
  </si>
  <si>
    <t>081020-H03</t>
  </si>
  <si>
    <t>sfbac2020-</t>
  </si>
  <si>
    <t>2020-POBLACION-047</t>
  </si>
  <si>
    <t>08-310-2020</t>
  </si>
  <si>
    <t>300-20-07-0826</t>
  </si>
  <si>
    <t>BS 20-07-0811</t>
  </si>
  <si>
    <t>INFRA-2020-48</t>
  </si>
  <si>
    <t>B2020-101-A</t>
  </si>
  <si>
    <t>BB-01-08-2020-GOODS</t>
  </si>
  <si>
    <t>BS 20-07-0813</t>
  </si>
  <si>
    <t>2020-09-01-461PG</t>
  </si>
  <si>
    <t>BS 20-07-0817</t>
  </si>
  <si>
    <t>S2-VOD20-030</t>
  </si>
  <si>
    <t>101-2020-08-362</t>
  </si>
  <si>
    <t>PR No. 20-1250</t>
  </si>
  <si>
    <t>TNHS PR-2020-07-039</t>
  </si>
  <si>
    <t>2020-07-505</t>
  </si>
  <si>
    <t>B2020-103-A</t>
  </si>
  <si>
    <t>ITB2020010</t>
  </si>
  <si>
    <t>388548488</t>
  </si>
  <si>
    <t>PR-2008-893</t>
  </si>
  <si>
    <t>2020118</t>
  </si>
  <si>
    <t>ITB 008-055-2020</t>
  </si>
  <si>
    <t>32</t>
  </si>
  <si>
    <t>08-10-20-01</t>
  </si>
  <si>
    <t>G-2020-293</t>
  </si>
  <si>
    <t>081020-H04</t>
  </si>
  <si>
    <t>BS 20-07-0814</t>
  </si>
  <si>
    <t>IB No. K-2020-094(SC)</t>
  </si>
  <si>
    <t>B2020-102-A</t>
  </si>
  <si>
    <t>1011-20-08-09</t>
  </si>
  <si>
    <t>23-01-2020-08-841</t>
  </si>
  <si>
    <t>137</t>
  </si>
  <si>
    <t>PRRI-2020ISA-048</t>
  </si>
  <si>
    <t>LGU-BLU-20-08-064</t>
  </si>
  <si>
    <t>BS 20-07-0815</t>
  </si>
  <si>
    <t>ITB 21-2020</t>
  </si>
  <si>
    <t>IB 2020-08-013 NPPV</t>
  </si>
  <si>
    <t>BAC-GS-2020-08-015</t>
  </si>
  <si>
    <t>ITB # 2020-44</t>
  </si>
  <si>
    <t>. 2020-06-446</t>
  </si>
  <si>
    <t>2020-02-004</t>
  </si>
  <si>
    <t>S2-VOD20-028</t>
  </si>
  <si>
    <t>BS 20-07-0818</t>
  </si>
  <si>
    <t>2020-269</t>
  </si>
  <si>
    <t>LGU-BLU-20-08-063</t>
  </si>
  <si>
    <t>2020-176-I</t>
  </si>
  <si>
    <t>2020119</t>
  </si>
  <si>
    <t>BS 20-07-0816</t>
  </si>
  <si>
    <t>CONTRACT ID # 20-08-109</t>
  </si>
  <si>
    <t>sfbac2020-AP NO.03 S.2020</t>
  </si>
  <si>
    <t>LGU-ROX-CWC-23-2020</t>
  </si>
  <si>
    <t>2020-02-006</t>
  </si>
  <si>
    <t>IB No. K-2020-091(SC)</t>
  </si>
  <si>
    <t>ITB No. 20 - 30</t>
  </si>
  <si>
    <t>sfbac2020 AP NO.03 S. 2020</t>
  </si>
  <si>
    <t>57</t>
  </si>
  <si>
    <t>2020-POBLACION-048</t>
  </si>
  <si>
    <t>ITB # 2020-46</t>
  </si>
  <si>
    <t>IB No. K-2020-083(SC)</t>
  </si>
  <si>
    <t>SM-2020-02</t>
  </si>
  <si>
    <t>IB No. K-2020-086(SC)</t>
  </si>
  <si>
    <t>IB No. MM-2020-031</t>
  </si>
  <si>
    <t>MNP-GOODS-148-2020</t>
  </si>
  <si>
    <t>IB No. K-2020-092(SC)</t>
  </si>
  <si>
    <t>G-2020-292</t>
  </si>
  <si>
    <t>IB No. OE-2020-001</t>
  </si>
  <si>
    <t>IB-2020-10-48</t>
  </si>
  <si>
    <t>IB-2020-10-49</t>
  </si>
  <si>
    <t>08102020001</t>
  </si>
  <si>
    <t>ITB # 2020-48</t>
  </si>
  <si>
    <t>BCS-2020-0280</t>
  </si>
  <si>
    <t>IB-2020-10-46</t>
  </si>
  <si>
    <t>IB No. DE-2020-012</t>
  </si>
  <si>
    <t>ITB01-MOTORVEHICLE-MARIFSOQUE</t>
  </si>
  <si>
    <t>IB-2020-10-42</t>
  </si>
  <si>
    <t>IB-2020-10-41</t>
  </si>
  <si>
    <t>IB-2020-10-47</t>
  </si>
  <si>
    <t>2020-06-025</t>
  </si>
  <si>
    <t>101-20-08-001</t>
  </si>
  <si>
    <t>BCS-2020-0283</t>
  </si>
  <si>
    <t>20-08-0814</t>
  </si>
  <si>
    <t>PCHT PABAC2 001-20 LOT 1</t>
  </si>
  <si>
    <t>ITB # 2020-45</t>
  </si>
  <si>
    <t>MDF 2020 - 05</t>
  </si>
  <si>
    <t>BCS-2020-0282</t>
  </si>
  <si>
    <t>ITB # 2020-49</t>
  </si>
  <si>
    <t>2020 INFRA 035</t>
  </si>
  <si>
    <t>20MF0092</t>
  </si>
  <si>
    <t>IB 2020-19</t>
  </si>
  <si>
    <t>PR No. 14279 - 072120</t>
  </si>
  <si>
    <t>GS-P17-2020-09-02</t>
  </si>
  <si>
    <t>20MF0091</t>
  </si>
  <si>
    <t>NCB Publication No. 2020- 32</t>
  </si>
  <si>
    <t>BCS-2020-0281</t>
  </si>
  <si>
    <t>BAC-HO GS No. 2020-0362 dated 18 June 2020</t>
  </si>
  <si>
    <t>QM PABAC 033-20</t>
  </si>
  <si>
    <t>CA Procurement of Laptops -2020 - 004</t>
  </si>
  <si>
    <t>2020-02-003</t>
  </si>
  <si>
    <t>POCW-08-2020</t>
  </si>
  <si>
    <t>2020 INFRA 033</t>
  </si>
  <si>
    <t>NCB Publication No. 2020- 31</t>
  </si>
  <si>
    <t>003-infra-2020</t>
  </si>
  <si>
    <t>PCHT PABAC2 001-20 LOT 3</t>
  </si>
  <si>
    <t>20MF0090</t>
  </si>
  <si>
    <t>20GKD0004</t>
  </si>
  <si>
    <t>GOODS20-08-053</t>
  </si>
  <si>
    <t>POCW-07-2020</t>
  </si>
  <si>
    <t>20J00217</t>
  </si>
  <si>
    <t>2020-03-PR024A</t>
  </si>
  <si>
    <t>GOODS20-08-054</t>
  </si>
  <si>
    <t>INFRA20–08–060</t>
  </si>
  <si>
    <t>LGU-Banayoyo, ISur 2020-08-065</t>
  </si>
  <si>
    <t>LGU-Banayoyo, ISur 2020-08-067</t>
  </si>
  <si>
    <t>LGU-Banayoyo, ISur-2020-08-066</t>
  </si>
  <si>
    <t>LGU-Banayoyo, ISur 2020-08-068</t>
  </si>
  <si>
    <t>20GFE0018</t>
  </si>
  <si>
    <t>ITB 74</t>
  </si>
  <si>
    <t>IB NO. 038-20</t>
  </si>
  <si>
    <t>PCHT PABAC2 001-20 LOT 2</t>
  </si>
  <si>
    <t>sfbac2020 AP NO. 02 S. 2020</t>
  </si>
  <si>
    <t>TUPBACEQ-PB-07-CBP-F164-20-G</t>
  </si>
  <si>
    <t>PB 2020-047</t>
  </si>
  <si>
    <t>SA-INF-2020-08-0007</t>
  </si>
  <si>
    <t>SF Infra 2020-17</t>
  </si>
  <si>
    <t>SF Infra 2020-16</t>
  </si>
  <si>
    <t>20GD00007</t>
  </si>
  <si>
    <t>20-001</t>
  </si>
  <si>
    <t>angel127</t>
  </si>
  <si>
    <t>2020-07-22</t>
  </si>
  <si>
    <t>2020-09-01-063CW</t>
  </si>
  <si>
    <t>SF Infra 2020-15</t>
  </si>
  <si>
    <t>PB2020-05</t>
  </si>
  <si>
    <t>PB2020-06</t>
  </si>
  <si>
    <t>CNU 20-08-247</t>
  </si>
  <si>
    <t>LGU-Banayoyo, ISur 2020-08-069</t>
  </si>
  <si>
    <t>ITB No. GOP/20-DSWD-046</t>
  </si>
  <si>
    <t>LGU-Banayoyo, ISur 2020-08-070</t>
  </si>
  <si>
    <t>Goods-036A-2020</t>
  </si>
  <si>
    <t>8-10-20-ID3</t>
  </si>
  <si>
    <t>ITB No. 20-08-18</t>
  </si>
  <si>
    <t>SA-GOODS-2020-08-0009</t>
  </si>
  <si>
    <t>ITB 2020-017</t>
  </si>
  <si>
    <t>Goods-036B-2020</t>
  </si>
  <si>
    <t>2020-07-132(06207512)</t>
  </si>
  <si>
    <t>cal08042020-06</t>
  </si>
  <si>
    <t>CBR - 17</t>
  </si>
  <si>
    <t>2020-07-0376</t>
  </si>
  <si>
    <t>INFRA-2020-025</t>
  </si>
  <si>
    <t>INFRA-2020-026</t>
  </si>
  <si>
    <t>20AA0345</t>
  </si>
  <si>
    <t>PSU ITB 2007-102</t>
  </si>
  <si>
    <t>TINOC-2020-07-GOODS</t>
  </si>
  <si>
    <t>POW-2020-01</t>
  </si>
  <si>
    <t>CBR-15</t>
  </si>
  <si>
    <t>SF Infra 2020-18</t>
  </si>
  <si>
    <t>CAR-ADN-2020-102</t>
  </si>
  <si>
    <t>20CSAI003</t>
  </si>
  <si>
    <t>PB-INF 2020-004</t>
  </si>
  <si>
    <t>ITB 20-0077</t>
  </si>
  <si>
    <t>793</t>
  </si>
  <si>
    <t>ITB 20-0076</t>
  </si>
  <si>
    <t>2008-0685-RICTMS</t>
  </si>
  <si>
    <t>PR No. 2020-07-285</t>
  </si>
  <si>
    <t>cgb2020-311</t>
  </si>
  <si>
    <t>2020-0100</t>
  </si>
  <si>
    <t>INFRA-2020-027</t>
  </si>
  <si>
    <t>INFRA 2020-08</t>
  </si>
  <si>
    <t>B-8661-20-19</t>
  </si>
  <si>
    <t>REPAIRREGLPROVLOFFICELEGAZPI</t>
  </si>
  <si>
    <t>IP-2020-06</t>
  </si>
  <si>
    <t>SF Goods 005</t>
  </si>
  <si>
    <t>2020-0101</t>
  </si>
  <si>
    <t>INFRA-2020-028</t>
  </si>
  <si>
    <t>20GFH0025</t>
  </si>
  <si>
    <t>PBG-2020-34</t>
  </si>
  <si>
    <t>STC-INFRA-008-2020</t>
  </si>
  <si>
    <t>Aklan BAC ITB 444 Series of 2020</t>
  </si>
  <si>
    <t>GDS-397-2020</t>
  </si>
  <si>
    <t>792</t>
  </si>
  <si>
    <t>INFRA 2020-08A</t>
  </si>
  <si>
    <t>GDS-398-2020</t>
  </si>
  <si>
    <t>2020.08.07.1</t>
  </si>
  <si>
    <t>2020.08.07</t>
  </si>
  <si>
    <t>101-2020</t>
  </si>
  <si>
    <t>ITB 20-0078</t>
  </si>
  <si>
    <t>Goods-036C-2020</t>
  </si>
  <si>
    <t>20-05-3125</t>
  </si>
  <si>
    <t>033-08-2020</t>
  </si>
  <si>
    <t>004-infra-2020</t>
  </si>
  <si>
    <t>Goods-036D-2020</t>
  </si>
  <si>
    <t>023-2020</t>
  </si>
  <si>
    <t>B-G-2020-113</t>
  </si>
  <si>
    <t>B-G-2020-112</t>
  </si>
  <si>
    <t>2020-G-49</t>
  </si>
  <si>
    <t>CP 2020-58 B</t>
  </si>
  <si>
    <t>B-G-2020-114</t>
  </si>
  <si>
    <t>20N00116</t>
  </si>
  <si>
    <t>20CSBF0004</t>
  </si>
  <si>
    <t>202055</t>
  </si>
  <si>
    <t>3QOS-07-20</t>
  </si>
  <si>
    <t>08312020-119</t>
  </si>
  <si>
    <t>MUNPINCE-2008-146</t>
  </si>
  <si>
    <t>ITB2020-009</t>
  </si>
  <si>
    <t>BARASRIZAL2020-035</t>
  </si>
  <si>
    <t>BARASRIZAL2020-034</t>
  </si>
  <si>
    <t>202057</t>
  </si>
  <si>
    <t>TALB-08-12-2020</t>
  </si>
  <si>
    <t>Infra Projects 24-2020</t>
  </si>
  <si>
    <t>B-G-2020-115</t>
  </si>
  <si>
    <t>TALB-08-11-2020</t>
  </si>
  <si>
    <t>ITB INFRA-033-2020</t>
  </si>
  <si>
    <t>SVP 20-1252-3</t>
  </si>
  <si>
    <t>2020-005G</t>
  </si>
  <si>
    <t>ITB2020-006</t>
  </si>
  <si>
    <t>Aklan BAC ITB 426 Series of 2020</t>
  </si>
  <si>
    <t>202056</t>
  </si>
  <si>
    <t>ITB2020-007</t>
  </si>
  <si>
    <t>ITB 05-002-20</t>
  </si>
  <si>
    <t>08072020</t>
  </si>
  <si>
    <t>MOP-2020-07</t>
  </si>
  <si>
    <t>ITB2020-010</t>
  </si>
  <si>
    <t>MOP-2020-05</t>
  </si>
  <si>
    <t>MOP-2020-04</t>
  </si>
  <si>
    <t>CW-ALPIP-05-2020</t>
  </si>
  <si>
    <t>ITB-2020-08-04 CW</t>
  </si>
  <si>
    <t>INFRA2020-CMD-021 Construction of Fire Hydrant Sys</t>
  </si>
  <si>
    <t>MOP-2020-06</t>
  </si>
  <si>
    <t>San Jose 2020-01</t>
  </si>
  <si>
    <t>RFQ.2020-010</t>
  </si>
  <si>
    <t xml:space="preserve">CW-APAYAO-L-01-2020/ NABUANGAN - CUPIZ  MAGLANGAT </t>
  </si>
  <si>
    <t>INFRA 2020-18</t>
  </si>
  <si>
    <t>ITB-2020-08-03 bayambang</t>
  </si>
  <si>
    <t>TCW-2020-08-05-045</t>
  </si>
  <si>
    <t>2020-09-11</t>
  </si>
  <si>
    <t>BAC-GS 2020-234 (PR No. 1000032853)</t>
  </si>
  <si>
    <t>IB-2020-10-43</t>
  </si>
  <si>
    <t>DTI PB-20-014</t>
  </si>
  <si>
    <t>2020-08-MAO-GF-0032</t>
  </si>
  <si>
    <t>IB-2020-10-45</t>
  </si>
  <si>
    <t>ITB # 2020-47</t>
  </si>
  <si>
    <t>MOP-2020-11</t>
  </si>
  <si>
    <t>2020-FOL-LANDFILL-001</t>
  </si>
  <si>
    <t>MOP-2020-09</t>
  </si>
  <si>
    <t>CGB-2020-08-004</t>
  </si>
  <si>
    <t>MP-080920-076</t>
  </si>
  <si>
    <t>PB No. 20-025-1</t>
  </si>
  <si>
    <t>DOH4A-ITB-2020-GS-009C-1 HFEP EQUIPMENT PACKAGE 3</t>
  </si>
  <si>
    <t>MP-080920-074</t>
  </si>
  <si>
    <t>IB-2020-IX-01-01 CONSTRUCTION OF FEEDMILL</t>
  </si>
  <si>
    <t>LGU-100-2020-08-857</t>
  </si>
  <si>
    <t>07-2020-1084</t>
  </si>
  <si>
    <t>8-20-02</t>
  </si>
  <si>
    <t>2020-FOL-3Q</t>
  </si>
  <si>
    <t>MP-080920-073</t>
  </si>
  <si>
    <t>CY 2020-08-G001</t>
  </si>
  <si>
    <t>IB-2020-10-44</t>
  </si>
  <si>
    <t>20-07-597</t>
  </si>
  <si>
    <t>bir pb 2020-32</t>
  </si>
  <si>
    <t>MP-080920-075</t>
  </si>
  <si>
    <t>2020-G03</t>
  </si>
  <si>
    <t>LGU-100-2020-08-858</t>
  </si>
  <si>
    <t>SSU-20-08-08</t>
  </si>
  <si>
    <t>MUNPINCE-2008-145</t>
  </si>
  <si>
    <t>19-11-033</t>
  </si>
  <si>
    <t>2020-07-017</t>
  </si>
  <si>
    <t>SSU-20-08-09</t>
  </si>
  <si>
    <t>LGU-100-2020-08-G-855</t>
  </si>
  <si>
    <t>PB20200807-045</t>
  </si>
  <si>
    <t>ITB-2020-081</t>
  </si>
  <si>
    <t>8989899</t>
  </si>
  <si>
    <t>ITB NO. 2020-0019</t>
  </si>
  <si>
    <t>20GM0008(RE-BID)</t>
  </si>
  <si>
    <t>ITB-2020-107</t>
  </si>
  <si>
    <t>jayon-B-08-13-2020</t>
  </si>
  <si>
    <t>PB-2020-184-020</t>
  </si>
  <si>
    <t>2020-82</t>
  </si>
  <si>
    <t>PB-GS-2020-013</t>
  </si>
  <si>
    <t>DA3-2020-08-04-22</t>
  </si>
  <si>
    <t>MP-080820-058</t>
  </si>
  <si>
    <t>PB20200807-046</t>
  </si>
  <si>
    <t>DA3-2020-08-04-23</t>
  </si>
  <si>
    <t>jayon-Bac-B-08-14-2020</t>
  </si>
  <si>
    <t>20GM0011</t>
  </si>
  <si>
    <t>101-20-08-266</t>
  </si>
  <si>
    <t>101-20-08-265</t>
  </si>
  <si>
    <t>PB-GS-2020-012</t>
  </si>
  <si>
    <t>infra 2020-08-001</t>
  </si>
  <si>
    <t>20gm0012</t>
  </si>
  <si>
    <t>2020-069</t>
  </si>
  <si>
    <t>MNE-G-2020-08-21</t>
  </si>
  <si>
    <t>2020-068</t>
  </si>
  <si>
    <t>rpy2020-08-01</t>
  </si>
  <si>
    <t>BAC2020-08</t>
  </si>
  <si>
    <t>LIMAO-BAC-14-20 (2)</t>
  </si>
  <si>
    <t>goods 2020-08-001</t>
  </si>
  <si>
    <t>LIMAO-BAC-15-20 (2)</t>
  </si>
  <si>
    <t>jayon-Bac-B-08-15-2020</t>
  </si>
  <si>
    <t>vict-eps20-041</t>
  </si>
  <si>
    <t>vict-eps20-043</t>
  </si>
  <si>
    <t>BAC-AS-2020-07-27</t>
  </si>
  <si>
    <t>vict-eps20-040</t>
  </si>
  <si>
    <t>vict-eps20-042</t>
  </si>
  <si>
    <t>PB-CW-2020-041</t>
  </si>
  <si>
    <t>20gm0013</t>
  </si>
  <si>
    <t>vict-eps20-044</t>
  </si>
  <si>
    <t>PB-CW-2020-040</t>
  </si>
  <si>
    <t>PB-CW-2020-039</t>
  </si>
  <si>
    <t>PB-CW-2020-036</t>
  </si>
  <si>
    <t>20OC00118</t>
  </si>
  <si>
    <t>2020-541</t>
  </si>
  <si>
    <t>104-20</t>
  </si>
  <si>
    <t>20OC0117</t>
  </si>
  <si>
    <t>2020080701</t>
  </si>
  <si>
    <t>20GOC0011</t>
  </si>
  <si>
    <t>103-20</t>
  </si>
  <si>
    <t>ITB NO. 013 OF 2020</t>
  </si>
  <si>
    <t>LGU-BALINGASAG-9005-20-087</t>
  </si>
  <si>
    <t>15</t>
  </si>
  <si>
    <t>ITB NO. 014 OF 2020</t>
  </si>
  <si>
    <t>00166-2020</t>
  </si>
  <si>
    <t>LGU-2020-047</t>
  </si>
  <si>
    <t>2020-255-2</t>
  </si>
  <si>
    <t>PB-2020-184-021</t>
  </si>
  <si>
    <t>vict-eps20-039</t>
  </si>
  <si>
    <t>2020GUADALUPE001</t>
  </si>
  <si>
    <t>PB-17-08-2020-Goods</t>
  </si>
  <si>
    <t>PB-15-07-20-Goods</t>
  </si>
  <si>
    <t>08-107-2020</t>
  </si>
  <si>
    <t>INFR-2020-11</t>
  </si>
  <si>
    <t>2020-02-129</t>
  </si>
  <si>
    <t>SOLANO 095-2020</t>
  </si>
  <si>
    <t>PB-14-07-2020-Goods</t>
  </si>
  <si>
    <t>20OC0123</t>
  </si>
  <si>
    <t>PB-13-07-2020-Goods</t>
  </si>
  <si>
    <t>2020-02-0075</t>
  </si>
  <si>
    <t>SJADS GOODS 20-13</t>
  </si>
  <si>
    <t>SDOCoM-Project No. 2020-001-G (Reproduction of Gr4</t>
  </si>
  <si>
    <t>20OC0122</t>
  </si>
  <si>
    <t>ITB No. GOP/20-DSWD-045-A</t>
  </si>
  <si>
    <t>2020-040 Risograph Machine</t>
  </si>
  <si>
    <t>BAC PGCS-027-2020</t>
  </si>
  <si>
    <t>GS-2020-09</t>
  </si>
  <si>
    <t>GDS-2020-16</t>
  </si>
  <si>
    <t>197-2020</t>
  </si>
  <si>
    <t>014-20</t>
  </si>
  <si>
    <t>20CC0214</t>
  </si>
  <si>
    <t>ITB 2020-47</t>
  </si>
  <si>
    <t>cb-infra-2020-10</t>
  </si>
  <si>
    <t>196-2020</t>
  </si>
  <si>
    <t>100-1011-2020-07-579</t>
  </si>
  <si>
    <t>cb-infra-2020-08</t>
  </si>
  <si>
    <t>cb-infra-2020-09</t>
  </si>
  <si>
    <t>OMM-2020-02</t>
  </si>
  <si>
    <t>20PE0092</t>
  </si>
  <si>
    <t>2020-3199</t>
  </si>
  <si>
    <t>100-1011-2020-07-577</t>
  </si>
  <si>
    <t>MG-A7M20-119</t>
  </si>
  <si>
    <t>PR0053-20 PSWDO</t>
  </si>
  <si>
    <t>InTB-PGAPEO2020OIP-CW3</t>
  </si>
  <si>
    <t>S2-MPP20-017</t>
  </si>
  <si>
    <t>CATCAM-2020-25</t>
  </si>
  <si>
    <t>06-2020-INFRA</t>
  </si>
  <si>
    <t>B-20-33</t>
  </si>
  <si>
    <t>20H00082</t>
  </si>
  <si>
    <t>20GH00003</t>
  </si>
  <si>
    <t>S2-CMD20-002</t>
  </si>
  <si>
    <t>MG-A7T20-064</t>
  </si>
  <si>
    <t>MG-A7M20-122</t>
  </si>
  <si>
    <t>20HC0190</t>
  </si>
  <si>
    <t>2020-142-2</t>
  </si>
  <si>
    <t>10-2020</t>
  </si>
  <si>
    <t>SUPPLY AND DELIVERY OF VARIOUS ELECTRICAL SPARE PA</t>
  </si>
  <si>
    <t>2020LGU-08-68</t>
  </si>
  <si>
    <t>100-1011-2020-07-578</t>
  </si>
  <si>
    <t>PGLDN 101-20-07-1409</t>
  </si>
  <si>
    <t>POD20-131</t>
  </si>
  <si>
    <t>PGLDN 101-20-06 1233</t>
  </si>
  <si>
    <t>2020-08-264</t>
  </si>
  <si>
    <t>IB No. 2020-08</t>
  </si>
  <si>
    <t>SGLU-B-2020-08-025</t>
  </si>
  <si>
    <t>POD20-121</t>
  </si>
  <si>
    <t>S2-SVP20-012</t>
  </si>
  <si>
    <t>SGLU-B-2020-08-026</t>
  </si>
  <si>
    <t>S2-MPP20-018</t>
  </si>
  <si>
    <t>S2-TAG20-010</t>
  </si>
  <si>
    <t>202008044</t>
  </si>
  <si>
    <t>POD20-134</t>
  </si>
  <si>
    <t>20-07-150</t>
  </si>
  <si>
    <t>PB-2020-002</t>
  </si>
  <si>
    <t>20HJ0122</t>
  </si>
  <si>
    <t>20HJ0123</t>
  </si>
  <si>
    <t>S2-GIG20-011</t>
  </si>
  <si>
    <t>POD20-129</t>
  </si>
  <si>
    <t>20HL0115</t>
  </si>
  <si>
    <t>MPG-B1-2020-373 2nd Rebid</t>
  </si>
  <si>
    <t>POD20-127</t>
  </si>
  <si>
    <t>2020-0096</t>
  </si>
  <si>
    <t>LGU-100-2020-08-856</t>
  </si>
  <si>
    <t>20GIL0056</t>
  </si>
  <si>
    <t>IB No. 2020-09</t>
  </si>
  <si>
    <t>S2-GUI20-012</t>
  </si>
  <si>
    <t>S2-BH220-006</t>
  </si>
  <si>
    <t>S2-CAL20-016</t>
  </si>
  <si>
    <t>POD20-132</t>
  </si>
  <si>
    <t>S2-GIG20-008</t>
  </si>
  <si>
    <t>G3-20-1522</t>
  </si>
  <si>
    <t>20DQ0134</t>
  </si>
  <si>
    <t>20HJ0121</t>
  </si>
  <si>
    <t>20HH0150</t>
  </si>
  <si>
    <t>POD20-139</t>
  </si>
  <si>
    <t>POD20-145</t>
  </si>
  <si>
    <t>PGLDN 101-20-01-0223</t>
  </si>
  <si>
    <t>20HL0114</t>
  </si>
  <si>
    <t>20DQ0132</t>
  </si>
  <si>
    <t>20DQ0133</t>
  </si>
  <si>
    <t>20-07-152</t>
  </si>
  <si>
    <t>GS-P16-2020-09-02</t>
  </si>
  <si>
    <t>20-037</t>
  </si>
  <si>
    <t>20HJ0124</t>
  </si>
  <si>
    <t>20HJ0126</t>
  </si>
  <si>
    <t>SGLU-B-2020-08-024</t>
  </si>
  <si>
    <t>PGLDN 101-20-07-1284</t>
  </si>
  <si>
    <t>SJADS INFRA 20-10</t>
  </si>
  <si>
    <t>IB-GOODS-2020-04A Procurement of Medical, Dental a</t>
  </si>
  <si>
    <t>MPG-B1-2020-344</t>
  </si>
  <si>
    <t>BCS-2020-0275</t>
  </si>
  <si>
    <t>20-07-151</t>
  </si>
  <si>
    <t>2020-B1-07-026</t>
  </si>
  <si>
    <t>S2-BIR20-011</t>
  </si>
  <si>
    <t>20HH0149</t>
  </si>
  <si>
    <t>2020-B1-02</t>
  </si>
  <si>
    <t>SUPPLY AND DELIVERY OF VARIOUS SIZES HDPE PIPE</t>
  </si>
  <si>
    <t>2020-B1-07-027</t>
  </si>
  <si>
    <t>2020-B1-06-022</t>
  </si>
  <si>
    <t>2020-B2-07-025</t>
  </si>
  <si>
    <t>G002-08-2020</t>
  </si>
  <si>
    <t>2020-221</t>
  </si>
  <si>
    <t>ITB-2020-08-008</t>
  </si>
  <si>
    <t>GO-2020-08-145</t>
  </si>
  <si>
    <t>2020-Goods-003</t>
  </si>
  <si>
    <t>GEPS-21-2020</t>
  </si>
  <si>
    <t>2020-B2-07-024</t>
  </si>
  <si>
    <t>IB NO. CW 2020 - 082-B</t>
  </si>
  <si>
    <t>20GD0113</t>
  </si>
  <si>
    <t>GO-2020-08-144</t>
  </si>
  <si>
    <t>GEPS-23-2020</t>
  </si>
  <si>
    <t>GEPS-22-2020</t>
  </si>
  <si>
    <t>IB NO. CW 2020 - 109-A</t>
  </si>
  <si>
    <t>IB NO. CW 2020 - 111-A</t>
  </si>
  <si>
    <t>IB NO. CW 2020 - 113-A</t>
  </si>
  <si>
    <t>IB NO. CW 2020 –  110-A</t>
  </si>
  <si>
    <t>2020-08-28-060CW</t>
  </si>
  <si>
    <t>GO-2020-08-143</t>
  </si>
  <si>
    <t>TCW-2020-08-03-043</t>
  </si>
  <si>
    <t>2020-08-28-061CW</t>
  </si>
  <si>
    <t>IB NO. CW 2020 - 108-A</t>
  </si>
  <si>
    <t>2020-08-28-062CW</t>
  </si>
  <si>
    <t>AIP2020-DAG-2020(014)</t>
  </si>
  <si>
    <t>CAR-ADN-2020-099</t>
  </si>
  <si>
    <t>IB NO. CW 2020 - 112-A</t>
  </si>
  <si>
    <t>MG-TSE20-031..INST. OF ELECT'L. PANEL, CIRCUIT BRE</t>
  </si>
  <si>
    <t>20MADD0034</t>
  </si>
  <si>
    <t>CAR-ADN-2020-097</t>
  </si>
  <si>
    <t>20HL0113</t>
  </si>
  <si>
    <t xml:space="preserve">AMP SVP-S NO: 20-08-0430 One (1) Lot Managed WiFi </t>
  </si>
  <si>
    <t>CDH-20-0826-B</t>
  </si>
  <si>
    <t>2020-08-05-03</t>
  </si>
  <si>
    <t>15-2020_INFR</t>
  </si>
  <si>
    <t>2020-08-05-02</t>
  </si>
  <si>
    <t>CDH-20-0823-B</t>
  </si>
  <si>
    <t>23-2020_INFR</t>
  </si>
  <si>
    <t>ITB 20-08-13</t>
  </si>
  <si>
    <t>CDH-20-0824-B</t>
  </si>
  <si>
    <t>20-03-0163</t>
  </si>
  <si>
    <t>COB BAC Goods 2020-013-01</t>
  </si>
  <si>
    <t>CAR-ADN-2020-098</t>
  </si>
  <si>
    <t>20HK0116</t>
  </si>
  <si>
    <t>SF Infra 2020-14</t>
  </si>
  <si>
    <t>MG-A5M20-071..RE-TUBING OF 7 SETS AIR COOLER AG4</t>
  </si>
  <si>
    <t>006-08-2020</t>
  </si>
  <si>
    <t>20-08-0385</t>
  </si>
  <si>
    <t>B-047-2020</t>
  </si>
  <si>
    <t>SF Infra 2020-13</t>
  </si>
  <si>
    <t xml:space="preserve">MG-A7C20-027..FILTER GOVERNOR, UNITS 3, 4 &amp; 5 FOR </t>
  </si>
  <si>
    <t>MA-A2M20-003..REHAB OF GANTRY CRANE, AGUS 1 HEP</t>
  </si>
  <si>
    <t>ITB-2020-08-009</t>
  </si>
  <si>
    <t>MA-A2H20-019..TRANSDUCER KW MULTI PROGRAMMABLE</t>
  </si>
  <si>
    <t>20DB0140</t>
  </si>
  <si>
    <t>20HK0113</t>
  </si>
  <si>
    <t>SF Infra 2020-12</t>
  </si>
  <si>
    <t>GO-2020-08-149</t>
  </si>
  <si>
    <t>GO-2020-08-148</t>
  </si>
  <si>
    <t>20-07-1191-SEF</t>
  </si>
  <si>
    <t>ITB No. 20-056 Supply and Delivery of Various Labo</t>
  </si>
  <si>
    <t>100-20-01-001</t>
  </si>
  <si>
    <t>20DB0141</t>
  </si>
  <si>
    <t>300-20-08-002</t>
  </si>
  <si>
    <t xml:space="preserve">MG-A5C20-002..SUBMERSIBLE PUMP FOR POTABLE WATER, </t>
  </si>
  <si>
    <t>100-20-08-0948</t>
  </si>
  <si>
    <t>GO-2020-08-147</t>
  </si>
  <si>
    <t>20-07-373</t>
  </si>
  <si>
    <t>19-12-0532</t>
  </si>
  <si>
    <t>2020-08-0002</t>
  </si>
  <si>
    <t>LF 2020-002</t>
  </si>
  <si>
    <t>100-20-07-206</t>
  </si>
  <si>
    <t>PR NO.2020-02-0001</t>
  </si>
  <si>
    <t>100-20-07-204</t>
  </si>
  <si>
    <t>ITB-2020-08-055</t>
  </si>
  <si>
    <t>BSU - PROJECT NO. 2020- 292</t>
  </si>
  <si>
    <t>INFRA 2020-42</t>
  </si>
  <si>
    <t>COB BAC Goods 2020-013-02</t>
  </si>
  <si>
    <t>GO-2020-08-146</t>
  </si>
  <si>
    <t>2020-07-110</t>
  </si>
  <si>
    <t>2020-B1-06-023</t>
  </si>
  <si>
    <t>SF Infra 2020-11</t>
  </si>
  <si>
    <t>ITB No. 20-074   RE-BIDDING OF ONE (1) LOT SUPPLY</t>
  </si>
  <si>
    <t>20-07-0761</t>
  </si>
  <si>
    <t>INFRA 2020-43</t>
  </si>
  <si>
    <t>MPG-B1-2020-244</t>
  </si>
  <si>
    <t>2020-07-0328</t>
  </si>
  <si>
    <t>20CSBD001</t>
  </si>
  <si>
    <t>202008-01</t>
  </si>
  <si>
    <t>20GD0112</t>
  </si>
  <si>
    <t>RFQ-060</t>
  </si>
  <si>
    <t>INFRA 2020-45</t>
  </si>
  <si>
    <t>20HK0112</t>
  </si>
  <si>
    <t>QNV-044-2020</t>
  </si>
  <si>
    <t>LGU ORANI 2020-08-004</t>
  </si>
  <si>
    <t>074-20</t>
  </si>
  <si>
    <t>ITB-Goods-2020-08-041</t>
  </si>
  <si>
    <t>MAR-00042I-2020</t>
  </si>
  <si>
    <t>QNV-041-2020</t>
  </si>
  <si>
    <t>QNV-043-2020</t>
  </si>
  <si>
    <t>20HK0114</t>
  </si>
  <si>
    <t xml:space="preserve">ITB No. 20-075  RE-BIDDING OF DESIGN AND BUILD OF </t>
  </si>
  <si>
    <t>BAC-HOJ-005-21</t>
  </si>
  <si>
    <t>08-06-2020-317</t>
  </si>
  <si>
    <t>INFRA 2020-47</t>
  </si>
  <si>
    <t>08202002</t>
  </si>
  <si>
    <t>08-06-2020-315</t>
  </si>
  <si>
    <t>20L00174</t>
  </si>
  <si>
    <t>08-06-2020-316</t>
  </si>
  <si>
    <t>MAR-00043I-2020</t>
  </si>
  <si>
    <t>INFRA 2020-46</t>
  </si>
  <si>
    <t>2020-B1-03-009</t>
  </si>
  <si>
    <t>08-06-2020-314</t>
  </si>
  <si>
    <t>2008-002</t>
  </si>
  <si>
    <t>GOODS-2020-12</t>
  </si>
  <si>
    <t>2020 Caib 136</t>
  </si>
  <si>
    <t>08-06-2020-313</t>
  </si>
  <si>
    <t>2020-07-099</t>
  </si>
  <si>
    <t>2020-07-0290</t>
  </si>
  <si>
    <t>MAR-00045I-2020</t>
  </si>
  <si>
    <t>RFQ-061</t>
  </si>
  <si>
    <t>ITB No. 20-018</t>
  </si>
  <si>
    <t>08-06-2020-312</t>
  </si>
  <si>
    <t>ITB 20-098</t>
  </si>
  <si>
    <t>6000840</t>
  </si>
  <si>
    <t>20GFI0003</t>
  </si>
  <si>
    <t>ITB 20-097</t>
  </si>
  <si>
    <t>2020-08-28-454PG</t>
  </si>
  <si>
    <t>08-06-2020-311</t>
  </si>
  <si>
    <t>20200806-3</t>
  </si>
  <si>
    <t>BGHMCPB-2020-26-001</t>
  </si>
  <si>
    <t>CW20-21</t>
  </si>
  <si>
    <t>2020-0427 dated 03 July 2020</t>
  </si>
  <si>
    <t>SH-027-2020</t>
  </si>
  <si>
    <t>MAR-00046I-2020</t>
  </si>
  <si>
    <t>20-09-052</t>
  </si>
  <si>
    <t>20GFO0026</t>
  </si>
  <si>
    <t>20200806-2</t>
  </si>
  <si>
    <t>ITB No. 20-020</t>
  </si>
  <si>
    <t>BS20-08-ME04</t>
  </si>
  <si>
    <t>20200806-1</t>
  </si>
  <si>
    <t>100-2020-goods-501</t>
  </si>
  <si>
    <t>BS20-08-ME05</t>
  </si>
  <si>
    <t>20200806-4</t>
  </si>
  <si>
    <t>2020-128</t>
  </si>
  <si>
    <t>BS20-07-0799</t>
  </si>
  <si>
    <t>RFQ 2020-1</t>
  </si>
  <si>
    <t>2020-08-28-452PG</t>
  </si>
  <si>
    <t>LDN-2020-13</t>
  </si>
  <si>
    <t>20BD0138</t>
  </si>
  <si>
    <t>ITB No. 20-019</t>
  </si>
  <si>
    <t>BGHMCPB-2020-26-004</t>
  </si>
  <si>
    <t>20MA0132</t>
  </si>
  <si>
    <t>2020-07-0519 DRMD</t>
  </si>
  <si>
    <t>ITB-2020-38</t>
  </si>
  <si>
    <t>BGHMCPB-2020-26-003</t>
  </si>
  <si>
    <t>BS20-07-0796</t>
  </si>
  <si>
    <t>20MA0131</t>
  </si>
  <si>
    <t>ITB 20CL0089</t>
  </si>
  <si>
    <t>2020-08-28-453PG</t>
  </si>
  <si>
    <t>BS20-07-0790</t>
  </si>
  <si>
    <t>bacgal-58-2020</t>
  </si>
  <si>
    <t>BGHMCPB-2020-26-002</t>
  </si>
  <si>
    <t>Publication No. 2020-08</t>
  </si>
  <si>
    <t>PR20-08-050</t>
  </si>
  <si>
    <t>ITB-2020-37</t>
  </si>
  <si>
    <t>20CSHJ01</t>
  </si>
  <si>
    <t>BS20-07-0808</t>
  </si>
  <si>
    <t>2020-08-114</t>
  </si>
  <si>
    <t>BS20-07-0800</t>
  </si>
  <si>
    <t>AMP SVP-D NO: 20-08-0378C</t>
  </si>
  <si>
    <t>20-08-053</t>
  </si>
  <si>
    <t>GOODS-2020-13</t>
  </si>
  <si>
    <t>BS20-07-0791</t>
  </si>
  <si>
    <t>BPB 2020-029</t>
  </si>
  <si>
    <t>ITB 20-096</t>
  </si>
  <si>
    <t>SN-2020-08-018</t>
  </si>
  <si>
    <t>MAR-00044I-2020</t>
  </si>
  <si>
    <t>PEO-2020-1327</t>
  </si>
  <si>
    <t>SD-Engineering2020-055</t>
  </si>
  <si>
    <t>SD-Engineering2019-054</t>
  </si>
  <si>
    <t>20GCH0023</t>
  </si>
  <si>
    <t>2020-08-28-451PG</t>
  </si>
  <si>
    <t>QNV-039-2020</t>
  </si>
  <si>
    <t>INFRA 2020-48</t>
  </si>
  <si>
    <t>BAC3-NIH-IMBB-PR10759</t>
  </si>
  <si>
    <t>ITB-SSS-GOODS-2020-024</t>
  </si>
  <si>
    <t>CATCAM-2020-24</t>
  </si>
  <si>
    <t>2020-2708-018</t>
  </si>
  <si>
    <t>SJADS GOODS 20-14</t>
  </si>
  <si>
    <t>INFRA 2020-44</t>
  </si>
  <si>
    <t>SVP-VJLN-2020-07-0785 GAA</t>
  </si>
  <si>
    <t>PPS-2020-0161</t>
  </si>
  <si>
    <t>SD-Engineering2020-056</t>
  </si>
  <si>
    <t>BAC-PGCS-019-2020</t>
  </si>
  <si>
    <t>100-1011-2020-07-576</t>
  </si>
  <si>
    <t>ITB-20-06-003</t>
  </si>
  <si>
    <t>20OC0121</t>
  </si>
  <si>
    <t>Bmadasigon 2020-08</t>
  </si>
  <si>
    <t>20-441</t>
  </si>
  <si>
    <t>nlp2020-22</t>
  </si>
  <si>
    <t>100-20-08-93</t>
  </si>
  <si>
    <t>20PE0091</t>
  </si>
  <si>
    <t>20-389</t>
  </si>
  <si>
    <t>20GFL0006</t>
  </si>
  <si>
    <t>ITB No. 20-29</t>
  </si>
  <si>
    <t>SVP No. 2020-038</t>
  </si>
  <si>
    <t>20-387</t>
  </si>
  <si>
    <t>20MA0137</t>
  </si>
  <si>
    <t>2020-08-28-455PG</t>
  </si>
  <si>
    <t>20BD0139</t>
  </si>
  <si>
    <t>ITB-2020-39</t>
  </si>
  <si>
    <t>BS20-08-OE008</t>
  </si>
  <si>
    <t>LDN-CMGP-02</t>
  </si>
  <si>
    <t>20MA0134</t>
  </si>
  <si>
    <t>20MA0135</t>
  </si>
  <si>
    <t>HS-5020308000-089-2020</t>
  </si>
  <si>
    <t>PB-CW-2020-030</t>
  </si>
  <si>
    <t>HS-5020308000-088-2020</t>
  </si>
  <si>
    <t>DM-BAC-2020-0061</t>
  </si>
  <si>
    <t>20DJ0099 (Re-Advertised)</t>
  </si>
  <si>
    <t>20MA0136</t>
  </si>
  <si>
    <t>20CSA011</t>
  </si>
  <si>
    <t>Goods-035B-2020</t>
  </si>
  <si>
    <t>INFR-20-019</t>
  </si>
  <si>
    <t>SB-2020-029</t>
  </si>
  <si>
    <t>Goods-035A-2020</t>
  </si>
  <si>
    <t>GOODS 2020-10</t>
  </si>
  <si>
    <t>BS20-08-0822</t>
  </si>
  <si>
    <t>19GG00099</t>
  </si>
  <si>
    <t>100-1011-2020-07-575</t>
  </si>
  <si>
    <t>20MA0138</t>
  </si>
  <si>
    <t>Goods-035D-2020</t>
  </si>
  <si>
    <t>2020-07-0323</t>
  </si>
  <si>
    <t>20CH0081</t>
  </si>
  <si>
    <t>001-08-06-2020</t>
  </si>
  <si>
    <t>INFRA-2020-05</t>
  </si>
  <si>
    <t>SB-2020-033</t>
  </si>
  <si>
    <t>300(18)20-08-481(O)</t>
  </si>
  <si>
    <t>ITB 2020-010</t>
  </si>
  <si>
    <t>PR NO. MG-IPP20-002, FUSER ASSEMBLY &amp; 3 OTHER ITEM</t>
  </si>
  <si>
    <t>23-d-2020-08-829</t>
  </si>
  <si>
    <t>20NH0094</t>
  </si>
  <si>
    <t>ITB-2020-40</t>
  </si>
  <si>
    <t>Goods-035C-2020</t>
  </si>
  <si>
    <t>ITB No. (INF) 2020-08-115 CONSTRUCTION OF MULTI-PU</t>
  </si>
  <si>
    <t>20KE0065</t>
  </si>
  <si>
    <t>HILONGOS 2020-240</t>
  </si>
  <si>
    <t>INFR-20-016</t>
  </si>
  <si>
    <t>2020-07-0332</t>
  </si>
  <si>
    <t>20FD0074</t>
  </si>
  <si>
    <t>SAGCAM 2020-0806-01</t>
  </si>
  <si>
    <t>20-022-3</t>
  </si>
  <si>
    <t>ITB NO. 2020-08-042</t>
  </si>
  <si>
    <t>IB-03-2020</t>
  </si>
  <si>
    <t>SB-2020-035</t>
  </si>
  <si>
    <t>SB-2020-034</t>
  </si>
  <si>
    <t>ITB-2020-41</t>
  </si>
  <si>
    <t xml:space="preserve">ITB No. (GDS) 2020-08-020  PROCUREMENT OF MEDICAL </t>
  </si>
  <si>
    <t>PB-CW-2020-033</t>
  </si>
  <si>
    <t>PB-CW-2020-034</t>
  </si>
  <si>
    <t>MAR-00047G-2020</t>
  </si>
  <si>
    <t>20B00064</t>
  </si>
  <si>
    <t>ITB No. (INF) 2020-08-114 RENOVATION OF QUINAPONDA</t>
  </si>
  <si>
    <t>PB-CW-2020-031</t>
  </si>
  <si>
    <t>HILONGOS 2020-239</t>
  </si>
  <si>
    <t>BS20-07-0807</t>
  </si>
  <si>
    <t>pb-gd-2020-046</t>
  </si>
  <si>
    <t>20CH0080</t>
  </si>
  <si>
    <t>20200721</t>
  </si>
  <si>
    <t>LDN-CMGP-01</t>
  </si>
  <si>
    <t>HS-5020308000-087-2020</t>
  </si>
  <si>
    <t>ITB 20-31</t>
  </si>
  <si>
    <t>SB-2020-032</t>
  </si>
  <si>
    <t>09-2020-INFRA</t>
  </si>
  <si>
    <t>POD20-014</t>
  </si>
  <si>
    <t>2020-06-164-B</t>
  </si>
  <si>
    <t>ITB-2020-42</t>
  </si>
  <si>
    <t>SB-2020-036</t>
  </si>
  <si>
    <t>08202003</t>
  </si>
  <si>
    <t>2020080601</t>
  </si>
  <si>
    <t>IB-04-2020</t>
  </si>
  <si>
    <t>SAGCAM 2020-0806-02</t>
  </si>
  <si>
    <t>2020-SBO-001</t>
  </si>
  <si>
    <t>2020080603</t>
  </si>
  <si>
    <t>HILONGOS 2020-241</t>
  </si>
  <si>
    <t>9</t>
  </si>
  <si>
    <t>20HK0117</t>
  </si>
  <si>
    <t>GOODS-082620-047</t>
  </si>
  <si>
    <t>20MA0133</t>
  </si>
  <si>
    <t>2020080605</t>
  </si>
  <si>
    <t>12-01-2020-08-825</t>
  </si>
  <si>
    <t>GOODS-082620-046</t>
  </si>
  <si>
    <t>2020080602</t>
  </si>
  <si>
    <t>BAC-2020-020</t>
  </si>
  <si>
    <t>IB No. GS-2020 – 075-A</t>
  </si>
  <si>
    <t>IB No. GS-2020 – 094</t>
  </si>
  <si>
    <t>2020080606</t>
  </si>
  <si>
    <t>Kapalong2020152</t>
  </si>
  <si>
    <t>TCW-2020-08-04-044</t>
  </si>
  <si>
    <t>IB-06-2020</t>
  </si>
  <si>
    <t>BAC-GS-2020-07-014</t>
  </si>
  <si>
    <t>IB No. GS-2020 – 093</t>
  </si>
  <si>
    <t>IB-05-2020</t>
  </si>
  <si>
    <t>ITB 2020-08-043</t>
  </si>
  <si>
    <t>IB No. GS-2020 – 092</t>
  </si>
  <si>
    <t>20IH0109</t>
  </si>
  <si>
    <t>20HK0115</t>
  </si>
  <si>
    <t>2020080604</t>
  </si>
  <si>
    <t>20IH0110</t>
  </si>
  <si>
    <t>ITBPG2020-08-01</t>
  </si>
  <si>
    <t>DRD-GOODS-CO-2-2020</t>
  </si>
  <si>
    <t>20JA0094</t>
  </si>
  <si>
    <t>BACNAMPICUAN2020-029</t>
  </si>
  <si>
    <t>GOODS-082620-048</t>
  </si>
  <si>
    <t>20064159</t>
  </si>
  <si>
    <t>PB-CW-2020-035</t>
  </si>
  <si>
    <t>IB No. GS-2020 – 100</t>
  </si>
  <si>
    <t>20CG0267</t>
  </si>
  <si>
    <t>12-01-2020-08-835</t>
  </si>
  <si>
    <t>IB No. GS-2020 – 095</t>
  </si>
  <si>
    <t>IB No. GS-2020 – 096</t>
  </si>
  <si>
    <t>20IH0108</t>
  </si>
  <si>
    <t>SAGCAM 2020-0806-03</t>
  </si>
  <si>
    <t>INFR-20-017</t>
  </si>
  <si>
    <t>PVAO-ITB-09-MSBREPAIR-2020</t>
  </si>
  <si>
    <t>GOODS-082620-050</t>
  </si>
  <si>
    <t>20074571</t>
  </si>
  <si>
    <t>20074536</t>
  </si>
  <si>
    <t>PhilGEPS 2020-08-040</t>
  </si>
  <si>
    <t>ANTIPOLO-27AUGUST2020-02</t>
  </si>
  <si>
    <t>20HA0135</t>
  </si>
  <si>
    <t>SVCS-082620-049</t>
  </si>
  <si>
    <t>ANTIPOLO-27AUGUST2020-04</t>
  </si>
  <si>
    <t>RFQ No. 2020-99</t>
  </si>
  <si>
    <t>ANTIPOLO-27AUGUST2020-05</t>
  </si>
  <si>
    <t>PR No. 142</t>
  </si>
  <si>
    <t>ANTIPOLO-27AUGUST2020-03</t>
  </si>
  <si>
    <t>INFRA-2020-013</t>
  </si>
  <si>
    <t>20074603</t>
  </si>
  <si>
    <t>ENG' 6ID, SBAC 02-2020</t>
  </si>
  <si>
    <t>20HA0137</t>
  </si>
  <si>
    <t>20GL0096</t>
  </si>
  <si>
    <t>Oogong-INFRA-004-2020</t>
  </si>
  <si>
    <t>DRD-GOODS-CO-3-2020</t>
  </si>
  <si>
    <t>20074310</t>
  </si>
  <si>
    <t>ITB-GS-20200210-01</t>
  </si>
  <si>
    <t>Nasugbu ITB 20-13</t>
  </si>
  <si>
    <t>20IH0111</t>
  </si>
  <si>
    <t>20GL0095</t>
  </si>
  <si>
    <t>TAL-08-24-2020</t>
  </si>
  <si>
    <t>20HA0138</t>
  </si>
  <si>
    <t>Oogong-INFRA-003-2020</t>
  </si>
  <si>
    <t>ANTIPOLO-27AUGUST2020-06</t>
  </si>
  <si>
    <t>ITBPG2020-08-02</t>
  </si>
  <si>
    <t>20074462</t>
  </si>
  <si>
    <t>20IH0112</t>
  </si>
  <si>
    <t>DRD-GOODS-CO-4-2020</t>
  </si>
  <si>
    <t>ITBPG2020-08-03</t>
  </si>
  <si>
    <t>ASTGOODS30</t>
  </si>
  <si>
    <t>ANTIPOLO-27AUGUST2020-07</t>
  </si>
  <si>
    <t>20GIB0041</t>
  </si>
  <si>
    <t>2008-0680-UCT</t>
  </si>
  <si>
    <t>ITB-2020-003</t>
  </si>
  <si>
    <t>2007-0677-NHTS</t>
  </si>
  <si>
    <t>ITB No. 2020-001</t>
  </si>
  <si>
    <t>20HA0136</t>
  </si>
  <si>
    <t>ITB 2020-0012</t>
  </si>
  <si>
    <t>ITB-GS-20200605-02</t>
  </si>
  <si>
    <t>ITB No.009.August 5,2020.GSO.LGU.Lugait</t>
  </si>
  <si>
    <t>2020-222</t>
  </si>
  <si>
    <t>ITB 08-002-20</t>
  </si>
  <si>
    <t>ITB-GS-20200326-01</t>
  </si>
  <si>
    <t>ANTIPOLO-27AUGUST2020-01</t>
  </si>
  <si>
    <t>tag-11-20</t>
  </si>
  <si>
    <t>ITB 2020-46</t>
  </si>
  <si>
    <t>2008-0682-PP</t>
  </si>
  <si>
    <t>RFQ No. 2020-100</t>
  </si>
  <si>
    <t>DRD-GOODS-CO-1-2020</t>
  </si>
  <si>
    <t>ITB-2020-004</t>
  </si>
  <si>
    <t>20GL0097</t>
  </si>
  <si>
    <t>PBD-2020-03_security-personnel.doc.repost</t>
  </si>
  <si>
    <t>GOODS-082620-051</t>
  </si>
  <si>
    <t>TAL-08-29-2020</t>
  </si>
  <si>
    <t>20GFC0038</t>
  </si>
  <si>
    <t>GOODS-20-41</t>
  </si>
  <si>
    <t>20GFC0039</t>
  </si>
  <si>
    <t>20-08-3174</t>
  </si>
  <si>
    <t>TAL-08-28-2020</t>
  </si>
  <si>
    <t>009-08-2020</t>
  </si>
  <si>
    <t>2020-06-09B</t>
  </si>
  <si>
    <t>2020-0010</t>
  </si>
  <si>
    <t>20GFC0040</t>
  </si>
  <si>
    <t>20GIH0017</t>
  </si>
  <si>
    <t>20GI0099</t>
  </si>
  <si>
    <t>MPG-B1-2020-418</t>
  </si>
  <si>
    <t>2008-0683-RICTMS</t>
  </si>
  <si>
    <t>2020-08-28-456PG</t>
  </si>
  <si>
    <t>20GFC0047</t>
  </si>
  <si>
    <t>ITB-GS-20200629-01</t>
  </si>
  <si>
    <t>TAL-08-27-2020</t>
  </si>
  <si>
    <t>BCS-2020-0272</t>
  </si>
  <si>
    <t>PB.No. 2020-08-0053</t>
  </si>
  <si>
    <t>TAL-08-31-2020</t>
  </si>
  <si>
    <t>20GFC0045</t>
  </si>
  <si>
    <t>20GFC0044</t>
  </si>
  <si>
    <t>TAL-08-30-2020</t>
  </si>
  <si>
    <t>20GFC0046</t>
  </si>
  <si>
    <t>20GFC0043</t>
  </si>
  <si>
    <t>IB No. 2020-233</t>
  </si>
  <si>
    <t>20GBF0003</t>
  </si>
  <si>
    <t>MIDSBAC(ARMOR)-008-20 Procurement of Tires for SFV</t>
  </si>
  <si>
    <t>20GFC0049</t>
  </si>
  <si>
    <t>PhilGEPS 2020-08-042</t>
  </si>
  <si>
    <t>PBINFRA-20-001</t>
  </si>
  <si>
    <t>20GFC0048</t>
  </si>
  <si>
    <t>20GFE0017</t>
  </si>
  <si>
    <t>TAL-08-32-2020</t>
  </si>
  <si>
    <t>BCS-2020-0271</t>
  </si>
  <si>
    <t>PhilGEPS 2020-08-041</t>
  </si>
  <si>
    <t>20OH0157</t>
  </si>
  <si>
    <t>BMadasigon 2020-08</t>
  </si>
  <si>
    <t>20OH0156</t>
  </si>
  <si>
    <t>DPWH-SK2DEO-20GMH075</t>
  </si>
  <si>
    <t>TAL-08-33-2020</t>
  </si>
  <si>
    <t>DPWH-SK2DEO-20GMH073</t>
  </si>
  <si>
    <t>DPWH-SK2DEO-20GMH074</t>
  </si>
  <si>
    <t>2020-08-26 (17)</t>
  </si>
  <si>
    <t>ITB-2020-080</t>
  </si>
  <si>
    <t>2020-B01</t>
  </si>
  <si>
    <t>INFRA-2020-08-07</t>
  </si>
  <si>
    <t>ITB No. 2020-03-01</t>
  </si>
  <si>
    <t>2020-PB-015</t>
  </si>
  <si>
    <t>2020-PB-014</t>
  </si>
  <si>
    <t>PEO-2020-0072</t>
  </si>
  <si>
    <t>20GFC0041</t>
  </si>
  <si>
    <t>ITB No. 2020-03-02</t>
  </si>
  <si>
    <t>PEO-2020-1043</t>
  </si>
  <si>
    <t>BAC-PROP-2020-06</t>
  </si>
  <si>
    <t>IB NO. 2020-190</t>
  </si>
  <si>
    <t>BCS-2020-0274</t>
  </si>
  <si>
    <t>20GFC0042</t>
  </si>
  <si>
    <t>OPA-2020-0516</t>
  </si>
  <si>
    <t>2020-07-055</t>
  </si>
  <si>
    <t>BCS-2020-0273</t>
  </si>
  <si>
    <t>G2020-08-002</t>
  </si>
  <si>
    <t>2020-07-30-009</t>
  </si>
  <si>
    <t>PEO-2020-0065</t>
  </si>
  <si>
    <t>PB-GE1-2020-27</t>
  </si>
  <si>
    <t>PB-GE3-2020-26</t>
  </si>
  <si>
    <t>MIDSBAC(ARMOR)-PB-007-20 Procurement of Nine (9) s</t>
  </si>
  <si>
    <t>G-2020-078</t>
  </si>
  <si>
    <t>MRH-009-2020</t>
  </si>
  <si>
    <t>G-2020-076</t>
  </si>
  <si>
    <t>2020-07-30-007</t>
  </si>
  <si>
    <t>22-2020_INFR</t>
  </si>
  <si>
    <t>21-2020_INFR</t>
  </si>
  <si>
    <t>185 - 2020</t>
  </si>
  <si>
    <t>G-2020-079</t>
  </si>
  <si>
    <t>20DPTN005</t>
  </si>
  <si>
    <t>2020-07-30-008</t>
  </si>
  <si>
    <t>2020-B2-</t>
  </si>
  <si>
    <t>187 - 2020</t>
  </si>
  <si>
    <t>20CSPJ02</t>
  </si>
  <si>
    <t>20-07-0284</t>
  </si>
  <si>
    <t>20DPTN004</t>
  </si>
  <si>
    <t>07-00983</t>
  </si>
  <si>
    <t>07-00981</t>
  </si>
  <si>
    <t>186 - 2020</t>
  </si>
  <si>
    <t>2020-04-152</t>
  </si>
  <si>
    <t>20-07-0296</t>
  </si>
  <si>
    <t>msj-2020-27</t>
  </si>
  <si>
    <t>PBD 20-093</t>
  </si>
  <si>
    <t>BS-2020-01</t>
  </si>
  <si>
    <t>PBD 20-094</t>
  </si>
  <si>
    <t>2020-08-NO-POP-GF-0026</t>
  </si>
  <si>
    <t>Sarrat-2020-028</t>
  </si>
  <si>
    <t>2020-536</t>
  </si>
  <si>
    <t>20-174</t>
  </si>
  <si>
    <t>20-173</t>
  </si>
  <si>
    <t>178 - 2020</t>
  </si>
  <si>
    <t>20-172</t>
  </si>
  <si>
    <t>LL-29-20</t>
  </si>
  <si>
    <t>07-01002</t>
  </si>
  <si>
    <t>180 - 2020</t>
  </si>
  <si>
    <t>20-170</t>
  </si>
  <si>
    <t>184 - 2020</t>
  </si>
  <si>
    <t>181 - 2020</t>
  </si>
  <si>
    <t>182 - 2020</t>
  </si>
  <si>
    <t>19F00143</t>
  </si>
  <si>
    <t>20-169</t>
  </si>
  <si>
    <t>20BERNABE001</t>
  </si>
  <si>
    <t>20DPTN006</t>
  </si>
  <si>
    <t>20DIVNORTE001</t>
  </si>
  <si>
    <t>GOODS-040-2020</t>
  </si>
  <si>
    <t>20BERNABE002</t>
  </si>
  <si>
    <t>2020-10-CW</t>
  </si>
  <si>
    <t>07-00977</t>
  </si>
  <si>
    <t>2020-09-CW</t>
  </si>
  <si>
    <t>20BH0161</t>
  </si>
  <si>
    <t>Re-Adv. No. 20-007</t>
  </si>
  <si>
    <t>BSU - PROJECT NO. 2020- 287</t>
  </si>
  <si>
    <t>Infra-02</t>
  </si>
  <si>
    <t>2020-08-01 INFRA</t>
  </si>
  <si>
    <t>2020-08-02 INFRA</t>
  </si>
  <si>
    <t>ITB # 2020-08-049</t>
  </si>
  <si>
    <t>PBD 20-096</t>
  </si>
  <si>
    <t>183 - 2020</t>
  </si>
  <si>
    <t>2020-08-09 INFRA</t>
  </si>
  <si>
    <t>ITB 20-30</t>
  </si>
  <si>
    <t>2020-08-08 INFRA</t>
  </si>
  <si>
    <t>20GDB0042</t>
  </si>
  <si>
    <t>PR# 07-2020-099</t>
  </si>
  <si>
    <t>179 - 2020</t>
  </si>
  <si>
    <t>HILONGOS 2020-237</t>
  </si>
  <si>
    <t>HILONGOS 2020-238</t>
  </si>
  <si>
    <t>HILONGOS 2020-236</t>
  </si>
  <si>
    <t>2020-08-07 INFRA</t>
  </si>
  <si>
    <t>2020.08.05.004</t>
  </si>
  <si>
    <t>2020-08-05 INFRA</t>
  </si>
  <si>
    <t>2020.08.05.001</t>
  </si>
  <si>
    <t>LL-28-20</t>
  </si>
  <si>
    <t>2020.08.05.002</t>
  </si>
  <si>
    <t>HILONGOS 2020-235</t>
  </si>
  <si>
    <t>20GF00002</t>
  </si>
  <si>
    <t>2020-08-06 INFRA</t>
  </si>
  <si>
    <t>2020.08.05.003</t>
  </si>
  <si>
    <t>G-2020-077</t>
  </si>
  <si>
    <t>2020-08-04 INFRA</t>
  </si>
  <si>
    <t>ITB # 2020-08-048</t>
  </si>
  <si>
    <t>20GDB0041</t>
  </si>
  <si>
    <t>19CSN019</t>
  </si>
  <si>
    <t>2020-08-03 INFRA</t>
  </si>
  <si>
    <t>2020-082-19-22</t>
  </si>
  <si>
    <t>ITB-2020-08-21</t>
  </si>
  <si>
    <t>2020-082-19-21</t>
  </si>
  <si>
    <t>172 - 2020</t>
  </si>
  <si>
    <t>2020-082-19-20</t>
  </si>
  <si>
    <t>20GDB0040</t>
  </si>
  <si>
    <t>2020-082-19-23</t>
  </si>
  <si>
    <t>bacgal-57-2020</t>
  </si>
  <si>
    <t>2020-082-19-19</t>
  </si>
  <si>
    <t>PGR-GOODS-20-2020</t>
  </si>
  <si>
    <t>PGR-GOODS-16-2020</t>
  </si>
  <si>
    <t>RB-08062020</t>
  </si>
  <si>
    <t>2020-082-19-18</t>
  </si>
  <si>
    <t>ITB No.008.August 3,2020.GSO.LGU.Lugait</t>
  </si>
  <si>
    <t>PGR-GOODS-17-2020</t>
  </si>
  <si>
    <t>20CSN018</t>
  </si>
  <si>
    <t>107-0793</t>
  </si>
  <si>
    <t>2020-08-CW</t>
  </si>
  <si>
    <t>20GD0111</t>
  </si>
  <si>
    <t>20OH0160</t>
  </si>
  <si>
    <t>20OH0159</t>
  </si>
  <si>
    <t>174 - 2020</t>
  </si>
  <si>
    <t>BCS-2020-0270</t>
  </si>
  <si>
    <t>IB No. 2020-234</t>
  </si>
  <si>
    <t>PBD 20-095</t>
  </si>
  <si>
    <t>202053</t>
  </si>
  <si>
    <t>2020-0011</t>
  </si>
  <si>
    <t>AUGUST52020-2</t>
  </si>
  <si>
    <t>20JA0095</t>
  </si>
  <si>
    <t>2020-082-19-24</t>
  </si>
  <si>
    <t>AUGUST52020</t>
  </si>
  <si>
    <t>20OH0158</t>
  </si>
  <si>
    <t>20GB00032</t>
  </si>
  <si>
    <t>brgy.zone 23</t>
  </si>
  <si>
    <t>2020-0198-PR2020-0580</t>
  </si>
  <si>
    <t>2020-082-19-27</t>
  </si>
  <si>
    <t>2020-07-55</t>
  </si>
  <si>
    <t>211552</t>
  </si>
  <si>
    <t>211547</t>
  </si>
  <si>
    <t>IntBLGU201820%DFGoods-003</t>
  </si>
  <si>
    <t>211551</t>
  </si>
  <si>
    <t>BGHMCPB-2020-25-001</t>
  </si>
  <si>
    <t>2020-07-58</t>
  </si>
  <si>
    <t>SVP 20-1147-1</t>
  </si>
  <si>
    <t>211550</t>
  </si>
  <si>
    <t>AUGUST52020-3</t>
  </si>
  <si>
    <t>2020-082-19-26</t>
  </si>
  <si>
    <t>001-08052020</t>
  </si>
  <si>
    <t>99-2020</t>
  </si>
  <si>
    <t>211553</t>
  </si>
  <si>
    <t>044</t>
  </si>
  <si>
    <t>2020-0039</t>
  </si>
  <si>
    <t>010-08-2020</t>
  </si>
  <si>
    <t>002 2020 BWSPS</t>
  </si>
  <si>
    <t>2020LGU-08-65</t>
  </si>
  <si>
    <t>SVP 20-1147-3</t>
  </si>
  <si>
    <t>211557</t>
  </si>
  <si>
    <t>211556</t>
  </si>
  <si>
    <t>2020-082-19-31</t>
  </si>
  <si>
    <t>003-08052020</t>
  </si>
  <si>
    <t>2020-082-19-30</t>
  </si>
  <si>
    <t>211549</t>
  </si>
  <si>
    <t>ITB 2020-188</t>
  </si>
  <si>
    <t>211555</t>
  </si>
  <si>
    <t>211548</t>
  </si>
  <si>
    <t>2020LGU012</t>
  </si>
  <si>
    <t>ppn-148-2020</t>
  </si>
  <si>
    <t>elec2020c1a</t>
  </si>
  <si>
    <t>2020-082-19-29</t>
  </si>
  <si>
    <t>2020-082-19-36</t>
  </si>
  <si>
    <t>8005012020</t>
  </si>
  <si>
    <t>2020-082-19-35</t>
  </si>
  <si>
    <t>UPLB-RES-037-08-20 REAL TIME PCR FOR IPB</t>
  </si>
  <si>
    <t>2020LGU-08-66</t>
  </si>
  <si>
    <t>IL-2020-B-30</t>
  </si>
  <si>
    <t>ppn-149-2020</t>
  </si>
  <si>
    <t>2020-082-19-33</t>
  </si>
  <si>
    <t>I.D. NO. –Aug.4-2020-486</t>
  </si>
  <si>
    <t>ITB # 2020-42</t>
  </si>
  <si>
    <t>2020-082-19-32</t>
  </si>
  <si>
    <t>2020-082-19-28</t>
  </si>
  <si>
    <t>elec2020batch2a</t>
  </si>
  <si>
    <t>002-08052020</t>
  </si>
  <si>
    <t>2020-G-046</t>
  </si>
  <si>
    <t>Aklan BAC ITB 430 Series of 2020</t>
  </si>
  <si>
    <t>004-08052020</t>
  </si>
  <si>
    <t>ROSAL-433-2020</t>
  </si>
  <si>
    <t>211554</t>
  </si>
  <si>
    <t>goods 219-2020</t>
  </si>
  <si>
    <t>nlontoc-ITB073-2020</t>
  </si>
  <si>
    <t>nlontoc-ITB072-2020</t>
  </si>
  <si>
    <t>IB No. GS-2020 – 091</t>
  </si>
  <si>
    <t>PR. NO. 2020-07-000035</t>
  </si>
  <si>
    <t>2020-082-19-34</t>
  </si>
  <si>
    <t>GOODS-2020-08-003 LT1</t>
  </si>
  <si>
    <t>GOODS-2020-08-003 LT3</t>
  </si>
  <si>
    <t>ITB # 2020-08-050</t>
  </si>
  <si>
    <t>GOODS-2020-08-003 LT2</t>
  </si>
  <si>
    <t>2020LGU013</t>
  </si>
  <si>
    <t>PR 221-20-06-0712 - CED</t>
  </si>
  <si>
    <t>105-07-20-TRUST FUND</t>
  </si>
  <si>
    <t>ITB 20-040</t>
  </si>
  <si>
    <t>ITB No. 2020-08-007</t>
  </si>
  <si>
    <t>ITB No. 2020-08-04</t>
  </si>
  <si>
    <t>goods 218-2020</t>
  </si>
  <si>
    <t>CP 2020-56 B</t>
  </si>
  <si>
    <t>DWD-04-2020</t>
  </si>
  <si>
    <t>ITB No. 2020-30</t>
  </si>
  <si>
    <t>PR 18-20-07-0915 - CED</t>
  </si>
  <si>
    <t>SWEP-PNBAC1-2020-03</t>
  </si>
  <si>
    <t>SWEP-PNBAC1-2020-05</t>
  </si>
  <si>
    <t>PR 1-20-07-0896 - CMO</t>
  </si>
  <si>
    <t>GOODS-2020-08-003 LT4</t>
  </si>
  <si>
    <t>080520-R5</t>
  </si>
  <si>
    <t>PR 1-20-07-0873 - CMO</t>
  </si>
  <si>
    <t>goods 220-2020</t>
  </si>
  <si>
    <t>CP 2020-55 B</t>
  </si>
  <si>
    <t>024-20</t>
  </si>
  <si>
    <t>2020-064</t>
  </si>
  <si>
    <t>IB No. GS-2020 – 090</t>
  </si>
  <si>
    <t>ppn-147-2020</t>
  </si>
  <si>
    <t>BALZN9-2019</t>
  </si>
  <si>
    <t>2020-082-19-25</t>
  </si>
  <si>
    <t>39-20</t>
  </si>
  <si>
    <t>Bid Reference No. 2020-012; PR # 2020-07-0220</t>
  </si>
  <si>
    <t>2020-08-25</t>
  </si>
  <si>
    <t>PR# 016</t>
  </si>
  <si>
    <t>2020-07-56</t>
  </si>
  <si>
    <t>08242020-117</t>
  </si>
  <si>
    <t>BCS-2020-0269</t>
  </si>
  <si>
    <t>TAL-08-26-2020</t>
  </si>
  <si>
    <t>2008-0687-RICTMS</t>
  </si>
  <si>
    <t>2008-0684-RICTMS</t>
  </si>
  <si>
    <t>08242020-116</t>
  </si>
  <si>
    <t>IB No. GS-2020 – 089</t>
  </si>
  <si>
    <t>Aklan BAC ITB 433 Series of 2020</t>
  </si>
  <si>
    <t>20HI0095</t>
  </si>
  <si>
    <t>20NC0140</t>
  </si>
  <si>
    <t>202054</t>
  </si>
  <si>
    <t>ITB-2020-015</t>
  </si>
  <si>
    <t>elec2020c2a</t>
  </si>
  <si>
    <t>2020-08-26</t>
  </si>
  <si>
    <t>ITB 2020-189</t>
  </si>
  <si>
    <t>106-07-20-TRUST FUND</t>
  </si>
  <si>
    <t>BAC-031</t>
  </si>
  <si>
    <t>2021-S1-01M05</t>
  </si>
  <si>
    <t>AC-PNBAC1-2020-10</t>
  </si>
  <si>
    <t>I4-20-1585</t>
  </si>
  <si>
    <t>2050-01C01-01</t>
  </si>
  <si>
    <t>2008-001</t>
  </si>
  <si>
    <t>SRAVIS 20-07-349</t>
  </si>
  <si>
    <t>BAC164-SEDANNEX2BLDG-2020</t>
  </si>
  <si>
    <t>ITB 20-2020</t>
  </si>
  <si>
    <t>25-2020</t>
  </si>
  <si>
    <t>ITB-197</t>
  </si>
  <si>
    <t>2020-DRD-INF-05</t>
  </si>
  <si>
    <t>36-20</t>
  </si>
  <si>
    <t>20HI0097</t>
  </si>
  <si>
    <t>100-2020-008-027</t>
  </si>
  <si>
    <t>35-20</t>
  </si>
  <si>
    <t>BMC-N-20-0298</t>
  </si>
  <si>
    <t>RP-36-2020</t>
  </si>
  <si>
    <t>BCS-2020-0264</t>
  </si>
  <si>
    <t>UPLB-RES-039-08-20 LAB SUPPLIES AND EQUIIP FOR MNH</t>
  </si>
  <si>
    <t>ITB-199</t>
  </si>
  <si>
    <t>40-20</t>
  </si>
  <si>
    <t>ITB No. 20-072 Supply and Delivery of Various Comm</t>
  </si>
  <si>
    <t>34-20</t>
  </si>
  <si>
    <t>42-20</t>
  </si>
  <si>
    <t>21A00001</t>
  </si>
  <si>
    <t>41-20</t>
  </si>
  <si>
    <t>ITB 2020-100</t>
  </si>
  <si>
    <t>S5-20-1609</t>
  </si>
  <si>
    <t>AC-PNBAC1-2020-12</t>
  </si>
  <si>
    <t>O1-20-1586</t>
  </si>
  <si>
    <t>PRN-497-2019</t>
  </si>
  <si>
    <t>SF Infra 2020-09</t>
  </si>
  <si>
    <t>SF Infra 2020-08</t>
  </si>
  <si>
    <t>ITB GOODS8.05.20</t>
  </si>
  <si>
    <t>38-20</t>
  </si>
  <si>
    <t>20GIB0038</t>
  </si>
  <si>
    <t>SRAVIS 20-07-350</t>
  </si>
  <si>
    <t>37-20</t>
  </si>
  <si>
    <t>SF Infra 2020-07</t>
  </si>
  <si>
    <t>BCS-2020-0265</t>
  </si>
  <si>
    <t>20IG0071</t>
  </si>
  <si>
    <t>ITB-198</t>
  </si>
  <si>
    <t>BCS-2020-0263</t>
  </si>
  <si>
    <t>26-2020</t>
  </si>
  <si>
    <t>AC-PNBAC1-2020-15</t>
  </si>
  <si>
    <t>2020-0040</t>
  </si>
  <si>
    <t>SAN-ADN-INFRA-2020-04</t>
  </si>
  <si>
    <t>ITB-196</t>
  </si>
  <si>
    <t>21A00005</t>
  </si>
  <si>
    <t>SF Infra 2020-10</t>
  </si>
  <si>
    <t>PG-20-72</t>
  </si>
  <si>
    <t>CHMSC 20-024-0805-I</t>
  </si>
  <si>
    <t>43-20</t>
  </si>
  <si>
    <t>SAN-ADN-INFRA-2020-05</t>
  </si>
  <si>
    <t>21A00004</t>
  </si>
  <si>
    <t>RCEF Goods 20-07-05A</t>
  </si>
  <si>
    <t>20-13 GOODS</t>
  </si>
  <si>
    <t>ITB 2020-101</t>
  </si>
  <si>
    <t>MR-PNBAC1-2020-27</t>
  </si>
  <si>
    <t>21A00003</t>
  </si>
  <si>
    <t>PG-20-70</t>
  </si>
  <si>
    <t>21A00002</t>
  </si>
  <si>
    <t>1011-20-08-04</t>
  </si>
  <si>
    <t>INF2020-08-029</t>
  </si>
  <si>
    <t>PR NO. 100-8811-20-07-0807</t>
  </si>
  <si>
    <t>2020-ANT-INFRA-0011</t>
  </si>
  <si>
    <t>CEO-2020-32-33</t>
  </si>
  <si>
    <t>BARANGAY PROTECCION 2</t>
  </si>
  <si>
    <t>PRN-632-2019</t>
  </si>
  <si>
    <t>ROSAL-442-2020</t>
  </si>
  <si>
    <t>20PA0138</t>
  </si>
  <si>
    <t>20HI0094</t>
  </si>
  <si>
    <t>ECV-20EE0141</t>
  </si>
  <si>
    <t>nlontoc-ITB074-2020</t>
  </si>
  <si>
    <t>CP 2020-57 B</t>
  </si>
  <si>
    <t>GOODS-ETG-20-08-015</t>
  </si>
  <si>
    <t>TAL-08-25-2020</t>
  </si>
  <si>
    <t>ECV-20EE0142</t>
  </si>
  <si>
    <t>20AH0224</t>
  </si>
  <si>
    <t>BAC-2020-17</t>
  </si>
  <si>
    <t>INVITATION TO BID No. 2020-08-005</t>
  </si>
  <si>
    <t>20KK0128 (2nd Advertisement)</t>
  </si>
  <si>
    <t>DA3-2020-06-10-131</t>
  </si>
  <si>
    <t>ENG'G PASBAC 001-20</t>
  </si>
  <si>
    <t>PRN-488-2019</t>
  </si>
  <si>
    <t>20GGJ0061</t>
  </si>
  <si>
    <t>lgu-es-20-191</t>
  </si>
  <si>
    <t>33</t>
  </si>
  <si>
    <t>20CB-GSC-504	PURCHASE OF SPARE PARTS FOR HEAVY EQU</t>
  </si>
  <si>
    <t>ITB No. 20-055 Supply and Delivery of Various Comm</t>
  </si>
  <si>
    <t>20KL010 (Goods) - Procurement of High Production W</t>
  </si>
  <si>
    <t>MR-PNBAC1-2020-34</t>
  </si>
  <si>
    <t>PG-20-71</t>
  </si>
  <si>
    <t>INVITATION TO BID No. 2020-08-006</t>
  </si>
  <si>
    <t>20HI0096</t>
  </si>
  <si>
    <t>CB 01 - 2020</t>
  </si>
  <si>
    <t>Supplies 310-2020</t>
  </si>
  <si>
    <t>20CB-GSC-505	PURCHASE OF BRAND NEW RESCUE AMBULANC</t>
  </si>
  <si>
    <t>CHMSC 20-025-0805-I</t>
  </si>
  <si>
    <t>PRN-617-2020</t>
  </si>
  <si>
    <t>PR-2020-1160</t>
  </si>
  <si>
    <t>20KK0132</t>
  </si>
  <si>
    <t>SVP No. 2020-044</t>
  </si>
  <si>
    <t>BCS-2020-0266</t>
  </si>
  <si>
    <t>08-062-20</t>
  </si>
  <si>
    <t>ITB No. 2020 – 85</t>
  </si>
  <si>
    <t>SOLANO 092-2020</t>
  </si>
  <si>
    <t>SOLANO 091-2020</t>
  </si>
  <si>
    <t>PG-20-73</t>
  </si>
  <si>
    <t>MOV-G-2020-014</t>
  </si>
  <si>
    <t>MR-PNBAC1-2020-28</t>
  </si>
  <si>
    <t>GB2-PB-01-20</t>
  </si>
  <si>
    <t>GOODS-2020-081</t>
  </si>
  <si>
    <t>20KK0126 (2nd Advertisement)</t>
  </si>
  <si>
    <t>53-2020</t>
  </si>
  <si>
    <t>GB2-PB-02-20</t>
  </si>
  <si>
    <t>PG-20-74</t>
  </si>
  <si>
    <t>2492</t>
  </si>
  <si>
    <t>SOLANO 090-2020</t>
  </si>
  <si>
    <t>ITB-KOR: 20-08-0763 CMO-POP</t>
  </si>
  <si>
    <t>WPU-2020-010</t>
  </si>
  <si>
    <t>100-202007-01030</t>
  </si>
  <si>
    <t>20GIB0040</t>
  </si>
  <si>
    <t>MR-PNBAC1-2020-36</t>
  </si>
  <si>
    <t>20GIB0039</t>
  </si>
  <si>
    <t>2020-08-84</t>
  </si>
  <si>
    <t>SOLANO 094-2020</t>
  </si>
  <si>
    <t>MR-PNBAC1-2020-37</t>
  </si>
  <si>
    <t>00125</t>
  </si>
  <si>
    <t>GOODS-2020-080</t>
  </si>
  <si>
    <t>Grants-20-06-39</t>
  </si>
  <si>
    <t>BCS-2020-0268</t>
  </si>
  <si>
    <t>44-20</t>
  </si>
  <si>
    <t>BCS-2020-0267</t>
  </si>
  <si>
    <t>194-2020</t>
  </si>
  <si>
    <t>20NPNMSC12 - C</t>
  </si>
  <si>
    <t>ENG'G PASBAC 002-20 Supply and Delivery of Three (</t>
  </si>
  <si>
    <t>ITB No. 2020-08-008</t>
  </si>
  <si>
    <t>PRN-659-2019</t>
  </si>
  <si>
    <t>INF 20-01</t>
  </si>
  <si>
    <t>G2020 020</t>
  </si>
  <si>
    <t>MR-PNBAC1-2020-35</t>
  </si>
  <si>
    <t>G2020 021</t>
  </si>
  <si>
    <t>ITB 2020-08-040</t>
  </si>
  <si>
    <t>100-20-04-0057</t>
  </si>
  <si>
    <t>ITB 2020-08-041</t>
  </si>
  <si>
    <t>08-006-20</t>
  </si>
  <si>
    <t>20AF0080</t>
  </si>
  <si>
    <t>ITB 2020-08-039</t>
  </si>
  <si>
    <t>08-004-20</t>
  </si>
  <si>
    <t>ITB-2020-08-054</t>
  </si>
  <si>
    <t>IB-ATI-RTC02-2020-08-02</t>
  </si>
  <si>
    <t>45-20</t>
  </si>
  <si>
    <t>MR-PNBAC1-2020-33</t>
  </si>
  <si>
    <t>Infra-01</t>
  </si>
  <si>
    <t>08-007-20</t>
  </si>
  <si>
    <t>PB-PAFBAC-222-19</t>
  </si>
  <si>
    <t>WPU-2020-012</t>
  </si>
  <si>
    <t>PW-20-19</t>
  </si>
  <si>
    <t>ITB 2020-08-049</t>
  </si>
  <si>
    <t>AMP SVP-D NO: 20-08-0082C</t>
  </si>
  <si>
    <t>ITB 2020-08-047</t>
  </si>
  <si>
    <t>PB-PAFBAC-161-20</t>
  </si>
  <si>
    <t>ITB 2020-08-046</t>
  </si>
  <si>
    <t>WPU-2020-011</t>
  </si>
  <si>
    <t>ITB 2020-08-044</t>
  </si>
  <si>
    <t>SINS-G-2020-10</t>
  </si>
  <si>
    <t>ENG'G PASBAC 012-20  Supply and Delivery of Materi</t>
  </si>
  <si>
    <t>20GFE0015</t>
  </si>
  <si>
    <t>ITB 2020-08-050</t>
  </si>
  <si>
    <t>SINS-Inf-2019-12</t>
  </si>
  <si>
    <t>CGB-2020-08-003</t>
  </si>
  <si>
    <t>20FB0162</t>
  </si>
  <si>
    <t>CGB-2020-08-002</t>
  </si>
  <si>
    <t>ITB-INFRA 2020-01</t>
  </si>
  <si>
    <t>WPU-2020-013</t>
  </si>
  <si>
    <t>GOODS-2020-079</t>
  </si>
  <si>
    <t>PB-PAFBAC-081-20</t>
  </si>
  <si>
    <t>SINS-Inf-2020-05</t>
  </si>
  <si>
    <t>DSWD 4B 2020-013</t>
  </si>
  <si>
    <t>PB-PAFBAC-163-20</t>
  </si>
  <si>
    <t>PB-PAFBAC-160-20</t>
  </si>
  <si>
    <t>ITB 2020-08-048</t>
  </si>
  <si>
    <t>ENG'G PASBAC 014-20  Supply and Delivery of Materi</t>
  </si>
  <si>
    <t>ITB 2020-08-042</t>
  </si>
  <si>
    <t>B-8661-20-14</t>
  </si>
  <si>
    <t>BAC-ITIO GS No. 2020-0056 dated 09 June 2020</t>
  </si>
  <si>
    <t>PB-PAFBAC-162-20</t>
  </si>
  <si>
    <t>20GAF0004</t>
  </si>
  <si>
    <t>ITB-2020-91</t>
  </si>
  <si>
    <t>PB-PAFBAC-164-20</t>
  </si>
  <si>
    <t>20CSKC0003</t>
  </si>
  <si>
    <t>20FJ0030</t>
  </si>
  <si>
    <t>DEPED-BOHOL-2020-08-107</t>
  </si>
  <si>
    <t>20CM0087</t>
  </si>
  <si>
    <t>20CM0086</t>
  </si>
  <si>
    <t>2020-PB-002</t>
  </si>
  <si>
    <t>20CM0085</t>
  </si>
  <si>
    <t>20CSKC0004</t>
  </si>
  <si>
    <t>PB-PAFBAC-169-20</t>
  </si>
  <si>
    <t>PB-PAFBAC-165-20</t>
  </si>
  <si>
    <t>PB-PAFBAC-167-20</t>
  </si>
  <si>
    <t>LGU-COR. 2020-90</t>
  </si>
  <si>
    <t>20FJ0032 - Construction of One(1) Unit One(1) Stor</t>
  </si>
  <si>
    <t>PB-PAFBAC-170-20</t>
  </si>
  <si>
    <t>ITB No. 2020-08-05</t>
  </si>
  <si>
    <t>2020-08-BLGU-BI-TF-0030</t>
  </si>
  <si>
    <t>20BG0151-Construction of One (1) Storey Two (2) Cl</t>
  </si>
  <si>
    <t>20FJ0033</t>
  </si>
  <si>
    <t>PB-PAFBAC-166-20</t>
  </si>
  <si>
    <t>020-2020</t>
  </si>
  <si>
    <t>2020-08-MEO-GF-0031</t>
  </si>
  <si>
    <t>20-08-05-05</t>
  </si>
  <si>
    <t>B-8661-20-20</t>
  </si>
  <si>
    <t>DEPED-BOHOL-2020-08-108</t>
  </si>
  <si>
    <t>2020-08-NO-POP-GF-0029</t>
  </si>
  <si>
    <t>20BG0153-Construction of One (1) Storey Four (4) C</t>
  </si>
  <si>
    <t>019-2020 Supplies for Modular Learning (printer)</t>
  </si>
  <si>
    <t>20-08-05-06</t>
  </si>
  <si>
    <t>ML-2020-04-18</t>
  </si>
  <si>
    <t>PB-PAFBAC-171-20</t>
  </si>
  <si>
    <t>ITB2020-15</t>
  </si>
  <si>
    <t xml:space="preserve">20BG0152-Construction of One (1) Storey Three (3) </t>
  </si>
  <si>
    <t>2020-08-NO-POP-GF-0028</t>
  </si>
  <si>
    <t>G-2020-073</t>
  </si>
  <si>
    <t>PB2020-07-043I</t>
  </si>
  <si>
    <t>G-2020-072</t>
  </si>
  <si>
    <t>MS2020-07.036.5</t>
  </si>
  <si>
    <t>G-2020-071</t>
  </si>
  <si>
    <t>G-2020-070</t>
  </si>
  <si>
    <t>PB-PAFBAC-168-20</t>
  </si>
  <si>
    <t>msj-2020-25</t>
  </si>
  <si>
    <t>MS2020-07-036.1</t>
  </si>
  <si>
    <t>MS2020-07-036.3</t>
  </si>
  <si>
    <t>20-082</t>
  </si>
  <si>
    <t>Adv. 20-079</t>
  </si>
  <si>
    <t>MS2020-07-036.2</t>
  </si>
  <si>
    <t>QIS_NFRA_2020#48</t>
  </si>
  <si>
    <t>QIS_NFRA_2020#47</t>
  </si>
  <si>
    <t>QIS_NFRA_2020#46</t>
  </si>
  <si>
    <t>QIS_NFRA_2020#45</t>
  </si>
  <si>
    <t>CONVERGE-2020-0903-P-1</t>
  </si>
  <si>
    <t>DRL-20-0326-B</t>
  </si>
  <si>
    <t>DRL-20-0721-B</t>
  </si>
  <si>
    <t>MS2020-07-036.6</t>
  </si>
  <si>
    <t>DRL-20-0722-B</t>
  </si>
  <si>
    <t>Project Reference No.: 20R0001- Equipment Rental f</t>
  </si>
  <si>
    <t>QIS_NFRA_2020#49</t>
  </si>
  <si>
    <t>DRL-20-0327-B</t>
  </si>
  <si>
    <t>DRL-20-0723-B</t>
  </si>
  <si>
    <t>MS2020-07-036.4</t>
  </si>
  <si>
    <t>G-2020-075</t>
  </si>
  <si>
    <t>DRL-20-0744-B</t>
  </si>
  <si>
    <t>LGU-BLU-20-08-061</t>
  </si>
  <si>
    <t>GOODS-2020-34</t>
  </si>
  <si>
    <t>SanJoseBatsAeb2020-134</t>
  </si>
  <si>
    <t>SanJoseBatsAeb2020-132</t>
  </si>
  <si>
    <t>SanJoseBatsAeb2020-133</t>
  </si>
  <si>
    <t>SanJoseBatsAeb2020-136</t>
  </si>
  <si>
    <t>SanJoseBatsAeb2020-129</t>
  </si>
  <si>
    <t>DRL-20-0743-B</t>
  </si>
  <si>
    <t>SanJoseBatsAeb2020-131</t>
  </si>
  <si>
    <t>CABANCALAN-01-2020</t>
  </si>
  <si>
    <t>GOODS-2020-33</t>
  </si>
  <si>
    <t>SanJoseBatsAeb2020-111</t>
  </si>
  <si>
    <t>DRL-20-0745-B</t>
  </si>
  <si>
    <t>SanJoseBatsAeb2020-130</t>
  </si>
  <si>
    <t>ITB 2020-091</t>
  </si>
  <si>
    <t>ITB-07-2020-001</t>
  </si>
  <si>
    <t>pontevedra-20-CW08</t>
  </si>
  <si>
    <t>20LA0347</t>
  </si>
  <si>
    <t>20LA0345</t>
  </si>
  <si>
    <t>2019-12-1246</t>
  </si>
  <si>
    <t>20GGA0008</t>
  </si>
  <si>
    <t>BFAR5BAC-2020-147</t>
  </si>
  <si>
    <t>21-2020</t>
  </si>
  <si>
    <t>PR 07-3743</t>
  </si>
  <si>
    <t>CID NO. 20IF0078 (READV)</t>
  </si>
  <si>
    <t>PB20-08</t>
  </si>
  <si>
    <t>2020-07-931</t>
  </si>
  <si>
    <t>20LA0352</t>
  </si>
  <si>
    <t>QIS_GDS_2020#24</t>
  </si>
  <si>
    <t>2020-019R</t>
  </si>
  <si>
    <t>Adv. 20-090</t>
  </si>
  <si>
    <t>Adv. 20-088</t>
  </si>
  <si>
    <t>Adv. 20-086</t>
  </si>
  <si>
    <t>Adv. 20-085</t>
  </si>
  <si>
    <t>Adv. 20-083</t>
  </si>
  <si>
    <t>20-089</t>
  </si>
  <si>
    <t>Adv. 20-084</t>
  </si>
  <si>
    <t>IN-BAC-2020-08-064</t>
  </si>
  <si>
    <t>ITB 2020-083</t>
  </si>
  <si>
    <t>G-2020-074</t>
  </si>
  <si>
    <t>DENR-ORMIN-031-2020</t>
  </si>
  <si>
    <t>CB(B0-20-030(CMO)</t>
  </si>
  <si>
    <t>QIS_NFRA_2020#50</t>
  </si>
  <si>
    <t>2020-020R</t>
  </si>
  <si>
    <t>2020-08-NO-POP-GF-0027</t>
  </si>
  <si>
    <t>IB 2020-08-012 PME2</t>
  </si>
  <si>
    <t>ITB 051-2020</t>
  </si>
  <si>
    <t>IN-BAC-2020-08-063</t>
  </si>
  <si>
    <t>Goods 2020-011</t>
  </si>
  <si>
    <t>DA8-Goods-2020-50 (PR No. RICE 20-07-27-0928)</t>
  </si>
  <si>
    <t>100-2020-INFRA-398</t>
  </si>
  <si>
    <t>PB2020-08-109G</t>
  </si>
  <si>
    <t>ITB20OA0077</t>
  </si>
  <si>
    <t>2020-07-999</t>
  </si>
  <si>
    <t>pontevedra-20-CW09</t>
  </si>
  <si>
    <t>1918-23-13-20</t>
  </si>
  <si>
    <t>060</t>
  </si>
  <si>
    <t>2007-0666-NHTS</t>
  </si>
  <si>
    <t>2020-08-0840 TDG</t>
  </si>
  <si>
    <t>061</t>
  </si>
  <si>
    <t>ITB 2020-095</t>
  </si>
  <si>
    <t>2020-07-1004</t>
  </si>
  <si>
    <t>8918-23-3-S20</t>
  </si>
  <si>
    <t>DA8-Goods-2020-48 (PR No. SAAD 20-07-23-0237)</t>
  </si>
  <si>
    <t>2020-233</t>
  </si>
  <si>
    <t>062</t>
  </si>
  <si>
    <t>2020-05-693</t>
  </si>
  <si>
    <t>20-099</t>
  </si>
  <si>
    <t>22-2020</t>
  </si>
  <si>
    <t>ITB GOODS 2020-08-52</t>
  </si>
  <si>
    <t>20R002-03</t>
  </si>
  <si>
    <t>INF-SFO-13-20</t>
  </si>
  <si>
    <t>2020-CW-022</t>
  </si>
  <si>
    <t>IB 2020-58</t>
  </si>
  <si>
    <t>INF-SFO-10-20</t>
  </si>
  <si>
    <t>INF-SFO-12-20</t>
  </si>
  <si>
    <t>20M0012-13</t>
  </si>
  <si>
    <t>Mabuhay 2020-08-002</t>
  </si>
  <si>
    <t>PR 20-07-0091</t>
  </si>
  <si>
    <t>PB-GS-2020-010</t>
  </si>
  <si>
    <t>INFRA-2020-08-50</t>
  </si>
  <si>
    <t>PR NO. 100-8751-20-07-0806</t>
  </si>
  <si>
    <t>UPLB-S-050-08-20</t>
  </si>
  <si>
    <t>ITB No. 2020-15</t>
  </si>
  <si>
    <t>ITB GOODS 2020-08-53</t>
  </si>
  <si>
    <t>Mabuhay 2020-08-003</t>
  </si>
  <si>
    <t>2020-082-19-1</t>
  </si>
  <si>
    <t>PB-GS-2020-009</t>
  </si>
  <si>
    <t>BAC2020-08-037</t>
  </si>
  <si>
    <t>EMAN 2020-008-002</t>
  </si>
  <si>
    <t>ITB20OA0078</t>
  </si>
  <si>
    <t>nin brgy -2</t>
  </si>
  <si>
    <t>IB 2020-59</t>
  </si>
  <si>
    <t>Contract ID: 20KH0048</t>
  </si>
  <si>
    <t>INF-SFO-11-20</t>
  </si>
  <si>
    <t>24-2020</t>
  </si>
  <si>
    <t>DOH4A-ITB-2020-GS-010</t>
  </si>
  <si>
    <t>2020-CW-023</t>
  </si>
  <si>
    <t>TF-20-07-436(O)</t>
  </si>
  <si>
    <t>NS-08-05-20-01</t>
  </si>
  <si>
    <t>2020-082-19-5</t>
  </si>
  <si>
    <t>ITB No. 2020-29</t>
  </si>
  <si>
    <t>042</t>
  </si>
  <si>
    <t>23-2020</t>
  </si>
  <si>
    <t>PB-GS-2020-008</t>
  </si>
  <si>
    <t>2020-082-19-4</t>
  </si>
  <si>
    <t>IB 2020-060</t>
  </si>
  <si>
    <t>080420-B1</t>
  </si>
  <si>
    <t>2020-082-19-3</t>
  </si>
  <si>
    <t>2020-082-19-2</t>
  </si>
  <si>
    <t>080420-H01</t>
  </si>
  <si>
    <t>nin brgy -1</t>
  </si>
  <si>
    <t>PB-GS-2020-011</t>
  </si>
  <si>
    <t>ITB20OA0079</t>
  </si>
  <si>
    <t>ITB20OA0080</t>
  </si>
  <si>
    <t>080420-B2</t>
  </si>
  <si>
    <t>080420-H02</t>
  </si>
  <si>
    <t>20FH0096</t>
  </si>
  <si>
    <t>20FH0100</t>
  </si>
  <si>
    <t>080420-B3</t>
  </si>
  <si>
    <t>2020- 07-1116</t>
  </si>
  <si>
    <t>brgy.higuloan</t>
  </si>
  <si>
    <t>2020-535</t>
  </si>
  <si>
    <t>2020-RP-34</t>
  </si>
  <si>
    <t>2020-08-0854 TDG</t>
  </si>
  <si>
    <t>PR 2020-07-046</t>
  </si>
  <si>
    <t>080420-H03</t>
  </si>
  <si>
    <t>IB 2020 - 06 - Package II</t>
  </si>
  <si>
    <t>IB 2020-06-I</t>
  </si>
  <si>
    <t>006-2020-I</t>
  </si>
  <si>
    <t>2020-08-04-01</t>
  </si>
  <si>
    <t>2020-082-19-8</t>
  </si>
  <si>
    <t>100(18)20-08-470(O)</t>
  </si>
  <si>
    <t>20GGJ0060</t>
  </si>
  <si>
    <t>2020-082-19-11</t>
  </si>
  <si>
    <t>2020-082-19-9</t>
  </si>
  <si>
    <t>2020-NFA-RBAC8-INFR-21</t>
  </si>
  <si>
    <t>B-ITB-30-2020-I</t>
  </si>
  <si>
    <t>GOODS#0139, ITB#0142,  PR#0455: SCG-2020</t>
  </si>
  <si>
    <t>GOODS#0130, ITB#0133,  PR#0412: SCG-2020</t>
  </si>
  <si>
    <t>ITB GOODS 2020-08-54</t>
  </si>
  <si>
    <t>2020-082-19-10</t>
  </si>
  <si>
    <t>2020-08-0839 TDG</t>
  </si>
  <si>
    <t>2020-082-19-6</t>
  </si>
  <si>
    <t>Consulting Services-2020-01</t>
  </si>
  <si>
    <t>IB GOP/2020-DSWD-16</t>
  </si>
  <si>
    <t>27831-001</t>
  </si>
  <si>
    <t>20GGJ0059</t>
  </si>
  <si>
    <t>2020-534</t>
  </si>
  <si>
    <t>2020-082-19-14</t>
  </si>
  <si>
    <t>Consulting Services-2020-02</t>
  </si>
  <si>
    <t>UPLB-S-030-08-20 REBID</t>
  </si>
  <si>
    <t>2020-082-19-7</t>
  </si>
  <si>
    <t>MG-A7M20-010..REPLACEMENT OF STOP LOGS IN THE TAIL</t>
  </si>
  <si>
    <t>2020-90 (GAS)</t>
  </si>
  <si>
    <t>2020-082-19-13</t>
  </si>
  <si>
    <t>20CSKG04</t>
  </si>
  <si>
    <t>GOODS#0145, ITB#0148,  PR#0463: SCG-2020</t>
  </si>
  <si>
    <t>2020-8-4-1</t>
  </si>
  <si>
    <t>RFP 2020-04</t>
  </si>
  <si>
    <t>2020-082-19-12</t>
  </si>
  <si>
    <t>27796-033 to 27796-052, 27803-001 to 27803-019</t>
  </si>
  <si>
    <t>B-117-2020</t>
  </si>
  <si>
    <t>MG-A7M20-006..FABRICATION OF TRASH RACKS AT AGUS 6</t>
  </si>
  <si>
    <t>SJ-20-212</t>
  </si>
  <si>
    <t>IB 2020-06-Package III</t>
  </si>
  <si>
    <t>PB20200804-044</t>
  </si>
  <si>
    <t>MG-A5C20-021..BUCHHOLZ RELAY, AGUS 5 HEP</t>
  </si>
  <si>
    <t>ITB 2020-097</t>
  </si>
  <si>
    <t>2020-GOODS-014R-01-0805</t>
  </si>
  <si>
    <t>Grants-20-07-57</t>
  </si>
  <si>
    <t>03b-G-2020 (SB)</t>
  </si>
  <si>
    <t>2020-8-4-</t>
  </si>
  <si>
    <t>Adv. 20-081</t>
  </si>
  <si>
    <t>B-114-2020</t>
  </si>
  <si>
    <t>2020-082-19-16</t>
  </si>
  <si>
    <t>2020-8-4-2</t>
  </si>
  <si>
    <t>Adv. 20-087</t>
  </si>
  <si>
    <t>doletac8-2020-20</t>
  </si>
  <si>
    <t>DOJ ITB 2020-08-005</t>
  </si>
  <si>
    <t>MRH-011-2020</t>
  </si>
  <si>
    <t>2020-082-19-15</t>
  </si>
  <si>
    <t>DOJ ITB 2020-08-006</t>
  </si>
  <si>
    <t>DOJ ITB 2020-08-007</t>
  </si>
  <si>
    <t>2020-PB-032</t>
  </si>
  <si>
    <t>CW20-08-040</t>
  </si>
  <si>
    <t>GR-01-08-20-GOODS</t>
  </si>
  <si>
    <t>2020-89 (GAS)</t>
  </si>
  <si>
    <t>Adv. 20-080</t>
  </si>
  <si>
    <t>IB 2020-07</t>
  </si>
  <si>
    <t>BAS-2020-02</t>
  </si>
  <si>
    <t>POG-05-2020</t>
  </si>
  <si>
    <t>PR No. 2007-174</t>
  </si>
  <si>
    <t>IB No. 2020-027</t>
  </si>
  <si>
    <t>DOJ ITB 2020-08-008</t>
  </si>
  <si>
    <t>PR No. 20-05-162 (Re-bidding)</t>
  </si>
  <si>
    <t>POG-06-2020</t>
  </si>
  <si>
    <t>2020-082-19-17</t>
  </si>
  <si>
    <t>09-G-2020 (SEF)</t>
  </si>
  <si>
    <t>2020-NFA-RBAC8-INFR- 22</t>
  </si>
  <si>
    <t>SANTIAGO, I. SUR 20-070</t>
  </si>
  <si>
    <t>ITB 2020-098</t>
  </si>
  <si>
    <t>CW20-08-039</t>
  </si>
  <si>
    <t>2020-PB-037</t>
  </si>
  <si>
    <t>SANTIAGO, I. SUR 20-069</t>
  </si>
  <si>
    <t>CW20-08-042</t>
  </si>
  <si>
    <t>CW20-08-041</t>
  </si>
  <si>
    <t>010-G-2020 (SEF)</t>
  </si>
  <si>
    <t>2020-08-0165</t>
  </si>
  <si>
    <t>2020-PB-038</t>
  </si>
  <si>
    <t>PB2020-08-110G</t>
  </si>
  <si>
    <t>SANTIAGO, I. SUR 20-071</t>
  </si>
  <si>
    <t>ITB-080420-2</t>
  </si>
  <si>
    <t>B2020-099-A</t>
  </si>
  <si>
    <t>2020- PB-033</t>
  </si>
  <si>
    <t>2020-PB-036</t>
  </si>
  <si>
    <t>GOODS 2020- 07</t>
  </si>
  <si>
    <t>ITB-080420-1</t>
  </si>
  <si>
    <t>ITB 2020-004</t>
  </si>
  <si>
    <t>2020- PB-034</t>
  </si>
  <si>
    <t>ITB 2020-096</t>
  </si>
  <si>
    <t>2020-PB-035</t>
  </si>
  <si>
    <t>20-07-141</t>
  </si>
  <si>
    <t>CW20-08-045</t>
  </si>
  <si>
    <t>ITB NO. GOP/20-DSWD-044</t>
  </si>
  <si>
    <t>2020-07-30-200</t>
  </si>
  <si>
    <t>2020-PB-039</t>
  </si>
  <si>
    <t>LF 2020-032</t>
  </si>
  <si>
    <t>2020-08-0167</t>
  </si>
  <si>
    <t>SANTIAGO, I. SUR 20-074</t>
  </si>
  <si>
    <t>BAC 08/04/20-01</t>
  </si>
  <si>
    <t>CW20-08-044</t>
  </si>
  <si>
    <t>B-118-2020</t>
  </si>
  <si>
    <t>2020-GOODS-016-01-0805</t>
  </si>
  <si>
    <t>MG-A5C20-011..BATTAERY BANK, 125VDC INDUSTRIAL LEA</t>
  </si>
  <si>
    <t>itb 2020-41</t>
  </si>
  <si>
    <t>ITB-080420-3</t>
  </si>
  <si>
    <t>CW20-08-043</t>
  </si>
  <si>
    <t>SANTIAGO, I. SUR 20-073</t>
  </si>
  <si>
    <t>BSJ2020-02</t>
  </si>
  <si>
    <t>SANTIAGO, I. SUR 20-068</t>
  </si>
  <si>
    <t>B-CW-2020-035</t>
  </si>
  <si>
    <t>B-CW-2020-034</t>
  </si>
  <si>
    <t>20LB0316</t>
  </si>
  <si>
    <t>20LB0301</t>
  </si>
  <si>
    <t>20LB0296</t>
  </si>
  <si>
    <t>BSJ2020-01</t>
  </si>
  <si>
    <t>2020-07-935</t>
  </si>
  <si>
    <t>20-07-142</t>
  </si>
  <si>
    <t>20-07-139</t>
  </si>
  <si>
    <t>08-061-20</t>
  </si>
  <si>
    <t>2020-08-0166</t>
  </si>
  <si>
    <t>2020-RP-35</t>
  </si>
  <si>
    <t>087-20</t>
  </si>
  <si>
    <t>2020-07- 899</t>
  </si>
  <si>
    <t>20-07-143</t>
  </si>
  <si>
    <t>itb 2020-42</t>
  </si>
  <si>
    <t>ITB No. 2020-2D ECHO-108</t>
  </si>
  <si>
    <t>2020-06-718</t>
  </si>
  <si>
    <t>CW20-08-046</t>
  </si>
  <si>
    <t>20LB0324</t>
  </si>
  <si>
    <t>20CG261</t>
  </si>
  <si>
    <t>20-07-0373</t>
  </si>
  <si>
    <t>20CG0259</t>
  </si>
  <si>
    <t>Supply and Delivery of Brass Water Meter (Re-biddi</t>
  </si>
  <si>
    <t>2020-07-890</t>
  </si>
  <si>
    <t>B-CW-2020-036</t>
  </si>
  <si>
    <t>PGSO-2020-0194 PR2020-0561</t>
  </si>
  <si>
    <t>PEO-2020-0195 PR2020-0562</t>
  </si>
  <si>
    <t>20CG0262</t>
  </si>
  <si>
    <t>20LB0323</t>
  </si>
  <si>
    <t>20CG0260</t>
  </si>
  <si>
    <t>20CG0266</t>
  </si>
  <si>
    <t>DPWH-SK2DEO-20MH0112</t>
  </si>
  <si>
    <t>20CG0265</t>
  </si>
  <si>
    <t>GOODS-2020-170</t>
  </si>
  <si>
    <t>SUPPLY, DELIVERY, INSTALLATION, PROGRAMMING, TESTI</t>
  </si>
  <si>
    <t>SANTIAGO, I. SUR 20-072</t>
  </si>
  <si>
    <t>20CG0264</t>
  </si>
  <si>
    <t>20CG0263</t>
  </si>
  <si>
    <t>PEO-2020-0197 PR2020-0575</t>
  </si>
  <si>
    <t>PB INFRA 20-072</t>
  </si>
  <si>
    <t>ITB No. 2020-08-03</t>
  </si>
  <si>
    <t>20-06-00422</t>
  </si>
  <si>
    <t>ITB No. 2020-08-02</t>
  </si>
  <si>
    <t>ITB 08-001-20</t>
  </si>
  <si>
    <t>20M00188 (RE-BID)</t>
  </si>
  <si>
    <t>20-06-00423</t>
  </si>
  <si>
    <t>20-03-00235, 20-03-00237, 20-03-00242, 20-03-00243</t>
  </si>
  <si>
    <t>B-CW-2020-037</t>
  </si>
  <si>
    <t>ITB-2020-089</t>
  </si>
  <si>
    <t>ITB No. 2020-08-01</t>
  </si>
  <si>
    <t>20M00187 (RE-BID)</t>
  </si>
  <si>
    <t>20EA0058</t>
  </si>
  <si>
    <t>20EA0057</t>
  </si>
  <si>
    <t>ITB-GS-20200609-01(2)</t>
  </si>
  <si>
    <t>CB(B)-20-031(CMO)</t>
  </si>
  <si>
    <t>PB INFRA 20-071</t>
  </si>
  <si>
    <t>ITB No. 2020-023</t>
  </si>
  <si>
    <t>2020-08-25 (15)</t>
  </si>
  <si>
    <t>100-2020-02-308</t>
  </si>
  <si>
    <t>BSU - PROJECT NO. 2020- 285</t>
  </si>
  <si>
    <t>2020-08-25 (16)</t>
  </si>
  <si>
    <t>20-07-00451</t>
  </si>
  <si>
    <t>100-2020-07-915</t>
  </si>
  <si>
    <t>20MADD0032</t>
  </si>
  <si>
    <t>20MADD0031</t>
  </si>
  <si>
    <t>20MADD0030</t>
  </si>
  <si>
    <t>BAC Resolution 07-004A S.2020</t>
  </si>
  <si>
    <t>BAC Resolution 07-004 S. 2020</t>
  </si>
  <si>
    <t>Goods 2020-013</t>
  </si>
  <si>
    <t>BSU - PROJECT NO. 2020- 286</t>
  </si>
  <si>
    <t>Goods 2020-012</t>
  </si>
  <si>
    <t>100-2020-07-849</t>
  </si>
  <si>
    <t>20MADD0033</t>
  </si>
  <si>
    <t>100-2020-01-129</t>
  </si>
  <si>
    <t>2020-08-25 (14)</t>
  </si>
  <si>
    <t>300</t>
  </si>
  <si>
    <t>MG-A7M20-099</t>
  </si>
  <si>
    <t>MG-A7O20-012</t>
  </si>
  <si>
    <t>CRN-PB-021-GOODS-2020</t>
  </si>
  <si>
    <t>08032020</t>
  </si>
  <si>
    <t>BGHMCPB-2020-20-001</t>
  </si>
  <si>
    <t>P-2020-15</t>
  </si>
  <si>
    <t>P-2020-16</t>
  </si>
  <si>
    <t>MG-A7M20-115</t>
  </si>
  <si>
    <t>ITB-2020-08-058</t>
  </si>
  <si>
    <t>SN-2020-08-014</t>
  </si>
  <si>
    <t>cgb2020-308</t>
  </si>
  <si>
    <t>20-516</t>
  </si>
  <si>
    <t>PR#2020-07-145</t>
  </si>
  <si>
    <t>B Package 2020-01</t>
  </si>
  <si>
    <t>TLU-010720G</t>
  </si>
  <si>
    <t>MG-A7C20-033</t>
  </si>
  <si>
    <t>LGU LAUREL 20-08-002</t>
  </si>
  <si>
    <t>INFRA-2020-239</t>
  </si>
  <si>
    <t>BCS-2020-0257</t>
  </si>
  <si>
    <t>032-2020</t>
  </si>
  <si>
    <t>20-286</t>
  </si>
  <si>
    <t>ITB-2020-053</t>
  </si>
  <si>
    <t>MG-A7M20-106</t>
  </si>
  <si>
    <t>2020-2508-017</t>
  </si>
  <si>
    <t>ITB No. 105-Brgy-2020</t>
  </si>
  <si>
    <t>ITB-2020-051</t>
  </si>
  <si>
    <t>BCS-2020-0258</t>
  </si>
  <si>
    <t>BCS-2020-0259</t>
  </si>
  <si>
    <t>ITB-2020-052</t>
  </si>
  <si>
    <t>PBgoos025-2020</t>
  </si>
  <si>
    <t>SB6 HDMP19 300-20-06-06236</t>
  </si>
  <si>
    <t>2020080301</t>
  </si>
  <si>
    <t>ITB 2020-074</t>
  </si>
  <si>
    <t>2020-03-0474</t>
  </si>
  <si>
    <t>429-2020</t>
  </si>
  <si>
    <t>ITB (CW-08-2020-022) 20DD0379</t>
  </si>
  <si>
    <t>ITB (CW-08-2020-022) 20DD0377</t>
  </si>
  <si>
    <t>2020-06-0584</t>
  </si>
  <si>
    <t>lgu-es-20-08-185</t>
  </si>
  <si>
    <t>ITB (CW-08-2020-022) 20DD0381</t>
  </si>
  <si>
    <t>2020-01-0054, 2020-02-0308, 2020-02-0204, 2020-06-</t>
  </si>
  <si>
    <t>20GFL0005</t>
  </si>
  <si>
    <t>2020-02-0226, 2020-02-0210, 2020-02-0280</t>
  </si>
  <si>
    <t>2020-06-0593, 2020-05-0507, 2020-02-0243, 2020-02-</t>
  </si>
  <si>
    <t>B-08-31-20</t>
  </si>
  <si>
    <t>2020-GOODS-41</t>
  </si>
  <si>
    <t>2020-02-0376, 2020-02-0240, 2020-02-0371</t>
  </si>
  <si>
    <t>ITB (CW-08-2020-022) 20DD0378</t>
  </si>
  <si>
    <t>sal-2020-006</t>
  </si>
  <si>
    <t>ITB (CW-08-2020-022) 20DD0380</t>
  </si>
  <si>
    <t>LGUBal2020-06</t>
  </si>
  <si>
    <t>BS20-07-0788</t>
  </si>
  <si>
    <t>2020-02-0292, 2020-02-0291</t>
  </si>
  <si>
    <t>ITB (CW-08-2020-022) 20DD0382</t>
  </si>
  <si>
    <t>2020-02-0120, 2020-02-0312, 2020-02-0203, 2020-02-</t>
  </si>
  <si>
    <t>CDC 59-08-2020</t>
  </si>
  <si>
    <t>20G00114</t>
  </si>
  <si>
    <t>BS20-07-0779</t>
  </si>
  <si>
    <t>NP-SVP-20-068</t>
  </si>
  <si>
    <t>20G00115</t>
  </si>
  <si>
    <t>BS20-07-0777</t>
  </si>
  <si>
    <t>BS20-07-0776</t>
  </si>
  <si>
    <t>2020-02-0285</t>
  </si>
  <si>
    <t>2020-02-0311, 2020-02-0380, 2020-02-0273, 2020-01-</t>
  </si>
  <si>
    <t>HCC2020016</t>
  </si>
  <si>
    <t>ITB No. 2020 – 83</t>
  </si>
  <si>
    <t>BS20-07-0780</t>
  </si>
  <si>
    <t>gsis/npsvp-248-20</t>
  </si>
  <si>
    <t>B-115-2020</t>
  </si>
  <si>
    <t>2020-07-323</t>
  </si>
  <si>
    <t>GOODS-2020-63-2ND</t>
  </si>
  <si>
    <t>HCC2020018</t>
  </si>
  <si>
    <t>REF #050-08-2020</t>
  </si>
  <si>
    <t>HCC2020017</t>
  </si>
  <si>
    <t>BS20-07-0787</t>
  </si>
  <si>
    <t>MP2020P3</t>
  </si>
  <si>
    <t>gsis/npsvp-249-20</t>
  </si>
  <si>
    <t>ITB No. 20-073: Supply and Delivery of Three Hundr</t>
  </si>
  <si>
    <t>BS20-07-0778</t>
  </si>
  <si>
    <t>BS20-07-0775</t>
  </si>
  <si>
    <t>Medicne2020</t>
  </si>
  <si>
    <t>1790</t>
  </si>
  <si>
    <t>C10-20-1581</t>
  </si>
  <si>
    <t>BS20-07-0782/0783</t>
  </si>
  <si>
    <t>C10-20-1607</t>
  </si>
  <si>
    <t>IB-2020-09-35</t>
  </si>
  <si>
    <t>IB-2020-09-32</t>
  </si>
  <si>
    <t>PRN 039</t>
  </si>
  <si>
    <t>20AB0123</t>
  </si>
  <si>
    <t>IB-2020-09-34</t>
  </si>
  <si>
    <t>80</t>
  </si>
  <si>
    <t>C10-20-1606</t>
  </si>
  <si>
    <t>ITB 20-29</t>
  </si>
  <si>
    <t>HCC2020019</t>
  </si>
  <si>
    <t>UpgradingaccessAM2020</t>
  </si>
  <si>
    <t>2020-02-0185, 2020-02-0299, 2020-02-0152, 2020-02-</t>
  </si>
  <si>
    <t>100-202007-01066</t>
  </si>
  <si>
    <t>Park2020</t>
  </si>
  <si>
    <t>ITB No. GOP/20-DSWD-028-B</t>
  </si>
  <si>
    <t>gsis/npsvp-250-20</t>
  </si>
  <si>
    <t>IB-2020-09-38</t>
  </si>
  <si>
    <t>ITB 2020-079</t>
  </si>
  <si>
    <t>20CSKA0001</t>
  </si>
  <si>
    <t>IB-2020-09-33</t>
  </si>
  <si>
    <t>IB-2020-09-36</t>
  </si>
  <si>
    <t>C10-20-1608</t>
  </si>
  <si>
    <t>3LSSM2020A-115</t>
  </si>
  <si>
    <t>S-080320-2</t>
  </si>
  <si>
    <t>IB-2020-09-39</t>
  </si>
  <si>
    <t>ITB 2020-081</t>
  </si>
  <si>
    <t>SJ 2020-68-GOODS</t>
  </si>
  <si>
    <t>3LSSM2020A-111</t>
  </si>
  <si>
    <t>3LSSM2020A-113</t>
  </si>
  <si>
    <t>IB-2020-09-37</t>
  </si>
  <si>
    <t>2007126</t>
  </si>
  <si>
    <t>2007128</t>
  </si>
  <si>
    <t>3LSSM2020A-114</t>
  </si>
  <si>
    <t>3LSSM2020A-119</t>
  </si>
  <si>
    <t>ITB 2020-080</t>
  </si>
  <si>
    <t>3LSSM2020A-121</t>
  </si>
  <si>
    <t>ITB 2020-082</t>
  </si>
  <si>
    <t>BAC-2020-43</t>
  </si>
  <si>
    <t>3LSSM2020A-120</t>
  </si>
  <si>
    <t>NCB Publication No. 2020- 30</t>
  </si>
  <si>
    <t>IB-2020-09-40</t>
  </si>
  <si>
    <t>IB NO. 2020-08-25 (16)</t>
  </si>
  <si>
    <t>2020-08-02-026</t>
  </si>
  <si>
    <t>3LSSM2020A-112</t>
  </si>
  <si>
    <t>janiuay-2020-33</t>
  </si>
  <si>
    <t>NCB Publication No. 2020- 28</t>
  </si>
  <si>
    <t>3LSSM2020A-118</t>
  </si>
  <si>
    <t>NCB Publication No. 2020- 29</t>
  </si>
  <si>
    <t>PRN 053</t>
  </si>
  <si>
    <t>2008152</t>
  </si>
  <si>
    <t>MGCP-20G-605A</t>
  </si>
  <si>
    <t>BAC GS No. 2020-128/DGS PR No. 2000005421</t>
  </si>
  <si>
    <t>2020-08-02-025</t>
  </si>
  <si>
    <t>ITB 2020-089</t>
  </si>
  <si>
    <t>lgu-es-20-08-188</t>
  </si>
  <si>
    <t>DOJ ITB 2020-08-004</t>
  </si>
  <si>
    <t>ITB 2020-092</t>
  </si>
  <si>
    <t>DOJ ITB 2020-08-002</t>
  </si>
  <si>
    <t>3LSSM2020A-123</t>
  </si>
  <si>
    <t>3LSSM2020A-122</t>
  </si>
  <si>
    <t>ITB 2020-094</t>
  </si>
  <si>
    <t>202006024</t>
  </si>
  <si>
    <t>lgu-es-20-08-189</t>
  </si>
  <si>
    <t>2020-08-03a</t>
  </si>
  <si>
    <t>IB NO. 2020-232</t>
  </si>
  <si>
    <t>ITB-2020-08-063</t>
  </si>
  <si>
    <t>ITB NO. 2020-18</t>
  </si>
  <si>
    <t>2020-20% EDF (Realigned Projects-Current Appropria</t>
  </si>
  <si>
    <t>ITB-2020-08-057</t>
  </si>
  <si>
    <t>ITB NO. 2020-19</t>
  </si>
  <si>
    <t>BCS-2020-0262</t>
  </si>
  <si>
    <t>ITB-2020-08-062</t>
  </si>
  <si>
    <t>IB-2020-108-INFRA</t>
  </si>
  <si>
    <t>IB-2020-107-INFRA</t>
  </si>
  <si>
    <t>2020-20% EDF (Continuing Appropriation) I-05-07272</t>
  </si>
  <si>
    <t>nlontoc-ITB064-2020</t>
  </si>
  <si>
    <t>nlontoc-ITB067-2020</t>
  </si>
  <si>
    <t>ITB-2020-08-059</t>
  </si>
  <si>
    <t>ITB-2020-08-060</t>
  </si>
  <si>
    <t>sj 2020 b aug 015</t>
  </si>
  <si>
    <t>sj 2020 b aug 014</t>
  </si>
  <si>
    <t>B-08-30-20</t>
  </si>
  <si>
    <t>sj 2020 b aug 013</t>
  </si>
  <si>
    <t>sj 2020 b aug 012</t>
  </si>
  <si>
    <t>sj 2020 b aug 010</t>
  </si>
  <si>
    <t>G2020-03</t>
  </si>
  <si>
    <t>DOTC-PPA-CAB NO. 85-15</t>
  </si>
  <si>
    <t>CRN-PB-016-GOODS-2020</t>
  </si>
  <si>
    <t>nlontoc-ITB066-2020</t>
  </si>
  <si>
    <t>PB20-06</t>
  </si>
  <si>
    <t>PB20-07</t>
  </si>
  <si>
    <t>nlontoc-ITB065-2020</t>
  </si>
  <si>
    <t>2020-GIBAC-PB-022</t>
  </si>
  <si>
    <t>PPA-DOTr-7100-P1000-20401010B</t>
  </si>
  <si>
    <t>GOV-20-0942-B</t>
  </si>
  <si>
    <t>ITB # 2020-07-046</t>
  </si>
  <si>
    <t>PR. NO. 2020-07-000014</t>
  </si>
  <si>
    <t>PR. NO. 2020-07-000020</t>
  </si>
  <si>
    <t>ITB # 2020-07-045</t>
  </si>
  <si>
    <t>EARIST-BID-2020-009</t>
  </si>
  <si>
    <t>nlontoc-ITB071-2020</t>
  </si>
  <si>
    <t>PR # 100-2020-07-0135</t>
  </si>
  <si>
    <t>ITB-ASDI-ADN-2018-20</t>
  </si>
  <si>
    <t>BSU - PROJECT NO. 2020- 280</t>
  </si>
  <si>
    <t>ITB # 2020-07-047</t>
  </si>
  <si>
    <t>jayon-Bac-B-08-13-2020</t>
  </si>
  <si>
    <t>IB NO. 08-2020- PROCUREMENT OF UV GERMICIDAL LIGHT</t>
  </si>
  <si>
    <t>jayon-Bac-B-08-11-2020</t>
  </si>
  <si>
    <t>INFRA-2020-07-48</t>
  </si>
  <si>
    <t>2020-006C-A</t>
  </si>
  <si>
    <t>ITB202009</t>
  </si>
  <si>
    <t>20-12</t>
  </si>
  <si>
    <t>PB INFRA 20-053</t>
  </si>
  <si>
    <t>20-13</t>
  </si>
  <si>
    <t>2020-010C</t>
  </si>
  <si>
    <t>Contract ID 20JH0066</t>
  </si>
  <si>
    <t>DDO-20-C0563</t>
  </si>
  <si>
    <t>2020-08-LOYALTY</t>
  </si>
  <si>
    <t>GMRS-PNBAC2-2020-05</t>
  </si>
  <si>
    <t>2020-007C</t>
  </si>
  <si>
    <t>PB INFRA 20-058</t>
  </si>
  <si>
    <t>sj 2020 b aug 011</t>
  </si>
  <si>
    <t>SJMC-2020-006</t>
  </si>
  <si>
    <t>20GEF013</t>
  </si>
  <si>
    <t>2020-017R-A</t>
  </si>
  <si>
    <t>SJMC-2020-007</t>
  </si>
  <si>
    <t>CP 2020-51 B</t>
  </si>
  <si>
    <t>2020-018C</t>
  </si>
  <si>
    <t>2020-017C</t>
  </si>
  <si>
    <t>CP 2020-49 B</t>
  </si>
  <si>
    <t>2020-008C</t>
  </si>
  <si>
    <t>CSJ-2020-037</t>
  </si>
  <si>
    <t>2020-009C</t>
  </si>
  <si>
    <t>CP 2020-45 B</t>
  </si>
  <si>
    <t>07-130-2020</t>
  </si>
  <si>
    <t>20AD0098</t>
  </si>
  <si>
    <t>2020-016C</t>
  </si>
  <si>
    <t>jayon-Bac-B-08-12-2020</t>
  </si>
  <si>
    <t>2020-013C</t>
  </si>
  <si>
    <t>20GFL0004</t>
  </si>
  <si>
    <t>2020-012C</t>
  </si>
  <si>
    <t>20AD0097</t>
  </si>
  <si>
    <t>2020-015C</t>
  </si>
  <si>
    <t>PB INFRA 20-057</t>
  </si>
  <si>
    <t>ITB-TASS-07-09-2020</t>
  </si>
  <si>
    <t>SJMC-2020-002</t>
  </si>
  <si>
    <t>PB INFRA 20-047</t>
  </si>
  <si>
    <t>004-2020-I</t>
  </si>
  <si>
    <t>pr#101-20-07-521,522,523,524,525,526,527,528,529</t>
  </si>
  <si>
    <t>CWD 35-2020</t>
  </si>
  <si>
    <t>2020-014C</t>
  </si>
  <si>
    <t>EOI 08-01-2020</t>
  </si>
  <si>
    <t>PB INFRA 20-055</t>
  </si>
  <si>
    <t>ITB 2020 - 088</t>
  </si>
  <si>
    <t>infra-45-2020</t>
  </si>
  <si>
    <t>2020-011C</t>
  </si>
  <si>
    <t>PR-2020-02-245</t>
  </si>
  <si>
    <t>PR#20-07-0743</t>
  </si>
  <si>
    <t>INFRA-44-2020</t>
  </si>
  <si>
    <t>CWD 36-2020</t>
  </si>
  <si>
    <t>RFQ-2020-094</t>
  </si>
  <si>
    <t>100(18)20-07-451(O)</t>
  </si>
  <si>
    <t>401-20-07-582</t>
  </si>
  <si>
    <t>20CSKG03</t>
  </si>
  <si>
    <t>20ITB-G-03-00053</t>
  </si>
  <si>
    <t>07-231-2020</t>
  </si>
  <si>
    <t>2007-038-01</t>
  </si>
  <si>
    <t>20GEF011 (Re-bid 1)</t>
  </si>
  <si>
    <t>CP 2020-50 B</t>
  </si>
  <si>
    <t>GOODS PROC 011-2020</t>
  </si>
  <si>
    <t>OGDS 07-30-20</t>
  </si>
  <si>
    <t>IAEB-2020-I004</t>
  </si>
  <si>
    <t>IAEB-2020-I003</t>
  </si>
  <si>
    <t>lgu-2020-030</t>
  </si>
  <si>
    <t>CP 2020-52 B</t>
  </si>
  <si>
    <t>ITB No. 2020-027</t>
  </si>
  <si>
    <t>PB2020-08-108G</t>
  </si>
  <si>
    <t>PB2020-08-107G</t>
  </si>
  <si>
    <t>19GL00119</t>
  </si>
  <si>
    <t>nlp2020-20</t>
  </si>
  <si>
    <t>BSU - PROJECT NO. 2020- 279</t>
  </si>
  <si>
    <t>PR-2020-06-132</t>
  </si>
  <si>
    <t>20ITB-INF-03-00054</t>
  </si>
  <si>
    <t>GS-PNBAC2-2020-32</t>
  </si>
  <si>
    <t>GS-PNBAC2-2020-35</t>
  </si>
  <si>
    <t>20-02-0107</t>
  </si>
  <si>
    <t>PB2020-05-029I</t>
  </si>
  <si>
    <t>2020-0036</t>
  </si>
  <si>
    <t>FLGU-CW-2020-25</t>
  </si>
  <si>
    <t>2019-PCOO-I-004a</t>
  </si>
  <si>
    <t>FLGU-CW-2020-26</t>
  </si>
  <si>
    <t>GS-PNBAC2-2020-36</t>
  </si>
  <si>
    <t>19GL00120</t>
  </si>
  <si>
    <t>ACC-20-0918-B</t>
  </si>
  <si>
    <t>2020-0037</t>
  </si>
  <si>
    <t>ITB No. 2020-032</t>
  </si>
  <si>
    <t>2020-88 (GAS)</t>
  </si>
  <si>
    <t>ITB No. 2020-030</t>
  </si>
  <si>
    <t>ITB No. 2020-029</t>
  </si>
  <si>
    <t>19-11-1191 Re-Bid</t>
  </si>
  <si>
    <t>BAC-HOJ-005-20</t>
  </si>
  <si>
    <t>19GL00121</t>
  </si>
  <si>
    <t>07-0126-20</t>
  </si>
  <si>
    <t>2020-030J</t>
  </si>
  <si>
    <t>20-06-1410</t>
  </si>
  <si>
    <t>B-113-2020</t>
  </si>
  <si>
    <t>ITB No. 2020-031</t>
  </si>
  <si>
    <t>RFQ 2020-4235</t>
  </si>
  <si>
    <t>27583-001</t>
  </si>
  <si>
    <t>G-TLDH-062-20</t>
  </si>
  <si>
    <t>20-07-136</t>
  </si>
  <si>
    <t>G-PHO-063-20</t>
  </si>
  <si>
    <t>SBMA-BAC-CONS-RFEI-20-03</t>
  </si>
  <si>
    <t>27613-001</t>
  </si>
  <si>
    <t>2020-07-29-01</t>
  </si>
  <si>
    <t>ITB no. 20-004</t>
  </si>
  <si>
    <t>PB-2020-06-044</t>
  </si>
  <si>
    <t>PB-2020-06-042</t>
  </si>
  <si>
    <t>PB-2020-06-043</t>
  </si>
  <si>
    <t>8000-2-2-15</t>
  </si>
  <si>
    <t>2020-028J</t>
  </si>
  <si>
    <t>PB-2020-06-045</t>
  </si>
  <si>
    <t>2002-93</t>
  </si>
  <si>
    <t>B-046-2020</t>
  </si>
  <si>
    <t>19CSK00056</t>
  </si>
  <si>
    <t>2020209</t>
  </si>
  <si>
    <t>2020212</t>
  </si>
  <si>
    <t>20-06-00425</t>
  </si>
  <si>
    <t>20-06-00392</t>
  </si>
  <si>
    <t>G-CONSO-061-20</t>
  </si>
  <si>
    <t>20-07-00445</t>
  </si>
  <si>
    <t>20-07-00452</t>
  </si>
  <si>
    <t>20-05-00365</t>
  </si>
  <si>
    <t>2020-0728-1</t>
  </si>
  <si>
    <t>PB-2020-06-046</t>
  </si>
  <si>
    <t>ITB-2020-07-19</t>
  </si>
  <si>
    <t>MG-A7M20-111</t>
  </si>
  <si>
    <t>ITB-2020-07-20</t>
  </si>
  <si>
    <t>MG-A7M20-113</t>
  </si>
  <si>
    <t>ITB-2020-07-18</t>
  </si>
  <si>
    <t>20L00172</t>
  </si>
  <si>
    <t>ROSAL 0424-2020</t>
  </si>
  <si>
    <t>2020-GOODS-38</t>
  </si>
  <si>
    <t>2006-029-10</t>
  </si>
  <si>
    <t>2007-037-01</t>
  </si>
  <si>
    <t>2020-024J</t>
  </si>
  <si>
    <t>2003-51</t>
  </si>
  <si>
    <t>MG-A7M20-101</t>
  </si>
  <si>
    <t>2003-34</t>
  </si>
  <si>
    <t>2005-24</t>
  </si>
  <si>
    <t>gOODS 2020-018</t>
  </si>
  <si>
    <t>2002-21-20-37-31</t>
  </si>
  <si>
    <t>CDC 57-07-2020</t>
  </si>
  <si>
    <t>19CSK00053</t>
  </si>
  <si>
    <t>BCS-2020-0224</t>
  </si>
  <si>
    <t>BCS-2020-0223</t>
  </si>
  <si>
    <t>B-044-2020</t>
  </si>
  <si>
    <t>2020-PBGOODS-06-011</t>
  </si>
  <si>
    <t>B-043-2020</t>
  </si>
  <si>
    <t>A6-2020-001</t>
  </si>
  <si>
    <t>00016-20-0629-0286</t>
  </si>
  <si>
    <t>00051-20-0713-0296</t>
  </si>
  <si>
    <t>2020-07-050</t>
  </si>
  <si>
    <t>Supply and Delivery of Remote Sensing Software Lic</t>
  </si>
  <si>
    <t>B-045-2020</t>
  </si>
  <si>
    <t>20-07-138</t>
  </si>
  <si>
    <t>20-07-134</t>
  </si>
  <si>
    <t>ITB No. I09-02-2020</t>
  </si>
  <si>
    <t>20-03-060</t>
  </si>
  <si>
    <t>PR-2020-03-060</t>
  </si>
  <si>
    <t>PR-2020-03-071</t>
  </si>
  <si>
    <t>CB(B)-20-022(CMO-ICDRRMO)</t>
  </si>
  <si>
    <t>A6-2020-002</t>
  </si>
  <si>
    <t>ITB-GS-20200611-01</t>
  </si>
  <si>
    <t>SB4 ASA 300-20-05-05805</t>
  </si>
  <si>
    <t>PGSO 300-20-01-00299</t>
  </si>
  <si>
    <t>SF-CW-LGSF-FA-2020-15</t>
  </si>
  <si>
    <t>BAC GS No. 2020-183/DGS PR No. 2000005511</t>
  </si>
  <si>
    <t>MBC 200-20-07-08692</t>
  </si>
  <si>
    <t>2020-023J</t>
  </si>
  <si>
    <t>07272020G</t>
  </si>
  <si>
    <t>072720-76</t>
  </si>
  <si>
    <t>BARANGAY STA. CRUZ 8</t>
  </si>
  <si>
    <t>19CSK00054</t>
  </si>
  <si>
    <t>07272020F</t>
  </si>
  <si>
    <t>BCS-2020-0225</t>
  </si>
  <si>
    <t>19CSK00055</t>
  </si>
  <si>
    <t>20-05-100</t>
  </si>
  <si>
    <t>DIS-20-0817-B</t>
  </si>
  <si>
    <t>UPLB-S-049-08-20, PROCUREMENT FOR THE REHABILITATI</t>
  </si>
  <si>
    <t>UPLB-S-047-08-20</t>
  </si>
  <si>
    <t>20-03-0162</t>
  </si>
  <si>
    <t>GOODS-2020-157</t>
  </si>
  <si>
    <t>UPLB-S-048-08-20, SUPPLY AND DELIVERY OF BRANDED A</t>
  </si>
  <si>
    <t>ITB No. I11-2-2020</t>
  </si>
  <si>
    <t>Infra-04-2020</t>
  </si>
  <si>
    <t>ITB-2020-03</t>
  </si>
  <si>
    <t>DAR-ADS PB-2020-OS-07-216</t>
  </si>
  <si>
    <t>19KA0162</t>
  </si>
  <si>
    <t>Infra-05-2020</t>
  </si>
  <si>
    <t>PR# 10-20-06-453,454,455,456,457,458,459,460,461,4</t>
  </si>
  <si>
    <t>005-2020-I</t>
  </si>
  <si>
    <t>20CSCN02</t>
  </si>
  <si>
    <t>jayon-Bac-B-08-10-2020</t>
  </si>
  <si>
    <t>jayon-Bac-B-08-09-2020</t>
  </si>
  <si>
    <t>GOODS-2020-156</t>
  </si>
  <si>
    <t>gsis/npsvp-247-20</t>
  </si>
  <si>
    <t>BAC-HO CS 2020-0471</t>
  </si>
  <si>
    <t>jayon-Bac-B-08-08-2020</t>
  </si>
  <si>
    <t>20DK0139</t>
  </si>
  <si>
    <t>PR # 100-2020-07-0136</t>
  </si>
  <si>
    <t>nlontoc-ITB070-2020</t>
  </si>
  <si>
    <t>nlontoc-ITB068-2020</t>
  </si>
  <si>
    <t>20-0003</t>
  </si>
  <si>
    <t>PR # 100-2020-07-0107</t>
  </si>
  <si>
    <t>IB-2020-109-INFRA</t>
  </si>
  <si>
    <t>nlontoc-ITB069-2020</t>
  </si>
  <si>
    <t>ITB-2020-08-056</t>
  </si>
  <si>
    <t>CRN-PB-018-GOODS-2020</t>
  </si>
  <si>
    <t>20DK0138</t>
  </si>
  <si>
    <t>2007-0563-PPD</t>
  </si>
  <si>
    <t>3LSSM2020A-116</t>
  </si>
  <si>
    <t>20CG0255</t>
  </si>
  <si>
    <t>DA7-07-FOD-C-20-2963</t>
  </si>
  <si>
    <t>ITB-2020-08-061</t>
  </si>
  <si>
    <t>PGLDNMCC HOTEL 2020-01</t>
  </si>
  <si>
    <t>PGLDN 101-20-07 1388</t>
  </si>
  <si>
    <t>NHAXII-2020-073</t>
  </si>
  <si>
    <t>DTI-BAC-20-013</t>
  </si>
  <si>
    <t>07242020A</t>
  </si>
  <si>
    <t>DTI-BAC-20-10A</t>
  </si>
  <si>
    <t>UPLB-IF-005-08-20 REBID</t>
  </si>
  <si>
    <t>PGLDN PENRO 2020-01</t>
  </si>
  <si>
    <t>PGLDN 101-20-01-0208</t>
  </si>
  <si>
    <t>3LSSM2020A-117</t>
  </si>
  <si>
    <t>PGLDN 101-20-07-1414</t>
  </si>
  <si>
    <t>GS 2020-007-025</t>
  </si>
  <si>
    <t>MCS-20-07-002</t>
  </si>
  <si>
    <t>CWD 33-2020</t>
  </si>
  <si>
    <t>MCS-20-07-001</t>
  </si>
  <si>
    <t>ITB 070-2020</t>
  </si>
  <si>
    <t>07242020E</t>
  </si>
  <si>
    <t>07242020B</t>
  </si>
  <si>
    <t>20A-03-0014I</t>
  </si>
  <si>
    <t>Supply and Delivery various Agricultural Inputs fo</t>
  </si>
  <si>
    <t>20A-03-0013I</t>
  </si>
  <si>
    <t>20A-03-0011I</t>
  </si>
  <si>
    <t>07242020C</t>
  </si>
  <si>
    <t>20A-02-0073</t>
  </si>
  <si>
    <t>20DK0126 (Re-Invitation)</t>
  </si>
  <si>
    <t>BAC-GS-2020-07-013</t>
  </si>
  <si>
    <t>20200724-023</t>
  </si>
  <si>
    <t>19-92-027</t>
  </si>
  <si>
    <t>RCEF Goods 20-07-08</t>
  </si>
  <si>
    <t>20A-03-0015I</t>
  </si>
  <si>
    <t>WOR-0028</t>
  </si>
  <si>
    <t>07-224-2020</t>
  </si>
  <si>
    <t>20200724-024</t>
  </si>
  <si>
    <t>2020-07-0309</t>
  </si>
  <si>
    <t>20CSCH0004</t>
  </si>
  <si>
    <t>SPC PR No. 2000005534</t>
  </si>
  <si>
    <t>07242020D</t>
  </si>
  <si>
    <t>CWD 34-2020</t>
  </si>
  <si>
    <t>PRDP-IR-RCAR-MOP-010-000-000-2019-R1</t>
  </si>
  <si>
    <t>BTG3-2020-CS04</t>
  </si>
  <si>
    <t>BTG3-2020-CS03</t>
  </si>
  <si>
    <t>PRDP-IB-RO02-ISA-048-000-000-2019-AF</t>
  </si>
  <si>
    <t>20NC0137</t>
  </si>
  <si>
    <t>20-07-025</t>
  </si>
  <si>
    <t>2020-03-0432-MAIN</t>
  </si>
  <si>
    <t>2020-02-0267-MAIN</t>
  </si>
  <si>
    <t>2020-02-0252-MAIN</t>
  </si>
  <si>
    <t>IA-P-2020-02</t>
  </si>
  <si>
    <t>20-010-07 CHARLIE</t>
  </si>
  <si>
    <t>20-07-0149</t>
  </si>
  <si>
    <t>BAC-GS-2020-07-012</t>
  </si>
  <si>
    <t>20LB0191</t>
  </si>
  <si>
    <t>20-07-030</t>
  </si>
  <si>
    <t>PR No. 4000004556 dtd. 7/1/2020</t>
  </si>
  <si>
    <t>ITB PR No.: 3310-19BAC</t>
  </si>
  <si>
    <t>ITB PR No.: 1564-20BAC</t>
  </si>
  <si>
    <t>7212020</t>
  </si>
  <si>
    <t>ITB PR No.: 1563-20BAC</t>
  </si>
  <si>
    <t>COBAC IB NO. 004 (G) S. 2020</t>
  </si>
  <si>
    <t>IB-2020-087</t>
  </si>
  <si>
    <t>IB-2020-086</t>
  </si>
  <si>
    <t>NIAR6-JRMPII-GS01-20</t>
  </si>
  <si>
    <t>ITB PR No.: 1279-20BAC</t>
  </si>
  <si>
    <t>ITB 2020-013</t>
  </si>
  <si>
    <t>IB-2020-083</t>
  </si>
  <si>
    <t>IN No. 2020-0039</t>
  </si>
  <si>
    <t>BSU - PROJECT NO. 2020- 262</t>
  </si>
  <si>
    <t>ITB PR No.: 1181-20BAC</t>
  </si>
  <si>
    <t>PB 03-2020 - 01</t>
  </si>
  <si>
    <t>2020-07-20</t>
  </si>
  <si>
    <t>PB20-021-1</t>
  </si>
  <si>
    <t>BAC Ref No. 08-2020BTC</t>
  </si>
  <si>
    <t>2020-01-01</t>
  </si>
  <si>
    <t>BAC Ref No. 06-2020</t>
  </si>
  <si>
    <t>20EB0094</t>
  </si>
  <si>
    <t>INF20-13</t>
  </si>
  <si>
    <t>INF20-12</t>
  </si>
  <si>
    <t>INF20-11</t>
  </si>
  <si>
    <t>2020203</t>
  </si>
  <si>
    <t>20KA0101 (Readvertisement)</t>
  </si>
  <si>
    <t>BAC Ref No. 01-2020VS (2nd Bidding)</t>
  </si>
  <si>
    <t>20CSCH0003</t>
  </si>
  <si>
    <t>PB 03-2020-20</t>
  </si>
  <si>
    <t>BAC Ref No. 07-2020DC</t>
  </si>
  <si>
    <t>PB 03-2020-19</t>
  </si>
  <si>
    <t>PB 03-2020-18</t>
  </si>
  <si>
    <t>PB 03-2020-15</t>
  </si>
  <si>
    <t>PB 03-2020-14</t>
  </si>
  <si>
    <t>ITB 2020-009</t>
  </si>
  <si>
    <t>SVP 2020-402</t>
  </si>
  <si>
    <t>PB 03-2020-13</t>
  </si>
  <si>
    <t>PB 03-2020 - 10</t>
  </si>
  <si>
    <t>PB 03-2020 - 09</t>
  </si>
  <si>
    <t>PB 03-2020 - 06</t>
  </si>
  <si>
    <t>PB 03-2020-16</t>
  </si>
  <si>
    <t>SVP 2020-401</t>
  </si>
  <si>
    <t>CONTRACT ID: 20-07-097</t>
  </si>
  <si>
    <t>PB 03-2020-12</t>
  </si>
  <si>
    <t>PB 03-2020-11</t>
  </si>
  <si>
    <t>PB 03-2020-17</t>
  </si>
  <si>
    <t>PB 03-2020 - 02</t>
  </si>
  <si>
    <t>GD 2020-07-023</t>
  </si>
  <si>
    <t>PB 03-2020 - 07</t>
  </si>
  <si>
    <t>PB 03-202 - 03</t>
  </si>
  <si>
    <t>PB 03-2020-33</t>
  </si>
  <si>
    <t>PB 03-2020-40</t>
  </si>
  <si>
    <t>PB 03-2020-41</t>
  </si>
  <si>
    <t>PB 03-2020-37</t>
  </si>
  <si>
    <t>PB 03-2020-36</t>
  </si>
  <si>
    <t>PB 03-2020-34</t>
  </si>
  <si>
    <t>PB 03-2020-39</t>
  </si>
  <si>
    <t>PB 03-2020-31</t>
  </si>
  <si>
    <t>PB 03-2020-30</t>
  </si>
  <si>
    <t>PB 03-2020-29</t>
  </si>
  <si>
    <t>PB 03-2020-27</t>
  </si>
  <si>
    <t>PB 03-2020-25</t>
  </si>
  <si>
    <t>PB 03-2020-24</t>
  </si>
  <si>
    <t>PB 03-2020-32</t>
  </si>
  <si>
    <t>PB 03-2020 - 08</t>
  </si>
  <si>
    <t>PB 03-2020-38</t>
  </si>
  <si>
    <t>PB 03-2020-52</t>
  </si>
  <si>
    <t>PB 03-2020-28</t>
  </si>
  <si>
    <t>PR2007264</t>
  </si>
  <si>
    <t>PB 03-2020-59</t>
  </si>
  <si>
    <t>PB 03-2020-57</t>
  </si>
  <si>
    <t>PB 03-2020-49</t>
  </si>
  <si>
    <t>PB 03-2020-48</t>
  </si>
  <si>
    <t>PB 03-2020-58</t>
  </si>
  <si>
    <t>PB 03-2020- 55</t>
  </si>
  <si>
    <t>PB 03-2020-47</t>
  </si>
  <si>
    <t>PB 03-2020-46</t>
  </si>
  <si>
    <t>NTC RIV-A 2020-07-003</t>
  </si>
  <si>
    <t>NTC RIV-A 2020-07-002</t>
  </si>
  <si>
    <t>20CSC001</t>
  </si>
  <si>
    <t>PB 03-2020- 56</t>
  </si>
  <si>
    <t>PB 03-2020-51</t>
  </si>
  <si>
    <t>PB 03-2020-60</t>
  </si>
  <si>
    <t>20CSCC01</t>
  </si>
  <si>
    <t>01-05-2020-07-733</t>
  </si>
  <si>
    <t>ITB PR NO.: 1261-20BAC</t>
  </si>
  <si>
    <t>CONTRACT ID: 20-07-098</t>
  </si>
  <si>
    <t>20CSC003</t>
  </si>
  <si>
    <t>ITB PR NO.: 1260-20BAC</t>
  </si>
  <si>
    <t>ITB-SSS-GOODS-2020-022</t>
  </si>
  <si>
    <t>PB 03-2020-50</t>
  </si>
  <si>
    <t>CONTRACT ID: 20-07-099</t>
  </si>
  <si>
    <t>07-00947</t>
  </si>
  <si>
    <t>NP-SVP-20-058</t>
  </si>
  <si>
    <t>BSU - PROJECT NO. 2020- 261</t>
  </si>
  <si>
    <t>2020-07-0043</t>
  </si>
  <si>
    <t>ITB NO. 2020-0015</t>
  </si>
  <si>
    <t>20063984</t>
  </si>
  <si>
    <t>RFQ NO. SVP-037-2020</t>
  </si>
  <si>
    <t>20GZ00015</t>
  </si>
  <si>
    <t>BAC1-20-004</t>
  </si>
  <si>
    <t>GS-PNBAC2-2020-34</t>
  </si>
  <si>
    <t>C-0900-0045-20</t>
  </si>
  <si>
    <t>BAC1-20-013</t>
  </si>
  <si>
    <t>GS-PNBAC2-2020-21</t>
  </si>
  <si>
    <t>25-20</t>
  </si>
  <si>
    <t>ITB PR NO.: 1562-20BAC</t>
  </si>
  <si>
    <t>24-20</t>
  </si>
  <si>
    <t>20CSC002</t>
  </si>
  <si>
    <t>GS-PNBAC2-2020-33</t>
  </si>
  <si>
    <t>PUR20-02-0068</t>
  </si>
  <si>
    <t>20CH0077</t>
  </si>
  <si>
    <t>20Z00006</t>
  </si>
  <si>
    <t>PUR19-12-1459</t>
  </si>
  <si>
    <t>BCS-2020-0178</t>
  </si>
  <si>
    <t>BSU - PROJECT NO. 2020- 260</t>
  </si>
  <si>
    <t>PB 03-2020- 54</t>
  </si>
  <si>
    <t>PB 03-2020-45</t>
  </si>
  <si>
    <t>PB 03-2020-43</t>
  </si>
  <si>
    <t>PUR19-09-1140</t>
  </si>
  <si>
    <t>0067-2020</t>
  </si>
  <si>
    <t>ITB 2020-0022</t>
  </si>
  <si>
    <t>ITB No. FB20-03-007COR</t>
  </si>
  <si>
    <t>MG-A7M20-088</t>
  </si>
  <si>
    <t>23-20</t>
  </si>
  <si>
    <t>BAC-AS-2020-06-019</t>
  </si>
  <si>
    <t>SVP 2020-383</t>
  </si>
  <si>
    <t>SVP 2020-379</t>
  </si>
  <si>
    <t>NTC RIV-A 2020-07-001</t>
  </si>
  <si>
    <t>20GZ00004</t>
  </si>
  <si>
    <t>GS-PNBAC2-2020-24</t>
  </si>
  <si>
    <t>0064-2020</t>
  </si>
  <si>
    <t>RO-PG2020-003</t>
  </si>
  <si>
    <t>S1-MRW20-020</t>
  </si>
  <si>
    <t>PB 03-2020-44</t>
  </si>
  <si>
    <t>S1-MMG20-015</t>
  </si>
  <si>
    <t>S1-BIM20-015</t>
  </si>
  <si>
    <t>ITB-GS-20200608-01</t>
  </si>
  <si>
    <t>CSC-ITB No. 2020-10  (Proc. of Primary Internet Se</t>
  </si>
  <si>
    <t>CSC-ITB No. 2020-08 (Proc. of Laptops &amp; Printers</t>
  </si>
  <si>
    <t>CSC-ITB No. 2020-09 (Proc. of AVS Licenses)</t>
  </si>
  <si>
    <t>FS-2020-IHAOAN-RIP-001-RO</t>
  </si>
  <si>
    <t>ITB-2020-001Lumintao</t>
  </si>
  <si>
    <t>20FA0061</t>
  </si>
  <si>
    <t>2020-NSC-002</t>
  </si>
  <si>
    <t>DTI PB-20-012</t>
  </si>
  <si>
    <t>2020-0055 dated 19 June 2020</t>
  </si>
  <si>
    <t>IB-2020-078</t>
  </si>
  <si>
    <t>20GZ00001</t>
  </si>
  <si>
    <t>20-05-1394</t>
  </si>
  <si>
    <t>20-07-115</t>
  </si>
  <si>
    <t>20-06-239</t>
  </si>
  <si>
    <t>ITB-GS-20200311-01</t>
  </si>
  <si>
    <t>2020168</t>
  </si>
  <si>
    <t>20FA0060</t>
  </si>
  <si>
    <t>SVP 2020-373</t>
  </si>
  <si>
    <t>20DQ0121</t>
  </si>
  <si>
    <t>20LB0206</t>
  </si>
  <si>
    <t>S1-NDP20-008</t>
  </si>
  <si>
    <t>S1-MTS20-004</t>
  </si>
  <si>
    <t>20DN0160</t>
  </si>
  <si>
    <t>20DN0150</t>
  </si>
  <si>
    <t>063</t>
  </si>
  <si>
    <t>20DN0148</t>
  </si>
  <si>
    <t>20DN0168</t>
  </si>
  <si>
    <t>MG-TSE20-018..METER, MULTIFUNCTION</t>
  </si>
  <si>
    <t>20DN0145</t>
  </si>
  <si>
    <t>20DN0157</t>
  </si>
  <si>
    <t>20DN0149</t>
  </si>
  <si>
    <t>20DN0169</t>
  </si>
  <si>
    <t>05-00694</t>
  </si>
  <si>
    <t>20DN0161</t>
  </si>
  <si>
    <t>BAC1-20-006</t>
  </si>
  <si>
    <t>2020-twg1-005 with RIS No.19-82-025</t>
  </si>
  <si>
    <t>20CN0125</t>
  </si>
  <si>
    <t>20CN0124</t>
  </si>
  <si>
    <t>SVP 20-1217</t>
  </si>
  <si>
    <t>20CN0123</t>
  </si>
  <si>
    <t>2020-twg1-006 with RIS No.19-82-025</t>
  </si>
  <si>
    <t>RFQ NO. SVP-022-2020</t>
  </si>
  <si>
    <t>ITB No. GOP/19-DSWD-059-A</t>
  </si>
  <si>
    <t>20CN0126</t>
  </si>
  <si>
    <t>20CN0072</t>
  </si>
  <si>
    <t>20CN0073</t>
  </si>
  <si>
    <t>20CN0068</t>
  </si>
  <si>
    <t>20CN0066</t>
  </si>
  <si>
    <t>BCS-2020-0136</t>
  </si>
  <si>
    <t>20CN0075</t>
  </si>
  <si>
    <t>20CN0071</t>
  </si>
  <si>
    <t>20CN0069</t>
  </si>
  <si>
    <t>ITB-SSS-GOODS-2020-018</t>
  </si>
  <si>
    <t>20DQ0128</t>
  </si>
  <si>
    <t>ITB-GS-20200413-01</t>
  </si>
  <si>
    <t>2020170</t>
  </si>
  <si>
    <t>20DN0141</t>
  </si>
  <si>
    <t>20DN0140</t>
  </si>
  <si>
    <t>BAC1-20-005</t>
  </si>
  <si>
    <t>20DN0139</t>
  </si>
  <si>
    <t>20DN0144</t>
  </si>
  <si>
    <t>20DN0174</t>
  </si>
  <si>
    <t>20DN0173</t>
  </si>
  <si>
    <t>20CN0067</t>
  </si>
  <si>
    <t>20DN0131</t>
  </si>
  <si>
    <t>20DN0138</t>
  </si>
  <si>
    <t>20DN0137</t>
  </si>
  <si>
    <t>BAC1-20-014</t>
  </si>
  <si>
    <t>BAC1-20-011</t>
  </si>
  <si>
    <t>BAC1-20-009</t>
  </si>
  <si>
    <t>20DN0170</t>
  </si>
  <si>
    <t>ITB-GS-20200323-01</t>
  </si>
  <si>
    <t>20DN0130</t>
  </si>
  <si>
    <t>20FN0092</t>
  </si>
  <si>
    <t>ITB NO. OCD 2020-11</t>
  </si>
  <si>
    <t>20KA0142</t>
  </si>
  <si>
    <t>20FN0089</t>
  </si>
  <si>
    <t>S1-MQN20-007</t>
  </si>
  <si>
    <t>27388-001</t>
  </si>
  <si>
    <t>27608-001</t>
  </si>
  <si>
    <t>20FN0094</t>
  </si>
  <si>
    <t>27619-001 to 27619-003</t>
  </si>
  <si>
    <t>C-2020-01</t>
  </si>
  <si>
    <t>20FN0102</t>
  </si>
  <si>
    <t>20FN0100</t>
  </si>
  <si>
    <t>S1-TDP20-013</t>
  </si>
  <si>
    <t>27611-001</t>
  </si>
  <si>
    <t>20KB0167</t>
  </si>
  <si>
    <t>20KB0168</t>
  </si>
  <si>
    <t>19CSK00041</t>
  </si>
  <si>
    <t>BAC1-20-012</t>
  </si>
  <si>
    <t>BAC1-20-010</t>
  </si>
  <si>
    <t>SVP 20-710-2</t>
  </si>
  <si>
    <t>BAC1-20-008</t>
  </si>
  <si>
    <t>INFRA-PNBAC2-2020-16</t>
  </si>
  <si>
    <t>INFRA-PNBAC2-2020-15</t>
  </si>
  <si>
    <t>06-00723</t>
  </si>
  <si>
    <t>BAC1-20-007</t>
  </si>
  <si>
    <t>Contract No. 04-2020</t>
  </si>
  <si>
    <t>INFRA-PNBAC2-2020-14</t>
  </si>
  <si>
    <t>20GZ00002</t>
  </si>
  <si>
    <t>ITB-GS-20200313-01</t>
  </si>
  <si>
    <t>SVP 20-1151</t>
  </si>
  <si>
    <t>PB 03-2020-53</t>
  </si>
  <si>
    <t>PB 03-2020-23</t>
  </si>
  <si>
    <t>PB 03-2020-22</t>
  </si>
  <si>
    <t>PB 03-2020-21</t>
  </si>
  <si>
    <t>PR # 20-07-995/994/996</t>
  </si>
  <si>
    <t>2020-05-06a</t>
  </si>
  <si>
    <t>20KB0174</t>
  </si>
  <si>
    <t>ITB 2020-INFRA-004</t>
  </si>
  <si>
    <t>BCS-2020-0171</t>
  </si>
  <si>
    <t>ITB 2020-INFRA-003</t>
  </si>
  <si>
    <t>20C00042</t>
  </si>
  <si>
    <t>20-05-0245</t>
  </si>
  <si>
    <t>ISS 2020-008-IT</t>
  </si>
  <si>
    <t>ITB 2020-INFRA-001</t>
  </si>
  <si>
    <t>20C00036</t>
  </si>
  <si>
    <t>20KA0141</t>
  </si>
  <si>
    <t>20KA0140</t>
  </si>
  <si>
    <t>ITB 2020-INFRA-002</t>
  </si>
  <si>
    <t>2020-GSIS-PB-083</t>
  </si>
  <si>
    <t>20CN0070</t>
  </si>
  <si>
    <t>20-DO-0079</t>
  </si>
  <si>
    <t>20CN0074</t>
  </si>
  <si>
    <t>20KA0137</t>
  </si>
  <si>
    <t>PB 20-15</t>
  </si>
  <si>
    <t>20KA0139</t>
  </si>
  <si>
    <t>MPG-B1-2020-415</t>
  </si>
  <si>
    <t>MPG-B1-2020-250</t>
  </si>
  <si>
    <t>PB 03-2020-42</t>
  </si>
  <si>
    <t>MPG-B1-2019-416</t>
  </si>
  <si>
    <t>MPG-B2-2020-310 Nego</t>
  </si>
  <si>
    <t>GPG-B2-2020-103 2nd Rebid</t>
  </si>
  <si>
    <t>MPG-B1-2020-231 Rebid</t>
  </si>
  <si>
    <t>ITB-GS-20191202-01</t>
  </si>
  <si>
    <t>MA-A2H20-006..BATTERY BANK, STATION BATTERY, AGUS</t>
  </si>
  <si>
    <t>ITB-GS-20190703-01(2)</t>
  </si>
  <si>
    <t>PB 20-16</t>
  </si>
  <si>
    <t>2020-03-0023</t>
  </si>
  <si>
    <t>20KA0138</t>
  </si>
  <si>
    <t>20FA0047</t>
  </si>
  <si>
    <t>GPG-B2-2020-272  2nd Rebid</t>
  </si>
  <si>
    <t>20FA0048</t>
  </si>
  <si>
    <t>GPG-B2-2020-282 2nd Rebid</t>
  </si>
  <si>
    <t>ITB-GS-20200212-01</t>
  </si>
  <si>
    <t>DA7-FOD-C-20-1802</t>
  </si>
  <si>
    <t>20HD0068</t>
  </si>
  <si>
    <t>20HD0061</t>
  </si>
  <si>
    <t>20JC0056</t>
  </si>
  <si>
    <t>20OE0173</t>
  </si>
  <si>
    <t>20JE0080</t>
  </si>
  <si>
    <t>20HD0058</t>
  </si>
  <si>
    <t>2020-03-009</t>
  </si>
  <si>
    <t>20JE0070</t>
  </si>
  <si>
    <t>20JE0067</t>
  </si>
  <si>
    <t>20OE0190</t>
  </si>
  <si>
    <t>PB No. 19-341-7</t>
  </si>
  <si>
    <t>20OD0128</t>
  </si>
  <si>
    <t>20OD0127</t>
  </si>
  <si>
    <t>20JE0069</t>
  </si>
  <si>
    <t>GPG-B1-2020-010-MEDICAL EQPT</t>
  </si>
  <si>
    <t>MPG-B1-2020-054</t>
  </si>
  <si>
    <t>SVP 2020-12</t>
  </si>
  <si>
    <t>20JE0079</t>
  </si>
  <si>
    <t>20FN0077</t>
  </si>
  <si>
    <t>2020-02 Infra (Rebid 2020 BEFF Lot 6)</t>
  </si>
  <si>
    <t>20FA0040</t>
  </si>
  <si>
    <t>20FN0081</t>
  </si>
  <si>
    <t>20OE0091</t>
  </si>
  <si>
    <t>MPG-B1-2020-002</t>
  </si>
  <si>
    <t>GPG-B1-2020-220-3RD REBID-AIR-CONDITIONING UNITS</t>
  </si>
  <si>
    <t>ITB RX-2018-002-A</t>
  </si>
  <si>
    <t>20FA0049</t>
  </si>
  <si>
    <t>MPG-B1-2019-562 3rd Rebid</t>
  </si>
  <si>
    <t>CDC 42-03-2020</t>
  </si>
  <si>
    <t>MPG-BI 2020-318 4th Rebid SUPPLY AND DELIVERY OF B</t>
  </si>
  <si>
    <t>20FA0050</t>
  </si>
  <si>
    <t>ITB 2020-INFRA-007</t>
  </si>
  <si>
    <t>ITB-GS-20200305-03</t>
  </si>
  <si>
    <t>ITB 2020-INFRA-005</t>
  </si>
  <si>
    <t>MG-A7C20-023</t>
  </si>
  <si>
    <t>ITB-GS-20200402-01</t>
  </si>
  <si>
    <t>ITB 2020-INFRA-006</t>
  </si>
  <si>
    <t>CSU2020-07-007-HOTEL</t>
  </si>
  <si>
    <t>CSU2020-07-008-HOTEL</t>
  </si>
  <si>
    <t>TAL-06-03-2020</t>
  </si>
  <si>
    <t>20NC0138</t>
  </si>
  <si>
    <t>IB 2020-085</t>
  </si>
  <si>
    <t>IB 2020-084</t>
  </si>
  <si>
    <t>20KA0136</t>
  </si>
  <si>
    <t>ITB-GS-20200407-01</t>
  </si>
  <si>
    <t>CAT-2020-001</t>
  </si>
  <si>
    <t>2020-0292, 2020-0293, 2020-0294, 2020-0298</t>
  </si>
  <si>
    <t>NIAR6-GAA-SOLAR-GS03-20</t>
  </si>
  <si>
    <t>20CSCH0002</t>
  </si>
  <si>
    <t>20KA0135</t>
  </si>
  <si>
    <t>VARIOUS LAB. SUPPLIES-AMMONIUM ETC..</t>
  </si>
  <si>
    <t>20-0201</t>
  </si>
  <si>
    <t>WOR-0017</t>
  </si>
  <si>
    <t>WOR-0006</t>
  </si>
  <si>
    <t>RCEF Goods 20-07-06</t>
  </si>
  <si>
    <t>20-82-024</t>
  </si>
  <si>
    <t>2020-snv-007</t>
  </si>
  <si>
    <t>BCS-2020-0199</t>
  </si>
  <si>
    <t>RCEF Goods 20-07-07</t>
  </si>
  <si>
    <t>20200719-04INF</t>
  </si>
  <si>
    <t>BAC19-001-004</t>
  </si>
  <si>
    <t>Implementing Rules and Regulations</t>
  </si>
  <si>
    <t>Others</t>
  </si>
  <si>
    <t>International / Executive Agreement</t>
  </si>
  <si>
    <t>ADB Procurement Guidelines</t>
  </si>
  <si>
    <t>WB Procurement Guidelines</t>
  </si>
  <si>
    <t>ADB Guidelines on the use of Consultants</t>
  </si>
  <si>
    <t>WB Guidelines on the use of Consultants</t>
  </si>
  <si>
    <t>Negotiated Procurement - Small Value Procurement (Sec. 53.9)</t>
  </si>
  <si>
    <t>Public Bidding</t>
  </si>
  <si>
    <t>Negotiated Procurement - Two Failed Biddings (Sec. 53.1)</t>
  </si>
  <si>
    <t>Shopping - Ordinary/Regular Office Supplies &amp; Equipment (Sec. 52.1.b)</t>
  </si>
  <si>
    <t>Shopping</t>
  </si>
  <si>
    <t>National Competitive Bidding</t>
  </si>
  <si>
    <t>Negotiated Procurement - NGO Participation (Sec. 53.11)</t>
  </si>
  <si>
    <t>Selection based on Consultants Qualification</t>
  </si>
  <si>
    <t>International Competitive Bidding</t>
  </si>
  <si>
    <t>Limited Source Bidding (Sec. 49)</t>
  </si>
  <si>
    <t>Civil Works</t>
  </si>
  <si>
    <t>Goods - General Support Services</t>
  </si>
  <si>
    <t>Consulting Services</t>
  </si>
  <si>
    <t>Security Services</t>
  </si>
  <si>
    <t>Fuels/Fuel Additives &amp; Lubricants &amp; Anti Corrosive</t>
  </si>
  <si>
    <t>Agricultural Products (Seeds, Seedlings, Plants..)</t>
  </si>
  <si>
    <t>Hardware and Construction Supplies</t>
  </si>
  <si>
    <t>Services</t>
  </si>
  <si>
    <t>Environmental Health/Safety Equipment</t>
  </si>
  <si>
    <t>Water Service Connection Materials/Fittings</t>
  </si>
  <si>
    <t>Fixtures</t>
  </si>
  <si>
    <t>Medical and Dental Equipment</t>
  </si>
  <si>
    <t>Agricultural Chemicals</t>
  </si>
  <si>
    <t>Construction Management Services</t>
  </si>
  <si>
    <t>Vehicle Repair and Maintenance</t>
  </si>
  <si>
    <t>Live Animals (Livestock, Birds, Live fish &amp; etc..)</t>
  </si>
  <si>
    <t>Fire Fighting &amp; Rescue and Safety Equipment</t>
  </si>
  <si>
    <t>Safety and Occupational Products</t>
  </si>
  <si>
    <t>Medical Supplies and Laboratory Instrument</t>
  </si>
  <si>
    <t>Well Drilling and Construction Services</t>
  </si>
  <si>
    <t>Printing Services</t>
  </si>
  <si>
    <t>Office Equipment Parts and Accessories</t>
  </si>
  <si>
    <t>Appliances</t>
  </si>
  <si>
    <t>Educational Materials and Supplies</t>
  </si>
  <si>
    <t>Security Surveillance and Detection Equipment</t>
  </si>
  <si>
    <t>Hospital / Medical Equipment</t>
  </si>
  <si>
    <t>Agricultural Machinery and Equipment</t>
  </si>
  <si>
    <t>Maritime Spare Parts</t>
  </si>
  <si>
    <t>Electrical Systems and Lighting Components</t>
  </si>
  <si>
    <t>Metal Fabrication</t>
  </si>
  <si>
    <t>Communication Equipment &amp; Parts and Accessories</t>
  </si>
  <si>
    <t>Hospital / Medical Equipment Services</t>
  </si>
  <si>
    <t>Packaging Supplies and Materials</t>
  </si>
  <si>
    <t>Navigation Equipment</t>
  </si>
  <si>
    <t>Industrial Machinery and Equipment</t>
  </si>
  <si>
    <t>Printing Supplies</t>
  </si>
  <si>
    <t>Power Generation and Distribution Machinery</t>
  </si>
  <si>
    <t>Airconditioning and Airconditioning Systems</t>
  </si>
  <si>
    <t>Musical Instrument Parts and Accesories</t>
  </si>
  <si>
    <t>Fertilizers</t>
  </si>
  <si>
    <t>General Repair and Maintenance Services</t>
  </si>
  <si>
    <t>Photographic Equipment</t>
  </si>
  <si>
    <t>Diagnostic and Laboratory Services</t>
  </si>
  <si>
    <t>Janitorial Supplies</t>
  </si>
  <si>
    <t>Laboratory Supplies and Equipment</t>
  </si>
  <si>
    <t>Reproduction Services</t>
  </si>
  <si>
    <t>Advertising Agency Services</t>
  </si>
  <si>
    <t>Engineering and Laboratory Testing Equipment</t>
  </si>
  <si>
    <t>Transportation and Communications Services</t>
  </si>
  <si>
    <t>Packed Food Distributor</t>
  </si>
  <si>
    <t>Electronic Parts and Components</t>
  </si>
  <si>
    <t>Internet Services</t>
  </si>
  <si>
    <t>Traffic Control Systems</t>
  </si>
  <si>
    <t>Food Processing Equipment</t>
  </si>
  <si>
    <t>Automation Equipment</t>
  </si>
  <si>
    <t>Veterinary Products and Supplies</t>
  </si>
  <si>
    <t>Dairy Products</t>
  </si>
  <si>
    <t>Water and Waste Water Treatment Supply &amp; Disposal</t>
  </si>
  <si>
    <t>Books, Maps and Other Publications</t>
  </si>
  <si>
    <t>Furniture Parts and Accessories</t>
  </si>
  <si>
    <t>Airconditioning Maintenance Services</t>
  </si>
  <si>
    <t>General Engineering Services</t>
  </si>
  <si>
    <t>Bedclothes, Linens and Towels</t>
  </si>
  <si>
    <t>Construction Equipment</t>
  </si>
  <si>
    <t>General Contractor</t>
  </si>
  <si>
    <t>Transmission and Distribution Lines</t>
  </si>
  <si>
    <t>Machine Tools</t>
  </si>
  <si>
    <t>Sporting Goods</t>
  </si>
  <si>
    <t>Public Relations Programs or Services</t>
  </si>
  <si>
    <t>Chemicals and Chemical Products</t>
  </si>
  <si>
    <t>Industrial pumps and compressors</t>
  </si>
  <si>
    <t>Aircraft Spare Parts</t>
  </si>
  <si>
    <t>Marine Transport</t>
  </si>
  <si>
    <t>Surveying Services</t>
  </si>
  <si>
    <t>Photographic Parts, Supplies and Accessories</t>
  </si>
  <si>
    <t>Signage and Accessories</t>
  </si>
  <si>
    <t>Hotel and Lodging and Meeting Facilities</t>
  </si>
  <si>
    <t>Waste Management and Recycling</t>
  </si>
  <si>
    <t>Quartermaster Items</t>
  </si>
  <si>
    <t>Pest Control Products</t>
  </si>
  <si>
    <t>Computer Furniture</t>
  </si>
  <si>
    <t>Freight Forwarder Services</t>
  </si>
  <si>
    <t>Pest Control Services</t>
  </si>
  <si>
    <t>Purses, handbags and bags</t>
  </si>
  <si>
    <t>Events Management</t>
  </si>
  <si>
    <t>Microfilm Equipment - Supplies and Accesories</t>
  </si>
  <si>
    <t>Telecommunications Provider</t>
  </si>
  <si>
    <t>Surveying Instruments</t>
  </si>
  <si>
    <t>Newspapers</t>
  </si>
  <si>
    <t>Cargo Forwarding and Hauling Services</t>
  </si>
  <si>
    <t>Personal Care Products</t>
  </si>
  <si>
    <t>Print and Broadcast and Aerial Advertising</t>
  </si>
  <si>
    <t>Ammunitions and Explosives</t>
  </si>
  <si>
    <t>Education and Training Services</t>
  </si>
  <si>
    <t>Market Research Services</t>
  </si>
  <si>
    <t>Mail and Cargo Transport Services</t>
  </si>
  <si>
    <t>Tokens and Awards</t>
  </si>
  <si>
    <t>Paper Materials and Products</t>
  </si>
  <si>
    <t>Gaming Equipment and Paraphernalia</t>
  </si>
  <si>
    <t>Lease and Rental of Property or Building</t>
  </si>
  <si>
    <t>IT Broadcasting and Telecommunications</t>
  </si>
  <si>
    <t>Photography Services</t>
  </si>
  <si>
    <t>Textiles</t>
  </si>
  <si>
    <t>Chemical Detergents</t>
  </si>
  <si>
    <t>Plastic Products</t>
  </si>
  <si>
    <t>Janitorial Equipment</t>
  </si>
  <si>
    <t>Rice Milling Services</t>
  </si>
  <si>
    <t>Kitchenware</t>
  </si>
  <si>
    <t>Structured Cabling</t>
  </si>
  <si>
    <t>Video Production Services</t>
  </si>
  <si>
    <t>Travel, Food, Lodging and Entertainment Services</t>
  </si>
  <si>
    <t>Oil/Heat Chemical Resistant Rubber</t>
  </si>
  <si>
    <t>Lifting equipment and accessories</t>
  </si>
  <si>
    <t>Industrial Safety Equipment</t>
  </si>
  <si>
    <t>Arts and Crafts Accessories and Supplies</t>
  </si>
  <si>
    <t>Editorial, Design, Graphic and Fine Art Services</t>
  </si>
  <si>
    <t>Systems Integration</t>
  </si>
  <si>
    <t>Musical Instruments</t>
  </si>
  <si>
    <t>Investigative Equipment</t>
  </si>
  <si>
    <t>Funeral and Associated Services</t>
  </si>
  <si>
    <t>Aviation Products</t>
  </si>
  <si>
    <t>Geotechnical Instrumentation</t>
  </si>
  <si>
    <t>Corporate Giveaways</t>
  </si>
  <si>
    <t>Beverages</t>
  </si>
  <si>
    <t>Landscaping Services</t>
  </si>
  <si>
    <t>Flags</t>
  </si>
  <si>
    <t>Sub-station Contractors</t>
  </si>
  <si>
    <t>Financial and Insurance Services</t>
  </si>
  <si>
    <t>Hydrological Instruments</t>
  </si>
  <si>
    <t>Ordnance Products</t>
  </si>
  <si>
    <t>Guns and Weapons</t>
  </si>
  <si>
    <t>Timepieces and Jewelry and Gemstone Products</t>
  </si>
  <si>
    <t>Laundry Services</t>
  </si>
  <si>
    <t>Radiological/Diagnostic Equipment</t>
  </si>
  <si>
    <t>Telecommunications Engineering</t>
  </si>
  <si>
    <t>168,876.36</t>
  </si>
  <si>
    <t>850,000.00</t>
  </si>
  <si>
    <t>150,000.00</t>
  </si>
  <si>
    <t>319,997,700.00</t>
  </si>
  <si>
    <t>1,126,170.50</t>
  </si>
  <si>
    <t>140,000.00</t>
  </si>
  <si>
    <t>52,750.00</t>
  </si>
  <si>
    <t>112,590.00</t>
  </si>
  <si>
    <t>120,000.00</t>
  </si>
  <si>
    <t>484,789.37</t>
  </si>
  <si>
    <t>969,914.78</t>
  </si>
  <si>
    <t>2,483,592.85</t>
  </si>
  <si>
    <t>5,825,000.00</t>
  </si>
  <si>
    <t>4,827,239.14</t>
  </si>
  <si>
    <t>484,967.11</t>
  </si>
  <si>
    <t>639,988.00</t>
  </si>
  <si>
    <t>2,800,000.00</t>
  </si>
  <si>
    <t>2,400,000.00</t>
  </si>
  <si>
    <t>4,999,975.58</t>
  </si>
  <si>
    <t>1,000,000.00</t>
  </si>
  <si>
    <t>5,736,987.48</t>
  </si>
  <si>
    <t>12,437,481.18</t>
  </si>
  <si>
    <t>125,125.00</t>
  </si>
  <si>
    <t>969,983.03</t>
  </si>
  <si>
    <t>343,032.00</t>
  </si>
  <si>
    <t>700,000.00</t>
  </si>
  <si>
    <t>10,385,055.14</t>
  </si>
  <si>
    <t>297,070.00</t>
  </si>
  <si>
    <t>290,896.28</t>
  </si>
  <si>
    <t>241,577.00</t>
  </si>
  <si>
    <t>338,896.98</t>
  </si>
  <si>
    <t>100,000.00</t>
  </si>
  <si>
    <t>6,455,887.38</t>
  </si>
  <si>
    <t>71,750.00</t>
  </si>
  <si>
    <t>378,371.50</t>
  </si>
  <si>
    <t>374,000.00</t>
  </si>
  <si>
    <t>12,437,438.68</t>
  </si>
  <si>
    <t>460,000.00</t>
  </si>
  <si>
    <t>136,500.00</t>
  </si>
  <si>
    <t>142,000.00</t>
  </si>
  <si>
    <t>54,000.00</t>
  </si>
  <si>
    <t>493,568.00</t>
  </si>
  <si>
    <t>16,900,000.00</t>
  </si>
  <si>
    <t>198,920.00</t>
  </si>
  <si>
    <t>499,484.60</t>
  </si>
  <si>
    <t>56,700.00</t>
  </si>
  <si>
    <t>299,902.93</t>
  </si>
  <si>
    <t>70,000.00</t>
  </si>
  <si>
    <t>243,110.00</t>
  </si>
  <si>
    <t>8,000,000.00</t>
  </si>
  <si>
    <t>2,206,255.31</t>
  </si>
  <si>
    <t>295,775.60</t>
  </si>
  <si>
    <t>53,300.00</t>
  </si>
  <si>
    <t>1,833,018.00</t>
  </si>
  <si>
    <t>756,000.00</t>
  </si>
  <si>
    <t>1,201,315.30</t>
  </si>
  <si>
    <t>118,000.00</t>
  </si>
  <si>
    <t>288,800.00</t>
  </si>
  <si>
    <t>313,000.00</t>
  </si>
  <si>
    <t>157,000.00</t>
  </si>
  <si>
    <t>198,900.00</t>
  </si>
  <si>
    <t>1,653,857.99</t>
  </si>
  <si>
    <t>595,760.20</t>
  </si>
  <si>
    <t>300,000.00</t>
  </si>
  <si>
    <t>1,202,494.94</t>
  </si>
  <si>
    <t>322,800.00</t>
  </si>
  <si>
    <t>500,000.00</t>
  </si>
  <si>
    <t>299,815.00</t>
  </si>
  <si>
    <t>1,909,005.00</t>
  </si>
  <si>
    <t>575,200.00</t>
  </si>
  <si>
    <t>127,308.00</t>
  </si>
  <si>
    <t>66,000.00</t>
  </si>
  <si>
    <t>2,357,394.26</t>
  </si>
  <si>
    <t>485,650.00</t>
  </si>
  <si>
    <t>496,776.00</t>
  </si>
  <si>
    <t>2,992,047.30</t>
  </si>
  <si>
    <t>2,000.00</t>
  </si>
  <si>
    <t>525,000.00</t>
  </si>
  <si>
    <t>831,158.00</t>
  </si>
  <si>
    <t>565,580.00</t>
  </si>
  <si>
    <t>400,000.00</t>
  </si>
  <si>
    <t>175,820.00</t>
  </si>
  <si>
    <t>7,641,538.08</t>
  </si>
  <si>
    <t>92,976.00</t>
  </si>
  <si>
    <t>147,449.00</t>
  </si>
  <si>
    <t>800,000.00</t>
  </si>
  <si>
    <t>428,000.00</t>
  </si>
  <si>
    <t>981,723.89</t>
  </si>
  <si>
    <t>195,780.00</t>
  </si>
  <si>
    <t>124,400.00</t>
  </si>
  <si>
    <t>81,044.33</t>
  </si>
  <si>
    <t>4,000,000.00</t>
  </si>
  <si>
    <t>258,857.00</t>
  </si>
  <si>
    <t>301,543.00</t>
  </si>
  <si>
    <t>144,507.00</t>
  </si>
  <si>
    <t>250,000.00</t>
  </si>
  <si>
    <t>38,700.00</t>
  </si>
  <si>
    <t>127,743.00</t>
  </si>
  <si>
    <t>150.00</t>
  </si>
  <si>
    <t>4,825,000.00</t>
  </si>
  <si>
    <t>72,375,000.00</t>
  </si>
  <si>
    <t>80,000.00</t>
  </si>
  <si>
    <t>25,040.00</t>
  </si>
  <si>
    <t>50,934.00</t>
  </si>
  <si>
    <t>21,740.00</t>
  </si>
  <si>
    <t>485,327.92</t>
  </si>
  <si>
    <t>2,700.00</t>
  </si>
  <si>
    <t>1,239,560.00</t>
  </si>
  <si>
    <t>321,000.00</t>
  </si>
  <si>
    <t>60,800.00</t>
  </si>
  <si>
    <t>1,549,696.00</t>
  </si>
  <si>
    <t>1,381,260.00</t>
  </si>
  <si>
    <t>93,960.00</t>
  </si>
  <si>
    <t>176,675.00</t>
  </si>
  <si>
    <t>228,000.00</t>
  </si>
  <si>
    <t>1,930,000.00</t>
  </si>
  <si>
    <t>270,551.70</t>
  </si>
  <si>
    <t>704,000.00</t>
  </si>
  <si>
    <t>95,000.00</t>
  </si>
  <si>
    <t>3,860,000.00</t>
  </si>
  <si>
    <t>125,000.00</t>
  </si>
  <si>
    <t>499,959.79</t>
  </si>
  <si>
    <t>84,490.00</t>
  </si>
  <si>
    <t>71,490.00</t>
  </si>
  <si>
    <t>3,600.00</t>
  </si>
  <si>
    <t>91,000.00</t>
  </si>
  <si>
    <t>99,000.00</t>
  </si>
  <si>
    <t>316,276.05</t>
  </si>
  <si>
    <t>136,080.00</t>
  </si>
  <si>
    <t>1,613,199.60</t>
  </si>
  <si>
    <t>2,999,508.75</t>
  </si>
  <si>
    <t>8,200.00</t>
  </si>
  <si>
    <t>228,700.00</t>
  </si>
  <si>
    <t>130,000.00</t>
  </si>
  <si>
    <t>185,000.00</t>
  </si>
  <si>
    <t>64,995.00</t>
  </si>
  <si>
    <t>8,902,288.50</t>
  </si>
  <si>
    <t>171,075.00</t>
  </si>
  <si>
    <t>415,550.00</t>
  </si>
  <si>
    <t>4,144,000.00</t>
  </si>
  <si>
    <t>154,000.00</t>
  </si>
  <si>
    <t>187,424.00</t>
  </si>
  <si>
    <t>84,050.00</t>
  </si>
  <si>
    <t>55,250.00</t>
  </si>
  <si>
    <t>767,812.60</t>
  </si>
  <si>
    <t>1,549,413.20</t>
  </si>
  <si>
    <t>1,298,464.00</t>
  </si>
  <si>
    <t>2,497,936.88</t>
  </si>
  <si>
    <t>14,475,000.00</t>
  </si>
  <si>
    <t>324,960.00</t>
  </si>
  <si>
    <t>2,300,723.85</t>
  </si>
  <si>
    <t>10,000.00</t>
  </si>
  <si>
    <t>9,703.00</t>
  </si>
  <si>
    <t>27,500.00</t>
  </si>
  <si>
    <t>620,625.00</t>
  </si>
  <si>
    <t>25,000.00</t>
  </si>
  <si>
    <t>50,000.00</t>
  </si>
  <si>
    <t>793,017.50</t>
  </si>
  <si>
    <t>66,300.00</t>
  </si>
  <si>
    <t>24,875,000.00</t>
  </si>
  <si>
    <t>89,537.50</t>
  </si>
  <si>
    <t>15,000.00</t>
  </si>
  <si>
    <t>81,540.00</t>
  </si>
  <si>
    <t>2,624,000.00</t>
  </si>
  <si>
    <t>59,885.00</t>
  </si>
  <si>
    <t>59,905.00</t>
  </si>
  <si>
    <t>314,922.00</t>
  </si>
  <si>
    <t>86,400.00</t>
  </si>
  <si>
    <t>20,000.00</t>
  </si>
  <si>
    <t>310,350.00</t>
  </si>
  <si>
    <t>180,000.00</t>
  </si>
  <si>
    <t>554,200.00</t>
  </si>
  <si>
    <t>409,000.00</t>
  </si>
  <si>
    <t>71,564.00</t>
  </si>
  <si>
    <t>56,950.00</t>
  </si>
  <si>
    <t>999,809.34</t>
  </si>
  <si>
    <t>71,500.00</t>
  </si>
  <si>
    <t>8,359.00</t>
  </si>
  <si>
    <t>133,900.00</t>
  </si>
  <si>
    <t>830,000.00</t>
  </si>
  <si>
    <t>165,710.00</t>
  </si>
  <si>
    <t>945,360.70</t>
  </si>
  <si>
    <t>167,400.00</t>
  </si>
  <si>
    <t>882,700.00</t>
  </si>
  <si>
    <t>200,000.00</t>
  </si>
  <si>
    <t>256,212.00</t>
  </si>
  <si>
    <t>237,000.00</t>
  </si>
  <si>
    <t>459,000.00</t>
  </si>
  <si>
    <t>118,500.00</t>
  </si>
  <si>
    <t>1,654,055.00</t>
  </si>
  <si>
    <t>620,000.00</t>
  </si>
  <si>
    <t>999,000.00</t>
  </si>
  <si>
    <t>8,085,000.00</t>
  </si>
  <si>
    <t>1,520,000.00</t>
  </si>
  <si>
    <t>175,061.60</t>
  </si>
  <si>
    <t>143,032.18</t>
  </si>
  <si>
    <t>732,500.00</t>
  </si>
  <si>
    <t>900,000.00</t>
  </si>
  <si>
    <t>898,600.00</t>
  </si>
  <si>
    <t>79,145.00</t>
  </si>
  <si>
    <t>3,000,000.00</t>
  </si>
  <si>
    <t>1,243,469.00</t>
  </si>
  <si>
    <t>842,820.00</t>
  </si>
  <si>
    <t>781,000.00</t>
  </si>
  <si>
    <t>1,300,000.00</t>
  </si>
  <si>
    <t>450,000.00</t>
  </si>
  <si>
    <t>495,000.00</t>
  </si>
  <si>
    <t>848,000.00</t>
  </si>
  <si>
    <t>111,269.60</t>
  </si>
  <si>
    <t>65,170.00</t>
  </si>
  <si>
    <t>1,400,000.00</t>
  </si>
  <si>
    <t>255,000.00</t>
  </si>
  <si>
    <t>590,000.00</t>
  </si>
  <si>
    <t>66,729.72</t>
  </si>
  <si>
    <t>249,450.00</t>
  </si>
  <si>
    <t>564,100.00</t>
  </si>
  <si>
    <t>1,350,000.00</t>
  </si>
  <si>
    <t>69,719.00</t>
  </si>
  <si>
    <t>66,840.00</t>
  </si>
  <si>
    <t>990,000.00</t>
  </si>
  <si>
    <t>2,360,000.00</t>
  </si>
  <si>
    <t>122,400.00</t>
  </si>
  <si>
    <t>61,200.00</t>
  </si>
  <si>
    <t>129,705.00</t>
  </si>
  <si>
    <t>239,647.00</t>
  </si>
  <si>
    <t>54,400.00</t>
  </si>
  <si>
    <t>594,450.00</t>
  </si>
  <si>
    <t>145,000.00</t>
  </si>
  <si>
    <t>72,000.00</t>
  </si>
  <si>
    <t>123,200.00</t>
  </si>
  <si>
    <t>2,340.00</t>
  </si>
  <si>
    <t>87,885.00</t>
  </si>
  <si>
    <t>66,159.72</t>
  </si>
  <si>
    <t>50,400.00</t>
  </si>
  <si>
    <t>106,512.00</t>
  </si>
  <si>
    <t>127,760.00</t>
  </si>
  <si>
    <t>464,149.00</t>
  </si>
  <si>
    <t>594,000.00</t>
  </si>
  <si>
    <t>196,844.00</t>
  </si>
  <si>
    <t>193,750.00</t>
  </si>
  <si>
    <t>260,000.00</t>
  </si>
  <si>
    <t>335,000.00</t>
  </si>
  <si>
    <t>320,100.00</t>
  </si>
  <si>
    <t>75,000.00</t>
  </si>
  <si>
    <t>1,011,375.00</t>
  </si>
  <si>
    <t>35,000.00</t>
  </si>
  <si>
    <t>1,183,280.00</t>
  </si>
  <si>
    <t>180,010.00</t>
  </si>
  <si>
    <t>391,780.00</t>
  </si>
  <si>
    <t>326,324.00</t>
  </si>
  <si>
    <t>1,800,000.00</t>
  </si>
  <si>
    <t>52,400.00</t>
  </si>
  <si>
    <t>156,390.00</t>
  </si>
  <si>
    <t>1,950,000.00</t>
  </si>
  <si>
    <t>141,680.00</t>
  </si>
  <si>
    <t>4,998,486.10</t>
  </si>
  <si>
    <t>330,000.00</t>
  </si>
  <si>
    <t>4,225,321.00</t>
  </si>
  <si>
    <t>250,150.00</t>
  </si>
  <si>
    <t>35,760.00</t>
  </si>
  <si>
    <t>529,281.19</t>
  </si>
  <si>
    <t>3,600,000.00</t>
  </si>
  <si>
    <t>230,000.00</t>
  </si>
  <si>
    <t>123,183.00</t>
  </si>
  <si>
    <t>2,500,000.00</t>
  </si>
  <si>
    <t>1,900,000.00</t>
  </si>
  <si>
    <t>99,848.45</t>
  </si>
  <si>
    <t>63,275.00</t>
  </si>
  <si>
    <t>1,136,850.00</t>
  </si>
  <si>
    <t>19,000.00</t>
  </si>
  <si>
    <t>99,885.00</t>
  </si>
  <si>
    <t>14,000.00</t>
  </si>
  <si>
    <t>99,789.38</t>
  </si>
  <si>
    <t>23,000.00</t>
  </si>
  <si>
    <t>77,798.00</t>
  </si>
  <si>
    <t>60,000.00</t>
  </si>
  <si>
    <t>354,100.00</t>
  </si>
  <si>
    <t>1,100,000.00</t>
  </si>
  <si>
    <t>112,260.00</t>
  </si>
  <si>
    <t>312,500.00</t>
  </si>
  <si>
    <t>480,000.00</t>
  </si>
  <si>
    <t>290,610.00</t>
  </si>
  <si>
    <t>68,696.00</t>
  </si>
  <si>
    <t>81,750.00</t>
  </si>
  <si>
    <t>120,774.00</t>
  </si>
  <si>
    <t>67,150.00</t>
  </si>
  <si>
    <t>1,435,256.85</t>
  </si>
  <si>
    <t>420,000.00</t>
  </si>
  <si>
    <t>134,340.20</t>
  </si>
  <si>
    <t>643,100.00</t>
  </si>
  <si>
    <t>228,790.00</t>
  </si>
  <si>
    <t>119,500.00</t>
  </si>
  <si>
    <t>153,091.00</t>
  </si>
  <si>
    <t>136,850.00</t>
  </si>
  <si>
    <t>402,013.70</t>
  </si>
  <si>
    <t>59,450.00</t>
  </si>
  <si>
    <t>105,000.00</t>
  </si>
  <si>
    <t>254,960.00</t>
  </si>
  <si>
    <t>210,000.00</t>
  </si>
  <si>
    <t>270,000.00</t>
  </si>
  <si>
    <t>170,000.00</t>
  </si>
  <si>
    <t>950,000.00</t>
  </si>
  <si>
    <t>626,000.00</t>
  </si>
  <si>
    <t>744,100.00</t>
  </si>
  <si>
    <t>164,962.00</t>
  </si>
  <si>
    <t>10,000,000.00</t>
  </si>
  <si>
    <t>107,300.00</t>
  </si>
  <si>
    <t>787,280.00</t>
  </si>
  <si>
    <t>86,215.00</t>
  </si>
  <si>
    <t>214,450.00</t>
  </si>
  <si>
    <t>68,200.00</t>
  </si>
  <si>
    <t>787,500.00</t>
  </si>
  <si>
    <t>327,060.00</t>
  </si>
  <si>
    <t>74,854.00</t>
  </si>
  <si>
    <t>65,200.00</t>
  </si>
  <si>
    <t>193,820.00</t>
  </si>
  <si>
    <t>290,300.00</t>
  </si>
  <si>
    <t>199,094.90</t>
  </si>
  <si>
    <t>575,835.00</t>
  </si>
  <si>
    <t>131,000.00</t>
  </si>
  <si>
    <t>981,336.12</t>
  </si>
  <si>
    <t>257,895.00</t>
  </si>
  <si>
    <t>2,086,197.12</t>
  </si>
  <si>
    <t>2,837,504.71</t>
  </si>
  <si>
    <t>13,000,000.77</t>
  </si>
  <si>
    <t>258,623.00</t>
  </si>
  <si>
    <t>942,245.58</t>
  </si>
  <si>
    <t>870,131.46</t>
  </si>
  <si>
    <t>202,200.00</t>
  </si>
  <si>
    <t>134,594.87</t>
  </si>
  <si>
    <t>6,521,140.30</t>
  </si>
  <si>
    <t>884,648.86</t>
  </si>
  <si>
    <t>3,386,673.04</t>
  </si>
  <si>
    <t>981,681.11</t>
  </si>
  <si>
    <t>842,999.00</t>
  </si>
  <si>
    <t>924,578.06</t>
  </si>
  <si>
    <t>1,813,224.00</t>
  </si>
  <si>
    <t>988,209.58</t>
  </si>
  <si>
    <t>1,425,566.04</t>
  </si>
  <si>
    <t>873,275.81</t>
  </si>
  <si>
    <t>780,400.00</t>
  </si>
  <si>
    <t>873,275.78</t>
  </si>
  <si>
    <t>90,999.85</t>
  </si>
  <si>
    <t>107,856.00</t>
  </si>
  <si>
    <t>569,039.68</t>
  </si>
  <si>
    <t>4,238,963.33</t>
  </si>
  <si>
    <t>1,921,467.68</t>
  </si>
  <si>
    <t>165,080.00</t>
  </si>
  <si>
    <t>913,962.03</t>
  </si>
  <si>
    <t>336,000.00</t>
  </si>
  <si>
    <t>3,542,000.00</t>
  </si>
  <si>
    <t>667,500.00</t>
  </si>
  <si>
    <t>940,026.76</t>
  </si>
  <si>
    <t>3,309,793.40</t>
  </si>
  <si>
    <t>2,357,400.00</t>
  </si>
  <si>
    <t>2,204,985.50</t>
  </si>
  <si>
    <t>1,382,450.00</t>
  </si>
  <si>
    <t>1,240,000.00</t>
  </si>
  <si>
    <t>315,000.00</t>
  </si>
  <si>
    <t>97,866.00</t>
  </si>
  <si>
    <t>1,380,489.30</t>
  </si>
  <si>
    <t>1,947,846.89</t>
  </si>
  <si>
    <t>2,028,439.60</t>
  </si>
  <si>
    <t>149,900.00</t>
  </si>
  <si>
    <t>4,941,039.14</t>
  </si>
  <si>
    <t>860,000.00</t>
  </si>
  <si>
    <t>54,100.00</t>
  </si>
  <si>
    <t>2,064,987.88</t>
  </si>
  <si>
    <t>8,000.00</t>
  </si>
  <si>
    <t>203,000.00</t>
  </si>
  <si>
    <t>927,822.89</t>
  </si>
  <si>
    <t>2,786,792.80</t>
  </si>
  <si>
    <t>215,000.00</t>
  </si>
  <si>
    <t>242,399.98</t>
  </si>
  <si>
    <t>6,499,640.45</t>
  </si>
  <si>
    <t>85,262.00</t>
  </si>
  <si>
    <t>387,500.00</t>
  </si>
  <si>
    <t>124,326.00</t>
  </si>
  <si>
    <t>1,135,131.20</t>
  </si>
  <si>
    <t>150,056.79</t>
  </si>
  <si>
    <t>17,670,079.00</t>
  </si>
  <si>
    <t>120,630.00</t>
  </si>
  <si>
    <t>383,200.00</t>
  </si>
  <si>
    <t>264,000.00</t>
  </si>
  <si>
    <t>111,604.00</t>
  </si>
  <si>
    <t>102,220.00</t>
  </si>
  <si>
    <t>261,500.00</t>
  </si>
  <si>
    <t>178,800.00</t>
  </si>
  <si>
    <t>168,300.00</t>
  </si>
  <si>
    <t>971,376.80</t>
  </si>
  <si>
    <t>152,500.00</t>
  </si>
  <si>
    <t>189,000.00</t>
  </si>
  <si>
    <t>26,990.00</t>
  </si>
  <si>
    <t>141,200.00</t>
  </si>
  <si>
    <t>29,000.00</t>
  </si>
  <si>
    <t>13,166,680.00</t>
  </si>
  <si>
    <t>154,360.00</t>
  </si>
  <si>
    <t>132,100.00</t>
  </si>
  <si>
    <t>65,000.00</t>
  </si>
  <si>
    <t>299,984.19</t>
  </si>
  <si>
    <t>1,600,000.00</t>
  </si>
  <si>
    <t>51,160.00</t>
  </si>
  <si>
    <t>49,817.00</t>
  </si>
  <si>
    <t>43,359.66</t>
  </si>
  <si>
    <t>2,688,300.00</t>
  </si>
  <si>
    <t>90,000.00</t>
  </si>
  <si>
    <t>649,162.24</t>
  </si>
  <si>
    <t>112,500.00</t>
  </si>
  <si>
    <t>145,450.00</t>
  </si>
  <si>
    <t>212,316.00</t>
  </si>
  <si>
    <t>122,000.00</t>
  </si>
  <si>
    <t>99,900.00</t>
  </si>
  <si>
    <t>124,111.00</t>
  </si>
  <si>
    <t>1,200,000.00</t>
  </si>
  <si>
    <t>146,375.44</t>
  </si>
  <si>
    <t>153,022.50</t>
  </si>
  <si>
    <t>87,760.00</t>
  </si>
  <si>
    <t>129,991.00</t>
  </si>
  <si>
    <t>499,800.00</t>
  </si>
  <si>
    <t>793,250.00</t>
  </si>
  <si>
    <t>999,974.00</t>
  </si>
  <si>
    <t>999,295.50</t>
  </si>
  <si>
    <t>2,499,954.00</t>
  </si>
  <si>
    <t>14,950.00</t>
  </si>
  <si>
    <t>499,923.38</t>
  </si>
  <si>
    <t>402,783.61</t>
  </si>
  <si>
    <t>381,603.80</t>
  </si>
  <si>
    <t>785,092.88</t>
  </si>
  <si>
    <t>130,388.50</t>
  </si>
  <si>
    <t>117,926.00</t>
  </si>
  <si>
    <t>599,535.56</t>
  </si>
  <si>
    <t>999,728.72</t>
  </si>
  <si>
    <t>826,148.96</t>
  </si>
  <si>
    <t>996,807.26</t>
  </si>
  <si>
    <t>57,375.00</t>
  </si>
  <si>
    <t>89,080.00</t>
  </si>
  <si>
    <t>71,234.00</t>
  </si>
  <si>
    <t>117,725.00</t>
  </si>
  <si>
    <t>58,800.00</t>
  </si>
  <si>
    <t>464,702.00</t>
  </si>
  <si>
    <t>311,081.14</t>
  </si>
  <si>
    <t>720,000.00</t>
  </si>
  <si>
    <t>84,312.95</t>
  </si>
  <si>
    <t>1,177,825.00</t>
  </si>
  <si>
    <t>258,670.22</t>
  </si>
  <si>
    <t>244,342.00</t>
  </si>
  <si>
    <t>249,939.22</t>
  </si>
  <si>
    <t>499,675.97</t>
  </si>
  <si>
    <t>247,459.91</t>
  </si>
  <si>
    <t>1,750,000.00</t>
  </si>
  <si>
    <t>331,723.00</t>
  </si>
  <si>
    <t>399,760.00</t>
  </si>
  <si>
    <t>334,540.00</t>
  </si>
  <si>
    <t>258,309.75</t>
  </si>
  <si>
    <t>560,900.00</t>
  </si>
  <si>
    <t>496,850.00</t>
  </si>
  <si>
    <t>85,000.00</t>
  </si>
  <si>
    <t>744,143.14</t>
  </si>
  <si>
    <t>64,860.00</t>
  </si>
  <si>
    <t>999,059.91</t>
  </si>
  <si>
    <t>112,000.00</t>
  </si>
  <si>
    <t>51,000.00</t>
  </si>
  <si>
    <t>870,000.00</t>
  </si>
  <si>
    <t>51,040.00</t>
  </si>
  <si>
    <t>750,000.00</t>
  </si>
  <si>
    <t>418,200.00</t>
  </si>
  <si>
    <t>25,100.00</t>
  </si>
  <si>
    <t>208,821.04</t>
  </si>
  <si>
    <t>396,824.25</t>
  </si>
  <si>
    <t>333,500.00</t>
  </si>
  <si>
    <t>198,963.60</t>
  </si>
  <si>
    <t>79,632.00</t>
  </si>
  <si>
    <t>645,000.00</t>
  </si>
  <si>
    <t>241,550.00</t>
  </si>
  <si>
    <t>497,500.00</t>
  </si>
  <si>
    <t>199,152.55</t>
  </si>
  <si>
    <t>198,000.00</t>
  </si>
  <si>
    <t>162,213.00</t>
  </si>
  <si>
    <t>92,401.00</t>
  </si>
  <si>
    <t>2,290,500.00</t>
  </si>
  <si>
    <t>109,500.00</t>
  </si>
  <si>
    <t>197,513.40</t>
  </si>
  <si>
    <t>153,000.00</t>
  </si>
  <si>
    <t>153,600.00</t>
  </si>
  <si>
    <t>51,050.00</t>
  </si>
  <si>
    <t>40,756.00</t>
  </si>
  <si>
    <t>55,000.00</t>
  </si>
  <si>
    <t>58,900.00</t>
  </si>
  <si>
    <t>12,000,000.00</t>
  </si>
  <si>
    <t>96,524.50</t>
  </si>
  <si>
    <t>155,000.00</t>
  </si>
  <si>
    <t>1,209,628.13</t>
  </si>
  <si>
    <t>248,400.00</t>
  </si>
  <si>
    <t>199,966.25</t>
  </si>
  <si>
    <t>43,340.00</t>
  </si>
  <si>
    <t>969,050.00</t>
  </si>
  <si>
    <t>678,000.00</t>
  </si>
  <si>
    <t>300,741.00</t>
  </si>
  <si>
    <t>624,991.30</t>
  </si>
  <si>
    <t>158,989.00</t>
  </si>
  <si>
    <t>30,000.00</t>
  </si>
  <si>
    <t>215,360.00</t>
  </si>
  <si>
    <t>40,000.00</t>
  </si>
  <si>
    <t>191,000.00</t>
  </si>
  <si>
    <t>193,598.13</t>
  </si>
  <si>
    <t>247,317.00</t>
  </si>
  <si>
    <t>19,500.00</t>
  </si>
  <si>
    <t>138,500.00</t>
  </si>
  <si>
    <t>110,000.00</t>
  </si>
  <si>
    <t>908,240.00</t>
  </si>
  <si>
    <t>119,715.00</t>
  </si>
  <si>
    <t>110,400.00</t>
  </si>
  <si>
    <t>160,000.00</t>
  </si>
  <si>
    <t>656,000.00</t>
  </si>
  <si>
    <t>11,000.00</t>
  </si>
  <si>
    <t>999,900.00</t>
  </si>
  <si>
    <t>3,643,772.25</t>
  </si>
  <si>
    <t>144,475.00</t>
  </si>
  <si>
    <t>365,083.50</t>
  </si>
  <si>
    <t>1,703,411.82</t>
  </si>
  <si>
    <t>451,380.00</t>
  </si>
  <si>
    <t>96,096.00</t>
  </si>
  <si>
    <t>240,000.00</t>
  </si>
  <si>
    <t>130,470.00</t>
  </si>
  <si>
    <t>199,630.00</t>
  </si>
  <si>
    <t>1,397,580.18</t>
  </si>
  <si>
    <t>4,995,246.78</t>
  </si>
  <si>
    <t>81,220.00</t>
  </si>
  <si>
    <t>172,800.00</t>
  </si>
  <si>
    <t>190,950.00</t>
  </si>
  <si>
    <t>512,000.00</t>
  </si>
  <si>
    <t>617,800.00</t>
  </si>
  <si>
    <t>1,500,000.00</t>
  </si>
  <si>
    <t>345,544.00</t>
  </si>
  <si>
    <t>199,985.00</t>
  </si>
  <si>
    <t>50,100.00</t>
  </si>
  <si>
    <t>99,992.00</t>
  </si>
  <si>
    <t>15,600.00</t>
  </si>
  <si>
    <t>1,273,543.28</t>
  </si>
  <si>
    <t>73,775.00</t>
  </si>
  <si>
    <t>4,682,040.00</t>
  </si>
  <si>
    <t>4,986,898.68</t>
  </si>
  <si>
    <t>22,000.00</t>
  </si>
  <si>
    <t>3,772,261.70</t>
  </si>
  <si>
    <t>621,150.00</t>
  </si>
  <si>
    <t>115,500.00</t>
  </si>
  <si>
    <t>45,000,000.00</t>
  </si>
  <si>
    <t>1,750.00</t>
  </si>
  <si>
    <t>3,000.00</t>
  </si>
  <si>
    <t>146,630.00</t>
  </si>
  <si>
    <t>780.00</t>
  </si>
  <si>
    <t>1,424,400.00</t>
  </si>
  <si>
    <t>384,732.00</t>
  </si>
  <si>
    <t>580,013.41</t>
  </si>
  <si>
    <t>68,437.50</t>
  </si>
  <si>
    <t>58,373,168.00</t>
  </si>
  <si>
    <t>11,395.00</t>
  </si>
  <si>
    <t>199,995.87</t>
  </si>
  <si>
    <t>219,748.46</t>
  </si>
  <si>
    <t>235,000.00</t>
  </si>
  <si>
    <t>179,000.00</t>
  </si>
  <si>
    <t>2,933,557.21</t>
  </si>
  <si>
    <t>272,720.18</t>
  </si>
  <si>
    <t>320,000.00</t>
  </si>
  <si>
    <t>133,000.00</t>
  </si>
  <si>
    <t>470,320.00</t>
  </si>
  <si>
    <t>75,318,250.00</t>
  </si>
  <si>
    <t>3,140.00</t>
  </si>
  <si>
    <t>3,925,000.00</t>
  </si>
  <si>
    <t>165,750.00</t>
  </si>
  <si>
    <t>104,500.00</t>
  </si>
  <si>
    <t>148,480.00</t>
  </si>
  <si>
    <t>82,880.00</t>
  </si>
  <si>
    <t>150,250.00</t>
  </si>
  <si>
    <t>936,335.94</t>
  </si>
  <si>
    <t>635,000.00</t>
  </si>
  <si>
    <t>360,000.00</t>
  </si>
  <si>
    <t>104,998.30</t>
  </si>
  <si>
    <t>57,250.00</t>
  </si>
  <si>
    <t>466,500.00</t>
  </si>
  <si>
    <t>379,600.00</t>
  </si>
  <si>
    <t>435,000.00</t>
  </si>
  <si>
    <t>99,090.00</t>
  </si>
  <si>
    <t>550,000.00</t>
  </si>
  <si>
    <t>62,000.00</t>
  </si>
  <si>
    <t>159,960.00</t>
  </si>
  <si>
    <t>811,869.00</t>
  </si>
  <si>
    <t>176,300.00</t>
  </si>
  <si>
    <t>2,629,800.00</t>
  </si>
  <si>
    <t>115,000.00</t>
  </si>
  <si>
    <t>89,520.00</t>
  </si>
  <si>
    <t>1,515,600.00</t>
  </si>
  <si>
    <t>340,178.40</t>
  </si>
  <si>
    <t>30,000,000.00</t>
  </si>
  <si>
    <t>2,950,801.45</t>
  </si>
  <si>
    <t>11,500,000.00</t>
  </si>
  <si>
    <t>24,017,339.00</t>
  </si>
  <si>
    <t>1,250,400.00</t>
  </si>
  <si>
    <t>133,750.00</t>
  </si>
  <si>
    <t>66,500.00</t>
  </si>
  <si>
    <t>226,500.00</t>
  </si>
  <si>
    <t>665,000.00</t>
  </si>
  <si>
    <t>2,005,355.46</t>
  </si>
  <si>
    <t>225,000.00</t>
  </si>
  <si>
    <t>177,800.00</t>
  </si>
  <si>
    <t>997,844.83</t>
  </si>
  <si>
    <t>54,500.00</t>
  </si>
  <si>
    <t>103,926.10</t>
  </si>
  <si>
    <t>183,996.00</t>
  </si>
  <si>
    <t>98,800,000.00</t>
  </si>
  <si>
    <t>376,975.00</t>
  </si>
  <si>
    <t>6,000.00</t>
  </si>
  <si>
    <t>835,000.00</t>
  </si>
  <si>
    <t>77,110.00</t>
  </si>
  <si>
    <t>726,580.00</t>
  </si>
  <si>
    <t>80,600.00</t>
  </si>
  <si>
    <t>52,000.00</t>
  </si>
  <si>
    <t>299,600.00</t>
  </si>
  <si>
    <t>73,000.00</t>
  </si>
  <si>
    <t>321,930.00</t>
  </si>
  <si>
    <t>299,999.04</t>
  </si>
  <si>
    <t>16,000.00</t>
  </si>
  <si>
    <t>99,902.88</t>
  </si>
  <si>
    <t>121,302.00</t>
  </si>
  <si>
    <t>259,815.24</t>
  </si>
  <si>
    <t>17,000.00</t>
  </si>
  <si>
    <t>162,400.00</t>
  </si>
  <si>
    <t>863,200.00</t>
  </si>
  <si>
    <t>1,024,240.46</t>
  </si>
  <si>
    <t>7,319,452.61</t>
  </si>
  <si>
    <t>6,101,652.46</t>
  </si>
  <si>
    <t>104,000.00</t>
  </si>
  <si>
    <t>393,958.08</t>
  </si>
  <si>
    <t>98,873.62</t>
  </si>
  <si>
    <t>102,250.00</t>
  </si>
  <si>
    <t>718,163.00</t>
  </si>
  <si>
    <t>123,825.00</t>
  </si>
  <si>
    <t>2,000,000.00</t>
  </si>
  <si>
    <t>167,000.00</t>
  </si>
  <si>
    <t>11,383,323.00</t>
  </si>
  <si>
    <t>217,859.25</t>
  </si>
  <si>
    <t>998,450.00</t>
  </si>
  <si>
    <t>159,425.20</t>
  </si>
  <si>
    <t>995,155.00</t>
  </si>
  <si>
    <t>60,332.00</t>
  </si>
  <si>
    <t>245,000.00</t>
  </si>
  <si>
    <t>68,208.00</t>
  </si>
  <si>
    <t>90,225.00</t>
  </si>
  <si>
    <t>99,825.00</t>
  </si>
  <si>
    <t>6,500.00</t>
  </si>
  <si>
    <t>71,400.00</t>
  </si>
  <si>
    <t>53,000.00</t>
  </si>
  <si>
    <t>98,338.00</t>
  </si>
  <si>
    <t>652,585.40</t>
  </si>
  <si>
    <t>52,700.00</t>
  </si>
  <si>
    <t>567,500.00</t>
  </si>
  <si>
    <t>51,932.00</t>
  </si>
  <si>
    <t>497,000.00</t>
  </si>
  <si>
    <t>3,920,000.00</t>
  </si>
  <si>
    <t>188,854.00</t>
  </si>
  <si>
    <t>189,589.14</t>
  </si>
  <si>
    <t>1,068,000.00</t>
  </si>
  <si>
    <t>1,296,750.00</t>
  </si>
  <si>
    <t>766,240.00</t>
  </si>
  <si>
    <t>1,313,500.00</t>
  </si>
  <si>
    <t>329,790.00</t>
  </si>
  <si>
    <t>390,380.00</t>
  </si>
  <si>
    <t>58,400.00</t>
  </si>
  <si>
    <t>9,801,000.00</t>
  </si>
  <si>
    <t>75,780.00</t>
  </si>
  <si>
    <t>92,000.00</t>
  </si>
  <si>
    <t>257,665.00</t>
  </si>
  <si>
    <t>65,800.00</t>
  </si>
  <si>
    <t>198,400.00</t>
  </si>
  <si>
    <t>206,502.00</t>
  </si>
  <si>
    <t>98,020.00</t>
  </si>
  <si>
    <t>59,075.00</t>
  </si>
  <si>
    <t>955,233.45</t>
  </si>
  <si>
    <t>60,341.20</t>
  </si>
  <si>
    <t>403,600.00</t>
  </si>
  <si>
    <t>222,810.00</t>
  </si>
  <si>
    <t>666,335.00</t>
  </si>
  <si>
    <t>24,400.00</t>
  </si>
  <si>
    <t>873,899.00</t>
  </si>
  <si>
    <t>526,750.00</t>
  </si>
  <si>
    <t>160,412.85</t>
  </si>
  <si>
    <t>690,000.00</t>
  </si>
  <si>
    <t>4,863,314.19</t>
  </si>
  <si>
    <t>76,000.00</t>
  </si>
  <si>
    <t>13,750.00</t>
  </si>
  <si>
    <t>149,000.00</t>
  </si>
  <si>
    <t>74,800.00</t>
  </si>
  <si>
    <t>405,335.00</t>
  </si>
  <si>
    <t>98,450.00</t>
  </si>
  <si>
    <t>161,000.00</t>
  </si>
  <si>
    <t>153,479.50</t>
  </si>
  <si>
    <t>87,500.00</t>
  </si>
  <si>
    <t>21,000.00</t>
  </si>
  <si>
    <t>268,000.00</t>
  </si>
  <si>
    <t>64,000.00</t>
  </si>
  <si>
    <t>96,000.00</t>
  </si>
  <si>
    <t>102,000.00</t>
  </si>
  <si>
    <t>758,740.00</t>
  </si>
  <si>
    <t>5,500.00</t>
  </si>
  <si>
    <t>71,728.64</t>
  </si>
  <si>
    <t>103,353.92</t>
  </si>
  <si>
    <t>163,427.51</t>
  </si>
  <si>
    <t>998,707.52</t>
  </si>
  <si>
    <t>175,000.00</t>
  </si>
  <si>
    <t>550,297.10</t>
  </si>
  <si>
    <t>114,506.00</t>
  </si>
  <si>
    <t>526,426.00</t>
  </si>
  <si>
    <t>58,650.00</t>
  </si>
  <si>
    <t>99,930.00</t>
  </si>
  <si>
    <t>247,500.00</t>
  </si>
  <si>
    <t>3,675,000.00</t>
  </si>
  <si>
    <t>399,750.00</t>
  </si>
  <si>
    <t>176,971.00</t>
  </si>
  <si>
    <t>202,500.00</t>
  </si>
  <si>
    <t>142,546.40</t>
  </si>
  <si>
    <t>5,000,000.00</t>
  </si>
  <si>
    <t>405,000.00</t>
  </si>
  <si>
    <t>141,556.00</t>
  </si>
  <si>
    <t>61,740.00</t>
  </si>
  <si>
    <t>6,400,000.00</t>
  </si>
  <si>
    <t>169,800.00</t>
  </si>
  <si>
    <t>998,918.00</t>
  </si>
  <si>
    <t>186,220.00</t>
  </si>
  <si>
    <t>186,535.00</t>
  </si>
  <si>
    <t>350,340.00</t>
  </si>
  <si>
    <t>144,900.00</t>
  </si>
  <si>
    <t>455,000.00</t>
  </si>
  <si>
    <t>53,920.00</t>
  </si>
  <si>
    <t>1,090,916.25</t>
  </si>
  <si>
    <t>114,750.00</t>
  </si>
  <si>
    <t>101,190.60</t>
  </si>
  <si>
    <t>199,940.00</t>
  </si>
  <si>
    <t>29,370.60</t>
  </si>
  <si>
    <t>395,000.00</t>
  </si>
  <si>
    <t>399,998.22</t>
  </si>
  <si>
    <t>395,100.00</t>
  </si>
  <si>
    <t>78,000.00</t>
  </si>
  <si>
    <t>41,650.00</t>
  </si>
  <si>
    <t>357,510.00</t>
  </si>
  <si>
    <t>79,408.10</t>
  </si>
  <si>
    <t>7,500.00</t>
  </si>
  <si>
    <t>135,520.00</t>
  </si>
  <si>
    <t>61,250.00</t>
  </si>
  <si>
    <t>492,253.75</t>
  </si>
  <si>
    <t>77,450.00</t>
  </si>
  <si>
    <t>160,448.00</t>
  </si>
  <si>
    <t>583,400.00</t>
  </si>
  <si>
    <t>420,240.00</t>
  </si>
  <si>
    <t>101,000.00</t>
  </si>
  <si>
    <t>74,895.00</t>
  </si>
  <si>
    <t>92,040.35</t>
  </si>
  <si>
    <t>80,559.59</t>
  </si>
  <si>
    <t>455,832.40</t>
  </si>
  <si>
    <t>660,900.00</t>
  </si>
  <si>
    <t>298,920.23</t>
  </si>
  <si>
    <t>198,537.50</t>
  </si>
  <si>
    <t>90,900.00</t>
  </si>
  <si>
    <t>65,750.00</t>
  </si>
  <si>
    <t>199,250.00</t>
  </si>
  <si>
    <t>87,661.00</t>
  </si>
  <si>
    <t>160,180.00</t>
  </si>
  <si>
    <t>941,000.00</t>
  </si>
  <si>
    <t>91,476.65</t>
  </si>
  <si>
    <t>959,000.00</t>
  </si>
  <si>
    <t>893,000.00</t>
  </si>
  <si>
    <t>56,500.00</t>
  </si>
  <si>
    <t>757,000.00</t>
  </si>
  <si>
    <t>522,000.00</t>
  </si>
  <si>
    <t>675,000.00</t>
  </si>
  <si>
    <t>53,665.00</t>
  </si>
  <si>
    <t>78,900.00</t>
  </si>
  <si>
    <t>9,500,000.00</t>
  </si>
  <si>
    <t>72,580.00</t>
  </si>
  <si>
    <t>600,000.00</t>
  </si>
  <si>
    <t>85,600.00</t>
  </si>
  <si>
    <t>55,800.00</t>
  </si>
  <si>
    <t>64,325.00</t>
  </si>
  <si>
    <t>996,000.00</t>
  </si>
  <si>
    <t>7,760,150.00</t>
  </si>
  <si>
    <t>3,500,000.00</t>
  </si>
  <si>
    <t>933,395.40</t>
  </si>
  <si>
    <t>5,500,000.00</t>
  </si>
  <si>
    <t>13,950.00</t>
  </si>
  <si>
    <t>671,416.00</t>
  </si>
  <si>
    <t>595,900.00</t>
  </si>
  <si>
    <t>4,999,500.00</t>
  </si>
  <si>
    <t>88,900.00</t>
  </si>
  <si>
    <t>143,817.00</t>
  </si>
  <si>
    <t>1,166,904.01</t>
  </si>
  <si>
    <t>29,650.00</t>
  </si>
  <si>
    <t>12,000.00</t>
  </si>
  <si>
    <t>1,066,502.54</t>
  </si>
  <si>
    <t>7,352.40</t>
  </si>
  <si>
    <t>14,469.83</t>
  </si>
  <si>
    <t>135,397.42</t>
  </si>
  <si>
    <t>1,399,277.01</t>
  </si>
  <si>
    <t>472,080.21</t>
  </si>
  <si>
    <t>403,671.24</t>
  </si>
  <si>
    <t>1,265,858.20</t>
  </si>
  <si>
    <t>3,168,000.00</t>
  </si>
  <si>
    <t>1,870,600.00</t>
  </si>
  <si>
    <t>913,776.00</t>
  </si>
  <si>
    <t>375,000.00</t>
  </si>
  <si>
    <t>10,500.00</t>
  </si>
  <si>
    <t>6,040.00</t>
  </si>
  <si>
    <t>325,000.00</t>
  </si>
  <si>
    <t>7,500,000.00</t>
  </si>
  <si>
    <t>1,288,821.02</t>
  </si>
  <si>
    <t>125,450,000.00</t>
  </si>
  <si>
    <t>73,550.00</t>
  </si>
  <si>
    <t>348,337.00</t>
  </si>
  <si>
    <t>377,578.00</t>
  </si>
  <si>
    <t>258,320.00</t>
  </si>
  <si>
    <t>394,200.00</t>
  </si>
  <si>
    <t>78,300.00</t>
  </si>
  <si>
    <t>300,604.00</t>
  </si>
  <si>
    <t>188,700.00</t>
  </si>
  <si>
    <t>67,500.00</t>
  </si>
  <si>
    <t>2,117,500.00</t>
  </si>
  <si>
    <t>770,200.00</t>
  </si>
  <si>
    <t>67,525.00</t>
  </si>
  <si>
    <t>1,850,000.00</t>
  </si>
  <si>
    <t>400,900.00</t>
  </si>
  <si>
    <t>18,900.00</t>
  </si>
  <si>
    <t>128,061.50</t>
  </si>
  <si>
    <t>40,800.00</t>
  </si>
  <si>
    <t>855,000.00</t>
  </si>
  <si>
    <t>95,400.00</t>
  </si>
  <si>
    <t>67,338,862.49</t>
  </si>
  <si>
    <t>50,800.00</t>
  </si>
  <si>
    <t>50,264.00</t>
  </si>
  <si>
    <t>832,521.25</t>
  </si>
  <si>
    <t>2,971,560.00</t>
  </si>
  <si>
    <t>397,350.00</t>
  </si>
  <si>
    <t>124,800.00</t>
  </si>
  <si>
    <t>29,550.00</t>
  </si>
  <si>
    <t>91,800.00</t>
  </si>
  <si>
    <t>98,600.00</t>
  </si>
  <si>
    <t>222,527.50</t>
  </si>
  <si>
    <t>862,990.00</t>
  </si>
  <si>
    <t>397,122.00</t>
  </si>
  <si>
    <t>121,950.00</t>
  </si>
  <si>
    <t>317,110.01</t>
  </si>
  <si>
    <t>256,300.00</t>
  </si>
  <si>
    <t>66,914.00</t>
  </si>
  <si>
    <t>89,500.00</t>
  </si>
  <si>
    <t>115,760.00</t>
  </si>
  <si>
    <t>714,937.34</t>
  </si>
  <si>
    <t>785,539.91</t>
  </si>
  <si>
    <t>869,444.00</t>
  </si>
  <si>
    <t>173,398.00</t>
  </si>
  <si>
    <t>497,381.00</t>
  </si>
  <si>
    <t>4,718,800.00</t>
  </si>
  <si>
    <t>84,600.00</t>
  </si>
  <si>
    <t>439,000.00</t>
  </si>
  <si>
    <t>182,370.00</t>
  </si>
  <si>
    <t>704,800.00</t>
  </si>
  <si>
    <t>68,000.00</t>
  </si>
  <si>
    <t>25,248,950.65</t>
  </si>
  <si>
    <t>88,500.00</t>
  </si>
  <si>
    <t>376,080.00</t>
  </si>
  <si>
    <t>707,662.00</t>
  </si>
  <si>
    <t>78,500.00</t>
  </si>
  <si>
    <t>21,430.00</t>
  </si>
  <si>
    <t>1,232,430.16</t>
  </si>
  <si>
    <t>39,999,286.09</t>
  </si>
  <si>
    <t>128,850.00</t>
  </si>
  <si>
    <t>881,807.00</t>
  </si>
  <si>
    <t>359,600.00</t>
  </si>
  <si>
    <t>390,000.00</t>
  </si>
  <si>
    <t>403,200.00</t>
  </si>
  <si>
    <t>102,600.00</t>
  </si>
  <si>
    <t>215,250.00</t>
  </si>
  <si>
    <t>97,500.00</t>
  </si>
  <si>
    <t>74,700.00</t>
  </si>
  <si>
    <t>173,000.00</t>
  </si>
  <si>
    <t>289,800.00</t>
  </si>
  <si>
    <t>38,000.00</t>
  </si>
  <si>
    <t>64,252.00</t>
  </si>
  <si>
    <t>132,000.00</t>
  </si>
  <si>
    <t>64,870.00</t>
  </si>
  <si>
    <t>5,200,000.00</t>
  </si>
  <si>
    <t>160,895.00</t>
  </si>
  <si>
    <t>350,000.00</t>
  </si>
  <si>
    <t>173,160.00</t>
  </si>
  <si>
    <t>83,350.00</t>
  </si>
  <si>
    <t>292,749.00</t>
  </si>
  <si>
    <t>2,953,913.99</t>
  </si>
  <si>
    <t>149,158.00</t>
  </si>
  <si>
    <t>117,750.00</t>
  </si>
  <si>
    <t>77,749.00</t>
  </si>
  <si>
    <t>137,865.00</t>
  </si>
  <si>
    <t>786,450.00</t>
  </si>
  <si>
    <t>319,000.00</t>
  </si>
  <si>
    <t>11,292.60</t>
  </si>
  <si>
    <t>199,382.00</t>
  </si>
  <si>
    <t>157,300.00</t>
  </si>
  <si>
    <t>61,057.00</t>
  </si>
  <si>
    <t>57,000.00</t>
  </si>
  <si>
    <t>504,913.00</t>
  </si>
  <si>
    <t>593,486.00</t>
  </si>
  <si>
    <t>61,900.00</t>
  </si>
  <si>
    <t>1,657,350.10</t>
  </si>
  <si>
    <t>77,000.00</t>
  </si>
  <si>
    <t>69,240.00</t>
  </si>
  <si>
    <t>63,000.00</t>
  </si>
  <si>
    <t>156,000.00</t>
  </si>
  <si>
    <t>204,400.00</t>
  </si>
  <si>
    <t>693,200.00</t>
  </si>
  <si>
    <t>980,000.00</t>
  </si>
  <si>
    <t>559,600.00</t>
  </si>
  <si>
    <t>88,000.00</t>
  </si>
  <si>
    <t>122,700.00</t>
  </si>
  <si>
    <t>482,000.00</t>
  </si>
  <si>
    <t>251,100.00</t>
  </si>
  <si>
    <t>88,020.00</t>
  </si>
  <si>
    <t>7,000.00</t>
  </si>
  <si>
    <t>5,600.00</t>
  </si>
  <si>
    <t>522,030.00</t>
  </si>
  <si>
    <t>120,850.00</t>
  </si>
  <si>
    <t>513,000.00</t>
  </si>
  <si>
    <t>999,164.00</t>
  </si>
  <si>
    <t>106,000.00</t>
  </si>
  <si>
    <t>64,760.00</t>
  </si>
  <si>
    <t>442,938.00</t>
  </si>
  <si>
    <t>97,210.00</t>
  </si>
  <si>
    <t>353,700.00</t>
  </si>
  <si>
    <t>82,485.00</t>
  </si>
  <si>
    <t>184,500.00</t>
  </si>
  <si>
    <t>115,380.00</t>
  </si>
  <si>
    <t>203,181.80</t>
  </si>
  <si>
    <t>14,900.00</t>
  </si>
  <si>
    <t>63,450.00</t>
  </si>
  <si>
    <t>89,380.00</t>
  </si>
  <si>
    <t>199,800.00</t>
  </si>
  <si>
    <t>318,682.00</t>
  </si>
  <si>
    <t>812,079.12</t>
  </si>
  <si>
    <t>171,790.00</t>
  </si>
  <si>
    <t>90,170.00</t>
  </si>
  <si>
    <t>59,700.00</t>
  </si>
  <si>
    <t>136,580.00</t>
  </si>
  <si>
    <t>61,450.00</t>
  </si>
  <si>
    <t>208,440.00</t>
  </si>
  <si>
    <t>129,800.00</t>
  </si>
  <si>
    <t>117,590.00</t>
  </si>
  <si>
    <t>3,050,000.00</t>
  </si>
  <si>
    <t>51,253.90</t>
  </si>
  <si>
    <t>80,050.00</t>
  </si>
  <si>
    <t>63,035.00</t>
  </si>
  <si>
    <t>252,450.00</t>
  </si>
  <si>
    <t>188,550.00</t>
  </si>
  <si>
    <t>999,522.00</t>
  </si>
  <si>
    <t>14,999.00</t>
  </si>
  <si>
    <t>128,371.00</t>
  </si>
  <si>
    <t>136,648.00</t>
  </si>
  <si>
    <t>129,546.00</t>
  </si>
  <si>
    <t>62,650.00</t>
  </si>
  <si>
    <t>132,010.00</t>
  </si>
  <si>
    <t>133,650.00</t>
  </si>
  <si>
    <t>56,550.00</t>
  </si>
  <si>
    <t>71,360.00</t>
  </si>
  <si>
    <t>464,850.00</t>
  </si>
  <si>
    <t>228,600.00</t>
  </si>
  <si>
    <t>87,300.00</t>
  </si>
  <si>
    <t>322,983.01</t>
  </si>
  <si>
    <t>239,675.00</t>
  </si>
  <si>
    <t>124,163.00</t>
  </si>
  <si>
    <t>162,000.00</t>
  </si>
  <si>
    <t>195,770.00</t>
  </si>
  <si>
    <t>57,150.00</t>
  </si>
  <si>
    <t>115,812.50</t>
  </si>
  <si>
    <t>749,050.00</t>
  </si>
  <si>
    <t>19,976,684.69</t>
  </si>
  <si>
    <t>59,947.22</t>
  </si>
  <si>
    <t>203,150.00</t>
  </si>
  <si>
    <t>257,910.00</t>
  </si>
  <si>
    <t>275,400.00</t>
  </si>
  <si>
    <t>940,000.00</t>
  </si>
  <si>
    <t>59,360.00</t>
  </si>
  <si>
    <t>551,700.00</t>
  </si>
  <si>
    <t>145,800.00</t>
  </si>
  <si>
    <t>114,435.00</t>
  </si>
  <si>
    <t>90,336.00</t>
  </si>
  <si>
    <t>150,384.00</t>
  </si>
  <si>
    <t>351,310.40</t>
  </si>
  <si>
    <t>465,124.39</t>
  </si>
  <si>
    <t>78,380.00</t>
  </si>
  <si>
    <t>148,250.00</t>
  </si>
  <si>
    <t>35,600.00</t>
  </si>
  <si>
    <t>163,800.00</t>
  </si>
  <si>
    <t>54,900.00</t>
  </si>
  <si>
    <t>914,400.00</t>
  </si>
  <si>
    <t>682,000.00</t>
  </si>
  <si>
    <t>120,600.00</t>
  </si>
  <si>
    <t>13,000.00</t>
  </si>
  <si>
    <t>7,800.00</t>
  </si>
  <si>
    <t>205,000.00</t>
  </si>
  <si>
    <t>472,714.80</t>
  </si>
  <si>
    <t>16,337,566.00</t>
  </si>
  <si>
    <t>11,611,136.41</t>
  </si>
  <si>
    <t>75,680.00</t>
  </si>
  <si>
    <t>62,507,200.00</t>
  </si>
  <si>
    <t>85,065.00</t>
  </si>
  <si>
    <t>61,300.00</t>
  </si>
  <si>
    <t>162,500.00</t>
  </si>
  <si>
    <t>58,618,000.00</t>
  </si>
  <si>
    <t>1,242,306.65</t>
  </si>
  <si>
    <t>2,656,208.00</t>
  </si>
  <si>
    <t>78,710.00</t>
  </si>
  <si>
    <t>163,990.00</t>
  </si>
  <si>
    <t>49,000.00</t>
  </si>
  <si>
    <t>310,000.00</t>
  </si>
  <si>
    <t>192,816.00</t>
  </si>
  <si>
    <t>501,700.00</t>
  </si>
  <si>
    <t>156,600.00</t>
  </si>
  <si>
    <t>265,390.00</t>
  </si>
  <si>
    <t>387,431.25</t>
  </si>
  <si>
    <t>199,932.80</t>
  </si>
  <si>
    <t>569,000.00</t>
  </si>
  <si>
    <t>241,200.00</t>
  </si>
  <si>
    <t>224,217.88</t>
  </si>
  <si>
    <t>76,354.00</t>
  </si>
  <si>
    <t>762,700.00</t>
  </si>
  <si>
    <t>111,082.27</t>
  </si>
  <si>
    <t>51,616.00</t>
  </si>
  <si>
    <t>472,604.00</t>
  </si>
  <si>
    <t>37,345.00</t>
  </si>
  <si>
    <t>748,260.00</t>
  </si>
  <si>
    <t>937,645.23</t>
  </si>
  <si>
    <t>379,900.00</t>
  </si>
  <si>
    <t>894,181.87</t>
  </si>
  <si>
    <t>301,560.20</t>
  </si>
  <si>
    <t>420,100.00</t>
  </si>
  <si>
    <t>7,968,152.80</t>
  </si>
  <si>
    <t>86,000.00</t>
  </si>
  <si>
    <t>436,724.90</t>
  </si>
  <si>
    <t>101,514.00</t>
  </si>
  <si>
    <t>308,000.00</t>
  </si>
  <si>
    <t>448,434.11</t>
  </si>
  <si>
    <t>288,871.32</t>
  </si>
  <si>
    <t>26,417.00</t>
  </si>
  <si>
    <t>86,800.00</t>
  </si>
  <si>
    <t>15,823,455.00</t>
  </si>
  <si>
    <t>514,661.32</t>
  </si>
  <si>
    <t>95,700.00</t>
  </si>
  <si>
    <t>247,351.00</t>
  </si>
  <si>
    <t>549,705.00</t>
  </si>
  <si>
    <t>413,458.00</t>
  </si>
  <si>
    <t>96,530.00</t>
  </si>
  <si>
    <t>64,390.00</t>
  </si>
  <si>
    <t>59,800.00</t>
  </si>
  <si>
    <t>321,571.59</t>
  </si>
  <si>
    <t>81,025.03</t>
  </si>
  <si>
    <t>607,510.00</t>
  </si>
  <si>
    <t>283,315.00</t>
  </si>
  <si>
    <t>4,553,485.00</t>
  </si>
  <si>
    <t>98,000.00</t>
  </si>
  <si>
    <t>39,000.00</t>
  </si>
  <si>
    <t>146,000.00</t>
  </si>
  <si>
    <t>133,698.00</t>
  </si>
  <si>
    <t>19,299,918.99</t>
  </si>
  <si>
    <t>3,581,480.68</t>
  </si>
  <si>
    <t>54,944.00</t>
  </si>
  <si>
    <t>61,080.00</t>
  </si>
  <si>
    <t>437,500.00</t>
  </si>
  <si>
    <t>463,370.00</t>
  </si>
  <si>
    <t>581,511.30</t>
  </si>
  <si>
    <t>490,000.00</t>
  </si>
  <si>
    <t>153,200.00</t>
  </si>
  <si>
    <t>972,999.00</t>
  </si>
  <si>
    <t>60,400.00</t>
  </si>
  <si>
    <t>71,606.34</t>
  </si>
  <si>
    <t>40,140,000.00</t>
  </si>
  <si>
    <t>139,160.00</t>
  </si>
  <si>
    <t>63,148.54</t>
  </si>
  <si>
    <t>149,979,138.00</t>
  </si>
  <si>
    <t>58,250.00</t>
  </si>
  <si>
    <t>527,607.80</t>
  </si>
  <si>
    <t>61,800,000.00</t>
  </si>
  <si>
    <t>102,910,000.00</t>
  </si>
  <si>
    <t>103,090,000.00</t>
  </si>
  <si>
    <t>434,500.00</t>
  </si>
  <si>
    <t>214,970.00</t>
  </si>
  <si>
    <t>105,978.00</t>
  </si>
  <si>
    <t>8,280,000.00</t>
  </si>
  <si>
    <t>199,750.00</t>
  </si>
  <si>
    <t>2,860,000.00</t>
  </si>
  <si>
    <t>141,000.00</t>
  </si>
  <si>
    <t>299,923.46</t>
  </si>
  <si>
    <t>1,050,450.00</t>
  </si>
  <si>
    <t>3,837,420.00</t>
  </si>
  <si>
    <t>59,628.25</t>
  </si>
  <si>
    <t>114,270.00</t>
  </si>
  <si>
    <t>75,994.00</t>
  </si>
  <si>
    <t>219,300.00</t>
  </si>
  <si>
    <t>816,856.00</t>
  </si>
  <si>
    <t>224,985.00</t>
  </si>
  <si>
    <t>93,600.00</t>
  </si>
  <si>
    <t>1,540,000.00</t>
  </si>
  <si>
    <t>451,940.00</t>
  </si>
  <si>
    <t>72,910.00</t>
  </si>
  <si>
    <t>975,090.27</t>
  </si>
  <si>
    <t>810,803.60</t>
  </si>
  <si>
    <t>130,669.36</t>
  </si>
  <si>
    <t>58,351.00</t>
  </si>
  <si>
    <t>213,000.00</t>
  </si>
  <si>
    <t>1,836,000.00</t>
  </si>
  <si>
    <t>13,001,850.00</t>
  </si>
  <si>
    <t>221,875.00</t>
  </si>
  <si>
    <t>226,935.73</t>
  </si>
  <si>
    <t>541,985.00</t>
  </si>
  <si>
    <t>921,300.00</t>
  </si>
  <si>
    <t>212,950.00</t>
  </si>
  <si>
    <t>149,425.00</t>
  </si>
  <si>
    <t>297,400.00</t>
  </si>
  <si>
    <t>342,081.63</t>
  </si>
  <si>
    <t>1,260,000.00</t>
  </si>
  <si>
    <t>735,000.00</t>
  </si>
  <si>
    <t>380,475.00</t>
  </si>
  <si>
    <t>148,100.00</t>
  </si>
  <si>
    <t>144,500.00</t>
  </si>
  <si>
    <t>291,170.00</t>
  </si>
  <si>
    <t>2,028,250.00</t>
  </si>
  <si>
    <t>6,004,766.25</t>
  </si>
  <si>
    <t>4,874,570.07</t>
  </si>
  <si>
    <t>399,500.00</t>
  </si>
  <si>
    <t>2,442,153.59</t>
  </si>
  <si>
    <t>4,512,604.00</t>
  </si>
  <si>
    <t>470,000.00</t>
  </si>
  <si>
    <t>186,850.00</t>
  </si>
  <si>
    <t>4,454,985.06</t>
  </si>
  <si>
    <t>499,400.00</t>
  </si>
  <si>
    <t>3,181,219.62</t>
  </si>
  <si>
    <t>229,920.00</t>
  </si>
  <si>
    <t>394,904.66</t>
  </si>
  <si>
    <t>2,538,450.57</t>
  </si>
  <si>
    <t>141,300.00</t>
  </si>
  <si>
    <t>94,735.00</t>
  </si>
  <si>
    <t>168,035.00</t>
  </si>
  <si>
    <t>7,842,789.50</t>
  </si>
  <si>
    <t>459,300.00</t>
  </si>
  <si>
    <t>9,900.00</t>
  </si>
  <si>
    <t>544,500.00</t>
  </si>
  <si>
    <t>156,250.00</t>
  </si>
  <si>
    <t>50,430.00</t>
  </si>
  <si>
    <t>190,000.00</t>
  </si>
  <si>
    <t>159,125.00</t>
  </si>
  <si>
    <t>84,000.00</t>
  </si>
  <si>
    <t>3,002,552.09</t>
  </si>
  <si>
    <t>112,766.00</t>
  </si>
  <si>
    <t>195,000.00</t>
  </si>
  <si>
    <t>245,651.00</t>
  </si>
  <si>
    <t>12,350.00</t>
  </si>
  <si>
    <t>179,675.88</t>
  </si>
  <si>
    <t>4,500.00</t>
  </si>
  <si>
    <t>99,988.00</t>
  </si>
  <si>
    <t>6,810,324.33</t>
  </si>
  <si>
    <t>80,136.15</t>
  </si>
  <si>
    <t>72,897.33</t>
  </si>
  <si>
    <t>191,822.62</t>
  </si>
  <si>
    <t>621,350.00</t>
  </si>
  <si>
    <t>1,162,560.00</t>
  </si>
  <si>
    <t>175,360.85</t>
  </si>
  <si>
    <t>18,433,661.59</t>
  </si>
  <si>
    <t>221,702.66</t>
  </si>
  <si>
    <t>360,660.00</t>
  </si>
  <si>
    <t>81,200.00</t>
  </si>
  <si>
    <t>14,687.50</t>
  </si>
  <si>
    <t>1,000.00</t>
  </si>
  <si>
    <t>967,945.00</t>
  </si>
  <si>
    <t>119,783.00</t>
  </si>
  <si>
    <t>76,803.75</t>
  </si>
  <si>
    <t>83,022.00</t>
  </si>
  <si>
    <t>62,930.00</t>
  </si>
  <si>
    <t>43,000.00</t>
  </si>
  <si>
    <t>94,000.00</t>
  </si>
  <si>
    <t>202,294.00</t>
  </si>
  <si>
    <t>388,000.00</t>
  </si>
  <si>
    <t>14,500.00</t>
  </si>
  <si>
    <t>106,760.50</t>
  </si>
  <si>
    <t>91,100.00</t>
  </si>
  <si>
    <t>165,000.00</t>
  </si>
  <si>
    <t>4,127,600.00</t>
  </si>
  <si>
    <t>118,879.20</t>
  </si>
  <si>
    <t>124,990.00</t>
  </si>
  <si>
    <t>244,000.00</t>
  </si>
  <si>
    <t>67,000.00</t>
  </si>
  <si>
    <t>101,529.80</t>
  </si>
  <si>
    <t>227,673.00</t>
  </si>
  <si>
    <t>55,060.00</t>
  </si>
  <si>
    <t>54,340.00</t>
  </si>
  <si>
    <t>672,000.00</t>
  </si>
  <si>
    <t>184,800.00</t>
  </si>
  <si>
    <t>102,918.98</t>
  </si>
  <si>
    <t>393,855.00</t>
  </si>
  <si>
    <t>80,045.94</t>
  </si>
  <si>
    <t>61,475.00</t>
  </si>
  <si>
    <t>116,290.00</t>
  </si>
  <si>
    <t>71,300.00</t>
  </si>
  <si>
    <t>248,000.00</t>
  </si>
  <si>
    <t>273,048.01</t>
  </si>
  <si>
    <t>58,110.00</t>
  </si>
  <si>
    <t>251,000.00</t>
  </si>
  <si>
    <t>149,650.00</t>
  </si>
  <si>
    <t>95,095.00</t>
  </si>
  <si>
    <t>145,240.00</t>
  </si>
  <si>
    <t>143,000.00</t>
  </si>
  <si>
    <t>930,000.00</t>
  </si>
  <si>
    <t>57,469.77</t>
  </si>
  <si>
    <t>212,487.00</t>
  </si>
  <si>
    <t>346,500.00</t>
  </si>
  <si>
    <t>74,997.00</t>
  </si>
  <si>
    <t>197,822.75</t>
  </si>
  <si>
    <t>249,000.00</t>
  </si>
  <si>
    <t>399,970.00</t>
  </si>
  <si>
    <t>272,275.00</t>
  </si>
  <si>
    <t>17,804.00</t>
  </si>
  <si>
    <t>210,105.00</t>
  </si>
  <si>
    <t>77,550.00</t>
  </si>
  <si>
    <t>134,428.00</t>
  </si>
  <si>
    <t>395,400.00</t>
  </si>
  <si>
    <t>101,210.00</t>
  </si>
  <si>
    <t>2,750,000.00</t>
  </si>
  <si>
    <t>280,000.00</t>
  </si>
  <si>
    <t>408,827.96</t>
  </si>
  <si>
    <t>339,697.20</t>
  </si>
  <si>
    <t>1,309,428.32</t>
  </si>
  <si>
    <t>553,918.08</t>
  </si>
  <si>
    <t>221,130.04</t>
  </si>
  <si>
    <t>81,000.00</t>
  </si>
  <si>
    <t>198,495.00</t>
  </si>
  <si>
    <t>210,362.31</t>
  </si>
  <si>
    <t>68,448.00</t>
  </si>
  <si>
    <t>105,445.00</t>
  </si>
  <si>
    <t>75,900.00</t>
  </si>
  <si>
    <t>275,000.00</t>
  </si>
  <si>
    <t>1,913,690.00</t>
  </si>
  <si>
    <t>1,071,622.85</t>
  </si>
  <si>
    <t>196,300.00</t>
  </si>
  <si>
    <t>94,794.00</t>
  </si>
  <si>
    <t>191,400.00</t>
  </si>
  <si>
    <t>95,085.82</t>
  </si>
  <si>
    <t>479,980.00</t>
  </si>
  <si>
    <t>415,715.00</t>
  </si>
  <si>
    <t>58,462.51</t>
  </si>
  <si>
    <t>714,500.00</t>
  </si>
  <si>
    <t>88,889.00</t>
  </si>
  <si>
    <t>452,200.00</t>
  </si>
  <si>
    <t>3,506,480.00</t>
  </si>
  <si>
    <t>535,488.60</t>
  </si>
  <si>
    <t>2,179,808.00</t>
  </si>
  <si>
    <t>100,036.64</t>
  </si>
  <si>
    <t>357,750.00</t>
  </si>
  <si>
    <t>449,000.00</t>
  </si>
  <si>
    <t>84,553.75</t>
  </si>
  <si>
    <t>212,000.00</t>
  </si>
  <si>
    <t>2,523,495.00</t>
  </si>
  <si>
    <t>147,000.00</t>
  </si>
  <si>
    <t>1,700,000.00</t>
  </si>
  <si>
    <t>107,380.00</t>
  </si>
  <si>
    <t>136,000.00</t>
  </si>
  <si>
    <t>52,500.00</t>
  </si>
  <si>
    <t>80,662.28</t>
  </si>
  <si>
    <t>242,970.00</t>
  </si>
  <si>
    <t>308,442.00</t>
  </si>
  <si>
    <t>284,972.00</t>
  </si>
  <si>
    <t>58,373.00</t>
  </si>
  <si>
    <t>149,985.00</t>
  </si>
  <si>
    <t>161,712.00</t>
  </si>
  <si>
    <t>124,000.00</t>
  </si>
  <si>
    <t>252,408.00</t>
  </si>
  <si>
    <t>496,400.00</t>
  </si>
  <si>
    <t>114,000.00</t>
  </si>
  <si>
    <t>82,000.00</t>
  </si>
  <si>
    <t>85,454.01</t>
  </si>
  <si>
    <t>67,075.00</t>
  </si>
  <si>
    <t>63,040.00</t>
  </si>
  <si>
    <t>96,780.00</t>
  </si>
  <si>
    <t>92,828.00</t>
  </si>
  <si>
    <t>64,080.00</t>
  </si>
  <si>
    <t>282,000.00</t>
  </si>
  <si>
    <t>117,070.00</t>
  </si>
  <si>
    <t>5,400,000.00</t>
  </si>
  <si>
    <t>477,740.00</t>
  </si>
  <si>
    <t>414,000.00</t>
  </si>
  <si>
    <t>49,669.56</t>
  </si>
  <si>
    <t>4,500,000.00</t>
  </si>
  <si>
    <t>483,000.00</t>
  </si>
  <si>
    <t>1,039,000.00</t>
  </si>
  <si>
    <t>152,563.00</t>
  </si>
  <si>
    <t>81,365.00</t>
  </si>
  <si>
    <t>244,454.00</t>
  </si>
  <si>
    <t>318,750.00</t>
  </si>
  <si>
    <t>240,400.00</t>
  </si>
  <si>
    <t>68,720.00</t>
  </si>
  <si>
    <t>37,110,900.06</t>
  </si>
  <si>
    <t>367,500.00</t>
  </si>
  <si>
    <t>440,129.76</t>
  </si>
  <si>
    <t>3,556,991.00</t>
  </si>
  <si>
    <t>74,565.00</t>
  </si>
  <si>
    <t>78,800.00</t>
  </si>
  <si>
    <t>661,000.00</t>
  </si>
  <si>
    <t>140,628.00</t>
  </si>
  <si>
    <t>196,000.00</t>
  </si>
  <si>
    <t>258,900.00</t>
  </si>
  <si>
    <t>152,451.20</t>
  </si>
  <si>
    <t>20,371.43</t>
  </si>
  <si>
    <t>76,560.00</t>
  </si>
  <si>
    <t>281,000.00</t>
  </si>
  <si>
    <t>65,260.00</t>
  </si>
  <si>
    <t>89,550.00</t>
  </si>
  <si>
    <t>11,072,763.24</t>
  </si>
  <si>
    <t>518,795.10</t>
  </si>
  <si>
    <t>99,419.00</t>
  </si>
  <si>
    <t>108,720.00</t>
  </si>
  <si>
    <t>134,100.00</t>
  </si>
  <si>
    <t>11,940,000.00</t>
  </si>
  <si>
    <t>187,400.00</t>
  </si>
  <si>
    <t>43,610,000.00</t>
  </si>
  <si>
    <t>136,940.00</t>
  </si>
  <si>
    <t>1,199,747.00</t>
  </si>
  <si>
    <t>73,995.00</t>
  </si>
  <si>
    <t>997,533.00</t>
  </si>
  <si>
    <t>455,040.50</t>
  </si>
  <si>
    <t>908,000.00</t>
  </si>
  <si>
    <t>337,770.00</t>
  </si>
  <si>
    <t>19,250.00</t>
  </si>
  <si>
    <t>265,832.58</t>
  </si>
  <si>
    <t>2,596,032.00</t>
  </si>
  <si>
    <t>55,280.00</t>
  </si>
  <si>
    <t>2,129,432.00</t>
  </si>
  <si>
    <t>129,950.00</t>
  </si>
  <si>
    <t>69,950.00</t>
  </si>
  <si>
    <t>53,280.00</t>
  </si>
  <si>
    <t>201,600.00</t>
  </si>
  <si>
    <t>529,000.00</t>
  </si>
  <si>
    <t>121,000.00</t>
  </si>
  <si>
    <t>124,249.00</t>
  </si>
  <si>
    <t>633,668.51</t>
  </si>
  <si>
    <t>111,452.00</t>
  </si>
  <si>
    <t>52,340.00</t>
  </si>
  <si>
    <t>432,674.07</t>
  </si>
  <si>
    <t>147,800.00</t>
  </si>
  <si>
    <t>174,592.00</t>
  </si>
  <si>
    <t>104,865.00</t>
  </si>
  <si>
    <t>222,000.00</t>
  </si>
  <si>
    <t>289,000.00</t>
  </si>
  <si>
    <t>2,707,015.00</t>
  </si>
  <si>
    <t>92,330.00</t>
  </si>
  <si>
    <t>54,525.34</t>
  </si>
  <si>
    <t>153,270.00</t>
  </si>
  <si>
    <t>74,300.00</t>
  </si>
  <si>
    <t>105,373.00</t>
  </si>
  <si>
    <t>122,850.00</t>
  </si>
  <si>
    <t>123,887.00</t>
  </si>
  <si>
    <t>52,970.00</t>
  </si>
  <si>
    <t>2,315.00</t>
  </si>
  <si>
    <t>93,000.00</t>
  </si>
  <si>
    <t>989,400.00</t>
  </si>
  <si>
    <t>99,772.33</t>
  </si>
  <si>
    <t>168,000.00</t>
  </si>
  <si>
    <t>8,818,028.00</t>
  </si>
  <si>
    <t>428,200.00</t>
  </si>
  <si>
    <t>77,300.00</t>
  </si>
  <si>
    <t>232,000.00</t>
  </si>
  <si>
    <t>63,818.00</t>
  </si>
  <si>
    <t>999,220.00</t>
  </si>
  <si>
    <t>999,850.00</t>
  </si>
  <si>
    <t>99,954.41</t>
  </si>
  <si>
    <t>203,350.00</t>
  </si>
  <si>
    <t>1,980,000.00</t>
  </si>
  <si>
    <t>258,000.00</t>
  </si>
  <si>
    <t>5,100,000.00</t>
  </si>
  <si>
    <t>125,689.00</t>
  </si>
  <si>
    <t>102,726.60</t>
  </si>
  <si>
    <t>218,000.00</t>
  </si>
  <si>
    <t>160,900.00</t>
  </si>
  <si>
    <t>15,629,027.00</t>
  </si>
  <si>
    <t>1,150,000.00</t>
  </si>
  <si>
    <t>3,688,800.00</t>
  </si>
  <si>
    <t>99,060.00</t>
  </si>
  <si>
    <t>59,216.00</t>
  </si>
  <si>
    <t>144,300.00</t>
  </si>
  <si>
    <t>115,602.00</t>
  </si>
  <si>
    <t>92,585.50</t>
  </si>
  <si>
    <t>100,800.00</t>
  </si>
  <si>
    <t>220,270.00</t>
  </si>
  <si>
    <t>17,400.00</t>
  </si>
  <si>
    <t>1,117,000.00</t>
  </si>
  <si>
    <t>594,413.00</t>
  </si>
  <si>
    <t>154,845.00</t>
  </si>
  <si>
    <t>216,344.00</t>
  </si>
  <si>
    <t>136,450.00</t>
  </si>
  <si>
    <t>51,700.00</t>
  </si>
  <si>
    <t>4,948,860.00</t>
  </si>
  <si>
    <t>760,000.00</t>
  </si>
  <si>
    <t>72,280.00</t>
  </si>
  <si>
    <t>117,515.00</t>
  </si>
  <si>
    <t>154,450.00</t>
  </si>
  <si>
    <t>142,913.00</t>
  </si>
  <si>
    <t>199,905.00</t>
  </si>
  <si>
    <t>961,150.00</t>
  </si>
  <si>
    <t>53,712.50</t>
  </si>
  <si>
    <t>765,160.22</t>
  </si>
  <si>
    <t>9,898,860.00</t>
  </si>
  <si>
    <t>50,600.00</t>
  </si>
  <si>
    <t>1,999,286.73</t>
  </si>
  <si>
    <t>375,500.00</t>
  </si>
  <si>
    <t>18,998.00</t>
  </si>
  <si>
    <t>1,118,842.95</t>
  </si>
  <si>
    <t>734,000.00</t>
  </si>
  <si>
    <t>415,000.00</t>
  </si>
  <si>
    <t>50,300.00</t>
  </si>
  <si>
    <t>1,499,589.11</t>
  </si>
  <si>
    <t>4,200,000.00</t>
  </si>
  <si>
    <t>162,270.00</t>
  </si>
  <si>
    <t>80,649.00</t>
  </si>
  <si>
    <t>1,217,043.00</t>
  </si>
  <si>
    <t>14,982,500.00</t>
  </si>
  <si>
    <t>430,358.40</t>
  </si>
  <si>
    <t>179,400.00</t>
  </si>
  <si>
    <t>158,353.00</t>
  </si>
  <si>
    <t>4,875,000.00</t>
  </si>
  <si>
    <t>967,120.00</t>
  </si>
  <si>
    <t>138,600.00</t>
  </si>
  <si>
    <t>187,100.00</t>
  </si>
  <si>
    <t>199,735.84</t>
  </si>
  <si>
    <t>296,900.00</t>
  </si>
  <si>
    <t>2,768,650.00</t>
  </si>
  <si>
    <t>189,986.50</t>
  </si>
  <si>
    <t>165,230.00</t>
  </si>
  <si>
    <t>29,776,100.00</t>
  </si>
  <si>
    <t>65,840.00</t>
  </si>
  <si>
    <t>119,055.00</t>
  </si>
  <si>
    <t>70,050.00</t>
  </si>
  <si>
    <t>628,158.00</t>
  </si>
  <si>
    <t>938,932.00</t>
  </si>
  <si>
    <t>59,461.00</t>
  </si>
  <si>
    <t>178,383.35</t>
  </si>
  <si>
    <t>3,989,950.43</t>
  </si>
  <si>
    <t>135,927.00</t>
  </si>
  <si>
    <t>197,835.00</t>
  </si>
  <si>
    <t>79,697.00</t>
  </si>
  <si>
    <t>759,500.00</t>
  </si>
  <si>
    <t>19,798,860.00</t>
  </si>
  <si>
    <t>225,903.00</t>
  </si>
  <si>
    <t>164,313.96</t>
  </si>
  <si>
    <t>445,000.00</t>
  </si>
  <si>
    <t>1,621,106.11</t>
  </si>
  <si>
    <t>59,568.00</t>
  </si>
  <si>
    <t>464,810.00</t>
  </si>
  <si>
    <t>147,787.43</t>
  </si>
  <si>
    <t>478,332.84</t>
  </si>
  <si>
    <t>77,750.00</t>
  </si>
  <si>
    <t>67,900.00</t>
  </si>
  <si>
    <t>1,348,812.05</t>
  </si>
  <si>
    <t>112,408.50</t>
  </si>
  <si>
    <t>128,900.00</t>
  </si>
  <si>
    <t>20,694,730.00</t>
  </si>
  <si>
    <t>109,005.00</t>
  </si>
  <si>
    <t>752,493.82</t>
  </si>
  <si>
    <t>671,181.23</t>
  </si>
  <si>
    <t>114,723.00</t>
  </si>
  <si>
    <t>132,279.20</t>
  </si>
  <si>
    <t>137,846.02</t>
  </si>
  <si>
    <t>89,700.00</t>
  </si>
  <si>
    <t>453,820.00</t>
  </si>
  <si>
    <t>48,150.00</t>
  </si>
  <si>
    <t>247,680.00</t>
  </si>
  <si>
    <t>101,976.00</t>
  </si>
  <si>
    <t>199,851.00</t>
  </si>
  <si>
    <t>332,886.92</t>
  </si>
  <si>
    <t>116,000.00</t>
  </si>
  <si>
    <t>380,000.00</t>
  </si>
  <si>
    <t>19,983.00</t>
  </si>
  <si>
    <t>76,323.00</t>
  </si>
  <si>
    <t>1,551,480.00</t>
  </si>
  <si>
    <t>650,792.00</t>
  </si>
  <si>
    <t>257,600.00</t>
  </si>
  <si>
    <t>262,400.00</t>
  </si>
  <si>
    <t>286,504.00</t>
  </si>
  <si>
    <t>130,070.90</t>
  </si>
  <si>
    <t>972,840.00</t>
  </si>
  <si>
    <t>2,999,430.00</t>
  </si>
  <si>
    <t>0.00</t>
  </si>
  <si>
    <t>380,800.00</t>
  </si>
  <si>
    <t>237,307.00</t>
  </si>
  <si>
    <t>52,800.00</t>
  </si>
  <si>
    <t>291,360.00</t>
  </si>
  <si>
    <t>488,460.00</t>
  </si>
  <si>
    <t>72,260.00</t>
  </si>
  <si>
    <t>184,065.00</t>
  </si>
  <si>
    <t>174,795.00</t>
  </si>
  <si>
    <t>24,360.00</t>
  </si>
  <si>
    <t>71,835.00</t>
  </si>
  <si>
    <t>72,500.00</t>
  </si>
  <si>
    <t>146,681.00</t>
  </si>
  <si>
    <t>163,785.00</t>
  </si>
  <si>
    <t>1,592,936.00</t>
  </si>
  <si>
    <t>68,150.00</t>
  </si>
  <si>
    <t>98,846.00</t>
  </si>
  <si>
    <t>88,888.00</t>
  </si>
  <si>
    <t>7,740,000.00</t>
  </si>
  <si>
    <t>3,615,260.12</t>
  </si>
  <si>
    <t>81,858.00</t>
  </si>
  <si>
    <t>1,050,474.00</t>
  </si>
  <si>
    <t>419,373.50</t>
  </si>
  <si>
    <t>95,500.00</t>
  </si>
  <si>
    <t>106,830.00</t>
  </si>
  <si>
    <t>57,960.00</t>
  </si>
  <si>
    <t>80,202.00</t>
  </si>
  <si>
    <t>63,750.00</t>
  </si>
  <si>
    <t>257,160.00</t>
  </si>
  <si>
    <t>183,100.00</t>
  </si>
  <si>
    <t>3,198,503.00</t>
  </si>
  <si>
    <t>88,040.00</t>
  </si>
  <si>
    <t>3,499,774.74</t>
  </si>
  <si>
    <t>216,000.00</t>
  </si>
  <si>
    <t>89,250.00</t>
  </si>
  <si>
    <t>93,500.00</t>
  </si>
  <si>
    <t>536,094.00</t>
  </si>
  <si>
    <t>51,826.00</t>
  </si>
  <si>
    <t>178,000.00</t>
  </si>
  <si>
    <t>86,051.00</t>
  </si>
  <si>
    <t>56,000.00</t>
  </si>
  <si>
    <t>69,300.00</t>
  </si>
  <si>
    <t>1,270,399.21</t>
  </si>
  <si>
    <t>61,500.00</t>
  </si>
  <si>
    <t>80,675.00</t>
  </si>
  <si>
    <t>173,402.00</t>
  </si>
  <si>
    <t>194,645.00</t>
  </si>
  <si>
    <t>325,396.00</t>
  </si>
  <si>
    <t>381,080.00</t>
  </si>
  <si>
    <t>185,853.47</t>
  </si>
  <si>
    <t>10,450,000.00</t>
  </si>
  <si>
    <t>71,663.35</t>
  </si>
  <si>
    <t>51,800.00</t>
  </si>
  <si>
    <t>125,095.00</t>
  </si>
  <si>
    <t>443,014.50</t>
  </si>
  <si>
    <t>415,800.00</t>
  </si>
  <si>
    <t>51,200.00</t>
  </si>
  <si>
    <t>60,760.00</t>
  </si>
  <si>
    <t>764,150.00</t>
  </si>
  <si>
    <t>69,480.00</t>
  </si>
  <si>
    <t>1,461,300.00</t>
  </si>
  <si>
    <t>1,450,000.00</t>
  </si>
  <si>
    <t>881,000.00</t>
  </si>
  <si>
    <t>746,520.00</t>
  </si>
  <si>
    <t>98,590.00</t>
  </si>
  <si>
    <t>146,610.00</t>
  </si>
  <si>
    <t>149,155.00</t>
  </si>
  <si>
    <t>68,840.00</t>
  </si>
  <si>
    <t>105,290.00</t>
  </si>
  <si>
    <t>106,546.40</t>
  </si>
  <si>
    <t>222,200.00</t>
  </si>
  <si>
    <t>19,988,736.00</t>
  </si>
  <si>
    <t>110,240.00</t>
  </si>
  <si>
    <t>650,000.00</t>
  </si>
  <si>
    <t>448,965.00</t>
  </si>
  <si>
    <t>86,850,000.00</t>
  </si>
  <si>
    <t>238,680.00</t>
  </si>
  <si>
    <t>72,744.00</t>
  </si>
  <si>
    <t>434,995.30</t>
  </si>
  <si>
    <t>1,650,000.00</t>
  </si>
  <si>
    <t>4,391,435.00</t>
  </si>
  <si>
    <t>60,405.00</t>
  </si>
  <si>
    <t>239,341.50</t>
  </si>
  <si>
    <t>128,800.00</t>
  </si>
  <si>
    <t>210,500.00</t>
  </si>
  <si>
    <t>76,700.00</t>
  </si>
  <si>
    <t>7,320,968.00</t>
  </si>
  <si>
    <t>68,098.40</t>
  </si>
  <si>
    <t>43,550.00</t>
  </si>
  <si>
    <t>85,362.00</t>
  </si>
  <si>
    <t>115,350.00</t>
  </si>
  <si>
    <t>119,840.00</t>
  </si>
  <si>
    <t>114,576.50</t>
  </si>
  <si>
    <t>285,727.50</t>
  </si>
  <si>
    <t>71,150.00</t>
  </si>
  <si>
    <t>65,233.44</t>
  </si>
  <si>
    <t>353,729.42</t>
  </si>
  <si>
    <t>2,200,000.00</t>
  </si>
  <si>
    <t>60,630.00</t>
  </si>
  <si>
    <t>47,800.00</t>
  </si>
  <si>
    <t>247,720.00</t>
  </si>
  <si>
    <t>5,586,080.96</t>
  </si>
  <si>
    <t>89,930.00</t>
  </si>
  <si>
    <t>557,000.00</t>
  </si>
  <si>
    <t>1,668,600.00</t>
  </si>
  <si>
    <t>315,302.30</t>
  </si>
  <si>
    <t>199,400.50</t>
  </si>
  <si>
    <t>97,200.00</t>
  </si>
  <si>
    <t>107,500.00</t>
  </si>
  <si>
    <t>290,502.00</t>
  </si>
  <si>
    <t>363,895.00</t>
  </si>
  <si>
    <t>140,580.00</t>
  </si>
  <si>
    <t>142,850.00</t>
  </si>
  <si>
    <t>423,400.00</t>
  </si>
  <si>
    <t>637,781.00</t>
  </si>
  <si>
    <t>96,873.58</t>
  </si>
  <si>
    <t>176,000.00</t>
  </si>
  <si>
    <t>39,996.00</t>
  </si>
  <si>
    <t>31,600.00</t>
  </si>
  <si>
    <t>145,280.00</t>
  </si>
  <si>
    <t>1,944,526.00</t>
  </si>
  <si>
    <t>244,609.65</t>
  </si>
  <si>
    <t>119,700.00</t>
  </si>
  <si>
    <t>86,978.00</t>
  </si>
  <si>
    <t>52,360.00</t>
  </si>
  <si>
    <t>25,230.00</t>
  </si>
  <si>
    <t>426,000.00</t>
  </si>
  <si>
    <t>41,000.00</t>
  </si>
  <si>
    <t>113,100.00</t>
  </si>
  <si>
    <t>501,729.80</t>
  </si>
  <si>
    <t>335,060.00</t>
  </si>
  <si>
    <t>940,125.00</t>
  </si>
  <si>
    <t>128,000.00</t>
  </si>
  <si>
    <t>19,299,742.25</t>
  </si>
  <si>
    <t>239,661.50</t>
  </si>
  <si>
    <t>59,750.00</t>
  </si>
  <si>
    <t>129,900.00</t>
  </si>
  <si>
    <t>34,689,351.93</t>
  </si>
  <si>
    <t>76,924.00</t>
  </si>
  <si>
    <t>369,600.00</t>
  </si>
  <si>
    <t>60,410.00</t>
  </si>
  <si>
    <t>76,471.34</t>
  </si>
  <si>
    <t>393,987.61</t>
  </si>
  <si>
    <t>111,416.00</t>
  </si>
  <si>
    <t>4,950,000.00</t>
  </si>
  <si>
    <t>2,045,535.00</t>
  </si>
  <si>
    <t>540,000.00</t>
  </si>
  <si>
    <t>51,786.73</t>
  </si>
  <si>
    <t>69,023.00</t>
  </si>
  <si>
    <t>70,290.00</t>
  </si>
  <si>
    <t>337,485.45</t>
  </si>
  <si>
    <t>241,000.00</t>
  </si>
  <si>
    <t>1,080,830.90</t>
  </si>
  <si>
    <t>179,629.75</t>
  </si>
  <si>
    <t>29,070.00</t>
  </si>
  <si>
    <t>775,800.00</t>
  </si>
  <si>
    <t>296,000.00</t>
  </si>
  <si>
    <t>348,800.00</t>
  </si>
  <si>
    <t>652,915.03</t>
  </si>
  <si>
    <t>83,575.00</t>
  </si>
  <si>
    <t>673,500.00</t>
  </si>
  <si>
    <t>172,296.00</t>
  </si>
  <si>
    <t>101,500.00</t>
  </si>
  <si>
    <t>634,438.80</t>
  </si>
  <si>
    <t>70,525.25</t>
  </si>
  <si>
    <t>295,246.00</t>
  </si>
  <si>
    <t>258,718.00</t>
  </si>
  <si>
    <t>107,070.00</t>
  </si>
  <si>
    <t>74,969.00</t>
  </si>
  <si>
    <t>276,440.00</t>
  </si>
  <si>
    <t>45,500.00</t>
  </si>
  <si>
    <t>700,277.00</t>
  </si>
  <si>
    <t>225,026.00</t>
  </si>
  <si>
    <t>153,615.00</t>
  </si>
  <si>
    <t>1,249,901.00</t>
  </si>
  <si>
    <t>911,000.00</t>
  </si>
  <si>
    <t>514,600.00</t>
  </si>
  <si>
    <t>748,724.00</t>
  </si>
  <si>
    <t>331,002.00</t>
  </si>
  <si>
    <t>288,550.00</t>
  </si>
  <si>
    <t>58,450.00</t>
  </si>
  <si>
    <t>999,467.50</t>
  </si>
  <si>
    <t>3,800,000.00</t>
  </si>
  <si>
    <t>263,843.00</t>
  </si>
  <si>
    <t>237,200.00</t>
  </si>
  <si>
    <t>773,592.28</t>
  </si>
  <si>
    <t>93,555.00</t>
  </si>
  <si>
    <t>597,135.00</t>
  </si>
  <si>
    <t>20,120.00</t>
  </si>
  <si>
    <t>57,180.00</t>
  </si>
  <si>
    <t>126,805.50</t>
  </si>
  <si>
    <t>61,509.00</t>
  </si>
  <si>
    <t>99,990.00</t>
  </si>
  <si>
    <t>39,000,000.00</t>
  </si>
  <si>
    <t>85,400.00</t>
  </si>
  <si>
    <t>99,980.00</t>
  </si>
  <si>
    <t>70,550.00</t>
  </si>
  <si>
    <t>265,000.00</t>
  </si>
  <si>
    <t>230,177.00</t>
  </si>
  <si>
    <t>428,960.00</t>
  </si>
  <si>
    <t>74,680.59</t>
  </si>
  <si>
    <t>780,000.00</t>
  </si>
  <si>
    <t>219,950.00</t>
  </si>
  <si>
    <t>648,620.00</t>
  </si>
  <si>
    <t>160,349.59</t>
  </si>
  <si>
    <t>225,000,000.00</t>
  </si>
  <si>
    <t>340,000.00</t>
  </si>
  <si>
    <t>279,375.00</t>
  </si>
  <si>
    <t>89,930.10</t>
  </si>
  <si>
    <t>205,350.00</t>
  </si>
  <si>
    <t>640,000.00</t>
  </si>
  <si>
    <t>1,141,934.50</t>
  </si>
  <si>
    <t>997,750.00</t>
  </si>
  <si>
    <t>2,183,565.13</t>
  </si>
  <si>
    <t>990,691.80</t>
  </si>
  <si>
    <t>346,263.00</t>
  </si>
  <si>
    <t>301,200.00</t>
  </si>
  <si>
    <t>285,234.67</t>
  </si>
  <si>
    <t>604,452.00</t>
  </si>
  <si>
    <t>366,000.00</t>
  </si>
  <si>
    <t>591,283.04</t>
  </si>
  <si>
    <t>201,536.33</t>
  </si>
  <si>
    <t>355,835.00</t>
  </si>
  <si>
    <t>82,500.00</t>
  </si>
  <si>
    <t>38,250,000.00</t>
  </si>
  <si>
    <t>736,939.56</t>
  </si>
  <si>
    <t>69,160.00</t>
  </si>
  <si>
    <t>88,480.96</t>
  </si>
  <si>
    <t>106,875.00</t>
  </si>
  <si>
    <t>1,878,440.00</t>
  </si>
  <si>
    <t>375,000,000.00</t>
  </si>
  <si>
    <t>250,750.00</t>
  </si>
  <si>
    <t>588,000.00</t>
  </si>
  <si>
    <t>665,750.00</t>
  </si>
  <si>
    <t>60,980.00</t>
  </si>
  <si>
    <t>462,000.00</t>
  </si>
  <si>
    <t>51,010.00</t>
  </si>
  <si>
    <t>350,624.76</t>
  </si>
  <si>
    <t>71,700.00</t>
  </si>
  <si>
    <t>171,000.00</t>
  </si>
  <si>
    <t>430,000.00</t>
  </si>
  <si>
    <t>3,580,995.00</t>
  </si>
  <si>
    <t>59,963.98</t>
  </si>
  <si>
    <t>62,270.00</t>
  </si>
  <si>
    <t>377,672.37</t>
  </si>
  <si>
    <t>83,915.00</t>
  </si>
  <si>
    <t>367,530.00</t>
  </si>
  <si>
    <t>2,650,000.00</t>
  </si>
  <si>
    <t>109,655.44</t>
  </si>
  <si>
    <t>334,124.49</t>
  </si>
  <si>
    <t>135,000.00</t>
  </si>
  <si>
    <t>151,070.00</t>
  </si>
  <si>
    <t>148,416.70</t>
  </si>
  <si>
    <t>167,500.00</t>
  </si>
  <si>
    <t>299,220.66</t>
  </si>
  <si>
    <t>71,800.00</t>
  </si>
  <si>
    <t>167,612.00</t>
  </si>
  <si>
    <t>1,750,349.32</t>
  </si>
  <si>
    <t>20,100.00</t>
  </si>
  <si>
    <t>440,000.00</t>
  </si>
  <si>
    <t>186,000.00</t>
  </si>
  <si>
    <t>10,800,000.00</t>
  </si>
  <si>
    <t>1,987,535.40</t>
  </si>
  <si>
    <t>290,000.00</t>
  </si>
  <si>
    <t>971,346.00</t>
  </si>
  <si>
    <t>58,747.00</t>
  </si>
  <si>
    <t>1,740,000.00</t>
  </si>
  <si>
    <t>9,995.00</t>
  </si>
  <si>
    <t>87,690.00</t>
  </si>
  <si>
    <t>164,600.00</t>
  </si>
  <si>
    <t>340,320.00</t>
  </si>
  <si>
    <t>17,796,244.00</t>
  </si>
  <si>
    <t>1,940,123.50</t>
  </si>
  <si>
    <t>790,000.00</t>
  </si>
  <si>
    <t>197,000.00</t>
  </si>
  <si>
    <t>117,000.00</t>
  </si>
  <si>
    <t>10,558,200.00</t>
  </si>
  <si>
    <t>365,000.00</t>
  </si>
  <si>
    <t>52,155.00</t>
  </si>
  <si>
    <t>230,225.00</t>
  </si>
  <si>
    <t>141,750.00</t>
  </si>
  <si>
    <t>1,865.00</t>
  </si>
  <si>
    <t>87,000.00</t>
  </si>
  <si>
    <t>341,941.85</t>
  </si>
  <si>
    <t>5,904,178.86</t>
  </si>
  <si>
    <t>93,750.00</t>
  </si>
  <si>
    <t>379,230.00</t>
  </si>
  <si>
    <t>28,560.00</t>
  </si>
  <si>
    <t>345,000.00</t>
  </si>
  <si>
    <t>668,068.31</t>
  </si>
  <si>
    <t>628,000.00</t>
  </si>
  <si>
    <t>64,880.00</t>
  </si>
  <si>
    <t>148,745.00</t>
  </si>
  <si>
    <t>372,000.00</t>
  </si>
  <si>
    <t>25,000,000.00</t>
  </si>
  <si>
    <t>218,400.00</t>
  </si>
  <si>
    <t>580,000.00</t>
  </si>
  <si>
    <t>67,200.00</t>
  </si>
  <si>
    <t>217,275.00</t>
  </si>
  <si>
    <t>303,242.80</t>
  </si>
  <si>
    <t>35,640.00</t>
  </si>
  <si>
    <t>18,235.00</t>
  </si>
  <si>
    <t>64,260.00</t>
  </si>
  <si>
    <t>696,000.00</t>
  </si>
  <si>
    <t>220,000.00</t>
  </si>
  <si>
    <t>485,600.00</t>
  </si>
  <si>
    <t>75,295.00</t>
  </si>
  <si>
    <t>1,959,787.00</t>
  </si>
  <si>
    <t>203,078.00</t>
  </si>
  <si>
    <t>308,587.00</t>
  </si>
  <si>
    <t>886,613.00</t>
  </si>
  <si>
    <t>88,250.00</t>
  </si>
  <si>
    <t>163,180.00</t>
  </si>
  <si>
    <t>75,500.00</t>
  </si>
  <si>
    <t>10,614,920.00</t>
  </si>
  <si>
    <t>371,467.64</t>
  </si>
  <si>
    <t>610,500.00</t>
  </si>
  <si>
    <t>3,136,254.00</t>
  </si>
  <si>
    <t>124,410.00</t>
  </si>
  <si>
    <t>122,497.00</t>
  </si>
  <si>
    <t>818,890.00</t>
  </si>
  <si>
    <t>171,627.50</t>
  </si>
  <si>
    <t>878,162.40</t>
  </si>
  <si>
    <t>534,555.00</t>
  </si>
  <si>
    <t>9,500.00</t>
  </si>
  <si>
    <t>464,436.00</t>
  </si>
  <si>
    <t>164,570.00</t>
  </si>
  <si>
    <t>81,850.00</t>
  </si>
  <si>
    <t>81,305.95</t>
  </si>
  <si>
    <t>78,750.00</t>
  </si>
  <si>
    <t>13,100.00</t>
  </si>
  <si>
    <t>57,800.00</t>
  </si>
  <si>
    <t>286,080.00</t>
  </si>
  <si>
    <t>10,298,641.00</t>
  </si>
  <si>
    <t>286,000.00</t>
  </si>
  <si>
    <t>850,629.95</t>
  </si>
  <si>
    <t>1,376,000.00</t>
  </si>
  <si>
    <t>573,791.50</t>
  </si>
  <si>
    <t>41,400.00</t>
  </si>
  <si>
    <t>819,239.95</t>
  </si>
  <si>
    <t>464,600.00</t>
  </si>
  <si>
    <t>762,075.00</t>
  </si>
  <si>
    <t>610,000.00</t>
  </si>
  <si>
    <t>214,865.00</t>
  </si>
  <si>
    <t>242,416.66</t>
  </si>
  <si>
    <t>75,800.00</t>
  </si>
  <si>
    <t>10,667,813.80</t>
  </si>
  <si>
    <t>425,691.44</t>
  </si>
  <si>
    <t>666,666.67</t>
  </si>
  <si>
    <t>697,500.00</t>
  </si>
  <si>
    <t>7,880.00</t>
  </si>
  <si>
    <t>26,478,190.16</t>
  </si>
  <si>
    <t>275,730.00</t>
  </si>
  <si>
    <t>2,001,706.85</t>
  </si>
  <si>
    <t>4,805,880.00</t>
  </si>
  <si>
    <t>187,500.00</t>
  </si>
  <si>
    <t>387,940.00</t>
  </si>
  <si>
    <t>4,470,000.00</t>
  </si>
  <si>
    <t>2,070,000.00</t>
  </si>
  <si>
    <t>4,236,042.00</t>
  </si>
  <si>
    <t>19,300,000.00</t>
  </si>
  <si>
    <t>5,243,622.52</t>
  </si>
  <si>
    <t>154,393,805.22</t>
  </si>
  <si>
    <t>161,681.40</t>
  </si>
  <si>
    <t>6,238,558.58</t>
  </si>
  <si>
    <t>998,755.45</t>
  </si>
  <si>
    <t>4,997,738.08</t>
  </si>
  <si>
    <t>880,670.00</t>
  </si>
  <si>
    <t>57,100.00</t>
  </si>
  <si>
    <t>70,875.00</t>
  </si>
  <si>
    <t>2,623,000.00</t>
  </si>
  <si>
    <t>5,512,710.48</t>
  </si>
  <si>
    <t>499,999.10</t>
  </si>
  <si>
    <t>4,899,985.12</t>
  </si>
  <si>
    <t>3,860,003.10</t>
  </si>
  <si>
    <t>1,145,044.17</t>
  </si>
  <si>
    <t>2,397,380.56</t>
  </si>
  <si>
    <t>699,985.39</t>
  </si>
  <si>
    <t>22,180.00</t>
  </si>
  <si>
    <t>242,100.00</t>
  </si>
  <si>
    <t>151,000.00</t>
  </si>
  <si>
    <t>12,550.00</t>
  </si>
  <si>
    <t>2,052,493.65</t>
  </si>
  <si>
    <t>2,290,000.00</t>
  </si>
  <si>
    <t>154,394,824.91</t>
  </si>
  <si>
    <t>4,970,047.55</t>
  </si>
  <si>
    <t>575,904.63</t>
  </si>
  <si>
    <t>166,666.66</t>
  </si>
  <si>
    <t>1,357,361.25</t>
  </si>
  <si>
    <t>4,328,822.89</t>
  </si>
  <si>
    <t>5,526,062.92</t>
  </si>
  <si>
    <t>5,208,747.32</t>
  </si>
  <si>
    <t>1,015,664.00</t>
  </si>
  <si>
    <t>5,195,655.66</t>
  </si>
  <si>
    <t>20,678,326.00</t>
  </si>
  <si>
    <t>1,198,690.28</t>
  </si>
  <si>
    <t>28,957.00</t>
  </si>
  <si>
    <t>4,818,353.86</t>
  </si>
  <si>
    <t>2,352,875.00</t>
  </si>
  <si>
    <t>68,052.00</t>
  </si>
  <si>
    <t>1,066,679.88</t>
  </si>
  <si>
    <t>25,794.00</t>
  </si>
  <si>
    <t>504,475.00</t>
  </si>
  <si>
    <t>2,520,000.00</t>
  </si>
  <si>
    <t>62,402.19</t>
  </si>
  <si>
    <t>1,493,094.22</t>
  </si>
  <si>
    <t>2,449,905.64</t>
  </si>
  <si>
    <t>3,350,000.00</t>
  </si>
  <si>
    <t>65,003.00</t>
  </si>
  <si>
    <t>1,370,381.40</t>
  </si>
  <si>
    <t>5,460,034.56</t>
  </si>
  <si>
    <t>307,046.80</t>
  </si>
  <si>
    <t>218,520.50</t>
  </si>
  <si>
    <t>978,547.79</t>
  </si>
  <si>
    <t>1,180,000.00</t>
  </si>
  <si>
    <t>1,117,208.28</t>
  </si>
  <si>
    <t>2,600,000.00</t>
  </si>
  <si>
    <t>166,666.67</t>
  </si>
  <si>
    <t>276,955.00</t>
  </si>
  <si>
    <t>25,300.00</t>
  </si>
  <si>
    <t>149,570,068.63</t>
  </si>
  <si>
    <t>438,600.00</t>
  </si>
  <si>
    <t>3,485,142.13</t>
  </si>
  <si>
    <t>11,750.00</t>
  </si>
  <si>
    <t>1,116,159.38</t>
  </si>
  <si>
    <t>5,281,296.37</t>
  </si>
  <si>
    <t>219,999.75</t>
  </si>
  <si>
    <t>1,308,722.58</t>
  </si>
  <si>
    <t>23,031.40</t>
  </si>
  <si>
    <t>535,914.78</t>
  </si>
  <si>
    <t>115,796,570.69</t>
  </si>
  <si>
    <t>1,033,333.33</t>
  </si>
  <si>
    <t>17,500.00</t>
  </si>
  <si>
    <t>386,688.00</t>
  </si>
  <si>
    <t>3,319,920.00</t>
  </si>
  <si>
    <t>575,741.17</t>
  </si>
  <si>
    <t>1,110,000.00</t>
  </si>
  <si>
    <t>5,334,246.31</t>
  </si>
  <si>
    <t>305,550.00</t>
  </si>
  <si>
    <t>142,195,926.80</t>
  </si>
  <si>
    <t>988,560.30</t>
  </si>
  <si>
    <t>131,500.00</t>
  </si>
  <si>
    <t>2,000,100.00</t>
  </si>
  <si>
    <t>3,889,785.00</t>
  </si>
  <si>
    <t>207,607.00</t>
  </si>
  <si>
    <t>307,155.00</t>
  </si>
  <si>
    <t>687,335.00</t>
  </si>
  <si>
    <t>1,480,500.00</t>
  </si>
  <si>
    <t>125,280.00</t>
  </si>
  <si>
    <t>13,000,000.00</t>
  </si>
  <si>
    <t>5,000.00</t>
  </si>
  <si>
    <t>39,400.00</t>
  </si>
  <si>
    <t>50,711.00</t>
  </si>
  <si>
    <t>137,088.00</t>
  </si>
  <si>
    <t>100,500.00</t>
  </si>
  <si>
    <t>997,972.50</t>
  </si>
  <si>
    <t>168,874,268.79</t>
  </si>
  <si>
    <t>182,384,015.40</t>
  </si>
  <si>
    <t>999,780.00</t>
  </si>
  <si>
    <t>872,000.00</t>
  </si>
  <si>
    <t>1,029,641.00</t>
  </si>
  <si>
    <t>1,287,655.00</t>
  </si>
  <si>
    <t>335,713.00</t>
  </si>
  <si>
    <t>227,500.00</t>
  </si>
  <si>
    <t>752,000.00</t>
  </si>
  <si>
    <t>102,949,715.43</t>
  </si>
  <si>
    <t>26,370,481.41</t>
  </si>
  <si>
    <t>120,776.00</t>
  </si>
  <si>
    <t>21,185.00</t>
  </si>
  <si>
    <t>380,948.40</t>
  </si>
  <si>
    <t>282,700.00</t>
  </si>
  <si>
    <t>6,359,475.00</t>
  </si>
  <si>
    <t>7,000,000.00</t>
  </si>
  <si>
    <t>168,874,154.35</t>
  </si>
  <si>
    <t>40,000,000.00</t>
  </si>
  <si>
    <t>1,001,000.00</t>
  </si>
  <si>
    <t>427,278.84</t>
  </si>
  <si>
    <t>995,000.00</t>
  </si>
  <si>
    <t>452,600.00</t>
  </si>
  <si>
    <t>245,500.00</t>
  </si>
  <si>
    <t>54,081,935.00</t>
  </si>
  <si>
    <t>190,320.00</t>
  </si>
  <si>
    <t>182,400.00</t>
  </si>
  <si>
    <t>180,500.00</t>
  </si>
  <si>
    <t>5,402,250.00</t>
  </si>
  <si>
    <t>6,000,000.00</t>
  </si>
  <si>
    <t>168,510.00</t>
  </si>
  <si>
    <t>364,000.00</t>
  </si>
  <si>
    <t>976,099.26</t>
  </si>
  <si>
    <t>8,756,000.00</t>
  </si>
  <si>
    <t>77,049.50</t>
  </si>
  <si>
    <t>54,125.99</t>
  </si>
  <si>
    <t>4,272,480.00</t>
  </si>
  <si>
    <t>1,707,650.00</t>
  </si>
  <si>
    <t>1,457,474.44</t>
  </si>
  <si>
    <t>399,597.40</t>
  </si>
  <si>
    <t>872,697.84</t>
  </si>
  <si>
    <t>443,000.00</t>
  </si>
  <si>
    <t>83,125.00</t>
  </si>
  <si>
    <t>378,380.52</t>
  </si>
  <si>
    <t>67,955.00</t>
  </si>
  <si>
    <t>57,810.00</t>
  </si>
  <si>
    <t>125,190.00</t>
  </si>
  <si>
    <t>84,100.00</t>
  </si>
  <si>
    <t>223,200.00</t>
  </si>
  <si>
    <t>97,820.00</t>
  </si>
  <si>
    <t>64,445.00</t>
  </si>
  <si>
    <t>499,833.25</t>
  </si>
  <si>
    <t>998,616.00</t>
  </si>
  <si>
    <t>10,540,000.00</t>
  </si>
  <si>
    <t>69,800.00</t>
  </si>
  <si>
    <t>641,000.00</t>
  </si>
  <si>
    <t>194,246.51</t>
  </si>
  <si>
    <t>365,728.00</t>
  </si>
  <si>
    <t>97,045.00</t>
  </si>
  <si>
    <t>195,473.53</t>
  </si>
  <si>
    <t>403,696.00</t>
  </si>
  <si>
    <t>538,800.00</t>
  </si>
  <si>
    <t>278,250.00</t>
  </si>
  <si>
    <t>398,200.00</t>
  </si>
  <si>
    <t>785,000.00</t>
  </si>
  <si>
    <t>193,801.46</t>
  </si>
  <si>
    <t>985,000.00</t>
  </si>
  <si>
    <t>499,902.51</t>
  </si>
  <si>
    <t>599,344.34</t>
  </si>
  <si>
    <t>54,656.00</t>
  </si>
  <si>
    <t>499,609.41</t>
  </si>
  <si>
    <t>220,900.00</t>
  </si>
  <si>
    <t>1,087,250.00</t>
  </si>
  <si>
    <t>127,492.00</t>
  </si>
  <si>
    <t>106,835.00</t>
  </si>
  <si>
    <t>248,930.31</t>
  </si>
  <si>
    <t>278,000.00</t>
  </si>
  <si>
    <t>955,000.00</t>
  </si>
  <si>
    <t>254,070.00</t>
  </si>
  <si>
    <t>58,620.00</t>
  </si>
  <si>
    <t>89,600.00</t>
  </si>
  <si>
    <t>78,098.00</t>
  </si>
  <si>
    <t>999,846.31</t>
  </si>
  <si>
    <t>789,900.00</t>
  </si>
  <si>
    <t>185,965.00</t>
  </si>
  <si>
    <t>331,500.00</t>
  </si>
  <si>
    <t>89,070.00</t>
  </si>
  <si>
    <t>478,503.61</t>
  </si>
  <si>
    <t>299,919.01</t>
  </si>
  <si>
    <t>109,850.00</t>
  </si>
  <si>
    <t>891,000.00</t>
  </si>
  <si>
    <t>185,192.00</t>
  </si>
  <si>
    <t>319,995.00</t>
  </si>
  <si>
    <t>21,245.00</t>
  </si>
  <si>
    <t>55,750.00</t>
  </si>
  <si>
    <t>96,600.00</t>
  </si>
  <si>
    <t>150,606.00</t>
  </si>
  <si>
    <t>201,988.60</t>
  </si>
  <si>
    <t>545,075.00</t>
  </si>
  <si>
    <t>179,050.00</t>
  </si>
  <si>
    <t>126,000.00</t>
  </si>
  <si>
    <t>339,795.00</t>
  </si>
  <si>
    <t>847,665.00</t>
  </si>
  <si>
    <t>567,000.00</t>
  </si>
  <si>
    <t>3,062,400,000.00</t>
  </si>
  <si>
    <t>999,840.00</t>
  </si>
  <si>
    <t>977,742.84</t>
  </si>
  <si>
    <t>336,147.66</t>
  </si>
  <si>
    <t>1,610,700.00</t>
  </si>
  <si>
    <t>327,747.05</t>
  </si>
  <si>
    <t>2,093,117.11</t>
  </si>
  <si>
    <t>149,087.00</t>
  </si>
  <si>
    <t>266,000.00</t>
  </si>
  <si>
    <t>102,975.00</t>
  </si>
  <si>
    <t>22,050.00</t>
  </si>
  <si>
    <t>932,175.60</t>
  </si>
  <si>
    <t>1,714,903.23</t>
  </si>
  <si>
    <t>256,000.00</t>
  </si>
  <si>
    <t>337,722.77</t>
  </si>
  <si>
    <t>599,713.33</t>
  </si>
  <si>
    <t>153,653.00</t>
  </si>
  <si>
    <t>1,392,000.00</t>
  </si>
  <si>
    <t>432,000.00</t>
  </si>
  <si>
    <t>78,700.00</t>
  </si>
  <si>
    <t>85,900.00</t>
  </si>
  <si>
    <t>4,334,000.00</t>
  </si>
  <si>
    <t>579,879.22</t>
  </si>
  <si>
    <t>51,305.00</t>
  </si>
  <si>
    <t>3,812,953.94</t>
  </si>
  <si>
    <t>166,345.82</t>
  </si>
  <si>
    <t>109,000.00</t>
  </si>
  <si>
    <t>960,000.00</t>
  </si>
  <si>
    <t>58,310.00</t>
  </si>
  <si>
    <t>315,449.00</t>
  </si>
  <si>
    <t>28,000.00</t>
  </si>
  <si>
    <t>201,900.00</t>
  </si>
  <si>
    <t>533,941.73</t>
  </si>
  <si>
    <t>8,400.00</t>
  </si>
  <si>
    <t>101,231.70</t>
  </si>
  <si>
    <t>192,500.00</t>
  </si>
  <si>
    <t>223,100.00</t>
  </si>
  <si>
    <t>361,900.00</t>
  </si>
  <si>
    <t>50,120.00</t>
  </si>
  <si>
    <t>397,600.00</t>
  </si>
  <si>
    <t>15,950,000.00</t>
  </si>
  <si>
    <t>1,499,661.39</t>
  </si>
  <si>
    <t>399,935.76</t>
  </si>
  <si>
    <t>4,426,656.75</t>
  </si>
  <si>
    <t>412,249.21</t>
  </si>
  <si>
    <t>115,105.00</t>
  </si>
  <si>
    <t>63,710.00</t>
  </si>
  <si>
    <t>68,900.00</t>
  </si>
  <si>
    <t>194,400.00</t>
  </si>
  <si>
    <t>202,643.25</t>
  </si>
  <si>
    <t>62,500.00</t>
  </si>
  <si>
    <t>236,942.00</t>
  </si>
  <si>
    <t>141,381.00</t>
  </si>
  <si>
    <t>99,660.00</t>
  </si>
  <si>
    <t>272,320.00</t>
  </si>
  <si>
    <t>145,200.00</t>
  </si>
  <si>
    <t>865,000.00</t>
  </si>
  <si>
    <t>85,800.00</t>
  </si>
  <si>
    <t>75,475.00</t>
  </si>
  <si>
    <t>9,254,000.00</t>
  </si>
  <si>
    <t>298,460.00</t>
  </si>
  <si>
    <t>349,076.00</t>
  </si>
  <si>
    <t>26,458,000.00</t>
  </si>
  <si>
    <t>12,955.00</t>
  </si>
  <si>
    <t>148,354.00</t>
  </si>
  <si>
    <t>680,622.00</t>
  </si>
  <si>
    <t>1,575,000.00</t>
  </si>
  <si>
    <t>90,381.00</t>
  </si>
  <si>
    <t>236,537.70</t>
  </si>
  <si>
    <t>45,000.00</t>
  </si>
  <si>
    <t>417,870.00</t>
  </si>
  <si>
    <t>201,500.00</t>
  </si>
  <si>
    <t>4,900,000.00</t>
  </si>
  <si>
    <t>85,500.00</t>
  </si>
  <si>
    <t>58,500,000.00</t>
  </si>
  <si>
    <t>166,634.00</t>
  </si>
  <si>
    <t>709,920.00</t>
  </si>
  <si>
    <t>94,500.00</t>
  </si>
  <si>
    <t>129,000.00</t>
  </si>
  <si>
    <t>64,912.50</t>
  </si>
  <si>
    <t>69,548.00</t>
  </si>
  <si>
    <t>65,550.00</t>
  </si>
  <si>
    <t>164,650.00</t>
  </si>
  <si>
    <t>2,682,231.00</t>
  </si>
  <si>
    <t>332,954.00</t>
  </si>
  <si>
    <t>1,448,750.00</t>
  </si>
  <si>
    <t>142,970.00</t>
  </si>
  <si>
    <t>76,550.00</t>
  </si>
  <si>
    <t>145,997.82</t>
  </si>
  <si>
    <t>49,500.00</t>
  </si>
  <si>
    <t>403,564.00</t>
  </si>
  <si>
    <t>5,974,000.00</t>
  </si>
  <si>
    <t>396,645.00</t>
  </si>
  <si>
    <t>86,500.00</t>
  </si>
  <si>
    <t>151,772.50</t>
  </si>
  <si>
    <t>751,130.00</t>
  </si>
  <si>
    <t>83,095.00</t>
  </si>
  <si>
    <t>492,130.00</t>
  </si>
  <si>
    <t>247,393.60</t>
  </si>
  <si>
    <t>236,400.00</t>
  </si>
  <si>
    <t>152,000.00</t>
  </si>
  <si>
    <t>408,400.00</t>
  </si>
  <si>
    <t>4,999,999.92</t>
  </si>
  <si>
    <t>545,342.72</t>
  </si>
  <si>
    <t>8,770.00</t>
  </si>
  <si>
    <t>858,000.00</t>
  </si>
  <si>
    <t>81,165.00</t>
  </si>
  <si>
    <t>199,200.00</t>
  </si>
  <si>
    <t>297,912.00</t>
  </si>
  <si>
    <t>499,985.00</t>
  </si>
  <si>
    <t>731,648.25</t>
  </si>
  <si>
    <t>2,998,644.00</t>
  </si>
  <si>
    <t>92,400.00</t>
  </si>
  <si>
    <t>50,450.00</t>
  </si>
  <si>
    <t>930,060.00</t>
  </si>
  <si>
    <t>90,600.00</t>
  </si>
  <si>
    <t>109,800.00</t>
  </si>
  <si>
    <t>64,825.00</t>
  </si>
  <si>
    <t>346,822.00</t>
  </si>
  <si>
    <t>209,134.00</t>
  </si>
  <si>
    <t>260,400.00</t>
  </si>
  <si>
    <t>35,246.00</t>
  </si>
  <si>
    <t>245,760.00</t>
  </si>
  <si>
    <t>492,150.00</t>
  </si>
  <si>
    <t>175,090.00</t>
  </si>
  <si>
    <t>986,000.00</t>
  </si>
  <si>
    <t>498,240.00</t>
  </si>
  <si>
    <t>86,640.00</t>
  </si>
  <si>
    <t>204,532.00</t>
  </si>
  <si>
    <t>53,600.00</t>
  </si>
  <si>
    <t>146,190.00</t>
  </si>
  <si>
    <t>211,219.00</t>
  </si>
  <si>
    <t>15,500.00</t>
  </si>
  <si>
    <t>420,010.00</t>
  </si>
  <si>
    <t>447,543.75</t>
  </si>
  <si>
    <t>103,223.20</t>
  </si>
  <si>
    <t>13,996.00</t>
  </si>
  <si>
    <t>206,100.00</t>
  </si>
  <si>
    <t>11,200.00</t>
  </si>
  <si>
    <t>22,665,000.00</t>
  </si>
  <si>
    <t>98,550.00</t>
  </si>
  <si>
    <t>192,600.00</t>
  </si>
  <si>
    <t>505,745.00</t>
  </si>
  <si>
    <t>4,499,999.25</t>
  </si>
  <si>
    <t>260,950.00</t>
  </si>
  <si>
    <t>989,411.75</t>
  </si>
  <si>
    <t>1,285,316.30</t>
  </si>
  <si>
    <t>41,533,268.55</t>
  </si>
  <si>
    <t>103,950.00</t>
  </si>
  <si>
    <t>197,910.00</t>
  </si>
  <si>
    <t>125,978.58</t>
  </si>
  <si>
    <t>283,600.00</t>
  </si>
  <si>
    <t>2,988,661.22</t>
  </si>
  <si>
    <t>84,259.00</t>
  </si>
  <si>
    <t>116,150.00</t>
  </si>
  <si>
    <t>483,051.45</t>
  </si>
  <si>
    <t>957,600.00</t>
  </si>
  <si>
    <t>52,200.00</t>
  </si>
  <si>
    <t>387,600.00</t>
  </si>
  <si>
    <t>375,038.79</t>
  </si>
  <si>
    <t>25,939,596.51</t>
  </si>
  <si>
    <t>192,000.00</t>
  </si>
  <si>
    <t>74,995.00</t>
  </si>
  <si>
    <t>292,118.40</t>
  </si>
  <si>
    <t>1,997,000.00</t>
  </si>
  <si>
    <t>326,800.00</t>
  </si>
  <si>
    <t>253,750.00</t>
  </si>
  <si>
    <t>716,025.00</t>
  </si>
  <si>
    <t>1,515,000.00</t>
  </si>
  <si>
    <t>51,150.00</t>
  </si>
  <si>
    <t>149,999.80</t>
  </si>
  <si>
    <t>864,550.00</t>
  </si>
  <si>
    <t>445,005.00</t>
  </si>
  <si>
    <t>148,856.00</t>
  </si>
  <si>
    <t>35,143.00</t>
  </si>
  <si>
    <t>963,000.00</t>
  </si>
  <si>
    <t>12,765.00</t>
  </si>
  <si>
    <t>1,037,568.00</t>
  </si>
  <si>
    <t>246,000.00</t>
  </si>
  <si>
    <t>53,120.00</t>
  </si>
  <si>
    <t>623,500.00</t>
  </si>
  <si>
    <t>147,741.00</t>
  </si>
  <si>
    <t>201,775.00</t>
  </si>
  <si>
    <t>1,353,056.60</t>
  </si>
  <si>
    <t>87,780.00</t>
  </si>
  <si>
    <t>51,300.00</t>
  </si>
  <si>
    <t>62,410.00</t>
  </si>
  <si>
    <t>28,950,000.00</t>
  </si>
  <si>
    <t>123,699.25</t>
  </si>
  <si>
    <t>1,499,998.94</t>
  </si>
  <si>
    <t>412,500.00</t>
  </si>
  <si>
    <t>11,207,000.00</t>
  </si>
  <si>
    <t>1,813,410.00</t>
  </si>
  <si>
    <t>999,432.40</t>
  </si>
  <si>
    <t>866,550.00</t>
  </si>
  <si>
    <t>58,500.00</t>
  </si>
  <si>
    <t>106,500.00</t>
  </si>
  <si>
    <t>11,097,500.00</t>
  </si>
  <si>
    <t>59,625.00</t>
  </si>
  <si>
    <t>306,000.00</t>
  </si>
  <si>
    <t>369,270.00</t>
  </si>
  <si>
    <t>993,425.00</t>
  </si>
  <si>
    <t>395,755.75</t>
  </si>
  <si>
    <t>82,653.00</t>
  </si>
  <si>
    <t>325,265.00</t>
  </si>
  <si>
    <t>91,919.00</t>
  </si>
  <si>
    <t>96,493,175.75</t>
  </si>
  <si>
    <t>499,963.00</t>
  </si>
  <si>
    <t>89,850.00</t>
  </si>
  <si>
    <t>620,516.40</t>
  </si>
  <si>
    <t>109,599.00</t>
  </si>
  <si>
    <t>3,780,998.87</t>
  </si>
  <si>
    <t>108,400.00</t>
  </si>
  <si>
    <t>581,324.00</t>
  </si>
  <si>
    <t>327,244.68</t>
  </si>
  <si>
    <t>321,030.00</t>
  </si>
  <si>
    <t>1,380,640.00</t>
  </si>
  <si>
    <t>2,060,000.00</t>
  </si>
  <si>
    <t>387,875.00</t>
  </si>
  <si>
    <t>808,300.00</t>
  </si>
  <si>
    <t>99,408.00</t>
  </si>
  <si>
    <t>122,500.00</t>
  </si>
  <si>
    <t>130,090.00</t>
  </si>
  <si>
    <t>82,900.00</t>
  </si>
  <si>
    <t>492,367.00</t>
  </si>
  <si>
    <t>395,800.00</t>
  </si>
  <si>
    <t>449,999.68</t>
  </si>
  <si>
    <t>65,900.00</t>
  </si>
  <si>
    <t>15,053.00</t>
  </si>
  <si>
    <t>145,100.00</t>
  </si>
  <si>
    <t>471,500.00</t>
  </si>
  <si>
    <t>8,465.00</t>
  </si>
  <si>
    <t>73,400.00</t>
  </si>
  <si>
    <t>65,720.00</t>
  </si>
  <si>
    <t>456,500.00</t>
  </si>
  <si>
    <t>252,000.00</t>
  </si>
  <si>
    <t>249,300.00</t>
  </si>
  <si>
    <t>78,893.40</t>
  </si>
  <si>
    <t>72,148.00</t>
  </si>
  <si>
    <t>53,400.00</t>
  </si>
  <si>
    <t>177,802.00</t>
  </si>
  <si>
    <t>55,892.00</t>
  </si>
  <si>
    <t>776,000.00</t>
  </si>
  <si>
    <t>1,006,490.54</t>
  </si>
  <si>
    <t>48,248,165.59</t>
  </si>
  <si>
    <t>2,094,148.91</t>
  </si>
  <si>
    <t>29,990.00</t>
  </si>
  <si>
    <t>243,899.40</t>
  </si>
  <si>
    <t>10,661,000.00</t>
  </si>
  <si>
    <t>9,649,659.30</t>
  </si>
  <si>
    <t>79,330.00</t>
  </si>
  <si>
    <t>49,860.00</t>
  </si>
  <si>
    <t>109,739.44</t>
  </si>
  <si>
    <t>766,800.00</t>
  </si>
  <si>
    <t>707,100.00</t>
  </si>
  <si>
    <t>63,344.00</t>
  </si>
  <si>
    <t>355,311.00</t>
  </si>
  <si>
    <t>30,600.00</t>
  </si>
  <si>
    <t>1,542,839.00</t>
  </si>
  <si>
    <t>498,000.00</t>
  </si>
  <si>
    <t>55,400.00</t>
  </si>
  <si>
    <t>749,462.46</t>
  </si>
  <si>
    <t>119,340.00</t>
  </si>
  <si>
    <t>73,125.00</t>
  </si>
  <si>
    <t>259,652.37</t>
  </si>
  <si>
    <t>72,940.00</t>
  </si>
  <si>
    <t>2,700,000.00</t>
  </si>
  <si>
    <t>135,150.00</t>
  </si>
  <si>
    <t>149,250.00</t>
  </si>
  <si>
    <t>974,402.63</t>
  </si>
  <si>
    <t>32,800.00</t>
  </si>
  <si>
    <t>627,583.00</t>
  </si>
  <si>
    <t>1,979,100.00</t>
  </si>
  <si>
    <t>8,941,922.70</t>
  </si>
  <si>
    <t>67,704.00</t>
  </si>
  <si>
    <t>62,398.00</t>
  </si>
  <si>
    <t>1,169,240.63</t>
  </si>
  <si>
    <t>19,800,000.00</t>
  </si>
  <si>
    <t>981,100.00</t>
  </si>
  <si>
    <t>83,615.80</t>
  </si>
  <si>
    <t>521,072.38</t>
  </si>
  <si>
    <t>108,000.00</t>
  </si>
  <si>
    <t>3,210,000.00</t>
  </si>
  <si>
    <t>57,600.00</t>
  </si>
  <si>
    <t>6,966,992.70</t>
  </si>
  <si>
    <t>173,820.00</t>
  </si>
  <si>
    <t>159,000.00</t>
  </si>
  <si>
    <t>174,500.00</t>
  </si>
  <si>
    <t>6,142,123.62</t>
  </si>
  <si>
    <t>1,947,074.06</t>
  </si>
  <si>
    <t>1,196,034.00</t>
  </si>
  <si>
    <t>575,400.00</t>
  </si>
  <si>
    <t>69,000.00</t>
  </si>
  <si>
    <t>125,262.00</t>
  </si>
  <si>
    <t>209,686.75</t>
  </si>
  <si>
    <t>11,205,859.88</t>
  </si>
  <si>
    <t>2,940,000.00</t>
  </si>
  <si>
    <t>29,400,000.00</t>
  </si>
  <si>
    <t>211,823.28</t>
  </si>
  <si>
    <t>39,200,000.00</t>
  </si>
  <si>
    <t>2,172,439.50</t>
  </si>
  <si>
    <t>51,615.00</t>
  </si>
  <si>
    <t>206,706.15</t>
  </si>
  <si>
    <t>59,500.00</t>
  </si>
  <si>
    <t>486,216.93</t>
  </si>
  <si>
    <t>566,700.00</t>
  </si>
  <si>
    <t>3,195,185.81</t>
  </si>
  <si>
    <t>84,975.00</t>
  </si>
  <si>
    <t>416,491.75</t>
  </si>
  <si>
    <t>22,291,500.00</t>
  </si>
  <si>
    <t>200,700.00</t>
  </si>
  <si>
    <t>31,210,250.00</t>
  </si>
  <si>
    <t>68,250,000.00</t>
  </si>
  <si>
    <t>297,550.00</t>
  </si>
  <si>
    <t>42,621,480.00</t>
  </si>
  <si>
    <t>210,456.06</t>
  </si>
  <si>
    <t>232,217.53</t>
  </si>
  <si>
    <t>2,338,311.25</t>
  </si>
  <si>
    <t>155,710.00</t>
  </si>
  <si>
    <t>120,989.00</t>
  </si>
  <si>
    <t>2,300,000.00</t>
  </si>
  <si>
    <t>6,500,000.00</t>
  </si>
  <si>
    <t>113,674.00</t>
  </si>
  <si>
    <t>2,162,000.00</t>
  </si>
  <si>
    <t>7,800,000.00</t>
  </si>
  <si>
    <t>144,210.00</t>
  </si>
  <si>
    <t>80,105.00</t>
  </si>
  <si>
    <t>174,630.00</t>
  </si>
  <si>
    <t>7,931,939.92</t>
  </si>
  <si>
    <t>14,500,000.00</t>
  </si>
  <si>
    <t>160,660.00</t>
  </si>
  <si>
    <t>263,130.00</t>
  </si>
  <si>
    <t>403,077.00</t>
  </si>
  <si>
    <t>74,200.00</t>
  </si>
  <si>
    <t>386,820.00</t>
  </si>
  <si>
    <t>213,180.00</t>
  </si>
  <si>
    <t>218,990.00</t>
  </si>
  <si>
    <t>134,000.00</t>
  </si>
  <si>
    <t>775,000.00</t>
  </si>
  <si>
    <t>163,957,910.41</t>
  </si>
  <si>
    <t>21,712,500.00</t>
  </si>
  <si>
    <t>1,731,900.00</t>
  </si>
  <si>
    <t>202,000.00</t>
  </si>
  <si>
    <t>8,500,000.00</t>
  </si>
  <si>
    <t>5,435,528.31</t>
  </si>
  <si>
    <t>1,133,300.00</t>
  </si>
  <si>
    <t>9,520,182.74</t>
  </si>
  <si>
    <t>221,220.00</t>
  </si>
  <si>
    <t>192,610.00</t>
  </si>
  <si>
    <t>37,599.00</t>
  </si>
  <si>
    <t>220,847.00</t>
  </si>
  <si>
    <t>1,070,000.00</t>
  </si>
  <si>
    <t>4,585,598.86</t>
  </si>
  <si>
    <t>3,507,080.37</t>
  </si>
  <si>
    <t>60,017.00</t>
  </si>
  <si>
    <t>742,500.00</t>
  </si>
  <si>
    <t>405,844.00</t>
  </si>
  <si>
    <t>219,375.00</t>
  </si>
  <si>
    <t>724,500.00</t>
  </si>
  <si>
    <t>622,800.00</t>
  </si>
  <si>
    <t>107,390.00</t>
  </si>
  <si>
    <t>3,209,463.00</t>
  </si>
  <si>
    <t>8,754.00</t>
  </si>
  <si>
    <t>897,800.99</t>
  </si>
  <si>
    <t>969,120.00</t>
  </si>
  <si>
    <t>907,500.00</t>
  </si>
  <si>
    <t>47,279,251.22</t>
  </si>
  <si>
    <t>396,600.00</t>
  </si>
  <si>
    <t>980,532.15</t>
  </si>
  <si>
    <t>183,065.00</t>
  </si>
  <si>
    <t>64,827.00</t>
  </si>
  <si>
    <t>48,249,993.47</t>
  </si>
  <si>
    <t>5,321,000.00</t>
  </si>
  <si>
    <t>9,644,197.77</t>
  </si>
  <si>
    <t>49,209,233.59</t>
  </si>
  <si>
    <t>91,674,981.18</t>
  </si>
  <si>
    <t>726,000.00</t>
  </si>
  <si>
    <t>399,880.00</t>
  </si>
  <si>
    <t>172,000.00</t>
  </si>
  <si>
    <t>43,424,970.90</t>
  </si>
  <si>
    <t>507,000.00</t>
  </si>
  <si>
    <t>511,000.00</t>
  </si>
  <si>
    <t>478,857.88</t>
  </si>
  <si>
    <t>100,102.22</t>
  </si>
  <si>
    <t>484,750.00</t>
  </si>
  <si>
    <t>2,100,000.00</t>
  </si>
  <si>
    <t>324,708.00</t>
  </si>
  <si>
    <t>288,000.00</t>
  </si>
  <si>
    <t>1,149,802.42</t>
  </si>
  <si>
    <t>4,791,750.00</t>
  </si>
  <si>
    <t>255,323.00</t>
  </si>
  <si>
    <t>365,248.20</t>
  </si>
  <si>
    <t>15,282,099.00</t>
  </si>
  <si>
    <t>3,293,713.00</t>
  </si>
  <si>
    <t>9,034,000.00</t>
  </si>
  <si>
    <t>69,650.00</t>
  </si>
  <si>
    <t>1,249,250.00</t>
  </si>
  <si>
    <t>69,730.00</t>
  </si>
  <si>
    <t>566,690.60</t>
  </si>
  <si>
    <t>171,191.50</t>
  </si>
  <si>
    <t>171,193.00</t>
  </si>
  <si>
    <t>603,801.00</t>
  </si>
  <si>
    <t>76,500.00</t>
  </si>
  <si>
    <t>12,500,000.00</t>
  </si>
  <si>
    <t>72,490.00</t>
  </si>
  <si>
    <t>172,467.50</t>
  </si>
  <si>
    <t>134,861.50</t>
  </si>
  <si>
    <t>199,201.60</t>
  </si>
  <si>
    <t>319,981.92</t>
  </si>
  <si>
    <t>307,451.00</t>
  </si>
  <si>
    <t>51,500.00</t>
  </si>
  <si>
    <t>52,940.00</t>
  </si>
  <si>
    <t>1,380,200.00</t>
  </si>
  <si>
    <t>1,999,419.80</t>
  </si>
  <si>
    <t>915,112.00</t>
  </si>
  <si>
    <t>466,683.00</t>
  </si>
  <si>
    <t>2,193,751.00</t>
  </si>
  <si>
    <t>3,228,255.00</t>
  </si>
  <si>
    <t>393,375.00</t>
  </si>
  <si>
    <t>321,923.31</t>
  </si>
  <si>
    <t>976,237.50</t>
  </si>
  <si>
    <t>712,939.98</t>
  </si>
  <si>
    <t>21,262,675.97</t>
  </si>
  <si>
    <t>912,587.81</t>
  </si>
  <si>
    <t>998,865.00</t>
  </si>
  <si>
    <t>24,171,930.42</t>
  </si>
  <si>
    <t>3,862,063.38</t>
  </si>
  <si>
    <t>1,955,021.25</t>
  </si>
  <si>
    <t>2,999,456.25</t>
  </si>
  <si>
    <t>256,845.96</t>
  </si>
  <si>
    <t>1,280,000.00</t>
  </si>
  <si>
    <t>499,240.88</t>
  </si>
  <si>
    <t>1,020,000.00</t>
  </si>
  <si>
    <t>709,510.00</t>
  </si>
  <si>
    <t>127,382,400.00</t>
  </si>
  <si>
    <t>5,558,600.00</t>
  </si>
  <si>
    <t>3,815,375.00</t>
  </si>
  <si>
    <t>254,049.00</t>
  </si>
  <si>
    <t>407,409.00</t>
  </si>
  <si>
    <t>204,639.81</t>
  </si>
  <si>
    <t>670,000.00</t>
  </si>
  <si>
    <t>59,000.00</t>
  </si>
  <si>
    <t>107,720.00</t>
  </si>
  <si>
    <t>2,556,800.00</t>
  </si>
  <si>
    <t>1,107,492.00</t>
  </si>
  <si>
    <t>1,461,072.16</t>
  </si>
  <si>
    <t>965,695.17</t>
  </si>
  <si>
    <t>21,452,600.00</t>
  </si>
  <si>
    <t>5,680,000.00</t>
  </si>
  <si>
    <t>141,600.00</t>
  </si>
  <si>
    <t>2,292,500.00</t>
  </si>
  <si>
    <t>3,300,000.00</t>
  </si>
  <si>
    <t>2,706,480.00</t>
  </si>
  <si>
    <t>2,808,960.00</t>
  </si>
  <si>
    <t>1,332,000.00</t>
  </si>
  <si>
    <t>48,155,555.52</t>
  </si>
  <si>
    <t>65,890.00</t>
  </si>
  <si>
    <t>3,917,175.00</t>
  </si>
  <si>
    <t>78,174.00</t>
  </si>
  <si>
    <t>98,987.00</t>
  </si>
  <si>
    <t>1,255,065.00</t>
  </si>
  <si>
    <t>868,500.00</t>
  </si>
  <si>
    <t>2,714,000.00</t>
  </si>
  <si>
    <t>397,702.86</t>
  </si>
  <si>
    <t>497,293.93</t>
  </si>
  <si>
    <t>997,415.96</t>
  </si>
  <si>
    <t>4,060,500.00</t>
  </si>
  <si>
    <t>4,209,000.00</t>
  </si>
  <si>
    <t>2,599,670.06</t>
  </si>
  <si>
    <t>323,912.50</t>
  </si>
  <si>
    <t>244,290.00</t>
  </si>
  <si>
    <t>5,250,000.00</t>
  </si>
  <si>
    <t>2,447,000.00</t>
  </si>
  <si>
    <t>167,486.20</t>
  </si>
  <si>
    <t>836,000.00</t>
  </si>
  <si>
    <t>2,355,244.18</t>
  </si>
  <si>
    <t>83,691.00</t>
  </si>
  <si>
    <t>117,796.40</t>
  </si>
  <si>
    <t>224,553.00</t>
  </si>
  <si>
    <t>183,750.00</t>
  </si>
  <si>
    <t>1,250,000.00</t>
  </si>
  <si>
    <t>385,000.00</t>
  </si>
  <si>
    <t>247,800.00</t>
  </si>
  <si>
    <t>399,100.00</t>
  </si>
  <si>
    <t>598,821.27</t>
  </si>
  <si>
    <t>7,700,000.00</t>
  </si>
  <si>
    <t>75,286.00</t>
  </si>
  <si>
    <t>159,518.75</t>
  </si>
  <si>
    <t>2,379,300.00</t>
  </si>
  <si>
    <t>499,926.26</t>
  </si>
  <si>
    <t>2,999,988.60</t>
  </si>
  <si>
    <t>1,246,945.70</t>
  </si>
  <si>
    <t>427,500.00</t>
  </si>
  <si>
    <t>1,499,739.73</t>
  </si>
  <si>
    <t>824,932.29</t>
  </si>
  <si>
    <t>281,406.25</t>
  </si>
  <si>
    <t>112,143.00</t>
  </si>
  <si>
    <t>704,976.48</t>
  </si>
  <si>
    <t>296,400.00</t>
  </si>
  <si>
    <t>155,350.00</t>
  </si>
  <si>
    <t>1,480,000.00</t>
  </si>
  <si>
    <t>119,600.00</t>
  </si>
  <si>
    <t>299,977.14</t>
  </si>
  <si>
    <t>450,630.00</t>
  </si>
  <si>
    <t>765,500.00</t>
  </si>
  <si>
    <t>1,650,607.00</t>
  </si>
  <si>
    <t>9,000,000.00</t>
  </si>
  <si>
    <t>23,000,000.00</t>
  </si>
  <si>
    <t>77,728.13</t>
  </si>
  <si>
    <t>116,580.00</t>
  </si>
  <si>
    <t>999,500.00</t>
  </si>
  <si>
    <t>1,618,960.00</t>
  </si>
  <si>
    <t>918,099.00</t>
  </si>
  <si>
    <t>3,400,000.00</t>
  </si>
  <si>
    <t>50,000,000.00</t>
  </si>
  <si>
    <t>2,701,061.00</t>
  </si>
  <si>
    <t>16,150,014.78</t>
  </si>
  <si>
    <t>145,550.00</t>
  </si>
  <si>
    <t>599,300.00</t>
  </si>
  <si>
    <t>305,600.00</t>
  </si>
  <si>
    <t>64,400.00</t>
  </si>
  <si>
    <t>160,480.00</t>
  </si>
  <si>
    <t>852,475.50</t>
  </si>
  <si>
    <t>131,250.00</t>
  </si>
  <si>
    <t>363,500.00</t>
  </si>
  <si>
    <t>30,543,229.53</t>
  </si>
  <si>
    <t>868,300.00</t>
  </si>
  <si>
    <t>157,495.00</t>
  </si>
  <si>
    <t>130,909.00</t>
  </si>
  <si>
    <t>164,200.00</t>
  </si>
  <si>
    <t>972,164.97</t>
  </si>
  <si>
    <t>3,300.00</t>
  </si>
  <si>
    <t>12,028,000.00</t>
  </si>
  <si>
    <t>689,465.59</t>
  </si>
  <si>
    <t>65,850.00</t>
  </si>
  <si>
    <t>5,570.00</t>
  </si>
  <si>
    <t>14,048.00</t>
  </si>
  <si>
    <t>53,765.02</t>
  </si>
  <si>
    <t>299,865.00</t>
  </si>
  <si>
    <t>593,050.00</t>
  </si>
  <si>
    <t>399,025.00</t>
  </si>
  <si>
    <t>79,800.00</t>
  </si>
  <si>
    <t>99,985.00</t>
  </si>
  <si>
    <t>280,760.00</t>
  </si>
  <si>
    <t>486,819.98</t>
  </si>
  <si>
    <t>17,742.00</t>
  </si>
  <si>
    <t>99,991.70</t>
  </si>
  <si>
    <t>1,959,665.39</t>
  </si>
  <si>
    <t>1,988,179.70</t>
  </si>
  <si>
    <t>199,939.61</t>
  </si>
  <si>
    <t>12,935,000.00</t>
  </si>
  <si>
    <t>596,884.99</t>
  </si>
  <si>
    <t>472,250.00</t>
  </si>
  <si>
    <t>5,478,200.00</t>
  </si>
  <si>
    <t>129,985.00</t>
  </si>
  <si>
    <t>69,525.00</t>
  </si>
  <si>
    <t>323,318.00</t>
  </si>
  <si>
    <t>322,445.00</t>
  </si>
  <si>
    <t>221,300.00</t>
  </si>
  <si>
    <t>107,690.00</t>
  </si>
  <si>
    <t>48,000.00</t>
  </si>
  <si>
    <t>10,285,000.00</t>
  </si>
  <si>
    <t>499,999.80</t>
  </si>
  <si>
    <t>108,045.00</t>
  </si>
  <si>
    <t>299,880.00</t>
  </si>
  <si>
    <t>97,030.62</t>
  </si>
  <si>
    <t>96,500,000.00</t>
  </si>
  <si>
    <t>191,300.00</t>
  </si>
  <si>
    <t>51,815.00</t>
  </si>
  <si>
    <t>121,558.00</t>
  </si>
  <si>
    <t>1,545,000.00</t>
  </si>
  <si>
    <t>60,500.00</t>
  </si>
  <si>
    <t>4,565,773.70</t>
  </si>
  <si>
    <t>305,000.00</t>
  </si>
  <si>
    <t>348,750.00</t>
  </si>
  <si>
    <t>8,323,000.00</t>
  </si>
  <si>
    <t>82,100.00</t>
  </si>
  <si>
    <t>2,499,684.74</t>
  </si>
  <si>
    <t>2,329,000.00</t>
  </si>
  <si>
    <t>967,995.41</t>
  </si>
  <si>
    <t>651,538.00</t>
  </si>
  <si>
    <t>549,996.70</t>
  </si>
  <si>
    <t>479,213.00</t>
  </si>
  <si>
    <t>200,280.00</t>
  </si>
  <si>
    <t>305,260.00</t>
  </si>
  <si>
    <t>569,550.00</t>
  </si>
  <si>
    <t>279,000.00</t>
  </si>
  <si>
    <t>165,840.00</t>
  </si>
  <si>
    <t>54,050.00</t>
  </si>
  <si>
    <t>337,500.00</t>
  </si>
  <si>
    <t>359,740.00</t>
  </si>
  <si>
    <t>190,900.00</t>
  </si>
  <si>
    <t>199,620.00</t>
  </si>
  <si>
    <t>2,999,977.10</t>
  </si>
  <si>
    <t>59,490.00</t>
  </si>
  <si>
    <t>160,740.00</t>
  </si>
  <si>
    <t>599,998.18</t>
  </si>
  <si>
    <t>358,250.00</t>
  </si>
  <si>
    <t>102,489.00</t>
  </si>
  <si>
    <t>206,081.50</t>
  </si>
  <si>
    <t>418,339.97</t>
  </si>
  <si>
    <t>90,679.00</t>
  </si>
  <si>
    <t>63,600.00</t>
  </si>
  <si>
    <t>198,549.50</t>
  </si>
  <si>
    <t>118,267.65</t>
  </si>
  <si>
    <t>115,174.35</t>
  </si>
  <si>
    <t>93,370.00</t>
  </si>
  <si>
    <t>324,226.18</t>
  </si>
  <si>
    <t>174,819.00</t>
  </si>
  <si>
    <t>1,550,000.00</t>
  </si>
  <si>
    <t>11,249.00</t>
  </si>
  <si>
    <t>881,966.00</t>
  </si>
  <si>
    <t>99,904.44</t>
  </si>
  <si>
    <t>232,100.00</t>
  </si>
  <si>
    <t>770,367.00</t>
  </si>
  <si>
    <t>87,548.15</t>
  </si>
  <si>
    <t>17,438.00</t>
  </si>
  <si>
    <t>75,150.00</t>
  </si>
  <si>
    <t>4,899,942.08</t>
  </si>
  <si>
    <t>135,351.51</t>
  </si>
  <si>
    <t>210,910.00</t>
  </si>
  <si>
    <t>605,155.00</t>
  </si>
  <si>
    <t>14,999,984.68</t>
  </si>
  <si>
    <t>56,231.00</t>
  </si>
  <si>
    <t>562,800.00</t>
  </si>
  <si>
    <t>799,500.00</t>
  </si>
  <si>
    <t>549,000.00</t>
  </si>
  <si>
    <t>53,582.00</t>
  </si>
  <si>
    <t>234,000.00</t>
  </si>
  <si>
    <t>476,400.00</t>
  </si>
  <si>
    <t>150,800.00</t>
  </si>
  <si>
    <t>97,125.21</t>
  </si>
  <si>
    <t>77,500.00</t>
  </si>
  <si>
    <t>18,000.00</t>
  </si>
  <si>
    <t>646,044.00</t>
  </si>
  <si>
    <t>768,455.19</t>
  </si>
  <si>
    <t>422,520.00</t>
  </si>
  <si>
    <t>476,700.00</t>
  </si>
  <si>
    <t>589,680.00</t>
  </si>
  <si>
    <t>200,324.50</t>
  </si>
  <si>
    <t>79,999,967.34</t>
  </si>
  <si>
    <t>406,100.00</t>
  </si>
  <si>
    <t>985,315.00</t>
  </si>
  <si>
    <t>245,088.00</t>
  </si>
  <si>
    <t>264,999.14</t>
  </si>
  <si>
    <t>37,000.00</t>
  </si>
  <si>
    <t>34,328.66</t>
  </si>
  <si>
    <t>3,499,999.20</t>
  </si>
  <si>
    <t>69,968.05</t>
  </si>
  <si>
    <t>2,746,999.96</t>
  </si>
  <si>
    <t>396,448.85</t>
  </si>
  <si>
    <t>256,682.50</t>
  </si>
  <si>
    <t>163,076.75</t>
  </si>
  <si>
    <t>491,361.00</t>
  </si>
  <si>
    <t>7,180.00</t>
  </si>
  <si>
    <t>99,485.00</t>
  </si>
  <si>
    <t>999,716.00</t>
  </si>
  <si>
    <t>117,600.00</t>
  </si>
  <si>
    <t>124,936.00</t>
  </si>
  <si>
    <t>12,508.00</t>
  </si>
  <si>
    <t>94,695.00</t>
  </si>
  <si>
    <t>155,600.00</t>
  </si>
  <si>
    <t>70,450.00</t>
  </si>
  <si>
    <t>2,641,250.00</t>
  </si>
  <si>
    <t>321,500.00</t>
  </si>
  <si>
    <t>207,682.76</t>
  </si>
  <si>
    <t>925,248.00</t>
  </si>
  <si>
    <t>19,600.00</t>
  </si>
  <si>
    <t>89,349.00</t>
  </si>
  <si>
    <t>105,950.00</t>
  </si>
  <si>
    <t>3,968,096.34</t>
  </si>
  <si>
    <t>977,840.00</t>
  </si>
  <si>
    <t>67,264.00</t>
  </si>
  <si>
    <t>387,000.00</t>
  </si>
  <si>
    <t>67,250.00</t>
  </si>
  <si>
    <t>63,550.00</t>
  </si>
  <si>
    <t>202,684.34</t>
  </si>
  <si>
    <t>1,922,000.00</t>
  </si>
  <si>
    <t>92,440.00</t>
  </si>
  <si>
    <t>163,746.00</t>
  </si>
  <si>
    <t>74,000.00</t>
  </si>
  <si>
    <t>308,300.00</t>
  </si>
  <si>
    <t>104,975.00</t>
  </si>
  <si>
    <t>219,750.00</t>
  </si>
  <si>
    <t>726,375.25</t>
  </si>
  <si>
    <t>256,600.00</t>
  </si>
  <si>
    <t>5,580.00</t>
  </si>
  <si>
    <t>140,918.00</t>
  </si>
  <si>
    <t>218,515.00</t>
  </si>
  <si>
    <t>1,044,200.00</t>
  </si>
  <si>
    <t>430,400.00</t>
  </si>
  <si>
    <t>206,000.00</t>
  </si>
  <si>
    <t>3,650,340.00</t>
  </si>
  <si>
    <t>1,799,426.00</t>
  </si>
  <si>
    <t>669,282.26</t>
  </si>
  <si>
    <t>140,940.00</t>
  </si>
  <si>
    <t>614,986.00</t>
  </si>
  <si>
    <t>2,618,799.34</t>
  </si>
  <si>
    <t>663,637.50</t>
  </si>
  <si>
    <t>971,394.00</t>
  </si>
  <si>
    <t>79,005.00</t>
  </si>
  <si>
    <t>1,240,784.24</t>
  </si>
  <si>
    <t>82,440.00</t>
  </si>
  <si>
    <t>120,870.00</t>
  </si>
  <si>
    <t>1,770,000.00</t>
  </si>
  <si>
    <t>330,150.00</t>
  </si>
  <si>
    <t>975,000.00</t>
  </si>
  <si>
    <t>444,350.00</t>
  </si>
  <si>
    <t>663,050.00</t>
  </si>
  <si>
    <t>85,330.00</t>
  </si>
  <si>
    <t>37,993.00</t>
  </si>
  <si>
    <t>94,995.00</t>
  </si>
  <si>
    <t>1,731,845.00</t>
  </si>
  <si>
    <t>321,783.00</t>
  </si>
  <si>
    <t>149,400.00</t>
  </si>
  <si>
    <t>69,810.00</t>
  </si>
  <si>
    <t>156,260.00</t>
  </si>
  <si>
    <t>817,000.00</t>
  </si>
  <si>
    <t>76,045.00</t>
  </si>
  <si>
    <t>775,198.00</t>
  </si>
  <si>
    <t>14,924,898.93</t>
  </si>
  <si>
    <t>345,410.00</t>
  </si>
  <si>
    <t>1,080,000.00</t>
  </si>
  <si>
    <t>306,020.00</t>
  </si>
  <si>
    <t>55,834.00</t>
  </si>
  <si>
    <t>351,300.00</t>
  </si>
  <si>
    <t>142,800.00</t>
  </si>
  <si>
    <t>890,000.00</t>
  </si>
  <si>
    <t>51,450.00</t>
  </si>
  <si>
    <t>112,858.63</t>
  </si>
  <si>
    <t>115,598.85</t>
  </si>
  <si>
    <t>222,270.00</t>
  </si>
  <si>
    <t>60,300.00</t>
  </si>
  <si>
    <t>765,000.00</t>
  </si>
  <si>
    <t>242,550.00</t>
  </si>
  <si>
    <t>140,200.00</t>
  </si>
  <si>
    <t>100,591.00</t>
  </si>
  <si>
    <t>11,900.00</t>
  </si>
  <si>
    <t>1,049,534.81</t>
  </si>
  <si>
    <t>75,929.00</t>
  </si>
  <si>
    <t>78,320.00</t>
  </si>
  <si>
    <t>492,135.56</t>
  </si>
  <si>
    <t>1,225,790.50</t>
  </si>
  <si>
    <t>3,327,057.00</t>
  </si>
  <si>
    <t>335,310.00</t>
  </si>
  <si>
    <t>3,736,000.00</t>
  </si>
  <si>
    <t>388,038.31</t>
  </si>
  <si>
    <t>947,375.00</t>
  </si>
  <si>
    <t>238,200.00</t>
  </si>
  <si>
    <t>105,715.30</t>
  </si>
  <si>
    <t>3,130.00</t>
  </si>
  <si>
    <t>1,232,205.00</t>
  </si>
  <si>
    <t>213,563.00</t>
  </si>
  <si>
    <t>599,750.00</t>
  </si>
  <si>
    <t>17,500,000.00</t>
  </si>
  <si>
    <t>475,000.00</t>
  </si>
  <si>
    <t>3,944,935.72</t>
  </si>
  <si>
    <t>4,710.00</t>
  </si>
  <si>
    <t>3,619,500.00</t>
  </si>
  <si>
    <t>422,889.00</t>
  </si>
  <si>
    <t>499,275.00</t>
  </si>
  <si>
    <t>79,256.00</t>
  </si>
  <si>
    <t>226,997.00</t>
  </si>
  <si>
    <t>351,000.00</t>
  </si>
  <si>
    <t>998,400.00</t>
  </si>
  <si>
    <t>357,050.00</t>
  </si>
  <si>
    <t>883,800.00</t>
  </si>
  <si>
    <t>211,650.00</t>
  </si>
  <si>
    <t>249,996.00</t>
  </si>
  <si>
    <t>340,200.00</t>
  </si>
  <si>
    <t>62,400.00</t>
  </si>
  <si>
    <t>86,130.00</t>
  </si>
  <si>
    <t>810,000.00</t>
  </si>
  <si>
    <t>191,069.90</t>
  </si>
  <si>
    <t>331,845.70</t>
  </si>
  <si>
    <t>53,130.00</t>
  </si>
  <si>
    <t>164,050.00</t>
  </si>
  <si>
    <t>1,474,597.38</t>
  </si>
  <si>
    <t>133,320.00</t>
  </si>
  <si>
    <t>4,311,500.00</t>
  </si>
  <si>
    <t>363,621.50</t>
  </si>
  <si>
    <t>197,030.00</t>
  </si>
  <si>
    <t>966,517.07</t>
  </si>
  <si>
    <t>499,380.00</t>
  </si>
  <si>
    <t>96,725.00</t>
  </si>
  <si>
    <t>462,599.99</t>
  </si>
  <si>
    <t>52,385.00</t>
  </si>
  <si>
    <t>99,941.82</t>
  </si>
  <si>
    <t>13,501,798.81</t>
  </si>
  <si>
    <t>910,000.00</t>
  </si>
  <si>
    <t>96,000.60</t>
  </si>
  <si>
    <t>91,270.00</t>
  </si>
  <si>
    <t>59,740.00</t>
  </si>
  <si>
    <t>7,311,500.00</t>
  </si>
  <si>
    <t>177,700.00</t>
  </si>
  <si>
    <t>195,205.00</t>
  </si>
  <si>
    <t>179,920.00</t>
  </si>
  <si>
    <t>66,752.00</t>
  </si>
  <si>
    <t>557,150.00</t>
  </si>
  <si>
    <t>386,100.00</t>
  </si>
  <si>
    <t>1,457,317.00</t>
  </si>
  <si>
    <t>190,100.00</t>
  </si>
  <si>
    <t>153,102.00</t>
  </si>
  <si>
    <t>747,700.00</t>
  </si>
  <si>
    <t>499,250.00</t>
  </si>
  <si>
    <t>104,715.00</t>
  </si>
  <si>
    <t>336,950.00</t>
  </si>
  <si>
    <t>94,176.00</t>
  </si>
  <si>
    <t>379,126.50</t>
  </si>
  <si>
    <t>499,149.00</t>
  </si>
  <si>
    <t>229,900.00</t>
  </si>
  <si>
    <t>1,476,000.00</t>
  </si>
  <si>
    <t>252,876.25</t>
  </si>
  <si>
    <t>77,990.00</t>
  </si>
  <si>
    <t>90,760.00</t>
  </si>
  <si>
    <t>62,672.00</t>
  </si>
  <si>
    <t>1,110,400.00</t>
  </si>
  <si>
    <t>4,960,000.00</t>
  </si>
  <si>
    <t>89,050.00</t>
  </si>
  <si>
    <t>2,107,870.16</t>
  </si>
  <si>
    <t>506,848.13</t>
  </si>
  <si>
    <t>2,671,660.00</t>
  </si>
  <si>
    <t>9,872,594.54</t>
  </si>
  <si>
    <t>1,135,053.00</t>
  </si>
  <si>
    <t>168,547.19</t>
  </si>
  <si>
    <t>2,150,000.00</t>
  </si>
  <si>
    <t>139,000.00</t>
  </si>
  <si>
    <t>3,954,136.55</t>
  </si>
  <si>
    <t>52,650.00</t>
  </si>
  <si>
    <t>54,200.00</t>
  </si>
  <si>
    <t>108,405.00</t>
  </si>
  <si>
    <t>63,110.00</t>
  </si>
  <si>
    <t>2,900,000.00</t>
  </si>
  <si>
    <t>55,648.00</t>
  </si>
  <si>
    <t>172,275.80</t>
  </si>
  <si>
    <t>86,020.00</t>
  </si>
  <si>
    <t>116,190.00</t>
  </si>
  <si>
    <t>68,600.00</t>
  </si>
  <si>
    <t>550,430.00</t>
  </si>
  <si>
    <t>653,167.00</t>
  </si>
  <si>
    <t>450,700.00</t>
  </si>
  <si>
    <t>14,996,100.00</t>
  </si>
  <si>
    <t>978,284.92</t>
  </si>
  <si>
    <t>100,100.00</t>
  </si>
  <si>
    <t>8,600,000.00</t>
  </si>
  <si>
    <t>132,800.00</t>
  </si>
  <si>
    <t>5,202,234.31</t>
  </si>
  <si>
    <t>180,745.43</t>
  </si>
  <si>
    <t>118,750.00</t>
  </si>
  <si>
    <t>547,100.00</t>
  </si>
  <si>
    <t>599,900.00</t>
  </si>
  <si>
    <t>10,434,652.00</t>
  </si>
  <si>
    <t>90,300.00</t>
  </si>
  <si>
    <t>624,340.00</t>
  </si>
  <si>
    <t>566,643.01</t>
  </si>
  <si>
    <t>1,122,359.00</t>
  </si>
  <si>
    <t>171,600.00</t>
  </si>
  <si>
    <t>359,640.00</t>
  </si>
  <si>
    <t>20,000,000.00</t>
  </si>
  <si>
    <t>400,200.00</t>
  </si>
  <si>
    <t>293,225.00</t>
  </si>
  <si>
    <t>204,820.00</t>
  </si>
  <si>
    <t>1,571,392.00</t>
  </si>
  <si>
    <t>60,250.00</t>
  </si>
  <si>
    <t>144,017.88</t>
  </si>
  <si>
    <t>895,900.00</t>
  </si>
  <si>
    <t>67,800.00</t>
  </si>
  <si>
    <t>210,620.00</t>
  </si>
  <si>
    <t>156,712.30</t>
  </si>
  <si>
    <t>86,750.00</t>
  </si>
  <si>
    <t>4,450,000.00</t>
  </si>
  <si>
    <t>3,313,254.53</t>
  </si>
  <si>
    <t>104,600.00</t>
  </si>
  <si>
    <t>326,000.00</t>
  </si>
  <si>
    <t>480,085.00</t>
  </si>
  <si>
    <t>232,280.00</t>
  </si>
  <si>
    <t>199,836.00</t>
  </si>
  <si>
    <t>232,669.62</t>
  </si>
  <si>
    <t>51,546.00</t>
  </si>
  <si>
    <t>1,199,617.00</t>
  </si>
  <si>
    <t>649,740.00</t>
  </si>
  <si>
    <t>69,562.80</t>
  </si>
  <si>
    <t>516,000.00</t>
  </si>
  <si>
    <t>238,000.00</t>
  </si>
  <si>
    <t>642,000.00</t>
  </si>
  <si>
    <t>74,192.00</t>
  </si>
  <si>
    <t>80,102.00</t>
  </si>
  <si>
    <t>244,100.00</t>
  </si>
  <si>
    <t>6,800,000.00</t>
  </si>
  <si>
    <t>69,300,000.00</t>
  </si>
  <si>
    <t>532,575.00</t>
  </si>
  <si>
    <t>373,117.80</t>
  </si>
  <si>
    <t>234,816.00</t>
  </si>
  <si>
    <t>1,499.00</t>
  </si>
  <si>
    <t>142,600.00</t>
  </si>
  <si>
    <t>88,875.00</t>
  </si>
  <si>
    <t>15,000,000.00</t>
  </si>
  <si>
    <t>729,100.00</t>
  </si>
  <si>
    <t>4,992,808.58</t>
  </si>
  <si>
    <t>561,348.00</t>
  </si>
  <si>
    <t>178,797.50</t>
  </si>
  <si>
    <t>200,000,000.00</t>
  </si>
  <si>
    <t>374,878.00</t>
  </si>
  <si>
    <t>386,009.40</t>
  </si>
  <si>
    <t>227,238.50</t>
  </si>
  <si>
    <t>43,520.00</t>
  </si>
  <si>
    <t>3,239,993.00</t>
  </si>
  <si>
    <t>192,338.00</t>
  </si>
  <si>
    <t>158,560.00</t>
  </si>
  <si>
    <t>323,372.00</t>
  </si>
  <si>
    <t>10,108.83</t>
  </si>
  <si>
    <t>381,320.00</t>
  </si>
  <si>
    <t>973,500.00</t>
  </si>
  <si>
    <t>2,341,569.20</t>
  </si>
  <si>
    <t>139,290.00</t>
  </si>
  <si>
    <t>21,700.00</t>
  </si>
  <si>
    <t>1,489,480.70</t>
  </si>
  <si>
    <t>74,100.00</t>
  </si>
  <si>
    <t>46,852.71</t>
  </si>
  <si>
    <t>37,167,480.00</t>
  </si>
  <si>
    <t>172,972.00</t>
  </si>
  <si>
    <t>6,188,397.69</t>
  </si>
  <si>
    <t>1,166,717.62</t>
  </si>
  <si>
    <t>3,060,000.00</t>
  </si>
  <si>
    <t>68,005.00</t>
  </si>
  <si>
    <t>304,666.32</t>
  </si>
  <si>
    <t>476,065.50</t>
  </si>
  <si>
    <t>375,820.00</t>
  </si>
  <si>
    <t>699,999.30</t>
  </si>
  <si>
    <t>2,175,940.00</t>
  </si>
  <si>
    <t>53,262.50</t>
  </si>
  <si>
    <t>585,000.00</t>
  </si>
  <si>
    <t>59,400.00</t>
  </si>
  <si>
    <t>80,496.00</t>
  </si>
  <si>
    <t>411,057.60</t>
  </si>
  <si>
    <t>1,320,000.00</t>
  </si>
  <si>
    <t>90,168.00</t>
  </si>
  <si>
    <t>1,032,013.75</t>
  </si>
  <si>
    <t>1,690,000.00</t>
  </si>
  <si>
    <t>55,200.00</t>
  </si>
  <si>
    <t>83,262.00</t>
  </si>
  <si>
    <t>1,780,000.00</t>
  </si>
  <si>
    <t>921,900.00</t>
  </si>
  <si>
    <t>85,351.45</t>
  </si>
  <si>
    <t>699,611.66</t>
  </si>
  <si>
    <t>92,769.00</t>
  </si>
  <si>
    <t>951,000.00</t>
  </si>
  <si>
    <t>224,471.30</t>
  </si>
  <si>
    <t>158,610.00</t>
  </si>
  <si>
    <t>2,688,000.00</t>
  </si>
  <si>
    <t>3,942,539.19</t>
  </si>
  <si>
    <t>363,186.17</t>
  </si>
  <si>
    <t>447,143.00</t>
  </si>
  <si>
    <t>2,499,656.01</t>
  </si>
  <si>
    <t>9,782,715.22</t>
  </si>
  <si>
    <t>75,040.00</t>
  </si>
  <si>
    <t>1,272,160.00</t>
  </si>
  <si>
    <t>10,065,984.46</t>
  </si>
  <si>
    <t>208,364.95</t>
  </si>
  <si>
    <t>165,864.00</t>
  </si>
  <si>
    <t>751,513.00</t>
  </si>
  <si>
    <t>1,478,528.00</t>
  </si>
  <si>
    <t>302,495.00</t>
  </si>
  <si>
    <t>10,247,985.56</t>
  </si>
  <si>
    <t>351,209.29</t>
  </si>
  <si>
    <t>776,917.00</t>
  </si>
  <si>
    <t>488,750.00</t>
  </si>
  <si>
    <t>129,270.00</t>
  </si>
  <si>
    <t>14,377,115.64</t>
  </si>
  <si>
    <t>38,364.00</t>
  </si>
  <si>
    <t>2,949,463.74</t>
  </si>
  <si>
    <t>465,840.00</t>
  </si>
  <si>
    <t>214,156.60</t>
  </si>
  <si>
    <t>999,997.68</t>
  </si>
  <si>
    <t>499,992.94</t>
  </si>
  <si>
    <t>533,000.00</t>
  </si>
  <si>
    <t>309,844.21</t>
  </si>
  <si>
    <t>75,830.00</t>
  </si>
  <si>
    <t>63,316.00</t>
  </si>
  <si>
    <t>4,868,956.99</t>
  </si>
  <si>
    <t>103,000.00</t>
  </si>
  <si>
    <t>51,030.80</t>
  </si>
  <si>
    <t>510,361.41</t>
  </si>
  <si>
    <t>9,106,562.40</t>
  </si>
  <si>
    <t>243,078.92</t>
  </si>
  <si>
    <t>295,000.00</t>
  </si>
  <si>
    <t>71,350.00</t>
  </si>
  <si>
    <t>474,000.00</t>
  </si>
  <si>
    <t>338,360,907.55</t>
  </si>
  <si>
    <t>474,742.35</t>
  </si>
  <si>
    <t>70,500.00</t>
  </si>
  <si>
    <t>180,402.00</t>
  </si>
  <si>
    <t>67,936.00</t>
  </si>
  <si>
    <t>110,300.00</t>
  </si>
  <si>
    <t>101,050.00</t>
  </si>
  <si>
    <t>99,300.00</t>
  </si>
  <si>
    <t>119,800.00</t>
  </si>
  <si>
    <t>14,026,016.30</t>
  </si>
  <si>
    <t>115,560.00</t>
  </si>
  <si>
    <t>226,436.00</t>
  </si>
  <si>
    <t>315,519.51</t>
  </si>
  <si>
    <t>499,866.57</t>
  </si>
  <si>
    <t>56,600.00</t>
  </si>
  <si>
    <t>129,870.00</t>
  </si>
  <si>
    <t>96,320.00</t>
  </si>
  <si>
    <t>255,160.15</t>
  </si>
  <si>
    <t>9,773,470.05</t>
  </si>
  <si>
    <t>297,500.00</t>
  </si>
  <si>
    <t>87,926,635.06</t>
  </si>
  <si>
    <t>137,769.50</t>
  </si>
  <si>
    <t>399,938.44</t>
  </si>
  <si>
    <t>241,363.00</t>
  </si>
  <si>
    <t>209,390.00</t>
  </si>
  <si>
    <t>61,000.00</t>
  </si>
  <si>
    <t>9,864,352.69</t>
  </si>
  <si>
    <t>361,050.00</t>
  </si>
  <si>
    <t>253,000.00</t>
  </si>
  <si>
    <t>376,790.00</t>
  </si>
  <si>
    <t>231,572.00</t>
  </si>
  <si>
    <t>2,329,876.00</t>
  </si>
  <si>
    <t>95,640.00</t>
  </si>
  <si>
    <t>51,348.00</t>
  </si>
  <si>
    <t>109,162.85</t>
  </si>
  <si>
    <t>59,700,000.00</t>
  </si>
  <si>
    <t>7,867,100.00</t>
  </si>
  <si>
    <t>90,710,000.00</t>
  </si>
  <si>
    <t>304,195.00</t>
  </si>
  <si>
    <t>59,959.00</t>
  </si>
  <si>
    <t>741,307.95</t>
  </si>
  <si>
    <t>109,118.00</t>
  </si>
  <si>
    <t>7,296,651.75</t>
  </si>
  <si>
    <t>195,739.00</t>
  </si>
  <si>
    <t>399,435.34</t>
  </si>
  <si>
    <t>141,885.00</t>
  </si>
  <si>
    <t>61,490.00</t>
  </si>
  <si>
    <t>69,768.84</t>
  </si>
  <si>
    <t>39,590.00</t>
  </si>
  <si>
    <t>1,747,050.81</t>
  </si>
  <si>
    <t>405,053.35</t>
  </si>
  <si>
    <t>70,946.00</t>
  </si>
  <si>
    <t>13,037.00</t>
  </si>
  <si>
    <t>597,000.00</t>
  </si>
  <si>
    <t>58,683,352.00</t>
  </si>
  <si>
    <t>1,933,000.00</t>
  </si>
  <si>
    <t>28,915,416.00</t>
  </si>
  <si>
    <t>250,875.15</t>
  </si>
  <si>
    <t>94,800.00</t>
  </si>
  <si>
    <t>30,200.00</t>
  </si>
  <si>
    <t>599,780.00</t>
  </si>
  <si>
    <t>3,000,324.53</t>
  </si>
  <si>
    <t>944,052.00</t>
  </si>
  <si>
    <t>259,190.00</t>
  </si>
  <si>
    <t>416,250.00</t>
  </si>
  <si>
    <t>92,837.00</t>
  </si>
  <si>
    <t>310,471.25</t>
  </si>
  <si>
    <t>132,628.00</t>
  </si>
  <si>
    <t>219,550.00</t>
  </si>
  <si>
    <t>553,365.35</t>
  </si>
  <si>
    <t>155,989.00</t>
  </si>
  <si>
    <t>98,028.00</t>
  </si>
  <si>
    <t>432,973.15</t>
  </si>
  <si>
    <t>1,399,823.92</t>
  </si>
  <si>
    <t>17,572,490.66</t>
  </si>
  <si>
    <t>998,668.88</t>
  </si>
  <si>
    <t>9,919,082.61</t>
  </si>
  <si>
    <t>217,000.00</t>
  </si>
  <si>
    <t>179,906.00</t>
  </si>
  <si>
    <t>1,213,686.00</t>
  </si>
  <si>
    <t>342,655.23</t>
  </si>
  <si>
    <t>33,000,000.00</t>
  </si>
  <si>
    <t>102,827.50</t>
  </si>
  <si>
    <t>79,980.00</t>
  </si>
  <si>
    <t>217,257.00</t>
  </si>
  <si>
    <t>347,765.00</t>
  </si>
  <si>
    <t>72,800.00</t>
  </si>
  <si>
    <t>378,780.00</t>
  </si>
  <si>
    <t>8,840,548.65</t>
  </si>
  <si>
    <t>71,250.00</t>
  </si>
  <si>
    <t>221,740.00</t>
  </si>
  <si>
    <t>193,050.00</t>
  </si>
  <si>
    <t>4,055,000.00</t>
  </si>
  <si>
    <t>90,168.06</t>
  </si>
  <si>
    <t>9,897,724.77</t>
  </si>
  <si>
    <t>157,996.00</t>
  </si>
  <si>
    <t>142,300.00</t>
  </si>
  <si>
    <t>294,520.81</t>
  </si>
  <si>
    <t>2,616,312.00</t>
  </si>
  <si>
    <t>1,268,980.00</t>
  </si>
  <si>
    <t>924,700.00</t>
  </si>
  <si>
    <t>2,906,518.13</t>
  </si>
  <si>
    <t>336,500.00</t>
  </si>
  <si>
    <t>4,908,960.67</t>
  </si>
  <si>
    <t>1,844,700.00</t>
  </si>
  <si>
    <t>341,280.00</t>
  </si>
  <si>
    <t>224,000.00</t>
  </si>
  <si>
    <t>200,479.00</t>
  </si>
  <si>
    <t>67,650.00</t>
  </si>
  <si>
    <t>121,500.00</t>
  </si>
  <si>
    <t>63,970.00</t>
  </si>
  <si>
    <t>118,400.00</t>
  </si>
  <si>
    <t>11,939,999.69</t>
  </si>
  <si>
    <t>160,600.00</t>
  </si>
  <si>
    <t>90,800.00</t>
  </si>
  <si>
    <t>90,200.00</t>
  </si>
  <si>
    <t>8,685,493.82</t>
  </si>
  <si>
    <t>63,860.00</t>
  </si>
  <si>
    <t>374,130.00</t>
  </si>
  <si>
    <t>144,976.35</t>
  </si>
  <si>
    <t>206,529.00</t>
  </si>
  <si>
    <t>449,965.34</t>
  </si>
  <si>
    <t>1,193,462.20</t>
  </si>
  <si>
    <t>442,000.00</t>
  </si>
  <si>
    <t>157,348.00</t>
  </si>
  <si>
    <t>198,500.40</t>
  </si>
  <si>
    <t>34,650,000.00</t>
  </si>
  <si>
    <t>118,100.00</t>
  </si>
  <si>
    <t>796,465.71</t>
  </si>
  <si>
    <t>355,000.00</t>
  </si>
  <si>
    <t>138,000.00</t>
  </si>
  <si>
    <t>187,990.00</t>
  </si>
  <si>
    <t>157,156.00</t>
  </si>
  <si>
    <t>166,170.00</t>
  </si>
  <si>
    <t>179,924.80</t>
  </si>
  <si>
    <t>336,408.00</t>
  </si>
  <si>
    <t>75,050.00</t>
  </si>
  <si>
    <t>999,400.00</t>
  </si>
  <si>
    <t>158,910.00</t>
  </si>
  <si>
    <t>128,027.46</t>
  </si>
  <si>
    <t>9,055,000.00</t>
  </si>
  <si>
    <t>143,250.00</t>
  </si>
  <si>
    <t>249,775.00</t>
  </si>
  <si>
    <t>167,095.00</t>
  </si>
  <si>
    <t>12,304.00</t>
  </si>
  <si>
    <t>184,637.72</t>
  </si>
  <si>
    <t>799,680.00</t>
  </si>
  <si>
    <t>123,000.00</t>
  </si>
  <si>
    <t>169,730.00</t>
  </si>
  <si>
    <t>2,962,000.00</t>
  </si>
  <si>
    <t>1,059,000.00</t>
  </si>
  <si>
    <t>193,800.00</t>
  </si>
  <si>
    <t>121,860.00</t>
  </si>
  <si>
    <t>2,121,000.00</t>
  </si>
  <si>
    <t>55,785.00</t>
  </si>
  <si>
    <t>13,200.00</t>
  </si>
  <si>
    <t>933,300.00</t>
  </si>
  <si>
    <t>6,986,000.00</t>
  </si>
  <si>
    <t>75,460.00</t>
  </si>
  <si>
    <t>2,735,000.00</t>
  </si>
  <si>
    <t>6,792,000.00</t>
  </si>
  <si>
    <t>4,000.00</t>
  </si>
  <si>
    <t>12,437,499.80</t>
  </si>
  <si>
    <t>79,450.00</t>
  </si>
  <si>
    <t>166,300.00</t>
  </si>
  <si>
    <t>32,000.00</t>
  </si>
  <si>
    <t>57,580.00</t>
  </si>
  <si>
    <t>4,905,000.00</t>
  </si>
  <si>
    <t>542,000.00</t>
  </si>
  <si>
    <t>107,800.00</t>
  </si>
  <si>
    <t>2,640,000.00</t>
  </si>
  <si>
    <t>947,200.00</t>
  </si>
  <si>
    <t>29,198,600.00</t>
  </si>
  <si>
    <t>239,242.50</t>
  </si>
  <si>
    <t>173,209.00</t>
  </si>
  <si>
    <t>5,700,000.00</t>
  </si>
  <si>
    <t>36,000.00</t>
  </si>
  <si>
    <t>396,650.00</t>
  </si>
  <si>
    <t>738,250.00</t>
  </si>
  <si>
    <t>833,000.00</t>
  </si>
  <si>
    <t>883,490.00</t>
  </si>
  <si>
    <t>245,714.00</t>
  </si>
  <si>
    <t>332,000.00</t>
  </si>
  <si>
    <t>222,303.46</t>
  </si>
  <si>
    <t>472,333.94</t>
  </si>
  <si>
    <t>33,800.00</t>
  </si>
  <si>
    <t>53,640.00</t>
  </si>
  <si>
    <t>774,000.00</t>
  </si>
  <si>
    <t>823,436.11</t>
  </si>
  <si>
    <t>99,147.20</t>
  </si>
  <si>
    <t>926,755.00</t>
  </si>
  <si>
    <t>95,484.66</t>
  </si>
  <si>
    <t>134,220.00</t>
  </si>
  <si>
    <t>149,700.00</t>
  </si>
  <si>
    <t>595,500.00</t>
  </si>
  <si>
    <t>999,993.75</t>
  </si>
  <si>
    <t>6,783,900.00</t>
  </si>
  <si>
    <t>4,985,147.00</t>
  </si>
  <si>
    <t>289,357.00</t>
  </si>
  <si>
    <t>12,772,870.00</t>
  </si>
  <si>
    <t>399,297.00</t>
  </si>
  <si>
    <t>552,000.00</t>
  </si>
  <si>
    <t>9,788,660.00</t>
  </si>
  <si>
    <t>399,600.00</t>
  </si>
  <si>
    <t>276,074.15</t>
  </si>
  <si>
    <t>149,850.00</t>
  </si>
  <si>
    <t>890,700.00</t>
  </si>
  <si>
    <t>1,350,330.29</t>
  </si>
  <si>
    <t>198,500.00</t>
  </si>
  <si>
    <t>344,967.28</t>
  </si>
  <si>
    <t>710,000.00</t>
  </si>
  <si>
    <t>259,600.00</t>
  </si>
  <si>
    <t>18,985,000.00</t>
  </si>
  <si>
    <t>411,100.00</t>
  </si>
  <si>
    <t>371,365.40</t>
  </si>
  <si>
    <t>322,000.00</t>
  </si>
  <si>
    <t>399,918.00</t>
  </si>
  <si>
    <t>346,600.00</t>
  </si>
  <si>
    <t>96,499,105.44</t>
  </si>
  <si>
    <t>353,600.00</t>
  </si>
  <si>
    <t>783,309.90</t>
  </si>
  <si>
    <t>8,982,000.00</t>
  </si>
  <si>
    <t>248,629.71</t>
  </si>
  <si>
    <t>7,298,257.20</t>
  </si>
  <si>
    <t>798,113.89</t>
  </si>
  <si>
    <t>381,000.00</t>
  </si>
  <si>
    <t>634,350.62</t>
  </si>
  <si>
    <t>4,128,401.86</t>
  </si>
  <si>
    <t>73,100.00</t>
  </si>
  <si>
    <t>789,079.20</t>
  </si>
  <si>
    <t>630,000.00</t>
  </si>
  <si>
    <t>1,412,500.00</t>
  </si>
  <si>
    <t>123,750.00</t>
  </si>
  <si>
    <t>132,330.00</t>
  </si>
  <si>
    <t>199,944.00</t>
  </si>
  <si>
    <t>2,997,328.59</t>
  </si>
  <si>
    <t>348,583.00</t>
  </si>
  <si>
    <t>70,915.00</t>
  </si>
  <si>
    <t>328,300.00</t>
  </si>
  <si>
    <t>172,750.00</t>
  </si>
  <si>
    <t>182,500.00</t>
  </si>
  <si>
    <t>176,425.00</t>
  </si>
  <si>
    <t>796,307.00</t>
  </si>
  <si>
    <t>113,855.00</t>
  </si>
  <si>
    <t>6,091,000.00</t>
  </si>
  <si>
    <t>1,413,742.88</t>
  </si>
  <si>
    <t>19,600,000.00</t>
  </si>
  <si>
    <t>144,398.00</t>
  </si>
  <si>
    <t>186,560.00</t>
  </si>
  <si>
    <t>199,500.00</t>
  </si>
  <si>
    <t>227,000.00</t>
  </si>
  <si>
    <t>226,027.00</t>
  </si>
  <si>
    <t>76,075.00</t>
  </si>
  <si>
    <t>504,673.00</t>
  </si>
  <si>
    <t>24,727,673.71</t>
  </si>
  <si>
    <t>379,196.00</t>
  </si>
  <si>
    <t>538,000.00</t>
  </si>
  <si>
    <t>478,940.00</t>
  </si>
  <si>
    <t>468,250.00</t>
  </si>
  <si>
    <t>329,025.00</t>
  </si>
  <si>
    <t>142,888.00</t>
  </si>
  <si>
    <t>134,934.00</t>
  </si>
  <si>
    <t>72,830.00</t>
  </si>
  <si>
    <t>323,200.00</t>
  </si>
  <si>
    <t>335,400.00</t>
  </si>
  <si>
    <t>1,247,155.00</t>
  </si>
  <si>
    <t>199,005.60</t>
  </si>
  <si>
    <t>116,400.00</t>
  </si>
  <si>
    <t>149,999.45</t>
  </si>
  <si>
    <t>241,810.40</t>
  </si>
  <si>
    <t>989,987.10</t>
  </si>
  <si>
    <t>49,999.00</t>
  </si>
  <si>
    <t>1,008,400.00</t>
  </si>
  <si>
    <t>999,300.00</t>
  </si>
  <si>
    <t>660,000.00</t>
  </si>
  <si>
    <t>1,218,000.00</t>
  </si>
  <si>
    <t>496,685.80</t>
  </si>
  <si>
    <t>108,699.00</t>
  </si>
  <si>
    <t>133,200.00</t>
  </si>
  <si>
    <t>24,874,969.69</t>
  </si>
  <si>
    <t>499,998.54</t>
  </si>
  <si>
    <t>159,930.00</t>
  </si>
  <si>
    <t>1,292,950.00</t>
  </si>
  <si>
    <t>2,474,677.39</t>
  </si>
  <si>
    <t>296,987.63</t>
  </si>
  <si>
    <t>1,577,781.69</t>
  </si>
  <si>
    <t>99,325.00</t>
  </si>
  <si>
    <t>76,930.00</t>
  </si>
  <si>
    <t>1,615,000.00</t>
  </si>
  <si>
    <t>343,907.00</t>
  </si>
  <si>
    <t>3,900,000.00</t>
  </si>
  <si>
    <t>9,700,000.00</t>
  </si>
  <si>
    <t>476,000.00</t>
  </si>
  <si>
    <t>273,217.20</t>
  </si>
  <si>
    <t>322,015.00</t>
  </si>
  <si>
    <t>1,040,000.00</t>
  </si>
  <si>
    <t>86,100.00</t>
  </si>
  <si>
    <t>1,515,966.44</t>
  </si>
  <si>
    <t>99,949.00</t>
  </si>
  <si>
    <t>231,000.00</t>
  </si>
  <si>
    <t>92,310.00</t>
  </si>
  <si>
    <t>99,999.00</t>
  </si>
  <si>
    <t>86,711.00</t>
  </si>
  <si>
    <t>77,375.00</t>
  </si>
  <si>
    <t>198,600.00</t>
  </si>
  <si>
    <t>312,100.00</t>
  </si>
  <si>
    <t>279,333.77</t>
  </si>
  <si>
    <t>80,510.00</t>
  </si>
  <si>
    <t>174,135.00</t>
  </si>
  <si>
    <t>2,050,094.00</t>
  </si>
  <si>
    <t>113,400.00</t>
  </si>
  <si>
    <t>218,214.60</t>
  </si>
  <si>
    <t>47,446,663.10</t>
  </si>
  <si>
    <t>66,580.00</t>
  </si>
  <si>
    <t>1,920,076.00</t>
  </si>
  <si>
    <t>18,300.00</t>
  </si>
  <si>
    <t>1,365,000.00</t>
  </si>
  <si>
    <t>18,076,928.17</t>
  </si>
  <si>
    <t>261,242.00</t>
  </si>
  <si>
    <t>57,500.00</t>
  </si>
  <si>
    <t>59,780.00</t>
  </si>
  <si>
    <t>70,100.00</t>
  </si>
  <si>
    <t>969,500.00</t>
  </si>
  <si>
    <t>10,213,564.00</t>
  </si>
  <si>
    <t>193,248.00</t>
  </si>
  <si>
    <t>194,496.00</t>
  </si>
  <si>
    <t>201,927.00</t>
  </si>
  <si>
    <t>22,500.00</t>
  </si>
  <si>
    <t>550,202.50</t>
  </si>
  <si>
    <t>141,067.50</t>
  </si>
  <si>
    <t>9,654,869.08</t>
  </si>
  <si>
    <t>159,500.00</t>
  </si>
  <si>
    <t>5,980.00</t>
  </si>
  <si>
    <t>363,000.00</t>
  </si>
  <si>
    <t>55,726.00</t>
  </si>
  <si>
    <t>376,500.00</t>
  </si>
  <si>
    <t>284,550.00</t>
  </si>
  <si>
    <t>26,950.00</t>
  </si>
  <si>
    <t>174,442.00</t>
  </si>
  <si>
    <t>229,473.75</t>
  </si>
  <si>
    <t>136,925.00</t>
  </si>
  <si>
    <t>383,960.00</t>
  </si>
  <si>
    <t>322,121.09</t>
  </si>
  <si>
    <t>132,750.00</t>
  </si>
  <si>
    <t>2,999,150.00</t>
  </si>
  <si>
    <t>5,995,000.00</t>
  </si>
  <si>
    <t>72,900.00</t>
  </si>
  <si>
    <t>133,340.00</t>
  </si>
  <si>
    <t>170,526.00</t>
  </si>
  <si>
    <t>250,800.00</t>
  </si>
  <si>
    <t>114,795.00</t>
  </si>
  <si>
    <t>844,168.20</t>
  </si>
  <si>
    <t>450,240.00</t>
  </si>
  <si>
    <t>74,080.50</t>
  </si>
  <si>
    <t>24,778,151.41</t>
  </si>
  <si>
    <t>700,200.00</t>
  </si>
  <si>
    <t>187,445.00</t>
  </si>
  <si>
    <t>154,500.00</t>
  </si>
  <si>
    <t>106,578.30</t>
  </si>
  <si>
    <t>740,000.00</t>
  </si>
  <si>
    <t>3,719,100.00</t>
  </si>
  <si>
    <t>9,946,937.75</t>
  </si>
  <si>
    <t>177,779.50</t>
  </si>
  <si>
    <t>314,985.00</t>
  </si>
  <si>
    <t>103,625.00</t>
  </si>
  <si>
    <t>676,704.70</t>
  </si>
  <si>
    <t>57,540.00</t>
  </si>
  <si>
    <t>250,997.46</t>
  </si>
  <si>
    <t>53,450.00</t>
  </si>
  <si>
    <t>789,264.00</t>
  </si>
  <si>
    <t>408,000.00</t>
  </si>
  <si>
    <t>1,746,800.00</t>
  </si>
  <si>
    <t>73,655.00</t>
  </si>
  <si>
    <t>58,000.00</t>
  </si>
  <si>
    <t>815,000.00</t>
  </si>
  <si>
    <t>11,396,500.00</t>
  </si>
  <si>
    <t>362,000.00</t>
  </si>
  <si>
    <t>239,275.00</t>
  </si>
  <si>
    <t>1,934,206.80</t>
  </si>
  <si>
    <t>2,297,364.00</t>
  </si>
  <si>
    <t>23,800.00</t>
  </si>
  <si>
    <t>126,900.00</t>
  </si>
  <si>
    <t>58,600.00</t>
  </si>
  <si>
    <t>1,366,500.00</t>
  </si>
  <si>
    <t>73,391.20</t>
  </si>
  <si>
    <t>18,350,632.00</t>
  </si>
  <si>
    <t>1,034,500.00</t>
  </si>
  <si>
    <t>968,600.00</t>
  </si>
  <si>
    <t>773,400.00</t>
  </si>
  <si>
    <t>513,900.00</t>
  </si>
  <si>
    <t>159,588.00</t>
  </si>
  <si>
    <t>342,000.00</t>
  </si>
  <si>
    <t>383,025.00</t>
  </si>
  <si>
    <t>637,150.66</t>
  </si>
  <si>
    <t>52,925.00</t>
  </si>
  <si>
    <t>169,780.00</t>
  </si>
  <si>
    <t>147,767.00</t>
  </si>
  <si>
    <t>89,562.00</t>
  </si>
  <si>
    <t>99,171.00</t>
  </si>
  <si>
    <t>99,772.25</t>
  </si>
  <si>
    <t>5,372,600.00</t>
  </si>
  <si>
    <t>1,511,000.00</t>
  </si>
  <si>
    <t>409,239.00</t>
  </si>
  <si>
    <t>1,598,612.71</t>
  </si>
  <si>
    <t>123,500,000.00</t>
  </si>
  <si>
    <t>119,980.00</t>
  </si>
  <si>
    <t>807,000.00</t>
  </si>
  <si>
    <t>180,416.80</t>
  </si>
  <si>
    <t>1,018,762.49</t>
  </si>
  <si>
    <t>125,040.00</t>
  </si>
  <si>
    <t>199,987.00</t>
  </si>
  <si>
    <t>152,660.00</t>
  </si>
  <si>
    <t>122,650.00</t>
  </si>
  <si>
    <t>199,885.73</t>
  </si>
  <si>
    <t>749,994.62</t>
  </si>
  <si>
    <t>664,000.00</t>
  </si>
  <si>
    <t>276,163.50</t>
  </si>
  <si>
    <t>359,268.00</t>
  </si>
  <si>
    <t>1,065,400.00</t>
  </si>
  <si>
    <t>408,218.00</t>
  </si>
  <si>
    <t>627,710.00</t>
  </si>
  <si>
    <t>436,800.00</t>
  </si>
  <si>
    <t>53,657.00</t>
  </si>
  <si>
    <t>1,087,500.00</t>
  </si>
  <si>
    <t>505,390.00</t>
  </si>
  <si>
    <t>6,580,781.76</t>
  </si>
  <si>
    <t>61,962.50</t>
  </si>
  <si>
    <t>59,940.00</t>
  </si>
  <si>
    <t>1,427,519.10</t>
  </si>
  <si>
    <t>95,265.00</t>
  </si>
  <si>
    <t>1,369,995.64</t>
  </si>
  <si>
    <t>1,246,972.75</t>
  </si>
  <si>
    <t>94,940.00</t>
  </si>
  <si>
    <t>866,000.00</t>
  </si>
  <si>
    <t>384,088.50</t>
  </si>
  <si>
    <t>817,858.40</t>
  </si>
  <si>
    <t>249,990.00</t>
  </si>
  <si>
    <t>107,880.00</t>
  </si>
  <si>
    <t>3,700,000.00</t>
  </si>
  <si>
    <t>2,481,584.29</t>
  </si>
  <si>
    <t>495,560.00</t>
  </si>
  <si>
    <t>41,700.00</t>
  </si>
  <si>
    <t>143,857.28</t>
  </si>
  <si>
    <t>170,460.00</t>
  </si>
  <si>
    <t>118,442.00</t>
  </si>
  <si>
    <t>697,323.98</t>
  </si>
  <si>
    <t>1,991,411.55</t>
  </si>
  <si>
    <t>131,894.90</t>
  </si>
  <si>
    <t>117,492.00</t>
  </si>
  <si>
    <t>83,883.00</t>
  </si>
  <si>
    <t>1,725,000.00</t>
  </si>
  <si>
    <t>152,451.80</t>
  </si>
  <si>
    <t>1,979,988.69</t>
  </si>
  <si>
    <t>7,625,907.88</t>
  </si>
  <si>
    <t>4,660,332.58</t>
  </si>
  <si>
    <t>324,000.00</t>
  </si>
  <si>
    <t>3,550,000.00</t>
  </si>
  <si>
    <t>50,980.00</t>
  </si>
  <si>
    <t>1,394,918.00</t>
  </si>
  <si>
    <t>1,285,792.00</t>
  </si>
  <si>
    <t>1,440,000.00</t>
  </si>
  <si>
    <t>1,498,150.00</t>
  </si>
  <si>
    <t>122,256.00</t>
  </si>
  <si>
    <t>70,640.00</t>
  </si>
  <si>
    <t>920,000.00</t>
  </si>
  <si>
    <t>60,000,000.00</t>
  </si>
  <si>
    <t>135,330.00</t>
  </si>
  <si>
    <t>194,184.00</t>
  </si>
  <si>
    <t>4,969,962.45</t>
  </si>
  <si>
    <t>65,000,000.00</t>
  </si>
  <si>
    <t>73,317.00</t>
  </si>
  <si>
    <t>361,800.00</t>
  </si>
  <si>
    <t>3,162,964.40</t>
  </si>
  <si>
    <t>1,105,120.59</t>
  </si>
  <si>
    <t>132,096.00</t>
  </si>
  <si>
    <t>613,575.00</t>
  </si>
  <si>
    <t>2,082,620.00</t>
  </si>
  <si>
    <t>20,700.00</t>
  </si>
  <si>
    <t>3,619,773.96</t>
  </si>
  <si>
    <t>146,945.00</t>
  </si>
  <si>
    <t>143,255.00</t>
  </si>
  <si>
    <t>3,813,800.00</t>
  </si>
  <si>
    <t>1,115,000.00</t>
  </si>
  <si>
    <t>214,000.00</t>
  </si>
  <si>
    <t>3,850,000.00</t>
  </si>
  <si>
    <t>1,538,745.00</t>
  </si>
  <si>
    <t>4,049,928.90</t>
  </si>
  <si>
    <t>100.00</t>
  </si>
  <si>
    <t>1,114,745.00</t>
  </si>
  <si>
    <t>16,555,565.09</t>
  </si>
  <si>
    <t>94,869.00</t>
  </si>
  <si>
    <t>199,997.06</t>
  </si>
  <si>
    <t>2,999,988.86</t>
  </si>
  <si>
    <t>41,528,992.96</t>
  </si>
  <si>
    <t>258,936.60</t>
  </si>
  <si>
    <t>1,884,609.00</t>
  </si>
  <si>
    <t>496,620.00</t>
  </si>
  <si>
    <t>83,905.00</t>
  </si>
  <si>
    <t>199,874.00</t>
  </si>
  <si>
    <t>212,795.63</t>
  </si>
  <si>
    <t>2,482,516.45</t>
  </si>
  <si>
    <t>864,000.00</t>
  </si>
  <si>
    <t>12,598,763.32</t>
  </si>
  <si>
    <t>74,740.00</t>
  </si>
  <si>
    <t>29,999,547.53</t>
  </si>
  <si>
    <t>100,000,000.00</t>
  </si>
  <si>
    <t>594,511.80</t>
  </si>
  <si>
    <t>2,895,000.00</t>
  </si>
  <si>
    <t>14,523,031.52</t>
  </si>
  <si>
    <t>499,949.80</t>
  </si>
  <si>
    <t>254,500.00</t>
  </si>
  <si>
    <t>1,909,653.00</t>
  </si>
  <si>
    <t>1,203,000.00</t>
  </si>
  <si>
    <t>9,265,462.50</t>
  </si>
  <si>
    <t>85,200.00</t>
  </si>
  <si>
    <t>6,696,860.00</t>
  </si>
  <si>
    <t>723,730.00</t>
  </si>
  <si>
    <t>3,394,120.00</t>
  </si>
  <si>
    <t>508,340,279.03</t>
  </si>
  <si>
    <t>98,500.00</t>
  </si>
  <si>
    <t>576,000.00</t>
  </si>
  <si>
    <t>9,951,965.80</t>
  </si>
  <si>
    <t>501,000.00</t>
  </si>
  <si>
    <t>22,750,000.00</t>
  </si>
  <si>
    <t>15,384.00</t>
  </si>
  <si>
    <t>2,381,190.94</t>
  </si>
  <si>
    <t>32,000,000.00</t>
  </si>
  <si>
    <t>1,822,444.88</t>
  </si>
  <si>
    <t>11,560,000.00</t>
  </si>
  <si>
    <t>33,328,000.00</t>
  </si>
  <si>
    <t>4,210,797.42</t>
  </si>
  <si>
    <t>41,791,579.83</t>
  </si>
  <si>
    <t>2,024,947.20</t>
  </si>
  <si>
    <t>4,149,200.00</t>
  </si>
  <si>
    <t>2,609,750.00</t>
  </si>
  <si>
    <t>3,265,950.00</t>
  </si>
  <si>
    <t>3,025,731.98</t>
  </si>
  <si>
    <t>1,448,120.05</t>
  </si>
  <si>
    <t>1,126,392.33</t>
  </si>
  <si>
    <t>3,370,509.49</t>
  </si>
  <si>
    <t>624,932.00</t>
  </si>
  <si>
    <t>333,300.00</t>
  </si>
  <si>
    <t>249,500.00</t>
  </si>
  <si>
    <t>1,469,756.67</t>
  </si>
  <si>
    <t>1,519,897.25</t>
  </si>
  <si>
    <t>2,090,734.23</t>
  </si>
  <si>
    <t>1,475,984.99</t>
  </si>
  <si>
    <t>236,000.00</t>
  </si>
  <si>
    <t>13,078,557.00</t>
  </si>
  <si>
    <t>30,855,000.00</t>
  </si>
  <si>
    <t>1,490,400.00</t>
  </si>
  <si>
    <t>1,656,000.00</t>
  </si>
  <si>
    <t>1,769,700.00</t>
  </si>
  <si>
    <t>1,562,042.40</t>
  </si>
  <si>
    <t>10,586,268.00</t>
  </si>
  <si>
    <t>14,274,240.00</t>
  </si>
  <si>
    <t>211,000.00</t>
  </si>
  <si>
    <t>1,092,000.00</t>
  </si>
  <si>
    <t>3,690,299.00</t>
  </si>
  <si>
    <t>177,080.00</t>
  </si>
  <si>
    <t>169,400.00</t>
  </si>
  <si>
    <t>499,989.75</t>
  </si>
  <si>
    <t>2,021,684.70</t>
  </si>
  <si>
    <t>18,273,300.00</t>
  </si>
  <si>
    <t>5,381,560.00</t>
  </si>
  <si>
    <t>529,800.00</t>
  </si>
  <si>
    <t>6,020,110.00</t>
  </si>
  <si>
    <t>122,660.15</t>
  </si>
  <si>
    <t>14,999,440.95</t>
  </si>
  <si>
    <t>2,967,886.56</t>
  </si>
  <si>
    <t>3,499,978.49</t>
  </si>
  <si>
    <t>138,469.40</t>
  </si>
  <si>
    <t>169,201.19</t>
  </si>
  <si>
    <t>1,228,982.78</t>
  </si>
  <si>
    <t>16,984.00</t>
  </si>
  <si>
    <t>41,087.00</t>
  </si>
  <si>
    <t>745,987.00</t>
  </si>
  <si>
    <t>1,836,120.00</t>
  </si>
  <si>
    <t>911,740.50</t>
  </si>
  <si>
    <t>562,815.00</t>
  </si>
  <si>
    <t>893,933.56</t>
  </si>
  <si>
    <t>1,510,769.54</t>
  </si>
  <si>
    <t>40,526.00</t>
  </si>
  <si>
    <t>1,723,056.00</t>
  </si>
  <si>
    <t>936,544.00</t>
  </si>
  <si>
    <t>52,449.00</t>
  </si>
  <si>
    <t>327,650.00</t>
  </si>
  <si>
    <t>152,335.26</t>
  </si>
  <si>
    <t>2,481,810.00</t>
  </si>
  <si>
    <t>42,210.00</t>
  </si>
  <si>
    <t>679,000.00</t>
  </si>
  <si>
    <t>24,950.00</t>
  </si>
  <si>
    <t>123,600.00</t>
  </si>
  <si>
    <t>296,875.00</t>
  </si>
  <si>
    <t>79,000.00</t>
  </si>
  <si>
    <t>3,613,296.00</t>
  </si>
  <si>
    <t>2,370,060.00</t>
  </si>
  <si>
    <t>2,925,000.00</t>
  </si>
  <si>
    <t>657,950.00</t>
  </si>
  <si>
    <t>157,175.00</t>
  </si>
  <si>
    <t>215,500.00</t>
  </si>
  <si>
    <t>7,165,007.50</t>
  </si>
  <si>
    <t>96,030.00</t>
  </si>
  <si>
    <t>1,052,500.00</t>
  </si>
  <si>
    <t>721,127.80</t>
  </si>
  <si>
    <t>102,755.00</t>
  </si>
  <si>
    <t>5,909,230.00</t>
  </si>
  <si>
    <t>26,700,000.00</t>
  </si>
  <si>
    <t>2,998,317.84</t>
  </si>
  <si>
    <t>1,940,247.82</t>
  </si>
  <si>
    <t>1,282,378.80</t>
  </si>
  <si>
    <t>494,505.00</t>
  </si>
  <si>
    <t>94,503.25</t>
  </si>
  <si>
    <t>51,680.00</t>
  </si>
  <si>
    <t>88,770.00</t>
  </si>
  <si>
    <t>2,734,458.54</t>
  </si>
  <si>
    <t>2,364,327.21</t>
  </si>
  <si>
    <t>173,400.00</t>
  </si>
  <si>
    <t>354,045.66</t>
  </si>
  <si>
    <t>330,050.00</t>
  </si>
  <si>
    <t>207,000.00</t>
  </si>
  <si>
    <t>524,403.00</t>
  </si>
  <si>
    <t>772,423.55</t>
  </si>
  <si>
    <t>261,140.00</t>
  </si>
  <si>
    <t>685,600.00</t>
  </si>
  <si>
    <t>305,750.00</t>
  </si>
  <si>
    <t>339,120.00</t>
  </si>
  <si>
    <t>148,353.06</t>
  </si>
  <si>
    <t>45,975.27</t>
  </si>
  <si>
    <t>249,948.00</t>
  </si>
  <si>
    <t>367,450.99</t>
  </si>
  <si>
    <t>218,531.00</t>
  </si>
  <si>
    <t>374,537.00</t>
  </si>
  <si>
    <t>188,500.00</t>
  </si>
  <si>
    <t>157,499.65</t>
  </si>
  <si>
    <t>115,379.10</t>
  </si>
  <si>
    <t>50,036.00</t>
  </si>
  <si>
    <t>88,820.00</t>
  </si>
  <si>
    <t>24,000,000.00</t>
  </si>
  <si>
    <t>98,614.68</t>
  </si>
  <si>
    <t>80,890.00</t>
  </si>
  <si>
    <t>98,842.83</t>
  </si>
  <si>
    <t>148,476.75</t>
  </si>
  <si>
    <t>198,435.00</t>
  </si>
  <si>
    <t>491,287.23</t>
  </si>
  <si>
    <t>149,990.00</t>
  </si>
  <si>
    <t>148,488.36</t>
  </si>
  <si>
    <t>99,899.77</t>
  </si>
  <si>
    <t>197,994.14</t>
  </si>
  <si>
    <t>198,750.00</t>
  </si>
  <si>
    <t>84,250.00</t>
  </si>
  <si>
    <t>478,800.00</t>
  </si>
  <si>
    <t>918,000.00</t>
  </si>
  <si>
    <t>98,958.86</t>
  </si>
  <si>
    <t>208,410.00</t>
  </si>
  <si>
    <t>537,000.00</t>
  </si>
  <si>
    <t>1,329,639.58</t>
  </si>
  <si>
    <t>133,940.00</t>
  </si>
  <si>
    <t>105,240.00</t>
  </si>
  <si>
    <t>5,900,000.00</t>
  </si>
  <si>
    <t>99,750.00</t>
  </si>
  <si>
    <t>89,440.00</t>
  </si>
  <si>
    <t>8,962,790.00</t>
  </si>
  <si>
    <t>1,310,400.00</t>
  </si>
  <si>
    <t>100,990.00</t>
  </si>
  <si>
    <t>5,486,456.02</t>
  </si>
  <si>
    <t>81,932.00</t>
  </si>
  <si>
    <t>83,000.00</t>
  </si>
  <si>
    <t>414,600.00</t>
  </si>
  <si>
    <t>186,250.00</t>
  </si>
  <si>
    <t>488,865.00</t>
  </si>
  <si>
    <t>945,000.00</t>
  </si>
  <si>
    <t>965,025.17</t>
  </si>
  <si>
    <t>325,400.00</t>
  </si>
  <si>
    <t>87,160.00</t>
  </si>
  <si>
    <t>71,425.00</t>
  </si>
  <si>
    <t>378,000.00</t>
  </si>
  <si>
    <t>438,880.00</t>
  </si>
  <si>
    <t>144,546.00</t>
  </si>
  <si>
    <t>250,715.00</t>
  </si>
  <si>
    <t>96,250.00</t>
  </si>
  <si>
    <t>425,610.00</t>
  </si>
  <si>
    <t>183,672.67</t>
  </si>
  <si>
    <t>337,850.00</t>
  </si>
  <si>
    <t>102,816.00</t>
  </si>
  <si>
    <t>495,123.00</t>
  </si>
  <si>
    <t>58,140.00</t>
  </si>
  <si>
    <t>1,165,188.00</t>
  </si>
  <si>
    <t>65,264.00</t>
  </si>
  <si>
    <t>95,763.12</t>
  </si>
  <si>
    <t>133,439.25</t>
  </si>
  <si>
    <t>203,438.16</t>
  </si>
  <si>
    <t>143,410.00</t>
  </si>
  <si>
    <t>178,927.00</t>
  </si>
  <si>
    <t>10,205,788.44</t>
  </si>
  <si>
    <t>1,046,956.05</t>
  </si>
  <si>
    <t>514,360.00</t>
  </si>
  <si>
    <t>250,825.00</t>
  </si>
  <si>
    <t>254,375.00</t>
  </si>
  <si>
    <t>497,255.00</t>
  </si>
  <si>
    <t>76,200.00</t>
  </si>
  <si>
    <t>71,810.00</t>
  </si>
  <si>
    <t>208,250.00</t>
  </si>
  <si>
    <t>145,586.00</t>
  </si>
  <si>
    <t>76,958.00</t>
  </si>
  <si>
    <t>277,596.25</t>
  </si>
  <si>
    <t>388,454.80</t>
  </si>
  <si>
    <t>235,996.60</t>
  </si>
  <si>
    <t>15,647.00</t>
  </si>
  <si>
    <t>1,099,337.40</t>
  </si>
  <si>
    <t>1,890,000.00</t>
  </si>
  <si>
    <t>2,456,551.00</t>
  </si>
  <si>
    <t>524,000.00</t>
  </si>
  <si>
    <t>688,065.23</t>
  </si>
  <si>
    <t>322,650.00</t>
  </si>
  <si>
    <t>1,258,220.00</t>
  </si>
  <si>
    <t>2,383,935.95</t>
  </si>
  <si>
    <t>1,722,142.00</t>
  </si>
  <si>
    <t>42,473.00</t>
  </si>
  <si>
    <t>223,509.02</t>
  </si>
  <si>
    <t>399,000.00</t>
  </si>
  <si>
    <t>1,499,220.00</t>
  </si>
  <si>
    <t>6,563,573.65</t>
  </si>
  <si>
    <t>14,368,584.80</t>
  </si>
  <si>
    <t>100,350.00</t>
  </si>
  <si>
    <t>459,680.00</t>
  </si>
  <si>
    <t>91,479.00</t>
  </si>
  <si>
    <t>560,200.00</t>
  </si>
  <si>
    <t>33,960,000.00</t>
  </si>
  <si>
    <t>60,375.00</t>
  </si>
  <si>
    <t>468,000.00</t>
  </si>
  <si>
    <t>170,555.50</t>
  </si>
  <si>
    <t>105,280.00</t>
  </si>
  <si>
    <t>718,000.00</t>
  </si>
  <si>
    <t>59,973,000.00</t>
  </si>
  <si>
    <t>114,192.76</t>
  </si>
  <si>
    <t>132,422.77</t>
  </si>
  <si>
    <t>788,000.00</t>
  </si>
  <si>
    <t>233,452,146.19</t>
  </si>
  <si>
    <t>99,905.82</t>
  </si>
  <si>
    <t>686,354.79</t>
  </si>
  <si>
    <t>96,900.00</t>
  </si>
  <si>
    <t>328,940.00</t>
  </si>
  <si>
    <t>2,277,400.00</t>
  </si>
  <si>
    <t>99,995.70</t>
  </si>
  <si>
    <t>2,280,208.44</t>
  </si>
  <si>
    <t>5,144,094.42</t>
  </si>
  <si>
    <t>1,028,764.00</t>
  </si>
  <si>
    <t>11,050,000.00</t>
  </si>
  <si>
    <t>5,512,200.00</t>
  </si>
  <si>
    <t>114,240.00</t>
  </si>
  <si>
    <t>108,642.41</t>
  </si>
  <si>
    <t>536,800.00</t>
  </si>
  <si>
    <t>205,684.04</t>
  </si>
  <si>
    <t>142,229.47</t>
  </si>
  <si>
    <t>119,250.00</t>
  </si>
  <si>
    <t>871,000.00</t>
  </si>
  <si>
    <t>1,365,550.00</t>
  </si>
  <si>
    <t>248,462.50</t>
  </si>
  <si>
    <t>4,970,000.00</t>
  </si>
  <si>
    <t>6,024,315.54</t>
  </si>
  <si>
    <t>140,598.96</t>
  </si>
  <si>
    <t>113,698.00</t>
  </si>
  <si>
    <t>1,235,000.00</t>
  </si>
  <si>
    <t>3,147,025.32</t>
  </si>
  <si>
    <t>1,276,500.00</t>
  </si>
  <si>
    <t>840,000.00</t>
  </si>
  <si>
    <t>105,709.50</t>
  </si>
  <si>
    <t>220,242.00</t>
  </si>
  <si>
    <t>499,857.50</t>
  </si>
  <si>
    <t>488,296.50</t>
  </si>
  <si>
    <t>1,585,000.00</t>
  </si>
  <si>
    <t>108,500.00</t>
  </si>
  <si>
    <t>146,998.00</t>
  </si>
  <si>
    <t>714,000.00</t>
  </si>
  <si>
    <t>117,798.20</t>
  </si>
  <si>
    <t>2,694,500.00</t>
  </si>
  <si>
    <t>143,940.00</t>
  </si>
  <si>
    <t>54,018.00</t>
  </si>
  <si>
    <t>128,400.00</t>
  </si>
  <si>
    <t>66,660.00</t>
  </si>
  <si>
    <t>1,580,000.00</t>
  </si>
  <si>
    <t>245,037.00</t>
  </si>
  <si>
    <t>998,140.00</t>
  </si>
  <si>
    <t>7,648,452.00</t>
  </si>
  <si>
    <t>124,320.00</t>
  </si>
  <si>
    <t>997,964.00</t>
  </si>
  <si>
    <t>446,040.00</t>
  </si>
  <si>
    <t>116,123.16</t>
  </si>
  <si>
    <t>1,260,485.90</t>
  </si>
  <si>
    <t>142,950.00</t>
  </si>
  <si>
    <t>999,884.09</t>
  </si>
  <si>
    <t>4,633,000.00</t>
  </si>
  <si>
    <t>2,448,494.00</t>
  </si>
  <si>
    <t>647,500.00</t>
  </si>
  <si>
    <t>2,118,000.00</t>
  </si>
  <si>
    <t>96,500.00</t>
  </si>
  <si>
    <t>936,599.00</t>
  </si>
  <si>
    <t>28,400.00</t>
  </si>
  <si>
    <t>92,950.00</t>
  </si>
  <si>
    <t>520,030.11</t>
  </si>
  <si>
    <t>1,920,784.07</t>
  </si>
  <si>
    <t>1,316,000.00</t>
  </si>
  <si>
    <t>49,520.00</t>
  </si>
  <si>
    <t>593,820.00</t>
  </si>
  <si>
    <t>1,724,000.00</t>
  </si>
  <si>
    <t>1,169,620.00</t>
  </si>
  <si>
    <t>230,776.00</t>
  </si>
  <si>
    <t>66,756.27</t>
  </si>
  <si>
    <t>125,788.00</t>
  </si>
  <si>
    <t>444,128.44</t>
  </si>
  <si>
    <t>172,194.00</t>
  </si>
  <si>
    <t>669,398.31</t>
  </si>
  <si>
    <t>797,126.29</t>
  </si>
  <si>
    <t>2,550,000.00</t>
  </si>
  <si>
    <t>9,800,000.00</t>
  </si>
  <si>
    <t>36,068.00</t>
  </si>
  <si>
    <t>603,000.00</t>
  </si>
  <si>
    <t>670,585.49</t>
  </si>
  <si>
    <t>7,350,600.00</t>
  </si>
  <si>
    <t>98,684.98</t>
  </si>
  <si>
    <t>197,679.12</t>
  </si>
  <si>
    <t>198,899.74</t>
  </si>
  <si>
    <t>6,970,868.31</t>
  </si>
  <si>
    <t>148,658.94</t>
  </si>
  <si>
    <t>99,066.84</t>
  </si>
  <si>
    <t>1,560,000.00</t>
  </si>
  <si>
    <t>49,752.90</t>
  </si>
  <si>
    <t>9,821,801.28</t>
  </si>
  <si>
    <t>6,171,000.00</t>
  </si>
  <si>
    <t>990,107.00</t>
  </si>
  <si>
    <t>1,997,966.25</t>
  </si>
  <si>
    <t>79,750.00</t>
  </si>
  <si>
    <t>80,164.00</t>
  </si>
  <si>
    <t>67,360.00</t>
  </si>
  <si>
    <t>84,400.00</t>
  </si>
  <si>
    <t>1,099,028.56</t>
  </si>
  <si>
    <t>2,104,990.08</t>
  </si>
  <si>
    <t>565,600.00</t>
  </si>
  <si>
    <t>447,990.00</t>
  </si>
  <si>
    <t>318,853.00</t>
  </si>
  <si>
    <t>563,755.20</t>
  </si>
  <si>
    <t>1,312,723.54</t>
  </si>
  <si>
    <t>856,972.90</t>
  </si>
  <si>
    <t>220,770.00</t>
  </si>
  <si>
    <t>106,296.46</t>
  </si>
  <si>
    <t>111,523.80</t>
  </si>
  <si>
    <t>229,240.00</t>
  </si>
  <si>
    <t>899,601.37</t>
  </si>
  <si>
    <t>388,181.86</t>
  </si>
  <si>
    <t>473,585.00</t>
  </si>
  <si>
    <t>877,500.00</t>
  </si>
  <si>
    <t>169,000.00</t>
  </si>
  <si>
    <t>85,960.00</t>
  </si>
  <si>
    <t>4,290,000.00</t>
  </si>
  <si>
    <t>3,150,000.00</t>
  </si>
  <si>
    <t>3,288,000.00</t>
  </si>
  <si>
    <t>2,308,002.81</t>
  </si>
  <si>
    <t>49,650.00</t>
  </si>
  <si>
    <t>470,849.80</t>
  </si>
  <si>
    <t>312,000.00</t>
  </si>
  <si>
    <t>968,791.12</t>
  </si>
  <si>
    <t>5,480,000.00</t>
  </si>
  <si>
    <t>1,243,000.00</t>
  </si>
  <si>
    <t>77,959.00</t>
  </si>
  <si>
    <t>2,015,000.00</t>
  </si>
  <si>
    <t>358,920.00</t>
  </si>
  <si>
    <t>521,000.00</t>
  </si>
  <si>
    <t>73,200.00</t>
  </si>
  <si>
    <t>2,305,689.58</t>
  </si>
  <si>
    <t>3,960,000.00</t>
  </si>
  <si>
    <t>85,990.00</t>
  </si>
  <si>
    <t>296,864.68</t>
  </si>
  <si>
    <t>614,600.00</t>
  </si>
  <si>
    <t>198,151.80</t>
  </si>
  <si>
    <t>2,007,000.00</t>
  </si>
  <si>
    <t>465,211.00</t>
  </si>
  <si>
    <t>12,437,500.00</t>
  </si>
  <si>
    <t>163,400.00</t>
  </si>
  <si>
    <t>209,486.00</t>
  </si>
  <si>
    <t>2,649,351.75</t>
  </si>
  <si>
    <t>794,200.00</t>
  </si>
  <si>
    <t>26,600.00</t>
  </si>
  <si>
    <t>2,319,300.00</t>
  </si>
  <si>
    <t>126,245.00</t>
  </si>
  <si>
    <t>140,500.00</t>
  </si>
  <si>
    <t>80,466.00</t>
  </si>
  <si>
    <t>169,020.95</t>
  </si>
  <si>
    <t>478,358.82</t>
  </si>
  <si>
    <t>138,425.00</t>
  </si>
  <si>
    <t>239,298.00</t>
  </si>
  <si>
    <t>553,201.46</t>
  </si>
  <si>
    <t>397,555.00</t>
  </si>
  <si>
    <t>406,984.00</t>
  </si>
  <si>
    <t>139,098.40</t>
  </si>
  <si>
    <t>81,055.00</t>
  </si>
  <si>
    <t>56,870.00</t>
  </si>
  <si>
    <t>23,187,000.00</t>
  </si>
  <si>
    <t>1,799,116.33</t>
  </si>
  <si>
    <t>94,580.00</t>
  </si>
  <si>
    <t>203,329.00</t>
  </si>
  <si>
    <t>158,705.00</t>
  </si>
  <si>
    <t>200,090.00</t>
  </si>
  <si>
    <t>48,500.00</t>
  </si>
  <si>
    <t>29,944,565.00</t>
  </si>
  <si>
    <t>319,644.98</t>
  </si>
  <si>
    <t>82,075.00</t>
  </si>
  <si>
    <t>997,050.00</t>
  </si>
  <si>
    <t>64,500.00</t>
  </si>
  <si>
    <t>8,850.00</t>
  </si>
  <si>
    <t>88,800.00</t>
  </si>
  <si>
    <t>123,081.29</t>
  </si>
  <si>
    <t>432,240.00</t>
  </si>
  <si>
    <t>10,468,576.50</t>
  </si>
  <si>
    <t>3,136,000.00</t>
  </si>
  <si>
    <t>10,900,000.00</t>
  </si>
  <si>
    <t>5,392,731.23</t>
  </si>
  <si>
    <t>249,631.85</t>
  </si>
  <si>
    <t>142,366.23</t>
  </si>
  <si>
    <t>530,990.00</t>
  </si>
  <si>
    <t>194,390.00</t>
  </si>
  <si>
    <t>393,964.29</t>
  </si>
  <si>
    <t>438,000.00</t>
  </si>
  <si>
    <t>598,701.62</t>
  </si>
  <si>
    <t>5,521,599.78</t>
  </si>
  <si>
    <t>1,219,726.25</t>
  </si>
  <si>
    <t>196,069.03</t>
  </si>
  <si>
    <t>2,036,650.00</t>
  </si>
  <si>
    <t>255,264.00</t>
  </si>
  <si>
    <t>57,454.00</t>
  </si>
  <si>
    <t>70,200.00</t>
  </si>
  <si>
    <t>2,585,000.00</t>
  </si>
  <si>
    <t>34,740,151.61</t>
  </si>
  <si>
    <t>1,175,000.00</t>
  </si>
  <si>
    <t>56,800.00</t>
  </si>
  <si>
    <t>148,506.53</t>
  </si>
  <si>
    <t>519,325.00</t>
  </si>
  <si>
    <t>2,491,599.83</t>
  </si>
  <si>
    <t>784,000.00</t>
  </si>
  <si>
    <t>1,921,369.00</t>
  </si>
  <si>
    <t>1,732,309.40</t>
  </si>
  <si>
    <t>1,999,979.63</t>
  </si>
  <si>
    <t>303,692.63</t>
  </si>
  <si>
    <t>648,066.75</t>
  </si>
  <si>
    <t>368,000.00</t>
  </si>
  <si>
    <t>294,900.00</t>
  </si>
  <si>
    <t>58,130.00</t>
  </si>
  <si>
    <t>6,300,000.00</t>
  </si>
  <si>
    <t>9,402,168.45</t>
  </si>
  <si>
    <t>52,064,315.86</t>
  </si>
  <si>
    <t>81,900.00</t>
  </si>
  <si>
    <t>509,400.00</t>
  </si>
  <si>
    <t>25,178,813.24</t>
  </si>
  <si>
    <t>298,000.00</t>
  </si>
  <si>
    <t>15,900.00</t>
  </si>
  <si>
    <t>703,000.00</t>
  </si>
  <si>
    <t>440,705.00</t>
  </si>
  <si>
    <t>8,348,486.59</t>
  </si>
  <si>
    <t>684,058.00</t>
  </si>
  <si>
    <t>477,923.15</t>
  </si>
  <si>
    <t>153,300.00</t>
  </si>
  <si>
    <t>712,520.00</t>
  </si>
  <si>
    <t>4,344,000.00</t>
  </si>
  <si>
    <t>499,997.00</t>
  </si>
  <si>
    <t>16,249,511.91</t>
  </si>
  <si>
    <t>287,544.00</t>
  </si>
  <si>
    <t>112,100.00</t>
  </si>
  <si>
    <t>3,832.50</t>
  </si>
  <si>
    <t>54,693.00</t>
  </si>
  <si>
    <t>725,000.00</t>
  </si>
  <si>
    <t>344,139.00</t>
  </si>
  <si>
    <t>576,976.00</t>
  </si>
  <si>
    <t>17,487,536.51</t>
  </si>
  <si>
    <t>180,460.00</t>
  </si>
  <si>
    <t>75,734.00</t>
  </si>
  <si>
    <t>1,797,975.00</t>
  </si>
  <si>
    <t>61,850.00</t>
  </si>
  <si>
    <t>208,430.00</t>
  </si>
  <si>
    <t>457,732.00</t>
  </si>
  <si>
    <t>9,589,070.04</t>
  </si>
  <si>
    <t>187,703.96</t>
  </si>
  <si>
    <t>147,682.50</t>
  </si>
  <si>
    <t>498,560.20</t>
  </si>
  <si>
    <t>212,567.00</t>
  </si>
  <si>
    <t>1,689,600.00</t>
  </si>
  <si>
    <t>1,683,230.00</t>
  </si>
  <si>
    <t>73,540.00</t>
  </si>
  <si>
    <t>12,436,251.13</t>
  </si>
  <si>
    <t>114,480.88</t>
  </si>
  <si>
    <t>119,902.66</t>
  </si>
  <si>
    <t>232,010.75</t>
  </si>
  <si>
    <t>244,550.00</t>
  </si>
  <si>
    <t>299,568.89</t>
  </si>
  <si>
    <t>155,609.00</t>
  </si>
  <si>
    <t>1,477,936.00</t>
  </si>
  <si>
    <t>12,436,240.93</t>
  </si>
  <si>
    <t>703,155.00</t>
  </si>
  <si>
    <t>771,464.00</t>
  </si>
  <si>
    <t>358,563.00</t>
  </si>
  <si>
    <t>155,720.00</t>
  </si>
  <si>
    <t>150,440.00</t>
  </si>
  <si>
    <t>1,597,444.25</t>
  </si>
  <si>
    <t>125,700.00</t>
  </si>
  <si>
    <t>174,209.86</t>
  </si>
  <si>
    <t>2,502,494.00</t>
  </si>
  <si>
    <t>400,397.00</t>
  </si>
  <si>
    <t>980,600.00</t>
  </si>
  <si>
    <t>5,641,859.95</t>
  </si>
  <si>
    <t>94,660.00</t>
  </si>
  <si>
    <t>5,815.00</t>
  </si>
  <si>
    <t>168,092.99</t>
  </si>
  <si>
    <t>977,450.00</t>
  </si>
  <si>
    <t>75,326.75</t>
  </si>
  <si>
    <t>194,000.00</t>
  </si>
  <si>
    <t>680,000.00</t>
  </si>
  <si>
    <t>53,900.00</t>
  </si>
  <si>
    <t>85,530.00</t>
  </si>
  <si>
    <t>42,000.00</t>
  </si>
  <si>
    <t>838,070.50</t>
  </si>
  <si>
    <t>203,610.00</t>
  </si>
  <si>
    <t>466,787.00</t>
  </si>
  <si>
    <t>221,611.00</t>
  </si>
  <si>
    <t>67,840.00</t>
  </si>
  <si>
    <t>3,678,470.31</t>
  </si>
  <si>
    <t>141,876.40</t>
  </si>
  <si>
    <t>18,450.00</t>
  </si>
  <si>
    <t>155,700.00</t>
  </si>
  <si>
    <t>328,208.00</t>
  </si>
  <si>
    <t>344,912.06</t>
  </si>
  <si>
    <t>499,840.00</t>
  </si>
  <si>
    <t>570,000.00</t>
  </si>
  <si>
    <t>18,688,421.22</t>
  </si>
  <si>
    <t>999,977.50</t>
  </si>
  <si>
    <t>299,957.44</t>
  </si>
  <si>
    <t>181,314.00</t>
  </si>
  <si>
    <t>282,197.00</t>
  </si>
  <si>
    <t>849,676.47</t>
  </si>
  <si>
    <t>14,471,948.85</t>
  </si>
  <si>
    <t>254,193.25</t>
  </si>
  <si>
    <t>1,732,267.50</t>
  </si>
  <si>
    <t>217,194.89</t>
  </si>
  <si>
    <t>298,720.90</t>
  </si>
  <si>
    <t>139,475.00</t>
  </si>
  <si>
    <t>494,000.00</t>
  </si>
  <si>
    <t>1,721,828.17</t>
  </si>
  <si>
    <t>350,494.18</t>
  </si>
  <si>
    <t>373,000.00</t>
  </si>
  <si>
    <t>645,309.00</t>
  </si>
  <si>
    <t>127,170.00</t>
  </si>
  <si>
    <t>1,248,627.37</t>
  </si>
  <si>
    <t>302,888.00</t>
  </si>
  <si>
    <t>144,600.00</t>
  </si>
  <si>
    <t>1,726,418.00</t>
  </si>
  <si>
    <t>1,275,340.00</t>
  </si>
  <si>
    <t>872,100.00</t>
  </si>
  <si>
    <t>1,287,176.39</t>
  </si>
  <si>
    <t>866,515.83</t>
  </si>
  <si>
    <t>2,509,000.00</t>
  </si>
  <si>
    <t>226,300.00</t>
  </si>
  <si>
    <t>10,915,040.55</t>
  </si>
  <si>
    <t>498,150.00</t>
  </si>
  <si>
    <t>86,700.00</t>
  </si>
  <si>
    <t>3,447,000.00</t>
  </si>
  <si>
    <t>359,599.00</t>
  </si>
  <si>
    <t>558,439.00</t>
  </si>
  <si>
    <t>129,384.00</t>
  </si>
  <si>
    <t>795,655.00</t>
  </si>
  <si>
    <t>17,370,000.00</t>
  </si>
  <si>
    <t>498,363.46</t>
  </si>
  <si>
    <t>353,726.00</t>
  </si>
  <si>
    <t>249,168.00</t>
  </si>
  <si>
    <t>1,002,000.00</t>
  </si>
  <si>
    <t>6,975,400.03</t>
  </si>
  <si>
    <t>422,972.50</t>
  </si>
  <si>
    <t>142,428.00</t>
  </si>
  <si>
    <t>199,981.07</t>
  </si>
  <si>
    <t>69,500.00</t>
  </si>
  <si>
    <t>228,405.00</t>
  </si>
  <si>
    <t>341,000.00</t>
  </si>
  <si>
    <t>1,239,287.70</t>
  </si>
  <si>
    <t>368,938.08</t>
  </si>
  <si>
    <t>60,750.00</t>
  </si>
  <si>
    <t>2,050,000.00</t>
  </si>
  <si>
    <t>601,154.00</t>
  </si>
  <si>
    <t>911,320.00</t>
  </si>
  <si>
    <t>799,265.29</t>
  </si>
  <si>
    <t>12,545,000.00</t>
  </si>
  <si>
    <t>599,917.48</t>
  </si>
  <si>
    <t>115,729.40</t>
  </si>
  <si>
    <t>459,292.00</t>
  </si>
  <si>
    <t>1,192,320.00</t>
  </si>
  <si>
    <t>115,130.00</t>
  </si>
  <si>
    <t>70,620.00</t>
  </si>
  <si>
    <t>84,500.00</t>
  </si>
  <si>
    <t>390,150.00</t>
  </si>
  <si>
    <t>291,883.92</t>
  </si>
  <si>
    <t>875,000.00</t>
  </si>
  <si>
    <t>160,336.95</t>
  </si>
  <si>
    <t>236,150.00</t>
  </si>
  <si>
    <t>140,000,000.00</t>
  </si>
  <si>
    <t>591,192.00</t>
  </si>
  <si>
    <t>3,750,000.00</t>
  </si>
  <si>
    <t>9,068,510.00</t>
  </si>
  <si>
    <t>68,850.00</t>
  </si>
  <si>
    <t>455,500.00</t>
  </si>
  <si>
    <t>2,932,508.14</t>
  </si>
  <si>
    <t>79,275.00</t>
  </si>
  <si>
    <t>770,618.90</t>
  </si>
  <si>
    <t>310,006.00</t>
  </si>
  <si>
    <t>29,666.00</t>
  </si>
  <si>
    <t>528,470.00</t>
  </si>
  <si>
    <t>1,334,004.20</t>
  </si>
  <si>
    <t>205,479.45</t>
  </si>
  <si>
    <t>97,102.32</t>
  </si>
  <si>
    <t>64,686.45</t>
  </si>
  <si>
    <t>370,000.00</t>
  </si>
  <si>
    <t>30,500.00</t>
  </si>
  <si>
    <t>1,135,680.00</t>
  </si>
  <si>
    <t>379,965.19</t>
  </si>
  <si>
    <t>7,320,968.20</t>
  </si>
  <si>
    <t>55,497.00</t>
  </si>
  <si>
    <t>568,000.00</t>
  </si>
  <si>
    <t>19,290,559.20</t>
  </si>
  <si>
    <t>72,600.00</t>
  </si>
  <si>
    <t>1,419,148.36</t>
  </si>
  <si>
    <t>399,800.00</t>
  </si>
  <si>
    <t>40,500,000.00</t>
  </si>
  <si>
    <t>1,847,820.00</t>
  </si>
  <si>
    <t>6,242,125.00</t>
  </si>
  <si>
    <t>6,846,012.16</t>
  </si>
  <si>
    <t>801,805.13</t>
  </si>
  <si>
    <t>4,036,798.41</t>
  </si>
  <si>
    <t>952,353.97</t>
  </si>
  <si>
    <t>66,605.00</t>
  </si>
  <si>
    <t>507,715.00</t>
  </si>
  <si>
    <t>7,889,227.20</t>
  </si>
  <si>
    <t>67,392.00</t>
  </si>
  <si>
    <t>22,478,764.00</t>
  </si>
  <si>
    <t>1,923,600.00</t>
  </si>
  <si>
    <t>3,404,000.00</t>
  </si>
  <si>
    <t>113,206.30</t>
  </si>
  <si>
    <t>11,840,000.00</t>
  </si>
  <si>
    <t>122,744.48</t>
  </si>
  <si>
    <t>147,950.00</t>
  </si>
  <si>
    <t>612,500.00</t>
  </si>
  <si>
    <t>60,100.00</t>
  </si>
  <si>
    <t>4,891,673.83</t>
  </si>
  <si>
    <t>1,178,400.78</t>
  </si>
  <si>
    <t>257,010.00</t>
  </si>
  <si>
    <t>2,329,751.00</t>
  </si>
  <si>
    <t>546,301.00</t>
  </si>
  <si>
    <t>192,750.00</t>
  </si>
  <si>
    <t>56,610.00</t>
  </si>
  <si>
    <t>60,824.00</t>
  </si>
  <si>
    <t>4,753,920.00</t>
  </si>
  <si>
    <t>96,800.00</t>
  </si>
  <si>
    <t>179,190.00</t>
  </si>
  <si>
    <t>1,977,546.00</t>
  </si>
  <si>
    <t>102,680.00</t>
  </si>
  <si>
    <t>2,835,000.00</t>
  </si>
  <si>
    <t>147,482.80</t>
  </si>
  <si>
    <t>175,390.00</t>
  </si>
  <si>
    <t>30,338,025.00</t>
  </si>
  <si>
    <t>19,398,345.13</t>
  </si>
  <si>
    <t>175,500.00</t>
  </si>
  <si>
    <t>2,557,387.76</t>
  </si>
  <si>
    <t>1,954,938.12</t>
  </si>
  <si>
    <t>32,500,000.00</t>
  </si>
  <si>
    <t>109,225.00</t>
  </si>
  <si>
    <t>367,550.00</t>
  </si>
  <si>
    <t>568,500.00</t>
  </si>
  <si>
    <t>116,571.84</t>
  </si>
  <si>
    <t>1,253,070.01</t>
  </si>
  <si>
    <t>48,292.13</t>
  </si>
  <si>
    <t>2,030,000.00</t>
  </si>
  <si>
    <t>148,160.25</t>
  </si>
  <si>
    <t>2,711,125.00</t>
  </si>
  <si>
    <t>1,896,090.38</t>
  </si>
  <si>
    <t>2,148,095.00</t>
  </si>
  <si>
    <t>638,865.38</t>
  </si>
  <si>
    <t>336,230.00</t>
  </si>
  <si>
    <t>272,160.00</t>
  </si>
  <si>
    <t>265,810.00</t>
  </si>
  <si>
    <t>2,988,146.00</t>
  </si>
  <si>
    <t>270,400.00</t>
  </si>
  <si>
    <t>299,999.88</t>
  </si>
  <si>
    <t>117,862.00</t>
  </si>
  <si>
    <t>336,015.00</t>
  </si>
  <si>
    <t>11,537,620.58</t>
  </si>
  <si>
    <t>1,863,594.00</t>
  </si>
  <si>
    <t>153,670.00</t>
  </si>
  <si>
    <t>52,600.00</t>
  </si>
  <si>
    <t>748,247.68</t>
  </si>
  <si>
    <t>59,300.00</t>
  </si>
  <si>
    <t>749,997.91</t>
  </si>
  <si>
    <t>97,770.00</t>
  </si>
  <si>
    <t>394,635.00</t>
  </si>
  <si>
    <t>4,999,789.00</t>
  </si>
  <si>
    <t>153,920.00</t>
  </si>
  <si>
    <t>150,780.00</t>
  </si>
  <si>
    <t>407,773.00</t>
  </si>
  <si>
    <t>352,400.00</t>
  </si>
  <si>
    <t>999,998.12</t>
  </si>
  <si>
    <t>154,340.00</t>
  </si>
  <si>
    <t>891,264.71</t>
  </si>
  <si>
    <t>2,353,026.23</t>
  </si>
  <si>
    <t>550,500.00</t>
  </si>
  <si>
    <t>60,107,688.67</t>
  </si>
  <si>
    <t>861,200.00</t>
  </si>
  <si>
    <t>979,880.00</t>
  </si>
  <si>
    <t>487,590.00</t>
  </si>
  <si>
    <t>796,073.00</t>
  </si>
  <si>
    <t>868,830.00</t>
  </si>
  <si>
    <t>1,499,986.61</t>
  </si>
  <si>
    <t>5,967,000.00</t>
  </si>
  <si>
    <t>479,320.00</t>
  </si>
  <si>
    <t>103,716.00</t>
  </si>
  <si>
    <t>2,464,880.00</t>
  </si>
  <si>
    <t>1,276,275.00</t>
  </si>
  <si>
    <t>191,394.00</t>
  </si>
  <si>
    <t>97,750.00</t>
  </si>
  <si>
    <t>299,209.61</t>
  </si>
  <si>
    <t>353,000.00</t>
  </si>
  <si>
    <t>503,250.00</t>
  </si>
  <si>
    <t>1,270,500.00</t>
  </si>
  <si>
    <t>178,245.05</t>
  </si>
  <si>
    <t>999,974.99</t>
  </si>
  <si>
    <t>42,009,209.94</t>
  </si>
  <si>
    <t>3,999,997.60</t>
  </si>
  <si>
    <t>298,532.20</t>
  </si>
  <si>
    <t>607,000.00</t>
  </si>
  <si>
    <t>3,049,305.00</t>
  </si>
  <si>
    <t>120,200.00</t>
  </si>
  <si>
    <t>174,008.85</t>
  </si>
  <si>
    <t>724,832.49</t>
  </si>
  <si>
    <t>299,935.40</t>
  </si>
  <si>
    <t>146,400.00</t>
  </si>
  <si>
    <t>79,520.00</t>
  </si>
  <si>
    <t>49,498,000.00</t>
  </si>
  <si>
    <t>345,700.00</t>
  </si>
  <si>
    <t>99,950.00</t>
  </si>
  <si>
    <t>13,600.00</t>
  </si>
  <si>
    <t>391,000.00</t>
  </si>
  <si>
    <t>4,532,851.00</t>
  </si>
  <si>
    <t>239,503.10</t>
  </si>
  <si>
    <t>134,300.00</t>
  </si>
  <si>
    <t>38,850.00</t>
  </si>
  <si>
    <t>39,500.00</t>
  </si>
  <si>
    <t>245,646.00</t>
  </si>
  <si>
    <t>195,500.00</t>
  </si>
  <si>
    <t>1,544,581.52</t>
  </si>
  <si>
    <t>95,210.50</t>
  </si>
  <si>
    <t>696,671.67</t>
  </si>
  <si>
    <t>339,280.00</t>
  </si>
  <si>
    <t>760,136.00</t>
  </si>
  <si>
    <t>1,019,261.50</t>
  </si>
  <si>
    <t>1,319,980.00</t>
  </si>
  <si>
    <t>764,086.98</t>
  </si>
  <si>
    <t>2,265,662.24</t>
  </si>
  <si>
    <t>2,210,000.00</t>
  </si>
  <si>
    <t>359,236.03</t>
  </si>
  <si>
    <t>315,050.00</t>
  </si>
  <si>
    <t>1,999,999.75</t>
  </si>
  <si>
    <t>225,250.00</t>
  </si>
  <si>
    <t>1,282,557.98</t>
  </si>
  <si>
    <t>60,199.50</t>
  </si>
  <si>
    <t>738,000.00</t>
  </si>
  <si>
    <t>687,895.00</t>
  </si>
  <si>
    <t>348,435.66</t>
  </si>
  <si>
    <t>3,657,910.00</t>
  </si>
  <si>
    <t>30,240.00</t>
  </si>
  <si>
    <t>255,945.50</t>
  </si>
  <si>
    <t>441,000.00</t>
  </si>
  <si>
    <t>585,732.00</t>
  </si>
  <si>
    <t>1,197,915.00</t>
  </si>
  <si>
    <t>805,000.00</t>
  </si>
  <si>
    <t>950,279.60</t>
  </si>
  <si>
    <t>652,100.00</t>
  </si>
  <si>
    <t>414,300.00</t>
  </si>
  <si>
    <t>519,637.00</t>
  </si>
  <si>
    <t>79,818.00</t>
  </si>
  <si>
    <t>1,475,364.75</t>
  </si>
  <si>
    <t>384,200.00</t>
  </si>
  <si>
    <t>1,007,698.90</t>
  </si>
  <si>
    <t>1,490,511.62</t>
  </si>
  <si>
    <t>51,485.00</t>
  </si>
  <si>
    <t>1,916,720.00</t>
  </si>
  <si>
    <t>8,543,527.13</t>
  </si>
  <si>
    <t>199,978.79</t>
  </si>
  <si>
    <t>899,686.00</t>
  </si>
  <si>
    <t>89,098.10</t>
  </si>
  <si>
    <t>1,345,107.30</t>
  </si>
  <si>
    <t>410,600.00</t>
  </si>
  <si>
    <t>223,850.00</t>
  </si>
  <si>
    <t>11,994,400.00</t>
  </si>
  <si>
    <t>573,540.00</t>
  </si>
  <si>
    <t>2,205.00</t>
  </si>
  <si>
    <t>880,000.00</t>
  </si>
  <si>
    <t>72,230.00</t>
  </si>
  <si>
    <t>5,854,728.63</t>
  </si>
  <si>
    <t>161,300.00</t>
  </si>
  <si>
    <t>2,549,720.40</t>
  </si>
  <si>
    <t>153,500.00</t>
  </si>
  <si>
    <t>719,232.28</t>
  </si>
  <si>
    <t>2,998,917.46</t>
  </si>
  <si>
    <t>194,081.00</t>
  </si>
  <si>
    <t>116,250.00</t>
  </si>
  <si>
    <t>3,046,849.18</t>
  </si>
  <si>
    <t>71,000.00</t>
  </si>
  <si>
    <t>23,002,000.00</t>
  </si>
  <si>
    <t>4,132,040.00</t>
  </si>
  <si>
    <t>144,085.00</t>
  </si>
  <si>
    <t>31,591.00</t>
  </si>
  <si>
    <t>137,900.00</t>
  </si>
  <si>
    <t>11,875,000.00</t>
  </si>
  <si>
    <t>1,529,500.00</t>
  </si>
  <si>
    <t>330,229.00</t>
  </si>
  <si>
    <t>2,636,425.00</t>
  </si>
  <si>
    <t>110,491.00</t>
  </si>
  <si>
    <t>591,460.00</t>
  </si>
  <si>
    <t>752,270.00</t>
  </si>
  <si>
    <t>5,180,068.00</t>
  </si>
  <si>
    <t>1,623,527.65</t>
  </si>
  <si>
    <t>30,974.00</t>
  </si>
  <si>
    <t>856,790.00</t>
  </si>
  <si>
    <t>837,900.00</t>
  </si>
  <si>
    <t>47,500.00</t>
  </si>
  <si>
    <t>3,307,070.00</t>
  </si>
  <si>
    <t>487,129.13</t>
  </si>
  <si>
    <t>31,200.00</t>
  </si>
  <si>
    <t>87,750.00</t>
  </si>
  <si>
    <t>3,487,253.30</t>
  </si>
  <si>
    <t>137,250.00</t>
  </si>
  <si>
    <t>3,322,000.00</t>
  </si>
  <si>
    <t>4,071,013.14</t>
  </si>
  <si>
    <t>299,500.00</t>
  </si>
  <si>
    <t>1,552,266.00</t>
  </si>
  <si>
    <t>2,407,837.76</t>
  </si>
  <si>
    <t>106,600.00</t>
  </si>
  <si>
    <t>31,320.00</t>
  </si>
  <si>
    <t>942,050.83</t>
  </si>
  <si>
    <t>16,231,791.78</t>
  </si>
  <si>
    <t>650,290.00</t>
  </si>
  <si>
    <t>168,550.00</t>
  </si>
  <si>
    <t>8,350,629.20</t>
  </si>
  <si>
    <t>657,014.00</t>
  </si>
  <si>
    <t>560,850.00</t>
  </si>
  <si>
    <t>826,111.89</t>
  </si>
  <si>
    <t>755,000.00</t>
  </si>
  <si>
    <t>95,550.00</t>
  </si>
  <si>
    <t>511,300.00</t>
  </si>
  <si>
    <t>596,787,801.78</t>
  </si>
  <si>
    <t>257,333.33</t>
  </si>
  <si>
    <t>58,863.11</t>
  </si>
  <si>
    <t>1,501,000.00</t>
  </si>
  <si>
    <t>402,500.00</t>
  </si>
  <si>
    <t>734,698.99</t>
  </si>
  <si>
    <t>153,826.00</t>
  </si>
  <si>
    <t>59,060.00</t>
  </si>
  <si>
    <t>394,500.00</t>
  </si>
  <si>
    <t>19,799,957.27</t>
  </si>
  <si>
    <t>893,650.00</t>
  </si>
  <si>
    <t>90,185.00</t>
  </si>
  <si>
    <t>668,614.66</t>
  </si>
  <si>
    <t>232,741.30</t>
  </si>
  <si>
    <t>4,904,000.00</t>
  </si>
  <si>
    <t>924,999.00</t>
  </si>
  <si>
    <t>610,700.00</t>
  </si>
  <si>
    <t>820,992.90</t>
  </si>
  <si>
    <t>24,499,747.37</t>
  </si>
  <si>
    <t>905,850.00</t>
  </si>
  <si>
    <t>1,579,632.47</t>
  </si>
  <si>
    <t>475,500.00</t>
  </si>
  <si>
    <t>298,400.00</t>
  </si>
  <si>
    <t>821,166.47</t>
  </si>
  <si>
    <t>776,994.96</t>
  </si>
  <si>
    <t>696,800.00</t>
  </si>
  <si>
    <t>18,552,287.75</t>
  </si>
  <si>
    <t>575,778.04</t>
  </si>
  <si>
    <t>999,440.89</t>
  </si>
  <si>
    <t>362,613.92</t>
  </si>
  <si>
    <t>428,843.00</t>
  </si>
  <si>
    <t>5,052,190.68</t>
  </si>
  <si>
    <t>436,263.46</t>
  </si>
  <si>
    <t>76,670.00</t>
  </si>
  <si>
    <t>980,040.00</t>
  </si>
  <si>
    <t>499,991.02</t>
  </si>
  <si>
    <t>144,931.50</t>
  </si>
  <si>
    <t>13,888,712.94</t>
  </si>
  <si>
    <t>185,081.09</t>
  </si>
  <si>
    <t>2,123,656.20</t>
  </si>
  <si>
    <t>998,678.38</t>
  </si>
  <si>
    <t>15,200.00</t>
  </si>
  <si>
    <t>8,500.00</t>
  </si>
  <si>
    <t>774,995.30</t>
  </si>
  <si>
    <t>130,333.00</t>
  </si>
  <si>
    <t>89,775.00</t>
  </si>
  <si>
    <t>3,080,000.00</t>
  </si>
  <si>
    <t>57,335,843.09</t>
  </si>
  <si>
    <t>5,222,964.30</t>
  </si>
  <si>
    <t>191,776.00</t>
  </si>
  <si>
    <t>3,628,800.00</t>
  </si>
  <si>
    <t>1,112,200.00</t>
  </si>
  <si>
    <t>2,481,033.60</t>
  </si>
  <si>
    <t>201,554.00</t>
  </si>
  <si>
    <t>857,564.00</t>
  </si>
  <si>
    <t>410,900.00</t>
  </si>
  <si>
    <t>289,022.00</t>
  </si>
  <si>
    <t>190,992.00</t>
  </si>
  <si>
    <t>3,907,807.40</t>
  </si>
  <si>
    <t>12,435,500.00</t>
  </si>
  <si>
    <t>664,693.02</t>
  </si>
  <si>
    <t>20,221,215.50</t>
  </si>
  <si>
    <t>156,216.00</t>
  </si>
  <si>
    <t>198,522.20</t>
  </si>
  <si>
    <t>251,095.46</t>
  </si>
  <si>
    <t>199,190.00</t>
  </si>
  <si>
    <t>4,300,000.00</t>
  </si>
  <si>
    <t>275,575.00</t>
  </si>
  <si>
    <t>260,616.30</t>
  </si>
  <si>
    <t>2,250,000.00</t>
  </si>
  <si>
    <t>4,527,118.50</t>
  </si>
  <si>
    <t>4,998,800.00</t>
  </si>
  <si>
    <t>170,857.75</t>
  </si>
  <si>
    <t>609,092.56</t>
  </si>
  <si>
    <t>138,900.00</t>
  </si>
  <si>
    <t>99,106.00</t>
  </si>
  <si>
    <t>290,155.00</t>
  </si>
  <si>
    <t>7,307,162.50</t>
  </si>
  <si>
    <t>1,028,760.00</t>
  </si>
  <si>
    <t>83,200.00</t>
  </si>
  <si>
    <t>495,800.68</t>
  </si>
  <si>
    <t>21,125.00</t>
  </si>
  <si>
    <t>288,300.00</t>
  </si>
  <si>
    <t>1,306,250.00</t>
  </si>
  <si>
    <t>3,361,824.30</t>
  </si>
  <si>
    <t>1,233,520.00</t>
  </si>
  <si>
    <t>1,522,000.00</t>
  </si>
  <si>
    <t>799,958.38</t>
  </si>
  <si>
    <t>123,367.25</t>
  </si>
  <si>
    <t>234,250.00</t>
  </si>
  <si>
    <t>125,300.00</t>
  </si>
  <si>
    <t>254,673.78</t>
  </si>
  <si>
    <t>12,623,006.00</t>
  </si>
  <si>
    <t>14,000,000.00</t>
  </si>
  <si>
    <t>9,898,000.00</t>
  </si>
  <si>
    <t>923,500.00</t>
  </si>
  <si>
    <t>1,018,181.00</t>
  </si>
  <si>
    <t>66,640.00</t>
  </si>
  <si>
    <t>1,495,000.00</t>
  </si>
  <si>
    <t>602,145.00</t>
  </si>
  <si>
    <t>373,526.20</t>
  </si>
  <si>
    <t>796,827.00</t>
  </si>
  <si>
    <t>2,346,000.00</t>
  </si>
  <si>
    <t>62,075.00</t>
  </si>
  <si>
    <t>558,050.00</t>
  </si>
  <si>
    <t>88,140.00</t>
  </si>
  <si>
    <t>279,500.00</t>
  </si>
  <si>
    <t>174,445.00</t>
  </si>
  <si>
    <t>1,217,668.50</t>
  </si>
  <si>
    <t>980,460.00</t>
  </si>
  <si>
    <t>403,300.00</t>
  </si>
  <si>
    <t>62,100.00</t>
  </si>
  <si>
    <t>605,000.00</t>
  </si>
  <si>
    <t>1,968,068.73</t>
  </si>
  <si>
    <t>60,497.80</t>
  </si>
  <si>
    <t>546,600.00</t>
  </si>
  <si>
    <t>67,645.00</t>
  </si>
  <si>
    <t>173,250.00</t>
  </si>
  <si>
    <t>4,166,230.50</t>
  </si>
  <si>
    <t>6,919,147.00</t>
  </si>
  <si>
    <t>132,680.00</t>
  </si>
  <si>
    <t>265,935.00</t>
  </si>
  <si>
    <t>211,475.00</t>
  </si>
  <si>
    <t>540,420.00</t>
  </si>
  <si>
    <t>302,250.00</t>
  </si>
  <si>
    <t>184,430.00</t>
  </si>
  <si>
    <t>1,476,616.57</t>
  </si>
  <si>
    <t>377,750.00</t>
  </si>
  <si>
    <t>129,256.00</t>
  </si>
  <si>
    <t>8,097,954.85</t>
  </si>
  <si>
    <t>1,046,656.26</t>
  </si>
  <si>
    <t>1,352,541.85</t>
  </si>
  <si>
    <t>299,065.00</t>
  </si>
  <si>
    <t>1,305,940.30</t>
  </si>
  <si>
    <t>67,750.00</t>
  </si>
  <si>
    <t>4,499,017.58</t>
  </si>
  <si>
    <t>1,498,938.72</t>
  </si>
  <si>
    <t>799,915.99</t>
  </si>
  <si>
    <t>3,684,476.80</t>
  </si>
  <si>
    <t>1,490,000.00</t>
  </si>
  <si>
    <t>498,800.00</t>
  </si>
  <si>
    <t>489,600.00</t>
  </si>
  <si>
    <t>1,072,705.61</t>
  </si>
  <si>
    <t>1,399,181.23</t>
  </si>
  <si>
    <t>489,840.00</t>
  </si>
  <si>
    <t>2,225,800.00</t>
  </si>
  <si>
    <t>10,501,539.00</t>
  </si>
  <si>
    <t>2,154,470.00</t>
  </si>
  <si>
    <t>1,259,881.00</t>
  </si>
  <si>
    <t>14,074,906.68</t>
  </si>
  <si>
    <t>518,100.07</t>
  </si>
  <si>
    <t>1,991,404.00</t>
  </si>
  <si>
    <t>104,160.00</t>
  </si>
  <si>
    <t>3,431,418.49</t>
  </si>
  <si>
    <t>185,995.04</t>
  </si>
  <si>
    <t>257,577.60</t>
  </si>
  <si>
    <t>244,054.04</t>
  </si>
  <si>
    <t>684,000.00</t>
  </si>
  <si>
    <t>565,577.60</t>
  </si>
  <si>
    <t>3,218,515.88</t>
  </si>
  <si>
    <t>102,422.40</t>
  </si>
  <si>
    <t>958,501.36</t>
  </si>
  <si>
    <t>157,415.40</t>
  </si>
  <si>
    <t>440,020.00</t>
  </si>
  <si>
    <t>3,559,910.00</t>
  </si>
  <si>
    <t>558,000.00</t>
  </si>
  <si>
    <t>599,826.74</t>
  </si>
  <si>
    <t>566,154.00</t>
  </si>
  <si>
    <t>666,000.00</t>
  </si>
  <si>
    <t>912,400.00</t>
  </si>
  <si>
    <t>375,086.00</t>
  </si>
  <si>
    <t>6,095,603.50</t>
  </si>
  <si>
    <t>104,875.00</t>
  </si>
  <si>
    <t>454,778.82</t>
  </si>
  <si>
    <t>144,000.00</t>
  </si>
  <si>
    <t>387,648.95</t>
  </si>
  <si>
    <t>599,560.00</t>
  </si>
  <si>
    <t>864,232.88</t>
  </si>
  <si>
    <t>1,227,901.92</t>
  </si>
  <si>
    <t>1,388,565.18</t>
  </si>
  <si>
    <t>231,994.00</t>
  </si>
  <si>
    <t>4,600,000.00</t>
  </si>
  <si>
    <t>560,000.00</t>
  </si>
  <si>
    <t>52,720.00</t>
  </si>
  <si>
    <t>179,800.00</t>
  </si>
  <si>
    <t>156,911.98</t>
  </si>
  <si>
    <t>132,200.00</t>
  </si>
  <si>
    <t>1,955,000.00</t>
  </si>
  <si>
    <t>89,400.00</t>
  </si>
  <si>
    <t>28,500,000.00</t>
  </si>
  <si>
    <t>1,170,000.00</t>
  </si>
  <si>
    <t>2,334,171.20</t>
  </si>
  <si>
    <t>4,152,108.00</t>
  </si>
  <si>
    <t>5,349,999.94</t>
  </si>
  <si>
    <t>1,520,934.10</t>
  </si>
  <si>
    <t>1,033,920.15</t>
  </si>
  <si>
    <t>1,660,784.00</t>
  </si>
  <si>
    <t>71,200.00</t>
  </si>
  <si>
    <t>1,982,699.64</t>
  </si>
  <si>
    <t>117,637,059.72</t>
  </si>
  <si>
    <t>114,830.00</t>
  </si>
  <si>
    <t>2,183,301.86</t>
  </si>
  <si>
    <t>81,888.25</t>
  </si>
  <si>
    <t>895,000.00</t>
  </si>
  <si>
    <t>3,206,094.34</t>
  </si>
  <si>
    <t>898,890.00</t>
  </si>
  <si>
    <t>12,934,995.63</t>
  </si>
  <si>
    <t>8,618,850.00</t>
  </si>
  <si>
    <t>49,188.00</t>
  </si>
  <si>
    <t>304,500.00</t>
  </si>
  <si>
    <t>341,843.60</t>
  </si>
  <si>
    <t>211,500.00</t>
  </si>
  <si>
    <t>1,806,701.00</t>
  </si>
  <si>
    <t>299,000.00</t>
  </si>
  <si>
    <t>11,939,955.07</t>
  </si>
  <si>
    <t>6,100.00</t>
  </si>
  <si>
    <t>1,700.00</t>
  </si>
  <si>
    <t>1,600.00</t>
  </si>
  <si>
    <t>95,760.00</t>
  </si>
  <si>
    <t>1,169,041.00</t>
  </si>
  <si>
    <t>14,085,000.00</t>
  </si>
  <si>
    <t>198,381.00</t>
  </si>
  <si>
    <t>2,662,217.28</t>
  </si>
  <si>
    <t>59,600.00</t>
  </si>
  <si>
    <t>68,450.00</t>
  </si>
  <si>
    <t>285,000.00</t>
  </si>
  <si>
    <t>199,825.00</t>
  </si>
  <si>
    <t>364,870.24</t>
  </si>
  <si>
    <t>2,884,283.42</t>
  </si>
  <si>
    <t>12,649,948.12</t>
  </si>
  <si>
    <t>2,495,627.56</t>
  </si>
  <si>
    <t>349,395.00</t>
  </si>
  <si>
    <t>82,250.00</t>
  </si>
  <si>
    <t>2,504,544.28</t>
  </si>
  <si>
    <t>522,108.00</t>
  </si>
  <si>
    <t>2,585,810.74</t>
  </si>
  <si>
    <t>233,775.00</t>
  </si>
  <si>
    <t>2,499,134.05</t>
  </si>
  <si>
    <t>92,900.00</t>
  </si>
  <si>
    <t>2,051,036.76</t>
  </si>
  <si>
    <t>1,600,650.00</t>
  </si>
  <si>
    <t>346,000.00</t>
  </si>
  <si>
    <t>237,295.00</t>
  </si>
  <si>
    <t>2,367,340.51</t>
  </si>
  <si>
    <t>276,542.00</t>
  </si>
  <si>
    <t>2,008,946.72</t>
  </si>
  <si>
    <t>318,000.00</t>
  </si>
  <si>
    <t>336,050.00</t>
  </si>
  <si>
    <t>2,435,464.09</t>
  </si>
  <si>
    <t>115,942,029.01</t>
  </si>
  <si>
    <t>107,883.00</t>
  </si>
  <si>
    <t>3,999,944.20</t>
  </si>
  <si>
    <t>5,866,430.00</t>
  </si>
  <si>
    <t>142,938.00</t>
  </si>
  <si>
    <t>384,000.00</t>
  </si>
  <si>
    <t>427,150.00</t>
  </si>
  <si>
    <t>428,798.60</t>
  </si>
  <si>
    <t>2,639,851.62</t>
  </si>
  <si>
    <t>1,720,300.00</t>
  </si>
  <si>
    <t>794,115.79</t>
  </si>
  <si>
    <t>1,967,967.81</t>
  </si>
  <si>
    <t>2,790,554.75</t>
  </si>
  <si>
    <t>8,987.00</t>
  </si>
  <si>
    <t>788,476.73</t>
  </si>
  <si>
    <t>1,187,012.79</t>
  </si>
  <si>
    <t>3,272,000.00</t>
  </si>
  <si>
    <t>135,700.00</t>
  </si>
  <si>
    <t>1,323,450.00</t>
  </si>
  <si>
    <t>227,017.08</t>
  </si>
  <si>
    <t>181,300.00</t>
  </si>
  <si>
    <t>159,600.00</t>
  </si>
  <si>
    <t>1,411,900.00</t>
  </si>
  <si>
    <t>3,950,000.00</t>
  </si>
  <si>
    <t>365,600.00</t>
  </si>
  <si>
    <t>248,200.00</t>
  </si>
  <si>
    <t>510,000.00</t>
  </si>
  <si>
    <t>907,254.00</t>
  </si>
  <si>
    <t>304,255.00</t>
  </si>
  <si>
    <t>1,744,669.00</t>
  </si>
  <si>
    <t>386,900.00</t>
  </si>
  <si>
    <t>170,410.00</t>
  </si>
  <si>
    <t>454,500.00</t>
  </si>
  <si>
    <t>387,420.00</t>
  </si>
  <si>
    <t>3,200,000.00</t>
  </si>
  <si>
    <t>12,120,000.00</t>
  </si>
  <si>
    <t>611,095.00</t>
  </si>
  <si>
    <t>85,409.00</t>
  </si>
  <si>
    <t>133,040.00</t>
  </si>
  <si>
    <t>105,686.00</t>
  </si>
  <si>
    <t>446,100.00</t>
  </si>
  <si>
    <t>4,564,400.00</t>
  </si>
  <si>
    <t>157,500.00</t>
  </si>
  <si>
    <t>79,675.00</t>
  </si>
  <si>
    <t>1,221,250.00</t>
  </si>
  <si>
    <t>7,670.00</t>
  </si>
  <si>
    <t>5,653,114.60</t>
  </si>
  <si>
    <t>67,680.00</t>
  </si>
  <si>
    <t>730,339.90</t>
  </si>
  <si>
    <t>242,000.00</t>
  </si>
  <si>
    <t>73,080.00</t>
  </si>
  <si>
    <t>142,025.00</t>
  </si>
  <si>
    <t>1,508,662.20</t>
  </si>
  <si>
    <t>50,780.00</t>
  </si>
  <si>
    <t>41,259.34</t>
  </si>
  <si>
    <t>70,228.00</t>
  </si>
  <si>
    <t>117,775.00</t>
  </si>
  <si>
    <t>160,500.00</t>
  </si>
  <si>
    <t>741,176.00</t>
  </si>
  <si>
    <t>179,635.00</t>
  </si>
  <si>
    <t>3,620,000.00</t>
  </si>
  <si>
    <t>407,250.00</t>
  </si>
  <si>
    <t>999,975.59</t>
  </si>
  <si>
    <t>999,930.27</t>
  </si>
  <si>
    <t>599,954.71</t>
  </si>
  <si>
    <t>499,999.92</t>
  </si>
  <si>
    <t>1,320.00</t>
  </si>
  <si>
    <t>177,000.00</t>
  </si>
  <si>
    <t>180,459.00</t>
  </si>
  <si>
    <t>1,996,389.20</t>
  </si>
  <si>
    <t>1,555,800.38</t>
  </si>
  <si>
    <t>70,300.00</t>
  </si>
  <si>
    <t>430,188.00</t>
  </si>
  <si>
    <t>110,500.00</t>
  </si>
  <si>
    <t>509,750.00</t>
  </si>
  <si>
    <t>410,000.00</t>
  </si>
  <si>
    <t>67,670.00</t>
  </si>
  <si>
    <t>626,847.00</t>
  </si>
  <si>
    <t>2,499,999.93</t>
  </si>
  <si>
    <t>655,000.00</t>
  </si>
  <si>
    <t>141,645.00</t>
  </si>
  <si>
    <t>341,250.00</t>
  </si>
  <si>
    <t>322,440.00</t>
  </si>
  <si>
    <t>2,299,913.44</t>
  </si>
  <si>
    <t>3,318,300.00</t>
  </si>
  <si>
    <t>5,999,961.80</t>
  </si>
  <si>
    <t>595,000.00</t>
  </si>
  <si>
    <t>2,999,999.24</t>
  </si>
  <si>
    <t>3,499,958.44</t>
  </si>
  <si>
    <t>1,913,208.95</t>
  </si>
  <si>
    <t>2,406,735.00</t>
  </si>
  <si>
    <t>1,995,573.92</t>
  </si>
  <si>
    <t>4,989,341.83</t>
  </si>
  <si>
    <t>1,999,941.00</t>
  </si>
  <si>
    <t>486,500.00</t>
  </si>
  <si>
    <t>1,357,500.00</t>
  </si>
  <si>
    <t>670,994.00</t>
  </si>
  <si>
    <t>688,959.60</t>
  </si>
  <si>
    <t>423,500.00</t>
  </si>
  <si>
    <t>4,299,914.70</t>
  </si>
  <si>
    <t>354,706.00</t>
  </si>
  <si>
    <t>1,827,523.52</t>
  </si>
  <si>
    <t>114,953.00</t>
  </si>
  <si>
    <t>998,353.13</t>
  </si>
  <si>
    <t>297,428.00</t>
  </si>
  <si>
    <t>139,223.00</t>
  </si>
  <si>
    <t>381,450.00</t>
  </si>
  <si>
    <t>6,233,346.72</t>
  </si>
  <si>
    <t>83,952.00</t>
  </si>
  <si>
    <t>224,760.00</t>
  </si>
  <si>
    <t>1,727,015.66</t>
  </si>
  <si>
    <t>2,560,000.00</t>
  </si>
  <si>
    <t>84,480.00</t>
  </si>
  <si>
    <t>164,360.00</t>
  </si>
  <si>
    <t>359,863.00</t>
  </si>
  <si>
    <t>123,410.20</t>
  </si>
  <si>
    <t>94,312,923.00</t>
  </si>
  <si>
    <t>99,881.00</t>
  </si>
  <si>
    <t>1,787,190.91</t>
  </si>
  <si>
    <t>772,045.00</t>
  </si>
  <si>
    <t>241,757.60</t>
  </si>
  <si>
    <t>51,900.00</t>
  </si>
  <si>
    <t>126,500.00</t>
  </si>
  <si>
    <t>89,335.00</t>
  </si>
  <si>
    <t>227,325.00</t>
  </si>
  <si>
    <t>1,204,800.00</t>
  </si>
  <si>
    <t>420,700.00</t>
  </si>
  <si>
    <t>23,698,676.00</t>
  </si>
  <si>
    <t>143,191.68</t>
  </si>
  <si>
    <t>69,928.00</t>
  </si>
  <si>
    <t>1,499,030.95</t>
  </si>
  <si>
    <t>1,211,100.32</t>
  </si>
  <si>
    <t>601,175.00</t>
  </si>
  <si>
    <t>1,374,028.70</t>
  </si>
  <si>
    <t>338,147.00</t>
  </si>
  <si>
    <t>799,850.59</t>
  </si>
  <si>
    <t>128,585.00</t>
  </si>
  <si>
    <t>51,045.80</t>
  </si>
  <si>
    <t>14,460,000.00</t>
  </si>
  <si>
    <t>1,003,356.32</t>
  </si>
  <si>
    <t>104,075.20</t>
  </si>
  <si>
    <t>25,565.00</t>
  </si>
  <si>
    <t>1,029,031.90</t>
  </si>
  <si>
    <t>208,600.00</t>
  </si>
  <si>
    <t>50,030.00</t>
  </si>
  <si>
    <t>500,739.00</t>
  </si>
  <si>
    <t>127,555.00</t>
  </si>
  <si>
    <t>54,450.00</t>
  </si>
  <si>
    <t>2,499,999.82</t>
  </si>
  <si>
    <t>854,414.00</t>
  </si>
  <si>
    <t>87,875.00</t>
  </si>
  <si>
    <t>1,335,610.00</t>
  </si>
  <si>
    <t>278,550.00</t>
  </si>
  <si>
    <t>19,920,658.80</t>
  </si>
  <si>
    <t>35,820.00</t>
  </si>
  <si>
    <t>170,750.00</t>
  </si>
  <si>
    <t>5,637,000.00</t>
  </si>
  <si>
    <t>130,576.00</t>
  </si>
  <si>
    <t>555,000.00</t>
  </si>
  <si>
    <t>18,500.00</t>
  </si>
  <si>
    <t>546,290.24</t>
  </si>
  <si>
    <t>515,890.00</t>
  </si>
  <si>
    <t>11,250,000.00</t>
  </si>
  <si>
    <t>1,089,415.24</t>
  </si>
  <si>
    <t>125,075.00</t>
  </si>
  <si>
    <t>86,550.00</t>
  </si>
  <si>
    <t>3,074,953.33</t>
  </si>
  <si>
    <t>111,471,160.00</t>
  </si>
  <si>
    <t>847,344.00</t>
  </si>
  <si>
    <t>418,679.51</t>
  </si>
  <si>
    <t>1,087,499.20</t>
  </si>
  <si>
    <t>234,194.00</t>
  </si>
  <si>
    <t>55,493.00</t>
  </si>
  <si>
    <t>449,100.00</t>
  </si>
  <si>
    <t>261,567.88</t>
  </si>
  <si>
    <t>999,972.00</t>
  </si>
  <si>
    <t>566,000.00</t>
  </si>
  <si>
    <t>164,230.00</t>
  </si>
  <si>
    <t>25,900.00</t>
  </si>
  <si>
    <t>215,097.00</t>
  </si>
  <si>
    <t>9,998,800.00</t>
  </si>
  <si>
    <t>113,000.00</t>
  </si>
  <si>
    <t>141,183.00</t>
  </si>
  <si>
    <t>1,021,500.00</t>
  </si>
  <si>
    <t>31,323.24</t>
  </si>
  <si>
    <t>3,520,000.00</t>
  </si>
  <si>
    <t>34,200.00</t>
  </si>
  <si>
    <t>1,009,245.00</t>
  </si>
  <si>
    <t>80,850.00</t>
  </si>
  <si>
    <t>9,649,699.63</t>
  </si>
  <si>
    <t>1,470,339.00</t>
  </si>
  <si>
    <t>277,146.00</t>
  </si>
  <si>
    <t>253,375.80</t>
  </si>
  <si>
    <t>329,234.00</t>
  </si>
  <si>
    <t>101,775.00</t>
  </si>
  <si>
    <t>1,330,000.00</t>
  </si>
  <si>
    <t>64,082.00</t>
  </si>
  <si>
    <t>9,649,378.99</t>
  </si>
  <si>
    <t>143,271.72</t>
  </si>
  <si>
    <t>486,725.71</t>
  </si>
  <si>
    <t>19,391.20</t>
  </si>
  <si>
    <t>998,400.67</t>
  </si>
  <si>
    <t>689,461.60</t>
  </si>
  <si>
    <t>1,998,000.00</t>
  </si>
  <si>
    <t>16,375.00</t>
  </si>
  <si>
    <t>605,200.00</t>
  </si>
  <si>
    <t>261,727.00</t>
  </si>
  <si>
    <t>46,190.00</t>
  </si>
  <si>
    <t>134,994.00</t>
  </si>
  <si>
    <t>6,705,961.00</t>
  </si>
  <si>
    <t>999,600.00</t>
  </si>
  <si>
    <t>1,576,453.05</t>
  </si>
  <si>
    <t>52,674.67</t>
  </si>
  <si>
    <t>402,708.00</t>
  </si>
  <si>
    <t>72,447.00</t>
  </si>
  <si>
    <t>268,443.00</t>
  </si>
  <si>
    <t>299,650.00</t>
  </si>
  <si>
    <t>515,710.00</t>
  </si>
  <si>
    <t>69,399.54</t>
  </si>
  <si>
    <t>8,996,660.12</t>
  </si>
  <si>
    <t>15,250.00</t>
  </si>
  <si>
    <t>226,999.00</t>
  </si>
  <si>
    <t>312,793.59</t>
  </si>
  <si>
    <t>199,900.00</t>
  </si>
  <si>
    <t>572,000.00</t>
  </si>
  <si>
    <t>270,694.97</t>
  </si>
  <si>
    <t>3,430,280.00</t>
  </si>
  <si>
    <t>43,779,916.26</t>
  </si>
  <si>
    <t>45,040.00</t>
  </si>
  <si>
    <t>463,440.00</t>
  </si>
  <si>
    <t>133,220.00</t>
  </si>
  <si>
    <t>707,602.00</t>
  </si>
  <si>
    <t>1,267,470.16</t>
  </si>
  <si>
    <t>4,932.00</t>
  </si>
  <si>
    <t>157,248.00</t>
  </si>
  <si>
    <t>1,556,250.00</t>
  </si>
  <si>
    <t>422,200.00</t>
  </si>
  <si>
    <t>54,600.00</t>
  </si>
  <si>
    <t>59,433,227.18</t>
  </si>
  <si>
    <t>52,390.00</t>
  </si>
  <si>
    <t>47,425,000.00</t>
  </si>
  <si>
    <t>414,450.00</t>
  </si>
  <si>
    <t>222,500.00</t>
  </si>
  <si>
    <t>199,950.00</t>
  </si>
  <si>
    <t>2,193,590.69</t>
  </si>
  <si>
    <t>128,829.00</t>
  </si>
  <si>
    <t>371,500.00</t>
  </si>
  <si>
    <t>41,075.00</t>
  </si>
  <si>
    <t>9,999,998.40</t>
  </si>
  <si>
    <t>185,845.00</t>
  </si>
  <si>
    <t>339,500.00</t>
  </si>
  <si>
    <t>1,288,407.49</t>
  </si>
  <si>
    <t>2,155,669.80</t>
  </si>
  <si>
    <t>1,025,801.70</t>
  </si>
  <si>
    <t>1,029,514.00</t>
  </si>
  <si>
    <t>9,872,500.00</t>
  </si>
  <si>
    <t>223,478.00</t>
  </si>
  <si>
    <t>57,825.00</t>
  </si>
  <si>
    <t>2,030.00</t>
  </si>
  <si>
    <t>15,450,074.50</t>
  </si>
  <si>
    <t>89,990.00</t>
  </si>
  <si>
    <t>2,206,010.87</t>
  </si>
  <si>
    <t>310,275.00</t>
  </si>
  <si>
    <t>249,901.09</t>
  </si>
  <si>
    <t>620,720.00</t>
  </si>
  <si>
    <t>304,000.00</t>
  </si>
  <si>
    <t>64,224.00</t>
  </si>
  <si>
    <t>1,457,617.88</t>
  </si>
  <si>
    <t>1,942,446.72</t>
  </si>
  <si>
    <t>271,100.00</t>
  </si>
  <si>
    <t>22,000,000.00</t>
  </si>
  <si>
    <t>915,399.00</t>
  </si>
  <si>
    <t>1,999,885.99</t>
  </si>
  <si>
    <t>5,003,520.00</t>
  </si>
  <si>
    <t>1,999,500.00</t>
  </si>
  <si>
    <t>788,445.00</t>
  </si>
  <si>
    <t>4,223,150.00</t>
  </si>
  <si>
    <t>3,528,737.37</t>
  </si>
  <si>
    <t>12,080.29</t>
  </si>
  <si>
    <t>2,998,500.00</t>
  </si>
  <si>
    <t>4,998,950.00</t>
  </si>
  <si>
    <t>136,800.00</t>
  </si>
  <si>
    <t>1,460,435.01</t>
  </si>
  <si>
    <t>940,500.00</t>
  </si>
  <si>
    <t>86,350.00</t>
  </si>
  <si>
    <t>300,105.00</t>
  </si>
  <si>
    <t>1,931,941.95</t>
  </si>
  <si>
    <t>74,500.00</t>
  </si>
  <si>
    <t>2,461,462.99</t>
  </si>
  <si>
    <t>260,255.33</t>
  </si>
  <si>
    <t>88,956,213.96</t>
  </si>
  <si>
    <t>145,900.00</t>
  </si>
  <si>
    <t>99,500.00</t>
  </si>
  <si>
    <t>392,000.00</t>
  </si>
  <si>
    <t>110,000,000.00</t>
  </si>
  <si>
    <t>73,857.00</t>
  </si>
  <si>
    <t>127,600.00</t>
  </si>
  <si>
    <t>65,250.00</t>
  </si>
  <si>
    <t>15,400,000.00</t>
  </si>
  <si>
    <t>114,542.00</t>
  </si>
  <si>
    <t>97,020.00</t>
  </si>
  <si>
    <t>5,010,010.00</t>
  </si>
  <si>
    <t>589,369.20</t>
  </si>
  <si>
    <t>2,041,351.05</t>
  </si>
  <si>
    <t>2,485,785.00</t>
  </si>
  <si>
    <t>499,500.78</t>
  </si>
  <si>
    <t>65,126.00</t>
  </si>
  <si>
    <t>633,606.80</t>
  </si>
  <si>
    <t>101,600.00</t>
  </si>
  <si>
    <t>173,440.00</t>
  </si>
  <si>
    <t>524,900.00</t>
  </si>
  <si>
    <t>4,999,000.00</t>
  </si>
  <si>
    <t>776,376.32</t>
  </si>
  <si>
    <t>1,616,375.00</t>
  </si>
  <si>
    <t>477,000.00</t>
  </si>
  <si>
    <t>197,450.00</t>
  </si>
  <si>
    <t>126,564.00</t>
  </si>
  <si>
    <t>70,190.00</t>
  </si>
  <si>
    <t>361,000.00</t>
  </si>
  <si>
    <t>113,925.00</t>
  </si>
  <si>
    <t>3,322,212.51</t>
  </si>
  <si>
    <t>120,799.37</t>
  </si>
  <si>
    <t>133,132.00</t>
  </si>
  <si>
    <t>393,500.00</t>
  </si>
  <si>
    <t>497,161.00</t>
  </si>
  <si>
    <t>224,341.52</t>
  </si>
  <si>
    <t>1,970,000.00</t>
  </si>
  <si>
    <t>137,000.00</t>
  </si>
  <si>
    <t>42,276,050.00</t>
  </si>
  <si>
    <t>1,106,000.00</t>
  </si>
  <si>
    <t>306,890.00</t>
  </si>
  <si>
    <t>262,450.00</t>
  </si>
  <si>
    <t>999,810.00</t>
  </si>
  <si>
    <t>696,164.00</t>
  </si>
  <si>
    <t>589,000.00</t>
  </si>
  <si>
    <t>73,625.00</t>
  </si>
  <si>
    <t>1,605,384.44</t>
  </si>
  <si>
    <t>250,954.75</t>
  </si>
  <si>
    <t>102,996.75</t>
  </si>
  <si>
    <t>1,012,290.00</t>
  </si>
  <si>
    <t>150,600.00</t>
  </si>
  <si>
    <t>998,000.00</t>
  </si>
  <si>
    <t>61,600.00</t>
  </si>
  <si>
    <t>240,580.00</t>
  </si>
  <si>
    <t>700,600.00</t>
  </si>
  <si>
    <t>1,488,450.00</t>
  </si>
  <si>
    <t>308,276.00</t>
  </si>
  <si>
    <t>105,469.75</t>
  </si>
  <si>
    <t>1,083,940.00</t>
  </si>
  <si>
    <t>115,174.00</t>
  </si>
  <si>
    <t>2,643,960.34</t>
  </si>
  <si>
    <t>1,375,100.00</t>
  </si>
  <si>
    <t>711,055.50</t>
  </si>
  <si>
    <t>92,600.00</t>
  </si>
  <si>
    <t>1,704,061.00</t>
  </si>
  <si>
    <t>306,280.00</t>
  </si>
  <si>
    <t>1,131,000.00</t>
  </si>
  <si>
    <t>78,759.60</t>
  </si>
  <si>
    <t>138,915.00</t>
  </si>
  <si>
    <t>69,340.00</t>
  </si>
  <si>
    <t>1,061,219.63</t>
  </si>
  <si>
    <t>396,000.00</t>
  </si>
  <si>
    <t>229,451.18</t>
  </si>
  <si>
    <t>124,190.00</t>
  </si>
  <si>
    <t>697,076.59</t>
  </si>
  <si>
    <t>484,315.86</t>
  </si>
  <si>
    <t>84,743.00</t>
  </si>
  <si>
    <t>14,850,000.00</t>
  </si>
  <si>
    <t>152,592.00</t>
  </si>
  <si>
    <t>936,000.00</t>
  </si>
  <si>
    <t>991,370.00</t>
  </si>
  <si>
    <t>159,200.00</t>
  </si>
  <si>
    <t>421,408.33</t>
  </si>
  <si>
    <t>333,700.00</t>
  </si>
  <si>
    <t>888,000.00</t>
  </si>
  <si>
    <t>799,999.00</t>
  </si>
  <si>
    <t>909,587.90</t>
  </si>
  <si>
    <t>30,415.00</t>
  </si>
  <si>
    <t>59,860.00</t>
  </si>
  <si>
    <t>68,122.00</t>
  </si>
  <si>
    <t>113,720.00</t>
  </si>
  <si>
    <t>465,000.00</t>
  </si>
  <si>
    <t>191,340.00</t>
  </si>
  <si>
    <t>199,933.60</t>
  </si>
  <si>
    <t>799,900.00</t>
  </si>
  <si>
    <t>66,745.00</t>
  </si>
  <si>
    <t>1,102,881.65</t>
  </si>
  <si>
    <t>999,905.72</t>
  </si>
  <si>
    <t>793,874.40</t>
  </si>
  <si>
    <t>702,000.00</t>
  </si>
  <si>
    <t>99,570.00</t>
  </si>
  <si>
    <t>427,000.00</t>
  </si>
  <si>
    <t>1,262,454.59</t>
  </si>
  <si>
    <t>2,344,069.35</t>
  </si>
  <si>
    <t>2,134,160.00</t>
  </si>
  <si>
    <t>2,168,000.00</t>
  </si>
  <si>
    <t>148,000.00</t>
  </si>
  <si>
    <t>8,230,244.62</t>
  </si>
  <si>
    <t>57,400.00</t>
  </si>
  <si>
    <t>106,200.00</t>
  </si>
  <si>
    <t>686,023.40</t>
  </si>
  <si>
    <t>217,585.54</t>
  </si>
  <si>
    <t>84,800.00</t>
  </si>
  <si>
    <t>111,300.00</t>
  </si>
  <si>
    <t>107,939.00</t>
  </si>
  <si>
    <t>765,718.00</t>
  </si>
  <si>
    <t>700,927.50</t>
  </si>
  <si>
    <t>81,454.00</t>
  </si>
  <si>
    <t>5,789,746.00</t>
  </si>
  <si>
    <t>205,421.00</t>
  </si>
  <si>
    <t>423,606.49</t>
  </si>
  <si>
    <t>175,150.00</t>
  </si>
  <si>
    <t>3,602,500.00</t>
  </si>
  <si>
    <t>125,100.00</t>
  </si>
  <si>
    <t>591,564.41</t>
  </si>
  <si>
    <t>2,870,000.00</t>
  </si>
  <si>
    <t>453,080.00</t>
  </si>
  <si>
    <t>557,657.63</t>
  </si>
  <si>
    <t>3,572,715.00</t>
  </si>
  <si>
    <t>8,700,000.00</t>
  </si>
  <si>
    <t>99,800.00</t>
  </si>
  <si>
    <t>521,550.00</t>
  </si>
  <si>
    <t>765,298.50</t>
  </si>
  <si>
    <t>75,405.00</t>
  </si>
  <si>
    <t>363,203.98</t>
  </si>
  <si>
    <t>58,200.00</t>
  </si>
  <si>
    <t>6,240.00</t>
  </si>
  <si>
    <t>192,352.00</t>
  </si>
  <si>
    <t>16,320,281.96</t>
  </si>
  <si>
    <t>520,708.00</t>
  </si>
  <si>
    <t>274,400.00</t>
  </si>
  <si>
    <t>141,775.20</t>
  </si>
  <si>
    <t>955,900.00</t>
  </si>
  <si>
    <t>6,279,000.00</t>
  </si>
  <si>
    <t>53,606.00</t>
  </si>
  <si>
    <t>133,300.00</t>
  </si>
  <si>
    <t>1,453,540.91</t>
  </si>
  <si>
    <t>97,289.00</t>
  </si>
  <si>
    <t>9,231,362.00</t>
  </si>
  <si>
    <t>377,274.00</t>
  </si>
  <si>
    <t>224,500.00</t>
  </si>
  <si>
    <t>54,260.00</t>
  </si>
  <si>
    <t>995,393.36</t>
  </si>
  <si>
    <t>788,800.00</t>
  </si>
  <si>
    <t>1,620,000.00</t>
  </si>
  <si>
    <t>248,227.75</t>
  </si>
  <si>
    <t>164,295.40</t>
  </si>
  <si>
    <t>1,997,510.60</t>
  </si>
  <si>
    <t>187,862.12</t>
  </si>
  <si>
    <t>272,000.00</t>
  </si>
  <si>
    <t>2,704,800.00</t>
  </si>
  <si>
    <t>35,880.00</t>
  </si>
  <si>
    <t>8,534,237.75</t>
  </si>
  <si>
    <t>1,994,328.13</t>
  </si>
  <si>
    <t>34,398,000.00</t>
  </si>
  <si>
    <t>1,484,000.00</t>
  </si>
  <si>
    <t>497,341.75</t>
  </si>
  <si>
    <t>999,895.00</t>
  </si>
  <si>
    <t>38,220,000.00</t>
  </si>
  <si>
    <t>108,100.00</t>
  </si>
  <si>
    <t>768,964.53</t>
  </si>
  <si>
    <t>44,776,000.00</t>
  </si>
  <si>
    <t>604,000.00</t>
  </si>
  <si>
    <t>112,523.80</t>
  </si>
  <si>
    <t>28,945,994.31</t>
  </si>
  <si>
    <t>49,900.00</t>
  </si>
  <si>
    <t>1,001,020.00</t>
  </si>
  <si>
    <t>1,875,510.45</t>
  </si>
  <si>
    <t>1,374,189.00</t>
  </si>
  <si>
    <t>670,577.88</t>
  </si>
  <si>
    <t>636,000.00</t>
  </si>
  <si>
    <t>3,140,280.00</t>
  </si>
  <si>
    <t>289,551.00</t>
  </si>
  <si>
    <t>81,180.86</t>
  </si>
  <si>
    <t>949,000.00</t>
  </si>
  <si>
    <t>3,329,250.00</t>
  </si>
  <si>
    <t>94,870.00</t>
  </si>
  <si>
    <t>4,057,200.00</t>
  </si>
  <si>
    <t>1,077,719.51</t>
  </si>
  <si>
    <t>1,470,636.43</t>
  </si>
  <si>
    <t>217,145.00</t>
  </si>
  <si>
    <t>1,499,995.47</t>
  </si>
  <si>
    <t>283,671.15</t>
  </si>
  <si>
    <t>284,650.00</t>
  </si>
  <si>
    <t>9,198,777.00</t>
  </si>
  <si>
    <t>137,500.00</t>
  </si>
  <si>
    <t>840,376.81</t>
  </si>
  <si>
    <t>822,900.00</t>
  </si>
  <si>
    <t>1,527,600.00</t>
  </si>
  <si>
    <t>365,376.92</t>
  </si>
  <si>
    <t>3,381,000.00</t>
  </si>
  <si>
    <t>228,500.00</t>
  </si>
  <si>
    <t>4,678,435.00</t>
  </si>
  <si>
    <t>1,899,685.00</t>
  </si>
  <si>
    <t>51,148.00</t>
  </si>
  <si>
    <t>2,946,195.24</t>
  </si>
  <si>
    <t>1,447,996.00</t>
  </si>
  <si>
    <t>1,201,840.00</t>
  </si>
  <si>
    <t>106,810.00</t>
  </si>
  <si>
    <t>4,921,560.00</t>
  </si>
  <si>
    <t>3,532,430.34</t>
  </si>
  <si>
    <t>1,544,752.00</t>
  </si>
  <si>
    <t>75,142.47</t>
  </si>
  <si>
    <t>1,600,514.50</t>
  </si>
  <si>
    <t>991,335.00</t>
  </si>
  <si>
    <t>194,024.00</t>
  </si>
  <si>
    <t>1,324,500.34</t>
  </si>
  <si>
    <t>204,390.00</t>
  </si>
  <si>
    <t>317,440.00</t>
  </si>
  <si>
    <t>9,960,000.00</t>
  </si>
  <si>
    <t>9,059,139.00</t>
  </si>
  <si>
    <t>1,488,000.00</t>
  </si>
  <si>
    <t>2,185,662.00</t>
  </si>
  <si>
    <t>2,797,650.00</t>
  </si>
  <si>
    <t>1,921,000.00</t>
  </si>
  <si>
    <t>4,818,240.00</t>
  </si>
  <si>
    <t>63,810.00</t>
  </si>
  <si>
    <t>48,250,000.00</t>
  </si>
  <si>
    <t>8,967,344.00</t>
  </si>
  <si>
    <t>1,828,008.00</t>
  </si>
  <si>
    <t>999,655.00</t>
  </si>
  <si>
    <t>3,415,500.00</t>
  </si>
  <si>
    <t>1,292,500.00</t>
  </si>
  <si>
    <t>1,990,740.00</t>
  </si>
  <si>
    <t>1,699,300.00</t>
  </si>
  <si>
    <t>8,428,821.00</t>
  </si>
  <si>
    <t>489,408.00</t>
  </si>
  <si>
    <t>2,067,720.00</t>
  </si>
  <si>
    <t>2,027,772.00</t>
  </si>
  <si>
    <t>1,778,099.33</t>
  </si>
  <si>
    <t>2,923,290.45</t>
  </si>
  <si>
    <t>431,650.00</t>
  </si>
  <si>
    <t>2,130,960.00</t>
  </si>
  <si>
    <t>29,537,024.80</t>
  </si>
  <si>
    <t>987,036.12</t>
  </si>
  <si>
    <t>1,058,364.88</t>
  </si>
  <si>
    <t>9,966,078.53</t>
  </si>
  <si>
    <t>559,838.00</t>
  </si>
  <si>
    <t>235,704.00</t>
  </si>
  <si>
    <t>1,327,559.00</t>
  </si>
  <si>
    <t>1,960,000.00</t>
  </si>
  <si>
    <t>1,965,762.71</t>
  </si>
  <si>
    <t>82,162.00</t>
  </si>
  <si>
    <t>1,039,080.40</t>
  </si>
  <si>
    <t>841,386.00</t>
  </si>
  <si>
    <t>2,275,000.00</t>
  </si>
  <si>
    <t>541,828.35</t>
  </si>
  <si>
    <t>1,545,491.66</t>
  </si>
  <si>
    <t>9,900,000.00</t>
  </si>
  <si>
    <t>215,825.00</t>
  </si>
  <si>
    <t>885,913.25</t>
  </si>
  <si>
    <t>684,859.00</t>
  </si>
  <si>
    <t>24,435.00</t>
  </si>
  <si>
    <t>331,281.94</t>
  </si>
  <si>
    <t>91,228.79</t>
  </si>
  <si>
    <t>274,928.00</t>
  </si>
  <si>
    <t>78,450.00</t>
  </si>
  <si>
    <t>89,935.00</t>
  </si>
  <si>
    <t>96,130.72</t>
  </si>
  <si>
    <t>29,700,000.00</t>
  </si>
  <si>
    <t>2,659,620.00</t>
  </si>
  <si>
    <t>73,150.00</t>
  </si>
  <si>
    <t>1,316,400.00</t>
  </si>
  <si>
    <t>266,201.13</t>
  </si>
  <si>
    <t>2,016,700.00</t>
  </si>
  <si>
    <t>1,633,600.00</t>
  </si>
  <si>
    <t>2,773,497.92</t>
  </si>
  <si>
    <t>1,868,360.00</t>
  </si>
  <si>
    <t>19,759,781.29</t>
  </si>
  <si>
    <t>944,640.00</t>
  </si>
  <si>
    <t>1,169,700.00</t>
  </si>
  <si>
    <t>1,370,499.00</t>
  </si>
  <si>
    <t>62,232.40</t>
  </si>
  <si>
    <t>1,353,440.00</t>
  </si>
  <si>
    <t>246,000,000.00</t>
  </si>
  <si>
    <t>1,909,040.00</t>
  </si>
  <si>
    <t>1,145,000.00</t>
  </si>
  <si>
    <t>2,704,164.03</t>
  </si>
  <si>
    <t>1,273,975.00</t>
  </si>
  <si>
    <t>26,810.00</t>
  </si>
  <si>
    <t>3,279,774.80</t>
  </si>
  <si>
    <t>269,073.00</t>
  </si>
  <si>
    <t>2,188,133.74</t>
  </si>
  <si>
    <t>1,843,300.00</t>
  </si>
  <si>
    <t>2,670,000.00</t>
  </si>
  <si>
    <t>1,766,320.00</t>
  </si>
  <si>
    <t>1,894,080.00</t>
  </si>
  <si>
    <t>357,500.00</t>
  </si>
  <si>
    <t>1,284,560.00</t>
  </si>
  <si>
    <t>1,333,100.00</t>
  </si>
  <si>
    <t>7,425,000.00</t>
  </si>
  <si>
    <t>1,373,780.00</t>
  </si>
  <si>
    <t>1,639,220.00</t>
  </si>
  <si>
    <t>2,475,000.00</t>
  </si>
  <si>
    <t>131,060.20</t>
  </si>
  <si>
    <t>402,000.00</t>
  </si>
  <si>
    <t>1,810,431.53</t>
  </si>
  <si>
    <t>67,883.95</t>
  </si>
  <si>
    <t>12,933.33</t>
  </si>
  <si>
    <t>1,320,371.20</t>
  </si>
  <si>
    <t>1,999,704.65</t>
  </si>
  <si>
    <t>1,688,000.00</t>
  </si>
  <si>
    <t>3,290,374.08</t>
  </si>
  <si>
    <t>8,430,062.01</t>
  </si>
  <si>
    <t>83,960.00</t>
  </si>
  <si>
    <t>3,408,750.00</t>
  </si>
  <si>
    <t>2,999,622.50</t>
  </si>
  <si>
    <t>3,999,978.44</t>
  </si>
  <si>
    <t>1,533,186.04</t>
  </si>
  <si>
    <t>1,131,895.87</t>
  </si>
  <si>
    <t>1,500,880.00</t>
  </si>
  <si>
    <t>2,379,960.27</t>
  </si>
  <si>
    <t>1,428,228.40</t>
  </si>
  <si>
    <t>120,000,000.00</t>
  </si>
  <si>
    <t>250,000,000.00</t>
  </si>
  <si>
    <t>1,400,511.95</t>
  </si>
  <si>
    <t>2,849,945.90</t>
  </si>
  <si>
    <t>2,993,590.35</t>
  </si>
  <si>
    <t>9,250,000.00</t>
  </si>
  <si>
    <t>982,982.00</t>
  </si>
  <si>
    <t>295,798.00</t>
  </si>
  <si>
    <t>2,208,540.48</t>
  </si>
  <si>
    <t>1,754,536.00</t>
  </si>
  <si>
    <t>571,949,316.04</t>
  </si>
  <si>
    <t>899,370.00</t>
  </si>
  <si>
    <t>2,558,600.00</t>
  </si>
  <si>
    <t>1,441,439.83</t>
  </si>
  <si>
    <t>104,265.07</t>
  </si>
  <si>
    <t>6,567,225.00</t>
  </si>
  <si>
    <t>769,841.00</t>
  </si>
  <si>
    <t>994,000.00</t>
  </si>
  <si>
    <t>28,369,518.41</t>
  </si>
  <si>
    <t>3,820,840.00</t>
  </si>
  <si>
    <t>998,374.89</t>
  </si>
  <si>
    <t>998,537.50</t>
  </si>
  <si>
    <t>761,350.26</t>
  </si>
  <si>
    <t>547,950.00</t>
  </si>
  <si>
    <t>3,015,000.00</t>
  </si>
  <si>
    <t>111,225.00</t>
  </si>
  <si>
    <t>105,610.00</t>
  </si>
  <si>
    <t>419,000.00</t>
  </si>
  <si>
    <t>66,050.00</t>
  </si>
  <si>
    <t>149,648.03</t>
  </si>
  <si>
    <t>263,240.00</t>
  </si>
  <si>
    <t>4,181,511.86</t>
  </si>
  <si>
    <t>998,900.00</t>
  </si>
  <si>
    <t>256,670.00</t>
  </si>
  <si>
    <t>52,199.00</t>
  </si>
  <si>
    <t>3,691,143.00</t>
  </si>
  <si>
    <t>11,641,443.54</t>
  </si>
  <si>
    <t>449,294.38</t>
  </si>
  <si>
    <t>358,288.05</t>
  </si>
  <si>
    <t>2,470,000.00</t>
  </si>
  <si>
    <t>199,988.00</t>
  </si>
  <si>
    <t>199,849.26</t>
  </si>
  <si>
    <t>74,164.00</t>
  </si>
  <si>
    <t>1,781,400.00</t>
  </si>
  <si>
    <t>676,525.00</t>
  </si>
  <si>
    <t>67,600.00</t>
  </si>
  <si>
    <t>75,023.00</t>
  </si>
  <si>
    <t>189,976.00</t>
  </si>
  <si>
    <t>151,631.00</t>
  </si>
  <si>
    <t>8,321,764.83</t>
  </si>
  <si>
    <t>1,921,500.00</t>
  </si>
  <si>
    <t>239,723.60</t>
  </si>
  <si>
    <t>2,219,748.00</t>
  </si>
  <si>
    <t>138,290.00</t>
  </si>
  <si>
    <t>2,078,280.00</t>
  </si>
  <si>
    <t>678,730.75</t>
  </si>
  <si>
    <t>535,970.00</t>
  </si>
  <si>
    <t>2,010,859.56</t>
  </si>
  <si>
    <t>319,954.70</t>
  </si>
  <si>
    <t>253,792.00</t>
  </si>
  <si>
    <t>193,795.00</t>
  </si>
  <si>
    <t>127,500.00</t>
  </si>
  <si>
    <t>229,919.00</t>
  </si>
  <si>
    <t>1,420,000.00</t>
  </si>
  <si>
    <t>322,950.00</t>
  </si>
  <si>
    <t>134,600.00</t>
  </si>
  <si>
    <t>3,336,547.00</t>
  </si>
  <si>
    <t>74,065.00</t>
  </si>
  <si>
    <t>345,249.62</t>
  </si>
  <si>
    <t>384,003.67</t>
  </si>
  <si>
    <t>677,148.10</t>
  </si>
  <si>
    <t>240,859.24</t>
  </si>
  <si>
    <t>386,288.86</t>
  </si>
  <si>
    <t>296,191.35</t>
  </si>
  <si>
    <t>96,953.08</t>
  </si>
  <si>
    <t>97,718.81</t>
  </si>
  <si>
    <t>74,610.00</t>
  </si>
  <si>
    <t>1,019,300.00</t>
  </si>
  <si>
    <t>846,000.00</t>
  </si>
  <si>
    <t>242,382.70</t>
  </si>
  <si>
    <t>72,450.00</t>
  </si>
  <si>
    <t>100,196.00</t>
  </si>
  <si>
    <t>19,542,956.62</t>
  </si>
  <si>
    <t>1,839,126.29</t>
  </si>
  <si>
    <t>1,991,135.32</t>
  </si>
  <si>
    <t>193,906.16</t>
  </si>
  <si>
    <t>3,415,929.00</t>
  </si>
  <si>
    <t>292,125.00</t>
  </si>
  <si>
    <t>1,358,095.00</t>
  </si>
  <si>
    <t>2,754,950.00</t>
  </si>
  <si>
    <t>3,484,254.50</t>
  </si>
  <si>
    <t>64,600.00</t>
  </si>
  <si>
    <t>212,679,527.62</t>
  </si>
  <si>
    <t>211,970.00</t>
  </si>
  <si>
    <t>4,749,885.43</t>
  </si>
  <si>
    <t>341,315.00</t>
  </si>
  <si>
    <t>1,648,945.15</t>
  </si>
  <si>
    <t>9,992,996.76</t>
  </si>
  <si>
    <t>1,799,168.88</t>
  </si>
  <si>
    <t>1,614,999.40</t>
  </si>
  <si>
    <t>186,301.00</t>
  </si>
  <si>
    <t>686,932.00</t>
  </si>
  <si>
    <t>3,486,284.63</t>
  </si>
  <si>
    <t>3,886,565.35</t>
  </si>
  <si>
    <t>8,980,000.00</t>
  </si>
  <si>
    <t>9,997,104.51</t>
  </si>
  <si>
    <t>337,792.00</t>
  </si>
  <si>
    <t>401,020.00</t>
  </si>
  <si>
    <t>1,999,998.90</t>
  </si>
  <si>
    <t>1,329,750.00</t>
  </si>
  <si>
    <t>2,929,889.57</t>
  </si>
  <si>
    <t>26,740.00</t>
  </si>
  <si>
    <t>230,873.88</t>
  </si>
  <si>
    <t>301,148.00</t>
  </si>
  <si>
    <t>66,160.00</t>
  </si>
  <si>
    <t>312,370.00</t>
  </si>
  <si>
    <t>4,966,355.56</t>
  </si>
  <si>
    <t>36,340.00</t>
  </si>
  <si>
    <t>10,205,218.32</t>
  </si>
  <si>
    <t>1,531,920.00</t>
  </si>
  <si>
    <t>60,725.00</t>
  </si>
  <si>
    <t>2,496,016.25</t>
  </si>
  <si>
    <t>33,607.84</t>
  </si>
  <si>
    <t>181,440.00</t>
  </si>
  <si>
    <t>496,074.00</t>
  </si>
  <si>
    <t>2,610,000.00</t>
  </si>
  <si>
    <t>228,400.00</t>
  </si>
  <si>
    <t>4,420,350.00</t>
  </si>
  <si>
    <t>2,295,000.00</t>
  </si>
  <si>
    <t>3,367,457.00</t>
  </si>
  <si>
    <t>326,647.50</t>
  </si>
  <si>
    <t>499,970.00</t>
  </si>
  <si>
    <t>397,662.50</t>
  </si>
  <si>
    <t>394,985.96</t>
  </si>
  <si>
    <t>244,320.50</t>
  </si>
  <si>
    <t>2,346,956.44</t>
  </si>
  <si>
    <t>1,720,000.00</t>
  </si>
  <si>
    <t>228,300.00</t>
  </si>
  <si>
    <t>3,732,500.00</t>
  </si>
  <si>
    <t>2,499,114.17</t>
  </si>
  <si>
    <t>964,850.00</t>
  </si>
  <si>
    <t>493,620.00</t>
  </si>
  <si>
    <t>34,423.70</t>
  </si>
  <si>
    <t>905,000.00</t>
  </si>
  <si>
    <t>999,999.95</t>
  </si>
  <si>
    <t>3,009,960.88</t>
  </si>
  <si>
    <t>1,757,545.15</t>
  </si>
  <si>
    <t>29,500.00</t>
  </si>
  <si>
    <t>1,102,421.40</t>
  </si>
  <si>
    <t>1,056,000.00</t>
  </si>
  <si>
    <t>1,635,480.00</t>
  </si>
  <si>
    <t>143,640.00</t>
  </si>
  <si>
    <t>36,626.00</t>
  </si>
  <si>
    <t>204,750.00</t>
  </si>
  <si>
    <t>78,913,607.91</t>
  </si>
  <si>
    <t>118,838.00</t>
  </si>
  <si>
    <t>622,620.99</t>
  </si>
  <si>
    <t>6,289,939.00</t>
  </si>
  <si>
    <t>1,460,000.00</t>
  </si>
  <si>
    <t>350,100.00</t>
  </si>
  <si>
    <t>261,726.71</t>
  </si>
  <si>
    <t>1,230,000.00</t>
  </si>
  <si>
    <t>635,200.00</t>
  </si>
  <si>
    <t>77,620.00</t>
  </si>
  <si>
    <t>43,986.00</t>
  </si>
  <si>
    <t>2,343,870.00</t>
  </si>
  <si>
    <t>4,947,300.00</t>
  </si>
  <si>
    <t>219,000.00</t>
  </si>
  <si>
    <t>29,600.00</t>
  </si>
  <si>
    <t>1,707,000.00</t>
  </si>
  <si>
    <t>1,573,907.89</t>
  </si>
  <si>
    <t>53,676.84</t>
  </si>
  <si>
    <t>875,205.00</t>
  </si>
  <si>
    <t>1,518,250.00</t>
  </si>
  <si>
    <t>12,299,000.00</t>
  </si>
  <si>
    <t>99,700.00</t>
  </si>
  <si>
    <t>36,416.00</t>
  </si>
  <si>
    <t>52,950,000.00</t>
  </si>
  <si>
    <t>39,039.00</t>
  </si>
  <si>
    <t>33,140.00</t>
  </si>
  <si>
    <t>111,111.49</t>
  </si>
  <si>
    <t>69,110.00</t>
  </si>
  <si>
    <t>368,560.00</t>
  </si>
  <si>
    <t>459,984.00</t>
  </si>
  <si>
    <t>400,015.80</t>
  </si>
  <si>
    <t>1,368,500.00</t>
  </si>
  <si>
    <t>48,834,478.00</t>
  </si>
  <si>
    <t>99,993.82</t>
  </si>
  <si>
    <t>797,500.00</t>
  </si>
  <si>
    <t>1,866,821.00</t>
  </si>
  <si>
    <t>389,973.00</t>
  </si>
  <si>
    <t>808,329.00</t>
  </si>
  <si>
    <t>99,999.02</t>
  </si>
  <si>
    <t>31,500,000.00</t>
  </si>
  <si>
    <t>54,700.00</t>
  </si>
  <si>
    <t>1,869,255.00</t>
  </si>
  <si>
    <t>1,517,150.00</t>
  </si>
  <si>
    <t>315,538.00</t>
  </si>
  <si>
    <t>2,175,000.00</t>
  </si>
  <si>
    <t>54,349.01</t>
  </si>
  <si>
    <t>520,000.00</t>
  </si>
  <si>
    <t>725,475.33</t>
  </si>
  <si>
    <t>11,610,000.00</t>
  </si>
  <si>
    <t>2,880,000.00</t>
  </si>
  <si>
    <t>3,100,000.00</t>
  </si>
  <si>
    <t>572,690.70</t>
  </si>
  <si>
    <t>30,795.00</t>
  </si>
  <si>
    <t>1,299,400.00</t>
  </si>
  <si>
    <t>45,980.00</t>
  </si>
  <si>
    <t>597,040.00</t>
  </si>
  <si>
    <t>335,150.00</t>
  </si>
  <si>
    <t>110,652.00</t>
  </si>
  <si>
    <t>74,750.00</t>
  </si>
  <si>
    <t>1,047,832.39</t>
  </si>
  <si>
    <t>1,040,500.00</t>
  </si>
  <si>
    <t>449,695.00</t>
  </si>
  <si>
    <t>415,149.00</t>
  </si>
  <si>
    <t>63,960.00</t>
  </si>
  <si>
    <t>2,704,500.00</t>
  </si>
  <si>
    <t>183,650.00</t>
  </si>
  <si>
    <t>58,204.65</t>
  </si>
  <si>
    <t>121,160.00</t>
  </si>
  <si>
    <t>420,840.00</t>
  </si>
  <si>
    <t>1,322,500.00</t>
  </si>
  <si>
    <t>201,750.00</t>
  </si>
  <si>
    <t>528,293.00</t>
  </si>
  <si>
    <t>623,700.00</t>
  </si>
  <si>
    <t>666,659.25</t>
  </si>
  <si>
    <t>1,140,000.00</t>
  </si>
  <si>
    <t>399,660.19</t>
  </si>
  <si>
    <t>5,493,862.52</t>
  </si>
  <si>
    <t>11,000,000.00</t>
  </si>
  <si>
    <t>1,399,000.00</t>
  </si>
  <si>
    <t>1,267,500.00</t>
  </si>
  <si>
    <t>91,985.00</t>
  </si>
  <si>
    <t>3,444,063.93</t>
  </si>
  <si>
    <t>24,870.00</t>
  </si>
  <si>
    <t>2,020,000.00</t>
  </si>
  <si>
    <t>4,342,581.45</t>
  </si>
  <si>
    <t>138,179.56</t>
  </si>
  <si>
    <t>1,993,000.00</t>
  </si>
  <si>
    <t>2,694,921.30</t>
  </si>
  <si>
    <t>316,700.00</t>
  </si>
  <si>
    <t>833,400.00</t>
  </si>
  <si>
    <t>1,247,400.00</t>
  </si>
  <si>
    <t>1,120,000.00</t>
  </si>
  <si>
    <t>38,665,818.78</t>
  </si>
  <si>
    <t>1,444,705.00</t>
  </si>
  <si>
    <t>2,261,000.00</t>
  </si>
  <si>
    <t>999,998.66</t>
  </si>
  <si>
    <t>3,435,575.34</t>
  </si>
  <si>
    <t>2,557,350.00</t>
  </si>
  <si>
    <t>1,090,089.24</t>
  </si>
  <si>
    <t>983,888.54</t>
  </si>
  <si>
    <t>7,527,000.00</t>
  </si>
  <si>
    <t>1,572,480.00</t>
  </si>
  <si>
    <t>2,450,000.00</t>
  </si>
  <si>
    <t>1,391,440.00</t>
  </si>
  <si>
    <t>1,148,182.28</t>
  </si>
  <si>
    <t>919,946.97</t>
  </si>
  <si>
    <t>3,139,660.03</t>
  </si>
  <si>
    <t>919,946.82</t>
  </si>
  <si>
    <t>873,275.79</t>
  </si>
  <si>
    <t>881,150.90</t>
  </si>
  <si>
    <t>11,670,000.00</t>
  </si>
  <si>
    <t>881,931.00</t>
  </si>
  <si>
    <t>350,581.44</t>
  </si>
  <si>
    <t>2,699,950.83</t>
  </si>
  <si>
    <t>918,613.42</t>
  </si>
  <si>
    <t>7,560,000.00</t>
  </si>
  <si>
    <t>1,349,547.39</t>
  </si>
  <si>
    <t>2,768,316.35</t>
  </si>
  <si>
    <t>198,362.31</t>
  </si>
  <si>
    <t>1,149,463.67</t>
  </si>
  <si>
    <t>279,945.00</t>
  </si>
  <si>
    <t>499,990.36</t>
  </si>
  <si>
    <t>876,819.61</t>
  </si>
  <si>
    <t>37,679,378.11</t>
  </si>
  <si>
    <t>119,810.00</t>
  </si>
  <si>
    <t>839,481.89</t>
  </si>
  <si>
    <t>1,016,849.75</t>
  </si>
  <si>
    <t>1,973,457.78</t>
  </si>
  <si>
    <t>2,496,821.36</t>
  </si>
  <si>
    <t>4,088,815.72</t>
  </si>
  <si>
    <t>1,615,500.50</t>
  </si>
  <si>
    <t>1,006,128.00</t>
  </si>
  <si>
    <t>146,565.00</t>
  </si>
  <si>
    <t>166,060.00</t>
  </si>
  <si>
    <t>2,292,341.35</t>
  </si>
  <si>
    <t>148,300.00</t>
  </si>
  <si>
    <t>1,799,042.60</t>
  </si>
  <si>
    <t>2,892,100.00</t>
  </si>
  <si>
    <t>9,727,000.00</t>
  </si>
  <si>
    <t>1,807,593.86</t>
  </si>
  <si>
    <t>499,985.07</t>
  </si>
  <si>
    <t>2,999,999.52</t>
  </si>
  <si>
    <t>291,000.00</t>
  </si>
  <si>
    <t>999,999.41</t>
  </si>
  <si>
    <t>8,696,000.00</t>
  </si>
  <si>
    <t>808,365.00</t>
  </si>
  <si>
    <t>212,600.00</t>
  </si>
  <si>
    <t>150,000,000.00</t>
  </si>
  <si>
    <t>789,074.50</t>
  </si>
  <si>
    <t>2,680,293.87</t>
  </si>
  <si>
    <t>374,837.50</t>
  </si>
  <si>
    <t>1,627,780.00</t>
  </si>
  <si>
    <t>2,537,041.00</t>
  </si>
  <si>
    <t>2,422,768.79</t>
  </si>
  <si>
    <t>6,443,090.67</t>
  </si>
  <si>
    <t>3,999,430.23</t>
  </si>
  <si>
    <t>983,483.41</t>
  </si>
  <si>
    <t>1,858,698.78</t>
  </si>
  <si>
    <t>542,646.62</t>
  </si>
  <si>
    <t>93,564,041.87</t>
  </si>
  <si>
    <t>5,063,862.19</t>
  </si>
  <si>
    <t>2,352,000.00</t>
  </si>
  <si>
    <t>10,364,584.68</t>
  </si>
  <si>
    <t>677,855.95</t>
  </si>
  <si>
    <t>110,999.25</t>
  </si>
  <si>
    <t>96,704,328.39</t>
  </si>
  <si>
    <t>83,018,588.15</t>
  </si>
  <si>
    <t>78,050.10</t>
  </si>
  <si>
    <t>1,123,490.29</t>
  </si>
  <si>
    <t>103,200.00</t>
  </si>
  <si>
    <t>24,000.00</t>
  </si>
  <si>
    <t>3,606,537.66</t>
  </si>
  <si>
    <t>660,562.03</t>
  </si>
  <si>
    <t>395,706.25</t>
  </si>
  <si>
    <t>698,890.03</t>
  </si>
  <si>
    <t>949,999.31</t>
  </si>
  <si>
    <t>219,537.00</t>
  </si>
  <si>
    <t>1,798,682.48</t>
  </si>
  <si>
    <t>991,914.00</t>
  </si>
  <si>
    <t>877,213.40</t>
  </si>
  <si>
    <t>1,173,065.20</t>
  </si>
  <si>
    <t>249,359.25</t>
  </si>
  <si>
    <t>7,107,340.00</t>
  </si>
  <si>
    <t>7,627,865.04</t>
  </si>
  <si>
    <t>999,993.23</t>
  </si>
  <si>
    <t>9,536,175.00</t>
  </si>
  <si>
    <t>165,600.00</t>
  </si>
  <si>
    <t>860,310.00</t>
  </si>
  <si>
    <t>740,521.00</t>
  </si>
  <si>
    <t>3,040,000.00</t>
  </si>
  <si>
    <t>898,440.72</t>
  </si>
  <si>
    <t>5,923,000.00</t>
  </si>
  <si>
    <t>1,218,397.23</t>
  </si>
  <si>
    <t>3,926,262.00</t>
  </si>
  <si>
    <t>4,804,100.00</t>
  </si>
  <si>
    <t>16,717,400.00</t>
  </si>
  <si>
    <t>292,000.00</t>
  </si>
  <si>
    <t>197,810.00</t>
  </si>
  <si>
    <t>73,855.00</t>
  </si>
  <si>
    <t>61,346.00</t>
  </si>
  <si>
    <t>550,247.00</t>
  </si>
  <si>
    <t>51,016.00</t>
  </si>
  <si>
    <t>1,453,474.00</t>
  </si>
  <si>
    <t>5,178,173.00</t>
  </si>
  <si>
    <t>519,167.28</t>
  </si>
  <si>
    <t>1,498,321.00</t>
  </si>
  <si>
    <t>1,174,618.30</t>
  </si>
  <si>
    <t>2,399,950.00</t>
  </si>
  <si>
    <t>1,766,850.00</t>
  </si>
  <si>
    <t>4,402,466.00</t>
  </si>
  <si>
    <t>599,799.50</t>
  </si>
  <si>
    <t>349,852.96</t>
  </si>
  <si>
    <t>990,516.90</t>
  </si>
  <si>
    <t>46,391.04</t>
  </si>
  <si>
    <t>825,613.53</t>
  </si>
  <si>
    <t>949,465.95</t>
  </si>
  <si>
    <t>3,236,490.27</t>
  </si>
  <si>
    <t>51,201.61</t>
  </si>
  <si>
    <t>210,080.00</t>
  </si>
  <si>
    <t>35,513.56</t>
  </si>
  <si>
    <t>72,375.00</t>
  </si>
  <si>
    <t>63,125.00</t>
  </si>
  <si>
    <t>3,666,270.01</t>
  </si>
  <si>
    <t>835,531.26</t>
  </si>
  <si>
    <t>21,272,727.27</t>
  </si>
  <si>
    <t>1,621,200.00</t>
  </si>
  <si>
    <t>376,950.00</t>
  </si>
  <si>
    <t>2,254,000.00</t>
  </si>
  <si>
    <t>72,595.00</t>
  </si>
  <si>
    <t>120,612.50</t>
  </si>
  <si>
    <t>77,777.20</t>
  </si>
  <si>
    <t>16,758,776.00</t>
  </si>
  <si>
    <t>198,832.00</t>
  </si>
  <si>
    <t>100,302.00</t>
  </si>
  <si>
    <t>1,621,400.00</t>
  </si>
  <si>
    <t>42,268.17</t>
  </si>
  <si>
    <t>318,354.00</t>
  </si>
  <si>
    <t>698,621.63</t>
  </si>
  <si>
    <t>55,856.30</t>
  </si>
  <si>
    <t>25,828.04</t>
  </si>
  <si>
    <t>119,350.00</t>
  </si>
  <si>
    <t>286,540.00</t>
  </si>
  <si>
    <t>16,000,000.00</t>
  </si>
  <si>
    <t>92,118.60</t>
  </si>
  <si>
    <t>9,050,000.00</t>
  </si>
  <si>
    <t>170,755.30</t>
  </si>
  <si>
    <t>528,650.00</t>
  </si>
  <si>
    <t>456,038.00</t>
  </si>
  <si>
    <t>683,915.00</t>
  </si>
  <si>
    <t>1,318,854.00</t>
  </si>
  <si>
    <t>12,008,975.50</t>
  </si>
  <si>
    <t>5,284,000.00</t>
  </si>
  <si>
    <t>2,770,000.00</t>
  </si>
  <si>
    <t>835,200.00</t>
  </si>
  <si>
    <t>169,184.49</t>
  </si>
  <si>
    <t>1,339,740.85</t>
  </si>
  <si>
    <t>1,280,090.00</t>
  </si>
  <si>
    <t>336,279.50</t>
  </si>
  <si>
    <t>302,445.00</t>
  </si>
  <si>
    <t>2,760,000.00</t>
  </si>
  <si>
    <t>849,933.00</t>
  </si>
  <si>
    <t>1,449,645.00</t>
  </si>
  <si>
    <t>108,346.47</t>
  </si>
  <si>
    <t>244,529.15</t>
  </si>
  <si>
    <t>1,841,391.85</t>
  </si>
  <si>
    <t>76,014.00</t>
  </si>
  <si>
    <t>112,400.00</t>
  </si>
  <si>
    <t>4,999,944.00</t>
  </si>
  <si>
    <t>322,054.40</t>
  </si>
  <si>
    <t>176,088.00</t>
  </si>
  <si>
    <t>4,520,025.00</t>
  </si>
  <si>
    <t>375,396.40</t>
  </si>
  <si>
    <t>67,063.00</t>
  </si>
  <si>
    <t>1,365,392.00</t>
  </si>
  <si>
    <t>903,137.48</t>
  </si>
  <si>
    <t>26,700.00</t>
  </si>
  <si>
    <t>8,859,665.00</t>
  </si>
  <si>
    <t>15,922,500.00</t>
  </si>
  <si>
    <t>351,380.00</t>
  </si>
  <si>
    <t>61,514.60</t>
  </si>
  <si>
    <t>11,623,000.00</t>
  </si>
  <si>
    <t>547,453.35</t>
  </si>
  <si>
    <t>54,435,000.00</t>
  </si>
  <si>
    <t>3,281,552.00</t>
  </si>
  <si>
    <t>232,835.95</t>
  </si>
  <si>
    <t>1,680,000.00</t>
  </si>
  <si>
    <t>1,266,731.00</t>
  </si>
  <si>
    <t>3,298,000.00</t>
  </si>
  <si>
    <t>137,457.00</t>
  </si>
  <si>
    <t>2,146,800.00</t>
  </si>
  <si>
    <t>4,764,570.00</t>
  </si>
  <si>
    <t>5,552,599.98</t>
  </si>
  <si>
    <t>13,050,000.00</t>
  </si>
  <si>
    <t>4,035,000.00</t>
  </si>
  <si>
    <t>843,290.00</t>
  </si>
  <si>
    <t>890,300.00</t>
  </si>
  <si>
    <t>1,129,350.00</t>
  </si>
  <si>
    <t>199,909.84</t>
  </si>
  <si>
    <t>747,840.00</t>
  </si>
  <si>
    <t>58,300.00</t>
  </si>
  <si>
    <t>6,117,813.75</t>
  </si>
  <si>
    <t>1,516,323.00</t>
  </si>
  <si>
    <t>325,705.61</t>
  </si>
  <si>
    <t>174,651.40</t>
  </si>
  <si>
    <t>1,199,550.18</t>
  </si>
  <si>
    <t>1,601,566.12</t>
  </si>
  <si>
    <t>1,601,545.94</t>
  </si>
  <si>
    <t>266,475.00</t>
  </si>
  <si>
    <t>1,001,263.61</t>
  </si>
  <si>
    <t>1,139,850.00</t>
  </si>
  <si>
    <t>322,035.00</t>
  </si>
  <si>
    <t>7,402,083.75</t>
  </si>
  <si>
    <t>9,869,160.00</t>
  </si>
  <si>
    <t>1,499,956.66</t>
  </si>
  <si>
    <t>1,601,505.55</t>
  </si>
  <si>
    <t>213,840.00</t>
  </si>
  <si>
    <t>2,880.00</t>
  </si>
  <si>
    <t>436,700.00</t>
  </si>
  <si>
    <t>2,256,000.00</t>
  </si>
  <si>
    <t>364,888.00</t>
  </si>
  <si>
    <t>1,035,000.00</t>
  </si>
  <si>
    <t>1,962,550.00</t>
  </si>
  <si>
    <t>962,500.00</t>
  </si>
  <si>
    <t>85,490.00</t>
  </si>
  <si>
    <t>4,567,758.81</t>
  </si>
  <si>
    <t>950,777.00</t>
  </si>
  <si>
    <t>3,456,000.00</t>
  </si>
  <si>
    <t>79,200.00</t>
  </si>
  <si>
    <t>11,352,474.25</t>
  </si>
  <si>
    <t>1,859,280.00</t>
  </si>
  <si>
    <t>214,290.00</t>
  </si>
  <si>
    <t>87,928.50</t>
  </si>
  <si>
    <t>58,842.00</t>
  </si>
  <si>
    <t>931,000.00</t>
  </si>
  <si>
    <t>13,500,000.00</t>
  </si>
  <si>
    <t>245,150.00</t>
  </si>
  <si>
    <t>83,500.00</t>
  </si>
  <si>
    <t>671,500.00</t>
  </si>
  <si>
    <t>5,296,975.47</t>
  </si>
  <si>
    <t>1,607,816.27</t>
  </si>
  <si>
    <t>162,645.00</t>
  </si>
  <si>
    <t>1,678,900.00</t>
  </si>
  <si>
    <t>6,469,000.00</t>
  </si>
  <si>
    <t>170,850.00</t>
  </si>
  <si>
    <t>904,575.00</t>
  </si>
  <si>
    <t>3,518,694.74</t>
  </si>
  <si>
    <t>3,766,250.00</t>
  </si>
  <si>
    <t>404,000.00</t>
  </si>
  <si>
    <t>7,693,395.00</t>
  </si>
  <si>
    <t>1,243,666.80</t>
  </si>
  <si>
    <t>7,671,240.00</t>
  </si>
  <si>
    <t>9,668,224.92</t>
  </si>
  <si>
    <t>1,319,500.00</t>
  </si>
  <si>
    <t>62,526.00</t>
  </si>
  <si>
    <t>9,643,992.00</t>
  </si>
  <si>
    <t>5,085,742.23</t>
  </si>
  <si>
    <t>24,480,484.80</t>
  </si>
  <si>
    <t>674,400.00</t>
  </si>
  <si>
    <t>194,045.17</t>
  </si>
  <si>
    <t>42,066.05</t>
  </si>
  <si>
    <t>18,016,110.00</t>
  </si>
  <si>
    <t>172,938.50</t>
  </si>
  <si>
    <t>10,100,000.00</t>
  </si>
  <si>
    <t>204,858.00</t>
  </si>
  <si>
    <t>2,095,000.00</t>
  </si>
  <si>
    <t>15,558,119.00</t>
  </si>
  <si>
    <t>1,947,626.00</t>
  </si>
  <si>
    <t>18,155,489.00</t>
  </si>
  <si>
    <t>19,200,292.68</t>
  </si>
  <si>
    <t>14,856,470.00</t>
  </si>
  <si>
    <t>4,697,000.00</t>
  </si>
  <si>
    <t>46,546.92</t>
  </si>
  <si>
    <t>4,234,000.00</t>
  </si>
  <si>
    <t>397,488.00</t>
  </si>
  <si>
    <t>57,142.43</t>
  </si>
  <si>
    <t>369,760.00</t>
  </si>
  <si>
    <t>32,285.06</t>
  </si>
  <si>
    <t>9,999,401.02</t>
  </si>
  <si>
    <t>13,600,482.00</t>
  </si>
  <si>
    <t>66,682,522.00</t>
  </si>
  <si>
    <t>4,009,000.00</t>
  </si>
  <si>
    <t>13,489,034.00</t>
  </si>
  <si>
    <t>29,600,000.00</t>
  </si>
  <si>
    <t>523,384.00</t>
  </si>
  <si>
    <t>309,203.66</t>
  </si>
  <si>
    <t>345,500.00</t>
  </si>
  <si>
    <t>5,126,925.60</t>
  </si>
  <si>
    <t>5,819,333.97</t>
  </si>
  <si>
    <t>5,023,746.01</t>
  </si>
  <si>
    <t>2,988,800.00</t>
  </si>
  <si>
    <t>3,363,340.00</t>
  </si>
  <si>
    <t>412,000.00</t>
  </si>
  <si>
    <t>683,000.00</t>
  </si>
  <si>
    <t>3,899,090.61</t>
  </si>
  <si>
    <t>1,776,000.00</t>
  </si>
  <si>
    <t>4,908,541.77</t>
  </si>
  <si>
    <t>1,470,000.00</t>
  </si>
  <si>
    <t>914,500.00</t>
  </si>
  <si>
    <t>137,263.95</t>
  </si>
  <si>
    <t>1,339,050.00</t>
  </si>
  <si>
    <t>14,226,948.00</t>
  </si>
  <si>
    <t>4,999,986.85</t>
  </si>
  <si>
    <t>5,000,787.37</t>
  </si>
  <si>
    <t>224,401.00</t>
  </si>
  <si>
    <t>90.00</t>
  </si>
  <si>
    <t>4,213,020.00</t>
  </si>
  <si>
    <t>56,145.00</t>
  </si>
  <si>
    <t>4,997,817.18</t>
  </si>
  <si>
    <t>525,429.00</t>
  </si>
  <si>
    <t>727,692.00</t>
  </si>
  <si>
    <t>166,725.00</t>
  </si>
  <si>
    <t>9,969,583.12</t>
  </si>
  <si>
    <t>4,369,513.00</t>
  </si>
  <si>
    <t>315,003.00</t>
  </si>
  <si>
    <t>8,593,283.28</t>
  </si>
  <si>
    <t>108,250.00</t>
  </si>
  <si>
    <t>9,999,195.07</t>
  </si>
  <si>
    <t>14,178,693.00</t>
  </si>
  <si>
    <t>6,840,000.00</t>
  </si>
  <si>
    <t>2,245,180.00</t>
  </si>
  <si>
    <t>1,303,816.03</t>
  </si>
  <si>
    <t>684,806.00</t>
  </si>
  <si>
    <t>3,668,808.81</t>
  </si>
  <si>
    <t>3,517,944.70</t>
  </si>
  <si>
    <t>1,284,624.52</t>
  </si>
  <si>
    <t>53,930.65</t>
  </si>
  <si>
    <t>384,499.75</t>
  </si>
  <si>
    <t>438,900.00</t>
  </si>
  <si>
    <t>3,432,345.02</t>
  </si>
  <si>
    <t>241,930.00</t>
  </si>
  <si>
    <t>262,050.00</t>
  </si>
  <si>
    <t>91,600.00</t>
  </si>
  <si>
    <t>1,005,411.14</t>
  </si>
  <si>
    <t>816,887.54</t>
  </si>
  <si>
    <t>701,500.00</t>
  </si>
  <si>
    <t>1,815,738.95</t>
  </si>
  <si>
    <t>522,551.99</t>
  </si>
  <si>
    <t>42,087.05</t>
  </si>
  <si>
    <t>513,496.00</t>
  </si>
  <si>
    <t>150,550.00</t>
  </si>
  <si>
    <t>260,744.00</t>
  </si>
  <si>
    <t>584,000.00</t>
  </si>
  <si>
    <t>107,600.00</t>
  </si>
  <si>
    <t>174,278.00</t>
  </si>
  <si>
    <t>6,125,000.00</t>
  </si>
  <si>
    <t>474,750.00</t>
  </si>
  <si>
    <t>266,750.00</t>
  </si>
  <si>
    <t>1,485,000.00</t>
  </si>
  <si>
    <t>812,500.00</t>
  </si>
  <si>
    <t>3,450,000.00</t>
  </si>
  <si>
    <t>77,775.00</t>
  </si>
  <si>
    <t>134,937.00</t>
  </si>
  <si>
    <t>602,715.00</t>
  </si>
  <si>
    <t>168,900,000.00</t>
  </si>
  <si>
    <t>326,074.96</t>
  </si>
  <si>
    <t>947,250.00</t>
  </si>
  <si>
    <t>173,698,928.03</t>
  </si>
  <si>
    <t>829,262,933.13</t>
  </si>
  <si>
    <t>410,250.00</t>
  </si>
  <si>
    <t>97,124.00</t>
  </si>
  <si>
    <t>11,259,952.89</t>
  </si>
  <si>
    <t>1,380,000.00</t>
  </si>
  <si>
    <t>249,600.00</t>
  </si>
  <si>
    <t>72,740.00</t>
  </si>
  <si>
    <t>530,598.20</t>
  </si>
  <si>
    <t>399,400.00</t>
  </si>
  <si>
    <t>53,930.62</t>
  </si>
  <si>
    <t>12,879,658.73</t>
  </si>
  <si>
    <t>3,506,084.15</t>
  </si>
  <si>
    <t>2,157,036.00</t>
  </si>
  <si>
    <t>154,010.00</t>
  </si>
  <si>
    <t>69,149.58</t>
  </si>
  <si>
    <t>122,335.00</t>
  </si>
  <si>
    <t>49,998,936.33</t>
  </si>
  <si>
    <t>510,289.51</t>
  </si>
  <si>
    <t>1,815,662.63</t>
  </si>
  <si>
    <t>81,600.00</t>
  </si>
  <si>
    <t>18,050.00</t>
  </si>
  <si>
    <t>12,522.00</t>
  </si>
  <si>
    <t>114,400.00</t>
  </si>
  <si>
    <t>22,905.00</t>
  </si>
  <si>
    <t>49,998,586.64</t>
  </si>
  <si>
    <t>32,436.00</t>
  </si>
  <si>
    <t>28,520.00</t>
  </si>
  <si>
    <t>106,950.00</t>
  </si>
  <si>
    <t>47,000,000.00</t>
  </si>
  <si>
    <t>84,440.00</t>
  </si>
  <si>
    <t>168,600.00</t>
  </si>
  <si>
    <t>110,640.00</t>
  </si>
  <si>
    <t>136,352.00</t>
  </si>
  <si>
    <t>5,481,424.47</t>
  </si>
  <si>
    <t>9,592.50</t>
  </si>
  <si>
    <t>99,200.00</t>
  </si>
  <si>
    <t>4,200.00</t>
  </si>
  <si>
    <t>37,499.68</t>
  </si>
  <si>
    <t>10,065.00</t>
  </si>
  <si>
    <t>22,845.00</t>
  </si>
  <si>
    <t>5,623,000.00</t>
  </si>
  <si>
    <t>115,381.67</t>
  </si>
  <si>
    <t>54,021.00</t>
  </si>
  <si>
    <t>34,164.00</t>
  </si>
  <si>
    <t>4,260.00</t>
  </si>
  <si>
    <t>9,635.00</t>
  </si>
  <si>
    <t>8,302,800.00</t>
  </si>
  <si>
    <t>19,825.00</t>
  </si>
  <si>
    <t>41,002.00</t>
  </si>
  <si>
    <t>1,413,564.00</t>
  </si>
  <si>
    <t>942,000.00</t>
  </si>
  <si>
    <t>39,600.00</t>
  </si>
  <si>
    <t>25,070.00</t>
  </si>
  <si>
    <t>9,722.00</t>
  </si>
  <si>
    <t>1,900.00</t>
  </si>
  <si>
    <t>93,100.00</t>
  </si>
  <si>
    <t>550,585.18</t>
  </si>
  <si>
    <t>65,053.96</t>
  </si>
  <si>
    <t>356,800.00</t>
  </si>
  <si>
    <t>6,156,615.94</t>
  </si>
  <si>
    <t>7,830.00</t>
  </si>
  <si>
    <t>201,096.00</t>
  </si>
  <si>
    <t>25,285.00</t>
  </si>
  <si>
    <t>13,346.00</t>
  </si>
  <si>
    <t>26,520.00</t>
  </si>
  <si>
    <t>26,500.00</t>
  </si>
  <si>
    <t>8,320.00</t>
  </si>
  <si>
    <t>705,000.00</t>
  </si>
  <si>
    <t>8,750.00</t>
  </si>
  <si>
    <t>8,133.00</t>
  </si>
  <si>
    <t>4,130.00</t>
  </si>
  <si>
    <t>19,182.25</t>
  </si>
  <si>
    <t>751,432.00</t>
  </si>
  <si>
    <t>100,382.66</t>
  </si>
  <si>
    <t>1,696,000.00</t>
  </si>
  <si>
    <t>214,800.00</t>
  </si>
  <si>
    <t>6,583,850.56</t>
  </si>
  <si>
    <t>119,995.00</t>
  </si>
  <si>
    <t>605,420.42</t>
  </si>
  <si>
    <t>149,002.50</t>
  </si>
  <si>
    <t>83,120.00</t>
  </si>
  <si>
    <t>199,395.00</t>
  </si>
  <si>
    <t>987,000.00</t>
  </si>
  <si>
    <t>431,565.00</t>
  </si>
  <si>
    <t>274,300.00</t>
  </si>
  <si>
    <t>448,229.80</t>
  </si>
  <si>
    <t>462,620.27</t>
  </si>
  <si>
    <t>233,000.00</t>
  </si>
  <si>
    <t>193,000.00</t>
  </si>
  <si>
    <t>499,989.85</t>
  </si>
  <si>
    <t>3,602,559.60</t>
  </si>
  <si>
    <t>1,748,510.00</t>
  </si>
  <si>
    <t>2,397,536.00</t>
  </si>
  <si>
    <t>7,665,000.00</t>
  </si>
  <si>
    <t>142,280.99</t>
  </si>
  <si>
    <t>1,027,040.00</t>
  </si>
  <si>
    <t>456,750.00</t>
  </si>
  <si>
    <t>1,490,546.65</t>
  </si>
  <si>
    <t>617,815.00</t>
  </si>
  <si>
    <t>424,000.00</t>
  </si>
  <si>
    <t>489,999.50</t>
  </si>
  <si>
    <t>259,800.00</t>
  </si>
  <si>
    <t>546,344.20</t>
  </si>
  <si>
    <t>308,520.00</t>
  </si>
  <si>
    <t>485,000.00</t>
  </si>
  <si>
    <t>204,000.00</t>
  </si>
  <si>
    <t>597,030.00</t>
  </si>
  <si>
    <t>298,670.00</t>
  </si>
  <si>
    <t>64,992.00</t>
  </si>
  <si>
    <t>4,100,000.00</t>
  </si>
  <si>
    <t>499,899.50</t>
  </si>
  <si>
    <t>61,449.47</t>
  </si>
  <si>
    <t>1,832,076.00</t>
  </si>
  <si>
    <t>544,100.00</t>
  </si>
  <si>
    <t>1,034,010.00</t>
  </si>
  <si>
    <t>1,494,157.89</t>
  </si>
  <si>
    <t>269,350.00</t>
  </si>
  <si>
    <t>799,376.92</t>
  </si>
  <si>
    <t>587,500.00</t>
  </si>
  <si>
    <t>2,514,255.00</t>
  </si>
  <si>
    <t>1,429,083.60</t>
  </si>
  <si>
    <t>17,172,494.60</t>
  </si>
  <si>
    <t>23,332,746.00</t>
  </si>
  <si>
    <t>690,272.00</t>
  </si>
  <si>
    <t>5,980,000.00</t>
  </si>
  <si>
    <t>328,100.00</t>
  </si>
  <si>
    <t>112,709.91</t>
  </si>
  <si>
    <t>821,000.00</t>
  </si>
  <si>
    <t>120,962.00</t>
  </si>
  <si>
    <t>449,820.00</t>
  </si>
  <si>
    <t>36,023,346.59</t>
  </si>
  <si>
    <t>1,562,595.65</t>
  </si>
  <si>
    <t>1,234,250.00</t>
  </si>
  <si>
    <t>284,400.00</t>
  </si>
  <si>
    <t>96,105.00</t>
  </si>
  <si>
    <t>1,217,345.00</t>
  </si>
  <si>
    <t>139,294.90</t>
  </si>
  <si>
    <t>215,536.00</t>
  </si>
  <si>
    <t>4,665,000.00</t>
  </si>
  <si>
    <t>784,800.00</t>
  </si>
  <si>
    <t>6,523,580.00</t>
  </si>
  <si>
    <t>4,277,000.00</t>
  </si>
  <si>
    <t>7,238,009.72</t>
  </si>
  <si>
    <t>119,499.99</t>
  </si>
  <si>
    <t>3,692,498.28</t>
  </si>
  <si>
    <t>871,970.00</t>
  </si>
  <si>
    <t>107,691.60</t>
  </si>
  <si>
    <t>220,345.00</t>
  </si>
  <si>
    <t>162,810.00</t>
  </si>
  <si>
    <t>245,900.00</t>
  </si>
  <si>
    <t>72,109,870.00</t>
  </si>
  <si>
    <t>2,370,000.00</t>
  </si>
  <si>
    <t>673,555.00</t>
  </si>
  <si>
    <t>101,250.00</t>
  </si>
  <si>
    <t>525,349.15</t>
  </si>
  <si>
    <t>1,054,635.50</t>
  </si>
  <si>
    <t>999,383.49</t>
  </si>
  <si>
    <t>1,524,994.00</t>
  </si>
  <si>
    <t>1,383,670.00</t>
  </si>
  <si>
    <t>1,291,566.28</t>
  </si>
  <si>
    <t>339,300.00</t>
  </si>
  <si>
    <t>1,999,387.76</t>
  </si>
  <si>
    <t>205,024.00</t>
  </si>
  <si>
    <t>155,330.16</t>
  </si>
  <si>
    <t>133,594.00</t>
  </si>
  <si>
    <t>2,499,650.00</t>
  </si>
  <si>
    <t>15,108,800.00</t>
  </si>
  <si>
    <t>360,990.00</t>
  </si>
  <si>
    <t>1,347,566.94</t>
  </si>
  <si>
    <t>1,995,000.00</t>
  </si>
  <si>
    <t>2,177,447.50</t>
  </si>
  <si>
    <t>1,159,389.75</t>
  </si>
  <si>
    <t>1,375,000.00</t>
  </si>
  <si>
    <t>5,358,000.00</t>
  </si>
  <si>
    <t>76,400.00</t>
  </si>
  <si>
    <t>1,480,450.00</t>
  </si>
  <si>
    <t>214,400.00</t>
  </si>
  <si>
    <t>2,950,000.00</t>
  </si>
  <si>
    <t>664,189.76</t>
  </si>
  <si>
    <t>165,075.00</t>
  </si>
  <si>
    <t>10,283,752.00</t>
  </si>
  <si>
    <t>1,048,084.00</t>
  </si>
  <si>
    <t>1,105,000.00</t>
  </si>
  <si>
    <t>2,685,000.00</t>
  </si>
  <si>
    <t>166,000.00</t>
  </si>
  <si>
    <t>1,095,953.20</t>
  </si>
  <si>
    <t>103,480.00</t>
  </si>
  <si>
    <t>1,999,967.42</t>
  </si>
  <si>
    <t>1,195,753.00</t>
  </si>
  <si>
    <t>252,077.50</t>
  </si>
  <si>
    <t>339,000.00</t>
  </si>
  <si>
    <t>890,950.58</t>
  </si>
  <si>
    <t>218,844.00</t>
  </si>
  <si>
    <t>732,000.00</t>
  </si>
  <si>
    <t>2,055,130.90</t>
  </si>
  <si>
    <t>499,998.38</t>
  </si>
  <si>
    <t>2,304,055.00</t>
  </si>
  <si>
    <t>139,649.00</t>
  </si>
  <si>
    <t>2,326,575.00</t>
  </si>
  <si>
    <t>972,694.00</t>
  </si>
  <si>
    <t>31,200,000.00</t>
  </si>
  <si>
    <t>131,400.00</t>
  </si>
  <si>
    <t>140,750.00</t>
  </si>
  <si>
    <t>791,705.25</t>
  </si>
  <si>
    <t>7,173,021.24</t>
  </si>
  <si>
    <t>3,493,585.09</t>
  </si>
  <si>
    <t>100,880.00</t>
  </si>
  <si>
    <t>8,972,476.65</t>
  </si>
  <si>
    <t>598,136.00</t>
  </si>
  <si>
    <t>932,891.20</t>
  </si>
  <si>
    <t>38,600,000.00</t>
  </si>
  <si>
    <t>3,780,600.00</t>
  </si>
  <si>
    <t>27,529,342.00</t>
  </si>
  <si>
    <t>648,427.00</t>
  </si>
  <si>
    <t>2,970,000.00</t>
  </si>
  <si>
    <t>6,712,935.00</t>
  </si>
  <si>
    <t>447,088.00</t>
  </si>
  <si>
    <t>144,427.10</t>
  </si>
  <si>
    <t>1,241,651.52</t>
  </si>
  <si>
    <t>873,858.47</t>
  </si>
  <si>
    <t>323,852.00</t>
  </si>
  <si>
    <t>517,857.14</t>
  </si>
  <si>
    <t>1,839,181.00</t>
  </si>
  <si>
    <t>974,128.35</t>
  </si>
  <si>
    <t>100,007.55</t>
  </si>
  <si>
    <t>1,613,508.00</t>
  </si>
  <si>
    <t>1,591,781.13</t>
  </si>
  <si>
    <t>1,310,000.00</t>
  </si>
  <si>
    <t>761,990.00</t>
  </si>
  <si>
    <t>431,013.00</t>
  </si>
  <si>
    <t>91,693.50</t>
  </si>
  <si>
    <t>3,314,398.00</t>
  </si>
  <si>
    <t>2,850,000.00</t>
  </si>
  <si>
    <t>670,371.00</t>
  </si>
  <si>
    <t>947,823.77</t>
  </si>
  <si>
    <t>299,966.25</t>
  </si>
  <si>
    <t>381,812.04</t>
  </si>
  <si>
    <t>416,624.00</t>
  </si>
  <si>
    <t>1,499,955.00</t>
  </si>
  <si>
    <t>141,720.00</t>
  </si>
  <si>
    <t>6,344,000.00</t>
  </si>
  <si>
    <t>1,153,554.00</t>
  </si>
  <si>
    <t>584,845.00</t>
  </si>
  <si>
    <t>223,809.60</t>
  </si>
  <si>
    <t>670,989.08</t>
  </si>
  <si>
    <t>499,559.00</t>
  </si>
  <si>
    <t>1,268,822.00</t>
  </si>
  <si>
    <t>113,800.00</t>
  </si>
  <si>
    <t>4,678,574.00</t>
  </si>
  <si>
    <t>329,378.40</t>
  </si>
  <si>
    <t>245,664.20</t>
  </si>
  <si>
    <t>106,988.60</t>
  </si>
  <si>
    <t>215,110.00</t>
  </si>
  <si>
    <t>1,295,956.50</t>
  </si>
  <si>
    <t>4,939,323.67</t>
  </si>
  <si>
    <t>9,557,596.77</t>
  </si>
  <si>
    <t>1,434,250.00</t>
  </si>
  <si>
    <t>4,148,339.00</t>
  </si>
  <si>
    <t>1,954,158.82</t>
  </si>
  <si>
    <t>505,000.00</t>
  </si>
  <si>
    <t>63,578,000.00</t>
  </si>
  <si>
    <t>4,598,000.00</t>
  </si>
  <si>
    <t>2,581,431.31</t>
  </si>
  <si>
    <t>1,801,440.61</t>
  </si>
  <si>
    <t>326,678.80</t>
  </si>
  <si>
    <t>34,000,000.00</t>
  </si>
  <si>
    <t>323,400.00</t>
  </si>
  <si>
    <t>171,172.00</t>
  </si>
  <si>
    <t>4,116,300.00</t>
  </si>
  <si>
    <t>13,345,000.00</t>
  </si>
  <si>
    <t>8,424,000.00</t>
  </si>
  <si>
    <t>2,412,500.00</t>
  </si>
  <si>
    <t>9,276,000.00</t>
  </si>
  <si>
    <t>5,268,255.83</t>
  </si>
  <si>
    <t>12,223,657.63</t>
  </si>
  <si>
    <t>5,999,991.50</t>
  </si>
  <si>
    <t>164,000.00</t>
  </si>
  <si>
    <t>3,947,470.24</t>
  </si>
  <si>
    <t>638,000.00</t>
  </si>
  <si>
    <t>1,713,910.00</t>
  </si>
  <si>
    <t>313,350.00</t>
  </si>
  <si>
    <t>165,884.00</t>
  </si>
  <si>
    <t>2,457,518.52</t>
  </si>
  <si>
    <t>35,558,483.96</t>
  </si>
  <si>
    <t>290,930.81</t>
  </si>
  <si>
    <t>34,714,623.84</t>
  </si>
  <si>
    <t>1,249,413.50</t>
  </si>
  <si>
    <t>2,608,572.00</t>
  </si>
  <si>
    <t>990,695.00</t>
  </si>
  <si>
    <t>9,733,206.00</t>
  </si>
  <si>
    <t>1,346,063.84</t>
  </si>
  <si>
    <t>999,976.64</t>
  </si>
  <si>
    <t>1,445,000.00</t>
  </si>
  <si>
    <t>1,987,500.00</t>
  </si>
  <si>
    <t>2,984,100.00</t>
  </si>
  <si>
    <t>113,600.00</t>
  </si>
  <si>
    <t>981,721.00</t>
  </si>
  <si>
    <t>3,765,000.00</t>
  </si>
  <si>
    <t>79,989,302.00</t>
  </si>
  <si>
    <t>5,995,774.00</t>
  </si>
  <si>
    <t>998,660.00</t>
  </si>
  <si>
    <t>999,913.75</t>
  </si>
  <si>
    <t>11,962,332.64</t>
  </si>
  <si>
    <t>390,750.00</t>
  </si>
  <si>
    <t>591,770.00</t>
  </si>
  <si>
    <t>699,600.00</t>
  </si>
  <si>
    <t>6,099,011.00</t>
  </si>
  <si>
    <t>1,895,200.00</t>
  </si>
  <si>
    <t>98,092.00</t>
  </si>
  <si>
    <t>3,041,500.00</t>
  </si>
  <si>
    <t>799,470.00</t>
  </si>
  <si>
    <t>2,613,430.00</t>
  </si>
  <si>
    <t>510,590.00</t>
  </si>
  <si>
    <t>420,642.06</t>
  </si>
  <si>
    <t>4,866,185.52</t>
  </si>
  <si>
    <t>1,252,206.15</t>
  </si>
  <si>
    <t>2,240,000.00</t>
  </si>
  <si>
    <t>697,920.00</t>
  </si>
  <si>
    <t>475,702.00</t>
  </si>
  <si>
    <t>286,100.00</t>
  </si>
  <si>
    <t>4,195,895.51</t>
  </si>
  <si>
    <t>332,894.00</t>
  </si>
  <si>
    <t>2,398,742.06</t>
  </si>
  <si>
    <t>559,840.24</t>
  </si>
  <si>
    <t>3,599,810.16</t>
  </si>
  <si>
    <t>5,348,211.96</t>
  </si>
  <si>
    <t>2,458,327.20</t>
  </si>
  <si>
    <t>3,950,021.25</t>
  </si>
  <si>
    <t>4,219,680.94</t>
  </si>
  <si>
    <t>1,171,313.70</t>
  </si>
  <si>
    <t>3,649,936.50</t>
  </si>
  <si>
    <t>73,138.00</t>
  </si>
  <si>
    <t>231,680.00</t>
  </si>
  <si>
    <t>139,410.00</t>
  </si>
  <si>
    <t>2,306,206.88</t>
  </si>
  <si>
    <t>304,155.00</t>
  </si>
  <si>
    <t>3,346,541.52</t>
  </si>
  <si>
    <t>54,220.00</t>
  </si>
  <si>
    <t>74,630.00</t>
  </si>
  <si>
    <t>730,000.00</t>
  </si>
  <si>
    <t>358,500.00</t>
  </si>
  <si>
    <t>206,999.95</t>
  </si>
  <si>
    <t>235,807.50</t>
  </si>
  <si>
    <t>91,704.00</t>
  </si>
  <si>
    <t>2,795,331.75</t>
  </si>
  <si>
    <t>3,384,000.00</t>
  </si>
  <si>
    <t>257,579.90</t>
  </si>
  <si>
    <t>16,997,022.12</t>
  </si>
  <si>
    <t>286,600.00</t>
  </si>
  <si>
    <t>7,999,322.02</t>
  </si>
  <si>
    <t>1,364,000.00</t>
  </si>
  <si>
    <t>888,674.43</t>
  </si>
  <si>
    <t>1,850,725.34</t>
  </si>
  <si>
    <t>827,236.00</t>
  </si>
  <si>
    <t>409,100.00</t>
  </si>
  <si>
    <t>95,595.35</t>
  </si>
  <si>
    <t>2,183,400.00</t>
  </si>
  <si>
    <t>100,200.00</t>
  </si>
  <si>
    <t>120,765.84</t>
  </si>
  <si>
    <t>681,000.00</t>
  </si>
  <si>
    <t>2,220,660.00</t>
  </si>
  <si>
    <t>499,597.67</t>
  </si>
  <si>
    <t>1,496,750.00</t>
  </si>
  <si>
    <t>64,773,952.98</t>
  </si>
  <si>
    <t>9,986,985.16</t>
  </si>
  <si>
    <t>658,640.00</t>
  </si>
  <si>
    <t>2,580,000.00</t>
  </si>
  <si>
    <t>339,187.50</t>
  </si>
  <si>
    <t>2,105,850.00</t>
  </si>
  <si>
    <t>5,780,000.00</t>
  </si>
  <si>
    <t>1,049,937.50</t>
  </si>
  <si>
    <t>61,784.80</t>
  </si>
  <si>
    <t>9,899,999.50</t>
  </si>
  <si>
    <t>7,988,776.00</t>
  </si>
  <si>
    <t>586,390.25</t>
  </si>
  <si>
    <t>617,574.00</t>
  </si>
  <si>
    <t>7,900,000.00</t>
  </si>
  <si>
    <t>361,791.00</t>
  </si>
  <si>
    <t>1,497,686.35</t>
  </si>
  <si>
    <t>365,930.00</t>
  </si>
  <si>
    <t>14,901,585.49</t>
  </si>
  <si>
    <t>22,698,800.00</t>
  </si>
  <si>
    <t>4,799,000.00</t>
  </si>
  <si>
    <t>279,191.00</t>
  </si>
  <si>
    <t>296,217.51</t>
  </si>
  <si>
    <t>2,994,648.50</t>
  </si>
  <si>
    <t>3,247,500.00</t>
  </si>
  <si>
    <t>1,935,700.00</t>
  </si>
  <si>
    <t>207,110.00</t>
  </si>
  <si>
    <t>495,720.00</t>
  </si>
  <si>
    <t>225,494.00</t>
  </si>
  <si>
    <t>762,171.00</t>
  </si>
  <si>
    <t>4,800,000.00</t>
  </si>
  <si>
    <t>116,175.00</t>
  </si>
  <si>
    <t>343,900.00</t>
  </si>
  <si>
    <t>1,173,908.43</t>
  </si>
  <si>
    <t>3,180,000.00</t>
  </si>
  <si>
    <t>828,931.00</t>
  </si>
  <si>
    <t>1,861,500.00</t>
  </si>
  <si>
    <t>3,780,000.00</t>
  </si>
  <si>
    <t>1,399,099.00</t>
  </si>
  <si>
    <t>21,788,912.73</t>
  </si>
  <si>
    <t>19,477,238.20</t>
  </si>
  <si>
    <t>999,100.00</t>
  </si>
  <si>
    <t>18,595,690.58</t>
  </si>
  <si>
    <t>233,425.00</t>
  </si>
  <si>
    <t>85,804.57</t>
  </si>
  <si>
    <t>23,891,452.64</t>
  </si>
  <si>
    <t>772,000.00</t>
  </si>
  <si>
    <t>1,049,633.00</t>
  </si>
  <si>
    <t>1,879,888.00</t>
  </si>
  <si>
    <t>5,505,100.00</t>
  </si>
  <si>
    <t>249,375.00</t>
  </si>
  <si>
    <t>8,305,663.00</t>
  </si>
  <si>
    <t>9,064,000.00</t>
  </si>
  <si>
    <t>718,057.00</t>
  </si>
  <si>
    <t>54,954.00</t>
  </si>
  <si>
    <t>54,987.00</t>
  </si>
  <si>
    <t>392,500.00</t>
  </si>
  <si>
    <t>1,015,595.00</t>
  </si>
  <si>
    <t>842,700.00</t>
  </si>
  <si>
    <t>1,040,982.00</t>
  </si>
  <si>
    <t>970,858.00</t>
  </si>
  <si>
    <t>1,699,500.00</t>
  </si>
  <si>
    <t>1,312,420.00</t>
  </si>
  <si>
    <t>649,930.00</t>
  </si>
  <si>
    <t>499,000.00</t>
  </si>
  <si>
    <t>6,329,446.00</t>
  </si>
  <si>
    <t>2,789,862.92</t>
  </si>
  <si>
    <t>194,062.24</t>
  </si>
  <si>
    <t>407,902.24</t>
  </si>
  <si>
    <t>6,579,616.88</t>
  </si>
  <si>
    <t>367,855.00</t>
  </si>
  <si>
    <t>338,452.60</t>
  </si>
  <si>
    <t>297,120.00</t>
  </si>
  <si>
    <t>153,883.34</t>
  </si>
  <si>
    <t>666,686.88</t>
  </si>
  <si>
    <t>1,371,789.00</t>
  </si>
  <si>
    <t>1,132,000.00</t>
  </si>
  <si>
    <t>227,050.00</t>
  </si>
  <si>
    <t>272,460.00</t>
  </si>
  <si>
    <t>18,451,200.00</t>
  </si>
  <si>
    <t>322,600.00</t>
  </si>
  <si>
    <t>193,192.02</t>
  </si>
  <si>
    <t>110,164.00</t>
  </si>
  <si>
    <t>94,757.00</t>
  </si>
  <si>
    <t>287,780.00</t>
  </si>
  <si>
    <t>489,904.92</t>
  </si>
  <si>
    <t>279,550.00</t>
  </si>
  <si>
    <t>322,678.36</t>
  </si>
  <si>
    <t>368,585.00</t>
  </si>
  <si>
    <t>14,849,999.18</t>
  </si>
  <si>
    <t>1,272,736.78</t>
  </si>
  <si>
    <t>257,500.00</t>
  </si>
  <si>
    <t>4,899,999.72</t>
  </si>
  <si>
    <t>4,920,263.00</t>
  </si>
  <si>
    <t>2,012,724.00</t>
  </si>
  <si>
    <t>1,689,000.00</t>
  </si>
  <si>
    <t>3,859,766.11</t>
  </si>
  <si>
    <t>523,550.00</t>
  </si>
  <si>
    <t>8,264,591.00</t>
  </si>
  <si>
    <t>470,872.08</t>
  </si>
  <si>
    <t>1,057,536.00</t>
  </si>
  <si>
    <t>386,113.24</t>
  </si>
  <si>
    <t>587,837.26</t>
  </si>
  <si>
    <t>5,397,133.32</t>
  </si>
  <si>
    <t>485,994.08</t>
  </si>
  <si>
    <t>442,365.00</t>
  </si>
  <si>
    <t>595,400.00</t>
  </si>
  <si>
    <t>392,600.00</t>
  </si>
  <si>
    <t>4,620,000.00</t>
  </si>
  <si>
    <t>170,273.00</t>
  </si>
  <si>
    <t>2,105,682.90</t>
  </si>
  <si>
    <t>64,699.39</t>
  </si>
  <si>
    <t>167,200.00</t>
  </si>
  <si>
    <t>1,833,989.88</t>
  </si>
  <si>
    <t>178,050.00</t>
  </si>
  <si>
    <t>1,551,813.61</t>
  </si>
  <si>
    <t>299,995.00</t>
  </si>
  <si>
    <t>43,500.00</t>
  </si>
  <si>
    <t>399,999.60</t>
  </si>
  <si>
    <t>609,787.50</t>
  </si>
  <si>
    <t>11,440,479.89</t>
  </si>
  <si>
    <t>84,450.00</t>
  </si>
  <si>
    <t>432,400.00</t>
  </si>
  <si>
    <t>191,425.00</t>
  </si>
  <si>
    <t>1,960,850.00</t>
  </si>
  <si>
    <t>695,475.77</t>
  </si>
  <si>
    <t>804,524.23</t>
  </si>
  <si>
    <t>999,947.62</t>
  </si>
  <si>
    <t>61,050.00</t>
  </si>
  <si>
    <t>2,436,878.00</t>
  </si>
  <si>
    <t>38,190.00</t>
  </si>
  <si>
    <t>470,400.00</t>
  </si>
  <si>
    <t>3,175,120.00</t>
  </si>
  <si>
    <t>238,674.43</t>
  </si>
  <si>
    <t>212,365.00</t>
  </si>
  <si>
    <t>2,166,712.41</t>
  </si>
  <si>
    <t>431,240.00</t>
  </si>
  <si>
    <t>36,180.00</t>
  </si>
  <si>
    <t>2,742,160.00</t>
  </si>
  <si>
    <t>50,750.00</t>
  </si>
  <si>
    <t>140,223.00</t>
  </si>
  <si>
    <t>188,948.00</t>
  </si>
  <si>
    <t>140,741.38</t>
  </si>
  <si>
    <t>18,678,000.00</t>
  </si>
  <si>
    <t>300,100.00</t>
  </si>
  <si>
    <t>45,100.00</t>
  </si>
  <si>
    <t>259,720.00</t>
  </si>
  <si>
    <t>324,480.00</t>
  </si>
  <si>
    <t>198,953.26</t>
  </si>
  <si>
    <t>37,410.00</t>
  </si>
  <si>
    <t>986,132.50</t>
  </si>
  <si>
    <t>622,040.00</t>
  </si>
  <si>
    <t>83,333.00</t>
  </si>
  <si>
    <t>954,060.00</t>
  </si>
  <si>
    <t>416,691.84</t>
  </si>
  <si>
    <t>14,404,483.72</t>
  </si>
  <si>
    <t>1,107,500.00</t>
  </si>
  <si>
    <t>213,500.00</t>
  </si>
  <si>
    <t>849,891.00</t>
  </si>
  <si>
    <t>449,980.00</t>
  </si>
  <si>
    <t>17,121,438.57</t>
  </si>
  <si>
    <t>193,152.37</t>
  </si>
  <si>
    <t>4,240,000.00</t>
  </si>
  <si>
    <t>641,605.60</t>
  </si>
  <si>
    <t>1,060,000.00</t>
  </si>
  <si>
    <t>1,101,645.40</t>
  </si>
  <si>
    <t>4,750,000.00</t>
  </si>
  <si>
    <t>2,190,000.00</t>
  </si>
  <si>
    <t>8,611,601.97</t>
  </si>
  <si>
    <t>249,883.65</t>
  </si>
  <si>
    <t>6,518,468.56</t>
  </si>
  <si>
    <t>887,185.04</t>
  </si>
  <si>
    <t>24,822,386.60</t>
  </si>
  <si>
    <t>499,820.00</t>
  </si>
  <si>
    <t>127,860.00</t>
  </si>
  <si>
    <t>16,835,329.75</t>
  </si>
  <si>
    <t>591,460.68</t>
  </si>
  <si>
    <t>6,916,562.18</t>
  </si>
  <si>
    <t>23,613,951.60</t>
  </si>
  <si>
    <t>20,500.00</t>
  </si>
  <si>
    <t>344,000.00</t>
  </si>
  <si>
    <t>1,510,600.00</t>
  </si>
  <si>
    <t>1,879,175.00</t>
  </si>
  <si>
    <t>1,380,303.36</t>
  </si>
  <si>
    <t>760,529.00</t>
  </si>
  <si>
    <t>41,735.93</t>
  </si>
  <si>
    <t>1,199,800.00</t>
  </si>
  <si>
    <t>41,552,576.50</t>
  </si>
  <si>
    <t>327,340.57</t>
  </si>
  <si>
    <t>12,437,499.97</t>
  </si>
  <si>
    <t>18,404.00</t>
  </si>
  <si>
    <t>1,918,710.00</t>
  </si>
  <si>
    <t>5,399,400.00</t>
  </si>
  <si>
    <t>54,980.00</t>
  </si>
  <si>
    <t>2,913,090.23</t>
  </si>
  <si>
    <t>112,500.94</t>
  </si>
  <si>
    <t>3,965,000.00</t>
  </si>
  <si>
    <t>696,666.13</t>
  </si>
  <si>
    <t>319,500.00</t>
  </si>
  <si>
    <t>183,659.00</t>
  </si>
  <si>
    <t>383,730.98</t>
  </si>
  <si>
    <t>439,694.00</t>
  </si>
  <si>
    <t>1,018,000.00</t>
  </si>
  <si>
    <t>422,814.90</t>
  </si>
  <si>
    <t>2,034,911.75</t>
  </si>
  <si>
    <t>4,892,696.66</t>
  </si>
  <si>
    <t>43,095.00</t>
  </si>
  <si>
    <t>11,020.00</t>
  </si>
  <si>
    <t>172,664.00</t>
  </si>
  <si>
    <t>74,910.00</t>
  </si>
  <si>
    <t>37,941.75</t>
  </si>
  <si>
    <t>3,071,468.00</t>
  </si>
  <si>
    <t>34,147.58</t>
  </si>
  <si>
    <t>714,393.45</t>
  </si>
  <si>
    <t>99,968.00</t>
  </si>
  <si>
    <t>1,217,540.00</t>
  </si>
  <si>
    <t>477,941.00</t>
  </si>
  <si>
    <t>7,950,000.00</t>
  </si>
  <si>
    <t>1,053,378.48</t>
  </si>
  <si>
    <t>685,104.44</t>
  </si>
  <si>
    <t>715,343.00</t>
  </si>
  <si>
    <t>622,975.00</t>
  </si>
  <si>
    <t>2,125,000.00</t>
  </si>
  <si>
    <t>1,211,000.00</t>
  </si>
  <si>
    <t>4,080.00</t>
  </si>
  <si>
    <t>2,542,300.16</t>
  </si>
  <si>
    <t>30,353.40</t>
  </si>
  <si>
    <t>926,255.00</t>
  </si>
  <si>
    <t>2,375,363.15</t>
  </si>
  <si>
    <t>871,713.80</t>
  </si>
  <si>
    <t>2,156,218.80</t>
  </si>
  <si>
    <t>649,528.00</t>
  </si>
  <si>
    <t>191,509.00</t>
  </si>
  <si>
    <t>674,900.00</t>
  </si>
  <si>
    <t>14,722,151.13</t>
  </si>
  <si>
    <t>707,650.00</t>
  </si>
  <si>
    <t>1,990,000.00</t>
  </si>
  <si>
    <t>1,263,635.90</t>
  </si>
  <si>
    <t>477,371.66</t>
  </si>
  <si>
    <t>994,542.04</t>
  </si>
  <si>
    <t>302,412.00</t>
  </si>
  <si>
    <t>136,391.90</t>
  </si>
  <si>
    <t>824,935.00</t>
  </si>
  <si>
    <t>1,805,200.00</t>
  </si>
  <si>
    <t>1,968,932.00</t>
  </si>
  <si>
    <t>140,540.00</t>
  </si>
  <si>
    <t>980,500.00</t>
  </si>
  <si>
    <t>479,435.00</t>
  </si>
  <si>
    <t>55,750.85</t>
  </si>
  <si>
    <t>713,431.11</t>
  </si>
  <si>
    <t>5,488,000.00</t>
  </si>
  <si>
    <t>293,040.00</t>
  </si>
  <si>
    <t>96,092.00</t>
  </si>
  <si>
    <t>119,170.00</t>
  </si>
  <si>
    <t>5,999,955.20</t>
  </si>
  <si>
    <t>1,584,912.00</t>
  </si>
  <si>
    <t>383,770.00</t>
  </si>
  <si>
    <t>3,965,253.00</t>
  </si>
  <si>
    <t>1,388,800.00</t>
  </si>
  <si>
    <t>1,239,075.00</t>
  </si>
  <si>
    <t>729,250.00</t>
  </si>
  <si>
    <t>399,995.00</t>
  </si>
  <si>
    <t>1,311,075.00</t>
  </si>
  <si>
    <t>830,845.00</t>
  </si>
  <si>
    <t>4,999,973.79</t>
  </si>
  <si>
    <t>722,598.60</t>
  </si>
  <si>
    <t>3,654,945.25</t>
  </si>
  <si>
    <t>576,427.56</t>
  </si>
  <si>
    <t>4,157,965.00</t>
  </si>
  <si>
    <t>4,918,543.01</t>
  </si>
  <si>
    <t>989,800.00</t>
  </si>
  <si>
    <t>1,049,590.00</t>
  </si>
  <si>
    <t>867,822.63</t>
  </si>
  <si>
    <t>2,418,000.00</t>
  </si>
  <si>
    <t>762,910.00</t>
  </si>
  <si>
    <t>7,374,083.23</t>
  </si>
  <si>
    <t>744,505.75</t>
  </si>
  <si>
    <t>3,055,920.00</t>
  </si>
  <si>
    <t>1,694,826.00</t>
  </si>
  <si>
    <t>140,900.00</t>
  </si>
  <si>
    <t>1,215,000.00</t>
  </si>
  <si>
    <t>293,700.00</t>
  </si>
  <si>
    <t>328,547.79</t>
  </si>
  <si>
    <t>286,500.00</t>
  </si>
  <si>
    <t>921,349.42</t>
  </si>
  <si>
    <t>6,629,657.19</t>
  </si>
  <si>
    <t>18,925,955.32</t>
  </si>
  <si>
    <t>6,450.00</t>
  </si>
  <si>
    <t>2,067,127.13</t>
  </si>
  <si>
    <t>3,436,307.10</t>
  </si>
  <si>
    <t>1,915,920.00</t>
  </si>
  <si>
    <t>5,460,000.00</t>
  </si>
  <si>
    <t>1,513,635.95</t>
  </si>
  <si>
    <t>122,360.00</t>
  </si>
  <si>
    <t>2,066,666.66</t>
  </si>
  <si>
    <t>97,000.00</t>
  </si>
  <si>
    <t>2,058,649.56</t>
  </si>
  <si>
    <t>209,100,060.00</t>
  </si>
  <si>
    <t>2,430,682.39</t>
  </si>
  <si>
    <t>73,750,000.00</t>
  </si>
  <si>
    <t>4,684,897.73</t>
  </si>
  <si>
    <t>6,100,000.00</t>
  </si>
  <si>
    <t>281,800.00</t>
  </si>
  <si>
    <t>3,924,000.00</t>
  </si>
  <si>
    <t>1,999,700.00</t>
  </si>
  <si>
    <t>120,352.00</t>
  </si>
  <si>
    <t>71,594,427.24</t>
  </si>
  <si>
    <t>180,450.00</t>
  </si>
  <si>
    <t>683,935.20</t>
  </si>
  <si>
    <t>1,964,757.60</t>
  </si>
  <si>
    <t>348,200.00</t>
  </si>
  <si>
    <t>3,064,494.24</t>
  </si>
  <si>
    <t>26,013,000.00</t>
  </si>
  <si>
    <t>199,890.00</t>
  </si>
  <si>
    <t>596,343.33</t>
  </si>
  <si>
    <t>999,084.84</t>
  </si>
  <si>
    <t>18,262,675.97</t>
  </si>
  <si>
    <t>1,670,000.00</t>
  </si>
  <si>
    <t>1,946,874.86</t>
  </si>
  <si>
    <t>68,985.00</t>
  </si>
  <si>
    <t>3,452,141.92</t>
  </si>
  <si>
    <t>294,983.00</t>
  </si>
  <si>
    <t>2,270,000.00</t>
  </si>
  <si>
    <t>984,511.64</t>
  </si>
  <si>
    <t>208,800.00</t>
  </si>
  <si>
    <t>534,242.00</t>
  </si>
  <si>
    <t>10,059,818.10</t>
  </si>
  <si>
    <t>2,200,500.00</t>
  </si>
  <si>
    <t>205,960.00</t>
  </si>
  <si>
    <t>3,420,000.00</t>
  </si>
  <si>
    <t>1,238,588.75</t>
  </si>
  <si>
    <t>1,987,726.12</t>
  </si>
  <si>
    <t>360,000,000.00</t>
  </si>
  <si>
    <t>178,731.00</t>
  </si>
  <si>
    <t>20,272,436.57</t>
  </si>
  <si>
    <t>543,785.00</t>
  </si>
  <si>
    <t>247,678.00</t>
  </si>
  <si>
    <t>12,437,499.98</t>
  </si>
  <si>
    <t>31,520,000.00</t>
  </si>
  <si>
    <t>996,522.77</t>
  </si>
  <si>
    <t>696,260.69</t>
  </si>
  <si>
    <t>6,103,250.00</t>
  </si>
  <si>
    <t>252,248.20</t>
  </si>
  <si>
    <t>1,125,000.00</t>
  </si>
  <si>
    <t>57,505,020.25</t>
  </si>
  <si>
    <t>14,997,612.51</t>
  </si>
  <si>
    <t>300,190.00</t>
  </si>
  <si>
    <t>1,049,663.84</t>
  </si>
  <si>
    <t>5,800,000.00</t>
  </si>
  <si>
    <t>19,989,280.19</t>
  </si>
  <si>
    <t>2,235,970.29</t>
  </si>
  <si>
    <t>278,828.00</t>
  </si>
  <si>
    <t>1,689,750.86</t>
  </si>
  <si>
    <t>9,989,991.61</t>
  </si>
  <si>
    <t>18,498,923.87</t>
  </si>
  <si>
    <t>809,395.00</t>
  </si>
  <si>
    <t>8,498,977.00</t>
  </si>
  <si>
    <t>13,498,761.29</t>
  </si>
  <si>
    <t>1,050,000.00</t>
  </si>
  <si>
    <t>23,429,440.00</t>
  </si>
  <si>
    <t>433,870.00</t>
  </si>
  <si>
    <t>2,047,000.00</t>
  </si>
  <si>
    <t>29,926,761.12</t>
  </si>
  <si>
    <t>6,098,000.00</t>
  </si>
  <si>
    <t>13,498,947.66</t>
  </si>
  <si>
    <t>4,988,355.68</t>
  </si>
  <si>
    <t>3,638,636.00</t>
  </si>
  <si>
    <t>4,167,040.00</t>
  </si>
  <si>
    <t>2,397,100.00</t>
  </si>
  <si>
    <t>618,500.00</t>
  </si>
  <si>
    <t>43,165,099.00</t>
  </si>
  <si>
    <t>1,471,311.82</t>
  </si>
  <si>
    <t>932,646.94</t>
  </si>
  <si>
    <t>979,200.00</t>
  </si>
  <si>
    <t>9,949,867.43</t>
  </si>
  <si>
    <t>663,500.00</t>
  </si>
  <si>
    <t>2,218,500.00</t>
  </si>
  <si>
    <t>276,800.79</t>
  </si>
  <si>
    <t>572,132.92</t>
  </si>
  <si>
    <t>3,731,282.91</t>
  </si>
  <si>
    <t>109,392.00</t>
  </si>
  <si>
    <t>10,326,000.00</t>
  </si>
  <si>
    <t>108,900.00</t>
  </si>
  <si>
    <t>133,500.00</t>
  </si>
  <si>
    <t>230,281.00</t>
  </si>
  <si>
    <t>86,849,365.36</t>
  </si>
  <si>
    <t>1,428,122.39</t>
  </si>
  <si>
    <t>448,639.00</t>
  </si>
  <si>
    <t>271,000.00</t>
  </si>
  <si>
    <t>2,849,753.60</t>
  </si>
  <si>
    <t>2,799,280.13</t>
  </si>
  <si>
    <t>13,395,618.00</t>
  </si>
  <si>
    <t>1,391,283.56</t>
  </si>
  <si>
    <t>4,003,000.00</t>
  </si>
  <si>
    <t>170,530.00</t>
  </si>
  <si>
    <t>327,500.00</t>
  </si>
  <si>
    <t>324,457.00</t>
  </si>
  <si>
    <t>2,169,240.00</t>
  </si>
  <si>
    <t>2,990,513.24</t>
  </si>
  <si>
    <t>2,870,725.77</t>
  </si>
  <si>
    <t>2,570,934.00</t>
  </si>
  <si>
    <t>2,145,000.00</t>
  </si>
  <si>
    <t>26,391,987.00</t>
  </si>
  <si>
    <t>451,555.00</t>
  </si>
  <si>
    <t>386,326.00</t>
  </si>
  <si>
    <t>1,098,520.00</t>
  </si>
  <si>
    <t>2,569,939.87</t>
  </si>
  <si>
    <t>180,720.00</t>
  </si>
  <si>
    <t>16,300,000.00</t>
  </si>
  <si>
    <t>2,335,200.00</t>
  </si>
  <si>
    <t>1,668,928.09</t>
  </si>
  <si>
    <t>7,093,250.00</t>
  </si>
  <si>
    <t>9,950,000.00</t>
  </si>
  <si>
    <t>505,500.00</t>
  </si>
  <si>
    <t>4,452,500.00</t>
  </si>
  <si>
    <t>2,104,000.00</t>
  </si>
  <si>
    <t>7,450,000.00</t>
  </si>
  <si>
    <t>3,503,000.00</t>
  </si>
  <si>
    <t>99,730.00</t>
  </si>
  <si>
    <t>1,274,900.00</t>
  </si>
  <si>
    <t>132,051.55</t>
  </si>
  <si>
    <t>4,560,000.00</t>
  </si>
  <si>
    <t>399,998.00</t>
  </si>
  <si>
    <t>5,472,500.00</t>
  </si>
  <si>
    <t>8,061,500.00</t>
  </si>
  <si>
    <t>499,989.60</t>
  </si>
  <si>
    <t>23,498,615.31</t>
  </si>
  <si>
    <t>40,200,000.00</t>
  </si>
  <si>
    <t>1,699,944.40</t>
  </si>
  <si>
    <t>23,498,754.17</t>
  </si>
  <si>
    <t>575,548.00</t>
  </si>
  <si>
    <t>1,306,969.00</t>
  </si>
  <si>
    <t>9,989,628.95</t>
  </si>
  <si>
    <t>1,324,915.00</t>
  </si>
  <si>
    <t>2,798,883.20</t>
  </si>
  <si>
    <t>51,671.15</t>
  </si>
  <si>
    <t>9,989,944.42</t>
  </si>
  <si>
    <t>70,900.00</t>
  </si>
  <si>
    <t>2,499,912.79</t>
  </si>
  <si>
    <t>4,150,000.00</t>
  </si>
  <si>
    <t>153,220.37</t>
  </si>
  <si>
    <t>1,189,845.00</t>
  </si>
  <si>
    <t>211,977.50</t>
  </si>
  <si>
    <t>28,000,000.00</t>
  </si>
  <si>
    <t>3,699,330.00</t>
  </si>
  <si>
    <t>8,309,345.00</t>
  </si>
  <si>
    <t>1,989,920.00</t>
  </si>
  <si>
    <t>15,866,110.00</t>
  </si>
  <si>
    <t>10,092,675.00</t>
  </si>
  <si>
    <t>882,000.00</t>
  </si>
  <si>
    <t>21,980,347.12</t>
  </si>
  <si>
    <t>130,269.00</t>
  </si>
  <si>
    <t>524,400.00</t>
  </si>
  <si>
    <t>3,611,025.00</t>
  </si>
  <si>
    <t>2,281,991.16</t>
  </si>
  <si>
    <t>170,585.00</t>
  </si>
  <si>
    <t>1,341,000.00</t>
  </si>
  <si>
    <t>1,244,011.76</t>
  </si>
  <si>
    <t>1,033,402.77</t>
  </si>
  <si>
    <t>881,627.21</t>
  </si>
  <si>
    <t>299,893.19</t>
  </si>
  <si>
    <t>18,030.00</t>
  </si>
  <si>
    <t>1,499,792.82</t>
  </si>
  <si>
    <t>1,153,600.00</t>
  </si>
  <si>
    <t>2,756,221.65</t>
  </si>
  <si>
    <t>531,675.00</t>
  </si>
  <si>
    <t>1,199,479.11</t>
  </si>
  <si>
    <t>1,852,000.00</t>
  </si>
  <si>
    <t>2,837,547.19</t>
  </si>
  <si>
    <t>1,999,110.06</t>
  </si>
  <si>
    <t>3,008,000.00</t>
  </si>
  <si>
    <t>3,400.00</t>
  </si>
  <si>
    <t>769,250.00</t>
  </si>
  <si>
    <t>1,403,800.00</t>
  </si>
  <si>
    <t>495,387.61</t>
  </si>
  <si>
    <t>1,120,284.00</t>
  </si>
  <si>
    <t>564,400.00</t>
  </si>
  <si>
    <t>2,395,590.44</t>
  </si>
  <si>
    <t>4,010,000.00</t>
  </si>
  <si>
    <t>11,722,100.90</t>
  </si>
  <si>
    <t>94,790.00</t>
  </si>
  <si>
    <t>839,340.00</t>
  </si>
  <si>
    <t>7,600.00</t>
  </si>
  <si>
    <t>4,801.00</t>
  </si>
  <si>
    <t>8,043,897.00</t>
  </si>
  <si>
    <t>5,999,999.99</t>
  </si>
  <si>
    <t>1,123,900.00</t>
  </si>
  <si>
    <t>27,834.00</t>
  </si>
  <si>
    <t>1,494,025.00</t>
  </si>
  <si>
    <t>1,071,595.00</t>
  </si>
  <si>
    <t>405,160.00</t>
  </si>
  <si>
    <t>123,321.00</t>
  </si>
  <si>
    <t>340,328.00</t>
  </si>
  <si>
    <t>38,626.00</t>
  </si>
  <si>
    <t>12,540,223.61</t>
  </si>
  <si>
    <t>7,339,637.00</t>
  </si>
  <si>
    <t>660,047.00</t>
  </si>
  <si>
    <t>54,870,484.93</t>
  </si>
  <si>
    <t>887,000.00</t>
  </si>
  <si>
    <t>4,484,116.07</t>
  </si>
  <si>
    <t>1,865,387.00</t>
  </si>
  <si>
    <t>530,400.00</t>
  </si>
  <si>
    <t>522,236.00</t>
  </si>
  <si>
    <t>764,700.00</t>
  </si>
  <si>
    <t>142,835.00</t>
  </si>
  <si>
    <t>1,315,320.00</t>
  </si>
  <si>
    <t>156,400.00</t>
  </si>
  <si>
    <t>1,424,377.53</t>
  </si>
  <si>
    <t>3,184,980.29</t>
  </si>
  <si>
    <t>26,859,098.35</t>
  </si>
  <si>
    <t>2,376,000.00</t>
  </si>
  <si>
    <t>689,040.00</t>
  </si>
  <si>
    <t>457,100.00</t>
  </si>
  <si>
    <t>30,014,557.00</t>
  </si>
  <si>
    <t>5,630.00</t>
  </si>
  <si>
    <t>969,192,253.28</t>
  </si>
  <si>
    <t>22,982,342.32</t>
  </si>
  <si>
    <t>1,567,362.00</t>
  </si>
  <si>
    <t>169,079.00</t>
  </si>
  <si>
    <t>1,306,469.00</t>
  </si>
  <si>
    <t>13,997,851.78</t>
  </si>
  <si>
    <t>99,721.00</t>
  </si>
  <si>
    <t>19,504,099.08</t>
  </si>
  <si>
    <t>549,250.00</t>
  </si>
  <si>
    <t>173,782.00</t>
  </si>
  <si>
    <t>680,839.96</t>
  </si>
  <si>
    <t>1,825,000.00</t>
  </si>
  <si>
    <t>295,940.00</t>
  </si>
  <si>
    <t>290,764.53</t>
  </si>
  <si>
    <t>49,712.42</t>
  </si>
  <si>
    <t>254,650.00</t>
  </si>
  <si>
    <t>144,800.00</t>
  </si>
  <si>
    <t>3,359,844.01</t>
  </si>
  <si>
    <t>2,874,050.00</t>
  </si>
  <si>
    <t>1,996,120.07</t>
  </si>
  <si>
    <t>309,960.00</t>
  </si>
  <si>
    <t>39,915,000.00</t>
  </si>
  <si>
    <t>5,160,000.00</t>
  </si>
  <si>
    <t>2,422,035.00</t>
  </si>
  <si>
    <t>1,910,968.25</t>
  </si>
  <si>
    <t>1,373,648.00</t>
  </si>
  <si>
    <t>260,145.00</t>
  </si>
  <si>
    <t>1,299,225.83</t>
  </si>
  <si>
    <t>102,530.00</t>
  </si>
  <si>
    <t>2,451,809.46</t>
  </si>
  <si>
    <t>1,497,603.02</t>
  </si>
  <si>
    <t>1,932,500.00</t>
  </si>
  <si>
    <t>2,219,921.25</t>
  </si>
  <si>
    <t>1,875.00</t>
  </si>
  <si>
    <t>153,345.50</t>
  </si>
  <si>
    <t>2,908,567.71</t>
  </si>
  <si>
    <t>885,645.18</t>
  </si>
  <si>
    <t>9,892,910.65</t>
  </si>
  <si>
    <t>8,477,465.59</t>
  </si>
  <si>
    <t>923,300.54</t>
  </si>
  <si>
    <t>498,295.24</t>
  </si>
  <si>
    <t>999,940.92</t>
  </si>
  <si>
    <t>37,189,353.60</t>
  </si>
  <si>
    <t>3,674,633.38</t>
  </si>
  <si>
    <t>1,536,488.00</t>
  </si>
  <si>
    <t>747,000.00</t>
  </si>
  <si>
    <t>4,015,000.00</t>
  </si>
  <si>
    <t>3,293,890.49</t>
  </si>
  <si>
    <t>24,370,608.75</t>
  </si>
  <si>
    <t>997,200.00</t>
  </si>
  <si>
    <t>624,549.00</t>
  </si>
  <si>
    <t>7,037.56</t>
  </si>
  <si>
    <t>2,224,953.16</t>
  </si>
  <si>
    <t>1,162,729.00</t>
  </si>
  <si>
    <t>533,800.00</t>
  </si>
  <si>
    <t>103,300.00</t>
  </si>
  <si>
    <t>5,665,000.00</t>
  </si>
  <si>
    <t>4,165,008.50</t>
  </si>
  <si>
    <t>101,031.00</t>
  </si>
  <si>
    <t>9,687,288.00</t>
  </si>
  <si>
    <t>6,880.00</t>
  </si>
  <si>
    <t>18,000,000.00</t>
  </si>
  <si>
    <t>4,381,000.00</t>
  </si>
  <si>
    <t>964,775.00</t>
  </si>
  <si>
    <t>14,635,243.25</t>
  </si>
  <si>
    <t>499,060.00</t>
  </si>
  <si>
    <t>1,954,434.20</t>
  </si>
  <si>
    <t>5,423,000.00</t>
  </si>
  <si>
    <t>8,837,271.00</t>
  </si>
  <si>
    <t>258,218.85</t>
  </si>
  <si>
    <t>3,515,680.00</t>
  </si>
  <si>
    <t>445,750.00</t>
  </si>
  <si>
    <t>30,260.00</t>
  </si>
  <si>
    <t>1,520,155.25</t>
  </si>
  <si>
    <t>19,999,901.41</t>
  </si>
  <si>
    <t>749,500.00</t>
  </si>
  <si>
    <t>847,849.16</t>
  </si>
  <si>
    <t>16,165,000.00</t>
  </si>
  <si>
    <t>1,306,800.00</t>
  </si>
  <si>
    <t>24,874,833.46</t>
  </si>
  <si>
    <t>29,829,594.62</t>
  </si>
  <si>
    <t>157,645.00</t>
  </si>
  <si>
    <t>2,717,138.12</t>
  </si>
  <si>
    <t>3,598,275.16</t>
  </si>
  <si>
    <t>8,684,000.00</t>
  </si>
  <si>
    <t>6,867,227.35</t>
  </si>
  <si>
    <t>1,800,500.00</t>
  </si>
  <si>
    <t>65,600.00</t>
  </si>
  <si>
    <t>90,165.00</t>
  </si>
  <si>
    <t>14,032,792.87</t>
  </si>
  <si>
    <t>1,947,000.00</t>
  </si>
  <si>
    <t>1,699,926.34</t>
  </si>
  <si>
    <t>1,452,393.56</t>
  </si>
  <si>
    <t>812,000.00</t>
  </si>
  <si>
    <t>1,944,724.00</t>
  </si>
  <si>
    <t>2,905,260.68</t>
  </si>
  <si>
    <t>9,650,000.00</t>
  </si>
  <si>
    <t>1,454,903.00</t>
  </si>
  <si>
    <t>483,100.00</t>
  </si>
  <si>
    <t>2,695,900.00</t>
  </si>
  <si>
    <t>2,380,100.00</t>
  </si>
  <si>
    <t>2,635,098.50</t>
  </si>
  <si>
    <t>1,870,652.64</t>
  </si>
  <si>
    <t>11,707,000.00</t>
  </si>
  <si>
    <t>5,794,468.94</t>
  </si>
  <si>
    <t>1,559,250.00</t>
  </si>
  <si>
    <t>1,301,182.00</t>
  </si>
  <si>
    <t>1,948,821.87</t>
  </si>
  <si>
    <t>3,280,000.00</t>
  </si>
  <si>
    <t>503,400.00</t>
  </si>
  <si>
    <t>4,260,904.70</t>
  </si>
  <si>
    <t>98,059,056.03</t>
  </si>
  <si>
    <t>637,186.26</t>
  </si>
  <si>
    <t>8,300,000.00</t>
  </si>
  <si>
    <t>99,140.00</t>
  </si>
  <si>
    <t>318,500.00</t>
  </si>
  <si>
    <t>922,500.00</t>
  </si>
  <si>
    <t>7,511,740.64</t>
  </si>
  <si>
    <t>130,000,000.00</t>
  </si>
  <si>
    <t>1,387,233.53</t>
  </si>
  <si>
    <t>1,160,655.00</t>
  </si>
  <si>
    <t>1,220,000.00</t>
  </si>
  <si>
    <t>1,220,686.00</t>
  </si>
  <si>
    <t>1,020,500.00</t>
  </si>
  <si>
    <t>379,000.00</t>
  </si>
  <si>
    <t>997,920.00</t>
  </si>
  <si>
    <t>6,250,000.00</t>
  </si>
  <si>
    <t>66,850.00</t>
  </si>
  <si>
    <t>81,935,712.21</t>
  </si>
  <si>
    <t>1,040,490.50</t>
  </si>
  <si>
    <t>6.80</t>
  </si>
  <si>
    <t>1,353,177.60</t>
  </si>
  <si>
    <t>1,647,000.00</t>
  </si>
  <si>
    <t>1,954,920.00</t>
  </si>
  <si>
    <t>16,544,063.00</t>
  </si>
  <si>
    <t>802,620.00</t>
  </si>
  <si>
    <t>290,770.79</t>
  </si>
  <si>
    <t>99,615.00</t>
  </si>
  <si>
    <t>1,014,761.57</t>
  </si>
  <si>
    <t>1,464,000.00</t>
  </si>
  <si>
    <t>1,367,650.00</t>
  </si>
  <si>
    <t>4,797,600.00</t>
  </si>
  <si>
    <t>2,072,200.00</t>
  </si>
  <si>
    <t>2,501,035.10</t>
  </si>
  <si>
    <t>1,944,000.00</t>
  </si>
  <si>
    <t>3,053,932.61</t>
  </si>
  <si>
    <t>3,439,930.00</t>
  </si>
  <si>
    <t>1,465,492.00</t>
  </si>
  <si>
    <t>8,682,198.00</t>
  </si>
  <si>
    <t>12,050.00</t>
  </si>
  <si>
    <t>5,053,660.00</t>
  </si>
  <si>
    <t>2,244,963.00</t>
  </si>
  <si>
    <t>115,910,000.00</t>
  </si>
  <si>
    <t>12,469,506.72</t>
  </si>
  <si>
    <t>1,147,365.00</t>
  </si>
  <si>
    <t>2,503,000.00</t>
  </si>
  <si>
    <t>2,917,000.00</t>
  </si>
  <si>
    <t>3,008,067.00</t>
  </si>
  <si>
    <t>2,592,000.00</t>
  </si>
  <si>
    <t>4,725,476.99</t>
  </si>
  <si>
    <t>2,883,890.00</t>
  </si>
  <si>
    <t>21,000,000.00</t>
  </si>
  <si>
    <t>4,143,951.74</t>
  </si>
  <si>
    <t>124,548,000.00</t>
  </si>
  <si>
    <t>7,136,587.63</t>
  </si>
  <si>
    <t>5,714,000.00</t>
  </si>
  <si>
    <t>3,999,774.84</t>
  </si>
  <si>
    <t>14,430,220.00</t>
  </si>
  <si>
    <t>461,275.25</t>
  </si>
  <si>
    <t>55,120,000.00</t>
  </si>
  <si>
    <t>1,074,310.50</t>
  </si>
  <si>
    <t>1,704,873.60</t>
  </si>
  <si>
    <t>9,100,000.00</t>
  </si>
  <si>
    <t>2,230,890.00</t>
  </si>
  <si>
    <t>140,994.00</t>
  </si>
  <si>
    <t>2,449,619.90</t>
  </si>
  <si>
    <t>2,337,750.00</t>
  </si>
  <si>
    <t>4,677,750.00</t>
  </si>
  <si>
    <t>6,450,000.00</t>
  </si>
  <si>
    <t>4,141,400.00</t>
  </si>
  <si>
    <t>8,334,400.00</t>
  </si>
  <si>
    <t>1,225,725.61</t>
  </si>
  <si>
    <t>2,542,065.00</t>
  </si>
  <si>
    <t>211,875.00</t>
  </si>
  <si>
    <t>486,995.28</t>
  </si>
  <si>
    <t>877,133.22</t>
  </si>
  <si>
    <t>4,796,235.00</t>
  </si>
  <si>
    <t>390,414.68</t>
  </si>
  <si>
    <t>1,942,500.00</t>
  </si>
  <si>
    <t>481,901.51</t>
  </si>
  <si>
    <t>293,115.45</t>
  </si>
  <si>
    <t>1,495,273.52</t>
  </si>
  <si>
    <t>253,812.73</t>
  </si>
  <si>
    <t>291,392.18</t>
  </si>
  <si>
    <t>1,197,202.95</t>
  </si>
  <si>
    <t>4,475,000.00</t>
  </si>
  <si>
    <t>144,599,917.30</t>
  </si>
  <si>
    <t>408,025.80</t>
  </si>
  <si>
    <t>357,143.00</t>
  </si>
  <si>
    <t>297,477.57</t>
  </si>
  <si>
    <t>205,654.05</t>
  </si>
  <si>
    <t>7,239,000.00</t>
  </si>
  <si>
    <t>324,255.61</t>
  </si>
  <si>
    <t>3,848,000.00</t>
  </si>
  <si>
    <t>19,279,915.24</t>
  </si>
  <si>
    <t>998,184.07</t>
  </si>
  <si>
    <t>1,998,689.26</t>
  </si>
  <si>
    <t>41,306,086.00</t>
  </si>
  <si>
    <t>2,997,825.42</t>
  </si>
  <si>
    <t>5,990,507.45</t>
  </si>
  <si>
    <t>1,994,475.00</t>
  </si>
  <si>
    <t>2,996,811.52</t>
  </si>
  <si>
    <t>469,216.00</t>
  </si>
  <si>
    <t>1,999,170.15</t>
  </si>
  <si>
    <t>6,999,969.36</t>
  </si>
  <si>
    <t>1,132,470.00</t>
  </si>
  <si>
    <t>19,188,990.87</t>
  </si>
  <si>
    <t>16,980,758.64</t>
  </si>
  <si>
    <t>548,159.49</t>
  </si>
  <si>
    <t>1,472,765.45</t>
  </si>
  <si>
    <t>1,980,500.00</t>
  </si>
  <si>
    <t>94,660,943.58</t>
  </si>
  <si>
    <t>1,236,602.21</t>
  </si>
  <si>
    <t>694,000.00</t>
  </si>
  <si>
    <t>1,499,415.00</t>
  </si>
  <si>
    <t>17,326,560.00</t>
  </si>
  <si>
    <t>816,597.50</t>
  </si>
  <si>
    <t>39,568,922.00</t>
  </si>
  <si>
    <t>144,748,970.31</t>
  </si>
  <si>
    <t>972,000.00</t>
  </si>
  <si>
    <t>4,337,409.94</t>
  </si>
  <si>
    <t>1,014,150.00</t>
  </si>
  <si>
    <t>405,001.80</t>
  </si>
  <si>
    <t>1,098,865.00</t>
  </si>
  <si>
    <t>323,010.00</t>
  </si>
  <si>
    <t>1,999,999.60</t>
  </si>
  <si>
    <t>4,333,333.20</t>
  </si>
  <si>
    <t>339,998.40</t>
  </si>
  <si>
    <t>6,454,000.00</t>
  </si>
  <si>
    <t>2,133,291.20</t>
  </si>
  <si>
    <t>4,999,964.40</t>
  </si>
  <si>
    <t>5,563,000.00</t>
  </si>
  <si>
    <t>6,333,333.21</t>
  </si>
  <si>
    <t>15,722,750.00</t>
  </si>
  <si>
    <t>506,987.25</t>
  </si>
  <si>
    <t>20,145,000.00</t>
  </si>
  <si>
    <t>11,939,991.48</t>
  </si>
  <si>
    <t>17,000,000.00</t>
  </si>
  <si>
    <t>3,250,000.00</t>
  </si>
  <si>
    <t>2,903,050.00</t>
  </si>
  <si>
    <t>8,431,250.00</t>
  </si>
  <si>
    <t>1,676,000.00</t>
  </si>
  <si>
    <t>9,227,522.72</t>
  </si>
  <si>
    <t>24,500,000.00</t>
  </si>
  <si>
    <t>2,755,000.00</t>
  </si>
  <si>
    <t>36,658,308.00</t>
  </si>
  <si>
    <t>11,700,000.00</t>
  </si>
  <si>
    <t>8,915,000.00</t>
  </si>
  <si>
    <t>3,694,592.05</t>
  </si>
  <si>
    <t>4,160,000.00</t>
  </si>
  <si>
    <t>2,886,000.00</t>
  </si>
  <si>
    <t>5,235,000.00</t>
  </si>
  <si>
    <t>3,470,000.00</t>
  </si>
  <si>
    <t>7,981,000.00</t>
  </si>
  <si>
    <t>1,360,000.00</t>
  </si>
  <si>
    <t>32,499,415.20</t>
  </si>
  <si>
    <t>1,413,980.00</t>
  </si>
  <si>
    <t>4,995,000.00</t>
  </si>
  <si>
    <t>1,085,683.80</t>
  </si>
  <si>
    <t>7,399,575.00</t>
  </si>
  <si>
    <t>1,054,100.00</t>
  </si>
  <si>
    <t>1,530,731.00</t>
  </si>
  <si>
    <t>9,644,000.00</t>
  </si>
  <si>
    <t>112,840.00</t>
  </si>
  <si>
    <t>54,580.00</t>
  </si>
  <si>
    <t>146,544.00</t>
  </si>
  <si>
    <t>4,025,000.00</t>
  </si>
  <si>
    <t>108,390.00</t>
  </si>
  <si>
    <t>5,400.00</t>
  </si>
  <si>
    <t>3,367,020.00</t>
  </si>
  <si>
    <t>255,606.00</t>
  </si>
  <si>
    <t>1,225,000.00</t>
  </si>
  <si>
    <t>2,945,000.00</t>
  </si>
  <si>
    <t>199,754.00</t>
  </si>
  <si>
    <t>1,163,617.62</t>
  </si>
  <si>
    <t>2,972,801.48</t>
  </si>
  <si>
    <t>299,563.00</t>
  </si>
  <si>
    <t>1,133,335.20</t>
  </si>
  <si>
    <t>515,605.00</t>
  </si>
  <si>
    <t>1,889,194.00</t>
  </si>
  <si>
    <t>131,355.00</t>
  </si>
  <si>
    <t>469,705.50</t>
  </si>
  <si>
    <t>80,161.31</t>
  </si>
  <si>
    <t>1,499,972.32</t>
  </si>
  <si>
    <t>112,740.00</t>
  </si>
  <si>
    <t>2,177,777.48</t>
  </si>
  <si>
    <t>164,400.00</t>
  </si>
  <si>
    <t>220,750.00</t>
  </si>
  <si>
    <t>16,750.00</t>
  </si>
  <si>
    <t>7,996,800.00</t>
  </si>
  <si>
    <t>369,999.98</t>
  </si>
  <si>
    <t>1,820,000.00</t>
  </si>
  <si>
    <t>2,098,750.00</t>
  </si>
  <si>
    <t>384,580.00</t>
  </si>
  <si>
    <t>2,591,000.00</t>
  </si>
  <si>
    <t>2,975,000.00</t>
  </si>
  <si>
    <t>82,400.00</t>
  </si>
  <si>
    <t>2,415,601.10</t>
  </si>
  <si>
    <t>2,437,600.00</t>
  </si>
  <si>
    <t>1,006,760.00</t>
  </si>
  <si>
    <t>3,019,109.57</t>
  </si>
  <si>
    <t>3,775,000.00</t>
  </si>
  <si>
    <t>14,954,075.29</t>
  </si>
  <si>
    <t>4,499,847.97</t>
  </si>
  <si>
    <t>1,999,760.68</t>
  </si>
  <si>
    <t>1,771,406.00</t>
  </si>
  <si>
    <t>3,505,500.00</t>
  </si>
  <si>
    <t>666,959.85</t>
  </si>
  <si>
    <t>1,748,327.43</t>
  </si>
  <si>
    <t>35,200,000.00</t>
  </si>
  <si>
    <t>1,748,135.87</t>
  </si>
  <si>
    <t>786,965.00</t>
  </si>
  <si>
    <t>14,567,308.00</t>
  </si>
  <si>
    <t>1,498,829.75</t>
  </si>
  <si>
    <t>3,254,400.00</t>
  </si>
  <si>
    <t>3,605,000.00</t>
  </si>
  <si>
    <t>794,259.00</t>
  </si>
  <si>
    <t>213,386.25</t>
  </si>
  <si>
    <t>607,150.00</t>
  </si>
  <si>
    <t>2,999,903.85</t>
  </si>
  <si>
    <t>1,001,436.00</t>
  </si>
  <si>
    <t>3,341,218.35</t>
  </si>
  <si>
    <t>1,168,851.00</t>
  </si>
  <si>
    <t>12,173,292.48</t>
  </si>
  <si>
    <t>12,335,000.00</t>
  </si>
  <si>
    <t>9,338,800.00</t>
  </si>
  <si>
    <t>4,196,785.21</t>
  </si>
  <si>
    <t>99,940.00</t>
  </si>
  <si>
    <t>3,080,395.03</t>
  </si>
  <si>
    <t>185,500.00</t>
  </si>
  <si>
    <t>50,885.00</t>
  </si>
  <si>
    <t>283,000.00</t>
  </si>
  <si>
    <t>3,094,397.64</t>
  </si>
  <si>
    <t>139,950.00</t>
  </si>
  <si>
    <t>323,956.40</t>
  </si>
  <si>
    <t>31,500.00</t>
  </si>
  <si>
    <t>25,125,383.59</t>
  </si>
  <si>
    <t>1,417,080.00</t>
  </si>
  <si>
    <t>56,400.00</t>
  </si>
  <si>
    <t>52,850.00</t>
  </si>
  <si>
    <t>480,926.00</t>
  </si>
  <si>
    <t>150,048.00</t>
  </si>
  <si>
    <t>249,998.52</t>
  </si>
  <si>
    <t>3,999,033.56</t>
  </si>
  <si>
    <t>83,300,000.00</t>
  </si>
  <si>
    <t>126,510.00</t>
  </si>
  <si>
    <t>10,476,876.75</t>
  </si>
  <si>
    <t>118,900.00</t>
  </si>
  <si>
    <t>182,586.00</t>
  </si>
  <si>
    <t>1,617,000.00</t>
  </si>
  <si>
    <t>1,952,530.00</t>
  </si>
  <si>
    <t>161,753.00</t>
  </si>
  <si>
    <t>154,932.90</t>
  </si>
  <si>
    <t>3,675,037.85</t>
  </si>
  <si>
    <t>282,565.00</t>
  </si>
  <si>
    <t>1,146,195.00</t>
  </si>
  <si>
    <t>2,993,145.18</t>
  </si>
  <si>
    <t>2,989,822.02</t>
  </si>
  <si>
    <t>4,173,208.10</t>
  </si>
  <si>
    <t>9,699,606.89</t>
  </si>
  <si>
    <t>303,000.00</t>
  </si>
  <si>
    <t>12,400,000.00</t>
  </si>
  <si>
    <t>543,471.00</t>
  </si>
  <si>
    <t>2,077,773.82</t>
  </si>
  <si>
    <t>2,469,000.00</t>
  </si>
  <si>
    <t>2,188,800.00</t>
  </si>
  <si>
    <t>1,857,000.00</t>
  </si>
  <si>
    <t>1,405,837.43</t>
  </si>
  <si>
    <t>195,120.00</t>
  </si>
  <si>
    <t>1,880,916.80</t>
  </si>
  <si>
    <t>1,418,936.76</t>
  </si>
  <si>
    <t>1,283,910.50</t>
  </si>
  <si>
    <t>1,953,850.00</t>
  </si>
  <si>
    <t>6,307,500.00</t>
  </si>
  <si>
    <t>3,960,458.10</t>
  </si>
  <si>
    <t>2,106,952.00</t>
  </si>
  <si>
    <t>3,180,978.17</t>
  </si>
  <si>
    <t>2,805,000.00</t>
  </si>
  <si>
    <t>1,716,609.88</t>
  </si>
  <si>
    <t>930,974.00</t>
  </si>
  <si>
    <t>4,624,105.00</t>
  </si>
  <si>
    <t>5,998,601.59</t>
  </si>
  <si>
    <t>499,934.57</t>
  </si>
  <si>
    <t>4,384,780.00</t>
  </si>
  <si>
    <t>701,490.00</t>
  </si>
  <si>
    <t>9,661,900.00</t>
  </si>
  <si>
    <t>478,000.00</t>
  </si>
  <si>
    <t>549,925.00</t>
  </si>
  <si>
    <t>231,025.00</t>
  </si>
  <si>
    <t>2,196,000.00</t>
  </si>
  <si>
    <t>2,268,836.25</t>
  </si>
  <si>
    <t>467,313.00</t>
  </si>
  <si>
    <t>1,142,539.48</t>
  </si>
  <si>
    <t>370,520.00</t>
  </si>
  <si>
    <t>315,100.00</t>
  </si>
  <si>
    <t>1,047,670.50</t>
  </si>
  <si>
    <t>5,768,094.12</t>
  </si>
  <si>
    <t>379,819.84</t>
  </si>
  <si>
    <t>2,334,000.00</t>
  </si>
  <si>
    <t>5,720,000.00</t>
  </si>
  <si>
    <t>709,560.73</t>
  </si>
  <si>
    <t>3,116,882.20</t>
  </si>
  <si>
    <t>2,476,500.00</t>
  </si>
  <si>
    <t>1,521,340.00</t>
  </si>
  <si>
    <t>1,245,344.00</t>
  </si>
  <si>
    <t>289,879.20</t>
  </si>
  <si>
    <t>493,737.66</t>
  </si>
  <si>
    <t>287,064.00</t>
  </si>
  <si>
    <t>2,483,389.37</t>
  </si>
  <si>
    <t>249,057.04</t>
  </si>
  <si>
    <t>680,720.00</t>
  </si>
  <si>
    <t>3,942,852.45</t>
  </si>
  <si>
    <t>26,441,000.00</t>
  </si>
  <si>
    <t>2,474,058.86</t>
  </si>
  <si>
    <t>1,601,605.00</t>
  </si>
  <si>
    <t>177,149.59</t>
  </si>
  <si>
    <t>250,100.00</t>
  </si>
  <si>
    <t>2,249,988.80</t>
  </si>
  <si>
    <t>3,190,000.00</t>
  </si>
  <si>
    <t>1,959,988.08</t>
  </si>
  <si>
    <t>2,927,710.59</t>
  </si>
  <si>
    <t>7,040,000.00</t>
  </si>
  <si>
    <t>26,451,550.00</t>
  </si>
  <si>
    <t>2,769,629.08</t>
  </si>
  <si>
    <t>2,799,417.50</t>
  </si>
  <si>
    <t>1,861,988.46</t>
  </si>
  <si>
    <t>885,000.00</t>
  </si>
  <si>
    <t>403,380.00</t>
  </si>
  <si>
    <t>12,865,492.97</t>
  </si>
  <si>
    <t>6,396,696.10</t>
  </si>
  <si>
    <t>3,742,800.60</t>
  </si>
  <si>
    <t>1,272,000.00</t>
  </si>
  <si>
    <t>1,488,905.00</t>
  </si>
  <si>
    <t>2,530,000.00</t>
  </si>
  <si>
    <t>1,476,338.10</t>
  </si>
  <si>
    <t>1,959,989.07</t>
  </si>
  <si>
    <t>899,850.00</t>
  </si>
  <si>
    <t>186,420.00</t>
  </si>
  <si>
    <t>192,171.00</t>
  </si>
  <si>
    <t>30,600,000.00</t>
  </si>
  <si>
    <t>496,859.28</t>
  </si>
  <si>
    <t>1,875,000.00</t>
  </si>
  <si>
    <t>9,015,325.00</t>
  </si>
  <si>
    <t>238,800.00</t>
  </si>
  <si>
    <t>8,033,000.00</t>
  </si>
  <si>
    <t>99,358.00</t>
  </si>
  <si>
    <t>2,920,000.00</t>
  </si>
  <si>
    <t>4,842,637.00</t>
  </si>
  <si>
    <t>3,506,350.00</t>
  </si>
  <si>
    <t>4,920,898.91</t>
  </si>
  <si>
    <t>54,400,000.00</t>
  </si>
  <si>
    <t>989,999.81</t>
  </si>
  <si>
    <t>4,605,848.20</t>
  </si>
  <si>
    <t>277,000.00</t>
  </si>
  <si>
    <t>1,944,258.55</t>
  </si>
  <si>
    <t>10,498,214.00</t>
  </si>
  <si>
    <t>9,257,000.00</t>
  </si>
  <si>
    <t>125,077.75</t>
  </si>
  <si>
    <t>2,955,000.42</t>
  </si>
  <si>
    <t>1,966,053.60</t>
  </si>
  <si>
    <t>1,999,728.00</t>
  </si>
  <si>
    <t>2,358,000.00</t>
  </si>
  <si>
    <t>1,956,675.30</t>
  </si>
  <si>
    <t>5,512,300.00</t>
  </si>
  <si>
    <t>1,658,200.00</t>
  </si>
  <si>
    <t>3,417,357.88</t>
  </si>
  <si>
    <t>5,164,079.00</t>
  </si>
  <si>
    <t>333,200.00</t>
  </si>
  <si>
    <t>2,933,582.00</t>
  </si>
  <si>
    <t>8,610,800.00</t>
  </si>
  <si>
    <t>1,124,835.01</t>
  </si>
  <si>
    <t>4,207,064.03</t>
  </si>
  <si>
    <t>3,475,516.00</t>
  </si>
  <si>
    <t>594,927.38</t>
  </si>
  <si>
    <t>1,454,395.37</t>
  </si>
  <si>
    <t>1,245,000.00</t>
  </si>
  <si>
    <t>2,362,972.19</t>
  </si>
  <si>
    <t>66,350.00</t>
  </si>
  <si>
    <t>1,999,510.08</t>
  </si>
  <si>
    <t>12,916,488.52</t>
  </si>
  <si>
    <t>1,017,125.79</t>
  </si>
  <si>
    <t>9,000.00</t>
  </si>
  <si>
    <t>2,107,838.00</t>
  </si>
  <si>
    <t>42,875,000.00</t>
  </si>
  <si>
    <t>4,108,000.00</t>
  </si>
  <si>
    <t>1,930,679.60</t>
  </si>
  <si>
    <t>3,933,000.00</t>
  </si>
  <si>
    <t>499,434.80</t>
  </si>
  <si>
    <t>11,929,824.83</t>
  </si>
  <si>
    <t>14,715,000.00</t>
  </si>
  <si>
    <t>2,217,982.28</t>
  </si>
  <si>
    <t>4,869,000.00</t>
  </si>
  <si>
    <t>5,376,427.46</t>
  </si>
  <si>
    <t>992,912.62</t>
  </si>
  <si>
    <t>982,823.83</t>
  </si>
  <si>
    <t>1,971,676.88</t>
  </si>
  <si>
    <t>5,499,372.18</t>
  </si>
  <si>
    <t>688,008.40</t>
  </si>
  <si>
    <t>2,397,000.00</t>
  </si>
  <si>
    <t>2,349,000.00</t>
  </si>
  <si>
    <t>10,492,000.00</t>
  </si>
  <si>
    <t>9,631,000.00</t>
  </si>
  <si>
    <t>8,727,000.00</t>
  </si>
  <si>
    <t>7,918,710.00</t>
  </si>
  <si>
    <t>268,279.13</t>
  </si>
  <si>
    <t>91,942,758.00</t>
  </si>
  <si>
    <t>973,003.68</t>
  </si>
  <si>
    <t>179,216.00</t>
  </si>
  <si>
    <t>903,650.00</t>
  </si>
  <si>
    <t>1,991,253.64</t>
  </si>
  <si>
    <t>89,900,000.00</t>
  </si>
  <si>
    <t>494,433.02</t>
  </si>
  <si>
    <t>6,564,793.00</t>
  </si>
  <si>
    <t>998,039.46</t>
  </si>
  <si>
    <t>620,289.80</t>
  </si>
  <si>
    <t>5,509,207.60</t>
  </si>
  <si>
    <t>853,295.23</t>
  </si>
  <si>
    <t>47,000.00</t>
  </si>
  <si>
    <t>11,939,801.35</t>
  </si>
  <si>
    <t>151,199.04</t>
  </si>
  <si>
    <t>196,649.00</t>
  </si>
  <si>
    <t>986,400.00</t>
  </si>
  <si>
    <t>1,671,855.00</t>
  </si>
  <si>
    <t>1,709,880.00</t>
  </si>
  <si>
    <t>1,008,000.00</t>
  </si>
  <si>
    <t>1,687,476.00</t>
  </si>
  <si>
    <t>419,972.00</t>
  </si>
  <si>
    <t>4,700,000.00</t>
  </si>
  <si>
    <t>1,648,307.43</t>
  </si>
  <si>
    <t>1,135,694.00</t>
  </si>
  <si>
    <t>1,499,381.61</t>
  </si>
  <si>
    <t>5,835,603.83</t>
  </si>
  <si>
    <t>1,938,420.00</t>
  </si>
  <si>
    <t>12,640,297.18</t>
  </si>
  <si>
    <t>1,540,494.04</t>
  </si>
  <si>
    <t>76,195.15</t>
  </si>
  <si>
    <t>1,047,700.00</t>
  </si>
  <si>
    <t>2,655,167.60</t>
  </si>
  <si>
    <t>1,364,800.00</t>
  </si>
  <si>
    <t>25,534,500.00</t>
  </si>
  <si>
    <t>2,297,700.00</t>
  </si>
  <si>
    <t>152,942.35</t>
  </si>
  <si>
    <t>2,646,621.00</t>
  </si>
  <si>
    <t>50,775.00</t>
  </si>
  <si>
    <t>1,212,037.50</t>
  </si>
  <si>
    <t>2,492,058.95</t>
  </si>
  <si>
    <t>1,254,925.00</t>
  </si>
  <si>
    <t>11,955,820.00</t>
  </si>
  <si>
    <t>5,695,000.00</t>
  </si>
  <si>
    <t>1,174,750.00</t>
  </si>
  <si>
    <t>4,820,230.80</t>
  </si>
  <si>
    <t>88,815.50</t>
  </si>
  <si>
    <t>999,605.00</t>
  </si>
  <si>
    <t>428,730.00</t>
  </si>
  <si>
    <t>562,545.43</t>
  </si>
  <si>
    <t>370,250.00</t>
  </si>
  <si>
    <t>1,906,705.00</t>
  </si>
  <si>
    <t>776,147.58</t>
  </si>
  <si>
    <t>6,946,000.00</t>
  </si>
  <si>
    <t>2,900,205.23</t>
  </si>
  <si>
    <t>238,585.00</t>
  </si>
  <si>
    <t>968,520.00</t>
  </si>
  <si>
    <t>951,159.00</t>
  </si>
  <si>
    <t>30,811,650.66</t>
  </si>
  <si>
    <t>1,400,000,000.00</t>
  </si>
  <si>
    <t>3,315,878.87</t>
  </si>
  <si>
    <t>211,285.86</t>
  </si>
  <si>
    <t>25,961,000.00</t>
  </si>
  <si>
    <t>2,090,632.90</t>
  </si>
  <si>
    <t>284,000.00</t>
  </si>
  <si>
    <t>21,043,701.12</t>
  </si>
  <si>
    <t>39,937,968.35</t>
  </si>
  <si>
    <t>71,295.00</t>
  </si>
  <si>
    <t>28,682,972.77</t>
  </si>
  <si>
    <t>69,113,158.67</t>
  </si>
  <si>
    <t>393,923.74</t>
  </si>
  <si>
    <t>2,499,440.35</t>
  </si>
  <si>
    <t>38,256,994.18</t>
  </si>
  <si>
    <t>410,130.00</t>
  </si>
  <si>
    <t>66,179,377.17</t>
  </si>
  <si>
    <t>4,999,923.15</t>
  </si>
  <si>
    <t>55,786.50</t>
  </si>
  <si>
    <t>450,825.00</t>
  </si>
  <si>
    <t>121,690.00</t>
  </si>
  <si>
    <t>1,625,000.00</t>
  </si>
  <si>
    <t>3,943,105.90</t>
  </si>
  <si>
    <t>1,921,440.00</t>
  </si>
  <si>
    <t>1,847,420.00</t>
  </si>
  <si>
    <t>499,989.49</t>
  </si>
  <si>
    <t>150,615,900.00</t>
  </si>
  <si>
    <t>4,521,500.00</t>
  </si>
  <si>
    <t>453,714.98</t>
  </si>
  <si>
    <t>568,147.00</t>
  </si>
  <si>
    <t>8,999,637.00</t>
  </si>
  <si>
    <t>8,071,500.00</t>
  </si>
  <si>
    <t>3,305,218.50</t>
  </si>
  <si>
    <t>4,641,000.00</t>
  </si>
  <si>
    <t>2,798,715.00</t>
  </si>
  <si>
    <t>469,250.00</t>
  </si>
  <si>
    <t>1,077,500.00</t>
  </si>
  <si>
    <t>1,850.00</t>
  </si>
  <si>
    <t>16,913,371.44</t>
  </si>
  <si>
    <t>7,531,757.77</t>
  </si>
  <si>
    <t>8,539,825.00</t>
  </si>
  <si>
    <t>14,331,000.00</t>
  </si>
  <si>
    <t>184,557.10</t>
  </si>
  <si>
    <t>38,578,938.14</t>
  </si>
  <si>
    <t>110,316,600.00</t>
  </si>
  <si>
    <t>9,825,540.00</t>
  </si>
  <si>
    <t>50,733,000.00</t>
  </si>
  <si>
    <t>4,303,340.00</t>
  </si>
  <si>
    <t>1,253,378.12</t>
  </si>
  <si>
    <t>1,027,744.20</t>
  </si>
  <si>
    <t>1,351,218.00</t>
  </si>
  <si>
    <t>214,668.00</t>
  </si>
  <si>
    <t>1,424,161.00</t>
  </si>
  <si>
    <t>988,800.00</t>
  </si>
  <si>
    <t>1,209,940.00</t>
  </si>
  <si>
    <t>2,373,892.22</t>
  </si>
  <si>
    <t>1,685,850.00</t>
  </si>
  <si>
    <t>1,040,245.74</t>
  </si>
  <si>
    <t>997,771.86</t>
  </si>
  <si>
    <t>999,634.93</t>
  </si>
  <si>
    <t>2,542,408.00</t>
  </si>
  <si>
    <t>996,817.14</t>
  </si>
  <si>
    <t>3,061,800.00</t>
  </si>
  <si>
    <t>171,561.00</t>
  </si>
  <si>
    <t>1,918,705.00</t>
  </si>
  <si>
    <t>98,346.45</t>
  </si>
  <si>
    <t>1,074,766.00</t>
  </si>
  <si>
    <t>1,999,945.21</t>
  </si>
  <si>
    <t>444,428.86</t>
  </si>
  <si>
    <t>1,348,293.62</t>
  </si>
  <si>
    <t>3,790,000.00</t>
  </si>
  <si>
    <t>155,800.00</t>
  </si>
  <si>
    <t>1,612,350.00</t>
  </si>
  <si>
    <t>528,000.00</t>
  </si>
  <si>
    <t>176,550.00</t>
  </si>
  <si>
    <t>5,472,675.73</t>
  </si>
  <si>
    <t>2,289,893.63</t>
  </si>
  <si>
    <t>10,290,000.00</t>
  </si>
  <si>
    <t>604,500.00</t>
  </si>
  <si>
    <t>1,469,937.00</t>
  </si>
  <si>
    <t>284,022.62</t>
  </si>
  <si>
    <t>1,236,000.00</t>
  </si>
  <si>
    <t>480,000,000.00</t>
  </si>
  <si>
    <t>268,563.00</t>
  </si>
  <si>
    <t>29,699,919.87</t>
  </si>
  <si>
    <t>4,599,987.58</t>
  </si>
  <si>
    <t>304,587.66</t>
  </si>
  <si>
    <t>3,496,407.84</t>
  </si>
  <si>
    <t>2,211,300.00</t>
  </si>
  <si>
    <t>34,739,798.04</t>
  </si>
  <si>
    <t>530,000.00</t>
  </si>
  <si>
    <t>1,552,820.00</t>
  </si>
  <si>
    <t>1,920,690.00</t>
  </si>
  <si>
    <t>21,949,000.00</t>
  </si>
  <si>
    <t>378,629.00</t>
  </si>
  <si>
    <t>168,968.00</t>
  </si>
  <si>
    <t>12,374,955.73</t>
  </si>
  <si>
    <t>1,737,731.63</t>
  </si>
  <si>
    <t>1,443,985.00</t>
  </si>
  <si>
    <t>135,100,000.00</t>
  </si>
  <si>
    <t>1,440,764.00</t>
  </si>
  <si>
    <t>335,760.00</t>
  </si>
  <si>
    <t>83,250.00</t>
  </si>
  <si>
    <t>4,086,775.00</t>
  </si>
  <si>
    <t>1,023,001.47</t>
  </si>
  <si>
    <t>239,645.00</t>
  </si>
  <si>
    <t>870,113.00</t>
  </si>
  <si>
    <t>6,758,993.64</t>
  </si>
  <si>
    <t>2,194,341.37</t>
  </si>
  <si>
    <t>56,513.00</t>
  </si>
  <si>
    <t>340,506.90</t>
  </si>
  <si>
    <t>5,800,390.27</t>
  </si>
  <si>
    <t>374,044.35</t>
  </si>
  <si>
    <t>252,684.00</t>
  </si>
  <si>
    <t>490,041.00</t>
  </si>
  <si>
    <t>209,634.00</t>
  </si>
  <si>
    <t>244,148.00</t>
  </si>
  <si>
    <t>458,129.00</t>
  </si>
  <si>
    <t>410,735.00</t>
  </si>
  <si>
    <t>2,387,050.00</t>
  </si>
  <si>
    <t>488,165.74</t>
  </si>
  <si>
    <t>1,290,000.00</t>
  </si>
  <si>
    <t>373,215.00</t>
  </si>
  <si>
    <t>5,025,000.00</t>
  </si>
  <si>
    <t>4,455,000.00</t>
  </si>
  <si>
    <t>280,678.00</t>
  </si>
  <si>
    <t>298,631.00</t>
  </si>
  <si>
    <t>23,330,353.39</t>
  </si>
  <si>
    <t>2,560,754.81</t>
  </si>
  <si>
    <t>228,280.00</t>
  </si>
  <si>
    <t>26,983,875.00</t>
  </si>
  <si>
    <t>1,285,140.00</t>
  </si>
  <si>
    <t>1,880,000.00</t>
  </si>
  <si>
    <t>371,723.00</t>
  </si>
  <si>
    <t>99,020.00</t>
  </si>
  <si>
    <t>251,236.00</t>
  </si>
  <si>
    <t>140,182.00</t>
  </si>
  <si>
    <t>686,081.00</t>
  </si>
  <si>
    <t>1,352,850.00</t>
  </si>
  <si>
    <t>30,722,615.00</t>
  </si>
  <si>
    <t>24,800,000.00</t>
  </si>
  <si>
    <t>14,925,000.00</t>
  </si>
  <si>
    <t>168,941.00</t>
  </si>
  <si>
    <t>281,532.00</t>
  </si>
  <si>
    <t>12,409,167.63</t>
  </si>
  <si>
    <t>74,020.00</t>
  </si>
  <si>
    <t>1,470,810.00</t>
  </si>
  <si>
    <t>11,939,996.04</t>
  </si>
  <si>
    <t>858,250.00</t>
  </si>
  <si>
    <t>24,874,958.84</t>
  </si>
  <si>
    <t>278,120.00</t>
  </si>
  <si>
    <t>5,880,000.00</t>
  </si>
  <si>
    <t>1,653,930.00</t>
  </si>
  <si>
    <t>17,309,000.00</t>
  </si>
  <si>
    <t>1,388,700.00</t>
  </si>
  <si>
    <t>219,990.00</t>
  </si>
  <si>
    <t>3,966,521.06</t>
  </si>
  <si>
    <t>2,639,938.80</t>
  </si>
  <si>
    <t>200,533,128.58</t>
  </si>
  <si>
    <t>921,672,000.00</t>
  </si>
  <si>
    <t>79,682.00</t>
  </si>
  <si>
    <t>294,750.00</t>
  </si>
  <si>
    <t>631,700.00</t>
  </si>
  <si>
    <t>232,367.25</t>
  </si>
  <si>
    <t>258,870.00</t>
  </si>
  <si>
    <t>579,110.00</t>
  </si>
  <si>
    <t>2,179,610.00</t>
  </si>
  <si>
    <t>23,218,435.00</t>
  </si>
  <si>
    <t>1,084,519.00</t>
  </si>
  <si>
    <t>253,640.00</t>
  </si>
  <si>
    <t>653,640.00</t>
  </si>
  <si>
    <t>23,142,452.40</t>
  </si>
  <si>
    <t>27,000,000.00</t>
  </si>
  <si>
    <t>1,992,119.67</t>
  </si>
  <si>
    <t>14,049,626.56</t>
  </si>
  <si>
    <t>999,999.98</t>
  </si>
  <si>
    <t>9,468,545.00</t>
  </si>
  <si>
    <t>1,383,770.34</t>
  </si>
  <si>
    <t>1,494,032.95</t>
  </si>
  <si>
    <t>4,975,137.16</t>
  </si>
  <si>
    <t>2,488,981.47</t>
  </si>
  <si>
    <t>2,720,921.76</t>
  </si>
  <si>
    <t>1,110,927.60</t>
  </si>
  <si>
    <t>2,040,691.32</t>
  </si>
  <si>
    <t>1,957,586.58</t>
  </si>
  <si>
    <t>515,383.00</t>
  </si>
  <si>
    <t>1,988,993.45</t>
  </si>
  <si>
    <t>4,950,757.92</t>
  </si>
  <si>
    <t>1,820,162.66</t>
  </si>
  <si>
    <t>452,996.51</t>
  </si>
  <si>
    <t>745,000.00</t>
  </si>
  <si>
    <t>14,915,128.72</t>
  </si>
  <si>
    <t>3,999,991.73</t>
  </si>
  <si>
    <t>2,648,054.43</t>
  </si>
  <si>
    <t>3,041,181.44</t>
  </si>
  <si>
    <t>180,793,360.00</t>
  </si>
  <si>
    <t>968,716.23</t>
  </si>
  <si>
    <t>4,190,000.00</t>
  </si>
  <si>
    <t>215,888.32</t>
  </si>
  <si>
    <t>6,488,000.00</t>
  </si>
  <si>
    <t>722,491.15</t>
  </si>
  <si>
    <t>4,944,000.00</t>
  </si>
  <si>
    <t>778,905.89</t>
  </si>
  <si>
    <t>4,990,000.00</t>
  </si>
  <si>
    <t>617,152.00</t>
  </si>
  <si>
    <t>224,999.52</t>
  </si>
  <si>
    <t>984,624.00</t>
  </si>
  <si>
    <t>3,437,884.82</t>
  </si>
  <si>
    <t>261,300.00</t>
  </si>
  <si>
    <t>432,045.00</t>
  </si>
  <si>
    <t>503,300.00</t>
  </si>
  <si>
    <t>318,661.00</t>
  </si>
  <si>
    <t>381,641.57</t>
  </si>
  <si>
    <t>92,150.00</t>
  </si>
  <si>
    <t>46,108,275.00</t>
  </si>
  <si>
    <t>3,994,518.51</t>
  </si>
  <si>
    <t>2,218,000.00</t>
  </si>
  <si>
    <t>272,700.00</t>
  </si>
  <si>
    <t>853,500.00</t>
  </si>
  <si>
    <t>4,592,000.00</t>
  </si>
  <si>
    <t>7,668,000.00</t>
  </si>
  <si>
    <t>1,981,009.32</t>
  </si>
  <si>
    <t>17,441,308.10</t>
  </si>
  <si>
    <t>166,920.00</t>
  </si>
  <si>
    <t>3,177,367.00</t>
  </si>
  <si>
    <t>16,897,796.72</t>
  </si>
  <si>
    <t>1,497,374.36</t>
  </si>
  <si>
    <t>10,370,000.00</t>
  </si>
  <si>
    <t>14,400,000.00</t>
  </si>
  <si>
    <t>1,500,855.00</t>
  </si>
  <si>
    <t>19,100.00</t>
  </si>
  <si>
    <t>9,101,220.53</t>
  </si>
  <si>
    <t>28,947,700.00</t>
  </si>
  <si>
    <t>2,549,300.00</t>
  </si>
  <si>
    <t>4,986,967.86</t>
  </si>
  <si>
    <t>33,665,939.00</t>
  </si>
  <si>
    <t>7,392,907.70</t>
  </si>
  <si>
    <t>548,589.21</t>
  </si>
  <si>
    <t>1,999,024.84</t>
  </si>
  <si>
    <t>444,311.00</t>
  </si>
  <si>
    <t>23,040,759.00</t>
  </si>
  <si>
    <t>29,963,594.00</t>
  </si>
  <si>
    <t>3,017,500.00</t>
  </si>
  <si>
    <t>3,067,162.51</t>
  </si>
  <si>
    <t>229,740.00</t>
  </si>
  <si>
    <t>2,083,900.00</t>
  </si>
  <si>
    <t>3,613,520.00</t>
  </si>
  <si>
    <t>4,838,630.00</t>
  </si>
  <si>
    <t>1,270,755.00</t>
  </si>
  <si>
    <t>2,922,476.93</t>
  </si>
  <si>
    <t>3,013,300.00</t>
  </si>
  <si>
    <t>5,851,000.00</t>
  </si>
  <si>
    <t>1,409,850.00</t>
  </si>
  <si>
    <t>88,575,976.55</t>
  </si>
  <si>
    <t>3,289,000.00</t>
  </si>
  <si>
    <t>93,300.00</t>
  </si>
  <si>
    <t>1,405,385.00</t>
  </si>
  <si>
    <t>2,225,385.75</t>
  </si>
  <si>
    <t>376,755.00</t>
  </si>
  <si>
    <t>7,030,600.00</t>
  </si>
  <si>
    <t>356,283.00</t>
  </si>
  <si>
    <t>767,922.50</t>
  </si>
  <si>
    <t>1,703,000.00</t>
  </si>
  <si>
    <t>1,795,080.00</t>
  </si>
  <si>
    <t>271,800.00</t>
  </si>
  <si>
    <t>30,150,000.00</t>
  </si>
  <si>
    <t>2,825,000.00</t>
  </si>
  <si>
    <t>11,939,881.02</t>
  </si>
  <si>
    <t>3,094,320.00</t>
  </si>
  <si>
    <t>1,640,000.00</t>
  </si>
  <si>
    <t>2,857,010.10</t>
  </si>
  <si>
    <t>403,680.78</t>
  </si>
  <si>
    <t>12,436,925.05</t>
  </si>
  <si>
    <t>4,360,000.00</t>
  </si>
  <si>
    <t>23,511,064.00</t>
  </si>
  <si>
    <t>201,491.25</t>
  </si>
  <si>
    <t>6,900,000.00</t>
  </si>
  <si>
    <t>334,400.00</t>
  </si>
  <si>
    <t>19,700.00</t>
  </si>
  <si>
    <t>699,676.69</t>
  </si>
  <si>
    <t>3,940,305.57</t>
  </si>
  <si>
    <t>537,850.00</t>
  </si>
  <si>
    <t>1,163,000.00</t>
  </si>
  <si>
    <t>275,500.00</t>
  </si>
  <si>
    <t>84,780.00</t>
  </si>
  <si>
    <t>165,245.00</t>
  </si>
  <si>
    <t>1,372,256.00</t>
  </si>
  <si>
    <t>5,749,935.67</t>
  </si>
  <si>
    <t>6,599,360.00</t>
  </si>
  <si>
    <t>470,500.00</t>
  </si>
  <si>
    <t>613,765.50</t>
  </si>
  <si>
    <t>627,000.00</t>
  </si>
  <si>
    <t>2,431,781.81</t>
  </si>
  <si>
    <t>2,208,000.00</t>
  </si>
  <si>
    <t>9,862,000.00</t>
  </si>
  <si>
    <t>10,997,261.58</t>
  </si>
  <si>
    <t>841,471.40</t>
  </si>
  <si>
    <t>228,080.00</t>
  </si>
  <si>
    <t>372,120.00</t>
  </si>
  <si>
    <t>477,850.00</t>
  </si>
  <si>
    <t>980,297.06</t>
  </si>
  <si>
    <t>27,800,000.00</t>
  </si>
  <si>
    <t>1,783,798.00</t>
  </si>
  <si>
    <t>9,304,120.00</t>
  </si>
  <si>
    <t>1,399,391.00</t>
  </si>
  <si>
    <t>28,957,357.98</t>
  </si>
  <si>
    <t>11,300,000.00</t>
  </si>
  <si>
    <t>1,186,200.00</t>
  </si>
  <si>
    <t>29,392,133.43</t>
  </si>
  <si>
    <t>15,101,040.08</t>
  </si>
  <si>
    <t>1,162,108.04</t>
  </si>
  <si>
    <t>2,593,831.00</t>
  </si>
  <si>
    <t>275,920.00</t>
  </si>
  <si>
    <t>67,170,451.01</t>
  </si>
  <si>
    <t>11,939,885.66</t>
  </si>
  <si>
    <t>796,002.00</t>
  </si>
  <si>
    <t>15,150,000.00</t>
  </si>
  <si>
    <t>999,754.06</t>
  </si>
  <si>
    <t>754,865.10</t>
  </si>
  <si>
    <t>82,000,000.00</t>
  </si>
  <si>
    <t>12,437,413.20</t>
  </si>
  <si>
    <t>2,022,250.00</t>
  </si>
  <si>
    <t>11,939,282.67</t>
  </si>
  <si>
    <t>2,549,928.00</t>
  </si>
  <si>
    <t>39,375,835.95</t>
  </si>
  <si>
    <t>1,934,767.06</t>
  </si>
  <si>
    <t>30,700,000.00</t>
  </si>
  <si>
    <t>11,939,700.28</t>
  </si>
  <si>
    <t>10,917,691.66</t>
  </si>
  <si>
    <t>499,450.00</t>
  </si>
  <si>
    <t>4,168,934.90</t>
  </si>
  <si>
    <t>8,410,856.44</t>
  </si>
  <si>
    <t>2,980,000.00</t>
  </si>
  <si>
    <t>2,281,600.00</t>
  </si>
  <si>
    <t>12,437,348.37</t>
  </si>
  <si>
    <t>1,581,927.00</t>
  </si>
  <si>
    <t>12,934,585.53</t>
  </si>
  <si>
    <t>4,580,000.00</t>
  </si>
  <si>
    <t>1,078,896.00</t>
  </si>
  <si>
    <t>28,545,866.97</t>
  </si>
  <si>
    <t>6,610,000.00</t>
  </si>
  <si>
    <t>99,600.00</t>
  </si>
  <si>
    <t>92,500.00</t>
  </si>
  <si>
    <t>9,985,917.62</t>
  </si>
  <si>
    <t>8,971,878.01</t>
  </si>
  <si>
    <t>3,824,648.00</t>
  </si>
  <si>
    <t>86,530.00</t>
  </si>
  <si>
    <t>9,999,964.13</t>
  </si>
  <si>
    <t>9,048,518.04</t>
  </si>
  <si>
    <t>6,288,708.14</t>
  </si>
  <si>
    <t>871,600.00</t>
  </si>
  <si>
    <t>2,999,322.02</t>
  </si>
  <si>
    <t>1,591,850,199.91</t>
  </si>
  <si>
    <t>746,380.31</t>
  </si>
  <si>
    <t>3,441,241.55</t>
  </si>
  <si>
    <t>595,045.00</t>
  </si>
  <si>
    <t>356,053.50</t>
  </si>
  <si>
    <t>1,798,000.00</t>
  </si>
  <si>
    <t>2,323,432.77</t>
  </si>
  <si>
    <t>3,997,769.12</t>
  </si>
  <si>
    <t>183,214.00</t>
  </si>
  <si>
    <t>47,953,816.00</t>
  </si>
  <si>
    <t>3,794,521.30</t>
  </si>
  <si>
    <t>13,781,062.34</t>
  </si>
  <si>
    <t>174,200.00</t>
  </si>
  <si>
    <t>1,345,640.00</t>
  </si>
  <si>
    <t>11,939,640.78</t>
  </si>
  <si>
    <t>66,289.49</t>
  </si>
  <si>
    <t>39,393,660.00</t>
  </si>
  <si>
    <t>819,770.02</t>
  </si>
  <si>
    <t>1,999,800.00</t>
  </si>
  <si>
    <t>153,378.00</t>
  </si>
  <si>
    <t>52,050.00</t>
  </si>
  <si>
    <t>1,578,900.00</t>
  </si>
  <si>
    <t>22,440,000.00</t>
  </si>
  <si>
    <t>1,845,000.00</t>
  </si>
  <si>
    <t>1,323,135.00</t>
  </si>
  <si>
    <t>4,934,159.54</t>
  </si>
  <si>
    <t>2,593,488.11</t>
  </si>
  <si>
    <t>362,500.00</t>
  </si>
  <si>
    <t>9,976,912.00</t>
  </si>
  <si>
    <t>5,156,133.50</t>
  </si>
  <si>
    <t>12,437,456.94</t>
  </si>
  <si>
    <t>248,800.00</t>
  </si>
  <si>
    <t>20,428,800.00</t>
  </si>
  <si>
    <t>124,930.00</t>
  </si>
  <si>
    <t>1,135,710.00</t>
  </si>
  <si>
    <t>1,157,408.00</t>
  </si>
  <si>
    <t>1,599,902.00</t>
  </si>
  <si>
    <t>1,337,692.00</t>
  </si>
  <si>
    <t>384,182.60</t>
  </si>
  <si>
    <t>1,360,548.00</t>
  </si>
  <si>
    <t>1,388,640.00</t>
  </si>
  <si>
    <t>522,131.33</t>
  </si>
  <si>
    <t>349,359.74</t>
  </si>
  <si>
    <t>16,778,600.85</t>
  </si>
  <si>
    <t>4,378,433.00</t>
  </si>
  <si>
    <t>8,136,467.00</t>
  </si>
  <si>
    <t>27,400,091.58</t>
  </si>
  <si>
    <t>305,350.00</t>
  </si>
  <si>
    <t>2,197,942.77</t>
  </si>
  <si>
    <t>4,368,026.00</t>
  </si>
  <si>
    <t>328,200.00</t>
  </si>
  <si>
    <t>245,530.13</t>
  </si>
  <si>
    <t>99,000,000.00</t>
  </si>
  <si>
    <t>699,191.00</t>
  </si>
  <si>
    <t>1,098,293.00</t>
  </si>
  <si>
    <t>1,004,682.35</t>
  </si>
  <si>
    <t>199,332.97</t>
  </si>
  <si>
    <t>653,934.01</t>
  </si>
  <si>
    <t>1,499,903.33</t>
  </si>
  <si>
    <t>2,626,600.00</t>
  </si>
  <si>
    <t>267,000.00</t>
  </si>
  <si>
    <t>908,600.00</t>
  </si>
  <si>
    <t>2,262,600.00</t>
  </si>
  <si>
    <t>5,986,381.32</t>
  </si>
  <si>
    <t>57,086,240.00</t>
  </si>
  <si>
    <t>13,170,852.72</t>
  </si>
  <si>
    <t>3,074,400.00</t>
  </si>
  <si>
    <t>820,000.00</t>
  </si>
  <si>
    <t>3,411,360.00</t>
  </si>
  <si>
    <t>10,793,455.00</t>
  </si>
  <si>
    <t>2,357,966.40</t>
  </si>
  <si>
    <t>8,399,942.74</t>
  </si>
  <si>
    <t>9,610.00</t>
  </si>
  <si>
    <t>2,558,484.00</t>
  </si>
  <si>
    <t>616,051.00</t>
  </si>
  <si>
    <t>10,247,486.31</t>
  </si>
  <si>
    <t>2,461,584.20</t>
  </si>
  <si>
    <t>591,150.00</t>
  </si>
  <si>
    <t>1,110,640.00</t>
  </si>
  <si>
    <t>3,021,974.61</t>
  </si>
  <si>
    <t>796,812.80</t>
  </si>
  <si>
    <t>64,530.00</t>
  </si>
  <si>
    <t>269,539.20</t>
  </si>
  <si>
    <t>28,320,000.00</t>
  </si>
  <si>
    <t>214,600.00</t>
  </si>
  <si>
    <t>28,102,650.00</t>
  </si>
  <si>
    <t>591,475.00</t>
  </si>
  <si>
    <t>20,300.00</t>
  </si>
  <si>
    <t>6,977,180.80</t>
  </si>
  <si>
    <t>21,470,820.00</t>
  </si>
  <si>
    <t>16,200,000.00</t>
  </si>
  <si>
    <t>2,959,494.00</t>
  </si>
  <si>
    <t>192,792.00</t>
  </si>
  <si>
    <t>103,897.95</t>
  </si>
  <si>
    <t>2,098,000.00</t>
  </si>
  <si>
    <t>76,997.00</t>
  </si>
  <si>
    <t>819,126.00</t>
  </si>
  <si>
    <t>23,524,500.00</t>
  </si>
  <si>
    <t>4,550.00</t>
  </si>
  <si>
    <t>999,593.23</t>
  </si>
  <si>
    <t>2,368,000.00</t>
  </si>
  <si>
    <t>369,090.00</t>
  </si>
  <si>
    <t>9,407.00</t>
  </si>
  <si>
    <t>501,901.50</t>
  </si>
  <si>
    <t>3,246,600.00</t>
  </si>
  <si>
    <t>399,810.00</t>
  </si>
  <si>
    <t>1,160,000.00</t>
  </si>
  <si>
    <t>1,800,950.27</t>
  </si>
  <si>
    <t>175,037,000.00</t>
  </si>
  <si>
    <t>59,996.00</t>
  </si>
  <si>
    <t>1,498,970.40</t>
  </si>
  <si>
    <t>216,000,000.00</t>
  </si>
  <si>
    <t>4,940.00</t>
  </si>
  <si>
    <t>44,881,000.00</t>
  </si>
  <si>
    <t>1,247,500.00</t>
  </si>
  <si>
    <t>2,600.00</t>
  </si>
  <si>
    <t>1,699,991.00</t>
  </si>
  <si>
    <t>650,704.16</t>
  </si>
  <si>
    <t>7,205.00</t>
  </si>
  <si>
    <t>1,799,147.50</t>
  </si>
  <si>
    <t>615,200.00</t>
  </si>
  <si>
    <t>1,705,000.00</t>
  </si>
  <si>
    <t>1,630,000.00</t>
  </si>
  <si>
    <t>999,980.00</t>
  </si>
  <si>
    <t>2,133,980.00</t>
  </si>
  <si>
    <t>9,103,056.31</t>
  </si>
  <si>
    <t>1,499,780.00</t>
  </si>
  <si>
    <t>1,302,714.56</t>
  </si>
  <si>
    <t>10,725.00</t>
  </si>
  <si>
    <t>1,118,000.00</t>
  </si>
  <si>
    <t>2,458,000.00</t>
  </si>
  <si>
    <t>3,775,973.45</t>
  </si>
  <si>
    <t>354,030.00</t>
  </si>
  <si>
    <t>41,605.00</t>
  </si>
  <si>
    <t>501,047.00</t>
  </si>
  <si>
    <t>594,958.72</t>
  </si>
  <si>
    <t>289,781.11</t>
  </si>
  <si>
    <t>4,950.00</t>
  </si>
  <si>
    <t>139,310.00</t>
  </si>
  <si>
    <t>1,792,000.00</t>
  </si>
  <si>
    <t>393,408.07</t>
  </si>
  <si>
    <t>1,935,733.70</t>
  </si>
  <si>
    <t>5,837,400.00</t>
  </si>
  <si>
    <t>3,685,500.00</t>
  </si>
  <si>
    <t>36,500.00</t>
  </si>
  <si>
    <t>999,979.40</t>
  </si>
  <si>
    <t>1,545,025.00</t>
  </si>
  <si>
    <t>9,234,385.88</t>
  </si>
  <si>
    <t>750,000,000.00</t>
  </si>
  <si>
    <t>899,440.00</t>
  </si>
  <si>
    <t>2,299,767.76</t>
  </si>
  <si>
    <t>5,931,220.00</t>
  </si>
  <si>
    <t>183,263.60</t>
  </si>
  <si>
    <t>29,999,997.00</t>
  </si>
  <si>
    <t>16,053,593.05</t>
  </si>
  <si>
    <t>174,403.30</t>
  </si>
  <si>
    <t>499,221.18</t>
  </si>
  <si>
    <t>499,603.36</t>
  </si>
  <si>
    <t>4,999,999.98</t>
  </si>
  <si>
    <t>133,195.00</t>
  </si>
  <si>
    <t>126,744.50</t>
  </si>
  <si>
    <t>2,999,999.48</t>
  </si>
  <si>
    <t>1,373,518.03</t>
  </si>
  <si>
    <t>1,498,500.00</t>
  </si>
  <si>
    <t>777,275.00</t>
  </si>
  <si>
    <t>1,971,063.90</t>
  </si>
  <si>
    <t>4,969,876.86</t>
  </si>
  <si>
    <t>1,499,999.53</t>
  </si>
  <si>
    <t>759,000.00</t>
  </si>
  <si>
    <t>3,500,465.00</t>
  </si>
  <si>
    <t>370,042.00</t>
  </si>
  <si>
    <t>1,596,476.00</t>
  </si>
  <si>
    <t>1,920,000.00</t>
  </si>
  <si>
    <t>850,294.00</t>
  </si>
  <si>
    <t>19,000,000.00</t>
  </si>
  <si>
    <t>9,999,999.75</t>
  </si>
  <si>
    <t>4,967,212.63</t>
  </si>
  <si>
    <t>9,999,999.70</t>
  </si>
  <si>
    <t>9,999,999.99</t>
  </si>
  <si>
    <t>3,499,997.79</t>
  </si>
  <si>
    <t>4,999,997.89</t>
  </si>
  <si>
    <t>5,977,648.84</t>
  </si>
  <si>
    <t>1,027,965.00</t>
  </si>
  <si>
    <t>117,805.30</t>
  </si>
  <si>
    <t>259,065.00</t>
  </si>
  <si>
    <t>129,967.05</t>
  </si>
  <si>
    <t>398,863.54</t>
  </si>
  <si>
    <t>1,440,850.57</t>
  </si>
  <si>
    <t>4,923,096.75</t>
  </si>
  <si>
    <t>2,999,853.16</t>
  </si>
  <si>
    <t>4,649,000.00</t>
  </si>
  <si>
    <t>1,311,000.00</t>
  </si>
  <si>
    <t>13,092,000.00</t>
  </si>
  <si>
    <t>296,569.94</t>
  </si>
  <si>
    <t>2,982,752.64</t>
  </si>
  <si>
    <t>1,474,675.14</t>
  </si>
  <si>
    <t>2,999,999.78</t>
  </si>
  <si>
    <t>408,890.00</t>
  </si>
  <si>
    <t>2,982,443.90</t>
  </si>
  <si>
    <t>1,137,350.00</t>
  </si>
  <si>
    <t>1,485,202.18</t>
  </si>
  <si>
    <t>1,464,750.00</t>
  </si>
  <si>
    <t>400,639.00</t>
  </si>
  <si>
    <t>3,999,999.67</t>
  </si>
  <si>
    <t>1,982,686.63</t>
  </si>
  <si>
    <t>903,658.40</t>
  </si>
  <si>
    <t>2,976,277.66</t>
  </si>
  <si>
    <t>5,756,130.00</t>
  </si>
  <si>
    <t>2,967,250.53</t>
  </si>
  <si>
    <t>3,725,000.00</t>
  </si>
  <si>
    <t>2,968,500.00</t>
  </si>
  <si>
    <t>1,999,980.00</t>
  </si>
  <si>
    <t>5,314,900.60</t>
  </si>
  <si>
    <t>15,900,000.00</t>
  </si>
  <si>
    <t>2,098,233.12</t>
  </si>
  <si>
    <t>6,461,970.00</t>
  </si>
  <si>
    <t>2,104,761.77</t>
  </si>
  <si>
    <t>2,996,484.00</t>
  </si>
  <si>
    <t>2,438,095.62</t>
  </si>
  <si>
    <t>736,320.00</t>
  </si>
  <si>
    <t>2,495,540.62</t>
  </si>
  <si>
    <t>2,458,693.79</t>
  </si>
  <si>
    <t>6,482,094.40</t>
  </si>
  <si>
    <t>1,331,043.50</t>
  </si>
  <si>
    <t>1,017,000.00</t>
  </si>
  <si>
    <t>2,469,208.94</t>
  </si>
  <si>
    <t>565,000.00</t>
  </si>
  <si>
    <t>2,266,745.40</t>
  </si>
  <si>
    <t>5,000,000.17</t>
  </si>
  <si>
    <t>12,778,800.00</t>
  </si>
  <si>
    <t>43,689,051.17</t>
  </si>
  <si>
    <t>97,087,243.85</t>
  </si>
  <si>
    <t>1,462,500.00</t>
  </si>
  <si>
    <t>801,230.00</t>
  </si>
  <si>
    <t>1,499,500.00</t>
  </si>
  <si>
    <t>1,992,757.62</t>
  </si>
  <si>
    <t>15,500,000.00</t>
  </si>
  <si>
    <t>1,035,196.00</t>
  </si>
  <si>
    <t>77,669,588.16</t>
  </si>
  <si>
    <t>1,891,500.00</t>
  </si>
  <si>
    <t>2,927,757.86</t>
  </si>
  <si>
    <t>1,920,650.19</t>
  </si>
  <si>
    <t>12,202,742.94</t>
  </si>
  <si>
    <t>1,685,330.33</t>
  </si>
  <si>
    <t>4,708,406.88</t>
  </si>
  <si>
    <t>158,685.00</t>
  </si>
  <si>
    <t>1,415,008.59</t>
  </si>
  <si>
    <t>1,944,317.51</t>
  </si>
  <si>
    <t>999,831.00</t>
  </si>
  <si>
    <t>251,079.00</t>
  </si>
  <si>
    <t>191,546.00</t>
  </si>
  <si>
    <t>1,516,600.00</t>
  </si>
  <si>
    <t>1,829,770.53</t>
  </si>
  <si>
    <t>1,847,565.32</t>
  </si>
  <si>
    <t>62,722.00</t>
  </si>
  <si>
    <t>22,736,700.00</t>
  </si>
  <si>
    <t>559,814.16</t>
  </si>
  <si>
    <t>1,731,191.68</t>
  </si>
  <si>
    <t>1,889,328.91</t>
  </si>
  <si>
    <t>1,004,238.07</t>
  </si>
  <si>
    <t>1,533,600.00</t>
  </si>
  <si>
    <t>1,155,333.86</t>
  </si>
  <si>
    <t>8,257,000.00</t>
  </si>
  <si>
    <t>5,817,733.88</t>
  </si>
  <si>
    <t>1,315,784.28</t>
  </si>
  <si>
    <t>241,409,480.57</t>
  </si>
  <si>
    <t>1,385,962.99</t>
  </si>
  <si>
    <t>1,882,118.05</t>
  </si>
  <si>
    <t>398,220.00</t>
  </si>
  <si>
    <t>774,200.00</t>
  </si>
  <si>
    <t>2,176,071.00</t>
  </si>
  <si>
    <t>149,724.45</t>
  </si>
  <si>
    <t>1,545,940.00</t>
  </si>
  <si>
    <t>2,498,400.00</t>
  </si>
  <si>
    <t>259,292.27</t>
  </si>
  <si>
    <t>1,264,115.50</t>
  </si>
  <si>
    <t>1,599,836.00</t>
  </si>
  <si>
    <t>12,676,930.00</t>
  </si>
  <si>
    <t>1,241,627.40</t>
  </si>
  <si>
    <t>12,116,000.00</t>
  </si>
  <si>
    <t>36,455,000.00</t>
  </si>
  <si>
    <t>10,845,000.00</t>
  </si>
  <si>
    <t>643,992.23</t>
  </si>
  <si>
    <t>5,897,000.00</t>
  </si>
  <si>
    <t>14,714,672.46</t>
  </si>
  <si>
    <t>1,945,000.00</t>
  </si>
  <si>
    <t>6,615,000.00</t>
  </si>
  <si>
    <t>3,036,658.62</t>
  </si>
  <si>
    <t>5,338,750.00</t>
  </si>
  <si>
    <t>36,250,000.00</t>
  </si>
  <si>
    <t>14,956,500.00</t>
  </si>
  <si>
    <t>51,502,780.52</t>
  </si>
  <si>
    <t>2,330,000.00</t>
  </si>
  <si>
    <t>39,046,000.00</t>
  </si>
  <si>
    <t>2,866,000.00</t>
  </si>
  <si>
    <t>1,429,000.00</t>
  </si>
  <si>
    <t>243,663.46</t>
  </si>
  <si>
    <t>1,640,979.00</t>
  </si>
  <si>
    <t>20,144,000.00</t>
  </si>
  <si>
    <t>1,981,179.50</t>
  </si>
  <si>
    <t>3,654,365.00</t>
  </si>
  <si>
    <t>1,561,000.00</t>
  </si>
  <si>
    <t>1,890,279.58</t>
  </si>
  <si>
    <t>4,530,315.00</t>
  </si>
  <si>
    <t>65,497.00</t>
  </si>
  <si>
    <t>4,685,699.56</t>
  </si>
  <si>
    <t>84,197.00</t>
  </si>
  <si>
    <t>19,590,000.00</t>
  </si>
  <si>
    <t>2,715,800.00</t>
  </si>
  <si>
    <t>4,999,999.75</t>
  </si>
  <si>
    <t>30,505,440.00</t>
  </si>
  <si>
    <t>13,800,000.00</t>
  </si>
  <si>
    <t>2,931,138.81</t>
  </si>
  <si>
    <t>305,410.00</t>
  </si>
  <si>
    <t>816,565.20</t>
  </si>
  <si>
    <t>75,000,000.00</t>
  </si>
  <si>
    <t>12,174,040.00</t>
  </si>
  <si>
    <t>1,295,800.00</t>
  </si>
  <si>
    <t>822,535.80</t>
  </si>
  <si>
    <t>6,372,886.70</t>
  </si>
  <si>
    <t>10,525,280.00</t>
  </si>
  <si>
    <t>483,714.00</t>
  </si>
  <si>
    <t>2,206,000.00</t>
  </si>
  <si>
    <t>2,837,286.14</t>
  </si>
  <si>
    <t>497,879.22</t>
  </si>
  <si>
    <t>2,713,783.13</t>
  </si>
  <si>
    <t>2,666,630.44</t>
  </si>
  <si>
    <t>499,787.27</t>
  </si>
  <si>
    <t>205,400.00</t>
  </si>
  <si>
    <t>1,805,000.00</t>
  </si>
  <si>
    <t>19,295,000.00</t>
  </si>
  <si>
    <t>702,500.00</t>
  </si>
  <si>
    <t>82,264,892.00</t>
  </si>
  <si>
    <t>1,947,747.00</t>
  </si>
  <si>
    <t>1,099,759.92</t>
  </si>
  <si>
    <t>101,325,000.00</t>
  </si>
  <si>
    <t>98,385.00</t>
  </si>
  <si>
    <t>677,374.25</t>
  </si>
  <si>
    <t>13,499,614.00</t>
  </si>
  <si>
    <t>39,001,000.00</t>
  </si>
  <si>
    <t>499,190.00</t>
  </si>
  <si>
    <t>80,760.42</t>
  </si>
  <si>
    <t>39,775,635.00</t>
  </si>
  <si>
    <t>497,561.54</t>
  </si>
  <si>
    <t>1,998,182.00</t>
  </si>
  <si>
    <t>1,210,000.00</t>
  </si>
  <si>
    <t>30,386,000.00</t>
  </si>
  <si>
    <t>4,761,710.68</t>
  </si>
  <si>
    <t>1,363,894.00</t>
  </si>
  <si>
    <t>504,932.90</t>
  </si>
  <si>
    <t>29,000,500.00</t>
  </si>
  <si>
    <t>14,690,000.00</t>
  </si>
  <si>
    <t>631,271.00</t>
  </si>
  <si>
    <t>106,150,000.00</t>
  </si>
  <si>
    <t>814,228.20</t>
  </si>
  <si>
    <t>2,656,000.00</t>
  </si>
  <si>
    <t>1,083,189.96</t>
  </si>
  <si>
    <t>1,458,000.00</t>
  </si>
  <si>
    <t>56,452,500.00</t>
  </si>
  <si>
    <t>393,236.00</t>
  </si>
  <si>
    <t>5,039,460.00</t>
  </si>
  <si>
    <t>1,393,116.00</t>
  </si>
  <si>
    <t>36,187,500.00</t>
  </si>
  <si>
    <t>1,270,392.81</t>
  </si>
  <si>
    <t>1,239,109.80</t>
  </si>
  <si>
    <t>1,041,849.00</t>
  </si>
  <si>
    <t>483,695.00</t>
  </si>
  <si>
    <t>10,299,947.81</t>
  </si>
  <si>
    <t>999,999.97</t>
  </si>
  <si>
    <t>9,777,000.00</t>
  </si>
  <si>
    <t>29,767,749.00</t>
  </si>
  <si>
    <t>1,439,200.00</t>
  </si>
  <si>
    <t>173,950.00</t>
  </si>
  <si>
    <t>99,996.00</t>
  </si>
  <si>
    <t>5,062,000.00</t>
  </si>
  <si>
    <t>21,968,337.39</t>
  </si>
  <si>
    <t>806,065.44</t>
  </si>
  <si>
    <t>4,233,776.00</t>
  </si>
  <si>
    <t>20,859,300.00</t>
  </si>
  <si>
    <t>575,500.00</t>
  </si>
  <si>
    <t>1,167,400.00</t>
  </si>
  <si>
    <t>108,807.28</t>
  </si>
  <si>
    <t>812,972.00</t>
  </si>
  <si>
    <t>1,130,080.00</t>
  </si>
  <si>
    <t>1,456,200.00</t>
  </si>
  <si>
    <t>2,046,000.00</t>
  </si>
  <si>
    <t>13,823,000.00</t>
  </si>
  <si>
    <t>31,450,000.00</t>
  </si>
  <si>
    <t>148,520.00</t>
  </si>
  <si>
    <t>92,466,000.00</t>
  </si>
  <si>
    <t>289,200.00</t>
  </si>
  <si>
    <t>6,342,600.00</t>
  </si>
  <si>
    <t>1,195,990.00</t>
  </si>
  <si>
    <t>824,920.00</t>
  </si>
  <si>
    <t>201,885.50</t>
  </si>
  <si>
    <t>719,446.15</t>
  </si>
  <si>
    <t>3,325,000.00</t>
  </si>
  <si>
    <t>3,385,000.00</t>
  </si>
  <si>
    <t>3,161,600.00</t>
  </si>
  <si>
    <t>6,380,000.00</t>
  </si>
  <si>
    <t>1,216,000.00</t>
  </si>
  <si>
    <t>1,262,500.00</t>
  </si>
  <si>
    <t>695,320.78</t>
  </si>
  <si>
    <t>1,170,755.00</t>
  </si>
  <si>
    <t>184,950,408.95</t>
  </si>
  <si>
    <t>139,873,620.50</t>
  </si>
  <si>
    <t>13,914,060.00</t>
  </si>
  <si>
    <t>1,847,275.20</t>
  </si>
  <si>
    <t>2,447,144.52</t>
  </si>
  <si>
    <t>7,765,163.56</t>
  </si>
  <si>
    <t>310,580.00</t>
  </si>
  <si>
    <t>8,751,688.00</t>
  </si>
  <si>
    <t>30,259,611.00</t>
  </si>
  <si>
    <t>28,200,000.00</t>
  </si>
  <si>
    <t>5,381,908.82</t>
  </si>
  <si>
    <t>12,200,000.00</t>
  </si>
  <si>
    <t>2,882,760.84</t>
  </si>
  <si>
    <t>1,725,823.33</t>
  </si>
  <si>
    <t>22,443,749.00</t>
  </si>
  <si>
    <t>3,253,881.22</t>
  </si>
  <si>
    <t>129,400.00</t>
  </si>
  <si>
    <t>16,032,600.00</t>
  </si>
  <si>
    <t>112,800.00</t>
  </si>
  <si>
    <t>12,636,697.05</t>
  </si>
  <si>
    <t>551,477.00</t>
  </si>
  <si>
    <t>2,267,395.50</t>
  </si>
  <si>
    <t>4,881,000.00</t>
  </si>
  <si>
    <t>4,883,500.00</t>
  </si>
  <si>
    <t>303,269.96</t>
  </si>
  <si>
    <t>1,052,000.00</t>
  </si>
  <si>
    <t>1,870,985.00</t>
  </si>
  <si>
    <t>934,663.24</t>
  </si>
  <si>
    <t>257,000.00</t>
  </si>
  <si>
    <t>2,643,000.00</t>
  </si>
  <si>
    <t>269,000.00</t>
  </si>
  <si>
    <t>1,954,783.71</t>
  </si>
  <si>
    <t>2,552,964.50</t>
  </si>
  <si>
    <t>3,107,663.00</t>
  </si>
  <si>
    <t>488,610.00</t>
  </si>
  <si>
    <t>199,781.10</t>
  </si>
  <si>
    <t>59,687,735.81</t>
  </si>
  <si>
    <t>2,112,000.00</t>
  </si>
  <si>
    <t>6,899,000.00</t>
  </si>
  <si>
    <t>772,306.65</t>
  </si>
  <si>
    <t>4,159,645.60</t>
  </si>
  <si>
    <t>1,199,889.56</t>
  </si>
  <si>
    <t>1,691,600.00</t>
  </si>
  <si>
    <t>126,185,000.00</t>
  </si>
  <si>
    <t>2,626,751.73</t>
  </si>
  <si>
    <t>7,200,000.00</t>
  </si>
  <si>
    <t>4,770,000.00</t>
  </si>
  <si>
    <t>246,451,000.00</t>
  </si>
  <si>
    <t>782,857.75</t>
  </si>
  <si>
    <t>3,256,942.54</t>
  </si>
  <si>
    <t>6,557,430.00</t>
  </si>
  <si>
    <t>17,819,672.03</t>
  </si>
  <si>
    <t>24,498,831.28</t>
  </si>
  <si>
    <t>6,195,742.00</t>
  </si>
  <si>
    <t>2,089,329.16</t>
  </si>
  <si>
    <t>469,714.65</t>
  </si>
  <si>
    <t>108,000,000.00</t>
  </si>
  <si>
    <t>28,341,000.00</t>
  </si>
  <si>
    <t>20,513,600.00</t>
  </si>
  <si>
    <t>2,052,000.00</t>
  </si>
  <si>
    <t>56,353,280.00</t>
  </si>
  <si>
    <t>294,140.59</t>
  </si>
  <si>
    <t>5,883,087.95</t>
  </si>
  <si>
    <t>13,444,400.00</t>
  </si>
  <si>
    <t>64,320.00</t>
  </si>
  <si>
    <t>1,039,606.84</t>
  </si>
  <si>
    <t>121,035.00</t>
  </si>
  <si>
    <t>1,999,607.91</t>
  </si>
  <si>
    <t>98,657.03</t>
  </si>
  <si>
    <t>195,491.00</t>
  </si>
  <si>
    <t>58,863,945.00</t>
  </si>
  <si>
    <t>738,456.00</t>
  </si>
  <si>
    <t>10,761,526.73</t>
  </si>
  <si>
    <t>5,272,773.10</t>
  </si>
  <si>
    <t>68,695,360.00</t>
  </si>
  <si>
    <t>11,897,000.00</t>
  </si>
  <si>
    <t>7,973,244.46</t>
  </si>
  <si>
    <t>350,684.00</t>
  </si>
  <si>
    <t>30,170,809.50</t>
  </si>
  <si>
    <t>80,325.00</t>
  </si>
  <si>
    <t>239,248.98</t>
  </si>
  <si>
    <t>288,963.00</t>
  </si>
  <si>
    <t>59,160,000.00</t>
  </si>
  <si>
    <t>2,120,000.00</t>
  </si>
  <si>
    <t>432,500.00</t>
  </si>
  <si>
    <t>45,843,600.00</t>
  </si>
  <si>
    <t>1,998,162.47</t>
  </si>
  <si>
    <t>999,658.26</t>
  </si>
  <si>
    <t>1,997,029.44</t>
  </si>
  <si>
    <t>2,495,365.08</t>
  </si>
  <si>
    <t>644,312.63</t>
  </si>
  <si>
    <t>1,498,147.81</t>
  </si>
  <si>
    <t>504,400.00</t>
  </si>
  <si>
    <t>1,136,000.00</t>
  </si>
  <si>
    <t>812,450.00</t>
  </si>
  <si>
    <t>479,855.70</t>
  </si>
  <si>
    <t>299,798.87</t>
  </si>
  <si>
    <t>296,120.14</t>
  </si>
  <si>
    <t>298,534.90</t>
  </si>
  <si>
    <t>499,480.19</t>
  </si>
  <si>
    <t>841,234.53</t>
  </si>
  <si>
    <t>1,906,943.00</t>
  </si>
  <si>
    <t>1,349,427.18</t>
  </si>
  <si>
    <t>372,728.37</t>
  </si>
  <si>
    <t>1,674,310.40</t>
  </si>
  <si>
    <t>17,904,290.17</t>
  </si>
  <si>
    <t>429,082.00</t>
  </si>
  <si>
    <t>9,974,477.72</t>
  </si>
  <si>
    <t>7,202,000.00</t>
  </si>
  <si>
    <t>1,520,937.73</t>
  </si>
  <si>
    <t>1,674,300.00</t>
  </si>
  <si>
    <t>3,996,500.00</t>
  </si>
  <si>
    <t>2,350,000.00</t>
  </si>
  <si>
    <t>49,499,758.54</t>
  </si>
  <si>
    <t>18,054,099.56</t>
  </si>
  <si>
    <t>2,902,813.50</t>
  </si>
  <si>
    <t>29,249,564.04</t>
  </si>
  <si>
    <t>35,880,000.00</t>
  </si>
  <si>
    <t>34,426,600.00</t>
  </si>
  <si>
    <t>1,044,000.00</t>
  </si>
  <si>
    <t>136,595.00</t>
  </si>
  <si>
    <t>3,955,500.00</t>
  </si>
  <si>
    <t>2,375,600.00</t>
  </si>
  <si>
    <t>2,998,124.38</t>
  </si>
  <si>
    <t>1,342,433.00</t>
  </si>
  <si>
    <t>8,411,500.00</t>
  </si>
  <si>
    <t>2,654,691.83</t>
  </si>
  <si>
    <t>6,063,107.99</t>
  </si>
  <si>
    <t>1,457,200.00</t>
  </si>
  <si>
    <t>1,484,906.06</t>
  </si>
  <si>
    <t>3,916,739.88</t>
  </si>
  <si>
    <t>2,611,524.28</t>
  </si>
  <si>
    <t>1,027,500.00</t>
  </si>
  <si>
    <t>1,703,340.80</t>
  </si>
  <si>
    <t>1,960,683.27</t>
  </si>
  <si>
    <t>514,000.00</t>
  </si>
  <si>
    <t>244,200.00</t>
  </si>
  <si>
    <t>2,220,000.00</t>
  </si>
  <si>
    <t>125,661.00</t>
  </si>
  <si>
    <t>399,992.50</t>
  </si>
  <si>
    <t>3,973,680.90</t>
  </si>
  <si>
    <t>1,954,865.60</t>
  </si>
  <si>
    <t>16,163,256.00</t>
  </si>
  <si>
    <t>407,700.00</t>
  </si>
  <si>
    <t>1,973,611.00</t>
  </si>
  <si>
    <t>2,992,318.78</t>
  </si>
  <si>
    <t>6,727,760.00</t>
  </si>
  <si>
    <t>4,989,035.34</t>
  </si>
  <si>
    <t>154,404.75</t>
  </si>
  <si>
    <t>253,425.00</t>
  </si>
  <si>
    <t>275,620.00</t>
  </si>
  <si>
    <t>7,721,116.92</t>
  </si>
  <si>
    <t>110,025.00</t>
  </si>
  <si>
    <t>4,745,783.60</t>
  </si>
  <si>
    <t>1,003,800.00</t>
  </si>
  <si>
    <t>1,627,750.00</t>
  </si>
  <si>
    <t>918,620.00</t>
  </si>
  <si>
    <t>15,599,936.92</t>
  </si>
  <si>
    <t>4,989,598.41</t>
  </si>
  <si>
    <t>2,030,784.00</t>
  </si>
  <si>
    <t>4,524,041.08</t>
  </si>
  <si>
    <t>130,410.00</t>
  </si>
  <si>
    <t>3,429,839.44</t>
  </si>
  <si>
    <t>458,139.80</t>
  </si>
  <si>
    <t>248,657.00</t>
  </si>
  <si>
    <t>1,241,200.00</t>
  </si>
  <si>
    <t>3,875,769.19</t>
  </si>
  <si>
    <t>5,656,548.36</t>
  </si>
  <si>
    <t>1,576,152.00</t>
  </si>
  <si>
    <t>858,497.36</t>
  </si>
  <si>
    <t>3,264,650.15</t>
  </si>
  <si>
    <t>4,720,550.00</t>
  </si>
  <si>
    <t>744,112.60</t>
  </si>
  <si>
    <t>65,380.00</t>
  </si>
  <si>
    <t>3,315,231.96</t>
  </si>
  <si>
    <t>793,752.42</t>
  </si>
  <si>
    <t>112,885.00</t>
  </si>
  <si>
    <t>3,637,869.68</t>
  </si>
  <si>
    <t>4,278,091.47</t>
  </si>
  <si>
    <t>90,720.00</t>
  </si>
  <si>
    <t>396,357.00</t>
  </si>
  <si>
    <t>2,768,497.00</t>
  </si>
  <si>
    <t>21,074,577.67</t>
  </si>
  <si>
    <t>12,737,963.69</t>
  </si>
  <si>
    <t>1,642,635.00</t>
  </si>
  <si>
    <t>1,681,859.87</t>
  </si>
  <si>
    <t>14,877,328.94</t>
  </si>
  <si>
    <t>9,514,000.00</t>
  </si>
  <si>
    <t>1,655,000.00</t>
  </si>
  <si>
    <t>122,960,000.00</t>
  </si>
  <si>
    <t>2,975,668.00</t>
  </si>
  <si>
    <t>8,815,404.97</t>
  </si>
  <si>
    <t>22,558,214.09</t>
  </si>
  <si>
    <t>538,024.70</t>
  </si>
  <si>
    <t>2,708,641.31</t>
  </si>
  <si>
    <t>751,250.00</t>
  </si>
  <si>
    <t>1,437,470.00</t>
  </si>
  <si>
    <t>2,604,216.30</t>
  </si>
  <si>
    <t>2,646,574.12</t>
  </si>
  <si>
    <t>1,502,396.46</t>
  </si>
  <si>
    <t>110,035.00</t>
  </si>
  <si>
    <t>242,301.00</t>
  </si>
  <si>
    <t>2,639,337.41</t>
  </si>
  <si>
    <t>1,610,000.00</t>
  </si>
  <si>
    <t>3,134,682.45</t>
  </si>
  <si>
    <t>2,742,350.00</t>
  </si>
  <si>
    <t>59,815.00</t>
  </si>
  <si>
    <t>2,544,437.45</t>
  </si>
  <si>
    <t>2,988,619.00</t>
  </si>
  <si>
    <t>45,700,700.00</t>
  </si>
  <si>
    <t>2,584,238.36</t>
  </si>
  <si>
    <t>5,760,000.00</t>
  </si>
  <si>
    <t>659,450.00</t>
  </si>
  <si>
    <t>88,400.00</t>
  </si>
  <si>
    <t>1,032,295.40</t>
  </si>
  <si>
    <t>2,588,734.33</t>
  </si>
  <si>
    <t>3,465,838.30</t>
  </si>
  <si>
    <t>3,186,858.93</t>
  </si>
  <si>
    <t>4,258,516.00</t>
  </si>
  <si>
    <t>2,310,000.00</t>
  </si>
  <si>
    <t>111,580.00</t>
  </si>
  <si>
    <t>16,642,850.00</t>
  </si>
  <si>
    <t>1,900,800.00</t>
  </si>
  <si>
    <t>2,500,185.19</t>
  </si>
  <si>
    <t>249,133.00</t>
  </si>
  <si>
    <t>2,722,774.00</t>
  </si>
  <si>
    <t>5,248,000.00</t>
  </si>
  <si>
    <t>5,374,500.00</t>
  </si>
  <si>
    <t>2,516,977.72</t>
  </si>
  <si>
    <t>629,460.00</t>
  </si>
  <si>
    <t>9,278,272.00</t>
  </si>
  <si>
    <t>8,205,994.87</t>
  </si>
  <si>
    <t>1,794,000.00</t>
  </si>
  <si>
    <t>12,376,034.80</t>
  </si>
  <si>
    <t>5,782,204.56</t>
  </si>
  <si>
    <t>1,096,660.00</t>
  </si>
  <si>
    <t>2,495,607.20</t>
  </si>
  <si>
    <t>1,432,000.00</t>
  </si>
  <si>
    <t>1,454,612.05</t>
  </si>
  <si>
    <t>769,669.63</t>
  </si>
  <si>
    <t>4,815,756.95</t>
  </si>
  <si>
    <t>337,851.00</t>
  </si>
  <si>
    <t>1,559,182.98</t>
  </si>
  <si>
    <t>312,110.00</t>
  </si>
  <si>
    <t>1,384,718.00</t>
  </si>
  <si>
    <t>963,300.00</t>
  </si>
  <si>
    <t>4,946,600.72</t>
  </si>
  <si>
    <t>1,479,400.00</t>
  </si>
  <si>
    <t>154,840.00</t>
  </si>
  <si>
    <t>499,787.67</t>
  </si>
  <si>
    <t>5,226,450.00</t>
  </si>
  <si>
    <t>293,960.00</t>
  </si>
  <si>
    <t>9,599,850.00</t>
  </si>
  <si>
    <t>3,052,000.00</t>
  </si>
  <si>
    <t>525,160.00</t>
  </si>
  <si>
    <t>1,766,644.00</t>
  </si>
  <si>
    <t>4,623,652.50</t>
  </si>
  <si>
    <t>194,117.41</t>
  </si>
  <si>
    <t>41,405,626.00</t>
  </si>
  <si>
    <t>47,347,902.00</t>
  </si>
  <si>
    <t>15,456,000.00</t>
  </si>
  <si>
    <t>1,299,124.00</t>
  </si>
  <si>
    <t>96,312,000.00</t>
  </si>
  <si>
    <t>122,800.00</t>
  </si>
  <si>
    <t>1,437,280.00</t>
  </si>
  <si>
    <t>222,123.00</t>
  </si>
  <si>
    <t>2,936,930.00</t>
  </si>
  <si>
    <t>1,029,320.16</t>
  </si>
  <si>
    <t>826,330.00</t>
  </si>
  <si>
    <t>8,674,000.00</t>
  </si>
  <si>
    <t>1,185,000.00</t>
  </si>
  <si>
    <t>14,689,176.00</t>
  </si>
  <si>
    <t>1,153,565.00</t>
  </si>
  <si>
    <t>2,030,035.84</t>
  </si>
  <si>
    <t>13,411,204.54</t>
  </si>
  <si>
    <t>6,462,556.80</t>
  </si>
  <si>
    <t>1,234,180.00</t>
  </si>
  <si>
    <t>12,867,588.75</t>
  </si>
  <si>
    <t>3,077,874.05</t>
  </si>
  <si>
    <t>69,199,706.91</t>
  </si>
  <si>
    <t>32,537,589.54</t>
  </si>
  <si>
    <t>1,744,590.00</t>
  </si>
  <si>
    <t>1,499,999.98</t>
  </si>
  <si>
    <t>29,449,572.00</t>
  </si>
  <si>
    <t>24,625,000.00</t>
  </si>
  <si>
    <t>1,930,600.00</t>
  </si>
  <si>
    <t>1,214,550.00</t>
  </si>
  <si>
    <t>369,134.80</t>
  </si>
  <si>
    <t>5,489,715.38</t>
  </si>
  <si>
    <t>2,450,987.95</t>
  </si>
  <si>
    <t>5,998,000.00</t>
  </si>
  <si>
    <t>31,535,000.00</t>
  </si>
  <si>
    <t>1,481,955.00</t>
  </si>
  <si>
    <t>53,624,696.00</t>
  </si>
  <si>
    <t>89,571,667.84</t>
  </si>
  <si>
    <t>70,918,464.00</t>
  </si>
  <si>
    <t>38,640,000.00</t>
  </si>
  <si>
    <t>2,882,440.00</t>
  </si>
  <si>
    <t>5,264,000.00</t>
  </si>
  <si>
    <t>14,549,785.51</t>
  </si>
  <si>
    <t>14,493,002.16</t>
  </si>
  <si>
    <t>6,558,859.00</t>
  </si>
  <si>
    <t>7,318,500.00</t>
  </si>
  <si>
    <t>349,942.13</t>
  </si>
  <si>
    <t>13,857,710.00</t>
  </si>
  <si>
    <t>1,182,426.00</t>
  </si>
  <si>
    <t>4,899,960.00</t>
  </si>
  <si>
    <t>3,737,193.00</t>
  </si>
  <si>
    <t>1,207,610.22</t>
  </si>
  <si>
    <t>1,170,262.45</t>
  </si>
  <si>
    <t>106,710.00</t>
  </si>
  <si>
    <t>5,568,140.00</t>
  </si>
  <si>
    <t>5,679,740.00</t>
  </si>
  <si>
    <t>1,267,000.00</t>
  </si>
  <si>
    <t>372,950.00</t>
  </si>
  <si>
    <t>1,738,196.32</t>
  </si>
  <si>
    <t>12,383,000.00</t>
  </si>
  <si>
    <t>1,499,958.05</t>
  </si>
  <si>
    <t>149,846.00</t>
  </si>
  <si>
    <t>1,297,223.00</t>
  </si>
  <si>
    <t>63,159.17</t>
  </si>
  <si>
    <t>2,115,290.00</t>
  </si>
  <si>
    <t>576,100.00</t>
  </si>
  <si>
    <t>1,992,381.00</t>
  </si>
  <si>
    <t>23,486.00</t>
  </si>
  <si>
    <t>41,200.00</t>
  </si>
  <si>
    <t>4,498,547.21</t>
  </si>
  <si>
    <t>734,245.00</t>
  </si>
  <si>
    <t>1,144,196.52</t>
  </si>
  <si>
    <t>9,477,219.18</t>
  </si>
  <si>
    <t>104,470.00</t>
  </si>
  <si>
    <t>1,131,110.82</t>
  </si>
  <si>
    <t>14,209,000.00</t>
  </si>
  <si>
    <t>699,000.00</t>
  </si>
  <si>
    <t>73,802,175.00</t>
  </si>
  <si>
    <t>359,940.00</t>
  </si>
  <si>
    <t>1,242,000.00</t>
  </si>
  <si>
    <t>498,380.00</t>
  </si>
  <si>
    <t>2,125,170.00</t>
  </si>
  <si>
    <t>10,164,884.44</t>
  </si>
  <si>
    <t>45,292,000.00</t>
  </si>
  <si>
    <t>12,392,000.00</t>
  </si>
  <si>
    <t>14,934,127.68</t>
  </si>
  <si>
    <t>366,340,000.00</t>
  </si>
  <si>
    <t>175,100.00</t>
  </si>
  <si>
    <t>87,396.46</t>
  </si>
  <si>
    <t>2,696,000.00</t>
  </si>
  <si>
    <t>8,590,816.00</t>
  </si>
  <si>
    <t>202,600.00</t>
  </si>
  <si>
    <t>91,376.76</t>
  </si>
  <si>
    <t>2,133,804.42</t>
  </si>
  <si>
    <t>1,674,900.00</t>
  </si>
  <si>
    <t>3,744,500.00</t>
  </si>
  <si>
    <t>14,850.00</t>
  </si>
  <si>
    <t>1,399,036.46</t>
  </si>
  <si>
    <t>1,179,700.00</t>
  </si>
  <si>
    <t>9,999,991.29</t>
  </si>
  <si>
    <t>144,554.50</t>
  </si>
  <si>
    <t>1,377,963.64</t>
  </si>
  <si>
    <t>3,613,385.00</t>
  </si>
  <si>
    <t>716,100.00</t>
  </si>
  <si>
    <t>7,749,000.00</t>
  </si>
  <si>
    <t>259,976.39</t>
  </si>
  <si>
    <t>4,415,000.00</t>
  </si>
  <si>
    <t>7,780,600.00</t>
  </si>
  <si>
    <t>3,969,013.00</t>
  </si>
  <si>
    <t>2,959,200.00</t>
  </si>
  <si>
    <t>1,031,000.00</t>
  </si>
  <si>
    <t>12,225,701.96</t>
  </si>
  <si>
    <t>8,912,982.47</t>
  </si>
  <si>
    <t>1,760,880.25</t>
  </si>
  <si>
    <t>7,284,000.00</t>
  </si>
  <si>
    <t>1,143,414.58</t>
  </si>
  <si>
    <t>1,557,600.00</t>
  </si>
  <si>
    <t>23,658.00</t>
  </si>
  <si>
    <t>2,999,418.70</t>
  </si>
  <si>
    <t>4,946,678.90</t>
  </si>
  <si>
    <t>1,282,000.00</t>
  </si>
  <si>
    <t>3,359,892.00</t>
  </si>
  <si>
    <t>937,000.00</t>
  </si>
  <si>
    <t>5,340,500.00</t>
  </si>
  <si>
    <t>2,135,822.07</t>
  </si>
  <si>
    <t>178,976.00</t>
  </si>
  <si>
    <t>2,213,100.00</t>
  </si>
  <si>
    <t>301,194.30</t>
  </si>
  <si>
    <t>168,540.00</t>
  </si>
  <si>
    <t>2,022,966.00</t>
  </si>
  <si>
    <t>3,699,999.99</t>
  </si>
  <si>
    <t>1,535,480.00</t>
  </si>
  <si>
    <t>7,313,370.00</t>
  </si>
  <si>
    <t>1,197,000.00</t>
  </si>
  <si>
    <t>4,020,341.61</t>
  </si>
  <si>
    <t>4,876,457.06</t>
  </si>
  <si>
    <t>1,134,170.42</t>
  </si>
  <si>
    <t>1,199,992.21</t>
  </si>
  <si>
    <t>3,131,823.00</t>
  </si>
  <si>
    <t>1,060,200.55</t>
  </si>
  <si>
    <t>5,280,000.00</t>
  </si>
  <si>
    <t>3,345,424.67</t>
  </si>
  <si>
    <t>1,069,888.17</t>
  </si>
  <si>
    <t>5,620,000.00</t>
  </si>
  <si>
    <t>1,155,281.83</t>
  </si>
  <si>
    <t>1,755,000.00</t>
  </si>
  <si>
    <t>9,996,000.00</t>
  </si>
  <si>
    <t>37,795,400.00</t>
  </si>
  <si>
    <t>78,092.37</t>
  </si>
  <si>
    <t>78,092.38</t>
  </si>
  <si>
    <t>1,499,035.38</t>
  </si>
  <si>
    <t>1,762,648.00</t>
  </si>
  <si>
    <t>1,999,982.37</t>
  </si>
  <si>
    <t>6,248,000.00</t>
  </si>
  <si>
    <t>1,113,300.00</t>
  </si>
  <si>
    <t>1,333,230.00</t>
  </si>
  <si>
    <t>434,000.00</t>
  </si>
  <si>
    <t>1,139,296.57</t>
  </si>
  <si>
    <t>1,941,255.51</t>
  </si>
  <si>
    <t>2,786,970.00</t>
  </si>
  <si>
    <t>17,152,000.00</t>
  </si>
  <si>
    <t>5,099,585.00</t>
  </si>
  <si>
    <t>118,500,000.00</t>
  </si>
  <si>
    <t>2,999,833.96</t>
  </si>
  <si>
    <t>6,409,325.00</t>
  </si>
  <si>
    <t>392,450.00</t>
  </si>
  <si>
    <t>4,410,284.00</t>
  </si>
  <si>
    <t>118,000,000.00</t>
  </si>
  <si>
    <t>1,333,333.33</t>
  </si>
  <si>
    <t>74,999,758.72</t>
  </si>
  <si>
    <t>773,897.20</t>
  </si>
  <si>
    <t>5,000,170.00</t>
  </si>
  <si>
    <t>3,349,185.00</t>
  </si>
  <si>
    <t>6,580,675.00</t>
  </si>
  <si>
    <t>1,116,650.03</t>
  </si>
  <si>
    <t>1,356,151.98</t>
  </si>
  <si>
    <t>1,144,601.03</t>
  </si>
  <si>
    <t>1,377,155.23</t>
  </si>
  <si>
    <t>2,286,609.96</t>
  </si>
  <si>
    <t>730,909.49</t>
  </si>
  <si>
    <t>7,707,642.50</t>
  </si>
  <si>
    <t>31,721,902.36</t>
  </si>
  <si>
    <t>1,791,252.00</t>
  </si>
  <si>
    <t>1,464,864.24</t>
  </si>
  <si>
    <t>1,041,110.00</t>
  </si>
  <si>
    <t>7,337,052.00</t>
  </si>
  <si>
    <t>102,870,291.41</t>
  </si>
  <si>
    <t>9,230,982.40</t>
  </si>
  <si>
    <t>1,799,800.00</t>
  </si>
  <si>
    <t>1,063,346.82</t>
  </si>
  <si>
    <t>249,964.58</t>
  </si>
  <si>
    <t>114,545.00</t>
  </si>
  <si>
    <t>2,966,314.00</t>
  </si>
  <si>
    <t>19,170,000.00</t>
  </si>
  <si>
    <t>1,802,159.00</t>
  </si>
  <si>
    <t>2,871,852.97</t>
  </si>
  <si>
    <t>6,989,380.00</t>
  </si>
  <si>
    <t>9,855,694.72</t>
  </si>
  <si>
    <t>3,955,030.05</t>
  </si>
  <si>
    <t>5,012,000.00</t>
  </si>
  <si>
    <t>2,174,000.00</t>
  </si>
  <si>
    <t>1,565,000.00</t>
  </si>
  <si>
    <t>2,998,957.38</t>
  </si>
  <si>
    <t>6,970,000.00</t>
  </si>
  <si>
    <t>68,464.00</t>
  </si>
  <si>
    <t>34,621,913.75</t>
  </si>
  <si>
    <t>7,196,800.00</t>
  </si>
  <si>
    <t>5,377,234.60</t>
  </si>
  <si>
    <t>3,555,369.50</t>
  </si>
  <si>
    <t>1,774,350.00</t>
  </si>
  <si>
    <t>33,976,343.26</t>
  </si>
  <si>
    <t>768,452.77</t>
  </si>
  <si>
    <t>602,000.00</t>
  </si>
  <si>
    <t>410,830.00</t>
  </si>
  <si>
    <t>2,928,139.00</t>
  </si>
  <si>
    <t>1,599,076.80</t>
  </si>
  <si>
    <t>416,984.10</t>
  </si>
  <si>
    <t>185,704.47</t>
  </si>
  <si>
    <t>5,054,000.00</t>
  </si>
  <si>
    <t>11,989,967.56</t>
  </si>
  <si>
    <t>2,000,310.00</t>
  </si>
  <si>
    <t>44,100,000.00</t>
  </si>
  <si>
    <t>3,984,370.33</t>
  </si>
  <si>
    <t>21,999,999.98</t>
  </si>
  <si>
    <t>6,903,816.00</t>
  </si>
  <si>
    <t>576,880.00</t>
  </si>
  <si>
    <t>24,140,550.00</t>
  </si>
  <si>
    <t>3,999,861.98</t>
  </si>
  <si>
    <t>1,190,000.00</t>
  </si>
  <si>
    <t>1,664,380.00</t>
  </si>
  <si>
    <t>1,361,160.00</t>
  </si>
  <si>
    <t>245,620.00</t>
  </si>
  <si>
    <t>1,635,000.00</t>
  </si>
  <si>
    <t>206,482.88</t>
  </si>
  <si>
    <t>1,590,500.00</t>
  </si>
  <si>
    <t>1,335,747.00</t>
  </si>
  <si>
    <t>1,998,027.95</t>
  </si>
  <si>
    <t>1,566,384.85</t>
  </si>
  <si>
    <t>136,893,553.40</t>
  </si>
  <si>
    <t>255,826,933.76</t>
  </si>
  <si>
    <t>100,336,108.59</t>
  </si>
  <si>
    <t>110,898,926.55</t>
  </si>
  <si>
    <t>255,369,933.76</t>
  </si>
  <si>
    <t>4,095,109.99</t>
  </si>
  <si>
    <t>1,123,750.00</t>
  </si>
  <si>
    <t>579,573,600.00</t>
  </si>
  <si>
    <t>656,861.42</t>
  </si>
  <si>
    <t>2,499,984.00</t>
  </si>
  <si>
    <t>11,407,000.00</t>
  </si>
  <si>
    <t>287,723,710.80</t>
  </si>
  <si>
    <t>1,518,480.00</t>
  </si>
  <si>
    <t>1,517,400.00</t>
  </si>
  <si>
    <t>22,662,975.00</t>
  </si>
  <si>
    <t>709,977,660.00</t>
  </si>
  <si>
    <t>931,500.00</t>
  </si>
  <si>
    <t>34,919,435.71</t>
  </si>
  <si>
    <t>90,659,650.00</t>
  </si>
  <si>
    <t>4,691,080.00</t>
  </si>
  <si>
    <t>56,365,200.00</t>
  </si>
  <si>
    <t>882,376.43</t>
  </si>
  <si>
    <t>1,035,059.69</t>
  </si>
  <si>
    <t>1,531,480.00</t>
  </si>
  <si>
    <t>499,165.28</t>
  </si>
  <si>
    <t>3,701,455.50</t>
  </si>
  <si>
    <t>2,925,333.25</t>
  </si>
  <si>
    <t>9,708,000.00</t>
  </si>
  <si>
    <t>175,650.00</t>
  </si>
  <si>
    <t>1,066,450.00</t>
  </si>
  <si>
    <t>2,930,000.00</t>
  </si>
  <si>
    <t>43,200.00</t>
  </si>
  <si>
    <t>3,064,853.87</t>
  </si>
  <si>
    <t>2,233,333.40</t>
  </si>
  <si>
    <t>57,168,899.44</t>
  </si>
  <si>
    <t>137,400.00</t>
  </si>
  <si>
    <t>3,175,000.00</t>
  </si>
  <si>
    <t>6,815,000.00</t>
  </si>
  <si>
    <t>1,268,545.28</t>
  </si>
  <si>
    <t>49,985.00</t>
  </si>
  <si>
    <t>362,758.88</t>
  </si>
  <si>
    <t>6,239,336.90</t>
  </si>
  <si>
    <t>1,549,751.34</t>
  </si>
  <si>
    <t>479,060.00</t>
  </si>
  <si>
    <t>1,128,793.50</t>
  </si>
  <si>
    <t>26,850,000.00</t>
  </si>
  <si>
    <t>10,936,904.80</t>
  </si>
  <si>
    <t>978,317.44</t>
  </si>
  <si>
    <t>2,998,042.27</t>
  </si>
  <si>
    <t>3,489,088.72</t>
  </si>
  <si>
    <t>2,321,536.00</t>
  </si>
  <si>
    <t>999,477.44</t>
  </si>
  <si>
    <t>3,002,671.00</t>
  </si>
  <si>
    <t>1,094,201.17</t>
  </si>
  <si>
    <t>895,854.76</t>
  </si>
  <si>
    <t>1,756,506.00</t>
  </si>
  <si>
    <t>7,400,000.00</t>
  </si>
  <si>
    <t>43,920,000.00</t>
  </si>
  <si>
    <t>3,958,247.40</t>
  </si>
  <si>
    <t>7,660,000.00</t>
  </si>
  <si>
    <t>2,957,125.00</t>
  </si>
  <si>
    <t>1,025,826.00</t>
  </si>
  <si>
    <t>294,500.00</t>
  </si>
  <si>
    <t>199,030.00</t>
  </si>
  <si>
    <t>56,735.00</t>
  </si>
  <si>
    <t>1,081,000.00</t>
  </si>
  <si>
    <t>7,313,160.00</t>
  </si>
  <si>
    <t>1,564,900.00</t>
  </si>
  <si>
    <t>1,018,800.00</t>
  </si>
  <si>
    <t>1,506,000.00</t>
  </si>
  <si>
    <t>1,565,500.00</t>
  </si>
  <si>
    <t>1,385,940.00</t>
  </si>
  <si>
    <t>764,525.00</t>
  </si>
  <si>
    <t>3,714,000.00</t>
  </si>
  <si>
    <t>4,122,637.22</t>
  </si>
  <si>
    <t>1,489,429.78</t>
  </si>
  <si>
    <t>15,400.00</t>
  </si>
  <si>
    <t>246,450.00</t>
  </si>
  <si>
    <t>7,644,000.00</t>
  </si>
  <si>
    <t>2,420,000.00</t>
  </si>
  <si>
    <t>6,570,000.00</t>
  </si>
  <si>
    <t>377,000.00</t>
  </si>
  <si>
    <t>383,335.00</t>
  </si>
  <si>
    <t>4,483,457.67</t>
  </si>
  <si>
    <t>283,224.00</t>
  </si>
  <si>
    <t>1,896,000.00</t>
  </si>
  <si>
    <t>15,853,442.30</t>
  </si>
  <si>
    <t>31,405,000.00</t>
  </si>
  <si>
    <t>1,625,400.00</t>
  </si>
  <si>
    <t>9,995,922.70</t>
  </si>
  <si>
    <t>2,045,000.00</t>
  </si>
  <si>
    <t>1,449,000.00</t>
  </si>
  <si>
    <t>1,260,043.00</t>
  </si>
  <si>
    <t>169,997.00</t>
  </si>
  <si>
    <t>95,790.00</t>
  </si>
  <si>
    <t>6,255,165.71</t>
  </si>
  <si>
    <t>687,000.00</t>
  </si>
  <si>
    <t>1,836,196.10</t>
  </si>
  <si>
    <t>276,950.00</t>
  </si>
  <si>
    <t>1,598,000.00</t>
  </si>
  <si>
    <t>868,280.00</t>
  </si>
  <si>
    <t>1,356,724.00</t>
  </si>
  <si>
    <t>270,900.00</t>
  </si>
  <si>
    <t>25,099,000.00</t>
  </si>
  <si>
    <t>2,972,323.98</t>
  </si>
  <si>
    <t>2,726,757.11</t>
  </si>
  <si>
    <t>415,730.00</t>
  </si>
  <si>
    <t>1,393,000.00</t>
  </si>
  <si>
    <t>88,000,000.00</t>
  </si>
  <si>
    <t>1,122,015.00</t>
  </si>
  <si>
    <t>36,824,100.00</t>
  </si>
  <si>
    <t>7,429,000.00</t>
  </si>
  <si>
    <t>3,588,712.50</t>
  </si>
  <si>
    <t>3,753,000.00</t>
  </si>
  <si>
    <t>1,878,750.00</t>
  </si>
  <si>
    <t>27,442.54</t>
  </si>
  <si>
    <t>27,196,400.00</t>
  </si>
  <si>
    <t>4,312,000.00</t>
  </si>
  <si>
    <t>3,194,038.40</t>
  </si>
  <si>
    <t>3,542,510.00</t>
  </si>
  <si>
    <t>3,320,000.00</t>
  </si>
  <si>
    <t>19,846,545.25</t>
  </si>
  <si>
    <t>4,381,666.67</t>
  </si>
  <si>
    <t>1,697,371.00</t>
  </si>
  <si>
    <t>3,408,935.00</t>
  </si>
  <si>
    <t>3,067,400.00</t>
  </si>
  <si>
    <t>12,350,000.00</t>
  </si>
  <si>
    <t>112,950.00</t>
  </si>
  <si>
    <t>6,474,240.00</t>
  </si>
  <si>
    <t>5,038,142.11</t>
  </si>
  <si>
    <t>2,999,997.56</t>
  </si>
  <si>
    <t>19,999,918.37</t>
  </si>
  <si>
    <t>26,159,744.00</t>
  </si>
  <si>
    <t>2,953,330.00</t>
  </si>
  <si>
    <t>6,757,122.34</t>
  </si>
  <si>
    <t>777,775.42</t>
  </si>
  <si>
    <t>4,539,626.58</t>
  </si>
  <si>
    <t>4,400,000.00</t>
  </si>
  <si>
    <t>3,378,668.40</t>
  </si>
  <si>
    <t>2,744,120.70</t>
  </si>
  <si>
    <t>11,833,900.00</t>
  </si>
  <si>
    <t>401,000.00</t>
  </si>
  <si>
    <t>8,159,603.00</t>
  </si>
  <si>
    <t>1,799,500.00</t>
  </si>
  <si>
    <t>1,475,945.00</t>
  </si>
  <si>
    <t>1,545,939.00</t>
  </si>
  <si>
    <t>1,617,624.00</t>
  </si>
  <si>
    <t>1,844,995.00</t>
  </si>
  <si>
    <t>7,437,529.50</t>
  </si>
  <si>
    <t>1,303,926.00</t>
  </si>
  <si>
    <t>231,391.60</t>
  </si>
  <si>
    <t>3,696,000.00</t>
  </si>
  <si>
    <t>1,642,960.00</t>
  </si>
  <si>
    <t>5,431,530.33</t>
  </si>
  <si>
    <t>199,514.00</t>
  </si>
  <si>
    <t>65,317.00</t>
  </si>
  <si>
    <t>382,829.13</t>
  </si>
  <si>
    <t>2,479,408.50</t>
  </si>
  <si>
    <t>1,192,492.00</t>
  </si>
  <si>
    <t>8,264,855.00</t>
  </si>
  <si>
    <t>830,390.00</t>
  </si>
  <si>
    <t>1,206,902.90</t>
  </si>
  <si>
    <t>1,607,201.22</t>
  </si>
  <si>
    <t>4,650,000.00</t>
  </si>
  <si>
    <t>1,365,339.00</t>
  </si>
  <si>
    <t>6,871,000.00</t>
  </si>
  <si>
    <t>1,226,769.00</t>
  </si>
  <si>
    <t>11,880,000.00</t>
  </si>
  <si>
    <t>11,210,000.00</t>
  </si>
  <si>
    <t>1,592,600.00</t>
  </si>
  <si>
    <t>14,057,904.00</t>
  </si>
  <si>
    <t>7,871,669.63</t>
  </si>
  <si>
    <t>616,346.40</t>
  </si>
  <si>
    <t>51,755,913.30</t>
  </si>
  <si>
    <t>12,266,855.00</t>
  </si>
  <si>
    <t>40,917,940.00</t>
  </si>
  <si>
    <t>4,775,446.00</t>
  </si>
  <si>
    <t>4,170,600.00</t>
  </si>
  <si>
    <t>5,220,000.00</t>
  </si>
  <si>
    <t>749,040.00</t>
  </si>
  <si>
    <t>11,387,814.00</t>
  </si>
  <si>
    <t>5,969,777.71</t>
  </si>
  <si>
    <t>1,226,300.00</t>
  </si>
  <si>
    <t>1,381,380.00</t>
  </si>
  <si>
    <t>7,228,882.95</t>
  </si>
  <si>
    <t>1,205,444,643.31</t>
  </si>
  <si>
    <t>1,716,800.00</t>
  </si>
  <si>
    <t>1,913,678.00</t>
  </si>
  <si>
    <t>664,492.00</t>
  </si>
  <si>
    <t>133,650,000.00</t>
  </si>
  <si>
    <t>11,372,015.00</t>
  </si>
  <si>
    <t>2,782,029.00</t>
  </si>
  <si>
    <t>1,581,250.00</t>
  </si>
  <si>
    <t>20,419,962.00</t>
  </si>
  <si>
    <t>2,567,900.00</t>
  </si>
  <si>
    <t>4,914,800.00</t>
  </si>
  <si>
    <t>5,723,650.00</t>
  </si>
  <si>
    <t>2,855,000.00</t>
  </si>
  <si>
    <t>20,620,287.00</t>
  </si>
  <si>
    <t>1,570,000.00</t>
  </si>
  <si>
    <t>5,520,000.00</t>
  </si>
  <si>
    <t>1,691,500.00</t>
  </si>
  <si>
    <t>935,000.00</t>
  </si>
  <si>
    <t>4,177,800.00</t>
  </si>
  <si>
    <t>1,431,430.00</t>
  </si>
  <si>
    <t>2,658,675.84</t>
  </si>
  <si>
    <t>1,665,000.00</t>
  </si>
  <si>
    <t>1,259,968.50</t>
  </si>
  <si>
    <t>1,349,955.00</t>
  </si>
  <si>
    <t>113,342.00</t>
  </si>
  <si>
    <t>12,154,375.00</t>
  </si>
  <si>
    <t>2,126,600.00</t>
  </si>
  <si>
    <t>914,740.00</t>
  </si>
  <si>
    <t>494,128.95</t>
  </si>
  <si>
    <t>312,900.00</t>
  </si>
  <si>
    <t>745,600.00</t>
  </si>
  <si>
    <t>895,450.00</t>
  </si>
  <si>
    <t>1,936,500.00</t>
  </si>
  <si>
    <t>6,964,400.00</t>
  </si>
  <si>
    <t>1,245,400.00</t>
  </si>
  <si>
    <t>158,410.00</t>
  </si>
  <si>
    <t>3,267,000.00</t>
  </si>
  <si>
    <t>2,635,000.00</t>
  </si>
  <si>
    <t>2,623,214.00</t>
  </si>
  <si>
    <t>4,047,778.35</t>
  </si>
  <si>
    <t>2,753,813.00</t>
  </si>
  <si>
    <t>2,999,000.00</t>
  </si>
  <si>
    <t>1,045,500.00</t>
  </si>
  <si>
    <t>1,801,079.00</t>
  </si>
  <si>
    <t>4,215,062.00</t>
  </si>
  <si>
    <t>1,624,000.00</t>
  </si>
  <si>
    <t>11,285,302.50</t>
  </si>
  <si>
    <t>5,484,741.60</t>
  </si>
  <si>
    <t>507,300.00</t>
  </si>
  <si>
    <t>1,887,175.00</t>
  </si>
  <si>
    <t>2,693,460.60</t>
  </si>
  <si>
    <t>425,000.00</t>
  </si>
  <si>
    <t>2,121,368.00</t>
  </si>
  <si>
    <t>29,321,010.00</t>
  </si>
  <si>
    <t>11,520,600.00</t>
  </si>
  <si>
    <t>100,171,100.00</t>
  </si>
  <si>
    <t>66,500,000.00</t>
  </si>
  <si>
    <t>1,676,020.00</t>
  </si>
  <si>
    <t>358,142.40</t>
  </si>
  <si>
    <t>3,865,000.00</t>
  </si>
  <si>
    <t>4,399,423.00</t>
  </si>
  <si>
    <t>7,287,140.93</t>
  </si>
  <si>
    <t>5,877,120.00</t>
  </si>
  <si>
    <t>50,929,710.00</t>
  </si>
  <si>
    <t>4,742,979.00</t>
  </si>
  <si>
    <t>14,699,923.84</t>
  </si>
  <si>
    <t>4,804,693,006.21</t>
  </si>
  <si>
    <t>124,998,300.00</t>
  </si>
  <si>
    <t>4,199,656.00</t>
  </si>
  <si>
    <t>427,580.00</t>
  </si>
  <si>
    <t>98,755.00</t>
  </si>
  <si>
    <t>2,178,000.00</t>
  </si>
  <si>
    <t>148,090.00</t>
  </si>
  <si>
    <t>98,618.00</t>
  </si>
  <si>
    <t>2,775,806.72</t>
  </si>
  <si>
    <t>17,211,176.79</t>
  </si>
  <si>
    <t>189,900.00</t>
  </si>
  <si>
    <t>40,654,602.00</t>
  </si>
  <si>
    <t>9,776,567.52</t>
  </si>
  <si>
    <t>90,930.00</t>
  </si>
  <si>
    <t>1,653,000.00</t>
  </si>
  <si>
    <t>482,400.00</t>
  </si>
  <si>
    <t>900,300.00</t>
  </si>
  <si>
    <t>992,000.00</t>
  </si>
  <si>
    <t>6,820,000.00</t>
  </si>
  <si>
    <t>18,949,654.50</t>
  </si>
  <si>
    <t>24,271,844.65</t>
  </si>
  <si>
    <t>47,753,184.80</t>
  </si>
  <si>
    <t>23,600,000.00</t>
  </si>
  <si>
    <t>41,086,000.00</t>
  </si>
  <si>
    <t>7,620,000.00</t>
  </si>
  <si>
    <t>496,000,000.00</t>
  </si>
  <si>
    <t>149,833,333.54</t>
  </si>
  <si>
    <t>47,975.00</t>
  </si>
  <si>
    <t>542,966.50</t>
  </si>
  <si>
    <t>15,700,000.00</t>
  </si>
  <si>
    <t>1,077,000.00</t>
  </si>
  <si>
    <t>161,900.00</t>
  </si>
  <si>
    <t>36,749,216.45</t>
  </si>
  <si>
    <t>196,643.00</t>
  </si>
  <si>
    <t>19,799,977.04</t>
  </si>
  <si>
    <t>34,740,000.00</t>
  </si>
  <si>
    <t>85,312,920.00</t>
  </si>
  <si>
    <t>20,580,000.00</t>
  </si>
  <si>
    <t>76,255,265.00</t>
  </si>
  <si>
    <t>12,740,000.00</t>
  </si>
  <si>
    <t>49,000,000.00</t>
  </si>
  <si>
    <t>40,180,000.00</t>
  </si>
  <si>
    <t>904,830.00</t>
  </si>
  <si>
    <t>18,149,874.36</t>
  </si>
  <si>
    <t>53,075,000.00</t>
  </si>
  <si>
    <t>4,062,628.26</t>
  </si>
  <si>
    <t>10,400.00</t>
  </si>
  <si>
    <t>66,400,000.00</t>
  </si>
  <si>
    <t>96,499,979.16</t>
  </si>
  <si>
    <t>2,386,800.00</t>
  </si>
  <si>
    <t>7,350,000.00</t>
  </si>
  <si>
    <t>25,456.00</t>
  </si>
  <si>
    <t>13,720,000.00</t>
  </si>
  <si>
    <t>49,500,000.00</t>
  </si>
  <si>
    <t>220,884.00</t>
  </si>
  <si>
    <t>4,181,955.90</t>
  </si>
  <si>
    <t>2,513,150.00</t>
  </si>
  <si>
    <t>11,760,000.00</t>
  </si>
  <si>
    <t>5,317,000.00</t>
  </si>
  <si>
    <t>58,657,553.00</t>
  </si>
  <si>
    <t>12,870,000.00</t>
  </si>
  <si>
    <t>968,400.00</t>
  </si>
  <si>
    <t>496,500.00</t>
  </si>
  <si>
    <t>724,000.00</t>
  </si>
  <si>
    <t>5,326,937.40</t>
  </si>
  <si>
    <t>1,144,590.90</t>
  </si>
  <si>
    <t>2,853,955.24</t>
  </si>
  <si>
    <t>847,425.00</t>
  </si>
  <si>
    <t>9,274,085.20</t>
  </si>
  <si>
    <t>720,328.00</t>
  </si>
  <si>
    <t>4,667,948.40</t>
  </si>
  <si>
    <t>5,768,372.88</t>
  </si>
  <si>
    <t>35,010,000.00</t>
  </si>
  <si>
    <t>4,224,800.00</t>
  </si>
  <si>
    <t>9,619,205.00</t>
  </si>
  <si>
    <t>3,533,250.00</t>
  </si>
  <si>
    <t>10,051,800.00</t>
  </si>
  <si>
    <t>2,080,000.00</t>
  </si>
  <si>
    <t>377,152.00</t>
  </si>
  <si>
    <t>1,114,793.99</t>
  </si>
  <si>
    <t>37,500.00</t>
  </si>
  <si>
    <t>2,340,801.68</t>
  </si>
  <si>
    <t>144,747,335.55</t>
  </si>
  <si>
    <t>72,863.22</t>
  </si>
  <si>
    <t>28,916,667.00</t>
  </si>
  <si>
    <t>3,025,657.63</t>
  </si>
  <si>
    <t>5,938,259.14</t>
  </si>
  <si>
    <t>12,034,400.00</t>
  </si>
  <si>
    <t>16,258,200.00</t>
  </si>
  <si>
    <t>2,606,951.31</t>
  </si>
  <si>
    <t>27,165,600.00</t>
  </si>
  <si>
    <t>9,615,264.00</t>
  </si>
  <si>
    <t>8,579,377.32</t>
  </si>
  <si>
    <t>243,000.00</t>
  </si>
  <si>
    <t>36,663,533.40</t>
  </si>
  <si>
    <t>1,542,307.69</t>
  </si>
  <si>
    <t>37,356,955.00</t>
  </si>
  <si>
    <t>2,887,499.99</t>
  </si>
  <si>
    <t>4,250,000.00</t>
  </si>
  <si>
    <t>10,622,795.00</t>
  </si>
  <si>
    <t>80,000,000.00</t>
  </si>
  <si>
    <t>5,475,268.70</t>
  </si>
  <si>
    <t>29,699,973.77</t>
  </si>
  <si>
    <t>774,559.72</t>
  </si>
  <si>
    <t>31,608,310.40</t>
  </si>
  <si>
    <t>15,344,856.27</t>
  </si>
  <si>
    <t>10,118,081.88</t>
  </si>
  <si>
    <t>2,521,768.78</t>
  </si>
  <si>
    <t>14,849,946.31</t>
  </si>
  <si>
    <t>19,999,159.36</t>
  </si>
  <si>
    <t>114,298.00</t>
  </si>
  <si>
    <t>1,749,074.98</t>
  </si>
  <si>
    <t>14,849,659.73</t>
  </si>
  <si>
    <t>45,361,366,040.29</t>
  </si>
  <si>
    <t>48,999,781.25</t>
  </si>
  <si>
    <t>48,997,713.24</t>
  </si>
  <si>
    <t>5,870,000.00</t>
  </si>
  <si>
    <t>62,631,947.91</t>
  </si>
  <si>
    <t>3,759,553.34</t>
  </si>
  <si>
    <t>59,399,994.70</t>
  </si>
  <si>
    <t>48,999,866.87</t>
  </si>
  <si>
    <t>10,769,230.64</t>
  </si>
  <si>
    <t>4,401,855.00</t>
  </si>
  <si>
    <t>29,699,982.26</t>
  </si>
  <si>
    <t>4,615,374.36</t>
  </si>
  <si>
    <t>4,070,000.00</t>
  </si>
  <si>
    <t>39,192,410.10</t>
  </si>
  <si>
    <t>106,149,995.59</t>
  </si>
  <si>
    <t>1,187,849.29</t>
  </si>
  <si>
    <t>2,281,000.00</t>
  </si>
  <si>
    <t>1,329,428.01</t>
  </si>
  <si>
    <t>2,787,756.08</t>
  </si>
  <si>
    <t>2,859,300.00</t>
  </si>
  <si>
    <t>7,720,700.00</t>
  </si>
  <si>
    <t>6,700,000.00</t>
  </si>
  <si>
    <t>4,321,800.00</t>
  </si>
  <si>
    <t>27,355,000.00</t>
  </si>
  <si>
    <t>1,083,290.12</t>
  </si>
  <si>
    <t>9,810,000.00</t>
  </si>
  <si>
    <t>50,400,000.00</t>
  </si>
  <si>
    <t>3,600,075.00</t>
  </si>
  <si>
    <t>263,587.20</t>
  </si>
  <si>
    <t>9,755,869.03</t>
  </si>
  <si>
    <t>19,605,746.50</t>
  </si>
  <si>
    <t>2,524,100.00</t>
  </si>
  <si>
    <t>82,934,984.00</t>
  </si>
  <si>
    <t>8,650,000.00</t>
  </si>
  <si>
    <t>190,375,000.00</t>
  </si>
  <si>
    <t>30 Day/s</t>
  </si>
  <si>
    <t>4 Month/s</t>
  </si>
  <si>
    <t>45 Day/s</t>
  </si>
  <si>
    <t>15 Day/s</t>
  </si>
  <si>
    <t>5 Day/s</t>
  </si>
  <si>
    <t>0 Day/s</t>
  </si>
  <si>
    <t>7 Day/s</t>
  </si>
  <si>
    <t>23 Day/s</t>
  </si>
  <si>
    <t>54 Day/s</t>
  </si>
  <si>
    <t>130 Day/s</t>
  </si>
  <si>
    <t>90 Day/s</t>
  </si>
  <si>
    <t>60 Day/s</t>
  </si>
  <si>
    <t>43 Day/s</t>
  </si>
  <si>
    <t>184 Day/s</t>
  </si>
  <si>
    <t>36 Day/s</t>
  </si>
  <si>
    <t>76 Day/s</t>
  </si>
  <si>
    <t>51 Day/s</t>
  </si>
  <si>
    <t>100 Day/s</t>
  </si>
  <si>
    <t>40 Day/s</t>
  </si>
  <si>
    <t>32 Day/s</t>
  </si>
  <si>
    <t>200 Day/s</t>
  </si>
  <si>
    <t>10 Month/s</t>
  </si>
  <si>
    <t>29 Day/s</t>
  </si>
  <si>
    <t>18 Day/s</t>
  </si>
  <si>
    <t>80 Day/s</t>
  </si>
  <si>
    <t>10 Day/s</t>
  </si>
  <si>
    <t>2 Day/s</t>
  </si>
  <si>
    <t>124 Day/s</t>
  </si>
  <si>
    <t>9 Day/s</t>
  </si>
  <si>
    <t>95 Day/s</t>
  </si>
  <si>
    <t>50 Day/s</t>
  </si>
  <si>
    <t>63 Day/s</t>
  </si>
  <si>
    <t>1 Month/s</t>
  </si>
  <si>
    <t>20 Day/s</t>
  </si>
  <si>
    <t>27 Day/s</t>
  </si>
  <si>
    <t>300 Day/s</t>
  </si>
  <si>
    <t>28 Day/s</t>
  </si>
  <si>
    <t>120 Day/s</t>
  </si>
  <si>
    <t>240 Day/s</t>
  </si>
  <si>
    <t>4 Day/s</t>
  </si>
  <si>
    <t>75 Day/s</t>
  </si>
  <si>
    <t>210 Day/s</t>
  </si>
  <si>
    <t>70 Day/s</t>
  </si>
  <si>
    <t>3 Day/s</t>
  </si>
  <si>
    <t>109 Day/s</t>
  </si>
  <si>
    <t>25 Day/s</t>
  </si>
  <si>
    <t>35 Day/s</t>
  </si>
  <si>
    <t>2 Month/s</t>
  </si>
  <si>
    <t>180 Day/s</t>
  </si>
  <si>
    <t>1 Day/s</t>
  </si>
  <si>
    <t>6 Day/s</t>
  </si>
  <si>
    <t>22 Day/s</t>
  </si>
  <si>
    <t>8 Day/s</t>
  </si>
  <si>
    <t>14 Day/s</t>
  </si>
  <si>
    <t>86 Day/s</t>
  </si>
  <si>
    <t>250 Day/s</t>
  </si>
  <si>
    <t>64 Day/s</t>
  </si>
  <si>
    <t>164 Day/s</t>
  </si>
  <si>
    <t>136 Day/s</t>
  </si>
  <si>
    <t>52 Day/s</t>
  </si>
  <si>
    <t>129 Day/s</t>
  </si>
  <si>
    <t>140 Day/s</t>
  </si>
  <si>
    <t>97 Day/s</t>
  </si>
  <si>
    <t>160 Day/s</t>
  </si>
  <si>
    <t>41 Day/s</t>
  </si>
  <si>
    <t>49 Day/s</t>
  </si>
  <si>
    <t>21 Day/s</t>
  </si>
  <si>
    <t>31 Day/s</t>
  </si>
  <si>
    <t>115 Day/s</t>
  </si>
  <si>
    <t>67 Day/s</t>
  </si>
  <si>
    <t>56 Day/s</t>
  </si>
  <si>
    <t>26 Day/s</t>
  </si>
  <si>
    <t>24 Day/s</t>
  </si>
  <si>
    <t>13 Day/s</t>
  </si>
  <si>
    <t>185 Day/s</t>
  </si>
  <si>
    <t>245 Day/s</t>
  </si>
  <si>
    <t>163 Day/s</t>
  </si>
  <si>
    <t>156 Day/s</t>
  </si>
  <si>
    <t>360 Day/s</t>
  </si>
  <si>
    <t>150 Day/s</t>
  </si>
  <si>
    <t>42 Day/s</t>
  </si>
  <si>
    <t>330 Day/s</t>
  </si>
  <si>
    <t>3 Month/s</t>
  </si>
  <si>
    <t>94 Day/s</t>
  </si>
  <si>
    <t>0 Month/s</t>
  </si>
  <si>
    <t>3 Year/s</t>
  </si>
  <si>
    <t>55 Day/s</t>
  </si>
  <si>
    <t>17 Day/s</t>
  </si>
  <si>
    <t>215 Day/s</t>
  </si>
  <si>
    <t>37 Day/s</t>
  </si>
  <si>
    <t>12 Month/s</t>
  </si>
  <si>
    <t>31 Month/s</t>
  </si>
  <si>
    <t>65 Day/s</t>
  </si>
  <si>
    <t>145 Day/s</t>
  </si>
  <si>
    <t>110 Day/s</t>
  </si>
  <si>
    <t>1 Year/s</t>
  </si>
  <si>
    <t>19 Day/s</t>
  </si>
  <si>
    <t>46 Day/s</t>
  </si>
  <si>
    <t>82 Day/s</t>
  </si>
  <si>
    <t>44 Day/s</t>
  </si>
  <si>
    <t>137 Day/s</t>
  </si>
  <si>
    <t>5 Month/s</t>
  </si>
  <si>
    <t>420 Day/s</t>
  </si>
  <si>
    <t>2 Year/s</t>
  </si>
  <si>
    <t>77 Day/s</t>
  </si>
  <si>
    <t>12 Day/s</t>
  </si>
  <si>
    <t>108 Day/s</t>
  </si>
  <si>
    <t>121 Day/s</t>
  </si>
  <si>
    <t>53 Day/s</t>
  </si>
  <si>
    <t>207 Day/s</t>
  </si>
  <si>
    <t>66 Day/s</t>
  </si>
  <si>
    <t>72 Day/s</t>
  </si>
  <si>
    <t>260 Day/s</t>
  </si>
  <si>
    <t>270 Day/s</t>
  </si>
  <si>
    <t>4 Year/s</t>
  </si>
  <si>
    <t>290 Day/s</t>
  </si>
  <si>
    <t>57 Day/s</t>
  </si>
  <si>
    <t>225 Day/s</t>
  </si>
  <si>
    <t>6 Month/s</t>
  </si>
  <si>
    <t>85 Day/s</t>
  </si>
  <si>
    <t>39 Day/s</t>
  </si>
  <si>
    <t>34 Day/s</t>
  </si>
  <si>
    <t>271 Day/s</t>
  </si>
  <si>
    <t>231 Day/s</t>
  </si>
  <si>
    <t>87 Day/s</t>
  </si>
  <si>
    <t>203 Day/s</t>
  </si>
  <si>
    <t>172 Day/s</t>
  </si>
  <si>
    <t>122 Day/s</t>
  </si>
  <si>
    <t>33 Day/s</t>
  </si>
  <si>
    <t>84 Day/s</t>
  </si>
  <si>
    <t>255 Day/s</t>
  </si>
  <si>
    <t>192 Day/s</t>
  </si>
  <si>
    <t>91 Day/s</t>
  </si>
  <si>
    <t>248 Day/s</t>
  </si>
  <si>
    <t>92 Day/s</t>
  </si>
  <si>
    <t>237 Day/s</t>
  </si>
  <si>
    <t>162 Day/s</t>
  </si>
  <si>
    <t>105 Day/s</t>
  </si>
  <si>
    <t>252 Day/s</t>
  </si>
  <si>
    <t>276 Day/s</t>
  </si>
  <si>
    <t>157 Day/s</t>
  </si>
  <si>
    <t>189 Day/s</t>
  </si>
  <si>
    <t>135 Day/s</t>
  </si>
  <si>
    <t>229 Day/s</t>
  </si>
  <si>
    <t>365 Day/s</t>
  </si>
  <si>
    <t>315 Day/s</t>
  </si>
  <si>
    <t>79 Day/s</t>
  </si>
  <si>
    <t>328 Day/s</t>
  </si>
  <si>
    <t>60 Month/s</t>
  </si>
  <si>
    <t>78 Day/s</t>
  </si>
  <si>
    <t>142 Day/s</t>
  </si>
  <si>
    <t>68 Day/s</t>
  </si>
  <si>
    <t>73 Day/s</t>
  </si>
  <si>
    <t>540 Day/s</t>
  </si>
  <si>
    <t>220 Day/s</t>
  </si>
  <si>
    <t>119 Day/s</t>
  </si>
  <si>
    <t>81 Day/s</t>
  </si>
  <si>
    <t>171 Day/s</t>
  </si>
  <si>
    <t>343 Day/s</t>
  </si>
  <si>
    <t>16 Day/s</t>
  </si>
  <si>
    <t>58 Day/s</t>
  </si>
  <si>
    <t>188 Day/s</t>
  </si>
  <si>
    <t>102 Day/s</t>
  </si>
  <si>
    <t>114 Day/s</t>
  </si>
  <si>
    <t>89 Day/s</t>
  </si>
  <si>
    <t>103 Day/s</t>
  </si>
  <si>
    <t>112 Day/s</t>
  </si>
  <si>
    <t>98 Day/s</t>
  </si>
  <si>
    <t>296 Day/s</t>
  </si>
  <si>
    <t>146 Day/s</t>
  </si>
  <si>
    <t>96 Day/s</t>
  </si>
  <si>
    <t>38 Day/s</t>
  </si>
  <si>
    <t>132 Day/s</t>
  </si>
  <si>
    <t>202 Day/s</t>
  </si>
  <si>
    <t>450 Day/s</t>
  </si>
  <si>
    <t>74 Day/s</t>
  </si>
  <si>
    <t>149 Day/s</t>
  </si>
  <si>
    <t>205 Day/s</t>
  </si>
  <si>
    <t>190 Day/s</t>
  </si>
  <si>
    <t>11 Day/s</t>
  </si>
  <si>
    <t>170 Day/s</t>
  </si>
  <si>
    <t>48 Day/s</t>
  </si>
  <si>
    <t>404 Day/s</t>
  </si>
  <si>
    <t>59 Day/s</t>
  </si>
  <si>
    <t>107 Day/s</t>
  </si>
  <si>
    <t>201 Day/s</t>
  </si>
  <si>
    <t>118 Day/s</t>
  </si>
  <si>
    <t>47 Day/s</t>
  </si>
  <si>
    <t>128 Day/s</t>
  </si>
  <si>
    <t>390 Day/s</t>
  </si>
  <si>
    <t>209 Day/s</t>
  </si>
  <si>
    <t>320 Day/s</t>
  </si>
  <si>
    <t>111 Day/s</t>
  </si>
  <si>
    <t>106 Day/s</t>
  </si>
  <si>
    <t>214 Day/s</t>
  </si>
  <si>
    <t>288 Day/s</t>
  </si>
  <si>
    <t>71 Day/s</t>
  </si>
  <si>
    <t>355 Day/s</t>
  </si>
  <si>
    <t>350 Day/s</t>
  </si>
  <si>
    <t>811 Day/s</t>
  </si>
  <si>
    <t>182 Day/s</t>
  </si>
  <si>
    <t>187 Day/s</t>
  </si>
  <si>
    <t>206 Day/s</t>
  </si>
  <si>
    <t>221 Day/s</t>
  </si>
  <si>
    <t>61 Day/s</t>
  </si>
  <si>
    <t>165 Day/s</t>
  </si>
  <si>
    <t>173 Day/s</t>
  </si>
  <si>
    <t>24 Month/s</t>
  </si>
  <si>
    <t>134 Day/s</t>
  </si>
  <si>
    <t>123 Day/s</t>
  </si>
  <si>
    <t>178 Day/s</t>
  </si>
  <si>
    <t>1186 Day/s</t>
  </si>
  <si>
    <t>88 Day/s</t>
  </si>
  <si>
    <t>1036 Day/s</t>
  </si>
  <si>
    <t>11 Month/s</t>
  </si>
  <si>
    <t>8 Month/s</t>
  </si>
  <si>
    <t>730 Day/s</t>
  </si>
  <si>
    <t>99 Day/s</t>
  </si>
  <si>
    <t>241 Day/s</t>
  </si>
  <si>
    <t>233 Day/s</t>
  </si>
  <si>
    <t>152 Day/s</t>
  </si>
  <si>
    <t>161 Day/s</t>
  </si>
  <si>
    <t>104 Day/s</t>
  </si>
  <si>
    <t>243 Day/s</t>
  </si>
  <si>
    <t>93 Day/s</t>
  </si>
  <si>
    <t>235 Day/s</t>
  </si>
  <si>
    <t>125 Day/s</t>
  </si>
  <si>
    <t>676 Day/s</t>
  </si>
  <si>
    <t>226 Day/s</t>
  </si>
  <si>
    <t>195 Day/s</t>
  </si>
  <si>
    <t>166 Day/s</t>
  </si>
  <si>
    <t>633 Day/s</t>
  </si>
  <si>
    <t>1343 Day/s</t>
  </si>
  <si>
    <t>175 Day/s</t>
  </si>
  <si>
    <t>168 Day/s</t>
  </si>
  <si>
    <t>1200 Day/s</t>
  </si>
  <si>
    <t>177 Day/s</t>
  </si>
  <si>
    <t>127 Day/s</t>
  </si>
  <si>
    <t>372 Day/s</t>
  </si>
  <si>
    <t>266 Day/s</t>
  </si>
  <si>
    <t>310 Day/s</t>
  </si>
  <si>
    <t>138 Day/s</t>
  </si>
  <si>
    <t>285 Day/s</t>
  </si>
  <si>
    <t>244 Day/s</t>
  </si>
  <si>
    <t>660 Day/s</t>
  </si>
  <si>
    <t>228 Day/s</t>
  </si>
  <si>
    <t>7 Month/s</t>
  </si>
  <si>
    <t>280 Day/s</t>
  </si>
  <si>
    <t>356 Day/s</t>
  </si>
  <si>
    <t>345 Day/s</t>
  </si>
  <si>
    <t>232 Day/s</t>
  </si>
  <si>
    <t>197 Day/s</t>
  </si>
  <si>
    <t>405 Day/s</t>
  </si>
  <si>
    <t>69 Day/s</t>
  </si>
  <si>
    <t>181 Day/s</t>
  </si>
  <si>
    <t>295 Day/s</t>
  </si>
  <si>
    <t>212 Day/s</t>
  </si>
  <si>
    <t>256 Day/s</t>
  </si>
  <si>
    <t>211 Day/s</t>
  </si>
  <si>
    <t>366 Day/s</t>
  </si>
  <si>
    <t>299 Day/s</t>
  </si>
  <si>
    <t>101 Day/s</t>
  </si>
  <si>
    <t>113 Day/s</t>
  </si>
  <si>
    <t>62 Day/s</t>
  </si>
  <si>
    <t>222 Day/s</t>
  </si>
  <si>
    <t>230 Day/s</t>
  </si>
  <si>
    <t>141 Day/s</t>
  </si>
  <si>
    <t>259 Day/s</t>
  </si>
  <si>
    <t>158 Day/s</t>
  </si>
  <si>
    <t>183 Day/s</t>
  </si>
  <si>
    <t>340 Day/s</t>
  </si>
  <si>
    <t>246 Day/s</t>
  </si>
  <si>
    <t>364 Day/s</t>
  </si>
  <si>
    <t>167 Day/s</t>
  </si>
  <si>
    <t>395 Day/s</t>
  </si>
  <si>
    <t>500 Day/s</t>
  </si>
  <si>
    <t>650 Day/s</t>
  </si>
  <si>
    <t>553 Day/s</t>
  </si>
  <si>
    <t>675 Day/s</t>
  </si>
  <si>
    <t>9 Month/s</t>
  </si>
  <si>
    <t>344 Day/s</t>
  </si>
  <si>
    <t>284 Day/s</t>
  </si>
  <si>
    <t>1095 Day/s</t>
  </si>
  <si>
    <t>570 Day/s</t>
  </si>
  <si>
    <t>116 Day/s</t>
  </si>
  <si>
    <t>83 Day/s</t>
  </si>
  <si>
    <t>249 Day/s</t>
  </si>
  <si>
    <t>293 Day/s</t>
  </si>
  <si>
    <t>213 Day/s</t>
  </si>
  <si>
    <t>186 Day/s</t>
  </si>
  <si>
    <t>143 Day/s</t>
  </si>
  <si>
    <t>174 Day/s</t>
  </si>
  <si>
    <t>Gina Llanes Aguitez</t>
  </si>
  <si>
    <t>Jeroen G Resus</t>
  </si>
  <si>
    <t>AISA ROSARIO  BIANG</t>
  </si>
  <si>
    <t>Christine C. Santos</t>
  </si>
  <si>
    <t>John Rey Arota Tomines</t>
  </si>
  <si>
    <t>Felicidad Andaya Manaois</t>
  </si>
  <si>
    <t>ZOSIMO JR. ZETA  ISANAN</t>
  </si>
  <si>
    <t>Edito Suyom Macasait</t>
  </si>
  <si>
    <t>Brgy. 09 Catbalogan</t>
  </si>
  <si>
    <t>Gaudencio Quiaoit Orpiano, Jr</t>
  </si>
  <si>
    <t>NANCY CABALLERO</t>
  </si>
  <si>
    <t>Enjill Grace R. Subillaga</t>
  </si>
  <si>
    <t>Franklin Tubiera Toledana</t>
  </si>
  <si>
    <t>LEAH ABORDO OBLIAN</t>
  </si>
  <si>
    <t>IRVIN CAYAON ROLLUQUI</t>
  </si>
  <si>
    <t>KAREN SOSMEÑA TENEBRO</t>
  </si>
  <si>
    <t>ARLYN TABARRA</t>
  </si>
  <si>
    <t>PROCESO M. KADAVERO</t>
  </si>
  <si>
    <t>Richard Angel M. Arboleda</t>
  </si>
  <si>
    <t>Leda Penarubia Redoble</t>
  </si>
  <si>
    <t>Michelle Escalada Monteclaro</t>
  </si>
  <si>
    <t>Agnes Padro Tampico</t>
  </si>
  <si>
    <t>Ailleen Melody Enguerra Alya-On</t>
  </si>
  <si>
    <t>Vivianne Desalisa Lasay</t>
  </si>
  <si>
    <t>Jaime B Merquita Jr.</t>
  </si>
  <si>
    <t>John B Magbanua</t>
  </si>
  <si>
    <t>Isaias, Sr. Tulio Bigol</t>
  </si>
  <si>
    <t>Michael E Pamado</t>
  </si>
  <si>
    <t>Herminigilda L. Sonson</t>
  </si>
  <si>
    <t>ALVIN  L  ESTRADA.</t>
  </si>
  <si>
    <t>Lailane L. Palustre</t>
  </si>
  <si>
    <t>Mark Joseph Roque Dampil</t>
  </si>
  <si>
    <t>Darryl Christian Rigos</t>
  </si>
  <si>
    <t>Jonathan H Loresca</t>
  </si>
  <si>
    <t>Gladys Angit Abarabar</t>
  </si>
  <si>
    <t>MELCHOR JR. P. DEJANO</t>
  </si>
  <si>
    <t>Cynthia Cortes Gabayoyo</t>
  </si>
  <si>
    <t>Antoinette F. Fernandez</t>
  </si>
  <si>
    <t>BRIGETTE JOY PUNZALAN ILAGAN</t>
  </si>
  <si>
    <t>Rhodeliza De Villa Penarroyo</t>
  </si>
  <si>
    <t>CHAVELLE FERRAREN ALONSO</t>
  </si>
  <si>
    <t>Nemensio T Benoza</t>
  </si>
  <si>
    <t>Maxelinda Dela Cruz Serrana</t>
  </si>
  <si>
    <t>Jocelyn M Romero</t>
  </si>
  <si>
    <t>Alfeo  Ayupan</t>
  </si>
  <si>
    <t>Rolando Uy</t>
  </si>
  <si>
    <t>Lilia O Licera</t>
  </si>
  <si>
    <t>HILARION TACAISAN DUBRIA, JR.</t>
  </si>
  <si>
    <t>Mamher Diaz Reyes</t>
  </si>
  <si>
    <t>Venancio Amogues Casaba</t>
  </si>
  <si>
    <t>Louie O Canlas</t>
  </si>
  <si>
    <t>LEO S. MATIAS</t>
  </si>
  <si>
    <t>REMELITO B ESTROLOGO</t>
  </si>
  <si>
    <t>Shiela Marie Pama Franco</t>
  </si>
  <si>
    <t>Alexander M. Almario</t>
  </si>
  <si>
    <t>EDGAR LORENZO R VOLFANGO</t>
  </si>
  <si>
    <t>Ma. Asherine Noscal Atienza</t>
  </si>
  <si>
    <t>Kim M. Moral</t>
  </si>
  <si>
    <t>Perfecto Suladay Balasote</t>
  </si>
  <si>
    <t>Mary Anne Garcia Tanazana</t>
  </si>
  <si>
    <t>Rachelle De Guzman Agpoon</t>
  </si>
  <si>
    <t>EUGENE IGNACIO</t>
  </si>
  <si>
    <t>Ernesto E Tañada</t>
  </si>
  <si>
    <t>Percy Gonzales Salazar</t>
  </si>
  <si>
    <t>Glenn Infante Lansangan</t>
  </si>
  <si>
    <t>Lilioso Morgia Nunag</t>
  </si>
  <si>
    <t>Elvisa Japay Villar</t>
  </si>
  <si>
    <t>Roderick Trangia Songahid</t>
  </si>
  <si>
    <t>Arundale Gum-u Immoliap Bunnag</t>
  </si>
  <si>
    <t>Cheenie D. Botones</t>
  </si>
  <si>
    <t>Rogel Canico Lopez</t>
  </si>
  <si>
    <t>Romeo L Estember</t>
  </si>
  <si>
    <t>Ferdinand Dumaboc Dipaling</t>
  </si>
  <si>
    <t>Marilyn De Paz Robedillo</t>
  </si>
  <si>
    <t>Miguel Jr. D. Tolentino</t>
  </si>
  <si>
    <t>Jerry O prias</t>
  </si>
  <si>
    <t>Mary Joy S Altarez</t>
  </si>
  <si>
    <t>Vilma Capistrano Globio</t>
  </si>
  <si>
    <t>Elmer G Canios</t>
  </si>
  <si>
    <t>Mamerto Alcanzarin Portillo</t>
  </si>
  <si>
    <t>Teddy Bantolo</t>
  </si>
  <si>
    <t>Michael Andrew Q Frias</t>
  </si>
  <si>
    <t>Elenita Barredo Bañares</t>
  </si>
  <si>
    <t>Gloria L. Duga</t>
  </si>
  <si>
    <t>EMERSON R LARUA</t>
  </si>
  <si>
    <t>Carlo Nilo Obrero</t>
  </si>
  <si>
    <t>Pancho Galeos Ramirez, Sr.</t>
  </si>
  <si>
    <t>LIBRADO M LAWIG</t>
  </si>
  <si>
    <t>Jacob Gupana Racho</t>
  </si>
  <si>
    <t>Vincent A Isip</t>
  </si>
  <si>
    <t>Mercy Bedona</t>
  </si>
  <si>
    <t>Catalino Arado Sumaylo</t>
  </si>
  <si>
    <t>ROLLY CESAR MAGSOLING</t>
  </si>
  <si>
    <t>Zotico L. Pastelero</t>
  </si>
  <si>
    <t>Aileen L Bonghanoy</t>
  </si>
  <si>
    <t>Khristine Aquino Balagtas</t>
  </si>
  <si>
    <t>Hurdy F Denosta</t>
  </si>
  <si>
    <t>Rodolfo R David</t>
  </si>
  <si>
    <t>Randy Miranda Matibag</t>
  </si>
  <si>
    <t>AMADEO P CARDONA</t>
  </si>
  <si>
    <t>ERLINDA F. MANIPON</t>
  </si>
  <si>
    <t>Aubrey George Tamargo Corpuz</t>
  </si>
  <si>
    <t>Rosario Y. Baldonado</t>
  </si>
  <si>
    <t>Leah Kierulf De Paz</t>
  </si>
  <si>
    <t>Mary Jane Elegio Malbas</t>
  </si>
  <si>
    <t>Candido Matutina Dichosa, Jr.</t>
  </si>
  <si>
    <t>IMELDA ANANO ALBUTRA</t>
  </si>
  <si>
    <t>Francis Ian L Tan</t>
  </si>
  <si>
    <t>ELAINE JUBAILYN MAGARANG MOCSANAT</t>
  </si>
  <si>
    <t>Eden F Borja</t>
  </si>
  <si>
    <t>Joan Margarette A Yap</t>
  </si>
  <si>
    <t>Cesarina Sico Macuha</t>
  </si>
  <si>
    <t>Marivic Masbad Managbanag</t>
  </si>
  <si>
    <t>Nobernia Ondos MAGPATOC</t>
  </si>
  <si>
    <t>Marwin Francisco Paming</t>
  </si>
  <si>
    <t>Renato C. De Pedro</t>
  </si>
  <si>
    <t>Erwin Mendoza Punzalan</t>
  </si>
  <si>
    <t>Michael Angelo Agoto Samonte</t>
  </si>
  <si>
    <t>Guy Perez</t>
  </si>
  <si>
    <t>Cleofe A Amores</t>
  </si>
  <si>
    <t>Renel M. Malacapo</t>
  </si>
  <si>
    <t>Natalie Tinao Caparas</t>
  </si>
  <si>
    <t>JHERICH AN JOHN CAALIM YBAÑEZ</t>
  </si>
  <si>
    <t>JOHN REY JERAO PEREZ</t>
  </si>
  <si>
    <t>Mark Joseph Zulita  Lloren</t>
  </si>
  <si>
    <t>GUIA S. LAGUITAO</t>
  </si>
  <si>
    <t>HAYDIE PAMILLARAN LAPRICO</t>
  </si>
  <si>
    <t>Jessie Bagtang Addag</t>
  </si>
  <si>
    <t>Daniel Jr. B. Esplanada</t>
  </si>
  <si>
    <t>ROSE ANN A. CRUZ</t>
  </si>
  <si>
    <t>Samuel Delfin Doronio</t>
  </si>
  <si>
    <t>Frazali  Sala Siega</t>
  </si>
  <si>
    <t>ESTELA  B  TUSE</t>
  </si>
  <si>
    <t>Marivic Santander Saniel</t>
  </si>
  <si>
    <t>OMAR MORILLA ESPERA</t>
  </si>
  <si>
    <t>Cynthia Virtucio Hernandez</t>
  </si>
  <si>
    <t>Cleofe Pealane Dimaunahan</t>
  </si>
  <si>
    <t>Camille Ann Medina Dela Cruz</t>
  </si>
  <si>
    <t>Lagundrina R. Mendoza</t>
  </si>
  <si>
    <t>Jocelyn Laayon Mauting</t>
  </si>
  <si>
    <t>GLICEL KARUNUNGAN SALVADOR</t>
  </si>
  <si>
    <t>Arlina O. Maravilla</t>
  </si>
  <si>
    <t>EMILIANO SALVACION SARCILLA</t>
  </si>
  <si>
    <t>Roger Mappala</t>
  </si>
  <si>
    <t>Gene Eslava De Guzman</t>
  </si>
  <si>
    <t>AIDA BUTIHIN MENDOZA</t>
  </si>
  <si>
    <t>LYDIA GAÑA HERRERA</t>
  </si>
  <si>
    <t>Sergio Martinez Brillantes</t>
  </si>
  <si>
    <t>Jennifer Ducusin Flores</t>
  </si>
  <si>
    <t>Marifi Esturas Jordas</t>
  </si>
  <si>
    <t>ALEXANDER VENTERO PIDOR</t>
  </si>
  <si>
    <t>Alvin Disonglo Sta. Maria</t>
  </si>
  <si>
    <t>NIÑO L. SUSA</t>
  </si>
  <si>
    <t>Laurence Joseph R. Tadiar</t>
  </si>
  <si>
    <t>DENNIS MARTILLANO JAMBALOS</t>
  </si>
  <si>
    <t>Rene Sobremonte</t>
  </si>
  <si>
    <t>Joey  L.  Reyes</t>
  </si>
  <si>
    <t>Ireneo Subia Calumpit</t>
  </si>
  <si>
    <t>LEONILYN MACATANGAY NOCHE</t>
  </si>
  <si>
    <t>NIEVES SEBASTIAN MACMAC</t>
  </si>
  <si>
    <t>michelle ramos salamat</t>
  </si>
  <si>
    <t>OFELIA TAMAYO SUSI</t>
  </si>
  <si>
    <t>Gerald Campos Tabac</t>
  </si>
  <si>
    <t>EDNA B. LACSON</t>
  </si>
  <si>
    <t>JAIME G. CRUZ, JR</t>
  </si>
  <si>
    <t>Andy V. Claridad Visca Clarida</t>
  </si>
  <si>
    <t>Arsenio Alvarez Singson</t>
  </si>
  <si>
    <t>Jacquelyn F. Samino</t>
  </si>
  <si>
    <t>Allen Mar P Antalan</t>
  </si>
  <si>
    <t>MAXIMO MAGBANUA</t>
  </si>
  <si>
    <t>Jesusa Agustin</t>
  </si>
  <si>
    <t>Ma. Liza Candelaria Ortiz</t>
  </si>
  <si>
    <t>Oliver  L. Gonzaga</t>
  </si>
  <si>
    <t>RONA ALDAY CHAVEZ</t>
  </si>
  <si>
    <t>Juanita  Nabo Morato</t>
  </si>
  <si>
    <t>ALLAN GARCILLAN SUELA</t>
  </si>
  <si>
    <t>Samuel Albino Fuertes</t>
  </si>
  <si>
    <t>Edilberto Yara Felizarte</t>
  </si>
  <si>
    <t>Allen Castillo Sacamos</t>
  </si>
  <si>
    <t>RENATO D. MADRIAGA</t>
  </si>
  <si>
    <t>Norma La Madrid Requino</t>
  </si>
  <si>
    <t>LAARNI PEREZ ALINSOD</t>
  </si>
  <si>
    <t>Julia Untiveros Lizada</t>
  </si>
  <si>
    <t>cherlita mancao quijano</t>
  </si>
  <si>
    <t>Nonito Comeros Modequillo</t>
  </si>
  <si>
    <t>Gerry Rioja Fernandez</t>
  </si>
  <si>
    <t>MARINELLE SIENA MARMOL</t>
  </si>
  <si>
    <t>Joel Liban Dubla</t>
  </si>
  <si>
    <t>Edwina C. Carriedo</t>
  </si>
  <si>
    <t>JOENIME B KAPINA</t>
  </si>
  <si>
    <t>Rowena Fontilo Gutierrez</t>
  </si>
  <si>
    <t>JEANY LOPEZ</t>
  </si>
  <si>
    <t>Christyn Joy Montaño Salva</t>
  </si>
  <si>
    <t>Agnes Badilla Martino</t>
  </si>
  <si>
    <t>JENNON DE BODA ANDAYA</t>
  </si>
  <si>
    <t>EVA LEE KRISHNA M. SANTOS</t>
  </si>
  <si>
    <t>Jeanette B Lumbang</t>
  </si>
  <si>
    <t>Dudeo C. Galeon</t>
  </si>
  <si>
    <t>Leonito  De Leon Villanueva</t>
  </si>
  <si>
    <t>Bienvenido Villaflores Aldaba Jr.</t>
  </si>
  <si>
    <t>ISABELITA MILLO AMBROSIO</t>
  </si>
  <si>
    <t>Janet A. Pumalo</t>
  </si>
  <si>
    <t>Aaron Ace Gadiano Obedoza</t>
  </si>
  <si>
    <t>NIDA BLASCO MIÑOZA</t>
  </si>
  <si>
    <t>Rowena Sanchez Ibis</t>
  </si>
  <si>
    <t>Orea Attiwan</t>
  </si>
  <si>
    <t>Helen Germono Palisoc</t>
  </si>
  <si>
    <t>Jojie B. Rabina</t>
  </si>
  <si>
    <t>Lotes  N.  Flores</t>
  </si>
  <si>
    <t>Lyn Latag Mistas</t>
  </si>
  <si>
    <t>fe servigon tolentino</t>
  </si>
  <si>
    <t>Leslie A. Aguilar</t>
  </si>
  <si>
    <t>MARILYN J. PATALOD</t>
  </si>
  <si>
    <t>Mercy Gladys Santiago Cuenca</t>
  </si>
  <si>
    <t>LILIBETH M. AQUINO</t>
  </si>
  <si>
    <t>Rogerio Cagas Acle</t>
  </si>
  <si>
    <t>Tranquiel Renan C Sabido</t>
  </si>
  <si>
    <t>Ma. Emelene P. Coquilla</t>
  </si>
  <si>
    <t>GRETHEN G. TUAZON</t>
  </si>
  <si>
    <t>Amelia Polias Malomog</t>
  </si>
  <si>
    <t>SARAH T. TRINIDAD</t>
  </si>
  <si>
    <t>Jasmine Deguito</t>
  </si>
  <si>
    <t>Jeffrey B. Rafil</t>
  </si>
  <si>
    <t>mercy narvas</t>
  </si>
  <si>
    <t>JAYCIBETH TUNAC RAMIREZ</t>
  </si>
  <si>
    <t>Miguelito A. Ogania</t>
  </si>
  <si>
    <t>RONALDO AFABLE TORRES</t>
  </si>
  <si>
    <t>JULIET VILLAR VALDEZ</t>
  </si>
  <si>
    <t>Ivan Cruz</t>
  </si>
  <si>
    <t>Mary Grace Garcia Soriano</t>
  </si>
  <si>
    <t>Mae Ann Olasiman Cutamora</t>
  </si>
  <si>
    <t>Jeffrey F Zamora</t>
  </si>
  <si>
    <t>Ronnie B. Alarte</t>
  </si>
  <si>
    <t>JULIETA VILLAR VALDEZ</t>
  </si>
  <si>
    <t>Angelina M De Vera</t>
  </si>
  <si>
    <t>CYNTHIA MARIE DE SAGUN</t>
  </si>
  <si>
    <t>SHIELLA MAY MANGOBA CORDOVA</t>
  </si>
  <si>
    <t>Merlita Mangalonzo Regonda</t>
  </si>
  <si>
    <t>LUCKY B. REMIGIO</t>
  </si>
  <si>
    <t>Rowena A. Bañaga</t>
  </si>
  <si>
    <t>Narciso Ganoza Tabudlong</t>
  </si>
  <si>
    <t>NELBERTH DE LA VEGA MAGBANUA</t>
  </si>
  <si>
    <t>Johanna C. Bergonio</t>
  </si>
  <si>
    <t>Amador M. Leaño, Jr.</t>
  </si>
  <si>
    <t>Danilo Anggot Taucan</t>
  </si>
  <si>
    <t>MILA   M.  VISTO</t>
  </si>
  <si>
    <t>Arjomae Penuela Jacob</t>
  </si>
  <si>
    <t>AICEL NECY F MARTINEZ</t>
  </si>
  <si>
    <t>Paulo F. Tagsip</t>
  </si>
  <si>
    <t>Romarico J. Deona</t>
  </si>
  <si>
    <t>May Rose Dejaro  Denolang</t>
  </si>
  <si>
    <t>Maricel S.  Uchi</t>
  </si>
  <si>
    <t>Diogenes Laban Baniqued Posadas</t>
  </si>
  <si>
    <t>Ma. Leilani S Cortez</t>
  </si>
  <si>
    <t>Freddie Remolado Sumangit</t>
  </si>
  <si>
    <t>HENRY B CALUDUCAN</t>
  </si>
  <si>
    <t>Jormina M. Limoso</t>
  </si>
  <si>
    <t>Susan Tiamzon Frias</t>
  </si>
  <si>
    <t>Roy Alaon</t>
  </si>
  <si>
    <t>Alien Belleza Empaces</t>
  </si>
  <si>
    <t>Mohmina P. Tanua</t>
  </si>
  <si>
    <t>reynaldo L. Icaro</t>
  </si>
  <si>
    <t>WILLIAM UBA VALDE</t>
  </si>
  <si>
    <t>HENRY C. DE GUZMAN</t>
  </si>
  <si>
    <t>Armando A Diada</t>
  </si>
  <si>
    <t>DANIEL ORANI MENDOZA</t>
  </si>
  <si>
    <t>Alberto E. Sarinas Jr.</t>
  </si>
  <si>
    <t>Jennifer g Tan</t>
  </si>
  <si>
    <t>Evelyn Villareal Palicpic</t>
  </si>
  <si>
    <t>Procurement Management Unit DBP - Head Office</t>
  </si>
  <si>
    <t>Marites F Ferrer</t>
  </si>
  <si>
    <t>james berlin H. escaner</t>
  </si>
  <si>
    <t>Ronald B. Muñez</t>
  </si>
  <si>
    <t>Danilo Ragudo Rafanan</t>
  </si>
  <si>
    <t>Freddie Oben Tomines</t>
  </si>
  <si>
    <t>Janet Bali Santua</t>
  </si>
  <si>
    <t>Edzrael L. Mohammad</t>
  </si>
  <si>
    <t>Imelda Quirante Gatdula</t>
  </si>
  <si>
    <t>Rene E Maning</t>
  </si>
  <si>
    <t>Norlito Suba Atienza</t>
  </si>
  <si>
    <t>Engr. Roberto M Digay</t>
  </si>
  <si>
    <t>Julie Ann A Adap</t>
  </si>
  <si>
    <t>MARY JANE AUSTRIA DE GALICIA</t>
  </si>
  <si>
    <t>Annabelle V Ordonio</t>
  </si>
  <si>
    <t>Mark Adrian M. Rabara</t>
  </si>
  <si>
    <t>Cynthia O Mones</t>
  </si>
  <si>
    <t>Dennis Ramos Delos Reyes</t>
  </si>
  <si>
    <t>Paul De Guzman Salcedo</t>
  </si>
  <si>
    <t>Sonny T. Villabert</t>
  </si>
  <si>
    <t>Alver Abaya Mijares</t>
  </si>
  <si>
    <t>Renoir A. Aguila</t>
  </si>
  <si>
    <t>Karol Kay T Amacio</t>
  </si>
  <si>
    <t>Marilyn Castro Corod</t>
  </si>
  <si>
    <t>Ana Marie B. Piaoan</t>
  </si>
  <si>
    <t>Awhali Lacaya Arcega</t>
  </si>
  <si>
    <t>Albert Donato Martin</t>
  </si>
  <si>
    <t>Apolinario Bautista Manibo</t>
  </si>
  <si>
    <t>Dennis Sael Vibar</t>
  </si>
  <si>
    <t>Ma. Luz Irene Orbe</t>
  </si>
  <si>
    <t>Edna Cabunoc Sison</t>
  </si>
  <si>
    <t>LEA AMERICA AUMENTADO</t>
  </si>
  <si>
    <t>Benito Soriano Andaya</t>
  </si>
  <si>
    <t>Editha N. Agbayani</t>
  </si>
  <si>
    <t>Analiza C. Chua</t>
  </si>
  <si>
    <t>Carolyne Santiago</t>
  </si>
  <si>
    <t>JAMES CINO ESTOYA</t>
  </si>
  <si>
    <t>Roy Mercado Capupus</t>
  </si>
  <si>
    <t>MC APRIL EULOGIO NAGARES</t>
  </si>
  <si>
    <t>Clarisa  T.  Gomez</t>
  </si>
  <si>
    <t>Irene Nabor Medallada</t>
  </si>
  <si>
    <t>larry fabian dasalla</t>
  </si>
  <si>
    <t xml:space="preserve">Julieth  Valladarez Acuna </t>
  </si>
  <si>
    <t>Copita Salvador</t>
  </si>
  <si>
    <t>EVA MADRIÑAN</t>
  </si>
  <si>
    <t>Edvil Urbiztondo Trillanes</t>
  </si>
  <si>
    <t>JANE MARIE KAREN LAMIGO CASINILLO</t>
  </si>
  <si>
    <t>ALLAN ANGELES</t>
  </si>
  <si>
    <t>Emmanuel Ablang</t>
  </si>
  <si>
    <t>Carmelita S. Ramos</t>
  </si>
  <si>
    <t>Maria Lucia Sanchez</t>
  </si>
  <si>
    <t>Celine  A.  Velasco</t>
  </si>
  <si>
    <t>Jubeth Mico Gipatalagan</t>
  </si>
  <si>
    <t>Lilybeth Duldulao Sagmaquen</t>
  </si>
  <si>
    <t>Maresol Cena Jacob</t>
  </si>
  <si>
    <t xml:space="preserve">Evelyn  Ramiso  Lambiguit </t>
  </si>
  <si>
    <t>NORIEL CARAOS COMIA</t>
  </si>
  <si>
    <t>Marichelle de los Reyes Jimenez</t>
  </si>
  <si>
    <t xml:space="preserve"> MA. JENNIFER PO AGITA</t>
  </si>
  <si>
    <t>Rosemia R. Alama-Saliwato</t>
  </si>
  <si>
    <t>Roden D. Bartolo</t>
  </si>
  <si>
    <t>GERRY F. ISIP</t>
  </si>
  <si>
    <t>DARIO K WAYAGWAG</t>
  </si>
  <si>
    <t>MARIBEL  LAMIRE TOMINES</t>
  </si>
  <si>
    <t>Benazir Lim Alam</t>
  </si>
  <si>
    <t>Clark Lorenz Tomagan Victorino</t>
  </si>
  <si>
    <t>Robert P. Velasquez</t>
  </si>
  <si>
    <t>TERESITA  BARCENA  PEÑALOSA</t>
  </si>
  <si>
    <t>JONREL  L.  HIYANGAN</t>
  </si>
  <si>
    <t>Rodrigo Arizala Jr.</t>
  </si>
  <si>
    <t>joy ogarte rodriguez</t>
  </si>
  <si>
    <t>Maricel Macalam Lasaca</t>
  </si>
  <si>
    <t>Argie Lomuntod Muncada</t>
  </si>
  <si>
    <t>Marie Grace Surla Ramos</t>
  </si>
  <si>
    <t>Ma. Charissa D. Abragan</t>
  </si>
  <si>
    <t>ANNE MARIE  P. PACATANG</t>
  </si>
  <si>
    <t>Belinda Rodolfo Matias</t>
  </si>
  <si>
    <t>MARCELO D. MISLANG</t>
  </si>
  <si>
    <t>ESTELITO PANGANIBAN GUALBERTO</t>
  </si>
  <si>
    <t>ENGR. DOMINGO, JR. S. DOYONGAN</t>
  </si>
  <si>
    <t>MERIAM B. DIMAILIG</t>
  </si>
  <si>
    <t>Benhur V. Malana</t>
  </si>
  <si>
    <t>Editha V. Aguinaldo, MPA, MBA</t>
  </si>
  <si>
    <t>MARIA GRACIA  PATRON  DELA RAMA</t>
  </si>
  <si>
    <t>Dindo Bautista Gonzales</t>
  </si>
  <si>
    <t>Charlene Jumawan Oberes</t>
  </si>
  <si>
    <t>JUANITO C. VALONES</t>
  </si>
  <si>
    <t>Carmela Panganiban Valencia</t>
  </si>
  <si>
    <t>rosena dimaculangan talavera</t>
  </si>
  <si>
    <t>MARICHELLE FERRER</t>
  </si>
  <si>
    <t>ALEX HILARIO BALAAN</t>
  </si>
  <si>
    <t>Rogene Natad Celebrado</t>
  </si>
  <si>
    <t>Evelyn C. Padayhag</t>
  </si>
  <si>
    <t>Noel P. Patulot</t>
  </si>
  <si>
    <t>Joey Vincent Palao Rabanal</t>
  </si>
  <si>
    <t>LGU TANGUB</t>
  </si>
  <si>
    <t>Atty. Raymundo Badang Bautista Jr.</t>
  </si>
  <si>
    <t>Jaime G. BAUTISTA</t>
  </si>
  <si>
    <t>Fe Jennifer V. Yaranon</t>
  </si>
  <si>
    <t>Florante Uy Zurbito</t>
  </si>
  <si>
    <t>Vivian Jaquilmac Adajar</t>
  </si>
  <si>
    <t>Raymunda P. Espiritu</t>
  </si>
  <si>
    <t>Fritzie Mae Vasquez Valenzuela</t>
  </si>
  <si>
    <t>Robert De MesA</t>
  </si>
  <si>
    <t>Ameelyn Rivera Coca</t>
  </si>
  <si>
    <t>Cayylord D. Niala</t>
  </si>
  <si>
    <t>Democrito Dayandayan Basubas</t>
  </si>
  <si>
    <t>NIEVES HOSENA FIGUEROA</t>
  </si>
  <si>
    <t>Jerome Bardoquillo Ramirez</t>
  </si>
  <si>
    <t>Engr. Nashra Dalandangan Misquinan</t>
  </si>
  <si>
    <t>MA. SALOME LABUGA  NIERE</t>
  </si>
  <si>
    <t>Editha P. Conejos</t>
  </si>
  <si>
    <t>Sharon Madamba Agbayani</t>
  </si>
  <si>
    <t>Cristita Raquiza Grefiel</t>
  </si>
  <si>
    <t>RICHARD ANQUILLANO TABANIAG</t>
  </si>
  <si>
    <t>Allan R. Guintapan</t>
  </si>
  <si>
    <t>Anwar  Allado Casimra</t>
  </si>
  <si>
    <t>BENZON TENORIO GERMAN</t>
  </si>
  <si>
    <t>Lea Celemen Belen</t>
  </si>
  <si>
    <t>Joseph Ramos Anania</t>
  </si>
  <si>
    <t>Jimmy Pastorfile Carandang</t>
  </si>
  <si>
    <t>Yolanda Caronan Pagulayan</t>
  </si>
  <si>
    <t>Justin O. Luna</t>
  </si>
  <si>
    <t>Angelica E. Nerpio</t>
  </si>
  <si>
    <t>Glen Pampola Espirituo</t>
  </si>
  <si>
    <t>Gemma Del Mundo Nicolas</t>
  </si>
  <si>
    <t>MELVIN M ESPORSADO</t>
  </si>
  <si>
    <t>Marecil Palingcod Roslinda</t>
  </si>
  <si>
    <t>LEA C. BARASI</t>
  </si>
  <si>
    <t>Flora  Olermo</t>
  </si>
  <si>
    <t>Doreen A. Lugo</t>
  </si>
  <si>
    <t>Noel P Baldueza</t>
  </si>
  <si>
    <t>Nimfa Mendoza Derada</t>
  </si>
  <si>
    <t>Hayley Adorna Acaso</t>
  </si>
  <si>
    <t>Alvin B De Roxas</t>
  </si>
  <si>
    <t>GINA BATALLER LABE</t>
  </si>
  <si>
    <t>Cornelia Menao Rillera</t>
  </si>
  <si>
    <t>JAIME G. JALON</t>
  </si>
  <si>
    <t>John Rey Doblon Gayoso</t>
  </si>
  <si>
    <t>Ramil Mendez Taculod</t>
  </si>
  <si>
    <t>Babe Charity S Enerio</t>
  </si>
  <si>
    <t>Rowena Arcon Plando</t>
  </si>
  <si>
    <t>Gorgonio Almanzor Atienza</t>
  </si>
  <si>
    <t>LINO CORNELIO CECILIO TRIUNFO BASCUG</t>
  </si>
  <si>
    <t>Jade Ocfemia Alberto</t>
  </si>
  <si>
    <t>Bernadette Manggol Sapungan</t>
  </si>
  <si>
    <t>Julius M. Salentes</t>
  </si>
  <si>
    <t>Angelita Serna Reveldez</t>
  </si>
  <si>
    <t>James Michael L. Oro</t>
  </si>
  <si>
    <t>Marilou DC Garcia</t>
  </si>
  <si>
    <t>LEVITA BAGASOL</t>
  </si>
  <si>
    <t>Jamaica B. Balubal</t>
  </si>
  <si>
    <t>Cyriel Cabanero Calugas</t>
  </si>
  <si>
    <t>Cipriano Indencia Osunero</t>
  </si>
  <si>
    <t>Teodoro Cabrera Orlanes</t>
  </si>
  <si>
    <t>WELMINA DILIDILI AKOL</t>
  </si>
  <si>
    <t>Cristine Joy V.  Lancheta</t>
  </si>
  <si>
    <t>AMALIA PLANAS PEREZ</t>
  </si>
  <si>
    <t>Gerald Miron Morada</t>
  </si>
  <si>
    <t>LORNA ORIT ROA</t>
  </si>
  <si>
    <t>Ma. Stineli B Magdadaro</t>
  </si>
  <si>
    <t>Conrado Bandoquillo Ragay</t>
  </si>
  <si>
    <t>MARIA PAMELA TOLENTINO BACTOL</t>
  </si>
  <si>
    <t>Richard Dean B. Dagpin</t>
  </si>
  <si>
    <t>concepcion polinar paelmao</t>
  </si>
  <si>
    <t>donnalyn bautista padilla</t>
  </si>
  <si>
    <t>Jaycee Parungao Orcine</t>
  </si>
  <si>
    <t>GLENDA SUBRASTAS GONZALES</t>
  </si>
  <si>
    <t>Angelita Edoloverio Ocan</t>
  </si>
  <si>
    <t>Agnes Lara Gabriel</t>
  </si>
  <si>
    <t>ROWEN BACUD TAPEC</t>
  </si>
  <si>
    <t>CRISALDO T MERCADER</t>
  </si>
  <si>
    <t>Arlene Pobre Coloma</t>
  </si>
  <si>
    <t>Noryn B. Bagano</t>
  </si>
  <si>
    <t>NERESSA BARRIOS BANDAVIA</t>
  </si>
  <si>
    <t>Teresita Guillermo</t>
  </si>
  <si>
    <t>Josephine Gozon Madlangsakay</t>
  </si>
  <si>
    <t>Noelle Grace Bandonill Rillon</t>
  </si>
  <si>
    <t>JESUS ACPAL MAGAOAY</t>
  </si>
  <si>
    <t>ROMEO JARON ALVAREZ</t>
  </si>
  <si>
    <t>Ralph Martin Romero Roque</t>
  </si>
  <si>
    <t>Roy Santos Estrobo</t>
  </si>
  <si>
    <t>Alberto R. Madriaga</t>
  </si>
  <si>
    <t>Ivy C. Huertas</t>
  </si>
  <si>
    <t>marcelino jr. viernes ramos</t>
  </si>
  <si>
    <t>Carmencita R Lisondra</t>
  </si>
  <si>
    <t>LEILANI NACIS VILLANUEVA</t>
  </si>
  <si>
    <t>Ruby Rina Soco</t>
  </si>
  <si>
    <t>Danilo  Melleza</t>
  </si>
  <si>
    <t>GERALD ZUNIEGA FLORES</t>
  </si>
  <si>
    <t>Marielle de leon</t>
  </si>
  <si>
    <t>JOVITO JR. V. ALMONTE</t>
  </si>
  <si>
    <t>SALOME LUMABI SOLIVERES</t>
  </si>
  <si>
    <t>Christine G. Lopez</t>
  </si>
  <si>
    <t>Mark Adrian Enriquez Celeste</t>
  </si>
  <si>
    <t>Jose Felix Arsenal Pasay</t>
  </si>
  <si>
    <t>MARILOU VILLANUEVA CALVO</t>
  </si>
  <si>
    <t>ESTILITA QUINOS DELA CERNA</t>
  </si>
  <si>
    <t>Christian Macasaquit Colindres</t>
  </si>
  <si>
    <t>CELIA Manlangit OMALAY</t>
  </si>
  <si>
    <t>Mary Kristine Lawenko Besayte</t>
  </si>
  <si>
    <t>Bernadette A Susvilla, Ed. D. CESO VI</t>
  </si>
  <si>
    <t>GREENGEL A. CORPUZ</t>
  </si>
  <si>
    <t>GENELYN DYANCO POPA</t>
  </si>
  <si>
    <t>Jumdail Mohamad Kiram</t>
  </si>
  <si>
    <t>Rosebella Padura Martinez</t>
  </si>
  <si>
    <t>Lea Callos</t>
  </si>
  <si>
    <t>Ma. Lourdes Evangelista Estrada</t>
  </si>
  <si>
    <t>Jennifer Soriano Gannod</t>
  </si>
  <si>
    <t>Jose, Jr. Ban-ao Balajo</t>
  </si>
  <si>
    <t>EDITHA DIZA GAUDIA</t>
  </si>
  <si>
    <t>SEVERINO TAMAYO TACAS, JR.</t>
  </si>
  <si>
    <t>Brian Dandan Sinalan</t>
  </si>
  <si>
    <t>Libner Evangelista</t>
  </si>
  <si>
    <t>Juvylyn Viajar Bitang</t>
  </si>
  <si>
    <t>Dante Gardaya Dumlao Sr.</t>
  </si>
  <si>
    <t>Kristine S. Mojica</t>
  </si>
  <si>
    <t>Audrey Rose J Delos Reyes</t>
  </si>
  <si>
    <t>Edwin Vergel De Dios David</t>
  </si>
  <si>
    <t>Evelyn G Llamera</t>
  </si>
  <si>
    <t>Myles M Sayre</t>
  </si>
  <si>
    <t>KEITH PARDIÑAN DIAZ</t>
  </si>
  <si>
    <t>Lorna P. Vilbar</t>
  </si>
  <si>
    <t>Ebenezer Presentacion Presentacion</t>
  </si>
  <si>
    <t>Consorcio Manlangit Ferrer</t>
  </si>
  <si>
    <t>Eric DM. Magpantay</t>
  </si>
  <si>
    <t>Arjay G.  Alonzo</t>
  </si>
  <si>
    <t>Lorna L. Pacquing</t>
  </si>
  <si>
    <t>CHRISTIAN CANO BENDECIO</t>
  </si>
  <si>
    <t>Wilma G. Udalve</t>
  </si>
  <si>
    <t>MARL PHILIP YAMSUAN CACHERO</t>
  </si>
  <si>
    <t>Joel A Tupaz</t>
  </si>
  <si>
    <t>Roel Galang Villanueva</t>
  </si>
  <si>
    <t>MARIE CAROLYN B VERANO</t>
  </si>
  <si>
    <t>ANTONIO JR FREIRES FECUNDO</t>
  </si>
  <si>
    <t>Edgar Funda Bandal</t>
  </si>
  <si>
    <t>Josephine Escol Avenido</t>
  </si>
  <si>
    <t>JONAS FELICIANO C. DOMINGO</t>
  </si>
  <si>
    <t>Razel Mae Jucar Balcita</t>
  </si>
  <si>
    <t>Artemio Madriaga Galapon</t>
  </si>
  <si>
    <t>Juvelyn  Caipan  Laguyan</t>
  </si>
  <si>
    <t>Maricel G. Serquiña</t>
  </si>
  <si>
    <t>Aicelyn Madrid Diahan</t>
  </si>
  <si>
    <t>Nelson B Denamarquez</t>
  </si>
  <si>
    <t>Jonalyn U. Sibucao</t>
  </si>
  <si>
    <t>Sukarno J. Minsuarez</t>
  </si>
  <si>
    <t>RONALDO B. DALUPING</t>
  </si>
  <si>
    <t>AVA V. CADIMAS</t>
  </si>
  <si>
    <t>Zenaida Guimbaolibot Cotin</t>
  </si>
  <si>
    <t>Ma. Sandy M. Abutanmo</t>
  </si>
  <si>
    <t>Melanie Obillo Manipon</t>
  </si>
  <si>
    <t>KIM DELIZON MARQUITA</t>
  </si>
  <si>
    <t>Raymund  Gardose  Grijaldo</t>
  </si>
  <si>
    <t>Marife Moron Jabon</t>
  </si>
  <si>
    <t>JANICE MAY ARCONES SERASPE</t>
  </si>
  <si>
    <t>RAYMOND M SALVADOR</t>
  </si>
  <si>
    <t>Nica Louise Quirante Eleazar</t>
  </si>
  <si>
    <t>Giovanni Y. Tianero</t>
  </si>
  <si>
    <t>Judy Ann T Natividad</t>
  </si>
  <si>
    <t>Jesse Belle Temporosa Lirazan</t>
  </si>
  <si>
    <t>Jeanette M. Buera</t>
  </si>
  <si>
    <t>Gloria Alberto</t>
  </si>
  <si>
    <t>DAHLEAH SOTTO REYES</t>
  </si>
  <si>
    <t>ROCKY  Rodriguez LUPO</t>
  </si>
  <si>
    <t>Arlene Seno Padilla</t>
  </si>
  <si>
    <t>Toriano Arguelles Digno</t>
  </si>
  <si>
    <t>Xanthi Romeilla Jalon Vallicer</t>
  </si>
  <si>
    <t>Michael Escobillo</t>
  </si>
  <si>
    <t>Karla A. Gencianos</t>
  </si>
  <si>
    <t>Jessie Laguc Esteves</t>
  </si>
  <si>
    <t>WILBERTO O. CASTILLO</t>
  </si>
  <si>
    <t>Simplicio Bania Velitario</t>
  </si>
  <si>
    <t>Ronald M. Luntok</t>
  </si>
  <si>
    <t>ELMER GATOC SILAO</t>
  </si>
  <si>
    <t>Michael M.Peñaflor</t>
  </si>
  <si>
    <t xml:space="preserve">Mario  Suriben  Bucsit </t>
  </si>
  <si>
    <t>BENEDICTO ALTIS</t>
  </si>
  <si>
    <t>Arthur D Dulcero</t>
  </si>
  <si>
    <t>Duaymelin Marin Bardago</t>
  </si>
  <si>
    <t>KARLEEN R. DESTURA</t>
  </si>
  <si>
    <t>Lyn Grace Dotong Abanador</t>
  </si>
  <si>
    <t>Margeline Daladag</t>
  </si>
  <si>
    <t>Prospero Andres Bartolome</t>
  </si>
  <si>
    <t>Irene  Romero Arevalo</t>
  </si>
  <si>
    <t>Jeramel  Janohan Ladroma</t>
  </si>
  <si>
    <t>Cherryl Roque Diaz</t>
  </si>
  <si>
    <t>Rodolfo G. Reyes</t>
  </si>
  <si>
    <t>Juanita Gadiano Tiaño</t>
  </si>
  <si>
    <t>Mabelle Lapuz  Pendatun</t>
  </si>
  <si>
    <t>Joan DM Vendiola</t>
  </si>
  <si>
    <t>Darius Brod Delalamon Pelismino</t>
  </si>
  <si>
    <t>Mary Ann Jacaba Hambre</t>
  </si>
  <si>
    <t>Vincent Murillo Caang</t>
  </si>
  <si>
    <t>CRISTINA Milante Ledesma</t>
  </si>
  <si>
    <t>ROBERTO A CRISTOBAL</t>
  </si>
  <si>
    <t>MARIA CECILLE JAMITO MADERA</t>
  </si>
  <si>
    <t>Ryan Ibrado Bonghanoy</t>
  </si>
  <si>
    <t>MILDRED B. CASTILLO</t>
  </si>
  <si>
    <t>MARIO LONTOC GUTIERREZ</t>
  </si>
  <si>
    <t>Ruby E De Jong</t>
  </si>
  <si>
    <t>BAC ILOCOS SUR</t>
  </si>
  <si>
    <t xml:space="preserve">Willy Acedilla  Clemente </t>
  </si>
  <si>
    <t>Alexander G. Diez</t>
  </si>
  <si>
    <t>Aries C. Tang</t>
  </si>
  <si>
    <t>DEBBIE HERRAS ESCURO</t>
  </si>
  <si>
    <t>Nanette Mirasol Dulfo</t>
  </si>
  <si>
    <t>Mark Nikko Badiola</t>
  </si>
  <si>
    <t>ANABELLE CHARLON NAILGA</t>
  </si>
  <si>
    <t>Jaine Laid Savillaga</t>
  </si>
  <si>
    <t>Geoffrey P. Villahermosa</t>
  </si>
  <si>
    <t>Jocelyn Diaz Sagang</t>
  </si>
  <si>
    <t>Nim Rod Esguerra Bautista</t>
  </si>
  <si>
    <t>NIEL CARO ROSALES</t>
  </si>
  <si>
    <t>Loraine Del Rosario Delos Reyes</t>
  </si>
  <si>
    <t>WILLY BILL ARBADO LABRADOR</t>
  </si>
  <si>
    <t>Maria Teresa M. Silva</t>
  </si>
  <si>
    <t>Jerry R. de Guzman</t>
  </si>
  <si>
    <t>JOEL A. ELUMBA</t>
  </si>
  <si>
    <t>Vincent A. Tan</t>
  </si>
  <si>
    <t>Haziel Joy Adriano</t>
  </si>
  <si>
    <t>Anacleto Morideo Isla</t>
  </si>
  <si>
    <t>ROLANDO NANTES EGOT</t>
  </si>
  <si>
    <t>Nida Tordesillas Tuason</t>
  </si>
  <si>
    <t>MARITES GONZALES BALDOMAN</t>
  </si>
  <si>
    <t>SHINNY FRISH  CAINTOY SALAS</t>
  </si>
  <si>
    <t>KENLEE-BERTH DALAWRAW PALMA</t>
  </si>
  <si>
    <t>VIRGINIA ORTEGA BAGACAY</t>
  </si>
  <si>
    <t>DINA LUNA ESCALADA</t>
  </si>
  <si>
    <t>Romeo Malari Salvador</t>
  </si>
  <si>
    <t>FRANCISCO C. PELOBUENO</t>
  </si>
  <si>
    <t>Estrella L. Ouano</t>
  </si>
  <si>
    <t>Arturo Magallon Palencia</t>
  </si>
  <si>
    <t>Lovilla Breboneria Bisenio</t>
  </si>
  <si>
    <t>Robert M Valles</t>
  </si>
  <si>
    <t>IAN LLOYD REDONDO  TABAT</t>
  </si>
  <si>
    <t>MARIO C. CAJARA</t>
  </si>
  <si>
    <t>Vee Marie Malmis Lusica</t>
  </si>
  <si>
    <t>TINA JIMENEZ</t>
  </si>
  <si>
    <t>ROSALIE N. MORALDE</t>
  </si>
  <si>
    <t>Juliet N Siao</t>
  </si>
  <si>
    <t>JASMINE I. GAOGAO</t>
  </si>
  <si>
    <t>Christopher Dave Baldedara Musa</t>
  </si>
  <si>
    <t>Teofilo, Jr. Rostata Gervacio</t>
  </si>
  <si>
    <t>Jonas A Tesoro</t>
  </si>
  <si>
    <t>Feliciano Jr. Maddawin Galupo</t>
  </si>
  <si>
    <t>Cheryl Mansaloon Mampalawod</t>
  </si>
  <si>
    <t>Ruth Saladar Macuja</t>
  </si>
  <si>
    <t>Nerio D Fragata</t>
  </si>
  <si>
    <t>EDGIE SIMON DIMALANTA</t>
  </si>
  <si>
    <t>Vicente Raiz Velasco</t>
  </si>
  <si>
    <t>Adelfa Tiongco Lamangin</t>
  </si>
  <si>
    <t>Venus Enoc Daigan</t>
  </si>
  <si>
    <t>Jeffrey Celis Magadan</t>
  </si>
  <si>
    <t>Edgar M Mendoza</t>
  </si>
  <si>
    <t>Elmer O Macalma</t>
  </si>
  <si>
    <t>Danny Familaran Baladjay</t>
  </si>
  <si>
    <t>Danilo Cornelia Montecino</t>
  </si>
  <si>
    <t>Mary Jane J. Achas</t>
  </si>
  <si>
    <t>VICTOR ANANA ANOS</t>
  </si>
  <si>
    <t>MARY ANN C. BELEN</t>
  </si>
  <si>
    <t>Beulah Leah Libertad Pailagao</t>
  </si>
  <si>
    <t>Lea Ordinario Abando</t>
  </si>
  <si>
    <t>ROSEMARIE QUILATAN ESTEBAN</t>
  </si>
  <si>
    <t>margie celemen africa</t>
  </si>
  <si>
    <t>EMELDA DALING</t>
  </si>
  <si>
    <t>Ma.  Erowena V Soriano</t>
  </si>
  <si>
    <t>Ruben Dagayloan Barrios</t>
  </si>
  <si>
    <t>Brgy Mungayang</t>
  </si>
  <si>
    <t>Marcus Andico Cupino</t>
  </si>
  <si>
    <t>Steve Nichols S. Dionaldo</t>
  </si>
  <si>
    <t>LAILANIE DE LEON CUARTO</t>
  </si>
  <si>
    <t>MARIO ABANTO TALLEDO</t>
  </si>
  <si>
    <t>CALIMAH GANDAMRA DIMATINGCAL</t>
  </si>
  <si>
    <t>Jay V Villafranca</t>
  </si>
  <si>
    <t>Joey Estanilla Dulay</t>
  </si>
  <si>
    <t>Helen Grace Tagas Rimando</t>
  </si>
  <si>
    <t>Myla Tualla Marana</t>
  </si>
  <si>
    <t>Emma Fernandez Sotto</t>
  </si>
  <si>
    <t>Marilou A. Gecosala</t>
  </si>
  <si>
    <t>Jocelyn Ebio Andes</t>
  </si>
  <si>
    <t>Lowel Navarro</t>
  </si>
  <si>
    <t>RANDY SAYANA DELA ROSA</t>
  </si>
  <si>
    <t>Andy Ralfh Villafuerte Conocono</t>
  </si>
  <si>
    <t>Telesforo Aguilar Mortega</t>
  </si>
  <si>
    <t>Florinda Z Babilonia</t>
  </si>
  <si>
    <t>Winelyn Lagurin Gibe</t>
  </si>
  <si>
    <t>Sonia Tomas Pasian</t>
  </si>
  <si>
    <t>Marie Juvy Lalin Alera</t>
  </si>
  <si>
    <t>Kristine Faith Bagoy Santillan</t>
  </si>
  <si>
    <t>BERNARDO  RAMOS</t>
  </si>
  <si>
    <t>Ritchie De La Cuesta Barrun</t>
  </si>
  <si>
    <t>EDGARDO CARFIN MONSERATE</t>
  </si>
  <si>
    <t>Marilou Sampaton Bernas</t>
  </si>
  <si>
    <t>Josephine L Mananquil</t>
  </si>
  <si>
    <t>Ma. Gemma Lasala</t>
  </si>
  <si>
    <t>KATRINA ATIENZO TULIAO</t>
  </si>
  <si>
    <t>Jennylyn Pelaez Vidaja</t>
  </si>
  <si>
    <t>LOUIS SAGRADO BOLLOZOS</t>
  </si>
  <si>
    <t>EYMARD CAPERIÑA ANGULO</t>
  </si>
  <si>
    <t>PLGU Nueva Vizcaya (2nd Account)</t>
  </si>
  <si>
    <t>Lea Medina Caponpon</t>
  </si>
  <si>
    <t>Glenda Labitigan Goti-ay</t>
  </si>
  <si>
    <t>PATRICIA HAGUPIT GRAGEDA</t>
  </si>
  <si>
    <t>CHARONE MICHAL GUERRERO DE CASTRO</t>
  </si>
  <si>
    <t>Marina Ingoy Balicoco</t>
  </si>
  <si>
    <t>Irene Bea Faustino</t>
  </si>
  <si>
    <t>Teodoro B. Camoc</t>
  </si>
  <si>
    <t>Joy Mae R. Cordova</t>
  </si>
  <si>
    <t>Rosalina Baniqued Belen</t>
  </si>
  <si>
    <t>Jennita V Garcia</t>
  </si>
  <si>
    <t>Carol Flores Diwa</t>
  </si>
  <si>
    <t>Edwin B Mendoza</t>
  </si>
  <si>
    <t>John Paolo Lanuza Vere</t>
  </si>
  <si>
    <t>Leo Villena Factora</t>
  </si>
  <si>
    <t>Laurence Bryan R. Malana</t>
  </si>
  <si>
    <t>Barangay Poblacion</t>
  </si>
  <si>
    <t>Lynfe Marie Abrogar Serania</t>
  </si>
  <si>
    <t>Alejandro Baes De Guzman</t>
  </si>
  <si>
    <t>Pepsi Pineda Duldulao</t>
  </si>
  <si>
    <t>JERRY R CENTRO</t>
  </si>
  <si>
    <t>GERONIMO P. CASIL</t>
  </si>
  <si>
    <t>Jackielyn Macahilo Marcelino</t>
  </si>
  <si>
    <t>Janice L Sta. Cruz</t>
  </si>
  <si>
    <t>Monalisa Umali Domen</t>
  </si>
  <si>
    <t>Alvin Candelaria Federico</t>
  </si>
  <si>
    <t>Charlin Bitoy Casil</t>
  </si>
  <si>
    <t>Roger Bation Amantiad</t>
  </si>
  <si>
    <t>DANILO DE GUIA SIMON</t>
  </si>
  <si>
    <t>Nome R. Ricalde</t>
  </si>
  <si>
    <t>GERALYN CAÑAS</t>
  </si>
  <si>
    <t>Christine D. Batallones</t>
  </si>
  <si>
    <t>Kim James Ferolino Sombilon</t>
  </si>
  <si>
    <t>Crystal Grace Billiones  Saliring</t>
  </si>
  <si>
    <t>Eden Rose V. Calo</t>
  </si>
  <si>
    <t>FREDDIE C. BENDULO</t>
  </si>
  <si>
    <t>Remigio Lago Blanco</t>
  </si>
  <si>
    <t>Joel Guilao Bucao</t>
  </si>
  <si>
    <t>Delia Allaba Cagmat</t>
  </si>
  <si>
    <t>Gilbert Dador Solidum</t>
  </si>
  <si>
    <t>Dennis Tono Ventilacion</t>
  </si>
  <si>
    <t>Rodel Gullon Chavez</t>
  </si>
  <si>
    <t>MANUEL PARAYNO PARAYNO</t>
  </si>
  <si>
    <t>Pinky Edna Anne Batuigas Mayola</t>
  </si>
  <si>
    <t>Mary Dumangeng Baguilat</t>
  </si>
  <si>
    <t>Franklin Aquino Salcedo</t>
  </si>
  <si>
    <t>Ines Goden Lanzaderas</t>
  </si>
  <si>
    <t>Angelico Daniel Moralita</t>
  </si>
  <si>
    <t>Nilo C Abon</t>
  </si>
  <si>
    <t>Cereal Nicdao Sadsad</t>
  </si>
  <si>
    <t>Corazon Belleza Rivera</t>
  </si>
  <si>
    <t>Joseph Villanueva Emboltorio</t>
  </si>
  <si>
    <t>Janice Luayon Montenegro</t>
  </si>
  <si>
    <t>Emilio G. Quanico</t>
  </si>
  <si>
    <t>Josephine Mamites Cabardo</t>
  </si>
  <si>
    <t>Verna Y. Rosario</t>
  </si>
  <si>
    <t>Mary Ann N. Escoto</t>
  </si>
  <si>
    <t>Norlita A. Dela Cruz.</t>
  </si>
  <si>
    <t>Marivic Torres Pagala</t>
  </si>
  <si>
    <t>Cecilia Besa Benavidez</t>
  </si>
  <si>
    <t>Geronimo Galang Greganda</t>
  </si>
  <si>
    <t>EDUARDO EBANA JAQUILMAC</t>
  </si>
  <si>
    <t>MARGARITA LAGUADOR PLACINO</t>
  </si>
  <si>
    <t>Ma. Glysa Frias Rico</t>
  </si>
  <si>
    <t>elsie C Agustin</t>
  </si>
  <si>
    <t>Melvin Ortega Cejas</t>
  </si>
  <si>
    <t>Mary Ann Dique Manocdoc</t>
  </si>
  <si>
    <t>Shella Marie Ilig De Vera</t>
  </si>
  <si>
    <t>Marissa S Lauresta</t>
  </si>
  <si>
    <t>MA. THERESA REMOROFF BARROSO</t>
  </si>
  <si>
    <t>Lynnette L. Vanzuela</t>
  </si>
  <si>
    <t>MARIVIC BINAG CORTEZ</t>
  </si>
  <si>
    <t>Evelyn Nava Pulvera</t>
  </si>
  <si>
    <t>Jeaz Dela Cruz Campano</t>
  </si>
  <si>
    <t>ALLAN P. RAMBANO</t>
  </si>
  <si>
    <t>Raquel Manlimos Cero</t>
  </si>
  <si>
    <t>Ormil D.  Go</t>
  </si>
  <si>
    <t>Belen Serenio Dela Peña</t>
  </si>
  <si>
    <t>Eutropio Simbajon Jayectin, M.M.</t>
  </si>
  <si>
    <t>Blas V. Lamug Jr.</t>
  </si>
  <si>
    <t>AURORA CUDAL CUARESMA</t>
  </si>
  <si>
    <t>JULIET BARING MONTEBON</t>
  </si>
  <si>
    <t>Ann F. Encarnacion</t>
  </si>
  <si>
    <t>Reynaldo C. Deopido</t>
  </si>
  <si>
    <t>BERNARDITHA BOLINA MILLETE</t>
  </si>
  <si>
    <t>Caroline Tubongbanua Bucita</t>
  </si>
  <si>
    <t>EnP Arlet E. Legaspi</t>
  </si>
  <si>
    <t>Janelyn Ortegn Salvan</t>
  </si>
  <si>
    <t>JERRY S. ROSARIO</t>
  </si>
  <si>
    <t>RUDY S DACULAN</t>
  </si>
  <si>
    <t>Racquel Araña Catalan</t>
  </si>
  <si>
    <t>Camille Obcena Idio</t>
  </si>
  <si>
    <t>RONIL BALLENER TUPAS</t>
  </si>
  <si>
    <t>Jocelyn M. Dano</t>
  </si>
  <si>
    <t>Arnel Delos Santos  Delo Santos  Arcena</t>
  </si>
  <si>
    <t>Felicisima Capistrano Balasabas</t>
  </si>
  <si>
    <t>Arlan M. Sitaca</t>
  </si>
  <si>
    <t>Rebecca N. Tanate</t>
  </si>
  <si>
    <t>EDISON OMELES MANALO</t>
  </si>
  <si>
    <t>JOVYLYN P LUCAS</t>
  </si>
  <si>
    <t>CINSP JERICKSON PATRIARCA MIRAFLOR</t>
  </si>
  <si>
    <t>Norma C. Sarigumba</t>
  </si>
  <si>
    <t>EMILIANA D. RUSTIA</t>
  </si>
  <si>
    <t>Lovely Niegos Lomigo</t>
  </si>
  <si>
    <t>Marsal Cajatol Chiong</t>
  </si>
  <si>
    <t>Exuperia Sabalberino</t>
  </si>
  <si>
    <t>Daryl Baptista Daodaoang</t>
  </si>
  <si>
    <t>Judea Micah Dialco Carbajosa</t>
  </si>
  <si>
    <t>Ryan Kake Baa</t>
  </si>
  <si>
    <t>Jocelyn  Gargar Caballero</t>
  </si>
  <si>
    <t>Chona M. Halili</t>
  </si>
  <si>
    <t>Emelito Salvador Dela Cruz</t>
  </si>
  <si>
    <t>Lorna Novero Riego</t>
  </si>
  <si>
    <t>Flordeliza Madamba Limon</t>
  </si>
  <si>
    <t>RANDY R. LIGSANAN</t>
  </si>
  <si>
    <t>Renejene M. Umali</t>
  </si>
  <si>
    <t>ISAGANI B. TIMTIM</t>
  </si>
  <si>
    <t>Mark Jayson R. Carabido</t>
  </si>
  <si>
    <t>Cris T Zita</t>
  </si>
  <si>
    <t>Michelle Badong Solano</t>
  </si>
  <si>
    <t>Maria Viña Ocampo Navarro</t>
  </si>
  <si>
    <t>Mary Grace L. Romero</t>
  </si>
  <si>
    <t>Wilson Garagan Viloria II</t>
  </si>
  <si>
    <t>Vivienne P. Belizario</t>
  </si>
  <si>
    <t>GERMAN M. DELA CRUZ</t>
  </si>
  <si>
    <t>Adriel S. Dacara</t>
  </si>
  <si>
    <t>Maricel Vitasa Granada</t>
  </si>
  <si>
    <t>Christine M Democrito</t>
  </si>
  <si>
    <t>MARIE JANE ABING CLAVERO</t>
  </si>
  <si>
    <t>Marilyn P. Duran</t>
  </si>
  <si>
    <t>Jeffrey  Sibobo</t>
  </si>
  <si>
    <t>Margarita Mendoza Hipolito</t>
  </si>
  <si>
    <t>RAIMUNDA MATUOD LUMANTAS</t>
  </si>
  <si>
    <t>Louven L. Matib</t>
  </si>
  <si>
    <t>Enrique Nochebuena Mocling</t>
  </si>
  <si>
    <t>Cecilia Calagui</t>
  </si>
  <si>
    <t>Delia  R  Banico</t>
  </si>
  <si>
    <t>ALADIN MABBORANG PASCUAL</t>
  </si>
  <si>
    <t>Lilane Mejillano Nuñez</t>
  </si>
  <si>
    <t>Aldino Ariola Bazar</t>
  </si>
  <si>
    <t>CARMEN M. FLORES</t>
  </si>
  <si>
    <t>Alex Medina Comia</t>
  </si>
  <si>
    <t>Maria Comia Barbachano</t>
  </si>
  <si>
    <t>Ludelyn Garnado Cualbar</t>
  </si>
  <si>
    <t>Marion M. Navarez</t>
  </si>
  <si>
    <t>Zenaida Sahagun</t>
  </si>
  <si>
    <t>Mary Jean De Guzman Lozada</t>
  </si>
  <si>
    <t>Christopher Allan Ruiz Saquing</t>
  </si>
  <si>
    <t>ANTONIETO F PACAYRA</t>
  </si>
  <si>
    <t>Divina Gracia Binuya</t>
  </si>
  <si>
    <t>JOCELYN AN VERDADERO</t>
  </si>
  <si>
    <t>Raquel Gonzales De Jesus</t>
  </si>
  <si>
    <t>Mark Neil Ansagay Recaido</t>
  </si>
  <si>
    <t>Karleen G. Ramos</t>
  </si>
  <si>
    <t>Ria Maris Alaiza Caterial</t>
  </si>
  <si>
    <t>Riza Ortez Muanag</t>
  </si>
  <si>
    <t>Jovito Bron Coderis, Jr.</t>
  </si>
  <si>
    <t>Corazon Balingkit Langot</t>
  </si>
  <si>
    <t>Pedro Po Chong</t>
  </si>
  <si>
    <t>Vina Liza Ruth Cabrera</t>
  </si>
  <si>
    <t>Elenita Ladao Rara</t>
  </si>
  <si>
    <t>ATTY. AIKO ELENI NARIDA PALER</t>
  </si>
  <si>
    <t>HEBER DELA TORRE CARIAGA</t>
  </si>
  <si>
    <t>Elizabeth Vergara Silverio</t>
  </si>
  <si>
    <t>Bobster A. Paraiso</t>
  </si>
  <si>
    <t>Delfin Jr. P Aledro</t>
  </si>
  <si>
    <t>Mila Rabe Asuncion</t>
  </si>
  <si>
    <t>Belen Bolalin Amata</t>
  </si>
  <si>
    <t>CHRISTINA PABALINAS GEMORA</t>
  </si>
  <si>
    <t>Willbert D Hosme</t>
  </si>
  <si>
    <t>Lito I Balarbar</t>
  </si>
  <si>
    <t>Rex J. Teves</t>
  </si>
  <si>
    <t>Mirasol Macaranas Rosano</t>
  </si>
  <si>
    <t>Aida M. Cinco</t>
  </si>
  <si>
    <t>Irna Nadayag Mallari</t>
  </si>
  <si>
    <t>PAUL BANTUGAN CUARTERO</t>
  </si>
  <si>
    <t>Katherine B Ramos</t>
  </si>
  <si>
    <t>Joel Aguanta Molde</t>
  </si>
  <si>
    <t>TRIPON MERCADO CONDEZA</t>
  </si>
  <si>
    <t>Jacinto Guerta Ederosas</t>
  </si>
  <si>
    <t>Bernardo Jr Natividad Nasis</t>
  </si>
  <si>
    <t>Mamerto Soriano Olpindo Jr.</t>
  </si>
  <si>
    <t>LEOD MARTIN BALAWANG PRESADO</t>
  </si>
  <si>
    <t>JULIE P. TABCAO</t>
  </si>
  <si>
    <t>LEONARDO D AMORES</t>
  </si>
  <si>
    <t>Joobe Rama Punay</t>
  </si>
  <si>
    <t>Gerardo Jr. Valdez Bocalan</t>
  </si>
  <si>
    <t xml:space="preserve">Denver  Mirabueno  Pante </t>
  </si>
  <si>
    <t>Arline M Mayo</t>
  </si>
  <si>
    <t>JARRATUL  SABARA  RADJID</t>
  </si>
  <si>
    <t>Jonathan Layson Altura</t>
  </si>
  <si>
    <t>ANECITO A GRADO</t>
  </si>
  <si>
    <t>ROSEMARIE PANAGUE PAGENTE</t>
  </si>
  <si>
    <t>Julieta   Nobo  Ayoc</t>
  </si>
  <si>
    <t>Grace G Asis</t>
  </si>
  <si>
    <t>JACKELINE CAGAS PARAISO</t>
  </si>
  <si>
    <t>Virgie N Bibat</t>
  </si>
  <si>
    <t>Rodolfo Bitaga Gaboten</t>
  </si>
  <si>
    <t>FERNANDO SAGUISAG A. CABRERA</t>
  </si>
  <si>
    <t>Susan Dela Cruz</t>
  </si>
  <si>
    <t>Edwin G. Yuson</t>
  </si>
  <si>
    <t>MARIGOLD RIGUER GODOY</t>
  </si>
  <si>
    <t>Maria Rachel Panti Gonzales</t>
  </si>
  <si>
    <t>Policarpio Eli Fontanilla Jr.</t>
  </si>
  <si>
    <t>Ariel Mission Gallego</t>
  </si>
  <si>
    <t>MICHELLE ZAMAR LIM</t>
  </si>
  <si>
    <t>MARCOS M. KUSAIN, JD, MPA</t>
  </si>
  <si>
    <t>LENI BUENSALIDA SABEROLA</t>
  </si>
  <si>
    <t>Lolita M. Jumalon</t>
  </si>
  <si>
    <t>NORBERTO EUGENIO DE LEON</t>
  </si>
  <si>
    <t>Edward Miguel Juanito</t>
  </si>
  <si>
    <t>Agnes Mendoza Bueno</t>
  </si>
  <si>
    <t>Joyce De Vera</t>
  </si>
  <si>
    <t>Jan Michael Clifford Bugtong</t>
  </si>
  <si>
    <t>Emilyn Galicia Magracia</t>
  </si>
  <si>
    <t>Reynaldo Perez Raymundo</t>
  </si>
  <si>
    <t>Sheila A. Naig</t>
  </si>
  <si>
    <t>Elizabeth M. Ragaza</t>
  </si>
  <si>
    <t>Mary Joy Olandria Hofana</t>
  </si>
  <si>
    <t>Jeffrey Justin T. Talisic</t>
  </si>
  <si>
    <t>GINA LACSARON SERVANO</t>
  </si>
  <si>
    <t>GRACE OCZON SALIBIO</t>
  </si>
  <si>
    <t>JULIUS EFREN CEPEDA CANAPI</t>
  </si>
  <si>
    <t>Rosevie Tallera Bartolome</t>
  </si>
  <si>
    <t>Jerome John Jumawan Gabin</t>
  </si>
  <si>
    <t>Anthony A. Ferrolino</t>
  </si>
  <si>
    <t>Aldwin  Alcantara  Carandang</t>
  </si>
  <si>
    <t>Christian Garganza Ortega</t>
  </si>
  <si>
    <t>Christine Helen M Adriano</t>
  </si>
  <si>
    <t>Procurement Unit</t>
  </si>
  <si>
    <t>Noel A Tubac</t>
  </si>
  <si>
    <t>Raul Antonio B Soniega</t>
  </si>
  <si>
    <t>Lorna  M.  Basal</t>
  </si>
  <si>
    <t>Josafat Lindong Caipang</t>
  </si>
  <si>
    <t>Jessie Yanga Cabug</t>
  </si>
  <si>
    <t>Noel D. Ejercito</t>
  </si>
  <si>
    <t>Leah S Osorio</t>
  </si>
  <si>
    <t>Ilyn S. Rio</t>
  </si>
  <si>
    <t>Sherelyn Trias Laquindanum</t>
  </si>
  <si>
    <t>JEREMIAS RAÑOLA TUMAMAK</t>
  </si>
  <si>
    <t>Maria Cristina Sarmiento</t>
  </si>
  <si>
    <t>ROLAND  E.  PARINA</t>
  </si>
  <si>
    <t>Glenn Centino Quinto</t>
  </si>
  <si>
    <t>MARIJO M CAUINIAN</t>
  </si>
  <si>
    <t>Jay  Solima Subac</t>
  </si>
  <si>
    <t>Roda Dolores Franco</t>
  </si>
  <si>
    <t>JERELA BIELLE AMERNA AUSTRIA</t>
  </si>
  <si>
    <t>Pedrito Mojica Serra</t>
  </si>
  <si>
    <t>Amorie Michele Marba Janubas</t>
  </si>
  <si>
    <t>Paolo Crispino Casiñas Sucalit</t>
  </si>
  <si>
    <t>Bernadette Llacer Belleza</t>
  </si>
  <si>
    <t>Reynaldo Collado Floria</t>
  </si>
  <si>
    <t>Hardeley B. Aday</t>
  </si>
  <si>
    <t>Rosemarie Martinez Paguia</t>
  </si>
  <si>
    <t>Zelina G Dela Cruz</t>
  </si>
  <si>
    <t>SANTEE C ESPARES</t>
  </si>
  <si>
    <t>Edna C. Padayao</t>
  </si>
  <si>
    <t>Virgie N Bartonico</t>
  </si>
  <si>
    <t>Ruel Robina Ragas</t>
  </si>
  <si>
    <t>GENE ACHAS BACULPO</t>
  </si>
  <si>
    <t>Nuepe Junior Guyon Manuel</t>
  </si>
  <si>
    <t>Sofia Faith Aboboto Andreo</t>
  </si>
  <si>
    <t>Joanne R. Marcial</t>
  </si>
  <si>
    <t>Melany Trinanes</t>
  </si>
  <si>
    <t>Joan macasaya magadia</t>
  </si>
  <si>
    <t>Marilou Yu Macapil</t>
  </si>
  <si>
    <t>Cario Abag Baskial</t>
  </si>
  <si>
    <t>ALLAN B. MATIN-AW</t>
  </si>
  <si>
    <t>FRANK F. FANGED</t>
  </si>
  <si>
    <t>Dante Jr . Panes Luces</t>
  </si>
  <si>
    <t>Teresa A. Macapanas</t>
  </si>
  <si>
    <t>Romel Tupil Sabat</t>
  </si>
  <si>
    <t>Melanie Alabat Jalover</t>
  </si>
  <si>
    <t>Demetrio Crudua Maligro</t>
  </si>
  <si>
    <t>Veronica  Ponce  Paradiang</t>
  </si>
  <si>
    <t>Ariel Ardales Buiza</t>
  </si>
  <si>
    <t>Barangay Baguinge</t>
  </si>
  <si>
    <t>MONALINA GEBONGA BAINGAN</t>
  </si>
  <si>
    <t>John Patrick Lazaro</t>
  </si>
  <si>
    <t>Asnawi Ramos Dalidig</t>
  </si>
  <si>
    <t>Darlin Paropaldin Macahilig</t>
  </si>
  <si>
    <t>Giovanni Gose Desabelle</t>
  </si>
  <si>
    <t>Eustila Furog Evangelista</t>
  </si>
  <si>
    <t>Alejandro Comprado Cuenca</t>
  </si>
  <si>
    <t>Paterno O Hempeso</t>
  </si>
  <si>
    <t>Juanito Barroga  Andres</t>
  </si>
  <si>
    <t>Danilo D. Pazcoguin</t>
  </si>
  <si>
    <t>MARISSA PANLILIO ORTIZ</t>
  </si>
  <si>
    <t>Jasmen Joguilon Pablo</t>
  </si>
  <si>
    <t>Everlyn  Canor Baltan</t>
  </si>
  <si>
    <t>JOSE VICENTE RAYMUNDO MONTALLANA OPINION</t>
  </si>
  <si>
    <t>Rommel S Santos</t>
  </si>
  <si>
    <t>Roda Simbillo Dizon</t>
  </si>
  <si>
    <t>Anesito Villamor Pestaño</t>
  </si>
  <si>
    <t>Nicasio Jr. Gallardo Barrios</t>
  </si>
  <si>
    <t>Bernardina Menzon Juarez</t>
  </si>
  <si>
    <t>GRACE PONCE ARELLANO</t>
  </si>
  <si>
    <t>Jeric Edem Menoy</t>
  </si>
  <si>
    <t>ROGELIO PAGAS LAQUINTA</t>
  </si>
  <si>
    <t>Janine V. Baldovino</t>
  </si>
  <si>
    <t>Juliet Elaine Acuna</t>
  </si>
  <si>
    <t>Lilibeth Sorio Tolentino</t>
  </si>
  <si>
    <t>Paul Michael M Cuadra</t>
  </si>
  <si>
    <t>Rowena Agrito Mongoso</t>
  </si>
  <si>
    <t>Ronnie D. Morante</t>
  </si>
  <si>
    <t>Victoria Gabieta Tille</t>
  </si>
  <si>
    <t>Abigail Chiara Catalla Muñoz</t>
  </si>
  <si>
    <t>Abigail Tabadero Alemania</t>
  </si>
  <si>
    <t>Rommel Aristotle Paraiso Varias</t>
  </si>
  <si>
    <t>Erick Jeffen Orense Estrella</t>
  </si>
  <si>
    <t>Jhuna C. Casillano</t>
  </si>
  <si>
    <t>RONALDO BARUT</t>
  </si>
  <si>
    <t>MERLA ARAMBURO REVECHE</t>
  </si>
  <si>
    <t>Marissa M de la Cruz</t>
  </si>
  <si>
    <t>Belna M Acobo</t>
  </si>
  <si>
    <t>Noel A Sillan</t>
  </si>
  <si>
    <t>ERNIE C VILLALUZ</t>
  </si>
  <si>
    <t>Lindy Mendez Lojeco</t>
  </si>
  <si>
    <t>Lolita D Solis</t>
  </si>
  <si>
    <t>BAC SECRETARIAT, LGU-SANTIAGO CITY</t>
  </si>
  <si>
    <t>Jomer Pangilinan Manalili</t>
  </si>
  <si>
    <t>Ryan Anthony Agay Olalia</t>
  </si>
  <si>
    <t>ALFREDO,JR BACALLA CABALLERO</t>
  </si>
  <si>
    <t>Frazier L. Quinesio</t>
  </si>
  <si>
    <t>ABETH JOSE BUENTIPO BARBA</t>
  </si>
  <si>
    <t>Maila Rangga Cataylo</t>
  </si>
  <si>
    <t>HAIDEE PEÑAMANTE AVELLANO</t>
  </si>
  <si>
    <t>darlene anicia bautista galicia</t>
  </si>
  <si>
    <t>LILYBETH QUILLO ARIZALA</t>
  </si>
  <si>
    <t>HERMILA D LAMBAN</t>
  </si>
  <si>
    <t>Roel Pantullano Alulino</t>
  </si>
  <si>
    <t>Arsenia Morcoso Ordiales</t>
  </si>
  <si>
    <t>Jennifer C. Surilla</t>
  </si>
  <si>
    <t>FELIPE C BETINOL</t>
  </si>
  <si>
    <t>Michael Angelo San Pedro BAC Secretariat</t>
  </si>
  <si>
    <t>Merlin Paala</t>
  </si>
  <si>
    <t>JESSELL S. PACTURAN</t>
  </si>
  <si>
    <t>PATRICIA TAN MARA</t>
  </si>
  <si>
    <t>Brenjune Bliss Gerong Calapre</t>
  </si>
  <si>
    <t>Sheryl  Puyong  Dalgo</t>
  </si>
  <si>
    <t>Oliver Magtoto Layug</t>
  </si>
  <si>
    <t>Ma. Cristina L Garcia</t>
  </si>
  <si>
    <t>Ma.Gemma C. Lasala</t>
  </si>
  <si>
    <t>ELMAR PASCUA PAGADUAN</t>
  </si>
  <si>
    <t>Jonathan Ramos Viernes</t>
  </si>
  <si>
    <t>Stanley Castro Ramirez</t>
  </si>
  <si>
    <t>MARIA CECILIA MENDOZA BERMAS</t>
  </si>
  <si>
    <t>Ninez B. Regalado</t>
  </si>
  <si>
    <t>Gregg P. Agravante</t>
  </si>
  <si>
    <t>LEILANI REQUINTA GUINTO</t>
  </si>
  <si>
    <t>Precila Gutierrez</t>
  </si>
  <si>
    <t>Jordan Ravanzo Sipsip</t>
  </si>
  <si>
    <t>Josephine Luya Aala</t>
  </si>
  <si>
    <t>Nellie A Francisco</t>
  </si>
  <si>
    <t>Gil Bagares Llosa</t>
  </si>
  <si>
    <t>NICKY JONNA P. PITALLANO</t>
  </si>
  <si>
    <t>Edgardo  E.  Dancel</t>
  </si>
  <si>
    <t>LUCY FE M ELLAR</t>
  </si>
  <si>
    <t>GIL VALENCIA TIONGCO</t>
  </si>
  <si>
    <t>MA. BELLA SUNGA FAJARDO</t>
  </si>
  <si>
    <t>TEDDY C. BERNABE</t>
  </si>
  <si>
    <t>Debie Gildore Tan</t>
  </si>
  <si>
    <t>Robert Pineda Lucero</t>
  </si>
  <si>
    <t>MARY FE L. MONTANO</t>
  </si>
  <si>
    <t>Nelson  Anselmo Garcia</t>
  </si>
  <si>
    <t>Bernadette Sanchez Ragay</t>
  </si>
  <si>
    <t>Ray Retarino Ruiz</t>
  </si>
  <si>
    <t>Rosevida Y. Cadag</t>
  </si>
  <si>
    <t>Emily B. Mazon</t>
  </si>
  <si>
    <t>MAJ GABRIEL D TAYKO (CE) PA</t>
  </si>
  <si>
    <t>Jenelyn Capilitan Soria</t>
  </si>
  <si>
    <t>KATE A. PARULAN</t>
  </si>
  <si>
    <t>Jamaica Gruesco Ebrada</t>
  </si>
  <si>
    <t>Teresita O. Jasmin</t>
  </si>
  <si>
    <t>RANDELYN MAGLASANG BISQUERA</t>
  </si>
  <si>
    <t>Lyndon Imperial Ballesteros</t>
  </si>
  <si>
    <t>DON PATRICK TIONGSON SALAMAT</t>
  </si>
  <si>
    <t>Roberto III Almazan Mirando</t>
  </si>
  <si>
    <t>Bill V. Segui</t>
  </si>
  <si>
    <t>Ronnie Gecolea Sierva</t>
  </si>
  <si>
    <t>Ma. Leticia C Salcedo</t>
  </si>
  <si>
    <t>Eric G Limpin</t>
  </si>
  <si>
    <t>MICHAEL ANDREW QUIROGA FRIAS</t>
  </si>
  <si>
    <t>ELIZA GARDOZE SABADO</t>
  </si>
  <si>
    <t>ronald ryan v silva</t>
  </si>
  <si>
    <t>Rizza Villena Dalisay</t>
  </si>
  <si>
    <t>Marina Limson Am-is</t>
  </si>
  <si>
    <t>ROMEO ARELLANO SOLIS</t>
  </si>
  <si>
    <t>Lauren Christine B. La'O</t>
  </si>
  <si>
    <t>Julita B Embajador</t>
  </si>
  <si>
    <t>Merriam Dainata Sarmiento</t>
  </si>
  <si>
    <t>Jowarsky Lagua</t>
  </si>
  <si>
    <t>Norjanna M. Camaguin</t>
  </si>
  <si>
    <t>MA. ESTRELLA MALAZA DAWAL</t>
  </si>
  <si>
    <t>Ernesto Dela Cruz Ylasco</t>
  </si>
  <si>
    <t>ANALIZA MEDINA</t>
  </si>
  <si>
    <t>Rowena Gascon Abad</t>
  </si>
  <si>
    <t>Eric P Cabauatan</t>
  </si>
  <si>
    <t>Mary Rose Capanzana Occidental</t>
  </si>
  <si>
    <t>Mario Sordilla</t>
  </si>
  <si>
    <t>MARIA TERESA ANGELA BUENAFE SALVADOR</t>
  </si>
  <si>
    <t>Vanessa Degolacion Arellano</t>
  </si>
  <si>
    <t>JOSE NIRO R NILLASCA</t>
  </si>
  <si>
    <t>Amerhussien Basher Panganting</t>
  </si>
  <si>
    <t>Rosalina Ecuan Bayaona</t>
  </si>
  <si>
    <t>Mascardo Asistores</t>
  </si>
  <si>
    <t>ELMER CEZAR ASPE ZALETA</t>
  </si>
  <si>
    <t>Christine Bernadette Jimenez Biteño</t>
  </si>
  <si>
    <t>Edison Mangulabnan Mina</t>
  </si>
  <si>
    <t>Zammuel Arellano Bernales</t>
  </si>
  <si>
    <t>lyre dela cruz guevarra</t>
  </si>
  <si>
    <t>Alain Richard Diaz Rosales</t>
  </si>
  <si>
    <t>REDEMCION M. DE LEON</t>
  </si>
  <si>
    <t>ERNESTO KIM BALANI TORREFRANCA</t>
  </si>
  <si>
    <t>Belarmina Lanna</t>
  </si>
  <si>
    <t>Eugene Paul Gundaya</t>
  </si>
  <si>
    <t>Ernesto Luceño Tan</t>
  </si>
  <si>
    <t>Olivia B. Lim-ang</t>
  </si>
  <si>
    <t>Luzviminda Sace Seño</t>
  </si>
  <si>
    <t>MERLINDA OLIVAR RESPICIO</t>
  </si>
  <si>
    <t>Cynthia Faustino Delgado</t>
  </si>
  <si>
    <t>BESILDA P. BALLESTEROS</t>
  </si>
  <si>
    <t>Diana Cantiga Balunan</t>
  </si>
  <si>
    <t>Paterno A Unajan</t>
  </si>
  <si>
    <t>Charo R Arugay</t>
  </si>
  <si>
    <t>Marvin Januario Muceros</t>
  </si>
  <si>
    <t>SOLEDAD L.  SANCHEZ</t>
  </si>
  <si>
    <t>Nestor Jr. V. Marquez</t>
  </si>
  <si>
    <t>Mila Creencia</t>
  </si>
  <si>
    <t>CLIFTON GARETH NGODCHO FANG-ASAN</t>
  </si>
  <si>
    <t>NIMFA S DUMAGUIT</t>
  </si>
  <si>
    <t>Jocelyn Cornel Viernes</t>
  </si>
  <si>
    <t>Sherwin Torrila Matias</t>
  </si>
  <si>
    <t>Rachel Jabol Rafols</t>
  </si>
  <si>
    <t>Emer - Rose Asug</t>
  </si>
  <si>
    <t>Melinda D Deyto</t>
  </si>
  <si>
    <t>Roberto  Poyaoan  Gonzales</t>
  </si>
  <si>
    <t>Ruben P. Salac Jr.</t>
  </si>
  <si>
    <t>LORNA ALUNAN DELA PEÑA</t>
  </si>
  <si>
    <t>Elma Peralta Ragonton</t>
  </si>
  <si>
    <t>Juliet H. Melo</t>
  </si>
  <si>
    <t>Robert Floyd Nangkil Salise</t>
  </si>
  <si>
    <t>Maria Lorena Magana Ferrer</t>
  </si>
  <si>
    <t>Christian Peña</t>
  </si>
  <si>
    <t>JEFFREY F. MONDERO</t>
  </si>
  <si>
    <t>VALENTE MICLAT HALILI</t>
  </si>
  <si>
    <t>Liberty Cepeda Omadio</t>
  </si>
  <si>
    <t>Vanessa A Dela Torre</t>
  </si>
  <si>
    <t>Eugene R. Geñoso</t>
  </si>
  <si>
    <t>Abigail P Beltran</t>
  </si>
  <si>
    <t>Jane Cuatriz Arcilla</t>
  </si>
  <si>
    <t>Jingkie L. Abelgas</t>
  </si>
  <si>
    <t>Annavie Bacomo Lapitan</t>
  </si>
  <si>
    <t>Lolita Alvarez</t>
  </si>
  <si>
    <t>VICTOR PAULINO CAMITAN</t>
  </si>
  <si>
    <t>CHERRY CASTANEDA</t>
  </si>
  <si>
    <t>Miriam C. Jabagat</t>
  </si>
  <si>
    <t>Manuel M. Andes</t>
  </si>
  <si>
    <t>BERNARDO JR. LACUESTA GANOTICE</t>
  </si>
  <si>
    <t>Emily C. Lubong</t>
  </si>
  <si>
    <t>ROY BERNALES PELEN</t>
  </si>
  <si>
    <t>WINEFREDA SISON GARCIA</t>
  </si>
  <si>
    <t>Cecilia Maningo Fuentes</t>
  </si>
  <si>
    <t>Engr. Noel Galacgac Coloma</t>
  </si>
  <si>
    <t>Jayson Barbara Florendo</t>
  </si>
  <si>
    <t>ABNER ALPAS ESPARTERO</t>
  </si>
  <si>
    <t>Melanie D. Calajate</t>
  </si>
  <si>
    <t>JAIME CABAÑAS REGATO</t>
  </si>
  <si>
    <t>Gilbert R Casaul</t>
  </si>
  <si>
    <t>Juneil L. Amarela</t>
  </si>
  <si>
    <t>Penarando Surquia</t>
  </si>
  <si>
    <t>Geraldine L Arrieta</t>
  </si>
  <si>
    <t>Elvis Rodriguez Torrente</t>
  </si>
  <si>
    <t>Michelle Zuniega Sales</t>
  </si>
  <si>
    <t>Leonard E. Marquez</t>
  </si>
  <si>
    <t>ISAGANI ARBOLEDA JAENA</t>
  </si>
  <si>
    <t>Lea Ann M. Gamban</t>
  </si>
  <si>
    <t>ROSARIO TAGAYO TILLAY</t>
  </si>
  <si>
    <t>MERVYN OLAER DOCALLOS</t>
  </si>
  <si>
    <t>Leila  Clarete   De Guzman</t>
  </si>
  <si>
    <t>Marissa Tolentino Garcia</t>
  </si>
  <si>
    <t>EUGENIA DE LEON CRUZADO</t>
  </si>
  <si>
    <t>Judith Domingo Unson</t>
  </si>
  <si>
    <t>ROSELYN ANN R. BAGASOL</t>
  </si>
  <si>
    <t>WILMA C. BUMAGAT</t>
  </si>
  <si>
    <t>Eriberto A Taban-ud Jr.</t>
  </si>
  <si>
    <t>LEONORA S ALINSUB</t>
  </si>
  <si>
    <t>Hanjin Echin Cortes</t>
  </si>
  <si>
    <t>Avel Villamor Nunez</t>
  </si>
  <si>
    <t>Avin  Vargas  Surban</t>
  </si>
  <si>
    <t>Vincent Jake E. Castillo</t>
  </si>
  <si>
    <t>Cesah Jane Pillodar Napalla</t>
  </si>
  <si>
    <t>Melchor Pabona Ubal</t>
  </si>
  <si>
    <t>Geremie Noble Tajada</t>
  </si>
  <si>
    <t>Jimcel O. Besa</t>
  </si>
  <si>
    <t>Fernando Ragos Carolino</t>
  </si>
  <si>
    <t>Mildred v. Fernando</t>
  </si>
  <si>
    <t>JENNY F OASAY</t>
  </si>
  <si>
    <t>Arlu Awacay Jucal</t>
  </si>
  <si>
    <t>Mark Jason F. Malgapo</t>
  </si>
  <si>
    <t>lucito Dela Cruz Lozano II</t>
  </si>
  <si>
    <t>Norman Casiple Ardina</t>
  </si>
  <si>
    <t xml:space="preserve">MYLEN  LEGASPINA  GONZAGA </t>
  </si>
  <si>
    <t>Rex Aquiatan Agustin</t>
  </si>
  <si>
    <t>SATUR CALUBANDI PAYANGDO</t>
  </si>
  <si>
    <t>Gerlyn M Pabilona</t>
  </si>
  <si>
    <t>Mark Jason F Malgapo</t>
  </si>
  <si>
    <t>MARIA EULALIA CAMITAN SANTIAGO</t>
  </si>
  <si>
    <t>Ernesto Ariola Serante</t>
  </si>
  <si>
    <t>Eric Conrado B. Lumague</t>
  </si>
  <si>
    <t>JESSON NIALA LABRADOR</t>
  </si>
  <si>
    <t>Arsenio P. Curameng II</t>
  </si>
  <si>
    <t>MARIBETH SAJORDA LONGATANG</t>
  </si>
  <si>
    <t>ALLAN QUILOP YAMSON</t>
  </si>
  <si>
    <t>Rosalie C Obena</t>
  </si>
  <si>
    <t>DELFINA PAMUGAS AMBALI</t>
  </si>
  <si>
    <t>Aurora Batoctoy</t>
  </si>
  <si>
    <t>LEA LUCION</t>
  </si>
  <si>
    <t>Aurora G Galicha</t>
  </si>
  <si>
    <t>Miguel Sequio Gallego</t>
  </si>
  <si>
    <t>RAQUEL DAROY ATIENZAR</t>
  </si>
  <si>
    <t>VICTOR M BUENO</t>
  </si>
  <si>
    <t>Delberlyn V. Punzalan</t>
  </si>
  <si>
    <t>Teofilo B. Ferolin, Sr.</t>
  </si>
  <si>
    <t>Bienvenido Capilitan Barrera, Jr.</t>
  </si>
  <si>
    <t>Jayson Sierra Andaya</t>
  </si>
  <si>
    <t>GLORIA SORIANO</t>
  </si>
  <si>
    <t>Engr. Fernando B. Sarile Jr.</t>
  </si>
  <si>
    <t>EMMANUEL OBINA</t>
  </si>
  <si>
    <t>Rojedy Arroyo Castro</t>
  </si>
  <si>
    <t>Carol S Coloma</t>
  </si>
  <si>
    <t>CYNTHIA BACONGA PECORE</t>
  </si>
  <si>
    <t>Maricel Iglesia Panistante</t>
  </si>
  <si>
    <t>Charles  C. Sokoken</t>
  </si>
  <si>
    <t>Ma. Celyn Noya Padpad</t>
  </si>
  <si>
    <t>Edgar Banzuela Balidoy</t>
  </si>
  <si>
    <t>RIZALITO DELA CRUZ VERGARA</t>
  </si>
  <si>
    <t>RAMON ANSELMO CARBONERA CALAGOS</t>
  </si>
  <si>
    <t>Mario Louie Famulag Nievares</t>
  </si>
  <si>
    <t>FE ROSALINDA ROMERO CAYLAO</t>
  </si>
  <si>
    <t>Joan V. Cortero</t>
  </si>
  <si>
    <t>ANITA domingo TANDANG</t>
  </si>
  <si>
    <t>Josephine C Tamayo</t>
  </si>
  <si>
    <t>Veronica Vergara De Jesus</t>
  </si>
  <si>
    <t>Paul Brix P Advincula</t>
  </si>
  <si>
    <t>Rosalie Galang Calma</t>
  </si>
  <si>
    <t>Dennis Juabot Mangubat</t>
  </si>
  <si>
    <t>KARL JOHN LAPASCUA</t>
  </si>
  <si>
    <t>RAUL PANELO GALI</t>
  </si>
  <si>
    <t>Joselyn S. Vivares</t>
  </si>
  <si>
    <t>Aileen G. Cuevas</t>
  </si>
  <si>
    <t>Jose Alcantara Clarion, Jr.</t>
  </si>
  <si>
    <t>Lyzander Cedric D. Maandig</t>
  </si>
  <si>
    <t>APRIL JOY L. VILLA</t>
  </si>
  <si>
    <t>Teresita Aquino Pabalan</t>
  </si>
  <si>
    <t>EDISON ALPARAN LORIAGA</t>
  </si>
  <si>
    <t>Romeo Jr. S Yacan</t>
  </si>
  <si>
    <t>Christopher M. Edjic</t>
  </si>
  <si>
    <t>Warren Costales Garcia</t>
  </si>
  <si>
    <t>Rene P Quezada</t>
  </si>
  <si>
    <t>Brendhel P. Awa-ao</t>
  </si>
  <si>
    <t>MARIBEL A. CEREZO</t>
  </si>
  <si>
    <t>Amabe Amanse Dela Cruz</t>
  </si>
  <si>
    <t>Christopher D. Badayos</t>
  </si>
  <si>
    <t>Arnold Lucaben Paleng</t>
  </si>
  <si>
    <t>Amuel Paul Dionisio Mallari</t>
  </si>
  <si>
    <t>JAYVEE BRYAN GALVEZ CARILLO</t>
  </si>
  <si>
    <t>Alexander A Balmes</t>
  </si>
  <si>
    <t>CERIACA E. DELMONTE</t>
  </si>
  <si>
    <t>Johannah Descargar Bantas</t>
  </si>
  <si>
    <t>Precilda Tagros Isidro</t>
  </si>
  <si>
    <t>Winibeth Rocamora Bonachita</t>
  </si>
  <si>
    <t>Rosemarie Duque Mollaneda</t>
  </si>
  <si>
    <t>RANDY ALLEN LAYAGUIN</t>
  </si>
  <si>
    <t>Cliftone Kiteng Bangse-il</t>
  </si>
  <si>
    <t>Jerry A Bernadas</t>
  </si>
  <si>
    <t>Flordelis Ceniza</t>
  </si>
  <si>
    <t>MELANIE GAMILDE GACUSAN</t>
  </si>
  <si>
    <t>Maribe Ballaran Diwata</t>
  </si>
  <si>
    <t>JANET ARELLANO MONTEVERDE</t>
  </si>
  <si>
    <t>Rosalie Plaza Espinoza</t>
  </si>
  <si>
    <t>Dhalie Dicen Almirol</t>
  </si>
  <si>
    <t>Clarivel Ordonia Seguritan</t>
  </si>
  <si>
    <t>Susan Marzan Casilang</t>
  </si>
  <si>
    <t>ARLENE BAUTISTA CASIPIT</t>
  </si>
  <si>
    <t>Carolina D Uy</t>
  </si>
  <si>
    <t>Jundel John Benavidez Cabanela</t>
  </si>
  <si>
    <t>Nanette Villanueva Carlos</t>
  </si>
  <si>
    <t>Emely Pajara Ocoy</t>
  </si>
  <si>
    <t>Marissa D Guadez</t>
  </si>
  <si>
    <t>Wulfranie Jr. M. Pascua</t>
  </si>
  <si>
    <t>Engr. DOMINADOR DOMINGO DIZON</t>
  </si>
  <si>
    <t>PASENCIA BINAG BATTUNG</t>
  </si>
  <si>
    <t>Normita P. Tria</t>
  </si>
  <si>
    <t>Merlina Tunggala Macararanga</t>
  </si>
  <si>
    <t>Jessa Marie Trasmonte Ducay</t>
  </si>
  <si>
    <t>Dan T Tayo</t>
  </si>
  <si>
    <t>Raymundo H. Magsino</t>
  </si>
  <si>
    <t>FERDINAND YU RICABLANCA</t>
  </si>
  <si>
    <t>Sostenes M. Palero</t>
  </si>
  <si>
    <t>Criselda D. Bacatano</t>
  </si>
  <si>
    <t>Gypsy Jennsen Arquio</t>
  </si>
  <si>
    <t>JOMELYN V. BALDEVIESO</t>
  </si>
  <si>
    <t>DIOSCORO PAMAUS MAHINAY</t>
  </si>
  <si>
    <t>Shirley Gonzales Carino</t>
  </si>
  <si>
    <t>Alvin P. Justo</t>
  </si>
  <si>
    <t>Jubet N. Gnilo</t>
  </si>
  <si>
    <t>Mercy Gavino Valgomera</t>
  </si>
  <si>
    <t>Mary Joy Ignas Pedrero</t>
  </si>
  <si>
    <t>Ana Marie L. Tayag</t>
  </si>
  <si>
    <t>Joseph Villa Echalas</t>
  </si>
  <si>
    <t>Elnora Toledo Lariza</t>
  </si>
  <si>
    <t>JEFFREY MENDOZA AQUINO</t>
  </si>
  <si>
    <t>Ma. Vicenta To Malana</t>
  </si>
  <si>
    <t>Rogie Majadas Montiveros</t>
  </si>
  <si>
    <t>Judith D. Alde</t>
  </si>
  <si>
    <t>Michael Aquino Abar</t>
  </si>
  <si>
    <t>ARNEL DROÑA BARICAR</t>
  </si>
  <si>
    <t>EDWARD A. ROA</t>
  </si>
  <si>
    <t>Aaron John Reyes Liwag</t>
  </si>
  <si>
    <t>Kapelhoff Arcangel Quidang</t>
  </si>
  <si>
    <t>ROLAND MAYOL PEREZ</t>
  </si>
  <si>
    <t>Marichu Lachica Villa-real</t>
  </si>
  <si>
    <t>Office of the Presidential Adviser on the Peace Process</t>
  </si>
  <si>
    <t>Adrian Magcamit Aguilar</t>
  </si>
  <si>
    <t>LENI ROCHA RIOFLORIDO</t>
  </si>
  <si>
    <t>Mark Anthony Cuison Lopez</t>
  </si>
  <si>
    <t>Petronio  C.  Tolentino</t>
  </si>
  <si>
    <t>CLINIA C EUSORES</t>
  </si>
  <si>
    <t>RENATO TRANATE YUZON</t>
  </si>
  <si>
    <t>Vanezza Blanche F Agbayani</t>
  </si>
  <si>
    <t>JOCELYN SABIDO SAMUYA</t>
  </si>
  <si>
    <t>James Robert Maruya Firman</t>
  </si>
  <si>
    <t>Leo Tagalog Pardillo</t>
  </si>
  <si>
    <t>Quintin Albarico Lim, JR</t>
  </si>
  <si>
    <t>Restituto Busbos Bautista</t>
  </si>
  <si>
    <t>Ma. Lynbert D. Dulpina Dominos Dulpina</t>
  </si>
  <si>
    <t>Ernesto Aranza Rivera</t>
  </si>
  <si>
    <t>Emma A. Jasmin</t>
  </si>
  <si>
    <t>Delia Cristobal Martin</t>
  </si>
  <si>
    <t>Ma. Cristina Piñero Olivera</t>
  </si>
  <si>
    <t>ROLANDO A SAMSON</t>
  </si>
  <si>
    <t>Cindy Pillora Pretta</t>
  </si>
  <si>
    <t>Sheila Riva B. Soriaga</t>
  </si>
  <si>
    <t>Camilo R. Ranosa</t>
  </si>
  <si>
    <t>Regina S. Valdez</t>
  </si>
  <si>
    <t>GENEROSO P DORO</t>
  </si>
  <si>
    <t>Armi Cecillia L. Dela Cruz</t>
  </si>
  <si>
    <t>EMMANUEL B. SARMIENTO</t>
  </si>
  <si>
    <t>Winifredo V. Duavis</t>
  </si>
  <si>
    <t>LOUGEN SIQUIJOR SARITA</t>
  </si>
  <si>
    <t>JESUS AGNOTE BALIDOY</t>
  </si>
  <si>
    <t>ROY LOPEZ ANOYA</t>
  </si>
  <si>
    <t>Eny Bargo Ferriol</t>
  </si>
  <si>
    <t>Melinda R Abanilla</t>
  </si>
  <si>
    <t>GIRLIE SAZON MAUNDO</t>
  </si>
  <si>
    <t>Joy Andrade Salpin</t>
  </si>
  <si>
    <t>Joshua Asturias Modina</t>
  </si>
  <si>
    <t>Rowena M. Torreflores</t>
  </si>
  <si>
    <t>ruth villasana cumagun</t>
  </si>
  <si>
    <t>GLENN H. TIANGHA</t>
  </si>
  <si>
    <t>Marcial C. Comeros</t>
  </si>
  <si>
    <t>Hanz Cecilio Bernardo</t>
  </si>
  <si>
    <t>Angelica Mae Aquino Reyes</t>
  </si>
  <si>
    <t>Reynaldo Ninon Manaog</t>
  </si>
  <si>
    <t>LEONA PEREZ PUSTA</t>
  </si>
  <si>
    <t>Rochelle Sernadilla Santiago</t>
  </si>
  <si>
    <t>DARIEL VILLANUEVA RICARTO</t>
  </si>
  <si>
    <t>FRANZE BETH S. NERI</t>
  </si>
  <si>
    <t>ANIE TAN SANTIAGO</t>
  </si>
  <si>
    <t>Jonathan J. Bayona</t>
  </si>
  <si>
    <t>Jose Jacinto B Antonio</t>
  </si>
  <si>
    <t>RUEL M. CURTOM</t>
  </si>
  <si>
    <t>Harvey C Jumawan</t>
  </si>
  <si>
    <t>Liwayway De Guzman Pangilinan</t>
  </si>
  <si>
    <t>Donell Mark  Francisco Baranda</t>
  </si>
  <si>
    <t>Mariko C Iwaki</t>
  </si>
  <si>
    <t>MA. SHELLA BOLALIN SUNAS</t>
  </si>
  <si>
    <t>Nemesio M. Frigillana</t>
  </si>
  <si>
    <t>Divina Jane Regaya</t>
  </si>
  <si>
    <t>MARVE MAHUSAY POSTERO</t>
  </si>
  <si>
    <t>Liza Panganiban Defeo</t>
  </si>
  <si>
    <t>Celia M Perez</t>
  </si>
  <si>
    <t>CHRISTIANE JAYSON  CUIZON  PARAS</t>
  </si>
  <si>
    <t>Marialyn Planes Utana</t>
  </si>
  <si>
    <t>RUEL B. AGGABAO</t>
  </si>
  <si>
    <t>Paulino Canoy</t>
  </si>
  <si>
    <t>Luchie Sarangaya-Agustin</t>
  </si>
  <si>
    <t>LISETTE MILAGROSO ADRIANO</t>
  </si>
  <si>
    <t>Marjune C. Vito</t>
  </si>
  <si>
    <t>H. Ramadan H.Y Utuali</t>
  </si>
  <si>
    <t>Elmera Zabate Ebrada</t>
  </si>
  <si>
    <t>Clemence  D.  Pobre</t>
  </si>
  <si>
    <t>JERUFFABELLE ARZADON BAUYON</t>
  </si>
  <si>
    <t>PAQUITO MAGTIBAY BARTE</t>
  </si>
  <si>
    <t>Cesario R Bahalla</t>
  </si>
  <si>
    <t>EDEM D. ABONITALLA</t>
  </si>
  <si>
    <t>LUTGARDA SARABIA JUANICH</t>
  </si>
  <si>
    <t>Arlene De Rama Manjares</t>
  </si>
  <si>
    <t>Jennybeb Bedejo</t>
  </si>
  <si>
    <t>Guilberto M Villacorte</t>
  </si>
  <si>
    <t>Antonio Alain Sarabia Espalabra</t>
  </si>
  <si>
    <t>Nestor c Cayabyab Joves</t>
  </si>
  <si>
    <t>Terso O. Abrantes</t>
  </si>
  <si>
    <t>XYRAINE MAE S. MAGLASANG</t>
  </si>
  <si>
    <t>Ruel Defensor Embuerga</t>
  </si>
  <si>
    <t>ROMER LOREZCA</t>
  </si>
  <si>
    <t>ADA VERONICA C. GRECIA</t>
  </si>
  <si>
    <t>Gracianito Lara Lucero</t>
  </si>
  <si>
    <t>Jever Catalan Vargas</t>
  </si>
  <si>
    <t>Joy Abonitalla Adecer</t>
  </si>
  <si>
    <t>Daniel Manrique Martinez</t>
  </si>
  <si>
    <t>Ademar R de Castro</t>
  </si>
  <si>
    <t>Jennifer A. Talampas</t>
  </si>
  <si>
    <t>Rizalina Fernando Bueno</t>
  </si>
  <si>
    <t>Aileene T Dagos</t>
  </si>
  <si>
    <t>DIOSDADO A. PAULE</t>
  </si>
  <si>
    <t>Christelyn A. Aguro</t>
  </si>
  <si>
    <t>REBECCA CALUAG LOPEZ</t>
  </si>
  <si>
    <t>Meriam Gripon Meneses</t>
  </si>
  <si>
    <t>MARIA LUISA OFIAZA</t>
  </si>
  <si>
    <t>NEMA GRACE  MEDILLO PORTES</t>
  </si>
  <si>
    <t>CONSUELO R. GEDUSPAN</t>
  </si>
  <si>
    <t>Gorgonio S. Cabañero Jr.</t>
  </si>
  <si>
    <t>MARK JOSEPH CASTILLO FERNANDEZ</t>
  </si>
  <si>
    <t>Rotessa Vicedo Alipio</t>
  </si>
  <si>
    <t>Emilyn Gallegos Salvador</t>
  </si>
  <si>
    <t>Ferdinand Fadriquelan Falceso</t>
  </si>
  <si>
    <t>Glenn L Enesio</t>
  </si>
  <si>
    <t>JOEL CASTRO MORATA</t>
  </si>
  <si>
    <t>ATTY. YVETTE N. CONVENTO-LEYNES</t>
  </si>
  <si>
    <t>ROMEO TORRICO OJAS JR.</t>
  </si>
  <si>
    <t>Ma. Rossana Cabigting Fariñas</t>
  </si>
  <si>
    <t>REGIE BAES AGNO</t>
  </si>
  <si>
    <t>Gretchen V Papa</t>
  </si>
  <si>
    <t>Justine Nicole Concepcion Belen</t>
  </si>
  <si>
    <t>Diosdada V. Vito</t>
  </si>
  <si>
    <t>EDRALPH PANTALEON RAMOS</t>
  </si>
  <si>
    <t>MARICRIS PEDIDA MENDUA</t>
  </si>
  <si>
    <t>Elsa Garcia Cancaida</t>
  </si>
  <si>
    <t>Herma Taghap Paragsa</t>
  </si>
  <si>
    <t>Adel L. Mangaliag</t>
  </si>
  <si>
    <t>Gerardo L. Dacles</t>
  </si>
  <si>
    <t>Tirzo Esteban Valdez</t>
  </si>
  <si>
    <t>Rogelio T. Tuppil</t>
  </si>
  <si>
    <t>Eleanor C. Laylo</t>
  </si>
  <si>
    <t>Edward Doctor Carillo</t>
  </si>
  <si>
    <t>Ivylea Cantago</t>
  </si>
  <si>
    <t>Relanie T Esta</t>
  </si>
  <si>
    <t>Leandro Ilagan</t>
  </si>
  <si>
    <t>MELLY S. MALUNES</t>
  </si>
  <si>
    <t>JOVITA M. ESCASA</t>
  </si>
  <si>
    <t>Oliver Ted Castillo Orsolino</t>
  </si>
  <si>
    <t>Elsa Hernandez Macatangay</t>
  </si>
  <si>
    <t>Andrew Ian Bulda Dormitorio</t>
  </si>
  <si>
    <t>Reynald Garma Ramos</t>
  </si>
  <si>
    <t>JUSTINO MANAYAN DELA CRUZ</t>
  </si>
  <si>
    <t>ABRAHAM R BARROGA</t>
  </si>
  <si>
    <t>jerlyn reyes tabornal</t>
  </si>
  <si>
    <t>Lynneth Bitchayda Peralta</t>
  </si>
  <si>
    <t>Letecia Arevalo Peñalosa</t>
  </si>
  <si>
    <t>Cheriebelle T. Devaras</t>
  </si>
  <si>
    <t>Monico Sujide Sutacio</t>
  </si>
  <si>
    <t>Josephine Garcia Mercado</t>
  </si>
  <si>
    <t>Paulo D. Cagara</t>
  </si>
  <si>
    <t>Enrico Papag Limjuico</t>
  </si>
  <si>
    <t>Armont C Pecina</t>
  </si>
  <si>
    <t>Marmie Ann R. Garcia</t>
  </si>
  <si>
    <t>Reynaldo J Santiago</t>
  </si>
  <si>
    <t>NIÑO ROSANA TIAMA</t>
  </si>
  <si>
    <t>Elena Flores Cordero</t>
  </si>
  <si>
    <t>Roy Ian A Resplandor</t>
  </si>
  <si>
    <t>Tedler Jr. H. Depaynos</t>
  </si>
  <si>
    <t>Noli D. Padagdag</t>
  </si>
  <si>
    <t>VIRGIN GANIR MALICAD</t>
  </si>
  <si>
    <t>Mariane B. Tingchuy</t>
  </si>
  <si>
    <t>Celestial S Flancia</t>
  </si>
  <si>
    <t>John Moses Bulahan Aposaga</t>
  </si>
  <si>
    <t>MILDRED AUSA DELOS SANTOS</t>
  </si>
  <si>
    <t>ALVIN MAMONONG SEGUNDO</t>
  </si>
  <si>
    <t>Dennis L Lim</t>
  </si>
  <si>
    <t>Rustom F. Abierra</t>
  </si>
  <si>
    <t>Albert  Clarito  Calambro</t>
  </si>
  <si>
    <t>CLEOFE TUBA Polido</t>
  </si>
  <si>
    <t>Arnel Caparros Portales</t>
  </si>
  <si>
    <t>Edgar SJ Cruz</t>
  </si>
  <si>
    <t>JOAN JUDE R. LOPEZ</t>
  </si>
  <si>
    <t>Cheryl Articona Cepriano</t>
  </si>
  <si>
    <t>Nerisa Reyes Udani</t>
  </si>
  <si>
    <t>Alfredo M. Alim</t>
  </si>
  <si>
    <t>Marvin T. Mosteiro</t>
  </si>
  <si>
    <t>SHEELA P. BADIANG</t>
  </si>
  <si>
    <t>MA. ANTONIA GATIL RAFALES</t>
  </si>
  <si>
    <t>NIRO ROTE NINIANO</t>
  </si>
  <si>
    <t>Eustaquio Ligutan</t>
  </si>
  <si>
    <t>Carlo Niel P. Barangtay</t>
  </si>
  <si>
    <t>Epelita Mumar Andoy</t>
  </si>
  <si>
    <t>Benson Empalmado</t>
  </si>
  <si>
    <t>Laila M Robosa</t>
  </si>
  <si>
    <t>Barangay Bokiawan Bokiawan</t>
  </si>
  <si>
    <t>GERARDO DALINOC CLEMENTE</t>
  </si>
  <si>
    <t>Noli P Apostol</t>
  </si>
  <si>
    <t>Ma. Cecilia  A.  Cedro</t>
  </si>
  <si>
    <t>Fedelina C. Libatique</t>
  </si>
  <si>
    <t>Jerson R.  Zulueta</t>
  </si>
  <si>
    <t>Maribel Lopez Bongar</t>
  </si>
  <si>
    <t>RAMER M RAMOS</t>
  </si>
  <si>
    <t>Arlene A Amen</t>
  </si>
  <si>
    <t>Lyra RJ Cubos Carolino</t>
  </si>
  <si>
    <t>Marilyn T Inong</t>
  </si>
  <si>
    <t>Eleuterio L Blasco</t>
  </si>
  <si>
    <t>Azucena O Gonzales</t>
  </si>
  <si>
    <t>Nolly Adrian B. Gabule</t>
  </si>
  <si>
    <t>Wayne Oresco Calibayan</t>
  </si>
  <si>
    <t>Lusdoc, Jr. Peliño Atanacio</t>
  </si>
  <si>
    <t>Lolito B. Aboy</t>
  </si>
  <si>
    <t>JONEFE GOMEZ OCASLA</t>
  </si>
  <si>
    <t>Belinda Abu</t>
  </si>
  <si>
    <t>Drafino Jr Ramos Arocena</t>
  </si>
  <si>
    <t>Lito Amoguis Estoria</t>
  </si>
  <si>
    <t>Miriam Banaga Nohay</t>
  </si>
  <si>
    <t>Merla A. Monje</t>
  </si>
  <si>
    <t>Joel Sampaga Columna</t>
  </si>
  <si>
    <t xml:space="preserve">Glory June Tongson  Maravilla </t>
  </si>
  <si>
    <t>Ian Luis Cabauatan Aguila</t>
  </si>
  <si>
    <t>Martin A Telan</t>
  </si>
  <si>
    <t>Carmen Pingiton Pavon</t>
  </si>
  <si>
    <t>DORIS JOY C. GARCIA</t>
  </si>
  <si>
    <t>Warren Lorbis Rodriguez</t>
  </si>
  <si>
    <t>Edralin B. Baingan</t>
  </si>
  <si>
    <t>Lurline Merencillo Tongco</t>
  </si>
  <si>
    <t>Murphy Ibañez</t>
  </si>
  <si>
    <t>Blesilda P. Makabali</t>
  </si>
  <si>
    <t>Maria Jessica Dulce Gumban</t>
  </si>
  <si>
    <t>Marben Mondoy Baker</t>
  </si>
  <si>
    <t>Jay Francis Ibanez Dela Victoria</t>
  </si>
  <si>
    <t>JOEL T. DAVID</t>
  </si>
  <si>
    <t>ROSE HABANA MARTINEZ</t>
  </si>
  <si>
    <t>Elmer Ventura Gallino</t>
  </si>
  <si>
    <t>ENGR. EDUARDO SALVADOR MANGOBA JR.</t>
  </si>
  <si>
    <t>Pedro F Caminero Jr.</t>
  </si>
  <si>
    <t>john mark talde magdaluyo</t>
  </si>
  <si>
    <t>Ely Garcillano Ramos</t>
  </si>
  <si>
    <t>Jeffrey T. Calma</t>
  </si>
  <si>
    <t>Barangay Ambabag</t>
  </si>
  <si>
    <t>Mary Jane G Barrio</t>
  </si>
  <si>
    <t>Ma. Rolynda Basuil Manongas</t>
  </si>
  <si>
    <t>Mila Jihan GIBA</t>
  </si>
  <si>
    <t>Remegio Lao Saniel</t>
  </si>
  <si>
    <t>ASPIA ALAUYA ALONTO</t>
  </si>
  <si>
    <t>Rommel Pacaoncis Masongsong</t>
  </si>
  <si>
    <t>Jeffrey Asuncion Rabanal</t>
  </si>
  <si>
    <t>Roberto Sr. M. Solito</t>
  </si>
  <si>
    <t>Maricar Sangalang Eguia</t>
  </si>
  <si>
    <t>Restituto P. Erojo, Jr.</t>
  </si>
  <si>
    <t>Rinalyn Juaton Gallardo</t>
  </si>
  <si>
    <t>Perfecto Manabat Domingo Jr.</t>
  </si>
  <si>
    <t>Felizardo A. Go</t>
  </si>
  <si>
    <t>Ma. Lourdes P San Miguel</t>
  </si>
  <si>
    <t>Warlito Yuson Suan</t>
  </si>
  <si>
    <t>Sweet L. Malima</t>
  </si>
  <si>
    <t>EDELBERTO R. FRANCISCO</t>
  </si>
  <si>
    <t>Cynthia De Chavez Perez</t>
  </si>
  <si>
    <t>Perfecto B Taduran</t>
  </si>
  <si>
    <t>Jennifer Loquillano Mayang-Aligado</t>
  </si>
  <si>
    <t>Joanne Hoylar Garcia</t>
  </si>
  <si>
    <t>DENNIS E DE GUZMAN</t>
  </si>
  <si>
    <t>Neri Tadeo Beley</t>
  </si>
  <si>
    <t>ESTRELLA E. VINO</t>
  </si>
  <si>
    <t>Catherine Arguilles Bayron</t>
  </si>
  <si>
    <t>Jojie Ann Oliva Watin</t>
  </si>
  <si>
    <t>ORLANDO FESICO PAN</t>
  </si>
  <si>
    <t>Darmo Sumat Ganiban</t>
  </si>
  <si>
    <t>Wilogine Taba Sarona</t>
  </si>
  <si>
    <t>Anna Mae B. Elemia</t>
  </si>
  <si>
    <t>Niña Aniñon Asis</t>
  </si>
  <si>
    <t>Joey Calimpusan Tonzo</t>
  </si>
  <si>
    <t>ATTY. CHRISTY JOY S SOLLESTA</t>
  </si>
  <si>
    <t>SIMEON A LAURONAL</t>
  </si>
  <si>
    <t>Corazon Parido Plameras</t>
  </si>
  <si>
    <t>Dandy T Solas</t>
  </si>
  <si>
    <t>Ricardo Alvarado Sanchez</t>
  </si>
  <si>
    <t>ELA PABLEO PAVILANDO</t>
  </si>
  <si>
    <t>Jennibeth Ablong Dagodog</t>
  </si>
  <si>
    <t>Gregoria De Castro Lalong-Isip</t>
  </si>
  <si>
    <t>Lilibeth Caudor Benedicto</t>
  </si>
  <si>
    <t>Pia B Abengoza</t>
  </si>
  <si>
    <t>Timoteo, Sr. R Rey</t>
  </si>
  <si>
    <t>SHIRNEY GAID LAROSA</t>
  </si>
  <si>
    <t>ROSEMARIE M. LAWAS</t>
  </si>
  <si>
    <t>Maribel Castillo Botavara</t>
  </si>
  <si>
    <t>Rolando V. Miguel</t>
  </si>
  <si>
    <t>Rosanna P. Lucero</t>
  </si>
  <si>
    <t>Marlon Sibal Danao</t>
  </si>
  <si>
    <t>CIELO A URAGA</t>
  </si>
  <si>
    <t>Gabriel Cardona Tilde</t>
  </si>
  <si>
    <t>Elsie N Almozara</t>
  </si>
  <si>
    <t>Prescilla Villar Libunao</t>
  </si>
  <si>
    <t>MARIA TERESA HOCSON MIRABUENO</t>
  </si>
  <si>
    <t>Engr Renie R Albarina</t>
  </si>
  <si>
    <t>Debbie Hibionada Lacsama</t>
  </si>
  <si>
    <t>Ma. Twinkle G Mercader</t>
  </si>
  <si>
    <t>Nelia Verano Alguno</t>
  </si>
  <si>
    <t>Shiela L. Lacbayo</t>
  </si>
  <si>
    <t>Charito  G.  Caballero</t>
  </si>
  <si>
    <t>Hilaria S. Abonita</t>
  </si>
  <si>
    <t>Jingle Repollo Saloma</t>
  </si>
  <si>
    <t>LUZ  CUDAl DURANO</t>
  </si>
  <si>
    <t>Reynal U Alvior</t>
  </si>
  <si>
    <t>Cynthia Balidoy Balin</t>
  </si>
  <si>
    <t>Rebecca Marcilla Agbay</t>
  </si>
  <si>
    <t>Annabelle De Vera Quiñones</t>
  </si>
  <si>
    <t>Carmilo E Monterona</t>
  </si>
  <si>
    <t>Irene Sy Banzuelo</t>
  </si>
  <si>
    <t>Ciscil B. Montemayor</t>
  </si>
  <si>
    <t>Felton Xenox T. Inting</t>
  </si>
  <si>
    <t>Arceli Magtanong Samson</t>
  </si>
  <si>
    <t>Geozele Orden Baltazar</t>
  </si>
  <si>
    <t>Jocelyn S. Toriaga</t>
  </si>
  <si>
    <t>Helen P. Palma</t>
  </si>
  <si>
    <t>Cristina Rico Tabunda</t>
  </si>
  <si>
    <t>Martina Fe Acenas ARABIANA</t>
  </si>
  <si>
    <t>Donnalynn Waje Mercado</t>
  </si>
  <si>
    <t>JHON HALLY SIMON ABAYA</t>
  </si>
  <si>
    <t>Desiderio Estillore Gudia Jr.</t>
  </si>
  <si>
    <t>Maria Umambac Floren</t>
  </si>
  <si>
    <t>Estrella Ageas Maata</t>
  </si>
  <si>
    <t>Lemuel Bagalayos Mañibo</t>
  </si>
  <si>
    <t>John Ian Silpa Rabe</t>
  </si>
  <si>
    <t>MARY FAMILLE PORTILLO IPAW</t>
  </si>
  <si>
    <t>ATTY. EDGARDO J. GIL</t>
  </si>
  <si>
    <t>Maria Elena B Pagay</t>
  </si>
  <si>
    <t>Maximo Jr. Pejo Magana</t>
  </si>
  <si>
    <t>Maria Morena Santos</t>
  </si>
  <si>
    <t>Jezereel Esteban</t>
  </si>
  <si>
    <t>jennilyn dupiano Inway</t>
  </si>
  <si>
    <t>Romulo Junasa Galleto, Jr.</t>
  </si>
  <si>
    <t>VOLTAIRE S EGNORA, MD.</t>
  </si>
  <si>
    <t>Jojo T De Castro</t>
  </si>
  <si>
    <t>ERLINDA T. LABEÑA</t>
  </si>
  <si>
    <t>Gomer Liwanag Dado</t>
  </si>
  <si>
    <t>Evelina Balaoro Ajero</t>
  </si>
  <si>
    <t>Elvis Ragadio Soria</t>
  </si>
  <si>
    <t>Achiles Bermiso Lagao</t>
  </si>
  <si>
    <t>Rona Joy Ducut San Jose</t>
  </si>
  <si>
    <t>Donabel C. Fabre</t>
  </si>
  <si>
    <t>Angel Shieldon C Agan</t>
  </si>
  <si>
    <t>Ruby S Cortez</t>
  </si>
  <si>
    <t>JANICE F.  PINEDA</t>
  </si>
  <si>
    <t>Kreenzel Joy Pagaduan</t>
  </si>
  <si>
    <t>Honey Sahara Bautista Aleman</t>
  </si>
  <si>
    <t>Charito Santos Fernando</t>
  </si>
  <si>
    <t>Abner Escobar Guilambo</t>
  </si>
  <si>
    <t>Sukarno M Hadjinor</t>
  </si>
  <si>
    <t>Georgie  Lamparas Ruelan</t>
  </si>
  <si>
    <t>Rebecca O. Canes</t>
  </si>
  <si>
    <t>LILIA DIAZ DE GUZMAN</t>
  </si>
  <si>
    <t>Rogelio Jr. Dumlao Velasco</t>
  </si>
  <si>
    <t>Madonna R. Pantoja</t>
  </si>
  <si>
    <t>Dominador A Bucalbos</t>
  </si>
  <si>
    <t>JENNY TAMON CABALLERO</t>
  </si>
  <si>
    <t>Atilano Alinarte Abilay</t>
  </si>
  <si>
    <t>Evelyn Bengco Sibal</t>
  </si>
  <si>
    <t>RODELIZA ARTICULO ABAINZA</t>
  </si>
  <si>
    <t>Amelia Aquino Malacaman</t>
  </si>
  <si>
    <t>THERESA CLAVESILLAS IBARRA</t>
  </si>
  <si>
    <t>JIBBER  S.  SESUELOS</t>
  </si>
  <si>
    <t>Nerissa Raymundo Quintinio</t>
  </si>
  <si>
    <t>Leomar Jepollo Orsolino</t>
  </si>
  <si>
    <t>GENALIN DIAZ BIBOSO</t>
  </si>
  <si>
    <t>Fulton Mario Canoy Anoba</t>
  </si>
  <si>
    <t>Cecilia O. Delos Reyes</t>
  </si>
  <si>
    <t>Delna Safulno Portillo</t>
  </si>
  <si>
    <t>Mario Jennifer Rosco Orion</t>
  </si>
  <si>
    <t>Edsel Evangelista Espino</t>
  </si>
  <si>
    <t>Eusebia Sylvia Capina Calleja</t>
  </si>
  <si>
    <t>NICANOR ARTIZA ORALIZA, JR.</t>
  </si>
  <si>
    <t>DIEGO EBRADA BAYONITO</t>
  </si>
  <si>
    <t>Ma. Judylen Pagasian Pagente</t>
  </si>
  <si>
    <t>Roderick A Ydel</t>
  </si>
  <si>
    <t>Jenn Glaiza Gallego</t>
  </si>
  <si>
    <t>MA. VICTORIA LOPEZ CASTAÑEDA</t>
  </si>
  <si>
    <t>Marilyn Anay Mojello</t>
  </si>
  <si>
    <t>RICARDO  FLORENDO</t>
  </si>
  <si>
    <t>Christopher Lacea Malayan</t>
  </si>
  <si>
    <t>MARIE JOY A. ALVIAR</t>
  </si>
  <si>
    <t>Francisco Jr. Flores Bonifacio</t>
  </si>
  <si>
    <t>FERNANDO S PALITAYAN</t>
  </si>
  <si>
    <t>Reno C Salazar</t>
  </si>
  <si>
    <t>Elmer Nev C Valenzuela</t>
  </si>
  <si>
    <t>Evelyn Galleposo Saumay</t>
  </si>
  <si>
    <t>Florenda Inutan Carballo</t>
  </si>
  <si>
    <t>ADELFA RICO BELLO</t>
  </si>
  <si>
    <t>Heide Jacaban Felisilda</t>
  </si>
  <si>
    <t>RUEL ESTEPA BAUTISTA</t>
  </si>
  <si>
    <t>Rosalie  A. Pelle</t>
  </si>
  <si>
    <t>Abner H Labaniego</t>
  </si>
  <si>
    <t>Desiree B. Macamay</t>
  </si>
  <si>
    <t>zailene Gonzalgo Langahin</t>
  </si>
  <si>
    <t>RONNEL B GUNDOY</t>
  </si>
  <si>
    <t>DIONISIO TORIBIO GOMANTI COSTES</t>
  </si>
  <si>
    <t>TIFFANY VIOLENTA LUMPAS</t>
  </si>
  <si>
    <t>Shirley Bruca Tadeo</t>
  </si>
  <si>
    <t>Jun Pajarillo  Vana</t>
  </si>
  <si>
    <t>Dan Rommel Tonquin Gastala</t>
  </si>
  <si>
    <t>Reynaldo Sumagaysay Belgira</t>
  </si>
  <si>
    <t>Sio King Sy Aurea</t>
  </si>
  <si>
    <t>Maricor Melorin Carbonilla</t>
  </si>
  <si>
    <t>Samira Guimba Pagayao</t>
  </si>
  <si>
    <t>TEODOLFO MACDON NABOS</t>
  </si>
  <si>
    <t>carmelo G. lingao</t>
  </si>
  <si>
    <t>Sally Malicay</t>
  </si>
  <si>
    <t>ROBERTO FLOGENCIO LUCAS</t>
  </si>
  <si>
    <t>Ronnie B. Besa</t>
  </si>
  <si>
    <t>ANALYN BOGOY QUILANG</t>
  </si>
  <si>
    <t>Wilson C. Rosario</t>
  </si>
  <si>
    <t>Gernar P Aviñante</t>
  </si>
  <si>
    <t>Mharjelyn  Cagulada  Requino</t>
  </si>
  <si>
    <t>Imelda B. Palad</t>
  </si>
  <si>
    <t>Fresha Prill Grepaldeo Calutan</t>
  </si>
  <si>
    <t>Peter Elvis Limpot Galleto</t>
  </si>
  <si>
    <t>Lonaly Guardario Giray</t>
  </si>
  <si>
    <t>Mia Marinelle Ramos Labuguen</t>
  </si>
  <si>
    <t>Procopio Jr. Comendador Rule</t>
  </si>
  <si>
    <t>Geraldine Cabante Sumiog</t>
  </si>
  <si>
    <t>Julie Ann Dizon Malig</t>
  </si>
  <si>
    <t>Yvonne C. Obena</t>
  </si>
  <si>
    <t>CECIL  ORTIOLA</t>
  </si>
  <si>
    <t>Loy Joseph I Quitain</t>
  </si>
  <si>
    <t>Ester C. Layam</t>
  </si>
  <si>
    <t>Joshua Abejero Adanza</t>
  </si>
  <si>
    <t>Gina  G.  Balaso</t>
  </si>
  <si>
    <t>Eric A. Amistad</t>
  </si>
  <si>
    <t>Angela Eduvala Dagsaan</t>
  </si>
  <si>
    <t>Nikkolo Marco Aurelio V. Cortes</t>
  </si>
  <si>
    <t>PHET E CALINGASAN</t>
  </si>
  <si>
    <t>Christie Magdalene J Pedroza</t>
  </si>
  <si>
    <t>Brian M. Luancing</t>
  </si>
  <si>
    <t>Ma. Theresa Garcia Labo</t>
  </si>
  <si>
    <t>TERESITA FELICIDAD SACAYLE LUCAGBO</t>
  </si>
  <si>
    <t>Cheryl Escoro Ortiz</t>
  </si>
  <si>
    <t>Paulino V. Querubin</t>
  </si>
  <si>
    <t>JONNA APOSTOL EDQUILA</t>
  </si>
  <si>
    <t>Vanesa C. Cutanda</t>
  </si>
  <si>
    <t>CRISELDA MOSCA</t>
  </si>
  <si>
    <t>Bacilisa Cuento de Castro</t>
  </si>
  <si>
    <t>RONALD  RIVERA</t>
  </si>
  <si>
    <t>Edgardo M. De Leon</t>
  </si>
  <si>
    <t>Jessie Gutierrez Empis</t>
  </si>
  <si>
    <t>Aldy B Novo</t>
  </si>
  <si>
    <t>Karla Shane Ramos Patega</t>
  </si>
  <si>
    <t>KRISTOFFER JOHN GALVAN AMBUEGUIA</t>
  </si>
  <si>
    <t>Luis Ferma</t>
  </si>
  <si>
    <t>Gertrudes A Obedoza</t>
  </si>
  <si>
    <t>Jose Albert A Barrogo</t>
  </si>
  <si>
    <t>JULIE Q. ECONAR</t>
  </si>
  <si>
    <t>Rosalie  Demontaño De Justo</t>
  </si>
  <si>
    <t>Teresita de la Torre Obin</t>
  </si>
  <si>
    <t>Angelica Santayana Asiao</t>
  </si>
  <si>
    <t>Mellany Millano Amaranto</t>
  </si>
  <si>
    <t>MILROSE  L OMADLE</t>
  </si>
  <si>
    <t>Ralph Angelo Montederamos Aparis</t>
  </si>
  <si>
    <t>Editha M. Labaguis</t>
  </si>
  <si>
    <t>Norina L. David</t>
  </si>
  <si>
    <t>Ma. Laiza AMor Espina Celmar</t>
  </si>
  <si>
    <t>GREGORIO M ORDAS</t>
  </si>
  <si>
    <t>CELSO A. MATIAS</t>
  </si>
  <si>
    <t>Fermin F Sapuras</t>
  </si>
  <si>
    <t>Rowena  C. Armado</t>
  </si>
  <si>
    <t>Brenda R. Morales</t>
  </si>
  <si>
    <t>Peachy Gom-os</t>
  </si>
  <si>
    <t>MERIAM GALLO RAMOS</t>
  </si>
  <si>
    <t>Myra Cabales Oriel</t>
  </si>
  <si>
    <t>Melchor O Quinto</t>
  </si>
  <si>
    <t>Percival Alferos Bonilla</t>
  </si>
  <si>
    <t>ALIHAR A. MAMA</t>
  </si>
  <si>
    <t>Rolly Ultra Cervantes</t>
  </si>
  <si>
    <t>Lucille Manapsal Teves</t>
  </si>
  <si>
    <t>PEREGRINA ERONICO CAROSUS</t>
  </si>
  <si>
    <t>Manuel Melis Ignacio</t>
  </si>
  <si>
    <t>SOLEDAD SEVILLA ESEQUE</t>
  </si>
  <si>
    <t>Reynaldo Sagala Obrador</t>
  </si>
  <si>
    <t>Isidro Lopez Tapar</t>
  </si>
  <si>
    <t>Joly Comendador Barbarona</t>
  </si>
  <si>
    <t>Nolan David Ofrecio</t>
  </si>
  <si>
    <t>Mary Melisande Jamoyot Andaya</t>
  </si>
  <si>
    <t>Grecilda Dausen Marcelo</t>
  </si>
  <si>
    <t>Rogelito Dumaicos Urbiztondo</t>
  </si>
  <si>
    <t>Maria Rosario Pernia Piodos</t>
  </si>
  <si>
    <t>Myrna Pascual Cabico</t>
  </si>
  <si>
    <t>Emerson John Exclamado Fernandez</t>
  </si>
  <si>
    <t>Delmor De Vera Pascual</t>
  </si>
  <si>
    <t>REGNER MEL BALAGOT</t>
  </si>
  <si>
    <t>Manolito Magkilat Silagan</t>
  </si>
  <si>
    <t>Nharciso Jhoel S Santos</t>
  </si>
  <si>
    <t>Ermintrude Diaz Gonzales</t>
  </si>
  <si>
    <t>ELLEN BARCENA ABELLA</t>
  </si>
  <si>
    <t>Balligi Wandas Quitor</t>
  </si>
  <si>
    <t>Arnold Alba Perez</t>
  </si>
  <si>
    <t>Fredie Ballesteros Ruiz</t>
  </si>
  <si>
    <t>Reynaldo V Pioquinto</t>
  </si>
  <si>
    <t>Rizalyn M. Rivera</t>
  </si>
  <si>
    <t>Dave Renand Guimod</t>
  </si>
  <si>
    <t>Eliza Alvarez Quiambao</t>
  </si>
  <si>
    <t>Carina Lucero Abrea</t>
  </si>
  <si>
    <t>Leonor Estrella  Balcos</t>
  </si>
  <si>
    <t>MARY FE GRACE MERCADO BENITO</t>
  </si>
  <si>
    <t>Arben  Bulasa  Pamolarcano</t>
  </si>
  <si>
    <t>Edwardford Najera Dagatan</t>
  </si>
  <si>
    <t>CORSINO MALUBAY VASQUEZ</t>
  </si>
  <si>
    <t>Jannette L. Fronda</t>
  </si>
  <si>
    <t>PAQUITO  LOPEZ</t>
  </si>
  <si>
    <t>Rodrigo V. Custodio</t>
  </si>
  <si>
    <t>Ruben M. Ollete</t>
  </si>
  <si>
    <t>Carl Melvin Tillano Galin</t>
  </si>
  <si>
    <t>Franklin J. Legaspi</t>
  </si>
  <si>
    <t>Ida Pableo Reforsado</t>
  </si>
  <si>
    <t>Mary Grace  E.  Lumabi</t>
  </si>
  <si>
    <t>Elmer A. Bajado</t>
  </si>
  <si>
    <t>Teresita   Montes  Maratas</t>
  </si>
  <si>
    <t>Jaynorin S Kalilangan</t>
  </si>
  <si>
    <t>SANDRA TORAYNO UDANG</t>
  </si>
  <si>
    <t>MARIBEL MOLINA REGASPI</t>
  </si>
  <si>
    <t>Annielyn N JAVIER</t>
  </si>
  <si>
    <t>Joshua John M. Carlos</t>
  </si>
  <si>
    <t>ALMIRA PINOL LAPASARAN</t>
  </si>
  <si>
    <t xml:space="preserve"> Edwin De Limos  Mendoza</t>
  </si>
  <si>
    <t>MERLINDA M. ANG</t>
  </si>
  <si>
    <t>Pablo Fianza Sanidad II</t>
  </si>
  <si>
    <t>Chito M. Reporen</t>
  </si>
  <si>
    <t>ANGELINA RALLOS SOLIANO</t>
  </si>
  <si>
    <t>RICHARD PEREZ</t>
  </si>
  <si>
    <t>RAYMUND M. DIAZ</t>
  </si>
  <si>
    <t>Antonio Bartolo Mercado</t>
  </si>
  <si>
    <t>Mansueto Ibale Diangco</t>
  </si>
  <si>
    <t>KAREN JOY NAVARRO CARREON</t>
  </si>
  <si>
    <t>Noriel G. Sanson</t>
  </si>
  <si>
    <t>CHARITY L HILARIA</t>
  </si>
  <si>
    <t>Haide D. Daclan</t>
  </si>
  <si>
    <t>Felizardo  R.  Canama</t>
  </si>
  <si>
    <t>Arlene N Nufuar</t>
  </si>
  <si>
    <t>Celestial Galivo Alag</t>
  </si>
  <si>
    <t>Perlita Senarillos Pabillaran</t>
  </si>
  <si>
    <t>Samson Gavasan Gilo, Jr.</t>
  </si>
  <si>
    <t>Merlie Estolloso Maghari</t>
  </si>
  <si>
    <t>Bernie C Malinao</t>
  </si>
  <si>
    <t>Amalia Acay Ibarra</t>
  </si>
  <si>
    <t>Jocelyn O Dangle</t>
  </si>
  <si>
    <t>Francisco Salibongcogon Bulawit Jr.</t>
  </si>
  <si>
    <t>HANILYN R AQUINO</t>
  </si>
  <si>
    <t>MA. EDIN OBONA ABAN</t>
  </si>
  <si>
    <t>Hanz Willbur Domondon Quebral</t>
  </si>
  <si>
    <t>Marifel Arroyo Astillo</t>
  </si>
  <si>
    <t>Francis Antonio Legaspi Flores</t>
  </si>
  <si>
    <t>Randy L Lubis</t>
  </si>
  <si>
    <t>ROMEL BARIA BALISANG</t>
  </si>
  <si>
    <t>Analita Ombay Cinco</t>
  </si>
  <si>
    <t>Danny Clamor Flores</t>
  </si>
  <si>
    <t>Revine Claire S. Cantil</t>
  </si>
  <si>
    <t>Elton Gurro Panulaya</t>
  </si>
  <si>
    <t>Marlene  Castro  Sabado</t>
  </si>
  <si>
    <t>Gerald B Alvaro</t>
  </si>
  <si>
    <t>Carlos L. Taguba</t>
  </si>
  <si>
    <t>CEZARIO JOEL C ESPEJO</t>
  </si>
  <si>
    <t>Rose S. Sucgang</t>
  </si>
  <si>
    <t>JOSEPHINE G. RECILLAS</t>
  </si>
  <si>
    <t>Flora May Sanchez Cabatana</t>
  </si>
  <si>
    <t>JOSEPHINE G PEREA</t>
  </si>
  <si>
    <t>Sheryl B. Horca</t>
  </si>
  <si>
    <t>JUNE IVY CIELOS MENDEZ</t>
  </si>
  <si>
    <t>Marilyn  Labrador Garcia</t>
  </si>
  <si>
    <t>BAC SECRETARIAT STAFF</t>
  </si>
  <si>
    <t>Ederlita Cena</t>
  </si>
  <si>
    <t>Allan Zonio Francisco</t>
  </si>
  <si>
    <t>Rainero Elmer Dingal Gerzon</t>
  </si>
  <si>
    <t>Edmar Tenio Tambis</t>
  </si>
  <si>
    <t>Pamela Sosa</t>
  </si>
  <si>
    <t>Evangeline Balan Lorenzo</t>
  </si>
  <si>
    <t>Leticia O. Clemente</t>
  </si>
  <si>
    <t>ANGELA C JESALVA</t>
  </si>
  <si>
    <t>Alvin R. San Pascual</t>
  </si>
  <si>
    <t>MEDEL ABENES DELOS REYES</t>
  </si>
  <si>
    <t>Roland Cuenca Grijalvo</t>
  </si>
  <si>
    <t>Ma. Annalyn S. Nolasco</t>
  </si>
  <si>
    <t>Shirley O. Chatto</t>
  </si>
  <si>
    <t>Datumalao Eting Saikol</t>
  </si>
  <si>
    <t>Roger Pabilona Aguacito</t>
  </si>
  <si>
    <t>Edelina Baruso Espejo</t>
  </si>
  <si>
    <t>Aida Aquino Legaspi</t>
  </si>
  <si>
    <t>Florentino Rapliza Santos, Jr.</t>
  </si>
  <si>
    <t>Antonio, Jr. Sarigumba Acuña</t>
  </si>
  <si>
    <t>Ryan Chester G. Fong</t>
  </si>
  <si>
    <t>Enrique Bondoc Gonzales</t>
  </si>
  <si>
    <t>MARIA CONCEPCION ANTONIO DALERE</t>
  </si>
  <si>
    <t>Joseph R. Gayaman</t>
  </si>
  <si>
    <t>Hilario Pacardo Gorgonia</t>
  </si>
  <si>
    <t>Cynthia Macenas Tumanut</t>
  </si>
  <si>
    <t>Federico III Daleno Rivero</t>
  </si>
  <si>
    <t>Jaqueline Pangilinan Dayao</t>
  </si>
  <si>
    <t>Andres Guillermo</t>
  </si>
  <si>
    <t>RENATO D. IGNACIO</t>
  </si>
  <si>
    <t>Vlademer Villalba Brit</t>
  </si>
  <si>
    <t>TITO CUERING TICTIC</t>
  </si>
  <si>
    <t>Wilson Merle Lopez</t>
  </si>
  <si>
    <t>Atty. Anna Rosario P. Reyes</t>
  </si>
  <si>
    <t xml:space="preserve"> Elino  Mandia Marquez</t>
  </si>
  <si>
    <t>Toni Marc L Dargantes</t>
  </si>
  <si>
    <t>Corazon A. Yamit Abao Yamit</t>
  </si>
  <si>
    <t>Ma. Theresa P. Ortiz</t>
  </si>
  <si>
    <t>Jacqueline U Bucayu</t>
  </si>
  <si>
    <t>Rosella Alojado Villegas</t>
  </si>
  <si>
    <t>Eris Jay Agbas Gregana</t>
  </si>
  <si>
    <t>MARCHETA CALAMBA BRINA</t>
  </si>
  <si>
    <t>Warlie Mangunay Gregorio</t>
  </si>
  <si>
    <t>Filomena S Acidera</t>
  </si>
  <si>
    <t>Ana De Guzman Asprec</t>
  </si>
  <si>
    <t>Jeffrey M. Paclibon</t>
  </si>
  <si>
    <t>ROSAVILLA  COLANGCO  BALAZO</t>
  </si>
  <si>
    <t>Gen Anderson Gonzales Tanhueco</t>
  </si>
  <si>
    <t>MARIVIC M MAMRIL</t>
  </si>
  <si>
    <t>Romel C. Jardinaso</t>
  </si>
  <si>
    <t>Diosdado B Ceniza</t>
  </si>
  <si>
    <t>GIANNA J. ABRES</t>
  </si>
  <si>
    <t>Dennis Bandal Dalucapas</t>
  </si>
  <si>
    <t>John Edmar Galang Barairo</t>
  </si>
  <si>
    <t>Alicia Lopez Santos</t>
  </si>
  <si>
    <t>ASISSA JOYMAE EDEM</t>
  </si>
  <si>
    <t>Cecille T Sally</t>
  </si>
  <si>
    <t>John Michael G Garcia</t>
  </si>
  <si>
    <t>Florencia Ang Arcillas</t>
  </si>
  <si>
    <t>Augustus Abril U Turin</t>
  </si>
  <si>
    <t>Mirasol Hortelano Suan</t>
  </si>
  <si>
    <t>Priscilla A Hernandez</t>
  </si>
  <si>
    <t>Roel Basi Lachica</t>
  </si>
  <si>
    <t>Wealtha Sanguenza Gomisong</t>
  </si>
  <si>
    <t>Gideon Flores dela Cruz</t>
  </si>
  <si>
    <t>GEMMA H TAMAGOS</t>
  </si>
  <si>
    <t>Rosa Frades Camigao</t>
  </si>
  <si>
    <t>Cecilia Notario Jumawan</t>
  </si>
  <si>
    <t>ANDREA A. FACUNLA</t>
  </si>
  <si>
    <t>Menchu Tabay Zingapan</t>
  </si>
  <si>
    <t>Ligaya M Antiola</t>
  </si>
  <si>
    <t>Danilo  Mira Omagtang</t>
  </si>
  <si>
    <t>Eric Torres Tejada</t>
  </si>
  <si>
    <t>JED ARIES FAJARDO CASTRO</t>
  </si>
  <si>
    <t>Arnulfo A. Adana</t>
  </si>
  <si>
    <t>JEORGE ARIOLA TOMAS</t>
  </si>
  <si>
    <t>Cynthia Eleonor Guno Manalo</t>
  </si>
  <si>
    <t>EDITA DE VEYRA</t>
  </si>
  <si>
    <t>Nemesio H Davalos</t>
  </si>
  <si>
    <t>Mario E. Campilla</t>
  </si>
  <si>
    <t>ROSEJOY TUAPEN MONTEJO</t>
  </si>
  <si>
    <t>Juliana Cabling Abenales</t>
  </si>
  <si>
    <t>Erwin Garcia Catacutan</t>
  </si>
  <si>
    <t>MARK JAYSON LOMBOY FELIPE</t>
  </si>
  <si>
    <t>EDGAR RINGAD</t>
  </si>
  <si>
    <t>Noreen Lagahit</t>
  </si>
  <si>
    <t>Lorna Andres Herrera</t>
  </si>
  <si>
    <t>Evelyn  E.  Magno</t>
  </si>
  <si>
    <t>Juanito Gacanes Domingo</t>
  </si>
  <si>
    <t>Arnel Villamor Esller</t>
  </si>
  <si>
    <t>Efren Tanista Guanzon</t>
  </si>
  <si>
    <t>CORAZON S VERGARA</t>
  </si>
  <si>
    <t>Magdalena Abenojar Ballesteros</t>
  </si>
  <si>
    <t>FELMA M. DEZA</t>
  </si>
  <si>
    <t>Harvy B. Calabio</t>
  </si>
  <si>
    <t>JOANA MANATLAO LIMOS, M.D</t>
  </si>
  <si>
    <t>DANTE M. PALCUTO</t>
  </si>
  <si>
    <t>Ma. Chona Roa Fabia</t>
  </si>
  <si>
    <t>Consuelo Javier Cruz</t>
  </si>
  <si>
    <t>Imelda Ulita Matias</t>
  </si>
  <si>
    <t>Roberto De Guzman Estrella</t>
  </si>
  <si>
    <t>LUEL JANE  G. SANTILLAN</t>
  </si>
  <si>
    <t>Mr. Clarence Bolante Bunan</t>
  </si>
  <si>
    <t>Mae Marie E Hernandez</t>
  </si>
  <si>
    <t>Susan Siacor Arsenio</t>
  </si>
  <si>
    <t>ROSA PASILIAO UNTALAN</t>
  </si>
  <si>
    <t>Maria Teresa Silva Balunsay</t>
  </si>
  <si>
    <t>Leonila G. Lapada</t>
  </si>
  <si>
    <t>Maria Juliana A. Toribio</t>
  </si>
  <si>
    <t>ENGR. JERICK D. ORLANES</t>
  </si>
  <si>
    <t>ELENITA REYES</t>
  </si>
  <si>
    <t>Betty Lou Gornez</t>
  </si>
  <si>
    <t>Enrico S Lazaro</t>
  </si>
  <si>
    <t>Stanley B Uriarte</t>
  </si>
  <si>
    <t>PRUDENCE ALENTON CATERIAL</t>
  </si>
  <si>
    <t>NOEL RYAN H. UY</t>
  </si>
  <si>
    <t>Sarah Katrina U. Clavero</t>
  </si>
  <si>
    <t>CAROLINA C. UMIPIG</t>
  </si>
  <si>
    <t>Joseph  Mangco  Soriano</t>
  </si>
  <si>
    <t>ROMEL RECTO PANSOY</t>
  </si>
  <si>
    <t>Mark Joseph Pitpit Dilan</t>
  </si>
  <si>
    <t>Jesus, Jr. Anselmo Almaden</t>
  </si>
  <si>
    <t>Enrique, Sr. Modesto Capilo</t>
  </si>
  <si>
    <t>Antonio Mendoza Bautista</t>
  </si>
  <si>
    <t>Isabel Grace Sosmeña Sambajon</t>
  </si>
  <si>
    <t>Marvin Morallos</t>
  </si>
  <si>
    <t>Miangelle A. Lacson</t>
  </si>
  <si>
    <t>Carmelita Calabia Argosino</t>
  </si>
  <si>
    <t>NIÑO BALISTOY SALVACION</t>
  </si>
  <si>
    <t>Cenon Diaz Albina</t>
  </si>
  <si>
    <t>Michelle Joy M. GOM-OS</t>
  </si>
  <si>
    <t>Ariel E Fangonilo</t>
  </si>
  <si>
    <t>Rogelio Loy Magdaug, Jr.</t>
  </si>
  <si>
    <t>CATHERINE  GUINTO  ANGELES</t>
  </si>
  <si>
    <t>Solomon  Polancos Conejos</t>
  </si>
  <si>
    <t>CHRISTINE CACDAC BAGACAY</t>
  </si>
  <si>
    <t>Rizza C. Dela Cruz</t>
  </si>
  <si>
    <t>Renato Indiongco Santos</t>
  </si>
  <si>
    <t>FRANCIS ELLORIMO</t>
  </si>
  <si>
    <t>Edwin Francisco Argonza</t>
  </si>
  <si>
    <t>Malvaro Gonzales</t>
  </si>
  <si>
    <t>Hamza M. Boloto</t>
  </si>
  <si>
    <t>Verisima Sarigumba Calipusan</t>
  </si>
  <si>
    <t>PAMELA AMOR ACTUB RAMOS</t>
  </si>
  <si>
    <t>May  Villanueva  Mendoza</t>
  </si>
  <si>
    <t>Renz Michael Pabrua Salaguban</t>
  </si>
  <si>
    <t>Federico  D.  Almirol</t>
  </si>
  <si>
    <t>Lorenzo Verzano</t>
  </si>
  <si>
    <t>Celso Retiro Esteban</t>
  </si>
  <si>
    <t>APRIL ANNE JAVIER VALENZUELA</t>
  </si>
  <si>
    <t>Henjie Albete Ramirez</t>
  </si>
  <si>
    <t>Ma. Charissa V. Legaspi</t>
  </si>
  <si>
    <t>Elena Belacaol</t>
  </si>
  <si>
    <t>JERAMIL U. AYOC</t>
  </si>
  <si>
    <t>Fidelino R Alegre</t>
  </si>
  <si>
    <t>Bryan Molina Mondejar</t>
  </si>
  <si>
    <t>HONEY MAE ALMAZAN MIRANDO</t>
  </si>
  <si>
    <t>Baby Jeany Abines Orendain</t>
  </si>
  <si>
    <t>Epifanio D. Villasorca</t>
  </si>
  <si>
    <t>Marichelle Ferrer</t>
  </si>
  <si>
    <t>Fernando Cabasing Doinog Jr.</t>
  </si>
  <si>
    <t>William Dizon Porcadilla</t>
  </si>
  <si>
    <t>Tolentino Almedilla  Bellezas</t>
  </si>
  <si>
    <t>RODNEY LABRADOR NABALONA</t>
  </si>
  <si>
    <t>MYRA MUÑOZ MEDIANA</t>
  </si>
  <si>
    <t>Ramil Villaruel</t>
  </si>
  <si>
    <t>MARIA SOL FABELLA CASUNCAD</t>
  </si>
  <si>
    <t>Nivea Kaye T. Reyes</t>
  </si>
  <si>
    <t>Juan Marco Palma Jr</t>
  </si>
  <si>
    <t>Mary Josephine Rullan Gacho</t>
  </si>
  <si>
    <t>Mavic Azuran</t>
  </si>
  <si>
    <t>JHOANNA RATIFICAR YANGCO</t>
  </si>
  <si>
    <t>Merlita L. Persia</t>
  </si>
  <si>
    <t>Dianne April S Pangan</t>
  </si>
  <si>
    <t>VANESSA JANE CEBALLOS LIM</t>
  </si>
  <si>
    <t>RUBY JEAN ESTRELLITA MARIÑO BIDAURE</t>
  </si>
  <si>
    <t>GERALD E FULAY</t>
  </si>
  <si>
    <t>ROSA DALAGUETE MANUEL</t>
  </si>
  <si>
    <t>Levy H. Lagutin Jr.</t>
  </si>
  <si>
    <t>Glenn Salac Sarador</t>
  </si>
  <si>
    <t>Ronnie L Gutierrez</t>
  </si>
  <si>
    <t>Joselia Sapul Garcia</t>
  </si>
  <si>
    <t>Alfonso R Zara III</t>
  </si>
  <si>
    <t>Luxmay P Aleria</t>
  </si>
  <si>
    <t>ANTONIO BERNARDO GALVEZ</t>
  </si>
  <si>
    <t>Fatima M. Ombawa</t>
  </si>
  <si>
    <t>Juliet Cabanlit Bagotchay</t>
  </si>
  <si>
    <t>Marlon Naoe Rimando</t>
  </si>
  <si>
    <t>GODWIN XAVIER F. NUÑEZ</t>
  </si>
  <si>
    <t>Cecilia Ilao Pureza</t>
  </si>
  <si>
    <t>Mae Lyn Garcia Altarejos</t>
  </si>
  <si>
    <t>Liza Garcia Abrasado</t>
  </si>
  <si>
    <t>Christine Manulat Malagapo</t>
  </si>
  <si>
    <t>JUDY MAE  GUINONTAO  ABUNDA</t>
  </si>
  <si>
    <t>BAC Secretariat II</t>
  </si>
  <si>
    <t>Renie R. Agbunag</t>
  </si>
  <si>
    <t>Zenaida Aborot Veniegas</t>
  </si>
  <si>
    <t>FEDERLY GARCIA FERRER</t>
  </si>
  <si>
    <t>Claire M Bacala</t>
  </si>
  <si>
    <t>Vincyl L. Solitario</t>
  </si>
  <si>
    <t>Edwin O Estorninos</t>
  </si>
  <si>
    <t>Jose Alvin Sumpay Mijares</t>
  </si>
  <si>
    <t>Suezanie Ofalla Isonza</t>
  </si>
  <si>
    <t>Kimberly Baring Alesna</t>
  </si>
  <si>
    <t>LEVY H. LAGUTIN, JR.</t>
  </si>
  <si>
    <t>Nino Marasigan Conde</t>
  </si>
  <si>
    <t>Andrew Lim Pagayatan</t>
  </si>
  <si>
    <t>EDMUND PAPEL SOMORAY</t>
  </si>
  <si>
    <t>Rico C. Baccay</t>
  </si>
  <si>
    <t>JOEY EVANGELIO CORIMAO</t>
  </si>
  <si>
    <t>Abdulfatah Hadjiraof Mala-amama</t>
  </si>
  <si>
    <t>Zeus Sumaylo Lumancas</t>
  </si>
  <si>
    <t>Wilna Obnimaga Redillas</t>
  </si>
  <si>
    <t>Noli T. Gandamon</t>
  </si>
  <si>
    <t>Harold Repollo Jabel</t>
  </si>
  <si>
    <t>Marlon Salutan Dubla</t>
  </si>
  <si>
    <t>Roberto Alngag Chulsi</t>
  </si>
  <si>
    <t>ronilo ligon chico</t>
  </si>
  <si>
    <t>Marion Acolentaba Balasa</t>
  </si>
  <si>
    <t>Brigeda J. Alama</t>
  </si>
  <si>
    <t>Jenny Lopez Castro</t>
  </si>
  <si>
    <t>EUGENIA L. SALTOC</t>
  </si>
  <si>
    <t>ARLENE TIBANG CUEVAS</t>
  </si>
  <si>
    <t>ANGEL ARMENTA</t>
  </si>
  <si>
    <t>JOSELYN D. DALISAY</t>
  </si>
  <si>
    <t>Jaime S Palmares</t>
  </si>
  <si>
    <t>Hermie A Villa Jr.</t>
  </si>
  <si>
    <t>Rebecca Cequiña Remulta</t>
  </si>
  <si>
    <t>Elena Nasiad Meralles</t>
  </si>
  <si>
    <t>Glyza  Ampo  Landar</t>
  </si>
  <si>
    <t>Fidencio Cañete Paranas Jr.</t>
  </si>
  <si>
    <t>James Escamillas Laredo</t>
  </si>
  <si>
    <t>Melecio Cervantes Ubilas Jr.</t>
  </si>
  <si>
    <t>FRANCES SHANELLE GENERATO SALINAS</t>
  </si>
  <si>
    <t>Sherwin  V.  Gelacio</t>
  </si>
  <si>
    <t>Enrico Magboo Dalangin</t>
  </si>
  <si>
    <t>Amelia Norada Villasanta</t>
  </si>
  <si>
    <t>jemelda v dianton</t>
  </si>
  <si>
    <t>JOEL B. IDIOSOLO</t>
  </si>
  <si>
    <t>Erlan T. Guevara</t>
  </si>
  <si>
    <t>Joan M. dela Cruz</t>
  </si>
  <si>
    <t>Neil Patrick Y. Cruz</t>
  </si>
  <si>
    <t>Noel C. Mangkikis</t>
  </si>
  <si>
    <t>ILLAN A. NAVAL</t>
  </si>
  <si>
    <t>Marjolyn Valera</t>
  </si>
  <si>
    <t>rey b catchonite</t>
  </si>
  <si>
    <t>Joeper Hamlag Mendoza</t>
  </si>
  <si>
    <t>Josephine  B. Sabando</t>
  </si>
  <si>
    <t>Sergio De Guzman Ramirez</t>
  </si>
  <si>
    <t>Jocelyn D Melandres</t>
  </si>
  <si>
    <t>WILSON HELOM INDING</t>
  </si>
  <si>
    <t>REENA MACAUBA JOVEN</t>
  </si>
  <si>
    <t>Evangeline Cantal Del Rosario</t>
  </si>
  <si>
    <t>JESUS S. BOJA</t>
  </si>
  <si>
    <t>Edward Pajarillo Ramos</t>
  </si>
  <si>
    <t>rhodora pelonia tan</t>
  </si>
  <si>
    <t>Leila A Carpizo</t>
  </si>
  <si>
    <t>Gladys Ramirez Montesa</t>
  </si>
  <si>
    <t>Renato Leones Diaz</t>
  </si>
  <si>
    <t>AUSTOLIA CUBIAN LAWAG</t>
  </si>
  <si>
    <t>CLARIZA PELINO COBARRUBIAS</t>
  </si>
  <si>
    <t>Marlone Templeton Buen</t>
  </si>
  <si>
    <t>SCHERJAN MOOSA C. IBRAHIM</t>
  </si>
  <si>
    <t>Patrick A. Panaligan</t>
  </si>
  <si>
    <t>Edlyn B Calaguan</t>
  </si>
  <si>
    <t>Charity A Ponteres</t>
  </si>
  <si>
    <t>Gil Banal Salen</t>
  </si>
  <si>
    <t>Marino Juera Malupa</t>
  </si>
  <si>
    <t>PEDRO E. DE GUZMAN</t>
  </si>
  <si>
    <t>Reynaldo C Sta. Maria</t>
  </si>
  <si>
    <t>Janine   Rabe  Sotelo</t>
  </si>
  <si>
    <t>CLARO SENTINA SERVENTO</t>
  </si>
  <si>
    <t>Jose Ramirez Hainto Jr.</t>
  </si>
  <si>
    <t>Emilia Sales Quilet</t>
  </si>
  <si>
    <t>DANIEL, JR. ALBERTO BAUTISTA</t>
  </si>
  <si>
    <t>Flora Soy-a Garcia</t>
  </si>
  <si>
    <t>Arturo Santos Francisco</t>
  </si>
  <si>
    <t>Danilo Armacion Laguitan</t>
  </si>
  <si>
    <t>IVY COSTALES VALENCIA</t>
  </si>
  <si>
    <t>David M Hernandez Jr.</t>
  </si>
  <si>
    <t>Ivy M. Rillera</t>
  </si>
  <si>
    <t>Gregorio Reyes Wapelle Jr</t>
  </si>
  <si>
    <t>ALEX A. MERLIN</t>
  </si>
  <si>
    <t>Christian Quitoriano Doria</t>
  </si>
  <si>
    <t>Imelou C. Asugui</t>
  </si>
  <si>
    <t>Jicylle Madrio Merin</t>
  </si>
  <si>
    <t>DENNIS BAYUWAN BAGYON</t>
  </si>
  <si>
    <t>JONATHAN JOSE CERENO CALDERON</t>
  </si>
  <si>
    <t>Shirley B. Zipagan</t>
  </si>
  <si>
    <t>Tirso Endaya</t>
  </si>
  <si>
    <t>Narciso Bagiwa Bagawi</t>
  </si>
  <si>
    <t>Stanley B. Uriarte</t>
  </si>
  <si>
    <t>JACQUELINE CANLAS TUAZON</t>
  </si>
  <si>
    <t>Freddie Uraga Villajuan</t>
  </si>
  <si>
    <t>Yolanda Cabana Estampa</t>
  </si>
  <si>
    <t>RANDY P. PALENCIA</t>
  </si>
  <si>
    <t>LEYTE PROVINCIAL BAC</t>
  </si>
  <si>
    <t>Robert A Santillano</t>
  </si>
  <si>
    <t>Roweena G. Basa</t>
  </si>
  <si>
    <t>Jetriel Louie Albay Fenol</t>
  </si>
  <si>
    <t>JULY REYES SUING</t>
  </si>
  <si>
    <t>Riza Rizala Ladon</t>
  </si>
  <si>
    <t>Herbert Bodoso</t>
  </si>
  <si>
    <t>Reynaldo R Dalogdog</t>
  </si>
  <si>
    <t>EDDIEMAR AGANON</t>
  </si>
  <si>
    <t>AISHA APIAG DAGADAS</t>
  </si>
  <si>
    <t>Marfel Nonato Casanova Solidum</t>
  </si>
  <si>
    <t>JESSIE B COROTAN</t>
  </si>
  <si>
    <t>Mars Z Julian</t>
  </si>
  <si>
    <t>Nemia Barradas Monzones</t>
  </si>
  <si>
    <t>EMELITO M YURO</t>
  </si>
  <si>
    <t>Barbara Baylosis Sinco</t>
  </si>
  <si>
    <t>ELISA VERGARA BORSIL</t>
  </si>
  <si>
    <t>Dolrech Macrohon Albano</t>
  </si>
  <si>
    <t>ROSLYN D RUIZ</t>
  </si>
  <si>
    <t>Mary Grace Buncaras</t>
  </si>
  <si>
    <t>EDELYN JIMENEZ IGLESIA</t>
  </si>
  <si>
    <t>Ma.Kriselda Madriaga Magallano</t>
  </si>
  <si>
    <t>Ireene Garcia Igot</t>
  </si>
  <si>
    <t>Alfredo P. Pedrola</t>
  </si>
  <si>
    <t>Sheila May Caceres Barilea</t>
  </si>
  <si>
    <t>Norman Jacob Gordonas</t>
  </si>
  <si>
    <t>Romeo Magallanes Taclindo</t>
  </si>
  <si>
    <t>ELVIRA VILLARIZ CAMACHO</t>
  </si>
  <si>
    <t>Edmer S. Polloso</t>
  </si>
  <si>
    <t>Ronald Nacario Villanueva</t>
  </si>
  <si>
    <t>Wilfredo G Ocampo</t>
  </si>
  <si>
    <t>Melvicson P. Maggay</t>
  </si>
  <si>
    <t>Sonny Boy Bautista Berbano</t>
  </si>
  <si>
    <t>charlemagne tupag noble</t>
  </si>
  <si>
    <t>MARIVIC CALABIO PRADO</t>
  </si>
  <si>
    <t>Leosald Briz</t>
  </si>
  <si>
    <t>Emily E. Garcia</t>
  </si>
  <si>
    <t>Imelda "Imee" B. Guanzon</t>
  </si>
  <si>
    <t>Petronilo Rosello Arandia</t>
  </si>
  <si>
    <t>Dennis G Varon</t>
  </si>
  <si>
    <t>LIZA SANGUENZA VILLAMOR</t>
  </si>
  <si>
    <t>LEONIDO PAL-ING CATIEL</t>
  </si>
  <si>
    <t>ALAN P. REMOT</t>
  </si>
  <si>
    <t>NANCY GRACE FLORES RAFOLS</t>
  </si>
  <si>
    <t>Carmen B. Cortes</t>
  </si>
  <si>
    <t>Corazon O. Julian</t>
  </si>
  <si>
    <t>Allen G Candaliza</t>
  </si>
  <si>
    <t>MARIAN JOY ABENDANIO CUNANAN</t>
  </si>
  <si>
    <t>OFELIA S. LEBARESOS</t>
  </si>
  <si>
    <t>MARVIN E. LUCENA</t>
  </si>
  <si>
    <t>JUNAR ESTA SIRIT</t>
  </si>
  <si>
    <t>Nymia T. Chavez</t>
  </si>
  <si>
    <t>WINNIE FREDO MONES SONGCUAN</t>
  </si>
  <si>
    <t>Christine Joy Benin Anonuevo</t>
  </si>
  <si>
    <t>Gilmore Ray Lopez Saniel</t>
  </si>
  <si>
    <t>Marilyn N. Ontolan</t>
  </si>
  <si>
    <t>ROY DOLINO BENDANILLO</t>
  </si>
  <si>
    <t>DON BATOON SMITH</t>
  </si>
  <si>
    <t>Marvin Balucan Balanay</t>
  </si>
  <si>
    <t>Kristina Omapas Racuya</t>
  </si>
  <si>
    <t>KASIM AJALAL HASANIN</t>
  </si>
  <si>
    <t>Elisheba Pocong Sabandal</t>
  </si>
  <si>
    <t>Ivy Joy L. Castro</t>
  </si>
  <si>
    <t>Almond Garalde Leaño</t>
  </si>
  <si>
    <t>MARVIN DELA CRUZ MARCIAL</t>
  </si>
  <si>
    <t>Lily Saltarin Hermogino</t>
  </si>
  <si>
    <t>Michael A. Piodena</t>
  </si>
  <si>
    <t>Jaime Dapula Omaña</t>
  </si>
  <si>
    <t>Edgar B. Pedronan</t>
  </si>
  <si>
    <t>Emelita I. Garcia</t>
  </si>
  <si>
    <t>Imelda Rogelio</t>
  </si>
  <si>
    <t>Joanna R. Hernandez</t>
  </si>
  <si>
    <t>CHARLIE  INALDO  VILLANUEVA</t>
  </si>
  <si>
    <t>Mayla Joi Villote Manigo</t>
  </si>
  <si>
    <t>Jorge Olaer Madrona</t>
  </si>
  <si>
    <t>Jayrick Ingles Convento</t>
  </si>
  <si>
    <t>Danilo, Jr. Gemarino Lumasag</t>
  </si>
  <si>
    <t>ATTY. MARIA JONIKA GONZAGA ROMANO</t>
  </si>
  <si>
    <t>Mayna N. Mayuga</t>
  </si>
  <si>
    <t>Leandro Antonio Bebita Capulso</t>
  </si>
  <si>
    <t>Danica Armela Lleno Tubig</t>
  </si>
  <si>
    <t>Marites Cabagyo Aldovino</t>
  </si>
  <si>
    <t>Grace Sumatra Orilla</t>
  </si>
  <si>
    <t>Arjay Louie Eu B. Cuanan</t>
  </si>
  <si>
    <t>Lalaine Ledesma Landicho</t>
  </si>
  <si>
    <t>SORAYDA RUBIO MAMA</t>
  </si>
  <si>
    <t>Eloisa G Manabat</t>
  </si>
  <si>
    <t>SHEILLO GEM  B.  CUTAMORA</t>
  </si>
  <si>
    <t>LINDALE PEPINO SAAVEDRA</t>
  </si>
  <si>
    <t>Elvina M Dotimas</t>
  </si>
  <si>
    <t>MA. VICTORIA ROMERO GABA</t>
  </si>
  <si>
    <t>FEDERICO J. GOTICO III</t>
  </si>
  <si>
    <t>RHODORA PAYAO MAGNO</t>
  </si>
  <si>
    <t>Alex P. Pana</t>
  </si>
  <si>
    <t>Samuel Cimeni Penales</t>
  </si>
  <si>
    <t>Fernando Rendon Uy</t>
  </si>
  <si>
    <t>Manolito Monterde Corpuz</t>
  </si>
  <si>
    <t>Melissa Tabal Menisterio</t>
  </si>
  <si>
    <t>FELIX P ZIPAGAN</t>
  </si>
  <si>
    <t>VENN WEIR SIPALAY AÑONUEVO</t>
  </si>
  <si>
    <t>Blesilda Virtucio Erejer</t>
  </si>
  <si>
    <t>Jose Mario C Viernes</t>
  </si>
  <si>
    <t>Eugene Jr. I. Macahis</t>
  </si>
  <si>
    <t>Melbur N. Melgazo</t>
  </si>
  <si>
    <t>Jessie Canama Paquibo</t>
  </si>
  <si>
    <t>MOHAMMAD JEBRAN MONTEROSO ESMAIL</t>
  </si>
  <si>
    <t>Melicita T Capulong</t>
  </si>
  <si>
    <t>Merrynette Atanante Abella</t>
  </si>
  <si>
    <t>MA. GINA LABASTIDA LESACA</t>
  </si>
  <si>
    <t>Servando Lonzon Amparo Jr.</t>
  </si>
  <si>
    <t>Leopoldo  C Sanchez Jr.</t>
  </si>
  <si>
    <t>Arnold Dumaplin Faelnar</t>
  </si>
  <si>
    <t>Christy Bruselas  Lanojan</t>
  </si>
  <si>
    <t>Joshua Roco Bello</t>
  </si>
  <si>
    <t>DIOSDADO PASCUAL</t>
  </si>
  <si>
    <t>Lorenzo Pacia Mateo</t>
  </si>
  <si>
    <t>Eugenio Aguilar Mayormita</t>
  </si>
  <si>
    <t>Percival Ricafrente Taniegra</t>
  </si>
  <si>
    <t>Julius Luis Juanito</t>
  </si>
  <si>
    <t>MARIA CRISTIE VARGAS BALMADRID</t>
  </si>
  <si>
    <t>Don-Don Macalalad</t>
  </si>
  <si>
    <t>Edgardo Pacay</t>
  </si>
  <si>
    <t>Karen Lisette Trinidad Molas</t>
  </si>
  <si>
    <t>Carlo Carreon Fabia</t>
  </si>
  <si>
    <t>Arnel Tumbagahan Casimero</t>
  </si>
  <si>
    <t>Helen T Inutan</t>
  </si>
  <si>
    <t>DANILO B. MANUEL</t>
  </si>
  <si>
    <t>Felizardo M. Bangan</t>
  </si>
  <si>
    <t>RUBIE TAUTUAN QUIJANO</t>
  </si>
  <si>
    <t>Rowen Asinas</t>
  </si>
  <si>
    <t>Marilyn F. Chavez</t>
  </si>
  <si>
    <t>Vivian Somoza</t>
  </si>
  <si>
    <t>Victor Alberca Asentista</t>
  </si>
  <si>
    <t>YUSOP ARBISON WEE</t>
  </si>
  <si>
    <t>JOEL DALMACIA SUMAWANG</t>
  </si>
  <si>
    <t>Kristel Capundan Rosello</t>
  </si>
  <si>
    <t>Melotina P. Cadiz</t>
  </si>
  <si>
    <t>Gertrude T. Daguio</t>
  </si>
  <si>
    <t>Lerma I. Matildo</t>
  </si>
  <si>
    <t>Ma. Rita Fallorina Ongbit</t>
  </si>
  <si>
    <t>Jorge A. Albinda</t>
  </si>
  <si>
    <t>ROGELIO A. SON Sr.</t>
  </si>
  <si>
    <t>Rosemarie P. Palma</t>
  </si>
  <si>
    <t>EDNA QUINIO</t>
  </si>
  <si>
    <t>Noel I Yatco</t>
  </si>
  <si>
    <t>Reynaldo Carbungco Esteves</t>
  </si>
  <si>
    <t>Imelda Sunico Alvarez</t>
  </si>
  <si>
    <t>Gerry G Jucar</t>
  </si>
  <si>
    <t>Joel P Rosario</t>
  </si>
  <si>
    <t>Charlton  Hocamis  Teo</t>
  </si>
  <si>
    <t>Rene Mantiquilla FORMACION</t>
  </si>
  <si>
    <t>Antonio Lucero Cañada</t>
  </si>
  <si>
    <t>Rowena Dollente Dongsao</t>
  </si>
  <si>
    <t>lea nugao de torres</t>
  </si>
  <si>
    <t>Arsenia Legaspi Bayawa</t>
  </si>
  <si>
    <t>Grace P Hainto</t>
  </si>
  <si>
    <t>Jesse II R Initan</t>
  </si>
  <si>
    <t>Rowena R. Roseos</t>
  </si>
  <si>
    <t>Tito Lolo Jusay</t>
  </si>
  <si>
    <t>Jose Galario Fernando</t>
  </si>
  <si>
    <t>Joseph Roy Quezon Suhayon</t>
  </si>
  <si>
    <t>JOSE PARALLAG TATTAO</t>
  </si>
  <si>
    <t>Rotchel E. Bicoy</t>
  </si>
  <si>
    <t>RUEL B. CUBERO</t>
  </si>
  <si>
    <t>LEO GAMMAD LIGGAYU</t>
  </si>
  <si>
    <t>MANUEL GACUTAN</t>
  </si>
  <si>
    <t>LOUISE GWEN ADVINCULA TABORETE</t>
  </si>
  <si>
    <t>NORBEL SOBRADO SAA</t>
  </si>
  <si>
    <t>DANILO T VILLANUEVA</t>
  </si>
  <si>
    <t>CAMALIGAN BARANGAYS</t>
  </si>
  <si>
    <t>Jocelyn B. Manait</t>
  </si>
  <si>
    <t>Mechelle Ejandra</t>
  </si>
  <si>
    <t>Dahlia Amante Paragas</t>
  </si>
  <si>
    <t>Gladys Jean Dasilao Quijada</t>
  </si>
  <si>
    <t>Naomi Asendiente Bajao</t>
  </si>
  <si>
    <t>JESSICA ACOLENTAVA OTIC</t>
  </si>
  <si>
    <t>Dexter Risma Sarcon</t>
  </si>
  <si>
    <t>MARIO G. GALIGAO</t>
  </si>
  <si>
    <t>Charity Belacaol Evangelista</t>
  </si>
  <si>
    <t>CHARYMELLE O FORONDA</t>
  </si>
  <si>
    <t>Lucil I Montermoso</t>
  </si>
  <si>
    <t>Ruth Embate Agustin</t>
  </si>
  <si>
    <t>FOR. ROMERO F NAVAJA, MGA, REB.</t>
  </si>
  <si>
    <t>Florante O. Enriquez</t>
  </si>
  <si>
    <t>Abdullah M. Dipatuan</t>
  </si>
  <si>
    <t>Julius Gali Estacio</t>
  </si>
  <si>
    <t>Cecilia  Pelare  Osmena</t>
  </si>
  <si>
    <t>Lynden Alipen Aracyang</t>
  </si>
  <si>
    <t>Dennis H. Dino</t>
  </si>
  <si>
    <t>Elma Seraphelle Magdaug Bulagao</t>
  </si>
  <si>
    <t>Salome D. Diel</t>
  </si>
  <si>
    <t>Datuali Talembo</t>
  </si>
  <si>
    <t>Ely S Ciasico</t>
  </si>
  <si>
    <t>Monica A. Tuguinay</t>
  </si>
  <si>
    <t>Xavier Bugaoan Viloria</t>
  </si>
  <si>
    <t>Haze Berlene Portugal Puno</t>
  </si>
  <si>
    <t>Leo F. Ferraris</t>
  </si>
  <si>
    <t>Ariel C. Hiquiana</t>
  </si>
  <si>
    <t>JOSE TEPPANG GALACINAO</t>
  </si>
  <si>
    <t>Margarita Alvaro Chico</t>
  </si>
  <si>
    <t>PABLO PAMINTUAN BASCO</t>
  </si>
  <si>
    <t>NORMA  TONGUIA  SEPRIA</t>
  </si>
  <si>
    <t>Memory Calima Leonzon</t>
  </si>
  <si>
    <t>MARIA LOURDES PEREA TIANGCO</t>
  </si>
  <si>
    <t>Caren N. Songcuya</t>
  </si>
  <si>
    <t>RISAMAE PINCAS TAPAY</t>
  </si>
  <si>
    <t>Rogel M De la Cuesta</t>
  </si>
  <si>
    <t>Julian Landicho</t>
  </si>
  <si>
    <t>John Louie G. Rebollos</t>
  </si>
  <si>
    <t>Donato Panaligan</t>
  </si>
  <si>
    <t>GINA D. ABENIO</t>
  </si>
  <si>
    <t>Ramon Gamboa Burgos</t>
  </si>
  <si>
    <t>Jose Lorenzo C. Cobarrubias</t>
  </si>
  <si>
    <t>INOCENCIA AREVALO DELES</t>
  </si>
  <si>
    <t>Apollo Gamboa Gariando</t>
  </si>
  <si>
    <t>EUGENE ZAMUDIO PIOQUINTO</t>
  </si>
  <si>
    <t>NATHANIEL B. GERTOS</t>
  </si>
  <si>
    <t>ELVIRA GERVACIO MALIMATA</t>
  </si>
  <si>
    <t>Vivian Macaraig Santos</t>
  </si>
  <si>
    <t>JANE KULPO LIKIGAN</t>
  </si>
  <si>
    <t>Queenzel Dela Cruz Obregon</t>
  </si>
  <si>
    <t>Roseanne Venessa J Ratunil</t>
  </si>
  <si>
    <t>Peter  S.  Sobrevega</t>
  </si>
  <si>
    <t>Gemema Paclibar Robles</t>
  </si>
  <si>
    <t>Julian Orcino Castro</t>
  </si>
  <si>
    <t>LEONARDO CORIDO</t>
  </si>
  <si>
    <t>LINA COLMINAS ZARCO</t>
  </si>
  <si>
    <t>Marivic  Niere  Villamero</t>
  </si>
  <si>
    <t>Wee Villaver</t>
  </si>
  <si>
    <t>Cerespink Alcantara Aguila</t>
  </si>
  <si>
    <t>WALTER L. RUIZO</t>
  </si>
  <si>
    <t>Faustina T Guzman</t>
  </si>
  <si>
    <t>Julito Monteclaro Maglacas</t>
  </si>
  <si>
    <t>Joan Carillo Adolfo</t>
  </si>
  <si>
    <t>Vivian M. Cuizon</t>
  </si>
  <si>
    <t>Herbie B De Lemios</t>
  </si>
  <si>
    <t>Mary Grace B. Dulnuan</t>
  </si>
  <si>
    <t>Cynthia Urubio Lozano</t>
  </si>
  <si>
    <t>ARLAN CALUMA MAANDIG</t>
  </si>
  <si>
    <t>Emmanuel D Salomes</t>
  </si>
  <si>
    <t>Luzviminda D Jorque</t>
  </si>
  <si>
    <t>Judy Caliguiran Bautista</t>
  </si>
  <si>
    <t>Jovina Corrales Orias</t>
  </si>
  <si>
    <t>Rainie John B. Tubigan</t>
  </si>
  <si>
    <t>EVELYN ANDRES GAPERO</t>
  </si>
  <si>
    <t>MARTINA B. ROSALES</t>
  </si>
  <si>
    <t>PEDERITO BERSABE GUIANAN</t>
  </si>
  <si>
    <t>EDWARD ALIGUYON CARIÑO</t>
  </si>
  <si>
    <t>LORNA A BUGAIS</t>
  </si>
  <si>
    <t>Rosmendo Jr C.  Bongocan</t>
  </si>
  <si>
    <t>Victor O Nuico</t>
  </si>
  <si>
    <t>Patricio Pilvera Reponte, Jr.</t>
  </si>
  <si>
    <t>Norbert C Sotoya II</t>
  </si>
  <si>
    <t>JOSELITO T ARAO</t>
  </si>
  <si>
    <t>Nelia B. Mejia</t>
  </si>
  <si>
    <t>cheryl pacit namo</t>
  </si>
  <si>
    <t>Anabelle T. Abana</t>
  </si>
  <si>
    <t>GINA R ASULA</t>
  </si>
  <si>
    <t>RAFAEL CAÑETE JR</t>
  </si>
  <si>
    <t>Wilfredo U. Salvador</t>
  </si>
  <si>
    <t>Al Rasheed Olivo Sapto</t>
  </si>
  <si>
    <t>Venus Cocson Flojo</t>
  </si>
  <si>
    <t>Sandra Caturan Dagani</t>
  </si>
  <si>
    <t>ADELAIDA M. DELA ROSA</t>
  </si>
  <si>
    <t>FELICIANO L. AGSAOAY JR.</t>
  </si>
  <si>
    <t>ERNESTO AQUINO MANEGDEG</t>
  </si>
  <si>
    <t>SALVACION LORA ABIAS DELEÑA</t>
  </si>
  <si>
    <t>DANILO  CAIPAN DUPENDE</t>
  </si>
  <si>
    <t>Roselle  P. Ponte</t>
  </si>
  <si>
    <t>Roweiji F. Bautista</t>
  </si>
  <si>
    <t>Alexander M Agad</t>
  </si>
  <si>
    <t>Freddie F Oligo</t>
  </si>
  <si>
    <t>Levi G. Fortuna</t>
  </si>
  <si>
    <t>Carmelita V. Correos</t>
  </si>
  <si>
    <t>Alan Beltran Lejarde</t>
  </si>
  <si>
    <t>Felipe P Ogaco</t>
  </si>
  <si>
    <t>Dante M Obillo</t>
  </si>
  <si>
    <t>Edgar Ramirez Bompat</t>
  </si>
  <si>
    <t>JOHN HORCASITAS GAMAD</t>
  </si>
  <si>
    <t>SHERLITA ARIÑO PALMA</t>
  </si>
  <si>
    <t>Vergie Ramos Vergara</t>
  </si>
  <si>
    <t>Rodrigo O Paluyo, Jr</t>
  </si>
  <si>
    <t>VIOLA  P.  MONTILLA</t>
  </si>
  <si>
    <t>SALVADOR P ACEBUCHE</t>
  </si>
  <si>
    <t>Rhodora Francisco Tradio</t>
  </si>
  <si>
    <t>Atty. Aime R. Rodaje</t>
  </si>
  <si>
    <t>Evangeline C Bongcac</t>
  </si>
  <si>
    <t>WENDA PEDEROSO</t>
  </si>
  <si>
    <t>Noel Bigayan</t>
  </si>
  <si>
    <t>Cheri May Nazareno Tila</t>
  </si>
  <si>
    <t>Alma de las alas Lafuente</t>
  </si>
  <si>
    <t>Romeo Payumo</t>
  </si>
  <si>
    <t>JOEMAR ARANDELA NAIFE</t>
  </si>
  <si>
    <t>PEDRITO BALANO TOLIBAS</t>
  </si>
  <si>
    <t>emiliano jimenez</t>
  </si>
  <si>
    <t>Sherra Gutierrez Espina</t>
  </si>
  <si>
    <t>Ronamel Limjuco</t>
  </si>
  <si>
    <t>ANABELLE CELESTE WANIA</t>
  </si>
  <si>
    <t>Jeffreylhada Muallil Noor</t>
  </si>
  <si>
    <t>Jennifer Baguio Ganancial</t>
  </si>
  <si>
    <t>James Beltran</t>
  </si>
  <si>
    <t>Vizenn Tumasis Tomesa</t>
  </si>
  <si>
    <t>Joey Vincent P. Rabanal</t>
  </si>
  <si>
    <t>Rosa Katherine J. Angeles</t>
  </si>
  <si>
    <t>cyril villareal saragosala</t>
  </si>
  <si>
    <t>EDGAR  B. CAÑADA</t>
  </si>
  <si>
    <t>Jed F. Fajarit</t>
  </si>
  <si>
    <t>Raphael  V  Siojo</t>
  </si>
  <si>
    <t>Carmen Formaran Valdoria</t>
  </si>
  <si>
    <t>Remedios Dela Luz</t>
  </si>
  <si>
    <t>Samsudin Salik</t>
  </si>
  <si>
    <t>Lorelie Geronimo Pacquiao</t>
  </si>
  <si>
    <t>Donald Glenn M Lanzado</t>
  </si>
  <si>
    <t>RICARDO CERIALES PATULA</t>
  </si>
  <si>
    <t>KEN EMERY B. MARTINEZ</t>
  </si>
  <si>
    <t>Allan G. Pacheco</t>
  </si>
  <si>
    <t>Rose C Aliño</t>
  </si>
  <si>
    <t>LORNA PALMA DIAZ</t>
  </si>
  <si>
    <t>FELY CACALDO VILLO</t>
  </si>
  <si>
    <t>MELINDA VERDADERO CLARO</t>
  </si>
  <si>
    <t>Nila A Tiago</t>
  </si>
  <si>
    <t>Ernesto Pahayac Salinasal</t>
  </si>
  <si>
    <t>JUPITER  D.  JORGIO</t>
  </si>
  <si>
    <t>Helen  A.  Cleofas</t>
  </si>
  <si>
    <t>Arlene Radam Ureta</t>
  </si>
  <si>
    <t>RODELIO ALDAY BERNARDO</t>
  </si>
  <si>
    <t>Leizel  O.  Hernando</t>
  </si>
  <si>
    <t>Rosana Tee Rogando</t>
  </si>
  <si>
    <t>Evangeline L Sarlon</t>
  </si>
  <si>
    <t>Antonio T Chan</t>
  </si>
  <si>
    <t>Ferdinand B Caberoy</t>
  </si>
  <si>
    <t>Vivencia Lelis</t>
  </si>
  <si>
    <t>Ronie S. Dela Calzada</t>
  </si>
  <si>
    <t>Edwin Sapa Jomao-as</t>
  </si>
  <si>
    <t>Rodolfo Obligacion Estrella, Jr.</t>
  </si>
  <si>
    <t>Igmedio Santiago Casticon, CESE</t>
  </si>
  <si>
    <t>Danilo B. Solis</t>
  </si>
  <si>
    <t>Nenita Crisostomo Flores</t>
  </si>
  <si>
    <t>Edison M. Rugayan</t>
  </si>
  <si>
    <t>ALEX M. ALANO</t>
  </si>
  <si>
    <t>Mary Noreen A Antonio</t>
  </si>
  <si>
    <t>Mario Malelang Llanes</t>
  </si>
  <si>
    <t>Liza Ebora Roxas</t>
  </si>
  <si>
    <t>Franz Edjelo G. Adaro</t>
  </si>
  <si>
    <t>Christopher Mabulay Rizo</t>
  </si>
  <si>
    <t>GENELITA BOCALIG</t>
  </si>
  <si>
    <t>Nelson Cruz Dela Cruz</t>
  </si>
  <si>
    <t>Erwin  V  Pamintuan</t>
  </si>
  <si>
    <t>ELVIS R. CUIZON</t>
  </si>
  <si>
    <t>Angelu  Ternida  Literal</t>
  </si>
  <si>
    <t>WILFREDO DUQUE TORRADO</t>
  </si>
  <si>
    <t>Jocelyn C Fantional</t>
  </si>
  <si>
    <t>CALIL A BANTUAS</t>
  </si>
  <si>
    <t>Germa  Amolat  Golosino</t>
  </si>
  <si>
    <t>NOEL C. MANGKIKIS</t>
  </si>
  <si>
    <t>Carolina Castillo Moraleda</t>
  </si>
  <si>
    <t>Yondre Jaen Yonder</t>
  </si>
  <si>
    <t>Hilario Yoshy Casem</t>
  </si>
  <si>
    <t>Erlindo Jr. Cabug</t>
  </si>
  <si>
    <t>Engr. Rodolfo Santos Nidoy, Jr.</t>
  </si>
  <si>
    <t>Celestino Garcia Mangulabnan</t>
  </si>
  <si>
    <t>Lenyln M. Pagay</t>
  </si>
  <si>
    <t>Jenilyn P. San Luis</t>
  </si>
  <si>
    <t>Jacquiline Lanutan Tagaca</t>
  </si>
  <si>
    <t>CIRILA BAGUIO ARRIESGADO</t>
  </si>
  <si>
    <t>Lauri Rose Salazar Coquia</t>
  </si>
  <si>
    <t>SOTERO JR. FAVILA LOMIGO</t>
  </si>
  <si>
    <t>MACRINA A DECANO</t>
  </si>
  <si>
    <t>IRISH LUMANLANG INAANURAN</t>
  </si>
  <si>
    <t>Canuto, Jr Adalin Paluga</t>
  </si>
  <si>
    <t>Jovit  Villareal</t>
  </si>
  <si>
    <t>kethlyn franco villar</t>
  </si>
  <si>
    <t>Helen B. Olaer</t>
  </si>
  <si>
    <t>JEMSEL  Sr. DETALO VALDEZ</t>
  </si>
  <si>
    <t>Arturo Bordeos Timog</t>
  </si>
  <si>
    <t>Ana Lorraine Endaya Ellarina</t>
  </si>
  <si>
    <t>Donato B. Ramirez</t>
  </si>
  <si>
    <t>Jenifer C. Alcain</t>
  </si>
  <si>
    <t>REA AXALAN RAMOS</t>
  </si>
  <si>
    <t>Victorio J Jimenez</t>
  </si>
  <si>
    <t>Ma. Elina Romas Lipang</t>
  </si>
  <si>
    <t>Jossy  B.  Jasmin</t>
  </si>
  <si>
    <t>Edgardo G Pamute</t>
  </si>
  <si>
    <t>Orcelita P Maldora</t>
  </si>
  <si>
    <t>Gerard  Masalig Morales</t>
  </si>
  <si>
    <t>Adelaida Tosing Diega</t>
  </si>
  <si>
    <t>Renalin Serame</t>
  </si>
  <si>
    <t>KARREN GUERRA MAGTIBAY</t>
  </si>
  <si>
    <t>Nelson C Alcantara</t>
  </si>
  <si>
    <t>Arnel S Rosas</t>
  </si>
  <si>
    <t>Aracel Santos</t>
  </si>
  <si>
    <t>Vivian Ploteña</t>
  </si>
  <si>
    <t>Gerardo Jr. V Viloria</t>
  </si>
  <si>
    <t>Josephine Presno Gangan</t>
  </si>
  <si>
    <t>ma. rhodora engaran calica</t>
  </si>
  <si>
    <t>BOYET BANDOJA ALUAN</t>
  </si>
  <si>
    <t>Ruby L. Nicolas</t>
  </si>
  <si>
    <t>Josephine P. Sarmiento</t>
  </si>
  <si>
    <t>CHARITO BAIN MANTALABA</t>
  </si>
  <si>
    <t>DOLMAR Q. ACERO</t>
  </si>
  <si>
    <t>SOFRONIO B. DACILLO, JR.</t>
  </si>
  <si>
    <t>CLEANTH REYES GOROSPE</t>
  </si>
  <si>
    <t>Erasto A Llagas</t>
  </si>
  <si>
    <t>CECILIA NAVARRO CALDERON</t>
  </si>
  <si>
    <t>Mark Paul Dayaguit Risos</t>
  </si>
  <si>
    <t>Maria Victoria S Aquino</t>
  </si>
  <si>
    <t>Romy Alusen Bucalen</t>
  </si>
  <si>
    <t>Princess dela Cruz</t>
  </si>
  <si>
    <t>Luis, Jr. Artieda Albacete</t>
  </si>
  <si>
    <t>Jomar Beltran Torres</t>
  </si>
  <si>
    <t>Merly Jumao-as Omambac</t>
  </si>
  <si>
    <t>Yolanda T Egam</t>
  </si>
  <si>
    <t>BEDA LEGITA CANAMAQUE</t>
  </si>
  <si>
    <t>Leon P Atienza</t>
  </si>
  <si>
    <t>ROSALINO S. VALENCIA</t>
  </si>
  <si>
    <t>ALIMUDIN S BITOL</t>
  </si>
  <si>
    <t>Imelda Benigno Agbayani</t>
  </si>
  <si>
    <t>Lani Maog Tumbaga</t>
  </si>
  <si>
    <t>Gracita Roma Baguion</t>
  </si>
  <si>
    <t>guillermo supilanas ardillo</t>
  </si>
  <si>
    <t>CHRISTOPER G BLANCO</t>
  </si>
  <si>
    <t>JHON ALBERT I. NUÑEZ</t>
  </si>
  <si>
    <t>Candelaria Ubana Estremos</t>
  </si>
  <si>
    <t>Joselito  Labadeja  Abalos</t>
  </si>
  <si>
    <t>Ceferino C. Oryan</t>
  </si>
  <si>
    <t>DOWIE JOY RODIS</t>
  </si>
  <si>
    <t>ARNEL M MALLARI</t>
  </si>
  <si>
    <t>Estanislao V. Cayanan</t>
  </si>
  <si>
    <t>AMADOR III CUPIDO PORTAJADA</t>
  </si>
  <si>
    <t>Ricardo M Tupaz</t>
  </si>
  <si>
    <t>Violy Jane Jalandoni Flores</t>
  </si>
  <si>
    <t>Emar Ibe Manlapaz</t>
  </si>
  <si>
    <t>Elmer Gumpad Manzano</t>
  </si>
  <si>
    <t>Ferdinand G. Razonable</t>
  </si>
  <si>
    <t>SEBASTIAN AMODIA SALCEDO</t>
  </si>
  <si>
    <t>Marilyn Ulep Tolentino</t>
  </si>
  <si>
    <t>Amy Dulig Dacumos</t>
  </si>
  <si>
    <t>Christopher Salamanca Cristobal</t>
  </si>
  <si>
    <t>Emmalyn Telamo</t>
  </si>
  <si>
    <t>Christopher Bañez Asuncion</t>
  </si>
  <si>
    <t>Shoraida Titiban Renabor</t>
  </si>
  <si>
    <t>Ramil L. Caseda</t>
  </si>
  <si>
    <t>ANDREA CRISTINE PERFIÑAN</t>
  </si>
  <si>
    <t>FLERINE JAY RELATIVO SANDOT</t>
  </si>
  <si>
    <t>Dina V. Panganiban</t>
  </si>
  <si>
    <t>Helen Baldos Abarico</t>
  </si>
  <si>
    <t>ROGELIO PURGATORIO DAÑO</t>
  </si>
  <si>
    <t>Mercedita Cabasa Natiola</t>
  </si>
  <si>
    <t>Ma. Soledad F Baquiran</t>
  </si>
  <si>
    <t>Arlene Salongcay</t>
  </si>
  <si>
    <t>Nino Ray Llanos Elemios</t>
  </si>
  <si>
    <t>ANNA MARIE L. MUNDIN</t>
  </si>
  <si>
    <t>Alicia Bravo</t>
  </si>
  <si>
    <t>Niño Azague Aballa</t>
  </si>
  <si>
    <t>MARISSA MANIQUIZ SOLOMON</t>
  </si>
  <si>
    <t>Maximo H Salvatierra</t>
  </si>
  <si>
    <t>Valerio Dalmacio Baban</t>
  </si>
  <si>
    <t>Morena Corcuera Mendoza</t>
  </si>
  <si>
    <t>DANILO B DALISAY</t>
  </si>
  <si>
    <t>ANTONIETA  T.  PIE</t>
  </si>
  <si>
    <t>Marfen Guinmapang Corvera</t>
  </si>
  <si>
    <t>Jocelyn Castro Pajarillaga</t>
  </si>
  <si>
    <t>Marylee Enriquez De Castro</t>
  </si>
  <si>
    <t>MARIA SALOME CHAN JUMANG-IT</t>
  </si>
  <si>
    <t>Oliver Nobles Casincad</t>
  </si>
  <si>
    <t>Antonio Ma. Benito Tiano Calma</t>
  </si>
  <si>
    <t>MARY ANN D. VALENZONA</t>
  </si>
  <si>
    <t>TEOFILO I CALUYA</t>
  </si>
  <si>
    <t>Roland S Antonio</t>
  </si>
  <si>
    <t>AGOSTO BELINO BAOBAOEN</t>
  </si>
  <si>
    <t>CYRILL BULALACAO MOLINA</t>
  </si>
  <si>
    <t>Ryan Delos Reyes</t>
  </si>
  <si>
    <t>ERWIN Z. LONIZA</t>
  </si>
  <si>
    <t>Derick D. Arago</t>
  </si>
  <si>
    <t>Marito M Sinadjan</t>
  </si>
  <si>
    <t>DENIS BALAYO INGARAN</t>
  </si>
  <si>
    <t>Glecerio  Yamido  Lara</t>
  </si>
  <si>
    <t>RUBEN F MABALOT</t>
  </si>
  <si>
    <t>Felicilda F Sano</t>
  </si>
  <si>
    <t>Marites Cueto Borbon</t>
  </si>
  <si>
    <t>GERALDINE O AGRAVANTE</t>
  </si>
  <si>
    <t>Susan Balasta Basbas</t>
  </si>
  <si>
    <t>Isidra E. Tumale</t>
  </si>
  <si>
    <t>Riavida Macalolot Soriaga</t>
  </si>
  <si>
    <t>Annette Francisco Virtudazo</t>
  </si>
  <si>
    <t>Nenita Roña Andres</t>
  </si>
  <si>
    <t>GIEBERT GORDUIZ OLAIS</t>
  </si>
  <si>
    <t>Joel D. Friginal</t>
  </si>
  <si>
    <t>Karen Rose Uy Flores</t>
  </si>
  <si>
    <t>ESTRELLA T. SAPURAS</t>
  </si>
  <si>
    <t>Hermenigilda A. Aposaga</t>
  </si>
  <si>
    <t>EDNA CAJILIG</t>
  </si>
  <si>
    <t>PERPETUA MACABABBAD ONATE</t>
  </si>
  <si>
    <t>Arvin S De Guzman</t>
  </si>
  <si>
    <t>NESTOR DAING QUIROG</t>
  </si>
  <si>
    <t>Vicente Garzon Sabino</t>
  </si>
  <si>
    <t>Gilbert C. Colegado</t>
  </si>
  <si>
    <t>MICHAEL D. MUNAR</t>
  </si>
  <si>
    <t>Edward Rumohr</t>
  </si>
  <si>
    <t>Resette Hernandez Razon</t>
  </si>
  <si>
    <t>Gilbert Paul F Platon</t>
  </si>
  <si>
    <t>Joel B. Elloso</t>
  </si>
  <si>
    <t>JOMAR JACOBO</t>
  </si>
  <si>
    <t>Monera Ferrer Pramis</t>
  </si>
  <si>
    <t>Joemel Bolongaita Recamara</t>
  </si>
  <si>
    <t>ERNEL PRAVA MAYONGUE</t>
  </si>
  <si>
    <t>Allan Timagen Balusdan</t>
  </si>
  <si>
    <t>Marivic Yorong Morales</t>
  </si>
  <si>
    <t>Nena E Gamay</t>
  </si>
  <si>
    <t>Jorge C Catilo</t>
  </si>
  <si>
    <t>ROWENA R. SARMIENTO</t>
  </si>
  <si>
    <t>Joel  Ecat  Malatag</t>
  </si>
  <si>
    <t>BIENVENIDO ALMAZAN MARTINEZ</t>
  </si>
  <si>
    <t>Erwin Fronda Torida</t>
  </si>
  <si>
    <t>Juliet Corregidor Custodio</t>
  </si>
  <si>
    <t>Maria Lourdes Atanacio Angeles</t>
  </si>
  <si>
    <t>Leo Marcial Hernandez</t>
  </si>
  <si>
    <t>ANSARY BARODI SANGCOPAN</t>
  </si>
  <si>
    <t>ALVIN ANTHONY REQUINA ABUCEJO</t>
  </si>
  <si>
    <t>Bevs A Santino</t>
  </si>
  <si>
    <t>Edgardo S. Santiago</t>
  </si>
  <si>
    <t>Mario N Sibulo</t>
  </si>
  <si>
    <t>Richard R Villaruel</t>
  </si>
  <si>
    <t>Gloria S Dungo</t>
  </si>
  <si>
    <t>Mary Joy P Lachica</t>
  </si>
  <si>
    <t>Eunice Pilapil Narbonita</t>
  </si>
  <si>
    <t>Domingo Dela Cruz Parong</t>
  </si>
  <si>
    <t>JUBERT  D.  TUTOR</t>
  </si>
  <si>
    <t>Arturieto P Ramigoso</t>
  </si>
  <si>
    <t>Leonora Lumayag Ofredo</t>
  </si>
  <si>
    <t>Ma. Wiena Lofranco Saguid</t>
  </si>
  <si>
    <t>Mary Grace Siducon Taugan</t>
  </si>
  <si>
    <t>Helen Capuyan Suico</t>
  </si>
  <si>
    <t>Roderick Limueco</t>
  </si>
  <si>
    <t>Francorival Castanares Lorizo</t>
  </si>
  <si>
    <t>Elaine Bumanghat Immotna</t>
  </si>
  <si>
    <t>Lea Echavez Sabaduquia</t>
  </si>
  <si>
    <t>JUAN AUSTRIA</t>
  </si>
  <si>
    <t>Amelita Miras Mercado</t>
  </si>
  <si>
    <t>Joel Aculan Zartiga</t>
  </si>
  <si>
    <t>April Joy R Tambis</t>
  </si>
  <si>
    <t>Shirley Cua San Luis</t>
  </si>
  <si>
    <t>Delfin Delinea</t>
  </si>
  <si>
    <t>ARNULFO CALSADA</t>
  </si>
  <si>
    <t>Manulito S Rodriguez</t>
  </si>
  <si>
    <t>Kid Ernest Jones Rebuyon</t>
  </si>
  <si>
    <t>Ma. Isabel N. Argueza</t>
  </si>
  <si>
    <t>Arjean Villacorta Jumamoy</t>
  </si>
  <si>
    <t>Melinda Tariman Brutas</t>
  </si>
  <si>
    <t>Sheree Graycochea Carino</t>
  </si>
  <si>
    <t>Glace L Osoteo</t>
  </si>
  <si>
    <t>TERESITO LOFRANCO APARICI</t>
  </si>
  <si>
    <t>Atty. Cipriano U. Asilo</t>
  </si>
  <si>
    <t>ELI PAUL PERANTE RAYMUNDO</t>
  </si>
  <si>
    <t>Ian Luis C Aguila</t>
  </si>
  <si>
    <t>Catalina Jaylo</t>
  </si>
  <si>
    <t>Jocelyn Mosqueda Abaya</t>
  </si>
  <si>
    <t>Angelie  Pacunla Dela Torre</t>
  </si>
  <si>
    <t>Divina Agaser Miguel</t>
  </si>
  <si>
    <t>Patricia Kaye Lorio Amate</t>
  </si>
  <si>
    <t>Quintino I. Piol</t>
  </si>
  <si>
    <t>Salvacion Cericos Rangasa</t>
  </si>
  <si>
    <t>Maria  Lucia Rodriguez</t>
  </si>
  <si>
    <t>Amelita Bathan Dimailig</t>
  </si>
  <si>
    <t>Antonio Grimaldo Olanda</t>
  </si>
  <si>
    <t>Kristine Joy Apostol Castillo</t>
  </si>
  <si>
    <t>Norberto San Antonio Corpuz Jr.</t>
  </si>
  <si>
    <t>RODNEY OMPOC VILLASTIQUE</t>
  </si>
  <si>
    <t>Miraflor Catig Molde</t>
  </si>
  <si>
    <t>LINA PESCADOR DORAL</t>
  </si>
  <si>
    <t>Mylene Pabo Barroga</t>
  </si>
  <si>
    <t>Noel V. Alcain</t>
  </si>
  <si>
    <t>Angelito Leccio Estrada</t>
  </si>
  <si>
    <t>Ian Cris Latonio Cadile</t>
  </si>
  <si>
    <t>MA. CECILIA REYES POTESTADES</t>
  </si>
  <si>
    <t>Randy C. Brandino</t>
  </si>
  <si>
    <t>Raul Tampus Lumbatan</t>
  </si>
  <si>
    <t>Fe Hesita Lopez</t>
  </si>
  <si>
    <t>Lilibeth c. Locario</t>
  </si>
  <si>
    <t>DANTE OBEDENCIO CABARON</t>
  </si>
  <si>
    <t>MAYLA J MAGTIBAY</t>
  </si>
  <si>
    <t>Beatriz Dumapay Pascual</t>
  </si>
  <si>
    <t>WILSON NARVAIS CABRALES</t>
  </si>
  <si>
    <t>RAYMOORE A ARTATES</t>
  </si>
  <si>
    <t>HILARIO, JR. NAGUIT MALIWAT</t>
  </si>
  <si>
    <t>Maricel Balmes Recio</t>
  </si>
  <si>
    <t>Maria Magnaye Matawaran</t>
  </si>
  <si>
    <t>ROSE LILIA Balonzo Biado</t>
  </si>
  <si>
    <t>Paulino Laguna Viscayno</t>
  </si>
  <si>
    <t>Jose Marie Ortiz Canlapan</t>
  </si>
  <si>
    <t>ERWIN A CRUZADA</t>
  </si>
  <si>
    <t>Christa Ocampo Nicolas</t>
  </si>
  <si>
    <t>RONNIE P. VALERA</t>
  </si>
  <si>
    <t>Generoso Padilla</t>
  </si>
  <si>
    <t>Ives M Ebrada</t>
  </si>
  <si>
    <t>Pedro D. Battung</t>
  </si>
  <si>
    <t>NOEL AZARCON AGOR</t>
  </si>
  <si>
    <t>LEONARDO MADEJA, JR.</t>
  </si>
  <si>
    <t>ZALDY RADOMES PACAYRA</t>
  </si>
  <si>
    <t>Redentor  S. Leyba</t>
  </si>
  <si>
    <t>EDISON TANALIGA GUTIERREZ</t>
  </si>
  <si>
    <t>John Salvacion Sambajon</t>
  </si>
  <si>
    <t>Luzvilita Babia  Valiente</t>
  </si>
  <si>
    <t>MARK WILLIAM BIGORNIA OSANA</t>
  </si>
  <si>
    <t>Necitas V Perez</t>
  </si>
  <si>
    <t>Vivian Enriquez Villanueva</t>
  </si>
  <si>
    <t>Honorio L. Cascolan</t>
  </si>
  <si>
    <t xml:space="preserve">Aries  Cantos  Abdon </t>
  </si>
  <si>
    <t>Josephie Oliver Acoba</t>
  </si>
  <si>
    <t>SALVE OROPESA CHUA</t>
  </si>
  <si>
    <t>CHRISTOPHER N DAGANI</t>
  </si>
  <si>
    <t>Norlan M De Las Alas</t>
  </si>
  <si>
    <t>Macinole Manalo Domopoy</t>
  </si>
  <si>
    <t>Joann Joy Aseniero Vargas</t>
  </si>
  <si>
    <t>Rasty C. Salvador</t>
  </si>
  <si>
    <t>HELEN JON  SORROSA ALFARAS ALFARAS</t>
  </si>
  <si>
    <t>Ouija Soberon Brillo</t>
  </si>
  <si>
    <t>Joemar Jabalde Bustamante</t>
  </si>
  <si>
    <t>May Grace Alvaro Palicdon</t>
  </si>
  <si>
    <t>Lorena Baltazar Copon</t>
  </si>
  <si>
    <t>Jhonna Salve Janer Buenaflor</t>
  </si>
  <si>
    <t>FERILYN OLHACHAN MARCELO</t>
  </si>
  <si>
    <t>Richard Cammayo Malayao</t>
  </si>
  <si>
    <t>Gerardo B. Beluan</t>
  </si>
  <si>
    <t>Rafael J Oreta</t>
  </si>
  <si>
    <t>ARCELI ALLONES TIMOGTIMOG</t>
  </si>
  <si>
    <t>Conrado Samar Sabater Jr.</t>
  </si>
  <si>
    <t>Laica Datu Nayre</t>
  </si>
  <si>
    <t>Eddie Crisologo</t>
  </si>
  <si>
    <t>Sarah Cortes Cudera</t>
  </si>
  <si>
    <t>RAMON, JR. CARIÑO PABICO</t>
  </si>
  <si>
    <t>Marissa G. Quijano</t>
  </si>
  <si>
    <t>Jackson L. Pasamic</t>
  </si>
  <si>
    <t>Aser G Sadava</t>
  </si>
  <si>
    <t>Magdalena V. Almira</t>
  </si>
  <si>
    <t>Orlando R Florida</t>
  </si>
  <si>
    <t>Aniceta Ganade Omapas</t>
  </si>
  <si>
    <t>Bernard Sepe Magbanua</t>
  </si>
  <si>
    <t>Carlos T Del Rosario</t>
  </si>
  <si>
    <t>ELIZABETH  PAGULONG  ESCOZA</t>
  </si>
  <si>
    <t>Angeline A Logatiman</t>
  </si>
  <si>
    <t>JOANA MARIE ORINA ROMERO</t>
  </si>
  <si>
    <t>Melvin B. Arevalo</t>
  </si>
  <si>
    <t>RENAN DECENA</t>
  </si>
  <si>
    <t>Noel Bañas Nanquil</t>
  </si>
  <si>
    <t>FELIX SARACANLAO DOREZA</t>
  </si>
  <si>
    <t>ANGELINA CAPISTRANO RIGOS</t>
  </si>
  <si>
    <t>Aureo Malagum Jauculan</t>
  </si>
  <si>
    <t>MARLY BINATERO DAVID</t>
  </si>
  <si>
    <t>Merlinda P. Maata</t>
  </si>
  <si>
    <t>Cristina Tamayao</t>
  </si>
  <si>
    <t>Robert Agpaoa Arzaga</t>
  </si>
  <si>
    <t>Julita A. Santos</t>
  </si>
  <si>
    <t>Mary Jane Rabaya Santiago</t>
  </si>
  <si>
    <t>Michael P Arayan</t>
  </si>
  <si>
    <t>Virginia Jimenez Nicolas</t>
  </si>
  <si>
    <t>Victor Ariong Aglipay</t>
  </si>
  <si>
    <t>Dominga Repaldo Duran</t>
  </si>
  <si>
    <t>Richard Pandita Sanlocan</t>
  </si>
  <si>
    <t>Annalee Alarcon Aguilar</t>
  </si>
  <si>
    <t>Jenerose Luzana Macamay</t>
  </si>
  <si>
    <t>ME LODINA JOHNSON SALAMANIA</t>
  </si>
  <si>
    <t>DONNA M PADUA</t>
  </si>
  <si>
    <t>Romel Barbas Bermejo</t>
  </si>
  <si>
    <t>Nestor Angel L. Salazar</t>
  </si>
  <si>
    <t>Ricarte De Guzman Tadeja</t>
  </si>
  <si>
    <t>Reden Aguilar Mallare</t>
  </si>
  <si>
    <t>Kris Kringle Tamayo Lopez</t>
  </si>
  <si>
    <t>GENEVIE SALAYO ROMULO</t>
  </si>
  <si>
    <t>Josephine Taruc Ocampo</t>
  </si>
  <si>
    <t>Amparo Suelto Dullente</t>
  </si>
  <si>
    <t>Judito Oposa Pegarro</t>
  </si>
  <si>
    <t>Ariel Dela Cruz de Borja</t>
  </si>
  <si>
    <t>LEMUEL ESPINA AN</t>
  </si>
  <si>
    <t>Lea E Barcebal</t>
  </si>
  <si>
    <t>Dr. Peter S. Sobrevega</t>
  </si>
  <si>
    <t>Ariel Manarang Escoto</t>
  </si>
  <si>
    <t>RUBY JANE C. CRUZ</t>
  </si>
  <si>
    <t>LAILA FUERTES DANAQUE</t>
  </si>
  <si>
    <t>CHARITO POBLETE CHAVEZ</t>
  </si>
  <si>
    <t>Marnell Carreon Ubaldo</t>
  </si>
  <si>
    <t>RICARDO MENIANO YAMON</t>
  </si>
  <si>
    <t>ROMMEL Tangpuz COSTINIANO</t>
  </si>
  <si>
    <t>ALEXIE C QUEJANO</t>
  </si>
  <si>
    <t>Luzviminda A. Baro</t>
  </si>
  <si>
    <t>Asunypel Tandug Julao</t>
  </si>
  <si>
    <t>Richly A. Tagbacaula</t>
  </si>
  <si>
    <t>EDITHA LOPEZ LARON</t>
  </si>
  <si>
    <t>Alex Catandihan Esver</t>
  </si>
  <si>
    <t>MELNER BONDAUG SAGARAY</t>
  </si>
  <si>
    <t>Alicia A. Cruz</t>
  </si>
  <si>
    <t>Corazon J. Garcillas</t>
  </si>
  <si>
    <t>Marites Portes Simogan</t>
  </si>
  <si>
    <t>AURORA MARGARET D. DIEZA</t>
  </si>
  <si>
    <t>Jose R Cornelio, Jr.</t>
  </si>
  <si>
    <t>Lucio Berong Cortes</t>
  </si>
  <si>
    <t>RANIL COLE LEGARDE</t>
  </si>
  <si>
    <t>Abdul Rahman Coliling Palao</t>
  </si>
  <si>
    <t>felicidad bernardino tiaga</t>
  </si>
  <si>
    <t>ANTHONY  ARTHUR D. FERNANDEZ</t>
  </si>
  <si>
    <t>France Josephine Camua Bautista</t>
  </si>
  <si>
    <t>ALADIN GUIAMAD PETRON</t>
  </si>
  <si>
    <t>FRITZIE FLORENOSOS JUSTOL</t>
  </si>
  <si>
    <t>Rox E. Tarranza</t>
  </si>
  <si>
    <t>Melanie Sergio Pili</t>
  </si>
  <si>
    <t>CHARLENE DE NAVA ALDEA</t>
  </si>
  <si>
    <t>Elenito  Domingo  Dela Cruz</t>
  </si>
  <si>
    <t>MARISTELA SIMBAJON CAMAONGAY</t>
  </si>
  <si>
    <t>Juliana Marcelo Reyes, MD, MHA</t>
  </si>
  <si>
    <t>Camille L Maraviles</t>
  </si>
  <si>
    <t>GENOVEVA M. JARDELEZA</t>
  </si>
  <si>
    <t>Eufrecenia A. Bernardo</t>
  </si>
  <si>
    <t>Vincent Ian Mejia Malijan</t>
  </si>
  <si>
    <t>Clark Wendell P Lising</t>
  </si>
  <si>
    <t>TEODORO A. QUINTANA, JR.</t>
  </si>
  <si>
    <t>MARIA SHEILA HERMANO SUMILANG</t>
  </si>
  <si>
    <t>ANA LOU A. CHUA</t>
  </si>
  <si>
    <t>Jan Carlo Bucayan Palugod</t>
  </si>
  <si>
    <t>Bryan S. Javier</t>
  </si>
  <si>
    <t>Rommel Rebucas Jandayan</t>
  </si>
  <si>
    <t>Julius Caducano Bartolome</t>
  </si>
  <si>
    <t>Tita L. Capcap</t>
  </si>
  <si>
    <t>Glenda M. Mercader</t>
  </si>
  <si>
    <t>Ernesto Grimaldo Penaredonda</t>
  </si>
  <si>
    <t>Victor Destacamento Detera</t>
  </si>
  <si>
    <t>Adolfo Sentillas Avila, Jr.</t>
  </si>
  <si>
    <t>ROBERT M. VALLES</t>
  </si>
  <si>
    <t>Josefa Lagaya</t>
  </si>
  <si>
    <t>PHILLIP C. ADVIENTO</t>
  </si>
  <si>
    <t>Alvin  C.  Torres</t>
  </si>
  <si>
    <t>Arra B Alpajaro</t>
  </si>
  <si>
    <t>BENILDO GENABE FRIAS</t>
  </si>
  <si>
    <t>MELICIA MANALO BALAHIBO</t>
  </si>
  <si>
    <t>Rhea G Aquino</t>
  </si>
  <si>
    <t>Antonina Q. Perilla</t>
  </si>
  <si>
    <t>Roy Villamor De Chavez</t>
  </si>
  <si>
    <t>Reynaldo Chavez Taladtad</t>
  </si>
  <si>
    <t xml:space="preserve">ROWENA FLOR  M.  AGLUBAT </t>
  </si>
  <si>
    <t>Myra Cecilia Donila Grata</t>
  </si>
  <si>
    <t>Ruel Capucao de Loyola</t>
  </si>
  <si>
    <t>GEFFREY BACHAR CATULIN</t>
  </si>
  <si>
    <t>Jeffrey Almanzor II</t>
  </si>
  <si>
    <t>Loue Ayag Bernales</t>
  </si>
  <si>
    <t>Francisco D. Diaz</t>
  </si>
  <si>
    <t>GENARO M MERINO</t>
  </si>
  <si>
    <t>JOHN REFUERZO PILOT</t>
  </si>
  <si>
    <t>RAY-JAY LANZARROTE EMBOLTORIO</t>
  </si>
  <si>
    <t>Nenita L Buncag</t>
  </si>
  <si>
    <t>George uy So</t>
  </si>
  <si>
    <t>Brian D. Lumague</t>
  </si>
  <si>
    <t>Michelle Marantal Lacar</t>
  </si>
  <si>
    <t>EDDIE RELUYA ANTISODA</t>
  </si>
  <si>
    <t>IAN M. LLLONA</t>
  </si>
  <si>
    <t>MARIA ROSARIO DURAN BALBOA</t>
  </si>
  <si>
    <t>SHIELA MARIE MACAUYAG CABAHUG</t>
  </si>
  <si>
    <t>Eloida L Samonte</t>
  </si>
  <si>
    <t>Rolando Saquing Tuddao</t>
  </si>
  <si>
    <t>Dane C Dizon</t>
  </si>
  <si>
    <t>NELSON YBAÑEZ GABAYAN</t>
  </si>
  <si>
    <t>MIA ENRIQUE BALAT</t>
  </si>
  <si>
    <t>JOENAR VARGAS AGRAVANTE</t>
  </si>
  <si>
    <t>Debielyn B. Santos</t>
  </si>
  <si>
    <t>SETTE HANNAH D. DAKULA</t>
  </si>
  <si>
    <t>Liezle B. Joven</t>
  </si>
  <si>
    <t>GIRLIE MENOSO DIESMA</t>
  </si>
  <si>
    <t>Rosalinda Cortez Jabonillo</t>
  </si>
  <si>
    <t>Anellyn Montemayor Quiros</t>
  </si>
  <si>
    <t>Geraldine Albeos Albero</t>
  </si>
  <si>
    <t>Rolando C. Lumboy</t>
  </si>
  <si>
    <t>BENITO M. COSTORIO</t>
  </si>
  <si>
    <t>Sherwin S. Gagatiga</t>
  </si>
  <si>
    <t>Pete Jorrel P. Mendoza</t>
  </si>
  <si>
    <t>JOEBAEL D MOHAMAD</t>
  </si>
  <si>
    <t>Angel D. Pundao</t>
  </si>
  <si>
    <t>Giovanne Tan  Lim</t>
  </si>
  <si>
    <t>Mario Rey Bernales Donadillo</t>
  </si>
  <si>
    <t>MARICAR H DIPUTADO</t>
  </si>
  <si>
    <t>Anselmo Jr. T Sibal</t>
  </si>
  <si>
    <t>Azor B Quijano</t>
  </si>
  <si>
    <t>Elizabeth Valdemoro Cruz</t>
  </si>
  <si>
    <t>Maria Fe Dela Cruz Perez</t>
  </si>
  <si>
    <t>Eliseo Martin Catubag</t>
  </si>
  <si>
    <t>Philip P. Garcia</t>
  </si>
  <si>
    <t>Mary Grace L. Baarde</t>
  </si>
  <si>
    <t>Clarito Blanche Cadiz</t>
  </si>
  <si>
    <t>Rey R. Fausto</t>
  </si>
  <si>
    <t>ROSELLER DIZON SASIS</t>
  </si>
  <si>
    <t>Erwin Libres Cajelo</t>
  </si>
  <si>
    <t>Elvie Villanueva Diaz</t>
  </si>
  <si>
    <t>Danilo R. Corpuz</t>
  </si>
  <si>
    <t>Nelson Bonifacio Villaluna</t>
  </si>
  <si>
    <t>Almar Cagas Acevedo</t>
  </si>
  <si>
    <t>Mary Jean Garrido Demonteverde</t>
  </si>
  <si>
    <t>Nilo Eduarte Diesta</t>
  </si>
  <si>
    <t>Angel, Jr. S. Ramos</t>
  </si>
  <si>
    <t>LEILANI BACALE CASIMPAN</t>
  </si>
  <si>
    <t>CHARLTON LIU UY</t>
  </si>
  <si>
    <t>Frederick Misamis Docdoc</t>
  </si>
  <si>
    <t>BERNARDINO DELA CRUZ ANDRES</t>
  </si>
  <si>
    <t>Rodolfo L Bautista</t>
  </si>
  <si>
    <t>EVELYN COLUMBRES MALIGAD</t>
  </si>
  <si>
    <t>RENANTE LAUNIO LEONARDO</t>
  </si>
  <si>
    <t>Cecilia Ledesma  Cain</t>
  </si>
  <si>
    <t>Elsie Dofredo Alcala</t>
  </si>
  <si>
    <t>mary ann corpuz paguio</t>
  </si>
  <si>
    <t>Paul Cornejo Matienzo</t>
  </si>
  <si>
    <t>Vicente Dellatan Alcoriza</t>
  </si>
  <si>
    <t>Arnel M Ruz</t>
  </si>
  <si>
    <t>Maria Liezl Clam Gutang</t>
  </si>
  <si>
    <t>Theresa Legaspi</t>
  </si>
  <si>
    <t>Melody Geronimo Monses</t>
  </si>
  <si>
    <t>Freddie B. Caday</t>
  </si>
  <si>
    <t>Maribeth Berug</t>
  </si>
  <si>
    <t>Albert Lee Basuel Cabanting</t>
  </si>
  <si>
    <t>RANNIER JOHN C. FAJARDO</t>
  </si>
  <si>
    <t>Antonio Geyrozaga Daugdaug</t>
  </si>
  <si>
    <t>LORELLIE OCAMPO RABANERA</t>
  </si>
  <si>
    <t>MARY ANN SARTORIO BAENA</t>
  </si>
  <si>
    <t>Donnabel Manzano Justo</t>
  </si>
  <si>
    <t>Mercedes Inway Luto</t>
  </si>
  <si>
    <t>MARITESS CAYACO MARCOS</t>
  </si>
  <si>
    <t>LANNIE MAE C DINGAL</t>
  </si>
  <si>
    <t>PERICLES CUIZON SOLLANO</t>
  </si>
  <si>
    <t>ANNA LHE BOLIVAR TULIO</t>
  </si>
  <si>
    <t>Jeffrey Ross Mendoza Navarro</t>
  </si>
  <si>
    <t>VILMA N FLORES</t>
  </si>
  <si>
    <t>Arni Nidoy Abad</t>
  </si>
  <si>
    <t>MARIE ANN V. SISON</t>
  </si>
  <si>
    <t>Leonora Gentica Lee</t>
  </si>
  <si>
    <t>Adam  V. Ramilo</t>
  </si>
  <si>
    <t>Mark Joy Clor Nogaliza</t>
  </si>
  <si>
    <t>Rodrigo, Jr. Nacaya Valmoria</t>
  </si>
  <si>
    <t>Ellyne Marie Kee Aligarbes</t>
  </si>
  <si>
    <t>GIGI FLORES CORONEL</t>
  </si>
  <si>
    <t>JERRY SOLONIA SENOC</t>
  </si>
  <si>
    <t>HON. JOHN ABAO</t>
  </si>
  <si>
    <t>Julius Dapitilla Palma</t>
  </si>
  <si>
    <t>Ruel Cole Armodia</t>
  </si>
  <si>
    <t>Jovanie Lucero Culintas</t>
  </si>
  <si>
    <t>Jonathan Factolerin Trinidad</t>
  </si>
  <si>
    <t>MARIA KRISHEA ALCALA DE LIMA</t>
  </si>
  <si>
    <t>Lorna Gelpe Gatanela</t>
  </si>
  <si>
    <t>MARGARITA B. QUILALANG</t>
  </si>
  <si>
    <t>NOEL RENDON BUSCA</t>
  </si>
  <si>
    <t>Criselle Mhae Hilario Rele</t>
  </si>
  <si>
    <t>Lara Joy Diaz Vasquez</t>
  </si>
  <si>
    <t>Iris Gelbolingo Ortega</t>
  </si>
  <si>
    <t>Eduviges A. Pajimna</t>
  </si>
  <si>
    <t>Robert John Donesa</t>
  </si>
  <si>
    <t>Romeo L Tuddao</t>
  </si>
  <si>
    <t>ENGR. GREGORIO VALENCIA BALUYUT</t>
  </si>
  <si>
    <t>Veronica Manzano Rodriguez</t>
  </si>
  <si>
    <t>SALVADOR , JR. GRANADOS REGIS</t>
  </si>
  <si>
    <t>ALICIA MARIANO MARTINEZ</t>
  </si>
  <si>
    <t>MARY JOY BUCCAHAN SORIANO</t>
  </si>
  <si>
    <t>MARY GRACE BUCASAS OPON</t>
  </si>
  <si>
    <t>MA. NEOFITA S. TUAZON</t>
  </si>
  <si>
    <t>Judeth M. Madelo</t>
  </si>
  <si>
    <t>Mercedita Delantar Villarubia</t>
  </si>
  <si>
    <t>Marivic Melencion Macuha</t>
  </si>
  <si>
    <t>Luciano Palma</t>
  </si>
  <si>
    <t>Raul B. Jacela</t>
  </si>
  <si>
    <t>Restituto E. Mira, Jr.</t>
  </si>
  <si>
    <t>Raymund  D. Sandoval</t>
  </si>
  <si>
    <t>Ana Suzette Limguis Moreño</t>
  </si>
  <si>
    <t>Jezryl M. Lobaton</t>
  </si>
  <si>
    <t>HERALDO B. PRESADO</t>
  </si>
  <si>
    <t>Iñigo Lesaca Sugalan</t>
  </si>
  <si>
    <t>THEODORE MAZO ROJAS</t>
  </si>
  <si>
    <t>Andrea R Gaddi</t>
  </si>
  <si>
    <t>Archie Val Lucero Madamba</t>
  </si>
  <si>
    <t>Jenny Maseneren Bononp</t>
  </si>
  <si>
    <t>FREDDIE O. TEJADA</t>
  </si>
  <si>
    <t>Alvin Putulan Aceret</t>
  </si>
  <si>
    <t>Abigae Villa  Celo</t>
  </si>
  <si>
    <t>Marcelo D. Aparicio Jr.</t>
  </si>
  <si>
    <t>Nolita Laberinto Acero</t>
  </si>
  <si>
    <t>Aaron Joshua L. Reyes</t>
  </si>
  <si>
    <t>Rubelyn Pacot Acaso</t>
  </si>
  <si>
    <t>Epifania Garcia Garcia</t>
  </si>
  <si>
    <t>NESTOR MALASIG UY</t>
  </si>
  <si>
    <t>Concordia Tantio Supangan</t>
  </si>
  <si>
    <t>Magna Ramos Macalma</t>
  </si>
  <si>
    <t>lina P. Cotero</t>
  </si>
  <si>
    <t>Rebecca Enierga Valenzuela</t>
  </si>
  <si>
    <t>Mario Salanap Amaca</t>
  </si>
  <si>
    <t>Lily May T. Julao</t>
  </si>
  <si>
    <t>Eugenio T. Rosete</t>
  </si>
  <si>
    <t>MAYLIEN H VILLEJO</t>
  </si>
  <si>
    <t>RICHARD E JOSEPH</t>
  </si>
  <si>
    <t>Daisy M. Batoon</t>
  </si>
  <si>
    <t>Ivy Dela Cruz Rugas</t>
  </si>
  <si>
    <t>Jennifer Hao Angco</t>
  </si>
  <si>
    <t>Reynaldo F. Margelino Jr.</t>
  </si>
  <si>
    <t>Annabelle M Pameron</t>
  </si>
  <si>
    <t>Glenn C. Cabaya</t>
  </si>
  <si>
    <t>Marites Palacio Ebdani</t>
  </si>
  <si>
    <t>JOVITO VISTAL TOLARESA</t>
  </si>
  <si>
    <t>Jerel Agilles</t>
  </si>
  <si>
    <t>David Sismundo Luna</t>
  </si>
  <si>
    <t>ERLINDA FONTANOS MANIPON</t>
  </si>
  <si>
    <t>DARIO SUSON TARRIMAN</t>
  </si>
  <si>
    <t>ROBERT A. CAYONE</t>
  </si>
  <si>
    <t>Mercy Magdalaga Tudtud</t>
  </si>
  <si>
    <t>Cecile M. Dicen</t>
  </si>
  <si>
    <t>Sammy A. Facun</t>
  </si>
  <si>
    <t>Julieta Ilama Sabdani</t>
  </si>
  <si>
    <t>Cristina S. Lazaro</t>
  </si>
  <si>
    <t>MARIFE CADILIG ESTOMAGULANG</t>
  </si>
  <si>
    <t>Sharon Rose P. Portillo</t>
  </si>
  <si>
    <t>Jimuel Odjinar Yu</t>
  </si>
  <si>
    <t>Ramon Jacinto M Rodrigo</t>
  </si>
  <si>
    <t>Marites Moldez Pacal</t>
  </si>
  <si>
    <t>MARVEN OPENIANO PEDRERO</t>
  </si>
  <si>
    <t>Charito G Yulo</t>
  </si>
  <si>
    <t>BAC HINUNDAYAN LGU-Hinundayan, So. Leyte</t>
  </si>
  <si>
    <t>Michelle M Marcos</t>
  </si>
  <si>
    <t>JULIUS B. UNDAR</t>
  </si>
  <si>
    <t>ZACARIAS CAPOL SUPLAAG</t>
  </si>
  <si>
    <t>Peachy Natividad E. Chatto</t>
  </si>
  <si>
    <t>Emmyrose Refil Madrona</t>
  </si>
  <si>
    <t>Josefina C. Opleda</t>
  </si>
  <si>
    <t>Elizabeth M. Lubis</t>
  </si>
  <si>
    <t>LORENA L SUMILHIG</t>
  </si>
  <si>
    <t>Valeriano Doroon</t>
  </si>
  <si>
    <t>Jaime S.J. Javellana</t>
  </si>
  <si>
    <t>Virgilita lacuna Arayani</t>
  </si>
  <si>
    <t>CLEO D. SABADO-ANDRADA</t>
  </si>
  <si>
    <t>Mariza O Nallana</t>
  </si>
  <si>
    <t>Dino R. Mirasol</t>
  </si>
  <si>
    <t>RANDE M. POLO</t>
  </si>
  <si>
    <t>SHERLITA ABAYAN DEL MUNDO</t>
  </si>
  <si>
    <t>Marilou Tamayo Quitlong</t>
  </si>
  <si>
    <t>Fercilyn E Grospe</t>
  </si>
  <si>
    <t>Manuel T Barit</t>
  </si>
  <si>
    <t>Rhodora Dela Peña Amador</t>
  </si>
  <si>
    <t>Ma. Teresa  D. Rodriguez</t>
  </si>
  <si>
    <t>JULLIAN KYLE GONZAGA SAN MATEO</t>
  </si>
  <si>
    <t>Diane Ellisson Monteclaro  Aguinaldo</t>
  </si>
  <si>
    <t>CHRISTIAN D. BUAT</t>
  </si>
  <si>
    <t>Wilfredo Ramos Ognilla</t>
  </si>
  <si>
    <t>DENNIS  TUMULAK  BENAVIDES</t>
  </si>
  <si>
    <t>FRANCISCO , JR. YGRUBAY LABRAGUE</t>
  </si>
  <si>
    <t>Jose Jacob Siriban Medinaceli</t>
  </si>
  <si>
    <t>Calixto Galawen Francisco</t>
  </si>
  <si>
    <t>Inocencio Cordero Mana-ay</t>
  </si>
  <si>
    <t>Geovanni Alfon Hera</t>
  </si>
  <si>
    <t>Juan Bas Alde</t>
  </si>
  <si>
    <t>Ricardo V Nuñez</t>
  </si>
  <si>
    <t>Rose Andrea V. Milaor</t>
  </si>
  <si>
    <t>Hazel Bancale Dacillo</t>
  </si>
  <si>
    <t>Nessa Esporma Acolentaba</t>
  </si>
  <si>
    <t>Marc Louis B. Sampilo</t>
  </si>
  <si>
    <t>LEONILA CINCO SATO</t>
  </si>
  <si>
    <t>Rusell Gattu Lozano</t>
  </si>
  <si>
    <t>Amador Eusebio Judan</t>
  </si>
  <si>
    <t>JENELYN OLIVERA</t>
  </si>
  <si>
    <t>Grace S Villaroman</t>
  </si>
  <si>
    <t>Chito B Castor</t>
  </si>
  <si>
    <t>Rosalyn S. Ferrer</t>
  </si>
  <si>
    <t>Carmelino Paculan Bernadas</t>
  </si>
  <si>
    <t>Jonas Fajardo Tinamisan</t>
  </si>
  <si>
    <t>Ramon Christopher Alon</t>
  </si>
  <si>
    <t>ELSA IBERO VILLAMOR</t>
  </si>
  <si>
    <t>Danilo S. Sanchez Petalino, Ph.D</t>
  </si>
  <si>
    <t>Bonifacio R. Fabre</t>
  </si>
  <si>
    <t>CHANTAL MAE V. SIMON</t>
  </si>
  <si>
    <t>Janice Paladin Suboc</t>
  </si>
  <si>
    <t>Menardo Tejones Toriana</t>
  </si>
  <si>
    <t>MAILYN CORDEZ HERNANDEZ</t>
  </si>
  <si>
    <t>Rhea Valmadrid</t>
  </si>
  <si>
    <t>Alex Rivas Literato</t>
  </si>
  <si>
    <t>Genalyn dionesio panuncio</t>
  </si>
  <si>
    <t>Randolph R Maguigad</t>
  </si>
  <si>
    <t>DIOMEDES V BONALOS</t>
  </si>
  <si>
    <t>NELIA CENAL</t>
  </si>
  <si>
    <t>Renelyn Langaoen Fernandez</t>
  </si>
  <si>
    <t>Nedencio T. Macles and Rebecca M. Gadayan</t>
  </si>
  <si>
    <t>Letecia  Capilitan  Tresplacios</t>
  </si>
  <si>
    <t>Rryam Ansing Jaralve</t>
  </si>
  <si>
    <t>Lemuel R Sumagaysay</t>
  </si>
  <si>
    <t>Andres R Avorque</t>
  </si>
  <si>
    <t>LEONARDO ANGELO CUARESMA</t>
  </si>
  <si>
    <t>YASHIER MASDAL YAIL</t>
  </si>
  <si>
    <t>Allan L Mariano</t>
  </si>
  <si>
    <t>Nestor Acol Almaite</t>
  </si>
  <si>
    <t>HELEN IGUANA EDULLANTES</t>
  </si>
  <si>
    <t>MAURO R. LOPEZ</t>
  </si>
  <si>
    <t>WILLIAM C. COPSIYAN</t>
  </si>
  <si>
    <t>Cyril D. Valencerina</t>
  </si>
  <si>
    <t>Maria Teresa Diamante Balbedo</t>
  </si>
  <si>
    <t>Lunrey B. Bagor</t>
  </si>
  <si>
    <t>Diana Jean Magsino Cabanalan</t>
  </si>
  <si>
    <t>Jose Ryan F Galon</t>
  </si>
  <si>
    <t>Dominic Bolos Garcia</t>
  </si>
  <si>
    <t>Jerome Duenas Malapit</t>
  </si>
  <si>
    <t>DINDO BABATIO CONGE</t>
  </si>
  <si>
    <t>LORADEL BALDEVIA ROMANO</t>
  </si>
  <si>
    <t>MERIAM R. BENDOY</t>
  </si>
  <si>
    <t>Michael Imperial Fabros</t>
  </si>
  <si>
    <t>ELMER HAINTO DOMASIG</t>
  </si>
  <si>
    <t>ANACLETA  ABASUG</t>
  </si>
  <si>
    <t>Grace Alejandro Alejandro</t>
  </si>
  <si>
    <t>Marchelyn Pareja Ganit</t>
  </si>
  <si>
    <t>Isabelito Francia Aguda</t>
  </si>
  <si>
    <t>Monalyn Lomibao Moulic</t>
  </si>
  <si>
    <t>ENGR. ALEX O. CALINAO</t>
  </si>
  <si>
    <t>MELODINA  LORA</t>
  </si>
  <si>
    <t>Artemio Amilagan Archibido</t>
  </si>
  <si>
    <t>Teresita M. Anzia</t>
  </si>
  <si>
    <t>LORETA CAYABYAB MARIÑAS</t>
  </si>
  <si>
    <t>BELEN BANDADA PARAÑAQUE</t>
  </si>
  <si>
    <t>Maria Fe L Torrecampo</t>
  </si>
  <si>
    <t>Aladin Calesterio Advincula</t>
  </si>
  <si>
    <t>JHORRY SANICO CANTA</t>
  </si>
  <si>
    <t>DORINA MELAD</t>
  </si>
  <si>
    <t>Vicente Hotchkiss Pimentel, III</t>
  </si>
  <si>
    <t>Alexander L Ulep</t>
  </si>
  <si>
    <t>Jelenita D Limot</t>
  </si>
  <si>
    <t>VILMA  BASALO</t>
  </si>
  <si>
    <t>Vladimir Prado Torres</t>
  </si>
  <si>
    <t>Godofredo Apprecio Corsino</t>
  </si>
  <si>
    <t>rodrigo burio olano</t>
  </si>
  <si>
    <t>Corazon Martinez Fronda</t>
  </si>
  <si>
    <t>JOFERNANDO AROCHA TAGAUNSOD</t>
  </si>
  <si>
    <t>Engr. MARINA Y. ARCENAL</t>
  </si>
  <si>
    <t>REYNALDO C. RIVERA</t>
  </si>
  <si>
    <t>Francisco Escape Oliva, Jr.</t>
  </si>
  <si>
    <t>Daphne Tolentino Campano</t>
  </si>
  <si>
    <t>Emie Rose Francisco</t>
  </si>
  <si>
    <t>Eliseo G. Lanticse</t>
  </si>
  <si>
    <t>ELIZALDE P. TABON</t>
  </si>
  <si>
    <t>PRUDENCIO L VARELA</t>
  </si>
  <si>
    <t>Lealyn Baoy Dy</t>
  </si>
  <si>
    <t>Carmelita Seto Bangayan</t>
  </si>
  <si>
    <t>Marjorie Guiao Vitug</t>
  </si>
  <si>
    <t>Arnolfo Celso Aguirre</t>
  </si>
  <si>
    <t>JAY MENDOZA  PERALTA</t>
  </si>
  <si>
    <t>Criszen Baluyot BAUTISTA</t>
  </si>
  <si>
    <t>LORETO LUCERO LORENZO</t>
  </si>
  <si>
    <t>Rodney Joy Villagracia Iyoy</t>
  </si>
  <si>
    <t>segrid sahagon dacanay</t>
  </si>
  <si>
    <t>CONNIE C. CENTINO</t>
  </si>
  <si>
    <t>Madrigal B. Larang</t>
  </si>
  <si>
    <t>Mary Rose Feliciano Ubiña</t>
  </si>
  <si>
    <t>MANUEL CLEMENTE,JR.</t>
  </si>
  <si>
    <t>Virgilio Bullen Damasing</t>
  </si>
  <si>
    <t>Zandro Chan Go</t>
  </si>
  <si>
    <t>Marisa P Las</t>
  </si>
  <si>
    <t>Enrique Briones Estrada</t>
  </si>
  <si>
    <t>Manuel, Jr. A Palasi</t>
  </si>
  <si>
    <t>Aileen C. Cula</t>
  </si>
  <si>
    <t>Verlene Layaoen Melendez</t>
  </si>
  <si>
    <t>Janet M Pasamba</t>
  </si>
  <si>
    <t>Danna Marie B. Asentista</t>
  </si>
  <si>
    <t>Jerwen Pulohanan Portullano</t>
  </si>
  <si>
    <t>NEOPOLO JR. LACSON MANALOTO</t>
  </si>
  <si>
    <t>Hannah F Artil</t>
  </si>
  <si>
    <t>Joel G Macaraeg</t>
  </si>
  <si>
    <t>Lealoraine A. Gomez</t>
  </si>
  <si>
    <t>KAREEN A. ORDOÑA</t>
  </si>
  <si>
    <t>Jennifer Mindanao Cruz</t>
  </si>
  <si>
    <t>AMALIA GENOVIA ATIENDA</t>
  </si>
  <si>
    <t>Ana Liza Calma Zablan</t>
  </si>
  <si>
    <t>JANEL BALATAN BORJA</t>
  </si>
  <si>
    <t>Renato S. Galang</t>
  </si>
  <si>
    <t>Pilar Manzano Ollet</t>
  </si>
  <si>
    <t>Celina L. Padchanan</t>
  </si>
  <si>
    <t>FERNAND CLARIDAD UBALDO</t>
  </si>
  <si>
    <t>Magnolia T Flores</t>
  </si>
  <si>
    <t>ELIZABETH TRINIDAD BELLO</t>
  </si>
  <si>
    <t>Ricky Canobas Canobas</t>
  </si>
  <si>
    <t>RAMIE FELARCA DETARO</t>
  </si>
  <si>
    <t>Jerome B. Sison</t>
  </si>
  <si>
    <t>Ray John Habig</t>
  </si>
  <si>
    <t>ORLANDO LIBORES ROMERO</t>
  </si>
  <si>
    <t>April Rose L. Mirones</t>
  </si>
  <si>
    <t>Milagros A Agustin</t>
  </si>
  <si>
    <t>Rhyla Bibas Supnet</t>
  </si>
  <si>
    <t>Levie Agcaoili Talub</t>
  </si>
  <si>
    <t>Sheila Paraiso Estrellanes</t>
  </si>
  <si>
    <t>Danilo Rutaquio Almacen</t>
  </si>
  <si>
    <t>Revilito B Raman</t>
  </si>
  <si>
    <t>GEORGIE FRUGALIDAD CORNELIO</t>
  </si>
  <si>
    <t>Marinelle Marquez Rubico</t>
  </si>
  <si>
    <t>Alicia Adonis Kintana</t>
  </si>
  <si>
    <t>Jared  Regonios Milar</t>
  </si>
  <si>
    <t>Edna Pamaos Malaran</t>
  </si>
  <si>
    <t>Lorenzo B Gahoy</t>
  </si>
  <si>
    <t>Ricardo Bantog Talbos</t>
  </si>
  <si>
    <t>JONATHAN R. HIJADA</t>
  </si>
  <si>
    <t>CHRISTIE ANN GELVEZON ORTIZ</t>
  </si>
  <si>
    <t>marilou into cabeguin</t>
  </si>
  <si>
    <t>Vicky D. Galvan</t>
  </si>
  <si>
    <t>JES JOMAR MAGADAN CAINGLES</t>
  </si>
  <si>
    <t>argie acedre magallanes</t>
  </si>
  <si>
    <t>Nilda Lumapak</t>
  </si>
  <si>
    <t>Jesamine M. Mendi</t>
  </si>
  <si>
    <t>Marino Merano Silagan Jr.</t>
  </si>
  <si>
    <t>Renante Umipig Ramiscal</t>
  </si>
  <si>
    <t>Maria Gina Rosales Carino</t>
  </si>
  <si>
    <t>Diosdado Regino Domingo</t>
  </si>
  <si>
    <t>Reniza L Abellera</t>
  </si>
  <si>
    <t>Raul Casurra Micompal</t>
  </si>
  <si>
    <t>Christopher Dave A. Calimlim</t>
  </si>
  <si>
    <t>Roselma Catherine Garrote Cantos</t>
  </si>
  <si>
    <t>MARIADELIA BUBA AVE</t>
  </si>
  <si>
    <t>gina murillo</t>
  </si>
  <si>
    <t>Lourvelyn Sicat Lacson</t>
  </si>
  <si>
    <t>Analiza Camsa Lomedeg</t>
  </si>
  <si>
    <t>JAN RAE MIJARES CANABANO</t>
  </si>
  <si>
    <t>Joy Melga Buendia Olazo</t>
  </si>
  <si>
    <t>Rogelio P. Hera</t>
  </si>
  <si>
    <t>MARIA ARRA PAZ G. SELLAR</t>
  </si>
  <si>
    <t>Arlaine M De Vera</t>
  </si>
  <si>
    <t>Rey Torres Nuique</t>
  </si>
  <si>
    <t>Arielyn L. Fernandez</t>
  </si>
  <si>
    <t>Ma. Corazon V. Tadena</t>
  </si>
  <si>
    <t>Irwin M Fonbuena</t>
  </si>
  <si>
    <t>Mariz  Lapid  Onchengco</t>
  </si>
  <si>
    <t>Norma Lim Go</t>
  </si>
  <si>
    <t>Corazon Barrientos Pagayona</t>
  </si>
  <si>
    <t>Remigio L. Jamilan</t>
  </si>
  <si>
    <t>Renzjay Antonio Linsangan</t>
  </si>
  <si>
    <t>Larry Pelaez Olvina</t>
  </si>
  <si>
    <t>Chito de Leon Riego de Dios</t>
  </si>
  <si>
    <t>Arnel B. Javier</t>
  </si>
  <si>
    <t>Mokamad Musa Solaiman</t>
  </si>
  <si>
    <t>EUGENIANO SAWALI</t>
  </si>
  <si>
    <t>EXUPERIA B. SABALBERINO</t>
  </si>
  <si>
    <t>Donato Silvano Advincula</t>
  </si>
  <si>
    <t>Ernesto Loyao Menoza</t>
  </si>
  <si>
    <t>Ma. Veronica Mahilum De Guzman</t>
  </si>
  <si>
    <t>Sofronia Ceniza Uy</t>
  </si>
  <si>
    <t>Pablito R Rosales</t>
  </si>
  <si>
    <t>Nestor, Jr. C Peralta</t>
  </si>
  <si>
    <t>MIRAFLOR G. SABANDO</t>
  </si>
  <si>
    <t>CANDIDO ALFRED II AZARES BANCORO</t>
  </si>
  <si>
    <t>GERALDINE N. RANARA</t>
  </si>
  <si>
    <t>Janet D Flores</t>
  </si>
  <si>
    <t>Arsenio T. Cornites, Jr.</t>
  </si>
  <si>
    <t>Lourdes Salvacion Extra</t>
  </si>
  <si>
    <t>CELESTE GIE T. DELA CRUZ</t>
  </si>
  <si>
    <t>Lilybeth Delfin Langomez</t>
  </si>
  <si>
    <t>CHRISTOPHER CATALINO REBUJIO</t>
  </si>
  <si>
    <t>Felicisimo T. Lazo</t>
  </si>
  <si>
    <t>Jaime Hervilla Mahimpit</t>
  </si>
  <si>
    <t>Dario Sarabusing Jr.</t>
  </si>
  <si>
    <t>RANDY DUENAS DE TORRES</t>
  </si>
  <si>
    <t>Chinalyn Dakiwag Rivera</t>
  </si>
  <si>
    <t>Margarito Materum</t>
  </si>
  <si>
    <t>Alexander G. Taguiam</t>
  </si>
  <si>
    <t>Eugene Raro Luces</t>
  </si>
  <si>
    <t>Estella B. Agustin</t>
  </si>
  <si>
    <t>Aaron Robert Anza Binarao</t>
  </si>
  <si>
    <t>Angela Estribor Rodrigo</t>
  </si>
  <si>
    <t>Samuel Canaya</t>
  </si>
  <si>
    <t>Marietta Abuan Graciano</t>
  </si>
  <si>
    <t>Mary Ann O. Manimtim</t>
  </si>
  <si>
    <t>Zaldy D Almoite</t>
  </si>
  <si>
    <t>Alvi R Valle</t>
  </si>
  <si>
    <t>MARINA B. WAHAB</t>
  </si>
  <si>
    <t>Daisy Fallore</t>
  </si>
  <si>
    <t>Dencio A Pagbilao</t>
  </si>
  <si>
    <t>Vanessa T. Alcuizar</t>
  </si>
  <si>
    <t>Sylvia Maquilan Caratao</t>
  </si>
  <si>
    <t>jennifer empleo rondina</t>
  </si>
  <si>
    <t>MARIA LIZA GENADA RULL</t>
  </si>
  <si>
    <t>Mylene Boots Sinogbuhan Lamac</t>
  </si>
  <si>
    <t>JASMIN R LACUNA</t>
  </si>
  <si>
    <t>Ma. Emilyn Sweetie Leonor Protacio</t>
  </si>
  <si>
    <t>Norielle Ann P. Vergara</t>
  </si>
  <si>
    <t>Joybeth Delfin Sabino</t>
  </si>
  <si>
    <t>Cherielou Mae Cal Bulotano</t>
  </si>
  <si>
    <t>Erlie A. Mallari</t>
  </si>
  <si>
    <t>Ma. Ruth Viñas Bandales</t>
  </si>
  <si>
    <t>ENGR. NORMAN DIMATATAC</t>
  </si>
  <si>
    <t>ARNULFO ALAO SARCO</t>
  </si>
  <si>
    <t>BERNARDO C. POJAS</t>
  </si>
  <si>
    <t>Liezel Cornitez Patron</t>
  </si>
  <si>
    <t>VICENTE L LABADOR</t>
  </si>
  <si>
    <t>Rosanna Maratas Siega</t>
  </si>
  <si>
    <t>James R. Zubiri</t>
  </si>
  <si>
    <t>GEORGANN G. CARIASO</t>
  </si>
  <si>
    <t>Giena G. Ramos</t>
  </si>
  <si>
    <t>HENRIETO BACANG</t>
  </si>
  <si>
    <t>Primrose Bayani Manalo</t>
  </si>
  <si>
    <t>Dominador M Tinosa, Jr.</t>
  </si>
  <si>
    <t>Rosemary R. Juan</t>
  </si>
  <si>
    <t>CLARENCE C. MORALES</t>
  </si>
  <si>
    <t>arni nidoy abad</t>
  </si>
  <si>
    <t>CHRISTINE AGUILAR PAQUIBOT</t>
  </si>
  <si>
    <t>FRANK FALANGAN FANGED</t>
  </si>
  <si>
    <t>Renato Operario Paligutan</t>
  </si>
  <si>
    <t>Frencis Panganiban Tiu Rivera</t>
  </si>
  <si>
    <t>CRESENCIANO SALUDES PLACINO</t>
  </si>
  <si>
    <t>JOSE CABASAGAN CHAN</t>
  </si>
  <si>
    <t>Lourfe S. Rondina</t>
  </si>
  <si>
    <t>Roxanne O. Valenzuela</t>
  </si>
  <si>
    <t>Maricel A Sanchez</t>
  </si>
  <si>
    <t>Ramil L. Juliano</t>
  </si>
  <si>
    <t>Chryzl Anne Uy Lumbayon-Atan</t>
  </si>
  <si>
    <t>CESAR PA SOMBILLA</t>
  </si>
  <si>
    <t>Dominic Adriano</t>
  </si>
  <si>
    <t>Salem Torres Cervantes</t>
  </si>
  <si>
    <t>Julie Anne Canzon Valencia</t>
  </si>
  <si>
    <t>Winilyn Nipales De Leon</t>
  </si>
  <si>
    <t>Lenie Morales Adriano</t>
  </si>
  <si>
    <t>Mylene Alba</t>
  </si>
  <si>
    <t>ATTY. ADELITO M. SOLIBAGA, JR.</t>
  </si>
  <si>
    <t>Maritez Galban</t>
  </si>
  <si>
    <t>MAURIELE DASMARIÑAS</t>
  </si>
  <si>
    <t>Ma. Victoria Tejedor</t>
  </si>
  <si>
    <t>ROSABELLA ORNA MAGPILI</t>
  </si>
  <si>
    <t>Helen  Senosa  Esperancilla</t>
  </si>
  <si>
    <t>Carolyn Rebortura Guadalquiver</t>
  </si>
  <si>
    <t>EDGARDO A. VALDEZ</t>
  </si>
  <si>
    <t>Frances Lily Corazon Cabaddu</t>
  </si>
  <si>
    <t>Arthur Olandria Yana</t>
  </si>
  <si>
    <t>Romeo Emmanuel II C. Yarcia</t>
  </si>
  <si>
    <t>MALVIN R. ROCERO</t>
  </si>
  <si>
    <t>Cecille A. Briones</t>
  </si>
  <si>
    <t>Evangeline Wong</t>
  </si>
  <si>
    <t>Andrea Ladores</t>
  </si>
  <si>
    <t>Jessie L. Amin</t>
  </si>
  <si>
    <t>GONZALO P COCON</t>
  </si>
  <si>
    <t>Kaicelyn Dizon Gallano</t>
  </si>
  <si>
    <t>Sunshine Rhina R Caunin</t>
  </si>
  <si>
    <t>ANWAR KENNY ANDREW FRANCISCO AMILASAN</t>
  </si>
  <si>
    <t>Alver P Lamoste, CPA</t>
  </si>
  <si>
    <t>Khalaf Odin Cariga</t>
  </si>
  <si>
    <t>DOMINADOR V. DILLERA</t>
  </si>
  <si>
    <t>Maria Teresa Hilado Tapil</t>
  </si>
  <si>
    <t>Donabel De La Torre Orcullo</t>
  </si>
  <si>
    <t>EVAN V. PUYOS</t>
  </si>
  <si>
    <t>Freddie Cañeda Sanchez</t>
  </si>
  <si>
    <t>RENY ACERO CELESPARA</t>
  </si>
  <si>
    <t>Eduardo L. Yuson</t>
  </si>
  <si>
    <t>Renel Jay Agno Quirit</t>
  </si>
  <si>
    <t>Lara Mae Dente Pares</t>
  </si>
  <si>
    <t>Jhoanne Ayen A Jimenez</t>
  </si>
  <si>
    <t>Cristina Duca Manalang</t>
  </si>
  <si>
    <t>Norjannah P Lucman</t>
  </si>
  <si>
    <t>NOEMI V. BALAIS</t>
  </si>
  <si>
    <t>EDGAR L. MARTINEZ</t>
  </si>
  <si>
    <t>Mary Joy Cortes Quano</t>
  </si>
  <si>
    <t>MARCELINO JR. L. PONIPON</t>
  </si>
  <si>
    <t>JOSE BELARO TAM</t>
  </si>
  <si>
    <t>Jose Forawit Lampesa</t>
  </si>
  <si>
    <t>Rhoda Apalla Viterbo</t>
  </si>
  <si>
    <t>LOUIGIE  AVENTUNA  RALLOS</t>
  </si>
  <si>
    <t>Carol Villareal Reyes</t>
  </si>
  <si>
    <t>Salvacion Buen Serrano</t>
  </si>
  <si>
    <t>Wennie S. Angit</t>
  </si>
  <si>
    <t>Madona Mea Alforque Atienda</t>
  </si>
  <si>
    <t>Cuajotor Toledo Albert</t>
  </si>
  <si>
    <t>Jean Lacorte Gazar</t>
  </si>
  <si>
    <t>Sharon S. Gupalor</t>
  </si>
  <si>
    <t>Erwin Galamiton Ludevese</t>
  </si>
  <si>
    <t>Juffa Panaguiton Estrada</t>
  </si>
  <si>
    <t>Edmundo Alonzo Escape</t>
  </si>
  <si>
    <t>Ma. Felicidad Rebong Payba</t>
  </si>
  <si>
    <t>June   C.  Caberoy</t>
  </si>
  <si>
    <t>Marites A. Bermal</t>
  </si>
  <si>
    <t>ARVIN B BELARDO</t>
  </si>
  <si>
    <t>Fernando Nalica Ramirez</t>
  </si>
  <si>
    <t>Monaliza Aquino Galvez</t>
  </si>
  <si>
    <t>Loubelo Jabines Polo</t>
  </si>
  <si>
    <t>Evelyn Valenzuela Manuguid</t>
  </si>
  <si>
    <t>Celia N. Respueto</t>
  </si>
  <si>
    <t>Arlyn Autencio Romaquin</t>
  </si>
  <si>
    <t>Guirlin C. Dagodog</t>
  </si>
  <si>
    <t>Marcelina Jumawan Oguis</t>
  </si>
  <si>
    <t>JOY LAWAS</t>
  </si>
  <si>
    <t>Jesse R. Quilantang</t>
  </si>
  <si>
    <t>ariel beltran araneta</t>
  </si>
  <si>
    <t>Rosendo Senior Caro Lascano</t>
  </si>
  <si>
    <t>JOSE R TOLENTINO</t>
  </si>
  <si>
    <t>Val Raymund Cristobal Cervantes</t>
  </si>
  <si>
    <t>Eden Ropa Fernando</t>
  </si>
  <si>
    <t>fred catahum jetulle</t>
  </si>
  <si>
    <t>SUSANA  CABIGAO DELA ROSA</t>
  </si>
  <si>
    <t>Florante Tomas Ruiz</t>
  </si>
  <si>
    <t>Russell C Narte</t>
  </si>
  <si>
    <t>RICHARD ANDAYA FERNANDEZ</t>
  </si>
  <si>
    <t>Maria Andrea Carvajal Tiong</t>
  </si>
  <si>
    <t>Felibert  Ramos Salvador</t>
  </si>
  <si>
    <t>Sonny Miranda Naing</t>
  </si>
  <si>
    <t>Erlwin S. Andres</t>
  </si>
  <si>
    <t>Hazelyn Gellangarin</t>
  </si>
  <si>
    <t>JOSEPH HERBON BUSA</t>
  </si>
  <si>
    <t>Virginia D. Balderas</t>
  </si>
  <si>
    <t>FRANCISCO I. CORPUZ, JR.</t>
  </si>
  <si>
    <t>Michelle A Supena</t>
  </si>
  <si>
    <t>Lorena Obsiquo Escaro</t>
  </si>
  <si>
    <t>Ramil Custodio Martinez</t>
  </si>
  <si>
    <t>Janely Porras Ansoyon</t>
  </si>
  <si>
    <t>Florence D. Gonzales</t>
  </si>
  <si>
    <t>FRANCISCO D. GUINAYON</t>
  </si>
  <si>
    <t>WILFREDO SERDAN ILANO</t>
  </si>
  <si>
    <t>Ilarde Constantino Viernes</t>
  </si>
  <si>
    <t>LUDMILA BETONIO BAGABALDO</t>
  </si>
  <si>
    <t>Eddie cabacungan Acosta</t>
  </si>
  <si>
    <t>Romeo Dumadaug Palmares</t>
  </si>
  <si>
    <t>Mark Alvin Hernandez Gatus</t>
  </si>
  <si>
    <t>JOCELYN A. FERNANDO, MPMG</t>
  </si>
  <si>
    <t>Nolan A Tocao</t>
  </si>
  <si>
    <t>Martin C Lagmay</t>
  </si>
  <si>
    <t>Cristina Olvido Gutierrez</t>
  </si>
  <si>
    <t>JUANITO, JR. SALDO CASIA</t>
  </si>
  <si>
    <t>Maiden P. Cortez</t>
  </si>
  <si>
    <t>Cristito I. Gonzales</t>
  </si>
  <si>
    <t>Mylene Giselle C. Catbagan</t>
  </si>
  <si>
    <t>Merlinda Sotto Terez</t>
  </si>
  <si>
    <t>Rosario Corazon  Sison  Abara</t>
  </si>
  <si>
    <t>Triumpo Jr Neypes Cantillo</t>
  </si>
  <si>
    <t>DOLORES JAVIER GOTICO</t>
  </si>
  <si>
    <t>Kristine Gomez Contreras</t>
  </si>
  <si>
    <t>Leonard D Danao</t>
  </si>
  <si>
    <t>Consuelo Irish Batula</t>
  </si>
  <si>
    <t>Rowena M Mirhan</t>
  </si>
  <si>
    <t>ANALISA FUASO GUILLARDE</t>
  </si>
  <si>
    <t>HERIBERTO AROCENA TOMAS</t>
  </si>
  <si>
    <t>Marie Angelie Fabello Moreno</t>
  </si>
  <si>
    <t>Geronimo  Jr. B. Alcaraz</t>
  </si>
  <si>
    <t>PRISCILLA SOTELO BATOR</t>
  </si>
  <si>
    <t>VENUS ESCOBAR TORRES</t>
  </si>
  <si>
    <t>JOSE TOMINES CAMPOS</t>
  </si>
  <si>
    <t>Baivy Leen Mendoza Reyes</t>
  </si>
  <si>
    <t>ALEJANDRO N GELA,JR</t>
  </si>
  <si>
    <t>angelito quilaton cuyno</t>
  </si>
  <si>
    <t>CHARITO TACTAC YANGAT</t>
  </si>
  <si>
    <t>Angelo Arca dela Rosa</t>
  </si>
  <si>
    <t>Gilbert Cuaresma</t>
  </si>
  <si>
    <t>ARCANGEL TARALA RODRIGUEZ</t>
  </si>
  <si>
    <t>Ann S Ancajas</t>
  </si>
  <si>
    <t>Ramon Jr. M. Villareal</t>
  </si>
  <si>
    <t>Albern B Alcantara</t>
  </si>
  <si>
    <t>Wencislao Jr. Calimlim Cagalitan</t>
  </si>
  <si>
    <t>Ellen Espiritu Tividad</t>
  </si>
  <si>
    <t>JAMES REYES DOLOROSO</t>
  </si>
  <si>
    <t>Gina Francisco Placido</t>
  </si>
  <si>
    <t>Linda Bautista Nalayog</t>
  </si>
  <si>
    <t>Vito Gammad Auayang</t>
  </si>
  <si>
    <t>NORBERTO , JR LUCASAN TALIDONG</t>
  </si>
  <si>
    <t>RICKY CRUIZ POCON</t>
  </si>
  <si>
    <t>EDUARDO C ONG</t>
  </si>
  <si>
    <t>Liezel J Supremo</t>
  </si>
  <si>
    <t>Pablo, Jr. M Magpily</t>
  </si>
  <si>
    <t>Jeanecel Sacel Semellano</t>
  </si>
  <si>
    <t>Arlene Longno Opeño</t>
  </si>
  <si>
    <t>Thea Joy Tabanao Conrada</t>
  </si>
  <si>
    <t>JAIME L. COTALES</t>
  </si>
  <si>
    <t>Arnaldo G Liansing</t>
  </si>
  <si>
    <t>Precious Padayao Rumbaoa</t>
  </si>
  <si>
    <t>Lolita M. Fullante</t>
  </si>
  <si>
    <t>PRUDENCIO EGSAN NOCELO, JR.</t>
  </si>
  <si>
    <t>Marilyn Ordillo Guerrero</t>
  </si>
  <si>
    <t>Jerrico A. Benzon</t>
  </si>
  <si>
    <t>Hilda Ramirez</t>
  </si>
  <si>
    <t>Ria C. Agbulos</t>
  </si>
  <si>
    <t>Calixto J. Quiros</t>
  </si>
  <si>
    <t>Marjorie Munar Cabacungan</t>
  </si>
  <si>
    <t>SEAN ARCE ELAD</t>
  </si>
  <si>
    <t>Rhonna Regina  Puno</t>
  </si>
  <si>
    <t>Nonito Cervancia</t>
  </si>
  <si>
    <t>Nikko C. Valenzona</t>
  </si>
  <si>
    <t>Anna Karla Mae Postor Grindulo</t>
  </si>
  <si>
    <t>JENNY BEE HERBILLA RIVERA</t>
  </si>
  <si>
    <t>Lorelei A. Masias</t>
  </si>
  <si>
    <t>Mariel De Vera Mohammad-Sali</t>
  </si>
  <si>
    <t>Kaloudyne D. Rigos</t>
  </si>
  <si>
    <t>Lydia A. Gonzales</t>
  </si>
  <si>
    <t>Erwin L. Tepace</t>
  </si>
  <si>
    <t>JOY ANGELINE   R.  VILLACILLO</t>
  </si>
  <si>
    <t>fredericka F. ferriol</t>
  </si>
  <si>
    <t>Ma. Fe Villanueva Derla</t>
  </si>
  <si>
    <t>rejulio jacildo bruno</t>
  </si>
  <si>
    <t>Claress Montojo</t>
  </si>
  <si>
    <t>Josefina M Ayon</t>
  </si>
  <si>
    <t>JOVELYN SIRIBAN CUBANO</t>
  </si>
  <si>
    <t>LILYBETH  COYMO  QUINTAR</t>
  </si>
  <si>
    <t>Marcelino Jr. R. Bebanco</t>
  </si>
  <si>
    <t>ROLITO CABULAY BARCARSE</t>
  </si>
  <si>
    <t>Mary Ann A. Lazo</t>
  </si>
  <si>
    <t>JEAN ALLEN PECHAYCO ALEJANDRO</t>
  </si>
  <si>
    <t>Merma Lea R. Abalos</t>
  </si>
  <si>
    <t>Evan Irish L Acas</t>
  </si>
  <si>
    <t>Helen Grace P. Hilario</t>
  </si>
  <si>
    <t>Dindo Hicap Caliwanagan</t>
  </si>
  <si>
    <t>THERESA ZANARIAS ZAQUITA</t>
  </si>
  <si>
    <t>Ma. Leah Linda Susada Tan</t>
  </si>
  <si>
    <t>Alberto V. Cainglet</t>
  </si>
  <si>
    <t>Shirley Vegiga Turla</t>
  </si>
  <si>
    <t>Milagros M. Perez</t>
  </si>
  <si>
    <t>JERRY DIMLA CRUZ</t>
  </si>
  <si>
    <t>Randolf B.  Dimal</t>
  </si>
  <si>
    <t>Zandra Canon Pia</t>
  </si>
  <si>
    <t>Glenn A. Lamag</t>
  </si>
  <si>
    <t>DERRICK ENCARNACION MAYOR</t>
  </si>
  <si>
    <t>Mhelda Grace Leyma</t>
  </si>
  <si>
    <t>Ma. Anelyn Cubias</t>
  </si>
  <si>
    <t>Rhoderick T. Haban</t>
  </si>
  <si>
    <t>Ricardo A. Negado</t>
  </si>
  <si>
    <t>Expedito Magluyan Villaruz</t>
  </si>
  <si>
    <t>Nicanor Padios</t>
  </si>
  <si>
    <t>CHARISMA ALLAPITAN BARUT</t>
  </si>
  <si>
    <t>Estrella Bacaling Abapo</t>
  </si>
  <si>
    <t>Rosemary Terez Gepte</t>
  </si>
  <si>
    <t>Romel Olmedo Gelilang</t>
  </si>
  <si>
    <t>Vilma B. Ballan</t>
  </si>
  <si>
    <t>Herma Aratan Seruela</t>
  </si>
  <si>
    <t>Renato E. Masculino</t>
  </si>
  <si>
    <t>Noel B. Maducdoc</t>
  </si>
  <si>
    <t>Michael Subagan Dulay</t>
  </si>
  <si>
    <t>Ronville Mejica Muego</t>
  </si>
  <si>
    <t>Quin Geraldine Flores Lee</t>
  </si>
  <si>
    <t>Renee  Salomon  Davad</t>
  </si>
  <si>
    <t>Leah Mary Grace Flores Sanga</t>
  </si>
  <si>
    <t>Albert C. Villamor</t>
  </si>
  <si>
    <t>RAYMUND R. MATEO</t>
  </si>
  <si>
    <t>Elnera Ching</t>
  </si>
  <si>
    <t>Lorie Emmanuel B. Arago</t>
  </si>
  <si>
    <t>SIGHLIE MANLOGON REGODON</t>
  </si>
  <si>
    <t>Ma. Socorro C Tabang</t>
  </si>
  <si>
    <t>Judilyn Tampepe Natabio</t>
  </si>
  <si>
    <t>CHRISTIAN  HILUANO  BOKINGO</t>
  </si>
  <si>
    <t>Elmira Momo</t>
  </si>
  <si>
    <t>Katrine Natanauan Martinez</t>
  </si>
  <si>
    <t>Shiela Cueto Zulueta</t>
  </si>
  <si>
    <t>IMELDA  C.  DELLORO</t>
  </si>
  <si>
    <t>Christopher Bataller Villafria</t>
  </si>
  <si>
    <t>Andro L. Colacion</t>
  </si>
  <si>
    <t>Jellyby M Manlin</t>
  </si>
  <si>
    <t>Raymart   S.  Adonis</t>
  </si>
  <si>
    <t>Rommel Geraldizo Bendicion</t>
  </si>
  <si>
    <t>Arlene Caliente Tagra</t>
  </si>
  <si>
    <t>Madelyn Delbo Betic</t>
  </si>
  <si>
    <t>ELVIRA LAGDAMEN POLINES</t>
  </si>
  <si>
    <t>Myrna Valencia Villarin</t>
  </si>
  <si>
    <t>TERESA M. ARCONCIL</t>
  </si>
  <si>
    <t>Aimee Antonio Jimeno</t>
  </si>
  <si>
    <t>Antonio Y. Calonge</t>
  </si>
  <si>
    <t>Ruby Anna S. Benamir</t>
  </si>
  <si>
    <t>Paul Francis Sarmiento Tomimbang</t>
  </si>
  <si>
    <t>Charito Tinio Mertens</t>
  </si>
  <si>
    <t>Asuncion Asuncion Padre</t>
  </si>
  <si>
    <t>Godofredo P Lubat  Jr.</t>
  </si>
  <si>
    <t>Janine M. Balilia</t>
  </si>
  <si>
    <t>Gloria Española Amar</t>
  </si>
  <si>
    <t>GLENDA S. RUIZ</t>
  </si>
  <si>
    <t>Ronald D. Elnar</t>
  </si>
  <si>
    <t>CYLENE VILLAR PUGUON</t>
  </si>
  <si>
    <t>Vilma  Elarmo</t>
  </si>
  <si>
    <t>Rojie Lynn "Tata" Quirante Martizano</t>
  </si>
  <si>
    <t>Christopher V. Morales</t>
  </si>
  <si>
    <t>Sonny Rellosa Ecal</t>
  </si>
  <si>
    <t>John David E Bonifacio</t>
  </si>
  <si>
    <t>Angelo Aniar Sabaybay</t>
  </si>
  <si>
    <t>Kimberly Englis Templado</t>
  </si>
  <si>
    <t>ELVIRA D. VERZOLA</t>
  </si>
  <si>
    <t>Narissa B Dado</t>
  </si>
  <si>
    <t>Lourdes F Arinduque</t>
  </si>
  <si>
    <t>Rodrigo Lagliba Bugawan</t>
  </si>
  <si>
    <t>Ambrocio Zapata Azares</t>
  </si>
  <si>
    <t>Miladilla Santiago</t>
  </si>
  <si>
    <t>ROSALYN AZUL CONDAT</t>
  </si>
  <si>
    <t>Nelson Suson Templa</t>
  </si>
  <si>
    <t>John Paulo Telmo Purino</t>
  </si>
  <si>
    <t>Marvin T. Dimasaca</t>
  </si>
  <si>
    <t>Pablo L Nabong</t>
  </si>
  <si>
    <t>JEANNE V. BAUZON</t>
  </si>
  <si>
    <t>LEOREYSALDIE NAPATA SALANATIN</t>
  </si>
  <si>
    <t>Lorna Colob Lustria</t>
  </si>
  <si>
    <t>Donald De la Cruz Landero</t>
  </si>
  <si>
    <t>MARIA ELIZA SANTANA SILLESA</t>
  </si>
  <si>
    <t>Anjie P. Ytac</t>
  </si>
  <si>
    <t>LEAH BANARES TUBID</t>
  </si>
  <si>
    <t>MARIA LUCIA RANIN REQUEJO</t>
  </si>
  <si>
    <t>Reuby Nick Villamor Babael</t>
  </si>
  <si>
    <t>Rosemarie  N.  Andulan</t>
  </si>
  <si>
    <t>Aida L Cerudo</t>
  </si>
  <si>
    <t>Genalyn Alvarez Tablatin</t>
  </si>
  <si>
    <t>Daven O. Herodias</t>
  </si>
  <si>
    <t>Danilo P Polestico</t>
  </si>
  <si>
    <t>Mellanie  Caisip  Dulay</t>
  </si>
  <si>
    <t>Jemar Olavides Bolando</t>
  </si>
  <si>
    <t>MARICHU HUERTA JIMENEZ</t>
  </si>
  <si>
    <t>Cholie M. Roble</t>
  </si>
  <si>
    <t>Sherryl Dumaicos Sampalucia</t>
  </si>
  <si>
    <t>Diomedes C Palor</t>
  </si>
  <si>
    <t>BAC Secretariat     Tel: 634-19-06</t>
  </si>
  <si>
    <t>Ma. Luisa Tumala Dela Rosa</t>
  </si>
  <si>
    <t>Jimmy Cunanan Dancel</t>
  </si>
  <si>
    <t>Patrocinia Sanigan Kalaw</t>
  </si>
  <si>
    <t>Diana D. Ermita</t>
  </si>
  <si>
    <t>Anselmo Baldoza Mano</t>
  </si>
  <si>
    <t>Amancio Velasco, Sr.</t>
  </si>
  <si>
    <t>BERNADETH REAL GULBEN</t>
  </si>
  <si>
    <t>Roger Jaspe</t>
  </si>
  <si>
    <t>FLORENCIO, JR. CARANZA CABALBAG</t>
  </si>
  <si>
    <t>Fatima Primaylon</t>
  </si>
  <si>
    <t>Mae Valledor</t>
  </si>
  <si>
    <t>GEMMA JABAYBAY DOLOROSA</t>
  </si>
  <si>
    <t>Erlinda S Pesado</t>
  </si>
  <si>
    <t>Rhandy D. Domingo</t>
  </si>
  <si>
    <t>Steve Leo Mangyan</t>
  </si>
  <si>
    <t>Lazaro Buluran Pascual</t>
  </si>
  <si>
    <t>JANE L. ABDUL</t>
  </si>
  <si>
    <t>Joan J. Sadaba</t>
  </si>
  <si>
    <t>Riza Tan Bautista</t>
  </si>
  <si>
    <t>ZORAIDA CORTINA COLLERA</t>
  </si>
  <si>
    <t>Edmar C Rivera</t>
  </si>
  <si>
    <t>Julie Ann Hallare Boaquiña</t>
  </si>
  <si>
    <t>Abner  R.  Formento</t>
  </si>
  <si>
    <t>Roxanne Lagnason Manoos</t>
  </si>
  <si>
    <t>Dawnavi Lae Valle Lacsado</t>
  </si>
  <si>
    <t>Engr. Arnulfo F. Tena</t>
  </si>
  <si>
    <t>MARCIANA CANCEJO MAXIMO</t>
  </si>
  <si>
    <t>ROWENA LEONES ROSETE</t>
  </si>
  <si>
    <t>ARCELI ESTANISLAO CORPUZ</t>
  </si>
  <si>
    <t>Jose Asis Malab</t>
  </si>
  <si>
    <t>Jayson Ahuday Pumihic</t>
  </si>
  <si>
    <t>BELEN CEPRES CHUCA</t>
  </si>
  <si>
    <t>Liza F Cariño</t>
  </si>
  <si>
    <t>MARICRIS G. DIAZ</t>
  </si>
  <si>
    <t>Louie Baler Estrella</t>
  </si>
  <si>
    <t>Clarence Lumot Nicolas</t>
  </si>
  <si>
    <t>Jannes Detablan Cantones</t>
  </si>
  <si>
    <t>Levi P. Baldonado</t>
  </si>
  <si>
    <t>Leoje Sulla Tagle</t>
  </si>
  <si>
    <t>JUNE ILYN TERADO ESTEBAN</t>
  </si>
  <si>
    <t>HERBERT   HENRY YAO</t>
  </si>
  <si>
    <t>Jaime Arnado Marcera</t>
  </si>
  <si>
    <t>Rita A. Del Mundo</t>
  </si>
  <si>
    <t>EDWARD SULIMA MAHINAY</t>
  </si>
  <si>
    <t>ANNIEREY PADSUNGAY TELLES</t>
  </si>
  <si>
    <t>JONALYN AGARPAO DE LEON</t>
  </si>
  <si>
    <t>RODRIGO, Sr. DE OCAMPO MORALES</t>
  </si>
  <si>
    <t>Luzviminda S. Reyes</t>
  </si>
  <si>
    <t>ALEX ROMMEL VELARDE ROMANO</t>
  </si>
  <si>
    <t>Jane Verceles Talento</t>
  </si>
  <si>
    <t>ROCHELLE LAMADORA GENORING</t>
  </si>
  <si>
    <t>EDSEL MONTERO CARAMONTE</t>
  </si>
  <si>
    <t>RONALD Q. PAJARILLO</t>
  </si>
  <si>
    <t>ANA ELISA LOURDES A. PARAISO</t>
  </si>
  <si>
    <t>Eulogeo Notarte Leonor</t>
  </si>
  <si>
    <t>Mahalia Nery De Jesus</t>
  </si>
  <si>
    <t>Julius Asuit Arcinas</t>
  </si>
  <si>
    <t>ELISEO C AGTUCA</t>
  </si>
  <si>
    <t>Ma Ruby S Carmona</t>
  </si>
  <si>
    <t>Renato Seso Cagomoc</t>
  </si>
  <si>
    <t>Wilfredo R Bartolini</t>
  </si>
  <si>
    <t>RACHELLE ALANO CRON</t>
  </si>
  <si>
    <t>JOEY C. PACQUING</t>
  </si>
  <si>
    <t>Angelita Flores Villanueva</t>
  </si>
  <si>
    <t>Jocelyn Maalat Torda</t>
  </si>
  <si>
    <t>Virginia Punay</t>
  </si>
  <si>
    <t>Dolly Caparro Calvez</t>
  </si>
  <si>
    <t>ROMULO JR DISPO</t>
  </si>
  <si>
    <t>LCDR RAYMOND A ROLDAN PN</t>
  </si>
  <si>
    <t>Josephine Pura Cochico</t>
  </si>
  <si>
    <t>Rodelito La Fuente Dacup</t>
  </si>
  <si>
    <t>Hope Jaravata Relayson</t>
  </si>
  <si>
    <t>RAUL DOBLERO GRANADA</t>
  </si>
  <si>
    <t>Manuel Perez Delica</t>
  </si>
  <si>
    <t>Maribeth Velasco</t>
  </si>
  <si>
    <t>Dan Kenneth Taguinin Viernes</t>
  </si>
  <si>
    <t>Jose Ferdinand Laloy Gabrido</t>
  </si>
  <si>
    <t>Brenda Igdon Balingit</t>
  </si>
  <si>
    <t>Necerio Lazarte</t>
  </si>
  <si>
    <t>Edmar Pascua</t>
  </si>
  <si>
    <t>Jerry M Nasayao</t>
  </si>
  <si>
    <t>Ma. Kristina Goylos Medalla</t>
  </si>
  <si>
    <t>Myline A. Dilla</t>
  </si>
  <si>
    <t>Hilarry Amigable Singalivo</t>
  </si>
  <si>
    <t>Hilma Caalim Notarte</t>
  </si>
  <si>
    <t>Wilfredo Satojito</t>
  </si>
  <si>
    <t>Marvin Francis U Apale</t>
  </si>
  <si>
    <t>Florian Agcopra Labiano</t>
  </si>
  <si>
    <t>Carlos H. Orito</t>
  </si>
  <si>
    <t>Candelaria Tamera Motin</t>
  </si>
  <si>
    <t>Michael T Orencia</t>
  </si>
  <si>
    <t>Felicisimo Villarico Wenceslao Jr.</t>
  </si>
  <si>
    <t>Fernando Boricano Mercene</t>
  </si>
  <si>
    <t>EDNA GONZALES</t>
  </si>
  <si>
    <t>Imelda Mariano Guillermo</t>
  </si>
  <si>
    <t>COLEEN C LOMOLJO</t>
  </si>
  <si>
    <t>Eva Bayog Napinas</t>
  </si>
  <si>
    <t>Ronnel Jake Bueno Razon</t>
  </si>
  <si>
    <t>Mark Daruca Petran</t>
  </si>
  <si>
    <t>Mirco Melendrez</t>
  </si>
  <si>
    <t>Leomar Bayod Balod</t>
  </si>
  <si>
    <t>Herbert Bernadas</t>
  </si>
  <si>
    <t>NERINA CABARRUBIAS DUCA</t>
  </si>
  <si>
    <t>ROBERT CONTILLO DELOS SANTOS</t>
  </si>
  <si>
    <t>LIBERTY REBOLLEDO AGUSTIN</t>
  </si>
  <si>
    <t>JUDITH PATRIARCA MANTOS</t>
  </si>
  <si>
    <t>HUSSEIN PANDAPATAN  DIANALAN</t>
  </si>
  <si>
    <t>SUSAN SANTOS TAMBALONG</t>
  </si>
  <si>
    <t>JOSEPH A. BUNAN</t>
  </si>
  <si>
    <t>Lucena Macalindong Garma</t>
  </si>
  <si>
    <t>Cherie Gil Golong Tagana</t>
  </si>
  <si>
    <t>JohnEryl Ramos Templonuevo</t>
  </si>
  <si>
    <t>Maricel R. Enrique</t>
  </si>
  <si>
    <t>Atty. Yvette N. Convento-Leynes</t>
  </si>
  <si>
    <t>JEZREEL JOHN MANALO MATRE</t>
  </si>
  <si>
    <t>MARJORIE ALVAREZ DELA CRUZ</t>
  </si>
  <si>
    <t>Emerlynda Castro Villaruel</t>
  </si>
  <si>
    <t>Illuminada N Saburao</t>
  </si>
  <si>
    <t>Alma A. Permejo</t>
  </si>
  <si>
    <t>Rovic G. Pantua</t>
  </si>
  <si>
    <t>Marlon L. Eslopor</t>
  </si>
  <si>
    <t>MARIE ANN AYSON TIGLAO</t>
  </si>
  <si>
    <t>Eugene Canonigo Bagasbas</t>
  </si>
  <si>
    <t>RONILO INTERO LAO</t>
  </si>
  <si>
    <t>BRENDO C. AUDIENCIA</t>
  </si>
  <si>
    <t>ROSALIE  RECTO DELGADO</t>
  </si>
  <si>
    <t>CELSO P. PALMA SR.</t>
  </si>
  <si>
    <t>Diana E Orcine</t>
  </si>
  <si>
    <t>Jocelyn Castro Ballesteros</t>
  </si>
  <si>
    <t>Gil C. Suratos</t>
  </si>
  <si>
    <t>Jerome Arroyo Agustin</t>
  </si>
  <si>
    <t>Eva D. Bañares</t>
  </si>
  <si>
    <t>Editha D. Cruz</t>
  </si>
  <si>
    <t>Fatima Madonna Ubalde Jaynario</t>
  </si>
  <si>
    <t>Susana De Guzman Domingo</t>
  </si>
  <si>
    <t>Jahnson Salidaga Yap</t>
  </si>
  <si>
    <t>Ma. A. Marietta Real Dulong</t>
  </si>
  <si>
    <t>Arjay Caballero Dimafelix</t>
  </si>
  <si>
    <t>Vacant Vacant</t>
  </si>
  <si>
    <t>Olive V Ferreras</t>
  </si>
  <si>
    <t>Teodoro Andig Culpa</t>
  </si>
  <si>
    <t>MA. GLORIA GELI SORRERA</t>
  </si>
  <si>
    <t>Linell Fulleros Montuerto</t>
  </si>
  <si>
    <t>Kristine Meneses Torres</t>
  </si>
  <si>
    <t>Ruben M.  Villanueva</t>
  </si>
  <si>
    <t>Numeriano D. Mendoza</t>
  </si>
  <si>
    <t>Brendalyn Ungajan Fernando</t>
  </si>
  <si>
    <t>JUANITO ORATA APOSTOL,JR.</t>
  </si>
  <si>
    <t>Myla Apolonia Perea</t>
  </si>
  <si>
    <t>Gladys Bacwaden</t>
  </si>
  <si>
    <t>XANTHI ROMEILLA J VALLECER</t>
  </si>
  <si>
    <t>Filma Tulen Maghinay</t>
  </si>
  <si>
    <t>JOHN ANTHONY ASPURIA</t>
  </si>
  <si>
    <t>Darlina Fojas Falceso</t>
  </si>
  <si>
    <t>JOEL MERCADO MALIGAYA</t>
  </si>
  <si>
    <t>Gina R Concon</t>
  </si>
  <si>
    <t>MERCEDES M. ALFUERTE</t>
  </si>
  <si>
    <t>GERARDO ULEP GARMA</t>
  </si>
  <si>
    <t>Rosalinda Baring Ongue</t>
  </si>
  <si>
    <t>MARIA CORAZON RIVA VALDEMORO</t>
  </si>
  <si>
    <t>David Bonifacio</t>
  </si>
  <si>
    <t>Catherine Juntarciego Nomananap</t>
  </si>
  <si>
    <t>Tony B. Evangelista Jr.</t>
  </si>
  <si>
    <t>Rolando Veronilla Pe</t>
  </si>
  <si>
    <t>Emmanuel Edquilang Gulay</t>
  </si>
  <si>
    <t>Ma. Cela Genio De Guzman</t>
  </si>
  <si>
    <t>MA. LOURDES V LABACLADO</t>
  </si>
  <si>
    <t>Jose Ablay Alvarez</t>
  </si>
  <si>
    <t>Jolina Bonleon Vital</t>
  </si>
  <si>
    <t>ROSMENDO CARDINEZ BONGOCAN, JR.</t>
  </si>
  <si>
    <t>Jimmy M Magnaye</t>
  </si>
  <si>
    <t>JENELYN DALANGIN</t>
  </si>
  <si>
    <t>Helen A. Cabarles</t>
  </si>
  <si>
    <t>Rolando Londonio De Leon</t>
  </si>
  <si>
    <t>KAREN  M. MAGSALIN</t>
  </si>
  <si>
    <t>Mary Jofel C Santelices</t>
  </si>
  <si>
    <t>EVELYN EVANGELISTA OCAMPO</t>
  </si>
  <si>
    <t>Orlando Bartolome Enderez</t>
  </si>
  <si>
    <t>Patrick Orines Gonzales</t>
  </si>
  <si>
    <t>Clemen Gio Reagan</t>
  </si>
  <si>
    <t>MA LOURDES BONOTAN DANGGA</t>
  </si>
  <si>
    <t>ERWIN A. ESPINAS</t>
  </si>
  <si>
    <t>Ronaldo T. Soletario</t>
  </si>
  <si>
    <t>Larina Esquibel Lopez</t>
  </si>
  <si>
    <t>VINCENT RON B BACOL</t>
  </si>
  <si>
    <t>TRIPON  MERCADO  CONDEZA</t>
  </si>
  <si>
    <t>Nelson Moskito Merculio</t>
  </si>
  <si>
    <t>Teodoro Alo Jabahab</t>
  </si>
  <si>
    <t>Eduardo Agpalza Abiva</t>
  </si>
  <si>
    <t>Eduardo M. Doria</t>
  </si>
  <si>
    <t>Ma. Socorro Lacambra Domingo</t>
  </si>
  <si>
    <t>Marc P Salaguban</t>
  </si>
  <si>
    <t>Esterlina I. Gamez</t>
  </si>
  <si>
    <t>Cezar Kuan Paronda</t>
  </si>
  <si>
    <t>Jose Antonio Gorordo Flores</t>
  </si>
  <si>
    <t>Myrna Badilles Belgado</t>
  </si>
  <si>
    <t>Rico Basilio Macabare</t>
  </si>
  <si>
    <t>Anne Camille Carlos Bautista</t>
  </si>
  <si>
    <t>Charlotte R. Zacarias</t>
  </si>
  <si>
    <t>Baby Catherine B Cruz</t>
  </si>
  <si>
    <t>Rodrigo S Baid</t>
  </si>
  <si>
    <t>MERTLITA  SABINO</t>
  </si>
  <si>
    <t>Anna May Laulita Martinez</t>
  </si>
  <si>
    <t>Rolinda Macario De Julian</t>
  </si>
  <si>
    <t>Maria Cela G. De Guzman</t>
  </si>
  <si>
    <t>Mike Jun Fuentecilla Onting</t>
  </si>
  <si>
    <t>Lou Wendell C San Jose</t>
  </si>
  <si>
    <t>Gilda Filoteo Lluisma</t>
  </si>
  <si>
    <t>JENALYN MADOLID NEBRIDA</t>
  </si>
  <si>
    <t>Karen Christine O. Onanad</t>
  </si>
  <si>
    <t>Reinerio Boglosa</t>
  </si>
  <si>
    <t>ERIKA R. DURAN</t>
  </si>
  <si>
    <t>Virgilio Monsod Cabueñas</t>
  </si>
  <si>
    <t>ezekiel gacias tangaro</t>
  </si>
  <si>
    <t>Lailani S Hernandez</t>
  </si>
  <si>
    <t>GLENN PAULINO GADIA</t>
  </si>
  <si>
    <t>Mila Rodrin Creencia 2</t>
  </si>
  <si>
    <t>Ruby Anne M. Escandor</t>
  </si>
  <si>
    <t>Faye Bungag Maraggun</t>
  </si>
  <si>
    <t>MARIVIC V MAKILAN</t>
  </si>
  <si>
    <t>Ralph Rhomar Morales Buenaventura</t>
  </si>
  <si>
    <t>Ma. Christina C. Pabicon</t>
  </si>
  <si>
    <t>Chari Rose Mozol Apit</t>
  </si>
  <si>
    <t>Vincent Joseph D. Disu</t>
  </si>
  <si>
    <t>Roderick I. Mendoza</t>
  </si>
  <si>
    <t>Efren Serono Tubongbanua</t>
  </si>
  <si>
    <t>Victor Y Romano</t>
  </si>
  <si>
    <t>Kelly Sajo</t>
  </si>
  <si>
    <t>JENNIFER MARQUEZ</t>
  </si>
  <si>
    <t>Benedict Jebunan Matawaran</t>
  </si>
  <si>
    <t>Ladislao  Gumboc  Flores</t>
  </si>
  <si>
    <t>Janelle Dela Cruz</t>
  </si>
  <si>
    <t>Wilfredo V Alcoriza</t>
  </si>
  <si>
    <t>Janine S. Zarate</t>
  </si>
  <si>
    <t>Kim Gerald Perdido Cortes</t>
  </si>
  <si>
    <t>Oscar Jr. Martin Reyes</t>
  </si>
  <si>
    <t>Liberty C Angeles</t>
  </si>
  <si>
    <t>Ranjev M Garcia</t>
  </si>
  <si>
    <t>Lubelle B. Lumabas</t>
  </si>
  <si>
    <t>Presentacion "Glenda" Medenilla Gajes</t>
  </si>
  <si>
    <t xml:space="preserve">Editha  Malabosa </t>
  </si>
  <si>
    <t>Chona Perez</t>
  </si>
  <si>
    <t>Rheajane Chu Saavedra</t>
  </si>
  <si>
    <t>Rosario Marina Mendoza de Castro</t>
  </si>
  <si>
    <t>Karen Wright Ramirez</t>
  </si>
  <si>
    <t>ALLEN M FORTES</t>
  </si>
  <si>
    <t>Alan C. Santos</t>
  </si>
  <si>
    <t>Juvy  Fugnit  Paulican</t>
  </si>
  <si>
    <t>Leonilo Lota Laborte</t>
  </si>
  <si>
    <t>Jannette Rojas Raganit</t>
  </si>
  <si>
    <t>MARIA ELINOR F. HEMEDES</t>
  </si>
  <si>
    <t>Niño G. Mascareñas</t>
  </si>
  <si>
    <t>Rosanna Tan Andal</t>
  </si>
  <si>
    <t>Minrad Quinto Tigno</t>
  </si>
  <si>
    <t>ABNER VILLAFLOR DE LA CRUZ</t>
  </si>
  <si>
    <t>miguel cosep baya</t>
  </si>
  <si>
    <t>Ray-Ann Sorilla</t>
  </si>
  <si>
    <t>Chenaryl M. Cordero</t>
  </si>
  <si>
    <t>Allan C. Cauilan</t>
  </si>
  <si>
    <t>Jerona M. Silagan</t>
  </si>
  <si>
    <t>Noel  Alcabaza</t>
  </si>
  <si>
    <t>Michele Solon Mapalo</t>
  </si>
  <si>
    <t>Liza Labog Enicola</t>
  </si>
  <si>
    <t>Dindo Cornejo Montablan</t>
  </si>
  <si>
    <t>Ofelia Cerdena Cabuenas</t>
  </si>
  <si>
    <t>Active</t>
  </si>
  <si>
    <t>Order</t>
  </si>
  <si>
    <t>24/08/2020</t>
  </si>
  <si>
    <t>23/08/2020</t>
  </si>
  <si>
    <t>22/08/2020</t>
  </si>
  <si>
    <t>21/08/2020</t>
  </si>
  <si>
    <t>25/08/2020</t>
  </si>
  <si>
    <t>20/08/2020</t>
  </si>
  <si>
    <t>19/08/2020</t>
  </si>
  <si>
    <t>18/08/2020</t>
  </si>
  <si>
    <t>17/08/2020</t>
  </si>
  <si>
    <t>16/08/2020</t>
  </si>
  <si>
    <t>15/08/2020</t>
  </si>
  <si>
    <t>14/08/2020</t>
  </si>
  <si>
    <t>13/08/2020</t>
  </si>
  <si>
    <t>12/08/2020</t>
  </si>
  <si>
    <t>11/08/2020</t>
  </si>
  <si>
    <t>10/08/2020</t>
  </si>
  <si>
    <t>09/08/2020</t>
  </si>
  <si>
    <t>08/08/2020</t>
  </si>
  <si>
    <t>07/08/2020</t>
  </si>
  <si>
    <t>06/08/2020</t>
  </si>
  <si>
    <t>05/08/2020</t>
  </si>
  <si>
    <t>04/08/2020</t>
  </si>
  <si>
    <t>03/08/2020</t>
  </si>
  <si>
    <t>31/07/2020</t>
  </si>
  <si>
    <t>01/08/2020</t>
  </si>
  <si>
    <t>02/08/2020</t>
  </si>
  <si>
    <t>30/07/2020</t>
  </si>
  <si>
    <t>29/07/2020</t>
  </si>
  <si>
    <t>28/07/2020</t>
  </si>
  <si>
    <t>27/07/2020</t>
  </si>
  <si>
    <t>25/07/2020</t>
  </si>
  <si>
    <t>24/07/2020</t>
  </si>
  <si>
    <t>23/07/2020</t>
  </si>
  <si>
    <t>22/07/2020</t>
  </si>
  <si>
    <t>21/07/2020</t>
  </si>
  <si>
    <t>20/07/2020</t>
  </si>
  <si>
    <t>17/07/2020</t>
  </si>
  <si>
    <t>18/07/2020</t>
  </si>
  <si>
    <t>19/07/2020</t>
  </si>
  <si>
    <t>10/07/2020</t>
  </si>
  <si>
    <t>14/07/2020</t>
  </si>
  <si>
    <t>11/07/2020</t>
  </si>
  <si>
    <t>12/07/2020</t>
  </si>
  <si>
    <t>15/07/2020</t>
  </si>
  <si>
    <t>16/07/2020</t>
  </si>
  <si>
    <t>09/07/2020</t>
  </si>
  <si>
    <t>08/07/2020</t>
  </si>
  <si>
    <t>01/07/2020</t>
  </si>
  <si>
    <t>02/07/2020</t>
  </si>
  <si>
    <t>03/07/2020</t>
  </si>
  <si>
    <t>28/06/2020</t>
  </si>
  <si>
    <t>29/06/2020</t>
  </si>
  <si>
    <t>27/06/2020</t>
  </si>
  <si>
    <t>30/06/2020</t>
  </si>
  <si>
    <t>23/06/2020</t>
  </si>
  <si>
    <t>24/06/2020</t>
  </si>
  <si>
    <t>06/07/2020</t>
  </si>
  <si>
    <t>26/06/2020</t>
  </si>
  <si>
    <t>07/07/2020</t>
  </si>
  <si>
    <t>21/06/2020</t>
  </si>
  <si>
    <t>03/06/2020</t>
  </si>
  <si>
    <t>04/06/2020</t>
  </si>
  <si>
    <t>25/06/2020</t>
  </si>
  <si>
    <t>02/06/2020</t>
  </si>
  <si>
    <t>06/06/2020</t>
  </si>
  <si>
    <t>11/06/2020</t>
  </si>
  <si>
    <t>12/06/2020</t>
  </si>
  <si>
    <t>17/06/2020</t>
  </si>
  <si>
    <t>20/06/2020</t>
  </si>
  <si>
    <t>10/06/2020</t>
  </si>
  <si>
    <t>07/05/2020</t>
  </si>
  <si>
    <t>28/04/2020</t>
  </si>
  <si>
    <t>22/05/2020</t>
  </si>
  <si>
    <t>30/04/2020</t>
  </si>
  <si>
    <t>28/05/2020</t>
  </si>
  <si>
    <t>30/05/2020</t>
  </si>
  <si>
    <t>29/05/2020</t>
  </si>
  <si>
    <t>17/03/2020</t>
  </si>
  <si>
    <t>16/03/2020</t>
  </si>
  <si>
    <t>13/03/2020</t>
  </si>
  <si>
    <t>23/03/2020</t>
  </si>
  <si>
    <t>01/04/2020</t>
  </si>
  <si>
    <t>17/04/2020</t>
  </si>
  <si>
    <t>06/04/2020</t>
  </si>
  <si>
    <t>03/03/2020</t>
  </si>
  <si>
    <t>04/03/2020</t>
  </si>
  <si>
    <t>05/03/2020</t>
  </si>
  <si>
    <t>06/03/2020</t>
  </si>
  <si>
    <t>30/01/2020</t>
  </si>
  <si>
    <t>05/02/2020</t>
  </si>
  <si>
    <t>06/02/2020</t>
  </si>
  <si>
    <t>12/02/2020</t>
  </si>
  <si>
    <t>14/02/2020</t>
  </si>
  <si>
    <t>20/12/2019</t>
  </si>
  <si>
    <t>24/01/2020</t>
  </si>
  <si>
    <t>20/02/2020</t>
  </si>
  <si>
    <t>21/02/2020</t>
  </si>
  <si>
    <t>26/02/2020</t>
  </si>
  <si>
    <t>29/02/2020</t>
  </si>
  <si>
    <t>07/03/2020</t>
  </si>
  <si>
    <t>10/03/2020</t>
  </si>
  <si>
    <t>20/03/2020</t>
  </si>
  <si>
    <t>11/03/2020</t>
  </si>
  <si>
    <t>28/02/2020</t>
  </si>
  <si>
    <t>12/03/2020</t>
  </si>
  <si>
    <t>27/04/2020</t>
  </si>
  <si>
    <t>15/02/2020</t>
  </si>
  <si>
    <t>27/02/2020</t>
  </si>
  <si>
    <t>24/08/2020 12:00 AM</t>
  </si>
  <si>
    <t>24/08/2020 8:55 AM</t>
  </si>
  <si>
    <t>23/08/2020 12:00 AM</t>
  </si>
  <si>
    <t>24/08/2020 7:28 PM</t>
  </si>
  <si>
    <t>24/08/2020 10:18 AM</t>
  </si>
  <si>
    <t>22/08/2020 12:00 AM</t>
  </si>
  <si>
    <t>22/08/2020 2:03 AM</t>
  </si>
  <si>
    <t>24/08/2020 6:37 PM</t>
  </si>
  <si>
    <t>24/08/2020 8:03 AM</t>
  </si>
  <si>
    <t>21/08/2020 12:00 AM</t>
  </si>
  <si>
    <t>24/08/2020 12:04 PM</t>
  </si>
  <si>
    <t>24/08/2020 4:25 PM</t>
  </si>
  <si>
    <t>24/08/2020 10:11 AM</t>
  </si>
  <si>
    <t>24/08/2020 5:08 PM</t>
  </si>
  <si>
    <t>24/08/2020 5:12 PM</t>
  </si>
  <si>
    <t>24/08/2020 5:10 PM</t>
  </si>
  <si>
    <t>24/08/2020 4:01 PM</t>
  </si>
  <si>
    <t>24/08/2020 12:45 PM</t>
  </si>
  <si>
    <t>22/08/2020 2:12 PM</t>
  </si>
  <si>
    <t>24/08/2020 3:39 PM</t>
  </si>
  <si>
    <t>21/08/2020 4:21 PM</t>
  </si>
  <si>
    <t>24/08/2020 11:29 AM</t>
  </si>
  <si>
    <t>24/08/2020 5:11 PM</t>
  </si>
  <si>
    <t>21/08/2020 4:25 PM</t>
  </si>
  <si>
    <t>21/08/2020 4:47 PM</t>
  </si>
  <si>
    <t>21/08/2020 5:00 PM</t>
  </si>
  <si>
    <t>21/08/2020 4:35 PM</t>
  </si>
  <si>
    <t>21/08/2020 5:13 PM</t>
  </si>
  <si>
    <t>25/08/2020 12:00 AM</t>
  </si>
  <si>
    <t>24/08/2020 1:58 PM</t>
  </si>
  <si>
    <t>20/08/2020 12:00 AM</t>
  </si>
  <si>
    <t>20/08/2020 9:12 PM</t>
  </si>
  <si>
    <t>20/08/2020 9:08 PM</t>
  </si>
  <si>
    <t>20/08/2020 9:05 PM</t>
  </si>
  <si>
    <t>20/08/2020 9:11 PM</t>
  </si>
  <si>
    <t>20/08/2020 3:54 PM</t>
  </si>
  <si>
    <t>24/08/2020 6:08 PM</t>
  </si>
  <si>
    <t>24/08/2020 10:20 PM</t>
  </si>
  <si>
    <t>24/08/2020 3:00 PM</t>
  </si>
  <si>
    <t>24/08/2020 4:52 PM</t>
  </si>
  <si>
    <t>20/08/2020 1:35 PM</t>
  </si>
  <si>
    <t>24/08/2020 2:24 PM</t>
  </si>
  <si>
    <t>20/08/2020 1:37 PM</t>
  </si>
  <si>
    <t>20/08/2020 10:00 AM</t>
  </si>
  <si>
    <t>24/08/2020 4:02 PM</t>
  </si>
  <si>
    <t>20/08/2020 2:28 PM</t>
  </si>
  <si>
    <t>20/08/2020 10:19 AM</t>
  </si>
  <si>
    <t>24/08/2020 4:43 PM</t>
  </si>
  <si>
    <t>24/08/2020 5:28 PM</t>
  </si>
  <si>
    <t>24/08/2020 4:45 PM</t>
  </si>
  <si>
    <t>24/08/2020 5:31 PM</t>
  </si>
  <si>
    <t>19/08/2020 12:00 AM</t>
  </si>
  <si>
    <t>20/08/2020 2:18 PM</t>
  </si>
  <si>
    <t>20/08/2020 9:02 PM</t>
  </si>
  <si>
    <t>20/08/2020 9:03 PM</t>
  </si>
  <si>
    <t>20/08/2020 9:06 AM</t>
  </si>
  <si>
    <t>20/08/2020 1:50 PM</t>
  </si>
  <si>
    <t>20/08/2020 1:48 PM</t>
  </si>
  <si>
    <t>20/08/2020 11:19 AM</t>
  </si>
  <si>
    <t>20/08/2020 11:23 AM</t>
  </si>
  <si>
    <t>20/08/2020 1:49 PM</t>
  </si>
  <si>
    <t>20/08/2020 11:14 AM</t>
  </si>
  <si>
    <t>20/08/2020 11:10 AM</t>
  </si>
  <si>
    <t>20/08/2020 1:46 PM</t>
  </si>
  <si>
    <t>20/08/2020 1:41 PM</t>
  </si>
  <si>
    <t>22/08/2020 11:39 PM</t>
  </si>
  <si>
    <t>22/08/2020 11:35 PM</t>
  </si>
  <si>
    <t>20/08/2020 8:57 AM</t>
  </si>
  <si>
    <t>19/08/2020 1:24 PM</t>
  </si>
  <si>
    <t>19/08/2020 10:33 AM</t>
  </si>
  <si>
    <t>19/08/2020 11:44 AM</t>
  </si>
  <si>
    <t>23/08/2020 6:11 PM</t>
  </si>
  <si>
    <t>19/08/2020 9:15 AM</t>
  </si>
  <si>
    <t>19/08/2020 9:26 AM</t>
  </si>
  <si>
    <t>24/08/2020 7:05 PM</t>
  </si>
  <si>
    <t>19/08/2020 10:16 AM</t>
  </si>
  <si>
    <t>24/08/2020 9:13 AM</t>
  </si>
  <si>
    <t>19/08/2020 4:11 PM</t>
  </si>
  <si>
    <t>24/08/2020 6:58 PM</t>
  </si>
  <si>
    <t>19/08/2020 8:46 AM</t>
  </si>
  <si>
    <t>19/08/2020 8:44 AM</t>
  </si>
  <si>
    <t>20/08/2020 2:42 PM</t>
  </si>
  <si>
    <t>20/08/2020 11:44 AM</t>
  </si>
  <si>
    <t>24/08/2020 2:29 PM</t>
  </si>
  <si>
    <t>24/08/2020 3:54 PM</t>
  </si>
  <si>
    <t>24/08/2020 3:50 PM</t>
  </si>
  <si>
    <t>24/08/2020 3:45 PM</t>
  </si>
  <si>
    <t>18/08/2020 12:00 AM</t>
  </si>
  <si>
    <t>21/08/2020 2:57 PM</t>
  </si>
  <si>
    <t>21/08/2020 3:16 PM</t>
  </si>
  <si>
    <t>21/08/2020 3:11 PM</t>
  </si>
  <si>
    <t>21/08/2020 2:59 PM</t>
  </si>
  <si>
    <t>21/08/2020 3:08 PM</t>
  </si>
  <si>
    <t>21/08/2020 3:06 PM</t>
  </si>
  <si>
    <t>21/08/2020 3:13 PM</t>
  </si>
  <si>
    <t>24/08/2020 2:52 PM</t>
  </si>
  <si>
    <t>24/08/2020 2:51 PM</t>
  </si>
  <si>
    <t>19/08/2020 9:03 AM</t>
  </si>
  <si>
    <t>24/08/2020 2:50 PM</t>
  </si>
  <si>
    <t>19/08/2020 8:59 AM</t>
  </si>
  <si>
    <t>19/08/2020 8:57 AM</t>
  </si>
  <si>
    <t>20/08/2020 9:25 PM</t>
  </si>
  <si>
    <t>20/08/2020 1:24 PM</t>
  </si>
  <si>
    <t>19/08/2020 8:03 PM</t>
  </si>
  <si>
    <t>20/08/2020 10:38 AM</t>
  </si>
  <si>
    <t>20/08/2020 2:45 PM</t>
  </si>
  <si>
    <t>19/08/2020 8:18 PM</t>
  </si>
  <si>
    <t>19/08/2020 1:55 PM</t>
  </si>
  <si>
    <t>20/08/2020 2:59 PM</t>
  </si>
  <si>
    <t>20/08/2020 2:52 PM</t>
  </si>
  <si>
    <t>20/08/2020 2:56 PM</t>
  </si>
  <si>
    <t>18/08/2020 1:01 PM</t>
  </si>
  <si>
    <t>19/08/2020 1:40 PM</t>
  </si>
  <si>
    <t>21/08/2020 10:12 PM</t>
  </si>
  <si>
    <t>24/08/2020 1:22 PM</t>
  </si>
  <si>
    <t>21/08/2020 11:06 AM</t>
  </si>
  <si>
    <t>24/08/2020 6:56 AM</t>
  </si>
  <si>
    <t>20/08/2020 9:07 AM</t>
  </si>
  <si>
    <t>24/08/2020 11:58 PM</t>
  </si>
  <si>
    <t>19/08/2020 9:10 AM</t>
  </si>
  <si>
    <t>18/08/2020 2:59 PM</t>
  </si>
  <si>
    <t>24/08/2020 11:55 PM</t>
  </si>
  <si>
    <t>25/08/2020 12:02 AM</t>
  </si>
  <si>
    <t>25/08/2020 12:03 AM</t>
  </si>
  <si>
    <t>25/08/2020 12:05 AM</t>
  </si>
  <si>
    <t>25/08/2020 12:07 AM</t>
  </si>
  <si>
    <t>21/08/2020 12:28 PM</t>
  </si>
  <si>
    <t>25/08/2020 12:09 AM</t>
  </si>
  <si>
    <t>25/08/2020 12:13 AM</t>
  </si>
  <si>
    <t>25/08/2020 12:15 AM</t>
  </si>
  <si>
    <t>18/08/2020 9:40 AM</t>
  </si>
  <si>
    <t>18/08/2020 1:49 PM</t>
  </si>
  <si>
    <t>20/08/2020 7:45 PM</t>
  </si>
  <si>
    <t>20/08/2020 7:52 PM</t>
  </si>
  <si>
    <t>20/08/2020 4:50 PM</t>
  </si>
  <si>
    <t>19/08/2020 2:43 PM</t>
  </si>
  <si>
    <t>18/08/2020 7:19 PM</t>
  </si>
  <si>
    <t>19/08/2020 3:43 PM</t>
  </si>
  <si>
    <t>24/08/2020 9:48 PM</t>
  </si>
  <si>
    <t>24/08/2020 9:33 AM</t>
  </si>
  <si>
    <t>24/08/2020 1:48 PM</t>
  </si>
  <si>
    <t>24/08/2020 11:44 PM</t>
  </si>
  <si>
    <t>19/08/2020 12:36 PM</t>
  </si>
  <si>
    <t>24/08/2020 10:04 PM</t>
  </si>
  <si>
    <t>17/08/2020 12:00 AM</t>
  </si>
  <si>
    <t>21/08/2020 2:03 PM</t>
  </si>
  <si>
    <t>24/08/2020 3:18 PM</t>
  </si>
  <si>
    <t>19/08/2020 4:44 PM</t>
  </si>
  <si>
    <t>18/08/2020 9:42 AM</t>
  </si>
  <si>
    <t>22/08/2020 6:56 PM</t>
  </si>
  <si>
    <t>20/08/2020 2:00 PM</t>
  </si>
  <si>
    <t>17/08/2020 4:58 PM</t>
  </si>
  <si>
    <t>23/08/2020 6:12 PM</t>
  </si>
  <si>
    <t>20/08/2020 3:35 PM</t>
  </si>
  <si>
    <t>17/08/2020 9:18 AM</t>
  </si>
  <si>
    <t>17/08/2020 9:20 AM</t>
  </si>
  <si>
    <t>17/08/2020 9:16 AM</t>
  </si>
  <si>
    <t>17/08/2020 9:13 AM</t>
  </si>
  <si>
    <t>21/08/2020 11:26 AM</t>
  </si>
  <si>
    <t>24/08/2020 11:06 AM</t>
  </si>
  <si>
    <t>24/08/2020 11:05 AM</t>
  </si>
  <si>
    <t>24/08/2020 11:04 AM</t>
  </si>
  <si>
    <t>18/08/2020 10:38 AM</t>
  </si>
  <si>
    <t>18/08/2020 10:31 AM</t>
  </si>
  <si>
    <t>21/08/2020 2:11 PM</t>
  </si>
  <si>
    <t>24/08/2020 3:55 PM</t>
  </si>
  <si>
    <t>24/08/2020 5:35 PM</t>
  </si>
  <si>
    <t>21/08/2020 8:38 PM</t>
  </si>
  <si>
    <t>21/08/2020 8:36 PM</t>
  </si>
  <si>
    <t>21/08/2020 8:31 PM</t>
  </si>
  <si>
    <t>18/08/2020 11:06 AM</t>
  </si>
  <si>
    <t>18/08/2020 10:56 AM</t>
  </si>
  <si>
    <t>18/08/2020 10:52 AM</t>
  </si>
  <si>
    <t>18/08/2020 10:42 AM</t>
  </si>
  <si>
    <t>20/08/2020 2:34 PM</t>
  </si>
  <si>
    <t>20/08/2020 2:33 PM</t>
  </si>
  <si>
    <t>20/08/2020 2:31 PM</t>
  </si>
  <si>
    <t>20/08/2020 2:32 PM</t>
  </si>
  <si>
    <t>20/08/2020 2:29 PM</t>
  </si>
  <si>
    <t>20/08/2020 2:14 PM</t>
  </si>
  <si>
    <t>24/08/2020 10:37 PM</t>
  </si>
  <si>
    <t>18/08/2020 11:03 AM</t>
  </si>
  <si>
    <t>16/08/2020 12:00 AM</t>
  </si>
  <si>
    <t>24/08/2020 12:00 PM</t>
  </si>
  <si>
    <t>20/08/2020 2:35 PM</t>
  </si>
  <si>
    <t>24/08/2020 6:50 PM</t>
  </si>
  <si>
    <t>20/08/2020 4:23 PM</t>
  </si>
  <si>
    <t>15/08/2020 12:00 AM</t>
  </si>
  <si>
    <t>24/08/2020 7:36 PM</t>
  </si>
  <si>
    <t>17/08/2020 9:21 AM</t>
  </si>
  <si>
    <t>24/08/2020 7:37 PM</t>
  </si>
  <si>
    <t>24/08/2020 9:48 AM</t>
  </si>
  <si>
    <t>20/08/2020 1:22 PM</t>
  </si>
  <si>
    <t>20/08/2020 1:18 PM</t>
  </si>
  <si>
    <t>18/08/2020 1:48 PM</t>
  </si>
  <si>
    <t>24/08/2020 3:05 PM</t>
  </si>
  <si>
    <t>18/08/2020 4:51 PM</t>
  </si>
  <si>
    <t>24/08/2020 2:58 PM</t>
  </si>
  <si>
    <t>18/08/2020 10:40 AM</t>
  </si>
  <si>
    <t>18/08/2020 10:18 AM</t>
  </si>
  <si>
    <t>20/08/2020 8:06 PM</t>
  </si>
  <si>
    <t>24/08/2020 6:38 PM</t>
  </si>
  <si>
    <t>24/08/2020 2:09 PM</t>
  </si>
  <si>
    <t>18/08/2020 10:35 AM</t>
  </si>
  <si>
    <t>18/08/2020 3:23 PM</t>
  </si>
  <si>
    <t>14/08/2020 12:00 AM</t>
  </si>
  <si>
    <t>20/08/2020 5:32 PM</t>
  </si>
  <si>
    <t>20/08/2020 5:45 PM</t>
  </si>
  <si>
    <t>20/08/2020 5:28 PM</t>
  </si>
  <si>
    <t>20/08/2020 5:37 PM</t>
  </si>
  <si>
    <t>16/08/2020 9:13 PM</t>
  </si>
  <si>
    <t>20/08/2020 5:58 PM</t>
  </si>
  <si>
    <t>19/08/2020 7:27 AM</t>
  </si>
  <si>
    <t>18/08/2020 2:11 PM</t>
  </si>
  <si>
    <t>17/08/2020 4:45 PM</t>
  </si>
  <si>
    <t>19/08/2020 9:00 AM</t>
  </si>
  <si>
    <t>17/08/2020 4:43 PM</t>
  </si>
  <si>
    <t>18/08/2020 2:10 PM</t>
  </si>
  <si>
    <t>24/08/2020 10:09 AM</t>
  </si>
  <si>
    <t>18/08/2020 2:05 PM</t>
  </si>
  <si>
    <t>18/08/2020 2:03 PM</t>
  </si>
  <si>
    <t>24/08/2020 9:42 AM</t>
  </si>
  <si>
    <t>20/08/2020 11:59 PM</t>
  </si>
  <si>
    <t>24/08/2020 3:36 PM</t>
  </si>
  <si>
    <t>17/08/2020 4:18 PM</t>
  </si>
  <si>
    <t>17/08/2020 4:26 PM</t>
  </si>
  <si>
    <t>18/08/2020 9:49 AM</t>
  </si>
  <si>
    <t>20/08/2020 9:45 AM</t>
  </si>
  <si>
    <t>18/08/2020 2:14 PM</t>
  </si>
  <si>
    <t>18/08/2020 2:45 PM</t>
  </si>
  <si>
    <t>18/08/2020 2:02 PM</t>
  </si>
  <si>
    <t>18/08/2020 9:15 AM</t>
  </si>
  <si>
    <t>19/08/2020 2:23 PM</t>
  </si>
  <si>
    <t>24/08/2020 10:20 AM</t>
  </si>
  <si>
    <t>24/08/2020 9:25 AM</t>
  </si>
  <si>
    <t>19/08/2020 9:04 AM</t>
  </si>
  <si>
    <t>19/08/2020 11:48 AM</t>
  </si>
  <si>
    <t>24/08/2020 11:34 AM</t>
  </si>
  <si>
    <t>20/08/2020 3:48 PM</t>
  </si>
  <si>
    <t>19/08/2020 9:06 AM</t>
  </si>
  <si>
    <t>19/08/2020 3:34 PM</t>
  </si>
  <si>
    <t>20/08/2020 5:35 PM</t>
  </si>
  <si>
    <t>18/08/2020 9:17 AM</t>
  </si>
  <si>
    <t>19/08/2020 8:39 AM</t>
  </si>
  <si>
    <t>18/08/2020 10:01 AM</t>
  </si>
  <si>
    <t>19/08/2020 8:49 AM</t>
  </si>
  <si>
    <t>19/08/2020 8:47 AM</t>
  </si>
  <si>
    <t>20/08/2020 6:46 PM</t>
  </si>
  <si>
    <t>14/08/2020 2:07 PM</t>
  </si>
  <si>
    <t>24/08/2020 9:57 AM</t>
  </si>
  <si>
    <t>20/08/2020 6:53 PM</t>
  </si>
  <si>
    <t>19/08/2020 9:53 PM</t>
  </si>
  <si>
    <t>19/08/2020 8:51 AM</t>
  </si>
  <si>
    <t>18/08/2020 3:46 PM</t>
  </si>
  <si>
    <t>20/08/2020 5:40 PM</t>
  </si>
  <si>
    <t>24/08/2020 7:19 AM</t>
  </si>
  <si>
    <t>17/08/2020 11:07 AM</t>
  </si>
  <si>
    <t>20/08/2020 10:26 PM</t>
  </si>
  <si>
    <t>20/08/2020 4:34 PM</t>
  </si>
  <si>
    <t>20/08/2020 10:27 PM</t>
  </si>
  <si>
    <t>20/08/2020 10:36 PM</t>
  </si>
  <si>
    <t>20/08/2020 10:34 PM</t>
  </si>
  <si>
    <t>17/08/2020 12:06 PM</t>
  </si>
  <si>
    <t>20/08/2020 10:30 PM</t>
  </si>
  <si>
    <t>20/08/2020 10:29 PM</t>
  </si>
  <si>
    <t>20/08/2020 10:35 PM</t>
  </si>
  <si>
    <t>20/08/2020 10:32 PM</t>
  </si>
  <si>
    <t>20/08/2020 9:12 AM</t>
  </si>
  <si>
    <t>20/08/2020 4:37 PM</t>
  </si>
  <si>
    <t>24/08/2020 7:06 PM</t>
  </si>
  <si>
    <t>24/08/2020 7:08 PM</t>
  </si>
  <si>
    <t>18/08/2020 3:54 PM</t>
  </si>
  <si>
    <t>21/08/2020 4:10 PM</t>
  </si>
  <si>
    <t>18/08/2020 3:58 PM</t>
  </si>
  <si>
    <t>17/08/2020 6:07 PM</t>
  </si>
  <si>
    <t>18/08/2020 4:08 PM</t>
  </si>
  <si>
    <t>18/08/2020 4:11 PM</t>
  </si>
  <si>
    <t>19/08/2020 6:39 PM</t>
  </si>
  <si>
    <t>24/08/2020 8:07 AM</t>
  </si>
  <si>
    <t>17/08/2020 6:19 PM</t>
  </si>
  <si>
    <t>18/08/2020 4:03 PM</t>
  </si>
  <si>
    <t>18/08/2020 4:17 PM</t>
  </si>
  <si>
    <t>17/08/2020 10:13 AM</t>
  </si>
  <si>
    <t>13/08/2020 12:00 AM</t>
  </si>
  <si>
    <t>20/08/2020 3:40 PM</t>
  </si>
  <si>
    <t>24/08/2020 4:40 PM</t>
  </si>
  <si>
    <t>24/08/2020 1:19 PM</t>
  </si>
  <si>
    <t>19/08/2020 9:31 AM</t>
  </si>
  <si>
    <t>18/08/2020 3:39 PM</t>
  </si>
  <si>
    <t>18/08/2020 4:14 PM</t>
  </si>
  <si>
    <t>19/08/2020 9:25 AM</t>
  </si>
  <si>
    <t>24/08/2020 8:48 AM</t>
  </si>
  <si>
    <t>24/08/2020 8:45 AM</t>
  </si>
  <si>
    <t>19/08/2020 4:36 PM</t>
  </si>
  <si>
    <t>19/08/2020 4:37 PM</t>
  </si>
  <si>
    <t>20/08/2020 6:39 PM</t>
  </si>
  <si>
    <t>19/08/2020 5:52 PM</t>
  </si>
  <si>
    <t>20/08/2020 7:21 PM</t>
  </si>
  <si>
    <t>24/08/2020 10:14 AM</t>
  </si>
  <si>
    <t>18/08/2020 1:36 PM</t>
  </si>
  <si>
    <t>18/08/2020 1:39 PM</t>
  </si>
  <si>
    <t>18/08/2020 1:35 PM</t>
  </si>
  <si>
    <t>18/08/2020 1:41 PM</t>
  </si>
  <si>
    <t>18/08/2020 1:38 PM</t>
  </si>
  <si>
    <t>18/08/2020 1:37 PM</t>
  </si>
  <si>
    <t>19/08/2020 3:48 PM</t>
  </si>
  <si>
    <t>18/08/2020 1:32 PM</t>
  </si>
  <si>
    <t>19/08/2020 11:45 AM</t>
  </si>
  <si>
    <t>18/08/2020 1:40 PM</t>
  </si>
  <si>
    <t>17/08/2020 8:22 PM</t>
  </si>
  <si>
    <t>20/08/2020 4:32 PM</t>
  </si>
  <si>
    <t>20/08/2020 8:04 AM</t>
  </si>
  <si>
    <t>24/08/2020 10:34 AM</t>
  </si>
  <si>
    <t>18/08/2020 9:47 AM</t>
  </si>
  <si>
    <t>18/08/2020 10:00 AM</t>
  </si>
  <si>
    <t>18/08/2020 10:16 AM</t>
  </si>
  <si>
    <t>18/08/2020 10:10 AM</t>
  </si>
  <si>
    <t>18/08/2020 10:29 AM</t>
  </si>
  <si>
    <t>18/08/2020 10:21 AM</t>
  </si>
  <si>
    <t>19/08/2020 3:45 PM</t>
  </si>
  <si>
    <t>17/08/2020 10:48 PM</t>
  </si>
  <si>
    <t>24/08/2020 1:13 PM</t>
  </si>
  <si>
    <t>20/08/2020 5:21 PM</t>
  </si>
  <si>
    <t>13/08/2020 11:41 AM</t>
  </si>
  <si>
    <t>18/08/2020 10:36 AM</t>
  </si>
  <si>
    <t>13/08/2020 12:24 PM</t>
  </si>
  <si>
    <t>20/08/2020 3:21 PM</t>
  </si>
  <si>
    <t>20/08/2020 5:18 PM</t>
  </si>
  <si>
    <t>21/08/2020 12:05 PM</t>
  </si>
  <si>
    <t>13/08/2020 12:23 PM</t>
  </si>
  <si>
    <t>13/08/2020 10:17 AM</t>
  </si>
  <si>
    <t>13/08/2020 12:14 PM</t>
  </si>
  <si>
    <t>13/08/2020 12:26 PM</t>
  </si>
  <si>
    <t>13/08/2020 12:16 PM</t>
  </si>
  <si>
    <t>13/08/2020 12:28 PM</t>
  </si>
  <si>
    <t>21/08/2020 12:11 PM</t>
  </si>
  <si>
    <t>21/08/2020 12:12 PM</t>
  </si>
  <si>
    <t>19/08/2020 10:00 AM</t>
  </si>
  <si>
    <t>23/08/2020 1:08 PM</t>
  </si>
  <si>
    <t>17/08/2020 3:47 PM</t>
  </si>
  <si>
    <t>19/08/2020 3:44 PM</t>
  </si>
  <si>
    <t>13/08/2020 12:32 PM</t>
  </si>
  <si>
    <t>17/08/2020 4:35 PM</t>
  </si>
  <si>
    <t>19/08/2020 8:40 AM</t>
  </si>
  <si>
    <t>21/08/2020 12:14 PM</t>
  </si>
  <si>
    <t>17/08/2020 3:31 PM</t>
  </si>
  <si>
    <t>21/08/2020 12:15 PM</t>
  </si>
  <si>
    <t>13/08/2020 2:02 PM</t>
  </si>
  <si>
    <t>19/08/2020 8:42 AM</t>
  </si>
  <si>
    <t>19/08/2020 8:41 AM</t>
  </si>
  <si>
    <t>13/08/2020 2:04 PM</t>
  </si>
  <si>
    <t>19/08/2020 8:45 AM</t>
  </si>
  <si>
    <t>19/08/2020 8:43 AM</t>
  </si>
  <si>
    <t>19/08/2020 3:42 PM</t>
  </si>
  <si>
    <t>13/08/2020 2:05 PM</t>
  </si>
  <si>
    <t>21/08/2020 12:16 PM</t>
  </si>
  <si>
    <t>19/08/2020 3:40 PM</t>
  </si>
  <si>
    <t>19/08/2020 1:29 PM</t>
  </si>
  <si>
    <t>13/08/2020 2:06 PM</t>
  </si>
  <si>
    <t>19/08/2020 9:32 AM</t>
  </si>
  <si>
    <t>13/08/2020 3:46 PM</t>
  </si>
  <si>
    <t>19/08/2020 4:05 PM</t>
  </si>
  <si>
    <t>13/08/2020 3:48 PM</t>
  </si>
  <si>
    <t>13/08/2020 3:49 PM</t>
  </si>
  <si>
    <t>24/08/2020 12:53 PM</t>
  </si>
  <si>
    <t>13/08/2020 3:47 PM</t>
  </si>
  <si>
    <t>19/08/2020 8:48 AM</t>
  </si>
  <si>
    <t>13/08/2020 2:08 PM</t>
  </si>
  <si>
    <t>19/08/2020 4:06 PM</t>
  </si>
  <si>
    <t>19/08/2020 8:52 AM</t>
  </si>
  <si>
    <t>13/08/2020 2:07 PM</t>
  </si>
  <si>
    <t>13/08/2020 3:51 PM</t>
  </si>
  <si>
    <t>13/08/2020 2:15 PM</t>
  </si>
  <si>
    <t>20/08/2020 11:41 AM</t>
  </si>
  <si>
    <t>18/08/2020 4:20 PM</t>
  </si>
  <si>
    <t>19/08/2020 10:25 AM</t>
  </si>
  <si>
    <t>13/08/2020 2:13 PM</t>
  </si>
  <si>
    <t>19/08/2020 3:25 PM</t>
  </si>
  <si>
    <t>13/08/2020 9:51 AM</t>
  </si>
  <si>
    <t>24/08/2020 3:30 PM</t>
  </si>
  <si>
    <t>19/08/2020 5:18 PM</t>
  </si>
  <si>
    <t>18/08/2020 9:54 AM</t>
  </si>
  <si>
    <t>19/08/2020 5:27 PM</t>
  </si>
  <si>
    <t>19/08/2020 1:44 PM</t>
  </si>
  <si>
    <t>18/08/2020 3:42 PM</t>
  </si>
  <si>
    <t>19/08/2020 10:53 AM</t>
  </si>
  <si>
    <t>13/08/2020 2:10 PM</t>
  </si>
  <si>
    <t>21/08/2020 12:17 PM</t>
  </si>
  <si>
    <t>19/08/2020 9:50 AM</t>
  </si>
  <si>
    <t>24/08/2020 7:55 PM</t>
  </si>
  <si>
    <t>18/08/2020 11:27 AM</t>
  </si>
  <si>
    <t>18/08/2020 5:19 PM</t>
  </si>
  <si>
    <t>24/08/2020 10:53 AM</t>
  </si>
  <si>
    <t>19/08/2020 1:27 PM</t>
  </si>
  <si>
    <t>19/08/2020 9:56 AM</t>
  </si>
  <si>
    <t>19/08/2020 9:55 AM</t>
  </si>
  <si>
    <t>17/08/2020 12:25 PM</t>
  </si>
  <si>
    <t>20/08/2020 5:44 PM</t>
  </si>
  <si>
    <t>17/08/2020 12:26 PM</t>
  </si>
  <si>
    <t>24/08/2020 4:17 PM</t>
  </si>
  <si>
    <t>24/08/2020 11:49 AM</t>
  </si>
  <si>
    <t>13/08/2020 9:17 PM</t>
  </si>
  <si>
    <t>20/08/2020 1:51 PM</t>
  </si>
  <si>
    <t>20/08/2020 8:05 AM</t>
  </si>
  <si>
    <t>12/08/2020 12:00 AM</t>
  </si>
  <si>
    <t>18/08/2020 5:13 PM</t>
  </si>
  <si>
    <t>19/08/2020 3:29 PM</t>
  </si>
  <si>
    <t>19/08/2020 11:35 AM</t>
  </si>
  <si>
    <t>24/08/2020 10:45 PM</t>
  </si>
  <si>
    <t>20/08/2020 9:19 PM</t>
  </si>
  <si>
    <t>20/08/2020 5:56 PM</t>
  </si>
  <si>
    <t>19/08/2020 3:27 PM</t>
  </si>
  <si>
    <t>21/08/2020 2:47 PM</t>
  </si>
  <si>
    <t>13/08/2020 1:46 PM</t>
  </si>
  <si>
    <t>12/08/2020 1:20 PM</t>
  </si>
  <si>
    <t>18/08/2020 2:43 PM</t>
  </si>
  <si>
    <t>24/08/2020 10:17 AM</t>
  </si>
  <si>
    <t>19/08/2020 9:51 AM</t>
  </si>
  <si>
    <t>19/08/2020 9:49 AM</t>
  </si>
  <si>
    <t>24/08/2020 10:15 AM</t>
  </si>
  <si>
    <t>24/08/2020 4:59 PM</t>
  </si>
  <si>
    <t>24/08/2020 8:31 AM</t>
  </si>
  <si>
    <t>20/08/2020 2:41 PM</t>
  </si>
  <si>
    <t>21/08/2020 2:45 PM</t>
  </si>
  <si>
    <t>21/08/2020 2:40 PM</t>
  </si>
  <si>
    <t>24/08/2020 3:27 PM</t>
  </si>
  <si>
    <t>20/08/2020 2:38 PM</t>
  </si>
  <si>
    <t>18/08/2020 2:32 PM</t>
  </si>
  <si>
    <t>19/08/2020 3:47 PM</t>
  </si>
  <si>
    <t>18/08/2020 4:16 PM</t>
  </si>
  <si>
    <t>13/08/2020 11:01 AM</t>
  </si>
  <si>
    <t>24/08/2020 11:12 AM</t>
  </si>
  <si>
    <t>24/08/2020 11:10 AM</t>
  </si>
  <si>
    <t>20/08/2020 8:15 PM</t>
  </si>
  <si>
    <t>12/08/2020 9:23 AM</t>
  </si>
  <si>
    <t>14/08/2020 10:35 AM</t>
  </si>
  <si>
    <t>24/08/2020 11:14 AM</t>
  </si>
  <si>
    <t>24/08/2020 3:02 PM</t>
  </si>
  <si>
    <t>20/08/2020 1:56 PM</t>
  </si>
  <si>
    <t>19/08/2020 11:57 AM</t>
  </si>
  <si>
    <t>20/08/2020 8:17 PM</t>
  </si>
  <si>
    <t>24/08/2020 9:34 AM</t>
  </si>
  <si>
    <t>19/08/2020 12:00 PM</t>
  </si>
  <si>
    <t>24/08/2020 9:39 AM</t>
  </si>
  <si>
    <t>20/08/2020 8:19 PM</t>
  </si>
  <si>
    <t>19/08/2020 11:17 AM</t>
  </si>
  <si>
    <t>18/08/2020 9:07 AM</t>
  </si>
  <si>
    <t>24/08/2020 9:41 AM</t>
  </si>
  <si>
    <t>20/08/2020 8:32 PM</t>
  </si>
  <si>
    <t>24/08/2020 9:46 AM</t>
  </si>
  <si>
    <t>20/08/2020 8:41 PM</t>
  </si>
  <si>
    <t>20/08/2020 8:39 PM</t>
  </si>
  <si>
    <t>21/08/2020 11:08 AM</t>
  </si>
  <si>
    <t>21/08/2020 11:31 AM</t>
  </si>
  <si>
    <t>24/08/2020 9:56 AM</t>
  </si>
  <si>
    <t>24/08/2020 4:00 PM</t>
  </si>
  <si>
    <t>24/08/2020 10:16 AM</t>
  </si>
  <si>
    <t>18/08/2020 5:25 PM</t>
  </si>
  <si>
    <t>20/08/2020 4:48 PM</t>
  </si>
  <si>
    <t>24/08/2020 5:02 PM</t>
  </si>
  <si>
    <t>24/08/2020 12:48 PM</t>
  </si>
  <si>
    <t>12/08/2020 3:21 PM</t>
  </si>
  <si>
    <t>20/08/2020 4:24 PM</t>
  </si>
  <si>
    <t>19/08/2020 4:53 PM</t>
  </si>
  <si>
    <t>19/08/2020 3:58 PM</t>
  </si>
  <si>
    <t>24/08/2020 12:49 PM</t>
  </si>
  <si>
    <t>20/08/2020 3:26 PM</t>
  </si>
  <si>
    <t>17/08/2020 9:00 AM</t>
  </si>
  <si>
    <t>18/08/2020 3:40 PM</t>
  </si>
  <si>
    <t>24/08/2020 12:50 PM</t>
  </si>
  <si>
    <t>12/08/2020 3:22 PM</t>
  </si>
  <si>
    <t>24/08/2020 4:55 PM</t>
  </si>
  <si>
    <t>24/08/2020 1:24 PM</t>
  </si>
  <si>
    <t>24/08/2020 12:51 PM</t>
  </si>
  <si>
    <t>17/08/2020 5:23 PM</t>
  </si>
  <si>
    <t>20/08/2020 8:16 AM</t>
  </si>
  <si>
    <t>18/08/2020 1:13 PM</t>
  </si>
  <si>
    <t>12/08/2020 3:23 PM</t>
  </si>
  <si>
    <t>17/08/2020 1:57 PM</t>
  </si>
  <si>
    <t>19/08/2020 11:01 AM</t>
  </si>
  <si>
    <t>12/08/2020 1:43 PM</t>
  </si>
  <si>
    <t>12/08/2020 1:41 PM</t>
  </si>
  <si>
    <t>17/08/2020 5:27 PM</t>
  </si>
  <si>
    <t>20/08/2020 4:30 PM</t>
  </si>
  <si>
    <t>24/08/2020 1:35 PM</t>
  </si>
  <si>
    <t>24/08/2020 10:12 AM</t>
  </si>
  <si>
    <t>20/08/2020 8:36 PM</t>
  </si>
  <si>
    <t>24/08/2020 12:52 PM</t>
  </si>
  <si>
    <t>12/08/2020 1:48 PM</t>
  </si>
  <si>
    <t>12/08/2020 1:50 PM</t>
  </si>
  <si>
    <t>13/08/2020 1:17 PM</t>
  </si>
  <si>
    <t>12/08/2020 1:47 PM</t>
  </si>
  <si>
    <t>12/08/2020 1:21 PM</t>
  </si>
  <si>
    <t>18/08/2020 3:13 PM</t>
  </si>
  <si>
    <t>19/08/2020 4:59 PM</t>
  </si>
  <si>
    <t>17/08/2020 2:23 PM</t>
  </si>
  <si>
    <t>12/08/2020 3:08 PM</t>
  </si>
  <si>
    <t>12/08/2020 10:20 AM</t>
  </si>
  <si>
    <t>24/08/2020 5:43 PM</t>
  </si>
  <si>
    <t>17/08/2020 2:29 PM</t>
  </si>
  <si>
    <t>20/08/2020 8:59 PM</t>
  </si>
  <si>
    <t>20/08/2020 9:00 PM</t>
  </si>
  <si>
    <t>17/08/2020 2:33 PM</t>
  </si>
  <si>
    <t>24/08/2020 11:50 AM</t>
  </si>
  <si>
    <t>12/08/2020 1:51 PM</t>
  </si>
  <si>
    <t>18/08/2020 3:11 PM</t>
  </si>
  <si>
    <t>18/08/2020 3:08 PM</t>
  </si>
  <si>
    <t>18/08/2020 3:01 PM</t>
  </si>
  <si>
    <t>24/08/2020 8:00 PM</t>
  </si>
  <si>
    <t>18/08/2020 2:56 PM</t>
  </si>
  <si>
    <t>18/08/2020 3:15 PM</t>
  </si>
  <si>
    <t>24/08/2020 8:02 PM</t>
  </si>
  <si>
    <t>20/08/2020 8:58 PM</t>
  </si>
  <si>
    <t>24/08/2020 9:50 AM</t>
  </si>
  <si>
    <t>18/08/2020 2:52 PM</t>
  </si>
  <si>
    <t>19/08/2020 3:24 PM</t>
  </si>
  <si>
    <t>19/08/2020 3:22 PM</t>
  </si>
  <si>
    <t>18/08/2020 2:19 PM</t>
  </si>
  <si>
    <t>24/08/2020 8:12 PM</t>
  </si>
  <si>
    <t>21/08/2020 11:49 PM</t>
  </si>
  <si>
    <t>13/08/2020 4:01 PM</t>
  </si>
  <si>
    <t>19/08/2020 3:17 PM</t>
  </si>
  <si>
    <t>13/08/2020 4:15 PM</t>
  </si>
  <si>
    <t>19/08/2020 3:20 PM</t>
  </si>
  <si>
    <t>19/08/2020 3:14 PM</t>
  </si>
  <si>
    <t>19/08/2020 3:15 PM</t>
  </si>
  <si>
    <t>21/08/2020 3:14 PM</t>
  </si>
  <si>
    <t>19/08/2020 3:19 PM</t>
  </si>
  <si>
    <t>22/08/2020 8:44 PM</t>
  </si>
  <si>
    <t>21/08/2020 3:04 PM</t>
  </si>
  <si>
    <t>21/08/2020 3:18 PM</t>
  </si>
  <si>
    <t>21/08/2020 3:01 PM</t>
  </si>
  <si>
    <t>20/08/2020 6:21 PM</t>
  </si>
  <si>
    <t>21/08/2020 3:24 PM</t>
  </si>
  <si>
    <t>19/08/2020 4:04 PM</t>
  </si>
  <si>
    <t>19/08/2020 4:00 PM</t>
  </si>
  <si>
    <t>20/08/2020 9:14 AM</t>
  </si>
  <si>
    <t>21/08/2020 3:21 PM</t>
  </si>
  <si>
    <t>11/08/2020 12:00 AM</t>
  </si>
  <si>
    <t>12/08/2020 8:10 AM</t>
  </si>
  <si>
    <t>12/08/2020 8:07 AM</t>
  </si>
  <si>
    <t>20/08/2020 5:30 PM</t>
  </si>
  <si>
    <t>24/08/2020 3:19 PM</t>
  </si>
  <si>
    <t>24/08/2020 7:18 PM</t>
  </si>
  <si>
    <t>20/08/2020 2:30 PM</t>
  </si>
  <si>
    <t>20/08/2020 2:27 PM</t>
  </si>
  <si>
    <t>20/08/2020 2:26 PM</t>
  </si>
  <si>
    <t>19/08/2020 3:06 PM</t>
  </si>
  <si>
    <t>24/08/2020 4:50 PM</t>
  </si>
  <si>
    <t>19/08/2020 4:07 PM</t>
  </si>
  <si>
    <t>22/08/2020 8:47 AM</t>
  </si>
  <si>
    <t>14/08/2020 11:13 AM</t>
  </si>
  <si>
    <t>12/08/2020 9:53 AM</t>
  </si>
  <si>
    <t>20/08/2020 10:32 AM</t>
  </si>
  <si>
    <t>19/08/2020 2:47 PM</t>
  </si>
  <si>
    <t>19/08/2020 2:56 PM</t>
  </si>
  <si>
    <t>20/08/2020 3:02 PM</t>
  </si>
  <si>
    <t>12/08/2020 11:40 AM</t>
  </si>
  <si>
    <t>12/08/2020 9:44 AM</t>
  </si>
  <si>
    <t>19/08/2020 3:02 PM</t>
  </si>
  <si>
    <t>18/08/2020 11:05 AM</t>
  </si>
  <si>
    <t>19/08/2020 5:41 PM</t>
  </si>
  <si>
    <t>24/08/2020 2:25 PM</t>
  </si>
  <si>
    <t>12/08/2020 10:03 AM</t>
  </si>
  <si>
    <t>20/08/2020 5:01 PM</t>
  </si>
  <si>
    <t>18/08/2020 8:28 AM</t>
  </si>
  <si>
    <t>13/08/2020 10:30 AM</t>
  </si>
  <si>
    <t>12/08/2020 10:00 AM</t>
  </si>
  <si>
    <t>19/08/2020 2:36 PM</t>
  </si>
  <si>
    <t>20/08/2020 3:58 PM</t>
  </si>
  <si>
    <t>22/08/2020 8:56 AM</t>
  </si>
  <si>
    <t>21/08/2020 9:37 PM</t>
  </si>
  <si>
    <t>19/08/2020 3:30 PM</t>
  </si>
  <si>
    <t>14/08/2020 4:23 PM</t>
  </si>
  <si>
    <t>13/08/2020 2:56 PM</t>
  </si>
  <si>
    <t>12/08/2020 11:43 AM</t>
  </si>
  <si>
    <t>12/08/2020 4:27 PM</t>
  </si>
  <si>
    <t>12/08/2020 10:15 AM</t>
  </si>
  <si>
    <t>12/08/2020 12:46 PM</t>
  </si>
  <si>
    <t>17/08/2020 3:59 PM</t>
  </si>
  <si>
    <t>18/08/2020 11:15 AM</t>
  </si>
  <si>
    <t>20/08/2020 2:15 PM</t>
  </si>
  <si>
    <t>14/08/2020 10:24 AM</t>
  </si>
  <si>
    <t>19/08/2020 11:26 AM</t>
  </si>
  <si>
    <t>24/08/2020 4:47 PM</t>
  </si>
  <si>
    <t>13/08/2020 1:01 PM</t>
  </si>
  <si>
    <t>24/08/2020 10:31 PM</t>
  </si>
  <si>
    <t>19/08/2020 3:36 PM</t>
  </si>
  <si>
    <t>20/08/2020 5:07 PM</t>
  </si>
  <si>
    <t>12/08/2020 11:46 AM</t>
  </si>
  <si>
    <t>20/08/2020 4:21 PM</t>
  </si>
  <si>
    <t>14/08/2020 10:46 AM</t>
  </si>
  <si>
    <t>14/08/2020 5:14 PM</t>
  </si>
  <si>
    <t>21/08/2020 10:54 PM</t>
  </si>
  <si>
    <t>19/08/2020 7:00 AM</t>
  </si>
  <si>
    <t>19/08/2020 3:32 PM</t>
  </si>
  <si>
    <t>24/08/2020 4:18 PM</t>
  </si>
  <si>
    <t>19/08/2020 3:51 PM</t>
  </si>
  <si>
    <t>24/08/2020 4:22 PM</t>
  </si>
  <si>
    <t>24/08/2020 4:14 PM</t>
  </si>
  <si>
    <t>24/08/2020 4:11 PM</t>
  </si>
  <si>
    <t>24/08/2020 4:10 PM</t>
  </si>
  <si>
    <t>24/08/2020 4:15 PM</t>
  </si>
  <si>
    <t>24/08/2020 5:25 PM</t>
  </si>
  <si>
    <t>24/08/2020 5:05 PM</t>
  </si>
  <si>
    <t>17/08/2020 1:59 PM</t>
  </si>
  <si>
    <t>17/08/2020 10:23 AM</t>
  </si>
  <si>
    <t>19/08/2020 11:37 AM</t>
  </si>
  <si>
    <t>13/08/2020 11:59 AM</t>
  </si>
  <si>
    <t>20/08/2020 4:36 PM</t>
  </si>
  <si>
    <t>24/08/2020 4:29 PM</t>
  </si>
  <si>
    <t>17/08/2020 1:56 PM</t>
  </si>
  <si>
    <t>13/08/2020 11:55 AM</t>
  </si>
  <si>
    <t>19/08/2020 2:39 PM</t>
  </si>
  <si>
    <t>24/08/2020 4:32 PM</t>
  </si>
  <si>
    <t>19/08/2020 2:49 PM</t>
  </si>
  <si>
    <t>13/08/2020 8:20 PM</t>
  </si>
  <si>
    <t>24/08/2020 7:34 PM</t>
  </si>
  <si>
    <t>10/08/2020 12:00 AM</t>
  </si>
  <si>
    <t>10/08/2020 1:21 PM</t>
  </si>
  <si>
    <t>24/08/2020 1:39 PM</t>
  </si>
  <si>
    <t>24/08/2020 2:43 PM</t>
  </si>
  <si>
    <t>18/08/2020 1:59 PM</t>
  </si>
  <si>
    <t>24/08/2020 2:54 PM</t>
  </si>
  <si>
    <t>10/08/2020 2:13 PM</t>
  </si>
  <si>
    <t>24/08/2020 2:45 PM</t>
  </si>
  <si>
    <t>19/08/2020 2:27 PM</t>
  </si>
  <si>
    <t>10/08/2020 1:53 PM</t>
  </si>
  <si>
    <t>21/08/2020 2:13 PM</t>
  </si>
  <si>
    <t>19/08/2020 9:54 PM</t>
  </si>
  <si>
    <t>24/08/2020 5:23 PM</t>
  </si>
  <si>
    <t>11/08/2020 11:58 AM</t>
  </si>
  <si>
    <t>17/08/2020 4:29 PM</t>
  </si>
  <si>
    <t>18/08/2020 9:12 AM</t>
  </si>
  <si>
    <t>11/08/2020 11:54 AM</t>
  </si>
  <si>
    <t>24/08/2020 5:24 PM</t>
  </si>
  <si>
    <t>17/08/2020 4:48 PM</t>
  </si>
  <si>
    <t>24/08/2020 5:21 PM</t>
  </si>
  <si>
    <t>20/08/2020 5:05 PM</t>
  </si>
  <si>
    <t>20/08/2020 4:59 PM</t>
  </si>
  <si>
    <t>20/08/2020 4:49 PM</t>
  </si>
  <si>
    <t>20/08/2020 5:04 PM</t>
  </si>
  <si>
    <t>20/08/2020 4:38 PM</t>
  </si>
  <si>
    <t>20/08/2020 3:55 PM</t>
  </si>
  <si>
    <t>19/08/2020 2:38 PM</t>
  </si>
  <si>
    <t>20/08/2020 11:46 PM</t>
  </si>
  <si>
    <t>24/08/2020 4:12 PM</t>
  </si>
  <si>
    <t>19/08/2020 7:24 PM</t>
  </si>
  <si>
    <t>24/08/2020 4:13 PM</t>
  </si>
  <si>
    <t>24/08/2020 9:53 PM</t>
  </si>
  <si>
    <t>24/08/2020 8:44 PM</t>
  </si>
  <si>
    <t>19/08/2020 3:55 PM</t>
  </si>
  <si>
    <t>11/08/2020 2:08 PM</t>
  </si>
  <si>
    <t>09/08/2020 12:00 AM</t>
  </si>
  <si>
    <t>11/08/2020 6:35 PM</t>
  </si>
  <si>
    <t>12/08/2020 12:15 PM</t>
  </si>
  <si>
    <t>18/08/2020 9:26 AM</t>
  </si>
  <si>
    <t>18/08/2020 9:22 AM</t>
  </si>
  <si>
    <t>11/08/2020 6:32 PM</t>
  </si>
  <si>
    <t>14/08/2020 11:08 AM</t>
  </si>
  <si>
    <t>23/08/2020 12:01 PM</t>
  </si>
  <si>
    <t>18/08/2020 2:26 PM</t>
  </si>
  <si>
    <t>08/08/2020 12:00 AM</t>
  </si>
  <si>
    <t>11/08/2020 6:27 PM</t>
  </si>
  <si>
    <t>24/08/2020 3:59 PM</t>
  </si>
  <si>
    <t>11/08/2020 2:06 PM</t>
  </si>
  <si>
    <t>21/08/2020 7:44 PM</t>
  </si>
  <si>
    <t>20/08/2020 12:32 PM</t>
  </si>
  <si>
    <t>14/08/2020 11:14 AM</t>
  </si>
  <si>
    <t>24/08/2020 5:14 PM</t>
  </si>
  <si>
    <t>13/08/2020 8:39 AM</t>
  </si>
  <si>
    <t>13/08/2020 8:46 AM</t>
  </si>
  <si>
    <t>14/08/2020 11:15 AM</t>
  </si>
  <si>
    <t>19/08/2020 3:28 PM</t>
  </si>
  <si>
    <t>24/08/2020 5:16 PM</t>
  </si>
  <si>
    <t>24/08/2020 5:15 PM</t>
  </si>
  <si>
    <t>24/08/2020 5:13 PM</t>
  </si>
  <si>
    <t>24/08/2020 5:18 PM</t>
  </si>
  <si>
    <t>18/08/2020 1:33 PM</t>
  </si>
  <si>
    <t>20/08/2020 2:46 PM</t>
  </si>
  <si>
    <t>14/08/2020 11:10 AM</t>
  </si>
  <si>
    <t>11/08/2020 11:12 PM</t>
  </si>
  <si>
    <t>07/08/2020 12:00 AM</t>
  </si>
  <si>
    <t>19/08/2020 11:25 AM</t>
  </si>
  <si>
    <t>13/08/2020 2:28 PM</t>
  </si>
  <si>
    <t>17/08/2020 8:41 AM</t>
  </si>
  <si>
    <t>24/08/2020 2:30 PM</t>
  </si>
  <si>
    <t>20/08/2020 3:53 PM</t>
  </si>
  <si>
    <t>17/08/2020 3:33 PM</t>
  </si>
  <si>
    <t>20/08/2020 3:51 PM</t>
  </si>
  <si>
    <t>18/08/2020 8:48 AM</t>
  </si>
  <si>
    <t>12/08/2020 9:23 PM</t>
  </si>
  <si>
    <t>17/08/2020 4:25 PM</t>
  </si>
  <si>
    <t>17/08/2020 4:24 PM</t>
  </si>
  <si>
    <t>17/08/2020 4:22 PM</t>
  </si>
  <si>
    <t>18/08/2020 2:40 PM</t>
  </si>
  <si>
    <t>17/08/2020 4:13 PM</t>
  </si>
  <si>
    <t>17/08/2020 4:27 PM</t>
  </si>
  <si>
    <t>20/08/2020 8:23 AM</t>
  </si>
  <si>
    <t>20/08/2020 8:26 AM</t>
  </si>
  <si>
    <t>24/08/2020 5:04 PM</t>
  </si>
  <si>
    <t>18/08/2020 8:44 AM</t>
  </si>
  <si>
    <t>18/08/2020 7:37 AM</t>
  </si>
  <si>
    <t>20/08/2020 4:35 PM</t>
  </si>
  <si>
    <t>13/08/2020 2:25 PM</t>
  </si>
  <si>
    <t>11/08/2020 10:26 AM</t>
  </si>
  <si>
    <t>11/08/2020 10:39 AM</t>
  </si>
  <si>
    <t>18/08/2020 4:07 PM</t>
  </si>
  <si>
    <t>18/08/2020 4:19 PM</t>
  </si>
  <si>
    <t>24/08/2020 10:33 AM</t>
  </si>
  <si>
    <t>22/08/2020 3:49 PM</t>
  </si>
  <si>
    <t>13/08/2020 1:54 PM</t>
  </si>
  <si>
    <t>24/08/2020 12:59 PM</t>
  </si>
  <si>
    <t>13/08/2020 1:53 PM</t>
  </si>
  <si>
    <t>24/08/2020 10:35 AM</t>
  </si>
  <si>
    <t>24/08/2020 11:57 AM</t>
  </si>
  <si>
    <t>24/08/2020 10:59 AM</t>
  </si>
  <si>
    <t>13/08/2020 8:02 PM</t>
  </si>
  <si>
    <t>24/08/2020 1:16 PM</t>
  </si>
  <si>
    <t>24/08/2020 12:31 PM</t>
  </si>
  <si>
    <t>24/08/2020 12:34 PM</t>
  </si>
  <si>
    <t>18/08/2020 4:13 PM</t>
  </si>
  <si>
    <t>19/08/2020 4:23 PM</t>
  </si>
  <si>
    <t>24/08/2020 8:27 AM</t>
  </si>
  <si>
    <t>20/08/2020 4:47 PM</t>
  </si>
  <si>
    <t>18/08/2020 9:25 AM</t>
  </si>
  <si>
    <t>18/08/2020 9:24 AM</t>
  </si>
  <si>
    <t>22/08/2020 2:10 PM</t>
  </si>
  <si>
    <t>13/08/2020 1:55 PM</t>
  </si>
  <si>
    <t>24/08/2020 12:38 PM</t>
  </si>
  <si>
    <t>19/08/2020 4:34 PM</t>
  </si>
  <si>
    <t>20/08/2020 1:55 PM</t>
  </si>
  <si>
    <t>19/08/2020 9:01 AM</t>
  </si>
  <si>
    <t>19/08/2020 9:27 AM</t>
  </si>
  <si>
    <t>21/08/2020 10:39 AM</t>
  </si>
  <si>
    <t>20/08/2020 8:14 PM</t>
  </si>
  <si>
    <t>19/08/2020 1:45 PM</t>
  </si>
  <si>
    <t>20/08/2020 8:16 PM</t>
  </si>
  <si>
    <t>13/08/2020 1:57 PM</t>
  </si>
  <si>
    <t>19/08/2020 12:04 PM</t>
  </si>
  <si>
    <t>20/08/2020 8:24 PM</t>
  </si>
  <si>
    <t>20/08/2020 2:08 PM</t>
  </si>
  <si>
    <t>18/08/2020 8:40 AM</t>
  </si>
  <si>
    <t>14/08/2020 11:02 AM</t>
  </si>
  <si>
    <t>13/08/2020 1:58 PM</t>
  </si>
  <si>
    <t>24/08/2020 9:06 AM</t>
  </si>
  <si>
    <t>11/08/2020 9:54 AM</t>
  </si>
  <si>
    <t>23/08/2020 9:33 PM</t>
  </si>
  <si>
    <t>24/08/2020 5:07 PM</t>
  </si>
  <si>
    <t>13/08/2020 1:59 PM</t>
  </si>
  <si>
    <t>19/08/2020 1:03 PM</t>
  </si>
  <si>
    <t>14/08/2020 11:04 AM</t>
  </si>
  <si>
    <t>10/08/2020 8:36 AM</t>
  </si>
  <si>
    <t>20/08/2020 11:51 AM</t>
  </si>
  <si>
    <t>20/08/2020 12:36 PM</t>
  </si>
  <si>
    <t>11/08/2020 10:49 AM</t>
  </si>
  <si>
    <t>21/08/2020 10:53 AM</t>
  </si>
  <si>
    <t>11/08/2020 11:01 AM</t>
  </si>
  <si>
    <t>14/08/2020 11:07 AM</t>
  </si>
  <si>
    <t>24/08/2020 2:47 PM</t>
  </si>
  <si>
    <t>20/08/2020 2:58 PM</t>
  </si>
  <si>
    <t>19/08/2020 9:41 AM</t>
  </si>
  <si>
    <t>19/08/2020 2:34 PM</t>
  </si>
  <si>
    <t>20/08/2020 6:16 PM</t>
  </si>
  <si>
    <t>11/08/2020 4:13 PM</t>
  </si>
  <si>
    <t>20/08/2020 9:18 AM</t>
  </si>
  <si>
    <t>18/08/2020 1:57 PM</t>
  </si>
  <si>
    <t>18/08/2020 1:53 PM</t>
  </si>
  <si>
    <t>20/08/2020 8:47 PM</t>
  </si>
  <si>
    <t>19/08/2020 12:47 PM</t>
  </si>
  <si>
    <t>20/08/2020 6:17 PM</t>
  </si>
  <si>
    <t>20/08/2020 6:20 PM</t>
  </si>
  <si>
    <t>18/08/2020 2:07 PM</t>
  </si>
  <si>
    <t>18/08/2020 1:56 PM</t>
  </si>
  <si>
    <t>20/08/2020 12:27 PM</t>
  </si>
  <si>
    <t>12/08/2020 5:23 PM</t>
  </si>
  <si>
    <t>19/08/2020 10:14 AM</t>
  </si>
  <si>
    <t>18/08/2020 8:10 AM</t>
  </si>
  <si>
    <t>20/08/2020 6:22 PM</t>
  </si>
  <si>
    <t>07/08/2020 5:11 PM</t>
  </si>
  <si>
    <t>24/08/2020 2:16 PM</t>
  </si>
  <si>
    <t>19/08/2020 11:32 PM</t>
  </si>
  <si>
    <t>18/08/2020 3:27 PM</t>
  </si>
  <si>
    <t>13/08/2020 6:03 PM</t>
  </si>
  <si>
    <t>18/08/2020 3:19 PM</t>
  </si>
  <si>
    <t>18/08/2020 3:00 PM</t>
  </si>
  <si>
    <t>18/08/2020 2:49 PM</t>
  </si>
  <si>
    <t>07/08/2020 5:08 PM</t>
  </si>
  <si>
    <t>19/08/2020 8:56 PM</t>
  </si>
  <si>
    <t>13/08/2020 9:54 PM</t>
  </si>
  <si>
    <t>13/08/2020 9:52 PM</t>
  </si>
  <si>
    <t>19/08/2020 7:11 PM</t>
  </si>
  <si>
    <t>14/08/2020 2:23 PM</t>
  </si>
  <si>
    <t>14/08/2020 2:21 PM</t>
  </si>
  <si>
    <t>13/08/2020 4:21 PM</t>
  </si>
  <si>
    <t>06/08/2020 12:00 AM</t>
  </si>
  <si>
    <t>20/08/2020 12:39 PM</t>
  </si>
  <si>
    <t>13/08/2020 4:16 PM</t>
  </si>
  <si>
    <t>10/08/2020 1:58 PM</t>
  </si>
  <si>
    <t>20/08/2020 3:06 PM</t>
  </si>
  <si>
    <t>13/08/2020 2:00 PM</t>
  </si>
  <si>
    <t>18/08/2020 5:42 PM</t>
  </si>
  <si>
    <t>22/08/2020 10:01 PM</t>
  </si>
  <si>
    <t>13/08/2020 4:25 PM</t>
  </si>
  <si>
    <t>14/08/2020 3:56 PM</t>
  </si>
  <si>
    <t>20/08/2020 4:52 PM</t>
  </si>
  <si>
    <t>20/08/2020 4:53 PM</t>
  </si>
  <si>
    <t>07/08/2020 1:38 PM</t>
  </si>
  <si>
    <t>20/08/2020 4:55 PM</t>
  </si>
  <si>
    <t>23/08/2020 9:38 PM</t>
  </si>
  <si>
    <t>14/08/2020 11:20 AM</t>
  </si>
  <si>
    <t>18/08/2020 9:28 PM</t>
  </si>
  <si>
    <t>14/08/2020 11:11 AM</t>
  </si>
  <si>
    <t>13/08/2020 2:31 PM</t>
  </si>
  <si>
    <t>24/08/2020 10:43 PM</t>
  </si>
  <si>
    <t>24/08/2020 10:41 PM</t>
  </si>
  <si>
    <t>07/08/2020 5:07 PM</t>
  </si>
  <si>
    <t>19/08/2020 11:28 PM</t>
  </si>
  <si>
    <t>20/08/2020 4:54 PM</t>
  </si>
  <si>
    <t>12/08/2020 5:15 PM</t>
  </si>
  <si>
    <t>19/08/2020 2:12 PM</t>
  </si>
  <si>
    <t>24/08/2020 10:38 PM</t>
  </si>
  <si>
    <t>17/08/2020 4:23 PM</t>
  </si>
  <si>
    <t>06/08/2020 1:22 PM</t>
  </si>
  <si>
    <t>13/08/2020 8:45 AM</t>
  </si>
  <si>
    <t>24/08/2020 1:52 PM</t>
  </si>
  <si>
    <t>23/08/2020 6:04 PM</t>
  </si>
  <si>
    <t>21/08/2020 6:02 PM</t>
  </si>
  <si>
    <t>12/08/2020 11:34 AM</t>
  </si>
  <si>
    <t>23/08/2020 6:06 PM</t>
  </si>
  <si>
    <t>24/08/2020 1:49 PM</t>
  </si>
  <si>
    <t>09/08/2020 10:20 PM</t>
  </si>
  <si>
    <t>09/08/2020 10:19 PM</t>
  </si>
  <si>
    <t>14/08/2020 3:49 PM</t>
  </si>
  <si>
    <t>14/08/2020 4:08 PM</t>
  </si>
  <si>
    <t>14/08/2020 4:00 PM</t>
  </si>
  <si>
    <t>18/08/2020 11:00 PM</t>
  </si>
  <si>
    <t>17/08/2020 5:00 PM</t>
  </si>
  <si>
    <t>20/08/2020 3:23 PM</t>
  </si>
  <si>
    <t>17/08/2020 2:58 PM</t>
  </si>
  <si>
    <t>24/08/2020 5:42 PM</t>
  </si>
  <si>
    <t>17/08/2020 2:30 PM</t>
  </si>
  <si>
    <t>14/08/2020 4:19 PM</t>
  </si>
  <si>
    <t>24/08/2020 9:01 AM</t>
  </si>
  <si>
    <t>06/08/2020 4:58 PM</t>
  </si>
  <si>
    <t>24/08/2020 9:43 AM</t>
  </si>
  <si>
    <t>12/08/2020 5:17 PM</t>
  </si>
  <si>
    <t>07/08/2020 5:06 PM</t>
  </si>
  <si>
    <t>18/08/2020 2:16 PM</t>
  </si>
  <si>
    <t>18/08/2020 2:18 PM</t>
  </si>
  <si>
    <t>24/08/2020 5:47 PM</t>
  </si>
  <si>
    <t>24/08/2020 3:56 PM</t>
  </si>
  <si>
    <t>18/08/2020 4:22 PM</t>
  </si>
  <si>
    <t>24/08/2020 3:20 PM</t>
  </si>
  <si>
    <t>24/08/2020 1:54 PM</t>
  </si>
  <si>
    <t>13/08/2020 6:05 PM</t>
  </si>
  <si>
    <t>20/08/2020 11:19 PM</t>
  </si>
  <si>
    <t>20/08/2020 6:02 PM</t>
  </si>
  <si>
    <t>20/08/2020 11:20 AM</t>
  </si>
  <si>
    <t>24/08/2020 9:53 AM</t>
  </si>
  <si>
    <t>24/08/2020 9:51 AM</t>
  </si>
  <si>
    <t>24/08/2020 10:23 AM</t>
  </si>
  <si>
    <t>24/08/2020 2:15 PM</t>
  </si>
  <si>
    <t>07/08/2020 5:12 PM</t>
  </si>
  <si>
    <t>21/08/2020 6:12 PM</t>
  </si>
  <si>
    <t>24/08/2020 9:45 AM</t>
  </si>
  <si>
    <t>24/08/2020 10:01 AM</t>
  </si>
  <si>
    <t>18/08/2020 4:12 PM</t>
  </si>
  <si>
    <t>13/08/2020 6:09 PM</t>
  </si>
  <si>
    <t>20/08/2020 4:57 PM</t>
  </si>
  <si>
    <t>19/08/2020 4:31 PM</t>
  </si>
  <si>
    <t>24/08/2020 9:58 AM</t>
  </si>
  <si>
    <t>17/08/2020 3:39 PM</t>
  </si>
  <si>
    <t>20/08/2020 8:15 AM</t>
  </si>
  <si>
    <t>13/08/2020 9:21 PM</t>
  </si>
  <si>
    <t>13/08/2020 6:08 PM</t>
  </si>
  <si>
    <t>24/08/2020 10:04 AM</t>
  </si>
  <si>
    <t>18/08/2020 10:54 AM</t>
  </si>
  <si>
    <t>11/08/2020 3:53 PM</t>
  </si>
  <si>
    <t>13/08/2020 5:26 PM</t>
  </si>
  <si>
    <t>17/08/2020 3:14 PM</t>
  </si>
  <si>
    <t>24/08/2020 3:53 PM</t>
  </si>
  <si>
    <t>09/08/2020 10:21 PM</t>
  </si>
  <si>
    <t>24/08/2020 5:45 PM</t>
  </si>
  <si>
    <t>20/08/2020 6:00 PM</t>
  </si>
  <si>
    <t>20/08/2020 5:02 PM</t>
  </si>
  <si>
    <t>19/08/2020 11:29 AM</t>
  </si>
  <si>
    <t>18/08/2020 9:28 AM</t>
  </si>
  <si>
    <t>10/08/2020 12:07 PM</t>
  </si>
  <si>
    <t>24/08/2020 10:56 AM</t>
  </si>
  <si>
    <t>13/08/2020 5:36 PM</t>
  </si>
  <si>
    <t>14/08/2020 8:56 AM</t>
  </si>
  <si>
    <t>20/08/2020 5:06 PM</t>
  </si>
  <si>
    <t>15/08/2020 12:17 PM</t>
  </si>
  <si>
    <t>13/08/2020 12:46 PM</t>
  </si>
  <si>
    <t>19/08/2020 11:33 AM</t>
  </si>
  <si>
    <t>23/08/2020 3:13 AM</t>
  </si>
  <si>
    <t>11/08/2020 11:13 PM</t>
  </si>
  <si>
    <t>13/08/2020 5:29 PM</t>
  </si>
  <si>
    <t>18/08/2020 5:39 PM</t>
  </si>
  <si>
    <t>18/08/2020 5:36 PM</t>
  </si>
  <si>
    <t>07/08/2020 10:54 AM</t>
  </si>
  <si>
    <t>13/08/2020 5:42 PM</t>
  </si>
  <si>
    <t>12/08/2020 3:58 PM</t>
  </si>
  <si>
    <t>13/08/2020 5:45 PM</t>
  </si>
  <si>
    <t>11/08/2020 11:15 PM</t>
  </si>
  <si>
    <t>24/08/2020 10:06 AM</t>
  </si>
  <si>
    <t>11/08/2020 11:16 PM</t>
  </si>
  <si>
    <t>10/08/2020 12:13 PM</t>
  </si>
  <si>
    <t>17/08/2020 3:52 PM</t>
  </si>
  <si>
    <t>20/08/2020 2:07 PM</t>
  </si>
  <si>
    <t>10/08/2020 2:46 PM</t>
  </si>
  <si>
    <t>13/08/2020 5:39 PM</t>
  </si>
  <si>
    <t>10/08/2020 3:46 PM</t>
  </si>
  <si>
    <t>19/08/2020 5:10 PM</t>
  </si>
  <si>
    <t>24/08/2020 10:08 AM</t>
  </si>
  <si>
    <t>13/08/2020 5:33 PM</t>
  </si>
  <si>
    <t>20/08/2020 10:43 PM</t>
  </si>
  <si>
    <t>24/08/2020 11:55 AM</t>
  </si>
  <si>
    <t>20/08/2020 10:41 PM</t>
  </si>
  <si>
    <t>10/08/2020 12:19 PM</t>
  </si>
  <si>
    <t>18/08/2020 11:50 AM</t>
  </si>
  <si>
    <t>10/08/2020 3:24 PM</t>
  </si>
  <si>
    <t>20/08/2020 10:49 PM</t>
  </si>
  <si>
    <t>20/08/2020 10:47 PM</t>
  </si>
  <si>
    <t>20/08/2020 10:51 PM</t>
  </si>
  <si>
    <t>10/08/2020 12:17 PM</t>
  </si>
  <si>
    <t>20/08/2020 8:50 AM</t>
  </si>
  <si>
    <t>20/08/2020 10:44 PM</t>
  </si>
  <si>
    <t>06/08/2020 2:38 PM</t>
  </si>
  <si>
    <t>20/08/2020 10:52 PM</t>
  </si>
  <si>
    <t>19/08/2020 8:45 PM</t>
  </si>
  <si>
    <t>14/08/2020 4:47 PM</t>
  </si>
  <si>
    <t>14/08/2020 4:45 PM</t>
  </si>
  <si>
    <t>18/08/2020 10:43 PM</t>
  </si>
  <si>
    <t>17/08/2020 10:05 AM</t>
  </si>
  <si>
    <t>14/08/2020 4:42 PM</t>
  </si>
  <si>
    <t>20/08/2020 11:04 PM</t>
  </si>
  <si>
    <t>20/08/2020 10:56 PM</t>
  </si>
  <si>
    <t>20/08/2020 10:59 PM</t>
  </si>
  <si>
    <t>20/08/2020 11:06 PM</t>
  </si>
  <si>
    <t>18/08/2020 10:22 PM</t>
  </si>
  <si>
    <t>20/08/2020 10:58 PM</t>
  </si>
  <si>
    <t>18/08/2020 11:48 AM</t>
  </si>
  <si>
    <t>19/08/2020 8:54 PM</t>
  </si>
  <si>
    <t>20/08/2020 11:07 PM</t>
  </si>
  <si>
    <t>23/08/2020 8:27 PM</t>
  </si>
  <si>
    <t>05/08/2020 12:00 AM</t>
  </si>
  <si>
    <t>20/08/2020 11:02 PM</t>
  </si>
  <si>
    <t>19/08/2020 5:21 PM</t>
  </si>
  <si>
    <t>19/08/2020 5:33 PM</t>
  </si>
  <si>
    <t>19/08/2020 5:25 PM</t>
  </si>
  <si>
    <t>19/08/2020 5:29 PM</t>
  </si>
  <si>
    <t>18/08/2020 9:46 AM</t>
  </si>
  <si>
    <t>18/08/2020 11:49 PM</t>
  </si>
  <si>
    <t>19/08/2020 8:34 AM</t>
  </si>
  <si>
    <t>19/08/2020 8:36 AM</t>
  </si>
  <si>
    <t>17/08/2020 11:26 AM</t>
  </si>
  <si>
    <t>14/08/2020 2:15 PM</t>
  </si>
  <si>
    <t>17/08/2020 10:04 AM</t>
  </si>
  <si>
    <t>17/08/2020 4:40 PM</t>
  </si>
  <si>
    <t>11/08/2020 3:55 PM</t>
  </si>
  <si>
    <t>14/08/2020 4:05 PM</t>
  </si>
  <si>
    <t>19/08/2020 10:31 AM</t>
  </si>
  <si>
    <t>14/08/2020 2:51 PM</t>
  </si>
  <si>
    <t>17/08/2020 4:33 PM</t>
  </si>
  <si>
    <t>18/08/2020 1:18 PM</t>
  </si>
  <si>
    <t>13/08/2020 2:30 PM</t>
  </si>
  <si>
    <t>17/08/2020 5:10 PM</t>
  </si>
  <si>
    <t>14/08/2020 3:03 PM</t>
  </si>
  <si>
    <t>19/08/2020 7:29 AM</t>
  </si>
  <si>
    <t>13/08/2020 3:16 PM</t>
  </si>
  <si>
    <t>13/08/2020 5:09 PM</t>
  </si>
  <si>
    <t>19/08/2020 5:40 PM</t>
  </si>
  <si>
    <t>11/08/2020 11:31 AM</t>
  </si>
  <si>
    <t>17/08/2020 2:50 PM</t>
  </si>
  <si>
    <t>17/08/2020 2:45 PM</t>
  </si>
  <si>
    <t>18/08/2020 11:10 AM</t>
  </si>
  <si>
    <t>13/08/2020 1:32 PM</t>
  </si>
  <si>
    <t>14/08/2020 10:57 AM</t>
  </si>
  <si>
    <t>17/08/2020 3:24 PM</t>
  </si>
  <si>
    <t>20/08/2020 11:28 AM</t>
  </si>
  <si>
    <t>24/08/2020 5:27 PM</t>
  </si>
  <si>
    <t>17/08/2020 2:21 PM</t>
  </si>
  <si>
    <t>17/08/2020 3:49 PM</t>
  </si>
  <si>
    <t>17/08/2020 2:18 PM</t>
  </si>
  <si>
    <t>14/08/2020 1:48 PM</t>
  </si>
  <si>
    <t>10/08/2020 4:45 PM</t>
  </si>
  <si>
    <t>19/08/2020 4:01 PM</t>
  </si>
  <si>
    <t>19/08/2020 3:46 PM</t>
  </si>
  <si>
    <t>10/08/2020 4:48 PM</t>
  </si>
  <si>
    <t>18/08/2020 3:38 PM</t>
  </si>
  <si>
    <t>19/08/2020 4:10 PM</t>
  </si>
  <si>
    <t>14/08/2020 1:21 PM</t>
  </si>
  <si>
    <t>19/08/2020 3:18 PM</t>
  </si>
  <si>
    <t>11/08/2020 3:50 PM</t>
  </si>
  <si>
    <t>18/08/2020 6:48 PM</t>
  </si>
  <si>
    <t>18/08/2020 3:48 PM</t>
  </si>
  <si>
    <t>17/08/2020 2:20 PM</t>
  </si>
  <si>
    <t>11/08/2020 4:03 PM</t>
  </si>
  <si>
    <t>24/08/2020 9:47 AM</t>
  </si>
  <si>
    <t>24/08/2020 7:21 AM</t>
  </si>
  <si>
    <t>18/08/2020 5:10 PM</t>
  </si>
  <si>
    <t>17/08/2020 5:14 PM</t>
  </si>
  <si>
    <t>17/08/2020 10:08 AM</t>
  </si>
  <si>
    <t>18/08/2020 6:10 PM</t>
  </si>
  <si>
    <t>18/08/2020 10:34 AM</t>
  </si>
  <si>
    <t>17/08/2020 5:24 PM</t>
  </si>
  <si>
    <t>07/08/2020 9:29 AM</t>
  </si>
  <si>
    <t>18/08/2020 6:13 PM</t>
  </si>
  <si>
    <t>17/08/2020 5:44 PM</t>
  </si>
  <si>
    <t>12/08/2020 4:33 PM</t>
  </si>
  <si>
    <t>12/08/2020 7:14 PM</t>
  </si>
  <si>
    <t>12/08/2020 7:11 PM</t>
  </si>
  <si>
    <t>19/08/2020 5:07 PM</t>
  </si>
  <si>
    <t>20/08/2020 5:31 PM</t>
  </si>
  <si>
    <t>18/08/2020 11:14 PM</t>
  </si>
  <si>
    <t>18/08/2020 4:54 PM</t>
  </si>
  <si>
    <t>18/08/2020 11:16 PM</t>
  </si>
  <si>
    <t>04/08/2020 12:00 AM</t>
  </si>
  <si>
    <t>18/08/2020 11:11 PM</t>
  </si>
  <si>
    <t>14/08/2020 11:19 AM</t>
  </si>
  <si>
    <t>14/08/2020 11:18 AM</t>
  </si>
  <si>
    <t>19/08/2020 9:36 AM</t>
  </si>
  <si>
    <t>04/08/2020 2:52 PM</t>
  </si>
  <si>
    <t>24/08/2020 4:09 PM</t>
  </si>
  <si>
    <t>13/08/2020 1:56 PM</t>
  </si>
  <si>
    <t>24/08/2020 4:04 PM</t>
  </si>
  <si>
    <t>24/08/2020 4:07 PM</t>
  </si>
  <si>
    <t>18/08/2020 3:26 PM</t>
  </si>
  <si>
    <t>14/08/2020 4:33 PM</t>
  </si>
  <si>
    <t>17/08/2020 4:56 PM</t>
  </si>
  <si>
    <t>17/08/2020 11:17 AM</t>
  </si>
  <si>
    <t>17/08/2020 2:16 PM</t>
  </si>
  <si>
    <t>11/08/2020 4:10 PM</t>
  </si>
  <si>
    <t>13/08/2020 1:35 PM</t>
  </si>
  <si>
    <t>13/08/2020 9:02 AM</t>
  </si>
  <si>
    <t>17/08/2020 4:59 PM</t>
  </si>
  <si>
    <t>20/08/2020 3:08 PM</t>
  </si>
  <si>
    <t>19/08/2020 8:52 PM</t>
  </si>
  <si>
    <t>19/08/2020 9:43 PM</t>
  </si>
  <si>
    <t>22/08/2020 10:43 AM</t>
  </si>
  <si>
    <t>18/08/2020 3:51 PM</t>
  </si>
  <si>
    <t>05/08/2020 3:59 PM</t>
  </si>
  <si>
    <t>18/08/2020 3:53 PM</t>
  </si>
  <si>
    <t>23/08/2020 9:40 PM</t>
  </si>
  <si>
    <t>12/08/2020 6:12 PM</t>
  </si>
  <si>
    <t>18/08/2020 3:57 PM</t>
  </si>
  <si>
    <t>18/08/2020 3:52 PM</t>
  </si>
  <si>
    <t>18/08/2020 3:55 PM</t>
  </si>
  <si>
    <t>24/08/2020 3:15 PM</t>
  </si>
  <si>
    <t>18/08/2020 3:56 PM</t>
  </si>
  <si>
    <t>17/08/2020 4:41 PM</t>
  </si>
  <si>
    <t>17/08/2020 3:56 PM</t>
  </si>
  <si>
    <t>17/08/2020 9:26 AM</t>
  </si>
  <si>
    <t>13/08/2020 1:07 PM</t>
  </si>
  <si>
    <t>10/08/2020 3:00 PM</t>
  </si>
  <si>
    <t>17/08/2020 3:53 PM</t>
  </si>
  <si>
    <t>11/08/2020 3:45 PM</t>
  </si>
  <si>
    <t>20/08/2020 11:35 PM</t>
  </si>
  <si>
    <t>13/08/2020 1:06 PM</t>
  </si>
  <si>
    <t>19/08/2020 3:31 PM</t>
  </si>
  <si>
    <t>11/08/2020 3:58 PM</t>
  </si>
  <si>
    <t>13/08/2020 2:47 PM</t>
  </si>
  <si>
    <t>17/08/2020 10:14 PM</t>
  </si>
  <si>
    <t>24/08/2020 10:44 PM</t>
  </si>
  <si>
    <t>19/08/2020 9:42 AM</t>
  </si>
  <si>
    <t>18/08/2020 8:21 AM</t>
  </si>
  <si>
    <t>19/08/2020 9:48 AM</t>
  </si>
  <si>
    <t>04/08/2020 2:23 PM</t>
  </si>
  <si>
    <t>20/08/2020 8:32 AM</t>
  </si>
  <si>
    <t>19/08/2020 9:44 AM</t>
  </si>
  <si>
    <t>17/08/2020 4:20 PM</t>
  </si>
  <si>
    <t>20/08/2020 8:21 PM</t>
  </si>
  <si>
    <t>24/08/2020 6:21 PM</t>
  </si>
  <si>
    <t>09/08/2020 10:01 PM</t>
  </si>
  <si>
    <t>19/08/2020 9:45 AM</t>
  </si>
  <si>
    <t>03/08/2020 12:00 AM</t>
  </si>
  <si>
    <t>11/08/2020 4:22 PM</t>
  </si>
  <si>
    <t>17/08/2020 7:18 AM</t>
  </si>
  <si>
    <t>09/08/2020 10:00 PM</t>
  </si>
  <si>
    <t>18/08/2020 11:51 PM</t>
  </si>
  <si>
    <t>20/08/2020 7:48 PM</t>
  </si>
  <si>
    <t>19/08/2020 9:09 PM</t>
  </si>
  <si>
    <t>17/08/2020 10:16 PM</t>
  </si>
  <si>
    <t>15/08/2020 10:29 PM</t>
  </si>
  <si>
    <t>09/08/2020 10:05 PM</t>
  </si>
  <si>
    <t>20/08/2020 9:54 PM</t>
  </si>
  <si>
    <t>20/08/2020 8:50 PM</t>
  </si>
  <si>
    <t>11/08/2020 2:49 PM</t>
  </si>
  <si>
    <t>09/08/2020 10:31 PM</t>
  </si>
  <si>
    <t>09/08/2020 10:27 PM</t>
  </si>
  <si>
    <t>09/08/2020 10:24 PM</t>
  </si>
  <si>
    <t>09/08/2020 10:18 PM</t>
  </si>
  <si>
    <t>11/08/2020 6:17 PM</t>
  </si>
  <si>
    <t>11/08/2020 6:19 PM</t>
  </si>
  <si>
    <t>14/08/2020 12:49 PM</t>
  </si>
  <si>
    <t>17/08/2020 1:42 PM</t>
  </si>
  <si>
    <t>31/07/2020 12:00 AM</t>
  </si>
  <si>
    <t>13/08/2020 4:30 PM</t>
  </si>
  <si>
    <t>13/08/2020 4:37 PM</t>
  </si>
  <si>
    <t>16/08/2020 10:04 PM</t>
  </si>
  <si>
    <t>03/08/2020 10:42 AM</t>
  </si>
  <si>
    <t>24/08/2020 5:09 PM</t>
  </si>
  <si>
    <t>19/08/2020 11:21 AM</t>
  </si>
  <si>
    <t>12/08/2020 3:56 PM</t>
  </si>
  <si>
    <t>13/08/2020 12:51 PM</t>
  </si>
  <si>
    <t>13/08/2020 12:48 PM</t>
  </si>
  <si>
    <t>13/08/2020 12:47 PM</t>
  </si>
  <si>
    <t>11/08/2020 6:20 PM</t>
  </si>
  <si>
    <t>12/08/2020 3:52 PM</t>
  </si>
  <si>
    <t>13/08/2020 3:13 PM</t>
  </si>
  <si>
    <t>17/08/2020 2:08 PM</t>
  </si>
  <si>
    <t>24/08/2020 4:33 PM</t>
  </si>
  <si>
    <t>04/08/2020 8:48 PM</t>
  </si>
  <si>
    <t>05/08/2020 11:37 AM</t>
  </si>
  <si>
    <t>17/08/2020 2:52 PM</t>
  </si>
  <si>
    <t>21/08/2020 12:58 AM</t>
  </si>
  <si>
    <t>19/08/2020 11:24 AM</t>
  </si>
  <si>
    <t>13/08/2020 12:50 PM</t>
  </si>
  <si>
    <t>05/08/2020 10:54 AM</t>
  </si>
  <si>
    <t>21/08/2020 6:39 PM</t>
  </si>
  <si>
    <t>19/08/2020 2:26 PM</t>
  </si>
  <si>
    <t>03/08/2020 4:42 PM</t>
  </si>
  <si>
    <t>03/08/2020 4:38 PM</t>
  </si>
  <si>
    <t>17/08/2020 9:06 AM</t>
  </si>
  <si>
    <t>13/08/2020 12:53 PM</t>
  </si>
  <si>
    <t>30/07/2020 12:00 AM</t>
  </si>
  <si>
    <t>12/08/2020 4:19 PM</t>
  </si>
  <si>
    <t>19/08/2020 6:25 PM</t>
  </si>
  <si>
    <t>20/08/2020 8:29 PM</t>
  </si>
  <si>
    <t>18/08/2020 2:12 PM</t>
  </si>
  <si>
    <t>19/08/2020 10:27 AM</t>
  </si>
  <si>
    <t>24/08/2020 5:17 PM</t>
  </si>
  <si>
    <t>24/08/2020 5:19 PM</t>
  </si>
  <si>
    <t>18/08/2020 5:05 PM</t>
  </si>
  <si>
    <t>11/08/2020 10:35 AM</t>
  </si>
  <si>
    <t>24/08/2020 5:22 PM</t>
  </si>
  <si>
    <t>11/08/2020 10:04 AM</t>
  </si>
  <si>
    <t>12/08/2020 4:22 PM</t>
  </si>
  <si>
    <t>14/08/2020 8:52 AM</t>
  </si>
  <si>
    <t>11/08/2020 9:31 AM</t>
  </si>
  <si>
    <t>21/08/2020 4:28 PM</t>
  </si>
  <si>
    <t>17/08/2020 3:22 PM</t>
  </si>
  <si>
    <t>11/08/2020 10:11 AM</t>
  </si>
  <si>
    <t>12/08/2020 3:00 PM</t>
  </si>
  <si>
    <t>24/08/2020 11:42 AM</t>
  </si>
  <si>
    <t>12/08/2020 2:59 PM</t>
  </si>
  <si>
    <t>04/08/2020 3:48 PM</t>
  </si>
  <si>
    <t>19/08/2020 12:06 PM</t>
  </si>
  <si>
    <t>03/08/2020 6:03 PM</t>
  </si>
  <si>
    <t>03/08/2020 5:35 PM</t>
  </si>
  <si>
    <t>03/08/2020 5:38 PM</t>
  </si>
  <si>
    <t>29/07/2020 12:00 AM</t>
  </si>
  <si>
    <t>06/08/2020 2:31 PM</t>
  </si>
  <si>
    <t>03/08/2020 6:06 PM</t>
  </si>
  <si>
    <t>19/08/2020 7:22 PM</t>
  </si>
  <si>
    <t>12/08/2020 9:36 PM</t>
  </si>
  <si>
    <t>18/08/2020 6:00 PM</t>
  </si>
  <si>
    <t>18/08/2020 5:55 PM</t>
  </si>
  <si>
    <t>03/08/2020 9:56 AM</t>
  </si>
  <si>
    <t>03/08/2020 9:51 AM</t>
  </si>
  <si>
    <t>03/08/2020 9:50 AM</t>
  </si>
  <si>
    <t>19/08/2020 2:35 PM</t>
  </si>
  <si>
    <t>03/08/2020 9:45 AM</t>
  </si>
  <si>
    <t>14/08/2020 2:54 PM</t>
  </si>
  <si>
    <t>03/08/2020 6:07 PM</t>
  </si>
  <si>
    <t>24/08/2020 3:06 PM</t>
  </si>
  <si>
    <t>24/08/2020 3:07 PM</t>
  </si>
  <si>
    <t>21/08/2020 1:12 AM</t>
  </si>
  <si>
    <t>21/08/2020 1:27 AM</t>
  </si>
  <si>
    <t>19/08/2020 7:17 PM</t>
  </si>
  <si>
    <t>19/08/2020 7:13 PM</t>
  </si>
  <si>
    <t>19/08/2020 7:04 PM</t>
  </si>
  <si>
    <t>17/08/2020 6:12 PM</t>
  </si>
  <si>
    <t>19/08/2020 7:20 PM</t>
  </si>
  <si>
    <t>11/08/2020 4:21 PM</t>
  </si>
  <si>
    <t>20/08/2020 4:33 PM</t>
  </si>
  <si>
    <t>14/08/2020 8:55 AM</t>
  </si>
  <si>
    <t>12/08/2020 9:32 PM</t>
  </si>
  <si>
    <t>12/08/2020 9:28 PM</t>
  </si>
  <si>
    <t>03/08/2020 8:31 PM</t>
  </si>
  <si>
    <t>18/08/2020 5:26 PM</t>
  </si>
  <si>
    <t>12/08/2020 9:33 PM</t>
  </si>
  <si>
    <t>28/07/2020 12:00 AM</t>
  </si>
  <si>
    <t>03/08/2020 9:00 PM</t>
  </si>
  <si>
    <t>14/08/2020 9:01 PM</t>
  </si>
  <si>
    <t>10/08/2020 4:50 PM</t>
  </si>
  <si>
    <t>10/08/2020 4:43 PM</t>
  </si>
  <si>
    <t>14/08/2020 11:01 PM</t>
  </si>
  <si>
    <t>10/08/2020 4:42 PM</t>
  </si>
  <si>
    <t>14/08/2020 6:37 AM</t>
  </si>
  <si>
    <t>20/08/2020 8:27 AM</t>
  </si>
  <si>
    <t>24/08/2020 11:33 AM</t>
  </si>
  <si>
    <t>18/08/2020 2:08 PM</t>
  </si>
  <si>
    <t>20/08/2020 8:29 AM</t>
  </si>
  <si>
    <t>12/08/2020 5:26 PM</t>
  </si>
  <si>
    <t>07/08/2020 12:12 PM</t>
  </si>
  <si>
    <t>07/08/2020 11:54 AM</t>
  </si>
  <si>
    <t>13/08/2020 1:24 PM</t>
  </si>
  <si>
    <t>07/08/2020 12:06 PM</t>
  </si>
  <si>
    <t>19/08/2020 2:48 PM</t>
  </si>
  <si>
    <t>11/08/2020 6:22 PM</t>
  </si>
  <si>
    <t>11/08/2020 6:23 PM</t>
  </si>
  <si>
    <t>11/08/2020 6:25 PM</t>
  </si>
  <si>
    <t>13/08/2020 1:23 PM</t>
  </si>
  <si>
    <t>03/08/2020 1:11 PM</t>
  </si>
  <si>
    <t>14/08/2020 1:17 PM</t>
  </si>
  <si>
    <t>11/08/2020 6:28 PM</t>
  </si>
  <si>
    <t>09/08/2020 12:56 PM</t>
  </si>
  <si>
    <t>09/08/2020 10:04 PM</t>
  </si>
  <si>
    <t>09/08/2020 10:02 PM</t>
  </si>
  <si>
    <t>17/08/2020 6:20 PM</t>
  </si>
  <si>
    <t>17/08/2020 9:54 AM</t>
  </si>
  <si>
    <t>17/08/2020 9:51 AM</t>
  </si>
  <si>
    <t>09/08/2020 10:03 PM</t>
  </si>
  <si>
    <t>19/08/2020 9:38 AM</t>
  </si>
  <si>
    <t>19/08/2020 12:11 AM</t>
  </si>
  <si>
    <t>09/08/2020 12:54 PM</t>
  </si>
  <si>
    <t>17/08/2020 4:38 PM</t>
  </si>
  <si>
    <t>17/08/2020 5:09 PM</t>
  </si>
  <si>
    <t>20/08/2020 9:39 AM</t>
  </si>
  <si>
    <t>19/08/2020 9:37 AM</t>
  </si>
  <si>
    <t>17/08/2020 7:54 PM</t>
  </si>
  <si>
    <t>17/08/2020 7:55 PM</t>
  </si>
  <si>
    <t>17/08/2020 7:29 PM</t>
  </si>
  <si>
    <t>18/08/2020 6:53 PM</t>
  </si>
  <si>
    <t>14/08/2020 6:30 AM</t>
  </si>
  <si>
    <t>18/08/2020 6:56 PM</t>
  </si>
  <si>
    <t>21/08/2020 10:29 AM</t>
  </si>
  <si>
    <t>17/08/2020 7:52 PM</t>
  </si>
  <si>
    <t>06/08/2020 11:03 AM</t>
  </si>
  <si>
    <t>24/08/2020 3:26 PM</t>
  </si>
  <si>
    <t>04/08/2020 9:11 PM</t>
  </si>
  <si>
    <t>24/08/2020 3:14 PM</t>
  </si>
  <si>
    <t>06/08/2020 11:02 AM</t>
  </si>
  <si>
    <t>14/08/2020 6:34 AM</t>
  </si>
  <si>
    <t>14/08/2020 6:29 AM</t>
  </si>
  <si>
    <t>17/08/2020 1:15 PM</t>
  </si>
  <si>
    <t>17/08/2020 1:07 PM</t>
  </si>
  <si>
    <t>17/08/2020 1:08 PM</t>
  </si>
  <si>
    <t>14/08/2020 6:20 AM</t>
  </si>
  <si>
    <t>17/08/2020 12:57 PM</t>
  </si>
  <si>
    <t>27/07/2020 12:00 AM</t>
  </si>
  <si>
    <t>10/08/2020 10:15 PM</t>
  </si>
  <si>
    <t>18/08/2020 3:50 PM</t>
  </si>
  <si>
    <t>25/07/2020 12:00 AM</t>
  </si>
  <si>
    <t>04/08/2020 3:05 PM</t>
  </si>
  <si>
    <t>18/08/2020 12:34 PM</t>
  </si>
  <si>
    <t>17/08/2020 1:01 PM</t>
  </si>
  <si>
    <t>17/08/2020 1:12 PM</t>
  </si>
  <si>
    <t>19/08/2020 2:31 PM</t>
  </si>
  <si>
    <t>24/07/2020 12:00 AM</t>
  </si>
  <si>
    <t>18/08/2020 7:36 AM</t>
  </si>
  <si>
    <t>05/08/2020 1:52 PM</t>
  </si>
  <si>
    <t>14/08/2020 6:32 AM</t>
  </si>
  <si>
    <t>24/08/2020 4:39 PM</t>
  </si>
  <si>
    <t>19/08/2020 2:28 PM</t>
  </si>
  <si>
    <t>17/08/2020 2:12 PM</t>
  </si>
  <si>
    <t>17/08/2020 2:11 PM</t>
  </si>
  <si>
    <t>19/08/2020 3:35 PM</t>
  </si>
  <si>
    <t>22/07/2020 12:00 AM</t>
  </si>
  <si>
    <t>24/08/2020 1:10 PM</t>
  </si>
  <si>
    <t>13/08/2020 9:41 AM</t>
  </si>
  <si>
    <t>11/08/2020 5:24 PM</t>
  </si>
  <si>
    <t>11/08/2020 5:22 PM</t>
  </si>
  <si>
    <t>11/08/2020 5:19 PM</t>
  </si>
  <si>
    <t>21/08/2020 3:12 PM</t>
  </si>
  <si>
    <t>12/08/2020 10:34 PM</t>
  </si>
  <si>
    <t>19/08/2020 3:00 PM</t>
  </si>
  <si>
    <t>05/08/2020 4:29 PM</t>
  </si>
  <si>
    <t>18/08/2020 3:45 PM</t>
  </si>
  <si>
    <t>20/08/2020 9:25 AM</t>
  </si>
  <si>
    <t>13/08/2020 9:42 AM</t>
  </si>
  <si>
    <t>26/07/2020 7:59 PM</t>
  </si>
  <si>
    <t>08/08/2020 2:06 PM</t>
  </si>
  <si>
    <t>14/08/2020 12:42 PM</t>
  </si>
  <si>
    <t>20/08/2020 5:14 PM</t>
  </si>
  <si>
    <t>20/08/2020 5:08 PM</t>
  </si>
  <si>
    <t>17/08/2020 11:33 PM</t>
  </si>
  <si>
    <t>11/08/2020 5:01 PM</t>
  </si>
  <si>
    <t>05/08/2020 10:27 PM</t>
  </si>
  <si>
    <t>03/08/2020 5:23 PM</t>
  </si>
  <si>
    <t>20/08/2020 9:52 AM</t>
  </si>
  <si>
    <t>11/08/2020 4:59 PM</t>
  </si>
  <si>
    <t>20/08/2020 12:30 PM</t>
  </si>
  <si>
    <t>12/08/2020 1:17 PM</t>
  </si>
  <si>
    <t>12/08/2020 4:13 PM</t>
  </si>
  <si>
    <t>19/08/2020 6:52 PM</t>
  </si>
  <si>
    <t>24/08/2020 10:39 AM</t>
  </si>
  <si>
    <t>20/07/2020 12:00 AM</t>
  </si>
  <si>
    <t>21/08/2020 10:18 PM</t>
  </si>
  <si>
    <t>21/07/2020 12:00 AM</t>
  </si>
  <si>
    <t>18/08/2020 5:49 PM</t>
  </si>
  <si>
    <t>07/08/2020 2:10 PM</t>
  </si>
  <si>
    <t>24/08/2020 10:41 AM</t>
  </si>
  <si>
    <t>18/08/2020 7:34 AM</t>
  </si>
  <si>
    <t>20/08/2020 1:02 PM</t>
  </si>
  <si>
    <t>20/08/2020 1:01 PM</t>
  </si>
  <si>
    <t>20/08/2020 1:00 PM</t>
  </si>
  <si>
    <t>20/08/2020 12:57 PM</t>
  </si>
  <si>
    <t>20/07/2020 2:36 PM</t>
  </si>
  <si>
    <t>20/08/2020 12:56 PM</t>
  </si>
  <si>
    <t>11/08/2020 9:11 PM</t>
  </si>
  <si>
    <t>18/08/2020 3:44 PM</t>
  </si>
  <si>
    <t>20/08/2020 12:55 PM</t>
  </si>
  <si>
    <t>20/08/2020 12:51 PM</t>
  </si>
  <si>
    <t>20/08/2020 12:50 PM</t>
  </si>
  <si>
    <t>20/08/2020 12:42 PM</t>
  </si>
  <si>
    <t>24/08/2020 2:00 PM</t>
  </si>
  <si>
    <t>17/08/2020 3:55 PM</t>
  </si>
  <si>
    <t>20/08/2020 12:53 PM</t>
  </si>
  <si>
    <t>20/08/2020 12:59 PM</t>
  </si>
  <si>
    <t>20/08/2020 12:37 PM</t>
  </si>
  <si>
    <t>18/08/2020 3:04 PM</t>
  </si>
  <si>
    <t>20/08/2020 12:46 PM</t>
  </si>
  <si>
    <t>17/08/2020 4:32 PM</t>
  </si>
  <si>
    <t>20/08/2020 3:14 PM</t>
  </si>
  <si>
    <t>20/08/2020 2:37 PM</t>
  </si>
  <si>
    <t>20/08/2020 2:36 PM</t>
  </si>
  <si>
    <t>20/08/2020 2:40 PM</t>
  </si>
  <si>
    <t>20/08/2020 1:15 PM</t>
  </si>
  <si>
    <t>20/08/2020 1:14 PM</t>
  </si>
  <si>
    <t>20/08/2020 1:12 PM</t>
  </si>
  <si>
    <t>20/08/2020 1:08 PM</t>
  </si>
  <si>
    <t>20/08/2020 1:07 PM</t>
  </si>
  <si>
    <t>20/08/2020 12:48 PM</t>
  </si>
  <si>
    <t>20/08/2020 2:39 PM</t>
  </si>
  <si>
    <t>24/08/2020 3:57 PM</t>
  </si>
  <si>
    <t>22/08/2020 10:14 PM</t>
  </si>
  <si>
    <t>20/08/2020 3:37 PM</t>
  </si>
  <si>
    <t>05/08/2020 10:14 PM</t>
  </si>
  <si>
    <t>20/08/2020 3:32 PM</t>
  </si>
  <si>
    <t>20/08/2020 3:30 PM</t>
  </si>
  <si>
    <t>20/08/2020 3:22 PM</t>
  </si>
  <si>
    <t>04/08/2020 8:36 PM</t>
  </si>
  <si>
    <t>07/08/2020 10:53 AM</t>
  </si>
  <si>
    <t>15/08/2020 10:21 AM</t>
  </si>
  <si>
    <t>20/08/2020 3:31 PM</t>
  </si>
  <si>
    <t>20/08/2020 3:25 PM</t>
  </si>
  <si>
    <t>20/08/2020 3:39 PM</t>
  </si>
  <si>
    <t>10/08/2020 9:43 AM</t>
  </si>
  <si>
    <t>10/08/2020 2:12 PM</t>
  </si>
  <si>
    <t>11/08/2020 4:58 PM</t>
  </si>
  <si>
    <t>17/08/2020 4:05 PM</t>
  </si>
  <si>
    <t>15/08/2020 9:58 AM</t>
  </si>
  <si>
    <t>11/08/2020 4:56 PM</t>
  </si>
  <si>
    <t>18/08/2020 9:35 PM</t>
  </si>
  <si>
    <t>20/08/2020 3:24 PM</t>
  </si>
  <si>
    <t>04/08/2020 9:58 AM</t>
  </si>
  <si>
    <t>20/08/2020 1:40 PM</t>
  </si>
  <si>
    <t>14/08/2020 6:09 PM</t>
  </si>
  <si>
    <t>22/08/2020 5:18 PM</t>
  </si>
  <si>
    <t>20/08/2020 7:47 PM</t>
  </si>
  <si>
    <t>18/07/2020 12:00 AM</t>
  </si>
  <si>
    <t>20/08/2020 7:31 PM</t>
  </si>
  <si>
    <t>19/08/2020 2:15 PM</t>
  </si>
  <si>
    <t>12/08/2020 1:06 PM</t>
  </si>
  <si>
    <t>20/08/2020 8:14 AM</t>
  </si>
  <si>
    <t>12/08/2020 6:38 PM</t>
  </si>
  <si>
    <t>24/08/2020 4:51 PM</t>
  </si>
  <si>
    <t>13/08/2020 2:01 PM</t>
  </si>
  <si>
    <t>20/08/2020 2:55 PM</t>
  </si>
  <si>
    <t>14/08/2020 10:16 PM</t>
  </si>
  <si>
    <t>12/08/2020 12:55 PM</t>
  </si>
  <si>
    <t>17/08/2020 3:48 PM</t>
  </si>
  <si>
    <t>15/08/2020 7:48 AM</t>
  </si>
  <si>
    <t>12/08/2020 12:50 PM</t>
  </si>
  <si>
    <t>20/08/2020 8:37 AM</t>
  </si>
  <si>
    <t>20/08/2020 11:55 AM</t>
  </si>
  <si>
    <t>20/08/2020 3:29 PM</t>
  </si>
  <si>
    <t>20/08/2020 3:20 PM</t>
  </si>
  <si>
    <t>20/08/2020 3:17 PM</t>
  </si>
  <si>
    <t>12/08/2020 12:57 PM</t>
  </si>
  <si>
    <t>16/07/2020 12:00 AM</t>
  </si>
  <si>
    <t>20/08/2020 2:53 PM</t>
  </si>
  <si>
    <t>19/08/2020 4:24 PM</t>
  </si>
  <si>
    <t>18/08/2020 3:28 PM</t>
  </si>
  <si>
    <t>19/08/2020 7:48 AM</t>
  </si>
  <si>
    <t>20/08/2020 9:10 PM</t>
  </si>
  <si>
    <t>24/08/2020 4:56 PM</t>
  </si>
  <si>
    <t>18/08/2020 10:55 AM</t>
  </si>
  <si>
    <t>28/07/2020 7:23 PM</t>
  </si>
  <si>
    <t>16/08/2020 12:30 PM</t>
  </si>
  <si>
    <t>20/08/2020 3:18 PM</t>
  </si>
  <si>
    <t>17/08/2020 4:52 PM</t>
  </si>
  <si>
    <t>14/08/2020 9:15 PM</t>
  </si>
  <si>
    <t>24/08/2020 11:41 AM</t>
  </si>
  <si>
    <t>24/08/2020 11:47 AM</t>
  </si>
  <si>
    <t>20/08/2020 3:41 PM</t>
  </si>
  <si>
    <t>09/07/2020 12:00 AM</t>
  </si>
  <si>
    <t>11/08/2020 1:25 PM</t>
  </si>
  <si>
    <t>22/08/2020 5:28 PM</t>
  </si>
  <si>
    <t>18/08/2020 6:59 PM</t>
  </si>
  <si>
    <t>07/08/2020 7:00 PM</t>
  </si>
  <si>
    <t>24/08/2020 1:32 PM</t>
  </si>
  <si>
    <t>03/08/2020 2:50 PM</t>
  </si>
  <si>
    <t>19/08/2020 5:11 PM</t>
  </si>
  <si>
    <t>18/08/2020 5:41 PM</t>
  </si>
  <si>
    <t>11/08/2020 1:20 PM</t>
  </si>
  <si>
    <t>20/08/2020 9:24 AM</t>
  </si>
  <si>
    <t>19/08/2020 11:02 AM</t>
  </si>
  <si>
    <t>16/08/2020 12:34 PM</t>
  </si>
  <si>
    <t>10/08/2020 9:58 AM</t>
  </si>
  <si>
    <t>10/08/2020 10:00 AM</t>
  </si>
  <si>
    <t>06/08/2020 11:50 AM</t>
  </si>
  <si>
    <t>10/08/2020 10:04 AM</t>
  </si>
  <si>
    <t>10/08/2020 9:55 AM</t>
  </si>
  <si>
    <t>10/08/2020 10:05 AM</t>
  </si>
  <si>
    <t>10/08/2020 9:59 AM</t>
  </si>
  <si>
    <t>10/08/2020 10:03 AM</t>
  </si>
  <si>
    <t>10/08/2020 9:54 AM</t>
  </si>
  <si>
    <t>04/08/2020 10:04 AM</t>
  </si>
  <si>
    <t>10/08/2020 9:56 AM</t>
  </si>
  <si>
    <t>12/08/2020 6:57 PM</t>
  </si>
  <si>
    <t>04/08/2020 2:02 PM</t>
  </si>
  <si>
    <t>06/08/2020 11:18 AM</t>
  </si>
  <si>
    <t>06/08/2020 10:19 AM</t>
  </si>
  <si>
    <t>20/08/2020 8:20 AM</t>
  </si>
  <si>
    <t>06/08/2020 11:15 AM</t>
  </si>
  <si>
    <t>19/08/2020 4:28 PM</t>
  </si>
  <si>
    <t>20/08/2020 7:32 PM</t>
  </si>
  <si>
    <t>17/08/2020 3:01 PM</t>
  </si>
  <si>
    <t>06/08/2020 11:20 AM</t>
  </si>
  <si>
    <t>06/08/2020 11:01 AM</t>
  </si>
  <si>
    <t>06/08/2020 10:10 AM</t>
  </si>
  <si>
    <t>06/08/2020 10:06 AM</t>
  </si>
  <si>
    <t>20/08/2020 8:36 AM</t>
  </si>
  <si>
    <t>06/08/2020 11:13 AM</t>
  </si>
  <si>
    <t>06/08/2020 10:55 AM</t>
  </si>
  <si>
    <t>06/08/2020 10:12 AM</t>
  </si>
  <si>
    <t>18/08/2020 9:39 PM</t>
  </si>
  <si>
    <t>20/08/2020 9:27 AM</t>
  </si>
  <si>
    <t>14/08/2020 9:07 PM</t>
  </si>
  <si>
    <t>18/08/2020 5:46 PM</t>
  </si>
  <si>
    <t>24/08/2020 10:21 AM</t>
  </si>
  <si>
    <t>24/08/2020 10:19 AM</t>
  </si>
  <si>
    <t>12/08/2020 9:08 PM</t>
  </si>
  <si>
    <t>24/08/2020 10:26 AM</t>
  </si>
  <si>
    <t>24/08/2020 10:10 AM</t>
  </si>
  <si>
    <t>06/08/2020 10:09 AM</t>
  </si>
  <si>
    <t>24/08/2020 10:05 AM</t>
  </si>
  <si>
    <t>12/08/2020 7:13 PM</t>
  </si>
  <si>
    <t>12/08/2020 7:07 PM</t>
  </si>
  <si>
    <t>24/08/2020 10:07 AM</t>
  </si>
  <si>
    <t>20/08/2020 6:27 PM</t>
  </si>
  <si>
    <t>23/08/2020 10:34 AM</t>
  </si>
  <si>
    <t>18/08/2020 5:06 PM</t>
  </si>
  <si>
    <t>30/07/2020 9:34 AM</t>
  </si>
  <si>
    <t>23/08/2020 10:31 AM</t>
  </si>
  <si>
    <t>16/08/2020 12:26 PM</t>
  </si>
  <si>
    <t>30/07/2020 10:03 PM</t>
  </si>
  <si>
    <t>30/07/2020 10:02 PM</t>
  </si>
  <si>
    <t>20/08/2020 9:43 PM</t>
  </si>
  <si>
    <t>30/07/2020 10:04 PM</t>
  </si>
  <si>
    <t>03/08/2020 3:48 PM</t>
  </si>
  <si>
    <t>20/08/2020 9:41 PM</t>
  </si>
  <si>
    <t>20/08/2020 9:39 PM</t>
  </si>
  <si>
    <t>16/08/2020 12:39 PM</t>
  </si>
  <si>
    <t>30/07/2020 10:00 PM</t>
  </si>
  <si>
    <t>20/08/2020 3:11 PM</t>
  </si>
  <si>
    <t>20/08/2020 1:59 PM</t>
  </si>
  <si>
    <t>12/08/2020 7:05 PM</t>
  </si>
  <si>
    <t>12/08/2020 7:04 PM</t>
  </si>
  <si>
    <t>20/08/2020 1:43 PM</t>
  </si>
  <si>
    <t>12/08/2020 7:01 PM</t>
  </si>
  <si>
    <t>04/08/2020 10:06 AM</t>
  </si>
  <si>
    <t>12/08/2020 6:59 PM</t>
  </si>
  <si>
    <t>10/07/2020 12:00 AM</t>
  </si>
  <si>
    <t>20/08/2020 6:24 PM</t>
  </si>
  <si>
    <t>20/08/2020 1:34 PM</t>
  </si>
  <si>
    <t>20/08/2020 3:28 PM</t>
  </si>
  <si>
    <t>20/08/2020 1:06 PM</t>
  </si>
  <si>
    <t>20/08/2020 1:04 PM</t>
  </si>
  <si>
    <t>20/08/2020 1:03 PM</t>
  </si>
  <si>
    <t>20/08/2020 1:57 PM</t>
  </si>
  <si>
    <t>29/05/2020 4:05 PM</t>
  </si>
  <si>
    <t>20/08/2020 3:15 PM</t>
  </si>
  <si>
    <t>30/05/2020 2:25 PM</t>
  </si>
  <si>
    <t>24/08/2020 3:23 PM</t>
  </si>
  <si>
    <t>30/05/2020 2:22 PM</t>
  </si>
  <si>
    <t>12/08/2020 3:33 PM</t>
  </si>
  <si>
    <t>20/08/2020 1:31 PM</t>
  </si>
  <si>
    <t>19/05/2020 6:10 PM</t>
  </si>
  <si>
    <t>30/05/2020 2:10 PM</t>
  </si>
  <si>
    <t>12/08/2020 3:36 PM</t>
  </si>
  <si>
    <t>30/07/2020 10:26 AM</t>
  </si>
  <si>
    <t>30/07/2020 10:24 AM</t>
  </si>
  <si>
    <t>30/05/2020 2:13 PM</t>
  </si>
  <si>
    <t>06/08/2020 10:53 AM</t>
  </si>
  <si>
    <t>17/08/2020 9:15 PM</t>
  </si>
  <si>
    <t>06/08/2020 11:11 AM</t>
  </si>
  <si>
    <t>12/08/2020 3:28 PM</t>
  </si>
  <si>
    <t>30/07/2020 10:11 AM</t>
  </si>
  <si>
    <t>24/08/2020 8:04 PM</t>
  </si>
  <si>
    <t>07/08/2020 5:32 PM</t>
  </si>
  <si>
    <t>20/08/2020 3:16 PM</t>
  </si>
  <si>
    <t>23/08/2020 3:10 PM</t>
  </si>
  <si>
    <t>05/08/2020 4:35 PM</t>
  </si>
  <si>
    <t>18/08/2020 2:42 PM</t>
  </si>
  <si>
    <t>20/08/2020 10:22 PM</t>
  </si>
  <si>
    <t>18/08/2020 6:20 PM</t>
  </si>
  <si>
    <t>14/08/2020 9:26 PM</t>
  </si>
  <si>
    <t>16/07/2020 3:54 PM</t>
  </si>
  <si>
    <t>06/04/2020 12:00 AM</t>
  </si>
  <si>
    <t>20/08/2020 4:43 PM</t>
  </si>
  <si>
    <t>12/08/2020 3:29 PM</t>
  </si>
  <si>
    <t>11/08/2020 12:59 PM</t>
  </si>
  <si>
    <t>12/08/2020 10:44 AM</t>
  </si>
  <si>
    <t>20/08/2020 6:12 PM</t>
  </si>
  <si>
    <t>12/08/2020 10:40 AM</t>
  </si>
  <si>
    <t>11/08/2020 1:05 PM</t>
  </si>
  <si>
    <t>24/08/2020 3:47 PM</t>
  </si>
  <si>
    <t>14/08/2020 9:36 PM</t>
  </si>
  <si>
    <t>12/08/2020 10:47 AM</t>
  </si>
  <si>
    <t>20/08/2020 9:49 AM</t>
  </si>
  <si>
    <t>21/08/2020 7:30 PM</t>
  </si>
  <si>
    <t>21/08/2020 7:28 PM</t>
  </si>
  <si>
    <t>17/08/2020 4:30 PM</t>
  </si>
  <si>
    <t>03/08/2020 4:01 PM</t>
  </si>
  <si>
    <t>24/08/2020 2:40 PM</t>
  </si>
  <si>
    <t>21/08/2020 7:25 PM</t>
  </si>
  <si>
    <t>19/08/2020 5:01 PM</t>
  </si>
  <si>
    <t>24/08/2020 2:20 PM</t>
  </si>
  <si>
    <t>24/08/2020 1:53 PM</t>
  </si>
  <si>
    <t>12/08/2020 10:50 AM</t>
  </si>
  <si>
    <t>03/08/2020 4:00 PM</t>
  </si>
  <si>
    <t>06/08/2020 2:47 PM</t>
  </si>
  <si>
    <t>20/08/2020 6:36 PM</t>
  </si>
  <si>
    <t>20/08/2020 6:34 PM</t>
  </si>
  <si>
    <t>24/08/2020 2:10 PM</t>
  </si>
  <si>
    <t>24/08/2020 5:57 PM</t>
  </si>
  <si>
    <t>20/08/2020 4:29 PM</t>
  </si>
  <si>
    <t>19/08/2020 4:27 PM</t>
  </si>
  <si>
    <t>12/08/2020 10:51 PM</t>
  </si>
  <si>
    <t>11/08/2020 12:54 PM</t>
  </si>
  <si>
    <t>23/08/2020 10:39 AM</t>
  </si>
  <si>
    <t>03/08/2020 3:59 PM</t>
  </si>
  <si>
    <t>18/08/2020 12:32 PM</t>
  </si>
  <si>
    <t>14/08/2020 3:17 PM</t>
  </si>
  <si>
    <t>11/08/2020 1:10 PM</t>
  </si>
  <si>
    <t>18/08/2020 2:48 PM</t>
  </si>
  <si>
    <t>10/08/2020 3:47 PM</t>
  </si>
  <si>
    <t>21/08/2020 7:12 AM</t>
  </si>
  <si>
    <t>11/08/2020 1:15 PM</t>
  </si>
  <si>
    <t>30/05/2020 2:16 PM</t>
  </si>
  <si>
    <t>14/08/2020 9:22 PM</t>
  </si>
  <si>
    <t>30/05/2020 2:28 PM</t>
  </si>
  <si>
    <t>24/08/2020 3:09 PM</t>
  </si>
  <si>
    <t>30/05/2020 2:19 PM</t>
  </si>
  <si>
    <t>14/08/2020 11:16 AM</t>
  </si>
  <si>
    <t>27/04/2020 12:00 AM</t>
  </si>
  <si>
    <t>20/08/2020 4:46 PM</t>
  </si>
  <si>
    <t>20/08/2020 4:39 PM</t>
  </si>
  <si>
    <t>12/08/2020 3:27 PM</t>
  </si>
  <si>
    <t>19/08/2020 5:20 PM</t>
  </si>
  <si>
    <t>28/02/2020 2:06 PM</t>
  </si>
  <si>
    <t>09/08/2020 10:17 PM</t>
  </si>
  <si>
    <t>20/08/2020 7:17 AM</t>
  </si>
  <si>
    <t>18/08/2020 7:32 AM</t>
  </si>
  <si>
    <t>12/08/2020 3:26 PM</t>
  </si>
  <si>
    <t>13/08/2020 2:26 PM</t>
  </si>
  <si>
    <t>17/08/2020 1:11 PM</t>
  </si>
  <si>
    <t>17/08/2020 1:14 PM</t>
  </si>
  <si>
    <t>18/08/2020 12:04 PM</t>
  </si>
  <si>
    <t>04/08/2020 3:07 PM</t>
  </si>
  <si>
    <t>18/08/2020 12:29 PM</t>
  </si>
  <si>
    <t>23/07/2020 12:00 AM</t>
  </si>
  <si>
    <t>09/07/2020 11:12 AM</t>
  </si>
  <si>
    <t>27/08/2020 8:03 AM</t>
  </si>
  <si>
    <t>27/08/2020 3:00 PM</t>
  </si>
  <si>
    <t>31/08/2020 4:30 PM</t>
  </si>
  <si>
    <t>14/09/2020 9:30 AM</t>
  </si>
  <si>
    <t>14/09/2020 1:30 PM</t>
  </si>
  <si>
    <t>27/08/2020 8:01 AM</t>
  </si>
  <si>
    <t>01/09/2020 1:30 PM</t>
  </si>
  <si>
    <t>07/09/2020 10:00 AM</t>
  </si>
  <si>
    <t>31/08/2020 8:00 AM</t>
  </si>
  <si>
    <t>01/09/2020 10:00 AM</t>
  </si>
  <si>
    <t>15/09/2020 10:00 AM</t>
  </si>
  <si>
    <t>16/09/2020 8:00 AM</t>
  </si>
  <si>
    <t>15/09/2020 1:30 PM</t>
  </si>
  <si>
    <t>01/09/2020 11:00 AM</t>
  </si>
  <si>
    <t>17/09/2020 1:15 PM</t>
  </si>
  <si>
    <t>14/09/2020 10:00 AM</t>
  </si>
  <si>
    <t>01/09/2020 1:00 AM</t>
  </si>
  <si>
    <t>08/09/2020 1:00 AM</t>
  </si>
  <si>
    <t>01/09/2020 9:30 AM</t>
  </si>
  <si>
    <t>25/09/2020 9:00 AM</t>
  </si>
  <si>
    <t>08/09/2020 10:00 AM</t>
  </si>
  <si>
    <t>27/08/2020 8:15 AM</t>
  </si>
  <si>
    <t>27/08/2020 8:05 AM</t>
  </si>
  <si>
    <t>27/08/2020 10:00 AM</t>
  </si>
  <si>
    <t>16/09/2020 12:00 PM</t>
  </si>
  <si>
    <t>01/09/2020 1:00 PM</t>
  </si>
  <si>
    <t>11/09/2020 2:00 PM</t>
  </si>
  <si>
    <t>01/09/2020 9:00 AM</t>
  </si>
  <si>
    <t>15/09/2020 12:00 PM</t>
  </si>
  <si>
    <t>11/09/2020 3:00 PM</t>
  </si>
  <si>
    <t>27/08/2020 8:00 AM</t>
  </si>
  <si>
    <t>14/09/2020 9:00 AM</t>
  </si>
  <si>
    <t>01/09/2020 3:00 PM</t>
  </si>
  <si>
    <t>14/09/2020 2:00 PM</t>
  </si>
  <si>
    <t>27/08/2020 5:00 PM</t>
  </si>
  <si>
    <t>14/09/2020 11:00 AM</t>
  </si>
  <si>
    <t>03/09/2020 5:00 PM</t>
  </si>
  <si>
    <t>26/08/2020 3:00 PM</t>
  </si>
  <si>
    <t>27/08/2020 1:00 PM</t>
  </si>
  <si>
    <t>27/08/2020 9:00 AM</t>
  </si>
  <si>
    <t>16/09/2020 1:30 PM</t>
  </si>
  <si>
    <t>31/08/2020 1:00 AM</t>
  </si>
  <si>
    <t>07/09/2020 1:00 AM</t>
  </si>
  <si>
    <t>02/09/2020 2:00 PM</t>
  </si>
  <si>
    <t>21/09/2020 1:00 PM</t>
  </si>
  <si>
    <t>31/08/2020 1:00 PM</t>
  </si>
  <si>
    <t>27/08/2020 1:00 AM</t>
  </si>
  <si>
    <t>15/09/2020 9:30 AM</t>
  </si>
  <si>
    <t>03/09/2020 12:00 PM</t>
  </si>
  <si>
    <t>01/09/2020 12:00 PM</t>
  </si>
  <si>
    <t>31/08/2020 2:00 PM</t>
  </si>
  <si>
    <t>27/08/2020 2:00 PM</t>
  </si>
  <si>
    <t>02/09/2020 9:30 AM</t>
  </si>
  <si>
    <t>26/08/2020 10:00 AM</t>
  </si>
  <si>
    <t>15/09/2020 2:00 PM</t>
  </si>
  <si>
    <t>04/09/2020 5:00 PM</t>
  </si>
  <si>
    <t>28/08/2020 10:30 AM</t>
  </si>
  <si>
    <t>14/09/2020 12:00 PM</t>
  </si>
  <si>
    <t>02/09/2020 8:05 PM</t>
  </si>
  <si>
    <t>15/09/2020 1:00 PM</t>
  </si>
  <si>
    <t>21/09/2020 10:00 AM</t>
  </si>
  <si>
    <t>31/08/2020 10:00 AM</t>
  </si>
  <si>
    <t>07/09/2020 1:30 PM</t>
  </si>
  <si>
    <t>01/09/2020 8:30 AM</t>
  </si>
  <si>
    <t>01/09/2020 2:00 PM</t>
  </si>
  <si>
    <t>14/09/2020 1:00 PM</t>
  </si>
  <si>
    <t>27/08/2020 12:00 PM</t>
  </si>
  <si>
    <t>15/09/2020 9:00 AM</t>
  </si>
  <si>
    <t>02/09/2020 8:15 AM</t>
  </si>
  <si>
    <t>26/08/2020 5:00 PM</t>
  </si>
  <si>
    <t>27/08/2020 1:30 PM</t>
  </si>
  <si>
    <t>03/09/2020 10:00 AM</t>
  </si>
  <si>
    <t>17/09/2020 9:30 AM</t>
  </si>
  <si>
    <t>03/09/2020 3:00 PM</t>
  </si>
  <si>
    <t>02/09/2020 1:00 AM</t>
  </si>
  <si>
    <t>14/09/2020 3:00 PM</t>
  </si>
  <si>
    <t>02/09/2020 5:00 PM</t>
  </si>
  <si>
    <t>26/08/2020 1:00 PM</t>
  </si>
  <si>
    <t>31/08/2020 9:00 AM</t>
  </si>
  <si>
    <t>26/08/2020 9:00 AM</t>
  </si>
  <si>
    <t>31/08/2020 1:05 PM</t>
  </si>
  <si>
    <t>26/08/2020 1:00 AM</t>
  </si>
  <si>
    <t>28/08/2020 1:00 AM</t>
  </si>
  <si>
    <t>28/08/2020 3:00 PM</t>
  </si>
  <si>
    <t>25/08/2020 9:00 AM</t>
  </si>
  <si>
    <t>02/09/2020 11:00 AM</t>
  </si>
  <si>
    <t>27/08/2020 11:00 AM</t>
  </si>
  <si>
    <t>27/08/2020 5:00 AM</t>
  </si>
  <si>
    <t>03/09/2020 1:00 AM</t>
  </si>
  <si>
    <t>04/09/2020 2:00 PM</t>
  </si>
  <si>
    <t>03/09/2020 8:00 AM</t>
  </si>
  <si>
    <t>11/09/2020 10:00 AM</t>
  </si>
  <si>
    <t>17/09/2020 12:00 PM</t>
  </si>
  <si>
    <t>25/08/2020 12:00 PM</t>
  </si>
  <si>
    <t>08/09/2020 1:00 PM</t>
  </si>
  <si>
    <t>08/09/2020 11:00 AM</t>
  </si>
  <si>
    <t>03/09/2020 2:00 PM</t>
  </si>
  <si>
    <t>08/09/2020 3:00 PM</t>
  </si>
  <si>
    <t>08/09/2020 9:00 AM</t>
  </si>
  <si>
    <t>03/09/2020 11:00 AM</t>
  </si>
  <si>
    <t>28/08/2020 9:30 AM</t>
  </si>
  <si>
    <t>11/09/2020 5:00 PM</t>
  </si>
  <si>
    <t>08/09/2020 2:00 PM</t>
  </si>
  <si>
    <t>25/08/2020 1:00 AM</t>
  </si>
  <si>
    <t>07/09/2020 1:00 PM</t>
  </si>
  <si>
    <t>03/09/2020 9:00 AM</t>
  </si>
  <si>
    <t>25/08/2020 8:00 AM</t>
  </si>
  <si>
    <t>08/09/2020 4:00 PM</t>
  </si>
  <si>
    <t>28/08/2020 8:00 AM</t>
  </si>
  <si>
    <t>02/09/2020 9:00 AM</t>
  </si>
  <si>
    <t>27/08/2020 10:01 AM</t>
  </si>
  <si>
    <t>16/09/2020 2:00 PM</t>
  </si>
  <si>
    <t>11/09/2020 9:00 AM</t>
  </si>
  <si>
    <t>21/09/2020 12:00 PM</t>
  </si>
  <si>
    <t>27/08/2020 4:00 PM</t>
  </si>
  <si>
    <t>09/09/2020 5:00 PM</t>
  </si>
  <si>
    <t>31/08/2020 1:30 PM</t>
  </si>
  <si>
    <t>10/09/2020 5:00 PM</t>
  </si>
  <si>
    <t>31/08/2020 5:00 PM</t>
  </si>
  <si>
    <t>31/08/2020 11:00 AM</t>
  </si>
  <si>
    <t>28/08/2020 5:00 PM</t>
  </si>
  <si>
    <t>26/08/2020 8:00 AM</t>
  </si>
  <si>
    <t>28/08/2020 10:00 AM</t>
  </si>
  <si>
    <t>27/08/2020 10:10 AM</t>
  </si>
  <si>
    <t>02/09/2020 8:00 AM</t>
  </si>
  <si>
    <t>14/09/2020 8:00 AM</t>
  </si>
  <si>
    <t>07/09/2020 2:00 PM</t>
  </si>
  <si>
    <t>16/09/2020 10:00 AM</t>
  </si>
  <si>
    <t>09/09/2020 2:00 PM</t>
  </si>
  <si>
    <t>03/09/2020 8:30 AM</t>
  </si>
  <si>
    <t>08/09/2020 1:30 PM</t>
  </si>
  <si>
    <t>04/09/2020 9:30 AM</t>
  </si>
  <si>
    <t>28/08/2020 9:00 AM</t>
  </si>
  <si>
    <t>26/08/2020 2:00 PM</t>
  </si>
  <si>
    <t>10/09/2020 2:00 PM</t>
  </si>
  <si>
    <t>11/09/2020 8:00 AM</t>
  </si>
  <si>
    <t>05/10/2020 12:00 PM</t>
  </si>
  <si>
    <t>01/09/2020 5:00 PM</t>
  </si>
  <si>
    <t>30/09/2020 10:00 AM</t>
  </si>
  <si>
    <t>14/09/2020 1:00 AM</t>
  </si>
  <si>
    <t>25/08/2020 10:00 AM</t>
  </si>
  <si>
    <t>25/08/2020 3:00 PM</t>
  </si>
  <si>
    <t>04/09/2020 1:00 PM</t>
  </si>
  <si>
    <t>25/08/2020 2:00 PM</t>
  </si>
  <si>
    <t>31/08/2020 3:30 PM</t>
  </si>
  <si>
    <t>25/08/2020 1:00 PM</t>
  </si>
  <si>
    <t>15/09/2020 1:00 AM</t>
  </si>
  <si>
    <t>10/09/2020 12:00 PM</t>
  </si>
  <si>
    <t>26/08/2020 12:00 PM</t>
  </si>
  <si>
    <t>11/09/2020 1:00 PM</t>
  </si>
  <si>
    <t>26/08/2020 9:15 AM</t>
  </si>
  <si>
    <t>26/08/2020 9:10 AM</t>
  </si>
  <si>
    <t>25/08/2020 5:01 PM</t>
  </si>
  <si>
    <t>28/09/2020 10:00 AM</t>
  </si>
  <si>
    <t>07/09/2020 8:00 AM</t>
  </si>
  <si>
    <t>10/09/2020 10:00 AM</t>
  </si>
  <si>
    <t>10/09/2020 9:00 AM</t>
  </si>
  <si>
    <t>21/09/2020 9:00 AM</t>
  </si>
  <si>
    <t>23/09/2020 1:00 AM</t>
  </si>
  <si>
    <t>07/09/2020 5:00 PM</t>
  </si>
  <si>
    <t>28/08/2020 12:00 PM</t>
  </si>
  <si>
    <t>01/09/2020 8:00 AM</t>
  </si>
  <si>
    <t>04/09/2020 10:00 AM</t>
  </si>
  <si>
    <t>25/08/2020 3:30 PM</t>
  </si>
  <si>
    <t>25/08/2020 5:00 PM</t>
  </si>
  <si>
    <t>04/09/2020 12:00 PM</t>
  </si>
  <si>
    <t>31/08/2020 12:00 PM</t>
  </si>
  <si>
    <t>07/09/2020 9:30 AM</t>
  </si>
  <si>
    <t>10/09/2020 8:00 AM</t>
  </si>
  <si>
    <t>07/09/2020 9:00 AM</t>
  </si>
  <si>
    <t>04/09/2020 10:15 AM</t>
  </si>
  <si>
    <t>26/08/2020 1:01 PM</t>
  </si>
  <si>
    <t>31/08/2020 10:00 PM</t>
  </si>
  <si>
    <t>16/09/2020 9:30 AM</t>
  </si>
  <si>
    <t>25/08/2020 5:00 AM</t>
  </si>
  <si>
    <t>11/09/2020 1:30 PM</t>
  </si>
  <si>
    <t>26/08/2020 8:30 AM</t>
  </si>
  <si>
    <t>28/08/2020 2:00 PM</t>
  </si>
  <si>
    <t>25/08/2020 6:00 PM</t>
  </si>
  <si>
    <t>02/09/2020 10:00 AM</t>
  </si>
  <si>
    <t>11/09/2020 1:00 AM</t>
  </si>
  <si>
    <t>31/08/2020 6:00 PM</t>
  </si>
  <si>
    <t>28/08/2020 1:00 PM</t>
  </si>
  <si>
    <t>08/09/2020 8:00 AM</t>
  </si>
  <si>
    <t>03/09/2020 1:00 PM</t>
  </si>
  <si>
    <t>10/09/2020 8:15 AM</t>
  </si>
  <si>
    <t>28/08/2020 1:01 AM</t>
  </si>
  <si>
    <t>25/08/2020 9:02 AM</t>
  </si>
  <si>
    <t>21/09/2020 9:30 AM</t>
  </si>
  <si>
    <t>25/08/2020 9:13 AM</t>
  </si>
  <si>
    <t>14/09/2020 5:00 PM</t>
  </si>
  <si>
    <t>09/09/2020 9:00 AM</t>
  </si>
  <si>
    <t>28/08/2020 7:00 AM</t>
  </si>
  <si>
    <t>02/09/2020 10:30 AM</t>
  </si>
  <si>
    <t>09/09/2020 10:00 AM</t>
  </si>
  <si>
    <t>28/08/2020 4:00 PM</t>
  </si>
  <si>
    <t>09/09/2020 1:00 PM</t>
  </si>
  <si>
    <t>17/09/2020 1:00 AM</t>
  </si>
  <si>
    <t>10/09/2020 1:30 PM</t>
  </si>
  <si>
    <t>04/09/2020 11:00 AM</t>
  </si>
  <si>
    <t>25/08/2020 9:30 AM</t>
  </si>
  <si>
    <t>26/08/2020 4:00 PM</t>
  </si>
  <si>
    <t>28/08/2020 1:30 PM</t>
  </si>
  <si>
    <t>04/09/2020 8:00 AM</t>
  </si>
  <si>
    <t>28/08/2020 2:00 AM</t>
  </si>
  <si>
    <t>28/08/2020 1:08 AM</t>
  </si>
  <si>
    <t>26/08/2020 9:30 AM</t>
  </si>
  <si>
    <t>27/08/2020 8:30 AM</t>
  </si>
  <si>
    <t>04/09/2020 1:30 PM</t>
  </si>
  <si>
    <t>04/09/2020 9:00 AM</t>
  </si>
  <si>
    <t>10/09/2020 9:30 AM</t>
  </si>
  <si>
    <t>09/09/2020 1:00 AM</t>
  </si>
  <si>
    <t>26/08/2020 11:00 AM</t>
  </si>
  <si>
    <t>11/09/2020 11:00 AM</t>
  </si>
  <si>
    <t>04/09/2020 3:00 PM</t>
  </si>
  <si>
    <t>10/09/2020 1:00 AM</t>
  </si>
  <si>
    <t>02/09/2020 3:00 PM</t>
  </si>
  <si>
    <t>28/08/2020 11:00 AM</t>
  </si>
  <si>
    <t>25/08/2020 4:00 PM</t>
  </si>
  <si>
    <t>09/09/2020 1:15 PM</t>
  </si>
  <si>
    <t>02/09/2020 1:00 PM</t>
  </si>
  <si>
    <t>28/08/2020 10:15 AM</t>
  </si>
  <si>
    <t>25/08/2020 1:30 PM</t>
  </si>
  <si>
    <t>28/08/2020 1:10 AM</t>
  </si>
  <si>
    <t>10/09/2020 1:00 PM</t>
  </si>
  <si>
    <t>09/09/2020 1:30 PM</t>
  </si>
  <si>
    <t>28/08/2020 8:10 AM</t>
  </si>
  <si>
    <t>14/09/2020 11:59 PM</t>
  </si>
  <si>
    <t>14/09/2020 2:30 PM</t>
  </si>
  <si>
    <t>10/09/2020 11:00 AM</t>
  </si>
  <si>
    <t>07/09/2020 11:30 AM</t>
  </si>
  <si>
    <t>07/09/2020 8:30 AM</t>
  </si>
  <si>
    <t>25/08/2020 8:30 AM</t>
  </si>
  <si>
    <t>27/08/2020 4:30 PM</t>
  </si>
  <si>
    <t>11/09/2020 10:30 AM</t>
  </si>
  <si>
    <t>28/08/2020 2:30 PM</t>
  </si>
  <si>
    <t>28/08/2020 8:30 AM</t>
  </si>
  <si>
    <t>26/08/2020 11:30 AM</t>
  </si>
  <si>
    <t>09/09/2020 2:30 PM</t>
  </si>
  <si>
    <t>09/09/2020 9:30 AM</t>
  </si>
  <si>
    <t>16/09/2020 1:00 AM</t>
  </si>
  <si>
    <t>31/08/2020 4:00 PM</t>
  </si>
  <si>
    <t>07/09/2020 3:00 PM</t>
  </si>
  <si>
    <t>10/09/2020 2:30 PM</t>
  </si>
  <si>
    <t>27/08/2020 12:00 AM</t>
  </si>
  <si>
    <t>04/09/2020 1:00 AM</t>
  </si>
  <si>
    <t>09/09/2020 12:00 AM</t>
  </si>
  <si>
    <t>28/08/2020 4:30 PM</t>
  </si>
  <si>
    <t>26/08/2020 4:30 PM</t>
  </si>
  <si>
    <t>16/09/2020 9:00 AM</t>
  </si>
  <si>
    <t>16/09/2020 1:00 PM</t>
  </si>
  <si>
    <t>17/09/2020 9:00 AM</t>
  </si>
  <si>
    <t>08/09/2020 5:00 PM</t>
  </si>
  <si>
    <t>31/08/2020 6:00 AM</t>
  </si>
  <si>
    <t>18/09/2020 2:10 PM</t>
  </si>
  <si>
    <t>27/08/2020 11:30 AM</t>
  </si>
  <si>
    <t>01/09/2020 4:00 PM</t>
  </si>
  <si>
    <t>14/09/2020 8:30 AM</t>
  </si>
  <si>
    <t>15/09/2020 10:30 AM</t>
  </si>
  <si>
    <t>28/08/2020 6:00 AM</t>
  </si>
  <si>
    <t>25/09/2020 2:00 PM</t>
  </si>
  <si>
    <t>14/09/2020 10:30 AM</t>
  </si>
  <si>
    <t>01/09/2020 10:30 AM</t>
  </si>
  <si>
    <t>25/09/2020 10:00 AM</t>
  </si>
  <si>
    <t>18/09/2020 9:00 AM</t>
  </si>
  <si>
    <t>22/09/2020 2:00 PM</t>
  </si>
  <si>
    <t>14/09/2020 12:30 PM</t>
  </si>
  <si>
    <t>14/09/2020 3:30 PM</t>
  </si>
  <si>
    <t>14/09/2020 4:30 PM</t>
  </si>
  <si>
    <t>02/09/2020 1:45 PM</t>
  </si>
  <si>
    <t>02/09/2020 12:00 AM</t>
  </si>
  <si>
    <t>09/09/2020 8:00 AM</t>
  </si>
  <si>
    <t>15/09/2020 11:00 AM</t>
  </si>
  <si>
    <t>02/09/2020 4:00 PM</t>
  </si>
  <si>
    <t>10/09/2020 8:30 AM</t>
  </si>
  <si>
    <t>15/09/2020 11:00 PM</t>
  </si>
  <si>
    <t>15/09/2020 12:30 PM</t>
  </si>
  <si>
    <t>26/08/2020 5:00 AM</t>
  </si>
  <si>
    <t>27/08/2020 6:00 PM</t>
  </si>
  <si>
    <t>09/09/2020 10:30 AM</t>
  </si>
  <si>
    <t>26/08/2020 3:00 AM</t>
  </si>
  <si>
    <t>26/08/2020 1:30 PM</t>
  </si>
  <si>
    <t>09/09/2020 11:00 AM</t>
  </si>
  <si>
    <t>27/08/2020 9:30 AM</t>
  </si>
  <si>
    <t>28/08/2020 11:59 PM</t>
  </si>
  <si>
    <t>15/09/2020 3:30 PM</t>
  </si>
  <si>
    <t>23/09/2020 10:00 AM</t>
  </si>
  <si>
    <t>31/08/2020 3:00 PM</t>
  </si>
  <si>
    <t>11/09/2020 12:00 PM</t>
  </si>
  <si>
    <t>02/09/2020 10:00 PM</t>
  </si>
  <si>
    <t>09/09/2020 3:00 PM</t>
  </si>
  <si>
    <t>31/08/2020 1:01 PM</t>
  </si>
  <si>
    <t>02/09/2020 12:00 PM</t>
  </si>
  <si>
    <t>01/09/2020 2:10 PM</t>
  </si>
  <si>
    <t>25/08/2020 9:44 PM</t>
  </si>
  <si>
    <t>08/09/2020 8:30 AM</t>
  </si>
  <si>
    <t>08/09/2020 11:30 AM</t>
  </si>
  <si>
    <t>27/08/2020 12:59 PM</t>
  </si>
  <si>
    <t>08/09/2020 12:59 PM</t>
  </si>
  <si>
    <t>25/08/2020 11:30 AM</t>
  </si>
  <si>
    <t>26/08/2020 12:55 PM</t>
  </si>
  <si>
    <t>18/09/2020 10:00 AM</t>
  </si>
  <si>
    <t>02/09/2020 8:30 AM</t>
  </si>
  <si>
    <t>25/08/2020 11:00 AM</t>
  </si>
  <si>
    <t>25/08/2020 10:30 AM</t>
  </si>
  <si>
    <t>26/08/2020 10:30 AM</t>
  </si>
  <si>
    <t>27/08/2020 10:00 PM</t>
  </si>
  <si>
    <t>17/09/2020 2:00 PM</t>
  </si>
  <si>
    <t>08/09/2020 2:05 PM</t>
  </si>
  <si>
    <t>28/08/2020 3:14 PM</t>
  </si>
  <si>
    <t>27/08/2020 11:59 PM</t>
  </si>
  <si>
    <t>25/08/2020 12:05 PM</t>
  </si>
  <si>
    <t>25/08/2020 7:00 AM</t>
  </si>
  <si>
    <t>08/09/2020 11:00 PM</t>
  </si>
  <si>
    <t>07/09/2020 11:00 AM</t>
  </si>
  <si>
    <t>07/09/2020 10:30 AM</t>
  </si>
  <si>
    <t>08/09/2020 9:30 AM</t>
  </si>
  <si>
    <t>04/09/2020 1:02 PM</t>
  </si>
  <si>
    <t>03/09/2020 9:30 AM</t>
  </si>
  <si>
    <t>03/09/2020 11:30 AM</t>
  </si>
  <si>
    <t>17/09/2020 10:00 AM</t>
  </si>
  <si>
    <t>17/09/2020 1:00 PM</t>
  </si>
  <si>
    <t>27/08/2020 2:00 AM</t>
  </si>
  <si>
    <t>28/08/2020 9:15 AM</t>
  </si>
  <si>
    <t>31/08/2020 10:30 AM</t>
  </si>
  <si>
    <t>14/10/2020 10:00 AM</t>
  </si>
  <si>
    <t>26/08/2020 1:15 PM</t>
  </si>
  <si>
    <t>10/09/2020 10:30 AM</t>
  </si>
  <si>
    <t>14/09/2020 9:50 AM</t>
  </si>
  <si>
    <t>03/09/2020 3:01 PM</t>
  </si>
  <si>
    <t>26/08/2020 10:15 AM</t>
  </si>
  <si>
    <t>24/09/2020 1:00 PM</t>
  </si>
  <si>
    <t>09/09/2020 12:00 PM</t>
  </si>
  <si>
    <t>27/08/2020 1:10 AM</t>
  </si>
  <si>
    <t>09/09/2020 8:59 AM</t>
  </si>
  <si>
    <t>10/09/2020 1:15 PM</t>
  </si>
  <si>
    <t>08/09/2020 12:00 PM</t>
  </si>
  <si>
    <t>07/09/2020 12:00 PM</t>
  </si>
  <si>
    <t>01/09/2020 5:00 AM</t>
  </si>
  <si>
    <t>01/09/2020 1:30 AM</t>
  </si>
  <si>
    <t>27/08/2020 10:15 AM</t>
  </si>
  <si>
    <t>08/09/2020 10:30 AM</t>
  </si>
  <si>
    <t>27/08/2020 1:01 AM</t>
  </si>
  <si>
    <t>22/09/2020 1:30 PM</t>
  </si>
  <si>
    <t>08/09/2020 9:59 AM</t>
  </si>
  <si>
    <t>31/08/2020 12:00 AM</t>
  </si>
  <si>
    <t>03/09/2020 7:00 AM</t>
  </si>
  <si>
    <t>08/09/2020 2:01 PM</t>
  </si>
  <si>
    <t>26/08/2020 2:00 AM</t>
  </si>
  <si>
    <t>07/09/2020 12:01 PM</t>
  </si>
  <si>
    <t>21/09/2020 2:00 PM</t>
  </si>
  <si>
    <t>23/09/2020 9:00 AM</t>
  </si>
  <si>
    <t>08/09/2020 9:50 AM</t>
  </si>
  <si>
    <t>25/08/2020 9:15 AM</t>
  </si>
  <si>
    <t>26/08/2020 7:00 AM</t>
  </si>
  <si>
    <t>08/09/2020 9:45 AM</t>
  </si>
  <si>
    <t>05/10/2020 10:00 AM</t>
  </si>
  <si>
    <t>26/08/2020 11:00 PM</t>
  </si>
  <si>
    <t>24/09/2020 9:00 AM</t>
  </si>
  <si>
    <t>28/08/2020 11:30 AM</t>
  </si>
  <si>
    <t>08/09/2020 2:00 AM</t>
  </si>
  <si>
    <t>26/08/2020 10:10 AM</t>
  </si>
  <si>
    <t>22/09/2020 10:00 AM</t>
  </si>
  <si>
    <t>09/09/2020 10:10 AM</t>
  </si>
  <si>
    <t>26/08/2020 1:08 PM</t>
  </si>
  <si>
    <t>09/09/2020 8:30 AM</t>
  </si>
  <si>
    <t>26/08/2020 2:30 PM</t>
  </si>
  <si>
    <t>08/09/2020 9:01 AM</t>
  </si>
  <si>
    <t>25/08/2020 4:30 PM</t>
  </si>
  <si>
    <t>18/09/2020 5:00 PM</t>
  </si>
  <si>
    <t>08/09/2020 8:59 AM</t>
  </si>
  <si>
    <t>28/08/2020 11:30 PM</t>
  </si>
  <si>
    <t>08/09/2020 1:29 PM</t>
  </si>
  <si>
    <t>07/09/2020 4:00 PM</t>
  </si>
  <si>
    <t>02/09/2020 7:00 AM</t>
  </si>
  <si>
    <t>27/08/2020 12:05 PM</t>
  </si>
  <si>
    <t>26/08/2020 12:00 AM</t>
  </si>
  <si>
    <t>09/09/2020 1:45 PM</t>
  </si>
  <si>
    <t>10/09/2020 2:02 PM</t>
  </si>
  <si>
    <t>02/09/2020 11:30 AM</t>
  </si>
  <si>
    <t>25/08/2020 11:15 AM</t>
  </si>
  <si>
    <t>08/09/2020 2:30 PM</t>
  </si>
  <si>
    <t>08/09/2020 2:02 PM</t>
  </si>
  <si>
    <t>08/09/2020 6:00 PM</t>
  </si>
  <si>
    <t>09/09/2020 11:30 AM</t>
  </si>
  <si>
    <t>07/09/2020 12:59 PM</t>
  </si>
  <si>
    <t>09/09/2020 9:59 AM</t>
  </si>
  <si>
    <t>17/09/2020 11:00 AM</t>
  </si>
  <si>
    <t>27/08/2020 2:30 PM</t>
  </si>
  <si>
    <t>08/09/2020 8:50 AM</t>
  </si>
  <si>
    <t>29/09/2020 1:00 PM</t>
  </si>
  <si>
    <t>08/09/2020 10:50 AM</t>
  </si>
  <si>
    <t>08/09/2020 1:10 AM</t>
  </si>
  <si>
    <t>27/08/2020 1:59 PM</t>
  </si>
  <si>
    <t>18/09/2020 1:00 PM</t>
  </si>
  <si>
    <t>25/08/2020 1:17 PM</t>
  </si>
  <si>
    <t>25/08/2020 9:45 AM</t>
  </si>
  <si>
    <t>04/09/2020 10:30 AM</t>
  </si>
  <si>
    <t>07/09/2020 5:00 AM</t>
  </si>
  <si>
    <t>07/09/2020 2:00 AM</t>
  </si>
  <si>
    <t>25/08/2020 10:45 AM</t>
  </si>
  <si>
    <t>07/09/2020 3:30 PM</t>
  </si>
  <si>
    <t>07/09/2020 2:30 PM</t>
  </si>
  <si>
    <t>01/09/2020 2:00 AM</t>
  </si>
  <si>
    <t>20/10/2020 3:00 PM</t>
  </si>
  <si>
    <t>26/08/2020 4:20 PM</t>
  </si>
  <si>
    <t>07/09/2020 9:15 AM</t>
  </si>
  <si>
    <t>09/09/2020 2:00 AM</t>
  </si>
  <si>
    <t>24/09/2020 1:00 AM</t>
  </si>
  <si>
    <t>08/09/2020 1:30 AM</t>
  </si>
  <si>
    <t>27/08/2020 8:05 PM</t>
  </si>
  <si>
    <t>25/08/2020 9:12 PM</t>
  </si>
  <si>
    <t>09/10/2020 2:00 PM</t>
  </si>
  <si>
    <t>04/09/2020 4:00 PM</t>
  </si>
  <si>
    <t>07/09/2020 2:01 PM</t>
  </si>
  <si>
    <t>02/09/2020 1:01 PM</t>
  </si>
  <si>
    <t>26/08/2020 1:08 AM</t>
  </si>
  <si>
    <t>31/08/2020 11:59 PM</t>
  </si>
  <si>
    <t>11/09/2020 4:00 PM</t>
  </si>
  <si>
    <t>01/09/2020 10:01 AM</t>
  </si>
  <si>
    <t>01/09/2020 3:01 PM</t>
  </si>
  <si>
    <t>15/09/2020 4:00 PM</t>
  </si>
  <si>
    <t>31/08/2020 8:30 AM</t>
  </si>
  <si>
    <t>07/09/2020 9:45 AM</t>
  </si>
  <si>
    <t>04/09/2020 2:30 PM</t>
  </si>
  <si>
    <t>01/09/2020 12:12 PM</t>
  </si>
  <si>
    <t>18/09/2020 11:00 AM</t>
  </si>
  <si>
    <t>03/09/2020 9:15 AM</t>
  </si>
  <si>
    <t>03/09/2020 1:30 PM</t>
  </si>
  <si>
    <t>02/09/2020 1:30 PM</t>
  </si>
  <si>
    <t>03/09/2020 10:30 AM</t>
  </si>
  <si>
    <t>17/09/2020 8:30 AM</t>
  </si>
  <si>
    <t>18/09/2020 12:00 PM</t>
  </si>
  <si>
    <t>02/09/2020 9:15 AM</t>
  </si>
  <si>
    <t>02/09/2020 12:59 PM</t>
  </si>
  <si>
    <t>01/09/2020 11:30 AM</t>
  </si>
  <si>
    <t>01/09/2020 1:45 PM</t>
  </si>
  <si>
    <t>02/09/2020 2:00 AM</t>
  </si>
  <si>
    <t>02/09/2020 3:30 PM</t>
  </si>
  <si>
    <t>27/08/2020 11:55 AM</t>
  </si>
  <si>
    <t>25/08/2020 2:30 PM</t>
  </si>
  <si>
    <t>01/09/2020 7:00 AM</t>
  </si>
  <si>
    <t>01/09/2020 12:59 PM</t>
  </si>
  <si>
    <t>02/09/2020 8:59 AM</t>
  </si>
  <si>
    <t>03/09/2020 2:30 PM</t>
  </si>
  <si>
    <t>26/08/2020 12:12 PM</t>
  </si>
  <si>
    <t>03/09/2020 4:00 PM</t>
  </si>
  <si>
    <t>01/09/2020 1:09 AM</t>
  </si>
  <si>
    <t>01/09/2020 10:15 AM</t>
  </si>
  <si>
    <t>01/09/2020 12:30 AM</t>
  </si>
  <si>
    <t>01/09/2020 8:45 AM</t>
  </si>
  <si>
    <t>03/09/2020 9:30 PM</t>
  </si>
  <si>
    <t>25/08/2020 1:25 PM</t>
  </si>
  <si>
    <t>21/09/2020 1:30 PM</t>
  </si>
  <si>
    <t>31/08/2020 9:30 AM</t>
  </si>
  <si>
    <t>08/09/2020 12:30 PM</t>
  </si>
  <si>
    <t>11/09/2020 1:45 PM</t>
  </si>
  <si>
    <t>01/09/2020 9:45 AM</t>
  </si>
  <si>
    <t>01/09/2020 12:00 AM</t>
  </si>
  <si>
    <t>26/08/2020 11:59 PM</t>
  </si>
  <si>
    <t>31/08/2020 1:07 PM</t>
  </si>
  <si>
    <t>01/09/2020 10:00 PM</t>
  </si>
  <si>
    <t>01/09/2020 2:30 PM</t>
  </si>
  <si>
    <t>01/09/2020 10:10 AM</t>
  </si>
  <si>
    <t>02/09/2020 12:30 PM</t>
  </si>
  <si>
    <t>31/08/2020 7:00 AM</t>
  </si>
  <si>
    <t>10/09/2020 1:45 PM</t>
  </si>
  <si>
    <t>31/08/2020 10:10 AM</t>
  </si>
  <si>
    <t>01/09/2020 2:02 PM</t>
  </si>
  <si>
    <t>22/09/2020 9:30 AM</t>
  </si>
  <si>
    <t>01/09/2020 8:20 AM</t>
  </si>
  <si>
    <t>03/09/2020 10:01 AM</t>
  </si>
  <si>
    <t>28/08/2020 6:00 PM</t>
  </si>
  <si>
    <t>03/09/2020 2:00 AM</t>
  </si>
  <si>
    <t>01/09/2020 9:03 AM</t>
  </si>
  <si>
    <t>26/08/2020 1:45 PM</t>
  </si>
  <si>
    <t>27/08/2020 10:30 AM</t>
  </si>
  <si>
    <t>08/09/2020 1:45 PM</t>
  </si>
  <si>
    <t>07/09/2020 1:45 PM</t>
  </si>
  <si>
    <t>26/08/2020 1:10 AM</t>
  </si>
  <si>
    <t>26/08/2020 9:59 AM</t>
  </si>
  <si>
    <t>01/09/2020 1:59 PM</t>
  </si>
  <si>
    <t>27/08/2020 10:20 AM</t>
  </si>
  <si>
    <t>31/08/2020 8:59 AM</t>
  </si>
  <si>
    <t>26/08/2020 12:59 PM</t>
  </si>
  <si>
    <t>31/08/2020 2:01 PM</t>
  </si>
  <si>
    <t>28/08/2020 9:00 PM</t>
  </si>
  <si>
    <t>21/09/2020 1:00 AM</t>
  </si>
  <si>
    <t>26/08/2020 9:30 PM</t>
  </si>
  <si>
    <t>27/08/2020 1:15 PM</t>
  </si>
  <si>
    <t>25/08/2020 12:59 PM</t>
  </si>
  <si>
    <t>27/08/2020 1:15 AM</t>
  </si>
  <si>
    <t>04/09/2020 9:45 AM</t>
  </si>
  <si>
    <t>03/09/2020 1:45 PM</t>
  </si>
  <si>
    <t>03/09/2020 9:45 AM</t>
  </si>
  <si>
    <t>04/09/2020 1:45 PM</t>
  </si>
  <si>
    <t>25/08/2020 10:10 AM</t>
  </si>
  <si>
    <t>26/08/2020 10:02 AM</t>
  </si>
  <si>
    <t>25/09/2020 12:00 PM</t>
  </si>
  <si>
    <t>02/09/2020 1:15 PM</t>
  </si>
  <si>
    <t>01/09/2020 2:01 PM</t>
  </si>
  <si>
    <t>25/08/2020 1:01 PM</t>
  </si>
  <si>
    <t>01/09/2020 12:30 PM</t>
  </si>
  <si>
    <t>02/09/2020 1:30 AM</t>
  </si>
  <si>
    <t>26/08/2020 8:45 AM</t>
  </si>
  <si>
    <t>26/08/2020 12:45 PM</t>
  </si>
  <si>
    <t>25/08/2020 9:45 PM</t>
  </si>
  <si>
    <t>26/08/2020 10:00 PM</t>
  </si>
  <si>
    <t>30/09/2020 12:00 AM</t>
  </si>
  <si>
    <t>26/08/2020 2:01 PM</t>
  </si>
  <si>
    <t>11/09/2020 9:30 AM</t>
  </si>
  <si>
    <t>28/08/2020 1:28 PM</t>
  </si>
  <si>
    <t>04/09/2020 10:45 AM</t>
  </si>
  <si>
    <t>04/09/2020 8:30 AM</t>
  </si>
  <si>
    <t>25/08/2020 12:30 PM</t>
  </si>
  <si>
    <t>25/09/2020 8:30 AM</t>
  </si>
  <si>
    <t>09/09/2020 9:20 AM</t>
  </si>
  <si>
    <t>03/09/2020 9:20 AM</t>
  </si>
  <si>
    <t>25/08/2020 1:15 PM</t>
  </si>
  <si>
    <t>03/09/2020 12:30 PM</t>
  </si>
  <si>
    <t>15/09/2020 2:45 PM</t>
  </si>
  <si>
    <t>18/09/2020 2:00 PM</t>
  </si>
  <si>
    <t>22/09/2020 9:00 AM</t>
  </si>
  <si>
    <t>31/08/2020 11:30 AM</t>
  </si>
  <si>
    <t>25/09/2020 1:00 PM</t>
  </si>
  <si>
    <t>24/09/2020 10:00 AM</t>
  </si>
  <si>
    <t>31/12/2020 9:00 AM</t>
  </si>
  <si>
    <t>01/07/2021 9:00 AM</t>
  </si>
  <si>
    <t>15/09/2020 3:00 PM</t>
  </si>
  <si>
    <t>31/12/2020 1:00 AM</t>
  </si>
  <si>
    <t>05/10/2020 9:30 AM</t>
  </si>
  <si>
    <t>07/10/2020 10:00 AM</t>
  </si>
  <si>
    <t>27/08/2020 9:30 PM</t>
  </si>
  <si>
    <t xml:space="preserve"> Windows at the COA and Legal Office</t>
  </si>
  <si>
    <t xml:space="preserve"> SW-1008-2020-0118</t>
  </si>
  <si>
    <t xml:space="preserve"> SECURITY SERVICES TOTAL NUMBER OF GUARDS: 3 TRAINED AND LICENSED SECURITY PERSONNEL WITH COMPLETE UNIFORM &amp; ISSUED LICENSED FIREARM ALERT, COURTEOUS AND TRUSTWORTHY</t>
  </si>
  <si>
    <t xml:space="preserve"> 24 AUGUST 2020 INVITATION TO BID FOR THE COVID-19 EMERGENCY PROCUREMENT - TABLET 	 1.	The City of Caloocan, through the General Fund of the 2020 Annual City Budget approved under Sangguniang Panlungsod Ordinance No. 0888 s. 2020, intends to apply the sum </t>
  </si>
  <si>
    <t xml:space="preserve"> Republic of the Philippines Province of Misamis Oriental Local Government Unit of Claveria INVITATION TO BID FOR  Procurement of fuel for 3rd and  4th  quarter 2020 for different barangays  and other  offices 1.	The Local Government Unit of Claveria, thro</t>
  </si>
  <si>
    <t xml:space="preserve"> See Attachment!</t>
  </si>
  <si>
    <t xml:space="preserve"> ONE LOT TRANSMISSION ASSEMBLY SPECIFICATIONS: ONE (1) PC TRANSMISSION ASSEMBLY ONE (1) PC CLUTCH DISC ONE (1) PC PRESSURE PLATE ONE (1) PC RELEASE BEARING ONE (1) PC PILOT BEARING</t>
  </si>
  <si>
    <t xml:space="preserve"> Republic of the Philippines Province of Dinagat Islands	 Municipality of Basilisa BARANGAY VILLA PANTINOPLE -oOo- BIDS AND AWARDS COMMITTEE -oOo- INVITATION TO APPLY FOR ELIGIBILITY AND TO BID The Barangay Villa Pantinople, Municipality of Basilisa, Provi</t>
  </si>
  <si>
    <t xml:space="preserve"> Construction of Deep Well</t>
  </si>
  <si>
    <t xml:space="preserve"> Name of  Project/Contract	:	IMPROVEMENT OF BATEC-LOGPOND KONGKONG ROAD Location				:	KONGKONG,  Kasibu, Nueva Vizcaya Brief Description		: 	a. Construction of 0.15m x 3m x 104m x 0.15m x 2m x 15m PCCP 					b. Aggregate base coarse 0.10m x 3m x 104m  					</t>
  </si>
  <si>
    <t xml:space="preserve"> Name of  Project/Contract	:	IMPROVEMENT OF CASERREC-LOCOS Location				:	NANTAWAKAN,  Kasibu, Nueva Vizcaya Brief Description		: 	a. Roadway excavation 					b. 0.20m x 3m x 45m x 0.15m x 3m x 205m Aggregate base coarse including shoulder fill. 					c. Cons</t>
  </si>
  <si>
    <t xml:space="preserve"> Name of Project/Contract	:	CONSTRUCTION OF STANDARD DAYCARE CENTER BUILDING WITH COMPLETE FACILITIES Location				:	PAO, Kasibu, Nueva Vizcaya Brief Description	:	Construction of 8m x 15.5m Building (Reinforced Concrete footings, beams, columns and slabs, </t>
  </si>
  <si>
    <t xml:space="preserve"> INVITATION TO BID (CW 2020-008-028)   The CITY GOVERNMENT OF SORSOGON, through its Bids and Awards Committee (BAC), invites suppliers/contractors to apply for eligibility and to bid for the hereunder project:  Name of Project		:	REPAIR/IMPROVEMENT OF BACI</t>
  </si>
  <si>
    <t xml:space="preserve"> Republic of the Philippines CITY OF TACURONG OFFICE OF THE CITY MAYOR INVITATION TO BID FOR IMPROVEMENT OF MUSICAL FOUNTAIN (Contract ID No: 2020-CW-026) The City Government of Tacurong, through 20% Development Fund 2020 to apply the sum stated below bein</t>
  </si>
  <si>
    <t xml:space="preserve"> Name of  Project/Contract	:	CONCRETING OF NATIONAL ROAD TO SCHOOL Location				:	DINE,  Kasibu, Nueva Vizcaya Brief Description		: 	a. Road way excavation 					b. 0.10m x 4m x 88m and 0.15m x 2m x 88m Aggregate Base Coarse 					c. Construction of 0.15m x 4</t>
  </si>
  <si>
    <t xml:space="preserve"> P.R. No. 126-2020			 For ECCD FIK for 16 barangays 1.	32	can	Ampalaya Seeds (Hybrid) 100 grams 2.	48	can	Eggplant Seeds (OPV) 50 grams 3.     48	can	Tomato Seeds (OPV) 50 grams 4.	64	can	Squash Seeds (OPV) 250 grams 5.	32	kilo	Pole Sitaw Seeds (OPV) 6.	16</t>
  </si>
  <si>
    <t xml:space="preserve"> Invitation to Bid 1.	The MUNICIPAL GOVERNMENT OF SAN VICENTE, PALAWAN, through the 20% Development Fund for CY 2020 intends to apply the sum of  TWO MILLION EIGHT HUNDRED THOUSAND PESOS (Php 2,800,000.00) being the Approved Budget for the Contract (ABC) t</t>
  </si>
  <si>
    <t xml:space="preserve"> Invitation to Bid 1.	The MUNICIPAL GOVERNMENT OF SAN VICENTE, PALAWAN, through the General Fund for CY 2020 intends to apply the sum of  TWO MILLION FOUR HUNDRED THOUSAND PESOS (Php 2,400,000.00) being the Approved Budget for the Contract (ABC) to payment</t>
  </si>
  <si>
    <t xml:space="preserve"> Name of Project/Contract	:	LOCAL ACCESS ROAD-IMPROVEMENT OF ALLOY-WATWAT-EDRALIN ROAD Location				:	Alloy, Kasibu, Nueva Vizcaya Brief Description		: 1.	Roadway Excavation 2.	Excavation for structure 3.	0.20m x 7m x 345m aggregate base coarse 4.	0.20m x 6</t>
  </si>
  <si>
    <t xml:space="preserve"> Invitation to Bid   1.	The MUNICIPAL GOVERNMENT OF SAN VICENTE, PALAWAN, through the GENERAL  FUND for CY 2020 intends to apply the sum of ONE MILLION PESOS being the Approved Budget for the Contract (ABC) to payments under the contract for the COMPLETION</t>
  </si>
  <si>
    <t xml:space="preserve"> Name of Project/Contract	:	LOCAL ACCESS ROAD-IMPROVEMENT OF CAPPIT-PUDI-DINE ROAD Location				:	Alloy, Kasibu, Nueva Vizcaya Brief Description		: 1.	Road way excavation 2.	0.20m x 7m x 478m Aggregate Base Coarse 3.	0.20m x 6.10m x 478m PCCP 4.	Installatio</t>
  </si>
  <si>
    <t xml:space="preserve"> Concreting of Farm to Market Road</t>
  </si>
  <si>
    <t xml:space="preserve"> CATERING SERVICES FOR THE CONDUCT OF 5-DAY BASIC INFORMATION COLLECTION AND ANALYSIS SEMINAR (BICAS)</t>
  </si>
  <si>
    <t xml:space="preserve"> Name of Project/Contract	:	IMPROVEMENT OF INAGUB ROAD - PAQUET Location				:	PAQUET, Kasibu, Nueva Vizcaya Brief Description	:	1. Road way excavation 2. Construction of 0.15m x 3m x 243m PCCP 3. Aggregate base coarse 0.10m x 4m x 243m Approved Budget  for</t>
  </si>
  <si>
    <t xml:space="preserve"> Rehabilitation/Construction of Drainage System in Buenavista, Bato, Catanduanes (Php135,780.00) 1. 150 bags Portland cement 2. 10 cu.m. Sand 3. 7 cu.m. Gravel 4. 1260 bags 4” CHB 5. 175 pcs 10mm diam. X 6.0m RSB 6. 8 pcs Tire Wire 7. 5 pcs Pail 8. 1 lot B</t>
  </si>
  <si>
    <t xml:space="preserve"> Calibration and Preventive Maintenance of CT Scan 16 Slice</t>
  </si>
  <si>
    <t xml:space="preserve"> Republic of the Philippines CITY OF TACURONG OFFICE OF THE CITY MAYOR INVITATION TO BID FOR CONSTRUCTION OF DIALYSIS CENTER (PHASE II) (Contract ID No: 2020-CW-028) The City Government of Tacurong, through 20% Development Fund 2019 – Continuing and 20% De</t>
  </si>
  <si>
    <t xml:space="preserve"> DIESEL ORDINARY 5010 LITERS GASOLINE 1060 LITERS</t>
  </si>
  <si>
    <t xml:space="preserve"> Name of  Project/Contract	:	CONSTRUCTION OF SERVICE ROAD TO DA BUILDING-MUNICIPAL COMPOUND Location				:	POBLACION,  Kasibu, Nueva Vizcaya Brief Description		: 	a. Excavation an back filling works 					b. Construction of Concrete Line Canal, Catch Basin a</t>
  </si>
  <si>
    <t xml:space="preserve"> Invitation to Bid 1.	The MUNICIPAL GOVERNMENT OF SAN VICENTE, PALAWAN, through the SUPPLEMENTAL BUDGET NO. 8, CY 2020 intends to apply the sum of  TWO FORTY-ONE THOUSAND FIVE HUNDRED SEVENTY-SEVEN PESOS (Php 241,577.00) being the Approved Budget for the C</t>
  </si>
  <si>
    <t xml:space="preserve"> Name of  Project/Contract	:	CONSTRUCTION OF NURSEY SHED Location				:	ALLOY,  Kasibu, Nueva Vizcaya Brief Description		: 	a. Excavation an back filling works 					b. Concrete works (pedestal and wall footing) 					c. Installation of CHB 					d. Roofing wo</t>
  </si>
  <si>
    <t xml:space="preserve"> UNDERWATER DIVING EQUIPMENT 1 UNIT DIVE COMPUTER (WATCH TYPE) 1 UNIT BUOYANCY CONTROL DEVICES (STAINLESS STEEL PLATE) 1 UNIT DIVE REGULAR EQUIPMENT 1 PC WETSUIT 1MM 1 PC MASK 1 PC SNORKLE 1 PAIR HIGH CUT BOOTIES 1 PAIR RUBBER JET FINS 1 PAIR DIVE GLOVES 1</t>
  </si>
  <si>
    <t xml:space="preserve"> Invitation to Bid   1.	The MUNICIPAL GOVERNMENT OF SAN VICENTE, PALAWAN, through the 20% DEVELOPMENT FUND for CY 2020 intends to apply the sum of ONE MILLION PESOS being the Approved Budget for the Contract (ABC) to payments under the contract for the REH</t>
  </si>
  <si>
    <t xml:space="preserve"> Invitation to Bid   1.	The MUNICIPAL GOVERNMENT OF SAN VICENTE, PALAWAN, through the GENERAL FUND for CY 2020 intends to apply the sum of ONE MILLION PESOS being the Approved Budget for the Contract (ABC) to payments under the contract for the REPAIR/RENO</t>
  </si>
  <si>
    <t xml:space="preserve"> Republic of the Philippines Province of Misamis Oriental Local Government Unit of Claveria Invitation to Bid for  Construction of  Multi-purpose  Hall at New Municipal Ground The Local Government Unit of Claveria, through the budget approved by Sanggunian</t>
  </si>
  <si>
    <t xml:space="preserve"> supply and delivery of the following: 5 box Zycloran 100 5 box Zycloran 200 50  pcs Resperidone 10 ampules Fluphenazine Decanoate 25mg 5 box Biperiden tablet 2mg 45 vials Flunazine 25mg 35 pcs Olanzaphine 10mg 43 pcs Clozaphine 100mg 19 ampules Modizine 1</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</si>
  <si>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</si>
  <si>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</si>
  <si>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It includes: Toner Cartridge Can Print minimum of 2,200 to 3,000 pages high cartridge capacity, black cartridge color toner weight not lower than 0.58 kg Terms of Reference: 1.Free use of Printer Specification: 3-in-1 (Print, Copy, scan) with LAN LaserJet</t>
  </si>
  <si>
    <t xml:space="preserve"> Procurement of RP Vehicle Oil 2 Drum Oil 40 1 Drum Hydraulic Oil 68 2 Drum Oil 10</t>
  </si>
  <si>
    <t xml:space="preserve"> Procurement of Heavy Equipment Parts for Backhoe 2 Bucket 1 Pc.</t>
  </si>
  <si>
    <t xml:space="preserve"> 1 Meal &amp; 2 Snacks Meal: Garlic Chicken &amp; Beef Bulgogi             Assorted soft drinks Snacks:AM- Muffin &amp; Bottled water                PM-Clubhouse Sandwich &amp; Tetra pack juice</t>
  </si>
  <si>
    <t xml:space="preserve"> Name of  Project/Contract	:	COMPLETION OF COVERE COURT-SIGUEM Location				:	SIGUEM,  Kasibu, Nueva Vizcaya Brief Description		: 	a. Installation of C-Purlins, Sag rods and rib type roofing Approved Budget  for the Contract (ABC)		:	P 493,568.00 Source of </t>
  </si>
  <si>
    <t xml:space="preserve"> Project 2020-17: Purchase of 300mm Diameter Cement Coated and Cement Lined Spiral Welded Steel Pipes Approved Budget of the Contract: Php 16,900,000.00 800pcs - 4.78mm thickness - 300mm x 6m Cement Lined / Cement Coated Spiral Welded Steel Pipes All manuf</t>
  </si>
  <si>
    <t xml:space="preserve"> 1.Risperidone 2mg 100's - 16 boxes 2.Biperiden HCI 2mg 100's - 10 boxes 3.Flupentixol 20mg /ml,1ml amp - 20 amp 4.Sertraline 50mg 100's - 6 boxes 5.Haloperidol 5mg tab 100's - 3 boxes 6.Olanzapine 10mg 100's - 8 boxes 7.Chlorpromazine 200mg tab 100's - 12</t>
  </si>
  <si>
    <t xml:space="preserve"> Clearing  30.00   sq.m Excavation  50.00  cu.m Grouted Riprap  100.00  cu.m Structural Concrete  6.00 cu.m Transshipment of Material &amp; Manual Hauling  1.00  lot Project Billboards  1.00  lot</t>
  </si>
  <si>
    <t xml:space="preserve"> 1 Breakfast, 1 Lunch,1 Dinner (plate in) - 315 pax</t>
  </si>
  <si>
    <t xml:space="preserve"> BIDS AND AWARDS COMMITTEE August 24, 2020 INVITATION TO BID 	The Sangguniang Barangay of BALOGO, EAST DISTRICT, SORSOGON CITY, through its Bids and Awards Committee(BAC), invites Suppliers to apply for eligibility and if found eligible, to Bid for the her</t>
  </si>
  <si>
    <t xml:space="preserve"> Clearing   3.50  sq.m Excavation  6.00  Cu.m Structural Concrete  10.50  Cu.m Formworks  200.00  bf.ft Reinforcing Steel Bars   1,075.00   kgs Steel Works   1.00   In.m Transshipment of Material &amp; Manual Hauling   1.00   lot Project Billboards   3.00   pc</t>
  </si>
  <si>
    <t xml:space="preserve"> PHOTOCOPIER, PRINTER AND SCANNER</t>
  </si>
  <si>
    <t xml:space="preserve"> Republic of the Philippines Province of Southern Leyte MUNICIPALITY OF SAN JUAN Invitation to Bid for  CONSTRUCTION OF LINE CANAL BRGY. SAN ROQUE, SAN JUAN, SOUTHERN LEYTE 1.	The MUNICIPALITY OF SAN JUAN, through General Fund intends to apply the sum of T</t>
  </si>
  <si>
    <t xml:space="preserve"> Republic of the Philippines Province of South Cotabato BIDS AND AWARDS COMMITTEE Capitol Compound Alunan Avenue, Koronadal City Tel. Fax No.: (083) 228-9951/228-8570 INVITATION TO BID FOR THE SUPPLY AND DELIVERY OF 2 UNITS DUMP TRUCK, BRAND NEW, 6 WHEELER</t>
  </si>
  <si>
    <t xml:space="preserve"> Repair/Maintenance of Roadsides Structure</t>
  </si>
  <si>
    <t xml:space="preserve"> Various materials for the Repair &amp; Maintenance of Building</t>
  </si>
  <si>
    <t xml:space="preserve"> Procurement of Heavy Equipment Parts for Backhoe 1 Bucket Tooth 10 Pc. End Bit 2 Pc.</t>
  </si>
  <si>
    <t xml:space="preserve"> Republic of the Philippines WESTERN PHILIPPINES UNIVERSITY         A STRONG PARTNER FOR SUSTAINABLE DEVELOPMENT BIDS AND AWARDS COMMITTEE Invitation to Bid for the Supply and Delivery of Customized Polo Shirt and Sling Bag  	The Western Philippines Univer</t>
  </si>
  <si>
    <t xml:space="preserve"> Please refer to the attached Request for Quotation, Terms of Reference, and CDC &amp; LGU Allocation of Goods. Thank you.</t>
  </si>
  <si>
    <t xml:space="preserve"> Invitation to Bid for  Concreting of Farm-to-Market Road (Barangay Cabcaban) 1.	The Municipality of Bindoy, Negros Oriental, through the Mun. 20% Development Fund (20% DF) CY 2019  intends to apply the sum of One Million Two Hundred One Thousand Three Hun</t>
  </si>
  <si>
    <t xml:space="preserve"> NO	UNIT	DESCRIPTION	QTY 1	pcs	Printer A3 all in one, ink tank bundled with (2 sets of ink Black, Magenta, Cyan, Yellow)	1 2	pcs	Printer , 4 in 1 Print, Copy,Scan, Fax, Multifunctional Printer	1 3	unit	Computer desktop type Intel Core i5 7th Generation 8gb</t>
  </si>
  <si>
    <t xml:space="preserve"> NO	UNIT	DESCRIPTION	QTY 1	pc	Folding Bed heavy duty with foam, 34x75 inches	5 2	pcs	Office table with top glass, wood type, 120cm x 60cm x 76cm	10 3	set	Sala set, 3 pcs, big, foam type, Leather, with center table	1 4	pcs	Monobloc Chair, heavy duty, classi</t>
  </si>
  <si>
    <t xml:space="preserve"> 1	pcs	Refrigerator, 5 cubic feet	6 2	pcs	Water dispenser with hot and cold, free standing	2 3	unit	Electric fan, Stand Fan, size 16'	10 4	pcs	Professional Powered Speaker (2000watts, 2ways, powered 15 inches,)	1 5	unit	Aircondition, Window type 1.5hp, inc</t>
  </si>
  <si>
    <t xml:space="preserve"> NO	UNIT	DESCRIPTION	QTY 1	set	Medical Oxygen tank 50L with Gauge and Humidifier	2 2	pc	Autoclave, 10 liters for Dental	1 3	pc	Aerosol Suction Machine for Dental	1 4	pc	Dental Instrument Cabinet (Steel)	1</t>
  </si>
  <si>
    <t xml:space="preserve"> Item Description.......................Quantity......................................Unit of Issue Cement......................................765...............................................Bag</t>
  </si>
  <si>
    <t xml:space="preserve"> INVITATION TO BID The City Vigan, through its Bids and Awards Committee (BAC), invites suppliers/manufacturers/distributors/contractors to apply for eligibility and to bid for the hereunder project: Name of Project:	Construction of Hand Washing Facility o</t>
  </si>
  <si>
    <t xml:space="preserve"> Enzymes for biodegradable waste</t>
  </si>
  <si>
    <t xml:space="preserve"> BIDDING DOCUMENTS FOR THE PROPOSED CONSTRUCTION OF CUSTOMER ACCOUNTS DIVISION OFFICE 1.	The Dagupan City Water District, through the Approved Budget of 2020 intends to apply the sum of One Million Two Hundred Two Thousand  Four Hundred Ninety Four Pesos a</t>
  </si>
  <si>
    <t xml:space="preserve"> Various computer supplies &amp; consumables</t>
  </si>
  <si>
    <t xml:space="preserve"> INVITATION TO APPLY FOR ELIGIBILITY AND TO BID (IAEB) The Municipality of Molave, Zamboanga del Sur, through its Bids and Awards Committee (BAC), invites suppliers/distributors to apply for eligibility and to bid for the hereunder project: Name of Project</t>
  </si>
  <si>
    <t xml:space="preserve"> various medicines</t>
  </si>
  <si>
    <t xml:space="preserve"> INVITATION TO BID FOR THE PROCUREMENT OF MATERIALS &amp; FITTINGS FOR NEW CONNECTION FOR THE YEAR 2020 1.	The Dagupan City Water District, through the Approved Budget 2020 intends to apply the sum of ONE MILLION NINE HUNDRED NINE THOUSAND  FIVE PESOS (Php 1,9</t>
  </si>
  <si>
    <t xml:space="preserve"> Various office supplies</t>
  </si>
  <si>
    <t xml:space="preserve"> Various materials for the Repair &amp; Maintenance of building</t>
  </si>
  <si>
    <t xml:space="preserve"> INVITATION TO BID FOR THE PROCUREMENT OF 2 UNITS VARIABLE FREQUENCY DRIVE (INCLUSIVE OF INSTALLATION, TESTING AND COMMISSIONING) 1.	The Dagupan City Water District, through the Approved Budget 2020 intends to apply the sum of SEVEN HUNDRED THOUSAND  PESOS</t>
  </si>
  <si>
    <t xml:space="preserve"> P.R. No. X11-20-07-336 - Supply and Delivery for the use of various service vehicles and heavy equipment, assigned at DPWH-Region X. (Please see attached RFQ)</t>
  </si>
  <si>
    <t xml:space="preserve"> Name of Project/Contract	:	IMPROVEMENT OF TADJI-TUKOD ROAD Location				:	TADJI, Kasibu, Nueva Vizcaya Brief Description		: 1.	Excavation for structure 2.	0.15m x 6m x 247m aggregate base coarse 3.	0.8m x 6m x 50m back fill 4.	Construction of 0.15m x 5.0m </t>
  </si>
  <si>
    <t xml:space="preserve"> Various condiments &amp; vegetable</t>
  </si>
  <si>
    <t xml:space="preserve"> NEGOTIATED PROCUREMENT 											 August 24, 2020 1.	The Provincial Government of Davao Occidental, through its Bids and Awards Committee (BAC), invites all potential bidders/suppliers to apply to bid for the following goods: Bids received in excess of t</t>
  </si>
  <si>
    <t xml:space="preserve"> Republic of the Philippines WESTERN PHILIPPINES UNIVERSITY          A STRONG PARTNER FOR SUSTAINABLE DEVELOPMENT BIDS AND AWARDS COMMITTEE Invitation to Bid for the Procurement of various supplies and equipment in response to the “New Normal” condition.  </t>
  </si>
  <si>
    <t xml:space="preserve"> OFFICE SUPPLIES</t>
  </si>
  <si>
    <t xml:space="preserve"> T-shirt</t>
  </si>
  <si>
    <t xml:space="preserve"> 20 ltr Coolant &amp; 37 LI</t>
  </si>
  <si>
    <t xml:space="preserve"> 20 ea Clearing Brush &amp; 13 LI</t>
  </si>
  <si>
    <t xml:space="preserve"> SEE PR</t>
  </si>
  <si>
    <t xml:space="preserve"> Republic of the Philippines Province of Oriental Mindoro MUNICIPALITY OF NAUJAN BIDS &amp; AWARDS COMMITTEE INVITATION TO BID INSTALLATION OF STREETLIGHTS AT POBLACION TO PINAGSABANGAN II (Curva), NAUJAN, ORIENTAL MINDORO 1.	The Municipal Government of Naujan</t>
  </si>
  <si>
    <t xml:space="preserve"> Republic of the Philippines CITY OF BAIS BIDS AND AWARDS COMMITTEE NOTICE FOR NEGOTIATED PROCUREMENT (53.1) In view of the failure of the second bidding scheduled last August 4, 2020, the Bids and Awards Committee (BAC) passed Resolution No. 58 series of </t>
  </si>
  <si>
    <t xml:space="preserve"> Republic of the Philippines MUNICIPALITY OF MACABEBE Province of Pampanga INVITATION TO BID FOR Sewing Machines and Sewing Materials/Tools 1.	The Municipality of Macabebe, through the 2020 DOLE (DILEEP) intends to apply the sum of Seven Hundred Thousand P</t>
  </si>
  <si>
    <t xml:space="preserve"> Republic of the Philippines CITY OF MARIKINA SF-GOOD-05 Revised on: July 28, 2004				 													Mkna-GSO-20-345	 	BIDS AND AWARDS COMMITTEE		 NOTICE OF PROPOSED PROCUREMENT The City Government of Marikina, through its Bids and Awards Committee (BAC), w</t>
  </si>
  <si>
    <t xml:space="preserve"> Republic of the Philippines CITY OF BAIS BIDS AND AWARDS COMMITTEE INVITATION TO APPLY FOR ELIGIBILITY AND TO BID 	The City Government of Bais invites interested bidders to apply for eligibility and to bid for use in the operation &amp; maintenance of various</t>
  </si>
  <si>
    <t xml:space="preserve"> Name of  Project/Contract	:	IMPROVEMENT OF NAGSABARAN-PAPALUNGAN ROAD Location				:	BIYOY,  Kasibu, Nueva Vizcaya Brief Description		: 	a. Sub-grade preparation 					b. 0.10m x 3m x 225 Aggregate Base Coarse 					c. 0.15m x 3m x 225m PCCP Approved Budget </t>
  </si>
  <si>
    <t xml:space="preserve"> Republic of the Philipppines Province of Palawan Municipality of Taytay BIDS AND AWARDS COMMITTEE RFQ no.:2020 Date: August 24, 2020 REQUEST FOR PRICE QUOTATION (Procurement of various) Sir/Madam: You're hereby invited to quote your price(s) on the articl</t>
  </si>
  <si>
    <t xml:space="preserve"> Delivery and Supply of Construction Materials</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</si>
  <si>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</si>
  <si>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Demolition Works Excavation Works Concrete and Steel Works Site Cleaning Construction Safety and Health Program Mobilization</t>
  </si>
  <si>
    <t xml:space="preserve"> Please see attached ITB</t>
  </si>
  <si>
    <t xml:space="preserve"> Item No.	Quantity	 Unit of Issue	              Item Description 1		145		boxes		Losartan 50 mg tablet, 100 tablet/box 2		145		boxes		Amlodipine 10 mg tablet,100 tablet/box 3		29		boxes		Dicycloverine tablet, 100 tablet/box 4		29		boxes		Loperamide 2 mg cap</t>
  </si>
  <si>
    <t xml:space="preserve"> Invitation to Bid Barangay 871, Zone 95, District VI through its Bids and Awards Committee (BAC), invites all suppliers duly accredited and approved by the City Council of Manila to bid for the hereunder projects: 1   set   Closed Circuit Television (CCTV</t>
  </si>
  <si>
    <t xml:space="preserve"> Qty.   Unit of Issue     Item Description/Specifications    Estimated Unit Cost   Estimated Total Cost 8 pcs FIRE EXTINGUISHER (10lbs dry chemical, mono ammonium phosphate, with 10 years chemical efficacy and 5 yrs warranty    4,650.00      37,200.00 1 pc</t>
  </si>
  <si>
    <t xml:space="preserve"> Order/Download and fill up attach Request for Quotation and submit to the BAC Office on/before closing date</t>
  </si>
  <si>
    <t xml:space="preserve"> INVITATION TO BID (CW-08-2020-024) The Department of Public Works and Highways (DPWH)-Batangas IV District Engineering Office, Marawoy, Lipa City, Batangas, through its Bids and Awards Committee (BAC), invites contractors to bid for the contract listed be</t>
  </si>
  <si>
    <t xml:space="preserve"> Procurement of 15 pack Coffee 3 in 1 Coffe Mix 14g x 12 &amp; 28 LI</t>
  </si>
  <si>
    <t xml:space="preserve"> Stock No.   Item Description    QTY.     Unit 1. O-Ring 320139Z00A  1   pc 2. O-Ring 320139Z00C    1    pc 3. O-Ring 320139Z00B    1    pc 4. Lock Nut size: 5/16 322079Z00B    1   pc 5. Gasket 324979Z00E    2   pcs 6. Gasket 324979Z00D      1    pc 7. Loc</t>
  </si>
  <si>
    <t xml:space="preserve"> Stock No.	Item Description	QTY.	Unit 1	Hoe, Steel with wooden handle, 2.5 kgs.	5	pcs. 2	Sugarcane cutting knife 21" w/ handle (wooden) 7 blade thickness	10	pcs. 3	Trowel Steel with wooden handle average size, 1.5 blade thickness	10	pcs. for CWMO			 			 1	</t>
  </si>
  <si>
    <t xml:space="preserve"> VARIOUS OFFICE SUPPLIES &amp; EQUIPMENT</t>
  </si>
  <si>
    <t xml:space="preserve"> See attached file.</t>
  </si>
  <si>
    <t xml:space="preserve"> 4 pcs 205/65 R15  4 pcs 235/75</t>
  </si>
  <si>
    <t xml:space="preserve"> INVITATION TO BID FOR  INSTALLATION OF CCTV WITH NVR&amp; MONITOR AT VARIOUS RESETTLEMENT SITES FOR PEACE AND ORDER MONITORING @ GOLDEN HORIZON SUNSHINE VILLE &amp; SOUTHVILLE 2 PHASE 3, TRECE MARTIRES CITY 1.	The City Government of Trece Martires, through the TR</t>
  </si>
  <si>
    <t xml:space="preserve"> 1 LOT VARIOUS OFFICE SUPPLIES</t>
  </si>
  <si>
    <t xml:space="preserve"> for Ambulance and Other Emergency Vehicles (September 2020)</t>
  </si>
  <si>
    <t xml:space="preserve"> For Day Care Workers use.</t>
  </si>
  <si>
    <t xml:space="preserve"> 1	Rain Boots, ordinary, pair, black, 10pairs-size 6, 20 pairs-size 8, 20 pairs-size 7	50	pcs	 23,000.00  2	Rain Coats, pair, ordinary printed with MDRRMC	40	pcs	 25,000.00  3	Gloves, medium and large size	10	boxes	 5,000.00  4	Fabrication of triangular ba</t>
  </si>
  <si>
    <t xml:space="preserve"> Supply of materials, manpower, and supervision for the construction of slab rooftop which will replace the existing dilapidated GI roof.  Scope of works:      1. Earthworks      2. Rebar works      3. Formworks and scaffoldings      4. Concreting works   </t>
  </si>
  <si>
    <t xml:space="preserve"> PLEASE SEE ATTACHED DOCUMENTS. Services for the Demarcation of Boundaries of Mts. Iglit-Baco Natural Park, which includes relocation survey six (6) boundary corners and fabrication and installation of the six (6) concrete monuments or witness monuments in</t>
  </si>
  <si>
    <t xml:space="preserve"> Please see attached RFQ</t>
  </si>
  <si>
    <t xml:space="preserve"> for the use of Operation of Garbage Collection (for the month of September 2020)</t>
  </si>
  <si>
    <t xml:space="preserve"> I.Mobilization II. CSHP III. Road Preparation A. Equipment B. Materials IV. Portland Cement Concrete Pavement V. Equipment Labor</t>
  </si>
  <si>
    <t xml:space="preserve"> Purchase of relief goods for the affected families of COVID-19 25 bxs easy open sardines 35 bxs  3in1 twinpack</t>
  </si>
  <si>
    <t xml:space="preserve"> 40.00 pcs. deformed bar # 10mm. (standard) 15.00 pcs. deformed bar # 9 mm. (standard) 3.00 cu.m. sand - approved source 40.00 bags portland cement 2.00 pcs. gravel - approved source 250.00 pcs. HB 4" tk 50.00 sheets corrugated G.I. - guage 26x10' 10.00 sh</t>
  </si>
  <si>
    <t xml:space="preserve"> Installation of Fixed Glass with Swing Door  Fixed Glass on 1 3/4 x 4 Aluminum Frame w/ Sliding Doors &amp; Counter Windows using 1/4" Bronze Glass</t>
  </si>
  <si>
    <t xml:space="preserve"> Qty.	Unit	Item &amp; Description 324	pax	Breakfast 324	pax	Lunch 324	pax	Dinner 		 		 		 		 		 		 		 		 		 		 		 		  		 	   	 	VAT Inclusive  	 	Place of Delivery: Brgy.Poblacion, Cagdianao, DI</t>
  </si>
  <si>
    <t xml:space="preserve"> Please see attached Invitation to Bid and Technical Specifications</t>
  </si>
  <si>
    <t xml:space="preserve"> I. Project Billboard II. Mobilizaiton III. CSHP IV. Drilling V. Plumbing Works VI. Water Pump Installation VII. Steel Works VIII. Masonry Works IX. Electrical Works Labor</t>
  </si>
  <si>
    <t xml:space="preserve"> Republic of the Philippines						 	Cordillera Administrative Region						 	Provincial Local Government Unit of Ifugao						 	BIDS AND AWARDS COMMITTEE ON GOODS						 	2nd Floor COA Bldg., Capitol Compound						 	Lagawe, Ifugao						 	Email Ad.: bacgoodsif</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</si>
  <si>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</si>
  <si>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Republic of the Philippines  Province of Agusan del Norte  Municipality of Nasipit BIDS AND AWARDS COMMITTEE REQUEST for QUOTATION The Local Government Unit of Nasipit, through its Bids and Awards Committee (BAC) will undertake a Small Value Procurement i</t>
  </si>
  <si>
    <t xml:space="preserve"> 105	PACK	GARBAGE BAG 10'S L (BLACK) 5	PACK	GARBAGE BAG 10'S XL (YELLOW) 46	PACK	GARBAGE BAG 10'S XL (GREEN) 41	PACK	GRABAGE BAG 10'S XL(BLACK) 2	PACK	GRABAGE BAG 20'S (MEDIUM) BLACK 20	PC	MOP (STEEL) 10	BOT	HANDSOAP 99.9% 225ML 5	BOT	DISCENFECTING SPRAY 5</t>
  </si>
  <si>
    <t xml:space="preserve"> I. General Requirements	 II. Deepwell III. Deepwell Pump Station IV. Pump and Yard Piping Works Labor CSHP</t>
  </si>
  <si>
    <t xml:space="preserve"> LOT 1						 Department of Education						 Region VII, Central Visayas						 DIVISION OF NEGROS ORIENTAL						 AMLAN NATIONAL HIGH SCHOOL						 					08/14/2020	 Canvass Number	2020-08-001				Date	 						 Name of Dealer						 						 Address						 REQUEST FO</t>
  </si>
  <si>
    <t xml:space="preserve"> The Bids and Awards Committee hereby invites all qualified bidders for the Local Access Road Upgrading at Brgy. Pob. Zone III to Brgy. Burgos, Mayorga, Leyte. Prospective Bidders must have experience of having completed one (1) contract that is similar to</t>
  </si>
  <si>
    <t xml:space="preserve"> For the use of Antipolo City Anti Drug Abuse Office. 20,000 pcs. Brochures * A4 size, glossy 4,000 pcs. Poster * Size: 18"x21"</t>
  </si>
  <si>
    <t xml:space="preserve"> 1 LOT COMBI BLINDS FOR TEN (10) FUNCTION ROOMS-DELUXE WINDOW FABRICA:GALAXY 100% POLYESTER @ 187,424.00 (SEE ATTACHED PURCHASE REQUEST FOR THE SIZES) KINDLY REFER TO THE ATTACHED PURCHASE REQUEST FOR COMBI BLINDS SIZES. YOU MAY SEND YOUR QUOTATION ALONG W</t>
  </si>
  <si>
    <t xml:space="preserve"> Republic of the Philippines CITY OF MARIKINA SF-GOOD-05 Revised on: July 28, 2004				 													Mkna-GSO-20-346	 	BIDS AND AWARDS COMMITTEE		 NOTICE OF PROPOSED PROCUREMENT The City Government of Marikina, through its Bids and Awards Committee (BAC), w</t>
  </si>
  <si>
    <t xml:space="preserve"> 300 pk Cupcake, Brownies 35g, 10s and 30 other line items</t>
  </si>
  <si>
    <t xml:space="preserve"> Please see attached Invitation to Bid and Bill of Quantities</t>
  </si>
  <si>
    <t xml:space="preserve"> Supply and Delivery of various medical and dental supplies See section 1 of the bidding documents</t>
  </si>
  <si>
    <t xml:space="preserve"> Republic of the Philippines Province of Camarines Norte MUNICIPALITY OF VINZONS BIDS AND AWARDS COMMITTEE (BAC) (Tel. # 446-63-09) 	 INVITATION TO BID FOR: Purchase/Delivery of Faceshield &amp; Disposable Face Mask for Distribution of Tupad Beneficiaries 1.	T</t>
  </si>
  <si>
    <t xml:space="preserve"> DEPARTMENTOF SOCIAL WELFARE AND DEVELOPMENT Regional  Office No. 10, Masterson Avenue, Upper Carmen, Cagayan de Oro City INVITATION TO BID FOR Rebidding of Supply and delivery of Food and Non-Food Items for Replenishment of family food packs for the Disas</t>
  </si>
  <si>
    <t xml:space="preserve"> see pr</t>
  </si>
  <si>
    <t xml:space="preserve"> 19	pcs	Flashlight</t>
  </si>
  <si>
    <t xml:space="preserve"> Six Hundred Forty (640) prs Battery 1.5 Size "AA" &amp; 10 other line items</t>
  </si>
  <si>
    <t xml:space="preserve"> 20 ft. Aluminum Ladder</t>
  </si>
  <si>
    <t xml:space="preserve"> Supply and Delivery of Office Supplies See section 1 of the Bidding Documents</t>
  </si>
  <si>
    <t xml:space="preserve"> For the use of City Legal Office. 1 unit Computer Laptop * core i7 * 8GB RAM * HDD: 1TB * 15.6 inch LED display screen</t>
  </si>
  <si>
    <t xml:space="preserve"> Please Contact the BAC Secretariat</t>
  </si>
  <si>
    <t xml:space="preserve"> SEE ATTTACHED LINK "TO OTHER INFORMATION"</t>
  </si>
  <si>
    <t xml:space="preserve"> Two (2) ea Hard Disc Drive 1TB and Four (4) other line items.</t>
  </si>
  <si>
    <t xml:space="preserve"> Book Size  - 4A Cover        - None Print Color  - Black and White Paper Requirement  -  Standard Newsprint Binding    -Stapled per module using long barrel/heavy duty stapler Basis Weight  - 48.8 gsm +/-5 tolerance Brightness -  55%+/_ 3% tolerance Opaci</t>
  </si>
  <si>
    <t xml:space="preserve"> 40	bots.	Paracetamol  120 ml. 5	box	Paracetamol  tablet 20	box	Mefenamic Acid 4	bots.	Loperamide 4	box	Cenarizine 3	box	Decycloverine 3	box	Chlorphenamine 1	gal	Betadine 1	gal	Alcohol 4	gms	Cotton 2	box	Gause Sterile 4x4  10	inch	Plaster</t>
  </si>
  <si>
    <t xml:space="preserve"> Main Building Components	 	   	Gigabit Ethernet Switch 24 Ports	1	unit  	Horizontal Cable Manager 2U	1	pc  	Data Cabinet	1	unit  	Rough-ing Ins &amp; Consumables	1	lot Field Components	 	   	Wireless Radio 5Ghz PTP, PTMP	50	units  	Wireless Support	50	pcs  	U</t>
  </si>
  <si>
    <t xml:space="preserve"> Forty (40) rl Aluminum Foil Wrap, 30cm x 8m &amp; 13 other line items</t>
  </si>
  <si>
    <t xml:space="preserve"> For the use of RPHS I, II &amp; ACHS Cabading. RPHS Annex II Foton Ambulance GB 1290 1 assy. clutch master 1 assy. secondary clutch King Long Ambulance SLG 120 1 assy. brake hydrovac w/ master 1 set vacuum febra ACHS Cabading Toyota Vios SJG 513 1 set front b</t>
  </si>
  <si>
    <t xml:space="preserve"> public biding</t>
  </si>
  <si>
    <t xml:space="preserve"> Order/Download and fill up attach Request for Quotation and submit to the BAC Office on/before closing use</t>
  </si>
  <si>
    <t xml:space="preserve"> 91	pcs	LED Bulb 94	pcs	Rubberized Receptacle  11	roll	Electrical Tape</t>
  </si>
  <si>
    <t xml:space="preserve"> Republic of the Philippines Province of Camarines Norte MUNICIPALITY OF VINZONS BIDS AND AWARDS COMMITTEE (BAC) (Tel. # 446-63-09) 	 INVITATION TO BID FOR: Purchase/Delivery of 1 SET DESKTOP COMPUTER FOR BIOMETRICS USE 1.	The Local Government Unit of Vinz</t>
  </si>
  <si>
    <t xml:space="preserve"> Five (5) units Printer 3 in 1 L3110 and Five (5) other line items.</t>
  </si>
  <si>
    <t xml:space="preserve"> Provincial Health Office Agusan del Norte</t>
  </si>
  <si>
    <t xml:space="preserve"> Provincial Planning Development Office Agusan del Norte</t>
  </si>
  <si>
    <t xml:space="preserve"> 133	 bags 	Portland Cement , Type 1 14	 cu.m 	Fine Aggreahste 28	 cu.m 	Coarse Aggregates 12	 pcs 	1" x 4" x 12" Good Lumber 10	 kg 	Assorted CWN</t>
  </si>
  <si>
    <t xml:space="preserve"> Materials for Repair of Lighting Fixtures in various Offices and rooms (See attached file for more detailed information)</t>
  </si>
  <si>
    <t xml:space="preserve"> I. Mobilization II. Excavation III. CSHP IV. Project Billboard V. Form Works VI. Masonry Works VII. Equipment Labor</t>
  </si>
  <si>
    <t xml:space="preserve"> For the use of Mayor's Office (For the continuous endeavor to control and/or contain the spread of Covid-19) 10 units Ultraviolet Disinfection Box * utilizing UV light to effectively kill or inactivate 99.9% of bacteria and viruses * dual UV lamp * 3 time</t>
  </si>
  <si>
    <t xml:space="preserve"> 20	set	15 watts LED Bulb 54	m	Duplex Wire  1	roll	Electrical Tape (Big)</t>
  </si>
  <si>
    <t xml:space="preserve"> Republic of the Philippines Province of Bohol Municipality of Panglao INVITATION TO BID FOR PROCUREMENT OF FIRE FIGHTING &amp; RESCUE AND SAFETY EQUIPMENT 1.	The Municipality of Panglao, Bohol, through the BFP 20% Share intends to apply the sum of One Hundred</t>
  </si>
  <si>
    <t xml:space="preserve"> Rehabilitation/Improvement of Barangay Road, Phase II</t>
  </si>
  <si>
    <t xml:space="preserve"> Republic of the Philippines                                                                     Province of Leyte                                                               MUNICIPALITY OF PALO 	                                        NOTICE OF POSTING</t>
  </si>
  <si>
    <t xml:space="preserve"> Cabadbaran District Hospital Agusan del Norte</t>
  </si>
  <si>
    <t xml:space="preserve"> Republic of the Philippines Province of Bohol Municipality of Panglao INVITATION TO BID FOR REHABILITATION OF ROADS AT BIL-ISAN, LIBAONG, LOOC, &amp; TAWALA, PANGLAO, BOHOL 1.	The Municipality of Panglao, Bohol, through the 2018 20% DF (Supplemental Budget No</t>
  </si>
  <si>
    <t xml:space="preserve"> REPUBLIC OF THE PHILIPPINES PROVINCE OF CEBU MUNICIPALITY OF PINAMUNGAJAN Invitation to Bid for:    IMPROVEMENT OF LIGHTING SYSTEM OF BASKETBALL COURT INSIDE THE MUNICIPAL AUDITORIUM 1.  The MUNICIPALITY OF PINAMUNGAJAN, through the GENERAL FUND  intends </t>
  </si>
  <si>
    <t xml:space="preserve"> See attached Request for Quotation.</t>
  </si>
  <si>
    <t xml:space="preserve"> Provincial Agriculturist Office Agusan del Norte</t>
  </si>
  <si>
    <t xml:space="preserve"> IMPROVEMENT OF WATER SYSTEM (Const. of Intake Box and Installation of Pipelines)</t>
  </si>
  <si>
    <t xml:space="preserve"> RE-INVITATION TO BID                                                             RE- IB-2020-020-GOODS-FCSMO Supply and Delivery of Tool Box for use in the Repair and Maintenance of Various Pumping Station 1.	The Metropolitan Manila Development Authority </t>
  </si>
  <si>
    <t xml:space="preserve"> Republic of the Philippines WESTERN PHILIPPINES UNIVERSITY          A STRONG PARTNER FOR SUSTAINABLE DEVELOPMENT BIDS AND AWARDS COMMITTEE Invitation to Bid for the Procurement of Medical and Disinfectant supplies and Handwashing station The Western Phili</t>
  </si>
  <si>
    <t xml:space="preserve"> Rehabilitation of Three (3) Units Ford Armored Truck, as per BSP Scope of Works Lot 1 – 1 unit with Plate No. SFT 199  Lot 2 – 2 units with Plate Nos. SFT 263 and 269</t>
  </si>
  <si>
    <t xml:space="preserve"> REPUBLIC OF THE PHILIPPINES Province of CEBU MUNICIPALITY OF PINAMUNGAJAN INVITATION TO BID FOR : PROGRAMS, PROJECTS AND ACTIVITIES TO ADDRESS THE CORONA VIRUS DISEASE 2019 (COVID 19) SITUATION, FOOD, ASSISTANCE AND RELIEF GOODS FOR THE AFFECTED HOUSEHOLD</t>
  </si>
  <si>
    <t xml:space="preserve"> Provincial Governor's Office Agusan del Norte</t>
  </si>
  <si>
    <t xml:space="preserve"> Barangay Silanganan Municipality of Dolores, Quezon INVITATION TO BID FOR CONSTRUCTION OF STREET LIGHT The LGU, through  the General  Fund ( 20% DF)–intends to apply the sum of   One Hundred Seventy Five Thousand ,Sixty One Pesos &amp; 60/100  (P 175,061.60)]</t>
  </si>
  <si>
    <t xml:space="preserve"> delivery of construction materials</t>
  </si>
  <si>
    <t xml:space="preserve"> Supply and Delivery of various commodities for the children beneficiaries of Supplementary Feeding Program of the Municipality of Mapandan, Pangasinan</t>
  </si>
  <si>
    <t xml:space="preserve"> Thirty Seven (37) ea Digital Two Way Radio Transceiver DM-760 UHF 400-480 MHz Two-Way Digital Handheld Ham Radio with Voice Encryption &amp; 6 other line items</t>
  </si>
  <si>
    <t xml:space="preserve"> Provincial Disaster Risk Reduction Management Office Agusan del Norte</t>
  </si>
  <si>
    <t xml:space="preserve"> Four (4) pcs Harris HH Radio Balun Whip Antenna and Six (6) other line items.</t>
  </si>
  <si>
    <t xml:space="preserve"> 1000	unit	Disposable plastic egg tray (holds 12 extra large chicken egg)		 1000	unit	Flat pouch with ziplock (clear front/black back, approx. 10x18 cm, 90 microns)		 1000	unit	Clear flat pouch for rice (2.5 kg capacity, NY/PE, 150 microns, approx. 20x30cm</t>
  </si>
  <si>
    <t xml:space="preserve"> Republic of the Philippines Province of Bohol Municipality of Panglao INVITATION TO BID FOR CONSTRUCTION OF MOTORPOOL AT POBLACION, PANGLAO, BOHOL 1.	The Municipality of Panglao, Bohol, through the MEO - Current &amp; Continuing Capital Outlay intends to appl</t>
  </si>
  <si>
    <t xml:space="preserve"> The National Mapping and Resource Information Authority, Bids and Awards Committee (NAMRIA BAC) invites interested SUPPLIERS/DEALERS &amp; CONTRACTORS for the following project/s: Supply, Delivery and Installation of Shaft Generator of BRP Hydrographer Presbi</t>
  </si>
  <si>
    <t xml:space="preserve"> 1.	26	cart	INK CART, CANON PG-810, Black          2.	24	cart	INK CART, CANON CL-811, Colored        3.	130	btl	Ink HP GT51, black 4.	13	btl	INK HP GT52, Cyan 5.	19	btl	INK HP GT52, Yellow 6.	19	btl	INK HP GT52, Magenta 7.	1	cart	HP 204A (Black) 8.	3	cart	</t>
  </si>
  <si>
    <t xml:space="preserve"> Republic of the Philippines Province of Bohol Municipality of Panglao INVITATION TO BID FOR SUPPLY, DELIVERY, &amp; INSTALLATION OF 5.36 KWP HYBRID, GI SHEETS SOLAR SYSTEM AT THE OFFICE OF THE MUNICIPAL TREASURER 1.	The Municipality of Panglao, Bohol, through</t>
  </si>
  <si>
    <t xml:space="preserve"> The National Mapping and Resource Information Authority, Bids and Awards Committee (NAMRIA BAC) invites interested SUPPLIERS/DEALERS &amp; CONTRACTORS for the following project/s: Supply and Delivery of dKart Inspector for Hydrography Branch (Kindly contact t</t>
  </si>
  <si>
    <t xml:space="preserve"> see attached Request for Quotation</t>
  </si>
  <si>
    <t xml:space="preserve"> Republic of the Philippines                                        Province of Leyte                            MUNICIPALITY OF ALBUERA                     OFFICE OF THE MUNICIPAL MAYOR OFFICE OF THE BIDS AND AWARDS COMMITTEE INVITATION TO BID 	The Local </t>
  </si>
  <si>
    <t xml:space="preserve"> Republic of the Philippines Province of Bohol Municipality of Panglao INVITATION TO BID FOR PROCUREMENT OF 2 UNITS MOTORCYCLE PATROL AND 1 UNIT UNCUSTOMIZED MOTORCYCLE (ALL BRAND NEW) 1.	The Municipality of Panglao, Bohol, through the MO-SPA 2020 (PTMO) &amp;</t>
  </si>
  <si>
    <t xml:space="preserve"> Purchase of Printing Supplies for the Learning Materials  Activity Sheet for Students (Grade 7-10).</t>
  </si>
  <si>
    <t xml:space="preserve"> INVITATION TO BID  IB-2020-021-GOODS-PRFS Procurement of Two (2) Sets  Pontoon for Pasig River Ferry Service, Quezon Bridge 1.	The Metropolitan Manila Development Authority (“MMDA”), through the 2019 LOCAL FUND  2020 Regular 2019  CONTINUING  intends to a</t>
  </si>
  <si>
    <t xml:space="preserve"> LOT 3						 Department of Education						 Region VII, Central Visayas						 DIVISION OF NEGROS ORIENTAL						 AMLAN NATIONAL HIGH SCHOOL						 					08/14/2020	 Canvass Number	2020-08-003				Date	 						 Name of Dealer						 						 Address						 REQUEST FO</t>
  </si>
  <si>
    <t xml:space="preserve"> Certified Palay Seeds</t>
  </si>
  <si>
    <t xml:space="preserve"> Two (2) Portable Generator Set 2500W, 4 stroke and Three (3) other line items.</t>
  </si>
  <si>
    <t xml:space="preserve"> Invitation to Bid 1.	The MUNICIPAL GOVERNMENT OF SAN VICENTE, PALAWAN, through the General Fund for CY 2020 intends to apply the sum of  ONE MILLION FOUR HUNDRED THOUSAND PESOS (Php 1,400,000.00) being the Approved Budget for the Contract (ABC) to payment</t>
  </si>
  <si>
    <t xml:space="preserve"> 1000 bottles Acohol 70% Isopropyl 500 ml</t>
  </si>
  <si>
    <t xml:space="preserve"> Republic of the Philippines CITY OF PANABO Province of Davao del Norte BIDS AND AWARDS COMMITTEE -o0o- INVITATION TO BID  SUPPLY OF 3 TONNER INVERTER AIRCON 1.	The City of Panabo, through LSB/DEP.ED-S.B.#1-CAPITAL OUTLAY 2020 intends to apply the sum of F</t>
  </si>
  <si>
    <t xml:space="preserve"> 1500 lts. Diesel &amp; 4 others</t>
  </si>
  <si>
    <t xml:space="preserve"> Republic of the Philippines CITY OF PANABO Province of Davao del Norte BIDS AND AWARDS COMMITTEE -o0o- INVITATION TO BID  SUPPLY OF MUSICAL INSTRUMENTS 1.	The City of Panabo, through LSB/DEP.ED-TECHNICAL &amp; SCIENTIFIC EQUIPMENT-CAPITAL OUTLAY 2020 intends </t>
  </si>
  <si>
    <t xml:space="preserve"> Invitation for Negotiation for the Supply &amp; Delivery of Teaching  and Learning Materials for Child Development Center 1.	The Municipal Government of Puerto Galera, through the Early Childhood Care and Development Council Grant FY 2020 intends to apply the</t>
  </si>
  <si>
    <t xml:space="preserve"> Mini Dump Truck (Reconditioned) Engine Model: 4hfl,  4 Cylinder,  with Drum Box,  High Side,  Slighty Used Prospective Bidders must have completed a contract similar to the project with the amount of at least 50% of the ABC. Bidding will be conducted thro</t>
  </si>
  <si>
    <t xml:space="preserve"> 32 pcs. Glass (22x46) &amp; 10 others</t>
  </si>
  <si>
    <t xml:space="preserve"> 1 pc. Battery 3SM &amp; others</t>
  </si>
  <si>
    <t xml:space="preserve"> To procure goods for the 10th Cycle Implementation of Supplementary Feeding Program in the Municipality of San Quintin, Pangasinan</t>
  </si>
  <si>
    <t xml:space="preserve"> Invitation to ReBid for the Purchase of Rescue Vehicle 1.	The Municipal Government of Puerto Galera, through the LDRRMO Fund FY 2020 intends to apply the sum of Two Million Three Hundred Sixty Thousand Pesos (Php 2,360,000.00) being the Approved Budget fo</t>
  </si>
  <si>
    <t xml:space="preserve"> Purchase of Office Supplies and Devices for Registrar, Tagamasid, MAPEH &amp; TLE use.</t>
  </si>
  <si>
    <t xml:space="preserve"> See attachment..</t>
  </si>
  <si>
    <t xml:space="preserve"> Five (5) sacks Rice 50kls and Fourteen (14) other line items.</t>
  </si>
  <si>
    <t xml:space="preserve"> 8 pc. CCTV Camera, 2MP High Definition &amp; 13 others</t>
  </si>
  <si>
    <t xml:space="preserve"> 2 roll Fish Net (SH Net) &amp; 22 others</t>
  </si>
  <si>
    <t xml:space="preserve"> Fifty Four (54) ea Printer; Print Scan Copy Printer, Ink Tank &amp; 1 other line item</t>
  </si>
  <si>
    <t xml:space="preserve"> 1 package Preventive Maintenance of Digital X-Ray includes calibration</t>
  </si>
  <si>
    <t xml:space="preserve"> 6000 sachet Lubricant Gel sachet 5 gms (Purified Water USP, Glycerin USP)</t>
  </si>
  <si>
    <t xml:space="preserve"> Republic of the Philippines CITY OF PANABO Province of Davao del Norte BIDS AND AWARDS COMMITTEE -o0o- INVITATION TO BID  SUPPLY OF MEALS &amp; SNACKS 1.	The City of Panabo, through CDRRMC-OTHER MOE-70% CDRRMO FUND -2020 intends to apply the sum of One Hundre</t>
  </si>
  <si>
    <t xml:space="preserve"> 2 sets Office Table with chair (metal) &amp; 16 others</t>
  </si>
  <si>
    <t xml:space="preserve"> Qty. Unit of Issue     Item Description     Estimated Unit Cost    Estimated Total Cost 5 reams Bondpaper Legal 250.00          1,250.00 20 pcs Ball point Pen (blue) 10.00          200.00 3 reams Paper A4 bond paper    230.00         690.00 5 pcs blue sig</t>
  </si>
  <si>
    <t xml:space="preserve"> 1 set Liner-STD &amp; 6 others</t>
  </si>
  <si>
    <t xml:space="preserve"> 24 pieces Disposable Laryngoscope Blade M4 24 pieces Disposable Laryngoscope Blade M2 24 pieces Disposable Laryngoscope Blade M1</t>
  </si>
  <si>
    <t xml:space="preserve"> ITEM DESCRIPTION			QTY.	UNIT	APPROVED BUDGET FOR THE CONTRACT (in Peso)			Compliance with the Technical Specification (please check)		OFFER	 										REMARKS      (Price/Others)	 								YES	NO		 Labor services for the improvement of 			0	 pakyaw 				[  </t>
  </si>
  <si>
    <t xml:space="preserve"> Republic of the Philippines Barangay 786, Zone 86, District V Bids and awards committee INVITATION TO BID Barangay  786, Zone 86, District V, Manila through its bids and awards committee (BAC), invites suppliers to bid the here under project: School  Supp</t>
  </si>
  <si>
    <t xml:space="preserve"> Stock No.    Item Description    QTY.    Unit 1. TIRE 235 70R15, 6 PLY (TOYOTA HILUX VN7250) 4    PCS. 2. TIRE 205 70R15, 6 PLY (TOYOTA HILUX I CARE)  4   PCS. 3. TIRE 15/12/PLY X 750    4  PCS 1. TIRE 205/70R15 6 PLY (TOYOTA HILUX)    4    PCS. 1.TIRE 12</t>
  </si>
  <si>
    <t xml:space="preserve"> To procure goods for the 10th Cycle Implementation of Supplementary  Feeding Program in the Municipality of Sto.Tomas, Pangasinan</t>
  </si>
  <si>
    <t xml:space="preserve"> Republic of the Philippines CITY OF MARIKINA SF-GOOD-05 Revised on: July 28, 2004				 													Mkna-GSO-20-347	 	BIDS AND AWARDS COMMITTEE		 NOTICE OF PROPOSED PROCUREMENT The City Government of Marikina, through its Bids and Awards Committee (BAC), w</t>
  </si>
  <si>
    <t xml:space="preserve"> Two (2) bxs Electric Wire #14, 50 meters/box and Twenty Three (23) others line items</t>
  </si>
  <si>
    <t xml:space="preserve"> Republic of the Philippines CITY OF PANABO Province of Davao del Norte BIDS AND AWARDS COMMITTEE -o0o- INVITATION TO BID  SUPPLY OF MODEM, WIFI (REBID) 1.	The City of Panabo, through LSB/DEP.ED-OTHER SUPPLIES &amp; MATERIALS EXPENSES-MOOE 2020 intends to appl</t>
  </si>
  <si>
    <t xml:space="preserve"> To procure goods for the 10th Cycle Implementation of Supplementary Feeding Program of the Municipality of Sta. Maria, Pangasinan</t>
  </si>
  <si>
    <t xml:space="preserve"> CONSTRUCTION / CONCRETING OF PAVEMENT MULTI-PURPOSE HALL, PHASE 4A, BRGY. KAYPIAN, CITY OF SAN JOSE DEL MONTE, BULACAN</t>
  </si>
  <si>
    <t xml:space="preserve"> 75 boxes IV Cannula G 22 box of 100's 150 pieces Withdrawal Cannula - disposable sterile</t>
  </si>
  <si>
    <t xml:space="preserve"> ITEM	QTY.	UNIT		ARTICLE AND DESCRIPTION				CEILING 					UNIT PRICE		TOTAL  								PRICE							 				Office: Department of Tourism, Culture and Arts of Manila				PR No. 1045							 				Charge to: Capital Outlay - Machinery Equipment				OBR No. 100-2008-068</t>
  </si>
  <si>
    <t xml:space="preserve"> 200 pieces Cover all medical grade</t>
  </si>
  <si>
    <t xml:space="preserve"> 300 boxes Disposable Syringe 10cc with G 21 1/2 needle with precision glide needle 100's 100 boxes Disposable Syringes 20cc with needle 50's 100 boxes Insulin Syringe- G 31x 6 mm (15/64") 100's</t>
  </si>
  <si>
    <t xml:space="preserve"> 1	114	vial	"Influenza Vaccine Vaccine for adults suspension for injection 0.5ml prefilled syringe" 2	290	kit	COVID-19 Antibody Test Kit Technical Specification: Detect immunoglobulin M (IgM) and immunoglobulin G (IgG) antibodies Delivery: DTI - Regional O</t>
  </si>
  <si>
    <t xml:space="preserve"> ITEM	QTY.	UNIT		ARTICLE AND DESCRIPTION				CEILING 					UNIT PRICE		TOTAL  								PRICE							 				Office: Department of Tourism, Culture and Arts of Manila				PR No. 1048							 				Charge to: Other Property, Plant and Equipment				OBR No. 100-2008-0689</t>
  </si>
  <si>
    <t xml:space="preserve"> BIDS AND AWARDS COMMITTEE INVITATION TO BID The DEPARTMENT OF HEALTH – CENTRAL VISAYAS CENTER FOR HEALTH DEVELOPMENT (DOH – CV CHD), through its Bids and Awards Committee (BAC), invites suppliers to bid for the hereunder items: BAC NO. 2020-G06  Re-Biddin</t>
  </si>
  <si>
    <t xml:space="preserve"> Please contact the bac secretariat</t>
  </si>
  <si>
    <t xml:space="preserve"> Republic of the Philippines CITY OF LAPU-LAPU BIDS AND AWARDS COMMITTEE 2nd Invitation to Bid FOR THE PROCUREMENT OF 1 LOT TRAINING PNEUMATIC PACKAGE EQUIPMENT SET The City of Lapu-Lapu through the  CO 3324-1-07-05-140-17s1 intends to apply the sum of One</t>
  </si>
  <si>
    <t xml:space="preserve"> P.R. No. X6-20-07-328 - Supply and Delivery for the operation of Mitsubishi Strada (KFZ-995)-100801. (Please see attached RFQ)</t>
  </si>
  <si>
    <t xml:space="preserve"> P.R. No. X6-20-07-311 - Supply and Delivery for the operation of Nissan Navara (FOI-421)-100101. (Please see attached RFQ)</t>
  </si>
  <si>
    <t xml:space="preserve"> ITEM DESCRIPTION			QTY.	UNIT	APPROVED BUDGET FOR THE CONTRACT (in Peso)			Compliance with the Technical Specification (please check)		OFFER	 										REMARKS      (Price/Others)	 								YES	NO		 Portland Cement 			250	bags				[  ]	[  ]		 Wash Sand 			26</t>
  </si>
  <si>
    <t xml:space="preserve"> To procure goods for the 10th Cycle Implementation Supplementary Feeding Program of the Municipality of San Quintin, Pangasinan</t>
  </si>
  <si>
    <t xml:space="preserve"> Invitation to Bid 1.	The MUNICIPAL GOVERNMENT OF SAN VICENTE, PALAWAN, through the GAD Continuing Fund CY 2018 intends to apply the sum of  ONE MILLION EIGHT HUNDRED THOUSAND PESOS (Php 1,800,000.00) being the Approved Budget for the Contract (ABC) to pay</t>
  </si>
  <si>
    <t xml:space="preserve"> Supply &amp; Delivery of Construction Materials for the Improvement of Multi - Purpose Building (Septic Tank) at San Jose, Municipality of Bongabong, Oriental Mindoro</t>
  </si>
  <si>
    <t xml:space="preserve"> P.R. No. X6-20-07-312 - Supply and Delivery for the operation of Toyota HILUX (ACB-6830)-100810. (Please see attached RFQ)</t>
  </si>
  <si>
    <t xml:space="preserve"> Interested bidders may obtain further information from the City of Balanga and inspect the Bidding Documents at the address given below from 9:00 a.m. to 4:00 p.m. A complete set of Bidding Documents may be acquired by interested Bidders on August 24 to S</t>
  </si>
  <si>
    <t xml:space="preserve"> SEE ATTACHMENT</t>
  </si>
  <si>
    <t xml:space="preserve"> Republic of the Philippines Province of Bohol Municipality of Panglao INVITATION TO BID FOR COMPLETION OF EVACUATION FACILITIES AT BOLOD, PANGLAO, BOHOL 1.	The Municipality of Panglao, Bohol, through the Trust Fund - DILG AM 2019 &amp; LDRRMF intends to apply</t>
  </si>
  <si>
    <t xml:space="preserve"> DepEd, Division of Sorsogon										 Standard Form Number: SF-GOOD-60										 Revised on: May 24, 2004										 REQUEST FOR QUOTATION										 										 						Date:				 						Quotation No.:		20-08-133-_______		 										 										 										 					</t>
  </si>
  <si>
    <t xml:space="preserve"> Purchase of school supplies of Impasugong II District for printing of modules</t>
  </si>
  <si>
    <t xml:space="preserve"> PURCHASE OF OFFICE, OTHER SUPPLIES AND MATERIALS</t>
  </si>
  <si>
    <t xml:space="preserve"> 1 Clearbook long 2 bondpaper long sub 20 3 colored fastener 4 folder long white 5 expanded folder 5 sign pen black 7 sign pen red 8 correction tape 9 bondpaper A4 Sub 20 10 staple wire #35 11 staple wire #10 12 record book  300 pages 13 floor mop 14 stamp</t>
  </si>
  <si>
    <t xml:space="preserve"> CONSTRUCTION OF PAYAGEO PATHWAY, SAGADA FUND SOURCE: 20% PDF 2020 TYPES OF WORK TO BE DONE: Project billboard/ signboard/ removal of structure and obstruction/ structure excavation (common soil)/ concrete pathway/ grouted riprap (class A)/ forms and false</t>
  </si>
  <si>
    <t xml:space="preserve"> Construction/Rehabilitation of health center having an area of 2.50m x 6.00m.</t>
  </si>
  <si>
    <t xml:space="preserve"> FUND SOURCE; 20% PDF 2020 TYPES OF WORK TO BE DONE: Project billboard/ signboard/ occupational safety and health program/ structure excavation (footing excavation)/ reinforcing steel bars (footing, column and anchorage)/ structural concrete (column, beams</t>
  </si>
  <si>
    <t xml:space="preserve"> FUND SOURCE: 20% PDF 2020 TYPES OF WORK TO BE DONE: Project billboard/ signboard/ occupational safety and health program/ removal of actual structures/ obstruction (PCCP reinforced)/ structure excavation</t>
  </si>
  <si>
    <t xml:space="preserve"> 1. EMBANKMENT 2. MASONRY 3. CONCRETING</t>
  </si>
  <si>
    <t xml:space="preserve"> Various Construction and Electrical Materials and Supplies</t>
  </si>
  <si>
    <t xml:space="preserve"> To procure goods for the 10th Cyclec Implementation of  Supplementary Feeding Program of the Municipality of San Nicolas, Pangasinan</t>
  </si>
  <si>
    <t xml:space="preserve"> See attached RFQ</t>
  </si>
  <si>
    <t xml:space="preserve"> Purchase of Various Materials and Supplies for COVID19 The Municipality of Bindoy, through the Municipal Rural Health Unit intends to apply the sum of One Million One Hundred Thirty-Six Thousand Eight Hundred Fifty Pesos (P 1,136,850.00) being the Approve</t>
  </si>
  <si>
    <t xml:space="preserve"> Republic of the Philippines Province of Quezon Municipality of Atimonan	 	 Project Reference No:  2020-08-013 Name of the Project:  PABASA SA NUTRISYON Location of the Project: Barangay Zone III – Poblacion  REQUEST FOR QUOTATION-SHOPPING (Sec. 50 of R.A.</t>
  </si>
  <si>
    <t xml:space="preserve"> replacement of damage water lines</t>
  </si>
  <si>
    <t xml:space="preserve"> Supply and Delivery of Office Supplies</t>
  </si>
  <si>
    <t xml:space="preserve"> See attached rfq</t>
  </si>
  <si>
    <t xml:space="preserve"> 1. CONCRETING WORKS</t>
  </si>
  <si>
    <t xml:space="preserve"> Republic of the Philippines Province of Quezon Municipality of Atimonan	 	 Project Reference No: PR 2020-08-016 Name of the Project: Purchase of Disinfectant Supplies Location of the Project: Barangay Malusak, Atimonan, Quezon REQUEST FOR QUOTATION-SHOPPI</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</si>
  <si>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</si>
  <si>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LED TV</t>
  </si>
  <si>
    <t xml:space="preserve"> P.R. No. X6-20-06-257 - Supply and Delivery for the use in DPWH Region-10 Weighbridge Operation. (Please see attached RFQ)</t>
  </si>
  <si>
    <t xml:space="preserve"> VARIOUS MEDICINES/VITAMINS</t>
  </si>
  <si>
    <t xml:space="preserve"> Backfilling and Concreting including Repair of Drainage System of Area Between Bakery and FPC Scope of Works I. GENERAL REQUIREMENTS AND SITE WORKS					 	Mobilization/ Demobilization - 1.00 lot  	Occupational Safety and Health-  1.00 lumpsum  	Clearing an</t>
  </si>
  <si>
    <t xml:space="preserve"> Office Supply</t>
  </si>
  <si>
    <t xml:space="preserve"> 1.00 UNIT SPECIAL ITEM 36.00 UNIT EARTHWORKS 5.00 CU.M. GRAVEL BEDDING 7.00 CU.M. CONCRETE WORKS 996.23 SQ.M. REINFORCEMENT WORKS 6.25 SQ.M. FORM WORKS 268.08 SQ.M. MASONRY</t>
  </si>
  <si>
    <t xml:space="preserve"> DepEd, Division of Sorsogon										 Standard Form Number: SF-GOOD-60										 Revised on: May 24, 2004										 REQUEST FOR QUOTATION										 										 						Date:				 						Quotation No.:		20-08-129-_______		 										 										 										 					</t>
  </si>
  <si>
    <t xml:space="preserve"> Installation of Reinforced Concrete Pipe Culvert The Municipality of Bindoy, through the Capital Outlay of MCR CY 2020 intends to apply the sum of Two Hundred Ninety Thousand Six Hundred Ten Pesos (P 290,610.00) being the Approved Budget for the Contract </t>
  </si>
  <si>
    <t xml:space="preserve"> ITEM DESCRIPTION			QTY.	UNIT	APPROVED BUDGET FOR THE CONTRACT (in Peso)			Compliance with the Technical Specification (please check)		OFFER	 										REMARKS      (Price/Others)	 								YES	NO		 Labor services for the improvement 								[  ]	[  ]		 of </t>
  </si>
  <si>
    <t xml:space="preserve"> Supply and Delivery of Meals and Snacks Breakfast A.M. Snack Lunch P.M. Snack Dinner</t>
  </si>
  <si>
    <t xml:space="preserve"> The LOCAL BARANGAY GOVERNMENT UNIT of Barangay Buquig, intends to apply the sum above-stated being the Approved Budget for the Contract (ABC) to payments under the contract for FABRICATION OF CANAL STEEL GRATING, specified hereunder: MATERIALS COST: 85,67</t>
  </si>
  <si>
    <t xml:space="preserve"> Please refer to the attached Request for Quotation. Thank you.</t>
  </si>
  <si>
    <t xml:space="preserve"> REHABILITATION OF CANAL AT LUMANG KALYE</t>
  </si>
  <si>
    <t xml:space="preserve"> CONSTRUCTION OF MADUNGO WAITING SHED, SAGADA FUND SOURCE: 20% PDF 2020 TYPES OF WORK TO BE DONE: Project billboard/ signboard/ occupational safety and health program/ structure excavation/ forms and falseworks/ reinforcing steel bars/ structural concrete/</t>
  </si>
  <si>
    <t xml:space="preserve"> REPAIR AND MAINTENANCE OF MACHINERY &amp; EQUIPMENT (CCTV) KAYPIANWIDE, BRGY. KAYPIAN, CITY OF SAN JOSE DEL MONTE, BULACAN</t>
  </si>
  <si>
    <t xml:space="preserve"> School Head: Charito C. Perez Contact Number: 09237444053</t>
  </si>
  <si>
    <t xml:space="preserve"> INVITATION TO APPLY FOR ELIGIBILITY AND TO BID THE LOCAL GOVERNMENT UNIT OF KALAWIT, ZAMBOANGA DEL NORTE, through its Bids and Awards Committee (BAC), invites suppliers/manufacturers/distributors to bid for the hereunder project: NAME OF PROJECTS			:SUPPL</t>
  </si>
  <si>
    <t xml:space="preserve"> 5	UNIT	Laptop (Operation Software: Win10 Professional Licensed 64-bit / Processor: At most 2.1 GHz, 3MB Cache / Memory: At most 8GB-DDR / Memory Slots: Two (2) SODIMM slots supporting dual channel memory / Hard Disk Drive: At most 1TB / Optical Drives: DV</t>
  </si>
  <si>
    <t xml:space="preserve"> Concreting of Farm-to-Market Road Project The Municipality of Bindoy, through the Capital Outlay of MCR CY 2020 intends to apply the sum of Two Hundred Twenty Eight Thousand Seven Hundred Ninety Pesos              (P 228,790.00) being the Approved Budget </t>
  </si>
  <si>
    <t xml:space="preserve"> ITEM DESCRIPTION			QTY.	UNIT	APPROVED BUDGET FOR THE CONTRACT (in Peso)			Compliance with the Technical Specification (please check)		OFFER	 										REMARKS      (Price/Others)	 								YES	NO		 GA 22 x 10 Corrugated G.I.			99	sheet				[  ]	[  ]		 Umbre</t>
  </si>
  <si>
    <t xml:space="preserve"> INSTALLATION OF SOLAR STREET LIGHTS Brgy. Cabusay, Labo, Camarines Norte PhP 153,091.00 Description:  Installation of 7 units 90Watts Solar Street Lights Nature of works 1. Excavation 2. Installation and Erection of Post</t>
  </si>
  <si>
    <t xml:space="preserve"> Republic of the Philippines							 PROVINCE OF ZAMBOANGA SIBUGAY							 Municipality of Talusan							 -7012-							 OFFICE OF THE BAC CHAIRMAN							 							 INVITATION TO BID							 							 NOTICE TO THE PUBLIC:							 							 	Notice is hereby served t</t>
  </si>
  <si>
    <t xml:space="preserve"> Bond Paper A4 substance 20</t>
  </si>
  <si>
    <t xml:space="preserve"> Republic of the Philippines PROVINCE OF ZAMBALES IBA BIDS AND AWARDS COMMITTEE Invitation to Bid for Construction of Front Fence of Provincial Agriculture Office 1.	The Province of Zambales, through the General Fund of CY-2020 intends to apply the sum of </t>
  </si>
  <si>
    <t xml:space="preserve"> Rehabilitation of Municipal Buildings (Phase I) The Municipality of Bindoy, through the Capital Outlay of MCR CY 2020 intends to apply the sum of Two Hundred Fifty Four Thousand Nine Hundred Sixty Pesos (P 254,960.00) being the Approved Budget for the Con</t>
  </si>
  <si>
    <t xml:space="preserve"> School Head: Ronald Ingal Contact Number: 09338199102 (San Luis ES) - San Luis District</t>
  </si>
  <si>
    <t xml:space="preserve"> School Head: Jendellson G. Tayag Contact Number: 09338680739 (Eliseo Belen ES) - Bacolor North District</t>
  </si>
  <si>
    <t xml:space="preserve"> School Head: Ma. Corazon Santos Contact Number: 09176549408 (San Isidro ES) - Magalang North District</t>
  </si>
  <si>
    <t xml:space="preserve"> School Head: Ramon S. Viray Contact Number: 09338172428 Printing of Modules (San Isidro Resettlement ES)</t>
  </si>
  <si>
    <t xml:space="preserve"> School Head: Dinna P. Garcia Contact Number: 09338147643 (Fausto ES) - Apalit District</t>
  </si>
  <si>
    <t xml:space="preserve"> School Head: Josephine V. Isip Contact Number: 09338206583</t>
  </si>
  <si>
    <t xml:space="preserve"> 1 LOT Diesel Fuel for Service Vehicles at the GSIS Central Office Motor Pool -In accordance with the Technical Specifications ABC: Php 950,000.00 NOTE: Please sign all pages of the Technical Specifications and submit it together with your quotation in a S</t>
  </si>
  <si>
    <t xml:space="preserve"> 1	unit	Xerox Machine- Laser  Electronic img. Trans./ high Definition/up to 21cpm/up to 7.8cpm; WT15 sec. 600x600 dpi A5 to a3: reso: GDI 600x 600 dpi 1	pc	Develop Drum 1	pc	Developer 1	pc	Fusing Unit 1	pc	Assy Imaging Unit Assy 1	pc	Transfer Roller 		 1	u</t>
  </si>
  <si>
    <t xml:space="preserve"> 3	SETS	Workstation 1-45mm Thick Partition, Top panel 300 Hmm glass with Frame, Mid Panel 150Hmm MFC, Lower Panel 750Hmm MFC, Aluminum Trims, Dimension : 1200H x 1400Wmm (T45P120140GMFC) @6 pieces; 2 Way connector post, 1200Hmm @3pcs.; End Trim 1200Hmm @ 6</t>
  </si>
  <si>
    <t xml:space="preserve"> Republic of the Philippines PROVINCE OF ZAMBALES IBA BIDS AND AWARDS COMMITTEE Invitation to Bid for the Concreting of FMR from Sta. Rita Proper to Sitio Hamat, Brgy. Sta. Rita and Sitio Matalvis, Brgy. Inhobol; Masinloc 1.	The Province of Zambales, throu</t>
  </si>
  <si>
    <t xml:space="preserve"> Invitation to Re-Bid All prospective bidders are invited to bid on the above items. The Municipality of Boac reserves the right to accept or reject any bid, to annul the bidding process, and to reject all bids at any time prior to contract award, without </t>
  </si>
  <si>
    <t xml:space="preserve"> 142	box	Instant Noodles (72 pcs per box) 104	box	Sardines (100 pcs per box) 104	box	Corned Beef (100 pcs per box) 215	box	Canned Tuna (48 pcs per box)</t>
  </si>
  <si>
    <t xml:space="preserve"> 17	PCS.	MARINE PLYWOOD, 3/4" 10	PCS.	MARINE PLYWOOD, 1/4" 20	PCS.	EXPANSION BOLT, 3/8" 3	PCS.	CONCRETE DRILL BIT, 3/8" 2	PCS.	WOOD DRILL BIT, 3/8" 5	PCS.	FINISHING NAIL, 1" 5	KGS	FINISHINF NAIL, 11/2" 5	KGS	FINISHING NAIL, 2" 4	LITERS	STICKWELL 3	LITERS	E</t>
  </si>
  <si>
    <t xml:space="preserve"> Improvement of Emergency Operation Center The Municipality of Bindoy, through the Capital Outlay of MCR CY 2020 intends to apply the sum of Two Hundred Fourteen Thousand Four Hundred Fifty Pesos (P 214,450.00) being the Approved Budget for the Contract (A</t>
  </si>
  <si>
    <t xml:space="preserve"> 1	pc	Clutch Booster 1	pc	Clutch Master 1	set	Brake Shoe Rear 8	pcs	Rear L/R wheel cap 3	ltrs	Brake fluid 2	pcs	Rear L/R wheel Oil Seal Inn. 2	pcs	Rear L/R wheel Oil Seal out. 8	pcs	Rear L?R wheel Cap 2	pcs	Rear L?R wheel Oil Seal 5	cans	Grease 1	seat	Fron</t>
  </si>
  <si>
    <t xml:space="preserve"> 2500	pcs	Drifit Long Sleeved Shirt with Print</t>
  </si>
  <si>
    <t xml:space="preserve"> solar street lights materials and installation</t>
  </si>
  <si>
    <t xml:space="preserve"> various construction materials and supplies</t>
  </si>
  <si>
    <t xml:space="preserve"> To conduct free flu vaccination for constituents of barangay Ligtong III.</t>
  </si>
  <si>
    <t xml:space="preserve"> various office supplies and consumables</t>
  </si>
  <si>
    <t xml:space="preserve"> Rehabilitation of Municipal Buildings (Phase V) The Municipality of Bindoy, through the Capital Outlay of MTO CY 2020 intends to apply the sum of Two Hundred Ninety Thousand Three Hundred Pesos (P 290,300.00) being the Approved Budget for the Contract (AB</t>
  </si>
  <si>
    <t xml:space="preserve"> 1	unit	Motorcycle with customized sidecar patrol (Engine type: Single Cylinder, 4 stroke, atleast 170cc , power: kw(hp) @ 4,500RPM, Transmission: Manual 4 speeds, Brakes front and rear: Dual Disk Brakes 300/230MM with disengageable ABS) ( Sidecar: With de</t>
  </si>
  <si>
    <t xml:space="preserve"> Proposed construction of concrete perimeter fence of the community center</t>
  </si>
  <si>
    <t xml:space="preserve"> SEE ATTACHED</t>
  </si>
  <si>
    <t xml:space="preserve"> P.R. No. X7-20-08-350 - Supply and Delivery for the use in Planning and Design Division. (Please see attached RFQ)</t>
  </si>
  <si>
    <t xml:space="preserve"> UNIT                            QUANTITY                    DESCRIPTION REAMS                            200                           A4 Bond Paper BOTTLES                           10                           Toner Refill PIECES                        </t>
  </si>
  <si>
    <t xml:space="preserve"> Rehabilitation of Municipal Buildings (Phase IV) The Municipality of Bindoy, through the Capital Outlay of MTO CY 2020 intends to apply the sum of Two Hundred Fifty Seven Thousand Eight Hundred Ninety Five Pesos           (P 257,895.00) being the Approved</t>
  </si>
  <si>
    <t xml:space="preserve"> a. CONTRACT ID: RIZAL-15SEPTEMBER2020-9 b. NAME OF PROJECT: Improvement &amp; Repainting of Ynares Multi-Purpose Covered Court at Brgy. Lambac, Cardona, Rizal a)  Improvement  of Ynares Multi-Purpose Covered Court at Brgy. Lambac b) Repainting   of Ynares Mul</t>
  </si>
  <si>
    <t xml:space="preserve"> a. CONTRACT ID: RIZAL-15SEPTEMBER2020-7 b. NAME OF PROJECT: Repair/Repainting of 1-storey, 5-rooms Ynares School Bldg., Construction of Riprap &amp; Canal of Ynares Multi-Purpose Covered Court at Tuna Balibago National High School (Lambac Annex), Brgy. Lambac</t>
  </si>
  <si>
    <t xml:space="preserve"> a. CONTRACT ID: RIZAL-15SEPTEMBER2020-10 b. NAME OF PROJECT: Construction of Multi-Purpose Provincial DRRM Center at Brgy. San Roque, Cardona, Rizal c. LOCATION: Brgy. San Roque, Cardona, Rizal d. BRIEF DESCRIPTION: Construction of Multi-Purpose Provincia</t>
  </si>
  <si>
    <t xml:space="preserve"> ITEM DESCRIPTION			QTY.	UNIT	APPROVED BUDGET FOR THE CONTRACT (in Peso)			Compliance with the Technical Specification (please check)		OFFER	 										REMARKS      (Price/Others)	 								YES	NO		 Portland Cement 			155	bags				[  ]	[  ]		 Wash Sand 			16</t>
  </si>
  <si>
    <t xml:space="preserve"> a. CONTRACT ID: RIZAL-15SEPTEMBER2020-8 b. NAME OF PROJECT: Construction/Provision of Wash Facilities (Water, Sanitation &amp; Hygiene) for Evacuation Center at Looc Elem. School, Cardona, Rizal c. LOCATION: Cardona, Rizal  d. BRIEF DESCRIPTION: Wash Faciliti</t>
  </si>
  <si>
    <t xml:space="preserve"> a. CONTRACT ID: RIZAL-15SEPTEMBER2020-6 b. NAME OF PROJECT: Construction of School Fence with Gate at Arinda Elem. School, Brgy. San Juan, Cainta, Rizal c. LOCATION: Brgy. San Juan, Cainta, Rizal  d. BRIEF DESCRIPTION: Construction of School Fence with Ga</t>
  </si>
  <si>
    <t xml:space="preserve"> REQUEST FOR QUOTATION (RFQ) The National Housing Authority (NHA), through its Regional Office Bids and Awards Committee (ROBAC), intends to procure toner (for photocopier machine) which will be undertaken in accordance with Section 52.1(b) of the 2016 Rev</t>
  </si>
  <si>
    <t xml:space="preserve"> REQUEST FOR QUOTATION (RFQ) The National Housing Authority (NHA), through its Regional Office Bids and Awards Committee (ROBAC), intends to procure janitorial supplies which will be undertaken in accordance with Section 52.1(b) of the 2016 Revised Impleme</t>
  </si>
  <si>
    <t xml:space="preserve"> a. CONTRACT ID: RIZAL-15SEPTEMBER2020-4 b. NAME OF PROJECT: Construction of Daycare Center &amp; Health Center at Brgy. Macamot, Binangonan, Rizal c. LOCATION: Brgy. Macamot, Binangonan, Rizal  d. BRIEF DESCRIPTION: Construction of Multi-Purpose Building. e. </t>
  </si>
  <si>
    <t xml:space="preserve"> a. CONTRACT ID: RIZAL-15SEPTEMBER2020-1 b. NAME OF PROJECT: Construction/Provision of Wash Facilities (Water, Sanitation &amp; Hygiene) for Evacuation Center at Victoriaville Homes Sitio Upper Lucban, Antipolo,City c. LOCATION: Antipolo,City d. BRIEF DESCRIPT</t>
  </si>
  <si>
    <t xml:space="preserve"> a. CONTRACT ID: RIZAL-15SEPTEMBER2020-2 b. NAME OF PROJECT: Construction of 2-storey Multi-Purpose Bldg. at Vermont Royale Executive Village, Brgy. Mayamot, Antipolo City c. LOCATION: Brgy. Mayamot, Antipolo City d. BRIEF DESCRIPTION: Construction of Mult</t>
  </si>
  <si>
    <t xml:space="preserve"> a. CONTRACT ID: RIZAL-15SEPTEMBER2020-27 b. NAME OF PROJECT: Improvement of Ynares Multi-Purpose Covered Court &amp; Construction of Welcome Arc at Brgy. San Jose &amp; Brgy. San Isidro, Rodriguez, Rizal a)  Improvement of Ynares Multi-Purpose Covered Court at Ka</t>
  </si>
  <si>
    <t xml:space="preserve"> REQUEST FOR QUOTATION (RFQ) The National Housing Authority (NHA), through its Regional Office Bids and Awards Committee (ROBAC), intends to procure computer supplies and consumables which will be undertaken in accordance with Section 52.1(b) of the 2016 R</t>
  </si>
  <si>
    <t xml:space="preserve"> a. CONTRACT ID: RIZAL-15SEPTEMBER2020-3 b. NAME OF PROJECT: Construction/Provision of Wash Facilities (Water, Sanitation &amp; Hygiene) for Evacuation Center at Meralco 4th Home Village, Binangonan, Rizal c. LOCATION: Binangonan, Rizal d. BRIEF DESCRIPTION: W</t>
  </si>
  <si>
    <t xml:space="preserve"> a. CONTRACT ID: RIZAL-15SEPTEMBER2020-25 b. NAME OF PROJECT: Improvement/ Rehabilitation of Electrical Lighting System of Ynares Multi-Purpose Covered Court at Brgy. Macabud &amp; Brgy. Mascap, Rodriguez, Rizal a)  Improvement of Ynares Multi-Purpose Covered </t>
  </si>
  <si>
    <t xml:space="preserve"> solar street lights materials with installation</t>
  </si>
  <si>
    <t xml:space="preserve"> a. CONTRACT ID: RIZAL-15SEPTEMBER2020-24 b. NAME OF PROJECT: Construction of Ynares Stage at Congressville Subd., Brgy. Manggahan, Rodriguez, Rizal c. LOCATION: Brgy. Manggahan, Rodriguez, Rizal d. BRIEF DESCRIPTION: Construction of Ynares Stage. e. MAJOR</t>
  </si>
  <si>
    <t xml:space="preserve"> a. CONTRACT ID: RIZAL-15SEPTEMBER2020-26 b. NAME OF PROJECT: Improvement of Ynares Multi-Purpose Covered Court &amp; Construction of Fence at Eastwood Residences, Phase 8/8A, Brgy. San Isidro, Rodriguez, Rizal c. LOCATION: Brgy. San Isidro, Rodriguez, Rizal d</t>
  </si>
  <si>
    <t xml:space="preserve"> a. CONTRACT ID: RIZAL-15SEPTEMBER2020-20 b. NAME OF PROJECT: Construction/Provision of Wash Facilities (Water, Sanitation &amp; Hygiene) for Evacuation Center at Eastwood Greenview Phase 3B, Rodriguez, Rizal c. LOCATION: Rodriguez, Rizal  d. BRIEF DESCRIPTION</t>
  </si>
  <si>
    <t xml:space="preserve"> 5	box	edta 10	10	red top 5	box	microtubes 20	strip	meditest urine strip 10	bx	bluetips 4	bxs	Dymind Lyse 1 4	bxs	Dymind Lyse 2 4	bxs	Dymind Lyse 3 4	bxs	Dymind Diluent 3	kit	Glucose 3	kit	cholesterol 2	kit	Triglyceri 6	kit	HDL 2	kit	Blood uric acid 1	kit	</t>
  </si>
  <si>
    <t xml:space="preserve"> a. CONTRACT ID: RIZAL-15SEPTEMBER2020-19 b. NAME OF PROJECT: Construction/Provision of Wash Facilities (Water, Sanitation &amp; Hygiene) for Evacuation Center at Southville 8B  National  High  School,  Rodriguez,  Rizal c. LOCATION: Rodriguez, Rizal d. BRIEF </t>
  </si>
  <si>
    <t xml:space="preserve"> Republic of the Philippines CITY GOVERNMENT OF SAN FERNANDO Barangay Madayegdeg Email: brgy_madayegdeg_csf@yahoo.com INVITATION TO BID FOR  Construction of Communal Toilet Barangay Madayegdeg, City of San Fernando 1.	The Barangay Madayegdeg, through the B</t>
  </si>
  <si>
    <t xml:space="preserve"> ITEM DESCRIPTION			QTY.	UNIT	APPROVED BUDGET FOR THE CONTRACT (in Peso)			Compliance with the Technical Specification (please check)		OFFER	 										REMARKS      (Price/Others)	 								YES	NO		 Labor services for the extension of 			0	pakyaw				[  ]	[ </t>
  </si>
  <si>
    <t xml:space="preserve"> a. CONTRACT ID: RIZAL-15SEPTEMBER2020-17 b. NAME OF PROJECT: Repair/Repainting/Improvement of Ynares Multi-Purpose Building &amp; School Mini Playground at Brgy. Niogan &amp; Brgy. Quisao, Pililla, Rizal a)  Repair/Repainting of Ynares Multi-Purpose Building at B</t>
  </si>
  <si>
    <t xml:space="preserve"> a. CONTRACT ID: RIZAL-15SEPTEMBER2020-15 b. NAME OF PROJECT: Construction of Multi-Purpose Provincial DRRM Center at Brgy. San Pedro, Morong, Rizal c. LOCATION: Brgy. San Pedro, Morong, Rizal d. BRIEF DESCRIPTION: Construction of Multi-Purpose Provincial </t>
  </si>
  <si>
    <t xml:space="preserve"> a. CONTRACT ID: RIZAL-15SEPTEMBER2020-21 b. NAME OF PROJECT: Construction of 15x30m Ynares Multi-Purpose Covered Court (Rafter Type) at Villa Ana Maria Subd., Brgy. San Jose, Rodriguez, Rizal c. LOCATION: Brgy. San Jose, Rodriguez, Rizal d. BRIEF DESCRIPT</t>
  </si>
  <si>
    <t xml:space="preserve"> a. CONTRACT ID: RIZAL-15SEPTEMBER2020-14 b. NAME OF PROJECT: Construction of Perimeter Fence of Barangay Hall Compound a Sitio Tabing Ilog, Brgy. San Guillermo, Morong, Rizal c. LOCATION: Brgy. San Guillermo, Morong, Rizal d. BRIEF DESCRIPTION: Constructi</t>
  </si>
  <si>
    <t xml:space="preserve"> Republic of the Philippines Department of Health Western Visayas Center for Health Development  INVITATION TO BID FOR  Production/Reproduction of Travelling Bag, Shirts, &amp; Travel Vest IB No. 2020-062 1.	The Department of Health- Western Visayas Center for</t>
  </si>
  <si>
    <t xml:space="preserve"> a. CONTRACT ID: RIZAL-15SEPTEMBER2020-18 b. NAME OF PROJECT: Construction/Provision of Wash Facilities (Water, Sanitation &amp; Hygiene) for Evacuation Center at Geronimo Elem. School, Rodriguez, Rizal c. LOCATION: Rodriguez, Rizal d. BRIEF DESCRIPTION: Wash </t>
  </si>
  <si>
    <t xml:space="preserve"> Republic of the Philippines Department of Health Western Visayas Center for Health Development  INVITATION TO BID FOR  Radio Plugging IB NO.2020-061 1.	The Department of Health- Western Visayas Center for Health Development, through the GOP/Sub-Allotment </t>
  </si>
  <si>
    <t xml:space="preserve"> Republic of the Philippines Department of Health Western Visayas Center for Health Development  INVITATION TO BID FOR  Provision of Snellen Chart IB No. 2020-060 1.	The Department of Health- Western Visayas Center for Health Development, through the GOP/S</t>
  </si>
  <si>
    <t xml:space="preserve"> Republic of the Philippines Department of Health Western Visayas Center for Health Development  INVITATION TO BID FOR  Radio Plugging IB NO.2020-058 1.	The Department of Health- Western Visayas Center for Health Development, through the GOP/Sub-Allotment </t>
  </si>
  <si>
    <t xml:space="preserve"> Republic of the Philippines Department of Health Western Visayas Center for Health Development  INVITATION TO BID FOR  Procurement of Dental Kits IB No. 2020-057 1.	The Department of Health- Western Visayas Center for Health Development, through the GOP/S</t>
  </si>
  <si>
    <t xml:space="preserve"> a. CONTRACT ID: RIZAL-15SEPTEMBER2020-16 b. NAME OF PROJECT: Construction/Provision of Wash Facilities (Water, Sanitation &amp; Hygiene) for Evacuation Center at Bugarin Elem. School, Pililla, Rizal c. LOCATION: Pililla, Rizal d. BRIEF DESCRIPTION: Wash Facil</t>
  </si>
  <si>
    <t xml:space="preserve"> a. CONTRACT ID: RIZAL-15SEPTEMBER2020-22 b. NAME OF PROJECT: Construction of 2-storey Ynares Multi-Purpose Bldg. at Kasiglahan Village (Phase 1A), Brgy. San Jose, Rodriguez, Rizal c. LOCATION: Brgy. San Jose, Rodriguez, Rizal  d. BRIEF DESCRIPTION: Constr</t>
  </si>
  <si>
    <t xml:space="preserve"> 4	pcs	4-Terabyte Hardisk		 2	units	Full H.D. Digital TV 		 2	units	AVTECH AVZ316 16 Channel IP/TVI/HD DVR Recorder		 32	units	HD CCTV 1080P IR Bullet Camera (AVT 1205)		 45	bxs	RG - 6 Coaxial Cable		 3	pcs	Fiber Media Converter 8 Channels		 32	pcs	2 Amps </t>
  </si>
  <si>
    <t xml:space="preserve"> Republic of the Philippines Department of Health Western Visayas Center for Health Development  INVITATION TO BID FOR  Procurement of Family Packs and Jerry Cans IB No. 2020-056 1.	The Department of Health- Western Visayas Center for Health Development, t</t>
  </si>
  <si>
    <t xml:space="preserve"> Republic of the Philippines Department of Health Western Visayas Center for Health Development  INVITATION TO BID FOR  Purchase of IT Consumable IB No. 2020-055 1.	The Department of Health-Western Visayas Center for Health Development through the GOP/Sub-</t>
  </si>
  <si>
    <t xml:space="preserve"> Republic of the Philippines Department of Health Western Visayas Center for Health Development  INVITATION TO BID FOR  TV Plugging IB NO.2020-047 1.	The Department of Health- Western Visayas Center for Health Development, through the GOP/Sub-Allotment Fun</t>
  </si>
  <si>
    <t xml:space="preserve"> Republic of the Philippines Department of Health Western Visayas Center for Health Development  INVITATION TO BID FOR  Rebidding for Purchase of IT Software IB NO.2020-046 1.	The Department of Health-Western Visayas Center for Health Development through t</t>
  </si>
  <si>
    <t xml:space="preserve"> Office Supplies and Consumables--- 97.866.00</t>
  </si>
  <si>
    <t xml:space="preserve"> Republic of the Philippines Department of Health Western Visayas Center for Health Development  INVITATION TO BID FOR  Purchase of Power Generating Set IB NO.2020-059 1.	The Department of Health-Western VisayasCenter for Health Developmentthrough the GOP/</t>
  </si>
  <si>
    <t xml:space="preserve"> Republic of the Philippines Department of Health Western Visayas Center for Health Development  INVITATION TO BID FOR  Rebidding for Procurement of Emergency Newborn Kits IB No. 2020-054 1.	The Department of Health- Western Visayas Center for Health Devel</t>
  </si>
  <si>
    <t xml:space="preserve"> Republic of the Philippines PROVINCE OF QUIRINO Municipality of Cabarroguis LOCAL GOVERNMENT UNIT OF CABARROGUIS Cabarroguis, Quirino -o0o- INVITATION FOR SMALL VALUE PROCUREMENT The Local Government Unit through its Bids and Awards Committee (BAC) invite</t>
  </si>
  <si>
    <t xml:space="preserve"> a. CONTRACT ID: RIZAL-15SEPTEMBER2020-23 b. NAME OF PROJECT: Improvement of Ynares Multi-Purpose Covered Court at Manggahan Elem. School, Brgy. Manggahan, Rodriguez, Rizal c. LOCATION: Brgy. Manggahan, Rodriguez, Rizal  d. BRIEF DESCRIPTION: Improvement o</t>
  </si>
  <si>
    <t xml:space="preserve"> a. CONTRACT ID: RIZAL-15SEPTEMBER2020-28 b. NAME OF PROJECT: Improvement of Ynares Multi-Purpose Covered Court &amp; Construction of Comfort Room at Brgy. Sto. Niňo &amp; Brgy. Malanday, San Mateo, Rizal a)  Improvement of Ynares Multi-Purpose Covered Court (Tenn</t>
  </si>
  <si>
    <t xml:space="preserve"> a. CONTRACT ID: RIZAL-15SEPTEMBER2020-5 b. NAME OF PROJECT: Improvement / Construction of Double Box Culvert along Oja Road and Construction of Stone Masonry for Slope Protection (portion) of creek, Brgy. Mahabang Parang, Binangonan, Rizal c. LOCATION: Br</t>
  </si>
  <si>
    <t xml:space="preserve"> a. CONTRACT ID: RIZAL-15SEPTEMBER2020-13 b. NAME OF PROJECT: Construction of Stone Masonry for Slope Protection (portion) of Creek at Purok 6, Brgy. Bayugo, Jalajala, Rizal c. LOCATION: Brgy. Bayugo, Jalajala, Rizal d. BRIEF DESCRIPTION: Slope Protection </t>
  </si>
  <si>
    <t xml:space="preserve"> Republic of the Philippines Department of Health Western Visayas Center for Health Development  INVITATION TO BID FOR  Rebidding for Purchase of IT Supplies, Peripherals and Equipment IB NO.2020-042 1.	The Department of Health-Western VisayasCenter for He</t>
  </si>
  <si>
    <t xml:space="preserve"> PROCUREMENT OF VARIOUS ITEMS FOR STACK EMISSION OF EMB MIMAROPA (2ND POSTING) PLEASE SUBMIT THE FOLLOWING REQUIREMENTS: 1. PHILGEPS REGISTRATION 2. MAYOR'S/BUSINESS PERMIT 3. DTI CERTIFICATION 4. SEC CERTIFICATION OF REGISTRATION</t>
  </si>
  <si>
    <t xml:space="preserve"> Republic of the Philippines Department of Health Western Visayas Center for Health Development  INVITATION TO BID FOR  Rebidding for Procurement of Hygiene Kit and Collapsible Water Drinking Container IB No. 2020-045 1.	The Department of Health- Western V</t>
  </si>
  <si>
    <t xml:space="preserve"> a. CONTRACT ID: RIZAL-15SEPTEMBER2020-29 b. NAME OF PROJECT: Construction of 10x18m Ynares Multi-Purpose Covered Court (Badminton Court) at La Mar Village, Brgy. Guitnang Bayan II, San Mateo, Rizal c. LOCATION: Brgy. Guitnang Bayan II, San Mateo, Rizal  d</t>
  </si>
  <si>
    <t xml:space="preserve"> see associated component</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</si>
  <si>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</si>
  <si>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Republic of the Philippines Department of Health Western Visayas Center for Health Development  INVITATION TO BID FOR  Vehicle Rental in Western Visayas IB No. 2020-043 1.	The Department of Health- Western Visayas Center for Health Development, through th</t>
  </si>
  <si>
    <t xml:space="preserve"> a. CONTRACT ID: RIZAL-15SEPTEMBER2020-11 b. NAME OF PROJECT: Repair of Ynares Multi-Purpose Covered Court, Brgy. Pagkalinawan, Jalajala, Rizal c. LOCATION: Brgy.  Pagkalinawan, Jalajala, Rizal d. BRIEF DESCRIPTION: Repair of Ynares Multi-Purpose Covered C</t>
  </si>
  <si>
    <t xml:space="preserve"> INVITATION TO BID ITB-2020-No. 001 The Barangay Catungan III, Sibalom, Antique through its Bids &amp; Awards Committee (BAC), invites bidders/contractors to apply for eligibility and to bid for the hereunder project. Project				:	IMPROVEMENT OF BARANGAY ACCES</t>
  </si>
  <si>
    <t xml:space="preserve"> Transparent expandable envelope with handle (Green)					120	pc Transparent expandable envelope with handle (Maroon)					150	pc Transparent expandable envelope with handle (Pink)					150	pc Transparent expandable envelope with handle (Blue)					300	pc Prin</t>
  </si>
  <si>
    <t xml:space="preserve"> INVITATION TO BID FOR  SUPPLY OF LIVELIHOOD MATERIALS FOR DRIED/SMOKE FISH PROJECT 1.	The [Local Government Unit of Pasacao], through the [TRUST FUND - FISHCORAL]  intends to apply the sum of [Two Hundred Forty Two Thousand Three Hundred Ninety Nine Pesos</t>
  </si>
  <si>
    <t xml:space="preserve"> a. CONTRACT ID: RIZAL-15SEPTEMBER2020-12 b. NAME OF PROJECT: Construction of Stone Masonry for Slope Protection (portion) of Creek at Purok 5 (Ilog Mingming), Brgy. Bayugo, Jalajala, Rizal c. LOCATION: Brgy. Bayugo, Jalajala, Rizal d. BRIEF DESCRIPTION: S</t>
  </si>
  <si>
    <t xml:space="preserve"> this RFQ id composed of various office supplies such as printer such as tape, printer and paper</t>
  </si>
  <si>
    <t xml:space="preserve"> RFQ -PROCUREMENT OF 3 UNITS MOTORCYCLE  FOR THE SK-3</t>
  </si>
  <si>
    <t xml:space="preserve"> Republic of the Philippines Batangas City Invitation to Apply for Eligibility and to Bid The Barangay Government of Sangguniang Kabataan of Barangay Libjo, Batangas City intends to apply the sum of One Hundred Fifty Thousand Pesos Only (Php 150,000.00) br</t>
  </si>
  <si>
    <t xml:space="preserve"> A.Electrical Supplies amco bpx poly plastic(poly),single switch wide series,PVC molding "1,PVC molding "3/4,outlet wide series,3 way switch wide series,1 gang plate cover wide series,2 gang plate cover wide series,3 gang plate wide series,bulb,LED,15 watt</t>
  </si>
  <si>
    <t xml:space="preserve"> INVITATION TO BID ITB-2020-002 The Barangay Salvacion, Sibalom, Antique through its Bids &amp; Awards Committee (BAC), invites bidders/contractors to apply for eligibility and to bid for the hereunder project. Project				:	IMPROVEMENT OF BARANGAY ACCESS ROAD </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</si>
  <si>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</si>
  <si>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Distribution of Rice to the Household of the Barangay Due to COVID '19 Pandemic</t>
  </si>
  <si>
    <t xml:space="preserve"> pls see associated component</t>
  </si>
  <si>
    <t xml:space="preserve"> INVITATION TO BID The Barangay LEONES EAST , Tubao, La Union through its Bids and  Awards Committee (BAC), invites suppliers/manufacturers/distributors/contractors to apply for elgibility and to bid for the hereunder project: Name of Project:  CONSTRUCTIO</t>
  </si>
  <si>
    <t xml:space="preserve"> 01.  SITE PREPARATION 02.  DEMOLITION 03.  REINFORCED CONCRETE 04.  MASONRY WORK       - CHB Lay-out       - Plastering 05.  KITCHEN COUNTER 06.  DOORS &amp; WINDOWS 07.  PLUMBING WORKS 08.  PAINTING WORKS 09.  CLEANING &amp; GRUBBING 10.  CONSTRUCTION SAFETY</t>
  </si>
  <si>
    <t xml:space="preserve"> PR No.   :					 Approved Budget for Contract (ABC)   :PHP 264,000.00					 QTY	UNIT	ITEM/S DESCRIPTION		UNIT PRICE	TOTAL PRICE 		Vehicle Rent			 3	unit	Van Hire for 15 days			 264,000.00  					 Please submit the following documents:					 Omnibus Sworn Stat</t>
  </si>
  <si>
    <t xml:space="preserve"> Republic of the Philippines Batangas City Invitation to Apply for Eligibility and to Bid The Barangay Government of Barangay Tinga Itaas, Batangas City intends to apply the sum of One Hundred Eleven Thousand Six Hundred Four Pesos Only (Php 111,604.00) br</t>
  </si>
  <si>
    <t xml:space="preserve"> 15 units cleaning &amp; siphoning of portalet</t>
  </si>
  <si>
    <t xml:space="preserve"> 1	unit	panel box 20 hole 1	set	circuit breaker 300 amp mters with inter lock, 3 hole 2	pcs	circuit breaker 100 amp 8	pcs	circuit breaker 60 amp 26	meters	THNN 250 mm 4	pcs	circuit breaker 40 amp 4	pcs	circuit breaker 30 amp 2	pcs	circuit breaker 20 amp 6	</t>
  </si>
  <si>
    <t xml:space="preserve"> Construction of Concrete Fence of Barangay Plaza</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</si>
  <si>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</si>
  <si>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REQUEST FOR QUOTATION (RFQ) The National Housing Authority (NHA), through its Regional Office Bids and Awards Committee (ROBAC), intends to procure office supplies which will be undertaken in accordance with Section 52.1(b) of the 2016 Revised Implementin</t>
  </si>
  <si>
    <t xml:space="preserve"> RFQ - SUPPLY DELIVERY AND INSTALLATION OF 2 UNITS 2HP WINDOW TYPE AIRCON</t>
  </si>
  <si>
    <t xml:space="preserve"> 1. 1 unit  Office aircon unit 2.5hp Split type brand new 2.  2 unit  Office aircon unit 1.5hp split type brand new</t>
  </si>
  <si>
    <t xml:space="preserve"> RFQ -SUPPLY INSTALLATION AND SET UP OF 6 SET 4K UHD TV MONITOR FOR CDRRMO</t>
  </si>
  <si>
    <t xml:space="preserve"> Delivery of  Construction Supplies for School Repair and Maintenance MOOE subsidy of Tumaras Integrated School</t>
  </si>
  <si>
    <t xml:space="preserve"> Republic of the Philippines Province of Antique Municipality of Pandan Barangay PATRIA INVITATION TO BID FOR SUPPLY AND DELIVERY OF VARIOUS MATERIALS FOR THE PROPOSED IMPROVEMENT OF CHILD DEV’T. CENTER AT SITIO DANAO AND SITIO TABAY The LOCAL GOVERNMENT U</t>
  </si>
  <si>
    <t xml:space="preserve"> Please see Associated Components for details</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</si>
  <si>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</si>
  <si>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REQUEST FOR QUOTATION The City Government of Cauayan, Isabela, through its Bids and Awards Committee, will undertake a Small Value Procurement for the “Supply and Delivery of Painting Materials for Main Building Bleachers and Pool Bleachers of Cauayan Cit</t>
  </si>
  <si>
    <t xml:space="preserve"> Bid Number/Project	SUPPLY,  DELIVERY, INSTALLATION, AND COMMISSIONING OF CCTV CAMERAS Location	Palimbang, Sultan Kudarat	ABC	PhP 300,000.00 Description/Particulars	Installation of CCTV Cameras 1.	In view of two (2) failed public biddings, the Municipal Go</t>
  </si>
  <si>
    <t xml:space="preserve"> REQUEST FOR QUOTATION The City Government of Cauayan, Isabela, through its Bids and Awards Committee, will undertake a Small Value Procurement for the “Supply and Delivery of Painting Materials for Main Bleachers Terrace and Pool Bleachers Terrace of Caua</t>
  </si>
  <si>
    <t xml:space="preserve"> Construction of Multi-Purpose Building</t>
  </si>
  <si>
    <t xml:space="preserve"> RFQ - PROCUREMENT OF 2 UNITS MANUAL WINDOW TYPE 2HP AIRCON FOR THE SP SEC. OFFICE</t>
  </si>
  <si>
    <t xml:space="preserve"> Concreting of Pathway (0.10m x 1.50m x 60.0m) @ Sitio Goldbug, Syndicate, Aroroy, Masbate</t>
  </si>
  <si>
    <t xml:space="preserve"> 97 sets 15 watts LED bulb 10 pcs. receptacle 450 meters  #6 duplex wire 50meters 2.0 mm2 THW wire, stranded 3 rolls electrical tape (big)</t>
  </si>
  <si>
    <t xml:space="preserve"> Delivery of School and Office Supplies MOOE subsidy of Tumaras Integrated School</t>
  </si>
  <si>
    <t xml:space="preserve"> Republic of the Philippines Province of Northern Samar MUNICIPALITY OF LOPE DE VEGA -oo0oo- BIDS AND AWARDS COMMITTEE NEGOTIATED PROCUREMENT FOR THE PROCUREMENT OF FLU VACCINE QUADRIVALENT &amp; PREFILLED SYRINGE LGU - LOPE DE VEGA N. SAMAR The Municipality o</t>
  </si>
  <si>
    <t xml:space="preserve"> It includes: Mobilization/Demobilization, Site Preparation, Electrical Works, Concrete Pylon with CHB Wall (Power House &amp; Service Entrance)  and  Billboard.</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</si>
  <si>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</si>
  <si>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450 PACKS OF 5 KILO RICE FOR DISTRIBUTION TO 450 HH</t>
  </si>
  <si>
    <t xml:space="preserve"> REQUEST FOR QUOTATION (RFQ) The National Housing Authority (NHA), through its Regional Office Bids and Awards Committee (ROBAC), intends to procure catering service provider which will be undertaken in accordance with Section 53.9 of the 2016 Revised Impl</t>
  </si>
  <si>
    <t xml:space="preserve"> REQUEST FOR QUOTATION (RFQ) The National Housing Authority (NHA), through its Regional Office Bids and Awards Committee (ROBAC), intends to procure supplies and materials which will be undertaken in accordance with Section 53.9 of the 2016 Revised Impleme</t>
  </si>
  <si>
    <t xml:space="preserve"> Reproduction of the Modules prescribed by the Department of Education to be utilized by the Elementary Learners for the Learning Delivery Modality.</t>
  </si>
  <si>
    <t xml:space="preserve"> Republic of the Philippines Province of Northern Samar MUNICIPALITY OF LOPE DE VEGA Lope De Vega, Northern Samar Invitation to Bid Construction of 3 units Hand Washing Facility Municipal Compound &amp; Barangay Lower Caynaga, Lope De Vega Northern Samar  The </t>
  </si>
  <si>
    <t xml:space="preserve"> Republic of the Philippines Province of Ilocos Norte MUNICIPALITY OF CURRIMAO INVITATION TO BID FOR THE  PURCHASE OF DECORATIVE STREETLIGHTS WITH INSTALLATION 1.	The [MUNICIPALITY OF CURRIMAO], through the 20% Development Fund 2020   intends to apply the </t>
  </si>
  <si>
    <t xml:space="preserve"> INSTALLATION OF STREET LIGHTS</t>
  </si>
  <si>
    <t xml:space="preserve"> ADDITIONAL CCTV</t>
  </si>
  <si>
    <t xml:space="preserve"> DepEd, Division of Sorsogon										 Standard Form Number: SF-GOOD-60										 Revised on: May 24, 2004										 REQUEST FOR QUOTATION										 										 						Date:				 						Quotation No.:		20-08-139-_____		 										 										 										 							</t>
  </si>
  <si>
    <t xml:space="preserve"> RFQ - SUPPLY AND DELIVERY OF CONSTRUCTION MATERIALS FOR THE INSTALLATION OF WOODEN MARKET STALL AT ROMPEOLAS, BAYWALK</t>
  </si>
  <si>
    <t xml:space="preserve"> It includes: Antenna Dish with 24V Modern and 2000 iLNB Set Up and Installation, Testing and Commissioning including all consumables.</t>
  </si>
  <si>
    <t xml:space="preserve"> RFQ -SUPPLY, INSTALLATION AND ACTIVATION OF  CITY WIDE PUBLIC ADDRESS SYSTEM</t>
  </si>
  <si>
    <t xml:space="preserve"> It includes: Various It Equipments</t>
  </si>
  <si>
    <t xml:space="preserve"> It includes: Site Works, Concrete Works, Grouted Riprap Wall and Billboard.</t>
  </si>
  <si>
    <t xml:space="preserve"> Republic of the Philippines Province of Northern Samar MUNICIPALITY OF LOPE DE VEGA Lope De Vega, Northern Samar Invitation to Bid Road Concreting and Open Canal Purok 2, Barangay Pobalcion, Lope De Vega Northern Samar  The Local Government Unit – Lope De</t>
  </si>
  <si>
    <t xml:space="preserve"> It includes: Site Works, Concrete Works and Billboards.</t>
  </si>
  <si>
    <t xml:space="preserve"> FURNISHING AND DELIVERING LABOR AND MATERIALS FOR THE REPAIR OF MULTICAB SERVICE PATROL (ENGINE OVERHAULING, UNDER CHASIS REPAIR, BODY REPAIR, BODY PAINT, ELECTRICAL REPAIR AND UPHOLSTERY)</t>
  </si>
  <si>
    <t xml:space="preserve"> It includes: General Requirements, Site Works, Masonry Works (Plastering), Scaffolding Works, Paint Works, and Billboards.</t>
  </si>
  <si>
    <t xml:space="preserve"> It includes: General Requirements, Site Works, Masonry Works (Plastering), Scaffolding Works, Paint Works and Billboards.</t>
  </si>
  <si>
    <t xml:space="preserve"> It includes: Site Preparation, Concrete Works, Doors &amp; Windows, Floor and Wall Finishes, Electrical Works, Ceiling Works, Plumbing Works, Plumbing Fixtures, Steel &amp; Tinsmithry Works, Installation of Partition HPL in Phenolic Board and Billboard.</t>
  </si>
  <si>
    <t xml:space="preserve"> Office: Gat Andres Bonifacio Memorial Medical Center 			 				Charge to: Other Supplies and Materials Expenses			 				ABC:  Php130,388.50			 							 							 1	1	bottle		All Purpose Contact Cement, 350ml.			 2	3	pouches		All Pupose Grab Adhesive, 100 grams.</t>
  </si>
  <si>
    <t xml:space="preserve"> Office: Gat Andres Bonifacio Memorial Medical Center 			 				Charge to: Other Supplies and Materials Expenses			 				ABC:  Php117,926.00			 							 							 1	40	 mtr. 		Garter, white  1/2"			 2	20	 mtr. 		Garter 1/8"			 3	260	 yds. 		Linen, White, US Cott</t>
  </si>
  <si>
    <t xml:space="preserve"> Office: Office of the Sheriff 			 				Charge to: Capital Outlay- Information &amp; 			 				 	 Communication Technology Equipment 		 				ABC:  Php150,000.00			 							 				Information &amp; Communication 			 1	1	set		Technology Equipment 			 				A. Desktop Compute</t>
  </si>
  <si>
    <t xml:space="preserve"> It includes: Surface Preparation, Painting Works, Steel Works and Roofing Works, Carpentry Works and Plumbing Works, Demountable Steel Scaffoldings with Cat walk and Billboards.</t>
  </si>
  <si>
    <t xml:space="preserve"> It includes: Mobilization/Demobilization, Site Preparation &amp; Earthworks, Reinforced Concrete Works, Masonry Works, (Plastering &amp; Moldings) Steel Works, Paint Works, Electrical Works, Service Entrance Connection &amp; Billboards.</t>
  </si>
  <si>
    <t xml:space="preserve"> It includes: General Requirements, Site Preparation &amp; Earthworks, Reinforced Concrete Works, Masonry Works (Plastering &amp; Moldings), Steel Works, Paint Works, Electrical Works, Service Entrance Connection and Billboards.</t>
  </si>
  <si>
    <t xml:space="preserve"> It includes: Earthworks, Reinforced Concrete Works, Masonry Works, and Billboard.</t>
  </si>
  <si>
    <t xml:space="preserve"> UNIT                 QUANTITY           DESCRIPTION Reams                 128                 Coupon bond A4  Bottles                  37                  Epson Ink Black Bottles                  12                  Epson Ink Magenta Bottles              </t>
  </si>
  <si>
    <t xml:space="preserve"> Office: Gat Andres Bonifacio Memorial Medical Center 			 				Charge to: Other Supplies and Materials Expenses			 				ABC:  Php89,080.00			 							 							 1	13	 pads 		OBR'S Form 5pcs./set,50 sets/pad, carbonized			 2	80	 pcs 		Personnel Qualifications, I</t>
  </si>
  <si>
    <t xml:space="preserve"> The Municipality of Alfonso Lista, Ifugao assumes no responsibility whatsoever to compensate or indemnify bidders for any expenses incurred in the preparation of the Bid. Submit price quotation before the deadline See attached price quotation Source of fu</t>
  </si>
  <si>
    <t xml:space="preserve"> Ream 350 a4 bondpaper Pcs 10 stapler 14 boxes staple wire#35 108 bot  refillabel ink black 60 bot  refillable ink (cym)</t>
  </si>
  <si>
    <t xml:space="preserve"> TERMS AND CONDITIONS: 1. All entries must be typewritten or legibly written. 2. Delivery period within 15 calendar days upon receipt of approved Purchase Order (P.O.) 3. Warranty shall be a minimum of 3 months for expendable supplies and 1 year for Non-ex</t>
  </si>
  <si>
    <t xml:space="preserve"> 2ND BIDDING HARDWARE MATERIALS FOR THE CONSTRUCTION OF RURAL HEALTH CENTER	 Brgy. Lugui, Labo, Camarines Norte	 Materials:	 335	bags	Portland Cement 5	cu.m. Boulder 25	cu.m. Clean Gravel 33	cu.m. Washed Sand 15	cu.m. G.I. Crushed Gravel 20	bots	Nevada Aqu</t>
  </si>
  <si>
    <t xml:space="preserve"> It includes: Excavation Works, Concrete Works, Steel Works, Plumbing Works, and Billboard.</t>
  </si>
  <si>
    <t xml:space="preserve"> To procure goods for the 10th Cycle Implementation of Supplementary Feeding Program of the Municipality of Natividad, Pangasinan</t>
  </si>
  <si>
    <t xml:space="preserve"> Invitation to Bid 								 	August 24, 2020 1.	The Barangay Local Government Unit of Ap-apid through the Bids and Awards Committee advertised an Invitation to bid for the Keb-keb Proper Road Improvement funded under BLDF - 2019 &amp; Capital Outlay 2019 with </t>
  </si>
  <si>
    <t xml:space="preserve"> One Thousand (1000) pcs Hardiflex Screw and Fourteen (14) other line items.</t>
  </si>
  <si>
    <t xml:space="preserve"> Invitation to Bid 									August 24, 2020 	 1.	 The Municipal Government of Tinoc through the Bids and Awards Committee advertised an Invitation to bid for the Procurement of Hardware Materials funded under the AM-2019 with an Approved Budget for the Con</t>
  </si>
  <si>
    <t xml:space="preserve"> Invitation to Bid 								 	August 24, 2020 1.	The Barangay Local Government Unit of Danggo through the Bids and Awards Committee advertised an Invitation to bid for the Package 01: Buning Foot Bridge Rehab., B. Spring Box Rehab. Hadungol funded under 20%</t>
  </si>
  <si>
    <t xml:space="preserve"> see attached</t>
  </si>
  <si>
    <t xml:space="preserve"> Repair/ Rehabilitation of Barangay Hall</t>
  </si>
  <si>
    <t xml:space="preserve"> Invitation to Bid 								 	August 24, 2020 1.	The Barangay Local Government Unit of Danggo through the Bids and Awards Committee advertised an Invitation to bid for the Bagaen Bridge Construction funded under 20% BLDF-2018 with an Approved Budget for the</t>
  </si>
  <si>
    <t xml:space="preserve"> Supplemental MOOE for 2nd Quarter</t>
  </si>
  <si>
    <t xml:space="preserve"> It includes: Site Works, Concrete Works, and Billboard.</t>
  </si>
  <si>
    <t xml:space="preserve"> Purchase of foodpacks during Community Quarantine</t>
  </si>
  <si>
    <t xml:space="preserve"> Invitation to Bid 								 	August 24, 2020 1.	The Barangay Local Government Unit of Danggo through the Bids and Awards Committee advertised an Invitation to bid for the Package 02: Guinao Foot Bridge Construction, B. Tanod Outpost funded under 20% BLDF –</t>
  </si>
  <si>
    <t xml:space="preserve"> 2 sets of supply &amp; inst of solar   flashing yellow light, 2 units slow down pedestrian crossing 2 units children/children  crossing supply and application of thermoplastic,  white, supply and application of thermoplastic yellow (for front and back of elem</t>
  </si>
  <si>
    <t xml:space="preserve"> REQUEST FOR QUOTATION The National Meat Inspection Service (NMIS) through the Bids and Awards Committee (BAC) is inviting interested parties to submit proposal/quotation for the here under project: Name of Project:    	Preventive Maintenance and Operation</t>
  </si>
  <si>
    <t xml:space="preserve"> REQUEST FOR QUOTATION The National Meat Inspection Service (NMIS) through the Bids and Awards Committee (BAC) is inviting interested parties to submit proposal/quotation for the here under project: Name of Project:    	Supply, Printing, Lay - Outing and D</t>
  </si>
  <si>
    <t xml:space="preserve"> see attached POW</t>
  </si>
  <si>
    <t xml:space="preserve"> coupon bond , folders, envelope ], ballpens, ink for computer, other related supplies</t>
  </si>
  <si>
    <t xml:space="preserve"> Office: Parks Development Office			 				Charge to: Other Supplies &amp; Material Expenses			 				ABC:  Php399,760.00			 						 1	2	units		Battery, 3SN			 2	2	units		Battery, 4SN			 3	4	units		Tire, 10.00 X 20			 4	2	units		Alternator assembly			 5	4	units		Ti</t>
  </si>
  <si>
    <t xml:space="preserve"> drug test kit</t>
  </si>
  <si>
    <t xml:space="preserve"> 2 units Photocopier</t>
  </si>
  <si>
    <t xml:space="preserve"> Invitation to Bid FOR THE UPLB-I-026-09-20 SUPPLY, DELIVERY, AND INSTALLATION OF AIRCONDITIONING UNITS FOR CVM 1.	The UNIVERSITY OF THE PHILIPPINES LOS BAÑOS (UPLB), through the GOP (RCC: LB02020001  FC: 825018) intends to apply the sum of TWO HUNDRED FIF</t>
  </si>
  <si>
    <t xml:space="preserve"> 150 kit Dialysis Kit &amp; 7 others</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</si>
  <si>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</si>
  <si>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various item</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</si>
  <si>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</si>
  <si>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It includes: Site Preparation, Masonry Works, Concrete Works, Steel Gratings, and billboard.</t>
  </si>
  <si>
    <t xml:space="preserve"> PRINTING OF STUDENT’S MODULES. G7 - G12</t>
  </si>
  <si>
    <t xml:space="preserve"> Name of the Procuring Entity LOCAL GOVERNMENT UNIT  Mahinog, Camiguin	Project Reference Number: 2020-GOODS-RFQ-107 Name of Project: Supply &amp; Delivery of Construction Materials for Establishment of New Municipal Breeding Center on Swine Location of the Pro</t>
  </si>
  <si>
    <t xml:space="preserve"> Application Programmer 1. May karanasan sa pagbuo ng online dictionary. 2. May kaalaman sa Data Analytics partikular sa corpus linguistics. 3. May karanasan sa pag-set up ng computer network, web, at database server. 4. May kaalaman sa Wikang Filipino.</t>
  </si>
  <si>
    <t xml:space="preserve"> 1  300 PAX MEALS MENU: Lunch - Rice, Buttered Chicken, Fish Fillet &amp; Soft drinks   Remarks : 1. The service supplier shall have its own environmental policy, covering environmental procurement, the reduction of waste and energy consumption, and water savi</t>
  </si>
  <si>
    <t xml:space="preserve"> Please quote your lowest price on the job/items listed (please use attached Request for Quotation and send it back to us), subject to the Specifications and Terms and Conditions provided herein, stating the shortest time of delivery and submit your quotat</t>
  </si>
  <si>
    <t xml:space="preserve"> 1 58 PCS TARPAULIN (4X8) Remarks :  1. The supplier can deliver three (3) days after receipt of Purchase Order &amp; Notice of Award. 2. The supplier can accommodate many revisions of designs or layout for quality output</t>
  </si>
  <si>
    <t xml:space="preserve"> Bid Number/Project	SUPPLY AND DELIVERY OF SIX (6) – UNIT MOTORCYCLES Location	Palimbang, Sultan Kudarat	ABC	PhP 750,000.00 Description/Particulars	Purchase of three (3) unit motorcycles for Municipal Mayor’s Office and of three (3) unit motorcycles for Mu</t>
  </si>
  <si>
    <t xml:space="preserve"> Name of the Procuring Entity LOCAL GOVERNMENT UNIT  Mahinog, Camiguin	Project Reference Number: 2020-GOODS-RFQ-106 Name of Project: Supply &amp; Delivery of Copier, Printer and Colour Scanner Machine Location of the Project:Mahinog, Camiguin 	 Standard Form N</t>
  </si>
  <si>
    <t xml:space="preserve"> subscription, Hardware, RFID Reader, GSM Modem, Tapping booth wall mount with monitor, consumables, labor</t>
  </si>
  <si>
    <t xml:space="preserve"> 3 in 1 Printer</t>
  </si>
  <si>
    <t xml:space="preserve"> Invitation to Bid 								 	August 24, 2020 1.	The Barangay Local Government Unit of Binablayan through the Bids and Awards Committee advertised an Invitation to bid for the Package 01: Bangtinon-Ahbunan FMR Construction and Gugulo-Tubeng FMR Construction</t>
  </si>
  <si>
    <t xml:space="preserve"> Invitation to Bid 								 	August 24, 2020 1.	The Barangay Local Government Unit of Ahin through the Bids and Awards Committee advertised an Invitation to bid for the Package 01: Taaw-Loloy FMR Opening &amp; Awa-Lamtang – Bayoyo FMR Opening funded under 20% </t>
  </si>
  <si>
    <t xml:space="preserve"> Name of the Procuring Entity LOCAL GOVERNMENT UNIT  Mahinog, Camiguin	Project Reference Number: 2020-GOODS-RFQ-105 Name of Project: Supply &amp; Delivery of Appliances Location of the Project:Mahinog, Camiguin 	 Standard Form Number: SF-GOOD-05 Revised on: Ju</t>
  </si>
  <si>
    <t xml:space="preserve"> Name of the Procuring Entity LOCAL GOVERNMENT UNIT  Mahinog, Camiguin	Project Reference Number: 2020-GOODS-RFQ-104 Name of Project: Supply &amp; Delivery of Office Supplies Location of the Project:Mahinog, Camiguin 	 Standard Form Number: SF-GOOD-05 Revised o</t>
  </si>
  <si>
    <t xml:space="preserve"> 1 package Preventive Maintenance of CT Scan includes: calibration, repair and or replacement of parts excluding xray tube and detector</t>
  </si>
  <si>
    <t xml:space="preserve"> Republic of the Philippines CITY OF PANABO Province of Davao del Norte BIDS AND AWARDS COMMITTEE -o0o- INVITATION TO BID  SUPPLY OF OFFICE SUPPLIES 1.	The City of Panabo, through LSB/DEP.ED-OFFICE SUPPLIES EXPENSES-MOOE  2020 intends to apply the sum of F</t>
  </si>
  <si>
    <t xml:space="preserve"> Invitation to Bid 								 	August 24, 2020 1.	The Barangay Local Government Unit of Ahin through the Bids and Awards Committee advertised an Invitation to bid for the Dengao Road Improvement funded under 20% BLDF – 2020 with an Approved Budget for the Co</t>
  </si>
  <si>
    <t xml:space="preserve"> Republic of the Philippines Province of Eastern Samar Municipality of Salcedo Barangay 1 Poblacion Invitation to Bid for the Installation and Construction of Street Light 1.	The BLGU-Barangay 1 Poblacion , through the Barangay Development  Fund intends to</t>
  </si>
  <si>
    <t xml:space="preserve"> ITEM NO.	Unit of issue	ITEM &amp;DESCRIPTION	Brand &amp; Model	QTY.	 1	unit	Photocopier(big, heavy duty) multi function, 25 copies/prints per 		1	 		minute, 100 Sheets Auto Reverse Document Feeder (ARFD),			 		Wireless printing from mobile and PC thru Smart Opera</t>
  </si>
  <si>
    <t xml:space="preserve"> Item	Qty.	A R T I C L E S				 1		OTHER PROPERTY PLANT &amp; EQUIP				 2	1 lot	CCTV camera w/IR, UTP wire				 3		siamese wire, F&amp;M connector				 4		power supply balun, bracket				 5						 6</t>
  </si>
  <si>
    <t xml:space="preserve"> RFQ - PROCUREMENT OF OFFICE SUPPLIES FOR THE FRANCHISING OFFICE</t>
  </si>
  <si>
    <t xml:space="preserve"> INVITATION TO BID The Cauayan City Water District intends to apply the sum of TWO MILLION TWO HUNDRED NINETY THOUSAND FIVE HUNDRED PESOS (₱2,290,500.00)   being the Approved Budget for the Contract (ABC) to payment under the contract for Supply and Delive</t>
  </si>
  <si>
    <t xml:space="preserve"> DRAINAGE/CANAL I- Earth Works(incluides obstruction removal) - 64.24 cu.m. II- Reinforced Concrete Works - 27.37 cu.m. III- Masonry Works - 48.00 sq.m. Project Signboard - 1 lot</t>
  </si>
  <si>
    <t xml:space="preserve"> 1 10 pcs epson 12A printer toner cartridge  2 95 bots epson ink t6641  3 40 bots epson ink t6642  4 40 bots epson ink t6643  5 40 bots epson ink t6644</t>
  </si>
  <si>
    <t xml:space="preserve"> Invitation to Bid 								 August 24, 2020 1.	The Barangay Local Government Unit of Poblacion through the Bids and Awards Committee advertised an Invitation to bid for the Package 01: Bawi-Linheban Road Construction/ Lumay – Bawi Road Construction funded </t>
  </si>
  <si>
    <t xml:space="preserve"> Construction of Retaining Wall  V = 29.76 cu.m. Masonry Works</t>
  </si>
  <si>
    <t xml:space="preserve"> ITEM NO.	Unit of issue	ITEM &amp;DESCRIPTION	Brand &amp; Model	QTY.	 1	pc	Heavy Duty Scanner		1	 		Specifications: 			 		Functions: Print, Copy, Scan, Fax, Email			 		Printing Specs: Print speed black,			 		Normal: Up to 38 ppm			 		First page out (ready)			 		Bl</t>
  </si>
  <si>
    <t xml:space="preserve"> RFQ -  SUPPLY   AND DELIVERY OF VARIOUS SUPPLIES FOR THE ARTIFICIAL INSIMINATION CENTER</t>
  </si>
  <si>
    <t xml:space="preserve"> Office Supplies - 40,756.00</t>
  </si>
  <si>
    <t xml:space="preserve"> ITEM NO.	Unit of issue	ITEM &amp;DESCRIPTION	Brand &amp; Model	QTY.	 1	pc	Junior Swivel Chair with arm rest		17	 					 					 		***Nothing Follows**			 					 		TOTAL ABC: Php 55,000.00</t>
  </si>
  <si>
    <t xml:space="preserve"> Name of the Procuring Entity LOCAL GOVERNMENT UNIT  Mahinog, Camiguin	Project Reference Number: 2020-GOODS-RFQ-108 Name of Project: Supply &amp; Delivery of Feeds Location of the Project:Mahinog, Camiguin 	 Standard Form Number: SF-GOOD-05 Revised on: July 28</t>
  </si>
  <si>
    <t xml:space="preserve"> see attached bid docs</t>
  </si>
  <si>
    <t xml:space="preserve"> RFQ -PROCUREMENT OF OFFICE SUPPLIES FOR THE OFFICE OF THE SP SECRETARY</t>
  </si>
  <si>
    <t xml:space="preserve"> REQUEST FOR QUOTATION RFQ No. 2020-0368 The CITY GOVERNMENT OF CABANATUAN through its Bid and Awards Committee (BAC), will  undertake Small Value Procurement for the SUPPLY AND DELIVERY OF PORTABLE HANDHELD RADIO in accordance with Section 53.9 of the Rev</t>
  </si>
  <si>
    <t xml:space="preserve"> Item No.	Description of Articles	Qty.	Unit 	Road Section Length:     140 LM Road Width:                    6.0 LM Pavement Width:             4.0 LM Thickness:                        0.15 m Shouldering:                     0.75 m both sides Surface Type: </t>
  </si>
  <si>
    <t xml:space="preserve"> Construction of Barangay Streetlights</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</si>
  <si>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</si>
  <si>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Construction of Retaining Wall V = 66.75 cu.m. Masonry Works</t>
  </si>
  <si>
    <t xml:space="preserve"> 15.0m x 0.10m x 25.0m Concrete Pavement</t>
  </si>
  <si>
    <t xml:space="preserve"> Office Supplies - 43,340.00</t>
  </si>
  <si>
    <t xml:space="preserve"> Name of the Procuring Entity LOCAL GOVERNMENT UNIT  Mahinog, Camiguin	Project Reference Number: 2020-GOODS-RFQ-109 Name of Project: Supply &amp; Delivery of Chicken Dung Location of the Project:Mahinog, Camiguin 	 Standard Form Number: SF-GOOD-05 Revised on: </t>
  </si>
  <si>
    <t xml:space="preserve"> INVITATION TO  BID # 032-2020    The Municipal Government  of Aguilar, through its Bids and Awards Committee (BAC) invites suppliers/ manufacturers/contractors to bid for the hereunder project:.    Name of the Project: PURCHASE OF BT HYBRID YELLOW CORN SE</t>
  </si>
  <si>
    <t xml:space="preserve"> 2m x 0.10m x 70m Concrete Road</t>
  </si>
  <si>
    <t xml:space="preserve"> In Support to the School Dental Care Program</t>
  </si>
  <si>
    <t xml:space="preserve"> INVITATION TO  BID # 030-2020    The Municipal Government  of Aguilar, through its Bids and Awards Committee (BAC) invites suppliers/ manufacturers/contractors to bid for the hereunder project:.    Name of the Project: PURCHASE OF VARIOUS DRUGS AND MEDICI</t>
  </si>
  <si>
    <t xml:space="preserve"> See attached Purchase Request</t>
  </si>
  <si>
    <t xml:space="preserve"> Purchase of Office Supplies</t>
  </si>
  <si>
    <t xml:space="preserve"> Purchase of Water Pump</t>
  </si>
  <si>
    <t xml:space="preserve"> Safety Health Standard Requirement for COVID 19</t>
  </si>
  <si>
    <t xml:space="preserve"> Printing of Acitvity Sheet, Worksheet and Answer Sheet per Grade Level</t>
  </si>
  <si>
    <t xml:space="preserve"> ITEM NO.	Unit of issue	ITEM &amp;DESCRIPTION	Brand &amp; Model	QTY.		UNIT PRICE 1	pcs.	Highlighter		30		 2	pcs.	Correction Tape/ wipe out		30		 3	pcs.	Monitor Filter Glass for 17' PC Monitor, w/ strap		10		 4	pcs.	Monitor Filter Glass for 15' PC Monitor, w/ strap</t>
  </si>
  <si>
    <t xml:space="preserve"> Invitation to Rebid for the Supply &amp; Delivery of Materials for the  Fabrication of Booth (Construction of Environmental User’s Fee Office  and Medical Clinic) 1.	The Municipal Government of Puerto Galera, through the LGU - General Fund FY 2020 intends to </t>
  </si>
  <si>
    <t xml:space="preserve"> INDUSTRIAL TECHNOLOGY DEVELOPMENT INSTITUTE DOST Cmpd., Bicutan, Taguig City Telephone Nos. (02) 837-20-71 to 82 local 2221 E-mail Add.: itdi.admbac@gmail.com INVITATION TO BID August 23, 2020 Sir/Madam: Please quote your price for the item/items listed b</t>
  </si>
  <si>
    <t xml:space="preserve"> REPAIR, IMPROVEMENT OF MALE/FEMALE STUDENTS COMFORT ROOMS.</t>
  </si>
  <si>
    <t xml:space="preserve"> PRINTING OF MODULES (GRADE 7 – GRADE 10).</t>
  </si>
  <si>
    <t xml:space="preserve"> 1.	13	Unit	Executive Chair, Chrome Leg 2.	1	Unit	Executive Table 	16	Unit	Office Table 3.	1	Unit	Sofa (4 saeaters: leatherette/good quality) color: dark brown                                  4.	1	Unit	Sofa (with side arm, 3 seater) Black 	12	Unit	STEEL O</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</si>
  <si>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</si>
  <si>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ITEM NO.	Unit of issue	ITEM &amp;DESCRIPTION	Brand &amp; Model	QTY.	 1	set	DSLR and accessories		1	 		Type: Digital Camera Type, DSLR-body only			 		Image Sensor: Valid Pixels, 16.2mp			 		Optical Sensor Type/Size, CMOS sensor			 		Lens: Optical Zoom, 5.8x			 		S</t>
  </si>
  <si>
    <t xml:space="preserve"> Overlaying of Concrete Pathway</t>
  </si>
  <si>
    <t xml:space="preserve"> Purchase of Office Supplies for Sangguniang Kabataan of Bolbok, Batangas City.</t>
  </si>
  <si>
    <t xml:space="preserve"> Republic of the Philippines Province of Bohol Municipality of Panglao INVITATION TO BID FOR PROCUREMENT OF MOORING BUOYS (CUSHION FLOAT 500L) 1.	The Municipality of Panglao, Bohol, through the CRM COUNCIL (40% EUF SHARE) intends to apply the sum of Six Hu</t>
  </si>
  <si>
    <t xml:space="preserve"> LOT 2						 Department of Education						 Region VII, Central Visayas						 DIVISION OF NEGROS ORIENTAL						 AMLAN NATIONAL HIGH SCHOOL						 					08/14/2020	 Canvass Number	2020-08-002				Date	 						 Name of Dealer						 						 Address						 REQUEST FO</t>
  </si>
  <si>
    <t xml:space="preserve"> Republic of the Philippines CITY OF PANABO Province of Davao del Norte BIDS AND AWARDS COMMITTEE -o0o- INVITATION TO BID  SUPPLY OF TEXTBOOKS 1.	The City of Panabo, through LSB/DEP.ED-TEXTBOOKS &amp; INDUSTRIAL MATERIALS EXPENSES-MOOE  2020 intends to apply t</t>
  </si>
  <si>
    <t xml:space="preserve"> 1. 	The DepEd, Schools Division of Lipa City, through the CY 2020 Basic Educational Facilities Fund (BEFF), intends to apply the sum of Three Million Six Hundred Forty Three Thousand Seven Hundred Seventy Two Pesos and 25/100 only (PhP3,643,772.25) being </t>
  </si>
  <si>
    <t xml:space="preserve"> The local Government Unit of Bindoy through its Bids and Awards Committee intends to Purchase of Materials for the Concreting of Farm to Market Road (Barangay Camudlas) This purchase of Purchase of Materials for the Concreting of Farm to Market Road (Bara</t>
  </si>
  <si>
    <t xml:space="preserve"> Please see ASSOCIATED COMPONENTS for details</t>
  </si>
  <si>
    <t xml:space="preserve"> Sixty (60) ea LED Bulb 15w and Forty One (41) other line items.</t>
  </si>
  <si>
    <t xml:space="preserve"> 1. 	The DepEd, Schools Division of Lipa City, through the CY 2020 Basic Educational Facilities Fund (BEFF), intends to apply the sum of One Million Seven Hundred Three Thousand Four Hundred Eleven Pesos and 82/100 only (PhP1,703,411.82) being the Approved</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</si>
  <si>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</si>
  <si>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Name of the Procuring Entity LOCAL GOVERNMENT UNIT  Mahinog, Camiguin	Project Reference Number: 2020-GOODS-RFQ-110 Name of Project: Supply &amp; Delivery of Construction Materials for Perimeter Fence at BAC Office Location of the Project:Mahinog, Camiguin 	 S</t>
  </si>
  <si>
    <t xml:space="preserve"> 2	unit	FORAGE CHOPPER		 		 - Input Capacity: 300 kg/hr		 		 - Primemover: 5 hp Gasoline Engine		 		 - Length of cut: 2-5 cm (0.79-1.97 inch)		 		 - Hardness of blade: tool steel		 		 - Shall undergo acceptance testing		 		 - Must conform to PAES: 218-2004</t>
  </si>
  <si>
    <t xml:space="preserve"> The local Government Unit of Bindoy through its Bids and Awards Committee intends to Purchase of Materials for the REHABILITATION OF MUNICIPAL BUILDING (PHASE III) This purchase of Purchase of Materials for the REHABILITATION OF MUNICIPAL BUILDING (PHASE </t>
  </si>
  <si>
    <t xml:space="preserve"> REQUEST FOR QUOTATION RFQ No. 2020-0364 The CITY GOVERNMENT OF CABANATUAN through its Bid and Awards Committee (BAC), will undertake Small Value Procurement for the SUPPLY AND DELIVERY OF FUEL PRODUCTS in accordance with Section 53.9 of the Revised Implem</t>
  </si>
  <si>
    <t xml:space="preserve"> 1.     The DepEd, Schools Division of Lipa City, through the CY 2020 Basic Educational Facilities Fund (BEFF), intends to apply the sum of One Million Three Hundred Ninety Seven Thousand Five Hundred Eighty Pesos and 18/100 only (PhP1,397,580.18) being th</t>
  </si>
  <si>
    <t xml:space="preserve"> 1. 	The DepEd, Schools Division of Lipa City, through the CY 2020 Basic Educational Facilities Fund (BEFF), intends to apply the sum of Four Million Nine Hundred Ninety Five Thousand Two Hundred Forty Six Pesos and 78/100 only (PhP4,995,246.78) being the </t>
  </si>
  <si>
    <t xml:space="preserve"> Bid Number/Project	SUPPLY AND DELIVERY OF ONE (1) - UNIT MOBILE CLINIC BUS Location	Palimbang, Sultan Kudarat	ABC	PhP 3,000,000.00 Description/Particulars	Purchase of one unit mobile clinic bus 1.	In view of two (2) failed public biddings, the Municipal G</t>
  </si>
  <si>
    <t xml:space="preserve"> Construction of M R F Seven Purok</t>
  </si>
  <si>
    <t xml:space="preserve"> The local Government Unit of Bindoy through its Bids and Awards Committee intends to Purchase of Materials for the Construction of Calape Spillway -(Danawan) This purchase of Purchase of Materials for the Construction of Calape Spillway -(Danawan) will be</t>
  </si>
  <si>
    <t xml:space="preserve"> Improvement of Multipurpose Building</t>
  </si>
  <si>
    <t xml:space="preserve"> REPUBLIC OF THE PHILIPPINES PROVINCE OF CEBU MUNICIPALITY OF PINAMUNGAJAN Invitation to Bid for : LIGHTING OF THE MUNICIPAL PUBLIC MARKET 					(at Brgy. Poblacion) 	 1. The MUNICIPALITY OF PINAMUNGAJAN, through the GENERAL FUND  intends to apply the sum o</t>
  </si>
  <si>
    <t xml:space="preserve"> Please quote your price/s for the article/s  as specified in the list below for Kibawe NHS-Junior High Dep’t which are available in your store/establishment/company.  If available, please furnish catalogue, descriptive brochures of the literature about th</t>
  </si>
  <si>
    <t xml:space="preserve"> The local Government Unit of Bindoy through its Bids and Awards Committee intends to Purchase of Materials for the REHABILITATION OF MUNICIPAL BUILDING (PHASE II) This purchase of Purchase of Materials for the REHABILITATION OF MUNICIPAL BUILDING (PHASE I</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</si>
  <si>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</si>
  <si>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Item 101- Removal of Actual Structure Item 200- Aggregate Sub-Base Coarse Item 311- Portland Cement Concrete Pavement SPL- Construction Health and Safety SCHEDULE OF BIDDING Advertisement/Posting – August 24-September 2, 2020 Issuance of Bid Documents – A</t>
  </si>
  <si>
    <t xml:space="preserve"> Plastic Chairs 575 pcs.</t>
  </si>
  <si>
    <t xml:space="preserve"> Republic of the Philippines Province of Cebu Municipality of Cordova BIDS &amp; AWARDS COMMITTEE (032-236-6171) 			  	August 24, 2020 Request for quotation (rfq)  The Municipality of Cordova, through its Bids and Awards Committee (BAC), is inviting all intere</t>
  </si>
  <si>
    <t xml:space="preserve"> Republic of the Philippines Province of Camarines Norte MUNICIPALITY OF VINZONS BIDS AND AWARDS COMMITTEE (BAC) (Tel. # 446-63-09) 	 INVITATION TO BID FOR: Hardware Materials for the Concreting of Road Purok 2 Guinacutan 1.	The Local Government Unit of Vi</t>
  </si>
  <si>
    <t xml:space="preserve"> VARIOUS OFFICE SUPPLIES &amp; VACCINE</t>
  </si>
  <si>
    <t xml:space="preserve"> 21 set 12V Power Adapter and 4 other line items</t>
  </si>
  <si>
    <t xml:space="preserve"> This project entails purchase of 8 pcs. hanging cabinet for use in the Municipal Health Office.</t>
  </si>
  <si>
    <t xml:space="preserve"> Department of Education Region VI-Western Visayas Division of Cadiz City Mabini National High School INVITATION TO BID FOR THE PROCUREMENT OF PORTABLE PRESSURE WASHER- MNHS 2020 1.	The Mabini National High School  of Cadiz City, through the Schools MOOE F</t>
  </si>
  <si>
    <t xml:space="preserve"> 1. 	The DepEd, Schools Division of Lipa City, through the CY 2020 Basic Educational Facilities Fund (BEFF), intends to apply the sum of One Million Two Hundred Seventy Three Thousand Five Hundred Forty Three Pesos and 28/100 only (PhP1,273,543.28) being t</t>
  </si>
  <si>
    <t xml:space="preserve"> Invitation to Bid for Installation of RoadwayLights  No. 2020-002 1. The Barangay Valle Cruz, through the Annual Budget 2020(General Fund) Approved by the Sanggunian intends to apply the sum of One Hundred Fifty Thousand Pesos  (Php150,000.00 ) being the </t>
  </si>
  <si>
    <t xml:space="preserve"> RFQ - PER UNIT COST PLASTIC STORAGE BOX 155L LONG RANGE STAPLER PLASTIC TWINE ASSORTED COLORS PUSHCART, BIG UV LIGHT BULB WITH BALLAST</t>
  </si>
  <si>
    <t xml:space="preserve"> Stock No.   Item Description   QTY.    Unit 1. Valve 5223488190   1    pc 2. Air production Modulator 475009Z01B 1  pc 3. Turn Signal Switch 25299Z00B  1 pc 4. Connector 324349Z00E for CWMO</t>
  </si>
  <si>
    <t xml:space="preserve"> Invitation to Bid for Construction of Drainage Canal  No. 2020-001 1. The Barangay Valle Cruz, through the Annual Budget 2020(General Fund) Approved by the Sanggunian intends to apply the sum of Three Hundred Thousand Pesos  (Php3,000.00 ) being the Appro</t>
  </si>
  <si>
    <t xml:space="preserve"> Pls see attached file</t>
  </si>
  <si>
    <t xml:space="preserve"> 1. 	The DepEd, Schools Division of Lipa City, through the CY 2020 Basic Educational Facilities Fund (BEFF), intends to apply the sum of Four Million Nine Hundred Eighty Six Thousand Eight Hundred Ninety Eight Pesos and 68/100 (PhP4,986,898.68) only being </t>
  </si>
  <si>
    <t xml:space="preserve"> 1. 	The DepEd, Schools Division of Lipa City, through the CY 2020 Basic Educational Facilities Fund (BEFF), intends to apply the sum of Three Million Seven Hundred Seventy Two Thousand Two Hundred Sixty One Pesos and 70/100 (PhP3,772,261.70) only being th</t>
  </si>
  <si>
    <t xml:space="preserve"> Republic of the Philippines Province of Bohol Municipality of Panglao INVITATION TO BID FOR PROCUREMENT OF IT EQUIPMENT AT PANGLAO, BOHOL 1.	The Municipality of Panglao, Bohol, through the Current &amp; Continuing Capital Outlay, MENRO-SPA, and BFP 20% Share </t>
  </si>
  <si>
    <t xml:space="preserve"> 16 pc. Coaxial outdoor Camera 2 roll Coaxial cable with power wire, 300m 1 pc. High Analog Multitester 1 unit High quality RS PRO RSKI handheld Digital Multitester 100 pcs. High quality VNC connector 1 pc. Mini HD cam 1 pc 0-30V-10A LED Display Adjustable</t>
  </si>
  <si>
    <t xml:space="preserve"> Republic of the Philippnes				 PROVINCE OF APAYAO	PROVINCE OF APAYAO			 Provincial Government Center	Provincial Government Center, San Isidro Sur			 San Isidro Sur, Luna, Apayao	LUNA, APAYAO			 				 PROVINCIAL BIDS AND AWARD COMMITTEE-INFRA				 				 INVIT</t>
  </si>
  <si>
    <t xml:space="preserve"> PURCHASE OF PUBLIC ADDRESS</t>
  </si>
  <si>
    <t xml:space="preserve"> The local Government Unit of Bindoy through its Bids and Awards Committee intends to Purchase of Materials for the Concreting of Farm to Market Road (Barangay Salong) This purchase of Purchase of Materials for the Concreting of Farm to Market Road (Barang</t>
  </si>
  <si>
    <t xml:space="preserve"> 24	units	Smartphone 	 		SPECIFICATIONS:	 			 		Display	 		 6.7" WQHD+ Dynamic AMOLED 2.0	 		 Infinity-O Display	 			 		Camera	 		 Rear:  64MP Telephoto	 		 +12MP (F/1.8) Wide	 		 + 12M Ultra Wide + ToF	 		 Front:  Dual Pixel 10MP (F/2.2)AF	 			 		Processo</t>
  </si>
  <si>
    <t xml:space="preserve"> INSTALLATION OF STREET LIGHTING SYSTEM Brgy. Bagacay, Labo, Camarines Norte Description:  Installation of 19 units Solar Street Lights (90 watts) Nature of Works: 1. Excavation  2. Installation and Erection of Post</t>
  </si>
  <si>
    <t xml:space="preserve"> Republic of the Philippines Department of the Interior and Local Government BUREAU OF JAIL MANAGEMENT AND PENOLOGY  REGION OFFICE-VII 13B, M. Veloso Street, Brgy.Guadalupe, Cebu City Telephone:(032) 254-4747 Email: r7bacsecretatiat@gmail.com REQUEST FOR Q</t>
  </si>
  <si>
    <t xml:space="preserve"> Stock No.	Item Description	QTY.	Unit 1	Projector with screen (w/HDMI port, 3,600 ansi lumens, white plastic curtain, color: black&amp;white)	1	unit 			 			 			 	Projector specs: 0.55" LCD panel, 1-1.2 optical zoom, manual focus, 30" to 300" screen size, 8.1 o</t>
  </si>
  <si>
    <t xml:space="preserve"> Quantity   Unit of Issue    Item Description     Estimated Unit Cost    Estimated Total Cost 40 reams Bond Paper A4 sub 20    250.00   10,000.00 5 box Fastener (metal) 65.00   325.00 3 pcs All purpose glue (big) 130g 95.00   285.00 5 box binder clips (1 i</t>
  </si>
  <si>
    <t xml:space="preserve"> Please see attached TOR</t>
  </si>
  <si>
    <t xml:space="preserve"> Republic of the Philippines BARANGAY MABINI BIDS AND AWARDS COMMITTEE INVITATION TO BID The Barangay Government of BARANGAY MABINI through its Bids and Awards Committee (BAC), invites suppliers/manufacturers/distributors to bid for the hereunder project: </t>
  </si>
  <si>
    <t xml:space="preserve"> 1. 	The DepEd, Schools Division of Lipa City, through the CY 2020 Basic Educational Facilities Fund (BEFF), intends to apply the sum of Two Million Nine Hundred Thirty Three Thousand Five Hundred Fifty Seven Pesos and 21/100 (PhP2,933,557.21) only being t</t>
  </si>
  <si>
    <t xml:space="preserve"> REQUEST FOR QUOTATION					 					 					 P.R. Number   :	2020 -  08-0683 Date              :	 Company Name	:  _____________________			 					 Address	: _________________________				 					              Please quote your price on the item/s listed below, subje</t>
  </si>
  <si>
    <t xml:space="preserve"> Supply of parts &amp; repair of 1 unit-ambulance</t>
  </si>
  <si>
    <t xml:space="preserve"> TRAINING EXPENSES</t>
  </si>
  <si>
    <t xml:space="preserve"> Pls. see attached</t>
  </si>
  <si>
    <t xml:space="preserve"> 100 roll Absorbent Cotton 400 grams 100 bottle Alcohol 500ml, 70% 40 box Examination Gloves, large, box of 100 40 box Face masks, earloope 40 box Gauze Bondage 4x4 sterile, box of 100 42 box insulin Syringe, 100's 10 tube KY Jelly 82 grams 5 Gallon Disinf</t>
  </si>
  <si>
    <t xml:space="preserve"> Invitation to Bid for Installation of Roadwaylights  No. 2020-001 1. The Barangay Ibabao Bana, through the Annual Budget 20120General Fund) Approved by the Sanggunian intends to apply the sum of One Hundred Fifty Thousand Pesos  (Php 150,000.00 ) being th</t>
  </si>
  <si>
    <t xml:space="preserve"> Procurement of Non-Ionic Low Osmolar Contrast Media for Radiologic Procedure</t>
  </si>
  <si>
    <t xml:space="preserve"> 20 set LED Daylight Watts 45 pcs LED Bulb 15W 3 bxs THHN #12 (Electrical Wire) 2 bxs THHN #10 (Electrical Wire) 3 bxs THHN #6 (Electrical Wire) 5 pcs Electrical Tape Big 2 pcs NEMA 3R 1 box Tox #6 4 pcs Flood Light 50W warm 200 pcs Texcrew #2 5 pcs 2 Gang</t>
  </si>
  <si>
    <t xml:space="preserve"> P.R. No. X4-20-07-291 - Supply and Delivery for the use in the operation of TOYOTA HILUX (CAP3734/100804). (Please see attached RFQ)</t>
  </si>
  <si>
    <t xml:space="preserve"> Various supplies</t>
  </si>
  <si>
    <t xml:space="preserve"> 1. 	The DepEd, Schools Division of Lipa City, through the CY 2020 Basic Educational Facilities Fund (BEFF), intends to apply the sum of Nine Hundred Thirty Six Thousand Three Hundred Thirty Five Pesos and 94/100 (PhP936,335.94) only being the Approved Bud</t>
  </si>
  <si>
    <t xml:space="preserve"> P.R. No. X1-20-07-307 - Supply and Delivery for the use in the Office of the Regional Director, 3rd Quarter. (Please see attached RFQ)</t>
  </si>
  <si>
    <t xml:space="preserve"> INVITATION TO BID The Local Government Unit of Jasaan, Jasaan, Misamis Oriental, through the (70% of the 5% CALAMITY FUND) intends to apply the sum of Six Hundred Thirty Five Thousand Pesos and 00/100 (P635,000.00) being the Approved Budget for the Contra</t>
  </si>
  <si>
    <t xml:space="preserve"> De-clogging and Installation of cover of line canal and Widening of Road at Brgy. Del Remedio, San Pablo City.</t>
  </si>
  <si>
    <t xml:space="preserve"> REPAIR AND MAINTENANCE BUILDING</t>
  </si>
  <si>
    <t xml:space="preserve"> DESCRIPTION                SUPPLY INSTALLATION  OF ATM CLADDING (WALL TYPE) ABC:P 60,000.00 QTY   1 U/M LOT Please be guided the following: 1 Price quotation must be based on the term of Reference (TOR) / scope work / service (SOW)  (SOW) / technical Spec</t>
  </si>
  <si>
    <t xml:space="preserve"> Supply and Delivery of Construction Materials</t>
  </si>
  <si>
    <t xml:space="preserve"> OTHER SUPPLIES AND MATERIALS EXPENSES</t>
  </si>
  <si>
    <t xml:space="preserve"> It includes: reams, Bond Papers, A4 Size, 70 gsm, 10, 000 quantity.</t>
  </si>
  <si>
    <t xml:space="preserve"> INVITATION TO BID The Local Government Unit of Jasaan, Jasaan, Misamis Oriental, through the (70% of the 5% CALAMITY FUND) intends to apply the sum of Four Hundred Sixty Six Thousand Five Hundred Pesos and 00/100 (P466,500.00) being the Approved Budget fo</t>
  </si>
  <si>
    <t xml:space="preserve"> Various Supplies for Senior Citizen at Brgy. Banaoang,Mangaldan</t>
  </si>
  <si>
    <t xml:space="preserve"> 400 vial Erythropoeitin 400iu</t>
  </si>
  <si>
    <t xml:space="preserve"> Labor and Materials for Construction of Canal along zone 1 and 3 at Malabago</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</si>
  <si>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</si>
  <si>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DEADLINE OF SUBMISSION AND OPENING OF BIDS: SEPTEMBER 14, 2020, 10:00 A.M.  VENUE IS MUNICIPAL BAC SECRETARIAT OFFICE, IMBATUG, BAUNGON, BUKIDNON</t>
  </si>
  <si>
    <t xml:space="preserve"> Barangay Officials Uniform for Brgy.Banaoang Mangaldan</t>
  </si>
  <si>
    <t xml:space="preserve"> Please refer to the attached document.</t>
  </si>
  <si>
    <t xml:space="preserve"> Various Books for Prep and Nursery at Banaoang Mangaldan</t>
  </si>
  <si>
    <t xml:space="preserve"> 1 ea submersive pump for 4'' model 25 gS15, 9 stages with 1 1/4 NTD discharge coupled to flankin submersive motor rated at 1.5 HP single phase 60Hz,230v &amp; 2 Others</t>
  </si>
  <si>
    <t xml:space="preserve"> 1. The Local Government Unit of Lagayan,  thru the Landbank Loan, intends to apply the sum of TEN MILLION PESOS  (PHP 10,000,000.00), being the Approved Budget for the Contract (ABC) to payments under the contract "PURCHASE OF TWO (2) UNITS EQUIPMENT". Bi</t>
  </si>
  <si>
    <t xml:space="preserve"> Republic of the Philippines Bangsamoro Autonomous Region in Muslim Mindanao Provincial Government of Maguindanao BIDS AND AWARDS COMMITTEE REQUEST FOR QUOTATION The PROVINCIAL GOVERNMENT OF MAGUINDANAO – Office of the Provincial Planning &amp; Development inv</t>
  </si>
  <si>
    <t xml:space="preserve"> for the implementation of School Feeding Program</t>
  </si>
  <si>
    <t xml:space="preserve"> Electrical Materials for Brgy.Guesang Mangaldan,Pangasinan</t>
  </si>
  <si>
    <t xml:space="preserve"> The Barangay Government of Tibongbong, Matanao, Davao del Sur through its Bids and Awards Committee (BAC), invites suppliers/manufacturers/distributors/contractors to apply for eligibility and to bid for the Delivery of Goods for the herein contract: Iden</t>
  </si>
  <si>
    <t xml:space="preserve"> INVITATION TO BID FOR THE Supplementary Feeding Program for CDC and SNP 1. The Local Government Unit of Margosatubig, Zamboanga del Sur, intends to invite bidders for Supplementary Feeding Program for CDC and SNP at Margosatubig, ZDS with an Approved Budg</t>
  </si>
  <si>
    <t xml:space="preserve"> 49 pcs Fiber cement board 1/4 x 4 x 8 &amp; 24 Others</t>
  </si>
  <si>
    <t xml:space="preserve"> Mixed gravel for Road Maintenance at Brgy. Malabago Mangaldan</t>
  </si>
  <si>
    <t xml:space="preserve"> 1. The Local Government Unit of Lagayan, thru the Landbank Loan, intends to apply the sum of THIRTY MILLION PESOS  (PHP 30,000,000.00), being the Approved Budget for the Contract (ABC) to payments under the contract "CONSTRUCTION OF LAGAYAN MULTI-PURPOSE </t>
  </si>
  <si>
    <t xml:space="preserve"> See attached specs Or call 09270583966 look for norly atienza</t>
  </si>
  <si>
    <t xml:space="preserve"> 1 mo.Occupational Safety &amp; Health Program	 92.87 sq.m. Removal of Structure and Obstruction	 47.22 cu.m. Structural Excavation 14.40 cu.m. Embankment from Borrow	 40.672 cu.m. Concrete Class A	 5039.16 kgs Reinforcing Steel	 1 ls. Formworks and Falseworks</t>
  </si>
  <si>
    <t xml:space="preserve"> 4 pcs. 2" DI Gatevalve, Mechanical Type with 7" body length 10 pcs. 3" DI Gatevalve, Mechanical Type w/ 8" body length 10 pcs. 4" DI Gatevalve, Mechanical Type with 9" body length 4 pcs. 2" DI Sleeve Type Coupling w/ 22" body length &amp; stainless steel botl</t>
  </si>
  <si>
    <t xml:space="preserve"> Janitorial and Garbage collection Services</t>
  </si>
  <si>
    <t xml:space="preserve"> Supply of parts &amp; repair of 1-unit bulldozer(shantoi)</t>
  </si>
  <si>
    <t xml:space="preserve"> INVITATION TO BID FOR THE Design and Build for Market Center Building 2 at Margosatubig, ZDS 1. The Local Government Unit of Margosatubig, Zamboanga del Sur, intends to invite bidders for Design and Build for Market Center Building 2 at Margosatubig, ZDS </t>
  </si>
  <si>
    <t xml:space="preserve"> Reproduction of Learning Materials</t>
  </si>
  <si>
    <t xml:space="preserve"> INVITATION TO BID The Local Government Unit of Jasaan, Jasaan, Misamis Oriental, through the (70% of the 5% CALAMITY FUND) intends to apply the sum of One Million Two Hundred Fifty Thousand Four Hundred Pesos and 00/100 (P1,250,400.00) being the Approved </t>
  </si>
  <si>
    <t xml:space="preserve"> 10 unit Portable Generator &amp; 2 Others</t>
  </si>
  <si>
    <t xml:space="preserve"> Please see attached Purchase Request. Kindly submit you proposal in sealed envelope, addressed to the School Principal, Mrs. Edna M. Katigbak, on or before the closing date and time of this bid notice. Please enclose the following documentary requirements</t>
  </si>
  <si>
    <t xml:space="preserve"> Construction materials and supplies..</t>
  </si>
  <si>
    <t xml:space="preserve"> Invitation to Bid for Installation of Streetlights Phase II at Poblacion, Margosatubig, ZDS Source of Fund: General Fund (Surplus) Nonrefundable fee for bid docs: Php 1,000.00</t>
  </si>
  <si>
    <t xml:space="preserve"> 1.	The DepEd, Schools Division of Lipa City, through the CY 2020 Basic Educational Facilities Fund (BEFF), intends to apply the sum of Two Million Five Thousand Three Hundred Fifty Five Pesos and 46/100 only (PhP2,005,355.46) being the Approved Budget for</t>
  </si>
  <si>
    <t xml:space="preserve"> purchase of 1-unit motorcycle w/ sidecar (kulong-kulong )..</t>
  </si>
  <si>
    <t xml:space="preserve"> Invitation to Bid for Purchase of Mini-Emergency/Rescue Vehicle Source of Fund: General Fund (Surplus) Nonrefundable fee for bid docs: Php 1,000.00</t>
  </si>
  <si>
    <t xml:space="preserve"> The Philippine Postal Corporation invites qualified suppliers to participate in the invitation to bid for the: QTY. UNIT DESCRIPTION / ARTICLE UNIT PRICE 1Lot Procurement for the Rental of Photocopying Services with attached (T.O.R) Terms of Reference Mus</t>
  </si>
  <si>
    <t xml:space="preserve"> Supply and Delivery of Protection Equipment and Consumables - COVID 19</t>
  </si>
  <si>
    <t xml:space="preserve"> Repair of Education Facilities Building</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</si>
  <si>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</si>
  <si>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OFFICE SUPPLIES EXPENSES</t>
  </si>
  <si>
    <t xml:space="preserve"> Supply and Delivery of Office Equipment and Furnitures</t>
  </si>
  <si>
    <t xml:space="preserve"> NEGOTIATION</t>
  </si>
  <si>
    <t xml:space="preserve"> Purchase of Gulayan Supplies for school use...</t>
  </si>
  <si>
    <t xml:space="preserve"> Pag-IBlG Fund (Fund for brevity) a government financial institution created under Republic Act 9679 with office and postal address at 145 Union Square Condominium 15th Avenue, Cubao, Quezon City needs the services of a qualified contractor who can provide</t>
  </si>
  <si>
    <t xml:space="preserve"> 1 ea starter &amp; 8 Others</t>
  </si>
  <si>
    <t xml:space="preserve"> Republic of the Philippines PROVINCE OF AKLAN Municipality of Tangalan INVITATION TO BID  IMPROVEMENT OF PARKS AND PLAZA (Materials Only) Project Reference No.: SF-GOODS:2020-008-006A Approved Budget for the Contract: Php 726, 580.00 Source of Fund: 20% D</t>
  </si>
  <si>
    <t xml:space="preserve"> 193 bags cement 22 cu.m. gravel 11 cu.m. Sand 288 bdft Coco lumber 4 pcs RSB 12mm 3 kgs Assorted CW Nail</t>
  </si>
  <si>
    <t xml:space="preserve"> REQUEST FOR QUOTATION 	                                                                                                 Date:	   August 23, 2020 	                                                                                                 RFQ No.	   A</t>
  </si>
  <si>
    <t xml:space="preserve"> Purchase of various school and office suppliesof Damilag IS for the months of April to June,  2020(Secondary)</t>
  </si>
  <si>
    <t xml:space="preserve"> 19 sacks/bags - Starter 127 sack/bags - Grower 30 sacks/bags - Finisher</t>
  </si>
  <si>
    <t xml:space="preserve"> Supply and Delivery of Electronic supplies for Public Address System for SHS Interested Suppliers are requested to submit their price quotation. Listed below are the items for quotation: 1 unit Amplifier PA 500 watts with USB Port/ Bluetooth 12 sets 20" R</t>
  </si>
  <si>
    <t xml:space="preserve"> supply and delivery of the following: Lot 1- Catering services                 -  Php 15,000.00 	3 bilao pansit large			 	3 bilao - Spaghetti (Large)			 	6 whole - Litson Manok			 	10 packs - Roosted Pork Liempo (½ kl/pack)			 	12 bottles Softdrinks (1.5)</t>
  </si>
  <si>
    <t xml:space="preserve"> The Philippine Postal Corporation invites qualified suppliers to participate in the request for bids/quotation for the: TITLE : 1Lot Procurement for the Supply of Labor and Materials for the Proposed Relocation and Improvement of Post Master Office to wit</t>
  </si>
  <si>
    <t xml:space="preserve"> Purchase of Various Construction Suppies for the REPAIR of GULAYAN and FEEDING FENCES and REPAIR of TRANSPARENCY BOARD</t>
  </si>
  <si>
    <t xml:space="preserve"> The Philippine Postal Corporation invites qualified suppliers to participate in the request for quotation for the: 1Lot Supply of Labor and Materials for the 25pcs. Proposed Fabrication of forms shelves and 2pcs. package storage shelves. Scope of Work: 1.</t>
  </si>
  <si>
    <t xml:space="preserve"> Scope of Work: a) Floor Tiles                        b) Painting</t>
  </si>
  <si>
    <t xml:space="preserve"> Purchase of Various Office Supplies used in Printing of Modules</t>
  </si>
  <si>
    <t xml:space="preserve"> 58	pcs. Disinfecting Machine UV Lamp (Table Lamp) 		Width: 14cm, Hight: 44cm 		Power: 38W 		Wavelength: 270 Nanometer</t>
  </si>
  <si>
    <t xml:space="preserve"> 1. 	The DepEd, Schools Division of Lipa City, through the CY 2020 Basic Educational Facilities Fund (BEFF), intends to apply the sum of One Million Twenty  Four Thousand Two Hundred Forty Pesos and 46/100 (PhP1,024,240.46) only being the Approved Budget f</t>
  </si>
  <si>
    <t xml:space="preserve"> The schedules of BAC activities are as follows: BAC Activities Schedule 1.    Issuance of Eligibility Documents	                                        August 24-October 05, 2020 2.    Issuance &amp; availability of Bidding Documents	                        A</t>
  </si>
  <si>
    <t xml:space="preserve"> 1. 	The DepEd, Schools Division of Lipa City, through the CY 2020 Basic Educational Facilities Fund (BEFF), intends to apply the sum of Six Million One Hundred One Thousand Six Hundred Fifty Two Pesos and 46/100 (PhP6,101,652.46) only being the Approved B</t>
  </si>
  <si>
    <t xml:space="preserve"> 8 ea Rubber Damper</t>
  </si>
  <si>
    <t xml:space="preserve"> L=9m, W=1.50m, H=1.20m</t>
  </si>
  <si>
    <t xml:space="preserve"> SEE ATTACHED FILE</t>
  </si>
  <si>
    <t xml:space="preserve"> 12	pc	"HOME PREPAID WIFI (WHITE) No installation. Just plug and surf! Connects up to 5 devices.                  The Family-Sized Prepaid Home Internet  pre-installed LTE sim, Ethernet/LAN Cable (RJ45),                   AC Power Adapter, and Home WiFi De</t>
  </si>
  <si>
    <t xml:space="preserve"> The Barangay Government of Cataratan Allacapan Cagayan, through its Bids and Awards Committee (BAC) will invites interested entities to submit their bidding documents for the following details: Name of Contract: Improvement of Multi-Purpose Building Locat</t>
  </si>
  <si>
    <t xml:space="preserve"> Retransmission Unit 70V to 115 VAC &amp; 14 LI</t>
  </si>
  <si>
    <t xml:space="preserve"> Republic of the Philippines WESTERN PHILIPPINES UNIVERSITY          A STRONG PARTNER FOR SUSTAINABLE DEVELOPMENT BIDS AND AWARDS COMMITTEE Invitation to Bid for Supply, Delivery, and Installation of Sound System for WPU main and Puerto Princesa City campu</t>
  </si>
  <si>
    <t xml:space="preserve"> Please download attached associated documents.</t>
  </si>
  <si>
    <t xml:space="preserve"> Republic of the Philippines  Barangay 604, Zone 60, District VI, Manila Bids and Awards Committee INVITATION TO BID Barangay 604, Zone 60, District VI, Manila through its Bids and Awards Committee (BAC), Invites all Suppliers Contractors to bid the here u</t>
  </si>
  <si>
    <t xml:space="preserve"> OFFICE OF THE BIDS AND AWARDS COMMITTEE (BAC) INVITATION TO BID FOR THE 20-08-645 Construction of PWS Makikilo Spring Source, Rangayen, Alamada in Brgy. Rangayen, Alamada, Cotabato 1.	The Local Government Unit of Alamada, through the LGSF-SALINTUBIG FY 20</t>
  </si>
  <si>
    <t xml:space="preserve"> Supply and delivery of various items for repair/maintenance of Alfonso Water, Alfonso, Cavite</t>
  </si>
  <si>
    <t xml:space="preserve"> See Attached</t>
  </si>
  <si>
    <t xml:space="preserve"> Book Size: A4/Letter Print Color: Black &amp; White Binding:Stapled by Module Total Number of Copies: 289,864 Approved Budget for the Contract: 159,425.20 Other InformationPlease get the printed RFQ to admin Office</t>
  </si>
  <si>
    <t xml:space="preserve"> 4 ea Oil filter, c209 &amp; 10 Others</t>
  </si>
  <si>
    <t xml:space="preserve"> 522 bags cement 70 cu.m. Gravel 35 cu.m. Sand 384 bdft Coco lumber 6 pcs RSB 12mm 5 kgs Assorted CW Nail</t>
  </si>
  <si>
    <t xml:space="preserve"> OFFICE OF THE BIDS AND AWARDS COMMITTEE Name of Procuring Entity:     LGU – BAYOMBONG      Request for Quotation No.: _____________________ Revised on:   ______________________________                                             Date:   __________________</t>
  </si>
  <si>
    <t xml:space="preserve"> Office Supplies and consumables -----  90,225.00</t>
  </si>
  <si>
    <t xml:space="preserve"> Supply and Delivery of office supplies to be used by different offices in LGU-, Alfonso, Cavite</t>
  </si>
  <si>
    <t xml:space="preserve"> Purchase of Various Medical and Dental Supplies</t>
  </si>
  <si>
    <t xml:space="preserve"> Procurement of Construction Supplies and Materials</t>
  </si>
  <si>
    <t xml:space="preserve"> Labor and Materials for repair and maintenance of municipal service vehicle (Municipal Fire Truck  E-204C) at Alfonso, Cavite</t>
  </si>
  <si>
    <t xml:space="preserve"> 14 pcs #26 GI Corr GI Sheet 12" 14 pcs #26 GI Corr. GI Sheet 10" 563 bdft Good lumber 170 bdft Coco lumber 4 pcs 1/4" Hardieflex fascia Board 10 pcs #26 Plain sheet 2 kgs Umbrella nail 2 kgs Hardieflex Nail 10 kgs CW Nail, Assorted 2 pcs Hacksaw blade</t>
  </si>
  <si>
    <t xml:space="preserve"> SEMI- EXPENDABLE COMMUNICATION EQUIPMENT</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</si>
  <si>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</si>
  <si>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School and Office Supplies for Third Quarter Fiscal year 2020</t>
  </si>
  <si>
    <t xml:space="preserve"> 10 folding beds 3 tents 12 foam 18 blankets 18 pillows</t>
  </si>
  <si>
    <t xml:space="preserve"> Republic of the Philippines Province of Surigao del Sur MUNICIPALITY OF CANTILAN REQUEST FOR QUOTATION The Local Government Unit of Cantilan, Surigao del Sur, through its Bids and Awards Committee (BAC), will undertake a Small Value Procurement for the In</t>
  </si>
  <si>
    <t xml:space="preserve"> for reproduction of modules of the schools of Don Carlos III District</t>
  </si>
  <si>
    <t xml:space="preserve"> 20	PC	BROOM STICK WITH HANDLE 10	PC	BROOM STICK 8	PC	SOFTBROOM HD 10	PC	KAING 10	PC	MOP HEAD (CLOTH) 20	BOT	MURIATIC ACID 1L 15	BOT	DISINFECTANT SPRAY 510ML 5	BOT	DISINFECTANT SPRAY 40	PC	DEODORANT CAKE WITH HOLDER 100G 24	BOT	BLEACHING LIQUID-ORIGINAL 8	</t>
  </si>
  <si>
    <t xml:space="preserve"> Purchase of Anti-rabies vaccine</t>
  </si>
  <si>
    <t xml:space="preserve"> Project Reference No.: 7145925 Solicitation No.:  ITB-131-2020 Contract No INVITATION TO BID FOR THE SUPPLY AND DELIVERY OF 112 HEADS CATTLE (HEIFER) UNDER LIVESTOCK PROGRAM CY 2020   1.	The Department of Agriculture Regional Field Office IVA through the </t>
  </si>
  <si>
    <t xml:space="preserve"> 4	BOX	CLINDAMYCIN 150MG/ML/AMP 10'S 5	BOX	EPINEPHRINE 1MG/ML/AMP 10'S 2	BOX	HYDRALAZINE 20MG/ML/AMP 10'S 3	BOX	TETANUS TOXOID 40i.u/0.5ML/AMP.10'S 20	BOX	TRANEXAMIC ACID 5MG/ML/AMP.5'S 80	BOX	HYDROCORTISONE 100MG/ML/VIAL 10'S 8	BOX	PHYTOMENADIONE 10MG/ML/</t>
  </si>
  <si>
    <t xml:space="preserve"> Labor and Materials for the improvement of multi-purpose hall at Barangay Mangas I, Alfonso, Cavite</t>
  </si>
  <si>
    <t xml:space="preserve"> ITB 2020-15 1.	The SUGAR REGULATORY ADMINISTRATION, through the SRA Corporate Operating Budget 2020 intends to apply the sum of One Million Sixty-Eight Thousand Pesos (₱1,068,000.00) being the Approved Budget for the Contract (ABC) to payments under the c</t>
  </si>
  <si>
    <t xml:space="preserve"> Construction of warehouse, Installation of Perimeter Fence, Installation of water system</t>
  </si>
  <si>
    <t xml:space="preserve"> Section I. Notice of Eligibility and Short Listing 09 June 2020 LIZA A. DE LOS REYES Chief Operating Officer Ground Flr. RCI Building. 105 Rada Street, Legaspi Village Makati City Contact No.: (032) 752-4969/752-4971           Dear Ms. De Los Reyes: 1.	Th</t>
  </si>
  <si>
    <t xml:space="preserve"> REQUEST FOR QUOTATION The Local Government Unit of General Santos City thru its Bids and Awards Committee invites interested suppliers for (2FB)N20-08-093 PURCHASE OF SPARE PARTS FOR MOTOR VEHICLE amounting to P 766,240.00 Please visit or call Bids and Aw</t>
  </si>
  <si>
    <t xml:space="preserve"> Purchase of 3 in 1 printers</t>
  </si>
  <si>
    <t xml:space="preserve"> REQUEST FOR QUOTATION The Local Government Unit of General Santos City thru its Bids and Awards Committee invites interested suppliers for (2FB)N20-08-091 PURCHASE OF IT EQUIPMENT amounting to P 1,313,500.00. Please visit or call Bids and Awards Committee</t>
  </si>
  <si>
    <t xml:space="preserve"> WRIST STRAP   - customized   - color coded   - heavy duty   - Size: 5"x1/2"x1 1/2"x1/8</t>
  </si>
  <si>
    <t xml:space="preserve"> 42 cu.m. Item 104 32 bags cement 2 pcs 12mm0 RSB 2 pcs 16mm0 RSB 64 bdft Coco lumber 2 kgs Assorted CW Nail 2 cu.m. Sand 4 cu.m. Gravel</t>
  </si>
  <si>
    <t xml:space="preserve"> REQUEST FOR QUOTATION The Local Government Unit of General Santos City thru its Bids and Awards Committee invites interested suppliers for (2FB)N20-08-089 PURCHASE OF EQUIPMENT amounting to P 329,790.00 Please visit or call Bids and Awards Committee offic</t>
  </si>
  <si>
    <t xml:space="preserve"> REQUEST FOR QUOTATION The Local Government Unit of General Santos City thru its Bids and Awards Committee invites interested suppliers for (2FB)N20-08-090 PURCHASE OF MACHINERIES AND EQUIPMENT amounting to P 53,000.00 Please visit or call Bids and Awards </t>
  </si>
  <si>
    <t xml:space="preserve"> Purchase of drugs and medicines</t>
  </si>
  <si>
    <t xml:space="preserve"> Multi-copy (70 GSM), A4, and Epson ink</t>
  </si>
  <si>
    <t xml:space="preserve"> Project Reference No.: 7187007 Solicitation No.:  ITB-132-2020 Contract No  INVITATION TO BID FOR THE SUPPLY AND DELIVERY OF  9,801 BAGS UREA (46-0-0) IN RESPONSE TO COVID-19  UNDER RICE PROGRAM CY 2020   1.	The Department of Agriculture Regional Field Of</t>
  </si>
  <si>
    <t xml:space="preserve"> Technical Specification: A4, Sub 40, 70gsm, Arrange and with Sorting                                   Printing back to back Approved Budget for the Contract (ABC ): P 75,780.00 Technical Specifications		              Quantity	Unit of Measure	Unit Price	 </t>
  </si>
  <si>
    <t xml:space="preserve"> REQUEST FOR QUOTATION The Local Government Unit of General Santos City thru its Bids and Awards Committee invites interested suppliers for S20R-08-060 PURCHASE OF IT EQUIPMENT (RE-BID) amounting to P 92,000.00 Please visit or call Bids and Awards Committe</t>
  </si>
  <si>
    <t xml:space="preserve"> Procurement of Various Materials for Module Reproduction for the month of July, August, October</t>
  </si>
  <si>
    <t xml:space="preserve"> LOT 1: EDUCATIONAL SUPPLIES AND MATERIALS - P65,800.00</t>
  </si>
  <si>
    <t xml:space="preserve"> TERMS and CONDITIONS:			 	1. All entries must be typewritten or legibly written.		 	2. Delivery period within 15 calendar days upon receipt of the approved funded 		 	    Purchase Order (P.O.).  Administrative penalties pursuant to Sec. 69 of the Revised </t>
  </si>
  <si>
    <t xml:space="preserve"> REQUEST FOR QUOTATION The Local Government Unit of General Santos City thru its Bids and Awards Committee invites interested suppliers for (2FB)N20-08-088 PURCHASE OF OFFICE EQUIPMENT amounting to P 206,502.00 Please visit or call Bids and Awards Committe</t>
  </si>
  <si>
    <t xml:space="preserve"> multi-copy papers (70gsm), A4</t>
  </si>
  <si>
    <t xml:space="preserve"> Procurement of Various Medical Supplies for COVID-19</t>
  </si>
  <si>
    <t xml:space="preserve"> Budget Php 80,000.00 Kinder to Grade VI Module Reproduction Estimated No. of copies 92,738 copies on partial A4 and partial long bond paper/ GSM 80/ Front and clear copy/monochrome</t>
  </si>
  <si>
    <t xml:space="preserve"> activity sheet</t>
  </si>
  <si>
    <t xml:space="preserve"> Please quote your lowest price inclusive of VAT on the item/s listed below, subject to the Terms and Conditions of this RFQ, and submit your quotation duly signed by your representative not later than 26 August 2020 at 306th Contracting Office, NSFA, Pana</t>
  </si>
  <si>
    <t xml:space="preserve"> UNIT                                  QUANTITY                         DESCRIPTION REAMS                                   200                               BONDPAPER, A4, S20 BOTTLES                                  12                               INK, </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</si>
  <si>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</si>
  <si>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Furnitures, Fixtures and Equipment</t>
  </si>
  <si>
    <t xml:space="preserve"> Fire Extinguishers (including installation)</t>
  </si>
  <si>
    <t xml:space="preserve"> Purchase of Office Supplies and Consumables</t>
  </si>
  <si>
    <t xml:space="preserve"> Bicycles, helmets, reflectorized vests and lights, bicycle rack</t>
  </si>
  <si>
    <t xml:space="preserve"> Supplies and Materials : disinfectant spay, disinfectant solution, gloves, face mask, protective goggles, string bags, information materials, tarpaulin, t-shirts</t>
  </si>
  <si>
    <t xml:space="preserve"> TERMS and CONDITIONS:			 	1. All entries must be typewritten or legibly written.		 	2. Delivery period within 15 calendar days upon receipt of the approved funded 		 	    Purchase Order (P.O.).  Administrative penalties pursuant to Sec. 69 of the Revised </t>
  </si>
  <si>
    <t xml:space="preserve"> Proposed Road Concreting Bayobo Compound, Zone 5 Sitio Matiway, San Felipe Naga City</t>
  </si>
  <si>
    <t xml:space="preserve"> Assorted sports supplies, materials and equipment</t>
  </si>
  <si>
    <t xml:space="preserve"> REQUEST FOR QUOTATION The Local Government Unit of General Santos City thru its Bids and Awards Committee invites interested suppliers for (2FB)N20-08-100 PURCHASE OF DIESEL AND GASOLINE FOR BFP amounting to P 222,810.00 Please visit or call Bids and Awar</t>
  </si>
  <si>
    <t xml:space="preserve"> Paper A4 size, and printing materials for module reproduction. Approved budget for the contract: 785,090.00 No.   Quantity          Unit    Item Description 1	3200	              ream	Paper, Multi-purpose (COPY) A4, 70 gsm 2	3000	              piece	Plasti</t>
  </si>
  <si>
    <t xml:space="preserve"> For the protection of our Frontliners agains Covid 19</t>
  </si>
  <si>
    <t xml:space="preserve"> Procurement of assorted vegetable seeds for use in the establishment of 4H Gulayan ng Kabataan and Rural Based Organizations vegetable gardens.</t>
  </si>
  <si>
    <t xml:space="preserve"> PROCUREMENT AND DELIVERY OF EDUCATIONAL SUPPLIES TO THE SCHOOL WITH FREE DELIVERY WITHIN THE GIVEN TIME</t>
  </si>
  <si>
    <t xml:space="preserve"> Alcohol, plastic wraps, measuring cups</t>
  </si>
  <si>
    <t xml:space="preserve"> Republic of the Philippines  Province of Samar Municipality of Sto. Niño INVITATION TO BID FOR the Procurement of Movable Tent (Establishment of Municipal Isolation Unit for CoVID 19 Pandemic Crisis) 1.	The Municipality of Sto. Niño, Samar, through the MD</t>
  </si>
  <si>
    <t xml:space="preserve"> UNIT	ITEM DESCRIPTION			       QUANTITY	       UNIT COST  			   pcs	Modules (Additional WEEK 3) (Gr.1)   10,200	             0.85  pcs	Modules (Additional WEEK 3) (Gr.2)	6,000	             0.85  pcs	Modules (Additional WEEK 3) (Gr.3)	2,730	             0.</t>
  </si>
  <si>
    <t xml:space="preserve"> SUPPLY AND DELIVERY OF  SHIELDED TYPE POWER CABLE FOR COMPLETE TECHNICAL SPECIFICATIONS, PLEASE SEE ATTACHED APPROVED PRE PR</t>
  </si>
  <si>
    <t xml:space="preserve"> INDUSTRIAL TECHNOLOGY DEVELOPMENT INSTITUTE DOST Cmpd., Bicutan, Taguig City Telephone Nos. (02) 837-20-71 to 82 local 2221 E-mail Add.: itdi.admbac@gmail.com INVITATION TO BID August 22, 2020 Sir/Madam: Please quote your price for the item/items listed b</t>
  </si>
  <si>
    <t xml:space="preserve"> REQUEST FOR EXPRESSION OF INTEREST (REI)   Contract ID No.  :  20CSM007 Contract Name   : Sub-Surface Exploration of the Proposed Twelve (12) Bridges: a.)	Raradangan-Macabasa Bridge, Alamada North Cotabato b.)	Bridge Component, NHW Jct. Pob. Malungon Boun</t>
  </si>
  <si>
    <t xml:space="preserve"> Air Purifier for DTI-7 SDD for DTI-7 Personal Wellness - COVID Protection / Prevention  Area coverage 21-30 m² AC 100-240v Triple-filter protection (PM2.5, formaldehyde, etc.) True HEPA Smart Household Filter Clean Air Delivery Rate (CADR) up to 406 m³/h </t>
  </si>
  <si>
    <t xml:space="preserve"> Unit              Quantity         Description Ream            337              A4 Bond paper Subs. 20 Bot.               1                 Epson Ink Black #664 Bot.               1                 Epson Ink Magenta #664 bot.                1             </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</si>
  <si>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</si>
  <si>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Procurement of various garden tools and personal protective equipment (PPE) for use during the clean and green activities of the Center.</t>
  </si>
  <si>
    <t xml:space="preserve"> Hardware and Construction Supplies for Rehabilitation 3 Classrooms at Main Building</t>
  </si>
  <si>
    <t xml:space="preserve"> The Barangay Government of Barangay San Agustin Silanagan Isla Verde, Batangas City intends to apply the sum of Seventy Five Thousand Pesos (P 75,000.00) broken down as follow: ITEM Brief Description SUB-ABC Lot 1 Purchase of Solar System Bids received in</t>
  </si>
  <si>
    <t xml:space="preserve"> 1	Carbon Paper, ordinary, black, legal	1	 box  2	Clear book, short	3	 pack  3	COMPUTER INK, refill (magenta, cryan &amp; black) T664	10	 pcs.  4	CORRECTION FLUID, water based, min 15mL.	24	 pcs.  5	CORRECTION TAPE	20	 pcs.  6	CORRECTION TAPE REFILL	55	 pcs.  </t>
  </si>
  <si>
    <t xml:space="preserve"> Procurement of assorted sizes of polypropylene (PP) plastics for use in the distribution of starter kits to be distributed for the Urban Agriculture Gardening (A project in support to the DAs Plant, Plant, Plant Program) in the Provinces of Camarines Sur,</t>
  </si>
  <si>
    <t xml:space="preserve"> 1	Information Advocacy	25	days 	Blocktime Program		 	1 hour, once a week</t>
  </si>
  <si>
    <t xml:space="preserve"> Republic of the Philippines Province of Quezon Municipality of Atimonan Barangay Caridad Ibaba Project Reference No: 2020 Name of the Project: Supply and Delivery of Office Supplies Location of the Project:  Barangay Caridad Ibaba, Atimonan, Quezon REQUES</t>
  </si>
  <si>
    <t xml:space="preserve"> REQUEST FOR QUOTATION (RFQ) PRINTING OF RIGHT TO BREATHE CLEAN AIR: STEP UP. ACT NOW! FLYER UNDER EMB-EEID RFQ NO. EMB-EEID-SHOPPING-G-124-8-21-2020 2020-0752 1.	The Department of Environment and Natural Resources – Environmental Management Bureau (DENR-E</t>
  </si>
  <si>
    <t xml:space="preserve"> REQUEST FOR QUOTATION (RFQ) SUPPLY AND DELIVERY OF ABACA FACEMASK WITH DENR LOGO UNDER EMB-EEID RFQ NO. EMB-EEID-SHOPPING-G-125-8-21-2020 2020-0753 1.	The Department of Environment and Natural Resources – Environmental Management Bureau (DENR-EMB) hereina</t>
  </si>
  <si>
    <t xml:space="preserve"> ¬ REQUEST FOR QUOTATION (RFQ)  SUPPLY AND DELIVERY OF HP INK FOR OFFICE STOCK RFQ NO. EMB-EMB-PGSS 127-08-21-2020 PR NO.2020-0766   1.	The Department of Environment and Natural Resources – Environmental Management Bureau (DENR-EMB) hereinafter referred to</t>
  </si>
  <si>
    <t xml:space="preserve"> ¬ REQUEST FOR QUOTATION (RFQ)  SUPPLY AND DELIVERY OF DATA FILE FOLDER RFQ NO. EMB-EMB-PGSS 126-08-21-2020 PR NO.2020-0765   1.	The Department of Environment and Natural Resources – Environmental Management Bureau (DENR-EMB) hereinafter referred to as the</t>
  </si>
  <si>
    <t xml:space="preserve"> Procurement of 400 pcs laminated sacks (3x3 meters) and 4000 pcs empty sacks as extension support for the participants during the conduct of Information Caravan on Air in the Province of Masbate under the Rice Competitive Enhancement Fund. Above items mus</t>
  </si>
  <si>
    <t xml:space="preserve"> REQUEST FOR QUOTATION (RFQ) SUPPLY AND DELIVERY OF EXTERNAL SOLID STATE DRIVE RFQ NO. EMB-EQMD-CMS-SHOPPING-G-122-8-21-2020  PR NO. 2020-0747 1.	The Department of Environment and Natural Resources – Environmental Management Bureau (DENR-EMB) hereinafter r</t>
  </si>
  <si>
    <t xml:space="preserve"> Flu Vaccines		643 	vial &gt;FluQuadri / 4flu strain Vaccine			 Health package		643 	pack &gt;Alcohol			 *isopropyl			 *300-330 ml			 *68-70%			 *scented			 *spray type			 &gt;Face shield			 *Direct splash protection			 *Full face shield			 *Anti-fog			 *Latex-free</t>
  </si>
  <si>
    <t xml:space="preserve"> Specifications: VIRTUAL TRAINING ON BASIC MADIATION FOR LEGAL STAFF MEMBERS: Virtual Instructor-LedTraining (10 Sessions, 90 Learners) REQUIREMENTS FOR THE SERVICE PROVIDER: 1.	Must have previous engagement with other government agencies for mediation tra</t>
  </si>
  <si>
    <t xml:space="preserve"> Surgical face masks, rice, whole chicken,tarpaulin, t-shirts</t>
  </si>
  <si>
    <t xml:space="preserve"> "          Please quote your price(s) for the article(s) as specified in the list below for Kinawe National High School which are available in your store/establishment/company. If available, please furnish catalogue, descriptive brochures of literature ab</t>
  </si>
  <si>
    <t xml:space="preserve"> 1 6 PCS INK L-360 BK 664  2 6 PCS INK L-360 C 664  3 6 PCS INK L-360 M 664  4 6 PCS INK L-360 Y 664  5 5 PCS GLUE ALL PURPOSE WITH APPLICATOR  6 6 GAL ALCOHOL 70% ISOPROPHYL  7 4 PCS TONER MP2014AD PHOTOCOPIER  8 8 PCS RULER 12''  9 5 PCS STAPLE WIRE #35 </t>
  </si>
  <si>
    <t xml:space="preserve"> 1 200 REAMS BOOK PAPER, A4 SIZE, 70 g/m2, High Quality</t>
  </si>
  <si>
    <t xml:space="preserve"> REQUEST FOR QUOTATION Repair, Replacement and Installation of CCTV for Bustos Dam Monitoring System R3-BANE-GAA-2020-Bustos Dam CCTV-67 AUGUST 20, 2020 The National Irrigation Administration – Bulacan-Aurora-Nueva Ecija Irrigation Management Office, Tambu</t>
  </si>
  <si>
    <t xml:space="preserve"> 1 72 PCS BALLPEN BP-S FINE  2 36 PACK BATTERY, AA 4 PCS/PACK  3 36 PACK BATTERY, AAA  4 50 REAMS BOOK PAPER SUB 24 LONG  5 36 PCS CORRECTION TAPE (HEAVY DUTY 6M)  6 10 PCS CUTTER BIG HEAVY DUTY  7 20 PCS DATA FILER BOX SLI-LONG W/SLIDE RAIL  8 30 PCS DOUB</t>
  </si>
  <si>
    <t xml:space="preserve"> REPAINTING OF ANNEX, TRANSFORMER &amp; PUMP HOUSE BUILDING AT AGUS 4 HPP</t>
  </si>
  <si>
    <t xml:space="preserve"> REQUEST FOR QUOTATION The Local Government Unit of General Santos City thru its Bids and Awards Committee invites interested suppliers for (2FB)N20-08-099 PURCHASE OF IPMR UNIFORM amounting to P 161,000.00. Please visit or call Bids and Awards Committee o</t>
  </si>
  <si>
    <t xml:space="preserve"> 5 Units of Laptop Computer	 		 Minimum Specifications:	 		 (a) CPU - 10th Generation Intel(R) Core™ i5-10210U Processor (6MB Cache, up to 4.2 GHz) 		 (b) Storage Type - 1TB HDD			 (c) RAM - 8GB (8Gx1)/(4Gx2)DDR4 or higher			 (d) Intel(R) UHD Graphics with</t>
  </si>
  <si>
    <t xml:space="preserve"> Rehabilitation of open canal and others at Brgy. II-A, SPC</t>
  </si>
  <si>
    <t xml:space="preserve"> See attached specs</t>
  </si>
  <si>
    <t xml:space="preserve"> 1 unit of Android Smart TV, 65 inches			 Minimum Requirements:			 Metal frame			 Narrow Bezel			 HDR			 2k to 4k Upscaling			 Android 9.0 or higher version			 Build-in Chromecast			 Dolby Digital Audio			 Octacore Processor			 Atleast 16GB internal memory</t>
  </si>
  <si>
    <t xml:space="preserve"> Rental of: Reverse Osmosis Machine (for the period of September  2020 to February 2021 (6months)</t>
  </si>
  <si>
    <t xml:space="preserve"> 1 3 CASE Sterrad Cassette Nx 5's/ case 10133  2 1 case Sterrad Chemical indicator tape 6 roll/ box 14202  3 1 box Sterrad Chemicl indicator strip 1000's/box 14100  4 1 case Cyclesyre Biological indicator 30's/ case 14324  5 1 roll Sterrad roll/ w/chem ind</t>
  </si>
  <si>
    <t xml:space="preserve"> OFFICE CUBICLE LAMINATED w/ GLASS 2-TONE: Specifications: OFFICE CUBICLE 6-SEATER Front panel 3 tone Raceway under the table (Punch hole) Warranty : 1 Year Endtrims : 468 Black Powder Coated Dimension Front Panel : W3600 X H1200 mm Dimension Glass Panel :</t>
  </si>
  <si>
    <t xml:space="preserve"> Air conditioner: 1.0HP Window Type  Air conditioner: 1.5HP Window Type</t>
  </si>
  <si>
    <t xml:space="preserve"> Printer: Specifications: Multi-Function Inkjet Printer, All in One (Fax,  Print, Scan, Copy) Wireless and Duplex Printing with Ink Tank System Functions: (Fax, Print, Scan, Copy) Printer type: Inkjet Printer Product Dimension (wxdxh) 575mm x 477 x mm x 31</t>
  </si>
  <si>
    <t xml:space="preserve"> 1	Rice	50	sacks</t>
  </si>
  <si>
    <t xml:space="preserve"> various Office Supplies</t>
  </si>
  <si>
    <t xml:space="preserve"> Creolina: -  Lime: (Hydrated Lime)</t>
  </si>
  <si>
    <t xml:space="preserve"> NOTICE OF SHORT LIST AND REQUEST FOR PROPOSALS (RFP) August 20, 2020 MC. ARWILL R. DE JESUS Managing Partner Geostrategy Consulting Services Co.  In Joint Venture with Arki Stepton Builders 11 K-4th St., Brgy. Kamuning, Quezon City SUBJECT: 20CSOC01- SOIL</t>
  </si>
  <si>
    <t xml:space="preserve"> 1	pc	Tarpaulin 300	pcs	T-shirt 1250	pcs	Face Shield 1250	pcs	Washable Face Mask  300	pcs	School Supplies Package</t>
  </si>
  <si>
    <t xml:space="preserve"> REQUEST FOR QUOTATION (RFQ) PRINTING OF EMB DESK CALENDAR UNDER EMB-EEID RFQ NO. EMB-EEID-SHOPPING-G-123-8-21-2020 2020-0729 1.	The Department of Environment and Natural Resources – Environmental Management Bureau (DENR-EMB) hereinafter referred to as the</t>
  </si>
  <si>
    <t xml:space="preserve"> Proposed Pathwalk and RipRap Ramallosa Compound, San Felipe, Naga City</t>
  </si>
  <si>
    <t xml:space="preserve"> MG-PLM20-047..TRASH RACK CLEANER, TRASH RAKE PARTS ABC  : P 4,000,000.00 PLACE OF DELIVERY  : PULANGI IV HEP WAREHOUSE MARAMAG, BUKIDNON AMOUNT OF BID DOCUMENTS : P5,000.00</t>
  </si>
  <si>
    <t xml:space="preserve"> Supply and delivery of construction materials for the Installation of Street Light (Solar)</t>
  </si>
  <si>
    <t xml:space="preserve"> Meals and Snacks: For Day 1; Batch 1 and Batch 3  AM Snacks: Arrozcaldo with Egg, Bottled Water Lunch: Steamed Rice, Corn Soup, Fried Chicken, Fish Fillet, Jelly-O shots, Bottled Water PM Snacks: Pancit Bihon and Bread, Calamansi Juice Meals and Snacks: F</t>
  </si>
  <si>
    <t xml:space="preserve"> Requested by: Atty. C B. Gomez/City ENRO</t>
  </si>
  <si>
    <t xml:space="preserve"> Requested by: JT B. Santiago/CMO - Slaughterhouse</t>
  </si>
  <si>
    <t xml:space="preserve"> Requested by: AC M. Amurao/City Tourism Office</t>
  </si>
  <si>
    <t xml:space="preserve"> MG-PLM20-095..SUPPLY &amp; INSTALLATION OF 400KVA DIESEL GENSET AT PH ABC  : P 5,000,000.00 PLACE OF DELIVERY  : PULANGI IV HEP WAREHOUSE MARAMAG, BUKIDNON AMOUNT OF BID DOCUMENTS : P 5,000.00</t>
  </si>
  <si>
    <t xml:space="preserve"> Requested by: J M. Salunday/IPMR</t>
  </si>
  <si>
    <t xml:space="preserve"> 300 sacks Head Rice (25 kls.)</t>
  </si>
  <si>
    <t xml:space="preserve"> MG-PLM20-152.Maint. of Transformer (Shell DB) Rehabilitation of spare 31.5 MVA Take-off Transformer ABC  : P 1,500,000.00 PLACE OF DELIVERY : PULANGI IV HEP WAREHOUSE MARAMG, BUKIDNON AMOUNT OF BID DOCUMENTS : P 3,000.00</t>
  </si>
  <si>
    <t xml:space="preserve"> 560 pcs monobloc chairs</t>
  </si>
  <si>
    <t xml:space="preserve"> Reproduction or printing of module in a copy paper A4 sized</t>
  </si>
  <si>
    <t xml:space="preserve"> Broom: Soft (Tambo)  Rag (trapo): Cotton  Dust pan: -  Broom: Stick Walis Tingting  Mop head: -  Tissue Paper: (in a box)  Detergent: Powder 400g  Bleaching Agent: Original Scent 1liter  Bleaching Agent: Color Safe 900ml Lemon Scent Dishwashing Liquid: 25</t>
  </si>
  <si>
    <t xml:space="preserve"> Supply and Delivery of Janitorial Supplies</t>
  </si>
  <si>
    <t xml:space="preserve"> MG-PAT20-016..SUPPLY AND DELIVERY OF GOVERNOR OIL PUMP WITH MOTOR ABC  : P 6,400,000.00 PLACE OF DELIVERY : PULANGI IV HEP WAREHOUSE MARAMG, BUKIDNON AMOUNT OF BID DOCUMENTS : P 7,000.00</t>
  </si>
  <si>
    <t xml:space="preserve"> Tire(s): 10.00x20  Battery: 3SM  Cylinder Head Gasket: -  Valve Seal: -</t>
  </si>
  <si>
    <t xml:space="preserve"> 1.	Purchase Request No.: MAINT 2020-07-0038 Name:  	Purchase of Fuels to be use of Service Vehicle and Equipment assigned in Maintenance Section for 3rd Quarter of CY 2020 Location:	Masbate 3rd DEO  Description of Project/Scope of works:   13,300			Liter	</t>
  </si>
  <si>
    <t xml:space="preserve"> Air Freshener: Gauge #350m in length  Aquasol ER: - Alcohol: 70% Ethyl 500ml  Glass Cleaner: Big Dishwashing Liquid: 500ml  Powder Soap: -  Tissue Paper: Bathroom 2 ply  Tissue Paper: Napkins unscented  Muriatic Acid: 500ml</t>
  </si>
  <si>
    <t xml:space="preserve"> Ballpen: Assorted Colors (red, blue, green)  Ballpen: Black  Desk Pad Table: with logo seal DVD: Blank DVD RW with Case  Folder: Long Sub. 20 Folder: Short S-20  Printer Ink: Canon 704 colored  Printer Ink: Canon 704 black  Permanent Marker: Black, Blue, </t>
  </si>
  <si>
    <t xml:space="preserve"> Server: Specifications: 6FHJ5 PowerEdge R240 Intel Xeon E-2124  3.3GHz, 8M cache, 4C/4T, turbo (71W) 4 x 8GB 2666MT/s DDR4 ECC UDIMM |On-Board LOM PERC H330 RAID Controller, Adapter, Full Height 4 x 1TB 7.2K RPM SATA 6Gbps 512n 3.5in Hot-plug Hard Drive 3</t>
  </si>
  <si>
    <t xml:space="preserve"> Awol Elementary School Multi Purpose Hall</t>
  </si>
  <si>
    <t xml:space="preserve"> CONSTRUCTION OF OPEN CANAL  LOCATION: BLK 21, ILO ILO STREET CEMENT ............................ 219 BAGS WHITE SAND ..................... 11 CU. M GRAVEL ............................ 19 CU. M DSB ................................. 482 PCS TIE WIRE .......</t>
  </si>
  <si>
    <t xml:space="preserve"> CONSTRUCTION OF OPEN CANAL  (.20X.30X126 MTRS) PORTION OF SAMAKA SITE CEMENT .................................... 256 BAGS WHITE SAND ............................. 14 CU. M GRAVEL .................................... 28 CU. M DSB 9MM .....................</t>
  </si>
  <si>
    <t xml:space="preserve"> 1			65			pcs				Calculus, 8th Edition by James Stewart Metric Version (Cengage)</t>
  </si>
  <si>
    <t xml:space="preserve"> 1			20			pcs				PVC Pipe, Orange, 1"			 2			30			pcs				PVC Pipe, Orange, 1/2"			 3			5			pcs				G.I Pull Box, 8"x8"x6" or 6"x6"x6"			 4			2			can				Solvent Cement, 400cc			 5			20			pcs				PVC Elbow, Orange, 1"			 6			8			pcs				PVC Straight Connector, </t>
  </si>
  <si>
    <t xml:space="preserve"> Construction and Renovation of multi purpose hall at Brgy. Santiago II, SPC</t>
  </si>
  <si>
    <t xml:space="preserve"> Stamp Pad: Big Blue #1 Stamp Pad Ink: Blue 60ml  Bond Paper: Long, 8.5x13  Bond Paper: Short, 8.5x11  Ballpen: Black  Envelope: Brown, Long  Envelope: Brown, Short  Paper Clip: Big  Paper Clip: Small  Pencil: #2 Marking Pen: Fine Black  Correction Tape: 1</t>
  </si>
  <si>
    <t xml:space="preserve"> 1	Coverall Suit (washable)	85	pcs</t>
  </si>
  <si>
    <t xml:space="preserve"> 1	Diesel	1905	ltrs 2	XCS Gasoline	435	ltrs</t>
  </si>
  <si>
    <t xml:space="preserve"> 1	Meals and Snacks 	1538	pax 	1 Rice, 2 Viands, Softdrink		 	AM/PM snacks</t>
  </si>
  <si>
    <t xml:space="preserve"> 1	Meals and Snacks	1538	pax 	1 Rice, 2 Viands, Softdrink		 	AM/PM snacks</t>
  </si>
  <si>
    <t xml:space="preserve"> please refer to RFQ</t>
  </si>
  <si>
    <t xml:space="preserve"> 1	Diesel Fuel	11,217	ltrs</t>
  </si>
  <si>
    <t xml:space="preserve"> 1	Tire, 265 x 65 all terrain tubeless, 12 ply	4	pcs</t>
  </si>
  <si>
    <t xml:space="preserve"> Supply and Delivery of Diving Equipment</t>
  </si>
  <si>
    <t xml:space="preserve"> Please see Request for Quotation/Bid Form attached to Associated Components.</t>
  </si>
  <si>
    <t xml:space="preserve"> The Barangay Officials and its Bids and Awards Committee (BAC), Invites Eligible Biders to Bid the hereunder projects: Name of Project: ROAD CONCRETING AT BARANGAY BINOG, ISABEL, LEYTE Location: Barangay Binog, Isabel, Leyte Amount: Php 357,510.00</t>
  </si>
  <si>
    <t xml:space="preserve"> Requested by: H S. Dizon/CMO - SCAP/OSCA</t>
  </si>
  <si>
    <t xml:space="preserve"> 135 pcs CHB 5" 10 bags cement 5 pcs 10 mm rsb 1 kl tie wire 1 elf sand</t>
  </si>
  <si>
    <t xml:space="preserve"> Please see attached RFQ. ABC: 120,000.00</t>
  </si>
  <si>
    <t xml:space="preserve"> Requested by: I A. Santiago/City Veterinary Office</t>
  </si>
  <si>
    <t xml:space="preserve"> 1	Meals and Snacks	1538	pcs 	1 Rice, 2 Viands, Softdrink		 	AM/PM snacks</t>
  </si>
  <si>
    <t xml:space="preserve"> SEE ATTACHED DOCUMENTS</t>
  </si>
  <si>
    <t xml:space="preserve"> Requested by: D L. Abrea/CED - Bayanihan</t>
  </si>
  <si>
    <t xml:space="preserve"> Requested by: Engr. A P. Jimenez, Jr./City Engineering Department</t>
  </si>
  <si>
    <t xml:space="preserve"> Requested by: R G. Bundac/Office of the Building Official</t>
  </si>
  <si>
    <t xml:space="preserve"> 1	Meals and Snacks-PDC	133	pax 2	Meals and Snacks- PDC	190	pax 3	Meals and Snacks- Local Good Govrnance	190	pax 4	Meals and Snacks-Local Good Governance	190	pax 5	Meals and Snacks-Peace and Order	350	pax 6	Meals and Snacks-Peace and Order	320	pax 7	Meals </t>
  </si>
  <si>
    <t xml:space="preserve"> Requested by: J L. Delgado/City Agriculture Office</t>
  </si>
  <si>
    <t xml:space="preserve"> Requested by: Hon. H S. Dilig/City Councilor</t>
  </si>
  <si>
    <t xml:space="preserve"> Requested by: R G. Bundac/Office of the City Building Official</t>
  </si>
  <si>
    <t xml:space="preserve"> Requested by: M C A. Abayari/City Treasurer's Office</t>
  </si>
  <si>
    <t xml:space="preserve"> Requested by: C C. Guevarra/City  Prosecutor's Office</t>
  </si>
  <si>
    <t xml:space="preserve"> Procurement of 400 pcs laminated sacks (3x3 meters) and 4000 pcs empty sacks as extension support for the participants during the conduct of Information Caravan on Air in the Province of Sorsogon under the Rice Competitive Enhancement Fund. Above items mu</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</si>
  <si>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</si>
  <si>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PLS. SEE ATTACHED PURCHASE REQUISITION, TERMS OF REFERENCE &amp; BID DOCS FOR DETAILS</t>
  </si>
  <si>
    <t xml:space="preserve"> Repair &amp; Maintenance of Building</t>
  </si>
  <si>
    <t xml:space="preserve"> Repair and Maintenance of Hospital Ambulance</t>
  </si>
  <si>
    <t xml:space="preserve"> Procurement of 400 pcs laminated sacks (3x3 meters) and 4000 pcs empty sacks as extension support for the participants during the conduct of Information Caravan on Air in the Province of Albay under the Rice Competitive Enhancement Fund. Above items must </t>
  </si>
  <si>
    <t xml:space="preserve"> Semi-Expandable Machinery &amp; Equipment-Books</t>
  </si>
  <si>
    <t xml:space="preserve"> 3 USB Mouse &amp; 25 Others</t>
  </si>
  <si>
    <t xml:space="preserve"> 5 can Assorted biscuits 1.5kg and 85 Others</t>
  </si>
  <si>
    <t xml:space="preserve"> Improvement of Road  in Brgy. San Roque,Marabut Samar</t>
  </si>
  <si>
    <t xml:space="preserve"> Aircraft Spare parts</t>
  </si>
  <si>
    <t xml:space="preserve"> Repair and Maintenance Other Structure</t>
  </si>
  <si>
    <t xml:space="preserve"> Please quote your lowest price on Supply and Delivery of One (1) Lot Medical Supplies for MDRRM Office listed below, and submit your quotation duly signed by your authorized representative not later than 9:15AM on August 26, 2020 at the Municipal Health O</t>
  </si>
  <si>
    <t xml:space="preserve"> Supply and Delivery of 4000 Kilos Seaweed Seedlings for Agricultural and Fishery Modernization Program of LGU at Barangay Buenavista, Decabobo, Marcilla and Turda. Please quote your lowest price on Supply and Delivery of 4000 Kilos Seaweed Seedlings, list</t>
  </si>
  <si>
    <t xml:space="preserve"> Republic of the Philippines Bangsamoro Autonomous Region in Muslim Mindanao (BARMM) Bangsamoro Planning &amp; Development Authority BARMM Compound, Cotabato City Tel No. (064) 527-2795 - - - - - - - - - - - - - - - - - - - - - - - - - - - - - - - - - - - - - </t>
  </si>
  <si>
    <t xml:space="preserve"> Aircraft spare parts</t>
  </si>
  <si>
    <t xml:space="preserve"> Supply and Delivery of 5000 Pieces Pineapple Slips for Agricultural and Fishery Modernization Program of LGU-Coron. Please quote your lowest price on Supply and Delivery of 5000 Pieces Pineapple Slips, listed below and submit your quotation duly signed by</t>
  </si>
  <si>
    <t xml:space="preserve"> Requested by: Dr. I A. Santiago/City Veterinary Office</t>
  </si>
  <si>
    <t xml:space="preserve"> ITEM NO. 1 - 850PCS OF SCHOOL CARD JACKET (KINDER) TRANSPARENT - SIZE: 8-3/4" X 4-7/8" GAUGE #5 @ 9,350.00  ITEM NO. 2 - 5,350 PCS OF SCHOOL CARD JACKET (GRADE 1-6) TRANSPARENT - SIZE: 9" X 7-3/4" GAUGE #5 @ 69,550.00 TOTAL ABC@ 78,900.00 Kindly send your</t>
  </si>
  <si>
    <t xml:space="preserve"> Concreting/Rehab. of Various Roads/Alleys</t>
  </si>
  <si>
    <t xml:space="preserve"> Set of Learning Modules for Elementary Grade 1 - ESP, MUSIC, ARTS, PE, HEALTH (40pages each subject) Grade 2 - AP, MTB, MUSIC, ARTS, PE and HEALTH (40pages each subject) Grade 3 - SCIENCE, AP, MTB, MUSIC, ARTS, PE, HEALTH (40pages each subject) Grade 4 - </t>
  </si>
  <si>
    <t xml:space="preserve"> I.	SITE WORKS			 I.1	Site Layout, Excavation and Disposal		cu.m.	 75.29  I.2	Aggregate Base Course		  cu.m.	 150.00  				 II.	CONCRETE WORKS			 II.1	Portland Cement Concrete Pavement		cu.m.	 20.00  II.2	Structure Concrete, 3500psi			 II.1.1	Drainage Canal</t>
  </si>
  <si>
    <t xml:space="preserve"> Semi-Expendable Mashinery &amp; Equipment</t>
  </si>
  <si>
    <t xml:space="preserve"> Drugs &amp; Medicine Expenses</t>
  </si>
  <si>
    <t xml:space="preserve"> Repair and maintenance Other Machinery &amp; Equipment</t>
  </si>
  <si>
    <t xml:space="preserve"> Various batteries</t>
  </si>
  <si>
    <t xml:space="preserve"> Various grocery items for supplementary feeding program</t>
  </si>
  <si>
    <t xml:space="preserve"> 30 Footer, Brand New, Fiberglass</t>
  </si>
  <si>
    <t xml:space="preserve"> Various materials for repair/rehabilitation</t>
  </si>
  <si>
    <t xml:space="preserve"> Const./Rehab. of Flood Control Mitigation Projects (Drainage Canals)</t>
  </si>
  <si>
    <t xml:space="preserve"> Purchase of Materials for school use...</t>
  </si>
  <si>
    <t xml:space="preserve"> PLS. SEE ATTACHED PR, TOR &amp; BID DOCS FOR DETAILS</t>
  </si>
  <si>
    <t xml:space="preserve"> PLS. SEE ATTACHED PURCHASE REQUISITION, TOR &amp; BID DOCS FOR DETAILS</t>
  </si>
  <si>
    <t xml:space="preserve"> Various tire sizes</t>
  </si>
  <si>
    <t xml:space="preserve"> Requested by: Dr. R B. Panganiban/City Health Office</t>
  </si>
  <si>
    <t xml:space="preserve"> August 22, 2020 REQUEST FOR QUOTATION (Negotiated Procurement) ______________________ ______________________ ______________________ Please quote your lowest price inclusive of VAT subject to the TERMS AND CONDITIONS of this RFQ, and submit your quotation </t>
  </si>
  <si>
    <t xml:space="preserve"> Requested by: L B. Garcia/CMO - Bantay Dagat/Task Force Bakawan</t>
  </si>
  <si>
    <t xml:space="preserve"> Restoration and rehabilitation of Ortega Hall</t>
  </si>
  <si>
    <t xml:space="preserve"> Republic of the Philippines Province of Quezon Municipality of Atimonan	 	 Project Reference No:  2020-08-022 Name of the Project: Purchase of Water Pump Hose  Location of the Project: Barangay Habingan, Atimonan, Quezon REQUEST FOR QUOTATION-SHOPPING (Se</t>
  </si>
  <si>
    <t xml:space="preserve"> Office Supplies and consumables</t>
  </si>
  <si>
    <t xml:space="preserve"> Republic of the Philippines Province of Quezon Municipality of Atimonan	 	 Project Reference No:  2020-08-021 Name of the Project: Purchase of Filing Cabinet  Location of the Project: Barangay Habingan, Atimonan, Quezon REQUEST FOR QUOTATION-SHOPPING (Sec</t>
  </si>
  <si>
    <t xml:space="preserve"> Construction of slope protection</t>
  </si>
  <si>
    <t xml:space="preserve"> Republic of the Philippines Province of Quezon Municipality of Atimonan	 	 Project Reference No:  2020-08-020 Name of the Project: Purchase of Filing Cabinet (VAWC Office) Location of the Project: Barangay Habingan, Atimonan, Quezon REQUEST FOR QUOTATION-</t>
  </si>
  <si>
    <t xml:space="preserve"> Republic of the Philippines Province of Quezon Municipality of Atimonan	 	 Project Reference No:  2020-08-00 Name of the Project: ISANG LAPIS, ISANG PAPEL Location of the Project: Barangay Habingan, Atimonan, Quezon REQUEST FOR QUOTATION-SHOPPING (Sec. 50</t>
  </si>
  <si>
    <t xml:space="preserve"> Rehabilitation of spillway</t>
  </si>
  <si>
    <t xml:space="preserve"> Rehabilitation of motor pool</t>
  </si>
  <si>
    <t xml:space="preserve"> Construction of mess hall</t>
  </si>
  <si>
    <t xml:space="preserve"> Office Supplies and Consumables</t>
  </si>
  <si>
    <t xml:space="preserve"> REPUBLIC OF THE PHILIPPINES PROVINCE OF BATAAN MUNICIPALITY OF MARIVELES BARANGAY ALASASIN INVITATION TO APPLY FOR ELIGIBILITY AND TO BID The Barangay of Alasasin, through the General Fund Approved by the Sangguniang Barangay CY 2020 intends to apply the </t>
  </si>
  <si>
    <t xml:space="preserve"> 1	Long Bond Paper					230	REAM 2	A4 Bond Paper					        130	REAM 3	Folder Long Brown					10	Box 4	Folder Short Brown					150	PC 5	Expandable Folder (Long) Brown			25	PC 6	Envelope Long Brown					10	Box 7	Envelope Short Brown				150	Pc 8	Expandable Enve</t>
  </si>
  <si>
    <t xml:space="preserve"> Please quote your lowest price inclusive on VAT on the items listed below</t>
  </si>
  <si>
    <t xml:space="preserve"> Supply and Delivery of ICT Equipment and ICT Supplies</t>
  </si>
  <si>
    <t xml:space="preserve"> INDUSTRIAL TECHNOLOGY DEVELOPMENT INSTITUTE DOST Cmpd., Bicutan, Taguig City Telephone Nos. (02) 837-20-71 to 82 local 2221 E-mail Add.: itdi.admbac@gmail.com INVITATION TO BID August 21, 2020 Sir/Madam: Please quote your price for the item/items listed b</t>
  </si>
  <si>
    <t xml:space="preserve"> Completion of the Jovellar rural health unit</t>
  </si>
  <si>
    <t xml:space="preserve"> Survey Equipment</t>
  </si>
  <si>
    <t xml:space="preserve"> Requested by: J T. Ditona/CED - Motorpool Division</t>
  </si>
  <si>
    <t xml:space="preserve"> Construction of Welcome Arc</t>
  </si>
  <si>
    <t xml:space="preserve"> bot	Hemoglobin with Hematocrit Microcuvettes for EKF Photometer, 50 tests / bot.	120	2,000.00	240,000.00 BOX	ABG Heparinized Syringe 3cc w/ Needle and Air Venting Mechanism G.22/G.23,100's	18	7,500.00	135,000.00 Note: These items must have passed the end-</t>
  </si>
  <si>
    <t xml:space="preserve"> pc  Face shield with eyeglass frame  5000  65.00  325,000.00</t>
  </si>
  <si>
    <t xml:space="preserve"> National Power Corporation INVITATION TO BID PUBLIC BIDDING 2020-0304 1.	The NATIONAL POWER CORPORATION (NPC), through       its        approved       Corporate Budget of CY 2020 intends to apply   the   sum   of (Please see schedule below) being the Appr</t>
  </si>
  <si>
    <t xml:space="preserve"> Delivery of Office Supplies, Janitorial Supplies, General Supplies, Office Equipment and Personal Protective Equipment/ Supplies</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</si>
  <si>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</si>
  <si>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Invitation to Bid Republic of the Philippines Barangay Molicay  Ozamiz City Barangay Molicay, Ozamiz City invites Eligible Bidders to bid the project for Concreting of Purok 3 Pathway of Barangay Molicay, Ozamiz City with the appropriation of Php 150,000.</t>
  </si>
  <si>
    <t xml:space="preserve"> Invitation to Bid Republic of the Philippines Barangay Molicay  Ozamiz City Barangay Molicay, Ozamiz City invites Eligible Bidders to bid the project for Completion of Barangay Health Center of Barangay Molicay, Ozamiz City with the appropriation of Php 5</t>
  </si>
  <si>
    <t xml:space="preserve"> 20OF0330 Rehabilitation of Disaster – Related Infrastructure and Other Facilities (State Owned Facilities and Other Predetermined Sites into Several Healthcare Facilities)</t>
  </si>
  <si>
    <t xml:space="preserve"> 1 piece Panel Board 2P Center Main TQD Bolt on 24 holes 6 piece Circuit Breaker 2P 30A Bolt on TQC 3 piece Kilowatthour Meter Class 200  3 piece Meter base 32 meter White 80mm2 THW 32 meter Black 80mm2 THW 4 piece Split Bolt 1 piece Pull box 4x8x8</t>
  </si>
  <si>
    <t xml:space="preserve"> Labor and Materials for the connection of the Learning and Development Center Building to the Power Generator with two (2) Manholes with the following scope of work: 1. Excavation works for embedded PVC pipe 2. Layout of embedded PVC pipe 3. Construction </t>
  </si>
  <si>
    <t xml:space="preserve"> The Zamboanga State College of Marine Sciences and Technology (ZSCMST), through its Bids and Awards Committee, is inviting PhilGeps registered suppliers to apply for eligibility and to submit bids for the items mentioned hereunder: B-050-2020 SUPPLY AND D</t>
  </si>
  <si>
    <t xml:space="preserve"> 10 pcs. 10watts LED Light - ( Php220) - Php33,000.00 2 Rolls Drop Wire - (Php10,000.00) - Php20,000.00 5 Boxes PDX Wire # 12 - (Php3,300.00) - Php16,500.00 100 pcs. Lamp Holder/Shade - (Php500.00) - Php50,000.00 100 pcs. Rubber Socket - (Php65.00) - Php6,</t>
  </si>
  <si>
    <t xml:space="preserve"> Other Supplies &amp; Material Expenses</t>
  </si>
  <si>
    <t xml:space="preserve"> Please see attached file</t>
  </si>
  <si>
    <t xml:space="preserve"> OFFICE SUPPLIES Php300,604.00</t>
  </si>
  <si>
    <t xml:space="preserve"> Reference No. PR # 20-08-1072 PRICE QUOTATION FORM (BID FORM) Sealed Bids shall be dropped in the BIDDERS BOX on or before 2:00 P.M.  August 28, 2020   placed at the office of the Chairman of the College BAC. Thereafter, the Bidder's Box shall be sealed u</t>
  </si>
  <si>
    <t xml:space="preserve"> Purchase of office supplies for use of LGU's various offices</t>
  </si>
  <si>
    <t xml:space="preserve"> Republic of the Philippines MUNICIPALITY OF AGONCILLO Province of Batangas Tel. No. 043-210-2344/043-210-2117 BARANGAY SUBIC ILAYA INVITATION TO BID The LGU – Subic Ilaya, through its Bids and Awards Committee (BAC), invites suppliers/manufacturers/distri</t>
  </si>
  <si>
    <t xml:space="preserve"> Please see attached file.</t>
  </si>
  <si>
    <t xml:space="preserve"> IT SUPPLIES Php2,117,500.00</t>
  </si>
  <si>
    <t xml:space="preserve"> Drugs and medicines  Php770,000.00</t>
  </si>
  <si>
    <t xml:space="preserve"> Name of Project: 	20-07-604 Purchase of Construction Supplies and Materials for COMELEC Office Renovation (Construction of Comfort Room)   Procurement Mode:		Small Value Procurement Classification:			Goods Approved Budget for the Contract (ABC):    PhP 67</t>
  </si>
  <si>
    <t xml:space="preserve"> MEDICAL EQUIPMENT Php 1,850,000.00</t>
  </si>
  <si>
    <t xml:space="preserve"> OFFICE OF THE BIDS AND AWARDS COMMITTEE (BAC) INVITATION TO BID FOR: 20-08-640 Meals and Snacks for the Visitors, Meetings and Other Activities of the Office of the Local Chief Executive 1.	The Local Government Unit of Alamada, through the 1011-5-02-99-03</t>
  </si>
  <si>
    <t xml:space="preserve"> Name of Project: 	20-08-646 Land Survey Services for the Relocation and Subdivision Survey of the Different Government Lots in the Municipality of Alamada   Procurement Mode:		Small Value Procurement Classification:			Goods Approved Budget for the Contrac</t>
  </si>
  <si>
    <t xml:space="preserve"> OFFICE OF THE BIDS AND AWARDS COMMITTEE (BAC) INVITATION TO BID FOR: 20-08-641 Purchase of Fuel to be used for the Office of the Municipal Mayor 1.	The Local Government Unit of Alamada, through the 1011-5-02-03-090 intends to apply the sum of             </t>
  </si>
  <si>
    <t xml:space="preserve"> Victorias City Water District (VCWD), will undertake a Small Value Procurement for the Supply &amp; Delivery of Terraville Bridge Crossing Materials Lot 1 in accordance with Section 53.9 of the Implementing Rules and Regulations of Republic Act No. 9184. Name</t>
  </si>
  <si>
    <t xml:space="preserve"> Please see attached RFQ.</t>
  </si>
  <si>
    <t xml:space="preserve"> RENTAL OF WINGED VAN TRUCK &amp; HAULING RENTAL</t>
  </si>
  <si>
    <t xml:space="preserve"> CERAMIC TOILET  BOWLS</t>
  </si>
  <si>
    <t xml:space="preserve"> Republic of the Philippines Province of Oriental Mindoro Municipality of Bulalacao Invitation to Bid for   CONSTRUCTION OF 60M x 60M COMMUNITY HOSPITAL WITH SITE DEVELOPMENT            July 17, 2020 1.	The Municipality of Bulalacao, through the DOH - HFEP</t>
  </si>
  <si>
    <t xml:space="preserve"> Snacks/Lunch for 472 pax</t>
  </si>
  <si>
    <t xml:space="preserve"> Name of Project: 	20-07-609 Repair and Maintenance of Firetrucks   Procurement Mode:		Small Value Procurement Classification:			Goods Approved Budget for the Contract (ABC):    PhP 50, 264.00 BEST AND FINAL OFFER Item No.	Item &amp; Description	Quantity	Unit </t>
  </si>
  <si>
    <t xml:space="preserve"> INVITATION TO BID INSTALLATION OF STREET LIGHTS          The Barangay Hall of Barangay Guindapunan Culaba, Biliran, through the Budget for the Contract Approved by the respective Sanggunian of 2019 intends to apply the sum of One Hundred Thousand Pesos (P</t>
  </si>
  <si>
    <t xml:space="preserve"> Republic of the Philippines Province of Iloilo Municipality of Lambunao  Brgy. Pungsod Barangay Office of the Bids &amp; Awards Committee INVITATION TO BID Name of Project: Road Concreting (One Job) Location: Brgy. Pungsod, Lambunao, Iloilo ABC: Php 832,521.2</t>
  </si>
  <si>
    <t xml:space="preserve"> FIRE EXTINGUISHER</t>
  </si>
  <si>
    <t xml:space="preserve"> DRUGS AND MEDICINES</t>
  </si>
  <si>
    <t xml:space="preserve"> MID-RANGE SERVER (RAID-TYPE) (TOWER SERVER) (i-HOMIS)</t>
  </si>
  <si>
    <t xml:space="preserve"> FP MEDICAL SUPPLIES</t>
  </si>
  <si>
    <t xml:space="preserve"> PURCHASE OF STREET SIGN &amp; STREET POLE</t>
  </si>
  <si>
    <t xml:space="preserve"> EVACUATION OF OPEN LINE CANAL      RENTALS:                          1 UNIT BACKHOE (4) DAYS      MATERIALS:                         8 PCS 18" RC PIPE                         3 CU. M RIVER SAND                         13 BAGS PORTLAND CEMENT</t>
  </si>
  <si>
    <t xml:space="preserve"> REQUEST FOR QUOTATION For Negotiated Procurement thru Small Value Procurement under Sec. 53.9 of the 2016 Revised IRR of RA 9184 Quotation No.:  2020-08-302 Date: August 21, 2020 PR No.: 20-02-085 (i. 1-13) PR Date: February 7, 2020 The Metropolitan Tugue</t>
  </si>
  <si>
    <t xml:space="preserve"> REQUEST FOR QUOTATION (RFQ)  SUPPLY, DELIVERY AND INSTALLATION AND REPLACEMENT OF PARTS FOR ION CHROMATOGRAPHS (S/N: 20146, 02148 UNDER EMB-ERLSD-ELSS-ECMU RFQ NO. EMB-SVP-ERLSD-ECMU ION CHROMATOGRAPH PM 2020-0629  	 1.	The Department of Environment and N</t>
  </si>
  <si>
    <t xml:space="preserve"> MEDICAL EQUIPMENT SGH (RE-BID)</t>
  </si>
  <si>
    <t xml:space="preserve"> PLS. SEE ATTACHED PR. TOR &amp; BID DOCS FOR DETAILS</t>
  </si>
  <si>
    <t xml:space="preserve"> Construction of Slope Protection</t>
  </si>
  <si>
    <t xml:space="preserve"> ITEM	ITEM  DESCRIPTION	QTY	UNIT NO.			 1	Portland Cement	250	bags 2	CHB 4"	1500	pcs. 3	Graded Gravel 3/4" dia	12	cu.m 4	Washed Sand	24	cu.m 5	RSB deformed 10mm dia x 6m	102	pcs.</t>
  </si>
  <si>
    <t xml:space="preserve"> Republic of the Philippines MUNICIPALITY OF AGONCILLO Province of Batangas Tel. No. 043-210-2344/043-210-2117 BARANGAY SUBIC IBABA INVITATION TO BID The LGU – Subic Ibaba, through its Bids and Awards Committee (BAC), invites suppliers/manufacturers/distri</t>
  </si>
  <si>
    <t xml:space="preserve"> Name of the Procuring Entity LOCAL GOVERNMENT UNIT  Mahinog, Camiguin	Project Reference Number: 2020-GOODS-100 Name of Project: Supply &amp; Delivery of Construction Materials for Repair and Renovation of BAC Office Location of the Project:Mahinog, Camiguin 	</t>
  </si>
  <si>
    <t xml:space="preserve"> Epson EcoTank L3110      23	     9,000.00                                Epson T6641	         100	        295.00                                Epson T6642	           20	        330.00                                Epson T6643	           20	        330.0</t>
  </si>
  <si>
    <t xml:space="preserve"> Republic of the Philippines            BARANGAY LANCHETA                                                         Tacurong City, Sultan Kudarat BIDS AND AWARDS COMMITTEE                             INVITATION TO BID   				     (RE-BIDDNG)         The Brgy.</t>
  </si>
  <si>
    <t xml:space="preserve"> UNIT                     QUANTITY                      DESCRIPTION SET                             12                           INK #003 PC                               39                           EXPANDED ENVELOPE DIFFERENT COLORS PC                   </t>
  </si>
  <si>
    <t xml:space="preserve"> The Philippine Statistics Authority, National Capital Region Provincial Statistical Office I (PSA-NCR PO I), intends to Lease of Venue for the 2020 Census of Population and Housing (2020 CPH) 4th Level Training within the City of Manila on 01- 25 Septembe</t>
  </si>
  <si>
    <t xml:space="preserve"> 102	Bags	Portland Cement	 18	cu.m	Mixed Aggregates	 30	pcs	10mmoX6m RSB	 180	pcs	CHB 4'thick	 30	pcs	40x440m Floor Tiles	 1	bags	Tile Grout	 8	pcs	10ftx0.40 ga G.I Corr.Sheets	 1	klo	Umbrella  Nails	 1	lrs	Roof Sealant	 20	pcs	G.I Gutter	 16	pcs	1/4x4x8 M</t>
  </si>
  <si>
    <t xml:space="preserve"> Section I. Invitation to Bid Republic of the Philippines Province of Camiguin Municipality of Mahinog ITB NO. 2020-INFRA-010 Invitation to Bid for the Concreting of Municipal Roads in Barangay Poblacion (Portion of Castanares) 1.The Municipality of MAHINO</t>
  </si>
  <si>
    <t xml:space="preserve"> Concrete Works, Masonry Works, Steel Works and Roofing Work System  Portand Cement	269.00	 bags  Fresh Water Sand	14.95	 cu.m  Fresh Gravel Sand	22.90	 cu.m  #16 mm Ǿ RSB	900.03	 kgs  # 16 tie Wire	29.50	 kgs  Hacksaw Blade	12.00	 kgs  10mm Ǿ RSB	990.53	 </t>
  </si>
  <si>
    <t xml:space="preserve"> Republic of the Philippines            BARANGAY LANCHETA Tacurong City, Sultan Kudarat BIDS AND AWARDS COMMITTEE                                               INVITATION TO BID   				     (RE-BIDDING) 				         The Brgy. Lancheta through the Bids and A</t>
  </si>
  <si>
    <t xml:space="preserve"> VAN RENTALS</t>
  </si>
  <si>
    <t xml:space="preserve"> Please download associated components (RFQ,  BOQ and Drawings)  and submit quotation together with the requirements in a sealed envelope to SPMO on or before 25 August 2020 at 2:00 PM.</t>
  </si>
  <si>
    <t xml:space="preserve"> 1 LOT –  OMS  of Facilities – BSP Dumaguete (Supply of labor, tools and materials for the Operation and Basic Maintenance Servicing (OBMS) of the Electro-Mechanical System of the BSP Dumaguete Branch as per BSP Terms of Reference                          </t>
  </si>
  <si>
    <t xml:space="preserve"> PLEASE SEE ATTACHED FILE.</t>
  </si>
  <si>
    <t xml:space="preserve"> Please see attachment.</t>
  </si>
  <si>
    <t xml:space="preserve"> Please see attached Invitation to Bid</t>
  </si>
  <si>
    <t xml:space="preserve"> VAN RENTALS Php250,000.00</t>
  </si>
  <si>
    <t xml:space="preserve"> Educational supplies for the Reproduction of Self - learning Modules of Kibawe West District</t>
  </si>
  <si>
    <t xml:space="preserve"> Section I. Invitation to Bid Republic of the Philippines Province of Camiguin Municipality of Mahinog ITB NO. 2020-INFRA-009 Invitation to Bid for the Improvement/Rehab. of Designated Evacuation Center (Municipal Gym) 1.The Municipality of MAHINOG, intend</t>
  </si>
  <si>
    <t xml:space="preserve"> PLS. SEE ATTACHED PR, TOR &amp; BID DOCS FOR DETAILS.</t>
  </si>
  <si>
    <t xml:space="preserve"> NEGOTIATED PROCUREMENT – TWO FAILED COMPETITIVE PUBLIC BIDDINGS REQUEST FOR QUOTATION In view of the two (2) failed biddings, the BARANGAY GOVERNMENT OF TAGUMPAY, in Gabaldon, Nueva Ecija,  through its Bids and Awards Committee (BAC), invites Phil-GEPS re</t>
  </si>
  <si>
    <t xml:space="preserve"> DISTRIBUTION OF HYGIENE KIT</t>
  </si>
  <si>
    <t xml:space="preserve"> MEDICAL SUPPLIES Php25,248,950.65</t>
  </si>
  <si>
    <t xml:space="preserve"> PLS. SEE ATTACHED PR, TOR, &amp; BID DOCS FOR DETAILS.</t>
  </si>
  <si>
    <t xml:space="preserve"> PURCHASE OF SOLAR STREET LIGHT</t>
  </si>
  <si>
    <t xml:space="preserve"> PURCHASE OF ELECTRONIC BILLBOARD</t>
  </si>
  <si>
    <t xml:space="preserve"> ITEM	QTY.	       UNIT	    COMMODITY &amp; DESCRIPTION	    UNIT PRICE	AMOUNT 1	8,034	copy  	Modules Grade 7			0.60 	         4,820.40  2	10, 710	copy 	Modules Grade 8			0.60 	         6,426.00  3	9, 510	copy 	Modules Grade 9			0.60 	         5,706.00  4	7,464	</t>
  </si>
  <si>
    <t xml:space="preserve"> 6 box long bondpaer 6 box short bondpaper 4 printer inks 30 ballpens 6 signpens 2 scissors 1 staepler big 1 box staepler wire (big) 100 folders 5 white board pen</t>
  </si>
  <si>
    <t xml:space="preserve"> The Barangay Daanlungsod, Toledo City, through its Bids and Awards Committee (BAC), invites suppliers/manufacturers/distributors/contractors to apply for eligibility and to bid for the hereunder; Name of Project: Proposed Construction of MOTORPOOL SHED   </t>
  </si>
  <si>
    <t xml:space="preserve"> Kindly see attached bidding documents</t>
  </si>
  <si>
    <t xml:space="preserve"> Requested by: L M. Del Rosario/CSWD</t>
  </si>
  <si>
    <t xml:space="preserve"> 1 UNIT ROAD GRADER@1DAY 1 UNIT ROAD ROLLER @ 2 DAYS 124 CU.M SELECTED COMMON BORROW/CLAY 5 LOADS MIXED AGGREGATES</t>
  </si>
  <si>
    <t xml:space="preserve"> TB-DRUGS</t>
  </si>
  <si>
    <t xml:space="preserve"> ITEM NO.	UNIT		QTY		DESCRIPTION		 							 					 LIFESTYLE RELATED DISEASE PREVENTION AND CONTROL 		 					  PROGRAM 		 					 MANAGEMENT AND TREATMENT 		 58	 100's box 		105		 Losartan 50mg tab 		 59	 100's box 		105		 Amplodipine 5mg tab 		 60	 100's box 	</t>
  </si>
  <si>
    <t xml:space="preserve"> LGU-Tagumpay, Gabaldon, Nueva Ecija				     Contract reference number:  							     Name of the Contract: Purchase of Construction Materials Standard Form Number: SF-GOOD-05				     Location of the Contract: Brgy.Tagumpay, Gabaldon, Nueva Ecija Revised on</t>
  </si>
  <si>
    <t xml:space="preserve"> 6 Cubic Feet Top Chest Dual Function Freezer Dual Function - Freezer and Cooler 8 Level Frontal Temperature Control Frontal Drain Aluminum Inner Lining Grip Handle Key Lock Single Wire Basket Roller Feet 122 W Input Power</t>
  </si>
  <si>
    <t xml:space="preserve"> OFFICE SUPPLIES &amp; EQUIPMENT</t>
  </si>
  <si>
    <t xml:space="preserve"> MASS FEEDING</t>
  </si>
  <si>
    <t xml:space="preserve"> ZERO WASTE MANAGEMENT</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</si>
  <si>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</si>
  <si>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54 Quarts Insulated Hinged Cooler Dimension approx. 64(L) x 37 (W) x 42 (H) cm Weight Approx. 5.3 kg Capacity 54 Quartz / 69 can Ice retention period : 1 day at 32 degree celcius Molded handles for easy controlled lifting and carrying</t>
  </si>
  <si>
    <t xml:space="preserve"> PURCHASE OF OFFICE SUPPLIES</t>
  </si>
  <si>
    <t xml:space="preserve"> PTC for Sharp Toner Sharp DX 25FT Black Toner Sharp DX 25FT Cyan Toner Sharp DX 25FT Magenta Toner Sharp DX 25FT Yellow</t>
  </si>
  <si>
    <t xml:space="preserve"> NAME OF PROJECT: Installation of Window Grills at the Back of DPWH Building #2 LOCATION		  : MLQ St. Bagumbayan, Taguig City  PROCUREMENT MODE : Small Value Procurement  CLASSIFICATION    : Installation of Window Grills APPROVED BUDGET FOR THE CONTACT  :P</t>
  </si>
  <si>
    <t xml:space="preserve"> Vehicle Rental for Delivery of PPEs and Medical Supplies in Various Areas in Luzon</t>
  </si>
  <si>
    <t xml:space="preserve"> REQUEST FOR QUOTATION (RFQ)  SUPPLY AND DELIVERY OF COMPUTER SUPPLIES FOR ORGANICS LABORATORY UNIT  RFQ NO. EMB-ERLSD-ELSS-SHOPPING-0036-7-22-2020   1.	The Department of Environment and Natural Resources – Environmental Management Bureau (DENR-EMB) herein</t>
  </si>
  <si>
    <t xml:space="preserve"> Supply and delivery of various inks for use at Rural Health Unit</t>
  </si>
  <si>
    <t xml:space="preserve"> Prospective bidders should have completed a similar contract with a value of at least 50% of the ABC. The BAC will use non-discretionary pass/fail criteria in the eligibility check/screening as well as the preliminary examination of bids. The BAC will con</t>
  </si>
  <si>
    <t xml:space="preserve"> RFQ -SUPPLY AND DELIVERY OF MATERIALS FOR THE ENHANCEMENT/CONSTRUCTION OF IRRIGATION/SHALLOW TUBE WELLS</t>
  </si>
  <si>
    <t xml:space="preserve"> Please see attached Terms of Reference</t>
  </si>
  <si>
    <t xml:space="preserve"> DISTRIBUTION OF VITAMINS 1ST TO 3RD QUARTER</t>
  </si>
  <si>
    <t xml:space="preserve"> DISTRIBUTION OF VITAMINS</t>
  </si>
  <si>
    <t xml:space="preserve"> The Barangay Daanlungsod, Toledo City, through its Bids and Awards Committee (BAC), invites suppliers/manufacturers/distributors/contractors to apply for eligibility and to bid for the hereunder; Name of Project: Proposed Road Concreting at Mahayahay, Daa</t>
  </si>
  <si>
    <t xml:space="preserve"> OTHER SUPPLIES &amp; MATERIALS</t>
  </si>
  <si>
    <t xml:space="preserve"> Technical Specifications: A4, Sub20, 70gsm                                     Stapler, Heavy duty Approved Budget for the Contract: Php 77,749.00 Property No.     Unit                                  Item Description                    Quantity     Unit</t>
  </si>
  <si>
    <t xml:space="preserve"> Name of the Procuring Entity LOCAL GOVERNMENT UNIT  Mahinog, Camiguin	Project Reference Number: 2020-GOODS-101 Name of Project: Supply &amp; Delivery of Construction Materials for Construction of Commemorative Mark Location of the Project:Mahinog, Camiguin 	 </t>
  </si>
  <si>
    <t xml:space="preserve"> PROVIDES MEDICINE, MEDICAL ASSISTANCE TO INDIGENT FAMILY</t>
  </si>
  <si>
    <t xml:space="preserve"> Concreting of Parking  Lot/Area and Driveway Barangay Limao, Calauan, Laguna</t>
  </si>
  <si>
    <t xml:space="preserve"> ITEM	   QTY.	    UNIT	      COMMODITY &amp; DESCRIPTION		UNIT PRICE	AMOUNT 1	   345   	    copy	         Modules Kindergarten		            0.60                 207.00  2	  1704	    copy	         Modules Grade I				    0.60 	         1,022.40  3	  3276   	    </t>
  </si>
  <si>
    <t xml:space="preserve"> 50	 pc 	BATTERY, dry cell, AA, 2 pcs per blister pack 20	 pc 	AIR FRESHENER, 280mL 30	 bottle ALCOHOL, 70%, ethyl 24	 pc 	BALLPEN, red 24	 box 	CLIP, backfold, all metal, clamping:19mm, 12s/box 24	 box 	CLIP, backfold, all metal, clamping: 25mm, 12s/box 2</t>
  </si>
  <si>
    <t xml:space="preserve"> Supply and delivery of Shredder for use at OMM</t>
  </si>
  <si>
    <t xml:space="preserve"> Bondpaper A4 70 gsm 800 reams</t>
  </si>
  <si>
    <t xml:space="preserve"> Procurement of  4 unit tent 2×3 24,920 Chair monoblock 100 pcs@ 603 Table 10 pcs@ 4002</t>
  </si>
  <si>
    <t xml:space="preserve"> Supply and delivery of various supply and materials for glass partition at LNB Office</t>
  </si>
  <si>
    <t xml:space="preserve"> Supply and delivery of rain coat and rain boots for use of STMO</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</si>
  <si>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</si>
  <si>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Parts and labor for the repair and maintenance of different vehicle and ambulance of MDRRMO</t>
  </si>
  <si>
    <t xml:space="preserve"> Please see attached bid docs...</t>
  </si>
  <si>
    <t xml:space="preserve"> REQUEST FOR EXPRESSION OF INTEREST (EOI)   PROCUREMENT OF CONSULTING SERVICES FOR THE IMPLEMENTATION OF THE PERFORMANCE GOVERNANCE SYSTEM (PGS) AND ATTAINMENT OF PGS INITIATION AND COMPLIANCE STAGES FOR THE CITY GOVERNMENT OF BAGUIO  1. The City Human Res</t>
  </si>
  <si>
    <t xml:space="preserve"> see attached Purchase Request</t>
  </si>
  <si>
    <t xml:space="preserve"> PLS. SEE ATTACHED PR, TOR, BID DOCS FOR DETAILS.</t>
  </si>
  <si>
    <t xml:space="preserve"> Name of the Procuring Entity LOCAL GOVERNMENT UNIT  Mahinog, Camiguin	Project Reference Number: 2020-GOODS-103 Name of Project: Supply &amp; Delivery of IT Equipment  Location of the Project:Mahinog, Camiguin 	 Standard Form Number: SF-GOOD-05 Revised on: Jul</t>
  </si>
  <si>
    <t xml:space="preserve"> toner  (TK-8529K)  toner  (TK-8529Y)  toner  (TK-8529M)  toner  (TK-8529C)  toner (TN516)</t>
  </si>
  <si>
    <t xml:space="preserve"> REQUEST FOR QUOTATION (RFQ) 	The PHILIPPINE PORTS AUTHORITY- SURIGAO PORTS SERVICES, PMO-Surigao, through its Bids and Awards Committee (BAC), hereby notifies entities duly registered with the Philippine Government Electronic Procurement System (PhilGEPS)</t>
  </si>
  <si>
    <t xml:space="preserve"> Supply and Delivery of Android Tablets for the conduct of Video teleconferencing (Online Meetings, Webinars, Online Class Simulations and Observations) at SDO Marikina City Android Tablet, Octa Core CPU up to 2.3 GHz, 4GB LPDDR4X RAM + 64GB ROM + 64GB Mic</t>
  </si>
  <si>
    <t xml:space="preserve"> Supply and delivery of office supplies, laptop, printer , table and chairs for use at Market Admin. Office</t>
  </si>
  <si>
    <t xml:space="preserve"> To support the 3rd and 4th Quarter CY-2020 AMOS of 220th AW.</t>
  </si>
  <si>
    <t xml:space="preserve"> Furnishing of Materials for Repair and Improvement of Barangay Stage</t>
  </si>
  <si>
    <t xml:space="preserve"> Name of the Procuring Entity LOCAL GOVERNMENT UNIT  Mahinog, Camiguin	Project Reference Number: 2020-GOODS-102 Name of Project: Supply &amp; Delivery of Equipment and Gadgets for  a Coastal Law Enforcement Action Network (ACLEAN) Location of the Project:Mahin</t>
  </si>
  <si>
    <t xml:space="preserve"> Procurement of Drainage Cover 20 pcs @ 5000 per pc.</t>
  </si>
  <si>
    <t xml:space="preserve"> REHABILITATION OF 18 METERS STONE RIPRAP WITH CONCRETE FACING (ALONG PUROK 3) A. STONE RIPRAP 50 bags Portland cement  4 cu.m washed sand 16 cu.m Boulders B. RUBBLE CONCRETE &amp; FACING 40 bags Portland cement 4.0 cu.m washed sand 4.0 cu.m washed gravel 40 p</t>
  </si>
  <si>
    <t xml:space="preserve"> CONSTRUCTION OF 85 L.M X 4m X 4m DRAINAGE SYSTEM 95 pcs. CHB 4'' 95 bags Portland cement 12 cu.m washed sand 8 cu.m washed gravel 120 pcs. 10mm dia. X 6.0m RSB 2 pcs. 1/4'' thk. Ord. Plywood 8 pcs. 2''x2''x12' form lumber 2 pcs. Hacksaw Blade  4 Kls. cw n</t>
  </si>
  <si>
    <t xml:space="preserve"> DESCRIPTION Republic of the Philippines Province of Oriental Mindoro MUNICIPALITY OF NAUJAN SANGGUNIANG KABATAAN NG BARANGAY MALVAR BIDS AND AWARDS COMMITTEE INVITATION TO BID SUPPLY AND DELIVERY OF PERSONAL ANTI-VIRUS MATERIALS AND HYGIENE KITS TO BE DIS</t>
  </si>
  <si>
    <t xml:space="preserve"> PLEASE SEE ATTACHED PDF FILE OF PURCHASE REQUEST FOR REFERENCE</t>
  </si>
  <si>
    <t xml:space="preserve"> INSTALLATION OF FLOOR TILES, PARTITION, DOORS &amp; PAINTING 140 pcs 60cm x 60 cm floor tiles 20 bags Portland cement 4 cu.m. washed cement 6 bags tile adhesive 2 pack ABC Grout 10 pcs. 1/4'' thk. Marine plywood 2 set 0.8m x 2.10m panel door w jamb 18 pcs. 2'</t>
  </si>
  <si>
    <t xml:space="preserve"> Republic of the Philippines Province of Iloilo Municipality of Lambunao Brgy.  Pandan Barangay Office of the Bids &amp; Awards Committee INVITATION TO BID Name of Project: Purchase of Materials for the Concreting of Farm to Market Road (Continuation) Location</t>
  </si>
  <si>
    <t xml:space="preserve"> Section I. Invitation to Bid Republic of the Philippines Province of Camiguin Municipality of Mahinog ITB NO. 2020-INFRA-011 Invitation to Bid for the Concreting of Municipal Roads in Barangay Poblacion (Portion of Quezon Street) 1.The Municipality of MAH</t>
  </si>
  <si>
    <t xml:space="preserve"> See attached purchase Request</t>
  </si>
  <si>
    <t xml:space="preserve"> Rizal Occidental Mindoro TESDA Training and 			PR NO.	2020-08-031	 Accreditation Center					 Sto. Niño, Rizal, Occidental Mindoro 			Approved Budget 		 			for the Contract:		PHP 90,170.00 					 Request for Quotation					 					 			Date :	August 11, 2020	 	</t>
  </si>
  <si>
    <t xml:space="preserve"> Supply and Delivery of Office Furniture for SDO-Marikina City Use Glass Top Office Table (1.6 meters, black) (IT Office Use) *Please see attached sample picture Executive Table Tempered Glass w/ side drawers (55L X 27.5W X 29.5H) (COA and Legal Office Use</t>
  </si>
  <si>
    <t xml:space="preserve"> CONSTRUCTION OF 105 L.M X 4m. X 4m. DRAINAGE SYSTEM 1,050 pcs. CHB 4'' 140 bags Portland cement 20 cu.m washed sand 10 cu.m washed gravel 160 pcs. 10mm dia. x 6.0m RSB 4 pcs. 1/4'' thk. Ord. Plywood 15 pcs. 2''x2''x12' form lumber 4 pcs. Hacksaw Blade 4 k</t>
  </si>
  <si>
    <t xml:space="preserve"> Republic of the Philippines PROVINCE OF ZAMBOANGA DEL SUR Municipality of Dumalinao Barangay Mecolong BIDS AND AWARDS COMMITTEE INVITATION TO APPLY FOR ELIGIBILITY AND TO BID The Barangay Local Government Unit of Mecolong, Dumalinao, Zamboanga del Sur, th</t>
  </si>
  <si>
    <t xml:space="preserve"> Fabrication of Movable Stage Fabrication of stage Flatform ( 15 Flatform) Fabrication of H Frame Scaffolds ( 15pcs) Fabrication of Cross BraceW/ Screw Jack &amp; Base Plate Total Project Cost: 129,800.00</t>
  </si>
  <si>
    <t xml:space="preserve"> INVITATION TO BID (ITB)  Procuring Entity : BARANGAY LOCAL GOVERNMENT UNIT BARANGAY QUIONG, LA PAZ, LEYTE Title of Project : ROAD CONCRETING  Approved Budget of the Contract (AB) : Php 115,000.00 Area of Delivery : BARANGAY QUIONG, LA PAZ, LEYTE  Descript</t>
  </si>
  <si>
    <t xml:space="preserve"> INVITATION TO BID PRINTING AND DELIVERY OF NIA WALL AND TABLE CALENDAR FOR CY 2021  ITB NO. BS-008-2020 1.	The National Irrigation Administration (NIA), through the Corporate Operating Budget (COB) for FY 2020 intends to apply the sum of Three Million Fif</t>
  </si>
  <si>
    <t xml:space="preserve"> CONRETING OF 1.0M thk. x1.0m width x 60m length pathway 199 bags Portland cement 14 cu.m washed sand 7 cu.m washed gravel 32 pcs. 12mm dia. spikes 12 pcs. 2''x4''x12' form lumber 3 kls. ass. cw nail</t>
  </si>
  <si>
    <t xml:space="preserve"> Republic of the Philippines Province of Albay Muncipality of Bacacay INVITATION TO BID FOR THE SUPPLY AND DELIVERY OF MINI DUMP TRUCK 1.	The Municipality of Bacacay, Albay, through the General Fund  intends to apply the sum of Three Million Pesos being th</t>
  </si>
  <si>
    <t xml:space="preserve"> SUPPLY AND DELIVERY OF OFFICE EQUIPMENT FOR SDS OFFICE</t>
  </si>
  <si>
    <t xml:space="preserve"> Republic of the Philippines Province of Cagayan Municipality of Sta. Teresita BARANGAY MASI INVITATION TO BID FOR THE SUPPLY AND DELIVERY OF MATERIALS AND LABOR FOR THE IMPROVEMENT OF MULTI-PURPOSE HALL ITB No. MASI005-2020 The LGU MASI, Sta. Teresita, Ca</t>
  </si>
  <si>
    <t xml:space="preserve"> Description   August 22, 2020 REQUEST FOR QUOTATION (Negotiated Procurement) ______________________ ______________________ ______________________ Please quote your lowest price inclusive of VAT subject to the TERMS AND CONDITIONS of this RFQ, and submit y</t>
  </si>
  <si>
    <t xml:space="preserve"> INSTALLATION OF PRESURRIZED WATER PUMP W/ 600 I.M WATER LINES 1 unit water pump 1.5 Hp 1 unit stainless pressure tank 82 gal. 5 rolls P.E Pipe 1'' dia. 1 unit 1'' dia. foot valve 1 unit check valve 1 unit pressure gauge 12 pcs. 1'' dia. Union Patente 12 p</t>
  </si>
  <si>
    <t xml:space="preserve"> 5,760  pcs.  Milk powder      40   tray  Egg</t>
  </si>
  <si>
    <t xml:space="preserve"> 1000	pcs	printing of module with bind (550 papges/per child) 		cover: C2S 220 board/laminated Glossy 		Inside pages: 550 pages colored back to back) 		Type of paper (inside) C2S 120 gsm/100 gsm 		binding: perfect binding</t>
  </si>
  <si>
    <t xml:space="preserve"> REQUEST FOR QUOTATION (RFQ) SUPPLY AND DELIVERY OF LABORATORY METAL STANDARDS UNDER EMBERLSD-ELSS-INORGANICS LABORATORY UNIT  RFQ NO. 2020-0675-EMB-S-ERLSD-ELSS METAL STANDARDS 1.	The Department of Environment and Natural Resources – Environmental Managem</t>
  </si>
  <si>
    <t xml:space="preserve"> Section I. Invitation to Bid Republic of the Philippines Province of Camiguin Municipality of Mahinog ITB NO. 2020-INFRA-012 Invitation to Bid for the Preparation of Municipal Roads in Barangay Poblacion (Portion of Road II Extension) 1.The Municipality o</t>
  </si>
  <si>
    <t xml:space="preserve"> REQUEST FOR QUOTATION (RFQ) SUPPLY AND DELIVERY OF BOD INCUBATOR UNDER EMB-ERLSD-ELSS-INORGANICS LABORATORY RFQ NO. 2020-0479-EMB-S-ERLSD-ELSS BOD INCUBATOR (3rd)   1.	The Department of Environment and Natural Resources – Environmental Management Bureau (</t>
  </si>
  <si>
    <t xml:space="preserve"> CONCRETING OF 93 I.m x 4.0m x 0.15m thk PCCP 447 bags Portland cement 56 cu.m. washed gravel 28 cu.m. washed sand 18 pcs. 2''x6''x12' form lumber 10 pcs. 12mm dia. x 6.0m RSB 45 pcs. 12mm dia. spikes 3 kls. ass. cw nail</t>
  </si>
  <si>
    <t xml:space="preserve"> Please see the attached Request for Quotation</t>
  </si>
  <si>
    <t xml:space="preserve"> 3	Unit	Laptop Computer				 		Processor				 		a. CPU Architecture Technology: Processor model should at least be the latest release				 		b. Base Speed Frequency: ≥ 1.8 Ghz, up to 4 Ghzc.				 		c. Cores: ≥ 4 Cores				 		d. Cache: ≥ 8MB Smart Cache				 		Op</t>
  </si>
  <si>
    <t xml:space="preserve"> PLASTIC ENVELOPE LONG (COLORED) STORAGE BOX PLASTIC (FOR MODULES) STAPLE WIRE BIG STAPLER</t>
  </si>
  <si>
    <t xml:space="preserve"> UNIT            QTY                DESCRIPTION REAM             440              A4 BONDPAPER SUBSTANCE 20 BOTTLE             3               PRINTER INK BLACK (BROTHER) BOTTLE             3               PRINTER INK YELLOW (BROTHER) BOTTLE             3 </t>
  </si>
  <si>
    <t xml:space="preserve"> Local Government Unit of Cordon Invitation to Bid for LAND DEVELOPMENT AND HOUSE CONSTRUCTION CORDON IP HOUSING PROJECT AT BARANGAY WIGAN, CORDON, ISABELA 1.	The Local Government Unit of Cordon, through the National Housing Authority (NHA) intends to appl</t>
  </si>
  <si>
    <t xml:space="preserve"> REQUEST FOR QUOTATION The Local Government Unit of Barangay Sicul, through its Supplemental Fund, will undertake a Negotiated Procurement – Small Value Procurement for the “Supply and Delivery of IT Equipment and Software,” in accordance with Section 53.9</t>
  </si>
  <si>
    <t xml:space="preserve"> 12  box  Latex Medical Examination Gloves (medium) 6    box  MC Lance blood lancet 7    gal   Alcohol 2    gal   Lysol Pine scent 3    tube KY jelly 350grms. 30  box   Face mask 4    tube  Leukoplast paster hospital size 6    box   Blue cross biotix  10  </t>
  </si>
  <si>
    <t xml:space="preserve"> Republic of the Philippines Province of Cagayan Municipality of Sta. Teresita BARANGAY SIMPATUYO INVITATION TO BID FOR THE SUPPLY AND DELIVERY OF MATERIALS AND LABOR FOR THE R/M OF MULTI-PURPOSE CENTER PHASE III ITB No. BSS-002-2020 The LGU SIMPATUYO, Sta</t>
  </si>
  <si>
    <t xml:space="preserve"> RFQ - SUPPLY AND DELIVERY OF MATERIALS FOR THE CONSTRUCTION OF ANIMAL POUND</t>
  </si>
  <si>
    <t xml:space="preserve"> REQUEST FOR QUOTATION (RFQ)  SUPPLY, DELIVERY AND INSTALLATION OF ECD DETECTORS FOR GAS CHROMATOGRAPH (S/N:C11804700447) UNDER EMB-ERLSD-ELSS-ECMU RFQ NO. 2020-0648-EMB-SVP-ERLSD-ECMU ECD DETECTORS SDI   1.	The Department of Environment and Natural Resour</t>
  </si>
  <si>
    <t xml:space="preserve"> REQUEST FOR QUOTATION (RFQ)  PREVENTIVE MAINTENANCE OF ONE (1) LOT AUTOMATED DIOXIN CLEANUP SYSTEM (S/N:401059) WITH SUPPLY, DELIVERY AND INSTALLATION OF SPARE PART(S) UNDER EMB-ERLSD-ECMU RFQ NO. EMB-SVP-ERLSD-ECMU ADCS PM 2020-0466(3rd)   1.	The Departm</t>
  </si>
  <si>
    <t xml:space="preserve"> CONSTRUCTION OF DRAINAGE CANAL ALONG PUROK BOUGAINVILLA @ Barangay Magugpo North, Tagum City Project Description: 17.00 In.m (approx.)</t>
  </si>
  <si>
    <t xml:space="preserve"> Please see attached Request for Quotation form.</t>
  </si>
  <si>
    <t xml:space="preserve"> REQUEST FOR QUOTATION (RFQ)  PREVENTIVE MAINTENANCE AND CALIBRATION MERCURY ANALYZER, ANALYTIC JENA AG (S/N:K170A0158) WITH SUPPLY, DELIVERY AND INSTALLATION OF SPAREPARTS UNDER EMB-ERLSD-ECMU RFQ NO. 2020-0502-EMB-SVP-ERLSD-ECMU ANALYTIC JENA PM(2nd)  1.</t>
  </si>
  <si>
    <t xml:space="preserve"> Republic of the Philippines Province of Cagayan Municipality of Sta. Teresita BARANGAY SIMPATUYO INVITATION TO BID FOR THE SUPPLY AND DELIVERY OF MATERIALS AND LABOR FOR THE R/M OF MULTI-PURPOSE CENTER PHASE V ITB No. BSS-001-2020 The LGU SIMPATUYO, Sta. </t>
  </si>
  <si>
    <t xml:space="preserve"> Republic of the Philippines PROVINCE OF AGUSAN DEL SUR Municipality of Sta. Josefa OFFICE OF THE BIDS AND AWARDS COMMITTEE REQUEST FOR QUOTATION Price Quotation No. SJADS SVP: 2020-27 The Local Government Unit, Sta. Josefa, Agusan del Sur, through its Bid</t>
  </si>
  <si>
    <t xml:space="preserve"> REQUEST FOR QUOTATION (RFQ)  PREVENTIVE MAINTENANCE AND CALIBRATION SERVICES OF ONE (1) WATER PURIFICATION SYSTEM (SMART-N-SERIES) (S/N:19050328N30VF) WITH SUPPLY, DELIVERY AND INSTALLATION OF CONSUMABLES  UNDER EMB-ERLSD-ECMU RFQ NO. 2020-0475-EMB-SVP-ER</t>
  </si>
  <si>
    <t xml:space="preserve"> Republic of the Philippines Province of Ilocos Norte MUNICIPALITY OF CURRIMAO INVITATION TO BID FOR THE  PURCHASE OF IT EQUIPMENTS 1.	The [MUNICIPALITY OF CURRIMAO], through the LGU Fund intends to apply the sum of  [Four Hundred Sixty Two Thousand Pesos </t>
  </si>
  <si>
    <t xml:space="preserve"> REQUEST FOR QUOTATION (RFQ) SUPPLY AND DELIVERY OF LABORATORY CONSUMABLES UNDER EMB-ERLSD-ENVIRONMENTAL LABORATORY SERVICES SECTION (ELSS) INORGANICS LABORATORY UNIT RFQ NO. 2020-0531-EMB-S-ERLSD-ELSS LABORATORY CONSUMABLES (4th) 1.	The Department of Envi</t>
  </si>
  <si>
    <t xml:space="preserve"> Republic of the Philippines Province of Cagayan Municipality of Sta. Teresita BARANGAY CANIUGAN INVITATION TO BID FOR THE SUPPLY AND DELIVERY OF MATERIALS AND LABOR FOR THE CONTINUATION OF ROAD CONCRETING AT BARANGAY CANIUGAN ITB No. CW-001-2020 The LGU C</t>
  </si>
  <si>
    <t xml:space="preserve"> REQUEST FOR QUOTATION (RFQ)  SUPPLY AND DELIVERY OF LABORATORY CONSUMABLES UNDER EMB-ERLSD-ENVIRONMENTAL LABORATORY SERVICES SECTION (ELSS) INORGANICS LABORATORY UNIT  RFQ NO. EMB-S-ERLSD-ELSS LABORATORY CONSUMABLES 2020-0538(4th) 1.	The Department of Env</t>
  </si>
  <si>
    <t xml:space="preserve"> For interested suppliers, kindly submit the ff. on sealed and signed envelopes: ENVELOPE 1 - Business Registration Requirements: a.) DTI Cert or Articles of Incorporation b.) PhilGEPS Certificate c.) 2020 Mayor's Permit d.) BIR Registration e.) Company Pr</t>
  </si>
  <si>
    <t xml:space="preserve"> Supply of Labor and Materials for the Emergency Repair of POPCOM IV-A Regional Office Roof SCOPE OF WORKS: a)	Mobilization/ Demobilization b)	Dismantling of existing corrugated roof panel (213.4 lms) c)	Installation of new corrugated roof panel (long span</t>
  </si>
  <si>
    <t xml:space="preserve"> Republic of the Philippines PROVINCE OF AGUSAN DEL SUR Municipality of Sta. Josefa OFFICE OF THE BIDS AND AWARDS COMMITTEE REQUEST FOR QUOTATION Price Quotation No. SJADS SVP: 2020-26 The Local Government Unit, Sta. Josefa, Agusan del Sur, through its Bid</t>
  </si>
  <si>
    <t xml:space="preserve"> REQUEST FOR QUOTATION (RFQ) SUPPLY AND DELIVERY OF LABORATORY CONSUMABLES UNDER EMB-ERLSD-ELSS-INORGANICS LABORATORY UNIT  RFQ NO. 2020-0257-EMB-S-ERLSD-ELSS CONSUMABLES(3rd) 1.	The Department of Environment and Natural Resources – Environmental Managemen</t>
  </si>
  <si>
    <t xml:space="preserve"> REQUEST FOR QUOTATION (RFQ) PRINTING OF ENTRY POINTS FOR MAINSTREAMING EBA UNDER EMB-CCD RFQ NO. EMB-PROP.-SHOPPING-G-121-8-20-2020   1.	The Department of Environment and Natural Resources – Environmental Management Bureau (DENR-EMB) hereinafter referred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</si>
  <si>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</si>
  <si>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see attached documents</t>
  </si>
  <si>
    <t xml:space="preserve"> ELECTRICAL SUPPLIES FOR THE SERVER AND NETWORK BACKUP POWER TO PREVENT POWER DISRUPTION						 Description | Quantity | Unit | Price Deep Cycle Battery (12volts, 200AH)		4	pcs	Php 14,995.00 = Php 59,980.00 Big Alligator Clip with 10mm Wire Cable for 12volt</t>
  </si>
  <si>
    <t xml:space="preserve"> 5 PCS.    TROPHY 100 PCS. T-SHIRT 55 PCS.   FOOD PACKS</t>
  </si>
  <si>
    <t xml:space="preserve"> 1.	Supply and Delivery of 12,844 bags Hybrid Rice Seeds TOTAL ABC: 62,507,200.00  Line item 1: Supply and delivery of 2,141 bags NSIC RC 314H Hybrid Rice Seeds ABC: 10,705,000.00 Specifications: -	Packed at 15kg/bag for Private Hybrid -	With minimum 90% g</t>
  </si>
  <si>
    <t xml:space="preserve"> Item no. Qty. Unit of Issue  Item Description 1            1         unit            Duplicating Machine                                               High-speed 130 ppm printing                                               300x600 dpi                   </t>
  </si>
  <si>
    <t xml:space="preserve"> CONCRETING OF 0.15m thk. x 4.0m x32. I.m. BARANGAY ROAD 154 bags Portland cement 20 cu.m. washed gravel 10 cu.m washed sand 10 pcs. 2''x6''x12' form lumber 3 pcs. 10mm dia. x 6.0m RSB 15 pcs. 12mm dia. Spikes 2 kls. ass. cw nail</t>
  </si>
  <si>
    <t xml:space="preserve"> 1 set deskstop computer intel core i3 9100t 8gB DDR4 Memory, PC2666 1TB H WD Hard disk DVDRW, Mouse, Keyboard AWR UPS 24" Monitor Led Monitor 1 pc Printer 4 in 1 ADF 4 Pcs 1TB external hard drive</t>
  </si>
  <si>
    <t xml:space="preserve"> 26	units	Heavy-duty stand fan 16"  		Color: Black  		Oscillating function with 3-speed control 		High performance motor with thermal fuse 		Heavy-duty metal and fan guard 		Thermally-protected motor power 		Watts: 60; Voltage: 230v a.c. 		Frequency: 60 Hz</t>
  </si>
  <si>
    <t xml:space="preserve"> Republic of the Philippines						 			Department of Health						 			Cagayan Valley Center for Health Development						 			Tuguegarao City, Cagayan						 									 						                                                         Request for Quoatation Number-</t>
  </si>
  <si>
    <t xml:space="preserve"> 1.	Supply and Delivery of 58,618 bags Urea Fertilizer ABC: 58,618,000.00  Specifications: -	50 kg per bag with plastic lining as per FPA Standard -	Not less than 45% Nitrogen content following FPA Standard -	Granular Additional Requirements: -	Bags shall </t>
  </si>
  <si>
    <t xml:space="preserve"> RIPRAPING OF 1.5m ht. x .3m thick x 30 i.m length w/ .60m x 6m x 30m STONE MASONRY 115 bags Portland cement  24 cu.m. boulder 8 cu.m. common borrow 4 cu.m. washed gravel 9 cu.m. washed sand 2 pcs. 1/4'' thk. ordinary plywood 4 pcs. 2''x2''x12' form lumber</t>
  </si>
  <si>
    <t xml:space="preserve"> Particular                                                              1.Spade                                                                    2.Spading Fork                                                          3.Hoe                               </t>
  </si>
  <si>
    <t xml:space="preserve"> 26	pcs	Personal folding table 		UV protected HDPE, adjust folding X-frame 		with three adjustible height settings 		light-weight design and stain-resistant Purpose: For use in the quarantine facility rooms. delivery 3 CD</t>
  </si>
  <si>
    <t xml:space="preserve"> Shipping of PPEs, Food Packs, Vitamins and Hygiene Kits C34 for Support to BPAs and Other Similar Facilities in relation to COVID-19 Inside Pages: 1) Weight: 2 Small boxes with 5-8 kg per box; Medium box with 17-20 kg 2) Sizes: a. Small box 1: 18 inches l</t>
  </si>
  <si>
    <t xml:space="preserve"> REQUEST FOR QUOTATION (RFQ) SUPPLY AND DELIVERY OF STANDARD FOR AIR ANALYSES UNDER EMB-ERLSD-ELSS-INORGANICS LABORATORY RFQ NO. 2020-0489-EMB-S-ERLSD-ELSS AIR ANALYSES STANDARDS(3rd) 1.	The Department of Environment and Natural Resources – Environmental M</t>
  </si>
  <si>
    <t xml:space="preserve"> Please see attached associated component.</t>
  </si>
  <si>
    <t xml:space="preserve"> JOSE B. LINGAD MEMORIAL REGIONAL HOSPITAL City of San Fernando, Pampanga Tel. No. (045) 961-3921 Date: August 21, 2020 No. 2020 – 08 - 262-S REQUEST FOR QUOTATION (Name of Agency) (Address) Sir/Madam: Please quote your lowest price on the item/s listed be</t>
  </si>
  <si>
    <t xml:space="preserve"> RFQ&gt;&gt;&gt; Reproduction of Learners Modules | Quezon Hill NHS | ABC=P156,600.00 208,800 pcs -learners modules (module 1 week 1) a4, 80 gsm back to back</t>
  </si>
  <si>
    <t xml:space="preserve"> 2. Procurement ID/Contract ID:	RFQ-022-2020 Contract Name:	PROCUREMENT OF SUPPLY AND DELIVERY OF MATERIALS/TOOLS USED FOR MISCELLANEOUS REPAIR/MAINTENANCE OF DPWH COMPOUND CAPIZ 1ST DISTRICT ENGINEERING OFFICE. Contract Location:	DPWH-CAPIZ 1ST DEO, KM. 1</t>
  </si>
  <si>
    <t xml:space="preserve"> The Barangay Officials and its Bids and Awards Committee (BAC), Invites Eligible Biders to Bid the hereunder projects: Name of Project: Repair and Construction of the new Distribution on line by Purok 2,3,4  Location:  Barangay Tubod, Isabel, Leyte Amount</t>
  </si>
  <si>
    <t xml:space="preserve"> PROCUREMENT OF CONSULTANCY SERVICES (INDIVIDUAL) FOR THE REVIEW AND EVALUATION OF THE DSWD SELF-INSTRUCTIONAL MANUAL FOR SOCIAL WORKERS IN ASSESSING DISCERNMENT OF CICL JJWC NNP NO. 20-017 The Juvenile Justice and Welfare Council (JJWC), through the Polic</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</si>
  <si>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</si>
  <si>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The Schools Division Office of San Juan City through its Bids and Awards Committee (BAC) shall undertake an Alternative Mode of Procurement through Negotiated Procurement (Section 53.9, Small Value Procurement of the Revised Implementing Rules and Regulat</t>
  </si>
  <si>
    <t xml:space="preserve"> 1. Procurement ID/Contract ID:	RFQ-021-2020 Contract Name:	PROCUREMENT OF MATERIALS FOR THE REPAINTING OF BRIDGES, GUARDRAILS, DRAINAGE MARKERS, CURBS AND GUTTER AND SIGNAGES POSTS IN CONNECTION WITH THE REPAIR/MAINTENANCE OF NATIONAL ROADS AND BRIDGES (D</t>
  </si>
  <si>
    <t xml:space="preserve"> Republic of the Philippines CITY GOVERNMENT OF SAN FERNANDO Barangay Puspus - SK Email: brgy_puspus_csf@yahoo.com.ph INVITATION TO BID FOR  Construction of E-Library and Teen Center Barangay Puspus, City of San Fernando 1.	The Barangay Puspus-SK, through </t>
  </si>
  <si>
    <t xml:space="preserve"> Description   INVITATION TO APPLY FOR ELIGIBILITY AND TO BID The Municipality of San Pablo Province of Zamboanga del Sur, through its Bids and Awards Committee (BAC), invites all interested suppliers/manufacturers/distributors/contractors to apply for eli</t>
  </si>
  <si>
    <t xml:space="preserve"> REQUEST FOR QUOTATION (RFQ) SUPPLY AND DELIVERY OF DIGITAL BAROMETER UNDER EMB-ERLSD-ENVIRONMENTAL LABORATORY SERVICES SECTION (ELSS)-ECMU RFQ NO. 2020-0673-EMB-S-ERLSD-ELSS DIGITAL BAROMETER 1.	The Department of Environment and Natural Resources – Enviro</t>
  </si>
  <si>
    <t xml:space="preserve"> RFQ&gt;&gt;&gt; Reproduction of Modules | Manuel Roxas ES  ABC=P224,217.88 373,696 sheet short bond paper, 70 gsm</t>
  </si>
  <si>
    <t xml:space="preserve"> UNIT                 QUANTITY                                      DESCRIPTION REAMS               212                                               A4 SUBS. 20		 BOT.                    14                                               EPSON INK BLACK BOT</t>
  </si>
  <si>
    <t xml:space="preserve"> 4. Procurement ID/Contract ID:	RFQ-024-2020 Contract Name:	PROCUREMENT OF ROAD SIGNS FOR ROAD SAFETY TO BE USED IN THE REPAIR/MAINTENANCE OF NATIONAL ROADS AND BRIDGES (DISTRICTWIDE) Contract Location:	DPWH-CAPIZ 1ST DEO, KM. 1, ROXAS CITY Brief Descripti</t>
  </si>
  <si>
    <t xml:space="preserve"> Procurement of Supplies MOOE Subsidy for LIGURON ES</t>
  </si>
  <si>
    <t xml:space="preserve"> 200 PCS.      T-SHIRT 200 PCS.      ILLUSTRATION BOARD 1     BOX      OIL PASTEL 30   BOXES   PENCIL 10   BOXES   BALLPEN 10   REAMS   BONDPAPER 50   PCS.       RULER 15   PCS.       TROPHIES 15   PCS.       MEDAL 2     PCS.      TARPAULIN 150  PACKS   FO</t>
  </si>
  <si>
    <t xml:space="preserve"> 150 PCS.     T-SHIRT 2     PCS.     TARPAULINE 5     PCS.     TROPHY 200  PACKS  FOOD PACKS</t>
  </si>
  <si>
    <t xml:space="preserve"> Wireless Handheld Barcode Scanner		2	unit &gt;Data type：1D/2D			 &gt;Interface：USB			 &gt;Wireless：2.4g / Bluetooth			 &gt;QR Laser Bar Code Reader			 Portable Sheet-Fed Document		1 	unit &gt;Sensor Type: CIS			 &gt;Light Source: RGB LED			 &gt;Output Resolution: 50 - 1,200 d</t>
  </si>
  <si>
    <t xml:space="preserve"> INVITATION TO BID Barangay Camindoroan, San Nicolas, Pangasinan through its Bids and Awards Committee (BAC), invites suppliers/manufacturers/distributor/contractor to apply for eligibility and to bid for the hereunder project: Name of the Contract : PURCH</t>
  </si>
  <si>
    <t xml:space="preserve"> 3. Procurement ID/Contract ID:	RFQ-023-2020 Contract Name:	PROCUREMENT AND DELIVERY OF COMPUTERS AND ACCESSORIES TO BE USED IN THE PLANNING &amp; DESIGN SECTION, CONSTRUCTION SECTION AND OFFICE OF THE DISTRICT ENGINEER IN CONNECTION WITH THE CONDUCT OF FEASIB</t>
  </si>
  <si>
    <t xml:space="preserve"> Iba Integrated School Supplemental APP School and Office supplies and Consumables</t>
  </si>
  <si>
    <t xml:space="preserve"> In-Ear Headphone with Wireless USB Dongle Bluetooth Adapter Receiver USB Dongle Receiver		2	pc &gt;Wireless Bluetooth Earphone Sport Bass Sound Speed Charging Headset Magnetic Earbuds 3 Button Remote Mic			 &gt;play time: about 8 Hours			 &gt;Volume Control: Yes		</t>
  </si>
  <si>
    <t xml:space="preserve"> 20 	pcs	Angle bar 1/4"x2"x2"  40 	kgs	Welding Rod  12 	pcs	 Hacksaw Blade  9 	gals	Red Oxide  9 	gals	Aluminum Paint  7 	pcs	Paint Brush #3  8 	kgs	Tie Wire #16  28 	pcs	Angle bar 1/4"x2 1/2"x2 1/2"  31 	pcs	C-Purlins 1.5mmx2"x6"  8 	pcs	16mm Plain Bar  6</t>
  </si>
  <si>
    <t xml:space="preserve"> Purchase of two (2) tablet mini for official use of NEDA Region IV-A with the following specifications: Capacity: 256GB Chip: A12 Bionicchip Connectivities: Wi-Fi + Cellular 802.11ac Wi-Fi and Gigabit-class LTE cellular data SIM Card: Nano‑SIM Size: 7.9-i</t>
  </si>
  <si>
    <t xml:space="preserve"> Request for Quotation Please quote your lowest price on the item(s) listed below, subject to the Terms and Conditions stated below and submit your quotation duly signed by your representative not later than 10:00am of August 27, 2020 in the return envelop</t>
  </si>
  <si>
    <t xml:space="preserve"> Ionizer with Air Purifier and Humidifier		5 	unit &gt;Purification rate: 99.98% PM 2.5			 &gt;4 stage purification			 &gt;Soft Touch keys			 &gt;Effective Area: up to 30sqm			 Water- based Scent Solution for humidifier		5 	bottle &gt;100 ml minimum</t>
  </si>
  <si>
    <t xml:space="preserve"> 1 14 Pcs Helmet (full mask)  2 14 Pcs Pack Bag/ Water proof</t>
  </si>
  <si>
    <t xml:space="preserve"> Item No.	Item and Specification ABC LOT 1: FORESTRY LABORATORY EQUIPMENT (ABC: PHP,834,500.00) 1	1	unit	VERTICAL BANDSAW 2	1	unit	CIRCULAR SAW 3	5	unit	BINOCULARS FOCUSING SYSTEM 4	1	unit	200X0.001G 1MG DIGITAL ANALYTICAL BALANCE PRECISION SCALE for Labor</t>
  </si>
  <si>
    <t xml:space="preserve"> 1 UNIT COMPUTER SET W/ PRINTER AND FACE RECOGNATION DESCRIPTIONS 1 PC INTEL 17-9100F / H31O 1 PC PALIT GEFORCE GTX 1660TI 1 PC 32 GB RAM 1 PC EVO 250GB 1 PC HDD 1TB WD BLACK 1 PC 24' 144HZ MONITOR 4 PCS LED FAN 1 PC POWER SUPPLY K650 1 PC TOWER CASING AGI</t>
  </si>
  <si>
    <t xml:space="preserve"> THE PROCURING ENTITY THROUGH ITS BIDS AND AWARDS COMMITTEE INVITES SUPPLIER TO QUOTE FOR THE HEREUNDER PROJECT/PROGRAM: IMPROVEMENT OF DRAINAGE CANAL - 20% EDF (2016, 2018, 2019) ITEMS DESCRIPTION	ABC/UNIT	QTY	UNIT 1 Various Construction Materials (Hardwa</t>
  </si>
  <si>
    <t xml:space="preserve"> 1  1 UNIT HEPA FILTER/ AIR PURIFIER SPECIFICATIONS: FILTRATION ACCURACY RATE OF 0.001 MICRONS, WASHABLE, REUSABLE FILTERS, 25 DECIBELS ACOUSTIC, LARGE AREA COVERAGE UP TO 100 M2, OZONE 10PPH, APPLICATION AREA: 60-100SQM, VOLTAGE 220, RATED FREQUENCY: 60HZ</t>
  </si>
  <si>
    <t xml:space="preserve"> 1 5,000 PC TRASHBAG YELLOW MEDIUM  2 5,000 PC TRASHBAG GREEN MEDIUM  3 5,000 PC TRASHBAG BLACK MEDIUM</t>
  </si>
  <si>
    <t xml:space="preserve"> 30 Pcs - Pre-Fab 25W PV Solar Panels, 100w power with free installation</t>
  </si>
  <si>
    <t xml:space="preserve"> Ink Canon Pixma PGI 35	5	cart &gt;black		 Ink Canon Pixma PGI 36	5	cart &gt;colored		 Toner HP 85A	20	cart &gt;black		 Transparency OHP Acetate	3	box &gt;A4 size		 &gt;0.4 thickness		 Glue Stick	20	pc &gt;extra strength		 &gt;25g		 Pencil with eraser	5	box &gt;12 pcs/box		 BALL </t>
  </si>
  <si>
    <t xml:space="preserve"> Supplies needed for Domestic Works NCII Training  Unit 	Item Description	Quantity 		 pcs	cleaning detergents	5 btl	liquid detergents	5 btl	cleaning solutions	5 pcs	cleaners	5 btl	toilet disinfectant	5 pcs	toilet bowl swabs	5 pcs	drop sheet	5 btl	sanitizin</t>
  </si>
  <si>
    <t xml:space="preserve"> 1 4 PCS TIRE 195 R 14  2 4 PCS WING SUSPENSION BUSHING  3 2 PCS BALLJOINT LOWER  4 2 PCS BALLJOINT UPPER  5 2 PCS TIE ROD END  6 1 PC ALTERNATOR BELT  7 1 PC CRANK SHAFT BELT  8 2 SET BRAKE SHOE  9 2 SET BRAKE PAD  10 4 PCS RUBBER CUP ORING JAP.  11 4 PCS</t>
  </si>
  <si>
    <t xml:space="preserve"> Equipment needed for Domestic Works NCII Training  Unit 	Item Description	Quantity 		 Unit 	vacuum cleaner	2 Unit 	food processor	1 Unit 	grills	2 Unit 	high pressure steamer	1 Unit 	microwave oven	1 Unit 	oven (electric/gas)	1 Unit 	refrigerator	1 Unit 	</t>
  </si>
  <si>
    <t xml:space="preserve"> The Local Government Unit of Santa Fe, Nueva Vizcaya, through its Bids &amp; Awards Committee invites contractors to bid for the following project: Contract Name: Procurement of Flood Light (Supply and delivery)  Contract Location: Santa Fe, Nueva Vizcaya App</t>
  </si>
  <si>
    <t xml:space="preserve"> Please see attached bidding document associated with this notice</t>
  </si>
  <si>
    <t xml:space="preserve"> Tools needed for Domestic Works NCII Training  Unit 	Item Description	Quantity 		 pcs	brooms	15 pcs	Dust Pans 	15 pcs	brushes	15 pcs	cleaning implements	10 set	water hoses	10 pcs	buckets	5 pcs	lint free cleaning cloths	10 pcs	squeegees	10 pcs	scrubbing fo</t>
  </si>
  <si>
    <t xml:space="preserve"> Invitation to Bid FOR THE UPLB-I-025-09-20 SUPPLY AND DELIVERY OF CONSTRUCTION MATERIALS AND ELECTRICAL SUPPLIES FOR UHO   1.	The UNIVERSITY OF THE PHILIPPINES LOS BAÑOS (UPLB), through the GOP (RCC: LB03015001-C0000743, LB03015001-C0000683   FC: 8226700,</t>
  </si>
  <si>
    <t xml:space="preserve"> The Local Government Unit of Santa Fe, Nueva Vizcaya, through its Bids &amp; Awards Committee invites contractors to bid for the following project: Contract Name: Procurement of Insecticide (Dengue) (Supply and delivery)  Contract Location: Santa Fe, Nueva Vi</t>
  </si>
  <si>
    <t xml:space="preserve"> good quality supplies</t>
  </si>
  <si>
    <t xml:space="preserve"> The Local Government Unit of Santa Fe, Nueva Vizcaya, through its Bids &amp; Awards Committee invites contractors to bid for the following project: Contract Name: Procurement of 2-units motorcycle (supply and delivery) Contract Location: Santa Fe, Nueva Vizca</t>
  </si>
  <si>
    <t xml:space="preserve"> Contract ID No. 20OH0162 Contract Name : Proposed Repair/Rehabilitation of UPMO-Flood Control Management Cluster Office, NCR Compound, 2nd St. Port Area, Manila Contract Location: Manila City	 Scope of Work: Repair/Rehabilitation of Building Source of Fun</t>
  </si>
  <si>
    <t xml:space="preserve"> DESCRIPTION	QTY (unit) PROCUREMENT AND DELIVERY OF VARIOUS LABORATORY SUPPLIES FOR THE 3RD  QUARTER OF CY 2020 UNDER ILD	        L-tryptophan, AR, 25g/bot.	2 bots. Ammonium Acetate, AR, 500g/bot.	2 bots. Acetonitrile, HPLC Grade, 4L/bot.	2 bots. Nitric Ac</t>
  </si>
  <si>
    <t xml:space="preserve"> UNIT            ITEM/DESCRIPTION                          QUANTITY pack	BATTERY, dry cell, AA, 2 pieces per blister pack	2 pack	BATTERY, dry cell, AAA, 2 pieces per blister pack	2 pc	CORRECTION TAPE, film base type, UL 6m min	6 box	ENVELOPE, EXPANDING, KR</t>
  </si>
  <si>
    <t xml:space="preserve"> PLEASE SEE ATTACHED REQUEST FOR QUOTATION AND PLEASE ACCOMPLISH THE REQUIRED ATTACHMENTS FOR MORE INFORMATION. IF ATTACHMENT IS NOT DOWNLOADABLE, PLEASE VISIT THE PROCUREMENT SECTION AT WWW.BSP.GOV.PH</t>
  </si>
  <si>
    <t xml:space="preserve"> Availability of canvass until August 24, 2020; 8:00 - 12:00 noon Dropping of canvass will be on August 24, 2020, 12:00 noon The Mandaue City Government through its Bids and Awards Committee (BAC), invites eligible suppliers/ provide quote the lowest price</t>
  </si>
  <si>
    <t xml:space="preserve"> The Barangay Government of Capanickian Sur Allacapan Cagayan, through its Bids and Awards Committee (BAC) will invites interested entities to submit their bidding documents for the following details: Name of Project: Concreting of Barangay Road Source of </t>
  </si>
  <si>
    <t xml:space="preserve"> BACOLOD BRANCH - 7 TONNER LOBBY TYPE AIRCON 2 UNITS ABC Php 490,000.00</t>
  </si>
  <si>
    <t xml:space="preserve"> Supply and Delivery of the ff: 190	pcs		Cloth Facemask (neoprene fabric, with filter pocket)	 65	gallons	70% Ethyl Alcohol with Moisturizer (gallon)	 200	pcs		Faceshield with eyeglasses	 58	gallon	Antibacterial soap 	 13	pairs		Reusable Chemical Industria</t>
  </si>
  <si>
    <t xml:space="preserve"> INVITATION TO BID FOR THE PROCUREMENT OF THREE (3) YEARS PEST CONTROL SERVICES AT PAGCOR MAIN CORPORATE OFFICE AND PAGCOR CORPORATE ANNEX OFFICE UNDER ITB NO. PB20-07-039COR The Philippine Amusement and Gaming Corporation (PAGCOR) is inviting all interest</t>
  </si>
  <si>
    <t xml:space="preserve"> please see attached RFQ &amp; Technical Specifications Supply and Delivery of: ITEM AND DESCIPTION	ABC Php60,400.00 Tires for Isuzu Crosswind:   205 / 65 R15 	4 pcs Tires for Isuzu MUX:   245 / 70 R16       	4 pcs Note: with free wheel balancing and alignment</t>
  </si>
  <si>
    <t xml:space="preserve"> 1 pc     - 4x4x10 Cocoform (tramper) 144 bb.ft  - 2x6x12 Cocoform   36 bb.ft. - 2x2x12 Cocoform 9.50 m3   - Sand   19 m3    - Fine Gravel    2 pcs    - 10mm (staking)    1 pc      - Hacksaw Blade   2.0 kls   - Asstd. CWN (3",2 1/2") 162 Bags  - Cement</t>
  </si>
  <si>
    <t xml:space="preserve"> Please see attached file for your reference. Note: For Shortlisted bidders only.</t>
  </si>
  <si>
    <t xml:space="preserve"> Printing of Modules of all subject area in junior high school</t>
  </si>
  <si>
    <t xml:space="preserve"> Opening of Bids in DSWD FO IX, delivery in the province of SULU procurement for the ff.: 60	Deliveries	 @ 2,500.00 -Freight and hauling to transport rice from National Food Authority (NFA) Sulu to Site/s....	 -Freight and hauling to transport Cooking and </t>
  </si>
  <si>
    <t xml:space="preserve"> OPENING OF BIDS IN DSWD FO IX ZAMBOANGA CITY		 DELIVERY IN TAWI-TAWI PROVINCE		 PROCUREMENT FOR THE FF.:		 50	Deliveries	@ 2,500.00                -Freight and hauling to transport rice from National Food Authority (NFA) Tawi-Tawi to Site/s....	 		-Freigh</t>
  </si>
  <si>
    <t xml:space="preserve"> Supply and delivery of the following: 10	pcs	Avanti Roller Tip Pen (0.7mm)		 6	pcs	Papermate Blue Gel Pen 0.5mm		 15	packs	Board Paper/10pcs/pack - A4 size		 3	packs	Sticker Paper, A4, (glossy) 10s/pack		 13	packs	Photo Paper Glossy, A4, 20s/pack		 50	pcs</t>
  </si>
  <si>
    <t xml:space="preserve"> OPENING OF BIDS IN DSWD FO IX ZAMBOANGA CITY DELIVERY IN ISABELA, BASILAN PROVINCE  PROCUREMENT FOR THE FF.: 50	Deliveries	@ 2,500.00                 -Freight and hauling to transport rice from National Food Authority (NFA) Basilan to Site/s....	 		-Freig</t>
  </si>
  <si>
    <t xml:space="preserve"> 1 15 BOXES LAGUNDI 600MG TAB. 100'S ( BRANDED)  2 12 BOXES LORATIDINE 10 MG ( BRANDED)  3 2 PCS SILVER SULFADIAZINE OINTMENT ( BRANDED)  4 6 PCS POVIDONE-IODINE ANTISEPTIC 60ML LIQUID ( BRANDED)  5 100 PCS MECLIZINE 25MG CHEWABLE TABLET (BRANDED)  6 50 PC</t>
  </si>
  <si>
    <t xml:space="preserve"> Attached herewith the Request for Proposal and Terms of Reference</t>
  </si>
  <si>
    <t xml:space="preserve"> Construction Materials</t>
  </si>
  <si>
    <t xml:space="preserve"> Attached herewith is the RFP and Terms of Reference</t>
  </si>
  <si>
    <t xml:space="preserve"> Republic of the Philippines                                       Province of Leyte                            MUNICIPALITY OF ALBUERA                     OFFICE OF THE MUNICIPAL MAYOR OFFICE OF THE BIDS AND AWARDS COMMITTEE INVITATION TO BID 	The Local G</t>
  </si>
  <si>
    <t xml:space="preserve"> CIVIL WORKS</t>
  </si>
  <si>
    <t xml:space="preserve"> Please refer to the attached Bidding Documents, Terms of Reference for every Municipality, and CDC &amp; LGU Allocation. Thank you.</t>
  </si>
  <si>
    <t xml:space="preserve"> INVITATION TO BID FOR  The Procurement of 571 bags of Hybrid White Corn Seeds 1.	The Department of Agriculture-Regional Field Office 7, through the GAA 2020  intends to apply the sum of Two Million Eight Hudred Sixty Thousand Pesos (₱2,860,000.00) being t</t>
  </si>
  <si>
    <t xml:space="preserve"> 2- 8 channel CCTV with Cameras</t>
  </si>
  <si>
    <t xml:space="preserve"> Located at the Back of Chapel of Barangay Liboton, Naga City</t>
  </si>
  <si>
    <t xml:space="preserve"> REHABILITATION/IMPROVEMENT OF BARANGAY PLAZA</t>
  </si>
  <si>
    <t xml:space="preserve"> SW-1008-2020-0111</t>
  </si>
  <si>
    <t xml:space="preserve"> INVITATION TO BID FOR THE Procurement of Various Inorganic Fertilizer 1. The Department of Agriculture-Regional Field Office 7, through the GAA 2020 intends to apply the sum of One Million Four Hundred Thousand Pesos (₱ 1,400,000.00) being the Approved Bu</t>
  </si>
  <si>
    <t xml:space="preserve"> INVITATION TO BID FOR THE Procurement of Various Chemicals 1. The Department of Agriculture-Regional Field Office 7, through the GAA 2020 intends to apply the sum of One Million Fifty Thousand Four Hundred Fifty Pesos (₱ 1,050,450.00) being the Approved B</t>
  </si>
  <si>
    <t xml:space="preserve"> Republic of the Philippines Department of Public Works and Highways OFFICE THE DISTRICT ENGINEER Las Piñas Muntinlupa District Engineering Office 2nd Street, Port Area, Manila INVITATION TO BID (GOODS) NO. 01 The Las Pinas - Muntinlupa District Engineerin</t>
  </si>
  <si>
    <t xml:space="preserve"> C.I. FITTINGS 75mmØ C.I. Sleeve Type Flexible Coupling, (PVC)	----------------------------------------  1	pc 75mm Ø C.I. Body Gate Valve, PN16, M/M	     -------------------------------------------------  1	pc 75mmØ x 75mmØ C.I. Tee, M/M	      ------------</t>
  </si>
  <si>
    <t xml:space="preserve"> schedule opening of bids</t>
  </si>
  <si>
    <t xml:space="preserve"> Description   Bid Notice Abstract Invitation to Bid (ITB) Procuring Entity: Barangay Nazareth, Sibalom, Antique Title ITB-N-2020-08-001-Riprapping of Road Canal Area of Delivery: Brgy. Nazareth, Sib., Ant. Solicitation Number: ITB-N-2020-08-001 Trade Agre</t>
  </si>
  <si>
    <t xml:space="preserve"> Various Prepaid Cellular Cards of Globe, Smart , Sun, Touch Mobile Networks</t>
  </si>
  <si>
    <t xml:space="preserve"> I. LANDSCAPING OF MUNICIPAL HALL GROUNDS, ABC: PhP 347,550.50		 6	pcs.	2"Ø G.I. Pipe sched. 40 28	pcs.	3/4"Ø G.I. Pipe sched. 20 28	pcs.	1.2mm thk. x 2" x2 "  tubular 20	pcs.	10 mm dia. Plain round bar 18	pcs.	6mm. x 1200mm. x 4880mm. Twin wall Polycarbon</t>
  </si>
  <si>
    <t xml:space="preserve"> Please quote your lowest price inclusive of VAT on the software listed below, subject to the Terms and Conditions of this RFQ, and submit your quotation duly signed by your representative not later than August 25, 2020 at Bids and Awards Committee of BFAR</t>
  </si>
  <si>
    <t xml:space="preserve"> DESCRIPTION SUPPLY AND DELIVERY OF MOLASSES UNDER OAP CY2020 10,000 kilograms -	20 kg per container packaging -	Color: Brown to black -	Odor: No foul odor -	Material should be sticky/syrup like Note:  1.	Shall be properly identified and labeled with DA-OA</t>
  </si>
  <si>
    <t xml:space="preserve"> 400 reams A4 Size Bond Paper for Learners Modules</t>
  </si>
  <si>
    <t xml:space="preserve"> 1 Unit Payloader 940 Specifications: Engine Displacement: 3800 No. of Cylinder:4 Fuel: Diesel Manual transmission Bucket capacity : 1.6 cbm</t>
  </si>
  <si>
    <t xml:space="preserve"> GOODS</t>
  </si>
  <si>
    <t xml:space="preserve"> Republic of the Philippines DEPARTMENT OF PUBLIC WORKS AND HIGHWAYS 		OFFICE OF THE DISTRICT ENGINEER Albay 3rd District Engineering Office Paulog, Ligao City INVITATION/REQUEST FOR SUBMISSION OF PRICE QUOTATIONS The Bids and Awards Committee (BAC) of the</t>
  </si>
  <si>
    <t xml:space="preserve"> Mobilization and Demobilization Cost (materials/equipment/labor-form origin to jodsite) 6" dia. x 20' uPVC Pipe, S-10 Gravel Pack Preparation, clearing of jobsite, mounting of tools, preparation and fixing of rotary type equipment, evaluation of the groun</t>
  </si>
  <si>
    <t xml:space="preserve"> NOTICE TO THE PUBLIC REQUEST FOR PROPOSAL Purchase Request No: PUR20-07-0665  The Philippine General Hospital hereby informs the public that it will be procuring the following item/s through Small Value Procurement: 1.	30 pcs		MATTRESS FOAM, with leathere</t>
  </si>
  <si>
    <t xml:space="preserve"> INVITATION TO BID FOR The Procurement of 306 bags of GM Hybrid Yellow Corn Seeds 1.	The Department of Agriculture-Regional Field Office 7, through the GAA 2020  intends to apply the sum of One Million Eight Hundred Thirty Six Thousand Pesos (₱1,836,000.00</t>
  </si>
  <si>
    <t xml:space="preserve"> 1) Riso Ink     Ink F Type II Black     7,115 pcs @ Php 1,690.00 2) Master Roll     Master F Type 73 (Master Roll)    250 pcs @ Php 3,910.00</t>
  </si>
  <si>
    <t xml:space="preserve"> Petroleum/Oil/Lubricants (POL) Diesel</t>
  </si>
  <si>
    <t xml:space="preserve"> 1.00 	set	Project Billboards &amp; Warning Sign  1.00 	set	Barricade  1.00 	lot	Other General Requirements (Const. Safety &amp; Health)  21.62 	cu.m.	Structure Excavation  48.49 	cu.m.	Backfill and Compaction (Embankment)  22.76 	cu.m.	Reinforced Concrete  316.44</t>
  </si>
  <si>
    <t xml:space="preserve"> MOOE FUND</t>
  </si>
  <si>
    <t xml:space="preserve"> INVITATION TO BID IB-2020-096 The Philippine Children’s Medical Center, through DOH-HFEP CY 2019 intends to apply the sum of Nine Hundred Twenty-One Thousand Three Hundred Pesos (Php 921,300.00) being the Approved Budget for the Contract (ABC) to payment </t>
  </si>
  <si>
    <t xml:space="preserve"> ITEM I  - 3" X 10" X 18'   Hardwood    (Decking)                 60          Bd. ft. ITEM II - 4" X 10" X 24'   Hardwood   (Stringer)                  10          Bd. ft. ITEM III - 4" X 10" X 16'  Hardwood   (Girder)                    10          Bd. ft</t>
  </si>
  <si>
    <t xml:space="preserve"> Interested bidders may obtain further information of the bidding documents from the BAC Secretariat of Barangay Bikil, Tubungan, Iloilo during working days starting August 21-27, 2020 from 8:00 a.m. to 5:00 p.m. or thru 09308748619</t>
  </si>
  <si>
    <t xml:space="preserve"> DUMPTRUCT1(MINORREHABILITATION)  DUMPTRUCT2(MINORREHABILITATION) DUMPTRUCT3(MINORREHABILITATION) DUMPTRUCT4(GENERALREHAB.OVERALL) GRADER1(MINORREHABILITATION) GRADER29GENERALREHABILITATION) EXCAVATION(CAT)(GENERALREHABILITATION) BACKHOELOADER(MINORREHABIL</t>
  </si>
  <si>
    <t xml:space="preserve"> OPENING OF BIDS IN DSWD FO IX ZAMBOANGA CITY,				 DELIVERY IN DSWD-PCDP, MAMPANG ZC				 PROCUREMENT FOR THE FF.:				 				 				 3000	PCS.	ECO BAG WITH DSWD LOGO , CUSTOMIZED	@	 100.00  3000	PCS.	SAKO BAG WITH DSWD LOGO	@	 150.00  		SPECS:		 		LENGTH: 24 in</t>
  </si>
  <si>
    <t xml:space="preserve"> Republic of the Philippines Province of Camarines Sur Municipality of Lagonoy BArangay Burabod BIDS AND AWARD COMMITTEE RFQ no. 2020 Date : August 19,2020 REQUEST FOR PRICE QUATATION (Procurement of various) Sir/Madam You are hereby invited to quote your </t>
  </si>
  <si>
    <t xml:space="preserve"> 5000  pcs plastic Expanded Envelope long ( MODULE BAG)</t>
  </si>
  <si>
    <t xml:space="preserve"> PortlandCement 340  16mmØDef.bar 79 10mmØx6.00m Def.bar 229 9mmØDef.Bar 24 #16G.ITiewire 35 4mm x50mm x50mm AngularBar 17 4mm x37.5mm x37.5mm AngularBar 10 1.50mm x50mm x75mm CeePurlin 24 1.20mm x50mm x150mm CeePurlin 26 12mmØPlainBar 8 12mm Turnbuckle 8 </t>
  </si>
  <si>
    <t xml:space="preserve"> Republic of the Philippines Province of Agusan del Norte Municipality of Carmen Tel # 343-3801 OFFICE OF THE BIDS AND AWARDS COMMITTEE INVITATION TO RE-BID  The Local Government of Carmen, through its Bids and Awards Committee (BAC) invites Suppliers/Manu</t>
  </si>
  <si>
    <t xml:space="preserve"> Negotiated Procurement-Two Failed Biddings for the Procurement of 3,600 heads of Native Chicken 1. The Department of Agriculture-Regional Field Office 7, through the GAA 2020 intends to apply the sum of One Million Two Hundred Sixty Thousand Pesos (₱ 1,26</t>
  </si>
  <si>
    <t xml:space="preserve"> Republic of the Philippines Province of Agusan del Norte Municipality of Carmen OFFICE OF THE BIDS AND AWARDS COMMITTEE INVITATION TO RE-BID  The Local Government of Carmen, through its Bids and Awards Committee (BAC) invites Suppliers/Manufactures/Distri</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</si>
  <si>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</si>
  <si>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PORTLANDCEMENT 200 BAGS SANDANDGRAVEL(PREMIX) 30 Cu.m 4”CHB 2,500 pcs 10mm DEF.BARS 220 lenght NO.16G.I.TIEWIRE 10 kg</t>
  </si>
  <si>
    <t xml:space="preserve"> RFQ No. 2020-08-38 REQUEST FOR QUOTATION (Supply and Delivery of Sound System Equipment) PR# 2020-08-307 The National Irrigation Administration – Upper Pampanga River Integrated Irrigation Systems (UPRIIS) Main Office hereinafter referred to as the “Purch</t>
  </si>
  <si>
    <t xml:space="preserve"> Invitation to Bid for the Supply and Delivery of Chainsaw for the use of Brgy. Talumpok Silangan, Batangas City</t>
  </si>
  <si>
    <t xml:space="preserve"> ILOILO BRANCH - Signage ABC Php 100,000.00 specifications attached.</t>
  </si>
  <si>
    <t xml:space="preserve"> Contract I.D. No.: 		200005 Contract Name: 			Procurement of   Road Sensors including Installation for the conduct of 					Automated Traffic Count under the National Road Traffic Survey 					Progran (NRTSP) Contract Location:		Bataan First District Brief </t>
  </si>
  <si>
    <t xml:space="preserve"> Republic of the Philippines Province of Ilocos Sur Vigan City Invitation to Bid for the  Rehabilitation of Madarang-Bulala-Leguey Farm-to-Market Road Salcedo, Ilocos Sur 1.	The Provincial Government of Ilocos Sur, through the Special Budget #2 (RA7171), A</t>
  </si>
  <si>
    <t xml:space="preserve"> PORTLANDCEMENT 581 bags BOULDERS(15-25KGS) 134  cu.m SCREENEDSAND 43 cu.m SELECTEDGRAVEL 50  cu.m WEEPHOLES(PVC) 39 I.m FILTERVCLOTH 2 sq. m RCPIPES(610mm dia) 12 pcs</t>
  </si>
  <si>
    <t xml:space="preserve"> Republic of the Philippines Province of Ilocos Sur Vigan City Invitation to Bid for the  Construction of Farmer's Multi-Purpose Building at Brgy. Lucbuban, Salcedo, Ilocos Sur 1.	The Provincial Government of Ilocos Sur, through the Special Budget #2 (RA71</t>
  </si>
  <si>
    <t xml:space="preserve"> DETAILS OF THE PROJECT WILL BE DISCUSS IN THE PRE-BID CONFERENCE</t>
  </si>
  <si>
    <t xml:space="preserve"> SELF - SKILLS ENHANCEMENT AND LEADERSHIP FORMATION - PUBLIC WORKS, MAINTENANCE AND UTILITIES</t>
  </si>
  <si>
    <t xml:space="preserve"> JARO BRANCH - Safety Barriers ABC Php 85,000.00 specifications attached.</t>
  </si>
  <si>
    <t xml:space="preserve"> INVITATION TO BID The Bureau of Fisheries and Aquatic Resources Region 5 (BFAR 5), through the Government of the Philippines (GOP), for CY 2020 intends to apply the sum of Four Million Five Hundred Twelve Thousand Six Hundred Four Pesos (PhP4,512,604.00) </t>
  </si>
  <si>
    <t xml:space="preserve"> ILOILO BRANCH - ATM (Camera, Cassettes &amp; Divert Cassettes)   2 units ATM Camera Php 140,000.00   5 units ATM Cassettes Php 150,000.00   6 ATM Divert Cassette Php 180,000.00</t>
  </si>
  <si>
    <t xml:space="preserve"> NO	UNIT	DESCRIPTION	QTY 1	set	Head Light (L/R)	1 2	pc	Signal Light	1 3	set	Tail Light &amp; Park Light	1 4	pc	Clutch Master Assembly	1 5	pc	Second Clutch Master Seal Kit	1 6	pc	Break Master	1 7	pc	Oil Filter	1 8	unit	Engine (Toyota Revo) Model Engine 2L Diese</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</si>
  <si>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</si>
  <si>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INVITATION TO BID The Bureau of Fisheries and Aquatic Resources Region 5 (BFAR 5), through the Government of the Philippines (GOP), for CY 2020 intends to apply the sum of Three Hundred Fifty Thousand Pesos (PhP350,000.00) only, being the Approved Budget </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</si>
  <si>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</si>
  <si>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Republic of the Philippines Province of Ilocos Sur Vigan City Invitation to Bid for the  Construction of 2-Classroom Building at Lidlidda National High School, Poblacion Sur, Lidlidda, Ilocos Sur 1.	The Provincial Government of Ilocos Sur, through the Spe</t>
  </si>
  <si>
    <t xml:space="preserve"> NO	UNIT	DESCRIPTION	QTY 1	sets	Printing and Binding of ECCD Worksheets 	958 		with Hardbound Cover	 		125 leaves	 		425 pages</t>
  </si>
  <si>
    <t xml:space="preserve"> NO	UNIT	DESCRIPTION	QTY 		Printer	 1	units	Printer With Refill Tank System All in One Wifi/LAN, ADF, Fax, &amp; Duplex Printing MFC - T910DW bundled with extra 1 set inks	4 2	unit	Inktank, All in one A3 scanner Printer/ Scanner with extra 1 set ink L1455	1 		</t>
  </si>
  <si>
    <t xml:space="preserve"> NO	UNIT	DESCRIPTION	QTY 1	pc	Oil Shower	4 2	pc	Overhauling Gasket	1 3	pc	Oil Cooler	1 4	set	Liner	1 5	units	Hish Piston	4 6	set	Piston Ring	1 7	set	Connecting Rod Bearing	1 8	set	Main Bering	1 9	set	Camshaft Bearing	1 10	set	Trush Washer	1 11	set	Piston P</t>
  </si>
  <si>
    <t xml:space="preserve"> INVITATION TO BID FOR  2nd Invitation for the Supply and Delivery of Lot 2- Split Type Aircon, Lot 3-Steel Upright 4 Doors Chiller and Lot 4-Gasoline Generator  1.	The Department of Agriculture Regional Field Office No. 5, through the General Appropriatio</t>
  </si>
  <si>
    <t xml:space="preserve"> Republic of the Philippines Province of Ilocos Sur Vigan City Invitation to Bid for the  Construction of Farmer's Multi-Purpose Building at Brgy. Abuor, Narvacan, Ilocos Sur 1.	The Provincial Government of Ilocos Sur, through the RA 7171-Special Budget No</t>
  </si>
  <si>
    <t xml:space="preserve"> 3rd Quarter</t>
  </si>
  <si>
    <t xml:space="preserve"> INVITATION TO BID FOR  2nd Invitation for the Supply and Delivery of 1 unit Drone Sprayer 1.	The Department of Agriculture Regional Field Office No. 5, through the General Appropriation Act (GAA) for CY 2019-Corn Program intends to apply the sum of One Mi</t>
  </si>
  <si>
    <t xml:space="preserve"> 12 mm. Steel Cable Wire 1 1/2" PE Pipe SDR 11 1" PE Pipe SDR 11 2"Sleeves 1"Reducer w/Coupling 12mm.Cable Clip 3"GI.Pipe 3"Coupling 3"Sleeves 10mm.RSB 1/2"Tapelon Tape Portland Cement 40kg</t>
  </si>
  <si>
    <t xml:space="preserve"> INVITATION TO BID Bid No. B-129-2020 1.	The Provincial Government of Negros Oriental through Responsibility Center: 4411-I / Account Code: 50203080, intends to apply the sum of Seven Million Eight Hundred Forty-Two Thousand Seven Hundred Eighty-Nine Pesos</t>
  </si>
  <si>
    <t xml:space="preserve"> REQUEST FOR QUOTATION											 											 RFQ No.		NP/PB 20-0940				Date				August 20, 2020	 PR Reference		100-20-02-015				Implementing Office				City Vice-Mayor	 Closing Date and Time						September 10, 2020, 5:00p.m.					 Designated Places of Submis</t>
  </si>
  <si>
    <t xml:space="preserve"> 1.	The Municipality of Botolan, through the DPWH Fund intends to apply the sum of P 30,000,000.00 being the Approved Budget for the Contract (ABC) to payments under the contract for Construction of Multi-Purpose Building (Municipal Hall) Phase 2, Botolan,</t>
  </si>
  <si>
    <t xml:space="preserve"> BID TENDER								 								 The Bids and Awards Committee								 Province of Iloilo								 								      In connection with your Invitation to Bid No. ISC-20-0340-B scheduled on September 11, 2020, I/we proposed to furnish and deliver in conformity with</t>
  </si>
  <si>
    <t xml:space="preserve"> REQUEST FOR QUOTATION Date	:	August 17, 2020 Project Title: PROCUREMENT OF SERVICES FOR THE TRANSPORT AND DISPOSAL OF HAZARDOUS WASTE ITB No.:	SV20-07-025COR Approved Budget for the Contract (ABC): Five Hundred Forty-Four Thousand Five Hundred Pesos (PhP5</t>
  </si>
  <si>
    <t xml:space="preserve"> Bond Paper Partchment Paper EPSON Ink Folder Fastener Correction Tape Glue Double sided tape Staple wires</t>
  </si>
  <si>
    <t xml:space="preserve"> Republic of the Philippines  BARANGAY TAMBO  Lipa City  OFFICE OF THE PUNONG BARANGAY  BIDS AND AWARDS COMMITTEE  INVITATION TO BID  The Barangay Government of BARANGAY TAMBO, through its Bids and Awards Committee ( BAC ), invites suppliers/manufacturers/</t>
  </si>
  <si>
    <t xml:space="preserve"> 1.        20        pcs      Chalico Uniforms 2.        20        pcs       Slongsleev T-shirt Uniforms 3.        20        pcs       Traffice Vest 4.        20        pcs       Pants Uniforms\ 5.        20        pairs     Safety shoes 6.        20      </t>
  </si>
  <si>
    <t xml:space="preserve"> Request for Quotation for the Procurement of Office Supplies to be used in the Planning, Monitoring and Evaluation Division 1.	The Department of Agriculture-Regional Field Office 7 (DA-RFO 7), through the General Appropriations Act of CY 2020)  intends to</t>
  </si>
  <si>
    <t xml:space="preserve"> 98 bags cement 78 pcs RSB 10mm0 52 pcs RSB 12 mm0 7 kg #16 Tie wire 240 bdft Coco lumber 9 pcs O. Plywood 1/4" 5 kgs CW Nails, Assorted 1 pc Steel Matting 1/4 x 1.2 x 2.4 1/2 kg Welding rod 1 pc Angel Bar 1/4 x 1 720 pcs CHB 4" 7 cu.m. Sand 6 cu.m. Gravel</t>
  </si>
  <si>
    <t xml:space="preserve"> Republic of the Philippines Province of Ilocos Sur Vigan City Invitation to Bid for the  Construction of School Facilities at Narvacan National Central High School, Narvacan, Ilocos Sur 1.	The Provincial Government of Ilocos Sur, through the Special Budge</t>
  </si>
  <si>
    <t xml:space="preserve"> 1.          344      pcs        Floortiles 0.40 X 0.40 2.          3          bags     Tile Groute 3.          3          T/L        Washed Sand 4,          10        bags     Adhesive Cement 5.          80        bags      Portland Cement 6.          70 </t>
  </si>
  <si>
    <t xml:space="preserve"> Fund for Printing Self Learning Modules</t>
  </si>
  <si>
    <t xml:space="preserve"> 3     Unit          SATELLITE PHONE                       IRIDIUM 9555                       With sim, 350 mins of call, valid for 6 months                        FOB Site                       Up to 4 hours of talk time, 30 hours of standby              </t>
  </si>
  <si>
    <t xml:space="preserve"> NO	UNIT	DESCRIPTION	QTY	 Repair and Maintenance of Day Care Center Brgy. Polo (P33,830.00)					 1	BAGS	CEMENT	8		 2	CU.M.	SAND	0.5		 3	SET	DOOR 1 - SCREENDOOR (0.87M X 2.0M)	1		 4	SET	WINDOW 1 - CLEAR GLASS SLIDING WINDOW A_2.40M X 1.15M	1		 5	SET	WINDOW </t>
  </si>
  <si>
    <t xml:space="preserve"> On site delivery to: Bulacan/Bataan 120 pcs Bamboo, Full length (bayog) 120 pcs Bamboo, Full length (tinik) 30 pcs Bamboo, Full length (bongtsina) Note: *Supply and delivery in the province of Bataan and Bulacan</t>
  </si>
  <si>
    <t xml:space="preserve"> 20 pcs Uniform of Bantay Dagat 4 units Search Light (Please see attached specifications)</t>
  </si>
  <si>
    <t xml:space="preserve"> 80 pads Order of Payment Forms (11cm x 17cm) - Triplicate Copy (white, yellow, blue) - Carbonized 50 sets/pad 72 pads Certificate of Clearance Forms - Duplicate Copy - Carbonized 50 sets/pad</t>
  </si>
  <si>
    <t xml:space="preserve"> 1 pc Clutch Cover 1 pc Clutch Disk 1 pc Release Bearing 1 pc Pilot Bearing 2 pcs Wiper blade 1 set Horn 1 pc (Pilot) Oil Seal RR</t>
  </si>
  <si>
    <t xml:space="preserve"> Budget for Printing Modules</t>
  </si>
  <si>
    <t xml:space="preserve"> Riprapping of brgy. road @ Sitio Aguada,San Teodoro,Mabini,Batangas</t>
  </si>
  <si>
    <t xml:space="preserve"> INDUSTRIAL TECHNOLOGY DEVELOPMENT INSTITUTE DOST Cmpd., Bicutan, Taguig City Telephone Nos. (02) 837-20-71 to 82 local 2221 E-mail Add.: itdi.admbac@gmail.com INVITATION TO BID August 20, 2020 Sir/Madam: Please quote your price for the item/items listed b</t>
  </si>
  <si>
    <t xml:space="preserve"> Plumbing &amp; Masonry Works  pcs. 	4" Cons. Hollow Blocks	57.00  bags 	Portland Cement	13.00  cu.m 	Fine Sand	1.00  cu.m 	Mixed Sand	1.00  kls. 	Sahara Cement Additive	10.00  kls. 	Assorted C.W. Nails	2.00  pcs. 	10 mmǾ RSB	7.00  kl. 	Tie Wire	0.50  pc. 	Ord</t>
  </si>
  <si>
    <t xml:space="preserve"> Republic of the Philippines Province of Ilocos Sur Vigan City Invitation to Bid for the  Construction of Flood Control at Brgy. Sorioan, Salcedo, Ilocos Sur 1.	The Provincial Government of Ilocos Sur, through the Special Budget #2 (RA7171), Appropriation </t>
  </si>
  <si>
    <t xml:space="preserve"> Construction of a new Barangay Health Station (BHS) at Brgy. Atabay</t>
  </si>
  <si>
    <t xml:space="preserve"> EPSON L3110 Printer EPSON Ink  Bond paper Expanded Envelop Puncher Heavy Duty Scotch Tape 3"</t>
  </si>
  <si>
    <t xml:space="preserve"> SELF - SKILLS ENHANCEMENT AND LEADERSHIP FORMATION - SPECIAL ACTION GROUP</t>
  </si>
  <si>
    <t xml:space="preserve"> 1. 1 LOT - CONSTRUCTION SUPPLIES - 72,897.33 The Complete Schedule of Activities are Listed as Fallows: 1. Submission of Letter of Intent &amp; Eligibility Documents - August 28- September 3, 2020 @ 8:00am - 5:00pm 2. Issuance of Bid Documents - September 4-9</t>
  </si>
  <si>
    <t xml:space="preserve"> BID TENDER							 							 The Bids and Awards Committee							 Province of Iloilo							 							      In connection with your Invitation to Bid No. GSO-20-0923-B scheduled on September 11, 2020, I/we proposed to furnish and deliver in conformity with the </t>
  </si>
  <si>
    <t xml:space="preserve"> INVITATION TO BID The Bureau of Fisheries and Aquatic Resources Region 5 (BFAR 5), through the Government of the Philippines (GOP), for CY 2020 intends to apply the sum of One Million One Hundred Sixty Two Thousand Five Hundred Sixty Pesos (PhP1,162,560.0</t>
  </si>
  <si>
    <t xml:space="preserve"> ACTUAL PRIZE FOR week 1				 	     ENROLLMENT	NO. OF PAGES FOR ALL SUBJECTS	PRICE PER SET (0.55 PER PAGE)	   TOTAL Grade 8	258	                  135	                                               ₱74.25 	                                   ₱19,156.50  Grade</t>
  </si>
  <si>
    <t xml:space="preserve"> August 18, 2020 Invitation to Bid   [CONSERVATION &amp; RESTORATION OF GABALDON BUILDING] 1.	The [DepEd Region IV-A (CALABARZON)], through the [FY 2020 Basic Education Facilities Fund (BEFF)] intends to apply the sum of [(Eighteen Million Four Hundred Thirty </t>
  </si>
  <si>
    <t xml:space="preserve"> NO	UNIT	DESCRIPTION	QTY	UNIT PRICE	 TOTAL  Construction of Feeding Facilities Brgy. Haguimit (P44,567.50)					 1	BAGS	CEMENT	10		 2	CU.M.	SAND	1		 3	CU.M.	GRAVEL	1		 4	PCS.	8MMØ RSB	12		 5	KLS	#16 G.I. TIE WIRE	1		 6	KLS	C.W. NAIL 3"	1		 7	KLS	C.W. NAIL 2</t>
  </si>
  <si>
    <t xml:space="preserve"> For Module Printing</t>
  </si>
  <si>
    <t xml:space="preserve"> 1.         400     pcs      Face shield 2.         400     boxes   Face mask 3.         400     bottles  Alcolhol 500ml</t>
  </si>
  <si>
    <t xml:space="preserve"> 1	pc	water dispenser 8	pcs	flashlight</t>
  </si>
  <si>
    <t xml:space="preserve"> Republic of the Philippines Province of Leyte Municipality of Hilongos BARANGAY CENTRAL POBLACION REQUEST FOR QUOTATION _____________ Date  _______________________ _______________________  ______________________                                Please quote</t>
  </si>
  <si>
    <t xml:space="preserve"> Republic of the Philippines					 Province of Cebu 					 Municipality of Alcantara					 					 STATEMENT OF BUDGETARY REQUIREMENTS					 					 Name of Project		: Construction of Potable Water Supply System			 Location		        : Barangay Polo. Alcantara Cebu</t>
  </si>
  <si>
    <t xml:space="preserve"> 4 pc Marine plywood (4x8ft.) (1/4 thickness) *made of hardwood materials, durable, properly bonded, high tolerance to marine/seawater 2 kilos Copper nail (1 1/2") 2 gallons Epoxy enamel paint (white color) 2 gallons Marine Epoxy A&amp;B</t>
  </si>
  <si>
    <t xml:space="preserve"> OFFICE SUPPLY</t>
  </si>
  <si>
    <t xml:space="preserve"> PLEASE SEE ATTACHED COMPONENTS</t>
  </si>
  <si>
    <t xml:space="preserve"> IMPROVEMENT - I. MASONRY WORKS II. CARPENTRY WORKS III. PAINTING WORKS  BREAKDOWN OF EXPENDITURES  I.    MATERIALS                                - P 119,783.00 II.   LABOR                                       -     44,545.00 III. PUMP BOAT FARE OF MATER</t>
  </si>
  <si>
    <t xml:space="preserve"> INVITATION TO BID FOR PROCUREMENT OF MATERIALS AND RENTAL OF EQUIPMENT FOR IMPROVEMENT OF MULTI-PURPOSE BUILDING (IMPROVEMENT/CONSTRUCTION OF PERIMETER FENCE) 1.	The Barangay Naga, through the 20% Barangay Development Fund intends to apply the sum of Eigh</t>
  </si>
  <si>
    <t xml:space="preserve"> Item 	QTY	UNIT OF	ITEM DESCRIPTION 		          ISSUE	 1	          10	GAL	 alcohol (70% isoprophyl 			 2	50	box	mask (3 ply) 			 3	10	box @ 100s	gauze pad ( 4 x 4, sterile) 			 4	30	roll	guaze bandage ( 3 x 10 ) 			 5	20	roll	plaster tape ( 1") 			 6	20	bo</t>
  </si>
  <si>
    <t xml:space="preserve"> 2 sets pANEL DOOR (2/1 X 0.90M) WITH JAMBS AND CONCRETE ACCESSORIES 1 SET Glass Door with Alum. Frames w/ complete accessories (0.90 x 2.1m) 148 Floor tiles 24 x 24 4 bags Tile Grout 18 bags Tile Adhesive 14 bags Cement 3 cu.m Sand</t>
  </si>
  <si>
    <t xml:space="preserve"> Small Value Procurement . . .</t>
  </si>
  <si>
    <t xml:space="preserve"> 1	lot	Detailed Engineering Design Preparation on the Construction of Tudela Gym On-Grid Solar Power System</t>
  </si>
  <si>
    <t xml:space="preserve"> Item No.		ITEMS &amp; DESCRIPTION					QTY/UNIT	ABC (Approved Budget)	 1		PAPER, Multi-Purpose (COPY) A4, 70 gsm					456 reams	 95,304.00 	 2		DETERGENT BAR, 140 grams as packed					2 bars	 66.00 	 3		Colored Scotch Tape					152 rolls	 6,688.00 	 4		Stapler #3</t>
  </si>
  <si>
    <t xml:space="preserve"> 1 unit - ATS standard controller, Smart Gen ZZ20120703 for Automatic Transfer Switch (Baifa) @ Php.30,000.00/unit Specs: *Dual power source automatic switch intelligent controller with core microprocessor, the module can be accurately detecting two three-</t>
  </si>
  <si>
    <t xml:space="preserve"> INVITATION TO APPLY FOR ELIGIBILITY AND TO BID THE BIDS &amp; AWARD COMMITTEE OF THE MUNICIPALITY OF CAIBIRAN, BILIRAN IS INVITING ALL INTERESTED BIDDERS ON ITS FORTHCOMING PUBLIC BIDDING FOR: Project Title	: Acquisition of Registered Seeds   Location		: Muni</t>
  </si>
  <si>
    <t xml:space="preserve"> 1.	The Municipal Government of Burgos, Ilocos Norte, through the Special Education Fund intends to apply the sum of PhP165,000.00 being the Approved Budget for the Contract (ABC) to payments under the contract for Purchase of Heavy Duty Copier (DepEd BAIS</t>
  </si>
  <si>
    <t xml:space="preserve"> Republic of the Philippines TUMAUINI WATER DISTRICT Purok 1 San Pedro, Tumauini, Isabela (078) 323-0736 email address:  tumauiniwd_908@yahoo.com INVITATION TO BID DRILLING OF TWO (2) UNITS EXPLORATORY/PRODUCTION WELL FOR BENITO SOLIVEN WATER DISTRICT 1. T</t>
  </si>
  <si>
    <t xml:space="preserve"> Supply and Delivery of Materials for the Rehabilitation of Multi-Purpose Drying Pavement at Sitio Slide, Dao, San Fernando, Bukidnon</t>
  </si>
  <si>
    <t xml:space="preserve"> Republic of the Philippines Province of Davao de Oro 		Municipality of Compostela BARANGAY LAGAB 	 BIDS AND AWARDS COMMITTEE CP #: 09194118536 INVITATION TO BID NO. 2020-09-001 BID #001 1.	The Barangay Lagab through its Bids and Awards Committee invites S</t>
  </si>
  <si>
    <t xml:space="preserve"> Supply and Delivery of Commodities as Food for Work of MSWDO with an ABC of Php124,990.00 For further details, please refer to the attached Purchase Request in the associated components.</t>
  </si>
  <si>
    <t xml:space="preserve"> Supply, Delivery and Installation of Indoor Signages (SSS Angeles Branch) NOTE: Please see the following attached documents: - Technical Specifications/Drawings - (Kindly affix signature on every page if supplier conformed precisely on the required) - Det</t>
  </si>
  <si>
    <t xml:space="preserve"> 1.	The Municipal Government of Burgos, Ilocos Norte, through the Special Education Fund intends to apply the sum of PhP244,000.00 being the Approved Budget for the Contract (ABC) to payments under the contract for Purchase of IT Equipment (for DepEd Eleme</t>
  </si>
  <si>
    <t xml:space="preserve"> Please quote hereunder your government price(s) for the following item(s) which is/are needed by this office. It is requested that the quotation(s) be submitted to the Supply and Property Section, National Archives of the Philippines, 6th FloorPPL Buildin</t>
  </si>
  <si>
    <t xml:space="preserve"> Supply of labor and materials for the repair of Ford Ranger Pick up with plate no. SKN 610    1. Replace starter motor assembly  2. Replace hydrovac assembly  3. Replace starter relay  4. Engine change oil  5. Replace brake master  6. Wheel alignment  7. </t>
  </si>
  <si>
    <t xml:space="preserve"> Description BARANGAY GOVERNMENT OF SAN ISIDRO Valencia City, Bukidnon, Philippines Contract Reference No. 2020-21-08 INVITATION TO BID FOR THE FABRICATION OF WINDOW GRILLS 1.	The Barangay Government of San Isidro, Valencia City, Bukidnon through the SEF-2</t>
  </si>
  <si>
    <t xml:space="preserve"> The Barangay San Vicente, through the  10%  SK Fund CY2019 intends to apply the sum of Two Hundred Twenty Seven Thousand and Six Hundred Seventy Three Pesos  (P 227,673.00) being the Approved Budget for the Contract (ABC) to payments under the contract fo</t>
  </si>
  <si>
    <t xml:space="preserve"> Galva Plainsheet 16  1 piece BS 223 Epoxy Primer Primer Gray  1 gallon Cement  3 bag Sand  4 bag  Paint Brush 2  2 piece Cutting Disc  5 piece Plain Sheet #18  2 piece Bolt with Nut Washer 1 1/2 x 10mm  16 piece Sandwash  30 bag Bolt with Nut Washer 6mm x</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</si>
  <si>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</si>
  <si>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8 pcs Pumpboat Cases 7 pcs. Engine 10 HP 2 pcs. Engine 16 HP</t>
  </si>
  <si>
    <t xml:space="preserve"> INVITATION TO APPLY FOR ELIGIBILITY AND TO BID THE MUNICIPALITY OF CAIBIRAN, BILIRAN IS INVITING ALL INTERESTED BIDDERS ON ITS FORTHCOMING PUBLIC BIDDING FOR: Project Title 	: Acquisition of Office Supplies, SO Location	        : LGU - Caibiran, Biliran  </t>
  </si>
  <si>
    <t xml:space="preserve"> 1.	The Municipal Government of Burgos, Ilocos Norte, through the Special Education Fund intends to apply the sum of PhP184,800.00 being the Approved Budget for the Contract (ABC) to payments under the contract for Purchase of Workbooks for Day Care Childr</t>
  </si>
  <si>
    <t xml:space="preserve"> NOTE: 1.	The approved budget for the contract is 	102,918.98 2.	Delivery period within 	7 	calendar days 3.	Warranty shall be for a period of three (3) months for expendable supplies, One year for non-expendable supplies from date of acceptance by the Pro</t>
  </si>
  <si>
    <t xml:space="preserve"> Republic of the Philippines Province of Ilocos Norte Municipality of Paoay BIDS AND AWARDS COMMITTEE INVITATION TO BID 2020-023 Invitation to Bid for the Purchase of IT supplies to be use by the different offices of the Municipality (1st and 2nd Quarter 2</t>
  </si>
  <si>
    <t xml:space="preserve"> 1	Unit	Mouse, optical, USB connection type 20	Piece	Flash Drive, 16GB 9	Can	Air Freshener, Aerosol type 1	Can	Insecticide, Aerosol type 35	Bottle	Alcohol, ethyl 40	Pack	Toilet Tissue Paper, 2ply 3	piece	Waste Basket, Non-rigid plastic 5	Box	Clip backfold,</t>
  </si>
  <si>
    <t xml:space="preserve"> Republic of the Philippines						 Department of Education, Central Visayas						 DIVISION OF NEGROS ORIENTAL						 DUMAGUETE CITY						 _________________ 					Date:	 Canvass Number						 _________________ 						 Name of Dealer						 _________________ 				</t>
  </si>
  <si>
    <t xml:space="preserve"> Intel Core i5-8265U Processor 1.6GHz 6M Cache, up to 3.90GHz / 4GB On Board Memory  1TB 5400 rpm SATA HDD/ 4GB NVIDIA GeForce MX230 GDDRS VRAM / Windows 10 *Please see Attached PR</t>
  </si>
  <si>
    <t xml:space="preserve"> Republic of the Philippines Province of Bohol MUNICIPALITY OF GETAFE BIDS AND AWARDS COMMITTEE ________________________________________ INVITATION TO BID ( 2nd Public Bidding ) FOR PROCUREMENT OF SECURITY SERVICES FOR THE MONTH OF JULY TO DECEMBER 2020 	T</t>
  </si>
  <si>
    <t xml:space="preserve"> Supply and Delivery of Materials for the Rehabilitation of Multi-Purpose Building (Tanod Outpost) at Dao, San Fernando, Bukidnon</t>
  </si>
  <si>
    <t xml:space="preserve"> 1.	The Municipal Government of Burgos, Ilocos Norte, through the Special Education Fund intends to apply the sum of PhP116,290.00 being the Approved Budget for the Contract (ABC) to payments under the contract for Purchase of Equipment and Supplies for IC</t>
  </si>
  <si>
    <t xml:space="preserve"> 2	unit	"Wheel Barrow " 2	pc	"Vacuum Cleaner, Multi-purpose, Wet &amp; Dry                   Blow, atleat 1200W, 6Gal" 12	unit	Mop, 360 Spin, Large, Heavy Duty 11	pc	360 Spin Mop replacement Cleaning Pads 11	pc	Rubber Toilet Plunger/Pump 2	pc	Toilet Bowl  Brus</t>
  </si>
  <si>
    <t xml:space="preserve"> Item	QTY.	UOM	PARTICULARS / DESCRIPTION AND SPECIFICATIONS		APPROVED	BRAND NAME	UNIT PRICE NO.					UNIT COST		 1	2	unit	External Hard Drive, 1TB		2,900.00		 2	4	piece	Flash Drive , 16GB, USB 2.0		550.00		 3	1	unit	Laptop, 14" display , full HD,4GB DDR4 21</t>
  </si>
  <si>
    <t xml:space="preserve"> Republic of the Philippines Department of Agriculture Bureau of Plant Industry 			     SATELLITE PESTICIDE ANALYTICAL LABORATORY             Baguio City   										                            REQUEST FOR QUOTATION NEGOTIATED PROCUREMENT: SMALL VALUE					</t>
  </si>
  <si>
    <t xml:space="preserve"> 1.	The Municipal Government of Burgos, Ilocos Norte, through the Special Education Fund intends to apply the sum of PhP248,000.00 being the Approved Budget for the Contract (ABC) to payments under the contract for Purchase of Equipment and Supplies for IC</t>
  </si>
  <si>
    <t xml:space="preserve"> Supply and Delivery of IT Equipment to be used for the Local Expenditure Program/Annual Budget and other office matters of the Municipal Budget Office with an ABC of Php58,110.00 For further details, please refer to the attached Purchase Request in the as</t>
  </si>
  <si>
    <t xml:space="preserve"> BIDS AND AWARDS COMMITTEE REQUEST FOR QUOTATION No. 2020-119 	The Department of Education Division of Taguig City and Pateros, through its Division BIDS and AWARDS COMMITTEE (DBAC), invites registered supplier/consultants to submit a quotation for the her</t>
  </si>
  <si>
    <t xml:space="preserve"> 1.	The Municipal Government of Burgos, Ilocos Norte, through the Special Education Fund intends to apply the sum of PhP180,000.00 being the Approved Budget for the Contract (ABC) to payments under the contract for Internet Connectivity Subscription (DepEd</t>
  </si>
  <si>
    <t xml:space="preserve"> PURCHASE OF FOOD ASSISTANCE</t>
  </si>
  <si>
    <t xml:space="preserve"> Republic of the Philippines Province of Southern Leyte MUNICIPALITY OF LIMASAWA BARANGAY LUGSONGAN -o0o- Bids and Awards Committee Invitation to Bid for the Supply of Materials for the Completion of Shore Protection 1.	The Barangay Lugsongan of Limasawa, </t>
  </si>
  <si>
    <t xml:space="preserve"> Supply, delivery and installation of ceiling Mounted inverter ACU Spit type, 3TR with dismantling . To replace old and not functioning split type ceiling mounted air conditioning unit for use at the staff room of Justice Paredes' Office, Room 403, 4th Flo</t>
  </si>
  <si>
    <t xml:space="preserve"> Request for Quotation for the Procurement of Agricultural Supplies (Inorganic Fertilizers) needed as inputs for the establishment of 10-ha rice seed production project at DA-BES, Ubay, Bohol for CY 2020 1.	The Department of Agriculture-Regional Field Offi</t>
  </si>
  <si>
    <t xml:space="preserve"> Republic of the Philippines Province of Davao de Oro 		Municipality of Compostela BARANGAY LAGAB 	 BIDS AND AWARDS COMMITTEE CP #: 09194118536 INVITATION TO BID NO. 2020-09-002 BID #002 1.	The Barangay Lagab through its Bids and Awards Committee invites S</t>
  </si>
  <si>
    <t xml:space="preserve"> 930 bags	 UREA FERTILIZER-Granulated Packed in 50kg. (dry) capacity woven polypropylene bags with polyethylene inner lining Label: Printed ‘’ NOT FOR SALE” With DA-RFO IV-A LOGO</t>
  </si>
  <si>
    <t xml:space="preserve"> 1. 47 Bags of Good Quality Rice</t>
  </si>
  <si>
    <t xml:space="preserve"> HOLHOG FLUME</t>
  </si>
  <si>
    <t xml:space="preserve"> Description BARANGAY GOVERNMENT OF SAN ISIDRO Valencia City, Bukidnon, Philippines Contract Reference No. 2020-21-08 INVITATION TO BID FOR THE SUPPLY DELIVERY AND INSTALLATION INCLUDING COMMISSIONING &amp; WARRANTY OF SOLAR STREETLIGHTS 1.	The Barangay Govern</t>
  </si>
  <si>
    <t xml:space="preserve"> 1.	The Municipal Government of Burgos, Ilocos Norte, through the Special Education Fund intends to apply the sum of PhP346,500.00 being the Approved Budget for the Contract (ABC) to payments under the contract for Purchase of Plastic Tables and Chairs for</t>
  </si>
  <si>
    <t xml:space="preserve"> I. CONCRETING OF PATHWAY: PATHWAY DIMENSION AVERAGE WIDTH 2.0m LENGTH 188m THICKNESS 0.10m A. MATERIALS: 376 bags Portland Cement 21 cu.m White Sand 41 cu.m Gravel 5 cu.m Lastillas 60 bd ft. Cocolumber 6 kgs CWN (Asstd) B. LABOR: 1 Foreman 2 Skilled Labor</t>
  </si>
  <si>
    <t xml:space="preserve"> 10 KVA,240 Volts,double bushing with Complete Accessories.</t>
  </si>
  <si>
    <t xml:space="preserve"> PURCHASE OF RESCUE VEHICLE OF BARANGAY SEIRAN, TAAL, BATANGAS. BUDGET AMOUNTS TO P1,100,000.00</t>
  </si>
  <si>
    <t xml:space="preserve"> Mobilization/ Demobilization Temporary Facilities Occupational Safety and Health Measures Structure Excavation Gravel Bedding Concrete Works Reinforcing Steel of Reinforced Concrete Form Works</t>
  </si>
  <si>
    <t xml:space="preserve"> for supply office and other offices use</t>
  </si>
  <si>
    <t xml:space="preserve"> This is intended for the purchase of different office supplies used by different offices of the municipality.</t>
  </si>
  <si>
    <t xml:space="preserve"> 3 Tonners Floor Type Aircondition.</t>
  </si>
  <si>
    <t xml:space="preserve"> Request for Quotation CMO-CDRRM Other MOE - Tree Planting/Tree Growing Activities Php 399,970</t>
  </si>
  <si>
    <t xml:space="preserve"> foe office use</t>
  </si>
  <si>
    <t xml:space="preserve"> 16 BOTTLES EPSON MAGENTA 664 6 BOTTLES CANON INK BLACK #810 6 BOTTLES CANON INK COLORED #811</t>
  </si>
  <si>
    <t xml:space="preserve"> 1.	The Municipal Government of Burgos, Ilocos Norte, through the Special Education Fund intends to apply the sum of PhP210,105.00 being the Approved Budget for the Contract (ABC) to payments under the contract for Purchase of Equipment/Devices and Materia</t>
  </si>
  <si>
    <t xml:space="preserve"> 100	Pcs	PVC Pipe Size: 4 inch x 10ft. Color: Orange 		-Neltex or its equivalent 50	Pcs	PVC Pipe Elbow Size: 4 inches Color: Orange 		-Neltex or its equivalent 2	Can	PVC Solvent Cement 1/12liter</t>
  </si>
  <si>
    <t xml:space="preserve"> Republic of the Philippines Province of Camarines Norte Municipality of Sta Elena BARANGAY SAN PEDRO BIDS AND AWARD COMMITTEE INVITATION TO BID FOR CONCRETING OF FARM TO MARKET ROAD MATERIALS ONLY ITB NO. 20-005 1. The BARANGAY SAN PEDRO STA ELENA CAMARIN</t>
  </si>
  <si>
    <t xml:space="preserve"> for office use in prevention to Covid- 19</t>
  </si>
  <si>
    <t xml:space="preserve"> Republic of the Philippines MUNICIPALITY OF BUENAVISTA INVITATION TO RE-BID FOR SUPPLY AND DELIVERY OF OFFICE SUPPLIES FOR BUDGET, HRMO AND MSWD OFFICE    1.	The Local Government Unit of Buenavista, Marinduque through the fund from the MOOE (Office Suppli</t>
  </si>
  <si>
    <t xml:space="preserve"> 2 units 6 Wheeler Cargo Truck (w/ specifications)</t>
  </si>
  <si>
    <t xml:space="preserve"> Please download and then print the attached Request for Price Quotation Form (RFQ Form) anf Bill of Quantities if you want to bid/quote and also if your business is registered as supplier in PhilGEPS. To view this attachment, just click “ORDER” opposite t</t>
  </si>
  <si>
    <t xml:space="preserve"> Please see BAC Chairman &amp; attached document</t>
  </si>
  <si>
    <t xml:space="preserve"> PURCHASE OF ADDITIONAL EDUCATIONAL MATERIALS FOR CHILDREN</t>
  </si>
  <si>
    <t xml:space="preserve"> Battery, Dry Cell, size AAA - 10 packs Battery, Dry cell, AAA - 10 packs Clip, backfold, 50mm - 20 box Face Shield - 50 pcs Ink Cart, Epson, black - 15 bottles Ink Cart, Epson, cyan - 15 bottles Ink Cart, Epson, magenta - 15 bottles Ink Cart, Epson, yello</t>
  </si>
  <si>
    <t xml:space="preserve"> 3962 REAMS BOND PAPER A4 SIZE 260 BOTTLES EPSON BLACK UNIVERSAL 1 BOTTLE EPSON YELLOW UNIVERSAL 1 BOTTLE EPSON CYAN UNIVERSAL 1 BOTTLE EPSON MAGENTA UNIVERSAL 15 BOTTLES EPSON BLACK 774 76 BOTTLES EPSON BLACK 664 15 BOTTLES EPSON YELLOW 664 16 BOTTLE EPSO</t>
  </si>
  <si>
    <t xml:space="preserve"> Please see attached document.</t>
  </si>
  <si>
    <t xml:space="preserve"> Enhance the CCTV Camera in barangay.</t>
  </si>
  <si>
    <t xml:space="preserve"> REQUEST TO SUBMIT PROPOSAL FOR LABOR AND MATERIALS FOR FABRICATION OF STAINLESS CUTOUT LETTERS SIGNAGE FOR RESEARCH DIVISION WITH LOGO AND REGIONAL ORGANIC AGRICULTURE R &amp; D CENTER BUILDING AT APPROVED BUDGET FOR THE CONTRACT AMOUNTING TO TWO HUNDRED TWEN</t>
  </si>
  <si>
    <t xml:space="preserve"> Republic of the Philippines Province of Leyte Municipality of Hilongos BARANGAY BUN-OT REQUEST FOR QUOTATION _____________ Date  _______________________ _______________________  ______________________                                Please quote your lowes</t>
  </si>
  <si>
    <t xml:space="preserve"> 1. 54 Bags of Good Quality Rice</t>
  </si>
  <si>
    <t xml:space="preserve"> 26	Bag	Vermicast				 14	Bag	Urea				 11	Bag	Complete				 4	Bag	Muriate of Potash				 240	Kg	Molasses				 20	Bag	Vermicompost				 10	Bag	Dolomitic Lime				 15	Bag	Calcium Carbonate				 22	Bag	Organic Fertilizer (processed chicken manure)				 1	Bag	Solophos</t>
  </si>
  <si>
    <t xml:space="preserve"> 1.	The Municipal Government of Burgos, Ilocos Norte, through the Special Education Fund intends to apply the sum of PhP198,495.00 being the Approved Budget for the Contract (ABC) to payments under the contract for Purchase of Learning Aids Materials and S</t>
  </si>
  <si>
    <t xml:space="preserve"> Upgrading/Installation of Public Address System.</t>
  </si>
  <si>
    <t xml:space="preserve"> Supply and Delivery of 1 unit Drone Camera Aircraft with complete accessories Delivery:  Atleast 15 days upon confirnation of NTP ABC: PhP 100,000.00 with atleast have the following requirement : air craft, GPS &amp; vision  position -based navigation; Three </t>
  </si>
  <si>
    <t xml:space="preserve"> Surplus Common Excavation Structure Excavation Sub-grade Preparation Aggregate Sub-base Coarse Aggregate Base Coarse PCCP Reinforcing Steel Bars Structural Concrete (Class A)</t>
  </si>
  <si>
    <t xml:space="preserve"> WHEREAS, the Members of the Bids of the Bids and Awards Committee (BAC) of Musuan Elementary School had agreed to issue a recommendation to the School Principal regarding Negotiated procurement as the alternative mode of procurement for feeding supplies. </t>
  </si>
  <si>
    <t xml:space="preserve"> 1 unit	 LAPTOP Specifications: Processor: Intel Core i7-8550U 8th Gen (1.8GHz/ 8MB Cache) Graphics: Intel (R) HD Graphics 620 Storage: 256GB M.2 PCle SSD Memory: 8GB DDR4 2400 Mhz Screen: 13.3’’ FHD (1920x 1080) touch Battery: 3-cell (integrated) Operatin</t>
  </si>
  <si>
    <t xml:space="preserve"> PROPOSED REPAIR AND RENOVATION OF OPEN CANAL AND DE CLOGGING AT VARIOUS STREETS AT BRGY. BAGONG BAYAN, SAN PABLO CITY</t>
  </si>
  <si>
    <t xml:space="preserve"> Requesting for Quotation (RFQ) for PR No. 2008093  Interested suppliers are invited to submit Sealed Price Quotations for the above listed items. The Request for Quotation (RFQ) for may be obtained from Mr. Albert A. Camarillo City General Services Office</t>
  </si>
  <si>
    <t xml:space="preserve"> ACTIVITIES	SCHEDULE 1.	Issuance of Bid Documents	August 24, 2020 2.	Pre-Bid conference	 3.	Opening of Bids	September 4, 9:00 A.M. 4.	Bid Evaluation	September 4, 2020 5.	Post-qualification	September 7, 2020 6.	Notice of Award	September 10, 2020</t>
  </si>
  <si>
    <t xml:space="preserve"> Request for Quotation for the Procurement of Other Supplies to be used in support to the conduct of Community-Based Participatory Research (CPAR) on Rice-Based Farming System in the Municipality of Ubay, Province of Bohol 1.	The Department of Agriculture-</t>
  </si>
  <si>
    <t xml:space="preserve"> 1.	500 tanks – Medical Oxygen, Full Standard</t>
  </si>
  <si>
    <t xml:space="preserve"> Republic of the Philippines        PROVINCE OF BUKIDNON             Don Carlos, Bukidnon Invitation to Bid for the Proposed Construction of the Material Recovery Facility  at Barangay San Nicolas, Don Carlos, Bukidnon (Straight Contract) (Project Referenc</t>
  </si>
  <si>
    <t xml:space="preserve"> See attached POW at associated components for details.</t>
  </si>
  <si>
    <t xml:space="preserve"> REQUEST TO SUBMIT PROPOSAL FOR THE SUPPLY, DELIVERY AND TESTING OF TWO (2)  UNITS 25 KVA DISTRIBUTION TRANSFORMER 13.2 KV/230V UNDER CORN PROGRAM WITH APPROVED BUDGET FOR THE CONTRACT AMOUNTING TO TWO HUNDRED THIRTY  THOUSAND  PESOS  (₱230,000.00) PURSUAN</t>
  </si>
  <si>
    <t xml:space="preserve"> Item I Earthworks Item II Concrete Works Item III Rebar Works Item IV Form Works Item V Masonry Works Item VI Steel Works Item VII Roofing Works Item VIII Ceiling Works Item IX Plumbing Works Item x Tile Works</t>
  </si>
  <si>
    <t xml:space="preserve"> Name of Project: Supply and Delivery of Various Materials/Fittings The approved budget for the contract: Php 196,300.00 Delivery Period: within Five (5) calendar days *Note: Please see the attached document/s in the associated components of this notice fo</t>
  </si>
  <si>
    <t xml:space="preserve"> Meals and Snacks for the Participants on Basic Sewing Day 1 AM Snacks (Bijon Guisado, Bread and Bottled water) - 90 pax Lunch (Rice, Pork Adobo, Banana and Bottled water) - 90 pax PM Snacks (Cassava Cake and Bottled iced tea) - 90 pax Day 2 AM Snacks (Mac</t>
  </si>
  <si>
    <t xml:space="preserve"> 1 pc. 1000L Tank (Plastic) 1 pc. 1” x 3/4” PVC Reducer 1 length 2” dia G.I Pipe S40 1 length 1 ½” dia G.I. Pipe S40 1 kg. Welding Rod 1 gal. Paint, Metal Primer, red oxide 1 job Installation cost drip irrigation system</t>
  </si>
  <si>
    <t xml:space="preserve"> REQUEST FOR QUOTATION					 _______________________________________				Date	August 14, 2020                         Name of Supplier				Quotation No.:  	2020-172 _______________________________________					                               Adrdress					 					</t>
  </si>
  <si>
    <t xml:space="preserve"> Republic of the Philippines Province of Nueva Vizcaya BIDS AND AWARDS COMMITTTEE (GOODS) BAC OFFICE, Provincial Capitol, Bayombong, Nueva Vizcaya 	 		 REQUEST FOR QUOTATION (RFQ) For the Procurement of Office Supplies For the Provincial Agricultural Offic</t>
  </si>
  <si>
    <t xml:space="preserve"> Republic of the Philippines Province of Oriental Mindoro MUNICIPALITY OF NAUJAN BIDS AND AWARDS COMMITTEE INVITATION TO BID SUPPLY &amp; DELIVERY OF MATERIALS TO BE USED IN THE CONSTRUCTION OF PERIMETER FENCE AT CENTRAL BUSINESS DISTRICT, BARANGAY PINAGSABANG</t>
  </si>
  <si>
    <t xml:space="preserve"> Requesting for Quotation (RFQ) for PR No. 2008094  Interested suppliers are invited to submit Sealed Price Quotations for the above listed items. The Request for Quotation (RFQ) for may be obtained from Mr. Albert A. Camarillo City General Services Office</t>
  </si>
  <si>
    <t xml:space="preserve"> Medicine</t>
  </si>
  <si>
    <t xml:space="preserve"> JOB ORDER: Catering services during the conduct of FGD Briefing/Orientation of RRP Research Protocol and Procedure in Achieving Outputs. No.	Scope of Work	Quantity	Unit_Cost	ABC 				 	                September 8, 2020 (Calbayog City)			 Menu	AM Snack: Toa</t>
  </si>
  <si>
    <t xml:space="preserve"> 1	Unit	2SM Battery (Gold) 4	Pcs	Tire 225/70R15C</t>
  </si>
  <si>
    <t xml:space="preserve"> 150	Bag	Inbred Rice-40 kilo per ha 40kg/bag			 100	Liters	Insecticide (green labeled, cypermethrin 1L/bottle)			 101	Liters	Herbicides (for broad leaves, post emergence, 2 seasons)			 25	Box	Molluscicide (10 packs/box)			 168	Bags	Mallard Layer Duck Feeds</t>
  </si>
  <si>
    <t xml:space="preserve"> RE-BIDDING FOR THE REPAIR OF COA OFFICE THRU SMALL VALUE PROCUREMENT UNDER THE REVISED IRR OF RA 9184 WILL BE HELD ON AUGUST 27, 2020, 2:00 PM AT NATIONAL FOOD AUTHORITY SORSOGON PROVINCIAL OFFICE CONFERENCE ROOM, CABID-AN, SORSOGON CITY</t>
  </si>
  <si>
    <t xml:space="preserve"> UNIT    ITEM/DESCRIPTION      QTY piece    Paper, Multicopy, 80gsm, size 210mmx297mm (A$)   350 piece    Stapler, Standard type, load cap: 200staples                 5 piece    Staple wire, standard                                               100</t>
  </si>
  <si>
    <t xml:space="preserve"> Clearing &amp; Grubbing Roadway Excavation Embankment Subgrade Preparation Aggregate Subbase Coarse Aggregate Base Coarse PCCP Project Billboard</t>
  </si>
  <si>
    <t xml:space="preserve"> Small Value Procurement. . .</t>
  </si>
  <si>
    <t xml:space="preserve"> Invitation to Bid for the Procurement of Communication Equipment for Disaster Preparedness and Rescue Use, LGU-Tagudin, Ilocos Sur 1.	The Local Government Unit of Tagudin, Ilocos Sur, thru its Bids and Awards Committee intends to apply the sum of Four Hun</t>
  </si>
  <si>
    <t xml:space="preserve"> One (1) unit Brand new Coaster (29 seaters) SPECIFICATIONS:					 Engine:						        D4GA14 (EURO4) Cylinder:						        4 in-line Displacement:					        3,933 cc Maximum Power:					140 ps/2,700 rpm Maximum Torque:					40kg-m/1,400 rpm Clutch Type:	</t>
  </si>
  <si>
    <t xml:space="preserve"> Requesting for Quotation (RFQ) for PR No. 2008118  Interested suppliers are invited to submit Sealed Price Quotations for the above listed items. The Request for Quotation (RFQ) for may be obtained from Mr. Albert A. Camarillo City General Services Office</t>
  </si>
  <si>
    <t xml:space="preserve"> RE-BIDDING FOR THE REPAIR OF CONFERENCE ROOM, STAFFHOUSE, EA OFFICE AND DRYER HOUSE THRU SMALL VALUE PROCUREMENT UNDER THE REVISED IRR OF RA 9184 WILL BE HELD ON AUGUST 27, 2020, 2:00 PM AT NATIONAL FOOD AUTHORITY SORSOGON PROVINCIAL OFFICE CONFERENCE ROO</t>
  </si>
  <si>
    <t xml:space="preserve"> INVITATION TO BID FOR  REHABILITATION OF WATER SYSTEM  (Laying of 63mm x 2,040 Linear Meter HDPE Pipe with 20 units of Water Meter) 1.	The Barangay Local Government Unit  of Bag-ong Clarin through the 2016-2018 – 20% Barangay Development Fund intends to a</t>
  </si>
  <si>
    <t xml:space="preserve"> various Supply as per Purchase Request</t>
  </si>
  <si>
    <t xml:space="preserve"> Description   REQUEST FOR QUOTATION (RFQ) The PNP through the Bids and Awards Committee (BAC) of the Municipality of Banaybanay, Davao Oriental hereby notifies and invites you to submit your quotation/bid for the hereunder proposed project/request, viz: F</t>
  </si>
  <si>
    <t xml:space="preserve"> see attached PR POW</t>
  </si>
  <si>
    <t xml:space="preserve"> 1350 BAG/S PORTLAND CEMENT - with delivery at Municipal Warehouse PROCUREMENT</t>
  </si>
  <si>
    <t xml:space="preserve"> Republic of the Philippines Province of Bohol Municipality of Getafe Bids and Awards Committee Poblacion, Getafe, Bohol Telephone No. (038) 514-9048 INVITATION TO BID  	The Municipality of Getafe, Province of Bohol through its Bids and Awards Committee (B</t>
  </si>
  <si>
    <t xml:space="preserve"> Installation of Solar Lights.</t>
  </si>
  <si>
    <t xml:space="preserve"> Laboratory supplies			 2000	Bottle Cold fill bottle (200ml)			 400	Pcs	Plastic (50 kilos capacity)			 10	Pcs	Stainless basin (20 kilos capacity)			 15	Pcs	 Drum</t>
  </si>
  <si>
    <t xml:space="preserve"> 800 BAG/S PORTLAND CEMENT - with delivery at Municipal Warehouse</t>
  </si>
  <si>
    <t xml:space="preserve"> Please see attached canvass (RFQ) form / TOR for complete specifications. DATE OF SUBSCRIPTION: AS PER SCHEDULED DATE</t>
  </si>
  <si>
    <t xml:space="preserve"> INVITATION TO BID  for  Concreting of Brgy. Babuyan Road, Infanta, Pangasinan Solicitation No. PANG-2020-1031 1.	The Provincial Government of Pangasinan, through the Construction, Repair &amp; Maintenance of Various Roads and Bridges (PR#2020-07-6415) intends</t>
  </si>
  <si>
    <t xml:space="preserve"> Supplies and Materials</t>
  </si>
  <si>
    <t xml:space="preserve"> Description   REQUEST FOR QUOTATION (RFQ) The MOTORPOOL through the Bids and Awards Committee (BAC) of the Municipality of Banaybanay, Davao Oriental hereby notifies and invites you to submit your quotation/bid for the hereunder proposed project/request, </t>
  </si>
  <si>
    <t xml:space="preserve"> NOTE: 1.	The approved budget for the contract is 	147,000.00 2.	Delivery period within 	7 	calendar days 3.	Warranty shall be for a period of three (3) months for expendable supplies, One year for non-expendable supplies from date of acceptance by the Pro</t>
  </si>
  <si>
    <t xml:space="preserve"> Procurement and Delivery of one (1) Unit Brand New Recue Vehicle with accessories (Toplight w/PA System, Tow Hitch w/ball receiver, Winch, Bulbar w/winch, Bracket w/wings, Reflective logo sticker) for the Municipal Government of Palanan, Isabela</t>
  </si>
  <si>
    <t xml:space="preserve"> Requesting for Quotation (RFQ) for PR No. 2008058  Interested suppliers are invited to submit Sealed Price Quotations for the above listed items. The Request for Quotation (RFQ) for may be obtained from Mr. Albert A. Camarillo City General Services Office</t>
  </si>
  <si>
    <t xml:space="preserve"> 96,154.76 ltrs Diesel Fuel 18,000 ltrs. Unleaded Gasoline 25 pail Diesel Oil 40</t>
  </si>
  <si>
    <t xml:space="preserve"> 608 Sacks Commercial Rice content 10 kilos 204 packs Assorted Biscuits 68 packs Powdered Milk 1kg 68 packs Choco Drink 1 kg 204 cans Corned Beef 150 g  772 cans  Beef Loaf 150 gms 272 cans Meat Loaf 150 gms 272 cans Tuna Flakes 150 gms</t>
  </si>
  <si>
    <t xml:space="preserve"> Republic of the Philippines					 Province of Albay					 Municipality of Bacacay					 Tel.No.(052)558-32-43					 					 BIDS AND AWARDS COMMITTEE	 				 				Date     :	August 20, 2020 				Quotation No.	10020080053 ____________________________					 __________</t>
  </si>
  <si>
    <t xml:space="preserve"> Small Value Procurement</t>
  </si>
  <si>
    <t xml:space="preserve"> Brand New,100-150 cc.</t>
  </si>
  <si>
    <t xml:space="preserve"> 7 units Motorcycle SPECIFICATIONS: 	General Information  	Model: 125 dual Sport  	Engine &amp; Transportation 	Displacement: 124.80(7.62 cubic inches) 	Engine Type: Single Cylinder, four stroke 	Power: 9.40 HP (6.9kw) @ 7500RPM 	Torque: 10.40 nm (1.1 kgf-m or</t>
  </si>
  <si>
    <t xml:space="preserve"> September 01, 2020 100 covers Snacks AM- Pancit malabon, buko juice and fruits 100 covers Lunch- Fish, meat and vegetable viand with unlimited rice 100 covers Snacks PM- Clubhouse sandwich and mango juice 100 covers Dinner- Fish, meat and vegetable viand </t>
  </si>
  <si>
    <t xml:space="preserve"> MABBALAT DRAINAGE CONTINUATION (NEAR POLEN BAHNI'S PLACE)</t>
  </si>
  <si>
    <t xml:space="preserve"> 1 30 SHT/S PLYWOOD - Ordinary -4mmx4'x8' 2 10 KG/S. CWN - #4" 3 10 KG/S. CWN - #3" 4 10 KG/S. CWN - #1" 5 1100 LGTH/S DRB - 10.0mm.dia. x 6.0m gr.33 6 50 KG/S. G.I. TIE WIRE - #16 7 10 PC/S HACKSAW BLADE - - 8 5 MTR/S WIRE SCREEN - G.I -1/8" 9 40 MTR/S TR</t>
  </si>
  <si>
    <t xml:space="preserve"> Requesting for Quotation (RFQ) for PR No. 2008049  Interested suppliers are invited to submit Sealed Price Quotations for the above listed items. The Request for Quotation (RFQ) for may be obtained from Mr. Albert A. Camarillo City General Services Office</t>
  </si>
  <si>
    <t xml:space="preserve"> Republic of the Philippines Province of Siquijor Municipality of Maria Barangay Candaping A. INVITATION TO BID FOR Procurement of Various Plumbing Materials – Candaping A, Maria, Siquijor / CAND-A-0001G-2020 1.	The BLGU – Candaping A, through the 20% Deve</t>
  </si>
  <si>
    <t xml:space="preserve"> Requesting for Quotation (RFQ) for PR No. 2008060  Interested suppliers are invited to submit Sealed Price Quotations for the above listed items. The Request for Quotation (RFQ) for may be obtained from Mr. Albert A. Camarillo City General Services Office</t>
  </si>
  <si>
    <t xml:space="preserve"> Construction of 50 linear mater x .40m covered Drainage Canal</t>
  </si>
  <si>
    <t xml:space="preserve"> Republic of the Philippines				 Province of Albay					 Municipality of Bacacay					 Tel.No.(052)558-32-43					 					 BIDS AND AWARDS COMMITTEE	 				 				Date     :	August 20, 2020 				Quotation No.	10020080054 ____________________________					 ___________</t>
  </si>
  <si>
    <t xml:space="preserve"> SDCB</t>
  </si>
  <si>
    <t xml:space="preserve"> Item I Embankment Item II Concrete &amp; Masonry Works Item III Roof &amp; Roof Framing System Item IV Form Works</t>
  </si>
  <si>
    <t xml:space="preserve"> 1 Repair of 6 units Swimming Pool Water Pump (including Spare Parts &amp; Labor) Specification:  Horsepower: 3.0 HP Service Factor: 1.15 Total Horsepower: 3.45</t>
  </si>
  <si>
    <t xml:space="preserve"> Republic of the Philippines MUNICIPALITY OF BUENAVISTA INVITATION TO RE-BID FOR SUPPLY AND DELIVERY OF DIGITAL COPYPRINTER FOR DEPED BUENAVISTA    1.	The Local Government Unit of Buenavista, Marinduque through the fund from the Special Education Fund (SEF</t>
  </si>
  <si>
    <t xml:space="preserve"> Repainting of sidewalk/pathwalk of streets of this Barangay.</t>
  </si>
  <si>
    <t xml:space="preserve"> 1	1	unit	Laptop Computer				 		 	Intel Core i7 1051OU				 			8 GB Memory DDR4				 			Storage: 512 GB NUME				 			Graphics: MX 230 2 GB				 			14" Display				 			Backpack, Mouse				 			Mouse Pad				 			OS: Windows 10 Home License				 			MS Office Home &amp; Bu</t>
  </si>
  <si>
    <t xml:space="preserve"> Project Description Length 180 In. mtrs. Thickness 100mm. Width 1.0 mtr. ESTIMATES I. Preparation of Base II. Concrete Pavement</t>
  </si>
  <si>
    <t xml:space="preserve"> Welfare Goods Expenses relief goods</t>
  </si>
  <si>
    <t xml:space="preserve"> Detailed Estimate		 For the Construction of Drainage Canal		 at Barangay Cabayaoasan, Bugallon, Pangasinan		 		 ABC: 85,454.01		 A. Materials		 		 		 7	pcs	0.60m dia x 1.00m Rc Pipe Culvert 5	bags	Portland Cement 2	cu.m	G1 1	cu.m	S1 42	bags	Portland Cemen</t>
  </si>
  <si>
    <t xml:space="preserve"> 50 lengths Angle Bar 1/4 x 1"x 1" 2 boxes Blind Rivets 3/16 x 3/4 5 pieces Drill Bit 3/16 x 3/4 15 lengths G.I. Pipe 3 inches (sched. 40)(100mm) 5 kg Welding Rod (1370) 4 pieces Hacksaw Blade</t>
  </si>
  <si>
    <t xml:space="preserve"> LGU -  PAMPLONA, CAMARINES SUR		Project Reference Number:	100-20-08-452		 			Purchase of Hardwar Materials		 Standard Form Number: SF - GOOD - 60					 Revised on: May 24, 2004					 Standard Form Title: Request for Quotation		Location of the Project: 	Muni</t>
  </si>
  <si>
    <t xml:space="preserve"> OTHER SUPPLIES - 2020-8-2106 - 92,828.00</t>
  </si>
  <si>
    <t xml:space="preserve"> Republic of the Philippines Province of Siquijor Municipality of Maria Barangay Local Government Unit of Cantugbas of the Municipality of Maria Invitation to Bid for CONSTRUCTION R.C. WATER RESERVOIR  /TUGBAS-0001I-2020 The Barangay Local Government Unit </t>
  </si>
  <si>
    <t xml:space="preserve"> Rehabilitation and Maintenance of PA System of this Barangay.</t>
  </si>
  <si>
    <t xml:space="preserve"> 144 pax Meals &amp; Snacks Menu: (A.M. Snacks)            Torta &amp; Juice in Can           (Lunch)          Rice, Litson Kawali, Chopsuey,          Bottled Water</t>
  </si>
  <si>
    <t xml:space="preserve"> INVITATION TO BID Sealed proposal in ink typewritten one (1) copy will be received fro bonafide contractors on September 2, 2020 at 3:00 PM at Barangay Hall, Barangay CULAYLAY, this city on which date, time and place the bid will publicly opened in the pr</t>
  </si>
  <si>
    <t xml:space="preserve"> 7 units Laptop with Headset 6 unit Printer (4n1) continuous ink 1 unit Desktop Computer Set w/ DV-R and other accessories &amp; Computer Table</t>
  </si>
  <si>
    <t xml:space="preserve"> 90 sacks Unshelled Peanut Seeds (25 kilos per sack)</t>
  </si>
  <si>
    <t xml:space="preserve"> Requesting for Quotation (RFQ) for PR No. 2008063  Interested suppliers are invited to submit Sealed Price Quotations for the above listed items. The Request for Quotation (RFQ) for may be obtained from Mr. Albert A. Camarillo City General Services Office</t>
  </si>
  <si>
    <t xml:space="preserve"> INVITATION TO BID The Philippine Children’s Medical Center, through DOH-HFEP CY 2020 intends to apply the sum of Two Million Pesos (Php 2,000,000.00) being the Approved Budget for the Contract (ABC) to payment under the contract for the following project.</t>
  </si>
  <si>
    <t xml:space="preserve"> To supply labor and materials for the replacement of Termite infested wall at PQS-Iligan (MAIN LOBBY WALL)                       Approx: 8 sqm. Glass partition and 11.5 sqm. Cement fiber board (back to back) (KITCHEN TO LABORATORY PARTITION)            Ap</t>
  </si>
  <si>
    <t xml:space="preserve"> COMMON OFFICE SUPPLIES, CONSUMABLES, COMMON OFFICE EQUIPMENT, SCHOOL SUPPLIES AND JANITORIAL AND SECURITY SUPPLIES AND SERVICES, COMMON JANITORIAL SUPPLIES</t>
  </si>
  <si>
    <t xml:space="preserve"> disinfectant materials</t>
  </si>
  <si>
    <t xml:space="preserve"> Requesting for Quotation (RFQ) for PR No. 2008116  Interested suppliers are invited to submit Sealed Price Quotations for the above listed items. The Request for Quotation (RFQ) for may be obtained from Mr. Albert A. Camarillo City General Services Office</t>
  </si>
  <si>
    <t xml:space="preserve"> Detailed Estimate		 For the Construction &amp; Fabrication of Signages		 at Barangay Poblacion, Bugallon, Pangasinan		 		 ABC: 49,669.56		 A. Materials		 		 		 5	pcs	GA 20 plain G.I. Sht 7	pcs	1 ¼" Ø x 6m G.I. Pipe (S-40) 10	pcs	10mm x 6m Square Bar 6	kls	Wel</t>
  </si>
  <si>
    <t xml:space="preserve"> 165	kl.	Pork boneless 200	kl.	Chicken (choice cuts) 30	kl.	Ground lean pork 10	sack	Rice 50kls 40	kl.	Fish 8	kl.	Hotdog 10	pack	Tocino roll 10	doz.	Chorizo 10	pack	Longanisa 5	kl.	Dried fish (pinikas) 5	kl.	Dried fish (bolinao) 1	case	Sardines 100's 20	pa</t>
  </si>
  <si>
    <t xml:space="preserve"> Republic of the Philippines Province of Davao Oriental City of Mati BIDS &amp; AWARDS COMMITTEE INVITATION TO BID LOT Procurement of AIR CONDITIONING UNITS with Installation for the Use of DOPMC SOURCE OF FUND: TRUST FUND [2-02-01-050-103-02] 1.	The Provincia</t>
  </si>
  <si>
    <t xml:space="preserve"> Shopping. . . .</t>
  </si>
  <si>
    <t xml:space="preserve"> Republic of the Philippines  City of Canlaon Office of the Bids and Awards Committee  INVITATION TO BID FOR the Procurement of one (1) unit Mobile Water Filtration System The Local Government of Canlaon City, through Acquisition of Water Filtration System</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</si>
  <si>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</si>
  <si>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SUPPLIES AND MATERIALS FOR MODULE REPRODUCTION</t>
  </si>
  <si>
    <t xml:space="preserve"> 1	4 pcs	Toner TN118 (ineo 215)	 2	5 boxes	HP Toner 85A Toner	 3	10 boxes 	Bond Paper (long)	 4	10 boxes	Bond Paper (A4)	 5	10 boxes	Bond Paper (short)	 6	10 pcs	File Box with cover	 7	200 pcs	White Folder (long)	 8	6 pcs	Masking Tape (2")	 9	10 bottles	Ep</t>
  </si>
  <si>
    <t xml:space="preserve"> Republic of the Philippines Province of Iloilo  BIDS AND AWARDS COMMITTEE REQUEST FOR QUOTATION Quotation No.PEN-20-0969-NP(SV) Reference PR No.PEN-20-0969 August 17, 2020 ______________________________ ______________________________ _____________________</t>
  </si>
  <si>
    <t xml:space="preserve"> 1.	50 pads – CTG Thermal paper (Z-Fold, 152mm x 90mm, 150 sheets/pad) 2.	150 rolls – Hospital Gauze Roll size: 36 in. x 100 yards 2 ply 3.	250 roll/pad – ECG Thermal Paper Size: 80mm x 20m/Z- Fold , 80mm width, 200 sheets/pad 4.	25 rolls – Steam indicator</t>
  </si>
  <si>
    <t xml:space="preserve"> Installation (Update/Input of LGU Website) for LGU Transparency and Information</t>
  </si>
  <si>
    <t xml:space="preserve"> Republic of the Philippines DEPARTMENT OF PUBLIC WORKS AND HIGHWAYS PANGASINAN 2ND  DISTRICT ENGINEERING OFFICE  REGIONAL OFFICE I 	Alvear St., Lingayen, Pangasinan	 August 20, 2020 NOTICE OF ALTERNATIVE METHODS OF PROCUREMENT Notice is hereby given that </t>
  </si>
  <si>
    <t xml:space="preserve"> Brass Water Meters 1/2", 3/4", &amp; 2" Plastic Water Meters 1/2" Flow Meter 6" MJMJ ( with mechanical joint to connect and be fitted to 6" PVC Pipes) This is a 1 lot procurement. The total lowest bid of water meters will be the winning bidder. We require the</t>
  </si>
  <si>
    <t xml:space="preserve"> 1 300 LGTH/S DRB - 10.0mm.dia. x 6.0m gr.33 2 30 KG/S. G.I. TIE WIRE - #16 3 10 KG/S. CWN - #4" 4 10 KG/S. CWN - #3" 5 15 PAN/S PLYWOOD - Marine-1.2'x2.4x5mm 6 4 PC/S HACKSAW BLADE - -</t>
  </si>
  <si>
    <t xml:space="preserve"> ITEM NO.	DESCRIPTION	QUANTITY	UNIT 			 PART A	FACILITIES FOR THE ENGINEER	 	  A.1.1 (1)	Construction of Field Office including provision of furniture for the Engineer, 40 sq.m.	40.00	sq.m.  	TOTAL OF PART A	 	  PART B	OTHER GENERAL REQUIREMENTS	 	  B.4 (8</t>
  </si>
  <si>
    <t xml:space="preserve"> ***** Catering services, 35 pax per batch (3 batches) ***** 3 meals and 2 snacks for day 1 ----- 35 pax 3 meals and 2 snacks for day 2 ----- 35 pax 3 meals and 2 snacks for day 3 ----- 35 pax 3 meals and 2 snacks for day 4 ----- 35 pax 3 meals and 2 snack</t>
  </si>
  <si>
    <t xml:space="preserve"> CONSTRUCTION OF TOURISM &amp; DISASTER RESILIENT INFRASTRUCTURE FACILITY (MATERIALS) AT MAINIT, MACO, DAVAO DE ORO.</t>
  </si>
  <si>
    <t xml:space="preserve"> INVITATION TO BID  for  Concreting of Quiray Road in Sitio Kadampat at Brgy. Bolo, Labrador, Pangasinan Solicitation No. PANG-2020-1033 1.	The Provincial Government of Pangasinan, through the Construction, Repair &amp; Maintenance of Various Roads and Bridges</t>
  </si>
  <si>
    <t xml:space="preserve"> Deliveries of Supplies and materials for INSTALLATION OF WATER SYSTEM (BAWASA) of Barangay Maulawin Sta Elena, Camarines Norte.</t>
  </si>
  <si>
    <t xml:space="preserve"> Republic of the Philippines Province of Davao Oriental City of Mati BIDS &amp; AWARDS COMMITTEE INVITATION TO BID LOT Procurement of T-SHIRT with PRINT for the Use of the Provincial Governor’s Office SOURCE OF FUND: PGO [1011-5-02-99-990-01-01] 1.	The Provinc</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</si>
  <si>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</si>
  <si>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CONSTRUCTION OF TOURISM &amp; DISASTER RESILIENT INFRASTRUCTURE FACILITY (LABOR &amp; EQUIPMENT RENTAL ) AT MAINIT, MACO, DAVAO DE ORO.</t>
  </si>
  <si>
    <t xml:space="preserve"> HP Color Laserjet Enterprise M751 Printer (A3 Printer) Toner Cartridges 4 HP6588 Black Toner (W2000A) 4 HP658A Cyan Toner (W2001A) 4 HP658A Magenta Toner (W2002A) 4 HP658A Yellow Toner (W2003A) Terms 	30 days upon receipt of Notice to Proceed		 ABC			PhP1</t>
  </si>
  <si>
    <t xml:space="preserve"> M3 OX10 (WSB)- Mobile Device,  WiFi(IEEE802.11 a/b/g/n),Scanner (1D), BT Class II v2.0+EDR &amp; AGPS, 3.5” QVGA TFT LCD Colour Touch Screen,  Microsoft® Windows Embedded CE 6.0, Coretex-A8 1Ghz,512MB/4GB, M3 Universal Power Supply/Charger, M3 Snap-On Connect</t>
  </si>
  <si>
    <t xml:space="preserve"> Procurement of Various Office Supplies &amp; Devices Interested Suppliers are required to submit their Philgeps Registration No./Certification and Mayors Permit RFQ is available at the Asset Management Section Submission of sealed quotation is on before Augus</t>
  </si>
  <si>
    <t xml:space="preserve"> City Government of La Carlota								          Standard Form Number: SF-GOOD-59 Revised on: May 24, 2004 Standard Form Title: REQUEST FOR QUOTATION 												Date: ______________ 												Quotation No.________ Company Name Address 	Please quote your </t>
  </si>
  <si>
    <t xml:space="preserve"> Detailed Estimate		 For the Clearing of Barangay Road 		 at Barangay Cayanga, Bugallon, Pangasinan		 		 ABC: 20,371.43		 A. Materials		 		 		 11	Laborer</t>
  </si>
  <si>
    <t xml:space="preserve"> use for Daycare Centers of Panabo City</t>
  </si>
  <si>
    <t xml:space="preserve"> The DENR-PENRO Negros Occidental intends to procure the following furnitures and fixtures for official use of Mount Kanlaon Natural Park (MKNP) to wit; 1. 4 Units Filing Cabinet 2. 1 Unit Executive Chair 3. 9 Units Office Staff Chair 4. 20 Units Black Jas</t>
  </si>
  <si>
    <t xml:space="preserve"> Various materials and supplies for face shield training.</t>
  </si>
  <si>
    <t xml:space="preserve"> INK CART (T6641) ET AL</t>
  </si>
  <si>
    <t xml:space="preserve"> (Please see attached RFQ and list of specifications)</t>
  </si>
  <si>
    <t xml:space="preserve"> Invitation to Bid 1.	The BARANGAY GOVERNMENT OF POBLACION, SAN VICENTE, PALAWAN through the 20% Development fund for Calendar Year 2020 intends to apply the sum of NINETY THOUSAND PESOS ONLY (Php 90,000.00) being the Approved Budget for the Contract (ABC)</t>
  </si>
  <si>
    <t xml:space="preserve"> Contract ID: 20PL0126 Contract Name: Construction of 2STY4CL (Modified Plan), Pantar Elementary School, Tabuk City, Kalinga Contract Location: Tabuk City, Kalinga Brief Description: Construction of 2STY 4CL School Building Approved Budget for the Contract</t>
  </si>
  <si>
    <t xml:space="preserve"> Republic of the Philippines Province of Davao Oriental City of Mati BIDS &amp; AWARDS COMMITTEE INVITATION TO BID LOT Procurement of MATERIALS for Use in the Construction of Potable Water System at Sitio Lungagon, Brgy. Lucatan, Tarragona, Davao Oriental SOUR</t>
  </si>
  <si>
    <t xml:space="preserve"> INVITATION TO BID FOR PROCUREMENT OF MATERIALS FOR IMPROVEMENT OF PATHWAY 1.	The [Barangay Local Government Unit of San Antonio, Pasacao, Camarines Sur], through the [Barangay Development Fund CY 2020] intends to apply the sum of [Ninety Nine Thousand Fou</t>
  </si>
  <si>
    <t xml:space="preserve"> PURCHASE OF 3 UNITS OF TABLE TOP TYPE PHOTOCOPIER MACHINE</t>
  </si>
  <si>
    <t xml:space="preserve"> Concreting of 380.00 lm barangay road.</t>
  </si>
  <si>
    <t xml:space="preserve"> ---------Qty.-------------Unit----------------ITEM/S DESCRIPTION ----------10-------------pcs-----------------Ink (Epson 003) ----------20-------------pcs-----------------Gestetner copy Printer Ink - DX2430</t>
  </si>
  <si>
    <t xml:space="preserve"> ICT Equipment and various accessories and paraphernalia.</t>
  </si>
  <si>
    <t xml:space="preserve"> Construction of Slope Protection and Line Canal @ Diversion Road, Bolod &amp; Terraplin, San Pascual, Masbate</t>
  </si>
  <si>
    <t xml:space="preserve"> Hiring of vehicle during the conduct of FGD Briefing/Orientation of RRP Research Protocol on Achieving Outputs and Field Monitoring. No.	Scope of Work	Quantity	Unit_Cost	ABC 	Date                                                    Itinerary			 	September </t>
  </si>
  <si>
    <t xml:space="preserve"> 1 UNIT/S TELEVISION - LED - 32 INCHES</t>
  </si>
  <si>
    <t xml:space="preserve"> 1 length BI Pipe 4"dia x 6m (series 10) 0.5 length BI Pipe 2"dia x 6m (series 10) 4 pcs. Steel Elbow 4"dia x 90deg. (welded joint) 2 pcs. CI Gate Valve (F/F) 4"dia w/BNG 4 pcs. CI Elbow 4"dia x 90deg. (F/F) w/BNG 2 pcs. Dresser Coupling 4"dia w/BNG 8 pcs.</t>
  </si>
  <si>
    <t xml:space="preserve"> 1	6 pcs	Partition Panel	 		*thickness: 5 cm.	 		*Dim: H120X W60 cm.	 		*Color: Gray	 2	5 pcs	Partition Panel	 		*thickness: 5 cm.	 		*Dim: H72 X W110 cm.	 		*Color: Gray	 3	5 pcs	Table Top	 		*30 mm thick top	 		*Scratch and Chemical Resistant	 		*Dim: L1</t>
  </si>
  <si>
    <t xml:space="preserve"> INVITATION TO BID  for  Construction of Box Culvert at Sitio Apoler, Tobuan, Labrador, Pangasinan Solicitation No. PANG-2020-1036 1.	The Provincial Government of Pangasinan, through the Construction, Repair &amp; Maintenance of Various Roads and Bridges (PR#2</t>
  </si>
  <si>
    <t xml:space="preserve"> Supply and Delivery of Tools and Equipment, Personal Protective Equipment and Construction Supplies 1	1 	lot		Tools and Equipment	 	12 	pc		Bolo (Kawit Style)	 	12 	pc		Carborandum, heavy duty	 	10 	pc		Plastic drum, 200 liters	 	1 	roll		Garden hose, 100</t>
  </si>
  <si>
    <t xml:space="preserve"> NOTICE OF NEGOTIATED PROCUREMENT (Small Value Procurement) PNOC Exploration Corporation (PNOC EC), under its 2020 Corporate Budget, has an Approved Budget for the Contract (ABC) of Five Hundred Ninety Thousand Pesos (Php590,000.00) inclusive of all applic</t>
  </si>
  <si>
    <t xml:space="preserve"> Please see ASSOCIATED COMPONENTS for details.</t>
  </si>
  <si>
    <t xml:space="preserve"> Republic of the Philippines 												 DEPARTMENT OF PUBLIC WORKS AND HIGHWAYS												 SOUTH COTABATO 1ST 												 DISTRICT ENGINEERING OFFICE												 REGIONAL OFFICE XII												 Tindalo St., Balite, Brgy. Lagao, General Santos City					</t>
  </si>
  <si>
    <t xml:space="preserve"> Requesting for Quotation (RFQ) for PR No. 2008122  Interested suppliers are invited to submit Sealed Price Quotations for the above listed items. The Request for Quotation (RFQ) for may be obtained from Mr. Albert A. Camarillo City General Services Office</t>
  </si>
  <si>
    <t xml:space="preserve"> BeDH 500	tab	Allopurinol 300mg 144	bot	Aluminum OH + Magnesium OH susp, 120ml 500	vial	Ampicillin 1g 500	vial	Ampicillin 250mg 1,000	tab	Amlodipine 10mg 2,000	tab	Ascorbic acid 500mg 36	bot	Ascorbic acid drops 200	tab	Bisacodyl 10mg 30	pc	Bisacodyl 10mg s</t>
  </si>
  <si>
    <t xml:space="preserve"> DISHWASHING LIQUID, ET AL</t>
  </si>
  <si>
    <t xml:space="preserve"> Please quote your lowest price on the item(s) listed below, subject to the Terms and Conditions stated below and									 submit your quotation duly signed by your representative not later than 10:00 A.M. of August 28, 2020  in 									 the return envelo</t>
  </si>
  <si>
    <t xml:space="preserve"> --------Qty.------------Unit--------------ITEM/S DESCRIPTION --------500------------bot---------------Alcohol Ethyl 70% 500ml --------200------------bot---------------Hand Sanitizer 500ml/refill --------200------------pcs---------------Permanent Marker --</t>
  </si>
  <si>
    <t xml:space="preserve"> 1 UNIT/S TELEVISION - 45 INCHES - LED TV - RESOLUTION-1920X1080 FULL HD/LED BACKLIGHT</t>
  </si>
  <si>
    <t xml:space="preserve"> 928	pcs	0.60m x 0.60 granito tiles (for function and stage only) as per approved sample 15	pcs	2" x 2.50m Stair Nosing (Aluminum) 90	pcs	3/16 x 1 1/2" Metal Screw with Toks 49	bags	Tile Adhesive 11	bags	Skimcoat 3	pcs	Spatula 20	pcs	1" Masking Tape (big) </t>
  </si>
  <si>
    <t xml:space="preserve"> Donation for Barangay Office of San Juan, Cabagan, Isabela LGU Cabagan Cabagan, Isabela</t>
  </si>
  <si>
    <t xml:space="preserve"> INVITATION TO BID  for  Concreting of Litac – Namacalan Road at Brgy. Boboy, Agno, Pangasinan Solicitation No. PANG-2020-1034 1.	The Provincial Government of Pangasinan, through the Construction, Repair &amp; Maintenance of Various Roads and Bridges (PR#2020-</t>
  </si>
  <si>
    <t xml:space="preserve"> Reference No. PR # 20-08-1020 PRICE QUOTATION FORM (BID FORM) Sealed Bids shall be dropped in the BIDDERS BOX on or before 2:00 P.M.  August 27, 2020   placed at the office of the Chairman of the College BAC. Thereafter, the Bidder's Box shall be sealed u</t>
  </si>
  <si>
    <t xml:space="preserve"> INVITATION TO BID  for  Reconstruction of Three (3) Barrel Reinforced Concrete Box Culvert at Brgy. Cacayasen, Burgos, Pangasinan Solicitation No. PANG-2020-1035 1.	The Provincial Government of Pangasinan, through the Construction, Repair &amp; Maintenance of</t>
  </si>
  <si>
    <t xml:space="preserve"> The Barangay Bojo of Aloguinsan invites prospective bidders to bid for the project "Supply of Communication Device (Smart Phones)". Source of Fund:SK Fund ABC: Php 129,950 The complete schedule of activities will be as follows: 1.Issuance of Bidding Docum</t>
  </si>
  <si>
    <t xml:space="preserve"> for Barangay Health Services NC II</t>
  </si>
  <si>
    <t xml:space="preserve"> Various office supplies and devices</t>
  </si>
  <si>
    <t xml:space="preserve"> Please Furnish us the following articles subject to the terms and conditions Keyboard   - 4pc Mouse   -  5pcs Headset   - 20pcs WebCam   - 20pcs VGA Cable    -3pcs UPS    -  1 unit Switch Hub  - 2 pcs Router   - 2 units</t>
  </si>
  <si>
    <t xml:space="preserve"> The Provincial Government of Samar invites all interested registered suppliers to submit in person or authorized representative quotation for-			 1.	3	unit  	Operating System: Windows 10 Pro Processor: Core i7-8564U Processor Graphics: Card: MX150 Display</t>
  </si>
  <si>
    <t xml:space="preserve"> Free-range chicken (female) ----- 1,100 Heads Free-range chicken (male) ----- 220 Heads</t>
  </si>
  <si>
    <t xml:space="preserve"> INVITATION FOR NEGOTIATED PROCUREMENT- TWO FAILED COMPETITIVE PUBLING BIDDINGS PURCHASE OF CCTV AND FIRE ALARM SYSTEM FOR EIM NCII OF SHS TVL AND JHS TVE PROGRAM 	 In view of the two (2) failed biddings, the Municipality of Liloan, Southern Leyte through </t>
  </si>
  <si>
    <t xml:space="preserve"> Requesting for Quotation (RFQ) for PR No. 2007394  Interested suppliers are invited to submit Sealed Price Quotations for the above listed items. The Request for Quotation (RFQ) for may be obtained from Mr. Albert A. Camarillo City General Services Office</t>
  </si>
  <si>
    <t xml:space="preserve"> GEOTECHNICAL AND GEOLOGICAL SURVEY</t>
  </si>
  <si>
    <t xml:space="preserve"> Please see attached Request for Quotation (RFQ) in the Associated Components. Thank you</t>
  </si>
  <si>
    <t xml:space="preserve"> Electronic devices and ICT equipment</t>
  </si>
  <si>
    <t xml:space="preserve"> Republic of the Philippines				Project Reference Number: 	G-20-0765                                           Province of Compostela Valley				Name of the Project	:  Food Supplies MUNICIPALITY OF MONTEVISTA			Location of the Project	:           MO  Standa</t>
  </si>
  <si>
    <t xml:space="preserve"> 1. 175 boxes Paracetamol tab, 500 mg, 100 tab/box	 2. 432 bottles Paracetamol suspension, 125 mg, 60 ml	 3. 144 bottles Paracetamol drop, 100 mg/ml	 4. 50 boxes Cefalexin capsule, 500 mg, 100's/box	 5. 288 bottles Cefalexin suspension, 125 mg / 60 ml.	 6.</t>
  </si>
  <si>
    <t xml:space="preserve"> INVITATION TO BID The Local Government Unit of Rizal, Kalinga, through the Bids and Wards Committee, invites Suppliers to submit bids for the contract Contract Number: 2020-08-15 Project Title: Procurement of Drugs and Medicines Project Location: Rizal, K</t>
  </si>
  <si>
    <t xml:space="preserve"> Supply and Delivery of Bamboo (Kawayan) and Nylon Rope 1	700 	pc		Bamboo (Kawayan) with minimum base diameter of 5" 2	20 	roll		Nylone rope #8 with minimum length of 300m per roll</t>
  </si>
  <si>
    <t xml:space="preserve"> QTY.		UNIT		DESCRIPTION OF ARTICLES          UNIT PRICE        TOTAL PRICE        REMARKS 						 Procurement and delivery of computer printer and  various supplies for the reproduction of locally  developed Learning Resources 1		unit		Computer Printer Wor</t>
  </si>
  <si>
    <t xml:space="preserve"> BOOKS, compendum of multiple choice questions for social work board exams. LET Comprehensive reviewer social studies/social sciences edition 2018  BOOKS, LET Comprehensive reviewer English edition 2020  BOOKS, LET Comprehensive reviewer Filipino edition 2</t>
  </si>
  <si>
    <t xml:space="preserve"> Reference No. PR # 20-08-1023 PRICE QUOTATION FORM (BID FORM) Sealed Bids shall be dropped in the BIDDERS BOX on or before 2:00 P.M.  August 24, 2020   placed at the office of the Chairman of the College BAC. Thereafter, the Bidder's Box shall be sealed u</t>
  </si>
  <si>
    <t xml:space="preserve"> for Faculty use..</t>
  </si>
  <si>
    <t xml:space="preserve"> 7 unit- PC Monitor, Low bluelight LED monitor, 24" FHD, ultra slim, frameless, HDMI/VGA I/O connections 2 unit- Keyboard, Wired USB 2.0/3.0 connectivity, spill proof keys, warranty: 3 years 2 unit- Mouse, Wired USB 2.0/3.0 connectivity, optical sensors, s</t>
  </si>
  <si>
    <t xml:space="preserve"> Republic of the Philippines Central Visayas Region Province of Negros Oriental MUNICIPALITY OF SANTA CATALINA REQUEST FOR QUOTATION RFQ NO.: 2020-08-01-081 Please quote your lowest price on the item/s listed below, subject to the Terms and Conditions prov</t>
  </si>
  <si>
    <t xml:space="preserve"> Item No.  Scope of Work Quantity Unit Total Estimated Cost 1 2''x2''x8' Moro Lumber 8 Bundles  2 1/4''x4'x8' Ordinary Plywood 2 Pcs  3 # 4'' Common Wire Nails 2 Kls  4 # 3'' Common Wire Nails 2 Kls  5 # 2 1/2'' Common Wire Nails 1 Kls  6 # 1'' Common Wire</t>
  </si>
  <si>
    <t xml:space="preserve"> Widening of Barangay Road (FTMR) Purok 5 to include roadway preparation and concrete pavement</t>
  </si>
  <si>
    <t xml:space="preserve"> Catering Services for the conduct Training Assesment of Brgy. Drug Clearing Program - DILG  PR# 20-07-0530		 		 130	Person	"Catering Services - Breakfast SET 2 Unli Rice Fried Bangus Ampalaya with egg Slice Water Melon/Pineapple Meniral Water 350ml Coffee</t>
  </si>
  <si>
    <t xml:space="preserve"> Province of Benguet-CAR Municipality of Mankayan  BIDS AND AWARDS COMMITTEE INVITATION TO APPLY FOR ELIGIBILITY AND TO BID AUGUST 20, 2020 	The Municipal Government of Mankayan, through its Bids and Awards Committee, invites PhilGEPS registered supplier f</t>
  </si>
  <si>
    <t xml:space="preserve"> See line items.</t>
  </si>
  <si>
    <t xml:space="preserve"> 1) Printer with scanner (can scan legal size document); and 2.) External Drive</t>
  </si>
  <si>
    <t xml:space="preserve"> Furniture &amp; Fixture for Mayors Office - PR# 20-08-0626		 		 1	set	"Sala Set: Specification: 2 Unit Sofa Bed - (L-191cm. x W-87cm. x H-93cm.) *3 Seater Leather Sofa. 6 pieces. Toss Pillows - 18""x18"",  *Piped, Feather/Fibre Fill w/ Zipper 1 Unit Table - (</t>
  </si>
  <si>
    <t xml:space="preserve"> Municipality of Paniqui										Project Reference No: Goods-2020-002 Province of Tarlac	Name of Project: Supply &amp; Delivery of Construction Materials for the Improvement of Day Care Center BARANGAY POBLACION NORTE	Location of Project: Licor St., Pob. Nort</t>
  </si>
  <si>
    <t xml:space="preserve"> Requesting for Quotation (RFQ) for PR No. 2008028 Interested suppliers are invited to submit Sealed Price Quotations for the above listed items. The Request for Quotation (RFQ) for may be obtained from Mr. Albert A. Camarillo City General Services Office </t>
  </si>
  <si>
    <t xml:space="preserve"> 1 REAM/S PAPER - BOOK LEGAL,216MMX330MM(8-1/2"X13"),MIN OF 70GSM 2 2 REAM/S PAPER - BOOK A4,210MMX297MM,MIN OF 70GSM 3 3 BOX BALLPEN - BLACK ORDINARY 50'S 2 4 BTL/S GLUE - 130G 2 5 PC/S PEN - GTECH 0.5 BLACK 5</t>
  </si>
  <si>
    <t xml:space="preserve"> 1.	1 roll – 20% shade screen net 2.	264 pcs. – Seedlings tray (104 holes) 3.	11 pcs. – Blue plastic drums (200 liters) w/ cover Garden tools 1.	22 units- Spade 2.	22 units- Spading Fork</t>
  </si>
  <si>
    <t xml:space="preserve"> Republic of the Philippines	 	DEPARTMENT OF PUBLIC WORKS AND HIGHWAYS	 	ILOILO 3RD	 	DISTRICT ENGINEERING OFFICE	 	REGIONAL OFFICE VI	 	Barotac Viejo, Iloilo	 NOTICE TO BIDDERS The Department of Public Works and Highways (DPWH), through the Bids and Award</t>
  </si>
  <si>
    <t xml:space="preserve"> Supply and delivery of 4 in 1 Printer Machines</t>
  </si>
  <si>
    <t xml:space="preserve"> BARANGAY TAMAG, through the: DF CONTINUING Fund 2019 intends to apply the sum of NINETY-NINE THOUSAND SEVEN HUNDRED SEVENTY-TWO PESOS &amp; 33/100 (PhP99,772.33)</t>
  </si>
  <si>
    <t xml:space="preserve"> Supply and Delivery of Medical Supplies 1	224 	box		Vitamin C with Zinc, 30 pcs/box 2	224 	box		Facemask, 50 pcs/box</t>
  </si>
  <si>
    <t xml:space="preserve"> The Provincial Government of Samar invites all interested registered suppliers to submit in person or authorized representative quotation for-			 1.	2	units  	Computer: I5 CPU, 4GB RAM Requisitioning Office: Provincial Accountant’s Office Bid Forms may be</t>
  </si>
  <si>
    <t xml:space="preserve"> INVITATION TO BID  for  Construction of Concrete Bridge at Brgy. San Juan, Agno, Pangasinan Solicitation No. PANG-2020-1039 1.	The Provincial Government of Pangasinan, through the Construction, Repair &amp; Maintenance of Various Roads and Bridges (PR#2020-07</t>
  </si>
  <si>
    <t xml:space="preserve"> Republic of the Philippines										 Department of Public Works and Highways										 Quezon 1st District Engineering Office										 Brgy. Abang, Lucban, Quezon										 	Name of procuring Entity :					 Request for Quotation (P.R. No.)  :				 	Revise</t>
  </si>
  <si>
    <t xml:space="preserve"> To be used for the printing of self learning modules.</t>
  </si>
  <si>
    <t xml:space="preserve"> 700  reams   Bond Paper-A4   50  reams   Bond Paper-Letter 100  reams   Bond Paper-Legal   24  roll       Double Sided Tape 100   pcs.     Expanded Plastic Envelope-Long 100   pcs.     Expanded Plastic Envelope with Handle-Long   24   box     Fastener -Pl</t>
  </si>
  <si>
    <t xml:space="preserve"> Republic of the Philippines Province of Oriental Mindoro MUNICIPALITY OF NAUJAN BARANGAY SAN PEDRO BIDS AND AWARDS COMMITTEE INVITATION TO BID SUPPLY AND DELIVERY OF MATERIALS TO BE USED IN INSTALLATION OF STREET LIGHTS, SITIO CAMIA, BARANGAY SAN PEDRO, N</t>
  </si>
  <si>
    <t xml:space="preserve"> 1 UNIT LAPTOP - .  - 1 TB HDD - INTEL CORE i3 ( 7th Gen ) Processor - 14" display monitor - 4GB DDR4 RAM - 2.3 Ghz - Intel Core i3-7020U ( 7th Gen ) - Intel HD 62</t>
  </si>
  <si>
    <t xml:space="preserve"> BARANGAY TAMAG, through the: DF CONTINUING Fund 2019 intends to apply the sum of NINETY-NINE THOUSAND NINE HUNDRED FIFTY-FOUR ESOS &amp; 41/100 (₱99,954.41) being the approved Budget for the Contract (ABC) to payments under the contract for BARANGAY HALL ROOF</t>
  </si>
  <si>
    <t xml:space="preserve"> QTY.	UNIT	DESCRIPTION 10	box	Wooden Tongue Depressor, Sterile, 6"/100's 5	box	Parafilm, 4"x125 ft. roll 10	box	Nitrile Gloves/100's, large 7	box	Nitrile Gloves/100's, medium 1000	pcs	Seal It Bag #7 1000	pcs	Seal It Bag #4 50	pcs	Tissue Paper Roll. 2 ply 1</t>
  </si>
  <si>
    <t xml:space="preserve"> Construction of 2-Storey Infirmary Annex Building with 106 sq.m. floor area Description of Works: I. Project Billboard/Signboard - 1.0 set II. Occupational Safety and Health Program - 3.0 mos. III. Demolition Works - 75.0 sq.m. IV. Excavation Works - 46.5</t>
  </si>
  <si>
    <t xml:space="preserve"> see attached rfq.</t>
  </si>
  <si>
    <t xml:space="preserve"> New construction of a Barangay Health Station (BHS) at Brgy 1</t>
  </si>
  <si>
    <t xml:space="preserve"> INVITATION TO BID  for  Concreting of Road / Pathwalk at Brgy. Flores, San Manuel, Pangasinan Solicitation No. PANG-2020-1038 1.	The Provincial Government of Pangasinan, through the Construction, Repair &amp; Maintenance of Various Roads and Bridges (PR#2020-</t>
  </si>
  <si>
    <t xml:space="preserve"> Item No.  Scope of Work Quantity Unit Total Estimated Cost 1 ¼ ‘x 4’x 8’ Marine Plywood 25.0 Pcs  2 162  pcs. 2’x2’’x8’ Cocolumber 432 Bd.ft  3 60 pcs 2’’x4’x8; Cocolumber 320 Bd.ft  4 30 pcs 2’’x3x 8’ Cocolumber 120 Bd.ft  5 1’’x2’’x8’ Lumber Stick (brac</t>
  </si>
  <si>
    <t xml:space="preserve"> The Provincial Government of Samar invites all interested registered suppliers to submit in person or authorized representative quotation for-			 1.	2	units  	Laptop Core i5 8 GB RAM 1 TB SSD Win 10 2.	1	unit	Action Camera 4K Resolution Underwater Cam 12 </t>
  </si>
  <si>
    <t xml:space="preserve"> Supply and Delivery of Fruit Tree and Forest Tree Seedlings 1	lot		Package 1: Fruit Tree Seedlings			 	1,000 	pc	Guyabano			  				a. Davao Prolific Variety				 				b. Plantable size (2-3 feet high)				 				c. must be potted on at least  5" x 7" plastic ba</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</si>
  <si>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</si>
  <si>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INVITATION TO BID August 17, 2020 The Eastern Visayas Regional Medical Center, through its Bids and Awards Committee (BAC A) invites suppliers/manufacturers/distributors to bid for the hereunder project:  Item/Description	Approved Budget for the Contract </t>
  </si>
  <si>
    <t xml:space="preserve"> Thermal scanner	2 pcs Bottle Sprayer	6 pcs</t>
  </si>
  <si>
    <t xml:space="preserve"> INVITATION TO BID  for  Provision/Rehabilitation of Drainage System w/ Catch Basin at Bayambang District Hospital, Bayambang, Pangasinan Solicitation No. PANG-2020-1041 1.	The Provincial Government of Pangasinan, through the Community Development Fund (PR</t>
  </si>
  <si>
    <t xml:space="preserve"> National Power Corporation INVITATION TO BID PUBLIC BIDDING 2020-0299 1.	The NATIONAL POWER CORPORATION (NPC), through       its        approved       Corporate Budget of CY 2020 intends to apply   the   sum   of (Please see schedule below) being the Appr</t>
  </si>
  <si>
    <t xml:space="preserve"> Republic of the Philippines Province of Misamis Occidental Municipality of Jimenez REQUEST FOR QUOTATION _____________________					PR#:___________________________ _____________________					Date: __________________________ 	Please quote hereunder your lowe</t>
  </si>
  <si>
    <t xml:space="preserve"> Item No.  Scope of Work Quantity Unit Total Estimated Cost 1 Cement 50 Bag 245.00 2 Washed Sand 4 Cu. Mtr 900.00 3 Washed Gravel 5 Cu. Mtr 1,500.00 4 10mm x 6m RSB 30 Piece 150.00 5 ½” x 5” x 8’ Lumber 6 Bdls 250.00 6 1” x 2” x 8’ Lumber Stick 4 Bdls 250.</t>
  </si>
  <si>
    <t xml:space="preserve"> ----------Qty.-------------Unit-------------ITEM/S DESCRIPTION -----------1---------------unit-------------NETWORK FIREWALL (5 months license subscription) ---------------------------------------------Perfect for Gigabit Internet with SFP port and SFP+por</t>
  </si>
  <si>
    <t xml:space="preserve"> Please see attached document for the details.</t>
  </si>
  <si>
    <t xml:space="preserve"> SEE ATTACHED TOR FOR COMPLETE DETAILS OF MATERIALS</t>
  </si>
  <si>
    <t xml:space="preserve"> Payment for Medical Supplies</t>
  </si>
  <si>
    <t xml:space="preserve"> Location				: Sitio Basak, Brgy. Awang, Opol Misamis Oriental Total Project Cost	: One Hundred Forty Nine Thousand Five Hundred Eighty Five Pesos and 50/100 (Php 149,585.50) Approved Budget for the	: Ninety Two Thousand Five Hundred Eighty Five Pesos  Con</t>
  </si>
  <si>
    <t xml:space="preserve"> ALCOHOL.., 350 bottle @ 198 per bottle 70% Isopropyl 500ml, spray  (branded)  SOAP.., 1,050 pcs @ 30 per piece 60g, small, antibacterial   TOTAL LOT PRIZE 100,800.00</t>
  </si>
  <si>
    <t xml:space="preserve"> 2 UNIT PRINTER - .  - Color Print,Inkjet Printer - Print Resolution 5760x1440 dpi - Print Speed: Black 33ppm,Color 15ppm - Paper Size: 10x15cm, 13x18cm</t>
  </si>
  <si>
    <t xml:space="preserve"> INVITATION TO BID  for  Construction of Well Source (6”diam. Casing, 54m depth) at Brgy. San Miguel, Bani, Pangasinan Solicitation No. PANG-2020-1041 1.	The Provincial Government of Pangasinan, through the Artesian Wells (PR#2020-07-6366) intends to apply</t>
  </si>
  <si>
    <t xml:space="preserve"> PLEASE QUOTE YOUR LOWEST PRICE INCLUSIVE OF VAT ON  THE FOLLOWING ITEMS BELOW. ITEM NO.   QUANTITY       UNIT        DESCRIPTION 1.            2500      REAMS            BOND PAPER A4 2.              150      BOTTLE           INK CYAN 3.              150 </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</si>
  <si>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</si>
  <si>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1 UNIT/S TRANSIT MIXER - .  - - MIXER TRUCK 10W; 5 CUBIC MIXING DRUM W/ KAYABA MAIN PUMP MOTOR; 10 WHEELERS; 8 CYLINDER DIESEL ENGINE; 380-420 HP; MANUAL TRAN</t>
  </si>
  <si>
    <t xml:space="preserve"> Please see attached documents</t>
  </si>
  <si>
    <t xml:space="preserve"> 1	300 bags Cement 2	38 cu.m  Gravel 3	20 cu.m Sand 4	2 kl. 3”CW Nail 5	16 pcs. 2”x 6”x 10” form lumber 6	15 pcs. 12mm RSB 7	1 pc. Hacksaw Blade 8	12 cu.m. Base Course Gravel</t>
  </si>
  <si>
    <t xml:space="preserve"> please see attachment for details</t>
  </si>
  <si>
    <t xml:space="preserve"> 1.	The BLGU-Cebulan,Esperanza,Agusan del Sur intends to apply the sum of One Hundred Thirty Six Thousand Four Hundred Fifty Pesos Only (Php136,450.00) being the Approved Budget for the Contract (ABC) to payments under the contract for Supply and Delivery </t>
  </si>
  <si>
    <t xml:space="preserve"> TIRES.., 5 pcs. @ 16,000 per piece 265/65 R17 (BRANDED)</t>
  </si>
  <si>
    <t xml:space="preserve"> Requesting for Quotation (RFQ) for PR No. 2008027  Interested suppliers are invited to submit Sealed Price Quotations for the above listed items. The Request for Quotation (RFQ) for may be obtained from Mr. Albert A. Camarillo City General Services Office</t>
  </si>
  <si>
    <t xml:space="preserve"> 2	PCS	CANOPY</t>
  </si>
  <si>
    <t xml:space="preserve"> Republic of the Philippines Province of Quezon Municipality of San Francisco BIDS &amp; AWARDS COMMITTEE INVITATION TO APPLY FOR ELIGIBILITY AND TO BID The Municipality of San Francisco through Supplemental Fund of the Office of the Municipal Health of San Fr</t>
  </si>
  <si>
    <t xml:space="preserve"> COVID-19 Protective Supplies</t>
  </si>
  <si>
    <t xml:space="preserve"> Name of Project			: Materials for the Construction of Reservoir and Collection Box Location				: Sitio Carabao Valley, Brgy. Awang, Opol Misamis Oriental Total Project Cost	: One Hundred Sixty Six Thousand Sixty Five Pesos Only (Php 166,065.00) Approved B</t>
  </si>
  <si>
    <t xml:space="preserve"> 294 bags pozzolan cement 26 cu. m albay sand 33 cu. m gravel</t>
  </si>
  <si>
    <t xml:space="preserve"> SEE ATTACHED DOCUMENT.</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</si>
  <si>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</si>
  <si>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for D.A Office use LGU Cabagan Cabagan, Isabela</t>
  </si>
  <si>
    <t xml:space="preserve"> Food Supplies of Malnutrition Feeding Program - MNAO/RHU  PR# 20-07-0571		 		 18	sacks	Rice, Tonner 100	tray	Fresh Egg 200	galloon	Purified Water 135	kls	Brown Sugar 130	kls	Dressed Chicken 116	kls	Cooking Oil 162	kls	Egg Plant  130	kls	Pork Meat 40	kls	C</t>
  </si>
  <si>
    <t xml:space="preserve"> Requesting for Quotation (RFQ) for PR No. 2008055  Interested suppliers are invited to submit Sealed Price Quotations for the above listed items. The Request for Quotation (RFQ) for may be obtained from Mr. Albert A. Camarillo City General Services Office</t>
  </si>
  <si>
    <t xml:space="preserve"> Republic of the Philippines				Project Reference Number: 	G-20-0766                                           Province of Compostela Valley				Name of the Project	:  Food Supplies MUNICIPALITY OF MONTEVISTA			Location of the Project	:           MO  Standa</t>
  </si>
  <si>
    <t xml:space="preserve"> GEOTECHNICAL AND GEOLOGICAL SURVEY/INVESTIGATIONS</t>
  </si>
  <si>
    <t xml:space="preserve"> Reducer 3/4 to 1" 4 pcs 1" Elbow 20 pcs 1" PVC pipe (blue) 9 p-cs 1" Tee 2 pcs 1" C- Clamp 2 pcs 400 c c neltex solvent 1 pc 20ft tubular 2 x 4 2 pcs Welding gloves #16 3 sets Welding Mask 3 pcs Welding rod J38. 12 / E6013 1/2 kg Quick dry enamel black 4 </t>
  </si>
  <si>
    <t xml:space="preserve"> Supply and delivery of well-milled commercial rice.</t>
  </si>
  <si>
    <t xml:space="preserve"> Scope of Works: 1)  Tile Works 2)  Plumbing and Sanitary Works 3)  Windows and Doors 4)  Dry Partition 5)  CHB Partition 6)  Construction of Ceiling 7)  Roofing 8)  Steel Bridge 9)  Electrical 10)  Transfer of Water Pump 11)  Billboard/Signage 1)  The Sch</t>
  </si>
  <si>
    <t xml:space="preserve"> 1.	22 tanks - Solane</t>
  </si>
  <si>
    <t xml:space="preserve"> One (1) Lot	Re-bidding for the Procurement of Services for the Installation and Cable TV Subscription for CF-Bacolod for One (1) year 25 units of Digital box with remote control per box 17 number of standard channels 29 number of Free channels Other Requi</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</si>
  <si>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</si>
  <si>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MAIN DOCUMENT</t>
  </si>
  <si>
    <t xml:space="preserve"> Procurement of Office Supplies for August 2020</t>
  </si>
  <si>
    <t xml:space="preserve"> 2 pcs. Concrete Cutter Blade 14" 5 pcs. Dask Glass #10 5 pcs. Duck Mask 40 pcs. Hacksaw Blade 1 Plainer Blade 2 roll Reflectorized Sticker 4" 20 pair Rubber Boots 5 roll Warning Tape 25 pair Working Gloves</t>
  </si>
  <si>
    <t xml:space="preserve"> Reinforced concrete culvert &amp; storm drain Length - 288 Ln. m. No. of days - 150 w.d.</t>
  </si>
  <si>
    <t xml:space="preserve"> Municipality of  Sogod, Cebu					 	Contract Ref. No.:0008-2020 Procurement of Computerization Program Phase I, Office Links (Treasurer, Sogod Waterworks System, Assessor), Sogod, Cebu     Standard Form Number :  SF-GOOD-05 Revised on:  July 28, 2004 The M</t>
  </si>
  <si>
    <t xml:space="preserve"> Municipality of Paniqui										Project Reference No: Goods-2020-003 Province of Tarlac	Name of Project: Supply &amp; Delivery of Construction Materials for the Concreting of Pathway  BARANGAY POBLACION NORTE	Location of Project: Sta. Rosa St.., Pob. Norte, </t>
  </si>
  <si>
    <t xml:space="preserve"> Republic of the Philippines Province of Oriental Mindoro Municipality of Pinamalayan BARANGAY SABANG BIDS AND AWARDS COMMITTEE Invitation to Bid ITB No.  2020-08- 002 1.	The Barangay SABANG, through the_ CAPITAL OUTLAY –   Continuing  Budget  for   2019  </t>
  </si>
  <si>
    <t xml:space="preserve"> INVITATION TO BID  for  Construction of Senior Citizen Building at Brgy. Baluyot, Bautista, Pangasinan Solicitation No. PANG-2020-1161 1.	The Provincial Government of Pangasinan, through the Community Development Fund (PR#2020-08-6857) intends to apply th</t>
  </si>
  <si>
    <t xml:space="preserve"> INVITATION TO BID  for  Supply and Delivery of Pre-Mix Asphalt and Emulsified Asphalt Solicitation No. PANG-2020-1030 1.	The Provincial Government of Pangasinan, through the Construction, Repair &amp; Maintenance of Various Roads and Bridges intends to apply </t>
  </si>
  <si>
    <t xml:space="preserve"> 8 set Tire 10 x 20</t>
  </si>
  <si>
    <t xml:space="preserve"> Republic of the Philippines Province of Bulacan Municipality of Bocaue INVITATION TO BID FOR LABOR AND MATERIALS FOR THE INSTALLATION OF ELECTRICITY IN A 3-STOREY BUILDING EXTENSION OF BOCAUE HILLS ELEMENTARY SCHOOL AT BATIA, BOCAUE, BULACAN 1	The Municip</t>
  </si>
  <si>
    <t xml:space="preserve"> Republic of the Philippines Province of Oriental Mindoro Municipality of Pinamalayan BARANGAY SABANG BIDS AND AWARDS COMMITTEE Invitation to Bid ITB No.  2020-08- 001 1.	The Barangay SABANG, through the_ 20%  Development  Fund  Continuing Budget  of  2019</t>
  </si>
  <si>
    <t xml:space="preserve"> PLEASE SEE ATTACHED FILE OF INVITATION TO BID</t>
  </si>
  <si>
    <t xml:space="preserve"> 40	roll	2" HDPE SDR11 ISO (60m) 40	roll	1-1/2" HDPE SDR11 ISO (60m) 40	pcs	Connector #2" 40	pcs	Connector #1-1/2"</t>
  </si>
  <si>
    <t xml:space="preserve"> Headset, Noise Cancelling				28	units Specifications:					 works with common calling applications across almost all platforms and operating systems (Windows@ or MacOS@)					 Connections: USB-A compatible (1.1, 2.0, 3.0) usb port, type A port or adapter			</t>
  </si>
  <si>
    <t xml:space="preserve"> for Mayor's Office use LGU Cabagan Cabagan, Isabela</t>
  </si>
  <si>
    <t xml:space="preserve"> BARANGAY SAN JULIAN NORTE, through the: DF Fund 2020 intends to apply the sum of ONE HUNDRED NINETY-NINE THOUSAND SEVEN HUNDRED THIRTY-FIVE PESOS &amp; 84/100 (₱199,735.84) being the approved Budget for the Contract (ABC)</t>
  </si>
  <si>
    <t xml:space="preserve"> 1 SET/S DESKTOP COMPUTER - WITH COMPLETE ACCESSORIES  - intel core i5-8400 4.06/9mb - secure 500w avr - 4 tech keyboard and optical mouse ps2 - 18'' LED Monitor, 500 6B Disk Drive - 4 6b Memory - H310 m-52h Mother Board - ATX Case w/ Power Supply , Speake</t>
  </si>
  <si>
    <t xml:space="preserve"> Requesting for Quotation (RFQ) for PR No. 2007193  Interested suppliers are invited to submit Sealed Price Quotations for the above listed items. The Request for Quotation (RFQ) for may be obtained from Mr. Albert A. Camarillo City General Services Office</t>
  </si>
  <si>
    <t xml:space="preserve"> Items: Please see attachment. 1)  The Schedule of Bidding Activities is available at the BAC Office, City Annex Building, Brgy. Zapote, City of Binan, Laguna.  Please look for the following for inquiries:       a)  Engr. Wilfredo F. Alintanahin - BAC Chai</t>
  </si>
  <si>
    <t xml:space="preserve"> Supply and Delivery of Software and IT Equipment (PLEASE SEE ATTACHED RFQ FOR DETAILS)</t>
  </si>
  <si>
    <t xml:space="preserve"> RFQ No. 2020-00____                                                                                                 Date___________ REQUEST FOR QUOTATION SUPPLY AND DELIVERY of Supplies of Drugs and Medicines for Official use of MHO 3rd Quarter 2020 The M</t>
  </si>
  <si>
    <t xml:space="preserve"> Requesting for Quotation (RFQ) for PR No. 2008065  Interested suppliers are invited to submit Sealed Price Quotations for the above listed items. The Request for Quotation (RFQ) for may be obtained from Mr. Albert A. Camarillo City General Services Office</t>
  </si>
  <si>
    <t xml:space="preserve"> Supply, Delivery, Installation and Commissioning of various Medical Equipment</t>
  </si>
  <si>
    <t xml:space="preserve"> In view of the above, we are inviting external providers on the services needed. Please read the instruction below. INSTRUCTIONS: 1. Bidders are required to read the instructions and fill out the blanks properly. Prospective suppliers are required to use </t>
  </si>
  <si>
    <t xml:space="preserve"> Table	5 pcs Folding Table	5 pcs</t>
  </si>
  <si>
    <t xml:space="preserve"> This project is dealing of Brgy. Canda Ibaba, Lopez, Quezon</t>
  </si>
  <si>
    <t xml:space="preserve"> Requesting for Quotation (RFQ) for PR No. 2008130  Interested suppliers are invited to submit Sealed Price Quotations for the above listed items. The Request for Quotation (RFQ) for may be obtained from Mr. Albert A. Camarillo City General Services Office</t>
  </si>
  <si>
    <t xml:space="preserve"> LAPTOP FOR SYSTEMS PROGRAMMING   1 UNIT Specifications:    Operating System: Windows 10 Processor: at least Intel Core i7-9750H  (12M Cache, up to 4.50 GHz) Graphics: at least 4GB NVIDIA GeForce GTX 1650 GDDR6 VRAM Memory: at least 16GB DDR4 2666MHz SDRAM</t>
  </si>
  <si>
    <t xml:space="preserve"> LCWD-2020-025 dtd. 08-18-20 Various Fittings – Regular Stocks (Re-Bid)     LCWD Warehouse INVITATION TO BID FOR VARIOUS FITTINGS – REGULAR STOCKS (RE-BID) PR No. &amp; Date : 2020-033 dated February 14, 2020 Reference No. &amp; Date : __________ 		 1.	The LEGAZPI</t>
  </si>
  <si>
    <t xml:space="preserve"> coupon bonds to be distributed to different schools at Pioduran West District</t>
  </si>
  <si>
    <t xml:space="preserve"> 20	reams	Bond Paper, A4, ream 3	reams	Bond Paper, A4 with letterhead, ream 1	reams	Bond Paper, long with letterhead, ream 12	reams	Bond Paper, long, ream 1	reams	Bond paper, letter size, 80gsm 6	box	Binder clip, big, box 7	boxes	Binder clip, small, box 5	</t>
  </si>
  <si>
    <t xml:space="preserve"> QTY  UNIT        PARTICULARS 2	Spools	Ribbon for Dot Matrix Printer EPSON LQ 310			 17	Spools	Ribbon for Dot Matrix Printer EPSON LQ 2190			 9	Spools	Ribbon for EPSON LQ 300			 4	Spools	Ribbon for EPSON LX310, 80 columns			 4	Carts	Toner Cartridge for HP </t>
  </si>
  <si>
    <t xml:space="preserve"> CONTRUCTION PROJECT</t>
  </si>
  <si>
    <t xml:space="preserve"> MUNICIPALITY OF ABRA DE ILOG Name of Procuring Entity						                 Contract Reference Number Infra No. 02-2020 Name of Contract:  Upgrading and Improvement of Kuli-kuli Road 3      Location: Brgy. Armado, Abra de Ilog, Occ. Mindoro Republic of th</t>
  </si>
  <si>
    <t xml:space="preserve"> Republic of the Philippines Province of Oriental Mindoro Municipality of Pinamalayan BARANGAY SABANG BIDS AND AWARDS COMMITTEE Invitation to Bid ITB No.  2020-08- 003 1.	The Barangay SABANG, through the_ CAPITAL OUTLAY –   Continuing  Budget  for   2019  </t>
  </si>
  <si>
    <t xml:space="preserve"> Printer to be distributed to differents schools at Pioduran West District</t>
  </si>
  <si>
    <t xml:space="preserve"> OFFICE SUPPLIES --------------- Php 79,697.00</t>
  </si>
  <si>
    <t xml:space="preserve"> Name of the Requirement/Brief Description:	Supply and Delivery of Thirty-One (31) licenses (perpetual) Adobe Acrobat Professional Desktop (latest version), with Media Kit, as per BSP Terms of Reference  Approved Budget for the Contract (ABC): 	Php759,500.</t>
  </si>
  <si>
    <t xml:space="preserve"> REQUEST TO SUBMIT QUOTATION The TARLAC AGRICULTURAL UNIVERSITY, through its Bids and Awards Committee (BAC), invites all suppliers and dealers to submit sealed quotation for the Contract Reference # 2020-RFQ-041 GOODS “PURCHASE OF LAPTOP AND DESKTOP COMPU</t>
  </si>
  <si>
    <t xml:space="preserve"> Common Supplies</t>
  </si>
  <si>
    <t xml:space="preserve"> Construction/Improvement of Multi-Purpose Building</t>
  </si>
  <si>
    <t xml:space="preserve"> SUPPLY AND DELIVERY OF OFFICE EQUIPMENT UNDER QSU BACMADD2020-041</t>
  </si>
  <si>
    <t xml:space="preserve"> 1.		Weighing scale, ATW, 6kg Capacity, division 0.5g, pan size 210 x 280 mm	1 unit			 1.		INK BOTTLE, BROTHER DCP-T710W, BT-5000, Magenta	5 bottles			 2.		INK BOTTLE, BROTHER DCP-T710W, BT-5000, Cyan	5 bottles			 3.		INK BOTTLE, BROTHER DCP-T710W, BT-5000</t>
  </si>
  <si>
    <t xml:space="preserve"> Please see attached Request for Quotation # 20-1332 Submit your Sign and Sealed Quotation together with your UPDATED ELIGIBILITY Requirements at 3/F ATI Building Department of Agriculture Region IV-MiMaRoPa, Property&amp;Supply Unit/BAC Secretariat Elliptical</t>
  </si>
  <si>
    <t xml:space="preserve"> Small Value Procurement . . . .</t>
  </si>
  <si>
    <t xml:space="preserve"> CONCRETE PAVEMENT</t>
  </si>
  <si>
    <t xml:space="preserve"> he Bureau of Customs (BOC), through the FY 2020 General Appropriations Act intends to apply the sum of One Million Six Hundred Twenty One Thousand One Hundred Six Pesos and Eleven Centavos (Php1,621,106.11) being the Approved Budget for the Contract (ABC)</t>
  </si>
  <si>
    <t xml:space="preserve"> Requesting for Quotation (RFQ) for PR No. 2008068  Interested suppliers are invited to submit Sealed Price Quotations for the above listed items. The Request for Quotation (RFQ) for may be obtained from Mr. Albert A. Camarillo City General Services Office</t>
  </si>
  <si>
    <t xml:space="preserve"> Face Shield, anti-spray, anti-fogging with eyeglass holder		300	sets Alcohol, Isopropyl/ethyl, 68-72%, per gallon				123	gallons Alcohol, Isopropyl/ethyl, 70%, with spray bottle, 500ml., scented		250	bottles Thermogun, non-contact laser, LCD display, digi</t>
  </si>
  <si>
    <t xml:space="preserve"> Republic of the Philippines City of Canlaon OFFICE OF THE BIDS AND AWARDS COMMITTEE Invitation to Bid for the  ROAD CONCRETING, Phase II  The City Government of Canlaon City, through AIP 2018 intends to apply the sum of Four hundred Seventy Eight Thousand</t>
  </si>
  <si>
    <t xml:space="preserve"> 1.	External Hard Drive, USB 3.0, 1 TB	-5	unit 2.	Flashdrive,64GB, OTG drive         -15	unit 3.	Ink for CANON G4010, black	-6	bt. 4.	Ink for CANON G4010, Cyan	-6	bt. 5.	Ink for CANON G4010, Magenta	-6	bt. 6.	Ink for CANON G4010, Yellow	-6	bt. 7.	Ink for E</t>
  </si>
  <si>
    <t xml:space="preserve"> The Department of Trade and Industry, on January 15, 2020, has launched a livelihood seeding and entrepreneurship development program called the Pangkabuhayan sa PagBangon at Ginhawa (PBG). The program aims to provide the necessary support and assistance </t>
  </si>
  <si>
    <t xml:space="preserve"> MUNICIPALITY OF ABRA DE ILOG Name of Procuring Entity						                 Contract Reference Number Infra No. 03-2020 Name of Contract:  Construction of Potable Water System      Location: Brgy. Sta. Maria, Abra de Ilog, Occ. Mindoro Republic of the Phi</t>
  </si>
  <si>
    <t xml:space="preserve"> See attached Request for Price Quotation</t>
  </si>
  <si>
    <t xml:space="preserve"> Requesting for Quotation (RFQ) for PR No. 2008114  Interested suppliers are invited to submit Sealed Price Quotations for the above listed items. The Request for Quotation (RFQ) for may be obtained from Mr. Albert A. Camarillo City General Services Office</t>
  </si>
  <si>
    <t xml:space="preserve"> use for Pag-Asa Home, Home for Girls and ABHB</t>
  </si>
  <si>
    <t xml:space="preserve"> Heavy Duty Storage Tub Black (Large) 2 pcs Heavy Duty Storage Tub Black (Medium) 2 pcs Heavy Duty Storage Tub Black (Small) 2 pcs Total Amount: P 10,000.00</t>
  </si>
  <si>
    <t xml:space="preserve"> 1	reams	Bond paper A4	394	 82,740.00  2	set	computer ink	10	 12,950.00  3	box	Fastener	24	 1,080.00  4	pcs	correction tape	16	 480.00  5	reams	folder	24	 9,840.00  6	pcs	felt kneb pen	16	 720.00  7	pcs	record book	12	 900.00  8	pcs	file box	24	 1,680.00  </t>
  </si>
  <si>
    <t xml:space="preserve"> Construction of School Building</t>
  </si>
  <si>
    <t xml:space="preserve"> Procurement of Medical Supplies						 Purchase Requested by the City Agriculture's Office, Tabaco City						 						 To Interested Suppliers, Manufacturers and Distributors,						 						 Please quote your lowest price/s on the lot or item/s  below, subject</t>
  </si>
  <si>
    <t xml:space="preserve"> Please quote your price(s) for the article(s) as specified in the list below for the Principal II of Libona NHS which are available in your store/establishment/company. If available, please furnish, catalogue, descriptive brochures of literature about the</t>
  </si>
  <si>
    <t xml:space="preserve"> One Job furnishing labor and materials for the Construction of Drainage System</t>
  </si>
  <si>
    <t xml:space="preserve"> Procurement of Services re: IPOPHL Multilingual BOS: 1 LOT Technical Requirements: • Voice recording and transcription of IPOPHL Basic Webinar Script in four (4) different languages: - Filipino - Ilonggo - Cebuano; and, - IIocano • Delivery Date: 60 Worki</t>
  </si>
  <si>
    <t xml:space="preserve"> Please quote your lowest price inclusive of VAT on the item/s listed below, subject to the Terms and Conditions of this RFQ, and submit your quotation duly signed by your representative not later than August 26, 2020 at Bids and Awards Committee, Lantapan</t>
  </si>
  <si>
    <t xml:space="preserve"> Title:Procurement of Vehicle Repair and Maintenance under P.R Nos. 1886(City Environment &amp; Natural Resources Office- City Parks and Waterways Services Division), 1892-2020 (City Environment &amp; Natural Resources Office- Ecological Solid Waste Management Div</t>
  </si>
  <si>
    <t xml:space="preserve"> INVITATION TO BID Sealed proposal in ink typewritten one (1) copy will be received fro bonafide contractors on September 1, 2020 at 3:00 PM at Barangay Hall, Barangay VILLA MARINA this city on which date, time and place the bid will publicly opened in the</t>
  </si>
  <si>
    <t xml:space="preserve"> Labor and materials for the dismantling and installation of airconditioning units of RD17A Tarlac City</t>
  </si>
  <si>
    <t xml:space="preserve"> QTY  UNIT        PARTICULARS 124	Bottles	Alcohol, ethyl, 500ml			 2	Packets	Battery, Dry Cell, 1.5 volts, size AAA 2 pcs/blister pack			 6	Boxes	Envelope, Mailing white, ordinary, 500pcs/box			 112	Boxes	Envelope, Mailing, white window type, 500pcs/box			</t>
  </si>
  <si>
    <t xml:space="preserve"> Republic of the Philippines Province of Ilocos Norte MUNICIPALITY OF PIDDIG INVITATION TO BID  FOR  Construction of Farmer's Multipurpose Pavement with drainage system in various barangays 1.	The Municipality of Piddig through the RA 7171 Fund   intends t</t>
  </si>
  <si>
    <t xml:space="preserve"> Please quote your lowest price on the item/s listed below, subject to the General Conditions below, stating the shortest time of delivery and submit your quotation duly signed by your representative not later than _______________   in the return envelope </t>
  </si>
  <si>
    <t xml:space="preserve"> Procurement of Medical Supplies						 Purchase Requested by the City Health Unit, Tabaco City						 						 To Interested Suppliers, Manufacturers and Distributors,						 						 Please quote your lowest price/s on the lot or item/s  below, subject to Terms</t>
  </si>
  <si>
    <t xml:space="preserve"> Riprapping of Barangay Roads</t>
  </si>
  <si>
    <t xml:space="preserve"> 1015 ream Coupon Bond Short, gsm80 16 ream Mimegraphing paper white short 21 pc Falsh Drive, 32 GB</t>
  </si>
  <si>
    <t xml:space="preserve"> *To procure supplies/materials used in day-to-day school operations and teachers classroom use.</t>
  </si>
  <si>
    <t xml:space="preserve"> Installation of Streetlights</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</si>
  <si>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</si>
  <si>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Continuation of Barangay Roads</t>
  </si>
  <si>
    <t xml:space="preserve"> Republic of the Philippines Province of Ilocos Norte MUNICIPALITY OF PIDDIG INVITATION TO BID  FOR  Construction of Farmer's Multipurpose Building Phase II at Brgy. Sta. Maria 1.	The Municipality of Piddig through the RA 7171 Fund   intends to apply the s</t>
  </si>
  <si>
    <t xml:space="preserve"> 45	dz	Detergent Powder 600 grms	 32	gallon	Fabric Conditioner	 20	pcs	Cautions Signage	 42	gal	Disinfectant 900ml	 50	bot	Air Freshener	 50	gallon	Zonrox	 70	gallon	Muriatic	 80	pcs	Bathsoap	 100	pcks	Styro Glass	 100	pcks	Styro Bowl	 100	pcks	Styro Plate</t>
  </si>
  <si>
    <t xml:space="preserve"> purchase of CCTV Cameras with Accessories source of fund: Barangay Annual Budget 2020 Military Police Security Purchase and Installation od CCTV Cameras with Accessories P100,000.00 Military Police &amp; Security Equipment CCTV Camera and  Accessories        </t>
  </si>
  <si>
    <t xml:space="preserve"> Republic of the Philippines Province of Ilocos Norte MUNICIPALITY OF PIDDIG INVITATION TO BID FOR Purchase of Medicines 1. The Municipality of Piddig, through the  General Fund intends to apply the sum Three Hundred Thirty Two Thousand Eight Hundred Eight</t>
  </si>
  <si>
    <t xml:space="preserve"> 1	box	Calamine lotion		 5	box	Salonpas patch		 2	box	Metoprolol 50mg		 5	box	Sambong forte 500mg		 3	box	Hydrocortisone Cream		 2	box	Silver sulfadiazine		 5	box	Cetirizine		 5	box	Omeprazole 40mg		 5	box	Zykast 10mg		 3	box	Norgesic forte		 5	box	Ambroxo</t>
  </si>
  <si>
    <t xml:space="preserve"> 2	unit	Fever detection terminal		 10	unit	Automatic Alcohol Dispenser with sensor		 2	unit	Thermal scanner with alcohol dispenser		 		*****Nothing Follows*****</t>
  </si>
  <si>
    <t xml:space="preserve"> **To procure supplies/materials used in day-to-day school operations.</t>
  </si>
  <si>
    <t xml:space="preserve"> use for Pag-asa Home and HFG &amp; Women</t>
  </si>
  <si>
    <t xml:space="preserve"> INVITATION TO BID  for  Supply and Delivery of One (1) unit Generator Set, 200KVA (open Type w/ Complete Accessories and Battery) at PSWDO, Lingayen, Pangasinan Solicitation No. PANG-2020-1042 1.	The Provincial Government of Pangasinan, through the Capita</t>
  </si>
  <si>
    <t xml:space="preserve"> Metropolitan Manila Development Authority																																																																			     BIDS AND AWARDS COMMITTEE																																																																			 																																																	</t>
  </si>
  <si>
    <t xml:space="preserve"> Procurement of 1 Lot Medals</t>
  </si>
  <si>
    <t xml:space="preserve"> 1 lot</t>
  </si>
  <si>
    <t xml:space="preserve"> Republic of the Philippines                                           Province of Leyte     MUNICIPALITY OF ALBUERA       OFFICE OF THE BIDS AND AWARDS COMMITTEE INVITATION TO BID 	The Local Government Unit of Albuera, Leyte through its Bids and Awards Co</t>
  </si>
  <si>
    <t xml:space="preserve"> INVITATION TO BID  for  Supply and Delivery of 4,347 pcs. Virus Transport Medium at PHO, Lingayen, Pangasinan [for use of 2nd Wave Expanded Targetted Testing (Mass Testing) for Frontline Workers contact Tracing and Barangay Health emergency &amp; Respnse Team</t>
  </si>
  <si>
    <t xml:space="preserve"> Alcohol, ethyl68%-70% Scented 1000 ml Paper, multi purpose A4 70 gsm Safeguard soap Family size  Stamp pad  Paper worx</t>
  </si>
  <si>
    <t xml:space="preserve"> *To be used in printing of learning materials in preparation for modular learning.</t>
  </si>
  <si>
    <t xml:space="preserve"> Republic of the Philippines Province of Ilocos Norte MUNICIPALITY OF PIDDIG INVITATION TO BID FOR Supply and Delivery of Assorted Seedlings 1. The Municipality of Piddig, through the  20% MDF 2020 intends to apply the sum One Million Pesos (PhP 1,000,000.</t>
  </si>
  <si>
    <t xml:space="preserve"> Procurement of 1 Lot Rice</t>
  </si>
  <si>
    <t xml:space="preserve"> 1.	2	units	HIGH SPEED SEWING MACHINE 			Technical Specification: 			Application: light to medium weight	heavy weight 			Max. Sewing speed: 4,500 spm		4,000 spm 			Max. Stitch length: 5mm 			Needle bar stroke: 30.7mm		35mm 			Lift of presser foot: by hand </t>
  </si>
  <si>
    <t xml:space="preserve"> 24	Liters	0.9% Sodium Chloride 1000ml 200	bottles	70% isopropyl alcohol x 500 ml 30	rolls	Absorbent cotton 400 grams 10	pcs	Cholesterol test strips for Kernel x 10s 10	pcs	Capillary tube non heparinized 10	packs	Dengue test kit x 25s 12	liters	D5 Lactated</t>
  </si>
  <si>
    <t xml:space="preserve"> NOTICE OF PROCUREMENT OF CONSULTING SERVICES Through Negotiated Procurement - Small Value Procurement  (REQUEST FOR PROPOSAL) Contract ID No. 	: 20CSNE0002 Contract Name 	: CONSULTING SERVICES FOR THE CONDUCT OF SOIL     EXPLORATION AND/OR GEOTECHNICAL IN</t>
  </si>
  <si>
    <t xml:space="preserve"> Procurement of 1 Unit Pump Boat</t>
  </si>
  <si>
    <t xml:space="preserve"> Repair/Maintenance of Ravelled Areas and Transition of Shoulders</t>
  </si>
  <si>
    <t xml:space="preserve"> Procurement of 1 Lot Medical Supplies</t>
  </si>
  <si>
    <t xml:space="preserve"> Emergency Repair - Tower Cab Glass Panel at Sangley Airport</t>
  </si>
  <si>
    <t xml:space="preserve"> The PCIEERD invites sealed bid from eligible bidders for the PROCUREMENT OF CUSTOMIZED DATA FILE FOLDER with details as follows: Size: 9x14x3/4 Color: Red Quantity: 400 pcs Further, PCIEERD reserves the right to reject any or all bid, to waive any or all </t>
  </si>
  <si>
    <t xml:space="preserve"> 1.00	lot	Project Billboard and Warning Signs			 1.00	lot	Other General Requirements (Const. Safety &amp; Health)			 2.00	e.a.	Individual Removal of Trees (Small, 301-500mm Ø)			 5.30	cu.m.	Removal of Existing Structures			 9.12	cu.m.	Structure Excavation			 5</t>
  </si>
  <si>
    <t xml:space="preserve"> 2 units Desktop Computer PTO</t>
  </si>
  <si>
    <t xml:space="preserve"> Description   INVITATION TO APPLY FOR ELIGIBILITY AND TO BID The local Government Unit of Taft, through is Bid and Awards Committee (BAC). Invites suppliers to apply for eligibility, to bid for the hereunder contract: Name of Contract: Purchase and Delive</t>
  </si>
  <si>
    <t xml:space="preserve"> TVL EQUIPMENT: 1 UNIT      INDUSTRIAL OVEN 1 UNIT      REFRIGERATOR 2 UNITS    GAS RANGE 2 PCS        GAS TANK 3 DOZEN    LARGE GLASS PLATES  3 DOZEN    SAUCERS 3 DOZEN    SPOON 3 DOZEN    FORK 3 PCS        FRYING PAN 3 PCS        CASSEROLE 2 SET        K</t>
  </si>
  <si>
    <t xml:space="preserve"> VARIOUS SPARE PARTS</t>
  </si>
  <si>
    <t xml:space="preserve"> May I respectfully request the suppliers to submit their bids to our uploaded Purchase Request in our Account. Thank You and God Bless.</t>
  </si>
  <si>
    <t xml:space="preserve"> Purchase of School Supplies</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</si>
  <si>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</si>
  <si>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One Job Furnishing Labor and Materials for the Const. of Materials Recovery Facilities (MRF)</t>
  </si>
  <si>
    <t xml:space="preserve"> Various Construction Materials and Supplies</t>
  </si>
  <si>
    <t xml:space="preserve"> 2280 reams Paper, Multicopy, 80gsm size 210x297mm</t>
  </si>
  <si>
    <t xml:space="preserve"> Construction of covered court (phase 1) Barangay Rosario Balingasag Misamis Oriental</t>
  </si>
  <si>
    <t xml:space="preserve"> Repair/Maintenance of Ravelled Areas</t>
  </si>
  <si>
    <t xml:space="preserve"> supply and delivery of office equipment for Community Hospital</t>
  </si>
  <si>
    <t xml:space="preserve"> ITEM #	QTY	UNIT	        DESCRIPTIONS AND SPECIFICATIONS 1	         295	reams	PAPER, MULTI-PURPOSE (COPY), A4, 70 GSM, 210X297mm 2	            2	pcs	        Puncher standard 3	            6	pcs	        Long Reach Stapler (for stapling booklet type modules)</t>
  </si>
  <si>
    <t xml:space="preserve"> supply and delivery of office supplies for Community Hospital</t>
  </si>
  <si>
    <t xml:space="preserve"> 10 pcs. Bed Sheets 36" x 75" with garter 10 pcs. Linen 10 pcs. Pillow 18x28 20 pcs. Pillow case 6 pcs. Sterile drape 10 pcs. Disposable/Plastic Apron 10 pcs. Scrub suits 10 pcs. Dr. Gown 1 unit Pulse Oximeter 5 units Thermal Scanner 5 units BP Apparatus, </t>
  </si>
  <si>
    <t xml:space="preserve"> NOTICE FOR NEGOTIATED PROCUREMENT Adopting Sec. 53.1 (Two Failed Biddings) of the 2016 Revised IRR of RA 9184 Reference No.: DA8-Goods-TFB-2020-2 (PR NO. RICE 20-02-19-0514)Rebidding     The Department of Agriculture-Regional Field Office No. 8, through t</t>
  </si>
  <si>
    <t xml:space="preserve"> Conversion of Old ER to Malasakit Center, Expansion of pharmacy &amp; Ultrasound Room  ABC - (3,615,260.12) Public Bidding No. 2020-08-029 1. The Luis Hora Memorial Regional Hospital through the Hospital Income intends to apply the sum of Three Million Six Hu</t>
  </si>
  <si>
    <t xml:space="preserve"> 1 UNIT SERVICE VEHICLE Specification: Type: MPV with FB rear body Fuel: Diesel Engine Cylinder: 16 Valves Engine Displacement: 2200cc/2.2L, Euro 4 Compliant Transmission: 5 speed manual Maximum Power: 99 horsepower @ 3500 rpm Maximum Torque: 200Nm @ 1000-</t>
  </si>
  <si>
    <t xml:space="preserve"> 1 unit Laptop core i5 10th gen (Touchscreen) for Visual Session Meeting and other Purposes for Councilor Joel Meneses</t>
  </si>
  <si>
    <t xml:space="preserve"> Construction of Municipal Boundaty Arc Cement 10 Bags Sand 2 CU.M Gravel 3/4 2 CU.M 16mm RSB 8 pcs 10mm RSB 5 pcs 2x2x12 Lumber 8 pcs Pylwood 1/2 1 pcs GI Wire #16 2 kls CW Nails 2 KLS GI pipe 6" 4 pcs GI pipe s40 2" 8 pcs GI pipe s40 1 1/2" 6 pcs GI pipe</t>
  </si>
  <si>
    <t xml:space="preserve"> Republic of the Philippines Province of Oriental Mindoro MUNICIPALITY OF PINAMALAYAN OFFICE OF THE BIDS AND AWARDS COMMITTEE Invitation to Bid ITB-2020-47 1.  The Municipal Government of Pinamalayan, Oriental Mindoro, through the authorized appropriations</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</si>
  <si>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</si>
  <si>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For the use in the Liloan Covid Operation Center</t>
  </si>
  <si>
    <t xml:space="preserve"> Supply and Delivery of Suppies and Materials for Training and seminar of POPCCEN</t>
  </si>
  <si>
    <t xml:space="preserve"> ITEM #	QTY	UNIT	DESCRIPTIONS AND SPECIFICATIONS 1	         911	reams	PAPER, MULTI-PURPOSE (COPY), A4, 70 GSM, 210X297mm 2	            3	pcs	        PRINTER (MONOCHROME LASER PRINTER &amp; COPIER) 3	          35	pcs	        Black Ink (For Mono All-in-One Ink T</t>
  </si>
  <si>
    <t xml:space="preserve"> REQUEST FOR QUOTATION Project:  Supply and Installation of Electromechanical Equipment’sfor ButedPump Station of Talugtug Water District 1 – unit 10 KVA Multi Tap “Automatic Voltage Regulator “  Servo-Type motor including Load Testing: 	 		Primary : 220Vo</t>
  </si>
  <si>
    <t xml:space="preserve"> 1 unit Laptop core i5 10th gen (Touchscreen) for Visual Session Meeting and other Purposes for Councilor Michael Ervin Lomibao</t>
  </si>
  <si>
    <t xml:space="preserve"> The Department of Education-Schools Division Office, San Juan City, through the authorized appropriations under Flexible Learning Option (FLO), FY 2020 General Appropriations Act (GAA), intends to apply the sum of Three Million One Hundred Ninety-Eight Th</t>
  </si>
  <si>
    <t xml:space="preserve"> Republic of the Philippines BIDS AND AWARDS COMMITTEE Municipality of Irosin Reference Number: BAC-0062-2020								 August 20, 2020 REQUEST FOR QUOTATION The Local Government Unit of Irosin, through its Bids &amp; Awards Committee (BAC), requests suppliers/m</t>
  </si>
  <si>
    <t xml:space="preserve"> Republic of the Philippines Province of Oriental Mindoro MUNICIPALITY OF PINAMALAYAN OFFICE OF THE BIDS AND AWARDS COMMITTEE Invitation to Bid ITB-2020-48 1.  The Municipal Government of Pinamalayan, Oriental Mindoro, through the authorized appropriations</t>
  </si>
  <si>
    <t xml:space="preserve"> Republic of the Philippines MUNICIPALITY OF BUENAVISTA INVITATION TO RE-BID FOR SUPPLY AND DELIVERY OF OFFICE EQUIPMENT FOR RADYO KAMALINDIG   1.	The Local Government Unit of Buenavista, Marinduque through the fund from the Capital Outlay intends to apply</t>
  </si>
  <si>
    <t xml:space="preserve"> Diesel and Oil and Lubricants (Attached request for qoutation)</t>
  </si>
  <si>
    <t xml:space="preserve"> supply and delivery of office supplies for City Mayor's Office</t>
  </si>
  <si>
    <t xml:space="preserve"> Item no. Qty. Unit of Issue Description 1 10 length Tabular 1 3/4x4 2 15 length Snap on base cover 3 1 length Double Head 4 1 length Double Sill 5 1 length Toprail 6 1 length Bottomrail 7 1 length Interlocker 8 1 length Lockstile 9 1 length Double Jamb 10</t>
  </si>
  <si>
    <t xml:space="preserve"> PLEASE SEE ATTACHED PURCHASE REQUISITION, TERMS OF REFERENCE AND BIDDING DOCUMENTS FOR DETAILS</t>
  </si>
  <si>
    <t xml:space="preserve"> The Local Government Unit of General Santos City, through the TRUST FUND CY 2020 intends to apply the sum of fifty-one thousand eight hundred twenty-six and xx / 100 Pesos Only (51,826.00) being the Approved Budget for the Contract (ABC) to payments under</t>
  </si>
  <si>
    <t xml:space="preserve"> Conversion of DBM ROV tubelights from conventional lights to LED  lights, quotation shall include the following:   - Provision  and installation of the following LED tubelights for the 1st and 2nd floor of DBM ROV:          -  72 pcs T8 LED Linear Tube, 9</t>
  </si>
  <si>
    <t xml:space="preserve"> supply and delivery of office supplies for City Budget Office</t>
  </si>
  <si>
    <t xml:space="preserve"> For supply and delivery of: 1	pc	"Replacement of filter for Biotek Microplate Reader (EQP PAR-31) Model: ELX 808, SN 239033 one (1) pc 450 nm PN: 3100450"</t>
  </si>
  <si>
    <t xml:space="preserve"> INVITATION TO BID Sealed proposal in ink typewritten one (1) copy will be received fro bonafide contractors on August 28, 2020 at 3:00 PM at Barangay Hall, Barangay Bagong Sikat, this city on which date, time and place the bid will publicly opened in the </t>
  </si>
  <si>
    <t xml:space="preserve"> 210 SACK - MASAGANA-PELLETIZE (FERTILIZER (AGRICULTURAL SUPPLY)</t>
  </si>
  <si>
    <t xml:space="preserve"> Repair/Maintenance of 164.0 l.m. RCPC drainage system</t>
  </si>
  <si>
    <t xml:space="preserve"> Republic of the Philippines CITY OF MALABON Metro Manila OFFICE OF THE CITY MAYOR  TERMS OF REFERENCE AIP No. 9000-000-2-3-25-002-000-010 1.	TITLE :  EDUCATIONAL  SERVICES CONSULTANCY 2.	RATIONALE: The City of Malabon is in need of an able Consultant who </t>
  </si>
  <si>
    <t xml:space="preserve"> 2500 kgs Hauling, Treatment IDH</t>
  </si>
  <si>
    <t xml:space="preserve"> 2 unit Laptop PGO-JAIL</t>
  </si>
  <si>
    <t xml:space="preserve"> Republic of the Philippines Central Visayas Region Province of Negros Oriental MUNICIPALITY OF SANTA CATALINA REQUEST FOR QUOTATION RFQ NO.: 2020-08-01-082 Please quote your lowest price on the item/s listed below, subject to the Terms and Conditions prov</t>
  </si>
  <si>
    <t xml:space="preserve"> Solicitation No: 20GPF0014 Contract Name: Supply and delivery of tires, vehicle parts &amp; accessory for service vehicle SLH 110/H1-5786 assigned at the Planning and Design Section.  ***************************************************************************</t>
  </si>
  <si>
    <t xml:space="preserve"> Republic of the Philippines Province of Romblon MUNICIPALITY OF ALCANTARA -oOo- INVITATION TO BID FOR THE PURCHASE OF MATERIALS FOR INSTALLATION OF STREETLIGHTS  FROM NATIONAL ROAD TO ANHS (CAMPUS B)        Poblacion,  Alcantara, Romblon The Local Governm</t>
  </si>
  <si>
    <t xml:space="preserve"> SPARE PARTS</t>
  </si>
  <si>
    <t xml:space="preserve"> Supply and Delivery of Motorcycle for City Engineering Office</t>
  </si>
  <si>
    <t xml:space="preserve"> To support the Other Supplies and Materials Expenses</t>
  </si>
  <si>
    <t xml:space="preserve"> REQUEST FOR QUOTATION The Department of Education – Francisco P. Felix Memorial National High School – JICA Extension through its Bids and Awards Committee (BAC) will undertake a Negotiated procurement under Small Value Procurement for the Printing and De</t>
  </si>
  <si>
    <t xml:space="preserve"> Republic of the Philippines Local Government Unit of General Santos City BIDS AND AWARDS COMMITTEE GOODS AND CONSULTANCY SERVICES City Hall, General Santos City Invitation To Apply For Eligibility And To Bid For the PURCHASE OF CONSTRUCTION  MATERIALS (TR</t>
  </si>
  <si>
    <t xml:space="preserve"> Description   INVITATION TO APPLY FOR ELIGIBILITY AND TO BID The local Government Unit of Taft, through is Bid and Awards Committee (BAC). Invites suppliers to apply for eligibility, to bid for the hereunder contract: Name of Contract: PURCHASE AND DELIVE</t>
  </si>
  <si>
    <t xml:space="preserve"> 1. The City Government of Bacoor, Cavite, through the City Ordinance No. CO 562019 intends to apply the sum of ONE HUNDRED FIFTY  THOUSAND  PESOS AND ZERO CENT (PhP150,000.00) being the total Approved Budget for the Contract (ABC) for all lots indicated i</t>
  </si>
  <si>
    <t xml:space="preserve"> Please see attached Request for Quotation (RFQ) in the Associated Components</t>
  </si>
  <si>
    <t xml:space="preserve"> Bicol Medical Center Concepcion Pequeña, Naga City, 4400 (0998-247-0239/0906-256-9238          E-mail Address: bmc.bacoffice@gmail.com INIVITATION TO BID PROCUREMENT OF MEDICAL &amp; OTHER HEALTH RELATED EQUIPMENT (4) ITB No. 2020-34 1.	The BICOL MEDICAL CENT</t>
  </si>
  <si>
    <t xml:space="preserve"> INVITATION TO BID ITB NO. 2020-08-017 The Procuring Entity  through its Bids and Awards Committee (BAC), invites eligible IT suppliers to apply for eligibility and to bid for the hereunder project: Name of Project: Purchase of Construction Materials for t</t>
  </si>
  <si>
    <t xml:space="preserve"> 1 	Set	Tail Light 1 	Set	Clearance Light 1 	Set	Hood Cable Lock Opener 1 	Set	Gas Tank Cable Opener 1 	Set	Signal Lights 1 	Set	Wiper Motor Mechanism 4 	Piece	Wiper Blade 1 	Piece	Wiper Arm (Rear) 2 	Piece	Fender Lights 1 	Set	Labor and Parts Installation</t>
  </si>
  <si>
    <t xml:space="preserve"> Republic of the Philippines MUNICIPALITY OF BUENAVISTA INVITATION TO BID FOR SUPPLY AND DELIVERY OF OFFICE SUPPLIES FOR DILG, BMPS, HEALTH, ASSESSOR, MDRRM, BUDGET, SB LEGISLATIVE AND ENGINEERING OFFICE    1.	The Local Government Unit of Buenavista, Marin</t>
  </si>
  <si>
    <t xml:space="preserve"> Republic of the Philippines Province of Eastern Samar Municipality of Mercedes OFFICE OF THE BIDS AND AWARDS COMMITTEE (BAC) INVITATION TO BID # INFRA-2020- 011  INVITATION TO BID FOR THE PROPOSED BARANGAY ROADS CONCRETING        Brgy. 01-04 Pob., (Sta. 0</t>
  </si>
  <si>
    <t xml:space="preserve"> PLEASE SEE ATTACHMENTS TAKE NOTE:  *ONLY those who have purchased the bidding documents will be able to attend and participate the Pre-Bid Conference.            The Schedule of BAC activities are as follows:								 								 BAC Activities					Schedule		</t>
  </si>
  <si>
    <t xml:space="preserve"> Republic of the Philippines										 			      DEPARTMENT OF PUBLIC WORKS AND HIGHWAYS							 				               ISABELA 1ST						 DISTRICT ENGINEERING OFFICE										 REGIONAL OFFICE II										 City of Ilagan, Isabela										 										 Procuring En</t>
  </si>
  <si>
    <t xml:space="preserve"> 12 SACKS RICE AND 13 OTHER LINE ITEMS</t>
  </si>
  <si>
    <t xml:space="preserve"> 1 unit Laptop core i5 10th gen (Touchscreen) for Visual Session Meeting and other Purposes for Councilor Aldrin Soriano</t>
  </si>
  <si>
    <t xml:space="preserve"> Republic of the Philippines				Project Reference Number: 	G-20-0759                                           Province of Compostela Valley				Name of the Project	:  T-shirt &amp; Polo shirt MUNICIPALITY OF MONTEVISTA			Location of the Project	:           MCR</t>
  </si>
  <si>
    <t xml:space="preserve"> QTY	UNIT	ARTICLE	 1	lot	Honorarium of trainer for the conduct of Product Development/EnhancementTrainings of the following POs and venue:	 		DAFAMUPCO-Danicop, Sierra Bullones, Bohol	 		-Banana Chips - Sweetened	 		-Banana Chips - Unsweetened	 			 		SUSFA</t>
  </si>
  <si>
    <t xml:space="preserve"> Name of Contract: Completion of Rizal Park, Barangay 2, Tanjay City IAC Classification: Small "B" for Park, Playground and Recreational Work PCAB Category "D" Duration: 210 Calendar Days Approved Budget for the Contract: Php 10,000,000.00 xxxxxxxxxxxx</t>
  </si>
  <si>
    <t xml:space="preserve"> Solicitation No:20GPF0022 Contract Name: Supply and delivery of Grass cutters &amp; paraphernalia for use of Maintenance Section.  ********************************************************************************** Location of the Contract: DPWH-Benguet Second</t>
  </si>
  <si>
    <t xml:space="preserve"> For the supply and delivery of: 37	box	Peroxygen Based Disinfectant, Potassium  Peroxymonosulphate 90%			 		Specifications:			 		Potassium Peroxymonosulphate 90%			 		70,000 ppm more potent than ordinary chlorine-based bleach			 		Low Toxicity (LD 50&gt;3000</t>
  </si>
  <si>
    <t xml:space="preserve"> Republic of the Philippines				Project Reference Number: 	G-20-0771                                           Province of Compostela Valley				Name of the Project	:  Food supplies MUNICIPALITY OF MONTEVISTA			Location of the Project	:           MO  Standa</t>
  </si>
  <si>
    <t xml:space="preserve"> The Department of Public Works and Highways (DPWH), Laguna III District Engineering Office San Pablo City Region IV-A, through its Bids and Awards Committee (BAC), invites Contractors to submit bids for the following Contract: Contract ID: 19DP0089 Contra</t>
  </si>
  <si>
    <t xml:space="preserve"> NOTICE FOR NEGOTIATED PROCUREMENT Adopting Sec. 53.1 (Two Failed Biddings) of the 2016 Revised IRR of RA 9184 Reference No.: DA8-Goods-TFB-2020-3 (PR NO. NLP 20-03-02-0202)     The Department of Agriculture-Regional Office No. 8, through the NLP 2020 inte</t>
  </si>
  <si>
    <t xml:space="preserve"> ,Republic of the Philippines PROVINCE OF BATANGAS Municipality of Lian OFFICE OF BIDS AND AWARDS COMMITTEE INVITATION TO BID 	The Municipal Government of Lian, Batangas through its Bids and Awards Committee (BAC) now calls for the submission of Letters of</t>
  </si>
  <si>
    <t xml:space="preserve"> Send Sealed Quotation with the title and Solicitation No. Please download the attachment and include the copy of  1. Income/Business Tax Return 2. Business’ /Mayor’s Permit 3. PhilGEPS certification / PhilGEPS Reg. No. 4. Omnibus Sworn Statement Other Inf</t>
  </si>
  <si>
    <t xml:space="preserve"> PLEASE SEE ATTACHED FILE FOR REFERENCE</t>
  </si>
  <si>
    <t xml:space="preserve"> Procurement of office supplies - Mayor's Office 1. Bond Paper  (long size, s.20) - 60 reams 2. Bond Paper (short size, s.20) - 60 reams 3. Bond Paper (A4) - 15 reams 4. Epson Ink Black 664 - 30 pcs. 5. Epson Ink Cyan 664 - 10 pcs. 6. Epson Ink Magenta 664</t>
  </si>
  <si>
    <t xml:space="preserve"> Item Description: 3 set Conference Table 1 pc UPS</t>
  </si>
  <si>
    <t xml:space="preserve"> Item No.	Unit	DESCRIPTION				Qty 						 1	Units	Laptop (Core i5)				4 2	Pcs.	Printer Ink (Epson # 664 Black)				10 3	Pcs.	Printer Ink (Epson #664 - Colored)				15 4	Pcs.	Printer Ink (Canon # 745 - Black)				6 5	Pcs.	Printer Ink (Canon # 746 - Colored)				</t>
  </si>
  <si>
    <t xml:space="preserve"> Republic of the Philippines Province of Cebu Barangay Lanao  BIDS AND AWARDS COMMITTEE Barangay Lanao, Moalboal, Cebu  		Contract Reference No: 						Name of Contract : Construciton of Concrete Bench Standard Form: SF-INFR-05			Location of Contract: Lanao</t>
  </si>
  <si>
    <t xml:space="preserve"> INVITATION TO BID IB-2020-098 The Philippine Children’s Medical Center, through DOH-HFEP CY 2020 intends to apply the sum of Two Million Pesos (Php 2,800,000.00) being the Approved Budget for the Contract (ABC) to payment under the contract for the follow</t>
  </si>
  <si>
    <t xml:space="preserve"> 1 unit Laptop core i5 10th gen (Touchscreen) for Visual Session Meeting and other Purposes for Councilor Joselito Quinto</t>
  </si>
  <si>
    <t xml:space="preserve"> Republic of the Philippines				Project Reference Number: 	G-20-0772                                           Province of Compostela Valley				Name of the Project	:  Food supplies MUNICIPALITY OF MONTEVISTA			Location of the Project	:           MO  Standa</t>
  </si>
  <si>
    <t xml:space="preserve"> INVITATION TO BID Sealed proposal in ink typewritten one (1) copy will be received fro bonafide contractors on August 28, 2020 at 3:00 PM at Barangay Hall, Barangay BAGONG SIKAT, this city on which date, time and place the bid will publicly opened in the </t>
  </si>
  <si>
    <t xml:space="preserve"> Solicitation No:20GPF0019 Contract Name: Supply and delivery of tires, lubricants, various vehicle parts &amp; accessories for repair and preventive maintenance of service vehicles assigned at the Construction Section.  ***************************************</t>
  </si>
  <si>
    <t xml:space="preserve"> INVITATION TO BID IB-2020-097 The Philippine Children’s Medical Center, through DOH-HFEP CY 2020 intends to apply the sum of Two Million Pesos (Php 2,000,000.00) being the Approved Budget for the Contract (ABC) to payment under the contract for the follow</t>
  </si>
  <si>
    <t xml:space="preserve"> Construction of Daycare center</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</si>
  <si>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</si>
  <si>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Republic of the Philippines Province of Bulacan Municipality of Calumpit INVITATION TO BID The Municipality of Calumpit , Bulacan through its Bids and Awards Committee (BAC), invites all prospective bidders to apply for eligibility and subsequently bid fo</t>
  </si>
  <si>
    <t xml:space="preserve"> Republic of the Philippines				Project Reference Number: 	G-20-0769                                           Province of Compostela Valley				Name of the Project	:  Food supplies MUNICIPALITY OF MONTEVISTA			Location of the Project	:           MO  Standa</t>
  </si>
  <si>
    <t xml:space="preserve"> 1000 reams - A4 Size Bond Papers, 70 GSM NOTE: Please attach with your quote the following documents: 1. PhilGEPS Registration; 2. Mayor's Permit; 3. BIR Registration; and 4. DTI Certificate Many thanks!</t>
  </si>
  <si>
    <t xml:space="preserve"> Republic of the Philippines Province of Negros Occidental Municipality of Pontevedra BIDS AND AWARDS COMMITTEE INVITATION TO BID 	The Municipality of Pontevedra, Negros Occidental through its Bids and Awards Committee (BAC), invites all prospective bidder</t>
  </si>
  <si>
    <t xml:space="preserve"> 1	O-Ring #07000-12145, for KOM. GD611A-1, Road Grader MG-08 							1	pc.	1,500.00 2	Bearing #06002-32022, for KOM. GD611A-1, Road Grader MG-08							1.00	pc.	4,500.00 3	Bearing #06030-06214, for KOM. GD611A-1, Road Grader MG-08							4	pcs.	2,800.00 4	Oil</t>
  </si>
  <si>
    <t xml:space="preserve"> Delivery shall be made directly to the Schools Divisions of DepEd MIMAROPA on or before October 31, 2020. Please see attached associated component for specifications.</t>
  </si>
  <si>
    <t xml:space="preserve"> Republic of the Philippines Province of Southern Leyte MUNICIPALITY OF LIMASAWA -o0o- Bids and Awards Committee Invitation to Bid for the Supply of Materials for LGU Water System Repair and Maintenance  Limasawa, Southern Leyte 1.	The Local Government Uni</t>
  </si>
  <si>
    <t xml:space="preserve"> FOR MORE INFO PLS. CONTACT THE SUPPLY OFFICER, MR. ARMIN TAYAG (09190081175/09164182846) PRINTING OF LEARNING ACTIVITY SHEETS (LAS) 3 Requirements: No. of pages - 1,300,000 pages (front page printing only and stapled) Bundled per school Paper Type – Long </t>
  </si>
  <si>
    <t xml:space="preserve"> Please quote your lowest price inclusive of VAT on the following items; ITEM NO.      QUANTITY           UNIT         DESCRIPTION     1.                   2000                  REAM        PAPER, multipurpose(COPY) A4, 70 gsm	 2.                   50     </t>
  </si>
  <si>
    <t xml:space="preserve"> Painting works (200 sq.m.) Occupational Safety and Health (1 lump sum)  Electrical Works (1 lump sum)  Wall-Fiber Cement (163.72 sq.m)</t>
  </si>
  <si>
    <t xml:space="preserve"> 1 UNIT COMPUTER SET   SPECIFICATIONS: OS: WINDOWS 10 PRO LICENSED  INTEL-CORE i7-8TH GEN PROCESSOR 8GB DDR4 MEMORY 256 SSD 1TB HDD 21" MONITOR KEYBOARD AND MOUSE NOTE: ALL NEW SUPPLIER ARE REQUIRED TO SUBMIT THE FOLLOWING DOCUMENT. 1. DTI Registration 2. </t>
  </si>
  <si>
    <t xml:space="preserve"> The Department of Public Works and Highways (DPWH), Laguna III District Engineering Office San Pablo City Region IV-A, through its Bids and Awards Committee (BAC), invites Contractors to submit bids for the following Contract: Contract ID: 19DP0090 Contra</t>
  </si>
  <si>
    <t xml:space="preserve"> 8" dia. Concrete Pipe 36" dia. Concrete Pipe Portland Cement Mixed Gravel and Sand</t>
  </si>
  <si>
    <t xml:space="preserve"> Vehicle Hire for the Conduct of Second Phase of  Groundwater Resource and Vulnerability Assessment at  Tagudin, Sta. Cruz, Sta. Lucia and Candon City on  September 7-28, 2020 (22 days)</t>
  </si>
  <si>
    <t xml:space="preserve"> UHF/ FM Digital/ Analog Portable Radio 	20	units NX-340 M2		 General Specifications:		 Frequency Range: 400 - 470MHz		 Channel Capacity: 16- Channels		 RF Power Output: Low 1 Watt/ High 5 Watts		 Dimension: 54 x 122 x 35.3mm (2.134 x 1.39")		 Weight: 11.6</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</si>
  <si>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</si>
  <si>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1		UNIT	PATIENT TRANSPORT VEHICLE (RESCUE VEHICLE)				 			1. Technical Specification:				 			     -Engine 2.5 Liter Diesel				 			     -EURO 4 Model				 			     -6 Speed Manual Transmission				 			     -Power Steering				 			     -Dual Airconditioner (Fro</t>
  </si>
  <si>
    <t xml:space="preserve"> 1	LOT	TO SUPPLY LABOR AND MATERIALS FOR THE FABRICATION AND INSTALLATION OF BARANGAY SIGNAGE WITH ACRYLIC DIFFUSER WHITE 5MM</t>
  </si>
  <si>
    <t xml:space="preserve"> Republic of the Philippines PROVINCE OF CAMARINES SUR BIDS AND AWARDS COMMITTEE ITB No. 053-09-2020 INVITATION TO BID  	The Provincial Government of Camarines Sur (PGCS) through its Bids and Awards Committee (BAC) invites suppliers/manufacturers/distribut</t>
  </si>
  <si>
    <t xml:space="preserve"> QTY	UNIT	ARTICLE	 		Honorarium of trainer for the conduct of ten (10) batches of Gender Sensitivity Trainings of the following POs and venue:	 			 1	lot	DAFAMUPCO - Danicop, Sierra Bullones, Bohol 	 		KAFA - Abachanan, Sierra Bullones, Bohol 	 		MVEGEGRO </t>
  </si>
  <si>
    <t xml:space="preserve"> Repair and Maintenance</t>
  </si>
  <si>
    <t xml:space="preserve"> 14 lengths - B.I. Pipe 6"Ø x 10' Schedule 40  · Carbon Steel  · Seamless  · Threaded both ends 14 pcs - B.I. Steel Coupling 6"Ø  Notes: • To be awarded as one (1) lot. • F.O.B. Dumaguete City Water District   (Price includes freight and handling expenses)</t>
  </si>
  <si>
    <t xml:space="preserve"> Please quote your lowest price on the PROVISION OF AIRTIME FOR THE RADIO PROGRAM "HEADLINE ROXAS" OF LGU ROXAS, PALAWAN FOR SEPTEMBER TO DECEMBER 2020 as specified below and submit your quotation duly signed by your representative not later than 2pm of   </t>
  </si>
  <si>
    <t xml:space="preserve"> Tire with tube and flaps 8.25.20 rough Tire with tube and flaps 8.25.20 pino Rubber cup gear oil #40</t>
  </si>
  <si>
    <t xml:space="preserve"> Pre Survey Works</t>
  </si>
  <si>
    <t xml:space="preserve"> INVITATION TO BID FOR THE PROPOSED TYPICAL 1-STOREY WITH MEZZANINE FIRE STATION OF NOVELETA, CAVITE OF BFP REGION 4A, FOR FY 2020</t>
  </si>
  <si>
    <t xml:space="preserve"> Rehabilitation/concreting of barangay road at Zone 4, 5 and 6 of Brgy. Coldit, Asingan, Pangasinan.</t>
  </si>
  <si>
    <t xml:space="preserve"> Tile works 600mm x 600mm Semi-granite polished tiles (50 sq.m.) Painting Works (80 sq.m.)</t>
  </si>
  <si>
    <t xml:space="preserve"> Republic of the Philippines Province of Oriental Mindoro MUNICIPALITY OF PINAMALAYAN OFFICE OF THE BIDS AND AWARDS COMMITTEE Invitation to Bid ITB-2020-49 1.  The Municipal Government of Pinamalayan, Oriental Mindoro, through the authorized appropriations</t>
  </si>
  <si>
    <t xml:space="preserve"> Republic of the Philippines MUNICIPALITY OF BUENAVISTA INVITATION TO BID FOR SUPPLY AND DELIVERY OF DISPENSARY SUPPLIES AND CHLORINE FOR MUNICIPAL HEALTH OFFICE    1.	The Local Government Unit of Buenavista, Marinduque through the fund from the General Fu</t>
  </si>
  <si>
    <t xml:space="preserve"> Republic of the Philippines Province of Misamis Occidental MUNICIPALITY OF CALAMBA BARANGAY MAMALAD INVITATION TO BID FOR PURCHASE OF MATERIALS FOR THE COMPLETION OF SUBANEN BUILDING FOR COVID-19 ISOLATION FACILITY 	August 21, 2020 1.	The Barangay Mamalad</t>
  </si>
  <si>
    <t xml:space="preserve"> 1		roll	2''Øx60m.HDPE Pipe SDR11				 5		roll	1 1/2''Øx60m.HDPE Pipe SDR11				 4		roll	1''Øx100m.HDPE Pipe SDR11				 2		roll	3/4''Øx150m.HDPE Pipe SDR11				 1		roll	1/2''Øx300m.HDPE Pipe SDR11				 6		pc	2''x3/4'' Saddle Clamp				 5		pc	1 1/2'' P.E. Straigh</t>
  </si>
  <si>
    <t xml:space="preserve"> 1	17 bag Cement 2	17 pc 10mm RSB 3	17 pc 9mm RSB 4	2 kl Tie Wire 5	2.5 cu.m. Gravel 6	6 pc 2” dia GI Pipe S-40 7	3 pc 1 ¼” GI Pipe S-40, Arm 8	2 kl Welding Rod 9	1 ltr Epoxy Metal Primer 10	1 pc Paint Brush 11	2 pc Plywood ¼” Ord 12	2 kl Tie Wire 13	3 kl </t>
  </si>
  <si>
    <t xml:space="preserve"> 1	unit	25 KVA Transformer</t>
  </si>
  <si>
    <t xml:space="preserve"> Republic of the Philippines Province of Misamis Occidental MUNICIPALITY OF CALAMBA BARANGAY SALVADOR INVITATION TO BID FOR PURCHASE OF MATERIALS FOR THE IMPROVEMENT OF BARANGAY HOLDING FACILITIES FOR COVID-19 LSI 	August 21, 2020 1.	The BARANGAY SALVADOR </t>
  </si>
  <si>
    <t xml:space="preserve"> Lot 1										 1	Portland Cement							574	bags	250.00 	Terms and Conditions:									 	The materials shall be for pick up from the supplier within 5 									 	working days  from the receipt of a written advice by the project engineer.									 	The sup</t>
  </si>
  <si>
    <t xml:space="preserve"> Republic of the Philippines                         Province of Laguna                     Municipality of Kalayaan                    Bids and Awards Committee Request for Quotation for the Purchase of Municipal Employees’ Nutritional Package-Relief Assi</t>
  </si>
  <si>
    <t xml:space="preserve"> 1.	4	bottle/s	Glass Cleaner 250ml 2.	5	bottle/s	Toilet Bowl Cleaner 250ml 3.	2	piece/s	Detergent Powder (1,100g) 4.	3	piece/s	Fabric Conditioner 1L 5.	10	bottle/s	Dishwashing Liquid 6.	10	piece/s	Dishwashing Scrub 7.	5	piece/s	Multi Insect Killer 8.	10	ro</t>
  </si>
  <si>
    <t xml:space="preserve"> 10 lghts. 4"x4"x10" Coco lumber 10 lghts. 4"x4"x12' Coco lumber 15 lghts. 4"x6"x12' Coco Lumber 50 lghts. 2"x2"x8"Coco Lumber 40 lghts. 2"x3"x10' Coco Lumber 6   kls. # 4 CWN 5   kls. #2 1/2 CWN 8   kls. #2 CWN 9   sheet G26" Ordinary corrugated G.I. Shee</t>
  </si>
  <si>
    <t xml:space="preserve"> 1 unit Laptop core i5 10th gen (Touchscreen) for Visual Session Meeting and other Purposes for Councilor Rolly Abalos</t>
  </si>
  <si>
    <t xml:space="preserve"> Republic of the Philippines Province of Nueva Vizcaya MUNICIPALITY OF AMBAGUIO -oo0oo- August 20, 2020 INVITATION TO APPLY FOR ELIGIBILITY AND TO BID 	The Municipal Government of Ambaguio, Nueva Vizcaya through the Bids and Awards Committee (BAC) hereby i</t>
  </si>
  <si>
    <t xml:space="preserve"> The office of SK Lumbia is in need of printer for their paper works.</t>
  </si>
  <si>
    <t xml:space="preserve"> Item No.	Unit	DESCRIPTION				Qty 						 1	Unit	Ink Tank System Printer				21 		* Compact Integrated Tank Design				 		*Print Speeds of Up to 15 ipm for Black and				 		8.0ipm for colors				 		*High Yield Ink Bottles				 		*Print, Scan, Copy, Fax w/ ADF			</t>
  </si>
  <si>
    <t xml:space="preserve"> Construction of BDRRMO Command Center at Barangay Sto Domingo Cainta,Rizal</t>
  </si>
  <si>
    <t xml:space="preserve"> REQUEST FOR QUOTATION TERMS OF PAYMENT:   30 DAYS PRICE VALIDITY:        120 DAYS</t>
  </si>
  <si>
    <t xml:space="preserve"> rehabilitation,de-clogging of canal</t>
  </si>
  <si>
    <t xml:space="preserve"> REF. NO./PR NO.:  INFRA2020-RDW-022/MG-RDW20-017 DESCRIPTION:     Supply and Installation of Piezometers at Pulangi 4 HEP (Phase 2), Maramag, Bukidnon 1.	Drilling of Hole (NQ Size – 5x 10.8 m depth) 2.	Installation of Five (5) Units Piezometers 3.	Groutin</t>
  </si>
  <si>
    <t xml:space="preserve"> 1.	2	unit/s	RISO CV3230 with table 			Specs: Heavy Duty Digital Duplicator with Standard PC 			Connectivity and USB Flash via Printing 			High speed digital master making/fully automatic 			Original Type: Sheet 			Original Paper Capacity: 10 Sheets 			Sca</t>
  </si>
  <si>
    <t xml:space="preserve"> 2 pcs Tire 16/70-20</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</si>
  <si>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</si>
  <si>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1.	2,240	liter/s	Diesel</t>
  </si>
  <si>
    <t xml:space="preserve"> Supply and Delivery of; STOCK NO.	UNIT	ITEM DESCRIPTION				QTY 1	meter	Flat cord #16				100 2	unit	Air conditioner				1 3	ream	Laminating film (A4 size)				1 5	unit	Dual Band Wireless Lan connection(Router)				3 		x-x-x-x-x-x-x-x-x				 Purpose / Remarks:	</t>
  </si>
  <si>
    <t xml:space="preserve"> 88        Load (Dump Truck) 1,496   cu.m per load</t>
  </si>
  <si>
    <t xml:space="preserve"> Republic of the Philippines Province of Eastern Samar Municipality of Guiuan Invitation to Bid for  PROPOSED REHABILITATION OF MUNICIPAL GROUND (REAR PORTION) AND CONTINUATION OF DRAINAGE SYSTEM, GUIUAN MUNICIPAL GROUND, GUIMBAOLIBOT AVENUE, BARANGAY 09-A</t>
  </si>
  <si>
    <t xml:space="preserve"> Lot 1									 1	8' X 8' Tarpaulin w/ print &amp; eyelet							1.00	sht.	1,050.00 2	3" CW Nails 							8	kgs.	80.00 3	2" Copper Nails							3	kgs.	800.00 4	4" CW Nails							6	kgs.	80.00 5	2" CW Nails							4	kgs.	80.00 6	1/2" x 4"x8" Marine Plywood							6	p</t>
  </si>
  <si>
    <t xml:space="preserve"> PROJECT:  FENCING OF MULTI PURPOSE HALL COMPOUND LOCATION: BARANGAY LILIBANGAN, CONCEPCION, TARLAC APPROVED BUDGET FOR THE CONTRACT: PHP 315,302.30 SOURCE OF FUND: 20% BDF The contract to be performed by the successful bidder shall be specified in the Tec</t>
  </si>
  <si>
    <t xml:space="preserve"> Item No.	Unit	DESCRIPTION				Qty 						 1	Reams	A4 Bond Paper				500 2	Pcs.	Expanded Envelope Long			790 3	Set	Epson Ink T664				        24 4	Pcs.	Clear Book Short				200</t>
  </si>
  <si>
    <t xml:space="preserve"> Please download associated components</t>
  </si>
  <si>
    <t xml:space="preserve"> Republic of the Philippines				Project Reference Number: 	G-20-0767                                           Province of Compostela Valley				Name of the Project	:  Food supplies MUNICIPALITY OF MONTEVISTA			Location of the Project	:           MO  Standa</t>
  </si>
  <si>
    <t xml:space="preserve"> Oil Filter VIC-C111 Oil Filter VIC-C110 Oil Filter VIC-C306 Oil Filter VIC-C115 Oil Filter VIC-C512 Oil Filter DAIWA DO-605 Fuel Filter VIC F-193 Fuel Filter DAIWA DF 505 Fully Synthetic Gas Motor Oil Fully Synthetic Diesel Motor Oil</t>
  </si>
  <si>
    <t xml:space="preserve"> INSTALLATION OF CANOPY EXTENSION ON OUR BARANGAY COVERED COURT  Installation of 106.5 sq.m. Canopy &amp; 71 sq.m. roof extension of main roof Note: Please see attached link below on Other Information for  more reference.</t>
  </si>
  <si>
    <t xml:space="preserve"> Installation of CCTV along the territorial jurisdiction of Ariston East, Asingan, Pangasinan.</t>
  </si>
  <si>
    <t xml:space="preserve"> Republic of the Philippines				Project Reference Number: 	G-20-0770                                           Province of Compostela Valley				Name of the Project	:  Food supplies MUNICIPALITY OF MONTEVISTA			Location of the Project	:           MO  Standa</t>
  </si>
  <si>
    <t xml:space="preserve"> For use in repair and maintenance of DT 500 series with DPWH no. H3-6640.</t>
  </si>
  <si>
    <t xml:space="preserve"> 10 UNITS SHOTGUN Semi Automatic 12 Gauge</t>
  </si>
  <si>
    <t xml:space="preserve"> Supply and Delivery of One Unit Utility Van with complete accessories, all in accordance with the approved specifications, standards and terms &amp; conditions.</t>
  </si>
  <si>
    <t xml:space="preserve"> BULLAGO WATER SYSTEM</t>
  </si>
  <si>
    <t xml:space="preserve"> Construction of Multi-Purpose Fence</t>
  </si>
  <si>
    <t xml:space="preserve"> Rescuers Uniform</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</si>
  <si>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</si>
  <si>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</si>
  <si>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1. PCCP Removal 2. Sub grade preparation 3. Aggregate base course 4. concrete pavement (150mm PCCP) 5. Road monument/ project marker 6. project site supervisor 7. construction safety and health (COVID 19 safety protocol)</t>
  </si>
  <si>
    <t xml:space="preserve"> DIGITAL DUPLICATOR          unit         2 SPECIFICATION: Type: Digital,desktop Speed: 60-90 image per minute Resolution: 300 x 300 dpi Paper size: minimum: 90 x 140 mm                  Maximum: 275 x 395 mm Reproduction ratios: pre-set enlargement: 115,1</t>
  </si>
  <si>
    <t xml:space="preserve"> Lot 1									 1	8' X 8' Tarpaulin w/ print &amp; eyelet							1	sht.	1,050.00 2	Assorted CW Nails (1-1/2", 2", 4")							16.1428	kgs.	70.00 3	122 lgths. - 12mmØ x 6m Def. Bar, G-33 (5.33 kg./lgth)							650.26	kgs.	50.50 4	No. 16 G.I. Tie Wire							27	kgs.	</t>
  </si>
  <si>
    <t xml:space="preserve"> 2 pax 3 Meals for 7 days 44 pax 3 Meals for 14 days</t>
  </si>
  <si>
    <t xml:space="preserve"> 2 pcs, Thermal Scanner 18 pcs. Face shield 36 pcs. Face Mask(KN95) 36 bots. Alcohol 500ml 38 bots. Liquid Soap 750ml 17 bots. Disinfectant Spray 34 bots. Bleach 1L 3   units Printer Inkjet L3110 1 unit Printer InkJet L120 4 sets Ink Printer L3110 4 sets I</t>
  </si>
  <si>
    <t xml:space="preserve"> ITEM		ITEM DESCRIPTION	QTY.	UNIT NO.				 1	)	Ballpen, 0.5mm, Ball Needle Point, Black /	5	pieces 2	)	Ballpen, 1 Box, Black/	1	box 3	)	Ballpen, Ordinary, Black/	5	pieces 4	)	Ballpen, Ordinary, Blue/	5	pieces 5	)	Ballpen, Retractable, Fine, Black/	10	pieces</t>
  </si>
  <si>
    <t xml:space="preserve"> For used for CBO Personnel</t>
  </si>
  <si>
    <t xml:space="preserve"> Republic of the Philippines Province of Southern Leyte MUNICIPALITY OF LIMASAWA -o0o- Bids and Awards Committee REQUEST FOR QUOTATION   RFQ No. 2020-002 The Local Government Unit of Limasawa, through its Bids and Awards Committee (BAC), will undertake an </t>
  </si>
  <si>
    <t xml:space="preserve"> Installation of 6 Units 4.0 HP Air Condition Unit for Barangay Multi Purpose Hall at Marick Subdivision Cainta, Rizal</t>
  </si>
  <si>
    <t xml:space="preserve"> Retrofitting of P. Fuentes Elementary School @ Fuentes, Pantukan, Davao De Oro (Labor)</t>
  </si>
  <si>
    <t xml:space="preserve"> ***see attached document***</t>
  </si>
  <si>
    <t xml:space="preserve"> 1 lot - Software subscription of 25 Zoom Enterprise Licenses for 1 year</t>
  </si>
  <si>
    <t xml:space="preserve"> MUNICIPALITY OF PANIQUI Province of Tarlac 	Project Reference Number : G-2020-008 Name of the Project           : Supply &amp; Delivery of Tweleve (12) Units Laptop  Location of the Project     :  Sangguniang Bayan of LGU-Paniqui, Tarlac Standard Form Number:</t>
  </si>
  <si>
    <t xml:space="preserve"> Republic of the Philippines Department of Public Works and Highways Pampanga 3rd District Engineering Office San Francisco Street, Brgy. Pampang, Angeles City Region III Telephone Nos. (045) 323-5782 / 887-5249 DPWH-INFR-04-2016 RE-INVITATION TO BID The D</t>
  </si>
  <si>
    <t xml:space="preserve"> Republic of the Philippines Province of Romblon MUNICIPALITY OF ALCANTARA -oOo- INVITATION TO BID FOR PURCHASE OF OFFICE SUPPLIES        Alcantara, Romblon The Local Government Unit of Alcantara, Romblon, through the General Fund CY  2020  intends to appl</t>
  </si>
  <si>
    <t xml:space="preserve"> Procurement of 1 Lot Medicines</t>
  </si>
  <si>
    <t xml:space="preserve"> QTY	UNIT	ARTICLE	 		Materials for product development/enhancement of banana chips, camote chips, camote delight bar, camote pastille, camote flour, coco chips and coco vinegar processing	 100	kilo	Banana (cardaba variety)	 100	kilo	Camote	 200	pc	Coconut	</t>
  </si>
  <si>
    <t xml:space="preserve"> Please see attached RFQ. ABC: 129,900.00</t>
  </si>
  <si>
    <t xml:space="preserve"> INVITATION TO BID The DPWH Regional Office IX, Veterans Avenue Extension, Tetuan, Zamboanga City, through its Bids and Awards Committee (BAC), invites contractors to submit bids for the following Contract: Contract ID	:	20J00218 Contract Name	:	Constructi</t>
  </si>
  <si>
    <t xml:space="preserve"> One job Furnishing Labor and Materials for the Construction of Materials Recovery Facilities</t>
  </si>
  <si>
    <t xml:space="preserve"> Procurement of A4 Bond Paper for Reproduction of Modules.</t>
  </si>
  <si>
    <t xml:space="preserve"> Procurement of Rabisin						 Purchase Requested by the City Agriculture's Office, Tabaco City						 						 To Interested Suppliers, Manufacturers and Distributors,						 						 Please quote your lowest price/s on the lot or item/s  below, subject to Terms</t>
  </si>
  <si>
    <t xml:space="preserve"> Procurement of 1 Lot Office Supplies and consumables</t>
  </si>
  <si>
    <t xml:space="preserve"> BARANGAY TAMAG, through the: DF CONT.  Fund 2019 intends to apply the sum of SEVENTY SIX THOUSAND FOUR HUNDRED SEVENTY ONE PESOS &amp; 34/100 (₱76,471.34) being the approved Budget for the Contract (ABC) to payments under the contract</t>
  </si>
  <si>
    <t xml:space="preserve"> GEOTECHNICAL AND GEOLOGICAL SURVEY/INVESTIGATION</t>
  </si>
  <si>
    <t xml:space="preserve"> 1	rm	Bond paper legal	85	 18,700.00  2	rm	Bond paper  A4	30	 6,000   .00   3	set	printer ink	20	 28,000.00  4	pc	sign pen	10	 500.00  5	pc	marking pen	10	 450.00  6	box	paper clip	8	 304.00  7	box	paper Fastener	8	 552.00  8	pc	Staple wire	8	 320.00  9	pc</t>
  </si>
  <si>
    <t xml:space="preserve"> Construction of Covered Court</t>
  </si>
  <si>
    <t xml:space="preserve"> Republic of the Philippines PROVINCIAL GOVERNMENT OF EASTERN SAMAR Capitol Building, Borongan, Eastern Samar, 6800 Tel No. (055)-560-8312 E-mail Address: esamar.bac@gmail.com BIDS AND AWARDS COMMITTEE (BAC) INVITATION TO BID FOR FISH AND MARINE SANCTUARY </t>
  </si>
  <si>
    <t xml:space="preserve"> 1 UNIT DESKTOP COMPUTER - .  - Intel Core i3,3.2 GHz Processor - 4GB DDR3 - 1TB HDD - 22" LED Monitor - DVD ROM - Tower Case with 600W Power Supply - PS2 Keyboard,KB110 - PS2 Optical Mouse with pad - 600W UPS Logic - Motherboard,HB 1MP - Webcam - Speaker</t>
  </si>
  <si>
    <t xml:space="preserve"> Republic of the Philippines				Project Reference Number: 	G-20-0774                                           Province of Compostela Valley				Name of the Project	:  Food Supplies MUNICIPALITY OF MONTEVISTA			Location of the Project	:           MO  Standa</t>
  </si>
  <si>
    <t xml:space="preserve"> 1 PC. CROWN PO-500 BR 2 WAY 400W PORTABLE SOUND SYSTEM 4 PCS. LIFE TIME FOLDING TABLE 6 FT 2 PCS. POWER EXTENSION 30M CRESTON 3 PCS. STEEL VERTICAL FILING CABINET 4 DRAWER 100 PCS. MONOBLOCK CHAIR (URATEX) 2 PC. CORK BOARD 2 FT. X 3FT.</t>
  </si>
  <si>
    <t xml:space="preserve"> Procurement of Office Supplies for the Sustainment of OCD RO3 for 3rd Quarter FY 2020</t>
  </si>
  <si>
    <t xml:space="preserve"> Various appliances for Mini Hotel use.</t>
  </si>
  <si>
    <t xml:space="preserve"> Title: Procurement of 1 Package Improvement of City Accountants Office (Materials Only) under P.R.No. 2561-2020-Office of the City Accountant Total ABC: Php 69,023.00 (INSTRUCTION AS TO THE REQUIRED FORM: For your price quotation, please use the attached </t>
  </si>
  <si>
    <t xml:space="preserve"> PRINTER - . - COLOR PRINT,INKJET PRINTER - PRINT RESOLUTION 5760X1440 dpi - PRINT SPEED: BLACK 33ppm,COLOR 15 ppm - PAPER SIZE: 10x15cm,13x18cm</t>
  </si>
  <si>
    <t xml:space="preserve"> Supply and Delivery of Construction Materials 1	lot	Supply and Delivery of Construction Materials 	40 	pc		Cutting disc 	20 	pc		Grinding disc 	20 	liter		Vulcaseal 	12 	gal		Gray oxide primer 	50 	pc		2 x 2 x 10 Lumber, Red or White Lawan 	40 	pc		2 x 3 </t>
  </si>
  <si>
    <t xml:space="preserve"> Laptop for RHU TB DOTS Program and FHSIS reports &amp; Television for TB DOTS building LGU Cabagan Cabagan, Isabela</t>
  </si>
  <si>
    <t xml:space="preserve"> Republic of the Philippines Province of Capiz Municipality of Mambusao Barangay Bungsi Invitation to Bid for a One (1) Job Order for the Supply of Labor, Materials and Equipment for Concreting of Road    The Barangay Council of Barangay Bungsi through its</t>
  </si>
  <si>
    <t xml:space="preserve"> Concreting of Road / Alley at Sitio San Isidro</t>
  </si>
  <si>
    <t xml:space="preserve"> Free-range chicken (female) ----- 500 Heads Free-range chicken (male) ----- 100 Heads</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</si>
  <si>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</si>
  <si>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Line Item No. 1 McDonald Jar (9 liter water capacity) 21 pcs  Water Heater 1.5KW (=or &gt; 3 gallon) 7 unit Electric Breaker 20A 7 unit Ball valve PPC (water heater capacity) 28 pcs Ball valve PVC (cold water) 28 pcs PVC blue Pipe 1/2 28 pcs PVC Elbow 1/2 14</t>
  </si>
  <si>
    <t xml:space="preserve"> Republic of the Philippines SUGAR REGULATORY ADMINISTRATION North Avenue, Diliman, Quezon City 													                                            8/12/2020 										         Date REQUEST FOR QUOTATION Gentlemen: 		Please quote your lowest prices, t</t>
  </si>
  <si>
    <t xml:space="preserve"> 1. Please see attached Request for Quotation Form for details 2. RFQ Form can also be downloaded for free at www.ilocossur.gov.ph 3. Please read the General Instructions to Bidders at the attached RFQ Form</t>
  </si>
  <si>
    <t xml:space="preserve"> Requesting for Quotation (RFQ) for PR No. 2008072  Interested suppliers are invited to submit Sealed Price Quotations for the above listed items. The Request for Quotation (RFQ) for may be obtained from Mr. Albert A. Camarillo City General Services Office</t>
  </si>
  <si>
    <t xml:space="preserve"> Shopping. . .</t>
  </si>
  <si>
    <t xml:space="preserve"> Republic of the Philippines Province of Davao Oriental City of Mati BIDS &amp; AWARDS COMMITTEE INVITATION TO BID LOT Procurement of AIR CONDITIONING UNITS with Installation for the Use of DOPH Gov. Generoso SOURCE OF FUND: CAPITAL OUTLAY [4421-4-5-02-13-050]</t>
  </si>
  <si>
    <t xml:space="preserve"> QTY UNIT  DESCRIPTION 4000	Liters	Diesel				 2400	Liters	Gasoline</t>
  </si>
  <si>
    <t xml:space="preserve"> MUNICIPALITY OF ABRA DE ILOG Name of Procuring Entity						 Contract Reference Number Goods No. 34-2020 Name of Contract: Supply and Delivery of Materials for the Construction of Aluyan Tricycle Bridge Crossing Location:  LGU, ADIOM Republic of the Philip</t>
  </si>
  <si>
    <t xml:space="preserve"> REQUEST FOR QUOTATION/PROPOSAL _______________________							Date:____________________         Name of Company								RFQ No.:  _______________________							PR No.:__________________ Complete Company Address							PHILGEPS Ref No.:___________ To Whom it </t>
  </si>
  <si>
    <t xml:space="preserve"> 1 lot                   Mobilization and Demobilization 14 pcs                BI Pipe sch 40 (4 x 10 ft) 1 box                 THHN Wire 3 sets                 Splicing Materials 15 pcs                HD Coupling 1 pc                    Reducer (5" x 4" x</t>
  </si>
  <si>
    <t xml:space="preserve"> 1.	30	neb/s	Budesonide 250mcg/ml 2.	100	tab/s	Calcium Carbonate 1.25g 3.	50	amp/s	Clindamycin 150mg/ml 4ml 4.	500	cap/s	Clindamycin 300mg 5.	50	tab/s	Diclofenac 50mg 6.	12	bottle/s	Domperidone 1mg/ml 60ml syr 7.	50	tab/s	Furosemide 40mg 8	.30	amp/s	Gentam</t>
  </si>
  <si>
    <t xml:space="preserve"> For FDMO use.</t>
  </si>
  <si>
    <t xml:space="preserve"> 1	2610	can	Sardines ( 155g ) ( 5.47oz ) 2	6090	pc	Instant Noodles (70g) 3	2175	pack	Coffee Refill (25g) 4	1305	pc	Laundry Soap (380g) 5	2175	can	Meatloaf (150g) 6	2175	can	Corned Beef (150g) 7	1305	bottle	Vinegar (350ml) 8	1740	pack	Vinegar Refill (200ml)</t>
  </si>
  <si>
    <t xml:space="preserve"> Construction of Monitoring Station @ Diat, Napnapan, Pantukan, Davao De Oro (Labor)</t>
  </si>
  <si>
    <t xml:space="preserve"> INVITATION TO BID FOR PROCUREMENT OF MATERIALS FOR THE IMPROVEMENT OF MULTI-PURPOSE HALL 1.	The [Barangay Local Government Unit of Bahay], through the [20% BDF CY 2020]  intends to apply the sum of [TWO HUNDRED NINETY-FIVE THOUSAND TWO HUNDRED FORTY-SIX P</t>
  </si>
  <si>
    <t xml:space="preserve"> Please see attached RFQ. ABC: 258,718.00</t>
  </si>
  <si>
    <t xml:space="preserve"> QTY.          UNIT          DESCRIPTION 4,444.44    LITERS      DIESEL FUEL</t>
  </si>
  <si>
    <t xml:space="preserve"> Republic of the Philippines Province of Southern Leyte MUNICIPALITY OF LIMASAWA -o0o- Bids and Awards Committee Invitation to Bid for the Supply of Agricultural Seeds for the Implementation of the Yolanda Rehabilitation and Reconstruction Program (YRRP) o</t>
  </si>
  <si>
    <t xml:space="preserve"> RFQ-2020-256		 			 1.	5	gal	Alcohol 2.	50	pcs	Ball Pen Black 3.	35	pcs	Ball Pen Blue 4.	125	pcs	Ball Pen Green 5.	1	pcs	Tornado Mop 6.	1	bottl.	Baygon 7.	20	reams	Bond Paper long 8.	30	reams	Bond Paper short 9.	20	gal	Zonrox Big 10.	20	pcs	Brown Envelope </t>
  </si>
  <si>
    <t xml:space="preserve"> Digital Water Meter Analyzer(Service Utility Analyzer)		1	unit specifications:			 Optimum flow range - 3.0 to 45 GPM, 150 PSI			 Pressure Drop - adjusted to simulate 5/8" x 3/4" meter			 One Moving Part: Turbine Rotor			 Display - 0.4" high, 6-digit LCD d</t>
  </si>
  <si>
    <t xml:space="preserve"> SUPPLY OF LABOR, MATERIALS AND EQUIPMENTS FOR THE ROAD CONCRETING AT POLOG TO CABANGAHAN ROAD, CONSOLACION, CEBU</t>
  </si>
  <si>
    <t xml:space="preserve"> Republic of the Philippines Province of Guimaras OFFICE OF THE BIDS AND AWARDS COMMITTEE INVITATION TO BID FOR    SUPPLY AND DELIVERY OF CATERING SERVICES AND VENUE Bid Ref. No. 2020-08-467 1.	The Province of Guimaras , through the DOLE Kabuhayan Program </t>
  </si>
  <si>
    <t xml:space="preserve"> 1.	2	gallon/s	Betadine Antiseptic 7.5% 2.	30	bottle/s	Alcohol 70% 500ml 3.	3	box/es	Chromic 1-0 x 12 4.	3	box/es	Chromic 2-0 x 12 5.	5	box/es	Cord Clamp x 100 6.	50	box/es	Face Mask 7.	3	box/es	Foley Catheter fr 14 x 10 8.	5	box/es	Foley Catheter fr 16 x </t>
  </si>
  <si>
    <t xml:space="preserve"> 7 drums Chlorine Granules 70% For Drinking water</t>
  </si>
  <si>
    <t xml:space="preserve"> 1	 pcs. 			C.I. Gate Valve M/J, `200mm` 1	 pcs. 			C.I. Gate Valve M/J, `160mm` 1	 pcs. 			C.I. Gate Valve M/J, `63mm` 1	 pcs. 			C.I. Gate Valve M/J, `75mm` 1	 pcs. 			C.I. Gate Valve M/J, `90mm` 1	 pcs. 			C.I. Gate Valve M/J, 110 mm`` 6	 pcs. 			C.I. S</t>
  </si>
  <si>
    <t xml:space="preserve"> Disinfectant Materials</t>
  </si>
  <si>
    <t xml:space="preserve"> Republic of the Philippines Province of Nueva Vizcaya BIDS AND AWARDS COMMITTTEE (GOODS) BAC OFFICE, Provincial Capitol, Bayombong, Nueva Vizcaya 	 		 REQUEST FOR QUOTATION (RFQ) For the Procurement of Office Supplies For the Sangguniang Panlalawigan-Secr</t>
  </si>
  <si>
    <t xml:space="preserve"> REF. NO./ PR NO.: INFRA2020-RDW-023 / MG-RDW20-018 DESCRIPTION:     Rehabilitation of Piezometers at Agus 4 HEP Dam, Balo-i, Lanao del Norte 1.	Drilling of Hole (NQ Size – 2 x 6 m &amp; 2 x 17 m depth) 2.	Installation of Piezometers and PVC Riser Pipes 3.	Gro</t>
  </si>
  <si>
    <t xml:space="preserve"> INVITATION TO BID  for  Concreting of Farm to Market Road at Brgy. Payar, Malasiqui, Pangasinan Solicitation No. PANG-2020-1037 1.	The Provincial Government of Pangasinan, through the Construction, Repair &amp; Maintenance of Various Roads and Bridges (PR#202</t>
  </si>
  <si>
    <t xml:space="preserve"> MICROVASCULAR SET A. BULLDOG CLAMPS 1. 2 pcs Straight (debakey), 50mm total length, 21mm length of jaw 2. 2 pcs Curve(debakey), 50mm total length, 20mm length of jaw B. 1 pc CCASTROVIEJO NEEDLE HOLDER  - 0.2mm jaw width, 180mm total length  -  1 pc POTTS </t>
  </si>
  <si>
    <t xml:space="preserve"> INVITATION TO BID #2020-06  FOR  GOODS The Department of Public Works and Highways, Samar Second District Engineering Office, Catbalogan City, Samar, through its Bids and Awards Committee (BAC) for Goods, invites suppliers to submit bids for the following</t>
  </si>
  <si>
    <t xml:space="preserve"> SUPPLY AND DELIVERY OF FOOD COMMODITIES FOR MAINTENANCE OF SOCIAL DEVELOPMENT CENTER AND MAKATI YOUTH HOMES AND GROCERY PACKS FOR MAKATI BLOODLINES COMMUNITY -ORDER OF PAYMENT FOR BID DOCS WILL BE AVAILABLE AT GSD-HEAD OFFICE @ 10TH FLOOR MAKATI CITY HALL</t>
  </si>
  <si>
    <t xml:space="preserve"> Republic of the Philippines PROVINCE OF AGUSAN DEL SUR Municipality of Loreto INVITATION TO BID FOR VARIOUS SPARE PARTS FOR HEAVY EQUIPMENT UNDER ENGINEERING MOTORPOOL 1.	The Municipality of Loreto, through the GENERAL FUND intends to apply the sum of THR</t>
  </si>
  <si>
    <t xml:space="preserve"> INVITATION TO BID The DPWH Regional Office IX, Veterans Avenue Extension, Tetuan, Zamboanga City, through its Bids and Awards Committee (BAC), invites contractors to submit bids for the following Contract: Contract ID	:	20J00219 Contract Name	:	Constructi</t>
  </si>
  <si>
    <t xml:space="preserve"> Please see attached ITB. ABC: 288,550.00</t>
  </si>
  <si>
    <t xml:space="preserve"> SECURITY PLANT COMPLEX       DEPARTMENT OF GENERAL SERVICES       Procurement Division    2nd RFQ 1.	The Bangko Sentral ng Pilipinas requests quotations for the hereunder requirement: Name of the Requirement/ Brief Description	:	Supply and Delivery of Var</t>
  </si>
  <si>
    <t xml:space="preserve"> Office Supplies</t>
  </si>
  <si>
    <t xml:space="preserve"> Tile Works, Ceiling Works, Revision of Roofing, 3rd floor slab with steel deck and W-flange support, Electrical Works, Railings, 3rd floor spandrel exterior wall &amp; marine plywood double wall, 6" G.I Pipe column on steel plate, bolted</t>
  </si>
  <si>
    <t xml:space="preserve"> Republic of the Philippines Province of Oriental Mindoro MUNICIPALITY OF PINAMALAYAN OFFICE OF THE BIDS AND AWARDS COMMITTEE Invitation to Bid ITB-2020-50 1.  The Municipal Government of Pinamalayan, Oriental Mindoro, through the authorized appropriations</t>
  </si>
  <si>
    <t xml:space="preserve"> 5	 pcs. 		PVC Pipe C150 S80, `110mm x 6mts` 5	 pcs. 		PVC Pipe C150 S80, `160mm x 6mts` 5	 pcs. 		PVC Pipe C150 S80, `200mm x 6mts` 5	 pcs. 		PVC Pipe C150 S80, `90mm x 6mts` 1	 roll 		HDPE Pipe Iso Sdr 11, `50mm 2	 roll 		HDPE Pipe Iso Sdr 11, `63mm 3	 r</t>
  </si>
  <si>
    <t xml:space="preserve"> QTY  UNIT DESCRIPTION 4000	Liters	Diesel				 600	Liters	Unleaded Gasoline</t>
  </si>
  <si>
    <t xml:space="preserve"> Lot 1									 1	8' X 8' Tarpaulin w/ print &amp; eyelet							1.00	sht.	1,050.00 2	Assorted CW Nails 							21.50	kgs.	70.00 3	Nylon #60							1	kgs.	300.00 4	2" x 2" x 12' Coco Lumber - 25 pcs.							100	bd.ft	28.00 5	2" x 3" x 12' Coco Lumber  (Bracing &amp; S</t>
  </si>
  <si>
    <t xml:space="preserve"> Lga 1155 3rd gen, i5-3470, 500GB HDD, 8GB RAM Desktop Computer, 1 set &amp; 12 other line items</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</si>
  <si>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</si>
  <si>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200	 pcs. 		Brass Water Meter ½ 30	 pcs. 		Brass Water Meter ¾ 300	 pcs. 		Brass St. Coupling ½ 100	 pcs. 		Brass St. Coupling 1" 200	 pcs. 		Brass Magnetic Ball Valve w/ lockable wing ½ 30	 pcs. 		Brass Magnetic Ball Valve w/ lockable wing  ¾ 10	 pcs. 		</t>
  </si>
  <si>
    <t xml:space="preserve"> Petroleum &amp; Oil consumption</t>
  </si>
  <si>
    <t xml:space="preserve"> 1. 10 Piece/s Raincoat (Checkpoint personnel)  2. 10 Pair/s Rubber Boots (For Checkpoint Personnel and CR Maintenance) 3. 18 Piece/s Trash Can (Office and Checkpoint Area) 4. 90 Roll/s Trash Bag (Plastic, Transparent) MEDIUM 5. 10 Piece/s Dustpan (Non - r</t>
  </si>
  <si>
    <t xml:space="preserve"> Republic of the Philippines Province of Misamis Occidental MUNICIPALITY OF CALAMBA BARANGAY DAPACAN BAJO INVITATION TO BID FOR IMPROVEMENT OF MULTI-PURPOSE BUILDING 	August 21, 2020 1.	The Barangay Dapacan Bajo  of Calamba, Misamis Occidental, through the</t>
  </si>
  <si>
    <t xml:space="preserve"> Construction of Monitoring Station @ Panganason, Pantukan, Davao De Oro (Labor)</t>
  </si>
  <si>
    <t xml:space="preserve"> RFQ-2020-257		 			 1.	2	units	Desktop computers 			Processor core type : intel i5 			10th generation 			HDD SSD 			RAM 4 GB 			Graphics : 1GB NVIDIA GT 625 			Screen size : 21" 			Processors : 3-4 GHz 			Operating System : Windows 10 			Mouse : MS USB Opt</t>
  </si>
  <si>
    <t xml:space="preserve"> Complete reconstruction of X-Ray room, ceiling, roofing, walls, flooring, doors, windows and other medical equipment in Pilar &amp; Sorsogon City and Repair &amp; Improvement of Donsol District Hospital including Road Network</t>
  </si>
  <si>
    <t xml:space="preserve"> RIGID 90° LARYNGEAL ENDOSCOPE (8MM), WITH FIBER OPTIC CABLE AND UNIVERSAL LIGHT SOURCE Tele-Laryngoscope, 8 mm Ø, 90°, working length 210mm with detachable handle, autoclavable Fiber Optic Cold Light Cable, length 2.3 m, 4.9mm Ø Mini Portable Light Source</t>
  </si>
  <si>
    <t xml:space="preserve"> QTY  UNIT  DESCRIPTION 16	Unit	Printer 3 in 1				 		 - scan				 		 - print				 		 - photocopy				 1	Unit	Photocopier				 		- Speed : 24 prints per minute				 		- Scanning Resolution : 600x600 dpi				 		-Scanning Formats : TIFF, PDF, Compact PDF, JPEG, XPS</t>
  </si>
  <si>
    <t xml:space="preserve"> INVITATION TO BID FOR THE PROCUREMENT OF JANITORIAL SERVICES FOR OCTOBER TO DECEMBER 2020 FOR THE DEPARTMENT OF AGRARIAN REFORM REGIONAL OFFICE 02 (DARRO 02) Reference Number:  PBD-20-02 1.	The Department of Agrarian Reform (DAR), under the proposed 2020 </t>
  </si>
  <si>
    <t xml:space="preserve"> Date:	 					 COMPANY NAME: _________________________________					 LOCATION: _______________________________________					 					 					 REQUEST FOR QUOTATION					 					 Gentlemen/Madam:					 					      Please quote your lowest price on the item/s listed belo</t>
  </si>
  <si>
    <t xml:space="preserve"> INVITATION TO BID The DPWH Regional Office IX, Veterans Avenue Extension, Tetuan, Zamboanga City, through its Bids and Awards Committee (BAC), invites contractors to submit bids for the following Contract: Contract ID	:	20J00221 Contract Name	:	Constructi</t>
  </si>
  <si>
    <t xml:space="preserve"> 1	Supply, installation, synchronization and testing of hour meter and appurtenances, 7-digits din rail type 35mm, 220-240v 60hz		9	set 				 				 2	Supply, installation, integration and commissioning of Automatic Transfer Switch and appurtenances, complete</t>
  </si>
  <si>
    <t xml:space="preserve"> Republic of the Philippines Central Visayas Region Province of Negros Oriental MUNICIPALITY OF SANTA CATALINA REQUEST FOR QUOTATION RFQ NO.: 2020-08-01-083 Please quote your lowest price on the item/s listed below, subject to the Terms and Conditions prov</t>
  </si>
  <si>
    <t xml:space="preserve"> DIRECT COST: 1. Poblacion Water System A. Materials: Pump 85GS50 5HP         unit      1 Vat and Evat</t>
  </si>
  <si>
    <t xml:space="preserve"> 1 	Unit	Compressor Head 1 	Unit	Drier 1 	Unit	Thermostat Control Switch 1 	Unit	Pressure Switch 1 	Unit	Evaporator Cooling Coil 1 	Unit	Condenser 1 	Set	Oring Gaskets 1 	Set	Suction Hose 1/4 3/8 1 	Set	Discharge Hose 1/2 1/4 1 	Assembly	Auxillary Fan Moto</t>
  </si>
  <si>
    <t xml:space="preserve"> 3,125 ltrs. Diesel</t>
  </si>
  <si>
    <t xml:space="preserve"> ALUBIJID CENTRAL SCHOOL 				 3		kilo	Welding Rod				 2		pc	Cutting Disc 7''				 5		pc	PVC Pipe #2''Ø				 2		pc	PVC Elbow 90º X 2''				 2		pc	PVC Tee 2''Ø				 1		can	Solvent Cement				 3		pc	PVC Coupling 2'' Ø				 1		box 	Blind Revits 1/8 X 1/2				 4		set	</t>
  </si>
  <si>
    <t xml:space="preserve"> QTY  UNIT DESCRIPTION 		Improvement of Pathway @ San Isidro Elem. School				 70	Bags	Cement				 8	Cu.m	Sand				 10	Cu.m	Crushed Stones (chocker)				 		Construction of Close Drainage @ RHU				 162	Bags	Cement				 14	Cu.m	Sand				 20	Cu.m	Crushed Stones (ch</t>
  </si>
  <si>
    <t xml:space="preserve"> for NIF-C representation expense</t>
  </si>
  <si>
    <t xml:space="preserve"> Republic of the Philippines CITY OF IRIGA BIDS AND AWARDS COMMITTEE REQUEST FOR QUOTATION 1. The City of Iriga through the Bids and Awards Committee (BAC) now invites contractors, registered with and classified by the Philippine Contractors Accreditation </t>
  </si>
  <si>
    <t xml:space="preserve"> 1.16 pcs steel matting HD 2. 8 pcs 0.7 flat sheet 3. 12 pcs 1'' dia. G.I. PIPE #40 4. 10KGS W. rod 5. 12 pcs angle bar 1 x 1 6. 6 pcs cutting Disc. HD 7. 4 pcs hacksaw blade 8. 16 pcs cylindrical hinges 9. 1 gal primer paint ( gray ) 10. 1 bot paint thinn</t>
  </si>
  <si>
    <t xml:space="preserve"> Republic of the Philippines PROVINCE OF AGUSAN DEL SUR Municipality of Loreto INVITATION TO BID FOR DUPLICATING MACHINE FOR DEPED LORETO DISTRICT, AGUSAN DEL SUR 1.	The Municipality of Loreto, through the SPECIAL EDUACATIONAL FUND intends to apply the sum</t>
  </si>
  <si>
    <t xml:space="preserve"> Bond paper, A4				1000	ream Vellum paper, A4			50	pack Ink, epson				30	bot PVC ring				        20	pc PVC cover, A4				10	pack</t>
  </si>
  <si>
    <t xml:space="preserve"> 1.	The Local Government Unit of Mabini, Pangasinan, through the 20% Development Fund CY 2020 intends to apply the sum of Six Hundred Forty Eight Thousand Six Hundred Twenty Pesos (PhP648,620.00) being the Approved Budget for the Contract (ABC) to payments</t>
  </si>
  <si>
    <t xml:space="preserve"> Lot 1										 1	Portland Cement							230	bags	260.00 	Terms and Conditions:									 	The materials shall be for pick up from the supplier within 5 working 									 	days  from the receipt of a written advice by the project engineer.									 	The sup</t>
  </si>
  <si>
    <t xml:space="preserve"> Please see attached documents It may also be downloaded free of charge form the website of the Philippine Ports Authority at www.ppa.com.ph</t>
  </si>
  <si>
    <t xml:space="preserve"> The City Government of Santiago invites interested parties to submit price quotation for the “SUPPLY AND DELIVERY OF IMESSENGER FOR INFORMATION DISSEMINATION“ City Hall, Santiago City, details as follows: ABC: Php 200,000.00 Contract Duration: 14 calendar</t>
  </si>
  <si>
    <t xml:space="preserve"> Pag-IBIGFund (HomeDevelopmentMutualFund) REQUEST FOR QUOTATION                                                                                                                                        August 18, 2020_                                         </t>
  </si>
  <si>
    <t xml:space="preserve"> INVITATION TO BID The DPWH Regional Office IX, Veterans Avenue Extension, Tetuan, Zamboanga City, through its Bids and Awards Committee (BAC), invites contractors to submit bids for the following Contract: Contract ID	:	20J00222 Contract Name	:	Constructi</t>
  </si>
  <si>
    <t xml:space="preserve"> Office Equipment</t>
  </si>
  <si>
    <t xml:space="preserve"> The City Government of Santiago invites interested parties to submit price quotation for the “SUPPLY AND DELIVERY OF DISTILLED WATER AND ZIP LOCK FOR QUARANTINE FACILITY“ City Hall, Santiago City, details as follows: ABC: Php 205,350.00 Contract Duration:</t>
  </si>
  <si>
    <t xml:space="preserve"> PROCTOSIGMOIDOSCOPY SET  With anoscope, 19mm x 7mm fober optic anoscope with obturator With light source, light handle with 0.9 meter cord Adult proctosigmoidoscope, 19mm x 35cm with obturator Pediatric proctosigmoidoscope, 15mm x 25cm with obturator Suct</t>
  </si>
  <si>
    <t xml:space="preserve"> 100 vial PVRB Rabies Vaccine for Human/PCEC/Vial</t>
  </si>
  <si>
    <t xml:space="preserve"> Please quote your lowest price on item/s listed in the line item and submit your quotation duly signed by your authorized representative through email at bac.secretariat@pnu.edu.ph not later than August 27, 2020 @ 4PM. Note: 1. Delivery period within fift</t>
  </si>
  <si>
    <t xml:space="preserve"> 1. All entries must be typewritten or legibly written. 2. Delivery period within 15CD upon receipt of the approved funded Purchase Order (P.O.) Administrative Penalties pursuant to Sec. 69 of the Revised IRR-RA 9184 shall be imposed for non-delivery witho</t>
  </si>
  <si>
    <t xml:space="preserve"> Republic of the Philippines PROVINCE OF AKLAN Kalibo -o0o- BIDS AND AWARDS COMMITTEE (BAC) INVITATION TO BID  The Provincial Government of Aklan through its Bids and Awards Committee (BAC), invites organized pakyaw groups, associations and cooperatives to</t>
  </si>
  <si>
    <t xml:space="preserve"> REF. NO./PR NO.:  INFRA2020-PUL-020 / MG-PLM20-075 DESCRIPTION:     Fabrication and Installation of Walkway Shed and Concreting of Pathway- Phase 4 at Kiuntod, Camp 1, Maramag, Bukidnon 1.  Layout 2. Ground Works     a) Excavation     b) Laying and Compac</t>
  </si>
  <si>
    <t xml:space="preserve"> QTY UNIT DESCRIPTION 160 Cu.m Anapog</t>
  </si>
  <si>
    <t xml:space="preserve"> 1,000 ltrs. Gasoline</t>
  </si>
  <si>
    <t xml:space="preserve"> SUPPLY AND DELIVERY OF MATERIALS FOR WOODEN STAGE WITH BACKDROP, STAIRS, PLATFORM AND TOOLS AND LETTERING OF BANNERS AND STREAMER -ORDER OF PAYMENT FOR BID DOCS WILL BE AVAILABLE AT GSD-HEAD OFFICE @ 10TH FLOOR MAKATI CITY HALL BLDG. 2. LOOK FOR MR. REDEN</t>
  </si>
  <si>
    <t xml:space="preserve"> Republic of the Philippines Province of Oriental Mindoro MUNICIPALITY OF PINAMALAYAN OFFICE OF THE BIDS AND AWARDS COMMITTEE Invitation to Bid ITB-2020-51 1.  The Municipal Government of Pinamalayan, Oriental Mindoro, through the authorized appropriations</t>
  </si>
  <si>
    <t xml:space="preserve"> INVITATION TO BID The DPWH Regional Office IX, Veterans Avenue Extension, Tetuan, Zamboanga City, through its Bids and Awards Committee (BAC), invites contractors to submit bids for the following Contract: Contract ID	:	20J00220 Contract Name	:	Constructi</t>
  </si>
  <si>
    <t xml:space="preserve"> Republic of the Philippines PROVINCE OF AGUSAN DEL SUR Municipality of Loreto Invitation to Bid for  Construction of Evacuation Center (Kauswagan) 1.	The Municipality of Loreto, through the TRUST FUND/LGSF-AM 2019 intends to apply the sum of FIVE MILLION </t>
  </si>
  <si>
    <t xml:space="preserve"> Lot 1									 1	Portland Cement							328	bags	260.00 	Terms &amp; Conditions:									 	* The material shall be picked up by the supplier upon a written advice by the project									 	 engineer and shall be delivered at the project site within 10 working d</t>
  </si>
  <si>
    <t xml:space="preserve"> METRO BANGUED WATER DISTRICT							 Bangued, Abra							 							 PURCHASE REQUEST							 							 DIVISION: 	COMMERCIAL						 PR No.     : 	20-08-103						 DATE       : 	18-Aug-20						 							 Item No.	Description	Quantity	Unit	 Unit Cost 	 Amount 		 				</t>
  </si>
  <si>
    <t xml:space="preserve"> INVITATION TO BID The DPWH Regional Office IX, Veterans Avenue Extension, Tetuan, Zamboanga City, through its Bids and Awards Committee (BAC), invites contractors to submit bids for the following Contract: Contract ID	:	20J00223 Contract Name	:	Constructi</t>
  </si>
  <si>
    <t xml:space="preserve"> COMMON OFFICE SUPPLIES AND CONSUMABLES</t>
  </si>
  <si>
    <t xml:space="preserve"> Requesting for Quotation (RFQ) for PR No. 2008286  Interested suppliers are invited to submit Sealed Price Quotations for the above listed items. The Request for Quotation (RFQ) for may be obtained from Mr. Albert A. Camarillo City General Services Office</t>
  </si>
  <si>
    <t xml:space="preserve"> August 21, 2020 REQUEST FOR QUOTATION   										P.R. No.:  032 Supplier:	________________________________     		 Address:	________________________________ 		________________________________ TIN No.:	________________________________ Please quote your low</t>
  </si>
  <si>
    <t xml:space="preserve"> Republic of the Philippines Province of Quezon MUNICIPALITY OF PANUKULAN * * * Invitation to Bid for EXTENSION/CONCRETING OF A.BONIFACIO STREET 1.	The Local Government Unit of Panukulan, Quezon  through the  20% MDF  2020 intends to apply the sum of Five </t>
  </si>
  <si>
    <t xml:space="preserve"> Republic of the Philippines Province of Quezon MUNICIPALITY OF PANUKULAN * * * Invitation to Bid for REHABILITATION OF LINE CANAL 1.	The Local Government Unit of Panukulan, Quezon  through the  GENERAL FUND  2020 intends to apply the sum of Two Hundred On</t>
  </si>
  <si>
    <t xml:space="preserve"> The City Government of Santiago invites interested parties to submit price quotation for the “SUPPLY AND DELIVERY OF ASSISTIVE DEVICES FOR PERSONS WITH DISABILITY OF VARIOUS BARANGAYS“ City Hall, Santiago City, details as follows: ABC: Php 355,835.00 Cont</t>
  </si>
  <si>
    <t xml:space="preserve"> Supplies and materials for covid response for senior high school</t>
  </si>
  <si>
    <t xml:space="preserve"> NOTICE TO THE PUBLIC REQUEST FOR PROPOSAL Purchase Request No: PUR20-08-0690/0691 The Philippine General Hospital hereby informs the public that it will be procuring the following item/s through Small Value Procurement: 			Supply and Delivery of Prepaid C</t>
  </si>
  <si>
    <t xml:space="preserve"> INVITATION TO APPLY FOR ELIGIBILITY AND TO BID FOR THE PROCUREMENT OF EGG MACHINE CAGE, PULLETS, FEEDS AND BIOLOGICS FOR EGG PRODUCTION UNDER THE LIVELIHOOD SUPPORT FOR WOMEN IN CRISIS SITUATION, COMPONENT “C” (PACKAGE III), FUNDED UNDER THE PASSOVER: ARB</t>
  </si>
  <si>
    <t xml:space="preserve"> PROVISION OF SECURITY SERVICES FOR NORTHERN MINDANAO Y2020-2022</t>
  </si>
  <si>
    <t xml:space="preserve"> 1 SET/S DESKTOP COMPUTER - WITH COMPLETE ACCESSORIES - 21.5 inches monitor - intel core i5, 3.2ghz or higher processor speed - NvIdia Ge Force (2GB) - 4GB DDRS - 1 tb</t>
  </si>
  <si>
    <t xml:space="preserve"> OFFICE EQUIPMENT,OFFICE SUPPLIES AND CONSUMABLES FOR JUNIOR HIGH SCHOOL</t>
  </si>
  <si>
    <t xml:space="preserve"> LGU -  PAMPLONA, CAMARINES SUR		Project Reference Number:	100-20-08-4448		 			Repair of Anos Fire Truck		 Standard Form Number: SF - GOOD - 60					 Revised on: May 24, 2004					 Standard Form Title: Request for Quotation		Location of the Project: 	Tambo,P</t>
  </si>
  <si>
    <t xml:space="preserve"> The City Government of Santiago invites interested parties to submit price quotation for the “SUPPLY AND DELIVERY OF SNACKS FOR VARIOUS MEETINGS“ City Hall, Santiago City, details as follows: ABC: Php 106,875.00 Contract Duration: 14 calendar days Schedul</t>
  </si>
  <si>
    <t xml:space="preserve"> 3 units of Weaving Machine</t>
  </si>
  <si>
    <t xml:space="preserve"> Republic of the Philippines PROVINCE OF AGUSAN DEL SUR Municipality of Loreto INVITATION TO BID FOR TIRES FOR DUMPTRUCK &amp; MOTOR GRADER OF MUNICIPAL ENGINEERING OFFICE 1.	The Municipality of Loreto, through the GENERAL FUND intends to apply the sum of FIVE</t>
  </si>
  <si>
    <t xml:space="preserve"> 445		set	Portland Cement 				 30		set	Washed Sand				 40		pc	Washed Gravel				 2600		pc	No. 4 CHB				 222		le	12mmØx6m DRB				 262		le	10mmØx6m DRB				 50		kilo	No. 16 G.I. Tie Wire				 123		sht	1/4''thk. Marine Plywood (Forms)				 2		gal	Solignum				 150</t>
  </si>
  <si>
    <t xml:space="preserve"> Please see attached RFQ. ABC: 60,980.00</t>
  </si>
  <si>
    <t xml:space="preserve"> The City Government of Santiago invites interested parties to submit price quotation for the “SUPPLY AND DELIVERY OF IMESSENGER COVID 19 SPECIAL EDITION FOR INFORMATION DISSEMINATION“ City Hall, Santiago City, details as follows: ABC: Php 250,000.00 Contr</t>
  </si>
  <si>
    <t xml:space="preserve"> INVITATION TO BID FOR THE PROCUREMENT OF SECURITY SERVICES FOR OCTOBER TO DECEMBER 2020 FOR THE DEPARTMENT OF AGRARIAN REFORM REGIONAL OFFICE 02 (DARRO 02)  Reference Number:  PBD-20-03   1.	The Department of Agrarian Reform (DAR), through the proposed 20</t>
  </si>
  <si>
    <t xml:space="preserve"> Consumption for September 1-31, 2020   800 liters Diesel 40 ltrs. Gasoline 6 gals. Engine Oil 2 ltrs. Brake Fluid 4 pails Oil 10</t>
  </si>
  <si>
    <t xml:space="preserve"> Republic of the Philippines PROVINCE OF AGUSAN DEL SUR Municipality of Loreto Invitation to Bid for  Construction of Evacuation Center (San Isidro) 1.	The Municipality of Loreto, through the TRUST FUND/LGSF-AM 2019 intends to apply the sum of FIVE MILLION</t>
  </si>
  <si>
    <t xml:space="preserve"> Republic of the Philippines Province of Nueva Vizcaya BIDS AND AWARDS COMMITTTEE (GOODS) BAC OFFICE, Provincial Capitol, Bayombong, Nueva Vizcaya 	 		 REQUEST FOR QUOTATION (RFQ) For the Procurement of Office Supplies For the Provincial Assessment Office </t>
  </si>
  <si>
    <t xml:space="preserve"> Tires</t>
  </si>
  <si>
    <t xml:space="preserve"> INVITATION TO BID FOR Design &amp;Construction of 20 meters Reinforced Concrete Retaining Wall The BUENAVISTA WATER DISTRICT, through the DBP Loanintends to apply the sum ofOne Million Five Hundred Thousand Pesosonly (Php 1,500,000.00) being the Approved Budg</t>
  </si>
  <si>
    <t xml:space="preserve"> Catering Services for the conduct Land Uses and Land Cover at Brgy. Maitom,Manawe,Ferdinand,Mabuhay,Bugdangan,Ilang-ilang,Kapda and BDP Formulation at Brgy. Waloe,Magaud,Sta. Teresa and Nueva Gracia - MPDC  PR# 20-08-0641		 		 120	Person	"Catering Service</t>
  </si>
  <si>
    <t xml:space="preserve"> Shopping . . . .</t>
  </si>
  <si>
    <t xml:space="preserve"> Description   REQUEST FOR QUOTATION (RFQ) The MO through the Bids and Awards Committee (BAC) of the Municipality of Banaybanay, Davao Oriental hereby notifies and invites you to submit your quotation/bid for the hereunder proposed project/request, viz: FO</t>
  </si>
  <si>
    <t xml:space="preserve"> Cardava and Other Variety Banana Production.</t>
  </si>
  <si>
    <t xml:space="preserve"> INVITATION TO BID  for  Concreting of Pathwalk at Cabaoangan Farm to Market Road, Brgy. Siblot, San Nicolas, Pangasinan Solicitation No. PANG-2020-1032 1.	The Provincial Government of Pangasinan, through the Construction, Repair &amp; Maintenance of Various R</t>
  </si>
  <si>
    <t xml:space="preserve"> A. Labor Diagnose Check Engine Replace Clutch Lining Set Replace Brake Cyl Cup &amp; Boot Kit Replace FR Brake Pin Replace Shock Absorber (Both Side) Replace Stabilizer (Both Side) B. Materials 4 pcs. Pin, FR Brake 2 pcs. Cup + Boot Kit, RR Brake Cyl 1 pc. Di</t>
  </si>
  <si>
    <t xml:space="preserve"> 48 Pcs Labor and materials for the fabrication of signboard for Solar Powered Irrigation System and Nursery in Various municipalities in the Region 12 Pcs Labor and materials for the fabrication of signboard for Spring Development Irrigation Project  in V</t>
  </si>
  <si>
    <t xml:space="preserve"> The City Government of San Pedro, Laguna invites interested parties to quote for the following item/s as per request Sangguniang Panlungsod: Qty.	Unit of Issue	Item Description 90	cavan	Well-Milled Rice Forms can be obtained from the BAC Secretariat Aug. </t>
  </si>
  <si>
    <t xml:space="preserve"> Rehabilitation of Multi-Purpose Hall Building (Fence)</t>
  </si>
  <si>
    <t xml:space="preserve"> IMPROVEMENT OF DRAINAGE SYSTEM (CANAL) BLK 15 LOT 1, CARISSA 2A, BRGY. KAYPIAN, CSJDM, BULACAN</t>
  </si>
  <si>
    <t xml:space="preserve"> Please see attached RFQ. ABC: 100,000.00</t>
  </si>
  <si>
    <t xml:space="preserve"> for the Repair and Maintenance of Gymnasium (Nr-009)</t>
  </si>
  <si>
    <t xml:space="preserve"> Label		 		1.Product label design		 1	Pc	1st draft		 1	Pc	Final design		 6,500	Pc	2.Product label Printing</t>
  </si>
  <si>
    <t xml:space="preserve"> 13		rolls	2'' HDPE Pipe SDR11 				 13		pc	2'' dia. PE Straight Coupler				 17		le	2'' dia. G.I Pipe sch40 (Male Threaded Both End) w/ Coupling				 20		pc	2'' dia. G.I Straight Coupling				 6		pc	2'' dia. Gate Valve				 3		pc	2'' G.I Union				 10		pc	2'' d</t>
  </si>
  <si>
    <t xml:space="preserve"> SUPPLY AND DELIVERY OF BRAND NEW TOW TRUCK -ORDER OF PAYMENT FOR BID DOCS WILL BE AVAILABLE AT GSD-HEAD OFFICE @ 10TH FLOOR MAKATI CITY HALL BLDG. 2. LOOK FOR MR. REDEN VILLANUEVA. A COMPLETE SET OF BIDDING DOCUMENTS WILL BE AVAILABLE FROM DAY OF POSTING/</t>
  </si>
  <si>
    <t xml:space="preserve"> Republic of the Philippines CITY OF PANABO Province of Davao del Norte BIDS AND AWARDS COMMITTEE -o0o- REQUEST FOR QUOTATION 1.	 The City of Panabo, through CSWDO – CO – 3 UNITS DESKTOP COMPUTER W/ PRINTER intends to apply the sum of One Hundred Thirty-Fi</t>
  </si>
  <si>
    <t xml:space="preserve"> 1 UNIT PRINTER - . - compact integrated tank design - High yield ink bottles - spill-free,error-free refilling - Print , scan,copy, fax with ADF - Wifi-Fi,Wi-Fi Direct - Bordless printing up to 4R</t>
  </si>
  <si>
    <t xml:space="preserve"> The City Government of Santiago invites interested parties to submit price quotation for the “SUPPLY AND DELIVERY OF RUNNING MESSAGE LED DISPLAY BOARD FOR INFORMATION DISSEMINATION“ City Hall, Santiago City, details as follows: ABC: Php 97,200.00 Contract</t>
  </si>
  <si>
    <t xml:space="preserve"> Fuel consumption</t>
  </si>
  <si>
    <t xml:space="preserve"> Item and Description 90 D LENS-1 SET PLUS GONIO LENS 2 SETS PLEASE ATTACH THE FOLLOWING: 1. PHILGEPS REGISTRATION 2. MAYOR'S PERMIT 3. UPDATED TAX CLEARANCE 4. SEC/DTI/CDA REGISTRATION</t>
  </si>
  <si>
    <t xml:space="preserve"> Name of the Procuring Entity:					Project Reference Number: PR # 100-2020-08-1053 Municipality of Lantapan					Name of the Project:  Standard Form Number: SF-GOOD-60					Procurement of Progestine only Pills 					use for Family Planning of MHO Revised on: </t>
  </si>
  <si>
    <t xml:space="preserve"> Supply, installation, integration, (incorporation to existing ground electrode, metering pump, chlorine analyzer and dosing pump) and commissioning of Automatic and Manual Motor Controller and appurtenances with variable frequency drive,  75hp 460v 60hz, </t>
  </si>
  <si>
    <t xml:space="preserve"> RFQ-2020-258		 			 1.	1	unit	Washing Machine Heavy duty (Fully Automatic washer 14kg) 2.	1	unit	Air conditioner Window type 1.5HP 3.	1	pc	Filing Cabinet (Stainless Steel) 4.	1	pc	Locker big (12 shelves) 5.	1	unit	Computer set 			HP DT Slim S01-PF0127D 			</t>
  </si>
  <si>
    <t xml:space="preserve"> Lot 1										 1	Portland Cement							276	bags	245.00 	Terms and Conditions:									 	The materials shall be for pick up from the supplier within 5 working days 									 	 from the receipt of a written advice by the project engineer.									 	The sup</t>
  </si>
  <si>
    <t xml:space="preserve"> REQUEST FOR QUOTATION For Negotiated Procurement thru Small Value Procurement under Sec. 53.9 of the 2016 Revised IRR of RA 9184 Quotation No.:  2020-08-301 Date: August 20, 2020 PR No.: 20-02-127 (i.1-2,4,6-7) PR Date: February 24, 2020 The Metropolitan </t>
  </si>
  <si>
    <t xml:space="preserve"> OFFICE EQUIPMENT, OFFICE SUPPLIES AND CONSUMABLES FOR SENIOR HIGH SCHOOL</t>
  </si>
  <si>
    <t xml:space="preserve"> Newsletter Magazine (Engineer's Gazette), 100 pcs &amp; 1 other line item</t>
  </si>
  <si>
    <t xml:space="preserve"> 9		UNIT	 LAPTOP (Quad Core Celeron Apollo Lake J3455, 8 Gig DDR3 Memory 				 11		UNIT	PRINTER, 3n1				 11		UNIT	PRINTER, Colored				 1		unit	RISOGRAPH, Digital Duplicator, Full automatic One-Drum stencil system, Digital Desktop, 300x300 DPI				 3		unit	PR</t>
  </si>
  <si>
    <t xml:space="preserve"> QTY./UNIT OF ISSUE/ITEM DESCRIPTION 232 bags Portland Cement 142 pcs 10mm.Øx6.0m. Steel bars 28 pcs 16mm.Øx6m. Reinf. Steel bars 7 pcs ¼”thk. Marine Plywood 6 kgs CW Nails (assorted sizes) 10 kgs #16 Tie Wire 906 pcs 6”thk. Concrete Hollowblocks 10 cu.m. </t>
  </si>
  <si>
    <t xml:space="preserve"> Republic of the Philippines City of Toledo -oOo- BIDS AND AWARDS COMMITTEE ITB No. I30-03-2020 INVITATION TO BID FOR: Proposed Road Opening (Hospital- Hinulawan Road) Brgy.Pobalcion, Toledo City  ( L=162.00m.; W=15.00m.) 1.	The City Government of Toledo u</t>
  </si>
  <si>
    <t xml:space="preserve"> August 21, 2020 REQUEST FOR QUOTATION   										P.R. No.:  033 Supplier:	________________________________     		 Address:	________________________________ 		________________________________ TIN No.:	________________________________ Please quote your low</t>
  </si>
  <si>
    <t xml:space="preserve"> Purchase of Office Equipment, Information and Technology Equipment and Furnitures and Fixtures for Sangguniang Kabataan of Barangay Bolbok, Batangas City</t>
  </si>
  <si>
    <t xml:space="preserve"> The City Government of Santiago invites interested parties to submit price quotation for the “SUPPLY AND DELIVERY OF TRI-WHEELER FOR SCLAO OPERATION USE“ City Hall, Santiago City, details as follows: ABC: Php 186,000.00 Contract Duration: 14 calendar days</t>
  </si>
  <si>
    <t xml:space="preserve"> SUPPLY AND DELIVERY OF BIRTHING BEDS (DELIVERY ROOM TABLE BEDS) -ORDER OF PAYMENT FOR BID DOCS WILL BE AVAILABLE AT GSD-HEAD OFFICE @ 10TH FLOOR MAKATI CITY HALL BLDG. 2. LOOK FOR MR. REDEN VILLANUEVA. A COMPLETE SET OF BIDDING DOCUMENTS WILL BE AVAILABLE</t>
  </si>
  <si>
    <t xml:space="preserve"> SUPPLY, DELIVERY AND INSTALLATION OF VARIOUS IT EQUIPMENT (LAPTOPS, DESKTOPS, NETWORK LAN TESTER AND PROBE) -ORDER OF PAYMENT FOR BID DOCS WILL BE AVAILABLE AT GSD-HEAD OFFICE @ 10TH FLOOR MAKATI CITY HALL BLDG. 2. LOOK FOR MR. REDEN VILLANUEVA. A COMPLET</t>
  </si>
  <si>
    <t xml:space="preserve"> PNEUMATIC TOURNIQUET SET *Function: Twin Tunnels *Digital Pressure Regulator *Inflatable Torniquet Cuffs *Dual Bladder 2 SETS PLEASE ATTACH THE FOLLOWING: 1. PHILGEPS REGISTRATION 2. MAYOR'S PERMIT 3. UPDATED TAX CLEARANCE 4. SEC/DTI/CDA REGISTRATION</t>
  </si>
  <si>
    <t xml:space="preserve"> 1-Year Subscription of Learning Management System Software: 1 LOT I. Specifications: • Up to 200 users and 200 Mb storage • Advance Website Theme, Extra Plugin Pack • Automated Backups, Document Converter • Custom Certificates and Inactive Site Retention </t>
  </si>
  <si>
    <t xml:space="preserve"> 1 unit Waste Pulverizer Functions: For Non-Biodegradable &amp; Residual Waste Specifications: * Capacity: Up to 300kg per hour * Made of Mild Steel Plate, Cold Role Steel, Tool Steel Plate * Driven by 10HP Induction Motor 220V Three Phase, 1800rpm * With push</t>
  </si>
  <si>
    <t xml:space="preserve"> RFQ-2020-259		 			 1.	1	unit	UV Sterilizer Machine 2.	2	unit	Air Purifier 3.	2	pcs	Kendrick traction splint 			 	Deadline for Submission of Bids: August 27, 2020, 11:00 AM		 			PAYMENT TERM: 90 DAYS</t>
  </si>
  <si>
    <t xml:space="preserve"> Please see attached documents Quotations shall be submitted in PERSON to the Administrative Services Department, ASD, Mezzanine Floor, PPA Head Office, South Harbor, Manila. Quotations/documents sent to any other department/s or email address will not be </t>
  </si>
  <si>
    <t xml:space="preserve"> 1.Structural Excavation 2.Sub- Grade preparation 3. Aggregate Sub- Base Coarse 4. Aggregate Base Coarse 5.PCCP 6.Grouted Riprap 7.Road Monument/Marker 8.Project Site Supervisor 9.Construction Safety &amp; Health ( Covid-19 Safety Protocol)</t>
  </si>
  <si>
    <t xml:space="preserve"> Republic of the Philippines Province of Quezon MUNICIPALITY OF PANUKULAN * * * Invitation to Bid for CONCRETING OF PATHWAY-(Municipal Compound) 1.	The Local Government Unit of Panukulan, Quezon  through the  General Fund  2020 intends to apply the sum of </t>
  </si>
  <si>
    <t xml:space="preserve"> for Medical Supplies for Medical Services</t>
  </si>
  <si>
    <t xml:space="preserve"> SUPPLY AND DELIVERY OF PORTABLE REFRIGERATORS FOR BLOOD BAGS -ORDER OF PAYMENT FOR BID DOCS WILL BE AVAILABLE AT GSD-HEAD OFFICE @ 10TH FLOOR MAKATI CITY HALL BLDG. 2. LOOK FOR MR. REDEN VILLANUEVA. A COMPLETE SET OF BIDDING DOCUMENTS WILL BE AVAILABLE FR</t>
  </si>
  <si>
    <t xml:space="preserve"> 1 500 PC/S FOLDER - BROWN ( LONG SIZE ) 2 10 ROLL/S TAPE - TRANSPARENT, 48MM (2") WIDTH, USABLE LENGHT OF 50M 3 15 REAM/S PAPER - BOOK SUBS.20 SHORT ( 8 1/2"X11" ) 4 20 PC/S FOLDER - EXPANDING LONG GREEN 5 20 PC/S ENVELOP - EXPANDING LONG- GREEN W/ SLING </t>
  </si>
  <si>
    <t xml:space="preserve"> PROJECT:  STEEL FENCING OF THE COVERED COURT LOCATION: BARANGAY SAN ISIDRO APPROVED BUDGET FOR THE CONTRACT: PHP 87,690.00 SOURCE OF FUND: 10% SK FUND The contract to be performed by the successful bidder shall be specified in the Technical Quotation Form</t>
  </si>
  <si>
    <t xml:space="preserve"> Republic of the Philippines Province of Quezon MUNICIPALITY OF PANUKULAN * * * Invitation to Bid for IMPROVEMENT OF PACKING HOUSE(POST HARVEST AND PROCESSING FACILITY) 1.	The Local Government Unit of Panukulan, Quezon  through the  General Fund  2020 inte</t>
  </si>
  <si>
    <t xml:space="preserve"> 1 unit  Bio-waste Shredder 2  unit  Weighing Scale 5  unit  Shifter/Mesh Screen</t>
  </si>
  <si>
    <t xml:space="preserve"> For the change oi and repair of Generator Set 1 Pc 400 Amperes Circuit Breaker 3 Phase 1 Gal Water Coolant 1 Pail Diesel Engine Oil 1 Pc Lube Filter 3349 1 Pc Fuel Water Separator 1280 1 Pc Fuel Filter 5052 1 Pc Air Cleaner Element</t>
  </si>
  <si>
    <t xml:space="preserve"> 1 UNIT Desktop PC 1 UNIT Desktop Monitor 1 UNIT BACK-UPS 650 VA, 230V, AVR, Universal Sockets 1 SET Keyboard and Optical Mouse ***nothing follows***</t>
  </si>
  <si>
    <t xml:space="preserve"> LOT A									 1	Unleaded Gasoline							1.00	lot	5,800.00 										 	Terms &amp; conditions:									 	    1. The supplier shall start to serve within three (3) days upon receipt of the advice									 	           from the project engineer until the project</t>
  </si>
  <si>
    <t xml:space="preserve"> Name of the Procuring Entity:					Project Reference Number: PR # 100-2020-08-1053 Municipality of Lantapan					Name of the Project:  Standard Form Number: SF-GOOD-60					Procurement of Various Medicines use for Provision  					of HPN &amp; DM Medication among</t>
  </si>
  <si>
    <t xml:space="preserve"> REF. NO./PR NO.:   INFRA2020-AG5-017 / MG-A5M20-129 DESCRIPTION:       AG5 Construction of Secondary Containment for Transformer Oil at Agus 5 HEP, Barangay Ditucalan, Iligan City 1.	Excavation and Backfilling Works 1.1.	Flooring 1.2.	Column Footing 1.3.	</t>
  </si>
  <si>
    <t xml:space="preserve"> Republic of the Philippines Province of Nueva Vizcaya BIDS AND AWARDS COMMITTTEE (GOODS) BAC OFFICE, Provincial Capitol, Bayombong, Nueva Vizcaya 	 		 REQUEST FOR QUOTATION (RFQ) For the Procurement of 4,500 Sq. Foot Tarpaulin  For the Governor’s Office-E</t>
  </si>
  <si>
    <t xml:space="preserve"> SUPPLY AND DELIVERY OF LABORATORY SUPPLIES (HUMAN IMMUNOVIRUS (HIV) AG/AB COMBO TEST REAGENT FOR AUTOMATED IMMUNOLOGY ANALYZER - SENSOR LEVEL TRIGGER FOR AUTOMATED IMMUNOLOGY ANALYZER) -ORDER OF PAYMENT FOR BID DOCS WILL BE AVAILABLE AT GSD-HEAD OFFICE @ </t>
  </si>
  <si>
    <t xml:space="preserve"> Concreting of Roads - Cluster IV Area Road #16, Barangay Sta. Ines East Road #5, Barangay Sta. Ines East Sagun Road (GAP), Barangay Pob. West Villegas Road (GAP), Barangay Pilpila</t>
  </si>
  <si>
    <t xml:space="preserve"> Republic of the Philippines Central Visayas Region, Region VII Province of Negros Oriental MUNICIPALITY OF SANTA CATALINA Bids and Awards Committee ITB NO.: 2020-09-02-030 INVITATION TO BID FOR THE SUPPLY AND DELIVERY OF TIRES FOR HEAVY EQUIPMENT VEHICLES</t>
  </si>
  <si>
    <t xml:space="preserve"> SUPPLY AND DELIVERY OF HISTOPATHOLOGY EMBEDDING STATION -ORDER OF PAYMENT FOR BID DOCS WILL BE AVAILABLE AT GSD-HEAD OFFICE @ 10TH FLOOR MAKATI CITY HALL BLDG. 2. LOOK FOR MR. REDEN VILLANUEVA. A COMPLETE SET OF BIDDING DOCUMENTS WILL BE AVAILABLE FROM DA</t>
  </si>
  <si>
    <t xml:space="preserve"> Item No.	Item Description	Quantity	Unit of Issue	Estimated Unit Cost (₱)	Total Estimated Cost (₱) 					 1	Complete (14-14-14)	80	bags	 1,100.00 	 88,000.00  2	Urea (46-0-0)	60	bags	 1,000.00 	 60,000.00  3	Fungicide	15	kg	 1,200.00 	 18,000.00  4	Insectic</t>
  </si>
  <si>
    <t xml:space="preserve"> Department of Education						 Region V						 Division of Camarines Sur						 CALABANGA NATIONAL HIGH SCHOOL						 						 REQUEST FOR QUOTATIONS (RFQ)						 						 				Date: August 20, 2020		 				Quotation No.    2020-008-044		 ____________________________</t>
  </si>
  <si>
    <t xml:space="preserve"> IT Equipment  xxxxx nothing follows xxxxxx</t>
  </si>
  <si>
    <t xml:space="preserve"> 1. 10 Unit Desktop Computer     Intel Core i5-944F Processor    MSI - H310 VH Plus/Pro - D Motherboard     Kingstone 4GB DDR4 Memory     500GB Hard Disk Sata    Liteon IHAS24 DVD Writer     Neutron Casing with Power Supply     1 GB Video Card     18.5 Inc</t>
  </si>
  <si>
    <t xml:space="preserve"> Please refer attached.</t>
  </si>
  <si>
    <t xml:space="preserve"> 1 UNIT PRINTER - . - A3 Wi-Fi DUPLEX ALL-IN-ONE INK TANK PRINTER - AUTOMATIC DUPLEX - PRINT SPEED UP TO 32ppm/20ppm - FAX AND ADF CAPABILITY - ETHERNET &amp; Wi-Fi DIRECT</t>
  </si>
  <si>
    <t xml:space="preserve"> REPAIR OF ADMIN BUILDING  (EAVES CEILING, GUTTER, DOWNSPOUTS AND AIR VENTS)</t>
  </si>
  <si>
    <t xml:space="preserve"> Republic of the Philippines PROVINCE OF AGUSAN DEL SUR Municipality of Loreto INVITATION TO BID FOR STORAGE/ARCHIVE OF PUBLIC DOCUMENTS FOR ACCOUNTING OFFICE 1.	The Municipality of Loreto, through the GENERAL FUND intends to apply the sum of TWO HUNDRED F</t>
  </si>
  <si>
    <t xml:space="preserve"> NOTE: ALL ITEMS MUST BE DELIVERED IN ONE PACKAGE           LIST OF ITEMS AND ESTIMATED COST ARE INCLUDED 220 REAMS     BOND PAPER 70 GSM (A4)           195.00             42,900.00 4     BOTTLES  HP56X ORIGINAL TONER          8,000.00             32,000.0</t>
  </si>
  <si>
    <t xml:space="preserve"> 1 2 BTL/S CLEANER - LIQUID GLASS 250ML- SPRAY 2 3 CAN/S DISHWASHING LIQUID - 200ML W/ ANTI-BACTERIAL FORMULA 3 3 PACK/S DETERGENT - POWDER- 500G 4 3 BTL/S TOILET BOWL CLEANER - W/ KILLER VIREX 500ML 5 1 GAL/S BLEACHING SOLUTION 6 2 PC/S BROOM - SOFT- THIC</t>
  </si>
  <si>
    <t xml:space="preserve"> The City Government of Santiago invites interested parties to submit price quotation for the “SUPPLY AND DELIVERY OF TIRE WITH TUBE FOR VARIOUS GOVERNMENT VEHICLES“ City Hall, Santiago City, details as follows: ABC: Php 87,000.00 Contract Duration: 14 cal</t>
  </si>
  <si>
    <t xml:space="preserve"> PURCHASE OF SPAREPARTS &amp; LABOR FEE FOR INSTALLATION</t>
  </si>
  <si>
    <t xml:space="preserve"> Item No.	Item Description	Quantity	Unit of Issue	Estimated Unit Cost (₱)	Total Estimated Cost (₱) 					 1	Plastic pail @ 100 liters	400	pcs	 600.00 	 240,000.00  Place of Delivery: DA-NVES, Tapaya, Villaros, Bagabag, N.V Period of Delivery:  Source of fun</t>
  </si>
  <si>
    <t xml:space="preserve"> Republic of the Philippines City of Toledo -oOo- BIDS AND AWARDS COMMITTEE ITB No. I39-03-2020 INVITATION TO BID FOR: Proposed Road Concreting @ Brgy. Matab-ang, Toledo City (L=1,000.00m.) 1.	The City Government of Toledo under the 20% Development Fund CY</t>
  </si>
  <si>
    <t xml:space="preserve"> The City Government of Santiago invites interested parties to submit price quotation for the “SUPPLY AND DELIVERY OF DIESEL FOR VARIOUS SCHOOLS OPERATION“ City Hall, Santiago City, details as follows: ABC: Php 500,000.00 Contract Duration: 14 calendar day</t>
  </si>
  <si>
    <t xml:space="preserve"> Republic of the Philippines MUNICIPALITY OF AGONCILLO Province of Batangas Tel. No. 043-210-2344/043-210-2117 BARANGAY POOK INVITATION TO BID The LGU – Pook, through its Bids and Awards Committee (BAC), invites suppliers/manufacturers/distributors/contrac</t>
  </si>
  <si>
    <t xml:space="preserve"> 1	Radiator Hose, for MITSUBISHI Pajero SCN-727							2	pcs.	1,800.00 2	Plasti Gage, for MITSUBISHI Pajero SCN-727							10	pcs.	160.00 3	Water Jacket, for MITSUBISHI Pajero SCN-727 							1	pc.	250.00 4	Bearing # 6002, for MITSUBISHI Pajero SCN-727							</t>
  </si>
  <si>
    <t xml:space="preserve"> Republic of the Philippines Province of Nueva Vizcaya BIDS AND AWARDS COMMITTTEE (GOODS) BAC OFFICE, Provincial Capitol, Bayombong, Nueva Vizcaya 	 		 REQUEST FOR QUOTATION (RFQ) For the Procurement of 2 (Two) Licensed Software and 1 (One) 5KW Heavy Duty </t>
  </si>
  <si>
    <t xml:space="preserve"> Supply and Delivery of One Unit Service Pick-Up Truck with complete accessories, all in accordance with the approved specifications, standards and terms &amp; conditions</t>
  </si>
  <si>
    <t xml:space="preserve"> 1.	The Local Government Unit of Mabini, Pangasinan, through the 20% Development Fund CY 2020 intends to apply the sum of One Million Three Hundred Thousand Pesos (PhP1,300,000.00) being the Approved Budget for the Contract (ABC) to payments under the cont</t>
  </si>
  <si>
    <t xml:space="preserve"> 3 pcs. Executive Chair -Executive Highback Chair with armrest -Adjustable gaslift - Polyurethane finish back and seat - Chrome starbase with castor wheels -Color: Black - Dimension: L24" x W25" x H45.5"</t>
  </si>
  <si>
    <t xml:space="preserve"> 1.	The Local Government Unit of Mabini, Pangasinan, through the 20% Development Fund CY 2020 intends to apply the sum of THREE MILLION PESOS (PhP3,000,000.00) being the Approved Budget for the Contract (ABC) to payments under the contract for Construction</t>
  </si>
  <si>
    <t xml:space="preserve"> Soil covering and greening of open dump site with leachate and gas management Location: Brgy. Tagharigue, Calubian, Leyte Total Area: 2,500 sq.m. Completion time: 90 calendar days</t>
  </si>
  <si>
    <t xml:space="preserve"> Please see attached file. You may also access the file posted in the PCC website. Thank you.</t>
  </si>
  <si>
    <t xml:space="preserve"> 5 set Optical Mouse 5 set Laptop ***nothing follows***</t>
  </si>
  <si>
    <t xml:space="preserve"> 2 pcs. HP Laserjet Imaging Drum for HP Printer, LJ Pro M102a</t>
  </si>
  <si>
    <t xml:space="preserve"> 1	Automotive Diesel Fuel							1	Lot	64,880.00 										 	NOTE: Terms and Conditions									 	1. The supplier start to serve within 3 days upon receipt of the advice by the project engineer until the project is completed.									 										 	2. Price Q</t>
  </si>
  <si>
    <t xml:space="preserve"> Republic of the Philippines MUNICIPALITY OF BUENAVISTA INVITATION TO BID FOR SUPPLY AND DELIVERY OF FURNITURE AND FIXTURE FOR MSWD, MPDC AND ACCOUNTING OFFICE, ICT EQUIPMENT FOR AGRICULTURE AND BMPS OFFICEE    1.	The Local Government Unit of Buenavista, M</t>
  </si>
  <si>
    <t xml:space="preserve"> The City Government of Santiago invites interested parties to submit price quotation for the “SUPPLY AND DELIVERY OF OFFICE EQUIPMENT FOR CITY CIVIL REGISTRAR OFFICE USE“ City Hall, Santiago City, details as follows: ABC: Php 148,745.00 Contract Duration:</t>
  </si>
  <si>
    <t xml:space="preserve"> The City Government of Santiago invites interested parties to submit price quotation for the “SUPPLY AND DELIVERY OF FUNERAL WREATH FOR THE DECEASED CONSTITUENT OF SANTIAGO CITY“ City Hall, Santiago City, details as follows: ABC: Php 200,000.00 Contract D</t>
  </si>
  <si>
    <t xml:space="preserve"> PLEASE SEE ATTACHED REQUEST FOR QUOTATION</t>
  </si>
  <si>
    <t xml:space="preserve"> 2 pcs. Starter Assembly, 12 volts ********************************** Purpose: For Philippine National Police use.</t>
  </si>
  <si>
    <t xml:space="preserve"> Republic of the Philippines PROVINCE OF AGUSAN DEL SUR Municipality of Loreto INVITATION TO BID FOR CATERING SERVICES FOR PEACE BUILDING COMMUNICATIONS: CONFLICT RESOLUTION SKILLS &amp; STRATEGIES FOR LUPONG TAGAPAMAYAPA 1.	The Municipality of Loreto, through</t>
  </si>
  <si>
    <t xml:space="preserve"> 20NA0080 Contract Name:	Construction of Quarantine Facility inAgusan del Norte Location:	Nasipit, Agusan del Norte _____________________________________________________________________________________________   Republic of the Philippines DEPARTMENT OF PU</t>
  </si>
  <si>
    <t xml:space="preserve"> The City Government of Santiago invites interested parties to submit price quotation for the “SUPPLY AND DELIVERY OF MEALS FOR THE MEETING OF PERSONAL CONCERNING COVID 19 UPDATES WITH THE CHIEF EXECUTIVES“ City Hall, Santiago City, details as follows: ABC</t>
  </si>
  <si>
    <t xml:space="preserve"> Printing of Learning Modules to be Utilized for Two Weeks Lessons</t>
  </si>
  <si>
    <t xml:space="preserve"> nternet Cable - CAT 6E Outdoor UTP Cable 150m  1 box</t>
  </si>
  <si>
    <t xml:space="preserve"> 1. 10 pcs Toner (TK -1175)  Purpose: Office use End - user: Office of the City Mayor (Liaison Office)</t>
  </si>
  <si>
    <t xml:space="preserve"> 3 UNIT PRINTER - ( 3 IN 1 ) - Color Print Inkjet Printer - Print Resolution 5760 x 1440 DPI - Print Speed : Black 33PPM COLOR 15PPM - Paper Size: 10x15cm - 13x18cm - 9-13cm A4 Letter ( 80 1/2 x 11 in )</t>
  </si>
  <si>
    <t xml:space="preserve"> The City Government of Santiago invites interested parties to submit price quotation for the “SUPPLY AND DELIVERY OF PAINTING MATERIALS FOR PAINTING OF CITY HALL PARK“ City Hall, Santiago City, details as follows: ABC: Php 217,275.00 Contract Duration: 14</t>
  </si>
  <si>
    <t xml:space="preserve"> ITEM NO      DESCRIPTION     QTY   UNIT OF ISSUE    EST. UNIT COST    ESTIMATED COST 1            Rice bran @40 kg   250    bags    800      200,000.00 ABC            200,000.00</t>
  </si>
  <si>
    <t xml:space="preserve"> Republic of the Philippines Province of Nueva Vizcaya BIDS AND AWARDS COMMITTTEE (GOODS) BAC OFFICE, Provincial Capitol, Bayombong, Nueva Vizcaya 	 		 REQUEST FOR QUOTATION (RFQ) For the Procurement of Licensed Software Tool For the Governor’s Office-Prov</t>
  </si>
  <si>
    <t xml:space="preserve"> Purchase of 3 Desktop and 5 CPU units 3 Units Desktop    Specifications:            Processor:   Intel Core i5-9400(FCLGA1151)            Mainboard:  MSI H310M PRO-VH            Memory:  8GB RAM DDR4            HDD: WD 1TB            Optical Drive :  CD/D</t>
  </si>
  <si>
    <t xml:space="preserve"> 4 units External Hard Drive Back-Up, 4TB</t>
  </si>
  <si>
    <t xml:space="preserve"> 1 10 REAM/S PAPER - BOOK A4,210MMX297MM,MIN OF 70GSM 2 5 REAM/S PAPER - BOND-SUBS.16,SHORT (8 1/2"X11") 3 10 BOX/S COMPUTER FORMS - 4 PLY 11inx9 1/2in 4 24 ROLL/S TOILET TISSUE - TWIN PLY 5 5 PC/S STAPLE WIRE - #35 6 1 BOX/S CLIP - PAPER-VINYL COATED ( BI</t>
  </si>
  <si>
    <t xml:space="preserve"> 2	Roll	Mylar Film, 50 meters clear and transparent 3	Roll	Acetate, Plastic Acetate gauge # 20, 50m/roll 1	Roll	Acetate, Plastic Acetate gauge # 16, 50m/roll 4	ream	Cellophane, 100 x 85 cm, 500pcs/ream 2515	piece	PE Plastic Bag, 8" x 12" x 0.005, 1kg cap. </t>
  </si>
  <si>
    <t xml:space="preserve"> To support the procurement of 2 Shaft Axle PN: APE4067 for use in the Unscheduled Maintenance of N 22 Aircraft</t>
  </si>
  <si>
    <t xml:space="preserve"> INVITATION TO BID   			Date: August 19, 2020 Contract No.:MDF2019-008/08-19-2020 1. The  Municipality of Aliaga, allotted funds under 20% Municipal Development Funds for FY 2019 for the Construction of Infrastructure Projects. The  Municipal Government of</t>
  </si>
  <si>
    <t xml:space="preserve"> Isoprophyl Alcohol (70%) Zonrox Disinfectant Solution (cidex) Chlorine</t>
  </si>
  <si>
    <t xml:space="preserve"> 1. Structural Excavation 2. Sub Grade Preparation 3. Aggregate Sub Base Course 4. Aggregate Base Course 5. Portland Cement Concrete Pavement (150 mm PCCP) 6. Grouted Riprap 7. Road Monument/Project Marker 8. Project Site Supervisor 9. Construction Safety </t>
  </si>
  <si>
    <t xml:space="preserve"> Please see attached Invitation to Bid and Technical Specification</t>
  </si>
  <si>
    <t xml:space="preserve"> OFFICE OF THE BIDS AND AWARDS COMMITTEE (BAC)                                                                                                     Notice No     : 2020-359                                                                                     </t>
  </si>
  <si>
    <t xml:space="preserve"> office supplies</t>
  </si>
  <si>
    <t xml:space="preserve"> The City Government of Santiago invites interested parties to submit price quotation for the “SUPPLY AND DELIVERY OF OFFICE EQUIPMENT FOR BFP OFFICE USE“ City Hall, Santiago City, details as follows: ABC: Php 88,250.00 Contract Duration: 14 calendar days </t>
  </si>
  <si>
    <t xml:space="preserve"> The City Government of Santiago invites interested parties to submit price quotation for the “SUPPLY AND DELIVERY OF VEHICLE PARTS FOR REPLACEMENT PARTS OF TRACTORS KUBOTA“ City Hall, Santiago City, details as follows: ABC: Php 163,180.00 Contract Duratio</t>
  </si>
  <si>
    <t xml:space="preserve"> Philippine Carabao Center invites a Philgeps Registered to supply for 1 Unit Tractor Starter (Model Kubota 8030) with an approved ABC of Php75,500.00 Suppliers must attached their Certificate of Philgeps Certificate, Business Permit/Mayors Permit For more</t>
  </si>
  <si>
    <t xml:space="preserve"> SUPPLY AND DELIVERY OF MEDICAL SUPPLIES FOR DAILY OPERATION OF OSPITAL NG MAKATI (CATHETER, INTRAJUGULAR - CLOSED IV CATHETER SYSTEM) THROUGH ORDERING AGREEMENT -ORDER OF PAYMENT FOR BID DOCS WILL BE AVAILABLE AT GSD-HEAD OFFICE @ 10TH FLOOR MAKATI CITY H</t>
  </si>
  <si>
    <t xml:space="preserve"> Bond paper (Long Size, Sub 20) Bond paper (Short Size, Sub 20) Bond paper (A4 size, Sub 20) Universal Ink- Black,100ml Universal Ink- Black 1 Liter Epson 003, Black Brother- BTD60BK Gun Tacker Wire (8mm) Plastic Cover, Thick Alcohol, 70% solution, 1 gal T</t>
  </si>
  <si>
    <t xml:space="preserve"> 10 heads Swine Specification: 1. Swine for breeding &amp; fattening 2. Ready to breed swine 3. Hybrid large white landrace gilts, 6-8 months old at least 70-80 kilos ********************************************************** Purpose: For livelihood of our loc</t>
  </si>
  <si>
    <t xml:space="preserve"> The Local Government Unit of CONNER, through the DSWD LCPC-2020 intends to apply the sum of Three Hundred Seventy-One Thousand Four Hundred Sixty Seven   Pesos and 64/100 Centavos Only (₱ 371,467.64) being the Approved Budget for the Contract (ABC) to pay</t>
  </si>
  <si>
    <t xml:space="preserve"> 60 pairs Men's High Cut Rubber Rain Boots, Black with orange sole, without Steel toe (Large - 42 pairs; Medium - 10 pairs) 10 pairs Ladies Printed Waterproof Short Rain Boots ( Large 2 Pairs; Medium- 2 pairs)</t>
  </si>
  <si>
    <t xml:space="preserve"> POSTED</t>
  </si>
  <si>
    <t xml:space="preserve"> The Philippine Statistics Authority - Regional Statistical Service Office National Capital Region (PSA-RSSO NCR) invites interested suppliers / bidders to submit their quotations / proposals for the hereunder requirements: 1.	Mayor’s Permit 2.	PhilGeps Re</t>
  </si>
  <si>
    <t xml:space="preserve"> REQUEST FOR QUOTATION Purchase of Generator Set to be used as Back-up Power Supply for the College of Engineering Buildings The Bicol University, through the Corporate Budget for the contract approved by the Board of Regents intends to apply the sum of Tw</t>
  </si>
  <si>
    <t xml:space="preserve"> SUPPLY AND DELIVERY OF MEDICAL SUPPLIES FOR DAILY OPERATION OF OSPITAL NG MAKATI (OR GOWN WITH LOGO - PLASTIC FOR PILLOW) -ORDER OF PAYMENT FOR BID DOCS WILL BE AVAILABLE AT GSD-HEAD OFFICE @ 10TH FLOOR MAKATI CITY HALL BLDG. 2. LOOK FOR MR. REDEN VILLANU</t>
  </si>
  <si>
    <t xml:space="preserve"> RFQ No. 2020-00____ 								                                 Date_____________ REQUEST FOR QUOTATION SUPPLY AND DELIVERY of Supplies for Laboratory, Pre and Post Natal, Family Planning and TB Dots for Official use of the MHO 3rd Quarter 2020 The Municipal</t>
  </si>
  <si>
    <t xml:space="preserve"> Headset - Wired, Over-Ear Headset - Wireless, In- Ear Headset - Wireless, Over-Ear</t>
  </si>
  <si>
    <t xml:space="preserve"> The City Government of Santiago invites interested parties to submit price quotation for the “SUPPLY AND DELIVERY OF AGRICULTURAL SUPPLIES FOR TANIM PUNO PROJECT“ City Hall, Santiago City, details as follows: ABC: Php 756,000.00 Contract Duration: 14 cale</t>
  </si>
  <si>
    <t xml:space="preserve"> Requesting for Quotation (RFQ) for PR No. 2007181  Interested suppliers are invited to submit Sealed Price Quotations for the above listed items. The Request for Quotation (RFQ) for may be obtained from Mr. Albert A. Camarillo City General Services Office</t>
  </si>
  <si>
    <t xml:space="preserve"> Freezer, 10 cu.ft chest freezer and 8 other Line Items</t>
  </si>
  <si>
    <t xml:space="preserve"> SCOPE OF WORK: I. PROJECT BILLBOARD/SIGNAGE- 1.00 UNIT II. CLEARING AND GRUBBING- 572.00 SQ.M III. FORMWORKS AND SCAFFOLDING- 1,108.00 CU.M IV. STRUCTURAL CONCRETE- 182.00 CU.M V. MASONARY WORKS- 730.40 SQ.M VI. ELECTRICAL WORKS- 70.00 OUTLETS VII. PLUMBI</t>
  </si>
  <si>
    <t xml:space="preserve"> -  STRUCTURE EXCAVATION  -  EMBANKMENT                                         – REINFORCED CONCRETE BLEACHER -  MASONRY UNITS (BLEACHER)                 – PLAIN CEMENT PLASTER FINISH (BLEACHER) -  STRUCTURAL METAL                                – PREPAIN</t>
  </si>
  <si>
    <t xml:space="preserve"> INVITATION TO BID       FURNISHING AND DELIVERY OF GOODS 1.	The Local Government Unit of Juban intends to apply the sum of FIVE HUNDRED THIRTY FOUR THOUSAND FIVE HINDRED FIFTY FIVE PESOS (Php 534,555.00) being the Approved Budget for the Contract (ABC) to</t>
  </si>
  <si>
    <t xml:space="preserve"> OFFICE OF THE BIDS AND AWARDS COMMITTEE (BAC)                                                                                                     Notice No     : 2020-360                                                                                     </t>
  </si>
  <si>
    <t xml:space="preserve"> Requesting for Quotation (RFQ) for PR No. 2007176  Interested suppliers are invited to submit Sealed Price Quotations for the above listed items. The Request for Quotation (RFQ) for may be obtained from Mr. Albert A. Camarillo City General Services Office</t>
  </si>
  <si>
    <t xml:space="preserve"> The City Government of Santiago invites interested parties to submit price quotation for the “SUPPLY AND DELIVERY OF OFFICE EQUIPMENT FOR CITY BUDGET OFFICE USE“ City Hall, Santiago City, details as follows: ABC: Php 164,570.00 Contract Duration: 14 calen</t>
  </si>
  <si>
    <t xml:space="preserve"> No.	QTY.	UNIT	ITEM DESCRIPTION 1	1	set	0.80m x 0.60m Steel Casement Window with built-in Grills (Including Installed 1/8" Bronze Glass) 2	27	sq.m.	10 sets prefabricated 1.80m x 1.50m Aluminum Window Screen with Complete mechanism 3	0.96	sq.m.	2 sets prefa</t>
  </si>
  <si>
    <t xml:space="preserve"> Republic of the Philippines Province of Nueva Vizcaya BIDS AND AWARDS COMMITTTEE (GOODS) BAC OFFICE, Provincial Capitol, Bayombong, Nueva Vizcaya 	 		 REQUEST FOR QUOTATION (RFQ) For the Procurement of Vehicle Parts for BM Byron Sevillena For the Sangguni</t>
  </si>
  <si>
    <t xml:space="preserve"> Republic of the Philippines Province of Iloilo  BIDS AND AWARDS COMMITTEE REQUEST FOR QUOTATION Quotation No.AGR-20-0987-NP(SV) Reference PR No. AGR-20-0987 August 17, 2020 ______________________________ ______________________________ ____________________</t>
  </si>
  <si>
    <t xml:space="preserve"> Supply and delivery of the following:								 											 1	10	pcs	Prepaid Card, SUN, 300 denomination						Php__________		Php___________ 2	6	pcs	Prepaid Card, GLOBE, 500 denomination						Php__________		Php___________ 3	12	pcs	Prepaid Card, SMART, 500 de</t>
  </si>
  <si>
    <t xml:space="preserve"> 1 Pc Hand /Manual Eyelet Puncher for tarpauline 2,500 Pc Eyelet for Tarpaulin (size #000 1/4") (11.5mm outside diameter) (6mm inside diameter) 15 Rolls Tarpaulin (5.2 x 164 ft)</t>
  </si>
  <si>
    <t xml:space="preserve"> ALBAY 3RD DISTRICT ENGINEERING OFFICE																																						 Paulog, Ligao City																																						 																																						 																																						 INVITATION TO BID																											</t>
  </si>
  <si>
    <t xml:space="preserve"> Date: August 12, 2020 RFQ No.: 2020-08- PR No.: 2020-08-575 To All Eligible Suppliers Please quote your lowest price inclusive of VAT on the item/s listed below, subject to the Terms and Conditions of this RFQ, for more information please call Telephone N</t>
  </si>
  <si>
    <t xml:space="preserve"> PROCUREMENT OF THE FOLLOWING SERVICES: CONCRETING OF 180 LINEAR METERS x 40 CM HEIGHT CANAL MADE OF BOULDERS. A, MATERIALS B. LABOR FOR MORE DETAILS VISIT THE BARANGAY</t>
  </si>
  <si>
    <t xml:space="preserve"> SUPPLY AND DELIVERY OF MEDICAL SUPPLIES FOR DAILY OPERATION OF OSPITAL NG MAKATI (WIPES - PERIPHERAL NERVE BLOCKS NEEDLE) THROUGH ORDERING AGREEMENT -ORDER OF PAYMENT FOR BID DOCS WILL BE AVAILABLE AT GSD-HEAD OFFICE @ 10TH FLOOR MAKATI CITY HALL BLDG. 2.</t>
  </si>
  <si>
    <t xml:space="preserve"> PROCUREMENT OF THE FOLLOWING SERVICES: CONCRETING OF 410 LINEAR METERS x 0.60 METERS WIDTH x 0.10 METERS THICK CONCRETE PATHWAY. A, MATERIALS B. LABOR C. HAULING SERVICE FOR MORE DETAILS VISIT THE BARANGAY</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</si>
  <si>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</si>
  <si>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Section I. Invitation to Bid   Provincial Government of Isabela SUPPLY AND DELIVERY BRAND NEW AUV 2.8L, 4 CYLINDER, DIESEL, AT, WITH 3 YEARS LTO REGISTRATION The Provincial Government of Isabela, through the PGI FUND intends to apply the sum of One Millio</t>
  </si>
  <si>
    <t xml:space="preserve"> REQUEST FOR QUOTATION (Small Value Procurement) Company Name		:	______________________	Date: _______________________ Address			:	______________________	Quotation No. CWD 42-2020                                                               _______________</t>
  </si>
  <si>
    <t xml:space="preserve"> Other Supplies and Materials</t>
  </si>
  <si>
    <t xml:space="preserve"> please see attached file... note: the attached PQF has no signature of the canvasser</t>
  </si>
  <si>
    <t xml:space="preserve"> Project ID No. -------------------------------: ID NO. MAA-SAR-INF-006-2020 Title of Project ------------------------------: Concreting of San Felipe Blvd. Location of the Project ----------------------: Barangay Poblacion Date of Bidding ----------------</t>
  </si>
  <si>
    <t xml:space="preserve"> Food Supplies</t>
  </si>
  <si>
    <t xml:space="preserve"> Thirty (30) pck, Siver Trace Electrodes 50mm Round, Clear Tape Solid Gel and 50 Other line items.</t>
  </si>
  <si>
    <t xml:space="preserve"> 1 kit Repair Kit, Fresh Water Pump 519738</t>
  </si>
  <si>
    <t xml:space="preserve"> A) Brgy. Vega				 	1		lot		Electrical Material Hardwares			 	1		lot		Concrete/Steel Poles			 	1		lot		Metering Accessories			 	1		lot		Transformer, 1-50 KVA (Brand New)			 	1		lot		Mounting of 1-50 KVA Transformer			 	1		lot		Labor			 								 B) Brgy. Ma</t>
  </si>
  <si>
    <t xml:space="preserve"> PURCHASE OF COMPUTER  PERIPHERALS/ACCESORIES</t>
  </si>
  <si>
    <t xml:space="preserve"> Please see attached file . . . .</t>
  </si>
  <si>
    <t xml:space="preserve"> Project ID No. -------------------------------: ID NO. MAA-SAR-INF-007-2020 Title of Project ------------------------------: Concreting of Macnit Road Location of the Project ----------------------: Barangay Nomoh Date of Bidding -------------------------</t>
  </si>
  <si>
    <t xml:space="preserve"> Training Supplies</t>
  </si>
  <si>
    <t xml:space="preserve"> -</t>
  </si>
  <si>
    <t xml:space="preserve"> TECHNICAL SPECIFICATIONS			 1	within SEPTEMBER 1-2, 2020		 2	Venue:		 	a. Within AGUSAN DEL NORTE		 	b. Accessible to commuting public		 	c. Function Room can accommodate 60 participants		 	e. Function Hall, Accommodation, and Parking Space located in the</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</si>
  <si>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</si>
  <si>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Gravelling of Barangay Road at Prk.Matinabangon to Malaumon, Brgy. Mudan, Glan Sarangani Province</t>
  </si>
  <si>
    <t xml:space="preserve"> The Department of the Interior and Local Government Region XII (DILG-XII), through its Regional Bids and Awards Committee (RBAC), hereby invites all interested suppliers registered with the Philippine Government Electronic Procurement System (PhilGEPS), t</t>
  </si>
  <si>
    <t xml:space="preserve"> INVITATION TO BID REHABILITATION OF PERIMETER FENCE 	The Local Government Unit of Rizal, Cagayan intends to apply the sum of SEVENTY THOUSAND PESOS (P70,000.00) being the Approved Budget for the Contract (ABC) for the REHABILITATION OF PERIMETER FENCE  fr</t>
  </si>
  <si>
    <t xml:space="preserve"> INVITATION TO QUOTE Date:  August 24, 2020 1.	The Provincial Government of Davao del Sur, through its Bids and Awards Committee (BAC), invites all interested bidders/suppliers to quote for the following goods under Alternative Methods of Procurement ([Sho</t>
  </si>
  <si>
    <t xml:space="preserve"> A4 BOND PAPER	5 REAMS STAMP PAD 	1 PC STAPLER	1 PC STAPLE WIRE	1 PC FOLDER (LONG)	100 PCS TAPE DISPENSER	1 PC SHARPENER	1 PC ELMER’S GLUE BIG	2 PCS BINDER CLIPS SMALL	2 BOXES BINDER CLIPS BIG	2 BOXES BROWN ENVELOPE (LONG)	50 PCS BLACK BALLPEN	1 BOX SCISSO</t>
  </si>
  <si>
    <t xml:space="preserve"> 1.	The Department of Education – Schools Division Office of Pasig City, through the GAA CY 2020 – Basic Education Facilities Fund (BEFF)  intends to apply the sum of Twenty-Six Million, Four Hundred Seventy-Eight Thousand One Hundred Ninety Pesos and Sixt</t>
  </si>
  <si>
    <t xml:space="preserve"> Procurement of Various Common-Used Supplies for COVID-19 box	Surgical Face Max, 3-ply, 50/box		150	 580.00 	 87,000.00  pack	Nitrile Gloves, 100/pack, L, XL		55	 550.00 	 30,250.00  gal	Alcohol, 70% Ethyl/Isopropyl		95	 800.00 	 76,000.00  bttls	Alcohol, </t>
  </si>
  <si>
    <t xml:space="preserve"> 1. The Amulung Water District (AMWADI) through the Bids and Awards Committee of the Local Government Unit of the Municipality of Amulung, Cagayan and through a loan from LWUA under the FY 2017 GAA, intends to apply the sum of Php 2,001,706.85 being the Ap</t>
  </si>
  <si>
    <t xml:space="preserve"> INVITATION TO QUOTE Date:  August 24, 2020 1.	The Provincial Government of Davao del Sur, through its Bids and Awards Committee (BAC), invites all interested bidders/suppliers to quote for the following goods under Alternative Methods of Procurement (Smal</t>
  </si>
  <si>
    <t xml:space="preserve"> Republic of the Philippines MUNICIPALITY OF QUEZON Province of Quezon INVITATION TO BID Date	: August 3, 2020 The Municipality of Quezon, through its Bids and Awards Committee (BAC), invites supplier/manufactures/distributors/contractors to apply for elig</t>
  </si>
  <si>
    <t xml:space="preserve"> Please quote your lowest price on the CONSTRUCTION OF PUMPHOUSE AT BRGY. VEGA BONGABON, NUEVA ECIJA UNDER CONSTRUCTION OF WATER SUPPLY PROJECT FOR BONGABON WATER DISTRICT subject to the conditions listed below, stating the shortest time of delivery and su</t>
  </si>
  <si>
    <t xml:space="preserve"> Catering Services in the Conduct of Workshop Cum Stakeholders Consultation Meeting with the People's Organization in Line with the Preparation of Five (5) Year Reforestation / Rehabilitation / Restoration Plan for the Enhanced National Greening Program wi</t>
  </si>
  <si>
    <t xml:space="preserve"> PRINTING OF JHS MODULES FOR THE FIRST WEEK</t>
  </si>
  <si>
    <t xml:space="preserve"> Repair/Rehabilitation of Multi-Purpose Building with Facilities</t>
  </si>
  <si>
    <t xml:space="preserve"> Republic of the Philippines Department of Education Region VI – Western Visayas DIVISION OF AKLAN Poblacion, Numancia, Aklan INVITATION TO BID Project No.: DepED-RO6-D1-2020QRF(REPAIR)REBID-C2-059-2020 The Department of Education (DepED) Division of Aklan</t>
  </si>
  <si>
    <t xml:space="preserve"> 20E00102-R1: Cluster 8- Rehabilitation/Reconstruction of Roads with Slips, Slope Collapse and Landslide along San Jose-Port Barton Road Section  K0010+711.40 - K0010+795; K0013+060 – K0013+122.50; K0013+140 – K0013+210; K0013+250 – K0013+336.30, Palawan  </t>
  </si>
  <si>
    <t xml:space="preserve"> 1. The Department of Agrarian Reform-Kalinga through the Government of the Philippines General Appropriations Act, 2020 Current Fund for CRFPSP intends to apply the sum of: PhP 3,610,000.00 for LOT 1, SUPPLY, DELIVERY AND INSTALLATION OF AGRICULTURAL MACH</t>
  </si>
  <si>
    <t xml:space="preserve"> INVITATION TO BID CONSTRUCTION OF DAY CARE KITCHEN 	The Local Government Unit of Rizal, Cagayan intends to apply the sum of ONE HUNDRED SIXTY ONE THOUSAND SIX HUNDRED EIGHTY ONE PESOS AND 40/100. (P161,681.40) being the Approved Budget for the Contract (A</t>
  </si>
  <si>
    <t xml:space="preserve"> Republic of the Philippines Department of Education Region VI – Western Visayas DIVISION OF AKLAN Poblacion, Numancia, Aklan INVITATION TO BID Project No.: DepED-RO6-D1-2020BEFFGABALDONREPAIR-057-2020 The Department of Education (DepED) Division of Aklan,</t>
  </si>
  <si>
    <t xml:space="preserve"> Page 1 of 3 Invitation to Bid 20GFC0060-62 Republic of the Philippines DEPARTMENT OF PUBLIC WORKS AND HIGHWAYS CAMARINES NORTE DISTRICT ENGINEERING OFFICE REGIONAL OFFICE V Daet, Camarines Norte INVITATION TO BID The Department of Public Works and Highway</t>
  </si>
  <si>
    <t xml:space="preserve"> Republic of the Philippines Department of Education Region VI – Western Visayas DIVISION OF AKLAN Poblacion, Numancia, Aklan INVITATION TO BID Project No.: DepED-RO6-D1-2020QRF(REPAIR)REBID-C1-058-2020 The Department of Education (DepED) Division of Aklan</t>
  </si>
  <si>
    <t xml:space="preserve"> RESOLUTION ON PRIOR APPROVAL NO. 08-123                   Series of 2020 		 RESOLUTION RECOMMENDING THE USE OF ALTERNATIVE METHOD OF PROCUREMENT FOR  THE ACQUISITION OF GOODS AND SERVICES WHEREAS, various departments/offices submitted Purchase Requests wi</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</si>
  <si>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</si>
  <si>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INVITATION TO BID FOR Procurement of BIOSAFETY CABINET CLASS II TYPE 2A / A2 The Quirino Memorial Medical Center, through the INCOME FUND – CAPITAL OUTLAY intends to apply the sum of ONE MILLION PESOS ONLY (PHP 1,000,000.00) being the Approved Budget for </t>
  </si>
  <si>
    <t xml:space="preserve"> Rehabilitation of school clinic (partition,repainting) Labor</t>
  </si>
  <si>
    <t xml:space="preserve"> WHEREAS, various departments/offices submitted Purchase Requests with the following details: PR No. Project Title ABC Department/ Office GF-20-02-00132 Uninterruptible Power Supply P 8,440.00 Human Resource Management Department GF-20-02-00322 Generator a</t>
  </si>
  <si>
    <t xml:space="preserve"> Republic of the Philippines MUNICIPALITY OF QUEZON Province of Quezon INVITATION TO BID Date	: August 25, 2020 The Municipality of Quezon, through its Bids and Awards Committee (BAC), invites supplier/manufactures/distributors/contractors to apply for eli</t>
  </si>
  <si>
    <t xml:space="preserve"> Republic of the Philippines Department of Education Region VI – Western Visayas DIVISION OF AKLAN Poblacion, Numancia, Aklan INVITATION TO BID Project No.: DepED-RO6-D1-2020QRF(REPAIR)REBID-C3-060-2020 The Department of Education (DepED) Division of Aklan</t>
  </si>
  <si>
    <t xml:space="preserve"> Republic of the Philippines Department of Education Region VI – Western Visayas DIVISION OF AKLAN Poblacion, Numancia, Aklan INVITATION TO BID Project No.: DepED-RO6-D1-2020QRF(REPAIR)REBID-C6-063-2020 The Department of Education (DepED) Division of Aklan</t>
  </si>
  <si>
    <t xml:space="preserve"> Other Supplies &amp; Materials</t>
  </si>
  <si>
    <t xml:space="preserve"> INVITATION TO BID   The Municipality of General Luna, Quezon, through its Bids and Awards Committee (BAC), invites contractors registered with and classified by the Philippine Contractors Accreditation Board (PCAB) to apply for the eligibility and to bid:</t>
  </si>
  <si>
    <t xml:space="preserve"> RESOLUTION ON PRIOR APPROVAL NO. 07-111 Series of 2020 RESOLUTION RECOMMENDING THE USE OF ALTERNATIVE METHOD OF PROCUREMENT FOR THE ACQUISITION OF GOODS AND SERVICES WHEREAS, various departments/offices submitted Purchase Requests with the following detai</t>
  </si>
  <si>
    <t xml:space="preserve"> Location Brgy. Tayong Occidental, Loay, Bohol materials: form lumber GI Pipe welding rod cutting desk steel plate</t>
  </si>
  <si>
    <t xml:space="preserve"> INVITATION TO BID COMPLETION OF BARANGAY HALL 	The Local Government Unit of Rizal, Cagayan intends to apply the sum of ONE HUNDRED FIFTY-ONE THOUSAND PESOS (P151,000.00) being the Approved Budget for the Contract (ABC) for the COMPLETION OF BARANGAY HALL </t>
  </si>
  <si>
    <t xml:space="preserve"> Republic of the Philippines LOCAL GOVERNMENT UNIT OF GINGOOG BIDS AND AWARDS COMMITTEE Gingoog City 	INVITATION TO BID	 PURCHASE OF RESCUE EQUIPMENT UNDER P.R. NO. 80-20-07-101 1.	The Local Government Unit of Gingoog City, through the Budget for the contr</t>
  </si>
  <si>
    <t xml:space="preserve"> 20E00103-R1: Cluster 9- Rehabilitation / Reconstruction of Roads with Slips, Slope Collapse and Landslide along San Jose-Port Barton Road Section K0014+118.90 – K0014+200.00; K0014+840 – K0014+921.40; K0015+232 – K0015+291.90; K0015+156.50 – K0015+220.00,</t>
  </si>
  <si>
    <t xml:space="preserve"> Republic of the Philippines Department of Education Region VI – Western Visayas DIVISION OF AKLAN Poblacion, Numancia, Aklan INVITATION TO BID Project No.: DepED-RO6-D1-2020QRF(REPAIR)REBID-C8-065-2020 The Department of Education (DepED) Division of Aklan</t>
  </si>
  <si>
    <t xml:space="preserve"> Supply and delivery of rehabilitations supply for the PDL of BJMPR-IX for period of September, CY 2020.</t>
  </si>
  <si>
    <t xml:space="preserve"> Location: Tocdog Dacu, Loay, Bohol To include well drilling. Installation of PVC pipe casing shall be shouldered by BLGU Materials/ Description: well drilling with 8" diameter borehole with 6" diameter casing PVC Pipe  4"x10" casing with installation proj</t>
  </si>
  <si>
    <t xml:space="preserve"> RFQ 033 Procurement of Tap Water (Reposting) 2000 Drums ( at 200 Liters per Drum)</t>
  </si>
  <si>
    <t xml:space="preserve"> Republic of the Philippines Department of Education Region VI – Western Visayas DIVISION OF AKLAN Poblacion, Numancia, Aklan INVITATION TO BID Project No.: DepED-RO6-D1-2020QRF(REPAIR)REBID-C10-067-2020 The Department of Education (DepED) Division of Akla</t>
  </si>
  <si>
    <t xml:space="preserve"> Republic of the Philippines Department of Education Region VI – Western Visayas DIVISION OF AKLAN Poblacion, Numancia, Aklan INVITATION TO BID Project No.: DepED-RO6-D1-2020QRF(REPAIR)REBID-C5-062-2020 The Department of Education (DepED) Division of Aklan</t>
  </si>
  <si>
    <t xml:space="preserve"> Republic of the Philippines Department of Education Region VI – Western Visayas DIVISION OF AKLAN Poblacion, Numancia, Aklan INVITATION TO BID Project No.: DepED-RO6-D1-2020QRF(REPAIR)REBID-C9-066-2020 The Department of Education (DepED) Division of Aklan</t>
  </si>
  <si>
    <t xml:space="preserve"> Republic of the Philippines LOCAL GOVERNMENT UNIT OF GINGOOG BIDS AND AWARDS COMMITTEE Gingoog City 	INVITATION TO BID	 PURCHASE OF OFFICE EQUIPMENT UNDER P.R. NO. 80-20-08-108 1.	The Local Government Unit of Gingoog City, through the Budget for the contr</t>
  </si>
  <si>
    <t xml:space="preserve"> 1.	The Department of Education – Schools Division Office of Pasig City, through the GAA CY 2020 – Basic Education Facilities Fund (BEFF)  intends to apply the sum of Twenty Million Six Hundred Seventy-Eight Thousand Three Hundred Twenty-Six Pesos (₱20,678</t>
  </si>
  <si>
    <t xml:space="preserve"> Please see associated components for details.</t>
  </si>
  <si>
    <t xml:space="preserve"> INVITATION TO BID FOR Procurement of AUTOCLAVE MACHINE The Quirino Memorial Medical Center, through the INCOME FUND – CAPITAL OUTLAY intends to apply the sum of ONE MILLION TWO HUNDRED THOUSAND PESOS ONLY (PHP 1,200,000.00) being the Approved Budget for t</t>
  </si>
  <si>
    <t xml:space="preserve"> Other Supplies  and Materials</t>
  </si>
  <si>
    <t xml:space="preserve"> Quantity	Unit	Description 750	reams	Bondpaper,A4 19	sets	Computer Ink 28	btls	Computer Ink,black 36	boxes	Stapler No.35 50	boxes	Stape Wire No,35 5	sets	Toner 5in1 30	btls	Toner 650	packs	Sticker Paper 10/1 1271	pcs	Expandabel Plastic Envelope</t>
  </si>
  <si>
    <t xml:space="preserve"> Food Supplies Expenses</t>
  </si>
  <si>
    <t xml:space="preserve"> see attached PR</t>
  </si>
  <si>
    <t xml:space="preserve"> Office Supplies Expenses</t>
  </si>
  <si>
    <t xml:space="preserve"> Item I - Removal of Damaged Roof Framing and Roofing  912.09 sq.m. Item II - Roof Framing and Roofing Works  912.09  sq.m. Item III - Painting Works  456.05  sq.m. SPCL-I- Project Billboard  1.00 set Invitation to Bid   REPAIR OF ROOF FRAMING AND ROOFING </t>
  </si>
  <si>
    <t xml:space="preserve"> Location: Brgy. Tambangan, Loay, Bohol materials: Aggregate Base Course Materials portland cement sand gravel coco lumber RSB asphalt joint filler hacksaw blade CW nails nylon strings water project billboard printing of tarpaulin for signage equipment ren</t>
  </si>
  <si>
    <t xml:space="preserve"> Printing and Publication</t>
  </si>
  <si>
    <t xml:space="preserve"> LGU – Sierra Bullones     					  Contractor Reference Number 	                                                                                                 								         Name of the Contract    								        Location of the Contract Standard Form </t>
  </si>
  <si>
    <t xml:space="preserve"> Communication Equipment</t>
  </si>
  <si>
    <t xml:space="preserve"> Republic of the Philippines DEPARTMENT OF PUBLIC WORKS AND HIGHWAYS CAGAYAN THIRD DISTRICT ENGINEERING OFFICE REGION II Tuguegarao City The DPWH-CAGAYAN THIRD DISTRICT ENGINEERING OFFICE, through the GAA FY-2020 intends to apply the sum of P990,000.00 bei</t>
  </si>
  <si>
    <t xml:space="preserve"> Location: Tayong Occidental, Loay, Bohol Materials column footing, column and 2nd floor beam portland cement river sand gravel deformed bars plywood CW nails GI Tire wire Project billboard Printing of Tarpaulin for signage</t>
  </si>
  <si>
    <t xml:space="preserve"> SOLAR STREETLIGHTS WITH POST Location: Tinalmud Nuevo, Libmanan Camarines Sur Appropriarion: PHP307, 046.80 Source of Fund: 20% EDF 2020 Description: Solar Streetlights  I- Excavation Works Estimated Quantity = 4.32cu.m 4.32 cu. m Soil Excavation II - Con</t>
  </si>
  <si>
    <t xml:space="preserve"> Supply and delivery of office equipment for BJMPR-IX for period of September, CY 2020.</t>
  </si>
  <si>
    <t xml:space="preserve"> Other Supplies and Materials Expenses</t>
  </si>
  <si>
    <t xml:space="preserve"> Location: Brgy. Villalimpia, Loay, Bohol Materials: Column and column footing portland cement river sand gravel deformed bars GI Tire wire formworks Tinsmithry/roofing: colored roofing sheets gutter end flashing blind rivets texscrew sealant angular bar C</t>
  </si>
  <si>
    <t xml:space="preserve"> Public Bidding</t>
  </si>
  <si>
    <t xml:space="preserve"> INVITATION TO BID FOR Procurement of 2D ECHOCARDIOGRAM MACHINE 1.	The Quirino Memorial Medical Center, through the SAA-2020-04-0813 CAPITAL OUTLAY intends to apply the sum of TWO MILLION SIX HUNDRED THOUSAND PESOS ONLY (PHP 2,600,000.00) being the Approve</t>
  </si>
  <si>
    <t xml:space="preserve"> Materials CHB  Portland Cement river sand gravel deformed bars GI Tire wire Form lumber form plywood CW Nails project billboard printing of tarpaulin for signage</t>
  </si>
  <si>
    <t xml:space="preserve"> RFQ No. 035- Procurement of Office Equipment (Water Dispenser and Split Type Air condition)-Reposting  Water Dispenser (Hot and Cold) AirCon (Split Type, 1HP with installation and materials)</t>
  </si>
  <si>
    <t xml:space="preserve"> RESOLUTION ON PRIOR APPROVAL NO. 07-113 Series of 2020 RESOLUTION RECOMMENDING THE USE OF ALTERNATIVE METHOD OF PROCUREMENT FOR THE ACQUISITION OF GOODS AND SERVICES WHEREAS, various departments/offices submitted Purchase Requests with the following detai</t>
  </si>
  <si>
    <t xml:space="preserve"> Republic of the Philippines LOCAL GOVERNMENT UNIT OF GINGOOG BIDS AND AWARDS COMMITTEE Gingoog City 	INVITATION TO BID	 PURCHASE OF HORIZONTAL FEED MIXER WAGON UNDER P.R. NO. 50-20-06-051 1.	The Local Government Unit of Gingoog City, through the Budget fo</t>
  </si>
  <si>
    <t xml:space="preserve"> REPOST PHILGEPS DUE TO CHANGE BID AMOUNT ( PURCHASE OF DRUG TESTING KIT)</t>
  </si>
  <si>
    <t xml:space="preserve"> Medical, Dental &amp; Laboratory Supplies Expenses</t>
  </si>
  <si>
    <t xml:space="preserve"> 20E00104-R1: Cluster 10- Rehabilitation / Reconstruction of Roads with Slips, Slope Collapse and Landslide along San Jose-Port Barton Road Section K0015+415.00 – K0015+456.80; Section K0015+723.00 – K0015+770.00; K0016+315.00 – K0016+380.10; K0016+770 – K</t>
  </si>
  <si>
    <t xml:space="preserve"> REQUEST FOR QUOTATION										 SUPPLY AND DELIVERY OF ID CARD RIBBON AND CLEANER KIT FOR ENDURO, PRONTO, RIO PRO CARD PRINTERS WITH PREMIER PVC CARD										 Small Value Procurement										 										 INSTRUCTION:										               	1.	Supplies </t>
  </si>
  <si>
    <t xml:space="preserve"> NOTICE OF NEGOTIATED PROCUREMENT (Small Value Procurement) Project:	Purchase of 60 pcs. Traffic Cone and 48 pcs. Traffic Road Barrier (for use in the Repair &amp; Maintenance of Various Roads and Bridges within the Province) 		(PR#2020-07-6322) Location: 	Pro</t>
  </si>
  <si>
    <t xml:space="preserve"> BIDS AND AWARDS COMMITTEE Municipality of Bontoc Mountain Province REQUEST FOR QUOTATION Construction of Comfort Room and Partitioning of Municipal Quarantine Facility Location: Bontoc, Mountain Province LGU-Bontoc								Date: August 24, 2020 Name of Com</t>
  </si>
  <si>
    <t xml:space="preserve"> Location: Brgy. Concepcion, Loay, Bohol MATERIALS aggregate base course materials portland cement sand gravel coco lumber RSB asphalt joint filler hacksaw blade CWN nylon string water project billboard printing of tapaulin for signage EQUIPMENT RENTAL con</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</si>
  <si>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</si>
  <si>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PROCUREMENT TERMS AND CONDITIONS 1. The Approved Budget for the Contract (ABC) is P11,750.00 2. Price quotation should be inclusive of the 5% / 3% Final VAT and expanded withholding tax (EWT) of 1% / 2% 3. Evaluation of bids will be conducted on a "per lo</t>
  </si>
  <si>
    <t xml:space="preserve"> Training Expense</t>
  </si>
  <si>
    <t xml:space="preserve"> Republic of the Philippines Department of Education Region VI – Western Visayas DIVISION OF AKLAN Poblacion, Numancia, Aklan INVITATION TO BID Project No.: DepED-RO6-D1-2020QRF(REPAIR)REBID-C4-061-2020 The Department of Education (DepED) Division of Aklan</t>
  </si>
  <si>
    <t xml:space="preserve"> Procurement of 20 ea Logbook &amp; 22 other line items.</t>
  </si>
  <si>
    <t xml:space="preserve"> NOTICE TO THE PUBLIC       REQUEST FOR QUOTATION AMP SVP-S NO: 20-08-0431A  	 The University of the Philippines, SYSTEM (UPS) hereby informs the public that it will be procuring the following item/s through Small Value Procurement:   Qty/Unit	Item Descrip</t>
  </si>
  <si>
    <t xml:space="preserve"> PROCUREMENT OF MATERIALS FOR THE CONSTRUCTION OF MULTIPURPOSE HALL (PHASE I) OF BRGY. CANABUAN, TIGBAUAN, ILOILO</t>
  </si>
  <si>
    <t xml:space="preserve"> 20E00105-R1: Cluster 11- Rehabilitation / Reconstruction of Roads with Slips, Slope Collapse and Landslide along San Jose-Port Barton Road Section K0017+000 – K0017+071; K0017+100.00 – K0017+161.80; K0018+307.90 – K0018+427.00, Palawan 11.1 Rehabilitation</t>
  </si>
  <si>
    <t xml:space="preserve"> 3 GALLON PALM OIL 2. 1 SACK BROWN SUGAR 3. 1 SACK REFINE SUGAR 4. 1 BOX SOY SAUCE (200 ML) 5. 1 BOX SOY SAUCE (100 ML) 6. 1 BOX VINEGAR (200 ML) 7. 1 BOX VINEGAR (100 ML) 8. 1 SACK FLOUR 9. 5 TRAY EGG 10. 5 PACK SEASONING (MAGIC SARAP) 11. 5 PACK MSG (AJI</t>
  </si>
  <si>
    <t xml:space="preserve"> Location: Brgy. Hinawanan, Loay, Bohol Materials: TILES AND CONCRETE WORKS tiles portland cement river sand gravel deformed bars GI Tire wire Tile Adhesive Tile grout PAINTING Flat enamel semi gloss enamel lacquer thinner flat latex semi gloss latex red l</t>
  </si>
  <si>
    <t xml:space="preserve"> Procurement of 60 cans Disinfectant Spray, 340g &amp; 21 other line items.</t>
  </si>
  <si>
    <t xml:space="preserve"> PRINTING OF IEC MATERIALS AND VARIOUS REPORTS OF BAFE</t>
  </si>
  <si>
    <t xml:space="preserve"> Procurement of 40 pcs PL-259 (Amphenol) &amp; 12 other line items.</t>
  </si>
  <si>
    <t xml:space="preserve"> Republic of the Philippines Department of Education Region VI – Western Visayas DIVISION OF AKLAN Poblacion, Numancia, Aklan INVITATION TO BID Project No.: DepED-RO6-D1-2020QRF(REPAIR)REBID-C7-064-2020 The Department of Education (DepED) Division of Aklan</t>
  </si>
  <si>
    <t xml:space="preserve"> Republic of the Philippines LOCAL GOVERNMENT UNIT OF GINGOOG BIDS AND AWARDS COMMITTEE Gingoog City 	INVITATION TO BID	 PURCHASE OF 4X4 TRUCK PASSENGER TYPE REAR CAB UNDER P.R. NO. 30-20-07-081 1.	The Local Government Unit of Gingoog City, through the Bud</t>
  </si>
  <si>
    <t xml:space="preserve"> 1.	Purchase Request No.: MAINT 2020-07-0030 Name:	Purchase of Materials for Sign Maintenance along Masbate-Cataingan-Placer Road &amp; Buenavista-Cawayan Road (3rd Quarter CY 2020) Location:	Masbate 3rd DEO  Description of Project/Scope of works:   30		pc		Ro</t>
  </si>
  <si>
    <t xml:space="preserve"> 20E00106-R1: Cluster 12- Rehabilitation / Reconstruction of Roads with Slips, Slope Collapse and Landslide along Langogan-Roxas Road Section K0098+160 – K0098+330.00; K0099+480 – K0099+570, K0099+730 – K0099+830.30, Palawan 12.1 Rehabilitation / Reconstru</t>
  </si>
  <si>
    <t xml:space="preserve"> Package 041- Procurement of Sala Set (Cleopatra) 1 long (60 inches x 20 inches) 4 chairs ( 20 inches x 20 inches)</t>
  </si>
  <si>
    <t xml:space="preserve"> Location: Brgy. Alegria Sur, Loay, Bohol MATERIALS 2.0 hp submersible pump &amp; accessories including installation PE Pipe GI Ball valve PE Coupling PE Adaptor Project billboard printing of tarpaulin for signage</t>
  </si>
  <si>
    <t xml:space="preserve"> 1.	Purchase Request No.: MAINT 2020-07-0036 Name:	Purchase of Materials for Special Maintenance (Premix Patching  Bituminous Pavements) along Masbate-Cataingan-Placer Road (4th Quarter CY 2020) Location:	Masbate 3rd DEO  Description of Project/Scope of wo</t>
  </si>
  <si>
    <t xml:space="preserve"> The Department of Agriculture invites interested suppliers to submit quotations/proposals for the hereunder requirement: PURCHASE OF SUPPLIES IN RESPONSE TO COVID-19 PANDEMIC	 22	pcs	Item I: FOOT BATH  Non-slip Stainless Steel Foot Bath Traywith Rubber Di</t>
  </si>
  <si>
    <t xml:space="preserve"> NOTICE OF NEGOTIATED PROCUREMENT (Small Value Procurement) Project:	Purchase of 1650 bags Cement  		(PR#2020-07-6712) Location: 	Sangguniang Panlalawigan 	        Lingayen, Pangasinan Approved Budget for 	 the Contract (ABC):	P 495,000.00 Approved by:	 HI</t>
  </si>
  <si>
    <t xml:space="preserve"> see attached POW/PR</t>
  </si>
  <si>
    <t xml:space="preserve"> SUPPLY, DELIVERY, AND INSTALLATION OF VARIOUS OFFICE EQUIPMENT</t>
  </si>
  <si>
    <t xml:space="preserve"> Kindly see attached LINK for the specifications: https://drive.google.com/file/d/1zNZbwy-ELC8xOA6QziVrADiv5ASKJX71/view?usp=drivesdk</t>
  </si>
  <si>
    <t xml:space="preserve"> NOTICE OF NEGOTIATED PROCUREMENT (Small Value Procurement) Project:	Purchase of Various Tools and Materials 		(PR#2020-07-6321) 		2	unit	Speed Cutter 2	unit	Circular Saw 2	unit	Angle Grinder 2	unit	Electric Drill 2	unit	Rivitor 2	unit	Planer 1	unit	Demoli</t>
  </si>
  <si>
    <t xml:space="preserve"> Procurement of 80 btls Alcohol 1 Gal &amp; 6 other line items.</t>
  </si>
  <si>
    <t xml:space="preserve"> Procurement of 50 btls Povidone Iodine Mouthwash (1%, 500ml) &amp; 25 other line items.</t>
  </si>
  <si>
    <t xml:space="preserve"> That the BAC of Balandra Elementary School hereby resolve to post in Philgeps for the Bidding of Purchase of Pupils' Learning Kit that is charged to school MOOE per month. That the BAC has agreed to qualify the bidders according to the following condition</t>
  </si>
  <si>
    <t xml:space="preserve"> NOTICE OF NEGOTIATED PROCUREMENT (Small Value Procurement) Project:	Purchase of Laboratory Supplies/Reagents 		(PR#2020-07-6297) 30	box	HBSAg Screening x 40’s 30	box	Syphilis Rapid Test Kit x 100’s 30	bot.	Urine Test Strips 4 parameters 2	pack	Pipette Tip</t>
  </si>
  <si>
    <t xml:space="preserve"> Invitation to Bid to all Supplier/Contractor duly accredited by the City Council of Manila to supply and deliver the following items provided hereunder, to wit; Item	 	Qty.	 	Unit	 	 	 	DESCRIPTION 1	 	10	 	Bxs	Stranded Electrical Wire #12	 	 	 	  2	 	10	</t>
  </si>
  <si>
    <t xml:space="preserve"> CONCRETE PATHWAY Tinalmud Nuevo, Libmanan Cam. Sur Appropriation : PHP 100,000.00 Source of Fund : Trust Fund - MLGU 2019 Description: Total Length = 81.0 m W=1.0 m Thk= 0.10m I - Item 105 Estimated Quantity = 81.0 sq. m 81 sq. m Sub grade Preparation II </t>
  </si>
  <si>
    <t xml:space="preserve"> NOTICE OF NEGOTIATED PROCUREMENT (Small Value Procurement) Project:	Purchase of 3,500 pcs. IV Catheter g.24 and 500 pcs. IV catheter g.20 		(PR#2020-07-6108) Location: 	Pangasinan Provincial Hospital 	San Carlos City, Pangasinan Approved Budget for 	 the </t>
  </si>
  <si>
    <t xml:space="preserve"> Procurement of 3 ea 8 ports HDMI Splitter &amp; 5 other line items.</t>
  </si>
  <si>
    <t xml:space="preserve"> 2,120 pcs Plastic Envelope, Expandable, Long, with handle and pushpin lock</t>
  </si>
  <si>
    <t xml:space="preserve"> Republic of the Philippines MUNICIPALITY OF BUNAWAN, AGUSAN DEL SUR Invitation to Bid/ Instruction to Bidders CONSTRUCTION OF CONSUELO TO HAGNAYA BOUNDARY FMR DOUBLE BARREL BOX CULVERT August 24, 2020 1.	The Barangay Local Government Unit of Consuelo, Bun</t>
  </si>
  <si>
    <t xml:space="preserve"> Location: Brgy. BonBon, Loay, Bohol DEMOLITION WORKS, STEEL WORKS &amp; SCAFFOLDING structure demolition angular bar c-purlins deformed bars welding rod cut off blade cutting disc grinding disc red oxide aluminum paint paint thinner paint brush coco lumber co</t>
  </si>
  <si>
    <t xml:space="preserve"> That the BAC of Balandra Elementary School hereby resolve to post in Philgeps for the Bidding of Procurement of Supplies for Internet Connection that is charged to school MOOE per month. That the BAC has agreed to qualify the bidders according to the foll</t>
  </si>
  <si>
    <t xml:space="preserve"> Location: Brgy. Poblacion Ibabao, Bohol MATERIALS steel girt and roof framing angular bar flat bar C-Purlins welding rod deformed bars red oxide primer paint thinner paint brush cutting desk ROOF COVER colored roofing sheets flashing gutter gutter texscre</t>
  </si>
  <si>
    <t xml:space="preserve"> That the BAC of Balandra Elementary School hereby resolve to post in Philgeps for the Bidding of Procurement of Supplies to be used in Modular Learning that is charged to school MOOE per month. That the BAC has agreed to qualify the bidders according to t</t>
  </si>
  <si>
    <t xml:space="preserve"> Procurement of 1 ea Motherboard H310MD &amp; 9 other line items.</t>
  </si>
  <si>
    <t xml:space="preserve"> AD Material: Customs Administrative Order (CAO) No. 11-2020 “Rules, Regulations and Procedures Governing the Establishment and Operation of Duty and Tax-Free Stores and Warehouses Operated by Duty Free Philippines Corporation” 	 No. of Pages: 16 pages A4 </t>
  </si>
  <si>
    <t xml:space="preserve"> Location: Brgy. Sagnap, Loay, Bohol MATERIALS aggregate base course materials portland cement sand gravel coco lumber RSB asphalt joint filler hacksaw blade CW nails nylon string water project billboard printing of tarpaulin for signage EQUIPMENT RENTAL c</t>
  </si>
  <si>
    <t xml:space="preserve"> NOTICE OF NEGOTIATED PROCUREMENT (Small Value Procurement) Project:	NOTICE OF NEGOTIATED PROCUREMENT (Small Value Procurement) Project:	Purchase of 1 unit Smart TV 55”, 1 set Toilet Bowl with Lavatory, Bidet and Faucet, 1 unit Internet Router and 5 unit E</t>
  </si>
  <si>
    <t xml:space="preserve"> Invitation to Bid to all Supplier/Contractor duly accredited by the City Council of Manila to supply and deliver the following items provided hereunder, to wit; Item	 	Qty.	 	Unit	 	 	 	DESCRIPTION 1	 	10	 	Tins	Semi Gloss Latex - White	 	 	  2	 	8	 	Gal	</t>
  </si>
  <si>
    <t xml:space="preserve"> 1.	Purchase Request No.: MAINT 2020-08-0039 Name:	Purchase of Materials for Centerline and Lane Line Repainting along Masbate-Cataingan-Placer Road (4th Quarter CY 2020) Location:	Masbate 3rd DEO  Description of Project/Scope of works:   358		bags		Paint,</t>
  </si>
  <si>
    <t xml:space="preserve"> 19E00066: Reconstruction/Rehabilitation of National Roads with Slips and Slope Collapse along F.B. Reyes (Busuang Coron Road), K0012+810.00 – K0015+550.00; K0020+763.98 – K0022+673.98, Coron, Palawan</t>
  </si>
  <si>
    <t xml:space="preserve"> 20E00107-R1: Cluster 13- Rehabilitation / Reconstruction of Roads with Slips, Slope Collapse and Landslide along Langogan-Roxas Road Section K0100+310 – K0100+440, K0101+120 – K0101+202.90; K0104+060 – K0104+160, K0104+560 – K0104+704.10, Palawan 13.1 Reh</t>
  </si>
  <si>
    <t xml:space="preserve"> Drugs &amp; Medicines</t>
  </si>
  <si>
    <t xml:space="preserve"> 4 pc Filter Cap SF260-16-268-01 &amp; 48 L/I</t>
  </si>
  <si>
    <t xml:space="preserve"> SUPPLY, DELIVERY, AND INSTALLATION OF VARIOUS MEDICAL, HEALTH AND SAFETY SUPPLIES</t>
  </si>
  <si>
    <t xml:space="preserve"> Purchase and delivery of Various Office supplies to be used by different offices of the Municipality of Concepcion, Tarlac Approved Budget for the Contract : P 1,287,655.00 Source of Fund : MOOE 2020 - Various Municipal Offices The contract to be performe</t>
  </si>
  <si>
    <t xml:space="preserve"> Please see attached docs.</t>
  </si>
  <si>
    <t xml:space="preserve"> The Department of Agriculture invites interested suppliers to submit quotations/proposals for the hereunder requirement: PURCHASE OF HANDHELD TRANSCEIVER RADIO FOR OFFICIAL USE OF CREST-O STAFF &amp; USEC FOR REGULATION	 9	units	RADIO HANDHELD TRANSCEIVER  Sp</t>
  </si>
  <si>
    <t xml:space="preserve"> NOTICE TO THE PUBLIC REQUEST FOR QUOTATION                                           AMP SVP-D NO: 20-08-0328C	              The University of the Philippines, Diliman (UPD) hereby informs the public that it will be procuring the following item/s through </t>
  </si>
  <si>
    <t xml:space="preserve"> INVITATION TO BID FOR Procurement of NASAL HIGH FLOW MACHINE 1.	The Quirino Memorial Medical Center, through the COVID INCOME FUND - CAPITAL OUTLAY intends to apply the sum of EIGHT HUNDRED THOUSAND PESOS ONLY (PHP 800,000.00) being the Approved Budget fo</t>
  </si>
  <si>
    <t xml:space="preserve"> The Department of Agriculture-RFO 3, invites interested suppliers to submit quotations/proposals for the hereunder requirement, to wit: 2	bottles	CERTIFIED REFERENCE MATERIAL	 		        *Poultry Feeds- Proximates and Elements	 		         - 50 grams per bo</t>
  </si>
  <si>
    <t xml:space="preserve"> 20E00108-R1: Cluster 14- Rehabilitation / Reconstruction of Roads with Slips, Slope Collapse and Landslide along Langogan-Roxas Road Section K0104+780 – K0104+860, K0105+180 – K0105+282; K0105+500.00 – K0105+560.00, Palawan 14.1 Rehabilitation / Reconstru</t>
  </si>
  <si>
    <t xml:space="preserve"> INVITATION TO BID    SUPPLY AND DELIVERY OF BRAND NEW 52,290 PIECES UNDERSHIRT, RAGLAN, POLYESTER, SPANDEX, ROUND NECK AND 8,137 SETS PHILIPPINE ARMY    ATHLETIC UNIFORM FOR THE PHILIPPINE ARMY (PA) Bid Reference No. MPG-BI-2020-349     1. The Philippine </t>
  </si>
  <si>
    <t xml:space="preserve"> Procurement of 2 ea SRICAM SP007 WIFI CCTV CAMERA 1920X1080 &amp; 9 other line items.</t>
  </si>
  <si>
    <t xml:space="preserve"> PROCUREMENT TERMS AND CONDITIONS 1. The Approved Budget for the Contract (ABC) is P21,185.00 2. Price quotation should be inclusive of the 5% / 3% Final VAT and expanded withholding tax (EWT) of 1% / 2% 3. Evaluation of bids will be conducted on a "per lo</t>
  </si>
  <si>
    <t xml:space="preserve"> 20GSHE0013 - Supply of Safety and Occupational Products for use by various personnels assigned in RBIA, BMS, PMS, RSM, Planning &amp; Design Section, Cebu 2nd DEO. 36 pairs Rubber Shoes, 36 pcs Jackets w/ DPWH Logo, etc.... ABC = Php 450,000.00</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</si>
  <si>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</si>
  <si>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NOTICE TO THE PUBLIC  REQUEST FOR QUOTATION                                                 AMP SVP-D NO: 20-08-0342D	              The University of the Philippines, Diliman (UPD) hereby informs the public that it will be procuring the following item/s t</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</si>
  <si>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</si>
  <si>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INVITATION TO BID FOR Procurement of TRANSPORT STRETCHER 1.	The Quirino Memorial Medical Center, through the SAA-2020-03-0379- HFEP- CAPITAL OUTLAY intends to apply the sum of SEVEN MILLION PESOS ONLY (PHP 7,000,000.00) being the Approved Budget for the C</t>
  </si>
  <si>
    <t xml:space="preserve"> See attached canvass</t>
  </si>
  <si>
    <t xml:space="preserve"> PROCUREMENT TERMS AND CONDITIONS 1. The Approved Budget for the Contract (ABC) is P6,500.00 2. Price quotation should be inclusive of the 5% / 3% Final VAT and expanded withholding tax (EWT) of 1% / 2% 3. Evaluation of bids will be conducted on a "per lot</t>
  </si>
  <si>
    <t xml:space="preserve"> 19E00067: Rehabilitation/Reconstruction of Roads with Slips, Slope Collapse and Landslide, Tablas Circumferential Road K0062+800 – K0063+110, Tablas, Romblon</t>
  </si>
  <si>
    <t xml:space="preserve"> 15	units		Vehicle, Brand New, Sports Utility (Mid-Size) 					fully airconditioned, at least 2020 model 					Diesel Engine, 4 Cylinders, 16 valves, displacement of not less  					than 2,300 cc, maximum output of not less than 145HP @ 3400  					rpm, maximu</t>
  </si>
  <si>
    <t xml:space="preserve"> Procurement of 2 sets Compressor 220V/60 herts 2Hp &amp; 6 other line items.</t>
  </si>
  <si>
    <t xml:space="preserve"> Purchase and delivery of 220 liters of Chemical Mist Spray (Deltamethrin) to be used in the Municipal Health Office, Concepcion, Tarlac Approved Budget for the Contract : P 1,001,000.00 Source of Fund : MOOE 2020 - Municipal Health Office The contract to </t>
  </si>
  <si>
    <t xml:space="preserve"> 2 ea Attitude Reverse Switch Assy w/ PN: 21618-002 &amp; 1 L/I</t>
  </si>
  <si>
    <t xml:space="preserve"> Procurement of 2 pcs Papoose Board &amp; 10 other line items.</t>
  </si>
  <si>
    <t xml:space="preserve"> 3 ea Pitch Control Rod Assembly w/ PN: 109-0130-05-117</t>
  </si>
  <si>
    <t xml:space="preserve"> NOTICE TO THE PUBLIC REQUEST FOR QUOTATION                                              AMP SVP-D NO: 20-08-0391C	              The University of the Philippines, Diliman (UPD) hereby informs the public that it will be procuring the following item/s throu</t>
  </si>
  <si>
    <t xml:space="preserve"> NOTICE OF NEGOTIATED PROCUREMENT (Small Value Procurement) Project:	Purchase of 33 M.T. Asphalt Pre-Mix and 2 drums Emulsified Asphalt (for use in the Prposed Improvement/Blocktopping of Pathwalk at Bgy. Barat, Umingan, Pangasinan) 		(PR#2020-03-2278) Loc</t>
  </si>
  <si>
    <t xml:space="preserve"> 20GSHE0017 - Supply of Information Technology for use by personnel assigned in Planning &amp; Design Section, Cebu 2nd DEO. 6 units UPS 1kVA, 230V, 2 units Drone (Quadcopter) w/ accessories, etc... ABC = Php 360,000.00</t>
  </si>
  <si>
    <t xml:space="preserve"> INVITATION TO BID The Municipal Government of Daraga, Albay, invites contractors registered with and classified by the Philippine Contractors Accreditation Board (PCAB) to bid for the herein stated construction project: Ref. No.: INFRA 20-003 Project Name</t>
  </si>
  <si>
    <t xml:space="preserve"> 12 sets printer L3110 (3in1) 36 bottles ink for printer L3110 300 reams A4 coupon bond</t>
  </si>
  <si>
    <t xml:space="preserve"> Procurement of 3 pcs compressor 1HP &amp; 2 other line items.</t>
  </si>
  <si>
    <t xml:space="preserve"> 500 PCS PLASTIC ENVELOPE LEGAL WITH HANDLE - GREEN G7 500 PCS PLASTIC ENVELOPE LEGAL WITH HANDLE - BLUE G8 500 PCS PLASTIC ENVELOPE LEGAL WITH HANDLE - PINK G9 500 PCS PLASTIC ENVELOPE LEGAL WITH HANDLE - YELLOW G10 50 ROLLS DUCK TAPE - RED 6 BOXES SIGN P</t>
  </si>
  <si>
    <t xml:space="preserve"> 1	32’’ Android Smart TV	1 unit	10, 000	September</t>
  </si>
  <si>
    <t xml:space="preserve"> Procurement of 1 lot Siphoning</t>
  </si>
  <si>
    <t xml:space="preserve"> 1	Ink (black)	11 pcs	3, 190	September 2	Ink (Colored)	6 pcs	1, 800	September 3	Bondpaper (A4 size)	270 reams	62, 000	October 4	Bondpaper (A4 size)	270 reams	62, 000	November 5	Bondpaper (A4 size)	270 reams	62, 000	December</t>
  </si>
  <si>
    <t xml:space="preserve"> INVITATION TO BID FOR Procurement of VARIOUS I.T. EQUIPMENT 1.	The Quirino Memorial Medical Center, through the SAA-2020-06-1365 CAPITAL OUTLAY intends to apply the sum of SIX MILLION PESOS ONLY (PHP 6,000,000.00) being the Approved Budget for the Contrac</t>
  </si>
  <si>
    <t xml:space="preserve"> Republic of the Philippines Province of Ilocos Norte MUNICIPALITY OF PINILI REQUEST FOR QUOTATION PIN2020-098 The Municipality of Pinili invites all interested registered suppliers to submit quotations for:   1 LOT  =	SUPPLY OF VARIOUS CONSTRUCTION MATERI</t>
  </si>
  <si>
    <t xml:space="preserve"> please see attached</t>
  </si>
  <si>
    <t xml:space="preserve"> INVITATION TO BID FOR Procurement of OPERATING TABLE FOR OB 1.	The Quirino Memorial Medical Center, through the SAA-2020-03-0379- HFEP- CAPITAL OUTLAY intends to apply the sum of TWO MILLION PESOS ONLY (PHP 2,000,000.00) being the Approved Budget for the </t>
  </si>
  <si>
    <t xml:space="preserve"> Lot 1 -	Twenty-Five (25) Various IT Personnel for IT Infrastructure and Operations Department (ITIOD) Lot 2 -	Fourteen (14) Various IT Personnel for Information Technology Office (ITO) Please click the link under "Other Information" for the Invitation to </t>
  </si>
  <si>
    <t xml:space="preserve"> Republic of the Philippines Province of Ilocos Norte MUNICIPALITY OF PINILI REQUEST FOR QUOTATION PIN2020-097 The Municipality of Pinili invites all interested registered suppliers to submit quotations for:   1 LOT  =	SUPPLY OF VARIOUS CONSTRUCTION MATERI</t>
  </si>
  <si>
    <t xml:space="preserve"> August 25, 2020 REQUEST FOR QUOTATION (Negotiated Procurement) ______________________ ______________________ ______________________ Please quote your lowest price inclusive of VAT subject to the TERMS AND CONDITIONS of this RFQ, and submit your quotation </t>
  </si>
  <si>
    <t xml:space="preserve"> for more information please visit at the Barangay Hall of Barangay Anahaway Palo, Leyte.</t>
  </si>
  <si>
    <t xml:space="preserve"> ####CONCRETE PATHWAY #### Malansad Nuevo, Libmanan Cam. Sur Appropriation : PHP 100,000.00 Source of Fund : Trust Fund - MLGU 2018 Description: L= 34m W=2.0 m Thk = 0.15m Scope of Work: Item 311    L= 34 m W = 2.0m Thk = 0.15m I - Item 105 Estimated Quant</t>
  </si>
  <si>
    <t xml:space="preserve"> INVITATION TO BID FOR Procurement of INFANT RADIANT WARMER WITH RESUSCITATOR  The Quirino Memorial Medical Center, through the SAA-2020-03-0379- HFEP- CAPITAL OUTLAY intends to apply the sum of ONE  MILLION FIVE HUNDRED THOUSAND PESOS ONLY (PHP 1,500,000.</t>
  </si>
  <si>
    <t xml:space="preserve"> SUPPLY, DELIVERY, AND INSTALLATION OF FURNITURE AND FIXTURE</t>
  </si>
  <si>
    <t xml:space="preserve"> Repair and Maintenance of Motor Vehicles of Pitogo Municipal Police Station ABC: Php 107,500.00 5 PCS TUBELESS TIRE (31 X 10.50 R15) 2 SET LEAF SPRINGS SUSPENSION (MOLYE) 2 PCS UPPER BALL JOINT TOYOTA HILUX 2 PCS LOWER BALL JOINT TOYOTA HILUX 2 PCS FRONT </t>
  </si>
  <si>
    <t xml:space="preserve"> 1. The DEPARTMENT OF AGRARIAN REFORM-KALINGA through the Government of the Philippines (GOP) General Appropriations Act, 2019 CONTINUING FUND intends to apply the sum of : PhP1,707,650.00 for LOT 1, Supply and Delivery of Multipurpose Microbial Inoculant </t>
  </si>
  <si>
    <t xml:space="preserve"> Fabrication/Installation of Filing Cabinet</t>
  </si>
  <si>
    <t xml:space="preserve"> Please see attached Request for Quotation, Technical Specifications and Terms of Reference</t>
  </si>
  <si>
    <t xml:space="preserve"> Procurement of 30 bx Continuous Form, PRB16 x 11x14 7/8, 3ply, Blue &amp; 19 other line items.</t>
  </si>
  <si>
    <t xml:space="preserve"> NOTICE TO THE PUBLIC REQUEST FOR QUOTATION                                           AMP SVP-D NO: 20-08-0273B	              The University of the Philippines, Diliman (UPD) hereby informs the public that it will be procuring the following item/s through </t>
  </si>
  <si>
    <t xml:space="preserve"> Republic of the Philippines									 DEPARTMENT OF AGRARIAN REFORM									 Provincial Agrarian Reform Office									 Bantayan, Dumaguete City									 									 REQUEST FOR QUOTATION									 									 					No.:	08-20-109			 					Date:	August 25, 2020		</t>
  </si>
  <si>
    <t xml:space="preserve"> various material and supplies</t>
  </si>
  <si>
    <t xml:space="preserve"> for more information please visit at the Barangay Hall of Barangay Anahaway Palo, Leyte</t>
  </si>
  <si>
    <t xml:space="preserve"> 1	Angle Bar 1/4x1	1 pc	385 2	Electric Tape	2 pcs	70 3	Baby roller	2 pcs	128 4	Paint brush #2	2 pcs	80 5	Paint Thinner	2 pcs	78 6	Metal Primer	4 pcs	540 	Door Knob	1 pc	550 	Roller brush #7	1 pc	90 	Baby Roller	2 pcs	130 	Brush	1 pc 	35 	Cutting Disc	2 pcs</t>
  </si>
  <si>
    <t xml:space="preserve"> NOTICE TO THE PUBLIC REQUEST FOR QUOTATION                                           AMP SVP-D NO: 20-08-0242C	              The University of the Philippines, Diliman (UPD) hereby informs the public that it will be procuring the following item/s through </t>
  </si>
  <si>
    <t xml:space="preserve"> 113 bags Portland cement 15 cu.m. washed gravel 8 cu.m. washed sand 10 pcs. 2''x6''x12' form lumber 5 pcs. 10mm dia. x 6.0m RSB 32 pcs. 12mm dia. Spikes 2 kls. Ass. cw nail</t>
  </si>
  <si>
    <t xml:space="preserve"> Concreting of Shoulder and Sidewalk</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</si>
  <si>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</si>
  <si>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Republic of the Philippines Province of Leyte Municipality of Palompon oOo BIDS &amp; AWARD COMMITTEE INVITATION TO BID FOR  PROCUREMENT OF LAPTOP Project Identification No. 2020-1509-019 The Municipality of Palompon, through the Annual budget 2020 from the O</t>
  </si>
  <si>
    <t xml:space="preserve"> 1	Brother t-710 (printer with scanner)	1 unit	12, 000	October</t>
  </si>
  <si>
    <t xml:space="preserve"> Please refer to the attached document in the associated component section.</t>
  </si>
  <si>
    <t xml:space="preserve"> canal/PATHWAY  - REINFORCED CONCRETE WORKS</t>
  </si>
  <si>
    <t xml:space="preserve"> Procurement of 15 pcs Gooseneck Faucet &amp; 28 other line items.</t>
  </si>
  <si>
    <t xml:space="preserve"> NOTICE TO THE PUBLIC  REQUEST FOR QUOTATION                                                  AMP SVP-D NO: 20-08-0210C	              The University of the Philippines, Diliman (UPD) hereby informs the public that it will be procuring the following item/s </t>
  </si>
  <si>
    <t xml:space="preserve"> CANAL, STEEL GRATING, PCCP</t>
  </si>
  <si>
    <t xml:space="preserve"> Procurement of 60 pcs 1x4x12 T &amp; G Flooring &amp; 56 other line items.</t>
  </si>
  <si>
    <t xml:space="preserve"> Purchase of IT Equipments, Furniture and Fixture for the Mayor's Office ABC: Php 278,250.00 INVITATION TO APPLY FOR ELIGIBILITY AND  TO BID 						(PZDS-2020-08-062-IB) The LGU-Pitogo, through the Bids and Awards Committee (BAC), invites suppliers register</t>
  </si>
  <si>
    <t xml:space="preserve"> INVITATION TO BID FOR    Rehabilitation of Water System  Imelda, Almagro, Samar 1.	The LGU-Almagro, through Annual Budget CY 2020  intends to apply the sum of  Seven Hundred Eighty Five Thousand Pesos ( Php 785,000,000.00) being the Approved Budget for th</t>
  </si>
  <si>
    <t xml:space="preserve"> MULTI -    PURPOSE HALL CONTINUATION</t>
  </si>
  <si>
    <t xml:space="preserve"> INVITATION TO BID FOR    Rehabilitation of Concrete Pathway  Lunang - 1, Almagro, Samar 1.	The LGU-Almagro, through Annual Budget  CY 2020  intends to apply the sum of  Nine Hundred Eighty Five Thousand Pesos ( Php 985,000.00) being the Approved Budget fo</t>
  </si>
  <si>
    <t xml:space="preserve"> Construction of Drainage Structure</t>
  </si>
  <si>
    <t xml:space="preserve"> BUILDING CONSTRUCTION</t>
  </si>
  <si>
    <t xml:space="preserve"> REQUEST TO SUBMIT PROPOSAL/QUOTATION														 (TWO(2)FAILED BIDDINGS)														 								Date :						 														 														 Company / Store Name and Address														 														 	Please quote your lowest price on the items listed b</t>
  </si>
  <si>
    <t xml:space="preserve"> Procurement of 2 sets PVC door (0.07x2.10m) &amp; 16 other line items.</t>
  </si>
  <si>
    <t xml:space="preserve"> Republic of the Philippines									 DEPARTMENT OF AGRARIAN REFORM									 Provincial Agrarian Reform Office									 Bantayan, Dumaguete City									 									 REQUEST FOR QUOTATION									 									 					No.:	08-20-110			 					Date:	August 25, 2020		</t>
  </si>
  <si>
    <t xml:space="preserve"> NOTICE TO THE PUBLIC REQUEST FOR PROPOSAL Purchase Request No: PUR20-08-0699  The Philippine General Hospital hereby informs the public that it will be procuring the following item/s through Small Value Procurement:		 					 1	1,000	pc	Disposable excision </t>
  </si>
  <si>
    <t xml:space="preserve"> Concreting of Road</t>
  </si>
  <si>
    <t xml:space="preserve"> INVITATION TO BID FOR    Cluster 14 Infrastructure Projects Item 	Project Name/Location	ABC	Duration 1.	Construction of Open Canal, Marasbaras	295,500.00	30 2.	Rehabilitation of Concrete Pathway, Roño 	295,500.00	30 3.	Rehabilitation of Concrete Pathway  </t>
  </si>
  <si>
    <t xml:space="preserve"> Procurement of 8 pcs Round Pile (chain saw) &amp; 23 other line items.</t>
  </si>
  <si>
    <t xml:space="preserve"> REQUEST TO SUBMIT PROPOSAL/QUOTATION														 (Shopping - Sec. 52.1 (b))														 								Date :						 														 														 Company / Store Name and Address														 														 	Please quote your lowest price on the items liste</t>
  </si>
  <si>
    <t xml:space="preserve"> Please see details &amp; specifications/illustration of project</t>
  </si>
  <si>
    <t xml:space="preserve"> DepEd, Division of Sorsogon										 Standard Form Number: SF-GOOD-60										 Revised on: May 24, 2004										 REQUEST FOR QUOTATION										 										 						Date:		August 20, 2020		 						Quotation No.:		20-08-119-_______		 										 										 	</t>
  </si>
  <si>
    <t xml:space="preserve"> 1	Aggregate Base Coarse	12	m³ 2	Portland Cement 40 kgs.	112	bags 3	Sand Washed Screened	8	cu.m. 4	Gravel Washed Screened	10	cu.m. 5	Coco Lumber 2-2" x 6" x 12' (4-Uses)	7	pcs 7	Plastic Pail	2	pcs 8	Asphalt Sealant	4	L 9	CWN Assorted	5	kls EUGENIA DL. CRUZ</t>
  </si>
  <si>
    <t xml:space="preserve"> Cluster A. Rehabilitation/Improvement of Multi-Purpose and Const. of Deepwell with Water Pump                                      B. Repair of Pathway</t>
  </si>
  <si>
    <t xml:space="preserve"> NOTICE TO THE PUBLIC  REQUEST FOR QUOTATION                                                 AMP SVP-D NO: 20-08-0300D	              The University of the Philippines, Diliman (UPD) hereby informs the public that it will be procuring the following item/s t</t>
  </si>
  <si>
    <t xml:space="preserve"> Section I. Invitation to Bid FOR THE UPLB-S-056-09-20  SUPPLY AND DELIVERY OF BRANDED AND BRAND NEW ORIGINAL PRINTING SUPPLIES FOR OVCAA-OUR 1.	The UNIVERSITY OF THE PHILIPPINES LOS BAÑOS (UPLB), through the GOP intends to apply the sum of SEVEN HUNDRED E</t>
  </si>
  <si>
    <t xml:space="preserve"> Section I. Invitation to Bid FOR THE UPLB-S-055-09-20  SUPPLY AND DELIVERY OF  BRANDED AND BRAND NEW VARIOUS PHOTOGRAPHIC EQUIPMENT 1.	The UNIVERSITY OF THE PHILIPPINES LOS BAÑOS (UPLB), through the GOP intends to apply the sum of THREE HUNDRED THIRTY-ONE</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</si>
  <si>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</si>
  <si>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REQUEST FOR QUOTATION INFRA 2020-053 August 24, 2020 _____________________________ _____________________________ _____________________________ Please quote your lowest price inclusive of VAT, subject to the Terms and Conditions of this RFQ, and submit you</t>
  </si>
  <si>
    <t xml:space="preserve"> NOTICE TO THE PUBLIC  REQUEST FOR QUOTATION                                           AMP SVP-S NO: 20-08-0228D	             	 The University of the Philippines, System (UPS) hereby informs the public that it will be procuring the following item/s through</t>
  </si>
  <si>
    <t xml:space="preserve"> Van Rental for the Training Course on the Preparation of Design, Installation and Management of Biogas Digesters on October 19-23, 2020 at Region IV-A</t>
  </si>
  <si>
    <t xml:space="preserve"> INCLUSIONS 1) The bidders shall submit the following Eligibility Documents in addition to the prescribed quotation form: (each page must be signed) (i) Registration certificate from the Securities and Exchange Commission (SEC) for corporations, Department</t>
  </si>
  <si>
    <t xml:space="preserve"> Name of the Requirement/Brief Description 	:	Supply and Delivery of 14,850 sets of Corrugated File Box, Kraft, B-Flute, as per BSP Terms of Reference Approved Budget for the Contract (ABC)	:	Php891,000.00 (Php60.00/set), VAT inclusive  (Quotations/Proposa</t>
  </si>
  <si>
    <t xml:space="preserve"> NOTICE TO THE PUBLIC REQUEST FOR QUOTATION                                           AMP SVP-D NO: 20-08-0292A	              The University of the Philippines, Diliman (UPD) hereby informs the public that it will be procuring the following item/s through </t>
  </si>
  <si>
    <t xml:space="preserve"> The bidder/supplier must meet the following conditions; 1. must meet the delivery period not later than September 14, 2020 2. must used 70 gsm paper 3.must arrange the module accordingly per subject and stapled properly 4. must deliver all the printed mod</t>
  </si>
  <si>
    <t xml:space="preserve"> Project location is at Brgy. Cortes, Basilisa, Dinagat Islands. Coastal barangay. Amount indicated in Gaming Equipment and paraphernalia is inclusive of VAT and freight and handling.</t>
  </si>
  <si>
    <t xml:space="preserve"> INVITATION TO BID FOR THE SUPPLY AND DELIVERY OF SCUBA TANK COMPRESSOR 1.	The LGU-Salcedo, through the Local Development Fund  intends to apply the sum of   Three Hundred  Thousand  Pesos ( Php 300,000.00)  being the Approved Budget for the Contract (ABC)</t>
  </si>
  <si>
    <t xml:space="preserve"> DepEd, Division of Sorsogon										 Standard Form Number: SF-GOOD-60										 Revised on: May 24, 2004										 REQUEST FOR QUOTATION										 										 						Date:		August 20, 2020		 						Quotation No.:		20-08-116-_______		 										 										 	</t>
  </si>
  <si>
    <t xml:space="preserve"> ITB</t>
  </si>
  <si>
    <t xml:space="preserve"> 20 bags Portland cement 3 cu.m. washed sand 1 cu.m. washed gravel 5.28 sq.m. sliding PVC window/ screen 50 pcs. CHB 4'' 10 pcs. 10mm dia. x 6.0m RSB 1 set PVC Door (0.7 x 2.0m) 1 pc. floor drain 4''x4'' 1 set panel board 4 branches 2 pcs. circuit breaker </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</si>
  <si>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</si>
  <si>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</si>
  <si>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Procurement of 1 ea Submersible pump &amp; 7 other line items.</t>
  </si>
  <si>
    <t xml:space="preserve"> Construction of Evacuation Center (Excavation, Formworks, Scaffolding, Concrete Works)</t>
  </si>
  <si>
    <t xml:space="preserve"> The Barangay Government of Vizcaya, President Roxas, Capiz, through the Local Fund, intends to apply the sum of One Hundred One Thousand Pesos (Php 101,000.00) being the Approved Budget for the Contract (ABC) to payments under the contract for the Procure</t>
  </si>
  <si>
    <t xml:space="preserve"> REQUEST FOR QUOTATION The National Irrigation Administration – Bulacan-Aurora-Nueva Ecija Irrigation Management Office, Tambubong, San Rafael, Bulacan through its Bids and Awards Committee (BAC), will undertake SHOPPING for the Supply &amp; Delivery of Variou</t>
  </si>
  <si>
    <t xml:space="preserve"> Procurement of 20 pcs Capacitor 65UF &amp; 26 other line items.</t>
  </si>
  <si>
    <t xml:space="preserve"> REQUEST FOR QUOTATION GOODS 2020-054  LOT 1 August 24, 2020 _____________________________ _____________________________ _____________________________ Please quote your lowest price inclusive of VAT, subject to the Terms and Conditions of this RFQ, and sub</t>
  </si>
  <si>
    <t xml:space="preserve"> DepEd, Division of Sorsogon										 Standard Form Number: SF-GOOD-60										 Revised on: May 24, 2004										 REQUEST FOR QUOTATION										 										 						Date:		August 20, 2020		 						Quotation No.:		20-07-113-_____		 										 										 			</t>
  </si>
  <si>
    <t xml:space="preserve"> as per BSP Terms of Reference and Technical Specifications</t>
  </si>
  <si>
    <t xml:space="preserve"> INVITATION TO BID GS 2020-008-030 PROCUREMENT  OF VARIOUS VEGETABLE  SEEDS FOR THE CONTINUED SUPPORT DURING PANDEMIC 1.	The City Government of Sorsogon, through the Tanging Program under the 10 Pts. Agenda Other Purpose Funds CY 2020  intends to apply the</t>
  </si>
  <si>
    <t xml:space="preserve"> REQUEST FOR QUOTATION Date:	 August 25, 2020 Project Title:	 Supply and Delivery of Various Tools, Equipment and Power Tools ITB No.:	 FB20-02-005CORb-03 Approved Budget for the Contract (ABC):	 The total ABC is Nine Hundred Seventy-Seven Thousand Seven H</t>
  </si>
  <si>
    <t xml:space="preserve"> 1. EXCAVATION 2. REINFORCING STEEL BARS 3. FORMWORKS 4. CONCRETE WORKS 5. COLUM G. I. PIPES 6. MASONRY WORKS (INCLUDING PLASTERING) 7. STEELWORKS 8. TINSMITHRY WORKS 9. FLOOR SLAB WITH REINFORCEMENT 10.PLUMBING WORKS 11A.PLANT BOX EXCAVATION 11B.MASONRY W</t>
  </si>
  <si>
    <t xml:space="preserve"> 15	 pcs 	 12mm Ø x 6.0m RSB   72	 pcs 	 10mm Ø x 6.0m RSB   21	 kgs 	 #16 Tie Wire  55	 pcs 	 16mm Ø x 6.0m RSB   6	 pcs 	 1 1/2" dia x 20" Schedule 40 GI Pipe  58	 bags 	 Portland Cement, Type 1  3.5486	 cu.m 	 Washed Sand  5.0972	 cu.m 	 Graded Gravel 3</t>
  </si>
  <si>
    <t xml:space="preserve"> Qty	       Item/Description	                         Approved Budget for the Contract	     Price of Bid Documents 1 lot	  Procurement of Fuel for BFP-NHQ 	 Php 2,093,117.11	                             Php 5,000.00  The Bureau of Fire Protection National </t>
  </si>
  <si>
    <t xml:space="preserve"> LOT NO.	DESCRIPTION	ABC (in PhP) 1	Computer-aided Design Software (1year subscription)	           600,000.00 	Building Information Modeling Software (1year subscription)	 	Project Review Software (1year subscription) 	 2	Integrated Development Software (P</t>
  </si>
  <si>
    <t xml:space="preserve"> ITEM NO.	UNIT		QTY		DESCRIPTION		 							 1	 pcs 		7		Hardiflex 4"x8"x1/4"		 2	 pcs 		5		 Metalcarrying 25mm x 38mm x 4mm (6M) 		 3	 pcs 		16		 Metalfurring 25mm x 38mm x 6mm (6M) 		 4	 pcs 		37		 Black Screw w/ tox 		 5	 pcs 		32		 Wall Angle 28mm x 28mm</t>
  </si>
  <si>
    <t xml:space="preserve"> Republic of the Philippines Province of Negros Occidental Municipality of San Enrique OFFICE OF THE MUNICIPAL ENGINEER -oOo- 		 Name of Project		: Supply of Materials for the Construction and Rehabilitation of Drainage System Location			: Danao St., Brgy.</t>
  </si>
  <si>
    <t xml:space="preserve"> Procurement of 2 ea UPS &amp; 13 other line items.</t>
  </si>
  <si>
    <t xml:space="preserve"> ITEM NO.	UNIT		QTY		DESCRIPTION		 							 					Printing Equipment		 1	 unit 		65		 Printer, EPSON L3110 		 					 Sablayan North District 		 2	 unit 		1		 Aircon, Window Type, 2HP 		 					 Supplies for Operation of District Offices 		 3	 ream 		172		 Coupo</t>
  </si>
  <si>
    <t xml:space="preserve"> Republic of the Philippines PROVINCE OF NUEVA ECIJA City of Palayan -o0o- Invitation to Bid for  CONSTRUCTION OF MULTI-PURPOSE FACILITY at Olivete Elementary School, Olivete, Bongabon, Nueva Ecija August 25, 2020 1.	The Provincial Government of Nueva Ecij</t>
  </si>
  <si>
    <t xml:space="preserve"> Republic of the Philippines City of manila OFFICE OF THE BARANGAY COUNCIL BIDS AND AWARDS COMMITTEE INVITATION TO APPLY FOR ELIGIBILITY AND TO BID APPROVED BUDGET FOR THE CONTRACT: 230,000.00 PROCUREMENT OF: Office supplies and other supplies</t>
  </si>
  <si>
    <t xml:space="preserve"> ITEM NO.	UNIT		QTY		DESCRIPTION		 							 1	 pc 		65		 Thermal Scanner 		 2	 gal 		130		 Alcohol 		 3	 ml 		455		 Alcohol 500ml 		 4	 pc 		1350		 Safeguard 		 5	 box 		780		 Facemask 		 INVITATION TO BID The Municipality of Sablayan through its Bids and A</t>
  </si>
  <si>
    <t xml:space="preserve"> The Cotabato Irrigation Management Office, through its Bids and Awards Committee (BAC), intends to procure the Supply and Delivery of Spare Part for Mitsubishi Pajero Jeep   in accordance with Section 53.9 (Small Value Procurement) of the 2016 Revised Imp</t>
  </si>
  <si>
    <t xml:space="preserve"> Educational Materials &amp; Supplies</t>
  </si>
  <si>
    <t xml:space="preserve"> Item 103(1)b - Structure Excavation (soft rock)  -  89.6  cu.m. Item 506(6) - Riprap and Grouted Riprap(Class B)  -  106.40  cu.m. SPCL-I - Project Billboard  -  1.00 set Invitation to Bid   REHABILITATION/REPAIR OF SAN JUAN-ENTAPATAN FARM TO MARKET ROAD </t>
  </si>
  <si>
    <t xml:space="preserve"> REPUBLIC OF THE PHILIPPINES PROVINCE OF EASTERN SAMAR MUNICIPALITY OF LAWAAN REQUEST FOR QUOTATION PR No.: RFQ No.: PR Date: PhilGEPS Reference No. : End-User : Closing Date: ABC:50,000.00 Time: Sir/Madam: Please quote your lowest price on the items/s lis</t>
  </si>
  <si>
    <t xml:space="preserve"> Republic of the Philippines								 Province of Benguet								 Municipality of Buguias								 BIDS AND AWARDS COMMITTEE								 								 			Purchase Request Number:				Date:	 			Name of the Project:				Quotation No:	 			Location of the Project:				OBR #</t>
  </si>
  <si>
    <t xml:space="preserve"> Submission of quotation is until August 28,2020 Friday at the office of Bids and Awards Committee Barangay Hall, Barangay Southside, Makati City</t>
  </si>
  <si>
    <t xml:space="preserve"> Republic of the Philippines PROVINCE OF NUEVA ECIJA City of Palayan -oOo- BIDS AND AWARDS COMMITTEE  Request for Quotation for TRUCK SCALE REPAIR AND UPGRADING August 25, 2020 1. 	The Provincial Government of Nueva Ecija (PGNE), through the General Fund i</t>
  </si>
  <si>
    <t xml:space="preserve"> REPUBLIC OF THE PHILIPPINES PROVINCE OF EASTERN SAMAR MUNICIPALITY OF LAWAAN REQUEST FOR QUOTATION PR No.: RFQ No.: PR Date: PhilGEPS Reference No. : End-User : Closing Date: ABC:85,900.00 Time: Sir/Madam: Please quote your lowest price on the items/s lis</t>
  </si>
  <si>
    <t xml:space="preserve"> Republic of the Philippines City of manila OFFICE OF THE BARANGAY COUNCIL BIDS AND AWARDS COMMITTEE INVITATION TO APPLY FOR ELIGIBILITY AND TO BID APPROVED BUDGET FOR THE CONTRACT: 160,000.00 PROCUREMENT OF: Office supplies and equipment</t>
  </si>
  <si>
    <t xml:space="preserve"> INVITATION TO BID (ITB No. 002-20 BC) Republic of the Philippines Barangay Government of Calimpak Backfilling of Barangay Lot August 24, 2020 1. The Barangay Government of Calimpak, through the 20% of Barangay Development Fund intends to apply the sum of </t>
  </si>
  <si>
    <t xml:space="preserve"> Upgrading of local access road</t>
  </si>
  <si>
    <t xml:space="preserve"> Item 101(1) - Removal of Existing Structures and Obstructions   84.00  sq.m. Item 105 - Subgrade Preparation  84.00  sq.m. Item 201 - Aggregate Base Course @0.10m thick  70.00  cu.m. Item 311(1)a.2 - PCC Pavement (Plain) Conventional Method, 200mm thick -</t>
  </si>
  <si>
    <t xml:space="preserve"> PROJECT NAME: IMPROVEMENT OF SOCIO-CULTURAL &amp; EVACUATION CENTER (PHASE VIII) PROJECT LOCATION:  Loo, Buguias, Benguet DURATION:  290 CD (Including mobilization &amp; curing) PROJECT Cost:  PHP 4,000,000.00 SOURCE OF FUND: 20% MDF CY 2020 ITEM NO.	DESCRIPTION	</t>
  </si>
  <si>
    <t xml:space="preserve"> Kindly refer to the uploaded RFQ in the Associated Components, or proceed to https://philguarantee.gov.ph/procurements/requests-and-invitations/2020-2/ For inquiries, please contact Atty. Ronces Anne Reyes-De Leon at 8897-3232  and/or rardeleon@philguaran</t>
  </si>
  <si>
    <t xml:space="preserve"> Procurement of supplies for printing of modules for fourth quarter of fiscal year 2020. These materials will be used for printing out of modules to be distributed to pupils of Tres Andanas Elementary School.</t>
  </si>
  <si>
    <t xml:space="preserve"> Republic of the Philippines PROVINCE OF NUEVA ECIJA City of Palayan -o0o- Invitation to Bid for  CONSTRUCTION OF MULTI-PURPOSE FACILITY at Curva Elementary School, Curva, Cuyapo, Nueva Ecija August 25, 2020 1.	The Provincial Government of Nueva Ecija (PGN</t>
  </si>
  <si>
    <t xml:space="preserve"> Procurement of Materials for Elevation of Pathway Insiders and Mantipak</t>
  </si>
  <si>
    <t xml:space="preserve"> The Barangay Government of Brgy. San Pedro, Quinapondan, Eastern Samar, through its Bids and Awards Committee (BAC), intends to apply the sum of One Hundred Sixty Six Thousand Three Hundred Forty Five Pesos and 82/100 (Php 166,345.82), under the 20% BDF o</t>
  </si>
  <si>
    <t xml:space="preserve"> Republic of the Philippines City of manila OFFICE OF THE BARANGAY COUNCIL BIDS AND AWARDS COMMITTEE INVITATION TO APPLY FOR ELIGIBILITY AND TO BID APPROVED BUDGET FOR THE CONTRACT: 109,000.00 PROCUREMENT OF: Office supplies and equipment</t>
  </si>
  <si>
    <t xml:space="preserve"> NOTICE TO THE PUBLIC REQUEST FOR QUOTATION                                              AMP SVP-D NO: 20-08-0442   The University of the Philippines, Diliman (UPD) hereby informs the public that it will be procuring the following item/s through Small Valu</t>
  </si>
  <si>
    <t xml:space="preserve"> NOTICE TO THE PUBLIC REQUEST FOR QUOTATION                                              AMP SVP-D NO: 20-08-0443   The University of the Philippines, Diliman (UPD) hereby informs the public that it will be procuring the following item/s through Small Valu</t>
  </si>
  <si>
    <t xml:space="preserve"> Item I - Concrete Works   0.64 cu.m. Item II - Construction/Installation of Post and Lights   8.00 sets Item III - Electrical Works  8.00  sets SPCL-I - Project Billboard   1.00 set Invitation to Bid   CONSTRUCTION/INSTALLATION OF STREET LIGHTS 	 1.	The L</t>
  </si>
  <si>
    <t xml:space="preserve"> PROJECT NAME: Improvement of Palangpang Footpath PROJECT LOCATION:  Loo, Buguias, Benguet DURATION:  34 CD (Including mobilization &amp; curing) PROJECT Cost:  PHP 50,000.00 SOURCE OF FUND: 20% MDF CY 2020 ITEM NO.	DESCRIPTION							 QTY  	   	UNIT 105		subgr</t>
  </si>
  <si>
    <t xml:space="preserve"> Republic of the Philippines PROVINCE OF ZAMBOANGA SIBUGAY Municipality of Payao Barangay Calape REQUEST FOR QUOTATION ALTERNATIVE METHOD OF PROCUREMENT THRU NEGOTIATED PROCUREMENT-SMALL VALUE (Sec. 53.9 of RA 9184) Date: August 24, 2020 PR-2020-08-001 TO </t>
  </si>
  <si>
    <t xml:space="preserve"> Additional Load (php700 per month) January February March April May June July August September October November December</t>
  </si>
  <si>
    <t xml:space="preserve"> QTY	 UNIT	 ITEM/DESCRIPTION	 ABC (PhP)	 UNIT PRICE	 TOTAL PRICE 1	Set	A/V Receiver Built-in amplifier, tuner, radio, input selection, volume control. Has Audio and Video Component HDMI Inputs USB Input Digital Audio input Music Cast Wireless multi room au</t>
  </si>
  <si>
    <t xml:space="preserve"> Please see and download attachments</t>
  </si>
  <si>
    <t xml:space="preserve"> ICT Equipment LOT NO.	DESCRIPTION	ABC (in PhP) 1	Quadcaptor Drone	109,800.00 2.     A3 All-in-One Printer	94,600.00 	Wireless All-in-One Printer	 3	PVC ID Printer	137,500.00 4	Barcode Printer	20,000.00</t>
  </si>
  <si>
    <t xml:space="preserve"> Republic of the Philippines PROVINCE OF ZAMBOANGA SIBUGAY Municipality of Payao Barangay Katipunan REQUEST FOR QUOTATION ALTERNATIVE METHOD OF PROCUREMENT THRU NEGOTIATED PROCUREMENT-SMALL VALUE (Sec. 53.9 of RA 9184) Date: August 24, 2020 PR-2020-08-007 </t>
  </si>
  <si>
    <t xml:space="preserve"> NOTICE TO THE PUBLIC REQUEST FOR QUOTATION                                              AMP SVP-D NO: 20-08-0248D	              The University of the Philippines, Diliman (UPD) hereby informs the public that it will be procuring the following item/s throu</t>
  </si>
  <si>
    <t xml:space="preserve"> The Cotabato Irrigation Management Office, through its Bids and Awards Committee (BAC), intends to procure the Supply and Delivery of Four (4) Complete Sets of Desktop Computer   in accordance with Section 53.9 (Small Value Procurement) of the 2016 Revise</t>
  </si>
  <si>
    <t xml:space="preserve"> 1. The DEPARTMENT OF AGRARIAN REFORM-KALINGA through the Government of the Philippines (GOP) General Appropriations Act, 2019 CONTINUING FUND intends to apply the sum of: PhP1,707,650.00 for LOT 1, Supply and Delivery of Multipurpose Microbial Inoculant w</t>
  </si>
  <si>
    <t xml:space="preserve"> Item 101(3)a.2 - Removal of Existing PCC Pavement, 0.15m thick  750.25 Sq.m. Item 105(2) - Subgrade Preparation  750.25  sq.m. Item 201(1) - Aggregate Base Course   75.03  cu.m. Item 311(1)a.2 - PCC Pavement (Plain)-Conventional Method, 200mm thick   750.</t>
  </si>
  <si>
    <t xml:space="preserve"> Installation of Water Supply System</t>
  </si>
  <si>
    <t xml:space="preserve"> Republic of the Philippines PROVINCE OF NUEVA ECIJA City of Palayan -o0o- Invitation to Bid for  CONSTRUCTION OF MULTI-PURPOSE FACILITIES (RE-BID) August 25, 2020 1.	The Provincial Government of Nueva Ecija (PGNE), through the Special Educational Fund (SE</t>
  </si>
  <si>
    <t xml:space="preserve"> Republic of the Philippines Province of Romblon Municipality of Alcantara BARANGAY GUI-OB -o0o- INVITATION TO BID FOR THE PURCHASE OF MATERIALS FOR  MULTI-PURPOSE HALL BRGY GUI-OB PHASE 3 The Local Government Unit of Barangay Gui-ob, Alcantara, Romblon, t</t>
  </si>
  <si>
    <t xml:space="preserve"> 1.		Acrytex Reducer	12	gals 2.		Acrytex Cast	32	gals 3.		Sand Paper # 100	30	meters 4.		Flat Latex B/S White	16	gals 5.		Acrylic Emulsion	3	gals 6.		QDE B/S White	4	gals 7.		Epoxy Primer	4	liters 8.		Paint Thinner	1	gal 9.		Lacquer Thinner	2	gals 10.		Bla</t>
  </si>
  <si>
    <t xml:space="preserve"> Please see attached Request for Quotation (RFQ) for complete details.</t>
  </si>
  <si>
    <t xml:space="preserve"> Republic of the Philippines									 Province of Benguet									 Municipality of Buguias									 BIDS AND AWARDS COMMITTEE									 									 			Purchase Request Number:				Date:		 			Name of the Project:				Quotation No:		 			Location of the Project:		</t>
  </si>
  <si>
    <t xml:space="preserve"> Item No.	Qty	Unit	Article / Description 1	4	pcs	"TIRE 750x16, (LUG TYPE)  - 14PR WITH FLAPS AND TUBES (FOTON DUMPTRUCK)" 2	2	pcs	"TIRE 750x16, (MILER)  -14PR WITH FLAPS AND TUBES (FOTON DUMPTRUCK)"</t>
  </si>
  <si>
    <t xml:space="preserve"> The City Government of Santiago invites interested parties to submit price quotation for the “SUPPLY AND DELIVERY OF ACETYLENE AND OXYGEN FOR MOTORPOOL USE“ City Hall, Santiago City, details as follows: ABC: Php 68,900.00 Contract Duration: 14 calendar da</t>
  </si>
  <si>
    <t xml:space="preserve"> 1 Canvas Cover(Mini Dump Truck Elf-Blue)</t>
  </si>
  <si>
    <t xml:space="preserve"> QTY		UNIT		DESCRIPTION 4	SETS	DHI-LTV43-LN400 43" 4K UHD TV • Nano Cell Color • IPS 4K PANEL • 4K Active HDR • 4K HFR High Frame Rate• HDMI Input • • Wide Viewing Angle •Quad core Processor • DTS Virtual:X • USB 2.0 port • Resolution:3840 x 2160 •Power Re</t>
  </si>
  <si>
    <t xml:space="preserve"> Procurement of Meals and Snacks</t>
  </si>
  <si>
    <t xml:space="preserve"> 10 pcs. Signotec Sigma LCD Signature Pad</t>
  </si>
  <si>
    <t xml:space="preserve"> The City Government of Santiago invites interested parties to submit price quotation for the “SUPPLY AND DELIVERY OF GROCERY ITEMS FOR HALFWAY HOME FOR GIRLS/WOMEN SUPPLY FOR THE FIRST AND SECOND QUARTER“ City Hall, Santiago City, details as follows: ABC:</t>
  </si>
  <si>
    <t xml:space="preserve"> Please see attached file. . . .</t>
  </si>
  <si>
    <t xml:space="preserve"> Requesting for Quotation (RFQ) for PR No. 2007305  Interested suppliers are invited to submit Sealed Price Quotations for the above listed items. The Request for Quotation (RFQ) for may be obtained from Mr. Albert A. Camarillo City General Services Office</t>
  </si>
  <si>
    <t xml:space="preserve"> Philippine Carabao Center at Central Mindanao University invites a Philgeps Registered suppliers to supply Furrower (Four Row Furrower) with an approved ABC 75,000.00. Suppliers must attached their Certificate of Philgeps Registration, Mayor's Permit, Bus</t>
  </si>
  <si>
    <t xml:space="preserve"> City Government of La Carlota								          Standard Form Number: SF-GOOD-59 Revised on: May 24, 2004 Standard Form Title: REQUEST FOR QUOTATION 												Date: ______________												              Quotation No.________ Company Name Address 	Pleas</t>
  </si>
  <si>
    <t xml:space="preserve"> Republic of the Philippines					 Province of Southern Leyte					 Municipality of Silago					 					 REQUEST FOR QUOTATION(RFQ)					 					 ______________________________________					                                           Date					 ______________________</t>
  </si>
  <si>
    <t xml:space="preserve"> 2 units capacitor control box for 5HP motor 2 units capacitor control box for 7.5HP motor</t>
  </si>
  <si>
    <t xml:space="preserve"> 1	Automotive Diesel Fuel							1	Lot	75,000.00 2	Unleaded Gasoline							1	Lot	10,800.00 										 	NOTE: Terms and Conditions									 	1. The supplier start to serve within 3 days upon receipt of the advice by the project engineer until the project is </t>
  </si>
  <si>
    <t xml:space="preserve"> PROJECT: IMPROVEMENT OF COVERED COURT LOCATION: BARANGAY MABILOG APPROVED BUDGET FOR THE CONTRACT: PHP 75,475.00 SOURCE OF FUND: 10% SK FUND The contract to be performed by the successful bidder shall be specified in the Technical Quotation Form of the Bi</t>
  </si>
  <si>
    <t xml:space="preserve"> CONSTRUCTION/REHABILITATION/IMPROVEMENT OF BRGY. MAGSAYSAY-SITIO HURUBSAN BARANGAY ROAD AT BRGY. MAGSAYSAY-SITIO HURUBSAN, JAVIER, LEYTE TERMS AND CONDITIONS : 1.	 Supply and delivery of  Labor and Materials for the Construction/Rehabilitation /Improvemen</t>
  </si>
  <si>
    <t xml:space="preserve"> REQUEST FOR QUOTATION (RFQ) 											Date: August 21, 2020 The Owner/Proprietor _________________________ Borongan City Sir: Please quote your price for the items specified below, taking into consideration the following &amp; fill-up the above portion “The </t>
  </si>
  <si>
    <t xml:space="preserve"> intends to apply the sum of Three Hundred Forty Nine Thousand Seventy Six Pesos and 00/100 only (P 349,076.00) being the Approved Budget for the Contract (ABC) to payment under the contract of Provision and Installation of Split-Type Air Conditioner.  Bid</t>
  </si>
  <si>
    <t xml:space="preserve"> INVITATION TO BID FOR THE SUPPLY AND DELIVERY  OF LABORATORY SUPPLIES AND MACHINE   1.	The Bureau of Animal Industry, through the General Appropriations Act FY 2020 intends to apply the sum of Twenty-Six Million Four Hundred Fifty-Eight Thousand Pesos (P </t>
  </si>
  <si>
    <t xml:space="preserve"> Procurement of Office Equipment</t>
  </si>
  <si>
    <t xml:space="preserve"> ALBAY 3RD DISTRICT ENGINEERING OFFICE																																						 Paulog, Ligao City																																						 																																						 INVITATION TO BID																																						 																											</t>
  </si>
  <si>
    <t xml:space="preserve"> 1 14 REAM/S PAPER - BOOK A4,210MMX297MM,MIN OF 70GSM 2 3 BTL/S INK - EPSON 003 (BLACK) 3 3 BTL/S INK - EPSON 003 (CYAN) 4 3 BTL/S INK - EPSON 003 (MAGENTA) 5 3 BTL/S INK - EPSON 003 (YELLOW) 6 3 PC/S INK - EPSON - BLACK T6641 7 3 PC/S INK - EPSON - CYAN T</t>
  </si>
  <si>
    <t xml:space="preserve"> SEE ATTACHED RFQ</t>
  </si>
  <si>
    <t xml:space="preserve"> -  PLUMBING WORKS -  CERAMIC TILES                             -  PAINTING WORKS          -  ELECTRICAL WORKS</t>
  </si>
  <si>
    <t xml:space="preserve"> please see attachment</t>
  </si>
  <si>
    <t xml:space="preserve"> Please see attached file . . . . . .</t>
  </si>
  <si>
    <t xml:space="preserve"> The City Government of Santiago invites interested parties to submit price quotation for the “SUPPLY AND DELIVERY OF VARIOUS SUPPLIES AND MATERIALS FOR BALAY NAMNAMA YOUTH HOME FOR BOYS“ City Hall, Santiago City, details as follows: ABC: Php 90,381.00 Con</t>
  </si>
  <si>
    <t xml:space="preserve"> Please see RFQ and Technical Specifications</t>
  </si>
  <si>
    <t xml:space="preserve"> 6	pcs.	4.50 cm thick partition laminated glass finish 		(H-150 cm x W-150cm) 2	pcs.	4.50 cm thick partition laminated glass finish 		(H-150 cm x W-140cm) 4	pcs.	4.50 cm thick partition laminated glass finish 		(H-150 cm x W-70cm) 4	pcs.	Table Top Woodgrai</t>
  </si>
  <si>
    <t xml:space="preserve"> CONCRETING OF ROAD AT NELIA VILLE SUBDIVISION UPPER KM. 11 Minimum Equipment Requirement 1	Concrete mixer (1-bagger) 1	Handroller, 2T, vibratory 1	Bar Cutter 1	Concrete Vibrator Minimum Manpower Requirement 4	Mason/Carpenter 8	Laborer 1	First Aider ITEM		</t>
  </si>
  <si>
    <t xml:space="preserve"> Republic of the Philippines Province of Albay Municipality of Sto. Domingo Bids and Awards Committee Request for Quotation: 08-04-2020 	The LGU- Sto. Domingo, Albay through its Bids and Awards Committee (BAC) invites Suppliers/Manufacturer/Distributors fo</t>
  </si>
  <si>
    <t xml:space="preserve"> (A) For use of  Road Slope Management (RSM), Planning and Design Division			 3	pcs.	Mountain Shoes			 3	pcs.	Jacket - Lightweight, Waterproof and with Logo			 		(B) For the Preparation of Right-of-Way Action Plan (RAP) and Environmental Impact Assessment </t>
  </si>
  <si>
    <t xml:space="preserve"> 1	unit	Smartphone-GPS Capable			 		"Technical Specifications: OS: Android/iOS v9.0 Processor: Quad Core Processor Memory: 4GB RAM Storage: Internal 16GB; External Memory Card Slot Display: LCD Multi-Touchscreen, 5-inch Camera: 12MP Main Camera, Front, Geo</t>
  </si>
  <si>
    <t xml:space="preserve"> 15 BAGS PORTLAND CEMENT 45 PCS   75cm Ø X 1.00 m R.C. PIPE 5  cu.m. GRAVEL 3/4" MSA</t>
  </si>
  <si>
    <t xml:space="preserve"> CPU intel i7-8550U, 1.8 GHz RAM 4G</t>
  </si>
  <si>
    <t xml:space="preserve"> Contract Name: REPAIR/MAINTENANCE OF DepED DIVISION OFFICE CALBAYOG CITY DIVISION OFFICE BUILDING, BRGY. HAMORAWON, CALBAYOG CITY, SAMAR Contract Location: SAMAR  Brief Description: CONSTRUCTION OF BUILDING: 1 BUILDING  Approved Budget for the Contract (A</t>
  </si>
  <si>
    <t xml:space="preserve"> 1 pc. Cork Board 1 pc. Glass Writing Board (6ft x 3ft) 1 pc. Glass Writing Board (4ft x 3ft) 1 unit Paper Shredder (Heavy Duty) 1 unit Sofa Stool with Storage (L53" x W23" x H15", Leatherette) 4 pcs. External Hard Drive 2TB</t>
  </si>
  <si>
    <t xml:space="preserve"> 2873	liters	Diesel</t>
  </si>
  <si>
    <t xml:space="preserve"> Purchase of Oshkosh Spare Parts</t>
  </si>
  <si>
    <t xml:space="preserve"> CONCRETING OF ROAD AT KM. 11 SAN JOSE ITEM		DESCRIPTION 100(1)		Site Clearing and Grubbing 101(1)		Removal of Structures and Obstruction 103(1)		Structure Excavation 103(3)		Foundation Fill 105(1)		Subgrade Preparation 201		Aggregate Base Course 311(1)		P</t>
  </si>
  <si>
    <t xml:space="preserve"> 500 rms. Bond paper, legal, 70gsm</t>
  </si>
  <si>
    <t xml:space="preserve"> The City Government of Santiago invites interested parties to submit price quotation for the “SUPPLY AND DELIVERY OF OFFICE EQUIPMENT FOR CPDO USE“ City Hall, Santiago City, details as follows: ABC: Php 160,000.00 Contract Duration: 14 calendar days Sched</t>
  </si>
  <si>
    <t xml:space="preserve"> 20     Pcs.     Meter Base Class 200 20     Pcs.     Rectangular Meter Base</t>
  </si>
  <si>
    <t xml:space="preserve"> Various Relief Goods</t>
  </si>
  <si>
    <t xml:space="preserve"> Specs: 200  kgs  Molasses 200  pcs  Seedling Tray (104 holes) 200  pcs  Hoe</t>
  </si>
  <si>
    <t xml:space="preserve"> September 1-30, 2020 Consumption 1100 liters Diesel 30 liters Gasoline 8 gals. Engine Oil 3 liters Brake Fluid 4 pails Oil 10</t>
  </si>
  <si>
    <t xml:space="preserve"> Motor Compressor 1hp and 17 other Line Items</t>
  </si>
  <si>
    <t xml:space="preserve"> 690 pieces Fabricated Diploma Jacket</t>
  </si>
  <si>
    <t xml:space="preserve"> Supply and delivery of Multicabs.</t>
  </si>
  <si>
    <t xml:space="preserve"> SEE RFQ ATTACHED</t>
  </si>
  <si>
    <t xml:space="preserve"> Certifying Body for the OSHC Recertification on ISO 9001:2015</t>
  </si>
  <si>
    <t xml:space="preserve"> UNIT	  DESCRIPTION		                QUANTITY	 	WIDTH OF ROAD - 4m		LENGTH OF SHOULDER PER SIDE - 1.5m	 	THICKNESS OF ROAD - 0.2m		THICKNESS OF BASE COARSE - 0.15m	 	LENGTH OF ROAD - 300m		THICKNESS OF SUB-BASE COARSE - 0.15m	 			SUBGRADE PREPARATION - 8.4</t>
  </si>
  <si>
    <t xml:space="preserve"> 4	unit  GMP-compliant Food Cart -with/includes: *12 pcs canister for petri plates, stainless steel, can withstand up to 200 °C  *shipment to DOST-MIMAROPA RSTL, Puerto Princesa City and Coron, Palawan * Installation Php 205,000.00 2	unit  Bacticinerator E</t>
  </si>
  <si>
    <t xml:space="preserve"> The City Government of Ligao through its Bids and Awards Committee (BAC), now invites bids for the herein project: Name of Contract        : Procurement of  Urea Location                       : Ligao City Brief Description         : Procurement of  1,159</t>
  </si>
  <si>
    <t xml:space="preserve"> 2465	liters	Diesel</t>
  </si>
  <si>
    <t xml:space="preserve"> Motorcycle      1 unit  - Engine Displacement: not exceeding 200CC</t>
  </si>
  <si>
    <t xml:space="preserve"> To support the office supplies expenses of 220th AW.</t>
  </si>
  <si>
    <t xml:space="preserve"> Republic of the Philippines							 Province of Davao del Sur							 Municipality of Malalag							 							 		BIDS AND AWARDS COMMITTEE					 		CANVASS/REQUEST FOR QUOTATION					 		For Shopping &amp; Small value Procurement					 						20-Aug-20	 _______________</t>
  </si>
  <si>
    <t xml:space="preserve"> INVITATION TO QUOTE Date:  August 20, 2020 1.	The Provincial Government of Davao del Sur, through its Bids and Awards Committee (BAC), invites all interested bidders/suppliers to quote for the following goods under Alternative Methods of Procurement (Smal</t>
  </si>
  <si>
    <t xml:space="preserve"> 1	1	unit	"3TR/4HP, Floor Mounted Inverter (KV36FM-ARF21C) - Free Outdoor Bracket (L-TYPE) "</t>
  </si>
  <si>
    <t xml:space="preserve"> The City Government of Santiago invites interested parties to submit price quotation for the “SUPPLY AND DELIVERY OF VARIOUS SUPPLIES AND DEVICES FOR DENTAL SETTING MODIFICATION“ City Hall, Santiago City, details as follows: ABC: Php 403,564.00 Contract D</t>
  </si>
  <si>
    <t xml:space="preserve"> INVITATION TO BID FOR THE PROVISION OF SERVICE PROVIDER ON THE DISPOSAL OF CONFISCATED MEAT AND MEAT PRODUCTS   1.	The Bureau of Animal Industry, through the General Appropriations Act FY 2020 intends to apply the sum of Five Million Nine Hundred Seventy-</t>
  </si>
  <si>
    <t xml:space="preserve"> SOURCE OF FUND: LDRRMF  2020 BIDDING DATE &amp; TIME: AUGUST 28, 2020- 11:00 A.M</t>
  </si>
  <si>
    <t xml:space="preserve"> Republic of the Philippines DEPARTMENT OF PUBLIC WORKS AND HIGHWAYS LA UNION SECOND DISTRICT ENGINEERING OFFICE REGIONAL OFFICE I Natividad, Naguilian, La Union INVITATION FOR ELIGIBILITY SCREENING AND TO BID (For Small Value Procurement) SEALED BIDS, sub</t>
  </si>
  <si>
    <t xml:space="preserve"> CALIBRATION OF ONE UNIT INJECTION PUMP OF KENWORTH PRIME MOVER</t>
  </si>
  <si>
    <t xml:space="preserve"> September 1-30, 2020 Consumption 2500 liters Diesel 350 liters  Gasoline 30 gals Engine Oil 4 liters Brake Fluid 4 liters ATF 3 liters Synthetic Oil</t>
  </si>
  <si>
    <t xml:space="preserve"> The City Government of Santiago invites interested parties to submit price quotation for the “SUPPLY AND DELIVERY OF VARIOUS SUPPLIES FOR HEALTHY TOOTH AND HEALTHY BABY PROGRAM“ City Hall, Santiago City, details as follows: ABC: Php 751,130.00 Contract Du</t>
  </si>
  <si>
    <t xml:space="preserve"> Invitation to Bid for SUPPLY AND DELIVERY OF BRAND NEW DROP SIDE TRUCK FOR NORSU MAIN CAMPUS GOOD2020-07-01 1. The Negros Oriental State University (NORSU) and the Bids and Awards Committee (BAC), through Special Trust Fund 164 intends to apply the sum of</t>
  </si>
  <si>
    <t xml:space="preserve"> Medical Supplies and PPE's</t>
  </si>
  <si>
    <t xml:space="preserve"> Scope of Work: Construction of Housing for a General Purpose Indoor Experimental Facility 1. Masonary Work (concrete wall) 2. Roofing works (Steel Trusses &amp; Roofing-ceiling included) 3. Tile Works 4.Plumbing works 4. Other (rehabilitation of fish tanks) D</t>
  </si>
  <si>
    <t xml:space="preserve"> The City Government of Santiago invites interested parties to submit price quotation for the “SUPPLY AND DELIVERY OF GROCERY ITEMS FOR BALAY NAMNAMA YOUTH HOME FOR BOYS“ City Hall, Santiago City, details as follows: ABC: Php 247,393.60 Contract Duration: </t>
  </si>
  <si>
    <t xml:space="preserve"> The City Government of San Pedro, Laguna invites interested parties to quote for the following item/s as per request Sangguniang Panlungsod: Qty.	Unit of Issue	Item Description 		 5	Tube	Ballpen - Blue	 5	Tube	Ballpen - Black	 10	Box	Sign Pen - Blue	 10	B</t>
  </si>
  <si>
    <t xml:space="preserve"> VARIOUS ITEM</t>
  </si>
  <si>
    <t xml:space="preserve"> Complete construction of (9.50mx36.00m) One (1) Storey Four (4) Classroom School Building mostly built with concrete and masonry, with PWD ramp with handrails, parapet wall on concrete gutter and  Complete with electrical works, sanitary plumbing works an</t>
  </si>
  <si>
    <t xml:space="preserve"> Purchase of Construction Materials and Supplies</t>
  </si>
  <si>
    <t xml:space="preserve"> 1 3 REAM/S PAPER - BOND COLORED LONG-PINK 2 3 REAM/S PAPER - BOND COLORED SHORT-PINK 3 2 PC USB FLASH DRIVE - 32 GB 4 2 BOX BALLPEN - BLACK ORDINARY 50'S 5 15 PC/S ENVELOP - EXPANDING LONG- GREEN W/ SLING 6 10 PACKS PAPER - PHOTO A4 SIZE 200GMS 20'S/PACK </t>
  </si>
  <si>
    <t xml:space="preserve"> Corazon Locsin Montelibano Memorial Regional Hospital, through its Bids and Awards Committee, intends to procure DRUGS &amp; MEDICINES (PR#20-06-70448), which will be undertaken in accordance with Section 53.9 of the Revised Implementing Rules and Regulations</t>
  </si>
  <si>
    <t xml:space="preserve"> PIO 		 8 Packs  Toilet tissue 12 rolls/ pack	 12 Pcs White board marker (black)	 5 Rolls Tape  double –sided w/ foam ½ inch	 5 Packs Paper special A4	 5 Packs Photo paper A4	 5 Pcs	Photo paper short 	 5  Pcs Correction tape 	 5 Tube Led light bulb 25(w)	 </t>
  </si>
  <si>
    <t xml:space="preserve"> Procurement of Norephinephrine 1mg/ml</t>
  </si>
  <si>
    <t xml:space="preserve"> Various Medicines</t>
  </si>
  <si>
    <t xml:space="preserve"> ITEM NO.	UNIT		QTY		DESCRIPTION		 							 					Monitoring &amp; Evaluation of GAD Projects (Admin/GAD)		 1	 ltrs 		500		 Diesel 		 					 Updating of GAD Data Base (Admin/GAD) 		 2	 ltrs 		200		 Diesel 		 					 Tourism Operation and Maintenance 		 3	 ltrs 		42</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</si>
  <si>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</si>
  <si>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Scope of Work: Construction of Housing for Multi-purpose Indoor Research Facility 1. Masonary works 2. Roofing system 3.Tile works 4. Plumbing 5.Others (upgrading of the following): Details: 8 units 2.0m dia Larva rearing tanks 3 unit 1.0m x 1.2m broodsto</t>
  </si>
  <si>
    <t xml:space="preserve"> The San Jose City LGU through the General Fund intends to apply the sum of Two Million Nine Hundred Ninety Eight Thousand Six Hundred Forty Four pesos (Php 2,998,644.00) being the Approved Budget for the Contract (ABC) to payment under the contract for th</t>
  </si>
  <si>
    <t xml:space="preserve"> Republic of the Philippines Province of Davao de Oro Municipality of Monkayo -o0o- INVITATION TO BID FOR THE PROCUREMENT OF DUPLICATING/ PHOTOCOPYING MACHINE   The Municipality of Monkayo, through the GENERL FUND intends to apply the FIVE HUNDRED FORTY TH</t>
  </si>
  <si>
    <t xml:space="preserve"> Lot Dat Computation Lot Description (Mylar) Sepia BL Plan printing Blue Print	 Survey Envelope</t>
  </si>
  <si>
    <t xml:space="preserve"> CONSTRUCTION MATERIALS</t>
  </si>
  <si>
    <t xml:space="preserve"> Specs: 3,000  pcs  Grafted Pili Seedlings</t>
  </si>
  <si>
    <t xml:space="preserve"> PGM-BAC reserves the right to reject any or all quotations to waive formality therein and to accept offers as may be considered advantageous to the government. The BAC Chairperson Boac, Marinduque</t>
  </si>
  <si>
    <t xml:space="preserve"> ITEM NO.	UNIT		QTY		DESCRIPTION		 							 1	 ltrs 		21750		Diesel		 2	 gals 		40		 Oil #10 		 3	 gals 		20		 Oil #40 		 4	 ltrs 		36		 ATF 		 	 INVITATION TO BID The Municipality of Sablayan through its Bids and Awards Committee (BAC) invites all interest</t>
  </si>
  <si>
    <t xml:space="preserve"> Contract ID:	19LG0118 Contract Name:		Construction of the ongoing projects of new town hall and other public building at Municipality of Lupon, Davao Oriental Contract Location:	Municipality of Lupon, Davao Oriental Brief Description:	Construction of the </t>
  </si>
  <si>
    <t xml:space="preserve"> Surgical Gloves (s.m.l) Surgical Face Mask KN95 Mask Face Shield Over-all Suit Laboratory Gown (Disposable)</t>
  </si>
  <si>
    <t xml:space="preserve"> NAME OF THE PROJECT: Supply and Delivery of Materials for Concreting of Pathway (Phase 2) LOCATION OF THE PROJECT:  Purok 3, Bgy. San Vicente, Donsol, Sorsogon PROJECT REFERENCE NO.:  SVP-G-2020-019 Approved Budget for the Contract (ABC):  Sixty Four Thou</t>
  </si>
  <si>
    <t xml:space="preserve"> ITEM NO.	UNIT		QTY		DESCRIPTION		 							 					Other Machinery &amp; Equipment		 1	 ltrs 		2713		 Diesel 		 2	 gals 		10		 Oil #40 		 					 Construction and Heavy Equipment 		 3	 ltrs 		3014		 Diesel 		 4	 ltrs 		361		 Gasoline 		 5	 gals 		22		 Oil #10 		 6	</t>
  </si>
  <si>
    <t xml:space="preserve"> Catering Services for the Conduct of Extension Activity of Household Production Resiliency of SDSSU Tandag Campus Please see attached Request for Quotation (RFQ)</t>
  </si>
  <si>
    <t xml:space="preserve"> various medical supplies &amp; PPE's</t>
  </si>
  <si>
    <t xml:space="preserve"> hormone (liquid, ready for injection) = 30 vials Artemia (high hatch-ability percentage, average size cyst) = 30 cans saline solution, 0.9% = 28 bottle</t>
  </si>
  <si>
    <t xml:space="preserve"> 8 liters Engine Oil 1 piece Oil Filter 1 piece Drain Plug Gasket (washer) 1 piece Windshield Washer Fluids 1 piece Windscreen Washer 1 bottle Engine Flushing Oil 1 bottle Engine Treatment 1 bottle Injector Cleaner 1 piece Ethanol Drier 1 piece Anti-Bacter</t>
  </si>
  <si>
    <t xml:space="preserve"> ITEM NO.	UNIT		QTY		DESCRIPTION		 							 					SWM Fuel and Lubricant for 3rd Quarter		 1	 ltrs 		3416		 Diesel 		 2	 ltrs 		873		 Gasoline 		 3	 pails 		4		 Oil 10 		 4	 ltrs 		6		 Oil 40 		 5	 ltrs 		2		 Oil 30 		 6	 kls 		2		 Grease 		 7	 ltrs 		1		 AT</t>
  </si>
  <si>
    <t xml:space="preserve"> INSTRUCTIONS: 1. Suppliers are required to read the instructions and fill all the blanks properly. 2. Any specifications other than those required/stated in this form shall not be considered in the evaluation of bid. 3. Quotation/s must include all kinds </t>
  </si>
  <si>
    <t xml:space="preserve"> To support the procurement of eight (8) ea MLG Tire with PN: 112T06-2 for use in the Unscheduled Maintenance of NC-212i Aircraft with tail nr 2119.</t>
  </si>
  <si>
    <t xml:space="preserve"> Invitation to Bid for the supply &amp; delivery of Various Agricultural Equipment for use of the City Veterinary &amp; Agricultural Services Office, Batangas City.</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</si>
  <si>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</si>
  <si>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INVITATION TO BID FOR THE SUPPLY AND DELIVERY                        OF IT EQUIPMENT 1.	The Bureau of Animal Industry, through the General Appropriations Act FY 2020 intends to apply the sum of One Million Two Hundred Sixty Thousand Pesos (P1,260,000.00) </t>
  </si>
  <si>
    <t xml:space="preserve"> The City Government of Santiago invites interested parties to submit price quotation for the “SUPPLY AND DELIVERY OF OFFICE EQUIPMENT FOR CICATO USE“ City Hall, Santiago City, details as follows: ABC: Php 53,600.00 Contract Duration: 14 calendar days Sche</t>
  </si>
  <si>
    <t xml:space="preserve"> 3		SETS		ALL-IN-ONE-PC											 				23.8 inch											 				Intel Core i5-8250U Quad Core											 				4 GB RAM											 				256 GB SSD + 1 TB HDD											 				Windows 10											 															 3		UNITS		UNINTERRUPTED POWER SUPPLY (UPS)						</t>
  </si>
  <si>
    <t xml:space="preserve"> Procurement of General Merchandise</t>
  </si>
  <si>
    <t xml:space="preserve"> Republic of the Philippines							 Province of Northern Samar							 MUNICIPALITY OF BOBON							 Barangay Balat Balud							 -o0o-							 							 BIDS AND AWARDS COMMITTEE							 							 INVITATION TO APPLY FOR ELIGIBILITY AND TO BID							 							 The  </t>
  </si>
  <si>
    <t xml:space="preserve"> Printing of Self Learning Modules for Maria District Book Paper, A4, S.20          220 reams @ 250.00 = P 55,000.00</t>
  </si>
  <si>
    <t xml:space="preserve"> 9951 Liters Diesel 1 pail Oil#10 8 Liters 15W40 8 can Grease</t>
  </si>
  <si>
    <t xml:space="preserve"> WAREHOUSE RENTAL	 1	lot	"Site: Bontoc, Mt. Province Area: can accommodate a minimum of 1,000 bags of seeds/fertilizers Duration: 3 months Inclusive of 2 warehousemen to facilitate security of goods."	                             ₱93,000.00</t>
  </si>
  <si>
    <t xml:space="preserve"> INVITATION TO APPLY FOR ELIGIBILITY AND TO BID The MUNICIPALITY OF RONDA, through its Bids &amp; Awards Committee (BAC), Invites Suppliers registered with and classified by the DTI to Bid for the hereunder contract: Name of Contract	: Procurement of Foodstuff</t>
  </si>
  <si>
    <t xml:space="preserve"> INVITATION TO QUOTE Date:  August 20, 2020 1.	The Provincial Government of Davao del Sur, through its Bids and Awards Committee (BAC), invites all interested bidders/suppliers to quote for the following goods under Alternative Methods of Procurement ([Sho</t>
  </si>
  <si>
    <t xml:space="preserve"> Invitation to Bid for the supply &amp; delivery of P.E. Pipe for use of Brgy. Talumpok, Batangas City</t>
  </si>
  <si>
    <t xml:space="preserve"> Please see attached RFQ for more details. For queries, you may contact Ms. Jenethz De los Santos through jencdelossantos511@gmail.com Quotation are also to be sent to the email stated above.</t>
  </si>
  <si>
    <t xml:space="preserve"> *PRINTING, BINDING AND DELIVERY OF DEPED LEARNING MATERIALS 	 * 45330000 COPIES x .50/copy									 *A4 SIZE BOND PAPER, BOOKLET, BACK TO											 BACK PRINTING, SADDLE STITCH, 80 gsm											 *COLORED FRONT COVER											 *BLACK AND WHITE SUCCEEDIN</t>
  </si>
  <si>
    <t xml:space="preserve"> 40 pcs. anchor bolt 21 sheets polycarbonate Roof 1 length Tubular Steel 4 gal. epoxy enamel (kindly see attached request for quotation)</t>
  </si>
  <si>
    <t xml:space="preserve"> Desktop Computer with Printer</t>
  </si>
  <si>
    <t xml:space="preserve"> 100 ream Bond paper S-18 Long 100 ream Bond paper S-18 Short 1000 piece Brown Envelope Long 15 piece Computer Toner TN 340 Black 12 piece Computer Toner TN 340 Cyan 12 piece Computer Toner TN 340 Magenta 12 piece Computer Toner TN 340 Yellow</t>
  </si>
  <si>
    <t xml:space="preserve"> UNIT	  DESCRIPTION		                                      QUANTITY	 I.	MASONRY/CONCRETE  WORKS:			 	Qty.= 1 lot			 				 pcs	CHB #6		                                               7461	   pcs	CHB #4		                                                 660	   </t>
  </si>
  <si>
    <t xml:space="preserve"> WAREHOUSE RENTAL	 1	1	lot	"Site: Paracelis, Mt. Province Area: can accommodate a minimum of 3,000 bags of seeds/fertilizers Duration: 3 months Inclusive of 2 warehousemen to facilitate security of goods."	                                          ₱132,000</t>
  </si>
  <si>
    <t xml:space="preserve"> The City Government of San Pedro, Laguna invites interested parties to quote for the following item/s as per request PAIO: Qty.	Unit of Issue	Item Description 17	saturday	Airing of City Government Projects within the program every Saturday of the month Fo</t>
  </si>
  <si>
    <t xml:space="preserve"> Various Medicines (27 line items) as per Annex A - List of Medicines</t>
  </si>
  <si>
    <t xml:space="preserve"> 1.	The Department of Labor and Employment Regional Office VIII thru its Bids and Awards Committee, through the 2020 General Appropriations Act  intends to apply the sum of:  Lot 1: Supply and delivery of fabricated equipment		₱ 972,000.00 	Lot 2: Grocery </t>
  </si>
  <si>
    <t xml:space="preserve"> WAREHOUSE RENTAL	 1	1	lot	"Site: Abra Site 1 Area: can accommodate a minimum of 3,000 bags of seeds/fertilizers Duration: 3 months Inclusive of 2 warehousemen to facilitate security of goods."	 ₱132,000.00</t>
  </si>
  <si>
    <t xml:space="preserve"> Contract ID	: 20-HE-0122 (Re-Bid) Contract Name	: Construction of Four (4)  Storey Sixteen (16) Classrooms School Building, Tabunoc Central Elementary School, Talisay City, Cebu Location of Contract	: Cebu Province Invitation to Bid August 21, 2020 The De</t>
  </si>
  <si>
    <t xml:space="preserve"> 1.		THW #2 electric wire	2 rolls			 2.		TW #12 single stranded	2 boxes			 3.		TW #14 single stranded	5 boxes			 4.		Solid wire #14	2 boxes			 5.		Rubber Tape	5 rolls			 6.		Solderless Connector 4/0	6 pcs.			 7.		Socket	30 pcs.			 8.		Plug	20 pcs.			 9.		G</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</si>
  <si>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</si>
  <si>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Invitation to Bid for the supply &amp; delivery of Meals &amp; Snacks for use of different offices of Batangas City Government</t>
  </si>
  <si>
    <t xml:space="preserve"> 41X: Emergency Repair/Maintenance along Cervantes-Quirino Road, Km385+300-Km404+100 with exception ABC : 2,988,661.22 Source of Funds : Maintenance Fund CY 2020 (SR2020-02-000664) Duration : 90 CD Cost of Bid Documents : 5,000.00 PCAb License (Size Range)</t>
  </si>
  <si>
    <t xml:space="preserve"> Republic of the Philippines PROVINCE OF ALBAY Municipality of Rapu-Rapu INVITATION TO BID FOR  Purchase of Medical Supplies 1.	The Barangay Local  Government of Pagcolbon, Rapu-Rapu, Albay, through the Budget of contract approved by the Barangay Sanggunia</t>
  </si>
  <si>
    <t xml:space="preserve"> Supply and Delivery of Floor Mounted Airconditioner of SDSSU Tandag Campus</t>
  </si>
  <si>
    <t xml:space="preserve"> WAREHOUSE RENTAL	 1	1	lot	"Site: Abra Site 2 Area: can accommodate a minimum of 2,500 bags of seeds/fertilizers Duration: 3 months Inclusive of 2 warehousemen to facilitate security of goods."	 ₱129,000.00</t>
  </si>
  <si>
    <t xml:space="preserve"> Pls. Refer to Technical Specifications</t>
  </si>
  <si>
    <t xml:space="preserve"> Invitation to Bid for the supply &amp; delivery of Disinfectant for use of the City Veterinary &amp; Agricultural Services Office, Batangas City</t>
  </si>
  <si>
    <t xml:space="preserve"> JOSE B. LINGAD MEMORIAL REGIONAL HOSPITAL City of San Fernando, Pampanga Tel. No. (045) 961-3921 Date: August 21, 2020 No. 2020 – 08 - 261-S REQUEST FOR QUOTATION (Name of Agency) (Address) Sir/Madam: Please quote your lowest price on the item/s listed be</t>
  </si>
  <si>
    <t xml:space="preserve"> 1 unit staff meeting table with 6 chairs 2 units filing cabinet</t>
  </si>
  <si>
    <t xml:space="preserve"> 1.		TONER CART, HP 728, Black, 300ml	2 carts			 2.		TONER CART, HP 728, Cyan, 300ml	12 carts			 3.		TONER CART, HP 728, Magenta, 300ml	12 carts			 4.		TONER CART, HP 728, Yellow, 300ml	12 carts</t>
  </si>
  <si>
    <t xml:space="preserve"> Please sea attached Request for Quotation for details.</t>
  </si>
  <si>
    <t xml:space="preserve"> Contract ID	: 20-HE-0123 (Re-Bid) Contract Name	: Construction of Four (4) Storey Eight (8) Classroom School Building, Minglanilla Central Elementary School, Minglanilla, Cebu Location of Contract	: Cebu Province Invitation to Bid August 21, 2020 The Depa</t>
  </si>
  <si>
    <t xml:space="preserve"> Invitation to Bid for the Repair/Rehabilitation of Staging Tank and Drilling of one (1) 150mmØ Production Well at PhilRice Batac under PRRI-PB-2020-044 1. The Philippine Rice Research Institute, Batac Branch Station, through the Corporate Fund Budget fund</t>
  </si>
  <si>
    <t xml:space="preserve"> The National Telecommunications Commission (NTC) hereby invites prospective Suppliers to submit their Price Quotation for the Project: Procurement on the Cleaning of Overhead and Underground Cistern Tanks of NTC Central Office CY2020. ABC - Php150,000.00 </t>
  </si>
  <si>
    <t xml:space="preserve"> SUPPLY AND DELIVERY OF CHEST FREEZER TO BE USED AS COLD STORAGE OF PASTEURIZED TONED MILK FOR THE IMPLEMENTATION OF SCHOOL BASED FEEDING PROGRAM – SCHOOL MILK COMPONENT, TO WIT: 5	 Units 	 Chest Freezer, 7.0 cu. Ft. 		 		 				 Please quote your price incl</t>
  </si>
  <si>
    <t xml:space="preserve"> JOB ORDER FOR INSTALLATION OF 21 UNITS PAVILLION AT BARANGAY POBLACION, MACO DAVAO DE ORO.</t>
  </si>
  <si>
    <t xml:space="preserve"> Pursuant to the Philippine Commission on Women Memorandum Circular No. 2020-003 dated 27 April 2020 re Adjustment and/or Implementation of the FY 2020 Gender and Development (GAD) Plan and Budget in view of the Corona Virus Disease 2019 Situation, the Dep</t>
  </si>
  <si>
    <t xml:space="preserve"> Six (6) Units CORE i3 Laptop 4 GB RAM DDR4 Memory 256 GB P Cle NVMe SSDr 1,000 GB HD with Printer L3110</t>
  </si>
  <si>
    <t xml:space="preserve"> WAREHOUSE RENTAL	 1	1	lot	"Site: Tabuk City, Kalinga Area: can accommodate a minimum of 3,000 bags of seeds/fertilizers Duration: 3 months Inclusive of 2 warehousemen to facilitate security of goods."	 ₱132,000.00</t>
  </si>
  <si>
    <t xml:space="preserve"> 2 units 15 KVA Transformer, 2 units 50 KVA Transformer, 25 KVA Transformer, 4000 meters 1/0 ACSR for Primary Wire,  400 meters 4/0 ACSR for Secondary wire, 1 pc Shotgun Stick, 1 pc Hotstick, 1 pc Rachet, 1 units 2 KVA Transformer (w/battery and charger fo</t>
  </si>
  <si>
    <t xml:space="preserve"> ITEM NO. QUANTITY UNIT ITEM DESCRIPTION 1 850 BAGS PORTLAND CEMENT 2 93 CU.M. FINE AGGREGATES 3 46 CU.M. COARSE AGGREGATES 4 8 PCS. 2 X 4 X 1.2MM C-PURLINS 5 2 PCS. 12 MM DIA. RSB</t>
  </si>
  <si>
    <t xml:space="preserve"> Please see attached Request for Quotation for details.</t>
  </si>
  <si>
    <t xml:space="preserve"> Please refer to the main document attached herewith.</t>
  </si>
  <si>
    <t xml:space="preserve"> Invitation to Bid for the supply, delivery &amp; printing of Information Campaign Materials for use of different offices of Batangas City Government</t>
  </si>
  <si>
    <t xml:space="preserve"> 1.		EXTERNAL HARD DRIVE, 1TB, 2.5” HDD, USB 3.0	2 pieces			 2.		FLSH DRIVE, 16 GB Capacity	3 pieces			 3.		KEYBOARD, USB Type, Logitech	3 pieces			 4.		MOUSE, optical, USB connection type, Logitech	4 pieces			 5.		HDMI cable wire, 12 – 15 ft	2 set			 6.		</t>
  </si>
  <si>
    <t xml:space="preserve"> please see attached associated components</t>
  </si>
  <si>
    <t xml:space="preserve"> 87 Sets Jetmatic Pump *Accessories per set: Adapter (2) Footvalve (1) Solvent (1) Teflon (1) 1 1/4 Pipe (2) Elbow (1)</t>
  </si>
  <si>
    <t xml:space="preserve"> NAME OF THE PROJECT: Supply and Delivery of Materials for Construction of Drainage System LOCATION OF THE PROJECT:  Sta Cruz, Donsol, Sorsogon PROJECT REFERENCE NO.:  SVP-G-2020-021 Approved Budget for the Contract (ABC):  Sixty Seven Thousand Seventy Fiv</t>
  </si>
  <si>
    <t xml:space="preserve"> To All Eligible Suppliers; Please quote your lowest price on the items listed below, subject to the General Conditions stated herein and submit the same to the Office of the BAC-Secretariat on or before September 08, 2020 at 10:00 o'clock in the morning. </t>
  </si>
  <si>
    <t xml:space="preserve"> UNIT QUANTITY DESCRIPTION pcs. 65 tissue paper pcs. 6 disinfectant pcs. 39 safeguard ream 91 bond paper long ream 43 bond paper A4 bottle 39 EPSON Ink (Black) box 2 sign pen bottle 7 EPSON Ink refill-yellow bottle 7 EPSON Ink refill-magenta bottle 7 EPSON</t>
  </si>
  <si>
    <t xml:space="preserve"> Invitation to Bid for the supply &amp; delivery of various Veterinary Supplies &amp; Medicines for use of the City Veterinary &amp; Agricultural Services Office, Batangas City</t>
  </si>
  <si>
    <t xml:space="preserve"> Description   Contract ID: 20CRN008 Name of Project: Supply of Materials, Labor and Equipment for the Installation of Street Lights at Various Barangays Location: Municipality of Hermosa Brief Description: Electrical Works Approved Budget for the Contract</t>
  </si>
  <si>
    <t xml:space="preserve"> INVITATION TO BID FOR THE   SUPPLY AND DELIVERY OF OFFICE EQUIPMENT’S,  LGU, SAN MIGUEL, SURIGAO DEL SUR The  Local Government Unit of San Miguel through the  Bids and Awards Committee (BAC) intends to apply the sum of Two   Hundred  Forty Six Thousand Pe</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</si>
  <si>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</si>
  <si>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NOTICE TO THE PUBLIC REQUEST FOR PROPOSAL Purchase Request No: PUR20-05-0392  The Philippine General Hospital hereby informs the public that it will be procuring the following item/s through Small Value Procurement:	 Item # 1 -  30 pc Chlorexidine glucona</t>
  </si>
  <si>
    <t xml:space="preserve"> To support the Repair and Miantenance of Motor Vehicle of 220th AW.</t>
  </si>
  <si>
    <t xml:space="preserve"> Invitation to Bid for the supply &amp; delivery of Various Office Supplies &amp; Equipment for use of different offices of Batangas City Government</t>
  </si>
  <si>
    <t xml:space="preserve"> see attach documents</t>
  </si>
  <si>
    <t xml:space="preserve"> NAME OF THE PROJECT: Procurement of Reference Books for Donsol Community College LOCATION OF THE PROJECT:   Donsol, Sorsogon PROJECT REFERENCE NO.:  SVP-G-2020-022 Approved Budget for the Contract (ABC):  Eighty Seven Thousand Seven Hundred Eighty (₱87,78</t>
  </si>
  <si>
    <t xml:space="preserve"> Procurement of Scrub Suit</t>
  </si>
  <si>
    <t xml:space="preserve"> Concreting of Road with minor drainage</t>
  </si>
  <si>
    <t xml:space="preserve"> as per attached RFQ</t>
  </si>
  <si>
    <t xml:space="preserve"> CONSTRUCTION/CONCRETING/RIPRAPPING OF BARANGAY MAIN ROAD SITUATED AT SITIO JASMIN, BARANGAY PULONG ANAHAO, MABINI, BATANGAS</t>
  </si>
  <si>
    <t xml:space="preserve"> 500	pcs	CHB 4" thk. 65	bgs	Portland Cement 25	cu.m.	Washed Sand 35	lgths	# 10mm Æ x 6.00m RSB 35	lgths	# 12mm Æ x 6.00m RSB 40	pcs	Corr. G.I sheet gauge 24 133.32	bd.ft	2" x 4" x 10' 20 pcs - lauan  225.00 	bd.ft	2" x 3" x 10' 45 pcs - lauan 133.33	bd.ft	</t>
  </si>
  <si>
    <t xml:space="preserve"> INVITATION TO BID NO. 2020-CW-08 The       DPWH-QUEZON III DISTRICT ENGINEERING OFFICE, Catanauan, Quezon, through its Bids and Awards Committee (BAC), invites contractors to submit bids for the following Contracts: 1.	Procurement ID/Contract ID: 20DM0071</t>
  </si>
  <si>
    <t xml:space="preserve"> please see line item</t>
  </si>
  <si>
    <t xml:space="preserve"> Republic of the Philippines Province of Southern Leyte MUNICIPALITY OF SAINT BERNARD BIDS AND AWARDS COMMITTEE INVITATION TO BID FOR LOCAL ACCESS ROAD CONSTRUCTION/ CONCRETING/ REHABILITATION OF CATMON TO STA. CRUZ FARM TO MARKET ROAD  BAC-SBSL-MEO-2020-1</t>
  </si>
  <si>
    <t xml:space="preserve"> Republic of the Philippines DEPARTMENT OF PUBLIC WORKS AND HIGHWAYS REGIONAL OFFICE VIII Baras, Palo, Leyte    INVITATION TO BID No. 2020-08-007 August 19, 2020 1.	The Department of Public Works and Highways Regional Office VIII, Baras, Palo, Leyte, throu</t>
  </si>
  <si>
    <t xml:space="preserve"> INVITATION TO BID NO. 2020-CW-08 The       DPWH-QUEZON III DISTRICT ENGINEERING OFFICE, Catanauan, Quezon, through its Bids and Awards Committee (BAC), invites contractors to submit bids for the following Contracts: 2.	Procurement ID/Contract ID: 20DM0072</t>
  </si>
  <si>
    <t xml:space="preserve"> August 20, 2020 1.	The Provincial Government of Davao del Sur, through its Special Bids and Awards Committee (SBAC), invites all potential bidders/contractors to apply to bid for the following project. Bidssubmitted in excess of the ABC shall be automatic</t>
  </si>
  <si>
    <t xml:space="preserve"> Republic of the Philippines								 Department of Environment and Natural Resources								 PROVINCIAL ENVIRONMENT AND NATURAL RESOURCES OFFICE								 BLISS Site, Kalibo, Aklan								 Telefax  No. 268-4102								 								 REQUEST FOR  QUOTATION								</t>
  </si>
  <si>
    <t xml:space="preserve"> Gasoline Diesel Brake Fluid Coolant Synthetic Diesel Oil Synthetic Gasoline Oil</t>
  </si>
  <si>
    <t xml:space="preserve"> Contract ID:	19LG0119 Contract Name:	Construction/Repair/Rehabilitation/Improvement of Multi-purpose Building in Municipality of Banaybanay Contract Location:	Banaybanay, Davao Oriental Brief Description:	Construction/Repair/Rehabilitation/Improvement of </t>
  </si>
  <si>
    <t xml:space="preserve"> Please read Terms of Reference</t>
  </si>
  <si>
    <t xml:space="preserve"> QTY	UNIT	ARTICLE / DESCRIPTION						 								 								 62	pcs	Globe 100						 30	pcs	Smart 100						 39	pcs	Sun 100						 26	pcs	Talk N'Text 100						 19	pcs	TM 100						 								 54	pcs	Globe 300						 15	pcs	Smart 300						 21	pcs	Sun 300						 6	pcs	Ta</t>
  </si>
  <si>
    <t xml:space="preserve"> The National Telecommunications Commission hereby invites prospective Supplier to submit their Price Quotation for the Project: Procurement on the Cleaning of Four (4) corner Stainless Cladding and Front Window panels CY2020 ABC : Php150,000.00 Please see</t>
  </si>
  <si>
    <t xml:space="preserve"> Procurement of office supplies to be distribute to 36 public schools in the municipality of Camalig in the implementation of distance and blended learning during the global crisis.</t>
  </si>
  <si>
    <t xml:space="preserve"> each set includes: 1 Rescue Duty Vest 1 Rescue Jacket 3 Rescue Cargo Pants 3 Sublimation Shirts 1 pair Safety Shoes (assorted sizes) 1 Rescue Helmet 1 Rescue Cap</t>
  </si>
  <si>
    <t xml:space="preserve"> Lidocaine 2% inj,20mg/ml, 50 ml and 81 Line Items</t>
  </si>
  <si>
    <t xml:space="preserve"> STOCK 		ITEM DESCRIPTION	QTY.	UNIT NO.				 1	)	Air Freshener, Spray, 280ml	/5	bottles 2	)	Air Freshener/Car Perfume, Clip Freshener/	5	pieces 3	)	Alcohol, Isopropyl, 70% Solution, 330ml, Spray 	/94	bottles 4	)	All Purpose Cleaner 6-in-1 Total Clean	/10	ga</t>
  </si>
  <si>
    <t xml:space="preserve"> ITEM NO. 	ITEM DESCRIPTION					QTY.	UNIT	"ABC PER  ITEM" 								 1	Protective Isolation Mask (Face Shield with Glasses Frame)					2,600	piece	75.00 	Technical Specifications:     							 	Type:	Full Shield						 	Frame:	Glasses Frame 						 	Features:	An</t>
  </si>
  <si>
    <t xml:space="preserve"> INVITATION TO BID FOR THE   SUPPLY AND DELIVERY OF CONSTRUCTION MATERIALS FOR THE  CONSTRUCTION OF TINA DRAINAGE, TINA,  SAN MIGUEL, SURIGAO DEL SUR 1. The  Local Government Unit of San Miguel through the  Bids and Awards Committee (BAC) intends to apply </t>
  </si>
  <si>
    <t xml:space="preserve"> STOCK 		ITEM DESCRIPTION	QTY.	UNIT NO.				 1	)	Battery Charger, Canon Digital Camera, EOS 700D/	1	piece 2	)	Coffee Maker, 5 Cups Minimum/	1	unit 3	)	Convenience Outlet, Mount, Triplex, Universal/	8	pieces 4	)	Document Camera, HD Camera, Portable, High Spe</t>
  </si>
  <si>
    <t xml:space="preserve"> INVITATION TO BID The DPWH-Regional Office No. III,  through  its  Bids  and  Awards  Committee  (BAC),  invites contractors to submit bids for the Contract below: Procurement ID/Contract ID:    19C00095 Contract Name:      Construction of Bypass Road FAB</t>
  </si>
  <si>
    <t xml:space="preserve"> SUPPLY AND DELIVERY OF MATERIALS (INK) TO BE USED FOR THE IN-HOUSE/BY ADMINISTRATION PRINTING AND DELIVERY OF PHASE 1 LOCALLY PRODUCED AND ALTERNATIVE DELIVERY MODE-SELF LEARNING MODULES FOR THE IMPLEMENTATION OF BASIC EDUCATION-LEARNING CONTINUITY PLAN, </t>
  </si>
  <si>
    <t xml:space="preserve"> Supplies and Materials for the Upgrading of Roofing, Ceiling and Cladding of Parapet of Academic Building of SDSSU Tandag Campus Please see attached Request for Quotation (RFQ) LOT A- Cladding @ P 406,824.00 Lot B-Roofing Materials @ P 213,692.40</t>
  </si>
  <si>
    <t xml:space="preserve"> 20% EDF CY 2020 Improvement of Water System - P 150,000.00 Schedule of Activities 1. Submission &amp; Receipt of Bids/Bid Opening - September 10,2020 @ 2:00 P.M. 2. Bid Evaluation - September 11, 2020 3. Post Qualification - September 14, 2020 4. Approval of </t>
  </si>
  <si>
    <t xml:space="preserve"> To support the procurement of Seventy two (72) ea and 14 other  L/l for use in the "Check B" Scheduled maintenance of F-27 Aircraft Nr 259.</t>
  </si>
  <si>
    <t xml:space="preserve"> INVITATION TO BID NO. 2020-CW-08 The       DPWH-QUEZON III DISTRICT ENGINEERING OFFICE, Catanauan, Quezon, through its Bids and Awards Committee (BAC), invites contractors to submit bids for the following Contracts: 3.	Procurement ID/Contract ID: 20DM0073</t>
  </si>
  <si>
    <t xml:space="preserve"> REQUEST FOR QUOTATION					 _______________________________________				Date	August 18, 2020                         Name of Supplier				Quotation No.:  	2020-177 _______________________________________					                               Adrdress					 					</t>
  </si>
  <si>
    <t xml:space="preserve"> INVITATION TO BID FOR THE PROCUREMENT OF TWO (2) UNITS MULTI-PARAMETER WATER QUALITY CHECKER</t>
  </si>
  <si>
    <t xml:space="preserve"> Please see attached RFQ in Associated Component or Link Below. …</t>
  </si>
  <si>
    <t xml:space="preserve"> JOSE B. LINGAD MEMORIAL REGIONAL HOSPITAL City of San Fernando, Pampanga Tel. No. (045) 961-3921 Date: August 21, 2020 No. 2020 – 08 - 260-S REQUEST FOR QUOTATION (Name of Agency) (Address) Sir/Madam: Please quote your lowest price on the item/s listed be</t>
  </si>
  <si>
    <t xml:space="preserve"> To support the procurement of one (1) ea Nicad Battery MS24497-5 for use in the Unscheduled Maintenance of N-22 Aircraft nr C-87..</t>
  </si>
  <si>
    <t xml:space="preserve"> NAME OF THE PROJECT: Procurement of One (1) Unit Motor Bike for the Office of the Building Official LOCATION OF THE PROJECT:  Purok 3, Bgy. San Vicente, Donsol, Sorsogon PROJECT REFERENCE NO.:  SVP-G-2020-020 Approved Budget for the Contract (ABC):  One H</t>
  </si>
  <si>
    <t xml:space="preserve"> To repair of 9 strands of frangible fence at Catarman Airport, Catarman, Northern Samar.</t>
  </si>
  <si>
    <t xml:space="preserve"> 1	72	box 	Alcohol Swab 70%, 100 pieces 2	8	pack	Bathroom Tissue Paper, 2-Ply, 300 sheets, 12 rolls 3	20	box 	Clean Gloves, Nitrile, Powder Free, Large, 100 4	30	box 	Clean Gloves, Nitrile, Powder Free, Medium, 100's 5	10	pack	Cotton Applicator, Sterile, 6</t>
  </si>
  <si>
    <t xml:space="preserve"> INVITATION TO BID FOR THE SUPPLY AND DELIVERY OF CORPORATION COCK (RE-BIDDING) 1. The Metropolitan Tuguegarao Water District through the Corporate Budget for the Year 20201 intends to apply the sum of One Million Three Hundred Eighty Thousand Six Hundred </t>
  </si>
  <si>
    <t xml:space="preserve"> INVITATION TO REBID FOR Procurement of Information Communication Technology (ICT) Laboratory Equipment for CEA and CIT at NORSU Main Campus (Batch 1) GOOD2020-00-02(a) 1. The Negros Oriental State University (NORSU) and the Bids and Awards Committee (BAC)</t>
  </si>
  <si>
    <t xml:space="preserve"> Invitation to Bid for the supply &amp; delivery of Various Materials for use of different offices of Batangas City Government</t>
  </si>
  <si>
    <t xml:space="preserve"> Procurement of Laboratory Instrument</t>
  </si>
  <si>
    <t xml:space="preserve"> Item Description	Quantity	Unit 		 		 Printing of Module 1 and 2 (Bitano ES)		 Specification:		 Size: A4		 Paper Requirement: Standard 		 Basis Weight: 48.8 gsm, +/-5% Tolerance		 Brightness: 55% +/-3% Tolerance		 Opacity: 85% +/- 5% Tolerance		 Front and </t>
  </si>
  <si>
    <t xml:space="preserve"> QTY.	UNIT	DESCRIPTION 30	pairs	Rainboots 30	pcs	Raincoats 1	pc	Dry Seal 1	pc	Office Table wood with chair 1	pc	Divan Wood 5	pcs	Window Blinds</t>
  </si>
  <si>
    <t xml:space="preserve"> 1.	The Local Government Unit of Balangiga, through the Annual Budget for 2020 intends to apply the sum of Three Hundred Thousand Pesos (Php300,000.00) being the Approved Budget for the Contract (ABC) to payments under the contract for the Construction of </t>
  </si>
  <si>
    <t xml:space="preserve"> UNIT   ITEM/DESCRIPTION       QTY ream    Paper multicopy, 80gsm, size210mm297mmA4    500</t>
  </si>
  <si>
    <t xml:space="preserve"> See the attached PR for the specifications</t>
  </si>
  <si>
    <t xml:space="preserve"> 10860 Liters Diesel 3 pails Oil#10 8 Liters 15W40 8 cans Grease (2 kl./can)</t>
  </si>
  <si>
    <t xml:space="preserve"> The City Government of Santiago invites interested parties to submit price quotation for the “SUPPLY AND DELIVERY OF SPLIT TYPE AIR-CON 2.5 HP FOR CMO USE“ City Hall, Santiago City, details as follows: ABC: Php 69,300.00 Contract Duration: 14 calendar day</t>
  </si>
  <si>
    <t xml:space="preserve"> BOND PAPERS-SHORT 70GSM      391,500.00  BOND PAPERS-LONG 70GSM           4,100.00</t>
  </si>
  <si>
    <t xml:space="preserve"> https://drive.google.com/file/d/1147gf410l5N1PSyF-_JR5m5ILU5st_LY/view?usp=drivesdk</t>
  </si>
  <si>
    <t xml:space="preserve"> Printing of Self Learning Modules for Maria District Digital Duplicator Machine (Riso Machine) 3 units @ 100,000.00 = 300,000.00  Specifications:                      Print Speed: up to 90-100 print per minute                      Print Resolution:300 x 3</t>
  </si>
  <si>
    <t xml:space="preserve"> 1 3 PC/S CUTTER - W/ PLASTIC &amp; METAL CASE,BIG 2 2 BOX/S FASTENER - PAPER, PLASTIC, 50 SETS/BOX 3 20 PC/S MASKING TAPE - # 2" 4 10 ROLL/S TAPE - TRANSPARENT 24MM (1") WIDTH USABLE LENGHT OF 50M 5 10 PC/S REFILL - BALLPEN BP-S-BLACK 6 40 PC/S FOLDER - EXPAN</t>
  </si>
  <si>
    <t xml:space="preserve"> Republic of the Philippines Province of Nueva Vizcaya BIDS AND AWARDS COMMITTTEE (GOODS) BAC OFFICE, Provincial Capitol, Bayombong, Nueva Vizcaya 	 		 4th REQUEST FOR QUOTATION (RFQ) For the Procurement of Construction Materials (Improvement of LMET Guard</t>
  </si>
  <si>
    <t xml:space="preserve"> 1. The Municipality of Nabas, Aklan through its local budget approved by the Sanggunian, intends to apply the sum of Two Hundred Fifty Thousand Pesos and 00/100 only (P 250, 000.00) being the Approved Budget for the Contract (ABC) to payment under the con</t>
  </si>
  <si>
    <t xml:space="preserve"> REQUEST TO SUBMIT QUOTATION The TARLAC AGRICULTURAL UNIVERSITY, through its Bids and Awards Committee (BAC), invites all suppliers and dealers to submit quotation for the Contract Reference # 2020-RFQ “PURCHASE OF LET REVIEWER FOR THE COLLEGE OF EDUCATION</t>
  </si>
  <si>
    <t xml:space="preserve"> 1 15 REAM/S PAPER - BOOK A4,210MMX297MM,MIN OF 70GSM 2 10 PC/S CORRECTION TAPE - W/ CASE 3 50 PC/S BALLPEN - ORDINARY, BLACK 4 6 PC/S PEN - SIGN PEN BLACK-0.4 5 5 BOX/S CLIP - PAPER-VINYL COATED ( BIG ) 6 5 BOX/S CLIP - PAPER-VINYL COATED ( SMALL ) 7 4 BO</t>
  </si>
  <si>
    <t xml:space="preserve"> Supplies and Materials for the Valuation of Water Pollutants Along Moonglow Creek and Air Exhaust in Tandag Slaughter House Lot A- P 30,000.00 Lot B- P   5,000.00 Lot C- P   3,000.00 Lot C (A)- P 2,900.00 Lot D- P 1,500.00 Lot D (A)- P 2,000.00 Lot E-P 29</t>
  </si>
  <si>
    <t xml:space="preserve"> 20 pcs. Ink Cart.HP LOS72AA (HP 955XL-Black) - Original 8 pcs. Ink Cart. HP LOS69AA (HP 955XL-Yellow) - Original 8 pcs. Ink Cart. HP LOS66AA (HP 955XL-Magenta) - Original 8 pcs. Ink Cart. HP LOS63AA (HP 955XL-Cyan) - Original</t>
  </si>
  <si>
    <t xml:space="preserve"> IP-21 220-240 Volts, 60 Hz., 30 HP Motor (22 KW), 3 Phase, Delta or any equivalent brand</t>
  </si>
  <si>
    <t xml:space="preserve"> The City Government of Santiago invites interested parties to submit price quotation for the “SUPPLY AND DELIVERY OF LEARNING MATERIALS FOR KIDS THERAPEUTIC ART WORKSHOP AND QUARANTINE STORY BOOK“ City Hall, Santiago City, details as follows: ABC: Php 252</t>
  </si>
  <si>
    <t xml:space="preserve"> RFQ (20-08-032) Various Medical Supplies</t>
  </si>
  <si>
    <t xml:space="preserve"> 1226.66  bd.ft.  2x2x8"  coco lumber 460 pcs.  266.66   bd.ft.  2x2x10' coco lumber  80  pcs.    40       bundle  1x1x10 coco lumber (6pcs/bundle)</t>
  </si>
  <si>
    <t xml:space="preserve"> Republic of the Philippines Province of Nueva Vizcaya BIDS AND AWARDS COMMITTTEE (GOODS) BAC OFFICE, Provincial Capitol, Bayombong, Nueva Vizcaya 	 		 3rd REQUEST FOR QUOTATION (RFQ) For the Procurement of Vehicle Parts for BM Elma Pinao-An Lejao For the </t>
  </si>
  <si>
    <t xml:space="preserve"> Republic of the Philippines Province of Nueva Vizcaya BIDS AND AWARDS COMMITTTEE (GOODS) BAC OFFICE, Provincial Capitol, Bayombong, Nueva Vizcaya 	 		 2nd REQUEST FOR QUOTATION (RFQ) For the Procurement of 4 Pcs Tires for BM Cirilo Galindez For the Sanggu</t>
  </si>
  <si>
    <t xml:space="preserve"> Republic of the Philippines Danao City BIDS AND AWARDS COMMITTEE 	 REQUEST FOR QUOTATION The Local Government of Danao City, through the City Admin./Waterworks Division intends to apply the sum of Php177,802.00 being the Approved Budget for the Contract (</t>
  </si>
  <si>
    <t xml:space="preserve"> Republic of the Philippines Danao City BIDS AND AWARDS COMMITTEE 	 REQUEST FOR QUOTATION The Local Government of Danao City, through the City Engineering Office intends to apply the sum of Php55,892.00 being the Approved Budget for the Contract (ABC) to p</t>
  </si>
  <si>
    <t xml:space="preserve"> :To support the procurement of six (6) ea Chuck Assy and one (1) other L/l for use in the Unscheduled Maintenance of C-130T Aircraft..</t>
  </si>
  <si>
    <t xml:space="preserve"> 20CSE015 – Consulting Services on the Conduct of Sub-soil Investigation for the Proposed Reconstruction/Rehabilitation of National Roads with Slips and Slope Collapse along F.B. Reyes (Busuanga Coron) Road (K0012+810.00 – K0015+550.00; K0020+763.98 – K002</t>
  </si>
  <si>
    <t xml:space="preserve"> INVITATION TO BID NO. 2020-CW-08 The       DPWH-QUEZON III DISTRICT ENGINEERING OFFICE, Catanauan, Quezon, through its Bids and Awards Committee (BAC), invites contractors to submit bids for the following Contracts: 4.	Procurement ID/Contract ID: 19DM0121</t>
  </si>
  <si>
    <t xml:space="preserve"> Section I. Invitation to Bid SUPPLY OF LABOR, EQUIPMENT AND RESTORATION MATERIALS FOR THE INSTALLATION, TESTING AND COMMISSIONING OF 250MM DIA. TRANSMISSION LINE ALONG AMULUNG SOLANA ROAD, CENTRO, SOLANA, CAGAYAN (CALAMAGUI UPGRADING PHASE 2) (RE-BIDDING)</t>
  </si>
  <si>
    <t xml:space="preserve"> rental of vehicles for OPAPP Cotabato.</t>
  </si>
  <si>
    <t xml:space="preserve"> CONSTRUCTION/WIDENING/CONCRETING THE SIDE PERIMETER OF BARANGAY ROAD AS TO IMPROVE ITS PURPOSE.</t>
  </si>
  <si>
    <t xml:space="preserve"> Republic of the Philippines Danao City BIDS AND AWARDS COMMITTEE 	 REQUEST FOR QUOTATION The Local Government of Danao City, through the City Mayors Office intends to apply the sum of Php350,000.00 being the Approved Budget for the Contract (ABC) to payme</t>
  </si>
  <si>
    <t xml:space="preserve"> INVITATION TO BID SUPPLY, DELIVERY, INSTALLATION AND TESTING OF LABORATORY EQUIPMENT FOR RESEARCH/SOILS AND WATER LABORATORY GROUP, IRRIGATION ENGINEERING CENTER ITB NO. BS-005-2020 1.	The National Irrigation Administration (NIA), through the Corporate Op</t>
  </si>
  <si>
    <t xml:space="preserve"> INVITATION TO BID NO. 2020-CW-08 The       DPWH-QUEZON III DISTRICT ENGINEERING OFFICE, Catanauan, Quezon, through its Bids and Awards Committee (BAC), invites contractors to submit bids for the following Contracts: 5.	Procurement ID/Contract ID: 19DM0122</t>
  </si>
  <si>
    <t xml:space="preserve"> 1      LOT     PROVISION OF LABOR, MATERIAL, &amp; EQUIPMENT FOR CONCRETING OF RAMP ENTRANCE OF PHILRICE                     BATAC</t>
  </si>
  <si>
    <t xml:space="preserve"> Republic of the Philippines Province of Southern Leyte MUNICIPALITY OF SAINT BERNARD BIDS AND AWARDS COMMITTEE INVITATION TO BID FOR EXTENSION /EXPANSION OF LIBRARY / TECH 4ED CENTER/ MIS  BAC-SBSL-MEO-2020-17 1.	The Municipality of Saint Bernard, Souther</t>
  </si>
  <si>
    <t xml:space="preserve"> Republic of the Philippines Danao City BIDS AND AWARDS COMMITTEE 	 REQUEST FOR QUOTATION The Local Government of Danao City, through the General Services Office intends to apply the sum of Php766,800.00 being the Approved Budget for the Contract (ABC) to </t>
  </si>
  <si>
    <t xml:space="preserve"> QTY	UNIT	ARTICLE / DESCRIPTION 			  	 	 	 5	set	IP CCTV System	  	 	   - 4 Channel NVR with 2 TB HDD	  	 	   - 2 POE Cameras	  	 	   - includes Roughing-ins, Cables and Mouldings	  	 	   - includes installation to PSTCs:	  	 	      Digos Davao del Sur, Ta</t>
  </si>
  <si>
    <t xml:space="preserve"> NOTICE TO THE PUBLIC REQUEST FOR PROPOSAL Purchase Request No: PUR20-08-0673  The Philippine General Hospital hereby informs the public that it will be procuring the following item/s through Small Value Procurement:		 PUR20-08-0673   1	2	box	Pre-disinfect</t>
  </si>
  <si>
    <t xml:space="preserve"> Information and Education Campaign (IEC) Materials for the 2020 Census of Population and Housing (2020 CPH) Bag(katsa bag with PSA and 2020 CPH Logo), 13” x 16” expandable Sticker” Barya Lang Po sa Umaga”, with 2020 CPH Logo Fan, foldable, nylon with 2020</t>
  </si>
  <si>
    <t xml:space="preserve"> QTY	UNIT	ARTICLE / DESCRIPTION						 								 								 32	man-day	Consulting Services for PGS Application						 		Professional Fees (Strategy Formulation, Clean-up Session,Cascading Session)						 Submit the following: (soft or hard copy) 1.	Quotation  2.</t>
  </si>
  <si>
    <t xml:space="preserve"> Request for Quotation RFQ No.		SVP-050-2020 MR. No.		10989 Requisition No.	OD-020-036 Posting Date:         	August 21, 2020 Deadline for Submission:		August 26, 2020 at 9:00 AM Opening Date:	August 26, 2020 at 10:00 AM TO:	Name of Supplier:______________</t>
  </si>
  <si>
    <t xml:space="preserve"> 10 units laptop i7 10th Gen.to be delivered at Legislative Office</t>
  </si>
  <si>
    <t xml:space="preserve"> Republic of the Philippines NATIONAL FOOD AUTHORITY Eastern Visayas Regional Office  Pawing, Palo, Leyte - INVITATION TO BID   CONSTRUCTION OF WS II OFFICE AT NFA COMPOUND, BORONGAN CITY Project Reference No. 2020- NFA-RBAC8-INFR- 26 The NATIONAL FOOD AUT</t>
  </si>
  <si>
    <t xml:space="preserve"> Republic of the Philippines Danao City BIDS AND AWARDS COMMITTEE 	 REQUEST FOR QUOTATION The Local Government of Danao City, through the City Health Services Office intends to apply the sum of Php330,000.00 being the Approved Budget for the Contract (ABC)</t>
  </si>
  <si>
    <t xml:space="preserve"> Request for Quotation RFQ No.		SVP-049-2020 MR. No.		10978 Requisition No.	OD-020-026 Posting Date:         	August 21, 2020 Deadline for Submission:		August 26, 2020 at 9:00 AM Opening Date:	August 26, 2020 at 10:00 AM TO:	Name of Supplier:______________</t>
  </si>
  <si>
    <t xml:space="preserve"> Republic of the Philipines							 Department of Eduction							 Region III							 Schools Division of City of Balanga							 BATAAN NATIONAL HIGH SCHOOL -SENIOR HIGH SCHOOL							 P. Roman Super Highway, Bagong Silang, City of Balanga, Bataan							 					</t>
  </si>
  <si>
    <t xml:space="preserve"> To support the Other Supplies and Material Expenses of 220th AW.</t>
  </si>
  <si>
    <t xml:space="preserve"> Republic of the Philippines Danao City BIDS AND AWARDS COMMITTEE 	 REQUEST FOR QUOTATION The Local Government of Danao City, through the City Welfare and Development Office intends to apply the sum of Php119,340.00 being the Approved Budget for the Contra</t>
  </si>
  <si>
    <t xml:space="preserve"> Improvement of STAKA (Riverbank Protection) Flourishing, Gonzaga, Cagayan Scope of Works: I. Earthworks     a. Excavation - 25.00cu.m.    b. Boulder Fill - 23.00cu.m.    c. Demolition (@ intake) - 0.66 cu.m. II. Stone Masonry - 24.00cu.m. III. Plain Concr</t>
  </si>
  <si>
    <t xml:space="preserve"> 851	Ream	Paper, bond, a4 (8.27 x 11.69), 70gsm 		 		 		 		 		Requirements: 		1. Mayor’s/Business Permit 		2. PhilGEPS Registration Number 		3.  Income/Business Tax return 		4.  Omnibus Sworn Statement</t>
  </si>
  <si>
    <t xml:space="preserve"> To support the procurement of One Hundred Ninety (190) ea Duct Tape, Gray and 12 other L/l for use in the "Check B" Scheduled Maintenance of C-295 Aircraft nr 140.</t>
  </si>
  <si>
    <t xml:space="preserve"> office and school supplies</t>
  </si>
  <si>
    <t xml:space="preserve"> QTY	UNIT	ARTICLE / DESCRIPTION						 								 								 40	bot	AR Grade Ethanol						 		Absolute						 		2.5L / bot						 								 25	gal	Ethyl Alcohol, 70% solution						 		Rubbing Alcohol						 		Antiseptic						 		Desinfectant						 Submit the following</t>
  </si>
  <si>
    <t xml:space="preserve"> Request for Price Quotation</t>
  </si>
  <si>
    <t xml:space="preserve"> Procurement of Vehicle Parts</t>
  </si>
  <si>
    <t xml:space="preserve"> 1 set RTK GNSS Static base (448 channel or more) GNSS Technology 448 hardware channel or more for simultaneous tracking of all visible satellite signals Support Signal: GPS(L1P,L1CA,L2,L5), GLONASS(L1,IL2,L3) Galileo(E1,E5ab,AItBoc,E6), BEIDOU(B1,B2,B3),S</t>
  </si>
  <si>
    <t xml:space="preserve"> 1     LOT     PROVISION OF ELECTRICAL FIXTURES OF VAROUS ROOMS OF PHILRICE BATAC</t>
  </si>
  <si>
    <t xml:space="preserve"> 1      LOT     PROVISION OF MATERIALS FOR REPLACEMENT OF PLIMBING FIXTURES AND DORMITORY                    ACCESSORIES OF PHILRICE BATAC DORMITORY</t>
  </si>
  <si>
    <t xml:space="preserve"> Improvement of GRHR - Public Comfort Room Pateng, Gonzaga, Cagayan Scope of Works : 1. Earthworks - 14.00cu.m. 2. Concrete Works - 11.00cu.m. 3. Masonry Works - 103.00sq.m. 4. Ceiling Works - 38.54sq.m. 5. Electrical Works - 1.00LS 6. Sanitary/Plumbing - </t>
  </si>
  <si>
    <t xml:space="preserve"> Request for Quotation RFQ No.		SVP-051-2020 MR. No.		10988 Requisition No.	OD-020-035 Posting Date:         	August 21, 2020 Deadline for Submission:		August 26, 2020 at 9:00 AM Opening Date:	August 26, 2020 at 10:00 AM TO:	Name of Supplier:______________</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</si>
  <si>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</si>
  <si>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4398 pcs. USB 16GB original to be used for listen to interactive  audio lessons, songs, poems and rhymes</t>
  </si>
  <si>
    <t xml:space="preserve"> INVITATION TO BID (National Competitive Bidding) The BFAR XIII, through its Bids and Awards Committee (BAC), invites eligible suppliers to bid for the hereunder contracts: Project Title: Re-bidding of Feeds, Fertilizers and Neutralizers for the Implementa</t>
  </si>
  <si>
    <t xml:space="preserve"> REPUBLIC OF THE PHILIPPINES PROVINCE OF SURIGAO DEL NORTE MUNICIPALITY OF SAN ISIDRO San Isidro, Surigao del Norte Section I. Invitation to Bid - rebid PROCUREMENT OF ONE (1) LOT ASSORTED GOODS for underweight and severely underweight (Nutrition Month Cel</t>
  </si>
  <si>
    <t xml:space="preserve"> Rehabilitation of canal Construction of canal cover with curb &amp; gutter</t>
  </si>
  <si>
    <t xml:space="preserve"> 4398 pcs. Portable Radio with Sim slot to be used for self-learning Modules (SLMs) as the primary teaching resources which can be converted to various content.</t>
  </si>
  <si>
    <t xml:space="preserve"> Construction of a new Barangay Health Station (BHS) at Brgy. 3</t>
  </si>
  <si>
    <t xml:space="preserve"> Name of Projects: Streetlights Project Description: LED Streetlights=26 units   Distance b/w Pole=30m Location: Zone 1-3, Umalo, Libmanan, Camarines Sur Total Project Cost: P 420,000.00 Source of Fund: 20% EDF 2020</t>
  </si>
  <si>
    <t xml:space="preserve"> Diagnostic Test Paper</t>
  </si>
  <si>
    <t xml:space="preserve"> Republic of the Philippines Danao City BIDS AND AWARDS COMMITTEE 	 REQUEST FOR QUOTATION The Local Government of Danao City, through the CDRRMO intends to apply the sum of Php62,398.00 being the Approved Budget for the Contract (ABC) to payments under the</t>
  </si>
  <si>
    <t xml:space="preserve"> Construction of Viewdeck at CSU Flourishing, Gonzaga, Cagayan Scope of Works: 1. Access Road - 1.00km. 2. Earthworks - 20.00cu.m. 3. Concrete Works - 11.00cu.m. 4. Tile Works - 36.00sq.m. 5. Painting Works - 100.00sq.m.</t>
  </si>
  <si>
    <t xml:space="preserve"> I. BAIT STATION  HARD PLASTIC (20 UNITS) II. RAT BAIT BROWMADIOLONE (22 PAILS) BRODIFACOUM (32 KLS) CUOMATERALYL (32 KLS) III. ODORLESS CHEMICAL FOR INSECTS &amp; TERMITES LAMDA CYHLOTHRIN (23 LTS) ALPHA CYPERMETHRIN (23 LTS) CYFLUTHRIN (34 LTS) NOTE: Labor c</t>
  </si>
  <si>
    <t xml:space="preserve"> QTY	UNIT	ARTICLE / DESCRIPTION						 								 								 1	unit	Cacao Grinder						 		( Food grade, Stainless Steel, Capacity: 10-15 kg/hr, Voltage: 220V, 60hz,						 		  required Power: 2 HP, single phase )						 								 20	pcs	Cacao Tablea Molders						 </t>
  </si>
  <si>
    <t xml:space="preserve"> Unit 	Item Description	                   Quantity unit	Wheel Borrow 	                                        2 unit	Shredder	                                                1   pc	Soil thermometer	                                4 unit	Empty plastic cont</t>
  </si>
  <si>
    <t xml:space="preserve"> Republic of the Philippines DEPARTMENT OF HEALTH 		CEBU SOUTH MEDICAL CENTER       (formerly known as Talisay District Hospital) San Isidro, Talisay City, Cebu (032)273-8785 (032) 273-8785 tdh.bac@gmail.com http://www.tdh.doh.gov.ph INVITATION TO APPLY</t>
  </si>
  <si>
    <t xml:space="preserve"> Quantity	Unit		Description		 180           pcs	         Utiliity/Mega Box  58 liters</t>
  </si>
  <si>
    <t xml:space="preserve"> The Bureau of Fisheries and Aquatic Resources (BFAR) of the Department of Agriculture, through the General Appropriations Act for 2020 intends to apply the sum of THREE MILLION TWO HUNDRED TEN THOUSAND (Php 3,210,000.00) PESOS being the Approved Budget fo</t>
  </si>
  <si>
    <t xml:space="preserve"> QTY	UNIT	ARTICLE / DESCRIPTION						 								 								 1	lot	Siphoning of Big Volume Cistern Tank						 		Inclusions:						 		Labor and Proper Disposal of Sludge collected						 Submit the following: (soft or hard copy) 1.	Quotation  2.	Mayor’s / Business</t>
  </si>
  <si>
    <t xml:space="preserve"> matured/hard bamboo (kawayan) full length 10-15m, 4-5" dia. = 360 pcs</t>
  </si>
  <si>
    <t xml:space="preserve"> INVITATION TO BID (National Competitive Bidding) The BFAR XIII, through its Bids and Awards Committee (BAC), invites eligible suppliers to bid for the hereunder contracts: Project Title: Re-bidding of Supply and Delivery of Fishing Gears and Paraphernalia</t>
  </si>
  <si>
    <t xml:space="preserve"> materials</t>
  </si>
  <si>
    <t xml:space="preserve"> REPUBLIC OF THE PHILIPPINES PROVINCE OF SURIGAO DEL NORTE MUNICIPALITY OF SAN ISIDRO San Isidro, Surigao del Norte Section I. Invitation to Bid -rebid PROCUREMENT OF ONE (1) LOT FUEL, OIL &amp; LUBRICANTS SUPPLEMENTAL 1.	The Municipal Government of San Isidro</t>
  </si>
  <si>
    <t xml:space="preserve"> Construction of a new Barangay Health Station (BHS) at Brgy. 5</t>
  </si>
  <si>
    <t xml:space="preserve"> Installation of Additional Roadway Lights along National Road Gonzaga, Cagayan Scope of Works : 1. Electrical Works - 16 units 2. Earthworks       a. Excavation - 61.1cu.m.      b. Backfill - 52cu.m. 3. Concrete Works - 9.18cu.m.</t>
  </si>
  <si>
    <t xml:space="preserve"> *please see attached</t>
  </si>
  <si>
    <t xml:space="preserve"> Lot 1: Catering Services - Capacity Building / Provincial Meeting - 4 Provinces ABC: P80,000.00 Lot 2: Catering Services - Social Preparation/ Capacity Building - 9 Municipalities ABC: P94,500.00</t>
  </si>
  <si>
    <t xml:space="preserve"> 250cc Motorcycle</t>
  </si>
  <si>
    <t xml:space="preserve"> *Please see attached</t>
  </si>
  <si>
    <t xml:space="preserve"> 1. The Department of Transportation (DOTr), through the DOTr 2019 Continuing Appropriation ICTE, intends to apply the sum of Six Million One Hundred Forty-Two Thousand One Hundred Twenty-Three Pesos and Sixty-Two Centavos (Php6,142,123.62) (VAT Inclusive)</t>
  </si>
  <si>
    <t xml:space="preserve"> Services of Accredited Certifying Body for Three (3) years ISO 9001:2015 Recertification Attachments: Scope of Services Copy of Omnibus Sworn Statement (OSS) Form</t>
  </si>
  <si>
    <t xml:space="preserve"> Continuation of Livelihood/Processing Center Municipal Compound, Gonzaga, Cagayan Scope of Works : 1. Concrete Works - 41.70cu.m. 2. Tile Works - 359.00sq.m. 3. Painting Works - 1,876.00sq.m.</t>
  </si>
  <si>
    <t xml:space="preserve"> CID No. 20IC0087:  Const./Improvement/Rehab. of Flood Control Project along Limbuhan River, Brgy. Bislig, Tanauan, Leyte;  ABC: P19,300,000.00; 200 CD ACTIVITY	TIME	PLACE 1.  Issuance/Downloading of       Bidding Documents	August 19 – September 8, 2020	Ha</t>
  </si>
  <si>
    <t xml:space="preserve"> 1.	The Local Government Unit of Barangay Puhagan, through the 20% Royalty Tax Development and Livelihood Fund 2010 Surplus intends to apply the sum of One Million Pesos (P 1,000,000.00) being the Approved Budget for the Contract (ABC) to payments under th</t>
  </si>
  <si>
    <t xml:space="preserve"> INVITATION TO BID FOR THE PRINTING AND DELIVERY OF PARENT’S MANUAL FOR KINDERGARTEN TO GRADE 12 IN 33 PUBLIC SCHOOLS AT SDO-MARIKINA CITY   1.	The Department of Education – Division of Marikina City, through the NCR-19-5184, NCR-19-5198, NCR-19-2538, NCR-</t>
  </si>
  <si>
    <t xml:space="preserve"> 5	bxs	Sterilized Surgical Gloves		 5	bxs	Surgical Mask		 5	rls	Paper Towel		 15	bts	Alcohol 70%		 20	packs	Cotton Balls		 5	gals	Zonrox		 10	bts	Dishwashing Liquid		 600	packs	Food Packs (Lunch/Merienda)		 2000	bts	Mineral Water		 6	bxs	Sterilized Pledget</t>
  </si>
  <si>
    <t xml:space="preserve"> Name of Projects: Drainage Canal w/Cover Project Description: Drainage Canal-  L=32m   Outer Width=0.50,m    Depth=1.60m Cover- L=32m   Outer Width=0.50m     Depth=1.60m Location: Zone 4, Potot, Libmanan, Camarines Sur Total Project Cost: P  130,,000.00 S</t>
  </si>
  <si>
    <t xml:space="preserve"> Masonry Works  Metal Works  Sanitary Work</t>
  </si>
  <si>
    <t xml:space="preserve"> Construction of a new Construction of a Barangay Health Station (BHS) at Brgy. 4</t>
  </si>
  <si>
    <t xml:space="preserve"> Request for Quotation RFQ No.		SVP-053-2020 MR No.		10067 Requisition No. 	MLS-20-028 Posting Date:         	August 21, 2020 Deadline for Submission:		August 26, 2020 at 9:00 AM Opening Date:	August 26, 2020 at 10:00 AM TO:	Name of Supplier:______________</t>
  </si>
  <si>
    <t xml:space="preserve"> Republic of the Philippines DR. EMILIO B. ESPINOSA, SR. MEMORIAL STATE COLLEGE  OF AGRICULTURE AND TECHNOLOGY (Masbate State College) BIDS AND AWARDS COMMITTEE http:www.debesmscat.edu.ph Cabitan, Mandaon, Masbate Invitation to Bid for the Refurbishment/Up</t>
  </si>
  <si>
    <t xml:space="preserve"> Catering Services - Provincial Integrated FARMC Strengthening - 120 pax * La Union (P21,000) * Ilocos Norte (P21,000) * Ilocos Sur (P21,000) * Pangasinan (P21,000)</t>
  </si>
  <si>
    <t xml:space="preserve"> Contract ID:	19DL0219 Contract Name:	IMPLEMENTATION OF VARIOUS NEW AND URGENT INFRASTRUCTURE PROJECTS OF THE DISTRICT, 2. CONSTRUCTION / REHABILITATION OF MULTI-PURPOSE BUILDING, ALABAT, QUEZON Contract Location:	ALABAT, QUEZON Brief Description:		CONSTRU</t>
  </si>
  <si>
    <t xml:space="preserve"> Contract ID:	20DL0240 Contract Name:	LOCAL PROGRAM, CONST. / REPAIR / REHAB. / IMPROVEMENT OF VARIOUS INFRASTRUCTURE INCLUDING LOCAL PROJECTS, NATIONAL ROADS AND BRIDGES, NATIONAL ROADS 4. CONSTRUCTION OF SLOPE PROTECTION ALONG OLD ZIGZAG ROAD, K0157+050 </t>
  </si>
  <si>
    <t xml:space="preserve"> Installation of Additional Roadway Lights at Poblacion Flourishing &amp; Progressive, Gonzaga, Cagayan Scope of Works : 1. Electrical Works - 38units 2. Earthworks     a. Demolition - 31.48cu.m.    b. Excavation - 59.25cu.m.    c. Backfill and Disposal of Was</t>
  </si>
  <si>
    <t xml:space="preserve"> REQUEST FOR QUOTATION Project Name: Utilizing 30% from School Maintenance Operating and Other Expenses (MOOE) for Emergency-                        Negotiated Cases of Printing and Reproduction of Self-Learning Modules Approved Budget of Contract (ABC): P</t>
  </si>
  <si>
    <t xml:space="preserve"> Contract ID:	20DL0235 Contract Name:	LOCAL PROGRAM, CONST. / REPAIR / REHAB. / IMPROVEMENT OF VARIOUS INFRASTRUCTURE INCLUDING LOCAL PROJECTS, NATIONAL ROADS AND BRIDGES, NATIONAL ROADS 1. CONSTRUCTION OF SLOPE PROTECTION ALONG MSR, NEW DIVERSION ZIGZAG R</t>
  </si>
  <si>
    <t xml:space="preserve"> Concreting of Ipil-San Francisco Farm-to-Market Road Ipil, Gonzaga, Cagayan Scope of Works: 1. Roadway Excavation - 97.00cu.m. 2. Aggregates Base Coarse - 525.00cu.m. 3. PCCP - 270.00cu.m. 4. RCCP (Drainage Crossing) - 8.00ln.m.</t>
  </si>
  <si>
    <t xml:space="preserve"> various hardware materials</t>
  </si>
  <si>
    <t xml:space="preserve"> Contract ID:	20DL0238 Contract Name:	LOCAL PROGRAM, CONST. / REPAIR / REHAB. / IMPROVEMENT OF VARIOUS INFRASTRUCTURE INCLUDING LOCAL PROJECTS, NATIONAL ROADS AND BRIDGES, NATIONAL ROADS 2. CONSTRUCTION OF SLOPE PROTECTION ALONG OLD ZIGZAG ROAD, K0174+050 </t>
  </si>
  <si>
    <t xml:space="preserve"> Barangay Hall August 28, 2020 11:00am</t>
  </si>
  <si>
    <t xml:space="preserve"> Barangay Hall August 28, 2020 10:00am</t>
  </si>
  <si>
    <t xml:space="preserve"> Construction of a new Barangay Health Station (BHS) at Brgy. Bariri</t>
  </si>
  <si>
    <t xml:space="preserve"> Contract ID:	20DL0239 Contract Name:	LOCAL PROGRAM, CONST. / REPAIR / REHAB. / IMPROVEMENT OF VARIOUS INFRASTRUCTURE INCLUDING LOCAL PROJECTS, NATIONAL ROADS AND BRIDGES, NATIONAL ROADS 3. CONSTRUCTION OF SLOPE PROTECTION ALONG OLD ZIGZAG ROAD, K0156+650 </t>
  </si>
  <si>
    <t xml:space="preserve"> Cucumber Lemonade Powder Juice 200g, 10 packs &amp; 24 other line items</t>
  </si>
  <si>
    <t xml:space="preserve"> Contract ID:	20DL0236 Contract Name:	LOCAL PROGRAM, CONST. / REPAIR / REHAB. / IMPROVEMENT OF VARIOUS INFRASTRUCTURE INCLUDING LOCAL PROJECTS, NATIONAL ROADS AND BRIDGES, NATIONAL ROADS 1.  CONSTRUCTION OF SLOPE PROTECTION ALONG OLD ZIGZAG ROAD, K0153+450</t>
  </si>
  <si>
    <t xml:space="preserve"> Repair/Improvement of 2-Storey Public Market Building Municipal Compound, Gonzaga, Cagayan Scope of Works : 1. Slab Preparation (Chipping, Clearing &amp; Washing) - 1,566sq.m. 2. Roofdeck Water Proofing - 1,566sq.m. 3. Plumbing Works (Pipies &amp; Fittings) - 1LS</t>
  </si>
  <si>
    <t xml:space="preserve"> Construction at Perimeter Fence at GRHR (112 LM - 38 Span) Pateng, Gonzaga, Cagayan Scope of Works : 1. Earthworks - 39.00cu.m. 2. Concrete Works - 21.00cu.m. 3. Masonry Works - 269.00sq.m.</t>
  </si>
  <si>
    <t xml:space="preserve"> ABC: 566,700.00 pls see attached file for details and and check also at website.</t>
  </si>
  <si>
    <t xml:space="preserve"> INVITATION TO BID IB No. 2020-36 COMPLETION OF WEAVING CENTER (DEMO AND DISPLAY AREA) 1.	The Local Government Unit of Oton, through Provincial Aid, intends to apply the sum of Three Million One Hundred Ninety-Five Thousand One Hundred Eighty-Five Pesos an</t>
  </si>
  <si>
    <t xml:space="preserve"> Contract ID:	20DL0237 Contract Name:	LOCAL PROGRAM, CONST. / REPAIR / REHAB. / IMPROVEMENT OF VARIOUS INFRASTRUCTURE INCLUDING LOCAL PROJECTS, NATIONAL ROADS AND BRIDGES, NATIONAL ROADS 2. CONSTRUCTION OF SLOPE PROTECTION ALONG OLD ZIGZAG ROAD, K0154+150 </t>
  </si>
  <si>
    <t xml:space="preserve"> LGU, Bagting, Gabaldon, Nueva Ecija				            	              Contract reference number:  								              Name of the Contract: Purchase of Printer                 Standard Form Number: SF-GOOD-05				         	              Location of the Contr</t>
  </si>
  <si>
    <t xml:space="preserve"> Procurement of Alcohol (Lot 1)</t>
  </si>
  <si>
    <t xml:space="preserve"> Procurement ID/ Contract ID:	19LG0120 Contract Name:	Construction/Repair/Rehabilitation/Improvement of Multi-purpose Building in Municipality of Lupon Contract Location:	Lupon, Davao Oriental Brief Description:	Construction/Repair/Rehabilitation/Improveme</t>
  </si>
  <si>
    <t xml:space="preserve"> Construction of a new Barangay Health Station (BHS) at Brgy. Durog</t>
  </si>
  <si>
    <t xml:space="preserve"> Busco   EDUCATIONAL MATERIALS &amp;SUPPLIES 3rd  Quater 2020</t>
  </si>
  <si>
    <t xml:space="preserve"> INVITATION TO APPLY FOR ELIGIBILITY AND TO BID  One (1) Lot Laboratory Equipment   ITB No. 2020-08-015 P.R. No. 2020-06-170 1.	The Mines and Geosciences Bureau, through the General Appropriations Act (GAA) for CY 2020 intends to apply the sum correspondin</t>
  </si>
  <si>
    <t xml:space="preserve"> INVITATION TO BID FOR THE SUPPLY AND DELIVERY OF MEDICAL AND SURGICAL SUPPLIES 1.	The Cagayan Valley Medical Center (CVMC), intends to apply the sum Thirty One Million Two Hundred Ten Thousand Two Hundred Fifty Pesos (Php   31,210,250.00) being the Approv</t>
  </si>
  <si>
    <t xml:space="preserve"> Const. of 10 lanes 6 ft depth covered swimming pool with 6mx25m warm up pool, bleachers, rest room facilities, etc.</t>
  </si>
  <si>
    <t xml:space="preserve"> Please quote your lowest government price for MEALSrelative to the conduct of One (1) Day Online Coaching on the Updating/Enhancement and Refresher/Re-orientation on Capacity Development (CAPDEV) Agenda for Newly Elected Officials (NEO) scheduled in Augus</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</si>
  <si>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</si>
  <si>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The SANGGUNIANG BARANGAY OF BARANGAY SALA, TANAUAN CITY, BATANGAS, through the Barangay Operating Budget 2020 intends to apply the sum of Ten Thousand Pesos Only (Php 10,000.00 ) being the Approved Budget of the Contract (ABC) to payment under the Provisi</t>
  </si>
  <si>
    <t xml:space="preserve"> Mobilization/Utilities, Equipment Services Plumbing works Electrical works Steel works</t>
  </si>
  <si>
    <t xml:space="preserve"> 1.	The Local Government Unit of CONNER, through the DF LCPC-2020 intends to apply the sum of Two Hundred Thirty-Two Thousand Two Hundred Seventeen Pesos and 53/100 Centavos Only (₱ 232,217.53) being the Approved Budget for the Contract (ABC) to payments u</t>
  </si>
  <si>
    <t xml:space="preserve"> Construction of Barangay Health Center Baua, Gonzaga, Cagayan Scope of Works : 1. Earthworks - 94.00cu.m. 2. Concrete Works - 24.00cu.m. 3. Masonry Works - 180.00sq.m. 4. Roofing - 1.00 ALL 5. Carpentry Works - 64.00sq.m. 6. Electrical Works - 1.00ALL 7. </t>
  </si>
  <si>
    <t xml:space="preserve"> Repair/Maintenance of Portion of Road @ Sitio Bagong Bayan L = 140.00m W = 5.00m T = 0.10m</t>
  </si>
  <si>
    <t xml:space="preserve"> 1	ADAPTER IDE-SATA TO USB 3.0 Adapter Cable for 3.5 and 2.5 Inch SSD HDD SATA III Hard Drive Disk Converter with 12V Power Adapter	1	SET	  	 1,345.00  2	ADAPTOR VGA TO DVI	2	PC		 600.00  3	CARD LAN, 10/100/1000 GIGABIT, DESKTOP PCIE, NETWORK ADAPTER	6	UNI</t>
  </si>
  <si>
    <t xml:space="preserve"> Supply, Delivery and Installation of Five Units 3.0TR Floor Stand Inverter Type Air Conditioner Technical Specifications (per attached file) Request for Quotation Form (per attached file) Integrity Pledge - to be filled out by Possible Bidder (per attache</t>
  </si>
  <si>
    <t xml:space="preserve"> Concreting of Ipil-San Francisco Farm-to-Market Road (328.50ln.m.) Ipil, Gonzaga, Cagayan Scope of Works: 1. Roadway Excavation - 92.50cu.m. 2. Aggregates Base Coarse - 455.00cu.m. 3. PCCP - 301.50cu.m. 4. Stone Masonry - 45.00cu.m.</t>
  </si>
  <si>
    <t xml:space="preserve"> 1	TONER CARTRIDGE EPSON AL-C500 HIGH YIELD - YELLOW	1	PC	  	 15,400.00  2	TONER CARTRIDGE EPSON AL-C500 HIGH YIELD - BLACK	1	PC		 15,400.00  3	TONER CARTRIDGE EPSON AL-C500 HIGH YIELD - CYAN	1	PC		 15,400.00  4	TONER CARTRIDGE EPSON AL-C500 HIGH YIELD - M</t>
  </si>
  <si>
    <t xml:space="preserve"> BILL OF QUANTITIES: Item #	Qty	   Unit	                   Item Description	  Unit Cost	Total Cost 0001		169.00	Sq.m.	Senior Citizen’s Pavilion		 0002		12.00	units	Rentable Space		 			x-x-x-x Nothing Follows x-x-x-x		 BIDS AND AWARDS COMMITTEE: ROY D. CARA</t>
  </si>
  <si>
    <t xml:space="preserve"> Republic of the Philippines DEPARTMENT OF AGRICULTURE Regional Field Office IX Zamboanga Peninsula 		 INVITATION TO BID  ITB NO. 08-0051-20 SUPPLY, DELIVERY AND INSTALLATION OF TWO (2) UNITS MOBILE RECIRCULATING DRYER 1.	 The Department of Agriculture, Re</t>
  </si>
  <si>
    <t xml:space="preserve"> Repair/Maintenance of Portion of Mulawin Feeder Road L=120.00 m W=5.0m T =0.10m</t>
  </si>
  <si>
    <t xml:space="preserve"> Construction of 3-Storey Public Market Building Phase III Municipal Compound, Gonzaga, Cagayan Scope of Works: 1. Mobilization - 1LS 2. Concrete Works - 194.48cu.m. 3. CR &amp; Septic Tank - 1LS 4. Electrical Works - 1LS</t>
  </si>
  <si>
    <t xml:space="preserve"> Completion, Repair/Renovation/Rehabilitation/Relocation and Equipping of a Barangay Health Station (BHS) at Brgy. Guinbanga-an</t>
  </si>
  <si>
    <t xml:space="preserve"> INVITATION TO BID FOR  Supply and Delivery of One Thousand (1,000) Units Radio with USB Port GOODS 2020-050 1.	The Department of Education, Schools Division Office of Cagayan, intends to apply the sum of One Million Pesos (P1,000,000.00) being the Approve</t>
  </si>
  <si>
    <t xml:space="preserve"> To support the procurement of 2 ea Ring Assy Drag Link with PN: 3/N-40-672 alt APE40672 for use in the Unscheduled Maintenance of N-22</t>
  </si>
  <si>
    <t xml:space="preserve"> Various Construction materials</t>
  </si>
  <si>
    <t xml:space="preserve"> Republic of the Philippines Province of Misamis Occidental Municipality of Plaridel INVITATION TO APPLY FOR ELIGIBILITY AND TO BID 	 	The Local Government Unit, LGU-Plaridel, Misamis Occidental, through the CY2019 Local Government Support Fund (PCF) of th</t>
  </si>
  <si>
    <t xml:space="preserve"> Republic of the Philippines Department of Health Central Luzon Center for Health Development TALAVERA GENERAL HOSPITAL 	Talavera, Nueva Ecija	      ISO QMS Certified REQUEST FOR QUOTATION  SMALL VALUE PROCUREMENT for Talavera General Hospital Date: August</t>
  </si>
  <si>
    <t xml:space="preserve"> INVITATION TO APPLY FOR ELIGIBILITY AND TO BID  One (1) Lot Design and Build Scheme Infrastracture Project ITB No. 2020-08-018 P.R. No. 2020-06-183 1.	The Mines and Geosciences Bureau, intends to apply the sum Fourteen Million Five Hundred Thousand Pesos </t>
  </si>
  <si>
    <t xml:space="preserve"> 22     Male Plug (3 prongs) 8 pc 21     Royal Cord #1.25mm2 (#16) 3-cores/roll - 75 meters/roll 2 roll 20     Cable Tie 4.8 x 300mm 2 pack 19     20 watts, LED Lite, Flood Lamp, Waterproof 2 pc 15     50 watts, LED, Round Flood Lamp, Waterproof 2 pc 16   </t>
  </si>
  <si>
    <t xml:space="preserve"> Various Spare parts</t>
  </si>
  <si>
    <t xml:space="preserve"> Construction of Drainage Canal, Curb &amp; Gutter - Salvanera, Lasam, Peralta &amp; Mabini Sts. Progressive, Gonzaga, Cagayan Scope of Works : 1. Earthworks - 635.81cu.m. 2. Concrete Works     a. Canal - 124.30cu.m.    b. Gutter - 25.27cu.m. 3. Masonry Works - 1,</t>
  </si>
  <si>
    <t xml:space="preserve"> INVITATION TO APPLY FOR ELIGIBILITY AND TO BID  Supply and Delivery of Aircraft Drones   ITB No. 2020-08-016 P.R. No. 2020-03-159, 2020-07-187 &amp; 188 1.	The Mines and Geosciences Bureau, through the General Appropriations Act (GAA) for CY 2020 intends to a</t>
  </si>
  <si>
    <t xml:space="preserve"> Republic of the Philippines PROVINCE OF AGUSAN DEL SUR Municipality of Loreto INVITATION TO BID FOR VARIOUS CONSTRUCTION MATERIALS FOR MENRO SOLID WASTE SEGREGATION 1. The Municipality of Loreto, through the 20% MDF intends to apply the sum of FOUR HUNDRE</t>
  </si>
  <si>
    <t xml:space="preserve"> Request for Van Rental for CORDS X Please see attached RFQ form for more details Please submit your quotations through email to psu.pcoo@gmail.com</t>
  </si>
  <si>
    <t xml:space="preserve"> Construction of Namuyukan Footbridge Phase II San Jose, Gonzaga, Cagayan Scope of Works : 1. Earthworks - 509.02cu.m. 2. Concrete Works - 72.75cu.m. 3. Steel Works - 1LS</t>
  </si>
  <si>
    <t xml:space="preserve"> 8 pcs Tires 185x14</t>
  </si>
  <si>
    <t xml:space="preserve"> Various construction materials</t>
  </si>
  <si>
    <t xml:space="preserve"> Labor Only</t>
  </si>
  <si>
    <t xml:space="preserve"> The Sta. Justina National High School through Bids and Awards Committee (BAC) request for quotation from Philgeps suppliers  for the following supplies: Bondpapers long-substance 20     -      193 reams Toner for HP                               -        </t>
  </si>
  <si>
    <t xml:space="preserve"> Brief Description of the Project		 Quantity	Unit	Item Description 1.00	lot	Construction Safety &amp; Occupational Health 37.50	cu.m.	Excavation 120.00	cu.m.	Stone Masonry</t>
  </si>
  <si>
    <t xml:space="preserve"> Good day! SAGAD HIGH SCHOOL is looking for supplier of 1,000 reams of A4 bond paper, 80 gsm. The said materials are needed for the printing of Learner's Module as required by the new normal. Please submit your quotation to our school email address: sagadh</t>
  </si>
  <si>
    <t xml:space="preserve"> Brief Description of the Project			 Quantity	Unit	Item Description	 1.00	lot	Construction Safety &amp; Occupational Health	 1.00	lot	Clearing &amp; Grubbing	 160.00	cu.m.	Excavation Works	  2,000.00 	m.	Installation of piping lines</t>
  </si>
  <si>
    <t xml:space="preserve"> 280 reams A4 size Substance 20 Bond Paper 9 cartridges OPT-55X Optimum Toner Cartridge (Compatible for HP LJ P3015)</t>
  </si>
  <si>
    <t xml:space="preserve"> 1.	The Bureau of Fisheries and Aquatic Resources (BFAR) of the Department of Agriculture, through the General Appropriations Act for 2020 intends to apply the sums of ONE HUNDRED SIXTY THREE THOUSAND NINE HUNDRED FIFTY SEVEN THOUSAND NINE HUNDRED TEN AND </t>
  </si>
  <si>
    <t xml:space="preserve"> Construction of a new Barangay Health Station (BHS) at Brgy. Igbonglo</t>
  </si>
  <si>
    <t xml:space="preserve"> Brief Description of the Project		 Quantity	Unit	Item Description 1.00	lot	Construction &amp; Occupational Health 1.00	lot	Mobilization Site Clearing 1.00	lot	Water Source Development</t>
  </si>
  <si>
    <t xml:space="preserve"> Procurement ID/Contract ID:	19LG0121 Contract Name:	Construction/Repair/Rehabilitation/Improvement of Multi-purpose Building in Municipality of Governor Generoso Contract Location:	Governor Generoso, Davao Oriental Brief Description:	Construction/Repair/R</t>
  </si>
  <si>
    <t xml:space="preserve"> Republic of the Philippines CITY OF LAPU-LAPU BIDS AND AWARDS COMMITTEE Invitation to Bid FOR THE PROCUREMENT OF OFFICE FURNITURE The City of Lapu-Lapu through the  MOOE 3324-5-02-03-990-3 intends to apply the sum of One Million Seven Hundred Thirty-One T</t>
  </si>
  <si>
    <t xml:space="preserve"> Brief Description of the Project			 Quantity	Unit	Item Description	 1.00	lot	Construction Safety &amp; Occupational Health	 1.00	lot	Mobilization Site Clearing	 6.30	cu.m.	Excavation Works	 34.80	cu.m.	Concrete Works	 1.00	lot	Formworks (rental)	 1.00	lot	Til</t>
  </si>
  <si>
    <t xml:space="preserve"> Brief Description of the Project		 Quantity	Unit	Item Description 1.00	lot	Clearing &amp; Grubbing 14.00	cu.m.	Sub-Grade Preparation 14.00	cu.m.	Aggregate Sub-Base Course 28.00	cu.m.	Portland Cement Concrete Pavement</t>
  </si>
  <si>
    <t xml:space="preserve"> INVITATION TO APPLY FOR ELIGIBILITY AND TO BID  One (1) Lot Provision of Electrical Rewiring   ITB No. 2020-08-017 P.R. No. 2020-06-182 1.	The Mines and Geosciences Bureau, intends to apply the sum Eight Million Five Hundred Thousand Pesos (PhP8,500,000.0</t>
  </si>
  <si>
    <t xml:space="preserve"> REQUEST FOR EXPRESSION OF INTEREST (REOI) FOR  Preliminary Detailed Engineering Services for the Construction of Flood Control Structures along: 1. Upper Marikina River, 2. Morong River, 3. Teresa River, 4. Pililla River, 5. Puray River, 6. Ampid River, 7</t>
  </si>
  <si>
    <t xml:space="preserve"> INVITATION TO BID FOR  Production and Delivery of K to 3 and Senior High School Learning Materials (Ordering Agreement) GOODS 2020-051 1.	The Department of Education, Schools Division Office of Cagayan, intends to apply the sum of Seven Million Five Hundr</t>
  </si>
  <si>
    <t xml:space="preserve"> 5 pcs Cash Book in Bank 250 sheets (back to back) 5 pcs Cash Book in Vault 250 sheets (back to back)</t>
  </si>
  <si>
    <t xml:space="preserve"> Brief Description of the Project			 Quantity	Unit	Item Description	 19	units	laptop 	 		Minimum specifications:	 		  - intel quadcore or equivalent processor	 		  - 4GB. RAM	 		  - 512GB SSD	 		  - Licensed Windows 10 	 		  - carrying bar	 		  - wireless </t>
  </si>
  <si>
    <t xml:space="preserve"> Republic of the Philippines DEPARTMENT OF AGRICULTURE Regional Field Office IX Zamboanga Peninsula 		 INVITATION TO BID  ITB NO. 08-0052-20 SUPPLY AND DELIVERY OF THREE (3) UNITS RICE MILL 1.	 The Department of Agriculture, Region IX, through the General </t>
  </si>
  <si>
    <t xml:space="preserve"> THIS PROJECT AIMS TO PROVIDE INDOOR GAME MATERIALS FOR THE YOUTH OF THE BARANGAY WHO ARE STOCK IN THEIR RESPECTIVE HOUSES DUE TO COVID-19 PANDEMIC AND TO PROCURE MATERIALS NEEDED IN THE COVERED COURT FOR THE FUTURE NEED. ITEAMS: Basketball Ring Heavy Duty</t>
  </si>
  <si>
    <t xml:space="preserve"> Republic of the Philippines DR. EMILIO B. ESPINOSA, SR. MEMORIAL STATE COLLEGE  OF AGRICULTURE AND TECHNOLOGY (Masbate State College) BIDS AND AWARDS COMMITTEE http:www.debesmscat.edu.ph Cabitan, Mandaon, Masbate Invitation to Bid for the  Refurbishment/U</t>
  </si>
  <si>
    <t xml:space="preserve"> Various construction materials.</t>
  </si>
  <si>
    <t xml:space="preserve"> Construction of a new Barangay Health Station (BHS) at Brgy. Magcalon</t>
  </si>
  <si>
    <t xml:space="preserve"> as per BSP Scope of Work and Specifications</t>
  </si>
  <si>
    <t xml:space="preserve"> REQUEST FOR EXPRESSION OF INTEREST (REOI) FOR  Preliminary Detailed Engineering Services for the different Roads and Bridges within the 2nd Legislative District of Rizal: 1. Pililla Jct. – Jalajala Road, 2. Tanay-Sampaloc Road, 3. Manila East Road, 4. Sag</t>
  </si>
  <si>
    <t xml:space="preserve"> Supply and Delivery of Video and Audio Equipment for the Production of Instructional Videos at SDO Marikina City NOTE: PLease see attached RFQ for the details.</t>
  </si>
  <si>
    <t xml:space="preserve"> 34  SET Bed, Double Deck with Mattress  -In accordance with the Technical Specifications  ABC: Php 985,000.00  NOTE: Please sign all pages of the Technical Specifications and submit it together with your quotation in a SEALED envelope. If selected as the </t>
  </si>
  <si>
    <t xml:space="preserve"> INVITATION TO APPLY FOR ELIGIBILITY AND TO BID  One (1) Lot Information Technology   ITB No. 2020-08-019 P.R. No. 2020-08-201 1.	The Mines and Geosciences Bureau, through the General Appropriations Act (GAA) for CY 2020 intends to apply the sum correspond</t>
  </si>
  <si>
    <t xml:space="preserve"> PR NO. 20-02-0035								 INFORMATION TECHNOLOGY EQUIPMENT Gentlemen/Ladies: The Technological University of the Philippines – Manila intends to Procure  INFORMATION TECHNOLOGY EQUIPMENT with an Approved Budget for the Contract of Seventy-Eight Thousand P</t>
  </si>
  <si>
    <t xml:space="preserve"> School Head: Cecilia N. Vergara Contact Number: 09253012935</t>
  </si>
  <si>
    <t xml:space="preserve"> I. Demolition of Existing Structure II.Rental of Equipment III. Construction of Box Culvert  Materials  40 pcs. 16mm 70 pcs 12mm 80 pcs. 10mm 15 kgs. Tie Wire IV. Form Works Materials 18 pcs. 1/2x4x8 ordinary plywood 70 pcs. 2x3x8 coco 30 pcs. 2x2x8 coco </t>
  </si>
  <si>
    <t xml:space="preserve"> 1 LOT – Supply of labor, tools and materials for Operation and Basic Maintenance Servicing (OBMS) of the Electro-Mechanical System of the BSP Bacolod Branch  for the period of four (4) months (Sep 2020 – Dec 2020)                                         n</t>
  </si>
  <si>
    <t xml:space="preserve"> The Office of the President-Presidential Management Staff (OP-PMS), through its Bids and Awards Committee (BAC), hereby invites all interested suppliers/distributors to quote their lowest price on the items listed below subject to the General Conditions s</t>
  </si>
  <si>
    <t xml:space="preserve"> ITEM NO.             ITEM AND DESCRIPTION         QTY         UNIT 1                         A4 Bond Paper (60 gsm)          80           ream 2                         Ink-tank Printer                       23           unit 3                         Ink</t>
  </si>
  <si>
    <t xml:space="preserve"> Printing and binding of modules  Specifications: Printing: •	bond paper size: A4, subs. 24 or 8.25” x 10.75” bookpaper 70 gsm •	colored printing for Kindergarten modules •	grayscale printing for Grades 2-3, 5, 7 and 9 modules •	back to back printing Front</t>
  </si>
  <si>
    <t xml:space="preserve"> See attached.</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</si>
  <si>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</si>
  <si>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Republic of the Philippines Province of Palawan Municipality of Balabac NOTICE FOR EMERGENCY CASES THROUGH NEGOTIATED PROCUREMENT 025-20%-2020 The Municipal Government of Balabac, Palawan through its Bids and Awards Committee (BAC), Invites bidders top bi</t>
  </si>
  <si>
    <t xml:space="preserve"> 1 LOT –  Supply of labor, tools and materials for the Operation and Basic Maintenance Servicing (OBMS) of the Electro-Mechanical System of BSP Iloilo Branch as per BSP Terms of Reference                   nothing follows</t>
  </si>
  <si>
    <t xml:space="preserve"> Construction of a new Barangay Health Station (BHS) at Brgy. Maybato Sur</t>
  </si>
  <si>
    <t xml:space="preserve"> Location: Manito, Albay Scope of Work: Construction of 660.00  l.m. Reinforced Concrete Dike</t>
  </si>
  <si>
    <t xml:space="preserve"> PR NO. 20-08-0053								 REFILL OF FIRE EXTINGUISHER Gentlemen/Ladies: The Technological University of the Philippines – Manila intends to Procure  REFILL OF FIRE EXTINGUISHER with an Approved Budget for the Contract of Three Hundred Ninety-Six Thousand </t>
  </si>
  <si>
    <t xml:space="preserve"> Republic of the Philippines DR. EMILIO B. ESPINOSA, SR. MEMORIAL STATE COLLEGE  OF AGRICULTURE AND TECHNOLOGY (Masbate State College) BIDS AND AWARDS COMMITTEE http:www.debesmscat.edu.ph Cabitan, Mandaon, Masbate Invitation to Bid for the  Fabrication of </t>
  </si>
  <si>
    <t xml:space="preserve"> Construction Project</t>
  </si>
  <si>
    <t xml:space="preserve"> Republic of the Philippines Province of Ilocos Norte Municipality of Paoay BARANGAY 12 SAN BLAS  BIDS AND AWARDS COMMITTEE INVITATION TO BID 2020-003 Invitation to bid for the Purchase of Materials for the Concrete Paving of Road Shoulder along Young and </t>
  </si>
  <si>
    <t xml:space="preserve"> Location: Legazpi City, Albay Scope of Work: Asphalt Overlay of 2.00 km Road with Reflectorized Thermoplastic Pavement Markings including Reblocking of PCCP on Intermittent Section</t>
  </si>
  <si>
    <t xml:space="preserve"> INVITATION TO BID: BID REFERENCE NO.: 2020-15-A (Rebidding) “SUPPLY AND DELIVERY OF BFAR VIDEO/PHOTO EQUIPMENT FOR THE OFFICE PRODUCTIVITY PROJECT” The Bureau of Fisheries and Aquatic Resources (BFAR) of the Department of Agriculture, through the General </t>
  </si>
  <si>
    <t xml:space="preserve"> School Head: Aileen Santos Contact Number: 09171800840</t>
  </si>
  <si>
    <t xml:space="preserve"> Purchase of materials and payment for the services/labor payroll for the repair and maintenance of Water Works System.</t>
  </si>
  <si>
    <t xml:space="preserve"> Location: Pawa and Tamaoyan, Legazpi City, Albay Scope of Work: Construction of 180.00  l.m.  Road Dike including Slope Protection Works</t>
  </si>
  <si>
    <t xml:space="preserve"> Location: Manito, Albay Scope of Work: Construction of 580.00  l.m.  Road Dike including Slope Protection Works</t>
  </si>
  <si>
    <t xml:space="preserve"> Republic of the Philippines Province of  Agusan del Sur MUNICIPALITY OF PROSPERIDAD BIDS AND AWARDS COMMITTEE INVITATION TO BID NO. 2020-050 The Municipal Government of PROSPERIDAD, Province of Agusan del Sur, through its Bids and Awards Committee (BAC) i</t>
  </si>
  <si>
    <t xml:space="preserve"> School Head: Rona B. Cruz Contact Number: 09502562749</t>
  </si>
  <si>
    <t xml:space="preserve"> Republic of the Philippines Province of  Agusan del Sur MUNICIPALITY OF PROSPERIDAD BIDS AND AWARDS COMMITTEE INVITATION TO BID NO. 2020-051 The Municipal Government of PROSPERIDAD, Province of Agusan del Sur, through its Bids and Awards Committee (BAC) i</t>
  </si>
  <si>
    <t xml:space="preserve"> Location: Legazpi City, Albay Scope of Work: Road Concreting of 7.62 Lane km Road (6 Lanes), 2.54 Lane Km Bike Lane, Construction of 2.540km Lined Canal, Installation of Street Lights and Slope Protection Works</t>
  </si>
  <si>
    <t xml:space="preserve"> School Head: Belinda Sangcap Contact Number: 09227933313</t>
  </si>
  <si>
    <t xml:space="preserve"> SUPPLY AND DELIVERY OF 242 PCS PNUEMOCOCCAL VACCINE POLYVALENT 242 PCS PNUEMOCOCCAL VACCINE POLYVALENT PNUEMOVAX23 (0.5ml DOSE) Note: Attached latest copy of the following documents (PDF or JPEG format): 1. Philgeps Organization Information  2. Mayors Per</t>
  </si>
  <si>
    <t xml:space="preserve"> School Head: Antonio Mendoza Contact Number: 09363445398</t>
  </si>
  <si>
    <t xml:space="preserve"> Republic of the Philippines Province of  Agusan del Sur MUNICIPALITY OF PROSPERIDAD BIDS AND AWARDS COMMITTEE INVITATION TO BID NO. 2020-053 The Municipal Government of PROSPERIDAD, Province of Agusan del Sur, through its Bids and Awards Committee (BAC) i</t>
  </si>
  <si>
    <t xml:space="preserve"> School Head: Encarnacion Gonzales Contact Number: 09485524776</t>
  </si>
  <si>
    <t xml:space="preserve"> School Head: Roselle Lulu Contact Number: 09338184187</t>
  </si>
  <si>
    <t xml:space="preserve"> Location: Legazpi City, Albay Scope of Work: Asphalt overlay of 1.799 km Road with  Reflectorized Thermoplastic Pavement Markings including Reblocking of PCCP on Intermittent Section</t>
  </si>
  <si>
    <t xml:space="preserve"> School Head: Chona C. Manabat Contact Number: 09324987137</t>
  </si>
  <si>
    <t xml:space="preserve"> Construction of a new Barangay Health Station (BHS) at Brgy. Pantao</t>
  </si>
  <si>
    <t xml:space="preserve"> 1 LOT –  Supply of labor, tools and materials for the Operation and Basic Maintenance Servicing (OBMS) of the Electro-Mechanical System of BSP Roxas Branch as per BSP Terms of Reference             nothing follows</t>
  </si>
  <si>
    <t xml:space="preserve"> School Head: Helen Graze Muños Contact Number: 0966739140</t>
  </si>
  <si>
    <t xml:space="preserve"> Completion, Repair/Renovation/Rehabilitation/Relocation and Equipping of a Barangay Health Station (BHS) at Brgy. San Pedro</t>
  </si>
  <si>
    <t xml:space="preserve"> School Head: Virgilio Diaz Contact Number: 09563549356</t>
  </si>
  <si>
    <t xml:space="preserve"> 1 LOT –  Supply of labor, tools and materials for the Operation and Basic Maintenance Servicing (OBMS) of the Electro-Mechanical System of BSP Tacloban Branch as per BSP Terms of Reference for the period 15 October 2020 – 31 December 2020                 </t>
  </si>
  <si>
    <t xml:space="preserve"> EL NIDO NATIONAL HIGH SCHOOL SCHOOL SUPPLIES- THIRD QUARTER, SY 2020-2021</t>
  </si>
  <si>
    <t xml:space="preserve"> School Head: Cynthia G. Dela Rosa Contact Number: 09175240704</t>
  </si>
  <si>
    <t xml:space="preserve"> "Labor and Materials for the Proposed Potable Water System for CSC FO-Abra including the following works: 1. Steel Works 2. Painting Works 3. Tile Works 4. Plumbing Works 5. Electrical Works (See attached Program of Work)"</t>
  </si>
  <si>
    <t xml:space="preserve"> Construction of a new Barangay Health Station (BHS) at Brgy. Supa</t>
  </si>
  <si>
    <t xml:space="preserve"> Please see attached for details or you may visit the DND website at: https://www.dnd.gov.ph/transparency/procurement/dnd-properbids-and-awards-committee.html</t>
  </si>
  <si>
    <t xml:space="preserve"> 1	roll	Polyester microfiber (green) - abrasion resistant, dries			10 		  quickly, durable, lightweight, strong, wrinkle resistant,			 		  and hydrophobic 90 width			 					 2	roll	Polyester microfiber (green) - abrasion resistant, dries			10 		  quickly, d</t>
  </si>
  <si>
    <t xml:space="preserve"> BIDDING DATE AND TIME: AUGUST 28, 2020 1:00 P.M.</t>
  </si>
  <si>
    <t xml:space="preserve"> Construction of a new Barangay Health Station (BHS) at Brgy. San Angel</t>
  </si>
  <si>
    <t xml:space="preserve"> Republic of the Philippines Province of  Agusan del Sur MUNICIPALITY OF PROSPERIDAD BIDS AND AWARDS COMMITTEE INVITATION TO BID NO. 2020-052 The Municipal Government of PROSPERIDAD, Province of Agusan del Sur, through its Bids and Awards Committee (BAC) i</t>
  </si>
  <si>
    <t xml:space="preserve"> School Head: Teresita Sibayan Contact Number: 09296797094</t>
  </si>
  <si>
    <t xml:space="preserve"> School Head: Donata Manansala Contact Number: 09338147628</t>
  </si>
  <si>
    <t xml:space="preserve"> In compliance to the GPPB Resolution 09-2020, the whole process of the bidding will be done online. The PCOO will use Google Meet as a medium for Video Conferences. To participate in the Pre-Bid Conference, Pre-register here: https://docs.google.com/forms</t>
  </si>
  <si>
    <t xml:space="preserve"> MODULE REPRODUCTION OF GRADE 2 and grade 3 PUPILS S.Y 2020-2021 A4 IN SIZE</t>
  </si>
  <si>
    <t xml:space="preserve"> REMOVAL OF STRUCTURES AND OBSTRUCTIONS STRUCTURE EXCAVATION FOUNDATION FILL REINFORCING STEEL STRUCTURAL CONCRETE, CLASS"A" PIPE CULVERT, 575mm dia. RCCP STONE MASONRY WARNING AND HAZARD SIGNS CONSTRUCTION SAFETY AND HEALTH BILLBOARD</t>
  </si>
  <si>
    <t xml:space="preserve"> REMOVAL OF STRUCTURES AND OBSTRUCTIONS STRUCTURE EXCAVATION FOUNDATION FILL REINFORCING STEEL STRUCTURAL CONCRETE, CLASS"A" STONE MASONRY WARNING AND HAZARD SIGNS CONSTRUCTION SAFETY AND HEALTH BILLBOARD</t>
  </si>
  <si>
    <t xml:space="preserve"> REMOVAL OF STRUCTURES AND OBSTRUCTIONS SURPLUS COMMON EXCAVATION FOUNDATION FILL REINFORCING STEEL STRUCTURAL CONCRETE, CLASS"A" STONE MASONRY WARNING AND HAZARD SIGNS CONSTRUCTION SAFETY AND HEALTH BILLBOARD</t>
  </si>
  <si>
    <t xml:space="preserve"> REMOVAL OF STRUCTURES AND OBSTRUCTIONS EXCAVATION FOUNDATION FILL REINFORCING STEEL STRUCTURE CONCRETE, CLASS "A" PIPE CULVERT, 610mm dia. RCCP STONE MASONRY WARNING AND HAZARD SIGNS CONSTRUCTION SAFETY AND HEALTH BILLBOARD</t>
  </si>
  <si>
    <t xml:space="preserve"> REMOVAL OF STRUCTURES AND OBSTRUCTIONS STRUCTURE EXCAVATION FOUNDATION FILL REINFORCING STEEL STRUCTURE CONCRETE, CLASS "A" PIPE CULVERT, 24 INCH DIA. , RCCP STONE MASONRY WARNING AND HAZARD SIGNS CONSTRUCTION HEALTH AND SAFETY BILLBOARD</t>
  </si>
  <si>
    <t xml:space="preserve"> School Head: Ma. Theresa Saclao Contact Number: 09430415175</t>
  </si>
  <si>
    <t xml:space="preserve"> REMOVAL STRUCTURES AND OBSTRUCTIONS SURPLUS COMMON EXCAVATION FOUNDATION FILL REINFORCING STEEL STRUCTURAL CONCRETE, CLASS "A" PIPE CULVERTS, 610mm dia. RCCP STONE MASONRY WARNING AND HAZARD SIGNS INCLUDING BOLLARDS HEALTH AND SAFETY BILLBOARD (3'X6' Tarp</t>
  </si>
  <si>
    <t xml:space="preserve"> Counter Glass for Receiving Area *Fix glass with rectube, snap-on base with cover and 6mm bronze glass 271 1/2 x 135 1/8 (hxw) *10mm tempered glass (table top) 12 1/2x128 1/2 (hxw)</t>
  </si>
  <si>
    <t xml:space="preserve"> Reproduction of ADM Self-Learning Modules SY 2020-2021</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</si>
  <si>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</si>
  <si>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Section I. Invitation to Bid Republic of the Philippines       Province of Camarines Norte         Municipality of Mercedes BIDS AND AWARDS COMMITTEE LGU - Mercedes, Camarines Norte 			 INVITATION TO BID  The Local Government Unit of Mercedes, through ASS</t>
  </si>
  <si>
    <t xml:space="preserve"> Espesipikasyon	ABC Size: 7 in x 10 in No. of pages: 138 (excluding cover) Color: Cover-Full color front and back (4/0) Inside-Black (1/1) Stock: Inside-Book paper 70# Cover-Foldcote 15# Process: Offset printing Binding: Smythe Perfect Binding Extent: Came</t>
  </si>
  <si>
    <t xml:space="preserve"> REMOVAL OF STRUCTURES AND OBSTRUCTIONS SURPLUS COMMON EXCAVATION FOUNDATION FILL REINFORCING STEEL STRUCTURAL CONCRETE, CLASS"A" PIPE CULVERTS, 610mm dia. RCCP STONE MASONRY DESILTING WARNING AND HAZARD SIGNS INCLUDING BOLLARDS HEALTH AND SAFETY BILLBOARD</t>
  </si>
  <si>
    <t xml:space="preserve"> Please see attached copy of Request for Quotation</t>
  </si>
  <si>
    <t xml:space="preserve"> Department of Social Welfare and Development Field Office VI M.H. del Pilar St., Iloilo City INVITATION TO BID FOR THE PROCUREMENT OF VARIOUS OFFICE SUPPLIES FOR THE USE OF KALAHI-CIDSS PROGRAM IMPLEMENTATION CY2020 (1st Posting) 1. The Department of Soci</t>
  </si>
  <si>
    <t xml:space="preserve"> Description of Works to be Done Masonry/Carpentry/Roofing/Electricals.............100 ...................................................................100% Item/Description.......................................................Quantity..................</t>
  </si>
  <si>
    <t xml:space="preserve"> The Bids and Awards Committee								 Province of Iloilo								 								      In connection with your Invitation to Bid No. PEO-20-0989 B scheduled on August 28, 2020, I/we proposed to furnish and deliver in conformity with the terms and conditions, and </t>
  </si>
  <si>
    <t xml:space="preserve"> Procurement by Item of the ff: 1.		Drilling Machine (approx..35mm min dia. Drill capacity)	1 unit			 2.		Diesel Engine, Non-Operational, 400kw 	1 unit			 3.		Boiler Water Test Kit 	2 sets 			 4.		Lathe Machine with atleast 150mm chuck 	3 units			 5.		Gas </t>
  </si>
  <si>
    <t xml:space="preserve"> REMOVAL OF STRUCTURES AND OBSTRUCTIONS EXCAVATION FOUNDATION FILL REINFORCING STEEL STRUCTURAL CONCRETE, CLASS"A" PIPE CULVERT, 610mm dia. RCCP STONE MASONRY WARNING AND HAZARD SIGNS CONSTRUCTION SAFETY AND HEALTH BILLBOARD</t>
  </si>
  <si>
    <t xml:space="preserve"> Contract ID No.: 20K00365 Contract Name: Concreting of Brgy. Pulacan to National Highway to Brgy. Perfecto Magdadaro FMR, Brgy. Pulacan and Brgy. Perfecto Magdadaro, Wao, Lanao del Sur Contract Location: Lanao del Sur Scope of Work: Road Concreting Source</t>
  </si>
  <si>
    <t xml:space="preserve"> Conctract ID No.	:	20K00363 Conctract Name	:	Construction of Brgy. Piangologan to Brgy. Balut FMR, Brgy. Piangologan and Brgy. Balut, Marogong, Lanao del Sur Conctract Location	:	Lanao del Sur Scope of Work	:	Road Concreting Source of Fund        :      G</t>
  </si>
  <si>
    <t xml:space="preserve"> Contract ID No.: 20K00362 Contract Name: Concreting of Brgy. Carigongan FMR, Brgy. Carigongan, Bubong, Bacolod-Kalawi, Lanao del Sur Contract Location: Lanao del Sur Scope of Work: Road Concreting Source of Fund: GAA 2020 Appropriation: Php. 12,000,000.00</t>
  </si>
  <si>
    <t xml:space="preserve"> Contract ID No.: 20K00361 Contract Name: Concreting of Brgy. Bobong FMR, Brgy. Bobong, Bacolod-Kalawi, Lanao del Sur Contract Location: Lanao del Sur Scope of Work: Road Concreting Source of Fund: GAA 2020 Appropriation: Php. 12,000,000.00 ABC: Php. 11,94</t>
  </si>
  <si>
    <t xml:space="preserve"> Materials</t>
  </si>
  <si>
    <t xml:space="preserve"> INVITATION TO BID Sealed proposal in ink typewritten one (1) copy will be received from bonafide suppliers on August 28, 2020 at 3:00 P.M. at the Barangay Hall, Barangay Pinili, San Jose City, Nueva Ecija on which date, time and place the bid will publicl</t>
  </si>
  <si>
    <t xml:space="preserve"> 70 boxes of Long Bond Paper, Multi Purpose 10 gallons of Alcohol (1 ltr) 20 bottles of Liquid Hand Soap (1ltr)</t>
  </si>
  <si>
    <t xml:space="preserve"> Contract ID No.: 20K00364 Contract Name: Concreting of Brgy. Pualas FMR, Brgy. Pualas, Buadipuso-Buntong, Lanao del Sur Contract Location: Lanao del Sur Scope of Work: Road Concreting Appropriation: Php. 12,500,000.00 ABC: Php. 12,437,500.00 Contract Dura</t>
  </si>
  <si>
    <t xml:space="preserve"> BPS-150 Ink black BPS-150 Master Roll Stencil</t>
  </si>
  <si>
    <t xml:space="preserve"> PURCHASE OF THE FOLLOWING SERVICES: 10 UNITS CELLULAR PHONE ANDROID. FOR MORE DETAILS VISIT THE BARANGAY.</t>
  </si>
  <si>
    <t xml:space="preserve"> PROCUREMENT OF E-BOOKS FOR THE COLLEGE OF ARCHITECTURE, ENGINEERING AND TECHNOLOGY, COLLEGE OF ARTS, SCIENCES AND TECHNOLOGY AND COLLEGE OF AGRICULTURE  1.	The OCCIDENTAL MINDORO STATE COLLEGE (OMSC), through the Special Trust Fund intends to apply the su</t>
  </si>
  <si>
    <t xml:space="preserve"> Republic of the Philippines Province of Pampanga Municipality of Lubao INVITATION TO BID FOR CONCRETING OF BARANGAY ROAD AT SAN JOSE APUNAN                                             PBD INFRA – 2020 - 062  The Municipality of Lubao (MOL), through its Bi</t>
  </si>
  <si>
    <t xml:space="preserve"> INVITATION TO BID FOR THE PURCHASE OF BIOMETRIC SCANNER AND CCTV SURVEILLANCE SYSTEM FOR MFCES, MFNHS AND SAN MIGUEL ELEMENTARY SCHOOL 1.	The Local Government Unit of Manolo Fortich, through the Special Education Fund  intends to apply the sum of Two Hund</t>
  </si>
  <si>
    <t xml:space="preserve"> 500 pcs, Syringe 50cc, barrel size 50cc, disposable, sterile, luer-lock</t>
  </si>
  <si>
    <t xml:space="preserve"> 2 shuttle vehicles for 15 employees, at least 3 times a week, August-December 2020:      Shuttle A, Eastbound (Cainta-Marikina-Manila)           PHP1,428.57 x 14 days x 5 months = PHP100,000.00      Shuttle B, Northbound (QC-Caloocan-Navotas-Manila)      </t>
  </si>
  <si>
    <t xml:space="preserve"> The DTI Pangasinan invites bonafide suppliers to submit the request for quotation for the above mentioned project. one (1) LOT    Php  190,000.00 for Nineteen (19) Sari-sari Store Owners one (1) LOT    Php    70,000.00 for Seven (7) Bigasan/Rice Store Own</t>
  </si>
  <si>
    <t xml:space="preserve"> CONCRETING OF BRGY ROAD (PHASE III) LOCATED AT BRGY. STA MONICA, AGOO, LA UNION</t>
  </si>
  <si>
    <t xml:space="preserve"> Republic of the Philippines Province of  Agusan del Sur MUNICIPALITY OF PROSPERIDAD BIDS AND AWARDS COMMITTEE INVITATION TO BID NO. 2020-049 The Municipal Government of PROSPERIDAD, Province of Agusan del Sur, through its Bids and Awards Committee (BAC) i</t>
  </si>
  <si>
    <t xml:space="preserve"> Supplies for teachers and materials for classroom repair and beautification</t>
  </si>
  <si>
    <t xml:space="preserve"> Construction of a new Barangay Health Station (BHS) at Brgy. Mojon</t>
  </si>
  <si>
    <t xml:space="preserve"> INVITATION TO BID FOR THE SUPPLY OF GASOLINE FUEL   1.	The City of Iloilo, through the Peace and Order Program CY 2020 intends to apply the sum of Three Hundred Nineteen Thousand Nine Hundred Eighty-One Pesos Ninety-Two Centavos (P319,981.92) being the Ap</t>
  </si>
  <si>
    <t xml:space="preserve"> Republic of the Philippines PROVINCE OF LEYTE Burauen, Leyte INVITATION TO BID   REPAIR &amp; IMPROVEMENT OF MUNICIPAL BUILDING LGU-BURAUEN, LEYTE The Municipality of Burauen, through the Bids and Awards Committee (BAC) invites contractors / supplier to bid f</t>
  </si>
  <si>
    <t xml:space="preserve"> Republic of the Philippines PROVINCE OF LEYTE Burauen, Leyte INVITATION TO BID   ELECTRICAL SYSTEM INSTALLATION AT BURAUEN SPORTS COMPLEX BURAUEN, LEYTE The Municipality of Burauen, through the Bids and Awards Committee (BAC) invites contractors / supplie</t>
  </si>
  <si>
    <t xml:space="preserve"> Republic of the Philippines PROVINCE OF LEYTE Burauen, Leyte INVITATION TO BID   PROCUREMENT OF BOOKS FOR BURAUEN COMMUNITY COLLEGE The Municipality of Burauen, through the Bids and Awards Committee (BAC) invites contractors / supplier to bid for the proj</t>
  </si>
  <si>
    <t xml:space="preserve"> Republic of the Philippines PROVINCE OF LEYTE Burauen, Leyte INVITATION TO BID   SUPPLY, DELIVERY &amp; INSTALLATION OF AIR CONDITION FOR LGU-BURAUEN, LEYTE The Municipality of Burauen, through the Bids and Awards Committee (BAC) invites contractors / supplie</t>
  </si>
  <si>
    <t xml:space="preserve"> 1200 c0pies of Modules per Year level  Grade 7: 1200 modules per subject areas Grade 8: 1200 modules per subject areas Grade 9: 1200 modules per subject areas Grade 10: 1200 modules per subject areas Grade 11: 1200 modules per subject areas Grade 12: 1200</t>
  </si>
  <si>
    <t xml:space="preserve"> INVITATION TO BID FOR THE SUPPLY AND DELIVERY OF MEDICAL SUPPLY   1.	The City of Iloilo, through the LDRRMF 2020 intends to apply the sum of Two Million One Hundred Ninety-Three Thousand Seven Hundred Fifty-One Pesos (P2,193,751.00) being the Approved Bud</t>
  </si>
  <si>
    <t xml:space="preserve"> 2020 30TH PUBLIC BIDDING: PROCUREMENT OF IT SUPPLIES AND EQUIPMENT</t>
  </si>
  <si>
    <t xml:space="preserve"> INVITATION TO BID FOR THE PURCHASE OF SERVER FOR IT DIVISION OFFICE USE (2ND BID OPENING) 1.	The Local Government Unit of Manolo Fortich, through the Economic Enterprise Fund  intends to apply the sum of Three Hundred Ninety Three Thousand Three Hundred S</t>
  </si>
  <si>
    <t xml:space="preserve"> Republic of the Philippines PROVINCE OF LEYTE Burauen, Leyte INVITATION TO BID   PURCHASE OF MULTI-JET WATER METER FOR BURAUEN WATER WORKS SYSTEM The Municipality of Burauen, through the Bids and Awards Committee (BAC) invites contractors / supplier to bi</t>
  </si>
  <si>
    <t xml:space="preserve"> Section I. Invitation to Re-Bid Republic of the Philippines Province of Romblon INVITATION TO BID FOR  Procurement of Ambulance Van for use in transferring of patients from Corcuera (Calatrava to RPH-Odiongan) and PDRRMO, Province of Romblon . August 20, </t>
  </si>
  <si>
    <t xml:space="preserve"> Section I. Invitation to Re-Bid Republic of the Philippines Province of Romblon  Invitation to Bid for the  Rehabilitation/Improvement/Widening of Agnaga-Talisay Provincial Road Romblon, Romblon August 20, 2020 1.	The Province of Romblon through the CY 20</t>
  </si>
  <si>
    <t xml:space="preserve"> INVITATION TO BID FOR THE SUPPLY AND DELIVERY OF VARIOUS EQUIPMENT   1.	The City of Iloilo, through the Capital Outlay intends to apply the sum of Seven Hundred Twelve Thousand Nine Hundred Thirty-Nine Pesos Ninety-Eight Centavos (P712,939.98) being the A</t>
  </si>
  <si>
    <t xml:space="preserve"> Complete Construction of (9.50 x 37.0m) Two (2) Sty Six (6) CL SB mostly  built with concrete and masonry with PWD ramp with handrails, parapet wall on concrete gutter and complete with  electrical works and sanitary/plumbing works, ventilation and fire p</t>
  </si>
  <si>
    <t xml:space="preserve"> Section I. Invitation to Re-Bid Republic of the Philippines Province of Romblon  Invitation to Bid for the  Construction of Maternity Half-Way House, Malipayon District Hospital, Poblacion, Corcuera, Romblon August 20, 2020 1.	The Province of Romblon thro</t>
  </si>
  <si>
    <t xml:space="preserve"> Republic of the Philippines  City of Canlaon Barangay Panubigan Office of the Barangay  INVITATION TO BID FOR the PROCUREMENT OF ONE UNIT OF GARBAGE TRUCK. The Local Government of Barangay Panubigan, Canlaon City, through Barangay Appropriation Ordinance </t>
  </si>
  <si>
    <t xml:space="preserve"> Section I. Invitation to Re-Bid Republic of the Philippines Province of Romblon  Invitation to Bid for the  Construction of Pathological Pit, Malipayon District Hospital, Corcuera, Romblon August 20, 2020  1.	The Province of Romblon through the ADP CY 202</t>
  </si>
  <si>
    <t xml:space="preserve"> 1.	The Provincial Government of Ilocos Norte, through the General Fund  intends to apply the sum of Twenty Four Million One Hundred Seventy One Thousand Nine Hundred Thirty Pesos and Forty Two Centavos    (Php  24,171,930.42                    ) being the</t>
  </si>
  <si>
    <t xml:space="preserve"> Republic of the Philippines PROVINCE OF LEYTE Burauen, Leyte INVITATION TO BID   PROCUREMENT OF 6 WHEELER FIRE TRUCK FOR MDRRMO BURAUEN, LEYTE The Municipality of Burauen, through the Bids and Awards Committee (BAC) invites contractors / supplier to bid f</t>
  </si>
  <si>
    <t xml:space="preserve"> Republic of the Philippines PROVINCE OF LEYTE Burauen, Leyte INVITATION TO BID   PROCUREMENT OF 10 WHEELER FIRE TANKER TRUCK FOR MDRRMO BURAUEN, LEYTE The Municipality of Burauen, through the Bids and Awards Committee (BAC) invites contractors / supplier </t>
  </si>
  <si>
    <t xml:space="preserve"> 1.	The Provincial Government of Ilocos Norte, through the General Fund  intends to apply the sum of Three Million Eight Hundred Sixty Two Thousand Sixty Three Pesos and Thirty Eight Centavos   (Php  3,862,063.38                ) being the Approved Budget </t>
  </si>
  <si>
    <t xml:space="preserve"> Section I. Invitation to Re-Bid Republic of the Philippines Province of Romblon  Invitation to Bid for the  Construction of Flood Control Poblacion, Sta. Fe, Romblon August 20, 2020 1.	The Province of Romblon through the ADP CY 2020 AIP Ref. Code 3000-1-0</t>
  </si>
  <si>
    <t xml:space="preserve"> Section I. Invitation to Re-Bid Republic of the Philippines Province of Romblon  Invitation to Bid for the  Concrete Paving of Bachawan-Poblacion Road, Concepcion, Romblon August 20, 2020 1.	The Province of Romblon through the ADP CY 2020 AIP Ref. Code 80</t>
  </si>
  <si>
    <t xml:space="preserve"> Republic of the Philippines PROVINCE OF LEYTE Burauen, Leyte INVITATION TO BID   INSTALLATION OF WINDOW GRILLS /SUN BREAKER AT BURAUEN MUNICIPAL HEALTH CENTER LGU MUNICIPAL COMPOND, BURAUEN, LEYTE The Municipality of Burauen, through the Bids and Awards C</t>
  </si>
  <si>
    <t xml:space="preserve"> 1.	The Local Government Unit of Siay, through the General Appropriation Act (National Fund – DOST) intends to apply the sum of One Million Two Hundred Eighty Thousand Pesos (PhP 1,280,,000.00) being the Approved Budget for the Contract (ABC) to payments u</t>
  </si>
  <si>
    <t xml:space="preserve"> Section I. Invitation to Re-Bid Republic of the Philippines Province of Romblon  Invitation to Bid for the  Completion of Cajidiocan Sports Complex Concrete Bleacher Cajidiocan, Romblon August 20, 2020 1.	The Province of Romblon through the CY 2019 ADP RE</t>
  </si>
  <si>
    <t xml:space="preserve"> Please download Bidding Documents IB 2020 – 061 Procurement of 1,200 kits of Birthing Kit Bidding Document fee: 5,000.00 The pre - bid conference is open to interested bidders. You may be qualified to submit your bidding documents during the public biddin</t>
  </si>
  <si>
    <t xml:space="preserve"> Invitation to Bid  For the  Construction/Rehabilitation of Seawall at Brgy. Hinactacan, Lapaz, Iloilo City 1.	The City of Iloilo, through the 20% Development Fund, CY2019 intends to apply the sum of One Million Pesos (Php 1,000,000.00) being the Approved </t>
  </si>
  <si>
    <t xml:space="preserve"> INVITATION TO BID FOR THE MAINTENANCE/INSTALLATION OF STREET LIGHTING SYSTEM (City Wide)   1.	The City of Iloilo, through the 20% Development Fund CY-2017 intends to apply the sum of Seven Hundred Nine Thousand Five Hundred Ten Pesos (P709,510.00) being t</t>
  </si>
  <si>
    <t xml:space="preserve"> QTY	UNIT	ITEM DESCRIPTION 		  1.00 	unit/s	 DESKTOP COMPUTER 		Technical Specifications: 		Processor : 3M Cache, 3.90 GHz 		Memory : 4GB DDR4 2400 MHz UDIMM 		Storage : 1TB 3.5-inch 7200 RPM 		Graphics :  GT 720 with 2 GB of DDR3 (supporting: DVI, HDMI) 	</t>
  </si>
  <si>
    <t xml:space="preserve"> CP C01-2020 Design and Build for the Construction of 4-Storey  Hospital Building for Southern Tagalog Regional Hospital, Bacoor City, Cavite Approved Budget of the Contract - Php127,382,400.00 Calendar Days -360 CD	 BAC Activities Schedule  1. Advertiseme</t>
  </si>
  <si>
    <t xml:space="preserve"> 1. The Cagayan de Oro City Water District, through the COWD Approved Budget for 2020 intends to apply the sum of Five Million Five Hundred Fifty-Eight Thousand Six Hundred Pesos (Php5,558,600.00) being the Approved Budget for the Contract (ABC) to payment</t>
  </si>
  <si>
    <t xml:space="preserve"> Republic of the Philippines Province of Batangas Municipality of Lemery  INVITATION TO BID FOR THE Rebidding for the Purchase of disaster equipment (cutter and spreader portable) 1.	The MUNICIPALITY OF LEMERY, through the Annual Budget CY 2020-70% of 5% C</t>
  </si>
  <si>
    <t xml:space="preserve"> Item No.	Quantity	Unit	          Item Description	 1	              1	set	        Water Meter Testing Analyzer	                                                                                   •	Accurate to 1.5%                                         •	L</t>
  </si>
  <si>
    <t xml:space="preserve"> Please download Bidding Documents IB 2020 – 060 Procurement of 3,275 kits of Hygiene Kit Bidding Document fee: 5,000.00 The pre - bid conference is open to interested bidders. You may be qualified to submit your bidding documents during the public bidding</t>
  </si>
  <si>
    <t xml:space="preserve"> INVITATION TO BID The Barangay Government of Villa Reyes, San Narciso, Quezon through its Bids and Award Committee (BAC), invites registered suppliers with DTI, Mayor’s Permit and PhilGEPS registered, if found eligible, to bid for the hereunder contract: </t>
  </si>
  <si>
    <t xml:space="preserve"> Republic of the Philippines Province of Camarines Sur Barangay of San Vicente, Pamplona INVITATION OF BID FOR PURCHASE OF HARDWARE MATERIALS  AT  ZONE 2, SAN VICENTE, PAMPLONA, CAMARINES  SUR   1.	The Barangay San Vicente, Pamplona, Camarines Sur through </t>
  </si>
  <si>
    <t xml:space="preserve"> Description 1. Name of Project: Purchase of one (1) unit Emergency Response Vehicle (pick-up type) Location: Bugasong, Antique Brief Description: Purchase of one (1) unit Emergency Response Vehicle (pick-up type) with the following specificationand featur</t>
  </si>
  <si>
    <t xml:space="preserve"> Section I. Invitation to Re-Bid Republic of the Philippines Province of Romblon INVITATION TO BID FOR  Procurement of 1unit Passenger Van Body Vehicle for use of Provincial Social Welfare and Development Office, Province of Romblon. August 20, 2020 1.	The</t>
  </si>
  <si>
    <t xml:space="preserve"> ITEM	QTY.	UNIT	PARTICULARS 803	9.66	cu.m.	Structure Excavation 900	5.92	cu.m.	Plain and Reinforced Concrete 1046	33.60	sq.m.	Masonry Works SPL1	1.00	lot	Welded Structural Steel 1013	47.41	sq.m.	Roofing Work 1100	1.00	lot	Electrical Works 1010	1.00	set	Woo</t>
  </si>
  <si>
    <t xml:space="preserve"> ITEM	QTY.	UNIT	PARTICULARS 801	1.00	lot	REMOVAL OF STRUCTURES &amp; OBSTRUCTION 1003	1.00	lot	CARPENTRY WORKS 1005	2.00	sets	STEEL CASEMENT WINDOWS 1032	148.46	m2	PAINTING WORKS 1100	1.00	lot	ELECTRICAL WORKS SPL-1	2.00	sets	PROJECT BILLBOARD SPL-2	1.00	lot	C</t>
  </si>
  <si>
    <t xml:space="preserve"> REQUEST FOR QUOTATION							 							 SIR/MADAM:							 							 Please quote your lowest price for the following items enumerated below, taking into consideration the following:							 							 TERMS AND CONDITIONS:							 1.  The Approved Budget for the Co</t>
  </si>
  <si>
    <t xml:space="preserve"> BACOLOD BRANCH - VARIOUS OFFICE EQUIPMENT No.		       Item	                                                  ABC  1	unit	Coin Counter	                                        80,000.00  4	units	4-Drawer File Cabinet	                                80,000.0</t>
  </si>
  <si>
    <t xml:space="preserve"> Rehabilitation of Brgy Multi-Purpose Hall</t>
  </si>
  <si>
    <t xml:space="preserve"> Republic of the Philippines BIDS AND AWARDS COMMITTEE Province of Iloilo Invitation to Bid PURCHASE OF ANIMAL/ZOOLOGICAL SUPPLIES Bid No. VET-20-0888-B 1. The Iloilo Provincial Government, through the GENERAL FUND intends to apply the sum of FOUR MILLION </t>
  </si>
  <si>
    <t xml:space="preserve"> Please download Bidding Documents IB 2020 – 069 Procurement of 376 kit Staining Kits  Bidding Document fee: 5,000.00 The pre - bid conference is open to interested bidders. You may be qualified to submit your bidding documents during the public bidding da</t>
  </si>
  <si>
    <t xml:space="preserve"> Please download Bidding Documents IB 2020 – 074 Procurement of 9,004 box of Doxycycline (as Hyclate) 100mg capsule Bidding Document fee: 5,000.00 The pre - bid conference is open to interested bidders. You may be qualified to submit your bidding documents</t>
  </si>
  <si>
    <t xml:space="preserve"> Bicol Medical Center Concepcion Pequeña, Naga City, 4400 (0998-247-0239/0906-256-9238          E-mail Address: bmc.bacoffice@gmail.com INIVITATION TO BID PROCUREMENT OF MOBILE C-ARM WITH SPINAL TABLE AND FRACTURE TABLE (1 LOT) ITB No. 2020-33 1.	The BICOL</t>
  </si>
  <si>
    <t xml:space="preserve"> Please download Bidding Documents IB 2020 – 073 Procurement of 11,012 sachet of 0.5% Pyriproxifen, 5 grams/sachet, granular formulation Bidding Document fee: 5,000.00 The pre - bid conference is open to interested bidders. You may be qualified to submit y</t>
  </si>
  <si>
    <t xml:space="preserve"> INVITATION TO BID CONSTRUCTION OF NAVO RESCUE CENTER AT C-3 ROAD CORNER DALAGANG BUKID, NBBS DAGAT-DAGATAN, NAVOTAS CITY The City Government of Navotas, through its Bids and Awards Committee, will hold a Public Bidding for the CONSTRUCTION OF NAVO RESCUE </t>
  </si>
  <si>
    <t xml:space="preserve"> Small Value Procurement . . . Note: The winning bidder will provide the following: • Material Safety  Data Sheet • Reagents must be included in the recent list of FDA        approved test kits. • The offered machine must be equipped with      chemilumines</t>
  </si>
  <si>
    <t xml:space="preserve"> QTY	UNIT	ITEM DESCRIPTION 		  1.00 	l.s.	Mobilization/Demobilization   1.00 	l.s.	Excavation  280.00 	lmtr.	Construction of Line Canal</t>
  </si>
  <si>
    <t xml:space="preserve"> CP C02-2020 Construction of Perimeter Fence, Guardhouse and Gate, Electrical Post and Installation and Land Development for Southern Tagalog Regional Hospital Approved Budget of the Contract - Php21,452,600.00 Calendar Days -240 CD	 BAC Activities Schedul</t>
  </si>
  <si>
    <t xml:space="preserve"> Please download Bidding Documents IB 2020 – 071 Procurement of 700 box Standard F HBA1C (FIA) and 8 kit SDB HBA1C Control Kit Bidding Document fee: 5,000.00 The pre - bid conference is open to interested bidders. You may be qualified to submit your biddin</t>
  </si>
  <si>
    <t xml:space="preserve"> Please download Bidding Documents IB 2020 – 070 Procurement of 118 bottle Immersion Oil Bidding Document fee: 5,000.00 The pre - bid conference is open to interested bidders. You may be qualified to submit your bidding documents during the public bidding </t>
  </si>
  <si>
    <t xml:space="preserve"> Please download Bidding Documents IB 2020 – 068 Procurement of 10,000 tests of Dengue NS1 AG + IgG/IgM Rapid Diagnostic Test Bidding Document fee: 10,000.00 The pre - bid conference is open to interested bidders. You may be qualified to submit your biddin</t>
  </si>
  <si>
    <t xml:space="preserve"> Invitation to Bid  For the  Construction/Rehabilitation/Repair/Widening of Roads at Brgy. Bito-on, Jaro, Iloilo City 1.	The City of Iloilo, through the 20% Development Fund, CY2020 intends to apply the sum of Five Million Four Hundred Thousand Pesos (Php </t>
  </si>
  <si>
    <t xml:space="preserve"> Please download Bidding Documents IB 2020 – 066 Procurement of 655 canister of Effervescent Chlorine Tablet 1.7g Bidding Document fee: 5,000.00 The pre - bid conference is open to interested bidders. You may be qualified to submit your bidding documents d</t>
  </si>
  <si>
    <t xml:space="preserve"> Please download Bidding Documents IB 2020 – 065 Procurement of 300 bottles of D-Tetramethrin 4%, Cyphenothrin 12%, 1L/Bottle Bidding Document fee: 5,000.00 The pre - bid conference is open to interested bidders. You may be qualified to submit your bidding</t>
  </si>
  <si>
    <t xml:space="preserve"> Please download Bidding Documents IB 2020 – 064 Procurement of 537 bottles of Permethrin 173.1 g/L + S-Bioallethrin 7.2 g/l + Piperonyl Butoxide (PBO) 155.9 g/L, Emulsifiable Concentrate, 1 ltter/bottle Bidding Document fee: 5,000.00 The pre - bid confere</t>
  </si>
  <si>
    <t xml:space="preserve"> QTY	UNIT	ITEM DESCRIPTION 		 		Advertising 		Publication of Enacted and Approved Ordinances  5.00 	pages	AN ORDINANCE FOR AN EFFICIENT AND EFFECTIVE IMPLEMENTATION OF THE MNCHN STRATEGY IN THE MUNICIPALITY OF SAN JOSE, BATANGAS, REGION IV 		  3.00 	pages	</t>
  </si>
  <si>
    <t xml:space="preserve"> Please download Bidding Documents IB 2020 – 067 Procurement of 1,056 kit Syphilis Rapid Test Kits (30test/kit) Bidding Document fee: 5,000.00 The pre - bid conference is open to interested bidders. You may be qualified to submit your bidding documents dur</t>
  </si>
  <si>
    <t xml:space="preserve"> Please download Bidding Documents IB 2020 – 063 Procurement of 1,500 sachet of Deltamethrin 25% (Water Dispersible Granules) WG, 20 grams per sachets WHOPES Recommended Bidding Document fee: 5,000.00 The pre - bid conference is open to interested bidders.</t>
  </si>
  <si>
    <t xml:space="preserve"> 1.	The Provincial Government of Ilocos Norte, through the General Fund  intends to apply the sum of Forty Eight Million One Hundred Fifty Five Thousand  Five Hundred Fifty Five Pesos and Fifty Two Centavos   (Php 48,155,555.52                ) being the A</t>
  </si>
  <si>
    <t xml:space="preserve"> Invitation to Bid  For the  Construction/Rehabilitation/Repair/Widening of Road at Brgy. Sooc (Guatelara Socialized Housing Project), Arevalo, Iloilo City 1.	The City of Iloilo, through the 20% Development Fund, CY2020 intends to apply the sum of One Mill</t>
  </si>
  <si>
    <t xml:space="preserve"> Please download Bidding Documents IB 2020 – 075 Procurement of Various Emergency Drugs and Medicines (Lot Bidding) Bidding Document fee: 5,000.00 The pre - bid conference is open to interested bidders. You may be qualified to submit your bidding documents</t>
  </si>
  <si>
    <t xml:space="preserve"> 1.	The Local Government Unit of Siay, through the General Appropriation Act (National Fund - DA) intends to apply the sum of Two Million Pesos (PhP 2,000,000.00) being the Approved Budget for the Contract (ABC) to payments under the contract for the procu</t>
  </si>
  <si>
    <t xml:space="preserve"> Supply of Materials for the Repair and Maintenance of Road</t>
  </si>
  <si>
    <t xml:space="preserve"> Please download Bidding Documents IB 2020 – 062 Procurement of 575 bottles of 1.42 g/L + Permethrin 102.7 g/L + Piperonyl Butoxide 98.4 g/L, Emulsion Oil in Water (EW), WHOPES Recommended Bidding Document fee: 5,000.00 The pre - bid conference is open to </t>
  </si>
  <si>
    <t xml:space="preserve"> Supply of Fuel &amp; Lubricants</t>
  </si>
  <si>
    <t xml:space="preserve"> QTY	UNIT	ITEM DESCRIPTION 		  1.00 	e.a.	Provision of Progress Photographs  1.00 	e.a.	Project Billboard/Signboard  1.50 	mos.	Occupational Safety and Health Program  1.00 	l.s.	Mobilization/Demobilization  61.00 	cu.m.	Roadway Excavation (Unsuitable)  15</t>
  </si>
  <si>
    <t xml:space="preserve"> QTY	UNIT	ITEM DESCRIPTION 		  1.00 	e.a.	Provision of Progress Photographs  1.00 	e.a.	Project Billboard/Signboard  1.50 	mos.	Occupational Safety and Health Program  1.00 	l.s.	Mobilization/Demobilization  79.00 	cu.m.	Roadway Excavation (Unsuitable)  19</t>
  </si>
  <si>
    <t xml:space="preserve"> QTY	UNIT	ITEM DESCRIPTION 		  1.00 	e.a.	Provision of Progress Photographs  1.00 	e.a.	Project Billboard/Signboard  1.00 	mos.	Occupational Safety and Health Program  1.00 	l.s.	Mobilization/Demobilization  202.00 	cu.m.	Surplus Common Excavation  504.00 </t>
  </si>
  <si>
    <t xml:space="preserve"> Invitation to Bid  For the  Vehicle/Pedestrian Facilities at Iloilo City National High School, Molo, Iloilo City 1.	The City of Iloilo, through the SEF Capital Outlay CY2020 intends to apply the sum of Ten Million Pesos (Php 10,000,000.00) being the Appro</t>
  </si>
  <si>
    <t xml:space="preserve"> Please download Bidding Documents IB 2020 – 078 Procurement of 2,707 pcs. Etonogestrel Subdermal Implant Bidding Document fee: 5,000.00 The pre - bid conference is open to interested bidders. You may be qualified to submit your bidding documents during th</t>
  </si>
  <si>
    <t xml:space="preserve"> Please download Bidding Documents IB 2020 – 077 Procurement of 16,836 pcs. of Progestin Subdermal Implant (PSI) Ancillary Kit Bidding Document fee: 5,000.00 The pre - bid conference is open to interested bidders. You may be qualified to submit your biddin</t>
  </si>
  <si>
    <t xml:space="preserve"> Republic of the Philippines DEPARTMENT OF PUBLIC WORKS AND HIGHWAYS SARANGANI  DISTRICT ENGINEERING OFFICE REGIONAL OFFICE XII Alabel, Sarangani Province   INVITATION TO BID  for The DPWH-Sarangani District Engineering Office, Alabel Sarangani Province, t</t>
  </si>
  <si>
    <t xml:space="preserve"> A Republic of the Philippines BIDS AND AWARDS COMMITTEE Dagupan City Invitation to Bid   for CONSTRUCTION/INSTALLATION OF BLAST FREEZER HOUSING AT MALIMGAS MARKET GALVAN ST., DAGUPAN CITY 1.	The City Government of Dagupan, through the CITY BUDGET ORDINANC</t>
  </si>
  <si>
    <t xml:space="preserve"> 1.	The Local Government Unit of Siay, through the Budget Approved by the Sanggunian intends to apply the sum of Three Hundred Twenty Three Thousand Nine Hundred Twelve Pesos and fifty centavos ( PhP 323,912.50) being the Approved Budget for the Contract (</t>
  </si>
  <si>
    <t xml:space="preserve"> Republic of the Philippines Province of Aklan Municipality of Kalibo INVITATION TO BID for the REPAIR OF DRAINAGE SYSTEM The Municipality of Kalibo, through the General Fund – 2020, intends to apply the sum of Two Hundred Forty Four Thousand Two Hundred N</t>
  </si>
  <si>
    <t xml:space="preserve"> Please download Bidding Documents IB 2020 – 072 Procurement of 3,500 kit HIV test kit (30test/kit) Bidding Document fee: 5,000.00 The pre - bid conference is open to interested bidders. You may be qualified to submit your bidding documents during the publ</t>
  </si>
  <si>
    <t xml:space="preserve"> Invitation to Bid for the Supply and Delivery of CCTV Camera for the use of Brgy. Tulo, Batangas City</t>
  </si>
  <si>
    <t xml:space="preserve"> Drilling of One (1) Exploratory/Production Well in Sitio Bulwang,Brgy. Gabawan, Odiongan, Romblon</t>
  </si>
  <si>
    <t xml:space="preserve"> CONSTRUCTION OF SEAWALL AGAINST STORM SURGE (PHASE V), BARANGAY SADSARAN, MAUBAN, QUEZON. 1.	The Local Government Unit of Mauban  through the GENERAL FUND-8751/1-07-03-990(SB#2), 2020 intends to apply the sum of Ten Million Pesos  (Php  10,000,000.00 ) be</t>
  </si>
  <si>
    <t xml:space="preserve"> Republic of the Philippines Provincial Government of Northern Samar BIDS and AWARDS COMMITTEE REQUEST FOR QUOTATION Date: August 17, 2020 RFQ No.: 20-08-0254 Name of Supplier (Business Name): _________________________________________ Address: ____________</t>
  </si>
  <si>
    <t xml:space="preserve"> REQUEST FOR QUOTATION FOR THE PROCUREMENT THROUGH SMALL VALUE PROCUREMENT FOR THE SHIPPING SERVICES FOR THE TRANSFER OF 20,000 BAGS OF PALAY IN LUBANG, OCCIDENTAL MINDORO TO NFA BATANGAS</t>
  </si>
  <si>
    <t xml:space="preserve"> INVITATION TO BID (700-2020) Procurement of Construction Materials for the Construction of  SLF Cell 2 – Phase 2 The LGU Surallah through the Bids and Awards Committee (BAC) is inviting suppliers to bid for the supply and delivery of GOODS/INFRASTRUCTURE/</t>
  </si>
  <si>
    <t xml:space="preserve"> 55 units of solar street lights</t>
  </si>
  <si>
    <t xml:space="preserve"> to be used by the Office of the Punong Barangay</t>
  </si>
  <si>
    <t xml:space="preserve"> Supply and Delivery of Office Supplies 1000 pc	Ballpen - Black 1000 pc	Ballpen - Blue 36	pc	Ballpen - rubber grip &amp; retract, 1.0 black 36	pc	Ballpen - 1.0 black (refill) 36	pck	Battery - AA, 2s 36	pck	Battery - AAA, 2s 3	pck	Battery - Rechargeable, AAA, 2</t>
  </si>
  <si>
    <t xml:space="preserve"> Invitation to Bid  For the  Construction/Rehabilitation/Repair/Widening of Roads at Brgy. Sto. Niño Sur, Arevalo (Tatoy’s Area), Iloilo City 1.	The City of Iloilo, through the 20% Development Fund, CY2020 intends to apply the sum of Three Million Pesos (P</t>
  </si>
  <si>
    <t xml:space="preserve"> Republic of the Philippines							 PROVINCE OF ZAMBOANGA SIBUGAY							 Municipality of Talusan							 -7012-							 							 							 MUNICIPAL BIDS AND AWARDS  COMMITTEE							 REQUEST FOR QUOTATION							 SMALL VALUE PROCUREMENT							 NOTICE TO THE PUBL</t>
  </si>
  <si>
    <t xml:space="preserve"> Republic of the Philippines						CHO		 		Government of Ormoc City						P.R. No.:  	202238	 		BIDS AND AWARDS COMMITTEE						Quotation No.: 	204879-6360	 		Ormoc City						PhilGEPs No.: 		 										 Standard Form Title:			REQUEST FOR QUOTATION							 				</t>
  </si>
  <si>
    <t xml:space="preserve"> Republic of the Philippines Province of Agusan del Norte Municipality of Nasipit 	 Invitation to Bid for Supply and Delivery of 7 Units Photocopier use for the Reproduction of Modules 1.	The Government Unit of Nasipit, through the Special Educational Fund</t>
  </si>
  <si>
    <t xml:space="preserve"> Invitation to Bid  For the  Installation of Grills for 2 Units at K-12 Building at Iloilo City National High School, Molo, Iloilo City 1.	The City of Iloilo, through the SEF 2020 intends to apply the sum of Two Million Pesos (Php 2,000,000.00) being the A</t>
  </si>
  <si>
    <t xml:space="preserve"> 1.	The Local Government Unit of Siay, through the Budget Approved by the Sanggunian intends to apply the sum of Three Hundred Ninety Nine Thousand One Hundred Pesos (PhP 399,100.00) being the Approved Budget for the Contract (ABC) to payments under the co</t>
  </si>
  <si>
    <t xml:space="preserve"> Republic of the Philippines Province of Agusan del Norte Municipality of Nasipit Invitation to Bid for the Construction of Materials Recovery Facility (MRF), Sitio Mantallo, Brgy. Kinabjangan The Local Government Unit of Nasipit, through the DENR-EMB FUND</t>
  </si>
  <si>
    <t xml:space="preserve"> Interested suppliers must submit the following documents, to wit: *MAYORS PERMIT *DTI REGISTRATION *COMPANY PROFILE *PHILGEPS REGISTRATION/MEMBERSHIP *SEC REGISTRATION Suppliers must have LOCAL SERVICE CENTER in REGION 10 for AFTER SALES SERVICES. Supplie</t>
  </si>
  <si>
    <t xml:space="preserve"> 1.	The BARANGAY BUAYAHON, through the TRUST FUND (Provincial Aid), intends to apply the sum of P 75,286.00 being the Approved Budget for the Contract (ABC) to payments under the contract for CONSTRUCTION MATERIALS FOR THE IMPROVEMENT OF MULTI-PURPOSE CENT</t>
  </si>
  <si>
    <t xml:space="preserve"> 1.	The Local Government Unit of Siay, through the Budget Approved by the Sanggunian intends to apply the sum of One Hundred Fifty Nine Thousand Five Hundred Eighteen Pesos and Seventy Five Centavos (PhP 159,518.75) being the Approved Budget for the Contra</t>
  </si>
  <si>
    <t xml:space="preserve"> 1 set THA Ceramic on Ceramic</t>
  </si>
  <si>
    <t xml:space="preserve"> 2 units- Rice Planter (Brand new) Specs:SPW-68C Dimensions:   -Overall length – 2370mm   -Overall width-1930mm   -Overall height – 910mm   -Weight – 187 kg. ENGINE:  Model – MZ175-B-1  Pattern- Air cooling, four    strokes, OHV gasoline engine Rated outpu</t>
  </si>
  <si>
    <t xml:space="preserve"> REQUEST FOR QUOTATION											 											 RFQ No.		NP/PB 20-0972				Date				August 19, 2020	 PR Reference		100-20-01-005				Implementing Office				CMO-Consolidated	 Closing Date and Time						September 10, 2020, 5:00pm					 Designated Places of Submiss</t>
  </si>
  <si>
    <t xml:space="preserve"> 5 units- Multicab Rescue Vehicle Specs: 4 Wheel Drive (4x4)  -	Rime size : 13 -	Tires: Cargador type 165x13 -	With Siren and Blinker -	Cat-Eye Type Multicab -	12- Valve Engine -	LGU Logo Sticker -	Complete Body Siding , Roofing, Seat and Step Boards. -	 -</t>
  </si>
  <si>
    <t xml:space="preserve"> CONSTRUCTION PROJECTS</t>
  </si>
  <si>
    <t xml:space="preserve"> A Republic of the Philippines BIDS AND AWARDS COMMITTEE Dagupan City Invitation to Bid   for REPAIR AND MAINTENANCE-BUILDING AND OTHER STRUCTURES AT SANGGUNIANG PANLUNGSOD, DAGUPAN CITY 1.	The City Government of Dagupan, through the APPROVED 2020 ANNUAL B</t>
  </si>
  <si>
    <t xml:space="preserve"> INVITATION TO BID FOR PROCUREMENT OF SERVICE PROVIDE – VEHICLE RENTAL FOR THE USE OF GENERAL SERVICES SECTION OF DSWD FO III FOR THE MONTH OF SEPTEMBER-DECEMBER 2020   1.	The DEPARTMENT OF SOCIAL WELFARE AND DEVELOPMENT FIELD OFFICE III through its Bids a</t>
  </si>
  <si>
    <t xml:space="preserve"> 1	135 pcs- Deformed bars 10mm dia. X 6 meters 2        74 pcs- Plain bars 12 mm dia. X 6 meters 3	16 pcs.- Deformed bars 16mm x 6 meters 4	25 pcs- Deformed bars 8mm dia. X 6 meters 5	27 pcs-  wire # 16 6	5 pcs- Construction pail (pvc) 7	36 pcs- Plain bars</t>
  </si>
  <si>
    <t xml:space="preserve"> VARIOUS OFFICE EQUIPMENT</t>
  </si>
  <si>
    <t xml:space="preserve"> VARIOUS OFFICE AND JANITORIAL SUPPLIES</t>
  </si>
  <si>
    <t xml:space="preserve"> Various Furnitures, Fixtures and Equipment</t>
  </si>
  <si>
    <t xml:space="preserve"> I.  Protective Cover-all suit II. Infrared Thermometer III.Digital Thermometer</t>
  </si>
  <si>
    <t xml:space="preserve"> Supply and Delivery of Electrical Supplies - Lights 300	pc	LED bulb 13W daylight 250	pc	T8 LED tube 16W (1400 lumens)  100	pc	Starter</t>
  </si>
  <si>
    <t xml:space="preserve"> Republic of the Philippines Province of Quezon MUNICIPALITY OF UNISAN INVITATION TO BID FOR SUPPLY AND DELIVERY OF GENERATOR SET LGU – UNISAN, QUEZON 1.	The LOCAL GOVERNMENT OF UNISAN, QUEZON, through the MUNICIPAL DISASTER RISK REDUCTION AND MANAGEMENT F</t>
  </si>
  <si>
    <t xml:space="preserve"> Lot 1-Bond Paper A4 80 gsm 400 reams Lot 2-Epson Printer Ink Black 40 btls. Lot 3-Epson Printer Ink Colored 40 btls.</t>
  </si>
  <si>
    <t xml:space="preserve"> Please see attached documents.</t>
  </si>
  <si>
    <t xml:space="preserve"> Republic of the Philippines						CAO		 		Government of Ormoc City						P.R. No.:  	202247	 		BIDS AND AWARDS COMMITTEE						Quotation No.: 	204865-6353	 		Ormoc City						PhilGEPs No.: 		 										 Standard Form Title:			REQUEST FOR QUOTATION							 				</t>
  </si>
  <si>
    <t xml:space="preserve"> Republic of the Philippines						SP		 		Government of Ormoc City						P.R. No.:  	202315	 		BIDS AND AWARDS COMMITTEE						Quotation No.: 	204875-6358	 		Ormoc City						PhilGEPs No.: 		 										 Standard Form Title:			REQUEST FOR QUOTATION							 					</t>
  </si>
  <si>
    <t xml:space="preserve"> INVITATION TO BID (673-2020) Procurement of Various Other Supplies &amp; Equipment’s The LGU Surallah through the Bids and Awards Committee (BAC) is inviting suppliers to bid for the supply and delivery of GOODS/INFRASTRUCTURE/SERVICES with the following deta</t>
  </si>
  <si>
    <t xml:space="preserve"> Republic of the Philippines						CMO		 		Government of Ormoc City						P.R. No.:  	202359	 		BIDS AND AWARDS COMMITTEE						Quotation No.: 	204849-6345	 		Ormoc City						PhilGEPs No.: 		 										 Standard Form Title:			REQUEST FOR QUOTATION							 				</t>
  </si>
  <si>
    <t xml:space="preserve"> Invitation to Bid  For the  Construction/Rehabilitation/Improvement of Early Childhood Care and Development Center (ECCD) at Brgy. Sta. Felomina, Arevalo, Iloilo City 1.	The City of Iloilo, through the SEF 2019, SB No. 2 intends to apply the sum of Nine M</t>
  </si>
  <si>
    <t xml:space="preserve"> Invitation to Bid  For the  Construction of Two (2) Storey Eight (8) Classrooms Building at TCT-AR FIS, Brgy. Lanit, Jaro, Iloilo City 1.	The City of Iloilo, through the SEF Capital Outlay, CY2020 intends to apply the sum of Twenty Three Million Pesos (Ph</t>
  </si>
  <si>
    <t xml:space="preserve"> 1.	The Local Government Unit of Siay, through the Budget Approved by the Sanggunian intends to apply the sum of Seventy Seven Thousand Seven Hundred Twenty Eight Pesos and thirteen centavos ( PhP 77,728.13) being the Approved Budget for the Contract (ABC)</t>
  </si>
  <si>
    <t xml:space="preserve"> Republic of the Philippines						GSD		 		Government of Ormoc City						P.R. No.:  	202296	 		BIDS AND AWARDS COMMITTEE						Quotation No.: 	204871-6356	 		Ormoc City						PhilGEPs No.: 		 										 Standard Form Title:			REQUEST FOR QUOTATION							 				</t>
  </si>
  <si>
    <t xml:space="preserve"> Rehabilitation/ Reconstruction of Roads with Slips, Slope Collapse, and Landslide Tertiary Roads - Eastern Link Circumferential Rd. - K0248+620 - K0248+645, K0248+700 - K0248+715 Contract Location :	Eastern Link Circumferential Rd., Baguio City Approved B</t>
  </si>
  <si>
    <t xml:space="preserve"> Republic of the Philippines						ORMOC		 		Government of Ormoc City						P.R. No.:  	202286	 		BIDS AND AWARDS COMMITTEE						Quotation No.: 	204877-6359	 		Ormoc City						PhilGEPs No.: 		 										 Standard Form Title:			REQUEST FOR QUOTATION							 		</t>
  </si>
  <si>
    <t xml:space="preserve"> Republic of the Philippines PROVINCE OF SOUTHERN LEYTE Municipality of San Juan BIDS AND AWARD COMMITTEE INVITATION TO BID FOR  Supply and Delivery of 5 Cubic Meter  Garbage Compactor 140HP (Brand New) The Municipality of San Juan through the General Fund</t>
  </si>
  <si>
    <t xml:space="preserve"> Please download Bidding Documents IB 2020 – 080 Supply, Delivery, Testing and Commissioning of Twenty (20) units Brand New Ambulance Bidding Document fee: 50,000.00 The pre - bid conference is open to interested bidders. You may be qualified to submit you</t>
  </si>
  <si>
    <t xml:space="preserve"> Invitation to Bid  For the  Improvement of Security Facilities at Donato Pison Elementary School, Mandurriao, Iloilo City 1.	The City of Iloilo, through the SEF Capital Outlay CY2020 intends to apply the sum of Two Million Five Hundred Thousand Pesos (Php</t>
  </si>
  <si>
    <t xml:space="preserve"> Lot	Item Description	Qty/Unit	ABC 1	RH, Temp, Pressure Data Logger      Specifications: •	Barometric Pressure: 10 to 1100 hPa; 7.5 to 825.0 mmHg; 0.29 to 3248 inHg •	Resolution: 0.1 hPa, 0.1 mmHG, 0.01 inHg •	Temperature: 32 to 122 ºF (0 to 50 ºC) •	Resol</t>
  </si>
  <si>
    <t xml:space="preserve"> Construction of : Diversion Works : (Repair of Dam)						 	             Protection Works : D/S of Dam R/S  L= 15m, Sta. 0+000 - 0+015, 					 	                                             U/S of Dam R/S L= 15m, Sta. 0+000 - 0+015					 	             Canaliz</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</si>
  <si>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</si>
  <si>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Contract ID	20 – 0043– S Contract Name 	Procurement of Spare Parts for use of Pick-up with DPWH No. H1-6504 (A3F520) detailed in the Finance Section, DPWH, Quezon IV District Engineering Office, Gumaca, Quezon Approved Budget for the Contract (ABC)	 P    </t>
  </si>
  <si>
    <t xml:space="preserve"> Contract ID	20 – 0042 – S Contract Name 	Procurement of Technical and Scientific Equipment and Printer Supplies for use in the conduct of Pavement Management System (PMS) Calibration, Assessment and Validation Program, DPWH, Quezon IV District Engineering</t>
  </si>
  <si>
    <t xml:space="preserve"> PROCUREMENT OF E-JOURNALS FOR GENERAL REFERENCES 1.	The OCCIDENTAL MINDORO STATE COLLEGE (OMSC), through the General Fund intends to apply the sum of Two Hundred Forty Thousand Pesos (Php240,000.00) being the Approved Budget for the Contract (ABC) to paym</t>
  </si>
  <si>
    <t xml:space="preserve"> Contract ID	20 – 0044– S Contract Name 	Procurement of Spare Parts for use of Pick-up with Plate No. SJV 619 detailed in the Planning and Design Section, DPWH, Quezon IV District Engineering Office, Gumaca, Quezon Approved Budget for the Contract (ABC)	 P</t>
  </si>
  <si>
    <t xml:space="preserve"> Contract ID	20 – 0045 – S Contract Name 	Procurement of Sanitation Facilities and Gantries, Personal Protective Equipment (PPE), Sanitation/Hygienic Kit and Equipment for use in the Prevention of COVID-19 Pandemic, DPWH-Quezon IV District Engineering Offi</t>
  </si>
  <si>
    <t xml:space="preserve"> Contract ID	20 – 0040 – S Contract Name 	Procurement of Printer Supplies, Technical and Scientific Equipment and Personal Protective Equipment (PPE) for use in the Conduct of Inventory/Condition Inspection Survey for Bridge Management System (BMS), DPWH, </t>
  </si>
  <si>
    <t xml:space="preserve"> Contract ID	20 – 0039 – S Contract Name 	Procurement of Office Supplies and Printer Supplies for use in the Conduct of Inventory, Validation and other related Activities for Road Slope Management (RSM), DPWH-Quezon IV District Engineering Office, Gumaca, </t>
  </si>
  <si>
    <t xml:space="preserve"> Contract ID	20 – 0038 – S Contract Name 	Procurement of Spare Parts for use of  Dump Truck with DPWH no. H3-6665 detailed in the  Maintenance Section, DPWH-Quezon IV District Engineering Office, Gumaca Quezon. Approved Budget for the Contract (ABC)	 P    </t>
  </si>
  <si>
    <t xml:space="preserve"> The Roxas City Government, through the GOP-2020 intends to apply the total amount of Eight Hundred Fifty Two Thousand Four Hundred Seventy Five Pesos and 50/100 (Php  852,475.50) being the Aggregate Approved Budget for the Contract (ABC) to payments under</t>
  </si>
  <si>
    <t xml:space="preserve"> INVITATION TO BID The Municipal Government of San Narciso, Quezon through its Bids and Award Committee (BAC), invites registered suppliers with DTI, Mayor’s Permit and PhilGEPS, if found eligible, to bid or the hereunder contract: Name of Contract : 	Meal</t>
  </si>
  <si>
    <t xml:space="preserve"> PRINTING SERVICE FOR STUDENT'S MODULES AND OTHER RELATED SERVICES</t>
  </si>
  <si>
    <t xml:space="preserve"> INVITATION TO BID FOR PROCUREMENT OF   LIBRARY REFERENCES FOR ALL CAMPUSES 1.	The Surigao State College of Technology, through the General Appropriations Act (GAA) 2020 intends to apply the sum of Thirty Million Five Hundred Forty Three Thousand Two Hundr</t>
  </si>
  <si>
    <t xml:space="preserve"> OPENING OF BIDS IN DSWD FO IX ZAMBOANGA CITY,				 DELIVERY IN DSWD AVRC III, MAMPANG ZC				 PROCUREMENT FOR THE FF.:				 				 1	PCS	PROCESSOR : LATEST ARCHITECTURE (NOT LOWER THAN 8MB)	@	 9,000.00  1	PCS	MEMORY 8 GB RAM DDR4	@	 2,500.00  3	PCS	HDD 500gb W</t>
  </si>
  <si>
    <t xml:space="preserve"> Interested suppliers may submit quotations to the Procurement Office, Pamantasan ng Lungsod ng Maynila, Intramuros, Manila and addressed to Atty. May Angeli M. Estolas, Acting Chief, Procurement Office As requirements please submit photocopy of your PhilG</t>
  </si>
  <si>
    <t xml:space="preserve"> OPENING OF BIDS IN DSWD FO IX ZAMBOANGA CITY,				 DELIVERY IN DSWD AVRC III, MAMPANG ZC				 PROCUREMENT FOR THE FF.:				 				 7	UNIT	COMPUTER PRINTER 3 IN 1                              	@	 7,500.00  5	UNIT	NETBOOK (11.6 IN DISPLAY, WINDOWS OS, 500 gb HDD</t>
  </si>
  <si>
    <t xml:space="preserve"> Labor and materials.</t>
  </si>
  <si>
    <t xml:space="preserve"> Invitation to Bid  For the  Improvement of Flood Control Facilities at Taal Elementary School, Molo, Iloilo City 1.	The City of Iloilo, through the SEF Capital Outlay, CY2020 intends to apply the sum of One Million Pesos (Php 1,000,000.00) being the Appro</t>
  </si>
  <si>
    <t xml:space="preserve"> 1. 6 pcs Chair, Monoblock, Beige, with backrest w/o armrest N/F</t>
  </si>
  <si>
    <t xml:space="preserve"> Parcellary Survey for the Construction of Various Roads and Bridges.</t>
  </si>
  <si>
    <t xml:space="preserve"> PURCHASE OF MEDICINE</t>
  </si>
  <si>
    <t xml:space="preserve"> Republic of the Philippines Province of Pangasinan MUNICIPALITY OF LINGAYEN Invitation to Bid    The Local Government Unit of Lingayen, through the Calamity  Fund    intends to apply the amount  of  Six Hundred   Thousand   Pesos Only   (P600,000.00) bein</t>
  </si>
  <si>
    <t xml:space="preserve"> Republic of the Philippines Provincial Government of Northern Samar BIDS and AWARDS COMMITTEE REQUEST FOR QUOTATION Date: August 17, 2020 RFQ No.: 20-08-0255 Name of Supplier (Business Name): _________________________________________ Address: ____________</t>
  </si>
  <si>
    <t xml:space="preserve"> Construction of Dugwell</t>
  </si>
  <si>
    <t xml:space="preserve"> Construction Supplies Handfree Handwashing</t>
  </si>
  <si>
    <t xml:space="preserve"> Republic of the Philippines Province of Cagayan Municipality Of Ballesteros BARANGAY CENTRO WEST INVITATION TO BID FOR “Procurement of Various Materials for the Rehabilitation of  Concrete Flooring of Multi-Purpose Gym.” 1.	The Barangay Government of Cent</t>
  </si>
  <si>
    <t xml:space="preserve"> 129 sacks Rice</t>
  </si>
  <si>
    <t xml:space="preserve"> Disp. Syringe 1 cc 100's/box									20	box Disp. Syringe 3 cc 100's/box									20	box Disp. Syringe 5 cc 100's/box									20	box Digital Thermometer											20	pc ECG Paper 110mmx24										10	roll Surgical Facemask 50's										10	box Facemask N95</t>
  </si>
  <si>
    <t xml:space="preserve"> Tires 245/65 - R17											1	pc Brake Shoe												1	set Disc Brake													1	set Sit Cover													1	set 3SM Battery												1	pc Wind Shield Assembly with installation								1	pc</t>
  </si>
  <si>
    <t xml:space="preserve"> Contract ID	20 – 0041– S Contract Name 	Procurement of Technical and Scientific Equipment, Personal Protective Equipment (PPE), Office Supplies and Printer Supplies for use in the conduct of Road Condition and Inventory Surveys, Roughness Surveys VOC/RUC </t>
  </si>
  <si>
    <t xml:space="preserve"> FUEL (DIESEL)													7,255	ltrs terms of reference:														 * Weekly Withdrawals</t>
  </si>
  <si>
    <t xml:space="preserve"> Tires 245/65r17													6	pcs</t>
  </si>
  <si>
    <t xml:space="preserve"> TIRES (265/65/R17)													8	pcs</t>
  </si>
  <si>
    <t xml:space="preserve"> Basket of Token inclusion of:														  - Palawan Honey, 250 ml										80	bot  - Roasted Cashew, 2 pack ( 1/4 kg per pack)						40	kgs  - Placemat Plain (30x45 cm) native, pandan						80	pcs  - Native Bag/Basket											80	pcs  - Leis/Garland				</t>
  </si>
  <si>
    <t xml:space="preserve"> Foam 2"x36"x75" single												10	pcs Tawas (50 grams)													100	pc Liquid Stain Remover (1 gallon)											40	gallon Mosquito Spray (Repellent) 320 ml										20	pc Muriatic Acid (500 ml)												15	bottle Bath Soap (60 gms)													3	</t>
  </si>
  <si>
    <t xml:space="preserve"> Gmelina seedling (height: 18 to 30 cm)										7,500	pc Teak Wood seedling (height: 18 to 30 cm)										15,000	pc Ipil seedling (height: 16 to 20 cm)											2,500	pc Narra seedling (height: 18 to 20 cm)											2,500	pc Mahogany seedling (height: </t>
  </si>
  <si>
    <t xml:space="preserve"> Purchase of Various Materials (Fittings) for connection and maintenance of Tago water system  for complete description: Available upon payment of Bidding Documents</t>
  </si>
  <si>
    <t xml:space="preserve"> Construction of Water System</t>
  </si>
  <si>
    <t xml:space="preserve"> Foam 2"x36"x75" single										6	pcs Tawas (50 grams)											100	pc Liquid Stain Remover (1 gallon)									40	gallon Mosquito Spray (Repellent) 320 ml								20	pc Muriatic Acid (500 ml)										15	bottle Bath Soap (60 gms)											3	case Laundry </t>
  </si>
  <si>
    <t xml:space="preserve"> QTY	UNIT	  PARTICULAR	                                              	30	pax	  Complete Meals for 4 days		 			  (Breakfast, 2-snack per day, Lunch &amp; Dinner)		 		 	   - with accomodation</t>
  </si>
  <si>
    <t xml:space="preserve"> Republic of the Philippines Provincial Government of Northern Samar BIDS and AWARDS COMMITTEE REQUEST FOR QUOTATION Date: August 17, 2020 RFQ No.: 20-08-0256 Name of Supplier (Business Name): _________________________________________ Address: ____________</t>
  </si>
  <si>
    <t xml:space="preserve"> QTY	UNIT	ITEM DESCRIPTION 		  1.00 	e.a.	Provision of Progress Photographs  1.00 	e.a.	Project Billboard/Signboard  1.50 	mos.	Occupational Safety and Health Program  1.00 	l.s.	Mobilization/Demobilization  97.00 	cu.m.	Roadway Excavation (Unsuitable)  24</t>
  </si>
  <si>
    <t xml:space="preserve"> Contract ID	20 – 0046 – S Contract Name 	Procurement of Technical and Scientific Equipment, Furniture &amp; Fixtures, Printer Supplies and Personal Protective Equipment (PPE) for use in the Preparation of Right-of-Way Action Plan (RAP) and Environmental Impac</t>
  </si>
  <si>
    <t xml:space="preserve"> Please download Bidding Documents IB 2020 – 076 Procurement of 3,913 vial of Equine Rabies Immunoglobulin (ERIG) Bidding Document fee: 5,000.00 The pre - bid conference is open to interested bidders. You may be qualified to submit your bidding documents d</t>
  </si>
  <si>
    <t xml:space="preserve"> PURCHASE OF DESTTOP</t>
  </si>
  <si>
    <t xml:space="preserve"> .                               - Republic of the Philippines CITY OF MARIKINA SF-GOOD-05											Mkna-GSO-20-343                              Revised on: July 28, 2004				 														 	BIDS AND AWARDS COMMITTEE		 NOTICE OF PROPOSED PROCUREMENT The C</t>
  </si>
  <si>
    <t xml:space="preserve"> SPECS: Nylon Lanyard, (20mm x 268.5mm) printed with Department of Education, Makati City, printed with the School Name., with ID Case, (silicon plastic) 85x54mm. Lanyard USB strap string (color coded per grade level). You may send your quotation along wit</t>
  </si>
  <si>
    <t xml:space="preserve"> Toyota Pick-up H1-3464 / SEU-177				 	1	pc.	-	Hydraulic Jack 2 Tons 	4	pcs.	-	Tires Tubeless 185 R14C 	1	pc.	-	Tire Wrench 	1	pc.	-	3SM Battery 	1	pc.	-	Steel RIM 5 Stud R14 	2	pcs.	-	Battery Clamp 				 HAMM Tandem Roller Z18-271				 	1      pc. - 		2SMF </t>
  </si>
  <si>
    <t xml:space="preserve"> REQUEST FOR QUOTATION (RFQ) The National Museum of the Philippines through the Bids and Awards Committee, invites all eligible suppliers/contractors to bid for: SUPPLY AND DELIVERY OF CHEMICAL AND FILTERING SUPPLIES FOR THE ZOOLOGY DIVISION Approved Budge</t>
  </si>
  <si>
    <t xml:space="preserve"> PURCHASE OF ASRBIC ACID FOR KIDS</t>
  </si>
  <si>
    <t xml:space="preserve"> Republic of the Philippines Province of Bohol MUNICIPALITY OF TUBIGON INVITATION TO BID FOR  Supply and Delivery of Various Materials for the Replacement of Riser Pipe (Waterworks)  1.	The Local Government Unit of Tubigon, Bohol, through its General Fund </t>
  </si>
  <si>
    <t xml:space="preserve"> JOB ORDER:     To provide labor, tools and materials for the installation of 16 sets window venetian blinds with ball chain attached and metal alloys at Learning Center for Organic Agriculture Building located at Baligatan, City of Ilagan, Isabela. SCOPE </t>
  </si>
  <si>
    <t xml:space="preserve"> 1 	 1 	 set 	 FRONT AXLE ( I-BEAM) ASSY. 	 			 INCLUSIVE THE FOLLOWING 	 			 A. BRAKE DRUM ( LH &amp; RH) 	 			 B. DRAG LINK 	 			 C. TIE ROD END ( LH &amp; RH) 	 			 D. WHEEL BEARINGS 	 			 E. WHEEL BRAKE CYLINDERS 	 			 F. BRAKES LINES &amp; FITTINGS 	  2 	 1 	 set</t>
  </si>
  <si>
    <t xml:space="preserve"> 2 set bag Valve Mask (BVM) Adult, child and infant 2 set Laryngroscope 2 unit Automated defibillator device (AED) Z pads adult 1 set Stair chair strectcher 3 pcs Cervical collar (Small, Medium Large)</t>
  </si>
  <si>
    <t xml:space="preserve"> 5 pcs Integrated Solar Street Light 60 watts 1 unit Refrigerator 8 cubic feet 15 pcs Uniform with collar 15 pcs Uniform with collar</t>
  </si>
  <si>
    <t xml:space="preserve"> Local Government Unit, Moalboal, Cebu	          Contract Reference No. :					  Name of Contract: Construction of Public Market – Phase III Standard Form:  SF-INFRA-05			          Location of the Contract  : Moalboal, Cebu INVITATION TO BID 	The Local Gove</t>
  </si>
  <si>
    <t xml:space="preserve"> Local Government Unit, Moalboal, Cebu	          Contract Reference No. :						   Name of Contract: Concreting of Marcelo Abrenica Road Standard Form:  SF-INFRA-05			          Location of the Contract  : Moalboal, Cebu INVITATION TO BID 	The Local Governme</t>
  </si>
  <si>
    <t xml:space="preserve"> Gulliwad - Lingay PW</t>
  </si>
  <si>
    <t xml:space="preserve"> August 14, 2020 INVITATION TO BID  The Department of Public Works and Highways, Mindoro Occidental District Engineering Office, Mamburao, Occidental Mindoro, through its Bids and Award Committee (BAC), invites contractors to submit bids for the following </t>
  </si>
  <si>
    <t xml:space="preserve"> Local Government Unit, Moalboal, Cebu	          Contract Reference No. :					 		 Name of Contract: Enhancement of Municipal Wharf Standard Form:  SF-INFRA-05			          Location of the Contract  : Moalboal, Cebu INVITATION TO BID 	The Local Government Un</t>
  </si>
  <si>
    <t xml:space="preserve"> 1.	The Local Government Unit of Sta. Teresita, through the GENERAL FUND (SUPPLEMENTAL BUDGET NO. 2 CY 2020)  intends to apply the sum of FOUR HUNDRED THOUSAND &amp; 00/100 (PHP400,000.00) ONLY being the Approved Budget for the Contract (ABC) to payments under</t>
  </si>
  <si>
    <t xml:space="preserve"> 1	 set 	of	Combination (8-36) 1	 set 	of	Flower Deep Socket 1/2 1	 set 	of	Flower 3/4 Drive 1	 set 	of	Back Wrench 1	 set 	of	Vise Grip 1	 piece 	of	Piston Pressed 1	 piece 	of	T-wrench 8 &amp; 12 1	 piece 	of	Long Nose Plier 1	 piece 	of	Flat Nose Plier 1	 p</t>
  </si>
  <si>
    <t xml:space="preserve"> .                               - Republic of the Philippines CITY OF MARIKINA SF-GOOD-05											Mkna-GSO-20-342                              Revised on: July 28, 2004				 														 	BIDS AND AWARDS COMMITTEE		 NOTICE OF PROPOSED PROCUREMENT The C</t>
  </si>
  <si>
    <t xml:space="preserve"> Labor: 	  1 	 set 	 1 	 Body Repair; All affected part and portion 	  2 	 pc 	 1 	 Tensioner Bearing 	  3 	 pc 	 1 	 EGR Cleaning 	  4 	 pc 	 1 	 Change Oil 	  5 	 set 	 1 	 Cylinder Head Leaking - fix 	  6 	 pc 	 1 	 Change Transmission Fluid 	  7 	 set </t>
  </si>
  <si>
    <t xml:space="preserve"> Doe and Buck</t>
  </si>
  <si>
    <t xml:space="preserve"> 6	pcs	Tires (7.50 x 16) 6	pcs	Interior (7.50 x 16) 6	pcs	Flaps (x16)</t>
  </si>
  <si>
    <t xml:space="preserve"> Items are available at the BAC office upon request.</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</si>
  <si>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</si>
  <si>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QTY		UNIT		DESCRIPTION Three (3) Units Waste Segregation Trash Bins 15		pcs		2" dia G.I Pipe Sch40 10		pcs		¼ "x1" Flat Bar 18		pcs		Steel Matting 10		pcs		Cutting Disk #4 12		pcs		10mm Hinges 15		kgs		Welding Rod 1		gal		Epoxy Primer 4		pcs		Brush 4" Com</t>
  </si>
  <si>
    <t xml:space="preserve"> Republic of the Philippines Province of Negros Occidental Municipality of Ilog Invitation to bid for sale Amount:Php500 Purchase of Medical Equipment for the use of Indigent Senior Citizens of Municipality of Ilog, Neg. Occ. Item  FS913L walking cane - QT</t>
  </si>
  <si>
    <t xml:space="preserve"> INVITATION TO BID The Municipality of Anda, Pangasinan, through its Bids and Awards Committee, invites bidder/suppliers to submit their Bid for the hereunder contract; Name of Contract: REHABILITATION/CONCRETING OF CORE LOCAL                    ACCESS ROA</t>
  </si>
  <si>
    <t xml:space="preserve"> Request for Quotation for the Procurement of 3,000 sachets Dewormer needed for the DA SAAD Native Chicken Production Project in Bohol Province 1.	The Department of Agriculture-Regional Field Office 7 (DA-RFO 7), through the General Appropriations Act of C</t>
  </si>
  <si>
    <t xml:space="preserve"> Republic of the Philippines Province of Nueva Vizcaya Municipality of Solano -o0o- INVITATION TO BID FOR Supply &amp; Delivery of One (1) Unit Water Truck   (SOLANO 102-2020) 1.	The Local Government Unit of Solano, Nueva Vizcaya through the Municipal General </t>
  </si>
  <si>
    <t xml:space="preserve"> 4 TANKS STANDARD SIZE MEDICAL OXYGEN TANK (FILLED-UP), ETC.. FOR CDRRMO COVID-19 RESPONSE OPERATIONS.</t>
  </si>
  <si>
    <t xml:space="preserve"> 1. 100 pcs Notebook 80's 2. 50 pads pad paper Grade 2 3. 50 pads Pad paper Grade 3 4. 50 pads Pad paper Grade 4 5. 800 pcs Folder long (thick &amp; shinny) 6. 800 pcs Cartolina Assorted colors 7. 200 pcs Crayon (double) 16 colors 8. 300 rms Bondpaper long sub</t>
  </si>
  <si>
    <t xml:space="preserve"> 1 UNIT PRINTER - . - INKJET PRINTER - 3 IN 1 (SCANNER, PRINTER, PHOTOCOPIER)</t>
  </si>
  <si>
    <t xml:space="preserve"> Republic of the Philippines										 Province of Misamis Oriental										 CITY OF EL SALVADOR										 										 REQUEST FOR QUOTATION										 										 								No.	2020-08-900	 										 										 										 										 	Please quote your price </t>
  </si>
  <si>
    <t xml:space="preserve"> 1. 2 heads    -   Buck (Boer)  7 months old 20 kgs. each upgraded healthy &amp; without any abnormalities. 2. 10  heads - Does  7 months old 20 kgs each upgraded healthy &amp; without any abnormalities. Requirements:  2020 PhilGeps Registration, Business Permit, </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</si>
  <si>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</si>
  <si>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All items and descriptions are specified in the attached PR and RFQ, and posted in the associated component of ITB in the PhilGEPS Website.</t>
  </si>
  <si>
    <t xml:space="preserve"> Construction of generator shed</t>
  </si>
  <si>
    <t xml:space="preserve"> cement 160 bags sand 20 cu.m 16mm dia RSB 30 12mm dia RSB 30 10mm dia RSB 40 Floor tile 40"x40" 550 pcs Floor tile 30"x30" 100 pcs Sliding window 120'x120' 2 pcs 100-2"x3"x10' cocolumber 600 bf Tile adhesive 10 bags CWN assorted 15 kls Concrete nail 5 kls</t>
  </si>
  <si>
    <t xml:space="preserve"> Local Government Unit, Moalboal, Cebu	          Contract Reference No. :			                                                                   Name of Contract: Rehab. &amp; Improvement of Drainage   							System (Supply of Materials) Standard Form:  SF-GOODS</t>
  </si>
  <si>
    <t xml:space="preserve"> Annual Medical Examination for Pesticide Applicators Laboratory Test 63 Creatine (Kidney Test) 63 SGPT (Liver Test) 63 Complete Blood Count (CBC) 63 Urinalysis 63 Chest PA 63 Consultation Fee</t>
  </si>
  <si>
    <t xml:space="preserve"> Request for Quotation for the Procurement of 300 bags Fish Meal needed for the DA SAAD Native Chicken Production Project in the Province of Bohol 1.	The Department of Agriculture-Regional Field Office 7 (DA-RFO 7), through the General Appropriations Act o</t>
  </si>
  <si>
    <t xml:space="preserve"> Republic of the Philippines Province of Negros Occidental Municipality of Ilog Invitation to bid for sale Amount:Php 500 Purchase of Medical Equipment for the use of Persons with disability (PWD) of the Municipality of Ilog, Neg. Occ. ITEM: FS913L walking</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</si>
  <si>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</si>
  <si>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Republic of the Philippines Province of Nueva Vizcaya Municipality of Solano -o0o- INVITATION TO BID FOR Supply &amp; Delivery of One (1) Unit Self-loading Truck with Crane   (SOLANO 103-2020) 1.	The Local Government Unit of Solano, Nueva Vizcaya through the </t>
  </si>
  <si>
    <t xml:space="preserve"> Republic of the Philippines MUNICIPALITY OF AGONCILLO Province of Batangas Tel. No. 043-210-2344/043-210-2117 BARANGAY BAGONG SIKAT INVITATION TO BID The LGU – Bagong Sikat, through its Bids and Awards Committee (BAC), invites suppliers/manufacturers/dist</t>
  </si>
  <si>
    <t xml:space="preserve"> Republic of the Philippines										 Province of Misamis Oriental										 CITY OF EL SALVADOR										 										 REQUEST FOR QUOTATION										 										 								No.	2020-08-892	 										 										 										 										 	Please quote your price </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</si>
  <si>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</si>
  <si>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ABC = P305,260.00 50	rms	Paper bond, short, premium grade 50	rms	Paper bond, premium, A4 50	rms	Paper bond, legal, 8.5 x 13” 3	bot	Stamp pad ink, violet, 50 ml 100	pcs	Mailing envelope 12	pck	Post-it-note, 5 x 1.75 x 44 15	pcs	Correction tape 50	pck	Toile</t>
  </si>
  <si>
    <t xml:space="preserve"> ABC = P 140,000.00 Procurement of Vegetable Seeds and Other Agricultural Crops and Fertilizer for Agricultural Production in MMFN 8      can	Squash (Suprema variety ) 250g/can 8	can	Bitter Gound (Galaxy variety) 100g/can 8	can	Tomato (Diamante variety( 25</t>
  </si>
  <si>
    <t xml:space="preserve"> Construction of comfort room</t>
  </si>
  <si>
    <t xml:space="preserve"> Please quote your lowest price on the item(s)  listed below, subject to the Terms and Condition Stated below and submit your quotation duly signed by your representative not later than 10:30 A.M. of  August  28, 2020, at the return envelope attached herew</t>
  </si>
  <si>
    <t xml:space="preserve"> Local Government Unit, Moalboal, Cebu	          Contract Reference No. :			                                                  Name of Contract: Purchase of  Dengue Test Kits &amp; Covid 								 Test Kits Standard Form:  SF-GOODS-05			          Location of the</t>
  </si>
  <si>
    <t xml:space="preserve"> Republic of the Philippines							 PROVINCE OF CAGAYAN							 Tuguegarao City							 							 REQUEST FOR QUOTATION							 							 Company Name: 			Quotation No.				 Address:			Date				 TIN Number: 			PR No.				 Tel/Fax: 			Mode of Procurement:				 E-mail </t>
  </si>
  <si>
    <t xml:space="preserve"> Republic of the Philippines Province of Negros Occidental Municipality of Ilog Invitation to bid for sale Amount:Php 500 Purchase of materials for the repair and maintenance of Municipal Circuit Trial Court (Perimeter Fence), Barangay Dancalan, Ilog, NEg.</t>
  </si>
  <si>
    <t xml:space="preserve"> Delivery of Medicines</t>
  </si>
  <si>
    <t xml:space="preserve"> Supply and delivery of Labor and Materials for the following Monitoring Paraphernalia 1. LONG SLEEVE - Tshirt, round neck, wide collar, 107pcs 2. HOODIES - sleeveless, 27pcs 3. CARGO PANTS - 27pcs 4. HARDBOUND FIELD NOTEBOOK - 50pcs 5. UMBRELLA - long hea</t>
  </si>
  <si>
    <t xml:space="preserve"> Replacement of Tire of RP Vehicle with plate no. SES-167 		 		Description:  4		225/70 R15 YOKOHAMA 30		Stick on Weights 		Wheel Alignment 4		Rim 15</t>
  </si>
  <si>
    <t xml:space="preserve"> REPUBLIC OF THE PHILIPPINES CITY GOVERNMENT OF OROQUIETA BIDS AND AWARD COMMITTEE City Hall Main, Oroquieta City            		 August 19, 2020                                                                                                                 </t>
  </si>
  <si>
    <t xml:space="preserve"> Republic of the Philippines Province of Laguna MUNICIPALITY OF LUISIANA BARANGAY SAN RAFAEL INVITATION TO BID 1. Barangay San Rafael, Luisiana, Laguna intends to apply the sum of Eighty One Thousand Pesos Only. (Php 81,000.00) being the Approved Budget fo</t>
  </si>
  <si>
    <t xml:space="preserve"> 1. 2 pcs Double Row Roller Bearing #352030 for Vibratory Road Roller No. 02 (CEO) 2. 2 pcs Oil seal, FB 190 x 220 x 15 #9H023 for Vibratory Road Roller No. 02 (CEO) Purpose: for the repair of vibratory road roller No. 02 (CEO), Dumaguete City /City Engine</t>
  </si>
  <si>
    <t xml:space="preserve"> Please see attached PR for specification</t>
  </si>
  <si>
    <t xml:space="preserve"> Republic of the Philippines Province of Negros Occidental  Municipality of Ilog Invitation to bid for sale  Amount:Php 500 Purchase of materials for the construction of Drainage canal, Alambijod- Sitio Balik-Balik, Barangay Calubang, Ilog, NEg. Occ.</t>
  </si>
  <si>
    <t xml:space="preserve"> Supply &amp; Delivery of Construction Materials for the Repair and Maintenance of Municipal Drain Canal at Poblacion, Municipality of Bongabong, Oriental Mindoro</t>
  </si>
  <si>
    <t xml:space="preserve"> Republic of the Philippines Province of Nueva Vizcaya Municipality of Solano -o0o- INVITATION TO BID FOR Supply &amp; Delivery of materials for the Completion of One (1) Classroom Building (CDC) at Brgy. Bangar, SNV.   (SOLANO 104-2020) 1.	The Local Governmen</t>
  </si>
  <si>
    <t xml:space="preserve"> Procurement of Office Supplies for the 2nd &amp; 3rd quarter CY 2020</t>
  </si>
  <si>
    <t xml:space="preserve"> 62 BOX SURGICAL MASK (3 PLY NON WOVEN) 50 PCS/BOX (SOFT EARLOOPS) (3RD QTR) (2 BOXES/STAFF/QTR) 62 BOX SURGICAL MASK (3 PLY NON WOVEN) 50 PCS/BOX (SOFT EAR LOOPS) (4TH QTR) (2 BOXES/STAFF/QTR) 5 BOX ETHYL ALCOHOL (70% SOLUTION) 4 GAL/BOX</t>
  </si>
  <si>
    <t xml:space="preserve"> PROCUREMENT OF REPLACEMENT OF PUMP OF REVERSE OSMOSIS</t>
  </si>
  <si>
    <t xml:space="preserve"> Republic of the Philippines Province of Bukidnon Barangay Kibaning 		MUNICIPALITY OF KALILANGAN Bids and Awards Committee (BAC) INVITATION TO BID FOR Kibaning Goods 2020-08-001 	 The Barangay Government Unit –Barangay Kibaning, Kalilangan, Bukidnon throug</t>
  </si>
  <si>
    <t xml:space="preserve"> 1. Road Openening of 1Km Road 2. Installation of 2 line road crossing</t>
  </si>
  <si>
    <t xml:space="preserve"> 1	2	set	Laptop Computer 			Intel ®Core™ i7-10510U Processor 6M Cache, (1.8GHz up to 4.90 GHz) 			Memory 8GB (1x 8GB soDIMM), upgradeable to 32GB 			Storage #1 256GB M.2 SSD Storage #2 1 TB 2.5-inch 5400 RPM 			Graphics 2GB NVIDIA® GeForce® MX230   			GDDR</t>
  </si>
  <si>
    <t xml:space="preserve"> Republic of the Philippines Province of Bukidnon MUNICIPALITY OF KALILANGAN Barangay Ninoy Aquino OFFICE OF THE BARANGAY CAPTAIN INVITATION TO BID FOR                                                                             Ninoy Aquino Infra 2020-08-0</t>
  </si>
  <si>
    <t xml:space="preserve"> SEE ATTACHED DOCUMENT</t>
  </si>
  <si>
    <t xml:space="preserve"> 3 units - Desktop, with SSD 6 Cores, 2.80Ghz, 9mb Cache, 64bit 8GB DDR4 SDRAM Storage: 1TB 21" Diagoanal Full High Definition Wide Screen LED Display (Same Brand as CPU) 2GB  dedeicated graphics memory integrated sound card with internal speaker 4-slots o</t>
  </si>
  <si>
    <t xml:space="preserve"> NO.	ITEM DESCRIPTION(ITEM NAME &amp; TECHNICAL SPECIFICATIONS)	QTY.	UNIT			 1.	 1 Unit Chainsaw 16”(Blade Size)		 2.	1 Unit Chainsaw 18” (Blade Size)</t>
  </si>
  <si>
    <t xml:space="preserve"> Republicof the Philippines PROVINCEOFAGUSAN DEL SUR Municipality of San Luis Barangay MAHAGSAY Invitation to Bid SUPPLY AND DELIVERY OF HARDWARE MATERIALS FOR THE CONSTRUCTION OF TRIBAL HOUSE 1. The Barangay government of Mahagsay, San Luis, Agusan del Su</t>
  </si>
  <si>
    <t xml:space="preserve"> ELECTRICAL WIRING, LIGHTING, MAIN SERVICE</t>
  </si>
  <si>
    <t xml:space="preserve"> Procurement of various office supplies for Treasurers Office</t>
  </si>
  <si>
    <t xml:space="preserve"> INVITATION TO BID The Municipality of Anda, Pangasinan, through its Bids and Awards Committee, invites bidder/suppliers to submit their Bid for the hereunder contract; Name of Contract: SUPPLY AND INSTALLATION OF SOLAR POWERED SYSTEM &amp; SOLAR LIGHTS Locati</t>
  </si>
  <si>
    <t xml:space="preserve"> Please quote your lowest price on the SUPPLY AND DELIVERY OF LEARNING KITS  as specified below and submit your quotation duly signed by your representative not later than 2pm of AUGUST 25, 2020 				 					 								    LEONORA S. VALENZUELA 									   BAC </t>
  </si>
  <si>
    <t xml:space="preserve"> Procurement of Office Supplies use for MMO Engineering Services</t>
  </si>
  <si>
    <t xml:space="preserve"> 1 lot   Repair and Maintenance of Panglao Public Market           Materials           Labor Cost Including Demolition</t>
  </si>
  <si>
    <t xml:space="preserve"> Republic of the Philippines Province of Negros Occidental Municipality of Ilog Invitation to bid for sale Amount:Php 500 Purchase of Medical supplies for the use of 15 Barangays of Ilog, Birthing Facility and Circumcision. Ilog, Neg. Occ.</t>
  </si>
  <si>
    <t xml:space="preserve"> Republic of the Philippines Province of Davao Del Sur Municipality of Padada INVITATION TO BID August 19, 2020 SUPPLY OF VARIOUS MATERIALS FOR THE CONSTRUCTION OF ISOLATION FACILITY at LOWER MALINAO, PADADA, DAVAO DEL SUR 1.The Local Government Unit of Pa</t>
  </si>
  <si>
    <t xml:space="preserve"> Republic of the Philippines Province of Negros Occidental Municipality of Ilog Invitation to bid for sale Amount:Php 500 Purchase of materials for the improvement of Farm to Market Roads at Sitio Calumpang, Barangay Galicia, Ilog, NEg. Occ.</t>
  </si>
  <si>
    <t xml:space="preserve"> The Works consist of 1. Project Billboard 2. Excavation 3. Riprap 4. Backfilling 5. Sub-grade preparation 6. Aggregate sub-base coarse 7. Aggregate base coarse 8. Portland cement concrete paving</t>
  </si>
  <si>
    <t xml:space="preserve"> PROCUREMENT OF PROFESSIONAL CAMCORDER</t>
  </si>
  <si>
    <t xml:space="preserve"> 11 Liters Engine Oil 1 piece Lube Filter 1 piece Air Filter Element 1 piece Fuel Filter Cartridge 1 piece Fuel Filter/Water Separator 10 Liters Gear Oil 90 1 job Labor</t>
  </si>
  <si>
    <t xml:space="preserve"> 1    Pc      3 Holes puncher (heavy duty)    2    Pcs    Universal Adapter    2    Units  Headset/Headphone    1    Unit   Tripod for Document Camera    1    Unit   Mouse Optical, USB connectiontype    1    Unit   Wireless Microphone/lapel        2    Uni</t>
  </si>
  <si>
    <t xml:space="preserve"> Item No.	 Description	 Unit	 Quantity 1	Portland Cement	Bags	22 2	Sand S1	Elf	2 3	RSB 10 mm dia.	Pcs	15 4	Coco Lumber 2x4x12”	Pcs	12 5	Common Nail #3	Kg	5 6	Tie Wire #16	Kg	10</t>
  </si>
  <si>
    <t xml:space="preserve"> INVITATION TO BID NO. INFRA -056-2020  The Provincial Government of  Bataan, through the Special Education Fund056 intends to apply the below listed project w/ corresponding Approved Budget of the Contract (ABC). Bids received in excess of the ABC shall b</t>
  </si>
  <si>
    <t xml:space="preserve"> DUGONG MALPAO DRAINAGE CANAL (BESIDE DUGONG ROAD X-DRAINAGE)</t>
  </si>
  <si>
    <t xml:space="preserve"> LGU – Sierra Bullones     					  Contractor Reference Number 	                                                                                                  	                                                                                       							</t>
  </si>
  <si>
    <t xml:space="preserve"> PROCUREMENT OF URN REGULAR SIZE</t>
  </si>
  <si>
    <t xml:space="preserve"> 664 ream Bond Paper (A4)                            305 ream Bond Paper (Legal size)               19 pcs. Stapler (heavy duty HD 23/13)       131 box  Staple Wire 23/13                        44 bottles Ink black (003)                         4 bottles I</t>
  </si>
  <si>
    <t xml:space="preserve"> Labor and Materials:			 -    a.)COA Mini Bus SAA 4310 			 Battery-65M-N100L E41L	1	 4,500.00 	 4,500.00  			 b.) Nissan Escapade SGL 739			 -    Shock Absorber	4	 4,500.00 	 18,000.00  Replacement of Shafting Assembly, Steering Rack Absorber	1	 85,000.00 </t>
  </si>
  <si>
    <t xml:space="preserve"> INVITATION TO BID NO. INFRA -057-2020  The Provincial Government of  Bataan, through the Special Education Fund057 intends to apply the below listed project w/ corresponding Approved Budget of the Contract (ABC). Bids received in excess of the ABC shall b</t>
  </si>
  <si>
    <t xml:space="preserve"> Item No.	Description	Unit	Quantity 	CLOTHING/UNIFORM		 1	Polo-shirts w/ PWD and LGU Logo	Pcs	10</t>
  </si>
  <si>
    <t xml:space="preserve"> 1 Unit - MINI STORAGE CABINET-MTO All steel fabricated in cold rolled (CRS) gg# 20 double sliding glass door w/metal frame, provided w/lock &amp; duplicate keys w/ two (2) adjustable shelves, three (3) compartments Dim. : 860mmH x 1700mmW x 480mmD Color : Lig</t>
  </si>
  <si>
    <t xml:space="preserve"> 1.  15 pcs Record Book - 300 pages 2.  15 pcs Record Book - 500 pages 3.  100 ream Bond Paper (A4) 4.  10 bottle White Board marker ink 5.  20 box Ball Pen (black) 6.  20 box Ball Pen (red) 7.  20 pad Columnar Book (16 col. 707) 8.  20 pad Columnar Book (</t>
  </si>
  <si>
    <t xml:space="preserve"> DESCRIPTION -Removal of Obstruction &amp; Structures -Structure Excavation -Foundation Fill -Concrete Works Reinforcing Bars -Structural Concrete, Class A -Forms -Stone Masonary -Pipe Culverts -Warning &amp; Hazard Signs -Construction Safety and Health -Billboard</t>
  </si>
  <si>
    <t xml:space="preserve"> 2	pcs	Boom Cylinder Hydraulic (Left) 2	pcs	Boom Cylinder Hydraulic (Right)</t>
  </si>
  <si>
    <t xml:space="preserve"> Please see attached RFQ for specifications.</t>
  </si>
  <si>
    <t xml:space="preserve"> Purchase and delivery of covid-19 anti body testing kits to be used by the City Health and Sanitation Department</t>
  </si>
  <si>
    <t xml:space="preserve"> Republic of the Philippines          City of Dumaguete Bids and Awards Committee INVITATION TO BID FOR PURCHASE REQUEST OF 2 BOX ELECTRICAL WIRE 150 MTRS/BOX (BLACK) #3.5MM² THHN AND OTHER ITEMS 	The City of Dumaguete thru its BIDS AND AWARDS COMMITTEE (B</t>
  </si>
  <si>
    <t xml:space="preserve"> Invitation to bid The Philippine Carabao Center at USM through its Bids and Awards Committee (BAC) invites PhilGEPS registered suppliers to apply to bid for the Supply and Delivery of Food Stuff. COCOA POWDER 100% NATURAL Moisture: 4% max. Fat: 20-22% Ph.</t>
  </si>
  <si>
    <t xml:space="preserve"> MULTI-PURPOSE HALL PHASE 2 THE WORK INCLUDES CONSTRUCTION OF SECOND FLOOR COLUMNS, BEAMS AS PER APPROVED PLANS AND POW.</t>
  </si>
  <si>
    <t xml:space="preserve"> Republic of the Philippines MUNICIPALITY OF AGONCILLO Province of Batangas Tel. No. 043-210-2344/043-210-2117 BARANGAY ADIA INVITATION TO BID The LGU – Adia, through its Bids and Awards Committee (BAC), invites suppliers/manufacturers/distributors/contrac</t>
  </si>
  <si>
    <t xml:space="preserve"> Republic of the Philippines Province of Laguna MUNICIPALITY OF LUISIANA BARANGAY SAN RAFAEL INVITATION TO BID 1. Barangay San Rafael, Luisiana, Laguna intends to apply the sum of Two Hundred Thirty Four Thousand Pesos Only. (Php 234,000.00) being the Appr</t>
  </si>
  <si>
    <t xml:space="preserve"> 1.	Purchase Request No.: HRAS 2020-08-0002 Name:  	Purchase of IT Equipment for use of Administrative Officer &amp; Personnel Officer (Item 1) and for use of ADE (Item 2). Location:	Masbate 3rd DEO  Description of Project/Scope of works:   2		Unit		Laptop Com</t>
  </si>
  <si>
    <t xml:space="preserve"> SUPPLY AND DELIVERY OF CHEMICAL PRODUCTS TO BE USED AT CIVIL AVIATION AUTHORITY OF THE PHILIPPINES, BOHOL-PANGLAO INTERNATIONAL AIRPORT. Description and specification: - 80 KLS CHLORINE TABLETS - 100 SACK COAGULANT (POLYALUMINUM CHLORIDE) The APPROVED BUD</t>
  </si>
  <si>
    <t xml:space="preserve"> Procurement of Office Supplies use for DepEd Print Modules and Workbooks</t>
  </si>
  <si>
    <t xml:space="preserve"> Vehicle Spare parts and maintenance</t>
  </si>
  <si>
    <t xml:space="preserve"> CONSTRUCTION SUPPLIES AND MATERIALS</t>
  </si>
  <si>
    <t xml:space="preserve"> Provision of Electric mosquito/insect killer Electric mosquito/insect killer, heavy duty, indoor use - 10 to 15 watts - Long lamp working hours - Low Power Consumption - Efficient Capacitor for Consistent Electric Current Flow</t>
  </si>
  <si>
    <t xml:space="preserve"> Please quote your lowest price on the items listed below, subject to the General Conditions, stating the shortest time of delivery and submit your quotation duly signed by your representative.		 		 Instructions:		 a)  Download the OFFICIAL BID FORM (Reque</t>
  </si>
  <si>
    <t xml:space="preserve"> Local Government Unit, Moalboal, Cebu	          Contract Reference No. :			                                                                               Name of Contract: Purchase of Drugs &amp; Medicines Standard Form:  SF-GOODS-05			          Location of t</t>
  </si>
  <si>
    <t xml:space="preserve"> CONSTRUCTION MATERIALS  DESCRIPTION                                                         OTY                  UNIT COST               TOTAL COST    ANGLE VALVE UNIVERSAL 1/2 X 1/2 MULTI-SIZE       50 PC                   190.00                   9,500.</t>
  </si>
  <si>
    <t xml:space="preserve"> 537	 ream 	PAPER, MULTICOPY, A4 Size 10	 pack 	EPSON INK, T9731, Black, Standard, RIPS 5	 piece 	COMPUTER TABLE 10	 piece 	4GB FLASH DRIVE Place of Delivery : DepEd, Schools Division Office of Catbalogan Ciy P4, Brgy. Payao, Catbalogan City, Samar Date of</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</si>
  <si>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</si>
  <si>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1.	Purchase Request No.: MAINT 2020-06-0025 Name:  	Purchase of Road Maintenance Works’ Equipment/Tools to be used in Vegetation Control and Clearing Operation of Maintenance Section Location:	Masbate 3rd DEO  Description of Project/Scope of works:   3		U</t>
  </si>
  <si>
    <t xml:space="preserve"> Demolition of Existing Dilapidated  Ceiling Framing/Ceiling Boards 	            LS	LS Scaffoldings 	                                    LS	LS Completion of Ceiling Framing &amp;  Ceiling Boards (Hardiflex, 4.5 mmm)	   112	Sq.m. Painting 	                     </t>
  </si>
  <si>
    <t xml:space="preserve"> PROCUREMENT OF AUTOMATIC ALCOHOL DISPENSER WITH SENSOR (STAND TYPE)</t>
  </si>
  <si>
    <t xml:space="preserve"> INVITATION TO BID NO. INFRA -058-2020  The Provincial Government of  Bataan, through the Special Education Fund058 intends to apply the below listed project w/ corresponding Approved Budget of the Contract (ABC). Bids received in excess of the ABC shall b</t>
  </si>
  <si>
    <t xml:space="preserve"> POLO SHIRTS WITH COLLAR	 100 	 PCS 	 65,000.00  			 Customized (embroidered logo with prints)			 Super combed cotton fabric			 female 65 pcs			 male 35 pcs			 			 sizes:			 extra small			 25pcs (slim fit for female)			 small			 20 pcs (slim fit for female</t>
  </si>
  <si>
    <t xml:space="preserve"> PLEASE SEE ATTACHED DOCUMENTS.</t>
  </si>
  <si>
    <t xml:space="preserve"> August 19, 2020 REQUEST FOR QUOTATION (RFQ) BOND PAPER, SHORT, SUBSTANCE 16, COLOR PINK &amp; GREEN 1.	The Batangas Medical Center hereinafter referred to as the “Purchaser” now request for submission of price proposal for the procurement of the aforesaid ite</t>
  </si>
  <si>
    <t xml:space="preserve"> Republic of the Philippines Province of Camarines Sur MUNICIPALITY OF BAAO INVITATION TO BID FOR THE SUPPLY AND DELIVERY OF LIFE SAVING AND RESCUE EQUIPMENT - MDRRMO 1. The LOCAL GOVERNMENT UNIT OF BAAO, through the Budget for the contract approved by the</t>
  </si>
  <si>
    <t xml:space="preserve"> 1.	Purchase Request No.: MAINT 2020-06-0029 Name:  	Purchase of Replacement Parts for the repair of Service Vehicle Mitsubishi L300 FB with DPWH No. H1-6475 Location:	Masbate 3rd DEO  Description of Project/Scope of works:   1		set		LH Headlight 1		set		R</t>
  </si>
  <si>
    <t xml:space="preserve"> PROCUREMENT OF RUBBER MATTING 4' X 10'</t>
  </si>
  <si>
    <t xml:space="preserve"> 1	unit	MULTI-PURPOSE VEHICLE (DIESEL ENGINE) 		 		Specs: 		Overall Dimensions (mm) 4,735x1,830x1,795 		Wheelbase (mm) 2,750 Seating Capacity 7 		 		Engine: 		Engine Type 4-Cylinder, In-Line 16 Valve 		Double Overhead Camshaft (Variable Nozzle) 		Turbo Cha</t>
  </si>
  <si>
    <t xml:space="preserve"> Procurement of Office Equipment use for MCR office</t>
  </si>
  <si>
    <t xml:space="preserve"> For Pick- Up</t>
  </si>
  <si>
    <t xml:space="preserve"> Republic of the Philippines Province of Camarines Sur MUNICIPALITY OF BAAO INVITATION TO BID FOR THE CONSTRUCTION OF MULTI-PURPOSE HALL PHASE 1 – STA. TERESITA 1. The LOCAL GOVERNMENT UNIT OF BAAO, through the Budget for the contract approved by the Sangg</t>
  </si>
  <si>
    <t xml:space="preserve"> SPANISH TRAIL FOOTBRIDGE IMPROVEMENT</t>
  </si>
  <si>
    <t xml:space="preserve"> Title:Procurement of Information Technology under P.R.Nos. 3176-2020(Office of the City Engineer) and 3088-2019(CMO-Provision for Information and Communication Technology Equipment)-1Lot Total ABC: Php 2,746,999.96 For representative/s of interested bidde</t>
  </si>
  <si>
    <t xml:space="preserve"> Labor/Installation and Materials 		3rd Floor Bldg. Installation of Windows, Doors and  		Comfort Rooms Partition and Accessories 		 		LOT 1 		Scope of works: 1	LS	I. Masonry Works (Comfort Room-Sink) 1	LS	II. TILEWORKS 1	LS	III. TOILET AND BATHROOM ACCESS</t>
  </si>
  <si>
    <t xml:space="preserve"> PROCUREMENT OF MEDICAL SUPPLIES/CHROMIC 0 ROUND 12's, ETC.</t>
  </si>
  <si>
    <t xml:space="preserve"> Republic of the Philippines							     Department of Agriculture							    BUREAU OF FISHERIES AND AQUATIC RESOURCES VII							 BIDS AND AWARDS COMMITTEE (BAC) OFFICE							         Arellano Blvd., Cebu City							        Tel.No.:(032) 260-6398    E-mail:</t>
  </si>
  <si>
    <t xml:space="preserve"> Republic of the Philippines Province of Pangasinan MUNICIPALITY OF LINGAYEN BARANGAY LIBSONG EAST Invitation to Bid    1. The Barangay Libsong East through the Barangay  Development Fund CY 2020 intends to apply the sum of    Four Hundred Ninety One   Tho</t>
  </si>
  <si>
    <t xml:space="preserve"> 6 Liters Engine Oil 1 piece oIL Filter 1 piece Air Filter  1 piece  Filter Element 1 job Labor</t>
  </si>
  <si>
    <t xml:space="preserve"> RFQ 2020-175 PROJECT		:	LBP MIAG-AO BRANCH BUILDING CONSTRUCTION (NEW UNIT) IMPLEMENTOR		: 	LBP RESOURCES AND DEVELOPMENT CORPORATION OWNER			:	LAND BANK OF THE PHILIPPINES	 REQUEST FOR QUOTATION FOR	:	SUPPLY AND DELIVERY OF ELECTRICAL WIRES DATE / TIME O</t>
  </si>
  <si>
    <t xml:space="preserve"> Number: 	Quantity: 	 1	23	liter		Azadiracthtin, 90% neem oil extract, 1 liter/bottle		1,200.00	27,600.00 2	23	box		Bacillus Thuringienses, 5 sachets/box		1,900.00	43,700.00 3	83	pack		Pheromone Lure (Fall Army Worm) Lure components: Z9-14:AC. Z11-16		652.</t>
  </si>
  <si>
    <t xml:space="preserve"> Bidding will be conducted through open competitive bidding procedures as specified in the Implementing Rules and Regulation (IRR) of Republic Act No. 9184 (R.A. 9184), otherwise known as the Government Procurement Reform Act.</t>
  </si>
  <si>
    <t xml:space="preserve"> To be served during the conduct of Presentation and Critiquing of Updated Organizational Context on Sept. 11-12, 2020 at DA RFO2 Organic Agriculture Conference Hall</t>
  </si>
  <si>
    <t xml:space="preserve"> 42 boxes - Face Mask 28 gallons - Alcohol 42 boxes - Vitamin C (100's) 1,400 pcs - Paracetamol 14 boxes - Loperamide 420 pcs - Soap (big, 175g) 28 packs - Detergent Powder (1kg) 28 gallons - Disinfecting Agent 28 cans - Disinfectant Spray (510g)</t>
  </si>
  <si>
    <t xml:space="preserve"> 11 Liters Engine Oil 1 piece Lube Filter 1 piece Air Filter Element 1 piece Fuel Filter Cartridge 5 Liters Gear Oil 90 1 job Labor</t>
  </si>
  <si>
    <t xml:space="preserve"> Purchase of Various Office Supplies</t>
  </si>
  <si>
    <t xml:space="preserve"> The Works consist of 1. Project Billboard 2. Transmission Lines</t>
  </si>
  <si>
    <t xml:space="preserve"> Construction of 7-layer niches.</t>
  </si>
  <si>
    <t xml:space="preserve"> COUPON BOND A4 70 GSM COUPON BOND A4 80 GSM</t>
  </si>
  <si>
    <t xml:space="preserve"> 7 	sheet	1/4" thk Ordinary Plywood		  1 	kls	CWN		  32 	bd. Ft	4pcs-Coco Lumber 2x4x12		  12 	bd. Ft	3pcs-Coco Lumber 2x2x12		 1 	set	4'x8' Tarpaulin		 6.16 	cu.m	Filling Materials for Embankment		 2.79 	cu.m	Gravel Bedding Materials		  183 	bags	Portland</t>
  </si>
  <si>
    <t xml:space="preserve"> 1	Epson 664 BCYM for Epson L120 Printer							10	bots	400.00 2	Ink Cartridge HP 932xl for A3 Printer - Black Color							4	pcs	2,132.00 3	Printer Ribbon Epson LQ300+11							10	pcs	250.00 4	Printer Ribbon Epson LQ 2190							5	pcs	1,000.00 5	Printer Toner</t>
  </si>
  <si>
    <t xml:space="preserve"> 1	Oxygen Refill, Big							500	tanks	620.00 Project Name:		For use in the Pharmacy Department							 Place of Delivery:		Bais District Hospital							 ABC:P310,000.00</t>
  </si>
  <si>
    <t xml:space="preserve"> 1 1 UNIT PRINTER - . - Ribbon Printer 2 1 UNIT PRINTER - . - All-in-One (Printing, Scanning, Photocopy)</t>
  </si>
  <si>
    <t xml:space="preserve"> INVITATION TO RE-BID FOR Disaster Response and Rescue Equipment  (Name of Project)    1.	The CITY GOVERNMENT OF ZAMBOANGA, through the AB FY 2020 intends to apply for re-bid the sum of ONE MILLION SEVEN HUNDRED FIFTY THOUSAND PESOS (P1,750,000.00) ONLY be</t>
  </si>
  <si>
    <t xml:space="preserve"> PURCHASE OG MEAT PROCESSING EQUIPMENT</t>
  </si>
  <si>
    <t xml:space="preserve"> Supply and Delivery of Metering Pump, Electronic 230V, 5-7LPH capacity, complete with accessories The Metro Midsayap Water District (MMWD) gives notice that  quotations are invited for the Supply and Delivery of Metering Pump, Electronic 230V, 5-7LPH capa</t>
  </si>
  <si>
    <t xml:space="preserve"> 4 units - Network Printer A3 Maximum Media Size: (11.7in) 3 units - Network Printer A4 Maximum Media Size: Legal (8.5in x 14in) Print Tech: Inkjet (Color) print Speed: 20ppm (Mono &amp; Color) Copy speed: 11cpm: speed measured using A4 size paper Print Qualit</t>
  </si>
  <si>
    <t xml:space="preserve"> Republic of the Philippines Province of South Cotabato City of Koronadal BIDS AND AWARDS COMMITTEE Invitation to Bid for the Construction of Various Lined Canal Projects (5 Lots), City of Koronadal 1.	The City Government of Koronadal, through its, CALAMIT</t>
  </si>
  <si>
    <t xml:space="preserve"> Coffee Creamy White 28Gx30’s	100	PACK Sugar White	20	KILO Alfonso De Tablea	24	PACK Kaibigan Lengua	24	JAR Delfas 7in1 Herbal Tea 350g	100	JAR Muscovado ½ kg	12	KILO Jacobina 10’s	80	PACK</t>
  </si>
  <si>
    <t xml:space="preserve"> NOTICE TO THE PUBLIC REQUEST FOR PROPOSAL Purchase Request No: PUR20-07-0654  The Philippine General Hospital hereby informs the public that it will be procuring the following item/s through Small Value Procurement: 1.	43 pcs		MATTRESS for Patients Bed, w</t>
  </si>
  <si>
    <t xml:space="preserve"> Province of Nueva Vizcaya BIDS AND AWARDS COMMITTTEE (GOODS) BAC OFFICE, Provincial Capitol, Bayombong, Nueva Vizcaya 	 		 2nd REQUEST FOR QUOTATION (RFQ) For the Procurement of Desktop Computers, Laptop, etc. For the ProvincialTreasury and Kasibu Municii</t>
  </si>
  <si>
    <t xml:space="preserve"> 1	Diesel Fuel							1	lot	46,800.00 2	Engine Oil Synthetic							1	lot	8,075.00 3	Unleaded Fuel							1	lot	12,375.00 										 	Note : Terms &amp; Conditions									 	1.Price Qoutation Should Be Made in lot									 	2.Fuel Escalation Clause									 	 - i</t>
  </si>
  <si>
    <t xml:space="preserve"> Procurement of Computer Ink &amp; IT’s use for Accounting office</t>
  </si>
  <si>
    <t xml:space="preserve"> Rental of 2 units 6-wheeler dump trucks with 6 cu.m. capacity</t>
  </si>
  <si>
    <t xml:space="preserve"> Improvement of Slaughterhouse Building at Balud, San Fernando, Cebu Item	Unit	Description	 Quantity  I	cu.m	Excavation and Construction of Pathways	27.85 II	cu.m	Concrete work &amp; pathways	7.33 III	kgs	Reinforcing steel works for pathways	945.00 IV	lot	Meta</t>
  </si>
  <si>
    <t xml:space="preserve"> Item Description	Quantity	Unit a.		Project Billboard	1	Lot b.		Reinforced Concrete Intake Box (4m x 3m x 1m)	3.86	Cum c.		Supply and Installation of Intake Box Pipelines and Fittings	1	Lot d.		Reinforced Concrete Reservoir (2.5m x 2.5m x 2.5m)	5.79	Cum e.</t>
  </si>
  <si>
    <t xml:space="preserve"> 1 	 4 	 sets 	 VHF HANDHELD TRANCEIVER - Brandnew   - 	 - 	 - 	 complete with standard accessories:   - 	 - 	 - 	 Specifications and Accessories:   - 	 - 	 - 	 GENERAL:   - 	 - 	 - 	 Frequency Coverage:     136MHz - 174 MHz   - 	 - 	 - 	 Type of emission:</t>
  </si>
  <si>
    <t xml:space="preserve"> 1	Dextrose .5% in LRS 500 ml							720	bot	75.00 2	Dextrose .5% in LRS 1000 ml							780	bot	85.00 3	Plain NSS 1000 ml							840	bot	85.00 4	Plain LRS 500 ml							540	bot	80.00 5	Plain LRS 1000 ml							480	bot	85.00 6	Dextrose .09% NACL, 1000 ml							1</t>
  </si>
  <si>
    <t xml:space="preserve"> 200 box Gloves #7.0 Sterile lightly powdered 50's Latex 200 box Gloves #7.5 Sterile lightly powdered 50's Latex</t>
  </si>
  <si>
    <t xml:space="preserve"> RFQ 2020-176 PROJECT		:	LBP BARILI (CEBU)  BRANCH BUILDING CONSTRUCTION (NEW UNIT) IMPLEMENTOR		: 	LBP RESOURCES AND DEVELOPMENT CORPORATION OWNER			:	LAND BANK OF THE PHILIPPINES	 REQUEST FOR QUOTATION FOR	:	SUPPLY AND DELIVERY OF ELECTRICAL WIRES DATE /</t>
  </si>
  <si>
    <t xml:space="preserve"> CNH-0520-055</t>
  </si>
  <si>
    <t xml:space="preserve"> please see attached canvass form for details</t>
  </si>
  <si>
    <t xml:space="preserve"> 3000 pairs Shoe Cover</t>
  </si>
  <si>
    <t xml:space="preserve"> Procurement of Laptop use for COA office</t>
  </si>
  <si>
    <t xml:space="preserve"> Unit     Qty       Items pcs     247       Smart 300 pcs     146       Smart 100 pcs     417       Talk n' Text 300 pcs     98        Talk n' Text 100 pcs     104      Sun Reg. 300 pcs     36        Sun Reg. 50</t>
  </si>
  <si>
    <t xml:space="preserve"> August 19, 2020 REQUEST FOR QUOTATION (RFQ) CORRECTIVE MAINTENANCE OF SUBMERSIBLE PUMP 1.	The Batangas Medical Center hereinafter referred to as the “Purchaser” now request for submission of price proposal for the procurement of the aforesaid item describ</t>
  </si>
  <si>
    <t xml:space="preserve"> Installation of Street Lights at Brgy. Mabayawas</t>
  </si>
  <si>
    <t xml:space="preserve"> INVITATION TO RE-BID FOR Motor Vehicle  (Name of Project)    1.	The CITY GOVERNMENT OF ZAMBOANGA, through the SB# 01 FY 2019 intends to apply for re-bid the sum of TWO MILLION ONE HUNDRED THOUSAND PESOS (P2,100,000.00) ONLY being the Approved Budget for t</t>
  </si>
  <si>
    <t xml:space="preserve"> Procurement of Construction Materials use for Accounting office</t>
  </si>
  <si>
    <t xml:space="preserve"> 1 unit        Franklin motor 3hp with 230watts with control box 1 unit        Sp 25-11 1 unit        Deepwell controller 3hp with 230watts 150 mtrs.  Submersible cable #10/3c 2 pcs.        3m Rubber tape</t>
  </si>
  <si>
    <t xml:space="preserve"> REPUBLIC OF THE PHILIPPINES                                                    PROVINCE OF NEGROS ORIENTAL                                                            CITY OF DUMAGUETE                                                        BARANGAY CADAWIN</t>
  </si>
  <si>
    <t xml:space="preserve"> Republic of the Philippines                                                     PROVINCE OF MISAMIS ORIENTAL                                                             Municipality of Tagoloan                                                              </t>
  </si>
  <si>
    <t xml:space="preserve"> Improvement of Barangay Health Center</t>
  </si>
  <si>
    <t xml:space="preserve"> Barangay Luyongbonbon</t>
  </si>
  <si>
    <t xml:space="preserve"> Concreting of 0.20m thk, 5m width barangay road with net length of 976.00m.</t>
  </si>
  <si>
    <t xml:space="preserve"> Labor and Materials: Road Concreting Location: Sitio Pag-Asa, Catabangan Proper -Nothing Follows-</t>
  </si>
  <si>
    <t xml:space="preserve"> Republic of the Philippines Province of Camarines Sur MUNICIPALITY OF BAAO INVITATION TO BID FOR THE SUPPLY AND DELIVERY OF I.T. EQUIPMENT FOR MDRRMO 1. The LOCAL GOVERNMENT UNIT OF BAAO, through the Budget for the contract approved by the Sanggunian 2020</t>
  </si>
  <si>
    <t xml:space="preserve"> CNH-0520-044</t>
  </si>
  <si>
    <t xml:space="preserve"> 1.	The Department of Education – Schools Division Office of Pasig City, through the GAA CY 2020 –Maintenance and Other Operating Expenses (MOOE) Fund  intends to apply the sum of Two Million Six Hundred Eighteen Thousand Seven Hundred N1nety-Nine Pesos an</t>
  </si>
  <si>
    <t xml:space="preserve"> Purchase and delivery of office supplies and learning materials to be used by DepEd Calapan City</t>
  </si>
  <si>
    <t xml:space="preserve"> 16	Pn	Plywood, ¾ inch thk x 4 ft x 8 ft – Marine class A 100	Pn	Plywood, ¼ inch thk x 4 ft x 8 ft – Marine class A 120	Pc	Hinges, door with wooden screw – 1 inch x 1 inch x 2 inch L 22	Pc	Cut-off wheel blade 4400 rpm max speed 80 m/s 14 inch x 1/8 inch x </t>
  </si>
  <si>
    <t xml:space="preserve"> 3000 pieces Disposable Blue Isolation Gown</t>
  </si>
  <si>
    <t xml:space="preserve"> 2 pcs. 12mm Acrylic Board 4 x 6 2 pcs. Basketball Ring 18" w/ net 1 pc. 2 tons Chain Block 5 pcs. 1½ x 6m - Angle Bar 4 pcs. 2 x 6m - Angle Bar 10 pcs. 5/8 Plain Round Bar 16 pcs. Turn Buckle 5/8 20 kilos Welding Rod 5 pcs. 4" Sanding Disc 2 pcs. Epoxy Pr</t>
  </si>
  <si>
    <t xml:space="preserve"> LGU-BINUANGAN would like to invite all interested suppliers/bidders for the Procurement of Construction Materials for the Dumpsite Closure and Installation with an ABC of Eighty Two Thousand Four Hundred Forty Pesos Only (Php 82,440.00).</t>
  </si>
  <si>
    <t xml:space="preserve"> Coffee 3in1 28g x 30’s	100	PACK Coffee Creamer 5g 48’s	20	PACK Coffee Brown 28.5g x 30’s	50	PACK Coffee Brown 27.5g x 30’s	40	PACK Sugar White	70	KILO Sugar Washed	50	KILO Kaibigan Lengua	100	JAR Kaibigan Sopas	40	JAR Kaibigan Honey	40	JAR Pure Wild Honey</t>
  </si>
  <si>
    <t xml:space="preserve"> NEGOTIATED PROCUREMENT</t>
  </si>
  <si>
    <t xml:space="preserve"> INVITATION TO RE-BID FOR Other Machinery and Equipment  (Name of Project)    1.	The CITY GOVERNMENT OF ZAMBOANGA, through the AB FY 2020 intends to apply for re-bid the sum of ONE MILLION SIX HUNDRED THOUSAND PESOS (P1,600,000.00) ONLY being the Approved </t>
  </si>
  <si>
    <t xml:space="preserve"> The National Irrigation Administration-Regional Office 12, Villarica, Midsayap, Cotabato, through the Fund 501 has the Approved Budget for the Contract (ABC) amounting to THREE HUNDRED THIRTY THOUSAND ONE HUNDRED FIFTY PESOS  (P 330,150.00). Quotation rec</t>
  </si>
  <si>
    <t xml:space="preserve"> TERMS and CONDITIONS:		 1. All entries must be typewritten or legibly written.		 2. Delivery period within Fifteen (15) working days upon receipt of the approved funded Purchase (P.O.). Administrative penalties pursuant to Sec. 69 of the Revised IRR-RA 91</t>
  </si>
  <si>
    <t xml:space="preserve"> 200 box Gloves of Synthetic Rubber clean gloves Large size 100's 400 box Gloves of Synthetic Rubber clean gloves Medium Size size 100's</t>
  </si>
  <si>
    <t xml:space="preserve"> 580 pieces Cover All Suit (for Isolation use) made of polyethylene+ Polyester, 2 way zipper with                       with sealable storm flap</t>
  </si>
  <si>
    <t xml:space="preserve"> INVITATION TO BID FOR Information and Communication Technology Equipment  (Name of Project)    1.	The CITY GOVERNMENT OF ZAMBOANGA, through the SB# 02 FY 2020 intends to apply the sum of ONE MILLION EIGHT HUNDRED THOUSAND PESOS (P1,800,000.00) ONLY being </t>
  </si>
  <si>
    <t xml:space="preserve"> Republic of the Philippines Province of Iloilo Municipality of Lambunao Office of the Bids &amp; Awards Committee INVITATION TO BID/ REQUEST FOR PRICE QUOTATION Name of Project: Purchase of Materials for the Installation of Solar Streetlight Location: Brgy. P</t>
  </si>
  <si>
    <t xml:space="preserve"> The Municipal Government of Luna, Isabela through its Bids and Awards Committee (BAC) invites all prospective bidders to apply and bid for the hereunder project: Name of Project: SUPPLY AND AND DELIVERY OF ADDITIONAL TWO (2) SETS OF DUPLICATING MACHINE WI</t>
  </si>
  <si>
    <t xml:space="preserve"> 20	piece	3" dia. x 3.0m PVC Pipe		 21	piece	3" dia. x 90 degrees PVC Elbow		 7	piece	3" dia. PVC Coupling		 4	tube	Silicon Sealant		 2	can	Solvent Cement		 1	piece	0.40mm x 2.40m Pln. GI Sht.		 1	kilo	2" Concrete Nails		 103	bag	Portland Cement		 12	cu.m.</t>
  </si>
  <si>
    <t xml:space="preserve"> Procurement of Cell cards for the 2nd &amp; 3rd quarter CY 2020</t>
  </si>
  <si>
    <t xml:space="preserve"> Scope of works: 1.	General requirement 2.	2.  Soil poisoning treatment 3.	3.  Earthworks 4.	4. Structural concrete ( Ind. Forms &amp; scaffolding) 5.	5.  Masonry works 6.	6. Roof framing(fully welded &amp; painted) and roofing 7.	Doors and windows 8.	Carpentry 9.</t>
  </si>
  <si>
    <t xml:space="preserve"> 1. 160 heads - Chicken 2-3 mos. old (Starter Kit) Dominant CZ  - healthy and  vaccinated with NCD. Requirements:  2020 PhilGeps Registration, Business Permit, Mayors Permit, Tax Clearance, BAI Certification and                         Notarized Omnibus Sw</t>
  </si>
  <si>
    <t xml:space="preserve"> 1.  200 pcs CHB (4") 2.  15 pcs 10mm dia Steel Bar 3.  10 pcs Plywood 4.  7 kg Nail #3 5.  7 kg Nail #4 6.  3 kg Nail #2½ 7.  3 kg Nail #2 8.  3 kg Umbrella Nail 9.  8 pcs Corrugated G.I. #0.4mm 12 feet 10. 2 cu.m. Gravel 11. 2 cu.m Sand 12. 15 bag Cement</t>
  </si>
  <si>
    <t xml:space="preserve"> gate valve 10" (flange type)</t>
  </si>
  <si>
    <t xml:space="preserve"> Procurement of Rehabilitation of Deep Well 1 and 2</t>
  </si>
  <si>
    <t xml:space="preserve"> Republic of the Philippines                                                                PROVINCE OF MISAMIS ORIENTAL                                                                         Municipality of Tagoloan                                       </t>
  </si>
  <si>
    <t xml:space="preserve"> Various Supply and Materials</t>
  </si>
  <si>
    <t xml:space="preserve"> Deliveries of Supplies and materials for Installation of Solar Street Lights of Barangay Salvacion sta elena camarines Norte</t>
  </si>
  <si>
    <t xml:space="preserve"> Republic of the Philippines PROVINCE OF NUEVA VIZCAYA Municipality of Alfonso Castañeda  BIDS &amp; AWARDS COMMITTEE FOR GOODS &amp; SERVICES REQUEST FOR QUOTATION RFQ Number: 2020-08-09 The Local Government of Alfonso Castañeda through its Bids and Awards Comm</t>
  </si>
  <si>
    <t xml:space="preserve"> Republic of the Philippines Province of Batanes	 MUNICIPALITY OF BASCO               INVITATION FOR NEGOTIATED PROCUREMENT  Project Reference No. :100-3-01-001 Name of Project	      : For Peace and Order and Public Safety (POPS)Programs, Projects and Acti</t>
  </si>
  <si>
    <t xml:space="preserve"> REPUBLIC OF THE PHILIPPINES																																							 	PROVINCE OF ZAMBOANGA DEL NORTE																																							 	MUNICIPALITY OF PRES. MANUEL A. ROXAS																																							 	BIDS AND AWARDS COMMITTEE												</t>
  </si>
  <si>
    <t xml:space="preserve"> INVITATION TO BID No. IB-2020-IX-08-01 The Municipality of Sibalom through its Bids &amp; Awards Committee (BAC), invites bidders/contractors to apply for eligibility and to bid for the hereunder project: Project           	 		:	ONE (1) UNIT BRAND NEW VAN Loc</t>
  </si>
  <si>
    <t xml:space="preserve"> Cutting Edge	2	PCS End Bit LH &amp; RH	2	PCS Flow Bolt ¾ x 3 with Nut	23	PCS Flow Bolt ¾ x 4 ½ with Nut	4	PCS</t>
  </si>
  <si>
    <t xml:space="preserve"> Procurement of Construction Supply</t>
  </si>
  <si>
    <t xml:space="preserve"> LGU-BAROBO		Project Reference Number		 Name of Procuring Entity		Supply &amp; Delivery of Fuel &amp; Lubricants		 			Barobo, Surigao del Sur	 Standard Form Number: SF-GOOD-60				 Revised on: May 24, 2004				 Standard Form Title: REQUEST FOR QUOTATION				 			D a t</t>
  </si>
  <si>
    <t xml:space="preserve"> Republic of the Philippines Province of South Cotabato City of Koronadal BIDS AND AWARDS COMMITTEE Invitation to Bid for the Construction of Lined Canal from Agreville, Brgy. Sto. Niño to Prk. Maharlika, Brgy. GPS, City of Koronadal 1.	The City Government</t>
  </si>
  <si>
    <t xml:space="preserve"> Republic of the Philippines Province of Batanes	 MUNICIPALITY OF BASCO               INVITATION FOR NEGOTIATED PROCUREMENT  Project Reference No. :100-3-01-010 Name of Project	      : Evacuation Facility in Barangay San Antonio-Phase III Location of Proje</t>
  </si>
  <si>
    <t xml:space="preserve"> Republic of the Philippines JOSE RIZAL MEMORIAL STATE UNIVERSITY KATIPUNAN CAMPUS Katipunan, Zamboanga del Norte Invitation to Bid: Purchase of ICT Equipment 1)	The Jose Rizal Memorial State University-Katipunan Campus, Katipunan, Zamboanga del Norte thro</t>
  </si>
  <si>
    <t xml:space="preserve"> 1  unit             Vehicle 	               Specifications: 	               Engine: 2.2L in line 4 turbo charged 	               &amp; intercooler 16-valve DOHC 	               Suspension: front independent wish bone &amp; coil 	               spring 	           </t>
  </si>
  <si>
    <t xml:space="preserve"> 50 sacks Commercial Rice 50 kgs</t>
  </si>
  <si>
    <t xml:space="preserve"> 1  -   PC  -  CONFERENCE TABLE              TEN (10) SEATERS              COLOR: CHERRY BROWN               SIZE: 240CMx120CM 6  -  PCS  -  CHAIRS             COLOR: PU BLACK              WITH CHROME METAL FRAME              WITH ARM</t>
  </si>
  <si>
    <t xml:space="preserve"> 56 bags - Portland Cement 6 cu.m. - Washed Sand 4 cu.m. - Washed Gravel 600 pcs - CHB 60 pcs - 10mm RSB 5 kgs - #16 Tie Wire</t>
  </si>
  <si>
    <t xml:space="preserve"> REPUBLIC OF THE PHILIPPINES																																						 		PROVINCE OF ZAMBOANGA DEL NORTE																																						 		MUNICIPALITY OF PRES. MANUEL A. ROXAS																																						 		BIDS AND AWARDS COMMITTEE												</t>
  </si>
  <si>
    <t xml:space="preserve"> Purchase of Brand New and Latest 4X2 High Side Pick-up with Roof w/ dual Aircon Euro 4 Engine type: Rescue Vehicle</t>
  </si>
  <si>
    <t xml:space="preserve"> 300 boxes Glucometer strip 50 pcs/ bx with 1 meter/ 10 box</t>
  </si>
  <si>
    <t xml:space="preserve"> Procurement of Sports Materials use for MSWDO/PYAP/out-of School Youth Organization of all 22 barangays</t>
  </si>
  <si>
    <t xml:space="preserve"> OPENING OF BIDS IN DSWD FO IX ZAMBOANGA CITY,				 DELIVERY IN DSWD-PCDP, MAMPANG ZC				 PROCUREMENT FOR THE FF.:				 						 				 200	CASE	CUP NOODLES CHICKEN AND BEEF FLAVOR-HALAL 55 grams x 48	@	 650.00  200	PAIL	BISCUITS, 1.5kg PAIL/ASSORTED FLAVOR	@	 3</t>
  </si>
  <si>
    <t xml:space="preserve"> 100	Bag	Fertilizer, 16-20-0, 50kgs cap/bag 130	Bag	Fertilizer, 14-14-14. 50kgs cap/bag 100	Bag	Fertilizer, 46-0-0, 50kgs cap/bag 100	Bag	Fertilizer, 21-0-0, 50kgs cap/bag 100	Bag	Fertilizer, 0-0-60, 50kgs cap/bag 100	Bag	Fertilizer, Organic Foliar (Humic </t>
  </si>
  <si>
    <t xml:space="preserve"> LGU-BAROBO		Project Reference Number		 Name of Procuring Entity		Supply &amp; Delivery of General Merchandise		 			Barobo, Surigao del Sur	 Standard Form Number: SF-GOOD-60				 Revised on: May 24, 2004				 Standard Form Title: REQUEST FOR QUOTATION				 			D a</t>
  </si>
  <si>
    <t xml:space="preserve"> MASONRY WORKS CARPENTRY WORKS DOORS AND WINDOWS</t>
  </si>
  <si>
    <t xml:space="preserve"> 1.) LABORATORY OVEN, Stainless, 6 plates, gas operated, 34.5" x 24.5", with inner layer of 26" x 18" 2) LPG tank with content (11 kg.), with regulator, hose (2m), and hose clip</t>
  </si>
  <si>
    <t xml:space="preserve"> 1 LOT COMMON COMPUTER SUPPLIES  34 PIECE COMPUTER INK (COLORED) HP # 680 34 PIECE COMPUTER INK (BLACK) HP # 680 17 PIECE COMPUTER INK (COLORED) # 768 18 PIECE COMPUTER INK (BLACK) HP # 768 5 PIECE MOUSE 3 PIECE KEYBOARD</t>
  </si>
  <si>
    <t xml:space="preserve"> Please quote your lowest price on the PROVION OF MEALS AND SNACKS FOR TRAININGS UNDER MSWD OFFICE  as specified below and submit your quotation duly signed by your representative not later than 2pm of   AUGUST 25, 2020 				 					 								    LEONORA S. VA</t>
  </si>
  <si>
    <t xml:space="preserve"> 1 set SERVER POWER SYSTEM S914 1 unit UPS BX1400U-MS 1400VA 1 SET Microsoft Windows Server 2016 Standard Edition 1 SET Microsoft SQL Server 2016 Standard Edition (kindly see attached request for quotation)</t>
  </si>
  <si>
    <t xml:space="preserve"> Republic of the Philippines Province of Misamis Oriental MUNICIPALITY OF BINUANGAN OFFICE OF THE BIDS AND AWARDS COMMITTEE (BAC) 9008 POBLACION, BINUANGAN, MISAMIS ORIENTAL INVITATION TO BID The Local Government Unit (LGU) of Binuangan, through its Bids a</t>
  </si>
  <si>
    <t xml:space="preserve"> CNH-0720-074</t>
  </si>
  <si>
    <t xml:space="preserve"> 1	17	pcs	Zipper Type Polo Shirt (Polyester Cloth - Dry Fit) Uniform</t>
  </si>
  <si>
    <t xml:space="preserve"> Procurement of Office Supplies use for MBO office</t>
  </si>
  <si>
    <t xml:space="preserve"> INVITATION TO BID-HIRING OF GENERAL CONTRACTOR FOR THE REPAIRS/RENOVATION OF 2ND FLOOR OF DBP DIPOLOG BRANCH BUILDING Approved Budget for the Contract (ABC)	-   P 1,049,534.81 Amount of Bid Documents	                        -   P       5,000.00    Complet</t>
  </si>
  <si>
    <t xml:space="preserve"> Location: Purok Capricorn, Tumog, Luna, Apayao</t>
  </si>
  <si>
    <t xml:space="preserve"> Republic of the Philippines Province of Albay Municipality of Sto. Domingo Barangay Sto. Niño BIDS AND AWARDS COMMITTEE INVITATION TO BID The LGU-Barangay Sto. Niño, Sto. Domingo Albay through the Bids and Awards Committee (BAC) invites suppliers/manufact</t>
  </si>
  <si>
    <t xml:space="preserve"> INVITATION TO BID No. IB-2020-IX-08-02 The Municipality of Sibalom through its Bids &amp; Awards Committee (BAC), invites bidders/contractors to apply for eligibility and to bid for the hereunder project: Project           	 		:	ONE (1) UNIT BRAND NEW EMERGEN</t>
  </si>
  <si>
    <t xml:space="preserve"> Deliveries of Supplies and materials for the Improvement of Multi-Purpose Building (OSY ALTERNATIVE LEARNING CENTER) at P5, Barangay BAsiad, Sta. Elena, Camarines Norte.</t>
  </si>
  <si>
    <t xml:space="preserve"> INVITATION TO BID FOR THE PROCUREMENT OF GOODS/SUPPLIES FOR THE   FOLLOWING PROJECT The DPWH-Lanao del Norte 1st District Engineering Office, through the following Approved Budget Cost (ABC):  1.	Php 1,225,790.50 – Reference No. 20GKG0038 (PR No. 20-07-13</t>
  </si>
  <si>
    <t xml:space="preserve"> 1. 160  heads - Chicken Dominant CZ - 2-3 mos. Old  healthy and fully vaccinated with NCD. Requirements:   2020 PhilGeps Registration, Business Permit, Mayors Permit, Tax Clearance, BAI Certification and                          Notarized Omnibus Sworn St</t>
  </si>
  <si>
    <t xml:space="preserve"> Republic of the Philippines												 City of San Carlos												 Negros Occidental												 												 			INVITATION TO BID							FOR SALE	 			PURCHASE REQUEST NO: 18-20-07-0954			P 3,327.00	 Sealed bids for quotation of prices will be received</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</si>
  <si>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</si>
  <si>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Republic of the Philippines DEPARTMENT OF AGRICULTURE Philippine Rural Development Project  PSO-Visayas Cluster RPCO-7 Province of Bohol INVITATION TO QUOTE ________________________________________________________________ CONSTRUCTION OF PROCESSING BUILDI</t>
  </si>
  <si>
    <t xml:space="preserve"> Procurement of Various Various Hardware and Construction Materials for the Repair of Pandol Bridge at Pandol - Fatima Road, Corella, by the Provincial Engineer's Office, New Capitol Building, Tagbilaran City ABC: P388,038.31 Cost of Canvas: P250.00</t>
  </si>
  <si>
    <t xml:space="preserve"> 18000	LTRS	DIESEL			 45.25 	 814,500.00  2500	        LTRS	UNLEADED REGULAR			 53.15 	 132,875.00  						   				 	Conditions: 	1. Total Cost is based on current average pump price for Diesel and Unleaded Gasoline				 		in Gasoline Station along JASA, Laya</t>
  </si>
  <si>
    <t xml:space="preserve"> 200 boxes Red top tube 5 ml 100's 200 boxes EDTA Tube 2 ml Lavender Top Tube</t>
  </si>
  <si>
    <t xml:space="preserve"> Republic of the Philippines 	Province of Eastern Samar	 City of Borongan -0- BIDS AND AWARDS COMMITTEE ------------------------------------------------------------------------------------------ Invitation to Bid for SUPPLY AND DELIVERY OF  ONE (1) UNIT BR</t>
  </si>
  <si>
    <t xml:space="preserve"> Republic of the Philippines NATIONAL FOOD AUTHORITY Eastern Visayas Regional Office Pawing, Palo, Leyte INVITATION TO SUBMIT PRICE QUOTATION   REPAIR PROVL. OFFICE ENTRANCE AND EXIT DOORS AND NFA GUIUAN ENTRANCE GATE IN NFA-EASTERN SAMAR  (Small Value Pro</t>
  </si>
  <si>
    <t xml:space="preserve"> Purchase of Four Hundred Forty Three (443) gals. Reflectorized Traffic Paint, White etc....</t>
  </si>
  <si>
    <t xml:space="preserve"> PURCHASE OF DRESS MAKING EQUIPMENT</t>
  </si>
  <si>
    <t xml:space="preserve"> 1 UNIT LAPTOP - . - Intel core i5-825OU processor - 4gb DDR4 memory, ITB HDD - INVIDIA geforce mx310 with 2 GB VRAM - 15.6HD view LCD , windows 10 - with accessories (bag, mouse and mouse pad</t>
  </si>
  <si>
    <t xml:space="preserve"> Stock No. Item Description    QTY. Unit 1 TIRE 12RX22.5 18 PLY(DT DAEWOO DE12TIS)   21     pcs. 2 TIRE 17.5X25 16 PLY (GRADER TIANGONG PY160M)   6    Sets 3 TIRE  14X24 16 PLY (GRADER VOLVO G930)      6 Sets 4 TIRE 12X20 22 PLY (DT QUESTER CKE280)      15</t>
  </si>
  <si>
    <t xml:space="preserve"> Reflectorized Thermoplastic Pavement Markings 							 1		Reflectorized Thermoplastic Paint (white)			bags	146 	 2		Reflectorized Thermoplastic Paint (yellow)			bags	25 	 		-x-x-x-x-x-x-x-x-x-x-x-x-x-x</t>
  </si>
  <si>
    <t xml:space="preserve"> Purchase of Brand New and Latest Model 4X2 Cab and Chassis Only</t>
  </si>
  <si>
    <t xml:space="preserve"> Chlorine Dioxide Stabilized Powder	 50 	kilo Braided Hose	 100 	meter Check Valve Injector	 2 	pcs  Deadline of Submission of Quotation:    Aug. 25, 2020  at 3:00 PM   Delivery Term:     FOB Umingan Water District   Payment Term:     180 Days   Please sub</t>
  </si>
  <si>
    <t xml:space="preserve"> Invitation to Bid  For the  Construction of Two (2) Storey Six (6) Classrooms at Uswag San Isidro Elementary Schhol, Jaro, Iloilo City 1.	The City of Iloilo, through the SEF Capital Outlay, CY2020 intends to apply the sum of Seventeen Million Five Hundred</t>
  </si>
  <si>
    <t xml:space="preserve"> Republic of the Philippines Province of Batanes	 MUNICIPALITY OF BASCO               INVITATION FOR NEGOTIATED PROCUREMENT  Project Reference No. :100-3-03-1% SC &amp; PWD Name of Project	      : SC Drugs and Med Location of Project	Basco, Batanes INVITATION </t>
  </si>
  <si>
    <t xml:space="preserve"> Cake (10"x3.5") 950 pcs</t>
  </si>
  <si>
    <t xml:space="preserve"> Republic of the Philippines EASTERN SAMAR STATE UNIVERSITY Borongan City, Eastern Samar INVITATION TO BID FOR Procurement of Agricultural Equipment for Laboratory and Project use at ESSU Salcedo Campus PR#07-2020-004-Salcedo 1.	The EASTERN SAMAR STATE UNI</t>
  </si>
  <si>
    <t xml:space="preserve"> l	Tire 255/60 R18	4 pcs. 2	Oil 40 Multigrade	1 ltr. 3	Brake Fluid	1 ltr.</t>
  </si>
  <si>
    <t xml:space="preserve"> ITEM	QTY.	UNIT		ARTICLE AND DESCRIPTION				CEILING 					UNIT PRICE		TOTAL 		 								PRICE									 																	 	JJASGH					      PR No. 680	Php208,675.90			OBR No. 100-2005-04468							                                                            ONM</t>
  </si>
  <si>
    <t xml:space="preserve"> DESCRIPTION AS SUBMITTED A. Labor  178,613.39 B. Materials  1,907,143.78 C. Rental of Equipment  212,143.78 D. Provisional Sum E. Dayworks F. Total Direct Cost (Sum of A-E) 2,298,504.78 G. OCM and Profit 15% 10% 558,638.08 H. Value Added Tax 5% 142,857.14</t>
  </si>
  <si>
    <t xml:space="preserve"> 1 SET/S DESKTOP COMPUTER - WITH COMPLETE ACCESSORIES - 21 inches monitor - intel core i5, 2.5 ghz or higher processor speed - Nvidia GeForce - 4GB DDR5 - 1 tb - with free speaker and ups</t>
  </si>
  <si>
    <t xml:space="preserve"> Asphalt Cold Mix 							 1		Asphalt Cold Mix			317 	pails		 		-x-x-x-x-x-x-x-x-x-x-x-x-x-x</t>
  </si>
  <si>
    <t xml:space="preserve"> LGU-BAROBO		Project Reference Number		 Name of Procuring Entity		Supply &amp; Delivery of Vehicle Parts		 			Barobo, Surigao del Sur	 Standard Form Number: SF-GOOD-60				 Revised on: May 24, 2004				 Standard Form Title: REQUEST FOR QUOTATION				 			D a t e  </t>
  </si>
  <si>
    <t xml:space="preserve"> Construction materials and supplies for building hand washing facility</t>
  </si>
  <si>
    <t xml:space="preserve"> Republic of the Philippines Province of Cebu Barangay Poblacion West BIDS AND AWARDS COMMITTEE Barangay Pob. West, Moalboal, Cebu  		Contract Reference No: Name of Contract: Purchase of One Unit Motorcycle Standard Form: SF-GOODS-05			Location of Contract</t>
  </si>
  <si>
    <t xml:space="preserve"> Brace (Good Lumber) Common wire nails Marine plywood 16mm Deformed Bars 12mm Deformed Bars 10mm Deformed Bars 5 BI Pipe Cement Sand Gravel 2 x 2 1/4 Angle Bar 1 1/2 x 1 1/2 x 1/4 Angle Bar Welding Rod Roofling sheets with Purlins Epoxyprimer Laquer Thinne</t>
  </si>
  <si>
    <t xml:space="preserve"> REPUBLIC OF THE PHILIPPINES																																				 		PROVINCE OF ZAMBOANGA DEL NORTE																																				 		MUNICIPALITY OF PRES. MANUEL A. ROXAS																																				 		BIDS AND AWARDS COMMITTEE																		</t>
  </si>
  <si>
    <t xml:space="preserve"> SCOPE OF WORKS: I	EARTH WORKS 	A. Ground Preparation (Equipment Rental) 	B. Excavation Labor 	C. Backfill Labor 	D. On fill 	E. Gravel Bedding II	FORMWORKS &amp; SCAFFOLDINGS: (Lump Sum) III	CONCRETE WORKS: 	A. Column Footing 	B. Columns (Foundation to Roof) </t>
  </si>
  <si>
    <t xml:space="preserve"> Republic of the Phillipines					 DEPARTMENT OF PUBLIC WORKS AND HIGHWAYS					 ZAMBOANGA DEL SUR					 1st District Engineering Office					 REGION IX					 Pagadian City					 					 				          NOTICE No.: 20-13	 				                DATE: August 19,  2020	 </t>
  </si>
  <si>
    <t xml:space="preserve"> Republic of the Philippines PROVINCE OF ZAMBOANGA DEL NORTE Municipality of Sibutad BIDS AND AWARDS COMMITTEE AUGUST 20, 2020 INVITATION TO BID The Local Government Unit of Sibutad, Zamboanga del Norte under P.R. No. GFP100-2020-08-084 dated AUGUST 10, 20</t>
  </si>
  <si>
    <t xml:space="preserve"> NBC-0620-174</t>
  </si>
  <si>
    <t xml:space="preserve"> 1	Glucose Strips w/ pricker, 50 strips, 50 prickers							150	set 	1,200.00 2	Polyglycolide Lactide, Braided, Coated Absorbable Surgical					75	doz	2,550.00 	Suture 1, Round 43 - Novosyn 1 HR 40									 3	Polyglycolide Lactide, Braided, Coated Absorbable</t>
  </si>
  <si>
    <t xml:space="preserve"> To be used for the implementation of the following projects titled:  A. "Support to Mass Production and Batanes Red and Itbayat White Garlic Quality Planting Material through Seed Production Technique in Batanes" and  B. "Support to Mass Production of Tra</t>
  </si>
  <si>
    <t xml:space="preserve"> Asphalt Sealant (60/70)</t>
  </si>
  <si>
    <t xml:space="preserve"> 50 boxes  Surgical Mask 50 gallons  70% Isopropyl Alcohol 100 pcs. Face Shield 20 boxes Unsterile gloves -nothing follows-</t>
  </si>
  <si>
    <t xml:space="preserve"> Installation 1 set of Basketball Goal</t>
  </si>
  <si>
    <t xml:space="preserve"> 1	lot	Supply, delivery, installation, and commissioning of the								 		following air conditioning units:								 		 								 3	units	3 Tonner, Split Type, Floor Mounted Aircon, Inverter, brand new						Php__________		Php__________ 2	units	2.5HP, Wall-mo</t>
  </si>
  <si>
    <t xml:space="preserve"> Construction of MSWD Office, Asingan, Pangasinan. Pre-Bid Conference – August 28, 2020 at 9:30 AM at the Conference Room of the Municipal Hall of Asingan Submission/Receipt/Opening of Bids :  September 9, 2020 at 9:30 AM at the Conference Room of the Muni</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</si>
  <si>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</si>
  <si>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Republic of the Philippines  Province of Sarangani Municipality of Alabel Barangay Maribulan Installation of Water Pipelines, Maribulan, Alabel, Sarangani Province 1.The Barangay Maribulan, through the Annual Budget for Calendar Year 2020[ In the case of </t>
  </si>
  <si>
    <t xml:space="preserve"> LGU-BAROBO		Project Reference Number		 Name of Procuring Entity		Supply &amp; Delivery of Food Supplies		 			Barobo, Surigao del Sur	 Standard Form Number: SF-GOOD-60				 Revised on: May 24, 2004				 Standard Form Title: REQUEST FOR QUOTATION				 			D a t e  </t>
  </si>
  <si>
    <t xml:space="preserve"> ELF TRUCK DIESEL ENGINE (4HFQ-133HP 4X2 6 WHEELER) MANUAL TRANSMISSION DROPSIDE (16 INCH IN HEIGHT 14FT BODY LENGTH)</t>
  </si>
  <si>
    <t xml:space="preserve"> Request for Quotation for the Procurement of (161 pcs.) Prepaid Cellular Load Card to be used as communication support in the implementation of the Community-based Participatory Action Research Projects in the Region for CY 2020 1.	The Department of Agric</t>
  </si>
  <si>
    <t xml:space="preserve"> Please see the attached document</t>
  </si>
  <si>
    <t xml:space="preserve"> Republic of the Philippines Province of Nueva Vizcaya Municipality of Bambang -oOo- INVITATION TO BID The Local Government Unit of Bambang, through the Assistance to Municipalities (AM 2020), intends to apply the sum of FOUR MILLION THREE HUNDRED ELEVEN T</t>
  </si>
  <si>
    <t xml:space="preserve"> 1	Airfreshener 320ml 							15	can	220.00 2	Alcohol 1 liter							50	bottle	269.00 3	Alcohol 250ml							25	bottle	75.00 4	Battery size AA alkaline							6	pack	65.00 5	Battery size AAA alkaline							6	pack	65.00 6	Bookpaper - short subs20							359	ream</t>
  </si>
  <si>
    <t xml:space="preserve"> Coonstruction of 10m x 15m Multi-purpose Building (3 spans) complete with RC Footings, RC Columns, RC Wall and RC Beams, RC Slab, steel trusses pre-painted long span roofing sheets,downspouts,Plastering,ppaint finished and Brass Marker.</t>
  </si>
  <si>
    <t xml:space="preserve"> Republic of the Philippines Province of Batanes	 MUNICIPALITY OF BASCO               INVITATION FOR NEGOTIATED PROCUREMENT  Project Reference No. :100-3-03-008 Name of Project	      : Repair &amp; Maint. - Bldg &amp; Other Structure Location of Project	Basco, Bat</t>
  </si>
  <si>
    <t xml:space="preserve"> 30 pcs Trash Bin 120 Liters</t>
  </si>
  <si>
    <t xml:space="preserve"> 25      pcs      3/4 melamine plywood   3,850.00      96,250.00 3        kgs      Nails # 1 1/2        95.00        285.00 2        kgs      Nails #3               95.00        190.00 Total:  96,725.00</t>
  </si>
  <si>
    <t xml:space="preserve"> Procurement of Infrastructure and Construction Supplies RFQ No. 547</t>
  </si>
  <si>
    <t xml:space="preserve"> INVITATION TO BID FOR THE SUPPLY OF LABOR &amp; MATERIALS FOR THE IMPROVEMENT OF MULTI-PURPOSE HALL 1. The Barangay Government of BARANGAY AYAO-IYAO through the 20% Local Development Fund of Barangay intends to apply the sum of Php 99,941.82 being the Approve</t>
  </si>
  <si>
    <t xml:space="preserve"> 1	Carbamazepine 200 mg. Tab.)	1000 tab. 2	Divalproex Sodium 250mg. tab.	300 tab. 3	Chlorpromazine 100mg. tab.	2780 tab. 4	Resperidone 2mg. tab.	1000 tab. 5	Clozapine 100mg. tab.	400 tab. 6	Quetiapine 200mg. tab.	100 tab.</t>
  </si>
  <si>
    <t xml:space="preserve"> Republic of the Philippines Province of South Cotabato City of Koronadal BIDS AND AWARDS COMMITTEE Invitation to Bid for the Construction of City Road at Southwind Subdivision Junction National Highway with Lined Canal, Brgy. Morales, City of Koronadal 1.</t>
  </si>
  <si>
    <t xml:space="preserve"> 1300 cylinders Oxygen Refill Standard</t>
  </si>
  <si>
    <t xml:space="preserve"> ARTICLE AND DESCRIPTION											 ITEM	QTY.	UNIT						CEILING 					UNIT PRICE		TOTAL  								PRICE							 															 				Office: Manila Health Department - Cemeter				PR No. 667							 				Charge to: Other Supplies &amp; Materials Expenses				OBR No. 1</t>
  </si>
  <si>
    <t xml:space="preserve"> 1 unit Digital Duplicator Specifications: Master Making/Printing Methods: High Speed digital master making/Fully automatic printing Original Type: Book, Sheet Master Making Time: Quick Master Making Mode: Approx. 18 seconds Normal Making Mode: Approx. 20 </t>
  </si>
  <si>
    <t xml:space="preserve"> Republic of the Philippines Province of Albay Municipality of Sto. Domingo Barangay San Isidro BIDS AND AWARDS COMMITTEE INVITATION TO BID The LGU-Barangay San Isidro, Sto. Domingo Albay through the Bids and Awards Committee (BAC) invites suppliers/manufa</t>
  </si>
  <si>
    <t xml:space="preserve"> CNH-0620-064</t>
  </si>
  <si>
    <t xml:space="preserve"> MEALS AND ACCOMMODATION FOR	 1 	 LOT 	 128,000.00  LIVE-IN SEMINAR WORKSHOP 			 INCLUSIVE OF THE FOLLOWING:			 20 Double sharing rooms (for 40 participants)			 *airconditioned bedrooms			 *airconditioned and spacious function room			 *free flowing brewed </t>
  </si>
  <si>
    <t xml:space="preserve"> 1	ALCOHOL, 1000ml, 70%, hypoallergenic with moisturizer, pump							20	pieces	245.00 2	ANTIBACTERIAL HAND LIQUID SOAP, 225ml							6	pieces	135.00 3	BATTERY, AA, 4's							4	packets	115.00 4	BATTERY, AAA, 4's							4	packets	215.00 5	BINDER CLIP, 2"						</t>
  </si>
  <si>
    <t xml:space="preserve"> 1.	The LGU of San Marcelino, Zambales through the General Fund FY 2020 intends to apply the  sum of Eight Hundred Thousand  Pesos (Php 800,000.00) being the Approved Budget for the Contract (ABC) to payments under the contract for the “Supply and Delivery</t>
  </si>
  <si>
    <t xml:space="preserve"> Republic of the Philippines Province of Nueva Vizcaya Municipality of Bambang -oOo- INVITATION TO BID The Local Government Unit of Bambang, through the Assistance to Municipalities (AM 2020), intends to apply the sum of SEVEN MILLION THREE HUNDRED ELEVEN </t>
  </si>
  <si>
    <t xml:space="preserve"> 1 lot Supply Labor, equipment and materials for the repair/ rehabilitation of Roll up door in the BSP-Cagayan de Oro Branch. Please refer to separate sheet for the Scope of Work and specifications xxx Nothing Foll0ws xxx</t>
  </si>
  <si>
    <t xml:space="preserve"> LOT # 1									 1	Battery 13P Motolite Excel							1	pc	10,510.00 2	Air cleaner HD KSN							1	set	11,220.00 3	Shock absorber rear							2	pcs.	19,920.00 4	Disc pad DB 1916 							1	set	3,520.00 5	Disc pad DB 1390							1	set	3,520.00 6	Horn 12v							1	</t>
  </si>
  <si>
    <t xml:space="preserve"> The Department of Trade and Industry invites all interested parties to submit their proposal/quotation for the consulting services required, as listed in the attached TOR for the Hiring of Food Designers for the Conduct of OTOP Next Gen Product Developmen</t>
  </si>
  <si>
    <t xml:space="preserve"> PPE / Uniform / Tools</t>
  </si>
  <si>
    <t xml:space="preserve"> Procurement of Office and I.T. Equipment for the use at the Provincial Information and Media Relations (PrIMeR), New Capitol Building, Tagbilaran City ABC: P66,752.00 Cost of Canvas: P150.00</t>
  </si>
  <si>
    <t xml:space="preserve"> Purchased of Additional Office/School Supplies</t>
  </si>
  <si>
    <t xml:space="preserve"> PURCHASE OF SUPPLIES FOR THE REPAIR AND MAINTENANCE OF WATER SYSTEM</t>
  </si>
  <si>
    <t xml:space="preserve"> Invitation to Bid For Supply and Delivery of 18 Units Laptop Computer 1.	The LAND BANK OF THE PHILIPPINES (LANDBANK), through its Corporate Budget for the contract approved by the Board of Directors for 2019 intends to apply the total sum of One Million F</t>
  </si>
  <si>
    <t xml:space="preserve"> 144 rolls Ultrasound Thermal Paper</t>
  </si>
  <si>
    <t xml:space="preserve"> NBC-0520-143</t>
  </si>
  <si>
    <t xml:space="preserve"> OPENING OF BIDS IN DSWD FO IX, DELIVERY IN DSWD-HOME FOR ELDERLY, TALON-TALON ZC PROCUREMENT FOR THE FF.: 1 svrc. CHANGE OF STEEL ROOFTOP @ 12,000.00 1 svrc. CHANGE OF NEW REAR .DOOR with GLASS @ 14,000.00 1 svrc. CHANGE OF SIDE RING LEFT &amp; RIGHT WITH GLA</t>
  </si>
  <si>
    <t xml:space="preserve"> 2 Sets Dashboard Camera (Front and Rear) 1.	Channels (number of cameras): 2CH (Front and Rear) 2.	Front Camera Resolution: at least 1080p; with viewing angle of at least 140°  3.	Rear Mount Camera Resolution: at least 1080p; with viewing angle of at least</t>
  </si>
  <si>
    <t xml:space="preserve"> Republic of the Philippines Department of Health CENTRAL OFFICE BIDS AND AWARDS COMMITTEE Name of the Procuring Entity:  Department of Health Name of the Project: Printing of 2019 DOH Annual Reports with Envelope Delivery Site: DOH-Central Office Warehous</t>
  </si>
  <si>
    <t xml:space="preserve"> NOTICE FOR NEGOTIATED PROCUREMENT THE PROCUMENT OF SCHOOL FURNITURE AND FIXTURES (Executive Table and Swivel Chairs) FOR IDENTIFIED SCHOOLS OF DEPED, DIVISION OF PAGADIAN CITY.  1. In view of the two(2) failed biddings, the DEPARTMENT OF EDUCATION (DepEd)</t>
  </si>
  <si>
    <t xml:space="preserve"> Equipment / Equipment Accessories and Services 						 		For use of Mitsubishi Pajero (HI-3559)						 1		Ball Joint Assembly			1 	pc.		 2		Tie Rod End			1 	pc.		 3		Pressure Plate			1 	pc.		 4		Clutch Disk			1 	pc.		 5		Air Filter			1 	pc.		 6		Fuel Filter</t>
  </si>
  <si>
    <t xml:space="preserve"> August 19, 2020 P-RFQ No. 2020-015B REQUEST FOR QUOTATION SUPPLY AND DELIVERY OF ELECTROMAGNETIC FLOWTUBE AND POTTING KIT The Santa Maria Water District (SMWD) hereinafter referred to as “the Purchaser”, through its Bids and Awards Committee (BAC), invite</t>
  </si>
  <si>
    <t xml:space="preserve"> P. cement	216	bags Gravel	14	cu.m. Sand	19	cu.m. 12 mmø x 6.0m RSB	102	pcs. 10 mmø x 6.0m RSB	220	pcs. 1/4 Marine Plywood	8	pcs. Form Lumber	200	BF Asstd CWN	6	kgs #16 Tire Wire	8	kgs CHB 4"	1690	pcs. Angle Bar, 3/16 x 2	20	pcs. C Purlins, 2 x 10	8	pcs. C</t>
  </si>
  <si>
    <t xml:space="preserve"> Republic of the Philippines Province of Camarines Sur MUNICIPALITY OF BAAO INVITATION TO BID FOR THE SUPPLY AND DELIVERY OF CONSTRUCTION SUPPLIES FOR THE CONSTRUCTION OF STANDARDIZED DAY CARE CENTER PHASE II- SAN ISIDRO 1. The LOCAL GOVERNMENT UNIT OF BAA</t>
  </si>
  <si>
    <t xml:space="preserve"> 1. 2HP Aircon Inverter including installation = 1 unit 2. Computer Table = 1 pc</t>
  </si>
  <si>
    <t xml:space="preserve"> Repainting of Covered Court</t>
  </si>
  <si>
    <t xml:space="preserve"> Request for Quotation for the Procurement of 300 bags Corn Grits needed for the DA SAAD Native Chicken Production Project in the Province of Bohol 1.	The Department of Agriculture-Regional Field Office 7 (DA-RFO 7), through the General Appropriations Act </t>
  </si>
  <si>
    <t xml:space="preserve"> PRINTER EPSON WITHOUT SCANNER 2</t>
  </si>
  <si>
    <t xml:space="preserve"> INVITATION TO BID FOR  Supply of Autocad License Software for BULO SRIP ITB No. NIAR3-2020-BULO SRIP-AUTOCAD-G4 1.	NATIONAL IRRIGATION ADMINISTRATION – REGION 3, through the General Appropriations Act of CY 2020 intends to apply the sum of One Million Fou</t>
  </si>
  <si>
    <t xml:space="preserve"> ITEM NO.	ITEM &amp; DESCRIPTION	 BRAND	UOM	QTY. 1	Rolled gauze 100 yards/rolls		Rolls	10 2	IV cannula G#18 Cathula		Pcs	200 3	Macroset		Pcs	200 4	Surgical gloves 50’s S#6.5		Box	10 5	Surgical gloves 540’s S#7.5		Box	10 6	Surgical gloves 50’s S#7.5		Box	5 7	Ex</t>
  </si>
  <si>
    <t xml:space="preserve"> 250 boxes Disposable cap 21" 100's</t>
  </si>
  <si>
    <t xml:space="preserve"> Republic of the Philippines Province of Batanes	 MUNICIPALITY OF BASCO               INVITATION FOR NEGOTIATED PROCUREMENT  Project Reference No. :100-3-01-010 Name of Project	      :Rehabilitation of Municipal Building-Stairs and Hallway Location of Proj</t>
  </si>
  <si>
    <t xml:space="preserve"> PRINTER EPSON WITHOUT SCANNER 3</t>
  </si>
  <si>
    <t xml:space="preserve"> Republic  of the Philippines Province of Marinduque Municipality of Torrijos Barangay  Malinao INVITATION TO BID  FOR THE SUPPLY AND DELIVERY MATERIALS FOR THE INSTALLATION OF SITIO STREETLIGHT (PUROK MIRASOL,ROSAL AND ADELFA) 1.	The Sangguniang Barangay </t>
  </si>
  <si>
    <t xml:space="preserve"> Training on the Culture and Management of Tilapia in Upland Fishpond Areas	72	pax	 36,000.00 	 Catering Services for 36 pax x 2 days				 Inclusions:				 *Packed lunch &amp; snacks				 * 1 meal (Lunch) and 2 snacks (AM &amp; PM)				 *With rice and 2 viands				 *Wi</t>
  </si>
  <si>
    <t xml:space="preserve"> Supply &amp; Delivery of Laboratory Supplies ABC:57,000.00 	10  sacks Crack Corn  -	Yellow 	30 sacks Trigo/Wheat -	50 kgs/bag -	Big grains -	White in color and clean 	Delivery period: 30 days 	Delivery site: DA-RCPC, Tacurong City  Note: Bidders must quote in</t>
  </si>
  <si>
    <t xml:space="preserve"> ITEM NO.	ITEM &amp; DESCRIPTION	 BRAND	UOM	QTY. 1	Phyto menadione 10mg/ml 50amps/box		Box	10 2	Oxytocin 10 U.I/ amp		Amps	500 3	D5LRS 1 liter		Liter	200 4	0.9 sodium chloride for irrigation		Liter	12 5	Plain lactated ringer solution		Liter	12 6	0.9 sodium chl</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</si>
  <si>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</si>
  <si>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Invitation to Bid For One (1) Year Background Investigation Services for LANDBANK’s 1,000 Applicants for Employment and Special Cases 1. The LAND BANK OF THE PHILIPPINES (LANDBANK), through its Corporate Budget for the contract approved by the Board of Di</t>
  </si>
  <si>
    <t xml:space="preserve"> SEE BAC SECRETARIAT FOR MORE DETAILS</t>
  </si>
  <si>
    <t xml:space="preserve"> INVITATION TO BID  for Purchase of Office Supplies (G-20-05) 1.	The Central Bicol State University of Agriculture (CBSUA), through the GAA (101) Fund intends to apply the sum of Two Million One Hundred Seven Thousand Eight Hundred Seventy Pesos and 16/100</t>
  </si>
  <si>
    <t xml:space="preserve"> File Folder 75mm230mm380mm								 									 1		File Folder 75mm230mm380mm			2000 	pcs.			 		-x-x-x-x-x-x-x-x-x-x-x-x-x-x-x</t>
  </si>
  <si>
    <t xml:space="preserve"> Prospective bidders should have experience in undertaking a similar project within the last two (2) years with an amount of at least 50% of the proposed project for bidding.  The Eligibility Check/Screening as well as the Preliminary Examination of bids s</t>
  </si>
  <si>
    <t xml:space="preserve"> Republic of the Philippines Province of South Cotabato City of Koronadal BIDS AND AWARDS COMMITTEE Invitation to Bid for the Installation of 127 Units Integrated Solar Street Lights, City of Koronadal 1.	The City Government of Koronadal, through its, TRUS</t>
  </si>
  <si>
    <t xml:space="preserve"> Various Office Supplies for Brgy. E. Lopez National High School with Approved Budget of Php168,547.19</t>
  </si>
  <si>
    <t xml:space="preserve"> Republic of the Philippines									 Province of Batangas									 Municipality of Sto. Tomas									 Barangay SAN ANTONIO									 									 									 INVITATION TO BID									 									 The Barangay Government of San Antonio, Sto. Tomas, Batangas thro</t>
  </si>
  <si>
    <t xml:space="preserve"> THE NATIONAL IRRIGATION ADMINISTRATION-SCIMO, THROUGH THE FUND 501 HAS THE APPROVED BUDGET FOR THE CONTRACT (ABC) AMOUNTING FIFTY-TWO THOUSAND SIX HUNDRED FIFTY PESOS ONLY (52,650.00).  QUOTATION RECEIVED IN EXCESS OF THE ABC SHALL BE AUTOMATICALLY REJECT</t>
  </si>
  <si>
    <t xml:space="preserve"> The Brgy. goverment of El Pardo, would like to invite all qualified suppliers &amp; dealers of common office supplies: Kindly note the following terms: 1. SUPPLIERS &amp; DISTRIBUTORS MUST BE PhilGEPS Registered. 2. RFQ FORM with SPECIFICATIONS ARE AVAILABLE STAR</t>
  </si>
  <si>
    <t xml:space="preserve"> 2  -  UNITS  -  LAPTOP WIN 10 2.10GHz INTEL CORE 13-10110U 10TH GEN PROCESSOR 4GB DDR4, RAM 1TB, 5400RPM HARD DRIVE 14INCH SCREEN, INTEL HD GRAPHICS OS: LINUX</t>
  </si>
  <si>
    <t xml:space="preserve"> OPENING OF BIDS IN DSWD FO IX ZAMBOANGA CITY				 DELIVERY IN HOME FOR ELDERLY TALON-TALON ZC				 PROCUREMENT FOR THE FF.:				 				 1 LOT MEDICAL &amp; LABORATORY SUPPLIES  NOTE: SEE ATTACHED CANVASS PAPER AT ASSOCIATED COMPONENT 1.				 				 150 Boxes Face Mas</t>
  </si>
  <si>
    <t xml:space="preserve"> Door Signages for Different Office</t>
  </si>
  <si>
    <t xml:space="preserve"> 1 UNIT GARBAGE TRUCK(LOWERED) DUMPTRUCK DROPSIDE(EXTENDED)</t>
  </si>
  <si>
    <t xml:space="preserve"> Construction of One-Storey 8m Width x 16m Long Evacuation Center Item No. - Description				Percent of Total	Unit	Quantity 						 I	Standard Billboard			0.35%	Each	1.00 II	Structural Excavation			0.67%	cu.m.	35.50 III	Embankment			4.53%	cu.m.	148.00 IV	Rei</t>
  </si>
  <si>
    <t xml:space="preserve"> 1,000 Pcs Seedling Tray - 128 Holes</t>
  </si>
  <si>
    <t xml:space="preserve"> August 19, 2020 P-RFQ No. 2020-018 REQUEST FOR QUOTATION SUPPLY AND DELIVERY OF VARIOUS IT EQUIPMENTS The Santa Maria Water District (SMWD) hereinafter referred to as “the Purchaser”, through its Bids and Awards Committee (BAC), invite interested parties </t>
  </si>
  <si>
    <t xml:space="preserve"> Lot 1 - Paper Supplies and Products Lot 2 - Common Office Supplies Lot 3 - Computer Supplies Lot 4 - Cleaning Supplies Lot 5 - Consumables</t>
  </si>
  <si>
    <t xml:space="preserve"> 11  -  UNITS  -  PRINTER        PRINT, SCAN, COPY        PHOTO DEFAULT - 10x15CM/4x6"        APPROX. 69SEC/PHOTO (BORDER) 190SEC/PHOTO (BORDERLESS)        DRAFT, A4 (BLACK/COLOUR)        UP TO 33PPM/15PPM        ISO 24734, A4 SIMPLEX (BLACK/COLOUR)       </t>
  </si>
  <si>
    <t xml:space="preserve"> Republic of the Philippines Province of Nueva Vizcaya BIDS AND AWARDS COMMITTTEE (GOODS) BAC OFFICE, Provincial Capitol, Bayombong, Nueva Vizcaya 	 		 REQUEST FOR QUOTATION (RFQ) For the Procurement of Animal Feeds and Veterinary Supplies For the Provinci</t>
  </si>
  <si>
    <t xml:space="preserve"> Republic of the Philippines Province of South Cotabato Municipality of Banga Tel.&amp;Fax No. (083) 239-1652 CONTACT PERSON: ROBERT V. FRANILLA - BAC CHAIRMAN Invitation to Apply for Eligibility and to Bid The Municipality of Banga, South Cotabato through its</t>
  </si>
  <si>
    <t xml:space="preserve"> Waterworks Materials for the rehabilitation/improvement and maintenance of various Municipal Waterworks System</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</si>
  <si>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</si>
  <si>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One (1) Unit Printer w/ Scanner</t>
  </si>
  <si>
    <t xml:space="preserve"> Construction of Multipurpose Building/Peoples Center</t>
  </si>
  <si>
    <t xml:space="preserve"> PURCHASE  OF RISOGRAPH MACHINE AND ITS ACCESSORIES SPECS: 90 PPM; FULLY DETACHABLE DRUM UNIT; MASTER RUN LENGTH OF 30,000 PRINTS; INK 500ML, 100 CUTS MASTER ROLL; LIFETIME FREE SERVICE WITH REGULAR CHECK UP; FREE INITIAL CONSUMABLES AND MACHINE CABINETS  </t>
  </si>
  <si>
    <t xml:space="preserve"> THE NATIONAL IRRIGATION ADMINISTRATION-SCIMO, THROUGH THE FUND 501 HAS THE APPROVED BUDGET FOR THE CONTRACT (ABC) AMOUNTING TWO HUNDRED SIXTY THOUSAND PESOS ONLY (260,000.00).  QUOTATION RECEIVED IN EXCESS OF THE ABC SHALL BE AUTOMATICALLY REJECTED. INTER</t>
  </si>
  <si>
    <t xml:space="preserve"> Supply &amp; Delivery of Shallow Tube well ABC:500,000.00 	5 units Pump &amp; Engine Set (Shallow Tube Well) -	Pump and Engine Set (Coupled) -	Max fuel consumption @ max system efficiency: 1.8 L/hour -	System efficiency : 12% Specs: Pump: (based on coupled AMTEC </t>
  </si>
  <si>
    <t xml:space="preserve"> The PHILIPPINE SCIENCE HIGH SCHOOL SYSTEM - CALABARZON REGION CAMPUS (PSHS-CBZRC) intends to apply the sum of FOUR HUNDRED FIFTY THOUSAND SEVEN HUNDRED PESOS (Php450,700.00) being the Approved Budget for the Contract (ABC) to pay for the contract for the </t>
  </si>
  <si>
    <t xml:space="preserve"> SUPPLEMENTAL BID BULLETIN NO. 02 Project Title:	Procurement of Various Supplies and Materials for CRM and Livelihood Sub-Projects under FishCORAL Project, CY 2019 Reference No.:	7172526 		            Date		:    	August 19, 2020 Relative to the scheduled c</t>
  </si>
  <si>
    <t xml:space="preserve"> Supply &amp; Delivery of ICT Equipment &amp; Computer Supplies ABC:100,100.00 	1  pc Computer Keyboard 	1 pc CPU with updated program 	15 pcs Toner Ink for Canon 303 (LBP 2900 Printer) Genuine  	6 pcs Pocket Wifi, Smart bro/ Globe Broadband 	6 pcs Power banks 50,</t>
  </si>
  <si>
    <t xml:space="preserve"> The PHILIPPINE SCIENCE HIGH SCHOOL SYSTEM - CALABARZON REGION CAMPUS (PSHS-CBZRC) intends to apply the sum of EIGHTY-FIVE THOUSAND PESOS (Php85,000.00) being the Approved Budget for the Contract (ABC) to pay for the contract for the Project: SUPPLY AND DE</t>
  </si>
  <si>
    <t xml:space="preserve"> Republic of the Philippines Province of Camarines Norte Municipality of Sta Elena BARANGAY KABULUAN BIDS AND AWARD COMMITTEE INVITATION TO BID FOR PURCHASE OF INSTALLATION OF SOLAR STREET LIGHTS ITB NO. 20-08 1. The BARANGAY KABULUAN STA ELENA CAMARINES N</t>
  </si>
  <si>
    <t xml:space="preserve"> Rehabilitation of Soils Laboratory Extension (Ceiling &amp; Roof) ABC:180,745.43 	Project Description: •	Rehabilitation of Trusses, Roofing, Ceiling &amp; Gutter Project Site: BAEX BUILDING COMPOUND, Sinsuat Avenue , Cotabato City Project Duration : 25 Calendar D</t>
  </si>
  <si>
    <t xml:space="preserve"> 1	1	unit	LAPTOP 			Specification: 			A514-52G-75MR, NX.HT2SP.001 INTEL CORE i7-105A0U PROCESSOR (8MB SMART CACHE, 1.8 GHz, DDR4 OR LPSSR3,15W) 8X2 = 16GB MEMORY UPGRADABLE UP TO 32GB 256B NVMe SSD+1 TB 2.5 inch 5400 RPM 14” DISPLAY w/IPS (in-Plane Switchi</t>
  </si>
  <si>
    <t xml:space="preserve"> Makapagsagawa ng RT-PCR Test o SWAB Testing sa 30 katao, dalawang (2) beses sa magkahiwalay na araw.</t>
  </si>
  <si>
    <t xml:space="preserve"> Diesel</t>
  </si>
  <si>
    <t xml:space="preserve"> Procurement of Construction Materials &amp; Supplies						 Purchase Requested by the City Mayor's Office/City Engineering Office/Special Education Fund, Tabaco City						 						 To Interested Suppliers, Manufacturers and Distributors,						 						 Please quot</t>
  </si>
  <si>
    <t xml:space="preserve"> 1. Lunch and Snacks for 86 person in 3 days Day 1: Am. Snacks: torta, water, softdrinks Lunch: beef afritada, chopsuey, fried chicken, rice, fruites, water, softdrinks Pm. Snacks: boko pie, water, softdrinks Day 2: Am. Snacks: burger, water, softdrinks Lu</t>
  </si>
  <si>
    <t xml:space="preserve"> Republic of the Philippines									 DEPARTMENT OF AGRARIAN REFORM									 Provincial Agrarian Reform Office									 Bantayan, Dumaguete City									 									 REQUEST FOR QUOTATION									 									 					No.:	08-20-108			 					Date:	20-Aug-20			 				</t>
  </si>
  <si>
    <t xml:space="preserve"> Diesel and Gasoline</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</si>
  <si>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</si>
  <si>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Please quote your lowest price inclusive of VAT on the item/s listed below, subject to the Terms and Conditions of this RFQ, and submit your quotation duly signed by your representative not later than August 25, 2020 at Bids and Awards Committee for Goods</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</si>
  <si>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</si>
  <si>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The Brgy. goverment of El Pardo, would like to invite all qualified suppliers &amp; dealers of common  supplies: Kindly note the following terms: 1. SUPPLIERS &amp; DISTRIBUTORS MUST BE PhilGEPS Registered. 2. RFQ FORM with SPECIFICATIONS ARE AVAILABLE STARTING A</t>
  </si>
  <si>
    <t xml:space="preserve"> Carpet for Function Hall A  223 Sq.m</t>
  </si>
  <si>
    <t xml:space="preserve"> Procurement of Digital Camera for the use at the Provincial Information and Media Relations (PrIMeR), New Capitol Building, Tagbilaran City ABC: P171,600.00 Cost of Canvas: P150.00</t>
  </si>
  <si>
    <t xml:space="preserve"> The PHILIPPINE SCIENCE HIGH SCHOOL SYSTEM - CALABARZON REGION CAMPUS (PSHS-CBZRC) intends to apply the sum of THREE HUNDRED FIFTY-NINE THOUSAND SIX HUNDRED FORTY PESOS (Php359,640.00) being the Approved Budget for the Contract (ABC) to pay for the contrac</t>
  </si>
  <si>
    <t xml:space="preserve"> unit	Multicab Cargo Box 12 Valve Scrum -	  *Good condition hinges on sidings rust free on all sides of sidings and flooring Tailgate lock must be in good condition. All parts guaranteed as is unit	Multicab Cowl Head 12Valve Scrum -	  *Includes the ff: Con</t>
  </si>
  <si>
    <t xml:space="preserve"> Supply &amp; Delivery of Various Rice Seeds ABC:400,000.00 	50  bags Certified Rice Seeds, Lowland (Inbred) NSIC RC 160 	50 bags  Certified Rice Seeds, Lowland (Inbred) NSIC RC 216 	50  bags Certified Rice Seeds, Lowland (Inbred) NSIC RC 226 	50 bags  Certifi</t>
  </si>
  <si>
    <t xml:space="preserve"> Republic of the Philippines Province of Camarines Sur MUNICIPALITY OF BAAO INVITATION TO BID FOR THE CATERING SERVICES CATERING SERVICES FOR IMT/IATF COVID-19/ASF AND OTHER DISASTER RELATED ACTIVITIES 1. The LOCAL GOVERNMENT UNIT OF BAAO, through the Budg</t>
  </si>
  <si>
    <t xml:space="preserve"> Republic of the Philippines DEPARTMENT OF AGRICULTURE Philippine Rural Development Project  PSO-Visayas Cluster RPCO-7 Province of Bohol INVITATION TO QUOTE ________________________________________________________________ CONSTRUCTION OF GETAFE SEAWEEDS W</t>
  </si>
  <si>
    <t xml:space="preserve"> 1 unit – 4WD 21- 22 HP Tractor  with rotavator and complete accessories (Diesel) 2 units – 4WD 35-36 HP Tractor with rotavator and complete accessories, tools and heavy duty trailer 35 units – 2.5 HP electric water pump with fittings and complete accessor</t>
  </si>
  <si>
    <t xml:space="preserve"> 1 LOT OFFICE SUPPLIES 220 REAMS LONG BOND PAPER (SUB 20) 110 REAMS SHORT BOND PAPER (SUB 20) 50 REAMS A4 BOND PAPER (SUB 20) 62 BOTTLE INK FOR EPSON PRINTER (YELLOW) 60 BOTTLE INK FOR EPSON PRINTER (CYAN) 60 BOTTLE INK FOR EPSON PRINTER (MAGENTA) 82 BOTTL</t>
  </si>
  <si>
    <t xml:space="preserve"> The PHILIPPINE SCIENCE HIGH SCHOOL SYSTEM - CALABARZON REGION CAMPUS (PSHS-CBZRC) intends to apply the sum of TWO HUNDRED FOUR THOUSAND EIGHT HUNDRED TWENTY PESOS (Php204,820.00) being the Approved Budget for the Contract (ABC) to pay for the contract for</t>
  </si>
  <si>
    <t xml:space="preserve"> Stock/Property No.                     Unit Item                   Description                                 Quantity 1                                               ream                         Bond paper (long)                        272 2            </t>
  </si>
  <si>
    <t xml:space="preserve"> 200 Bags Organic Fertilizer - Vermi Compost</t>
  </si>
  <si>
    <t xml:space="preserve"> The Brgy. goverment of El Pardo, would like to invite all qualified suppliers &amp; dealers of Lap Tops &amp; printer. Kindly note the following terms: 1. SUPPLIERS &amp; DISTRIBUTORS MUST BE PhilGEPS Registered. 2. BID FORM with SPECIFICATIONS ARE AVAILABLE STARTING</t>
  </si>
  <si>
    <t xml:space="preserve"> The Department of Trade and Industry invites all interested parties to submit their proposal/quotation for the consulting services required, as listed in the attached TOR for the Hiring of Non-Food Designers for the Conduct of OTOP Next Gen Product Develo</t>
  </si>
  <si>
    <t xml:space="preserve"> The Department of Public Works and Highways Negros Occidental 2nd District Engineering Office ,through its Bids and Awards Committee (BAC) for Goods, invites suppliers to submit bids for the following Contract:          Contract ID         : 20GGL0010    </t>
  </si>
  <si>
    <t xml:space="preserve"> IMPROVEMENT OF MULTI-PURPOSE HALL LOCATED @ BRGY SAN PEDRO, AGOO, LA UNION</t>
  </si>
  <si>
    <t xml:space="preserve"> A. Big Disinfectant Fogging Machine (2	unitS) a)	Brand new  b)	Power capacity: 80-90W c)	Voltage: 220v-240V, 50/60Hz d)	Drum Volume/Tank Capacity: 12-13L e)	Warm-up/Pre-heating time: Continuous and automatic cut-off when waterless. f)	Smoke Exhaust: Depen</t>
  </si>
  <si>
    <t xml:space="preserve"> Procurement of Herbicide and Seed Treatment under the Corn Production Program of MAGRO - Laak, Davao De Oro with an ABC of Php. 180,000.00.</t>
  </si>
  <si>
    <t xml:space="preserve"> 1	420	bags	Portland Cement			 2	330	pcs.	10mm dia. X 6m RSB			 3	30	pcs.	16mm dia. X 6m RSB			 4	1,000	pcs.	5" CHB			 5	55	kgs.	#16 Tie Wire			 6	5	pcs.	1/4" thk Phenolic Plywood			 7	4	kgs.	Assorted CWN			 8	200	bd.ft.	Lumber			 			XX X X X X X X X X X X</t>
  </si>
  <si>
    <t xml:space="preserve"> Construction of School Fence @ Binalian Elementary School,Binalian,Kayapa,Nueva Vizcaya</t>
  </si>
  <si>
    <t xml:space="preserve"> Item	Qty.	A R T I C L E S				 1		CLEAN &amp; BEAUTIFICATION				 2	20 gals	Paint traffic yellow				 3	20 gals	Paint blue				 4	11 gals	Paint white				 5	20 gals	Paint red				 6	10 pcs	Paint brush #4				 7	6 pcs	Paint brush #2				 8	6 pcs	Roller brush w/tray			</t>
  </si>
  <si>
    <t xml:space="preserve"> 1	pc.	3m Litmann Classic III (Stethoscope) 1	pc.	Pulse Oximeter 1	pc.	Welch Allyn Otoscope 1    	pc.	Head Lamp LED Light 1	pc.	3-in-1 Monitoring System (Glucose/Cholesterol/Uric Acid) 10    can	Uric Acid Strips 25's 10	can	Glucose Strips 25's 10	can	Chole</t>
  </si>
  <si>
    <t xml:space="preserve"> 1	Brand New Service Vehicle 4x4 Pick-Up	2	units	 4,450,000.00  	Specifications:			 	 4-Wheel Drive			 	 Diesel Fuel			 	 Displacement: 2,755 cc			 	 Tire Size: 265			 	 LED Bar Lights			 	 Rear Sway Bar			 	 Air Intake Snorkel Kit			 	 With Winch			 	xxxx</t>
  </si>
  <si>
    <t xml:space="preserve"> CONSTRUCTION OF TWO STOREY/EIGHT-CLASSROOM BUILDING TYPE II (PHASE II) PAMBAYANG KOLEHIYO NG MAUBAN CAMPUS, NATIONAL HIGHWAy, BRGY. POLO, MAUBAN, QUEZON 1.	The Local Government Unit of Mauban  through the GENERAL FUND-8751/1-07-04-020, 2020 intends to app</t>
  </si>
  <si>
    <t xml:space="preserve"> 1. SITE WORKS 2.CONCRETE WORKS 3. REBAR WORKS</t>
  </si>
  <si>
    <t xml:space="preserve"> SUPPLIES, ECCD MODULES &amp; CHECLIST FOR MSWDO, MAPANAS, NORTHERN SAMAR 750        Pcs.             Sharpener     65         Doz.            Pencil   5          Boxes          Ballpen  50          Bottles        Alcohol 500 ml.  15          Reams         A4 </t>
  </si>
  <si>
    <t xml:space="preserve"> The Works consist of 1. Project Billboard 2. Clearing and Demolition 3. Manual Excavation 4. Grouted Riprap 5. Concrete Railings</t>
  </si>
  <si>
    <t xml:space="preserve"> 1	185	bags	Portland Cement			 2	5.2	cu.m.	Gravel 3/4			 3	17.6	cu.m.	Sand			 4	10	pcs.	3" dia. X 3m PVC			 5	6	pcs.	2" dia. X 3m PVC			 6	8	pcs.	3" x 2" WYE PVC			 7	16	pcs.	2" dia. PVC Elbow			 8	8	pcs.	2" dia. P-Trap			 9	2	pcs.	2" dia. 45 deg. Elbow PV</t>
  </si>
  <si>
    <t xml:space="preserve"> Supply and Delivery of one (1) unit Computer Laptop for CBAA Cebu City Field Office Minimum requirements: Intel Core i5, 1 TB HDD, 4GB memory, 14" LED display Windows 10, MS Office Home (Perpetual) Battery pack, Bluetooth mouse, Auto voltage regulator Bac</t>
  </si>
  <si>
    <t xml:space="preserve"> Procurement of Shotgun Condenser Microphone with Lyre Shockmount &amp; Wind Jammer, SmartLav + Lavalier Condenser Microphone, Boompole with Bag and LED Light with V-Mount Battery Plate, for the use at the Provincial Information and Media Relations (PrIMeR), N</t>
  </si>
  <si>
    <t xml:space="preserve"> SEE ATTACHED REQUEST FOR QUOTATION (RFQ) FORM</t>
  </si>
  <si>
    <t xml:space="preserve"> Request for Quotation: RFQ # 2008-773  1. 793 serves Meals and Snacks</t>
  </si>
  <si>
    <t xml:space="preserve"> I. ELECTRICAL WORKS II. CARPENTRY WORKS (CEILING &amp; DOOR) III. TILE WORKS</t>
  </si>
  <si>
    <t xml:space="preserve"> INVITATION TO SUBMIT QUOTATION Supply and Delivery of Office Supplies and Equipment for Department of Economics – CEMDS  1. The Cavite State University (CvSU) invites interested firms/supplier to submit quotation for the project “Supply and Delivery of Of</t>
  </si>
  <si>
    <t xml:space="preserve"> Republic of the Philippines Province of Oriental Mindoro MUNICIPALITY OF PINAMALAYAN OFFICE OF THE BIDS AND AWARDS COMMITTEE Invitation to Bid ITB-2020-45 1.  The Municipal Government of Pinamalayan, Oriental Mindoro, through the authorized appropriations</t>
  </si>
  <si>
    <t xml:space="preserve"> Invitation to Bid for  SUPPLY &amp; DELIVERY OF MATERIALS FOR THE CONSTRUCTION OF SOIL RETAINING WALL WITH LINE DITCH , SITIO DIOMEL, BRGY. BANGA, WAO, LANAO DEL SUR ---------------------------------------------------------------------------------------------</t>
  </si>
  <si>
    <t xml:space="preserve"> Job Order for Repair of Motorpool Building, Binuangan, Maco Davao de Oro</t>
  </si>
  <si>
    <t xml:space="preserve"> Republic of the Philippines Province of Eastern Samar Municipality of Lawaan INVITATION TO BID  ITB NO. 2020-003-GOODS PROCUREMENT OF FOUR (4) UNITS DIGITAL DUPLICATOR 1.	The Local Government Unit of Lawaan, Eastern Samar, through SEF 2020 and  General Fu</t>
  </si>
  <si>
    <t xml:space="preserve"> Republic of the Philippines  Department of  Science and Technology  Regional Office No. IX  Pettit Barracks,   Zamboanga  CIty Tel. Nos. (062) 992-1114; (062) 991-1024 INVITATION TO BID SUPPLY AND DELIVERY OF VARIOUS REAGENTS FOR MICROBIOLOGY LABORATORY  </t>
  </si>
  <si>
    <t xml:space="preserve"> I.	Please quote your lowest price inclusive of VAT on the projects listed below, subject to the Terms and Conditions of this RFQ, and submit your sealed quotation not later than 10:00 AM of August 25, 2020 upon posting of this RFQ at DepED-Division of Cot</t>
  </si>
  <si>
    <t xml:space="preserve"> OPENING OF BIDS IN DSWD FO IX ZAMBOANGA CITY,				 DELIVERY IN DSWD FO IX ZAMBOANGA CITY				 PROCUREMENT FOR THE FF.:				 				 60	GAL	ALCOHOL, ETHYL, 68%-70%, SCENTED, 500ml., COLORLESS, CLEAT LEQUID, FULLY MISCIBLE IN WATER , IN PLASTIC BOTTLE, FLIP TOP C</t>
  </si>
  <si>
    <t xml:space="preserve"> Republic of the Philippines Province of Leyte MUNICIPALITY OF MACARTHUR Invitation to Bid for  PURCHASE OF 12 UNITS SESSION TABLE AND 12 UNITS EXECTUIVE CHAIR 	           The MUNICIPALITY OF MACARTHUR, LEYTE, through the SB Capital Outlay 2020  intends to</t>
  </si>
  <si>
    <t xml:space="preserve"> Republic of the Philippines Province of Oriental Mindoro MUNICIPALITY OF PINAMALAYAN OFFICE OF THE BIDS AND AWARDS COMMITTEE Invitation to Bid ITB-2020-46 1.  The Municipal Government of Pinamalayan, Oriental Mindoro, through the authorized appropriations</t>
  </si>
  <si>
    <t xml:space="preserve"> 8 units of Solar Panel</t>
  </si>
  <si>
    <t xml:space="preserve"> Electrcial Supplies to be used for 83KVA generator</t>
  </si>
  <si>
    <t xml:space="preserve"> SUPPLY, DELIVERY, INSTALLATION AND COMMISSIONING OF GENERATOR</t>
  </si>
  <si>
    <t xml:space="preserve"> Republic of the Philippines Province of Iloilo  BIDS AND AWARDS COMMITTEE REQUEST FOR QUOTATION Quotation No.ICT-20-0756-NP2 (SV) Reference PR No. ICT-20-0756 August 17, 2020 ______________________________ ______________________________ __________________</t>
  </si>
  <si>
    <t xml:space="preserve"> Invitation to Bid for  Construction of New Evacuation Center No. 2020-08-001 The Local Government Unit of Prieto Diaz, through the Trust Fund-LGSF-AM with Municipal Counterpart from 20% Municipal Development Fund-2020  intends to apply the sum of Six Mill</t>
  </si>
  <si>
    <t xml:space="preserve"> Republic of the Philippines Province of Cagayan MUNICIPALITY OF CALAYAN Calayan, Cagayan INVITATION TO BID ITB No./PhilGEPS Reference No. 7188069 CONSTRUCTION OF POWER TRANSMISSION/DISTRIBUTION LINE  at Barangay Centro 2 and Magsidel, Calayan, Cagayan 1.	</t>
  </si>
  <si>
    <t xml:space="preserve"> INVITATION TO SUBMIT QUOTATION Supply and Delivery of Equipment and Software for CEIT 1. The Cavite State University (CvSU) invites interested firms/supplier to submit quotation for the project “Supply and Delivery of Equipment and Software for CEIT” with</t>
  </si>
  <si>
    <t xml:space="preserve"> Rehabilitation of 6.610 Lane Km concrete road and installation of road safety devices</t>
  </si>
  <si>
    <t xml:space="preserve"> 2 pieces Gear Pump Assembly</t>
  </si>
  <si>
    <t xml:space="preserve"> The Brgy. goverment of El Pardo, would like to invite all qualified suppliers &amp; dealers of AIRCONDITION UNITS: Kindly note the following terms: 1. SUPPLIERS &amp; DISTRIBUTORS MUST BE PhilGEPS Registered. 2. RFQ FORM with SPECIFICATIONS ARE AVAILABLE STARTING</t>
  </si>
  <si>
    <t xml:space="preserve"> 1 unit Wooden Table (dining), 12 seater &amp; 4 others</t>
  </si>
  <si>
    <t xml:space="preserve"> Republic of the Philippines BARANGAY LODLOD BIDS AND AWARDS COMMITTEE INVITATION TO BID The Barangay Government of BARANGAY LODLOD through its Bids and Awards Committee (BAC), invites suppliers/manufacturers/distributors to bid for the hereunder project: </t>
  </si>
  <si>
    <t xml:space="preserve"> 4 pcs. Marine Plywood, 1/4" &amp; 77 others</t>
  </si>
  <si>
    <t xml:space="preserve"> 1    UNIT   PREPAID WIFI</t>
  </si>
  <si>
    <t xml:space="preserve"> Name of Procuring Entity:  LGU-WAO                               			Request for Quotation (P.R. No.): Revised on:							   	  Date:   August 20, 2020 Standard Form/Title:   REQUEST FOR QUOTATION           			Office/End-User: Engineering/LPE               </t>
  </si>
  <si>
    <t xml:space="preserve"> 15 pouch Pole Sitao (1kl.)-hybrid &amp; 7 others</t>
  </si>
  <si>
    <t xml:space="preserve"> Republic of the Philippines Province of Cagayan MUNICIPALITY OF CALAYAN Calayan, Cagayan INVITATION TO BID ITB No./PhilGEPS Reference No. 7188104 SUPPLY AND DELIVERY OF BAGGAGE X-RAY MACHINE AND HEAVY EQUIPMENT (Calayan, Cagayan) 1.	The Local Government o</t>
  </si>
  <si>
    <t xml:space="preserve"> Description: Republic of the Philippines Province of Bulacan Municipality of Calumpit INVITATION TO BID The Brgy. Sapang Bayan, Calumpit, Bulacan through its Bids and Awards Committee (BAC), Invites all prospective bidders to apply for eligibility and sub</t>
  </si>
  <si>
    <t xml:space="preserve"> QTY	UNIT	PARTICULAR 30	bags	Cement 20	bags	12mm RSB 16	pcs.	10mm RSB 20	kg.	Tie Wire 4	pcs.	4" GI Pipe Sched.40 10	pcs.	2" GI Pipe Shed.40 4	pcs.	0.4mm GI Sheet 20	kg.	Welding Rod 100	pcs.	Metal Screw 2	gal	Red Oxide Primer 22	pcs.	Sand Paper 4	gal	Easyti</t>
  </si>
  <si>
    <t xml:space="preserve"> CONSTRUCTIO OF PKM MULTI-PURPOSE COVERED COURT (PHASE II) PAMBAYANG KOLEHIYO NG MAUBAN CAMPUS, NATIONAL HIGHWAY, BRGY. POLO, MAUBAN, QUEZON. 1.	The Local Government Unit of Mauban  through the GENERAL FUND-8751/1-07-04-020, 2020 intends to apply the sum o</t>
  </si>
  <si>
    <t xml:space="preserve"> 1000 box Ascorbic Acid 500mg tab 100's &amp; 2 others</t>
  </si>
  <si>
    <t xml:space="preserve"> 1 Unit Photocopier						 Specifications:						 - Copy, print, scan and optional fax function						 -600, fast 1200 dpi resolution						 -Up to 24/12  A4/A3 pages per minute in colour and b/w						 - Automatic back to back printing						 -Automatic Sorting</t>
  </si>
  <si>
    <t xml:space="preserve"> INVITATION TO BID 	 Date: August 19, 2020 1.	The Provincial Government of Davao Occidental, through its Bids and Awards Committee (BAC), invites all potential contractors to apply to bid for the following infrastructure projects: IB NO.	Description	ABC	So</t>
  </si>
  <si>
    <t xml:space="preserve"> 800 pc. Ballpen, ordinary black &amp; 16 others</t>
  </si>
  <si>
    <t xml:space="preserve"> 1. 20 btls. - Cutasept - F - 250ml 2. 1000 vials - Distilled water for injection 100ml 3. 5 liters - Disinfectant solution 1 liter 4. 100 liters - Hydrogen Peroxide 3% solution, 10V 5. 40 gals. - Korsolex 5 liters, ready to use 6. 50 gals. - Benzel 1A or </t>
  </si>
  <si>
    <t xml:space="preserve"> Provincial Social Welfare Development Office Agusan del Norte</t>
  </si>
  <si>
    <t xml:space="preserve"> INVITATION TO BID FOR THE REPRODUCTION / PRINTING SERVICES OF QUALITY ASSURED MODULES FOR PROJECT WRITE, WRITE, WRITE OF SCHOOLS DIVISON OFFICE, CITY OF ALAMINOS, PANGASINAN 1.	The CITY GOVERNMENT OF ALAMINOS, PANGASINAN through its Special Education Fund</t>
  </si>
  <si>
    <t xml:space="preserve"> Food items: noodles, coffee, sugar, Non food items; soap, sanitizer</t>
  </si>
  <si>
    <t xml:space="preserve"> complete bidding</t>
  </si>
  <si>
    <t xml:space="preserve"> 196    ltrs     Unleaded</t>
  </si>
  <si>
    <t xml:space="preserve"> 91      sacks    Commercial Rice 43      boxes    Corn Beef 15      boxes    Noodles 16      boxes    Coffee 6        sacks    Sugar</t>
  </si>
  <si>
    <t xml:space="preserve"> See attachment</t>
  </si>
  <si>
    <t xml:space="preserve"> ITEM NO.	ITEM &amp; DESCRIPTION					QTY.	UoM 1	Laptop Computer						3	unit 	Specs:							 	AMD Ryzen 5 3550H Processor, Windows 10 Home							 	8GB DDR4 2400MHz SDRAM, 2 x SO-DIMM socket for							 	expansion, Up to 32GB SDRAM, Dual-Channel							 	15.6-in (1</t>
  </si>
  <si>
    <t xml:space="preserve"> CONSTRUCTION OF PKM ADMINISTRATION BUILDING (PHASE II) PAMBAYANG KOLEHIYO NG MAUBAN CAMPUS, NATIONAL HIGHWAY, BRGY. POLO, MAUBAN, QUEZON. 1.	The Local Government Unit of Mauban  through the GENERAL FUND-8751/1-07-04-020, 2020 intends to apply the sum of T</t>
  </si>
  <si>
    <t xml:space="preserve"> The Coron School of Fisheries request for price quotation for the supply and delivery of office supplies intended for the printing of modules for New Normal S.Y 2020-2021.</t>
  </si>
  <si>
    <t xml:space="preserve"> Please contact BAC Secretariat for details</t>
  </si>
  <si>
    <t xml:space="preserve"> 2 units Computer Laptop i5 10th Generation</t>
  </si>
  <si>
    <t xml:space="preserve"> Supplies and equipment for Tabina National High School</t>
  </si>
  <si>
    <t xml:space="preserve"> Request for Quotation: RFQ # 2008-782  1. 95 paxs Meals and Snacks for 3 days</t>
  </si>
  <si>
    <t xml:space="preserve"> Republic of the Philippines PROVINCE OF PAMPANGA City of San Fernando INVITATION TO BID NO. 2020-34 MEDIC-BAC INVITATION TO BID FOR PURCHASE REQUEST NO. 20-1749 The Provincial Government of Pampanga (“Province”) intends to apply the following sums from th</t>
  </si>
  <si>
    <t xml:space="preserve"> Republic of the Philippines					 DEPARTMENT OF THE INTERIOR AND LOCAL GOVERNMENT 					 Province of Zamboanga del Sur					 Pagadian City					 					 Form 2-45: Request for Quotation					 				                                                                  </t>
  </si>
  <si>
    <t xml:space="preserve"> Republic of the Philippines PROVINCE OF ZAMBOANGA DEL NORTE Municipality of Sibutad BIDS AND AWARDS COMMITTEE AUGUST 20, 2020 INVITATION TO BID The Local Government Unit of Sibutad, Zamboanga del Norte under P.R. No. GFP100-2020-08-081 dated AUGUST 6, 202</t>
  </si>
  <si>
    <t xml:space="preserve"> Paving of Shoulders of L=1,699.42m, W=6.00m,T=0.23m. Installation of CHB Canal with Stiffener, Const. of Slope Protection Structures and Application of Thermoplastic Pavement Markings and Road Safety Devices</t>
  </si>
  <si>
    <t xml:space="preserve"> SUPPLY OF MATERIALS &amp; RENTAL OF EQUIPMENT</t>
  </si>
  <si>
    <t xml:space="preserve"> VIDEO PRODUCTION</t>
  </si>
  <si>
    <t xml:space="preserve"> USE LINK TO VIEW THE BIDDING DOCUMENTS https://drive.google.com/file/d/1ULMjUGBt7y2z4KOF4EZRvX3hmCh3wpi3/view?usp=drivesdk</t>
  </si>
  <si>
    <t xml:space="preserve"> 4.5 cu. m ordinary gravel 15 cu. m sand  100 bags cement  40 pcs 2"x3"x12' cocolumber 33 pcs 12mm rsb  24 pcs 9mm rsb  5 kg 4"cwn  12 cu. m boulder stone 4"to 8" diam  8 kg G. I Tie wire 6 pcs 1/4" marine plywood</t>
  </si>
  <si>
    <t xml:space="preserve"> RFQ-2020-252		 			 1.	3	mos.	SECURITY SERVICES from October to December, 2020 			(4 guards/month) 			 	Deadline for Submission of Bids: August 26, 2020, 11:00 AM		 			PAYMENT TERM: 90 DAYS</t>
  </si>
  <si>
    <t xml:space="preserve"> 1. 3 units - Laptop zenbook - Intel Core i7 - 10510U Processor 8M Cache, up to 4.90 Ghz / 8GB LPDR3 2133MHz SDRAM Onboard memory / 14.0" (19.9) LED-backlit FHD (1920x1080) 60Hz Glare with ScreenPad2.0 5.65" Touchscreen / 2gb NVIDIA GeForce MX250 GDDRS VRA</t>
  </si>
  <si>
    <t xml:space="preserve"> WiFi Router - AC1900 WiFi with MU-MIMO - 3x3 AC - 4x Gigabit Ethernet ports 1 x USB 3.0, - 1 x USB 2.0 - USB storage and printer sharing - Up to 12 devices for MU-MIMO - dual-core 1.4GHz CPU - 257 x 184 x 56 mm - Weight: 558g 1 unit RJ45 Passthrough Conne</t>
  </si>
  <si>
    <t xml:space="preserve"> CITY GOVERNMENT OF TACURONG Alunan Highway, Tacurong City Sultan Kudarat BIDS AND AWARDS COMMITTEE  Tel nos. (064) 532-0128/ Telefax no. (064) 477-0138  www.tacurong.gov.ph  INVITATION FOR NEGOTIATED PROCUREMENT  August 18, 2020 In view of two (2) failed </t>
  </si>
  <si>
    <t xml:space="preserve"> INVITATION TO BID 	 The Municipality of Liloan, Southern Leyte through its Bids and Awards Committee (BAC), invites suppliers/manufacturers/distributors/contractors to bid for the following: 1.	Improvement of Park Entrance Location:  Market Area, Poblacio</t>
  </si>
  <si>
    <t xml:space="preserve"> INVITATION TO BID FOR THE PROCUREMENT OF VARIOUS MATERIALS AND DIVING GEAR AND EQUIPMENT FOR THE IMPLEMENTATION OF ACTION FOR RESOURCE CONSERVATION TOWARDS HABITAT MANAGEMENT (ARTH) PROJECT FOR THE CITY GOVERNMENT OF ALAMINOS, PANGASINAN 1.	The CITY GOVER</t>
  </si>
  <si>
    <t xml:space="preserve"> 5	boxes	Amlodipine 10mg tab 5	boxes	Losartan 10mg tab 5	boxes	Metformin 500mg tab 40	caps	        Ascorbic + zinc sulfatecap 7	boxes	Neozep 8	boxes	Biogesic 6	boxes	Diatabs 5	boxes	Amoxicillin 500mg cap 5	boxes	Mefenamic 500mg cap 5	boxes	Co-amoxiclav 500</t>
  </si>
  <si>
    <t xml:space="preserve"> Purchase of 5 Units Motorcycle</t>
  </si>
  <si>
    <t xml:space="preserve"> 1. 1 unit - Server - xeon 4214 2.2G. 12C/24T, 9.6GT S 16.5M cache, turbo, HT (85W) DDR4-2400; 8GB RDIMM 2666MT/single rank (16DIMM slots) dual port 1GBE on board LOM RAID controller, adapter, full height 1TB 7.2K RPM SATA 6GPS 512N 2.5IN HOT PLUG PLUG HAR</t>
  </si>
  <si>
    <t xml:space="preserve"> PR No. 1302-20 Republic of the Philippines CITY GOVERNMENT OF TACURONG Alunan Highway, Tacurong City Sultan Kudarat BIDS AND AWARDS COMMITTEE Tel nos.(064) 562-0128 / Telefax no. (064) 477-0138 www.tacurong.gov.ph REQUEST FOR QUOTATION The City Government</t>
  </si>
  <si>
    <t xml:space="preserve"> Procurement of Agricultural and Marine Supplies and Vaccine of MAGRO - Laak, Davao De Oro with an ABC of Php. 150,000.00.</t>
  </si>
  <si>
    <t xml:space="preserve"> Purchase of Communication Equipment, Cabinet, Office Tables and Chairs for establishment of DRRM Operation Center</t>
  </si>
  <si>
    <t xml:space="preserve"> 1 set Outdoor Sound System with Complete Accessories</t>
  </si>
  <si>
    <t xml:space="preserve"> Republic of the Philippines          City of Dumaguete Bids and Awards Committee INVITATION TO BID FOR PURCHASE REQUEST OF 304 BAGS PORTLAND CEMENT (40KGS/BAG) TYPE 1 AND OTHER ITEMS 	The City of Dumaguete thru its BIDS AND AWARDS COMMITTEE (BAC), invites</t>
  </si>
  <si>
    <t xml:space="preserve"> Request for Quotation: RFQ-#  2008-783 Supply and delivery of medicines</t>
  </si>
  <si>
    <t xml:space="preserve"> September 7-11, 2020 AM Snack - Served w/ native delicacies &amp; drinks bottled/in can Lunch - Served w/ soup, 3 viands, rice, desert and drinks bottled/ in can PM Snack - Served w/ native delicacies &amp; drinks bottled/in can *  with free flowing coffee, lemon</t>
  </si>
  <si>
    <t xml:space="preserve"> Republic of the Philippines CITY GOVERNMENT OF TACURONG Alunan Highway, Tacurong City Sultan Kudarat BIDS AND AWARDS COMMITTEE Tel nos.(064) 562-0128 / Telefax no. (064) 477-0138 www.tacurong.gov.ph REQUEST FOR QUOTATION The City Government of Tacurong th</t>
  </si>
  <si>
    <t xml:space="preserve"> RFQ-2020-251		 			 1.	3	mos.	JANITORIAL SERVICES from October to December, 2020 			(8 persons/month) 			 	Deadline for Submission of Bids: August 26, 2020, 11:00 AM		 			PAYMENT TERM: 90 DAYS</t>
  </si>
  <si>
    <t xml:space="preserve"> ITEM                                                    UNIT OF ISSUE               QTY.                   ESTIMATED PRICE Bond paper (Long)                                      ream                        350                       230.00 Ink Refill (Univ</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</si>
  <si>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</si>
  <si>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5 pcs Optimum Toner Cartridge, Black 5 pcs Optimum Toner Cartridge, Cyan 5 pcs Optimum Toner Cartridge, Yellow 5 pcs Optimum Toner Cartridge, Magenta</t>
  </si>
  <si>
    <t xml:space="preserve"> 150 Sacks Vermi Cast</t>
  </si>
  <si>
    <t xml:space="preserve"> Description Please quote your price inclusive of VAT on the item/s listed below, subject to the Terms and conditions of the RFQ, and submit your quotation duly signed by your representative not later than August 27, 2020 at CGSO for Goods. Upon receipt of</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</si>
  <si>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</si>
  <si>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Republic of the Philippines          City of Dumaguete Bids and Awards Committee INVITATION TO BID FOR THE PURCHASE OF 1 UNIT BRAND NEW PASSENGER VAN 	The City of Dumaguete thru its BIDS AND AWARDS COMMITTEE (BAC), invites all interested manufacturers, su</t>
  </si>
  <si>
    <t xml:space="preserve"> Republic of the Philippines BARANGAY 8 BIDS AND AWARDS COMMITTEE INVITATION TO BID The Barangay Government of BARANGAY 8 through its Bids and Awards Committee (BAC), invites suppliers/manufacturers/distributors to bid for the hereunder project: Name of Pr</t>
  </si>
  <si>
    <t xml:space="preserve"> PHIVIDEC INDUSTRIAL AUTHORITY	 MCT Complex, Tagoloan, Mis. Oriental	 Tel Nos: (08822) 740245, (088) 5670-315	 email add:  	procurement@piamo.gov.ph 	 	 Standard Form Number: SF-GOOD-60	 Revised on: May 24, 2004	Oct-16 Standard Form Title:  REQUEST FOR QUO</t>
  </si>
  <si>
    <t xml:space="preserve"> Republic of the Philippines          City of Dumaguete Bids and Awards Committee INVITATION TO BID FOR PURCHASE REQUEST OF 3 KGS CW NAILS 4” AND OTHER ITEMS 	The City of Dumaguete thru its BIDS AND AWARDS COMMITTEE (BAC), invites all interested manufactur</t>
  </si>
  <si>
    <t xml:space="preserve"> Republic of the Philippines          City of Dumaguete Bids and Awards Committee INVITATION TO BID FOR THE PURCHASE OF 1 UNIT PATROL/RESCUE VEHICLE 	The City of Dumaguete thru its BIDS AND AWARDS COMMITTEE (BAC), invites all interested manufacturers, supp</t>
  </si>
  <si>
    <t xml:space="preserve"> RFQ-2020-253		 			 1.	300	sets	Complete PPE's 			* Hair Cap 			* N95 mask 			* Face shield 			* Cover all 			* Foot cover 			 	Deadline for Submission of Bids: August 26, 2020, 11:00 AM		 			PAYMENT TERM: 90 DAYS</t>
  </si>
  <si>
    <t xml:space="preserve"> Purchase of Chainsaw, Diving Apparatus and Body Bag for use during disaster preparedness and response.</t>
  </si>
  <si>
    <t xml:space="preserve"> PLEASE SEE ATTACHED DOCUMENT/S. THANK YOU.</t>
  </si>
  <si>
    <t xml:space="preserve"> ITEM: 1 lot Supply, Delivery &amp; Installation of Laboratory Refrigerator/Chiller		 					 Specifications:							 Temp. range: +2°C to +15°C             Capacity:8 to 10 cubic ft.							 Door: 1 glass door w/ double-pane glass panels with ergonomic handle	 Al</t>
  </si>
  <si>
    <t xml:space="preserve"> Republic of the Philippines          City of Dumaguete Bids and Awards Committee INVITATION TO BID FOR PURCHASE REQUEST OF 10 GALS HEAVY DUTY H20 SOLUBLE DEGREASER AND OTHER ITEMS 	The City of Dumaguete thru its BIDS AND AWARDS COMMITTEE (BAC), invites al</t>
  </si>
  <si>
    <t xml:space="preserve"> Shopping . . . . Mealbox paper, 3 division, biodegradable Mealbox, paper, 2 division, biodegrable Spoon, disposable, 100pcs/pack Fork, disposable, 100 pcs/pack Bottled water, 350ml SCHEDULE OF DELIVERY: MONTHLY   Items                     Sept.       Oct.</t>
  </si>
  <si>
    <t xml:space="preserve"> Republic of the Philippines BARANGAY CUMBA BIDS AND AWARDS COMMITTEE INVITATION TO BID The Barangay Government of BARANGAY CUMBA through its Bids and Awards Committee (BAC), invites suppliers/manufacturers/distributors to bid for the hereunder project: Na</t>
  </si>
  <si>
    <t xml:space="preserve"> Republic of the Philippines Province of Zambales MUNICIPALITY OF PALAUIG BARANGAY BULAWEN -0- BIDS AND AWARD COMMITTEE INVITATION TO APPLY FOR ELIGIBILITY AND TO BID The Local Government Unit of Barangay Bulawen, Palauig, Zambales  thru its Bids and Award</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</si>
  <si>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</si>
  <si>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Request for Quotation: RFQ-# 2008-777 Supply and delivery of  1. 500 units Counselling Modules ( PWUD Handbook)</t>
  </si>
  <si>
    <t xml:space="preserve"> PURCHASE OF COMMUNICATION EQUIPMENTS  3 units radio base radio base unit with power supply and complete accessories 1 unit Handheld radio 1 unit megaphone</t>
  </si>
  <si>
    <t xml:space="preserve"> Republic of the Philippines BARANGAY 2 BIDS AND AWARDS COMMITTEE INVITATION TO BID The Barangay Government of BARANGAY 2 through its Bids and Awards Committee (BAC), invites suppliers/manufacturers/distributors to bid for the hereunder project: Name of Pr</t>
  </si>
  <si>
    <t xml:space="preserve"> INVITATION TO APPLY FOR ELIGIBILITY AND TO BID The Barangay Government of  Tejero, San Luis, Batangas, through its Barangay Bids and Awards Committee (BBAC), invites contractors registered with and classified by the Philippine Contractors Accreditation Bo</t>
  </si>
  <si>
    <t xml:space="preserve"> CONSTRUCTION OF PATHWAY AT SECTOR 3 LOCATED AT SAN ANTONIO, Agoo, La Union</t>
  </si>
  <si>
    <t xml:space="preserve"> The Coron School of Fisheries request for Price qoutation for the supply and delivery of office supplies intended for the Printing of Modules for  Grade 7-10 SY2020-2021.</t>
  </si>
  <si>
    <t xml:space="preserve"> Republic of the Philippines Province of Camarines Sur MUNICIPALITY OF BAAO INVITATION TO BID FOR THE CONCRETE PAVEMENT WITH DRAINAGE – POBLACION AREA (BARLIN ST., DON JUAN ST., SAN ROQUE) 1. The LOCAL GOVERNMENT UNIT OF BAAO, through the Budget for the co</t>
  </si>
  <si>
    <t xml:space="preserve"> DESCRIPTION Republic of the Philippines Province of Oriental Mindoro MUNICIPALITY OF NAUJAN BARANGAY SAN ANTONIO BIDS AND AWARDS COMMITTEE INVITATION TO BID SUPPLY &amp; DELIVERY OF MATERIALS TO BE USED IN ROAD DEVELOPMENT PROGRAM, SITIO 3, BARANGAY SAN ANTON</t>
  </si>
  <si>
    <t xml:space="preserve"> Lot 1 - Pump and VFD Control		 1	lot	Vertical In Line Centrifugal Pump with diamond polished tungsten carbide mechanical shaft seal  design for 120deg Celsius max temp coupled with Totally enclosed fan cooled electric motor 440V 60Hz 		304 S-S Impeller an</t>
  </si>
  <si>
    <t xml:space="preserve"> Equipment   1 Mini Dumptrcuk 1 Concrete Saw 1 Jackhammer w/ Air Compressor 1 Plkate Cimpactor One Bagger Concrete Mixer 2 Bar/ Shear Cutter 2 Electric Handrill 2 Rivete 2 Tile Cutter 1 Electric Edger Description 1.00 Site Works 1.01 Demolition Works 2.00 </t>
  </si>
  <si>
    <t xml:space="preserve"> Catering Services-Meals &amp; Snacks for 3 days,Notebook,Ballpen,Plastic Envelope</t>
  </si>
  <si>
    <t xml:space="preserve"> Republic of the Philippines PROVINCE OF ZAMBOANGA DEL NORTE Municipality of Sibutad BIDS AND AWARDS COMMITTEE AUGUST 20, 2020 INVITATION TO BID The Local Government Unit of Sibutad, Zamboanga del Norte under P.R. No. CA100-2020-08-007 dated AUGUST 10, 202</t>
  </si>
  <si>
    <t xml:space="preserve"> 1. The total approved budget for the contract for the SUPPLY AND DELIVERY OF VARIOUS GI FITTINGS is PhP 302,495.00 2. Price quotations must include all taxes, duties, and/or levies payable and must be valid for 30 days. 3. Suppliers must specify the BRAND</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</si>
  <si>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</si>
  <si>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Procurement of Supplies and Materials for Motorcycle/Small Engine Servicing NC II Training</t>
  </si>
  <si>
    <t xml:space="preserve"> Construction of multi-purpose Hall Brgy. Cabulihan</t>
  </si>
  <si>
    <t xml:space="preserve"> Procurement of Tires for the use at the Provincial Motor Pool, New Capitol Building, Tagbilaran City ABC: P488,750.00 Cost of Canvas: P250.00</t>
  </si>
  <si>
    <t xml:space="preserve"> Republic of the Philippines Province of Pampanga Municipality of Lubao INVITATION TO BID FOR CONCRETING OF BARANGAY ROAD (RIVERSIDE TO STO. DOMINGO) AT SAN FRANCISCO                                             PBD INFRA – 2020 - 079  The Municipality of L</t>
  </si>
  <si>
    <t xml:space="preserve"> Republic of the Philippines Province of Cavite MUNICIPALITY OF TERNATE BIDS AND AWARDS COMMITTEE INVITATION TO BID 1. The MUNICIPALITY OF TERNATE, CAVITE, through the LGU Fund intends to apply the sum of ONE HUNDRED TWENTY FOUR THOUSAND EIGHT HUNDRED PESO</t>
  </si>
  <si>
    <t xml:space="preserve"> Procurement of Vegetable Seeds and Planting tools under the Vegetable Seed Production of MAGRO - Laak, Davao De Oro with an ABC of Php. 50,000.00.</t>
  </si>
  <si>
    <t xml:space="preserve"> REQUEST FOR EXPRESSION OF INTEREST (REOI) Hiring of Consultancy Services (Individual Consultant) Solicitation No. PSO-VIS-SIC-005-20 EPC: Php 168,000.00 1. The Government of the Philippines has received a loan from the World Bank towards the cost of the P</t>
  </si>
  <si>
    <t xml:space="preserve"> REPUBLIC OF THE PHILIPPINES		 			          PROVINCE OF SIQUIJOR		 			        MUNICIPALITY OF SIQUIJOR		 			         REQUEST FOR QUOTATION		 					 			                                                          Date:  	13-Aug-20	 _____________________________</t>
  </si>
  <si>
    <t xml:space="preserve"> Department of Public Works and Highways (DPWH) Contract ID: 20GP0075 Contract Name: REPAIR/MAINTENANCE of MAMBUSAO RIVER REVETMENT (F40013PN) Brgy. Tumalalud,Mambusao, PANAY RIVER REVETMENT (F40014PN) Brgy. Bitoon,Ilawod,Cuartero, SIBAGUAN CREEK REVETMENT</t>
  </si>
  <si>
    <t xml:space="preserve"> ITEM: 200 pcs Fabricated Rubber O-ring 4"Ø		 PURPOSE: RPP NO. 20-07-05-049-FOR REPLENISHMENT OF STOCKS	 ABC: PHP 120,000.00 DELIVERY SCHEDULE: 10 CALENDAR DAYS</t>
  </si>
  <si>
    <t xml:space="preserve"> PRO POWER</t>
  </si>
  <si>
    <t xml:space="preserve"> (Batch 2)</t>
  </si>
  <si>
    <t xml:space="preserve"> JOB ORDER											 TO REQUEST FOR SERVICES OF SUBDIVISION/ SEGREGATION, BOUNDARY AND/OR											 RELOCATION SURVEY OF VOS &amp; GFI PROPERTIES UNDER SURVEY MODULE NO.											 LOT 9-CSI-2020(NL)									48.0993	HECTARES	P LOCATION: DEL GALLEGO &amp; LUPI CA</t>
  </si>
  <si>
    <t xml:space="preserve"> PROCUREMENT OF SERVICES (PUBLICATION OF MUNICIPAL ORDINANCES) 9 ORDINANCES/3 ISSUES</t>
  </si>
  <si>
    <t xml:space="preserve"> 20AD0114 : 41X: Emergency Repair along Sta. Cruz_Pilar-Pinipin Road, K0334+000-K0336+700 with exception ABC: 999,997.68 Source of Funds : Maintenance Fund CY 2020 (SR2020-02-000664) Contract Duration : 30 CD Cost of Bid Documents : P 1000.00 PCAB license </t>
  </si>
  <si>
    <t xml:space="preserve"> Completion of One (1) Unit-12m x 27.5m Multi-Purpose/Evacuation Center</t>
  </si>
  <si>
    <t xml:space="preserve"> Republic of the Philippines Province of Pangasinan MUNICIPALITY OF LINGAYEN Invitation to Bid    The Local Government Unit of Lingayen, through the General Fund –Capital Outlay    intends to apply the amount  of  Five Hundred  Thirty Three   Thousand   Pe</t>
  </si>
  <si>
    <t xml:space="preserve"> 40 Pcs Plyboard 30 Pcs Woods ( 2x4x12) 60 Pcs Local Post 10 Rolls Green Net 10 Rolls Barbwire 200 Pcs Sacks (Large)</t>
  </si>
  <si>
    <t xml:space="preserve"> Republic of the Philippines Province of Nueva Vizcaya BIDS AND AWARDS COMMITTTEE (GOODS) BAC OFFICE, Provincial Capitol, Bayombong, Nueva Vizcaya 	 		Negotiated Procurement (2nd Failure of Bidding) 2nd REQUEST FOR QUOTATION (RFQ)  For the Procurement of O</t>
  </si>
  <si>
    <t xml:space="preserve"> Catering Services-Meals &amp; Snacks for 50 pax w/venue</t>
  </si>
  <si>
    <t xml:space="preserve"> Laboratory Supplies</t>
  </si>
  <si>
    <t xml:space="preserve"> Public Biding</t>
  </si>
  <si>
    <t xml:space="preserve"> The PRDP-PSO through the Department of Agriculture Regional Field Office 3 is hereby invited suppliers to submit quotations/proposals from the here-under requirements, to wit: 			Labor 			-Perform PMS 40,000 km check up 			-Replace Turbo Tube Lh 			-Repla</t>
  </si>
  <si>
    <t xml:space="preserve"> SELF - SKILLS ENHANCEMENT AND LEADERSHIP FORMATION - BARANGAY STAFF</t>
  </si>
  <si>
    <t xml:space="preserve"> Construction of Client's Lounge'Staff Wellness Area Please see attached design, specification and bill of materials.</t>
  </si>
  <si>
    <t xml:space="preserve"> URBAN GARDENING</t>
  </si>
  <si>
    <t xml:space="preserve"> Republic of the Philippines Province of Cavite MUNICIPALITY OF TERNATE BIDS AND AWARDS COMMITTEE INVITATION TO BID 1. The MUNICIPALITY OF TERNATE, CAVITE, through the Special Education Fund (SEF) intends to apply the sum of THREE MILLION PESOS (P 3,000,00</t>
  </si>
  <si>
    <t xml:space="preserve"> Brief Description/Specification: “SUPPLY AND DELIVERY OF VEHICLE PARTS AND ACCESSORIES” for the Repair and Maintenance of PNP Patrol Car for 3rd Quarter of 2020, of the Municipal Police Station. Approved Budget for the Contract:  Php 103,000.00 Estimated </t>
  </si>
  <si>
    <t xml:space="preserve"> Request for Quotation			Date:		 			Quotation No.:		 2020-08-091-Aug  Company Name 					 					 Address					 					 	Please quote your lowest price on the items listed below, subject to the General Conditions ln the last				 page stating the shortest time of</t>
  </si>
  <si>
    <t xml:space="preserve"> REPUBLIC OF THE PHILIPPINES		 			          PROVINCE OF SIQUIJOR		 					 			        MUNICIPALITY OF SIQUIJOR		 			         REQUEST FOR QUOTATION		 					 			                                                          Date:  		 ______________________________		</t>
  </si>
  <si>
    <t xml:space="preserve"> 2020-08-10 Rehabilitation of open SPACE  at Pimintel Blding  1.	DIGGING, LEVELLING AND FLATTENING OF THE OPEN SPACE 2.	APPLICATION OF FILLING MATERIALS 3.	INSTALLATION OF CHB 4.	SOIL TAMPERING 5.	DELIVERY OF EXCESS SOIL AT DUMPING AREA 6.	CONCRETTING THE </t>
  </si>
  <si>
    <t xml:space="preserve"> Reblocking of Damaged Concrete Pavement</t>
  </si>
  <si>
    <t xml:space="preserve"> Construction of one (1) unit Production Well with 1.5 HP Submersible Pump, Suction pipes and Pumphouse</t>
  </si>
  <si>
    <t xml:space="preserve"> attached</t>
  </si>
  <si>
    <t xml:space="preserve"> (1) Lot Supply, Delivery and Installation of Structured Cabling System for Pag-IBIG Fund Sagay Branch</t>
  </si>
  <si>
    <t xml:space="preserve"> The specification is available at the Bids and Awards Committee Secretariat MPDO-2nd Floor Lasam Municipal Town Hall</t>
  </si>
  <si>
    <t xml:space="preserve"> Medical Supplies</t>
  </si>
  <si>
    <t xml:space="preserve"> Medical &amp; Dental Equipment-Wheel Chair,Cane,Walker,etc...</t>
  </si>
  <si>
    <t xml:space="preserve"> Procurement of Tires for the Road Graders at the Provincial Motor Pool, New Capitol Building, Tagbilaran City ABC: P474,000.00 Cost of Canvas: P250.00</t>
  </si>
  <si>
    <t xml:space="preserve"> INVITATION TO BID  DESIGN AND CONSTRUCTION OF THE BUREAU OF CUSTOMS PORT OF CEBU BUILDING    Bid Reference No. GPG-B2-2020-382  Approved Budget for the Contract: P338,360,907.55   1. The Philippine International Trading Corporation (PITC) and the Bureau o</t>
  </si>
  <si>
    <t xml:space="preserve"> Item No.	Description	Unit	Quantity 1	Elf Load	Unit	4</t>
  </si>
  <si>
    <t xml:space="preserve"> PURCHASE OF VARIOUS MEDICINES FOR MBC</t>
  </si>
  <si>
    <t xml:space="preserve"> SELF - SKILLS ENHANCEMENT AND LEADERSHIP FORMATION - PHYSICAL THERAPY</t>
  </si>
  <si>
    <t xml:space="preserve"> 1. The BARANGAY GOVERNMENT OF SAN PASCUAL, BURGOS, PANGASINAN through its BARANGAY DEVELOPMENT Fund CY 2020 intends to apply an amount of Sixty Nine Thousand Pesos Only (Php69,000.00) being the Approved Budget for the Contract (ABC) for payment under the </t>
  </si>
  <si>
    <t xml:space="preserve"> SELF - SKILLS ENHANCEMENT AND LEADERSHIP FORMATION -BENHUR ACTION TEAM</t>
  </si>
  <si>
    <t xml:space="preserve"> Electrical Supplies-Stranded Wire #6,Stranded Wire #10,Led Floodlight ,etc...</t>
  </si>
  <si>
    <t xml:space="preserve"> Republic of the Philippines													 DEPARTMENT OF PUBLIC WORKS AND HIGHWAYS													 Sultan Kudarat 1st													 District Engineering Office													 REGIONAL OFFICE XII													 Isulan, Sultan Kudarat													 													 Name </t>
  </si>
  <si>
    <t xml:space="preserve"> Purchase of construction materials to be used as Tago Water System storage for their maintenance equipment's.              Item                                    Quantity 1	cu.m	Mixed Sand and Gravel		1 2	bags	Portland Cement		       46 3	cu.m	Sand 		   </t>
  </si>
  <si>
    <t xml:space="preserve"> PROJECT TITLE : REHABILITATION OF MULTI-PURPOSE BUILDING (BRGY. LUKLUKAN SUR- JPCN) PROJECT LOCATION : BRGY. LUKLUKAN SUR, JPCN SOURCE OF FUND : 20% CONTINUING 2015-2019 ABC : PHP 670,000.00</t>
  </si>
  <si>
    <t xml:space="preserve"> PURCHASE OF COVID-19 PROTECTIVE GEAR</t>
  </si>
  <si>
    <t xml:space="preserve"> 1	Risograph for Different Booklets and Brochures to be used in 					1	lot	10,000.00 	the Provincial Agriculturist Office									 2	Risograph for Different Booklets and Brochures to be used in 					1	lot	40,000.00 	the Provincial Agriculturist Office					</t>
  </si>
  <si>
    <t xml:space="preserve"> Purchase of One (1) Unit Brand New Garbage Compactor Item	Unit	Description	 Quantity  I	Unit	Purchase of One (1) Unit Brand New Garbage Compactor	1 		Specification:	 		- Engine Type : 4 Cylinder Direct Injection, Diesel Engine	 		- Engine Power : 115 HP @</t>
  </si>
  <si>
    <t xml:space="preserve"> ITEM: 12 pcs Oil Filter(ISUZU NQR Water Tanker, 4HJ1 eng.)							 3 pcs Fuel Filter(ISUZU NQR Water Tanker, 4HJ1 eng.)							 3 pcs Air Filter(ISUZU NQR Water Tanker, 4HJ1 eng.)							 6 pcs Oil Filter(ISUZU NHR Light truck, 4HJ1 eng.)							 2 pcs Fuel F</t>
  </si>
  <si>
    <t xml:space="preserve"> The Procuring Entity: LGU-INOPACAN, LEYTE Project Reference Number: RHU-100-200-20-08 Name of Project: PURCHASE OF COVERALL SUIT PPE Location of Project: POBLACION, INOPACAN, LEYTE Standard Form Number: SF-GOOD-60 Standard Form Title: REQUEST FOR QUOTATIO</t>
  </si>
  <si>
    <t xml:space="preserve"> Fuel-Diesel Fuel,Gasoline Fuel,Printer Toner 214 black,etc....</t>
  </si>
  <si>
    <t xml:space="preserve"> HATID / SUNDO SA ESKWELA PROJECT</t>
  </si>
  <si>
    <t xml:space="preserve"> PLEASE SEE PURCHASE REQUEST AND REQUEST FOR QUOTATION FOR SPECIFIC DETAILS PLEASE SUBMIT, TOGETHER WITH YOUR QUOTATION, THE FOLLOWING: CERTIFICATE OF PHILGEPS REGISTRATION CERTIFICATE OF REGISTRATION FROM BIR BUSINESS PERMIT TAX CLEARANCE DTI CERTIFICATE </t>
  </si>
  <si>
    <t xml:space="preserve"> 1. EXCAVATION AND SITE PREPARATION 2. CONCRETING(FOOTING) 3. CONCRETING (COLUMN) 4. CONCRETING (BEAM) 5. CONCRETING (SLAB) 6. CONCRETING (STAIR)</t>
  </si>
  <si>
    <t xml:space="preserve"> Office Supplies-Comcolor Black,Comcolor Magenta,etc....</t>
  </si>
  <si>
    <t xml:space="preserve"> THE PROJECT INCLUDES: 14 SETS OF SOLAR STREETLIGHTS</t>
  </si>
  <si>
    <t xml:space="preserve"> INVITATION TO BID FOR THE SUPPLY OF LABOR &amp; MATERIALS FOR THE IMPROVEMENT OF MULTI-PURPOSE HALL 1. The Barangay Government of BARANGAY MATAAS NA BAYAN through the 20% Local Development Fund of Barangay intends to apply the sum of Php 315,519.51 being the </t>
  </si>
  <si>
    <t xml:space="preserve"> Construction of Water System at Barangay Siay, San Miguel, Catanduanes. Source of Fund: 20% EDF - 2020   	Prospective bidders should possess a valid PCAB License applicable to the contract, have completed a similar contract with a value of at least 50% of</t>
  </si>
  <si>
    <t xml:space="preserve"> PROCUREMENT OF SUPPLIES AND MATERIALS OF CARPENTRY NC II(TRAINING CUM PRODUCTION) DORMITORY</t>
  </si>
  <si>
    <t xml:space="preserve"> SELF - SKILLS ENHANCEMENT AND LEADERSHIP FORMATION - RESCUE</t>
  </si>
  <si>
    <t xml:space="preserve"> LOWEST CALCULATED RFQ</t>
  </si>
  <si>
    <t xml:space="preserve"> Office Supplies-Ink Cartridge Black,Ink Cartridge Magenta,etc....</t>
  </si>
  <si>
    <t xml:space="preserve"> Syringe Pump with specs							2	unit  	80,000.00 Specs:									   * Syringe size           : 5, 10, 20, 30, 50/60 ml									   * Applicable Size       : Compatible with syringe of any size									   * Flow Rate              : Syringe 5 ml: 0.1-100 ml/h</t>
  </si>
  <si>
    <t xml:space="preserve"> Office Equipment-Split  Type 1.5hp Inverter Aircon,Split Type 2hp Inverter Aircon</t>
  </si>
  <si>
    <t xml:space="preserve"> Department of Public Works and Highways (DPWH) Contract ID: 19G00109 Contract Name: Bacolod Negros Occidental Economic Highway (BANOCEH), Segment 3, Including ROW, Bacolod City Location of the Contract: Bacolod City, Negros Occidental --------------------</t>
  </si>
  <si>
    <t xml:space="preserve"> REQUEST FOR QUOTATION  (RFQ) 1. The Mines and Geosciences Bureau - CAR (MGB-CAR), as the Procuring Entity, through its Bids and Awards Committee (BAC), intends to apply the sum of One Hundred Thirty-Seven Thousand Seven Hundred Sixty-Nine Pesos and Fifty </t>
  </si>
  <si>
    <t xml:space="preserve"> Improvement of One (1) Unit -9.5m x 10.5m Barangay Health Station (Construction of exterior walls, embankment &amp; pouring of slab)</t>
  </si>
  <si>
    <t xml:space="preserve"> PR#	2020-08-0430 INREMP-LLRB	 1	lot	Printing of IEC Materials:	 200,000.00 	 		Flip Chart- 50 pieces		 		size: 11 x 14.25		 		16 pages, colored with standee		 				 		Sticker Print Ordinary- 4,900 pieces		 		size: 3-3/4 x 4.5, colored		 				 		Poster- 1,10</t>
  </si>
  <si>
    <t xml:space="preserve"> CONCRETING - DIMENSION - L = 46 m., W = 4.0 m., T= .20 m., V = 36.80 m3., A = 184 sq. m. I. ITEM 100 - CLEARING AND GRUBBING / RESHAPING II. ITEM 311 - SUBBASE COURSE MATERIALS  (     SUBBASE 74 m3, SHOULDERING 24 m3 AND APPROACHES 2 m3), III. ITEM - PORT</t>
  </si>
  <si>
    <t xml:space="preserve"> AYUDA PARA SA PWD &amp; SENIOR CITIZENS</t>
  </si>
  <si>
    <t xml:space="preserve"> 1. The total approved budget for the contract for the SUPPLY AND DELIVERY OF AIR RELEASE VALVE 1" is PhP 61,000.00 2. Price quotations must include all taxes, duties, and/or levies payable and must be valid for 30 days. 3. Suppliers must specify the BRAND</t>
  </si>
  <si>
    <t xml:space="preserve"> 250 Books Mall Books (20Stores) 1. Ang Mahiwagang Lapis ni Titser 2. Doon sa Silid-Aklatan 3. Chef ang Nanay ko 4. Si Abdul 5. Si Uweng, Ang Malinis na Kuting 6. SiDado, Ang Tutang Bibo 7. Nawawala ang Gulong Ni Tessy Taxi 8. Kay tagal ni Nanay 9. Tommy T</t>
  </si>
  <si>
    <t xml:space="preserve"> Please quote your best price 415 boxes of Omeprazole 40 mg Capsule 100's ABC 361,050.00 Please email your quotation Please download canvass form</t>
  </si>
  <si>
    <t xml:space="preserve"> ITEM: 20 pcs Storage Battery 12 Volts-25 plates with battery solution		 PURPOSE: RPP NO. 20-08-05-057-FOR REPLENISHMENT OF STOCKS.	 ABC: PHP 253,000.00 DELIVERY SCHEDULE: 10 CALENDAR DAYS</t>
  </si>
  <si>
    <t xml:space="preserve"> Procurement of 1 Lot Meals &amp; Snacks (2days)</t>
  </si>
  <si>
    <t xml:space="preserve"> Item No. Qty. units Description Brand Amount / Unit 1 50 GALLON/S ACID, MURIATIC 2 50 PIECE/S BRUSH, PLASTIC 3 150 PIECE/S BULB, COMPACT 18W, CFL 4 50 KILO/S CHLORINE, HICLONE, POWDER IN CONTAINER 5 100 GALLON/S CHLOROX, 4 LITERS 6 100 PIECE/S DIPPER, PLA</t>
  </si>
  <si>
    <t xml:space="preserve"> Procurement of 1 pcs Projector &amp; 3 LI</t>
  </si>
  <si>
    <t xml:space="preserve"> Drugs &amp; Medicines-Various Drugs &amp; Medicines</t>
  </si>
  <si>
    <t xml:space="preserve"> Request for Quotation</t>
  </si>
  <si>
    <t xml:space="preserve"> CONSTRUCTION OF PATHWAY (PHASE I) LOCATED AT SAN ANTONIO, AGOO, LA UNION</t>
  </si>
  <si>
    <t xml:space="preserve"> Service Vehicles 			                   *Hi Ace SKV 488* 1	1	btl	Tire black big 2	1	btl	Armor all 			                    *Innova SKV 400* 3	1	pc	Armor all 4	1	btl	Tire black   			                      *A4 X391* 5	1	pc	N70 Battery 			                       </t>
  </si>
  <si>
    <t xml:space="preserve"> Name of the Procuring Entity: LGU LILA					Project Reference Number    : 02-0066-20			08-0313-20	 					Name of the Project             :			Procurement of Ammunition	 									 					Location of the Project         :			LGU-Lila	 Standard Form Number : SF-GO</t>
  </si>
  <si>
    <t xml:space="preserve"> 1. ROOFING WITH GUTTER 2. PARTITION</t>
  </si>
  <si>
    <t xml:space="preserve"> Department of Public Works and Highways (DPWH) Contract ID: 19G00110 Contract Name: Preventive Maintenance: Asphalt Overlay along Bacolod South Road, K0085+608-K0087+608, Kabankalan City, Negros Occidental Location of the Contract: Kabankalan City, Negros</t>
  </si>
  <si>
    <t xml:space="preserve"> See attached</t>
  </si>
  <si>
    <t xml:space="preserve"> Invitation to Bid for  Construction of Public Market (Phase 2) No. 2020-08-002 The Local Government Unit of Prieto Diaz, through the 20% Municipal Development Fund-2017   intends to apply the sum of Seven Million Pesos Only (PhP 7,000,000.00) being the Ap</t>
  </si>
  <si>
    <t xml:space="preserve"> Department of Public Works and Highways (DPWH) Contract ID: 19G00111 Contract Name: Preventive Maintenance of Road: Asphalt Overlay –Bacolod South Road – K0011+000-K0012+000, K0014+000-K0015+956, K0016+000-K0018+000, K0018+221-K0018+653 Location of the Co</t>
  </si>
  <si>
    <t xml:space="preserve"> City Government of La Carlota								          Standard Form Number: SF-GOOD-59 Revised on: May 24, 2004 Standard Form Title: REQUEST FOR QUOTATION 												Date: ______________											                             Quotation No.________ Company Name </t>
  </si>
  <si>
    <t xml:space="preserve"> Labor and Materials</t>
  </si>
  <si>
    <t xml:space="preserve"> Pls. quote the project listed below: 1.   Construction/Improvement of Road Network &amp; Facilities NOTE:                         Opening of Bids will be on Sept. 1, 2020 @ 1:00 pm</t>
  </si>
  <si>
    <t xml:space="preserve"> 1	Marine Plywood 1/4" x 4' x 8' {local)							30	pcs	600.00 2	Marine Plywood 1/2" x 4' x 8' {local)							15	pcs	1,100.00 3	Metal Parring 2"							40	pcs	250.00 4	Rivets 1/8 x 1/2							10	bxs	470.00 5	Metal Blade							5	pcs	140.00 6	Metal Drill bit 9/64</t>
  </si>
  <si>
    <t xml:space="preserve"> INVITATION TO BID FOR THE SUPPLY OF LABOR &amp; MATERIALS FOR THE CONCRETING OF BARANGAY ROAD 1. The Barangay Government of BARANGAY MATAAS NA BAYAN through the 20% Local Development Fund of Barangay intends to apply the sum of Php 399,435.34 being the Approv</t>
  </si>
  <si>
    <t xml:space="preserve"> 1. The BARANGAY GOVERNMENT OF POGORUAC, BURGOS, PANGASINAN through its BARANGAY DEVELOPMENT Fund CY 2020 intends to apply an amount of One Hundred Forty One Thousand Eight Hundred Eighty Five Pesos Only (Php141,885.00) being the Approved Budget for the Co</t>
  </si>
  <si>
    <t xml:space="preserve"> Republic of the Philippines Province of Nueva Vizcaya BIDS AND AWARDS COMMITTTEE (GOODS) BAC OFFICE, Provincial Capitol, Bayombong, Nueva Vizcaya 	 		Negotiated Procurement (2nd Failure of Bidding) 2nd REQUEST FOR QUOTATION (RFQ) For the Procurement of La</t>
  </si>
  <si>
    <t xml:space="preserve"> Repair/ Maintenance Ravelled Areas</t>
  </si>
  <si>
    <t xml:space="preserve"> Item	 	Unit of	  No.	Quantity	Issue	ITEM DESCRIPTION 1	20	bot	ink refill 664 black 2	20	bot	664 yellow 3	20	bot	664 magenta 4	20	bot	664 cyan 5	4	bot	003 black 6	4	bot	003yellow 7	4	bot	003 magenta 8	4	bot	003 cyan 9	8	bot	790 black 10	8	bot	790 yellow 11</t>
  </si>
  <si>
    <t xml:space="preserve"> Information Technology Parts &amp; Accessories &amp; Perip</t>
  </si>
  <si>
    <t xml:space="preserve"> REQUEST FOR QUOTATION  (RFQ) 1. The Mines and Geosciences Bureau - CAR (MGB-CAR), as the Procuring Entity, through its Bids and Awards Committee (BAC), intends to apply the sum of Sixty Nine Thousand Seven Hundred Sixty-Eight Pesos and Eighty-Four Centavo</t>
  </si>
  <si>
    <t xml:space="preserve"> Supply and Delivery of 72 cu.m. Mixed Gravel</t>
  </si>
  <si>
    <t xml:space="preserve"> 20M00081- Repair/Maintenance of DPWH Building Apopong Weighbridge Station Building, General Santos City</t>
  </si>
  <si>
    <t xml:space="preserve"> BUDGET P60,000 KINDER TO GRADE SIX MODULES REPRODUCTION ESTIMATED NO. OF COPIES 59,005 COPIES ON PARTIAL A4 AND PARTIAL LONG BOND PAPER/GSM80/FRONT AND CLEAR COPY/MONOCHROME</t>
  </si>
  <si>
    <t xml:space="preserve"> Item	 	Unit of	  No.	Quantity	Issue	ITEM DESCRIPTION 1	9	PC	THERMAL SCANNER 2	12	GAL	70% ISOPHROPHYL ALCOHOL 3	12	LIT	LIQUID HANDSOAP 4	14	GAL	DISINFECTANT 5	14	SET	SANITIZING FOOTBATH</t>
  </si>
  <si>
    <t xml:space="preserve"> 1.	The Department of Finance (DOF), through the General Appropriations Act of 2019 intends to apply the sum of Ten Million Pesos (PhP10,000,000.00) being the Approved Budget for the Contract (ABC) to payments under the contract for Supply, Delivery, Insta</t>
  </si>
  <si>
    <t xml:space="preserve"> Location: Sto. Tomas, Pampanga Appropriation: Php 800,000.00 Source of Fund: 20% Development Fund Classification: Perimeter Fence Net Length: L=84.00 lin.m. No. of days to complete: 60 C.D.</t>
  </si>
  <si>
    <t xml:space="preserve"> REPUBLIC OF THE PHILIPPINES		 			          PROVINCE OF SIQUIJOR		 			        MUNICIPALITY OF SIQUIJOR		 			         REQUEST FOR QUOTATION		 					 			                                                          Date:  		 ______________________________					 	P</t>
  </si>
  <si>
    <t xml:space="preserve"> 68 PCS COMPUTER PRINTER (CONTINUOUS INK) @ 6,000.00 EACH 3 UNITS COPIER MACHINE @ 62,666.67 1 BOX A4 BOND PAPER @ 1,400.00</t>
  </si>
  <si>
    <t xml:space="preserve"> Republic of the Philippines DEPARTMENT OF PUBLIC WORKS AND HIGHWAYS BOHOL III DISTRICT ENGINEERING OFFICE REGIONAL OFFICE VII Guindulman, Bohol INVITATION TO BID FOR GOODS August 14, 2020 The Department of Public Works and Highways-Bohol 3rd District Engi</t>
  </si>
  <si>
    <t xml:space="preserve"> EARTHWORKS	 228,019.05  FORM WORK	 188,168.40  CONCRETE WORKS	 578,327.40  MASONRY WORKS	 210,735.00  ROOF FRAMING &amp; STEEL WORK	 606,236.40  TINSMITHRY	 288,262.80  ELECTRICAL WORKS	 201,978.00  PAINTING WORKS	 77,981.40  FACILITIES FOR THE ENGINEER	 20,1</t>
  </si>
  <si>
    <t xml:space="preserve"> Digital Event Production, PR, Marketing and Branding Service for DTI 7 online Programs-32 sessions of Digital Conference, Trainings and Workshops Inclusions: Webinar Concept Development Webinar Creative Branding Webinar Marketing and PR &gt;Traditional Marke</t>
  </si>
  <si>
    <t xml:space="preserve"> Catering Services-Meals &amp; Snacks for 3 days,Notebook,Ballpen,Plastic Envelope Long</t>
  </si>
  <si>
    <t xml:space="preserve"> 1. ROAD EXCAVATION 2. SUBGRADE PREPARATION 3. AGGREGATE BASE COURSE 4. .15M PCCP</t>
  </si>
  <si>
    <t xml:space="preserve"> Please quote your best price 151 boxes Cotrimoxazole (Sulfamethoxazole + Trimethoprim) 800 mg+160 mg Tablet 100's ABC 30,200.00 Please email your quotation  Please download canvass form</t>
  </si>
  <si>
    <t xml:space="preserve"> INVITATION TO BID  (GS-08-2020-01) The Department of Public Works and Highways (DPWH), Batangas IV District Engineering Office, Brgy. Marawoy, Lipa City, Batangas, through its Bids and Awards Committee (BAC) for Goods, invites suppliers to submit bids for</t>
  </si>
  <si>
    <t xml:space="preserve"> Item No	Product/Service Name	Description	Quantity	              UOM	                      Budget (PHP) 1	Bond Paper A4	                        Substance 70       1151      	       Ream	                       287,750.00 2	Gun Tucker	                       </t>
  </si>
  <si>
    <t xml:space="preserve"> LGU – Sierra Bullones     					  Contractor Reference Number 	                                                                                                 	                                                                                       								</t>
  </si>
  <si>
    <t xml:space="preserve"> Republic of the Philippines PROVINCE OF PAMPANGA City of San Fernando INVITATION TO BID NO. 2020-33 IG-BAC INVITATION TO BID FOR PURCHASE REQUEST NO. 20-0904 and 20-0833 The Provincial Government of Pampanga (“Province”) intends to apply the following sum</t>
  </si>
  <si>
    <t xml:space="preserve"> Republic of the Philippines Province of Davao De Oro MUNICIPALITY OF COMPOSTELA BIDS AND AWARDS COMMITTEE CP#: 0998-571-7569 INVITATION TO BID FOR  Re-bid: Purchase of Supplies and Materials needed for Evacuation Center - MDRRMO ITB NO. 2020-08-047, BID N</t>
  </si>
  <si>
    <t xml:space="preserve"> Item No. Qty. units Description Brand Amount / Unit 1 500 PIECE/S BALLPEN, BALL POINT BLUE 2 150 PIECE/S BALLPEN, BALL POINT RED 3 500 PIECE/S BALLPEN, FINE POINT, BLACK 4 100 PIECE/S BATTERY, DRY CELL, ENERGIZER, 1.5V, AA, SINGLE 5 100 PIECE/S BATTERY, D</t>
  </si>
  <si>
    <t xml:space="preserve"> REINFORCEMENT STEEL WORKS		 A. Materials		 16mm dia x 6m RSB 8 pcs	8	pcs 10mm dia x 6m RSB 85 pcs	85	pcs Tiewire	5	kgs 		 FORMWORKS		 A. Materials		 CWN # 1 1/2"	1	kg CWN # 3", 4"	10	kg Cocolumber 2x3x10 - 80 pcs	400	bd.ft Marine plywood 1/2"	10	pcs 		 ME</t>
  </si>
  <si>
    <t xml:space="preserve"> Portland Cement, 40kg, 45bags Sand, 5 cu.m. Floor Tiles, 50cmx50cm, 266sq.m. ABC Tile Adhesive, 15bags Tile Grout, 20 packs Tile Trim, 10pcs 3/4" x 4' x 8' marine plywood, 1 pc</t>
  </si>
  <si>
    <t xml:space="preserve"> Various Medical Supplies</t>
  </si>
  <si>
    <t xml:space="preserve"> Office Supplies-Bond Paper,Signpen,Ballpen,Bond Paper Long,etc....</t>
  </si>
  <si>
    <t xml:space="preserve"> PURCHASE OF NEW BORN SCREENING KITS</t>
  </si>
  <si>
    <t xml:space="preserve"> CONSTRUCTION OF CANAL SLOPE PROTECTION LOCATED AT AMBITACAY, AGOO, LA UNION</t>
  </si>
  <si>
    <t xml:space="preserve"> see attached Request for Quotation and Specifications</t>
  </si>
  <si>
    <t xml:space="preserve"> Please see attached purchase request</t>
  </si>
  <si>
    <t xml:space="preserve"> Republic of the Philippines Province of Camarines Sur MUNICIPALITY OF MINALABAC -o0o- Invitation to Bid for CONSTRUCTION OF MATERIALS RECOVERY FACILITY at Magadap, Minalabac, Camarines Sur 1. LGU-Minalabac, Camarines Sur, through Grant from EMB, CY 2020, </t>
  </si>
  <si>
    <t xml:space="preserve"> ITEM: 34 m³ Washed Sand							 36 m³Crushed Gravel 3/4"			 PURPOSE: PROP. EXPANSION OF LEVEL III WATER SUPPLY SYSTEM FOR CDORSHP-1@ PHASE 3, CDORSHP RELOCATION SITE, CALAANAN, CANITOAN, CDOC(W.O.#15-088-D)		 ABC: PHP 77,000.00 DELIVERY SCHEDULE: 10 CALEND</t>
  </si>
  <si>
    <t xml:space="preserve"> (PLEASE SEE ATTACHED ASSOCIATED COMPONENTS) please send Request for Quotation  -  philgepsprocurement19@gmail.com Quotation must be submitted with company’s letter head. Stating Specification, unit cost and total amount offer. Contact Person:	FREDERICK VI</t>
  </si>
  <si>
    <t xml:space="preserve"> as per (electronic) file attached:</t>
  </si>
  <si>
    <t xml:space="preserve"> Item No. Qty. units Description Brand Amount / Unit 1 2 UNIT/S LAUNDRY CART, HEAVY DUTY Houskeeping Trolley with 4 wheels Size: (L) 1480 X (W) 460 X (H) 1140MM Materials: Stainless Steel 2 1 UNIT/S SEWING MACHINE, ELECTRIC Industrial, Heavy Duty 3 1 SET/S</t>
  </si>
  <si>
    <t xml:space="preserve"> 1. EXCAVATION 2. RSB WORKS 3. CHB WALL 4. FORM WORKS 5. CONCRETE WORKS 6. PLASTERING 7. BILLBOARD</t>
  </si>
  <si>
    <t xml:space="preserve"> WATERPUMP TANK AIRCON SPLIT TYPE</t>
  </si>
  <si>
    <t xml:space="preserve"> Procurement of School Supplies, Medical supplies and other supplies for structures and repair</t>
  </si>
  <si>
    <t xml:space="preserve"> Laboratory Supplies &amp; Equipment-Various Laboratory Supplies</t>
  </si>
  <si>
    <t xml:space="preserve"> PRE-REGISTRATION SEMINAR (PRS) Process and industrial designing Learning materials development animations and other visual materials minute animated videos; script; storyboard; voice  Server set up; theme customization Content migration Online pilot run</t>
  </si>
  <si>
    <t xml:space="preserve"> 1 piece Panel Board 12 Holes 1 piece Circuit Breakers 100 Amps 4 pieces Circuit Breakers 30 Amps 4 pieces Circuit Breakers 20 Amps 2 pieces Circuit Breakers 15 Amps 12 meters THHN Wire #6 2 boxes THHN Wire #12 1 box THHN Wire #14 2 lengths PVC Pipe #1 40 </t>
  </si>
  <si>
    <t xml:space="preserve"> 1124 books The New Lowdown in Writing (k 1) 1024 books Mathematics for the New Generation (Gr.1) 1,300 books Mathematics for the New Generation (Gr.2)</t>
  </si>
  <si>
    <t xml:space="preserve"> Swivel Chair, 1pc 3/4" x 4' x 8' MDF Plywood, 28pcs 1"x2"x10' S4S, 35pcs Cabinet handle, stainless, 30pcs Cabinet handle, wood, 20pcs Concealed Hinges, 50pairs Cabinet lock, 14pcs Stikwel, 2gal. Varnish, clear, 4gal Acrylic emulsion, 2gal Liha # 120/150, </t>
  </si>
  <si>
    <t xml:space="preserve"> ITEM No.	ITEM AND DESCRIPTION/ SPECIFICATIONS/STOCK No.	QUANTITY	UNIT 1	FLASH DRIVE, 8GB, USB 2.0,  plug and play	9	piece 2	COMPUTER CONTINUOUS FORMS, 2 ply, 11" x 9-1/2", 1000 sets/box	1	box 4	 CARTOLINA, assorted color, 20s/pack	2	pack 5	CLIP, bulldog (</t>
  </si>
  <si>
    <t xml:space="preserve"> INVITATION TO BID FOR THE PURCHASE OF ADDITIONAL TABLET DEVICES FOR CITY SCHOOL DIVISION OF BACOOR BLENDED LEARNING PROGRAM - CSDO 1.	The City Government of Bacoor, Cavite, through the General Fund Year 2020 intends to apply the sum of THIRTY THREE MILLIO</t>
  </si>
  <si>
    <t xml:space="preserve"> ALCOHOL, ethyl, 68%-70%, scented, 500ml (-5ml)				30	pc PAPER, MULTICOPY, 80gsm A4 size							40	ream PAPER, Multi-Purpose (COPY) Legal, 70 gsm						40	ream 3 in 1 Printer (long and short, with usb port and wifi ready)			1	unit Epson Ink 003 Black							1</t>
  </si>
  <si>
    <t xml:space="preserve"> 76 boxes surgical face mask 72 gallons 70% alcohol 543 boxes ascorbic acid 500 boxes Vitamin B Complex 48 packs lady pills 34 boxes condom</t>
  </si>
  <si>
    <t xml:space="preserve"> AREAS WILL BE THE FOLLOWING: 1, KABACAN 2. MLANG 3. MAGPET 4. BANISILAN FOR DETAILS, PLEASE SEE ATTACHED RFQ.</t>
  </si>
  <si>
    <t xml:space="preserve"> BALAI SILANGAN REHABILITATION FOR COVID-19 ISOLATION FACILITY AT  PILAR, SORSOGON I REMOVAL OF MISC STRUCTURE II ELECTRICAL WORKS III ROOFING IV TILE WORKS V CEILING WORKS VI PAINTING WORKS VII FIXTURES</t>
  </si>
  <si>
    <t xml:space="preserve"> EARTHWORKS	 92,521.80  FORM WORK	 103,244.40  CONCRETE WORKS	 322,333.20  MASONRY WORKS	 129,402.00  ROOF FRAMING &amp; STEEL WORK	 332,633.70  TINSMITHRY	 170,021.88  ELECTRICAL WORKS	 186,858.00  PAINTING WORKS	 75,058.20  FACILITIES FOR THE ENGINEER	 15,12</t>
  </si>
  <si>
    <t xml:space="preserve"> Annual Cleaning and preventive maintenance of 65 Air Conditioning Units (Indoor/Outdoor) consisting of ceiling cassette type, wall mounted split type, floor mounted split type and precision ducted type</t>
  </si>
  <si>
    <t xml:space="preserve"> The City Government of Ozamiz, through its Bids and Awards Committee (BAC), invites contractors registered with and classified by the Philippine Contractors Accreditation Board (PCAB) to apply for eligibility and to bid for the hereunder contracts: PROJEC</t>
  </si>
  <si>
    <t xml:space="preserve"> Supply/Delivery of assorted office supplies</t>
  </si>
  <si>
    <t xml:space="preserve"> Sir/Madam: Please quote your lowest price on the items/s listed below, subject to the General Conditions on the last page, stating the shortest time of delivery and submit your quotation duly signed by your representative not later than the set deadline a</t>
  </si>
  <si>
    <t xml:space="preserve"> Rental of Bulldozer for 6 days (8 hrs./day) for clearing of road at sitio Mabigao</t>
  </si>
  <si>
    <t xml:space="preserve"> Republic of the Philippines Province of Leyte Municipality of Hilongos INVITATION TO RE-BID FOR THE PROCUREMENT OF OFFICE SUPPLIES 1.  The Local Government Unit of Hilongos, through GENERAL FUND-CURRENT APPROPRIATION- intends to apply the sum ONE HUNDRED </t>
  </si>
  <si>
    <t xml:space="preserve"> INVITATION TO BID FOR THE PURCHASE OF LAPTOP FOR TEACHERS ON DIFFERENT SCHOOLS IN THE CITY SCHOOL DIVISION OF BACOOR - CSDO 1.	The City Government of Bacoor, Cavite, through the General Fund Year 2020 intends to apply the sum of TWENTY THREE MILLION PESOS</t>
  </si>
  <si>
    <t xml:space="preserve"> 10 Units Laptop = (FHD (1920x1080) Touch Display) Intel Core i5 1035 G1 Windows 10 4 GB Memory 1TB Hard Drive</t>
  </si>
  <si>
    <t xml:space="preserve"> CONCRETING OF BARANGAY ROAD LOCATED AT STA RITA EAST, AGOO, LA UNION</t>
  </si>
  <si>
    <t xml:space="preserve"> ITEM: 20 btls Chlorine Reagent CI2-1							 Cat. No. 1.00086.0001							 200 tests/bottle							 10 btls Chlorine Reagent CI2-2							 Cat. No. 1.00087.0001							 400 tests/bottle							 PURPOSE: CHEMICAL REAGENT FOR RESIDUAL CHLORINE MONITORING USING PI</t>
  </si>
  <si>
    <t xml:space="preserve"> Office Supplies-Various Office Supplies</t>
  </si>
  <si>
    <t xml:space="preserve"> see attached Request for Quotation &amp; Scope of Works</t>
  </si>
  <si>
    <t xml:space="preserve"> PURCHASE OF AIRCONDITIONING UNIT</t>
  </si>
  <si>
    <t xml:space="preserve"> 1	chain Block 2 tonner good quality							1	unit	12,000.00 2	Differential Assymbly							1	unit	90,000.00 										 										 										 	10-15 working day upon receipt of Purchase Order									 Project Name:		for the use at Transport section							 Pl</t>
  </si>
  <si>
    <t xml:space="preserve"> Item No. Qty. units Description Brand Amount / Unit 1 260 PAX MEALS AND SNACKS Buffet (3 courses) - 1 Meal and 2 Snacks with flowing coffee Inclusions: With stage decoration and tarpaulin AM Snacks: Baked Spaghetti with bread and canned juice Lunch: Butte</t>
  </si>
  <si>
    <t xml:space="preserve"> Republic of the Philippines 		Province of Laguna MUNICIPAL GOVERNMENT OF PANGIL BIDS AND AWARDS COMMITTEE Nat’l Rd. Brgy. San Jose, Pangil, Laguna 	Tel.Nos.  (049)557-0284 &amp; 557-3139		 	 INVITATION TO APPLY FOR ELIGIBILITY AND TO BID The Municipality of P</t>
  </si>
  <si>
    <t xml:space="preserve"> 1 Smartphone, GPS-Capable		1	unit 	Display: 6.7" FHD+SAMOLED			 	Dimension: 163.7x76.1x8.7 mm			 	Processor: Exynoss 9810(Lhotse), Octa Core (2.7 Ghz+1.8GHz)			 	Ram: 8GB; Rom: 128GB			 	Camera: 12MP (Wide, F1.7, 2PD, OIS)+12Mp (Ultra Wide, F2.2)			 	+12M</t>
  </si>
  <si>
    <t xml:space="preserve"> The procuring entity shall draw up a list of at least three (3) suppliers of known qualifications which will be invited to submit proposals. (Section 53.9.1 of Revised IRR of RA 9184)</t>
  </si>
  <si>
    <t xml:space="preserve"> Supply, Delivery and Installation of Giant Industrial Fan Item	Unit	Description	 Quantity  I	Unit	Supply, Delivery and Installation of Giant Industrial Fan	1 		Specification:	 		- 24 FT in Diameter, 2.0 HP - Single Phase, Maximum Speed - 60RPM	 		- with W</t>
  </si>
  <si>
    <t xml:space="preserve"> Disinfectant solution (zonrox), 150 btl. Surgical Mask, 11 box Surgical gloves (s), 15box Surgical glovesn (m), 8box Alcohol, 15gal AA Battery, 10pcs Thermometer (digital), 60pcs Regular safeguard, 55pcs</t>
  </si>
  <si>
    <t xml:space="preserve"> Republic of the Philippines Province of Aklan Municipality of Kalibo INVITATION TO BID FOR THE CONSTRUCTION OF DRAINAGE The Municipality of Kalibo, through the General Fund 2020, intends to apply the sum of Two Million Nine Hundred Six Thousand Five Hundr</t>
  </si>
  <si>
    <t xml:space="preserve"> Republic of the Philippines					 Province of Bohol					 Municipality of Ubay					 					 Request for Quotation					 					 Standard Form Number: SF-GOOD-60					  Revised on: May 24, 2004				Date: 	___________ Standard Form Title: Request for Quotation				Qu</t>
  </si>
  <si>
    <t xml:space="preserve"> 250 BRASS BALL VALVE 1/2" W/ LOCKWING 750 BRASS ANGLE VALVE 3/4" X 3/4"  W/ LOCKWING</t>
  </si>
  <si>
    <t xml:space="preserve"> Department of Public Works and Highways Pampanga 3rd District Engineering Office San Francisco Street, Barangay Pampang, Angeles City DPWH-CONSL-03-2016 REQUEST FOR EXPRESSION OF INTEREST (REOI) FOR: Geotechnical Exploration Survey for the Construction/Re</t>
  </si>
  <si>
    <t xml:space="preserve"> Item No. Qty. units Description Brand Amount / Unit 1 150 HEAD/S 1 MEAL &amp; 2 SNACKS - BUFFET (3 MAIN COURSE) Note: 50 pax per day for 3 days - free use of function hall and sound system - with flowing coffee - Non-pork Menu: Day 1 (50 pax only) Am snack: b</t>
  </si>
  <si>
    <t xml:space="preserve"> OPENING OF BIDS IN DSWD FO IX ZAMBOANGA CITY,				 DELIVERY IN DSWD-HOME FOR WOMEN ZAMBOANGA CITY				 PROCUREMENT FOR THE FF.:				 				 4	SERVICE	HOUSE PARENT @ 316 x 30 DAYS= 9,480.00 x 4 HPs=37,920.00 FOR 6 MOS.	@	 56,880.00  1	SERVICE	COOK (316.00 x 30 </t>
  </si>
  <si>
    <t xml:space="preserve"> Republic of the Philippines Zamboanga Peninsula Department of Health Basilan General Hospital Isabela City, Basilan 7300                                                       INVITATION TO BID FOR                   Procurement of Supply, Delivery, Testing</t>
  </si>
  <si>
    <t xml:space="preserve"> INVITATION TO BID FOR THE PURCHASE OF USB FLASH DRIVE FOR THE TEACHERS USING AS FILE STORAGE ON VARIOUS SCHOOL DIVISION OF BACOOR - CSDO 1.	The City Government of Bacoor, Cavite, through the General Fund Year 2020 intends to apply the sum of FOUR MILLION </t>
  </si>
  <si>
    <t xml:space="preserve"> 450	Heads	Chicken, Basilan 4-5 months ready to lay 60 heads rooster &amp; 390 heads Hens 		 		 220	Heads	Ducks, itik pinas, 3-4 weeks old ducklings 30 heads male &amp; 220 heads female 		 		Requirements: 		1. Mayor’s/Business Permit 		2. PhilGEPS Registration Num</t>
  </si>
  <si>
    <t xml:space="preserve"> SELF - SKILLS ENHANCEMENT AND LEADERSHIP FORMATION - LIVELIHOOD</t>
  </si>
  <si>
    <t xml:space="preserve"> 1	Outer Casing 265/T5R16							5	pieces	16,500.00 										 										 	15- working days upon receipt of Purchase Order									 Project Name:		for the use of PHO Tech Div. Dumaguete City 							 Place of Delivery:		NOPH supply office							 ABC:P82,500.</t>
  </si>
  <si>
    <t xml:space="preserve"> Republic of the Philippines Province of Ilocos Norte MUNICIPALITY OF CURRIMAO INVITATION TO BID FOR  PURCHASE OF NARRA SEEDLINGS 1.	The Municipality of Currimao,  through the 20% Development Fund intends to apply the sum of [Four Hundred Twenty Thousand P</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</si>
  <si>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</si>
  <si>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Republic of the Philippines PROVINCE OF BUKIDNON Municipality of Sumilao INVITATION TO BID ITB NO. GS-2020-45 PROCUREMENT OF INFORMATION TECHNOLOGY (IT) EQUIPMENT August 19, 2020 1.	The Local Government Unit of  Sumilao, intends to apply the sum of One Hu</t>
  </si>
  <si>
    <t xml:space="preserve"> 1. 1 - UNIT   - 4WD MULTICAB MANUAL 5SPEED    - 200,479.00</t>
  </si>
  <si>
    <t xml:space="preserve"> PURCHASE OF VARIOUS LABORATORY SUPPLIES &amp; EQUIPMENTS</t>
  </si>
  <si>
    <t xml:space="preserve"> Diesel Fuel 							1	lot	280,000.00 									 Note;									 Terms &amp; Conditions									 1. The Supplier starts to serve within 3 days upon receipt of P.O.									 2. Price Quotation Should be made in Lot 									 3. Fuel Escalation Clause									 - if</t>
  </si>
  <si>
    <t xml:space="preserve"> Item No. Qty. units Description Brand Amount / Unit 1 90 PAX MEALS WITH ACCOMMODATION Meals with Accommodation 7 meals and 6 snacks buffet with flowing coffee (including sound system, microphone, LCD projector and extra extension wire) 30 pax per day * Ac</t>
  </si>
  <si>
    <t xml:space="preserve"> 50 pcs plastic dipper w handle 50 pcs plastic basin (small) 50 pcs pail (4 gals) 10 rolls plastic charol (white) 1000 pcs garbage bad (medium, yellow) 1000 pcs garbage bad (medium, black) 6 pairs rubber boots (size 7 &amp; 8, black) 200 rolls tissue paper 2pl</t>
  </si>
  <si>
    <t xml:space="preserve"> 1	Clutch Pressure							1	pc	28,500.00 2	Clutch Lining							1	pc	15,000.00 3	Fly wheel							1	pc	42,500.00 4	Clutch  Bearing							1	pc	4,800.00 5	Pilot Bearing							1	pc	2,200.00 										 										 Project Name:		to be used in the Maintenance of Va</t>
  </si>
  <si>
    <t xml:space="preserve"> Request for Quotation			Date:		 			Quotation No.:		 2020-08-092-Aug  Company Name 					 					 Address					 					 	Please quote your lowest price on the items listed below, subject to the General Conditions ln the last				 page stating the shortest time of</t>
  </si>
  <si>
    <t xml:space="preserve"> Please See Attachments</t>
  </si>
  <si>
    <t xml:space="preserve"> 22 CU.M. READY MIX CONCRETE 3000 PSI (INCLUDES PROVISION OF PUMPCRETE) 14 Days Strength, 3/4" Course Aggregates Size, 6" Slump</t>
  </si>
  <si>
    <t xml:space="preserve"> Republic of the Philippines                                                     Province of Zamboanga del Norte                                                        MUNICIPALITY OF MANUKAN 	                                                              I</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</si>
  <si>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</si>
  <si>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1 LOT MEDICINE SUPPLIES 10 AMPULE ANTI TETANUS 20 TABS BETADINE 120ml 10 BOX PARACETAMOL+CHLORPHENAMINE (BIOFLU) 500mg 5 BOX PARACETAMOL (BIOGESIC) 500mg 30 TABS MECLIZINE (BONAMINE) 30mg 50 TABS HYOCINE (BUSCOPAN) 10mg 10 BOX CARBOCISTEIN 500mg 50 TAB CE</t>
  </si>
  <si>
    <t xml:space="preserve"> Construction of Concrete cementery road 20% DF 2019 : 374,130.00</t>
  </si>
  <si>
    <t xml:space="preserve"> 1	Assorted Trophies Small							71	pcs	349.85 2	Assorted Trophies medium							55	pcs	450.00 3	Assorted Trophies Largest 							55	pcs	590.00 4	Plastic Chairs w/back support w/o Arms							126	pcs	499.50 Project Name:		For the use in the Governer  of the </t>
  </si>
  <si>
    <t xml:space="preserve"> Construction of 29.60 sq.m., one storey building with painted masonry wall, metal ceiling board, tile finished floor, fixed glass windows and glass door and electrical installation. Also includes improvement of the adjacent comfort rooms and extension of </t>
  </si>
  <si>
    <t xml:space="preserve"> Please quote your best price 1,601 boxes of Clopidogrel 75 mg Tablet 100's  ABC 206,529.00  Please email your quotation Please download canvass form</t>
  </si>
  <si>
    <t xml:space="preserve"> 4’ Cyclone Wire (bridge sidings); Painting Works (metal painting); metal structures accessories (heavy duty cable clamp); Metal Structure Accessories (oval bolt, nuts, washers); Metal Structures Accessories (u-bolt, nuts, washers) Structural Steel (Floor </t>
  </si>
  <si>
    <t xml:space="preserve"> Item No. Qty. units Description Brand Amount / Unit 1 70 PAX MEALS WITH ACCOMMODATION Buffet (3 courses) - 4 meals and 4 snacks with flowing coffee Day 1 AM Snacks: Carbonara with Sliced Bread and Drinks Lunch: Garlic Chicken, Fish Fillet, Chop Suey with </t>
  </si>
  <si>
    <t xml:space="preserve"> Fabrication of Tissue Culture Rack (Straight Contract) (Please see attach -- Invitation Letter and Request for Quotation)</t>
  </si>
  <si>
    <t xml:space="preserve"> Republic of the Philippines Province of Leyte Municipality of Kananga BARANGAY LONOY BIDS AND AWARDS COMMITTEE Invitation to Bid for CONSTRUCTION OF FLOOD CONTROL @ ZONE III BARANGAY LONOY, KANANGA, LEYTE 1.	The Barangay Lonoy of Kananga through the Gener</t>
  </si>
  <si>
    <t xml:space="preserve"> Rahabilitation of Barangay Hall</t>
  </si>
  <si>
    <t xml:space="preserve"> Republic of the Philippines					 Province of Leyte					 Municipality of HILONGOS					 REQUEST FOR QUOTATION					 					 				Date	 					 					 	Please quote your lowest price on the item/s listed below, for the Procurement  of Food Stuff for Supplemental			</t>
  </si>
  <si>
    <t xml:space="preserve"> 8	Unit	Shared Service Facility (SSF) panaflex signages, dimension 6ft (w) x 3ft (L)		 				 8	Set	Fabrication of internal Support Frame - 1x1x1/8m steel bars, External support -3/4x3/4x1/8 aluminum bars, 2" GI Pipe for stand and installation		 				 	 Terms</t>
  </si>
  <si>
    <t xml:space="preserve"> Republic of the Philippines DEPARTMENT OF EDUCATION Region VIII SCHOOLS DIVISION OF CATBALOGAN CITY Purok 4, Brgy. Payao,  Catbalogan City, Samar INVITATION TO BID FOR PROCUREMENT OF MULTICOPY PAPERS AND PRINTER INKS FOR UTILIZATION PLAN FOR THE IMPLEMENT</t>
  </si>
  <si>
    <t xml:space="preserve"> SUPPLY AND DELIVERY OF I.T SUPPLIES TO BE USED AT CIVIL AVIATION AUTHORITY OF THE PHILIPPINES, BOHOL-PANGLAO INTERNATIONAL AIRPORT. Description and specification: - 5 CARTRIDGE BROTHER INK 539 XL BLACK - 15 PCS CANON INK 790 BLACK - 8 PCS CANON INK 790 YE</t>
  </si>
  <si>
    <t xml:space="preserve"> Republic of the Philippines Province of Nueva Vizcaya BIDS AND AWARDS COMMITTTEE (GOODS) BAC OFFICE, Provincial Capitol, Bayombong, Nueva Vizcaya 	 		 REQUEST FOR QUOTATION (RFQ) For the Procurement of 1 unit Photocopier For the Provincial Cooperative &amp; E</t>
  </si>
  <si>
    <t xml:space="preserve"> details at the MPDC</t>
  </si>
  <si>
    <t xml:space="preserve"> Item No. Qty. units Description Brand Amount / Unit 1 6 VIAL/S ADENOSINE 3MG/ML, 2ML 2 1 BOX/ES BACLOFEN 10MG, 50'S, TABLET 3 10 BOT/S DESFLURANE, 240ML 4 60 BOT/S DOBUTAMINE (AS HYDROCHLORIDE) 2MG/ML 250ML, D5W (PRE-MIXED IV) 5 150 AMPULE/S DOBUTAMINE 50</t>
  </si>
  <si>
    <t xml:space="preserve"> PROGRAM OF WORKS			 			 APPROVED BUDGET FOR THE CONTRACT (ABC)			 			 PROJECT:  	IMPROVEMENT OF GERMPLASM COLDROOM AT PHILRICE MIDSAYAP		 LOCATION:	PHILRICE MIDSAYAP, BUAL NORTE, MIDSAYAP, NORTH COTABATO		 			 			 A. SCOPE OF WORK			 ITEM	DESCRIPTION	PERC</t>
  </si>
  <si>
    <t xml:space="preserve"> CONSTRUCTION OF WATER SUPPLY</t>
  </si>
  <si>
    <t xml:space="preserve"> Please see attached RFQ for more details. For queries, you may contact Ms. Liezel through liezl.eustaquio@deped.gov.ph Quotation may also be sent to the above mentioned email address.</t>
  </si>
  <si>
    <t xml:space="preserve"> details at the Engineering or MPDC Office</t>
  </si>
  <si>
    <t xml:space="preserve"> SELF - SKILLS ENHANCEMENT AND LEADERSHIP FORMATION - PUBLIC INFORMATION</t>
  </si>
  <si>
    <t xml:space="preserve"> Construction / installation of 8 units – single arm steel lamp post. Each LED lighting fixtures is 80 watts with 24 leds and 8,600 lumens brightness. This will be installed along the National Highway, Barangay Poblacion, Sinacaban.</t>
  </si>
  <si>
    <t xml:space="preserve"> (Please see attach -- Invitation Letter and Request for Quotation)</t>
  </si>
  <si>
    <t xml:space="preserve"> 25 PAIRS RUNNING SHOES, LADIES, GRAY-WHITE, MODEL 2020, SOFT CUSHION                SIZES:  US 6     -  4 PAIRS                            US 7     -  7 PAIRS                            US 7.5  -  2 PAIRS                            US 8     -  5 PAIRS    </t>
  </si>
  <si>
    <t xml:space="preserve"> 2 units Laptop Intel Core i7 8GB RAM 128GB SSD 1TB HDD 2GB GPU, 14" Screen with Bag Windows Operating System Color : Red</t>
  </si>
  <si>
    <t xml:space="preserve"> Small Value Procurement - Procurement of Genuine HP Toners</t>
  </si>
  <si>
    <t xml:space="preserve"> SUPPLY AND DELIVERY OF ASSORTED CONSTRUCTION MATERIALS FOR THE CONSTRUCTION OF BARANGAY MULTI PURPOSE HALL PHASE III</t>
  </si>
  <si>
    <t xml:space="preserve"> 35	Head 	Goat, Doe, Upgraded, 5-6 months, not less than 15 kgs, dewormed,  		Caprine arthritis encephalitis negative with test result 		 		 1	Head 	Goat, Buck, Crossbred (Angolo Nubian x Boer) Buck, 5-6 months, not less 		than 20kgs, dewormed, Caprine art</t>
  </si>
  <si>
    <t xml:space="preserve"> To procure goods for the 10th Cycle implementation of Supplementary Feeding Program in the Municipality of Tubao, La Union</t>
  </si>
  <si>
    <t xml:space="preserve"> Concreting of the following Municipal Road Sections of Barangay Poblacion, namely: a.) Purok Santal (leading to St. Joseph School) Length = 47 ln.m., Width = 5 m., Thickness = 0.15 m b.) Purok Santal (Along Ramillete Street) 'Length = 45 ln.m., Width = 3 </t>
  </si>
  <si>
    <t xml:space="preserve"> Please quote your best price 250 boxes of Celecoxib 200 mg Capsule 100's ABC 99,000.00 Please email your quotation Please download canvass form</t>
  </si>
  <si>
    <t xml:space="preserve"> 200 stub Citation Ticket</t>
  </si>
  <si>
    <t xml:space="preserve"> Republic of the Philippines DEPARTMENT OF PUBLIC WORKS AND HIGHWAYS LAGUNA II DISTRICT ENGINEERING OFFICE REGIONAL OFFICE IV-A Brgy. Bambang, Los Baños, Laguna Invitation to Bid No. 2020 - 14 The Department of Public Works and Highways- Laguna II District</t>
  </si>
  <si>
    <t xml:space="preserve"> Description Catering Services for the Conduct of RTR Farmers Congress and Launching of Dedicated and Committed Administration (DCA) Farm Approved Budget for the Contract: P63,000.00 Area of Delivery: DCA Farm Source of Fund:General Fund Please quote your </t>
  </si>
  <si>
    <t xml:space="preserve"> 1 unit Laptop-core i7 2 unit Laptop -core i5 1 unit Xerox Machine 1 unit Printer 1 System Unit Purpose: To be used for Rice Banner Operation. Please see attached file.</t>
  </si>
  <si>
    <t xml:space="preserve"> Portland Cement 10mmØ x 6m RSB # 16 G.I. Tie Wire 4mm x 1m x 4.88m (tri-rib) Long Span Roofing (Color Red) 4mm x 1m x 3.049m (tri-rib) Long Span Roofing (Color Red) 4mm x 2.44m G.I. Flashing (Color White) 2 1/2" length Metal Tex Screw 3/4" x 1/8" Blind Ri</t>
  </si>
  <si>
    <t xml:space="preserve"> Billboard; Unsuitable Excavation; PCCP;  Construction Safety and Health; Equipment Requirement: Dump Truck; 9 w.d.</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</si>
  <si>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t>
  </si>
  <si>
    <t xml:space="preserve"> construction of 81.15m river/flood control</t>
  </si>
  <si>
    <t xml:space="preserve"> Item No. Qty. units Description Brand Amount / Unit 1 50 BOX/ES ASCORBIC ACID TABLET 500 MG 2 15 BOT/S DEXTRAN 40 500ML 3 50 BOT/S DOPAMINE 1.6MG/ML, 250ML D5W 4 50 BOX/ES NITROGLYCERIN PATCH 5MG, 30'S 5 25 BOX/ES SODIUM BICARBONATE TABLET, 325MG</t>
  </si>
  <si>
    <t xml:space="preserve"> The Municipality of San Mariano, Isabela invite bidders to participate in this procurement, Project Title: SUPPLY AND DELIVERY OF BRAND NEW D65 BULLDOZER. Approved Budget: Php. 7,800,000.00 Bidding Fee: Php10,000.00 SPECIFICATION: One (1) Unit Brand New D</t>
  </si>
  <si>
    <t xml:space="preserve"> 1.    Information and Communication Technology Preventive Maintenance Services and Repair for Field Office 12      -Unit Specifications: PREVENTIVE MAINTENANCE SERVICES PLAN SCOPE A. Check and Clean Service Semi-annually Desktop and Laptop         -1,064 </t>
  </si>
  <si>
    <t xml:space="preserve"> FOR CRFPSP PROJECTS AT MAGPET &amp; MLANG, COTABATO. FOR MORE DETAILS, PLEASE SEE ATTACHED RFQ.</t>
  </si>
  <si>
    <t xml:space="preserve"> Reference No.	CEZRFQ 2020-08-18 RIS No.	20R-08-026 Date 	August 18,2020 REQUEST FOR QUOTATION (AMP – Sec 53.9 Small Value Procurement) The PEZA – CEZ, through its Bids and Awards Committee (BAC) intends to apply the sum of Pesos: One Hundred Twenty Eight </t>
  </si>
  <si>
    <t xml:space="preserve"> To procure goods for the 10th Cycle implementation of Supplementary Feeding Program in the Municipality of Sudipen, La Union</t>
  </si>
  <si>
    <t xml:space="preserve"> Invitation to Bid for the Procurement of One (1) Set Lambaklad for Tampugo Baklad Fishermen’s Association, Tagudin, Ilocos Sur 1.	The Local Government Unit of Tagudin, Ilocos Sur, thru its Bids and Awards Committee intends to apply the sum of Two Million </t>
  </si>
  <si>
    <t xml:space="preserve"> concreting of 765mx5mx0.20m barangay road</t>
  </si>
  <si>
    <t xml:space="preserve"> Item No. Qty. units Description Brand Amount / Unit 1 4,000 PROPAGULES BAMBOO 2 1 ROLL/S FISHING NETS 3 3 PIECE/S SCOOP NETS</t>
  </si>
  <si>
    <t xml:space="preserve"> 1	Un	Radio, Base Type, VHF 136-174 MHz, with 30 meters antenna cable,  		Antenna, power supply regulator and 11 plates 12V MF battery 		 10	Un	Radio, Handheld, VHF 136-174 MHz, 5-8 watts, manual / analogue /  		Programmable 		 4	Un	Flashlight, LED XHP70.2</t>
  </si>
  <si>
    <t xml:space="preserve"> Supply and delivery of construction materials for the Road Development Program.</t>
  </si>
  <si>
    <t xml:space="preserve"> Please quote your best price 100 boxes of Cloxacillin (as Sodium) 500 mg Capsule 100's ABC 30,000.00 Please email your quotation Please download canvass form</t>
  </si>
  <si>
    <t xml:space="preserve"> KOLAMBUGAN WATER DISTRICT					  ( GOVERNMENT OWNED AND CONTROLLED CORPORATION )					 Cabili Street, Poblacion, Kolambugan Lanao del Norte 920               					 TIN: 004-365-844    CCC # 539    Tel. No. (063) 227-5201					 					 REQUEST FOR QUOTATION				</t>
  </si>
  <si>
    <t xml:space="preserve"> Item No. Description Unit Quantity Unit Price (Pesos) Amount (Pesos) A Mobilization lot 1.00 B Project Billboard / Signage lot 1.00 C Fence Improvement lot 1.00 D Construction of Fence (2nd phase at the back) lot 1.00 E Construction of Fence (2nd phase be</t>
  </si>
  <si>
    <t xml:space="preserve"> INVITATION TO APPLY FOR ELIGIBILITY AND TO BID THE BIDS &amp; AWARD COMMITTEE OF THE MUNICIPALITY OF CAIBIRAN, BILIRAN IS INVITING ALL INTERESTED BIDDERS ON ITS FORTHCOMING PUBLIC BIDDING FOR: Project Title	: Acquisition of Equipment for the Techno-Gabay Prog</t>
  </si>
  <si>
    <t xml:space="preserve"> Republic of the Philippines					 Province of Leyte					 Municipality of HILONGOS					 REQUEST FOR QUOTATION					 					 				Date	 					 					 	Please quote your lowest price on the item/s listed below, for the Procurement  of Agricultural Supplies				 unde</t>
  </si>
  <si>
    <t xml:space="preserve"> Republic of the Philippines PROVINCE OF ZAMBOANGA DEL NORTE Municipality of Sibutad BIDS AND AWARDS COMMITTEE AUGUST 20, 2020 INVITATION TO BID The Local Government Unit of Sibutad, Zamboanga del Norte under P.R. No. GFP100-2020-08-082 dated AUGUST 10, 20</t>
  </si>
  <si>
    <t xml:space="preserve"> Supply and Delivery of Improvement of SB office and Sesion Hall at Barangay 3 Poblacion</t>
  </si>
  <si>
    <t xml:space="preserve"> REQUEST FOR QUOTATION The Department of Education – Francisco P. Felix Memorial National High School,  through its Bids and Awards Committee (BAC) will undertake a Negotiated procurement under Small Value Procurement for the Printing and Delivery of MAKAB</t>
  </si>
  <si>
    <t xml:space="preserve"> 1,400	Kg	Fish meal 		 700	Kg	Copra meal 		 600	Kg	Cassava roots, tubers (staggered) 		 		 		 		 		Requirements: 		1. Mayor’s/Business Permit 		2. PhilGEPS Registration Number</t>
  </si>
  <si>
    <t xml:space="preserve"> 1. Catering services ( 2 BATCHES WITH 55 PAX PER DAY, 5 FACILITATOR FOR 2 DAYS)      -120 pax Specification: Meals: PLATED LUNCH WITH 3 VIANDS, SOUP, DESSERTS AND DRINKS Snacks: AM&amp;PM SNACKS WITH FREE FLOWING COFFEE Function Hall *One (1) wide executive f</t>
  </si>
  <si>
    <t xml:space="preserve"> Date: August 19, 2020 REQUEST FOR QUOTATION Supply/Delivery of Office Supplies for the use at Regional Office V, Naga City  PR No.: 20-07-108 Quotation/Bid No. F501-RO-063 -20 The MANAGER LUCKY EDUCATIONAL SUPPLY Barlin St., Naga City Sir/Madam; Please qu</t>
  </si>
  <si>
    <t xml:space="preserve"> Corazon Locsin Montelibano Memorial Regional Hospital, through its Bids and Awards Committee, intends to procure CSR SUPPLIES (PR#20-08-70610), which will be undertaken in accordance with Section 53.9 of the Revised Implementing Rules and Regulations of R</t>
  </si>
  <si>
    <t xml:space="preserve"> (Please see attach -- Request for Quotation)</t>
  </si>
  <si>
    <t xml:space="preserve"> Airconditioner, 2hp, inverter, 1unit Refrigerator 8.5 cu.m. double door, 1unit</t>
  </si>
  <si>
    <t xml:space="preserve"> INVITATION TO BID SUPPLY AND DELIVERY OF IT EQUIPMENT AND ACCESSORIES FOR VARIOUS OFFICES – 2ND BIDDING 1.	The Local Government Unit of Cabadbaran City through the GENERAL FUND intends to apply the sum of TWO HUNDRED TWENTY-FOUR THOUSAND PESOS ONLY (P 224</t>
  </si>
  <si>
    <t xml:space="preserve"> 1,140 PAX SAFETY AND PROTECTION KIT (FACE MASK, FACE SHIELD &amp; ALCOHOL)</t>
  </si>
  <si>
    <t xml:space="preserve"> ANTI-VIRUS WITH ENDPOINT PROTECTION  Technical Specifications:  - Enterprise Edition  - Manageability and reporting  - ideal for complex network infrastructures  - Support for virtualized environments and cloud  - Advanced Configuration  - Protection agai</t>
  </si>
  <si>
    <t xml:space="preserve"> Republic of the Philippines  Province of Aklan MUNICIPALITY OF LIBACAO BARANGAY PAMPANGO                                                            The Barangay Council of  Pampango through its Bids and Awards Committee (BAC), invites contractors to submi</t>
  </si>
  <si>
    <t xml:space="preserve"> CONSTRUCTION &amp; DEVELOPMENT OF SANITARY LANDFILL (PHASE I) (EQUIPMENT RENTAL) AT CONCEPCION, MACO, DAVAO DE ORO.</t>
  </si>
  <si>
    <t xml:space="preserve"> DESKTOP COMPUTER AND PRINTER</t>
  </si>
  <si>
    <t xml:space="preserve"> AREAS:  1. MLANG 2. KABACAN 3. BANISILAN PLS. REFER TO ATTACHED RFQ.</t>
  </si>
  <si>
    <t xml:space="preserve"> Meals and Snacks in the Formulation of Peace and Order and Public Safety Plan for CY 2021.</t>
  </si>
  <si>
    <t xml:space="preserve"> Republic of the Philippines Province of Southern Leyte Municipality of Tomas Oppus Invitation to Bid  Procurement of Information and Communication Technology Equipment  (8 Units Inkjets 3 in 1 Printer) 1.	The Local Government of Tomas Oppus through Specia</t>
  </si>
  <si>
    <t xml:space="preserve"> Republic of the Philippines Province of Nueva Vizcaya BIDS AND AWARDS COMMITTTEE (GOODS) BAC OFFICE, Provincial Capitol, Bayombong, Nueva Vizcaya 	 		 REQUEST FOR QUOTATION (RFQ) For the Procurement of Office Supplies (Stamp Pad Ink, Cartolina, etc.) For </t>
  </si>
  <si>
    <t xml:space="preserve"> FOR MORE DETAILS SEE ATTACHED RFQ.</t>
  </si>
  <si>
    <t xml:space="preserve"> Please quote your best price 100 boxes of Ciprofloxacin 500 mg Tablet 100's ABC 13,200.00 Please email your quotation Please download canvass form</t>
  </si>
  <si>
    <t xml:space="preserve"> Provide food, venue and accommodation for the conduct of Various I-REAP activities for the 3rd and 4th quarter of 2020: Provide food, venue and accommodation for the conduct of Various I-REAP activities for the 3rd and 4th quarter of 2020: Venue, Food and</t>
  </si>
  <si>
    <t xml:space="preserve"> details at the engineering office or mpdc 2nd posting</t>
  </si>
  <si>
    <t xml:space="preserve"> Item No. Qty. units Description Brand Amount / Unit 1 200 PIECE/S MONOBLOCK PLASTIC CHAIR *Color: White with back rest</t>
  </si>
  <si>
    <t xml:space="preserve"> Invitation to Bid Republic of the Philippines City of Olongapo -0- BIDS AND AWARDS COMMITTEE BAC Office 3rd Floor  Olongapo City Hall  Web: www.olongapocity.gov.ph INVITATION TO BID FOR  OC-78(CMO-06) 20 GD PROCUREMENT FOR THE SUPPLY AND DELIVERY OF SEVEN</t>
  </si>
  <si>
    <t xml:space="preserve"> 1 unit Laptop i5-7300HQ/GTX-1050 Screen Size: 15.6 inches Screen Resolution : 1920 x 1080 Max Screen Resolution : 1920 x 1080 Memory Speed: 2400MHz Graphics Coprocessor : NVIDIA GeForce GTX 1050 Chipse Brand:Nvidia Card Description: Dedicated Graphics Car</t>
  </si>
  <si>
    <t xml:space="preserve"> Republic of the Philippines Province of Pangasinan MUNICIPALITY OF LINGAYEN Invitation to Bid    The Local Government Unit of Lingayen, through the 20% Development Fund    intends to apply the amount  of  Two Million Seven Hundred thirty Five thousand   P</t>
  </si>
  <si>
    <t xml:space="preserve"> Republic of the Philippines										 BIDS AND AWARDS COMMITTEE										 Baguio City										 (074) 300-6537/ (074)442-8795										 BID FORM										 CP No. 2020-59 Bidding									August 19, 2020	 Circular Proposal No.									Date Prepared	 							</t>
  </si>
  <si>
    <t xml:space="preserve"> Please quote your best price 100 pcs of Amies 15 cm ABC 4,000.00 single with plastic shaft and rayon bud Please email your quotation Please download canvass form</t>
  </si>
  <si>
    <t xml:space="preserve"> Sir/Madam: May we invite your company to quote for the lowest price/s VAT included on the item/s listed hereunder. PROCUREMENT OF TRAINING VENUE, MEALS AND ACCOMMODATION FOR THE CONDUCT OF TOURISM AWARENESS SEMINAR, PRODUCT DEVELOPMENT AND TOURISM CIRCUIT</t>
  </si>
  <si>
    <t xml:space="preserve"> QTY. 	UNIT	ITEM &amp; DESCRIPTION					TOTAL	 	 		LABORATORY SUPPLIES									  5 	Packaging Set	CBC BLOOD CELL COUNTER HEMATOLOGY ANALYZER REAGENT					 20,000.00 			 		Full set includes:									 			DILUENT 2 Liters								 			Rinse 1 Liter								 			Lyse 20</t>
  </si>
  <si>
    <t xml:space="preserve"> Republic of the Philippines BIDS AND AWARDS COMMITTEE Province of Iloilo Invitation to Bid PURCHASE OF FREEZER Bid No. SDH-20-0988-B 1. The Iloilo Provincial Government, through the SUPPLEMENTAL BUDGET NO. 2, 2017 intends to apply the sum of THIRTY-TWO TH</t>
  </si>
  <si>
    <t xml:space="preserve"> I. MANUAL CONCRETE MIXER MACHINE</t>
  </si>
  <si>
    <t xml:space="preserve"> Item No. Qty. units Description Brand Amount / Unit 1 1 PIECE/S AIR CLEANER ELEMENT 2 1 SET/S CONNECTING ROD BEARING Genuine 3 1 SET/S CRANKSHATF BEARING/MAIN BEARING Genuine 4 8 LITER/S ENGINE OIL 20W 40 Diesel 5 1 SET/S LINER KIT Genuine 6 1 PIECE/S OIL</t>
  </si>
  <si>
    <t xml:space="preserve"> Construction of Concrete Fence</t>
  </si>
  <si>
    <t xml:space="preserve"> Corazon Locsin Montelibano Memorial Regional Hospital, through its Bids and Awards Committee, intends to procure CSR SUPPLIES (PR#20-07-70703), which will be undertaken in accordance with Section 53.9 of the Revised Implementing Rules and Regulations of R</t>
  </si>
  <si>
    <t xml:space="preserve"> Please quote your best price 6 pcs of Portable External Hard Drive 2TB ABC 30,000.00 Please email your quotation Please download canvass form</t>
  </si>
  <si>
    <t xml:space="preserve"> 1-unit Photocopier Machine Specs: Multi-Function Colour Printer            Memory: 256 MB            Display: 3.7" LCD Touchscreen            Print Resolution: Up to 1200x4800 dpi            Automatic 2-sided Print: Yes (Up to A3 LGR)            Web Conne</t>
  </si>
  <si>
    <t xml:space="preserve"> 416A Magenta Laser Jet Toner Cartridge 3 pcs 416A Yellow Laser Jet Toner Cartridge 3 pcs 416A Cyan Laser Jet Toner Cartridge 3 pcs 416A Black Laser Jet Toner Cartridge 3 pcs USB Drive 64 GB 8 pcs 4TB Backup Plus USB 3.0 Portable External Hard Drive 2 pcs </t>
  </si>
  <si>
    <t xml:space="preserve"> Republic of the Philippines Cordillera Administrative Region Provincial Local Government Unit of Ifugao BIDS AND AWARDS COMMITTEE 2nd Floor COA Bldg., Capitol Compound Lagawe, Ifugao Email Ad.: bacgoodsifugao13@gmail.com INVITATION TO BID BRAND NEW LIGHT </t>
  </si>
  <si>
    <t xml:space="preserve"> Number: 	Quantity: 	 1	1	unit		DESKTOP COMPUTER		60,000.00	60,000.00 							Specifications:			 							Core i5 or higher Processor			 							8 GB RAM (expandable)			 							with compatible graphics processing unit (GPU)			 							OS: Windows 10 64bit			 		</t>
  </si>
  <si>
    <t xml:space="preserve"> Republic of the Philippines										 BIDS AND AWARDS COMMITTEE										 Baguio City										 (074) 300-6537/ (074)442-8795										 BID FORM										 CP No. 2020-60 Bidding									August 19, 2020	 Circular Proposal No.									Date Prepared	 							</t>
  </si>
  <si>
    <t xml:space="preserve"> Republic of the Philippines BIDS AND AWARDS COMMITTEE Province of Iloilo Invitation to Bid PURCHASE OF POWER GENERATING SET WITH ATS Bid No. NTH-20-0810-B 1. The Iloilo Provincial Government, through the SUPPLEMENTAL BUDGET NO.3, 2018 intends to apply the</t>
  </si>
  <si>
    <t xml:space="preserve"> Item No. Qty. units Description Brand Amount / Unit 1 5 UNIT/S ADJUSTABLE ALUMINUM STOOL CHAIR - Stainless Steel with Foam - 80cm-106cm SEAT Height Adjustment - 50 cm SEAT Diameter 2 3 UNIT/S AIR DISINFECTION PURIFIER( AIR DISINFECTION MACHINE) Technical </t>
  </si>
  <si>
    <t xml:space="preserve"> INVITATION TO BID FOR THE PROCUREMENT OF HEALTH CARE SUPPLIES FOR KINDERGARTEN TO GRADE VI LEARNERS (SDHCP 2020) 	The DEPARTMENT OF EDUCATION (DepED), Regional Office X, through its Bids and Awards Committee (BAC) invites prospective bidders to apply for </t>
  </si>
  <si>
    <t xml:space="preserve"> Corazon Locsin Montelibano Memorial Regional Hospital, through its Bids and Awards Committee, intends to procure ISOLATION DELIVERY ROOM AND O.B. COMPLEX DOFFING AREA, which will be undertaken in accordance with Section 53.9 of the Revised Implementing Ru</t>
  </si>
  <si>
    <t xml:space="preserve"> RFQ for PR No. 2020-08-0018 - Procurement of Tires for Service Vehicle, Nissan Navarra, Conduction Sticker No. F0 G395  DPWH No. H1-6809</t>
  </si>
  <si>
    <t xml:space="preserve"> Republic of the Philippines BIDS AND AWARDS COMMITTEE Province of Iloilo Invitation to Bid PURCHASE OF MEDICAL EQUIPMENT Bid No. SDH-20-0960-B 1. The Iloilo Provincial Government, through the SUPPLEMENTAL BUDGET NO. 2, 2017 intends to apply the sum of THI</t>
  </si>
  <si>
    <t xml:space="preserve"> 25	Head	Piglet, Fattener, Castrated Breeding, Not less than 15kgs. 		 		 		 		 		Requirements: 		1. Mayor’s/Business Permit 		2. PhilGEPS Registration Number</t>
  </si>
  <si>
    <t xml:space="preserve"> Top Loading Balance – with the ff. Specification: • Max Capacity : 620g • Min capacity: 0.5g • Readability: 0.01g • Wide viewing angle touchscreen with user-controlled brightness • Metal base, ABS top housing, stainless steel pan, large weighing pan, illu</t>
  </si>
  <si>
    <t xml:space="preserve"> Corazon Locsin Montelibano Memorial Regional Hospital, through its Bids and Awards Committee, intends to procure MEDICAL SUPPLIES (PR#20-08-70741), which will be undertaken in accordance with Section 53.9 of the Revised Implementing Rules and Regulations </t>
  </si>
  <si>
    <t xml:space="preserve"> SEE ATTACHED : REQUEST FOR QUOTATION (RFQ)</t>
  </si>
  <si>
    <t xml:space="preserve"> RFQ 2020-177 PROJECT		:	OVERSEAS FILIPINO BANK IMPLEMENTOR		: 	LBP RESOURCES AND DEVELOPMENT CORPORATION OWNER			:	LAND BANK OF THE PHILIPPINES	 REQUEST FOR QUOTATION FOR	:	SUPPLY AND DELIVERY OF SYSTEMS FURNITURE DATE / TIME OF SUBMISSION		:	ON OR BEFORE</t>
  </si>
  <si>
    <t xml:space="preserve"> Republic of the Philippines Cordillera Administrative Region Provincial Local Government Unit of Ifugao BIDS AND AWARDS COMMITTEE 2nd Floor COA Bldg., Capitol Compound Lagawe, Ifugao Email Ad.: bacgoodsifugao13@gmail.com INVITATION TO BID THREE (3) UNITS </t>
  </si>
  <si>
    <t xml:space="preserve"> Republic of the Philippines										 BIDS AND AWARDS COMMITTEE										 Baguio City										 (074) 300-6537/ (074)442-8795										 BID FORM										 CP No. 2020-61 Bidding									August 19, 2020	 Circular Proposal No.									Date Prepared	 							</t>
  </si>
  <si>
    <t xml:space="preserve"> GLOBE load 300  50 pcs SMART load 300  35 pcs GLOBE load 100  50 pcs SMART load 100  35 pcs SUN load 100  20 pcs Pls. submit your quotation thru email:  mi_lynsn@yahoo.com x-x-x-x-x-x-x-x-x-x-x-x-x-x-x-x-x Total ABC  (in PhP)  107,800.00</t>
  </si>
  <si>
    <t xml:space="preserve"> Request for Quotation (RFQ)</t>
  </si>
  <si>
    <t xml:space="preserve"> Republic of the Philippines Province of Quirino MUNICIPALITY OF CABARROGUIS OFFICE OF THE BIDS and AWARS COMMITTEE INVITATION TO BID FOR THE  Purchase and Delivery of Plants and Trees (Support to Forest Rehabilitation Project) for the Local Government Uni</t>
  </si>
  <si>
    <t xml:space="preserve"> 350	box	Surgical Facemask, 50s/box, high quality					 300	box	Surgical Gloves, 100s/box, Non-sterile					 1500	piece	Face Shield, High Quality					 1500	bottle	Alcohol, 70% with moisturizer, 500ml					 1500	pax	Ziplock/Resealable Plastic Bag (Large: 30cm </t>
  </si>
  <si>
    <t xml:space="preserve"> RFQ-GS-20200721-04 Interested Suppliers are invited to submit Price Quotation for the above listed item. The official LANDBANK Request for Quotation Form may be obtained from MS. KIM STO. TOMAS (tel no. 8 5512200 LOCALS 2452 &amp; 2453; email address: kimjoya</t>
  </si>
  <si>
    <t xml:space="preserve"> INVITATION TO APPLY FOR ELIGIBILITY AND TO BID THE BIDS &amp; AWARD COMMITTEE OF THE MUNICIPALITY OF CAIBIRAN, BILIRAN IS INVITING ALL INTERESTED BIDDERS ON ITS FORTHCOMING PUBLIC BIDDING FOR: Project Title	: Acquisition of Various Extension Support Services </t>
  </si>
  <si>
    <t xml:space="preserve"> Republic of the Philippines Cordillera Administrative Region Provincial Local Government Unit of Ifugao BIDS AND AWARDS COMMITTEE 2nd Floor COA Bldg., Capitol Compound Lagawe, Ifugao Email Ad.: bacgoodsifugao13@gmail.com INVITATION TO BID BRAND NEW MERCY </t>
  </si>
  <si>
    <t xml:space="preserve"> SELF - SKILLS ENHANCEMENT AND LEADERSHIP FORMATION - ARTS, CULTURE AND TOURISM</t>
  </si>
  <si>
    <t xml:space="preserve"> Republic of the Philippines Province of Ilocos Norte MUNICIPALITY OF DINGRAS INVITATION TO BID FOR THE PROCUREMENT OF VARIOUS OFFICE AND JANITORIAL SUPPLIES 1.	The Local Government Unit of Dingras, through the Gen. Fund intends to apply the sum of Eight H</t>
  </si>
  <si>
    <t xml:space="preserve"> Please quote your best price 1 unit of Shredder Machine ABC 10,000.00 Please email your quotation Please download canvass form</t>
  </si>
  <si>
    <t xml:space="preserve"> Invitation to Bid Barangay 903, Zone 100, District VI through its Bids and Awards Committee (BAC), invites all suppliers duly accredited and approved by the City Council of Manila to bid for the hereunder projects 1 lot Clean and Beautification Supplies a</t>
  </si>
  <si>
    <t xml:space="preserve"> Corazon Locsin Montelibano Memorial Regional Hospital, through its Bids and Awards Committee, intends to procure ABG SPECIMEN COLLECTION DEVICE , which will be undertaken in accordance with Section 53.9 of the Revised Implementing Rules and Regulations of</t>
  </si>
  <si>
    <t xml:space="preserve"> Supply and Delivery of  Motorcyle side car		4	lot Body Structures			 -Body frame  gi pipe 3/4  schedule 40			 -body cover galvanized GI sheet 2.0			 -Full body and under coat painting			 -Flooring GI sheet			 -Full cover door			 Side Wheel Structure			 - </t>
  </si>
  <si>
    <t xml:space="preserve"> Republic of the Philippines Cordillera Administrative Region Provincial Local Government Unit of Ifugao BIDS AND AWARDS COMMITTEE 2nd Floor COA Bldg., Capitol Compound Lagawe, Ifugao Email Ad.: bacgoodsifugao13@gmail.com INVITATION TO BID BRAND NEW DRILLI</t>
  </si>
  <si>
    <t xml:space="preserve"> Republic of the Philippines Province of Leyte Municipality of Kananga BARANGAY LONOY BIDS AND AWARDS COMMITTEE Invitation to Bid for CONSTRUCTION OF WATER SYSTEM @ ZONE IV BARANGAY LONOY, KANANGA, LEYTE 1.	The Barangay Lonoy of Kananga through the General</t>
  </si>
  <si>
    <t xml:space="preserve"> Invitation to Bid Republic of the Philippines City of Olongapo -0- BIDS AND AWARDS COMMITTEE BAC Office 3rd Floor  Olongapo City Hall  Web: www.olongapocity.gov.ph INVITATION TO BID FOR  OC-80(CMO-07) 20 GD RE-BID PROCUREMENT AND SUPPLY OF IT SUPPLIES FOR</t>
  </si>
  <si>
    <t xml:space="preserve"> Republic of the Philippines BIDS AND AWARDS COMMITTEE Province of Iloilo Invitation to Bid PURCHASE OF MEDICAL EQUIPMENT Bid No. SDH-20-0959-B 1. The Iloilo Provincial Government, through the SUPPLEMENTAL BUDGET NO. 2, 2017 intends to apply the sum of THI</t>
  </si>
  <si>
    <t xml:space="preserve"> 119 pcs Frames 30 packs Vellum Paper 1 bot EPSON Ink (Black) 1 bot EPSON ink (cyan) 1 bot EPSON ink (Magenta)</t>
  </si>
  <si>
    <t xml:space="preserve"> 1500	pack	T-Shirts, Round Neck, colored 100% cotton, with print</t>
  </si>
  <si>
    <t xml:space="preserve"> Medicines &amp; Supplies</t>
  </si>
  <si>
    <t xml:space="preserve"> To procure for the 10th Cycle implementation of Supplementary Feeding Program in the Municipality of Caba, La Union</t>
  </si>
  <si>
    <t xml:space="preserve"> PLEASE SEE ATTACHED RFQ FOR DETAILS.</t>
  </si>
  <si>
    <t xml:space="preserve"> Number: 	Quantity: 	 1.	1	set		Desktop Computer with Printer and UPS		70,000.00	70,000.00 							SPECIFICATIONS:			 							8 GB RAM (expandable)			 							with compatible graphics processing unit (GPU)			 							OS: Windows 10 64bit			 							with Integra</t>
  </si>
  <si>
    <t xml:space="preserve"> Republic of the Philippines Province of Nueva Vizcaya BIDS AND AWARDS COMMITTTEE (GOODS) BAC OFFICE, Provincial Capitol, Bayombong, Nueva Vizcaya 	 		Negotiated Procurement (2nd Failure of Bidding) REQUEST FOR QUOTATION (RFQ)  For the Procurement of Const</t>
  </si>
  <si>
    <t xml:space="preserve"> Quatation No.:  20-08-015 To all Eligible Suppliers: Please quote your lowest price inclusive of VAT on the item/s listed below, subject to the Terms and Condition of this RFQ, and submit your quotation duly signed by your representative not later than Au</t>
  </si>
  <si>
    <t xml:space="preserve"> Republic of the Philippines Cordillera Administrative Region Provincial Local Government Unit of Ifugao BIDS AND AWARDS COMMITTEE 2nd Floor COA Bldg., Capitol Compound Lagawe, Ifugao Email Ad.: bacgoodsifugao13@gmail.com INVITATION TO BID BRAND NEW GENERA</t>
  </si>
  <si>
    <t xml:space="preserve"> Please quote your best price 2 units of Extension Phone ABC 10,000.00 Please email your quotation Please download canvass form</t>
  </si>
  <si>
    <t xml:space="preserve"> Invitation to Bid Republic of the Philippines City of Olongapo -0- BIDS AND AWARDS COMMITTEE BAC Office 3rd Floor  Olongapo City Hall  Web: www.olongapocity.gov.ph INVITATION TO BID FOR  OC-79(GSO-05) 20 GD RE-BID PROCUREMENT FOR THE SUPPLY AND DELIVERY O</t>
  </si>
  <si>
    <t xml:space="preserve"> INVITATION TO BID The Barangay Bonbon Lower of Loboc, Bohol through its Bids and Awards Committee (BAC), invites interested eligible and accredited supplier/manufacturer/service providers to apply for eligibility, and if found eligible, to bid for the her</t>
  </si>
  <si>
    <t xml:space="preserve"> 5 pcs RING 12kt Gold 2 pcs PINS Gold Plated 10 pcs Medallion Gold Plated 1 job Die Service Charge  14 pcs Plaque (Wooden with clock)</t>
  </si>
  <si>
    <t xml:space="preserve"> Republic of the Philippines Province of Nueva Vizcaya BIDS AND AWARDS COMMITTTEE (GOODS) BAC OFFICE, Provincial Capitol, Bayombong, Nueva Vizcaya 	 		Negotiated Procurement (2nd Failure of Bidding) REQUEST FOR QUOTATION (RFQ)  For the Procurement of 1 Uni</t>
  </si>
  <si>
    <t xml:space="preserve"> REQUEST FOR QUOTATION 	The Caraga State University-Cabadbaran Campus, through its Bids and Awards Committee (BAC), will undertake a Shopping-Ordinary/Regular Office Supplies for the project: PROCUREMENT ON SUPPLY AND DELIVERY OF VARIOUS OFFICE SUPPLIES in</t>
  </si>
  <si>
    <t xml:space="preserve"> Item No.	Description	Unit	Quantity A.1.1(6)	Provision of Combined Field Office, Laboratory &amp; Living Quarters (Rental Basis)	mo/s	1.00 B.5	Project Billboard / Signage	unit/s	1.00 B.7.(1)	Occupational Safety &amp; Health Program	mo/s	1.00 B.8.(1)	Traffic Manage</t>
  </si>
  <si>
    <t xml:space="preserve"> Republic of the Philippines                                                                               																																																											 DEPARTMENT OF PUBLIC WORKS AND HIGHWAYS																																																		</t>
  </si>
  <si>
    <t xml:space="preserve"> Invitation to Bid for  PACKAGE 20-38:  REHABILITATION/RENOVATION OF MODERN ABATTOIR BUILDING 1.	The Bids and Awards Committee of the Local Government Unit of Santiago City, through the City Fund intends to apply the sum of Six Million Seven Hundred Eighty</t>
  </si>
  <si>
    <t xml:space="preserve"> Republic of the Philippines Province of Cagayan Municipality of Baggao INVITATION TO BID FOR THE PROCUREMENT OF CIVIL WORKS The LOCAL GOVERNMENT UNIT OF BAGGAO, CAGAYAN, through 5-06-04-020-99 (20% -2020) intends to apply the sum of Four Million Nine Hund</t>
  </si>
  <si>
    <t xml:space="preserve"> Corazon Locsin Montelibano Memorial Regional Hospital, through its Bids and Awards Committee, intends to procure LIQUIFIED PETROLEUM GAS (50KG PER TANK), which will be undertaken in accordance with Section 53.9 of the Revised Implementing Rules and Regula</t>
  </si>
  <si>
    <t xml:space="preserve"> Republic of the Philippines Province of Quirino MUNICIPALITY OF CABARROGUIS OFFICE OF THE BIDS and AWARS COMMITTEE INVITATION TO BID FOR THE  Purchase and Delivery of Construction Materials for Various Elementary Schools (29 Schools) Water System and Hand</t>
  </si>
  <si>
    <t xml:space="preserve"> 20	Bottle	Fertilizer, foliar, contains line of vitamins, amino acids and protein,  		betaines and growth factor. Bio stimulant, anti-stress, and carrier based 		on vegetable extracts 1 liter/bottle 		 40	Pack	Pots, non-woven biodegradable nursery fabric s</t>
  </si>
  <si>
    <t xml:space="preserve"> INVITATION TO BID FOR Procurement of Various Medical Supplies and Accessories IB NO: 2020-030 The Western Visayas Medical Center, through Regular Agency Fund-SAA#2020-06-1148 and Internally Generated Fund- Hospital  Income, in the amount of Twelve Million</t>
  </si>
  <si>
    <t xml:space="preserve"> RFQ-GS-20200806-01 Interested Suppliers are invited to submit Price Quotation for the above listed item. The official LANDBANK Request for Quotation Form may be obtained from MR. RUEL MARCA (tel no. 8 5512200 LOCALS 2290 &amp; 2979; email address: ruelmarca@y</t>
  </si>
  <si>
    <t xml:space="preserve"> Republic of the Philippines Province of Quirino MUNICIPALITY OF CABARROGUIS OFFICE OF THE BIDS and AWARS COMMITTEE INVITATION TO BID FOR THE  Purchase and Delivery of Common Office Supplies for Dep-Ed Cabarroguis District, Cabarroguis, Quirino 1.	The Loca</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</si>
  <si>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</si>
  <si>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As per attached Summary &amp; RFQ</t>
  </si>
  <si>
    <t xml:space="preserve"> INVITATION FOR PRICE QUOTATION Date:  20 August 2020 For The  Supply &amp; Delivery Of Airconditioning Repair Tools  At Legazpi Airport – 2nd SVP The Civil Aviation Authority of the Philippines (CAAP) intends to apply the estimated amount    of    One   Hundr</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</si>
  <si>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</si>
  <si>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Republic of the Philippines Cordillera Administrative Region Provincial Local Government Unit of Ifugao BIDS AND AWARDS COMMITTEE 2nd Floor COA Bldg., Capitol Compound Lagawe, Ifugao Email Ad.: bacgoodsifugao13@gmail.com INVITATION TO BID BRAND NEW SPORTS</t>
  </si>
  <si>
    <t xml:space="preserve"> Corazon Locsin Montelibano Memorial Regional Hospital, through its Bids and Awards Committee, intends to procure CSR SUPPLIES (PR#20-08-70758), which will be undertaken in accordance with Section 53.9 of the Revised Implementing Rules and Regulations of R</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</si>
  <si>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</si>
  <si>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1.	Filling Materials	12	Cu.m 2.	Floor Ceramic Tiles 200mmx200mm	170	Pcs. 3.	Floor Ceramic Tiles 600mmx600mm	110	Pcs. 4.	Tile Grout /2 kg	2	Bags 5.	Cement	110	Bags 6.	Sand	5	Cu.m 7.	Gravel	6	Cu.m 8.	10 mm Ø RSB	90	Pcs. 9.	12 mm Ø RSB	40	Pcs. 10.	G.I. Tie W</t>
  </si>
  <si>
    <t xml:space="preserve"> RFQ-GS-20200817-04 Interested Suppliers are invited to submit Price Quotation for the above listed item. The official LANDBANK Request for Quotation Form may be obtained from MS. LUBELLE LUMABAS (tel no. 8 4057233 TO 34; email address: landbank2290@gmail.</t>
  </si>
  <si>
    <t xml:space="preserve"> I. REMOVAL OF STRUCTURE II. EXCAVATION III. CROSS DRAINAGE A. MASONRY AND REINFORCING STEEL B. FORM WORKS C. STEEL GRATING IV. AGGREGATES SUB-BASE COARSE V. PCCP (W = 5.00m, T = 0.20m, L = 13.00m) SPL. CONSTRUCTION SAFETY &amp; HEALTH</t>
  </si>
  <si>
    <t xml:space="preserve"> Corazon Locsin Montelibano Memorial Regional Hospital, through its Bids and Awards Committee, intends to procure ARTERIAL BLOOD GAS REAGENT, which will be undertaken in accordance with Section 53.9 of the Revised Implementing Rules and Regulations of Repu</t>
  </si>
  <si>
    <t xml:space="preserve"> SUPPLY AND DELIVERY OF MEDICAL EQUIPMENT PROVINCIAL CAPITOL, SURIGAO CITY 1.	The Provincial Government of Surigao del Norte, through the General Fund – Supplemental Budget No. 1 FY 2020 and Trust Fund (HFEP), intends to apply the sum of Eighteen Million N</t>
  </si>
  <si>
    <t xml:space="preserve"> Item No.	Description	Unit	Quantity b.9	Mobilization / Demobilization	l.s.	1.00 801(1)	Removal of Structures and Obstructions	l.s.	1.00 1003(1)	Fiber Cement Board Ceiling	sq.m	87.57 SPL-1	Electrical Works	l.s.	1.00 1032(1)a	Painting Works (Masonry Painting</t>
  </si>
  <si>
    <t xml:space="preserve"> Republic of the Philippines Province of Southern Leyte MUNICIPALITY OF HINUNANGAN Barangay Calayugan INVITATION TO APPLY FOR ELIGIBILITY AND TO BID 1.	The Barangay Local Government of Calayugan, Hinunangan, Southern Leyte, through the Barangay IRA intends</t>
  </si>
  <si>
    <t xml:space="preserve"> No.	QTY	UNIT	AGENCY'S SPECIFICATIONS 1	5	units	 LAPTOP  			  - Processor  - Intel ® Core ( TM)  			  - i5- 7500 U  			  - CPU @ 2.70GHz  			  - 2.90 Ghz  			  - Installed Memory ( RAM) - 8.00GB ( 7.87 GB)  			  -  Windows 10 OS  2	1	unit	 LAPTOP  			  - P</t>
  </si>
  <si>
    <t xml:space="preserve"> 1. The [Local Government Unit of Inopacan, Leyte], through the [Approved 2020 General Fund Annual Budget under the amended and reprogrammed 5% Local Disaster Risk Reduction &amp; Management Fund Investment Program (LDRRMFIP) as per Sangguniang Bayan Resolutio</t>
  </si>
  <si>
    <t xml:space="preserve"> Republic of the Philippines Province of Davao De Oro MUNICIPALITY OF COMPOSTELA BIDS AND AWARDS COMMITTEE CP#: 0998-571-7569 INVITATION TO BID FOR  Purchase of Medical Equipment for Disaster Action Team (Municipal) and School Disaster Action Team and Bara</t>
  </si>
  <si>
    <t xml:space="preserve"> INVITATION TO BID The DPWH-Regional Office No. III,  through  its  Bids  and  Awards  Committee  (BAC),  invites contractors to submit bids for the Contract below: 1)	Procurement ID/Contract ID:    19C00094 Contract Name:      Construction, Rehabilitation</t>
  </si>
  <si>
    <t xml:space="preserve"> REQUEST FOR QUOTATION (Small Value Procurement) Company Name		:	______________________	Date: _______________________ Address			:	______________________	Quotation No. CWD 41-2020                                                               _______________</t>
  </si>
  <si>
    <t xml:space="preserve"> RFQ 2020-08-031: Procurement of Various Office Supplies for use of DPWH Pangasinan 3rd DEO</t>
  </si>
  <si>
    <t xml:space="preserve"> Republic of the Philippines 				Province of Eastern Samar 				Municipality of Mercedes OFFICE OF THE BIDS AND AWARDS COMMITTEE (BAC) INVITATION TO BID FOR THE PROCUREMENT OF GENERATOR SET FOR WATER SYSTEM (LEVEL III) INVITATION TO BID NO. GOODS-2020-08-00</t>
  </si>
  <si>
    <t xml:space="preserve"> INVITATION TO BID PROCUREMENT OF I.C.T. EQUIPMENT FOR THE USE OF SCHOOLS DIVISION OFFICE (SECOND BIDDING) 	 The City Government of Navotas, through its Bids and Awards Committee, will hold a Public Bidding for the PROCUREMENT OF I.C.T. EQUIPMENT FOR THE U</t>
  </si>
  <si>
    <t xml:space="preserve"> RFQ 2020-08-032 Procurement of Container Van and Its Accessories as Field Office in the Desiltation and Rechanneling of Totonuguen River along Agno River, Rosales, Pangasinan</t>
  </si>
  <si>
    <t xml:space="preserve"> The Subic Bay Metropolitan Authority, through the Corporate Budget for the contract approved by the governing board for 2020 intends to apply the sum of Seven Million Two Hundred Ninety Eight Thousand Two Hundred Fifty Seven Pesos and Twenty Centavos Only</t>
  </si>
  <si>
    <t xml:space="preserve"> Republic of the Philippines Cordillera Administrative Region Provincial Local Government Unit of Ifugao BIDS AND AWARDS COMMITTEE 2nd Floor COA Bldg., Capitol Compound Lagawe, Ifugao Email Ad.: bacgoodsifugao13@gmail.com INVITATION TO BID COMPUTER SUPPLIE</t>
  </si>
  <si>
    <t xml:space="preserve"> 100 Pcs. TRASH CAN with Wheels 8 liters  (17x22.3x31 in. / for colors / Heavy Duty)</t>
  </si>
  <si>
    <t xml:space="preserve"> Corazon Locsin Montelibano Memorial Regional Hospital, through its Bids and Awards Committee, intends to procure BANANA, which will be undertaken in accordance with Section 53.9 of the Revised Implementing Rules and Regulations of Republic Act No. 9184. 	</t>
  </si>
  <si>
    <t xml:space="preserve"> Concreting of Farm-to-Market Road</t>
  </si>
  <si>
    <t xml:space="preserve"> Construction for Reinforced Concrete Box Culvert</t>
  </si>
  <si>
    <t xml:space="preserve"> I N V I T A T I O N   T O   B I D  The Visayas State University through its Bids and Awards Committee (BAC), invites suppliers/manufacturers/distributors to apply for eligibility and to bid for the hereunder project: Name of Project 	:  Supply and Deliver</t>
  </si>
  <si>
    <t xml:space="preserve"> Promotional Materials (Advocacy T-Shirt with Collar, Active Dry, Sublimation Print) for PRDP RPCO-PPMIU-CPMIU-MPMIU 3rd Quarter Coordination Virtual Meeting for the Month of September 2020 Please see attached RFQ</t>
  </si>
  <si>
    <t xml:space="preserve"> 1	Al+Mg OH 225mg/200mg/5ml susp 60ml/bot	50	BOT 2	Amoxicillin 100mg/ml 15ml drp/bot	100	BOT 3	Amoxicillin 250mg/5ml susp 60ml/bot	1500	BOT 4	Amoxicillin 500mg cap 100/box	100	BOX 5	Bipiridine 2mg tab	1000	TAB 6	Cefalexin 250mg/5ml	1000	BOT 7	Cefalexin 500</t>
  </si>
  <si>
    <t xml:space="preserve"> TERMS AND CONDITIONS: 1.	Price Quotation should be inclusive of the 5% final VAT and expanding withholding tax (EWT) of 1%. 2.	Evaluation bids will be conducted on a “per lot” basis. 3.	If awarded the contract, processing and payment shall be made within </t>
  </si>
  <si>
    <t xml:space="preserve"> Corazon Locsin Montelibano Memorial Regional Hospital, through its Bids and Awards Committee, intends to procure DIALYZER F8/LOPS 18 / (LOW FLUX 2.0 MM), which will be undertaken in accordance with Section 53.9 of the Revised Implementing Rules and Regula</t>
  </si>
  <si>
    <t xml:space="preserve"> To procure goods for the 10th Cycle implementation of Supplementary Feeding Program in the Municipality of Pugo, La Union</t>
  </si>
  <si>
    <t xml:space="preserve"> Republic of the Philippines Province of Cagayan Municipality of Camalaniugan August 20, 2020 INVITATION TO BID  FOR THE FURNISHING &amp; DELIVERY OF ONE (1) UNIT CAMERA AND TWO (2) UNITS LAPTOP (2nd Posting) 1.	The Municipality of Camalaniugan, through the SP</t>
  </si>
  <si>
    <t xml:space="preserve"> Section I. Invitation to Bid FOR THE UPLB-RES-040-09-20  SUPPLY AND DELIVERY OF BRANDED AND BRAND NEW CHEMICALS AND CHEMICAL PRODUCTS FOR IPB 1.	The UNIVERSITY OF THE PHILIPPINES LOS BAÑOS (UPLB), through the GOP (LB04011001-C0002497; N827621) intends to </t>
  </si>
  <si>
    <t xml:space="preserve"> Corazon Locsin Montelibano Memorial Regional Hospital, through its Bids and Awards Committee, intends to procure DISPOSABLE STERILE CHEMOTHERAPY PACK, which will be undertaken in accordance with Section 53.9 of the Revised Implementing Rules and Regulatio</t>
  </si>
  <si>
    <t xml:space="preserve"> DEPARTMENT OF EDUCATION Region XI SCHOOLS DIVISION OF MATI CITY City of Mati  Tel No.: (087) 388-4527 REQUEST FOR QUOTATION  Date: August 19, 2020 RFQ No.: 2020-08-140 Name of Business: ____________________________________________________ Address: _______</t>
  </si>
  <si>
    <t xml:space="preserve"> 18	sets	30watts 		All-in-one Solar Streetlights 		with Dimming Function 		Including 4.5m Lamp Post, 		Conc. Pedestal and Installation</t>
  </si>
  <si>
    <t xml:space="preserve"> To procure goods for the 10th Cycle implementation of Supplementary Feeding Program in the Municipality of San Gabriel, La Union</t>
  </si>
  <si>
    <t xml:space="preserve"> Republic of the Philippines Province of Cagayan Municipality of Baggao INVITATION TO BID FOR THE PROCUREMENT OF CIVIL WORKS The LOCAL GOVERNMENT UNIT OF BAGGAO, CAGAYAN, through 5-06-04-030-02 (20% MDF-2020)  intends to apply the sum of Two Million Nine H</t>
  </si>
  <si>
    <t xml:space="preserve"> ITB # 2020-54 INVITATION TO BID FOR THE FURNISHING &amp; DELIVERY OF ONE (1) UNIT XEROX/COPIER MACHINE  1.	The Municipality of Camalaniugan through the SPECIAL EDUCATION FUND (CNHS) intends to apply the sum of SIXTY FIVE THOUSAND PESOS &amp; 00/100 ONLY   (P65,00</t>
  </si>
  <si>
    <t xml:space="preserve"> Republic of the Philippines Department of Agriculture BUREAU OF PLANT INDUSTRY Manila REQUEST FOR QUOTATION SHOPPING INSTRUCTION: 1.	Bidders are required to read the instructions and fill all the blanks properly. Particularly the column under the offered </t>
  </si>
  <si>
    <t xml:space="preserve"> ITEM NO.	UNIT		QTY		DESCRIPTION		 							 					PAINT WORKS		 					 2A. Wall and Ceiling 		 1	 gls 		7		 Concrete Neutralizer 		 2	 gls 		7		 Acrylic Latex Paint White 		 3	 gls 		7		 Acrylic Gloss Latex Paint White 		 4	 set 		2		 Paint Roller w/ Pan 		 5</t>
  </si>
  <si>
    <t xml:space="preserve"> 1.	24” Ø RCP	76	Pcs. 2.	4” CHB	450	Pcs. 3.	Cement	135	Bags 4.	Sand	8	Cu.m 5.	Gravel	14	Cu.m 6.	RSB 10mm Ø	140	Pcs. 7.	RSB 12mm Ø	40	Pcs. 8.	G.I. Tie Wire #100	15	Kgs. 9.	Angle Bar 2” x 2” x 1/4” thk.	18	Pcs. 10.	Welding Rod	5	Kgs. 11.	Epoxy Primer Paint	1</t>
  </si>
  <si>
    <t xml:space="preserve"> The Municipality of Zaragoza, through its Bids and Awards Committee (BAC), invites contractors to bid for the hereunder contract: Name of Contract                     : Purchase of Materials for the Enhancement of Multi-Purpose Building   Location        </t>
  </si>
  <si>
    <t xml:space="preserve"> 30 sets Personal Protective Equipment 25 sets  Modular Tent 12 sets Folding Bed</t>
  </si>
  <si>
    <t xml:space="preserve"> ITEM NO.	UNIT		QTY		DESCRIPTION		 							 					MEDICINE FOR BOTIKA NG BAYAN		 1	BXS		5		 Acetylcysteine 200mg Sachet 100's 		 2	BXS		10		 Acetylcysteine 600mg Effervescent tab100's 		 3	BXS		25		 Aluminum Magnesium 200MG/100mg tablet 100's 		 4	 BTLS 		14</t>
  </si>
  <si>
    <t xml:space="preserve"> INVITATION TO BID SUPPLY AND DELIVERY OF FOUR (4) UNITS BRAND NEW  ASIAN UTILITY VEHICLE (AUV) FOR TECHNICAL EDUCATION AND SKILLS DEVELOPMENT AUTHORITY (TESDA)  Bid Reference No: GPG-B1-2020-085 Approved Budget for the Contract: ₱ 5,400,000.00 1.	The Phil</t>
  </si>
  <si>
    <t xml:space="preserve"> 1	Portland Cement	75	bags. 2	Gravel (Sariaya)	16	cu.m. 3	Sand (Sariaya)	14	cu.m. 4	#16mm Ø x 6m RSB	12	pcs.</t>
  </si>
  <si>
    <t xml:space="preserve"> Invitation to Bid for  Procurement of Labor and Materials for Various Civil Works  IB NO. 2020-031-I The WESTERN VISAYAS MEDICAL CENTER, through the Internally Generated Fund-Hospital  Income intends to apply the sum of Six  Million Ninety  One Thousand P</t>
  </si>
  <si>
    <t xml:space="preserve"> The Local Government Unit of General Santos City, through the GENERAL FUND CY 2020 intends to apply the sum of one million four hundred thirteen thousand seven hundred forty-two and 88 / 100 Pesos Only (1,413,742.88) being the Approved Budget for the Cont</t>
  </si>
  <si>
    <t xml:space="preserve"> Rental of": 2 units Pumping Units (10HP/unit)</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</si>
  <si>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</si>
  <si>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Republic of the Philippines OFFICE OF THE PUNONG BARANGAY 	Barangay CENTRO NAPU	 	Municipality of Tudela	 Province of Misamis Occidental INVITATION TO BID The Office of the Punong Barangay of Barangay Napu through its Bids and Awards Committee [BAC], invi</t>
  </si>
  <si>
    <t xml:space="preserve"> 1.	Cement	503	Bags 2.	Gravel	50	Cu.m 3.	Sand	25	Cu.m 4.	Sub Base	30	Cu.m 5.	Tie Wire #16	3	Kgs. 6.	RSB 12 mm Ø	24	Pcs. 7.	Asphalt Sealant	1	Kgs. 8.	C-Purlins 2x6”	14	Pcs.</t>
  </si>
  <si>
    <t xml:space="preserve"> Please download components</t>
  </si>
  <si>
    <t xml:space="preserve"> RFQ 2020-08-035: Procurement of Various Spare Parts for use in the Repair/Maintenance of Various Equipment and Service Vehicle of DPWH Pangasinan 3rd DEO, Tomana, Rosales, Pangasinan</t>
  </si>
  <si>
    <t xml:space="preserve"> One (1) Lot Design, Manufacture, Supply and Installation of Furniture and Fixtures of EMB XII Conference Table – 6-Seater (Regular) with Chairs (1) Unit Conference Table – 8-Seater with chair (1) Unit Conference Table – Regular, 8-Seater (1) Unit Conferen</t>
  </si>
  <si>
    <t xml:space="preserve"> 1	Toner Cart, HP CE285A (HP85A), Black							4	carts	3,500.00 2	Toner Cartridge, Black, MLT- D105L							1	pc	3,500.00 3	Copy and Laser Paper, Legal, 70gsm							70	reams	240.00 4	Copy and Laser Paper, Short, 70gsm							30	reams	200.00 5	Parchment paper,</t>
  </si>
  <si>
    <t xml:space="preserve"> The Local Government Unit of General Santos City, through the GENERAL FUND CY 2020 intends to apply the sum of four million five hundred thousand and xx / 100 Pesos Only (4,500,000.00) being the Approved Budget for the Contract (ABC) to payments under the</t>
  </si>
  <si>
    <t xml:space="preserve"> ITEM NO.	UNIT		QTY		DESCRIPTION		 							 					PHLEBOTOMY		 1	 box 		5		 Micropore Plaster (1inch) 		 2	 box 		5		 EDTA K2 (2M) 		 3	 box 		5		 Gel w/ Clot Activator Tube, Yellow Top 		 4	 box 		5		 Syringe with Needle Terumo 5cc 		 5	 packs 		6		 Cotton </t>
  </si>
  <si>
    <t xml:space="preserve"> One (1) Lot Supply and Installation of Nine (9) Units Modular Type Air Handling Units (AHUs) at Malacañan Palace. To view bidding documents please copy this link to your browser: https://drive.google.com/file/d/1H4NqbE78GVc1Kh8DrsS6QRMsDNxA0OJC/view?usp=s</t>
  </si>
  <si>
    <t xml:space="preserve"> The Provincial Government of Samar invites all interested registered suppliers to submit in person or authorized representative quotation for- 			 1.	10	pcs.	12x20 tire (ten wheeler truck) Requisitioning Office: Provincial Engineering Office Bid Forms may</t>
  </si>
  <si>
    <t xml:space="preserve"> Republic of the Philippines Cordillera Administrative Region Provincial Local Government Unit of Ifugao BIDS AND AWARDS COMMITTEE 2nd Floor COA Bldg., Capitol Compound Lagawe, Ifugao Email Ad.: bacgoodsifugao13@gmail.com INVITATION TO BID SEEDLINGS Public</t>
  </si>
  <si>
    <t xml:space="preserve"> RFQ (20-08-065) Various Medical Supplies</t>
  </si>
  <si>
    <t xml:space="preserve"> REQUEST FOR QUOTATION For Negotiated Procurement thru Small Value Procurement under Sec. 53.9 of the 2016 Revised IRR of RA 9184 Quotation No.:  2020-08-299 Date: August 19, 2020 PR No.: 20-08-305 PR Date: August 5, 2020 The Metropolitan Tuguegarao Water </t>
  </si>
  <si>
    <t xml:space="preserve"> Republic of the Philippines Cordillera Administrative Region Provincial Local Government Unit of Ifugao BIDS AND AWARDS COMMITTEE 2nd Floor COA Bldg., Capitol Compound Lagawe, Ifugao Email Ad.: bacgoodsifugao13@gmail.com INVITATION TO BID VETERINARY MEDIC</t>
  </si>
  <si>
    <t xml:space="preserve"> RFQ 2020-08-034: Procurement of Personal Protective Equipment for use by Dredge Crews of DPWH Pangasinan 3rd DEO Maintenance Crews in the Desiltation and Rechanneling of Totonoguen River along Agno River, Rosales, Pangasinan</t>
  </si>
  <si>
    <t xml:space="preserve"> INVITATION FOR PRICE QUOTATION Date:  20 August 2020 For The  Supply &amp; Delivery Of Airport Rescue Equipment  At Legazpi Airport – 2nd SVP The Civil Aviation Authority of the Philippines (CAAP) intends to apply the estimated amount   of   Four Hundred Twel</t>
  </si>
  <si>
    <t xml:space="preserve"> Republic of the Philippines Province of Pangasinan Municipality of Lingayen BARANGAY NAGUELGUEL INVITATION TO BID  The Barangay Naguelguel, through the Barangay Development Fund  CY-2020       intends to apply the sum of   Five   Hundred Thousand Pesos On</t>
  </si>
  <si>
    <t xml:space="preserve"> 2 Bottles Diluent (VET) 2 Bottles Probe Cleanser 2 Bottles Lyse Solution</t>
  </si>
  <si>
    <t xml:space="preserve"> Purchase of school and other supplies for Senior High School</t>
  </si>
  <si>
    <t xml:space="preserve"> Please quote your lowest price on the item(s) listed below, subject to the terms and condition stated below. Please send us the standard requirements through mail and email us the soft copy in the email provided. Thank you.</t>
  </si>
  <si>
    <t xml:space="preserve"> 12 packs- AA Battery Rechargeable 1 unit- Battery Charger-Double AA 1 unit-System Unit,daycare 3 meters- Cable Wire CAT 5E 30 pcs- USB 32GB 182 bottles- Black ink refill for  50 sets- Tri-Colored Ink for Epson Refill(Cyan/Magenta/Yellow) 8 pcs- Optical Mo</t>
  </si>
  <si>
    <t xml:space="preserve"> QTY.	Unit 	Item Description 		 15	pcs	 Office Chair 		&gt; 24.75"W x 25.37"D x 39.375-42.5"H Seat Dimensions: 21.25"Wx18.5"Dx19.5-22.5"H Weight: 46 lbs. 4	pcs	Heavy Duty Steel Shelves   		&gt; w86.3 x d35.5 x h182.8cm, Color, Metal:Hammer Toneself: Brown, Item </t>
  </si>
  <si>
    <t xml:space="preserve"> 60 piece Cash Books 500 pages 3,360 piece RPT CARDS</t>
  </si>
  <si>
    <t xml:space="preserve"> 800 ream - Long Bond Paper 35 bottle - RISO Ink CV/UA 30 roll - RISO Master CV/B4UA 3 unit - Epson Printer L565 22 set - Universal Ink</t>
  </si>
  <si>
    <t xml:space="preserve"> The Provincial Government of Samar invites all interested registered suppliers to submit in person or authorized representative quotation for- 			 1.	2,000	ltrs.	Diesel Requisitioning Office: Tarangnan Community Hospital Bid Forms may be secured from the </t>
  </si>
  <si>
    <t xml:space="preserve"> Republic of the Philippines Cordillera Administrative Region Provincial Local Government Unit of Ifugao BIDS AND AWARDS COMMITTEE 2nd Floor COA Bldg., Capitol Compound Lagawe, Ifugao Email Ad.: bacgoodsifugao13@gmail.com INVITATION TO BID VEHICLE TIRES AN</t>
  </si>
  <si>
    <t xml:space="preserve"> RFQ 2020-08-033: Procurement of Diesel for use in Desiltation and Rechanneling of Totonoguen River along Agno River, Rosales, Pangasinan</t>
  </si>
  <si>
    <t xml:space="preserve"> REQUEST FOR PROPOSAL (RFP) REQUEST FOR PROPOSAL (RFP) August 18, 2020 Ms. ROWENA SARREAL SANTOS TERMS CONCRETE TESTING  # 19 L. Intalan St., Bagong Ilog Pasig City SUBJECT: 	SUB-SURFACE/SOIL EXPLORATION FOR FY 2020 CONSTRUCTION OF SCHOOL BUILDING PROJECTS</t>
  </si>
  <si>
    <t xml:space="preserve"> To procure goods for the 10th Cycle implementation of Supplementary Feeding Program in the Municipality of Burgos, La Union</t>
  </si>
  <si>
    <t xml:space="preserve"> 1 Lot HARDWARE, ELECTRICAL AND CONSTRUCTION SUPPLIES AND MATERIALS</t>
  </si>
  <si>
    <t xml:space="preserve"> Republic of the Philippines Department of Public Works and Highways OFFICE OF THE DISTRICT ENGINEER Catarman, Northern Samar Telefax No.: (055) 251-8190/055) 500-9165  Invitation to Bid The DPWH – Northern Samar 1st Engineering District Office, through it</t>
  </si>
  <si>
    <t xml:space="preserve"> see the attached RFQ, submit necessary file and sent to this ; email : johnedmar.barairo@deped.gov.ph  phone no. (049) 530-0284 - we prioritize bidder/supplier who completed and complied the process. - if system error occur pls. contact us.</t>
  </si>
  <si>
    <t xml:space="preserve"> ITEM NO.	UNIT		QTY		DESCRIPTION		 							 1	 unit 		1		AMBULANCE		 					 Engine 		 					 Type: Liquid Type 		 					 Piston Displacement: 2000cc(min) : 2500cc (min) 		 					 Horsepower Output: 70 or higher 		 					 Torque: 15kg-m (min) 		 					 Number of C</t>
  </si>
  <si>
    <t xml:space="preserve"> The Local Government Unit of General Santos City, through the GENERAL FUND CY 2020 intends to apply the sum of one million eight thousand four hundred and xx / 100 Pesos Only (1,008,400.00) being the Approved Budget for the Contract (ABC) to payments unde</t>
  </si>
  <si>
    <t xml:space="preserve"> The Local Government Unit of General Santos City, through the GENERAL FUND CY 2020 intends to apply the sum of one million one hundred thousand and xx / 100 Pesos Only (1,100,000.00) being the Approved Budget for the Contract (ABC) to payments under the c</t>
  </si>
  <si>
    <t xml:space="preserve"> JOSE B. LINGAD MEMORIAL REGIONAL HOSPITAL City of San Fernando, Pampanga Tel. No. (045) 961-3921 Date: August 20, 2020 No. 2020 – 08 - 257-S REQUEST FOR QUOTATION (Name of Agency) (Address) Sir/Madam: Please quote your lowest price on the item/s listed be</t>
  </si>
  <si>
    <t xml:space="preserve"> The Department of Public Works and Highways – Cordillera Administrative Region, through its Bids and Awards Committee (BAC) for Goods, invites suppliers to submit bids for the contract below: Contract ID No.:	20GP00131 Contract Name:	Procurement of Ultras</t>
  </si>
  <si>
    <t xml:space="preserve"> INVITATION TO APPLY FOR ELIGIBILITY AND TO BID THE BIDS AND AWARD COMMITTEE OF THE MUNICIPALITY OF CAIBIRAN, BILIRAN IS INVITING ALL INTERESTED BIDDERS ON ITS FORTHCOMING PUBLIC BIDDING FOR: Project Title	                : Establishment of Nursery &amp; Veget</t>
  </si>
  <si>
    <t xml:space="preserve"> 144,932 COPIES X .75 = p 108,699</t>
  </si>
  <si>
    <t xml:space="preserve"> Corazon Locsin Montelibano Memorial Regional Hospital, through its Bids and Awards Committee, intends to procure CSR SUPPLY (PR#20-08-70767), which will be undertaken in accordance with Section 53.9 of the Revised Implementing Rules and Regulations of Rep</t>
  </si>
  <si>
    <t xml:space="preserve"> The Provincial Government of Samar invites all interested registered suppliers to submit in person or authorized representative quotation for- 			 1.	11,321	ltrs.	Diesel Fuel 2.	1,200	ltrs.	Prem. Gasoline 3.	3	pails	Oil#10 4.	3	pails	Oil#40 5.	2	pails	Oil</t>
  </si>
  <si>
    <t xml:space="preserve"> Name of Project		: IMPROVEMENT OF BARANGAY PLAZA Location		: Brgy. Magsalangi,Milagros,Masbate Brief Description	: I. Perimeter Fence a.	materials 			  II. Concrete Works a.	materials 			  III. Painting Works a.	Materials 			  IV. Labor 			  V. Hauling	  </t>
  </si>
  <si>
    <t xml:space="preserve"> Preventive Maintenance of 144 KVA Generator Set of SSS Baguio (1 Lot) Specialty Works:  * Supply, Delivery and Replacement of Repair of Operator Panel Features and its Electrical Accessories * Replacement of Alternator * Supply, Delivery and Installation </t>
  </si>
  <si>
    <t xml:space="preserve"> Various Personal Protective Equipment  ( PPE )</t>
  </si>
  <si>
    <t xml:space="preserve"> Republic of the Philippines Barangay Government of Calarian  BIDS AND AWARDS COMMITTEE Calarian, Zamboanga City   INVITATION TO BID FOR THE CONSTRUCTION/REHABILITATION/IMPROVEMENT  OF  DRAINAGE  SYSTEM  AT  PUROK 6A LOPEZ SUBDIVISION,  CALARIAN , ZAMBOANG</t>
  </si>
  <si>
    <t xml:space="preserve"> INVITATION TO BID FOR SUPPLY &amp; DELIVERY OF uPVC PIPES, VARIOUS FITTINGS &amp; MATERIALS 1.	The Hinatuan Water District, through the Government Appropriations Act of 2017 (Loan) intends to apply the sum of P 1,577,781.69 being the total Approved Budget for the</t>
  </si>
  <si>
    <t xml:space="preserve"> JOSE B. LINGAD MEMORIAL REGIONAL HOSPITAL City of San Fernando, Pampanga Tel. No. (045) 961-3921 Date: August 20, 2020 No. 2020 – 08 - 259-S REQUEST FOR QUOTATION (Name of Agency) (Address) Sir/Madam: Please quote your lowest price on the item/s listed be</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</si>
  <si>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</si>
  <si>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The Local Government Unit of General Santos City, through the GENERAL FUND CY 2020 intends to apply the sum of one million six hundred fifteen thousand and xx / 100 Pesos Only (1,615,000.00) being the Approved Budget for the Contract (ABC) to payments und</t>
  </si>
  <si>
    <t xml:space="preserve"> Purchase of construction materials for the project Construction/Rehabilitation/Improvement of Multi-Purpose Building at Municipal Building Compound, Mabitac, Laguna</t>
  </si>
  <si>
    <t xml:space="preserve"> INVITATION TO BID FOR  Supply and Delivery of 35 units Non-Motorized Fiber Glass Boat with complete Accessories No. 2020-08-004 1.	The Local Government Unit of Prieto Diaz, through the 20% MDF CY 2019 intends to apply the sum of One Million Pesos Only (Ph</t>
  </si>
  <si>
    <t xml:space="preserve"> The Municipal Government of Santo Tomas, La Union wishes to invite suppliers to quote on the following items on a per lot basis, to wit: Lot 1: Well milled rice - 1,250 cavans            ABC: Php 2,300,000.00 Lot 2: Instant noodles - 2,605 cartoons       </t>
  </si>
  <si>
    <t xml:space="preserve"> INVITATION TO BID The Barangay Poblacion Sawang of Loboc, Bohol through its Bids and Awards Committee (BAC), invites interested eligible and accredited supplier/manufacturer/service providers to apply for eligibility, and if found eligible, to bid for the</t>
  </si>
  <si>
    <t xml:space="preserve"> I - EARTHWORKS II CONCRETE WORKS III MASONRY WORKS IV ELECTRICAL WORKS V PLUMBING WORKS VI TILE WORKS VII DOORS AND WINDOWS VIII CEILING WORKS IX PAINTING WORKS X FIXTURES XI STEEL WORKS</t>
  </si>
  <si>
    <t xml:space="preserve"> 1	Portland Cement	100	bags. 2	Sand (Sariaya)	5	cu.m. 3	#4 THK CHB	710	pcs. 4	10mmØ x 6m RSB	110	pcs. 5	12mmØ x 6m RSB	66	pcs. 6	6mm x 50mm x 50mm x 6m Angle Bar	6	pcs. 7	4mm x 50mm x 50mm x 6m Angle Bar	3	pcs. 8	2.0mm x 50mm x 75mm x 6m C-Purlins	21	pcs. </t>
  </si>
  <si>
    <t xml:space="preserve"> Section I. Invitation to Bid FOR THE UPLB-RES-041-09-20 PROCUREMENT OF GENOTYPING-BY-SEQUENCING (GBS) FOR IPB 1.	The UNIVERSITY OF THE PHILIPPINES LOS BAÑOS (UPLB), through the GOP (LB04011001-C0002497; N827621) intends to apply the sum of ONE MILLION PES</t>
  </si>
  <si>
    <t xml:space="preserve"> Republic of the Philippines Province of Siquijor Municipality of Maria Invitation to Bid for Upgrading Of Barangay Multi-Purpose Hall – Calunasan, Maria, Siquijor/CAL-0001I-2020 1.	The Barangay Local Government Unit of Calunasan, through the 20%  Developm</t>
  </si>
  <si>
    <t xml:space="preserve"> Fabrication of 10 sets Frame and Cover ( Tents) Size: 10'x 10' x 6' x 6' Material of Frame: Black Iron Pipe s20 Material of Cover: s200 Maruzen (thickest)</t>
  </si>
  <si>
    <t xml:space="preserve"> Supply and delivery of various hardware supplies and materials Item No.	Quantity	Unit	Item and Description 			 1	30	pc	Coco Lumber, 2" x 3" x 12' 2	12	pc	Coco Lumber, 2" x 2" x 10'  3	15	pc	Good Lumber, 2" x 2" x 12'  4	5	kilo	Common Wire Nail, 4" 5	3	kil</t>
  </si>
  <si>
    <t xml:space="preserve"> Department of Public Works and Highways (DPWH) Contract ID: 		21CSGI0002 Contract Name: 		CONSULTANCY SERVICES FOR THE CONDUCT OF GEOTECHNICAL SUBSURFACE EXPLORATION FOR PROPOSED FY 2021 VARIOUS BRIDGE PROJECTS 1. Widening of Bridge - Jalaur Br. Along Ilo</t>
  </si>
  <si>
    <t xml:space="preserve"> Please download associated components.</t>
  </si>
  <si>
    <t xml:space="preserve"> ITEMS OF WORK: I. Earthworks ......................................................150.00 Cu.m. II. Reinforcing Steel Bars......................................................1.00 Lot III. Form Works.......................................................</t>
  </si>
  <si>
    <t xml:space="preserve"> Republic of the Philippines						CEO		 		Government of Ormoc City						P.R. No.:  	202150	 		BIDS AND AWARDS COMMITTEE						Quotation No.: 	204817-6329	 		Ormoc City						PhilGEPs No.: 		 										 Standard Form Title:			REQUEST FOR QUOTATION							 				</t>
  </si>
  <si>
    <t xml:space="preserve"> INVITATION TO APPLY FOR ELIGIBILITY AND TO BID THE BIDS &amp; AWARD COMMITTEE OF THE MUNICIPALITY OF CAIBIRAN, BILIRAN IS INVITING ALL INTERESTED BIDDERS ON ITS FORTHCOMING PUBLIC BIDDING FOR: Project Title	: Acquisition of Sheep’s   Location		: Municipality </t>
  </si>
  <si>
    <t xml:space="preserve"> 1 unit Van with Ambulance Package</t>
  </si>
  <si>
    <t xml:space="preserve"> Republic of the Philippines City of Dapitan BIDS AND AWARDS COMMITTEE 						August 19, 2020 INVITATION FOR NEGOTIATED PROCUREMENT   TWO –FAILED BIDDINGS UNDER SEC. 53.1 Contract ID:	PR # 2020-06-19-206 Project Title:	Procurement of Fabricated Office Equip</t>
  </si>
  <si>
    <t xml:space="preserve"> Construction of Concrete Pathway</t>
  </si>
  <si>
    <t xml:space="preserve"> Republic of the Philippines City of Dapitan BIDS AND AWARDS COMMITTEE 						August 19, 2020 NOTICE FOR NEGOTIATED - SMALL VALUE PROCUREMENT 	The City Government of Dapitan through the Bids and Awards Committee (BAC) would like to inform PhilGEPS registere</t>
  </si>
  <si>
    <t xml:space="preserve"> Republic of the Philippines Province of Quirino MUNICIPALITY OF CABARROGUIS OFFICE OF THE BIDS and AWARS COMMITTEE INVITATION TO BID FOR THE  Purchase and Delivery of One (1) Unit Brand New Mini Dumptruck (Garbage Truck) at Cabarroguis, Quirino 1.	The Loc</t>
  </si>
  <si>
    <t xml:space="preserve"> 1 Unit Brand new 4x4 Pick-up to carry DRRM Staff and equipment which are directly necessary for rescue operations and other DRRM services with the following specifications: Type:                  4-Cylinder, Diesel Engine, not more than 2.8 L Displacement</t>
  </si>
  <si>
    <t xml:space="preserve"> Home, School and Community Food Production    Purchase of Agricultural and Marine Supplies(GAD) - P 110,000.00</t>
  </si>
  <si>
    <t xml:space="preserve"> 50 UNIT DOUBLE LUMEN CATHETER PERITONEAL DIALYSIS TENCKOFF CATHETER FOR PEDIA FR. 15X32 CM WITH 2 CUFFS, STRAIGHT  NOTE: ALL NEW SUPPLIER ARE REQUIRED TO SUBMIT THE FOLLOWING DOCUMENT. 1. DTI Registration 2. SEC Registration 3. Current Mayor's Permit 4. C</t>
  </si>
  <si>
    <t xml:space="preserve"> Republic of the Philippines JOSE RIZAL MEMORIAL STATE UNIVERSITY KATIPUNAN CAMPUS Katipunan, Zamboanga del Norte Invitation to Bid: Purchase of Diesel Fuel 1)	The Jose Rizal Memorial State University-Katipunan Campus, Katipunan, Zamboanga del Norte throug</t>
  </si>
  <si>
    <t xml:space="preserve"> Elderly and Disabled Welfare Program  Other Machinery and Equipment (Purchase of Wheelchair) - P 150,000.00</t>
  </si>
  <si>
    <t xml:space="preserve"> 2	pcs	Drillbit dormes 3/8	 1	pc	Masonry drillbit 3/16	 1	kl	Welding Rod	 18	pcs	Dynabolt 3/8	 1	pc	AB 1/4x 1 1/2	 35	m	Flatcord #18	 75	m	THHN #12	 1	pc	AB 3/16 x 1 1/2	 8	pcs	Expansion shield 5/8x2	 1	pc	CB 40 amp	 1	sachet	Vulcaseal	 1	pc	Elec pipe 1"	 </t>
  </si>
  <si>
    <t xml:space="preserve"> line item</t>
  </si>
  <si>
    <t xml:space="preserve"> Tools for Small Engine Services After Training Support 25 set Combination Wrench, see attached RFQ for specs. 25 piece Filler Gauge 25 piece Star Screw 25 piece Flat Screw 25 piece Plier 25 piece Hard Hat 20 piece Piston Ring Decompressor, see attached RF</t>
  </si>
  <si>
    <t xml:space="preserve"> Request for Quotation 50   boxes     Sardines 16   sacks     Brown Sugar 44   boxes     Coffee Stick 2g</t>
  </si>
  <si>
    <t xml:space="preserve"> 1	5000 Watts                                                                                                                                                Input: AC 160 - 260 Volts                                                                          </t>
  </si>
  <si>
    <t xml:space="preserve"> Republic of the Philippines									 REGION IX      									 PROVINCE OF ZAMBOANGA DEL SUR									 Pagadian City     									 BIDS AND AWARDS COMMITTEE  									 Provincial Capitol, Pagadian City									 									 INVITATION FOR SUBMISSION OF QUOTATI</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</si>
  <si>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</si>
  <si>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Philippine Science High School – Central Luzon Campus (PSHS-CLC) wishes to invite proponent for the Supply and Delivery of Other Supplies and Materials for 3RD Quarter Stock of Supply and Property Unit of PSHS-CLC with ABC of Eighty Thousand Five Hundred </t>
  </si>
  <si>
    <t xml:space="preserve"> 232,180 COPIES X .75 = 174,134.00</t>
  </si>
  <si>
    <t xml:space="preserve"> 1. 159 units of Thermal Scanner Non-Contact Infrared Thermometer (Medical Grade, FDA and CE Certified, memory recall and fever alarm, response time: 1 sec or less, accuracy: ± 0.2°C, measuring distance: 3-5 cm, automatic power-off: 30 seconds, complete se</t>
  </si>
  <si>
    <t xml:space="preserve"> Interested suppliers/dealers are invited to a sealed bidding to open in the presence of bidders at the Office of the Municipal Engineer, Catmon, Cebu for infrastructure. (See attached advertisement of bids). Name of Project	: 1. Purchase of Materials for </t>
  </si>
  <si>
    <t xml:space="preserve"> The size should be 1/2" x 300 meters. The PE Pipe should be a blue color and use for water only.</t>
  </si>
  <si>
    <t xml:space="preserve"> RFQ&gt;&gt;&gt; Office Supplies | Dona Aurora H. Bueno ES  ABC=P76,000.00 Download RFQ for complete list of items.</t>
  </si>
  <si>
    <t xml:space="preserve"> The Department of Education Schools Division of Oriental Mindoro thru its Bids and Awards Committee invites all interested and legitimate bidders to participate in the “PROCUREMENT AND DELIVERY OF BOAT WITH DIESEL ENGINE FOR MAASIN HIGH SCHOOL, BULALACAO </t>
  </si>
  <si>
    <t xml:space="preserve"> RFQ&gt;&gt;&gt; Reproduction of Modules | Manuel A. Roxas ES  ABC=P218,214.60 368,691 sheet  Opening of RFQ: August 27, 2020</t>
  </si>
  <si>
    <t xml:space="preserve"> One (1) lot Vehicle Rental for Various Official Engagements (Outside and Within Metro Manila) To view bidding documents please copy this link to your browser: https://drive.google.com/file/d/1tx0-kjvgElKcfgUQVBAR5PHFpZjrg7Xw/view?usp=sharing ----- OP BAC-</t>
  </si>
  <si>
    <t xml:space="preserve"> 1	HEAT GUN	3	pc 	Multiple heat settings (400 or 550 degrees Celcius)		 	Bulit-in stand for hands-free use and easy cooldown		 	550-750 liters per minute air flow rate		 	1800W		 	220V		 2	FOOT TYPE IMPULSE SEALER	1	pc 	air and water tight seals on the fol</t>
  </si>
  <si>
    <t xml:space="preserve"> Philippine Science High School – Central Luzon Campus (PSHS-CLC) wishes to invite proponent for the Supply, Delivery and Installation of Projector Screen and Mounting of Projectors with ABC of Seven Hundred Thousand Pesos only in words and Php 700,000.00 </t>
  </si>
  <si>
    <t xml:space="preserve"> Supply and Delivery of Eighteen (18) Air Conditioning Units. To view bidding documents please copy this link to your browser: https://drive.google.com/file/d/1Z0cgaWm9xneyw6iNqFKhilqJ3WVlnCz4/view?usp=sharing ----- OP BAC-SECRETARIAT OP BAC , Mezzanine Fl</t>
  </si>
  <si>
    <t xml:space="preserve"> 1 UNIT WHEEL LOADER ENGINE GROSS POWER (NOT LESS THAN 51KW 69HP) NET ENGINE POWER (47KW 64HP) OPERATING WEIGHT (ABOUT 5,300KG) BUCKET CAPACITY (1-1.2 CU.M) DUMP CLEARANCE (2,417MM) WARRANTY (1 YEAR PARTS AND SERVICES WITH AFTER SALES SUPPORT) DELIVERY COS</t>
  </si>
  <si>
    <t xml:space="preserve"> I----Ceiling Works II---Painting Works III--Tiling Works</t>
  </si>
  <si>
    <t xml:space="preserve"> Department of Public Works and Highways (DPWH) Contract ID: 		21CSGI0003 Contract Name: 		CONSULATNCY SERVICES FOR THE CONDUCT OF GEOTECHNICAL SUBSURFACE EXPLORATION FOR PROPOSED FY 2021 VARIOUS FLOOD CONTROL PROJECTS 1.	Construction of Flood Mitigation S</t>
  </si>
  <si>
    <t xml:space="preserve"> INVITATION TO BID Procurement of Office Supplies, Equipment, ICT Related Equipment &amp; Peripherals and Learning Management System for Flexible Alternative Mode of  Teaching and Learning in MinSCAT 1.	The Mindoro State College of Agriculture and Technology (</t>
  </si>
  <si>
    <t xml:space="preserve"> JOSE B. LINGAD MEMORIAL REGIONAL HOSPITAL City of San Fernando, Pampanga Tel. No. (045) 961-3921 Date: August 20, 2020 No. 2020 – 08 - 258-S REQUEST FOR QUOTATION (Name of Agency) (Address) Sir/Madam: Please quote your lowest price on the item/s listed be</t>
  </si>
  <si>
    <t xml:space="preserve"> please see attached Request for Quotation (RFQ)</t>
  </si>
  <si>
    <t xml:space="preserve"> Request for Quotation 50        boxes     Sardines 35        sacks      Brown Sugar 25     boxes        Coffee Stick 2g 7       gals          Soy Sauce 7       gals.         Vinegar 1       pack         Pepper 73        kilos       Bihon Hubad</t>
  </si>
  <si>
    <t xml:space="preserve"> PROJECT: PURCHASE OF MEDICAL SUPPLIES LOCATION: RHU-RIZAL, NUEVA ECIJA SOURCE OF FUND: CALAMITY FUND ABC: PHP 200,000.00</t>
  </si>
  <si>
    <t xml:space="preserve"> Procurement of equipment to be use at different barangays</t>
  </si>
  <si>
    <t xml:space="preserve"> 10 pcs Automotive Battery  (G/MF65/DIN65) -Supply &amp; delivery</t>
  </si>
  <si>
    <t xml:space="preserve"> Republic of the Philippines  DEPARTMENT OF PUBLIC WORKS AND HIGHWAYS REGIONAL OFFICE VIII Baras, Palo, Leyte NOTICE OF POSTING @ PHILGEPS / DPWH WEBSITE / BULLETIN BOARD                                                                                      </t>
  </si>
  <si>
    <t xml:space="preserve"> Please see attached terms of reference.</t>
  </si>
  <si>
    <t xml:space="preserve"> INVITATION TO BID  PRINTING AND DELIVERY OF QUARTER 1 ADMS-SELF LEARNING MODULES FOR THE IMPLEMENTATION OF BE-LCP 1. The Department of Education (DepEd) Division of San Carlos City (Pangasinan), through the GAA 2020 OSEC-1-20-0858 (a portion of Sub-ARO No</t>
  </si>
  <si>
    <t xml:space="preserve"> Request for Quotation 4,026  liters    Diesel Fuel</t>
  </si>
  <si>
    <t xml:space="preserve"> 4,052      liters      Diesel Fuel</t>
  </si>
  <si>
    <t xml:space="preserve"> REPUBLIC OF THE PHILIPPINES  CITY OF MANILA OFFICE OF THE BARANGAY COUNCIL INVITATION TO BID  SUBMISSION AND OPENING OF BID WILL BE ON AUGUST 27, 2020 AT 8 AM.  THE BARANGAY 62 ZONE 6 DISTRICT 1 MANILA THROUGH ITS BID AND AWARDS COMMITTEE (BAC) INVITE ALL</t>
  </si>
  <si>
    <t xml:space="preserve"> 6 units Steel Shelf  including Supply &amp; Delivery (see attached specifications)</t>
  </si>
  <si>
    <t xml:space="preserve"> RFQ&gt;&gt;&gt; Production of Learning Materials/Modules  | Lucban ES ABC=P550,202.50 Download RFQ for complete list of items.</t>
  </si>
  <si>
    <t xml:space="preserve"> Supply of Labor and Materials for Rehabilitation / Restoration of Kalayaan Hall Exterior. To view bidding documents please copy this link to your browser: https://drive.google.com/file/d/11LuQQKxCq1n5zqJNXKfBKHYG-F8ZtHlY/view?usp=sharing ----- OP BAC-SECR</t>
  </si>
  <si>
    <t xml:space="preserve"> QTY.	Unit 	Item Description 		 10	UNIT	Tables w/ Drawer Cabinet 		Dimension: W120 x W60 x H76cm, Item Material Table Top 		and Drawer front: 25mm &amp; 16mm Mdf laminated with PVC vinyl 		Side panel and support: 16mm thick particle board 		laminated with PVC </t>
  </si>
  <si>
    <t xml:space="preserve"> 484 Pieces Rapid Test Kit</t>
  </si>
  <si>
    <t xml:space="preserve"> Pls. see attached file.</t>
  </si>
  <si>
    <t xml:space="preserve"> 50	pcs	Tactical Rescue Uniform (Polo Shirt with Sleeve 		 		and Tactical Pants)		 		*Polo Shirt with Sleeve, Full Sublimation with 		 		UDRRM Logo, Dry Fit (Polyester)		 		*Tactical Pants		 		High quality, black and orange color, adjustable 		 		waist str</t>
  </si>
  <si>
    <t xml:space="preserve"> pcs	Solar Panel 30 watts	26	1,750.00	 45,500.00  pcs	Charge controller w/ USB 5A	26	750.00	 19,500.00  pcs	Battery 20 AH	26	1,800.00	 46,800.00  pcs	DC Bulb 5 watts 12 volts	75	100.00	 7,500.00  pcs	DC Bulb 3 watts 12 volts	75	100.00	 7,500.00  pcs	Wires </t>
  </si>
  <si>
    <t xml:space="preserve"> 1666 REAMS PAPER, MULTIPURPOSE, LETTER ***FOR LOCAL SUPPLIERS ONLY</t>
  </si>
  <si>
    <t xml:space="preserve"> Please quote your lowest price inclusive of VAT on the item/s listed below, subject to the Terms and Conditions of this RFQ, and submit your quotation duly signed by your representative not later than 25 August   2020 at 306th Contracting Office, NSFA, Pa</t>
  </si>
  <si>
    <t xml:space="preserve"> 150	pcs	Picara		 150	pcs	Pandacaqui plant (dwarft)		 100	pcs	Silver Pandacaqui		 100	pcs	Fukein Tea		 6	pcs	Champagne Palm tree		 30	sq.m	Blue Grass		 20	pcs	Green dust plant		 50	pcs	Australian Brush Cherry</t>
  </si>
  <si>
    <t xml:space="preserve"> 10,000 PC/S LEGAL BROWN FOLDER NOTE: ALL NEW SUPPLIER ARE REQUIRED TO SUBMIT THE FOLLOWING DOCUMENT. 1. DTI Registration 2. SEC Registration 3. Current Mayor's Permit 4. Certificate of Registration from B.I.R/TIN number. 5. Tax Clearance Certificate Issue</t>
  </si>
  <si>
    <t xml:space="preserve"> Republic of the Philippines Municipality of Kalayaan Province of Palawan BIDS and AWARDS COMMITTEE PUBLIC BIDDING HIRING OF MOTOR LAUNCH INTENDED FOR MOBILIZATION OF CONSTRUCTION MATERIALS FOR CONSTRUCTION OF SANITARY TOILET WITH HYGIENE FACILITIES FOR PU</t>
  </si>
  <si>
    <t xml:space="preserve"> ITEM NO.	ITEM &amp; DESCRIPTION					QTY.	UoM Supply Labor &amp; Materials including installation 1	Close Circuit Television (CCTV)						1	lot 	Specs:							 	16 Channel Network Recorder( NVR)  POE							 	8TB HDD							 	6 units 4MP Bullet Cam POE							 	6 units</t>
  </si>
  <si>
    <t xml:space="preserve"> pcs	Hammer	2	295.00	 590.00  pcs	Saw	2	205.00	 410.00  pair	Shredder	1	2,500.00	 2,500.00  unit	Fire Extinguisher	2	2,500.00	 5,000.00  unit	Cart	1	1,500.00	 1,500.00  unit	Wheel Barrow	1	3,500.00	 3,500.00  unit	Soil Thermometer	1	450.00	 450.00  unit	pH</t>
  </si>
  <si>
    <t xml:space="preserve"> 1 PC NELSONS TEXTBOOK OF PEDIATRICS 21ST EDITION (2 VOLUMES) 1 PC BATE'S GUIDE TO PHYSICAL EXAMINATION AND HISTORY TAKING  1 PC COMMON PEDIATRIC MEDICAL PROCEDURES (LATEST EDITION) 1 PC DEVELOPMENTAL AND BEHAVIORAL PEDIATRICS 1 PC NEONATAL AND PEDIATRIC P</t>
  </si>
  <si>
    <t xml:space="preserve"> A4 BOND PAPER 70GSM INK REFILLS</t>
  </si>
  <si>
    <t xml:space="preserve"> Republic of the Philippines PROVINCE OF ZAMBALES IBA BIDS AND AWARDS COMMITTEE Invitation to Bid for the Installation of Streetlights, Libertador, Lauis, Poblacion Candelaria and Brgy. Balincaguing, San Felipe 1.	The Province of Zambales, through the Gene</t>
  </si>
  <si>
    <t xml:space="preserve"> 1. Quick Dry Enamel 2. Epoxy Primer 3. Acrylic Thinner 4. Flap Disk 5. Cupbrush 6. Paint Roller 4" 7. Paint Roller 7" 8. Paint Brush 2" 9. Paint Brush 3" 10. Paint Tray 11. Nylon Rope 12. Bamboo</t>
  </si>
  <si>
    <t xml:space="preserve"> 1	unit	Laptop			 		Shall satisfy the following minimum technical 			 		specifications or its equivalent:			 		*with lifetime warranty			 		*Core i7, *i7-7700HQ, *2.8 GHz, *HM175			 		*NVIDIA GeForce GTX 1050 Up to 2GB GDDR5			 		*Dedicated graphics memory</t>
  </si>
  <si>
    <t xml:space="preserve"> RFQ&gt;&gt;&gt; Construction Materials and Tools | Lucban ES  ABC=P136,925.00 Download RFQ for complete list of items.</t>
  </si>
  <si>
    <t xml:space="preserve"> ready-made made hand washing facility</t>
  </si>
  <si>
    <t xml:space="preserve"> 1	unit	Multifunction Printer (print,scan,copy,fax) 				 		Shall satisfy the following minimum technical specifications				 		or its equivalent:				 		print speed up to 16ppm, scanner type ADF and flatbed, size (letter, A4,legal				 		wireless printing,epr</t>
  </si>
  <si>
    <t xml:space="preserve"> 1. Long Sleeve 2. Polo T Shirt Field Uniform 3. Rain Coat 4. Long Sleeved Neon Orange T-Shirt with Blue Sleeves 5. Rubber Boots 6. Hard Hat with DPWH Logo 7. Reflectorized Vest</t>
  </si>
  <si>
    <t xml:space="preserve"> Purchase of Hubbards/Sasso</t>
  </si>
  <si>
    <t xml:space="preserve"> 1     lot     Labor and Materials for the improvement of Irrigation Canal</t>
  </si>
  <si>
    <t xml:space="preserve"> 1.	The Municipality of Botolan, through the General Fund intends to apply the sum of P 2,999,150.00 being the Approved Budget for the Contract (ABC) to payments under the contract for Supply and Delivery of Rice for Rice Subsidy Program (50:50 scheme) of </t>
  </si>
  <si>
    <t xml:space="preserve"> 1	unit	Laptop				 		Shall satisfy the following minimum technical 				 		specifications or its equivalent:				 		*with lifetime warranty				 		*Core i7, *i7-7700HQ, *2.8 GHz, *HM175				 		*NVIDIA GeForce GTX 1050 Up to 2GB GDDR5				 		*Dedicated graphics </t>
  </si>
  <si>
    <t xml:space="preserve"> Deadline of Submission of Quotations:  August 27, 2020, 2:00 PM at the BAC Office Opening of Quotations:  August 27, 2020, 3:00 PM at the BAC Office</t>
  </si>
  <si>
    <t xml:space="preserve"> Republic of the Philippines            PROVINCE OF BUKIDNON             Municipality of Don Carlos                                          BIDS AND AWARDS COMMITTEE REQUEST FOR QUATATION  									 									Date:  									RFQ No.											Name of Proje</t>
  </si>
  <si>
    <t xml:space="preserve"> Lot 1: One (1) Application of Polyurethane Foam on all BSP Buildings of BSP Cebu RO (see attached Scope of Work and Specifications) Lot 2:  One (1) Lot Application of Polyurethane Foam Insulation at BSP Bacolod (Supply of Labor, Materials and Installation</t>
  </si>
  <si>
    <t xml:space="preserve"> Republic of the Philippines PROVINCE OF BUKIDNON Municipality of Don Carlos   BIDS AND AWARDS COMMITTEE REQUEST FOR QUOTATION 									 									Date:  									RFQ No.											   		Name of Project: Supply and  									Delivery of Rapid Test Kits inten</t>
  </si>
  <si>
    <t xml:space="preserve"> Sir/Madam:																																		 																																		 Please quote your government price/s including delivery charges, VAT or other applicable taxes, and other incidental expenses for the goods listed in Annex A.  Failure to indi</t>
  </si>
  <si>
    <t xml:space="preserve"> REQUEST FOR QUOTATION Local Government Unit of Guinobatan invites eligible Suppliers to submit Proposals specific named contract Purchase of IT Equipment for used at Budget Office Procurement will be conducted through Negotiated Procurement – Small Value </t>
  </si>
  <si>
    <t xml:space="preserve"> Supply and deliveru of construction materials for the Installation of Street Lights.</t>
  </si>
  <si>
    <t xml:space="preserve"> Please download the attached associated document.</t>
  </si>
  <si>
    <t xml:space="preserve"> REPUBLIC OF THE PHILIPPINES                                                                  PROVINCE OF NEGROS ORIENTAL                                                                           CITY OF DUMAGUETE                                           </t>
  </si>
  <si>
    <t xml:space="preserve"> Supply and delivery of calcified filling materials 1	50	cu.m.	Calcified filling materials 			        (Note: Place of delivery is at PhilRice Samar Satellite Station, 			        UEP Compound, Catarman, Northern Samar) 			        ***nothing follows***</t>
  </si>
  <si>
    <t xml:space="preserve"> To procure goods for the 10th Cycle implementation of Supplementary Feeding Program in the Municipality of Bagulin, La Union</t>
  </si>
  <si>
    <t xml:space="preserve"> INVITATION TO SUBMIT QUOTATION FOR THE CONSTRUCTION OF CONNECTING RAMP AND TILING OF ENTRANCE PAVEMENT OF THE NEW MEDICAL CLINIC BUILDING  August 19, 2020 Reference Number: 2020-590 Name of Project: Construction of Connecting Ramp and Tiling of Entrance P</t>
  </si>
  <si>
    <t xml:space="preserve"> Republic of the Philippines Cordillera Administrative Region Provincial Local Government Unit of Ifugao BIDS AND AWARDS COMMITTEE 2nd Floor COA Bldg., Capitol Compound Lagawe, Ifugao Email Ad.: bacgoodsifugao13@gmail.com INVITATION TO BID GENERAL HOME SUP</t>
  </si>
  <si>
    <t xml:space="preserve"> Republic of the Philippines Municipality of Kalayaan Province of Palawan BIDS and AWARDS COMMITTEE PUBLIC BIDDING VENUE RENTAL FOR THE CONDUCT OF SEMINAR WORKSHOP FOR COMPREHENSIVE DEVELOPMENT PLAN CY 2019 - 2022 1.	The Municipality of Kalayaan, through t</t>
  </si>
  <si>
    <t xml:space="preserve"> Name of the Procuring Entity					"(PR No. CDO-04-20M) (Cagayan de Oro City) "					 PHILIPPINE PORTS AUTHORITY, PMO MO/C										 Standard Form Number: SF-GOOD-60										 Revised on: May 24, 2004										 Standard Form Title: Request for Quotation					</t>
  </si>
  <si>
    <t xml:space="preserve"> Republic of the Philippines Barangay Government of Calarian  BIDS AND AWARDS COMMITTEE Calarian, Zamboanga City   INVITATION TO BID FOR THE CONSTRUCTION/REHABILITATION/IMPROVEMENT  OF  DRAINAGE  SYSTEM  AT  PUROK 4, 28th  IB,  CALARIAN , ZAMBOANGA CITY 1.</t>
  </si>
  <si>
    <t xml:space="preserve"> Republic of the Philippines Province of Cagayan Municipality of Baggao INVITATION TO BID FOR THE PROCUREMENT OF CIVIL WORKS The LOCAL GOVERNMENT UNIT OF BAGGAO, CAGAYAN, through 5-06-04-040-04 20% MDF- CY 2017(SB #1) &amp; 20% MDF- CY 2018  intends to apply t</t>
  </si>
  <si>
    <t xml:space="preserve"> Republic of the Philippines							 DEPARTMENT OF PUBLIC WORKS AND HIGHWAYS							 PANGASINAN IV							 DISTRICT ENGINEERING OFFICE							 REGIONAL OFFICE I							 Tuliao, Sta. Barbara, Pangasinan							 Name of Procuring Entity: PANGASINAN IV DISTRICT ENG</t>
  </si>
  <si>
    <t xml:space="preserve"> CONSTRUCTION  MATERIALS</t>
  </si>
  <si>
    <t xml:space="preserve"> *PLEASE SEE ATTACHED ASSOCIATED COMPONENTS FOR THE COMPLETE SPECIFICATION AND BAC REQUIREMENTS *PLEASE INDICATE COMPLETE SPECIFICATION OF THE QUOTED ITEM *KINDLY READ OTHER INFORMATION BELOW TO AVOID DISQUALIFICATION</t>
  </si>
  <si>
    <t xml:space="preserve"> These are essential supplies needed for module reproduction and the like. The school is remote and hardly accessible to public transport. Delivery should be made before 12nn of the scheduled date.</t>
  </si>
  <si>
    <t xml:space="preserve"> TERMS OF REFERENCE 1.	PROJECT TITLE: Comprehensive Maintenance Support and Services for the Private Automatic Branch Exchange (PABX) System of the Bureau of the Treasury 2.	PROJECT DESCRIPTION: This project calls for the comprehensive maintenance support </t>
  </si>
  <si>
    <t xml:space="preserve"> SELF - SKILLS ENHANCEMENT AND LEADERSHIP FORMATION - CLEAN AND GREEN</t>
  </si>
  <si>
    <t xml:space="preserve"> One (1) Lot Supply, Delivery and Installation of Additional Access Control System and Panic Buttons in the BSP Dumaguete Branch (see attached TOR/Scope of Work)                 nothing follows</t>
  </si>
  <si>
    <t xml:space="preserve"> INVITATION TO BID BAC-IB NO. 2020-35 	The Research Institute for Tropical Medicine (RITM) through its Bids and Awards Committee (BAC) invites technically, legally and financially capable PHILGEPS-registered suppliers/manufacturers to apply for eligibility</t>
  </si>
  <si>
    <t xml:space="preserve"> Republic of the Philippines BIDS AND AWARDS COMMITTEE Province of Iloilo Invitation to Bid PURCHASE OF DRUGS AND MEDICINES Bid No. IPH-20-0715-B 1. The Iloilo Provincial Government, through the GENERAL FUND 2020 intends to apply the sum of ONE HUNDRED SEV</t>
  </si>
  <si>
    <t xml:space="preserve"> Republic of the Philippines Province of South Cotabato BIDS AND AWARDS COMMITTEE Salada Street, Poblacion Tupi, South Cotabato Tel. Fax No.: (083) 226-1045 INVITATION TO BID FOR THE SUPPLY AND DELIVERY OF MATERIALS FOR THE REHABILITATION OF HOSPITAL GUTTE</t>
  </si>
  <si>
    <t xml:space="preserve"> Qty	Unit	Articles 50	 liters 	Engine Oil 50	 liters 	Automatic Transmission Oil 50	 liters 	Manual Transmission Fluid(MTF) 25	 pcs 	Brake Cleaner, 500ML 50	 liters 	Coolant 50	 pcs 	Spark Plug 50	 liters 	Grease 25	 tube  	sealant/adhesive 350ml 50	 pcs 	</t>
  </si>
  <si>
    <t xml:space="preserve"> 1000 REAM BOOK PAPER SUBSTANCE 20, ULTRA WHITE</t>
  </si>
  <si>
    <t xml:space="preserve"> Republic of the Philippines BIDS AND AWARDS COMMITTEE Province of Iloilo Invitation to Bid PURCHASE OF DRUGS AND MEDICINES Bid No. IPH-20-0374-B 1. The Iloilo Provincial Government, through the GENERAL FUND 2020 intends to apply the sum of SIX HUNDRED SEV</t>
  </si>
  <si>
    <t xml:space="preserve"> 4 PC/S Computer Desktop            OS: Windows 10 Pro licensed            INTEL CORE i5 gen Processor            4GB DDR4 Memory            250 gb SSD            500 GB HHD            21" Monitor            Keyboard and Mouse 4 PC/S 650 VA UPS (black)    </t>
  </si>
  <si>
    <t xml:space="preserve"> Purchase of  Ball joint    2 Ball joint upper 2 Upper link         2 Tire 185x14 tire rod end  4 idler arm  1 Pitman arm 1 Bore crank 1 Center post 1 Drag link 1 Front wheel bearing 4 Grease    2 can 1 set brake pad Job order replace spare parts and labor</t>
  </si>
  <si>
    <t xml:space="preserve"> 21	units	Pigeon Box (painted)		 		Color: Chocolate brown		 		Type: close (lockable)		 		Materials: Plywood (authentic Sta. Clara plywood)		 		box dimension: 0.48m x 1.2m x 2.0m		 		Shelf hole dimension: Width-0.30m; Depth-0.40m;		 		Length-0.40m		 		(plea</t>
  </si>
  <si>
    <t xml:space="preserve"> INVITATION TO BID BAC-IB NO. 2020-36 	The Research Institute for Tropical Medicine (RITM) through its Bids and Awards Committee (BAC) invites technically, legally and financially capable PHILGEPS-registered suppliers/manufacturers to apply for eligibility</t>
  </si>
  <si>
    <t xml:space="preserve"> INVITATION TO BID   Purchase of Rice for the 10th Cycle Supplementary Feeding Program in Baguio City and Abra  ITB 2020-DSWD-CAR-19 1.	The Department of Social Welfare and Development - Cordillera Administrative Region (DSWD-CAR), through the General Appr</t>
  </si>
  <si>
    <t xml:space="preserve"> The Department of Agriculture Regional Field Office IX, through the GAA 2020 (PRDP) intends to apply the sum of (PHP 180,000.00) being the Approved Budget for the Contract (ABC) to payments under the contract for 08-018-20. Bids received in excess of the </t>
  </si>
  <si>
    <t xml:space="preserve"> REPUBLIC OF THE PHILIPPINES PROVINCE OF SURIGAO DEL NORTE MUNICIPALITY OF SAN ISIDRO BARANGAY TIGASAO San Isidro, Surigao del Norte Section I. Invitation to Bid - rebid PROCUREMENT OF HARDWARE MATERIALS FOR THE IMPROVEMENT OF MP BUILDING 1.	The Barangay G</t>
  </si>
  <si>
    <t xml:space="preserve"> see attached associated component documents</t>
  </si>
  <si>
    <t xml:space="preserve"> Republic of the Philippines Barangay 105, zone 8, District I Bids and awards committee INVITATION TO BID Barangay 105, zone 8, District I, Manila through  its bids and awards  committee (BAC), invites suppliers to bid the here under project, Educational m</t>
  </si>
  <si>
    <t xml:space="preserve"> The Department of Agriculture Regional Field Office IX, through the GAA 2020 (PRDP) intends to apply the sum of (PHP 180,000.00) being the Approved Budget for the Contract (ABC) to payments under the contract for 08-019-20. Bids received in excess of the </t>
  </si>
  <si>
    <t xml:space="preserve"> *PLEASE SEE ATTACHED COMPONENTS FOR COMPLETE SPECIFICATION AND BAC REQUIREMENTS *PLEASE INDICATE COMPLETE SPECIFICATION OF THE QUOTED ITEM *KINDLY READ OTHER INFORMATION BELOW TO AVOID DISQUALIFICATION *PLEASE ATTACH BROCHURE/PAMPHLET OF THE QUOTED ITEM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</si>
  <si>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</si>
  <si>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</si>
  <si>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FOR MODULE PRINTING</t>
  </si>
  <si>
    <t xml:space="preserve"> Delivery and Procurement of Various Medicines e. g common medicines readily available in Rural Health Unit of Tago, Surigao del Sur.</t>
  </si>
  <si>
    <t xml:space="preserve"> PROCUREMENT FOR THE PREVENTIVE MAINTENANCE FOR THE AUDIO VISUAL SYSTEM AT THE CAFETERIA, MARBLE HALL AND OSMENA THEATER OF THE BUREAU OF THE TREASURY DESCRIPTION: The project calls to provide preventive maintenance for the Audio Visual Facility of the Bur</t>
  </si>
  <si>
    <t xml:space="preserve"> 1 UNIT Computer Desktop            OS: Windows 10 Pro licensed            INTEL CORE i5 gen Processor            4GB DDR4 Memory            250 gb SSD            500 GB HHD            21" Monitor            Keyboard and Mouse 1 UNIT 650 VA UPS (black)    </t>
  </si>
  <si>
    <t xml:space="preserve"> PORTABLE SPEAKERS QR SCANNER PRINTER</t>
  </si>
  <si>
    <t xml:space="preserve"> The Department of Agriculture Regional Field Office IX, through the GAA 2020 (PRDP) intends to apply the sum of (PHP 90,000.00) being the Approved Budget for the Contract (ABC) to payments under the contract for 08-014-20. Bids received in excess of the A</t>
  </si>
  <si>
    <t xml:space="preserve"> The Department of Agriculture Regional Field Office IX, through the GAA 2020 (Rice Program 2020) intends to apply the sum of (PHP 126,900.00) being the Approved Budget for the Contract (ABC) to payments under the contract for 08-021-20. Bids received in e</t>
  </si>
  <si>
    <t xml:space="preserve"> The Department of Agriculture Regional Field Office IX, through the GAA 2020 (National Rice Program 2020) intends to apply the sum of (PHP 58,600.00) being the Approved Budget for the Contract (ABC) to payments under the contract for 08-012-20. Bids recei</t>
  </si>
  <si>
    <t xml:space="preserve"> Negotiated Procurement (Sec 53.1) 1.	The Provincial Government of Misamis Oriental, through the Approved Budget for the Contract (ABC) intends to apply the sum stated below with the item description, being the Approved Budget for the Contract (ABC) to pay</t>
  </si>
  <si>
    <t xml:space="preserve"> PCCP=0.15m x 4.00m x18.00=10.80cu.m Sand and Gravel=0.10m x 5.00m x 18.00m=9cu.m</t>
  </si>
  <si>
    <t xml:space="preserve"> INVITATION TO BID   Purchase of Food Supplies for the 10th Cycle Supplementary Feeding Program in Abra, Benguet, Ifugao, Kalinga and Paracelis, Mt. Province  ITB 2020-DSWD-CAR-20 1.	The Department of Social Welfare and Development - Cordillera Administrat</t>
  </si>
  <si>
    <t xml:space="preserve"> Supply &amp; Delivery of Office Equipment ABC:250,000.00 	1 unit Multi-Function Printer, Photocopier, Scanner in-One, HD A.	General: -	Warm up time: 21-25 seconds -	First output speed: B/W 5.1-5.5 seconds -	First output speed: full color 7.4- 8 seconds -	Cont</t>
  </si>
  <si>
    <t xml:space="preserve"> 4000	reams	Paper, multipurpose, A4, 70gsm 250	boxes	Staple wire, standard, 26/6 5	rolls	plastic cover 25	pcs	stapler with remover, heavy duty 50	rolls	duct tape, 2 inches 50	rolls	duct tape, 3 inches</t>
  </si>
  <si>
    <t xml:space="preserve"> The Department of Agriculture Regional Field Office IX, through the GAA 2020 (PRDP) intends to apply the sum of (PHP 90,000.00) being the Approved Budget for the Contract (ABC) to payments under the contract for 08-015-20. Bids received in excess of the A</t>
  </si>
  <si>
    <t xml:space="preserve"> The Department of Agriculture Regional Field Office IX, through the GAA 2020 (ILD 2020) intends to apply the sum of (PHP 217,000.00) being the Approved Budget for the Contract (ABC) to payments under the contract for 08-013-20. Bids received in excess of </t>
  </si>
  <si>
    <t xml:space="preserve"> Republic of the Philippines Province of Davao Oriental CITY OF MATI REQUEST FOR QUOTATION 			 Date:	18 AUGUST 2020 RFQ No.:	1144-2020 Name of Company: ________________________________________________________________________________________________________</t>
  </si>
  <si>
    <t xml:space="preserve"> Republic of the Philippines BIDS AND AWARDS COMMITTEE Province of Iloilo Invitation to Bid PURCHASE OF LABORATORY SUPPLIES Bid No. IPH-20-0687-B 1. The Iloilo Provincial Government, through the GENERAL FUND 2020 intends to apply the sum of SIX HUNDRED THI</t>
  </si>
  <si>
    <t xml:space="preserve"> The Department of Agriculture Regional Field Office IX, through the GAA 2020 - (National Livestock Program) intends to apply the sum of (PHP 52,925.00) being the Approved Budget for the Contract (ABC) to payments under the contract for 07-046-20. Bids rec</t>
  </si>
  <si>
    <t xml:space="preserve"> Republic of the Philippines Province of Davao Oriental CITY OF MATI REQUEST FOR QUOTATION 			 Date:	18 AUGUST 2020 RFQ No.:	1156-2020 Name of Company: ________________________________________________________________________________________________________</t>
  </si>
  <si>
    <t xml:space="preserve"> The Department of Agriculture Regional Field Office IX, through the GAA 2020 - (SAAD Program) intends to apply the sum of (PHP 210,000.00) being the Approved Budget for the Contract (ABC) to payments under the contract for 03-034-20. Bids received in exce</t>
  </si>
  <si>
    <t xml:space="preserve"> Republic of the Philippines Province of Camarines Sur Municipality of Pili Barangay Pawili INVITATION OF BID FOR REHABILITATION OF MULTIPURPOSE BUILDING AT ZONE 3 BARANGAY PAWILI, PILI, CAMARINES SUR   1.	The Barangay Pawili, Pili, Camarines Sur through t</t>
  </si>
  <si>
    <t xml:space="preserve"> The Department of Agriculture Regional Field Office IX, through the GAA 2020 (National Livestock Program 2020) intends to apply the sum of (PHP 89,562.00) being the Approved Budget for the Contract (ABC) to payments under the contract for 08-008-20. Bids </t>
  </si>
  <si>
    <t xml:space="preserve"> Republic of the Philippines Province of Davao Oriental CITY OF MATI REQUEST FOR QUOTATION 			 Date:	18 AUGUST 2020 RFQ No.:	1158-2020 Name of Company: ________________________________________________________________________________________________________</t>
  </si>
  <si>
    <t xml:space="preserve"> Republic of the Philippines Province of Nueva Ecija Municipality of Cuyapo -o0o- OFFICE OF THE BIDS AND AWARDS COMMITTEE INVITATION TO BID FOR  PURCHASE OF 6 UNITS MACHINE (COPIER, PRINTER, SCANNER) 1. The Municipality of Cuyapo, Nueva Ecija intends to ap</t>
  </si>
  <si>
    <t xml:space="preserve"> Installation of Walling, Door and Windows  pc 	4" thk Concrete Hollow Block	600.00  bag 	Portland Cement	30.00  cu.m 	Fresh Water Sand	7.00  kg 	12 mm Ǿ RSB	160.20  kg 	10 mm Ǿ RSB	111.60  kg 	Tie Wire	4.00  bag 	Portland Cement	30.00  bdft 	2 x 3 x 12 Go</t>
  </si>
  <si>
    <t xml:space="preserve"> The Department of Agriculture Regional Field Office IX, through the GAA 2020 (PRDP) intends to apply the sum of (PHP 80,000.00) being the Approved Budget for the Contract (ABC) to payments under the contract for 08-009-20. Bids received in excess of the A</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</si>
  <si>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</si>
  <si>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</si>
  <si>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Invitation to Bid Republic of the Philippines City of Olongapo -0- BIDS AND AWARDS COMMITTEE BAC 3rd  Floor  Olongapo City Hall  Web: www.olongapocity.gov.ph INVITATION TO BID FOR  OC-85(CEO-27) 20 CW RE-BID Repair of Classroom (Replacement of Roofing, Tr</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</si>
  <si>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</si>
  <si>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The Department of Agriculture Regional Field Office IX, through the GAA 2020 - (ICT Management Support) intends to apply the sum of (PHP 105,000.00) being the Approved Budget for the Contract (ABC) to payments under the contract for 07-051-20. Bids receiv</t>
  </si>
  <si>
    <t xml:space="preserve"> Supply, Delivery and Installation of Two Units 5.0TR Floor Mounted Air Conditioner Technical Specifications (per attached file) Request for Quotation Form (per attached file) Integrity Pledge - to be filled out by Possible Bidder (per attached file) To be</t>
  </si>
  <si>
    <t xml:space="preserve"> The Department of Agriculture Regional Field Office IX, through the GAA 2020 (Rice Program) intends to apply the sum of (PHP 171,000.00) being the Approved Budget for the Contract (ABC) to payments under the contract for 08-011-20. Bids received in excess</t>
  </si>
  <si>
    <t xml:space="preserve"> 7 units Handheld radio</t>
  </si>
  <si>
    <t xml:space="preserve"> Republic of the Philippines Province of Davao Oriental CITY OF MATI REQUEST FOR QUOTATION 			 Date:	18 AUGUST 2020 RFQ No.:	1132-2020 Name of Company: ________________________________________________________________________________________________________</t>
  </si>
  <si>
    <t xml:space="preserve"> Invitation to Bid Republic of the Philippines City of Olongapo -0- BIDS AND AWARDS COMMITTEE BAC 3rd  Floor  Olongapo City Hall  Web: www.olongapocity.gov.ph INVITATION TO BID FOR  OC-84(CEO-26) 20 CW RE-BID Proposed Upgrading of Drainage System @ 16th St</t>
  </si>
  <si>
    <t xml:space="preserve"> Republic of the Philippines Province of Davao Oriental CITY OF MATI REQUEST FOR QUOTATION 			 Date:	18 AUGUST 2020 RFQ No.:	1150-2020 Name of Company: ________________________________________________________________________________________________________</t>
  </si>
  <si>
    <t xml:space="preserve"> Opening of Bid will be on August 27,2020 : 9:00 am at Barangay Hall, Barangay Southside, Makati City</t>
  </si>
  <si>
    <t xml:space="preserve"> Republic of the Philippines Province of Davao Oriental CITY OF MATI REQUEST FOR QUOTATION 			 Date:	18 AUGUST 2020 RFQ No.:	1134-2020 Name of Company: ________________________________________________________________________________________________________</t>
  </si>
  <si>
    <t xml:space="preserve"> Invitation to Bid Republic of the Philippines City of Olongapo -0- BIDS AND AWARDS COMMITTEE BAC 3rd  Floor  Olongapo City Hall  Web: www.olongapocity.gov.ph INVITATION TO BID FOR  OC-82(CEO-24) 20 CW  Proposed Asphalt Overlay at Fendler St.(1st St. - 5th</t>
  </si>
  <si>
    <t xml:space="preserve"> Date: August 19, 2020  Quotation No.: 2020-074 REQUEST FOR QUOTATION The Municipal Government of Victoria, through the Bids and Awards Committee, will undertake Small Value Procurement for the “Procurement Of Airconditioning Unit and Steel Cabinet” in acc</t>
  </si>
  <si>
    <t xml:space="preserve"> Republic of the Philippines Province of Davao Oriental CITY OF MATI REQUEST FOR QUOTATION 			 Date:	18 AUGUST 2020 RFQ No.:	1136-2020 Name of Company: ________________________________________________________________________________________________________</t>
  </si>
  <si>
    <t xml:space="preserve"> Republic of the Philippines Province of Davao Oriental CITY OF MATI REQUEST FOR QUOTATION 			 Date:	18 AUGUST 2020 RFQ No.:	1138-2020 Name of Company: ________________________________________________________________________________________________________</t>
  </si>
  <si>
    <t xml:space="preserve"> Republic of the Philippines Province of Davao Oriental CITY OF MATI REQUEST FOR QUOTATION 			 Date:	18 AUGUST 2020 RFQ No.:	1143-2020 Name of Company: ________________________________________________________________________________________________________</t>
  </si>
  <si>
    <t xml:space="preserve"> Description I.	Sign Board II.	Clearing/Excavation III.	Formworks IV.	Electrical Post and Pedestal V.	Electrical Works VI.	Painting Works VII.	Construction Safety &amp; Health 1. Barangay Maribi Tanauan, LEYTE through the bids and awards comm.) invites supplie</t>
  </si>
  <si>
    <t xml:space="preserve"> Republic of the Philippines Province of Davao Oriental CITY OF MATI REQUEST FOR QUOTATION 			 Date:	18 AUGUST 2020 RFQ No.:	1135-2020 Name of Company: ________________________________________________________________________________________________________</t>
  </si>
  <si>
    <t xml:space="preserve"> Description I.	Sign Board II.	Clearing/Excavation III.	Formworks IV.	Electrical Post and Pedestal V.	Electrical Works VI.	Painting Works VII.	Construction Safety &amp; Health 1. Barangay Kiling Tanauan, LEYTE through the bids and awards comm.) invites supplie</t>
  </si>
  <si>
    <t xml:space="preserve"> The Department of Agriculture Regional Field Office IX, through the GAA 2020 (HVCDP2020) intends to apply the sum of (PHP 90,000.00) being the Approved Budget for the Contract (ABC) to payments under the contract for 08-003-20. Bids received in excess of </t>
  </si>
  <si>
    <t xml:space="preserve"> Invitation to Bid Republic of the Philippines City of Olongapo -0- BIDS AND AWARDS COMMITTEE BAC 3rd  Floor  Olongapo City Hall  Web: www.olongapocity.gov.ph INVITATION TO BID FOR  OC-81(CEO-23) 20 CW Completion of 6th St. Shed (Including Comfort Rooms) B</t>
  </si>
  <si>
    <t xml:space="preserve"> The Department of Agriculture Regional Field Office IX, through the GAA 2020 (Rice Program) intends to apply the sum of (PHP 66,500.00) being the Approved Budget for the Contract (ABC) to payments under the contract for 08-010-20. Bids received in excess </t>
  </si>
  <si>
    <t xml:space="preserve"> The Department of Agriculture Regional Field Office IX, through the GAA 2020 (PRDP) intends to apply the sum of (PHP 75,000.00) being the Approved Budget for the Contract (ABC) to payments under the contract for 08-016-20. Bids received in excess of the A</t>
  </si>
  <si>
    <t xml:space="preserve"> 1	unit	Laptop		 		Shall satisfy the following minimum technical 		 		specifications or its equivalent:		 		Solid State Drive (SSD)		 		Processor		 		Up to 8th Gen Intel® Core™ i7 with vPro		 		Operating System		 		Up to Windows 10 Pro		 		Display		 		Up t</t>
  </si>
  <si>
    <t xml:space="preserve"> Please quote your best offer for the item/s described herein, subject to the Terms and Conditions provided. Submit your quotation duly signed by you or your duly authorized representative.							 1	5,939	pc	MANGO ASEXUALLY PROPAGATED (100% CERTIFIED) 			-</t>
  </si>
  <si>
    <t xml:space="preserve"> The Department of Agriculture Regional Field Office IX, through the GAA 2020 (PRDP) intends to apply the sum of (PHP 140,000.00) being the Approved Budget for the Contract (ABC) to payments under the contract for 08-017-20. Bids received in excess of the </t>
  </si>
  <si>
    <t xml:space="preserve"> INVITATION TO BID FOR THE PURCHASE OF MATERIALS AND INSTALLATION OF CORN MILL (2ND BID OPENING) 1.	The Barangay Local Government Unit of Guilang-Guilang, through the Barangay Fund  intends to apply the sum of Three Hundred Fifty Nine Thousand Two Hundred </t>
  </si>
  <si>
    <t xml:space="preserve"> 4 units RICOH MP 2014 AD 1 unit RISO CV 3230 8 pcs. CCTV Camera - 360</t>
  </si>
  <si>
    <t xml:space="preserve"> RFQ-GS-20200805-01 Interested Suppliers are invited to submit Price Quotation for the above listed item. The official LANDBANK Request for Quotation Form may be obtained from MR. ELMER ABUZO (tel no. 8 5512200 LOCALS 2979, 2290; email address: engr_elmer@</t>
  </si>
  <si>
    <t xml:space="preserve"> Please download the attached file (Associated Components) for the Bid Document.</t>
  </si>
  <si>
    <t xml:space="preserve"> To procure goods for the 10th Cycle implementation of Supplementary Feeding Program in the Municipality of Santol, La Union</t>
  </si>
  <si>
    <t xml:space="preserve"> Corazon Locsin Montelibano Memorial Regional Hospital, through its Bids and Awards Committee, intends to procure ELECTRICAL SUPPLIES (PR#20-08-70734), which will be undertaken in accordance with Section 53.9 of the Revised Implementing Rules and Regulatio</t>
  </si>
  <si>
    <t xml:space="preserve"> Republic of the Philippines Province of Ilocos Norte MUNICIPALITY OF DINGRAS INVITATION TO BID FOR THE PROCUREMENT OF 4,350 REAMS A4 BOND PAPER FOR MODULES LEARNING 1.	The Local Government Unit of Dingras, through the SEF/LSB intends to apply the sum of O</t>
  </si>
  <si>
    <t xml:space="preserve"> 1) 143 Bags 40 kg Portland cement 2) 88 Bags Tile adhesive 3) 140 Pcs. 60 cm x 60 cm Granite floor tiles 4) 395 Pcs. 40 cm x 40 cm ceramic floor tiles 5) 2 Sheets 0.5 x 3’ x12’ Corr G.I. shts. 6) 80 Pcs. 30 cm x 30 cm ceramic floor tiles 7) 90 Pcs. 30 cm </t>
  </si>
  <si>
    <t xml:space="preserve"> CONSTRUCTION &amp; DEVELOPMENT OF SANITARY LANDFILL (PHASE I) (MATERIALS, LABOR &amp; EQUIPMENT RENTAL) AT CONCEPCION,, MACO, DAVAO DE ORO.</t>
  </si>
  <si>
    <t xml:space="preserve"> Republic of the Philippines Province of Nueva Vizcaya BIDS AND AWARDS COMMITTTEE (GOODS) BAC OFFICE, Provincial Capitol, Bayombong, Nueva Vizcaya 	 		 REQUEST FOR QUOTATION (RFQ) For the Procurement of Janitorial Supplies For the Diadi Memorial Hospital (</t>
  </si>
  <si>
    <t xml:space="preserve"> REQUEST FOR QUOTATION 	The Caraga State University-Cabadbaran Campus, through its Bids and Awards Committee (BAC), will undertake a Negotiated Procurement (Small Value Procurement) for the project: PROCUREMENT ON SUBSCRIPTION OF VIDEO CONFERENCING APP FOR</t>
  </si>
  <si>
    <t xml:space="preserve"> Improvement of Batulawan, Pikit Extension Classroom (Bldg 1 &amp; Bldg 2</t>
  </si>
  <si>
    <t xml:space="preserve"> Republic of the Philippines   Province of Aklan MUNICIPALITY OF LIBACAO BARANGAY PAMPANGO                                                            The Barangay Pampango  through its Bids and Awards Committee (BAC), invites contractors to submit bids for</t>
  </si>
  <si>
    <t xml:space="preserve"> One Unit  Water System</t>
  </si>
  <si>
    <t xml:space="preserve"> Republic of the Philippines LOCAL GOVERNMENT UNIT OF SAN POLICARPO Municipal Building, San Policarpo, Eastern Samar, 6821 E-mail Address: lgusanpolicarpo_bac@yahoo.com BIDS AND AWARDS COMMITTEE (BAC) INVITATION TO BID   # 2020-08-01 The Local Government U</t>
  </si>
  <si>
    <t xml:space="preserve"> INVITATION TO BID FOR Supply and Delivery of Dental Health Care Supplies for Kindergarten to Grade 6 Learners of Deped - SDO Toledo City 1.	The Schools Division of Toledo City, through the General Appropriations Act (GAA) intends to apply the sum of One m</t>
  </si>
  <si>
    <t xml:space="preserve"> Item No. Qty. units Description Brand Amount / Unit 1 105 PAX MEALS WITH ACCOMMODATION 3-DAY LIVE-IN SEMINAR PACKAGE Note: 35 pax per day for 3 days with free flowing coffee free use of function hall and sound system free use of LCD projector Day 1: (35 p</t>
  </si>
  <si>
    <t xml:space="preserve"> This project is dealing of Brgy. Bebito, Lopez, Quezon</t>
  </si>
  <si>
    <t xml:space="preserve"> Engagement of Consulting Services for 2020 NHMFC Customer Satisfaction Survey The National Home Mortgage Finance Corporation (NHMFC) is inviting all interested parties to submit proposals for the Engagement of Consulting Services for 2020 NHMFC Customer S</t>
  </si>
  <si>
    <t xml:space="preserve"> Building Construction</t>
  </si>
  <si>
    <t xml:space="preserve"> Item No. Qty. units Description Brand Amount / Unit 1 10 PIECE/S TIRE - 700 R15 W/ TUBE &amp; FLAP For Malungon Municipal Hospital Ambulance Use Plate # CR 1304.</t>
  </si>
  <si>
    <t xml:space="preserve"> Republic of the Philippines Province of Nueva Ecija Municipality of Cuyapo -o0o- OFFICE OF THE BIDS AND AWARDS COMMITTEE INVITATION TO BID FOR THE CONSTRUCTION OF COVERED ROOF EXTENSION FROM GYM TO STAGE 1. The Municipality of Cuyapo, Nueva Ecija intends </t>
  </si>
  <si>
    <t xml:space="preserve"> Republic of the Philippines PROVINCE OF NUEVA ECIJA City of Palayan INVITATION TO BID FOR  SUPPLY AND DELIVERY OF HARDWARE/ CONSTRUCTION MATERIALS (RE-BID) August 20, 2020 1.	The Provincial Government of Nueva Ecija (PGNE), through the General Fund, inten</t>
  </si>
  <si>
    <t xml:space="preserve"> SUPPLY &amp; DELIVERY OF MATERIALS FOR THE EXTENSION OF MULTI-PURPOSE BLDG.</t>
  </si>
  <si>
    <t xml:space="preserve"> Republic of the Philippines Province of Siquijor Municipality of Enrique Villanueva INVITATION TO BID FOR the Purchase of Ambulance 1. The Local Government Unit of Enrique Villanueva, through the 2019 Local Government Support Fund-Other Financial Assistan</t>
  </si>
  <si>
    <t xml:space="preserve"> (see bidding documents and other supporting papers in the associated component for further project details)</t>
  </si>
  <si>
    <t xml:space="preserve"> The Roxas City Government, through the GOP-2020 intends to apply the total amount of Four Hundred Ninety Five Thousand Five Hundred Sixty Pesos (Php 495,560.00) being the Aggregate Approved Budget for the Contract (ABC) to payments under the contract for </t>
  </si>
  <si>
    <t xml:space="preserve"> CRFPSP PROJECTS AT BARANGAY GUILING, ALAMADA, COBATO. PLEASE SEE ATTACHED RFQ FOR DETAILS.</t>
  </si>
  <si>
    <t xml:space="preserve"> 2      SHEETS       4'X8' PRINTED TARPAULIN 1       PC              1/4"X4"X8" ORDINARY PLYWOOD 36     BD.FT.        2"X3"X12ft GOOD LUMBER, 6PCS 4       PCS            1/4"X2"X2.4m LATTICE MOULDING 1.5    KGS.           4" C.W. NAILS 1.5    KGS.         </t>
  </si>
  <si>
    <t xml:space="preserve"> Republic of the Philippines Barangay 786, Zone 86, District V Bids and awards Committee INVITATION TO BID Barangay 786, Zone 86, District V, Manila through its bids and awards committee (BAC) invites supplier to bid the here under project:    Office suppl</t>
  </si>
  <si>
    <t xml:space="preserve"> Learners Modules to be used for Week 1 and 2 for the 1st Quarter</t>
  </si>
  <si>
    <t xml:space="preserve"> Improvement of Barangay Road Purok 2-3, Barangay Leonardo</t>
  </si>
  <si>
    <t xml:space="preserve"> The Roxas City Government, through the GOP-2020 intends to apply the total amount of One Hundred Eighteen Thousand Four Hundred Forty-two  Pesos (P118,442.00) being the Approved Budget for the Contract (ABC) to payments under the contract for Public Biddi</t>
  </si>
  <si>
    <t xml:space="preserve"> Construction of Single Phase Line with 25kVA DT PAGSABANGAN ELEMENTARY SCHOOL Please see attached associated components (Invitation to Bid) for detailed technical specification of the project.</t>
  </si>
  <si>
    <t xml:space="preserve"> 10        ROLLS       2" DIA. HDPE PIPE, 60m PER ROLL 8          PCS           2" DIA. COMPRESSION TYPE COUPLING 8          PCS           2" DIA. COMPRESSION TYPE TEE 30        LITERS       2"X1" SADLE CLAMPS 12        ROLLS        1" DIA. HPDE PIPE, 120m</t>
  </si>
  <si>
    <t xml:space="preserve"> Item	Qty.	A R T I C L E S				 1		CLEAN &amp; BEAUTIFICATION				 2	2 tin	Paint latex flat				 3	2 tin	Paint latex gloss				 4	10 gals	Paint ttraffic yellow				 5	6 gals	Paint traffic black				 6	10 gals	Paint blue				 7	5 gals	Paint red				 8	10 gals	Paint thi</t>
  </si>
  <si>
    <t xml:space="preserve"> Item	Qty.	A R T I C L E S				 1		OTHER PROPERTY PLANT &amp; EQUIPMENT				 2	1 lot	H/K CCTV CAMERA, monitor 32"				 3		video balun 6 channel,power supply				 4		CCTV 16 channel</t>
  </si>
  <si>
    <t xml:space="preserve"> PROCUREMENT OF EQUIPMENT, REAGENTS AND KITS FOR COVID-19 TESTING, SIKATUNA, BOHOL</t>
  </si>
  <si>
    <t xml:space="preserve"> Republic of the Philippines Province of Nueva Ecija Municipality of Cuyapo -o0o- OFFICE OF THE BIDS AND AWARDS COMMITTEE INVITATION TO BID FOR THE ROAD CONCRETING, BARANGAY NAGCURALAN 1. The Municipality of Cuyapo, Nueva Ecija intends to apply the sum of </t>
  </si>
  <si>
    <t xml:space="preserve"> Split Type Air Conditioned Includes the following: Materials Labor and Installation 1 year warranty on parts and services</t>
  </si>
  <si>
    <t xml:space="preserve"> LABOR AND MATERIALS.</t>
  </si>
  <si>
    <t xml:space="preserve"> The Department of Social Welfare and Development, Field Office VII (DSWD-FO VII), through the authorized appropriations for Fiscal Year 2020 General Appropriations Act intends to apply the sum of Eight Million Pesos (₱8,000,000.00) payments under the cont</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</si>
  <si>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</si>
  <si>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PROVINCE OF NUEVA ECIJA City of Palayan -o0o- Invitation to Bid for  CONSTRUCTION OF MULTI-PURPOSE FACILITIES (RE-BID) August 20, 2020 1.	The Provincial Government of Nueva Ecija (PGNE), through the Special Educational Fund (SE</t>
  </si>
  <si>
    <t xml:space="preserve"> Republic of the Philippines Province of Nueva Ecija Municipality of Cuyapo -o0o- OFFICE OF THE BIDS AND AWARDS COMMITTEE INVITATION TO BID FOR THE ROAD CONCRETING, BRGY. BAMBANABA TO BRGY. SANTA CRUZ 1. The Municipality of Cuyapo, Nueva Ecija intends to a</t>
  </si>
  <si>
    <t xml:space="preserve"> Republic of the Philippines PROVINCE OF NUEVA ECIJA City of Palayan INVITATION TO BID FOR  SUPPLY AND DELIVERY OF DRUGS AND MEDICINES FOR PROVINCIAL HEALTH OFFICE August 20, 2020 1.	The Provincial Government of Nueva Ecija (PGNE), through the General Fund</t>
  </si>
  <si>
    <t xml:space="preserve"> Republic ofa the Philippines Barangay 94, Zone 8, District I Bids and awards committee INVITATION TO BID Barangay 94, Zone 8, District I, Manila through its bids and awards committee (BAC) invites suppliers to bid the here under project: IT equipment     </t>
  </si>
  <si>
    <t xml:space="preserve"> ITEM	DESCRIPTION			QUANTITY	UNIT l	Mobilization/Demobilization			2.00	ways ll	Excavation/Site preparation			5.40	cu.m lll	Demolition of Concrete			0.72	cu.m iV	Concrete works			8.63	cu.m V	Transmission and distribution Line 			175.00	lm Vl	WELL DEVELOPMEN</t>
  </si>
  <si>
    <t xml:space="preserve"> 20M00193 - Concreting of Road (Sta. Limits = 0+000 – Sta. 1+000) (Net Length = 2 L.km or 1 Km.)</t>
  </si>
  <si>
    <t xml:space="preserve"> Republic of the Philippines Province of Nueva Ecija Municipality of Cuyapo -o0o- OFFICE OF THE BIDS AND AWARDS COMMITTEE INVITATION TO BID FOR THE INSTALLATION OF SOLAR STREET LIGHTS, SAN JOSE – CURVA ROAD 1. The Municipality of Cuyapo, Nueva Ecija intend</t>
  </si>
  <si>
    <t xml:space="preserve"> SUPPLY OF MATERIALS, TOOLS, EQUIPMENT, LABOR AND INCLUDING TECHNICAL EXPERTISE FOR THE RESTORATION TO NORMAL OPERATING CONDITION OF 20 TR CENTRALIZED AIR CONDITION UNIT</t>
  </si>
  <si>
    <t xml:space="preserve"> Republic of the Philippines PROVINCE OF NUEVA ECIJA City of Palayan INVITATION TO BID FOR  SUPPLY AND DELIVERY OF MEDICAL SUPPLIES FOR PROVINCIAL HEALTH OFFICE  August 20, 2020 1.	The Provincial Government of Nueva Ecija (PGNE), through the General Fund i</t>
  </si>
  <si>
    <t xml:space="preserve"> The Department of Social Welfare and Development, Field Office VII (DSWD-FO VII), through the authorized appropriations for Fiscal Year 2020 General Appropriations Act intends to apply the sum of One Million Two Hundred Eighty-Five Thousand Seven Hundred </t>
  </si>
  <si>
    <t xml:space="preserve"> The Environmental Management Bureau 10 through the GAA NDRRM FUND (Calamity Fund 2020) intends to apply the sum of [One Million Four Hundred Forty Thousand Pesos Only (php 1,440,000.00] being the Approved Budget for the Contract (ABC) to payments under th</t>
  </si>
  <si>
    <t xml:space="preserve"> Specifications:		Data: Cutting Type:		Cross-cut Throat Width:		230mm Shred Capacity:		10-12 Cutting Speed:		4mpm Shred Size:		1.9 x 15mm Bin capacity:		30L Other Specs:		Auto start and stop 		                Auto reverse to prevent paper jam 		           </t>
  </si>
  <si>
    <t xml:space="preserve"> Name of Requirement/Brief Description: One (1) Lot BSP Regional Wide Area Network (RWAN) Enhancement 2020 Project, as per BSP Terms of Reference Approved Budget for the Contract (ABC), VAT inclusive Php2,144,896.50 - Monthly Recurring Cost (Php25,738,758.</t>
  </si>
  <si>
    <t xml:space="preserve"> Vault Door Mechanism Time Lock and Time Movement -Three (3) movement time locks double - redundancy for dependability and  accuracy -All movements are precision 13-jewel Swiss mechanism -All time locks are listed under U.L. Standard 887 -All winding chart</t>
  </si>
  <si>
    <t xml:space="preserve"> INVITATION TO BID FOR LOT 1 - Reproduction and Delivery of Self-Learning Modules in English, Filipino and Edukasyon Sa Pagpapakatao for Grades 2 to Senior High School for DepEd - SDO Toledo City 1.	The Schools Division of Toledo City, through the General </t>
  </si>
  <si>
    <t xml:space="preserve"> Procurement of Materials for Solar Powered Street Lights for Zones 1 &amp; 4 of Barangay Alibago, Sta. Barbara, Pangasinan: 9	Sets	Solar Street Lights 60W</t>
  </si>
  <si>
    <t xml:space="preserve"> PART II  - OTHER GENERAL REQUIREMENTS PART III - CIVIL, MECHANICAL, ELECTRICAL AND SANITARY/PLUMBING WORKS PART A- EARTHWORKS PART B- PLAIN AND REINFORCED CONCRETE WORKS PART C- FINISHING AND OTHER CIVIL WORKS PART D- ELECTRICAL PART E- MECHANICAL</t>
  </si>
  <si>
    <t xml:space="preserve"> Republic of the Philippines  Barangay 842, Zone 92, District VI, Manila Bids and Awards Committee INVITATION TO BID Barangay 842, Zone 92, District VI, Manila through its Bids and Awards Committee (BAC), Invites all Suppliers Contractors to bid the here u</t>
  </si>
  <si>
    <t xml:space="preserve"> Republic of the Philippines Province of Siquijor Municipality of Enrique Villanueva INVITATION TO BID FOR the Purchase Of One (1) Fully Automated Hematology Analyzer 1. The Local Government Unit of Enrique Villanueva through the 20% Development Fund of 20</t>
  </si>
  <si>
    <t xml:space="preserve"> SUPPLY AND DELIVERY OF 10 units MS PROJECT PLAN 5 OPEN LICENSE Item Name: ProjectPlan5Open ShrdSvr SubsVL OLP NL Annual Gov Qlfd Item Group: Project Plan 5 Open Item Type: Monthly Subscriptions-VolumeLicense UOM: 1 Year SPECIFICATIONS: Following are the m</t>
  </si>
  <si>
    <t xml:space="preserve"> The Roxas City Government, through the GOP-2020 intends to apply the total amount of One Hundred Twenty-two Thousand Two Hundred Fifty-six Pesos (P 122,256.00 ) being the Approved Budget for the Contract (ABC) to payments under the contract for Public Bid</t>
  </si>
  <si>
    <t xml:space="preserve"> PRINTING OF SELF LEARNING MODULES GRADE 2			 Grade 2 (  2 Module x 40 pages x  173 pupils )			 GRADE 3			 Grade 3 ( 3  Module x 40 pages x  164 pupils)			 GRADE 4			 Grade 4 ( 7 Module x 40 pages x  124 pupils  )			 GRADE 5			 Grade 5 (  6 Module x 40 pag</t>
  </si>
  <si>
    <t xml:space="preserve"> Republic of the Philippines PROVINCE OF NUEVA ECIJA City of Palayan INVITATION TO BID FOR  SUPPLY AND DELIVERY OF TOILET BOWLS August 20, 2020 1.	The Provincial Government of Nueva Ecija (PGNE), through the General Fund, intends to apply the sum of Nine H</t>
  </si>
  <si>
    <t xml:space="preserve"> 1920          SACHET        SHAMPOO,13ml 960            PCS              BATHSOAP, 60gms,  1920          SACHET         DETERGENT POWDER, 66gms 960            SACHET         TOOTHPASTE, 24mg 75              BOTS             ZONROX BLEACH OR ITS EQUIVALENT</t>
  </si>
  <si>
    <t xml:space="preserve"> Republic of the Philippines Province of Siquijor Municipality of Enrique Villanueva INVITATION TO BID FOR the Purchase Office Supplies 1. The Local Government Unit of Enrique Villanueva, through the General Fund of 2020 intends to apply the sum of One Hun</t>
  </si>
  <si>
    <t xml:space="preserve"> To provide Labor and materials for the Construction of Municipal Green Bldg 2 Phase 3 Pre-bid Conference: September 8, 2020 @ 9:00AM, venue: Engineer's Office Opening of Bids - September 21, 2020, 10:00AM Other Information: Letter of Intent must be accomp</t>
  </si>
  <si>
    <t xml:space="preserve"> The Department of Agriculture Regional Field Office IX, through the GAA 2020 (Rice Program 2020) intends to apply the sum of (PHP 56,500.00) being the Approved Budget for the Contract (ABC) to payments under the contract for 08-022-20. Bids received in ex</t>
  </si>
  <si>
    <t xml:space="preserve"> REQUEST FOR QUOTATION (Small Value Procurement) 53.9 RFQ No. 2020-08-096 The Rizal Medical Center (Rizal Med) through its Bids and Awards Committee – B,        hereby invites all interested suppliers or distributors registered with the Philippine Governme</t>
  </si>
  <si>
    <t xml:space="preserve"> INVITATION TO BID PROCUREMENT OF MEDICINES, MEDICAL, LABORATORY AND DENTAL SUPPLIES FOR THE USE OF CITY HEALTH OFFICE 	 The City Government of Navotas, through its Bids and Awards Committee, will hold a Public Bidding for the PROCUREMENT OF MEDICINES, MED</t>
  </si>
  <si>
    <t xml:space="preserve"> Republic of the Philippines	 	DEPARTMENT OF PUBLIC WORKS AND HIGHWAYS	 	ILOILO 3RD	 	DISTRICT ENGINEERING OFFICE	 	REGIONAL OFFICE VI	 	Barotac Viejo, Iloilo	 NOTICE OF SHORT LIST AND REQUEST FOR PROPOSALS (RFP) August 7, 2020 ROLANDO C. SICCION SURVEYING</t>
  </si>
  <si>
    <t xml:space="preserve"> 8.00 	pcs	G.I Pipe 2" sch 20  12.00 	pcs	G.I Pipe 1 1/2"x20" sch 20  4.00 	pcs	G.I Pipe 1 1/2"x 10" sch 20  28.00 	pcs	Machine Bolt 5/8" x 4" w/ knut &amp; washer  4.00 	kgs	Welding Rod  48.00 	bags	Portland Cement  6.00 	cu.m.	Washed Sand  12.00 	cu.m.	Scree</t>
  </si>
  <si>
    <t xml:space="preserve"> INDUSTRIAL TECHNOLOGY DEVELOPMENT INSTITUTE DOST Cmpd., Bicutan, Taguig City Telephone Nos. (02) 837-20-71 to 82 local 2221 E-mail Add.: itdi.admbac@gmail.com INVITATION TO BID August 19, 2020 Sir/Madam: Please quote your price for the item/items listed b</t>
  </si>
  <si>
    <t xml:space="preserve"> The Department of Agriculture Regional Field Office IX, through the GAA 2020 (RICE Program 2020) intends to apply the sum of (PHP 132,096.00) being the Approved Budget for the Contract (ABC) to payments under the contract for 08-005-20. Bids received in e</t>
  </si>
  <si>
    <t xml:space="preserve"> Description   Description Republic of the Philippines Province of Davao del Sur Municipality of Sta.Cruz Barangay Tibolo INVITATION TO BID PROCUREMENT OF RESCUE VEHICLE 1. The Barangay Government of Tibolo, Sta.Cruz, Davao del Sur, through the Barangay Tr</t>
  </si>
  <si>
    <t xml:space="preserve"> Republic of the Philippines PROVINCE OF NUEVA ECIJA City of Palayan INVITATION TO BID FOR  SUPPLY AND DELIVERY OF PAINTS FOR DIFFERENT BARANGAYS OF NUEVA ECIJA August 20, 2020 1.	The Provincial Government of Nueva Ecija (PGNE), through the General Fund, i</t>
  </si>
  <si>
    <t xml:space="preserve"> 3 kit, Particle Agglutination Test for Treponema Palladium, 100's</t>
  </si>
  <si>
    <t xml:space="preserve"> The Bids and Awards Committee (BAC) of the LGU-Lubang, Occidental Mindoro invites contractors to bid for the aforementioned project: Contract I.D.:				ML-2020-04-23 Contract Name:	Construction of Solar-powered Potable Water System Contract Location:				Si</t>
  </si>
  <si>
    <t xml:space="preserve"> Barangay 20, Zone 2, District I, Manila Invites all suppliers/contractors to offer most favorable bid for the following supplies and materials: 140		pcs	NIGHTSTICK				 152		pair	BOOTS				 150		pcs	RAIN COAT				 300		pcs	RECHARGEABLE FLASHLIGHT				 150		pc</t>
  </si>
  <si>
    <t xml:space="preserve"> Republic of the Philippines Province of Davao Oriental CITY OF MATI REQUEST FOR QUOTATION 			 Date:	18 AUGUST 2020 RFQ No.:	1152-2020 Name of Company: ________________________________________________________________________________________________________</t>
  </si>
  <si>
    <t xml:space="preserve"> Printing Supplies such as inks, bondpapers and printing equipments</t>
  </si>
  <si>
    <t xml:space="preserve"> The Bids and Awards Committee (BAC) of the LGU-Lubang, Occidental Mindoro invites contractors to bid for the aforementioned project: Contract I.D.:				ML-2020-04-22 Contract Name:	Construction of Kawayan-Masaga FMR Phase I Contract Location:				Brgy. Tang</t>
  </si>
  <si>
    <t xml:space="preserve"> The Bids and Awards Committee (BAC) of the LGU-Lubang, Occidental Mindoro invites contractors to bid for the aforementioned project: Contract I.D.:				ML-2020-02-21 Contract Name:	Rehabilitation and Upgrading of Tilik Water System Contract Location:				Br</t>
  </si>
  <si>
    <t xml:space="preserve"> Barangay 20, Zone 2, District I, Manila Invites all suppliers/contractors to offer most favorable bid for the following supplies and materials: 50		ream	    BARANGAY LETTER HEAD (LONG)				 50		ream	    BARANGAY CERTIFICATION(SHORT)				 100		ream	    HARD </t>
  </si>
  <si>
    <t xml:space="preserve"> The Bids and Awards Committee (BAC) of the LGU-Lubang, Occidental Mindoro invites contractors to bid for the aforementioned project: Contract I.D.:				ML-2020-02-20 Contract Name:	Upgrading of Akle Water System Contract Location:				Sitio Akle, Brgy. Sorv</t>
  </si>
  <si>
    <t xml:space="preserve"> The Bids and Awards Committee (BAC) of the LGU-Lubang, Occidental Mindoro invites contractors to bid for the aforementioned project: Contract I.D.:				ML-2020-02-19 Contract Name:	Rehabilitation of Streetlights along Antonio Luna Highway and Brgy. Araw at</t>
  </si>
  <si>
    <t xml:space="preserve"> Barangay 20, Zone 2, District I, Manila Invites all suppliers/contactors to offer most favorable bid for the following Supplies and Material: 30		pcs	PLASTIC DUST PAN				 30		pcs	BROOMSTICK W/ HANDLE				 30		pair	RUBBERIZED GLOVES				 50		roll	GARBAGE BAG</t>
  </si>
  <si>
    <t xml:space="preserve"> INVITATION TO BID FOR LOT 2 - Reproduction and Delivery of Self-Learning Modules in Science, Araling Panlipunan and Math for Grades 2 to Senior High School for DepEd - SDO Toledo City 1.	The Schools Division of Toledo City, through the General Appropriati</t>
  </si>
  <si>
    <t xml:space="preserve"> Republic of the Philippines PROVINCE OF NUEVA ECIJA City of Palayan -o0o- Invitation to Bid for  CONSTRUCTION OF MULTI-PURPOSE FACILITY at San Agustin ES, Guimba, Nueva Ecija (RE-BID) August 20, 2020 1.	The Provincial Government of Nueva Ecija (PGNE), thr</t>
  </si>
  <si>
    <t xml:space="preserve"> INSTALLATION OF CCTV WIRELESS SET 8 CHANNEL NVR BULLET HIGH DEFINITION CAMERA WIRELESS   2TB SURVELLANCE HARDRIVE  32 INCHES LED MONITOR</t>
  </si>
  <si>
    <t xml:space="preserve"> Invitation to Bid for  Construction of Storage Warehouse and Parking, Municipal No. 2020-08-003 The Local Government Unit of Prieto Diaz, through the 20% Municipal Development Fund-2020  intends to apply the sum of Two Million Pesos Only (PhP 2,000,000.00</t>
  </si>
  <si>
    <t xml:space="preserve"> INVITATION TO BID FOR LOT 3 - Reproduction and Delivery of Self-Learning Modules in Music,  Arts, Physical Education, and Health for Grade 2 to Grade 8 for DepEd - SDO Toledo City 1.	The Schools Division of Toledo City, through the General Appropriations </t>
  </si>
  <si>
    <t xml:space="preserve"> Tokens for Loyalty Awardees during the 2020 Civil Service Month Celebration 1) Wristwatch for Women - Good Quality - 1pc 2) Wristwatch for men - Good Quality - 11pcs</t>
  </si>
  <si>
    <t xml:space="preserve"> SURIGAO STATE COLLEGE OF TECHNOLOGY Surigao City INVITATION TO BID FOR IMPROVEMENT OF ELECTRICAL FACILITIES – MAINIT CAMPUS 1.	The Surigao State College of Technology, through the General Appropriations Act (GAA) 2020 intends to apply the sum of Sixteen M</t>
  </si>
  <si>
    <t xml:space="preserve"> Republic of the Philippines Province of Nueva Vizcaya BIDS AND AWARDS COMMITTTEE (GOODS) BAC OFFICE, Provincial Capitol, Bayombong, Nueva Vizcaya 	 		 REQUEST FOR QUOTATION (RFQ) For the Procurement of Construction Materials For the Governor’s Office – Pa</t>
  </si>
  <si>
    <t xml:space="preserve"> Item No. Qty. units Description Brand Amount / Unit 1 5 BOT/S ACICLOVIR SUSPENSION, 200MG/ML, 120ML 2 50 BOT/S ALUMINUM HYDROXIDE, 225MG/5ML SUSPENSION, 120 ML 3 3 BOX/ES ATORVASTATIN TABLET 40MG, 30'S 4 100 VIAL/S BCG VACCINE 5 2 BOX/ES BETAHISTINE HCL, </t>
  </si>
  <si>
    <t xml:space="preserve"> Billboard; Dismantling of Rusted Gutter &amp; Dilapidated Downspout; Installation of fabricated gutter with screen; Replacement of dilapidated downspout; repair of catch basin; clearing of existing canal; grating; transportation; Construction Safety and Healt</t>
  </si>
  <si>
    <t xml:space="preserve"> Province of Nueva Vizcaya BIDS AND AWARDS COMMITTTEE (GOODS) BAC OFFICE, Provincial Capitol, Bayombong, Nueva Vizcaya 	 		 REQUEST FOR QUOTATION (RFQ) For the Procurement of 1 unit Desktop Computer (AIO) For the Provincial Cooperative &amp; Enterprise Develop</t>
  </si>
  <si>
    <t xml:space="preserve"> Rehabilitation of concrete pathway</t>
  </si>
  <si>
    <t xml:space="preserve"> ITEM OF WORKS: I GENERAL REQUIREMENTS (TEMPORARY ENCL. BATTERBOARDS/STAKES, ETC.) II EXCAVATION FOR STRUCTURES III CONCRETE WORKS IV MASONRY WORKS V ROOFING WORKS VI PLUMBING WORKS VII ELECTRICAL WORKS VIII CONSTRUCTION SAFETY AND HEALTH IX PROJECT I.D. A</t>
  </si>
  <si>
    <t xml:space="preserve"> Repair/Rehabilitation of Pathway</t>
  </si>
  <si>
    <t xml:space="preserve"> Rehabilitation of Multi-Purpose Hall</t>
  </si>
  <si>
    <t xml:space="preserve"> Bicol Medical Center Concepcion Pequeña, Naga City, 4400 (0998-247-0239/0906-256-9238          E-mail Address: bmc.bacoffice@gmail.com INIVITATION TO BID PROCUREMENT OF PHARMCEUTICALS (2) ITB No. 2020-32 1.	The BICOL MEDICAL CENTER, through Drugs &amp; Medici</t>
  </si>
  <si>
    <t xml:space="preserve"> Republic of the Philippines Province of Northern Samar MUNICIPALITY OF VICTORIA Barangay San Lazaro -o0o- INVITATION TO BID FOR THE DELIVERY OF GOODS AND SERVICES FOR THE INSTALLATION OF SOLAR STREET LIGHT PHASE 1 Contract No. BLGU-SL-2020-01 1.	The Baran</t>
  </si>
  <si>
    <t xml:space="preserve"> ITEM OF WORKS: B.5 PROJECT BILLBOARD/SIGNBOARD B.7 OCCUPATIONAL SAFETY AND HEALTH PROGRAM I STRUCTURE EXCAVATION II CONCRETE WORKS III MASONRY WORKS 105(1) SUBGRADE PREPARATION 200(1) AGGREGATE SUB BASE COURSE 201(1) AGGREGATE BASE COURSE 311 PORTLAND CEM</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</si>
  <si>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</si>
  <si>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ITEM OF WORKS: SPL 1 PROJECT ID/SIGNBOARD SPL 2 CONSTRUCTION SAFETY &amp; HEALTH SPL 3 MOBILIZATION &amp; DEMOBILIZATION SPL 4 CLEARING &amp; GRUBBING I STRUCTURE EXCAVATION (COMMON SOIL) II EMBANKMENT III STONE MASONRY IV METAL GUARDRAILS (METAL BEAM) INCLUDING CONC</t>
  </si>
  <si>
    <t xml:space="preserve"> EXTENSION OF 620 METERS TRANSMISSION PIPELINE WITH A DIAMETER OF 150MM (6") TO BE LAID FROM IMBANG BRIDGE TO BACOLOD-SILAY AIRPORT ACCESS ROAD (BSAAR) CORNER SILAY-PATAG ROAD, BRGY. E. LOPEZ, SILAY CITY, NEGROS OCCIDENTAL. 1. DEMOLITION OF CONCRETE BASE O</t>
  </si>
  <si>
    <t xml:space="preserve"> INSTALLATION OF CCTV CAMERAS IN DIFFERENT BLOCKS WITHIN THE VICINITY OF BARANGAY JACINTO LUMBRERAS, GENERAL MARIANO ALVAREZ, CAVITE</t>
  </si>
  <si>
    <t xml:space="preserve"> Invitation to Bid for Improvement of Multi-Purpose Building at Barangay Sampoli-B 1.	The Barangay Sampoli-B, Diplahan, Zamboanga Sibugay, through the Barangay Funds intends to apply the sum of Seventy-eight Thousand Eight Hundred Pesos (Php 78,800.00). be</t>
  </si>
  <si>
    <t xml:space="preserve"> Invitation to Bid for Installation of Street light at Brgy. Poblacion Diplahan Zambo. Sibugay 1.	The Barangay Poblacion, Diplahan, Zamboanga Sibugay, through the Barangay Funds intends to apply the sum of Eighty-Three Thousand Nine Hundred five Pesos (Php</t>
  </si>
  <si>
    <t xml:space="preserve"> Invitation to Bid for Const. of Local Road at Brgy. Poblacion Diplahan Zambo. Sibugay 1.	The Barangay Poblacion, Diplahan, Zamboanga Sibugay, through the Barangay Funds intends to apply the sum of One Hundred Ninety-nine Thousand Eight Hundred Seventy-fou</t>
  </si>
  <si>
    <t xml:space="preserve"> PURCHASE OF WATER METERS AND FITTINGS 1	1/2"Ø Water Meter (Brass)	55	pcs 2	1/2"Ø x 10" G.I. Nipple	50	pcs 3	1/2"Ø x 8" G.I. Nipple	50	pcs 4	1/2"Ø x 6" G.I. Nipple	60	pcs 5	1/2"Ø x 3" G.I. Nipple	60	pcs 6	1/2"Ø x 2" G.I. Nipple	60	pcs 7	1/2"Ø x 4" G.I. Nip</t>
  </si>
  <si>
    <t xml:space="preserve"> f</t>
  </si>
  <si>
    <t xml:space="preserve"> (see bidding documents and other supporting documents in the associated component for further project details)</t>
  </si>
  <si>
    <t xml:space="preserve"> SW-1008-2020-0122</t>
  </si>
  <si>
    <t xml:space="preserve"> BID TENDER The Bids and Awards Committee Province of Iloilo 	In connection with your invitation to Bid No. GOV-20-0377-B scheduled on AUGUST 26, 2020, I/we proposed to furnish and deliver in conformity with the terms and conditions, and specifications of </t>
  </si>
  <si>
    <t xml:space="preserve"> REQUEST FOR QUOTATION No. 2020-006 The Department of Education, Taguig Integrated School, through SCHOOL BIDS and AWARDS COMMITTEE (SBAC) invites registered suppliers to submit a quotation for the hereunder project: PROJECT NAME : SUPPLY AND DELIVERY OF M</t>
  </si>
  <si>
    <t xml:space="preserve"> 1 SET SUBMERSIBLE PUMP &amp; MOTOR Submersible Pump, stainless steel bowl &amp; impellers with built-in maintenance free stainless steel check valve capable of delivering 11m3/h against 127m TDH. High efficiency with maximum sand content: 150g/cu.m., 17 stages im</t>
  </si>
  <si>
    <t xml:space="preserve"> suppy and delivery of the following: 4400 Li disel 100 li gasoline 20 li oil and lubricants</t>
  </si>
  <si>
    <t xml:space="preserve"> 20CSF002 (Re-advertisement) – Conduct of Feasibility Studies/Preliminary &amp; Detailed Engineering/Economic Analysis/Technical Studies/Traffic Impact Assessment for Daet-Roy Padilla Highway-Jct. Rolando Andaya Road</t>
  </si>
  <si>
    <t xml:space="preserve"> 1.	100	pcs	¾" Equal Tee 2.	100	pcs	1" Equal Tee 3.	100	pcs	2" Equal Tee 4.	250	pcs	½" Adaptor 5.	250	pcs	¾" Adaptor 6.	150	pcs	1" Adaptor 7.	50	pcs	2" Adaptor 8.	300	pcs	½" Union Coupling 9.	200	pcs	¾" Union Coupling 10.	200	pcs	1" Union Coupling 11.	50	p</t>
  </si>
  <si>
    <t xml:space="preserve"> 1 unit Computer Set NOTE:To all suppliers bid documents and BAC Resolution 2020-029 are available at BAC Office and LGU website.</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</si>
  <si>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</si>
  <si>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</si>
  <si>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6 PCS. RCPC 45 DIA 7 CU.M. BOULDERS (HEAD SIZE) CATANAUAN 7 CU. M.  SAND 2 CU.M. GRAVEL 46 BAGS. CEMENT</t>
  </si>
  <si>
    <t xml:space="preserve"> 19CSF009 - Parcellary Surveys and Land Titling of National Roads and Bridges and Other Facilities</t>
  </si>
  <si>
    <t xml:space="preserve"> SUPPLY AND DELIVERY OF THE FOLLOWING: ONE UNIT DROPSIDE MINI-TRUCK BRAND NEW OVERALL LENGTH 4250 mm to 4500 mm Overall width at least 1600 mm Over all height- 1800-2000 mm Maximum gross vehicle weight – 2000-4000 kg Engine: 4 cylinder, 16 valve, turbochar</t>
  </si>
  <si>
    <t xml:space="preserve"> Contract ID No. : 19K00473 Contract Name: Construction of Malaybalay Circumferential Road, Bukidnon Contract Location: Bukidnon 2nd LD Scope of Work: Construction of Road Source of Fund: FY 2019 GAA Appropriation: Php. 100,000,000.00 ABC: Php. 96,500,000.</t>
  </si>
  <si>
    <t xml:space="preserve"> CONDUCT OF STRUCTURAL INVESTIGATION/ASSESSMENT INCLUDING, WHEN NECESSARY, THE PREPARATION OF PLANS.DESIGN AND DETAILED COST ESTIMATES FOR THE RETROFITTING OF THIRD FLOOR ROOFING/REGIONAL OFFICE LABORATORY AT THE EXISTING NFA OFFICE BUILDING AT NFA COMPOUN</t>
  </si>
  <si>
    <t xml:space="preserve"> Contract ID No. : 19K00474 Contract Name: Construction of Kibawe-Arakan Road, Bukidnon Contract Location: Construction of Road Source of Fund: FY 2019 GAA Appropriation: Php. 100,000,000.00 ABC: Php. 96,500,000.00 Contract Duration: 225 Calendar Days</t>
  </si>
  <si>
    <t xml:space="preserve"> Please download and view the associated component PDF document for the complete details/specs of the item(s).</t>
  </si>
  <si>
    <t xml:space="preserve"> Lot 1 - Linothangan Elementary School - 3,292,081.30 - Canlaon City Lot 2 - Malaiba Elementary School - 843,689.90 - Canlaon City Lot 3 - Panubigan Elementary School - 6,951,279.77 - Canlaon City Lot 4 - Tabalogo Elementary School - 3,435,980.55 - Canlaon</t>
  </si>
  <si>
    <t xml:space="preserve"> supply and delivery of the following	 Lot 1-     Fuel, Oil and Lubricants-       Php 39,999.90		 460 li diesel				 203.33 li gasoline				 10 li oil				 				 Lot 2- other supplies -IEC			-Php	20,000.00 100 pcs IEC materials, size A4 BOOKLET				 				 Lot 3-</t>
  </si>
  <si>
    <t xml:space="preserve"> Dog Soap etc. NOTE:To all suppliers bid documents and BAC Resolution 2020-029 are available at BAC Office and LGU website.</t>
  </si>
  <si>
    <t xml:space="preserve"> Republic of the Philippines SORSOGON STATE COLLEGE Sorsogon City Invitation to Bid for LABOR AND MATERIALS FOR THE REPAIR OF AUTOMOTIVE BUILDING (DAMAGED BY TYPHOON TISOY) AT SORSOGON CITY CAMPUS 1.	The SORSOGON STATE COLLEGE, through the STF-AI (2019)  i</t>
  </si>
  <si>
    <t xml:space="preserve"> Republic of the Philippines SORSOGON STATE COLLEGE Sorsogon City Invitation to Bid for LABOR AND MATERIALS FOR THE REPAIR OF STUDENT SERVICES BUILDING (DAMAGED BY TYPHOON TISOY) AT SORSOGON CITY CAMPUS 1.	The SORSOGON STATE COLLEGE, through the STF-AI (20</t>
  </si>
  <si>
    <t xml:space="preserve"> Purchase of 1500 liter diesel to be use by the Rural Health Unit in relation to its ordinary work</t>
  </si>
  <si>
    <t xml:space="preserve"> Item No.	Qty	Unit	Article / Description 1	10	BAGS	HAMMERED CORN 2	10	BAGS	GROWER CRUMBLE 3	60	BAGS	DUCK LAYER PELLETS 4	10	BAGS	GPP</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</si>
  <si>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</si>
  <si>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Jetmatic Pump etc.  NOTE:To all suppliers bid documents and BAC Resolution 2020-029 are available at BAC Office and LGU website.</t>
  </si>
  <si>
    <t xml:space="preserve"> Republic of the Philippines SORSOGON STATE COLLEGE Sorsogon City Invitation to Bid for LABOR AND MATERIALS FOR THE REPAIR OF COLLEGE BUILDING (DAMAGED BY TYPHOON TISOY) AT SORSOGON CITY CAMPUS 1.	The SORSOGON STATE COLLEGE, through the STF-AI (2019)  inte</t>
  </si>
  <si>
    <t xml:space="preserve"> Portland Cement etc. NOTE:To all suppliers bid documents and BAC Resolution 2020-029 are available at BAC Office and LGU website.</t>
  </si>
  <si>
    <t xml:space="preserve"> Item No.	Qty	Unit	Article / Description 1	1	unit	"Multi-Purpose Shredder Specifications: Dia. of Crushing hamber (mm) 410 X 260 Crushing Ability (kg/hr) 200 - 450 Motor Power (Hp) 10 Hp (3phase) Fixing Cutter (pcs) 2 Flexible Cutter (pcs) 12 Mechanical Di</t>
  </si>
  <si>
    <t xml:space="preserve"> Republic of the Philippines PROVINCE OF ZAMBOANGA DEL NORTE BIDS AND AWARDS COMMITTEE (BAC) BAC Conference Room, 2nd  Floor ZNCEC, Dipolog City Tel. # (065) 212-6492 Telefax # (065) 212-6492 	                                                               </t>
  </si>
  <si>
    <t xml:space="preserve"> Item No.	Qty	Unit	Article / Description 1	1	unit	"Refrigerator Specifications: - 8.3 Cubic Ft. - Manual Defrost - Single Door" 2	1	unit	"Gas Range Specifications: - 3 Gas Burner - Gas Oven - Matte Black" 3	1	unit	"Electric Fan Specifications: - Industrial</t>
  </si>
  <si>
    <t xml:space="preserve"> REQUEST FOR EXPRESSION OF INTEREST (REOI) FOR CONSULTING SERVICES  19CSK00060 – Consultancy Services for the Conduct of Feasibility Study for Masterson Avenue Alternate Diversion Road (ReXPRIP-30), Cagayan de Oro 1st Legislative District, L=16.00 KM 1.	Th</t>
  </si>
  <si>
    <t xml:space="preserve"> Tile Works etc. NOTE:To all suppliers bid documents and BAC Resolution 2020-029 are available at BAC Office and LGU website.</t>
  </si>
  <si>
    <t xml:space="preserve"> The Cebu Port Authority, through the CPA Corporate Budget intends to apply the sum of Five Hundred Eight Million Three Hundred Forty Thousand Two Hundred Seventy-Nine Pesos and 3/100 (Php 508,340,279.03) being the Approved Budget for the Contract (ABC) to</t>
  </si>
  <si>
    <t xml:space="preserve"> Computer Ribbon Refill etc. NOTE:To all suppliers bid documents and BAC Resolution 2020-029 are available at BAC Office and LGU website.</t>
  </si>
  <si>
    <t xml:space="preserve"> Desktop Processor etc.  NOTE:To all suppliers bid documents and BAC Resolution 2020-029 are available at BAC Office and LGU website.</t>
  </si>
  <si>
    <t xml:space="preserve"> The Cebu Port Authority, through the CPA Corporate Budget intends to apply the sum of Nine Million Nine Hundred Fifty-One Thousand Nine Hundred Sixty-Five Pesos and 80/100 (Php 9,951,965.80) being the Approved Budget for the Contract (ABC) to payments und</t>
  </si>
  <si>
    <t xml:space="preserve"> 1. 500 unit – Evacuation/Modular Tent – 250cm x 250cm x 180cm; description: layer 110cm x 125cm mosquito top net cover dimension: open – 250cm x 180cm spring level wire 2.5mm rolled side door 110cm x 125cm inside pocket 20cm x 20cm materials; oxford 2100 </t>
  </si>
  <si>
    <t xml:space="preserve"> Republic of the Philippines BIDS AND AWARDS COMMITTEE Province of Iloilo Invitation to Bid Purchase of Medical Equipment  Bid No.ADH-20-0958-B 1. The Iloilo Provincial Government, through the HOSPITAL MANAGEMENT OFFICE- 2019 20% IRA intends to apply the s</t>
  </si>
  <si>
    <t xml:space="preserve"> 1. 350 sets – Laptop – minimum technical specification: Memory 8gb RAM; Monitor: screen size 13 inches, resolution 1920x1080 (full HD), 1080p, anti-glare LED-Backlit or IPS Technology; Storage: 512GB HDD SATA; Audio 6Ω/1W speaker x 2 built in speakers 3.5</t>
  </si>
  <si>
    <t xml:space="preserve"> Item No.	Qty	Unit	Article / Description 1	21	ream	Book paper, A4, subs.20, 70gsm 2	2	canister	Toilet Cleaner, bowl, 900ml cap 3	8	bots	Ink, Epson, L360, black 4	10	roll	Trashbag, Black, L 5	8	bots	Ink, Epson, L3110, Black 6	7	pcs	Signpen, 0.3 &amp; 0.5 7	10	p</t>
  </si>
  <si>
    <t xml:space="preserve"> Item No.	Qty	Unit	Article / Description 1	1	unit	"Water Dispenser Specifications: - Free Standing Water Dispenser - 3 Type Faucet - Black Color - Storage/Cabinet " 2	1	unit	"Gas Range Specifications: - 3 Gas Burner - Gas Oven - Matte Black (Color) " 3	1	u</t>
  </si>
  <si>
    <t xml:space="preserve"> INVITATION TO BID The Central Luzon State University (CLSU) through its Bids and Awards Committee (BAC), invites contractors registered with and classified by the Philippine Contractors Accreditation Board (PCAB) to bid for the hereunder contract: LOT/ITE</t>
  </si>
  <si>
    <t xml:space="preserve"> REQUEST FOR EXPRESSION OF INTEREST FOR THE PROCUREMENT OF CONSULTANCY SERVICES FOR PROJECT MANAGEMENT AND QUANTITY SURVEYOR 1.	LBP Leasing and Finance Corporation (LLFC), through its Approved Budget for the Contract (ABC), approved by the its Board of Dir</t>
  </si>
  <si>
    <t xml:space="preserve"> 1. Construction of Field Office / Barracks / Bodega 2. Billboard / Signages 3. Dismantling (L.S.) 4. Hauling of Materials and Debris (L.S.) 5. Rental of Scaffolding 6. Tinsmithry 7. Painting Bid Documents may be obtained from the BAC Office, Ground Floor,</t>
  </si>
  <si>
    <t xml:space="preserve"> 1. 680 pcs. – Customized Bicycle – city bike alloy multi-speed: alloy frame; alloy suspension fork, alloy rims, steel handle bar cp, steel headset, front rear V-brakes, rim painted black, triple chainwheel cotterless, carrier CP Steel mudguard painted col</t>
  </si>
  <si>
    <t xml:space="preserve"> 1. 5000 boxes – Copy paper A3 80gsm, 5 reams/box 2. 650 boxes – Copy paper A3 100gsm, 4 reams/box Bid Documents may be obtained from the BAC Office, Ground Floor, City Hall, San Antonio Avenue, SAV 1, Paranaque City, upon payment of non-refundable fees st</t>
  </si>
  <si>
    <t xml:space="preserve"> 1. Excavation 2. Masonry Works 3. Concreting 4. Tinsmithry 5. Ceiling Works 6. Steel Works 7. Hardware 8. Fabricated Materials 9. Formworks &amp; Scaffoldings 10. Floor Finish 11. Catch Basin 12. Painting 13. Electrical 14. Rental of Equipment Bid Documents m</t>
  </si>
  <si>
    <t xml:space="preserve"> 1. Asphalt Materials &amp; Tact Coat 2. Labor 3. Mobilization &amp; Equipment Bid Documents may be obtained from the BAC Office, Ground Floor, City Hall, San Antonio Avenue, SAV 1, Paranaque City, upon payment of non-refundable fees stated above.  Prospective Bid</t>
  </si>
  <si>
    <t xml:space="preserve"> Republic of the Philippines SORSOGON STATE COLLEGE Sorsogon City Invitation to Bid for LABOR AND MATERIALS FOR THE REPAIR OF CANTEEN BUILDING (DAMAGED BY TYPHOON TISOY) AT CASTILLA CAMPUS 1.	The SORSOGON STATE COLLEGE, through the STF-AI (2019)  intends t</t>
  </si>
  <si>
    <t xml:space="preserve"> Bid Documents may be obtained from the BAC Office, Ground Floor, City Hall, San Antonio Avenue, SAV 1, Paranaque City, upon payment of non-refundable fees stated above.  Prospective Bidders should have experienced in undertaking a similar project within t</t>
  </si>
  <si>
    <t xml:space="preserve"> 1. 1 Lot – Meal allowance for 35pax for Bahay Aruga for the year 2020 Rescued / referred children within Parañaque City (breakfast, lunch and dinner) Breakfast: rice with 1 viand or soup congee or sandwich with drinks Lunch: rice, 1 viand with drinks Dinn</t>
  </si>
  <si>
    <t xml:space="preserve"> 1. 300 boxes – Continuous form 2 ply 11x9 ½ sub 20 carbonless 2. 500 boxes – Continuous form 3 ply 11x9 ½ sub 20 carbonless 3. 500 pads – Report of collections and deposits forms (Annex 41) 4. 500 pads – Accountability for accountable forms Bid Documents </t>
  </si>
  <si>
    <t xml:space="preserve"> 1. Excavation 2. Masonry Works 3. Concreting 4. Tinsmithry 5. Ceiling Works 6. Steel Works 7. Hardware 8. Fabricated Materials 9. Rental of Equipment 10. Formworks &amp; Scaffoldings 11. Floor Finish 12. Tilesworks 13. Catch Basin 14. Septic Vault 15. Plumbin</t>
  </si>
  <si>
    <t xml:space="preserve"> 1. 150 gals. – Alcohol 2. 100 gals. – Povidone Iodine 10% antiseptic/Disinfectant 3. 75 gals. – Povidone Iodine Scrub 7.5% antiseptic 4. 20 btls. – Cutasept-F 250ml 5. 1000 vials – Distilled Water for Injection 100ml 6. 1 liter – Disinfectant solution 1 l</t>
  </si>
  <si>
    <t xml:space="preserve"> 1. 20 pcs. – Regular adaptor circle to flat 2. 30 pcs. – Angle valve ½ x ½ 3. 20 pcs. – Angle valve 3 way 4. 100 pcs. – Ballast 40 watts 5. 20 pcs. – Stainless Bidet 6. 100 pcs. – LED Bulb 7 watts 7. 50 pcs. – LED Bulb 10 watts 8. 20 bxs. – Convenient out</t>
  </si>
  <si>
    <t xml:space="preserve"> INVITATION TO BID FOR THE  SUPPLY &amp; DELIVERY OF VITAMINS FOR STUDENTS DEPED – BUENAVISTA DISTRICT, BUENAVISTA, QUEZON 1.	The Municipal Government of Buenavista, Quezon, through the Special Education Fund intends to apply the sum of One Hundred Nineteen Th</t>
  </si>
  <si>
    <t xml:space="preserve"> INVITATION TO BID FOR THE  SUPPLY AND DELIVERY OF OFFICE SUPPLIES  LGU - BUENAVISTA, QUEZON 1.	The Municipal Government of Buenavista, Quezon, through the General Fund intends to apply the sum of Six Hundred Twenty Four Thousand Nine Hundred Thirty Two Pe</t>
  </si>
  <si>
    <t xml:space="preserve"> INVITATION TO BID FOR THE  SUPPLY &amp; DELIVERY OF INFORMATION &amp; TECHNOLOGY (IT) EQUIPMENT LGU -  BUENAVISTA, QUEZON 1.	The Municipal Government of Buenavista, Quezon, through its General Fund intends to apply the sum of Three Hundred Thirty Three Thousand T</t>
  </si>
  <si>
    <t xml:space="preserve"> Please see attached copy of Request for Quatition</t>
  </si>
  <si>
    <t xml:space="preserve"> 1. Demolition 2. Concreting 3. Masonry 4. Carpentry 5. Tilesworks 6. Formworks and Scaffoldings 7. Steelworks 8. Tinsmithry 9. Electrical 10. Painting 11. Fabricated Materials 12. Installation of Pathwalk Bid Documents may be obtained from the BAC Office,</t>
  </si>
  <si>
    <t xml:space="preserve"> 1. Construction of Field Office / Barracks / Bodega 2. Billboard / Signages 3. Dismantling (L.S.) 4. Hauling of Materials and Debris (L.S.) 5. Rental of Scaffolding 6. Tinsmithry Bid Documents may be obtained from the BAC Office, Ground Floor, City Hall, </t>
  </si>
  <si>
    <t xml:space="preserve"> 1. STEEL BILLBOARD 1.00 LOT 2. STRUCTURE EXCAVATION  6.40 CU.M 3. EMBANKMENT  2.00 CU.M 4. FORMS AND FALSE WORKS 28.42 5. STRUCTURAL CONCRETE 7.23 CU.M 6.REINFORCING STEEL   851.17 KG. 7. MASONRY WORKS   220.83 SQ.M 8. CEMENT PLASTER FINISH  467.46 SQ.M 9</t>
  </si>
  <si>
    <t xml:space="preserve"> 1. Construction of Field Office / Bodega 2. Billboard &amp; Signages 3. Concrete Cutting 4. Removal and Disposal 5. Excavation 6. Civil Works 7. Restoration 8. Electrical Works 9. Painting Bid Documents may be obtained from the BAC Office, Ground Floor, City </t>
  </si>
  <si>
    <t xml:space="preserve"> Republic of the Philippines Bangsamoro Autonomous Region in Muslim Mindanao (BARMM) Bangsamoro Planning &amp; Development Authority Bangsamoro Government Center, Cotabato City Tel No. (064) 527-2795 - - - - - - - - - - - - - - - - - - - - - - - - - - - - - - </t>
  </si>
  <si>
    <t xml:space="preserve"> INVITATION TO BID FOR THE  SUPPLY &amp; DELIVERY OF LABORATORY SUPPLIES MUNICIPAL HEALTH OFFICE, BUENAVISTA, QUEZON 1.	The Municipal Government of Buenavista, Quezon, through the General Fund intends to apply the sum of Two Hundred Ten Thousand Pesos (P210,00</t>
  </si>
  <si>
    <t xml:space="preserve"> 1. The CITY GOVERNMENT OF CALAMBA through the Special Education Fund intends to apply the sum of PHP 13,078,557.00 being the Approved Budget for the Contract (ABC) to payments under the contract for: G-2020-542 Supply and Delivery of Printing Supplies Cit</t>
  </si>
  <si>
    <t xml:space="preserve"> Section I. Invitation to Bid Republic of the Philippines Philippine Rural Development Project Province of Siquijor Invitation to Bid for the Construction of Siquijor Provincial AA Abattoir Identification No.: PRDP-IB-R007-SIQ-002-000-000-2017-AF-R1 Loan N</t>
  </si>
  <si>
    <t xml:space="preserve"> 1. The CITY GOVERNMENT OF CALAMBA through the Special Education Fund intends to apply the sum of PHP 1,490,400.00 being the Approved Budget for the Contract (ABC) to payments under the contract for: G-2020-544 Supply and Delivery of Printers City Schools </t>
  </si>
  <si>
    <t xml:space="preserve"> 1. The CITY GOVERNMENT OF CALAMBA through the General Fund intends to apply the sum of PHP 1,656,000.00 being the Approved Budget for the Contract (ABC) to payments under the contract for: G-2020-534 Supply and Delivery of Backfilling Materials City Engin</t>
  </si>
  <si>
    <t xml:space="preserve"> 1. The CITY GOVERNMENT OF CALAMBA through the General Fund intends to apply the sum of PHP 1,769,700.00 being the Approved Budget for the Contract (ABC) to payments under the contract for: G-2020-488 Supply and Delivery of Fertilizer City Agricultural Ser</t>
  </si>
  <si>
    <t xml:space="preserve"> 1. The CITY GOVERNMENT OF CALAMBA through the GAD Fund intends to apply the sum of PHP 1,562,042.40 being the Approved Budget for the Contract (ABC) to payments under the contract for: G-2020-497 Supply and Delivery of Food Commodities Gender and Developm</t>
  </si>
  <si>
    <t xml:space="preserve"> 1. The CITY GOVERNMENT OF CALAMBA through the Special Education Fund intends to apply the sum of PHP 10,586,268.00 being the Approved Budget for the Contract (ABC) to payments under the contract for: G-2020-541 Supply and Delivery of Printer Ink City Scho</t>
  </si>
  <si>
    <t xml:space="preserve"> 1. The CITY GOVERNMENT OF CALAMBA through the Special Education Fund intends to apply the sum of PHP 14,274,240.00 being the Approved Budget for the Contract (ABC) to payments under the contract for: G-2020-543 Supply and Delivery of Office Equipments Cit</t>
  </si>
  <si>
    <t xml:space="preserve"> Item No.		Qty							Unit	Item Description					 1			1,200 PCS.	DURANTA GOLD					 2			800	PCS.	GOLDEN COPIA					 3			800	PCS.	RED CREEPER					 4			500	PCS.	KUTSARITAS PINK					 5			500  PCS.	KUTSARITAS RED					 6			150	PCS.	VARIEGATED PANDANUS					 7			150	</t>
  </si>
  <si>
    <t xml:space="preserve"> 1. The CITY GOVERNMENT OF CALAMBA through the General Fund intends to apply the sum of PHP 1,092,000.00 being the Approved Budget for the Contract (ABC) to payments under the contract for: G-2020-535 Supply and Delivery of Sticker City Treasury Management</t>
  </si>
  <si>
    <t xml:space="preserve"> Republic of the Philippines DEPARTMENT OF PUBLIC WORKS AND HIGHWAYS OFFICE OF THE DISTRICT ENGINEER Benguet 1st District Engineering Office Wangal, La Trinidad, Benguet Telefax No. (074) 422 6163            August 17, 2020 INVITATION TO BID FOR Supply and</t>
  </si>
  <si>
    <t xml:space="preserve"> 1.	The Provincial Government of Batanes, through the Provincial Appropriations Ordinance No. 03 series of 2019 (20% Development Fund) intends to apply the sum of One Hundred Seventy-Seven Thousand Eighty Pesos Only (₱ 177,080.00), being the Approved Budge</t>
  </si>
  <si>
    <t xml:space="preserve"> 1.	The Provincial Government of Batanes, through the Provincial Appropriations Ordinance No. 03 series of 2019 (Capital Outlay) intends to apply the sum of One Hundred Sixty-Nine Thousand Four Hundred Pesos Only (P169,400.00) being the Approved Budget for</t>
  </si>
  <si>
    <t xml:space="preserve"> Section VI. Specifications Item No.	Description	Quantity	Unit Civil, Mechanical, Electrical and Sanitary/Plumbing works PART A- Plain and Reinforced Concrete Work 900(1)c2	Structural Concrete (Slab) Class A, 28 days	7.02	Cu.m 900(1)c4	Structural Concrete </t>
  </si>
  <si>
    <t xml:space="preserve"> Invitation to Bid No. 2020-PB-10 FOR Supply, Delivery and Installation of Brand New Air-conditioners 1.	The PhilHealth Regional Office IVA (PRO-IVA), through the Corporate Operating Budget (COB) 2020 and Approved Budget for the Contract (ABC) intends to a</t>
  </si>
  <si>
    <t xml:space="preserve"> 1. The CITY GOVERNMENT OF CALAMBA through the Special Education Fund intends to apply the sum of PHP 18,273,300.00 being the Approved Budget for the Contract (ABC) to payments under the contract for: G-2020-516 Supply and Delivery of Furniture &amp; Fixture C</t>
  </si>
  <si>
    <t xml:space="preserve"> 20GF00003 - Purchase of 6 lots Road Sensors and 5 sets of ATC Machines assigned at PDD, (PR No. 20-06-125 dated 6/15/2020), DPWH Regional Office No. V, Rawis, Legazpi City</t>
  </si>
  <si>
    <t xml:space="preserve"> THE PROCURING ENTITY THROUGH ITS BIDS AND AWARDS COMMITTEE INVITES SUPPLIER TO QUOTE FOR THE HEREUNDER PROJECT/PROGRAM: COMMUNICATION EQUIPMENT ITEM NO.	DESCRIPTION  ABC/UNIT QTY  UNIT    1	        CELL PHONE		     10   Pcs. 						 						 	Item No. 1     </t>
  </si>
  <si>
    <t xml:space="preserve"> 1. Alcohol	x  200GAL 2. Chlorine x 100KG 3. Gloves x 100BOX 4. Surgical Mask x 200BOX 5. Face Shield x	1,212PC</t>
  </si>
  <si>
    <t xml:space="preserve"> Republic of the Philippines Department of Health DAVAO REGIONAL MEDICAL CENTER Apokon, Tagum City BIDS AND AWARDS COMMITTEE Invitation to Bid for the SUPPLY &amp; DELIVERY OF FLUIDS 1.	The Davao Regional Medical Center (DRMC), through the HOSPITAL INCOME CY 2</t>
  </si>
  <si>
    <t xml:space="preserve"> PAYLOAD: 1,145kg ENGINE : 2.24N14 Euro 4 Compliant MAXIMUM POWER : 99 Horsepower @ 3,500rpm MAXIMUM TORQUE : 200 Nm @ 1,000-3,500 rpm</t>
  </si>
  <si>
    <t xml:space="preserve"> Please  download the attached Request for Quotation Please quote your lowest price inclusive of VAT on the item/s listed below. Subject to the terms and conditions of this RFQ and submit your quotation duly signed by your representative not later than   a</t>
  </si>
  <si>
    <t xml:space="preserve"> 1. The CITY GOVERNMENT OF CALAMBA through the General Fund intends to apply the sum of PHP 14,999,440.95 being the Approved Budget for the Contract (ABC) to payments under the contract for: I-2020-021 Construction of Barangay Hall Barangay I, City of Cala</t>
  </si>
  <si>
    <t xml:space="preserve"> Provide Labor, Materials and Equipment for the  Construction of Goat House Package 1: Laak, Davao de Oro (3 units) DURATION: 90 Calendar Days (including pre-determined 15 unworkable days) Package 2: New Bataan, Davao de Oro (2 units) DURATION: 60 Calendar</t>
  </si>
  <si>
    <t xml:space="preserve"> 281 bags portland cement 22.5 cu.m. fine aggregates 57 cu.m. boulders</t>
  </si>
  <si>
    <t xml:space="preserve"> Standard Form No.: SF-INFRA-               Republic of the Philippines          MUNICIPALITY OF ROSALES                  Province of Pangasinan                    INVITATION TO BID 	The Municipality of Rosales, through its Bids and Awards Committee (BAC),</t>
  </si>
  <si>
    <t xml:space="preserve"> ITEM	QUANTITY	UNIT	DESCRIPTION	UNIT PRICE	TOTAL PRICE 1.	1.50	Cu.m	Selected Borrow		 2.	6.50	Cu.m	Gravel		 3.	94	bags	Cement		 4.	6.50	Cu.m	Sand		 5	321	Bd.ft	Coco Lumber		 6.	7	Kgs.	Assorted CWN		 7.	15	pcs	¼”x4’x8’ Plywood		 8.	16	pcs	16mm dia. X 6.00 m</t>
  </si>
  <si>
    <t xml:space="preserve"> Invitation to Bid The Barangay San Felipe East, Municipality of San Nicolas Pangasinan through its Bids and Award Committee(BAC), invites contractors registered with and classfied by the Philgeps to apply for the eligibility and if found eligible, to bid </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</si>
  <si>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</si>
  <si>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Item No.	Qty	Unit	Article / Description 1	32	ream	PAPER for PPC, Legal size, 216mm x 330mm, min. of 80gsm 2	15	ream	A3, BOOK PAPER</t>
  </si>
  <si>
    <t xml:space="preserve"> Item No.	Qty	Unit	Article / Description 1	30	bots.	Alcohol 70%, Ethanol(Ethyl, 500ml 2	3	packs	Battery, AA, alkaline 4pcs/pack 3	10	pack	Battery, AAA, alkaline 4pcs/pack 4	6	pcs	Marking pen, white board, black 5	10	pack	Toilet tissue paper, 12pcs/pack 6	2</t>
  </si>
  <si>
    <t xml:space="preserve"> 1.	The Provincial Government of Batanes, through the Provincial Appropriations Ordinance No. 03 series of 2019 (GAD Fund) intends to apply the sum of Fifty-Six Thousand Pesos Only (P 56,000.00), being the Approved Budget for the Contract (ABC) to payments</t>
  </si>
  <si>
    <t xml:space="preserve"> Item No.	Qty	Unit	Article / Description 1	20	ream	Paper Multicopy, legal, subs.20, 70gsm 2	20	ream	Paper Multicopy, A4, subs.20, 70gsm 3	1	pc	Paper Puncher 4	1	pc	Computer Mouse USB type 5	1	rolls	Transparent tape, 1" 6	10	pcs	Correction tape 7	4	pcs	USB </t>
  </si>
  <si>
    <t xml:space="preserve"> 1.	The Provincial Government of Batanes, through Trust Fund-Chinese Consulate in Laoag intends to apply the sum of Three Hundred Fifty Thousand Pesos Only ₱ 350,000.00), being the Approved Budget for the Contract (ABC) to payments under the contract for S</t>
  </si>
  <si>
    <t xml:space="preserve"> Item No.			Qty	Unit	Item Description					 1			18000	liters	Diesel Fuel					 2			12000	liters	XCS Gasoline					 3			42		gallons	Engine Oil					 4			60		liters	ATF					 5			42		liters	B-Fluid					 6			60		liters	Touring					 7			42		can	Grease					 			*** N</t>
  </si>
  <si>
    <t xml:space="preserve"> Invitation to Bid No. 2020-PB-11 FOR Engagement of Mailing Service of PRO IVA for CY 2020 1.	The PhilHealth Regional Office IVA (PRO-IVA), through the Corporate Operating Budget (COB) 2020 and Approved Budget for the Contract (ABC) intends to apply the su</t>
  </si>
  <si>
    <t xml:space="preserve"> Procurement of Services - Fiber Internet Connection@50Mbps, Guaranteed 5Mbps (Additional) for Online Video Conferencing Use.</t>
  </si>
  <si>
    <t xml:space="preserve"> INVITATION TO BID FOR THE PROCUREMENT OF ONE (1) LOT SUPPLY OF LABOR AND MATERIALS FOR THE PROPOSED REPAIR/REHABILITATION OF COMFORT ROOMS AT QUEZON CITY CENTRAL POST OFFICE (RE-BIDDING) 1.	The PHILIPPINE POSTAL CORPORATION, through the CY 2020 Corporate </t>
  </si>
  <si>
    <t xml:space="preserve"> INVITATION TO BID FOR THE PROCUREMENT OF ONE (1) LOT SUPPLY OF LABOR AND MATERIALS FOR THE PROPOSED REPAIR/REHABILITATION OF OLD PROPERTY BUILDING (RE-BIDDING) 1.	The PHILIPPINE POSTAL CORPORATION, through the CY 2020 Corporate Budget approved by PHLPost </t>
  </si>
  <si>
    <t xml:space="preserve"> Republic of the Philippines BIDS AND AWARDS COMMITTEE Province of Iloilo Invitation to Bid Purchase of  MEDICAL SUPPLIES Bid No. JCH-20-0231-B(RE-BID) 1. The Iloilo Provincial Government, through the  GENERAL FUND  2020 intends to apply the sum of FORTY T</t>
  </si>
  <si>
    <t xml:space="preserve"> Subject:		LABOR ONLY Project: 		EXPLORATORY WELL AT SITEO GUZA, BRGY. MATAB-ANG  Estimated Budget:	950,000.00 •	Site Visit must be conducted by perspective bidder. •	Scope of Work for Site Project •	Blueprint Plan for the Project</t>
  </si>
  <si>
    <t xml:space="preserve"> For the Egg Program</t>
  </si>
  <si>
    <t xml:space="preserve"> 1. The CITY GOVERNMENT OF CALAMBA through the General Fund intends to apply the sum of PHP 1,723,056.00 being the Approved Budget for the Contract (ABC) to payments under the contract for: G-2020-545 Supply and Installation of Partition and Office Chair C</t>
  </si>
  <si>
    <t xml:space="preserve"> Elevated Water Tank etc. NOTE:To all suppliers bid documents and BAC Resolution 2020-029 are available at BAC Office and LGU website.</t>
  </si>
  <si>
    <t xml:space="preserve"> Republic of the Philippines BIDS AND AWARDS COMMITTEE Province of Iloilo Invitation to Bid Purchase of LABORATORY REAGENTS Bid No. JCH-20-0174-B(RE-BID2)   1. The Iloilo Provincial Government, through the  GENERAL FUND 2020 intends to apply the sum of FIF</t>
  </si>
  <si>
    <t xml:space="preserve"> 32 Inches FlatScreen Led TV etc.  NOTE:To all suppliers bid documents and BAC Resolution 2020-029 are available at BAC Office and LGU website.</t>
  </si>
  <si>
    <t xml:space="preserve"> Item No.	Qty	Unit	Article / Description 1	1	lot	"MOTORCYCLE         -ENGINE &amp; PERFORMANCE   * Displacement: 150cc; * Maximum Power: 12hp;  * Fuel Tank Capacity: 7.2L;  * Exhaust Pipes: Single Exhaust;  * Engine Type: Single Cylinder,4-stroke, 2 valve, Air</t>
  </si>
  <si>
    <t xml:space="preserve"> Item No.	Qty	Unit	Article / Description 1	1	unit	Repair of Crawler Type Backhoe Swing Motor Assembly including supply of bearings, gasket, assorted O-Ring, Oil Seals, Pinion Gear, Build up and Machining with Labor Cost 2	1	unit	Repair of Injector Assymbly</t>
  </si>
  <si>
    <t xml:space="preserve"> 1. The CITY GOVERNMENT OF CALAMBA through the General Fund intends to apply the sum of PHP 2,481,810.00 being the Approved Budget for the Contract (ABC) to payments under the contract for: G-2020-517 Supply and Installation of CCTV City Planning and Devel</t>
  </si>
  <si>
    <t xml:space="preserve"> Item No.	Qty	Unit	Article / Description 1	1	unit	"PORTABLE SOUND SYSTEM (Speaker) - with Wireless Microphone  - 2 Mic Input (1 XLR, 1 PL55) - FM Radio, Bluetooth, Guitar input (Shared with Mic 2 input), USB &amp; SD Port - 5 Band Equalizer and LCD display - A</t>
  </si>
  <si>
    <t xml:space="preserve"> Construction Materials and Supplies</t>
  </si>
  <si>
    <t xml:space="preserve"> Item No.	Qty	Unit	Article / Description 1	1	unit	"Generator Set - AC FREQUENCY 60HZ - AC OUTPUT KVA: 3.0 - RATED AC OUTPUT: 900 VA - MAXIMUM AC OUTPUT: 1,000 - ONE (1) YEAR WARRANTY - PARTS &amp; LABOR"</t>
  </si>
  <si>
    <t xml:space="preserve"> Republic of the Philippines BIDS AND AWARDS COMMITTEE Province of Iloilo Invitation to Bid Purchase of  DRUGS AND MEDICINES Bid No. RTH-20-0709-B 1. The Iloilo Provincial Government, through the  GENERAL FUND  2020 intends to apply the sum of ONE HUNDRED </t>
  </si>
  <si>
    <t xml:space="preserve"> 1.	The Provincial Government of Batanes, through Trust Fund intends to apply the sum of Two Hundred Ninety-Six Thousand Eight Hundred Seventy-Five Pesos Only (P 296,875.00), being the Approved Budget for the Contract (ABC) to payments under the contract f</t>
  </si>
  <si>
    <t xml:space="preserve"> 1.	The Provincial Government of Batanes, through the Provincial Appropriations Ordinance No. 03 series of 2019 (Capital Outlay) intends to apply the sum of Seventy-Nine Thousand Pesos Only (P 79,000.00), being the Approved Budget for the Contract (ABC) to</t>
  </si>
  <si>
    <t xml:space="preserve"> Invitation to Bid for Public Bidding of Two (2) Well Drilling Projects at Can-asujan, Carcar City, Cebu 1.	The Carcar Water District (CWD) intends to apply the sum of Three Million Six Hundred Thirteen Thousand Two Hundred Ninety Six Pesos (PHP 3,613,296.</t>
  </si>
  <si>
    <t xml:space="preserve"> Construction</t>
  </si>
  <si>
    <t xml:space="preserve"> Republic of the Philippines BIDS AND AWARDS COMMITTEE Province of Iloilo Invitation to Bid Purchase of  MEDICAL SUPPLIES Bid No. RTH-20-0180-B(RE-BID2) 1. The Iloilo Provincial Government, through the  GENERAL FUND  2020 intends to apply the sum of SIX HU</t>
  </si>
  <si>
    <t xml:space="preserve"> Republic of the Philippines BIDS AND AWARDS COMMITTEE Province of Iloilo Invitation to Bid Purchase of  DRUGS AND MEDICINES Bid No. RTH-20-0214-B(RE-BID) 1. The Iloilo Provincial Government, through the  GENERAL FUND  2020 intends to apply the sum of ONE </t>
  </si>
  <si>
    <t xml:space="preserve"> PB NO. 2020-053		 			 1.	1	lot	Proposed Repair, Rehabilitation and Improvement of Sidewalk along the Heritage Zone, Rizal Ave., San Pablo City. 			By: Contract 			 	Deadline for Submission of Bids: September 8, 2020 10:00 am</t>
  </si>
  <si>
    <t xml:space="preserve"> Republic of the Philippines BIDS AND AWARDS COMMITTEE Province of Iloilo Invitation to Bid Purchase of  MEDICAL SUPPLIES Bid No. RTH-20-0177-B(RE-BID2) 1. The Iloilo Provincial Government, through the  GENERAL FUND  2020 intends to apply the sum of TWO HU</t>
  </si>
  <si>
    <t xml:space="preserve"> INVITATION TO BID FOR THE PROCUREMENT OF SERVICES FOR PRINTING AND DELIVERY OF DEFINITIVE STAMPS “PHILIPPINE SHELLS/FLOWERS” AND PHLPOST MAILING CENTER STAMPS   1.	The Philippine Postal Corporation, through the CY 2020 Corporate Budget approved by PHLPost</t>
  </si>
  <si>
    <t xml:space="preserve"> I. SCOPE OF WORKS excavation laying of 4" CHB/Pouring flooring II. EXCAVATION 30.6 cu.m III. MASONRY/CONCRETE WORKS 1500 pcs 4" CHB 91 pcs 10mm diam. RSB 129 bags portland cement 4 cu.m River Sand 6 cu.m mixed aggregates 8 kls tie wire</t>
  </si>
  <si>
    <t xml:space="preserve"> Republic of the Philippines BIDS AND AWARDS COMMITTEE Province of Iloilo Invitation to Bid Purchase of  DRUGS AND MEDICINES Bid No. RTH-20-0371-B 1. The Iloilo Provincial Government, through the  GENERAL FUND  2020 intends to apply the sum of NINETY SIX T</t>
  </si>
  <si>
    <t xml:space="preserve"> Contract ID No.	:	20GII0011 Contract Name	:	Procurement of Personal Protective Equipment and Accessories Contract Location:	DPWH-Northern Samar 2nd DEO, Brgy. Burabod, Laoang, Northern Samar Brief Description of Goods to be Procured:	Purchase of survey eq</t>
  </si>
  <si>
    <t xml:space="preserve"> Construction of Masonry Drainage Structure Going Aquino St., Annafunan West, Tuguegarao City</t>
  </si>
  <si>
    <t xml:space="preserve"> Office Supplies and Equipment that cost P 103, 000.00</t>
  </si>
  <si>
    <t xml:space="preserve"> 1.	The Department of Science and Technology, Region XII (DOST XII), through the DOST Regional Offices Information System Harmonization Project and ICT Equipment Under 2020 MITHI Program intends to apply the sum of  Five Million Nine Hundred Nine Thousand </t>
  </si>
  <si>
    <t xml:space="preserve"> INVITATION TO BID FOR THE PROCUREMENT OF 252,000 LITERS UNLEADED GASOLINE, 210,000 LITERS DIESEL AND 1 LOT OIL AND LUBRICANTS 1.	The Philippine Postal Corporation, through the CY 2020 Corporate Budget approved by PHLPost Board of Directors, intends to app</t>
  </si>
  <si>
    <t xml:space="preserve"> Republic of the Philippines Province of Surigao del Norte Municipality of Claver BIDS AND AWARDS COMMITTEE INVITATION TO BID The Municipality of Claver, Surigao del Norte through its Bids and Awards Committee (BAC) invites contractors registered with and </t>
  </si>
  <si>
    <t xml:space="preserve"> PROVINCE OF ZAMBOANGA DEL NORTE Municipality of Sibutad BIDS AND AWARDS COMMITTEE August 19, 2020 ______________________________                Name of Supplier ______________________________                       Address INVITATION TO BID 	The Local Gove</t>
  </si>
  <si>
    <t xml:space="preserve"> INVITATION TO BID The Municipality of Mutia through its Bids and  Awards Committee Invites  contractors to apply for eligibility and to bid for the project reflected hereunder; NAME OF PROJECT	:  Improvement/Rehabilitation of Head Tipan-Newland Road LOCAT</t>
  </si>
  <si>
    <t xml:space="preserve"> Jose Rizal Memorial State University INVITATION TO BID Rehabilitation/Repair of COA Office and Construction of 2-Storey Storage Building(PR No.20-03-0188) 1.	The Jose Rizal Memorial State University-Dapitan Campus through the Corporate Budget for the Cont</t>
  </si>
  <si>
    <t xml:space="preserve"> pRepublic of the Philippines Province of Bukidnon MUNICIPALITY OF PANGANTUCAN TIN 099-000-631-170 OFFICE OF THE MUNICIPAL MAYOR Bids and Awards Committee (BAC) Cel # 09265379129 E-mail Address: munpangantucanbukidnon@yahoo.com or visit www.philgeps.net RE</t>
  </si>
  <si>
    <t xml:space="preserve"> PIPES AND FITTINGS</t>
  </si>
  <si>
    <t xml:space="preserve"> Office Supplies 1	10	reams	Book Paper - short 2	10	reams	Book Paper - long 3	13	reams	Book Paper A4 4	50	pcs	Long Folder (white) 5	2	pcs	Stapler (big) 6	1	pcs	Puncher (big) 7	10	pcs	My Gel Ballpen or its equi 8	1	box	Mongol Pencil #2 9	5	pcs	Correction Ta</t>
  </si>
  <si>
    <t xml:space="preserve"> Republic of the Philippines City of Cagayan de Oro BIDS AND AWARDS COMMITTEE Invitation to Bid  for Proposed Renovation of City Civil Registry Office (City Hall Compound); SN 190 - 2020 1.	The City Government of Cagayan de Oro, through the Supplemental Bu</t>
  </si>
  <si>
    <t xml:space="preserve"> Republic of the Philippines BIDS AND AWARDS COMMITTEE Province of Iloilo Invitation to Bid Purchase of  DRUGS AND MEDICINES Bid No. RTH-20-0369-B 1. The Iloilo Provincial Government, through the  GENERAL FUND  2020 intends to apply the sum of ONE HUNDRED </t>
  </si>
  <si>
    <t xml:space="preserve"> Item No.	Qty	Unit	Article / Description 1	1	lot	"Contract for the Supply of Labor, Materials, Tools and Equipments necessary for the Building Improvement (Construction of Hallway of Legistative Office) Scope of Works: I - Concrete WOrks II - Steel Works I</t>
  </si>
  <si>
    <t xml:space="preserve"> Republic of the Philippines BIDS AND AWARDS COMMITTEE Province of Iloilo Invitation to Bid Purchase of  MEDICAL SUPPLIES Bid No. RTH-20-0181-B(RE-BID2) 1. The Iloilo Provincial Government, through the  GENERAL FUND  2020 intends to apply the sum of THREE </t>
  </si>
  <si>
    <t xml:space="preserve"> Republic of the Philippines BIDS AND AWARDS COMMITTEE Province of Iloilo Invitation to Bid Purchase of  LABORATORY SUPPLIES Bid No. RTH-20-0974-B 1. The Iloilo Provincial Government, through the  GENERAL FUND  2020 intends to apply the sum of TWO HUNDRED </t>
  </si>
  <si>
    <t xml:space="preserve"> Alternator Assy. etc.  NOTE:To all suppliers bid documents and BAC Resolution 2020-029 are available at BAC Office and LGU website.</t>
  </si>
  <si>
    <t xml:space="preserve"> ITEM NO. DESCRIPTION UNIT QUANTITY SPL 1 PROJECT SIGNBO/PERMANENT MARKER LOT 1.00 SPL 2 PROVISION OF HEALTH &amp; SAFETY /VARIOUS HANDTOOLS LOT 1.00 101 EXCAVATION WORKS A. Common Earth CU.m 121.28 B. Hard cu.m 8.00 405 CONCRETE WORKS cu.m 45.82</t>
  </si>
  <si>
    <t xml:space="preserve"> Republic of the Philippines BIDS AND AWARDS COMMITTEE Province of Iloilo Invitation to Bid Purchase of  DRUGS AND MEDICINES Bid No. RTH-20-0368-B 1. The Iloilo Provincial Government, through the  GENERAL FUND  2020 intends to apply the sum of TWO HUNDRED </t>
  </si>
  <si>
    <t xml:space="preserve"> Republic of the Philippines BIDS AND AWARDS COMMITTEE Province of Iloilo Invitation to Bid Purchase of  MEDICAL SUPPLIES Bid No. RTH-20-0218-B(RE-BID) 1. The Iloilo Provincial Government, through the  GENERAL FUND  2020 intends to apply the sum of FIFTY T</t>
  </si>
  <si>
    <t xml:space="preserve"> Item No.	Qty	Unit	Article / Description 1	1	set	"CAMERA  Specs:  - Fast continuous shooting - 32.5 megapixel APS-C CMOS Sensor - Intelligent optical viewfinder - 45cross type AF points with multi-controller - iTR focus tracking - 4K 30p/25p cropped &amp; no c</t>
  </si>
  <si>
    <t xml:space="preserve"> Republic of the Philippines PROVINCE OF BUKIDNON Municipality of Sumilao INVITATION TO BID ITB NO. GS-2020-43 PROCUREMENT OF WHEEL TYPE BACKHOE WITH ADDITIONAL BREAKER (WITH BREAKER LINE, 6 TONS BREAKER ASSEMBLY, AND 20 TONS BREAKER ASSEMBLY). August 17, </t>
  </si>
  <si>
    <t xml:space="preserve"> Item No.	Unit	Item Description	Quantity	Estimated Unit Cost	Estimated Total Cost 1.	Set	Supply and Delivery of A &amp; B Liquid Chlorine (Chlorine Dioxide) 	700	  		500ml/bot. **Please indicate the following:          -Material Safety Data Sheet			          -</t>
  </si>
  <si>
    <t xml:space="preserve"> 3300 boxes Sodium Ascorbate Fortified with Zinc Capsule 500mg, 100 Capsule per box</t>
  </si>
  <si>
    <t xml:space="preserve"> Item No.	Unit	Qty	Item Description 1	pcs	10	Hand Gloves 2	pcs	6	Concrete pail 3	bags	150	Portland Cement 4	m3	13	Washed Sand 5	m3	19	Washed Fine Gravel 6	lght	103	16mmØ deformed steel bars; GRADE 40 7	lght	290	10mmØ deformed steel bars; GR40 8	lght	34	12m</t>
  </si>
  <si>
    <t xml:space="preserve"> Cordillera Administrative Region										 Provincial Government of Kalinga										 										 BIDS AND AWARDS COMMITTEE										 										 Invitation to Bid										 										 1.	The Provincial Government of KALINGA, through the Approved Budget for</t>
  </si>
  <si>
    <t xml:space="preserve"> I.   Mobilization, Clearing and Other Repairs II.  Painting Works</t>
  </si>
  <si>
    <t xml:space="preserve"> Diesel 													4,716	ltr 														 Terms of Reference:														 Weekly Withdrawals</t>
  </si>
  <si>
    <t xml:space="preserve"> I.   Removal of existing pathways, uprooting of trees, excavation, disposal, hauling of materials, clearing and lay-out II.  Concrete and masonry works III. Roof and Roof Framing</t>
  </si>
  <si>
    <t xml:space="preserve"> 1.	The Provincial Government of Batanes, through the Provincial Appropriations Ordinance No. 03 series of 2019 intends to apply the sum of Two Hundred Eighteen Thousand Five Hundred Thirty-One Pesos Only (₱ 218,531.00), being the Approved Budget for the C</t>
  </si>
  <si>
    <t xml:space="preserve"> Construction of Line Canal  Location: Panaytayan Dumpsite -nothing follows-</t>
  </si>
  <si>
    <t xml:space="preserve"> 66  bags Cement	 2 cu.m. Gravel 9 cu.m. Sand 450 pcs 4” thk CHB 48 pcs 10mmó RSB 4 kgs #16 Tie wire 1 pc 2”Ø PVC Pipe (orange) 4 pcs PVC Elbow, 2”Ø 1 pc 3”Ø PVC Pipe ( orange) 4 pcs PVC Elbow, 3”Ø 2 pcs PVC Tee, 3”Ø 1 pc Floor Drain 2 cans Solvent Cement </t>
  </si>
  <si>
    <t xml:space="preserve"> SUPPLY AND DELIVERY OF THE FOLLOWING Lot 1, various Equipments                            = Php          500,000.00 1 unit Desktop with Complete Accessories Specification: Intel core, I7-processor 2.2 GHZ (9M cache, up to 4.1, Windows 10 (64bit) with pre-</t>
  </si>
  <si>
    <t xml:space="preserve"> Fuel/Diesel 													3,719	Liters 														 Terms of Reference:														 Fuel delivery will be done per request														 Payment shall be made accordingly</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</si>
  <si>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</si>
  <si>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I.     Trimming of trees, Clearing, Excavation and Lay-out II.    Electrical Works III.   Concrete Works</t>
  </si>
  <si>
    <t xml:space="preserve"> Diesel 													649	Liter Unleaded Gas 													100	Liter Oil 40 													4	Liter 														 Terms of Refference: 														 Withdrawals will be on weekly basis</t>
  </si>
  <si>
    <t xml:space="preserve"> The Barangay Local Government Unit of Poblacion Santa Fe, Nueva Vizcaya, through its Bids &amp; Awards Committee invites contractors to bid for the following project: Contract Name:  Construction of Street Light (ES) Contract Location: Poblacion, Santa Fe, Nu</t>
  </si>
  <si>
    <t xml:space="preserve"> 1.      16     pcs.       Steel Plate Gauge 18 X 4 x 8' 2.      24     pcs        16mm X 6M  RSB 3.      30     pcs        10mm X 6M  RSB 4.      20     pcs        Steel mating 4 X 10' 5.      15     kls         Welding rod</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</si>
  <si>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</si>
  <si>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Aircon, Floor Standing, Split Type, 4HP, Inverter - 3 Sets • 4.0 HP (3 TR) Floor Standing Air Conditioner • Energy Saving  • DC Inverter Compressor • LED Display • Sleep Mode/ Timer Function • Auto On / Off Timer • High Efficiency Air Filter • Intelligent</t>
  </si>
  <si>
    <t xml:space="preserve"> Maintenance and Other  Operating Expenses ( MOOE)</t>
  </si>
  <si>
    <t xml:space="preserve"> 1.      17        pcs.        GI Pipe 1 1/2 X 20' S40 2.      17        pcs         Reflectorized Lampshade 3.      17        pcs         Firefly Buld Led 22W 4.      24        pcs         Electrical Tapes 5.      11        Boxes     THHN wire #10 Strande</t>
  </si>
  <si>
    <t xml:space="preserve"> 6	pcs	Kaserola	 50	pcs	Kumot Double	 70	pcs	Banig Family size	 40	pcs	Kulambo Family size	 4	pcs	Kaldero(big)	 1	pcs	Tulyasi (big)	 1	pcs	Tulyasi (small)	 2	pcs	Sandok(big)	 2	pcs	Syansi (big)	 2	pc	Rice Cooker(large)	 2	pc	Rice Cooker(meduim)	 2	pcs	Torn</t>
  </si>
  <si>
    <t xml:space="preserve"> PROCUREMENT OF SUPPLIES OF MOOE OF LINGI-ON ES</t>
  </si>
  <si>
    <t xml:space="preserve"> Republic of the Philippines Province of Samar Municipality of Sta. Rita The Municipality of Sta. Rita, through LGU fund of 2020 intends to apply the sum of SIXTY THOUSAND PESOS ONLY (Php60,000.00) being the Approved Budget for the Contract (ABC) to paymen</t>
  </si>
  <si>
    <t xml:space="preserve"> Provision for Freight Services of Pag-IBIG Fund Calamba Hub, Calamba Branch &amp; Santa Rosa Branch from August to December 2020 *See attached Freight Services Agreement</t>
  </si>
  <si>
    <t xml:space="preserve"> To procure goods for the 10th Cycle implementation of Supplementary Feeding Program in the Municipality of Quirino, Ilocos Sur</t>
  </si>
  <si>
    <t xml:space="preserve"> Republic of the Philippines BIDS AND AWARDS COMMITTEE Province of Iloilo Invitation to Bid Purchase of  DRUGS AND MEDICINES Bid No. RTH-20-0217-B(RE-BID) 1. The Iloilo Provincial Government, through the  GENERAL FUND  2020 intends to apply the sum of ONE </t>
  </si>
  <si>
    <t xml:space="preserve"> 1,000  liters  Diesel 500  liters  Gasoline Premium x-x-x-x-x-x</t>
  </si>
  <si>
    <t xml:space="preserve"> To procure goods for the 10th Cycle implementation of Supplementary Feeding Program in the Municipality of San Emilio, Ilocos Sur</t>
  </si>
  <si>
    <t xml:space="preserve"> 1	Air Freshener Spray for AIR and FABRIC  275 ml (275 g) (aerosol type) (scented) (PATENTED  and  TRUSTED BRAND)		24	tubes 2	 Alcohol 3785.41ml  with moisturizer Isopropyl 70%  solution; Hypoallergenic with Moisturizer  (PATENTED  and  TRUSTED BRAND)		75	</t>
  </si>
  <si>
    <t xml:space="preserve"> Sir/Madam:																																						 																																						 Please quote your government price/s including delivery charges, VAT or other applicable taxes, and other incidental expenses for the goods listed in Annex A.  Failure</t>
  </si>
  <si>
    <t xml:space="preserve"> Republic of the Philippines BATANGAS STATE UNIVERSITY Batangas City REQUEST FOR QUOTATION "Procurement of Communication Equipment for Various Offices"  1. The Batangas State University (BatState U) through the Bids and Awards Committee invites interested </t>
  </si>
  <si>
    <t xml:space="preserve"> This project is dealing of Brgy. Buenavista, Lopez, Quezon</t>
  </si>
  <si>
    <t xml:space="preserve"> Republic of the Philippines BARANGAY san fernando Talisay city, Negros Occidental Name of project: water supply Location barangay san fernando talisay city INVITATION TO APPLY FOR ELIGIBILITY AND TO BID The talisat city GOVERNMENT, through its Bids and Aw</t>
  </si>
  <si>
    <t xml:space="preserve"> Republic of the Philippines BARANGAY BLUMENTRITT Municipality of Murcia, Negros Occidental Name of project: To purchase another inconeof the association menbers and opportunity of employment and project sustainability Location of the Project:Barangay blum</t>
  </si>
  <si>
    <t xml:space="preserve"> Engine Type DIESEL TURBO F/INJ Engine Size 3.0L Cylinders DIESEL TURBO 4 Max. Torque 300Nm @  1200rpm Max. Power 100kW @  3400rpm Pwr:Wgt Ratio 53.6W/kg Bore &amp; Stroke 96x103mm Compression Ratio 17.9 Valve Gear DUAL OVERHEAD CAM</t>
  </si>
  <si>
    <t xml:space="preserve"> Republic of the Philippines National Kidney and Transplant Institute Bids and Awards Committee East Avenue, Quezon City 1100 981-0300 / 981-0400 local 1157 http://www.nkti.gov.ph/	 INVITATION TO BID for the ITB No. 20-081 SUPPLY AND DELIVERY OF NINE THOUS</t>
  </si>
  <si>
    <t xml:space="preserve"> Republic of the Philippines BIDS AND AWARDS COMMITTEE Province of Iloilo Invitation to Bid Purchase of  MEDICAL SUPPLIES Bid No. JCH-20-0230-B(RE-BID2) 1. The Iloilo Provincial Government, through the  GENERAL FUND  2020 intends to apply the sum of ONE HU</t>
  </si>
  <si>
    <t xml:space="preserve"> Republic of the Philippines BIDS AND AWARDS COMMITTEE Province of Iloilo Invitation to Bid  PURCHASE OF MEDICAL SUPPLIES Bid No. JCH-20-0690-B 1. The Iloilo Provincial Government, through the GENERAL FUND 2020 intends to apply the sum of  ONE HUNDRED FIVE</t>
  </si>
  <si>
    <t xml:space="preserve"> To procure goods for the 10th Cycle implementation of Supplementary Feeding Program in the Municipality of San Ildefonso, Ilocos Sur</t>
  </si>
  <si>
    <t xml:space="preserve"> Republic of the Philippines National Kidney and Transplant Institute Bids and Awards Committee East Avenue, Quezon City 1100 981-0300 / 981-0400 local 1157 http://www.nkti.gov.ph/	 INVITATION TO BID for the ITB No. 20-083 2nd RE-BIDDING FOR SUPPLY AND DEL</t>
  </si>
  <si>
    <t xml:space="preserve"> REPUBLIC OF THE PHILIPPINES																																							 Province of Davao del Sur																																							 MUNICIPALITY OF SANTA CRUZ																																							 -- oOo --																																							 								</t>
  </si>
  <si>
    <t xml:space="preserve"> This project is dealing of Brgy. Rizal Rural, Lopez, Quezon</t>
  </si>
  <si>
    <t xml:space="preserve"> Complete construction (7.00m x 18.00m plus corridor 2.50m) One (1) storey Two Classroom School Building with reinforced concrete, gutter, handwashing area both sides, PWD ramp with handrails, window grilles at front and rear windows and parapet wall</t>
  </si>
  <si>
    <t xml:space="preserve"> IMPROVEMENT OF MULTI-PURPOSE HALL LOCATED AT STA ANA, AGOO, LA UNION</t>
  </si>
  <si>
    <t xml:space="preserve"> Materials: Qty   unit            items        unit price    total price 725   bags     portland cement   P180.00    P130,500.00 546    cu.m    washed sand          500.00        27,300.00 90      cu.m     grave g.i 1/4          800.00         72,000.00 36</t>
  </si>
  <si>
    <t xml:space="preserve"> The Barangay Local Government Unit of Unib, Santa Fe, Nueva Vizcaya, through its Barangay Bids &amp; Awards Committee invites contractors to bid for the following project: Contract Name: Procurement of Barangay Service Vehicle  Contract Location: Unib, Santa </t>
  </si>
  <si>
    <t xml:space="preserve"> Republic of the Philippines														 PROVINCE OF ZAMBOANGA SIBUGAY														 Municipality of Payao														 														 INVITATION TO BID														 										PR2020-06-29-083				 The Local Government Unit of Payao, Zamboanga Sibugay, </t>
  </si>
  <si>
    <t xml:space="preserve"> Republic of the Philippines														 PROVINCE OF ZAMBOANGA SIBUGAY														 Municipality of Payao														 														 INVITATION TO BID														 										PR2020-08-11-107				 The Local Government Unit of Payao, Zamboanga Sibugay, </t>
  </si>
  <si>
    <t xml:space="preserve"> Republic of the Philippines Province of Samar Municipality of Sta. Rita Brgy. Cabacungan BIDS AND AWARDS COMMITTEE INVITATION TO BID The Brgy. Cabacungan, Municipality of Sta. Rita, through Brgy. fund intends to apply the sum of One Hundred Fifty Thousand</t>
  </si>
  <si>
    <t xml:space="preserve"> PR#20-08-0502 ABC 81,932.00 116 books - Record Book Specifications:  - 150 pages / No. 75 Blank Book  - Ensuring Perfect Writing Surface &amp; Durability 134 books - Record Book Specifications:  - 300 pages / No. 75 Blank Book  - Ensuring Perfect Writing Surf</t>
  </si>
  <si>
    <t xml:space="preserve"> OSMEÑA 03-2020 - Installation of Solar-Powered LED Streetlights</t>
  </si>
  <si>
    <t xml:space="preserve"> To procure goods for the 10th Cycle implementation of Supplementary Feeding Program in the Municipality of Santa, Ilocos Sur</t>
  </si>
  <si>
    <t xml:space="preserve"> Procurement of 1 Lot Grocery Items</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</si>
  <si>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</si>
  <si>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INVITATION TO BID The Municipality of Mutia through its Bids and  Awards Committee Invites  contractors to apply for eligibility and to bid for the project reflected hereunder; NAME OF PROJECT	: Rehabilitation of San Miguel Barangay  Road LOCATION		:  Mut</t>
  </si>
  <si>
    <t xml:space="preserve"> Republic of the Philippines														 PROVINCE OF ZAMBOANGA SIBUGAY														 Municipality of Payao														 														 INVITATION TO BID														 										PR2020-06-29-082				 The Local Government Unit of Payao, Zamboanga Sibugay, </t>
  </si>
  <si>
    <t xml:space="preserve"> 270 sets of: DISINFECTION SPRAYER-METAL (Knapsack 16-18L, 3KG) 270 Gallons of: DISINFECTANT BLEACH LIQUID ** TO BE DELIVERED TO THE FOLLOWING DELIVERY PLACES: - Benito Villar MS, Baco - Bansud CS, Bansud - Bagong Bayan CS, Bongabong - Magdalena Umali Suyo</t>
  </si>
  <si>
    <t xml:space="preserve"> ITEM NO. DESCRIPTION  UNIT QUANTITY SPL 1 PROJECT SIGNBOARD/BILLBOARD LOT 1.00 SPL 2 HANDTOOLS LOT 1.00 103 SITE WORKS EXCAVATION (GROUND LEVELING) 48.00 CU.M 200 SUB-BASE COURSE CU.M 32.54 404 REINFORCING STEEL BARS KGS 1,363.12 405 CONCRETE WORKS-PCCP C</t>
  </si>
  <si>
    <t xml:space="preserve"> REQUEST FOR QUOTATION RFQ 2020-08-004 Project:  Supply and Delivery of Service Connection Materials and for Distribution lines expansion and repair of Talugtug Water District Materials needed:	   6 rolls PE Pipe 1/2’’ x 300 m SDR 11 Blue 12 rolls PE Pipe </t>
  </si>
  <si>
    <t xml:space="preserve"> 2 SET INTEL CORE I5-9400 processor 2 SET MSI H360M MOTHERBOARD 4 SET 8GB MEMORY DDR4 2 SET 2GB GT710 VCARD</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</si>
  <si>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</si>
  <si>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m No.	Type of Works to be done under appropriation	% of total	Equipments to be used in the construction I	Soil Treatment	30%	 II	Wood Drenching	25%	 III	Termite Abatement	25%	 IV	Drilling	20%	 			 TOTAL:		100.00%</t>
  </si>
  <si>
    <t xml:space="preserve"> To procure goods for the 10th Cycle implementation of Supplementary Feeding Program in the Municipality of San Esteban, Ilocos Sur</t>
  </si>
  <si>
    <t xml:space="preserve"> BAC RESOLUTION NO. 481-2020 “A RESOLUTION DECLARING FAILURE OF BIDDING AND RECOMMEND FOR ALTERNATIVE MODE OF PROCUREMENT” WHEREAS, the Bids and Awards Committee (BAC) thru the Secretariat published in PhilGEPS and in any conspicuous places the purchase of</t>
  </si>
  <si>
    <t xml:space="preserve"> Qty.                Unit.                                 Description 10                  box                            Amplodipine 10mg. tab.      17                  box                            Losartan 50mg. tab. 5                    box           </t>
  </si>
  <si>
    <t xml:space="preserve"> REQUEST FOR QUOTATION For Negotiated Procurement thru Small Value Procurement under Sec. 53.9 of the 2016 Revised IRR of RA 9184 Quotation No.:  2020-08-290 Date: August 18, 2020 PR No.: 20-08-308 PR Date: August 5, 2020 The Metropolitan Tuguegarao Water </t>
  </si>
  <si>
    <t xml:space="preserve"> 1	Brother LC 3617 black		6	pcs 2	Brother LC 3617 Cyan		6	pcs 3	Brother LC 3617 Magenta		6	pcs 4	Brother LC 3617 Yellow		6	pcs 5	Canon 810 black		6	pcs 6	Canon 811 Colored		6	pcs 7	Canon 741 Colored		6	pcs 8	Epson LX300+		6	pcs 9	Epson T6641 black		24	pcs </t>
  </si>
  <si>
    <t xml:space="preserve"> •	Plastic Chair      -   50 pcs.   •	Executive Chair -   1 pc.   •	Swivel Chair      -   13 pcs.</t>
  </si>
  <si>
    <t xml:space="preserve"> Materials for construction of building (Please see RFQ)</t>
  </si>
  <si>
    <t xml:space="preserve"> INVITATION TO BID The Municipality of Mutia through its Bids and  Awards Committee Invites  contractors to apply for eligibility and to bid for the project reflected hereunder; NAME OF PROJECT	: Procurement of Materials &amp; Supplies for Solid Waste Manageme</t>
  </si>
  <si>
    <t xml:space="preserve"> Transport Boxes for COVID-19 Surveillance Transport Box heavy duty, FOR COVID-19 Specimens 11.5 in. x 8.5 in. x 10.5 in. (LxWxH)</t>
  </si>
  <si>
    <t xml:space="preserve"> cement, sand, gravel, angle bars, etc.</t>
  </si>
  <si>
    <t xml:space="preserve"> 1.	1	box/es	Cholesterol 2.	1	box/es	Glucose 3.	1	box/es	Uric Acid 4.	1	box/es	Triglycerides 5.	1	box/es	HDL Cholesterol Direct 6.	1	box/es	Urea UV (blood urea nitrogen) 7.	6	vial/s	Normal Quality Control Chemistry 8.	4	box/es	Diluent Tulip 9.	1	set/s	Qual</t>
  </si>
  <si>
    <t xml:space="preserve"> INVITATION TO BID ITB NO. 2020-08-016 The Procuring Entity  through its Bids and Awards Committee (BAC), invites eligible IT suppliers to apply for eligibility and to bid for the hereunder project: Name of Project: Purchase of Construction Materials for t</t>
  </si>
  <si>
    <t xml:space="preserve"> To procure goods for the 10th Cycle implementation of Supplementary Feeding Program in the Municipality of Santiago, Ilocos Sur</t>
  </si>
  <si>
    <t xml:space="preserve"> Republic of the Philippines          City of Dumaguete Bids and Awards Committee INVITATION TO BID FOR PURCHASE REQUEST OF 4 PCS PRINTER, PRINT, SCAN &amp; COPY AND OTHER ITEMS 	The City of Dumaguete thru its BIDS AND AWARDS COMMITTEE (BAC), invites all inter</t>
  </si>
  <si>
    <t xml:space="preserve"> ITB2020-022 LBP Dagupan re: Construction of LANDBANK Dagupan Branch Offsite ATM at CSI Bonuan APPROVED BUDGET FOR THE CONTRACT : PHP 58,140.00 NOTES IN SUBMITTING YOUR BID PROPOSALS TO BE ATTACH IN YOUR SUBMITTED SIGNED AND SEALED QUOTATIONS: TWO SETS/COP</t>
  </si>
  <si>
    <t xml:space="preserve"> Vehicle Parts &amp; Accessories-Tire 265x60x18</t>
  </si>
  <si>
    <t xml:space="preserve"> Procurement of IT Equipment and supplies for the Official use of DARPO Aklan, 2nd batch for CY 2020 A. Ink Tank Printer - Print, Scan &amp; Copy with Built-in Wireless. Ultra-high 6500 page yield (black ink) / 5000 page yield (colour ink). Wifi-Direct, Direct</t>
  </si>
  <si>
    <t xml:space="preserve"> Republic of the Philippines Department of Health DAVAO REGIONAL MEDICAL CENTER Apokon, Tagum City BIDS AND AWARDS COMMITTEE Invitation to Bid for the SUPPLY &amp; DELIVERY OF PLUMBING SUPPLIES - REBID 1.	The Davao Regional Medical Center (DRMC), through the H</t>
  </si>
  <si>
    <t xml:space="preserve"> Office Supplies-Water Dispenser,Double A Battery,etc....</t>
  </si>
  <si>
    <t xml:space="preserve"> Republic of the Philippines Office of the Municipal Mayor BIDS AND AWARDS COMMITTEE Burgos, Ilocos Sur REQUEST FOR QUOTATIONS The Municipal Government of Burgos, Ilocos Sur, through its Bids and Awards Committee (BAC) invites bids for the hereunder contra</t>
  </si>
  <si>
    <t xml:space="preserve"> Republic of the Philippines Province of Leyte Municipality of Inopacan Barangay Macagoco INVITATION TO BID FOR  THE SUPPLY OF MATERIALS FOR THE INSTALLATION OF TEMPORARY QUARANTINE FACILITY PROJECT 2 1.	The Barangay Macagoco, Inopacan, Leyte, under the 20</t>
  </si>
  <si>
    <t xml:space="preserve"> Republic of the Philippines														 PROVINCE OF ZAMBOANGA SIBUGAY														 Municipality of Payao														 														 INVITATION TO BID														 										PR2020-08-11-108				 The Local Government Unit of Payao, Zamboanga Sibugay, </t>
  </si>
  <si>
    <t xml:space="preserve"> 1	Unit 	TRI- WHEEL VEHICLE		 				 	Specifications	Engine Type		4-Stroke,Forced, Air  				Cooled, DTS-I-FI Engine  		No; of Cylinder:		One 		Engine Displacment:		198.88 CC 		Starting		Electric &amp; Hand Start 		Transmissions:		4 Speed Forward + 1  				Reverse</t>
  </si>
  <si>
    <t xml:space="preserve"> Qty  Unit   Item Description 40 lght. –      G.I. pipe 2” x 6m 40 set    -       Secondary rock (2 poles) 2   lght.  -       G.I. pipe ¾ “ x 6m (sch. 40) 50 pcs.   -      Machine Bolt ¼ x 1” 40 pcs.   -      Doom Reflector 12” (Hang Type) 40 pcs.   -     </t>
  </si>
  <si>
    <t xml:space="preserve"> PURCHASE OF MEDICAL SUPPLIES AND EQUIPMENTS 1.	The Municipal Government of Sta. Maria through the LDRRMF – Trust Funds intends   to apply the sum of Three Hundred Eighty Thousand Pesos (₱380,000.00) being                          the Approved Budget for t</t>
  </si>
  <si>
    <t xml:space="preserve"> Republic of the Philippines City Government of Cotabato BIDS AND AWARDS COMMITTEE Cotabato City INVITATION TO BID FOR THE Purchase of  Office Equipment 1.	The City Government of  Cotabato, through  Regular Fund  intends to apply the sum of  One  Hundred T</t>
  </si>
  <si>
    <t xml:space="preserve"> One (1) Job Contract for the Construction of Government Complex-Gymnasium Phase V, F. Palmares St. Passi City, Iloilo/CEO</t>
  </si>
  <si>
    <t xml:space="preserve"> INFRASTRUCTURE WORKS FOR THE CONSTRUCTION/IMPROVEMENT OF WATER SUPPLY SYSTEM (PHASER 2) AT SITIO BATO, BARANGAY BASAK, ZAMBOANGUITA, NEGROS ORIENTAL</t>
  </si>
  <si>
    <t xml:space="preserve"> OPENING OF BIDS IN DSWD FOIX-GENERAL VICENTE ALVAREZ ST., ZAMBOANGA CITY DELIVERY OF GOODS IN PAGADIAN CITY, ZAMBOANGA DEL SUR FOR THE FOLLOWING PROCUREMENT: 40 bot. Genuine EPSON INK T664 (black) 30 bot. Genuine EPSON INK T664 (cyan) 30 bot. Genuine EPSO</t>
  </si>
  <si>
    <t xml:space="preserve"> FIltered tips 100uL Specifications: Aerosol-resistant tips 100 reach, sterilized, certified RNASE/DNASE, pyogen safe, mircopoint. (100ulx96 tips, 8/12 box) FIltered tips 20uL Specifications: Aerosol-resistant tips 20 reach, sterilized, certified RNASE/DNA</t>
  </si>
  <si>
    <t xml:space="preserve"> SUPPLY, DELIVERY, INSTALLATION, TESTING AND COMMISIONING OF AIRCONDITIONING UNIT (1 UNIT 2.0 TR WALL MOUNTED (INVERTER) FOR LBP KIDAPAWAN BRANCH INCLUDING INSTALLATION OF ELECTRICAL FEEDER LINES AND DRAIN PIPES (PLEASE SEE ATTACHED SPECS) LBP KIDAPAWAN BR</t>
  </si>
  <si>
    <t xml:space="preserve"> DIMENSION LENGTH AND WIDTH IS IN CENTIMETERS AREA: IN SQUARE FOOT Mayor's Office MIN. SQ.FT.  WIDTH  LENGTH W1    38.74    240        150 W2    40.35    250        150 W3a  16.79   120        130 W3b   15.00   85          82 W4a    25.75  165        145 W</t>
  </si>
  <si>
    <t xml:space="preserve"> Republic of the Philippines Province of Davao de Oro Municipality of Monkayo -o0o- INVITATION TO BID FOR THE PROCUREMENT OF MATERIALS FOR THE PROJECT OF CONSTRUCTION OF HANGING BRIDGE (PHASE 1) LOCATED @ PUROK 7, LAMACANAN, BARANGAY SALVACION, MONKAYO, DA</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</si>
  <si>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</si>
  <si>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37 cm (H) x 33.5 cm (W)	1500	pcs Polypropylene Reusable Bags		 		 25 cm (W) x 30 cm (H) (10 in x 12 in)	1300	pcs Katsa Cloth Reusable Bags with Print</t>
  </si>
  <si>
    <t xml:space="preserve"> Item No.	Description	Unit	Quantity 1	Marine Plywood 3/4’’	Pcs	30 2	Good Lumber 2x3x10	Pcs	110 3	Good Lumber 2x2x10	Pcs	52 4	Edging Wood 3/4	Pcs	51 5	CWN Assorted	Kl	15 6	Wood Glue	Ltr	4 7	Polytuff Body Filer	Ltr	5 8	Glazing Putty	Ltr	5 9	Wood Primer	Ltr	4</t>
  </si>
  <si>
    <t xml:space="preserve"> 1.	10,000	liter/s	Diesel Fuel</t>
  </si>
  <si>
    <t xml:space="preserve"> Republic of the Philippines Province of Leyte 		Municipality of Bato Brgy. BAGO, Bato, Leyte INVITATION TO BID  FOR THE SUPPLY AND DELIVERY OF VARIOUS MATERIALS FOR THE CONSTRUCTION OF PUBLIC COMFORT ROOM OF BRGY. BAGO, BATO, LEYTE (BAGOGOODS2020-02) 1.	T</t>
  </si>
  <si>
    <t xml:space="preserve"> CARPENTRY WORKS: 1.	PLYWOOD, ¾”, MARINE          16 Pcs. 2.	DRAWER GUIDE                     12 Pair 3.	DRAWER HANDLE                  40 Pcs. 4.	DRAWER LOCK                      40 Pcs. 5.	NAIL, FINISHING 1 ½”          10 Kilo 6.	STIKWEL                 </t>
  </si>
  <si>
    <t xml:space="preserve"> 1	Arch File, 2 hole,green, landscape, long, pls see attached sample		18	pcs 2	Arch File, 2 hole,green, maroon, long, pls see attached sample		10	pcs 3	Arch File, 2 hole,Royal Blue, landscape, long, pls see attached sample		30	pcs 4	Arch File, 2 hole,Navy </t>
  </si>
  <si>
    <t xml:space="preserve"> Air conditioning unit, floor-type, 3-toner, 2 HP Laptop, i7 Processor, 2-in-1 Touchscreen Laptop 13.4"touchscreen, 16GB memory Smartphone, 64GB Desktop Computer, i5 Processor, 8GB DDR4 mem 19" Monitor, USB Mouse and Keyboard, 1TB HDD Airconditioning unit,</t>
  </si>
  <si>
    <t xml:space="preserve"> One (1) Lump Sum Construction of Drainage Canal (incld. supply of materials, equip. rental and supply of labor)</t>
  </si>
  <si>
    <t xml:space="preserve"> Sealed Quotation - One (1) Lot - Rental of three (3) service vehicle for Pag-IBIG Fund OVP-HLO Property Valuation Division from September to November 2020   Pag-IBIG Fund Calamba Business Center National Highway, Brgy. Halang, Calamba City SCOPE OF SERVIC</t>
  </si>
  <si>
    <t xml:space="preserve"> Republic of the Philippines														 PROVINCE OF ZAMBOANGA SIBUGAY														 Municipality of Payao														 														 INVITATION TO BID														 										PR2020-08-11-110				 The Local Government Unit of Payao, Zamboanga Sibugay, </t>
  </si>
  <si>
    <t xml:space="preserve"> One (1) Lump Sum Concreting of Motorpool Road (incld. supply of materials, equip. rental and supply of labor)</t>
  </si>
  <si>
    <t xml:space="preserve"> 10	piece	PCB - 12x12 inches		 10	piece	Heavy Duty Extension Plug		 5	bundle	1 Meter Telephone Wire - Three Wires (6P6C)		 5	piece	Ethernet Shield W5100 for Arduino		 100	piece	Diode - 1N4007		 100	piece	Resistor 1/2W - 5K ohms		 100	piece	Resistor 1/2W -1</t>
  </si>
  <si>
    <t xml:space="preserve"> To procure goods for the 10th Cycle implementation of Supplementary Feeding Program in the Municipality of Sigay, Ilocos Sur</t>
  </si>
  <si>
    <t xml:space="preserve"> No.	QTY	UNIT	AGENCY'S SPECIFICATIONS 			 1	2	rolls	RUBBER GASKET W/ FLY - 1/4 2	72	pcs.	1" X 5" STAINLESS BOLT W/ NUT 3	16	pcs.	3/4" X 5" STAINLESS BOLT W/ NUT DELIVERY PERIOD:			30 calendar days VALIDITY PERIOD:			30 calendar days TERMS AND CONDITIONS			</t>
  </si>
  <si>
    <t xml:space="preserve"> Invitation to Bid for Construction of Roads and leveling  (Of New Barangay Site) at Brgy. Butong  1.	The Barangay Butong, Diplahan, Zamboanga Sibugay, through the Barangay Funds intends to apply the sum of Three Hundred eighty-eight Thousand Four hundred </t>
  </si>
  <si>
    <t xml:space="preserve"> INFRASTRUCTURE WORKS FOR THE IMPROVEMENT OF WATER SUPPLY SYSTEM AT SITIO MAG-ABO, BARANGAY MALUAY, ZAMBOANGUITA, NEGROS ORIENTAL</t>
  </si>
  <si>
    <t xml:space="preserve"> To procure goods for the 10th Cycle implementation of Supplementary Feeding Program in the Municipality of Sta. Maria, Ilocos Sur</t>
  </si>
  <si>
    <t xml:space="preserve"> Republic of the Philippines Province of Guimaras OFFICE OF THE BIDS AND AWARDS COMMITTEE INVITATION TO BID FOR    SUPPLY AND DELIVERY ONE UNIT TIRE CHANGER Bid Ref. No. 2020-08-463 1.	The Province of Guimaras , through the Repair and Maintenance of Transp</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</si>
  <si>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</si>
  <si>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Location: Public Market, Poblacion I, Moncada, Tarlac Scope of Work to be done: 1. column 2. Roofing and Roof Framing 3. Painting</t>
  </si>
  <si>
    <t xml:space="preserve"> Procurement of Packed Snacks and Lunch for the conduct of Public Consultations/Coordination Meetings regarding the Widening of National Roads and Bridges along National Roads of DPWH Iloilo 2nd DEO on September 1,3,7,9,10,15,17,22 &amp; 25, October 8,16,22,23</t>
  </si>
  <si>
    <t xml:space="preserve"> 1.	The BLGU-Barangay Kayapa, Bakun, Benguet, Through the 20% BDF 2020, 70% BDRRMF 2020 and CAPITAL OUTLAY 2019-2020 intends to apply the sum of P688, 065.23 being the Approved Budget for the contract (ABC) to payments under the contract for the Various In</t>
  </si>
  <si>
    <t xml:space="preserve"> WORKS TO BE DONE: 1. EARTH WORKS 2. MASONRY WORKS  - Pipes, Joining and Lay-out</t>
  </si>
  <si>
    <t xml:space="preserve"> One (1) Lump Sum Reblocking / Concreting of Municipal Streets (incld. supply of materials, equip. rental and supply of labor)</t>
  </si>
  <si>
    <t xml:space="preserve"> Republic of the Philippines Province of Samar Municipality of Sta. Rita The Municipality of Sta. Rita, through LGU fund of 2020 intends to apply the sum of SEVENTY THOUSAND PESOS ONLY (Php70,000.00) being the Approved Budget for the Contract (ABC) to paym</t>
  </si>
  <si>
    <t xml:space="preserve"> Number: 	Quantity: 	 1	2	unit		Battery 12V, 11 plates,	3SMF Maintenance free		7,500.00	15,000.00 2	1	set		Bed Liner	D-CAB O/R PC 350-OK026 (Toyota Hilux 2018)		25,000.00	25,000.00 3	1	set		Brake Pad	(Toyota Hilux 2018)		2,800.00	2,800.00 4	1	set		Front Bu</t>
  </si>
  <si>
    <t xml:space="preserve"> Republic of the Philippines Office of the Municipal Mayor BIDS AND AWARDS COMMITTEE Burgos, Ilocos Sur NOTICE FOR NEGOTIATED PROCUREMENT The Municipal Government of Burgos, Ilocos Sur, through its Bids and Awards Committee (BAC) invites bids for the hereu</t>
  </si>
  <si>
    <t xml:space="preserve"> Purchase of Medical Supplies</t>
  </si>
  <si>
    <t xml:space="preserve"> 1.	25,000	liter/s	Diesel Fuel 2.	1,000	liter/s	Gasoline Fuel</t>
  </si>
  <si>
    <t xml:space="preserve"> General Repair of one (01) unit L300 (Jeepney Type) Mitsubishi.</t>
  </si>
  <si>
    <t xml:space="preserve"> Republic of the Philippines														 PROVINCE OF ZAMBOANGA SIBUGAY														 Municipality of Payao														 														 INVITATION TO BID														 										PR2020-08-11-111				 The Local Government Unit of Payao, Zamboanga Sibugay, </t>
  </si>
  <si>
    <t xml:space="preserve"> The DOST Regional Office No. 1, through the MITHI Program CY 2020, intends to apply the sum of One Million Seven Hundred Twenty Two Thousand One Hundred Forty Two Pesos Only  (1,722,142.00) being the Approved Budget for the Contract (ABC)  to payments und</t>
  </si>
  <si>
    <t xml:space="preserve"> Republic of the Philippines Province of Guimaras OFFICE OF THE BIDS AND AWARDS COMMITTEE INVITATION TO BID FOR    SUPPLY AND DELIVERY OF VEHICLE PARTS AND ACCESSORIES Bid Ref. No. 2020-08-464 1.	The Province of Guimaras , through the Repair and Maintenanc</t>
  </si>
  <si>
    <t xml:space="preserve"> 1.	The Provincial Government of Batanes, through Trust Fund-Chinese Consulate in Laoag intends to apply the sum of Two Hundred Twenty-Three Thousand Five Hundred Nine Pesos and 02/100 Only (₱ 223,509.02), being the Approved Budget for the Contract (ABC) t</t>
  </si>
  <si>
    <t xml:space="preserve"> Please quote your lowest price for the requirements listed hereunder subject to the Terms and Conditions stated below and submitted to the office duly signed. PROCUREMENT TERMS and CONDITIONS: 1.	Price Quotation should be inclusive of the 5% final VAT and</t>
  </si>
  <si>
    <t xml:space="preserve"> INVITATION TO BID The Barangay Buayan through its Bids and Awards Committee (BAC) invites philgeps registered suppliers to apply to bid for te Supply and Delivery of Various Materials of COMPLETION OF MULTI-PURPOSE BUILDING. I. GENERAL REQUIREMENTS II. EX</t>
  </si>
  <si>
    <t xml:space="preserve"> 1.	30,000	liter/s	Diesel Fuel 2.	1,000	liter/s	Gasoline Fuel</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</si>
  <si>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</si>
  <si>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Section I. Invitation to Bid Republic of the Philippines Province of Bukidnon MUNICIPALITY OF TALAKAG Invitation to Bid for  Construction of Public Market Drainage System – Phase I 1.	The Municipality of Talakag, through the 0-90-000, CY 2020 intends to a</t>
  </si>
  <si>
    <t xml:space="preserve"> To procure goods for the 10th Cycle implementation of Supplementary Feeding Program in the Municipality of Sugpon, Ilocos Sur</t>
  </si>
  <si>
    <t xml:space="preserve"> Refer to RFQ</t>
  </si>
  <si>
    <t xml:space="preserve"> Republic of the Philippines														 PROVINCE OF ZAMBOANGA SIBUGAY														 Municipality of Payao														 														 INVITATION TO BID														 										PR2020-08-11-109				 The Local Government Unit of Payao, Zamboanga Sibugay, </t>
  </si>
  <si>
    <t xml:space="preserve"> 389	Piece	White T-shirt for Job Order, ABC 180.00/pc 888	Piece	White T-shirt for Permanent, ABC 180.00/pc 121	Piece	White T-shirt for Housekeeping, ABC 150.00/pc 100	Piece	Polo White Shirt(MANCOM), ABC 260.00/pc 86	Piece	Black and White Shirt Frontliners,</t>
  </si>
  <si>
    <t xml:space="preserve"> Supply of 1 unit Floor Polisher, 16" diameter, heavy duty and 1 unit Vacuum Cleaner, 1.5HP, heavy duty, wet &amp; dry</t>
  </si>
  <si>
    <t xml:space="preserve"> Republika ng Pilipinas										 National Irrigation Administration										 (Pambansang Pangasiwaan ng Patubig)										 REGION XI										 Irrigation Management Office- Davao de Oro										 										 										 										 										 										 			</t>
  </si>
  <si>
    <t xml:space="preserve"> Item No. Description Quantity Units 1.Supply &amp; Installation of 5100 Fixed Volleyball post on concrete coring - 1 set. with. a.2 pcs-volleyball post sleeve b.1 pc-volleyball net c.1 pc-umpire chair d.1 pc-antenna e.2 pc-post padding color blue</t>
  </si>
  <si>
    <t xml:space="preserve"> 100 boxes Ascorbic Acid with Zinc -nothing follows-</t>
  </si>
  <si>
    <t xml:space="preserve"> OPENING OF BIDS IN DSWD FOIX-GENERAL VICENTE ALVAREZ ST., ZAMBOANGA CITY DELIVERY OF GOODS IN PAGADIAN CITY, ZAMBOANGA DEL SUR FOR THE FOLLOWING PROCUREMENT: 15 pax for 1 meal and 2 snacks, November 2, 2020 15 pax for 1 meal and 2 snacks, November 3, 2020</t>
  </si>
  <si>
    <t xml:space="preserve"> Please see attached ITB and PR.</t>
  </si>
  <si>
    <t xml:space="preserve"> Steel Manhole Cover 24"x24"</t>
  </si>
  <si>
    <t xml:space="preserve"> Purchase of Submersible Pump</t>
  </si>
  <si>
    <t xml:space="preserve"> Republic of the Philippines Region XII                 Province of Cotabato                  City of Kidapawan OFFICE OF THE BIDS AND AWARD COMMITTEE REQUEST FOR QUOTATION (Small Value Procurement) 									 Date: August 19, 2020											VP No: SVP2020-</t>
  </si>
  <si>
    <t xml:space="preserve"> (FORM NO. 014 – INVITATION TO APPLY FOR ELIGIBILITY AND TO BID) Republic of the Philippines Sangguniang Barangay of PAG-AGUASAN Barangay PAG-AGUASAN, Unisan, Quezon INVITATION TO APPLY FOR ELIGIBILITY AND TO BID Date			:  					 The Sangguniang Barangay PA</t>
  </si>
  <si>
    <t xml:space="preserve"> To procure goods for the 10th Cycle implementation of Supplementary Feeding Program in the Municipality of Sta. Catalina, Ilocos Sur</t>
  </si>
  <si>
    <t xml:space="preserve"> 1.             The Local Government Unit of Pasil,  through the 2020 Drugs and Medicines Fund  intends to apply the sum of One Hundred Seventy Thousand Five Hundred Fifty-Five Pesos &amp; Fifty Cents (P170,555.50) being the Approved Budget for the Contract (A</t>
  </si>
  <si>
    <t xml:space="preserve"> Item No.	Item Description	Quantity	Unit of Issue	Estimated Unit Cost (₱)	Total Estimated Cost (₱) 					 	Certification services for Organic Agriculture Third				 	Party Certification:				 	       - Inspection Fee				 47,000.00  	       - Certification Fee</t>
  </si>
  <si>
    <t xml:space="preserve"> JOB ORDER: To provide catering services, venue and accomodation for the Regional Retooling on Pest Risk Identification and Management (PRIME) Crop Health Assessment on October 21 to 23, 2020, at Tacloban City. No.	Scope of Work	Quantity	Unit_Cost	ABC 	Oct</t>
  </si>
  <si>
    <t xml:space="preserve"> 1.	The Municipal Government of Roxas, Isabela has received the share from the CY 2016 Collection of Burley and Native Tobacco Excise Tax   and it  intends to apply part or whole of the proceeds of this funds for payment under the contract for the project.</t>
  </si>
  <si>
    <t xml:space="preserve"> Republic of the Philippines Province of Cagayan MUNICIPALITY OF CALAYAN Calayan, Cagayan INVITATION TO BID ITB No./PhilGEPS Reference No. 7184235 Concreting of Calayan Circumferential Road (Bira-Bira-Caanawan Section)  (Barangay Magsidel , Calayan, Cagaya</t>
  </si>
  <si>
    <t xml:space="preserve"> for the period: April 16-30, 2020</t>
  </si>
  <si>
    <t xml:space="preserve"> For March 1-15, 2020</t>
  </si>
  <si>
    <t xml:space="preserve"> PLEASE SEE ATTACHMENTS AT THE ASSOCIATED COMPONENTS SECTION FOR THE INVITATION TO BID AND SUMMARY OF CY 2020 BEFF REPAIR OF CLASSROOMS BATCH 2. THANK YOU.</t>
  </si>
  <si>
    <t xml:space="preserve"> INVITATION TO BID FOR THE SUPPLY OF LABOR &amp; MATERIALS FOR THE IMPROVEMENT OF MULTI-PURPOSE HALL. 1. The Barangay Government of BARANGAY SAN ISIDRO ITAAS through the 20% Local Development Fund of Barangay intends to apply the sum of Php 99,905.82 being the</t>
  </si>
  <si>
    <t xml:space="preserve"> INVITATION TO BID FOR THE SUPPLY OF LABOR &amp;MATERIALS FOR THE RIPRAPPING/EMBANKMENT PROTECTION. 1. The Barangay Government of BARANGAY SAN ISIDRO ITAAS through the 20% Local Development Fund of Barangay intends to apply the sum of Php 686,354.79 being the </t>
  </si>
  <si>
    <t xml:space="preserve"> INVITATION TO BID  The Municipal Government of Nampicuan, through its Bids and Awards Committee (BAC), invites Contractors to apply for eligibility and to bid for the hereunder projects: Name of Project	Approved Budget of the Contract	Bid Document Fee (No</t>
  </si>
  <si>
    <t xml:space="preserve"> Republic of the Philippines Province of Ifugao Municipality of Hingyon  Bids and Awards Committee  INVITATION TO BID Publication No. 019 – 2020 (FIRST POSTING – SUPPLY AND DELIVERY OF PHOTOCOPIER FOR THE DISTANCE LEARNING MODULES OF LGU-HINGYON, IFUGAO) T</t>
  </si>
  <si>
    <t xml:space="preserve"> 34.00 roll PE Pipe 1"Ø SDR 9 (100m/rl) 34.00 pc. PE Coupling 1"Ø 4.00 roll PE Pipe 1/2"Ø SDR 9 (300m/rl) 4.00 pc. PE Coupling 1/2"Ø 1.00 pc. CI Saddle Clamp 4"Ø x 1"Ø 26.00 pc. PE Male Adaptor 1"Ø 10.00 pc. Brass Ball Valve 1"Ø (heavy duty) 1.00 pc. CI Sa</t>
  </si>
  <si>
    <t xml:space="preserve"> Slotted Angle Bar (3/16 x 1 ½ x 10 feet or 1/8 x 1 ½ x 10 feet) Plywood (3/4 x 4 x 8 feet)</t>
  </si>
  <si>
    <t xml:space="preserve"> Republic of the Philippines Region XII                 Province of Cotabato                  City of Kidapawan OFFICE OF THE BIDS AND AWARD COMMITTEE REQUEST FOR QUOTATION (Small Value Procurement) 									 Date: August 19, 2020											 SVP No: SVP202</t>
  </si>
  <si>
    <t xml:space="preserve"> Ampongol, Sogod, Cebu						Contract Ref. No.-01A-2020 Construction of Ampongol Barangay Hall Extension, , Ampongol, Sogod, Cebu 		 Standard Form Number: SF-INFR-05 Revised on: July 29, 2004 INVITATION TO BID The Ampongol, Sogod, Cebu  through its Bids and</t>
  </si>
  <si>
    <t xml:space="preserve"> 1.Advocacy program (100,000) pcs xxxxxxx</t>
  </si>
  <si>
    <t xml:space="preserve"> Invitation to Bid for  CY 2020 Basic Education Facilities Fund  Repair of Classrooms – Batch 2 (San Simon Elementary School)  Project No.: BAT2020-08-03 The Department of Education (DepEd) Schools Division Office of Bataan through the Basic Educational Fa</t>
  </si>
  <si>
    <t xml:space="preserve"> GINGOOG CITY RESPONSE TEAM TRAINING 	 			 Sept. 01, 2020 (BRGYS: 1, 2, 3, 4, 5, 7, 8, 9, 10, 11, 12, 13, 14, 15, 16, 17) 	 1	40	pax	 Lunch: Rice, Beef Steak , 4 Season, Watermelon, Softdrinks 	 2	40	pax	 Snacks: Banana Cake, C2 	 3	40	pax	 Snacks: Tuna Sa</t>
  </si>
  <si>
    <t xml:space="preserve"> Republic of the Philippines Province of Guimaras OFFICE OF THE BIDS AND AWARDS COMMITTEE INVITATION TO BID FOR    SUPPLY AND DELIVERY OF OFFICE SUPPLIES Bid Ref. No. 2020-08-469 1.	The Province of Guimaras , through the Different Office as per Original PR</t>
  </si>
  <si>
    <t xml:space="preserve"> Republic of the Philippines Province of Eastern Samar City of Borongan -0- BIDS AND AWARDS COMMITTEE ------------------------------------------------------------------------------------------ Invitation to Bid for SUPPLY, DELIVERY AND INSTALLATION OF SLAU</t>
  </si>
  <si>
    <t xml:space="preserve"> Procurement ID/Contract I.D.: 20CN0157 (Re-adv.) Contract Name: Repair/Maintenance of Bridges along National Roads Contract Location: A. Castañeda – Ma. Aurora – San Luis Road &amp; Baler – Casiguran Road (Baler – Dinadiawan) Brief Description: Bridge Constru</t>
  </si>
  <si>
    <t xml:space="preserve"> Item No.	Item Description	Quantity	Unit of Issue	Estimated Unit Cost (₱)	Total Estimated Cost (₱) 					 	Certification services for Organic Agriculture Third				 	Party Certification:				 	       - Inspection Fee				 51,000.00  	       - Certification Fee</t>
  </si>
  <si>
    <t xml:space="preserve"> for the period: May 16-31, 2020</t>
  </si>
  <si>
    <t xml:space="preserve"> Republic of the Philippines  Province of Misamis Oriental  Municipality of Sugbongcogon  Invitation to Apply for Eligibility and to Bid for Supply and Delivery of Mantianak Botanical Garden and Zoological Park Animal Feeds ITB NO. 2020-08-001 1.	The Munic</t>
  </si>
  <si>
    <t xml:space="preserve"> Republic of the Philippines State Universities and Colleges Iloilo State College of Fisheries –San Enrique Campus San Enrique, Iloilo INVITATION TO BID FOR  Rebidding of the Procurement and Delivery of Furniture and Fixtures (Lot 3) 1.	The Iloilo State Co</t>
  </si>
  <si>
    <t xml:space="preserve"> for the period: June 1-15, 2020</t>
  </si>
  <si>
    <t xml:space="preserve"> 265 pcs. T-Shirts with collar and logo  Color: Yellow Sizes: Small    -  50 Medium - 125 Large     -  70 XL         - 15 2 XL      - 3 3 XL      - 2 w-w-w-w-w-w-w-w-w-w-w-w-w-w-w</t>
  </si>
  <si>
    <t xml:space="preserve"> See attached documents, print Bid Notice Abstract and download ITB No. GOODS-20-133.</t>
  </si>
  <si>
    <t xml:space="preserve"> 3 LI</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</si>
  <si>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</si>
  <si>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Republic of the Philippines Province of Misamis Oriental Local Government Unit of Claveria INVITATION TO BID FOR  PROCUREMENT OF BIOLOGICS 1.	The Local Government Unit of Claveria, through the budget approved by the Local Sanggunian  intends to apply the </t>
  </si>
  <si>
    <t xml:space="preserve"> Sealed Quotation - One (1) Lot - Supply, Delivery and Installation of Acrylic Partitions for Teller's Counter, Frontline and Clerical Workstations of Pag-IBIG Fund Calapan Branch Total of 26 workstations *See attached technical specifications &amp; visual sam</t>
  </si>
  <si>
    <t xml:space="preserve"> Invitation to Bid for  CY 2020 Basic Education Facilities Fund  Repair of Classrooms – Batch 2 (Old San Jose Elementary School)  Project No.: BAT2020-08-01 The Department of Education (DepEd) Schools Division Office of Bataan through the Basic Educational</t>
  </si>
  <si>
    <t xml:space="preserve"> Procurement of Various Spare Parts for Use of Various Service Vehicles Assigned for the Repair and Maintenance of National Roads of DPWH Iloilo 2nd DEO, Balabag, Dumangas, Iloilo</t>
  </si>
  <si>
    <t xml:space="preserve"> 25 sheet Steel Matting 32 length G.i. Pipe 1 1/2 30 length Flat Bar 1x3/16 2 gal Red Lead 2 gal Black QDE 4 pcs Paint Brush 2" 1 gal Paint Thinner 4 length Angle Bar 1 1/2 x 1/4 15 kg Welding Rod 5 pcs Hacksaw 20 pcs Cutting Disc (Thin) 4 pcs baby roller </t>
  </si>
  <si>
    <t xml:space="preserve"> Construction materials and supplies</t>
  </si>
  <si>
    <t xml:space="preserve"> Preventive Maintenance Services for Motor Vehicles (2017 Toyota Altis A/T) of the Philippine Competition Commission 1 Lot - Five (5) 2017 Toyota Altis (A/T) ABC: PhP90,000.00 ________________________________________________</t>
  </si>
  <si>
    <t xml:space="preserve"> Invitation to Bid for  CY 2020 Basic Education Facilities Fund  Repair of Classrooms – Batch 2 (San Pablo Elementary School)  Project No.: BAT2020-08-02 The Department of Education (DepEd) Schools Division Office of Bataan through the Basic Educational Fa</t>
  </si>
  <si>
    <t xml:space="preserve"> Invitation to Bid No. 2020-04 Procurement of Supplies and Materials for Module Printing 1. The West Visayas State University- Janiuay Campus, through GAA 2020intends to apply the sum of ONE MILLION TWO HUNDRED SEVENTY-SIX THOUSAND FIVE HUNDRED PESOS (PhP1</t>
  </si>
  <si>
    <t xml:space="preserve"> Municipality of Looc INVITATION TO BID FOR Supply and Delivery of 4000 reams A4 Bond Paper Substance 20 1.	The Municipality of Looc, through the Trust Fund intends to apply the sum of Php 840,000.00 being the Approved Budget for the Contract (ABC) to paym</t>
  </si>
  <si>
    <t xml:space="preserve"> INVITATION TO BID FOR (GOODS &amp; SERVICES)       20GJC0245 – 200 bags Portland Cement etc. To be used in the Maintenance of National                           Roads &amp; Repair of Floor Tiles at DPWH Office. (PR # 20-08-242)  1.         The DPWH, 2nd District </t>
  </si>
  <si>
    <t xml:space="preserve"> Per approved PR No.477 dated August 2020, consisting of materials for fencing of Mun. Nursery(Phase 3).</t>
  </si>
  <si>
    <t xml:space="preserve"> Per approved PR No. 491 dated August 13, 2020, consisting of various drugs and medicine supplies for use in MHO.</t>
  </si>
  <si>
    <t xml:space="preserve"> INVITATION TO BID FOR  “SUPPLY OF MATERIALS FOR THE IMPROVEMENT OF MULTI-PURPOSE HALL” 1. The Barangay Sacritan, Pinili, Ilocos Norte through the BDF 2016 and 2017  intends to apply the sum FOUR HUNDRED EIGHTY EIGHT  THOUSAND TWO HUNDRED NINETY SIX PESOS </t>
  </si>
  <si>
    <t xml:space="preserve"> 528,335 pcs (1 lot)</t>
  </si>
  <si>
    <t xml:space="preserve"> 1 UNIT - REPAIR OF BACKHOE -ENGINE COVER AND ACCESSORIES REPAIR -MEAN PUMP AND CONVERSION ADAPTOR -GOOD CONDITION SURPLUS MEAN PUMP -TRAVEL GEAR BOX REPAIR AND REPLACE BEARING AND BUILD UP FRAME -TRAVEL MOTOR REPAIR AND REPLACE ORING AND OIL REAL -FABRICA</t>
  </si>
  <si>
    <t xml:space="preserve"> RFQ 2020-174 PROJECT		:	LBP BAYAWAN BRANCH RENOVATION  IMPLEMENTOR		: 	LBP RESOURCES AND DEVELOPMENT CORPORATION OWNER			:	LAND BANK OF THE PHILIPPINES	 REQUEST FOR QUOTATION FOR	:	SUPPLY AND DELIVERY OF CONSTRUCTION MATERIALS DATE / TIME OF SUBMISSION		:</t>
  </si>
  <si>
    <t xml:space="preserve"> Republic of the Philippines Province of Guimaras OFFICE OF THE BIDS AND AWARDS COMMITTEE INVITATION TO BID FOR    SUPPLY AND DELIVERY OF DRUGS AND MEDICINES Bid Ref. No. 2020-08-461 1.	The Province of Guimaras , through the General Fund intends to apply t</t>
  </si>
  <si>
    <t xml:space="preserve"> 14 bags Portland Cement 1 cu.m. Screened Sand 2 cu.m Screened Gravel 1.75 drums Clean Water 1 cu.m. Gravel Bedding</t>
  </si>
  <si>
    <t xml:space="preserve"> Bawo, Sogod, Cebu						Contract Ref. No.-02B-2020 Road Concreting of Sitio Bantolinao, Barangay Bawo, Sogod, Cebu 		 Standard Form Number: SF-INFR-05 Revised on: July 29, 2004 INVITATION TO BID The Bawo, Sogod, Cebu  through its Bids and Awards Committee </t>
  </si>
  <si>
    <t xml:space="preserve"> STONE MASONRY AND RUBBLES CONCRETE WORKS MATERIALS.</t>
  </si>
  <si>
    <t xml:space="preserve"> Fabrication of ten (10) units Hand Washing Facility (Lavatory), inclusive of labor, materials and installation in various locations within 3rd District municipalities of Leyte. as follows: Municipality of Calubian - 2 units Municipality of Leyte     - 2 u</t>
  </si>
  <si>
    <t xml:space="preserve"> 201 AGGREGATE BASE COARSE</t>
  </si>
  <si>
    <t xml:space="preserve"> Section I. Invitation to Bid   INVITATION TO BID FOR  Supply and Delivery of Solar Street Lights Panel 1.	The Local Government Unit of Lambayong, through the Local Government Support Fund intends to apply the sum of Two Million Six Hundred Ninety Four Tho</t>
  </si>
  <si>
    <t xml:space="preserve"> Municipality of Dumanjug, Cebu through the SB Resolution No. 2018-136 Series of 2018  intends to apply the sum of ONE MILLION FOUR HUNDRED THOUSAND PESOS ONLY (Php 1,400,000.00) being the Approved Budget for the Contract (ABC) to payments under the contra</t>
  </si>
  <si>
    <t xml:space="preserve"> Item No.	Description	Unit	Quantity 1	Clip Back Fold 50mm	Box	3 2	Scissors big	Piece	4 3	Epson T664 ink Black	Piece	3 4	Epson T664 ink cyan	Piece	2 5	Epson T664 ink Magenta	Piece	2 6	Epson T664 ink Yellow	Piece	2 7	Bond Paper Legal Size (8.5 x 13)	Ream	150</t>
  </si>
  <si>
    <t xml:space="preserve"> REQUEST FOR QUOTATION For Negotiated Procurement thru Small Value Procurement under Sec. 53.9 of the 2016 Revised IRR of RA 9184 Quotation No.:  2020-08-291 Date: August 18, 2020 PR No.: 20-08-310 PR Date: August 7, 2020 The Metropolitan Tuguegarao Water </t>
  </si>
  <si>
    <t xml:space="preserve"> Request for Quotation			Date:		 			Quotation No.:		 2020-08-087-Aug  Company Name 					 					 Address					 					 	Please quote your lowest price on the items listed below, subject to the General Conditions ln the last				 page stating the shortest time of</t>
  </si>
  <si>
    <t xml:space="preserve"> 4   pack   Ink, refill, Brother #LC359XL, Black 2    set    Ink, refill, Brother #LC535XL, yellow, Magenta, Cyan 10  pack  Ink, Epson, 6641, Black 6    set    Ink, Epson, 6643, Yellow, Magenta, Cyan 14  pack  Ink, Brother, 6000BK, Black 14  set    Ink, Br</t>
  </si>
  <si>
    <t xml:space="preserve"> see attached document</t>
  </si>
  <si>
    <t xml:space="preserve"> See attached documents, print Bid Notice Abstract and download ITB No. GOODS-20-135.</t>
  </si>
  <si>
    <t xml:space="preserve"> INVITATION TO BID FOR (GOODS &amp; SERVICES)       20GJC0246 – 143 bags Blown Asphalt. To be used in the Maintenance of National Roads,                           this district. (PR # 20-08-243)  1.         The DPWH, 2nd District Engineering Office,Labason,Zam</t>
  </si>
  <si>
    <t xml:space="preserve"> Republic of the Philippines Province of Davao de Oro Municipality of Monkayo -o0o- INVITATION TO BID FOR THE PROCUREMENT OF AGRI-SUPPLIES  The Municipality of Monkayo, through the GENERAL FUND intends to apply the sum of ONE HUNDRED SIXTY SEVEN THOUSAND P</t>
  </si>
  <si>
    <t xml:space="preserve"> INVITATION TO BID The Municipality of Mutia through its Bids and  Awards Committee Invites  contractors to apply for eligibility and to bid for the project reflected hereunder; NAME OF PROJECT	:  Procurement of Supplies for Person's w/ Disability [PWD] ID</t>
  </si>
  <si>
    <t xml:space="preserve"> BIDS AND AWARDS COMMITTEE (BAC) Email address: bacregion2@yahoo.com Telefax No.: (078) 304-0560 INVITATION TO BID ITB No.: 2020-08-30 The Department of Agriculture – Regional Field Office No. 02 (DA-RFO 02) through its Bids and Awards Committee (BAC) invi</t>
  </si>
  <si>
    <t xml:space="preserve"> AGGREGATE BASE COURSE ROAD GRAVELLING ( SPOT GRAVELLING)</t>
  </si>
  <si>
    <t xml:space="preserve"> Item No.	Item Description	Quantity	Unit of Issue	Estimated Unit Cost (₱)	Total Estimated Cost (₱) 					 	Certification services for Organic Agriculture Third				 	Party Certification:				 	       - Inspection Fee				 53,000.00  	       - Certification Fee</t>
  </si>
  <si>
    <t xml:space="preserve"> Unit     Qty      Items pcs      407     ≥2200 print per cartridge for heavy duty network monochrome printer Bidder should have a store outlet and at least five (5) years of existence; Shall provide brand new service printers for at least thirty units (≥ </t>
  </si>
  <si>
    <t xml:space="preserve"> Upgrading of Pathway @ Purok Centro/ Maligaya Brgy. Paguiaba,Masantol Pampanga amounting to Two Hundred Thousand Pesos (PHP 200,000.00) Funded from 20% Municipal Development Fund 2020.  Description of Works to be Done: Hauling Works Masonry Works Embankme</t>
  </si>
  <si>
    <t xml:space="preserve"> Republic of the Philippines PROVINCE OF ZAMBOANGA SIBUGAY Municipality of Alicia OFFICE OF THE BIDS AND AWARDS COMMITTEE INVITATION TO APPLY FOR ELIGIBILITY AND TO BID  	The Local Government Unit of Alicia, Zamboanga  Sibugay, through the BIDS AND AWARDS </t>
  </si>
  <si>
    <t xml:space="preserve"> for the period: May 1-15, 2020</t>
  </si>
  <si>
    <t xml:space="preserve"> Purchase of Airconditioning unit for Barangay Oranbo, Pasig City</t>
  </si>
  <si>
    <t xml:space="preserve"> Invitation to Bid for  CY 2020 Basic Education Facilities Fund  Repair of Classrooms – Batch 2 (Pagasa Elementary School)  Project No.: BAT2020-08-04 The Department of Education (DepEd) Schools Division Office of Bataan through the Basic Educational Facil</t>
  </si>
  <si>
    <t xml:space="preserve"> Works include masonry and plastering works (Parapet), carpentry/ceiling works, tile works and painting works</t>
  </si>
  <si>
    <t xml:space="preserve"> Republic of the Philippines Province of Aurora Municipality of Maria Aurora BIDS AND AWARDS COMMITTEE INVITATION TO BID (First  Posting) The Local Government Unit of Maria Aurora, through its Bids and Awards Committee (BAC), invites suppliers/interested p</t>
  </si>
  <si>
    <t xml:space="preserve"> Republic of the Philippines Province of Cavite City of General Trias Invitation to Bid for  Project Reference No. INFR-20-024- REPAIR OF EVACUATION CENTER AT TEJERO ELEMENTARY SCHOOL, BARANGAY TEJERO, CITY OF GEN. TRIAS, CAVITE 1.	The City Government Unit</t>
  </si>
  <si>
    <t xml:space="preserve"> Republic of the Philippines 	Province of Eastern Samar	 City of Borongan -0- BIDS AND AWARDS COMMITTEE Invitation to Bid for NEGOTIATED PROCUREMENT DUE TO TWO –FAILED BIDDING SUPPLY AND DELIVERY OF FIVE (5) UNITS ALL NEW CARRY UTILITY VAN AND THREE (3) UN</t>
  </si>
  <si>
    <t xml:space="preserve"> Section I. Invitation to Bid   INVITATION TO BID FOR  Supply and Delivery of Construction Materials (Solar Street Lights) 1.	The Local Government Unit of Lambayong, through the Local Government Support Fund intends to apply the sum of Two Million Four Hun</t>
  </si>
  <si>
    <t xml:space="preserve"> 200 box, Gloves Examination, large</t>
  </si>
  <si>
    <t xml:space="preserve"> Republic of the Philippines Province of Guimaras OFFICE OF THE BIDS AND AWARDS COMMITTEE INVITATION TO BID FOR    SUPPLY AND DELIVERY OF DRUGS AND MEDICINES Bid Ref. No. 2020-08-472 1.	The Province of Guimaras , through the Revolving Fund intends to apply</t>
  </si>
  <si>
    <t xml:space="preserve"> Brief Description: Construction of Day Care Center which involves layout and excavation, embankment, soil poisoning and termite control, reinforcing steel bars, structural concrete, carpentry works, masonry works, doors, windows, window grilles, tile work</t>
  </si>
  <si>
    <t xml:space="preserve"> See attached file</t>
  </si>
  <si>
    <t xml:space="preserve"> Sealed Quotation - One (1) Lot - Supply and Delivery of Various Office Supplies</t>
  </si>
  <si>
    <t xml:space="preserve"> Department of Education Region VI-Western Visayas Division of Cadiz City Hiyang-Hiyang Elementary School  INVITATION TO BID FOR THE PROCUREMENT OF SUPPLIES FOR COVID-19 PANDEMIC PREPAREDNESS FOR THE YEAR 2020 1.	The Hiyang-Hiyang Elementary School of Cadi</t>
  </si>
  <si>
    <t xml:space="preserve"> See attached documents, print Bid Notice Abstract and download ITB No. GOODS-20-134.</t>
  </si>
  <si>
    <t xml:space="preserve"> plumbing materials,fittings heavy duty and pipes...S 40</t>
  </si>
  <si>
    <t xml:space="preserve"> Backpack Gas Powered Leaf Blower Baby Chainsaw HD</t>
  </si>
  <si>
    <t xml:space="preserve"> Invitation to Bid for the Completion of Public Market The Municipality of San Francisco, Surigao del Norte, through the 20% Development Fund of CY 2020 intends to apply the sum of Five Hundred Twenty Thousand Thirty Pesos &amp; 11/100 (520,030.11) being the A</t>
  </si>
  <si>
    <t xml:space="preserve"> Invitation to Bid for  CY 2020 Basic Education Facilities Fund  Repair of Classrooms – Batch 2 (Pantalan Luma Elementary School)  Project No.: BAT2020-08-05 The Department of Education (DepEd) Schools Division Office of Bataan through the Basic Educationa</t>
  </si>
  <si>
    <t xml:space="preserve"> INVITATION TO BID FOR (GOODS &amp; SERVICES)       20GJC0247 – 250 pcs. Anniversary T-Shirt (sublimation). For use in the incoming                            anniversary of our district office this coming September 8, 2020.                          (PR # 20-0</t>
  </si>
  <si>
    <t xml:space="preserve"> Brief Description: Construction of Box Culvert which involves project billboard/signage, safety &amp; health, temporary facility, A. Construction of Box Culvert;  excavation and removal of existing concrete structure and obstruction, reinforcing steel bar, st</t>
  </si>
  <si>
    <t xml:space="preserve"> QuantityAA8:J24	"Unit of  Issue"	Item Description				"Stock  No."	" Estimated Unit  Cost "	Estimated Cost 		Purpose: Computer Supplies for Official Use of INREMP-PPMO Bukidnon CY 2020						 10	bottle	BT D60BK (Black)				1	 800.00 	 8,000.00  5	bottle	BT 5</t>
  </si>
  <si>
    <t xml:space="preserve"> PROPOSED CONSTRUCTION OF FENCE, CANOPY, STORAGE AND OTHER IMPROVEMENT AT HEALTH SERVICES CENTER AT BARANGAY KATANGAWAN, GENERAL SANTOS CITY</t>
  </si>
  <si>
    <t xml:space="preserve"> Request for Quotation for the Procurement of Agricultural Supplies (Inorganic Fertilizers) to be used as inputs for the implementation of Community-based Participatory Action Research (CPAR) Project in Valencia, Negros Oriental for CY 2020 1.	The Departme</t>
  </si>
  <si>
    <t xml:space="preserve"> Republic of the Philippines Municipality of Tabuelan Invitation to Bid  The Philippine Government Electronic Procurement System Office – Procurement Service invites PhilGEPS registered suppliers to bid for the hereunder items Attached: INTERESTED BIDDERS </t>
  </si>
  <si>
    <t xml:space="preserve"> Republic of the Philippines  Province of Cebu Municipality of Boljoon INVITATION TO BID FOR the purchase of I.T. Equipment 1.	The Municipality of Boljoon, through the SEF 2020, TF-20% LGU SHARE, CAPITAL OUTLAY Procurement of IT Equipment for DILG  in the </t>
  </si>
  <si>
    <t xml:space="preserve"> Repair and Maintenance of Barangay Vehicle Starex SKU 518</t>
  </si>
  <si>
    <t xml:space="preserve"> Supply and Delivery of Various Medical Equipment for Pag-IBIG Fund Calamba Business Center</t>
  </si>
  <si>
    <t xml:space="preserve"> Brief Description: Concreting of Road which involves project billboard/signage, temporary facility, safety &amp; health, barricades, removal of the existing old dilapidated road pavement, subgrade preparation, slope protection, aggregate subbase course(loose </t>
  </si>
  <si>
    <t xml:space="preserve"> Fresh Fish (Barilison) Pusit (Medium Size)</t>
  </si>
  <si>
    <t xml:space="preserve"> Air conditioning unit (Split Type) with delivery and installation to BTr Regional Office 2, Tuguegarao City, Cagayan and BTr Provincial Office in Tabuk City, Kalinga: 1 Unit, Air Condition, Split Type, 2 HP 	Specifications: 	Capacity: 16,580 (2,988 – 18,0</t>
  </si>
  <si>
    <t xml:space="preserve"> A) REQUEST FOR QUOTATION 1. 32 Bottles Space Spray Concentrate Insecticide,  Chemical, Odorless, Water based (1 liter/bottle) 2. 11 Cont. Multi-insect killer, Water based (1 ltr. / container) 3. 40 Cont. Rat glue (1 ltr. / container) 4. 3 Pcs. Polisher’s </t>
  </si>
  <si>
    <t xml:space="preserve"> please download rfq and store furnish in the associated component</t>
  </si>
  <si>
    <t xml:space="preserve"> Republic of the Philippines Province of Davao Oriental CITY OF MATI REQUEST FOR QUOTATION 			 Date:	13 AUGUST 2020 RFQ No.:	1122-2020 Name of Company: ________________________________________________________________________________________________________</t>
  </si>
  <si>
    <t xml:space="preserve"> 1 bags Portland Cement 1 sack Fine Sand 1 drums Water 39 sheets 6mmthk Fiber Cement Board 72 length 0.5mm thk x 35mm x 76mm x 3m Studs</t>
  </si>
  <si>
    <t xml:space="preserve"> Blinds, Single Type White color with delivery and installation to BTr Regional Office 2, Tuguegarao City, Cagayan: Measurement: 4 pcs, 95 (L) x 39 (W) inches (25.73 sqft) Located at Accounting/Budget Office 2 pcs, 95 (L) x 39 (W) inches (25.73 sqft) Locat</t>
  </si>
  <si>
    <t xml:space="preserve"> Brief Description: Construction of Covered Court which involves safety &amp; health, temporary facility, project billboard/signage, A. Covered Court; layout and excavation, reinforcing steel, formworks and scaffoldings, structural concrete, steel works, roofi</t>
  </si>
  <si>
    <t xml:space="preserve"> INFRASTRUCTURE WORKS FOR THE IMPROVEMENT OF WATER SUPPLY SYSTEM AT SITIO MALATAPAY, BARANGAY MALUAY, ZAMBOANGUITA, NEGROS ORIENTAL</t>
  </si>
  <si>
    <t xml:space="preserve"> PROJECT: CONCRETING OF BARANGAY ROAD LOCATION: PUROK 7, BRGY. CANAAN EAST, RIZAL, UEVA ECIJA DESCRIPTION: L= 203.0M SOURCE OF FUND: 20% MUNICIPAL DEVELOPMENT FUND ABC: PHP 797,126.29</t>
  </si>
  <si>
    <t xml:space="preserve"> The MUNICIPALITY OF CALINTAAN, through the DILG AM 2020 intends to apply the sum of Two Million Five Hundred Fifty Thousand Pesos Only (Php2,550,000.00) being the Approved Budget for the Contract (ABC) to payment  under the Contract No. 2020-08-35 for the</t>
  </si>
  <si>
    <t xml:space="preserve"> Procurement ID/Contract I.D.: 20CN0100 Contract Name: Construction of Municipal Sanitary Landfill Contract Location: Dinalungan, Aurora Brief Description: Earthworks, Subbase and Base Course, Bridge Construction, Drainage and Slope Protection Structures A</t>
  </si>
  <si>
    <t xml:space="preserve"> AMALBALAN 02-2020 - INSTALLATION OF SOLAR-POWERED LED STREETLIGHTS</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</si>
  <si>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</si>
  <si>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To procure goods for the 10th Cycle implementation of Supplementary Feeding Program in the Municipality of Suyo, Ilocos Sur</t>
  </si>
  <si>
    <t xml:space="preserve"> Doors, Tiling of Flooring &amp; wall of CR (portion); Ceiling (portion); Replacement of Roofing (portion) and painting</t>
  </si>
  <si>
    <t xml:space="preserve"> Provision of labor, materials and Equipment for the Construction of Brgy. Outpost at Brgy. Cabalquinto, Calubian, Leyte in accordance with the plan and specifications: SCOPE OF WORK : * Excavation - - - - - - - - - - - - - - -&gt;- - - - - - - -&gt; 7.92 cu.m *</t>
  </si>
  <si>
    <t xml:space="preserve"> Republic of the Philippines PROVINCE OF NUEVA ECIJA City of Palayan INVITATION TO BID FOR  SUPPLY, DELIVERY AND INSTALLATION OF VARIOUS AIR-CONDITIONING UNITS August 19, 2020 1.	The Provincial Government of Nueva Ecija (PGNE), through the General Fund, in</t>
  </si>
  <si>
    <t xml:space="preserve"> I.   Clearing &amp; lay-out II.   Tiles Works III.  Progress Photograph</t>
  </si>
  <si>
    <t xml:space="preserve"> ITEM NO.	ITEM &amp; DESCRIPTION						QTY.	UoM 1	Aluminum Ladder (24 steps - foldable)						1	unit 2	Ammonia						5	gals. 3	Air Freshener, 320ml						9	bots. 4	Ballpen, Black 0.5						10	doz 5	Binding Stripe: 1"						3	dozens 6	Bleach 375 ml.						3	gals. 7	Bo</t>
  </si>
  <si>
    <t xml:space="preserve"> A) REQUEST FOR QUOTATION 1. 200 Copy Printing of the National Action Plan on Countering and Preventing Violent Extremism (NAP P/CVE) Note: Delivery terms 15 Calendar Days B) USE COMPANY LETTERHEAD FOR YOUR QUOTATION &amp; ADDRESS TO: DIR. JAMES JUPER B. AGUIL</t>
  </si>
  <si>
    <t xml:space="preserve"> REQUEST FOR PROPOSAL PLANNING AND DEVELOPMENT OF E-LEARNING MATERIALS FOR THE LEADERSHIP AND MANAGEMENT PROFICIENCY (LAMP) PROGRAM 1.	The Career Executive Service Board (CESB) through its Bids and Awards Committee (BAC), intends to engage the services of </t>
  </si>
  <si>
    <t xml:space="preserve"> A) REQUEST FOR QUOTATION 1. 40 sq.m. Supply and Installation of Fabric Padded Walls on 1” thk. Foam and plywood backing Note: Verify approved fabric and actual measurements on site Note: Delivery Period: Fifteen (15) Calendar days  B) USE COMPANY LETTERHE</t>
  </si>
  <si>
    <t xml:space="preserve"> 1	set	COVID – 19 SWAB TEST BOOTH Measurement: L – 3.28 ft W – 2.5 ft H – 6.5 ft</t>
  </si>
  <si>
    <t xml:space="preserve"> Plastic and Cellophane Pulverizer Specification: 14HP Air-cooled Diesel Engine with Electric Starter Cart Wheel V-belt Driven Cylinder with Cutting Blades</t>
  </si>
  <si>
    <t xml:space="preserve"> Republic of the Philippines								 Province of Negros Occidental								 Municipality of La Castellana								 Bids and Awards Committee								 								 INVITATION TO APPLY FOR ELIGIBILITY AND TO BID								 								 Name of Project: 		PURCHASE OF DISIN</t>
  </si>
  <si>
    <t xml:space="preserve"> Invitation to Bid for  CY 2020 Basic Education Facilities Fund  Repair of Classrooms – Batch 2 (Baseco Elementary School)  Project No.: BAT2020-08-06 The Department of Education (DepEd) Schools Division Office of Bataan through the Basic Educational Facil</t>
  </si>
  <si>
    <t xml:space="preserve"> I. Labor and Materials 1 Lot  A. Servicing, Maintenance and Testing a. Power Transformer 1x5 MVA, Rated Voltage, 69kV/13.2kV b. Disconnect Switch c. SF6 Circuit Breaker d. Current Transformer e. Medium Voltage Switchgear f. Voltage Transformer g. Battery </t>
  </si>
  <si>
    <t xml:space="preserve"> ONE LOT 1. CI Sleeve Type Coupling 200mmdia x 178mm (for PVC)    -  20 pcs 2. CI Sleeve Type Coupling 150mmdia x 178mm (for PVC)    -  10 pcs 3. CI Sleeve Type Coupling 100mmdia x 178mm (for PVC)    -  10 pcs x-x-x-xx- nothing followsx-x-x-x-x</t>
  </si>
  <si>
    <t xml:space="preserve"> Republic of the Philippines Province of Aurora Municipality of Maria Aurora BIDS AND AWARDS COMMITTEE INVITATION TO BID (Second  Posting) The Local Government Unit of Maria Aurora, through its Bids and Awards Committee (BAC), invites suppliers/interested </t>
  </si>
  <si>
    <t xml:space="preserve"> Nahus-an, Sogod, Cebu						Contract Ref. No.-01N-2020 Construction of  Nahus-an Barangay Hall (Phase II), Nahus-an, Sogod, Cebu 		 Standard Form Number: SF-INFR-05 Revised on: July 29, 2004 INVITATION TO BID The Nahus-an, Sogod, Cebu  through its Bids and</t>
  </si>
  <si>
    <t xml:space="preserve"> Proposed Purchase of Street Lights</t>
  </si>
  <si>
    <t xml:space="preserve"> 4    units    Smart Phones                  Specs: Screen 6.4' FHD+ Super AMOLED Display (1080x2340 pixels 403 pp1) with 19.5:9 Aspect                               Ration &amp; Infinity - Unotch                             Operating System: Android 9.0 Pie w</t>
  </si>
  <si>
    <t xml:space="preserve"> METRO SIQUIJOR WATER DISTRICT BIDS &amp; AWARDS COMMITTEE Siquijor, Siquijor The Metro Siquijor Water District (MSWD) through the Bids &amp; Awards Committee (BAC) will be undertaking the procurement of the hereunder project: Name of Project: Procurement of 2 set</t>
  </si>
  <si>
    <t xml:space="preserve"> Powered Speaker Thump12A *1,300 watts if high-output power CLass D amplifier with dynamic Bass 12'low-frequency driver and 1.4 titanium dome compression driver  *Built-in 2 channel *XLR Output Powered Sub Speaker 18" woofer Power Rate 500watts/1000 Class </t>
  </si>
  <si>
    <t xml:space="preserve"> Invitation to Bid for  CY 2020 Basic Education Facilities Fund  Repair of Classrooms – Batch 2 (Lucanin Elementary School)  Project No.: BAT2020-08-07 The Department of Education (DepEd) Schools Division Office of Bataan through the Basic Educational Faci</t>
  </si>
  <si>
    <t xml:space="preserve"> Section I. Invitation to Bid   INVITATION TO BID FOR  Labor for Installation of Solar Street Lights  1.	The Local Government Unit of Lambayong, through the Local Government Support Fund intends to apply the sum of Eight Hundred Fifty Six Thousand Nine Hun</t>
  </si>
  <si>
    <t xml:space="preserve"> INVITATION TO BID FOR  1.	The Municipal Government of Coron, Palawan, through the 2020 Annual Municipal Budget intends to apply the sum of Two Hundred Twenty Thousand Seven Hundred Seventy Pesos (PhP220,770.00) being the Approved Budget for the Contract (</t>
  </si>
  <si>
    <t xml:space="preserve"> Construction of Pathway @ Purok Centro &amp; Iglesia Brgy. Paguiaba,Masantol Pampanga amounting to One Hundred Fifty Thousand Pesos (PHP 150,000.00) Funded from the 20% Municipal Development Fund 2020. Description of Work to be Done: Hauling Works Masonry Wor</t>
  </si>
  <si>
    <t xml:space="preserve"> Repair Rehab of Planetarium Time and Scale Room 1 Lot Pls. see attached Scope of works, Bill of materials and Floor Plan  Pls. submit your quotation thru email:  mi_lynsn@yahoo.com x-x-x-x-x-x-x-x-x-x-x-x-x-x-x-x-x Total ABC  (in PhP) 388,181.86</t>
  </si>
  <si>
    <t xml:space="preserve"> TONER BROTHER MFC-L5900DW</t>
  </si>
  <si>
    <t xml:space="preserve"> materials for Provision for the Enhancement Business Kits of 51 Beneficiaries</t>
  </si>
  <si>
    <t xml:space="preserve"> Republic of the Philippines Province of Guimaras OFFICE OF THE BIDS AND AWARDS COMMITTEE INVITATION TO BID FOR    SUPPLY AND DELIVERY OF DRUGS AND MEDICINES Bid Ref. No. 2020-08-462 1.	The Province of Guimaras , through the General Fund intends to apply t</t>
  </si>
  <si>
    <t xml:space="preserve"> Dress Checken (Not Less Than 1 kl) Beef Lean Meat</t>
  </si>
  <si>
    <t xml:space="preserve"> Brief Description: Construction of Drainage System which involves removal of portion existing old non-function drainage system, portion of existing road pavement and entrance pavement, excavation, reinforcing steel, structural concrete, project billboard/</t>
  </si>
  <si>
    <t xml:space="preserve"> ITEM NO.	QUANTITY	UNIT	DESCRIPTION 1	1	PC	    Submersible Pump 4”  (Stainless steel impeller, shaft and intermediate chamber)</t>
  </si>
  <si>
    <t xml:space="preserve"> Name of Project  	: Procurement of Two (2) units Risograph Machine Location		       : Milagros,Masbate Brief Description	:&gt; Master-making/Printing Methods: High-speed digital master-making/fully automatic printing 	Originatl Type: Sheet 	Original Paper </t>
  </si>
  <si>
    <t xml:space="preserve"> Pls. quote the items listed below: 1.  Glass Pulverizer (1-2 hp Electric Motor Single Phase)  - 1 unit 2.  Plastic Moulder for Flower Vase  -  4 pcs. NOTE:                   Opening of Bids will be on September 1, 2020 @ 1:00 pm</t>
  </si>
  <si>
    <t xml:space="preserve"> Republic of the Philippines DEPARTMENT OF PUBLIC WORKS AND HIGHWAYS NUEVA VIZCAYA 2ND DISTRICT ENGINEERING OFFICE REGIONAL OFFICE II Dupaxdel Norte, Nueva Vizcaya INVITATION TO BID The DPWH-Nueva Vizcaya 2nd District Engineering Office, through its Bids a</t>
  </si>
  <si>
    <t xml:space="preserve"> 1.	The Municipal Government of Roxas, Isabela has received funding assistance from the Provincial Government   and it intends to apply the sum of THREE  MILLION ONE HUNDRED FIFTY  THOUSAND  PESOS ONLY  (PHP3,150,000.00)  being the Approved Budget for the </t>
  </si>
  <si>
    <t xml:space="preserve"> TUBELESS TIRE, 195/70 R15 Please attach the following documents: 1. Updated Tax Clearance 2. Updated Mayor’s permit 3. SEC Cert./DTI permit 4. For 50,000.00 and above,  Updated PHILGEPS Certificate</t>
  </si>
  <si>
    <t xml:space="preserve"> Brief Description: Construction of Covered Court which involves safety &amp; health, temporary facility, project billboard/signage, A. Covered Court; Lay-out and excavation, embankment/backfilling works, reinforcing steel, structural concrete, formworks and s</t>
  </si>
  <si>
    <t xml:space="preserve"> Invitation to Bid for the  SUPPLY AND DELIVERY OF OFFICE SUPPLIES AND EQUIPMENT FOR DEPED 1.	The LGU-RAMON, ISABELA, through the Budget for the contract approved by the Sanggunian intends to apply the sum of Php1,950,000.00 being the Approved Budget for t</t>
  </si>
  <si>
    <t xml:space="preserve"> Republic of the Philippines OFFICE OF THE PUNONG BARANGAY 	Barangay MAIKAY	 	Municipality of Tudela	 Province of Misamis Occidental INVITATION TO BID The Office of the Punong Barangay of Barangay Maikay through its Bids and Awards Committee [BAC], invites</t>
  </si>
  <si>
    <t xml:space="preserve"> 1	Unit	7.5 Ton Aircondition, Floor Mounted , 220V/50-60Hz, ABC 200,000.00/unit 		with 50ft installation of pipings (Manual)				 		Inclusions:				 		• Circuit Breaker and Angular Bracket				 		• Price Shall Include delivery &amp; installation				 		of unit to </t>
  </si>
  <si>
    <t xml:space="preserve"> The PHILIPPINE SCIENCE HIGH SCHOOL SYSTEM - CALABARZON REGION CAMPUS (PSHS-CBZRC) intends to apply the sum of ONE HUNDRED FIFTY-FOUR THOUSANDPESOS (Php154,000.00) being the Approved Budget for the Contract (ABC) to pay for the contract for the Project: SU</t>
  </si>
  <si>
    <t xml:space="preserve"> Invitation to Bid for  CY 2020 Basic Education Facilities Fund  Repair of Classrooms – Batch 2 (Daan Pare Elementary School)  Project No.: BAT2020-08-08 The Department of Education (DepEd) Schools Division Office of Bataan through the Basic Educational Fa</t>
  </si>
  <si>
    <t xml:space="preserve"> Order/download attached Invitation to Bid and print-out Abstract of Bids from Philgeps.</t>
  </si>
  <si>
    <t xml:space="preserve"> Quantity	"Unit of  Issue"	PARTICULARS				"Stock  No."	"Estimated Unit  Cost"	Estimated Cost 		Purpose: Office Supplies for Official use of DENR-INREMP						 60	ream	PAPER, MULTI-PURPOSE (copy) A4, 70gsm				1	300.00	 18,000.00  10	ream	Folder  Long (100's)</t>
  </si>
  <si>
    <t xml:space="preserve"> Supply of Labor and Materials for the Repair and Replacement of Detached Dilapidated Wall Cladding at the Main, NW, and SW Buildings See attached RFQ-PQF For technical inquiry and ocular inspection contact Engr Gilbert Gacuya of the Building and Grounds M</t>
  </si>
  <si>
    <t xml:space="preserve"> 1,000 pcs. Wooden Medals (Thick) and 700 pcs. Wooden Medals (Thin)</t>
  </si>
  <si>
    <t xml:space="preserve"> Improvement of Slaughter House at Brgy. Dist. III Scope of Works: Drilling (0.150m Dia. Hole Deepwell), Casing Pipe, Sunction Pipe, Water Pump, &amp; pressure Tank, 0.125m x 1.5m Pedestial, Supply Pipe from water Pump to Elevated Tank, Const. of Field Office </t>
  </si>
  <si>
    <t xml:space="preserve"> Brief Description: Construction of Slope Protection which involves excavation, reinforcing steel, structural concrete, rubble concrete, concrete piles (Cast-in-Place), project billboard/signage, safety &amp; health and temporary facility. Amount of Bidding Do</t>
  </si>
  <si>
    <t xml:space="preserve"> MATERIALS</t>
  </si>
  <si>
    <t xml:space="preserve"> Specifications: i7 10th Gen CPU 15" - 15.6" Monitor 8-16GB RAM 1TB HDD 256-512 GB SSD Windows 10 Licensed MS Office 2013</t>
  </si>
  <si>
    <t xml:space="preserve"> Brief Description: Construction of Covered Stage which involves safety &amp; health, temporary facility, project billboard/signage, lay-out and excavation, embankment/backfilling works, reinforcing steel, structural concrete, masonry works, steel works, roofi</t>
  </si>
  <si>
    <t xml:space="preserve"> Republic of the Philippines Bangsamoro Autonomous Region in Muslim Mindanao Provincial Government of Maguindanao BIDS AND AWARDS COMMITTEE Buluan, Maguindanao INVITATION TO BID FOR SUPPLY AND DELIVERY OF PERSONAL PROTECTIVE EQUIPMENTS (PPE’S) and DISINFEC</t>
  </si>
  <si>
    <t xml:space="preserve"> INVITATION TO BID FOR THE Improvement of Access Road - MBSNATHS LGU-Kabugao, Apayao 1.	The Local Government Unit of Kabugao, through Appropriation Ordinance No. 02-Series of 2019 (FY 2020 Annual Budget – 20% MDF)   intends to apply the sum of Two Million </t>
  </si>
  <si>
    <t xml:space="preserve"> NVITATION TO BID FOR  1.	The Municipal Government of Coron, Palawan, through the 2020 Annual Municipal Budget intends to apply the sum of Three Hundred Fifty Eight Thousand Nine Hundred Twenty Pesos (PhP358,920.00) being the Approved Budget for the Contra</t>
  </si>
  <si>
    <t xml:space="preserve"> Pls. quote the items listed below: 1.  Concrete Cutter  -  1 unit          Product Specification:      Automation Grade: semi automatic      Cutting Matrial: concrete      Condition: new      Phase: 3 phase      Cutting Speed: 25 mph      Voltage: 240    </t>
  </si>
  <si>
    <t xml:space="preserve"> Republic of the Philippines														 PROVINCE OF ZAMBOANGA SIBUGAY														 Municipality of Payao														 														 INVITATION TO BID														 										PR2020-08-18-115				 The Local Government Unit of Payao, Zamboanga Sibugay, </t>
  </si>
  <si>
    <t xml:space="preserve"> The Local Government Unit of Bula is inviting interested PhilGEPS accredited contractors to apply for eligibility and to submit complete bid for the CONTINUATION OF PHASE II SB OFFICE EXTENTION at LGU-Bula Compound, Salvacion, Bula, Camarines Sur under th</t>
  </si>
  <si>
    <t xml:space="preserve"> Invitation to Bid for  CY 2020 Basic Education Facilities Fund  Repair of Classrooms – Batch 2 (Pablo Roman Elementary School)  Project No.: BAT2020-08-09 The Department of Education (DepEd) Schools Division Office of Bataan through the Basic Educational </t>
  </si>
  <si>
    <t xml:space="preserve"> REPUBLIC OF THE PHILIPPINES PROVINCE OF PANGASINAN MUNICIPALITY OF TAYUG BARANGAY POBLACION ‘A’ INVITATION TO BID  FOR  THE REHABILITATION OF BARANGAY MULTI-PURPOSE BUILDING OF BARANGAY POBLACION A, TAYUG, PANGASINAN 1.	The BARANGAY POBLACION A – TAYUG PA</t>
  </si>
  <si>
    <t xml:space="preserve"> SAN CARLOS CITY WATER DISTRICT Burgos – Padlan St., San Carlos City, Pangasinan Tel. Nos. (075) 637-6044 / 955-5748 Email Address: sccwd@hotmail.com / Website Address : www.sccwd.gov.ph BIDS AND AWARDS COMMITTEE (BAC) Bids and Awards Committee INVITATION </t>
  </si>
  <si>
    <t xml:space="preserve"> INVITATION TO BID FOR THE Construction of Potable Water Supply Level II LGU-Kabugao, Apayao 1.	The Local Government Unit of Kabugao, through Appropriation Ordinance No. 02-Series of 2019 (FY 2020 Annual Budget – 20% MDF)   intends to apply the sum of Five</t>
  </si>
  <si>
    <t xml:space="preserve"> Please see attached Request for Quotation. ----------------------IMH---------------------</t>
  </si>
  <si>
    <t xml:space="preserve"> Brief Description: Construction of Drainage System which involves excavation and removal of concrete pavement, reinforcing steel, structural concrete, project billboard/signage, safety &amp; health and temporary facility. Amount of Bidding Documents: P3,960.0</t>
  </si>
  <si>
    <t xml:space="preserve"> REPUBLIC OF THE PHILIPPINES PROVINCE OF PANGASINAN MUNICIPALITY OF TAYUG BARANGAY POBLACION ‘A’ INVITATION TO BID  FOR  THE SUPPLY AND DELIVERY OF EQUIPMENT FOR E-LIBRARY OF BARANGAY POBLACION ‘A’, TAYUG, PANGASINAN 1.	The BARANGAY POBLACION ‘A’ – TAYUG P</t>
  </si>
  <si>
    <t xml:space="preserve"> 265/65 R17 AND BRAKE PAD</t>
  </si>
  <si>
    <t xml:space="preserve"> INVITATION TO BID FOR THE Construction of Concrete Footstep with Railings LGU-Kabugao, Apayao 1.	The Local Government Unit of Kabugao, through Resolution No. 44 series of 2020   intends to apply the sum of Nine Hundred Thousand Pesos (₱900,000.00) being t</t>
  </si>
  <si>
    <t xml:space="preserve"> PR # 319 -020 INVITATION TO BID (INFRA) The Municipality of Sibonga through the Trust Fund intends to apply the sum of Two hundred ninety-six thousand eight hundred sixty-four &amp; 68/100 pesos only (296,864.68) being the Approved Budget for the Contract (AB</t>
  </si>
  <si>
    <t xml:space="preserve"> PE Tubings # 1/2" dia x 300mtrs/roll SDR 11 160 psi  = 70 rolls x-x-x-x Nothing follows x-x-x-x-x</t>
  </si>
  <si>
    <t xml:space="preserve"> Municipality of San Juan, Siquijor						Project Reference No.: 				 						Name of Project:  Provision of response and 				 						preventive efforts for necessary COVID-19 related				 						PPAs and other expenses ( MDRRMF 70 % Disaster 				 						Prepared</t>
  </si>
  <si>
    <t xml:space="preserve"> The Municipal Government of Aloguinsan invites prospective bidders to bid for the project Supply and Delivery Generator Set for LDRRM. Source of Fund: 5% RESERVE FY 2020 ABC: Php 320,000.00 The complete schedule of activities will be as follows: 1. Submis</t>
  </si>
  <si>
    <t xml:space="preserve"> DESCRIPTION: I.   Structure Excavation II.  Reinforcing Steel Bar III. Form Works IV.  Concrete Works V.   Masonry Works VII.Plastering Works  (Portland Cement Concrete Pavement (0.15m)</t>
  </si>
  <si>
    <t xml:space="preserve"> Republic of the Philippines Bangsamoro Autonomous Region in Muslim Mindanao Provincial Government of Maguindanao BIDS AND AWARDS COMMITTEE Buluan, Maguindanao INVITATION TO BID FOR SUPPLY AND DELIVERY OF IT EQUIPMENT’S 1.	The Provincial Government of Magu</t>
  </si>
  <si>
    <t xml:space="preserve"> 20 sets street lights description: 1. post - fabricated post with diameter 2.5"/2.0", height 14', s-40 standard, epoxy paint coated, painted silver 2. Ligths - Solar street light-120W street lamp without electricity Product features: Aluminum alloy body,p</t>
  </si>
  <si>
    <t xml:space="preserve"> Contract ID			:	20EG0092					 Contract Name  			:	Concreting of Brgy. Tagpait to Fish Landing FMR, 					 Contract Location			:	Station 00+000 - 00+963, Brgy. Tagpait, Aborlan, Palawan					 Brief Description			:	Concreting of Farm to Market Road					 Appro</t>
  </si>
  <si>
    <t xml:space="preserve"> 1. The Local Government Unit of Amulung, Cagayan through the Provincial  Fund  intends to apply the sum of Php 163,400.00 being the Approved Budget for the Contract (ABC) to payments under the contract for Supply &amp; Delivery of Materials for the Repair and</t>
  </si>
  <si>
    <t xml:space="preserve"> QUANTITY	UNIT OF ISSUE	STOCK	DESCRIPTION 1011.00	bags	1	Portland Cement 62.00	cu.m.	2	Riversand 91.00	cu.m.	3	Coarse Aggregate 816.00	kgs	4	16mm Ø X 6.0 m deformed bars standard grade 1941.00	kgs	5	10mm Ø X 6.0 m deformed bars standard grade 70.00	kgs	6	#</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</si>
  <si>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</si>
  <si>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PLEASE SEE THE ATTACHED FILE.</t>
  </si>
  <si>
    <t xml:space="preserve"> Republic of the Philippines						 	Province of Nueva Ecija						 	CITY OF GAPAN						 	Km.92, Maharlika Highway, Bayanihan, Gapan City						 	 - - - - o0o - - - - 						 	BIDS AND AWARDS COMMITTEE						 							 	REQUEST FOR QUOTATION						 							 	The Ci</t>
  </si>
  <si>
    <t xml:space="preserve"> Please see attached Request for Quotation. ----------------------PGO--------------------</t>
  </si>
  <si>
    <t xml:space="preserve"> Contract ID			:	20EG0094					 Contract Name  			:	Construction of 2STY4CL, Mateo Jagmis MES, 					 Contract Location			:	Brgy. San Miguel, Puerto Princesa City, Palawan					 Brief Description			:	Construction of School Building					 Approved Budget for th</t>
  </si>
  <si>
    <t xml:space="preserve"> Republic of the Philippines Province of Leyte Municipality of Hilongos INVITATION TO RE-BID FOR THE PURCHASE OF LAPTOP FOR EBEIS ROOM OF HILONGOS SOUTH CENTRAL SCHOOL 1.  The Local Government Unit of Hilongos, through SEF-CURRENT APPROPRIATION intends to </t>
  </si>
  <si>
    <t xml:space="preserve"> 209   head      large white piglets                      (average age: 45 to 50 days, ave. weight: 10 kgs to 18 kgs, hog cholera vaccinated)</t>
  </si>
  <si>
    <t xml:space="preserve"> Name of Projects	Location	Brief Description	Approved Budget for the Contract (ABC)	Contract Duration Purchase of Meals &amp; Snacks for Various Activities	Municipality of Talavera	Meals &amp; Snacks 	26,600.00	150 days</t>
  </si>
  <si>
    <t xml:space="preserve"> 1st BIDDING The Barangay Government of Capacuan, Paracale, Camarines Norte invites all legitimate suppliers to submit their quotation for the project of Barangay Capacuan, Paracale, Camarines Norte. INSTALLATION OF SOLAR STREET LIGHT PUROK 1 TO PUROK 6 92</t>
  </si>
  <si>
    <t xml:space="preserve"> CABINET: (see attached photo for specification #1) CLOSET: Movable, with .30 m 1.0 m vanity mirror and hardware such as piano hinge, cabinet lock set, door pulled and stopper and 1 1/2"" dia., stainless steel hanger rod, 18"" x 48"" x 80"" (see attached p</t>
  </si>
  <si>
    <t xml:space="preserve"> Republic of the Philippines PROVINCE OF ZAMBOANGA SIBUGAY Municipality of Roseller T. Lim OFFICE OF THE BAC CHAIRMAN Barangay New Antique INVITATION TO BID 						Aug. 18, 2020 To All Interested Bidders: Notice is hereby served that sealed bid be received </t>
  </si>
  <si>
    <t xml:space="preserve"> Republic of the Philippines Region XII Province of Cotabato City of Kidapawan OFFICE OF THE BIDS AND AWARD COMMITTEE August 19, 2020 INVITATION TO BID FOR  SUPPLY AND DELIVERY OF LAPTOPS FOR THE USE OF THE CITY HEALTH OFFICE AND KIDAPAWAN CITY BLOOD CENTE</t>
  </si>
  <si>
    <t xml:space="preserve"> Name of Projects	Location	Brief Description	Approved Budget for the Contract (ABC)	Contract Duration Purchase of Spare Parts for Repair &amp; Maintenance of Light Vehicle 	Municipality of Talavera	Tires	65,000.00	30 days</t>
  </si>
  <si>
    <t xml:space="preserve"> Project Location: Brgy. Cagandungan, Luna, Apayao Fabrication of 2 units Movable Basketball Post with Fiber Glass Back Board</t>
  </si>
  <si>
    <t xml:space="preserve"> 30 pcs MECH. SLEEVE TYPE 50MM (2) PVC (height: 9 inches) 10 pcs MECH. SLEEVE TYPE COUPLING 50MM (2 1/2) PVC (height: 8 inches) 20 pcs MECH. SLEEVE TYPE COUPLING 75MM (3)PVC (height: 8 inches) 15 pcs MECH SLEEVE TYPE COUPLING  100MM (4 PVC) (height: 8 inch</t>
  </si>
  <si>
    <t xml:space="preserve"> Name of Projects	Location	Brief Description	Approved Budget for the Contract (ABC)	Contract Duration Purchase of Office Supplies, Janitorial Supplies &amp; Accessories	Municipality of Talavera	Office Supplies, Janitorial Supplies, Printed Forms &amp; Accessories	</t>
  </si>
  <si>
    <t xml:space="preserve"> August 18, 2020 REQUEST FOR QUOTATION (RFQ) VARIOUS OFFICE SUPPLIES 1.	The Batangas Medical Center hereinafter referred to as the “Purchaser” now request for submission of price proposal for the procurement of the aforesaid item described in the Technical</t>
  </si>
  <si>
    <t xml:space="preserve"> Please refer to the attached RFQ.</t>
  </si>
  <si>
    <t xml:space="preserve"> Republic of the Philippines Region XII Province of Cotabato City of Kidapawan OFFICE OF THE BIDS AND AWARD COMMITTEE August 19, 2020 INVITATION TO BID FOR  SUPPLY AND DELIVERY OF OFFICE AND JANITORIAL SUPPLIES FOR THE COMELEC OFFICE, PESO, DILG, CITY HEAL</t>
  </si>
  <si>
    <t xml:space="preserve"> Name of Projects	Location	Brief Description	Approved Budget for the Contract (ABC)	Contract Duration Purchase of Office Equipment, Furniture &amp; Fixtures &amp; ICT Equipment	Municipality of Talavera	Cleopatra Deva, Louse Covi Blinds, Exec. Table w/ Top Glass, D</t>
  </si>
  <si>
    <t xml:space="preserve"> Republic of the Philippines MUNICIPALITY OF SANTA CRUZ Province of Marinduque BARANGAY BANGCUANGAN Office of the Bids and Awards INVITATION TO BID FOR  Supply of Materials for  Improvement of Health Center (ITB No.: 2020-001) 1.	The Barangay Bangcuangan, </t>
  </si>
  <si>
    <t xml:space="preserve"> Supply of labor, materials, tools and technical supervision for the general repair of vertical turbine pump, 550 GPM, Main fire pump for the fire suppression system of the South Annex Bldg See attached RFQ-PQF and Scope of Work For technical inquiry and o</t>
  </si>
  <si>
    <t xml:space="preserve"> Procurement of Office Furniture and Fixture</t>
  </si>
  <si>
    <t xml:space="preserve"> Republic of the Philippines  Province of Pangasinan MUNICIPALITY OF SUAL BIDS AND AWARDS COMMITTEE Barangay Cabalitian Invitation to Bid for INSTALLATION OF SOLAR LIGHT Cabalitian, Sual, Pangasinan 1.	The Barangay Government Unit of Cabalitian, Sual, Pang</t>
  </si>
  <si>
    <t xml:space="preserve"> Completion of Computer Room (Materials) at Bucana elementary school, Bucana, Maco, davao de Oro</t>
  </si>
  <si>
    <t xml:space="preserve"> Republic of the Philippines MUNICIPALITY OF SANTA CRUZ Province of Marinduque BARANGAY BANGCUANGAN Office of the Bids and Awards INVITATION TO BID FOR  Supply of Materials for  Construction of Separate Comfort Room for Male &amp; Female (ITB No.: 2020-002) 1.</t>
  </si>
  <si>
    <t xml:space="preserve"> Name of Projects	Location	Brief Description	Approved Budget for the Contract (ABC)	Contract Duration 1	Concreting of Farm to Market Road	Gulod, Talavera, Nueva Ecija	851m x 5m x 0.23m	10,000,000.00	120 days 2	Concreting of Farm to Market Road	Basang Hamog</t>
  </si>
  <si>
    <t xml:space="preserve"> INVITATION TO BID CONSTRUCTION OF ONE (1) UNIT THREE (3) CLASSROOM SCHOOL BUILDING, ALEGRIA, NATIONAL HIGH SCHOOL, SEF, BARANGAY ALEGRIA, SFADS The Municipal Government of San Francisco, Agusan del Sur, through the BIDS and AWARDS COMMITTEE (BAC) intends </t>
  </si>
  <si>
    <t xml:space="preserve"> Republic of the Philippines Region XII Province of Cotabato City of Kidapawan OFFICE OF THE BIDS AND AWARD COMMITTEE August 19, 2020 INVITATION TO BID FOR  SUPPLY AND DELIVERY OF MOTORCYCLES FOR THE USE OF THE CDRRMO/PUBLIC SAFETY, KIDAPAWAN CITY The CITY</t>
  </si>
  <si>
    <t xml:space="preserve"> 4,500 Sacks RICE</t>
  </si>
  <si>
    <t xml:space="preserve"> Supply and Delivery of One (1) Lot Oil and Spare parts Rescue Speedboat. The Municipal Government of Coron, through the 2020 Annual Municipal Budget intends to apply the sum of TWO HUNDRED THREE THOUSAND THREE HUNDRED TWENTY-NINE PESOS (Php203,329.00) bei</t>
  </si>
  <si>
    <t xml:space="preserve"> 100 pcs. Flu Vaccine</t>
  </si>
  <si>
    <t xml:space="preserve"> Republic of the Philippines Region XII Province of Cotabato City of Kidapawan OFFICE OF THE BIDS AND AWARD COMMITTEE August 19, 2020 INVITATION TO BID FOR  SUPPLY AND DELIVERY OF OFFICE AND JANITORIAL SUPPLIES FOR THE USE OF THE KIDAPAWAN CITY DISTRICT JA</t>
  </si>
  <si>
    <t xml:space="preserve"> Republic of the Philippines																																			 DEPARTMENT OF PUBLIC WORKS AND HIGHWAYS																																			 REGIONAL OFFICE IX																																			 Ipil, Zamboanga Sibugay																																			 Name</t>
  </si>
  <si>
    <t xml:space="preserve"> Title:Procurement of 1 Job Consultancy Services under P.R.No. 2793-2020-CMO-Provision for Priority Development Project (Continuing) Total ABC: Php 700,000.00</t>
  </si>
  <si>
    <t xml:space="preserve"> The Municipality of Silang, Cavite, through its Bids and Awards Committee (BAC), invites suppliers/ manufacturers/ distributors/ contractors to apply for eligibility and to bid for the projects: Supply and Delivery of one (1) unit Multi-Purpose Vehicle fo</t>
  </si>
  <si>
    <t xml:space="preserve"> Portland cement          -     98 BAGS sand s1                      -    12 cu.m gravel 3/4                   -     3 cu.m. chb 100 x 200 x 400    -     1118 pieces 10 mm dia. rsb            -     22 pieces 12 mm dia. rsb            -     15 pieces no. 18</t>
  </si>
  <si>
    <t xml:space="preserve"> to be used by the sangguniang barangay</t>
  </si>
  <si>
    <t xml:space="preserve"> Army Vission: “By 2028, a world-class Army that is a source of national pride.” Army Core Purpose: “Serving the people, Securing the land.” H E A D Q U A R T E R S 6TH INFANTRY (KAMPILAN) DIVISION, PHILIPPPINE ARMY 6ID SPECIAL BIDS AND AWARD COMMITTEE Cam</t>
  </si>
  <si>
    <t xml:space="preserve"> 2,120 pcs ID card lace with universal string and logo</t>
  </si>
  <si>
    <t xml:space="preserve"> 300 pcs. 	Water Meter 1/2 unidirectional, magnetic drive	 300 pcs. 	Brass Ball valve  1/2"  (Falcon) Standrad	 600 pcs. 	Plastic replacement piece 1/2"  Standard	 150 pcs. 	Plastic replacement piece 3/4" Standard	 600 pcs. 	G.I. St. Elbow 1/2" Standard	 6</t>
  </si>
  <si>
    <t xml:space="preserve"> Please refer to the attached RFQ</t>
  </si>
  <si>
    <t xml:space="preserve"> Rehabilitation of Water System (Materials) at Concepcion, Maco, davao de Oro</t>
  </si>
  <si>
    <t xml:space="preserve"> Republic of the Philippines Region XII Province of Cotabato City of Kidapawan OFFICE OF THE BIDS AND AWARD COMMITTEE August 19, 2020 INVITATION TO BID FOR  SUPPLY AND DELIVERY OF MEDICAL EQUIPMENTS FOR THE USE OF THE CDRRMO/CALL 911, KIDAPAWAN CITY The CI</t>
  </si>
  <si>
    <t xml:space="preserve"> 1 Lot FISHING EQUIPMENT, ACCESSORIES AND FISHING GEARS</t>
  </si>
  <si>
    <t xml:space="preserve"> Description Please quote your price inclusive of VAT on the item/s listed below, subject to the Terms and conditions of the RFQ, and submit your quotation duly signed by your representative not later than August 25, 2020 at CGSO for Goods. Upon receipt of</t>
  </si>
  <si>
    <t xml:space="preserve"> Republic of the Philippines PROVINCE OF ZAMBOANGA DEL NORTE BIDS AND AWARDS COMMITTEE (BAC) BAC Conference Room, Capitol Building, Brgy. Estaka Tel. # (065) 212-6492 Telefax # (065) 212-6492 	                                                               </t>
  </si>
  <si>
    <t xml:space="preserve"> for the period: July 1-15, 2020</t>
  </si>
  <si>
    <t xml:space="preserve"> 1 Lot FISHING BOAT, GEARS AND ACCESSORIES</t>
  </si>
  <si>
    <t xml:space="preserve"> INVITATION TO BID 	The Schools Division Office of Iriga City through the Basic Education – Learning Continuity Plan (BE-LCP) invites Supplier to apply for eligibility and to bid for the hereunder project: Name of the Project	:  	PROCUREMENT AND DELIVERY O</t>
  </si>
  <si>
    <t xml:space="preserve"> PURCHASE OF PHOTOCOPYING MACHINE</t>
  </si>
  <si>
    <t xml:space="preserve"> Proposed Pathwalk Going to Cordial Compound San Felipe, Naga City</t>
  </si>
  <si>
    <t xml:space="preserve"> 1	Program	Upgrade/development of customized system  		        for Pontevedra Water District meter reading, 		       billing and collection by using latest data base 		       management system and programming tool. 		      The existing software of PWD will</t>
  </si>
  <si>
    <t xml:space="preserve"> 1.	The PCA-Region XIII, through the 2020 Smallholder Oil Palm Development Project: Oil Palm Seedling  intends to apply the sum of PhP 3,136,000.00 being the Approved Budget for the Contract (ABC) to payments under the contract for 2020 SOPDP: Oil Palm See</t>
  </si>
  <si>
    <t xml:space="preserve"> 1. The Energy Regulatory Commission (ERC), through the continuing Appropriation for Fiscal Year 2019, intends to apply the sum of Ten Million Nine Hundred Thousand Pesos (PhP10,900,000.00) inclusive of all government taxes and other charges and fees, bein</t>
  </si>
  <si>
    <t xml:space="preserve"> Negros Occidental 2nd District Engineering Office Binalbagan, Negros Occidental INVITATION TO BID  The DPWH, Negros Occidental 2nd District Engineering Office, Binalbagan, Negros Occidental, through its Bids and Awards Committee (BAC), invites contractors</t>
  </si>
  <si>
    <t xml:space="preserve"> 1 Lot GINGER TEA PRODUCTION EQUIPMENT, SUPPLIES &amp; MATERIALS</t>
  </si>
  <si>
    <t xml:space="preserve"> for the period: June 16-30, 2020</t>
  </si>
  <si>
    <t xml:space="preserve"> PRIMER-NC-2020-0438 PR2020-0584 REQUEST FOR QUOTATION FOR THE PROCUREMENT OF LAPTOPS AND COMPUTER DESKTOP FOR POST-PRODUCTION - SOCIAL MEDIA MANAGEMENT SET-UP AND VIDEO EDITING COST OF CANVASS: P 400.00</t>
  </si>
  <si>
    <t xml:space="preserve"> Pathway L=190.09m W=1.50 thk =.075m I. Masonry Works:      A. Materials           122   bags     Portland Cement            5    m         White Sand           10   m         Gravel 3/4''            4    pcs.      Cocolumber, 2'' x 4'' x 12'            4 </t>
  </si>
  <si>
    <t xml:space="preserve"> A4 Size Bond Paper (210 x 297 mm) F4B - Total Cost: 18,500.00 Legal Size Bond Paper (216 x 330 mm) F4B - Total Cost: 175,390.00 a. 500 sheet per ream, 70 gsm, White Paper b. Application: Laser, Ink-Jet, Copier &amp; Fax</t>
  </si>
  <si>
    <t xml:space="preserve"> NOTE: Interested Bidders may obtain further information from the Office of the BAC Secretariat, San Miguel Bulacan, and Inspect the Bidding Documents at the address given below during office hours (8am-12noon to 1pm- 5pm).  All Bidding Documents are for p</t>
  </si>
  <si>
    <t xml:space="preserve"> Please  download the attached Request for Quotation Please quote your lowest price inclusive of VAT on the item/s listed below. Subject to the terms and conditions of this RFQ and submit your quotation duly signed by your representative not later than   A</t>
  </si>
  <si>
    <t xml:space="preserve"> 1. The Local Government Unit of Amulung, Cagayan through the Financial Assistant Fund intends to apply the sum of Php 598,701.62 being the Approved Budget for the Contract (ABC) to payments under the contract for Construction of Evacuation Center Phase 1 </t>
  </si>
  <si>
    <t xml:space="preserve"> 1	Diesel	Liter	62,713.02 2	Gasoline (Unleaded)	Liter	29,568.83 3	2T	Liter	672 4	Engine Oil 40 (Diesel)	Liter	720 5	Engine Oil 40 (Gasoline)	Liter	80 6	Coolant	Liter	30 7	Oil 10	pail	10 8	Brake Fluid	Liter	40 9	ATF	Liter	32 10	Flushing Oil	can	51 11	Additi</t>
  </si>
  <si>
    <t xml:space="preserve"> ARM CHAIR: Monoblock, with armrest, plastic, heavy duty, cream, 790 mm x 620 mm x 760 mm BANQUET/TIFFANY CHAIR: Material: 20 x 20 x 1.0 mm iron, 25 x 25 x 2 mm aluminum, painting powder coated, glossy oil painting, fabric: polyester, moled foam for seat ,</t>
  </si>
  <si>
    <t xml:space="preserve"> Improvement of Laboratory Room in RHU-I Building</t>
  </si>
  <si>
    <t xml:space="preserve"> INVITATION TO BID FOR THE SUPPLY, DELIVERY AND ASSISTANCE ON THE INSTALLATION OF ELECTROMECHANICAL EQUIPMENT AND DISCHARGE SET-UP OF LINAO NORTE PUMPING STATION 2 1. The Metropolitan Tuguegarao Water District through the Corporate Budget for the Year 2020</t>
  </si>
  <si>
    <t xml:space="preserve"> Supply and delivery of construction materials for the Construction of Covered Drainage Canal.</t>
  </si>
  <si>
    <t xml:space="preserve"> construction of concrete pathway</t>
  </si>
  <si>
    <t xml:space="preserve"> 1.	The PCA-Region XIII, through the 2020 Expanded PCA Response to Covid-19 Program (EPRCP): Animal Integration (Enhanced Livestock Oil Palm Integration)  intends to apply the sum of PhP 2,585,000.00 being the Approved Budget for the Contract (ABC) to paym</t>
  </si>
  <si>
    <t xml:space="preserve"> Republic of the Philippines Province of Leyte Municipality of Hilongos INVITATION TO RE-BID FOR THE PURCHASE OF TWO (2) DESKTOP COMPUTER FOR LAMAK CS 1.  The Local Government Unit of Hilongos, through SEF-CURRENT APPROPRIATION intends to apply the sum SIX</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</si>
  <si>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</si>
  <si>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Contract ID			:	20EG0093					 Contract Name  			:	Concreting of Purok Dam-ay, Sitio Tagumpay, Brgy. Inagawan Sub FMR, 					 Contract Location			:	Sta. 000+000 - Sta. 000+778.00, Brgy. Inagawan Sub, Puerto Princesa City, Palawan					 Brief Description			:	</t>
  </si>
  <si>
    <t xml:space="preserve"> 1 Newborn Hearing Screening Equipment 1 Unit ABC: Php 590,000.00 &gt;suitable for all ages &gt;with accessories:   1 unit desktop computer with software installed for the device for data reading and viewing   1 unit UPS 1000VA   2 units Bluetooth Printer   10 r</t>
  </si>
  <si>
    <t xml:space="preserve"> Assorted Construction Materials</t>
  </si>
  <si>
    <t xml:space="preserve"> Digital duplicator with USB/PC Connectivity: minimum 75- 100ppm, 300x300 dpi, min. 800 ink supply, master supply:200 cuts, min. 1000 sheets paper feed tray, min. 800 sheets receiving tray 6 lots Digital Multifunction 3 in 1 Copiers (print,scan,copy): Prin</t>
  </si>
  <si>
    <t xml:space="preserve"> Department of Education Region VI-Western Visayas Division of Cadiz City Hiyang-Hiyang Elementary School  INVITATION TO BID FOR THE PROCUREMENT OF SUPPLIES FOR MODULES FOR THE YEAR 2020 1.	The Hiyang-Hiyang Elementary School of Cadiz City, through the Sch</t>
  </si>
  <si>
    <t xml:space="preserve"> Purchase of classroom and office supplies for the first and second quarter of calendar year 2020.</t>
  </si>
  <si>
    <t xml:space="preserve"> Invitation to Bid for  CY 2020 Basic Education Facilities Fund  Repair of Classrooms – Batch 2 (Diwa Elementary School)  Project No.: BAT2020-08-10 The Department of Education (DepEd) Schools Division Office of Bataan through the Basic Educational Facilit</t>
  </si>
  <si>
    <t xml:space="preserve"> San Pedro, Bato, Catanduanes Construction of 2.0 x 10.0 I.m. embankment protection 1.	10.04 cu.m. Structure Excavation (common soil) 2.	8.80 cu.m. Rubble Concrete 3.	24.48 cu.m. Grouted Riprap (class A) 4.	8.16 cu.m. Concrete Slope Protection  5.	1 ea Pro</t>
  </si>
  <si>
    <t xml:space="preserve"> Procurement of Office Supplies for Elementary and Secondary schools, Vintar, Ilocos Norte</t>
  </si>
  <si>
    <t xml:space="preserve"> Brief Description: Site Development which involves project billboard/signage,safety &amp; health, temporary facility, A. Construction of Fence; layout &amp; excavation, reinforcing steel bar, structural concrete, masonry works, grille works, painting works, B. Re</t>
  </si>
  <si>
    <t xml:space="preserve"> PROCUREMENT OF OFFICE SUPPLIES 2020</t>
  </si>
  <si>
    <t xml:space="preserve"> Rehabilitation of Farm to Market Road from Brgy. Obo to Siay, San Miguel, Cat. Scope of Works: Roadway Excavation, Roadbed Preparation, Aggregate Base Coarse, Portland Cement Concrete Pavement, RCPC @ Bagong Lipunan St., RCPC @ Sta. 00=032.87 &amp; Sta 00+065</t>
  </si>
  <si>
    <t xml:space="preserve"> Purchase of Offices Supplies, Equipment &amp; Construction Materials (SEF-2020) Office Supplies, equipment &amp; Const. mtrls. Source of Fund: SEF – 2020 (Special Education Fund)  Prospective bidders should have experience in undertaking a similar project within </t>
  </si>
  <si>
    <t xml:space="preserve"> Republic of the Philippines Province of Davao del Sur Municipality of Matanao BARANGAY SAUB -oOo- INVITATION TO BID The Barangay Government Unit of Saub, Matanao, Davao del Sur, through its Bids and Awards Committee (BAC), invites suppliers/ distributors </t>
  </si>
  <si>
    <t xml:space="preserve"> Request for Quotation for the Procurement of Agricultural Supplies (Inorganic Fertilizers) to be used as Inputs for on-farm corn-legumes (Peanut &amp;Mungbean) rotation technology demonstration and corn+legume intercropping trial… 1.	The Department of Agricul</t>
  </si>
  <si>
    <t xml:space="preserve"> For the use at the Women's Orientation of R.A 9262 &amp; R.A. 9710 &amp; induction of newly elected officers</t>
  </si>
  <si>
    <t xml:space="preserve"> PROVINCE OF CAGAYAN Municipality of Claveria Barangay STO. TOMAS INVITATION TO BID August 18, 2020 Barangay Sto. Tomas, Claveria, Cagayan intends to apply the sum of FIFTY EIGHT THOUSAND ONE HUNDRED THIRTY PESOS ONLY(58,130.00)  being the Approved Budget </t>
  </si>
  <si>
    <t xml:space="preserve"> Republic of the Philippines Bangsamoro Autonomous Region in Muslim Mindanao Provincial Government of Maguindanao BIDS AND AWARDS COMMITTEE Buluan, Maguindanao INVITATION TO BID FOR SUPPLY AND DELIVERY OF PERSONAL PROTECTIVE EQUIPMENTS (PPE’S)  1.	The Prov</t>
  </si>
  <si>
    <t xml:space="preserve"> BAC-VARIOUS OFFICE SUPPLIES</t>
  </si>
  <si>
    <t xml:space="preserve"> Please see attached document</t>
  </si>
  <si>
    <t xml:space="preserve"> FOR SPECIFICATIONS : PLEASE CONTACT: MA.LUISA L. QUILESTINO BAC SECRETARIAT TEL.NO. (032) 475-9118</t>
  </si>
  <si>
    <t xml:space="preserve"> Republic of the Philippines                                                          PROVINCE OF ISABELA                                                         Municipality of Dinapigue                                   INVITATION TO APPLY FOR ELIGIBILIT</t>
  </si>
  <si>
    <t xml:space="preserve"> Republic of the Philippines Province of Leyte Municipality of Hilongos INVITATION TO RE-BID FOR THE PURCHASE OF ONE (1) UNIT LAPTOP FOR LAMAK CS 1.  The Local Government Unit of Hilongos, through SEF-CURRENT APPROPRIATION intends to apply the sum THIRTY T</t>
  </si>
  <si>
    <t xml:space="preserve"> Procurement of Office Equiptment for Disaster Preparedness; Fire Extinguizer, Camera (DSLR), Heavy Duty Extension Ladder and generator Set (Diesel) Source of Fund: MDRRM Trust Fund  Prospective bidders should have experience in undertaking a similar proje</t>
  </si>
  <si>
    <t xml:space="preserve"> PROCUREMENT OF ECCD CECKLIST, HYGIENE KIT, EATING UTENSIL AND FIRST AID KIT</t>
  </si>
  <si>
    <t xml:space="preserve"> 1.	2	unit/s	Airconditioner (Floor Mounted Inverter) 			Capacity 4HP, Power Cons. 3100W, 			Rated Current 16.2A, EER 12.9 Kj/h-W 			Dimension 550 x 350 x 1,800 / 1,030 x 420 x 810 			Room Area: 43-72 2.	1	unit/s	Airconditioner (Split Type Aircon Inverter) </t>
  </si>
  <si>
    <t xml:space="preserve"> Description is indicated in the ITB</t>
  </si>
  <si>
    <t xml:space="preserve"> 1 Lot PRODUCTION EQUIPMENT, MATERIALS AND SUPPLIES</t>
  </si>
  <si>
    <t xml:space="preserve"> 1. The Local Government Unit of Amulung, Cagayan through the Financial Assistant Fund 2017 &amp; 2018 intends to apply the sum of Php 477,923.15 being the Approved Budget for the Contract (ABC) to payments under the contract for Construction of Multipurpose B</t>
  </si>
  <si>
    <t xml:space="preserve"> Proposed Road Concreting Corner Panganiban Residence Bagong Sirang, San Felipe Naga City</t>
  </si>
  <si>
    <t xml:space="preserve"> PRIMER-NC-2020-0434 PR2020-0577 REQUEST FOR QUOTATION FOR THE PROCUREMENT OF GANG CHAIR, OFFICE CHAIR, MAGAZINE RACK, FILING CABINET, METAL SHELVING RACK, AND SOUNDPROOFING FOAM SOUND ABSORPTION PYRAMID STUDIO TREATMENT WALL PANELS TO BE USE AS OFFICE FUR</t>
  </si>
  <si>
    <t xml:space="preserve"> Republic of the Philippines Province of Southern Leyte MUNICIPALITY OF LIMASAWA -o0o- Bids and Awards Committee Invitation to Bid for the Procurement of 1 unit Brand New Dumptruck of the Municipality of Limasawa, Southern Leyte  1.	The Local Government Un</t>
  </si>
  <si>
    <t xml:space="preserve"> 101(4)b Removal of Existing Asphalt Pavement  1,200 sq.m (L=300.00 m, W=4.00 m)  105(1) Subgrade Preparation(L=300.00 m, W=8.10 m) 2,430.00 sq.m 201 Aggregate bae Course  624.00 cu.m (L1=300.00 m, W=6.10 m, t=.20 ) (L2=300.00 m, W=1.00 m, t=.43 x 2 sides </t>
  </si>
  <si>
    <t xml:space="preserve"> Purchase of Assorted Vegetables Seeds: Pole Sitao, Ampalaya, Squash, Upo, Okra, Pechay, Eggplant (50gms/pack), Chili pepper (25gms/pack), Sinta Papaya, Cucumber (250 gms/pack), Corn Glutinous, Tomato (25gms/pack) Source of Fund: 20% EDF 2020 (Proc. Vegeta</t>
  </si>
  <si>
    <t xml:space="preserve"> INVITATION TO BID SUPPLY AND DELIVERY OF TEN (10) SETS BRAND NEW COMPUTER DESKTOP WITH COMPUTER TABLE and ACCESSORIES, ALS, SFADS The Municipal Government of San Francisco, Agusan del Sur, through the BIDS and AWARDS COMMITTEE (BAC) intends to apply the s</t>
  </si>
  <si>
    <t xml:space="preserve"> Line Bidding	 			 2	units	Desktop Computer with complete Accessories	 90,000.00  		and Table	 		Processor intel i7-6700 CPU @ 3.40GHz 3.41	 		Ram 8.00 GB 2400 MHZ	 		Windows XP Operating System	 		System type 64-bit operating system, x64-base	 		Processor</t>
  </si>
  <si>
    <t xml:space="preserve"> 35 pcs  BT 6000 Black 35 pcs  BT 6000 Colored 75 pcs  HP 680 Black 38 pcs  HP 680 Colored 20 pcs  HP 704 Black 10 pcs HP 704 Colored 150 reams A4 Bond Paper 50 reams Long Bond Paper</t>
  </si>
  <si>
    <t xml:space="preserve"> I. DEMOLITION OF OBSTRUCTION II. EXCAVATION III. FORMWORKS IV. WASTE DISPOSAL V.CONCRETE WORKS</t>
  </si>
  <si>
    <t xml:space="preserve"> Republic of the Philippines Province of Leyte Municipality of Hilongos INVITATION TO RE-BID FOR THE PROCUREMENT OF MATERIALS FOR THE COMPLETE REPAIR OF 40FT REINFORCED FIBER GLASS PATROL BOAT WITH ACCESSORIES 1.  The Local Government Unit of Hilongos, thr</t>
  </si>
  <si>
    <t xml:space="preserve"> Republic of the Philippines										 Department Of Public Works and Highways										 Negros Oriental 1st  District Engineering Office										 Tinaogan, Bindoy, Negros Oriental										 Name of Procuring Entity :		Request for Quotation (PR No.) :			2</t>
  </si>
  <si>
    <t xml:space="preserve"> An Installation of RCCP 36" (13 in.m) complete with headwall (grouted riprap)- 2 units, embankmet of 13.00m length, 1.20m width and t=0.20m and aggregate base course, 13.00mlength, 1.20m width and 1=0.10m.</t>
  </si>
  <si>
    <t xml:space="preserve"> 40      pcs Full HD Web Camera 50 pcs 4g LTE Mobile Wifi 50 pcs 1 terabyte External HDD 24 months Subscription of CAnva Pro Pls See attached Purchase Request for Complete Description Pls Contact Mr. Arnie Timoteo Chief MIS for any query/ clarification 092</t>
  </si>
  <si>
    <t xml:space="preserve"> Book Size: 	A4 Cover :	None Print Color:	Black and White Paper Requirement 	News Print  Binding:	Stapled per Module using Long barrel heavy duty staple wires Basis Weight 	48.8 gsm,+/-5% Tolerance brightness:	55% +/- 3% Tolerance Opacity : 	85% +/-5 % Tol</t>
  </si>
  <si>
    <t xml:space="preserve"> Barangay Sta. Lucia Municipality of Dolores, Quezon INVITATION TO BID FOR IMPROVEMENT OF HEALTH CENTER &amp; EXTENSION OF HEIGHT FOR FENCE The LGU, through  the General  Fund ( 20% DF)–intends to apply the sum of   Eighty Thousand  Pesos  (P 80,000.00)] being</t>
  </si>
  <si>
    <t xml:space="preserve"> ITEM NO.	DESCRIPTION	UNIT	QUANTITY PART I	OTHER GENERAL REQUIREMENTS		 B.3	PERMITS AND CLEARANCES	L.S.	1.00 B.5	PROJECT BILLBOARD/SIGNBOARD	EA	2.00 B.7	OCCUPATIONAL SAFETY AND HEALTH PROGRAM	L.S.	1.00 PART II	CIVIL, MECHANICAL, ELECTRICAL AND SANITARY/ PL</t>
  </si>
  <si>
    <t xml:space="preserve"> INVITATION TO BID SUPPLY AND DELIVERY OF VARIOUS SUPPLIES AND MATERIALS FOR CHRISTMAS DECORATION (FESTIVAL OF LIGHTS) 1.	The Local Government Unit of Cabadbaran City through the GENERAL FUND intends to apply the sum of ONE HUNDRED EIGHTY THOUSAND FOUR HUN</t>
  </si>
  <si>
    <t xml:space="preserve"> SectionI. Invitation to Bid Republic of the Philippines Province of Misamis Occidental MUNICIPALITY OF PANAON Invitation to Bid for COMPLETION OF MULTI-PURPOSE BUILDING AT PUBLIC MARKET 									August 17, 2020 1.	The Municipality of Panaon, Misamis Occid</t>
  </si>
  <si>
    <t xml:space="preserve"> Please refer to the Approved Budget Estimates (ABE).</t>
  </si>
  <si>
    <t xml:space="preserve"> Please see attached Request for Quotation.</t>
  </si>
  <si>
    <t xml:space="preserve"> Line Bidding	 			 100	pack	AAA Bateries packs of 4	 6,500.00  50	pack	AA Bateries packs of 4	 3,250.00  50	bot	Liquid Hand Soap 1 Liter bottle	 15,000.00  50	bot	Hand Moisturizer 1 liter bottle	 15,000.00  50	pc	Record Book 300 pages, 214mm x 278mm size	 </t>
  </si>
  <si>
    <t xml:space="preserve"> 1 pc  motorcycle waste patrol</t>
  </si>
  <si>
    <t xml:space="preserve"> 1.	The Local Government Unit of Balangiga, through the Annual Budget for 20203 intends to apply the sum of Four Hundred Fifty-Seven Thousand Seven Hundred Thirty-Two Pesos  (Php457,732.00) being the Approved Budget for the Contract (ABC) to payments under</t>
  </si>
  <si>
    <t xml:space="preserve"> Repair of Daycare Center and Multi Purpose Hall @ Brgy. Jaboyoan, Aroroy, Masbate</t>
  </si>
  <si>
    <t xml:space="preserve"> 2units-brush cutter 3units-6 seaters folded table 2pcs- cooler</t>
  </si>
  <si>
    <t xml:space="preserve"> 1      sheet       4'x8' Printed Tarpaulin 2      pcs          1/4"x4"x8" Ordinary Plywood 144   bd.ft.       2"x3"x 12ft Good Lumber Frame (24pcs) 1       kg           C.W. Nails 1 1/2" 11     kgs          Tie Wire #16 12     sheets      Ordinary Plywood</t>
  </si>
  <si>
    <t xml:space="preserve"> 1 Unit Printer, Impact, dot matrix, 36 pins Specification: No. of Columns: 136 Print Direction: Bi-Directional with logic seeking Print Speed: 1550/1450 cps high speed draft 10/12 cpi Interface: Bid-directional parallel interface (IEEE 1284 Nimble Mode su</t>
  </si>
  <si>
    <t xml:space="preserve"> The Barangay Bicok, Tuao Cagayan through its Department of Agriculture Fund intends to apply the sum of             Php 212,567.00  being the Approved Budget for the Contract (ABC) to payments under the contract for  Construction of Multi-Purpose Drying P</t>
  </si>
  <si>
    <t xml:space="preserve"> The Philippine National Police (PNP) Health Service (HS) invites all PhilGEPS-accredited suppliers to apply for eligibility and to bid for the Procurement of Medical, Dental &amp; Laboratory Supplies. Approved Budget for Contract: Php6,500,000.00 Bid Document</t>
  </si>
  <si>
    <t xml:space="preserve"> Computer Laptop			3	Units		 Specifications:						 - 9th Generation Intel Core i7-9750H, Windows 10 Home, NVIDIA GeForce RTX 2080						 	with Max-Q Design, 32 GB DDR4 2666 MHz, Up to 5 hours, 57 Wh, 3 cells, 					 	Up to 512 GB Pcle NVMe, Up to 2 TB HDD, 1</t>
  </si>
  <si>
    <t xml:space="preserve"> Republic of the Philippines 	DEPARTMENT OF PUBLIC WORKS AND HIGHWAYS 			SURIGAO DEL NORTE 1ST DISTRICT ENGINEERING OFFICE REGIONAL OFFICE XIII Dapa, Siargao Island, Surigao del Norte INVITATION TO BID FOR                    20NF-GOODS-02: SUPPLY, DELIVERY</t>
  </si>
  <si>
    <t xml:space="preserve"> Republic of the Philippines Province of Iloilo Municipality of Lambunao Office of the Bids &amp; Awards Committee INVITATION TO BID/ REQUEST FOR PRICE QUOTATION Name of Project: Purchase of Equipments for the use of MENRO Location: Lambunao, Iloilo ABC: Php 5</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</si>
  <si>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</si>
  <si>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Contract ID:	20FH0103 Contract Name:	CONCRETING OF BRGY. BATONG PALOWAY TO BRGY. SAN VICENTE FARM-TO-MARKET ROAD PHASE 2, BRGY. BATONG PALOWAY AND BRGY. SAN VICENTE,  SAN ANDRES, CATANDUANES Contract Location:	BRGY. BATONG PALOWAY AND BRGY. SAN VICENTE,  </t>
  </si>
  <si>
    <t xml:space="preserve"> INVITATION TO BID FOR THE SUPPLY OF LABOR &amp; MATERIALS FOR THE IMPROVEMENT OF DRAINAGE CANAL. 1. The Barangay Government of BARANGAY BAGONG SIKAT through the 20% Local Development Fund of Barangay intends to apply the sum of Php 299,568.99 being the Approv</t>
  </si>
  <si>
    <t xml:space="preserve"> The Barangay Lakambini, Tuao Cagayan through its 20% Barangay Dev't Fund intends to apply the sum of             Php 119,902.66  being the Approved Budget for the Contract (ABC) to payments under the contract for  Improvement of Multi-Purpose Hall. Bids r</t>
  </si>
  <si>
    <t xml:space="preserve"> 1.	The Local Government Unit of Balangiga, through the Special Education Fund (SEF) for 20203 intends to apply the sum of Two Hundred Thirty-Two Thousand Ten Pesos &amp; 75/100 (Php232,010.75) being the Approved Budget for the Contract (ABC) to payments under</t>
  </si>
  <si>
    <t xml:space="preserve"> Republic of the Philippines Province of Negros Oriental City of Guihulngan Bids and Awards Committee INVITATION TO BID (ITB No. PB2020-061) (2nd Call for Public Bidding) The  City of  Guihulngan, through its Bids and Awards Committee (BAC), invites suppli</t>
  </si>
  <si>
    <t xml:space="preserve"> 1 Lot SEWING MACHINE, MATERIALS AND SUPPLIES</t>
  </si>
  <si>
    <t xml:space="preserve"> INVITATION TO BID FOR THE SUPPLY OF LABOR &amp; MATERIALS FOR THE IMPROVEMENT OF STREETLIGHTS. 1. The Barangay Government of BARANGAY BAGONG SIKAT through the 20% Local Development Fund of Barangay intends to apply the sum of Php 299,568.99 being the Approved</t>
  </si>
  <si>
    <t xml:space="preserve"> The Philippine National Police (PNP) Health Service (HS) invites all PhilGEPS-accredited suppliers to apply for eligibility and to bid for the Procurement of Other Supplies &amp; Materials. Approved Budget for Contract: Php1,300,000.00 Bid Documents shall be </t>
  </si>
  <si>
    <t xml:space="preserve"> Installation of Street Lights @ Brgy. Jaboyoan, Aroroy, Masbate</t>
  </si>
  <si>
    <t xml:space="preserve"> Item Number	Description	UNIT	Quantity 			 1	64 GB FLASHDRIVE	unit	25 2	2 TB EXTERNAL HARD DRIVE	unit	2 3	A4 BOND PAPER	ream	5,430 4	LEGAL SIZE BOND PAPER	ream	256 5	SHORT BOND PAPER	ream	22 6	RICOH TONER	tube	20 7	DIGITAL DUPLICATOR INK	tube	44 8	DIGITAL </t>
  </si>
  <si>
    <t xml:space="preserve"> Contract ID:	20FH0102 Contract Name:	CONCRETING OF BRGY. SAN ROQUE TO BRGY. BATALAY FARM-TO-MARKET ROAD PHASE 2, BRGY. SAN ROQUE &amp; BRGY. BATALAY, BATO,  CATANDUANES Contract Location:	BRGY. SAN ROQUE &amp; BRGY. BATALAY, BATO,  CATANDUANES Scope of Work:	CONC</t>
  </si>
  <si>
    <t xml:space="preserve"> Supply , Delivery and Installation of Transmission Assembly of Armored Truck, F750, SFX 393 with the following details: Motor No. 8YL89077 Chasis No. 3FDXF75N51MA28459 Year Model : 2001 Make : Ford</t>
  </si>
  <si>
    <t xml:space="preserve"> I. MOBILIZATION II. EXCAVATION III.MASONRY WORKS IV.PLASTERING V. DEMOLITION VI. CONCRETE WORKS VII WASTE DISPOSAL</t>
  </si>
  <si>
    <t xml:space="preserve"> Please see attached associate component</t>
  </si>
  <si>
    <t xml:space="preserve"> 1	pc	PE clam 2x1 1	pc	male plug 2	pcs	UPVC reducer 3x2 2	pcs	gate valve #3 3	pcs	GI nipple 2x24 2	pcs	GI  coupling #3 1	pc	GI plug 3 2	pcs	PE pipe #1 12O METERS 2	pcs	mechanical coupling #3 2	pcs	GI elbow #3 2    	pcs	GI union#2 55	pcs	UPVC pipe #2 20    </t>
  </si>
  <si>
    <t xml:space="preserve"> 1. 1 bundle White bed sheet cloth 100mx96” width 2. 4 bundles Green bed sheet cloth 100mx96” width 3. 3 bundles Blue bed sheet cloth 100mx96” width 4. 20 meters Red alpha gena cloth 20mx60” width 5. 200 pcs. Flat sewing machine needle no. 14 6. 200 pcs. F</t>
  </si>
  <si>
    <t xml:space="preserve"> Road Excavation Portland cement Concrete pavement Demoliton Structure Excavation SubGrade preparation Stone MasonrAggregate base course etc.</t>
  </si>
  <si>
    <t xml:space="preserve"> Request for Quotation for the Procurement of Agricultural Supplies (Inorganic Fertilizers) to be used as inputs for the implementation of the project “Community-based Participatory Action Research (CPAR) on Rice-based Farming System” in Ubay, Bohol for CY</t>
  </si>
  <si>
    <t xml:space="preserve"> The Barangay Centro 02, Tuao Cagayan through its MUNICIPAL AIDE Fund intends to apply the sum of                Php 174,209.86  being the Approved Budget for the Contract (ABC) to payments under the contract for  Installation of Street Lights (SOLAR). Bid</t>
  </si>
  <si>
    <t xml:space="preserve"> Line BIDDING	 			 12	set	Minor Basic Set with stainless tray with cover	 54,000.00  		Specs;	 		Stainless steel	 		Inclusions:	 		1 Thumb forcep	 		1 tissue forcep	 		2 curve kelly forcep	 		2 straight forcep	 		1 needle holder	 		1 mayo scissors	 1	unit	</t>
  </si>
  <si>
    <t xml:space="preserve"> CALIBRATION OF THE FOLLOWING LABORATORY EQUIPMENT AGAINST MEASUREMENT STANDARD TRACEABLE TO NATIONAL OR INTERNATIONAL STANDARDS: 1. 1 unit HACH HQ440D NITRATE ION SELECTIVE ELECTRODE BENCH METER (233-001-121) 2. 1 unit MERCK MOVE 100 COLORIMETER - a hand-</t>
  </si>
  <si>
    <t xml:space="preserve"> Republic of the Philippines Province of Negros Oriental City of Guihulngan Bids and Awards Committee INVITATION TO BID (ITB No. PB2020-062) The  City of  Guihulngan, through its Bids and Awards Committee (BAC), invites suppliers/ manufacturers/ distributo</t>
  </si>
  <si>
    <t xml:space="preserve"> The Philippine National Police (PNP) Health Service (HS) invites all PhilGEPS-accredited suppliers to apply for eligibility and to bid for the Procurement of Medical, Dental &amp; Laboratory Supplies. Approved Budget for Contract: Php900,000.00 Bid Documents </t>
  </si>
  <si>
    <t xml:space="preserve"> General Requirements, Site Works, Concrete and Mansonry Works, Form Works and Scaffoldings</t>
  </si>
  <si>
    <t xml:space="preserve"> 1. 4 Unit Inkjet printer with built-in Continuous Ink System Print Method: On-demand ink jet, Bi-directional printing, Uni-directional printing, 5760 x 1440 dpi Max resolution, Micro Piezo™ print head Nozzle Configuration 180 Nozzles Black, 59 Nozzles per</t>
  </si>
  <si>
    <t xml:space="preserve"> Procurement of Other supplies, furnitures and fixtures requested by barangays during the conduct of Bisita sa Barangay; LGU Offices and the Department of Education</t>
  </si>
  <si>
    <t xml:space="preserve"> Contract ID:	20FH0104 Contract Name:	REPAIR/MAINTENANCE OF DPWH EXISTING MAIN OFFICE BUILDING, CATANDUANES DEO, VIRAC, CATANDUANES Contract Location:	DPWH BUILDING, MAIN OFFICE BUILDING, CATANDUANES DEO, VIRAC, SIV, CATANDUANES Scope of Work:	REPAIR OF DP</t>
  </si>
  <si>
    <t xml:space="preserve"> OPA-CROPS-NC-2020-0446 PR2020-0593 REQUEST FOR QUOTATION FOR THE PROCUREMENT OF CERTIFIED ORGANIC FERTILIZER, CERTIFIED ORGANIC SEAWEED BASED FOLIAR FERTILIZER, CERTIFIED ORGANIC SEAWEED BASED PLANT BLOOMER, CERTIFIED ORGANIC SEAWEED BASED PESTICIDE/INSEC</t>
  </si>
  <si>
    <t xml:space="preserve"> Republic of the Philippines PROVINCE OF CAMARINES SUR BIDS AND AWARDS COMMITTEE ITB No. 052-08-2020 INVITATION TO BID  	The Provincial Government of Camarines Sur (PGCS) through its Bids and Awards Committee (BAC) invites suppliers/manufacturers/distribut</t>
  </si>
  <si>
    <t xml:space="preserve"> Lot BIDDING	 			 2	unit	Laptop	 120,000.00  		General Specifications:	 		Processor: Intel corei5 or higher, Memory: 8Gb,	 		OS: Window 10, Storage: 256 GB to 512 GB,	 		Display: at least 13.3' LED Full HD	 		16.9 display (1920,1958)</t>
  </si>
  <si>
    <t xml:space="preserve"> Government of the Philippines LGU-DOLORES, QUEZON INVITATION TO BID FOR SUPPLY  AND DELIVERY OF CONSTRUCTION MATERIALS 1.	The LGU, through the General  Fund  – P75,326.75.00	 intends to apply the sum of  Seventy Five Thousand Three Hundred Twenty Six Peso</t>
  </si>
  <si>
    <t xml:space="preserve"> Construction of concrete pathway</t>
  </si>
  <si>
    <t xml:space="preserve"> Republic of the Philippines				Project Reference Number: 	G-20-0752                                           Province of Compostela Valley				Name of the Project	:  Medical Denatl &amp; Lab.Supplies MUNICIPALITY OF MONTEVISTA			Location of the Project	:     </t>
  </si>
  <si>
    <t xml:space="preserve"> ITEM: 6 lgths Wide Flange, W6x15 PURPOSE: FOR PROP. 150MMØ PIPE REALIGNMENT @ VALENZUELA BRIDGE, AGORA, LAPASAN, CDOC(W.O.#19-027-F)	 ABC: PHP 53,900.00 DELIVERY SCHEDULE: 10 CALENDAR DAYS</t>
  </si>
  <si>
    <t xml:space="preserve"> Supply and delivery of construction materials for the Repair and Maintenance of Electrification, Powers &amp; Energy Structures.</t>
  </si>
  <si>
    <t xml:space="preserve"> Integrated Solar Lights:  50 watts Solar Panel 16ah Solar Battery 18w, 2100lm,50,000 Hrs. Life Span Bulb 2 0 G.I Sched. 40 Pots w/ Padestal 2 0 Base 1 1/4" 0 Top G. I Sched 40,1/4x8x8 Steel Plate 5/8 Bolt w/ Padestal</t>
  </si>
  <si>
    <t xml:space="preserve"> 1 Lot PRODUCTION EQUIPMENT, GOODS, MATERIALS AND SUPPLIES</t>
  </si>
  <si>
    <t xml:space="preserve"> 1.	200	vial/s	Ampicillin + Sulbactam 2.	300	tab/s	Alluminum Magnesium 3.	100	tab/s	Allopurinol 300mg 4.	3	amp/s	Amiodarone 150mg 5.	5	box/es	Amoxicillin 500mg 6.	300	tab/s	Amlodipine 10mg 7.	10	amp/s	Atropine 1mg/ml 8.	1	box/es	Atenolol 50mg tab 100s 9.	6</t>
  </si>
  <si>
    <t xml:space="preserve"> Installation of plastic protective sheets for Negros Oriental and Siquijor Branches.</t>
  </si>
  <si>
    <t xml:space="preserve"> Supply and delivery of 10 Pcs - Batteries with the following details: - 3SM, 12Vdc - Battery</t>
  </si>
  <si>
    <t xml:space="preserve"> Purchase of 1 unit Riso with photocopier machine for Liloy National High School.</t>
  </si>
  <si>
    <t xml:space="preserve"> Please see attached Bid Docs for details</t>
  </si>
  <si>
    <t xml:space="preserve"> REQUEST FOR EXPRESSION OF INTEREST (REI) FOR THE CONSULTANCY SERVICES FOR THE GEOTECHNICAL INVESTIGATION (SUB-SOIL EXPLORATION) OF VARIOUS LOCAL PROGRAMS (MULTIPURPOSE/FACILITIES PROJECTS) FOR THE PROPOSED FY 2021 INFRASTRUCTURE PROGRAM OF ZAMBALES 2ND DE</t>
  </si>
  <si>
    <t xml:space="preserve"> BM-JALA-NC-2020-0447 PR2020-0594 REQUEST FOR QUOTATION FOR THE PROCUREMENT OF TUBELESS TIRE, CLEANING AND RECHARGING OF FREON, ORING, COMPRESSION OIL, AND SILICON OIL FOR THE MAINTENANCE OF THE OFFICIAL VEHICLE OF BOARD MEMBER ELPIDIO M. JALA COST OF CANV</t>
  </si>
  <si>
    <t xml:space="preserve"> Republic of the Philippines PROVINCE OF NUEVA VIZCAYA Invitation to Bid for the  IMPROVEMENT OF NVPH PLUMBING AND SANITARY Located at NVPH, Almaguer North, Bambang, Nueva Vizcaya  1.	The Provincial Government of Nueva Vizcaya, through the PGSO (5-02-13-03</t>
  </si>
  <si>
    <t xml:space="preserve"> Various Infrastructure Projects is funded thru the 20% DF Please be guided by the following schedule: 1. Submission of Letter of Intent - August 24-25, 2020 2. Pre-bid Conference - August 27, 2020 10:00AM 3. Issuance and Availability of Bidding Documents </t>
  </si>
  <si>
    <t xml:space="preserve"> Lot BIDDING	 			 18	roll	Oxford cloth (60mtrs/roll)	 155,700.00  		Color:	 		* green - 9rolls	 		* Light blue - 3 rolls	 		* pink - 3 rolls	 		* yellow - 3 rolls</t>
  </si>
  <si>
    <t xml:space="preserve"> The Barangay Alabug, Tuao Cagayan through its SUPPLEMENTAL Budget Fund intends to apply the sum of           Php 55,000.00 being the Approved Budget for the Contract (ABC) to payments under the contract for PURCHASED OF 1 UNIT MOTORCYCLE HONDA TMX 125. Bi</t>
  </si>
  <si>
    <t xml:space="preserve"> INVITATION TO BID SUPPLY AND DELIVERY OF TWO (2) UNITS DIGITAL DUPLICATOR MACHINES, INK AND MASTER ROLL, SEF, SFADS The Municipal Government of San Francisco, Agusan del Sur, through the BIDS and AWARDS COMMITTEE (BAC) intends to apply the sum of THREE HU</t>
  </si>
  <si>
    <t xml:space="preserve"> Republic of the Philippines PROVINCE OF NUEVA VIZCAYA Invitation to Bid for the  IMPROVEMENT OF D.D.H. PERIMETER FENCE (ALONG DIETARY BUILDING) Located at D.D.H. Cpd., Dupax del Norte, Nueva Vizcaya  1.	The Provincial Government of Nueva Vizcaya, through </t>
  </si>
  <si>
    <t xml:space="preserve"> 1 Lot PRODUCTION MACHINERY, EQUIPMENT AND MATERIALS</t>
  </si>
  <si>
    <t xml:space="preserve"> Republic of the Philippines Province of Ifugao BIDS AND AWARDS COMMITTEE Banaue, Ifugao INVITATION TO BID FOR MEDICAL &amp; LABORATORY SUPPLIES  Publication No. G-2020-025 1st  Publication 1.	The Local Government Unit of Banaue, Ifugao, through the LGU FUND i</t>
  </si>
  <si>
    <t xml:space="preserve"> Please see attached</t>
  </si>
  <si>
    <t xml:space="preserve"> Republic of the Philippines DEPARTMENT OF PUBLIC WORKS AND HIGHWAYS REGIONAL OFFICE VIII Baras, Palo, Leyte 	 REQUEST FOR EXPRESSION OF INTEREST (REI)  August 17, 2020 1.	The Department of Public Works and Highways, Regional Office VIII, Government Center</t>
  </si>
  <si>
    <t xml:space="preserve"> INVITATION TO BID SUPPLY AND DELIVERY OF DRUGS AND MEDICINES FOR SENIOR CITIZENS WELLNESS 1.	The Local Government Unit of Cabadbaran City through the GENERAL FUND intends to apply the sum of NINE HUNDRED NINETY-NINE THOUSAND NINE HUNDRED SEVENTY-SEVEN PES</t>
  </si>
  <si>
    <t xml:space="preserve"> Demolition Roofing Works Additional Column Height</t>
  </si>
  <si>
    <t xml:space="preserve"> NOTICE TO THE PUBLIC REQUEST FOR PROPOSAL Purchase Request No: PUR20-06-0515 The Philippine General Hospital hereby informs the public that it will be procuring the following item/s through Small Value Procurement: 1 8 piece Tire, 205x65xR15 94V P 5,136.0</t>
  </si>
  <si>
    <t xml:space="preserve"> Procurement of Fuel</t>
  </si>
  <si>
    <t xml:space="preserve"> Structure Excavation Stone masonry Demolition Concrete works Masonry works Cement Plaster Finish Structural Steel Works (Fence) Painting</t>
  </si>
  <si>
    <t xml:space="preserve"> Line BIDDING	 			 1	unit	Office Table with 4 Drawers and lock	 6,000.00  		Dimensions: 120w x 60 d x 76cm	 4	unit	Executive Chair	 18,000.00  		Specs:	 		Adjustable seat height	 		W630 mm D660 mm H1160-1260 mm	 2	unit	Stool Chair (Monoblock)	 800.00  1	un</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</si>
  <si>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</si>
  <si>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Republic of the Philippines Province of Negros Oriental City of Guihulngan Bids and Awards Committee INVITATION TO BID (ITB No. PB2020-063) (2nd Call for Public Bidding) The  City of  Guihulngan, through its Bids and Awards Committee (BAC), invites suppli</t>
  </si>
  <si>
    <t xml:space="preserve"> INVITATION TO BID SUPPLY AND DELIVERY OF 209 VERO CELL VIALS FOR THE CITY HEALTH OFFICE 1.	The Local Government Unit of Cabadbaran City through the GENERAL FUND intends to apply the sum of TWO HUNDRED SEVENTEN THOUSAND ONE HUNDRED NINETY-FOUR PESOS AND 89</t>
  </si>
  <si>
    <t xml:space="preserve"> PEO-NC-2020-0449 PR2020-0596 REQUEST FOR QUOTATION FOR THE PROCUREMENT OF CALIBRATION SERVICES, SIEVE SHAKER, AND PLATFORM BALANCE FOR USE IN THE MATERIAL QUALITY CONTROL (MQC), IN THE PROVINCIAL ENGINEER'S OFFICE, TAGBILARAN CITY COST OF CANVASS: P 150.0</t>
  </si>
  <si>
    <t xml:space="preserve"> LENGTH 55 In.m. MATERIALS</t>
  </si>
  <si>
    <t xml:space="preserve"> INVITATION TO BID SUPPLY AND DELIVERY OF SAN FRANCISCO, AGUSAN DEL SUR BARANGAY TANODs’ UNIFORM FOR BARANGAY PEACE AND ORDER ACTIVITIES, SFADS  The Municipal Government of San Francisco, Agusan del Sur, through the BIDS and AWARDS COMMITTEE (BAC) intends </t>
  </si>
  <si>
    <t xml:space="preserve"> Republic of the Philippines PROVINCE OF BUKIDNON Municipality of Sumilao INVITATION TO BID ITB NO. GS-2020-44 PROCUREMENT OF CONSTRUCTION MATERIALS FOR THE REHABILITATION OF BARANGAY LOCAL ROADS  August 17, 2020 1	The Local Government Unit of  Sumilao, in</t>
  </si>
  <si>
    <t xml:space="preserve"> Department of Education Region No. VIII ORMOC CITY DIVISION Narra St., Brgy. Don Felipe Larrazabal Ormoc City, Leyte -o0o- Invitation to Bid for CY 2020 BEFF Lot 4- Repair and Rehabilitation of Classrooms  LOT NO.	 CONTRACT ID	 NAME OF SCHOOL	 MUNICIPALIT</t>
  </si>
  <si>
    <t xml:space="preserve"> REQUEST FOR QUOTATION Procurement of INFRA [Drainage Canal along M. Parras St.] The   City Government of Tagbilaran,   through the Continuing Appropriation, intends to apply the sum of  Three Hundred Fifty Thousand Four Hundred Ninety Four Pesos and Eight</t>
  </si>
  <si>
    <t xml:space="preserve"> Item Number	Description	Unit	Quantity 			 1	GOWN	PCS	200 2	HEAD COVER	BOX	5 3	SHOE COVER	BOX	5 4	SURGICAL MASKS	BOX	100 5	PPE COVERALL	PCS	300 6	KN95	PCS	6500</t>
  </si>
  <si>
    <t xml:space="preserve"> Invitation to Bid for the Supply and Delivery of various Calamity Material for the use of Brgy. Sampaga, Batangas City</t>
  </si>
  <si>
    <t xml:space="preserve"> Structure Excavation Additional RCPC 1.0m Embankment Aggregate sub base course Aggregate base course PCCP Stone masonry etc.</t>
  </si>
  <si>
    <t xml:space="preserve"> 1 Lot PRODUCTION EQUIPMENT, SUPPLIES AND MATERIALS</t>
  </si>
  <si>
    <t xml:space="preserve"> LENGTH 75.00 In.m.</t>
  </si>
  <si>
    <t xml:space="preserve"> PURCHASE OF MINI AMBULANCE AT BARANGAY KANLURAN</t>
  </si>
  <si>
    <t xml:space="preserve"> INVITATION TO BID FOR THE  SUPPLY &amp; DELIVERY OF GENERATOR SET &amp; AIR CONDITION UNITS MUNICIPAL HEALTH OFFICE, BUENAVISTA, QUEZON 1.	The Municipal Government of Buenavista, Quezon, through the General Fund intends to apply the sum of Two Hundred Thirty Four</t>
  </si>
  <si>
    <t xml:space="preserve"> 41 pcs. 1/4" X 4' X 8' Marine Plywood 355 bd.ft. 2"x2"x10' Good Lumber 12 kg. CWN 5" 23 kg. CWN 4" 17 kg. CWN 3" 9 kg. CWN 2 1/2" 6 kg. Finishing Nail 1" 240 bd.ft. 2"x6"x20' Good Lumber 12L 180 bd.ft. 2"x6"x15' Good Lumber 12L 250 bd.ft. 2"x3"x10' Good L</t>
  </si>
  <si>
    <t xml:space="preserve"> Rehabilitation of Various FMR is funded thru the 20% DF Please be guided by the following schedule: 1. Submission of Letter of Intent - August 24-25, 2020 2. Pre-bid Conference - August 27, 2020 10:00AM 3. Issuance and Availability of Bidding Documents - </t>
  </si>
  <si>
    <t xml:space="preserve"> Republic of the Philippines				Project Reference Number: 	G-20-0753                                           Province of Compostela Valley				Name of the Project	:  Medical Dental &amp; Lab.Supplies MUNICIPALITY OF MONTEVISTA			Location of the Project	:     </t>
  </si>
  <si>
    <t xml:space="preserve"> Supply , delivery and Installation of Sunscreen Curtains, Motorized electroshade, made of thermoveil fabric and fire retardant materials</t>
  </si>
  <si>
    <t xml:space="preserve"> Contract ID:	20FH0105 Contract Name:	EMERGENCY REPAIR/MAINTENANCE OF DRAINAGE SYSTEM ALONG CCR VIRAC-BATO-SAN MIGUEL ROAD SECTION AT (K0002+050 – K0002+250), SAN VICENTE, VIRAC, CATANDUANES Contract Location:	SAN VICENTE, VIRAC, CATANDUANES Scope of Work:</t>
  </si>
  <si>
    <t xml:space="preserve"> To repair and repaint Runway, Taxiway and Apron at Calbayog Airport, Calbayog City, Western Samar.</t>
  </si>
  <si>
    <t xml:space="preserve"> The DPWH-Regional Office I, through its Bids and Awards Committee (BAC), invites contractors to submit bids for the following Contract: Contract ID: 21A00006 Contract Name: Retrofitting/Strengthening of Permanent Bridges, Bocal Bridge (B00532LZ) along Man</t>
  </si>
  <si>
    <t xml:space="preserve"> Purchase 25 units computer printers and 21 pieces Thermal Scanner for Liloy II District - Liloy, Zamboanga del Norte.</t>
  </si>
  <si>
    <t xml:space="preserve"> Republic of the Philippines UNIVERSITY OF NORTHERN PHILIPPINES Tamag, Vigan City 2700 Ilocos Sur INVITATION TO BID FOR I.T. EQUIPMENT &amp; PERIPHERALS  1.	The University of Northern Philippines, through the Use of Income, 2020 intends to apply the sum of ₱ 1</t>
  </si>
  <si>
    <t xml:space="preserve"> Republic of the Philippines Province of Nueva Vizcaya BIDS AND AWARDS COMMITTEE (BAC-Goods) BAC OFFICE, Provincial Capitol, Bayombong, Nueva Vizcaya Tel. No. 078-392-2062 	 (2ND) INVITATION TO BID FOR THE SUPPLY &amp; DELIVERY OF HIGH-SPEED SCANNER, LAPTOP &amp; </t>
  </si>
  <si>
    <t xml:space="preserve"> The Bids &amp; Awards Committee (BAC) of Barangay Langtad, Argao, Cebu, invites all interested suppliers/manufacturers/distributors/contractors/consultants to apply for eligibility and to submit bids for the following: ITEMS: 1   Unit    4 - Wheeled Vehicle (</t>
  </si>
  <si>
    <t xml:space="preserve"> Item Number	Description	UNIT	Quantity 			 1	Purified Rabies Vaccine (SPEEDA)	vials	615</t>
  </si>
  <si>
    <t xml:space="preserve"> please see attached RFQ and respective location of CCTV camera.</t>
  </si>
  <si>
    <t xml:space="preserve"> PEO-NC-2020-0450 PR2020-0597 REQUEST FOR QUOTATION FOR THE PROCUREMENT OF PRINTER AND UPS FOR USE IN THE PEO, TAGBILARAN CITY COST OF CANVASS: P 150.00</t>
  </si>
  <si>
    <t xml:space="preserve"> August 18, 2020 REQUEST FOR QUOTATION (RFQ) FOUR DRAWER STEEL FILING CABINET WITH LOCK 1.	The Batangas Medical Center hereinafter referred to as the “Purchaser” now request for submission of price proposal for the procurement of the aforesaid item describ</t>
  </si>
  <si>
    <t xml:space="preserve"> INVITATION TO QUOTE SUPPLY &amp; DELIVERY OF 1 UNIT BRAND NEW 7-TONNER HAULING TRUCK In support to Consolidation, Processing and Marketing of Copra for Bulucaon Farmers Multi-Purpose Cooperative (BFMPC), Bulucaon, Pigcawayan, Cotabato Solicitation No. PRDP-IR</t>
  </si>
  <si>
    <t xml:space="preserve"> 4       pcs          215/70R15 Tire, NV350 4       pcs          265/65R17 Tire, Hilux 4       pcs          Motorcycle Exterior, 250/17 6       pcs          Motorcycle Interior, 275/17, 300/17 1       pc            Battery, 11 plates 1       pc            </t>
  </si>
  <si>
    <t xml:space="preserve"> Item Number	Description	UNIT	Quantity 			 1	Single door Semi-Auto Frost Refrigerator	unit	2 2	Aircon 	unit	3 3	Hot and Cold Water Dispenser Stand	unit	6 4	Stand Fan	unit	5 5	Exhaust Fan	unit	5 6	Type Writer	unit	2 7	LED Emergency Light	unit	10 8	Microwave</t>
  </si>
  <si>
    <t xml:space="preserve"> REQUEST FOR QUOTATION											 											 RFQ No.		NP-PB 20-0965				Date				17-Aug-20	 PR Reference		100-20-04-054				Implementing Office				CMO	 Pre-BID Opening						August 25,2020					 Closing Date and Time						September 1,2020@10:00AM					 Designat</t>
  </si>
  <si>
    <t xml:space="preserve"> Fabrication/Erection of Electrical post</t>
  </si>
  <si>
    <t xml:space="preserve"> 1. 160  heads - 2 months old Dominant CZ Chicken fully vaccinated with NCD and without any deformities. Requirements:   2020 PhilGeps Registration, Business Permit, Mayors Permit, Tax Clearance, BAI Certification and                          Notarized Omn</t>
  </si>
  <si>
    <t xml:space="preserve"> Item Number	Description	UNIT	Quantity 			 1	ATS 1500 UNITS AMP.          X10’S	BX	100 2	TETANUS TOXIOD AMP.        X10’S	BX	50 3	CEFUROXIME 750 VIAL     X10’S	BX	170 4	CEFTRIAXONE 1G VIAL     X10’S 	BX	90 5	CO-AMOXICLAV 1.2 G VIAL   X1’S	BX	60 6	DEPHENHYD</t>
  </si>
  <si>
    <t xml:space="preserve"> The DPWH-Regional Office I, through its Bids and Awards Committee (BAC), invites contractors to submit bids for the following Contract: Contract ID: 21A00008 Contract Name: Retrofitting/Strengthening of Permanent Bridges, Pantal Bridge II (B04222LZ) along</t>
  </si>
  <si>
    <t xml:space="preserve"> Printer</t>
  </si>
  <si>
    <t xml:space="preserve"> Republic of the Philippines PROVINCE OF NUEVA VIZCAYA 2nd Invitation to Bid for the  CONSTRUCTION OF CADISULAN II CIS Located at Bone South, Aritao, Nueva Vizcaya  1.	The Provincial Government of Nueva Vizcaya, through the 2020 20% Development Fund intend</t>
  </si>
  <si>
    <t xml:space="preserve"> DESCRIPTION Republic of the Philippines Province of Oriental Mindoro MUNICIPALITY OF NAUJAN BARANGAY PINAHAN BIDS AND AWARDS COMMITTEE INVITATION TO BID SUPPLY AND DELIVERY OF MATERIALS TO BE USED IN INSTALLATION OF POTABLE WATER SUPPLY SYSTEM LEVEL 2 SIT</t>
  </si>
  <si>
    <t xml:space="preserve"> Improvement of water system and installation of water supply for the COVID 19 isolation areas.</t>
  </si>
  <si>
    <t xml:space="preserve"> 1. One (1) Lot Supply, Delivery and Installation of Stainless Steel, Range Burners with Gas Oven and Cupboard Cast-Iron Ring Grates (6 Burners), Fabricated      1.1: 2 units - Range Burners with Gas Oven and Cupboard Cast-Iron Ring Grates (6 Burners)     </t>
  </si>
  <si>
    <t xml:space="preserve"> DESCRIPTION	UNIT	QUANTITY B3	PERMITS AND CLEARANCES	L.S.	1.00 B5	PROJECT BILLBOARD/SIGNBOARD	EA	2.00 B7(2)	OCCUPATIONAL SAFETY AND HEALTH PROGRAM	L.S.	1.00 801(1)	PREMOVAL OF STRUCTURES AND OBSTRUCTION	L.S.	1.00 803(1)a	STRUCTURE EXCAVATION (COMMON SOIL)	</t>
  </si>
  <si>
    <t xml:space="preserve"> REQUEST FOR QUOTATION For Shopping Procurement under Sec. 52 of the Revised IRR of RA 9184 Quotation No.:  2020-08-294 Date: August 18, 2020 PR No.: 20-08-319 PR Date: August 13, 2020 The Metropolitan Tuguegarao Water District (MTWD) is pleased to invite </t>
  </si>
  <si>
    <t xml:space="preserve"> CONSTRUCTION MATERIALS FOR THE TANOD OUTPOST AT Sitio Baribag Bibincahan East district Sorsogon City</t>
  </si>
  <si>
    <t xml:space="preserve"> One (1) Lot - Repair, Replacement and Repainting of Aircon Pipe Cladding per attached BSP Specifications, Terms of Reference (TOR) and Scope of Work (SOW)</t>
  </si>
  <si>
    <t xml:space="preserve"> The DPWH-Regional Office I, through its Bids and Awards Committee (BAC), invites contractors to submit bids for the following Contract: Contract ID: 21A00007 Contract Name: Retrofitting/Strengthening of Permanent Bridges, Cuenca Bridge (B00829LZ) along Ro</t>
  </si>
  <si>
    <t xml:space="preserve"> (1) Lot Supply,Delivery and Installation of Structured Cabling System with Network Access Switch for Pag-IBIG Fund Cadiz Branch</t>
  </si>
  <si>
    <t xml:space="preserve"> Republic of the Philippines Region XII Province of Cotabato CITY OF KIDAPAWAN BIDS AND AWARDS COMMITTEE Invitation to Bid 						  		           Date: August 19, 2020 1.	The City Government of Kidapawan, through the 20% EDF CY 2020   intends to apply the su</t>
  </si>
  <si>
    <t xml:space="preserve"> Republic of the Philippines				Project Reference Number: 	G-20-0755                                           Province of Compostela Valley				Name of the Project	:  Other Supplies MUNICIPALITY OF MONTEVISTA			Location of the Project	:           MHO  Stan</t>
  </si>
  <si>
    <t xml:space="preserve"> Portland Cement Shovel Sand Boulders 0.30 + O Mixing Water Gravel 16mmOx6.0m.RSB 12mmOx6.0m. RSB 10mmOx6.0m RSB Metal Primer  Paint Thinner Paint Brush #2" #16 Tie Wire Welding Rod G.I Pipe 1 1/4" O Schd. 40 Hack Saw Blade 3/8"x4"x8" ordinary plywood  Com</t>
  </si>
  <si>
    <t xml:space="preserve"> The BAC is conducting the public bidding for this Contract in accordance with Republic Act No. 9184 and its Implementing Rules and Regulations (IRR). To be eligible to bid for this Contract, a contractor must meet the following major requirements: (a) Fil</t>
  </si>
  <si>
    <t xml:space="preserve"> REQUEST FOR QUOTATION REFERENCE NO.: MR20-07-066 We are inviting all interested suppliers to submit their best quotation for the PROCUREMENT FOR THE SUPPLY OF LABOR AND MATERIALS FOR THE INSTALLATION OF TWO (2) UNITS OF 2TR INVERTER SUSPENDED TYPE AIRCON </t>
  </si>
  <si>
    <t xml:space="preserve"> 1             JOB      CATERING SERVICES                              25pax  x 3days                           DAY 1                              AM SNACKS, 25PAX                                 MENU: Pancit Molo with Sliced Bread, Canned Juice, Coffee   </t>
  </si>
  <si>
    <t xml:space="preserve"> The Local Government Unit of Santa Fe, Nueva Vizcaya, through its Bids &amp; Awards Committee invites contractors to bid for the following project: Contract Name: Procurement of One (1) Unit Brand New Backhoe Excavator (Supply and Delivery) Contract Location:</t>
  </si>
  <si>
    <t xml:space="preserve"> PHO-NC-2020-159 PR2020-218 REQUEST FOR QUOTATION FOR THE PROCUREMENT OF LAPTOP COMPUTER FOR THE USE OF THE MATERNAL NEWBORN CHILD HEALTH AND NUTRITION (MNCHN) PROGRAM COST OF CANVASS: P 150.00</t>
  </si>
  <si>
    <t xml:space="preserve"> 1. 30 pcs. Face Mask Re-usable/Re-washable Bacterial filtration efficiency (BFE) Cottony Cloth With tie on or earloop Color: Black 2. 55 boxes Face Mask 3 ply cotton Disposable 50’s 3. 50 pcs. Normal Saline Solution 0.9% NaCl for wound irrigation 1L 4. 50</t>
  </si>
  <si>
    <t xml:space="preserve"> Procurement of Hardware &amp; Construction Materials for the Construction of Various Infra Projects, Vintar, Ilocos Norte</t>
  </si>
  <si>
    <t xml:space="preserve"> I N V I T A T I O N T O B I D   The Visayas State University through its Bids and Awards Committee (BAC), invites suppliers/manufacturers/distributors to apply for eligibility and to bid for the hereunder project: Name of Project : Completion of Covered C</t>
  </si>
  <si>
    <t xml:space="preserve"> Aggregate Sub-base course Aggregate base course Portland cement concrete pavement etc</t>
  </si>
  <si>
    <t xml:space="preserve"> PIAO-NC-2020-0417 PR2020-0556 REQUEST FOR QUOTATION FOR THE PROCUREMENT OF DESKTOP COMPUTERS FOR USE AT THE PROVINCIAL INTERNAL AUDIT OFFICE COST OF CANVASS: P 150.00</t>
  </si>
  <si>
    <t xml:space="preserve"> The DPWH-Regional Office I, through its Bids and Awards Committee (BAC), invites contractors to submit bids for the following Contract: Contract ID: 21A00011 Contract Name: Retrofitting/Strengthening of Permanent Bridges, Quiray Bridge (B04488LZ) along Pa</t>
  </si>
  <si>
    <t xml:space="preserve"> REF. No: INFRA-2020-01                                                                                                     Republic of the Philippines                                                          Province of Southern Leyte                     </t>
  </si>
  <si>
    <t xml:space="preserve"> Republic of the Philippines Province of Masbate Municipality of Claveria Supply and Delivery of Risograph Machine The MLGU-Claveria, Masbate, through the General Fundintends to apply the sum of Five Hundred Forty Thousand Pesos (Php 540,000.00) being the </t>
  </si>
  <si>
    <t xml:space="preserve"> Republic of the Philippines                                                                   PROVINCE OF SAMAR                                                                    INVITATION TO BID                                                           </t>
  </si>
  <si>
    <t xml:space="preserve"> The Bids and Awards Committee								 Province of Iloilo								 								      In connection with your Invitation to Bid No. PEO-20-0927-B (Rebid) scheduled on September 4, 2020, I/we proposed to furnish and deliver in conformity with the terms and condit</t>
  </si>
  <si>
    <t xml:space="preserve"> Supply and Delivery of Materials Including Installation and Fabrication of Partition of Multi-Purpose Brgy. Hall Phase II of BLGU Doña Josefa, Laak, Davao De Oro with an ABC of Php. 60,000.00. Note: For further details of the said project, please see/cont</t>
  </si>
  <si>
    <t xml:space="preserve"> REPRODUCTION AND DELIVERY OF LEARNING MODULES FOR GRADE III, GRADE IV, GRADE V, AND GRADE VI. Details:  Grade III (31,872 modules), Grade IV (24,064 modules), Grade V (31,936 modules) and Grade VI (31,480 modules) in back to back printing in which 10 page</t>
  </si>
  <si>
    <t xml:space="preserve"> The Department of Education Cebu City Division, Through its Bids and Awards Committee (BAC), invites suppliers/manufacturers/distributors/contractors to apply for eligibility and to bid for the hereunder project: Name of the Project: Supply and Delivery o</t>
  </si>
  <si>
    <t xml:space="preserve"> 2         PCS      MEDALS 18       PCS       MEDALS 12       PCS       MEDALS 2         PCS       PLAQUES 20        PCS       CERTIFICATE HOLDERS (TOESPC/TOSHSSC) 20        PCS       CERTIFICATE HOLDERS (ADVISER) 20        PCS       CERTIFICATE HOLDERS (S</t>
  </si>
  <si>
    <t xml:space="preserve"> BEMO-NC-2020-0458 REQUEST FOR QUOTATION FOR THE PROCUREMENT OF HIRING OF THIRD PARTY CERTIFICATION BODY TO ASSESS THE EFFECTIVENESS OF THE EMS IMPLEMENTATION OF THE PGBH IN CONFORMANCE TO THE REQUIREMENTS OF ISO14001:2015 STANDARD COST OF CANVASS: P 500.0</t>
  </si>
  <si>
    <t xml:space="preserve"> 1.	In view of the two (2) failed public biddings , the Environmental Management Bureau Region II invites consultants to participate in the negotiation for the project, “Air Dispersion Modelling for the PIESTTA Airshed” in accordance with section 53.1 of t</t>
  </si>
  <si>
    <t xml:space="preserve"> 1.	The Provincial Government of Batanes, through 5% Calamity Fund intends to apply the sum of Two Hundred Fifty Thousand Pesos Only (₱ 250,000.00), being the Approved Budget for the Contract (ABC) to payments under the contract for Supply and Delivery of </t>
  </si>
  <si>
    <t xml:space="preserve"> Republic of the Philippines MUNICIPALITY OF ECHAGUE Province of Isabela INVITATION TO BID FOR  THE  PROCUREMENT OF  GOAT AND SHEEP  ( INCLUDE SKILLS TRAINING) 1.	The Local Government Unit , through  the  DA   FUND(Grant)   AND LGU  FUND  Of  2020  intends</t>
  </si>
  <si>
    <t xml:space="preserve"> Procurement of Fuels</t>
  </si>
  <si>
    <t xml:space="preserve"> The DPWH-Regional Office I, through its Bids and Awards Committee (BAC), invites contractors to submit bids for the following Contract: Contract ID: 21A00010 Contract Name: Retrofitting/Strengthening of Permanent Bridges, Pasaleng Bridge (B00550LZ) along </t>
  </si>
  <si>
    <t xml:space="preserve"> SUPPLY AND DELIVERY OF MATERIALS</t>
  </si>
  <si>
    <t xml:space="preserve"> INVITATION TO BID SUPPLY AND DELIVERY OF CHRISTMAS LIGHTS (1.30M X 1.80M @ 800BULB, 50W) 1.	The Local Government Unit of Cabadbaran City through the GENERAL FUND intends to apply the sum of ONE HUNDRED TWELVE THOUSAND FOUR HUNDRED PESOS ONLY (P 112,400.00</t>
  </si>
  <si>
    <t xml:space="preserve"> Vertical filing cabinet ST001 475W x 600D x 720H Mobile pedestal cabinet PM009 400W x 500D x 600H Sliding door cupboards ST013 Open shelf cupboards ST018 916(W) x 460D x 1830H Jeff office desk Calix 3 seater Gang chair McCoy high back chair McCoy low back</t>
  </si>
  <si>
    <t xml:space="preserve"> Republic of the Philippines DEPARTMENT OF PUBLIC WORKS AND HIGHWAYS ILOILO 4TH  DISTRICT ENGINEERING OFFICE REGIONAL OFFICE VI Bolong Este, Sta. Barbara, Iloilo INVITATION   TO   BID   FOR   THE   SUPPLY/DELIVERY OF FUEL FOR USE OF SERVICE VEHICLES ASSIGN</t>
  </si>
  <si>
    <t xml:space="preserve"> LED Street Lights 50 watts with Photo Cell LED Road Lights 150 watts Globe Lights 150 watts Electrical Tape 3M Wire #16 Switch</t>
  </si>
  <si>
    <t xml:space="preserve"> Republic of the Philippines Region XII Province of Cotabato City of Kidapawan OFFICE OF THE BIDS AND AWARD COMMITTEE August 19, 2020 INVITATION TO BID FOR  SUPPLY AND DELIVERY OF MEDICAL SUPPLIES FOR THE USE OF THE KIDAPAWAN CITY HOSPITAL, KIDAPAWAN CITY </t>
  </si>
  <si>
    <t xml:space="preserve"> Republic of the Philippines Province of Negros Oriental City of Guihulngan Bids and Awards Committee INVITATION TO BID (ITB No. PB2020-067) The  City of  Guihulngan, through its Bids and Awards Committee (BAC), invites contractors registered with and clas</t>
  </si>
  <si>
    <t xml:space="preserve"> OPA-ADMIN-NC-2020-0415 PR2020-0553 REQUEST FOR QUOTATION FOR THE PROCUREMENT OF DIESEL AND GASOLINE FOR USE IN THE OFFICE SERVICE VEHICLES FOR THE MONITORING/EVALUATION, TRANSPORT AGRICULTURAL INPUTS OF THE AGRI FISHERY PROGRAMS AND PROJECTS IN SUPPORT TH</t>
  </si>
  <si>
    <t xml:space="preserve"> 2         UNITS        MULTI FUNCTION PHOTOCOPIER, PRINTER, SCANNER                              UP TO A3                                 -AUTOMATIC DUPLEX                                 - FAX AND ADF CAPABILITY                                 - ETHERNET</t>
  </si>
  <si>
    <t xml:space="preserve"> 2nd Posting. Please download PDF @ associated components for more information.</t>
  </si>
  <si>
    <t xml:space="preserve"> Request for Quotation for the Procurement of Agricultural Supplies to be used as Inputs for the implementation of the project “Community-based Participatory Action Research..” 1.	The Department of Agriculture-Regional Field Office 7 (DA-RFO 7), through th</t>
  </si>
  <si>
    <t xml:space="preserve"> IMPROVEMENT OF DRAINAGE Invitation to Bid for 1.	The BLGU Sto Tomas Camaligan, Cam. Sur, through the 20% EDF from 2020 intends to apply the sum of  One hundred Sixty thousand Three Hundred Thirty Six Pesos &amp; 95/100 (P 160,336.95) being the Approved Budget</t>
  </si>
  <si>
    <t xml:space="preserve"> 1 Lot PROCESSING GOODS, EQUIPMENT AND MATERIALS</t>
  </si>
  <si>
    <t xml:space="preserve"> The Department of Public Works and Highways-Regional Office I, through its Bids and Awards Committee (BAC) for Goods, invites suppliers to submit bids for the following Contract: Contract ID: 20GA00005 Contract Name: Purchase and Delivery of Various Heavy</t>
  </si>
  <si>
    <t xml:space="preserve"> The Bids and Awards Committee								 Province of Iloilo								 								      In connection with your Invitation to Bid No. PEO-20-0898 B (Rebid) scheduled on September 4, 2020, I/we proposed to furnish and deliver in conformity with the terms and condit</t>
  </si>
  <si>
    <t xml:space="preserve"> 280 bags portland cement 40kg. 16 cu. m. washed sand 32 cu. m. coarsed gravel 13 lengths 12mm. dia.x6m deformed bars 2 pcs. hacksaw blade 8 kgs. assorted nails 8 liters asphalt filler</t>
  </si>
  <si>
    <t xml:space="preserve"> Republic of the Philippines Province of Negros Oriental City of Guihulngan Bids and Awards Committee INVITATION TO BID (ITB No. PB2020-066) The  City of  Guihulngan, through its Bids and Awards Committee (BAC), invites contractors registered with and clas</t>
  </si>
  <si>
    <t xml:space="preserve"> Republic of the Philippines Province of Negros Oriental City of Guihulngan Bids and Awards Committee INVITATION TO BID (ITB No. PB2020-064) The  City of  Guihulngan, through its Bids and Awards Committee (BAC), invites contractors registered with and clas</t>
  </si>
  <si>
    <t xml:space="preserve"> * DVR 16 Channels * 10 units Bullet Camera * 20 pcs BNC Connectors * 1 unit AVR 1,000 watts * 10 units 12v 1amps PS * 10 pcs Single Outlet * 10 pcs Square Box * 1 unit HDD 4TB * Bracket * 40" Monitor</t>
  </si>
  <si>
    <t xml:space="preserve"> 4         PCS        3SMF BATTERY, 12VOLTS 2         PCS        AIR CLEANER ELEMENT, CANTER 1         PC          CLUTCH PRESSURE DISC 1         PC          CLUTCH DISC</t>
  </si>
  <si>
    <t xml:space="preserve"> Republic of the Philippines Province of Nueva Vizcaya BIDS AND AWARDS COMMITTEE (BAC-Goods) BAC OFFICE, Provincial Capitol, Bayombong, Nueva Vizcaya Tel. No. 078-392-2062 	 (2ND) INVITATION TO BID FOR THE SUPPLY &amp; DELIVERY OF1 UNIT PHOTOCOPIER   FOR THE  </t>
  </si>
  <si>
    <t xml:space="preserve"> INVITATION TO BID SUPPLY AND DELIVERY OF VARIOUS LED ROPE LIGHTS 1.	The Local Government Unit of Cabadbaran City through the GENERAL FUND intends to apply the sum of FOUR HUNDRED FIFTY-FIVE THOUSAND FIVE HUNDRED PESOS ONLY (P 455,500.00) being the Approve</t>
  </si>
  <si>
    <t xml:space="preserve"> Republic of the Philippines City Government of Cotabato BIDS AND AWARDS COMMITTEE Cotabato City INVITATION TO BID  FOR THE PURCHASE OF  RESCUE VEHICLES 1.	The City Government of Cotabato, through the Local Risk Reduction Development intends to apply the s</t>
  </si>
  <si>
    <t xml:space="preserve"> Republic of the Philippines Province of Negros Oriental City of Guihulngan Bids and Awards Committee INVITATION TO BID (ITB No. PB2020-068) The  City of  Guihulngan, through its Bids and Awards Committee (BAC), invites contractors registered with and clas</t>
  </si>
  <si>
    <t xml:space="preserve"> Republic of the Philippines PROVINCE OF SURIGAO DEL NORTE MUNICIPALITY OF TAGANA-AN Office of the Barangay Captain Brgy. Talavera, Surigao del Norte Invitation to bid for Solar Street Lighting BGRY. TALAVERA, TAGANA-AN, SURIGAO DEL NORTE 1.	 	The BARAGAY </t>
  </si>
  <si>
    <t xml:space="preserve"> Republic of the Philippines PROVINCE OF AKLAN Kalibo -oOo- BIDS AND AWARDS COMMITTEE (BAC) INVITATION TO BID 1.	The Provincial   Government   of   Aklan, through   20% IRA Development Fund CY 2020 intends   to   apply   the   sum   of  Two Million Nine Hu</t>
  </si>
  <si>
    <t xml:space="preserve"> PHO-NC-2020-157 PR2020-216 REQUEST FOR QUOTATION FOR THE PROCUREMENT OF LIQUIFIED PETROLEUM GAS FOR USE AT DIETARY SECTION, GMPH, TALIBON, BOHOL COST OF CANVASS: P 150.00</t>
  </si>
  <si>
    <t xml:space="preserve"> ALCOHOL, ethyl, 68%-70%, scented, 500ml (-5ml)	50	bottle	43.99 STAMP PAD INK, purple or violet	32	bottle	24.63 PAPER, Multi-Purpose (COPY) A4, 70 gsm	80	ream	114.51 PAPER, Multi-Purpose (COPY) Legal, 70 gsm	30	ream	129.98 RECORD BOOK, 500 PAGES, size: 214</t>
  </si>
  <si>
    <t xml:space="preserve"> 100 pax Meals, Venue and Accommodation   Php. 300,000.00 1 pc. Tarpaulin 3x4    Php. 384.00 Various Supplies        Php. 9,622.00 Please quote your lowest price inclusive of VAT on the item/s listed below, subject to the Terms and Conditions of this RFQ a</t>
  </si>
  <si>
    <t xml:space="preserve"> Supply and Delivery of Materials for the Construction of Materials Recovery Facility at Purok 2 of BLGU Doña Josefa, Laak, Davao De Oro with an ABC of Php. 29,666.00.  Note: For further details of the said project, please see/contact Hon. Renato S. Limbin</t>
  </si>
  <si>
    <t xml:space="preserve"> Republic of the Philippines MUNICIPALITY OF ECHAGUE Province of Isabela INVITATION TO BID FOR  THE  PROCUREMENT OF  FACE  MASKS 1.	The Local Government Unit , through  the  GENERAL   FUND  Of  2020  intends to apply the sum of  FOUR  HUNDRED FIFTY  THOUSA</t>
  </si>
  <si>
    <t xml:space="preserve"> Cebu Technological University-Tuburan Campus invites interested bidder to submit one (1) LOT quotation for the following items: Conzace	1500 cap	22,500.00 Multivitamins+Minerals	1000 tab	8,000.00 enervon C (flex)	2000 tab	18,000.00 Immunopro	2000 tab	22,0</t>
  </si>
  <si>
    <t xml:space="preserve"> Supply and Delivery of Assorted Computer Equipments/Supplies</t>
  </si>
  <si>
    <t xml:space="preserve"> Invitation to Bid The LGU of Hindang, Leyte through its Bids and Awards Committee (BAC) invites the PhilGEPS registered suppliers to apply to bid for the Supply and Delivery of Bond Paper and Printer Ink. Specifications: 1. 255 ream Bond Paper A4 2. 14 se</t>
  </si>
  <si>
    <t xml:space="preserve"> For further details, please see attached Program of Works in the associated components.</t>
  </si>
  <si>
    <t xml:space="preserve"> SDI of Steel Grill with Expanded Metal Screen and Exhaust Fan at Armory Room per BSP specifications , Terms of Reference &amp;Scope of Work (SOW)</t>
  </si>
  <si>
    <t xml:space="preserve"> Republic of the Philippines PROVINCE OF ZAMBOANGA SIBUGAY Municipality of Roseller T. Lim OFFICE OF THE BAC CHAIRMAN Barangay Mabini INVITATION TO BID 						August 18, 2020 To All Interested Bidders: Notice is hereby served that sealed bid be received for</t>
  </si>
  <si>
    <t xml:space="preserve"> 1 Lot HARDWARE AND CONSTRUCTION MATERIALS</t>
  </si>
  <si>
    <t xml:space="preserve"> One (1) job Furnishing of Labor and Materials for the Construction of Drainage and Sidewalk- Southbound Terminal at Brgy. Tabucan, Dumangas, Iloilo (Rebidding)</t>
  </si>
  <si>
    <t xml:space="preserve"> PHO-NC-2020-158 PR2020-217 REQUEST FOR QUOTATION FOR THE PROCUREMENT OF LAPTOP COMPUTER, EXTERNAL DRIVE, AND FLASH DRIVE FOR THE USE OF THE BHW PROGRAM COST OF CANVASS: P 150.00</t>
  </si>
  <si>
    <t xml:space="preserve"> 1        UNIT      LAPTOP                          OPERATING SYSTEM: WINDOWS 10                          PROCESSOR: INTER CORE i3-6006u 2.00GHz                          PROCESSOR: (3M CACHE 2.00 GHz)                          MEMORY: 4GB DDR SDRAM         </t>
  </si>
  <si>
    <t xml:space="preserve"> 1 unit Aluminum Folding Ladder 12 steps 1 set Harness: (full body) 5 pcs Solar Flood Light 120w with Lamp 2 pcs Life Buoy Ring 10 pcs Bolo Knife (Heavy Duty) 1 set Wrench Set, Adjustable Wrench, Pliers and Cutters Tool Box 1 set Screw Driver 1 pc Static R</t>
  </si>
  <si>
    <t xml:space="preserve"> Republic of the Philippines Province of Negros Oriental City of Guihulngan Bids and Awards Committee INVITATION TO BID (ITB No. PB2020-069) The  City of  Guihulngan, through its Bids and Awards Committee (BAC), invites contractors registered with and clas</t>
  </si>
  <si>
    <t xml:space="preserve"> SUPPLY AND INSTALLATION OF SWING DOORS USING REFLECTIVE BLUE 6MM THICK ON ANALOK FRAME 32W X 32H 62 1/2W X 31 1/2H 63 1/2W X 48H 63 1/2W X 48 1/2H 70W X 83H-DOUBLE SWING DOOR INSTALLATION OF ONE WAY BLUE TINT ONLY 34 X 63 1/4 33 X 84 139 X 25 SUPPLY AND I</t>
  </si>
  <si>
    <t xml:space="preserve"> One (1) Lot - Repair of Security Desk Counter at Lobby Area of BSP Dagupan Branch per BSP specifications, Terms of Reference (TOR) &amp; Scope of Work (SOW)</t>
  </si>
  <si>
    <t xml:space="preserve"> Invitation to Bid for Improvement of Multi-Purpose Building 3 and 4 at Barangay Natan  1.	The Barangay Natan, Diplahan, Zamboanga Sibugay, through the Barangay Funds intends to apply the sum of Sixty-four Thousand Six Hundred Eighty-six Pesos 45/100 only </t>
  </si>
  <si>
    <t xml:space="preserve"> One (1) job Furnishing of Labor and Materials for the Improvement of Flooring of the New MSWDO Office and BPLO at Dumangas, Iloilo</t>
  </si>
  <si>
    <t xml:space="preserve"> Item No.	Qty	DESCRIPTION				Unit 						 1	10	Paint Latex/ White/ Semi- Gloss/ Triton				Gals. 2	 1/4	Tinting Color Thalo Blue				Quart 3	 1/4	Tinting Color Hansa Yellow				Quart 4	10	Paint Roller Ordinary 7''				Pcs. 5	8	Paint Roller Ordinary 2''				Pcs. </t>
  </si>
  <si>
    <t xml:space="preserve"> Security Services Provider of Three (3) Security Guards at DepEd RO-IX, Balintawak, Pagadian City			 3 Shift @ 8 hours per Security Guard			 Morning Duty - Female			 Php 15,000.00/personnel/month			 Requirements:			 1. Security Agency			 PhilGEPS Certific</t>
  </si>
  <si>
    <t xml:space="preserve"> For conducting follow-ups and official business of CBO personnel.</t>
  </si>
  <si>
    <t xml:space="preserve"> Rehabilitation of Protection Wall at Purok Maliwanag Zone 3, Inaban, Dupax del Norte, Nueva Vizcaya. For further details, please see attached Program of Works in the associated components.</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</si>
  <si>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</si>
  <si>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Purchase of Solar Streets Lights.</t>
  </si>
  <si>
    <t xml:space="preserve"> Brand Approved Budget Contract per Item Name and Description of the Article / sUnitQTY.ITEM NO. P.R. No. :City Health Office - Anti Smoking 2020-08-3057 Date: 08/05/2020 Date: 15,600.00Tarpaulin 1x1.5 (Graphic Health Warning)Piece8001 15,600.00Tarpaulin 1</t>
  </si>
  <si>
    <t xml:space="preserve"> The Ministry of Human Settlements and Development-BARMM, through the BARMM Appropriation Act 2020, intends to apply the sum of Nineteen Million Two Hundred Ninety Thousand Five Hundred Fifty Nine Pesos and 20/100 (Php 19, 290,559.20)  being the Approved B</t>
  </si>
  <si>
    <t xml:space="preserve"> Printer  Functions: PRINT, SCAN, COPY Printer Type: Inkjet Printer Print speed: 12/10 ipm Paper type: Plain, Inkjet, Glossy (cast/resin)	1 pc Laptop Notebook Slip type SSD 256 CPU: core i5 Processor Model: Intel Core i5-8300H RAM: 4GB Memory Type: DDR4 Me</t>
  </si>
  <si>
    <t xml:space="preserve"> Republic of the Philippines Province of Negros Oriental City of Guihulngan Bids and Awards Committee INVITATION TO BID (ITB No. PB2020-070) The  City of  Guihulngan, through its Bids and Awards Committee (BAC), invites contractors registered with and clas</t>
  </si>
  <si>
    <t xml:space="preserve"> Drilling Rig Works, Electrical Plugging of Boreholes, Well Design (Installation of Casing GI Pipe), Air Lifting and Pump Test, Re-Installation/Installation of Pump/Pipe, Sealing/Grouting</t>
  </si>
  <si>
    <t xml:space="preserve"> Use for the Department of Public Services Garbage Collectors, Street Cleaners and etc.,</t>
  </si>
  <si>
    <t xml:space="preserve"> INVITATION TO BID SUPPLY AND DELIVERY OF VARIOUS LED STRING LIGHTS 1.	The Local Government Unit of Cabadbaran City through the GENERAL FUND intends to apply the sum of ONE MILLION EIGHT HUNDRED FOURTY-SEVEN THOUSAND EIGHT HUNDRED TWENTY PESOS ONLY (P 1,84</t>
  </si>
  <si>
    <t xml:space="preserve"> Republic of the Philippines Province of Masbate Municipality of Claveria Supply and Delivery of Licensed Repeater and  Hand Held Radio The MLGU-Claveria, Masbate, through the General Fundintends to apply the sum of Eight Hundred Thirty Thousand Pesos (Php</t>
  </si>
  <si>
    <t xml:space="preserve"> For Repair &amp; Maintenance of various Cebu City (Office Building).</t>
  </si>
  <si>
    <t xml:space="preserve"> Republic of the Philippines PROVINCE OF AKLAN Kalibo -oOo- BIDS AND AWARDS COMMITTEE (BAC) INVITATION TO BID 1.	The Provincial   Government   of   Aklan, through   20% IRA Development Fund CY 2020 intends   to   apply   the   sum   of  Six Million Eight H</t>
  </si>
  <si>
    <t xml:space="preserve"> Republic of the Philippines  Province of Cebu Municipality of Boljoon INVITATION TO BID FOR the Procurement of Medicines 1.	The Municipality of Boljoon, through the Financial Assistance in the amount of One hundred fifty thousand pesos (P 150,000.00) bein</t>
  </si>
  <si>
    <t xml:space="preserve"> Republic of the Philippines Region XII Province of Cotabato City of Kidapawan OFFICE OF THE BIDS AND AWARD COMMITTEE August 19, 2020 INVITATION TO BID FOR  SUPPLY AND DELIVERY OF TRIPLE BAGS FOR THE USE OF THE KIDAPAWAN CITY BLOOD CENTER, KIDAPAWAN CITY  </t>
  </si>
  <si>
    <t xml:space="preserve"> Contract ID:	20FH0108 Contract Name:	REPAIR/MAINTENANCE OF SLOPE PROTECTION ALONG JCT. BATO-BARAS ROAD SECTION, (K0020+500 – K0020+700) AT INTERMITTENT SECTION, TILOD, BARAS, CATANDUANES Contract Location:	TILOD, BARAS, CATANDUANES Scope of Work:	45 L.M. </t>
  </si>
  <si>
    <t xml:space="preserve"> Republic of the Philippines Cordillera Administrative Region Mountain Province MUNICIPALITY OF TADIAN OFFICE OF THE BIDS AND AWARDS COMMITTEE INVITATION TO BID FOR PROCUREMENT OF BARANGAY QUARANTINE FACILITY CONSTRUCTION MATERIALS – CLUSTER 1 Date: August</t>
  </si>
  <si>
    <t xml:space="preserve"> 1		construction foreman 2		skilled laborers 3		common laborers 		 		 		 		 ITEM NO.		WORK BREAKDOWN II.		FORMWORKS 		 ITEM NO.		MATERIALS 1		2"x3"x12' coco lumber - 50 2		2"x2"x12' coco lumber - 10 3		marine plywood 1/4 4		assorted cwn 		 		 ITEM NO.		LAB</t>
  </si>
  <si>
    <t xml:space="preserve"> 10       UNITS    SWIVEL OFFICE CHAIRS</t>
  </si>
  <si>
    <t xml:space="preserve"> Portland cement	69 bags Graded gravel	6 m3 Sand	6 m3 4” x 8” x 16 CHB	490 pcs 4” x 8” x 8’ coco lumber	10 pcs 10mm ø RSB	75 pcs 12 mm ø RSB	39 pcs #16 Tie Wire	9 kgs ¼ ordinary plywood	5 pcs 1” CWN	2 kgs 2 ½” CWN	2 kgs 3” CWN	2 kgs 4” CWN	2 kgs Hacksaw bl</t>
  </si>
  <si>
    <t xml:space="preserve"> 8 unit Automated rain guage Components: *One (1) unit tipping bucket with cable terminated via connector compatible to datalogger *One (1) unit solar panel (30 watts) with holder and brackets *One(1) Controller Box Assembly inside shall store the ff: -One</t>
  </si>
  <si>
    <t xml:space="preserve"> Master Making Speed: B4/ 10" x 14" Scanning Method: Automatic Document Feeder (ADF) Resolution: 300 x 360 dpi Print speed: 130 ppm, 3 step adjustment Document size: 4" x 6" (101mm x 152.4mm) to 10.6" x 15.5" (270mm x 393mm) Scanning area: 9.84" x 13.77" (</t>
  </si>
  <si>
    <t xml:space="preserve"> Contract ID			:	20GEG0006					 Contract Name  			:	Supply/Delivery of Spare Parts for use in Various Maintenance Equipment 					 Contract Location			:	DPWH-Palawan 3rd DEO, Puerto Princesa City, Palawan					 Brief Description			:	Supply /Delivery of Vario</t>
  </si>
  <si>
    <t xml:space="preserve"> Maintenance of various city owned vehicles and equipment.</t>
  </si>
  <si>
    <t xml:space="preserve"> Republic of the Philippines PROVINCE OF ZAMBOANGA SIBUGAY Municipality of Roseller T. Lim OFFICE OF THE BAC CHAIRMAN Barangay Taruc INVITATION TO BID 						August 18, 2020 To All Interested Bidders: Notice is hereby served that sealed bid be received for </t>
  </si>
  <si>
    <t xml:space="preserve"> Republic of the Philippines Province of Negros Occidental CITY OF TALISAY INVITATION TO BID  Road Rehabilitation located at the following:  Lot 1) Hacienda Cataywa - Barangay Concepcion, Hacienda Esmeralda 3 - Barangay Katilingban, Hacienda Esmeralda 2 - </t>
  </si>
  <si>
    <t xml:space="preserve"> INVITATION TO BID CONSTRUCTION OF ROAD NETWORK FOR SANITARY LANDFILL FACILITY OF LGU BULUAN, MAGUINDANAO (ITB No. 04-CW-2020)</t>
  </si>
  <si>
    <t xml:space="preserve"> INVITATION TO BID 	  THE ILOILO SCIENCE AND TECHNOLOGY UNIVERSITY – MIAGAO CAMPUS, Miagao, Iloilo, invites interested Suppliers/Bidders to apply for eligibility and to bid for the hereunder project: Name of Project: 	Renovation and Repair of Food Technolo</t>
  </si>
  <si>
    <t xml:space="preserve"> 20GPG0003 - Purchase and Delivery of Information and Communication Technology Equipment/ Devices and Accessories for use of Planning and Design Section, DPWH - Ifugao First District Engineering Office</t>
  </si>
  <si>
    <t xml:space="preserve"> INVITATION TO BID IB No. 2020-009 BAC I SUPPLY, DELIVERY, INSTALLATION, TESTING AND COMMISSIONING OF BRAND-NEW BED/ PASSENGER ELEVATOR (RE-BID) 1.	The Baguio General Hospital &amp; Medical Center (BGHMC) through the Government of the Philippines (GOP)/ Hospit</t>
  </si>
  <si>
    <t xml:space="preserve"> ITEM NO. P.R. No. :City Mayor's Office - Admin Division 2020-08-3120 Date: 08/17/2020 Date: 135,000.00Room Accommodation, 5 rooms package per dayday27 1</t>
  </si>
  <si>
    <t xml:space="preserve"> Portland cement	52 bags Fine Sand	4.5 m3 Graded gravel (3/4” ø) 	5 m3 12 mm ø x 6m RSB	31 pcs #16 Tie Wire	23 kl 10mm ø 6m RSB	69pcs 4 x 8 x 16 CHB	535 pcs PVC Door 0.70 x 2.1m	1 set Panel door 0.80 x 2.1	 2 sets Stainless lavatory with P-trap &amp; strainer	</t>
  </si>
  <si>
    <t xml:space="preserve"> INVITATION TO BID FOR  Supply and Delivery of two (2) units Brand New  2020 6-Wheeler Truck with Customized Body  (LLFC-GAP-20-002) 1.	LBP Leasing and Finance Corporation (LLFC), through its Approved Budget for the Contract (ABC), approved by the its Boar</t>
  </si>
  <si>
    <t xml:space="preserve"> INVITATION TO BID SUPPLY AND DELIVERY OF MATERIALS FOR INSTALLATION OF LIGHTING POST AND ELECTRICAL WORKS 1.	The Balingasag Water District, through the Balingasag Water District Fund of 2020 intends to apply the sum of One Hundred Twenty Two Thousand Seve</t>
  </si>
  <si>
    <t xml:space="preserve"> 2         UNITS       ALL-IN-ONE COMPUTER                             INTEL CORE i5-8265U                              4GB RAM, 1TB HDD                             23.8" FHD DISPLAY                              NVIDIA GeFORCE MX 130-2GB                   </t>
  </si>
  <si>
    <t xml:space="preserve"> Supply, Delivery and Installation of Equipment, Tools and Machineries for Food Processing and Toll Packaging Emulsifier (Cacao and Peanut Grinding Machine),  1 unit Capacity of Hopper: 5 L Motor Speed: 2300 rpm Voltage: 220v, 60Hz Product Size: 45*45*80 c</t>
  </si>
  <si>
    <t xml:space="preserve"> CONSULTATION SERVICES To render the following functions: - lecture, workshop, food security plan write-up &amp; packaging Purpose: to serve as lecturer &amp; facilitator on food security planning workshop at Primea Hotel, Borongan City, Eastern Samar End-User: Of</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</si>
  <si>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</si>
  <si>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Contract ID:	20FH0107 Contract Name:	REPAIR/MAINTENANCE OF NATIONAL ROAD ALONG CATANDUANES CIRCUMFERENTIAL ROAD, PANGANIBAN-BAGAMANOC ROAD SECTION (K0060+000 – K0060+500) AT INTERMITTENT SECTION, PANGANIBAN-BAGAMANOC ROAD SECTION Contract Location:	PANGAN</t>
  </si>
  <si>
    <t xml:space="preserve"> Portland Cement 9mm dia. RSB Tie Wire Common Nails (Assorted) CHB 4"x8"x16' Sand Gravel</t>
  </si>
  <si>
    <t xml:space="preserve"> Request for Quotation for the Procurement of 300 bags Copra Meal needed for the DA SAAD Native Chicken Production Project in the Province of Bohol 1.	The Department of Agriculture-Regional Field Office 7 (DA-RFO 7), through the General Appropriations Act </t>
  </si>
  <si>
    <t xml:space="preserve"> Republic of the Philippines PROVINCE OF PANGASINAN BIDS AND AWARD COMMITTEE (BAC) Brgy. San Vicente , San Jacinto, Pangasinan Mobile No. 09384559325 INVITATION TO BID The Barangay San Vicente, San Jacinto, Pangasinan, though its Bids and Award Committee (</t>
  </si>
  <si>
    <t xml:space="preserve"> IMPROVEMENT OF FMR AT SITIO BANTOLINAO,BARANGAY PADIAY, SIBAGAT AGUSAN DEL SUR</t>
  </si>
  <si>
    <t xml:space="preserve"> Std. Form No.: SF-05	 										Revised on: July 28, 2005	 											 Republic of the Philippines											 City Government of Ormoc											 2nd /F New Ormoc City Hall Bldg., Ormoc City											      Tel. # (053) 255-2054  &amp; 560-8050 											   </t>
  </si>
  <si>
    <t xml:space="preserve"> Local Government Unit of Irosin						                                            GOOD 24-2020                 Supply &amp; Delivery of Hardware/Materials &amp; Rental of Equipment for the Rehabilitation of Tongdol, Caracdacan, Carriedo, Buenavista and San Julian-</t>
  </si>
  <si>
    <t xml:space="preserve"> Republic of the Philippines Province of Negros Oriental City of Guihulngan Bids and Awards Committee INVITATION TO BID (ITB No. PB2020-071) The  City of  Guihulngan, through its Bids and Awards Committee (BAC), invites contractors registered with and clas</t>
  </si>
  <si>
    <t xml:space="preserve"> 30        SACKS       CRUMBLE 45        SACKS       CRACK CORN 45        SACKS       PIGEON PELLET</t>
  </si>
  <si>
    <t xml:space="preserve"> 666 METERS LABOR COST OF EXCAVATION, BACKFILLING AND RESTORATION AT PUROK 5, BRGY. BALIGATAN, CITY OF ILAGAN, ISABELA</t>
  </si>
  <si>
    <t xml:space="preserve"> Correction tape	6 pc Clip (expanded)	6 pc Pentel pen	6 pc Ballpen	2 box Record book (500pages)	10 pc Tissue paper	10 roll Bond paper (long)	30 ream Bond paper (short)	60 ream Glass cleaner	2 bottle Pencil #2	1 box Masking tape #2	3 pc Expanded folder	2 pc</t>
  </si>
  <si>
    <t xml:space="preserve"> 130 packs 25kg Rice 50 boxes 100pcs/box Sardines 40 boxes 3 in 1 Twin pack Coffee box (14x200)</t>
  </si>
  <si>
    <t xml:space="preserve"> 1.	The Amang Rodriguez Memorial Medical Center (ARMMC), through its COVID Fund, intends to apply the sum of Four Million Seven Hundred Fifty Three Thousand Nine Hundred Twenty Pesos Only (PhP4,753,920.00) being the Approved Budget for the Contract (ABC) t</t>
  </si>
  <si>
    <t xml:space="preserve"> Supply and Delivery of Various Parts of Variable Refrigerant Flow (VRF): 2 Pcs - FCU Electronic Board, 4TR , Inverter Type 2 Pcs - FCU Indoor Blower Motor, 4TR, Inverter Type 2 Pcs - ACCU Master Outdoor Unit Fan Board</t>
  </si>
  <si>
    <t xml:space="preserve"> Blue Guards    2 Heads  TERMS OF REFERENCE I. JOB TITLE: Blue Guard (Security Services) II. BACKGROUND Bohol Island State University Clarin Campus, Poblacion Norte, Clarin, Bohol is located in the coastal area. Its northern property boundary runs parallel</t>
  </si>
  <si>
    <t xml:space="preserve"> Supply, Delivery and Installation of Water Filtration and Purification System Water Purification System, 1 set Must be DOH Accredited  Capacity: 2,000-3,000 GPD a) 24 stages Filtration and Purification Process b) Reverse Osmosis Membrane c) System Install</t>
  </si>
  <si>
    <t xml:space="preserve"> 1 	lot	One Lot Job for the furnishing of materials, labor and equipment including installation of  Microphone/Line Mixer, Power Amplifier, Passive Speakers, Roll-up Projector Screen, &amp; replacement of existing Audio Wires &amp; Cables. For the Replacement/Upgr</t>
  </si>
  <si>
    <t xml:space="preserve"> One (1) Lot - Repair of 1 Pair Movable Basketball Hoops of BSP Dagupan per BSP specifications, Terms of Reference and Scope of Work (SOW)</t>
  </si>
  <si>
    <t xml:space="preserve"> Supply and Delivery of Materials for the Construction of Multi-Purpose Building.</t>
  </si>
  <si>
    <t xml:space="preserve"> Contract ID			:	20GEG0007					 Contract Name  			:	Supply/Delivery of Office Equipment and Supplies for the use of Road Condition					 				and Inventory Surveys, Roughness Surveys, VOC/RUC Surveys and Technology					 				Enhancement for RBIA  CY-2020					</t>
  </si>
  <si>
    <t xml:space="preserve"> 1 unit Dual-powered solar dryer</t>
  </si>
  <si>
    <t xml:space="preserve"> PROJECT: CONSTRUCTION OF STEEL CANAL COVER  LOCATION: BARANGAY PANALICSICAN, CONCEPCION, TARLAC APPROVED BUDGET FOR THE CONTRACT: PHP 102,680.00 SOURCE OF FUND: 20% BDF The contract to be performed by the successful bidder shall be specified in the Techni</t>
  </si>
  <si>
    <t xml:space="preserve"> Procurement of Road Safety Devices and Supplies for the use of Planning and Design Section, DPWH Iloilo 2nd DEO, Balabag, Dumangas, Iloilo</t>
  </si>
  <si>
    <t xml:space="preserve"> RFQ (20-08-054) Enteral Nutrition for Cancer Patients 380g; Enteral Nutrition-Semi Elemental Nutrition with whey peptide or partiallt hydrolyzed protein</t>
  </si>
  <si>
    <t xml:space="preserve"> To supply equipment and accessories for the construction and installation of a community radio station for distant learning. NOTE : SUPPLIER MUST APPLY FOR A PERMIT WITH NATIONAL TELECOMMUNICATION ( NTC )</t>
  </si>
  <si>
    <t xml:space="preserve"> 1.	The Amang Rodriguez Memorial Medical Center (ARMMC), through its COVID Fund, intends to apply the sum of Thirty Million Three Hundred Thirty Eight Thousand Twenty Five Pesos Only (PhP30,338,025.00) being the Approved Budget for the Contract (ABC) to pa</t>
  </si>
  <si>
    <t xml:space="preserve"> Republic of the Philippines Department of Transportation LAND TRANSPORTATION OFFICE Region 1 San Fernando City, La Union  Invitation to Bid    Construction of New Office Building, Laoag City (LTO Laoag District Office) LTO-R1-2020B-001 1.	The Land Transpo</t>
  </si>
  <si>
    <t xml:space="preserve"> REQUEST FOR QUOTATION The Local Government Unit of Molave, through its Bids and Awards Committee, will undertake a Small Value Procurement for the Purchase of Various Office Furnitures to be Used in Dep-Ed- Molave East District Office in accordance with S</t>
  </si>
  <si>
    <t xml:space="preserve"> REQUEST FOR QUOTATION The Local Government Unit of Molave, through its Bids and Awards Committee, will undertake a Small Value Procurement for the Purchase of Various Merchandise and Kitchen Appliances to be Used in Dep-Ed- Molave East District Office in </t>
  </si>
  <si>
    <t xml:space="preserve"> The Municipality of Limay, through its Bids and Awards Committee (BAC) invites registered contractors to apply for eligibility and if found eligible, to bid for the hereunder project/contract: Project/Contract:REHABILITATION REPAINTING, FABRICATION AND IN</t>
  </si>
  <si>
    <t xml:space="preserve"> Republic of the Philippines PROVINCE OF AKLAN Kalibo -oOo- BIDS AND AWARDS COMMITTEE (BAC) INVITATION TO BID 1.	The Provincial   Government   of   Aklan, through   20% IRA Development Fund CY 2017 intends   to   apply   the   sum   of  One Million Nine Hu</t>
  </si>
  <si>
    <t xml:space="preserve"> Procurement of TABLET INVITATION TO BID (July 20, 2020) THE ILOILO SCIENCE AND TECHNOLOGY UNIVERSITY (ISAT U), Burgos Street,  La Paz, Iloilo City,  invites interested Suppliers/Bidders to apply for eligibility and to bid for the hereunder project: Name o</t>
  </si>
  <si>
    <t xml:space="preserve"> Three (3) unit Photocopier Machine L2540 and Fifteen (15) other line items.</t>
  </si>
  <si>
    <t xml:space="preserve"> School &amp; Office Supplies</t>
  </si>
  <si>
    <t xml:space="preserve"> Section I. Invitation to Bid FOR THE UPLB-S-053-09-20  SUPPLY AND DELIVERY OF BRANDED AND BRAND NEW AGRICULTURAL MACHINERY AND EQUIPMENT 1.	The UNIVERSITY OF THE PHILIPPINES LOS BAÑOS (UPLB), through the GOP intends to apply the sum of FIVE HUNDRED SIXTY-</t>
  </si>
  <si>
    <t xml:space="preserve"> 5       ROLLS       B-NET                            DOUBLE WIDTH (BLACK COLOR) 5       ROLLS        B-NET                             DOUBLE WIDTH (GREEN COLOR) 10     KGS            MONOFILAMENT NYLON #90mm</t>
  </si>
  <si>
    <t xml:space="preserve"> PLEASE DOWNLOAD THE ATTACHMENT/S FOR REFERENCE. Important Notes and Conditions: You can submit your quotation ON or BEFORE AUGUST 25, 2020 at 1:00 PM with the photocopy of the following legal documents: a. Mayor’s / Business Permit  b. PhilGEPS Registrati</t>
  </si>
  <si>
    <t xml:space="preserve"> Republic of the Philippines									 Province of Batangas									 City  of Sto. Tomas									 Barangay SAN RAFAEL									 									 									 INVITATION TO BID									 									 The Barangay Government of San Rafael, City of Sto. Tomas, Batangas throu</t>
  </si>
  <si>
    <t xml:space="preserve"> Invitation to Bid The LGU of Hindang, Leyte through its Bids and Awards Committee (BAC) invites the PhilGEPS registered Contractors to apply to bid for the Expansion of Level II Water Supply System of Brgy. Himacugo. Specifications: I. Mobilization/Demobi</t>
  </si>
  <si>
    <t xml:space="preserve"> Item No.	Qty	DESCRIPTION				Unit 						 1	7	Plastic Table, 4 Seaters, Good Quality, White				Pcs. 2	70	Plastic Chairs with Backrest, Good Quality, White				Pcs.</t>
  </si>
  <si>
    <t xml:space="preserve"> Republic of the Philippines  City of Canlaon Office of the Bids and Awards Committee  INVITATION TO BID FOR the DIGITAL PRODUCTION FOR THE PROMOTION OF CANLAON CITY The Local Government of Canlaon City, through Res. 53.6.1.e intends to apply the sum of Tw</t>
  </si>
  <si>
    <t xml:space="preserve"> Republic of the Philippines										 Department of Public Works and Highways										 OFFICE OF THE DISTRICT ENGINEER										 Cagayan Third District Engineering Office										 Tuguegarao City										 Name of Procuring Entity: 			DPWH-Cagayan Third</t>
  </si>
  <si>
    <t xml:space="preserve"> The National Housing Authority Region IX &amp; BARMM, through its Regional Office Bids and Awards Committee (ROBAC), intends to procure Office Furniture/Fixtures which will be undertaken in accordance with Section 53.9 of the 2016 Revised Implementing Rules a</t>
  </si>
  <si>
    <t xml:space="preserve"> 4                UNITS                  PRINTER                                                600X600 dpi RESOLUTION                                                MONOCHROME, USB CONNECTIVITY W/ SCANNER                                                16 </t>
  </si>
  <si>
    <t xml:space="preserve"> Republic of the Philippines CITY OF MALABON Metro Manila BIDS AND AWARDS COMMITTEE I N V I T A T I O N    T O    B I D SUPPLY AND DELIVERY OF DRUGS AND MEDICINES FOR  THE OSPITAL NG MALABON (3RD QUARTER) 1.	The City Government of Malabon, through the Gene</t>
  </si>
  <si>
    <t xml:space="preserve"> Republic of the Philippines CITY GOVERNMENT OF ORMOC  2nd /F New Ormoc City Hall Bldg.,Ormoc City Tel # (053) 255-2054 &amp; 560-8050 Local # 1126, 1127 &amp; 1123	      CB 41-________________________ INVITATION TO BID         The City Government of Ormoc, throug</t>
  </si>
  <si>
    <t xml:space="preserve"> The Municipality of President Roxas (MPR), through the 2020 Special Education Fund (SEF-Realignment), intends to apply the sum of Four Hundred Seventy Thousand Pesos (Php 470,000.00) being the Approved Budget for the Contract (ABC) to payments under the c</t>
  </si>
  <si>
    <t xml:space="preserve"> Republic of the Philippines CITY OF MALABON Metro Manila BIDS AND AWARDS COMMITTEE I N V I T A T I O N    T O    B I D SUPPLY AND DELIVERY OF GROCERY ITEMS FOR THE PROJECT  “FOOD FOR WORK PROGRAM 2020” 1.	The City Government of Malabon, through the Genera</t>
  </si>
  <si>
    <t xml:space="preserve"> Republic of the Philippines  Province of Cebu Municipality of Boljoon INVITATION TO BID FOR the purchase of I.T. Equipment 1.	The Municipality of Boljoon, through the General Fund, Mayors Office, SWO Capital Outlay, Capital Outlay PESO, MOOE 2020 in the a</t>
  </si>
  <si>
    <t xml:space="preserve"> REPUBLIC OF THE PHILIPPINES CITY GOVERNMENT OF OROQUIETA BIDS AND AWARD COMMITTEE City Hall, Oroquieta City                                                                                                                       August 18, 2020              </t>
  </si>
  <si>
    <t xml:space="preserve"> 336,230.00  CMO				 Executive Chair black leatherette		2	pcs	 Executive Chair black leatherette		1	pcs	 Vaccum cleaner heavy duty wet &amp; dry		1	unit	 				 CITY LEGAL OFFICE				 Executive table m 1.6m with side table		1	pc	  glass type black				 Executive c</t>
  </si>
  <si>
    <t xml:space="preserve"> 2        UNITS        DESKTOP COMPUTER                              - CORE i7 PROCESSOR                              -  16gb MEMORY DDR4                              -  1TB HDD                              -  MSI/GIGABYTE MOTHERBOARD                      </t>
  </si>
  <si>
    <t xml:space="preserve"> The DepED-CAR Regional Office through its Bids and Awards Committee (BAC), invites suppliers to quote for the project SUPPLY AND DELIVERY OF POSTERS FOR INFORMATION, EDUCATION AND COMMUNICATION MATERIALS ON LEARNERS AND SCHOOLS AS ZONES OF PEACE Quotation</t>
  </si>
  <si>
    <t xml:space="preserve"> SUPPLY AND DELIVERY OF OFFICE SUPPLY AT GOVERNOR EMILIO GASTON MEMORIAL ELEMENTARY SCHOOL (FREE DELIVERY)</t>
  </si>
  <si>
    <t xml:space="preserve"> Republic of the Philippines CITY OF MALABON Metro Manila BIDS AND AWARDS COMMITTEE I N V I T A T I O N    T O    B I D SUPPLY AND DELIVERY OF MEDICAL, DENTAL AND LABORATORY  SUPPLIES FOR THE OSPITAL NG MALABON (3RD QUARTER) 1.	The City Government of Malab</t>
  </si>
  <si>
    <t xml:space="preserve"> Republic of the Philippines SILAY CITY GOVERNMENT Zamora Street Silay City, Negros Occidental Telefax No. (034) 495-3746 	Control  Reference Number : GOODS#0160, ITB#0163,  PR#0528: SCG-2020 Name of the Project: Purchase of Gasoline Premium for use in Gov</t>
  </si>
  <si>
    <t xml:space="preserve"> INVITATION TO BID The Municipal Government of La Trinidad through the Bids and Awards Committee (BAC) invites contractors to bid for the hereunder project: Contract Reference No.: POW - 8751 - 2020 - PCO - 13 Name of Project: Improvement of Drainage Canal</t>
  </si>
  <si>
    <t xml:space="preserve"> SET FOR 8 CASKET				 117,862.00  				 Lawanit		8	pcs	 wood 1/2, 2 , 2 x 2 		8	pcs	 Stove bolt		8	set	 Welwood		8	pcs	 Brown glue		8	pcs	 Handle York		8	set	 Hinges		8	set	 Nail		8	kl	  Kalzomine		8	kl	 Lace		8	yard	 Gueiana Cloth		8	yard	 Paint		8	quart	 </t>
  </si>
  <si>
    <t xml:space="preserve"> The Municipality of San Mariano, Isabela invite bidders to participate in this procurement, Title: Concreting of Binatug-Luzcon Gangalan Road Section Including Cross Drainage Location: Brgy. Gangalan, San Mariano, Isabela Approved Budget: Php. 11,537,620.</t>
  </si>
  <si>
    <t xml:space="preserve"> The Department of Public Works and Highways Ilocos Norte Second District Engineering Office , through its Bids and Awards Committee (BAC) for Goods, invites suppliers to submit bids for the following Contract: Contract ID: 20GAB0005 Contract Name/Location</t>
  </si>
  <si>
    <t xml:space="preserve"> SUPPLY AND DELIVERY OF ONE (1) UNIT ENGINE TYPE/SD 16 FOR REPAIR OF SHANTUI BULLDOZER REPAIR</t>
  </si>
  <si>
    <t xml:space="preserve"> Request for Quotation: RFQ # 2008-795  1. 2,000 ltrs. Diesel Fuel  2. 1,100 ltrs. Gasoline</t>
  </si>
  <si>
    <t xml:space="preserve"> VARIOUS SIZES V-NECK T-SHIRT</t>
  </si>
  <si>
    <t xml:space="preserve"> Republic of the Philippines							 		Department of Agriculture							 		BUREAU OF PLANT INDUSTRY							                        		National Seed Quality Control Services							 		Cordillera Administrative Region							 	                      	BPI Compound, </t>
  </si>
  <si>
    <t xml:space="preserve"> Republic of the Philippines NATIONAL FOOD AUTHORITY Eastern Visayas Regional Office Pawing, Palo, Leyte INVITATION TO SUBMIT PRICE QUOTATION REPAIR OF COMFORT ROOM, WATER SYSTEM, KITCHEN AND DINING AREA AT GUIUAN, EASTERN SAMAR  (Small Value Procurement) </t>
  </si>
  <si>
    <t xml:space="preserve"> REQUEST FOR QUOTATION The Local Government Unit of Molave, through its Bids and Awards Committee, will undertake a Small Value Procurement for the Purchase of Various Appliances to be Used in DepEd-Molave East District Office in accordance with Section 53</t>
  </si>
  <si>
    <t xml:space="preserve"> MATERIALS FOR CONSTRUCTION OF FOOT BRIDGE 25 BAGS PORTLAND CEMENT 10 KLS G.I WIRE #16 4 CU.M SAND WASHED 7 CU.M GRAVEL WASHED 8 PC G.I PIPE 2" X6M 4 KLS WELDING ROD 60 PCS RSmm 30 pcs RSB 12mm 300 bd.ft COCOLUMBER 50-2X3X12 8 PCS ORD. PLYWOOD 2KL COMMON N</t>
  </si>
  <si>
    <t xml:space="preserve"> INVITATION TO BID The Municipal Government of La Trinidad through the Bids and Awards Committee (BAC) invites contractors to bid for the hereunder project: Contract Reference No.: POW - 8751 - 2020 - PCO - 07 Name of Project: Rehabilitation of Gutters and</t>
  </si>
  <si>
    <t xml:space="preserve"> Construction Supplies and Materials for ISS &amp; Center Director's Office **Please refer to an attached RFQ for the items *Note: Free Delivery at ATI-RTC 13, Los Angeles, Butuan City **Please see an attached document in ASSOCIATED COMPONENTS for the RFQ</t>
  </si>
  <si>
    <t xml:space="preserve"> Republic of the Philippines Province of Leyte Local Government Unit Bato, Leyte INVITATION TO BID SUPPLY AND DELIVERY OF VARIOUS MATERIALS FOR THE RENOVATION OF MUNICIPAL GROUND FLOOR-NORTH WING SIDE, BATO MUNICIPAL HALL, BATO, LEYTE (BATGOODS 2020-08-020</t>
  </si>
  <si>
    <t xml:space="preserve"> Republic of the Philippines City Government of Cotabato BIDS AND AWARDS COMMITTEE Cotabato City INVITATION TO BID  FOR THE PURCHASE OF  VARIOUS  MATERIALS FOR  DOLE INTEGRATED LIVELIHOOD EMERGENCY EMPLOYMENT PROGRAM 1.	The City Government of Cotabato, thr</t>
  </si>
  <si>
    <t xml:space="preserve"> Agricultural Products for FBS Extension Support **Please refer to an attached RFQ for the items **Please see an attached document in ASSOCIATED COMPONENTS for the RFQ</t>
  </si>
  <si>
    <t xml:space="preserve"> 150,780.00  75.5 X 20 X32h 4.5 MM U-SHAPE  Acrylic		1	pc	        chield for table top - Mayor				 60.5 x 13 x 35H  4.55 U shape acrylic shield		1	pc	     for table top- Vice Mayor				 56 24H 3MM I shape acrylic shield for 		1	pc	      table top- GSO				 6</t>
  </si>
  <si>
    <t xml:space="preserve"> Concreting of an average of 75lm X 2.0m X 0.15m for continuation of the other half of 4m Barangay road at sitio Pag-asa Lower, and an average of 50lm X 3.0m X 0.15m of sitio Paraiso, Ningning Upper, Bagong Silang and Pag-asa Upper.</t>
  </si>
  <si>
    <t xml:space="preserve"> The Local Government Unit of General Santos City, through the TRUST FUND CY 2020 intends to apply the sum of three hundred fifty-two thousand four hundred and xx / 100 Pesos Only (352,400.00) being the Approved Budget for the Contract (ABC) to payments un</t>
  </si>
  <si>
    <t xml:space="preserve"> INVITATION TO BID The Municipal Government of La Trinidad through the Bids and Awards Committee (BAC) invites contractors to bid for the hereunder project: Contract Reference No.: POW - 8751 - 2020 - ALA - 02 Name of Project: Construction of Flood Control</t>
  </si>
  <si>
    <t xml:space="preserve"> Printing/Reproduction of Modules for Kindergarten to Grade 6 size A4, Sub 20, 70gsm and must be arrange, with sorting and stapled and the printing must not be back to back.</t>
  </si>
  <si>
    <t xml:space="preserve"> Republic of the Philippines Province of Quirino MUNICIPALITY OF CABARROGUIS OFFICE OF THE BIDS AND AWARDS COMMITTEE Invitation to Bid for the  Dredging and Construction/ Extension of Flood Control Project Phase III along Dumatata Burgos, Cabarroguis, Quir</t>
  </si>
  <si>
    <t xml:space="preserve"> 1. Stone laid pathway from Aguid-omod-ok (Datil style)                                    292,889.90 2. Stone laid pathway w/in the end of concrete road at Batalao                          294,682.93      Going to Lamagan (Datil style)  3. Riprapping and </t>
  </si>
  <si>
    <t xml:space="preserve"> Brand Approved Budget Contract per Item Name and Description of the Article / sUnitQTY.ITEM NO. P.R. No. :City Mayor's Office - Admin Division 2020-08-3121 Date: 08/17/2020 Date: 305,500.00Room Accommodation, singleday2351 81,000.00Room Accommodation-full</t>
  </si>
  <si>
    <t xml:space="preserve"> Republic of the Philippines CITY GOVERNMENT OF ORMOC  2nd /F New Ormoc City Hall Bldg.,Ormoc City Tel # (053) 255-2054 &amp; 560-8050 Local # 1126, 1127 &amp; 1123	      CB 42-________________________ INVITATION TO BID         The City Government of Ormoc, throug</t>
  </si>
  <si>
    <t xml:space="preserve"> INVITATION TO BID  Public Bidding  CONTRACT FOR THE SUPPLY AND DELIVERY OF   ONE UNIT MOBILE RICE MILL/ROLLING CONO UNDER CRFP CY 2020 OF ARBDSP The DAR Southern Leyte, Disposal Committee, through its Bids and Awards Committee (BAC) invites interested bid</t>
  </si>
  <si>
    <t xml:space="preserve"> Republic of the Philippines MUNICIPALITY OF ECHAGUE Province of Isabela INVITATION TO BID FOR  THE  PROCUREMENT OF  COVID 19 RAPID ANTIBODY TEST KITS  1.	The Local Government Unit , through  the   GENERAL   FUND  OF 2020  intends to apply the sum of  ONE </t>
  </si>
  <si>
    <t xml:space="preserve"> Republic of the Philippines SILAY CITY GOVERNMENT Zamora Street Silay City, Negros Occidental Telefax No. (034) 495-3746 	Control  Reference Number : GOODS#0161, ITB#0164,  PR#0529: SCG-2020 Name of the Project: Purchase of DIESEL FUEL for use in all Gove</t>
  </si>
  <si>
    <t xml:space="preserve"> The Local Government Unit of General Santos City, through the GENERAL FUND CY 2020 intends to apply the sum of four hundred eighty-seven thousand five hundred ninety and xx / 100 Pesos Only (487,590.00) being the Approved Budget for the Contract (ABC) to </t>
  </si>
  <si>
    <t xml:space="preserve"> Republic of the Philippines Province of Camarines Norte MUNICIPALITY OF VINZONS BIDS AND AWARDS COMMITTEE (BAC) (Tel. # 446-63-09) 	 INVITATION TO BID FOR: Hardware Mtls. for the Rehabilitation of Drainage Canal with Cover Purok 4 (Calangcawan Sur)  1.	Th</t>
  </si>
  <si>
    <t xml:space="preserve"> Invitation to Bid  CONCRETING OF FARM-TO-MARKET ROAD (GIMANGPANG) 1.	The Municipal Government of Initao, Misamis Oriental, through its Development Fund, intends to apply the sum of EIGHT HUNDRED SIXTY EIGHT THOUSAND EIGHT HUNDRED THIRTY PESOS (Php 868,830</t>
  </si>
  <si>
    <t xml:space="preserve"> INVITATION TO BID The Municipal Government of La Trinidad through the Bids and Awards Committee (BAC) invites contractors to bid for the hereunder project: Contract Reference No.: POW - 8751 - 2020 - TWG - 02 Name of Project: Rehabilitation of Barangay Mu</t>
  </si>
  <si>
    <t xml:space="preserve"> Procurement of Vehicle Rental  		Conduct of Hybrid Rice Model Farm Cluster Farmer’s Field Day 		Date: October 27, 2020 6	unit	Iloilo City to Banate (vice versa) 2	unit	Dumalag to Banate (vice versa) 		Date: October 28, 2020 2	unit	Barbaza to Banate (vice </t>
  </si>
  <si>
    <t xml:space="preserve"> 1.IEC on capitol health update (1) month xxxxxxxxxxxx</t>
  </si>
  <si>
    <t xml:space="preserve"> Republic of the Philippines Province of Quirino MUNICIPALITY OF CABARROGUIS OFFICE OF THE BIDS AND AWARDS COMMITTEE Invitation to Bid for the  Project Development Initiative- Economic Sector Services at Cabarroguis, Quirino 1.	The Local Government Unit of</t>
  </si>
  <si>
    <t xml:space="preserve"> The Local Government Unit of General Santos City, through the TRUST FUND CY 2020 intends to apply the sum of one hundred three thousand seven hundred sixteen and xx / 100 Pesos Only (103,716.00) being the Approved Budget for the Contract (ABC) to payments</t>
  </si>
  <si>
    <t xml:space="preserve"> PR NO. 1285 – 20                                           CITY GOVERNMENT OF TACURONG                                               Alunan Highway, Tacurong City Sultan Kudarat                                      BIDS AND AWARDS COMMITTEE               </t>
  </si>
  <si>
    <t xml:space="preserve"> Procurement of supply and delivery of Catering Services 	 140	 pax	Conduct of Hybrid Rice Model Farm Cluster Farmer’s Field Day Date: October 27, 2020 – 1st Batch (70 pax)          October 28, 2020 – 2nd Batch (70 pax) Venue: Brgy. Bariga, Banate, Iloilo	</t>
  </si>
  <si>
    <t xml:space="preserve"> Republic of the Philippines DEPARTMENT OF PUBLIC WORKS AND HIGHWAYS CAGAYAN 2ND DISTRICT ENGINEERING OFFICE Regional Office II Abulug, Cagayan INVITATION TO BID FOR  CLUSTER NO. 2020-07-GOODS The DPWH -Cagayan 2nd District Engineering Office through the B</t>
  </si>
  <si>
    <t xml:space="preserve"> NAME OF THE PROJECT: Improvement of Evacuation Center  LOCATION OF THE PROJECT: Bgy. Ogod, Donsol, Sorsogon PROJECT REFERENCE NO.:  INFRA-PB-2020-020  Approved Budget for the Contract: ₱1,500,000.00  Source of Fund: 2020 Calamity Fund BRIEF DESCRIPTION OF</t>
  </si>
  <si>
    <t xml:space="preserve"> THE MUNICIPALITY OF PILAR THROUGH LGU BUDGET (TRUST FUND) WOULD LIKE TO PURCHASE THE FOLLOWING:           1. 230 PCS POLO SHIRTS WITH PRINT ASSORTED SIZES (EXTRA-SMALL, SMALL, MEDIUM, LARGE, EXTRA-LARGE DOUBLE XL , TRIPLE XL)</t>
  </si>
  <si>
    <t xml:space="preserve"> INVITATION TO BID The Municipal Government of La Trinidad through the Bids and Awards Committee (BAC) invites contractors to bid for the hereunder project: Contract Reference No.: POW - 8751 - 2020 - BKL - 05 Name of Project: Construction of Slope Protect</t>
  </si>
  <si>
    <t xml:space="preserve"> The Local Government Unit of General Santos City, through the TRUST FUND CY 2020 intends to apply the sum of three hundred fifty-three thousand and xx / 100 Pesos Only (353,000.00) being the Approved Budget for the Contract (ABC) to payments under the con</t>
  </si>
  <si>
    <t xml:space="preserve"> JOSE B. LINGAD MEMORIAL REGIONAL HOSPITAL City of San Fernando, Pampanga Tel. No. (045) 961-3921 Date: August 19, 2020 No. 2020 – 08 - 254-S REQUEST FOR QUOTATION (Name of Agency) (Address) Sir/Madam: Please quote your lowest price on the item/s listed be</t>
  </si>
  <si>
    <t xml:space="preserve"> JOSE B. LINGAD MEMORIAL REGIONAL HOSPITAL City of San Fernando, Pampanga Tel. No. (045) 961-3921 Date: August 19, 2020 No. 2020 – 08 - 255-S REQUEST FOR QUOTATION (Name of Agency) (Address) Sir/Madam: Please quote your lowest price on the item/s listed be</t>
  </si>
  <si>
    <t xml:space="preserve"> Republic of the Philippines  Province of Cebu Municipality of Boljoon Barangay Lower Becerril INVITATION TO BID FOR the Purchase of Materials for New Multi-Purpose Building 1.	The Barangay Lower Becerril, through the Re-alignment of 20% Devt. Fund CY 2016</t>
  </si>
  <si>
    <t xml:space="preserve"> INVITATION TO BID The Municipal Government of La Trinidad through the Bids and Awards Committee (BAC) invites contractors to bid for the hereunder project: Contract Reference No.: POW - 8751 - 2020 - PBN - 06 Name of Project: Improvement of FMR at Lower W</t>
  </si>
  <si>
    <t xml:space="preserve"> INVITATION TO BID Project NO.: I2020-08-01 CY 2020 Basic Educational Facilities Fund Repair of Classrooms Batch 2 1.	The Department of Education, Division of Bohol, through the General Appropriations Act CY 2020 Basic Educational Facilities Fund intends t</t>
  </si>
  <si>
    <t xml:space="preserve"> INVITATION TO BID The Municipal Government of La Trinidad through the Bids and Awards Committee (BAC) invites contractors to bid for the hereunder project: Contract Reference No.: POW - 8751 - 2020 - PCO - 08 Name of Project: Construction of Slope Protect</t>
  </si>
  <si>
    <t xml:space="preserve"> Invitation to Bid The LGU of Hindang, Leyte through its Bids and Awards Committee (BAC) invites the PhilGEPS registered Contractors to apply to bid for the Upgrading of Local Access Road. Specifications: I. Mobilization/Demobilization II. Project Billboar</t>
  </si>
  <si>
    <t xml:space="preserve"> Republic of the Philippines Province of Quirino MUNICIPALITY OF CABARROGUIS OFFICE OF THE BIDS AND AWARDS COMMITTEE Invitation to Bid for the  Construction of Power House of Evacuation Center at Municipal Compound, Cabarroguis, Quirino 1.	The Local Govern</t>
  </si>
  <si>
    <t xml:space="preserve"> Province of Leyte Municipality of Palo INVITATION TO BID FOR  Supply/Delivery of Photocopier Units for the District II of Palo, Leyte  Purchase Request No. 20-07-0422 1.	The Municipality of Palo, through the Special Education Fund (SEF) approved by the Sa</t>
  </si>
  <si>
    <t xml:space="preserve"> (PLEASE SEE ATTACHED ASSOCIATED COMPONENTS) please send Request for Quotation - msbslh14@gmail.com Contact Person:	MHELET BEÑALES (711-69-73)  Quotation must be submitted with company’s letter head. Stating Specification, unit cost and total amount offer.</t>
  </si>
  <si>
    <t xml:space="preserve"> 4	pcs.	Tire for ISUZU NKR Dropside body w/ Plate No. SLA-971 		Size : 7.50/15 LT 4	pcs.	Tire for ISUZU NQR71RL w/ Dumptruck body   		Size :  8.25/16 LT 4	pcs.	Tire for ISUZU Dropside and Telescopic crane 		Size :  8.25/16 LT 4	pcs.	Tire for ISUZU FRR90SL </t>
  </si>
  <si>
    <t xml:space="preserve"> Supply, Delivery and Installation of Equipment, Tools and Machinery for Food Processing and Toll Packaging Table Top Ginger Pulverizing Machine, 1 unit Dimension: 500x300x540mm Capacity: 5-10 kg/hr Grinding Trough Size: 175 x 80mm Rotation Rate of Motor: </t>
  </si>
  <si>
    <t xml:space="preserve"> Purchase of Fuel &amp; Lubricants.</t>
  </si>
  <si>
    <t xml:space="preserve"> Republic of the Philippines PROVINCE OF BUKIDNON Municipality of Sumilao ITB No. GS- 2020-45 NEGOTIATED PROCUREMENT – TWO FAILED COMPETITIVE PUBLIC BIDDING REQUEST FOR QUOTATION In view of the two (2) failed biddings, the  LGU Sumilao through its Bids and</t>
  </si>
  <si>
    <t xml:space="preserve"> PROCUREMENT OF THE FOLLOWING SERVICES: CONCRETING OF 60 LINEAR METERS x 2.5 METERS WIDTH x 0.15 METER BARANGAY ROAD. A, MATERIALS B. LABOR C. HAULING SERVICES FOR MORE DETAILS VISIT THE BARANGAY</t>
  </si>
  <si>
    <t xml:space="preserve"> The Municipality of Limay, through its Bids and Awards Committee (BAC) invites registered supplier to apply for eligibility and if found eligible, to bid for the hereunder project/contract: Project/Contract: SUPPLIES FOR INSTALLATION OF CABLE TRAY AND RE-</t>
  </si>
  <si>
    <t xml:space="preserve"> INVITATION TO BID The Municipal Government of La Trinidad through the Bids and Awards Committee (BAC) invites contractors to bid for the hereunder project: Contract Reference No.: POW - 8751 - 2020 - ALN - 04 Name of Project: Completion of Cell 3 Expansio</t>
  </si>
  <si>
    <t xml:space="preserve"> Republic of the Philippines Province of Quirino MUNICIPALITY OF CABARROGUIS OFFICE OF THE BIDS AND AWARDS COMMITTEE Invitation to Bid for the  Improvement of Potable Water System at Mangandingay, Cabarroguis, Quirino 1.	The Local Government Unit of Cabarr</t>
  </si>
  <si>
    <t xml:space="preserve"> Brand Approved Budget Contract per Item Name and Description of the Article / sUnitQTY.ITEM NO. P.R. No. :City Social Welfare and Development Office 2020-08-3085 Date: 08/12/2020 Date: 146,400.00 FAMILY CARD, US TAG BOARD , TWO SIDES PRINTING , FRONT: COL</t>
  </si>
  <si>
    <t xml:space="preserve"> 1.	The Provincial Government of Batanes, through the Provincial Appropriations Ordinance No. 03 series of 2019 intends to apply the sum of Sixty Five Thousand Pesos Only (₱ 65,000.00), being the Approved Budget for the Contract (ABC) to payments under the</t>
  </si>
  <si>
    <t xml:space="preserve"> Republic of the Philippines Region XII Province of Cotabato Municipality of Makilala OFFICE OF THE BIDS AND AWARD COMMITTEE REQUEST FOR QUOTATION (Small Value Procurement) Date: August 19, 2020 SVP # 2020-08-113 The MUNICIPALITY OF MAKILALA through its Bi</t>
  </si>
  <si>
    <t xml:space="preserve"> Republic of the Philippines Province of Ilocos Sur MUNICIPALITY OF MAGSINGAL Office of the Bids and Awards    Committee INVITATION TO BID FOR THE CONSTRUCTION OF FLOOD CONTROL The Municipality of Magsingal, through its Bids and Awards Committee (BAC), inv</t>
  </si>
  <si>
    <t xml:space="preserve"> INVITATION TO BID  The DPWH-Marinduque District Engineering Office, Boac, Marinduque, through its Bids and Awards Committee (BAC), invites contractors to submit bids for the following Contract:   Procurement ID/Contract ID:	20EA0059 Contract Name: Constru</t>
  </si>
  <si>
    <t xml:space="preserve"> PLEASE SEE ATTACHED REQUEST FOR QUOTATION FOR PRODUCT SPECIFICATIONS. THANK YOU</t>
  </si>
  <si>
    <t xml:space="preserve"> Procurement of Supply and Delivery of Office  Supplies  14	piece	HP Ink #680, black 15	piece	HP Ink #680, tricolor 15	piece	HP GT52, Cyan 15	piece	HP GT52, Magenta 15	piece	HP GT52, Yellow 14	piece	HP GT52, Black 10	piece	EPSON T673, Cyan 10	piece	EPSON T</t>
  </si>
  <si>
    <t xml:space="preserve"> FURNITURE &amp; FIXTURE</t>
  </si>
  <si>
    <t xml:space="preserve"> The Local Government Unit of General Santos City, through the GENERAL FUND CY 2020 intends to apply the sum of one hundred thirty-six thousand and xx / 100 Pesos Only (136,000.00) being the Approved Budget for the Contract (ABC) to payments under the cont</t>
  </si>
  <si>
    <t xml:space="preserve"> Printer  2 unit Inkjet L3150 Print, Scan, Copy Inkjet, Bi-Directional Printing 5760x1440 dpi maximum resolution Print speed: Up to 33ppm (black)/15ppm (colored) Copying Speed: Up to 7.7 ipm /3.8ipm Scanner: Flatbed Color Image scanner Optical Resolution: </t>
  </si>
  <si>
    <t xml:space="preserve"> Please download the attached bidding document for more info about the project. For further information, please refer to: Mrs. Maria Flora T. Pandes or Mrs. Herbie B. De Lemios  Department of Education-Schools Division Office Division of Camarines Norte F.</t>
  </si>
  <si>
    <t xml:space="preserve"> Description Republic of the Philippines Province of Ifugao Municipality of Asipulo BIDS AND AWARDS COMMITTEE INVITATION TO BID INFRASTRUCTURE PROJECTS The Municipal Government of Asipulo, through the Mun. Development Fund/Municipal Calamity Fund of 2020 i</t>
  </si>
  <si>
    <t xml:space="preserve"> Republic of the Philippines Province of Quirino MUNICIPALITY OF CABARROGUIS OFFICE OF THE BIDS AND AWARDS COMMITTEE Invitation to Bid for the  Project Development Initiative- Social Sector Services at Cabarroguis, Quirino 1.	The Local Government Unit of C</t>
  </si>
  <si>
    <t xml:space="preserve"> To All Eligible Suppliers: Please quote your lowest price on the item/s listed below, subject to the General Conditions, stating the shortest time of delivery and submit your quotation duly signed by your representative not later than the set deadline at </t>
  </si>
  <si>
    <t xml:space="preserve"> Ink, for Epson L3150, 65ml, color (C.Y.M) 6 set Ink for Epson L3150, 65ml, Black  10 btl HP Ink 680. Black  5 cart HP Ink 680, Tri-color  5 cart HP Laseriet 85A Toner, CE285A  6 cart Pls. submit your quotation thru email:  mi_lynsn@yahoo.com x-x-x-x-x-x-x</t>
  </si>
  <si>
    <t xml:space="preserve"> The Local Government Unit of General Santos City, through the GENERAL FUND CY 2020 intends to apply the sum of two hundred forty-five thousand six hundred forty-six and xx / 100 Pesos Only (245,646.00) being the Approved Budget for the Contract (ABC) to p</t>
  </si>
  <si>
    <t xml:space="preserve"> Prepaid Wifi, Globe pocket wifi  20 unit Prepaid Card-Globe@ 500.00  80 pc Pls. submit your quotation thru email:  mi_lynsn@yahoo.com x-x-x-x-x-x-x-x-x-x-x-x-x-x-x-x-x Total ABC  (in PhP)  60,000.00</t>
  </si>
  <si>
    <t xml:space="preserve"> GLOVES ALCOHOL 70% CLIP BOARD STAMP PAD</t>
  </si>
  <si>
    <t xml:space="preserve"> 1. Improvement of all waiting shed from Dantay-Sagada –MDF 2019             707,264.08 2. Continuation of Ankileng water system –MDF 2016                                   289,465.27 3. Improvement of Guedangan  CIS  -MDF 2018                             </t>
  </si>
  <si>
    <t xml:space="preserve"> SUPPLY OF MATERIALS</t>
  </si>
  <si>
    <t xml:space="preserve"> Republic of the Philippines NATIONAL FOOD AUTHORITY Eastern Visayas Regional Office Pawing, Palo, Leyte INVITATION TO SUBMIT PRICE QUOTATION  REPAIR OF NFA NORTHERN SAMAR  PROVINCIAL OFFICE IN DANCALAN, BOBON, NORTHERN SAMAR  (Small Value Procurement) Pro</t>
  </si>
  <si>
    <t xml:space="preserve"> Local Government Unit										 Imelda, Zamboanga Sibugay										 										 INVITATION TO APPLY FOR ELIGIBILITY AND TO BID										 										 The Local Government Unit  of Imelda, Zamboanga Sibugay , through its Bids and  Awards Committee (BAC),					</t>
  </si>
  <si>
    <t xml:space="preserve"> Republic of the Philippines BIDS AND AWARDS COMMITTEE Province of Iloilo Invitation to Bid Purchase of Drugs &amp; Medicines  Bid No. CLI-20-0355-B(REBID2) 1. The Iloilo Provincial Government, through the 2020 GENERAL FUNDS intends to apply the sum of Seven H</t>
  </si>
  <si>
    <t xml:space="preserve"> BEMO-2020-0196 Rebidding INVITATION TO BID FOR THE PROCUREMENT OF LABOR, EQUIPMENT, AND MATERIALS FOR THE EXPANSION OF GIANT CLAM HATCHERY AT BFAR, SINANDINGAN, UBAY, BOHOL ABC: P 764,086.98 COST OF BID DOCUMENTS: P 1,000.00 ADVERTISEMENT PERIOD: AUGUST 1</t>
  </si>
  <si>
    <t xml:space="preserve"> Invitation to Bid for the  Proposed Construction of National Child Development Center at Cabarroguis, Quirino 1.	The Local Government Unit of Cabarroguis, Quirino, through the ECCD Council intends to apply the sum of TWO MILLION TWO HUNDRED SIXTY FIVE THO</t>
  </si>
  <si>
    <t xml:space="preserve"> Furniture and Fixtures to be used in the Multiple Intelligence Resource Center and Campus Library</t>
  </si>
  <si>
    <t xml:space="preserve"> INVITATION TO BID Bid Reference No.  ____________ SUPPLY AND DELIVERY OF BOOKS FOR CRIMINOLOGY PROGRAM (IC) Approved Budget for the Contract (ABC):  Php 359,236.03 1.	The Municipal Government Unit of Initao, Misamis Oriental intends to apply the sum of: T</t>
  </si>
  <si>
    <t xml:space="preserve"> The Ministry of Human Settlements and Development-BARMM, through the BARMM Appropriation Act 2020, intends to apply the sum of One Million Eight Hundred Thousand Pesos Only (Php 1, 800,000.00) being the Approved Budget for the Contract (ABC) to payments u</t>
  </si>
  <si>
    <t xml:space="preserve"> INVITATION TO BID The Municipal Government of La Trinidad through the Bids and Awards Committee (BAC) invites contractors to bid for the hereunder project: Contract Reference No.: POW - 8751 - 2020 - PCO - 09 Name of Project: Improvement of CICL Drop Cent</t>
  </si>
  <si>
    <t xml:space="preserve"> Procurement of Supply and Delivery of ICT Supplies 12	unit	Prepaid Sim Router 4G LTE Wireless Router •	300mbps WIFI Ethernet Open line with Antenna •	Type: wireless •	With 2.4G Wi-fi Transmission Rate: 300mbps •	Network type: LTE/4G/3G •	Inclusion of pref</t>
  </si>
  <si>
    <t xml:space="preserve"> Pag-IBIG FUND Tuguegarao Branch Office Editha Tuddao Bldg., Balzain Road, Tuguegarao City, Cagayan REQUEST FOR QUOTATION SUPPLY AND DELIVERY OF VARIOUS FURNITURES   FOR Pag-IBIG FUND, TUGUEGARAO BRANCH   The Pag-IBIG Fund (HDMF) is inviting Suppliers/Cont</t>
  </si>
  <si>
    <t xml:space="preserve"> Republic of the Philippines Province of Iloilo Municipality of Lambunao Office of the Bids &amp; Awards Committee INVITATION TO BID/ REQUEST FOR PRICE QUOTATION Name of Project: Purchase of Materials for the Continuing - Const. of Multi Purpose Hall (Extensio</t>
  </si>
  <si>
    <t xml:space="preserve"> INVITATION TO BID SUPPLY AND DELIVERY OF DRUGS AND MEDICINES FOR THE CITY HEALTH OFFICE 1.	The Local Government Unit of Cabadbaran City through the GENERAL FUND intends to apply the sum of ONE MILLION TWO HUNDRED EIGHTY TWO THOUSAND FIVE HUNDRED FIFTY-SEV</t>
  </si>
  <si>
    <t xml:space="preserve"> The Barangay Local Government Unit of Baliling, Santa Fe, Nueva Vizcaya, through its Barangay Bids &amp; Awards Committee invites contractors to bid for the following project: Contract Name: Procurement of Materials for the construction of Barangay MRF  Contr</t>
  </si>
  <si>
    <t xml:space="preserve"> One (1) job Furnishing of Labor and Materials for the Solid Waste Management Program (Construction of RCA, Construction of Wash Area and Water System at Brgy. Capaliz, Dumangas, Iloilo</t>
  </si>
  <si>
    <t xml:space="preserve"> 1 190 LGTH/S DRB - 12mm.Dia.x6.0m. G-33 2 290 LGTH/S DRB - 10.0mm.dia. x 6.0m gr.33 3 13 MTR/S WIRE SCREEN - 1/8 THK/MESH 4 50 KG/S. G.I. TIE WIRE - #16 5 10 PC/S HACKSAW BLADE - 12"/300mm 6 20 PR/S CONSTRUCTION GLOVES - (ORANGE PALM) 7 25 PC/S TILE CUTTI</t>
  </si>
  <si>
    <t xml:space="preserve"> The Local Government Unit of General Santos City, through the GENERAL FUND CY 2020 intends to apply the sum of one hundred sixty thousand and xx / 100 Pesos Only (160,000.00) being the Approved Budget for the Contract (ABC) to payments under the contract </t>
  </si>
  <si>
    <t xml:space="preserve"> Republic of the Philippines DEPARTMENT OF AGRICULTURE Philippine Rural Development Project  PSO-Visayas Cluster RPCO-7 Province of Bohol INVITATION TO QUOTE ________________________________________________________________ SUPPLY AND DELIVERY OF DIESEL FUE</t>
  </si>
  <si>
    <t xml:space="preserve"> National Power Corporation INVITATION TO BID PUBLIC BIDDING 2020-0296 1.	The NATIONAL POWER CORPORATION (NPC), through       its        approved       Corporate Budget of CY 2020 intends to apply   the   sum   of (Please see schedule below) being the Appr</t>
  </si>
  <si>
    <t xml:space="preserve"> INVITATION TO BID SUPPLY AND DELIVERY OF 1UNIT MCBOOK PRO 13 INCHES USE IN MUNICIPALITY OF BULUAN, MAGUINDANAO (ITB No. 06-Goods-2020)</t>
  </si>
  <si>
    <t xml:space="preserve"> 8.64 SQ.M REFLECTIVE BLUE SLIDING GLASS WINDOW - w/ Alum. Frame &amp; Inst'n., 6.0mm.X1.20m.X1.2</t>
  </si>
  <si>
    <t xml:space="preserve"> The Local Government Unit of General Santos City, through the GENERAL FUND CY 2020 intends to apply the sum of two hundred fifty-five thousand nine hundred forty-five and 50 / 100 Pesos Only (255,945.50) being the Approved Budget for the Contract (ABC) to</t>
  </si>
  <si>
    <t xml:space="preserve"> The Local Government Unit of General Santos City, through the GENERAL FUND CY 2020 intends to apply the sum of four hundred forty-one thousand and xx / 100 Pesos Only (441,000.00) being the Approved Budget for the Contract (ABC) to payments under the cont</t>
  </si>
  <si>
    <t xml:space="preserve"> Staff Chair, wide mid-back without armrest  8 pc metal body frame, base and wheels Black compack mesh backrest, black cushion adjustable seat height. gas lift (high-end) Pls. submit your quotation thru email:  mi_lynsn@yahoo.com x-x-x-x-x-x-x-x-x-x-x-x-x-</t>
  </si>
  <si>
    <t xml:space="preserve"> QUOTATION FORM For Negotiated Procurement due to Two-Failed Bidding Registered Name  of Establishment:		Date: Mode of Procurement:	August 18, 2020 Negotiated Procurement (Two-Failed Bidding) Address: 		Quotation No.	TFB-2020-006Recanvass Contact No.		PR N</t>
  </si>
  <si>
    <t xml:space="preserve"> Republic of the Philippines PROVINCE OF ALBAY 				   Municipality of Rapu-Rapu Invitation to Bid for  Construction/Rehabilitation of Bariis Road 1.	The Local Government Units of Rapu-Rapu, Albay through the Approved Supplemental Budge No. 2 CY 2018 intend</t>
  </si>
  <si>
    <t xml:space="preserve"> Republic of the Philippines Province of Quirino MUNICIPALITY OF CABARROGUIS OFFICE OF THE BIDS AND AWARDS COMMITTEE Invitation to Bid for the  Improvement of Barangay Roads at Cabarroguis, Quirino 1.	The Local Government Unit of Cabarroguis, Quirino, thro</t>
  </si>
  <si>
    <t xml:space="preserve"> Rehabilitation of Kawayan Footbridge, San Fernando, Buk.</t>
  </si>
  <si>
    <t xml:space="preserve"> PR#20-08-0491 ABC 805,000.00 Furnish “Labor, Materials and Equipment” for the re=painting of pumping stations structures includes perimeter fences, repair and rehabilitation of PS structures (kitchen-lavatory, comfort rooms, operators quarters, genset hou</t>
  </si>
  <si>
    <t xml:space="preserve"> Concreting of Local Road Going to Escuro Armillos at Zone 3 Concreting of Local Road Going to Relles-Zone 6 Concreting of Local Road Going to Bonador at Zone 4 Concreting of Local Road Going to Garbiles at Zone 3 Concreting of Local Road Going to Baldon a</t>
  </si>
  <si>
    <t xml:space="preserve"> The Department of Education Division of San Pablo City, through the CY 2019 BASIC EDUCATION FACILITIES FUND   intends to apply the sum of  Nine Hundred Fifty Thousand Two Hundred Seventy Nine Pesos &amp; 60/100 (Php 950,279.60) being the Approved Budget for t</t>
  </si>
  <si>
    <t xml:space="preserve"> INVITATION TO BID Date: August 18, 2020 1.	The Provincial Government of Davao del Sur, through its Bids and Awards Committee (BAC), invites all potential bidders/suppliers to apply to bid for the following goods. Bids received in excess of the ABC shall b</t>
  </si>
  <si>
    <t xml:space="preserve"> NAME OF THE PROJECT: Improvement of SB Building Including Furniture and Fixtures PH1  LOCATION OF THE PROJECT: LGU Compound, Awaii, Donsol, Sorsogon PROJECT REFERENCE NO.:  INFRA-PB-2020-021  Approved Budget for the Contract: ₱1,500,000.00  Source of Fund</t>
  </si>
  <si>
    <t xml:space="preserve"> 1 25 PC/S INK - EPSON - BLACK T6641 2 12 PC/S INK - EPSON - CYAN T6642 3 12 PC/S INK - EPSON - MAGENTA T6643 4 12 PC/S INK - EPSON - YELLOW T6</t>
  </si>
  <si>
    <t xml:space="preserve"> REPRODUCTION AND DELIVERY OF SELF LEARNING MODULES IN A4 SIZE MULTIPURPOSE COPY PAPER, 70GSM, OFFSET PRINTING AND WITH  SADDLE STITCHING.</t>
  </si>
  <si>
    <t xml:space="preserve"> Republic of the Philippines DEPARTMENT OF AGRICULTURE Philippine Rural Development Project  PSO-Visayas Cluster RPCO-7 Province of Bohol INVITATION TO QUOTE ________________________________________________________________ SUPPLY, DELIVERY AND INSTALLATION</t>
  </si>
  <si>
    <t xml:space="preserve"> 1.  100 pcs ballpen (black) 2.  100 pcs manila paper 3.  60 pair rubber boots (black, XL) 4.  60 pcs camisa (long sleeve, green, w/ dukwag logo,    10-M 40-L 10-XL) 5.  40 pcs folder (long, ordinary) 6.  120 pcs certificate frame (8.5"x11") 7.  10 pcs cor</t>
  </si>
  <si>
    <t xml:space="preserve"> Republic of the Philippines Province of Oriental Mindoro MUNICIPALITY OF PINAMALAYAN OFFICE OF THE BIDS AND AWARDS COMMITTEE Invitation to Bid ITB-2020-44 1.  The Municipal Government of Pinamalayan, Oriental Mindoro, through the authorized appropriations</t>
  </si>
  <si>
    <t xml:space="preserve"> 1 unit 2.5HP Inverter Air Conditioning Unit Installation Arrangement: 1.	Installation Fee is included in the proposed unit price. 2.	Other materials and/or accessories needed in the installation is inclusive to the proposed unit price. 3.	Warranty of 2-3 </t>
  </si>
  <si>
    <t xml:space="preserve"> Lot 1 – Supply &amp; Delivery of IT Equipment and Accessories for the use of Planning &amp; Design Section</t>
  </si>
  <si>
    <t xml:space="preserve"> Republic of the Philippines                       EASTERN VISAYAS STATE UNIVERSITY                                                                              Tacloban City                     										 BIDS AND AWARDS COMMITTEE INVITATION TO BID  SUPPL</t>
  </si>
  <si>
    <t xml:space="preserve"> 108 BAGS PORTLAND CEMENT 12 cu.m ORD GRAVEL 6cu.m ORD SAND 5PCS 12 mmx6mRSB 264 bd ft COCO LUMBER 22-2"X6"12" 3KLS VCW NAIL 3 3PCS HS BLADE</t>
  </si>
  <si>
    <t xml:space="preserve"> REPUBLIC OF THE PHILIPPINES CITY GOVERNMENT OF OROQUIETA BIDS AND AWARD COMMITTEE City Hall Main, Oroquieta City            		 August 18, 2020                                                                                                                 </t>
  </si>
  <si>
    <t xml:space="preserve"> NAME OF THE PROJECT: Improvement of Evacuation Center  LOCATION OF THE PROJECT: LGU Compound, Awaii, Donsol, Sorsogon PROJECT REFERENCE NO.:  INFRA-PB-2020-022  Approved Budget for the Contract: ₱1,000,000.00  Source of Fund:  MDRRMF 2020 BRIEF DESCRIPTIO</t>
  </si>
  <si>
    <t xml:space="preserve"> INVITATION TO BID FOR Procurement for Reproduction of Modules for Grade 3 to 12 with ALS (Week 5 and 6) / Goods-2020-003 1.	The DepEd CAR, Schools Division of Benguet, through the General Appropriations Act 2020 intends to apply the sum of Eight Million F</t>
  </si>
  <si>
    <t xml:space="preserve"> 199,978.79  SITE CLEARING				 EXCAVATION WORKS				 CONCRETE WORKS				 CHB LINE CANAL</t>
  </si>
  <si>
    <t xml:space="preserve"> Construction of Fence at Municipal Drug Facility, San Vicente Gorong-Gorong, Nabua, Camarines Sur</t>
  </si>
  <si>
    <t xml:space="preserve"> risograph: heavy duty/digital duplicator large 5.7 inch control panel 80-130 pages per minute speed duly cycle: 300,000 prints per month image position: vertical horizontal image modes: letter photo letter/photo separation penci, tini reproduction ratio: </t>
  </si>
  <si>
    <t xml:space="preserve"> RFQ&gt;&gt;&gt; Reproduction of modules and supply and delivery of plastic envelop  Joaquin Smith NHS | ABC=P89,098.10 Please download RFQ for complete details.</t>
  </si>
  <si>
    <t xml:space="preserve"> Supply and Delivery of 110 KVA 3 Phase One (1) unit Diesel Generator.</t>
  </si>
  <si>
    <t xml:space="preserve"> Request for Expression of Interest (REOI) for the Soil Testing/Exploration for the projects: Soil Testing/Exploration for the projects:  1. Widening of Bridges-Sibalon Bridge, Poblacion, Alfonso Lista, Ifugao 2. Construction of Local Bridges-Minanga Bridg</t>
  </si>
  <si>
    <t xml:space="preserve"> Republic of the Philippines Province of Quirino MUNICIPALITY OF CABARROGUIS OFFICE OF THE BIDS AND AWARDS COMMITTEE Invitation to Bid for the  Construction of 2nd Cell at Sanitary Landfill/ Improvement of Sanitary Landfill at Cabarroguis, Quirino 1.	The L</t>
  </si>
  <si>
    <t xml:space="preserve"> Supply and Delivery of 70-inch Ultra HD TV for the DOLE Command Center    TECHNICAL SPECIFICATIONS:   1 Lot           -	4K Ultra HD TV-Smart TV                    -	Clear Audio + Digital Sound                          Enhancement Engine                   </t>
  </si>
  <si>
    <t xml:space="preserve"> Please quote your lowest price inclusive of VAT on the item/s listed below, subject to the Terms and Conditions of this RFQ, and submit your sealed quotation and other requirements duly signed by your representative not later than 10:00am of August 25, 20</t>
  </si>
  <si>
    <t xml:space="preserve"> Supply and Delivery of; STOCK NO.	UNIT	ITEM DESCRIPTION				QTY 1	pail	Hydraulic Oil #10 AW68				70 2	liters	Radiator Coolant (Green)				80 3	liters	Oil #30 (Motor/Engine oil)				50 4	liters	Oil #40 (Engine oil)				300 5	kg	Grease (2kg)				100 6	liters	2T	</t>
  </si>
  <si>
    <t xml:space="preserve"> 1 10 BTL/S ALCOHOL - RUBBING, 70 % ISOPROPHYL, 500ML 2 2 GAL/S BLEACHING SOLUTION 3 6 CAN/S DISHWASHING PASTE - 400G 4 1 POUCH/S DETERGENT - W/ FABRIC SOFTENER 800G 5 1 BTL/S TOILET BOWL CLEANER - W/ KILLER VIREX 500</t>
  </si>
  <si>
    <t xml:space="preserve"> BIDS AND AWARDS COMMITTEE (BAC) INVITATION TO BID The Department of Science and Technology (DOST), Regional Office No. IX, through its Bids and Awards Committee (BAC), invites qualified bidder to apply for eligibility and to bid for the “Office Equipment”</t>
  </si>
  <si>
    <t xml:space="preserve"> 36 units Bulb (10 watts) LED 48 bottles Isoprophyl alcohol 70% 12 rolls Cotton big (400 grams) 12 boxes Zip lock, size medium 6 units 5 Socket Power Extension Cord (2meters) 30 pcs Masking tape 24mm, 3/4" 36 pcs Gel pen needle point (0.5mm) 15 boxes Plast</t>
  </si>
  <si>
    <t xml:space="preserve"> LOT 1 - CONSTRUCTION OF NABUNDASAN POTABLE WATER SYSTEM LEVEL II PROJECT DURATION - 60 CALENDAR DAYS PROJECT COST - 1,705,921.88 SCOPE OF WORK: CLEARING, EXCAVATION AND BACKFILLING, SIGNAGE (FRAMING AND INSTALLATION), HAULING, ELECTRICAL INSTALLATION, ELE</t>
  </si>
  <si>
    <t xml:space="preserve"> Republic of the Philippines Province of Negros Oriental Municipality of Siaton Office of the Bids and Awards Committee Siaton Town Hall, Siaton, Negros Oriental INVITATION TO APPLY FOR ELIGIBILITY AND TO BID The Municipality of Siaton Office of the Bids a</t>
  </si>
  <si>
    <t xml:space="preserve"> REQUEST FOR QUOTATION For Shopping Procurement under Sec. 52 of the Revised IRR of RA 9184 Quotation No.:  2020-08-292 Date: August 18, 2020 PR No.: 20-08-316 PR Date: August 13, 2020 The Metropolitan Tuguegarao Water District (MTWD) is pleased to invite </t>
  </si>
  <si>
    <t xml:space="preserve"> The Department of Education Division of San Pablo City, through the CY 2019 BASIC EDUCATION FACILITIES FUND   intends to apply the sum of  Two Million Five Hundred Forty Nine Thousand Seven Hundred Twenty Pesos &amp; 40/100 (Php 2,549,720.40) being the Approv</t>
  </si>
  <si>
    <t xml:space="preserve"> REQUEST FOR EXPRESSION OF INTEREST FOR THE CONSULTING SERVICES FOR THE PREPARATION OF PROTECTED AREA SUITABILITY ASSESSMENT (PASA) REPORT OF MALAGOS PROTECTED LANDSCAPE  1.	The Department of Environment &amp; Natural Resources (DENR)-PENRO Digos City, Davao d</t>
  </si>
  <si>
    <t xml:space="preserve"> Republic of the Philippines BIDS AND AWARDS COMMITTEE Province of Iloilo Invitation to Bid PURCHASE OF LABORATORY SUPPLIES Bid No. IPH-20-0170-B(REBID) 1. The Iloilo Provincial Government, through the GENERAL FUND 2020 intends to apply the sum of SEVEN HU</t>
  </si>
  <si>
    <t xml:space="preserve"> PROCUREMENT OF THE FOLLOWING SERVICES: DUMPING AND SPREADING OF ITEM 201 APPROX. 400 LINEAR METERS x 2 METERS WIDTH AT ZONE 1-A. A, MATERIALS ITEM 201 B. LABOR INCLUDES RENTAL OF ROAD ROLLER AND LABOR FOR MORE DETAILS VISIT THE BARANGAY</t>
  </si>
  <si>
    <t xml:space="preserve"> Republic of the Philippines 	Province of Eastern Samar	 City of Borongan -0- BIDS AND AWARDS COMMITTEE ------------------------------------------------------------------------------------------ Invitation to Bid for CONSTRUCTION OF COVERED COURT/MULTI – P</t>
  </si>
  <si>
    <t xml:space="preserve"> INVITATION TO BID IB No. 2020-33 PURCHASE OF AMBULANCE EQUIPMENT OF MDRRMO OTON 1.	The Local Government Unit of Oton, through Disaster Preparedness – 70% intends to apply the sum of Nine Hundred Eighteen Thousand (Php 918,000.00) being the Approved Budget</t>
  </si>
  <si>
    <t xml:space="preserve"> 2 unit - Laptop, 8th Generation Intel Core i3-8145U</t>
  </si>
  <si>
    <t xml:space="preserve"> PAPER MULTICOPY, A4, 80GSM	200	REAMS PAPER MULTICOPY, LEGAL, 80GSM	30	REAMS TOILET TISSUE PAPER, 12ROLL/PCK	10	PACK EXPANDED FOLDER, LONG	1	PACK ENVELOPE, LONG, 100/PACK	2	PACKS EXPANDED ENVELOPE, LONG	1	PACK ALCOHOL, 70% SOLUTION	10	BTLS. SIGN PEN, 0.5MM</t>
  </si>
  <si>
    <t xml:space="preserve"> 116,250.00  A3 SIZE MAYOR'S FRAMED PHOTO				 18 X 24" MAYOR'S FRAMED PHOTO				 A4 SIZE MAYOR'S FRAMED PHOTO</t>
  </si>
  <si>
    <t xml:space="preserve"> REQUEST FOR EXPRESSION OF INTEREST (REI) FOR THE CONSULTANCY SERVICES FOR THE GEOTECHNICAL INVESTIGATION OF PROPOSED CY 2021 PROJECTS 1.	The Department of Public Works and Highways, Rizal 1st District Engineering Office, through the PDE 2020, intends to a</t>
  </si>
  <si>
    <t xml:space="preserve"> The Department of Education Division of San Pablo City, through the CY 2020 BASIC EDUCATION FACILITIES FUND   intends to apply the sum of Three Million Forty Six Thousand Eight Hundred Forty Nine Pesos &amp; 18/100 (Php 3,046,849.18) being the Approved Budget</t>
  </si>
  <si>
    <t xml:space="preserve"> This project entails purchase of office equipment for use in the Office of the MPDC.</t>
  </si>
  <si>
    <t xml:space="preserve"> REQUEST FOR EXPRESSION OF INTEREST (REI) FOR THE CONSULTANCY SERVICES FOR THE CONDUCT OF PARCELLARY SURVEY OF MARIKINA – INFANTA ROAD KM 19+(-218) – 37+498 1.	The Department of Public Works and Highways, Rizal 1st District Engineering Office, through the </t>
  </si>
  <si>
    <t xml:space="preserve"> REQUEST FOR QUOTATION									 SUPPLY AND DELIVERY OF VEGETABLE  SEEDS 									 The Request for Quotation must be email at bpibac@yahho.com									 SMALL VALUE 									 INSTRUCTION:									 1.	Supplies are required to read the instructions and fill al</t>
  </si>
  <si>
    <t xml:space="preserve"> 4   units   Sphygmomanometer, standby type 4   units   Stethoscope, Adult 5   units   Oxygen Regulator 2   units   Nebulizer 1   unit    Doppler 2   units   Pulse Oximeter w-w-w-w-w-w-w-w-w-w-w-w-w-w-w-w-w-w</t>
  </si>
  <si>
    <t xml:space="preserve"> Construction Materials &amp; Supplies</t>
  </si>
  <si>
    <t xml:space="preserve"> Snack, Lunch</t>
  </si>
  <si>
    <t xml:space="preserve"> PROCUREMENT OF THE FOLLOWING SERVICES: CONSTRUCTION AND INSTALLATION OF RAILINGS USING C-PURLINS AND GI PIPE APPROX. 200 LINEAR METERS AT ZONE 1A AND ZONE 2. A, MATERIALS B. LABOR FOR MORE DETAILS VISIT THE BARANGAY</t>
  </si>
  <si>
    <t xml:space="preserve"> Lot 2 – Procurement of Goods of Survey Equipment for the use of Planning &amp; Design Section</t>
  </si>
  <si>
    <t xml:space="preserve"> Republic of the Philippines Region XII Province of Cotabato City of Kidapawan OFFICE OF THE BIDS AND AWARD COMMITTEE August 19, 2020 INVITATION TO BID FOR  SUPPLY AND DELIVERY OF COMMUNICATION EQUIPMENTS AND ACCESSORIES FOR THE USE OF THE CDRRMO, KIDAPAWA</t>
  </si>
  <si>
    <t xml:space="preserve"> Section I. Invitation to Bid FOR THE UPLB-S-054-09-20  SUPPLY AND DELIVERY OF BRANDED AND BRAND NEW LAPTOP COMPUTERS FOR CPAF 1.	The UNIVERSITY OF THE PHILIPPINES LOS BAÑOS (UPLB), through the GOP intends to apply the sum of ONE MILLION FIVE HUNDRED TWENT</t>
  </si>
  <si>
    <t xml:space="preserve"> Republic of the Philippines Province of Nueva Vizcaya BIDS AND AWARDS COMMITTEE (BAC-Goods) BAC OFFICE, Provincial Capitol, Bayombong, Nueva Vizcaya Tel. No. 078-392-2062 	 (2ND) INVITATION TO BID FOR THE SUPPLY &amp; DELIVERY OF FIREARMS (9MM FS W/ LICENSE) </t>
  </si>
  <si>
    <t xml:space="preserve"> SOURCE OF FUNDS: ANNUAL BUDGET CY 2020 BIDDING DATE &amp; TIME: SEPTEMBER 4, 2020- 1:00 P.M</t>
  </si>
  <si>
    <t xml:space="preserve"> To procure the various DRR materials, tools and supplies needed for day to day operations.</t>
  </si>
  <si>
    <t xml:space="preserve"> Package 040- as stated in ITB 2020-040, CRN 040-2020 [Procurement of Kitchen Utensils and Other Supplies].</t>
  </si>
  <si>
    <t xml:space="preserve"> Republic of the Philippines Region XII Province of Cotabato City of Kidapawan OFFICE OF THE BIDS AND AWARD COMMITTEE August 19, 2020 INVITATION TO BID FOR  SUPPLY OF FUEL FOR THE USE OF THE CITY ENGINEERING OFFICE, KIDAPAWAN CITY  The CITY GOVERNMENT OF K</t>
  </si>
  <si>
    <t xml:space="preserve"> OPA-FISHERIES-2020-0193 Rebidding INVITATION TO BID FOR THE PROCUREMENT OF SPINY BAMBOO, B-NET, P.E. ROPES, AND MONONYLON FOR CATCHING AND IMPROVEMENT OF ASSORTED SPECIES OF FISH DURING HIGH TIDE ABC: P 591,460.00 COST OF BID DOCUMENTS: P 1,000.00 ADVERTI</t>
  </si>
  <si>
    <t xml:space="preserve"> Package 039- as stated in ITB 2020-039, CRN 039-2020 [Procurement of Equipments]. (Freezers and Ovens)</t>
  </si>
  <si>
    <t xml:space="preserve"> City Administrator's Office P.R. No. : 2020-08-3088 Date: 08/12/2020 420,000.00 LARGE FORMAT PRINTER 36 inches : SCT5130 Speciifications: Ultra chrome (Pigment Ink) : Presicion Core TFP Print Head : 3200 nozzles : 2400 x 1200 DPI : Print Spped : Approx. 3</t>
  </si>
  <si>
    <t xml:space="preserve"> QUOTATION FORM For Negotiated Procurement due to Two-Failed Bidding Registered Name  of Establishment:		Date: Mode of Procurement:	August 18, 2020 Negotiated Procurement (Two-Failed Bidding) Address: 		Quotation No.	TFB-2020-007Recanvass Contact No.		PR N</t>
  </si>
  <si>
    <t xml:space="preserve"> Please quote your lowest price inclusive of VAT on the item/s listed below, subject to the Terms and Conditions of this RFQ, and submit your quotation duly signed by your representative not later than  AUGUST 25,  2020  at Bids and Awards Committee Katipu</t>
  </si>
  <si>
    <t xml:space="preserve"> Emergency Response vehicle for Barangay Pulangbato, Cebu City.</t>
  </si>
  <si>
    <t xml:space="preserve"> SUPPLY AND DELIVERY OF THE FOLLOWING: Lot 1- service vehicles-               Php 2,030,068.00 1 unit service vehicle (VAN) Specification: silver metallic/white, Engine Technology: 4 cylinder type, Displacement: 2,500-3,000, Maximum torque (N/m/Rpm): 300/1</t>
  </si>
  <si>
    <t xml:space="preserve"> INVITATION TO BID  COMPLETION OF INTENSIVE CARE UNIT COMPLEX MRH-012-2020 1.	The Margosatubig Regional Hospital, through the funding source of HOSPITAL INCOME intends to apply the sum of One  Million Six Hundred Twenty-Three Thousand Five Hundred Twenty-S</t>
  </si>
  <si>
    <t xml:space="preserve"> Republic of the Philippines BIDS AND AWARDS COMMITTEE Province of Iloilo Invitation to Bid PURCHASE OF DRUGS AND MEDICINES Bid No. IPH-20-0375-B 1. The Iloilo Provincial Government, through the GENERAL FUND 2020 intends to apply the sum of EIGHT HUNDRED F</t>
  </si>
  <si>
    <t xml:space="preserve"> Please quote your lowest price on the job/items listed below, subject to the Specification, Terms &amp; Conditions										 provided herein, stating the shortest time of delivery and submit your quotation in the box located at Procurement Section, 										</t>
  </si>
  <si>
    <t xml:space="preserve"> Republic of the Philippines BIDS AND AWARDS COMMITTEE Province of Iloilo Invitation to Bid PURCHASE OF HOUSEKEEPING SUPPLIES Bid No. IPH-20-0684-B 1. The Iloilo Provincial Government, through the GENERAL FUND 2020 intends to apply the sum of FORTY SEVEN T</t>
  </si>
  <si>
    <t xml:space="preserve"> QUOTATION FORM For Negotiated Procurement due to Two-Failed Bidding Registered Name  of Establishment:		Date: Mode of Procurement:	August 18, 2020 Negotiated Procurement (Two-Failed Bidding) Address: 		Quotation No.	TFB-2020-008 Recanvass Contact No.		PR </t>
  </si>
  <si>
    <t xml:space="preserve"> see attached file</t>
  </si>
  <si>
    <t xml:space="preserve"> INVITATION TO BID IB No. 2020-34 PURCHASE OF ADDITIONAL MATERIALS FOR DSWD SHELTER UNIT 1.	The Local Government Unit of Oton, through Other Structure – MSWD Continuing intends to apply the sum of Four Hundred Eighty Seven Thousand One Hundred Twenty Nine </t>
  </si>
  <si>
    <t xml:space="preserve"> Engine -2.5 liter displacement- 2,477 CC Number of Cylinders - 4 Number of Valves - 8 Transmission - manual seating capacity- 17 seaters Diesel wheel size- 14 inch</t>
  </si>
  <si>
    <t xml:space="preserve"> QTY.	UNIT	DESCRIPTION 1	lot	Cost of labor and materials for the repair 		of Government Vehicle assigned at the 		Laoag City General Hospital 		Work to be done: 		1. Replacement of defective parts 		Parts to be supplied: 		1. Clutch Disk 		2. Clutch Cover </t>
  </si>
  <si>
    <t xml:space="preserve"> Please see attached associated components for the technical specification and download the complete bidding documents through the link below.</t>
  </si>
  <si>
    <t xml:space="preserve"> The Department of Education Division of San Pablo City, through the CY 2020 BASIC EDUCATION FACILITIES FUND   intends to apply the sum of Three Million Four Hundred Eighty Seven Thousand Two Hundred Fifty Three Pesos &amp; 30/100 (Php 3,487,253.30) being the </t>
  </si>
  <si>
    <t xml:space="preserve"> REQUEST FOR QUOTATION									 SUPPLY AND DELIVERY OF AGRICULTURAL SUPPLIES 									 The Request for Quotation must be email at the bpibac@yahoo.com									 SMALL VALUE 									 INSTRUCTION:									 1.	Supplies are required to read the instructions an</t>
  </si>
  <si>
    <t xml:space="preserve"> REQUEST FOR EXPRESSION OF INTEREST FOR FEASIBILITY STUDY The NIA- CARAGA Region, through the FS of CY 2020 FUNDS intends to apply the sum of  Three Million Three Hundred Twenty Two Thousand Pesos Only (P 3,322,000.00) being the total Approved Budget for t</t>
  </si>
  <si>
    <t xml:space="preserve"> Republic of the Philippines Province of Masbate Municipality of Claveria Supply and Delivery of Large Cattle The MLGU-Claveria, Masbate, through the General Fundintends to apply the sum of Four Hundred Eighty Thousand Pesos (Php 480,000.00) being the Appr</t>
  </si>
  <si>
    <t xml:space="preserve"> 1.	The Department of Science and Technology, through the DOST-TRC Special fund for CY 2020 under the DOST project entitled “DOST-TRC Winding Down of Operations” intends to apply the sum of ONE MILLION SEVEN HUNDRED TWENTY-FIVE THOUSAND PESOS (Php1,725,000</t>
  </si>
  <si>
    <t xml:space="preserve"> Republic of the Philippines City of Dapitan BIDS AND AWARDS COMMITTEE INVITATION TO BID August 18, 2020 	 The City Government of Dapitan, through its Bids and Awards Committee (BAC), invites interested parties to apply for eligibility and, if found eligib</t>
  </si>
  <si>
    <t xml:space="preserve"> QTY.	UNIT	DESCRIPTION 6	pcs	Tire 215/75/R17.5</t>
  </si>
  <si>
    <t xml:space="preserve"> The Department of Education Division of San Pablo City, through the CY 2020 BASIC EDUCATION FACILITIES FUND   intends to apply the sum of Four Million Seventy One Thousand Thirteen Pesos &amp; 14/100 (Php 4,071,013.14) being the Approved Budget for the Contra</t>
  </si>
  <si>
    <t xml:space="preserve"> INVITATION TO BID IB No. 2020-35 PURCHASE OF VARIOUS INK AND BOND PAPER FOR THE USE IN PROJECT CARINA 1.	The Local Government Unit of Oton, through Other Supplies and Materials – SEF intends to apply the sum of Two Hundred Ninety-Nine Thousand Five Hundre</t>
  </si>
  <si>
    <t xml:space="preserve"> The Department of Education Division of San Pablo City, through the CY 2020 BASIC EDUCATION FACILITIES FUND   intends to apply the sum of Two Million Four Hundred Seven Thousand Eight Hundred Thirty Seven Pesos &amp; 76/100 (Php 2,407,837.76) being the Approv</t>
  </si>
  <si>
    <t xml:space="preserve"> QTY.	UNIT	DESCRIPTION 3	unit	Submersible Pump 2HP</t>
  </si>
  <si>
    <t xml:space="preserve"> REQUEST FOR QUOTATION									 SUPPLY AND DELIVERY OF AGRI SUPPLIES 									 The Request for Quotation must be email at the bpibac@yahoo.com									 SMALL VALUE 									 INSTRUCTION:									 1.	Supplies are required to read the instructions and fill a</t>
  </si>
  <si>
    <t xml:space="preserve"> 1 Unit IP Farm Tourism Site 1 Unit IP Center @ Brgy. Sapinit 4 Set Office Table and Chair ( 2 Chair/Table)</t>
  </si>
  <si>
    <t xml:space="preserve"> Provision of Labor, Materials and Equipment for the Construction of 2 units Makeshift Delivery Room for Suspected Covid Patient @ Leyte Provincial Hospital, Palo, Leyte in accordance with plan and specifications: SCOPE OF WORK: * Clearing and Grubbing - -</t>
  </si>
  <si>
    <t xml:space="preserve"> Please see attached associated components for the Technical Specification and download the complete bidding documents through the linkage below.</t>
  </si>
  <si>
    <t xml:space="preserve"> Republic of the Philippines BIDS AND AWARDS COMMITTEE Province of Iloilo Invitation to Bid PURCHASE OF DRUGS AND MEDICINES Bid No. IPH-20-0717-B 1. The Iloilo Provincial Government, through the GENERAL FUND 2020 intends to apply the sum of SIX HUNDRED FIF</t>
  </si>
  <si>
    <t xml:space="preserve"> Qty	Unit	Articles 5	 roll 	Manila Paper 25	pcs	Marking Pen 5	pcs	Masking Tape, Medium 5	box	Rubber band 10	 sacks 	Farm Soil 10	 sacks 	Rice Hull 5	 roll 	Plastic Sheet 5	 pcs 	Monofilament Nylon #150 25	 kilo 	Hog feeds : Starter 25	 kilo 	Hog Feed: Grow</t>
  </si>
  <si>
    <t xml:space="preserve"> Qty	Unit	Articles 50	 BOX 	RJ45 CONNECTORS 25	 ROLL 	UTP CABLE 100	 PCS 	BLANK DVD 5	 CANISTER 	CONTACT CLEANER, 400ML 		XXXXXXXXXX</t>
  </si>
  <si>
    <t xml:space="preserve"> SEE UPLOADED BID DOCS</t>
  </si>
  <si>
    <t xml:space="preserve"> 168 smart prepaid card 500 load  60  smart prepaid card 100 load</t>
  </si>
  <si>
    <t xml:space="preserve"> INVITATION TO BID    DESIGN AND BUILD OF TYPICAL FIRE STATIONS FOR THE  BUREAU OF FIRE PROTECTION – NATIONAL HEADQUARTERS (BFP-NHQ)  Bid Ref. No. GPG-B2-2020-320 3RD REBID  (Previous Bid Ref. Nos.: GPG-B2-2019-011, GPG-B2-2019-297 Rebid and GPG-B2-2019-47</t>
  </si>
  <si>
    <t xml:space="preserve"> REQUEST FOR QUOTATION									 SUPPLY AND DELIVERY OF AGRICULTURAL  SUPPLIES 									 The Request for Quotation must be email at the bpibac@yahoo.com									 SMALL VALUE 									 INSTRUCTION:									 1.	Supplies are required to read the instructions a</t>
  </si>
  <si>
    <t xml:space="preserve"> 1.	The Department of Science and Technology, through the DOST-TRC Special fund for CY 2020 under the DOST project entitled “DOST-TRC Winding Down of Operations” intends to apply the sum of Two Million Three Hundred Thousand Pesos (Php2,300,000.00) only be</t>
  </si>
  <si>
    <t xml:space="preserve"> Specification: Complete motor control inclusive of relays, gauges, light indicators, magnetic contactor and breakers for 30 HP, 3 phase submersible motor with over / under voltage regulator, phase control, liquid level (electrode &amp; wire) enclosed in a NEM</t>
  </si>
  <si>
    <t xml:space="preserve"> Construction of Three (3) Storey Administration Building Phase II of SDSSU Tagbina Campus</t>
  </si>
  <si>
    <t xml:space="preserve"> 10   Pcs.   Executive Office Table                (HX-825-W 1800 xD950 XH 760) 5    Pcs.    Executive Office Chair                (JS 201H/Jersey) 10   Pcs.   Mesh Chair with Arms Polyester                and Nylon (Black) (Semi HighBack) 15   pcs.   Mesh</t>
  </si>
  <si>
    <t xml:space="preserve"> Republic of the Philippines										 Department of Public Works and Highways										 OFFICE OF THE DISTRICT ENGINEER										 Camarines Sur  2ND District Engineering Office										 Name of Procuring Entity: DPWH-CAM.SUR 2				                        </t>
  </si>
  <si>
    <t xml:space="preserve"> Republic of the Philippines								 Province of Cebu								 Municipality of Alcantara								 								 								 Standard Form Number:			SF-INFR-05					 Revised on:								 								 INVITATION TO APPLY FOR ELIGIBILITY AND TO BID								 								 The Munic</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</si>
  <si>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</si>
  <si>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Procurement of Office Supplies MOOE Subsidy for Langaon ES</t>
  </si>
  <si>
    <t xml:space="preserve"> Construction of Three (3) Storey Administration Building Phase II of SDSSU Tandag Campus</t>
  </si>
  <si>
    <t xml:space="preserve"> Supply and Delivery of  Various Construction Materials for the Renovation of the LGLC Building Ground Floor TECHNICAL SPECIFICATIONS:  Wall and Partition: -	Ficem Board (1.2m x 2.4 m x 4.5 mm (THCK) - 200 pcs. -	Metal Studs 2” x 4” x 10” - 300 pcs. -	Skim</t>
  </si>
  <si>
    <t xml:space="preserve"> see attached files</t>
  </si>
  <si>
    <t xml:space="preserve"> Republic of the Philippines DEPARTMENT OF EDUCATION National Capital Region DIVISION OF PASIG CITY School District V (Pasig V) CANIOGAN ELEMENTARY SCHOOL Kalinangan St., Caniogan Pasig City * 6412582 * canioganespasig@gmail.com REQUEST FOR QUOTATION 					</t>
  </si>
  <si>
    <t xml:space="preserve"> 1.	The Department of Agriculture (DA) – Central Office, through the GAA CY2020 intends to apply the sum of Two Million Six Hundred Thousand Pesos (PhP2,600,000.00) being the Approved Budget for the Contract (ABC) to payments under the contract for the Hir</t>
  </si>
  <si>
    <t xml:space="preserve"> INVITATION TO BID (CW 2020-008-026)   The CITY GOVERNMENT OF SORSOGON, through its Bids and Awards Committee (BAC), invites suppliers/contractors to apply for eligibility and to bid for the hereunder project:  Name of Project		:	REHABILATION OF SHORE CONT</t>
  </si>
  <si>
    <t xml:space="preserve"> The Department of Education Division of San Pablo City, through the CY 2020 BASIC EDUCATION FACILITIES FUND   intends to apply the sum of One Million Five Hundred Seventy Nine Thousand Six Hundred Thirty Two Pesos &amp; 47/100 (Php 1,579,632.47) being the App</t>
  </si>
  <si>
    <t xml:space="preserve"> Republic of the Philippines SANGGUNIANG BARANGAY OF BARANGAY CAGBALOGO Barangay Cagbalogo, Quezon, Quezon INVITATION TO BID Date: August 19, 2020 The Sangguniang Barangay Cagbalogo, through its Bids and Awards Committee (BAC), invites supplier/manufacture</t>
  </si>
  <si>
    <t xml:space="preserve"> purchase of 1-unit airconditioner..</t>
  </si>
  <si>
    <t xml:space="preserve"> Construction materials and supplies...</t>
  </si>
  <si>
    <t xml:space="preserve"> Republic of the Philippines        PROVINCE OF BUKIDNON             Don Carlos, Bukidnon Invitation to Bid for the Completion and Retrofitting of the Construction of a  Two-Storey Mall Type Building – Variation Order in Don Carlos, Bukidnon (Straight Cont</t>
  </si>
  <si>
    <t xml:space="preserve"> 150 sacks of Rice 4,500 cans of Sardines 13,000 Instant Noodles</t>
  </si>
  <si>
    <t xml:space="preserve"> Republic of the Philippines PROVINCE OF SURIGAO DEL SUR Municipality of Carrasal Barangay Gamuton INVITATION FOR BIDS 	The Barangay Gamuton through its Bids and Awards Committee invites sealed bids from eligible supplier for Office Equipment with applicat</t>
  </si>
  <si>
    <t xml:space="preserve"> Supply and Delivery of Construction Materials - Repair/Rehabilitation of Municipal SB Office (REBID)</t>
  </si>
  <si>
    <t xml:space="preserve"> Republic of the Philippines  PROVINCE OF BUKIDNON     Don Carlos, Bukidnon Invitation to Bid for the Supply &amp; Delivery of Limestone Materials and Aggregates intended for the Maintenance of Provincial Roads and Bridges: Re-gravelling in Don Carlos, Bukidno</t>
  </si>
  <si>
    <t xml:space="preserve"> Purchase of 1-unit motorcycle w/ sidecar ( kulong-kulong )..</t>
  </si>
  <si>
    <t xml:space="preserve"> Republic of the Philippines SANGGUNIANG BARANGAY OF BARANGAY MONTAÑA Barangay Montaña, Quezon, Quezon INVITATION TO BID Date: August 20, 2020 The Sangguniang Barangay Montaña, through its Bids and Awards Committee (BAC), invites supplier/manufactures/dist</t>
  </si>
  <si>
    <t xml:space="preserve"> The Sangguniang Barangay of Dampas now invites bids for the Construction of Comfort Room of Barangay Evacuation Center of Barangay Dampas, Tagbilaran City. Completion of the works is required within 60 calendar days. The description of an eligible bidder </t>
  </si>
  <si>
    <t xml:space="preserve"> Supply &amp; Delivery of one (1) unit Brand new 22 ft, 4x2, 6-Wheeler with Dropside Cargo Truck  to Alkikan Vegetables Grower Association (ALVEGA) – Alkikan, Malungon, Sarangani Province</t>
  </si>
  <si>
    <t xml:space="preserve"> The Sangguniang Barangay of Dampas now invites bids for the Renovation of Day Care Center and Multi-purpose Building (Carao-an Day Care Center Renovation) of Barangay Dampas, Tagbilaran City. Completion of the works is required within 30 calendar days. Th</t>
  </si>
  <si>
    <t xml:space="preserve"> Republic of the Philippines  PROVINCE OF BUKIDNON     Don Carlos, Bukidnon Invitation to Bid for the Supply &amp; Delivery of Limestone Materials intended for the Rehabilitation of Twenty-Eight (28) Barangay Roads in Don Carlos, Bukidnon (Complete Bid) (Proje</t>
  </si>
  <si>
    <t xml:space="preserve"> Republic of the Philippines Department of Education Division of LEYTE Government Center, Candahug, Palo, Leyte INVITATION TO BID CY 2020 BEFF_Electrification Batch 3_Lot 1 1. The Department of Education (DepEd) Division of Leyte, through the CY 2020 BEFF_</t>
  </si>
  <si>
    <t xml:space="preserve"> The Local Government Unit of Camalig, Albay through its Bids and Awards Committee (BAC), now invites bids for the herein project: Name of Contract: Construction/Rehabilitation of Child Development Centers at 10 Barangays Location: see POW for details Brie</t>
  </si>
  <si>
    <t xml:space="preserve"> Department of Education Region VI-Western Visayas Division of Cadiz City Alimatoc Elementary School SMALLVALUE PROCUREMENT OF 3 in 1 Printer FOR 2020 1. The Alimatoc Elementary School of Cadiz City, through the Schools MOOE Fund CY 2020 intends to apply t</t>
  </si>
  <si>
    <t xml:space="preserve"> The Environmental Management Bureau 10, through its Bids and Awards Committee (BAC), is inviting interested consultants with technical Expertise on Consulting Services to Undertake the Feasibility Study (FS) on Solid waste Management Facility (LGU Sanitar</t>
  </si>
  <si>
    <t xml:space="preserve"> Republic of the Philippines Province of Northern Samar MUNICIPALITY OF LAOANG 6411 E. Lagrimas St. Barangay Guilaoangi, Laoang, N. Samar Invitation to Bid for  CONSTRUCTION/REHABILITATION AND IMPROVEMENT PORTION OF LEGISLATIVE OFFICE AND PROPOSED CONSTRUC</t>
  </si>
  <si>
    <t xml:space="preserve"> NALA ELEMENTARY SCHOOL SUPPLIES AND EQUIPMENT FOR 3rd QUARTER CY 2020</t>
  </si>
  <si>
    <t xml:space="preserve"> INVITATION TO BID FOR THE SUPPLY, DELIVERY, INSTALLATION AND COMMISSIONING OF: 3 UNITS ANALYTICAL BALANCE; 1 UNIT ANTI-STATIC DEVICE; 2 UNITS BALANCE TABLE FOR ALU; 4 UNITS BALANCE TABLE FOR ILU; 7 UNITS DEHUMIDIFIER; 1 SET OF WEIGHTS; 4 UNITS THERMOHYGRO</t>
  </si>
  <si>
    <t xml:space="preserve"> Republic of the Philippines        PROVINCE OF BUKIDNON             Don Carlos, Bukidnon Invitation to Bid for the Take Over and Completion of the Construction of a  Two-Storey Mall Type Building in Don Carlos, Bukidnon (Straight Contract) (Project Refere</t>
  </si>
  <si>
    <t xml:space="preserve"> Republic of the Philippines PROVINCE OF NUEVA ECIJA City of Palayan INVITATION TO BID FOR  SUPPLY AND DELIVERY OF OFFICE SUPPLIES August 19, 2020 1.	The Provincial Government of Nueva Ecija (PGNE), through the General Fund, intends to apply the sum of Fiv</t>
  </si>
  <si>
    <t xml:space="preserve"> Stock/ Property No.	Unit 	Item Description		Quantity	 Unit Cost 	 Total Cost  						 00467	                 pc	Arcfile, horizontal, legal		15	 200.00 	 3,000.00  00468	                 pc	Arcfile, vertical, legal, top clip	35	 350.00 	 12,250.00  00453	  </t>
  </si>
  <si>
    <t xml:space="preserve"> The Local Government Unit of Camalig, Albay through its Bids and Awards Committee (BAC), now invites bids for the herein project: Name of Contract: Construction of Class "AA" Municipal Slaughterhouse at Camalig, Albay (Phase 2) Location: Barangay Salugan,</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</si>
  <si>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</si>
  <si>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Unlimited Data Plan Subscription for 24 Months With Free Tablets with Pen      Minimum Specifications of Tablets: Network :   GSM/HSPA/LTE Body:          201.5 x 122.4 x 8.9 mm                      (7.93 x 4.82 x 0.35 in)                     ***With Stylu</t>
  </si>
  <si>
    <t xml:space="preserve"> 20GM00186 – Purchase of Office Supplies and Equiments for use in Planning and Design Section</t>
  </si>
  <si>
    <t xml:space="preserve"> The Local Government Unit of Camalig, Albay through its Bids and Awards Committee (BAC), now invites bids for the herein project: Name of Contract: Construction/Improvement of Local Access Road at Sitio Greenhills, Barangay Cotmon, Camalig, Albay Location</t>
  </si>
  <si>
    <t xml:space="preserve"> MUNICIPALITY OF ABRA DE ILOG Name of Procuring Entity						 Contract Reference Number Goods No. 29-2020 Name of Contract: Supply and Delivery of Diesel Generator  Set Location:  LGU, ADIOM Republic of the Philippines Province of Occidental Mindoro Municip</t>
  </si>
  <si>
    <t xml:space="preserve"> The Barangay Government of Barangay AMBULONG, Tanauan City, Batangas through the Bids and Awards Committee (BAC) invites Suppliers/Contractors to apply for eligibility and if subsequently found eligible, to bid for the projects described hereunder, viz: P</t>
  </si>
  <si>
    <t xml:space="preserve"> INVITATION TO BID FOR THE SUPPLY, DELIVERY, INSTALLATION, AND COMMISSIONING OF 1 SET AMMONIA ION SELECTIVE ELECTRODE; 2 SETS CHLORIDE METER; 2 UNITS DIGITAL BOTTLE-TOP BURETTE; 1 SET NITRATE ION SELECTIVE ELECTRODE; 1 UNIT ULTRASONIC BATH, HEATED ITB No. </t>
  </si>
  <si>
    <t xml:space="preserve"> MUNICIPALITY OF ABRA DE ILOG Name of Procuring Entity						 Contract Reference Number Goods No. 31-2020 Name of Contract: Supply and Delivery of Materials for the Construction of Senior Citizens Building Location:  LGU, ADIOM Republic of the Philippines P</t>
  </si>
  <si>
    <t xml:space="preserve"> Supply &amp; Delivery of one (1) unit Brand new 16 ft, 4x2, 6-Wheeler with Dropside Cargo Truck to Domolok Tokawal Irrigators Association (DTIA) - Domolok, Alabel, Sarangani Province</t>
  </si>
  <si>
    <t xml:space="preserve"> Supply and Printing of Various Advocacy Materials for First Time Jobseekers Assistance Act (FTJAA)      Canvass Bag with Print - 305 Color: White Size: 16 inches x 13 inches305 10 inches handle 2.5 inches gusset Materials: Ballistic Fully Rubber (Please s</t>
  </si>
  <si>
    <t xml:space="preserve"> 20GM00187 – Purchase of Office Supplies for use in Procurement Unit</t>
  </si>
  <si>
    <t xml:space="preserve"> Supply and Delivery of One (1) Brand New Service Vehicle for the Department of Labor and Employment-Central Office       Minimum Requirements:  Crossover Utility Vehicle (CUV) – Brand New Color:   White                                                     </t>
  </si>
  <si>
    <t xml:space="preserve"> Republic of the Philippines Barangay 380, Zone 38, District III Bids and awards committee INVITATION TO BID Barangay 380, Zone 38, District III, Manila through its bids and awards committee (BAC) invites suppliers to bid the here under project:    CCTV Ca</t>
  </si>
  <si>
    <t xml:space="preserve"> See attached supporting bid documents</t>
  </si>
  <si>
    <t xml:space="preserve"> Please see Philippine Bidding Documents</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</si>
  <si>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</si>
  <si>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MUNICIPALITY OF ABRA DE ILOG Name of Procuring Entity						 Contract Reference Number Goods No. 30-2020 Name of Contract: Supply and Delivery of Materials for the Construction of 3 Barrel Box Culvert Location:  Sitio Karaw-an Brgy. San Vicente, ADIOM Repu</t>
  </si>
  <si>
    <t xml:space="preserve"> 200 Pails Organic Degreaser Declogger Contains Plant Extract, Saponins, Alkaloids,Tannins, Glycosides and water Concentrated Formula Non-toxic Non Flammable Environment Friendly Dilution ratio: 1L:50L water *FDA Product Registration and Approval 20 Liters</t>
  </si>
  <si>
    <t xml:space="preserve"> Department of Education Region VI-Western Visayas Division of Cadiz City Alimatoc Elementary School SMALLVALUE PROCUREMENT OF Lawn MowerFOR 2020 1. The Alimatoc Elementary School of Cadiz City, through the Schools MOOE Fund CY 2020 intends to apply the su</t>
  </si>
  <si>
    <t xml:space="preserve"> Republic of the Philippines  Barangay 42, zone 3, District I, Manila Bids and awards committee INVITATION TO BID Barangay 42, Zone 3, District I, Manila through its bids and awards committee (BAC) invites suppliers to bid the here under project: Office su</t>
  </si>
  <si>
    <t xml:space="preserve"> A week-long activities intended for members of Katipunan ng Kabataan such as but not limited to KK Asembly and Youth Development Programs in line with the celebration of International Youth Day</t>
  </si>
  <si>
    <t xml:space="preserve"> INVITATION TO BID FOR THE SUPPLY, DELIVERY, INSTALLATION AND COMMISSIONING OF 3 UNITS HAZARDOUS WASTE FILTRATION SYSTEM FOR TCLP (NON-VOLATILE) WITH COMPLETE ACCESSORIES, AND 2 SETS AGITATION APPARATUS FOR TCLP (NON-VOLATILE) WITH COMPLETE ACCESSORIES ITB</t>
  </si>
  <si>
    <t xml:space="preserve"> Republic of the Philippines Province of Nueva Vizcaya BIDS AND AWARDS COMMITTEE (BAC-GOODS) BAC OFFICE, Provincial Capitol, Bayombong, Nueva Vizcaya Tel. No. (078) 392-2650 	 INVITATION TO BID FOR THE SUPPLY AND DELIVERY OF DRUGS AND MEDICINES  FOR THE DU</t>
  </si>
  <si>
    <t xml:space="preserve"> 20 units - Handheld Radio Specs: Dual Band, Dual Display, Dual Standby,            5 watts max TX output, water resistant            VOX Hands Free Capable including NTC Permit. *Only with NTC Permit and PhilGEPS Platinum Reg with other legal government p</t>
  </si>
  <si>
    <t xml:space="preserve"> Republic of the Philippines PROVINCE OF NUEVA ECIJA City of Palayan INVITATION TO BID FOR  SUPPLY AND DELIVERY OF DRUGS AND MEDICINES August 19, 2020 1.	The Provincial Government of Nueva Ecija (PGNE), through the General Fund, intends to apply the sum of</t>
  </si>
  <si>
    <t xml:space="preserve"> INVITATION TO BID GS 2020-008-027 PROCUREMENT  OF VARIOUS   FERTILIZERS for the 2ND CROPPING SEASON 1.	The City Government of Sorsogon, through the Tanging Program under the 10 Pts. Agenda Other Purpose Funds CY 2020  intends to apply the sum of  Four  Mi</t>
  </si>
  <si>
    <t xml:space="preserve"> Description I.	Sign Board II.	Clearing &amp; Grubbing III.	Subgrade Preparation  IV.	Aggregate Sub Base Course V.	Aggregate Base Course (+10% Shrinkage) VI.	Portland Cement Concrete Pavement VII.	Formworks VIII.	Construction Safety &amp; Health 1. Barangay Catigb</t>
  </si>
  <si>
    <t xml:space="preserve"> 16 tanks - Fire Extinguisher 10lbs 2 units - Fire Extinguisher 20lbs (Refill) 7 units - Fire Extinguisher 10lbs (Refill) *Only Authorized by the BFP with legal permits and Platinum PhilGEPS Reg are allowed.</t>
  </si>
  <si>
    <t xml:space="preserve"> INVITATION TO  BID August 18, 2020 The Barangay Himaao, through its Bids and Award Committee (BAC), invites all suppliers to apply to bid for the project stated below: Name of Project: CONSTRUCTION OF DRAINAGE CANAL PHASE 4	 Project Reference No.: 2020-08</t>
  </si>
  <si>
    <t xml:space="preserve"> Republic of the Philippines Barangay 315, Zone 32, District III Bids and awards committee INVITATION TO BID Barangay 315, zone 32, District III, Manila through its bids and awards committee (BAC) invites suppliers to bid the here under project: Educationa</t>
  </si>
  <si>
    <t xml:space="preserve"> Republic of the Philippines Department of Education Region III SCHOOLS DIVISION OF AURORA San Luis, Aurora INVITATION TO BID FOR  SECOND PHASE OF REPRODUCTION OF SELF LEARNING MODULES (SLMS) 1.	The Department of Education, Schools Division of Aurora, thro</t>
  </si>
  <si>
    <t xml:space="preserve"> 1.	The Department of Education (DepEd) Southville I Elementary School, through the 2020 MOOE Fund   intends to apply the sum of One Million Twenty Eight Thousand Seven Hundred Sixty Pesos Only (PhP 1,028,760.00) being the Approved Budget for the Contract </t>
  </si>
  <si>
    <t xml:space="preserve"> Unit 	Item Description		            Quantity	 Unit Cost 	 Total Cost  					 unit 	Knapsack sprayer, 18L capacity		64	         1,300.00 	 83,200.00  	***Nothing follows***</t>
  </si>
  <si>
    <t xml:space="preserve"> MUNICIPALITY OF ABRA DE ILOG Name of Procuring Entity						 Contract Reference Number Goods No. 32-2020 Name of Contract: Supply and Delivery of Goods for PWD  Year-End activity Location:  LGU, ADIOM Republic of the Philippines Province of Occidental Mind</t>
  </si>
  <si>
    <t xml:space="preserve"> MUNICIPALITY OF ABRA DE ILOG Name of Procuring Entity						 Contract Reference Number Goods No. 33-2020 Name of Contract: Supply and Delivery of Goods for  Senior Citizens Year-End activity Location:  LGU, ADIOM Republic of the Philippines Province of Occ</t>
  </si>
  <si>
    <t xml:space="preserve"> INVITATION TO BID FOR THE SUPPLY AND DELIVERY: 6 UNITS CHEMICAL CABINET (FOR DRY CHEMICALS); 3 UNITS REAGENT CABINET; 3 UNITS UNDERBENCH CHEMICAL CABINET; 2 UNITS SOLVENT CABINET; 2 UNITS MEDIA CABINET; 2 UNITS SAFETY CABINET FOR CORROSIVES ITB No. EMB-GO</t>
  </si>
  <si>
    <t xml:space="preserve"> Other Supplies &amp; Materials Expenses - Programs &amp; Other Activities.</t>
  </si>
  <si>
    <t xml:space="preserve"> Item Number	Description	                           Quantity Grade 7	  7 Types of Modules  (50 pages each)	     8267 Grade 8	  7 Types of Modules (50 pages each)	     8176 Grade 9	  6 Types of Modules (50 pages each)	     7,230 G-9 TLE 	Cookery	           </t>
  </si>
  <si>
    <t xml:space="preserve"> Scope of Works: 1. Final Soil Covering     Item 104 (Embankment) 2. Perimeter Fence - 280 l.m. including gates 3. Signage - 2 units Billboards 4. Guardhouse - 3.0 sq.m. 5. Drainage Facility - 280 l.m. including cross drainage</t>
  </si>
  <si>
    <t xml:space="preserve"> Republic of the Philippines Region XII Province of Cotabato BIDS AND AWARDS COMMITTEE Amas, Kidapawan City INVITATION TO BID FOR Supply of Diesel Fuel for RP vehicle use of Committee on Youth and Sports and Committee on Infrastructure, Energy, Transportat</t>
  </si>
  <si>
    <t xml:space="preserve"> GLUE, all purposed, gross weight: 200 grams min 							5	JAR  FASTENER, METAL, 70mm between prongs 									20	BOX  FOLDER, FANCY, for A4 size documents 									5	BUNDL FOLDER, FANCY, for legal size documents 									10	BUNDL CARTOLINA, WHITE, 99gsm min</t>
  </si>
  <si>
    <t xml:space="preserve"> Republic of the Philippines Region XII Province of Cotabato BIDS AND AWARDS COMMITTEE Amas, Kidapawan City INVITATION TO BID FOR Supply &amp; Delivery of Vehicle Parts for various heavy equipment of Provincial Engineer’s Office, Amas, Kidapawan City. (PB-20-4</t>
  </si>
  <si>
    <t xml:space="preserve"> Republic of the Philippines Region XII Province of Cotabato BIDS AND AWARDS COMMITTEE Amas, Kidapawan City INVITATION TO BID FOR Supply &amp; Delivery of Blueprint Machine for Provincial Engineer’s Office, Amas, Kidapawan City. (PB-20-464) 1.	The Provincial G</t>
  </si>
  <si>
    <t xml:space="preserve"> Republic of the Philippines Region XII Province of Cotabato BIDS AND AWARDS COMMITTEE Amas, Kidapawan City INVITATION TO BID FOR Supply &amp; Delivery of Office Supplies for Provincial Engineer’s Office, Amas, Kidapawan City. (PB-20-463) 1.	The Provincial Gov</t>
  </si>
  <si>
    <t xml:space="preserve"> Republic of the Philippines PROVINCE OF NUEVA ECIJA City of Palayan INVITATION TO BID FOR  SUPPLY AND DELIVERY OF MEDICAL SUPPLIES March 19, 2020 1.	The Provincial Government of Nueva Ecija (PGNE), through the General Fund intends to apply the sum of Twel</t>
  </si>
  <si>
    <t xml:space="preserve"> Republic of the Philippines Region XII Province of Cotabato BIDS AND AWARDS COMMITTEE Amas, Kidapawan City INVITATION TO BID FOR Supply &amp; Delivery of Digital Duplicators for reproduction of DEPED modules. (PB-20-445) 1.	The Provincial Government of Cotaba</t>
  </si>
  <si>
    <t xml:space="preserve"> Republic of the Philippines Region XII Province of Cotabato BIDS AND AWARDS COMMITTEE Amas, Kidapawan City INVITATION TO BID FOR Supply &amp; Delivery of Fertilizers to be given to farmers affected by earthquake provincewide. (PB-20-436) 1.	The Provincial Gov</t>
  </si>
  <si>
    <t xml:space="preserve"> Republic of the Philippines Region XII Province of Cotabato BIDS AND AWARDS COMMITTEE Amas, Kidapawan City INVITATION TO BID FOR Supply &amp; Delivery of Laboratory Equipment for Biocon Laboratory, Office of the Provincial Agriculturist, Amas, Kidapawan City.</t>
  </si>
  <si>
    <t xml:space="preserve"> Republic of the Philippines Province of Nueva Vizcaya BIDS AND AWARDS COMMITTEE (BAC-GOODS) BAC OFFICE, Provincial Capitol, Bayombong, Nueva Vizcaya Tel. No. (078) 392-2650 	 INVITATION TO BID FOR THE SUPPLY AND DELIVERY OF DRUGS AND MEDICINES  FOR THE KA</t>
  </si>
  <si>
    <t xml:space="preserve"> INVITATION TO  BID August 18, 2020 The Barangay Himaao, through its Bids and Award Committee (BAC), invites all suppliers to apply to bid for the project stated below: Name of Project: REHABILITATION OF DRAINAGE CANAL 	 Project Reference No.: 2020-08-009 </t>
  </si>
  <si>
    <t xml:space="preserve"> Republic of the Philippines Region XII Province of Cotabato BIDS AND AWARDS COMMITTEE Amas, Kidapawan City INVITATION TO BID FOR Supply &amp; Delivery of Shelter &amp; Modular Tents to be used in evacuation centers. (PB-20-374) 1.	The Provincial Government of Cot</t>
  </si>
  <si>
    <t xml:space="preserve"> 1. The Mindanao State University - Tawi-Tawi College of Technology and Oceanography (MSU-TCTO), through the Trust Fund, intends to apply the sum of Six Hundred Two Thousand One Hundred Forty-Five Pesos Only(PHP 602,145.00) being Approved Budget of Contrac</t>
  </si>
  <si>
    <t xml:space="preserve"> Republic of the Philippines Province of Nueva Vizcaya BIDS AND AWARDS COMMITTEE (BAC-GOODS) BAC OFFICE, Provincial Capitol, Bayombong, Nueva Vizcaya Tel. No. (078) 392-2650 	 INVITATION TO BID FOR THE SUPPLY AND DELIVERY OF ONE (1) UNIT DIGITAL HEMATOCRIT</t>
  </si>
  <si>
    <t xml:space="preserve"> Republic of the Philippines Province of Nueva Vizcaya BIDS AND AWARDS COMMITTEE (BAC-GOODS) BAC OFFICE, Provincial Capitol, Bayombong, Nueva Vizcaya Tel. No. (078) 392-2650 	 INVITATION TO BID FOR THE SUPPLY AND DELIVERY OF MEDICAL AND LABORATORY SUPPLIES</t>
  </si>
  <si>
    <t xml:space="preserve"> 20GM00188 – Purchase of Spare Parts for use in Maintenance Section</t>
  </si>
  <si>
    <t xml:space="preserve"> 1 UNIT BRAND NEW 6-WHEELER CAB and chassis 15ft(wide cab) GVW: 4,400 kgs Engine: Diesel Intercooled 4-cycle, vertical 4-cylinder, in-line, overhead valve direct injection &amp; turbo Intercooled Max Output: 114.7 kW at 2500r/min Max Tourque: 430Nm at 1400r/mi</t>
  </si>
  <si>
    <t xml:space="preserve"> Republic of the Philippines Region XII Province of Cotabato BIDS AND AWARDS COMMITTEE Amas, Kidapawan City INVITATION TO BID FOR Supply &amp; Delivery of Vegetable Seeds to be given to farmers affected by earthquake provincewide. (PB-20-434) 1.	The Provincial</t>
  </si>
  <si>
    <t xml:space="preserve"> Republic of the Philippines Region XII Province of Cotabato BIDS AND AWARDS COMMITTEE Amas, Kidapawan City INVITATION TO BID FOR Supply &amp; Delivery of Mobility Assistant Devices for mental health patients. (PB-20-429) 1.	The Provincial Government of Cotaba</t>
  </si>
  <si>
    <t xml:space="preserve"> Medical Oxygen Gas (refill) 1,800 lbs 													215	pc  														 Note to the winning bidder: 														 All items should be delivered on 30 days upon Notice to Proceed.</t>
  </si>
  <si>
    <t xml:space="preserve"> REHABILITATE SENIOR CITIZEN BLDG. TEAR DOWN OF OLD BUILDING, SITE PREPARATION GRAVELING BEDING CONCRETING WORKS REINFORCING STEEL BARS COLUMN ROOF FRAME, ROOFING ELECTRICAL WORKS EXTENSION OF BLDG PAINTING WORKS</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</si>
  <si>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</si>
  <si>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Republic of the Philippines PROVINCE OF NUEVA ECIJA City of Palayan INVITATION TO BID FOR  SUPPLY AND DELIVERY OF JANITORIAL/ HOUSEKEEPING SUPPLIES August 19, 2020 1.	The Provincial Government of Nueva Ecija (PGNE), through the General Fund, intends to ap</t>
  </si>
  <si>
    <t xml:space="preserve"> Republic of the Philippines Province of Nueva Vizcaya BIDS AND AWARDS COMMITTEE (BAC-GOODS) BAC OFFICE, Provincial Capitol, Bayombong, Nueva Vizcaya Tel. No. (078) 392-2650 	 INVITATION TO BID FOR THE SUPPLY AND DELIVERY OF MEDICAL SUPPLIES  FOR THE KASIB</t>
  </si>
  <si>
    <t xml:space="preserve"> INVITATION TO  BID August 18, 2020 The Barangay Himaao, through its Bids and Award Committee (BAC), invites all suppliers to apply to bid for the project stated below: Name of Project: CONSTRUCTION OF PATHWAY AT SITIO CAANUNANGAN Project Reference No.: 20</t>
  </si>
  <si>
    <t xml:space="preserve"> Republic of the Philippines Province of Nueva Vizcaya BIDS AND AWARDS COMMITTEE (BAC-GOODS) BAC OFFICE, Provincial Capitol, Bayombong, Nueva Vizcaya Tel. No. (078) 392-2650 	 INVITATION TO BID FOR THE SUPPLY AND DELIVERY OF ONE (1) UNIT DIGITAL CENTRIFUGE</t>
  </si>
  <si>
    <t xml:space="preserve"> Concreting of Local Roads with total length of 200.00 Ln.m., 3.00m. width and 0.15m. (6") thickness and 1.00m. shouldering on both sides.</t>
  </si>
  <si>
    <t xml:space="preserve"> PROCUREMENT OF MATERIALS FOR THE REHABILITATION AND IMPROVEMENT OF MULTI-PURPOSE HALL OF BRGY. NAGBA, TIGBAUAN, ILOILO</t>
  </si>
  <si>
    <t xml:space="preserve"> Walking Cane (antique white wood, skull head) 37" 							1	set Good Harvest Anito (23.5", 25", 25.5", 26.5") 								4	pieces  Carabao Jar 15th Century (Anamese 14") 									1	pieces  Sukothai Bowl 8" 													1	pieces  European Plate Blue &amp; White (u</t>
  </si>
  <si>
    <t xml:space="preserve"> INVITATION TO BID (for the Procurement of Goods)           1.	The City Government of Puerto Princesa (CGPP), through iSupplemental Budget No. 3-2020  intends to apply the sum, corresponds as the Approved Budget for the Contract (ABC) for each of the follo</t>
  </si>
  <si>
    <t xml:space="preserve"> Supplies and Materials for RTC - KPTVC registration of BHS NC II requirements Unit 	Item Description		Quantity 			 pc	Monkey Wrench		2 pc	Screw Driver		2 pc	Flashlight		3 pc	Broom (Tingting) 		5 pc	Broom (Tambo) 		5 pc	Floor mop		4 sachet	Detergent		20 pc</t>
  </si>
  <si>
    <t xml:space="preserve"> INVITATION TO  BID August 18, 2020 The Barangay Himaao, through its Bids and Award Committee (BAC), invites all suppliers to apply to bid for the project stated below: Name of Project: CONSTRUCTION/RIPRAPPING OF IRRIGATION CANAL LINING 	 Project Reference</t>
  </si>
  <si>
    <t xml:space="preserve"> INVITATION TO BID (for the Procurement of Goods)           1.	The City Government of Puerto Princesa (CGPP), through its Supplemental Budget No. 3-2020  intends to apply the sum, corresponds as the Approved Budget for the Contract (ABC) for each of the fo</t>
  </si>
  <si>
    <t xml:space="preserve"> INVITATION TO BID (for the Procurement of Goods)           1.	The City Government of Puerto Princesa (CGPP), through its Supplemental Budget No. 1-2019, Supplemental Budget No. 3-2020 and General Appropriations Ordinance No. 1-2019 (General Fund FY 2020) </t>
  </si>
  <si>
    <t xml:space="preserve"> Replacement of defective Air Conditioning Unit at Procurement Office Unit 	Item Description	Quantity 		 Unit	"Air Conditioning Unit -Wall Mounted, Inverter Type, 2.0 HP -Inclusive of Installation Fee (Labor and Materials)"	1 ***Nothing Follows***</t>
  </si>
  <si>
    <t xml:space="preserve"> Republic of the Philippines Province of Nueva Vizcaya BIDS AND AWARDS COMMITTEE (BAC-GOODS) BAC OFFICE, Provincial Capitol, Bayombong, Nueva Vizcaya Tel. No. (078) 392-2650 	 INVITATION TO BID FOR THE SUPPLY AND DELIVERY OF LABORATORY SUPPLIES  FOR THE PR</t>
  </si>
  <si>
    <t xml:space="preserve"> Description   supply and delivery of the following: Lot 1- Drugs and medicines - Php 300,000.00 19 box Zycloran 100 19 box Zycloran 200 250 pcs Resperidone 100 ampules Fluphenazine Decanoate 25mg 5 box Biperiden tablet 2mg 100 vials Flunazine 25mg 150 pcs</t>
  </si>
  <si>
    <t xml:space="preserve"> Republic of the Philippines Province of Nueva Vizcaya BIDS AND AWARDS COMMITTEE (BAC-GOODS) BAC OFFICE, Provincial Capitol, Bayombong, Nueva Vizcaya Tel. No. (078) 392-2650 	 INVITATION TO BID FOR THE SUPPLY AND DELIVERY OF LABORATORY SUPPLIES  FOR THE KA</t>
  </si>
  <si>
    <t xml:space="preserve"> INK V100 (BLACK) REFILL 											15	UNIT  INK V200 (CYAN) REFILL 											15	UNIT  INK V300 (MAGENTA) REFILL 										15	UNIT  INK V400 (YELLOW) REFILL 										15	UNIT  COMPUTER KEYBOARD 											2	UNIT  COMCOLOR INK BLACK 											2	UNIT  COMC</t>
  </si>
  <si>
    <t xml:space="preserve"> Republic of the Philippines Region XII Province of Cotabato BIDS AND AWARDS COMMITTEE Amas, Kidapawan City INVITATION TO BID FOR Supply &amp; Delivery of Agricultural Supplies for the Office of the Provincial Agriculturist, Amas, Kidapawan City. (PB-20-466) 1</t>
  </si>
  <si>
    <t xml:space="preserve"> Please see attached bidding document associate with this notice</t>
  </si>
  <si>
    <t xml:space="preserve"> The Barangay Cadlan through its Bids and Committee (BAC) invites suppliers to apply for the hereunder project Project Ref. No.: 2020-08-002 Fund of Project: 20% BDF C/Y 2020                         20% BDF C/Y 2017 Delivery Period: 14days Prospective bidd</t>
  </si>
  <si>
    <t xml:space="preserve"> Republic of the Philippines Province of Nueva Vizcaya BIDS AND AWARDS COMMITTEE (BAC-GOODS) BAC OFFICE, Provincial Capitol, Bayombong, Nueva Vizcaya Tel. No. (078) 392-2650 	 INVITATION TO BID FOR THE SUPPLY AND DELIVERY OF DRUGS AND MEDICINES  FOR THE NU</t>
  </si>
  <si>
    <t xml:space="preserve"> Contract ID No. 20CSNC0005 - Cluster 5 - Consulting Services for the Conduct of Soil Exploration and/or Geotechnical Investigation in the preparation for the Preliminary Engineering Design of various FY 2021 Infrastructure Projects, Rosario, Bunawan, Tren</t>
  </si>
  <si>
    <t xml:space="preserve"> Contract ID No. 20CSNC0009 - Cluster 9 - Consulting Services for the Conduct of Soil Exploration and/or Geotechnical Investigation in the preparation for the Preliminary Engineering Design of various FY 2021 Infrastructure Projects, Loreto and La Paz, Agu</t>
  </si>
  <si>
    <t xml:space="preserve"> I. EXCAVATION WORKS II. CHB LINED CANAL WITH CONCRETE COVER</t>
  </si>
  <si>
    <t xml:space="preserve"> Contract ID No. 20CSNC0004 - Cluster 4 - Consulting Services for the Conduct of Soil Exploration and/or Geotechnical Investigation in the preparation for the Preliminary Engineering Design of various FY 2021 Infrastructure Projects, San Francisco, Agusan </t>
  </si>
  <si>
    <t xml:space="preserve"> Please see attached RFQ # 20-1209 Submit the HARDCOPY of your SIGNED and SEALED quotation together with your UPDATED ELIGIBILITY requirement on or before the closing date of this opportunity. For more information, please contact Ms. Marigin Mendoza (0965-</t>
  </si>
  <si>
    <t xml:space="preserve"> Republic of the Philippines Province of Nueva Vizcaya Municipality of Bambang -oOo- INVITATION TO BID The Local Government Unit of Bambang, through the 20% Development Fund (6910 2020), intends to apply the sum of FOUR MILLION FOUR HUNDRED NINETY NINE THO</t>
  </si>
  <si>
    <t xml:space="preserve"> Description of Works to be Done Demolition, Excavation, Masonry &amp; Carpentry Works.............100 ....................................................................................100% Item/Description....................................................</t>
  </si>
  <si>
    <t xml:space="preserve"> Contract ID No. 20CSNC0008 - Cluster 8 - Consulting Services for the Conduct of Soil Exploration and/or Geotechnical Investigation in the preparation for the Preliminary Engineering Design of various FY 2021 Infrastructure Projects, Veruela, Agusan del Su</t>
  </si>
  <si>
    <t xml:space="preserve"> Item I		20 days Excavation works Item II		Concrete works a.	22 cu.m. Column and Footing b.	7.056 cu.m. Beam c.	5.88 cu.m. Slab	 Item III	69.60 sq.m. Formworks and Scaffolding</t>
  </si>
  <si>
    <t xml:space="preserve"> INVITATION TO BID ITB NO. 20-15 	The Lung Center of the Philippines (LCP), through its Bids and Awards Committee 	(BAC), invites eligible bidders to bid for the, " PROCUREMENT FOR SUPPLY AND DELIVERY OF VARIOUS DIETARY SUPPLIES " (ITB NO 20-15) ABC Php 3,</t>
  </si>
  <si>
    <t xml:space="preserve"> https://drive.google.com/file/d/178VGcqsWhtQuKPbUi3StM7Ee-5PqjZgc/view?usp=drivesdk</t>
  </si>
  <si>
    <t xml:space="preserve"> INVITATION TO BID FOR THE Supply and Delivery of  Plate etc. (Kitchen Equipment)  (PR-2020-7611-0046) 1.	The City Government of Mandaue, through the Trust Fund – DRRMF Approved by the Sanggunian intends to apply the sum of One Million Four Hundred Ninety </t>
  </si>
  <si>
    <t xml:space="preserve"> 50 kilos sack of rice - 74 pieces 25 kilos sack of rice - 70 pieces</t>
  </si>
  <si>
    <t xml:space="preserve"> Diesel Fuel</t>
  </si>
  <si>
    <t xml:space="preserve"> Please see attached copy of the Request For Quotation</t>
  </si>
  <si>
    <t xml:space="preserve"> Contract ID No. 20CSNC0007 - Cluster 7 - Consulting Services for the Conduct of Soil Exploration and/or Geotechnical Investigation in the preparation for the Preliminary Engineering Design of various FY 2021 Infrastructure Projects, Trento and Sta. Josefa</t>
  </si>
  <si>
    <t xml:space="preserve"> Contract ID No. 20CSNC0006 - Cluster 6 - Consulting Services for the Conduct of Soil Exploration and/or Geotechnical Investigation in the preparation for the Preliminary Engineering Design of various FY 2021 Infrastructure Projects, San Francisco and Buna</t>
  </si>
  <si>
    <t xml:space="preserve"> INVITATION TO BID 										 Purchase of 1 Unit Multi-purpose Vehicle 										 The Local Government Unit of Barangay Dadiangas Northm, General Santos City, through the Barangay Fund, intends to apply the sum One Million Four Hundred Thousand Pesos Only </t>
  </si>
  <si>
    <t xml:space="preserve"> 1	Motorcycle - 4 Stroke - Single Cylinder - 150 - 200 cc with complete accessories</t>
  </si>
  <si>
    <t xml:space="preserve"> 1	Passenger Van MANUAL, 2.8L, 2,755 cc, 6 speeds manual, Seating Capacity:14, Fuel type: Diesel, Fuel Capacity: 70 L</t>
  </si>
  <si>
    <t xml:space="preserve"> Mini 4WD Farm-Tractor SPECIFICATIONS: &gt; with rated power 36-40 horsepower, vertical, three to four (3-4) cylinders, 4 stroke cycles, direct injection, natural aspirated diesel engine, minimum PTO horsepower is 85% of the maximum rated horsepower, PTO spee</t>
  </si>
  <si>
    <t xml:space="preserve"> WORK INCLUDES EXCAVATION FOR SLOPE PROTECTION STRUCTURE AND CONSTRUCTION OF STONE MASONRY WALL ON BOTH SIDES OF THE CREEK. THIS PROJECT HAS A LENGTH OF 140.00 LINEAR METERS ON BOTH SIDES.</t>
  </si>
  <si>
    <t xml:space="preserve"> 1	Motor Vehicle (4x2) Sports Utility vehicle (not exceeding 3000cc engine displacement, diesel-fed,4-cylender, manual transmission and additional accessories 1. Rain visor, 2. Seat Cover 3. Floor Mating and 4. Dash Cam.)</t>
  </si>
  <si>
    <t xml:space="preserve"> Republic of the Philippines PROVINCE OF NUEVA VIZCAYA Municipality of Alfonso Castañeda  BIDS &amp; AWARDS COMMITTEE FOR GOODS &amp; SERVICES REQUEST FOR QUOTATION RFQ Number: 2020-08-08 The Local Government of Alfonso Castañeda through its Bids and Awards Comm</t>
  </si>
  <si>
    <t xml:space="preserve"> INVITATION TO BID  PROCUREMENT OF MEDICAL SUPPLIES MRH-010-2020 1.	The Margosatubig Regional Hospital, through the funding source of 2020 GAA RA 11465 and/or Hospital Income intends to apply the sum of Ten Million Five Hundred One Thousand Five Hundred Th</t>
  </si>
  <si>
    <t xml:space="preserve"> For various Maintenance Work</t>
  </si>
  <si>
    <t xml:space="preserve"> INVITATION TO BID (for the Procurement of Goods)           1.	The City Government of Puerto Princesa (CGPP), through its SGeneral Appropriations Ordinance No. 1-2019 (General Fund FY 2020) intends to apply the sum, corresponds as the Approved Budget for t</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</si>
  <si>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</si>
  <si>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Republic of the Philippines Province of Northern Samar MUNICIPALITY OF LAOANG 6411 E. Lagrimas St. Barangay Guilaoangi, Laoang, N. Samar Invitation to Bid for the Proposed Construction of LGU-Garage 1.	The Local Government Unit of Laoang, through the 20% </t>
  </si>
  <si>
    <t xml:space="preserve"> 1.	The Local Government Unit of Siay, through the Budget Approved by the Sanggunian intends to apply the sum of One Million Nine Hundred Ninety One Thousand Four Hundred Four Pesos Only ( PhP 1,991,404.00) being the Approved Budget for the Contract (ABC) </t>
  </si>
  <si>
    <t xml:space="preserve"> INVITATION TO BID FOR THE Procurement of 2 units collapsible tent &amp; 48 pcs Mono block Chairs 1.The LGU-KALINGA, Kalinga Province through its Bids and Awards Committee (BAC) intends to apply the sum of a.  One Hundred Four Thousand One Hundred Sixty pesos </t>
  </si>
  <si>
    <t xml:space="preserve"> Barangay 775 Zone 84 District V, Manila Invites all Suppliers/Contractors to offer most favorable Bid for the following Office Equipment:                      One (1) unit PVC ID Maker</t>
  </si>
  <si>
    <t xml:space="preserve"> Office Supplies (Supplemental)</t>
  </si>
  <si>
    <t xml:space="preserve"> Macroset etc.  NOTE:To all suppliers bid documents and BAC Resolution 2020-029 are available at BAC Office and LGU website.</t>
  </si>
  <si>
    <t xml:space="preserve"> Invitation to Bid for Completion of Commercial Building at Brgy. Manangon, Diplahan Zambo. Sibugay 1.	The Barangay Manangon, Diplahan, Zamboanga Sibugay, through the Barangay Funds intends to apply the sum of One Hundred Thousand Pesos (Php 100,000.00). B</t>
  </si>
  <si>
    <t xml:space="preserve"> 10 UNITS EPSON L5190</t>
  </si>
  <si>
    <t xml:space="preserve"> REHABILITATION OF FOOTBRIDGE &amp; FABRICATION OF STEEL RAILINGS (MATERIALS) AT SITIO BUNLANG, NEW LEYTE, MACO, DAVAO DE ORO.</t>
  </si>
  <si>
    <t xml:space="preserve"> I. A. MATERIALS                                                 FREE    B. EQUIPMENT                         1 Unit Payloader                          Mun. Equipment                         1 Unit Road Grader                       Mun. Equipment          </t>
  </si>
  <si>
    <t xml:space="preserve"> IMPROVEMENT OF MULTI-PURPOSE BUILDING (TRIBAL HALL)  (MATERIALS) AT DUMLAN, MACO, DAVAO DE ORO.</t>
  </si>
  <si>
    <t xml:space="preserve"> CONSTRUCTION OF DRAINAGE CANAL (LABOR &amp; EQUIPMENT RENTAL ) AT PUROK 1 &amp; PUROK 4, ANISLAGAN, MACO, DAVAO DE ORO.</t>
  </si>
  <si>
    <t xml:space="preserve"> To procure goods for the 10th Cycle implementation of Supplementary Feeding Program in the Municipality of Pinili, locos Norte</t>
  </si>
  <si>
    <t xml:space="preserve"> MATERIALS FOR DRAINAGE CANAL AT PUROK 1 &amp; PUROK 4, ANISLAGAN, MACO, DAVAO DE ORO.</t>
  </si>
  <si>
    <t xml:space="preserve"> INVITATION TO BID     20-110 Name of Project	:	Medicines for LPH-Dr. J.P. Rizal Memorial District Hospital  Location	:	Calamba City, Laguna Brief Description	:	Various Medicines  Approved Budget For the Contract	:	3,218,515.88 Delivery Period 	:	10 Calend</t>
  </si>
  <si>
    <t xml:space="preserve"> IMPROVEMENT OF MULTI-PURPOSE BUILDING (TRIBAL HALL ) (LABOR &amp; EQUIPMENT RENTAL) AT DUMLAN, MACO, DAVAO DE ORO.</t>
  </si>
  <si>
    <t xml:space="preserve"> Photocopy of learning modules for the 1st Quarter Junior High School 219,508 copies Senior High School 42,851 copies</t>
  </si>
  <si>
    <t xml:space="preserve"> INVITATION TO BID     20-109 Name of Project	:	Medical Supplies for LPH-Dr. J.P. Rizal Memorial District Hospital  Location	:	Calamba City, Laguna Brief Description	:	Various Medical Supplies Approved Budget For the Contract	:	3,559,910.00 Delivery Period</t>
  </si>
  <si>
    <t xml:space="preserve"> AGGREGATES, GRAVEL 1" DIA.</t>
  </si>
  <si>
    <t xml:space="preserve"> To procure goods for the 10th Cycle implementation of Supplementary Feeding Program in the Municipality of Bangui, Ilocos Norte</t>
  </si>
  <si>
    <t xml:space="preserve"> INVITATION TO BID August 17, 2020 1.	The Provincial Government of Davao Occidental, through its Bids and Awards Committee (BAC), invites all suppliers to apply to bid for the following goods: Bids received in excess of the ABC shall be automatically rejec</t>
  </si>
  <si>
    <t xml:space="preserve"> To procure goods for the 10th Cycle implementation of Supplementary Feeding Program in the Municipality of Banna, Ilocos Norte</t>
  </si>
  <si>
    <t xml:space="preserve"> Crystal Gray Quartz with Installation etc. NOTE:To all suppliers bid documents and BAC Resolution 2020-029 are available at BAC Office and LGU website.</t>
  </si>
  <si>
    <t xml:space="preserve"> To procure goods for the 10th Cycle implementation of Supplementary Feeding Program in the Municipality of Burgos, Ilocos Norte</t>
  </si>
  <si>
    <t xml:space="preserve"> To procure goods for the 10th Cycle implementation of Supplementary Feeding Program in the Municipality of Dumalneg, Ilocos Norte</t>
  </si>
  <si>
    <t xml:space="preserve"> Local Cable TV Airtime Services etc. NOTE:To all suppliers bid documents and BAC Resolution 2020-029 are available at BAC Office and LGU website.</t>
  </si>
  <si>
    <t xml:space="preserve"> 1 rolls P.E. Pipe #2 1/2 28,500.00 28,500.00 4 rolls P.E. Pipe #2 17,500.00  70,000.00 5 pcs  P.E. Coupling #2 850.00  4,250.00 5 rolls Tapelon Tape #1 78.00  390.00 1 pc. P.E. Reducer #2 1/2 x 2 750.00  750.00 1 pc. G.I Union #2 1/2 985  985.00 Total:  1</t>
  </si>
  <si>
    <t xml:space="preserve"> 1	GI Pipe 3 dia., Sched 40 2	Acrylic primer 3	Acrylic putty 4	Acrytex Reducer 5	Angle Bar 1 1/2 x 1 1/2 x 1/4 6	Assorted CW Nails 7	Automotive Black 8	Baby roller cotton # 4 9	Blind Rivets 10	Body filler 11	C-Purlins 2 x 3 x 1.2mm 12	CHB #4 13	Color Roof </t>
  </si>
  <si>
    <t xml:space="preserve"> To procure goods for the 10th Cycle implementation of Supplementary Feeding Program in the Municipality of Carasi, Ilocos Norte</t>
  </si>
  <si>
    <t xml:space="preserve"> Items  Face mask Face shield  Alcohol Gun thermometer Sanitizers Mefenamic acid Vitamins</t>
  </si>
  <si>
    <t xml:space="preserve"> Methyl Eugenol etc.- REBID NOTE:To all suppliers bid documents and BAC Resolution 2020-029 are available at BAC Office and LGU website.</t>
  </si>
  <si>
    <t xml:space="preserve"> 2 UNITS - RECONDITION BONGO III 4 X 2 DOUBLE CAB, PICK UP TYPE, 6 WHEELERS, LEFT HAND DRIVE, 3                 CYLINDER, WATER COOLED, TCI, DIESEL ENGINE 3.0, MANUAL TRANSMISSION, 5 FORWARD AND 1                 REVERSE SPEED, TIRE SIZE FRONT 195R 15 AND </t>
  </si>
  <si>
    <t xml:space="preserve"> PROCUREMENT OF INSTALLATION OF SOLAR LIGHTING FACILITIES</t>
  </si>
  <si>
    <t xml:space="preserve"> INVITATION TO BID FOR Supply &amp; Delivery of One (1) unit Brand New 6-Wheeler Dump Truck 1.	 The Municipal Government of Quezon, Palawan, through the Development Fund 2019  intends to apply the sum of Four Million Six Hundred Thousand (4,600,000.00) Pesos O</t>
  </si>
  <si>
    <t xml:space="preserve"> SW-1008-2020-0115</t>
  </si>
  <si>
    <t xml:space="preserve"> Republic of the Philippines Province of Nueva Vizcaya Municipality of Ambaguio -oOo- INVITATION TO BID FOR SUPPLY OF CRUDE OIL 1.	The Municipal Government of Ambaguio, through the Budget for Contract Approved by the Sanggunian intends to apply the sum of </t>
  </si>
  <si>
    <t xml:space="preserve"> Facial Tissue etc. NOTE:To all suppliers bid documents and BAC Resolution 2020-029 are available at BAC Office and LGU website.</t>
  </si>
  <si>
    <t xml:space="preserve"> PR NO. 1283 - 20                                                            CITY GOVERNMENT OF TACURONG                                                       Alunan Highway, Tacurong City Sultan Kudarat                                      BIDS AND AWARDS</t>
  </si>
  <si>
    <t xml:space="preserve"> Anti Rabies Vaccine etc. NOTE:To all suppliers bid documents and BAC Resolution 2020-029 are available at BAC Office and LGU website.</t>
  </si>
  <si>
    <t xml:space="preserve"> Local Frequecy for Radio Broadcasting etc.  NOTE:To all suppliers quotation forms are available at BAC Office and LGU website.</t>
  </si>
  <si>
    <t xml:space="preserve"> Contract Name: Supply and Delivery of Tent Contract Location: LGU - Santa Maria, Bulacan Source of Fund: General Fund Approved Budget for the Contract (ABC): Php 1,955,000.00 Contract Duration: 30 calendar days Cost of Bidding Documents: Php 3,000.00</t>
  </si>
  <si>
    <t xml:space="preserve"> Purchase and installation of electrical materials including reinforced concrete pedestal intended for Barangay Kahaponan Steetlights: 3 units of 300 watts LED lamp with sensor, monocrystalline solar panel with battery, as per approved program of works and</t>
  </si>
  <si>
    <t xml:space="preserve"> To procure goods for the 10th Cycle implementation of Supplementary Feeding Program in the Municipality of Nueva Era, Ilocos Norte</t>
  </si>
  <si>
    <t xml:space="preserve"> Contract Name: Supply and Delivery of Various Furnitures and Fixtures Contract Location: LGU - Santa Maria, Bulacan Source of Fund: General Fund Approved Budget for the Contract (ABC): Php 4,000,000.00 Contract Duration: 30 calendar days Cost of Bidding D</t>
  </si>
  <si>
    <t xml:space="preserve"> Contract Name: Hauling, Transfer and Disposal of Solid Waste Materials Contract Location: LGU - Santa Maria, Bulacan Source of Fund: General Fund Approved Budget for the Contract (ABC): Php 28,500,000.00 Cost of Bidding Documents: Php 20,000.00</t>
  </si>
  <si>
    <t xml:space="preserve"> Purchased and installation of electrical materials including reinforced concrete pedestal intended for Barangay Kahaponan Streetlights: 30 units of 400 watts LED lamp with sensor, monocrystalline  solar panel with battery, as per approved program of works</t>
  </si>
  <si>
    <t xml:space="preserve"> Republic of the Philippines Sorsogon State College Sorsogon City INVITATION TO BID FOR  SUPPLY AND DELIVERY OF COMPUTER EQUIPMENT AND PERIPHERALS FOR THE REHABILITATION OF SSC NETWORK INFRASTRUCTURE OF THREE CAMPUSES OF SORSOGON STATE COLLEGE 1.	The SORSO</t>
  </si>
  <si>
    <t xml:space="preserve"> PR NO. 1162 - 20                                                            CITY GOVERNMENT OF TACURONG                                                       Alunan Highway, Tacurong City Sultan Kudarat                                      BIDS AND AWARDS</t>
  </si>
  <si>
    <t xml:space="preserve"> INVITATION TO BID FOR  SUPPLY AND DELIVERY OF COMMON-USED SUPPLIES AND EQUIPMENT FOR FOUR CAMPUSES OF SSC AND SCHOOL OF GRADUATE STUDIES USE 1.	The SORSOGON STATE COLLEGE, through the MOOE - HE &amp; GASS 2020   intends to apply the sum of FOUR MILLION ONE HU</t>
  </si>
  <si>
    <t xml:space="preserve"> Republic of the Philippines                 CITY GOVERNMENT OF TACURONG Alunan Highway, Tacurong City Sultan Kudarat BIDS AND AWARDS COMMITTEE                       Tel nos. (064) 562-0128 / Telefax no. (064) 477 - 0138                 www.tacurong.gov.ph</t>
  </si>
  <si>
    <t xml:space="preserve"> Contract Name: Improvement of Perimeter Fence Contract Location: PUP-SMB Campus, Pulong Buhangin, Santa Maria, Bulacan Source of Fund: General Fund Approved Budget for the Contract (ABC): Php 3,900,000.00 Contract Duration: 90 calendar days Cost of Biddin</t>
  </si>
  <si>
    <t xml:space="preserve"> NEGOTIATED PROCUREMENT 											 August 17, 2020 1.	The Provincial Government of Davao Occidental, through its Bids and Awards Committee (BAC), invites all potential bidders/suppliers to apply to bid for the following goods: Bids received in excess of t</t>
  </si>
  <si>
    <t xml:space="preserve"> A Republic of the Philippines BIDS AND AWARDS COMMITTEE Dagupan City Invitation to Bid   for CONSTRUCTION/EXTENSION OF DIAGNOSTIC CENTER BUILDING FOR CT-SCAN AT CITY HEALTH OFFICE, BARANGAY HERRERO-PEREZ, DAGUPAN CITY 1.	The City Government of Dagupan, th</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</si>
  <si>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</si>
  <si>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Republic of the Philippines SORSOGON STATE COLLEGE Sorsogon City Invitation to Bid for LABOR AND MATERIALS FOR THE REPAIR OF LIBRARY BUILDING (DAMAGED BY TYPHOON TISOY) AT BULAN CAMPUS 1.	The SORSOGON STATE COLLEGE, through the STF-AI 2019  intends to app</t>
  </si>
  <si>
    <t xml:space="preserve"> Municipality of Dolores, Quezon INVITATION TO BID FOR CONSTRUCTION OF WATER SUPPLY SYSTEM   AT BRGY.  BULAKIN 2, DOLORES, QUEZON The LGU, through  the General Fund (20% Devt. Fund) –intends to apply the sum of  One Million Six Hundred Sixty Thousand Seven</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</si>
  <si>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</si>
  <si>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Government of the Philippines LGU-DOLORES, QUEZON INVITATION TO BID FOR THE SUPPLY AND DELIVERY OF SEEDS AND FERTILIZERS 1.	The LGU, through the General  Fund –(20% Devt. Fund)  intends to apply the sum of Three Million Five Hundred Thousand Pesos (PhP3,5</t>
  </si>
  <si>
    <t xml:space="preserve"> Materials &amp; Fittings: •	250 Pcs 	Brass Ball Valve ½” (LOCKWING TYPE)	 •	500 Pcs 	Teflon Tape ¾” SPECIFICATION AND DATA FOR ALL GI FITTINGS SHOULD BE: SCHEDULE 40 HD = HEAVY DUTY AND HG = HEAVY GAUGE  	 •	250 Pcs 	GI Nipple ½” X 2” •	500 Pcs 	GI Nipple 1/2</t>
  </si>
  <si>
    <t xml:space="preserve"> Contract Location:  Malinao, Albay Brief Description: REHABILITATION/IMPROVEMENT/CONSTRUCTION OF FLOOD CONTROL      Source of Funds: SARO-BMB-A-20-0014152 The BAC is conducting the public bidding for this Contract in accordance with RA 9184 and its Implem</t>
  </si>
  <si>
    <t xml:space="preserve"> CONSTRUCTION OF MULTI-PURPOSE BUILDING (GAD BUILDING) PHASE II (LABOR &amp; EQUIPMENT RENTAL) AT NEW VISAYAS, MACO, DAVAO DE ORO.</t>
  </si>
  <si>
    <t xml:space="preserve"> Republic of the Philippines         CITY GOVERNMENT OF TACURONG Alunan Highway, Tacurong City Sultan Kudarat BIDS AND AWARDS COMMITTEE                  Tel nos. (064) 562-0128 / Telefax no. (064) 477 - 0138         www.tacurong.gov.ph                     </t>
  </si>
  <si>
    <t xml:space="preserve"> 1.	The Camarines Norte State College, through the 2020 General Fund intends to apply the sum of Eight Hundred Ninety Five Thousand (Php 895,000.00) Pesos being the Approved Budget for the Contract (ABC) to payments under the contract for Supply, Delivery </t>
  </si>
  <si>
    <t xml:space="preserve"> Issuance of Bid Documents Starts: August 15, 2020 Cost of Bid Document: Php 3,000.00 Venue of Dropping and Opening Bids: BAC Conference Room, Leyte SMED Center, Provincial Capitol Grounds, Tacloban City</t>
  </si>
  <si>
    <t xml:space="preserve"> 1.	The Capiz Provincial Government, through the GOP–2020 intends to apply the total amount of Eight Hundred Ninety-Eight Thousand Eight Hundred Ninety Pesos (Php, 898,890.00) being the total aggregated Approved Budget for the Contract (ABC) to payments un</t>
  </si>
  <si>
    <t xml:space="preserve"> Republic of the Philippines DEPARTMENT OF PUBLIC WORKS &amp; HIGHWAYS LEYTE THIRD  ENGINEERING DISTRICT OFFICE Regional Office VIII Villaba, Leyte Telefax No. (053) 552-9266 Email Add: dpwh_leyte3@yahoo.com INVITATION TO BID AUGUST 13, 2020 1.	The DPWH Third </t>
  </si>
  <si>
    <t xml:space="preserve"> INVITATION TO BID FOR SUPPLY AND DELIVERY UNPLASTICIZED POLYVINYL CHLORINE (uPVC) PIPES FOR REHAB OF TRANSMISSION PIPELINE AT BRGY. BULANON, BRGY. RAFAELA BARRERA AND BRGY. VITO, SAGAY CITY (PROVISION OF WATER SUPPLY TO NHA PERMANENT RESETTLEMENT SITES HO</t>
  </si>
  <si>
    <t xml:space="preserve"> 1.	The Capiz Provincial Government, through the GOP–2020 intends to apply the total amount One Hundred Thirty Thousand Pesos (Php 130,000.00) being the total Approved Budget for the Contract (ABC) to payments under the contract of Public Bidding for the S</t>
  </si>
  <si>
    <t xml:space="preserve"> PR NO. 1280 - 20                 Republic of the Philippines         CITY GOVERNMENT OF TACURONG Alunan Highway, Tacurong City Sultan Kudarat BIDS AND AWARDS COMMITTEE                  Tel nos. (064) 562-0128 / Telefax no. (064) 477 - 0138         www.tac</t>
  </si>
  <si>
    <t xml:space="preserve"> INVITATION TO BID The Department of Public Works and Highways (DPWH), Cavite II District Engineering Office, Alfonso, Cavite   through  GAA FY 2020  intends to apply the sum of  Three Hundred Four Thousand Five Hundred Pesos only  (P 304,500.00)  being th</t>
  </si>
  <si>
    <t xml:space="preserve"> INVITATION TO BID FOR Supply and Delivery of Materials for the Construction of Multi-Purpose Bleacher at Bgy. Tagusao, Quezon, Palawan 1.	The Municipal Government of Quezon, Palawan, through the Development Fund 2018 intends to apply the sum of Three Hund</t>
  </si>
  <si>
    <t xml:space="preserve"> Republic of the Philippines PHILIPPINE RURAL DEVELOPMENT PROJECT Province of Masbate Masbate City August 18, 2020 REQUEST FOR QUOTATION SHOPPING – GOODS The Government of the Philippines (GOP) has received a Loan from the World Bank is a towards the cost </t>
  </si>
  <si>
    <t xml:space="preserve"> INVITATION TO BID FOR Supply and Delivery of Materials for the Construction of Composting Facility Building 1.	The Municipal Government of Quezon, Palawan, through the Development Fund 2018 intends to apply the sum of Two Hundred Eleven Thousand Five Hund</t>
  </si>
  <si>
    <t xml:space="preserve"> INVITATION TO BID FOR Supply &amp; Delivery of Various Disaster Equipment for MDRRM Office 1.	 The Municipal Government of Quezon, Palawan, through the LDRRMF 2020  intends to apply the sum of One Million Eight Hundred Six Thousand Seven Hundred One (1,806,70</t>
  </si>
  <si>
    <t xml:space="preserve"> Republic of the Philippines					 Province of Bukidnon					 Municipality of Lantapan					 					 INVITATION TO BID FOR THE PURCHASE OF VARIOUS SEEDLINGS					 USE FOR THE REHABILITATION OF ALANIB RIVER WATERSHED (2ND BID)					 					 1	The Local Government Un</t>
  </si>
  <si>
    <t xml:space="preserve"> 12 PCS Polo Shirt (S-L) with embroided TESDA Logo &amp; text		 1 PC Polo Shirt (XL) with embroided TESDA Logo &amp; text		 1 PC Polo Shirt (2XL) with embroided TESDA Logo &amp; text</t>
  </si>
  <si>
    <t xml:space="preserve"> 2 in 1 Tire Inflator (DC 12V 250 PSI AIR COMPRESSOR WITH VACUUM CLEANER)</t>
  </si>
  <si>
    <t xml:space="preserve"> INVITATION TO BID FOR Supply &amp; Delivery of Six (6) units Laptop for Sangguniang Bayan Office 1.	The Municipal Government of Quezon, Palawan, through the General Fund (CO 2019) intends to apply the sum of Two Hundred Seventy-Five Thousand (275,000.00) Peso</t>
  </si>
  <si>
    <t xml:space="preserve"> 1.	The Local Government Unit of Barangay Puhagan, through the 80% Royalty Tax 2010 Surplus intends to apply the sum of Eight Hundred Thousand Pesos (P 800,000.00) being the Approved Budget for the Contract (ABC) to payments under the contract for the Impr</t>
  </si>
  <si>
    <t xml:space="preserve"> 1.	The Local Government Unit of Barangay Puhagan, through the 80% Royalty Tax 2010 Surplus intends to apply the sum of Seven Million Pesos (P 7,000,000.00) being the Approved Budget for the Contract (ABC) to payments under the contract for the Improvement</t>
  </si>
  <si>
    <t xml:space="preserve"> Republic of the Philippines					 Province of Bukidnon					 Municipality of Lantapan					 					 INVITATION TO BID FOR THE PURCHASE OF PLASTIC					 CONTAINER USE FOR THE LOCAL GOVERNMENT [1ST BID]					 					 1	The Local Government Unit of Lantapan through t</t>
  </si>
  <si>
    <t xml:space="preserve"> 10 x 6 ft (CITIZEN'S CHARTER)</t>
  </si>
  <si>
    <t xml:space="preserve"> Republic of the Philippines DEPARTMENT OF PUBLIC WORKS AND HIGHWAYS BATANGAS III DISTRICT ENGINEERING OFFICE REGIONAL OFFICE IV-A J. Gonzales St., Barangay 4, Tanauan City INVITATION TO BID (CW-2020-040) The DPWH–Batangas III District Engineering Office, </t>
  </si>
  <si>
    <t xml:space="preserve"> Republic of the Philippines					 Province of Bukidnon					 Municipality of Lantapan					 					 INVITATION TO BID FOR THE PURCHASE OF VARIOUS SEEDLINGS					 USE FOR ALANIB RIVER WATERSHED REHABILITATION PROGRAM (2ND BID)					 					 1	The Local Government U</t>
  </si>
  <si>
    <t xml:space="preserve"> ARTICLE AND DESCRIPTION										 ITEM	QTY.	UNIT						CEILING 			UNIT PRICE			TOTAL  								PRICE						 				Office: 	Office of the City Accountant 			PR. No. 791						 				Charge to :  Repairs and Maintenance-Machinery and Equipment										 				 ABC:  </t>
  </si>
  <si>
    <t xml:space="preserve"> 1.	The Capiz Provincial Government, through the GOP–2020 intends to apply the total amount One Million One Hundred Sixty-Nine Thousand Forty-One Pesos (Php,1,169,041.00) being the total Approved Budget for the Contract (ABC) to payments under the contract</t>
  </si>
  <si>
    <t xml:space="preserve"> INVITATION TO BID FOR THE  CONSTRUCTION OF PASALUBONG CENTER Brgy. Poblacion, Buenavista, Quezon 1.	The Municipal Government of Buenavista, Quezon through the Nyogyugan Prize Fund intends to apply the sum of One Million Pesos (P1,000,000.00) being the App</t>
  </si>
  <si>
    <t xml:space="preserve"> INVITATION TO BID FOR THE CONSTRUCTION OF SANITARY LANDFILL – ECO PARK Brgy. Wasay Ibaba, Buenavista, Quezon 1.	The Municipal Government of Buenavista, Quezon, through the 20% Development  Fund intends to apply the sum of Two Million Five Hundred Thousand</t>
  </si>
  <si>
    <t xml:space="preserve"> INVITATION TO BID FOR THE COMPLETION OF RHU BUILDING  Brgy. Poblacion, Buenavista, Quezon 1.	The Municipal Government of Buenavista, Quezon, through the DOH Fund intends to apply the sum of One Million Nine Hundred Eighty Thousand Pesos (P1,980,000.00) be</t>
  </si>
  <si>
    <t xml:space="preserve"> PLEASE SEE ATTACHED BID DOCS.</t>
  </si>
  <si>
    <t xml:space="preserve"> INVITATION TO BID Project No.: CY 2020-GOODS-007 The Department of Education (DepED) Schools Division Office of Ligao City, through the General Appropriations Act FY 2020 intends to apply the sum of Fourteen Million Eighty-Five Thousand Pesos Only (Php 14</t>
  </si>
  <si>
    <t xml:space="preserve"> See attached RFQ in Associated Components and click the link in Other Information for the Scope of Works</t>
  </si>
  <si>
    <t xml:space="preserve"> Republic of the Philippines Province of Nueva Vizcaya Municipality of Ambaguio -oOo-   The Municipal Government of Ambaguio, through the Budget for Contract Approved by the Sanggunian intends to ap</t>
  </si>
  <si>
    <t xml:space="preserve"> Procurement of Goods intended for the Construction of Patrol Base at Sitio Bobong-Abaga, Nunungan, Lanao del Norte</t>
  </si>
  <si>
    <t xml:space="preserve"> 20 units with complete accessories with bobbin winder with warping board good lumber inclusion hands-on demo</t>
  </si>
  <si>
    <t xml:space="preserve"> Issuance of Bid Documents Starts: August 15, 2020 Cost of Bid Document: Php 2,500.00 Venue of Dropping and Opening Bids: BAC Conference Room, Leyte SMED Center, Provincial Capitol Grounds, Tacloban City</t>
  </si>
  <si>
    <t xml:space="preserve"> NAME OF PROJECT:  FABRICATION OF LGU LOGO AND NAME                      LOCATION OF THE PROJECT:  Donsol, Sorsogon PROJECT REFERENCE NO     GOODS-PB-2020-008 Approved Budget for the Contract (ABC): ₱ 375,000.00 Item No.	Quantity	Unit	ITEM/DESCRIPTION 1	un</t>
  </si>
  <si>
    <t xml:space="preserve"> This project is dealing of Brgy. Rosario, Lopez, Quezon</t>
  </si>
  <si>
    <t xml:space="preserve"> Meals August 13, 2020  Breakfast - 3 pax  Am snacks -35 pax  Lunch - 35 pax  PM snack - 35 pax  Dinner - 4 pax August 14, 2020  Breakfast - 4 pax  AM snack - 35 pax  Lunch - 35 pax Accommodations Check-in: August 13, 2020 Check-out August 14, 2020 two (2)</t>
  </si>
  <si>
    <t xml:space="preserve"> 1.) FABRICATED TEMPERED GLASS MOVABLE RING INCLUDING INSTALLATION- 1 SET</t>
  </si>
  <si>
    <t xml:space="preserve"> INVITATION TO BID FOR PURCHASE OF OFFICE SUPPLIES, MUNICIPAL HEALTH OFFICE, CAJIDIOCAN, ROMBLON 1.	The Municipal Government of Cajidiocan, Romblon intends to apply the sum of ONE HUNDRED NINETY-NINE THOUSAND, EIGHT HUNDRED TWENTY-FIVE PESOS and 00/100 (P </t>
  </si>
  <si>
    <t xml:space="preserve"> CONSTRUCTION OF MULTI-PURPOSE BUILDING (GAD BUILDING) PHASE II (MATERIALS) AT NEW VISAYAS, MACO, DAVAO DE ORO.</t>
  </si>
  <si>
    <t xml:space="preserve"> 169 bags cement 19 cu.m. Gravel 10 cu.m. Sand 192 bdft Coco lumber 3 pcs RSB 12mm 2 kgs Assorted CWNail</t>
  </si>
  <si>
    <t xml:space="preserve"> Item 101- Removal of Existing Structure Item 104-Embankment Item 200- Aggregate Sub-Base Coarse Item 311- PCCP Item 500- RCPC 1.20mm Dia Item 506- Stone Masonry SPL-Construction Health and Safety SCHEDULE OF BIDDING Advertisement/Posting – August 18-27, 2</t>
  </si>
  <si>
    <t xml:space="preserve"> August 14, 2020 NOTICE OF PROCUREMENT OF GOODS THROUGH  ALTERNATIVE METHOD OF PROCUREMENT The Department of Public Works and Highways (DPWH) through the Bids and Awards Committee of Mindoro Occidental District Engineering Office, Mamburao, Occidental Mind</t>
  </si>
  <si>
    <t xml:space="preserve"> INVITATION TO BID FOR CONSTRUCTION OF MULTIPURPOSE HALL/ ISOLATION CENTER, SUGOD CAJIDIOCAN, ROMBLON 1.	The Municipal Government of Cajidiocan, Romblon intends to apply the sum of TWELVE MILLION, SIX HUNDRED FORTY-NINE THOUSAND, NINE HUNDRED FORTY-EIGHT P</t>
  </si>
  <si>
    <t xml:space="preserve"> Issuance of Bid Documents Starts: August 15, 2020 Cost of Bid Document: Php 2,000.00 Venue of Dropping and Opening Bids: BAC Conference Room, Leyte SMED Center, Provincial Capitol Grounds, Tacloban City</t>
  </si>
  <si>
    <t xml:space="preserve"> INVITATION TO BID FOR PURCHASE OF MEDICAL AND DENTAL SUPPLY, MUNICIPAL HEALTH OFFICE, CAJIDIOCAN, ROMBLON 1.	The Municipal Government of Cajidiocan, Romblon intends to apply the sum of THREE HUNDRED FORTY-NINE THOUSAND, THREE HUNDRED NINETY-FIVE PESOS and</t>
  </si>
  <si>
    <t xml:space="preserve"> 1.	The Local Government Unit of Barangay Puhagan, through the 80% Royalty Tax 2010 Surplus  intends to apply the sum of Three Million Five Hundred Thousand Pesos   (P3,500,000.00) being the Approved Budget for the Contract (ABC) to payments under the cont</t>
  </si>
  <si>
    <t xml:space="preserve"> GL502VS-FY333T INTEL CORE I7 7700HQ/16GB DOR4/1TB + 256GB SSD/15" FHD/NVIDIA GTX1070(8G) WINDOWS 10 64 BIT/BACKLIT KB/ WIFI/BT/C.READER/CAM/4CELL/MOUSE &amp; HEADSET WITH BACKPACK</t>
  </si>
  <si>
    <t xml:space="preserve"> Please see attached RFQ # 20-1247 Submit the HARDCOPY of your SIGNED and SEALED quotation together with your UPDATED ELIGIBILITY requirement on or before the closing date of this opportunity. For more information, please contact Ma'am Nanette M. Rosales a</t>
  </si>
  <si>
    <t xml:space="preserve"> August 14, 2020 INVITATION TO BID 1.	The Department of Public Works and Highways, Mindoro Occidental District Engineering Office, Mamburao, Occidental Mindoro, through the General Appropriations Act intends to apply the sum of the Approved Budget for the </t>
  </si>
  <si>
    <t xml:space="preserve"> Request for Quotation for the Procurement of Chemical and Filtering Supplies needed for Laboratory use in support to “Mass production of quality banana planting materials through mass propagation techniques and protocols in Central Visayas” Project... 1.	</t>
  </si>
  <si>
    <t xml:space="preserve"> REQUEST FOR QUOTATION											 											 The Clark Development Corporation, through its Purchasing Division(PD), invites suppliers/											 manufacturers/contractors to send proposal for the hereunder project:											 											 											 Nam</t>
  </si>
  <si>
    <t xml:space="preserve"> Republic of the Philippines SORSOGON STATE COLLEGE Sorsogon City Invitation to Bid for LABOR AND MATERIALS FOR THE REPAIR OF BTTE BUILDING (DAMAGED BY TYPHOON TISOY) AT BULAN CAMPUS 1.	The SORSOGON STATE COLLEGE, through the STF-AI 2019  intends to apply </t>
  </si>
  <si>
    <t xml:space="preserve"> Procurement of Sound System 1.	The Local Government Unit  of Don Victoriano,  Don Victoriano, Misamis  Occidental through the  Bids and Awards Committee BAC intends to apply the sum of   Four Hundred Thousand Pesos  (P 400,000.00)  being the Approved Budg</t>
  </si>
  <si>
    <t xml:space="preserve"> Funded under the ten percent (10%) SK Share, the project aims to provided  anti-radiation glasses of the students of Barangay Sta.Monica. As the classes go virtual, the students will be exposed to long hours of radiation from computers and other gadget, t</t>
  </si>
  <si>
    <t xml:space="preserve"> COMMUNICATION EQUIPMENT</t>
  </si>
  <si>
    <t xml:space="preserve"> See attached file.....</t>
  </si>
  <si>
    <t xml:space="preserve"> Title:Procurement of Vehicle Parts and Accessories under P.R Nos. 2368-2020 and 2372-2020 - Office of the City Engineer-1Lot. Total ABC: Php 1,600,650.00 For representative/s of interested bidders  who wish to attend the Pre-Bidding Conference, please bri</t>
  </si>
  <si>
    <t xml:space="preserve"> Description   1 Set Main Circuit Breaker (MCB) 3 Phase 250A240 Volts 60H2 400AF Bolt on type center main nema 3R enclosure 1 Set Main Distribution Panel (MDP) 3 Phase, 250A, 240A, 240 Volts 60H2 Branches: Phase AB 160AT/400AF Single Phase, bolt on type Ph</t>
  </si>
  <si>
    <t xml:space="preserve"> Invitation to Construction of Covered Court (continuation) The Barangay Cagting, through the  20% Barangay Dev’t Fund CY2020 intends to apply the sum of Two Hundred Seven Six Thousand Five Hundred Forty Two Peso (P 276,542.00) being the Approved Budget fo</t>
  </si>
  <si>
    <t xml:space="preserve"> 1 unit              Motorcycle Vehicle, Electric Start                        Engine Type: 4-Stroke                        Displacement: 177cc                        Transmission: 4-speed constant                        Fuel Tank: 12 liters</t>
  </si>
  <si>
    <t xml:space="preserve"> Republic of the Philippines Province of Davao del Sur MUNICIPALITY OF STA.CRUZ INVITATION TO BID CONSTRUCTION OF DROP-IN AND CRISIS CENTER (ITB No. 08-INFRA-2020) 1.	The Local Government Unit of Sta. Cruz, Davao del Sur through the General Funds for the Y</t>
  </si>
  <si>
    <t xml:space="preserve"> 978 L.M. a. Excavation works 163 pcs. b. Pipelaying 3"Ø x 6m 8 units c. Installation of Fittings 978 L.M. d. Final Backfill with compaction 470 L.M. e. Demolition of concrete driveways &amp; road shoulders 3-6" thick 24 L.M. f. Road Crossing 470 L.M. g. Resto</t>
  </si>
  <si>
    <t xml:space="preserve"> HIKVISION 1080p 2.0mp Colorvu colored camera  -  5 units 12v 5amps CCTV Power Supply  -  1 unit 1tb Hard Disk Drive for Surveillance  -  1 unit External Pro SD Card Memory (32GB)  -  6 pcs. Siamese Coaxial Cable w/ Connector  -  125 meters Universal Charg</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</si>
  <si>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</si>
  <si>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Province of Nueva Vizcaya MUNICIPALITY OF AMBAGUIO -oo0oo- August 14, 2020 INVITATION TO APPLY FOR ELIGIBILITY AND TO BID 	The Municipal Government of Ambaguio, Nueva Vizcaya through the Bids and Awards Committee (BAC) hereby i</t>
  </si>
  <si>
    <t xml:space="preserve"> Supply and Delivery of a.) Grafted Rambutan seedlings (rong ring variety) (800 seedlings)</t>
  </si>
  <si>
    <t xml:space="preserve"> Construction Materials &amp; Supplies-Red Lead Paint,Cyclone Wire,etc...</t>
  </si>
  <si>
    <t xml:space="preserve"> 20 units with complete accessories with bobbin winder good lumber inclusion hands-on demo</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</si>
  <si>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</si>
  <si>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INVITATION TO BID Name of Contract: Supply and Delivery of Various Construction materials use for the Maintenance of Streetlights, Rehabilitation of Drainage Canal, Construction of Slope Protection at Brgys. San Vicente, Consolacion, San Jose, Camantiles,</t>
  </si>
  <si>
    <t xml:space="preserve"> Request for Quotation for the Procurement of Other Supplies needed for Laboratory use in support to “Mass production of quality banana planting materials through mass propagation techniques and protocols in Central Visayas”  1.	The Department of Agricultu</t>
  </si>
  <si>
    <t xml:space="preserve"> INVITATION TO BID FOR THE  CONSTRUCTION/EXTENSION OF NEW GUINLO BOAT LANDING, PHASE II (TAYTAY, PALAWAN) 1.	The Provincial Government of Palawan, through its 20% Development Fund (OBR No. 300-20-08-10035) account intends to apply the sum of Two Million Fi</t>
  </si>
  <si>
    <t xml:space="preserve"> Invitation to Bid  for Construction Projects The LGU Gabaldon, through the Budget for the contract approved by the respective Sanggunian intends to apply the sum of Two Million Seven Hundred Thousand pesos only (P 2,700,000.00) being the Approved Budget f</t>
  </si>
  <si>
    <t xml:space="preserve"> 1,500 SET SCHOOL KIT INCLUSION: 1 CUSTOMIZE ENVELOPE 1 CUSTOMIZE DRAWING PAD 1 PERSONALIZE NOTEBOOK 2 PERSONALIZE PENCIL 1 CRAYONS (8PCS-CRAYOLA BRAND) 1 SHARPENER 1 SET NURSERY LEARNING MODULE X X X X X X X X X X X X X X X X X X X X X</t>
  </si>
  <si>
    <t xml:space="preserve"> Funded under the ten percent (10%) SK Fund, the project will provide free school materials for the students of Barangay Sta. Monica.</t>
  </si>
  <si>
    <t xml:space="preserve"> Republic of the Philippines Province of Davao del Norte BARANGAY VISAYAN VILLAGE, TAGUM CITY BIDS AND AWARDS COMMITTEE                                                                                                                                         </t>
  </si>
  <si>
    <t xml:space="preserve"> SEALED BID NO.:HBAC-A2-2020-08-0996  DATE:       17 August  2020 Gentlemen:	 		 	Please quote your price for item/s indicated below. Price quoted is final, and without condition and inclusive of all taxes. Bid Proposal should be submitted in sealed envelo</t>
  </si>
  <si>
    <t xml:space="preserve"> AUGUST 17, 2020 INVITATION TO BID Name of Project: PURCHASE OF FUEL AND LUBRICANTS FOR HEAVY AND LIGHT EQUIPMENTS (LGU- KIBAWE) Approved Budget of the Contract: P 1,720,300.00 ITEMS: 18,000	liters	Diesel	  10,000	liters	Gasoline 400	liters	2T	  20	pails	O</t>
  </si>
  <si>
    <t xml:space="preserve"> INVITATION TO BID FOR THE  CONSTRUCTION OF BARANGAY HEALTH STATION IN BGY. BUNOG RIZAL (MUNICIPALITY OF RIZAL, PALAWAN) 1.	The Provincial Government of Palawan, through its 20% Development Fund (OBR No. 300-20-08-10029) account intends to apply the sum of</t>
  </si>
  <si>
    <t xml:space="preserve"> * EXTENSION OF 3M X 6M OF BRGY. HEALTH STATION * INSTALLATION OF CEILING AT THE OLD HEALTH STATION * REPAINTING OF WALLS INSIDE AND OUT</t>
  </si>
  <si>
    <t xml:space="preserve"> Place of Delivery	:	PENRO Office, Bgy. Sta. Monica, Puerto Princesa City Brief Description	:	Supply and Delivery of: 		LOT 1:  One (1) unit Drone Image Analysis Software; 		LOT 2:  Twenty-nine (29) units Geotagging Equipment; 		LOT 3:  One (1) set Two-way</t>
  </si>
  <si>
    <t xml:space="preserve"> Republic of the Philippines Province of Iloilo Municipality of New Lucena    New Lucena, Iloilo 							         August 18, 2020     Invitation to Bid for the Construction of Transport Terminal, Public Market,Poblacion, New Lucena , Iloilo.  	1. The Munici</t>
  </si>
  <si>
    <t xml:space="preserve"> Request for Quotation for the Procurement of Chemical and Filtering Supplies to be used in Metarhizium production and Diagnosis 1.	The Department of Agriculture-Regional Field Office 7 (DA-RFO 7), through the General Appropriations Act of CY 2020)  intend</t>
  </si>
  <si>
    <t xml:space="preserve"> Furnishing and delivery of materials, labor, tools and equipment and other incidentals only. Issuance of Bid Documents - August 18-September 9, 2020 Pre-Bid Conference - August 27, 2020; 1:00 p.m. Submission of Bids - on or before September 9, 2020; 1:00 </t>
  </si>
  <si>
    <t xml:space="preserve"> INVITATION TO BID FOR THE  IMPROVEMENT OF HOSPITAL LANDSCAPING AND FACILITIES (CORON DISTRICT HOSPITAL, CORON, PALAWAN) 1.	The Provincial Government of Palawan, through its 20% Development Fund (OBR No. 300-20-08-09854) account intends to apply the sum of</t>
  </si>
  <si>
    <t xml:space="preserve"> Interested bidders may submit their bid docs and complete requirement on  Sept. 01, 2020; 9:00 am. at the SK Hall, Moses st., Jordan Plaines Subd., Bgy. Sta. Monica, Quezon City.</t>
  </si>
  <si>
    <t xml:space="preserve"> Item No.	Unit	DESCRIPTION				Qty 						 1	Reams	Book Paper Long Subs 20				5 2	Reams	Book Paper Short Subs 20				10 3	Pad	Yellow Pad				3 4	Pcs.	Record Book (150 pages)				4 5	Pcs.	Highlighter Pen				5 6	Pcs.	Ballpen Blue (Pilot)				21 7	Box	Refill				4 8</t>
  </si>
  <si>
    <t xml:space="preserve"> AUGUST 17, 2020 INVITATION TO BID Name of Project: SUPPLY &amp; DELIVERY OF MATERIALS FOR VARIOUS CLASSROOMS REPAIR AT CAGAWASAN ELEMENTARY SCHOOL, NATULONGAN NHS AND WEST KIBAWE E/S Approved Budget of the Contract: P 788,476.73 1.) SUPPLY &amp; DELIVERY OF MATER</t>
  </si>
  <si>
    <t xml:space="preserve"> INVITATION TO BID   FOR Purchase of Photocopying Machine for Modular Learning The LGU-GABALDON, through the Budget for the contract approved by the respective Sanggunian intends to apply the sum of One Million One Hundred Eighty Seven Thousand Twelve Peso</t>
  </si>
  <si>
    <t xml:space="preserve"> INVITATION TO BID FOR THE  CONSTRUCTION OF EVACUATION CENTER/MULTI-PURPOSE BUILDING, BGY. BUNOG RIZAL (MUNICIPALITY OF RIZAL, PALAWAN) 1.	The Provincial Government of Palawan, through its 20% Development Fund (OBR No. 300-20-08-10037) account intends to a</t>
  </si>
  <si>
    <t xml:space="preserve"> Invitation to Bid for  Procurement of Labor and Materials for the Construction/Repair/Renovation of Various Civil Works at 3rd Floor of Blue Building IB NO. 2020-029-I The WESTERN VISAYAS MEDICAL CENTER, through the Regular Agency Fund GAA/SAA or Internal</t>
  </si>
  <si>
    <t xml:space="preserve"> The project aims to provide materials to be used by the students in their home schooling. As we are facing global pandemic, the Sangguniang Kabataan is helping our students cope up with the present situation.</t>
  </si>
  <si>
    <t xml:space="preserve"> ITEM NO.   QTY.       UNIT	          DESCRIPTION	               UNIT PRICE	TOTAL COST 1	11	Pcs.	C-Purlins 1.50mm Thk. 2”x4”x20	925.00	10,175.00 2	2	Pcs.	Color Roof, Rib Type; 0.40mm Thk, 11ft.	1,430.00	2,860.00 3	2	Pcs.	Color Roof, Rib Type; 0.40mm Thk, 1</t>
  </si>
  <si>
    <t xml:space="preserve"> Purchase of Diesel Fuel</t>
  </si>
  <si>
    <t xml:space="preserve"> Please quote your lowest price ont the item/s on attached document subject to herein terms and conditions and submit your quotation in a sealed envelope duly signed by your representative and submit your quotation to the BAC Secretariat, Provincial Genera</t>
  </si>
  <si>
    <t xml:space="preserve"> Vehicle Parts &amp; Accessories-Battery 13 plates,Tires,etc...</t>
  </si>
  <si>
    <t xml:space="preserve"> Interested parties may submit their quotation and complete bidding requirement  on September 01, 20202; 9:00 am at SK Hall, Moses St., Jordan Plaines Subd., Bgy Sta. Monica, Novaliches, Quezon City.</t>
  </si>
  <si>
    <t xml:space="preserve"> REPAIR &amp; MAINTENANCE MOTOR VEHICLE</t>
  </si>
  <si>
    <t xml:space="preserve"> INVITATION TO BID PROCUREMENT OF SURVEYING EQUIPMENT USE IN MUNICIPALITY OF BULUAN, MAGUINDANAO (ITB No. 05-Goods-2020)</t>
  </si>
  <si>
    <t xml:space="preserve"> ITEM NO. P.R. No. :City Mayor's Office 2020-08-3103 Date: 08/13/2020 Date: 24,700.00Room Accommodation, singleday191 29,900.00Room Accommodation, singleday232 19,500.00Room Accommodation, singleday153 19,500.00Room Accommodation, singleday154 24,000.00Roo</t>
  </si>
  <si>
    <t xml:space="preserve"> INVITATION TO NEGOTIATE FOR THE SUPPLY AND DELIVERY OF COMPLETE FERTILIZER The Municipality of Isulan, through the 2020 GENERAL FUND  intends to apply the sum of TWO HUNDRED NINETY-NINE THOUSAND PESOS (P 299,000.00) being the Approved Budget for the Contr</t>
  </si>
  <si>
    <t xml:space="preserve"> Republic of the Philippines Province of Davao del Sur Municipality of Malalag INVITATION TO BID FOR THE SUPPLY AND INSTALLATION OF AIR CONDITIONING UNITS FOR THE NEW MUNICIPAL HALL BUILDING 1.	The Local Government of Malalag, through its Annual Budget for</t>
  </si>
  <si>
    <t xml:space="preserve"> INVITATION TO BID FOR THE  CONSTRUCTION OF BATARAZA DISTRICT HOSPITAL PERIMETER FENCE PHASE II (MUNICIPALITY OF BATARAZA, PALAWAN) 1.	The Provincial Government of Palawan, through its 20% Development Fund (OBR No. 300-20-08-10031) account intends to apply</t>
  </si>
  <si>
    <t xml:space="preserve"> Brand Approved Budget Contract per Item Name and Description of the Article / sUnitQTY.ITEM NO. P.R. No. :City Mayor's Office 2020-08-3102 Date: 08/13/2020 Date: 27,000.00Room Accommodation - full board, single sharing,day18 1 36,000.00Room Accommodation-</t>
  </si>
  <si>
    <t xml:space="preserve"> INVITATION TO REBID FOR  MADE TO ORDER BPAT UNIFORM The Municipality of Isulan, through the GENERAL FUND 2020 intends to apply the sum of TWO HUNDRED FORTY-EIGHT THOUSAND TWO HUNDRED PESOS only(Php 248,200.00) being the Approved Budget for the Contract (A</t>
  </si>
  <si>
    <t xml:space="preserve"> For the use in Hazard Assessment/Inspection, IEC Campaign on DRRm &amp; COVID-19 Monitoring Municipal Wide</t>
  </si>
  <si>
    <t xml:space="preserve"> To download bidding documents, please click the link below https://drive.google.com/file/d/1jImr-AkibG4H30m_VZYeANx-8DIdh1cS/view?usp=drivesdk</t>
  </si>
  <si>
    <t xml:space="preserve"> Republic of the Philippines Province of Eastern Samar Municipality of Balangkayan INVITATION TO BID FOR  SUPPLY AND DELIVERY OF ASSORTED ITEMS FOR DOLE KABUHAYAN PROJECTS Balangkayan, E. Samar Aug. 18 – 24, 2020 The Municipal Government of Balangkayan, Ea</t>
  </si>
  <si>
    <t xml:space="preserve"> Labor and Materials Road Concreting Location: Brgy. Laguio (0.20 x 4.00 x 241m) -nothing follows-</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</si>
  <si>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</si>
  <si>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No.	QTY	UNIT	AGENCY'S SPECIFICATIONS 			 1	131	bags	Portland Cement 2	11	cu.m.	Washed River Sand 3	12	cu.m.	Gravel passing 4	187	pcs	Coco Lumber 2"x2"x12'   5	18	kg.	Common Wire Nails # 4 6	13	kg.	Common Wire Nails # 3 7	105	lengths	Def. RSB 12mm X 6m Gra</t>
  </si>
  <si>
    <t xml:space="preserve"> Brand Approved Budget Contract per Item Name and Description of the Article / sUnitQTY.ITEM NO. P.R. No. :City Mayor's Office 2020-08-3104 Date: 08/13/2020 Date: 21,000.00Room Accommodation - full board, single sharing,day14 1 22,500.00Room Accommodation </t>
  </si>
  <si>
    <t xml:space="preserve"> INVITATION TO BID FOR THE  CONSTRUCTION OF SEWAGE TREATMENT PLANT IN CUYO DISTRICT HOSPITAL (MUNICIPALITY OF CUYO, PALAWAN) 1.	The Provincial Government of Palawan, through its 20% Development Fund (OBR No. 300-20-08-10036) account intends to apply the su</t>
  </si>
  <si>
    <t xml:space="preserve"> The projects aims to provide free printing and scan for students most especially those who are in secondary level. Public bidding is set on September 01, 2020 at the SK Hall, Moses St., Jordan Plaines Subd., Bgy. Sta. Monica, Quezon City.</t>
  </si>
  <si>
    <t xml:space="preserve"> Please see the link below for the complete set of bidding documents</t>
  </si>
  <si>
    <t xml:space="preserve"> PALAYAN CITY WATER DISTRICT Brgy. Malate, Palayan City REQUEST FOR QUOTATION The PCWD herein after referred to as a Purchaser, now invites prospective Suppliers to submit sealed quotation of Generator Set. Description				       			         Quantity 1.	Gen</t>
  </si>
  <si>
    <t xml:space="preserve"> No.	QTY	UNIT	AGENCY'S SPECIFICATIONS 1	40	 Lengths 	 Def. RSB 12mm X 6m Grade 40  2	139	 Lengths 	 Def. RSB 10mm X 6m Grade 40  3	5	 cu.m. 	 Washed Sand  4	3	 cu.m. 	 Gravel 3/4"  5	430	 pcs. 	 4" x 8" x 16" CHB  6	5	 kg. 	 #16 G.I. Tie Wire  7	7	 rolls 	</t>
  </si>
  <si>
    <t xml:space="preserve"> Republic of the Philippines BOHOL ISLAND STATE UNIVERSITY Main Campus, Tagbilaran City INVITATION TO BID FOR SUPPLY AND DELIVERY OF TEXTBOOKS AND INSTRUCTIONAL MATERIALS FOR THE LIBRARY (PR NO. 2020-08-0661) 1.	The Bohol Island State University – Main Cam</t>
  </si>
  <si>
    <t xml:space="preserve"> VARIOUS JANITORIAL SUPPLIES</t>
  </si>
  <si>
    <t xml:space="preserve"> Republic of the Philippines BOHOL ISLAND STATE UNIVERSITY Main Campus, Tagbilaran City INVITATION TO BID FOR SUPPLY, DELIVERY AND INSTALLATION OF ROOM EMERGENCY LIGHTS (PR NO. 2020-06-0550) 1.	The Bohol Island State University – Main Campus, Tagbilaran Ci</t>
  </si>
  <si>
    <t xml:space="preserve"> Title:Procurement of 24 Set Hematology Reagent Set ;1,500 Tests/Set (5 Parts), 30 Sets,etc. under P.R No. 0970-2020-Butuan Medical Center Total ABC: Php 4,564,400.00 For representative/s of interested bidders  who wish to attend the Pre-Bidding Conference</t>
  </si>
  <si>
    <t xml:space="preserve"> Autonomy face masks  -dark green  -with One Cordillera logo and Cordillera Month themed design  -Benguet Suppliers only</t>
  </si>
  <si>
    <t xml:space="preserve"> INVITATION TO BID FOR PROCUREMENT OF VEGETABLE SEEDS, MAO, CAJIDIOCAN, ROMBLON 1.	The Municipal Government of Cajidiocan, Romblon intends to apply the sum of SEVENTY-NINE THOUSAND, SIX HUNDRED SEVENTY-FIVE PESOS and 00/100 (P 79,675.00) being the Approved</t>
  </si>
  <si>
    <t xml:space="preserve"> 1.	The Mabini Water District, through the Internal Cash Generation (ICG) intends to apply the sum of One Million Two Hundred Twenty One Thousand Two Hundred Fifty Pesos Only (P 1, 221, 250.00) being the Approved Budget for the Contract (ABC) to payment un</t>
  </si>
  <si>
    <t xml:space="preserve"> NO.	ITEM DESCRIPTION(ITEM NAME &amp; TECHNICAL SPECIFICATIONS)	QTY.	UNIT		 1.	Bond Paper (s)	10	ream 2.	Brown envelop (s)	30	Pcs 3.	Folder (s)	30	Pcs 4.	Folder (l)	30	Pcs 5.	Toilet Tissue	50	Rolls 6.	Ruler	5	Pcs  7.	Hand sanitizer	5	bott. 8	Staple wire #35	5	</t>
  </si>
  <si>
    <t xml:space="preserve"> Republic of the Philippines MUNICIPALITY OF TAPAZ BIDS AND AWARDS COMMITTEE Office of the BAC Secretariat, Ground Floor, Municipal Hall, Tapaz, Capiz 5814 E-mail: bac.tapaz@yahoo.com Invitation to Bid   Procurement of Works for the Upgrading of Public Pla</t>
  </si>
  <si>
    <t xml:space="preserve"> AUGUST 17, 2020 INVITATION TO BID Name of Project: SUPPLY &amp; DELIVERY OF CONSTRUCTION MATERIALS FOR THE INSTALLATION OF STREET LIGHTING SYSTEM (ELECTRIFICATION PROJECT) (50 UNITS) KIBAWE, BUKIDNON Approved Budget of the Contract: P 730,339.90 ITEMS: 352	ba</t>
  </si>
  <si>
    <t xml:space="preserve"> Republic of the Philippines PROVINCE OF ZAMBOANGA SIBUGAY Municipality of Roseller T. Lim    INVITATION TO BID 						Aug. 17, 2020 	 To All Interested Bidders: Notice is hereby served that sealed bid be received for public bidding under the harmonious pro</t>
  </si>
  <si>
    <t xml:space="preserve"> 2990 LITER OF DIESOLINE</t>
  </si>
  <si>
    <t xml:space="preserve"> ITEM NO.	Unit of issue	ITEM &amp;DESCRIPTION	Brand &amp; Model	QTY.	 	pc	General repair and cleaning of Microscopes		26	 					 			***Nothing Follows**			 					 			TOTAL ABC: Php 71,500.00</t>
  </si>
  <si>
    <t xml:space="preserve"> To download bidding documents, please click the link below https://drive.google.com/file/d/1nhEO-4OVcycu-CxHLjPH9euzIl84AEzS/view?usp=drivesdk</t>
  </si>
  <si>
    <t xml:space="preserve"> Construction of brgy. street lightings.</t>
  </si>
  <si>
    <t xml:space="preserve"> Request for Quotation for the Procurement of Other Supplies to be used in the irrigation system of Model Farm at Ubay Stock Farm, Ubay, Bohol 1.	The Department of Agriculture-Regional Field Office 7 (DA-RFO 7), through the General Appropriations Act of CY</t>
  </si>
  <si>
    <t xml:space="preserve"> For Pick-Up</t>
  </si>
  <si>
    <t xml:space="preserve"> REPAIR &amp; MAINTENANCE OFFICE EQUIP</t>
  </si>
  <si>
    <t xml:space="preserve"> FOAM MATTRESSES, 36" X75" X 4", LEATHERETTE, WATERPROOF IV STAND 4 HOOKS (PLASTIC BASE) WITH WHEELS INFANT WEIGHING SCALE, CURVED WEIGHING TRAY, DIGITAL UP TO 20 KILOGRAM CAPACITY</t>
  </si>
  <si>
    <t xml:space="preserve"> 1.	200	vial/s	Ampicillin+Sulbactam 750mg 2.	144	bottle/s	Cefalexin drops 100mg/ml 10ml 3.	1000	vial/s	Ceftriaxone 1gm 4.	300	vial/s	Cefuroxime  750mg 5.	10	box/es	Clopidogrel 75mg tab 100s 6.	300	ampule/s	Furosemide 10mg/ml 2ml 7.	10	box/es	IV Cannula G. </t>
  </si>
  <si>
    <t xml:space="preserve"> FURNISHING AND DELIVERY OF MATERIALS FOR THE CONSTRUCTION OF 5 UNITS BARANGAY MATERIAL RECOVERY FACILITIES</t>
  </si>
  <si>
    <t xml:space="preserve"> 40 sets Pyramid Type Tent White 6m x 6m w/ G.I Pipe Sch. 20 Frame , 30 sets Pyramid Type Tent White 3m x 6m w/ G.I Pipe Sch. 20 Frame</t>
  </si>
  <si>
    <t xml:space="preserve"> INVITATION TO BID FOR CONSTRUCTION OF SEAVIEW MULTI-PURPOSE HALL, POBLACION, CAJIDIOCAN, ROMBLON 1.	The Municipal Government of Cajidiocan, Romblon through the 20% DF 2020 intends to apply the sum of NINE HUNDRED NINETY-NINE THOUSAND, NINE HUNDRED SEVENTY</t>
  </si>
  <si>
    <t xml:space="preserve"> INVITATION TO BID FOR CONSTRUCTION OF FMR SITIO MALUBAGO, GUTIVAN, CAJIDIOCAN, ROMBLON 1.	The Municipal Government of Cajidiocan, Romblon through the 20% MDF 2020 intends to apply the sum of NINE HUNDRED NINETY-NINE THOUSAND, NINE HUNDRED THIRTY PESOS and</t>
  </si>
  <si>
    <t xml:space="preserve"> INVITATION TO BID FOR REHABILITATION OF SEAWALL AND INSTALLATION OF LIGHTS IN SHORELINE, POBLACION, CAJIDIOCAN, ROMBLON 1.	The Municipal Government of Cajidiocan, Romblon intends to apply the sum of FIVE HUNDRED NINETY-NINE THOUSAND, NINE HUNDRED FIFTY FO</t>
  </si>
  <si>
    <t xml:space="preserve"> INVITATION TO BID FOR CONSTRUCTION OF ACCESS ROAD - NALUS-UCAN, SUGOD, CAJIDIOCAN, ROMBLON 1.	The Municipal Government of Cajidiocan, Romblon through the 20% MDF MDC RES NO. 05-2020 intends to apply the sum of FOUR HUNDRED NINETY-NINE THOUSAND, NINE HUNDR</t>
  </si>
  <si>
    <t xml:space="preserve"> Pigment Ink, Black	2	bottle Pigment Ink, Cyan	2	bottle Pigment Ink, Magenta 2	bottle Pigment Ink, Yellow	2	bottle</t>
  </si>
  <si>
    <t xml:space="preserve"> METRO SIQUIJOR WATER DISTRICT BIDS &amp; AWARDS COMMITTEE Siquijor, Siquijor The Metro Siquijor Water District (MSWD) through the Bids &amp; Awards Committee (BAC) will be undertasking the procurement of the hereunder project: Name of Project: Procurement of 100 </t>
  </si>
  <si>
    <t xml:space="preserve"> Issuance of Bid Documents Starts: August 15, 2020 Cost of Bid Document: Php 1,500.00 Venue of Dropping and Opening Bids: BAC Conference Room, Leyte SMED Center, Provincial Capitol Grounds, Tacloban City</t>
  </si>
  <si>
    <t xml:space="preserve"> INVITATION TO REBID  FOR THE CATERING SERVICES 				(Meals &amp; Snacks for 3 Days) The Municipality of Isulan, through the TRUST FUND- DA Region XII (BUB CY2016)  intends to apply the sum of TWO HUNDRED TWENTY-FIVE THOUSAND PESOS ONLY (P 225,000.00) being the</t>
  </si>
  <si>
    <t xml:space="preserve"> See associated components for complete details</t>
  </si>
  <si>
    <t xml:space="preserve"> INVITATION TO BID FOR IMPROVEMENT OF RHU, POBLACION, CAJIDIOCAN, ROMBLON 1.	The Municipal Government of Cajidiocan, Romblon through the 20% MDF CY-2020 RES NO. 5-2020 intends to apply the sum of ONE MILLION, FIVE HUNDRED FIFTY-FIVE THOUSAND, EIGHT HUNDRED</t>
  </si>
  <si>
    <t xml:space="preserve"> ITEM NO.	Unit of issue	ITEM &amp;DESCRIPTION	Brand &amp; Model	QTY.	 1	stub	Accountable Forms # 51		500	 					 		***Nothing Follows**			 								 		TOTAL ABC: Php 50,000.00</t>
  </si>
  <si>
    <t xml:space="preserve"> Procurement of Supply and Delivery of Office  Supplies  2	pc	Whiteboard, wallmount 6ftx4ft in size 20	pad	Sticky notepad, size 2”x 3” 10	box	Vinyl paper clip, jumbo (4x6x9cm) 6	dozen	Double binder clip, 2’ 6	dozen	Double binder clip, 1’ 20	pc	Correction t</t>
  </si>
  <si>
    <t xml:space="preserve"> OPENING OF BIDS IN DSWD FO IX ZAMBOANGA CITY,				 DELIVERY IN DSWD ZC				 PROCUREMENT FOR THE FF.:				 				 12	UNIT	LARGE GROUP CONFERENCE CAMERA (SEE ATTACHED SPECIFICATION AT ASSOCIATED COMPONENT)		 12	UNIT	HIGH END MULTIMEDIA MICROPHONE WITH NOISE CANC</t>
  </si>
  <si>
    <t xml:space="preserve"> Republic of the Philippines PROVINCE OF CAMARINES SUR BIDS AND AWARDS COMMITTEE ITB No. 051-08-2020 INVITATION TO BID  	The Provincial Government of Camarines Sur (PGCS) through its Bids and Awards Committee (BAC) invites suppliers/manufacturers/distribut</t>
  </si>
  <si>
    <t xml:space="preserve"> INVITATION TO APPLY FOR ELIGIBILITY AND BID The Barangay of Daja, Maasin, Iloilo, through its Bids and Awards Committee (BAC), invites suppliers/ distributors/ contractors to apply for eligibility and to bid for the hereunder project: Name of Project : Re</t>
  </si>
  <si>
    <t xml:space="preserve"> AUGUST 17, 2020 INVITATION TO BID Name of Project: SUPPLY &amp; DELIVERY OF ELECTRICAL MATERIALS FOR THE INSTALLATION OF STREET LIGHTING SYSTEM (ELECTRIFICATION PROJECT) (50 UNITS) KIBAWE, BUKIDNON Approved Budget of the Contract: P 626,847.00 ITEMS: 5,000	me</t>
  </si>
  <si>
    <t xml:space="preserve"> The LGU- Palapag, Northern Samar,  through the 2020 Budget for the  contract approved by the  Sanggunian  intends to apply the sum of   Two Million  Four Hundred Ninety Nine Thousand, Nine Hundred Ninety Nine Thousand 93/100 (PhP 2,499,999.93)  being the </t>
  </si>
  <si>
    <t xml:space="preserve"> PROCUREMENT OF RISO MACHINE AND RISO INK  1.	The Local Government Unit  of Don Victoriano,  Don Victoriano, Misamis  Occidental through the  Bids and Awards Committee BAC intends to apply the sum of   Six Hundred Fifty-Five Thousand Pesos  (P 655,000.00) </t>
  </si>
  <si>
    <t xml:space="preserve"> 1.	42		sacks		Rice</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</si>
  <si>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</si>
  <si>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Concreting of an average of 140Lm x 3.0m x 0.15m at Sitio Nueve and 90Lm x 4.0m x 0.15m at Sitio Centro</t>
  </si>
  <si>
    <t xml:space="preserve"> Invitation to ReBid for the Construction of Multi-Purpose Hall Barangay Palangan 1.	The Municipal Government of Puerto Galera, through the LGU –General Fund FY 2020 intends to apply the sum of Two Million Two Hundred Ninety-Nine Thousand Nine Hundred Thir</t>
  </si>
  <si>
    <t xml:space="preserve"> To download bidding documents, please click the link below https://drive.google.com/file/d/1Zj0jM9J9dUER28rj4DCvJHuPI-i9TpAm/view?usp=drivesdk</t>
  </si>
  <si>
    <t xml:space="preserve"> Procurement of Fuel, Oil and Lubricants  1.	The Local Government Unit  of Don Victoriano,  Don Victoriano, Misamis  Occidental through the  Bids and Awards Committee BAC intends to apply the sum of   Five Hundred Ninety -Five Thousand Pesos  (P 595,000.00</t>
  </si>
  <si>
    <t xml:space="preserve"> INVITATION TO BID FOR THE  CONSTRUCTION OF PROPOSED 11M X 12.5M BUNK HOUSE (BGY. IRAWAN, PUERTO PRINCESA CITY, PALAWAN) 1.	The Provincial Government of Palawan, through its 20% Development Fund (OBR No. 300-20-03-02966) account intends to apply the sum of</t>
  </si>
  <si>
    <t xml:space="preserve"> Invitation to ReBid for the Construction of Minolo Pier 1.	The Municipal Government of Puerto Galera, through the 20% Development Fund FY 2020 intends to apply the sum of Three Million Four Hundred Ninety-Nine Thousand Nine Hundred Fifty-Eight Pesos &amp; For</t>
  </si>
  <si>
    <t xml:space="preserve"> Construction of 80 units sub-structure septic tank w/ bowl @ Sta Potenciana, Mapanas, Northern Samar  I. Earth Works           Pcs.         80 II. Masonry/Concrete  Pcs.          80 III. Tarpaulin</t>
  </si>
  <si>
    <t xml:space="preserve"> Republic of the Philippines PROVINCE OF ALBAY 				   Municipality of Rapu-Rapu Invitation to Bid for  Construction of Seaweed Solar Dryer on Stilt with Storage for Six Barangays 1.	The Local Government Units of Rapu-Rapu, Albay through the Approved BFAR B</t>
  </si>
  <si>
    <t xml:space="preserve"> 1	unit	Hammer Mill 		1.	Brand New Input Capacity: 100 kg/hr (minimum)  Type: Swinging type or fix hammer with set of screens 2.	Engine (Prime Mover) •	Brand New •	10 Hp (Min.) •	Aircooled diesel engine •	Maximum power developed: 80% of the rated maximum p</t>
  </si>
  <si>
    <t xml:space="preserve"> AUGUST 17, 2020 INVITATION TO BID Name of Project: SUPPLY &amp; DELIVERY OF LED STREET LIGHT FOR THE INSTALLATION OF STREET LIGHTING SYSTEM ( ELECTRIFICATION PROJECT) (50 UNITS) KIBAWE, BUKIDNON Approved Budget of the Contract: P 510,000.00 ITEM: 50	sets	LED </t>
  </si>
  <si>
    <t xml:space="preserve"> NAME OF PROJECT:  Procurement of Garbage Truck (Dump Truck)                      LOCATION OF THE PROJECT:  Donsol, Sorsogon PROJECT REFERENCE NO     GOODS-PB-2020-007 Approved Budget for the Contract (ABC): ₱ 3,000,000.00 Item No.	Quantity	Unit	ITEM/DESCR</t>
  </si>
  <si>
    <t xml:space="preserve"> The Bgy. Sta. Monica Council is purchasing L300 FB Body van to be utilized as barangay vehicle. Interested parties may cast their bid on September 01, 2020; 9:00 am at Bgy. Multi-Purpose Hall, Moses St., Jordan Plaines Subd., Bgy. Sta. Monica, Quezon City</t>
  </si>
  <si>
    <t xml:space="preserve"> Purchase of Light Cargo Truck for Transport of Cargo and Delivery of Equipment</t>
  </si>
  <si>
    <t xml:space="preserve"> Procurement of Furniture and Fixtures for the SK Office.  SK Barangay Magallanes reserves the right to disqualify any or all proposals, to waive any defects or informalities therein and to accept such proposal as may be considered most advantageous to the</t>
  </si>
  <si>
    <t xml:space="preserve"> MANUAL TRANSMISSION: ENGINE/TRANSMISSION MODEL 2FGD-FTV ( LOW) TYPE: 2.4 DIESEL 4-CYLINDER, 16-VALVE DOHC VARIABLE NOZZLE TURBO WITH FRONT MOUNTED INTERCOOLER DISPLACEMENT CC: 2,393 MAXIMUM TORQUE NM/RPM: 343/ 1,400-2,800 TRANSMISSION: 5 SPEED FUEL SYSTEM</t>
  </si>
  <si>
    <t xml:space="preserve"> 1. The Subic Bay Metropolitan Authority, through the 2020 Corporate Operating Budget for the contract approved by the SBMA Governing Board, intends to apply the sum of Four Million Nine Hundred Eighty-Nine Thousand Three Hundred Forty-One and 83/100 Pesos</t>
  </si>
  <si>
    <t xml:space="preserve"> INVITATION TO NEGOTIATE FOR THE SUPPLY &amp; DELIVERY OF VARIOUS AGRICULTURAL SUPPLIES The Municipality of Isulan, through the DA RFO 12 (PAMANA CY2016)  intends to apply the sum of FOUR HUNDRED EIGHTY-SIX THOUSAND FIVE HUNDRED PESOS (P 486,500.00) being the </t>
  </si>
  <si>
    <t xml:space="preserve"> Invitation to Bid for  Concreting of Bangbangolan Farm to Market Road, San Fernando City, La Union 1.	The Provincial Government of La Union, through the RA7171 intends to apply the sum of ₱1,950,000.00 being the Approved Budget for the Contract (ABC) to p</t>
  </si>
  <si>
    <t xml:space="preserve"> CONSTRUCTION OF 70 UNITS SUB-STRUCTURE SEPTIC TANK W/ BOWL @ SAN JOSE, MAPANAS, NORTHERN SAMAR   I.  EARTH WORKS                             PCS.            70  II. MASONRY/CONCRETE WORKS        PCS.            70  III. TARPAULIN                          </t>
  </si>
  <si>
    <t xml:space="preserve"> INVITATION TO BID FOR Supply &amp; Delivery of Disaster Tools and Equipment for MDRRM Office 1.	 The Municipal Government of Quezon, Palawan, through the STF 2015  intends to apply the sum of One Million Three Hundred Fifty-Seven Thousand Five Hundred (1,357,</t>
  </si>
  <si>
    <t xml:space="preserve"> INVITATION TO BID FOR Supply &amp; Delivery of Two (2) units Off-Road Motorcycle for MDRRM Office 1.	 The Municipal Government of Quezon, Palawan, through the LDRRM Fund 2020  intends to apply the sum of Two Hundred Eighty Thousand (280,000.00) Pesos Only bei</t>
  </si>
  <si>
    <t xml:space="preserve"> INVITATION TO BID FOR Procurement of Office Supplies for Different Offices 1.	The Municipal Government of Quezon, Palawan, through the General Fund intends to apply the sum of Seven Hundred Seventy Thousand Nine Hundred Ninety-Four Pesos  (670,994.00) Onl</t>
  </si>
  <si>
    <t xml:space="preserve"> INVITATION TO BID FOR Supply and Delivery of Materials for the Construction/Completion of Municipal Sanitary Landfill 1.	The Municipal Government of Quezon, Palawan, through the Development Fund 2018 intends to apply the sum of Six Hundred Eighty-Eight Th</t>
  </si>
  <si>
    <t xml:space="preserve"> INVITATION TO BID FOR Supply &amp; Delivery of Rabies Vaccine for MHO Patients 1.	The Municipal Government of Quezon, Palawan, through the General Fund 2020  intends to apply the sum of Two Hundred Ninety-Six Thousand (296,000.00) Pesos Only  being the Approv</t>
  </si>
  <si>
    <t xml:space="preserve"> Cotton Gloves Plastic Dustpan Broom w/ Stick Hats Garbage Bag (Plastic 1 pack = 12 pcs) Food Tshirts with print Tarpaulin</t>
  </si>
  <si>
    <t xml:space="preserve"> INVITATION TO BID FOR THE  CONSTRUCTION OF PROPOSED 11M X 12.5M BUNK HOUSE (BGY. APURAWAN, ABORLAN,  PALAWAN) 1.	The Provincial Government of Palawan, through its 20% Development Fund (OBR No. 300-20-03-02965) account intends to apply the sum of Two Milli</t>
  </si>
  <si>
    <t xml:space="preserve"> INVITATION TO BID FOR Supply &amp; Delivery of Fuel for Concreting of 375m Magsaysay Street, Bgy. Alfonso XIII 1.	The Municipal Government of Quezon, Palawan, through the Development Fund 2019  intends to apply the sum of Four Hundred Twenty-Three Thousand Fi</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</si>
  <si>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</si>
  <si>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1 lot construction and supplies</t>
  </si>
  <si>
    <t xml:space="preserve"> Construction of One (1) Storey, Six (6) Rooms with Comfort Room</t>
  </si>
  <si>
    <t xml:space="preserve"> INVITATION TO BID FOR Supply &amp; Delivery of Three (3) units Motorcycle for Mayor’s Office 1.	 The Municipal Government of Quezon, Palawan, through the General Fund 2020  intends to apply the sum of Two Hundred Twenty-Five Thousand (225,000.00) Pesos Only b</t>
  </si>
  <si>
    <t xml:space="preserve"> Republic of the Philippines Office of the Punong Barangay BIDS AND AWARDS COMMITTEE Lesseb, Burgos, Ilocos Sur INVITATION TO BID The Barangay Government of Lesseb, Burgos, Ilocos Sur, through its Bids and Awards Committee (BAC) invites bids for the hereun</t>
  </si>
  <si>
    <t xml:space="preserve"> Republic of the Philippines Department of Education Region IV-A-CALABARZON Division of Quezon Sariaya West District LUTUCAN CENTRAL SCHOOL The Department of Education, Division of Quezon, through Lutucan Central School, intends to procure “SUPPLY AND DELI</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</si>
  <si>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</si>
  <si>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Project Reference Number				: 	RFQ No. 2020-15						 Location of the Project				: 	BUREAU OF FIRE PROTECTION - REGIONAL OFFICE 10						 											 Standard Form Number				:	SF-GOOD-60						 Revised on				:	24-May-18						 											 REQUEST FOR QUOTATIO</t>
  </si>
  <si>
    <t xml:space="preserve"> Complete Construction of (7.00 x 18.0m plus corridor 2.5m) One (1) Sty Two (2) CL SB with reinforced concrete gutter, handwashing area at one side, PWD ramp with handrails, window grilles at front and rear windows, parallel wall and toilet at each classro</t>
  </si>
  <si>
    <t xml:space="preserve"> INVITATION TO BID FOR Supply &amp; Delivery of Various Equipment for MDRRM Office 1.	 The Municipal Government of Quezon, Palawan, through the LDRRM STF 2015  intends to apply the sum of Seven Hundred Eighty-Five Thousand (785,000.00) Pesos Only being the App</t>
  </si>
  <si>
    <t xml:space="preserve"> I. Mobillization II. Demolition Works III. Tile Works IV. Dry Wall Partition V. Ceiling Works VI. Painting Works VII. Electrical Works Prospective Bidders should posses a Valid PCAB License Applicable to contract, have completed a similar contract with a </t>
  </si>
  <si>
    <t xml:space="preserve"> ITEM NO.	Unit of issue	ITEM &amp;DESCRIPTION	Brand &amp; Model	QTY.	 	Lot	Design and Repair of MPEC Stairs		1	 					 					 					 			***Nothing Follows**			 					 					 				TOTAL ABC: Php 156,000.00</t>
  </si>
  <si>
    <t xml:space="preserve"> Republic of the Philippines Department of Education Region III SCHOOLS DIVISION OFFICE OF BATAAN MARIVELES NATIONAL HIGH SCHOOL-CABCABEN TO		:	INTERESTED SUPPLIER FROM		:	MARIVELES NATIONAL HIGH SCHOOL-CABCABEN SUBJECT	:	INVITATION TO SUBMIT QUOTATION FOR</t>
  </si>
  <si>
    <t xml:space="preserve"> 27 CU.M MOUNTAIN MIX 53 CU.M ITEM 201 338 BAGS PORTLAND CEMENT (40KG) 38 CU.M WASHED GRAVEL (Y-Y) 19 CU.M WASHED COARSED SAND 30 LENGTH 12MM X 6.0M STD. DEF. BAR 10 LENGTH 10MM X 6.0M STD. DEF. BAR 1 BAG ASPHALT FILTER 120 LTRS U-CHEM SUPERCURE-HR WAX BAS</t>
  </si>
  <si>
    <t xml:space="preserve"> Twelve (12) Units Biodegradable Shredders</t>
  </si>
  <si>
    <t xml:space="preserve"> Republic of the Philippines Province of Agusan del Norte Municipality of Magallanes Barangay Taod-oy BIDS AND AWARDS COMMITTEE INVITATION TO BID The Barangay Taod-oy, Magallanes, Agusan del Norte through its Bids and Awards Committee (BAC), invites potent</t>
  </si>
  <si>
    <t xml:space="preserve"> Republic of the Philippines Province of Davao del Sur Municipality of Malalag INVITATION TO BID FOR THE SUPPLY AND DELIVERY OF TWO (2) UNITS 100KVA GENERATOR SET FOR USED IN THE OPERATION OF MALALAG WATERWORKS SYSTEM  1.	The Local Government of Malalag, t</t>
  </si>
  <si>
    <t xml:space="preserve"> -Brand new/branded -High speed, with motor [AC/DC] -Complete with tools and accessories</t>
  </si>
  <si>
    <t xml:space="preserve"> Republic of the Philippines Office of the Punong Barangay BIDS AND AWARDS COMMITTEE Macaoayan, Burgos, Ilocos Sur INVITATION TO BID The Barangay Government of Macaoayan, Burgos, Ilocos Sur, through its Bids and Awards Committee (BAC) invites bids for the </t>
  </si>
  <si>
    <t xml:space="preserve"> 10,000.00 ream of book paper</t>
  </si>
  <si>
    <t xml:space="preserve"> ITB 20-004-CMGP 	 The Provincial Government of Biliran, through its Bids and Awards Committee (BAC), invites contractors registered with and classified by the Philippine Contractors Accreditation Board (PCAB) to bid for the hereunder contract, charge to C</t>
  </si>
  <si>
    <t xml:space="preserve"> 130 PCS 40CM X 40CM CERAMIC UNGLAZED TILES 25 PCS 20CM X 30CM CERAMIC GLAZED TILES 10 BAGS ADHESIVE TILE 25 KG./BAG 5 BAGS ABC TILE GROUT 2KG./BAG 12 PCS TILE TRIM 8' 18 PCS 5.0MM THK X 4' X 8' MARINE PLYWOOD 80 BD.FT. 2" X 2" X 8' COCOLUMBER (30 PCS) 64 </t>
  </si>
  <si>
    <t xml:space="preserve"> Procurement of supply and delivery of various Vegetable Seeds 3	Can	Ampalaya hybrid (highly tolerant to maleness) -100g/can 3	Can	 Eggplant hybrid (long purple type) 50g/can 3	Can	Squash hybrid (dark green: tolerant to cucurbit viruses) 250g/can 3	Can	Okr</t>
  </si>
  <si>
    <t xml:space="preserve"> INVITATION TO BID FOR  PURCHASE OF FOGGING MACHINE 	The Municipality of San Juan through the Government of the Philippines intends to apply the sum of  FOUR HUNDRED THOUSAND PESOS  (Php.400,000.00)  being the Approved Budget for the Contract (ABC) to paym</t>
  </si>
  <si>
    <t xml:space="preserve"> OTHER SUPPLIES &amp; MATERIAL EXP</t>
  </si>
  <si>
    <t xml:space="preserve"> To download bidding documents, please click the link below https://drive.google.com/file/d/1krY-q9vQ5mBTzk1vcxU-LW54GSe7t09b/view?usp=drivesdk</t>
  </si>
  <si>
    <t xml:space="preserve"> Complete Construction of (9.50 x 46.0m) Two (2) Sty Eight (8) CL SB mostly built with concrete masonry with PWD ramp with handrails, parapet wall on concrete gutter and complete  with electrical and sanitary/plumbing works, ventilation and water pumping a</t>
  </si>
  <si>
    <t xml:space="preserve"> Republic of the Philippines Office of the Punong Barangay BIDS AND AWARDS COMMITTEE Subadi Norte, Burgos, Ilocos Sur INVITATION TO BID The Barangay Government of Patac, Burgos, Ilocos Sur, through its Bids and Awards Committee (BAC) invites bids for the h</t>
  </si>
  <si>
    <t xml:space="preserve"> L=59LM; W=0.5M; H=0.4M WITH PLASTERING AND CONCRETE FLOORING</t>
  </si>
  <si>
    <t xml:space="preserve"> Item	Description	Unit	Quantity	 102	Excavation	cu.m	95.14	 105	Subgrade Preparation	Sq.m	714.00	 201	Aggregate Base Course	Sq.m	714	 311	Portland Cement Concrete Pavement	Sq.m	510	 500	Pipe Culverts &amp; Storm Drains	L.m	7.40	 505	Riprap &amp; Grouted Riprap 	cu</t>
  </si>
  <si>
    <t xml:space="preserve"> Issuance of Bid Documents Starts: August 15, 2020 Cost of Bid Document: Php 1,000.00 Venue of Dropping and Opening Bids: BAC Conference Room, Leyte SMED Center, Provincial Capitol Grounds, Tacloban City</t>
  </si>
  <si>
    <t xml:space="preserve"> LGU – Sierra Bullones     					  Contractor Reference Number 	                                                                                                 	                                                    								         Name of the Contract 	 			</t>
  </si>
  <si>
    <t xml:space="preserve"> Republic of the Philippines Office of the Punong Barangay BIDS AND AWARDS COMMITTEE Mapanit, Burgos, Ilocos Sur INVITATION TO BID The Barangay Government of Mapanit, Burgos, Ilocos Sur, through its Bids and Awards Committee (BAC) invites bids for the here</t>
  </si>
  <si>
    <t xml:space="preserve"> Invitation to Bid for the Renovation of Multi-Purpose Building The Municipality of San Francisco, Surigao del Norte, through the 20% Development Fund of CY 2020 intends to apply the sum of One Million Seven Hundred Fifty Thousand Pesos (1,750,000.00) bein</t>
  </si>
  <si>
    <t xml:space="preserve"> Procurement of Motor Vehicle  1.	The Local Government Unit of Don Victoriano, Don Victoriano, Misamis Occidental through the Bids and Awards Committee BAC intends to apply the sum of   One Hundred Forty-Five Pesos (P 145,000.00) being the Approved Budget </t>
  </si>
  <si>
    <t xml:space="preserve"> INVITATION TO APPLY FOR ELIGIBILITY AND BID The Barangay of Naslo, Maasin, Iloilo, through its Bids and Awards Committee (BAC), invites suppliers/ distributors/ contractors to apply for eligibility and to bid for the hereunder project: Name of Project : R</t>
  </si>
  <si>
    <t xml:space="preserve"> Contract Labor and Materials for the Construction of Drainage &amp; Improvement of Basketball Court of BLGU Sisimon, Laak, Davao De Oro with an ABC of Php. 65,000.00. Note: For further details of the said project, please see/contact Hon. Edgar L. Ybañez - Pun</t>
  </si>
  <si>
    <t xml:space="preserve"> NBC-0520-145</t>
  </si>
  <si>
    <t xml:space="preserve"> Republic of the Philippines													 City of San Carlos													 Negros Occidental													 									                    			REBIDDING	 INVITATION TO BID											FOR SALE	 			PURCHASE REQUEST NO: 1-20-07-0869				P 150.00	 Sealed bids for quot</t>
  </si>
  <si>
    <t xml:space="preserve"> INVITATION TO BID A.	The DPWH, Negros Oriental 1st District Engineering Office, Tinaogan, Bindoy, Negros Oriental now invites contractors to apply to bid for the contract(s); Contract ID # 		20HJ0125 Contract Name 	Construction of 2 units One-Storey Three</t>
  </si>
  <si>
    <t xml:space="preserve"> a. OTHER GENERAL REQUIREMENTS &gt; Project Billboard (Materials, Labor) 3 each &gt; Occupational Safety &amp; Health b. SUBBASE AND BASE COURSES &gt; Aggregate Subbase Course (Material, Equipment &amp; Labor) - 98.15 cu.m. c. SURFACE COURSES &gt; Portland Cement Concrete Pav</t>
  </si>
  <si>
    <t xml:space="preserve"> Republic of the Philippines													 City of San Carlos													 Negros Occidental													 									                   			REBIDDING	 INVITATION TO BID											FOR SALE	 			PURCHASE REQUEST NO: 1-20-07-0824				P 150.00	 Sealed bids for quota</t>
  </si>
  <si>
    <t xml:space="preserve"> QTY	UNIT	ITEM DESCRIPTION					 14	units	ELECTRIC ULTRA LOW VOLUME (ULV) SPRAYER					 		Power : 1200 W					 		Particle size : 0-50 Microns					 		Coverage : 5-6m					 		Capacity : 10L					 		Voltage : 220V					 		Portable / Knapsack					 		Disinfectant Sol</t>
  </si>
  <si>
    <t xml:space="preserve"> The CNSC Bids and Awards Committee would like to invite interested bidders to quote their lowest price for the following: Item No.   Unit of Issue  Quantity        Description 1              pcs                473         Face Mask With Full Sublimation a</t>
  </si>
  <si>
    <t xml:space="preserve"> SCOPE OF WORK 1. BILLBOARDS/SIGNAGE 2. STRUCTURAL EXCAVATION  3. REINFORCING STEEL BARS 3. STRUCTURAL CONCRETE</t>
  </si>
  <si>
    <t xml:space="preserve"> Republic of the Philippines Department of Health DAVAO REGIONAL MEDICAL CENTER Apokon, Tagum City BIDS AND AWARDS COMMITTEE Invitation to Bid for the SUPPLY &amp; DELIVERY OF OFFICE SUPPLIES - REBID 1.	The Davao Regional Medical Center (DRMC), through the HOS</t>
  </si>
  <si>
    <t xml:space="preserve"> BARANGAY ENHANCEMENT PROGRAM - BENHUR ACTION TEAM (3RD QUARTER)</t>
  </si>
  <si>
    <t xml:space="preserve"> NBC-0520-146</t>
  </si>
  <si>
    <t xml:space="preserve"> Republic of the Philippines Province of Batanes MUNICIPALITY OF BASCO      Invitation to Bid for the Project "Completion of Basco Rural Health Unit, Rehabilitation/Repair/Improvement of BHS Building-Barangay San Joaquin (Valugan) and Chanarian 1.	The Muni</t>
  </si>
  <si>
    <t xml:space="preserve"> Republic of the Philippines													 City of San Carlos													 Negros Occidental													 													 INVITATION TO BID											FOR SALE	 			PURCHASE REQUEST NO: 1-20-08-0964				P 150.00	 Sealed bids for quotation of prices will be recei</t>
  </si>
  <si>
    <t xml:space="preserve"> Republic of the Philippines													 City of San Carlos													 Negros Occidental													 										                      		REBIDDING	 INVITATION TO BID											FOR SALE	 			PURCHASE REQUEST NO: 1-20-07-0910				P 150.00	 Sealed bids for qu</t>
  </si>
  <si>
    <t xml:space="preserve"> Republic of the Philippines													 City of San Carlos													 Negros Occidental													 									                   			REBIDDING	 INVITATION TO BID											FOR SALE	 			PURCHASE REQUEST NO: 1-20-07-0893				P 150.00	 Sealed bids for quota</t>
  </si>
  <si>
    <t xml:space="preserve"> REQUEST FOR QUOTATION											 											 RFQ No.		NP/PB 20-0953				Date				August 17, 2020	 PR Reference		100-20-03-044				Implementing Office				CMO-Consolidated	 Closing Date and Time						September 8, 2020, 5:00pm					 Designated Places of Submissi</t>
  </si>
  <si>
    <t xml:space="preserve"> Republic of the Philippines													 City of San Carlos													 Negros Occidental													 										                  		REBIDDING	 INVITATION TO BID											FOR SALE	 			PURCHASE REQUEST NO: 1-20-07-0892				P 300.00	 Sealed bids for quotat</t>
  </si>
  <si>
    <t xml:space="preserve"> 1 Year Security Services, ABC 19,920,658.80/year 95 Security Guards (RE-BID)</t>
  </si>
  <si>
    <t xml:space="preserve"> Republic of the Philippines													 City of San Carlos													 Negros Occidental													 													 INVITATION TO BID											FOR SALE	 			PURCHASE REQUEST NO: 1-20-07-0956				P 150.00	 Sealed bids for quotation of prices will be recei</t>
  </si>
  <si>
    <t xml:space="preserve"> Procurement of Information and Communication Technology Equipment  1.	The Local Government Unit  of Don Victoriano,  Don Victoriano, Misamis  Occidental through the  Bids and Awards Committee BAC intends to apply the sum of   Five Hundred Ten Thousand Pes</t>
  </si>
  <si>
    <t xml:space="preserve"> Republic of the Philippines													 City of San Carlos													 Negros Occidental													 													 INVITATION TO BID											FOR SALE	 			PURCHASE REQUEST NO: 1-20-07-0924				P 150.00	 Sealed bids for quotation of prices will be recei</t>
  </si>
  <si>
    <t xml:space="preserve"> Republic of the Philippines													 City of San Carlos													 Negros Occidental													 									                        			REBIDDING	 INVITATION TO BID												FOR SALE	 			PURCHASE REQUEST NO: 1-20-07-0887					P 300.00	 Sealed bids fo</t>
  </si>
  <si>
    <t xml:space="preserve"> The MUNICIPALITY OF CALINTAAN, through the DILG AM 2020 intends to apply the sum of Five Million Six Hundred Thirty Seven Thousand Pesos Only (Php5,637,000.00) being the Approved Budget for the Contract (ABC) to payment  under the Contract No. 2020-08-34 </t>
  </si>
  <si>
    <t xml:space="preserve"> NBC-0520-162</t>
  </si>
  <si>
    <t xml:space="preserve"> 04	unit	LAPTOP (i3) 15.6 FHD 03	 	WIRELESS/DUPLEX PRINTER WITH SCANNER 3IN1 (L6190) 01	unit	LAPTOP (i7) 15.6 FHD 01	unit	LAPTOP (i5) 14” FHD 01	set	ACTIVE LOUDSPEAKER WITH 10” WOOFER, 200 WATTS 02	unit	AUTOMATIC VOLTAGE REGULATOR 1,000 WATTS (220/110 OUTP</t>
  </si>
  <si>
    <t xml:space="preserve"> Republic of the Philippines													 City of San Carlos													 Negros Occidental													 													 INVITATION TO BID											FOR SALE	 			PURCHASE REQUEST NO: 1-20-07-0871				P 150.00	 Sealed bids for quotation of prices will be recei</t>
  </si>
  <si>
    <t xml:space="preserve"> Republic of the Philippines Department of Health DAVAO REGIONAL MEDICAL CENTER Apokon, Tagum City BIDS AND AWARDS COMMITTEE Invitation to Bid for the SUPPLY &amp; DELIVERY OF INFORMATION TECHNOLOGY (I.T.) SUPPLIES - REBID 1.	The Davao Regional Medical Center </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</si>
  <si>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</si>
  <si>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Item No.	Unit	QNTY	ITEM DESCRIPTION 			 1	UNIT	1	MPPT hybrid solar lamp controller 			 2	PC	1	PVC pipe 3/4" 			 3	pc	1	1" male adopter 			 4	pc	1	3/4" male adopter 			 5	pc	1	3/4" uinion patente 			 6	pc	2	1" elbow 			 7	pcs	2	3/4" elbow 			 8	pcs	3	elect</t>
  </si>
  <si>
    <t xml:space="preserve"> 5	un	CALCULATOR, compact, 12 digits 50	box	CLIP BACKFOLD, 32mm 20	pc	ERASER, PLASTIC OR RUBBER 30	set	MARKER, FLUORESCENT, 3 colors per set 40	pc	MARKER, PERMANENT, bullet type, red 30	pc	MARKER, WHITEBOARD, black  30	pc	MARKER, WHITEBOARD, blue 30	pc	MAR</t>
  </si>
  <si>
    <t xml:space="preserve"> INVITATION TO APPLY FOR ELIGIBILITY AND BID								 								 The  Municipality  of  Maasin,  Iloilo,  through  its  Bids  and  Awards  Committee (BAC),  invites  suppliers/								 distributors/ contractors to apply for eligibility and to bid for the here</t>
  </si>
  <si>
    <t xml:space="preserve"> Item No.	Unit	DESCRIPTION				Qty 						 1	Pcs.	FILING CABINET COMM'L 4-D WRINKLED				3 2	Pcs.	FILING CABINET COMM'L 4-D BLUE				2 3	Pcs.	FILING CABINET COMM'L 3-D GRAY				2 4	Pcs.	EXECUTIVE CHAIR				1</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</si>
  <si>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</si>
  <si>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Please see attach PR</t>
  </si>
  <si>
    <t xml:space="preserve"> Republic of the Philippines									 Department of Public Works and Highways									 OFFICE OF THE DISTRICT ENGINEER									 Cagayan de Oro City 1st District Engineering Office									 10th RES Compound, Bulua, Cagayan de Oro City									 									 PU</t>
  </si>
  <si>
    <t xml:space="preserve"> Republic of the Philippines													 City of San Carlos													 Negros Occidental													 													 INVITATION TO BID											FOR SALE	 			PURCHASE REQUEST NO: 1-20-08-0976				P 150.00	 Sealed bids for quotation of prices will be recei</t>
  </si>
  <si>
    <t xml:space="preserve"> Republic of the Philippines Department of the Interior and Local Government BUREAU OF FIRE PROTECTION 10 OFFICE OF THE REGIONAL DIRECTOR Maharlika Bldg., Gumamela Extn. Carmen, Cagayan de Oro City Tel/Fax No. (088) 880-7534 Email Add: bfprabc10@yahoo.com </t>
  </si>
  <si>
    <t xml:space="preserve"> Procurement of Office Supplies for SK Office  SK Barangay Magallanes reserves the right to disqualify any or all proposals, to waive any defects or informalities therein and to accept such proposal as may be considered most advantageous to the SK Barangay</t>
  </si>
  <si>
    <t xml:space="preserve"> Title:Procurement of Hardware and Construction Supplies under P.R Nos. 2677-2020(Office of the City Economic Enterprise-Public Market Operation) and 2681-2020(Office of the City Economic Enterprise-Land Transport &amp; Terminal Operation)-1Lot. Total ABC: Php</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</si>
  <si>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</si>
  <si>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SK Barangay Magallanes reserves the right to disqualify any or all proposals, to waive any defects or informalities therein and to accept such proposal as may be considered most advantageous to the SK Barangay. For complete list of information for the pro</t>
  </si>
  <si>
    <t xml:space="preserve"> Republic of the Philippines Province of Batangas Municipality of San Juan BIDS AND AWARDS COMMITTEE INVITATION TO APPLY FOR ELIGIBILITY AND TO BID THE LOCAL  GOVERNMENT UNIT OF BRGY. MARAYKIT, SAN JUAN, BATANGAS, through its Bids and Awards Committee(BAC)</t>
  </si>
  <si>
    <t xml:space="preserve"> 3,546 cu.m. Supply Loading &amp; Hauling of CBM for Service Road Sapalan RIP CY 2019.</t>
  </si>
  <si>
    <t xml:space="preserve"> Republic of the Philippines Province of Batanes	 MUNICIPALITY OF BASCO               		INVITATION TO BID FOR THE PROCUREMENT OF BOTTLE CRUSHER 1.	The Municipal Local Government Unit of Basco, through the General Fund  intends to apply the sum of One Milli</t>
  </si>
  <si>
    <t xml:space="preserve"> Procurement of Other Property and Equipment of SK Office  SK Barangay Magallanes reserves the right to disqualify any or all proposals, to waive any defects or informalities therein and to accept such proposal as may be considered most advantageous to the</t>
  </si>
  <si>
    <t xml:space="preserve"> Republic of the Philippines													 City of San Carlos													 Negros Occidental													 													 INVITATION TO BID											FOR SALE	 			PURCHASE REQUEST NO: 1-20-08-0967				P 300.00	 Sealed bids for quotation of prices will be recei</t>
  </si>
  <si>
    <t xml:space="preserve"> Republic of the Philippines													 City of San Carlos													 Negros Occidental													 													 INVITATION TO BID											FOR SALE	 			PURCHASE REQUEST NO: 1-20-08-0973				P 150.00	 Sealed bids for quotation of prices will be recei</t>
  </si>
  <si>
    <t xml:space="preserve"> Invitation to Bid for Improvement of multi Purpose Bldg. for Barangay Mailag, Valencia City, Bukidnon 1.The Barangay Government of Mailag, through the Barangay Fund  intends to apply the sum of Ninety Six Thousand Pesos Only (P96,000.00) being the Approve</t>
  </si>
  <si>
    <t xml:space="preserve"> Republic of the Philippines													 City of San Carlos													 Negros Occidental													 													 INVITATION TO BID											FOR SALE	 			PURCHASE REQUEST NO: 1-20-08-0972				P 150.00	 Sealed bids for quotation of prices will be recei</t>
  </si>
  <si>
    <t xml:space="preserve"> Title: Procurement of General Merchandise under P.R Nos. 2375-2020 and 2379-2020- City Social Development Office-1Lot. Total ABC: Php 215,097.00 (INSTRUCTION AS TO THE REQUIRED FORM: For your price quotation, please use the attached Request for Quotation </t>
  </si>
  <si>
    <t xml:space="preserve"> ITEM DESCRIPTION: SPL Item I: OHSP Item 101: Removal of Structure and  Obstruction(Dilapidated Structure) Item 103: Excavation for Structure Item 405: Structural Concrete Item 404: Reinforcing Steel Bar SPL Item II: CHB Works w/ Plaster SPL Item III: Roof</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</si>
  <si>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</si>
  <si>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1. 2 set Portable Gasoline Generator Type: Brush (AVR), Single Phase Surge Output: 6800W Rated Output: 5500W Frequency: 60Hz Rated AC Voltage: 120 / 240V Phase: Single Phase Control Panel: Circuit Breaker, Voltmeter Receptacle: 1-Duplex 120V, 1-Twistlock </t>
  </si>
  <si>
    <t xml:space="preserve"> 1     lot      Masonry Works</t>
  </si>
  <si>
    <t xml:space="preserve"> MG-TSE20-032..REHAB/REPAIR OF VARIOUS DEFECTIVE LOW/MEDIUM/HIGH VOLTAGE EQUIPMENT ABC  : P 1,021,500.00 PLACE OF DELIVERY : CMTSD WAREHOUSE DITUCALAN, ILIGAN CITY AMOUNT OF BID DOCUMENTS : P 3,000.00</t>
  </si>
  <si>
    <t xml:space="preserve"> The MUNICIPALITY OF CALINTAAN, through the DILG AM 2020 intends to apply the sum of Three Million Five Hundred Twenty Thousand Pesos Only (Php3,520,000.00) being the Approved Budget for the Contract (ABC) to payment  under the Contract No. 2020-08-36 for </t>
  </si>
  <si>
    <t xml:space="preserve"> Republic of the Philippines Province of Cebu MUNICIPALITY OF BALAMBAN Balamban, Cebu Barangay Cantuod      	 	 	Barangay Cantuod of the Municipality of Balamban,  through  the  various  sources  of  Funds, intends  to  apply  the  sum  of  and  to  paymen</t>
  </si>
  <si>
    <t xml:space="preserve"> Republic of the Philippines													 City of San Carlos													 Negros Occidental													 													 INVITATION TO BID											FOR SALE	 			PURCHASE REQUEST NO: 1-20-08-0966				P 150.00	 Sealed bids for quotation of prices will be recei</t>
  </si>
  <si>
    <t xml:space="preserve"> Supplies and delivery of:                      Rescue suit with reflectorize                       Rainboots                       Long Bolo                       Emergency Light           (for the use of front-liners)</t>
  </si>
  <si>
    <t xml:space="preserve"> August 17, 2020 INVITATION TO BID  Reference No. 7181759 /Solicitation No.20-31 The City Government of Tagum invites interested Bidders/Suppliers to bid for the following: Name of Contract         :  CONSTRUCTION MATERIALS &amp; SUPPLIES FOR THE USE OF CEO – </t>
  </si>
  <si>
    <t xml:space="preserve"> QTY	UNIT	ITEM DESCRIPTION					 30	box	CONTINUOUS FORMS 11 X10-5/8 1 ply, 70 gsm with side 					 		perforation, 2000 sets/box</t>
  </si>
  <si>
    <t xml:space="preserve"> PCCP - 0.640 KM/1.280 LANE KM</t>
  </si>
  <si>
    <t xml:space="preserve"> MOTORCYCLE: 	  1 	 1 	 unit 	 SCOOTER 	 			 Displacement- 125mᵌ 	 			 Engine type- Air cooled, 4-stroke, SOHC, 	 			      2-valve 	 			 Starting system- Electric starter and 	 			      kickstarter 	 			 Fuel Supply System - Fuel injection 	 			 Tranmissio</t>
  </si>
  <si>
    <t xml:space="preserve"> Republic of the Philippines													 City of San Carlos													 Negros Occidental													 													 INVITATION TO BID											FOR SALE	 			PURCHASE REQUEST NO: 4-20-07-0948				P 500.00	 Sealed bids for quotation of prices will be recei</t>
  </si>
  <si>
    <t xml:space="preserve"> Improvement of the Existing Building</t>
  </si>
  <si>
    <t xml:space="preserve"> August 17, 2020 INVITATION TO BID  Reference No. 7181732 /Solicitation No.20-31 The City Government of Tagum invites interested Bidders/Suppliers to bid for the following: Name of Contract         :  CONSTRUCTION MATERIALS &amp; SUPPLIES FOR THE USE OF CMO - </t>
  </si>
  <si>
    <t xml:space="preserve"> Construction/Improvement of two (2) Storey multi purpose hall having an area of 12m x 4m.</t>
  </si>
  <si>
    <t xml:space="preserve"> Republic of the Philippines Office of the Punong Barangay BIDS AND AWARDS COMMITTEE Poblacion Sur, Burgos, Ilocos Sur INVITATION TO BID The Barangay Government of Poblacion Sur, Burgos, Ilocos Sur, through its Bids and Awards Committee (BAC) invites bids </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</si>
  <si>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</si>
  <si>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41	Sacks	Powdered Milk (Spray Process, Grade A,Nonfat Dry Milk, Made from Pasteurized Milk); @25kg/sack 50	Bags	        Cellophane (for 1 kilo, durable, thick)</t>
  </si>
  <si>
    <t xml:space="preserve"> Republic of the Philippines Province of Batanes MUNICIPALITY OF BASCO INVITATION TO BID FOR THE PROCUREMENT OF MATERIALS FOR BASCO WATERWORKS SYSTEM 1.	The Municipal Local Government Unit of Basco, through the General Fund  intends to apply the sum of One</t>
  </si>
  <si>
    <t xml:space="preserve"> Item No. 	Item Description					QTY.	Unit	Unit Price	Total Price 1	Digital Duplicator (RISO)					1	unt		 	Specifications:								 	(B4 size; 100cpm)								 	High Speed digital master making								 	Postcard - A3+ (90x140mm - 310x435mm)								 	50gsm - 1</t>
  </si>
  <si>
    <t xml:space="preserve"> Title: Procurement of Services under P.R Nos. 2908-2020 (City Internal Audit Service),2919-2020 (Municipal Trial Court in Cities- Branch 1), 2922-2020 (Municipal Trial Court in Cities- Branch 2), 2923-2020 (Municipal Trial Court in Cities- Branch 3), 2926</t>
  </si>
  <si>
    <t xml:space="preserve"> i.	Title:	COMPONENT 3 – ARBOLD MOVE PROJECT LIVELIHOOD SUPPORT FOR WOMEN IN CRISIS SITUATION ii.	Description	ORGANIZATIONAL DEVELOPMENT TRAINING iii.	 Date OF TRAINING:	AUGUST 2020 iv.	TRAINING SITE:	ZAMBALES v.	QUANTITY:	45 HOGS / 15 STARTER / 30 GROWER </t>
  </si>
  <si>
    <t xml:space="preserve"> Please see attached TOR, Tech. Specs. &amp; RFQ for details</t>
  </si>
  <si>
    <t xml:space="preserve"> Job Order: To furnish Labor &amp; Materials for the Production of Polo Shirt Traffic Uniform with Embroidered Traffic Logos with the following specifications: 1. Polo shirt color: Orange, Royal Blue, &amp; Yellow See sample attached for the design Note: 59 person</t>
  </si>
  <si>
    <t xml:space="preserve"> Republic of the Philippines												 City of San Carlos												 Negros Occidental												 									                                		REBIDDING	 			INVITATION TO BID						        		FOR SALE	 			PURCHASE REQUEST NO: 1-20-06-0760					P 1,330.00	 S</t>
  </si>
  <si>
    <t xml:space="preserve"> 10 ROLLS HDPE PIPE SDR11 1"Ø X 60M AND OTHER ITEMS FOR USE IN THE IMPROVEMENT OF VILLAFLOR ELEMENTARY SCHOOL WATER SYSTEM @ VILLAFLOR, OROQUIETA CITY.</t>
  </si>
  <si>
    <t xml:space="preserve"> MG-CEN20-001..SUPPLY AND DELIVERY OF DRILL, RADIAL 2500MM ARM ABC  : P 9,500,000.00 PLACE OF DELIVERY: CMTSD WAREHOUSE DITUCALAN, ILIGAN CITY AMOUNT OF BID DOCUMENTS : P 10,000.00</t>
  </si>
  <si>
    <t xml:space="preserve"> PCCP - 0.580 KM./1.160 LANE KM</t>
  </si>
  <si>
    <t xml:space="preserve"> Republic of the Philippines Province of Negros Occidental MUNICIPALITY OF HINOBA-AN Barangay Bulwangan Bids and Awards Committee INVITATION TO BID The Barangay Council of Brgy. Bulwangan, Municipality of  Hinoba-an, Negros Occidental through its Bids and </t>
  </si>
  <si>
    <t xml:space="preserve"> Item No. 	Item Description					QTY.	Unit	Unit Price	Total Price 1	Bondpaper, U.S., long, sub 20, 70gsm, good quality, 500sheets/ream					400	reams		 2	Bondpaper, U.S., short, sub 20, 70gsm, good quality, 500sheets/ream					307	reams		 3	Bondpaper, U.S., A</t>
  </si>
  <si>
    <t xml:space="preserve"> One (1) Job Contract for the Road Rehabilitation (Concreting-Sitio Bubon Section) Phase II, Brgy. Arac, Passi City, Iloilo/CEO.</t>
  </si>
  <si>
    <t xml:space="preserve"> Interested parties may submit their bids and their complete requirement   on September 01, 2020; 9:00 a.m. at Bgy. Multi-Purpose Hall, Moses St.,  Jordan Plaines Subd., Bgy. Sta. Monica, Novaliches, Quezon City.</t>
  </si>
  <si>
    <t xml:space="preserve"> Republic of the Philippines                                                                Province of Northern Samar                                                                MUNICIPALITY OF ROSARIO                                                   </t>
  </si>
  <si>
    <t xml:space="preserve"> Please see attached canvass (RFQ) form/TOR for complete specifications.</t>
  </si>
  <si>
    <t xml:space="preserve"> Republic of the Philippines Province of Batanes	 MUNICIPALITY OF BASCO               INVITATION TO BID FOR THE PROCUREMENT OF MATERIALS FOR THE IMPROVEMENT OF FACILITIES AT MARINE SANCTUARY 1. The Municipal Local Government Unit of Basco, through the Gene</t>
  </si>
  <si>
    <t xml:space="preserve"> Republic of the Philippines CITY OF BAIS BIDS AND AWARDS COMMITTEE INVITATION TO APPLY FOR ELIGIBILITY AND TO BID 	The City Government of Bais invites interested bidders to apply for eligibility and to bid for Slope Protection in Barangay Panam-angan, viz</t>
  </si>
  <si>
    <t xml:space="preserve"> SUPPLY AND DELIVERY OF VARIOUS STEEL GATES					 A.	HEADGATE OF LATERAL B - RMC 2, STA. 4+911.35				 					 	-1-	set	Steel gates CP12 type of lift, Individual		 			CP12 (AS PER PLAN)		 			1 set Steel Slide Gate, Assy.		 			1 set Steel Frame Assy., Complete </t>
  </si>
  <si>
    <t xml:space="preserve"> Republic of the Philippines                                                                    Province of Northern Samar                                                                    MUNICIPALITY OF ROSARIO                                           </t>
  </si>
  <si>
    <t xml:space="preserve"> Republic of the Philippines													 City of San Carlos													 Negros Occidental													 													 INVITATION TO BID											FOR SALE	 			PURCHASE REQUEST NO: 1-20-08-1004				P 1,000.00	 Sealed bids for quotation of prices will be rec</t>
  </si>
  <si>
    <t xml:space="preserve"> REPUBLIC OF THE PHILIPPINES MUNICIPALITY OF APALIT PROVINCE OF PAMPANGA      INVITATION TO BID FOR THE “Supply of Drugs and Medicines for RHU 1 C.Y. 2020”      1. The Municipality of Apalit, through the General Fund 2020 intends to apply the sum of 1,500,</t>
  </si>
  <si>
    <t xml:space="preserve"> Republic of the Philippines Province of Negros Occidental MUNICIPALITY OF HINOBA-AN Barangay Asia Bids and Awards Committee INVITATION TO BID The Municipality of  Hinoba-an, Negros Occidental through its Bids and Awards Committee (BAC),invites suppliers/m</t>
  </si>
  <si>
    <t xml:space="preserve"> BARANGAY ENHANCEMENT PROGRAM - ARTS, CULTURE AND TOURISM (3RD QUARTER)</t>
  </si>
  <si>
    <t xml:space="preserve"> Procurement of DRR Rescue Equipment</t>
  </si>
  <si>
    <t xml:space="preserve"> REQUEST FOR QUOTATION Date	:	August 17, 2020 Project Title	:	Procurement of Service Provider for the Repairs and Maintenance of Various Motor Vehicles ITB No.             	:	SV20-08-005ANG Approved Budget for the Contract (ABC)	:	Four Hundred Two Thousand</t>
  </si>
  <si>
    <t xml:space="preserve"> Improvement of Multi-Purpose Pavement,Brgy. Punong, Alimodian Iloilo</t>
  </si>
  <si>
    <t xml:space="preserve"> ITEMS: 1” Masking tape	=	60	pc 1” Scotch tape	=	60	pc 16gb USB	=	9	pc 2” Masking tape	=	60	pc 2” Scotch tape	=	60	pc Deodorant cake	=	18	pck Big glue	=	23	pc Correction tape	=	375	pc Coupon bond 8.5 x 13	=	526	rm Coupon bond A4	=	263	rm Sign pen black	=	9</t>
  </si>
  <si>
    <t xml:space="preserve"> Improvement of Stage, Brgy. Cagay, alimodian Iloilo</t>
  </si>
  <si>
    <t xml:space="preserve"> Interested parties may submit their bids and complete requirement on a  public bidding to be held on September 01, 20202; 9:00 a.m. at Bgy. Multi- Purpose Hall, Moses St., Jordan Plaines Subd., Bgy. Sta. Monica, Q.C.</t>
  </si>
  <si>
    <t xml:space="preserve"> Republic of the Philippines Region XII Province of Cotabato Municipality of Makilala  OFFICE OF THE BIDS AND AWARD COMMITTEE INVITATION TO BID N0. 2020-023 (Re-Bidding)            The Municipality of Makilala, through the Municipal Agricultural Services O</t>
  </si>
  <si>
    <t xml:space="preserve"> Item Description: Part A: Facilities for the Engineers Part B: Other General Requirements Part C: Earthworks Part D: Sub-base &amp; Base Coarse Part E: Surface Coarse Part F: Bridge Construction Part G: Drainage &amp; Slope Protection Structures Part H: Miscellan</t>
  </si>
  <si>
    <t xml:space="preserve"> Republic of the Philippines          City of Dumaguete Bids and Awards Committee INVITATION TO BID FOR PURCHASE REQUEST OF 40 SETS LED CIRCLINE 26 WATTS 	The City of Dumaguete thru its BIDS AND AWARDS COMMITTEE (BAC), invites all interested manufacturers,</t>
  </si>
  <si>
    <t xml:space="preserve"> Republic of the Philippines PROVINCE OF NUEVA VIZCAYA Municipality of Solano Barangay Bagahabag Invitation to Bid for the  CONSTRUCTION/IMPROVEMENT OF PUROK 7, BAGAHABAG FTMR PHASE  Located at Brgy. Bagahabag, Solano, Nueva Vizcaya  1.	The Barangay, Bagah</t>
  </si>
  <si>
    <t xml:space="preserve"> Item No.	Qty	DESCRIPTION				Unit Of Measurement 						 1	106	Water Meter, Residential Type (Supply Only)				Piece 2	152	Brass Ball Valve,1/2''				Piece 3	212	G.I. Nipple, 1'' x 12''				Piece 4	106	G.I. Nipple, 1/2'' x 4''				Piece 5	424	G.I. Elbow, 1/2'' </t>
  </si>
  <si>
    <t xml:space="preserve"> I. Electrical Works</t>
  </si>
  <si>
    <t xml:space="preserve"> Republic of the Philippines Province of Batanes	 MUNICIPALITY OF BASCO               		INVITATION TO BID FOR THE PROCUREMENT OF FOOD ITEMS 2020 1.	The Municipal Local Government Unit of Basco, through the General Fund  intends to apply the sum of One Hund</t>
  </si>
  <si>
    <t xml:space="preserve"> see attach Philippine Bidding Documents Invitation to bid,bill of quantities, checklist</t>
  </si>
  <si>
    <t xml:space="preserve"> 1.Materials for the Construction of Solar Street Light, Brgy. Sablogon, Passi City, Iloilo/Brgy. Sablogon Item No. Description Quantity Units 1.Gravel Bedding (Coarse Aggregates) (w/ 5% Shrinkage Factor) 1.50 cu.m. 2.Screened gravel 6 cu.m. 3.Wahed Sand 4</t>
  </si>
  <si>
    <t xml:space="preserve"> Republic of the Philippines													 City of San Carlos													 Negros Occidental													 													 INVITATION TO BID											FOR SALE	 			PURCHASE REQUEST NO: 9-20-08-0961				P 150.00	 Sealed bids for quotation of prices will be recei</t>
  </si>
  <si>
    <t xml:space="preserve"> MG-A5M20-090..SUPPLY/INST. &amp; COMMISSIONING OF ADDITIONAL CONVEYOR AT THE COMPACTING SYSTEM ABC  : P 3,430,260.00 PLACE OF DELIVERY  : AGUS 4 HEP WAREHOUSE BALOI, LANAO DEL NORTE AMOUNT OF BID DOCUMENTS : P 5,000.00</t>
  </si>
  <si>
    <t xml:space="preserve"> Interested parties may submit their bids and complete requirement on a public bidding to be held on September 01, 2020 at Bgy. Multi-Purpose Hall, Moses St., Jordan Plaines Subd., Bgy. Sta. Monica, Novaliches, Quezon City .</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</si>
  <si>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</si>
  <si>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BARANGAY ENHANCEMENT PROGRAM - PEACE AND ORDER COMMITTEE (3RD QUARTER)</t>
  </si>
  <si>
    <t xml:space="preserve"> 1. 30 Unit Fire Extinguishers (10lbs) Service Pressure: -1800 psi / 124 bar Specification: - DOT-3AL &amp; TC-3ALM designed - ISO design cylinders are available - UL Approval on F5, F10, F15 and F20 cylinders Alloy: - Manufactured from high strength aluminium</t>
  </si>
  <si>
    <t xml:space="preserve"> Republic of the Philippines                                                                  Province of Northern Samar                                                                  MUNICIPALITY OF ROSARIO                                               </t>
  </si>
  <si>
    <t xml:space="preserve"> Supply and Delivery of Surveillance Equipment for Mayor’s Office</t>
  </si>
  <si>
    <t xml:space="preserve"> REPUBLIC OF THE PHILIPPINES MUNICIPALITY OF APALIT PROVINCE OF PAMPANGA      INVITATION TO BID FOR THE “Supply of Drugs and Medicines for RHU 2 C.Y. 2020”      1. The Municipality of Apalit, through the General Fund 2020 intends to apply the sum of 1,500,</t>
  </si>
  <si>
    <t xml:space="preserve"> Republic of the Philippines Province of Davao del Sur MUNICIPALITY OF STA.CRUZ INVITATION TO BID  PROCUREMENT OF COMPUTERS, PRINTERS AND FILING CABINETS FOR OFFICE USE - 1ST POSTING (ITB No. 28-Goods-2020) 1.	The Local Government Unit of Sta. Cruz, Davao </t>
  </si>
  <si>
    <t xml:space="preserve"> Economist - Officeof the Deputy Project Director Business Development Officer ( BDO) - I-REAP</t>
  </si>
  <si>
    <t xml:space="preserve"> REPUBLIC OF THE PHILIPPINES MUNICIPALITY OF APALIT PROVINCE OF PAMPANGA    Invitation to Bid for the “Supply of Materials for the Construction of Multi-Purpose Covered Court (P-2) at Sucad Highschool, Sucad, Apalit, Pampanga”    1. The Municipality of Apa</t>
  </si>
  <si>
    <t xml:space="preserve"> Republic of the Philippines CITY OF SAN PEDRO Province of Laguna BIDS AND AWARDS COMMITTEE INVITATION TO BID The City Government of San Pedro Laguna through the 2020 LSB Budget Approved by Sangguniang Panglungsod intends to apply the sum of Php 1,267,470.</t>
  </si>
  <si>
    <t xml:space="preserve"> Item No.	Qty	DESCRIPTION				Unit of Measurement 						 1	7	Office Curtain 				Pcs 2	2	Door Mat				Pcs 3	1	Mop				Pc. 4	1	Spoon and Fork				Set/Dozen 5	1	Pail				Pcs 6	1	Broom				Pc.</t>
  </si>
  <si>
    <t xml:space="preserve"> Republic of the Philippines													 City of San Carlos													 Negros Occidental													 													 INVITATION TO BID											FOR SALE	 			PURCHASE REQUEST NO: 18-20-07-0930				P 300.00	 Sealed bids for quotation of prices will be rece</t>
  </si>
  <si>
    <t xml:space="preserve"> Republic of the Philippines Province of Batanes Municipality of Basco INVITATION TO BID FOR THE PROCUREMENT OF FULL FABRIC PARTITION AND SLIDING WINDOW FOR THE REPAIR OF MUNICIPAL BUILDING – TREASURY OFFICE, ACCOUNTING OFFICE AND BUDGET OFFICE 1. The Muni</t>
  </si>
  <si>
    <t xml:space="preserve"> ITEM NO.	Unit of issue	ITEM &amp;DESCRIPTION	Brand &amp; Model	QTY.	 1	set	Computer set, (CPU) System Unit, monitor, mouse, keyboard,		1	 		avr, UPS, speaker, mouse pad, and web camera			 2	unit	Printer laserjet		1	 	unit	Printer 3 in 1, scan, print, copy		1	 			</t>
  </si>
  <si>
    <t xml:space="preserve"> MP Center, Flood Control, FMR, Road Opening of FMR</t>
  </si>
  <si>
    <t xml:space="preserve"> Codification of Ordinances and Resolutions of the Sangguniang Bayan of Pila, Laguna</t>
  </si>
  <si>
    <t xml:space="preserve"> Title:Procurement of Vehicle Repair and Maintenance under P.R Nos. 1690-2020 (Office of the City Administrator), 2123-2020 (City Human Resource Management Office), 3078-2020(Office of the City Agriculturist) and 3080-2020 (Office of the City Agriculturist</t>
  </si>
  <si>
    <t xml:space="preserve"> Republic of the Philippines MUNICIPALITY OF PANIQUI Province of Tarlac 	Solicitation No.: I-2020-024 Name of the Project      : Construction of New Public Market (Dry Goods Section Building 02) Location of the Project : Burgos St., Brgy. Tablang, Paniqui,</t>
  </si>
  <si>
    <t xml:space="preserve"> Republic of the Philippines BANGSAMORO AUTONOMOUS REGION IN MUSLIM MINDANAO Province  of  Lanao  del  Sur REQUEST FOR QUOTATION The Provincial Government of  Lanao del Sur through its  Bids and Awards Committee (BAC) invites accredited  suppliers  for the</t>
  </si>
  <si>
    <t xml:space="preserve"> 1.	4	box/es	Diluent 2.	4	bottle/s	Lyse 3.	4	bottle/s	Cleanser 4.	2	bottle/s	Concentrated Cleanser</t>
  </si>
  <si>
    <t xml:space="preserve"> Item No.	Qty	DESCRIPTION				Unit 						Measurement 1	55	Led Bulb				Pcs.</t>
  </si>
  <si>
    <t xml:space="preserve"> 1.	The Local Government Unit of Balangiga, through the 2020 EDF implementation intends to apply the sum of Three Hundred Twenty Thousand Pesos  (Php320,000.00) being the Approved Budget for the Contract (ABC) to payments under the contract for the Supply </t>
  </si>
  <si>
    <t xml:space="preserve"> Republic of the Philippines Batangas City Invitation to Apply for Eligibility and to Bid The Barangay Government of Barangay Cuta, Batangas City intends to apply the sum of One Hundred Ninety Nine Thousand Nine Hundred Fifty Pesos Only (Php 199,950.00) br</t>
  </si>
  <si>
    <t xml:space="preserve"> Republic of the Philippines CITY OF SAN PEDRO Province of Laguna BIDS AND AWARDS COMMITTEE INVITATION TO BID The City Government of San Pedro Laguna through the 2020 Budget Approved by Sangguniang Panglungsod intends to apply the sum of Php 2,193,590.69 b</t>
  </si>
  <si>
    <t xml:space="preserve"> SOLAR LIGHTS SAND GRAVEL CEMENT BOULDERS PLYWOOD GI PIPE #3 WELDING ROD COMMON NAIL #3 COMMON NAIL #4 EPOXY PRIMER</t>
  </si>
  <si>
    <t xml:space="preserve"> for Concreting of Local Access Road to Lower Salug Daku</t>
  </si>
  <si>
    <t xml:space="preserve"> The Municipality of San Mariano, Isabela invite bidders to participate in this procurement, Supply and Delivery of Risograph Machine for DepEd I and II Approved Budget: Php. 510,000.00 Bids must be duly received on or before September 8, 2020 at 10:30 AM.</t>
  </si>
  <si>
    <t xml:space="preserve"> Procurement of Vehicle Php2,000,000.00</t>
  </si>
  <si>
    <t xml:space="preserve"> Republic of the Philippines          City of Dumaguete Bids and Awards Committee INVITATION TO BID FOR PURCHASE REQUEST OF 300 PCS CHB 4” AND OTHER ITEMS 	The City of Dumaguete thru its BIDS AND AWARDS COMMITTEE (BAC), invites all interested manufacturers</t>
  </si>
  <si>
    <t xml:space="preserve"> Title:Procurement of 120 Unit Plastic Drum with Faucet, 200L Capacity, etc. under P.R No. 3073-2020 - Office of the City Agriculturist. Total ABC: Php 371,500.00 (INSTRUCTION AS TO THE REQUIRED FORM: For your price quotation, please use the attached Reque</t>
  </si>
  <si>
    <t xml:space="preserve"> 10 drums Chlorine</t>
  </si>
  <si>
    <t xml:space="preserve"> Republic of the Philippines Province of Cotabato Municipality of Makilala OFFICE OF THE BIDS &amp; AWARDS COMMITTEE INVITATION TO BID #2020-035 The Municipality of Makilala, funded by the  Municipal Government to apply for the  Concreting of Roads to Resettle</t>
  </si>
  <si>
    <t xml:space="preserve"> Item No.	Qty	DESCRIPTION				Unit 						Measurement 1	64	Monobloc Chairs				Pc. 2	4	Monobloc Table				Pc.</t>
  </si>
  <si>
    <t xml:space="preserve"> BARANGAY ENHANCEMENT PROGRAM - SPECIAL ACTION GROUP (3RD QUARTER)</t>
  </si>
  <si>
    <t xml:space="preserve"> INVITATION TO BID Name of Contract:Continuation for the Construction of Evacuation Center at Brgy. Poblacion, Urdaneta City  Brief Description :Continuation for the Construction of Evacuation Center at Brgy. Poblacion, Urdaneta City Approved Budget for th</t>
  </si>
  <si>
    <t xml:space="preserve"> PROCUREMENT OF CONSTRUCTION MATERIALS AND SUPPLIES FOR THE BARANGAY ROAD CONCRETING 2 AT PUROK SAN JUAN, BRGY. AGBANGA, MATALOM, LEYTE.</t>
  </si>
  <si>
    <t xml:space="preserve"> one unit rescue vehicle</t>
  </si>
  <si>
    <t xml:space="preserve"> Republic of the Philippines Province of Cotabato Municipality of Makilala OFFICE OF THE BIDS &amp; AWARDS COMMITTEE INVITATION TO BID #2020-036 The Municipality of Makilala, funded by the  Municipal Government to apply for the  Concreting of Roads to Resettle</t>
  </si>
  <si>
    <t xml:space="preserve"> ITEM NO.	Unit of issue	ITEM &amp;DESCRIPTION	Brand &amp; Model	QTY.	 1	Lot	Laptop with the following specifications:		3	 		15.6 Full HD IPS Display 120Hz			 		Core i7-9750H			 		8GB RAM DDR4			 		512GB SSD			 		1TB HDD			 		NVIDIA GTX 1650 4GB			 		Office 2019			</t>
  </si>
  <si>
    <t xml:space="preserve"> Request for Quotation for the Procurement of Office Supplies to be used in the Implementation of Halal Food Industry Development Program in Region VII 1.	The Department of Agriculture-Regional Field Office 7 (DA-RFO 7), through the General Appropriations </t>
  </si>
  <si>
    <t xml:space="preserve"> INVITATION TO BID PROCUREMENT OF VARIOUS GOODS IB NO. 2020-09-09 (11) 1.	The Department of Health Cagayan Valley Center for Health Development, through the GOP-General Appropriations Act 2020 intends to apply the lump sum ofSix Million Eight Hundred Eight</t>
  </si>
  <si>
    <t xml:space="preserve"> Republic of the Philippines Province of Aklan MUNICIPALITY OF LIBACAO * * * The Local Government Unit of Libacao, through its Bids and Awards Committee (BAC), invites contractors to submit bids for the following Contract: Contract I.D.:			                </t>
  </si>
  <si>
    <t xml:space="preserve"> CW-Construction of MRF Php1,029,514.00</t>
  </si>
  <si>
    <t xml:space="preserve"> a.) Project Signboard (Q=1 lot) b.) Construction Safety and Health Program (Q=1 lot) c.) Clearing and Removal of Existing Trees (Q= 1 lot) d.) Provision of Field Office for the Engineer (Q=1 lot) e.) Operation and Maintenance of the Field Office of the Pr</t>
  </si>
  <si>
    <t xml:space="preserve"> See attached associated component documents...</t>
  </si>
  <si>
    <t xml:space="preserve"> The Municipality of San Mariano, Isabela invite bidders to participate in this procurement, SUPPLY AND DELIVERY OF POULTRY SUPPLIES Approved Budget: Php.223,478.00 Specification: 12 pouch/1kg. Vetracin Gold 2 kgs. Multylite WSP 6  Can/1kg. Norflox WSP 20 </t>
  </si>
  <si>
    <t xml:space="preserve"> Title:Procurement of General Merchandise under P.R Nos. 3075-2020 and 3079-2020- Office of the City Agriculturist-1Lot. Total ABC: Php 57,825.00 (INSTRUCTION AS TO THE REQUIRED FORM: For your price quotation, please use the attached Request for Quotation </t>
  </si>
  <si>
    <t xml:space="preserve"> Republic of the Philippines          City of Dumaguete Bids and Awards Committee INVITATION TO BID FOR PURCHASE REQUEST OF 32 [CS CERAMICS WALL TILES 12” X 12” AND OTHER ITEMS 	The City of Dumaguete thru its BIDS AND AWARDS COMMITTEE (BAC), invites all in</t>
  </si>
  <si>
    <t xml:space="preserve"> I. Specifications (Please see attached file @ Associated Components). (2) Toner Cartridge Brother, TN - 451 M; (2) Toner Cartridge Brother, TN - 451 C; (4) Toner Cartridge Brother, TN - 451 BK; and (2) Toner Cartridge Brother, TN - 451 Y. II. Payment upon</t>
  </si>
  <si>
    <t xml:space="preserve"> for Procurement of construction materials for the Construction of IP Housing (Materials)</t>
  </si>
  <si>
    <t xml:space="preserve"> INVITATION TO APPLY FOR ELIGIBILITY AND TO BID (IAEB No. 01A -2020) Republic of the Philippines Barangay Government of Gapas Barangay Gapas Guinayangan, Quezon Supply and Delivery of Construction Materials 1.	The BARANGAY GOVERNMENT OF GAPAS GUINAYANGAN, </t>
  </si>
  <si>
    <t xml:space="preserve"> Kindly see the plan and specification</t>
  </si>
  <si>
    <t xml:space="preserve"> 27 packs (100 pieces per pack) of Long Folder 150 reams of Legal-size Bond Paper</t>
  </si>
  <si>
    <t xml:space="preserve"> Water treatment</t>
  </si>
  <si>
    <t xml:space="preserve"> Installation of Union Galva Steel Hi-Rib (ROOFING)</t>
  </si>
  <si>
    <t xml:space="preserve"> See attached at the back of Invitation to Bid (ITB)</t>
  </si>
  <si>
    <t xml:space="preserve"> Qstreetlights 23 units</t>
  </si>
  <si>
    <t xml:space="preserve"> Procurement of Vehicle Parts (Bulldozer) Php304,000.00</t>
  </si>
  <si>
    <t xml:space="preserve"> LOT 1- HARDWARE MATERIALS 1. 44 pcs. 12mm DSB x 6m 2. 8 kls. Tie wire #16 3. 3 cu. m. Washed sand 4. 5 cu.m. Screened gravel 5. 40 bags Portland cement 6. 12 pcs. Ordinary plywood (1/4") 7. 20 kls. CW nails (assorted) LOT 2- LUMBER MATERIALS 1. 192 bd. ft</t>
  </si>
  <si>
    <t xml:space="preserve"> 1.	The Provincial Government of Antique, through the 20% IRA CY2020 (Social Development Sector) intends to apply the sum One Million Four Hundred Fifty Seven Thousand Six Hundred Seventeen Pesos &amp; 88/100 (Php 1, 457, 617.88) being the Approved Budget for </t>
  </si>
  <si>
    <t xml:space="preserve"> CW-Construction of MPB (Phase II) at Blgy.3, Poblacion Php 22,000,000.00</t>
  </si>
  <si>
    <t xml:space="preserve"> Qbleacher  27.65 m2</t>
  </si>
  <si>
    <t xml:space="preserve"> Please quote your lowest price for the Procurement of 2”, 3” and 4” uPVC Pressure Pipes C-100 of the General Tinio Water District subject to the conditions also listed below, stating the shortest time of delivery and submit personally in a sealed envelope</t>
  </si>
  <si>
    <t xml:space="preserve"> Title:Procurement of 700 Vial Rabies Vaccine (10 Dose/Vial), etc. under P.R No. 3015-2020 - Office of the City Veterinarian. Total ABC: Php 915,399.00 (INSTRUCTION AS TO THE REQUIRED FORM: For your price quotation, please use the attached Request for Quot</t>
  </si>
  <si>
    <t xml:space="preserve"> a.) Clearing, Grabbing &amp; Excavation (Q=701 l.m.) b.) Concrete Works (Q=28.19 cu.m.) c.) Reinforced steel bar (Q=2,71.32 kgs. D.) Masonry Works (Q=1,096.50 sq.m.) e.) stone Masonry (water impounding) (Q=20.28 cu.m.) f.) Handling of Materials ) g.) Construc</t>
  </si>
  <si>
    <t xml:space="preserve"> Bond Paper , Substance 20   Lot              Location                              Number of Reams                          ABC Lot 1 : Ayala District Office ---             6,179 reams @ Php 240/ream       ---  Php 1,482,960.00 Lot 2 : Sta. Maria Distric</t>
  </si>
  <si>
    <t xml:space="preserve"> DocuCentre V 2060 Fully Automated Monochrome Digital Copier/Network Printer Copy/Print Speed: 25ppm Standard memory: 4GB Touch screen user interface Automatic 2-sided (back to back) One (1) year warranty and Lifetime free service with preventive maintenan</t>
  </si>
  <si>
    <t xml:space="preserve"> Item Description: SPL item I: Occupational Safety and Health Program Item 101: Removal of Structure and Obstruction(Dilapidated Pavement) Item 102: Structure Excavation Item 506: Stone Masonry Item 105: Sub-grade Preparation Item 200: Aggregate Sub-base C</t>
  </si>
  <si>
    <t xml:space="preserve"> LOT 1 Item No.	    Qty	Particulars	                                                                     Unit Cost	          Amount 1	              1	PRINTING MACHINE, Duplicator, digital, heavy duty                                  copy printer, resolutio</t>
  </si>
  <si>
    <t xml:space="preserve"> for Construction of IP Housing (Labor)</t>
  </si>
  <si>
    <t xml:space="preserve"> See attached at the back of Invitation to Bid ( ITB )</t>
  </si>
  <si>
    <t xml:space="preserve"> for Improvement/ Rehab of Mahayag Municipal Hospital</t>
  </si>
  <si>
    <t xml:space="preserve"> Item No.	Qty	DESCRIPTION				Unit 						Measurement 1	1	Steel Cabinet				Pcs.</t>
  </si>
  <si>
    <t xml:space="preserve"> 1300	PCS	Reproduction of PFA Module	 27.50 	35750.00 		55 pages each module</t>
  </si>
  <si>
    <t xml:space="preserve"> Republic of the Philippines Province of Cotabato Municipality of Makilala OFFICE OF THE BIDS &amp; AWARDS COMMITTEE INVITATION TO BID #2020-033 The Municipality of Makilala, funded by the  Municipal Government to apply for the  Construction of Temporary Learn</t>
  </si>
  <si>
    <t xml:space="preserve"> Item Description: SPL item I: Occupational Safety and Health Program Item 103: Structure Excavation(Unclassified) Item 506: Stone Masonry SPL Item II: CHB Works w/ Plaster SPL Item III: Concrete Works SPL IV: PVC Hose SPL V: Billboard</t>
  </si>
  <si>
    <t xml:space="preserve"> Item Description: SPL item I: Occupational Safety and Health Program Item 102: Structure Excavation Item 506: Stone Masonry Item 104: Embankment(Back fill) Item 105: Sub-grade Preparation Item 200: Aggregate Sub-base Coarse Item 311: P.C.C.P. SPL II: Bill</t>
  </si>
  <si>
    <t xml:space="preserve"> for Insecticides and Peanut Seeds</t>
  </si>
  <si>
    <t xml:space="preserve"> Procurement of Handheld Radio and accessories Php 372,000.00</t>
  </si>
  <si>
    <t xml:space="preserve"> 1.	The Provincial Government of Antique, through the PDRRMF CY 2020 intends to apply the sum One Million Four Hundred Sixty Thousand Four Hundred Thirty Five Pesos &amp; 01/100 (Php 1, 460, 435.01) being the Approved Budget for the Contract (ABC) to payments </t>
  </si>
  <si>
    <t xml:space="preserve"> PROCUREMENT OF I.T. AND EQUIPMENT FOR VARIOUS OFFICES 2020</t>
  </si>
  <si>
    <t xml:space="preserve"> BARANGAY ENHANCEMENT PROGRAM - BARANGAY HALL (3RD QUARTER)</t>
  </si>
  <si>
    <t xml:space="preserve"> ITEM I. INSTALLATION OF GUTTER ITEM II. INSTALLATION OF CANOPY</t>
  </si>
  <si>
    <t xml:space="preserve"> Catering Services for Agricultural Trainings and Seminars</t>
  </si>
  <si>
    <t xml:space="preserve"> 1000 PCS. MASK (KN95) FOR ISOLATION/QUARANTINE FACILITY USED AND RAPID TESTING.</t>
  </si>
  <si>
    <t xml:space="preserve"> MATERIALS COST</t>
  </si>
  <si>
    <t xml:space="preserve"> materials for maintenance of water system</t>
  </si>
  <si>
    <t xml:space="preserve"> Please see attached docs</t>
  </si>
  <si>
    <t xml:space="preserve"> a.) Project Billboard (Q=1 lot) b.) OSHP (Q=1 lot) c.) Excavation (Q=24.45 cu.m.) d.) Stone Masonry &amp; Cross Drainage (Q=31.07 cu.m.) e.) Drainage Canal (Q=1 lot)</t>
  </si>
  <si>
    <t xml:space="preserve"> for Construction of Installation of Fuel Tank</t>
  </si>
  <si>
    <t xml:space="preserve"> Item Description: SPL item I: Occupational Safety and Health Program SPL Item II: Earthworks/Site Clearing SPL Item III: Concrete Works SPL Item IV: Masonry Works w/ Plaster SPL Item V: Roof &amp; Roof Framing Works SPL VI: Billboard</t>
  </si>
  <si>
    <t xml:space="preserve"> CW-Rehabilitation of New Mun. Hall-Libertad Php 260,255.33</t>
  </si>
  <si>
    <t xml:space="preserve"> CONCRETING OF NHW JCT. MALBANG-BNDRY. T’BOLI PROVINCIAL ROAD PHASE II Maasim, Sarangani Province (Contract No. INFRA 2020-52) August 18, 2020 1.	The Provincial Government of Sarangani, through DILG-CMGP intends to apply the sum of Eighty-Eight Million Nin</t>
  </si>
  <si>
    <t xml:space="preserve"> Province of Isabela Municipality of Jones INVITATION TO BID FOR THE Supply and Delivery of One (1) Set Digital Hog Scale Solicitation No. Goods-2020-17 	The Municipality of Jones, Isabela, through the General Fund CY 2020, intends to apply the sum of Thre</t>
  </si>
  <si>
    <t xml:space="preserve"> Republic of the Philippines Province of Isabela Municipality of Jones Request for Quotation Solicitation No. SVP-2020-21 	The Municipality of Jones, thru the Bids and Awards Committee, will undertake a Small Value Procurement for the “Supply and Delivery </t>
  </si>
  <si>
    <t xml:space="preserve"> CONCRETING OF NHW JCT. TAMADANG-FALEL  PROVINCIAL ROAD Kiamba, Sarangani Province  (Contract No. INFRA 2020-54) August 18, 2020 1.	The Provincial Government of Sarangani, through AIP 2020/AB 2020 intends to apply the sum of Five Million Pesos (₱5,000,000.</t>
  </si>
  <si>
    <t xml:space="preserve"> a.) Project Signboard (Q=1 lot) b.) Construction Safety and Health Program (Q=1 lot) c.) Provision of Field Office for the Engineer (Q=1 lot) d.) Operation and Maintenance of Filed Office of the Engineer (Q=1 lot) e.) Clearing and Removal of Existing Tree</t>
  </si>
  <si>
    <t xml:space="preserve"> Dimension: 2.00mx2.00m ITEM I. CONSTRUCTION OF INTAKE BOX ITEM II. INSTALLATION OF PIPES</t>
  </si>
  <si>
    <t xml:space="preserve"> INVITATION TO BID  The Local Government Unit of Don Victoriano, through its Bids and Awards Committee (BAC), invites suppliers/contractors to apply for eligibility and to bid for the hereunder project: Name of Project:	 CONSTRUCTION OF FUNCTION HALL PHASE</t>
  </si>
  <si>
    <t xml:space="preserve"> BIDS AND AWARDS COMMITTEE INVITATION TO REBID The DEPARTMENT OF HEALTH – CENTRAL VISAYAS CENTER FOR HEALTH DEVELOPMENT (DOH – CV CHD), through its Bids and Awards Committee (BAC), invites suppliers to bid for the hereunder items: BAC  NO. 2020 - E02 REBID</t>
  </si>
  <si>
    <t xml:space="preserve"> Construction of Local Road at Sitio Tublijon of Barangay Rizal, West District, Sorsogon City</t>
  </si>
  <si>
    <t xml:space="preserve"> 1 	unit	Multifunction Printer-(Print,Copy,Scan) 		 		monochrome print &amp; colour scan		 		printing &amp; copying speed - up to 22 ppm on A4		 		scanning speed/resolution, 46 opm (b/w), 600dpi		 		Paper format, A5 to A3		 		paper feeder capacity, standard 350 sh</t>
  </si>
  <si>
    <t xml:space="preserve"> Procurement of Rice Php 464,600.00</t>
  </si>
  <si>
    <t xml:space="preserve"> ITEMS: 725 PC FACE SHIELD (see attached RFQ)</t>
  </si>
  <si>
    <t xml:space="preserve"> 11 units Rescue Vehicle (Ambulance) Specifications: Engine:  4N14 2.2L In Line 4 Turbocharged and intercooled 16-Valve DOHC Displacement: 2268 cc Independent Wishbone and Coil Spring with Stabilizer Front Suspension Semi- Elliptic Leaf Spring Rear Suspens</t>
  </si>
  <si>
    <t xml:space="preserve"> Item Description: Office Supplies, Equipment's and Consumables.</t>
  </si>
  <si>
    <t xml:space="preserve"> RETROFITTING/STRENGTHENING OF 3 CONCRETE BRIDGES ALONG NHW JCT. CALABANIT-E. ALEGADO PROVINCIAL ROAD (CALABANIT SECTION) Glan, Sarangani Province  (Contract No. INFRA 2020-53) August 18, 2020 1.	The Provincial Government of Sarangani, through AIP 2020/AB </t>
  </si>
  <si>
    <t xml:space="preserve"> Construction of RHPU7 Building at Camp Sotero Cabahug, Gorordo Avenue, Cebu City (Phase 1)</t>
  </si>
  <si>
    <t xml:space="preserve"> INVITATION TO BID  The Local Government Unit of Don Victoriano, through its Bids and Awards Committee (BAC), invites suppliers/contractors to apply for eligibility and to bid for the hereunder project: Name of Project:	CONSTRUCTION OF MESS HALL		 Location</t>
  </si>
  <si>
    <t xml:space="preserve"> Republic of the Philippines PROVINCE OF ZAMBOANGA DEL NORTE Municipality of Sibutad BIDS AND AWARDS COMMITTEE AUGUST 18, 2020 INVITATION TO BID The Local Government Unit of Sibutad, Zamboanga del Norte under P.R. No.300-2020-08-010 dated AUGUST 10, 2020 w</t>
  </si>
  <si>
    <t xml:space="preserve"> Standard form Number: SF-GOODS-05						Contract Reference No.: 2020-08-002-GOODS Revised on: June 29, 2004     	 			Republic of the Philippines 			BIDS AND AWARDS COMMITTEE 			BARANGAY MAGSAYSAY 			LOPEZ, QUEZON 			 (0909 375 5705) Invitation to Bid  Bara</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</si>
  <si>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</si>
  <si>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1. 37 cu.m Sand (std. specs) 2. 48 cu.m Gravel (std. specs) 3. 43 cu.m Boulders (6”Ø max. size) Purpose: Improvement and rehabilitation of various drainage canal with cover (Along Cervantes street and San Jose street) at Barangay Poblacion 7”/CEO</t>
  </si>
  <si>
    <t xml:space="preserve"> for Construction of Sanitary Landfill Category 1 Phase 1</t>
  </si>
  <si>
    <t xml:space="preserve"> Item Description	                                                           Quantity	                    Unit a.	Pamahalaang Bayan ng Mainit, Surigao del Norte              1.00	                     lot b.	Evacuation Center c.	Fish Landing d.	Women’s Trai</t>
  </si>
  <si>
    <t xml:space="preserve"> Invitation to Bid No. 2020-006 Republic of the Philippines Batangas City Invitation to Bid for the Purchase of Drugs and Medicines for the use of Barangay Sta. Clara, Batangas City First Day of Publication August 18,2020</t>
  </si>
  <si>
    <t xml:space="preserve"> Republic of the Philippines													 City of San Carlos													 Negros Occidental													 													 INVITATION TO BID											FOR SALE	 			PURCHASE REQUEST NO: 221-20-07-0957				P 300.00	 Sealed bids for quotation of prices will be rec</t>
  </si>
  <si>
    <t xml:space="preserve"> Purchase and Installation of CCTV System within Mun. Compound, Brgy. Poblacion, Divisoria, Port Area and Cawayan Terminal &amp; Public Market</t>
  </si>
  <si>
    <t xml:space="preserve"> Purchase of face shields and production of laminated RPFP Info Boards to be distributed to the local population offices for continuous provision of Family Planning Services (By Line Item) Line Item No. 1 :  1,355 pcs FACE SHIELD Clear plastic or acetate m</t>
  </si>
  <si>
    <t xml:space="preserve"> Rehabiliitation of Multi-Purposed Building INVITATION TO APPLY FOR ELIGIBILITY AND  TO BID 						(UP-2020-08-006-IB) The Brgy. Upper Panikian of LGU-Pitogo, through the Bids and Awards Committee (BAC), invites suppliers registered with the PhilGEPS to app</t>
  </si>
  <si>
    <t xml:space="preserve"> Public Address System with complete</t>
  </si>
  <si>
    <t xml:space="preserve"> Item Description: SPL item I: Occupational Safety and Health Program Item 102: Structure Excavation Item 506: Stone Masonry Item 105: Sub-grade Preparation Item 200: Aggregate Sub-base Coarse Item 311: P.C.C.P. SPL II: Billboard</t>
  </si>
  <si>
    <t xml:space="preserve"> August 18, 2020 1.	The Provincial Government of Sarangani, through AIP 2020/AB 2020 intends to apply the sum of Seven Hundred Seventy-Six Thousand Three Hundred Seventy-Six Pesos and Thirty-Two Centavos (₱776,376.32) being the Approved Budget for the Cont</t>
  </si>
  <si>
    <t xml:space="preserve"> Procurement of Dental and Laboratory Supplies 2020</t>
  </si>
  <si>
    <t xml:space="preserve"> Invitation to Bid for the Construction of Balite E/S Stage The Municipality of San Francisco, Surigao del Norte, through the 20% Development Fund of CY 2020 intends to apply the sum of Two Hundred Fifty Thousand Pesos (250,000.00) being the Approved Budge</t>
  </si>
  <si>
    <t xml:space="preserve"> To procure goods for the 10th Cycle implementation of Supplementary Feeding Program in the Municipality of Nagbukel, Ilocos Sur</t>
  </si>
  <si>
    <t xml:space="preserve"> 1 lot for 35 cubicle of office partition system with table - customize</t>
  </si>
  <si>
    <t xml:space="preserve"> for Procurement of one (1) unit Heavy Duty Hydraulic Disc Harrow</t>
  </si>
  <si>
    <t xml:space="preserve"> BARANGAY ENHANCEMENT PROGRAM - BARANGAY HALL (HARDWARE SUPPLIES)</t>
  </si>
  <si>
    <t xml:space="preserve"> ITEM NO. QTY UNIT DESCRIPTION 1.  19 SHEETS 1/4"X4"X8' BI STEEL PLATE 2.  25 LENGTH 1/4"X2"X2" ANGLE BAR 3.  70 PCS 3/4" DIAX4: BOLT W/ NUT &amp; WASHER 4.  50 KLS WELDING ROD (GOOD QUALITY) 5.   65 PCS CUTTING OFF WHEEL (FOR GRINDER) 6,  10 PCS GRINDING WHEE</t>
  </si>
  <si>
    <t xml:space="preserve"> Republic of the Philippines PROVINCE OF BUKIDNON Municipality of Sumilao INVITATION TO BID ITB NO. GS-2020-37 PROCUREMENT OF CONSTRUCTION MATERIALS FOR THE REHABILITATION OF MULTI-PURPOSE BUILDING. August 17, 2020 1.	The Local Government Unit of  Sumilao,</t>
  </si>
  <si>
    <t xml:space="preserve"> LOT 1- HARDWARE MATERIALS 1. 250 pcs. CHB 4" 2. 90 pcs. 10 mm DSB x 6m 3. 12 kls. Tie wire #16 4. 5 cu.m. Washed sand 5. 8 cu.m Screened gravel 6. 60 bags Portland cement 7. 34 pcs. Marine Plywood 8. 1 liter Roof Sealant 9. 20 kls. CW nails (assorted) LOT</t>
  </si>
  <si>
    <t xml:space="preserve"> MUNICIPALITY OF BONTOC Bontoc, Mountain Province Invitation to Bid for Cluster 04-2020 (1. Improvement of Doddo Ato, Talubin 2. Improvement of Gannas Pathway, Doddo Talubin 3. Improvement of Lamkakayen Pakkil Pathway) INFRA 2020-05/7182361 1.	The Municipa</t>
  </si>
  <si>
    <t xml:space="preserve"> RFQ 2020-173 PROJECT		:	LBP BUNAWAN BRANCH BUILDING CONSTRUCTION  IMPLEMENTOR		: 	LBP RESOURCES AND DEVELOPMENT CORPORATION OWNER			:	LAND BANK OF THE PHILIPPINES	 REQUEST FOR QUOTATION FOR	:	SUPPLY AND DELIVERY OF CONSTRUCTION MATERIALS DATE / TIME OF SU</t>
  </si>
  <si>
    <t xml:space="preserve"> for Procurement of two (2) sets engine assembly, differential housing and transmission for motor vehicles</t>
  </si>
  <si>
    <t xml:space="preserve"> 4      pcs.     Tire 12.00x20</t>
  </si>
  <si>
    <t xml:space="preserve"> Please see attached.</t>
  </si>
  <si>
    <t xml:space="preserve"> MUNICIPALITY OF BONTOC Bontoc, Mountain Province Invitation to Bid for Cluster 10-2020 (1. Additional Counterpart for the Construction of Favuyan/Finakkar Daycare Center 2. Rehabilitation of Foyayeng Pathway 3. Construction and Installation of  Wooden Cab</t>
  </si>
  <si>
    <t xml:space="preserve"> Republic of the Philippines DEPARTMENT OF PUBLIC WORKS AND HIGHWAYS BATANGAS II  DISTRICT ENGINEERING OFFICE REGIONAL OFFICE IV-A Kumintang Ilaya, Batangas City INVITATION TO BID For Outsourcing of Security Guards at DPWH Batangas II District Engineering </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</si>
  <si>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</si>
  <si>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Republic of the Philippines PROVINCE OF BUKIDNON Municipality of Sumilao INVITATION TO BID ITB NO. GS-2020-38 PROCUREMENT OF CONSTRUCTION MATERIALS FOR THE COMPLETION OF MULTI-PURPOSE BUILDING August 17, 2020 1.	The Local Government Unit of  Sumilao, inte</t>
  </si>
  <si>
    <t xml:space="preserve"> Supply of filling materials / river source</t>
  </si>
  <si>
    <t xml:space="preserve"> To bid for this contract, a contractor must submit a Letter of Intent and must meet the following major criteria; Prospective bidders should have experience in undertaking a similar project within the last two (2) years, with an amount of at least 50% of </t>
  </si>
  <si>
    <t xml:space="preserve"> Republic of the Philippines Province of Bohol MUNICIPALITY OF SAN MIGUEL BARANGAY CORAZON Bids and Awards Committee REQUEST FOR QUOTATION Mode	Public Bidding PR No.	 Office	Brgy. Corazon Company Name:          __________________________ Address:		 _______</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</si>
  <si>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</si>
  <si>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REQUEST FOR PRICE QUOTATION											 	 Please quote your lowest price on the job/items listed below, subject to the Specification, Terms &amp; Conditions										 provided herein, stating the shortest time of delivery and submit your quotation in the box l</t>
  </si>
  <si>
    <t xml:space="preserve"> 15 UNITS DESKTOP COMPUTER SET (INTEL I3 PROCESSOR/8GB RAM/1 TB/18.5 INCHES MONITOR 7 PCS PRINTER WITH SCANNER &amp; CONTINOUS INK</t>
  </si>
  <si>
    <t xml:space="preserve"> Concrete Paving of 5m x 320ln.m. x 0.20m thick with slope Protection and CHB line canal.</t>
  </si>
  <si>
    <t xml:space="preserve"> Item No.	Qty	DESCRIPTION				Unit of Measurement 						 1	5	G.I. Pipe 4''Ø x 6.0m. Sch. 40				Pc. 2	6	Sleeve Type Coupling (Flexible 4'' Ø GI - GI				Pc. 3	8	G.I. Union 4''Ø				Pc. 4	10	G. I. Coupling 4''Ø Mech.				Pc. 5	15	G.I. Tee 4'' Ø				Pc. 6	5	G.I. E</t>
  </si>
  <si>
    <t xml:space="preserve"> Republic of the Philippines SOUTHERN LEYTE STATE UNIVERSITY-Tomas Oppus San Isidro, Tomas Oppus, Southern Leyte Website: www.slsuonline.edu.ph Telephone/ Contact No. 0908 5855 048 Invitation to Bid for the Supply, Delivery and Installation  of Furnitures </t>
  </si>
  <si>
    <t xml:space="preserve"> Item Description: 1. 2 Sets Desktop Computer 2. 1 Unit Laptop Computer 3. 2 Unit Printer(CIS)</t>
  </si>
  <si>
    <t xml:space="preserve"> 1 Republic of the Philippines Provincial Government of Aurora Bids and Awards Committee (BAC) BAC Office, Provincial Capitol Building, Baler, Aurora 3200, Philippines Standard Form Number: SF-INFR-05 Revised on: July 29, 2004 INVITATION TO BID The PROVINC</t>
  </si>
  <si>
    <t xml:space="preserve"> Republic of the Philippines DEPARTMENT OF PUBLIC WORKS AND HIGHWAYS ILOILO CITY DISTRICT ENGINEERING OFFICE REGION VI Fort San Pedro, Iloilo City INVITATION TO BID FOR 20GGJ0062 - Supply and Delivery of IT Equipment and Computer Accessories for the use of</t>
  </si>
  <si>
    <t xml:space="preserve"> The detailed Bill of Materials is attached to the Bid Forms.</t>
  </si>
  <si>
    <t xml:space="preserve"> To procure goods for the 10th Cycle implementation of Supplementary Feeding Program in the Municipality of Salcedo, Ilocos Sur</t>
  </si>
  <si>
    <t xml:space="preserve"> 1. 500 ampule Bupivacaine 5% heavy 4ml ampule 2. 30 vial Bupivacaine 5% isobaric 10ml ampule 3. 500 vial Sodium Bicarbonate 50 ml vial 4. 400 ampule Atracurium 25mg/2.5 ml ampule</t>
  </si>
  <si>
    <t xml:space="preserve"> for assorted vegetables seeds</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</si>
  <si>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</si>
  <si>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BRGY  SUPPLEMENTAL BUDGET 2020 OPENING OF BIDS    AUGUST 25, 2020 AT 3PM</t>
  </si>
  <si>
    <t xml:space="preserve"> for Procurement of Information and Communication Technology Equipment and peripherals</t>
  </si>
  <si>
    <t xml:space="preserve"> for Procurement of eleven (11) units office table standards size</t>
  </si>
  <si>
    <t xml:space="preserve"> 1	15	pcs	Sign Pen My Gel 0.5				 2	45	pcs	Computer Ink # 003 =20 pcs Black, 10 pcs Magenta, 				 			10 pcs Cyan, 10 pcs Yellow				 3	5	pcs	USB 32 GB  3.0 Flash Drive				 4	30	pcs	Battery 9v				 5	30	packs	Battery Double A 4's				 6	3	bxs	Battery Triple A </t>
  </si>
  <si>
    <t xml:space="preserve"> UPGRADING OF TUGUEGARAO HALL (TRU OFFICE) BASEMENT CITY HALL BUILDING, CARIG SUR, TUGUEGARAO CITY</t>
  </si>
  <si>
    <t xml:space="preserve"> The detailed Bill of Materials is attached to the Bid Forms</t>
  </si>
  <si>
    <t xml:space="preserve"> see attached bidding documents</t>
  </si>
  <si>
    <t xml:space="preserve"> Republic of the Philippines PROVINCE OF BUKIDNON Municipality of Sumilao INVITATION TO BID ITB NO. GS-2020-39 PROCUREMENT OF CONSTRUCTION MATERIALS FOR THE REHABILITATION OF DRAINAGE SYSTEM August 17, 2020 1.	The Local Government Unit of  Sumilao, intends</t>
  </si>
  <si>
    <t xml:space="preserve"> for Procurement of Office Supplies and Consumables</t>
  </si>
  <si>
    <t xml:space="preserve"> 2	units	XRM 125 Dual Sport 				 		4-Stroke, Air-Cooled, Overhead Cam(0HC)				 		Displacement : 125 cc; Bore X Stroke: 52.40 x 57.91(mm)				 		Maximum Power: 7.12 kW @ 7,500 rpm				 		Maximum Torque : 9.55 N.m @ 6,500 rpm				 		Staring System : Electric &amp; </t>
  </si>
  <si>
    <t xml:space="preserve"> Improvement of Streetlights at Poblacion, Nabua, Camarines Sur</t>
  </si>
  <si>
    <t xml:space="preserve"> 20 posts Concrete Post Lamp</t>
  </si>
  <si>
    <t xml:space="preserve"> 9 sets Led Light 18 watts 2 pcs. 60 Amp. Circuit Breaker 2 box 3.5 mm2 Stranded Wire 68 mtr. #6 Duplex Wire 9pcs. 12" Street Light Shade 9pcs. Receptacle 4pcs Junction Box 4"x 4" 4pcs 1" dia. Electrical Tape 7pcs 1/2" dia. Electrical Pipe 1 can Solvent Ce</t>
  </si>
  <si>
    <t xml:space="preserve"> Different office supplies to be used by the Sangguniang Bayan Office</t>
  </si>
  <si>
    <t xml:space="preserve"> 400 HEADS PULLETS 40 HEADS ROOSTER 162 BAGS FEED REQUIREMENTS MEDICINES AND BIOLOGICS FEEDERER AND WATERER</t>
  </si>
  <si>
    <t xml:space="preserve"> CONSTRUCTION OF PROVINCIAL CAPITOL ENTRANCE WELCOME ARC AND CANOPY Alabel, Sarangani Province  (Contract No. INFRA 2020-57) August 18, 2020 1.	The Provincial Government of Sarangani, through AIP 2020/AB 2020 intends to apply the sum of One Million Four Hu</t>
  </si>
  <si>
    <t xml:space="preserve"> for Procurements of 300 pcs Plastic Chairs</t>
  </si>
  <si>
    <t xml:space="preserve"> Please see attached file/s.</t>
  </si>
  <si>
    <t xml:space="preserve"> ream	Long Bond Paper sub 20	370  ream	Short Bond Paper sub 20	350  	Computer Ink bottled	 pc	INK Refill 003 Black	60  pc	INK Refill 003 Yellow	35  pc	INK Refill 003 Cyan /Blue	35  pc	INK Refill 003 Magenta/ Red	35  pc	INK Refill 664 Black	30  pc	INK Refil</t>
  </si>
  <si>
    <t xml:space="preserve"> Republic of the Philippines Province of Eastern Samar Municipality of Guiuan Invitation to Bid  for  PROPOSED CONSTRUCTION OF MULTI-PURPOSE BUILDING (PHASE 1) AT ST. GENEVIEVE VILLAGE, BARANGAY TAGPORO, GUIUAN, E. SAMAR The LOCAL GOVERNMENT UNIT OF GUIUAN</t>
  </si>
  <si>
    <t xml:space="preserve"> Republic of the Philippines PROVINCE OF BUKIDNON Municipality of Sumilao INVITATION TO BID ITB NO. GS-2020-41 PROCUREMENT OF CONSTRUCTION MATERIALS FOR THE REHABILITATION OF MULTI-PURPOSE HALL August 17, 2020 1.	The Local Government Unit of  Sumilao, inte</t>
  </si>
  <si>
    <t xml:space="preserve"> Municipal Electrification Program of Streetlights Poblacion, Nabua, Camarines Sur</t>
  </si>
  <si>
    <t xml:space="preserve"> Emission Testing of Generator Set (750 KW) double outlet for the parameters: Nox and Co. with three sampling runs</t>
  </si>
  <si>
    <t xml:space="preserve"> Republic of the Philippines PROVINCE OF BUKIDNON Municipality of Sumilao INVITATION TO BID ITB NO. GS-2020-40 PROCUREMENT OF CONSTRUCTION MATERIALS FOR THE IMPROVEMENT OF MULTI-PURPOSE BUILDING. August 17, 2020 1.	The Local Government Unit of  Sumilao, in</t>
  </si>
  <si>
    <t xml:space="preserve"> for Procurement of Office Equipments</t>
  </si>
  <si>
    <t xml:space="preserve"> INVITATION TO BID FOR THE IMPROVEMENT WORKS AT PLMUN (REHABILITATION OF WINDOWS &amp; INSTALLATION OF EXHAUST AT 5TH FLOOR PLMUN COLLEGE BUILDING, BRGY. POBLACION, MUNTINLUPA CITY  1.	The City Government of Muntinlupa, through its duly-approved Executive Budg</t>
  </si>
  <si>
    <t xml:space="preserve"> Republic of the Philippines National Kidney and Transplant Institute Bids and Awards Committee East Avenue, Quezon City 1100 981-0300 / 981-0400 local 1157 http://www.nkti.gov.ph/	 INVITATION TO BID for the ITB No. 20-082 One (1) Lot Supply and Delivery o</t>
  </si>
  <si>
    <t xml:space="preserve"> Rehabilitation &amp; Improvement of Water System of Barangay Rizal, West District, Sorsogon City</t>
  </si>
  <si>
    <t xml:space="preserve"> INVITATION FOR PRICE QUOTATION Date:  17 August 2020  For The  Supply And Delivery Of Range Finder For SMO Of Legazpi Airport -3rd SVP   The Civil Aviation Authority of the Philippines (CAAP) intends to apply the estimated amount   of   Seventy Five Thous</t>
  </si>
  <si>
    <t xml:space="preserve"> PROCUREMENT OF ANIMAL / ZOOLOGICAL SUPPLIES</t>
  </si>
  <si>
    <t xml:space="preserve"> Labor Component for the Installation of Floor Tiles and Steel Gratings at Sagñay Public Market Description of Works: I. Floor Preparation - 153.5 sq.m. II. Tile Works - 153.5 sq.m. III. Welding Works - 60.7 l.m.</t>
  </si>
  <si>
    <t xml:space="preserve"> 12.00 	pcs	Deformed Reinforcing Steel Bar (12mm Ø) (Grade 60  60.00 	bags	Ordinary Portland Cement (Type 1) (40kgs)  4.00 	m³	Sand (Seived)  8.00 	m³	Gravel (Washe) (3/4")  48.00 	sht	Corrugated Roofing (Ga 24)  44.00 	sht	Ordinary Plain Sheet (Ga 24)  24</t>
  </si>
  <si>
    <t xml:space="preserve"> Const. of Concrete multi purpose building complete roofing, Electrical, Plumbing &amp; Painting</t>
  </si>
  <si>
    <t xml:space="preserve"> 55 pcs Apron (Color green with Logo)  2 unit 1.5 Pressurized Car Wash Water Pump Kit/ Set  (including motor &amp; presurized hose nozzle)  2 unit 5kg/ 0.5g LCD Digital Coffee Weighing  5 pcs Air Chuck  49 pcs Air Compressor (1/4 hp)  5 pcs Bara De Cabra  4 pc</t>
  </si>
  <si>
    <t xml:space="preserve"> Different office supplies to be used by Legislative Office</t>
  </si>
  <si>
    <t xml:space="preserve"> for Procurements of Motor Vehicles for PNP</t>
  </si>
  <si>
    <t xml:space="preserve"> Section I. Invitation to Bid INVITATION TO BID  DA8-Goods-2020-52 (PR No. CORN 20-08-14-0232) 1.	The Department of Agriculture-Regional Field Office No. 8, through the CORN 2020 intends to apply the sum of One Million One Hundred Thirty-One Thousand Pesos</t>
  </si>
  <si>
    <t xml:space="preserve"> To procure goods for the 10th Cycle implementation of Supplementary Feeding Program in the Municipality of Banayoyo, Ilocos Sur</t>
  </si>
  <si>
    <t xml:space="preserve"> INVITATION TO BID FOR THE SUPPLY &amp; DELIVERY OF RICE TO BE GIVEN TO VARIOUS CONSTITUENTS OF MUNTINLUPA 1.	The City Government of Muntinlupa, through its duly-approved Executive Budget for 2020 intends to apply the sum of One Million One Hundred Fifty Thous</t>
  </si>
  <si>
    <t xml:space="preserve"> Republic of the Philippines PROVINCE OF BUKIDNON Municipality of Sumilao INVITATION TO BID ITB NO. GS-2020-42 PROCUREMENT OF CONSTRUCTION MATERIALS FOR THE REHABILITATION OF DRAINAGE CANAL August 17, 2020 1.	The Local Government Unit of  Sumilao, intends </t>
  </si>
  <si>
    <t xml:space="preserve"> Republic of the Philippines CENTRAL BICOL STATE UNIVERSITY OF AGRICULTURE-SIPOCOT Impig, Sipocot, Camarines Sur INVITATION TO BID FOR SUPPLY AND DELIVERY OF ONE (1) UNIT PASSENGER VAN (Second Publication) 1.	The CENTRAL BICOL STATE UNIVERSITY OF AGRICULTU</t>
  </si>
  <si>
    <t xml:space="preserve"> SUPPLY AND DELIVERY OF SOLID WASTE MANAGEMENT EQUIPMENT FOR ORGANIC FERTILIZER PRODUCTION AS LIVELIHOOD PROGRAM TUGUEGARAO CITY AGRICULTURAL TRAINING CENTER AND DEMONSTRATION FARM, GOSI NORTE, TUGUEGARAO CITY</t>
  </si>
  <si>
    <t xml:space="preserve"> REQUEST FOR PRICE QUOTATION Please quote your lowest price on the job/items listed below, subject to the Specification, Terms &amp; Conditions provided herein, stating the shortest time of delivery and submit your quotation in the box located at Procurement S</t>
  </si>
  <si>
    <t xml:space="preserve"> Kindly see attached documents</t>
  </si>
  <si>
    <t xml:space="preserve"> 11 PLATES 12 VOLTS BATTERY (9 UNIT)  Minimum Requirements: 1. Maintenance Free Tropicalized 11 Plates 12 Volts Battery; and 2. With 24 months warranty. Note: a. Supplier must have pertinent documents such as PhilGEPS registration, Mayor's Permit, DTI and </t>
  </si>
  <si>
    <t xml:space="preserve"> To procure goods for the 10th Cycle implementation of Supplementary Feeding Program in the Municipality of Alilem, Ilocos Sur</t>
  </si>
  <si>
    <t xml:space="preserve"> INVITATION TO APPLY FOR ELIGIBILITY AND TO BID THE BIDS AND AWARD COMMITTEE OF THE MUNICIPALITY OF CAIBIRAN, BILIRAN IS INVITING ALL INTERESTED BIDDERS ON ITS FORTHCOMING PUBLIC BIDDING FOR: Project Title	             : Local Road Upgrading &amp; Rehabilitati</t>
  </si>
  <si>
    <t xml:space="preserve"> Construction of 36mx22m Multi-purpose covered court with drainage system</t>
  </si>
  <si>
    <t xml:space="preserve"> Straight Contract for Construction of Waiting Shed  See attached link/Url under OTHER INFORMATION BOX</t>
  </si>
  <si>
    <t xml:space="preserve"> Republic of the Philippines PROVINCE OF MARINDUQUE Capitol Boac, Marinduque  BIDS AND AWARDS COMMITTEE REQUEST FOR EXPRESSION OF INTEREST FOR  Consulting Services in the Formulation of the Tourism Development Plan (Master Plan) for the Province of Marindu</t>
  </si>
  <si>
    <t xml:space="preserve"> A. Construction of Canal at Interior B Notes and Specifications: 1. For canal:Compressive strength: 3000PSI for 28 days 2. For gratings: Fully weld all joints                        Paint with red oxide primer 3. Use grade 33 reinforcing steel bars 4. Pro</t>
  </si>
  <si>
    <t xml:space="preserve"> CONSTRUCTION OF ECPC CHEMICAL STORAGE FACILITY, CAPITOL, ALABEL Alabel, Sarangani Province  (Contract No. INFRA 2020-56) August 18, 2020 1.	The Provincial Government of Sarangani, through AIP 2020/AB 2020 intends to apply the sum of Four Hundred Eighty-Fo</t>
  </si>
  <si>
    <t xml:space="preserve"> Procurement of Laptop - VM Office Item for delivery: 1. Laptop - 1 unit Specifications:  Windows 10 intel Core i5 Dual Screen 14 FHG (1920x1080) 16gb LPDDR3 RAM 512 EB PCIEG 3X2 SSD 1X USB 3.1 (Gen 2) Type C 1 Micro SD Card Reader WIFI 6 (1802.11ax) Bluet</t>
  </si>
  <si>
    <t xml:space="preserve"> JOB ORDER: LABOR AND MATERIALS AND REPAIR OF 5HP FLOOR MOUNTED INVERTER AIR CONDITIONING UNIT SCOPE OF WORKS:  SUPPLY AND INSTALLATION OF NEW PVC BOARD FOR OUTDOOR UNIT SUPPLY AND INSTALLATION OF NEW THERMISTOR ASSY., PBC BOARD FOR OUTDOOR UNIT</t>
  </si>
  <si>
    <t xml:space="preserve"> SUPPLY, DELIVERY AND INSTALLATION OF WASTE WATER TREATMENT PLANT (TUGUEGARAO CITY PEOPLE’S GENERAL HOSPITAL TUGUEGARAO CITY)</t>
  </si>
  <si>
    <t xml:space="preserve"> for Procurements of Manhaul Vehicle</t>
  </si>
  <si>
    <t xml:space="preserve"> BARANGAY CASILI, GUBAT, SORSOGON ________________________________________________________________________________________________________ INVITATION TO BID FOR THE “CONSTRUCTION OF STREETLIGHTS AT PUROK 5, BRGY. CASILI, GUBAT, SORSOGON” 1.	The Barangay Lo</t>
  </si>
  <si>
    <t xml:space="preserve"> To procure goods for the 10th Cycle implementation of Supplementary Feeding Program in the Municipality of Bantay, Ilocos Sur</t>
  </si>
  <si>
    <t xml:space="preserve"> various computer ink</t>
  </si>
  <si>
    <t xml:space="preserve"> ITEM NO. UNIT DESCRIPTION 1.  160 BOX PRENATAL MILK 375G/BOX 2.  160 CANS 850G/CAN BISCUIT 3.  5200 TABS PRENATAL VITAMINS</t>
  </si>
  <si>
    <t xml:space="preserve"> Republic of the Philippines National Kidney and Transplant Institute Bids and Awards Committee East Avenue, Quezon City 1100 981-0300 / 981-0400 local 1157 http://www.nkti.gov.ph/	 INVITATION TO BID for the ITB No. 20-079 ONE (1) LOT SUPPLY AND DELIVERY O</t>
  </si>
  <si>
    <t xml:space="preserve"> Republic of the Philippines Batangas City Invitation to Apply for Eligibility and to Bid The Barangay Government of Barangay Libjo, Batangas City intends to apply the sum of Four Hundred Thousand Pesos Only (Php 400,000.00) broken down as follow: ITEM Bri</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</si>
  <si>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</si>
  <si>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L=100LM; H=1M</t>
  </si>
  <si>
    <t xml:space="preserve"> Republic of the Philippines Province of Batanes	 MUNICIPALITY OF BASCO               		INVITATION TO BID FOR THE PROCUREMENT OF SUBMERSIBLE PUMPS 1.	The Municipal Local Government Unit of Basco, through the General Fund  intends to apply the sum of Four H</t>
  </si>
  <si>
    <t xml:space="preserve"> INVITATION TO BID FOR OFFICE SUPPLIES AND CONSUMABLES 1. The Cebu Technological University, through the GAA intends to apply the sum of Three Hundred Thirty Three Thousand Seven Hundred Pesos (Php333,700.00) being the Approved Budget for the Contract (ABC</t>
  </si>
  <si>
    <t xml:space="preserve"> Invitation to Bid for the supply &amp; delivery of Highly Concentrated Muriatic Acid and High Granular Chlorine for use of the Batangas City Sport Center-Coliseum.</t>
  </si>
  <si>
    <t xml:space="preserve"> Invitation to Bid to all Supplier/Contractor duly accredited by the City Council of Manila to supply and deliver the following items provided hereunder, to wit; Item	Qty.	 	Unit	 	 	 	DESCRIPTION 1	 	100	 	Pcs	Folding Laptop Table	 	  2	 	100	 	Pcs	Compos</t>
  </si>
  <si>
    <t xml:space="preserve"> for Procurement of one (1) unit Drone</t>
  </si>
  <si>
    <t xml:space="preserve"> LADDER, 7 ALU. STEPS 8" HEIGHT (SURESTEP YELLOW)= 2 PC. FOLDER CART 300K (GRAY/BLUE)= 2 PCS. SUBMERSIBLE PUMP GV-370 SHOWFOU YELLOW= 2 PCS. DUCT HOSE 2" DIA. BLUE = 40 MTR STAINLESS CLIP 2" DIA. = 4 PCS. PRESUURE SWITCH SQUARE D= 20 PCS. PRESSURE GAUGE SE</t>
  </si>
  <si>
    <t xml:space="preserve"> To procure goods for the 10th Cycle implementation of Supplementary Feeding Program in the Municipality of Lidlidda, Ilocos Sur</t>
  </si>
  <si>
    <t xml:space="preserve"> PURCHASE OF EQUIPMENT - AIRCON</t>
  </si>
  <si>
    <t xml:space="preserve"> August 17, 2020 INVITATION TO BID  Reference No. 7182718 /Solicitation No.20-31 The City Government of Tagum invites interested Bidders/Suppliers to bid for the following: Name of Contract         :  DRONE FOR THE USE OF DEPARTMENT OF TRANSPORTATION &amp; LGU</t>
  </si>
  <si>
    <t xml:space="preserve"> Republic of the Philippines Province of Leyte Municipality of Hilongos Barangay UTANAN REQUEST FOR QUOTATION ________________ DATE _____________________ _____________________ .        Please quote your lowest price on the items/listed below for theProcure</t>
  </si>
  <si>
    <t xml:space="preserve"> I. Area Clearing II. Demolition ( Concrete Chipping) III. Excavation and Backfilling IV. Reinforced Concrete Works V. Masonry Works VI. Painting Works and Water Proofing VII. Electrical Works VIII. Forms and Scaffoldings IX. Doors and Windows</t>
  </si>
  <si>
    <t xml:space="preserve"> SUPPLY AND DELIVERY OF OTHER TRANSPORT EQUIPMENT (HAULING TRANSPORT EQUIPMENT)</t>
  </si>
  <si>
    <t xml:space="preserve"> LENGTH = 70.00 m DEPTH =   0.50 m WIDTH =   0.40 m 123 Bags Cement 12 cu.m Mixed Gravel 104 Pcs 10 mm dia. Rebar 8 kgs. Tie Wire 5 Pc 1/2" Marine Plywood 100 bd. ft. 2x2" Form Lumber 3 kg. Assorted Nails</t>
  </si>
  <si>
    <t xml:space="preserve"> 1.	The PhilHealth Regional Office VIII, through the Corporate Budget for COB 2020  intends to apply the sum of One Million One Hundred Two Thousand Eight Hundred Eighty-One &amp; 65/100 Pesos (P1,102,881.65) being the Approved Budget for the Contract (ABC) to</t>
  </si>
  <si>
    <t xml:space="preserve"> General repair of control panel consisting of installation and setting of two (2) units brand new inverter VFD 3HP-380/500V-15kw/	20hp, troubleshooting of electrical connections/wiring and complete rewinding of two (2) units submersible pump 12kw/3,500 RP</t>
  </si>
  <si>
    <t xml:space="preserve"> Republic of the Philippines Province of Batangas MUNICIPALITY OF LEMERY INVITATION TO BID FOR Concreting/Construction/Widening of Climate Change Resilient road at Barangay Cahilan II, Lemery, Batangas 1.	The MUNICIPALITY OF LEMERY through the Annual Budge</t>
  </si>
  <si>
    <t xml:space="preserve"> Invitation to Bid for the repair &amp; maintenance of various service vehicles of Batangas City Government.</t>
  </si>
  <si>
    <t xml:space="preserve"> To procure goods for the 10th Cycle implementation of Supplementary Feeding Program in the Municipality of Caoayan, Ilocos Sur</t>
  </si>
  <si>
    <t xml:space="preserve"> REQUEST FOR QUOTATION Date	:	August 17, 2020 Project Title	:	PROCUREMENT OF EMERGENCY MEDICAL SERVICES (EMS) FOR ONE (1) UNIT  WITH THREE (3) MANNED CREW ITB No.             	:	FB20-03-006CORa-08 Approved Budget for the Contract (ABC)	:	Three      Million</t>
  </si>
  <si>
    <t xml:space="preserve"> Description: NAME OF PROJECT: CONCRETING OF PATHWALK  ABC: 150,000.00 To bid for this contract, a contractor must submit a Letter of Intent and must meet the following major criteria; Prospective bidders should have experience in undertaking a similar pro</t>
  </si>
  <si>
    <t xml:space="preserve"> Republic of the Philippines Province of Batangas MUNICIPALITY OF LEMERY INVITATION TO BID FOR Concreting/Construction/Widening of Climate Change Resilient road at Barangay Arumahan, Lemery, Batangas 1.	The MUNICIPALITY OF LEMERY through the Annual Budget </t>
  </si>
  <si>
    <t xml:space="preserve"> Procurement of DSLR Camera  Item for delivery: 1. DSLR Camera with 29-70mm kit lens - 1 unit Specifications: Sensor: 24.3MP full frame CMOS Screen: 3.0 inch tilt-angle, 1,228,000 dots Burst Shooting: 5fps Auto focus: 117-point AF Connectivity: Wi-fi and N</t>
  </si>
  <si>
    <t xml:space="preserve"> INVITATION TO BID FOR MULTI-PURPOSE TRUCK FOR COVID-19 RELATED OPERATIONS 1. The Municipal Government of Hinoba-an, through the CY 2020 20% Municipal Development Fund (Purchase of Multi-Purpose Truck), intends to apply the sum of One Million Four Hundred </t>
  </si>
  <si>
    <t xml:space="preserve"> QTY	UNIT		DESCRIPTION 1	unit		LAPTOP- intel core I7-5880U, 4GB DDR4 Memory Ram, 2TB Hard Disk Drive, 				  5GB Nvidia Geforce Graphics mx150, 15.6 FHD LED Monitor Display, 			                Wifi, Bluetooth, Webcam, Windows 10 Home 64 bit, with Laptop Bag</t>
  </si>
  <si>
    <t xml:space="preserve"> SUPPLY AND DELIVERY OF VARIOUS HARDWARE &amp; CONSTRUCTION MATERIALS  The Philippine National Oil Company (PNOC), through the 2020 Approved Corporate Operating Budget intends to apply the sum of One Million Two Hundred Sixty Two Thousand Four Hundred Fifty Fo</t>
  </si>
  <si>
    <t xml:space="preserve"> Invitation No.17-2020                                                              LGU-ROX-CWC-26-2020 1.	The Municipal Government of Roxas, Isabela has received the share from the CY 2016 Collection of Burley and Native Tobacco Excise Tax   and it  inten</t>
  </si>
  <si>
    <t xml:space="preserve"> 2-units "Scanner Specs: *Scan Function:  Scanner Type: A3 flatbed colour image scanner Sensor Type: 4-line colour CCD Light Source: White LED Optical Resolution: 600 x 600 dpi Output Resolution: 50 dpi - 4,800 dpi (1 dpi increments), 7,200 dpi and 9,600 d</t>
  </si>
  <si>
    <t xml:space="preserve"> INVITATION TO BID FOR THE SUPPLY, DELIVERY &amp; INSTALLATION OF AIRCONDITIONERS FOR VARIOUS HEALTH FACILITIES IN MUNTINLUPA CITY (*RE-POSTED)  1.	The City Government of Muntinlupa, through its duly-approved Executive Budget for 2020 intends to apply the sum </t>
  </si>
  <si>
    <t xml:space="preserve"> Invitation No.17-2020                                                       LGU-ROX-CWC-25-2020 1.	The Municipal Government of Roxas, Isabela has received the share from the CY 2016 Collection of Burley and Native Tobacco  Excise Tax   and it  intends to </t>
  </si>
  <si>
    <t xml:space="preserve"> Republic of the Philippines Province of Cotabato Municipality of Makilala OFFICE OF THE BIDS &amp; AWARDS COMMITTEE INVITATION TO BID #2020-038 The Municipality of Makilala, funded by the  Municipal Government to apply for the  Construction of Two (2) Day Car</t>
  </si>
  <si>
    <t xml:space="preserve"> INVITATION OF SECURITY GUARD SERVICES TO SUBMIT QUOTATION 1. The GINGOOG CITY WATER DISTRICT resolve the services of five (5) Security Guards to protect and watch-over the Gingoog City Water District Office and all facilities owned/property in different l</t>
  </si>
  <si>
    <t xml:space="preserve"> 1 Injector Valve, EMEC KCL (INJECTOR CHECKVALVE INCLUDED ALL SETS OF STANDARD INTERNAL PARTS/ACCESSORIES, WITH LOCKNUT FOR 9MM OUTSIDE DIAMETER BRAIDED HOSE, COMPRESSION RING FOR 4MM INSIDE DIA. BRAIDED HOSE, CONE; SEE ATTACHED SAMPLE PICTURE) 15 pc  2 Ho</t>
  </si>
  <si>
    <t xml:space="preserve"> 57,400.00  Surgical Head Cap (Disposable)100/pack		2000	Pack	 Shoe Cover ( Disposable) 100/pack		2000	Pack	 Surgical Gloves ( XL) 100/box		20	Boxes	 Paper Towel 175 pull sheets/pack		20	pack</t>
  </si>
  <si>
    <t xml:space="preserve"> OFFICE OF THE MUNICIPAL ACCOUNTANT 12 MONTHS SYSTEMS RENTALS OFFICE OF THE MUNICIPAL BUDGET OFFICER  12 MONTHS SYSTEMS RENTALS</t>
  </si>
  <si>
    <t xml:space="preserve"> COMPLETION OF KINABALAN MULTI-PURPOSE BUILDING Malungon, Sarangani Province (Contract No. INFRA 2020-58) August 18, 2020 1.	The Provincial Government of Sarangani, through AIP 2020/AB 2020 intends to apply the sum of Three Million Pesos (₱3,000,000.00) be</t>
  </si>
  <si>
    <t xml:space="preserve"> Invitation to Bid for the supply &amp; delivery of Various Medical, dental &amp; Laboratory Supplies for use of the City health office, Batangas City</t>
  </si>
  <si>
    <t xml:space="preserve"> Portland Cement Type 1P (40kg)				131 bags Course Aggregates (G - 3/4)				12 cu.m. Fine Agreggates							15 cu.m. 4" Thick Concrete Hollow Block				800 pcs. 10mm Ø x 6m reinforcing Steel Bar (Grade 33)	83 pcs. 12mm Ø x 6m reinforcing Steel Bar (Grade 33)	</t>
  </si>
  <si>
    <t xml:space="preserve"> The Local  Government   Unit  of General  Santos  City, through  the  GENERAL FUND CY 2020  intends  to apply  the sum of two hundred forty thousand and xx / 100 Pesos Only (240,000.00)   being  the Approved  Budget  for the Contract   (ABC) to payments  </t>
  </si>
  <si>
    <t xml:space="preserve"> The Local  Government   Unit  of General  Santos  City, through  the  GENERAL FUND CY 2020  intends  to apply  the sum of one hundred eleven thousand three hundred and xx / 100 Pesos Only (111,300.00)   being  the Approved  Budget  for the Contract   (ABC</t>
  </si>
  <si>
    <t xml:space="preserve"> August 17, 2020 INVITATION TO BID  Reference No. 7182837 /Solicitation No.20-31 The City Government of Tagum invites interested Bidders/Suppliers to bid for the following: Name of Contract         :  PLOTTER FOR THE USE OF DEPARTMENT OF TRANSPORTATION &amp; L</t>
  </si>
  <si>
    <t xml:space="preserve"> ITEM	QTY.	UNIT	PARTICULARS	UNIT PRICE	TOTAL COST 1	350 	Pcs.	Portable Laptop Table</t>
  </si>
  <si>
    <t xml:space="preserve"> Invitation to Bid for the supply &amp; delivery of Various Maintenance Materials for use of different offices of Batangas City Government</t>
  </si>
  <si>
    <t xml:space="preserve"> Invitation to Bid for the supply &amp; delivery of Various Veterinary Supplies &amp; Medicines as requested by the City Veterinary &amp; Agricultural Services Office, Batangas City</t>
  </si>
  <si>
    <t xml:space="preserve"> INVITATION TO BID FOR PROCUREMENT OF MATERIALS FOR CONSTRUCTION OF 2 UNITS CONCRETE BASKETBALL POST / CONCRETE PAVEMENT 1.	The [Barangay Local Government Unit of Dalupaon, Pasacao, Camarines Sur], through the [SK Fund CY 2019]  intends to apply the sum of</t>
  </si>
  <si>
    <t xml:space="preserve"> 1.) 3,000 liters Premium Gasoline</t>
  </si>
  <si>
    <t xml:space="preserve"> Republic of the Philippines National Kidney and Transplant Institute Bids and Awards Committee East Avenue, Quezon City 1100 981-0300 / 981-0400 local 1157 http://www.nkti.gov.ph/	 INVITATION TO BID for the ITB No. 20-080 ONE (1) LOT SUPPLY, DELIVERY, INS</t>
  </si>
  <si>
    <t xml:space="preserve"> The Local  Government   Unit  of General  Santos  City, through  the  GENERAL FUND CY 2020  intends  to apply  the sum of two hundred five thousand four hundred twenty one and xx / 100 Pesos Only (205,421.00)   being  the Approved  Budget  for the Contrac</t>
  </si>
  <si>
    <t xml:space="preserve"> Construction of ramps, handrails and canopy</t>
  </si>
  <si>
    <t xml:space="preserve"> Invitation No.17-2020                                                       LGU-ROX-CWC-27-2020 1.	The Municipal Government of Roxas, Isabela has received the share from the CY 2016 Collection of Burley and Native Tobacco Excise Tax   and it  intends to a</t>
  </si>
  <si>
    <t xml:space="preserve"> Lumpsum Services for the Installation including Labor &amp;				 			Materials of:				 1	1	unit	Brand new 5tons Floormounted Aircondition Unit				 2	2	units	Brand new Compressor Motor &amp; Freon Charging				 3	3	units	5tons Compressor Motor Brand-new				 4	4	sets	</t>
  </si>
  <si>
    <t xml:space="preserve"> PLEASE SEE ATTACHED J.O., T.O.R. AND PLANS</t>
  </si>
  <si>
    <t xml:space="preserve"> Invitation to Bid for the repair &amp; maintenance of various services vehicles of Batangas City Government.</t>
  </si>
  <si>
    <t xml:space="preserve"> Construction of One (1) Storey, Two (2) Rooms w/ Two Comfort Room</t>
  </si>
  <si>
    <t xml:space="preserve"> Republic of the Philippines Province of Tarlac CONCEPCION WATER DISTRICT San Jose, Concepcion, Tarlac INVITATION TO BID 1.	The CONCEPCION WATER DISTRICT, through the Corporate Budget for the contract approved by the Board for the calendar year 2020, inten</t>
  </si>
  <si>
    <t xml:space="preserve"> Request for Expression of Interest CONSULTING SERVICES FOR A FULL BUILDING ASSESSMENT, PREPARATION OF DETAILED ARCHITECTURAL AND ENGINEERING PLANS, PROVISION OF TECHNICAL SUPPORT IN THE PROCUREMENT OF A RETROFITTING CONTRACTOR AND CONSTRUCTION PROJECT MAN</t>
  </si>
  <si>
    <t xml:space="preserve"> The Local  Government   Unit  of General  Santos  City, through  the  GENERAL FUND CY 2020  intends  to apply  the sum of nine hundred fifty thousand and xx / 100 Pesos Only (950,000.00)   being  the Approved  Budget  for the Contract   (ABC) to payments </t>
  </si>
  <si>
    <t xml:space="preserve"> Invitation to Bid for the supply &amp; delivery of Various Maintenance Materials for use of different  Barangay of Batangas City.</t>
  </si>
  <si>
    <t xml:space="preserve"> 1.) 5,000 liters Diesel Fuel</t>
  </si>
  <si>
    <t xml:space="preserve"> Invitation to Bid for the supply &amp; delivery of Various Office Supplies &amp; Equipment for use of different offices of Batangas City Government.</t>
  </si>
  <si>
    <t xml:space="preserve"> BARANGAY ENHANCEMENT PROGRAM - LIVELIHOOD COMMITTEE (3RD QUARTER)</t>
  </si>
  <si>
    <t xml:space="preserve"> Repair of existing cr and site Development of new CR</t>
  </si>
  <si>
    <t xml:space="preserve"> INVITATION TO BID The Municipality of Mutia through its Bids and  Awards Committee Invites  contractors to apply for eligibility and to bid for the project reflected hereunder; NAME OF PROJECT	:  Procurement of Concrete Hollow Block  for the Construction </t>
  </si>
  <si>
    <t xml:space="preserve"> INVITATION TO BID The Municipality of Mutia through its Bids and  Awards Committee Invites  contractors to apply for eligibility and to bid for the project reflected hereunder; NAME OF PROJECT	:  Procurement of Materials &amp; Supplies for the Construction of</t>
  </si>
  <si>
    <t xml:space="preserve"> Completion of two storey multi - purpose hall</t>
  </si>
  <si>
    <t xml:space="preserve"> Delivery of Supplies and Materials for the Installation of Floor Tiles and Steel Gratings at Sagñay Public Market Delivery of the following items: 1. Floor tiles, 200mm x 200mm -  3850 pcs. 2. Cement - 200 bags 3. Sand - 14 cu.m. 4. Tile Grout - 78 kgs. 5</t>
  </si>
  <si>
    <t xml:space="preserve"> The Local  Government   Unit  of General  Santos  City, through  the  GENERAL FUND CY 2020  intends  to apply  the sum of one hundred forty four thousand five hundred and xx / 100 Pesos Only (144,500.00)   being  the Approved  Budget  for the Contract   (</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</si>
  <si>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</si>
  <si>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The Local  Government   Unit  of General  Santos  City, through  the  GENERAL FUND CY 2020  intends  to apply  the sum of nine hundred fifty five thousand nine hundred and xx / 100 Pesos Only (955,900.00)   being  the Approved  Budget  for the Contract   </t>
  </si>
  <si>
    <t xml:space="preserve"> Republic of the Philippines Bangsamoro Autonomous Region in Muslim Mindanao Provincial Government of Maguindanao BIDS AND AWARDS COMMITTEE Buluan, Maguindanao INVITATION TO BID FOR SUPPLY AND DELIVERY OF OILS AND LUBRICANTS FOR LIGHT AND HEAVY EQUIPMENTS </t>
  </si>
  <si>
    <t xml:space="preserve"> To procure goods for the 10th Cycle implementation of Supplementary Feeding Program in the Municipality of Gregorio del Pilar, Ilocos Sur</t>
  </si>
  <si>
    <t xml:space="preserve"> for Procurments of Personal Equipments for LDRRMO</t>
  </si>
  <si>
    <t xml:space="preserve"> INVITATION TO BID INSTALLATION OF STREET LIGHTS ALONG PROVINCIAL ROAD FROM PUROK 3 TO PUROK 4, BARANGAY COMAGASCAS – 2ND BIDDING 1.	The Local Government Unit of Cabadbaran City through the PEACE &amp; ORDER FUND (EO 70 ELCAC IMPLEMENTATION) intends to apply t</t>
  </si>
  <si>
    <t xml:space="preserve"> Const. of Two Storey Building (Dimension:  22.50m x 9.40m) made of concrete, masonry works, C- Joist suspended slabs, steel &amp; galva iron roofing sheets complete with ceilings, metal hanger &amp; nailers, paintings, plumbing &amp; sanitary fixtures, doors &amp; window</t>
  </si>
  <si>
    <t xml:space="preserve"> To procure goods for the 10th Cycle implementation of Supplementary Feeding Program in the Municipality of San Vicente, Ilocos Sur</t>
  </si>
  <si>
    <t xml:space="preserve"> Regular school and office supplies/ equipment</t>
  </si>
  <si>
    <t xml:space="preserve"> Supply and Delivery of 15,000 reams Bond paper short 60 gsm and 5,000 reams Bond paper long 60gsm</t>
  </si>
  <si>
    <t xml:space="preserve"> Brief Description/Specification: “SUPPLY AND DELIVERY OF VARIOUS MATERIALS AND EQUIPMENT FOR SEARCH AND RESCUE OPERATIONS” of the Municipal Disaster Risk Reduction &amp; Management Office, Bayog, Zamboanga del Sur. Approved Budget for the Contract:  Php 54,26</t>
  </si>
  <si>
    <t xml:space="preserve"> PURCHASE OF 1500 LITERS OF DIESEL TO BE USE BY THE MUNICIPAL DISASTER AND RISK REDUCTION OFFICE</t>
  </si>
  <si>
    <t xml:space="preserve"> Standard Form No. SF INFR-05	                     Project Reference No.: CATCAM-2020-27 Revised on July 28,2004                   	            Name of Project: MUNICIPAL EVACUATION CENTER                                                                    </t>
  </si>
  <si>
    <t xml:space="preserve"> Republic of the Philippines CITY OF BAIS BIDS AND AWARDS COMMITTEE NOTICE FOR SHOPPING 52.1(b) 						 				 	ITEM	  	                             APPROVED BUDGET  				                 FOR THE CONTRACT                                                        </t>
  </si>
  <si>
    <t xml:space="preserve"> The Local  Government   Unit  of General  Santos  City, through  the  GENERAL FUND CY 2020  intends  to apply  the sum of seven hundred eighty eight thousand eight hundred and xx / 100 Pesos Only (788,800.00)   being  the Approved  Budget  for the Contrac</t>
  </si>
  <si>
    <t xml:space="preserve"> INVITATION TO BID FOR THE SUPPLY AND DELIVERY OF VARIOUS SIZES CI SADDLE CLAMP 1. The Metropolitan Tuguegarao Water District through the Corporate Budget for the Year 20201 intends to apply the sum of One Million Six Hundred Twenty Thousand Pesos (P 1,620</t>
  </si>
  <si>
    <t xml:space="preserve"> Republic of the Philippines Province of Bohol Municipality of Danao Invitation to Bid for  IMPROVEMENT OF MULTI-PURPOSE BUILDING, BRGY. VILLA ANUNCIADO 1.	The Municipality of Danao, Bohol  through the GF [Local Development Plan (20% of IRA) FY 2020]   int</t>
  </si>
  <si>
    <t xml:space="preserve"> Brgy. Guyam Munti, Indang, Cavite</t>
  </si>
  <si>
    <t xml:space="preserve"> INVITATION TO BID Name of Contract: Construction of Drainage Canal System at Zone 6, Brgy. Dilan-Paurido, Urdaneta City Brief Description :Construction of Drainage Canal System at Zone 6, Brgy. Dilan-Paurido, Urdaneta City Approved Budget for the Contract</t>
  </si>
  <si>
    <t xml:space="preserve"> Republic of the Philippines Province of Cotabato Municipality of Makilala OFFICE OF THE BIDS &amp; AWARDS COMMITTEE INVITATION TO BID #2020-033 The Municipality of Makilala, funded by the  Municipal Government to apply for the  Concreting of Roads to Resettle</t>
  </si>
  <si>
    <t xml:space="preserve"> QUANTITY       UNIT                   DESCRIPTION 8000              SACHETS             RICE+MONGO INSTANT BABY BLEND DRY CEREAL</t>
  </si>
  <si>
    <t xml:space="preserve"> Repair and Maintenance of barangay Patrol</t>
  </si>
  <si>
    <t xml:space="preserve"> Department of Public Works and Highways Contract ID	:	20MH0116 Contract Name	:	Concreting of Upper Balayan to Kidanao, Barangay Basak, Lebak, Sultan Kudarat Contract Location	:	Lebak, Sultan Kudarat Department of Public Works and Highways Sultan Kudarat 2</t>
  </si>
  <si>
    <t xml:space="preserve"> To download bidding documents, please click the link below https://drive.google.com/file/d/1xPvUCRax1QXS_3cPps-kttqan8i_Kuv-/view?usp=drivesdk</t>
  </si>
  <si>
    <t xml:space="preserve"> Republic of the Philippines          City of Dumaguete Bids and Awards Committee INVITATION TO BID FOR PURCHASE REQUEST OF 2990 PCS CHB 4” AND OTHER ITEMS 	The City of Dumaguete thru its BIDS AND AWARDS COMMITTEE (BAC), invites all interested manufacturer</t>
  </si>
  <si>
    <t xml:space="preserve"> Republic of the Philippines																						 Cordillera Administrative Region																						 Provincial Local Government Unit of Ifugao																						 BIDS AND AWARDS COMMITTEE - INFRA																						 3rd Floor PEO Bldg., Capitol </t>
  </si>
  <si>
    <t xml:space="preserve"> Republic of the Philippines													 City of San Carlos													 Negros Occidental													 													 INVITATION TO BID											FOR SALE	 			PURCHASE REQUEST NO: 9-20-08-0965				P 300.00	 Sealed bids for quotation of prices will be recei</t>
  </si>
  <si>
    <t xml:space="preserve"> Section I. Invitation to Bid FOR THE UPLB-S-051-09-20  SUPPLY, DELIVERY AND INSTALLATION OF  BRAND NEW VARIOUS FURNITURE 1.	The UNIVERSITY OF THE PHILIPPINES LOS BAÑOS (UPLB), through the GOP intends to apply the sum of ONE MILLION NINE HUNDRED NINETY-FOU</t>
  </si>
  <si>
    <t xml:space="preserve"> Department of Public Works and Highways Contract ID	:	20MH0115 Contract Name	:	Construction of Road Slope Protection Structure along IsulanJct-Ninoy Aquino Rd, K1834+110 – K1834+178, K1845+471 – K1845+544, Bagumbayan/Sen. Ninoy Aquino, Sultan Kudarat Cont</t>
  </si>
  <si>
    <t xml:space="preserve"> QUANTITY            UNIT              DESCRIPTION 80                       PAX                  MEALS FOR 30 DAYS</t>
  </si>
  <si>
    <t xml:space="preserve"> To procure goods for the 10th Cycle implementation of Supplementary Feeding Program in the Municipality of Burgos, Ilocos Sur</t>
  </si>
  <si>
    <t xml:space="preserve"> August 17, 2020 INVITATION TO BID  Reference No. 7182961 /Solicitation No.20-31 The City Government of Tagum invites interested Bidders/Suppliers to bid for the following: Name of Contract         :  IT EQUIPMENT &amp; SUPPLIES FOR THE USE OF DEPARTMENT OF TR</t>
  </si>
  <si>
    <t xml:space="preserve"> Office Supplies &amp; Devices</t>
  </si>
  <si>
    <t xml:space="preserve"> Republic of the Philippines Province of Iloilo Municipality of Lambunao Office of the Bids &amp; Awards Committee INVITATION TO BID/ REQUEST FOR PRICE QUOTATION Name of Project: Improvement of Socialized Housing Project (GK) Footwalk and Electric Lights (One </t>
  </si>
  <si>
    <t xml:space="preserve"> Department of Public Works and Highways Contract ID	:	20MH0114 Contract Name	:	 Construction of River Bank Protection/Flood Control at Salaman River, Brgy. Salaman, Lebak, Sultan Kudarat Contract Location	:	Brgy. Salaman, Lebak, Sultan Kudarat Department </t>
  </si>
  <si>
    <t xml:space="preserve"> 6	Pieces	" Ink Cartridge, Ink, HP, black Ink advantage 678" 6	Pieces	" Ink Cartridge, Ink, HP, colored Ink advantage 678" 44	Pieces	" Ink refill, Ink Refill, Epson, black T664 " 3	Pieces	"Ink, Laserjet HP laserjet P1102W 85A, CE285A black" 10	Pieces	Toner</t>
  </si>
  <si>
    <t xml:space="preserve"> Repair of water tank stand, repair of plumbing system, water source development and installation of water pump</t>
  </si>
  <si>
    <t xml:space="preserve"> Department of Public Works and Highways Contract ID	:	20MH0113 Contract Name	:	 Construction of Road Slope Protection Structure along Awang-Upi-Lebak-Kalamansig-Palimbang-Sarangani Rd – K1985+733 – K1985+793, K2005+845 – K2005+965, Palimbang, Sultan Kudar</t>
  </si>
  <si>
    <t xml:space="preserve"> 1.	The Local Government Unit of Balangiga, through the Annual Budget for 20203 intends to apply the sum of Six Hundred Four Thousand Pesos (Php 604,000.00) being the Approved Budget for the Contract (ABC) to payments under the contract for the Purchase of</t>
  </si>
  <si>
    <t xml:space="preserve"> The Local  Government   Unit  of General  Santos  City, through  the  GENERAL FUND CY 2020  intends  to apply  the sum of one hundred twelve thousand five hundred twenty three and 80 / 100 Pesos Only (112,523.80)   being  the Approved  Budget  for the Con</t>
  </si>
  <si>
    <t xml:space="preserve"> INVITATION TO BID The DPWH-Regional Office No. III,  through  its  Bids  and  Awards  Committee  (BAC),  invites contractors to submit bids for the following Contracts below: 1)	Procurement ID/Contract ID:    19C00092 Contract Name:      Construction of 2</t>
  </si>
  <si>
    <t xml:space="preserve"> INVITATION TO BID The Iligan City Government Bids and Awards Committee (BAC), through  CY 2016-GENERAL FUND-Proper intends to apply the sum of  P 318,000.00 being the Approved Budget for the Contract (ABC) to payments under the Contract for Supply and Del</t>
  </si>
  <si>
    <t xml:space="preserve"> Improvement of water Supply System</t>
  </si>
  <si>
    <t xml:space="preserve"> Republic of the Philippines Province of Iloilo Municipality of Lambunao Office of the Bids &amp; Awards Committee INVITATION TO BID/ REQUEST FOR PRICE QUOTATION Name of Project: Purchase of Equipment (Microscope) for the use of Lambunao MHO Laboratory Locatio</t>
  </si>
  <si>
    <t xml:space="preserve"> BATTERY</t>
  </si>
  <si>
    <t xml:space="preserve"> Invitation to Bid for the Procurement of Door-to-Door Delivery of Materials and Equipment for the Reproduction of Self-Learning Modules in the schools under DepEd Southern Leyte Lots 1-23 1.	The Department of Education, Division of Southern Leyte, through</t>
  </si>
  <si>
    <t xml:space="preserve"> INVITATION TO BID SUPPLY AND DELIVERY OF ONE (1) UNIT DRONE FOR AERIAL MONITORING – 2ND BIDDING 1.	The Local Government Unit of Cabadbaran City through the GENERAL FUND intends to apply the sum of ONE HUNDRED THOUSAND PESOS ONLY (P 100,000.00) being the A</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</si>
  <si>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</si>
  <si>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</si>
  <si>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Standard Form No. SF INFR-05	                     Project Reference No.: CATCAM-2020-28 Revised on July 28,2004                   	            Name of Project: MUNICIPAL EVACUATION CENTER                                                                    </t>
  </si>
  <si>
    <t xml:space="preserve"> Republic of the Philippines Department of Health DAVAO REGIONAL MEDICAL CENTER Apokon, Tagum City BIDS AND AWARDS COMMITTEE Invitation to Bid for the SUPPLY &amp; DELIVERY OF FURNITURE &amp; FIXTURES 1.	The Davao Regional Medical Center (DRMC), through the HOSPIT</t>
  </si>
  <si>
    <t xml:space="preserve"> Republic of the Philippines Province of Davao Oriental City of Mati BIDS &amp; AWARDS COMMITTEE INVITATION TO BID LOT Procurement of OFFICE SUPPLIES and EQUIPMENT for the Use of the Provincial Engineer’s Office SOURCE OF FUND: GENERAL FUND [8751-200-5-02-03-0</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</si>
  <si>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</si>
  <si>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INVITATION TO BID SUPPLY AND DELIVERY OF IT EQUIPMENT AND ACCESSORIES FOR VARIOUS LAW ENFORCEMENT AGENCIES – 2ND BIDDING 1.	The Local Government Unit of Cabadbaran City through the PEACE &amp; ORDER FUND intends to apply the sum of TWO HUNDRED EIGHTY THOUSAND</t>
  </si>
  <si>
    <t xml:space="preserve"> PLEASE SEE ATTACHED TOR</t>
  </si>
  <si>
    <t xml:space="preserve"> Department of Public Works and Highways Contract ID	:	20MH0117 Contract Name	:	Concreting Local Road, PurokNarra, Brgy.Poblacion, Sultan Kudarat Contract Location	:	Lebak, Sultan Kudarat Department of Public Works and Highways Sultan Kudarat 2ndDistrict E</t>
  </si>
  <si>
    <t xml:space="preserve"> please see attached bid docs...</t>
  </si>
  <si>
    <t xml:space="preserve"> Department of Public Works and Highways Contract ID	:	20MH0119 Contract Name	:	Concreting of Upper Balayan to Kinadao, Barangay Badiangon, Palimbang, Sultan Kudarat Contract Location	:	Palimbang, Sultan Kudarat Department of Public Works and Highways Sult</t>
  </si>
  <si>
    <t xml:space="preserve"> REQUEST FOR QUOTATION SUPPLY, DELIVERY AND INSTALLATION OF OFFICE FURNITURE AND FIXTURE FOR USE IN CASC, SCI LAB, D POST OFFICE, CESC, GUIDANCE OFFICE, KMS OFFICE, AND REGISTRATION &amp; ADMISSION OFFICE  (RFQ NO. 2020-02F) 1.	The Dr. Emilio B. Espinosa Sr. M</t>
  </si>
  <si>
    <t xml:space="preserve"> Name of Project	:	PROCUREMENT OF OFFICE SUPPLIES, DEVICES AND CONSUMABLES FOR DENR-PENRO PALAWAN Place of Delivery	:	PENRO Office, Bgy. Sta. Monica, Puerto Princesa City Brief Description	:	Supply and Delivery of: 		LOT 1:  Common Electrical, Lighting and</t>
  </si>
  <si>
    <t xml:space="preserve"> Republic of the Philippines Province of Batangas MUNICIPALITY OF LEMERY INVITATION TO BID FOR Improvement/Rehabilitation of Auction Market 1.	The MUNICIPALITY OF LEMERY through the Annual Budget CY 2020-              20% Local Development Fund-Capital Out</t>
  </si>
  <si>
    <t xml:space="preserve"> for the Month of July 2020</t>
  </si>
  <si>
    <t xml:space="preserve"> Republic of the Philippines Province of Oriental Mindoro MUNICIPALITY OF GLORIA INVITATION TO BID ITB NO. 2020-014 Supply and Delivery of Materials for the Installation of Protective Barriers 1.	The Municipality of Gloria, through Municipal Disaster Risk </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</si>
  <si>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</si>
  <si>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INVITATION TO BID SUPPLY AND DELIVERY OF FUEL (GASOLINE) FOR SANGGUNIANG PANLUNGSOD OFFICE – 2ND BIDDING 1.	The Local Government Unit of Cabadbaran City through the GENERAL FUND intends to apply the sum of ONE HUNDRED THIRTY-SEVEN THOUSAND PESOS ONLY (P 1</t>
  </si>
  <si>
    <t xml:space="preserve"> Medical Supplies to be used by DOLE XII personnel in the conduct of Monitoring visits in various companies re: DTI and DOLE Interim Guidelines on Workplace Prevention and Control of COVID-19 (August to November 2020)</t>
  </si>
  <si>
    <t xml:space="preserve"> Bidders should have completed from Y2015 to present a contract similar to the requirement.  The Eligibility Check/Screening and Preliminary Examination of Bids shall use non-discretionary “pass/fail” criterion. Bidding is restricted to Filipino citizens, </t>
  </si>
  <si>
    <t xml:space="preserve"> The Local  Government   Unit  of General  Santos  City, through  the  GENERAL FUND CY 2020  intends  to apply  the sum of three hundred sixty five thousand three hundred seventy six and 92 / 100 Pesos Only (365,376.92)   being  the Approved  Budget  for t</t>
  </si>
  <si>
    <t xml:space="preserve"> Department of Public Works and Highways Contract ID	:	20MH0120 Contract Name	:	Rehabilitation of Maligaya - Road Side, Barangay Sagasa, Esperanza, Sultan Kudarat Contract Location	:	Esperanza, Sultan Kudarat Department of Public Works and Highways Sultan </t>
  </si>
  <si>
    <t xml:space="preserve"> Differential Housing Assembly (Mitsubishi L300) Transmission Assembly (Mitsubishi Delica) Engine Assembly (Isuzu Elf 4HG1) Engine Assembly (Isuzu Elf 4BE1)</t>
  </si>
  <si>
    <t xml:space="preserve"> Republic of the Philippines						 City Government of Davao						 						 INVITATION TO BID						 for Infrastructure Projects REBID05-2020						 						 The City Government of Davao now invites bidders for the project/s under REBID05-2020 as listed below.   </t>
  </si>
  <si>
    <t xml:space="preserve"> INVITATION TO BID The Municipality of Mutia through its Bids and  Awards Committee Invites  contractors to apply for eligibility and to bid for the project reflected hereunder; NAME OF PROJECT	:  Procurement of Fuel and Lubricants  for the Construction of</t>
  </si>
  <si>
    <t xml:space="preserve"> Standard Form No. SF INFR-05	                     Project Reference No.: CATCAM-2020-29 Revised on July 28, 2004                   	             Name of Project: UPGRADING OF MUNICIPAL                                                                       </t>
  </si>
  <si>
    <t xml:space="preserve"> Republic of the Philippines PROVINCE OF NUEVA VIZCAYA 2nd Invitation to Bid for the  CONCRETING OF KINACAO-KURASAY-KINALABASA ROAD Located at Bagabag, Nueva Vizcaya  1.	The Provincial Government of Nueva Vizcaya, through the 2020 20% Development Fund inte</t>
  </si>
  <si>
    <t xml:space="preserve"> Various Office Supplies to be used by different municipal offices</t>
  </si>
  <si>
    <t xml:space="preserve"> Invitation to Bid for the supply &amp; delivery of Traffic Cones &amp; Traffic Signage as requested by the Transportation Development &amp; Regulatory Office, Batangas City</t>
  </si>
  <si>
    <t xml:space="preserve"> INVITATION TO BID The Barangay Oras of Tabaco City through the Bids and Awards Committee (BAC) invites suppliers to bid for the hereunder contract: Name of Contract: Procurement of Materials and Rental of Equipment for the Improvement of Streetlights Loca</t>
  </si>
  <si>
    <t xml:space="preserve"> The Local Government Unit of the Island Garden City of Samal, through the General Funds intends to apply the sum of Four Million Nine Hundred Twenty One Thousand Five Hundred Sixty Pesos only (₱4,921,560.00) being the Approved Budget for the Contract (ABC</t>
  </si>
  <si>
    <t xml:space="preserve"> Please see attached ITB.</t>
  </si>
  <si>
    <t xml:space="preserve"> Invitation to Bid for the supply &amp; delivery of Goods &amp; Commodities for use of the City Social Welfare &amp; Development Office, Batangas City</t>
  </si>
  <si>
    <t xml:space="preserve"> Department of Health ZAMBOANGA PENINSULA-CENTER FOR HEALTH DEVELOPMENT  Upper Calarian, Zamboanga City 7000 Phone: (062) 983-0314, (062) 983-0146, Fax: (062) 991-3380 Email: dohchdzp@yahoo.com, Web: www.doh.gov.ph Standard Form Number: SFGOOD60 Revised on</t>
  </si>
  <si>
    <t xml:space="preserve"> INVITATION TO BID FOR PROPOSED MULTI-PURPOSE COVERED COURT OF NIA INIMO PHASE II  REFERENCE NO. INIMO-2020-08-042 1.	The National Irrigation Administration –Ilocos Norte Irrigation Management Office, through the CY 2020 General Appropriation Act (GAA) int</t>
  </si>
  <si>
    <t xml:space="preserve"> Invitation to Bid for the supply &amp; delivery of Various Maintenance materials for use of different offices of Batangas City Government.</t>
  </si>
  <si>
    <t xml:space="preserve"> INVITATION TO  BID # 018-2020    The Municipal Government  of Aguilar, through its Bids and Awards Committee (BAC) invites suppliers/ manufacturers/contractors to bid for the hereunder project:.    Name of the Project: IMPROVEMENT OF PANACOL-TAMAYO ROAD  </t>
  </si>
  <si>
    <t xml:space="preserve"> Ceiling Tiles Grills</t>
  </si>
  <si>
    <t xml:space="preserve"> Republic of the Philippines Province of Davao Oriental City of Mati BIDS &amp; AWARDS COMMITTEE INVITATION TO BID Procurement BY LOT of FILTERS and OIL &amp; LUBRICANTS for Use of 79 UNITS LIGHT AND HEAVY EQUIPMENT SOURCE OF FUND: 20% LGDF [8000A-300-1-07-03-010-</t>
  </si>
  <si>
    <t xml:space="preserve"> INVITATION TO BID The Municipality of Mutia through its Bids and  Awards Committee Invites  contractors to apply for eligibility and to bid for the project reflected hereunder; NAME OF PROJECT	:  Procurement of Construction Materials for the Construction </t>
  </si>
  <si>
    <t xml:space="preserve"> REQUEST FOR QUOTATION SUPPLY AND DELIVERY OF  EQUIPMENT, SUPPLIES AND CONSUMABLES FOR USE IN D POST, CESC,  GUIDANCE OFFICE, REGISTRATION &amp; ADMISSION OFFICE (RFQ 2020-05F) 1.	The Dr. Emilio B. Espinosa Sr. Memorial State College of Agriculture and Technol</t>
  </si>
  <si>
    <t xml:space="preserve"> The Municipality of Governor Generoso now invites bids for the procurement of goods: No. Qty. Unit of Issue Description of Item 1 16 bags Portland Cement 2 1 load Fine Aggregates 3 5 bags Adhesive Cement 4 1 length 10 mm ᴓDeformed Bar 5 190 pcs 16”x16” Gr</t>
  </si>
  <si>
    <t xml:space="preserve"> Republic of the Philippines Province of Bohol Municipality of Danao Invitation to Bid for  CONSTRUCTION OF MULTI-PURPOSE BUILDING, BARANGAY STA. FE 1.	The Municipality of Danao, Bohol  through the GF [Local Development Plan (20% of IRA) FY 2020]   intends</t>
  </si>
  <si>
    <t xml:space="preserve"> Supply of materials for the Construction of MRF(materials Recovery Facility), Central MRF, Brgy. Maalas-as, Rosario, Batangas</t>
  </si>
  <si>
    <t xml:space="preserve"> Republic of the Philippines Province of Cotabato Municipality of Makilala OFFICE OF THE BIDS &amp; AWARDS COMMITTEE INVITATION TO BID #2020-037 The Municipality of Makilala, funded by the  Municipal Government to apply for the  Concreting of Roads to Resettle</t>
  </si>
  <si>
    <t xml:space="preserve"> Republic of the Philippines Province of Romblon MUNICIPALITY OF STA. MARIA Invitation to Bid for Concreting of Farm to Market Road in Malag-Alag, Concepcion Norte   1.	The Local Government Unit of Sta. Maria, Romblon through the Trust Fund 2020 (LGSF-FA) </t>
  </si>
  <si>
    <t xml:space="preserve"> Const. of Two Storey Building (Dimension: 22.50m x 9.40m) made of concrete, masonry works, C- Joist suspended slabs, steel &amp; galva iron roofing sheets complete with ceilings, metal hanger &amp; nailers, paintings, plumbing &amp; sanitary fixtures, doors &amp; windows</t>
  </si>
  <si>
    <t xml:space="preserve"> Section I. Invitation to Bid Republic of the Philippines PROVINCE OF CAGAYAN Municipality of Peñablanca PROVINCIAL BIDS AND AWARDS COMMITTEE INVITATION TO BID FOR  Supply and Delivery of 1 Unit Brand New Pick Up Truck, 4x2, A/T 1.	The Provincial Governmen</t>
  </si>
  <si>
    <t xml:space="preserve"> Const. of Stage with dressing room (dimension:  8.0m x 7.0m) complete with reinforced foundation, columns, beams and slab on grades, masonry works, steel trusses &amp; metal sheet roofing &amp; accessories, doors and windows, ceiling, paintings, electrical system</t>
  </si>
  <si>
    <t xml:space="preserve"> Vitamin Supplements to be used for preventive measures to fight Covid-19 virus diseases</t>
  </si>
  <si>
    <t xml:space="preserve"> The Local Government Unit of the Island Garden City of Samal, through the General Funds intends to apply the sum of One Million Pesos only (₱1,000,000.00) being the Approved Budget for the Contract (ABC) to payments under the contract for Purchase of Data</t>
  </si>
  <si>
    <t xml:space="preserve"> Section I. Invitation to Bid Republic of the Philippines PROVINCE OF CAGAYAN Municipality of Peñablanca PROVINCIAL BIDS AND AWARDS COMMITTEE INVITATION TO BID FOR  Procurement of Supplementary Components of the Real Property Tax Management of the Provinci</t>
  </si>
  <si>
    <t xml:space="preserve"> The National Food Authority (NFA) Regional Office V, through its Infrastructure and PHF Machineries Capital Outlay Budget with ASA No. 2020-TRSD-V-Tabaco, Albay-004  intends to apply the sum of PESOS: FOUR MILLION EIGHT HUNDRED EIGHTEEN THOUSAND TWO HUNDR</t>
  </si>
  <si>
    <t xml:space="preserve"> RFQ&gt;&gt;&gt; Supply and Delivery of Office Supplies | Apolinario Mabini ES ABC=P63,810.00 Please download RFQ for complete list of items.</t>
  </si>
  <si>
    <t xml:space="preserve"> Rehabilitation/Concreting/Widening of Provincial Road</t>
  </si>
  <si>
    <t xml:space="preserve"> INVITATION TO  BID # 019-2020    The Municipal Government  of Aguilar, through its Bids and Awards Committee (BAC) invites suppliers/ manufacturers/contractors to bid for the hereunder project:.    Name of the Project: CONCRETE PAVING OF LAOAG FARM TO MAR</t>
  </si>
  <si>
    <t xml:space="preserve"> I. Excavation of Foundation  II. Item 500 Riprap and Grouted       LENGTH 12 METERS  Materials        Portland Cement 40 kg        Sand (Approved Source)        Boulders Head size        Gravel (Approved Source)        Lumber 2x2x8' - 15 pcs.        Lumbe</t>
  </si>
  <si>
    <t xml:space="preserve"> Clerical Tables and Conference Chairs for official use of personnel of DOLE XII - North Cotabato Field Office, Kidapawan City, Cotabato Province</t>
  </si>
  <si>
    <t xml:space="preserve"> The Local Government Unit of the Island Garden City of Samal, through the General Funds intends to apply the sum of One Million Eight Hundred Twenty Eight Thousand Eight Pesos only (₱1,828,008.00) being the Approved Budget for the Contract (ABC) to paymen</t>
  </si>
  <si>
    <t xml:space="preserve"> Standard Form No. SF INFR-05	                    Project Reference No.: CATCAM-2020-30 Revised on July 28,2004                   	            Name of Project: UPGRADING OF MUNICIPAL                                                                          </t>
  </si>
  <si>
    <t xml:space="preserve"> Department of Public Works and Highways Contract ID	:	20MH0118 Contract Name	:	Concreting of Road connecting PurokNarra, Brgy. Numo, Esperanza, Sultan Kudarat Contract Location	:	Esperanza, Sultan Kudarat Department of Public Works and Highways Sultan Kud</t>
  </si>
  <si>
    <t xml:space="preserve"> Invitation to Bid for the supply &amp; delivery of Various Printing Materials for use of different offices of Batangas City Government</t>
  </si>
  <si>
    <t xml:space="preserve"> INVITATION TO  BID # 021-2020    The Municipal Government  of Aguilar, through its Bids and Awards Committee (BAC) invites suppliers/ manufacturers/contractors to bid for the hereunder project:.    Name of the Project: CONCRETE PAVING OF BOCACLIW-BANAYBAY</t>
  </si>
  <si>
    <t xml:space="preserve"> Invitation to Bid for the supply, delivery &amp; installation of various Airconditioning units for use of different offices of Batangas City Government</t>
  </si>
  <si>
    <t xml:space="preserve"> REQUEST FOR EXPRESSION OF INTEREST (REI) FOR CONSULTING SERVICES  The Department of Public Works and Highways (DPWH) Regional Office No. IV-A, through its Bids and Awards Committee (BAC) calls for the submission of eligibility documents for the following </t>
  </si>
  <si>
    <t xml:space="preserve"> A) REQUEST FOR QUOTATION 1. 200 pcs 10mmØ x 6m, Deformed bar, grd 33 2. 200 pcs 12mmØ x 6m, Deformed bar, grd 33 3. 300 bags Cement (40kg / bag) 4. 120 kls White Cement 5. 1,000 pcs CHB 4” 6. 1,000 pcs CHB 6” 7. 20 ltrs Epoxy Multi-purpose A &amp; B 8. 30 bag</t>
  </si>
  <si>
    <t xml:space="preserve"> Chipping, laying and installation of floor tiles (Batangas Province Science HS); Removal of existing pavement, site grading preparation, gravel packing, re-bars and formworks assembly and concrete setting, pavement cutting and curing works (Calaca Central</t>
  </si>
  <si>
    <t xml:space="preserve"> INVITATION TO  BID # 022-2020    The Municipal Government  of Aguilar, through its Bids and Awards Committee (BAC) invites suppliers/ manufacturers/contractors to bid for the hereunder project:.    Name of the Project: CONCRETE PAVING OF SAN JOSE FARM TO </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</si>
  <si>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</si>
  <si>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The Local Government Unit of the Island Garden City of Samal, through the General Funds intends to apply the sum of Two Million Nine Hundred Twenty Three Thousand Two Hundred Ninety Pesos and Forty Five Centavos only (₱2,923,290.45) being the Approved Bud</t>
  </si>
  <si>
    <t xml:space="preserve"> Republic of the Philippines BARANGAY SAN BENITO OFFICE OF THE PUNONG BARANGAY BIDS AND AWARDS COMMITTEE INVITATION TO BID The Barangay Government of BARANGAY SAN BENITO through its Bids and Awards Committee (BAC), invites suppliers/manufacturers/distribut</t>
  </si>
  <si>
    <t xml:space="preserve"> Complete const. of stage roofing (dimension: 16.0m x 5.50m) made of reinforced concrete masonry and structural steel trusses and metal sheet roofings &amp; accessories complete with ceilings, metal hangers &amp; nailers, sanitary &amp; plumbing lines &amp; fixtures, tile</t>
  </si>
  <si>
    <t xml:space="preserve"> Republic of the Philippines						 City Government of Davao						 						 INVITATION TO BID						 for Infrastructure Projects B17-2020						 						 The City Government of Davao now invites bidders for the project/s under B17-2020 as listed below.   The pros</t>
  </si>
  <si>
    <t xml:space="preserve"> Standard Form No. SF INFR-05	                   Project Reference No.: CATCAM-2020-31 Revised on July 28,2004                   	            Name of Project: CONSTRUCTION OF WAREHOUSE                                                                        </t>
  </si>
  <si>
    <t xml:space="preserve"> The Local Government Unit of the Island Garden City of Samal, through the General Funds intends to apply the sum of One Million Fifty Eight Thousand Three Hundred Sixty Eight Pesos and Eighty Eight Centavos only (₱1,058,364.88) being the Approved Budget f</t>
  </si>
  <si>
    <t xml:space="preserve"> Republic of the Philippines Province of Romblon MUNICIPALITY OF STA. MARIA Invitation to Bid for Concreting of Farm to Market Road at Agbunyog, Concepcion Sur   1.	The Local Government Unit of Sta. Maria, Romblon through the Trust Fund 2020 (LGSF-FA) inte</t>
  </si>
  <si>
    <t xml:space="preserve"> Republic of the Philippines 										 DEPARTMENT OF PUBLIC WORKS AND HIGHWAYS										 SOUTH COTABATO 1ST 										 DISTRICT ENGINEERING OFFICE										 REGIONAL OFFICE XII										 Tindalo St., Balite, Brgy. Lagao, General Santos City										 				</t>
  </si>
  <si>
    <t xml:space="preserve"> A) REQUEST FOR QUOTATION 1. 40 cont. Liquid Disinfectant, 1 Gallon / Container  2. 40 cans Chlorine Tablets (100 tablets / canister) 3. 100 sets PPE suit, full body protection (Disposable) 4. 4 boxes Disposable hand gloves, elastic (50 gloves/box) 5. 2 pa</t>
  </si>
  <si>
    <t xml:space="preserve"> Please quote your lowest price inclusive of VAT on the item/s listed below,subject to the terms and conditions of this RFQ, and submit your quotation duly signed by your representative not later than August 25,2020,at Uwisan Elementary School,Uwisan Calam</t>
  </si>
  <si>
    <t xml:space="preserve"> A) REQUEST FOR QUOTATION 1. 2,562 bottles ALCOHOL Ethyl, 68% - 70%, scented, 500ml (-5ml) Delivery Period: Seven (7) Calendar Days B) USE COMPANY LETTERHEAD FOR YOUR QUOTATION &amp; ADDRESS TO: DIR. JAMES JUPER B. AGUILAR Head, Procurement Unit Office of the </t>
  </si>
  <si>
    <t xml:space="preserve"> INVITATION TO  BID # 024-2020    The Municipal Government  of Aguilar, through its Bids and Awards Committee (BAC) invites suppliers/ manufacturers/contractors to bid for the hereunder project:.    Name of the Project: CONCRETE PAVING OF POGONSILI (Adarna</t>
  </si>
  <si>
    <t xml:space="preserve"> Republic of the Philippines DEPARTMENT OF HEALTH CEBU SOUTH MEDICAL CENTER       (Formerly known as Talisay District Hospital) San Isidro, Talisay City, Cebu (032)273-8785  (032) 273-8785 tdh.bac@gmail.com http://www.tdh.doh.gov.ph INVITATION TO APPLY </t>
  </si>
  <si>
    <t xml:space="preserve"> Section I. Invitation to Bid Republic of the Philippines PROVINCE OF CAGAYAN Municipality of Peñablanca PROVINCIAL BIDS AND AWARDS COMMITTEE INVITATION TO BID FOR  Supply and Delivery of 40 Units Brand New Motorcycle 1.	The Provincial Government of Cagaya</t>
  </si>
  <si>
    <t xml:space="preserve"> Construction/ Repair/ Rehabilitation/ Improvement of Various Infrastructure Including Local Projects - Rehabilitation of Barangay Multi-Purpose Hall, Baguio City Contract Location :	St. Joseph Village, Baguio City Approved Budget for the Contract :	Php1,9</t>
  </si>
  <si>
    <t xml:space="preserve"> 1 Lot Rehabilitation and Upgrading of Multi Species  Fish  Hatchery  1. The Bureau of Fisheries and Aquatic Resources-Regional Fisheries Office I, through the General Appropriation Act (GAA) of 2020 intends to apply the sum of Two Million Four Hundred Tho</t>
  </si>
  <si>
    <t xml:space="preserve"> Republic of the Philippines   Province of Sarangani  Municipality of Alabel    Invitation to Bid for the Improvement and Rehabilitation of Public Market Facilities 1.The Municipality of Alabel, through the Annual Investment Plan for Calendar Year 2019 int</t>
  </si>
  <si>
    <t xml:space="preserve"> INVITATION TO  BID # 023-2020    The Municipal Government  of Aguilar, through its Bids and Awards Committee (BAC) invites suppliers/ manufacturers/contractors to bid for the hereunder project:.    Name of the Project: CONCRETE PAVING OF BUER-CALSIB FARM </t>
  </si>
  <si>
    <t xml:space="preserve"> Installation of Sitio Nalbot Basketball Court Light  ABC: PHP82,162.00</t>
  </si>
  <si>
    <t xml:space="preserve"> The Local Government Unit of the Island Garden City of Samal, through the General Funds intends to apply the sum of One Million Thirty Nine Thousand Eighty Pesos and Forty Centavos only (₱1,039,080.40) being the Approved Budget for the Contract (ABC) to p</t>
  </si>
  <si>
    <t xml:space="preserve"> Republic of the Philippines Province of Nueva Vizcaya Municipality of Bambang -oOo- INVITATION TO BID The Local Government Unit of Bambang, through the 20% Development Fund (6910 – Purchase of Backhoe Crawler) intends to apply the sum of FIVE MILLION TWO </t>
  </si>
  <si>
    <t xml:space="preserve"> Republic of the Philippines BARANGAY SAMPAGUITA OFFICE OF THE PUNONG BARANGAY BIDS AND AWARDS COMMITTEE INVITATION TO BID The Barangay Government of BARANGAY SAMPAGUITA through its Bids and Awards Committee (BAC), invites suppliers/manufacturers/distribut</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</si>
  <si>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</si>
  <si>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Reproduction of Students Modules Grade 7 to Grade 10 All Subject Area Copy Paper Long,70 gsm black and white 357145 copies</t>
  </si>
  <si>
    <t xml:space="preserve"> I ITEM I and II     A. Materials                Free                   952 cu.m     B. Equipment Required:                           2 units Dump-truck           Government Vehicle                           1 unit  Pay Loader            Government Heavy E</t>
  </si>
  <si>
    <t xml:space="preserve"> INVITATION TO  BID # 020-2020    The Municipal Government  of Aguilar, through its Bids and Awards Committee (BAC) invites suppliers/ manufacturers/contractors to bid for the hereunder project:.    Name of the Project: CONCRETE PAVING OF CALSIB-BAYAOAS TO</t>
  </si>
  <si>
    <t xml:space="preserve"> The Local Government Unit of the Island Garden City of Samal, through the General Funds intends to apply the sum of Eight Hundred Eighty Five Thousand Nine Hundred Thirteen Pesos and Twenty Five Centavos only (₱885,913.25) being the Approved Budget for th</t>
  </si>
  <si>
    <t xml:space="preserve"> SUPPLEMENTAL BID BULLETIN NO. 01 Project Title:	Procurement of Various Supplies and Materials for CRM and Livelihood Sub-Projects under FishCORAL Project, CY 2019 Reference No.:	7172526 		            Date		:    	August 17, 2020 Relative to the declaration</t>
  </si>
  <si>
    <t xml:space="preserve"> REPUBLIC OF THE PHILIPPINES MUNICIPALITY OF APALIT PROVINCE OF PAMPANGA    Invitation to Bid for the “Supply of Materials for the Upgrading and Concreting of Multi-Purpose Pavement at San Bartolome, San Vicente, Apalit, Pampanga”    1. The Municipality of</t>
  </si>
  <si>
    <t xml:space="preserve"> Republic of the Philippines          City of Dumaguete Bids and Awards Committee INVITATION TO BID FOR PURCHASE REQUEST OF 2 CU.M SAND, STD. SPECS AND OTHER ITEMS 	The City of Dumaguete thru its BIDS AND AWARDS COMMITTEE (BAC), invites all interested manu</t>
  </si>
  <si>
    <t xml:space="preserve"> Supply &amp; Delivery of Bartending food service supplies &amp; materials 01D HES H30-2020  Kindly see attached file. Thank you!</t>
  </si>
  <si>
    <t xml:space="preserve"> ITB BASKETBALL BOARD (SET) BUDGET:70,000.OO</t>
  </si>
  <si>
    <t xml:space="preserve"> CONSTRUCTION PROJECTS, SUPPLIES AND EQUIPMENT</t>
  </si>
  <si>
    <t xml:space="preserve"> MATERIALS: 464.03 KGS. 16mm x 6.0m deformed bars, Grade 40, (49 pcs.) 8.50 KGS. #16 G.I. tie wire 533.33 bd. ft. 2"x4"x10" Coco Lumber, (80 pcs.) 4.00 rolls 63mmx60m P.E. Pipes SDR 11, ISO 10 KGS. Assorted CW Nails 5.00 Bags Sahara Water Proofing Cement 3</t>
  </si>
  <si>
    <t xml:space="preserve"> 1.	40	box/es	PNSS 1L 2.	30	box/es	PLR 1L 3.	40	box/es	D5LR 1L 4.	20	box/es	D5IMB 1L 5.	30	box/es	D5NM 1L 6.	20	box/es	D5 0.3 NaCl 1L 7.	5	box/es	D5W 500cc 8.	20	piece/s	Mannitol 20% 500ml 9.	500	piece/s	Sterile water 50ml 10.	5	piece/s	Thermal gun 11.	2	b</t>
  </si>
  <si>
    <t xml:space="preserve"> Republic of the Philippines Office of the Punong Barangay BIDS AND AWARDS COMMITTEE Manaboc, Burgos, Ilocos Sur INVITATION TO BID The Barangay Government of Manaboc, Burgos, Ilocos Sur, through its Bids and Awards Committee (BAC) invites bids for the here</t>
  </si>
  <si>
    <t xml:space="preserve"> Procurement of supply and delivery of Starter Kit 10	units	Electric vacuum sealing food bag sealer machine for vacuum packaging and storage DZ300A 40	units	All purpose storage box with wheels, 70 liters PR# 2020-1217</t>
  </si>
  <si>
    <t xml:space="preserve"> RFJO#20-0021 ABC 78,450.00 Dismantling, Hauling, Relocation and re-installation of the ff. AC units: 1 unit - Re-installation of 3TR Floor Mounted Aircon, (From Sub-Office to New I.T. Room)  372A-221-001-16 With Excess 22FT. 1 unit - Dismantling of 5TR  K</t>
  </si>
  <si>
    <t xml:space="preserve"> Request for Quotation for the Procurement of Agricultural Supplies needed for the Vegetable and Crop production at DA-Ubay Stock Farm, Lomangog, Ubay, Bohol 1.	The Department of Agriculture-Regional Field Office 7 (DA-RFO 7), through the General Appropria</t>
  </si>
  <si>
    <t xml:space="preserve"> Items to be Procured for the 2nd Quarter of CY 2020</t>
  </si>
  <si>
    <t xml:space="preserve"> Department of Public Works and Highways (DPWH) Contract ID: 20MB0046 Contract Name&amp; Location:  Construction of Multi-Purpose Building (Infirmary), Brgy. Poblcaion, Tampakan, South Cotabato  SOUTH COTABATO 1ST DISTRICT ENGINEERING OFFICE Tindalo St. Balite</t>
  </si>
  <si>
    <t xml:space="preserve"> INVITATION TO  BID # 026-2020    The Municipal Government  of Aguilar, through its Bids and Awards Committee (BAC) invites suppliers/ manufacturers/contractors to bid for the hereunder project:.    Name of the Project: CONSTRUCTION OF CONTAINMENT AREA   L</t>
  </si>
  <si>
    <t xml:space="preserve"> Republic of the Philippines                CITY GOVERNMENT OF TACURONG Alunan Highway, Tacurong City Sultan Kudarat BIDS AND AWARDS COMMITTEE                  Tel nos. (064) 562-0128 / Telefax no. (064) 477 - 0138      www.tacurong.gov.ph                 </t>
  </si>
  <si>
    <t xml:space="preserve"> CONSTRUCTION OF ROAD PROTECTION, 20%</t>
  </si>
  <si>
    <t xml:space="preserve"> 1.	The SULTAN KUDARAT WATER DISTRICT, through the CORPORATE BUDGET APPROVED BY THE GOVERNING BOARD  intends to apply the sum of P 2,773,497.92 being the Approved Budget for the Contract (ABC) to payments under the contract for CONSTRUCTION OF PIPEBRIDGE A</t>
  </si>
  <si>
    <t xml:space="preserve"> Republic of the Philippines DEPARTMENT OF PUBLIC WORKS AND HIGHWAYS EASTERN SAMAR DISTRICT ENGINEERING OFFICE REGIONAL OFFICE VIII Borongan City, Eastern Samar REQUEST FOR QUOTATION (Small Value Procurement) FOR 1.	Contract  ID No.		: PR. No. 2020-08-0050</t>
  </si>
  <si>
    <t xml:space="preserve"> The Local Government Unit of the Island Garden City of Samal, through the Trust Fund CY 2020 intends to apply the sum of Nineteen Million Seven Hundred Fifty Nine Thousand Seven Hundred Eighty One Pesos and Twenty Nine Centavos (₱19,759,781.29) being the </t>
  </si>
  <si>
    <t xml:space="preserve"> Department of Public Works and Highways (DPWH) Contract ID: 20MB0156 Contract Name&amp; Location:  Concreting of Brgy. Upper Labay FMR, Brgy. Upper Labay, General Santos City, South Cotabato SOUTH COTABATO 1ST DISTRICT ENGINEERING OFFICE Tindalo St. Balite, B</t>
  </si>
  <si>
    <t xml:space="preserve"> The Local Government Unit of the Island Garden City of Samal, through the 5% LDRRM Funds intends to apply the sum of Two Million Five Hundred Thousand Pesos only (₱2,500,000.00) being the Approved Budget for the Contract (ABC) to payments under the contra</t>
  </si>
  <si>
    <t xml:space="preserve"> Demolition, replacement and extension of roof purlins, metal sheets roofing &amp; accessories, additional fabrication and installation of steel column- truss including electrical system, R.C. pedestals, paintings, roof and storm drainage with catch basins (P.</t>
  </si>
  <si>
    <t xml:space="preserve"> CONCRETING OF FARM-TO-MARKET ROAD,  20%</t>
  </si>
  <si>
    <t xml:space="preserve"> The National Food Authority (NFA), Southern Tagalog Regional Office (Region IV), through the NFA Corporate Operating Budget for 2020, intends to apply the sum of One million three hundred twenty thousand pesos (P 1,320,000.00) being the Approved Budget fo</t>
  </si>
  <si>
    <t xml:space="preserve"> 1.	The Department of National Defense/Armed Forces of the Philippines (DND/AFP), through the AFP Modernization Act Trust Fund, intends to apply the sum of TWO HUNDRED FORTY SIX MILLION PESOS (Php 246,000,000.00) being the Approved Budget for the Contract </t>
  </si>
  <si>
    <t xml:space="preserve"> Republic of the Philippines Department of Science and Technology PHILIPPINE SCIENCE HIGH SCHOOL -  CENTRAL MINDANAO CAMPUS BIDS AND AWARDS COMMITTEE Nangka, Balo-i, Lanao del  Norte Telephone Nos. (063) 836-0098 www.cmc.pshs.edu.ph INVITATION TO BID FOR S</t>
  </si>
  <si>
    <t xml:space="preserve"> INVITATION TO  BID # 028-2020    The Municipal Government  of Aguilar, through its Bids and Awards Committee (BAC) invites suppliers/ manufacturers/contractors to bid for the hereunder project:.    Name of the Project: CONSTRUCTION OF SLOPE PROTECTION AT </t>
  </si>
  <si>
    <t xml:space="preserve"> INVITATION TO  BID # 029-2020    The Municipal Government  of Aguilar, through its Bids and Awards Committee (BAC) invites suppliers/ manufacturers/contractors to bid for the hereunder project:.    Name of the Project: PURCHASE OF VARIOUS OFFICE EQUIPMENT</t>
  </si>
  <si>
    <t xml:space="preserve"> Republic of the Philippines Province of Quezon City Government of Tayabas INVITATION TO BID FOR PROJECT # 20-032 - CIVIL WORKS FOR CONSTRUCTION OF MULTI-PURPOSE BUILDING PHASE II (TIFARC) – BRGY. MASIN, CITY OF TAYABAS. 1.	The City Government of Tayabas, </t>
  </si>
  <si>
    <t xml:space="preserve"> Republic of the Philippines PROVINCE OF DAVAO ORIENTAL MUNICIPALITY OF SAN ISIDRO Barangay Cambaleon  INVITATION TO BID FOR THE PROCUREMENT OF CIVIL WORKS OF CONSTRUCTION OF DOUBLE BARREL BOX CULVERT AND DESILTING OF RIVER.  1.	The Barangay Cambaleon, Mun</t>
  </si>
  <si>
    <t xml:space="preserve"> SUPPLY AND DELIVERY OF BROADCAST TRANSMITTERS, ANTENNA SYSTEM AND VARIOUS COMMUNICATION EQUIPMENT AND ACCESSORIES FOR THE ESTABLISHMENT  OF RADIO BROADCAST STATION FACILITY</t>
  </si>
  <si>
    <t xml:space="preserve"> 5 dozen Pencil 2 box Ball pen Black 1 ream Photo Paper 2 box Staple wire #35 1 pc Packing Tape 1 bale Cartolina (assorted colors) 20 pc Manila Paper 50 pc Folder (Long) 25 ream Bond Paper (Legal) 25 ream Bond Paper (A4) 1 ream Colored Paper (assorted) 2 p</t>
  </si>
  <si>
    <t xml:space="preserve"> Repair and Rehabilitation of School Buildings, 7 Classrooms</t>
  </si>
  <si>
    <t xml:space="preserve"> Republic of the Philippines					 Province of Bukidnon					 Municipality of Lantapan					 					 INVITATION TO BID FOR THE SUPPLY &amp; DELIVERY OF MATERIALS FOR THE 					 ESTABLISHMENT OF MATERIAL RECOVERY FACILITY AT BANTUANON (1ST BID)					 					 1	The Local</t>
  </si>
  <si>
    <t xml:space="preserve"> Republic of the Philippines  Province of Cotabato Municipality of Arakan OFFICE OF THE BIDS &amp; AWARD COMMITTEE Invitation to Bid for Construction of Potable Water System Level II 1.	The Barangay Government of Anapolon, through the Trust Fund intends to app</t>
  </si>
  <si>
    <t xml:space="preserve"> as per BSP Technical Specifications</t>
  </si>
  <si>
    <t xml:space="preserve"> 472 pcs Sports Uniform 15 pcs Polo Shirt (Personalized/Corporate Print)</t>
  </si>
  <si>
    <t xml:space="preserve"> IMPROVEMENT OF MULTI-PURPOSE HALL,  20%</t>
  </si>
  <si>
    <t xml:space="preserve"> INVITATION TO  BID # 031-2020    The Municipal Government  of Aguilar, through its Bids and Awards Committee (BAC) invites suppliers/ manufacturers/contractors to bid for the hereunder project:.    Name of the Project: PURCHASE OF VARIOUS OFFICE EQUIPMENT</t>
  </si>
  <si>
    <t xml:space="preserve"> Department of Public Works and Highways (DPWH) Contract ID: 20MB0158 Contract Name&amp; Location:  Construction of Multi-Purpose Building, Brgy. Buayan, General Santos City, South Cotabato SOUTH COTABATO 1ST DISTRICT ENGINEERING OFFICE Tindalo St. Balite, Brg</t>
  </si>
  <si>
    <t xml:space="preserve"> Department of Public Works and Highways (DPWH) Contract ID: 20MB0047 Contract Name&amp; Location:  Construction of Multi-Purpose Building within Government Center, City Hall Drive, General Santos City, South Cotabato  SOUTH COTABATO 1ST DISTRICT ENGINEERING O</t>
  </si>
  <si>
    <t xml:space="preserve"> Department of Public Works and Highways (DPWH) Contract ID: 20MB0138 Contract Name&amp; Location:  Construction of Multi-Purpose Building, Brgy. Buayan, General Santos City, South Cotabato SOUTH COTABATO 1ST DISTRICT ENGINEERING OFFICE Tindalo St. Balite, Brg</t>
  </si>
  <si>
    <t xml:space="preserve"> educational materials</t>
  </si>
  <si>
    <t xml:space="preserve"> Republic of the Philippines Province of Quezon City Government of Tayabas INVITATION TO BID FOR PROJECT # 20-015 - CIVIL WORKS FOR REHABILITATION OF HANGING BRIDGE - BRGY. SILANGANG KATIGAN, TAYABAS CITY. 1.	The City Government of Tayabas, through the Gen</t>
  </si>
  <si>
    <t xml:space="preserve"> Concreting of .150m thk x 62.88 sq. m. pavement for shoulder</t>
  </si>
  <si>
    <t xml:space="preserve"> Procurement of Flat-bed trolley for UNIFAST Office use Flat-bed Trolley Qty: 2 Specifications 4 Wheel Cart At least 300kg load capacity Foldable for storage space and making the trolley easy top transport PLEASE DOWNLOAD THE ATTACHED ASSOCIATED COMPONENT </t>
  </si>
  <si>
    <t xml:space="preserve"> Upgrading Electrification and Modernization of Electrical Systems of East Bayugan Central Elementary School</t>
  </si>
  <si>
    <t xml:space="preserve"> Republic of the Philippines Province of Quezon City Government of Tayabas INVITATION TO BID FOR PROJECT # 20-065 CIVIL WORKS FOR CONSTRUCTION OF PHARMACIA DE TAYABAS  – BRGY. SAN DIEGO ZONE-1, TAYABAS CITY. 1.	The City Government of Tayabas, through the G</t>
  </si>
  <si>
    <t xml:space="preserve"> Republic of the Philippines Province of Northern Samar MUNICIPALITY OF LAOANG E. Lagrimas St. Barangay Guilaoangi, Laoang, N. Samar Invitation to Bid for the PROPOSED CONSTRUCTION AND IMPROVEMENT OF MUNICIPAL STEP LANDING (CONCRETE STEP LANDING, RIVER CON</t>
  </si>
  <si>
    <t xml:space="preserve"> Procurement of extension wires for UNIFAST Office use Extension Wire Qty: 11 Specifications: Input Voltage: 220V-230V Number of Outlets: 12 At least 6ft cable length With power indicator With Switch PLEASE DOWNLOAD THE ATTACHED ASSOCIATED COMPONENT (REQUE</t>
  </si>
  <si>
    <t xml:space="preserve"> Republic of the Philippines City of Dapitan BIDS AND AWARDS COMMITTEE INVITATION TO BID August 17, 2020 	 The City Government of Dapitan, through its Bids and Awards Committee (BAC), invites interested parties to apply for eligibility and, if found eligib</t>
  </si>
  <si>
    <t xml:space="preserve"> SEE ATTACHED INVITATION TO BID AND BIDDING DOCUMENTS</t>
  </si>
  <si>
    <t xml:space="preserve"> Invitation for Negotiated Procurement for  Lower Sibuguey I RIS Extension Project- Package 3 CY 2016 Remaining Works Diplahan, Zamboanga Sibugay 1.	The National Irrigation Administration – Zamboanga Sibugay Irrigation Management Office, Region 9, through </t>
  </si>
  <si>
    <t xml:space="preserve"> Please see attached RFQ for more details. For concern / query, you may contact us through BAC.SDOBenguet@gmail.com from Mondays to Fridays (8:00AM to 5:00PM) except on Holidays.</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</si>
  <si>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</si>
  <si>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Department of Public Works and Highways (DPWH) Contract ID: 20MB0157 Contract Name&amp; Location:  Concreting of Brgy. San Jose FMR, Brgy. San Jose, General Santos City, South Cotabato SOUTH COTABATO 1ST DISTRICT ENGINEERING OFFICE Tindalo St. Balite, Brgy. L</t>
  </si>
  <si>
    <t xml:space="preserve"> Republic of the Philippines Province of Quezon City Government of Tayabas INVITATION TO BID FOR PROJECT # 20-064 CIVIL WORKS FOR CONSTRUCTION OF MULTI-PURPOSE BUILDING PHASE 2   – BRGY. IPILAN, TAYABAS CITY. 1.	The City Government of Tayabas, through the </t>
  </si>
  <si>
    <t xml:space="preserve"> Republic of the Philippines Province of Quezon City Government of Tayabas INVITATION TO BID FOR PROJECT # 20-037 - CIVIL WORKS FOR IMPROVEMENT/CONCRETING OF CITY ROAD/LINE CANAL – BRGY. LITA, CITY OF TAYABAS. 1.	The City Government of Tayabas, through the</t>
  </si>
  <si>
    <t xml:space="preserve"> Republic of the Philippines Province of Northern Samar MUNICIPALITY OF LAOANG 6411 E. Lagrimas St. Barangay Guilaoangi, Laoang, N. Samar Invitation to Bid for the Rehabilitation of Catholic Cemetery Access Road (Phase 2) 1.	The Local Government Unit of La</t>
  </si>
  <si>
    <t xml:space="preserve"> Repair of 3 classrooms</t>
  </si>
  <si>
    <t xml:space="preserve"> CONCRETING OF PATHWALK,  20%</t>
  </si>
  <si>
    <t xml:space="preserve"> Republic of the Philippines Province of Northern Samar MUNICIPALITY OF LAOANG 6411 E. Lagrimas St. Barangay Guilaoangi, Laoang, N. Samar Invitation to Bid for the  CONSTRUCTION/IMPROVEMENT OF GIRAY STREET (71 ln.m. PCCP, 71 ln.m. Drainage Canal) Barangay </t>
  </si>
  <si>
    <t xml:space="preserve"> Republic of the Philippines Province of Quezon City Government of Tayabas INVITATION TO BID FOR PROJECT # 20-056 - CIVIL WORKS FOR CONSTRUCTION OF HIGH SCHOOL PERIMETER FENCE – BRGY POTOL, CITY OF TAYABAS. 1.	The City Government of Tayabas, through the Sp</t>
  </si>
  <si>
    <t xml:space="preserve"> Upgrading Electrification and Modernization of Electrical Systems of Calaitan NHS</t>
  </si>
  <si>
    <t xml:space="preserve"> INVITATION TO  BID # 027-2020    The Municipal Government  of Aguilar, through its Bids and Awards Committee (BAC) invites suppliers/ manufacturers/contractors to bid for the hereunder project:.    Name of the Project: CONSTRUCTION OF CANAL AT RURAL HEALT</t>
  </si>
  <si>
    <t xml:space="preserve"> Republic of the Philippines 								 DEPARTMENT OF PUBLIC WORKS AND HIGHWAYS								 SOUTH COTABATO 1ST   								 DISTRICT ENGINEERING OFFICE								 REGIONAL OFFICE XII								 Tindalo St., Balite, Brgy. Lagao, General Santos City								 								 Name </t>
  </si>
  <si>
    <t xml:space="preserve"> MUNICIPAL RESOLUTION NO. 21 S. 2019  MUNICIPAL ORDINANCE NO. 01 S. 2019</t>
  </si>
  <si>
    <t xml:space="preserve"> (Project Nr: GAA-VMMC-UVES-R2-2019) 1.	The Department of National Defense (DND) - Veterans Memorial Medical 	Center(VMMC), through the 2019 General Appropriation Act of the 	Government of the Philippines (RA 10964) intends to apply the sum of ONE 	HUNDRED</t>
  </si>
  <si>
    <t xml:space="preserve"> Upgrading Electrification and Modernization of Electrical Systems of Mt. Olive NHS</t>
  </si>
  <si>
    <t xml:space="preserve"> Republic of the Philippines Province of Quezon City Government of Tayabas INVITATION TO BID FOR PROJECT # 20-080 CIVIL WORKS FOR IMPROVEMENT/CONCRETING OF FARM TO MARKET ROAD   – BRGY. LAKAWAN, CITY OF TAYABAS. 1.	The City Government of Tayabas, through t</t>
  </si>
  <si>
    <t xml:space="preserve"> Supply, Delivery &amp; Installation of Safety Signs 1. DESCRIPTION:  - Double Face Signage made of Aluminum composite panel, Vinyl Sticker with lamination. NOTE: SEE ATTACHED PRE-PR AND DRAWING FOR THE COMPLETE DETAILED OF SCOPE OF WORKS</t>
  </si>
  <si>
    <t xml:space="preserve"> UP 2014 A3 BLACK AND WHITE MFP BRISK OUTPUT SPEED 20PPM</t>
  </si>
  <si>
    <t xml:space="preserve"> see attached ITB</t>
  </si>
  <si>
    <t xml:space="preserve"> supply &amp; delivery of routine maintenance materials</t>
  </si>
  <si>
    <t xml:space="preserve"> Republic of the Philippines Province of Ilocos Sur Municipality of Quirino INVITATION TO BID FOR Purchase of Drugs and Medicines 1.	The Municipal Government of Quirino, Ilocos Sur, through the General Fund CY 2020  intends to apply the sum of One Hundred </t>
  </si>
  <si>
    <t xml:space="preserve"> Republic of the Philippines					 Province of Bukidnon					 Municipality of Lantapan					 					 INVITATION TO BID FOR THE SUPPLY &amp; DELIVERY OF MATERIALS FOR THE 					 COMPLETION /IMPROVEMENT OF DAYCARE CENTER AT SITIO KIBUDA [1ST BID]					 					 1	The Loca</t>
  </si>
  <si>
    <t xml:space="preserve"> Repair of 5 classrooms</t>
  </si>
  <si>
    <t xml:space="preserve"> INVITATION TO BID FOR THE INSTALLATION OF 18 UNITS SOLAR PANEL FOR RHU BUILDING  Brgy. Poblacion, Buenavista, Quezon 1.	The Municipal Government of Buenavista, Quezon, through the DOH Fund intends to apply the sum of Five Hundred Thousand Pesos (P500,000.</t>
  </si>
  <si>
    <t xml:space="preserve"> 2 units 2Hp Window Type Aircon with Inverter including delivery and  installation</t>
  </si>
  <si>
    <t xml:space="preserve"> Please see the attached file as your reference. Thank you.</t>
  </si>
  <si>
    <t xml:space="preserve"> School Head: Mary Anne Sandique Contact Number: 09338199063</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</si>
  <si>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</si>
  <si>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Lot No.		Approved Budget for the Contract  			(Amount in Php) 									                 	                                                 		 1		115,516,583.22 		 2		188,104,895.96 	              3		113,572,176.83 		 		 4		154,755,660.03 		 			 			 Total		</t>
  </si>
  <si>
    <t xml:space="preserve"> INVITATION TO BID Project Name:	Drilling of the Potable Water System &amp; Installation of Submersible Pump with Completer Accessories &amp; Pipelines Name of Bidder:	 Address :	 ITB Number:	Matiao - 001-20 ABC	P 899,370.00 Delivery Period	30 Calendar Days Please</t>
  </si>
  <si>
    <t xml:space="preserve"> School Head: Ronald Ingal Contact Number: 09338199102</t>
  </si>
  <si>
    <t xml:space="preserve"> Supply and Installation of Solar Street Lights</t>
  </si>
  <si>
    <t xml:space="preserve"> Upgrading Electrification and Modernization of Electrical Systems of Magkiangkang National High School</t>
  </si>
  <si>
    <t xml:space="preserve"> JOSE B. LINGAD MEMORIAL REGIONAL HOSPITAL City of San Fernando, Pampanga Tel. No. (045) 961-3921 Date: August 18, 2020 No. 2020 – 08 - 252-S REQUEST FOR QUOTATION (Name of Agency) (Address) Sir/Madam: Please quote your lowest price on the item/s listed be</t>
  </si>
  <si>
    <t xml:space="preserve"> Republic of the Philippines Province of Ilocos Sur Municipality of Quirino OFFICE OF THE BIDS AND AWARDS COMMITTEE “INVITATION FOR NEGOTIATED PROCUREMENT DUE TO TWO-FAILED BIDDINGS” “Purchase of One (1) Unit Forward Six Wheeler Truck Self-Loading with Boo</t>
  </si>
  <si>
    <t xml:space="preserve"> 3 Gate of Barangay Complex</t>
  </si>
  <si>
    <t xml:space="preserve"> Republic of the Philippines					 Province of Bukidnon					 Municipality of Lantapan					 					 INVITATION TO BID FOR THE PROCUREMENT OF MEDICINES, VITAMINS, TESTING					 KITS AND OTHER MEDICAL SUPPLIES USE FOR HATUD SERBISYO SA BARANGAY [1ST BID]					 			</t>
  </si>
  <si>
    <t xml:space="preserve"> JOSE B. LINGAD MEMORIAL REGIONAL HOSPITAL City of San Fernando, Pampanga Tel. No. (045) 961-3921 Date: August 18, 2020 No. 2020 – 08 - 253-S REQUEST FOR QUOTATION (Name of Agency) (Address) Sir/Madam: Please quote your lowest price on the item/s listed be</t>
  </si>
  <si>
    <t xml:space="preserve"> Barangay Day</t>
  </si>
  <si>
    <t xml:space="preserve"> I. ITEM I and II   A. Materials:                             FREE           953 CU.M B. Equipment Required:                 2 units        Dump-truck                Government Vehicle                 1 unit          Pay-loader                  Government </t>
  </si>
  <si>
    <t xml:space="preserve"> Educational Supplies and Materials</t>
  </si>
  <si>
    <t xml:space="preserve"> Invitation to Bid for the Procurement of Door-to-Door Delivery of Additional Materials and Equipment for the Reproduction of Self-Learning Modules in the schools under DepEd Southern Leyte 1.	The Department of Education, Division of Southern Leyte, throug</t>
  </si>
  <si>
    <t xml:space="preserve"> Republic of the Philippines Province of Ilocos Sur Municipality of Quirino Invitation to Bid for the Construction of Dagman River Control 1.	The Municipality of Quirino, Ilocos Sur, through the DRRM 2020 FUND intends to apply the sum of Nine Hundred Ninet</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</si>
  <si>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</si>
  <si>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Supply and Delivery of Office Equipment and Supplies for DepEd Caramoan District</t>
  </si>
  <si>
    <t xml:space="preserve"> Please quote your lowest price on the item(s) listed below, subject to the Terms and Conditions stated below and submit your quotation duly signed by your representative not later than 10:00 A.M. of August 25, 2020 in the return envelope attached herewith</t>
  </si>
  <si>
    <t xml:space="preserve"> BCPC Children's Playground</t>
  </si>
  <si>
    <t xml:space="preserve"> Please see the link to bidding documents under "Other Information".</t>
  </si>
  <si>
    <t xml:space="preserve"> Livelihood Materials for PWD</t>
  </si>
  <si>
    <t xml:space="preserve"> Diesoline		 55,555.56 ltrs Gasoline		 10,300.00 ltrs</t>
  </si>
  <si>
    <t xml:space="preserve"> KKDK Counselling Materials</t>
  </si>
  <si>
    <t xml:space="preserve"> Boundary Marker</t>
  </si>
  <si>
    <t xml:space="preserve"> Republic of the Philippines PROVINCE OF SAMAR Municipality of Pinabacdao Invitation to Bid Purchase and Installation of 100ft Tower Mast with 1 Unit VHF Repeater &amp; Accessories  Pinabacdao, Samar 1. The LOCAL GOVERMENT UNIT of Pinabacdao Samar, through the</t>
  </si>
  <si>
    <t xml:space="preserve"> The Barangay Government of  Poblacion IV through its Bids and Awards Committee (BAC), invites contractors with and classified by the Philippine Contractors Accredited Board (PCAB) to apply  for eligibility and to bid for hereunder project: Name of Project</t>
  </si>
  <si>
    <t xml:space="preserve"> Republic of the Philippines  DEPARTMENT OF EDUCATION Region IV-MIMAROPA Division of Occidental Mindoro Mamburao, Occidental Mindoro  E-mail Address: bacdepedoksi@gmail.com  Project Reference No. DepEd-OcciMdo-2020-02 Date Posted: August 18, 2020 INVITATIO</t>
  </si>
  <si>
    <t xml:space="preserve"> Item No.	Unit	Description	Qty 1	Bag	Cement	570 2	cu.m	Gravel crushed 3/4	16 3	cu.m	Sand Washed	49 4	pcs	CHB 6x8x16	3100 5	pcs	DEF stl bar 16mmO x 6m std	12 6	pcs	DEF stl bar 12mmO x 6m std	60 7	pcs	DEF stl bar 10mmO x 6m std	368 8	kgs	G.I tie wire # 16	34</t>
  </si>
  <si>
    <t xml:space="preserve"> Procurement of Construction Materials for Road Concreting, Purok 2B, Barangay Pigsalohan</t>
  </si>
  <si>
    <t xml:space="preserve"> Procurement of Livelihood Supplies and Materials</t>
  </si>
  <si>
    <t xml:space="preserve"> Procurement for Livelihood Program Cosmetology Supplies and Materials</t>
  </si>
  <si>
    <t xml:space="preserve"> Project location is at Brgy. Cortes, Basilisa, Dinagat Islands. Coastal barangay. Amount indicated in Construction Materials is inclusive of VAT and freight and handling.</t>
  </si>
  <si>
    <t xml:space="preserve"> Contract No.:                20%EDF2020G1 Contract Name: 	          Supply and Delivery of Plastic Shredder (Pet Bottles) Gas Engine  ABC:  	    	          Php 400,000.00 Delivery Period:	          30 Calendar Days Pre-bid Conference:	  August 25, 2020 @ </t>
  </si>
  <si>
    <t xml:space="preserve"> RENOVATION / IMPROVEMENT OF SANGGUNIANG BAYAN SESSION HALL</t>
  </si>
  <si>
    <t xml:space="preserve"> Kindly see attached plan and specification</t>
  </si>
  <si>
    <t xml:space="preserve"> INVITATION TO BID PROCUREMENT OF TWENTY-FOUR (24) MONTHS SUPPORT AND MAINTENANCE SERVICE FOR THE DATA CENTER EQUIPMENT OF THE BUREAU OF CUSTOMS (BOC) Bid Reference No.: GPG-B1-2020-395 – REBID  (Previous Bid Refence No. - GPG-B1-2020-078) Approved Budget </t>
  </si>
  <si>
    <t xml:space="preserve"> Name of  Project/Contract	:	COMPLETION OF  BHS BUILDING (FINISHING WORKS INCLUDING PROVISION OF WATERSYSTEM) Location				:	KAKIDUGEN,  Kasibu, Nueva Vizcaya Brief Description	:	Completion and Finishing works for the existing 8.0 m x 10.35m one-storey  Bar</t>
  </si>
  <si>
    <t xml:space="preserve"> 1.	The Local Government Unit of Kabacan, through the Economic Development Fund 2020  intends to apply the sum of PhP 4,500,000.00 being the Approved Budget for the Contract (ABC) to payments under the contract for Completion of Multi-Purpose Building at B</t>
  </si>
  <si>
    <t xml:space="preserve"> sample description</t>
  </si>
  <si>
    <t xml:space="preserve"> Republic of the Philippines Pangasinan State University Lingayen, Pangasinan INVITATION TO BID FOR THE REPAIR OF MULTI-MEDIA CLASSROOM – LINGAYEN CAMPUS (EQUIPMENT) 1.	The Pangasinan State University, through the Fund 101 (GAA) intends to apply the sum of</t>
  </si>
  <si>
    <t xml:space="preserve"> CONSTRUCTION OF HAND WASHING FACILITY WITH OVERHEAD WATER TANK IN DEP. ED. SCHOOLS</t>
  </si>
  <si>
    <t xml:space="preserve"> INVITATION TO BID  PROCUREMENT FOR THE SUPPLY AND DELIVERY OF   FORTY-FIVE (45) UNITS LAPTOP COMPUTERS (BRANDED)  ITB No. EMB-GOODS-NCB-2020-0024 1.	The Environmental Management Bureau (EMB) Bids and Awards Committee (BAC), through FY  2020 General Approp</t>
  </si>
  <si>
    <t xml:space="preserve"> Republic of the Philippines Pangasinan State University Lingayen, Pangasinan INVITATION TO BID FOR THE UPGRADING OF INFORMATION TECHNOLOGY LABORATORY ROOMS IN URDANETA CITY CAMPUS (EQUIPMENT) 1.	The Pangasinan State University, through the Fund 101 (GAA) </t>
  </si>
  <si>
    <t xml:space="preserve"> A=273.00 sq.m.</t>
  </si>
  <si>
    <t xml:space="preserve"> Republic of the Philippines Pangasinan State University Lingayen, Pangasinan INVITATION TO BID FOR THE PROCUREMENT OF DIPLOMA FORMS, DIPLOMA JACKETS, OTR FORMS, ABARAY, SOUVENIR PROGRAMS, MEDALS AND PINS FOR THE 41ST UNIVERSITY COMMENCEMENT EXERCISES 1.	T</t>
  </si>
  <si>
    <t xml:space="preserve"> Republic of the Philippines Province of Davao Oriental City of Mati BIDS &amp; AWARDS COMMITTEE INVITATION TO BID Procurement of 4,624 LITERS DIESEL FUEL for the Use of the Government Vehicles under the Vice Governor’s Office SOURCE OF FUND: GENERAL FUND [101</t>
  </si>
  <si>
    <t xml:space="preserve"> A = 104.00 Sq.m.</t>
  </si>
  <si>
    <t xml:space="preserve"> The Barangay La Medalla through its Bids and Award Committee (BAC) invites suppliers to apply for the hereunder project.  Project Reference No. 2020-08-001 Project Title: Rehabilitation of Streetlight System Location: La Medalla, Baao, Cam. Sur Fund: 20% </t>
  </si>
  <si>
    <t xml:space="preserve"> Republic of the Philippines Province of Davao Oriental City of Mati BIDS &amp; AWARDS COMMITTEE INVITATION TO BID Procurement of 6,000 KILOS ROOTCROPS (Purple Ube and Taro or ColocasiaEsculenta) for Use in NLD-Forest Landscape Restoration for Sustainable Deve</t>
  </si>
  <si>
    <t xml:space="preserve"> Republic of the Philippines Province of Davao Oriental City of Mati BIDS &amp; AWARDS COMMITTEE INVITATION TO BID Procurement of 25,000 Pieces ABACA SUCKERS/SHOOTS for Use in NLD-Forest Landscape Restoration for Sustainable Development (NLD-FLRSD) Program Ami</t>
  </si>
  <si>
    <t xml:space="preserve"> 1.Fencing Works 2. Single Phase Line Poles Works</t>
  </si>
  <si>
    <t xml:space="preserve"> Maintenance of CCTV</t>
  </si>
  <si>
    <t xml:space="preserve"> Office of the Municipal Engineer		 16 PR Lug Tire 11 x 20  16 PR miler Tire 11 x 20	 12PR 13 x 24 -Road Grader Tire	 20PR 20.5 x 25 - Payloader	 20PR 23.1 x 26 - Road Roller	 MENRO		 16 PR Lug Tire 11 x 20  miler Tire 8.25 x 16</t>
  </si>
  <si>
    <t xml:space="preserve"> Section I. Invitation to Bid FOR THE UPLB-S-052-09-20  SUPPLY AND DELIVERY OF  DRUGS AND MEDICINES FOR UHS 1.	The UNIVERSITY OF THE PHILIPPINES LOS BAÑOS (UPLB), through the GOP intends to apply the sum of SIX HUNDRED SEVENTY-SIX THOUSAND FIVE HUNDRED TWE</t>
  </si>
  <si>
    <t xml:space="preserve"> Republic of the Philippines Province of Davao Oriental City of Mati BIDS &amp; AWARDS COMMITTEE INVITATION TO BID (REBID) LOT Procurement of Vehicle Parts for the Use of Isuzu Elf SOURCE OF FUND: PGO [1011-200-5-02-13-060-01] 1.	The Provincial Government of D</t>
  </si>
  <si>
    <t xml:space="preserve"> Republic of the Philippines Province of Davao Oriental City of Mati BIDS &amp; AWARDS COMMITTEE INVITATION TO BID (REBID) LOT Procurement of SPAREPARTS for the Use of Toyota Grandia of the Provincial Tourism Office SOURCE OF FUND: OLF [1999UB-200-5-02-13-060]</t>
  </si>
  <si>
    <t xml:space="preserve"> Improvement of Post Harvest Facility</t>
  </si>
  <si>
    <t xml:space="preserve"> Republic of the Philippines Province of Davao Oriental City of Mati BIDS &amp; AWARDS COMMITTEE INVITATION TO BID (REBID) LOT Procurement of VETERINARY SUPPLIES for Use in Provincial Livestock and Breeding Center at PARDC, Magay, City of Mati SOURCE OF FUND: </t>
  </si>
  <si>
    <t xml:space="preserve"> Kindly see the Plan and specification</t>
  </si>
  <si>
    <t xml:space="preserve"> 1 MEAL  X 3TIMES A DAY      1 CUP RICE      2 VIAND OF DISHES      WATER      JUICE/SOFTDRINKS</t>
  </si>
  <si>
    <t xml:space="preserve"> 2. Procurement ID/Contract ID:	20GD0115 Contract Name:	CONCRETING OF FARM-TO-MILL ROAD, SITIO ESPERANZA, BRGY. BINUNTUCAN TO BRGY. CABUNGAHAN ROAD, PONTEVEDRA, CAPIZ Contract Location:	PONTEVEDRA, CAPIZ Brief Description :	CONCRETING OF FARM-TO-MILL ROAD </t>
  </si>
  <si>
    <t xml:space="preserve"> Lot 2: Contract No.:                20%EDF2020G2 Contract Name: 	          Supply and Delivery of Pulverizing  Machine (Bottles) Electric Engine  ABC:  	    	          Php 500,000.00 Delivery Period:	          30 Calendar Days Pre-bid Conference:	  August</t>
  </si>
  <si>
    <t xml:space="preserve"> Supply and Delivery of Initial Supplies for the Securities and Exchange Commission - Disaster Management Committee</t>
  </si>
  <si>
    <t xml:space="preserve"> Procurement ID/Contract ID:	20GGD0004 Contract Name:	PROCUREMENT AND DELIVERY OF COPIER TO BE USED IN THE PLANNING AND DESIGN SECTION FOR THE CONDUCT OF FEASIBILITY STUDY/ PRE-FEASIBILITY STUDY/ PRELIMINARY AND DETAILED ENGINEERING (PDE) ACTIVITIES FOR TH</t>
  </si>
  <si>
    <t xml:space="preserve"> Street Barrier</t>
  </si>
  <si>
    <t xml:space="preserve"> Republic of the Philippines Pangasinan State University Lingayen, Pangasinan INVITATION TO BID FOR THE UPGRADING OF ENGINEERING AND TECHNOLOGY LABORATORIES OF THE PANGASINAN STATE UNIVERSITY (FURNITURES AND AIRCONDITION UNITS) 1.	The Pangasinan State Univ</t>
  </si>
  <si>
    <t xml:space="preserve"> Lot	1 Item No.		          Quantity	ABC in (Php) 	1	Whistle	     1,550	155,000.00 	2	Hard Hat	     1,550	542,500.00 	3	Megaphone	80	280,000.00 	4	Spine Board	2	14,000.00 	5	Flashlight	    1,550	930,000.00 Total	1,921,500.00 A complete set of Bidding Docume</t>
  </si>
  <si>
    <t xml:space="preserve"> Street Light Pole 30feet, HDG, 76mm x 127mm x 2mm						 Double Arm for all Lamp Post, 5feet x 10feet						   LED Streetlight 100WAN-SLH6-100W						 Specs:						 Power = 100W						 LED Chip					 Chip Number = 2*44pcs						 Flux = 130lm/w						 CRI = 80				</t>
  </si>
  <si>
    <t xml:space="preserve"> 1. Procurement ID/Contract ID:	20GD0114 Contract Name:	CONCRETING OF BRGY. IBACA TO BRGY. ARANGUEL FMR, BRGY. IBACA AND BRGY. ARANGUEL, PRESIDENT ROXAS, CAPIZ Contract Location:	PRESIDENT ROXAS, CAPIZ Brief Description :	CONCRETING OF BRGY. IBACA TO BRGY.</t>
  </si>
  <si>
    <t xml:space="preserve"> Procurement of Supplies and Materials for Upgrading of Day Care Playground</t>
  </si>
  <si>
    <t xml:space="preserve"> Republic of the Philippines Province of Davao Oriental City of Mati BIDS &amp; AWARDS COMMITTEE INVITATION TO BID LOT Procurement of SPAREPARTS and REPAIR for the Use of KIA Bongo Vehicle (Drop Side Cargo) SOURCE OF FUND: OLF[1999Z4A-200-5-02-13-960-01] 1.	Th</t>
  </si>
  <si>
    <t xml:space="preserve"> Items of Work consists of Project Signboard/Structure Excavation, Reinforcing Steel, Concrete Works, Masonry Works, Formworks, Finishing Works, Metal Works, Roofing Sheets, Ceiling, Door &amp; Windows, Painting Works, Sewer Lines, Water Lines, Sanitary Fixtur</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</si>
  <si>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</si>
  <si>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Republic of the Philippines Department of Health Zamboanga Peninsula - Center for Health Development Upper Calarian, Zamboanga City  Tel no. 991-1313, 983-0932 to 34, fax 991-36500  E-mail: dohchdzp@yahoo INVITATION TO BID FOR THE CONTRACT ID: 20-08-111 C</t>
  </si>
  <si>
    <t xml:space="preserve"> Republic of the Philippines Province of Cebu Municipality of Cordova Barangay Alegria BIDS AND AWARDS COMMITTEE (BAC) (032-494-1594) INVITATION TO BID  The Barangay Alegria, through its Bids and Awards Committee (BAC) intends to apply  the sum of One Hund</t>
  </si>
  <si>
    <t xml:space="preserve"> Name of  Project/Contract	:	IMPROVEMENT OF ANDELUCIA FMR Location				:	BINOGAWAN,  Kasibu, Nueva Vizcaya Brief Description			:	1. Road Opening 					2. Installation of 18” RCPC 					 Approved Budget  for the Contract (ABC)		:	P 678,730.75 Source of Fund			</t>
  </si>
  <si>
    <t xml:space="preserve"> Please see attached bidding documents for specifications and instructions.</t>
  </si>
  <si>
    <t xml:space="preserve"> Procurement of Reproduction and Soft Binding of FHSIS Reporting and Recording Tools</t>
  </si>
  <si>
    <t xml:space="preserve"> Air Freshener  280ML SPRAY	                                              30	TIN Alcohol 70% 500ml	                                                            100	BOT Apron cloth	                                                                     40	PCS B</t>
  </si>
  <si>
    <t xml:space="preserve"> various construction mats. &amp; supplies</t>
  </si>
  <si>
    <t xml:space="preserve"> Farm Machineries for farmers</t>
  </si>
  <si>
    <t xml:space="preserve"> 150 box Disposable Face Mask for distribution to different Barangays of the 2nd district of Leyte.  w-w-w-w-w-w-w-w-w-w-w-w-w</t>
  </si>
  <si>
    <t xml:space="preserve"> OFFICE OF THE BIDS AND AWARDS COMMITTEE (BAC) INVITATION TO BID FOR: 20-08-621 Purchase of Commonly-Used Office Supplies of the Different Offices in the Local Government Unit of Alamada, Cotabato  1.	The Local Government Unit of Alamada, through the MOOE </t>
  </si>
  <si>
    <t xml:space="preserve"> 2 licenses Creative Cloud Team-Full Apps for 1yr subscription  •	set of applications and services that gives subscribers access to a collection of software used for graphic design, video editing, web development, photography, along with a set of mobile ap</t>
  </si>
  <si>
    <t xml:space="preserve"> 600 KITS PCR COLLECTION KIT W/ TRANSPORT SWAB &amp; VIRAL TRANSPORT MEDIUM</t>
  </si>
  <si>
    <t xml:space="preserve"> Acquisition of Table and Chairs</t>
  </si>
  <si>
    <t xml:space="preserve"> 1.0 ELECTRICAL WORKS 10.00 Porcelain Electric insulator with bracket 1.00 box THHN/THWN #14 10.00 pcs. Electrical Tape (big) 151.00 pcs. LED bulb 9 watts 15.00 pcs. Stud bolt 3/2 cm. dia. 15.00 pcs. Nut and Washer 6.00 pcs. G.I Pipe 1/2 inch Schedule 40 6</t>
  </si>
  <si>
    <t xml:space="preserve"> Items of Work consists of Subgrade Preparation, Aggregate Subbase Coarse, Portland Cement Concrete Pavement (0.15m thk) The BAC will conduct the procurement process in accordance with the revised IRR of R.A. 9184.  Bids Received in excess of the ABC shall</t>
  </si>
  <si>
    <t xml:space="preserve"> The Barangay La Medalla, through its Bids and Committee (BAC) invites suppliers to apply for the hereunder project Project Ref. No.: 2020-08-001 Fund of Project: 20% BDF  Delivery Period: 15days Prospective bidders should possess valid PCVAB License appli</t>
  </si>
  <si>
    <t xml:space="preserve"> PLEASE SEE ATTACHED INVITATION TO BID</t>
  </si>
  <si>
    <t xml:space="preserve"> OFFICE OF THE BIDS AND AWARDS COMMITTEE (BAC) INVITATION TO BID FOR: 20-08-637 Purchase of Musical Instruments for LGU Use  1.	The Local Government Unit of Alamada, through the CO 2018 intends to apply the sum of P 370,000.00 being the Approved Budget for</t>
  </si>
  <si>
    <t xml:space="preserve"> 14 Fire Hose and Fire Hydrant Key</t>
  </si>
  <si>
    <t xml:space="preserve"> kindly see the Plan and specification</t>
  </si>
  <si>
    <t xml:space="preserve"> The Barangay La Medalla, through its Bids and Committee (BAC) invites suppliers to apply for the hereunder project Project Ref. No.: 2020-08-001 Fund of Project: 20% BDF  Delivery Period: 14days Prospective bidders should possess valid PCVAB License appli</t>
  </si>
  <si>
    <t xml:space="preserve"> Republic of the Philippines BIDS AND AWARDS COMMITTEE Province of Iloilo Invitation to Bid PURCHASE OF OFFICE EQUIPMENT Bid No. PHO-20-0921-B 1. The Iloilo Provincial Government, through the 2019 SUPPLEMENTAL BUDGET NO. 2 CAPITAL OUTLAY intends to apply t</t>
  </si>
  <si>
    <t xml:space="preserve"> Items of Work consists of Project Signboard/Billboard, Removal of Existing Roof &amp; Roof Framing, Concrete Works, RSB Works, Formworks &amp; Scaffoldings, Masonry Works, Plastering Works, Ceiling Works, Metal Works, Roofing Works, Doors &amp; Windows, Tile Works, P</t>
  </si>
  <si>
    <t xml:space="preserve"> Invitation to Bid for Construction of Drainage Canal  No. 2020-001 1. The Barangay Magsaysay Norte, through the Annual Budget 2020(General Fund) Approved by the Sanggunian intends to apply the sum of Eight Hundred Forty Six Thousand Pesos  (Php 846,000.00</t>
  </si>
  <si>
    <t xml:space="preserve"> Republic of the Philippines Province of Davao Oriental City of Mati BIDS &amp; AWARDS COMMITTEE INVITATION TO BID LOT Procurement of SPAREPARTS and REPAIR for the Use of FORD RANGER Vehicle SOURCE OF FUND: OLF[1999Z4A-5-02-13-060-01] 1.	The Provincial Governm</t>
  </si>
  <si>
    <t xml:space="preserve"> Location: PSU Goa campus Bidding Fee: P 25,000.00 (Non-refundable) Schedule of activities: 1. Issuance and availability of Bid Documents: August 17, 2020 until 12:00 noon of September 8, 2020  (except week-ends &amp; Holidays at the BAC Secretariat Office, PS</t>
  </si>
  <si>
    <t xml:space="preserve"> Upgrading Electrification and Modernization of Electrical Systems of Bayugan Central Elementary School and SPED Center</t>
  </si>
  <si>
    <t xml:space="preserve"> Republic of the Philippines Province of Quezon City Government of Tayabas INVITATION TO BID FOR PROJECT # 20-078 CIVIL WORKS FOR CONSTRUCTION OF NCDC PARKING AND OTHER FACILITY   – BRGY. POTOL, CITY OF TAYABAS. 1.	The City Government of Tayabas, through t</t>
  </si>
  <si>
    <t xml:space="preserve"> Republic of the Philippines Province of Quezon City Government of Tayabas INVITATION TO BID FOR PROJECT # 20-077 CIVIL WORKS FOR CONSTRUCTION OF IRRIGATION CANAL  – BRGY. OPIAS, CITY OF TAYABAS. 1.	The City Government of Tayabas, through the 20% Developme</t>
  </si>
  <si>
    <t xml:space="preserve"> Local Infrastructure Program – Construction of School Covered Court Manuel L. Quezon Elementary School, Brgy. Upper Session Road, Baguio City, Benguet Contract Location :	Manuel L. Quezon E/S, Upper Session Road, Baguio City Approved Budget for the Contra</t>
  </si>
  <si>
    <t xml:space="preserve"> PR NO. 1169 – 20                                           CITY GOVERNMENT OF TACURONG                                               Alunan Highway, Tacurong City Sultan Kudarat                                      BIDS AND AWARDS COMMITTEE               </t>
  </si>
  <si>
    <t xml:space="preserve"> Split Type Aircon etc. NOTE:To all supplliers bid documents and BAC Resolution 2020-029 are available at BAC Office and LGU website.</t>
  </si>
  <si>
    <t xml:space="preserve"> INVITATION TO  BID # 025-2020    The Municipal Government  of Aguilar, through its Bids and Awards Committee (BAC) invites suppliers/ manufacturers/contractors to bid for the hereunder project:.    Name of the Project: CONCRETE PAVING OF ROAD SHOULDER AT </t>
  </si>
  <si>
    <t xml:space="preserve"> 7 Integrated Solar LED Lights panel of 60 watts with Post of GI Pipe 2" or 2.5" steel post with concrete base (4-5 meters height of post) with the following description: *intelligent light control *wireless remote control * with warranty * free installati</t>
  </si>
  <si>
    <t xml:space="preserve"> Invitation to Bid for the supply &amp; delivery of Various Furniture &amp; Fixture for use of different offices of Batangas City Government.</t>
  </si>
  <si>
    <t xml:space="preserve"> School and office supplies for printing of self learning modules</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</si>
  <si>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</si>
  <si>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1.	The Barangay Local Government Unit of Katipunan, through the Budget for the contract approved by the respective Sanggunian (BDF)  intends to apply the sum of two hundred eleven thousand nine hundred seventy pesos only (Php 211,970.00), being the Approv</t>
  </si>
  <si>
    <t xml:space="preserve"> The Municipality of Sta. Cruz through its Bids and Awards Committee (BAC), invites suppliers to apply for eligibility and if found eligible, to bid for the hereunder contract: 	Name of Project	: Improvement and Concreting of Farm to Market Road - Quinferm</t>
  </si>
  <si>
    <t xml:space="preserve"> Republic of the Philippines Province of Davao de Oro BIDS AND AWARDS COMMITTEE Cabidianan, Nabunturan, Davao de Oro ITB No. 20-030 August 12, 2020 INVITATION TO BID  FOR  THE Procurement of 5,251 pcs. Washable face masks-rebid 1.	The Provincial Government</t>
  </si>
  <si>
    <t xml:space="preserve"> The Municipality of Sta. Cruz through its Bids and Awards Committee (BAC), invites suppliers to apply for eligibility and if found eligible, to bid for the hereunder contract: 	Name of Project	: Improvement of Multi-purpose Building – Mambog 	ABC		: Php1,</t>
  </si>
  <si>
    <t xml:space="preserve"> PROJECT BILLBOARD/SIGNBOARD                                                        1 LOT MOBILIZATION OF DRILLING MACHINE WITH COMPLETE ACCESSORIES  1 LOT BOREHOLE DRILLING 12" DIAMETER                                                     500.00 FT PERFORA</t>
  </si>
  <si>
    <t xml:space="preserve"> The Municipality of Sta. Cruz through its Bids and Awards Committee (BAC), invites suppliers to apply for eligibility and if found eligible, to bid for the hereunder contract: 	Name of Project	: Improvement of Multi-purpose Building – Villa Hermosa 	ABC		</t>
  </si>
  <si>
    <t xml:space="preserve"> INVITATION TO BID FOR THE CONTRACT ID: 19-12 - 273 2ND REBID Contract Name: PROCUREMENT OF VARIOUS DRUGS AND MEDICINES Approved Budget for the Contract (ABC) : Php      1,614,999.40 Cost of Bidding Documents :  1.	The DOH-Zamboanga Peninsula - Center for </t>
  </si>
  <si>
    <t xml:space="preserve"> I- CONSTRUCTION MATERIALS II- STEEL WORKS III- MACHINE RENTAL</t>
  </si>
  <si>
    <t xml:space="preserve"> Republic of the Philippines Province of Davao de Oro BIDS AND AWARDS COMMITTEE Cabidianan, Nabunturan, Davao de Oro ITB No. 20-030 August 12, 2020 INVITATION TO BID  FOR  THE Procurement of 500 pcs polo shirt with design-rebid 1.	The Provincial Government</t>
  </si>
  <si>
    <t xml:space="preserve"> Republic of the Philippines Province of Davao Occidental MUNICIPALITY OF SARANGANI Invitation to Bid REHABILITATION OF MULTI-PORPUSE BUILDING / NEW MUNICIPAL HALL (8000-2-2-17) MABILA, SARANGANI, DAVAO OCCIDENTAL. The Municipality of Sarangani, through 20</t>
  </si>
  <si>
    <t xml:space="preserve"> INVITATION TO BID FOR Procurement of Infra [Road Concreting of Cabise Road (Coastal Road to Taloto-Ubujan Road)] The City Government of Tagbilaran, through the 20% Development Fund, intends to apply the sum of Three Million Four Hundred Eighty Six Thousan</t>
  </si>
  <si>
    <t xml:space="preserve"> The Municipality of Sta. Cruz through its Bids and Awards Committee (BAC), invites suppliers to apply for eligibility and if found eligible, to bid for the hereunder contract: 	Name of Project	: Construction and Rehabilitation of River Control @ Sitio Nan</t>
  </si>
  <si>
    <t xml:space="preserve"> Republic of the Philippines PROVINCE OF NUEVA VIZCAYA Municipality of Aritao BIDS AND AWARDS COMMITTEE ITB-OVERFLOW BRIDGE-20-08-01 INVITATION TO BID FOR CONSTRUCTION OF OVERFLOW BRIDGE At Beti-Lower Anayo, Aritao, Nueva Vizcaya The Local Government Unit </t>
  </si>
  <si>
    <t xml:space="preserve"> The Municipality of Sta. Cruz through its Bids and Awards Committee (BAC), invites suppliers to apply for eligibility and if found eligible, to bid for the hereunder contract: 	Name of Project	: Construction of River Wall, Pilar-Las-ud, Villa Hermosa 	ABC</t>
  </si>
  <si>
    <t xml:space="preserve"> Republic of the Philippines Province of Davao de Oro BIDS AND AWARDS COMMITTEE Cabidianan, Nabunturan, Davao de Oro ITB No. 20-030 August 12, 2020 INVITATION TO BID  FOR  THE Procurement of various tires 1.	The Provincial Government of Davao de Oro, throu</t>
  </si>
  <si>
    <t xml:space="preserve"> Republic of the Philippines Province of Davao Occidental MUNICIPALITY OF SARANGANI Invitation to Bid ROAD CONCRETING (DOUBLE LANE)  GOMEZ ST. (8000-2-2-16) MABILA, SARANGANI, DAVAO OCCIDENTAL. The Municipality of Sarangani, through 20% Devt.  Fund for Cal</t>
  </si>
  <si>
    <t xml:space="preserve"> Republic of the Philippines Province of Davao de Oro BIDS AND AWARDS COMMITTE Cabidianan, Nabunturan, Davao de Oro ITB No. 20-031 August 12, 2020 INVITATION TO BID  FOR  THE Procurement of food supplies (meals and snacks) within Davao de Oro 1.	The Provin</t>
  </si>
  <si>
    <t xml:space="preserve"> Republic of the Philippines Province of Davao de Oro BIDS AND AWARDS COMMITTEE Cabidianan, Nabunturan, Davao de Oro Invitation to Bid for the Construction of Water System at Liwanag Center, Brgy. Libasan, Nabunturan 1.	The Provincial Government of Davao d</t>
  </si>
  <si>
    <t xml:space="preserve"> 1.	The Camarines Norte State College, through the 2020 Trust Fund intends to apply the sum of Two Hundred Thirty Thousand Eight Hundred Thirty Seven &amp; 88/100 (Php 230,837.88) Pesos being the Approved Budget for the Contract (ABC) to payments under the con</t>
  </si>
  <si>
    <t xml:space="preserve"> INVITATION TO BID (INFRA)   	PR # 006-020 Budget for the Contract (ABC) to payments under the contract of Improvement of Barangay Multi-Purpose Building. The Barangay Poblacion, Sibonga  through the 20% BDF -2020  intends to apply the sum of Three  hundre</t>
  </si>
  <si>
    <t xml:space="preserve"> INVITATION TO BID ITB  No. 117-Brgy - 2020 The City Government of Surigao, through its Bids and Awards Committee (BAC), invites suppliers to bid for the following: Name of Contract	:  Purchase &amp; Delivery of Const. Materials &amp; Supplies for the  			   proje</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</si>
  <si>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</si>
  <si>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</si>
  <si>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ITB  No. 112-Brgy - 2020 The City Government of Surigao, through its Bids and Awards Committee (BAC), invites suppliers to bid for the following: Name of Contract	:  Purchase &amp; Delivery of Const. Materials &amp; Supplies for the  			   proje</t>
  </si>
  <si>
    <t xml:space="preserve"> INVITATION TO BID FOR THE CONTRACT ID:20-07-096 CONTRACT NAME:  PROCUREMENT OF AEROSOL BOX  Approved Budget for the Contract (ABC) : Php  296,400.00 Cost of Bidding Documents: Php 500.00  1.	 The Department of Health, Zamboanga Peninsula - Center for Heal</t>
  </si>
  <si>
    <t xml:space="preserve"> The Municipality of Sta. Cruz through its Bids and Awards Committee (BAC), invites suppliers to apply for eligibility and if found eligible, to bid for the hereunder contract: 	Name of Project	: Improvement &amp; Concreting of Farm to Market Road, Tampugo 	AB</t>
  </si>
  <si>
    <t xml:space="preserve"> The Municipal Government of Aloguinsan invites prospective bidders to bid for the project Supply and Delivery of Medicines for COVID-19 response. Source of Fund: BAYANIHAN GRANT TO CITIES/MUNICIPALITIES ABC: Php 2,000,000.00 The complete schedule of activ</t>
  </si>
  <si>
    <t xml:space="preserve"> INVITATION TO BID                  PURCHASE AND DELIVERY OF DIGITAL DUPLICATOR WITH COMPUTER INTERFACE AND SUPPLIES                                                          ITB 2020-08-044(GOODS) 1. 	The Municipality of Tuba, through the Budget for the co</t>
  </si>
  <si>
    <t xml:space="preserve"> INVITATION TO BID August 13, 2020 1.	The Provincial Government of Davao Occidental, through its Bids and Awards Committee (BAC), invites all suppliers to apply to bid for the following goods: Bids received in excess of the ABC shall be automatically rejec</t>
  </si>
  <si>
    <t xml:space="preserve"> The Local Government Unit of the Island Garden City of Samal, through the Trust Funds intends to apply the sum of Five Million Pesos only (₱5,000,000.00) being the Approved Budget for the Contract (ABC) to payments under the contract for Purchase of One U</t>
  </si>
  <si>
    <t xml:space="preserve"> IMPROVEMENT/ CONTINUATION OF POBLACION COMFORT ROOM, NATONIN FUND SOURCE: 20% PDF 2020 TYPES OF WORK TO BE DONE: Project billboard/ occupational safety and health program/ masonry painting/ roofing accessories (gutter)/ scaffolding/ grouted riprap (class </t>
  </si>
  <si>
    <t xml:space="preserve"> INVITATION TO BID ITB  No. 116-Brgy - 2020 The City Government of Surigao, through its Bids and Awards Committee (BAC), invites suppliers to bid for the following: Name of Contract	:  Purchase &amp; Delivery of Const. Materials &amp; Supplies for the  			   proje</t>
  </si>
  <si>
    <t xml:space="preserve"> Water Service Connection Materials/Fittings-1.87 pcs.-Jetnatic Pump,2.87pcs.-GI Pipe S-40</t>
  </si>
  <si>
    <t xml:space="preserve"> 1.	The City of Koronadal Water District, through the Corporate Fund 2020 intends to apply the sum of Two Million Six Hundred Ten Thousand Pesos, (Php 2,610,000.00) only, being the Approved Budget for the Contract (ABC) to payments under the contract for S</t>
  </si>
  <si>
    <t xml:space="preserve"> PHILIPPINE BIDDING DOCUMENTS (As Harmonized with Development Partners) Procurement for  RE BIDDING - CONCRETING OF REGIDOR ST. BRGY. 9 LUCBAN, QUEZON BIDDING Government of the Republic of the Philippines Fourth Edition   Preface These Philippine Bidding D</t>
  </si>
  <si>
    <t xml:space="preserve"> Purchase of 20 Units Communication Equipment. (Repost)</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</si>
  <si>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</si>
  <si>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Stock No.	Item Description	QTY.	UNIT 	CHEMISTRY		 1	FBS	500	test 2	BUN	200	test 3	Uric Acid	200	test 4	Creatinine	200	test 5	Lipid Profile	300	test 6	Cholesterol	100	test 7	Triglycerides	100	test 8	HDL/LDL	150	test 9	SGOT	300	test 10	SGPT	300	test 11	Seru</t>
  </si>
  <si>
    <t xml:space="preserve"> Republic of the Philippines Province of Oriental Mindoro MUNICIPALITY OF NAUJAN BIDS AND AWARDS COMMITTEE INVITATION TO BID SUPPLY AND DELIVERY OF ONE (1) UNIT PASSENGER VAN (for conversion into an ambulance and fitted with necessary medical equipment and</t>
  </si>
  <si>
    <t xml:space="preserve"> 1	1		SET	LAPTOP					 2	1		SET	PRINTER					 3	2		SET	INK 					 4	5		BOX	SHORT BOND PAPER					 5	5		BOX	LONG BOND PAPER					 6	2		BOX	A4 BOND PAPER					 7	5		BOX	BALLPEN					 8	25		BOX	PENCIL					 9	2		PCS	STAPLER HEAVY DUTY 					 10	5		BOX	STAPLE WIRE					</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</si>
  <si>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</si>
  <si>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Republic of the Philippines BIDS AND AWARDS COMMITTEE Province of Iloilo Invitation to Bid PURCHASE OF HOUSEKEEPING SUPPLIES Bid No. SDH-20-0975-B 1. The Iloilo Provincial Government, through the GENERAL FUND 2020 intends to apply the sum of FOUR HUNDRED </t>
  </si>
  <si>
    <t xml:space="preserve"> Republic of the Philippines BIDS AND AWARDS COMMITTEE Province of Iloilo Invitation to Bid PURCHASE OF OFFICE SUPPLIES Bid No. SDH-20-0976-B 1. The Iloilo Provincial Government, through the GENERAL FUND 2020 intends to apply the sum of THREE HUNDRED NINET</t>
  </si>
  <si>
    <t xml:space="preserve"> PORT LIGTHING		 A. Materials		     4"dia.x 20' G.I. pipe sch.40	length	4     3"dia.x 20' G.I. pipe sch.40	length	4     2"dia.x 20' G.I. pipe sch.40	length	8     1"dia.x 20' G.I. pipe sch.40	length	3     Bolt w/ nut and washer 5/8x6 HS L-Type	pc	28     Cut</t>
  </si>
  <si>
    <t xml:space="preserve"> Construction Works           Earthworks           Reinforced Concrete</t>
  </si>
  <si>
    <t xml:space="preserve"> ITEM /DESCRIPTION		4CL			 LOT A. P 594,000.00		QTY	Previous Price	Proposed Price	Total Price 1. GOA BLACK &amp; WHITE: (Matt.- white Katrina 	set	1			 (embroidered name at the lower back of the upper 					 uniform/chambray only)Pants-Straight cut w/ 2" allowa</t>
  </si>
  <si>
    <t xml:space="preserve"> Republic of the Philippines BIDS AND AWARDS COMMITTEE Province of Iloilo Invitation to Bid PURCHASE OF FIRE EXTINGUISHER (REFILL) Bid No. SDH-20-0848-B 1. The Iloilo Provincial Government, through the GENERAL FUND 2020 intends to apply the sum of FORTY-SE</t>
  </si>
  <si>
    <t xml:space="preserve"> 50.00 box Amoxicillin 500mg capsule		 50.00 box Amoxicillin 250mg capsule		 5.00	box Aluminum Magnesium Tablet		 25.00 box Ambroxol 30g		 50.00 bot. Amoxicillin 125mg suspension		 50.00 bot. Amoxicillin 250mg capsule		 25.00 bot. Amoxicillin Drops 100mg		</t>
  </si>
  <si>
    <t xml:space="preserve"> Corn and Adlay Production. (Re post)</t>
  </si>
  <si>
    <t xml:space="preserve"> Agricultural Products for Upland Rice Production. (Repost)</t>
  </si>
  <si>
    <t xml:space="preserve"> &gt; Removal of Structure and Obstruction - 2.89 &gt; Excavation/Backfill and Disposal - 1.44 &gt; Foundation Fill - 0.53 &gt; Embankment - 6.03 &gt; Subgrade preparation - 2.44 &gt; Aggregate Base Course - 9.33 &gt; PCC Pavement, Plain (3,500 PSI, 7 Days Curing) - 46.93 &gt; St</t>
  </si>
  <si>
    <t xml:space="preserve"> Republic of the Philippines Province of Surigao del Norte  Municipality of Malimono  OFFICE OF THE BIDS AND AWARDS COMMITTEE INVITATION TO BID ID NO. TPDF-MAL-SDN-11-20 1.    The Municipality of  Malimono, Surigao del Norte through the Office of the Bids </t>
  </si>
  <si>
    <t xml:space="preserve"> Republic of the Philippines BIDS AND AWARDS COMMITTEE Province of Iloilo Invitation to Bid PURCHASE OF MEDICAL SUPPLIES Bid No. SDH-20-0977-B 1. The Iloilo Provincial Government, through the GENERAL FUND 2020 intends to apply the sum of FIVE HUNDRED THOUS</t>
  </si>
  <si>
    <t xml:space="preserve"> Republic of the Philippines Province of Davao De Oro MUNICIPALITY OF COMPOSTELA BIDS AND AWARDS COMMITTEE (BAC) Invitation to Bid for Cemetery Development (P-1, Barangay Maparat) (ITB NO. 2020-08-046 - BID NO. 001) 1.	The Municipality of Compostela, throu</t>
  </si>
  <si>
    <t xml:space="preserve"> Fishing Paraphernalia. (Re post)</t>
  </si>
  <si>
    <t xml:space="preserve"> Construction Of Native Chicken Haven. (Repost)</t>
  </si>
  <si>
    <t xml:space="preserve"> Purchase of Shallow Water Fish Shelter Supplies. (Repost)</t>
  </si>
  <si>
    <t xml:space="preserve"> The Municipal Government of Aloguinsan invites prospective bidders to bid for the project Supply and Delivery of Office Chairs. Source of Fund: General Fund FY 2020 ABC: Php 228,300.00 The complete schedule of activities will be as follows: 1. Submission </t>
  </si>
  <si>
    <t xml:space="preserve"> Invitation to Bid for the Repair of Sitio Balibayon  Irrigation System    Brgy. Rizal, Surigao City ITB No. 119-Infra-2020    1.	The City Government of Surigao, intends to apply the sum of   One Million  Six Hundred Fifty Thousand  Pesos (Php1,650,000.00)</t>
  </si>
  <si>
    <t xml:space="preserve"> Invitation to Bid for the Riprapping and Seawall of Purok 3  Brgy. Bilabid, Surigao City ITB No. 114-Infra-2020    1.	The City Government of Surigao, intends to apply the sum of   Five Hundred Thousand  Pesos (Php500,000.00)  being the Approved Budget for</t>
  </si>
  <si>
    <t xml:space="preserve"> PROCUREMENT OF TABLETS INCLUSIVE OF AR SYSTEM FOR 18 MARITIME COURSES AND AUDIO VIDEO RECORDING SYSTEM FOR BLENDED LEARNING TOTAL PROJECT COST: P3,732,500.00 ITEM 1:  Tablets with embedded Augmented Reality (200) pcs	P per unit Operating System	: Android </t>
  </si>
  <si>
    <t xml:space="preserve"> Invitation to Bid for the Repair/Rehab. Of Senior High School Training Center Phase II, S.C. Pilot School, Brgy. Taft, Surigao City ITB No. 115-Infra-2020    1.	The City Government of Surigao, intends to apply the sum of   Two Million Four Hundred Ninety </t>
  </si>
  <si>
    <t xml:space="preserve"> INVITATION TO BID ITB  No. 113-Goods-2020 The City Government of Surigao, through its Bids and Awards Committee (BAC), invites suppliers to bid for the following: Name of Contract	:  Purchase &amp; Delivery of Electrical Supplies for the project  			   Instal</t>
  </si>
  <si>
    <t xml:space="preserve"> SCOPE OF WORKS: B.3	       Project Billboard &amp; Sign Board	2.00	each B.7	        Occupational Safety and Health Program	3.00	months	 803(1)a	Structure Excavation, Common Soil	20.00	cu.m. 804(1)b	Embankment, from borrow	10.00	cu.m.	 903(1)	Formworks and Fal</t>
  </si>
  <si>
    <t xml:space="preserve"> 1. Name of Project: PROCUREMENT OF BOOKPAPER-A4 FOR THE REPRODUCTION OF MODULES 2. ABC: Php 3,009,960.88 3. Source of Funds: OSEC-11-20-0846 4. Quantity: 16,838 reams of A4 Book Paper 5. Delivery Period: 20 CD after receipt of Notice to Proceed 6. Pre-bid</t>
  </si>
  <si>
    <t xml:space="preserve"> Agricultural Products for Upland Vegetable Production Cum Goat Raising. (Repost)</t>
  </si>
  <si>
    <t xml:space="preserve"> Republic of the Philippines Province of Davao de Oro BIDS AND AWARDS COMMITTEE Cabidianan, Nabunturan, Davao de Oro ITB No. 20-030 August 12, 2020 INVITATION TO BID  FOR  THE Procurement of 20 units mechanical beds with mattress and 2 cranks, with side ra</t>
  </si>
  <si>
    <t xml:space="preserve"> High Breed Cattle for Municipal Breeding Program. (Repost)</t>
  </si>
  <si>
    <t xml:space="preserve"> Republic of the Philippines Municipality of Taytay Taytay, Palawan NOTICE TO BIDDERS Item # Qty Unit Description Amount 1. 1 Lots Fuels/Fuel Additives &amp; Lubricant &amp; Anti-Corrosive The two envelope system of procurement shall be observed, Bidding documents</t>
  </si>
  <si>
    <t xml:space="preserve"> Republic of the Philippines Province of Davao de Oro BIDS AND AWARDS COMMITTEE Cabidianan, Nabunturan, Davao de Oro ITB No. 20-030 August 12, 2020 INVITATION TO BID  FOR  THE Procurement of 4 units led wall rental 1.	The Provincial Government of Davao de </t>
  </si>
  <si>
    <t xml:space="preserve"> Invitation to Bid for the Completion of Brgy Mat-I Irrigation System   Phase 1,  Brgy. Mat-i, Surigao City ITB No. 120-Infra-2020    1.	The City Government of Surigao, intends to apply the sum of   Two Million  Pesos (Php2,000,000.00)  being the Approved </t>
  </si>
  <si>
    <t xml:space="preserve"> LOT.F P 1,102,421.40	4CL					3CL				1CL			 		QTY	Previous Price	Proposed Price	Total Price	QTY	Previous Price	Proposed Price	Total Price	QTY	Previous Price	Proposed Price	Total Price 1. PERSHING CAP (w/seal,side buttons)													 US Cotton Twill,Visor</t>
  </si>
  <si>
    <t xml:space="preserve"> Republic of the Philippines Province of Davao de Oro BIDS AND AWARDS COMMITTEE Cabidianan, Nabunturan, Davao de Oro ITB No. 20-030 August 12, 2020 INVITATION TO BID  FOR  THE Procurement of 1 package mega tent 40x60 and railings (1 day) rental 1.	The Prov</t>
  </si>
  <si>
    <t xml:space="preserve"> LOT.G P 1,056,000.00	4CL				 		QTY	Previous Price	Proposed Price	Total Price 1. CAMOUFLAGE, (1 set)-Digital Print		1			 w/T-shirt color fatigue,Marine Cap,	set				 w/ Name cloth,w/Navrescom &amp; PMMA					 Seal					 					 INTIAL ORDER:		220			 TOTAL AMOUNT:		</t>
  </si>
  <si>
    <t xml:space="preserve"> LOT E. P 1,635,480.00	4CL				 		QTY	Previous Price	Proposed Price	Total Price 1.COMBAT SHOES,Hot weather, direct molded					 rubber outsole as per AFP specs,black	pair	1			 2. REGULATION SHOES, Safety shoes					 low cut direct,injected polyurethane	pair	1</t>
  </si>
  <si>
    <t xml:space="preserve"> 1st POSTING 	 The Barangay Government of Capacuan, Paracale, Camarines Norte invites all legitimate suppliers to submit their quotation for the following projects of Barangay Capacuan, Paracale, Camarines Norte. CONCRETING OF BARANGAY ROAD PUROK 3 72 bags</t>
  </si>
  <si>
    <t xml:space="preserve"> Republic of the Philippines BIDS AND AWARDS COMMITTEE Province of Iloilo Invitation to Bid PURCHASE OF DIESEL FUEL Bid No. SDH-20-0708-B 1. The Iloilo Provincial Government, through the GENERAL FUND 2020 intends to apply the sum of TWO HUNDRED FOUR THOUSA</t>
  </si>
  <si>
    <t xml:space="preserve"> pcs 	 full HD webcam 39 mm x 56 mm x 60 mm 		 25 	 	 resolution: FHD 1080P 1920*1080 			 	 frame rate: 30fps 			 	 built in Mic : single digital mic 			 	 lens type: full hd glasss lens 			 	 focus type: fixed focus 			 	 output format: MJPEG YUY2 			 	 u</t>
  </si>
  <si>
    <t xml:space="preserve"> a. CONTRACT ID: RIZAL-04SEPTEMBER2020-1 b. NAME OF PROJECT: Rehabilitation of Floodway East Embankment Road Cainta-Taytay, Rizal c. LOCATION: Cainta-Taytay, Rizal d. BRIEF DESCRIPTION: Road improvement. e. MAJOR ITEM OF WORK: Bituminous Concrete Surface C</t>
  </si>
  <si>
    <t xml:space="preserve"> This project entails purchase of construction materials for the Improvement of Concrete Stage at Magallanes National High School, Magallanes, Sorsogon.</t>
  </si>
  <si>
    <t xml:space="preserve"> Public Toilet 		 1.)  Formworks &amp; Scaffoldings		 A. Materials		    2 x 3 x 12' coco lumber	pc	30    2 x 2 x 12' coco lumber	pc	20    Ordinary plywood 1/4	sht	4    CWN no.4	kg	3    CWN no.2	kg	2    CWN no.1	kg	0.5 SUB-TOTAL		 B. Labor		 TOTAL		 		 2.) Conc</t>
  </si>
  <si>
    <t xml:space="preserve"> Quantity       Unit of Issue       Item Description     10                units              Digital DUplicator                                              Specification:                                                  scanning method    :  automatic do</t>
  </si>
  <si>
    <t xml:space="preserve"> Quantity       Unit of Issue       Item Description      1                  unit              2.4G, 4 x 2 Dsl A/T Pick-p type vehicle NAME OF PROJECT/LOCATION - Purchase of one (1) unit 2.4G, 4 x 2, Dsl, A/T Pick-Up type vehicle for official use by the Of</t>
  </si>
  <si>
    <t xml:space="preserve"> BARANGAY ROAD THAT HAS STAGNANT WATER NEED FOR ELEVATION.</t>
  </si>
  <si>
    <t xml:space="preserve"> DIRECT COST		 CONTAINER VAN OFFICE		 A. Materials		 CV Flat Form  /Base		     Portland cement	bag	6     River sand	cum	1     River gravel	cum	1     12mm dia.x 6 M def.bar	length	6     10mm dia.x 6 M def.bar	length	6     Tie wire no.16	kg	1     Ordinary pl</t>
  </si>
  <si>
    <t xml:space="preserve"> 15.00 sets Target Client List Logbook</t>
  </si>
  <si>
    <t xml:space="preserve"> CONCRETE FENCING OF PERIMETER OF MADEPDEPAS ELEMENTARY SCHOOL, DATA, SABANGAN FUND SOURCE: SEF 2020 TYPES OF WORK TO BE DONE: Project billboard/ signboard/ occupational safety an health program/ clearing and grubbing/ structure excavation (manual excavati</t>
  </si>
  <si>
    <t xml:space="preserve"> Republic of the Philippines CITY OF PANABO Province of Davao del Norte BIDS AND AWARDS COMMITTEE -o0o- INVITATION TO BID  SUPPLY OF 3 UNITS BRAND NEW UTILITY VEHICLE 1.	The City of Panabo, through CDRRMC/ 70% CDRRMC FUND 2020 intends to apply the sum of T</t>
  </si>
  <si>
    <t xml:space="preserve"> INVITATION TO BID ITB  No. 118-Brgy - 2020 The City Government of Surigao, through its Bids and Awards Committee (BAC), invites suppliers to bid for the following: Name of Contract	:  Purchase &amp; Delivery of Const. Materials &amp; Supplies for the  			   proje</t>
  </si>
  <si>
    <t xml:space="preserve"> Republic of the Philippines BIDS AND AWARDS COMMITTEE Province of Iloilo Invitation to Bid PURCHASE OF LABORATORY SUPPLIES Bid No. SDH-20-0444-B (RE-BID) 1. The Iloilo Provincial Government, through the GENERAL FUND 2020 intends to apply the sum of SEVENT</t>
  </si>
  <si>
    <t xml:space="preserve"> 1st POSTING 	 The Barangay Government of Capacuan, Paracale, Camarines Norte invites all legitimate suppliers to submit their quotation for the following projects of Barangay Capacuan, Paracale, Camarines Norte. CONSTRUCTION OF PATHWAY PUROK 4 80 bags Por</t>
  </si>
  <si>
    <t xml:space="preserve"> LOT D. P 2343,870.00	4CL					3CL				1CL			 		QTY	Previous Price	Proposed Price	Total Price	QTY	Previous Price	Proposed Price	Total Price	QTY	Previous Price	Proposed Price	Total Price 1.ATHLETIC UNIFORM, Dri Fit, Color:	set	2											 Navy Blue and White</t>
  </si>
  <si>
    <t xml:space="preserve"> INVITATION TO BID FOR SUPPLY AND DELIVERY OF GOODS (SAMAR LIVELIHOOD SEEDING PROGRAM) 1.	The Department of Trade and Industry, Regional Office No. 8, through the R. A. 11465 GAA 2020 intends to apply the sum of FOUR MILLION NINE HUNDRED FORTY-SEVEN THOUSA</t>
  </si>
  <si>
    <t xml:space="preserve"> Republic of the Philippines BIDS AND AWARDS COMMITTEE Province of Iloilo Invitation to Bid PURCHASE OF DRUGS AND MEDICINES Bid No. SDH-20-0363-B (RE-BID) 1. The Iloilo Provincial Government, through the GENERAL FUND 2020 intends to apply the sum of TWO HU</t>
  </si>
  <si>
    <t xml:space="preserve"> Republic of the Philippines BIDS AND AWARDS COMMITTEE Province of Iloilo Invitation to Bid PURCHASE OF OFFICE SUPPLIES (RE-BID) Bid No. SDH-20-0273-B 1. The Iloilo Provincial Government, through the GENERAL FUND 2020 intends to apply the sum of TWENTY-NIN</t>
  </si>
  <si>
    <t xml:space="preserve"> Republic of the Philippines BIDS AND AWARDS COMMITTEE Province of Iloilo Invitation to Bid PURCHASE OF LABORATORY SUPPLIES Bid No. SDH-20-0448-B (RE-BID) 1. The Iloilo Provincial Government, through the GENERAL FUND 2020 intends to apply the sum of FOUR H</t>
  </si>
  <si>
    <t xml:space="preserve"> One Job furnishing labor and materials for Improvement of Multi-purpose hall.</t>
  </si>
  <si>
    <t xml:space="preserve"> 1.00	TUBES ADHESIVE PLASTER		 1.00	PACKS ADULT DIAPER 1 PACK/10PCS		 10.00 VIALS AMPICILLIN 250MG/VIAL		 1.00	BOTTLES TERAMYCIN OPTHALMIC		 1.00	GALLON BETADINE		 25.00 PCS CORD CLAMP BROWN		 2.00	ROLLS COTTON(SANICARE)		 1.00	BOX DISPOSABLE SYRINGE TUBER</t>
  </si>
  <si>
    <t xml:space="preserve"> Department of Education Agusan del Norte</t>
  </si>
  <si>
    <t xml:space="preserve"> LOT.C  P 1,518,250.00	4CL					3CL				1CL			 		QTY	Previous Price	Proposed Price	Total Price	QTY	Previous Price	Proposed Price	Total Price	QTY	Previous Price	Proposed Price	Total Price 1. COVERALL,( Matt. emerized twill,Color: Green 4th class, reflector co</t>
  </si>
  <si>
    <t xml:space="preserve"> Invitation to Bid UPGRADING OF GUD-NAGBUKEL-VILLAFLOR (PORT.) ROAD Solicitation No. Infra-2020-11 The Municipality of San Isidro, Isabela, through the National Government Fund FY 2020, intends to apply the sum of Twelve Million Two Hundred Ninety-Nine Tho</t>
  </si>
  <si>
    <t xml:space="preserve"> 1. 166 Bags of Good Quality Rice</t>
  </si>
  <si>
    <t xml:space="preserve"> 160  -  PAX  -  MEALS (DINNER)                 MENU: -	RICE &amp; PUSO -	PORK HUMBA -	FISH ESCABECHE -	CHICKEN ADOBO -	GARLIC SHRIMPS -	IMBAO SOUP -	EGGPLANT SALAD -	AMPALAYA SALAD -	FRUITS: BANANA, MELON, PINEAPPLE -	SOFTDRINKS -	BOTTLED WATER -	LECHON 	160 </t>
  </si>
  <si>
    <t xml:space="preserve"> 1st POSTING 	 The Barangay Government of Capacuan, Paracale, Camarines Norte invites all legitimate suppliers to submit their quotation for the following projects of Barangay Capacuan, Paracale, Camarines Norte. CONSTRUCTION OF PATHWAY PUROK 5 64 bags Por</t>
  </si>
  <si>
    <t xml:space="preserve"> Section I. Invitation to Bid INVITATION TO BID  DA8-Goods-2020-51 (PR No. RICE 20-07-30-0969) 1.	The Department of Agriculture-Regional Field Office No. 8, through the RICE 2020 intends to apply the sum of Fifty-Two Million Nine Hundred Fifty Thousand Pes</t>
  </si>
  <si>
    <t xml:space="preserve"> Purchase of construction materials</t>
  </si>
  <si>
    <t xml:space="preserve"> PURCHASE OF CONSTRUCTION MATERIALS</t>
  </si>
  <si>
    <t xml:space="preserve"> Construction supplies and materials   PHP 111,111.49</t>
  </si>
  <si>
    <t xml:space="preserve"> purchase of construction materials</t>
  </si>
  <si>
    <t xml:space="preserve"> [LOCAL GOVERNMENT UNIT-VINCENZO SAGUN]                        INVITATION TO BID FOR PROCUREMENT OF 271 PIECES WIFI MODEM 1.	The Local Government Unit-Vincenzo Sagun, through the Special Education Fund 2020  intends to apply the sum of Three Hundred Sixty </t>
  </si>
  <si>
    <t xml:space="preserve"> Concreting of Roads, Along E. Meman Alley, Atulayan Norte, Tuguegarao City, Cagayan</t>
  </si>
  <si>
    <t xml:space="preserve"> Grass Cutter Cylinder Block w/ Piston, Piston Pin, Piston Ring TD40 - 55pcs. ; Clutch Shoe w/ Spring 1-12/14 TD - 55 sets ; Gear Case TD40 9T - 55 pcs. ; Carburetor TD40 - 55 pcs. ; Pin Stick Bearing TD40 - 30 pcs. ; Grass Cutter Fuel Tank TD40 - 55 pcs. </t>
  </si>
  <si>
    <t xml:space="preserve"> CONSTRUCTION OF FARM TO MARKET ROAD AND PURCHASE OF MATERIALS FOR WATER WORKS SYSTEM</t>
  </si>
  <si>
    <t xml:space="preserve"> PHILIPPINE DEPOSIT INSURANCE CORPORATION Makati City REQUEST FOR EXPRESSION OF INTEREST FOR THE ENGAGEMENT OF A CONSULTING SERVICE PROVIDER (CSP) FOR THE REVIEW AND DESIGN OF THE INFORMATION TECHNOLOGY (ITG) STRUCTURE &amp; STRATEGY 1.	The Philippine Deposit </t>
  </si>
  <si>
    <t xml:space="preserve"> Purchase of fertilizer</t>
  </si>
  <si>
    <t xml:space="preserve"> I.    30.25 cu.m.   Item 105,  201 Base Preparation and Gravel Bedding II.   44.00 cu.m.   Item 311 PCCP III.  13.20 cu.m.   Item SPL - Gravel Shoulder IV.   ALL    L.S.      Construction Safety &amp; Health Program Labor OCM/Cp/VAT</t>
  </si>
  <si>
    <t xml:space="preserve"> INVITATION TO BID FOR  Procurement of Goods [ICT and Office Equipment] The   City Government of Tagbilaran,   through the Special Education Fund for FY 2020, intends to apply the sum of Five Million Pesos only (Php5,000,000.00)being the  Approved Budget f</t>
  </si>
  <si>
    <t xml:space="preserve"> Job Order for Repair of Municipal Nursery (MGSO) at Municipal Hall Site, Binuangan, Maco, Davao de Oro</t>
  </si>
  <si>
    <t xml:space="preserve"> 1 unit Projector with Tripod with 16GB Flash Drive																	           - 3 LCD, 3300 Ansi Lumens, Optical lens, 																	             Connectivity-USB, SVGA																	 1 unit DSLR Camera - 18-55 MM Lens																	           - 24</t>
  </si>
  <si>
    <t xml:space="preserve"> General Housekeeping Services for GSIS Head Office and QC BO</t>
  </si>
  <si>
    <t xml:space="preserve"> 1. The MLGU-Pasil, now invites bids for the REHABILITATION  OF SAMMUKI-PULAG WATER WORKS SYSTEM. The project is located at Pugong, Pasil, Province of Kalinga. The following are the Item of Works;					 					 	ITEM NO.	DESCRIPTION	QUANTITY	UNIT	 	103	Excava</t>
  </si>
  <si>
    <t xml:space="preserve"> Construction Projects-Construction of Daycare Center, Brgy. Maticdum, Tandag City</t>
  </si>
  <si>
    <t xml:space="preserve"> Republic of the Philippines Province of Davao de Oro BIDS AND AWARDS COMMITTEE Cabidianan, Nabunturan, Davao de Oro ITB No. 20-030 August 12, 2020 INVITATION TO BID  FOR  THE Procurement of 319 sacks of rice (well milled) 50kgs./sack 1.	The Provincial Gov</t>
  </si>
  <si>
    <t xml:space="preserve"> 4CL				3CL			 LOT B. P 1,866,821.00		QTY	Previous Price	Proposed Price	Total Price	QTY	Previous Price	Proposed Price	Total Price 1. FULL DRESS GALA W/BELL 									 BUTTONS, Upper materials: England 	set	1							 Wool,Midnight Blue; Pants materials:						</t>
  </si>
  <si>
    <t xml:space="preserve"> Republic of the Philippines Province of Davao de Oro BIDS AND AWARDS COMMITTEE Cabidianan, Nabunturan, Davao de Oro ITB No. 20-030 August 12, 2020 INVITATION TO BID  FOR  THE Procurement of spareparts 1.	The Provincial Government of Davao de Oro, through </t>
  </si>
  <si>
    <t xml:space="preserve"> Republic of the Philippines BIDS AND AWARDS COMMITTEE Province of Iloilo Invitation to Bid PURCHASE OF MEDICAL OXYGEN Bid No. SDH-20-0978-B 1. The Iloilo Provincial Government, through the GENERAL FUND 2020 intends to apply the sum of NINE HUNDRED THOUSAN</t>
  </si>
  <si>
    <t xml:space="preserve"> Republic of the Philippines Province of Davao de Oro BIDS AND AWARDS COMMITTEE Cabidianan, Nabunturan, Davao de Oro ITB No. 20-030 August 12, 2020 INVITATION TO BID  FOR  THE Procurement of various office supplies 1.	The Provincial Government of Davao de </t>
  </si>
  <si>
    <t xml:space="preserve"> Invitation to Apply for Eligibility and to Bid The barangay Payag, San Pablo, Zamboanga del Sur, through its Bids &amp; Awards Committee (BAC) invites suppliers to apply and to bid for the hereunder project: Name of Project: Repair of Hanging Bridge Location:</t>
  </si>
  <si>
    <t xml:space="preserve"> 1. The MLGU-Pasil, now invites bids for the CONSTRUCTION OF SAMMUKI-POLAG DRAINAGE CANAL. The project is located at Pugong, Pasil, Province of Kalinga. The following are the Item of Works;					 					 	ITEM NO.	DESCRIPTION	QUANTITY	UNIT	 	103	Excavation 	 </t>
  </si>
  <si>
    <t xml:space="preserve"> INVITATION TO BID 	 Date: August 17, 2020 1.	The Provincial Government of Davao Occidental, through its Bids and Awards Committee (BAC), invites all potential contractors to apply to bid for the following infrastructure projects: IB NO.	Description	ABC	So</t>
  </si>
  <si>
    <t xml:space="preserve"> Cartolina etc. NOTE:To all suppliers bid documents and BAC Resolution 2020-029 are available at BAC Office and LGU website.</t>
  </si>
  <si>
    <t xml:space="preserve"> HBA1C Test  etc. NOTE:To all suppliers bid documents and BAC Resolution 2020-029 are available at BAC Office and LGU website.</t>
  </si>
  <si>
    <t xml:space="preserve"> Republic of the Philippines Province of Davao de Oro BIDS AND AWARDS COMMITTEE Cabidianan, Nabunturan, Davao de Oro ITB No. 20-030 August 12, 2020 INVITATION TO BID  FOR  THE Procurement of food supplies (grocery items) 1.	The Provincial Government of Dav</t>
  </si>
  <si>
    <t xml:space="preserve"> Republic of the Philippines Department of Education 		DIVISION OF MAASIN CITY Government Center, Combado, Maasin City Tel No. (053) 381-3014 Fax Number (053) 570-8066 maasin.city@deped.gov.ph Project No.: 2020-ADM-08-002 INVITATION TO BID FOR  1.	 The Dep</t>
  </si>
  <si>
    <t xml:space="preserve"> Payao -Fish Shelter etc. NOTE:To all suppliers bid documents and BAC Resolution 2020-029 are available at BAC Office and LGU website.</t>
  </si>
  <si>
    <t xml:space="preserve"> 1	Coffee Dehuller Power 8 HP engine 5 to 7 sacks per hour with sifter and blower</t>
  </si>
  <si>
    <t xml:space="preserve"> Republic of the Philippines Bangsamoro Autonomous Region in Muslim Mindanao Provincial Government of Maguindanao BIDS AND AWARDS COMMITTEE Buluan, Maguindanao INVITATION TO BID FOR SUPPLY AND DELIVERY OF LEARNING MATERIALS 1.	The Provincial Government of </t>
  </si>
  <si>
    <t xml:space="preserve"> Construction of Two (2) Storey Registrar's Office Building of SDSSU Lianga Campus</t>
  </si>
  <si>
    <t xml:space="preserve"> 1.	The Office of the Chief Minister-Bangsamoro Autonomous Region in Muslim Mindanao (OCM-BARMM), through the 2020 Bangsamoro Appropriation Act (BAA) intends to apply the sum of Five Million Four Hundred Thousand Pesos (PHP5, 400,000.00) being the Approved</t>
  </si>
  <si>
    <t xml:space="preserve"> INVITATION TO BID The Municipality of Pagsanjan, through its Bids and Awards Committee (BAC), interested contractors registered to apply for eligibility and if found eligible, to bid for the hereunder contract: 	 Name of Contract: 	Procurement of Digital </t>
  </si>
  <si>
    <t xml:space="preserve"> RENTAL OF TWO (2) VEHICLES INCURRED				 IN TRANSPORTING LOCALLY STRANDED				 83,000.00  INDIVIDUALS (LSI)				 2017 TOYOTA HI ACE COMMUTER		10	TRIPS	 2019 HYUNDAI H100		10	TRIPS</t>
  </si>
  <si>
    <t xml:space="preserve"> Department of Public Works and Highways Iloilo 4th District Engineering Office Sta. Barbara, Iloilo Tel. Nos. 523-4557 – 523-93-40 INVITATION   TO   BID   FOR   THE   SUPPLY/DELIVERY OF VARIOUS  SPARE PARTS FOR USE IN THE REPAIR OF MITSUBISHI ROAD GRADER </t>
  </si>
  <si>
    <t xml:space="preserve"> One (1) job Furnishing of Labor and Materials for the Repair of Farm to Market Road at Brgy. Patlad, Dumangas, Iloilo</t>
  </si>
  <si>
    <t xml:space="preserve"> Disinfectant Solution etc. NOTE:To all suppliers bid documents and BAC Resolution 2020-029 are available at BAC Office and LGU website.</t>
  </si>
  <si>
    <t xml:space="preserve"> Line BIDDING	 			 1	unit	Suction machine portable	 6,000.00  		Specs: oil free lubrication pump	 		square negative pressure dial	 		large reservoir bottle at 1000ml	 		low noise	 		Power supply: AC 220V± 10% 50Hz± 2%	 		Input power: 44VA	 		Power: £ 90 VA</t>
  </si>
  <si>
    <t xml:space="preserve"> One (1) Lot - Repair , Repainting and Rehabilitation of Control Circuit of Primary and Secondary Gates  per BSP specifications, Terms of Reference and Scope of Work (SOW)</t>
  </si>
  <si>
    <t xml:space="preserve"> MAHAYAG NHS</t>
  </si>
  <si>
    <t xml:space="preserve"> Republic of the Philippines																 PROVINCE OF ZAMBOANGA SIBUGAY																 Municipality of Payao																 Barangay Bulacan																 INVITATION TO BID																 										PR2020-08-17-006						 The Barangay Bulacan of Pay</t>
  </si>
  <si>
    <t xml:space="preserve"> Supply and Delivery of Executive Table, Executive Chair and Smart TV for the office of Assistant Secretary for Legal and Overseas Operation TECHNICAL SPECIFICATIONS:  Executive Table:  (Php 50,000.00) - 1 pc. Dimension: 84” x 34” -	With Mobile Pedestal, l</t>
  </si>
  <si>
    <t xml:space="preserve"> 1. 2   heads - Buck (Boer) 7 mos. old 20 kgs. each upgraded  in Health Condition &amp; without Any abnormalities. 2. 10 heads - Doe (Boer) 7 mos. old 20 kgs. each upgraded  in Health Condition &amp; without Any abnormalities. Requirements:  2020 PhilGeps Registra</t>
  </si>
  <si>
    <t xml:space="preserve"> Request for Quotation PR. No.:2020-07-462 Sir/ Madam: Please quote your lowest price on the item/s listed below, stating the shortest time of delivery and submit your quotation duly signed by your representative not later than the set deadline at the BAC </t>
  </si>
  <si>
    <t xml:space="preserve"> INVITATION TO BID FOR THE CONTRACT ID: 20-08-112 Contract Name: PROCUREMENT OF VARIOUS DRUGS AND MEDICINES Approved Budget for the Contract (ABC) : Php      1,047,832.39 Cost of Bidding Documents :  5,000.00 1.	The DOH-Zamboanga Peninsula - Center for Hea</t>
  </si>
  <si>
    <t xml:space="preserve"> Republic of the Philippines BIDS AND AWARDS COMMITTEE Province of Iloilo Invitation to Bid PURCHASE OF MEDICAL SUPPLIES Bid No. IPH-20-0685-B 1. The Iloilo Provincial Government, through the GENERAL FUND 2020 intends to apply the sum of ONE HUNDRED SEVENT</t>
  </si>
  <si>
    <t xml:space="preserve"> Name of Project: Supply, Delivery, Testing, Installation and Commissioning of One (1) unit-130KVA Brand New, Skid Mounted Diesel Engine Generator Set for San Vicente Pumping Station Approved Budget for the Contract: Php 1,500,000.00 Delivery Period; withi</t>
  </si>
  <si>
    <t xml:space="preserve"> The Municipality of Pulilan, Bulacan, through its Bids and Awards Committee (BAC), invites prospective bidders/Supplier to apply for eligibility and shortlisting and if found eligible and shortlisted, to bid for Purchase of Additional Instructional Materi</t>
  </si>
  <si>
    <t xml:space="preserve"> Republic of the Philippines														 PROVINCE OF ZAMBOANGA SIBUGAY														 Municipality of Payao														 Barangay Upper Sumilong														 														 INVITATION TO BID														 										PR2020-08-18-004				 The Barangay Uppe</t>
  </si>
  <si>
    <t xml:space="preserve"> City Engineer's Office P.R. No. : 2020-08-3067 Date: 08/06/2020 31,200.00 GE KV2C+ kWh meter (un-program) with T, K &amp; R softswitch form 9s with ERC seal &amp; sticker with battery hatched 1 unit 1 2 1 unit Meter base 13 jaws 13,500.00 140,400.00 Current trans</t>
  </si>
  <si>
    <t xml:space="preserve"> Security Services Provider of Three (3) Security Guards at RELC, Cabatangan and DepEd Satelite Office, Normal Road, Baliwasan, Zamboanga City			 1 Guard Night Shift - RELC Cabatangan, ZC			 2 Guards Morning &amp; Evening Shift - Satelite Office, ZC			 Php 15,</t>
  </si>
  <si>
    <t xml:space="preserve"> Improvement of Barangay  Multi-Purpose Hall</t>
  </si>
  <si>
    <t xml:space="preserve"> Construction Projects</t>
  </si>
  <si>
    <t xml:space="preserve"> Republic of the Philippines								 Department of Education								 R4B MiMaRoPa								 Division Of Occidental Mindoro								 PEDRO T. MENDIOLA SR., MEMORIAL NATIONAL HIGH SCHOOL								 National Road, Bagong Sikat, San Jose, Occidental Mindoro								 </t>
  </si>
  <si>
    <t xml:space="preserve"> The Bids and Awards Committee							 Province of Iloilo							 							      In connection with your Invitation to Bid No. PEO-20-0962-B scheduled on September 9, 2020, I/we proposed to furnish and deliver in conformity with the terms and conditions, and s</t>
  </si>
  <si>
    <t xml:space="preserve"> Heavy Duty Fast Speed Full Color Printer Line-Inkjet System Inks and Staple Wire</t>
  </si>
  <si>
    <t xml:space="preserve"> Republic of the Philippines BIDS AND AWARDS COMMITTEE Province of Iloilo Invitation to Bid Purchase of Office Equipment Bid No. GOV-20-0477-B 1. The Iloilo Provincial Government, through the GENERAL FUND 2020 intends to apply the sum of ONE HUNDRED SIXTY </t>
  </si>
  <si>
    <t xml:space="preserve"> The Municipality of Pulilan, Bulacan, through its Bids and Awards Committee (BAC), invites prospective bidders/Supplier to apply for eligibility and shortlisting and if found eligible and shortlisted, to bid for Purchase of Rubber Boat with Outboard Motor</t>
  </si>
  <si>
    <t xml:space="preserve"> The Bids and Awards Committee							 Province of Iloilo							 							      In connection with your Invitation to Bid No. PEO-20-0963-B scheduled on August 26, 2020, I/we proposed to furnish and deliver in conformity with the terms and conditions, and spe</t>
  </si>
  <si>
    <t xml:space="preserve"> The Municipality of Pulilan, Bulacan, through its Bids and Awards Committee (BAC), invites prospective bidders/Supplier to apply for eligibility and shortlisting and if found eligible and shortlisted, to bid for Purchase of Bond Paper for School Modules (</t>
  </si>
  <si>
    <t xml:space="preserve"> INVITATION TO BID 17 August 2020 The Barangay Caldong through its Bids and Awards Committee (BAC) invites suppliers/manufacturers/distributors/contractors to apply for eligibility to bid for the hereunder project: Name of Project	:	SUPPLY AND DELIVERY OF </t>
  </si>
  <si>
    <t xml:space="preserve"> The Bids and Awards Committee							 Province of Iloilo							 							      In connection with your Invitation to Bid No. PEO-20-0961-B scheduled on August 26, 2020, I/we proposed to furnish and deliver in conformity with the terms and conditions, and spe</t>
  </si>
  <si>
    <t xml:space="preserve"> FUND SOURCE: 20% PDF 2020 TYPES OF WORK TO BE DONE: Project billboard/ signboard/ occupational safety and health program/ water closet with complete accessories/ lavatory with complete accessories/ cold water lines and fittings/ unglaze tiles/ glaze tiles</t>
  </si>
  <si>
    <t xml:space="preserve"> SEE ATTACHED INVITATION TO BID, BIDDING DOCS, CHECKLIST</t>
  </si>
  <si>
    <t xml:space="preserve"> INVITATION TO BID FOR  Procurement of Goods [Pocket WiFi with Prepaid Sim] The   City Government of Tagbilaran,   through the TRUST FUND (Tagbilaran City College), intends to apply the sum of One Million Three Hundred Twenty Two Thousand Five Hundred Peso</t>
  </si>
  <si>
    <t xml:space="preserve"> Republic of the Philippines BIDS AND AWARDS COMMITTEE Province of Iloilo Invitation to Bid Purchase of Motorcycle Bid No. AGR-20-0992-B 1. The Iloilo Provincial Government, through the GENERAL FUND 2020 intends to apply the sum of TWO HUNDRED ONE THOUSAND</t>
  </si>
  <si>
    <t xml:space="preserve"> Republic of the Philippines PROVINCE OF ZAMBOANGA DEL NORTE BIDS AND AWARDS COMMITTEE (BAC) BAC Conference Room, Capitol Building, Brgy. Extaka, Dipolog City Tel. # (065) 212-6492 Telefax # (065) 212-6492                                                   </t>
  </si>
  <si>
    <t xml:space="preserve"> Republic of the Philippines PROVINCE OF CAMIGUIN Mambajao, Camiguin  OFFICE OF THE BIDS AND AWARDS COMMITTEE (BAC) INVITATION TO BID The Provincial Government of Camiguin through its Bids and Awards Committee (BAC) invites all interested and qualified con</t>
  </si>
  <si>
    <t xml:space="preserve"> Upgrading/Concreting of Barangay Road  (Sta. Catalina, San Luis, Pampanga) Net Length: 160.00 lin. m Part B- Other General Requirements Part C- Earthworks Part D- Sub-Base and Base Course Part E- Surface Courses</t>
  </si>
  <si>
    <t xml:space="preserve"> 1.	296	PCS. 12 MM DIA. DSB				 2.	148	PCS. 9 MM DIA. DSB				 3.	37	KGS. No.16 TIE WIRE			 4.	236	BAGS PORTLAND CEMENT				 5.	940	PCS. 4 X 8 X 16 CHB				 6.	113	PCS. 10 MM DIA. DSB			 7.	2	PCS. CUTTING DISC				 8.	450	BDFT 2 X 3 X 12 COCO LUMBER				 9.	300</t>
  </si>
  <si>
    <t xml:space="preserve"> Purchase Assorted Office Supplies and Office Equipment</t>
  </si>
  <si>
    <t xml:space="preserve"> Republic of the Philippines BIDS AND AWARDS COMMITTEE Province of Iloilo Invitation to Bid Purchase of Generator Set Bid No. GOV-20-0990-B 1. The Iloilo Provincial Government, through the GENERAL FUND 2020 intends to apply the sum of TWO HUNDRED THOUAND P</t>
  </si>
  <si>
    <t xml:space="preserve"> 1 lot Command Center for Public Safety and Disaster Preparedness</t>
  </si>
  <si>
    <t xml:space="preserve"> Republic of the Philippines PROVINCIAL GOVERNMENT OF EASTERN SAMAR Capitol Building, Borongan, Eastern Samar, 6800 Tel No. (055)-560-8312 E-mail Address: esamar.bac@gmail.com BIDS AND AWARDS COMMITTEE (BAC) INVITATION TO BID FOR CONSTRUCTION OF NEW CAPITO</t>
  </si>
  <si>
    <t xml:space="preserve"> FUND SOURCE: 20% PDF 2020 TYPES OF WORK TO BE DONE:  Project billboard/ signboard/ occupational safety and health program/ structure excavation (common earth)/ embankment (from excavation for structure) manual/ PCC pavement (plain)- conventional method, 1</t>
  </si>
  <si>
    <t xml:space="preserve"> 2 units Mini- Excavator with dozer</t>
  </si>
  <si>
    <t xml:space="preserve"> Republic of the Philippines CITY GOVERNMENT OF ANTIPOLO Antipolo City INVITATION TO BID For the Supply &amp; Delivery of Medical Ambulance The City Government of Antipolo, through the General Fund intends to apply the sum of P 5,400,000.00 being the Approved </t>
  </si>
  <si>
    <t xml:space="preserve"> The City Government of Malolos, through its BIDS and AWARDS COMMITTEE (BAC) Invites Suppliers/Manufacturers/Distributors to Bid for hereunder procurement:  PR No. : GSO-2020-05-647 Name of Project : IMPROVEMENT/REHABILITATION OF DRAINAGE AT PILANDORA ST.,</t>
  </si>
  <si>
    <t xml:space="preserve"> Republic of the Philippines National Kidney and Transplant Institute Bids and Awards Committee East Avenue, Quezon City 1100 981-0300 / 981-0400 local 1157 http://www.nkti.gov.ph/	 INVITATION TO BID for the ITB No. 20-076 RE-BIDDING FOR ONE (1) LOT SUPPLY</t>
  </si>
  <si>
    <t xml:space="preserve"> CALABANGA WATER DISTRICT San Antonio, Calabanga, Camarines Sur Invitation to Bid for Distribution Line Expansion at Brgy. Bonot Sta. Rosa– Labor and Materials 1.	The Calabanga Water District, through the Corporate Budget FY 2020 intends to apply the sum o</t>
  </si>
  <si>
    <t xml:space="preserve"> Interested suppliers/dealers are invited to a sealed bidding to open in the presence of bidders at the Office of the Municipal Engineer, Catmon, Cebu for infrastructure. (See attached advertisement of bids). Name of Project	: 1. Fullway Road Concreting of</t>
  </si>
  <si>
    <t xml:space="preserve"> The City Government of Malolos, through its BIDS and AWARDS COMMITTEE (BAC) Invites Suppliers/Manufacturers/Distributors to Bid for hereunder procurement:  PR No. : GSO-2020-07-988 Name of Project : CONSTRUCTION OF ROAD AND DRAINAGE OF CITY GOVERNMENT CEN</t>
  </si>
  <si>
    <t xml:space="preserve"> The City Government of Malolos, through its BIDS and AWARDS COMMITTEE (BAC) Invites Suppliers/Manufacturers/Distributors to Bid for hereunder procurement:  PR No. : GSO-2020-07-1003 Name of Project : CONSTRUCTION OF BARANGAY HEALTH STATION AT BARANGAY SAN</t>
  </si>
  <si>
    <t xml:space="preserve"> The City Government of Malolos, through its BIDS and AWARDS COMMITTEE (BAC) Invites Suppliers/Manufacturers/Distributors to Bid for hereunder procurement:  PR No. : GSO-2020-02-211 Name of Project : CONSTRUCTION OF BARANGAY HEALTH CENTER AT BARANGAY MAMBO</t>
  </si>
  <si>
    <t xml:space="preserve"> Republic of the Philippines Local Government Unit of Gubat Gubat, Sorsogon INVITATION TO BID FOR THE REHABILITATION OF PAMANA TERMINAL BUILDING PHASE II 1.	The Local Government Unit of Gubat, through its General Fund intends to apply the sum of One Millio</t>
  </si>
  <si>
    <t xml:space="preserve"> Republic of the Philippines BIDS AND AWARDS COMMITTEE Province of Iloilo Invitation to Bid Purchase of AGRICULTURAL SUPPLIES Bid No. AGR-20-0994-B 1. The Iloilo Provincial Government, through the GENERAL FUND 2020 intends to apply the sum of NINETY-ONE TH</t>
  </si>
  <si>
    <t xml:space="preserve"> 1 lot Streetlights</t>
  </si>
  <si>
    <t xml:space="preserve"> LANAO DEL NORTE 1ST DISTRICT ENGINEERING OFFICE 0054 Seminary Drive, Del Carmen, Iligan City Tel./Fax No. (063) 225-4244 INVITATION TO BID The __DPWH-Lanao del Norte 1st District Engineering Office, through its Bids and Awards Committee (BAC), invites con</t>
  </si>
  <si>
    <t xml:space="preserve"> 60 ream Bond Paper 8.5 x 11" 5 ream Bond Paper 8.5x13" 5 ream Bond Paper A4 6 btl Epson Ink 664 Black 1 btl Epson Ink 664 Yellow 1 btl Epson Ink 664 Cyan 1 btl Epson Ink 664 Magenta 2 bxs Staple Wire #35 30 pcs Expanded Envelope 10 pcs Document Keeper Har</t>
  </si>
  <si>
    <t xml:space="preserve"> IMPROVEMENT OF CABUAAN PATHWAY, PARACELIS FUND SOURCE : 20% PD2F 2020 TYPES OF WORK TO BR DONE: Project billboard/ signboard/ occupational safety and health program/ clearing and grubbing/ reinforcing steel/ formworks/ concrete works (R.C column footing a</t>
  </si>
  <si>
    <t xml:space="preserve"> 1.	3,000	LTRS. DIESEL FUEL				 2.	16	LTRS. OIL				 PURPOSE: FOR REHABILITATION AND IMPROVEMENT OF DINASAN TO LIPAY ROAD, JOSE DALMAN, ZAMBOANGA DEL NORTE. The complete schedule of activities is listed, as follows:							 							 		Activities			        Sch</t>
  </si>
  <si>
    <t xml:space="preserve"> Procurement of Agricultural Supplies and Inputs for the Sustainable Land Resource Management Approach in Developing Agro-environmental Potential of Vulnerable Uplands and Hilly Land Delivery of the following items: 1.	Corn Seeds (genuity DK 6919S) - 80 ba</t>
  </si>
  <si>
    <t xml:space="preserve"> CONTINUATION OF MALIGCONG SCHOOL FUND SOURCE: 20% PDF 2020 FUND SOURCE: Project billboard/ signboard/ occupational safety and health program/ steel doors and frames/ pebble washout finish CONSTRUCTION OF SITIO FAVUYAN WATER SEALED PUBLIC TOILET, MALIGCONG</t>
  </si>
  <si>
    <t xml:space="preserve"> Republic of the Philippines BIDS AND AWARDS COMMITTEE Province of Iloilo Invitation to Bid Purchase of Animal Feeds Bid No. AGR-20-0995-B 1. The Iloilo Provincial Government, through the GENERAL FUND 2020 intends to apply the sum of THREE HUNDRED SIXTEEN </t>
  </si>
  <si>
    <t xml:space="preserve"> CONSTRUCTION OF PAO FOOTBRIDGE, OTUCAN SUR, BAUKO FUND SOURCE: 20% PDF 2020 TYPES OF WORK TO BE DONE: Project billboard/ signboard/ occupational safety and health program/ clearing and grubbing/ structure excavation (man.excv.com.soil)/ grouted riprap (cl</t>
  </si>
  <si>
    <t xml:space="preserve"> INVITATION TO REBID FOR THE PROCUREMENT OF SUPPLY &amp; DELIVERY OF 5,500 HEADS NATIVE CHICKEN     1.	The Department of Agriculture Regional Field Office 6 through the General Appropriations Act (GAA) of 2020 intends to apply the sum of Three Million Three Hu</t>
  </si>
  <si>
    <t xml:space="preserve"> The Bids and Awards Committee								 Province of Iloilo								 								      In connection with your Invitation to Bid No. PEO-20-0926-B  scheduled on August 26, 2020, I/we proposed to furnish and deliver in conformity with the terms and conditions, and</t>
  </si>
  <si>
    <t xml:space="preserve"> INVITATION TO BID FOR  Procurement of Goods [3 Months Prepaid Load] The   City Government of Tagbilaran,   through the TRUST FUND (Tagbilaran City College), intends to apply the sum of One Million Two Hundred Forty Seven Thousand Four Hundred Pesos only (</t>
  </si>
  <si>
    <t xml:space="preserve"> INVITATION TO BID FOR THE PROCUREMENT OF SUPPLY &amp; DELIVERY OF 1,076 BAGS FERTILIZER     1.	The Department of Agriculture Regional Field Office 6 through the General Appropriations Act (GAA) of 2020 intends to apply the sum of One Million One Hundred Twent</t>
  </si>
  <si>
    <t xml:space="preserve"> CY 2020 BEFF REPAIR AND REHABILITATION OF CLASSROOMS (BATCH 2) 24 SCHOOLS Dela Paz Norte ES Panipuan ES Sindalan ES San Juan South ES San Pedro ES Pampanga HS Lara Integrated School Baliti IS San Isidro IS Saguin IS Telabastagan IS Maimpis IS Del Carmen I</t>
  </si>
  <si>
    <t xml:space="preserve"> Republic of the Philippines BIDS AND AWARDS COMMITTEE Province of Iloilo Invitation to Bid Purchase of DESKTOP SIMULATOR AND 3D PRINTER Bid No. PPD-20-0957-B 1. The Iloilo Provincial Government, through the GENERAL FUND 2020 intends to apply the sum of  T</t>
  </si>
  <si>
    <t xml:space="preserve"> REPUBLIC OF THE PHILIPPINES PROVINCE OF CEBU MUNICIPALITY OF PINAMUNGAJAN Invitation to Bid for: COMPLETION OF MULTI-PURPOSE BUILDING (at Brgy. Rizal) 1. The MUNICIPALITY OF PINAMUNGAJAN, through the 20% DEV’T. FUND(LGU Fund – 600,000.00)&amp; BRGY. FUND – 84</t>
  </si>
  <si>
    <t xml:space="preserve"> Negotiated Procurement No. 2020-25 (GAS) NOTICE FOR NEGOTIATED PROCUREMENT The Department of Agriculture, Western Visayas, Iloilo City invites all suppliers/distributors to participate in the NEGOTIATION for the Procurement of Supply &amp; Delivery of Piglets</t>
  </si>
  <si>
    <t xml:space="preserve"> REPUBLIC OF THE PHILIPPINES PROVINCE OF CEBU MUNICIPALITY OF PINAMUNGAJAN Invitation to Bid for:  CONSTRUCTION OF SPILLWAY AT LOWER CAMPO, POBLACION 	 1.The MUNICIPALITY OF PINAMUNGAJAN, through the GENERAL FUND  intends to apply the sum of ONE MILLION PE</t>
  </si>
  <si>
    <t xml:space="preserve"> See attached at the Back of the Invitation to Bid (ITB)</t>
  </si>
  <si>
    <t xml:space="preserve"> 1.	The Municipality of Caraga, through the Gender and Development Fund  2020 intends to apply the sum of Nine Hundred Ninety Nine Thousand Nine Hundred Ninety Eight 66/100  (999,998.66) being the Approved Budget for the Contract (ABC) to payments under th</t>
  </si>
  <si>
    <t xml:space="preserve"> Item Description 	Unit	Quantity Nutripack: Pasta Cheese Flavor	pc	34098 Nutripack: Chicken Macaroni Soap	pc	34098 Nutripack: Chicken Rice Porridge	pc	34098 Nutripack: Champorado	pc	34098 Nutripack: Beef Rice Porridge	pc	34098 Note: *Free delivery at Divis</t>
  </si>
  <si>
    <t xml:space="preserve"> Concreting of 710 linear meter of barangay road</t>
  </si>
  <si>
    <t xml:space="preserve"> Purchase of Various Medicines for RHU *See attached file for the list of medicines</t>
  </si>
  <si>
    <t xml:space="preserve"> Rehabilitation/Improvement of Maintenance of SB Building/Construction of Children's Library at Barangay 2, San Luis, Aurora</t>
  </si>
  <si>
    <t xml:space="preserve"> a. CONTRACT ID: RIZAL-04SEPTEMBER2020-2 b. NAME OF PROJECT: Construction of Ynares Stage at Dr. Vivencio Villamayor Integrated School, Brgy. San Isidro, Angono, Rizal c. LOCATION: Brgy. San Isidro, Angono, Rizal d. BRIEF DESCRIPTION: Construction of Ynare</t>
  </si>
  <si>
    <t xml:space="preserve"> Construction of evacuation center which includes finishing works, plumbing/ sanitary works and electrical</t>
  </si>
  <si>
    <t xml:space="preserve"> Republic of the Philippines PROVINCE OF CAMIGUIN Mambajao, Camiguin -ooOoo- OFFICE OF THE BIDS AND AWARDS COMMITTEE  INVITATION TO BID The Provincial Government of Camiguin through its Bids and Awards Committee (BAC) invites all interested and qualified b</t>
  </si>
  <si>
    <t xml:space="preserve"> 2700 linear meter of pipes laying for water system at Barangay Dimanayat</t>
  </si>
  <si>
    <t xml:space="preserve"> Completion of building which includes roof framing and roofing works</t>
  </si>
  <si>
    <t xml:space="preserve"> INVITATION TO BID FOR the Procurement of LIQUID CHROMATOGRAPHY-TANDEM MASS SPECTROMETRY (MS/MS) SYSTEM with Ref# 2020-08-10 1.	The FOOD AND NUTRITION RESEARCH INSTITUTE, through the GIA project entitled “Exposure Assessment of Food Chemical Contamination </t>
  </si>
  <si>
    <t xml:space="preserve"> INVITATION TO BID FOR the Procurement of Assorted Technical and Scientific Equipment with Ref# 2020-08-09 1.	The FOOD AND NUTRITION RESEARCH INSTITUTE, through the “2020 GAA-Expanded NNS” intends to apply the sum of SEVEN MILLION FIVE HUNDRED TWENTY SEVEN</t>
  </si>
  <si>
    <t xml:space="preserve"> Supply and delivery of meals for 576 persons at the quarantine facilities of the Municipality of San Luis, Aurora (3 meals per day for 14 day-quarantine of each person)</t>
  </si>
  <si>
    <t xml:space="preserve"> Republic of the Philippines PROVINCE OF ZAMBALES IBA BIDS AND AWARDS COMMITTEE Invitation to Bid for the Construction of Office, Locker &amp; Shower Room and Pool Pump Room at Zambales Sports Center Phase 2, Iba 1.	The Province of Zambales, through the Genera</t>
  </si>
  <si>
    <t xml:space="preserve"> Purchase of GT 4WD A/T service vehicle for the municipality of San Luis, Aurora (overall length mm - 4785, overall width - 1815 mm, overall height mm - 1805, wheelbase mm 2800, tread front/ rear 1520,1515) Performance: turning radius (m) 5.6, wading depth</t>
  </si>
  <si>
    <t xml:space="preserve"> a. CONTRACT ID: RIZAL-04SEPTEMBER2020-4 b. NAME OF PROJECT: Improvement of Ynares Multi-Purpose Covered Court and Stage at Montevilla Subd., Brgy. Bilibiran, Binangonan, Rizal c. LOCATION: Brgy. Bilibiran, Binangonan, Rizal d. BRIEF DESCRIPTION: Improveme</t>
  </si>
  <si>
    <t xml:space="preserve"> Construction of 23 lm of flood control at Barangay Dibayabay</t>
  </si>
  <si>
    <t xml:space="preserve"> Construction of 136 lm of concrete lining at Sitio Diotorin</t>
  </si>
  <si>
    <t xml:space="preserve"> a. CONTRACT ID: RIZAL-04SEPTEMBER2020-20 b. NAME OF PROJECT: Construction/Provision of Wash Facilities (Water, Sanitation &amp; Hygiene) for Evacuation Center at Hulo National High School, Pililla, Rizal c. LOCATION: Pililla, Rizal d. BRIEF DESCRIPTION: Wash </t>
  </si>
  <si>
    <t xml:space="preserve"> a. CONTRACT ID: RIZAL-04SEPTEMBER2020-1a b. NAME OF PROJECT: Improvement/Repair of Ynares Multi-Purpose Covered Court &amp; Improvement of Perimeter Fence at Brgy. Sta. Cruz &amp; Brgy. Dela Paz, Antipolo City a) Improvement of Ynares Multi-Purpose Covered Court </t>
  </si>
  <si>
    <t xml:space="preserve"> a. CONTRACT ID: RIZAL-04SEPTEMBER2020-21 b. NAME OF PROJECT: Construction/Provision of Wash Facilities (Water, Sanitation &amp; Hygiene) for Evacuation Center at Hulo Elem. School, Pililla, Rizal c. LOCATION: Pililla, Rizal d. BRIEF DESCRIPTION: Wash Faciliti</t>
  </si>
  <si>
    <t xml:space="preserve"> a. CONTRACT ID: RIZAL-04SEPTEMBER2020-19 b. NAME OF PROJECT: Construction/Provision of Wash Facilities (Water, Sanitation &amp; Hygiene) for Evacuation Center at URS Pililla, Pililla, Rizal c. LOCATION: Pililla, Rizal d. BRIEF DESCRIPTION: Wash Facilities. e.</t>
  </si>
  <si>
    <t xml:space="preserve"> a. CONTRACT ID: RIZAL-04SEPTEMBER2020-15 b. NAME OF PROJECT: Construction/Provision of Wash Facilities (Water, Sanitation &amp; Hygiene) for Evacuation Center at Sipsipin Elem. School, Jalajala, Rizal c. LOCATION: Jalajala, Rizal d. BRIEF DESCRIPTION: Wash Fa</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</si>
  <si>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</si>
  <si>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a. CONTRACT ID: RIZAL-04SEPTEMBER2020-14 b. NAME OF PROJECT: Construction/Provision of Wash Facilities (Water, Sanitation &amp; Hygiene) for Evacuation Center at Bagumbong Elem. School, Jalajala, Rizal c. LOCATION: Jalajala, Rizal d. BRIEF DESCRIPTION: Wash F</t>
  </si>
  <si>
    <t xml:space="preserve"> Description I.	Sign Board II.	Clearing &amp; Grubbing III.	Subgrade Preparation &amp; Base Correction IV.	Filling Materials V.	Aggregate Sub Base Course VI.	Aggregate Base Course (+10% Shrinkage) VII.	Portland Cement Concrete Pavement VIII.	Formworks IX.	Shoulder</t>
  </si>
  <si>
    <t xml:space="preserve"> a. CONTRACT ID: RIZAL-04SEPTEMBER2020-11 b. NAME OF PROJECT: Improvement / Construction of Stone Masonry for Slope Protection of creek (portion), Brgy. Nagsulo, Cardona, Rizal c. LOCATION: Brgy. Nagsulo, Cardona, Rizal d. BRIEF DESCRIPTION: Slope Protecti</t>
  </si>
  <si>
    <t xml:space="preserve"> a. CONTRACT ID: RIZAL-04SEPTEMBER2020-16 b. NAME OF PROJECT: Concreting of School Ground &amp; Construction of Artesian Well at Brgy. 2nd District &amp; Brgy. Pagkalinawan, Jalajala, Rizal a) Concreting of School Ground (portion) at Jalajala National High School,</t>
  </si>
  <si>
    <t xml:space="preserve"> 1.	The Municipality of Caraga, through the BIDS AND AWARDS COMMITTEE intends to apply the sum of Seven Million Five Hundred Sixty Thousand Pesos (PhP 7,560,000.00) being the Approved Budget for the Contract (ABC) to payments under the contract for Supply </t>
  </si>
  <si>
    <t xml:space="preserve"> a. CONTRACT ID: RIZAL-04SEPTEMBER2020-10 b. NAME OF PROJECT: Concreting of creek bed at Purok 1 and Purok 2, Brgy. Balibago, Cardona, Rizal c. LOCATION: Brgy. Balibago, Cardona, Rizal  d. BRIEF DESCRIPTION: Concreting of creek bed e. MAJOR ITEM OF WORK:  </t>
  </si>
  <si>
    <t xml:space="preserve"> a. CONTRACT ID: RIZAL-04SEPTEMBER2020-9 b. NAME OF PROJECT: Repair/Repainting of Various Ynares School Building at Dalig Elem. School, Brgy. Dalig, Cardona, Rizal c. LOCATION: Brgy. Dalig, Cardona, Rizal  d. BRIEF DESCRIPTION: Repair/Repainting of Various</t>
  </si>
  <si>
    <t xml:space="preserve"> Description I.	Sign Board II.	Clearing &amp; Grubbing III.	Concrete Breaking IV.	Excavation V.	Gravel Bedding VI.	Formworks VII.	Reinforcement Works VIII.	Concrete Works IX.	Masonry Works X.	Construction Safety &amp; Health  1. Barangay Picas Tanauan, LEYTE throu</t>
  </si>
  <si>
    <t xml:space="preserve"> Republic of the Philippines Sangguniang Barangay of Bantigue Bids and Awards Committee Barangay Bantigue, Pagbilao,Quezon INVITATION TO APPLY FOR ELIGIBILITY Date: August 16, 2020 The Sangguniang Barangay of Bantigue, Pagbilao,Quezon through its Bids and </t>
  </si>
  <si>
    <t xml:space="preserve"> a. CONTRACT ID: RIZAL-04SEPTEMBER2020-8 b. NAME OF PROJECT: Repair of Ynares Multi-Purpose Covered Court, Brgy. Looc, Cardona, Rizal c. LOCATION: Brgy. Looc, Cardona, Rizal d. BRIEF DESCRIPTION: Repair of Ynares Multi-Purpose Covered Court. e. MAJOR ITEM </t>
  </si>
  <si>
    <t xml:space="preserve"> to be used by the sangguniang barangay and for the convenient of their constituent.</t>
  </si>
  <si>
    <t xml:space="preserve"> 100 lengths 10mmØ Deformed Bar 28 lengths 12mmØ Deformed Bar 16 lengths 16mmØ Deformed Bar 10 kilograms Tie Wire #16 217 bags Portland Cement 15 cubic meters Washed Sand 14 cubic meters Washed Gravel 51 cubic meters Boulders 2010 pieces CHB 4” 8 ply ¼ x 2</t>
  </si>
  <si>
    <t xml:space="preserve"> Republic of the Philippines Province of Antique MUNICIPALITY OF PANDAN INVITATION TO BID FOR: CONSTRUCTION/INSTALLATION OF STREET LIGHTINGS,  CENTRO SUR-CENTRO NORTE, PANDAN, ANTIQUE The LOCAL GOVERNMENT UNIT OF PANDAN, ANTIQUE, through the 20% Developmen</t>
  </si>
  <si>
    <t xml:space="preserve"> a. CONTRACT ID: RIZAL-04SEPTEMBER2020-18 b. NAME OF PROJECT: Construction/Provision of Wash Facilities (Water, Sanitation &amp; Hygiene) for Evacuation Center at Pililla Elem. School (Central), Pililla, Rizal c. LOCATION: Pililla, Rizal d. BRIEF DESCRIPTION: </t>
  </si>
  <si>
    <t xml:space="preserve"> Various Butchers' tools and meat processing equipment.</t>
  </si>
  <si>
    <t xml:space="preserve"> Republic of the Philippines        DEPARTMENT OF PUBLIC WORKS AND HIGHWAYS LAGUNA I  DISTRICT ENGINEERING OFFICE REGIONAL OFFICE NO. IV-A 	Santa Cruz, Laguna	            Invitation to Bid The Department of Public Works and Highways- Laguna I District Engi</t>
  </si>
  <si>
    <t xml:space="preserve"> 1 set CCTV HIKVISION H 265+1080 4mp         Hikvision hd 1000P 2MP Full Time Color 3D         COAXIALCable RJ6 w/Power 30 meters         SEAGATE ST2000VX000 3.5 2TB SKYHAWK         NVISION 32 110 240V/50 60HZ/40CD M3/3000         with installation 3 rolls</t>
  </si>
  <si>
    <t xml:space="preserve"> a. CONTRACT ID: RIZAL-04SEPTEMBER2020-30 b. NAME OF PROJECT: Construction/Provision of Wash Facilities (Water, Sanitation &amp; Hygiene) at Sitio Abuyod, Brgy. Dalig, Teresa, Rizal c. LOCATION: Brgy. Dalig, Teresa, Rizal d. BRIEF DESCRIPTION: Wash Facilities.</t>
  </si>
  <si>
    <t xml:space="preserve"> a. CONTRACT ID: RIZAL-04SEPTEMBER2020-29 b. NAME OF PROJECT: Construction/Provision of Wash Facilities (Water, Sanitation &amp; Hygiene) for Evacuation Center at Sitio Aguho, Tanay, Rizal c. LOCATION: Tanay, Rizal d. BRIEF DESCRIPTION: Wash Facilities. e. MAJ</t>
  </si>
  <si>
    <t xml:space="preserve"> a. CONTRACT ID: RIZAL-04SEPTEMBER2020-17 b. NAME OF PROJECT: Repair/Repainting/Improvement of Ynares School Buildings, Ynares Stage and Ynares Multi-Purpose Covered Court at Hulo Nat'l. High School, Brgy. Hulo, Pililla, Rizal a) Repair/Repainting of Ynare</t>
  </si>
  <si>
    <t xml:space="preserve"> I. SCAFFOLDING II. TILE WORKS, HEIGHT WALLING=1.5 (3 UNITS) III. PLASTERING AT REAR SIDE WALLING AND RIGHT SIDE WALLING (EXTERIOR) IV. PAINTING WORKS AT WALLING, CEILING, ROOFING, DOORS AND JAMB V. PLUMBING &amp; FIXTURES VI. DOOR &amp; WINDOWS VII. ELECTRICAL SP</t>
  </si>
  <si>
    <t xml:space="preserve"> a. CONTRACT ID: RIZAL-04SEPTEMBER2020-27 b. NAME OF PROJECT: Rehabilitation / Concreting of Zinia Street and Cardinal Ext. Street, Modesta Village, Sto. Niňo, San Mateo, Rizal c. LOCATION: Sto. Niňo, San Mateo, Rizal d. BRIEF DESCRIPTION: Road improvement</t>
  </si>
  <si>
    <t xml:space="preserve"> I N V I T A T I O N   T O   B I D 2020 – 159 August 17, 2020 1.	The Provincial Government of Tarlac through the PGO – Capital Outlay – Medical Equipment to apply the sum of One Million Six Hundred Thousand Pesos (Php 1,600,000.00) being the Approved Budge</t>
  </si>
  <si>
    <t xml:space="preserve"> I N V I T A T I O N   T O   B I D 2020 – 158 August 17, 2020 1.	The Provincial Government of Tarlac through the PGO - Printing and Publication Expenses intends to apply the sum of One Million Six Hundred Fifteen Thousand Five Hundred Pesos Only (Php 1,615</t>
  </si>
  <si>
    <t xml:space="preserve"> I N V I T A T I O N   T O   B I D 2020 – 157 August 17, 2020 1.	The Provincial Government of Tarlac through the PGO - Capital Outlay - Motor Vehicles intends to apply the sum of One Million Six Thousand One Hundred Twenty-Eight Pesos Only (PhP 1,006,128.0</t>
  </si>
  <si>
    <t xml:space="preserve"> FORM NO. 014- INVITATION TO APPLY FOR ELIGIBILITY AND TO BID) Republic of the Philippines Sangguniang Barangay of Anato Barangay Anato, Pagbilao, Quezon INVITATION TO APPLY FOR ELIGIBILITY AND TO BID Date: Aug. 15, 2020 The Sangguniang Barangay Anato, Pag</t>
  </si>
  <si>
    <t xml:space="preserve"> FORM NO. 014- INVITATION TO APPLY FOR ELIGIBILITY AND TO BID) Republic of the Philippines Sangguniang Barangay of Talipan Barangay Talipan, Pagbilao, Quezon INVITATION TO APPLY FOR ELIGIBILITY AND TO BID Date: Aug. 15,2020 The Sangguniang Barangay Talipan</t>
  </si>
  <si>
    <t xml:space="preserve"> a. CONTRACT ID: RIZAL-04SEPTEMBER2020-13 b. NAME OF PROJECT: Construction of Covered Pathwalk at Punta Elem. School, Brgy. Punta, Jalajala, Rizal c. LOCATION: , Brgy. Punta, Jalajala, Rizal d. BRIEF DESCRIPTION: Construction of Covered Pathwalk. e. MAJOR </t>
  </si>
  <si>
    <t xml:space="preserve"> a. CONTRACT ID: RIZAL-04SEPTEMBER2020-28 b. NAME OF PROJECT: Concrete Reblocking of Cattleya Street, Modesta Village, Sto. Niňo, San Mateo, Rizal c. LOCATION: Sto. Niňo, San Mateo, Rizal d. BRIEF DESCRIPTION: Road improvement. e. MAJOR ITEM OF WORK: PCC P</t>
  </si>
  <si>
    <t xml:space="preserve"> National Power Corporation INVITATION TO BID PUBLIC BIDDING 2020-0290 1.	The NATIONAL POWER CORPORATION (NPC), through       its        approved       Corporate Budget of CY 2020 intends to apply   the   sum   of (Please see schedule below) being the Appr</t>
  </si>
  <si>
    <t xml:space="preserve"> Supply, Delivery and Installation of Accelerographs</t>
  </si>
  <si>
    <t xml:space="preserve"> CONSTRUCTION</t>
  </si>
  <si>
    <t xml:space="preserve"> SCOPE OF WORK/DESCRIPTION	QTY.	UNIT 		 General Requirements	 	  Mobilization/Demobilization	                       1	lot Permits	                                               1	lot Professional Works and Supervision	       1	lot Temporary Facilities	    </t>
  </si>
  <si>
    <t xml:space="preserve"> Republic of the Philippines Province of Antique MUNICIPALITY OF PANDAN INVITATION TO BID FOR: CONSTRUCTION OF STA ANA-SAN JOAQUIN FARM-TO-MARKET  ROAD (SASJ FMR), PANDAN, ANTIQUE The LOCAL GOVERNMENT UNIT OF PANDAN, ANTIQUE, through the 20% IRA Prior Year</t>
  </si>
  <si>
    <t xml:space="preserve"> Republic of the Philippines Province of Antique MUNICIPALITY OF PANDAN INVITATION TO BID FOR: OPENING/CONSTRUCTION OF ACCESS ROAD,  CARMEN, PANDAN, ANTIQUE The LOCAL GOVERNMENT UNIT OF PANDAN, ANTIQUE, through the 20% IRA 2020 intends to apply the total s</t>
  </si>
  <si>
    <t xml:space="preserve"> ITB / PURCHASE REQUEST</t>
  </si>
  <si>
    <t xml:space="preserve"> Republic of the Philippines Province of Antique MUNICIPALITY OF PANDAN INVITATION TO BID FOR: CONSTRUCTION OF BARANGAY ROAD, ZALDIVAR, PANDAN, ANTIQUE The LOCAL GOVERNMENT UNIT OF PANDAN, ANTIQUE, through the Capital Outlay/Supplemental Budget No. 1  inte</t>
  </si>
  <si>
    <t xml:space="preserve"> Republic of the Philippines Central Visayas Region, Region VII Province of Negros Oriental MUNICIPALITY OF SANTA CATALINA Bids and Awards Committee ITB NO.: 2020-08-02-027 NOTICE FOR NEGOTIATED PROCUREMENT SUPPLY AND DELIVERY OF AIR CONDITION UNITS 1.	The</t>
  </si>
  <si>
    <t xml:space="preserve"> Republic of the Philippines CARAGA ADMINISTRATIVE REGION XIII Province of Agusan del Sur MUNICIPALITY OF TALACOGON BIDS AND AWARDS COMMITTEE Date: August 17, 2020 INVITATION TO BID FOR THE IMPROVEMENT OF WATER SYSTEM  	The Local Government Unit of Talacog</t>
  </si>
  <si>
    <t xml:space="preserve"> SECURITY SURVEILLANCE AND DETECTION EQUIPMENT</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</si>
  <si>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</si>
  <si>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28 cu.m. Aggreagate Base Course 23 cu.m. Graded Gravel (G-1) 1 cu.m.Gravel 21.5 cu.m.Washed Sand 310 bags Portland Cement 6 pcs 2" x 8" x 20 C-Purlins 4 kls. 4" CWN 2 kls. 3" CWN 1 pc. 1/4"x2"x2.60m Steel Plate w/handle 9 lenght 16mm diax6m RSB (Dowels/pe</t>
  </si>
  <si>
    <t xml:space="preserve"> Republic of the Philippines Province of Antique MUNICIPALITY OF PANDAN INVITATION TO BID FOR: CONCRETING OF BARANGAY ROAD, ZALDIVAR, PANDAN, ANTIQUE The LOCAL GOVERNMENT UNIT OF PANDAN, ANTIQUE, through the Economic Development Program/20% IRA intends to </t>
  </si>
  <si>
    <t xml:space="preserve"> 29 lengths Angle Bar ¼”x1 ½”x1 ½” 14 lengths Angle Bar ¼”x1x1 10 sheets 4.5m Longspan Roofing 12 pieces Metal Fascia 20 kilograms Welding Rod Fuji 1000 pieces Teckscrew #2 2 gallons Red Lead 20 pieces Anchor Bolt ¾ x5 with Knot &amp; Washer 12 lengths Gutter </t>
  </si>
  <si>
    <t xml:space="preserve"> a. CONTRACT ID: RIZAL-04SEPTEMBER2020-26 b. NAME OF PROJECT: 	Construction of Perimeter Fence at Talaga Elem. School, Sitio Talaga, Brgy. Maybancal, Morong, Rizal c. LOCATION: Brgy. Maybancal, Morong, Rizal  d. BRIEF DESCRIPTION: Construction of Perimeter</t>
  </si>
  <si>
    <t xml:space="preserve"> Republic of the Philippines Central Visayas Region, Region VII Province of Negros Oriental MUNICIPALITY OF SANTA CATALINA Bids and Awards Committee ITB NO.: 2020-08-02-029 INVITATION TO BID FOR THE SUPPLY AND DELIVERY OF MEDICAL , DENTAL AND LABORATORY SU</t>
  </si>
  <si>
    <t xml:space="preserve"> Republic of the Philippines Region 10 – Northern Mindanao Province of Lanao del Norte MUNICIPALITY OF BALO-I Email: mlgubaloi.ldn@gmail.com Office of the Bids and Awards Committee 			 Invitation to Bid  1. The Local Government Unit of Balo-i, Lanao del No</t>
  </si>
  <si>
    <t xml:space="preserve"> 1.	The Bureau of Soils and Water Management, through the General Appropriation Act for CY 2020 intends to apply the sum of One Million Six Hundred Twenty-Seven Thousand Seven Hundred Eighty pesos (Php 1, 627, 780.00) being the Approved Budget for the Cont</t>
  </si>
  <si>
    <t xml:space="preserve"> Specifications: CCTV (16 Cameras) 16 Channels NVR 16 pcs IP Bullet Camera 6TB Hard Disk 40" LED Monitor 1500W UPS with AVR Capacity Panel Enclosure 305m Cat6 UTP Cable 32pcs RJ45 Connector 1 pc HDMI Connector 1 lot Accessories Please be guided by the foll</t>
  </si>
  <si>
    <t xml:space="preserve"> 1.	The Bureau of Soils and Water Management, through the General Appropriation Act for CY 2020 intends to apply the sum of: LOT 1- Supply and Delivery of various Chemicals in the amount of One Million Two Hundred Seventy Thousand Nine Hundred Fifty pesos </t>
  </si>
  <si>
    <t xml:space="preserve"> 1.	The Bureau of Soils and Water Management, through the General Appropriation Act for CY 2020 intends to apply the sum of Eight Million Five Hundred Thousand pesos (Php 8,500,000.00) being the Approved Budget for the Contract (ABC) to payments under the </t>
  </si>
  <si>
    <t xml:space="preserve"> Republic of the Philippines CITY OF TACURONG OFFICE OF THE CITY MAYOR INVITATION TO BID FOR CONSTRUCTION OF DRAINAGE CANAL (Contract ID No: 2020-CW-027) The City Government of Tacurong, through 20% Development Fund 2020 to apply the sum stated below being</t>
  </si>
  <si>
    <t xml:space="preserve"> Republic of the Philippines CITY OF TACURONG OFFICE OF THE CITY MAYOR INVITATION TO BID FOR WIDENING OF BARANGAY ROADS (RE-BIDDING) (Contract ID No: 2020-CW-019) The City Government of Tacurong, through 20% Development Fund 2020 intends to apply the sum s</t>
  </si>
  <si>
    <t xml:space="preserve"> TO SUPPLY LABOR, TOOLS, EQUIPMENT AND MATERIALS FOR THE CUTTING OF TREES ALONG SLOPES OF POWER CHANNEL AND TREE PLANTING - PHASE 2 WITHIN THE PLANT.</t>
  </si>
  <si>
    <t xml:space="preserve"> I. Mobilization II. Excavation III. CSHP' IV. Project Billboard V. Formworks and Scaffolds VI. Steel Works VII. Concrete Works VIII. Masonry Works IX. Equipment X. Painting Works Labor</t>
  </si>
  <si>
    <t xml:space="preserve"> REPAIR OF STREET LIGHTING'S AT COMPOUND, INTAKE AND POWERHOUSE</t>
  </si>
  <si>
    <t xml:space="preserve"> Republic of the Philippines CITY OF TACURONG OFFICE OF THE CITY MAYOR INVITATION TO BID FOR RE-BLOCKING/CONCRETING OF ROADS (Contract ID No: 2020-CW-024) The City Government of Tacurong, through 20% Development Fund 2019 - Continuing to apply the sum stat</t>
  </si>
  <si>
    <t xml:space="preserve"> a. CONTRACT ID: RIZAL-04SEPTEMBER2020-25 b. NAME OF PROJECT: Improvement of various school buildings at Tagumpay National High School, Brgy.  San Jose, Rodriguez, Rizal c. LOCATION: Brgy.  San Jose, Rodriguez, Rizal d. BRIEF DESCRIPTION: Improvement of va</t>
  </si>
  <si>
    <t xml:space="preserve"> Mobilization Project Billboard CSHP Formworks Concrete and Masonry Works Steel Works Labor</t>
  </si>
  <si>
    <t xml:space="preserve"> 380.18 meters earthworks for 32 calendar days of works</t>
  </si>
  <si>
    <t xml:space="preserve"> installation and delivery</t>
  </si>
  <si>
    <t xml:space="preserve"> ANNUAL PMS OF THREE UNITS, SUPPLY AND DELIVERY OF GENERATOR CLEANER, FAST DRYING &amp; SLOW DRYING</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</si>
  <si>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</si>
  <si>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Multi-purpose hall/recreational and educational building, Phase 1</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</si>
  <si>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</si>
  <si>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INVITATION TO BID Contract ID No. 20GO00001: Procurement of Security Services Contract for DPWH-NCR.  The Department of Public Works and Highways-National Capital Region, through the Bids and Awards Committee (BAC), intends to apply the sum of Php 10,364,</t>
  </si>
  <si>
    <t xml:space="preserve"> UNINTERRUPTIBLE POWER SUPPLY (UPS) AT WAREHOUSE SERVER</t>
  </si>
  <si>
    <t xml:space="preserve"> RFQ&gt;&gt;&gt; Reproduction of Self Learning Module for Kindergarten to Grade VI Learner|  Rizal Elementary School ABC=P677,855.95 qty: 903,808</t>
  </si>
  <si>
    <t xml:space="preserve"> RFQ&gt;&gt;&gt; Reproduction of Self Learning Module for Kindergarten to Grade VI Learner|  Rizal Elementary School ABC=P110,999.25 qty: 147,999</t>
  </si>
  <si>
    <t xml:space="preserve"> EXTENSION OF MULTI-PURPOSE BUILDING, PHASE-1</t>
  </si>
  <si>
    <t xml:space="preserve"> INVITATION TO BID  	 The Department of Public Works and Highways-National Capital Region (DPWH-NCR), through  its Bids and Awards Committee (BAC), invites contractors to submit bids for the hereunder Contract/s: 	  	        Contract ID	20O00067 Contract N</t>
  </si>
  <si>
    <t xml:space="preserve"> REQUEST FOR EXPRESSION OF INTEREST (REOI) FOR Contract ID	2020-CS-001 Contract Name	SUBSCRIPTION OF AN OFF-THE-SHELF HOUSEHOLD-LEVEL DATA MANAGEMENT SYSTEM (Developed for LGUs) and Formulation of Comprehensive Land Use Plan (CLUP) Contract Location	San Pa</t>
  </si>
  <si>
    <t xml:space="preserve"> Purchase of Brgy. Patrol Car and Mini Dumptruck Approved Budget: 1,600,000.00 Specifications:  Mini Dumptruck                      A. Recondition                      B. Fuel- DIESEL                      C. Series- Elf                      D. Body Type- M</t>
  </si>
  <si>
    <t xml:space="preserve"> RFQ&gt;&gt;&gt; Reproduction of Learner's Modules (module 1) | Quezon Hill NHS ABC=P103,200.00 qty: 205,680</t>
  </si>
  <si>
    <t xml:space="preserve"> The SK of Lumbia will distribute Face shield and face mask as part of their campaign against increasing cases of COVID-19 pandemic.</t>
  </si>
  <si>
    <t xml:space="preserve"> a. CONTRACT ID: RIZAL-04SEPTEMBER2020-24 b. NAME OF PROJECT: Construction of  Ynares Multi-Purpose Building &amp; Construction of Drainage Canal at Rodriguez &amp; Baras, Rizal a) Construction of 2-storey Ynares Multi-Purpose Building at Eastwood Residences Phase</t>
  </si>
  <si>
    <t xml:space="preserve"> Republic of the Philippines Central Visayas Region, Region VII Province of Negros Oriental MUNICIPALITY OF SANTA CATALINA Bids and Awards Committee ITB NO.: 2020-08-02-028 INVITATION TO BID FOR THE SUPPLY AND DELIVERY OF DRUGS AND MEDICINES 1.	The Municip</t>
  </si>
  <si>
    <t xml:space="preserve"> BUSHING, CURRENT TRANSFORMER, HIGH VOLTAGE SIDE, SUPPLY AND DELIVERY OF ONE HIGH VOLTAGE BUSHING OF PULANGI IV HEP 31.5MVA TAKE-OFF TRANSFORMER</t>
  </si>
  <si>
    <t xml:space="preserve"> BREAKER, CIRCUIT BREAKER, MOLDED CIRCUIT BREAKERS OF VARIOUS AMPERES</t>
  </si>
  <si>
    <t xml:space="preserve"> Republic of the Philippines Region 10 – Northern Mindanao Province of Lanao del Norte MUNICIPALITY OF BALO-I Email: mlgubaloi.ldn@gmail.com Office of the Bids and Awards Committee Invitation to Bid  1. The Local Government Unit of Balo-i, Lanao del Norte,</t>
  </si>
  <si>
    <t xml:space="preserve"> CONSTRUCTION OF MATERIALS RECOVERY FACILITIES 19 WORKING CALENDAR DAYS DIMENSION/ LENGHT 3.60M X 4.20M I. CLEARING / LAYOUT / EXCAVATION 5.77% 12,670.00 II. FOOTING / FOUNDATON / COLUMN 26.76% 58,755.00 III. STEEL MATTING WALLING / CGB WALLING W/ PLASTERI</t>
  </si>
  <si>
    <t xml:space="preserve"> FUSE LINK, SUPPLY AND DELIVERY OF TYPE H FUSE 221 &amp; 1 OTHER ITEM</t>
  </si>
  <si>
    <t xml:space="preserve"> DIGITAL METER, VOLTMETER</t>
  </si>
  <si>
    <t xml:space="preserve"> a. CONTRACT ID: RIZAL-04SEPTEMBER2020-23 b. NAME OF PROJECT: Improvement / Construction of Drainage Canal at Block 3 Street and Block 17 Street, St. Peterville Subd., Brgy. San Jose, Rodriguez, Rizal c. LOCATION: Brgy. San Jose, Rodriguez, Rizal d. BRIEF </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</si>
  <si>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</si>
  <si>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a. CONTRACT ID: RIZAL-04SEPTEMBER2020-22 b. NAME OF PROJECT: Construction/Provision of Wash Facilities (Water, Sanitation &amp; Hygiene) for Evacuation Center at Malaya  Elem. School, Pililla, Rizal c. LOCATION: Pililla, Rizal  d. BRIEF DESCRIPTION: Wash Faci</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</si>
  <si>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</si>
  <si>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Invitation to Bid Supply and Delivery of Vehicles for the Integrated Natural Resources and Environmental Management Project – Livelihood Enhancement Support 2 (INREMP-LES 2) 1. The Government of the Philippines (GOP) has received a Loan from the Asian Dev</t>
  </si>
  <si>
    <t xml:space="preserve"> INVITATION TO RE- BID 	The DOH Central Luzon Center for Health Development through its Bids and Awards Committee (BAC), invites suppliers/manufacturers/distributors to bid for the hereunder project: Project	 Project Description	Approved Budget for the Con</t>
  </si>
  <si>
    <t xml:space="preserve"> Comstruction of Covered Canal with manhole at Bayside, Purok 5.</t>
  </si>
  <si>
    <t xml:space="preserve"> Supply and Delivery of Exit Signage and Various LED Lamps (7-line items), as per BSP Technical Specifications and BSP Supplied Evaluation Matrix Please see the attachment in the Associated Components for the bidding documents.</t>
  </si>
  <si>
    <t xml:space="preserve"> The Department of Agriculture-RFO 3, invites interested suppliers/ bidders to submit bid proposal(s) for the hereunder requirement, to wit: 20 units Generator Set 		 Specifications:			 Genset: Standby power rated 50 KVA/40 kw Minimum, Open type, with digi</t>
  </si>
  <si>
    <t xml:space="preserve"> Republic of the Philippines Province of Leyte Municipality of Tunga Invitation to Bid for One Lot Expansion of Evacuation Center Project Category: Building Source of Funds: LGSF-AM 2018 ABC: Php 5,923,000.00 Bidding will be conducted through open competit</t>
  </si>
  <si>
    <t xml:space="preserve"> Needed materials for office, safety and repairs. folders cartolina bondpapers clips box alcohols' gloves corrections paint thumb tax</t>
  </si>
  <si>
    <t xml:space="preserve"> 1.0 ROOFING WORKS - EST. QTY = 1 LOT; AMOUNT P 9,390.00 2.0 STEEL WORKS - EST. QTY = 1 LOT; AMOUNT P 13,420.00 3.0 CARPENTRY WORKS - EST QTY = 44.24 SQ. MTR; AMOUNT P 39,000.00 4.0 PAINTING WORKS - EST QTY= 135.24 SQ. MTR; AMOUNT P 14,020.00 5.0 PROJECT S</t>
  </si>
  <si>
    <t xml:space="preserve"> See attached file for details.</t>
  </si>
  <si>
    <t xml:space="preserve"> Name of the Procuring Entity:  Department of Health Name of the Project: PROCUREMENT OF REPAIR AND MAINTENANCE OF RECORDS OFFICE OF BUILDING 9 SVP No. 2020-043 _____________________________                 Name of Company _____________________________    </t>
  </si>
  <si>
    <t xml:space="preserve"> Engine:All original did not undergo minor or major repair,good running condition Body:New body built w/ Ansal paint Underchasis: newly replaced the pod end, ball joint etc. new 4 shocks gas type Tires:New good year tires log and spare tire,new motolite go</t>
  </si>
  <si>
    <t xml:space="preserve"> 1.) 13,655 reams - PAPER                            Multi-Purpose (Copy) A4, 70 GSM, 210mm x 29700 2.) 300 units - PRINTER                       Continuous Ink                       High-yield ink bottles                       Print speed up to 8.5ipm for</t>
  </si>
  <si>
    <t xml:space="preserve"> SCOPE OF WORKS: B.3	Project Billboard &amp; Sign Board	2.00	each B.7	Occupational Safety and Health Program	5.00	months		 101(3)c1	Removal of Actual Structure/Obstruction (50mm thk. ACP)	4,040.00	cu.m. 103(6)a	Pipe Culvert and Drain Excavation	2.43	cu.m. 104(</t>
  </si>
  <si>
    <t xml:space="preserve"> SCOPE OF WORKS: B.3	Project Billboard &amp; Sign Board	2.00	each B.7	Occupational Safety and Health Program	5.00	months		 101(4)a	Removal of Structures/Obstruction, 457 mm dia. RCPC	5.00	ln.m. 102(2)	Roadway Excavation (Surplus Common)	445.94	cu.m. 103(6)a	Pi</t>
  </si>
  <si>
    <t xml:space="preserve"> SCOPE OF WORKS: B.5	        Project Billboard &amp; Signboard	2.00	each B.7 (1)	Occupational Safety and Health Program	6.67	mo. 101(4) a.3	Removal of Structures/Obstruction, 910 mm dia. RCPC	7.00	each 103(1)a	Structure Excavation, Common Soil (Box Culvert)	17</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</si>
  <si>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</si>
  <si>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Invitation to Bid for  Rehabilitation of Puspus-Calabugao Farm to Market Road, San Fernando City, La Union 1.	The Provincial Government of La Union, through the RA7171 intends to apply the sum of ₱3,900,000.00 being the Approved Budget for the Contract (A</t>
  </si>
  <si>
    <t xml:space="preserve"> SCOPE OF WORKS: B.3	Project Billboard &amp; Sign Board	2.00	each		 100(3)a2	Individual Removal of Trees(Small B, 301-500 mm dia.)	45.00	ea. 101(1)	Removal of Structures/Obstruction, (Buildings)	1.00	l.s 101(3)b1	Removal of Structures/Obstruction, (0.15 thk) P</t>
  </si>
  <si>
    <t xml:space="preserve"> BUSHING, CURRENT TRANSFORMER, SUPPLY AND DELIVERY OF ONE LOW VOLTAGE BUSHING OF PULANGI IV HEP 31.5MVA TAKE-OFF TRANSFORMER</t>
  </si>
  <si>
    <t xml:space="preserve"> 803(1)a	Structure Excavation (Common Soil)	5	cu.m.	3,060.00 900(1)	Structural Concrete	6.30	cu.m.	44,326.80 902(1)	Reinforcing Steel	250	kgs	16,375.00 903(2)	Form works and False Works	5	sq.m.	4,990.00 1013(2)a	Installation of Ridge Roll and Flashing	8	m.</t>
  </si>
  <si>
    <t xml:space="preserve"> Republic of the Philippines Region XII Province of Cotabato BIDS AND AWARDS COMMITTEE Amas, Kidapawan City INVITATION TO BID FOR Supply &amp; Delivery of Smart Android TV for DEPED Offline Video Lessons. (PB-20-446) 1.	The Provincial Government of Cotabato, t</t>
  </si>
  <si>
    <t xml:space="preserve"> Republic of the Philippines Region XII Province of Cotabato BIDS AND AWARDS COMMITTEE Amas, Kidapawan City INVITATION TO BID FOR Supply &amp; Delivery of Certified Palay Seeds for distribution to farmers affected by calamities provincewide. (PB-20-415) 1.	The</t>
  </si>
  <si>
    <t xml:space="preserve"> Republic of the Philippines Region XII Province of Cotabato BIDS AND AWARDS COMMITTEE Amas, Kidapawan City INVITATION TO BID FOR Supply &amp; Delivery of Inorganic Fertilizer for production support to identified farmers provincewide . (PB-20-414) 1.	The Provi</t>
  </si>
  <si>
    <t xml:space="preserve"> Invitation to Bid for  Construction of Farmers Multi-Purpose Center, San Carlos, Caba, La Union 1.	The Provincial Government of La Union, through the RA7171 intends to apply the sum of ₱3,900,000.00 being the Approved Budget for the Contract (ABC) to paym</t>
  </si>
  <si>
    <t xml:space="preserve"> Republic of the Philippines MUNICIPALITY OF SANTA CRUZ Province of Marinduque BARANGAY SAN ANTONIO Office of the Bids and Awards INVITATION TO BID FOR  Supply of Materials for  Purchase of 11 sets of Swivel Chairs &amp; Office Tables (ITB No.: 2020-003) 1.	Th</t>
  </si>
  <si>
    <t xml:space="preserve"> Republic of the Philippines MUNICIPALITY OF SANTA CRUZ Province of Marinduque BARANGAY SAN ANTONIO Office of the Bids and Awards INVITATION TO BID FOR  Supply of Materials for  Concreting of Barangay Road (ITB No.: 2020-002) 1.	The Barangay San Antonio, S</t>
  </si>
  <si>
    <t xml:space="preserve"> Republic of the Philippines MUNICIPALITY OF SANTA CRUZ Province of Marinduque BARANGAY SAN ANTONIO Office of the Bids and Awards INVITATION TO BID FOR  Supply of Materials for  Construction of Pathway (ITB No.: 2020-001) 1.	The Barangay San Antonio, Sta. </t>
  </si>
  <si>
    <t xml:space="preserve"> Republic of the Philippines MUNICIPALITY OF SANTA CRUZ Province of Marinduque BARANGAY LAPU-LAPU Office of the Bids and Awards INVITATION TO BID FOR  Purchase &amp; Installation of CCTV Camera (ITB No.: 2020-001) 1.	The Barangay Lapu-Lapu, Sta. Cruz, Marinduq</t>
  </si>
  <si>
    <t xml:space="preserve"> PROCUREMENT OF CONSTRUCTION SUPPLIES AND MATERIALS FOR THE EXTENSION OF LOCAL ROAD</t>
  </si>
  <si>
    <t xml:space="preserve"> Republic of the Philippines Province of Camarines Sur Municipality of Ocampo INVITATION TO BID PROVISION OF LEVEL I- POTABLE WATER SUPPLY SYSTEM (Name of Project) HARDWARE MATERIALS (Brief Description of Goods) THE MUNICIPAL GOVERNMENT OF OCAMPO, through </t>
  </si>
  <si>
    <t xml:space="preserve"> NOTICE TO THE PUBLIC REQUEST FOR QUOTATION                                              AMP SVP-D NO: 20-08-0433   The University of the Philippines, Diliman (UPD) hereby informs the public that it will be procuring the following item/s through Small Valu</t>
  </si>
  <si>
    <t xml:space="preserve"> Republic of the Philippines     DEPARTMENT OF PUBLIC WORKS AND HIGHWAYS   BUKIDNON 3RD  DISTRICT ENGINEERING OFFICE REGION X Dicklum, Manolo Fortich, Bukidnon ------------------------------------------------------------------------------------------------</t>
  </si>
  <si>
    <t xml:space="preserve"> School Head: Jomel David Contact Number: 09176810420</t>
  </si>
  <si>
    <t xml:space="preserve"> School Head: Kathrene David   Contact Number: 09175442083</t>
  </si>
  <si>
    <t xml:space="preserve"> School Head: JLilibeth Landig Contact Number: 09179500066</t>
  </si>
  <si>
    <t xml:space="preserve"> 1	Certified Hybrid Yellow Corn Seeds (Lowland-Mindanao) Glyphosate Ready, with Corn Borer           Protection,Potential Yield: 14 MT/ Hectare, Maturity: 110-115 DAP 2	Organic Fertilizer (Pure Vermicast) 3	Complete Fertilizer (14-14-14) 4	Urea (46-0-0) Ni</t>
  </si>
  <si>
    <t xml:space="preserve"> B.9	Mobilization/Demobiliazation	lot	all	41,691.30 101(3)a	Removal of Existing Concrete Pavement (tire path)	428	sq.m.	70,662.80 102(2)b	Roadway Excavation (surplus common)	735.86	cu.m.	133,337.83 103(1)a	Structure Excavation (common soil)	20	cu.m.	6,332.</t>
  </si>
  <si>
    <t xml:space="preserve"> Installation of Streetlights/Tugtug, San Jose, Batangas	 2020-08-03 Supply of Labor, Materials &amp; Equipment	 P 519,167.28	 20% Dev. Fund	 45 days 1.Issuance of Bid documents	August 17,2020-September 4,2020 2. Pre-Bid conference	   none 3. Receipt of Bids	S</t>
  </si>
  <si>
    <t xml:space="preserve"> Republic of the Philippines Office of the Municipal Mayor BIDS AND AWARDS COMMITTEE Sual, Pangasinan Invitation to Bid for PROCUREMENT OF MEDICAL SUPPLIES AND EQUIPMENT (Sual, Pangasinan) 1.	The Municipal Government of Sual, Pangasinan, through the 2020 L</t>
  </si>
  <si>
    <t xml:space="preserve"> Republic of the Philippines Barangay Government of Divisoria BIDS AND AWARDS COMMITTEE Divisoria, Zamboanga City INVITATION TO BID FOR THE  CONCRETING  OF  ROAD  AT  ZONE 2,  WARAY DRIVE  ,DIVISORIA, ZAMBOANGA CITY 1.	The BARANGAY GOVERNMENT OF DIVISORIA,</t>
  </si>
  <si>
    <t xml:space="preserve"> Please see attached file for details.</t>
  </si>
  <si>
    <t xml:space="preserve"> 1.	The BUREAU OF FIRE PROTECTION, NATIONAL CAPITAL REGION (NCR) invites PhilGEPS registered suppliers to bid for this item: Lot No.	Qty	Item/Description	Approved Budget for the Contract	Price of Bid Documents	Delivery Period 1	1 lot	Procurement of Automot</t>
  </si>
  <si>
    <t xml:space="preserve"> 1.	The BUREAU OF FIRE PROTECTION, NATIONAL CAPITAL REGION (NCR) invites PhilGEPS registered suppliers to bid for this item: Lot No.	Qty	Item/Description	Approved Budget for the Contract	Price of Bid Documents	Delivery Period 1	1 lot	Supply and Delivery of</t>
  </si>
  <si>
    <t xml:space="preserve"> School Head: Rosalina Cao Contact Number: 09338258642</t>
  </si>
  <si>
    <t xml:space="preserve"> School Head: Mina Ponce Contact Number: 09338680739</t>
  </si>
  <si>
    <t xml:space="preserve"> Invitation to Bid for  Construction of Bancagan Farmers Multi-Purpose Center, Naguilian, La Union 1.	The Provincial Government of La Union, through the RA7171 intends to apply the sum of ₱3,900,000.00 being the Approved Budget for the Contract (ABC) to pa</t>
  </si>
  <si>
    <t xml:space="preserve"> a. CONTRACT ID: RIZAL-04SEPTEMBER2020-12 b. NAME OF PROJECT: Extension of Existing 2-storey Ynares Multi-Purpose Building, Brgy. 3rd District, Jalajala, Rizal c. LOCATION: Brgy. 3rd District, Jalajala, Rizal d. BRIEF DESCRIPTION: Extension of Existing Yna</t>
  </si>
  <si>
    <t xml:space="preserve"> Service Vehicle (AUV)</t>
  </si>
  <si>
    <t xml:space="preserve"> a. CONTRACT ID: RIZAL-04SEPTEMBER2020-7 b. NAME OF PROJECT: Construction/Provision of Wash Facilities (Water, Sanitation &amp; Hygiene), Brgy. Tuna, Cardona, Rizal c. LOCATION: Brgy. Tuna, Cardona, Rizal d. BRIEF DESCRIPTION: Wash Facilities. e. MAJOR ITEM OF</t>
  </si>
  <si>
    <t xml:space="preserve"> B.9	Mobilization/Demobiliazation	Lot	all	6,500.00 102(2)b	Roadway Excavation (surplus common)	65	cu.m.	10,772.00 103(1)a	Structure Excavation (Common Soil)	5	cu.m.	1,780.00 104(1)a	Embankment from Roadway Excavations	15	cu.m.	3,855.00 105(1)	Subgrade Prep</t>
  </si>
  <si>
    <t xml:space="preserve"> SCOPE OF WORKS: B.5	Project Billboard &amp; Signboard	2.00	each B.7 (1)	Occupational Safety and Health Program	4.00	mo.		 102(2)	Roadway Excavation (Surplus Common)	87.50	cu.m. 103(1)a	Structure Excavation, Common Soil, RCPC)	12.35	cu.m. 104(1)a	Embankment fr</t>
  </si>
  <si>
    <t xml:space="preserve"> 1.0 MASONRY WORKS.   EST. QTY = 22.96 SQ. MTR; AMOUNT P 24,605.00 2.0 ROOFING WORKS     EST QTY = 40.50 SQ MTR; AMOUNT P 46,430.00 3.0 CEILING WORKS      EST QTY = 166.67 BD. FT; AMOUNT P  29,400.00 4.0 DOORS AND WINDOWS.  EST QTY = 1 LOT; BD. FT.; AMOUNT</t>
  </si>
  <si>
    <t xml:space="preserve"> a. CONTRACT ID: RIZAL-04SEPTEMBER2020-6 b. NAME OF PROJECT: Construction of 2-Storey Ynares Multi-Purpose Building at Jannsen Ville Subd., Brgy. San Juan, Cainta, Rizal c. LOCATION: Brgy. San Juan, Cainta, Rizal  d. BRIEF DESCRIPTION: Construction of Ynar</t>
  </si>
  <si>
    <t xml:space="preserve"> Service Vehicle (4x4 A/T Pick Up Type)</t>
  </si>
  <si>
    <t xml:space="preserve"> The Department of Agriculture-RFO 3, invites interested suppliers/ bidders to submit bid proposal(s) for the hereunder requirement, to wit: 4 UNITS Hand Tractor with Complete Accessories Specification:   1. Prime Mover     1.1 Horsepower: 7 Hp Minimum   1</t>
  </si>
  <si>
    <t xml:space="preserve"> Service Vehicle (4x4 Pick Up Type)</t>
  </si>
  <si>
    <t xml:space="preserve"> Description Republic of the Philippines Province of Oriental Mindoro MUNICIPALITY OF NAUJAN BARANGAY BANCURO BIDS &amp; AWARDS COMMITTEE INVITATION TO BID SUPPLY AND DELIVERY OF MATERIALS FOR INSTALLATION OF STREET LIGHTS, BARANGAY BANCURO, NAUJAN, ORIENTAL M</t>
  </si>
  <si>
    <t xml:space="preserve"> 24” RC Pipes		Pcs Boulders					Cu.m Sand		Cu.m Gravel		Cu.m</t>
  </si>
  <si>
    <t xml:space="preserve"> Concrete Pavement</t>
  </si>
  <si>
    <t xml:space="preserve"> 2x3x10 good lumber s4s		Bd.ft.	75 2x3x12 good lumber s4s					Bd.ft.	60 2x3x8 good lumber s4s		Bd.ft.	360 1x6x8 good lumber s4s		Bd.ft.	720 1x6x12 good lumber s4s		Bd.ft.	60 Assorted nails		kls	25</t>
  </si>
  <si>
    <t xml:space="preserve"> a. CONTRACT ID: RIZAL-04SEPTEMBER2020-5 b. NAME OF PROJECT: Construction of 2-storey Ynares Multi-Purpose Building at Oliveros Compound, Kalawaan, Brgy. Darangan, Binangonan, Rizal c. LOCATION: Brgy. Darangan, Binangonan, Rizal d. BRIEF DESCRIPTION: Const</t>
  </si>
  <si>
    <t xml:space="preserve"> INVITATION TO QUOTE Date:  August 14, 2020 1.	The Provincial Government of Davao del Sur, through its Bids and Awards Committee (BAC), invites all interested bidders/suppliers to quote for the following goods under Alternative Methods of Procurement (Smal</t>
  </si>
  <si>
    <t xml:space="preserve"> a. CONTRACT ID: RIZAL-04SEPTEMBER2020-3 b. NAME OF PROJECT: Construction/Provision of Wash Facilities (Water, Sanitation &amp; Hygiene) at Binangonan Central Elem. School, Brgy. Layunan, Binangonan, Rizal c. LOCATION: Brgy. Layunan, Binangonan, Rizal d. BRIEF</t>
  </si>
  <si>
    <t xml:space="preserve"> Purchase and delivery of 4 engine, 4000 tons, 40 person capacity rescue motorized banca with handheld radio and life jacket</t>
  </si>
  <si>
    <t xml:space="preserve"> Invitation to Bid for PL480 UP-VETMED RENOVATION, (ANIMAL DISEASE DIAGNOSTIC LABORATORY &amp; TEACHING COMPLEX), COLLEGE OF VETERINARY MEDICINE COMPLEX, UP LOS BAÑOS, COLLEGE, LAGUNA 1.	The U.P. LOS BAÑOS, through the GOP through UPLB Reprogrammed Funds (Land</t>
  </si>
  <si>
    <t xml:space="preserve"> INVITATION TO REBID FOR THE PROCUREMENT OF SUPPLY &amp; DELIVERY OF 200 HEADS GOAT     1.	The Department of Agriculture Regional Field Office 6 through the General Appropriations Act (GAA) of 2020 intends to apply the sum of Three Million Pesos (Php3,000,000.</t>
  </si>
  <si>
    <t xml:space="preserve"> Republic of the Philippines Province of Agusan del Sur MUNICIPALITY OF TALACOGON BIDS AND AWARDS COMMITTEE August 17, 2020 INVITATION TO BID  FOR THE PROCUREMENT OF MATERIALS FOR THE END LOCAL COMMUNIST ARM CONFLICT (ELCAC PROGRAM)    1.	The Local Governm</t>
  </si>
  <si>
    <t xml:space="preserve"> INVITATION TO REBID FOR THE PROCUREMENT OF SUPPLY &amp; DELIVERY OF CORN SEEDS FOR FOOD SECURITY (COVID 19) BY LOT     1.	The Department of Agriculture Regional Field Office 6 through the General Appropriations Act (GAA) of 2020 intends to apply the sum of On</t>
  </si>
  <si>
    <t xml:space="preserve"> 1.	The Municipality of Caraga, through the Resolution No. 42 Series of 2018   intends to apply the sum of Two Hundred Fifty Thousand Pesos (PhP 250,000.00) being the Approved Budget for the Contract (ABC) to payments under the contract for the  Constructi</t>
  </si>
  <si>
    <t xml:space="preserve"> Republic of the Philippines MUNICIPALITY OF SANTA CRUZ Province of Marinduque BARANGAY NAPO Office of the Bids and Awards INVITATION TO BID FOR  Supply of Materials for  Concreting of Brgy. Road (ITB No.: 2020-001) 1.	The Barangay Napo, Sta. Cruz, Marindu</t>
  </si>
  <si>
    <t xml:space="preserve"> See attached at the Back of Invitation to Bid (ITB)</t>
  </si>
  <si>
    <t xml:space="preserve"> REPAIR/IMPROVEMENT OF MULTI PURPOSE BUILDING (BARANGAY HALL) P2</t>
  </si>
  <si>
    <t xml:space="preserve"> INSTALLATION OF 12 UNITS STREET LIGHTS</t>
  </si>
  <si>
    <t xml:space="preserve"> INVITATION TO BID FOR THE SUPPLY AND DELIVERY OF  SARI SARI STORE LIVELIHOOD KITS FOR THE 190 MICRO ENTERPRISES IN THE EIGHT (8) MUNICIPALITIES OF THE SECOND (2ND) DISTRICT OF ILOCOS SUR 1.	The Department of Trade and Industry – Region 1, through the Gene</t>
  </si>
  <si>
    <t xml:space="preserve"> Rental of Service Vehicle for Engineer (4x4 Pick Up)</t>
  </si>
  <si>
    <t xml:space="preserve"> Republic of the Philippines Province of Eastern Samar  Municipality of Llorente Invitation to Bid for Supply and Delivery of Plastic Melter Densifier 1.	The Local Government of Llorente, through the Budget Approved by the Respective Sanggunian intends to </t>
  </si>
  <si>
    <t xml:space="preserve"> INVITATION TO BID FOR THE  SUPPLY &amp; DELIVERY OF MEDICINE 1.	The LOCAL GOVERNMENT UNIT OF CAMALIGAN, CAMARINES SUR, through the GENERAL FUNDintends to apply the sum of PHP 198,832.00 being the Approved Budget for the Contract (ABC) to payments under the co</t>
  </si>
  <si>
    <t xml:space="preserve"> INVITATION TO QUOTE Date:  August 13, 2020 1.	The Provincial Government of Davao del Sur, through its Bids and Awards Committee (BAC), invites all interested bidders/suppliers to quote for the following goods under Alternative Methods of Procurement (Smal</t>
  </si>
  <si>
    <t xml:space="preserve"> 1.	The National Irrigation Administration – Cagayan-Batanes Irrigation Management Office, through the OMNISPIS of 2020 intends to apply the sum of One Million Six Hundred Twenty One Thousand Four Hundred Pesos (P1,621,400.00) being the Approved Budget for</t>
  </si>
  <si>
    <t xml:space="preserve"> INVITATION TO APPLY FOR ELIGIBILITY AND TO BID Approved Budget for the Contract: ₱9,500,000.00 ITB No. 2020-028 Bidding 1.	The Municipality of Mendez-Nuñez, through 20% Development Fund intends to apply the sum of Nine Million Five Hundred Thousand Pesos </t>
  </si>
  <si>
    <t xml:space="preserve"> 15” Laptop i7 8550U Processor windows 10 (64bit), 		unit	1 1Tb storage 16Gb DDR4 RAM</t>
  </si>
  <si>
    <t xml:space="preserve"> Rental of Service Vehicle for MPP/Engineer (4x4 Pick Up)</t>
  </si>
  <si>
    <t xml:space="preserve"> Rental of Service Vehicle for MPP/Engineer (AUV)</t>
  </si>
  <si>
    <t xml:space="preserve"> INFRASTRUCTURE</t>
  </si>
  <si>
    <t xml:space="preserve"> CONSTRUCTION OF 2 STOREY MULTI-PURPOSE BUILDING (PHASE VI)</t>
  </si>
  <si>
    <t xml:space="preserve"> Rental of Service Vehicle for MPP/Engineer</t>
  </si>
  <si>
    <t xml:space="preserve"> INVITATION TO BID FOR DELIVERY OF DIGITAL DUPLICATOR FOR DEPED USE. 1.	The MUNICIPALITY OF DASOL, PANGASINAN-BAC through the MUNICIPAL FUND intends to apply the sum of TWO HUNDRED FIFTY THOUSAND PESOS (PhP 250,000.00) being the Approved Budget for the Con</t>
  </si>
  <si>
    <t xml:space="preserve"> Concreting of FMR, Subec, Sta. Catalina, Ilocos Sur</t>
  </si>
  <si>
    <t xml:space="preserve"> Rental of Service Vehicle for Engineer</t>
  </si>
  <si>
    <t xml:space="preserve"> OFFICE OF THE BIDS AND AWARDS COMMITTEE REQUEST FOR QUOTATION (Negotiated 2-Failed Biddings) Name of Project	        : 20-06-473 Improvement of Tennis Court located at Mirasol, Alamada, Cotabato Procurement Mode	: Negotiated Procurement (Two-Failed Biddin</t>
  </si>
  <si>
    <t xml:space="preserve"> OFFICE OF THE BIDS AND AWARDS COMMITTEE (BAC) INVITATION TO BID FOR: 20-08-631 Purchase of Food Supplies for Food Packs Assistance for Person’s with Disability and Pasilungan Center under MSWDO 1.	The Local Government Unit of Alamada, through the 7611-5-0</t>
  </si>
  <si>
    <t xml:space="preserve"> UNIT                 DECRIPTION            QTY. BOX,         AMLODIPINE 10MG TABLET,     100 BOX,    LOZARTAN 50MG TABLET,    100 BOX,    METFORMIN 500MG TABLET,    100 BOX,    AMOXICILLIN 500MG CAPSULE,    100 BOX,     MEFENAMIC ACID 500MG CAPSULE,    10</t>
  </si>
  <si>
    <t xml:space="preserve"> Office supplies of JHS, SHS and Annex School of Balabac NHS for the 3RD quarter of FY 2020 USED fpr printing MODULES</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</si>
  <si>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</si>
  <si>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INVITATION TO BID FOR CONSTRUCTION OF TWO STOREY COMMERCIAL BUILDING (DASOL PUBLIC MARKET) 1.	The MUNICIPALITY OF DASOL, through MUNICIPAL DEVELOPMENT FUND intends to apply the sum of SIXTEEN MILLION PESOS (PhP 16,000,000.00) being the Approved Budget for</t>
  </si>
  <si>
    <t xml:space="preserve"> UNIVERSITY OF THE PHILIPPINES										 BAGUIO										 Governor Pack Road, Baguio City, Benguet, CAR										 VAT Reg. TIN: 000-864-006-00007										 										 Request for Quotation										 UPB Supply and Property Management Office										 					</t>
  </si>
  <si>
    <t xml:space="preserve"> 1.	The National Irrigation Administration – Cagayan-Batanes Irrigation Management Office, through the OMNISPIS of 2020 intends to apply the sum of Nine  Million Fifty Thousand Pesos (P9,050,000.00) being the Approved Budget for the Contract (ABC) to payme</t>
  </si>
  <si>
    <t xml:space="preserve"> UNIVERSITY OF THE PHILIPPINES BAGUIO									 Governor Pack Road, Baguio City, Benguet, CAR									 VAT Reg. TIN: 000-864-006-00007									 									 Request for Quotation									 UPB Supply and Property Management Office									 									 				Date:	A</t>
  </si>
  <si>
    <t xml:space="preserve"> UNIT                DESCRIPTION            QTY. unit ,                 Backhoe,         1 specification: Main Parameters: Bucket capacity:   0.52CBM (standard) Operating weight:   13800kgs Max digging height:    8641mm Max digging reach:      8296mm Main </t>
  </si>
  <si>
    <t xml:space="preserve"> UNIT          DESCRIPTION            QTY. UNIT,        Printer, 3in1,      18 Bottles,      Ink # 003 Black,   63 Bottle,     Ink # 003 Magenta,    42 Bottle,     Ink # 003 Cyan, 42 Bottle,    Ink # 003 Yellow,       42 Bottle,     Ink # 664 Black, 63 Bot</t>
  </si>
  <si>
    <t xml:space="preserve"> REPAIR/IMPROVEMENT OF MULTI-PURPOSE HALL</t>
  </si>
  <si>
    <t xml:space="preserve"> Republic of the Philippines Province of Dinagat Islands Municipality of Basilisa Barangay RITAGLENDA -oOo- Project Reference Number: BLGU RITAGLENDA 2020 Name of Project: REPAIR/EXPANSION OF POTABLE WATER SYSTEM Location of the Project: Barangay Ritaglend</t>
  </si>
  <si>
    <t xml:space="preserve"> INVITATION TO BID FOR DELIVERY OF CASKET LOWERING DEVICE FOR CEMETERY USE. 1.	The MUNICIPALITY OF DASOL, PANGASINAN-BAC through the MUNICIPAL FUND intends to apply the sum of SIX HUNDRED EIGHTY THREE THOUSAND NINE HUNDRED FIFTEEN PESOS (PhP 683,915.00) be</t>
  </si>
  <si>
    <t xml:space="preserve"> The Bids and Awards Committee (BAC) of the Municipality of Castilla, Sorsogon invites qualified contractor’s to bid for the project: Contract Name	: PURCHASE OF ONE (1) UNIT SERVICE VEHICLE (MTO) Contract Location	: Castilla, Sorsogon Approved Budget for </t>
  </si>
  <si>
    <t xml:space="preserve"> UNIT     DESCRIPTION       QTY. UNIT,        RESCUE BOAT,      1 SPECIFICATIONS: DIMENSIONS: 14ft. L x  5ft. W 4pcs. Paddles 4pcs. Lifevest included OUTBOARD MOTOR 40HP Model: E40JMHL  Carbureted Two Stroke engine,  manual start, long shaft 20", two cylin</t>
  </si>
  <si>
    <t xml:space="preserve"> UNIT      DESCRIPTION      QTY. unit,       Laptop,           4 Core i7 (8th generation) Storage:   1TB HDD Processor:  Intel Core i7 (8th Generation) Processor Display:    15.6" RAM:       8 GB DDR4 RAM unit,       Laptop,          3 Core i3 (8th generat</t>
  </si>
  <si>
    <t xml:space="preserve"> The Bids and Awards Committee (BAC) of the Municipality of Castilla, Sorsogon invites qualified contractors to bid for the project: Contract Name	: CONST. OF SEA WALL @ BRGY. BUENAVISTA  Contract Location	: Castilla, Sorsogon Approved Budget for the Contr</t>
  </si>
  <si>
    <t xml:space="preserve"> The Bids and Awards Committee (BAC) of the Municipality of Castilla, Sorsogon invites qualified contractors to bid for the project: Contract Name	: CONST. OF LEVEL II WATER SYSTEM @ BRGY. BONGA  Contract Location	: Castilla, Sorsogon Approved Budget for t</t>
  </si>
  <si>
    <t xml:space="preserve"> I. A. MATERIALS (BALASTRO )                                  FREE       B. EQUIPMENTS                            1 unit Road Grader                                    Municipal Equipment                            1 unit Payloader                         </t>
  </si>
  <si>
    <t xml:space="preserve"> Republic of the Philippines DEPARTMENT OF EDUCATION Region VIII SCHOOLS DIVISION OF CATBALOGAN CITY Purok 4, Brgy. Payao,  Catbalogan City, Samar INVITATION TO BID FOR PROCUREMENT OF OFFICE SUPPLIES FOR UTILIZATION PLAN FOR THE IMPLEMENTATION OF THE BASIC</t>
  </si>
  <si>
    <t xml:space="preserve"> The Bids and Awards Committee (BAC) of the Municipality of Castilla, Sorsogon invites qualified contractors to bid for the project: Contract Name	: EXPANSION OF LEVEL II WATER SYSTEM @ CUMADCAD, SOGOY, LORETO, MAYON, BURABOD   Contract Location	: Castilla</t>
  </si>
  <si>
    <t xml:space="preserve"> ITEM NO.			DESCRIPTION SPLB		purchase of LED display wall with installation ITEM 404	Reinforcing steel bars ITEM 405	structural concrete ITEM 414	Forms &amp; falseworks SPLA		welding works 	 SPLB breakdown			 Description		              specifications Pixel Pi</t>
  </si>
  <si>
    <t xml:space="preserve"> INVITATION TO BID ITB NO. 2020 - 03 (02) 1.	 The Department of Health – Eastern Visayas Center for Health Development, through the Bids and Awards Committee (BAC)  invites contractors to bid for the hereunder project: Cluster 2: 1.	Construction of BHS Can</t>
  </si>
  <si>
    <t xml:space="preserve"> SEE ATTACHED PROGRAM OF WORK AND PLAN: SECTION VI. SPECIFICATIONS; SECTION VII. DRAWINGS:</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</si>
  <si>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</si>
  <si>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MUNICIPALITY OF BORBON 2ND FLOOR  MUNICIPAL HALL DESCRIPTION: ACCESSORIES:    ENGINE 7HP     AXLE 5/8"0 X 6 FT.    BUSHING (FITTING) 1 1/2"    PROPELLER    CROSS JOINT MATERIALS:    MARINE PLYWOOD 3/4" THK.    MARINE PLYWOOD 1/4THK.    1 X 2 X 12 GOOD LUM</t>
  </si>
  <si>
    <t xml:space="preserve"> UNIVERSITY OF THE PHILIPPINES BAGUIO										 Governor Pack Road, Baguio City, Benguet, CAR										 VAT Reg. TIN: 000-864-006-00007										 										 Request for Quotation										 UPB Supply and Property Management Office										 										 				</t>
  </si>
  <si>
    <t xml:space="preserve"> SEE ATTACHED PROGRAM OF WORK: X X X X X X X X X X X X X X X X X X X X X X</t>
  </si>
  <si>
    <t xml:space="preserve"> 20CSF003 - Consulting Services for the Conduct of Geotechnical and Geological Survey/Investigation of Proposed Six Evacuation Centers in Region V</t>
  </si>
  <si>
    <t xml:space="preserve"> Purchase of Emergency Vehicles, Heavy Equipment, Rescue Equipment- (Procurement/Acquisition of life-saving rescue equipment, tools and firefighting PPG/PPE) : Stabilization tools for light and heavy vehicles, waterproof drone equipment with pilot license,</t>
  </si>
  <si>
    <t xml:space="preserve"> Construction of FMR Slope Protection Subec, Sta. Catalina, Ilocos Sur</t>
  </si>
  <si>
    <t xml:space="preserve"> MUNICIPALITY OF BORBON 2ND FLOOR MUNICIPAL BUILDING DESCRIPTION: 10,440 PACKS SQUASH MALUNGGAY 24G PACK 10,440 PACKS MILKY BANANA AND OATS 24G PACK 3,450 PACKS NUTRI-MILK CHOCO 30G PACKS</t>
  </si>
  <si>
    <t xml:space="preserve"> INVITATION TO BID -RE-ADVERTISE REGRAVELLING OF FARM TO MARKET ROAD  ITB NO.2020-07-001 1. The Barangay Lanna Enrile,Cagayan intends to apply the sum of One Hundred Thousand Pesos only (P100,000.00) being the Approved Budget for the Contract (ABC) for the</t>
  </si>
  <si>
    <t xml:space="preserve"> INVITATION TO BID ITB NO. 2020 - 03 (01) 1.	 The Department of Health – Eastern Visayas Center for Health Development, through the Bids and Awards Committee (BAC)  invites contractors to bid for the hereunder project: Cluster 1: 1.	Completion of BHS San P</t>
  </si>
  <si>
    <t xml:space="preserve"> PURCHASE AND DELIVERY OF MATERIALS FOR THE CONSTRUCTION OF COCOA PROCESSING FACILITY BUILDING PHASE II, BRGY. LICU-AN DINGLE, ILOILO</t>
  </si>
  <si>
    <t xml:space="preserve"> Procurement of Laptops and Printers to be used at different schools in Guagua East District and Guagua West District</t>
  </si>
  <si>
    <t xml:space="preserve"> OFFICE SUPPLIES  (PHP 200, 000.00) 1. Bond Paper 70 gsm Long 2. Bond Paper 70 gsm Short 3. Printer Ink (Epson 664 Black) 4. Record Book Valiant (100's) 5. Gel Ink PEn (Black &amp; Blue) 6. Ball Point Pen (Blue) 7. Stapler with remover (HD- 50R#35) Max 8. Stap</t>
  </si>
  <si>
    <t xml:space="preserve"> INVITATION TO BID ITB NO. 2020 - 03 (06) 1.	 The Department of Health – Eastern Visayas Center for Health Development, through the Bids and Awards Committee (BAC)  invites contractors to bid for the hereunder project: Cluster 6: 1.	Completion of BHS Carol</t>
  </si>
  <si>
    <t xml:space="preserve"> Republic of the Philippines Province of Southern Leyte Municipality of Hinunangan Barangay Badiangon INVITATION TO BID For  RECONSTRUCTION OF BARANGAY CANAL Project ID: 2020GENERALFUND/Contract No.2020-001 1.	The Barangay Local Government Unit of Barangay</t>
  </si>
  <si>
    <t xml:space="preserve"> Concreting of 8 L.M. along Inilian-Galutan-Burac-Coroconog-Balnasan Farm-to-Market Road with a width of 4.0m and thickness of 0.20m. 100   -  48.00 sq.m. Clearing and Grubbing 104   -   3.20 cu.m Embankment (Shouldering) 105   -   48.00 sq.m Sub grade Pre</t>
  </si>
  <si>
    <t xml:space="preserve"> INVITATION TO BID ITB NO. 2020 - 03(05) 1.	 The Department of Health – Eastern Visayas Center for Health Development, through the Bids and Awards Committee (BAC)  invites contractors to bid for the hereunder project: Cluster 5: 1.	Completion of BHS Tugas,</t>
  </si>
  <si>
    <t xml:space="preserve"> Republic of the Philippines Province of Southern Leyte Municipality of Hinunangan Barangay Badiangon INVITATION TO BID For  CONCRETING OF BARANGAY TRAIL Project ID: 2020GENERALFUND/Contract No.2020-002 1.	The Barangay Local Government Unit of Barangay Bad</t>
  </si>
  <si>
    <t xml:space="preserve"> INVITATION TO BID ITB NO. 2020 - 03 (04) 1.	 The Department of Health – Eastern Visayas Center for Health Development, through the Bids and Awards Committee (BAC)  invites contractors to bid for the hereunder project: Cluster 4: 1.	Completion of BHS Auror</t>
  </si>
  <si>
    <t xml:space="preserve"> CONSTRUCTION OF TOILETS WITH SEPTIC TANK</t>
  </si>
  <si>
    <t xml:space="preserve"> 1.	The Department of Health -Center for Health Development-Cordillera Administrative Region (DOH-CHD-CAR), through the Government of the Philippines, intends to bid the hereunder projects for Procurement of Drugs and Medicines, Oral Contraceptive, Contrac</t>
  </si>
  <si>
    <t xml:space="preserve"> IMPROVEMENT OF MULTI-PURPOSE BUILDING</t>
  </si>
  <si>
    <t xml:space="preserve"> INVITATION TO BID CATERING SERVICES FOR VARIOUS PROGRAMS AND ACTIVITIES OF THE CITY 1.	The Local Government Unit of Cabadbaran City through the GENERAL FUND intends to apply the sum of ONE HUNDRED TWELVE THOUSAND FOUR HUNDRED PESOS ONLY (P 112,400.00) bei</t>
  </si>
  <si>
    <t xml:space="preserve"> INVITATION TO BID SUPPLY AND DELIVERY OF ONE (1) UNIT HEAVY DUTY PHOTOCOPIER MACHINE FOR CITY PEACE &amp; ORDER SECRETARIAT  1.	The Local Government Unit of Cabadbaran City through the PEACE &amp; ORDER FUND intends to apply the sum of ONE HUNDRED TWENTY THOUSAND</t>
  </si>
  <si>
    <t xml:space="preserve"> Construction of 185.3 sq.m. Evacuation Center Phase II: I     -    86.54 sq.m Structure Excavation II    -   38.82 Cu.m. Reinforced Concrete III   -   298.00 cu.m Masonry Works IV   -   720.00 cu.m Architectural Finishes V    -   19.80 cu.m Slab on Fill V</t>
  </si>
  <si>
    <t xml:space="preserve"> 73 reams bond paper long 101 reams bond paper A4 10 reams bond paper A3 16 reams bond paper short 4 dozen black ballpen 22 boxes fastener 62 bot alcohol 5 box staple wire #10 29 boxes staple wire #35 13 bot Epson ink magenta 15 bot Epson ink cyan 15 bot E</t>
  </si>
  <si>
    <t xml:space="preserve"> INVITATION TO BID CATERING SERVICES FOR HANDOG PASASALAMAT AND LOYALTY AWARD PROGRAM 1.	The Local Government Unit of Cabadbaran City through the GENERAL FUND intends to apply the sum of ONE HUNDRED FIFTY THOUSAND PESOS ONLY (P 150,000.00) being the Approv</t>
  </si>
  <si>
    <t xml:space="preserve"> BLGU-TINALIAN-AL-01-2020 CONSTRUCTION OF CONCRETE PAVEMENT</t>
  </si>
  <si>
    <t xml:space="preserve"> Republic of the Philippines Province of Dinagat Islands Municipality of Basilisa Barangay RITAGLENDA -oOo- Project Reference Number: BLGU RITAGLENDA 2020 Name of Project: CONCRETINF OF 125 LN.M ACCESS ROAD Location of the Project: Barangay Ritaglenda,Basi</t>
  </si>
  <si>
    <t xml:space="preserve"> The City Government of Malolos, through its BIDS and AWARDS COMMITTEE (BAC) Invites Suppliers/Manufacturers/Distributors to Bid for hereunder procurement:  PR No. : GSO-2020-07-1004 Name of Project : MULTI PURPOSE HALL AT BAHAY KALINGA, BRGY MAMBOG, CITY </t>
  </si>
  <si>
    <t xml:space="preserve"> The Bids and Awards Committee (BAC) of the Municipality of Castilla, Sorsogon invites qualified contractor’s to bid for the project: Contract Name	: PURCHASE OF MDRRMO OFFICE EQUIPMENT Contract Location	: Castilla, Sorsogon Approved Budget for the Contrac</t>
  </si>
  <si>
    <t xml:space="preserve"> Procurement of various medicines to be used at RHU-I, II, III, and III-Extension for 3rd and 4th Quarter of CY 2020</t>
  </si>
  <si>
    <t xml:space="preserve"> SEE THE ATTACHMENT</t>
  </si>
  <si>
    <t xml:space="preserve"> PNP Standard Type "B/C" two 2 storey building with Covered Roof deck</t>
  </si>
  <si>
    <t xml:space="preserve"> Republic of the Philippines LUBAO WATER DISTRICT San Nicolas I Lubao, Pampanga Tel # (045) 307-0473  E-mail Address: lubaowaterdistrict@yahoo.com Invitation to Bid for ITB No. 2020 – 001 Installation of Main Distribution Line for Purok 4 Sitio Akli, Baran</t>
  </si>
  <si>
    <t xml:space="preserve"> The DPWH-Regional Office I, through its Bids and Awards Committee (BAC), invites contractors to submit bids for the following Contract: Contract ID: 21A00009 Contract Name: Retrofitting/Strengthening of Permanent Bridges, Pancian Bridge (B00549LZ) along M</t>
  </si>
  <si>
    <t xml:space="preserve"> INVITATION TO BID SUPPLY AND DELIVERY OF VEHICLE MAINTENANCE SUPPLIES FOR VARIOUS TRANSPORTATION EQUIPMENT OF THE CITY 1.	The Local Government Unit of Cabadbaran City through the GENERAL FUND intends to apply the sum of THREE HUNDRED FIFTY-ONE THOUSAND TH</t>
  </si>
  <si>
    <t xml:space="preserve"> FUEL ABC: PHP 61,514.60</t>
  </si>
  <si>
    <t xml:space="preserve"> CALABANGA WATER DISTRICT San Antonio, Calabanga, Camarines Sur INVITATION TO BID FOR Supply and Delivery of Submersible Pump, Motor and VFD Controller 1.	The Calabanga Water District, through the Corporate Budget of 2020 intends to apply the sum of P1,400</t>
  </si>
  <si>
    <t xml:space="preserve"> SEE ATTACHED PROGRAM OF WORK</t>
  </si>
  <si>
    <t xml:space="preserve"> 1.	The Municipality of Caraga, through the Bottoms Up Budgeting CY 2016   intends to apply the sum of Five Hundred Forty Seven Thousand Four Hudred Fifty Three &amp; 35/100 (PhP 547,453.35) being the Approved Budget for the Contract (ABC) to payments under th</t>
  </si>
  <si>
    <t xml:space="preserve"> Item No. 311 Portland Cement Concrete Pavement Design Mix - 1:2:4 Length       - 57.0 m Width        -  3.0 m Thickness  -   0.15 m Area          -  171.0 sq. m. Volume      - 25.65 cu. m.</t>
  </si>
  <si>
    <t xml:space="preserve"> The Barangay Dagupan, Tuao Cagayan through its 20% Barangay Dev't fund intends to apply the sum of Php 75,760.00 being the Approved Budget for the Contract (ABC) to payments under the contract for Procurement of Materials for the Expansion of Water System</t>
  </si>
  <si>
    <t xml:space="preserve"> INVITATION TO BID ITB NO. 2020 - 03 (03) 1.	 The Department of Health – Eastern Visayas Center for Health Development, through the Bids and Awards Committee (BAC)  invites contractors to bid for the hereunder project: Cluster 3: 1.	 Completion of BHS Malo</t>
  </si>
  <si>
    <t xml:space="preserve"> INVITATION TO BID  REGRAVELLING OF FARM TO MARKET ROAD (RE- ADVERTISE) ITB No. : 2020-07-001  1. The Barangay LANNA of Enrile, Cagayan intends to apply the sum of ONE HUNDRED  THOUSAND  PESOS  (P 100,000.00) being the Approved Budget for the Contract (ABC</t>
  </si>
  <si>
    <t xml:space="preserve"> BLGU-PAGSANGAN-AL-02-2020 REHABILITATION/IMPROVEMENT OF SENIOR CITIZEN BUILDING</t>
  </si>
  <si>
    <t xml:space="preserve"> MUNICIPALITY: QUINAPONDAN,EASTERN SAMAR VILLAREAL.SAMAR STA.RITA,SAMAR MARABUT,SAMAR BALANGIGA,EASTERN SAMAR LAWAAN,EASTERN SAMAR GIPORLOS,EASTERN SAMAR SALCEDO,EASTERN SAMAR MERCEDES,EASTERN SAMAR BALANGKAYAN,EASTERN SAMAR</t>
  </si>
  <si>
    <t xml:space="preserve"> INVITATION TO BID ITB NO. 2020 - 03(08) 1.	 The Department of Health – Eastern Visayas Center for Health Development, through the Bids and Awards Committee (BAC)  invites contractors to bid for the hereunder project: Cluster 8: 1.	Completion of BHS Maraga</t>
  </si>
  <si>
    <t xml:space="preserve"> Republic of the Philippines City Government of Cotabato BIDS AND AWARDS COMMITTEE Cotabato City INVITATION TO BID  FOR THE PURCHASE OF CONSTRUCTION MATERIALS  1.	The City Government of Cotabato, through Ordinance No. 4577 series of 2018,  intends to apply</t>
  </si>
  <si>
    <t xml:space="preserve"> Republic of the Philippines  Province of Samar Municipality of Sto. Niño INVITATION TO BID FOR the Procurement of fuel (diesel and gasoline). 1.	The Municipality of Sto. Niño, Samar, through the MDRRM Trust Fund C.Y 2011-2014 Fund intends to apply the sum</t>
  </si>
  <si>
    <t xml:space="preserve"> The Tariff Commission (TC), through its Bids and Awards Committee (BAC), will conduct a Negotiated Procurement under Section 53.9 (Small Value Procurement) of the 2016 Revised Implementing Rules and Regulations of Republic Act No. 9184, otherwise known as</t>
  </si>
  <si>
    <t xml:space="preserve"> INVITATION TO BID ITB NO. 2020 - 03(07) 1.	 The Department of Health – Eastern Visayas Center for Health Development, through the Bids and Awards Committee (BAC)  invites contractors to bid for the hereunder project: Cluster 7: 1.	Completion of BHS Cagdin</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</si>
  <si>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</si>
  <si>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ITEM: 102(2)- Surplus Common Excavation 103(1)- Structure Excavation (Common Soil) 104(1)a- Embankment 105(1)- Sub-grade Preparation (Common Materials) 200- Aggregate Sub- base Course (150mm thk) 201- Aggregate Surface Course 311- Portland Cement Concrete</t>
  </si>
  <si>
    <t xml:space="preserve"> Location: LGU-Lagawe ABC: Php 3,210,000.00 Cost of Bid Docs: 5,000.00 The Procurement Schedules are as following: 1. Deadline of buying of Bid Docs: September 2, 2020 @ 5:00 PM 2. Deadline for submission of Bid Docs: September 3, 2020 @ 9:00 AM 3. Opening</t>
  </si>
  <si>
    <t xml:space="preserve"> 1. The Local Government Unit of San Andres, Quezon through its LGSF Fund intends to apply the sum of Six Million Pesos (Php 6,000,000.00) only being the Approved Budget for the Contract (ABC) to payments under the contract for Construction of Multi-purpos</t>
  </si>
  <si>
    <t xml:space="preserve"> Republic of the Philippines Province of Bulacan Municipality of Bocaue INVITATION TO BID FOR CONSTRUCTION OF SANITARY TOILETS WITH HYGIENE FACILITIES FOR PUBLIC PLACES  (BARANGAY LOLOMBOY AND IGULOT) 1	The Municipality of Bocaue, through the Annual Approp</t>
  </si>
  <si>
    <t xml:space="preserve"> Supply and delivery of 2 units brand new duplicator machine with 3n1 photocopier develop including installation and training with the following technical specifications: Processing: high-speed digital master making/fully automatic printing Master making t</t>
  </si>
  <si>
    <t xml:space="preserve"> Republic of the Philippines Province of Davao de Oro Municipality of Monkayo -o0o- INVITATION TO BID FOR THE PROCUREMENT OF FUEL FOR MAYOR’S OFFICE USE  The Municipality of Monkayo, through the GENERAL FUND intends to apply the sum of ONE HUNDRED THIRTY-S</t>
  </si>
  <si>
    <t xml:space="preserve"> 1.The Local Government Unit of San Andres, Quezon through its General Fund intends to apply the sum of Two Million One Hundred Forty Six Thousand Eight Hundred Pesos (Php 2,146,800.00) only being the Approved Budget for the Contract (ABC) to payments unde</t>
  </si>
  <si>
    <t xml:space="preserve"> Republic of the Philippines Province of Samar MUNICIPALITY OF SAN JORGE Invitation to Bid for Proposed Level II Water System (Submersible Pump)Guadalupe 1.	The LGU San Jorge, through the DILG SALINTUBIG 2019  intends to apply the sum of Two Million  Pesos</t>
  </si>
  <si>
    <t xml:space="preserve"> PGBH-C-2020-024 PR2020-155 INVITATION TO BID FOR THE BULK PROCUREMENT OF CATERING SERVICES AND ACCOMMODATION SERVICES FOR THE 3RD QUARTER OF CY 2020 - D. OTHER ACTIVITIES (PACKED MEAL) ABC: P 4,764,570.00 COST OF BID DOCUMENTS: P 5,000.00 ADVERTISEMENT PE</t>
  </si>
  <si>
    <t xml:space="preserve"> Republic of the Philippines Province of Samar MUNICIPALITY OF SAN JORGE Invitation to Bid for Proposed Level II Water System (Submersible Pump)Libertad 1.	The LGU San Jorge, through the DILG SALINTUBIG 2019  intends to apply the sum of Two Million  Pesos </t>
  </si>
  <si>
    <t xml:space="preserve"> INVITATION TO BID ITB NO. 2020 - 03(09) 1.	 The Department of Health – Eastern Visayas Center for Health Development, through the Bids and Awards Committee (BAC)  invites contractors to bid for the hereunder project: Cluster 9: 1.	Completion of BHS Magtao</t>
  </si>
  <si>
    <t xml:space="preserve"> PGBH-C-2020-023 PR2020-154 INVITATION TO BID FOR THE BULK PROCUREMENT OF CATERING SERVICES AND ACCOMMODATION SERVICES FOR THE 3RD QUARTER OF CY 2020 - C. TRAININGS/SEMINARS/WORKSHOPS AND CONSULTATIVE MEETINGS AND OTHER CAPACITY-BUILDING RELATED ACTIVITIES</t>
  </si>
  <si>
    <t xml:space="preserve"> Location: LGU-Lagawe ABC: Php 13,050,000.00 Cost of Bid Docs: 25,000.00 The Procurement Schedules are as following: 1. Deadline of buying of Bid Docs: September 2, 2020 @ 5:00 PM 2. Deadline for submission of Bid Docs: September 3, 2020 @ 9:00 AM 3. Openi</t>
  </si>
  <si>
    <t xml:space="preserve"> Location: LGU-Lagawe ABC: Php 4,035,000.00 Cost of Bid Docs: 5,000.00 The Procurement Schedules are as following: 1. Deadline of buying of Bid Docs: September 2, 2020 @ 5:00 PM 2. Deadline for submission of Bid Docs: September 3, 2020 @ 9:00 AM 3. Opening</t>
  </si>
  <si>
    <t xml:space="preserve"> PURCHASE AND DELIVERY OF MATERIALS FOR THE CONSTRUCTION OF CEMETERY COMFORT ROOM, BRGY. TANGHAWAN DINGLE, ILOILO</t>
  </si>
  <si>
    <t xml:space="preserve"> Solar Street Light ABC: PHP350,000.00 Quantity: 20 set Specification: Solar Light Dimension: 95x34x11cm Power 200w Solar Panel 35x70cm 6V 40w Battery 3.2V 40AH Charging 6-8 hours Discharging time 10-12 hours, lasting 2-3 rainy days Sensor Dusk Senor, Remo</t>
  </si>
  <si>
    <t xml:space="preserve"> Contract Name: 20GKF0052-Purchase of Fuel for Service Vehicles at DPWHLanao del Norte 2nd DEO Contract Location: Iligan City Brief Description of Goods to be Procured: Diesel =10,460 liters, Fuel Save Extra (Gasoline)=5,250 liters Approved Budget for the </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</si>
  <si>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</si>
  <si>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INVITATION TO BID CONSTRUCTION OF THE EXTENSION OF BARANGAY HALL WITH COMFORT ROOM (PHASE 1) ITB No. : 2020-08-001 1. The Barangay Maddarulug Sur of Enrile, Cagayan intends to apply the sum of One Hunded Ninety Nine Thousand Nine Hundred Nine Pesos and Ei</t>
  </si>
  <si>
    <t xml:space="preserve"> INVITATION TO BID No. IB-2020-IX-07-01 The Municipality of Sibalom through its Bids &amp; Awards Committee (BAC), invites bidders/contractors to apply for eligibility and to bid for the hereunder project: Project           	 		:	BOOKPAPER, A4 (SEF) Location		</t>
  </si>
  <si>
    <t xml:space="preserve"> 1 BAG TRAUMA KIT BAG WITH CONTENT 1 BAG FIRST AID KIT BAG (MEDIUM SIZE) W/ CONTENT 2 PCS FOLDAWAY STRETCHER  4 PCS REFLECTORIZE SAFETY VEST 2 PCS FLASHLIGHT,HEAVY DUTY (BIG) 1 PACK BAG VALVE MASK (AMBU BAG) 1 PC PORTABLE NEBULIZER 10 PCS NEBULIZER KIT W/ </t>
  </si>
  <si>
    <t xml:space="preserve"> INVITATION TO BID Procurement of Printing and Binding of Self Learning Modules from Kindergarten to Grade 2 for Second Quarter SY 2020-2021 (LOT 1) 1.	The DepED-Division of Iligan City, through the Sub-Allotment Release Order No. OSEC-10-20-0868 intends t</t>
  </si>
  <si>
    <t xml:space="preserve"> Republic of the Philippines Province of Samar MUNICIPALITY OF SAN JORGE Invitation to Bid for Proposed Level II Water System (Submersible Pump)Canyaki 1.	The LGU San Jorge, through the DILG SALINTUBIG 2019  intends to apply the sum of Two Million  Pesos (</t>
  </si>
  <si>
    <t xml:space="preserve"> INVITATION TO BID FOR (Procurement of Goods; Supply and Delivery of Common-Used Office Supplies and Devices not available at PS-DBM for use of Planning and Design Section  MMIDEO, NCR, DPWH, Rosario, Pasig City) 	The Metro Manila 1st District Engineering </t>
  </si>
  <si>
    <t xml:space="preserve"> Please see attachments</t>
  </si>
  <si>
    <t xml:space="preserve"> see associated components for downloadable REQUEST FOR QUOTATION (PURCHASE REQUEST) 2020-07-05 Labor and Materials @ Php. 325,705.63 Note: Prospective Suppliers/Bidders shall submit their Quotation and Eligibility Requirements to the BAC at the said addre</t>
  </si>
  <si>
    <t xml:space="preserve"> The Barangay Bagumbayan, Tuao Cagayan through its MUNICIPAL AIDE Fund intends to apply the sum of             Php 174,651.40  being the Approved Budget for the Contract (ABC) to payments under the contract for   Installation of Street Lights. Bids receive</t>
  </si>
  <si>
    <t xml:space="preserve"> Republic of the Philippines Province of Oriental Mindoro MUNICIPALITY OF SAN TEODORO INVITATION TO BID FOR THE  CONSTRUCTION OF LIVELIHOOD BUILDING No. 2020-16 August 14, 2020 1.	The Municipality of San Teodoro intends to apply the sum of One Million, One</t>
  </si>
  <si>
    <t xml:space="preserve"> Republic of the Philippines Province of Palawan Municipality of Dumaran BIDS AND AWARDS COMMITTEE dum_bacsecretariat@yahoo.com INVITATION TO BID FOR SUPPLY AND DELIVERY OF 2 UNITS 6-WHEELER DUMPTRUCK 1.	The Municipal Government of Dumaran, Palawan, throug</t>
  </si>
  <si>
    <t xml:space="preserve"> Please See Attachment</t>
  </si>
  <si>
    <t xml:space="preserve"> Republic of the Philippines Province of Samar MUNICIPALITY OF SAN JORGE Invitation to Bid for Proposed Level II Water System (Submersible Pump) Poblacion I 1.	The LGU San Jorge, through the DILG SALINTUBIG 2020  intends to apply the sum of One Million Six</t>
  </si>
  <si>
    <t xml:space="preserve"> Republic of the Philippines Province of Samar MUNICIPALITY OF SAN JORGE Invitation to Bid for Proposed Level II Water System (Submersible Pump) Mancol 1.	The LGU San Jorge, through the DILG SALINTUBIG 2020  intends to apply the sum of One Million Six Hund</t>
  </si>
  <si>
    <t xml:space="preserve"> Republic of the Philippines Province of Southern Leyte Municipality of Silago Invitation to Bid for  Renovation and Expansion of Silago Public Market 1.	The LGU of  Silago, Province of Southern Leyte, through the LGSF-Other Financial Assistance to LGUs,  </t>
  </si>
  <si>
    <t xml:space="preserve"> Republic of the Philippines Province of Palawan Municipality of Dumaran BIDS AND AWARDS COMMITTEE dum_bacsecretariat@yahoo.com INVITATION TO BID FOR SUPPLY AND DELIVERY OF 1 UNIT 6- WHEELER DUMPTRUCK 1.	The Municipal Government of Dumaran, Palawan, throug</t>
  </si>
  <si>
    <t xml:space="preserve"> Republic of the Philippines Province of Samar MUNICIPALITY OF SAN JORGE Invitation to Bid for Proposed Level II Water System (Submersible Pump)Mobo-ob 1.	The LGU San Jorge, through the DILG SALINTUBIG 2019  intends to apply the sum of Two Million  Pesos (</t>
  </si>
  <si>
    <t xml:space="preserve"> 1. The Local Government Unit of San Andres, Quezon through its Trust  Fund (SCRF) intends to apply the sum of Two Hundred Sixty Six Thousand Four Hundred Seventy Five Pesos (Php 266,475.00) only being the Approved Budget for the Contract (ABC) to payments</t>
  </si>
  <si>
    <t xml:space="preserve"> Conduct of geotechnical investigations along the entire alignment of each dike and bridges specifically at locations with Slope failures tension cracks, and area with settlement and subsidence and at sinking areas.</t>
  </si>
  <si>
    <t xml:space="preserve"> 1.	The Department of Health -Center for Health Development-Cordillera Administrative Region (DOH-CHD-CAR), through the Government of the Philippines, intends to bid the hereunder projects for the Procurement of Reproduction and Printing Services with a to</t>
  </si>
  <si>
    <t xml:space="preserve"> The Barangay Barancuag, Tuao Cagayan through its Supplemental Fund intends to apply the sum of Php 100,000.00 being the Approved Budget for the Contract (ABC) to payments under the contract for Purchased of Tent (2 UNITS). Bids received in excess of the A</t>
  </si>
  <si>
    <t xml:space="preserve"> Laptop 		unit	1 Core i7						 10th Generation</t>
  </si>
  <si>
    <t xml:space="preserve"> RJO-FURNISHING OF MATERIALS AND LABOR FOR THE OPERATION/		 MAINTENANCE/UPKEEP OF FACILITIES AT DAM AREA OF AGUS 6 HEP</t>
  </si>
  <si>
    <t xml:space="preserve"> INVITATION TO BID Procurement of Printing and Binding of Self Learning Modules from Grade 3 to Grade 12  for Second Quarter SY 2020-2021 (LOT 2) 1.	The DepED-Division of Iligan City, through the Sub-Allotment Release Order No. OSEC-10-20-0868 intends to a</t>
  </si>
  <si>
    <t xml:space="preserve"> The Supreme Court of the Philippines, through the Bids &amp; Awards Committee for the Halls of Justice, invites bids for the procurement of works contractor/s for refurbishment of leased property to house the four (4) newly created Regional Trial Courts in Ba</t>
  </si>
  <si>
    <t xml:space="preserve"> Aggregate Sub-base course Aggregate base course Portland cement Concrete Pavement etc.</t>
  </si>
  <si>
    <t xml:space="preserve"> Republic of the Philippines Province of Samar MUNICIPALITY OF SAN JORGE Invitation to Bid for Proposed Level II Water System (Submersible Pump) Erenas 1.	The LGU San Jorge, through the DILG SALINTUBIG 2020  intends to apply the sum of One Million Six Hund</t>
  </si>
  <si>
    <t xml:space="preserve"> Continuous Form	                    36	boxes Statement of Account		 6,000 pcs per box with series		 2185001-2401000		 		 Size: 4" x 8 1/2"		 No. of pages: 1 side printing		 Paper Stock: Book paper 70gsm		 Color: 2 x 0 + security features		 Binding: Contin</t>
  </si>
  <si>
    <t xml:space="preserve"> Republic of the Philippines          City of Dumaguete Bids and Awards Committee INVITATION TO BID FOR PURCHASE REQUEST OF 240 PCS CHB 4” 	The City of Dumaguete thru its BIDS AND AWARDS COMMITTEE (BAC), invites all interested manufacturers, suppliers, dea</t>
  </si>
  <si>
    <t xml:space="preserve"> Republic of the Philippines PROVINCE OF BOHOL Municipality of Dagohoy INVITATION TO BID FOR THE PURCHASE OF RESCUE EQUIPMENT, GEARS, ETC. FOR LGU-DAGOHOY 1. The Local Government Unit of Dagohoy, Bohol intends to apply the sum of Four Hundred Thirty Six Th</t>
  </si>
  <si>
    <t xml:space="preserve"> PHRMDO-C-NC-2020-134 PR2020-151 REQUEST FOR QUOTATION FOR THE PROCUREMENT OF CATERING SERVICES FOR THE 120TH CIVIL SERVICE ANNIVERSARY CELEBRATION ON SEPTEMBER 18, 2020 COST OF CANVASS: P 250.00</t>
  </si>
  <si>
    <t xml:space="preserve"> 1.	The Local Government Unit of Kabacan, through Office of the Mayor  intends to apply the sum of Seven Hundred Twenty Nine Thousand One Hundred Pesos (P 729,100.00) being the Approved Budget for the Contract (ABC) to payments under the contract for Procu</t>
  </si>
  <si>
    <t xml:space="preserve"> Interested bidders may obtain further information from the City of Balanga and inspect the Bidding Documents at the address given below from 9:00 a.m. to 4:00 p.m. A complete set of Bidding Documents may be acquired by interested Bidders on August 17 to S</t>
  </si>
  <si>
    <t xml:space="preserve"> RJO-UPDATING OF SPARES &amp; MATERIALS REQUIREMENTS OF ALL PLANT 			 GENERATING SYSTEMS/STANDARD PLANT IDENTIFICATION NUMBERS(SPIN)</t>
  </si>
  <si>
    <t xml:space="preserve"> PGBH-C-2020-022 PR2020-153 INVITATION TO BID FOR THE BULK PROCUREMENT OF CATERING SERVICES AND ACCOMMODATION SERVICES FOR THE 3RD QUARTER OF CY 2020 - B. EVENTS/ACTIVITIES/PROGRAMS INVOLVING PROVINCIAL AND MUNICIPAL OFFICIALS, OTHER GOVERNMENT AGENCIES &amp; </t>
  </si>
  <si>
    <t xml:space="preserve"> Republic of the Philippines Province of Samar MUNICIPALITY OF SAN JORGE Invitation to Bid for Proposed Level II Water System (Submersible Pump)Puhagan 1.	The LGU San Jorge, through the DILG SALINTUBIG 2019  intends to apply the sum of Two Million  Pesos (</t>
  </si>
  <si>
    <t xml:space="preserve"> INVITATION TO BID Renovation/Construction of National Disaster Risk Reduction and Management Office (ITB No. 03-CW-2020)</t>
  </si>
  <si>
    <t xml:space="preserve"> PGBH-C-2020-021 PR2020-152 INVITATION TO BID FOR THE BULK PROCUREMENT OF CATERING SERVICES AND ACCOMMODATION SERVICES FOR THE 3RD QUARTER OF CY 2020 - A. EVENTS/ACTIVITIES/PROGRAMS INVOLVING FOREIGN AND NATIONAL DIGNITARIES AND VIPS ABC: P 962,500.00 COST</t>
  </si>
  <si>
    <t xml:space="preserve"> Construction of Record Center, San Pascual, Masbate</t>
  </si>
  <si>
    <t xml:space="preserve"> Supply and Delivery of Materials for the Construction of Multi-Purpose Bldg., (Senior Citizen) Phase II at BLGU Doña Josefa, Laak, Davao De Oro with an ABC of Php. 85,490.00. Note: For further details of the said project, please see/contact Hon. Renato S.</t>
  </si>
  <si>
    <t xml:space="preserve"> Republic of the Philippines Province of Samar MUNICIPALITY OF SAN JORGE Invitation to Bid for Proposed Level II Water System (Submersible Pump) Poblacion II 1.	The LGU San Jorge, through the DILG SALINTUBIG 2020  intends to apply the sum of One Million Si</t>
  </si>
  <si>
    <t xml:space="preserve"> SULTAN KUDARAT STATE UNIVERSITY ACCESS, EJC Montilla, Tacurong City INVITATION TO BID FOR REPOSTING FOR THE COMPLETION OF GYMNASIUM AT SKSU-ACCESS CAMPUS 1.	The Sultan Kudarat State University, through the National Expenditure Program, 2020 intends to app</t>
  </si>
  <si>
    <t xml:space="preserve"> Office Supplies to the Office of the Sanggunian Bayan</t>
  </si>
  <si>
    <t xml:space="preserve"> Copy Printer DX 2430		unit	1 Type:                  Digital, desktop						 Printer Process: Fully-automatic one-drum			                            Stencil system			 Originals:            Sheet (1 original sheet only)			 Original size:    Min.: 90x 140mm		</t>
  </si>
  <si>
    <t xml:space="preserve"> Interested Bidders may obtain further information from the Office of the BAC Secretariat, San Miguel Bulacan, and Inspect the Bidding Documents at the address given below during office hours (8am-12noon to 1pm- 5pm).  All Bidding Documents are for pick-up</t>
  </si>
  <si>
    <t xml:space="preserve"> Republic of the Philippines City Government of Cotabato OFFICE OF THE CITY MAYOR Cotabato City INVITATION TO BID FOR  Procurement of Office Equipment for Use of  DepEd Division of Cotabato City  1.	The City Government of Cotabato, through the DepEd Divisi</t>
  </si>
  <si>
    <t xml:space="preserve"> 12,800 good quality Oil Palm Seedlings F1 Technical Specification: Variety:	F1 Hybrid Age:		10 to 12 months Height:	1.5 to 2 ft. General Physical Appearance -Polybagged in 16” x 18” x 0.003 inches Poly Ethylene Bag -Free from abnormalities -Free from pest</t>
  </si>
  <si>
    <t xml:space="preserve"> Republic of the Philippines Province of Samar MUNICIPALITY OF SAN JORGE Invitation to Bid for Upgrading of Local Access Road Blanca Aurora-Tomogbong FMR (Selective) 1.	The LGU San Jorge, through the LGSF-AM FY 2020   intends to apply the sum of Four  Mill</t>
  </si>
  <si>
    <t xml:space="preserve"> Three (3) Toner Split Type Aircon, One (1) Unit Split Type Aircon 2.5Hp,One (1) Unit Split Type Aircon 1.0HP</t>
  </si>
  <si>
    <t xml:space="preserve"> Location: Municipal Compound, Poblacion I, Moncada , Tarlac Scope of Work to be done: 1. Column at third Floor 2. Lintel Beam and Parapet at First Floor 3. Lintel Beam at Second Floor 4. Beam at third floor 5. Flooring at Second Floor 6. Flooring at third</t>
  </si>
  <si>
    <t xml:space="preserve"> Raincoats, Ball Caps, Reflectorized Vest &amp; Longsleeves</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</si>
  <si>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</si>
  <si>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Location of the Project: Brgy. Bondulan, San Dionisio, Iloilo Approved Budget for the Contract: P214,290.00 Funding Source: Municipal Aid to Barangay, 20% Development Fund, CY 2019 Bid Opening: August 28, 2020 at 10:00 0'clock in the morning at Municipal </t>
  </si>
  <si>
    <t xml:space="preserve"> 45	BAGS	CEMENT 6	CU.M.	SAND 3	CU.M.	GRAVEL 30	LENGTH	10MM DEF. BARS 4	KGS	#16 TIE WIRE 600	PCS	4’’ THICK CHB 40	BD.FT.	2x4x12-5 pcs. TRUSSES 108	BD.FT.	2x3x12-18pcs. PURLINS 1	KGS.	#2’’ CWN 10	KGS.	#4’’ CWN 5	KGS.	#3’’ CWN 16	SHEETS	GI CORROGATED SHEET 3	</t>
  </si>
  <si>
    <t xml:space="preserve"> Office Supplies, Surgical gloves &amp; Face masks</t>
  </si>
  <si>
    <t xml:space="preserve"> Location of the Project: DepEd, District of San Dionisio, Iloilo Approved Budget for the Contract: )931,000.00 Funding Source: S.E.F., CY 2020 Bid Opening: August 28, 2020 at 10:00 A.M. at Municipal Building, Poblacion, San Dionisio, Iloilo</t>
  </si>
  <si>
    <t xml:space="preserve"> Complete construction of 2 (two) storey 4-Classroom School Building (mostly built with concrete and masonry, with PWD ramp with handrails, parapet wall on concrete gutter, plumbing works, ventilation, stairwall 5 m width, steel casement window at rear por</t>
  </si>
  <si>
    <t xml:space="preserve"> Smart  Buddy (300) Smart  Buddy (100) Globe (300) Globe (100) TNT (300) TNT (100)</t>
  </si>
  <si>
    <t xml:space="preserve"> Purchase of Distilled Water and Disinfectant Concentrate (Benzalkonium chloride, 1 gallon)</t>
  </si>
  <si>
    <t xml:space="preserve"> Electrical Supplies for street lights</t>
  </si>
  <si>
    <t xml:space="preserve"> Construction materials for the construction of street lights</t>
  </si>
  <si>
    <t xml:space="preserve"> REHABILITATION: INORGANIC FERTILIZERS: 1,800 bags - Ammonium Sulfate (21-0-0) @ 50kgs/bag (900 bags - North Cotabato; 900 bags  Sultan Kudarat) 3,000 bags - Muriate of Potash (0-0-60) @ 50kgs/bag (1,500 bags - North Cotabato; 1,500 bags  Sultan Kudarat)</t>
  </si>
  <si>
    <t xml:space="preserve"> Complete construction of 1 (one) storey unique Workshop Building with reinforced concrete gutter, PWD ramp with handrails, window grilles at front and rear windows, and parapet wall</t>
  </si>
  <si>
    <t xml:space="preserve"> Republic of the Philippines Province of Samar MUNICIPALITY OF SAN JORGE Invitation to Bid for Proposed Level II Water System (Submersible Pump) San Juan, Leyte-Leyte 1.	The LGU San Jorge, through the DILG SALINTUBIG 2020  intends to apply the sum of One M</t>
  </si>
  <si>
    <t xml:space="preserve"> FERTILIZERS: 100 bags - Rock Phospate (0-26-0) @ 50 kgs./bag        50 bags - North Cotabato (Bentangan, Carmen)    50 bags - Sultan Kudarat (MAPARBEMPCO Bodega, Mapantig, Isulan)	 200 bags - Complete Fertilizer (14-14-14) @ 50 kgs./bag       100 bags - N</t>
  </si>
  <si>
    <t xml:space="preserve"> QGIS-Based Tax Mapping Information System Inc. Installation/Technical &amp; Scientific Equipment</t>
  </si>
  <si>
    <t xml:space="preserve"> INVITATION TO BID FOR (Procurement of Goods; Supply and Delivery of I.T. Equipment  and Devices not available at PS-DBM for use of   MMIDEO, NCR, DPWH, Rosario, Pasig City) 	The Metro Manila 1st District Engineering Office, through the GAA 2020 intends to</t>
  </si>
  <si>
    <t xml:space="preserve"> CEMENT &amp; 9 OTHER ITEMS</t>
  </si>
  <si>
    <t xml:space="preserve"> Contract Name: 20GKF0053- Purchase of Fuel for Service Vehicles at DPWH-Lanao del Norte 2nd DEO Contract Location: Iligan City Brief Description of Goods to be Procured: Diesel =10,605 liters, Fuel Save Extra (Gasoline)=5,355 liters Approved Budget for th</t>
  </si>
  <si>
    <t xml:space="preserve"> Republic of the Philippines PROVINCE OF PAMPANGA City of San Fernando INVITATION TO BID NO. 2020-32 IG - BAC INVITATION TO BID FOR PURCHASE REQUEST NO. 20-1542 and 20-1551 The Provincial Government of Pampanga (“Province”) intends to apply the following s</t>
  </si>
  <si>
    <t xml:space="preserve"> Invitation to Bid The LGU Alangalang, through its Bids and Awards Committee (BAC), invites prospective bidders to apply for eligibility and to bid for the hereunder project: Name of Project :  Supply and Delivery of A4 Bond Paper   of  LGU-Alangalang,Leyt</t>
  </si>
  <si>
    <t xml:space="preserve"> INORGANIC FERTILIZERS 2,733 bags - Ammonium Sulfate (AS) @ 50 kgs/bag (912 bags -North Cotabato; 912 bags -South Cotabato;909 bags - Sultan Kudarat) 3,644 bags - Potassium Chloride (KCl) @ 50 kgs/bag (1,216 bags -North Cotabato; 1,216 bags -South Cotabato</t>
  </si>
  <si>
    <t xml:space="preserve"> This will be used for Peace and Order maintenance-PNP One (1) unit pick-up truck with accessories  Engine displacement 2500cc to 3000cc Manual Transmission Diesel Fed</t>
  </si>
  <si>
    <t xml:space="preserve"> Quantity-----Unit-----Items 2.00---------Ea--------Project Billboard/Signboard 3.00---------mos.-----Occupational Safety and Health Program 3.00---------mos.-----Traffic Management 1.00---------L.s--------Mobilization/Demobilization 4,200-------sq.m-----R</t>
  </si>
  <si>
    <t xml:space="preserve"> ITEM. QTY UNIT OF DESCRIPTION NO. ISSUE 1 1000 pcs 4" CHB 2 100 bags Portland Cement 3 8 cu.m. Gravel Gi(6 wheeler DT) 4 8 cu.m. Screened Sand S1(6 wheeler DT) 5 87 pcs 10mmØx.0mx6m RSB 6 5 kgs #16 GI Tie Wire 7 1 pc 1/4"x4'x8' Marine Plywood 8 18 pcs 2"x</t>
  </si>
  <si>
    <t xml:space="preserve"> Republic of the Philippines Province of Capiz Municipality of Mambusao Barangay Burias Invitation to Bid for a One (1) Job Order for the Supply of Labor, Materials and Equipment for Improvement of Burias Public Plaza at Brgy. Burias Mambusao, Capiz   The </t>
  </si>
  <si>
    <t xml:space="preserve"> Republic of the Philippines						 Department of Environment and Natural Resources						 FORESTLAND MANAGEMENT PROJECT						 Province of Iloilo, Region VI						 						 BILL OF QUANTITIES						 Subproject Title/Name		Construction of Aglobong Irrigation and </t>
  </si>
  <si>
    <t xml:space="preserve"> Republic of the Philippines Province of Capiz Municipality of Mambusao Barangay Balat-an Invitation to Bid for a One (1) Job Order for the Supply of Labor, Materials and Equipment for Concreting of Road at Brgy. Balat-an, Mambusao, Capiz   The Barangay Co</t>
  </si>
  <si>
    <t xml:space="preserve"> PB NO. 2020-052 REPUBLIC OF THE PHILIPPINES BIDS AND AWARDS COMMITTEE SAN PABLO CITY INVITATION TO BID FOR NEGOTIATED PROCUREMENT ON LEASE OF OPEN LOT TO SERVE AS THE CITY GRAND TERMINAL 1.	The CITY GOVERNMENT OF SAN PABLO, thru the Bids and Awards Commit</t>
  </si>
  <si>
    <t xml:space="preserve"> DRAINAGE WORKS</t>
  </si>
  <si>
    <t xml:space="preserve"> PROCUREMENT OF MATERIALS FOR THE CONTINUING IMPROVEMENT OF MULTIPURPOSE COVERED GYM OF BRGY. NAPNAPAN NORTE, TIGBAUAN, ILOILO</t>
  </si>
  <si>
    <t xml:space="preserve"> Issuance of Bid Documents Starts: August 15, 2020 Cost of Bid Document: Php 18,000.00 Venue of Dropping and Opening Bids: BAC Conference Room, Leyte SMED Center, Provincial Capitol Grounds, Tacloban City</t>
  </si>
  <si>
    <t xml:space="preserve"> Consolidated Office Supplies</t>
  </si>
  <si>
    <t xml:space="preserve"> SCHOOL BUILDING</t>
  </si>
  <si>
    <t xml:space="preserve"> 1 PC DH-XVR 16 CHANNEL PENTABRID 16 PCS 1080P OUTDOOR BULLET CAMERA 1 PC 30AMP 18 CHANNEL CENTRALIZED PSU 4 PCS COAXIAL VIDEO AMPLIFIER 1 PC 6TB VIDEO HARD DRIVE 8 PCS 300MTRS/ROLL RG59+2 CABLE 32 PCS BNC SPRING TYPE CONNECTOR 16 PCS MALE DC CONNECTOR 16 </t>
  </si>
  <si>
    <t xml:space="preserve"> DRAINAGE SYSTEM</t>
  </si>
  <si>
    <t xml:space="preserve"> Issuance of Bid Documents Starts: August 15, 2020 Cost of Bid Document: Php 15,500.00 Venue of Dropping and Opening Bids: BAC Conference Room, Leyte SMED Center, Provincial Capitol Grounds, Tacloban City</t>
  </si>
  <si>
    <t xml:space="preserve"> MULTI PURP0SE HALL</t>
  </si>
  <si>
    <t xml:space="preserve"> INVITATION TO REBID The Iligan City Government Bids and Awards Committee (BAC), through Capital Outlay intends to apply the sum of                                    P 1,200,000.00 being the Approved Budget for the Contract (ABC) to payments under the Con</t>
  </si>
  <si>
    <t xml:space="preserve"> Issuance of Bid Documents Starts: August 15, 2020 Cost of Bid Document: Php 19,000.00 Venue of Dropping and Opening Bids: BAC Conference Room, Leyte SMED Center, Provincial Capitol Grounds, Tacloban City</t>
  </si>
  <si>
    <t xml:space="preserve"> Minimum Technical Specifications: Sound System / Paging with 5 Microphones - 1 Lot a.	Conference Mic System consisting: - 1 set •	Power Supply	(1 unit) •	Conference Microphones Gooseneck type (4 pieces) •	Dynamic type Microphone	(1 piece) 	 b.	Amplifier w</t>
  </si>
  <si>
    <t xml:space="preserve"> Issuance of Bid Documents Starts: August 15, 2020 Cost of Bid Document: Php 14,500.00 Venue of Dropping and Opening Bids: BAC Conference Room, Leyte SMED Center, Provincial Capitol Grounds, Tacloban City</t>
  </si>
  <si>
    <t xml:space="preserve"> Service Vehicle (4x4 Pick-Up Type)</t>
  </si>
  <si>
    <t xml:space="preserve"> MULTI PURPOSE HALL</t>
  </si>
  <si>
    <t xml:space="preserve"> Plastic Drums (Pail)</t>
  </si>
  <si>
    <t xml:space="preserve"> Republic of the Philippines Province of Negros Oriental MUNICIPALITY OF BACONG INVITATION TO BID Expansion of waterworks system, Bacong Negros Oriental  BacongRFQ 2020-12 1.	The Municipality of Bacong, through the AM-2018 Cost Variance intends to apply th</t>
  </si>
  <si>
    <t xml:space="preserve"> Issuance of Bid Documents Starts: August 15, 2020 Cost of Bid Document: Php 10,000.00 Venue of Dropping and Opening Bids: BAC Conference Room, Leyte SMED Center, Provincial Capitol Grounds, Tacloban City</t>
  </si>
  <si>
    <t xml:space="preserve"> Issuance of Bid Documents Starts: August 15, 2020 Cost of Bid Document: Php 13,500.00 Venue of Dropping and Opening Bids: BAC Conference Room, Leyte SMED Center, Provincial Capitol Grounds, Tacloban City</t>
  </si>
  <si>
    <t xml:space="preserve"> BACK TO SCHOOL PROTOCOL (COVID-19 MITIGATION): SUPPLY AND DELIVERY OF TEMPERATURE MONITORING AND ACCESS CONTROL SYSTEM AND OTHER RELATED MATERIALS -ORDER OF PAYMENT FOR BID DOCS WILL BE AVAILABLE AT GSD-HEAD OFFICE @ 10TH FLOOR MAKATI CITY HALL BLDG. 2. L</t>
  </si>
  <si>
    <t xml:space="preserve"> Issuance of Bid Documents Starts: August 15, 2020 Cost of Bid Document: Php 13,000.00 Venue of Dropping and Opening Bids: BAC Conference Room, Leyte SMED Center, Provincial Capitol Grounds, Tacloban City</t>
  </si>
  <si>
    <t xml:space="preserve"> 2,400 bags - Coconut Coir-Based Organic Fertilizer (CCBOF) @ 40 kgs/bag Detailed: North Cotabato	-800 bags South Cotabato	 -800 bags Sultan Kudarat	-800 bags  COCONUT COIR-BASED ORGANIC FERTILIZER (CCBOF) Moisture Content :	10-35% Total NPK: 		5 – 10%  Or</t>
  </si>
  <si>
    <t xml:space="preserve"> 16	units	Brgy. Rescue Ambulance 		Engine / Transmission :  		Inline-4 Cylinder, DOHC, 16 Valves 		Variable Turbocharger (VGS) w/ Intercooler 		2,488cc Displacement; 129/3200rpm Maximum 		Power; 356/1400-2000rp Maximum Torque; Diesel 		Fuel Type; Common Ra</t>
  </si>
  <si>
    <t xml:space="preserve"> Portland cement Concrete Pavement, 0.20m x 5.00m x 600m</t>
  </si>
  <si>
    <t xml:space="preserve"> Republic of the Philippines Province of Negros Oriental MUNICIPALITY OF BACONG INVITATION TO BID Provison of Potable Water Supply in-Expansion of Waterworks in San Miguel,Bacong Negros Oriental  BacongRFQ 2020-13 1.	The Municipality of Bacong, through the</t>
  </si>
  <si>
    <t xml:space="preserve"> INVITATION TO BID FOR THE UPGRADING OF ROAD (FILLING OF ROAD) 1.	The Municipal Government of Kawit, through the 20% Municipal Development Fund - 2020 intends to apply the sum of Three Hundred Nine Thousand Two Hundred Three Pesos &amp; 66/100 Pesos (Php 309,2</t>
  </si>
  <si>
    <t xml:space="preserve"> The LGU- Palapag, N. Samar, through  the  2020 Budget for the contract approved by the Sanggunian   intends to apply the sum of    Three Hundred Forty Five Thousand Five Hundred Pesos (PhP  345,500.00) only  being the Approved Budget for the Contract (ABC</t>
  </si>
  <si>
    <t xml:space="preserve"> Portland cement Concrete Pavement, 0.20m x 5.00m x 500m</t>
  </si>
  <si>
    <t xml:space="preserve"> PHILIPPINE BIDDING DOCUMENTS Republic of the Philippines Province of Nueva Vizcaya MUNICIPALITY OF BAYOMBONG BARANGAY MAGAPUY PROCUREMENT OF GOODS PURCHASE OF 1 UNIT BRAND NEW 12 HP DIESEL ENGINE OF BARANGAY, MAGAPUY, BAYOMBONG, NUEVA VIZCAYA 2 TABLE OF C</t>
  </si>
  <si>
    <t xml:space="preserve"> SUPPLY AND DELIVERY OF DRUGS, MEDICINES AND OTHER MEDICAL SUPPLIES FOR EMERGENCY RESPONSE SERVICES OF MAKATI DRRM OFFICE -ORDER OF PAYMENT FOR BID DOCS WILL BE AVAILABLE AT GSD-HEAD OFFICE @ 10TH FLOOR MAKATI CITY HALL BLDG. 2. LOOK FOR MR. REDEN VILLANUE</t>
  </si>
  <si>
    <t xml:space="preserve"> Issuance of Bid Documents Starts: August 15, 2020 Cost of Bid Document: Php 5,000.00 Venue of Dropping and Opening Bids: BAC Conference Room, Leyte SMED Center, Provincial Capitol Grounds, Tacloban City</t>
  </si>
  <si>
    <t xml:space="preserve"> Please see attachments for details. Thankyou.</t>
  </si>
  <si>
    <t xml:space="preserve"> SUPPLY AND DELIVERY OF SUPPLIES AND MATERIALS FOR MANDATORY DRUG TESTING -ORDER OF PAYMENT FOR BID DOCS WILL BE AVAILABLE AT GSD-HEAD OFFICE @ 10TH FLOOR MAKATI CITY HALL BLDG. 2. LOOK FOR MR. REDEN VILLANUEVA. A COMPLETE SET OF BIDDING DOCUMENTS WILL BE </t>
  </si>
  <si>
    <t xml:space="preserve"> Republic of the Philippines Province of Iloilo Municipality of Estancia INVITATION TO BID FOR THE PURCHASED OF MULTI-PURPOSE VEHICLE 1. The Barangay Gogo, Estancia, Iloilo through 20% Development Fund 2019 intend to apply the sum of Four Hundred Twelve Th</t>
  </si>
  <si>
    <t xml:space="preserve"> CONCRETE UPGRADING WITH DRAINAGE</t>
  </si>
  <si>
    <t xml:space="preserve"> Issuance of Bid Documents Starts: August 15, 2020 Cost of Bid Document: Php 3,500.00 Venue of Dropping and Opening Bids: BAC Conference Room, Leyte SMED Center, Provincial Capitol Grounds, Tacloban City</t>
  </si>
  <si>
    <t xml:space="preserve"> 5 	Procurement ID/Contract ID		20LC0171 	Contract Name		Repair and Maintenance of Road Safety Facilities – Installation of Road Safety Signages along Agusan – Davao Road (Daang Maharlika Road), Surigao – Davao Coastal Road, Tagum City Diversion Road, Tagu</t>
  </si>
  <si>
    <t xml:space="preserve"> Issuance of Bid Documents Starts: August 15, 2020 Cost of Bid Document: Php 4,500.00 Venue of Dropping and Opening Bids: BAC Conference Room, Leyte SMED Center, Provincial Capitol Grounds, Tacloban City</t>
  </si>
  <si>
    <t xml:space="preserve"> 4 	Procurement ID/Contract ID		20LC0044 	Contract Name		Tanglaw Bridge 3 (B00186MN) along Tagum – Panabo Circumferential Rd. 	Contract Location		Davao del Norte 	Brief Description		Concreting of Road 	Approved Budget for the Contract ( ABC )		Php. 1,470,0</t>
  </si>
  <si>
    <t xml:space="preserve"> SUPPLY AND DELIVERY OF FETAL MONITOR -ORDER OF PAYMENT FOR BID DOCS WILL BE AVAILABLE AT GSD-HEAD OFFICE @ 10TH FLOOR MAKATI CITY HALL BLDG. 2. LOOK FOR MR. REDEN VILLANUEVA. A COMPLETE SET OF BIDDING DOCUMENTS WILL BE AVAILABLE FROM DAY OF POSTING/PUBLIC</t>
  </si>
  <si>
    <t xml:space="preserve"> Republic of the Philippines Province of South Cotabato City of Koronadal BIDS AND AWARDS COMMITTEE INVITATION TO BID FOR THE  Procurement for the Supply, Delivery &amp; Installation of Various IT Equipments for the Recording &amp; Media Production Facility of the</t>
  </si>
  <si>
    <t xml:space="preserve"> Pls. quote the item listed below: 1.  Printer  -  17 unit 2.  Laptop  -  1 unit      Core i5 NOTE:                         Opening of Bids will be on August 25, 2020 @ 1:00 pm</t>
  </si>
  <si>
    <t xml:space="preserve"> INVITATION TO BID  PROCUREMENT OF TONER WITH FREE USE OF PRINTER  PUBLIC BIDDING NO. VMC 2020-030 1.	The Valenzuela Medical Center (VMC), through the General Appropriations Act/Income CY 2019, intends to apply the sum of Philippine Currency:  ONE MILLION </t>
  </si>
  <si>
    <t xml:space="preserve"> 3 	Procurement ID/Contract ID		20LC0043 	Contract Name		Tanglaw Bridge 2 (B00187MN) along Tagum – Panabo Circumferential Rd.  	Contract Location		Davao del Norte 	Brief Description		Concreting of Road 	Approved Budget for the Contract ( ABC )		Php. 1,470,</t>
  </si>
  <si>
    <t xml:space="preserve"> Issuance of Bid Documents Starts: August 15, 2020 Cost of Bid Document: Php 14,000.00 Venue of Dropping and Opening Bids: BAC Conference Room, Leyte SMED Center, Provincial Capitol Grounds, Tacloban City</t>
  </si>
  <si>
    <t xml:space="preserve"> Issuance of Bid Documents Starts: August 15, 2020 Cost of Bid Document: Php 6,000.00 Venue of Dropping and Opening Bids: BAC Conference Room, Leyte SMED Center, Provincial Capitol Grounds, Tacloban City</t>
  </si>
  <si>
    <t xml:space="preserve"> 2 	Procurement ID/Contract ID		20LC0042 	Contract Name		Locutan Bridge 1 (B00190MN) along Tagum – Panabo Circumferential Rd. 	Contract Location		Davao del Norte 	Brief Description		Concreting of Road  	Approved Budget for the Contract ( ABC )		Php. 4,213,</t>
  </si>
  <si>
    <t xml:space="preserve"> PRINTING OF TICKETS FOR PASKUHAN GIVEAWAYS 2020 -ORDER OF PAYMENT FOR BID DOCS WILL BE AVAILABLE AT GSD-HEAD OFFICE @ 10TH FLOOR MAKATI CITY HALL BLDG. 2. LOOK FOR MR. REDEN VILLANUEVA. A COMPLETE SET OF BIDDING DOCUMENTS WILL BE AVAILABLE FROM DAY OF POS</t>
  </si>
  <si>
    <t xml:space="preserve"> ***Please see attached electronic file. (labor &amp; materials)</t>
  </si>
  <si>
    <t xml:space="preserve"> INVITATION TO BID  No. 2020-019 The Department of Public Works and Highways -Davao del Norte District Engineering Office, Tagum City, Davao del Norte, through its Bids and Awards Committee (BAC), invites contractors to submit bids for the following Contra</t>
  </si>
  <si>
    <t xml:space="preserve"> REPAIR AND MAINTENANCE OF MUNICIPAL VEHICLE – FORTUNER 1.  1.  10 liters Toyota synthetic oil 2.  1 pc oil filter #90915-YZZDZ 3.  1 head labor 4.  4 pcs 265/6517 perilli 5.  1 pc wiper</t>
  </si>
  <si>
    <t xml:space="preserve"> Republic of the Philippines Province of Negros Oriental MUNICIPALITY OF BACONG INVITATION TO BID Provison of Potable Water Supply in-Expansion of Waterworks in Combado,Bacong Negros Oriental  BacongRFQ 2020-14 1.	The Municipality of Bacong, through the AM</t>
  </si>
  <si>
    <t xml:space="preserve"> SUPPLY AND DELIVERY OF VARIOUS OFFICE EQUIPMENT (LCD PROJECTOR – PORTABLE FOLDING TABLE) -ORDER OF PAYMENT FOR BID DOCS WILL BE AVAILABLE AT GSD-HEAD OFFICE @ 10TH FLOOR MAKATI CITY HALL BLDG. 2. LOOK FOR MR. REDEN VILLANUEVA. A COMPLETE SET OF BIDDING DO</t>
  </si>
  <si>
    <t xml:space="preserve"> Republic of the Philippines Province of Negros Oriental MUNICIPALITY OF BACONG INVITATION TO BID Provison of Potable Water Supply,Bacong Negros Oriental  BacongRFQ 2020-15 1.	The Municipality of Bacong, through the ADM-2016 Cost Variance intends to apply </t>
  </si>
  <si>
    <t xml:space="preserve"> SUPPLY AND DELIVERY OF PLANTS FOR CITYWIDE BEAUTIFICATION AND LANDSCAPING PROJECTS OF PARKS AND GREEN DIVISION -ORDER OF PAYMENT FOR BID DOCS WILL BE AVAILABLE AT GSD-HEAD OFFICE @ 10TH FLOOR MAKATI CITY HALL BLDG. 2. LOOK FOR MR. REDEN VILLANUEVA. A COMP</t>
  </si>
  <si>
    <t xml:space="preserve"> Republic of the Philippines Province of Northern Samar MUNICIPALITY OF VICTORIA -o0o- INVITATION TO BID FOR THE SUPPLY AND DELIVERY OF FERTILIZERS  Contract No. LGU-PI-2020-08-19PB 1.	The Local Government Unit of Victoria, Northern Samar, through the Gene</t>
  </si>
  <si>
    <t xml:space="preserve"> Issuance of Bid Documents Starts: August 15, 2020 Cost of Bid Document: Php 8,500.00 Venue of Dropping and Opening Bids: BAC Conference Room, Leyte SMED Center, Provincial Capitol Grounds, Tacloban City</t>
  </si>
  <si>
    <t xml:space="preserve"> USE LINK TO VIEW THE BIDDING DOCUMENTS https://drive.google.com/file/d/1uKgDP_ruA34173XnAid2QLyD2lnv6KNN/view?usp=drivesdk The Armed Forces of the Philippines (AFP), through the GHQ Bids and Awards Committee 1 (GHQ BAC 1), invites suppliers, manufacturers</t>
  </si>
  <si>
    <t xml:space="preserve"> Portland cement Concrete Pavement, 0.20m x 5.00m x 182m</t>
  </si>
  <si>
    <t xml:space="preserve"> SUPPLY AND DELIVERY OF DESKTOP COMPUTERS -ORDER OF PAYMENT FOR BID DOCS WILL BE AVAILABLE AT GSD-HEAD OFFICE @ 10TH FLOOR MAKATI CITY HALL BLDG. 2. LOOK FOR MR. REDEN VILLANUEVA. A COMPLETE SET OF BIDDING DOCUMENTS WILL BE AVAILABLE FROM DAY OF POSTING/PU</t>
  </si>
  <si>
    <t xml:space="preserve"> Riprap with length of 50 meters, height of 2 meters.</t>
  </si>
  <si>
    <t xml:space="preserve"> INVITATION TO REBID The Iligan City Government Bids and Awards Committee (BAC), through 2020-Special Education Fund intends to apply the sum of                                    P 6,840,000.00 being the Approved Budget for the Contract (ABC) to payments </t>
  </si>
  <si>
    <t xml:space="preserve"> Contract Name: APPLICATION OF THERMOPLASTIC PAVEMENT MARKING ALONG NATIONAL ROADS KO738+000 – KO786+000 WITH EXEPTION Contract Location: SAMAR  Brief Description: WHITE THERMOPLASTIC PAVEMENT MARKING - 16,818.34 LIN. M                               YELLOW</t>
  </si>
  <si>
    <t xml:space="preserve"> Republic of the Philippines Province of Isabela LOCAL GOVERNMENT UNIT OF BENITO SOLIVEN INVITATION TO BID FOR THE PROCUREMENT OF RESCUE EQUIPMENT 1.	The Municipal Government of Benito Soliven, intends to apply the sum of Two Hundred Thousand Pesos (P 200,</t>
  </si>
  <si>
    <t xml:space="preserve"> Republic of the Philippines Province of South Cotabato City of Koronadal BIDS AND AWARDS COMMITTEE INVITATION TO BID FOR THE  Procurement for the Supply &amp; Delivery of One (1) Unit Brand New Four (4) Wheeled Vehicle (Pick-Up Truck) for the Bureau of Fire P</t>
  </si>
  <si>
    <t xml:space="preserve"> QUANTITY                UNIT OF ISSUE            DESCRIPTION SEE ATTACHED REQUEST AND ISSUE VOUCHER</t>
  </si>
  <si>
    <t xml:space="preserve"> Supply and Delivery of Construction Materials for the Improvement of Acacia-Binalian Road</t>
  </si>
  <si>
    <t xml:space="preserve"> Pls. quote the items listed below: 1.  Printer/Copier  -  8 unit 2.  External Drive  -  1 pc. NOTE:                    Opening of Bids will be on August 25, 2020 @ 1:00 pm</t>
  </si>
  <si>
    <t xml:space="preserve"> Fabrication/Installation of new trusses, purlins (4 spans) Installation of Curve roofing and facia</t>
  </si>
  <si>
    <t xml:space="preserve"> PURCHASE OF : PERSONAL DESK COMPUTER 2 (SETS) ONLY ONE  WITH PRINTER</t>
  </si>
  <si>
    <t xml:space="preserve"> Contract Name: REPAIR/MAINTENANCE OF DOTR BUILDING, LAND TRANSPORTATION OFFICE, CALBAYOG CITY, SAMAR Contract Location: SAMAR  Brief Description: REPAIR OF BUILDING = 1 UNIT Approved Budget for the Contract (ABC): PhP 1,960,000.00 Source of Funds:  GAA FY</t>
  </si>
  <si>
    <t xml:space="preserve"> INVITATION TO BID FOR BARANGAY ROAD MAINTENANCE The LGU- Palapag, N. Samar, through  the  2020 Budget for the contract approved by the Sanggunian   intends to apply the sum of    Three Hundred Eighty Four Thousand Four Hundred Ninety Nine Pesos and Sevent</t>
  </si>
  <si>
    <t xml:space="preserve"> 2 units 2.5 HP Inverter Aircondition  -The suppliers shall enjoy ensure the products do not contain controlled refrigerants as defined under the zone     layer protection     regulation  -The suppliers shall enjoy ensure the products are repairable and th</t>
  </si>
  <si>
    <t xml:space="preserve"> Republic of the Philippines Province of Leyte Municipality of Pastrana -o0o- INVITATION TO BID PURCHASE OF  OFFICE EQUIPMENTS The Municipality of Pastrana, intends to apply the sum of FOUR HUNDRED THIRTY EIGHT  THOUSAND NINE HUNDRED PESOS (₱ 438,900.00) b</t>
  </si>
  <si>
    <t xml:space="preserve"> INVITATION FOR NEGOTIATED PROCUREMENT DUE TO TWO-FAILED BIDDINGS SUPPLY AND DELIVERY OF ONE (1) UNIT WATER TANKER (BRAND NEW, 6-WHEELER, 10 TONS) 1. The NATIONAL MARITIME POLYTECHNIC intends to procure One (1) Unit Water Tanker (Brand New, 6-Wheeler,10 To</t>
  </si>
  <si>
    <t xml:space="preserve"> QUANTITY                 UNIT OF ISSUE                    DESCRIPTION SEE ATTACHED REQUEST AND ISSUE VOUCHER (RIV)</t>
  </si>
  <si>
    <t xml:space="preserve"> 5,241 ltrs. Diesel</t>
  </si>
  <si>
    <t xml:space="preserve"> 1,600 ltrs. Diesel</t>
  </si>
  <si>
    <t xml:space="preserve"> G.I. Pipe, 150mm diameter x 6m. Sch. 40</t>
  </si>
  <si>
    <t xml:space="preserve"> The Municipality of Limay, through its Bids and Awards Committee (BAC) invites registered contractors to apply for eligibility and if found eligible, to bid for the hereunder project/contract: Project/Contract: EXPANSION OF LIMAY ELEMENTARY PARKING AREA A</t>
  </si>
  <si>
    <t xml:space="preserve"> The Municipality of Limay, through its Bids and Awards Committee (BAC) invites registered contractors to apply for eligibility and if found eligible, to bid for the hereunder project/contract: Project/Contract: CONSTRUCTION OF CONCRETE PAVEMENT AND LANDSC</t>
  </si>
  <si>
    <t xml:space="preserve"> QUANTITY      UNIT OF ISSUE   DESCRIPTION SEE ATTACHED REQUEST AND ISSUE VOUCHER</t>
  </si>
  <si>
    <t xml:space="preserve"> Invitation to Bid for Supply and Delivery of Various Electro-Mechanical Equipment and Accessories for the Construction of Tigayon Pumping Station No. 2 1.	The METRO KALIBO WATER DISTRICT, through the Corporate Budget for the contract approved by the Gover</t>
  </si>
  <si>
    <t xml:space="preserve"> Blows per minute: 870 BPM Impact Energy ft. lbs: 53.9 Impact energy (Joules): 72.8 AMPS: 15 Noise level: 15 Vibration (m/s2): 6.5 Cord length (ft): 16.4 Overall Length (ft): 33 1/4 Net weight: 69.1 lbs Bit type: 1 1/8" hex Breaker/demo class: 70 Power typ</t>
  </si>
  <si>
    <t xml:space="preserve"> 1 LOT CONSTRUCTION/REHABILITATION OF BRGY. MULTI-PURPOSE HALL (STRAIGHT CONTRACT): PART A – 		GENERAL REQUIREMENTS A.1	1 lot		Construction Safety and Health (Signage and Baricades) A.2	1 lot		Construction Safety and Health (PPE, Safety Personnel &amp; Medical</t>
  </si>
  <si>
    <t xml:space="preserve"> PURCHASE OF :   3 UNITS - AIRCONDITION UNIT 2 HP</t>
  </si>
  <si>
    <t xml:space="preserve"> Acquisition of equipment’s Construction of outside drainage canal/ septic tank</t>
  </si>
  <si>
    <t xml:space="preserve"> QUANTITY          UNIT OF ISSUE          DESCRIPTION 1                         UNIT                       PICK UP VEHICLE (BRANDNEW)                                                          WITH ACCESSORIES                                                 </t>
  </si>
  <si>
    <t xml:space="preserve"> HOP-QR-PRO-005 Republic of the Philippines Department of Health DAVAO REGIONAL MEDICAL CENTER Apokon, Tagum City BIDS AND AWARDS COMMITTEE INVITATION TO BID FOR THE SUPPLY &amp; DELIVERY OF SURGICAL INSTRUMENTS- REBID 1.	The Davao Regional Medical Center (DRM</t>
  </si>
  <si>
    <t xml:space="preserve"> 3011 ltrs. Diesel</t>
  </si>
  <si>
    <t xml:space="preserve"> IMPLEMENTATION OF FLOOD &amp; EROSION CONTROL PROJECTS (OPEN LINE CANAL)</t>
  </si>
  <si>
    <t xml:space="preserve"> Food Function Hall Room Accomodation</t>
  </si>
  <si>
    <t xml:space="preserve"> 5,500 ltrs. Diesel</t>
  </si>
  <si>
    <t xml:space="preserve"> Republic of the Philippines MUNICIPALITY OF TAPAZ BIDS AND AWARDS COMMITTEE Office of the BAC Secretariat, Poblacion, Tapaz, Capiz 5814 E-mail: bac.tapaz@yahoo.com                                                                      Invitation to Bid    P</t>
  </si>
  <si>
    <t xml:space="preserve"> Fireworks</t>
  </si>
  <si>
    <t xml:space="preserve"> 1	15	box	Vitamin A 100,000 IU	 2	45	box	Ferrous with Folic Acid Caps.	 3	40	vial	Tetanus Diptheria	 			-------NOTHING FOLLOWS-------</t>
  </si>
  <si>
    <t xml:space="preserve"> PRICE QUOTATION ATTACHED</t>
  </si>
  <si>
    <t xml:space="preserve"> INVITATION TO BID ITB NO. 2020 - 03(10) 1.	 The Department of Health – Eastern Visayas Center for Health Development, through the Bids and Awards Committee (BAC)  invites contractors to bid for the hereunder project: Completion of BHS Cabungaan, Silvino L</t>
  </si>
  <si>
    <t xml:space="preserve"> 1.	The Municipality of Ubay, through the its bids and Awards Committee (BAC), Invites contractors to submit bids for the following contract: Contract ID: 20INFR010 Contract Name: IMPROVEMENT OF WATER SUPPLY SYSTEM Contract Location: Tipolo, Ubay, Bohol Ap</t>
  </si>
  <si>
    <t xml:space="preserve"> 1 unit LED Television, digital "55 inches"  w-w-w-w-w-w-w-w-w-w-w-w-w-w-w-w</t>
  </si>
  <si>
    <t xml:space="preserve"> 1	UNIT	4 HP CEILING  CASSETTE  TYPE INVERTER		 		 - AIRCONDITIONED , 1-PHASE, 230V 60HZ,		 		   COMPLETE WITH STANDARD ACCESSORIES &amp; 		 		   WITH "NAVIGATION" WIRED REMOTE CONTROLLER		 				 		3 HP FLOOR MOUNTED TYPE INVERTER		 		 - AIRCONDITIONED , 1-PHAS</t>
  </si>
  <si>
    <t xml:space="preserve"> 5,335 ltrs. Diesel</t>
  </si>
  <si>
    <t xml:space="preserve"> 5 units Wheelchair 5 pairs Crutches 2 pcs. Walker</t>
  </si>
  <si>
    <t xml:space="preserve"> 1.	The Municipality of Ubay, through the its bids and Awards Committee (BAC), Invites contractors to submit bids for the following contract: Contract ID: 20INFR011 Contract Name: COMPLETION/EXTENTION OF UBAY RURAL HEALTH UNIT I Contract Location: Poblacio</t>
  </si>
  <si>
    <t xml:space="preserve"> 5	Unit 		SOLAR STREET LIGHTS 		 			S P E C I F I C A T I O N		 			POWER:		 			 120 WATTS		 			INDUCTION MODE:		 			 INTELLIGENT RADAR SENSING/PEOPLE TO FULL BRIGHT		 			 PEOPLE WALK HALF BRIGHT, IT IS BRIGHT IN THE DARK		 			UNIT SIZE:		 			 870x325x70MM	</t>
  </si>
  <si>
    <t xml:space="preserve"> INVITATION TO BID Date: August 14, 2020 1.	The Provincial Government of Davao del Sur, through its Bids and Awards Committee (BAC), invites all potential bidders/suppliers to apply to bid for the following goods. Bids received in excess of the ABC shall b</t>
  </si>
  <si>
    <t xml:space="preserve"> 1) Bogasong Br. II (B00603LT) Along Daang Maharlika (LT), Libagon, Southern Leyte – 2 Boreholes 2) Cawayan Br. I (B00605LT) Along Daang Maharlika (LT), Libagon, Southern Leyte – 2 Boreholes 3) Cawayan Br. II (B00606LT) Along Daang Maharlika (LT), Libagon,</t>
  </si>
  <si>
    <t xml:space="preserve"> 51 pcs. Sweatshirt, Plain black w/ print (Sublimated) 51 pcs. Sweatshirt, Black w/ color combination and reflectorize, (Sublimated)</t>
  </si>
  <si>
    <t xml:space="preserve"> Republic of the Philippines Province of Misamis Occidental MUNICIPALITY OF CALAMBA BARANGAY DAPACAN ALTO INVITATION TO BID FOR PURCHASE OF MATERIALS FOR THE IMPROVEMENT OF MULTI-PURPOSE HALL 	August 15, 2020 1.	The Barangay Dapacan Alto  of Calamba, Misam</t>
  </si>
  <si>
    <t xml:space="preserve"> NOTICE TO THE PUBLIC REQUEST FOR PROPOSAL Purchase Request No: PUR20-07-0608 The Philippine General Hospital hereby informs the public that it will be procuring the following item/s through Small Value Procurement:	 1       5     box	Anti Formalin Solutio</t>
  </si>
  <si>
    <t xml:space="preserve"> 1.	The Civil Aviation Authority of the Philippines, through the DOWNLOADED FUND from DOTr intends to apply the sum of One Hundred Sixty Eight Million Nine Hundred Thousand Pesos only (Php 168,900,000.00) being the Approved Budget for the Contract (ABC) to</t>
  </si>
  <si>
    <t xml:space="preserve"> REQUEST FOR QUOTATIONS Construction of PWD Ramp at NALLRC Note: Please see attached document for complete specifications. REMINDERS: 1.) Pls. see associated components for the attached approved canvass form for complete specifications. 2.) Only the approv</t>
  </si>
  <si>
    <t xml:space="preserve"> INVITATION TO BID: 1. Project Title: Rebidding for the Supply and Delivery of One (1) Unit Passenger Van 2. Approved Budget for the Contract: Php 1,500,000.00 3. Pre-bid Conference: on August 24, 2020, 11:00 a.m. Dr. Pablo T. Mateo Conference Room, 2nd Fl</t>
  </si>
  <si>
    <t xml:space="preserve"> PURCHASE OF CONTROLLER FOR WATER PUMPING STATION, SIKATUNA, BOHOL</t>
  </si>
  <si>
    <t xml:space="preserve"> 100 boxes Corned beef (Box of 100, 160-grams) 100 boxes Sardines (Box of 100, 155-grams) 100 boxes Pork and Beans (Box of 100, 175-grams) 250 Tie Bear Brand Milk 33 grams (Tie of 10) 125 Tie Coffee 3 in 1 twin pack (55 grams) 250 Tie Safeguard Soap (60 gr</t>
  </si>
  <si>
    <t xml:space="preserve"> 20E00110: AWP 3/Preventive Maintenance, Mindoro West Coastal Road, K0254+000 – K0260+476, Occidental Mindoro</t>
  </si>
  <si>
    <t xml:space="preserve"> 1. The Civil Aviation Authority of the Philippines, through the Funds from DOTr Downloaded Projects intends to apply the sum of EIGHT HUNDRED TWENTY-NINE MILLION TWO HUNDRED SIXTY-TWO THOUSAND NINE HUNDRED THIRTY-THREE PESOS &amp; 1 3/ 10 0 (Php 8 2 9 ,2 62 ,</t>
  </si>
  <si>
    <t xml:space="preserve"> Please refer to attached document</t>
  </si>
  <si>
    <t xml:space="preserve"> construction materials for the implementation of flood &amp; erosions control projects (line canal w/ conc cover) housing project.</t>
  </si>
  <si>
    <t xml:space="preserve"> INVITATION TO BID FOR  Procurement and Delivery of Materials for the Reproduction of Modules Batch 2 PB No. 2020-08-0060 1.	The Department of Education, Division of El Salvador City, through the General Appropriations Act CY 2020 intends to apply the sum </t>
  </si>
  <si>
    <t xml:space="preserve"> Description							 CCTV Surveillance System additional with Paging System;							 CCTV Surveillance System, 24/7 Video Surveillance of the CCTV Camera's installed on designated areas, equipment are configured, tested and commisioned to be working							 	</t>
  </si>
  <si>
    <t xml:space="preserve"> 1.Office Table &amp; chairs  = 6 Sets  2. Bookshelves/Filing Cabinet  = 3 pcs.  3. Computer Table  =  1 set  4. Office Sala Set   =   1 set</t>
  </si>
  <si>
    <t xml:space="preserve"> Republic of the Philippines Province of South Cotabato City of Koronadal BIDS AND AWARDS COMMITTEE INVITATION TO BID FOR THE  Procurement for the Supply, Delivery, Installation &amp; Commissioning of ICT Equipments, Telephone Channeling, Internet Cabling, LAN</t>
  </si>
  <si>
    <t xml:space="preserve"> 1 unit Cellphone (Android) 18 units Smartphone (Android 9.0 w/ one UI)</t>
  </si>
  <si>
    <t xml:space="preserve"> 499.20         CU.M.                        EXCAVATION (SURPLUS COMMON) 249.60          CU.M.                       EMBANKMENT / IMPORTED FILL 249.60          CU.M.                       GRAVEL SURFACE COURSE (UNCRUSHED)</t>
  </si>
  <si>
    <t xml:space="preserve"> 6,000 ltrs. Diesel</t>
  </si>
  <si>
    <t xml:space="preserve"> 1	UNIT	 MAN-LIFT TRUCK  		 		SPECIFICATION 		 		ENGINE: 4M51, FOUR (4) CYLINDER DIRECT INJECTION 		TRANSMISSION: MANUAL TRANSMISSION 		DISPLACEMENT: 5,249 CC 		MAX. TORQUE: 36.0 KG-M 		MAX POWER: 155 PS 		FUEL SYSTEM: DIRECT INJECTION DIESEL 		SUSPENSION:</t>
  </si>
  <si>
    <t xml:space="preserve"> 304 pcs. 23 Watts LED bulb  113 pcs. Receptacle 200 bags Portland Cement 201 pcs. 10mm def. rd. bar 202 pcs. 12mm def. rd. bar 104 pcs. 5mm Marine Plywood</t>
  </si>
  <si>
    <t xml:space="preserve"> Contract Name: REHABILITATION/MAJOR REPAIR OF TANGAO RIVER REVETMENT 2, BRGY.SAN JOAQUIN, CALBAYOG CITY, SAMAR Contract Location: SAMAR  Brief Description: REHABILITATION/MAJJOR REPAIR OF FLOOD CONTROL STRUCTURE = 40.00 LIN.M Approved Budget for the Contr</t>
  </si>
  <si>
    <t xml:space="preserve"> 3,333 ltrs. Diesel</t>
  </si>
  <si>
    <t xml:space="preserve"> Republic of the Philippines Province of Southern Leyte MUNICIPALITY OF LIMASAWA BARANGAY CABULIHAN -o0o- Bids and Awards Committee Invitation to Bid for the Supply of Materials for the Construction of CHB Fence at Barangay Cabulihan,  Limasawa, Southern L</t>
  </si>
  <si>
    <t xml:space="preserve"> Description   1. The Barangay Local Government Unit of Tuban, Santa Cruz, Davao del Sur, through the Corporate Budget Approved by the Governing Board intends to apply the sum of P 530,598.20 being the Approved Budget for the Contract (ABC) to payments und</t>
  </si>
  <si>
    <t xml:space="preserve"> Description	Unit of Issue	Quantity Covid 19 Test Kit	test	200 Surgical Face Mask	bxs	159 Alcohol 70%	gal	75 Netrile Gloves	bxs	30 Syringe 3cc	bxs	5 EDTA tube	bxs	3 REDTOP	bxs	2 KN95 mask	pcs	50 Gloves	bxs	4 Yellow Tips	bxs	2 LYSOL Spray	bot	10</t>
  </si>
  <si>
    <t xml:space="preserve"> Pls. quote the items listed below: 1.   Modem  -  17 units 2.   Printer      -  2 units NOTE:                      Opening of Bids will be on August 25, 2020 @ 1:00 pm</t>
  </si>
  <si>
    <t xml:space="preserve"> Republic of the Philippines Province of Bohol Municipality of Ubay INVITATION TO BID FOR PURCHASE OF EMERGENCY RESCUE VEHICLE 1.  The Municipality of Ubay, through the 5% MDRRM Funds intends to apply the sum of ONE MILLION FIVE HUNDRED THOUSAND PESOS (Php</t>
  </si>
  <si>
    <t xml:space="preserve"> Invitation to Bid for: Upgrading and Improvement of Sto. Niño Street in Brgy. Baybay The LGU Gamay, Northern Samar, through the Local Government Support Fund – Assistance to Municipalities (LGSF-AM), FY 2020 GAA, RA No. 11465 intends to apply the sum of P</t>
  </si>
  <si>
    <t xml:space="preserve"> SPECS: -5th Generation Intel Core i5 -Processor i5-5257U -Processor Base Frequency-1.70 Ghz -Max Turbo Frequency: 3.10 Ghz -Cache: 4 MN Intel Smart Cache -Memory TypesL LPDDR3 -Processor Graphics: Intel Iris Graphics 6100 -Screen Size: 15.6 inches -Resolu</t>
  </si>
  <si>
    <t xml:space="preserve"> “IMPROVEMENT OF MULTI-PURPOSE BUILDING (GYMNASIUM STAGE).” 1. The Barangay Government of Dona Flavia, San Luis, Agusan del Sur, reserve the amount of Two Hundred Forty Thousand Pesos (240,000.00) only from the 20% 2019 and 2020 Barangay Development FUND (</t>
  </si>
  <si>
    <t xml:space="preserve"> Laminating Film 1box Staple Wire (Big) 5 box Long arm stapler 1pc Paper Clip Big 3boxes Clear Plastic envelop long 600pcs</t>
  </si>
  <si>
    <t xml:space="preserve"> NOTICE TO THE PUBLIC REQUEST FOR PROPOSAL Purchase Request No: PUR20-08-0679 The Philippine General Hospital hereby informs the public that it will be procuring the following item/s through Small Value Procurement:	 			 1	100	box	Dressing control gel form</t>
  </si>
  <si>
    <t xml:space="preserve"> concreting of barangay roads 2 meters width x 85 meters length x .15 thick</t>
  </si>
  <si>
    <t xml:space="preserve"> COVID-19 gives the whole country problems in coping with the new normal. One of the affected agency in government is the Department of Education. Face to face teaching and learning is prohibited in this time of pandemic and modular/ distance learning is t</t>
  </si>
  <si>
    <t xml:space="preserve"> VARIOUS MATERIALS SUCH AS: 1.  STEEL WORKS 2.  ELECTRICAL WORKS 3.  PAINTING WORKS 4.  CONCRETE WORKS 5.  GLASS WORKS</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</si>
  <si>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</si>
  <si>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ITEMS: 1. SIGNAGE  2. CLEARING, EXCAVATION AND BACKFILLING WORKS 3. CHB LINING CANAL 4. GROUTED RIPRAP 5. SUB GRADE PREPARATION 6. AGGREGATE BASE COURSE 7. PORTLAND CEMENT CONCRETE PAVEMENT</t>
  </si>
  <si>
    <t xml:space="preserve"> CONSTRUCTION OF COCO HUB PROCESSING FACILITIES AT KAWIT ORIENTAL, KAUSWAGAN, LANAO DEL NORTE</t>
  </si>
  <si>
    <t xml:space="preserve"> NOTICE TO THE PUBLIC REQUEST FOR PROPOSAL Purchase Request No: PUR20-07-0616  The Philippine General Hospital hereby informs the public that it will be procuring the following item/s through Small Value Procurement:		 		 1	30	pc	Radiolucent Defibrillator </t>
  </si>
  <si>
    <t xml:space="preserve"> Description Republic of the Philippines PROVINCE OF ZAMBONAGA DEL NORTE Municipality of Leon B. Postigo INVITATION TO BID (2020-07-190)  August 14, 2020    Municipality of Leon B. Postigo, Zamboanga del Norte invites qualified bidders to apply for prequal</t>
  </si>
  <si>
    <t xml:space="preserve"> Description Republic of the Philippines PROVINCE OF ZAMBONAGA DEL NORTE Municipality of Leon B. Postigo INVITATION TO BID (2020-07-201) August 14, 2020    Municipality of Leon B. Postigo, Zamboanga del Norte invites qualified bidders to apply for prequali</t>
  </si>
  <si>
    <t xml:space="preserve"> Description Republic of the Philippines PROVINCE OF ZAMBONAGA DEL NORTE Municipality of Leon B. Postigo INVITATION TO BID (2020-07-202)  August 14, 2020    Municipality of Leon B. Postigo, Zamboanga del Norte invites qualified bidders to apply for prequal</t>
  </si>
  <si>
    <t xml:space="preserve"> Description Republic of the Philippines PROVINCE OF ZAMBONAGA DEL NORTE Municipality of Leon B. Postigo INVITATION TO BID (2020-07-199)  August 14, 2020    Municipality of Leon B. Postigo, Zamboanga del Norte invites qualified bidders to apply for prequal</t>
  </si>
  <si>
    <t xml:space="preserve"> Description Republic of the Philippines PROVINCE OF ZAMBONAGA DEL NORTE Municipality of Leon B. Postigo INVITATION TO BID (2020-07-198)  August 14, 2020    Municipality of Leon B. Postigo, Zamboanga del Norte invites qualified bidders to apply for prequal</t>
  </si>
  <si>
    <t xml:space="preserve"> Description Republic of the Philippines PROVINCE OF ZAMBONAGA DEL NORTE Municipality of Leon B. Postigo INVITATION TO BID (2020-07-196)  August 14, 2020    Municipality of Leon B. Postigo, Zamboanga del Norte invites qualified bidders to apply for prequal</t>
  </si>
  <si>
    <t xml:space="preserve"> Procurement of 200 pieces Emergency Response Kit  for the youth. It  is an easy to carry Go Bag that can be used in case of an emergency/disaster. This project also aims To equip the youth and KK members with appropriate supplies necessary for disaster pr</t>
  </si>
  <si>
    <t xml:space="preserve"> Description Republic of the Philippines PROVINCE OF ZAMBONAGA DEL NORTE Municipality of Leon B. Postigo INVITATION TO BID (2020-07-195)  August 14, 2020    Municipality of Leon B. Postigo, Zamboanga del Norte invites qualified bidders to apply for prequal</t>
  </si>
  <si>
    <t xml:space="preserve"> Description Republic of the Philippines PROVINCE OF ZAMBONAGA DEL NORTE Municipality of Leon B. Postigo INVITATION TO BID (2020-07-197)  August 14, 2020    Municipality of Leon B. Postigo, Zamboanga del Norte invites qualified bidders to apply for prequal</t>
  </si>
  <si>
    <t xml:space="preserve"> Description Republic of the Philippines PROVINCE OF ZAMBONAGA DEL NORTE Municipality of Leon B. Postigo INVITATION TO BID (2020-07-193)  August 14, 2020    Municipality of Leon B. Postigo, Zamboanga del Norte invites qualified bidders to apply for prequal</t>
  </si>
  <si>
    <t xml:space="preserve"> Description Republic of the Philippines PROVINCE OF ZAMBONAGA DEL NORTE Municipality of Leon B. Postigo INVITATION TO BID (2020-07-189)  August 14, 2020    Municipality of Leon B. Postigo, Zamboanga del Norte invites qualified bidders to apply for prequal</t>
  </si>
  <si>
    <t xml:space="preserve"> Description Republic of the Philippines PROVINCE OF ZAMBONAGA DEL NORTE Municipality of Leon B. Postigo INVITATION TO BID (2020-05-060)  August 14, 2020    Municipality of Leon B. Postigo, Zamboanga del Norte invites qualified bidders to apply for prequal</t>
  </si>
  <si>
    <t xml:space="preserve"> CONSTRUCTION OF NEW PUBLIC MARKET AT POBLACION, KAUSWAGAN, LANAO DEL NORTE</t>
  </si>
  <si>
    <t xml:space="preserve"> Description Republic of the Philippines PROVINCE OF ZAMBONAGA DEL NORTE Municipality of Leon B. Postigo INVITATION TO BID (2020-07-191)  August 14, 2020    Municipality of Leon B. Postigo, Zamboanga del Norte invites qualified bidders to apply for prequal</t>
  </si>
  <si>
    <t xml:space="preserve"> Description Republic of the Philippines PROVINCE OF ZAMBONAGA DEL NORTE Municipality of Leon B. Postigo INVITATION TO BID (2020-02-020)  August 14, 2020    Municipality of Leon B. Postigo, Zamboanga del Norte invites qualified bidders to apply for prequal</t>
  </si>
  <si>
    <t xml:space="preserve"> PROCUREMENT OF SUPPLIES AND MATERIALS FOR THE IMPROVEMENT OF WATER SYSTEM (PIPE LAYING)</t>
  </si>
  <si>
    <t xml:space="preserve"> PROCUREMENT OF CONSTRUCTION SUPPLIES AND MATERIALS FOR THE CONSTRUCTION OF LOCAL ROAD NETWORK</t>
  </si>
  <si>
    <t xml:space="preserve"> ZAMBALES 2ND DISTRICT ENGINEERING OFFICE Castillejos, Zambales NOTICE OF SHORT LIST AND REQUEST FOR PROPOSALS (RFP) August 13, 2020 [Name and Address of Consultant] Dear [Addressee]: Dear Sir: Subject: Consultancy Services for the Geotechnical Investigati</t>
  </si>
  <si>
    <t xml:space="preserve"> Description Republic of the Philippines PROVINCE OF ZAMBONAGA DEL NORTE Municipality of Leon B. Postigo INVITATION TO BID (2020-07-192) August 14, 2020    Municipality of Leon B. Postigo, Zamboanga del Norte invites qualified bidders to apply for prequali</t>
  </si>
  <si>
    <t xml:space="preserve"> Description Republic of the Philippines PROVINCE OF ZAMBONAGA DEL NORTE Municipality of Leon B. Postigo INVITATION TO BID (2020-02-022)  August 14, 2020    Municipality of Leon B. Postigo, Zamboanga del Norte invites qualified bidders to apply for prequal</t>
  </si>
  <si>
    <t xml:space="preserve"> Description Republic of the Philippines PROVINCE OF ZAMBONAGA DEL NORTE Municipality of Leon B. Postigo INVITATION TO BID (2020-07-227) August 14, 2020    Municipality of Leon B. Postigo, Zamboanga del Norte invites qualified bidders to apply for prequali</t>
  </si>
  <si>
    <t xml:space="preserve"> Description Republic of the Philippines PROVINCE OF ZAMBONAGA DEL NORTE Municipality of Leon B. Postigo INVITATION TO BID (2020-07-225) August 14, 2020    Municipality of Leon B. Postigo, Zamboanga del Norte invites qualified bidders to apply for prequali</t>
  </si>
  <si>
    <t xml:space="preserve"> Description of Works to be Done Asphalting..............................................96.26% Project Billboard/Signboard........................0.55% Occupational Safety &amp; Health program.........1.45% Mobilization........................................</t>
  </si>
  <si>
    <t xml:space="preserve"> Description Republic of the Philippines PROVINCE OF ZAMBONAGA DEL NORTE Municipality of Leon B. Postigo INVITATION TO BID (2020-07-214) August 14, 2020    Municipality of Leon B. Postigo, Zamboanga del Norte invites qualified bidders to apply for prequali</t>
  </si>
  <si>
    <t xml:space="preserve"> Provision of Communication devices and equipment to have a good communication and may be used for information dissemination to SK Council of Barangay Bangkal</t>
  </si>
  <si>
    <t xml:space="preserve"> Description Republic of the Philippines PROVINCE OF ZAMBONAGA DEL NORTE Municipality of Leon B. Postigo INVITATION TO BID (2020-07-181) August 14, 2020    Municipality of Leon B. Postigo, Zamboanga del Norte invites qualified bidders to apply for prequali</t>
  </si>
  <si>
    <t xml:space="preserve"> Description Republic of the Philippines PROVINCE OF ZAMBONAGA DEL NORTE Municipality of Leon B. Postigo INVITATION TO BID (2020-07-207) August 14, 2020    Municipality of Leon B. Postigo, Zamboanga del Norte invites qualified bidders to apply for prequali</t>
  </si>
  <si>
    <t xml:space="preserve"> 1.	The Municipality of Santo Tomas, La Union, through the budget for the contract approved by the sanggunian under LGSF-AM (2020) intends to apply the sum of Five million, six hundred twenty thousand pesos (Php 5,623,000.00) being the Approved Budget for </t>
  </si>
  <si>
    <t xml:space="preserve"> LED FLOOD LAMP 100WATTS      12 Pcs. STRANDED WIRE 8.0mm2          30 Meter STRANDED WIRE 3.5MM2             4 Box ELECTRICAL PIPE  1/2                35 Length PVC SOLVENT 400cc                    3  Can CABLE CLIP 4"                         200  Pcs. CI</t>
  </si>
  <si>
    <t xml:space="preserve"> Description Republic of the Philippines PROVINCE OF ZAMBONAGA DEL NORTE Municipality of Leon B. Postigo INVITATION TO BID (2020-07-194)  August 14, 2020    Municipality of Leon B. Postigo, Zamboanga del Norte invites qualified bidders to apply for prequal</t>
  </si>
  <si>
    <t xml:space="preserve"> Description Republic of the Philippines PROVINCE OF ZAMBONAGA DEL NORTE Municipality of Leon B. Postigo INVITATION TO BID (2020-07-228) August 14, 2020    Municipality of Leon B. Postigo, Zamboanga del Norte invites qualified bidders to apply for prequali</t>
  </si>
  <si>
    <t xml:space="preserve"> Description Republic of the Philippines PROVINCE OF ZAMBONAGA DEL NORTE Municipality of Leon B. Postigo INVITATION TO BID (2020-07-205) August 14, 2020    Municipality of Leon B. Postigo, Zamboanga del Norte invites qualified bidders to apply for prequali</t>
  </si>
  <si>
    <t xml:space="preserve"> 1.	The Municipality of Santo Tomas, La Union, through the budget for the contract approved by the sanggunian under LGSF-AM (2020) intends to apply the sum of Three million pesos              (Php 3,000,000.00) being the Approved Budget for the Contract (A</t>
  </si>
  <si>
    <t xml:space="preserve"> Description Republic of the Philippines PROVINCE OF ZAMBONAGA DEL NORTE Municipality of Leon B. Postigo INVITATION TO BID (2020-07-223) August 14, 2020    Municipality of Leon B. Postigo, Zamboanga del Norte invites qualified bidders to apply for prequali</t>
  </si>
  <si>
    <t xml:space="preserve"> Description Republic of the Philippines PROVINCE OF ZAMBONAGA DEL NORTE Municipality of Leon B. Postigo INVITATION TO BID (2020-07-222) August 14, 2020    Municipality of Leon B. Postigo, Zamboanga del Norte invites qualified bidders to apply for prequali</t>
  </si>
  <si>
    <t xml:space="preserve"> ATTACHED HEREWITH IS THE REQUEST FOR PROPOSAL AND TERMS OF REFERENCE.</t>
  </si>
  <si>
    <t xml:space="preserve"> Description Republic of the Philippines PROVINCE OF ZAMBONAGA DEL NORTE Municipality of Leon B. Postigo INVITATION TO BID (2020-07-221) August 14, 2020    Municipality of Leon B. Postigo, Zamboanga del Norte invites qualified bidders to apply for prequali</t>
  </si>
  <si>
    <t xml:space="preserve"> Description Republic of the Philippines PROVINCE OF ZAMBONAGA DEL NORTE Municipality of Leon B. Postigo INVITATION TO BID (2020-07-217) August 14, 2020    Municipality of Leon B. Postigo, Zamboanga del Norte invites qualified bidders to apply for prequali</t>
  </si>
  <si>
    <t xml:space="preserve"> Description Republic of the Philippines PROVINCE OF ZAMBONAGA DEL NORTE Municipality of Leon B. Postigo INVITATION TO BID (2020-07-224) August 14, 2020    Municipality of Leon B. Postigo, Zamboanga del Norte invites qualified bidders to apply for prequali</t>
  </si>
  <si>
    <t xml:space="preserve"> The Municipality of Baliwag, through its Bids and Awards Committee (BAC), invites contractors to apply for eligibility and to bid the here ender project: Name of Project	:	WIRELESS INTERNET CONNECTION FOR VARIOUS SCHOOL 				OF BALIWAG NORTH AND SOUTH DIST</t>
  </si>
  <si>
    <t xml:space="preserve"> 1.	The Capiz Provincial Government, through the GOP–2020 intends to apply the total amount of Nine Hundred Forty-Two Thousand Pesos (Php, 942,000.00) being the total aggregated Approved Budget for the Contract (ABC) to payments under the contract of Publi</t>
  </si>
  <si>
    <t xml:space="preserve"> Description Republic of the Philippines PROVINCE OF ZAMBONAGA DEL NORTE Municipality of Leon B. Postigo INVITATION TO BID (2020-07-216) August 14, 2020    Municipality of Leon B. Postigo, Zamboanga del Norte invites qualified bidders to apply for prequali</t>
  </si>
  <si>
    <t xml:space="preserve"> Description Republic of the Philippines PROVINCE OF ZAMBONAGA DEL NORTE Municipality of Leon B. Postigo INVITATION TO BID (2020-07-215) August 14, 2020    Municipality of Leon B. Postigo, Zamboanga del Norte invites qualified bidders to apply for prequali</t>
  </si>
  <si>
    <t xml:space="preserve"> Description Republic of the Philippines PROVINCE OF ZAMBONAGA DEL NORTE Municipality of Leon B. Postigo INVITATION TO BID (2020-07-219) August 14, 2020    Municipality of Leon B. Postigo, Zamboanga del Norte invites qualified bidders to apply for prequali</t>
  </si>
  <si>
    <t xml:space="preserve"> Description Republic of the Philippines PROVINCE OF ZAMBONAGA DEL NORTE Municipality of Leon B. Postigo INVITATION TO BID (2020-07-213) August 14, 2020    Municipality of Leon B. Postigo, Zamboanga del Norte invites qualified bidders to apply for prequali</t>
  </si>
  <si>
    <t xml:space="preserve"> Description Republic of the Philippines PROVINCE OF ZAMBONAGA DEL NORTE Municipality of Leon B. Postigo INVITATION TO BID (2020-07-220) August 14, 2020    Municipality of Leon B. Postigo, Zamboanga del Norte invites qualified bidders to apply for prequali</t>
  </si>
  <si>
    <t xml:space="preserve"> LOCAL ACCESS ROAD IN BARANGAY NANUNGARAN AND BARANGAY ANUNGU 	The Local Government Unit of Rizal, Cagayan intends to apply the sum of TEN MILLION NINE HUNDRED THOUSAND PESOS ONLY(P10,900,000.00) being the Approved Budget for the Contract (ABC) for the LOC</t>
  </si>
  <si>
    <t xml:space="preserve"> Description Republic of the Philippines PROVINCE OF ZAMBONAGA DEL NORTE Municipality of Leon B. Postigo INVITATION TO BID (2020-07-229) August 14, 2020    Municipality of Leon B. Postigo, Zamboanga del Norte invites qualified bidders to apply for prequali</t>
  </si>
  <si>
    <t xml:space="preserve"> Medicines</t>
  </si>
  <si>
    <t xml:space="preserve"> SUPPLY AND INSTALLATION OF CCTV CAMERAS 1 SETS 32 CH POE NVR 10 SETS 2 MP MINI BULLET IP CAMERA 8 SETS 4 MP BULLET CAMERA 2 SETS 2  MP 30X zoom PTZ IP CAMERA 4 SETS 50" UxD LED TV 5 SETS 5.6 GHz TRANSMITTER/ RELAY ANTENNA 2 UNITS CENTRALIZED POWER SUPPLY </t>
  </si>
  <si>
    <t xml:space="preserve"> Description Republic of the Philippines PROVINCE OF ZAMBONAGA DEL NORTE Municipality of Leon B. Postigo INVITATION TO BID (2020-07-175) August 14, 2020    Municipality of Leon B. Postigo, Zamboanga del Norte invites qualified bidders to apply for prequali</t>
  </si>
  <si>
    <t xml:space="preserve"> COMPUTER SYSTEM UPS 500VA CPU- 2.9GHz, 4GB DDR4 MEMO 240GB SSD+500GB PRINTER W/ SCANNER MONITOR 18" AND ETC.................</t>
  </si>
  <si>
    <t xml:space="preserve"> Description Republic of the Philippines PROVINCE OF ZAMBONAGA DEL NORTE Municipality of Leon B. Postigo INVITATION TO BID (2020-07-226) August 14, 2020    Municipality of Leon B. Postigo, Zamboanga del Norte invites qualified bidders to apply for prequali</t>
  </si>
  <si>
    <t xml:space="preserve"> BRASS ANGLE VALVE 3/4X1/2 BRASS CONNECTOR COUPLING BRASS GATE VALVE G.I. TEE REDUCER 1X1X1/2 G.I ELBOW G.I. PIPE AND ETC...............................................</t>
  </si>
  <si>
    <t xml:space="preserve"> ANTHRACITE COAL SILICA SAND</t>
  </si>
  <si>
    <t xml:space="preserve"> 2 UNITS BRAND NEW DUMP TRUCK FORWARD TYPE 36" DROP SIDE 8 HOLE 10 HUNDRED TIRE SIZE: 195 HP ENGINE, 6 CYLINDER SEMI AIR BRAKE W/ 2 UNITS SPARE TIRE W/COMPLETE ACCSS.</t>
  </si>
  <si>
    <t xml:space="preserve"> Description Republic of the Philippines PROVINCE OF ZAMBONAGA DEL NORTE Municipality of Leon B. Postigo INVITATION TO BID (2020-06-155) August 14, 2020    Municipality of Leon B. Postigo, Zamboanga del Norte invites qualified bidders to apply for prequali</t>
  </si>
  <si>
    <t xml:space="preserve"> 1.	The Municipality of Santo Tomas, La Union, through the budget for the contract approved by the sanggunian under the 5% LDRRM Fund (2020) intends to apply the sum of One hundred seventy thousand pesos (Php 170,000.00) being the Approved Budget for the C</t>
  </si>
  <si>
    <t xml:space="preserve"> 1	lot	Concreting of T. Cossid Street	 		Scope of Works:	 			Surplus Unclassified Excavation 			Embankment 			Subgrade Preparation (Common Materials) 			Aggregate Base Course 			PCC Pavement (Plain), 200mm thk. 			Project Billboard 			Mobilization &amp; Demobi</t>
  </si>
  <si>
    <t xml:space="preserve"> Republic of the Philippines Province of Isabela LOCAL GOVERNMENT UNIT OF BENITO SOLIVEN INVITATION TO BID FOR THE INSTALLATION OF AUTOMATED WEATHER MONITORING SYSTEM 1.	The Municipal Government of Benito Soliven, intends to apply the sum of Six Hundred Fi</t>
  </si>
  <si>
    <t xml:space="preserve"> Description Republic of the Philippines PROVINCE OF ZAMBONAGA DEL NORTE Municipality of Leon B. Postigo INVITATION TO BID (2020-07-212) August 14, 2020    Municipality of Leon B. Postigo, Zamboanga del Norte invites qualified bidders to apply for prequali</t>
  </si>
  <si>
    <t xml:space="preserve"> Description Republic of the Philippines PROVINCE OF ZAMBONAGA DEL NORTE Municipality of Leon B. Postigo INVITATION TO BID (2020-07-218) August 14, 2020    Municipality of Leon B. Postigo, Zamboanga del Norte invites qualified bidders to apply for prequali</t>
  </si>
  <si>
    <t xml:space="preserve"> Description Republic of the Philippines PROVINCE OF ZAMBONAGA DEL NORTE Municipality of Leon B. Postigo INVITATION TO BID (2020-07-235) August 14, 2020    Municipality of Leon B. Postigo, Zamboanga del Norte invites qualified bidders to apply for prequali</t>
  </si>
  <si>
    <t xml:space="preserve"> PROJECT TITLE:Proposed Faculty and Employee Center PROJECT LOCATION:SLSU Main Campus OWNER: Southern Luzon State University SUBJECT: Scope of works 1.0	SCOPE OF WORKS Item No.-----------------------Work Description------------------------------Wt. % 1----</t>
  </si>
  <si>
    <t xml:space="preserve"> Item 105- Sub-grade preparation, Qty. = 140.00 sq.m. with 35.00 linear meters, a. Equipment Rental: one (01) unit motorized grader, and one (01) unit vibratory road roller, b. Labor: four (04) manpower, Item 200-Aggregate sub-base course, Qty.= 33.60 cu.m</t>
  </si>
  <si>
    <t xml:space="preserve"> Description Republic of the Philippines PROVINCE OF ZAMBONAGA DEL NORTE Municipality of Leon B. Postigo INVITATION TO BID (2020-07-232) August 14, 2020    Municipality of Leon B. Postigo, Zamboanga del Norte invites qualified bidders to apply for prequali</t>
  </si>
  <si>
    <t xml:space="preserve"> Description Republic of the Philippines PROVINCE OF ZAMBONAGA DEL NORTE Municipality of Leon B. Postigo INVITATION TO BID (2020-07-230) August 14, 2020    Municipality of Leon B. Postigo, Zamboanga del Norte invites qualified bidders to apply for prequali</t>
  </si>
  <si>
    <t xml:space="preserve"> Description Republic of the Philippines PROVINCE OF ZAMBONAGA DEL NORTE Municipality of Leon B. Postigo INVITATION TO BID (2020-07-234) August 14, 2020    Municipality of Leon B. Postigo, Zamboanga del Norte invites qualified bidders to apply for prequali</t>
  </si>
  <si>
    <t xml:space="preserve"> Description Republic of the Philippines PROVINCE OF ZAMBONAGA DEL NORTE Municipality of Leon B. Postigo INVITATION TO BID (2020-07-204) August 14, 2020    Municipality of Leon B. Postigo, Zamboanga del Norte invites qualified bidders to apply for prequali</t>
  </si>
  <si>
    <t xml:space="preserve"> Description Republic of the Philippines PROVINCE OF ZAMBONAGA DEL NORTE Municipality of Leon B. Postigo INVITATION TO BID (2020-07-210) August 14, 2020    Municipality of Leon B. Postigo, Zamboanga del Norte invites qualified bidders to apply for prequali</t>
  </si>
  <si>
    <t xml:space="preserve"> 1.	The Municipality of Santo Tomas, La Union, through the budget for the contract approved by the sanggunian under the Special Education Fund (2020) intends to apply the sum of Seven hundred five thousand pesos (Php 705,000.00) being the Approved Budget f</t>
  </si>
  <si>
    <t xml:space="preserve"> Description Republic of the Philippines PROVINCE OF ZAMBONAGA DEL NORTE Municipality of Leon B. Postigo INVITATION TO BID (2020-07-209) August 14, 2020    Municipality of Leon B. Postigo, Zamboanga del Norte invites qualified bidders to apply for prequali</t>
  </si>
  <si>
    <t xml:space="preserve"> Description Republic of the Philippines PROVINCE OF ZAMBONAGA DEL NORTE Municipality of Leon B. Postigo INVITATION TO BID (2020-07-206) August 14, 2020    Municipality of Leon B. Postigo, Zamboanga del Norte invites qualified bidders to apply for prequali</t>
  </si>
  <si>
    <t xml:space="preserve"> Description Republic of the Philippines PROVINCE OF ZAMBONAGA DEL NORTE Municipality of Leon B. Postigo INVITATION TO BID (2020-07-203) August 14, 2020    Municipality of Leon B. Postigo, Zamboanga del Norte invites qualified bidders to apply for prequali</t>
  </si>
  <si>
    <t xml:space="preserve"> Description Republic of the Philippines PROVINCE OF ZAMBONAGA DEL NORTE Municipality of Leon B. Postigo INVITATION TO BID (2020-07-233) August 14, 2020    Municipality of Leon B. Postigo, Zamboanga del Norte invites qualified bidders to apply for prequali</t>
  </si>
  <si>
    <t xml:space="preserve"> Description Republic of the Philippines PROVINCE OF ZAMBONAGA DEL NORTE Municipality of Leon B. Postigo INVITATION TO BID (2020-07-208) August 14, 2020    Municipality of Leon B. Postigo, Zamboanga del Norte invites qualified bidders to apply for prequali</t>
  </si>
  <si>
    <t xml:space="preserve"> Description Republic of the Philippines PROVINCE OF ZAMBONAGA DEL NORTE Municipality of Leon B. Postigo INVITATION TO BID (2020-07-200) August 14, 2020    Municipality of Leon B. Postigo, Zamboanga del Norte invites qualified bidders to apply for prequali</t>
  </si>
  <si>
    <t xml:space="preserve"> Contract ID:  21CSIA003 – Consultancy Services for the conduct of Feasibility Study of the                       Proposed Calumpang–Atipolo Diversion Road; Naval Terminal–Atipolo                       Diversion Road and; Naval Diversion Road (Riverside-Pr</t>
  </si>
  <si>
    <t xml:space="preserve"> Republic of the Philippines Province of Camarines Sur Municipality of Gainza Barangay Cagbunga BIDS AND AWARD COMMITTEE INVITATION TO BID FOR THE PROCUREMENT OF RESCUE VEHICLE 1.	The Barangay Local Government of Cagbunga, intends to apply the sum of P 65,</t>
  </si>
  <si>
    <t xml:space="preserve"> Contract ID:  21CSIA002 - Conduct of Soil Exploration for the Rehabilitation / Reconstruction of          National Roads with Slips, Slope Collapse, and Landslides for the following projects          under FY 2021 Fund to wit: 1.	Asset Preservation-Rehabi</t>
  </si>
  <si>
    <t xml:space="preserve"> - To conduct a week long event to celebrate Linggo ng Kabataan as provided in RRI of RA10742, Rule VI  - To report the accomplishment and future programs, projects and activities of SK Council</t>
  </si>
  <si>
    <t xml:space="preserve"> SEE PBD</t>
  </si>
  <si>
    <t xml:space="preserve"> INVITATION TO BID FOR PROCUREMENT OF ASSORTED MAINLINE FITTINGS AND MATERIALS 1.	The Bani Water District, through the Corporate Budget for the year 2020  intends to apply the sum of Seven Hundred Fifty One Thousand Four Hundred Thirty Two Pesos Only (751,</t>
  </si>
  <si>
    <t xml:space="preserve"> Repair &amp; Maintenance of Dental Equipment</t>
  </si>
  <si>
    <t xml:space="preserve"> Pls see attached</t>
  </si>
  <si>
    <t xml:space="preserve"> Republic of the Philippines BIDS AND AWARDS COMMITTEE Province of Iloilo Invitation to Bid Purchase of Furniture and Fixtures Bid No. PTO-20-0861-B 1. The Iloilo Provincial Government, through the 2017 Furniture and Fixtures intends to apply the sum of Tw</t>
  </si>
  <si>
    <t xml:space="preserve"> Procurement ID/Contract ID		:  20 IK 0100     Contract Name				:  Reblocking of Municipal Roads.     Contract Location			:  Brgys. Baybay, Salud, Lawaan, Palaypay, Mercado, Loyo, Basey, Samar     Brief Description	:  Reblocking of Municipal Roads     Appr</t>
  </si>
  <si>
    <t xml:space="preserve"> Description Republic of the Philippines PROVINCE OF ZAMBONAGA DEL NORTE Municipality of Leon B. Postigo INVITATION TO BID (2020-07-211) August 14, 2020    Municipality of Leon B. Postigo, Zamboanga del Norte invites qualified bidders to apply for prequali</t>
  </si>
  <si>
    <t xml:space="preserve"> 1.	The Provincial Government of Davao del Norte, through CY 2020 Annual Budget Fund hereby invites all interested PhilGEPS registered suppliers to submit bids for the procurement of goods. Bids received in excess of the ABC shall be automatically rejected</t>
  </si>
  <si>
    <t xml:space="preserve"> INVITATION TO BID FOR PROCUREMENT OF WATER SYSTEM FIXTURES 1.	The Local Government Unit of Josefina, through the SEF intends to apply the sum of ONE HUNDRED FIFTY THOUSAND PESOS (150,000.00) being the Approved Budget for the Contract (ABC) of DepEd to pay</t>
  </si>
  <si>
    <t xml:space="preserve"> Municipal Government of Balud 						                                INFRA – 03- 2019(REPOST) 					                                                                Construction of New Municipal Building 							                                               </t>
  </si>
  <si>
    <t xml:space="preserve"> Description Republic of the Philippines PROVINCE OF ZAMBONAGA DEL NORTE Municipality of Leon B. Postigo INVITATION TO BID (2020-07-231) August 14, 2020    Municipality of Leon B. Postigo, Zamboanga del Norte invites qualified bidders to apply for prequali</t>
  </si>
  <si>
    <t xml:space="preserve"> concreting of local access road at Ajat to Manaoag to Campo</t>
  </si>
  <si>
    <t xml:space="preserve"> 2020 29TH PUBLIC BIDDING: PROCUREMENT OF FOOD STUFF FOR 2020 2ND SEMESTER CONSUMPTION</t>
  </si>
  <si>
    <t xml:space="preserve"> GASOLINE DIESEL GREASE</t>
  </si>
  <si>
    <t xml:space="preserve"> The Barangay Council would like to purchase the following materials and supplies listed below: Coco lumber - 2"x3"x12 Coco lumber - 2"x2"x12 Assorted CWN Portland cement Sand Gravel</t>
  </si>
  <si>
    <t xml:space="preserve"> Republic of the Philippines Province of Leyte Municipality of Hilongos INVITATION TO RE-BID FOR THE PURCHASE OF OFFICE SUPPLIES FOR THE 3RD QUARTER 1.  The Local Government Unit of Hilongos, through GENERAL FUND-CURRENT APPROPRIATION intends to apply the </t>
  </si>
  <si>
    <t xml:space="preserve"> REHAB/REPAIR OF MUNICIPAL ROADS Municipal Road, Labo, Cams. Norte</t>
  </si>
  <si>
    <t xml:space="preserve"> To procure goods for the 10th Cycle implementation of Supplementary Feeding Program of the Municipality of Sarrat, Ilocos Norte</t>
  </si>
  <si>
    <t xml:space="preserve"> PROVISION FOR THE EXTENSION OF RTC BRANCH 64 OFFICE BUILDING RTC Branch 64 Office Building, Labo, Cams. Norte</t>
  </si>
  <si>
    <t xml:space="preserve"> Republic of the Philippines                                                          Province of Aklan                                              MUNICIPALITY OF LIBACAO                                                                * * * The Local Gove</t>
  </si>
  <si>
    <t xml:space="preserve"> INSTALLATION OF STREETLIGHTS AT POBLACION BARANGAY Poblacion, Labo, Cams. Norte</t>
  </si>
  <si>
    <t xml:space="preserve"> Item No.	Unit	Qty.	Description of Articles 1	pcs	6	Shovels (Spade and Pointed Type) 2	lengths	20	P.E Tubing I.S.O. 3" Ø x 6m SDR11 3	pc	1	Gate Valve 3" Ø Brass 4	pcs	2	P.E Male Adaptor I.S.O. SDR11 3"Ø 5	pcs	2	P.E Coupling I.S.O. SDR11 3"Ø 6	pcs	20	P.E Un</t>
  </si>
  <si>
    <t xml:space="preserve"> 55	pcs	 Apron (Color green with Logo) 	 2	unit	 1.5 Pressurized Car Wash Water Pump Kit/ Set   	 		 (including motor &amp; presurized hose nozzle) 	 2	unit 	 5kg/ 0.5g LCD Digital Coffee Weighing 	 5	pcs	 Air Chuck 	 49    	pcs	 Air Compressor (1/4 hp) 	 5   </t>
  </si>
  <si>
    <t xml:space="preserve"> CONSTRUCTION OF SCHOOL BUILDING CUM EVACUATION CENTER-NAPAOD ELEMENTARY SCHOOL Napaod Elementary School, Labo, Cams. Norte</t>
  </si>
  <si>
    <t xml:space="preserve"> CONSTRUCTION OF VIRGIN COCONUT OIL PROCESSING PLANT - BRGY. MALAYA Brgy. Malaya, Labo, Cams. Norte</t>
  </si>
  <si>
    <t xml:space="preserve"> INVITATION TO BID FOR PROCUREMENT OF MEDICINE AND MEDICAL SUPPLIES (3RD QUARTER) 1.	The Local Government Unit of Josefina, through the PHIC PFPR  intends to apply the sum of FOUR HUNDRED SIXTY TWO THOUSAND SIX HUNDRED TWENTY PESOS &amp; 27/100 CENTAVOS (462,6</t>
  </si>
  <si>
    <t xml:space="preserve"> Republic of the Philippines Province of Surigao del Norte Municipality of Gigaquit INVITATION TO BID FOR The Supply &amp; Delivery of Piglets, Feeds, Drugs and Biologics. 1.	The Municipality of Gigaquit, through the [General Fund]  intends to apply the sum of</t>
  </si>
  <si>
    <t xml:space="preserve"> PURCHASE</t>
  </si>
  <si>
    <t xml:space="preserve"> CONCRETING OF FMR-BRGY. BAKIAD Brgy. Bakiad, Labo, Cams.</t>
  </si>
  <si>
    <t xml:space="preserve"> Tractor with Trailer	1	unit Drive Train System: 4-Wheel Drive		 Dimensions: 2900mm (length) x 1400mm (width) or larger, Ground		          Clearance: 350mm or higher		 Weight: 1250kgs or heavier		 Engine: 38HP or higher, Diesel Engine, Direct Injection, 3-</t>
  </si>
  <si>
    <t xml:space="preserve"> CONTRACT COST:		 1.	lot	1	SECOND FLOOR COLUMNS, ROOF BEAMS, STIFFENERS	200,734.64	200,734.64 2.	lot	1	ROOF FRAMING AND ROOFING	269,531.14	269,531.14 3.	lot	1	FACIA RUNNER, FACIA, GUTTER AND DOWN SPOUT	54,167.77	54,167.77 4.	m²	176.47	WALL	1,101.28	194,343</t>
  </si>
  <si>
    <t xml:space="preserve"> Engine/transmission 4x4 M/T, Model 1GD-FTV, TYpe2.8 Diesel, 4-Cylinder, 16-Valve DOHC Variable Noozle Turbo with Front Mounted Inter-Cooler, Displacement 2,755, Maximum Output 174/3,400, Maximum Torque 420 / 1,600-2,400, Transmission 6-Speed M/T, Feel Sys</t>
  </si>
  <si>
    <t xml:space="preserve"> Staking &amp; FormWorks Earth Works Concrete Works Steel Works</t>
  </si>
  <si>
    <t xml:space="preserve"> Supply and Delivery of Adhesive Epoxy and Forty-Eight Others for OM-BOD Delivery Site: OM-BOD Office, Peñafrancia, Daraga Albay  PLEASE SUBMIT REQUIREMENTS: 1.	MAYOR’S/BUSINESS PERMIT 2.	PhilGEPS REG. NUMBER/CERTIFICATE</t>
  </si>
  <si>
    <t xml:space="preserve"> MULTIFUNCTION COPIER, COLORED WITH LIFETIME FREE SERVICE Specifications: Copy/print speed A4: Up to 22 ppm Copy/print speed A3: Up to 14 ppm Autoduplex speed A4: Up to 22 ppm 1st copy out time: 6.8/8.4 sec (mono/colour) Warm up time: Approx. 20 sec. Print</t>
  </si>
  <si>
    <t xml:space="preserve"> Republic of the Philippines Province of Davao Oriental City of Mati BIDS &amp; AWARDS COMMITTEE INVITATION TO BID LOT Procurement of SPAREPARTS for Use in the Repair of Light and Heavy Equipment SOURCE OF FUND: 20% LGDF [8000A-300-1-07-03-010-17] 1.	The Provi</t>
  </si>
  <si>
    <t xml:space="preserve"> INVITATION TO BID FOR PROCUREMENT OF OFFICE EQUIPMENT AND ACCESSORIES (3RD QUARTER) 1.	The Local Government Unit of Josefina, through the SEF, GAD, Capital Outlay, SC &amp; PWD, GF intends to apply the sum of FOUR HUNDRED FIFTY SIX THOUSAND SEVEN HUNDRED FIFT</t>
  </si>
  <si>
    <t xml:space="preserve"> Department of Public Works and Highways (DPWH) Contract ID: 20IB0146 Contract Name: Repair/Maintenance of Unpaved Shoulder and Clearing of Landslide  Location of the Contract: along Eastern Samar National Roads Republic of the Philippines DEPARTMENT OF PU</t>
  </si>
  <si>
    <t xml:space="preserve"> One (1) Unit Full Rehabilitation of Air Quality Monitoring Network A. Full Rehabilitation of Shelter and Roofing B. Replacement of Defective MET Sensors C. Full Calibration of MET Sensors D. Construction of AQMS fence E. Repair of Existing MET rod Tower F</t>
  </si>
  <si>
    <t xml:space="preserve"> PUBLIC BIDDING The municipal government of Romblon through its Bids and Awards Committee (BAC) invites PhilGEPS registered suppliers to apply to bid for the Office Equipment.</t>
  </si>
  <si>
    <t xml:space="preserve"> Improvement</t>
  </si>
  <si>
    <t xml:space="preserve"> Republic of the Philippines Province of Ilocos Norte MUNICIPALITY OF CURRIMAO Invitation to Bid for  CONCRETING OF PIAS NORTE FARM TO MARKET ROAD PHASE II 1.	The MUNICIPALITY OF CURRIMAO, through the RA7171 intends to apply the sum of TWO MILLION EIGHT HU</t>
  </si>
  <si>
    <t xml:space="preserve"> 40 ltrs D.D Cyphenothrin</t>
  </si>
  <si>
    <t xml:space="preserve"> Republic of the Philippines                                                          Province of Aklan                                                 MUNICIPALITY OF LIBACAO                                                                  * * * The Local</t>
  </si>
  <si>
    <t xml:space="preserve"> details at the BAC or GSO</t>
  </si>
  <si>
    <t xml:space="preserve"> 25 pcs Sacks  15 pcs Rakes 500 pcs Walis Ting-ting 2 units Heavy Duty Ladder</t>
  </si>
  <si>
    <t xml:space="preserve"> REQUEST FOR QUOTATION (RFQ) 											Date: August 14, 2020 The Owner/Proprietor _________________________ Borongan City Sir: Please quote your price for the items specified below, taking into consideration the following &amp; fill-up the above portion “The </t>
  </si>
  <si>
    <t xml:space="preserve"> Republic of the Philippines  Province of Cebu Municipality of Boljoon Barangay Lower Becerril INVITATION TO BID FOR the purchase of Materials for Road Concreting 1.	The Barangay Lower Becerril, through the 20% Devt. Fund FY 2019 and FY 2020 in the amount </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</si>
  <si>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</si>
  <si>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Republic of the Philippines          City of Dumaguete Bids and Awards Committee INVITATION TO BID FOR PURCHASE REQUEST OF 45 BOTS HEMSEP VACCINE 50ML/25 DOSES AND OTHER ITEMS 	The City of Dumaguete thru its BIDS AND AWARDS COMMITTEE (BAC), invites all in</t>
  </si>
  <si>
    <t xml:space="preserve"> BIDS AND AWARDS COMMITTEE Dated: August 13, 2020 INVITATION TO BID The Municipality of Sison, through the Municipal Bids and Awards Committee, now invites sealed Bids from eligible Bidders for the project; Purchase of 1 unit BACKHOE, Sison, Surigao del No</t>
  </si>
  <si>
    <t xml:space="preserve"> I.SITEWORKS A.CLEARING AND LAYOUT B.EXCAVATION C.GRAVEL BED II.CONCRETE WORKS III.MASONRY WORKS IV.PLASTERING WORKS</t>
  </si>
  <si>
    <t xml:space="preserve"> REPUBLIC OF THE PHILIPPINES 		                PROVINCE OF PALAWAN MUNICIPALITY OF LINAPACAN 	August 12, 2020 Invitation to Bid (ITB No. 47-20) 1.	The Municipal Government of Linapacan, Palawan through the MUNICIPAL DEVELOPMENT FUND  (20% MDF) projects int</t>
  </si>
  <si>
    <t xml:space="preserve"> DESCRIPTION UNIT QTY Printer (L120) UNIT 68 Specification: High-yield ink bottles *print speed up to 8.5ipm for black-and-white and 4.5ipm for color * Compact Size *warranty of 2 years or 20,000 pages, whichever comes first Printer ( L3110 ) UNIT 93 Speci</t>
  </si>
  <si>
    <t xml:space="preserve"> Republic of the Philippines Province of Cagayan Municipality of Camalaniugan  August 13, 2020 Invitation to Bid for the  CONCRETING OF VARIOUS  BARANGAY ROADS  1.	The Municipality of Camalaniugan, through the 20% Development Fund, CY-2020  intends to appl</t>
  </si>
  <si>
    <t xml:space="preserve"> Republic of the Philippines Province of Iloilo Municipality of Lambunao Office of the Bids &amp; Awards Committee INVITATION TO BID/ REQUEST FOR PRICE QUOTATION Name of Project: Purchase of Materials for the Installation of Solar Streetlights Location: Brgy. </t>
  </si>
  <si>
    <t xml:space="preserve"> REHABILITATION OF PAPAGAN FMR LEADING TO PAPAGAN AGRO-TOURISM FARM EMBANKMENT/GRAVELLING @ PUROK 3, MALUBIBIT NORTE</t>
  </si>
  <si>
    <t xml:space="preserve"> PROCUREMENT OF CONSUMABLE OFFICE SUPPLIES FOR SHS DEPARTMENT</t>
  </si>
  <si>
    <t xml:space="preserve"> engine 4 cylinder in line blue power diesel with turbo intercooler, direct injection, displacement 2,999cc  maximum power PS (kw) @rpm 177 (130) @3,600, maximum torque emission rating Euro 4 Transmission model 6 speed manual transmission with gear shift i</t>
  </si>
  <si>
    <t xml:space="preserve"> OILS AND TIRES</t>
  </si>
  <si>
    <t xml:space="preserve"> The Energy Regulatory Commission (ERC), through the General Appropriations Act of 2020, intends to apply the sum of One Hundred Sixty-Six Thousand Six Hundred Sixty-Six Pesos and 67/100 centavos (PhP166,666.67), being the Approved Budget for the Contract </t>
  </si>
  <si>
    <t xml:space="preserve"> The MUNICIPALITY OF CALINTAAN, through the 20% Development Fund intends to apply the sum of Four Hundred Thousand Pesos Only (Php400,000.00) being the Approved Budget for the Contract (ABC) to payment  under the Contract No. 2020-08-37 for the Constructio</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</si>
  <si>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</si>
  <si>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Supply and Installation of Equipment for AA Municipal Slaughterhouse</t>
  </si>
  <si>
    <t xml:space="preserve"> AA Municipal Slaughterhouse</t>
  </si>
  <si>
    <t xml:space="preserve"> Republic of the Philippines Province of Isabela Municipality of Jones INVITATION TO BID FOR THE Supply and Delivery of Medicines and Supply for the Municipal Health Office  (3rd Quarter 2020) Solicitation No. Goods-2020-16 	The Municipality of Jones, Isab</t>
  </si>
  <si>
    <t xml:space="preserve"> 1 UNIT  6 WHEELER DUMPTRUCK ENGINE TYPE: FOUR (4) CYLINDERS IN LINE, 4 STROKE ELECTRONIC CONTROLLED COMMON RAIL ENGINE  WATER COOLED, TURBO CHARGING &amp; INTERCOOLING, DIESEL ENGINE EURO COMPLAINT: EURO V STANDARD ENGINE POWER: AT LEAST 190HP @ 2600 RMP ENGI</t>
  </si>
  <si>
    <t xml:space="preserve"> Republic of the Philippines Province of Davao del Sur MUNICIPALITY OF STA.CRUZ INVITATION TO BID  PROCUREMENT OF IGM/IGG ANTIBODY DIAGNOSTIC KIT FOR COVID-19 RESPONSE - 2ND POSTING (ITB No. 25-Goods-2020) 1.	The Local Government Unit of Sta. Cruz, Davao d</t>
  </si>
  <si>
    <t xml:space="preserve"> INVITATION TO BID  for  Construction of Canal Lining at Brgy. Nancasalan, Mangatarem, Pangasinan Solicitation No. PANG-2020-1015 1.	The Provincial Government of Pangasinan, through the Irrigation Fund (PR#2020-02-1300) intends to apply the sum of One Mill</t>
  </si>
  <si>
    <t xml:space="preserve"> INVITATION TO BID  for  Construction of Balat-Cayanga CIP at Brgy. Cayanga, Bugallon, Pangasinan Solicitation No. PANG-2020-1014 1.	The Provincial Government of Pangasinan, through the Irrigation Fund (PR#2020-02-1301) intends to apply the sum of One Mill</t>
  </si>
  <si>
    <t xml:space="preserve"> (Section I) Republic of the Philippines Department of Health CENTER FOR HEALTH DEVELOPMENT MIMAROPA Q.M.M.C. Compound, Project 4, Quezon City INVITATION TO BID  PUBLIC BIDDING FOR THE SUPPLY AND DELIVERY OF ICT EQUIPMENTS AND AIR-CONDITIONING UNITS (OPERA</t>
  </si>
  <si>
    <t xml:space="preserve"> 1.	The Municipality of Daram, through the General Fund-2020 intends to apply the sum of One Million Six Hundred Thousand Pesos (P1,600,000.00) being the Approved Budget for the Contract (ABC) to payments under the contract for the Supply and Delivery of S</t>
  </si>
  <si>
    <t xml:space="preserve"> INVITATION TO BID The Bureau of Fisheries and Aquatic Resources Region 5 (BFAR 5), through the Government of the Philippines (GOP), for CY 2020 intends to apply the sum of Five Million Pesos (PhP5,000,000.00) only, being the Approved Budget for the Contra</t>
  </si>
  <si>
    <t xml:space="preserve"> Procurement and Delivery of 4-wheel drive Brand New Farm Tractor with attachments: 1 set Trailing Harrow 20 x 24” and 1 set Mounted Rotor-Tiller: 50-54 blades</t>
  </si>
  <si>
    <t xml:space="preserve"> see agency estimate for details</t>
  </si>
  <si>
    <t xml:space="preserve"> 952 -pcs Face Mask N95 3M</t>
  </si>
  <si>
    <t xml:space="preserve"> Complete construction of 2-storey 8-classroom school Building *(2-Regular Workshop, 1-Science Laboratory and 1-ICT Laboratory each floor (mostly built with concrete and masonry, with PWD ramp with handrails, parapet wall on concrete gutter, complete with </t>
  </si>
  <si>
    <t xml:space="preserve"> August 13, 2020 INVITATION TO BID Reference No. 7174874 / Solicitation No. 2020-08-019 The Barangay San Agustin, Tagum City invites interested bidders/Suppliers to submit for eligibility and to bid for the following: CONSTRUCTION OF WATER SYSTEM (DRILLING</t>
  </si>
  <si>
    <t xml:space="preserve"> 300 vials Flu Vaccine</t>
  </si>
  <si>
    <t xml:space="preserve"> INVITATION TO BID  for  Construction of Canal Lining of Patapaya CIS at Brgy. Bayaoas, Aguilar, Pangasinan Solicitation No. PANG-2020-1016 1.	The Provincial Government of Pangasinan, through the Irrigation Fund (PR#2020-02-1299) intends to apply the sum o</t>
  </si>
  <si>
    <t xml:space="preserve"> Republic of the Philippines MUNICIPALITY OF AGONCILLO Province of Batangas Tel. No. 043-210-2344/043-210-2117 BARANGAY STA. CRUZ INVITATION TO BID The LGU – Sta. Cruz, through its Bids and Awards Committee (BAC), invites suppliers/manufacturers/distributo</t>
  </si>
  <si>
    <t xml:space="preserve"> see attached documents.</t>
  </si>
  <si>
    <t xml:space="preserve"> Republic of the Philippines Province of Davao del Sur MUNICIPALITY OF STA.CRUZ INVITATION TO BID  PROCUREMENT OF RIVER MIX FOR EARTH FILLING (PHASE 2) AT BATO NHS - 1ST POSTING (ITB No. 27-Goods-2020) 1.	The Local Government Unit of Sta. Cruz, Davao del S</t>
  </si>
  <si>
    <t xml:space="preserve"> Equipment for healthy lifestyle facility</t>
  </si>
  <si>
    <t xml:space="preserve"> RFQ (20-08-033) Various Supplies and Materials for Hemodialysis Patients that are in need of assisstive devices in celebration of the National Disability Prevention and Rehabilitation</t>
  </si>
  <si>
    <t xml:space="preserve"> Republic of the Philippines					 PROVINCE OF ZAMBOANGA DEL NORTE					 Municipality of President Manuel A. Roxas					 BARANGAY PIAO					 					 BIDS AND AWARDS COMMITTEE					 					 INVITATION TO BID					           Invitation is hereby given for the Supply a</t>
  </si>
  <si>
    <t xml:space="preserve"> Bid Opening - September 3, 2020, 2:00 P.M. at Municipal Conference Hall</t>
  </si>
  <si>
    <t xml:space="preserve"> Meals and Sancks for the Peace Building Seminar 2020 with the Theme: PAGKAKAISA TUNGO sa MAPAYAPANG PAMUMUHAY"</t>
  </si>
  <si>
    <t xml:space="preserve"> Repair of dilapidated parts of Barangay Stage in Brgy. Imelda such as ceiling, back wall, roofing floor and painting.</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</si>
  <si>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</si>
  <si>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Republic of the Philippines 	DEPARTMENT OF PUBLIC WORKS AND HIGHWAYS 	ILOILO 3RD 	DISTRICT ENGINEERING OFFICE 	REGIONAL OFFICE VI 	Barotac Viejo, Iloilo INVITATION TO BID The DPWH Iloilo 3rd District Engineering Office, through its Bids and Awards Committ</t>
  </si>
  <si>
    <t xml:space="preserve"> Republic of the Philippines Province of Davao del Sur Municipality of Padada BIDS AND AWARDS COMMITTEE INVITATION TO BID CONCRETING OF GENERAL LUNA STREET, QUIRINO DISTRICT, PADADA, DAVAO DEL SUR 1.The Local Government Unit of Padada, through the 2020 DIL</t>
  </si>
  <si>
    <t xml:space="preserve"> Invitation to Bid for  “Supply and Delivery of Seventeen (17) units Branded Laptop Computer, Five (5) boxes Office 365, Three (3) units Branded LED Monitor and Ten (10) units Portable External Hard Drive” 1.The Philippine Institute of Volcanology and Seis</t>
  </si>
  <si>
    <t xml:space="preserve"> Republic of the Philippines Province of Davao de Oro Municipality of Monkayo -o0o- INVITATION TO BID FOR THE PROCUREMENT OF FUEL FOR MOBILIZATION OF VARIOUS OFFICES  The Municipality of Monkayo, through the GENERAL FUND intends to apply the sum of SEVEN H</t>
  </si>
  <si>
    <t xml:space="preserve"> Provision of three (3) Security Guards Under a Security Agency for Negros Occidental High School</t>
  </si>
  <si>
    <t xml:space="preserve"> Bicol Medical Center Concepcion Pequeña, Naga City, 4400 (0998-247-0239/0906-256-9238          E-mail Address: bmc.bacoffice@gmail.com INIVITATION TO BID PROCUREMENT OF LINEN SUPPLIES ITB No. 2020-31 1.	The BICOL MEDICAL CENTER, through SA-QRF COVID / INC</t>
  </si>
  <si>
    <t xml:space="preserve"> Republic of the Philippines Province of Cebu Municipality of Boljoon Invitation to Bid for CONSTRUCTION OF MATERIAL RECOVERY FACILITIES (MRF-2) BOLJOON, CEBU 1.	The  Municipality  of  Boljoon,  through  the SUPPLEMENTAL BUDGET NO.I intends to apply the su</t>
  </si>
  <si>
    <t xml:space="preserve"> Republic of the Philippines Province of Davao del Sur Municipality of Padada BIDS AND AWARDS COMMITTEE INVITATION TO BID CONCRETING OF DAGOHOY STREET, QUIRINO DISTRICT, PADADA, DAVAO DEL SUR 1.The Local Government Unit of Padada, through the 2020 DILG Ass</t>
  </si>
  <si>
    <t xml:space="preserve"> Department of Health Central Luzon Center for Health Development MARIVELES MENTAL WELLNESS AND GENERAL HOSPITAL Mariveles, Bataan BAC Office, BAC Secretariat (047) 633-4992 procurement@mmh.gov.ph INVITATION TO BID  PROCUREMENT OF MEDICAL AND MISCELLANEOUS</t>
  </si>
  <si>
    <t xml:space="preserve"> Model: xc870k Chassis Type: Integrated Digging Working Service: Middle Dimension (LxWxH): 7440x2350x3450 Total weight: 2600 Max. Travel Sped: 240 Wheelbase: 2180 Engine: Power: 82(cummins), 74(cummins), 74.9(deutz),70(welcha) Loading Device: bucket capaci</t>
  </si>
  <si>
    <t xml:space="preserve"> 4x2 dump truck Model: ZZ3138G3915D1 Cabin: 2080mm cab with single sleeper Engine: YC4E160-48, 4 cylinders in line, EuroIV emission, 160hp Fron/Rear Axle: %t/10T Wheel &amp; Tire: 10.00R20x7, rear axle with double tires Transmission: HW90510C Brake: dual circu</t>
  </si>
  <si>
    <t xml:space="preserve"> Lot 1: 1 UNIT DIGITAL DUPLICATING MACHINE (Funded from Mayor's Office Capital Outlay-Office Equipment) Php150,000.00 Lot 2: 1 UNIT DIGITAL DUPLICATING MACHINE (Funded from Special Education Fund-SEF 2020) Php150,000.00 SPECIFICATIONS: Plate making method:</t>
  </si>
  <si>
    <t xml:space="preserve"> Expanded Newborn Filter cards</t>
  </si>
  <si>
    <t xml:space="preserve"> INVITATION TO BID  for  Construction of Camalin Water Impounding Project (SWIP) at Brgy. Camagsingalan, Sual, Pangasinan Solicitation No. PANG-2020-1018 1.	The Provincial Government of Pangasinan, through the Irrigation Fund (PR#2020-02-1303) intends to a</t>
  </si>
  <si>
    <t xml:space="preserve"> Construction of Pathway at Brgy. Imelda, Mondragon, Northern Samar. This includes excavation,embankment and pavement concreting of 2m width by 30m length and 150mm thick Pavement.</t>
  </si>
  <si>
    <t xml:space="preserve"> ELF SHD-126,SGX-384,SGG-967,SEN 430 1.	1	Pc.	AIR CLEANER HOSE 2.	1	Pc.	TORSION BAR NPR GIGA 3.	1	Pc.	RELAY 24V 4.	1	Pc.	EXHAUST GASKET 5.	1	Pc.	Shifter BalL 6.	4 	Pcs.  	Bearing NSK 7.	1 	Pc. 	VCC 4HF1 8. 	1	Pc.  	B/M Assy 4HF1 9. 	4	Pcs. 	Valve Cover Plu</t>
  </si>
  <si>
    <t xml:space="preserve"> I. A. MATERIALS   G.I Pipe 1 1/2'' dia. x 6m. S.40                             17 Lengths   Angle Bar 3/16'' x 1'' x 20'                                    122 lengths   Welding Rod (Fuji Weld # 12)                                20 kgs.   Red Lead Paint </t>
  </si>
  <si>
    <t xml:space="preserve"> Republic of the Philippines Province of Leyte Municipality of Hilongos Barangay HIMO-AW REQUEST FOR QUOTATION ________________ DATE _____________________ _____________________ .        Please quote your lowest price on the items/listed below for theProcur</t>
  </si>
  <si>
    <t xml:space="preserve"> Vehicle: Body Type: MPV Engine Type: 4 Cylinder, 16 Valves, Double Overhead Camshaft, Dual Variable Valve Timinq Intelligent Fuel Type: Gasoline Please see attached files for more details</t>
  </si>
  <si>
    <t xml:space="preserve"> Republic of the Philippines Province of zamboanga Sibugay Municipality of Olutanga 7014 AUGUST 13, 2020 NOTICE TO THE PUBLIC INVITIATION TO APPLY FOR ELIGIBILITY AND TO BID All interested bidders are invited to Pre-qualify and participate in sealed biddin</t>
  </si>
  <si>
    <t xml:space="preserve"> Request for Quotation Bond Paper A4    90gsm</t>
  </si>
  <si>
    <t xml:space="preserve"> Republic of the Philippines Province of Romblon MUNICIPALITY OF MAGDIWANG INVITATION TO BID PURCHASE OF OFFICE AND IT EQUIPMENT Project ID No. 2020-22 August 13, 2020 1.	The Municipality of Magdiwang, Romblon, through its Gen. Fund 2020/SB # 4 intends to </t>
  </si>
  <si>
    <t xml:space="preserve"> INVITATION TO BID   Project No.: SDCV-02-2020  The Department of Education (DepED) Schools Division of Compostela Valley, through the General Appropriations Act (GAA), intends to apply the sum of Seventy-Two Million One Hundred Nine Thousand Eight Hundred</t>
  </si>
  <si>
    <t xml:space="preserve"> Supply and Delivery of Laptops and Netbook Computers</t>
  </si>
  <si>
    <t xml:space="preserve"> Bid Opening - September 3, 2020, 2:00 P.M. at Municipal COnference Hall</t>
  </si>
  <si>
    <t xml:space="preserve"> 1. 100 PCS SUBLIMATION T-SHIRT (RADIO OPERATORS) 2. 40 PCS SUBLIMATION T-SHIRT (MDRRMO VOLUNTEERS)</t>
  </si>
  <si>
    <t xml:space="preserve"> Republic of the Philippines Province of Romblon MUNICIPALITY OF MAGDIWANG INVITATION TO BID CONSTRUCTION OF ONE (1) DAY CARE CENTER (MATERIALS Project ID No. 2020-21 August 13, 2020 1.	The Municipality of Magdiwang, Romblon, through its 20%  ADF SAVINGS 2</t>
  </si>
  <si>
    <t xml:space="preserve"> 1. 250 PAX FOOD CATERING 2. 100 PAX PACK LUNCH 3. 3 PCS LITSON</t>
  </si>
  <si>
    <t xml:space="preserve"> Republic of the Philippines Province of Pangasinan MUNICIPALITY OF LINGAYEN Invitation to Bid for the Purchase  of  tents for various barangays at  Lingayen, Pangasinan  	The Municipal Government of Lingayen, Pangasinan, through the  MOOE intends to apply</t>
  </si>
  <si>
    <t xml:space="preserve"> Republic of the Philippines Province of Cebu Municipality of Boljoon Invitation to Bid for CONSTRUCTION OF MATERIAL RECOVERY FACILITIES (MRF-1) BOLJOON, CEBU 1.	The  Municipality  of  Boljoon,  through  the SUPPLEMENTAL BUDGET NO.I intends to apply the su</t>
  </si>
  <si>
    <t xml:space="preserve"> The Municipality of Calintaan through the Trust Funds(Tobacco Excise Tax)  intends to apply the sum of Eight Hundred Thousand Pesos Only (Php800,000.00) being the Approved Budget for the Contract (ABC) to payment under the Contract No. 2020-08-33 for the </t>
  </si>
  <si>
    <t xml:space="preserve"> INVITATION TO BID  for  Construction of Cabisbisiacan CIP at Brgy. Casilan, Umingan, Pangasinan Solicitation No. PANG-2020-1017 1.	The Provincial Government of Pangasinan, through the Irrigation Fund (PR#2020-02-1298) intends to apply the sum of Two Milli</t>
  </si>
  <si>
    <t xml:space="preserve"> Republic of the Philippines PROVINCE OF CAMARINES SUR BIDS AND AWARDS COMMITTEE ITB No. 050-09-2020 INVITATION TO BID  	The Provincial Government of Camarines Sur (PGCS) through its Bids and Awards Committee (BAC) invites suppliers/manufacturers/distribut</t>
  </si>
  <si>
    <t xml:space="preserve"> Shopping . . . . REPAIR/REHABILITATION OF EXISTING GROUND FLOOR OF MALE EMPLOYEE'S DORMITORY Location: BMC, Compound, Concepcion Pequena                   Naga City Duration:  45 Calendar Days Other Condition/Requirements The Contractor/Supplier shall: 1.</t>
  </si>
  <si>
    <t xml:space="preserve"> REPUBLIC OF THE PHILIPPINES 		                PROVINCE OF PALAWAN MUNICIPALITY OF LINAPACAN 	August 12, 2020 Invitation to Bid (ITB No. 46-20) 1.	The Municipal Government of Linapacan, Palawan through the MUNICIPAL DEVELOPMENT FUND  (20% MDF) projects int</t>
  </si>
  <si>
    <t xml:space="preserve"> INVITATION TO BID FOR SUPPLY AND DELIVERY OF AGRICULTURAL EQUIPMENT FOR GUNOT SEED FARM 1.	The Bids and Awards Committee of the Local Government Unit of Santiago City through the General Fund intends to apply the sum of One Million Three Hundred Eighty Th</t>
  </si>
  <si>
    <t xml:space="preserve"> PROJECT: CONCRETING OF BARANGAY ROAD LOCATION: PUROK 1, ESTRELLA, RIZAL, NUEVA ECIJA\ DESCRIPTION: L=236.0M SOURCE OF FUND: 20% MUNICIPAL DEVELOPMENT FUND ABC: PHP 1,291,566.28</t>
  </si>
  <si>
    <t xml:space="preserve"> Qty.	Unit	Description   500 pcs. Lobster Fingerling 6,560 kls. Feeding Materials (trash fish) 2 pcs. Diving mask   VAT INCLUSIVE Place of Delivery: Brgy. R. Ecleo Sr., Cagdianao, DI</t>
  </si>
  <si>
    <t xml:space="preserve"> SUPPLY AND DELIVERY OF ADDITIONAL PPE FOR LGU EMPLOYEES TO FIGHT AGAINST COVID 19 The Local Government Unit of Mauban through the TRUST FUND (DOE), 2020 intends to apply the sum of Three hundred thirty nine thousand three hundred pesos (Php 339,300.00) be</t>
  </si>
  <si>
    <t xml:space="preserve"> Removal of Obstruction/Structure/Layout	1.00	lot Earthworks	65.68	cu.m. Reinforcing Steel Bar	5,464.85	kgs. Structural Concrete	40.26	cu.m. Metal/Steel Works	1.00	lot Masonry Works w/ Plaster	318.06	sq.m. Doors &amp; Windows	30.42	sq.m. Electrical Works	1.00	</t>
  </si>
  <si>
    <t xml:space="preserve"> INVITATION TO APPLY FOR ELIGIBILITY AND TO BID The local Government Unit of Taft, through is Bid and Awards Committee (BAC). Invites suppliers to apply for eligibility, to bid for the hereunder contract: Name of Contract: Purchase and Delivery of Twenty-O</t>
  </si>
  <si>
    <t xml:space="preserve"> REPUBLIC OF THE PHILIPPINES PROVINCE OF NUEVA VIZCAYA BAYOMBONG, NUEVA VIZCAYA     BIDDING DOCUMENTS For the procurement of  Consulting Services for the Conduct of Study for the Establishment of toll food and packaging center for Micro, Small and Medium E</t>
  </si>
  <si>
    <t xml:space="preserve"> Republic of the Philippines Province of North Cotabato Municipality of Aleosan Barangay Tomado SUPPLY AND DELIVERY OF CRUDE OIL FOR THE OPENING OF HOMESTEAD ROAD AT BARANGAY TOMADO 				August 6, 2020 1.	 The Barangay Local Government Unit of Tomado intend</t>
  </si>
  <si>
    <t xml:space="preserve"> Construction/Improvement of Multipurpose Hall Phase VI</t>
  </si>
  <si>
    <t xml:space="preserve"> Section I. Invitation to Bid   INVITATION TO BID FOR  Supply and Delivery of Rescue Vehicle (MDRRMO) 1.	The Local Government Unit of Lambayong, through the MDRRM Expenses Fund intends to apply the sum of Two Million Four Hundred Ninety Nine Thousand Six H</t>
  </si>
  <si>
    <t xml:space="preserve"> INVITATION TO BID FOR SUPPLY AND DELIVERY OF PETROLEUM FOR VARIOUS GOVERNMENT VEHICLES 1.	The Bids and Awards Committee of the Local Government Unit of Santiago City through the General Fund intends to apply the sum of Fifteen Million One Hundred Eight Th</t>
  </si>
  <si>
    <t xml:space="preserve"> Republic of the Philippines Province of Cebu Municipality of Boljoon Invitation to Bid for CONSTRUCTION OF PERIMETER FENCE 1.	The  Municipality  of  Boljoon,  through  the LDF 2019 intends to apply the sum of  Nine hundred  Forty   thousand pesos  (PHP 94</t>
  </si>
  <si>
    <t xml:space="preserve"> Republic of the Philippines  City of Canlaon Office of the Bids and Awards Committee  INVITATION TO BID FOR the Construction of Fence for Brgy. Multi-purpose Hall The Local Government of Canlaon City, through Ordinance No. 5, Series of 2019. Intends to ap</t>
  </si>
  <si>
    <t xml:space="preserve"> To procure goods for the 10th Cycle implementation of Supplementary Feeding Program in the Municipality of Currimao, Ilocos Norte</t>
  </si>
  <si>
    <t xml:space="preserve"> INVITATION TO BID   Project No.: SDCV-001-2020  The Department of Education (DepED) Schools Division of Compostela Valley, through the General Appropriations Act (GAA), intends to apply the sum of One Million Three Hundred Forty-Seven Thousand Five Hundre</t>
  </si>
  <si>
    <t xml:space="preserve"> Improvement of Public Market, Asingan, Pangasinan. Pre-Bid Conference – August 21, 2020 at 9:30 AM at the Conference Room of the Municipal Hall of Asingan Submission/Receipt/Opening of Bids :  September 2, 2020 at 9:30 AM at the Conference Room of the Mun</t>
  </si>
  <si>
    <t xml:space="preserve"> Republic of the Philippines Province of Pangasinan MUNICIPALITY OF LINGAYEN Invitation to Bid for the Purchase  of  High Volume Low Speed Ceiling Fan at Lingayen Civic Center, Lingayen, Pangasinan  	The Municipal Government of Lingayen, Pangasinan, throug</t>
  </si>
  <si>
    <t xml:space="preserve"> FOR FURTHER INFROMATION, PLEASE REFER TO: BAC SECRETARIAT OFFICE OF THE BIDS AND AWARDS COMMITTEE, 2nd FLOOR GARAME ST. PUROK 3, BRGY.1 POBLACION CABADBARAN CITY, AGUSAN DEL NORTE CEL NO: (+63 907 927 0625)</t>
  </si>
  <si>
    <t xml:space="preserve"> INVITATION TO BID FOR SUPPLY AND DELIVERY OF COMPUTER DESKTOP AND TABLET FOR BLENDED LEARNING MANAGEMENT SYSTEM 1.	The Bids and Awards Committee of the Local Government Unit of Santiago City through the Special Education Fund intends to apply the sum of T</t>
  </si>
  <si>
    <t xml:space="preserve"> Republic of the Philippines DIGOS WATER DISTRICT (DWD) Rizal Avenue, Digos City INVITATION TO BID FOR THE PROCUREMENT OF COMPRESSION PLASTIC FITTINGS-REBID 1.	The Digos Water District, through the Corporate Budget for the year 2020,  intends to apply the </t>
  </si>
  <si>
    <t xml:space="preserve"> ELECTRICAL SUPPLIES</t>
  </si>
  <si>
    <t xml:space="preserve"> PROJECT: CONCRETING OF BARANGAY ROAD LOCATION: PUROK 4, PACO ROMAN, RIZAL, NUEVA ECIJA DESCRIPTION:L=300.0M SOURCE OF FUND: 20% MUNICIPAL DEVEOPMENT FUND ABC: PHP 1,159,389.75</t>
  </si>
  <si>
    <t xml:space="preserve"> Negotiated Procurement - Two Failed Biddings: Procurement of Various Medical</t>
  </si>
  <si>
    <t xml:space="preserve"> Bond Paper A4 etc. NOTE:To all suppliers bid documents and BAC Resolution 2020-029 are available at BAC Office and LGU website.</t>
  </si>
  <si>
    <t xml:space="preserve"> Republic of the Philippines          City of Dumaguete Bids and Awards Committee INVITATION TO BID FOR PURCHASE REQUEST OF 200 PCS FLASH DRIVE 16 GIGABYTES WITH OTG 	The City of Dumaguete thru its BIDS AND AWARDS COMMITTEE (BAC), invites all interested ma</t>
  </si>
  <si>
    <t xml:space="preserve"> INVITATION TO BID FOR SUPPLY AND DELIVERY OF SUPPLIES FOR MODULES REPRODUCTION OF VARIOUS PUBLIC SCHOOLS 1.	The Bids and Awards Committee of the Local Government Unit of Santiago City through the Special Education Fund intends to apply the sum of One Mill</t>
  </si>
  <si>
    <t xml:space="preserve"> LOT 1:	Meals and snacks (2 days) consisting of menu servings as follows:			 14	pax	AM Snacks, Lunch, PM Snacks, and Dinner (DAY 1)			 14	pax	AM Snacks, Lunch, PM Snacks, and Dinner (DAY 2) 	LOT 2:	Meals and snacks (2 days) consisting of menu servings as f</t>
  </si>
  <si>
    <t xml:space="preserve"> 1) NAME OF PROJECT: PURCHASE OF ONE (1) UNIT UNIT MAN LIFTER 2) NAME OF PROJECT: PURCHASE OF ONE (1) UNIT DUMP TRUCK</t>
  </si>
  <si>
    <t xml:space="preserve"> PROJECT: CONCRETING OF BARANGAY ROAD LOCATION: SAN ESTEBAN, RZAL, NUEVA ECIJA DESCRIPTION: L=147.0M SOURCE OF FUND: 20% MUNICIPAL DEVELOPMENT FUND ABC: PHP 664,189.76</t>
  </si>
  <si>
    <t xml:space="preserve"> Excavation for Canal Drainage Canal</t>
  </si>
  <si>
    <t xml:space="preserve"> 1 PE PIPES 1 1/2" X 60M SDR 9 12 ROLLS 2 PE COUPLING 1 1/2 X 1" 20 PCS. 3 PE MALE ADOPTOR 1 1/2" 30 PCS. 4 PE TEE 1 1/2" 2 PCS. 5 G.I. BUSHING REDUCER 1 1/2 X 1" 15 PCS. 6 G.I. NIPPLE 1 1/2 X3" 10 PCS. 7 BALL VALVE 1 1/2" 8 PCS. 8 TEFLON TAPE 3/4 30 ROLLS</t>
  </si>
  <si>
    <t xml:space="preserve"> Contract ID:	20FH0101 Contract Name:	REPAIR/MAINTENANCE OF DPWH FIELD BUILDING, NAPO, PANDAN,  CATANDUANES Contract Location:	NAPO, PANDAN,  CATANDUANES Scope of Work:	REPAIR OF DPWH FIELD BUILDING Approved Budget for the Contract:	P 3,500,000.00 Contract</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</si>
  <si>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</si>
  <si>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Concreting School Ground at Toboy National High School, Asingan, Pangasinan. Pre-Bid Conference – August 21, 2020 at 9:30 AM at the Conference Room of the Municipal Hall of Asingan Submission/Receipt/Opening of Bids :  September 2, 2020 at 9:30 AM at the </t>
  </si>
  <si>
    <t xml:space="preserve"> INVITATION TO BID Provision and Delivery of Farm Machinery and Equipment under the ““Climate Resilient Farm Productivity Support Project’ (CRFPSP)” 1.	The Department of Agrarian Reform-Sorsogon Provincial Office through the General Appropriation Act (GAA)</t>
  </si>
  <si>
    <t xml:space="preserve"> To procure goods for the 10th Cycle implementation of Supplementary Feeding Program in the Municipality of Badoc, Ilocos Norte</t>
  </si>
  <si>
    <t xml:space="preserve"> BARANGAY NANCAMARINAN MUNICIPALITY OF PANIQUI Province of Tarlac	Project Reference Number : INFRA2020-001 Name of the Project           : Installation of Solar Powered Street Lights Location of the Project     : Brgy. Nancamarinan, Paniqui, Tarlac Standar</t>
  </si>
  <si>
    <t xml:space="preserve"> INVITATION TO BID The Basilan State College (BaSC), through its Bids and Awards Committee (BAC), will undertake a Public Bidding for the project P.R. No. 20-164-058 “Bulk Purchase of Desktop and Laptop Computers with Software License for Different Offices</t>
  </si>
  <si>
    <t xml:space="preserve"> REQUEST FOR QUOTATION The GOVERNMENT SERVICE INSURANCE SYSTEM invites all interested registered suppliers to submit quotations for: 1	lot	Provision of Services for the Reverse Transcription  Polymerase Chain Reaction (RT PCR) Testing of GSIS Personnel and</t>
  </si>
  <si>
    <t xml:space="preserve"> Construction of 3-Stage Water Treatment Septic Tanks at Asingan Public Market, Asingan, Pangasinan. Pre-Bid Conference – August 21, 2020 at 9:30 AM at the Conference Room of the Municipal Hall of Asingan Submission/Receipt/Opening of Bids :  September 2, </t>
  </si>
  <si>
    <t xml:space="preserve"> PROJECT:CONCRETING OF BARANGAY ROAD  LOCATION: GABRIELA SILANG, POB. NORTE, RIZAL, NUEVA DESCRIPTION: 250.0M SOURCE OF FUND: 20% MUNICIPAL DEVELOPMENT FUND ABC: PHP 1,095,953.20</t>
  </si>
  <si>
    <t xml:space="preserve"> II. ITEM II:                A. MATERIALS :                CHB        4'' x8'' x 16                                    350 pcs.                Portland Cement   40kgs.                                50 bags                Washed Sand  (Approved Source)    </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</si>
  <si>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</si>
  <si>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Qty.	Unit	Description   50 pcs. Fish Pots(#10,#8 Nylon, Stell (1x4) 10 pcs. Fishing Net (Nylon #10,#150,   Sinker, Floater Fishing net #11 1 unit Pumpboat (30ft.) 2 unit Diesel Engine (13 HP)   VAT INCLUSIVE Place of Delivery: Brgy. Sta. Rita., Cagdianao,</t>
  </si>
  <si>
    <t xml:space="preserve"> Billing Officer -Customer Account Management -Automated Billing Period -Generate Billing -Generate reports for Internal and other government branches -Process other billing and customer account concerns -Billing Adjustments -Disconnection and reconnection</t>
  </si>
  <si>
    <t xml:space="preserve"> PROJECT:CONCRETING OF BARANGAY ROAD LOCATION: BRGY. MACAPSING, RIZAL, NUEVA ECIJA DESCRIPTION: L=200.0M SOURCE OF FUND: 20% MUNICIPAL DEVELOPMENT FUND ABC: PHP 890,950.58</t>
  </si>
  <si>
    <t xml:space="preserve"> Republic of the Philippines Province of Romblon MUNICIPALITY OF MAGDIWANG INVITATION TO BID PURCHASE OF OFFICE EQUIPMENT &amp; SUPPLIES FOR AUDIO VISUAL ROOM Project ID No. 2020-23 August 13, 2020 1.	The Municipality of Magdiwang, Romblon, through its Supplem</t>
  </si>
  <si>
    <t xml:space="preserve"> Republic of the Philippines Province of Northern Samar MUNICIPALITY OF VICTORIA -o0o- INVITATION TO BID FOR THE SUPPLY AND DELIVERY OF CONSTRUCTION MATERIALS FOR THE IMPROVEMENT OF CR AT MUNICIPAL BUILDING AND STARDOME Contract No. LGU-PI-2020-08-17PB 1.	</t>
  </si>
  <si>
    <t xml:space="preserve"> Items          Description                                 Quantity          Unit   1          Bond Paper ( A3 size, 80 gsm)             2896            Ream</t>
  </si>
  <si>
    <t xml:space="preserve"> Republic of the Philippine Province of Northern Samar MUNICIPALITY OF VICTORIA -o0o- Invitation to Bid for the Repair of Stardome Roofing Contract No. LGU-PI-2020-08-16PB 1.	The Local Government Unit of Victoria, through the Supplemental Budget No. 2, Ser</t>
  </si>
  <si>
    <t xml:space="preserve"> Procurement of ICT equipment and ICT supplies for LGU Offices, Elementary and Secondary Schools, Vintar</t>
  </si>
  <si>
    <t xml:space="preserve"> Republic of the Philippines Province of Northern Samar MUNICIPALITY OF VICTORIA -o0o- INVITATION TO BID FOR THE SUPPLY AND DELIVERY OF  ONE (1) UNIT DUMP TRUCK Contract No. LGU-PI-2020-08-18PB 1.	The Local Government Unit of Victoria, Northern Samar, thro</t>
  </si>
  <si>
    <t xml:space="preserve"> Purchase of Agri commodities, uniforms &amp; IEC</t>
  </si>
  <si>
    <t xml:space="preserve"> construction materials for the local road</t>
  </si>
  <si>
    <t xml:space="preserve"> Repainting/Rehabilitation of Municipal Library (Restroom, Gutters, Lightings), Poblacion East, Asingan, Pangasinan. Pre-Bid Conference – August 21, 2020 at 9:30 AM at the Conference Room of the Municipal Hall of Asingan Submission/Receipt/Opening of Bids </t>
  </si>
  <si>
    <t xml:space="preserve"> INVITATION TO BID FOR SUPPLY AND DELIVERY OF VARIOUS SUPPLIES FOR RE-OPENING OF SANTIAGO CITY BIRTHING CENTER 1.	The Bids and Awards Committee of the Local Government Unit of Santiago City through the General Fund intends to apply the sum of Two Million T</t>
  </si>
  <si>
    <t xml:space="preserve"> INVITATION TO BID FOR SUPPLY AND DELIVERY OF DIGITAL DUPLICATOR MACHINE FOR MODULES REPRODUCTION OF PUBLIC SCHOOLS 1.	The Bids and Awards Committee of the Local Government Unit of Santiago City through the Special Education Fund intends to apply the sum o</t>
  </si>
  <si>
    <t xml:space="preserve"> Republic of the Philippines Province of Samar MUNICIPALITY OF CALBIGA INVITATION TO BID FOR SUPPLY AND DELIVERY OF MATERIALS FOR THE REPAIR/REHABILITATION OF WATER SYSTEM PIPELINE Barangay Mahangcao, Sitio Burabod-Macaalan Section, Calbiga, Samar Contract</t>
  </si>
  <si>
    <t xml:space="preserve"> Will be discussed during pre bid conference</t>
  </si>
  <si>
    <t xml:space="preserve"> The GOVERNMENT SERVICE INSURANCE SYSTEM invites all interested registered suppliers to submit quotations for: Quantity	Unit of Measure 	                    Description		Total ABC 600	ream	Paper, multicopy, legal, laser print, 80gsm	          Php131,400.00</t>
  </si>
  <si>
    <t xml:space="preserve"> Qty  unit particular  33.   Sheets. # checkered plate 15     lengrhs. Angle bar 2x2x1/4" 10.  10mm round bar 6.   Rolls hog wire 24 lengths 10mm RSB 30. Pcs U-bolt 9mm x 1x1-1/2" 5. Gal red oxide</t>
  </si>
  <si>
    <t xml:space="preserve"> To procure goods for the 10th Cycle implementation of Supplementary Feeding Program in the Municipality of Pasuquin, Ilocos Norte</t>
  </si>
  <si>
    <t xml:space="preserve"> Description Republic of the Philippines  City of Danao BIDS AND AWARDS COMMITTEE INVITATION TO APPLY FOR ELIGIBILITY AND TO BID INFRASTRUCTURE PROJECTS IN THE CITY OF DANAO Construction of Covered Court at Barangay Baliang, Danao City The City Government </t>
  </si>
  <si>
    <t xml:space="preserve"> INVITATION TO BID FOR THE  PROCUREMENT OF 7 SETS TRUMPA, 7 PCS TRANSFORMER. 3,000 METERS TELEPHONE DROP WIRE CAT 3 300 METERS, 7 PCS METAL BOX, 1 PACK ELECTRIC TAPE, 1 PC GOOSENECK MIC, 24 METERS SPEAKER WIRE AND 1 UNIT I.T.C. AMPLIFIER (WITH INSTALLATION</t>
  </si>
  <si>
    <t xml:space="preserve"> 1	UNIT	BRAND NEW SEVICE VEHICLE (PICK-UP TYPE 4x4) 		 		S P E C I F I C A T I O N		 		ENGINE		 		TYPE: 2.4L 4 IN LINE 16 VALVE DOHC CLEAN DIESEL 		 		              ENGINE W/ VGT &amp; MIVEC EURO 4		 		MAXIMUM POWER (PS/RPM): 181/3,500		 		MAXIMUM TORQUE (NM/R</t>
  </si>
  <si>
    <t xml:space="preserve"> Description Republic of the Philippines  City of Danao BIDS AND AWARDS COMMITTEE INVITATION TO APPLY FOR ELIGIBILITY AND TO BID INFRASTRUCTURE PROJECTS IN THE CITY OF DANAO Construction of Covered Court at Barangay Bayabas, Danao City The City Government </t>
  </si>
  <si>
    <t xml:space="preserve"> Republic of the Philippines							 DEPARTMENT OF PUBLIC WORKS AND HIGHWAYS							 CAGAYAN 2ND							 DISTRICT ENGINEERING OFFICE							 Regional Office II							 Abulug, Cagayan							 							 							 Procuring Entity:		DPWH-Cagayan 2nd DEO	P.R. No.:			20</t>
  </si>
  <si>
    <t xml:space="preserve"> Republic of the Philippines PROVINCE OF BUKDINON Malaybalay City OFFICE OF THE PROVINCIAL GOVERNOR Bids and Awards Committee INVITATION TO BID FOR THE “SUPPLY AND DELIVERY OF SEEDS” ITB No. 2020-186A August 12, 2020 1.	The Provincial Government of Bukidno</t>
  </si>
  <si>
    <t xml:space="preserve"> 200 boxes Multivitamins Plus Iron</t>
  </si>
  <si>
    <t xml:space="preserve"> The Local Government Unit of Aglipay through Local Government Support Fund – Assistance to Municipalities (LGSF-AM) CY 2020 intends to apply the sum of Eight Million Nine Hundred Seventy Two Thousand Four Hundred Seventy Six Pesos and 65/100 (Php 8, 972,4</t>
  </si>
  <si>
    <t xml:space="preserve"> Invitation to Bid No. 20-08-09 PROCUREMENT OF VARIOUS LIBRARY BOOKS FOR ULRC AND COM (RE-BIDDING)  1.	The West Visayas State University, through the GAA 2020 intends to apply the sum of Six Hundred Thousand Pesos (PhP600,000.00) Only being the Approved Bu</t>
  </si>
  <si>
    <t xml:space="preserve"> 1.	400 BOTS. – AMOCYXILLIN 250/5ml 2.	50 BOXES – AMOXYCILLIN 500mg 100’s/Box   3.	30 BOXES –AMLODOPINE 10mg 100’s/box 4.	20 BOXES – CETIRIZINE 10MG 100’S/BOX 5.	100 BOTS –CEFUROXIME 250MG/5ML 6.	40 BOXES. – CO-TRIMOXAZOLE 800/160mg 100’s/box 7.	70 BOTS.- </t>
  </si>
  <si>
    <t xml:space="preserve"> To procure goods for the 10th Cycle implementation of Supplementary Feeding Program in the Municipality of Adams, Ilocos Norte</t>
  </si>
  <si>
    <t xml:space="preserve"> Republic of the Philippines Province of Dinagat Islands MUNICIPALITY OF TUBAJON Tubajon, Dinagat Islands BIDS AND AWARDS COMMITTEE INVITATION TO BID  FOR  CONCRETING OF J.REYES ST., TO BOX CULVERT IN BRGY. STA. CRUZ (INFRA 2020- 016) 1.	The Municipality o</t>
  </si>
  <si>
    <t xml:space="preserve"> Description Republic of the Philippines  City of Danao BIDS AND AWARDS COMMITTEE INVITATION TO APPLY FOR ELIGIBILITY AND TO BID INFRASTRUCTURE PROJECTS IN THE CITY OF DANAO Improvement of Streetlights at Various Barangays, Sitio Cogon to Sitio Tabunok Bar</t>
  </si>
  <si>
    <t xml:space="preserve"> Construction of 40.00 L.m. Concrete Bridge with concrete pavement on both approaches</t>
  </si>
  <si>
    <t xml:space="preserve"> INVITATION TO BID FOR SUPPLY AND DELIVERY OF TRANSISTOR RADIO WITH USB INPUT FOR BLENDED LEARNING MANAGEMENT SYSTEM OF VARIOUS PUBLIC SCHOOLS 1.	The Bids and Awards Committee of the Local Government Unit of Santiago City through the Trust Fund intends to </t>
  </si>
  <si>
    <t xml:space="preserve"> Construction of Multi-Purpose Hall at Brgy. Palaris, Asingan, Pangasinan. Pre-Bid Conference – August 21, 2020 at 9:30 AM at the Conference Room of the Municipal Hall of Asingan Submission/Receipt/Opening of Bids :  September 2, 2020 at 9:30 AM at the Con</t>
  </si>
  <si>
    <t xml:space="preserve"> Complete construction of 2-storey 4-classroom school Building (mostly built with concrete and masonry, with PWD ramp with handrails, parapet wall on concrete gutter, complete with electrical works, sanitary/plumbing works, ventilation, stairwall 5 m width</t>
  </si>
  <si>
    <t xml:space="preserve"> Republic of the Philippines Province of Romblon Municipality of Magdiwang Barangay Poblacion -oOo- INVITATION TO BID CONCRETING OF SITIO PONDOY ACCESS ROAD (PHASE I)  Project ID No.001-2020                                                                  </t>
  </si>
  <si>
    <t xml:space="preserve"> REPUBLIC OF THE PHILIPPINES DEPARTMENT OF PUBLIC WORKS AND HIGHWAYS ILOILO 4TH DISTRICT ENGINEERING OFFICE STA. BARBARA, ILOILO TEL. NO. 523 - 4557 FAX NO. 523 - 9340 BIDDING DOCUMENTS FOR PROCUREMENT ID/CONTRACT ID: 20GI0066 CONTRACT NAME:   REHABILITATI</t>
  </si>
  <si>
    <t xml:space="preserve"> Continuation of the Multi-Purpose Hall at Brgy. Toboy, Asingan, Pangasinan. Pre-Bid Conference – August 21, 2020 at 9:30 AM at the Conference Room of the Municipal Hall of Asingan Submission/Receipt/Opening of Bids :  September 2, 2020 at 9:30 AM at the C</t>
  </si>
  <si>
    <t xml:space="preserve"> Supply and Delivery of Laptop  Processor	AMD Ryzen 5 4500U (6C / 6T, 2.3 / 4.0GHz, 3MB L2 / 8MB L3) Graphics	Integrated AMD Radeon Graphics Chipset	AMD SoC Platform Memory	4GB Soldered DDR4-2666 + 4GB SO-DIMM DDR4-2666 Storage	128GB SSD M.2 2242 PCIe NVMe</t>
  </si>
  <si>
    <t xml:space="preserve"> INVITATION TO BID FOR SUPPLY, HANDLING, TRANSPORT,  AND DELIVERY OF 6,581 BAGS OF FERTILIZER  (Ammonium Sulfate, Potassium Chloride and  Coco-Coir Based Organic Fertilizer) 1.	The Philippine Coconut Authority-Region VIII (PCAVIII), through the Coconut Fer</t>
  </si>
  <si>
    <t xml:space="preserve"> To procure goods for the 10th Cycle implementation of Supplementary Feeding Program in the Municipality of Paoay, Ilocos Norte</t>
  </si>
  <si>
    <t xml:space="preserve"> Clearing, Excvation Works, Concrete Works, Site Cleaning,  Mobilization, Constructon Safety and Health Program</t>
  </si>
  <si>
    <t xml:space="preserve"> 1.00       lot      Masonry Works</t>
  </si>
  <si>
    <t xml:space="preserve"> Description Republic of the Philippines  City of Danao BIDS AND AWARDS COMMITTEE INVITATION TO APPLY FOR ELIGIBILITY AND TO BID INFRASTRUCTURE PROJECTS IN THE CITY OF DANAO Construction of School Stage at Barangay Magtagobtob Elementary School, Danao City</t>
  </si>
  <si>
    <t xml:space="preserve"> SCOPE OF WORK:              I. Mason/Concrete Works                  a. Walling with finishing (Rough)                  b. Columns 20X.20   I. ITEM I:     16 SPAN             A. Materials:              CHB 4''X8''X16''                                     </t>
  </si>
  <si>
    <t xml:space="preserve"> Republic of the Philippines DEPARTMENT OF PUBLIC WORKS AND HIGHWAYS NEGROS OCCIDENTAL 1ST DISTRICT ENGINEERING OFFICE REGION VI Matab-ang, Talisay City, Negros Occidental REQUEST FOR EXPRESSION OF INTEREST I.	Contract ID No.	:	20CSGK01 Contract Name		:	Co</t>
  </si>
  <si>
    <t xml:space="preserve"> 2.5 DIESEL ENGINE POWER KW 88KW/120HP TORQUE 310/2000 N.M/RPM CHASSIS:SKP2T TRANSMISSION: MANUAL DRIVETRAIN:2WD SEATS:5 DOORS:4 ENGINE SIZE:1,800 CC LENGTH:4.605m WIDTH:1.69m</t>
  </si>
  <si>
    <t xml:space="preserve"> DEPARTMENT OF ENVIRONMENT &amp; NATURAL RESOURCES-CAR Baguio City                                              Bids and Awards Committee						                                      	       2020-08-271 REQUEST FOR QUOTATION                            (ABC:  Php</t>
  </si>
  <si>
    <t xml:space="preserve"> The Philippine Ports Authority PMO-Palawan, through the Corporate Budget of the Authority for CY 2020, intends to apply the sum of P 1,839,181.00 being the           Approved Budget for the Contract (ABC) to payments under the contract for the            </t>
  </si>
  <si>
    <t xml:space="preserve"> REPUBLIC OF THE PHILIPPINES CITY GOVERNMENT OF OROQUIETA BIDS AND AWARD COMMITTEE City Hall , Oroquieta City                                                                                                                                                   </t>
  </si>
  <si>
    <t xml:space="preserve"> ESTIMATES ITEM I CONCRETE WORKS ITEM II FORMS &amp; SCAFFOLDINGS ITEM III PLUMBING WORKS &amp; FIXTURES ITEM IV TILE WORKS ITEM V FINISHING &amp; PAINTING WORKS ITEM VI ROOFING &amp; ROOF FRAMING</t>
  </si>
  <si>
    <t xml:space="preserve"> Construction of School Stage at Domanpot Community School, Asingan, Pangasinan. Pre-Bid Conference – August 21, 2020 at 9:30 AM at the Conference Room of the Municipal Hall of Asingan Submission/Receipt/Opening of Bids :  September 2, 2020 at 9:30 AM at t</t>
  </si>
  <si>
    <t xml:space="preserve"> Invitation to Bid No. 20-08-10 PROCUREMENT OF VARIOUS HARDWARE/ ELECTRICAL, IT, JANITORIAL, MEDICAL/ DENTAL, OFFICE AND SPORTS SUPPLIES 1.	The West Visayas State University, through the Special Trust Fund and GAA 2020 intends to apply the sum of One Milli</t>
  </si>
  <si>
    <t xml:space="preserve"> Invitation to Bid No. 20-08-08 REHABILITATION OF COM ELECTRICAL SYSTEM 1.	The West Visayas State University, through the Special Trust Fund (unexpended 2019)  intends to apply the sum of One Million Three Hundred Ten Thousand  Pesos (PhP1,310.000.00) Only</t>
  </si>
  <si>
    <t xml:space="preserve"> 100- Sacks Commercial Rice</t>
  </si>
  <si>
    <t xml:space="preserve"> Consulting Services for the Provision of Technical Assistant on Gender and Development (GAD) Mainstreaming Initiative and Agenda in the Sandiganbayan Please see Terms of Reference</t>
  </si>
  <si>
    <t xml:space="preserve"> Name of Project: Purchase of Equipment and Materials for Sustainable Livelihood of the PWD Association of Pura, Inc. Location: Pura, Tarlac ABC: Php250,000.00 222	cavans	Rice (25 kgs) 1	unit	Weighing Scale (50 kgs) 1	unit	Weighing Scale (10 kgs) 1	unit	Ha</t>
  </si>
  <si>
    <t xml:space="preserve"> 30 -pcs Modular Tent (Collapsible) Size: 2.4m L x 2.4m W x 1.8m H Mesh on Top to Prevent Mosquitoes</t>
  </si>
  <si>
    <t xml:space="preserve"> Republic of the Philippines  Province of Nueva Ecija City Government of Palayan INVITATION TO BID FOR THE PROCUREMENT OF PVC ID CARD, INK AND WEBCAM 1.	The City Government of Palayan, through the General Fund 2020 intends to apply the sum of (Php431,013.0</t>
  </si>
  <si>
    <t xml:space="preserve"> 20  pcs  Personal Protective Equipment 30  pcs  N95  Mask  10  boxes  Cholesterol Strips (with meter) 10  boxes  Uric Acid Strips  1    box   HEPA 1    box   RPR  2    boxes  Dengue Kits</t>
  </si>
  <si>
    <t xml:space="preserve"> 240pcs BOLO 240pcs PANABAS 120pcs BARETA 120pcs SHOVEL 120pcs HOE 120pcs RAKE 120pcs SCYTE 120pcs RAIN COAT 120pcs BOTA 120pcs KNAP SACKS SPRAYER 120pcs REUSABLE FACE MASK</t>
  </si>
  <si>
    <t xml:space="preserve"> Invitation to Bid PROCUREMENT OF CONSUMABLES FOR DUPLO DP-A120ll (2020-DP-A120ll) 1.	The DepEd, SDO-Biliran through the RA 11465-FY 2020 GAA - IMPLEMENTATION OF BASIC EDUCATION LEARNING CONTINUITY PLAN, PROVISION OF LEARNING RESOURCES  intends to apply th</t>
  </si>
  <si>
    <t xml:space="preserve"> Republic of the Philippines PROVINCE OF BUKDINON Malaybalay City OFFICE OF THE PROVINCIAL GOVERNOR Bids and Awards Committee INVITATION TO BID FOR THE “SUPPLY AND DELIVERY OF OLYSET NET WINDOW SCREEN” ITB No. 2020-187A August 12, 2020 1.	The Provincial Go</t>
  </si>
  <si>
    <t xml:space="preserve"> Please submit your quotation for the following items on or before 5:00PM on Aug 28, 2020. ITEM D E S C R I P T I O N                                                                           QTY. UNIT  1 Pipe, G.I. S-40 Std 4``Ø x 6m (Threaded end, not le</t>
  </si>
  <si>
    <t xml:space="preserve"> Provide an opportunity in communicating SK Council's plans, accomplishments, and PPAs with the KK members assembly and the election of counterpart officials through the conduct of Linggo ng Kabataan</t>
  </si>
  <si>
    <t xml:space="preserve"> Three (3) Units of 45 HP Diesel 4WD Tractors with Rotavator and Heavy Duty Trailer Turbo Charged/ Naturally Aspirated</t>
  </si>
  <si>
    <t xml:space="preserve"> INVITATION TO BID FOR THE CONTRACT ID:20-07-093 REBID CONTRACT NAME:  PROCUREMENT OF PETROLEUM FUEL (DIESEL AND GASOLINE)  Approved Budget for the Contract (ABC) : Php  670,371.00 Cost of Bidding Documents: Php 500.00  1.	 The Department of Health, Zamboa</t>
  </si>
  <si>
    <t xml:space="preserve"> INVITATION TO BID FOR THE CONTRACT ID:20-07- 095 REBID CONTRACT NAME:  PROCUREMENT OF BED FOAMS  Approved Budget for the Contract (ABC) : Php  180,000.00 Cost of Bidding Documents: Php 500.00  1.	 The Department of Health, Zamboanga Peninsula - Center for</t>
  </si>
  <si>
    <t xml:space="preserve"> 21 gal- Alcohol 70% Solution 31 btls- Alcohol Ethyl 70% w/ pump 1000ml 10 cans- Anti Virus Disinfectant Spray 537g 101 btls- Anti Virus Liquid Disinfectant 800ml 7 drums- Chlorine Powder 425 pcs- Face Shield 1541 pcs- Household Rubber Gloves (L) 4 box- Mi</t>
  </si>
  <si>
    <t xml:space="preserve"> INVITATION TO BID ONE (1) YEAR HEALTH MAINTENANCE ORGANIZATION (HMO) PROGRAM FOR ALL OFFICIAL AND EMPLOYEES OF THE OFFICE OF THE SOLICITOR GENERAL The Office of the Solicitor General (OSG), through the FY 2020 Automatic Appropriation Special Account in th</t>
  </si>
  <si>
    <t xml:space="preserve"> To procure goods for the 10th Cycle implementation of Supplementary Feeding Program in the Municipality of Solsona, Ilocos Norte</t>
  </si>
  <si>
    <t xml:space="preserve"> Republic of the Philippines DEPARTMENT OF PUBLIC WORKS AND HIGHWAYS NEGROS OCCIDENTAL 1ST DISTRICT ENGINEERING OFFICE REGION VI Matab-ang, Talisay City, Negros Occidental REQUEST FOR EXPRESSION OF INTEREST II.	Contract ID No.	:	20CSGK02 Contract Name		:	C</t>
  </si>
  <si>
    <t xml:space="preserve"> INVITATION TO BID FOR THE SUPPLY AND DELIVERY OF SECURITY SERVICES FOR CY 2021 1. The Tanay Water District , through the Corporate Budget for 2021  intends to apply the sum of Three Million Two Hundred Thousand Pesos (₱ 3,200,000.00 ) being the Approved B</t>
  </si>
  <si>
    <t xml:space="preserve"> Mobilization, Excavation Works, Concrete Works,  Site Cleaning, Construction Safety and Health Program</t>
  </si>
  <si>
    <t xml:space="preserve"> BIDS AND AWARD COMMITTEE				 	                         INFRA 20-22A GENERAL FUND Standard Form Number: SF-INFR-O5                                                                 Improvement of School Classrooms at Various Schools for Quarantine Facilities</t>
  </si>
  <si>
    <t xml:space="preserve"> This program covers the clearing and grubbing existing earth pathway,application of sub - base and base course materials duly compacted to optimum compaction and concreting of pavement of 150mm thick with an area of 272.72 sq</t>
  </si>
  <si>
    <t xml:space="preserve"> Republic of the Philippines Province of Cebu Municipality of Boljoon Invitation to Bid for                               ROAD CONCRETING 1.	The  Municipality  of  Boljoon,  through  the 20% Development Fund FY 2020 intends to apply the sum of  Two Million</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</si>
  <si>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</si>
  <si>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1 unit Projector           Specifications           -Brightness:2000 lumens 0 better           -Resolution: HD (720P,1080P or Higher)           -Connectivity: HDMI           -Projector Audio: Many HD projector               come with built in speaker</t>
  </si>
  <si>
    <t xml:space="preserve"> INVITATION TO BID  for  Supply and Delivery of Commercial Rice, 50 kgs. Solicitation No. PANG-2020-1029 1.	The Provincial Government of Pangasinan, through the SUAL-RWMHEEF intends to apply the sum of Four Million Five Hundred Thousand Pesos (P4,500,000.0</t>
  </si>
  <si>
    <t xml:space="preserve"> INVITATION TO BID SUPPLY AND DELIVERY OF FIRST AID KITS FOR DEPLOYMENT / RESPONSE OPERATION  1.	The Local Government Unit of Cabadbaran City through the 5% DDRM FUND intends to apply the sum of TWO HUNDRED THOUSAND PESOS ONLY (P 200,000.00) being the Appr</t>
  </si>
  <si>
    <t xml:space="preserve"> Republic of the Philippines Province of Samar  Municipality of Jiabong INVITATION TO BID FOR  CONSTRUCTION OF CIVIC CENTER BRGY SAN MIGUEL JIABONG Jiab-2020-40A 1.	The Municipal Government of Jiabong, Samar, intends to apply the sum of TWO HUNDRED TWENTY-</t>
  </si>
  <si>
    <t xml:space="preserve"> Republic of the Philippines PROVINCE OF BOHOL Municipality of Dagohoy INVITATION TO BID FOR THE PURCHASE OF 1 UNIT PORTABLE PLASTIC SHREDDER FOR SOLID WASTE MANAGEMENT 1.	The Local Government Unit of Dagohoy, Bohol intends to apply the sum of Three Hundre</t>
  </si>
  <si>
    <t xml:space="preserve"> Republic of the Philippines DEPARTMENT OF PUBLIC WORKS AND HIGHWAYS NEGROS OCCIDENTAL 1ST DISTRICT ENGINEERING OFFICE REGION VI Matab-ang, Talisay City, Negros Occidental REQUEST FOR EXPRESSION OF INTEREST VI.	Contract ID No.	:	20CSGK06 Contract Name		:	C</t>
  </si>
  <si>
    <t xml:space="preserve"> Republic of the Philippines Province of Pangasinan MUNICIPALITY OF LINGAYEN Invitation to Bid for the Purchase of one (1) unit freezer van at Slaughterhouse, Barangay Domalandan West, Lingayen, Pangasinan 	The Municipal Government of Lingayen, Pangasinan,</t>
  </si>
  <si>
    <t xml:space="preserve"> LAL-LO WATER DISTRICT Centro, Lal-lo, Cagayan REQUEST FOR QUOTATION August 11, 2020 Name of Company/Supplier: __________________________________________________ Address: __________________________________________________________________ Business Permit No</t>
  </si>
  <si>
    <t xml:space="preserve"> One (1) lot ISUZU FB BODY  ENGINE: 4HE1; Inline Injection pump DRIVE WHEEL – SINGLE TIRE TRANSMISSION MANUAL - Manual SPRING – Side spring with overload WHEELS – Six (5) wheels; Rear Tires – Single; Dimension: 7.50x16 YEAR OF PRODUCTION – at least 2017  A</t>
  </si>
  <si>
    <t xml:space="preserve"> Please submit your quotation for the following items on or before 5:00PM on Aug 28, 2020. ITEM D E S C R I P T I O N                                                                               1 Pipe, G.I. S-40 Std 6``Ø x 6m (Threaded end, not less than</t>
  </si>
  <si>
    <t xml:space="preserve"> The Philippine Ports Authority PMO-Palawan, through the Corporate Budget of the Authority for CY 2020, intends to apply the sum of P 4,678,574.00 being the           Approved Budget for the Contract (ABC) to payments under the contract for the            </t>
  </si>
  <si>
    <t xml:space="preserve"> Republic of the Philippines DEPARTMENT OF PUBLIC WORKS AND HIGHWAYS NEGROS OCCIDENTAL 1ST DISTRICT ENGINEERING OFFICE REGION VI Matab-ang, Talisay City, Negros Occidental REQUEST FOR EXPRESSION OF INTEREST IV.	Contract ID No.	:	20CSGK04 Contract Name		:	C</t>
  </si>
  <si>
    <t xml:space="preserve"> TELEVISION (TV) 32'' LEDTV WITH USB, HDMI, LAN</t>
  </si>
  <si>
    <t xml:space="preserve"> Invitation to Bid for  DEVELOPMENT OF NEW DEEP WELL SOURCE (2ND PHASE)  1.	The TUBOD-BAROY WATER DISTRICT, through the CORPORATE OPERATING BUDGET,  intends to apply the sum of  ONE MILLION SEVEN HUNDRED FIFTY THOUSAND PESOS (PHP 1,750,000.00)  being the A</t>
  </si>
  <si>
    <t xml:space="preserve"> Republic of the Philippines Province of Samar  Municipality of Jiabong INVITATION TO BID FOR  CONSTRUCTION OF WATER SYSTEM BRGY SAN FERNANDO JIABONG Jiab-2020-42A 1.	The Municipal Government of Jiabong, Samar, intends to apply the sum of FIVE HUNDRED FIFT</t>
  </si>
  <si>
    <t xml:space="preserve"> Section I. Invitation to Bid Republic of the Philippines Philippine Rural Development Project Invitation to Bid for the Supply, Delivery and Installation of One (1) Unit  Standby Generator Set and One (1) Unit Air Compressor in Support to Dairy Milk Proce</t>
  </si>
  <si>
    <t xml:space="preserve"> SCOPE OF WORK:        I. ITEM 300  Aggregate Surface Course I. ITEM I AND II:     (.20X4X293)                 A. MATERIALS:                                   FREE         B. EQUIPMENT REQUIRED:                      2 units        Dumptruck                </t>
  </si>
  <si>
    <t xml:space="preserve"> Republic of the Philippines Province of Camarines Sur BARANGAY BANTUGAN       Municipality of Presentacion -o0o- Invitation to Bid for PURCHASE OF HARDWARE MATERIALS FOR FARM TO MARKET ROAD WITH 2 LINES BOX CULVERT. 1.	The BLGU of Bantugan, Presentacion, </t>
  </si>
  <si>
    <t xml:space="preserve"> Republic of the Philippines Department of Health Cagayan Valley Center for Health Development BATANES GENERAL HOSPITAL Basco, Batanes E-mail Address: bataneshospital@gmail.com INVITATION TO BID ITB NO. 2020-09 Supply &amp; Delivery of Various Medical Supplies</t>
  </si>
  <si>
    <t xml:space="preserve"> Construction of 6m x 7.50m elevated stage with roof/stair and railings installation of 9 sets solar streetlights</t>
  </si>
  <si>
    <t xml:space="preserve"> Republic of the Philippines DEPARTMENT OF PUBLIC WORKS AND HIGHWAYS NEGROS OCCIDENTAL 1ST DISTRICT ENGINEERING OFFICE REGION VI Matab-ang, Talisay City, Negros Occidental REQUEST FOR EXPRESSION OF INTEREST III.	Contract ID No.	:	20CSGK03 Contract Name		:	</t>
  </si>
  <si>
    <t xml:space="preserve"> Republic of the Philippines PROVINCE OF NUEVA VIZCAYA 2nd Invitation to Bid for the CONCRETING OF PAPAYA-CABINUANGAN-RUNRUNO ROAD Located at Kasibu and Quezon, Nueva Vizcaya 1.	The Provincial Government of Nueva Vizcaya, through the 2020 20% Development F</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</si>
  <si>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</si>
  <si>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INVITATION TO APPLY FOR ELIGIBILITY AND TO BID The City of San Juan, Metro Manila, through its Bids and Awards Committee (BAC), invites interested parties to apply for an Eligibility and if found eligible to bid for the – Name of Project One (1) Lot –Supp</t>
  </si>
  <si>
    <t xml:space="preserve"> 1	unit	Tractor Diesel: Hp 48-50 		Type: Direct Injection, Vertical, 		Water Cooled 4-cycled Diesel 		Cylinder: 4 		Fuel Tank: 48L 		with: Front Dozer</t>
  </si>
  <si>
    <t xml:space="preserve"> attached ITB</t>
  </si>
  <si>
    <t xml:space="preserve"> Republic of the Philippines PROVINCE OF NUEVA VIZCAYA 2nd Invitation to Bid for the  IMPROVEMENT OF JCT. SALINAS-MAPAYAO-BINALIAN-BABADI-PINAYAG-NANSIAKAN ROAD Located at Kayapa, Nueva Vizcaya  1.	The Provincial Government of Nueva Vizcaya, through the 20</t>
  </si>
  <si>
    <t xml:space="preserve"> Republic of the Philippines Province of Isabela LOCAL GOVERNMENT UNIT OF BENITO SOLIVEN INVITATION TO BID FOR THE PROCUREMENT OF IT EQUIPMENT FOR NORTH AND SOUTH DISTRICT 1.	The Municipal Government of Benito Soliven, intends to apply the sum of Five Hund</t>
  </si>
  <si>
    <t xml:space="preserve"> Agency Procurement Receipt for the month of April - June 2020.</t>
  </si>
  <si>
    <t xml:space="preserve"> BIDS AND AWARDS COMMITTEE Dated: August 13, 2020 INVITATION TO BID The Municipality of Sison, through the Municipal Bids and Awards Committee, now invites sealed Bids from eligible Bidders for the project; Construction of Multi-Purpose Bleachers @ Brgy. M</t>
  </si>
  <si>
    <t xml:space="preserve"> SUPPLY &amp; DELIVERY OF MATERIALS</t>
  </si>
  <si>
    <t xml:space="preserve"> Republic of the Philippines       Province of Camarines Norte         Municipality of Mercedes BIDS AND AWARDS COMMITTEE LGU - Mercedes, Camarines Norte 			 INVITATION TO BID  The Local Government Unit of Mercedes, through EARLY CHILDHOOD CARE AND DEVELOP</t>
  </si>
  <si>
    <t xml:space="preserve"> Permanent Monuments &amp; Markers, Project Billboard/Signboard, Occupational Safety and Health Program, Traffic Management, Mobilization/Demobilization, Removal and Relocation of Utilities, Individual Removal of Trees, 150-300 mm dia., Small, Removal of Struc</t>
  </si>
  <si>
    <t xml:space="preserve"> Republic of the Philippines DEPARTMENT OF PUBLIC WORKS AND HIGHWAYS NEGROS OCCIDENTAL 1ST DISTRICT ENGINEERING OFFICE REGION VI Matab-ang, Talisay City, Negros Occidental REQUEST FOR EXPRESSION OF INTEREST V.	Contract ID No.	:	20CSGK05 Contract Name		:	Co</t>
  </si>
  <si>
    <t xml:space="preserve"> Item No.	Description					Unit 	Quantity	Unit Price	Amount in 									 1	GENERAL REQUIREMENTS								 									 2	SITE WORKS								 									 3	CHB w/PLASTER SIDINGS (2Sides of Canal) &amp; REINFORCED  CONCRETE (Bottom of Canal)								 									 4	12% VAT		</t>
  </si>
  <si>
    <t xml:space="preserve"> INVITATION TO BID FOR THE CONTRACT ID:20-07-094 REBID CONTRACT NAME:  PROCUREMENT OF INFORMATION TECHNOLOGY PARTS AND PERIPHERALS  Approved Budget for the Contract (ABC) : Php  323,400.00 Cost of Bidding Documents: Php 500.00  1.	 The Department of Health</t>
  </si>
  <si>
    <t xml:space="preserve"> Procurement of Delivery Meat Van, Slaughter House at Sto Domingo, LGU-Nabua, Camarines Sur</t>
  </si>
  <si>
    <t xml:space="preserve"> constraction supplies for the implementation of flood Control &amp; erosion projects (river control) at Little town Brgy. Bibincahan, East District, Sorsogon City</t>
  </si>
  <si>
    <t xml:space="preserve"> Item No.	Description					Unit 	Quantity	Unit Price	Amount in 									 1	SITE WORKS								 									 2	CONCRETE WORKS								 									 	SUBTOTAL								 									 	12% VAT								 									 	TOTAL PROJECT COST</t>
  </si>
  <si>
    <t xml:space="preserve"> INVITATION TO BID The DPWH-Quirino District Engineering Office, through its Bids and Awards Committee (BAC), invites contractors to submit bids for the following Contract: 1	Contract I.D.  	:	20BK0151 	Name of Project	:	Repair/ Maintenance along Jct. Duma</t>
  </si>
  <si>
    <t xml:space="preserve"> This project entails purchase of materials for road entrance rehabilitation of Brgy. Cawit Extension, Magallanes, Sorsogon.</t>
  </si>
  <si>
    <t xml:space="preserve"> Local Government of Valencia Catarata Street, Poblacion, Valencia City,  Bukidnon, Philippines Philippine access (088) 828-5430 Contract Reference No. 2020-10 08/13/2020 INVITATION TO BID FOR THE PURCHASE OF FUEL, OIL AND LUBRICANTS AND MATERIALS FOR THE </t>
  </si>
  <si>
    <t xml:space="preserve"> Office, Shops, Stores and Workmen Accommodation for Contractor, Permits and Clearances, Project Billboard/Signboard, Occupational Safety and Health Program, Mobilization/Demobilization, Structure Excavation, Common Soil, Embankment, from Roadway/Structure</t>
  </si>
  <si>
    <t xml:space="preserve"> STEEL CABINET (45X90X185 CM) COLOR -ASH GRAY</t>
  </si>
  <si>
    <t xml:space="preserve"> qty       unit         description 150    bags    Portland Cement 33      loads   Boulders 9        loads   Rivermixed 2        loads   cement hauling xxx nothing follows xx x x x</t>
  </si>
  <si>
    <t xml:space="preserve"> Republic of the Philippines Province of Samar  Municipality of Jiabong INVITATION TO BID FOR  CONSTRUCTION OF MULTI-PURPOSE HALL  BRGY BUGHO JIABONG Jiab-2020-41A 1.	The Municipal Government of Jiabong, Samar, intends to apply the sum of ONE HUNDRED FIFTY</t>
  </si>
  <si>
    <t xml:space="preserve"> Please submit your quotation for the following items on or before 5:00PM on Aug 28, 2020. ITEM D E S C R I P T I O N QTY. UNIT  1 Pipe, G.I. S-40 Std 6``Ø x 6m (Plain end, not less than 5.4mm wall thickness) 15 pc Please quote your BEST offer for the abov</t>
  </si>
  <si>
    <t xml:space="preserve"> Republic of the Philippines PROVINCE OF NUEVA VIZCAYA 2nd Invitation to Bid for the  REHABILITATION OF CVR BAYOMBONG-MASOC-AMBAGUIO ROAD (AMBAGUIO SECTION) Located at Ambaguio, Nueva Vizcaya  1.	The Provincial Government of Nueva Vizcaya, through the 20% </t>
  </si>
  <si>
    <t xml:space="preserve"> OFFICE &amp; IT EQUIPMENT</t>
  </si>
  <si>
    <t xml:space="preserve"> Please see attached Invitation To Bid</t>
  </si>
  <si>
    <t xml:space="preserve"> Pls. quote the item listed below: 1.      Printer (3 in 1)  -  6 units NOTE:                     Opening of Bids will be on August 25, 2020 @ 1:00 pm</t>
  </si>
  <si>
    <t xml:space="preserve"> Item No.	Description					Unit 	Quantity	Unit Price	Amount in 									 1	SITE WORKS								 									 2	CIVIL WORK								 						 			 3	12% VAT								 									 4	TOTAL PROJECT COST</t>
  </si>
  <si>
    <t xml:space="preserve"> Republic of the Philippines  Province of Pangasinan  MUNICIPALITY OF BAYAMBANG    INVITATION TO BID FOR SUPPLY DELIVERY OF LABORATORY AND TB-DOTS SUPPLIES  FOR RHU-II AND RHU-III    1. The Municipal Government of Bayambang, through the REGULAR FUND - 2020</t>
  </si>
  <si>
    <t xml:space="preserve"> Description INVITATION TO BID Barangay Balite, Guinobatan, Albay through its Bids and Awards Committee (BAC) invites suppliers/ manufacturers/ distributors/ contractors to apply for eligibility and to bid for the procurement of the hereunder project and a</t>
  </si>
  <si>
    <t xml:space="preserve"> Republic of the Philippines PROVINCE OF NUEVA VIZCAYA 2nd Invitation to Bid for the  RECONSTRUCTION OF LABBUNAN BRIDGE (ABUTMENT &amp; WATERWAY) Located at Villaverde, Nueva Vizcaya  1.	The Provincial Government of Nueva Vizcaya, through the PDRRMO Capital Ou</t>
  </si>
  <si>
    <t xml:space="preserve"> Local Government of Valencia Catarata Street, Poblacion, Valencia City,  Bukidnon, Philippines Philippine access (088) 828-5430 Contract Reference No. 2020-11 08/13/2020 INVITATION TO BID FOR THE PURCHASE OF MATERIALS FOR BARANGAY ROAD REHABILITATION AT V</t>
  </si>
  <si>
    <t xml:space="preserve"> Item No.	Description					Unit 	Quantity	Unit Price	Amount in 									 1	SITE WORKS								 									 2	EARTHWORKS								 									 3	CIVIL WORKS								 									 4	12% VAT								 									 5	TOTAL PROJECT COST</t>
  </si>
  <si>
    <t xml:space="preserve"> Construction Works for Renovation of ISAT U Administration Building *****Please see attached Invitation to Bid*****</t>
  </si>
  <si>
    <t xml:space="preserve"> Section I. Invitation to Bid Republic of the Philippines PROVINCE OF CAGAYAN Municipality of Peñablanca PROVINCIAL BIDS AND AWARDS COMMITTEE INVITATION TO BID FOR  Supply and Delivery of Various Office Supplies 1.	The Provincial Government of Cagayan, thr</t>
  </si>
  <si>
    <t xml:space="preserve"> Procurement of Desktop Computers *****Please see attached Invitation to Bid and Technical Specification*****</t>
  </si>
  <si>
    <t xml:space="preserve"> INVITATION TO BID SUPPLY AND DELIVERY OF VARIOUS LABORATORY SUPPLIES, CHEMICALS AND PERSONAL PROTECTIVE EQUIPMENT (PB 20-03-24) 1.	The Philippine Rice Research Institute, through the 2020 Regular Trust Fund Budget intends to apply the sum of TWO MILLION S</t>
  </si>
  <si>
    <t xml:space="preserve"> BIDS AND AWARD COMMITTEE INFRA 20-27A GENERAL FUND Standard Form Number: SF-INFR-O5 Repair / Improvement of GSO Bldg. Revised on: July 29, 2004 Pusok, Lapu-Lapu City INVITATION TO BID The City Government of Lapu-Lapu, through its Bids and Awards Committee</t>
  </si>
  <si>
    <t xml:space="preserve"> FURNISHING OF LABOR AND MATERIALS FOR THE CONSTRUCTION OF MULTIPURPOSE GYM/ EVACUATION CENTER OF BARANGAY NAPNAPAN NORTE, SITIO NASULI, TIGBAUAN, ILOILO</t>
  </si>
  <si>
    <t xml:space="preserve"> Renovation Project</t>
  </si>
  <si>
    <t xml:space="preserve"> BIDS AND AWARD COMMITTEE				 	                         INFRA 20-28 A SEF Standard Form Number: SF-INFR-O5                                                                 Construction of Activity Center with Stage for MAPEH at Bankal National High School R</t>
  </si>
  <si>
    <t xml:space="preserve"> INVITATION TO BID SUPPLY AND DELIVERY OF VARIOUS LABORATORY SUPPLIES AND CHEMICALS AND PERSONAL PROTECTIVE EQUIPMENT (PB 20-03-25) 1.	The Philippine Rice Research Institute, through the 2020 Corporate Fund Budget intends to apply the sum of ONE MILLION TH</t>
  </si>
  <si>
    <t xml:space="preserve"> Section I. Invitation to Bid Republic of the Philippines PROVINCE OF CAGAYAN Municipality of Peñablanca PROVINCIAL BIDS AND AWARDS COMMITTEE INVITATION TO BID FOR  Supply and Delivery of Various Quarantine Facility Supplies and Equipment 1.	The Provincial</t>
  </si>
  <si>
    <t xml:space="preserve"> 100 pots Fox Tail Palm 250 pots Assorted Fruit Trees</t>
  </si>
  <si>
    <t xml:space="preserve"> Local Infrastructure Program – Construction and/or Repair/ Rehabilitation of Multi-Purpose Building, Brgy. Quirino Hill, Baguio City Contract Location :	Baguio City Approved Budget for the Contract :	Php2,970,000.00 Scope of  work  :	Rehabilitation of Mul</t>
  </si>
  <si>
    <t xml:space="preserve"> INVITATION TO BID   Purchase of Toners with Free Use of Colored and Monochrome Multi-Function Printers for DSWD - CAR   (ITB 2020-DSWD-CAR-18) 1.	The Department of Social Welfare and Development - Cordillera Administrative Region (DSWD-CAR), through the G</t>
  </si>
  <si>
    <t xml:space="preserve"> Republic of the Philippines Province of Pangasinan Municipality of Mangatarem Barangay Caviernesan INVITATION TO BID PURCHASE OF VEHICLE  1.	The Barangay Council of Barangay General Luna, Mangatarem, Pangasinan, through the 20% Development Fund for 2019 a</t>
  </si>
  <si>
    <t xml:space="preserve"> 1.	The DEPED, EASTERN SAMAR DIVISION, through the CY 2020 GENERAL APPROPRIATIONS ACT intends to apply the sum of  TWO MILLION NINE HUNDRED EIGHTY FOUR THOUSAND ONE HUNDRED PESOS ONLY [2,984,100.00] being the Approved Budget for the Contract (ABC) to payme</t>
  </si>
  <si>
    <t xml:space="preserve"> Republic of the Philippines Province of Occidental Mindoro MUNICIPALITY OF PALUAN BARANGAY I-MAPALAD Invitation to Bid for Construction of Line Canal The Local Government Unit of  Barangay I-Mapalad, Paluan, Occidental Mindoro  intends to apply the sum of</t>
  </si>
  <si>
    <t xml:space="preserve"> Section I. Invitation to Bid Republic of the Philippines PROVINCE OF CAGAYAN Municipality of Peñablanca PROVINCIAL BIDS AND AWARDS COMMITTEE INVITATION TO BID FOR  Supply and Delivery of 70 Pieces Steel Sheet Piles 1.	The Provincial Government of Cagayan,</t>
  </si>
  <si>
    <t xml:space="preserve"> CONSTRUCTION OF BARANGAY NURSERIES (19 BARANGAYS), ESTABLISHMENT OF VERMICULTURE WITH AFRICAN NIGHT CRAWLER IN 17 BARANGAY AND CONSTRUCTION OF MUNICIPAL NURSERY AT ANISLAGAN.</t>
  </si>
  <si>
    <t xml:space="preserve"> BIDS AND AWARD COMMITTEE				 	                                                        INFRA 20-30A SEF Standard Form Number: SF-INFR-O5                                                                       Construction of 4-Storey Building with 10 Rooms  </t>
  </si>
  <si>
    <t xml:space="preserve"> BIDS AND AWARD COMMITTEE				 	                         INFRA 20-31A DEVELOPMENT FUND Standard Form Number: SF-INFR-O5                                                                 Construction of Manpower Human Development Technical Center (MHDTC) at Ol</t>
  </si>
  <si>
    <t xml:space="preserve"> Description I.	Removal of Structure and Obstructions II.	Reinforced Concrete III.	Electrical Works 1. Barangay Ada Tanauan, LEYTE through the bids and awards comm.) invites suppliers, distributors of construction materials for the project: Rehabilitation/</t>
  </si>
  <si>
    <t xml:space="preserve"> CONCRETE PAVEMENT 140m x4m x 0.20mm thk AT SITIO KALUBKUB</t>
  </si>
  <si>
    <t xml:space="preserve"> INVITATION TO BID FOR THE PROCUREMENT OF FARM MACHINERIES/EQUIPMENT OF CLIMATE RESILIENT FARM PRODUCTIVITY SUPPORT PROGRAM PROJECT OF DAVAO DEL SUR. 1.	The Department of Agrarian Reform Provincial Office of Davao del Sur thru General Appropriations Act fo</t>
  </si>
  <si>
    <t xml:space="preserve"> Description   A) REQUEST FOR QUOTATION 1. 1 unit OBD Scanner Specification: Operating System: Android TM 4.0 Ice Cream Sandwich Processor: Quad-Core Processor 1.4 GHz Memory:2GB RAM &amp; 32GB On-Board Memory Display: 9.7 inch LED capacitive touch screen with</t>
  </si>
  <si>
    <t xml:space="preserve"> construction of one (1) unit Materials Recovery Facility.</t>
  </si>
  <si>
    <t xml:space="preserve"> National Power Corporation INVITATION TO BID PUBLIC BIDDING 2020-0289 1.	The NATIONAL POWER CORPORATION (NPC), through       its        approved       Corporate Budget of CY 2020 intends to apply   the   sum   of (Please see schedule below) being the Appr</t>
  </si>
  <si>
    <t xml:space="preserve"> Republic of the Philippines Province of Batanes MUNICIPALITY OF MAHATAO -oOo- BIDS AND AWARDS COMMITTEE INVITATION TO APPLY FOR ELIGIBILITY AND TO BID The Municipal Government of Mahatao through General Fund intends to apply the sum of Php 390,750.00 bein</t>
  </si>
  <si>
    <t xml:space="preserve"> Construction/ Repair/ Rehabilitation/ Improvement of Various Infrastructure Including Local Projects: Rehabilitation of Multi-Purpose Building (Covered Court), Baguio City Contract Location :	Sto. Nino Barangay, Baguio City Approved Budget for the Contrac</t>
  </si>
  <si>
    <t xml:space="preserve"> Republic of the Philippines Province of Pangasinan MUNICIPALITY OF BAYAMBANG INVITATION TO BID FOR SUPPLY DELIVERY OF MEDICINES FOR RHU-II AND RHU-III 1. The Municipal Government of Bayambang, through the REGULAR FUND - 2020 intends to apply the sum of FI</t>
  </si>
  <si>
    <t xml:space="preserve"> PROCUREMENT OF INFORMATION TECHNOLOGY (IT) EQUIPMENT (PROJECT REFERENCE NO. 2020 – 02 – 064) For further information, please refer to: THE SECRETARIAT, Bids and Awards Committee  Insurance Commission, 1071 United Nations Avenue, Ermita, Manila  523-8461 t</t>
  </si>
  <si>
    <t xml:space="preserve"> BIDS AND AWARDS COMMITTEE: Item #	 Qty	   Unit	                   Item Description	  Unit Cost	      Total Cost 0001	318	sacks	Rice		 			x-x-x-x Nothing Follows x-x-x-x		 ROY D. CARALDE                            WINNY C. WAYCO, CE, EnP	                  </t>
  </si>
  <si>
    <t xml:space="preserve"> BIDS AND AWARD COMMITTEE				 	                         INFRA 20-29A SEF Standard Form Number: SF-INFR-O5                                                                 Construction of 1-Unit 2-Storey 4 Classroom Senior High School Technical Vocational La</t>
  </si>
  <si>
    <t xml:space="preserve"> Republic of the Philippines Province of Pangasinan MUNICIPALITY OF BAYAMBANG INVITATION TO BID FOR PROCUREMENT OF SERVICE VEHICLE FOR ENGINEERING OFFICE 1. The Municipal Government of Bayambang, through the TRUST FUND - REGULAR FUND - 2020 intends to appl</t>
  </si>
  <si>
    <t xml:space="preserve"> BIDS AND AWARDS COMMITTEE: Item #	 Qty	   Unit	                   Item Description	  Unit Cost	      Total Cost 0001	16	rolls	P.E Tube #1dia.		 0002	10	pcs	P.E Coupling #1dia.		 0003	4	pcs	P.E Elbow #1dia.		 0004	2	pcs	P.E Tee #1dia.		 0005	4	pcs	P.E Male</t>
  </si>
  <si>
    <t xml:space="preserve"> INVITATION TO BID FOR PROCUREMENT of Supplies for Reproduction of Self-Learning Modules 1.	The DepEd City Schools Division of Tacurong, through the GAA 2020 intends to apply the sum of Three Million, Forty-One Thousand, Five Hundred Pesos (3,041,500.00) b</t>
  </si>
  <si>
    <t xml:space="preserve"> Republic of the Philippines Province of Occidental Mindoro MUNICIPALITY OF PALUAN Invitation to Bid for Service Vehicle (Chariot) 1.	The Local Government Unit of  Barangay 11-Harrison, Paluan, Occidental Mindoro  intends to apply the sum of One Hundred Th</t>
  </si>
  <si>
    <t xml:space="preserve"> SUPPLY AND DELIVERY OF MEDICINE FOR EMERGENCY USED FOR COVID 19 CASE The Local Government Unit of Mauban through the TRUST FUND (MCP), 2020 intends to apply the sum of Seven hundred ninety nine thousand four hundred seventy pesos (Php 799,470.00) being th</t>
  </si>
  <si>
    <t xml:space="preserve"> Republic of the Philippines DEPARTMENT OF PUBLIC WORKS AND HIGHWAYS CAMARINES SUR 2ND DISTRICT ENGINEERING OFFICE Regional Office V Baras, Canaman, Camarines Sur INVITATION TO BID  FOR 20GFE0019 – PROCUREMENT OF EQUIPMENT AND TOOLS USE FOR MAINTENANCE OF </t>
  </si>
  <si>
    <t xml:space="preserve"> PURCHASE OF MULTICAB MINI DUMP TRUCK (4X4) USED FOR ENGINEERING OFFICE.</t>
  </si>
  <si>
    <t xml:space="preserve"> BIDS AND AWARD COMMITTEE				 	                         INFRA 20-33A GENERAL FUND Standard Form Number: SF-INFR-O5                                                                 Repair of Comfort Room of Sangunian Panglungsod and Ceiling of Registry of De</t>
  </si>
  <si>
    <t xml:space="preserve"> Republic of the Philippines Province of Batanes MUNICIPALITY OF MAHATAO -oOo- BIDS AND AWARDS COMMITTEE INVITATION TO APPLY FOR ELIGIBILITY AND TO BID The Municipal Government of Mahatao through General Fund intends to apply the sum of Php 420,642.06 bein</t>
  </si>
  <si>
    <t xml:space="preserve"> IMPROVEMENT OF PLACER PUBLIC MARKET Project Billboard Removal of Existing Structure/Disposal Structure Excavation Foundation Pill Aggregate Base Course Reinforcing Steel Structural Concrete Masonry Works Carpentry and Joinery Works Doors, Windows and Roll</t>
  </si>
  <si>
    <t xml:space="preserve"> 2	units Computer Desktop	40,000.00 1	unit	Computer Laptop/Netbook	26,500.00</t>
  </si>
  <si>
    <t xml:space="preserve"> PARACETAMOL DROPS PARACETAMOL SUSPENSION AMOXICILLIN 250MG/CAP AMOXICILLIN 500MG/CAP SALBUTAMOL SYRUP SALBUTAMOL TAB PARACETAMOL 500MG/TAB NIFEDIPINE 5MG NIFEDIPINE 10MG CLONIDINE HCL 150MG/TAB MEFENAMIC ACID 250 MG/CAP MEFENAMIC ACID 500 MG/CAP CEFALEXIN</t>
  </si>
  <si>
    <t xml:space="preserve"> Section I. Invitation to Bid Republic of the Philippines PROVINCE OF CAGAYAN Municipality of Peñablanca PROVINCIAL BIDS AND AWARDS COMMITTEE INVITATION TO BID FOR  Supply and Delivery of 30 Units Brand New Motorcycles 1.	The Provincial Government of Cagay</t>
  </si>
  <si>
    <t xml:space="preserve"> The Metro Kalibo Water District, through the Bids and Awards Committee (BAC), will undertake Negotiated Procurement (Small Value Procurement) for the PROCUREMENT OF TWO (2) UNITS RECEIPT PRINTER FOR TELLER’S USE. in accordance with Section 53.9 of the 201</t>
  </si>
  <si>
    <t xml:space="preserve"> Republic of the Philippines Province of Palawan Municipality of Roxas BIDS AND AWARDS COMMITTEE INVITATION TO BID FOR THE PROVISION OF HAND TRACTOR AND POWER SPRAYER FOR THE FARM MECHANIZATION PROGRAM OF THIS MUNICIPALITY The Local Government Unit of Roxa</t>
  </si>
  <si>
    <t xml:space="preserve"> The Metro Kalibo Water District, through the Bids and Awards Committee (BAC), will undertake Negotiated Procurement (Small Value Procurement) for the PROCUREMENT OF VARIOUS IT EQUIPMENT FOR OFFICE USE. in accordance with Section 53.9 of the 2016 Revised I</t>
  </si>
  <si>
    <t xml:space="preserve"> Republic of the Philippines Province of Palawan Municipality of Roxas BIDS AND AWARDS COMMITTEE INVITATION TO BID FOR THE ACQUISITION OF BRAND NEW CLOSE VAN FOR SLAUGHTERHOUSE The Local Government Unit of Roxas, Palawan, through the 2020 Annual Budget int</t>
  </si>
  <si>
    <t xml:space="preserve"> INVITATION TO BID The Municipality of Pagsanjan, through its Bids and Awards Committee (BAC), interested contractors registered to apply for eligibility and if found eligible, to bid for the hereunder contract: 	 Name of Contract: 	Procurement of Material</t>
  </si>
  <si>
    <t xml:space="preserve"> CONCRETING OF BARANGAY RPADS AT SITIO SULAYON 2 METERS WIDTH X 85 METERS LENGTH X .15 THICK</t>
  </si>
  <si>
    <t xml:space="preserve"> Republic of the Philippines Province of Palawan Municipality of Roxas BIDS AND AWARDS COMMITTEE INVITATION TO BID FOR THE SUPPLY AND DELIVERY OF FUEL, OIL AND LUBRICANTS FOR VARIOUS PROGRAMS AND ACTIVITIES OF THIS MUNICIPALITY The Local Government Unit of</t>
  </si>
  <si>
    <t xml:space="preserve"> Republic of the Philippines Province of Pangasinan MUNICIPALITY OF BAYAMBANG INVITATION TO BID FOR SUPPLY DELIVERY OF SIX(6) UNITS BRAND NEW LAPTOP COMPUTER 1. The Municipal Government of Bayambang, through the General Fund - 2020 intends to apply the sum</t>
  </si>
  <si>
    <t xml:space="preserve"> ITEM NO.	UNIT		QTY		DESCRIPTION		 							 SPL1	 lot 		1		PROJECT BILLBOARD/SIGNBOARD/PPE/SIGNAGE&amp;BARACADE		 1	 sq.m 		2700		 SUB-GRADE PREPARATION 		 2	 cu.m 		360		 PORTLAND CONCRETE CEMENT PAVEMENT 		 3	 cu.m 		46.20		 RIP - RAP 		 INVITATION TO BID The</t>
  </si>
  <si>
    <t xml:space="preserve"> Republic of the Philippines Province of Cagayan Municipality of Piat -o0o- OFFICE OF THE BIDS AND AWARDS COMMITTEE (BAC) INVITATION TO BID FOR MSWDO DATA PROFILING SYSTEM                                       The Local Government Unit of Piat, through the</t>
  </si>
  <si>
    <t xml:space="preserve"> REPUBLIC OF THE PHILIPPINES MUNICIPALITY OF BINMALEY PROVINCE OF PANGASINAN INVITATION TO BID FOR SUPPLY AND DELIVERY OF MEDICINES AND MEDICAL SUPPLIES FOR RHU II 1.	The Municipal Government of Binmaley, through General Fund intends to apply the sum of Ph</t>
  </si>
  <si>
    <t xml:space="preserve"> ITEM NO.	UNIT		QTY		DESCRIPTION		 							 1	 lot 		1		DEMOLITION		 2	 cum 		60		 STRUCTURAL EXCAVATION 		 3	 cum 		144		 EMBANKMENT 		 4	 kgs 		5766.24		 REINFORCING STEEL BAR 		 5	 cum 		67		 CONCRETE WORKS 		 6	 sqm 		553		 MASONRY WORKS 		 7	 sqm 		282</t>
  </si>
  <si>
    <t xml:space="preserve"> 3      pcs.         2" G.I Pipe 6       pcs.        10" Amglobe 60     pcs.        9 watts   LED Bulb 5      roll          12mm PDX 50     pcs.        Receptacle 50     pcs.        Electrical tape 8       bags       Portland Cement 2       cu.m      Mixed</t>
  </si>
  <si>
    <t xml:space="preserve"> ITEM NO.	UNIT		QTY		DESCRIPTION		 							 1	 lot 		1		AMENITIES		 2	 lot 		1		 MOBILIZATION 		 3	 lot 		1		 PIPE DRILLING 		 4	 lot 		1		 POWER HOUSE 		 5	 lot 		1		 ELEVATED WATER TANK 		 6	 lot 		1		 FURNISHING AND INSTALLATION 		 INVITATION TO BID The </t>
  </si>
  <si>
    <t xml:space="preserve"> ITEM NO.	UNIT		QTY		DESCRIPTION		 							 1	 cu.m 		1640		EARTHWORKS		 2	 cu.m 		14		 CONCRETE WORKS 		 3	 ln.m 		3308		 PIPE LAYOUT 		 4	 lot 		1		 GENERAL REQUIREMENTS 		 INVITATION TO BID The Municipality of Sablayan through its Bids and Awards Committ</t>
  </si>
  <si>
    <t xml:space="preserve"> Gongs Solibao</t>
  </si>
  <si>
    <t xml:space="preserve"> ITEM NO.	UNIT		QTY		DESCRIPTION		 							 1	 lot 		1		AMENITIES		 2	 lot 		1		 MOBILIZATION 		 3	 cu.m. 		6995		 EARTHWORKS-CUTTING 		 4	 cu.m. 		295		 SLOPE PROTECTION &amp; STORM DRAINAGE 		 5	 cu.m. 		306		 AGGREGATE BASE-COURSE 		 6	 cu.m. 		340		 PORTLAN</t>
  </si>
  <si>
    <t xml:space="preserve"> ITEM NO.	UNIT		QTY		DESCRIPTION		 							 1	 lot 		1		AMENITIES		 2	 lot 		1		 MOBILIZATION 		 3	 lot 		1		 REPAIR OF PUMP HOUSE 		 4	 lot 		1		 REPAIR OF ELEVATED WATER TANK 		 5	 lot 		1		 FURNISHING AND INSTALLATION OF PIPE 		 INVITATION TO BID The Mun</t>
  </si>
  <si>
    <t xml:space="preserve"> Supply and delivery of Materials (Lot #1), Good Lumber (Lot #2), Fuel &amp; Diesel (Lot #3) and Labor (Lot #4) for Proposed Road Concreting from National Highway Sta. 000+015 to Sta. 000+315m leading to Barangay Site, Barangay Oring-Oring, Brooke’s Point, Pal</t>
  </si>
  <si>
    <t xml:space="preserve"> ITEM NO.	UNIT		QTY		DESCRIPTION		 							 SPL1	 lot 		1		GENERAL REQUIREMENTS		 1	 cu.m 		2400		 SUB-GRADE PREPARATION 		 2	 cu.m 		552		 AGGREGATES BASE COARSE 		 3	 cu.m 		300		 PORTLAND CONCRETE CEMENT PAVEMENT 		 SPL2	 lot 		1		 CONSTRUCTION OF BOX CU</t>
  </si>
  <si>
    <t xml:space="preserve"> 4'x12m Interlinks 16 Tie Wire 10mm RSB x 6m 16mm RSB x 6m 1 1/2" x 1/4" Angel Bars Welding Rod Cutting Disk</t>
  </si>
  <si>
    <t xml:space="preserve"> Crates</t>
  </si>
  <si>
    <t xml:space="preserve"> INVITATION TO BID FOR THE IMPROVEMENT OF MULTIPURPOSE /EVACUATION CENTER OF BARANGAY LINOBAYAN, TIGBAUAN, ILOILO</t>
  </si>
  <si>
    <t xml:space="preserve"> Installation of Integrated Solar Street Lights at Sitio Proper of Barangay Maninang,  Sapian, Capiz</t>
  </si>
  <si>
    <t xml:space="preserve"> CONCRETING OF BARANGAY ROADS AT SITIO PULOS  2 METERS WIDTH X 75 METERS  LENGTH X .15 THICK</t>
  </si>
  <si>
    <t xml:space="preserve"> Republic of the Philippines Department of Science and Technology PHILIPPINE SCIENCE HIGH SCHOOL – ZAMBOANGA PENINSULA REGION CAMPUS Cogon, Dipolog City       INVITATION TO BID FOR THE PROCUREMENT OF ICT EQUIPMENT (REBID) APPROVED BUDGET FOR THE CONTRACT: </t>
  </si>
  <si>
    <t xml:space="preserve"> ITEM NO.	UNIT		QTY		DESCRIPTION		 							 SPL1	 lot 		1		PROJECT BILLBOARD/SIGNBOARD/PPE/SIGNAGE&amp;BARICADE		 1	 sq.m 		2100		 SUB-GRADE PREPARATION 		 2	 cu.m 		315		 AGGREGATE SUB-BASE COARSE 		 3	 cu.m 		300		 PORTLAND CEMENT CONCRETE PAVEMENT 		 INVITAT</t>
  </si>
  <si>
    <t xml:space="preserve"> BIDS AND AWARDS COMMITTEE: Item #	 Qty	   Unit	                   Item Description	  Unit Cost	      Total Cost 0001		15	gals	Tooling gelcoat, gree, isophatic/polymer CR10-690		 0002		15	gals	Gelcoat, green, isophalic		 0003		2	rolls	Woven Cloth 300 (wcl3</t>
  </si>
  <si>
    <t xml:space="preserve"> ITEM NO.	UNIT		QTY		DESCRIPTION		 							 SPL1	 lot 		1		GENERAL REQUIREMENTS		 1	 cu.m 		684		 SUB-GRADE PREPARATION 		 2	 cu.m 		684		 AGGREGATES BASE COARSE 		 3	 cu.m 		456		 PORTLAND CONCRETE CEMENT PAVEMENT 		 INVITATION TO BID The Municipality of S</t>
  </si>
  <si>
    <t xml:space="preserve"> BIDS AND AWARDS COMMITTEE: Item #	 Qty	   Unit	                   Item Description	  Unit Cost	      Total Cost 0001	 1	unit	2.5HP Split Type Aircon, Single Phase, Non-inverter		 			x-x-x-x Nothing Follows x-x-x-x		 ROY D. CARALDE                         </t>
  </si>
  <si>
    <t xml:space="preserve"> 1.	The Department of Agriculture (DA) – Central Office, through the GAA CY 2019 Continuing fund intends to apply the sum of Two Million Pesos (PhP2,000,000.00) being the Approved Budget for the Contract (ABC) to payments under the contract for the Supply,</t>
  </si>
  <si>
    <t xml:space="preserve"> CONSTRUCTION OF FOOTBRIDGE AT SITIO PROPER 15 METERS LENGTH X 1.00 METERS WIDTH</t>
  </si>
  <si>
    <t xml:space="preserve"> Republic of the Philippines Province of Pangasinan MUNICIPALITY OF BAYAMBANG Invitation to Bid for ASPHALT OVERLAY OF BARANGAY ROAD 1. The Municipal Government of Bayambang, through the GENERAL FUND (MO) - 2020 intends to apply the sum of SEVEN HUNDRED TH</t>
  </si>
  <si>
    <t xml:space="preserve"> 2	units	Resograph	200,000.00</t>
  </si>
  <si>
    <t xml:space="preserve"> To download bidding documents, please click the link below https://drive.google.com/file/d/1pCbZbLu6ylOGZN_t4LhpqUGXzIUftLCb/view?usp=drivesdk</t>
  </si>
  <si>
    <t xml:space="preserve"> To download bidding documents, please clickt the link below https://drive.google.com/file/d/1SCd2DUpCUnZvawBmoVxpYMNjGwUZ_KZn/view?usp=drivesdk</t>
  </si>
  <si>
    <t xml:space="preserve"> To download bidding documents, please click the link below https://drive.google.com/file/d/1z1ttjJctVX6g56rQvtwJVmSw1tNfYLpc/view?usp=drivesdk</t>
  </si>
  <si>
    <t xml:space="preserve"> INVITATION TO BID BAC-IB NO. 2020-34 	The Research Institute for Tropical Medicine (RITM) through its Bids and Awards Committee (BAC) invites technically, legally and financially capable PHILGEPS-registered suppliers/manufacturers to apply for eligibility</t>
  </si>
  <si>
    <t xml:space="preserve"> To download bidding documents, please click the link below https://drive.google.com/file/d/1M9s7OHObz-BB9hNRy7wcy6WJwXZwFxni/view?usp=drivesdk</t>
  </si>
  <si>
    <t xml:space="preserve"> BIDS AND AWARDS COMMITTEE: Item #	 Qty	   Unit	                   Item Description	  Unit Cost	      Total Cost 0001	6	shts	MS Plate 1/4 x 4 x 8		 0002	3	shts	Checkered Plate 1/8 x 4 x 8		 0003	5	lngths	Angular Bar 1/4 x 1		 0004	4	shts	GI Sheet #14		 000</t>
  </si>
  <si>
    <t xml:space="preserve"> The BAROBO WATER DISTRICT, through the Bids and Awards Committee (BAC) of HINATUAN WATER DISTRICT, Hinatuan, Surigao del Sur, invites suppliers to bid for the hereunder project: Lot A: Name of Project                       : Procurement of Supply and Deli</t>
  </si>
  <si>
    <t xml:space="preserve"> Interested bidders may obtain further information from the City of Balanga and inspect the Bidding Documents at the address given below from 9:00 a.m. to 4:00 p.m. A complete set of Bidding Documents may be acquired by interested Bidders on August 13 to S</t>
  </si>
  <si>
    <t xml:space="preserve"> To download bidding documents, please click the link below https://drive.google.com/file/d/1Cf06mOrS73dcbsAHgn_h6PMZ8fBGyO3c/view?usp=drivesdk</t>
  </si>
  <si>
    <t xml:space="preserve"> Republic of the Philippines MUNICIPALITY OF ORION Province of Bataan Bids and Awards Committee Secretariat Office, 2nd Floor Municipal Building, San Vicente, Orion, Bataan Telephone No. 244-9611 local 107                                        				 				 2</t>
  </si>
  <si>
    <t xml:space="preserve"> Straight Contract for Construction of Public Market See attached link/Url under OTHER INFORMATION BOX</t>
  </si>
  <si>
    <t xml:space="preserve"> To download bidding documents, please click the link below https://drive.google.com/file/d/10q0Nlvo6M5jZr803d-4xZc9ayx5MjV0X/view?usp=drivesdk</t>
  </si>
  <si>
    <t xml:space="preserve"> Building construction Total floor area: 360.00 sq.m. Completion time: 210 Calendar days Location: Brgy. Poblacion, Calubian, Leyte</t>
  </si>
  <si>
    <t xml:space="preserve"> &lt; 1 set Main  Server (core i7, 32GB DDR4, 4TB HDD, 1TB SSD, BLUETOOTH KB MOUSE)         w/ Win Server 2016 OS  &lt; 1 set Sub Server (Core i7, 16GB DDR4, 4TB HDD, 256 SSD, BLUETOOTH KB &amp; MOUSE)              w/ Win Server 2016 OS  &lt; 1 set Server Cabinet 12u W</t>
  </si>
  <si>
    <t xml:space="preserve"> The Mindanao State University-Sulu, Bids and Awards Committee (BAC) through the Trust Fund, intends to apply the sum of One Million and Seventy Thousand Pesos (P1,070,000.00) as the Approved Budget for the Contract (ABC) for payment for the Procurement of</t>
  </si>
  <si>
    <t xml:space="preserve"> PACKAGE 032- Procurement of Various Infra Projects  with CRN 032-2020(Improvements/Rehabilitation of Roads of the different Barangays) located at Hapid,Hollowon,Ambasa,Umilag,Payawan, Pob. East, Salamague, Pieza, Nayon, Mabatobato, Lawig, Bimpal, Pugol, S</t>
  </si>
  <si>
    <t xml:space="preserve"> Construction of four (4) units Materials Recovery Facility.</t>
  </si>
  <si>
    <t xml:space="preserve"> BIDS AND AWARD COMMITTEE				 	                         INFRA 20-32A GENERAL FUND Standard Form Number: SF-INFR-O5                                                                 Repair / Improvement of Tourism Bldg.  Revised on: July 29, 2004   	Pusok, La</t>
  </si>
  <si>
    <t xml:space="preserve"> 1	Public Address System VoIP protocols: SIP or multicast support Relay number: at least 4 freely programmable output pins, configuration via web interface or DTMF Voltage feed via network (PoE) Ethernet Ports: at least 2 port 10/100Mb Ethernet switch Powe</t>
  </si>
  <si>
    <t xml:space="preserve"> To download bidding documents, please click the link below https://drive.google.com/file/d/1i4Dcyl6Qoc_X-Ev3KDhkSHyLDcUrql4S/view?usp=drivesdk</t>
  </si>
  <si>
    <t xml:space="preserve"> To download bidding documents, please click the link below https://drive.google.com/file/d/1ry9BEWDAjnVm7i1Dx5S-vN11Ap0GNgwP/view?usp=drivesdk</t>
  </si>
  <si>
    <t xml:space="preserve"> The Mindanao State University-Sulu, through its Bids and Awards Committee (BAC), intends to apply the sum of Five Hundred Thousand Pesos (P500,000.00) as the Approved Budget for the Contract (ABC) for payment for the Procurement of Books. Bidding will be </t>
  </si>
  <si>
    <t xml:space="preserve"> Repair &amp; Maintenance IT Equipment &amp; Software</t>
  </si>
  <si>
    <t xml:space="preserve"> To download bidding documents, please click the link below https://drive.google.com/file/d/1CYQJ7RbAvRWnisjoTA0wDiTFDkTQYsLd/view?usp=drivesdk</t>
  </si>
  <si>
    <t xml:space="preserve"> Supply and delivery of tires for Garbage Truck</t>
  </si>
  <si>
    <t xml:space="preserve"> INVITATION TO BID FOR THE SUPPLY AND DELIVERY OF FURNITURE AND FIXTURES   1.	The City of Iloilo, through the Supplemental Budget No. 4 intends to apply the sum of Two Million Two Hundred Twenty-Nine Thousand Six Hundred Sixty Pesos (P2,220,660.00) being t</t>
  </si>
  <si>
    <t xml:space="preserve"> INVITATION TO BID FOR THE SUPPLY AND DELIVERY OF FABRICATED TRASH BIN   1.	The City of Iloilo, through the Supplemental Budget No. 5 CY 2020 intends to apply the sum of Two Million Eight Hundred Fifty Thousand Pesos (P2,850,000.00) being the Approved Budg</t>
  </si>
  <si>
    <t xml:space="preserve"> Republic of the Philippines PROVINCE OF ZAMBOANGA DEL NORTE Municipality of Sibutad BIDS AND AWARDS COMMITTEE 					                                                                                                                    August 13, 2020 INVITATI</t>
  </si>
  <si>
    <t xml:space="preserve"> INVITATION TO BID FOR THE SUPPLY AND DELIVERY OF WEIGHING SCALE   1.	The City of Iloilo, through the 20% Development Fund CY 2019 intends to apply the sum of One Million Four Hundred Ninety-Six Thousand Seven Hundred Fifty Pesos (P1,496,750.00) being the </t>
  </si>
  <si>
    <t xml:space="preserve"> The Cebu Port Authority, through the CPA Corporate Budget intends to apply the sum of Sixty-Four Million Seven Hundred Seventy-Three Thousand Nine Hundred Fifty-Two Pesos and 98/100 (Php 64,773,952.98) being the Approved Budget for the Contract (ABC) to p</t>
  </si>
  <si>
    <t xml:space="preserve"> To download bidding documents, please click the link below https://drive.google.com/file/d/16uez0rSBkssiVsvgTfk6pXUECH5UzgJ3/view?usp=drivesdk</t>
  </si>
  <si>
    <t xml:space="preserve"> Section I. Invitation to Bid INVITATION TO BID DA8-Infra-2020-14 (PR No. QRF URSULA 20-08-06-0018) 1.	The Department of Agriculture-Regional Field Office No. 8, through the QRF URSULA 2020 – C.O intends to apply the sum of Two Million Five Hundred Thousan</t>
  </si>
  <si>
    <t xml:space="preserve"> The Cebu Port Authority, through the CPA Corporate Budget intends to apply the sum of Nine Million Nine Hundred Eighty-Six Thousand Nine Hundred Eighty-Five Pesos and 16/100 (Php 9,986,985.16) being the Approved Budget for the Contract (ABC) to payments u</t>
  </si>
  <si>
    <t xml:space="preserve"> Republic of the Philippines Cordillera Administrative Region Provincial Local Government Unit of Ifugao BIDS AND AWARDS COMMITTEE 2nd Floor COA Bldg., Capitol Compound Lagawe, Ifugao Email Ad.: bacgoodsifugao13@gmail.com  Date: August 13, 2020 REQUEST FOR</t>
  </si>
  <si>
    <t xml:space="preserve"> Republic of the Philippines Province of Agusan del Sur MUNICIPALITY OF TALACOGON BIDS AND AWARDS COMMITTEE August 13, 2020 INVITATION TO BID  FOR THE PROCUREMENT OF MATERIALS FOR THE CONSTRUCTION OF ONE (1) UNIT PUBLIC OFFICE BUILDING AT DEL MONTE, TALACO</t>
  </si>
  <si>
    <t xml:space="preserve"> Section I. Invitation to Bid INVITATION TO BID  DA8-Goods-2020-49 (PR No. SAAD 20-07-27-0241) 1.	The Department of Agriculture-Regional Field Office No. 8, through the SAAD 2020 intends to apply the sum of Two Million Five Hundred Eighty Thousand Pesos On</t>
  </si>
  <si>
    <t xml:space="preserve"> Item number              Item Description                     Qty.                        Total Price             1                     Book paper , A4, gsm20             1,000                      P245,000.00</t>
  </si>
  <si>
    <t xml:space="preserve"> Common Office  Supplies Technical Specifications will be given during the pre-bidding conference.</t>
  </si>
  <si>
    <t xml:space="preserve"> IV Cannula G-18 etc. NOTE:To all suppliers bid documents and BAC Reso. 2020-029 are available at BAC Office  and  LGU website.</t>
  </si>
  <si>
    <t xml:space="preserve"> Construction of Evacuation Center/Temporary Learning Shelter for Affected Students of the Municipality of Sulat, Eastern Samar.</t>
  </si>
  <si>
    <t xml:space="preserve"> Procurement of Pump boat/Motorboat Pump boat/motorboat (surplus) double engine with 16 HP per  engine, speed per hour. 18 knots, Passenger capacity -15, dimension  of Pump boat -Length 35 feet, Height 24, inches, width 20", Material  use wood, painted wit</t>
  </si>
  <si>
    <t xml:space="preserve"> The Sangguniang Barangay of CALUMANGUIN, through its Bids and Award Committee (BAC), invites contractor to apply for eligibility and to bid fot the hereunder project: Name of Project: REHABILITATION OF MULTI-PURPOSE HALL Location: Brgy CALUMANGUIN, GUMACA</t>
  </si>
  <si>
    <t xml:space="preserve"> The Barangay Government of BALILI, through its Bids and Awards Committee intends to apply the sum of Sixty-One Thousand Seven Hundred Eighty-Four Pesos and Eighty Centavos Only (Php 61,784.80) being the approved Budget for the Contract (ABC) to payments u</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</si>
  <si>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</si>
  <si>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Item  No.           Description		Qty.		Unit 800(1) Clearing and Grubbing -0.43.000 sq.m 1600(1) Excavation-103.50 cu.m. 1601(1) Fill and Backjfill -48.00 cu.m. 900(1)a1 Structural Concrete -22.12 cu.m. 902(1)a1 Reinforcing steel(Deformed), Grade 40 – 2,44</t>
  </si>
  <si>
    <t xml:space="preserve"> Item  No.           Description		Qty.		Unit 100(1) Clearing and Grubbing -0.023 ha. 103(1)a Structure Excavation, Common soil-76.11 cu.m. 404(1)a Reinforcing steel, Grade 40  - 2,798.040 kgs. 405(1)a1 Structural  Concrete – 31.176 cu.m. 414(1) Forms and F</t>
  </si>
  <si>
    <t xml:space="preserve"> Standard Form Number: SF-INFRA-05 Revised on: July 28, 2004 INVITATION TO APPLY FOR ELIGIBILITY AND TO BID ITB No.: 0820-116 The LGU-TUBURAN, through its Bids and Awards Committee (BAC), invites suppliers/manufacturers/distributors/contractors to apply fo</t>
  </si>
  <si>
    <t xml:space="preserve"> Item  No.           Description		Qty.		Unit 801(1) Removal of Structures and Obstruction – 1.00 I.s. 903(1)Formworks and Falseworks  -1.00 I.s. 1014(1) a2 Prepainted Metal Sheets – 657.20 sq.m. 1047(2)a Metal Structures – 1.00 I.s 1032(1)c Painting Works </t>
  </si>
  <si>
    <t xml:space="preserve"> REPUBLIC OF THE PHILIPPINES CITY GOVERNMENT OF OROQUIETA BIDS AND AWARD COMMITTEE City Hall, Oroquieta City                                                                                                                       August 13, 2020              </t>
  </si>
  <si>
    <t xml:space="preserve"> The Municipal Government of Aloguinsan invites prospective bidders to bid for the project Supply and Delivery of Office Equipment for SEF Source of Fund: SPECIAL EDUCATION FUND ABC: Php 586,390.25 The complete schedule of activities will be as follows: 1.</t>
  </si>
  <si>
    <t xml:space="preserve"> The Barangay Government of BALILI, through its Bids and Awards Committee intends to apply the sum of Two Hundred Thousand Pesos Only (Php 200,000.00) being the approved Budget for the Contract (ABC) to payments under the Contract for the “Installation of </t>
  </si>
  <si>
    <t xml:space="preserve"> Construction of 1 Storey Multi Purpose Building (16m x 7m) and other scope of work to be done.</t>
  </si>
  <si>
    <t xml:space="preserve"> The Barangay Government of BALILI, through its Bids and Awards Committee intends to apply the sum of Two Hundred Thousand Pesos Only (Php 200,000.00) being the approved Budget for the Contract (ABC) to payments under the Contract for the “Construction of </t>
  </si>
  <si>
    <t xml:space="preserve"> Standard Form Number: Goods  Revised on: July 28, 2004 INVITATION TO APPLY FOR ELIGIBILITY AND TO BID ITB No.: 0820-117 The LGU-TUBURAN, through its Bids and Awards Committee (BAC), invites suppliers/manufacturers/distributors/contractors to apply for eli</t>
  </si>
  <si>
    <t xml:space="preserve"> INVITATION TO BID									 									 The LOCAL GOVERNMENT UNIT OF SINDANGAN, through its Bids and Awards Committee (BAC), hereby invites suppliers/manufacturers/ distributors/contractors to apply for eligibility and to bid for the hereunder project.						</t>
  </si>
  <si>
    <t xml:space="preserve"> The LGU- SAN REMIGIO, ANTIQUE, through its Bids and Awards Committee (BAC) invites all registered bidders to bid on: DESCRIPTION: SUPPLY AND DELIVERY OF WELL-MILLED RICE (25KLS) LOCATION: MSWDO, LGU SAN REMIGIO, ANTIQUE APPROVED BUDGET FOR THE CONTRACT: P</t>
  </si>
  <si>
    <t xml:space="preserve"> Republic of the Philippines Municipality of Bulusan Sorsogon OFFICE OF THE BIDS AND AWARDS COMMITTEE INVITATION TO APPLY FOR ELIGIBILITY AND TO BID THE MUNICIPAL GOVERNMENT OF BULUSAN, through its Bid and Awards Committee (BAC), invites Bidders to apply f</t>
  </si>
  <si>
    <t xml:space="preserve"> Republic of the Philippines City of Cagayan de Oro BIDS AND AWARDS COMMITTEE Invitation to Bid  for Completion of San Simon Water System (Partial); SN 188 - 2020 1.	The City Government of Cagayan de Oro, through the Continuing Appropriation CY 2019 - Non-</t>
  </si>
  <si>
    <t xml:space="preserve"> Request for Quotation (Negotiated Procurement-Sec. 53.1 of RIRR of RA 9184)                                                                             The Iligan City Government Bids and Awards Committee(BAC) Posted Request for Quotation for the SUPPLY A</t>
  </si>
  <si>
    <t xml:space="preserve"> 1. GENERAL REQUIREMENTS: 1.0 GENERAL INTENTION – It is the declared and acknowledged intention of the City Government to provide the public and complete the purpose Construction of Gora Lane Pocket Gardens along Mother Ignacia Avenue located at Barangay P</t>
  </si>
  <si>
    <t xml:space="preserve"> 1.	The Government Service Insurance System (GSIS), through the GSIS Corporate Operating Budget for CY 2020, intends to apply the sum of Twenty Two Million Six Hundred Ninety Eight Thousand Eight Hundred Pesos (Php22,698,800.00) being the Approved Budget f</t>
  </si>
  <si>
    <t xml:space="preserve"> Republic of the Philippines Province of Samar Municipality of Motiong INVITATION TO BID FOR THE PROCUREMENT OF ONE (1)-UNIT MULTI-PURPOSE VEHICLE 1.	The Municipal Government of Motiong, through the FY 2019 Local Government Support Fund- Other Financial As</t>
  </si>
  <si>
    <t xml:space="preserve"> Section I. Invitation to Bid Republic of the Philippines Province of Samar Municipality of Motiong Invitation to Bid for the Procurement of Infrastructure for the DUMPSITE CLOSURE PLAN IMPLEMENTATION (PHASE 3) 1.	The Municipal Government of Motiong, throu</t>
  </si>
  <si>
    <t xml:space="preserve"> Section I. Invitation to Bid Republic of the Philippines        Province of Samar Municipality of Motiong Invitation to Bid for the Procurement of Infrastructure for the UPGRADING OF LOCAL ACCESS ROAD SECTION-SEGMENT 1 FROM BRGY. NEW MINAROG TO BRGY. MAYP</t>
  </si>
  <si>
    <t xml:space="preserve"> PURCHASE REQUEST 					 					 Entity Name: PAGSANGAHAN NHS (JHS- SHS)			Fund Cluster: 01101101		 Office/Section : _____________		PRN.:  ________________________		Date:  _____________	 		Responsibility Center Code : MOOE			 Stock/ Property No.	Unit 	Item De</t>
  </si>
  <si>
    <t xml:space="preserve"> Procurement of Drugs and Medicine Absorbent cotton rolls 400 gms. Absorbent gauze roll 36"X100 YDS-ply Aluminum Hydroxide Magnisium Hydroxide 200mg/100 per 5ml suspension 120 Amoxicillin 100mg/ml drops. Amoxicillin 250mg/5ml syrup Amoxicillin 500 mg capsu</t>
  </si>
  <si>
    <t xml:space="preserve"> Republic of the Philippines City of Cagayan de Oro BIDS AND AWARDS COMMITTEE  	 INVITATION TO BID  FOR  Supply and Delivery of Circuit Breakers and Other Items; PR No. 20-0550 dated 29 January 2020; SN 177 - 2020 1.	The City Government of Cagayan de Oro, </t>
  </si>
  <si>
    <t xml:space="preserve"> Republic of the Philippines City of Cagayan de Oro BIDS AND AWARDS COMMITTEE  INVITATION TO BID  FOR  Supply and Delivery of One (1) Unit Van Type Vehicle; PR No. 20-1580 dated 23 March 2020; SN 170a - 2020 1.	The City Government of Cagayan de Oro, throug</t>
  </si>
  <si>
    <t xml:space="preserve"> The Barangay Government of BALILI, through its Bids and Awards Committee intends to apply the sum of One Hundred Fifty Thousand Pesos Only (Php 150,000.00) being the approved Budget for the Contract (ABC) to payments under the Contract for the “Constructi</t>
  </si>
  <si>
    <t xml:space="preserve"> QTY UNIT DESCRIPTION One (1) Unit Sound System (Package with 2 years Free Service Maintenance and 1 year Parts Warranty) 2 pcs. 15"2-Way Professional Active Speaker 700 watts max 2 pcs. 18" Professional Active Subwoofer 1600 watts max 1 pair Professional </t>
  </si>
  <si>
    <t xml:space="preserve"> Brief Description/Specification: “SUPPLY AND DELIVERY OF FIFTY (50) PIECES PLASTIC DRUMS (WATER CONTAINER)” for the Rain Water Collection System of the Municipal Government of Bayog, Zamboanga del Sur. Approved Budget for the Contract:  Php 100,000.00 Est</t>
  </si>
  <si>
    <t xml:space="preserve"> Ambulance 3.0L Diesel, 4 Cylinder, In-Line 16V DOHC, Turbo Charged Direct Injection Common Rail Diesel (D-4D) 2,982cc Displacement 5-speed Manual (Dash-Mounted) Transmission Front Ventilated Disc Brakes Rear Drum Brakes 4,695mm x 1,695mm x 1,980mm 70 Lite</t>
  </si>
  <si>
    <t xml:space="preserve"> COMFORT ROOM, DOORS, WINDOWS,TILE SETTING AND ROOFINGS.</t>
  </si>
  <si>
    <t xml:space="preserve"> shopping....</t>
  </si>
  <si>
    <t xml:space="preserve"> The Municipal Government of Bayog, Zamboanga del Sur thru its Bids and Awards Committee (BAC) invites all interested bidders for the “SUPPLY AND DELIVERY OF CONSTRUCTION SUPPLIES AND MATERIALS” for the Improvement/Conversion of Temporary Rural Health Unit</t>
  </si>
  <si>
    <t xml:space="preserve"> Republic of the Philippines Province of Ilocos Sur Municipality of San Juan OFFICE OF THE BIDS AND AWARDS COMMITTEE INVITATION TO APPLY FOR ELIGIBILITY AND TO BID The Barangay Camindoroan,San Juan,Ilocos Sur through the Bids and Awards Committe(BAC) invit</t>
  </si>
  <si>
    <t xml:space="preserve"> Republic of the Philippines Province of Eastern Samar  Municipality of Llorente Invitation to Bid for Supply and Delivery of Assorted Construction Materials 1.	The Local Government of Llorente, through the Budget Approved by the Respective Sanggunian inte</t>
  </si>
  <si>
    <t xml:space="preserve"> INVITATION TO BID Bid No. B-122-2020  1.	The Provincial Government of Negros Oriental through Responsibility Center: 8919-11(20), intends to apply the sum of Four Million Eight Hundred Thousand Pesos (Php 4,800,000.00) to payment under the contract “Purch</t>
  </si>
  <si>
    <t xml:space="preserve"> Republic of the Philippines  Province of Ilocos Sur Municipality of San Juan OFFICE OF THE BIDS AND AWARDS COMMITTEE INVITATION TO APPLY FOR ELIGIBILITY AND TO BID The Barangay Nagsupotan,San Juan,Ilocos Sur through the Bids and Awards Committee(BAC)invit</t>
  </si>
  <si>
    <t xml:space="preserve"> Republic of the Philippines Municipality of Bulusan Sorsogon OFFICE OF THE BIDS AND AWARDS COMMITTEE INVITATION TO APPLY FOR ELIGIBILITY AND TO BID THE MUNICIPAL GOVERNMENT OF BULUSAN, through its Bids and Awards Committee (BAC), invites Bidders to apply </t>
  </si>
  <si>
    <t xml:space="preserve"> Section I. Invitation to Bid Republic of the Philippines Province of Samar Municipality of Motiong Invitation to Bid for the Procurement of Infrastructure for the CONCRETING OF PATHWAY FROM BRGY. CAPAYSAGAN TO BRGY. MALONOY 1.	The Municipal Government of </t>
  </si>
  <si>
    <t xml:space="preserve"> Supply and On-Site Delivery of Small Farm Machinery (Set C) Combine Harvester Power requirement: Minimum of 50.74 W (68.05hp) Engine, Water-cooled stroke, 4 cylinder, diesel turbo   Fuel tank: minimum 85L  Battery: 12V  Axial flow type threshing Reaper Se</t>
  </si>
  <si>
    <t xml:space="preserve"> SUPPLY AND ON-SITE DELIVERY OF AGRI-INPUTS(VEGETABLES) For Municipality of Lambayong Seeds Pumpkin Superior quality F1 (250g) Eggplant (long, violet) F1 (25g ) String Beans (Long, green)  25g/ Green Pepper F1 200gram Okra (long smooth)  Fertilizers Urea (</t>
  </si>
  <si>
    <t xml:space="preserve"> Republic of the Philippines Province of Rizal MUNICIPALITY OF PILILLA BIDS AND AWARDS COMMITTEE Standard Form Number	   :	SF-GOOD-05 Contract Reference Number :	H-28-20 INVITATION TO APPLY FOR ELIGIBILITY AND TO BID                                        </t>
  </si>
  <si>
    <t xml:space="preserve"> Lot No.	Unit 	Item Description	Qty	Approved Budget for the Contract (Php) 		Small Farm Machineries (Set B)		 Lot 1	Unit	(39.5 hp) 4-Wheel Drive Tractor with Rotavator	3	2,910,000.00 Lot 2	Unit	(35.5 hp) 4-Wheel Drive Tractor with Rotavator	1	870,000.00 To</t>
  </si>
  <si>
    <t xml:space="preserve"> Item Description SUPPLY AND ON-SITE DELIVERY OF AGRI-INPUTS (RICE &amp; CORN) FOR THE MUNICIPALITY OF LAMBAYONG Agri Inputs for Rice Certified inbred seeds (2-RC 160; IR-226) 40kg Fertilizers Complete (14-14-14) 50kg Urea (46-0-0) 50kg Muriate of potash (0-0-</t>
  </si>
  <si>
    <t xml:space="preserve"> Supply and On-site Delivery of Non-Agri Inputs For Municipality of ESPERANZA Stainless steel scooper for rice and corn ; 10kg Shovel pointed (Wood Handle) Heavy duty Platform weighing scale ( min 500kg capacity with weighing blocks) Heavy Duty Plastic sac</t>
  </si>
  <si>
    <t xml:space="preserve"> 1. GENERAL REQUIREMENTS: 1.0 GENERAL INTENTION – It is the declared and acknowledged intention of the City Government to provide the public and complete Proposed Gora Lane Phase 1 along Doña Hemady Avenue (from 10th Street to Scout Chuatoco Street located</t>
  </si>
  <si>
    <t xml:space="preserve"> Standard Form Number: SF-INFRA-05 Revised on: July 28, 2004 INVITATION TO APPLY FOR ELIGIBILITY AND TO BID ITB No.: 0820-120 The LGU-TUBURAN, through its Bids and Awards Committee (BAC), invites suppliers/manufacturers/distributors/contractors to apply fo</t>
  </si>
  <si>
    <t xml:space="preserve"> Republic of Philippines Province of Quezon MUNICIPALITY OF REAL -oOo- BIDS AND AWARDS COMMITTEE INVITATION TO BID FOR  SUPPLY AND DELIVERY OF DAYCARE CENTER SCHOOL SUPPLIES 1.	The Municipal Government of Real, Quezon, through the Municipal General Fund CY</t>
  </si>
  <si>
    <t xml:space="preserve"> 354.74 ltrs. ADO														 107 ltrs. ADO														 260 ltrs. ADO														 145 ltrs. ADO														 383 ltrs. ADO														 28 ltrs. XLF														 10.50 ltrs. XCS														 108 ltrs. XLF														 31 ltrs. XCS														 </t>
  </si>
  <si>
    <t xml:space="preserve"> Republic of the Philippines                                                                  Province of Eastern Samar                                                                 Municipality of Balangkayan                                             </t>
  </si>
  <si>
    <t xml:space="preserve"> Lot 1	Desktop (Complete Set) 	Processor: minimum 6th gen 2.4GHz, 1MB (L2 Cache), 800MHz FSB 	Memory: 2GB DDR3 or Higher 	Hard Drive Disk:  Minimum 500 HDD or Higher 	Monitor: Minimum 16' 	Optical Drive: DVD RW 	O.S:  Genuine Windows, Windows 10 	Keyboard </t>
  </si>
  <si>
    <t xml:space="preserve"> 20GPG0002 - PURCHASE AND DELIVERY OF OFFICE SUPPLIES AND EQUIPMENT FOR USE OF PLANNING AND DESIGN SECTION, DPWH-IFUGAO FIRST DISTRICT ENGINEERING OFFICE</t>
  </si>
  <si>
    <t xml:space="preserve"> Standard Form Number: SF-INFRA-05 Revised on: July 28, 2004 INVITATION TO APPLY FOR ELIGIBILITY AND TO BID ITB No.: 0820-121 The LGU-TUBURAN, through its Bids and Awards Committee (BAC), invites suppliers/manufacturers/distributors/contractors to apply fo</t>
  </si>
  <si>
    <t xml:space="preserve"> Section I. Invitation to Bid Republic of the Philippines Province of Bukidnon MUNICIPALITY OF TALAKAG Invitation to Bid for Procurement of Construction Materials  (For Construction of Deepwell Tank, Brgy. 2 – Phase II) 1.	The Municipality of Talakag throu</t>
  </si>
  <si>
    <t xml:space="preserve"> Lot No.	Unit 	Item Description	Qty	Approved Budget for the Contract (Php) 		Small Farm Machineries (Set A)		 Lot 1	Unit	(Mobile)Travelling Rice Mill w/ Tractor &amp; Trailer	1	850,000.00 Lot 2	Unit	Rice Reaper	2	200,000.00 Lot 3	Unit	Corn Sheller	1	150,000.00</t>
  </si>
  <si>
    <t xml:space="preserve"> INVITATION TO BID (CW-08-2020-023) The Department of Public Works and Highways (DPWH)-Batangas IV District Engineering Office, Marawoy, Lipa City, Batangas, through its Bids and Awards Committee (BAC), invites contractors to bid for the contract listed be</t>
  </si>
  <si>
    <t xml:space="preserve"> INVITATION TO APPLY FOR ELIGIBILITY AND TO BID No. PAR INF-2020-05 The Municipal Government of Paranas, Samar through its Bids and Awards Committee (BAC), hereby invites Domestic Contractors, registered with and classified by the Philippine Contractors Ac</t>
  </si>
  <si>
    <t xml:space="preserve"> Republic of the Philippines Province of Negros Occidental Municipality of Ilog Invitation to bid for sale Amount:Php 1,000 Purchase of Risograph Equipments for reproduction of support instructional materials for Public Schools Under New Normal. RISO CV120</t>
  </si>
  <si>
    <t xml:space="preserve"> Republic of the Philippines Province of Leyte Municipality of Hilongos BARANGAY WESTERN POBLACION INVITATION TO BID FOR THE PROCUREMENT OF MATERIALS FOR REHABILITATION AND EXTENSION OF THE MULTI-PURPOSE BUILDING  1.  The Barangay Western Poblacion, throug</t>
  </si>
  <si>
    <t xml:space="preserve"> The Barangay Malalinta, Tuao Cagayan through its 20% Barangay Dev't Fund intends to apply the sum of Php 54,954.00 being the Approved Budget for the Contract (ABC) to payments under the contract for Procurement of Materials for the Construction of Comfort</t>
  </si>
  <si>
    <t xml:space="preserve"> Republic of  the Philippines Province of  Quezon Municipality of  Atimonan INVITATION TO BID 	The Barangay San Rafael of Atimonan thru the Bids and Awards Committee (BAC) invites interested suppliers/contractors to apply for eligibility screening and if s</t>
  </si>
  <si>
    <t xml:space="preserve"> Republic of the Philippines Province of Negros Occidental Municipality of Ilog Invitation to bid for sale Amount:Php 5,000 Purchase of IT Equipment for Accessing Data away from Home or Office, System Management, Works Projects/Programs Virtually and Repro</t>
  </si>
  <si>
    <t xml:space="preserve"> Republic of the Philippines Province of Negros Occidental Municipality of Ilog Invitation to bid for sale  Amount:Php 500 Purchase of Office Supplies for operation of Maintenance for Public Schools Under New Normal. Ilog, Neg. Occ. - Long bond paper Sub.2</t>
  </si>
  <si>
    <t xml:space="preserve"> 299  -  container  -  diesel fuel (32ltrs)/container 17  -  ltrs  -  brake fluid 1  -  pail  -  grease 2  -  barrel  -  oil 10 1  -  barrel  -  gear oil   1  -  barrel  -  oil 40 4  -  units  -  tire with flup 100x20 (dumptruck) 20  -  units  -  tire with</t>
  </si>
  <si>
    <t xml:space="preserve"> Item Description and Specification is Attached</t>
  </si>
  <si>
    <t xml:space="preserve"> The Bids &amp; Awards Committee (BAC) of Barangay Catang, Argao, Cebu, invites all interested suppliers/manufacturers/distributors/contractors/consultants to apply for eligibility and to submit bids for the following: DRILLING WORKS DIRECT COST: A. Materials:</t>
  </si>
  <si>
    <t xml:space="preserve"> Republic of the Philippines MUNICIPALITY OF SAN JACINTO San Jacinto, Pangasinan Bids and Awards Committee INVITATION TO BID (Construction of Multi-Purpose Covered Court in Brgy. San Vicente) 1.	The Municipal Government of San Jacinto, through the (20% LDF</t>
  </si>
  <si>
    <t xml:space="preserve"> SUPPLY AND ON-SITE DELIVERY OF AGRI-INPUTS (LIVESTOCK &amp; POULTRY) For Municipality of Lambayong Feeds  Livestock/Swine (Fattener) Weaning feeds Pre-starter Feeds Starter Feeds Grower Feeds Finisher Feeds Poultry (Chicken) 7 kinds Fighting Cock Feeds Starte</t>
  </si>
  <si>
    <t xml:space="preserve"> Section I. Invitation to Bid Republic of the Philippines Province of Sultan Kudarat Municipality of Bagumbayan BLGU-TUKA Bagumbayan, Sultan Kudarat INVITATION TO BID FOR THE PROCUREMENT OF VARIOUS MATERIALS FOR KABUHAYAN STARTER KIT ( NEGO KART) UNDER DOL</t>
  </si>
  <si>
    <t xml:space="preserve"> Procurement of Ambulance.Brand New Transmission: 5-speed Manual (Dash Mounted) Displacement: 2,488 cc, Max-Output (HP): 129HP @ 3,200 rpm,Max Torque (nm): 356 nm @2,000rpm EURO 4 Compliance: Diesel Engine Type: Body Dimension: Lenghtof Body :        4865m</t>
  </si>
  <si>
    <t xml:space="preserve"> INVITATION TO BID FOR IMPLEMENTATION OF "TV ARALAN" SERIES UNDER RETOOLED COMMUNITY SUPPORT PROGRAM (RCSP)</t>
  </si>
  <si>
    <t xml:space="preserve"> Republic of Philippines Province of Quezon MUNICIPALITY OF REAL -oOo- BIDS AND AWARDS COMMITTEE INVITATION TO BID FOR  SUPPLY AND DELIVERY OF PRINTING EQUIPMENT AND MATERIALS FOR PRINTING OF LEARNING RESOURCES FOR NEW NORMAL APPROACH 1.	The Municipal Gove</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</si>
  <si>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</si>
  <si>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Province of Samar MUNICIPALITY OF MARABUT INVITATION to BID for  CONSTRUCTION OF PUBLIC CEMETERY, PHASE II  	 1.	The Municipal Government of Marabut, through its 20% Development Fund intends to apply the sum of Five Million Pes</t>
  </si>
  <si>
    <t xml:space="preserve"> OFFICE OF THE BIDS AND AWARDS COMMITTEE INVITATION TO BID NO. 116-20 Name of Project: Procurement of Hardware Materials used for Construction Rehabilitation of A. Taruc, Socorro, SDN Source of Funds: Mun. 20% Development Fund The Municipality of Socorro t</t>
  </si>
  <si>
    <t xml:space="preserve"> National Power Corporation INVITATION TO BID PUBLIC BIDDING 2020-0284 1.	The NATIONAL POWER CORPORATION (NPC), through       its        approved       Corporate Budget of CY 2020 intends to apply   the   sum   of (Please see schedule below) being the Appr</t>
  </si>
  <si>
    <t xml:space="preserve"> The ZAMBOANGA CITY STATE POLYTECHNIC COLLEGE through its Bids and Awards Committee (BAC) is inviting PHILGEPS registered suppliers to apply for eligibility and to submit bids for the items listed below: 1.	THW wire, 200mm2, (240mtrs/roll) (720 meters) 2.	</t>
  </si>
  <si>
    <t xml:space="preserve"> Republic of the Philippines MUNICIPALITY OF SAN JACINTO San Jacinto, Pangasinan Bids and Awards Committee INVITATION TO BID (Construction of Multi-Purpose Center in Brgy. Capaoay – Phase II) 1.	The Municipal Government of San Jacinto, through the (20% LDF</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</si>
  <si>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</si>
  <si>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Construction of Masonry Drainage Structure, Along Pagulayan Street, Ugac Norte, Tuguegarao City</t>
  </si>
  <si>
    <t xml:space="preserve"> Republic of the Philippines Province of Lanao del Norte Municipality of Tubod OFFICE OF THE BIDS AND AWARDS COMMITTEE INVITATION TO BID PWS DRILLING PRODUCTION DEEP WELL Sitio Dalsan, Barangay Kalilangan, Tubod, Lanao del Norte  (ITB-2020-JDL-018 Re-Bid) </t>
  </si>
  <si>
    <t xml:space="preserve"> Construction of Masonry Drainage Structure, Along Iringan Street - Bariuan Alley (Interior Road), Ugac Norte, Tuguegarao City</t>
  </si>
  <si>
    <t xml:space="preserve"> Republic of the Philippines MUNICIPALITY OF SAN JACINTO San Jacinto, Pangasinan Bids and Awards Committee INVITATION TO BID (Road Widening going to Senior High School in Brgy. Capaoay) 1.	The Municipal Government of San Jacinto, through the (SIP # 1 CY-20</t>
  </si>
  <si>
    <t xml:space="preserve"> Construction of Masonry Drainage Structure, Along Iringan Street - Sacramento Alley (Interior Road), Ugac Norte, Tuguegarao City</t>
  </si>
  <si>
    <t xml:space="preserve"> The Barangay Malalinta, Tuao Cagayan through its Department of Agriculture Fund intends to apply the sum of Php 212,567.00.00 being the Approved Budget for the Contract (ABC) to payments under the contract for Construction of Multi-Purpose Drying Pavement</t>
  </si>
  <si>
    <t xml:space="preserve"> 1.	The Barangay Local Government Unit (BLGU) of Tubo-tubo – Bids and Awards Committee (BAC) invites bids for the Construction/ Repair of LEVEL III Potable Water System (“the Project”), detailed as follows: 	Brief Description			: Construction/ Repair of LE</t>
  </si>
  <si>
    <t xml:space="preserve"> Republic of the Philippines MUNICIPALITY OF SAN JACINTO San Jacinto, Pangasinan Bids and Awards Committee INVITATION TO BID (Construction of Slope Protection in Brgy. Capaoay) 1.	The Municipal Government of San Jacinto, through the (20% LDF CY-2020) inten</t>
  </si>
  <si>
    <t xml:space="preserve"> Two (2) Units High Volume Low Speed (HVLS) Fan Powered by:	Computer Control						 Computer Box:	Powerful Variable Frequency Driver (VFD)						 Blade Material:	Cold forged external clamp wing						 Diameter:		24 ft. (7.3m)						 No. of Blades:	6 pcs.						</t>
  </si>
  <si>
    <t xml:space="preserve"> OFFICE OF THE BIDS AND AWARDS COMMITTEE INVITATION TO BID NO. 117-20 Name of Project: Procurement of Aggregates used for Construction Rehabilitation of A. Taruc, Socorro, SDN Source of Funds: Mun. 20% Development Fund The Municipality of Socorro through t</t>
  </si>
  <si>
    <t xml:space="preserve"> Republic of the Philippines Province of Eastern Samar  Municipality of Llorente Invitation to Bid for Supply and Delivery of Assorted Office/Other Supplies and Materials 1.	The Local Government of Llorente, through the Budget Approved by the Respective Sa</t>
  </si>
  <si>
    <t xml:space="preserve"> Republic of the Phillipines					 DEPARTMENT OF PUBLIC WORKS AND HIGHWAYS					 ZAMBOANGA DEL SUR					 1st District Engineering Office					 REGION IX					 Pagadian City					 					 				          NOTICE No.: 20-12	 				                DATE: August 12, 2020	 	</t>
  </si>
  <si>
    <t xml:space="preserve"> Republic of the Philippines Province of Southern Leyte MUNICIPALITY OF SAINT BERNARD BIDS AND AWARDS COMMITTEE INVITATION TO RE-BID FOR SUPPLY AND DELIVERY OF RESCUE EQUIPMENT BAC-SBSL-MDRRMO-2020-015A 1.	The Municipality of Saint Bernard, Southern Leyte,</t>
  </si>
  <si>
    <t xml:space="preserve"> INVITATION TO BID FOR  SUPPLY &amp; DELIVERY OF VARIOUS CONSTRUCTION MATERIALS FOR THE IMPROVEMENT OF PALAY DRYING PLANT &amp; WAREHOUSE FACILITY, BRGY. UNZAD, VILLASIS, PANGASINAN 1.	The Local Government of Villasis, Pangasinan, thru TET 2013, intends to apply t</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</si>
  <si>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</si>
  <si>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PURCHASE AND DELIVERY OF MATERIALS FOR THE CONSTRUCTION OF MOTORPOOL AND WAREHOUSE PHASE IX, BRGY. SAN JOSE DINGLE, ILOILO</t>
  </si>
  <si>
    <t xml:space="preserve"> Republic of the Philippines Province of Southern Leyte MUNICIPALITY OF LIMASAWA -o0o- Bids and Awards Committee Invitation to Bid for the Construction of Eco Green Park Perimeter Fence  Cabulihan, Limasawa Southern Leyte  1.	The Local Government Unit of L</t>
  </si>
  <si>
    <t xml:space="preserve"> 1	- UNIT  - COPIER BASIC FEATURES: - DIGITAL A3 COPIER/PRINTER/SCANNER -	SPEED OF 18 COPIES/PRINTS PER MINUTE ON A4 -	PAPER SIZE IS FROM A5(5.83x8.27) TO A3 (11X17) -	MONTHLY DUTY CYCLE OF 20,000 COPIES -	RESOLUTION OF 600X600 DPI, 256 GRAYSCALE LEVEL -	2</t>
  </si>
  <si>
    <t xml:space="preserve"> Invitation to Bid for the Concreting of Roadway Shoulder The Barangay of Banbanon, San Francisco, Surigao del Norte, through the 20% Development Fund of CY 2020 intends to apply the sum of Two Hundred Thousand Pesos (P 200,000.00) being the Approved Budge</t>
  </si>
  <si>
    <t xml:space="preserve"> Lot 1-Swine (piglets) 1.	250	Heads	Breeder piglets (Female) 			atleast 10kg. Bodyweight, 30 to 40 days old 			Dewormed &amp; hog Cholera Vaccinated Apparently healthy without deformities Free delivery &amp; replacement for stock mortalities 5 days post delivery 2</t>
  </si>
  <si>
    <t xml:space="preserve"> OFFICE OF THE BIDS AND AWARDS COMMITTEE INVITATION TO BID NO. 118-20 Name of Project: Procurement of Lumber &amp; Aggregates used for Repair/ Improvement of Tourism Hub/ Waiting Area @ Brgy. Navarro, Socorro, SDN Source of Funds: Mun. 20% Development Fund The</t>
  </si>
  <si>
    <t xml:space="preserve"> The Barangay Malalinta, Tuao Cagayan through its Calamity Fund intends to apply the sum of    Php 60,000.00 being the Approved Budget for the Contract (ABC) to payments under the contract for Purchased and Delivery of 1 Unit Chainsaw. Bids received in exc</t>
  </si>
  <si>
    <t xml:space="preserve"> The Barangay Naruangan, Tuao Cagayan through its Barangay Dev't Fund intends to apply the sum of Php 94,757.00 being the Approved Budget for the Contract (ABC) to payments under the contract for Purchased of Materials for the Construction of Drainage Cana</t>
  </si>
  <si>
    <t xml:space="preserve"> Republic of the Philippines MUNICIPALITY OF SAN JACINTO San Jacinto, Pangasinan Bids and Awards Committee INVITATION TO BID Inabaan Catering Services Project 1.	The Municipal Government of San Jacinto, through the Trust Fund / DOLE Livelihood Project  int</t>
  </si>
  <si>
    <t xml:space="preserve"> 1.	The Municipality of Esperanza, intends to apply the sum of Two Hundred Eighty-Seven Thousand Seven Hundred Eighty Pesos Only (Php287,780.00) being the Approved Budget for the Contract (ABC) to payments under the contract for Supply &amp; Delivery of Variou</t>
  </si>
  <si>
    <t xml:space="preserve"> Republic of the Philippines DEPARTMENT OF PUBLIC WORKS AND HIGHWAYS OFFICE OF THE DISTRICT ENGINEER     Las Pinas-Muntinlupa District Engineering Office  2nd Street, Port Area, Manila INVITATION TO BID No. 023 1.	The Department of Public Works and Highway</t>
  </si>
  <si>
    <t xml:space="preserve"> 500       booklets            ECCD CHECKLIST BOOKLET           100.00             50,000.00                                                                                                     Total: 50,000.00</t>
  </si>
  <si>
    <t xml:space="preserve"> TABLET - 12 unit *Cost-effective tablet which has 2 in 1 design both laptop and tablet *Windows 10 Home OS *Powered by Intel Celeron N4100 4-core processor *Rear-Facing + front dual camera *Dual band 2.4GHz / 5.0GHz wifi supported *3.8V/26600mWh battery *</t>
  </si>
  <si>
    <t xml:space="preserve"> MUNICIPAL BIDS AND AWARDS COMMITTTEE INVITATION TO BID                                                                                                      PROCUREMENT OF VULCANIZING &amp; CARWASH SUPPLIES  AND MOTOR PARTS    										 August 12,2020     1. </t>
  </si>
  <si>
    <t xml:space="preserve"> Invitation to Bid 									August 12, 2020 	 1.	 The Municipal Government of Tinoc through the Bids and Awards Committee advertised an Invitation to bid for the Purchase of One (1) Unit Wheeled Backhoe   funded under the Year 2020 Annual Budget – 20% Loca</t>
  </si>
  <si>
    <t xml:space="preserve"> INVITATION TO BID FOR  SUPPLY &amp; DELIVERY OF COMPUTERIZED INTEGRATED OFFICE MANAGEMENT SYSTEM FOR SANGGUNIANG BAYAN IN THIS MUNICIPALITY, LGU VILLASIS, PANGASINAN 	 		 1.	The Local Government of Villasis, Pangasinan, thru ICT Fund, intends to apply the sum</t>
  </si>
  <si>
    <t xml:space="preserve"> Republic of the Philippines Province of Cebu MUNICIPALITY OF DAANBANTAYAN Bids and Awards Committee E-mail address: bac.daanbantayan@gmail.com |Contact no.: (032) 437-8144 ITB No.: PB-2020-08-46 Invitation to Bid for the Supply and Delivery of Materials f</t>
  </si>
  <si>
    <t xml:space="preserve"> Name of Projects: Improvement of Marag Evacuation Center --------------------------------------------- 291,363.36 Location: Marag, luna, Apayao Excavation/Dredging/Construction of Retaining Wall along Zumigui Creek ------------- 981,373.42 Location: Zumig</t>
  </si>
  <si>
    <t xml:space="preserve"> OFFICE OF THE BIDS AND AWARDS COMMITTEE INVITATION TO BID NO. 120-20 Name of Project: Supply &amp; Installation of Wooden Doors &amp; Aluminum Glass Window used for Repair/ Improvement of Tourism Hub/ Waiting Area @ Brgy. Navarro, Socorro, SDN Source of Funds: Mu</t>
  </si>
  <si>
    <t xml:space="preserve"> 1.     625   BOXES    FERROUS SULFATE WITH FOLIC ACID  2.     100    BOXES   MULTIVITAMINS (ENOVIM-OB) APPROVED BUDGET FOR THE CONTRACT: PHP 225,000.00 LOCATION OF THE CONTRACT: BATARAZA, PALAWAN DURATION OF THE CONTRACT: 7 DAYS SCHEDULE OF ACTIVITIES: PO</t>
  </si>
  <si>
    <t xml:space="preserve"> The Municipal Government of Aloguinsan invites prospective bidders to bid for the project Supply and Delivery of 4 in 1 Heavy Duty Printer/ Photocopier for SEF Source of Fund: SPECIAL EDUCATION FUND ABC: Php 288,000.00 The complete schedule of activities </t>
  </si>
  <si>
    <t xml:space="preserve"> Republic of the Philippines Province of Oriental Mindoro Municipality of Bulalacao INVITATION TO BID FOR  Office Supplies (SEF)   1.	The Municipality of Bulalacao, through the Special Education Fund intends to apply the sum of Five Hundred Twenty Three Th</t>
  </si>
  <si>
    <t xml:space="preserve"> Kindly refer to the uploaded ITB &amp; PBD in the Associated Components, or proceed to https://philguarantee.gov.ph/procurements/requests-and-invitations/2020-2/ For inquiries, please contact Atty. Ronces Anne Reyes-De Leon at 8-897-3531/ 8-890-4534 or rardel</t>
  </si>
  <si>
    <t xml:space="preserve"> Invitation to Bid for the Construction / Repair of Barangay Gymnasium Roofing The Barangay Magtangale, San Francisco, Surigao del Norte, through the Financial Assistance from the Provincial Government intends to apply the sum of Five Hundred Thousand Peso</t>
  </si>
  <si>
    <t xml:space="preserve"> I. Carpentry I.1 Ceiling Joist and Boards  146.21 sq.m I.2 Doors and Windows LS LS I.3 Scaffolding LS LS II. CHB Laying and Plastering 335.26 sq.m III. Reinforced Concrete Stairs LS LS IV. Tileworks 87.81 sq.m V. Railings LS LS VI. Electrical LS LS VII. S</t>
  </si>
  <si>
    <t xml:space="preserve"> Republic of the Philippines MUNICIPALITY OF ECHAGUE Province of Isabela INVITATION TO BID FOR  THE  PROCUREMENT OF   GADGETS ( TABLETS)    1.	The Local Government Unit , through  the   GENERAL   FUND ( LBP Loan)  Of  2020  intends to apply the sum of  FOR</t>
  </si>
  <si>
    <t xml:space="preserve"> Republic of the Philippines Province of Ilocos Sur Office of the bids and awards committee MUNICIPALITY OF MAGSINGAL   INVITATION TO BID The LGU – MAGSINGAL, through the Bids and Awards Committee (BAC), invites PhilGEPS registered suppliers/contractors to</t>
  </si>
  <si>
    <t xml:space="preserve"> Rehabilitation and improvement of slaughter house</t>
  </si>
  <si>
    <t xml:space="preserve"> 1.	The Municipal Government of Talisayan, through the SHARE OF LGU’S COLLECTED TOBACCO EXCISE TAX 2020 intends to apply the sum of P5,397,133.32 being the Approved Budget for the Contract (ABC) to payments under the CONCRETING OF 500l.m. Farm to Market Ro</t>
  </si>
  <si>
    <t xml:space="preserve"> 1.	The Municipality of Esperanza, intends to apply the sum of Four Hundred Eighty Five Thousand Nine Hundred Ninety Four Pesos &amp; 08 centavo  (Php485,994.08) being the Approved Budget for the Contract (ABC) to payments under the contract for Supply &amp; Deliv</t>
  </si>
  <si>
    <t xml:space="preserve"> OFFICE OF THE BIDS AND AWARDS COMMITTEE INVITATION TO BID NO. 122-20 Name of Project: Procurement of Stone Tile Roofing used for Repair/ Improvement of Tourism Hub/ Waiting Area @ Brgy. Navarro, Socorro, SDN Source of Funds: Mun. 20% Development Fund The </t>
  </si>
  <si>
    <t xml:space="preserve"> Item 1002: Piping &amp; Fitting Works</t>
  </si>
  <si>
    <t xml:space="preserve"> INVITATION TO BID The Municipal Government of Nampicuan, through its Bids and Awards Committee (BAC), invites Contractors to apply for eligibility and to bid for the hereunder projects: Name of Project	                              Approved Budget of the </t>
  </si>
  <si>
    <t xml:space="preserve"> 1.	The Municipal Government of Talisayan, through 20% MDF 2020 intends to apply the sum of P392,600.00 being the Approved Budget for the Contract (ABC) to payments under the CONCRETING MATERIALS OF ACCESS ROAD TO ELEMENTARY SCHOOL, PELAEZ ST.-BY PASS ROAD</t>
  </si>
  <si>
    <t xml:space="preserve"> Name of Project	:	Procurement of Security Services 2020 Location		:	        MHARSMC, Mindog, Maningcol, Ozamiz City Brief Description	:	Security Services  Approved Budget for the Contract	:	Php 4,620,000.00 total or corporate budget (please refer to the l</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</si>
  <si>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</si>
  <si>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10 cu. m. Collection Tank ***Please see attached electronic file for details.</t>
  </si>
  <si>
    <t xml:space="preserve"> OFFICE OF THE BIDS AND AWARDS COMMITTEE INVITATION TO BID NO. 124-20 Name of Project: Procurement of Hardware Materials used for Completion of Salog-Busay Access Road @ Brgy. Salog, Socorro, SDN Source of Funds: Mun. 20% Development Fund The Municipality </t>
  </si>
  <si>
    <t xml:space="preserve"> Republic of the Philippines Zamboanga Peninsula Department of Health Basilan General Hospital Isabela City, Basilan 7300                                                          INVITATION TO BID FOR                                           Procurement o</t>
  </si>
  <si>
    <t xml:space="preserve"> OFFICE OF THE BIDS AND AWARDS COMMITTEE INVITATION TO BID NO. 123-20 Name of Project: Procurement of Lumber &amp; Aggregates used for Completion of Salog-Busay Access Road @ Brgy. Salog, Socorro, SDN Source of Funds: Mun. 20% Development Fund The Municipality</t>
  </si>
  <si>
    <t xml:space="preserve"> 1. 100  SACKS  RICE 2. 101  KLS.  CHICKEN 3. 18 TRAY  EGGS 4. 200 CANS  CORN BEEF 5. 200 CANS  SARDINES 6. 30  BOTS. COOKING OIL (1.5 LITERS/BOTS.) 7. 100 BOTS.  SOY SPOUCE 8. 50  KLS. ONION 9.  50 KLS.  GARLIC 10.  30  BAGS SEASONINGS 11. 25  KLS.  SALT </t>
  </si>
  <si>
    <t xml:space="preserve"> OFFICE OF THE BIDS AND AWARDS COMMITTEE INVITATION TO BID NO. 122-20 Name of Project: Procurement of Fuel &amp; Lubricants used for Completion of Salog-Busay Access Road @ Brgy. Salog, Socorro, SDN Source of Funds: Mun. 20% Development Fund The Municipality o</t>
  </si>
  <si>
    <t xml:space="preserve"> CONSTRUCTION OF 1.0 UNIT BARANGAY ISOLATION UNIT WITH 10.0 UNITS ROOMS, 2 UNITS BATHROOMS, 2 UNITS TOILETS AND PERIMETER FENCE.</t>
  </si>
  <si>
    <t xml:space="preserve"> 1.   7,142.85   LITERS   DIESEL APPROVED BUDGET FOR THE CONTRACT: PHP 399,999.60 LOCATION OF THE CONTRACT: BATARAZA, PALAWAN DURATION OF THE CONTRACT: 7 DAYS SCHEDULE OF ACTIVITIES: POSTING AND ISSUANCE OF BIDS: AUGUST 13-25, 2020 PRE-BID CONFERENCE :- DE</t>
  </si>
  <si>
    <t xml:space="preserve"> *Bids received in excess of the ABC shall be automatically rejected at bid opening. 2. Bidding will be conducted through an open competitive bidding procedure using non-discretionary pass/fail criterion as specified in the Revised Implementing Rules and R</t>
  </si>
  <si>
    <t xml:space="preserve"> 160 meters concreting; 6 meters in width; 0.20 meters in thickness; class "A" concrete mixture.</t>
  </si>
  <si>
    <t xml:space="preserve"> Republic of the Philippines  Province of Samar  Municipality of Villareal     INVITATION TO BID    CONSTRUCTION OF LEVEL III WATER SUPPLY SYSTEM (Installation of Transmission Line from the water source in the Municipality of Calbiga, Samar to the Tapping </t>
  </si>
  <si>
    <t xml:space="preserve"> Procurement of Office Supplies</t>
  </si>
  <si>
    <t xml:space="preserve"> Procurement of Food Supplies</t>
  </si>
  <si>
    <t xml:space="preserve"> Please see attached Bidding Documents</t>
  </si>
  <si>
    <t xml:space="preserve"> Procurement of Office Equipment (ACU)</t>
  </si>
  <si>
    <t xml:space="preserve"> Procurement of Other Supplies</t>
  </si>
  <si>
    <t xml:space="preserve"> Republic of the Philippines Zamboanga Peninsula Department of Health Basilan General Hospital Isabela City, Basilan 7300 INVITATION TO BID FOR                Procurement of Supply, Delivery, Testing and Commissioning of GAS FLOW ANALYZER                  </t>
  </si>
  <si>
    <t xml:space="preserve"> INVITATION TO APPLY FOR ELIGIBILITY AND TO BID  One (1) Lot Geotechnical Equipment   ITB No. 2020-08-008 P.R. No. 2020-07-184 1.	The Mines and Geosciences Bureau, through the General Appropriations Act (GAA) for CY 2020 intends to apply the sum correspond</t>
  </si>
  <si>
    <t xml:space="preserve"> SUPPLY AND DELIVERY OF FOUR (4) UNITS MULTI-CAB</t>
  </si>
  <si>
    <t xml:space="preserve"> OFFICE OF THE BIDS AND AWARDS COMMITTEE INVITATION TO BID NO. 119-20 Name of Project: Supply &amp; Installation of Signage used for Repair/ Improvement of Tourism Hub/ Waiting Area @ Brgy. Navarro, Socorro, SDN Source of Funds: Mun. 20% Development Fund The M</t>
  </si>
  <si>
    <t xml:space="preserve"> HRMO 1 LOT Consultancy Services to implement Organizational Assessment of the City Government of Davao - Phase 1 for its current organizational structure within a period of six (6) months. Project implementation Period is six (6) months. * The project aim</t>
  </si>
  <si>
    <t xml:space="preserve"> QTY      UNIT      DESCRIPTION 20       PCS      PRINTER  60       PCS      INK REFILL SET 275     REAMS  LONG BOND PAPER X X X X X NOTHING  FOLLOWS X X X X</t>
  </si>
  <si>
    <t xml:space="preserve"> OFFICE OF THE BIDS AND AWARDS COMMITTEE INVITATION TO BID NO. 125-20 Name of Project: Procurement of Hardware Materials used for Road Concreting of Purok 1 @ Brgy. Sta. Cruz, Socorro, SDN Source of Funds: Brgy. 20% Development Fund The Municipality of Soc</t>
  </si>
  <si>
    <t xml:space="preserve"> INVITATION TO BID The Municipal Government of San Francisco, through the Support to MPOC Secretariat program of the Peace and Order Fund of CY 2020 intends to apply the sum of Php 250,000.00, being the Approved Budget for the Contract (ABC) to payments un</t>
  </si>
  <si>
    <t xml:space="preserve"> Municipal Government of Balud 							                               INFRA – 03- 2020 					                                                       Rehab/Improvement of Lumocab Bridge 							 			                                      Baybay, Balud, Masbate  S</t>
  </si>
  <si>
    <t xml:space="preserve"> VICE MAYOR'S OFFICE 1 UNIT Vehicles, Brand New Pick-up Type four (4) doors, Four Wheel Drive (4WD), Diesel Engine, Manual Transmission with Aircon, 4x2 MT with markings (City Government of Davao standard Logo &amp; Davao Life is Here), Color: Black 1 UNIT Veh</t>
  </si>
  <si>
    <t xml:space="preserve"> DISINFECTION AND SANI5IZATION SERVICES FOR MUNICIPAL HALL, RURAL HEALTH CENTER, ISOLATION FACILITIES AND OTHER GOVERNMENT ENTITIES INCLUDING HOUSE OF COVID 19 POSITIVE PATIENT (ONE MONTH) 1.	The Local Government Unit of Mauban through the GENERAL FUND-161</t>
  </si>
  <si>
    <t xml:space="preserve"> Tarpaulin 3x4 10pcs</t>
  </si>
  <si>
    <t xml:space="preserve"> SUPPLY AND DELIVERY OF RESCUE TOOLS AND EQUIPMENT (LIGHTING AND COLLAPSE STRUCTURE) 1.	The Local Government Unit of Mauban through the GENERAL FUND-9999/cont/1-0-05-090, 2020 intends to apply the sum of Three hundred ninety one thousand pesos (Php 391,000</t>
  </si>
  <si>
    <t xml:space="preserve"> CMO/CITY INFORMATION &amp; PRODUCTION DIVISION 1 UNIT Motor Vehicle (4 Wheels, Van type) for Byaheng DO30 TV Production Crew A. Engine Specification: Engine Technology - 4 cylinders, In-line type Type - 16 Valve DOHC Displacement - at least 2,755cc Maximum Ou</t>
  </si>
  <si>
    <t xml:space="preserve"> 1.	4	sets	Anti HCV 400 Test w/ control calibrator 2.	4	sets	Anti TP 400 Test w/ control calibrator 3.	4	sets	HBsAg  400 Test w/ control calibrator 4.	4	sets	HIV 400 Test w/ control calibrator 5.	4	box	Pre-Trigger Solution (ARC) 4 bottles/box 975 ml/bottle</t>
  </si>
  <si>
    <t xml:space="preserve"> INVITATION TO BID 	 The Municipality of Liloan, Southern Leyte through its Bids and Awards Committee (BAC), invites suppliers/manufacturers/distributors/contractors to bid for the following: 1.	Procurement of IT Equipments, Office Supplies and Accessories</t>
  </si>
  <si>
    <t xml:space="preserve"> OFFICE OF THE BIDS AND AWARDS COMMITTEE INVITATION TO BID NO. 126-20 Name of Project: Procurement of Aggregates used for Road Concreting of Purok 1 @ Brgy. Sta. Cruz, Socorro, SDN Source of Funds: Brgy. 20% Development Fund The Municipality of Socorro thr</t>
  </si>
  <si>
    <t xml:space="preserve"> Republic of the Philippines ANGELES CITY WATER DISTRICT Pampang Road, Brgy. Lourdes Northwest, Angeles City   (045) 458-0384; (045) 458-0382; (045) 458-0372  (045)322-6422; (045)458-0371, Fax No.: (045)322-6926 E-mail address:  angelescitywd@gmail.com Web</t>
  </si>
  <si>
    <t xml:space="preserve"> Republic of the Philippines												 City of San Carlos												 Negros Occidental												 												 			INVITATION TO BID							FOR SALE	 			PURCHASE REQUEST NO: 4-20-07-0878			P 2,742.00	 Sealed bids for quotation of prices will be received </t>
  </si>
  <si>
    <t xml:space="preserve"> Section I. Invitation to Bid Republic of the Philippines Province of Sultan Kudarat Municipality of Bagumbayan OFFICE OF THE BIDS AND AWARDS COMMITTEE Bagumbayan, Sultan Kudarat INVITATION TO BID FOR PROCUREMENT FOR THE SUPPLY OF VARIOUS I.T EQUIPMENT 1.	</t>
  </si>
  <si>
    <t xml:space="preserve"> CID No. 20IC0079:  Concreting of Brgy. Veteranos FMR, Brgy. Veteranos, Alangalang, Leyte;  ABC: P12,935,000.00; 66 CD ACTIVITY	TIME	PLACE 1.  Issuance/Downloading of       Bidding Documents	August 12 – September 1, 2020	Hard copies at BAC Secretariat; DPW</t>
  </si>
  <si>
    <t xml:space="preserve"> BIDS AND AWARDS COMMITTEE OF BRGY. FIRST DISTRICT, GAINZA, CAMARINES SUR INVITES BIDDERS FOR  THE PROCUREMENT OF HARDWARE MATERIALS FOR CONCRETE SHOULDERING OF BARANGAY ROAD AS SPECIFIED IN THE ITB.</t>
  </si>
  <si>
    <t xml:space="preserve"> Republic of the Philippines Province of La Union Municipality of Luna BARANGAY NAPASET Bids and Awards Committee INVITATION TO BID FOR PURCHASE AND DELIVERY OF BRAND-NEW AMBULANCE 1.	The Barangay Government of Napaset, Luna, La Union through the 20% DEVEL</t>
  </si>
  <si>
    <t xml:space="preserve"> INVITATION TO APPLY FOR ELIGIBILITY AND TO BID  One (1) Lot Information Technology   ITB No. 2020-08-011 P.R. No. 2020-06-186 1.	The Mines and Geosciences Bureau, through the General Appropriations Act (GAA) for CY 2020 intends to apply the sum correspond</t>
  </si>
  <si>
    <t xml:space="preserve"> 1.   501   BOTS.   MULTIVITAMINS WITH IRON(DROPS) 2.   500   BOTS.   ZINC SULFATE(60ML) 3.  500    BOTS.   FERROUS SULFATE(60ML) 4. 200     BOTS.   MULTIVITAMINS(250ML) 5.  200    BOTS.    ZINC SULFATE(250ML) 6.  200   BOTS.  FERROUS SULFATE (250ML) APPRO</t>
  </si>
  <si>
    <t xml:space="preserve"> Procurement of Printing and Publication</t>
  </si>
  <si>
    <t xml:space="preserve"> OFFICE OF THE BIDS AND AWARDS COMMITTEE INVITATION TO BID NO. 128-20 Name of Project: Procurement of Lumber &amp; Aggregates used for Road Concreting of Brgy. Streets @ Brgy. Rizal, Socorro, SDN Source of Funds: Brgy. 20% Development Fund The Municipality of </t>
  </si>
  <si>
    <t xml:space="preserve"> CENRO 192 SET/S Tires 11.00 x 20, 18 ply, Tube Type, with Inner Tube and Flaps, Lug type For Isuzu Garbage Compactor Trucks with Plate Nos. 153528, 153532, 153525, 153510, 153500, 153486, 153522, SKL-537, SKL-539, SHE-713, 153506, 153518, 153504) x 10 For</t>
  </si>
  <si>
    <t xml:space="preserve"> VICE MAYORS OFFICE 1 UNIT Vehicles, Brand New Van Type four (4) doors, Four Wheel Drive (4WD), Diesel Engine, Manual Transmission with Aircon with markings (City Government Of Davao standard Logo &amp; Davao Life is Here), Color: Black Please see attached fil</t>
  </si>
  <si>
    <t xml:space="preserve"> CID No. 20IC0080:  Concreting of Brgy. Arado FMR, Brgy. Arado, Palo, Leyte;  ABC: P11,940,000.00; 66 CD ACTIVITY	TIME	PLACE 1.  Issuance/Downloading of       Bidding Documents	August 12 – September 1, 2020	Hard copies at BAC Secretariat; DPWH, Leyte 1st D</t>
  </si>
  <si>
    <t xml:space="preserve"> 1.   344  GALS. PAINT APPROVED BUDGET FOR THE CONTRACT: PHP 259,720.00 LOCATION OF THE CONTRACT: BATARAZA, PALAWAN DURATION OF THE CONTRACT: 7 DAYS SCHEDULE OF ACTIVITIES: POSTING AND ISSUANCE OF BIDS: AUGUST 13-25, 2020 PRE-BID CONFERENCE :- DEADLINE FOR</t>
  </si>
  <si>
    <t xml:space="preserve"> CID No. 20IC0081:  Concreting of Sitio Caulanghan, Brgy. Barayong FMR, Brgy. Barayong, Palo, Leyte;  ABC: P11,940,000.00; 61 CD ACTIVITY	TIME	PLACE 1.  Issuance/Downloading of       Bidding Documents	August 12 – September 1, 2020	Hard copies at BAC Secret</t>
  </si>
  <si>
    <t xml:space="preserve"> Republic of the Philippines PROVINCE OF NUEVA VIZCAYA 2nd Invitation to Bid for the REHABILITATION/IMPROVEMENT OF PRAYERS AND FAITH SIGNAGE Located at Capitol Cpd., Bayombong, Nueva Vizcaya  1.	The Provincial Government of Nueva Vizcaya, through the PGSO </t>
  </si>
  <si>
    <t xml:space="preserve"> OFFICE OF THE BIDS AND AWARDS COMMITTEE INVITATION TO BID NO. 127-20 Name of Project: Procurement of Hardware Materials used for Road Concreting of Brgy. Streets @ Brgy. Rizal, Socorro, SDN Source of Funds: Brgy. 20% Development Fund The Municipality of S</t>
  </si>
  <si>
    <t xml:space="preserve"> Procurement of Training Supplies</t>
  </si>
  <si>
    <t xml:space="preserve"> Invitation to Bid for Construction of Transmitter Tower at Molino III 1.	The City Government of Bacoor, Cavite, through the APP No. GF -03-2020 intends to apply the sum of SIX MILLION PESOS AND ZERO CENTAVO(PhP6,000,000.00) being the Approved Budget for t</t>
  </si>
  <si>
    <t xml:space="preserve"> CITY ECONOMIC ENTERPRISE  2 UNITS VEHICLE (4-Wheels), Brand New and Latest Model, 4 x 4 Double Cabin Dropside, with Aircon 4 Engine and complete set of tools  LTO registration (Davao City Office) and GSIS Insurance, with  Three (3) years warranty on parts</t>
  </si>
  <si>
    <t xml:space="preserve"> Republic of the Philippines PROVINCE OF NUEVA VIZCAYA Invitation to Bid for the  CONSTRUCTION OF UBINA-CABANTAC FTMR Located at Mabuslo, Bambang, Nueva Vizcaya  1.	The Provincial Government of Nueva Vizcaya, through the Provincial Share on ER 1 -94 (SN Ab</t>
  </si>
  <si>
    <t xml:space="preserve"> CID No. 20IC0084:  Const. of Two-Storey, Six-Classroom School Building, San Jose Elementary School, Palo, Leyte;  ABC: P14,404,483.72; 164 CD ACTIVITY	TIME	PLACE 1.  Issuance/Downloading of       Bidding Documents	August 12 – September 1, 2020	Hard copies</t>
  </si>
  <si>
    <t xml:space="preserve"> METRO SIQUIJOR WATER DISTRICT BIDS &amp; AWARDS COMMITTEE Siquijor, Siquijor The Metro Siquijor Water District (MSWD) through the Bids &amp; Awards Committee (BAC) will be undertaking the procurement of the hereunder project: Name of Project: Procurement of 1 uni</t>
  </si>
  <si>
    <t xml:space="preserve"> INVITATION TO APPLY FOR ELIGIBILITY AND TO BID  One (1) Lot Laboratory Equipment   ITB No. 2020-08-012 P.R. No. 2020-03-144 1.	The Mines and Geosciences Bureau, through the General Appropriations Act (GAA) for CY 2020 intends to apply the sum correspondin</t>
  </si>
  <si>
    <t xml:space="preserve"> CENRO 1 UNIT AUTOMOTIVE GAS ANALYZER, for Gasoline fuel Emission Testing with complete set of accessories,  1 UNIT AUTOMOTIVE OPACIMETER, for Diesel fuel Emission Testing, with complete set of accessories, Please see attached file/document on associated c</t>
  </si>
  <si>
    <t xml:space="preserve"> CENRO 1 UNIT Multi-parameter Water Quality Meter	  * General Specifications:	 	• Diameter : 89mm (3.5") 	• Length w/o Battery pack : 483mm (19") 	• Weight with IBP : 4.1kg (9.0 lbs) 	• Number of Sensors : Up to 11 	• Optional Battery Pack : 8 "C" cells 	•</t>
  </si>
  <si>
    <t xml:space="preserve"> 1	 1 	set	Threader		 2	 1 	set	Bench Yoke		 3	 15 	set	6" x 1" C.I. Saddle Clamp w/ bolts, nuts, &amp; gasket, ISO		 4	 15 	set	4" x 1" C.I. Saddle Clamp w/ bolts, nuts, &amp; gasket, ISO		 5	 15 	set	3" x 1" C.I. Saddle Clamp w/ bolts, nuts, &amp; gasket, ISO		 6	 4</t>
  </si>
  <si>
    <t xml:space="preserve"> Republic of the Philippines CITY GOVERNMENT OF ANTIPOLO Antipolo City INVITATION TO BID For the Supply &amp; Delivery of Laptop The City Government of Antipolo, through the General Fund intends to apply the sum of P 4,000,000.00 being the Approved Budget for </t>
  </si>
  <si>
    <t xml:space="preserve"> CID No. 20IC0082:  Concreting of Brgy. Libertad FMR, Brgy. Libertad, Palo, Leyte;  ABC: P11,940,000.00; 61 CD ACTIVITY	TIME	PLACE 1.  Issuance/Downloading of       Bidding Documents	August 12 – September 1, 2020	Hard copies at BAC Secretariat; DPWH, Leyte</t>
  </si>
  <si>
    <t xml:space="preserve"> Location: Buyo, Manito, Albay Scope of Work: Complete construction of modified 2-Storey 4-Classroom School Building (concrete slab roof) with demolition of marcos type building; includes fire escape, steel casement window at rear portion with security gri</t>
  </si>
  <si>
    <t xml:space="preserve"> INVITATION TO BID CONSTRUCTION OF ROAD NETWORK FOR SANITARY LANDFILL FACILITY OF LGU BULUAN, MAGUINDANAO (ITB No. 01-CW-2020)</t>
  </si>
  <si>
    <t xml:space="preserve"> CID No. 20IC0083:  Concreting of Brgy. Katipunan-Sitio Dango, Brgy. Pitogo FMR, Brgy. Katipunan, Sta. Fe, Leyte;  ABC: P11,940,000.00; 61 CD ACTIVITY	TIME	PLACE 1.  Issuance/Downloading of       Bidding Documents	August 12 – September 1, 2020	Hard copies </t>
  </si>
  <si>
    <t xml:space="preserve"> Republic of the Philippines PROVINCE OF NUEVA VIZCAYA Invitation to Bid for the  CONSTRUCTION OF UBINA-CABANTAC FTMR Located at Mabuslo, Bambang, Nueva Vizcaya  1.	The Provincial Government of Nueva Vizcaya, through the Provincial Share on ER 1 -94(First </t>
  </si>
  <si>
    <t xml:space="preserve"> INVITATION TO BID CONSTRUCTION OF SANITARY LANDFILL FACILITY AT BULUAN, MAGUINDANAO (ITB No. 02-CW-2020)</t>
  </si>
  <si>
    <t xml:space="preserve"> Republic of the Philippines PROVINCE OF NUEVA VIZCAYA 2nd Invitation to Bid for the REPAINTING OF DUMLAO STADIUM (CLISOC FIELD) BLEACHERS Located at Bayombong, Nueva Vizcaya  1.	The Provincial Government of Nueva Vizcaya, through the PGSO 5-02-13-040 Buil</t>
  </si>
  <si>
    <t xml:space="preserve"> CITY COOPERATIVE DEVELOPMENT OFFICE 1 UNIT Motor Vehicle (4 wheels), Brand new, Van type, 5-Speed Manual. General Specifications: Overall Length at least 4,260 mm, Overall Width at least 1,695mm, Overall Height at least 1,895mm, Wheel Base at  least 2,350</t>
  </si>
  <si>
    <t xml:space="preserve"> SANGGUNIANG PANLUNGSOD VARIOUS GROCERIES Please see attached file/document on associated components or BAC website www.davaocityportal.com (BAC posting) for the complete descriptions, terms of conditions and terms of references. Bidding will be conducted </t>
  </si>
  <si>
    <t xml:space="preserve"> Description  The LGU-MAYANTOC, through its Bids and awards committee (BAC) invites contractors registered with and classified by the PHILGEPS to apply for the eligibility and found eligible, to bid for the here under contract: 	 NAME OF PROJECT: CONSTRUCT</t>
  </si>
  <si>
    <t xml:space="preserve"> SUPPLY AND DELIVERY OF ADULT THERMAL TRANSFER SNAP CLOSURE WHITE PATIENT WRISTBANDS WITH CLIP (FOR SATO) THROUGH ORDERING AGREEMENT -ORDER OF PAYMENT FOR BID DOCS WILL BE AVAILABLE AT GSD-HEAD OFFICE @ 10TH FLOOR MAKATI CITY HALL BLDG. 2. LOOK FOR MR. RED</t>
  </si>
  <si>
    <t xml:space="preserve"> Republic of the Philippines CITY GOVERNMENT OF ANTIPOLO Antipolo City INVITATION TO BID For the Supply &amp; Delivery of Fortified Powdered Milk Drink The City Government of Antipolo, through the General Fund intends to apply the sum of P 1,300,000.00 being t</t>
  </si>
  <si>
    <t xml:space="preserve"> CID No. 20IC0085:  Const. of One-Storey, Four-Classroom School Building, Babatngon Central School, Babatngon, Leyte;  ABC: P8,611,601.97; 123 CD ACTIVITY	TIME	PLACE 1.  Issuance/Downloading of       Bidding Documents	August 12 – September 1, 2020	Hard cop</t>
  </si>
  <si>
    <t xml:space="preserve"> Republic of the Philippines PROVINCE OF NUEVA VIZCAYA Invitation to Bid for the  IMPROVEMENT OF JUSTICE HALL’S WATER SYSTEM Located at Capitol Cpd., Bayombong, Nueva Vizcaya  1.	The Provincial Government of Nueva Vizcaya, through the 5-02-13-030 Infrastru</t>
  </si>
  <si>
    <t xml:space="preserve"> PR. No. 119-2020 (LDRRMO)		 	 1.	2	unit	Storage Cabinet- Swing Door with 5 adjustable shelves, 			 			recessed handles, 1 lock and 2 keys. Made from High quality 			 			cold-rolled steel.			 			Dimension:72” height x 36” width x 18” depth			 			Finish: sm</t>
  </si>
  <si>
    <t xml:space="preserve"> CITY ARCHIVES AND RECORDS OFFICE 1 UNIT Motor Vehicle (4-Wheels), brand new non-tilt 80A passenger  type rear body (9x9) and airconditioning system (front &amp; rear)  (single rear) chassis cab, (at least 2,999 CC) 4-cylinder, Turbo- intercooler, Common-rail </t>
  </si>
  <si>
    <t xml:space="preserve"> CID No. 20IC0086:  Const. of One-Storey, Three Classroom School Building, Lukay Elementary School, Alangalang, Leyte;  ABC: P6,518,468.56; 111 CD ACTIVITY	TIME	PLACE 1.  Issuance/Downloading of       Bidding Documents	August 12 – September 1, 2020	Hard co</t>
  </si>
  <si>
    <t xml:space="preserve"> Location: Tamaoyan, Legazpi City, Albay Scope of Work: Complete construction of 3-Storey 6-Classroom School Building (Stairwall 5m width, steel casement window at rear portion, with security grilles for front jalousie windows, dry stand pipe for fire prot</t>
  </si>
  <si>
    <t xml:space="preserve"> OFFICE: MUNICIPAL AGRICULTURE PURPOSE: CORN PRODUCTION (LGU-CORN DEMO-FARM) ABC: 720,000.00 ITEM DESCRIPTION       FERTILIZER 300 BAGS  A. 14-14-14 100 BAGS  B. UREA CORN SEEDS (HYBRID/OPV) 40 BAGS WHITE 10 BAGS YELLOW 50 HERBICIDE</t>
  </si>
  <si>
    <t xml:space="preserve"> Republic of the Philippines Province of Leyte Municipality of Hilongos INVITATION TO BID FOR THE PROCUREMENT OF DRUGS AND MEDICINES 1.  The Local Government Unit of Hilongos, through GENERAL FUND-CURRENT APPROPRIATION intends to apply the sum FOUR HUNDRED</t>
  </si>
  <si>
    <t xml:space="preserve"> Republic of the Philippines City of Canlaon OFFICE OF THE BIDS AND AWARDS COMMITTEE Invitation to Bid for the CONSTRUCTION OF EID-CENTER (BUILDING) Phase I  The City Government of Canlaon City, through BGCM, SP Res. #64, Ord. No. 26, Series of 2020 intend</t>
  </si>
  <si>
    <t xml:space="preserve"> please download the ITB and its other supporting documents in the associated component</t>
  </si>
  <si>
    <t xml:space="preserve"> Republic of the Philippines PROVINCE OF NUEVA VIZCAYA Invitation to Bid for the  CONSTRUCTION OF GAMPALANG BRIDGE Located at Besong, Kayapa, Nueva Vizcaya  1.	The Provincial Government of Nueva Vizcaya, through the PDRRMO Capital Outlay 2017 (₱2,000,000.0</t>
  </si>
  <si>
    <t xml:space="preserve"> 1ST AND 2ND QUARTER MODULES: Paper: 48  - 70 gsm	  8.27" x 11.69" (A4) US Self Cover, Back to Back Printing	 Book Bind /Saddle Stitch	 Quarter 1: KINDER:  10 modules		 120  Quarter 2: KINDER: 10 Modules		 120  	 Quarter 1		 GRADE 1: Araling Panlipunan , 8</t>
  </si>
  <si>
    <t xml:space="preserve"> 1.	The Municipality of Esperanza, intends to apply the sum of Three Hundred Forty-Four Thousand Pesos (Php344,000.00) being the Approved Budget for the Contract (ABC) to payments under the contract for Supply and Delivery of Water Materials use for Water </t>
  </si>
  <si>
    <t xml:space="preserve"> The Municipality of Limay, through its Bids and Awards Committee (BAC) invites registered contractors to apply for eligibility and if found eligible, to bid for the hereunder project/contract: Project/Contract: RENTAL OF EQUIPMENT FOR THE IMPROVEMENT OF V</t>
  </si>
  <si>
    <t xml:space="preserve"> PROCUREMENT OF CONSTRUCTION MATERIALS FOR CONSTRUCTION OF POBLACION SEAWALL The MUNICIPALITY OF AGUTAYA, through its Bids and Awards Committee (BAC), invites eligible suppliers/contractors to bid for the hereunder project: Project		:	 	 Requesting Office/</t>
  </si>
  <si>
    <t xml:space="preserve"> PRINTING SERVICES FOR VARIOUS PROJECTS OF OSSP AND MHD -ORDER OF PAYMENT FOR BID DOCS WILL BE AVAILABLE AT GSD-HEAD OFFICE @ 10TH FLOOR MAKATI CITY HALL BLDG. 2. LOOK FOR MR. REDEN VILLANUEVA. A COMPLETE SET OF BIDDING DOCUMENTS WILL BE AVAILABLE FROM DAY</t>
  </si>
  <si>
    <t xml:space="preserve"> Republic of the Philippines DEPARTMENT OF PUBLIC WORKS AND HIGHWAYS SARANGANI 	DISTRICT ENGINEERING OFFICE	 REGIONAL OFFICE XII Alabel, Sarangani Province INVITATION TO BID FOR 1.	20GME0071 –	Lease of One (1) Unit Service Vehicle for Eleven (11)  days for</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</si>
  <si>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</si>
  <si>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Description  The LGU-MAYANTOC, through its Bids and awards committee (BAC) invites contractors registered with and classified by the PHILGEPS to apply for the eligibility and found eligible, to bid for the here under contract: 	 NAME OF PROJECT:PURCHASE A</t>
  </si>
  <si>
    <t xml:space="preserve"> Republic of the Philippines PROVINCE OF AGUSAN DEL SUR Municipality of Loreto INVITATION TO BID FOR DRUGS &amp; MEDICINES FOR THE REGULAR OPERATION OF RURAL HEALTH UNIT (RHU) 1.	The Municipality of Loreto, through the GENERAL FUND intends to apply the sum of </t>
  </si>
  <si>
    <t xml:space="preserve"> Invitation to Bid for the Procurement of Two (2) Units Multicab for the Use of the LGU, Tagudin, Ilocos Sur 1.	The Local Government Unit of Tagudin, Ilocos Sur, thru its Bids and Awards Committee intends to apply the sum of Eight Hundred Thousand Pesos (P</t>
  </si>
  <si>
    <t xml:space="preserve"> Location: Solong, Camalig, Albay Scope of Work: Complete construction of 3-Storey 9-Classroom School Building (Stairwall 5m width on both sides) , fully painted, on slab roof with waterproofing, steel casement window at rear portion, with security grilles</t>
  </si>
  <si>
    <t xml:space="preserve"> PROJECT NO: GOODS#2000-5 PURCHASE OF VARIOUS MEDICAL EQUIPMENT FOR LABORATORY AND LYING-IN CLINIC, CARIDAD, CAVITE CITY, BARANGAY #39 Item# Quantity Unit  Description 1	1	UNIT	FULLY AUTOMATED BLOOD CHEMISTRY ANALYZER		 2	1	UNIT	PART AUTO HEMATOLOGY ANALYZ</t>
  </si>
  <si>
    <t xml:space="preserve"> Rental of Motor Vehicles</t>
  </si>
  <si>
    <t xml:space="preserve"> Concreting of 772 l.m. gravel road 5m width and shoulder 0.5m width, 0.20m thk. with aggregate sub-base course 0.20m thk., drainage canal at designated sections, slope protection at designated sections</t>
  </si>
  <si>
    <t xml:space="preserve"> Purchase and Installation of Weigh-in-Motion (WIM) Axle Weigher</t>
  </si>
  <si>
    <t xml:space="preserve"> INVITATION TO APPLY FOR ELIGIBILITY AND TO BID  One (1) Lot Provision of Firewall Protection   ITB No. 2020-08-009 P.R. No. 2020-03-156 1.	The Mines and Geosciences Bureau, through the General Appropriations Act (GAA) for CY 2020 intends to apply the sum </t>
  </si>
  <si>
    <t xml:space="preserve"> Republic of the Philippines SILAY CITY GOVERNMENT Zamora Street Silay City, Negros Occidental Telefax No. (034) 495-3746 	Control  Reference Number : GOODS#0158, ITB#0161,  PR#0515: SCG-2020 Name of the Project: PPURCHASE OF LAPTOP AND EXTERNAL HARD DRIVE</t>
  </si>
  <si>
    <t xml:space="preserve"> SUPPLY AND DELIVERY OF FUEL AND LUBRICANTS FOR CONSTRUCTION OF POBLACION SEAWALL The MUNICIPALITY OF AGUTAYA, through its Bids and Awards Committee (BAC), invites eligible suppliers/contractors to bid for the hereunder project: Project		:	 	 Requesting Of</t>
  </si>
  <si>
    <t xml:space="preserve"> INVITATION TO APPLY FOR ELIGIBILITY AND TO BID  One (1) Lot Information Technology   ITB No. 2020-08-010 P.R. No. 2020-03-155 1.	The Mines and Geosciences Bureau, through the General Appropriations Act (GAA) for CY 2020 intends to apply the sum correspond</t>
  </si>
  <si>
    <t xml:space="preserve"> HAULING OF FILLING MATERIALS 285.50 CU.M.   FILLING MATERIALS</t>
  </si>
  <si>
    <t xml:space="preserve"> The Local Government Unit of General Santos City, through the GENERAL FUND CY 2020 intends to apply the sum of three million nine hundred sixty-five thousand and xx / 100 Pesos Only (3,965,000.00) being the Approved Budget for the Contract (ABC) to paymen</t>
  </si>
  <si>
    <t xml:space="preserve"> *Download attachment Prospective bidders should have completed a similar contract with a value of at least 50% of the ABC. The BAC will use non-discretionary pass/fail criteria in the eligibility check/screening as well as the preliminary examination of b</t>
  </si>
  <si>
    <t xml:space="preserve"> Republic of the Philippines PROVINCE OF AGUSAN DEL SUR Municipality of Loreto INVITATION TO BID FOR CATERING SERVICES FOR 3-DAY PEACE BUILDING SEMINAR AT BRGY. KASAPA, LADS 1.	The Municipality of Loreto, through the GENERAL FUND intends to apply the sum o</t>
  </si>
  <si>
    <t xml:space="preserve"> Procurement Supply and Delivery for the Installation of Traffic Light Location: LGU-Balingasag, Peoples Palace, Balingasag, Misamis Oriental</t>
  </si>
  <si>
    <t xml:space="preserve"> OFFICE OF THE BIDS AND AWARDS COMMITTEE INVITATION TO BID NO. 129-20 Name of Project: Procurement of Hardware Materials used for Rehabilitation of Senior Citizen's Building @ Brgy. Navarro, Socorro, SDN Source of Funds: Mun. 20% Development Fund The Munic</t>
  </si>
  <si>
    <t xml:space="preserve"> SUPPLY AND DELIVERY OF VARIOUS TOOLS AND MATERIALS FOR DEPW  (2 LOTS) LOT 1: SUPPLY AND DELIVERY OF MATERIALS FOR SOUND SYSTEM MAINTENANCE LOT 2: SUPPLY AND DELIVERY OF VARIOUS TOOLS FOR DEPW -ORDER OF PAYMENT FOR BID DOCS WILL BE AVAILABLE AT GSD-HEAD OF</t>
  </si>
  <si>
    <t xml:space="preserve"> 1. Chlorine (70% granules, 45 kgs.) - 15 drums</t>
  </si>
  <si>
    <t xml:space="preserve"> CSSDO 10	Box/es	Noodles, Halal, chicken/beef flavor, 55 gms, 72 pack per box 400	Sack/s	Rice, 50 kilos per sack, well milled, good quality 600	Piece/s	Sardines 155 grams per piece Please see attached file/document on associated components or BAC website w</t>
  </si>
  <si>
    <t xml:space="preserve"> Republic of the Philippines Province of Camarines Sur MUNICIPALITY OF PAMPLONA BIDS AND AWARDS COMMITTEE INVITATION TO BID  FOR  Purchase of Emergency Transport Vehicle (DOH-Compliant Ambulance) 1.	Local Government of Pamplona, Camarines Sur through the L</t>
  </si>
  <si>
    <t xml:space="preserve"> Republic of the Philippines PROVINCE OF NUEVA VIZCAYA Invitation to Bid for the  CONSTRUCTION OF KMH ANCILLARY BUILDING PHASE IV Located at KMH, Compound, Kasibu, Nueva Vizcaya  1.	The Provincial Government of Nueva Vizcaya, through the 2019 20% Developme</t>
  </si>
  <si>
    <t xml:space="preserve"> SUPPLY AND DELIVERY OF LOCALLY PRODUCED MATERIALS FOR CCOMPLETION OF DRRM BUILDING The MUNICIPALITY OF AGUTAYA, through its Bids and Awards Committee (BAC), invites eligible suppliers/contractors to bid for the hereunder project: Project		:	 	 Requesting </t>
  </si>
  <si>
    <t xml:space="preserve"> Republic of the Philippines Province of Misamis Occidental MUNICIPALITY OF CALAMBA BARANGAY SILOY INVITATION TO BID FOR PURCHASE OF MATERIALS FOR THE IMPROVEMENT OF MULTI-PURPOSE EVACUATION CENTER 	August 13, 2020 1.	The Barangay Siloy  of Calamba, Misami</t>
  </si>
  <si>
    <t xml:space="preserve"> PROJECT: IMPROVEMENT OF COVERED COURT LOCATION: BARANGAY SAN FRANCISCO APPROVED BUDGET FOR THE CONTRACT: PHP 74,910.00 SOURCE OF FUND: 10% SK FUND The contract to be performed by the successful bidder shall be specified in the Technical Quotation Form of </t>
  </si>
  <si>
    <t xml:space="preserve"> Item No.	Unit	Item Description				Qty	Unit Cost	Total Cost 1	unit	PATIENT TRANSPORT VEHICLE (PTV), 2020 Model				 1 		2,000,000.00 		Specifications:						 		ENGINE:						 		    Type: 2.8 liter, Diesel Engine, Inline 4 Cylinder 16 Valve DOHC						 		    Ma</t>
  </si>
  <si>
    <t xml:space="preserve"> Construction of Two Storey Building with balcony, complete with painting, tiles, comfort rooms, electrical systems, signage, railings and other finishing works.</t>
  </si>
  <si>
    <t xml:space="preserve"> Republic of the Philippines PROVINCE OF NUEVA VIZCAYA Invitation to Bid for the  CONSTRUCTION OF COVERED PATHWAY FROM MAIN BUILDING TO ANCILLARY BUILDING (KMH) Located at KMH, Compound, Kasibu, Nueva Vizcaya  1.	The Provincial Government of Nueva Vizcaya,</t>
  </si>
  <si>
    <t xml:space="preserve"> PR. No. 118-2020 (RHU) 1.	39	bottle	Amoxicillin 100mg/ml (drops), 15ml 2.	300	capsule	Amoxicillin 250mg/capsule  3.	50	bottle	Amoxicillin 250mg/5ml(syrup),  60ml 4.	500	capsule	Amoxicillin 500mg/capsule 5.	100	tablet	Betahistine 16mg/tablet   6.	50	bottle</t>
  </si>
  <si>
    <t xml:space="preserve"> SUPPLY AND DELIVERY OF LOCALLY PRODUCED MATERIALS FOR CONSTRUCTION OF POBLACION SEAWALL The MUNICIPALITY OF AGUTAYA, through its Bids and Awards Committee (BAC), invites eligible suppliers/contractors to bid for the hereunder project: Project		:	 	 Reques</t>
  </si>
  <si>
    <t xml:space="preserve"> PROCUREMENT OF CONSTRUCTION MATERIALS FOR COMPLETION OF DRRM BUILDING The MUNICIPALITY OF AGUTAYA, through its Bids and Awards Committee (BAC), invites eligible suppliers/contractors to bid for the hereunder project: Project		:	 	 Requesting Office/End-us</t>
  </si>
  <si>
    <t xml:space="preserve"> SUPPLY AND DELIVERY OF CORNEAL DIAGNOSTIC CAMERA SYSTEM -ORDER OF PAYMENT FOR BID DOCS WILL BE AVAILABLE AT GSD-HEAD OFFICE @ 10TH FLOOR MAKATI CITY HALL BLDG. 2. LOOK FOR MR. REDEN VILLANUEVA. A COMPLETE SET OF BIDDING DOCUMENTS WILL BE AVAILABLE FROM DA</t>
  </si>
  <si>
    <t xml:space="preserve"> Materials (Hardware/ Construction)</t>
  </si>
  <si>
    <t xml:space="preserve"> SEE PROGRAM OF WORKS FOR DETAILS</t>
  </si>
  <si>
    <t xml:space="preserve"> INVITATION TO BID Supply and Delivery of Seventeen (17) units Palay Seed Cleaner for Implementation  under 2020 Rice Program 1.	The Department of Agriculture Regional Field Office No. 5, through the General Appropriations Act (GAA) for CY 2020-Rice intend</t>
  </si>
  <si>
    <t xml:space="preserve"> INVITATION TO APPLY FOR ELIGIBILITY AND TO BID  One (1) Lot Information Technology   ITB No. 2020-08-013 P.R. No. 2020-02-094 1.	The Mines and Geosciences Bureau, through the General Appropriations Act (GAA) for CY 2020 intends to apply the sum correspond</t>
  </si>
  <si>
    <t xml:space="preserve"> Department of Education Region VI-Western Visayas Division of Cadiz City Mabini National High School INVITATION TO BID FOR THE PROCUREMENT VARIOUS - MNHS 2020 1.	The Mabini National High School  of Cadiz City, through the Schools MOOE Fund CY 2020  intend</t>
  </si>
  <si>
    <t xml:space="preserve"> Item No. 	Item Description					QTY.	Unit	Unit Price	Total Price 1	Firetruck:					2	units		 	Specifications:								 	Surplus Reconditioned								 	wheels: 10 wheelers								 	Tire: 10x20								 	with brand new tires								 	spare tires								 	with b</t>
  </si>
  <si>
    <t xml:space="preserve"> Republic of the Philippines Province of South Cotabato BIDS AND AWARDS COMMITTEE City of Koronadal  INF-ITB 20-042 INVITATION TO BID  1.	The Provincial Government of South Cotabato, through the PEO-8751-P/P-CMGP-MOOE-5-02-13-030 #4 – R&amp;M-Infra.Assets inte</t>
  </si>
  <si>
    <t xml:space="preserve"> SUPPLY AND DELIVERY OF MEDICAL SUPPLIES FOR DAILY AND EMERGENCY OPERATIONS OF OSPITAL NG MAKATI (AUTOMATIC DOCUMENTATION SYSTEM LABEL FOR FORMALDEHYDE PROCESS - INK CARTRIDGE FOR AUTOMATIC DOCUMENTATION SYSTEM) -ORDER OF PAYMENT FOR BID DOCS WILL BE AVAIL</t>
  </si>
  <si>
    <t xml:space="preserve"> Republic of the Philippines PROVINCE OF NUEVA VIZCAYA Invitation to Bid for the  CONSTRUCTION OF WATCHER’S LOUNGE (PHASE II)(NVPH) Located at Bambang, Nueva Vizcaya  1.	The Provincial Government of Nueva Vizcaya, through the Appropriation Ordinance No. 20</t>
  </si>
  <si>
    <t xml:space="preserve"> The Local Government Unit of General Santos City, through the GENERAL FUND CY 2020 intends to apply the sum of three million and xx / 100 Pesos Only (3,000,000.00) being the Approved Budget for the Contract (ABC) to payments under the contract for 20CB-GS</t>
  </si>
  <si>
    <t xml:space="preserve"> 1. Value Pack Sinigang vegetable Seeds (6 in 1) Radish, Pole Sitaw, Tomato, Kangkong, Okra, Pechay 2. Value Pack Pinakbet Vegetable Seeds (6 in 1) Ampalaya, Squash, Okra, Pole Sitao, Eggplant &amp; Tomato</t>
  </si>
  <si>
    <t xml:space="preserve"> INVITATION TO BID Bid No. B-127-2020 (*REBIDDING)  1.	The Provincial Government of Negros Oriental now invites bids for the  rebidding of the following requirements, viz: 	Project Name:	Source of Fund:	ABC: Project Name 1	Three (3) Lots Construction Mater</t>
  </si>
  <si>
    <t xml:space="preserve"> SUPPLY AND DELIVERY OF LABORATORY SUPPLIES (ACID FAST BACILLI (AFB) STRAIN) -ORDER OF PAYMENT FOR BID DOCS WILL BE AVAILABLE AT GSD-HEAD OFFICE @ 10TH FLOOR MAKATI CITY HALL BLDG. 2. LOOK FOR MR. REDEN VILLANUEVA. A COMPLETE SET OF BIDDING DOCUMENTS WILL </t>
  </si>
  <si>
    <t xml:space="preserve"> 2392 pcs ABC My practice Book (writing 1420 pcs and Mga Alamat 972 pcs. With guide questions which are complementary in the ECCD domains. 2500 pcs ECCD Checklist 120 pcs Big Story Books (Colored and big pictures) 12 sets Bible Story Book (My Bible Friend)</t>
  </si>
  <si>
    <t xml:space="preserve"> INVITATION TO BID The Department of Public Works and Highways - Pampanga 1st District Engineering Office, through its Bids and Awards Committee (BAC), invites contractors to submit bids for the following Contract: 1.	 Procurement ID/Contract ID	:	20CG0268</t>
  </si>
  <si>
    <t xml:space="preserve"> Invitation to Bid for the Contract Package for the Continuation of the Rehabilitation of Tagudin Farmers’ Civic Center (Phase II), Barangay Magsaysay, Tagudin, Ilocos Sur 1.	The Local Government Unit of Tagudin, Ilocos Sur, thru its Bids and Awards Commit</t>
  </si>
  <si>
    <t xml:space="preserve"> Construction of Bakneb rivercave multi-purpose building with hauling</t>
  </si>
  <si>
    <t xml:space="preserve"> 1.	The Municipality of Esperanza, intends to apply the sum of One Million Two Hundred Sixty Three Thousand Six Hundred Thirty Five Pesos &amp; 90/100 Only (Php1,263,635.90) being the Approved Budget for the Contract (ABC) to payments under the contract for Su</t>
  </si>
  <si>
    <t xml:space="preserve"> NOTICE OF NEGOTIATED PROCUREMENT (Two Failed Biddings) TO ALL INTERESTED BIDDERS We are pleased to invite you in our negotiation conference for the project requirements “Four (4) Lots Various Construction Materials for the use in the Rehabilitation/Improv</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</si>
  <si>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</si>
  <si>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See attached TOR</t>
  </si>
  <si>
    <t xml:space="preserve"> PROCUREMENT OF DISASTER SUPPLIES (MEDICAL AND MEDICINES) The MUNICIPALITY OF AGUTAYA, through its Bids and Awards Committee (BAC), invites eligible suppliers/contractors to bid for the hereunder project: Project		:	 	 Requesting Office/End-user	:	MUNICIPA</t>
  </si>
  <si>
    <t xml:space="preserve"> FOR ALL DAYCARE CENTERS OF RAMOS, TARLAC NUMBER OF RECIPIENTS :   400 DAY CARE CHILDREN                                            13 DAY CARE WORKERS 400 PRE-K 1 CHILDREN'S ACTIVITY SHEETS 13 3in1 PLAYGROUND SET</t>
  </si>
  <si>
    <t xml:space="preserve"> Supply and Delivery of Desktop Computer, Laptop, and Printers</t>
  </si>
  <si>
    <t xml:space="preserve"> 1.	The Municipality of Esperanza, intends to apply the sum of Three Hundred Twenty Four Thousand Pesos Only (Php324,000.00) being the Approved Budget for the Contract (ABC) to payments under the contract for Supply and Delivery of Clamp Meter, Pump &amp; Test</t>
  </si>
  <si>
    <t xml:space="preserve"> Construction/ Repair/ Rehabilitation/ Improvement of Various Infrastructure Including Local Projects - Rehabilitation of Multi-Purpose Building (Day Care Center for Health, Nutrition and Sanitation Office and Evacuation Center), Baguio City Contract Locat</t>
  </si>
  <si>
    <t xml:space="preserve"> Construction/ Upgrading/ Rehabilitation of Drainage along National Roads - Secondary Roads - Session Road # 2 K0251+746 - K0252+028 Contract Location :	Baguio City Approved Budget for the Contract :	Php5,488,000.00 Scope of  work  :	Construction/ Upgradin</t>
  </si>
  <si>
    <t xml:space="preserve"> Construction of Farm to Market Road</t>
  </si>
  <si>
    <t xml:space="preserve"> ROAD CLEARING PCCP BILLBOARD</t>
  </si>
  <si>
    <t xml:space="preserve"> Location: Brgy. Pance Please refer to the Program of Works for the details</t>
  </si>
  <si>
    <t xml:space="preserve"> Republic of the Philippines Province of Southern Leyte MUNICIPALITY OF LIMASAWA -o0o- Bids and Awards Committee Invitation to Bid for the Supply of Materials for the Improvement of Limasawa Water System  Triana, Limasawa, Southern Leyte 1.	The Local Gover</t>
  </si>
  <si>
    <t xml:space="preserve"> Construction of Local Road at Rizal Street, Brgy. Poblacion, Merida, Leyte</t>
  </si>
  <si>
    <t xml:space="preserve"> 1	The Municipality of Pola, Province of Oriental Mindoro through its  Genera Fund (20% MDF) intends to apply the sum of Five Million Nine Hundred Ninety-Nine Thousand   Nine Hundred Fifty-Five pesos and 20/100 only (Php5,999,955.20) being the Approved Bud</t>
  </si>
  <si>
    <t xml:space="preserve"> Tires for Municipal Vehicle (Hammer CDK 6062)</t>
  </si>
  <si>
    <t xml:space="preserve"> Standard Form Number: SF-GOOD-05 Revised on: July 28, 2004 INVITATION TO APPLY FOR ELIGIBILITY AND TO BID ITB No. 0820-118 The LGU-TUBURAN, through its Bids and Awards Committee (BAC), invites suppliers/manufacturers/distributors to apply for eligibility </t>
  </si>
  <si>
    <t xml:space="preserve"> Item			 No.	Qty	Unit	            Items/Description 1	150	pcs.	2" x 2" x 10' Coco Lumber 2	2	clips	#80 Nylon String 3	8	kgs.	4"CWN 4	2	kgs.	2-1/2" Cwn 5	389	bags	Portland Cement 6	38	cu.m.	Graded Gravel 7	21	cu.m.	Washed Sand 8	395	pcs.	10mm dia. X6m RSB 9</t>
  </si>
  <si>
    <t xml:space="preserve"> Republic of the Philippines Province of Misamis Oriental Municipality of Lugait -oOo- INVITATION TO BID FOR THE CONCRETING OF 360.0 L.M. FARM TO MARKET ROAD AT SITIO LINABO, BARANGAY AYA-AYA MUNICIPALITY OF LUGAIT, MISAMIS ORIENTAL The Municipality of Lug</t>
  </si>
  <si>
    <t xml:space="preserve"> INVITATION TO BID FOR 	 PURCHASE OF EQUIPMENT TO BE USED AT DEPED BALATAN DISTRICT  [GOODS-CB-2020-08-011] 	     	 1.	The Local Government Unit of Balatan, Camarines Sur, through the SPECIAL EDUCATION FUND CY 2020 intends to apply the sum of TWO HUNDRED T</t>
  </si>
  <si>
    <t xml:space="preserve"> INVITATION TO BID FOR THE SUPPLY AND DELIVERY OF SUPPLIES, MATERIALS AND EQUIPMENT TO BE USED AT THE NEW LADIES’ DORM &amp; PSAU HOSTEL PB-2020-164-022 1. The Pampanga State Agricultural University, through Fund 184, intends to apply the sum of P1,239,075.00 </t>
  </si>
  <si>
    <t xml:space="preserve"> Location: Poblacion South, Ramos, Tarlac -Tile Works -Carpentry/Ceiling Works -Painting Works Electrical/Plumbing &amp; Water System -Project Billboard</t>
  </si>
  <si>
    <t xml:space="preserve"> Disposable Gloves M Disposable Gloves L N95 mask (made in USA) Surgical mask 70% Solution, Alcohol Non-Mercurial Thermometer Disinfectant Solution</t>
  </si>
  <si>
    <t xml:space="preserve"> PROCUREMENT OF MEDICINES , MED. EQUIPMENT AND  SUPPLIES The MUNICIPALITY OF AGUTAYA, through its Bids and Awards Committee (BAC), invites eligible suppliers/contractors to bid for the hereunder project: Project		:	 	 Requesting Office/End-user	:	MUNICIPAL</t>
  </si>
  <si>
    <t xml:space="preserve"> Republic of the Philippines PROVINCE OF ZAMBOANGA SIBUGAY Municipality of Roseller T. Lim    INVITATION TO BID 						Aug. 12, 2020 	 To All Interested Bidders: Notice is hereby served that sealed bid be received for public bidding under the harmonious pro</t>
  </si>
  <si>
    <t xml:space="preserve"> Information and Communication Technology  Equipment</t>
  </si>
  <si>
    <t xml:space="preserve"> The Bids &amp; Awards Committee (BAC) of Barangay Langtad, Argao, Cebu, invites all interested suppliers/manufacturers/distributors/contractors/consultants to apply for eligibility and to submit bids for the following: ITEMS: 270 bag/s Portland Cement 40kg 15</t>
  </si>
  <si>
    <t xml:space="preserve"> 1.	The Municipality of Esperanza, intends to apply the sum of Two Hundred Six Thousand   Pesos Only (Php206,000.00) being the Approved Budget for the Contract (ABC) to payments under the contract for Supply and Delivery of Various Office Equipment use for</t>
  </si>
  <si>
    <t xml:space="preserve"> Civil works that includes concrete work</t>
  </si>
  <si>
    <t xml:space="preserve"> Container Van, 20ft x 8ft x 8.5ft - 2 units</t>
  </si>
  <si>
    <t xml:space="preserve"> 20M00192 - Completion/Rehabilitation of MPB</t>
  </si>
  <si>
    <t xml:space="preserve"> PURCHASE OF SUPPLIES &amp; MATERIALS FOR CLEAN &amp; GREEN POJECT</t>
  </si>
  <si>
    <t xml:space="preserve"> PR. No. 123-2020 (LDRRMO) 1.	20	set	PPE kits (cover-all suit, safety goggles, 			KN95 Mask, Medical gloves, shoe cover, head cover) 2.	17	box	Surgical Mask (N88) 3.	20	box	Alcohol Prep Swabs (100 x box) 4.	20	box	Providone Prep Swabs (100 x box)  5.	1	pc	</t>
  </si>
  <si>
    <t xml:space="preserve"> PURCHASE OF BOOKS</t>
  </si>
  <si>
    <t xml:space="preserve"> Standard Form Number: SF-GOOD-05 Revised on: July 28, 2004 INVITATION TO APPLY FOR ELIGIBILITY AND TO BID ITB No. 0820-119 The LGU-TUBURAN, through its Bids and Awards Committee (BAC), invites suppliers/manufacturers/distributors to apply for eligibility </t>
  </si>
  <si>
    <t xml:space="preserve"> INVITATION TO BID 1.	The Provincial Government of Misamis Oriental, through the Bids and Awards Committee, hereby invites all interested Philgeps registered contractors to submit bids for infrastructure projects stated below. Project Title	Proposed Road I</t>
  </si>
  <si>
    <t xml:space="preserve"> PURCHASE OF OFFICE SUPPLIES AND MATERIALS</t>
  </si>
  <si>
    <t xml:space="preserve"> INVITATION TO BID FOR THE UPGRADING OF THE PSAU TAMARIND RDE CENTER FACILITIES PB-2020-184-013 1. The Pampanga State Agricultural University, through Fund 184, intends to apply the sum of P3,654,945.25 being the Approved Budget for the Contract (ABC) to p</t>
  </si>
  <si>
    <t xml:space="preserve"> Training Expenses</t>
  </si>
  <si>
    <t xml:space="preserve"> INVITATION TO BID    SUPPLY AND DELIVERY OF TONERS, IMAGING AND  PHOTOCONDUCTOR KIT FOR MULTIFUNCTION  (COPIER, SCANNER, PRINTER) MACHINE AND LASER PRINTERS  OF BIR-RR NO. 9B LAQUEMAR, SAN PABLO CITY     1. The Bureau of Internal Revenue (BIR), Revenue Re</t>
  </si>
  <si>
    <t xml:space="preserve"> The Department of Public Works and Highways-Regional Office I, through its Bids and Awards Committee (BAC) for Goods, invites suppliers to submit bids for the following Contract: Contract ID: 20GA00003 Contract Name: Procurement of Axle Load Survey Equipm</t>
  </si>
  <si>
    <t xml:space="preserve"> Republic of the Philippines MUNICIPALITY OF AGONCILLO Province of Batangas Tel. No. 043-210-2344/043-210-2117 BARANGAY POBLACION INVITATION TO BID The LGU – Poblacion, through its Bids and Awards Committee (BAC), invites suppliers/manufacturers/distributo</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</si>
  <si>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</si>
  <si>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1	Aggregate Sub-Base Course(River Sourced)			1538	cu.m. 2	Wheel Borrow			11	pcs 3	Shovel			20	pcs</t>
  </si>
  <si>
    <t xml:space="preserve"> RELIEF GOODS (GROCERY ITEMS)</t>
  </si>
  <si>
    <t xml:space="preserve"> 1	Common Borrow			416	cu.m. 2	Aggregate Sub-Base Course(River Sourced)			127	cu.m. 3	Boga			48	cu.m. 4	Crushed Rock G-1			97	cu.m. 5	Portland Cement 			1107	bags 6	Gravel			111	cu.m. 7	Sand			55	cu.m. 8	RSB 16mmx6m			38	pcs 9	Round Bar 16mmx6m			10	pcs 10</t>
  </si>
  <si>
    <t xml:space="preserve"> Civil works that include concrete work</t>
  </si>
  <si>
    <t xml:space="preserve"> CLARK DEVELOPMENT CORPORATION CLARK FREEPORT ZONE NOTICE TO CONDUCT NEGOTIATED PROCUREMENT ELEVATOR AT CLARK MUSEUM (CIVIL WORKS) The Clark Development Corporation (CDC), through the CDC Corporate Budget for CY 2020, intends to apply the sum of Two Millio</t>
  </si>
  <si>
    <t xml:space="preserve"> The Department of Public Works and Highways-Regional Office I, through its Bids and Awards Committee (BAC) for Goods, invites suppliers to submit bids for the following Contract: Contract ID: 20GA00004 Contract Name: Supply, Delivery and Installation of A</t>
  </si>
  <si>
    <t xml:space="preserve"> 1	Common Borrow			476	cu.m. 2	Aggregate Sub-Base Course(River Sourced)			113	cu.m. 3	Boga			43	cu.m. 4	Crushed Rock G-1			86	cu.m. 5	Portland Cement 			809	bags 6	Gravel			81	cu.m. 7	Sand			40	cu.m. 8	RSB 16mmx6m			32	pcs 9	Round Bar 16mmx6m			10	pcs 10	R</t>
  </si>
  <si>
    <t xml:space="preserve"> Security Services Prospective Bidders must have completed a contract similar to the project with the amount of at least 50% of the ABC. Bidding will be conducted through open competitive bidding procedures using a non-discretionary “pass/fail” criterion a</t>
  </si>
  <si>
    <t xml:space="preserve"> 1	Common Borrow			639	cu.m. 2	Aggregate Sub-Base Course(River Sourced)			513	cu.m. 3	Boga			85	cu.m. 4	Crushed Rock G-1			171	cu.m. 5	Portland Cement 			1832	bags 6	Gravel			183	cu.m. 7	Sand			92	cu.m. 8	RSB 16mmx6m			95	pcs 9	Round Bar 16mmx6m			40	pcs 1</t>
  </si>
  <si>
    <t xml:space="preserve"> Medical/Laboratory Supplies</t>
  </si>
  <si>
    <t xml:space="preserve"> 12v/18w Solar Panel Polycrystalline Watts Solar LED Steetlights 100pcs SMT LED Bulb 6.4 V 20000 mah 1Life P04 Battery G,I Pipe, 2”,s=40x6m Steel Plates and Brackets plate ¼”x8” 8””with Bolts, nuts and washers Paint, Red Oxide Paint enamel white Paint Thin</t>
  </si>
  <si>
    <t xml:space="preserve"> 50 BAGS HYDRIDE LIME 2 BAS 14-14-14 2 BAGS 46-0-0 40 BAGS FISH FEED STARTER 75  BAGS FISH FEED GROWER 50 BAGS FISH FEED FINISHER</t>
  </si>
  <si>
    <t xml:space="preserve"> Republic of the Philippinesu                   Department of Health	       CENTRAL OFFICE BIDS AND AWARDS COMMITTEE  INVITATION TO BID FOR  PROCUREMENT FOR 55” SMART LED TV IB NO. 2020-236 1.	The Department of Health (DOH), through the General Appropriati</t>
  </si>
  <si>
    <t xml:space="preserve"> 200 BOXES AMLODIPINE 10MG TABLET 100/BOX 200 BOXES LOSARTAN 100MG TABLET 100/BOX 200 BOT. AMOXICILLIN 100MG/ML DROPS 300 BOT. AMOXICILLIN 250/5ML SUSPENSION 50 BOX AMOXICILLIN 500MG CAPSULE 100/BOX 30 BOXES BIPERIDEN 2MG TABLET 100/BOX 30 BOXES CHLORPROMA</t>
  </si>
  <si>
    <t xml:space="preserve"> Supply and Delivery of Agricultural Materials and Supplies for Organic and Cut flower Farming @ Kayapa Nueva Vizcaya</t>
  </si>
  <si>
    <t xml:space="preserve"> The Visayas State University through its Bids and Awards Committee (BAC), invites suppliers/manufacturers/distributors to apply for eligibility and to bid for the hereunder project: Name of Project 	:  Supply and Installation of 150Mbps Leased Line (GOODS</t>
  </si>
  <si>
    <t xml:space="preserve"> 1.	The Local Government Unit of Tuao, Cagayan  through Special Education Fund  intends to  apply the sum of  Php 921,349.42   being the Approved Budget for the Contract (ABC) to payments under the contract for ACQUISITION OF DIGITAL DESKTOP HIGH SPEED DUP</t>
  </si>
  <si>
    <t xml:space="preserve"> Republic of the Philippines Province of Nueva Vizcaya MUNICIPALITY OF VILLAVERDE -o0o- Invitation to Bid for the IMPROVEMENT OF VARIOUS BARANGAY ROADS Location: Villaverde, Nueva Vizcaya 1.	The LGU VILLAVERDE, through the 20% MLGU Development Fund intends</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</si>
  <si>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</si>
  <si>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OFFICE OF THE BIDS AND AWARDS COMMITTEE INVITATION TO BID NO. 129-20 Name of Project: Procurement of Lumber &amp; Aggregates used for Rehabilitation of Senior Citizen's Building @ Brgy. Navarro, Socorro, SDN Source of Funds: Mun. 20% Development Fund The Muni</t>
  </si>
  <si>
    <t xml:space="preserve"> Printing of Forms</t>
  </si>
  <si>
    <t xml:space="preserve"> Republic of the Philippines Province of Nueva Vizcaya MUNICIPALITY OF VILLAVERDE -o0o- Invitation to Bid for the INSTALLATION OF SOLAR STREET LIGHTS Location: Villaverde, Nueva Vizcaya 1.	The LGU VILLAVERDE, through the 20% MLGU Development Fund intends t</t>
  </si>
  <si>
    <t xml:space="preserve"> Republic of the Philippines SILAY CITY GOVERNMENT Zamora Street Silay City, Negros Occidental Telefax No. (034) 495-3746 	Control  Reference Number : GOODS#0157, ITB#0160,  PR#0504: SCG-2020 Name of the Project: PURCHASE OF MEDICAL SUPPLIES FOR USE OF DEN</t>
  </si>
  <si>
    <t xml:space="preserve"> Feeding Program</t>
  </si>
  <si>
    <t xml:space="preserve"> Invitation to Bid for the Contract Package for the Construction of Borono Post Harvest Facility, Barangay Borono, Tagudin, Ilocos Sur 1.	The Local Government Unit of Tagudin, Ilocos Sur, thru its Bids and Awards Committee intends to apply the sum of Three</t>
  </si>
  <si>
    <t xml:space="preserve"> Section I. Invitation to Re-Bid Republic of the Philippines Province of Romblon INVITATION TO BID FOR  Rehabilitation of Drainage System and Pavement along Capitol Area, Brgy. Capaclan, Romblon, Romblon. August 13, 2020 1.	The Provincial Government of Rom</t>
  </si>
  <si>
    <t xml:space="preserve"> Package 030- as stated in ITB 2020-030, CRN 030-2020 [Procurement of Construction Materials ]</t>
  </si>
  <si>
    <t xml:space="preserve"> OFFICE OF THE BIDS AND AWARDS COMMITTEE INVITATION TO BID NO. 130-20 Name of Project: Supply &amp; Installation of Doors &amp; Windows used for Rehabilitation of Senior Citizen's Building @ Brgy. Navarro, Socorro, SDN Source of Funds: Mun. 20% Development Fund Th</t>
  </si>
  <si>
    <t xml:space="preserve"> Supply and Delivery of 1 unit motocycle-for Barangay Acacia</t>
  </si>
  <si>
    <t xml:space="preserve"> Republic of the Philippines Province of Cagayan Municipality of Sta. Praxedes BIDS AND AWARDS COMMITTEE	 Invitation to Bid Construction of Multi-Purposed Building Phase II Capacuan Elementary School ITB – Infra – 2020-08-005 1.	The Local Government Unit o</t>
  </si>
  <si>
    <t xml:space="preserve"> Republic of the Philippines PROVINCIAL GOVERNMENT OF EASTERN SAMAR Capitol Building, Borongan, Eastern Samar, 6800 Tel No. (055)-560-8312 E-mail Address: esamar.bac@gmail.com BIDS AND AWARDS COMMITTEE (BAC) INVITATION TO BID FOR IMPROVEMENT OF LEGISLATIVE</t>
  </si>
  <si>
    <t xml:space="preserve"> Invitation to Bid for REPAIR &amp; IMPROVEMENT OF SI-FLUME TALAKAG IP CONTRACT REF. NO.: CW-BUK-RESTO-NIS-TALAKAG IP-2020 The NIA – Bukidnon Irrigation Management Office, Region 10, through its Bids and Awards Committee (BAC), intends to apply the sum of Two </t>
  </si>
  <si>
    <t xml:space="preserve"> Procurement of Construction Materials (MEEDO)</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</si>
  <si>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</si>
  <si>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INVITATION TO BID SUPPLY AND DELIVERY OF 25 UNITS BRAND NEW TRACTORS (120HP) FOR THE  SUGAR REGULATORY ADMINISTRATION (SRA) Bid Reference No. GPG-B1-2020-358 3rd Rebid (Previous Bid Ref. No. GPG-B1-2019-202, GPG-B1-2019-404 Rebid and GPG-B1-2019-509 2nd R</t>
  </si>
  <si>
    <t xml:space="preserve"> INVITATION TO REBID Procurement of Works for the Electrification/Modernization of Electrical Systems On-Grid School CY 2020 at Dalipuga National High School 1.	The DepED-Division of Iligan City, through its Bids and Awards Committee intends to apply the s</t>
  </si>
  <si>
    <t xml:space="preserve"> 100 BAGS HYDRIDE LIME 2HAS 4 AGS 14-14-14/HAS 4 BAGS 46-0-0 80  BAGS FISH FEED STARTER 150 BAGS FISH FEED GROWER 100 BAGS FISH FEED FINISHER</t>
  </si>
  <si>
    <t xml:space="preserve"> Republic of the Philippines Province of Misamis Oriental Municipality of Lugait -oOo- INVITATION TO BID FOR THE CONCRETING OF 350.0 L.M. FARM TO MARKET ROAD AT SITIO LINABO, BARANGAY  AYA-AYA MUNICIPALITY OF LUGAIT, MISAMIS ORIENTAL The Municipality of Lu</t>
  </si>
  <si>
    <t xml:space="preserve"> Other MOOE</t>
  </si>
  <si>
    <t xml:space="preserve"> Republic of the Philippines PROVINCE OF QUEZON MUNICIPALITY OF POLILLO ***** INVITATION TO BID FOR:  SUPPLY AND DELIVERY OF MEDICAL SUPPLIES FOR COVID-19 RESPONSE LGU Polillo, Quezon 1.	The Municipality of Polillo, through the Supplemental Budget No.3 by </t>
  </si>
  <si>
    <t xml:space="preserve"> Republicof the Philippines PROVINCEOFAGUSAN DEL SUR Municipality of San Luis Barangay Santiago Invitation to Bid SUPPLY AND DELIVERY OF HARDWARE MATERIALS FOR THE INSTALLATION OF POTABLE WATER SYSTEM 1. The Barangay government of Santiago, San Luis, Agusa</t>
  </si>
  <si>
    <t xml:space="preserve"> INVITATION TO BID SUPPLY AND DELIVERY OF 37 UNITS BRAND NEW TRACTORS (90HP) FOR  THE SUGAR REGULATORY ADMINISTRATION (SRA) Bid Reference No. GPG-B1-2020-357 Rebid (Previous Bid Ref. No. GPG-B1-2019-113) Approved Budget of the Contract – Php 71,594,427.24 </t>
  </si>
  <si>
    <t xml:space="preserve"> Package 031- as stated in ITB 2020-031, CRN 031-2020 [Procurement of Welfare Goods - Commercial Rice ].</t>
  </si>
  <si>
    <t xml:space="preserve"> 1.	The Municipality of Daram, through the General Fund (5% GAD) intends to apply the sum of One Million One Hundred Thousand Pesos (P1,100,000.00) being the Approved Budget for the Contract (ABC) to payments under the contract for Rehabilitation of Daram </t>
  </si>
  <si>
    <t xml:space="preserve"> Straight Contract for Improvement of Overflow See attached link/Url under OTHER INFORMATION BOX</t>
  </si>
  <si>
    <t xml:space="preserve"> CONSTRUCTION OF MATERIAL RECOVERY FACILITIES</t>
  </si>
  <si>
    <t xml:space="preserve"> 1.	Contract ID: 20EI0186 Contract Name: Concreting of Road, Panggulayan – Anoling – Buli,  Location: Pinamalayan, Oriental Mindoro Brief Description: Concreting of Road, Total Road Length = 2,580.50l.m. (5,161 lane km.), Pavement width = 5.00m, Pavement t</t>
  </si>
  <si>
    <t xml:space="preserve"> Straight Contract for Road Improvement See attached link/Url under OTHER INFORMATION BOX</t>
  </si>
  <si>
    <t xml:space="preserve"> INVITATION TO BID FOR  Supply, Delivery, Installation &amp; Commissioning of 50KVA Generator Set and ITB No. NIAR3-2020-BULO SRIP-G3 1.	NATIONAL IRRIGATION ADMINISTRATION – REGION 3, through the General Appropriations Act of CY 2020 intends to apply the sum o</t>
  </si>
  <si>
    <t xml:space="preserve"> Portable Toilet, Portalet Fixed 227L waste tank, Made of HDPE, With urinal, ventillation pipe, tissue holder, size 1.15mx1.15m x 2.3m with toilet seat and cover, door lock with indicator</t>
  </si>
  <si>
    <t xml:space="preserve"> I.    SAND AND GRAVEL     -     240.00    CU.M.</t>
  </si>
  <si>
    <t xml:space="preserve"> 2.	Contract ID: 20EI0187 Contract Name: Concreting of Road, Sitio Calunacon – Sitio Bating, Brgy. Milagrosa,  Location: Bulalacao, Oriental Mindoro Brief Description: Concreting of Road, Total Road Length = 1,450.00 l.m. (2,900 lane km.), Pavement width =</t>
  </si>
  <si>
    <t xml:space="preserve"> PURCHASE OF ADDITIONAL PUBLIC ADDRESS</t>
  </si>
  <si>
    <t xml:space="preserve"> Engine : 150cc Tyre : 4.5-12 Exchange front absorber Carriage : 1.1m x 1.6m Engine type : 1 cylinder, 4 stroke Starting System : electric/kick Clutch method : manual hand Fueltank type : 17L/ gasoline Tranmission system  : shaft drive Lgnition system : CD</t>
  </si>
  <si>
    <t xml:space="preserve"> PURCHASE OF ADDITIONAL CCTV</t>
  </si>
  <si>
    <t xml:space="preserve"> SUPPLY/ DELIVERY FOR THE PURCHASE OF DREDGING EQUIPMENT.</t>
  </si>
  <si>
    <t xml:space="preserve"> Concreting of San Pedro St, Concreting of Sta. Teresa and Nebrada Street Please see attached ITB and RFQ in Associated Component Section for Specifications</t>
  </si>
  <si>
    <t xml:space="preserve"> The Local Government Unit – Quinapondan, Eastern Samar, through its Bids &amp; Awards Committee (BAC ), intends to apply the sum of Nine Hundred Ninety Nine Thousand Eighty Four Pesos and and 84/100 (Php999,084.84) under the approved Appropriation Ordinance o</t>
  </si>
  <si>
    <t xml:space="preserve"> Engine with Transmission, 4 cylinder, rotary injection pump, diesel for coaster</t>
  </si>
  <si>
    <t xml:space="preserve"> 20M00191 - Completion/Rehabilitation of MPB covered court</t>
  </si>
  <si>
    <t xml:space="preserve"> 1. 1 unit MOTORCYCLE Specification:  ENGINE:150 cc Max Power                 4 stroke single POWER: 11HP, Fuel tank capacity (liters) STARTING SYSTEM: kick and Electrical Starter  FUEL SYSTEM: Carburator  IGNITION SYSTEM: DC CDI COOLING SYTEM: 57.30mmx57.</t>
  </si>
  <si>
    <t xml:space="preserve"> 3.	Contract ID: 20EI0188 Contract Name: Construction of 2 STY 6 CL, Marcelo I. Cabrera Vocational HS,  Location: Roxas, Oriental Mindoro Brief Description: Complete construction of 2 - Storey 6 - Classroom School Building 2 – 9.50mx35.00m (stair wall 5m w</t>
  </si>
  <si>
    <t xml:space="preserve"> Procurement and Delivery of One (1) unit 4x4 G 2.8L Diesel Manual Transmission Pick-Up Location: PNP-Balingasag, Barangay 6 Poblacion, Balingasag Misamis Oriental</t>
  </si>
  <si>
    <t xml:space="preserve"> I.   SAND AND GRAVEL         -      307.50    CU.M.</t>
  </si>
  <si>
    <t xml:space="preserve"> Republic of the Philippines PROVINCE OF NUEVA VIZCAYA Invitation to Bid for the  IMPROVEMENT OF UDDIAWAN-COMMONAL-ABLANG-CABULUAN-NAGBITIN ROAD Located at Solano and Villavede, Nueva Vizcaya  1.	The Provincial Government of Nueva Vizcaya, through the 2020</t>
  </si>
  <si>
    <t xml:space="preserve"> Description   INVITATION TO BID Republic of the Philippines Province of Antique Municipality of Anini-y Barangay Salvacion, Anini-y Antique BIDS &amp; AWARDS COMMITTEE INVITATION TO BID FOR PROCUREMENT OF VARIOUS MATERIALS The BLGU, Salvacion, Anini-y, Antiqu</t>
  </si>
  <si>
    <t xml:space="preserve"> Republic of the Philippines Province of Quezon MUNICIPALITY OF POLILLO ***** INVITATION TO BID FOR: CONSTRUCTION OF ANNEX BUILDING PHASE V BRGY. POBLACION POLILLO, QUEZON 1.	The Municipality of Polillo through the Supplemental Budget No. 1-2020 intends to</t>
  </si>
  <si>
    <t xml:space="preserve"> SUPPLY AND DELIVERY OF TRAINING MICROSCOPE -ORDER OF PAYMENT FOR BID DOCS WILL BE AVAILABLE AT GSD-HEAD OFFICE @ 10TH FLOOR MAKATI CITY HALL BLDG. 2. LOOK FOR MR. REDEN VILLANUEVA. A COMPLETE SET OF BIDDING DOCUMENTS WILL BE AVAILABLE FROM DAY OF POSTING/</t>
  </si>
  <si>
    <t xml:space="preserve"> INVITATION TO APPLY FOR ELIGIBILITY AND TO BID  One (1) Lot Geotechnical Equipment   ITB No. 2020-08-014 P.R. No. 2020-02-134 1.	The Mines and Geosciences Bureau, through the General Appropriations Act (GAA) for CY 2020 intends to apply the sum correspond</t>
  </si>
  <si>
    <t xml:space="preserve"> Republic of the Philippines				 Municipality of Roseller T. Lim				 OFFICE OF MUNICIPAL MAYOR				 Zamboanga Sibugay Province				 				 				 INVITATION TO PAKYAW GROUP				 				            The Municipality or Roseller T. Lim thru its Municipal Mayor, is invi</t>
  </si>
  <si>
    <t xml:space="preserve"> SUPPLY AND DELIVERY OF TWO (2) UNITS OF DIGITAL LEUKOCYTE DIFFERENTIAL COUNTER -ORDER OF PAYMENT FOR BID DOCS WILL BE AVAILABLE AT GSD-HEAD OFFICE @ 10TH FLOOR MAKATI CITY HALL BLDG. 2. LOOK FOR MR. REDEN VILLANUEVA. A COMPLETE SET OF BIDDING DOCUMENTS WI</t>
  </si>
  <si>
    <t xml:space="preserve"> INVITATION TO BID Bid No. B-126-2020 (*REBIDDING) 1.	The Provincial Government of Negros Oriental now invites bids for the rebidding of the requirements, viz: 	Project Name:	Source of Fund:	ABC: Project Name 5	 Four (4) Lots Construction Materials for use</t>
  </si>
  <si>
    <t xml:space="preserve"> SUPPLY AND DELIVERY OF PLASMA STERILIZER -ORDER OF PAYMENT FOR BID DOCS WILL BE AVAILABLE AT GSD-HEAD OFFICE @ 10TH FLOOR MAKATI CITY HALL BLDG. 2. LOOK FOR MR. REDEN VILLANUEVA. A COMPLETE SET OF BIDDING DOCUMENTS WILL BE AVAILABLE FROM DAY OF POSTING/PU</t>
  </si>
  <si>
    <t xml:space="preserve"> Republika ng Pilipinas PAMAHALAANG LUNGSOD NG TACLOBAN (City Government of Tacloban) Kanhuraw Hill, Tacloban City 6500 BIDS AND AWARDS COMMITTEE INVITATION TO BID  REF #051-08-2020 (AUGUST 13, 2020) PR# 2020-808 DATED 07-10-2020 PR# 2020-862 DATED 07-21-2</t>
  </si>
  <si>
    <t xml:space="preserve"> Republic of the Philippines Province of Leyte Municipality of Palo INVITATION TO BID FOR  Supply/Delivery of Laptop and Printer Units for the Virtual Learning Program of the District II of Palo, Leyte  Purchase Request No. 20-07-0421 1.	The Municipality o</t>
  </si>
  <si>
    <t xml:space="preserve"> BONDPAPER A4 (80 GSM)	 	 	 INVITATION TO BID Procurement of Supply and Delivery of Bondpaper A4 (80 GSM)  CY 2020 1.	The DepED-Division of Iligan City, through the Sub-Allotment Release Order No. OSEC-10-20-0845 intends to apply the sum of Php2,200,500.00</t>
  </si>
  <si>
    <t xml:space="preserve"> Republic of the Philippines Province of Leyte Municipality of Palo INVITATION TO BID FOR  Supply/Delivery of Appliances for the Virtual Learning Program of the District II of Palo, Leyte  Purchase Request No. 20-07-0427 1.	The Municipality of Palo, throug</t>
  </si>
  <si>
    <t xml:space="preserve"> The Local Government Unit of General Santos City, through the GENERAL FUND CY 2020 intends to apply the sum of three million four hundred twenty thousand and xx / 100 Pesos Only (3,420,000.00) being the Approved Budget for the Contract (ABC) to payments u</t>
  </si>
  <si>
    <t xml:space="preserve"> CITY GOVERNMENT OF DAVAO 20	Box/es	Carbon Paper, Plasto Foil Type, 100's long 50	Piece/s	Envelope Expanding Plastic, LONG 5	Piece/s	Envelope Plastic With Divider 29	Bottle/s	Ink for Stamp Pad, Violet Color 475ml 362	Ream/s	Paper Book, S-20 A4 White 4938	R</t>
  </si>
  <si>
    <t xml:space="preserve"> Barangay Libtertad and Barangay Marber Please see attached ITB and RFQ in Associated Component Section for Specifications</t>
  </si>
  <si>
    <t xml:space="preserve"> SUPPLY AND DELIVERY PASKUHAN GIVEAWAYS 2020 FOR MAKATI RESIDENTS -ORDER OF PAYMENT FOR BID DOCS WILL BE AVAILABLE AT GSD-HEAD OFFICE @ 10TH FLOOR MAKATI CITY HALL BLDG. 2. LOOK FOR MR. REDEN VILLANUEVA. A COMPLETE SET OF BIDDING DOCUMENTS WILL BE AVAILABL</t>
  </si>
  <si>
    <t xml:space="preserve"> Location: Banquerohan, Legazpi City, Albay Scope of Work: Complete Construction of modified 2-Storey 6-Classroom School Building (Concrete Slab Roof) which includes fire escape, steel casement window at rear portion with security grilles for the front jal</t>
  </si>
  <si>
    <t xml:space="preserve"> Item			 No.	Qty	Unit	            Items/Description 1	18	cu.m	5"- 8" dia Boulders 2	12	cu.m	Graded Gravel 3/4" dia 3	18	cu.m	Washed sand 4	87	bags	Portland cement 5	24	pcs.	Ordinary Plywood 3/8" x 4" x 8' 6	160	pcs.	Coco-Lumber 2" x 2" x 8' 7	57	pcs.	Coco-</t>
  </si>
  <si>
    <t xml:space="preserve"> Concreting of 1,304.00 l.m. gravel road (5m width; 0.20m thk.) with aggregate sub-base course, 0.20m thk., and slope protection @ selected sections</t>
  </si>
  <si>
    <t xml:space="preserve"> Republic of the Philippines Province of Iloilo MUNICIPALITY OF CARLES INVITATION TO BID 1.0 The Municipal Government of Carles, Province of Iloilo through its REALIGNMENT OF 20% IRA DEVELOPMENT FUND 2020 intends to apply the sum of Two Million Pesos Only </t>
  </si>
  <si>
    <t xml:space="preserve"> Republic of the Philippines Province of Misamis Oriental Municipality of Lugait -oOo- INVITATION TO BID FOR THE CONCRETING OF 330.0 L.M. FARM TO MARKET ROAD AT PUROK-2, BARANGAY KALUKNAYAN MUNICIPALITY OF LUGAIT, MISAMIS ORIENTAL The Municipality of Lugai</t>
  </si>
  <si>
    <t xml:space="preserve"> The DPWH-Regional Office I, through its Bids and Awards Committee (BAC), invites contractors to submit bids for the following Contract: Contract ID: 20A00214 (Rebid) Contract Name: Rehabilitation of Calincamasan - Quidem Road (including construction of tw</t>
  </si>
  <si>
    <t xml:space="preserve"> Please download ITB and Checklist in the Associated Components.</t>
  </si>
  <si>
    <t xml:space="preserve"> Supply and Delivery of Various Reagents &amp; Supplies Please see attached document for the Purchase Request and details of supplies.</t>
  </si>
  <si>
    <t xml:space="preserve"> Republic of the Philippines Province of Misamis Oriental Municipality of Lugait -oOo- INVITATION TO BID FOR THE CONCRETING OF  167.0 L.M. FARM TO MARKET ROAD AT SITIO, BARANGAY CALANGAHAN MUNICIPALITY OF LUGAIT, MISAMIS ORIENTAL The Municipality of Lugait</t>
  </si>
  <si>
    <t xml:space="preserve"> see attached file.</t>
  </si>
  <si>
    <t xml:space="preserve"> DESCRIPTION                                     QTY UPGRADED CATTLE                                                         50 heads                                             Specifications: a.  2.5-3 years old b.   250-300 kgs. c.  Surra &amp; Brucella neg</t>
  </si>
  <si>
    <t xml:space="preserve"> CTTMO 25	Piece/s	Chalk Stone 270	Piece/s	Glass Beads 1200	Bag/s	Thermo plastic powder, white, 25kg/bag 750	Bag/s	Thermo plastic powder, blue, 25kg/bag 750	Bag/s	Thermo plastic powder, green, 25kg/bag 		 See attached Terms and Condition for other requireme</t>
  </si>
  <si>
    <t xml:space="preserve"> OPENING OF BIDS IN DSWD FO IX ZAMBOANGA CITY		 DELIVERY IN DSWD-SWADT-LILOY ZAMBOANGA DEL NORTE		 PROCUREMENT FOR THE FF.:		 		 		 1 PCS PRINTER 3 IN 1 WITH SCANNER	@	 13,000.00  4 PCS PRINTER 3 IN 1	@	 7,800.00  3 PCS STORAGE BOX, 5 LITERS	@	 500.00  1 U</t>
  </si>
  <si>
    <t xml:space="preserve"> Republic of the Philippines Province of Iloilo Municipality of Carles BARANGAY ASLUMAN INVITATION TO BID 1.0 The Barangay Local Government of Asluman, Municipality of Carles, Province of Iloilo through its GRANT CY 2019 (Office of the Governor) intends to</t>
  </si>
  <si>
    <t xml:space="preserve"> Invitation to Bid PROPOSED DESIGN and BUILD of PEZA AUDITORIUM, COMMAND CENTER and HALL OF FLAGS including SUPPLY and INSTALLATION of EQUIPMENT, FURNITURE and other FURNISHINGS at the NEW PEZA OFFICE in the DOUBLE DRAGON WEST BUILDING (DDWB) (PEZA-HO-2020</t>
  </si>
  <si>
    <t xml:space="preserve"> Republic of the Philippines Province of South Cotabato BIDS AND AWARDS COMMITTEE City of Koronadal  INF-ITB 20-041 INVITATION TO BID  1.	The Provincial Government of South Cotabato, through the PEO-8751 20% LDF (8.3.2) and PEO-8751 (Add.l OBR) 20% LDF (8.</t>
  </si>
  <si>
    <t xml:space="preserve"> Republic of the Philippines Province of Iloilo MUNICIPALITY OF CARLES INVITATION TO BID 1.0 The Municipal Government of Carles, Province of Iloilo through its 5% DRRM FUND 2020 intends to apply the sum of Three Hundred Thousand One Hundred Ninety Pesos On</t>
  </si>
  <si>
    <t xml:space="preserve"> SUPPLY AND DELIVERY OF ONE UNIT TRUCK USE FOR EMERGENCY OPERATION &amp; EARLY WARNING MAINTENANCE The Local Government Unit of Mauban through the GENERAL FUND-9999/1-07-06-990, 2020 intends to apply the sum of Three million pesos (Php 3,000,000.00) being the </t>
  </si>
  <si>
    <t xml:space="preserve"> Republic of the Philippines Province of Iloilo MUNICIPALITY OF CARLES INVITATION TO BID 1.0 The Municipal Government of Carles, Province of Iloilo through its REALIGNMENT OF 20% IRA DEVELOPMENT FUND 2020 intends to apply the sum of One Million Forty Nine </t>
  </si>
  <si>
    <t xml:space="preserve"> Republic of the Philippines Province of Bukidnon MUNICIPALITY OF LIBONA INVITATION TO BID 27-20 cw 1.	The Local Government Unit of libona, through its Bids and Awards Committee (BAC) invites contractors registered with and classified by the Philippine Con</t>
  </si>
  <si>
    <t xml:space="preserve"> INVITATION TO BID IB-2020-114-INFRA         Improvement of Dario River, District VI, Quezon City 1.	The Metropolitan Manila Development Authority, through the 2020 General Appropriations Act (GAA) intends to apply the sum of Nineteen Million, Nine Hundred</t>
  </si>
  <si>
    <t xml:space="preserve"> Contract for the Construction of 3-Classroom Building @ Kinamayan IS The Municipality of Santo Tomas, through SEF - AB CY 2020 intends to apply the sum of P’ 2,235,970.29 being the Approved Budget for the Contract (ABC) to payments under the contract Cons</t>
  </si>
  <si>
    <t xml:space="preserve"> Republic of the Philippines Province of Cagayan Municipality of Baggao INVITATION TO BID FOR THE PROCUREMENT OF GOODS The LOCAL GOVERNMENT UNIT OF BAGGAO, CAGAYAN, through the 01-011-5-02-03-070 &amp; 01-011-5-02-03-990 intends to apply the sum of One Million</t>
  </si>
  <si>
    <t xml:space="preserve"> Please download ITR and Checklist in the Associated Components.</t>
  </si>
  <si>
    <t xml:space="preserve"> FABRICATION OF MATERIAL RECOVERY FACILITY (MRF) 3 UNITS</t>
  </si>
  <si>
    <t xml:space="preserve"> ION TO BID FOR THE PROPOSED CONCRETING OF BARANGAY AUDITORIUM/BASKETBALL COURT AT BARANGAY PANDAN, CITY OF ALAMINOS, PANGASINAN 1. The BARANGAY COUNCIL OF PANDAN,  ALAMINOS, PANGASINAN through its Development Fund intends to apply an amount of Two Hundred</t>
  </si>
  <si>
    <t xml:space="preserve"> Contract for the Rehabilitation of Comfort Rooms @ Public Market The Municipality of Santo Tomas, through Office of the Eco. Ent. Market Continuing Allotment intends to apply the sum of P’ 1,689,750.86 being the Approved Budget for the Contract (ABC) to p</t>
  </si>
  <si>
    <t xml:space="preserve"> INVITATION TO BID IB-2020-116-INFRA         Drainage Improvement along Asuncion St. and Vicinity, District I, Caloocan City 1.	The Metropolitan Manila Development Authority, through the 2020 General Appropriations Act (GAA) intends to apply the sum of Nin</t>
  </si>
  <si>
    <t xml:space="preserve"> I. REMOVAL OF EXISTING STRUCTURE 1 LOT II. CONCRETE WORKS (1 UNIT INTAKE) 3.83 CU.M. III. HAULING OF MATERIALS GOING TO CONSTRUCTION SITE 1 LOT</t>
  </si>
  <si>
    <t xml:space="preserve"> INVITATION TO BID IB-2020-113-INFRA         Rehabilitation of Pateros River, District I, Pateros 1.	The Metropolitan Manila Development Authority, through the 2020 General Appropriations Act (GAA) intends to apply the sum of Eighteen Million, Four Hundred</t>
  </si>
  <si>
    <t xml:space="preserve"> ITEM NO.	PARTICULARS	QTY	UOM 	Agricultural Supplies	 	  	Seeds		 1	Cacao Beans (Wet) 	7,575	    kg 2	Durian Fresh Seeds (Native)	2,861	 kg 	Fresh Fruits		 3	Mangosteen (Fresh fruits, class A)	150	kg 4	Lanzones (Fresh fruit, physiologically mature and ripe</t>
  </si>
  <si>
    <t xml:space="preserve"> Republic of the Philippines Province of Southern Leyte Municipality of Tomas Oppus Invitation to Bid  Procurement of Information and Communication Technology Equipment  (13 Units Inkjets 3 in 1 Printer) 1.	The Local Government of Tomas Oppus through Gener</t>
  </si>
  <si>
    <t xml:space="preserve"> ITEM           DESCRIPTION                            QTY.        UNIT I.               LAY-OUT / EXCAVATION                80          SQ.M                 II.              RIPRAP                                       88.00     CU.M. III.             CON</t>
  </si>
  <si>
    <t xml:space="preserve"> ITEM           DESCRIPTION                                  QTY.                  UNIT I.              Construction of Stage                         3.5x4               sq.m.</t>
  </si>
  <si>
    <t xml:space="preserve"> INVITATION TO BID IB-2020-111-INFRA         Drainage Improvement along Susano Road, District I, Caloocan City 1.	The Metropolitan Manila Development Authority, through the 2020 General Appropriations Act (GAA) intends to apply the sum of Eight Million, Fo</t>
  </si>
  <si>
    <t xml:space="preserve"> INVITATION TO BID IB-2020-112-INFRA         Rehabilitation of Pinagsama Creek, District II, Taguig City 1.	The Metropolitan Manila Development Authority, through the 2020 General Appropriations Act (GAA) intends to apply the sum of Thirteen Million, Four </t>
  </si>
  <si>
    <t xml:space="preserve"> Part II B		Other General Requirements	 B.5	Sq.m	Project Billboard/Signboard	6 Part A		Earthworks	 800	Lot	Clearing ang Grubbing	1 801	M3	Removal Structures/Obstruction	63.44 803(1)a	M3	Structure Excavation (Common Soil)	289.16 804(4)	M3	Gravel Bedding	52.</t>
  </si>
  <si>
    <t xml:space="preserve"> STOCK NO.	UNIT	ITEM DESCRIPTION				QTY	UNIT COST	TOTAL COST 		GENERAL SPECIFICATION						 1	unit	BRAND NEW PICK-UP				1	 2,190,000.00 	 2,190,000.00  		Description						 -    		Model 1GD-FTV						 -    		Drive Train 4x4						 -    		CAB Double						 -    </t>
  </si>
  <si>
    <t xml:space="preserve"> National Power Corporation INVITATION TO BID PUBLIC BIDDING 2020-0285 1.	The NATIONAL POWER CORPORATION (NPC), through       its        approved       Corporate Budget of CY 2020 intends to apply   the   sum   of (Please see schedule below) being the Appr</t>
  </si>
  <si>
    <t xml:space="preserve"> DESCRIPTION PROCUREMENT AND DELIVERY OF VARIOUS FERTILIZER AND PESTICIDES FOR RESEARCH DIVISION, RICE AND CORN PROGRAM CY 2020 LOT	PARTICULARS	QTY	UOM	 ABC  1	Fertilizers	 	 	23,113,000.00   	Urea (46-0-0) 50kgs/bag, with FPA reg.	21,652	bag	  	Complete F</t>
  </si>
  <si>
    <t xml:space="preserve"> Republic of the Philippines Province of Cagayan Municipality of Baggao INVITATION TO BID FOR THE PROCUREMENT OF GOODS The LOCAL GOVERNMENT UNIT OF BAGGAO, CAGAYAN, through the 01-011-5-02-03-070 &amp; 01-011-5-02-03-990 intends to apply the sum of Four Hundre</t>
  </si>
  <si>
    <t xml:space="preserve"> INVITATION TO BID FOR THE PROCUREMENT OF VARIOUS IT EQUIPMENT AND OPERATING SYSTEM</t>
  </si>
  <si>
    <t xml:space="preserve"> Invitation to Bid  IB-2020-121-INFRA Urban Re-Greening and Renewal Program 1.	The Metropolitan Manila Development Authority, through the Local Funds intends to apply the sums of  Lot. No.	Project Title	 ABC  1	Proposed Greening Plan of BCDA Footbridge @ C</t>
  </si>
  <si>
    <t xml:space="preserve"> 2.	The LGU-ALEGRIA] now invites bids for: Item No.	Quantity	Unit	            Item Description I.	         1.00	  Is.	         Site preparation 103	         217.50	  cu.m.	 Excavation for Structures II.	         10.00	  Cu.m	 Foundation fill III.	         </t>
  </si>
  <si>
    <t xml:space="preserve"> INVITATION TO BID IB-2020-115-INFRA         Drainage Improvement along Second Street and Vicinity, East Grace Park, District II, Caloocan City 1.	The Metropolitan Manila Development Authority, through the 2020 General Appropriations Act (GAA) intends to a</t>
  </si>
  <si>
    <t xml:space="preserve"> INVITATION TO BID IB-2020-120-INFRA         Improvement and Deepening of Lagarian Creek, Brgy. Kristong Hari, District IV, Quezon City 1.	The Metropolitan Manila Development Authority, through the 2020 General Appropriations Act (GAA) intends to apply the</t>
  </si>
  <si>
    <t xml:space="preserve"> Republic of the Philippines LOCAL GOVERNMENT UNIT OF IBA PROVINCE OF ZAMBALES Municipal Hall, R. Magsaysay Ave., Zone 1, Iba, Zambales (047) 602-1115/(047) 602-1122  ibasz2013@gmail.com Invitation to Bid for “CONCRETING OF 230 LM DANAC STREET WITH LINE</t>
  </si>
  <si>
    <t xml:space="preserve"> Republic of the Philippines Province of Cagayan Municipality of Baggao INVITATION TO BID FOR THE PROCUREMENT OF GOODS The LOCAL GOVERNMENT UNIT OF BAGGAO, CAGAYAN, through the 01-011-5-02-03-070 &amp; 01-011-5-02-03-990 intends to apply the sum of Two Hundred</t>
  </si>
  <si>
    <t xml:space="preserve"> INVITATION TO BID FOR PROCUREMENT OF VARIOUS CHEMICALS AND GLASSWARES FOR PUERTO PRINCESA SATELLITE ENVIRONMENTAL LABORATORY</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</si>
  <si>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</si>
  <si>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OPENING OF BIDS IN DSWD FO IX ZAMBOANGA CITY DELIVERY IN DSWD-SWADT-LILOY ZAMBOANGA DEL NORTE PROCUREMENT FOR THE FF.: 1 LOT OFFICE SUPPLIES 242 REAMS LONG BOND PAPER S-20, 500 PER SHEETS PER REAM 101 REAMS SHORT BOND PAPER S--20, 500 PER SHEET PER REAM 4</t>
  </si>
  <si>
    <t xml:space="preserve"> Section I. Invitation to Bid Republic of the Philippines PROVINCE OF ZAMBOANGA SIBUGAY Capitol Building, Ipil Heights, Ipil, Zamboanga Sibugay Invitation to Bid for  Construction of Water System (Drilling) @ Brgy. Mali Little Baguio, Imelda, Zamboanga Sib</t>
  </si>
  <si>
    <t xml:space="preserve"> 1.00 REMOVAL OF EXISTING STRUCTURES 2.00 EARTHWORKS 3.00 CONCRETE WORKS 4.00 FORMS &amp; SCAFFOLDINGS 5.00 REINFORCING BARS 6.00 MASONRY WORKS SPL-1 CONSTRUCTION HEALTH AND SAFETY SPL-11 BILLBOARD</t>
  </si>
  <si>
    <t xml:space="preserve"> Section I. Invitation to Bid Republic of the Philippines PROVINCE OF ZAMBOANGA SIBUGAY Capitol Building, Ipil Heights, Ipil, Zamboanga Sibugay Invitation to Bid for  Construction of Water System (Drilling) @ Brgy. Lumbog, Imelda, Zamboanga Sibugay 1.	The </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</si>
  <si>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</si>
  <si>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SUPPLY AND DELIVERY F THE FOLLOWING: lot 1- EQUIPMENT                    -   150,000.00 1	unit	Power Mist Blower		 		-Overall Weight - 10-12 Kilogram				 		-Engine Displacement: 55-60 cc				 		-Engine Power - 3-3.5 HP				 		-Container Capacity - 13-14L			</t>
  </si>
  <si>
    <t xml:space="preserve"> INVITATION TO BID PROVISION OF LEARNING RESOURCES for the IMPLEMENTATION of BASIC EDUCATION LEARNING CONTINUITY PLAN (BE-LCP) 1.	The Department of Education, through the Division of Taguig City and Pateros Bids and Awards Committee intends to apply the su</t>
  </si>
  <si>
    <t xml:space="preserve"> unit	Engine 150cc	2 	Power 12 HP	 	Start option kick &amp; Electric	 	ABS-NO	 	Pass Switch	 	Odometer – Analog	 	Transmission Type – Manual	 	Riding Modes – Street Road Off Road	 	Fuel Gauge – Analog	 	Front Brake – Disc	 	Rear brake – Drum	 	Head Lamp – Halo</t>
  </si>
  <si>
    <t xml:space="preserve"> job	Security Services	4 	4 person	 	12 hours duty/day	 		 	1 year contract from April 1, 2019 to March 31, 2020	 	4 guards per 12 hours on duty	 		 	Terms and conditions:	 	The Security Services/Agency shall provide the LGU during the Life of this contrac</t>
  </si>
  <si>
    <t xml:space="preserve"> Job Orders / Rental Equipments: 8 units Rental of Service Vehicle 4x4 Pick Up Vehicle:      Php 979,200.00 Fuel and Driver included wholeday use Total Amount: Php 979,200.00</t>
  </si>
  <si>
    <t xml:space="preserve"> Section I. Invitation to Bid Republic of the Philippines PROVINCE OF ZAMBOANGA SIBUGAY Capitol Building, Ipil Heights, Ipil, Zamboanga Sibugay Invitation to Bid for  Construction of Water System (Drilling) @ Brgy. San Jose, Imelda, Zamboanga Sibugay 1.	Th</t>
  </si>
  <si>
    <t xml:space="preserve"> Contract ID: 20-DO-0091 Contract Name: Public Markets/Farmers Markets (Bagsakan Centers) and Public Cemeteries Projects – Rehabilitation of Pililla Municipal Cemetery, Bagumbayan, Pililla, Rizal Contract Location	: Pililla, Rizal Brief Description	: Rehab</t>
  </si>
  <si>
    <t xml:space="preserve"> 10 pcs HEADLAMPS 														       - 300-350 Lumens														       - Run Time - 5-20 Hrs														       - Water Resistant														       - Switch Type: Normal Switch														       - Battery Compatibility - Alkaline, Lithium								</t>
  </si>
  <si>
    <t xml:space="preserve"> Construction of Seawall / Sea Protection Dike (Concrete Protection Dike = 100 Linear Meters Stretch along seashore of Barangay Pura, DBS) Concrete Wall and Floor / with Glazed Tiles at the top of the wall, Brick tiles on the floor.  The whole structure is</t>
  </si>
  <si>
    <t xml:space="preserve"> Invitation to Bid FOR PROCUREMENT OF ICT EQUIPMENT (REBIDDING) 1.The Philippine Science High School-Bicol Region Campus, through the General Appropriations Act FY 2020 intends to apply the total amount of Two Million Two Hundred Eighteen Thousand Five Hun</t>
  </si>
  <si>
    <t xml:space="preserve"> Head Rice</t>
  </si>
  <si>
    <t xml:space="preserve"> 20F00128 - CLUSTER IV: A. Repair/Maintenance of DOTR Building, LTO Regional Office Building, Rawis, Legazpi City; B. Repair/Maintenance of DOTR Building, LTFRB Canteen and Storage Building, Rawis, Legazpi City</t>
  </si>
  <si>
    <t xml:space="preserve"> THE OFFICE OF THE BIDS AND AWARDS COMMITTEE, SAN CARLOS CITY IS IN NEED OF SUPPLY/DELIVERY OF ONE (1) UNIT UTILITY VEHICLE. OVERALL (L X W X H):      4,435 X 1,695 X 1,705 WHEELBASE:                   2,685mm ENGINE TYPE:                 4 Cylinder, In-Li</t>
  </si>
  <si>
    <t xml:space="preserve"> 1.  1   set    Desktop Computer with Printer - All-in-one Monitor, 3-in-one CIS Printer - P45,000.00 2.  1   unit   CIS Computer Printer, 3n1 w/ long photo copier - P16,500.00 3.  1   unit   CIS Computer Printer, 3n1 A4 copier - P8,500.00 4.  1   unit   L</t>
  </si>
  <si>
    <t xml:space="preserve"> 1.  285   bags    Portland Cement 2.  17     cu.m.   Wash Sand 3.  30     cu.m.   Fine Gravel 4.  96     bd.ft.   12 - 2" x 4" x 12" Coco Lumber 5.  4       kgs.     4" CW Nails</t>
  </si>
  <si>
    <t xml:space="preserve"> 15   sets   Modular Tents</t>
  </si>
  <si>
    <t xml:space="preserve"> 1.  1  unit   Floor Mounted Air Conditioning  - P70,000.00 2.  2  units  Window Type Air Conditioning - P30,000.00</t>
  </si>
  <si>
    <t xml:space="preserve"> 1 unit Good Quality Chainsaw (big)</t>
  </si>
  <si>
    <t xml:space="preserve"> 1.  324   bags   40 kg. Portland Cement Type-1 2.  36     cu.m.  3/4" dia. Gravel (approved source) 3.  18     cu.m.  Wash Sand (approved source) 4.  8       lgths.  16mm dia. Def. Bars, Grade 40 5.  2       lgths.  16mm dia. Round Bars, Grade 40 6.  2   </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</si>
  <si>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</si>
  <si>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1.   60    bags    Portland Cement 2.   400  pcs.     4" Concrete Hollow Blocks 3.   2      cu.m.  Sand 4.   3      cu.m.  Gravel 5.   50    lgths.   16mm def. bars, grade 33 6.   40    lgths.   10mm def. bars, grade 33 7.   10    kls.      #16 Tie Wire 8</t>
  </si>
  <si>
    <t xml:space="preserve"> CONSTRUCTION AND INSTALLATION OF ELEVATOR AT MUNICIPAL HALL OF SANTO DOMINGO, ILOCOS SUR</t>
  </si>
  <si>
    <t xml:space="preserve"> 20F00115 - Local Program: National Roads and Bridges – National Roads – Construction/ Repair/ Rehabilitation/ Improvement of Various Infrastructure including Local Projects – Rehabilitation/Improvement along Daang Maharlika Highway Jct. Legazpi-Sto. Domin</t>
  </si>
  <si>
    <t xml:space="preserve"> Republic of the Philippines Province of Surigao del Sur MUNICIPALITY OF CANTILAN OFFICE OF THE BIDS AND AWARDS COMMITTEE INVITATION TO BID The Municipality of Cantilan allocates fund from 20% EDF 2016, 2017, 2018, 2019, 2020 for the Supply of Labor &amp; Mate</t>
  </si>
  <si>
    <t xml:space="preserve"> 1.  324   bags   40 kg. Portland Cement Type - 1 2.  36     cu.m.  3/4" dia. Gravel (approved source) 3.  18     cu.m.  Wash Sand (approved source) 4.  8       lgths.  16mm dia. Def. Bars, Grade 40 5.  2       lgths.  16mm dia. Round Bars, Grade 40 6.  2 </t>
  </si>
  <si>
    <t xml:space="preserve"> Republic of the Philippines Province of Surigao del Sur MUNICIPALITY OF CANTILAN OFFICE OF THE BIDS AND AWARDS COMMITTEE INVITATION TO BID The Municipality of Cantilan allocates fund from Supplemental Budget No. 1 2018 for the Supply &amp; Delivery of Materia</t>
  </si>
  <si>
    <t xml:space="preserve"> SUPPLY OF LABOR AND MATERIALS</t>
  </si>
  <si>
    <t xml:space="preserve"> Republic of the Philippines BIDS AND AWARDS COMMITTEE Province of Iloilo Invitation to Bid Purchase of Medical Equipment  Bid No.ADH-20-0948-B 1. The Iloilo Provincial Government, through the 2018 SUPPLEMENTAL BUDGET NO. 3-20% IRA intends to apply the sum</t>
  </si>
  <si>
    <t xml:space="preserve"> INVITATION TO BID FOR  INSTALLATION OF LED STREETLIGHTS AT VARIOUS RESETTLEMENT SITES FOR PEACE AND ORDER MONITORING @  GOLDEN HORIZON, SUNSHINE VILLE &amp; SOUTHVILLE 2 PHASE 3, TMC 1.	The City Government of Trece Martires, through the (RGAF) TRUST FUND  ( 2</t>
  </si>
  <si>
    <t xml:space="preserve"> INVITATION TO BID FOR  REHABILITATION OF CITYHALL BUILDING ( PHASE II) 1.	The City Government of Trece Martires, through the 20% DEVT. FUND  ( 2020) approved by the Sangguniang Panlungsod intends to apply the sum of TWO MILLION SEVEN HUNDRED NINETY NINE T</t>
  </si>
  <si>
    <t xml:space="preserve"> 1.	The Capiz Provincial Government, through the GOP–2020 intends to apply the total amount of Thirteen Million Three Hundred Ninety-Five Thousand Six Hundred Eighteen Pesos (Php, 13,395,618.00) being the total aggregated Approved Budget for the Contract (</t>
  </si>
  <si>
    <t xml:space="preserve"> 1.	The Provincial Government of Batanes, through the Provincial Appropriations Ordinance No. 03 series of 2019 (20% Development Fund) intends to apply the sum of One Million Three Hundred Ninety-One Thousand Two Hundred Eighty-Three Pesos and 56/100 Only </t>
  </si>
  <si>
    <t xml:space="preserve"> Republic of the Philippines PROVINCE OF ZAMBOANGA DEL NORTE BIDS AND AWARDS COMMITTEE (BAC) BAC Conference Room, Provincial Capitol Building, Dipolog City Telefax # (065) 212-6492                                                                            </t>
  </si>
  <si>
    <t xml:space="preserve"> REPUBLIC OF THE PHILIPPINES PROVINCE OF LA UNION MUNICIPALITY OF CABA BIDS AND AWARDS COMMITTEE INVITATION TO BID FOR THE PROCUREMENT OF INFRASTRUCTURE PROJECTS OF THE MUNICIPALITY The Local Government Unit of Caba, La Union, through the 2020 – 20% Mun. D</t>
  </si>
  <si>
    <t xml:space="preserve"> INVITATION TO BID IB No. GS-2020 – 097 Agricultural Products (Seeds, Seedlings, Plants…) for Distribution under Binhian sa Barangay and Mindoro Dinorado Rice Production Program-Agro Technology Resource and Management Services Division 1. The  Provincial  </t>
  </si>
  <si>
    <t xml:space="preserve"> 1.  1,000  mtrs.    Insulated Alu. Wire #6 2.  10       units    BPR210 LED 34/CW DW3 MPI, 27 watts 3.  3         lgths.   1-1/2 dia. G.I Pipe S40 4.  4         lgths.   1/4" x 1" x 1" Angle Bar 5.  3         lgths.   16mm Squarre Bar 6.  20       pcs.   </t>
  </si>
  <si>
    <t xml:space="preserve"> INVITATION TO APPLY FOR ELIGIBILITY AND TO BID The Barangay Local Government Unit of Brgy. Taliwa, Malitbog, Southern Leyte, through its Bids and Awards Committee (BAC) invites contractors registered with and classified by the Philippine Contractors Accre</t>
  </si>
  <si>
    <t xml:space="preserve"> Supply and delivery of various office supplies of different offices of the LGU-San Enrique, Iloilo.  Approved Budget for the Contract: Php. 324,457.00</t>
  </si>
  <si>
    <t xml:space="preserve"> INVITATION TO BID IB No. GS-2020 – 099 Vehicle for use of Bulalacao Community Hospital (BCH) 1. The  Provincial  Government  of  Oriental  Mindoro  (PGOM)  through  the  General Fund intends  to  apply  the  sum  of  Two Million Five Hundred Thousand Peso</t>
  </si>
  <si>
    <t xml:space="preserve"> INVITATION TO BID IB No. GS-2020 – 098 Chemicals and Chemical Products for use of the OMPH patients/2nd quarter 2020 1. The  Provincial  Government  of  Oriental  Mindoro  (PGOM)  through  the  Trust Fund intends  to  apply  the  sum  of  Two Million One </t>
  </si>
  <si>
    <t xml:space="preserve"> Republic of the Philippines Province of Samar  Municipality of Jiabong INVITATION TO BID FOR  PURCHASE OF VITAMIN C, E , FOR COVID RELATED ACTIVITY Jiab-2020-39A 1.	The Municipal Government of Jiabong, Samar, intends to apply the sum of ONE HUNDRED SEVENT</t>
  </si>
  <si>
    <t xml:space="preserve"> Republic of the Philippines                                                               PROVINCE OF ISABELA                                                             Municipality of Dinapigue                                      INVITATION TO APPLY FO</t>
  </si>
  <si>
    <t xml:space="preserve"> Material Recovery Facility Re: Machineries Machine 1: Glass Pulverizer Model: MGP-300, Capacity:300kg/hr; Drive: Electric; Motor: 7.5 horse power; Power Supply: 220 volts, 3 phase; Chamber size: 300mm x 260mm; Screen Hole size: 3/16" diameter; No. of cutt</t>
  </si>
  <si>
    <t xml:space="preserve"> Republic of the Philippines Province of Samar  Municipality of Jiabong INVITATION TO BID FOR  CATERING FOOD FOR THE LSI AND FRONTLINERS Jiab-2020-37A 1.	The Municipal Government of Jiabong, Samar, intends to apply the sum of FIVE HUNDRED THOUSAND PESOS ON</t>
  </si>
  <si>
    <t xml:space="preserve"> The Local Government Unit of Santa Fe, Nueva Vizcaya, through its Bids &amp; Awards Committee invites contractors to bid for the following project: Contract Name: 	PROCUREMENT OF ONE (1) UNIT BRAND NEW PICK-UP 4 x 4 MANUAL Contract Location: MEO, Santa Fe, Nu</t>
  </si>
  <si>
    <t xml:space="preserve"> Republic of the Philippines Province of Samar  Municipality of Jiabong INVITATION TO BID FOR  EMERGENCY PURCHASE OF SLEEPING SET Jiab-2020-35A 1.	The Municipal Government of Jiabong, Samar, intends to apply the sum of THREE HUNDRED THOUSAND PESOS ONLY (Ph</t>
  </si>
  <si>
    <t xml:space="preserve"> Road Concreting of Commercial Center (195.90 L.M.) ABC: Php 2,145,000.00 I. PROJECT BILLBOARD II. MOBILIZATION/DEMOBILIZATION III. ROADWAY EXCAVATION  IV. EMBANKMENT V. SUB-GRADE PREPARATION VI. AGGREGATE SUBBASE COURSE VII. PORTLAND CEMENT CONCRETE PAVEM</t>
  </si>
  <si>
    <t xml:space="preserve"> Republic of the Philippines DEPARTMENT OF PUBLIC WORKS AND HIGHWAYS Region X OFFICE OF THE REGIONAL DIRECTOR Engineers’ Hill, Bulua, Cagayan de Oro City INVITATION TO BID FOR CONTRACT ID NO. 20GSK00018 – VEHICLE RENTAL FOR USE IN THE PLANNING &amp; DESIGN DIV</t>
  </si>
  <si>
    <t xml:space="preserve"> 1.	The Capiz Provincial Government, through the GOP–2020 intends to apply the total amount of Twenty-Six Million Three Hundred Ninety-One Thousand Nine Hundred Eighty-Seven Pesos (Php,26,391,987.00) being the total aggregated Approved Budget for the Contr</t>
  </si>
  <si>
    <t xml:space="preserve"> Republic of the Philippines Department of Health Zamboanga Peninsula - Center for Health Development Upper Calarian, Zamboanga City  Tel no. 991-1313, 983-0932 to 34, fax 991-36500  E-mail: dohchdzp@yahoo INVITATION TO BID FOR THE CONTRACT ID: 20-08 - 108</t>
  </si>
  <si>
    <t xml:space="preserve"> Republic of the Philippines Province of Guimaras OFFICE OF THE BIDS AND AWARDS COMMITTEE INVITATION TO BID FOR    SUPPLY AND DELIVERY OF BOND PAPER Bid Ref. No. 2020-08-447 1.	The Province of Guimaras , through the Special Education Fund 2020 intends to a</t>
  </si>
  <si>
    <t xml:space="preserve"> Republic of the Philippines Province of Samar  Municipality of Jiabong INVITATION TO BID FOR  PURCHASE OF OFFICE EQUIPMENT Jiab-2020-38A 1.	The Municipal Government of Jiabong, Samar, intends to apply the sum of TWO HUNDRED TWENTY THOUSAND PESOS ONLY (Php</t>
  </si>
  <si>
    <t xml:space="preserve"> Republic of the Philippines Province of Samar  Municipality of Jiabong INVITATION TO BID FOR  EMERGENCY PURCHASE OF CATERING FOOD FOR THE LSI AND FRONTLINERS Jiab-2020-36A 1.	The Municipal Government of Jiabong, Samar, intends to apply the sum of THREE HU</t>
  </si>
  <si>
    <t xml:space="preserve"> Section 1. INVITATION to BID (IB) No. 2020-017 The Municipality of Cabiao, Nueva Ecija, through its Bids and Awards Committee (BAC), invites suppliers/manufacturers/distributors to apply for eligibility and to bid if found eligible, to bid for the followi</t>
  </si>
  <si>
    <t xml:space="preserve"> Republic of the Philippines Department of Health Zamboanga Peninsula - Center for Health Development Upper Calarian, Zamboanga City Tel no. 991-1313, 983-0932 to 34, fax 991-3380 E-mail: dohchdzp@yahoo DATE: _____________________ Quotation No.20-08-424 Co</t>
  </si>
  <si>
    <t xml:space="preserve"> Invitation to Bid  FOR THE SUPPLY, INSTALLATION, TESTING AND COMMISSIONING OF SECURITY SURVEILLANCE SYSTEM FOR THE NATIONAL LIBRARY OF THE PHILIPPINES (NLP)  1. The National Library of the Philippines (NLP), through the National Expenditure Budget (NEB) A</t>
  </si>
  <si>
    <t xml:space="preserve"> INVITATION TO BID IB 2020-005D 1.	The Batangas Medical Center through the General Appropriations Act intends to apply the sum of the following projects being the Approved Budget for the Contract (ABC) to payments under the contract for each bid. Bids rece</t>
  </si>
  <si>
    <t xml:space="preserve"> INVITATION TO REBID The Iligan City Government Bids and Awards Committee (BAC), through 2020-SUPPLEMENTAL BUDGET NO.1 intends to apply the sum of P 2,335,200.00 being the Approved Budget for the Contract (ABC) to payments under the Contract for Supply and</t>
  </si>
  <si>
    <t xml:space="preserve"> INVITATION TO BID IB 2020-005H 1.	The Batangas Medical Center through the General Appropriations Act intends to apply the sum of the following projects being the Approved Budget for the Contract (ABC) to payments under the contract for each bid. Bids rece</t>
  </si>
  <si>
    <t xml:space="preserve"> The LGU - Mariveles, through the Budget of the Contract Approved by the Sanggunian of 2020 intends to apply the sum of One Million, Six Hundred Sixty-Eight Thousand, Nine Hundred Twenty-Eight and 9/100 Pesos (Php 1,669,928.09) being the Approved Budget fo</t>
  </si>
  <si>
    <t xml:space="preserve"> Republic of the Philippines Department of Science and Technology PHILIPPINE SCIENCEHIGH SCHOOL -  CENTRAL MINDANAO CAMPUS BIDS AND AWARDS COMMITTEE Nangka, Balo-i, Lanao del  Norte Telephone Nos. (063) 836-0098 www.cmc.pshs.edu.ph INVITATION TO BID FOR TH</t>
  </si>
  <si>
    <t xml:space="preserve"> 1 unit 75 KVA Generator Set (Single Phase)</t>
  </si>
  <si>
    <t xml:space="preserve"> Republic of the Philippines DEPARTMENT OF PUBLIC WORKS AND HIGHWAYS Region X OFFICE OF THE REGIONAL DIRECTOR Engineers’ Hill, Bulua, Cagayan de Oro City INVITATION TO BID FOR CONTRACT ID NO. 20GSK00017 – SUPPLY &amp; DELIVERY OF OFFICE CONSUMABLES FOR THE USE</t>
  </si>
  <si>
    <t xml:space="preserve"> INVITATION TO BID IB 2020-005F 1.	The Batangas Medical Center through the General Appropriations Act intends to apply the sum of the following projects being the Approved Budget for the Contract (ABC) to payments under the contract for each bid. Bids rece</t>
  </si>
  <si>
    <t xml:space="preserve"> INVITATION TO BID IB 2020-005E 1.	The Batangas Medical Center through the General Appropriations Act intends to apply the sum of the following projects being the Approved Budget for the Contract (ABC) to payments under the contract for each bid. Bids rece</t>
  </si>
  <si>
    <t xml:space="preserve"> INVITATION TO BID IB 2020-005	B 1.	The Batangas Medical Center through the General Appropriations Act intends to apply the sum of the following projects being the Approved Budget for the Contract (ABC) to payments under the contract for each bid. Bids rec</t>
  </si>
  <si>
    <t xml:space="preserve"> INVITATION TO BID IB 2020-005A 1.	The Batangas Medical Center through the General Appropriations Act intends to apply the sum of the following projects being the Approved Budget for the Contract (ABC) to payments under the contract for each bid. Bids rece</t>
  </si>
  <si>
    <t xml:space="preserve"> 1. The Department of Agriculture – Regional Field Office – Cordillera Administrative Region (DA-RFO-CAR) intends to apply part of its CY 2020 General Appropriation Act (GAA) the total sum of Five Hundred Five Thousand Five Hundred Pesos (P505,500.00) bein</t>
  </si>
  <si>
    <t xml:space="preserve"> 1. The Department of Agriculture – Regional Field Office – Cordillera Administrative Region (DA-RFO-CAR) intends to apply part of its CY 2020 General Appropriation Act (GAA) the total sum of One Million Two Hundred Thousand Pesos (P1,200,000.00) being the</t>
  </si>
  <si>
    <t xml:space="preserve"> 1. The Department of Agriculture – Regional Field Office – Cordillera Administrative Region (DA-RFO-CAR) intends to apply part of its CY 2020 General Appropriation Act (GAA) the total sum of Four Million Four Hundred Fifty Two Thousand Five Hundred Pesos </t>
  </si>
  <si>
    <t xml:space="preserve"> INVITATION TO BID IB 2020-005C 1.	The Batangas Medical Center through the General Appropriations Act intends to apply the sum of the following projects being the Approved Budget for the Contract (ABC) to payments under the contract for each bid. Bids rece</t>
  </si>
  <si>
    <t xml:space="preserve"> INVITATION TO BID IB 2020-004 1.	The Batangas Medical Center through the General Appropriations Act intends to apply the sum of the following projects being the Approved Budget for the Contract (ABC) to payments under the contract for each bid. Bids recei</t>
  </si>
  <si>
    <t xml:space="preserve"> 1. The Department of Agriculture – Regional Field Office – Cordillera Administrative Region (DA-RFO-CAR) intends to apply part of its CY 2020 General Appropriation Act (GAA) the total sum of Two Million One Hundred Four Thousand Pesos (P2,104,000.00) bein</t>
  </si>
  <si>
    <t xml:space="preserve"> INVITATION TO BID IB 2020-005G 1.	The Batangas Medical Center through the General Appropriations Act intends to apply the sum of the following projects being the Approved Budget for the Contract (ABC) to payments under the contract for each bid. Bids rece</t>
  </si>
  <si>
    <t xml:space="preserve"> Republic of the Philippines Bangsamoro Autonomous Region in Muslim Mindanao Province of Maguindanao MUNICIPALITY OF MATANOG Invitation to Bid  REHABILITATION OF MUNICIPAL PATHWAYS 1.	The Municipality of Matanog, through the 2020 Annual Performance Budget </t>
  </si>
  <si>
    <t xml:space="preserve"> Republic of the Philippines Province of Samar  Municipality of Jiabong INVITATION TO BID FOR  PURCHASE OF PPE FOR COVID RELATED ACTIVITY (2) Jiab-2020-41A 1.	The Municipal Government of Jiabong, Samar, intends to apply the sum of NINETY NINE SEVEN HUNDRE3</t>
  </si>
  <si>
    <t xml:space="preserve"> Republic of the Philippines Province of Samar  Municipality of Jiabong INVITATION TO BID FOR  PURCHASE OF PPE FOR COVID RELATED ACTIVITY Jiab-2020-40A 1.	The Municipal Government of Jiabong, Samar, intends to apply the sum of ONE HUNDRED FIFTY SIX THOUSAN</t>
  </si>
  <si>
    <t xml:space="preserve"> Republic of the Philippines Province of Guimaras OFFICE OF THE BIDS AND AWARDS COMMITTEE INVITATION TO BID FOR    SUPPLY AND DELIVERY OF DESKTOP COMPUTER AND LAPTOP Bid Ref. No. 2020-08-448 1.	The Province of Guimaras , through the Special Education Fund </t>
  </si>
  <si>
    <t xml:space="preserve"> Republic of the Philippines Province of Surigao del Sur MUNICIPALITY OF CANTILAN OFFICE OF THE BIDS AND AWARDS COMMITTEE INVITATION TO BID The Municipality of Cantilan allocates fund from 20% EDF 2020 for the Supply of Labor &amp; Materials for Rehabilitation</t>
  </si>
  <si>
    <t xml:space="preserve"> 1. 33 bd.ft.  10-2" x 2" x 10' Coco Lumber 2. 2   kls.     4" Common Wire Nails 3. 240 bags  Portland Cement 4. 19  cu.m.  Sand 5.  7   cu.m.  Gravel 6. 53  cu.m.  Boulders (head size) 7. 5    kls.     Tie Wire 8. 28  lgths.  10mm Def. Bars 9. 10  lgths. </t>
  </si>
  <si>
    <t xml:space="preserve"> Republic of the Philippines Province of Cagayan Municipality of Baggao INVITATION TO BID FOR THE PROCUREMENT OF GOODS The LOCAL GOVERNMENT UNIT OF BAGGAO, CAGAYAN, through the 01-011-5-02-03-070 &amp; 01-011-5-02-03-990 intends to apply the sum of Three Hundr</t>
  </si>
  <si>
    <t xml:space="preserve"> Contract ID: 20-DO-0090 Contract Name: Public Markets/Farmers Markets (Bagsakan Centers) and Public Cemeteries Projects – Rehabilitation of Tanay Municipal Cemetery, Plaza Aldea and Tandang Kutyo, Tanay, Rizal Contract Location	: Tanay, Rizal Brief Descri</t>
  </si>
  <si>
    <t xml:space="preserve"> 1. The Department of Agriculture – Regional Field Office – Cordillera Administrative Region (DA-RFO-CAR) intends to apply part of its CY 2020 General Appropriation Act (GAA) the total sum of Eight Million Sixty One Thousand Five Hundred Pesos (P8,061,500.</t>
  </si>
  <si>
    <t xml:space="preserve"> Contract ID: 20-DO-0089 Contract Name: Repair/Maintenance of DOJ Building, Registry of Deeds Office Building, Brgy. San Pedro, Morong, Rizal Contract Location	: Morong, Rizal Brief Description	: Repair/Maintenance of Office Building Approved Budget for th</t>
  </si>
  <si>
    <t xml:space="preserve"> INVITATION TO BID IB-2020-119-INFRA         Additional Relief Pumping Station, Brgy. Salapan, San Juan City 1.	The Metropolitan Manila Development Authority, through the 2020 General Appropriations Act (GAA) intends to apply the sum of Twenty-Three Millio</t>
  </si>
  <si>
    <t xml:space="preserve"> Republic of the Philippines Province of Samar  Municipality of Jiabong INVITATION TO BID FOR  PURCHASE OF HYGIENE KIT AND EATING UTENSILS FOR COVID RELATED ACTIVITY  Jiab-2020-42A 1.	The Municipal Government of Jiabong, Samar, intends to apply the sum of </t>
  </si>
  <si>
    <t xml:space="preserve"> Supply and Delivery of Gasoline &amp; 2T Oil</t>
  </si>
  <si>
    <t xml:space="preserve"> INVITATION TO BID IB-2020-118-INFRA         Rehabilitation of Maytunas Creek, Mandaluyong City 1.	The Metropolitan Manila Development Authority, through the 2020 General Appropriations Act (GAA) intends to apply the sum of Twenty-Three Million, Four Hundr</t>
  </si>
  <si>
    <t xml:space="preserve"> Invitation to Bid FOR PROCUREMENT OF OFFICE SUPPLIES AND CONSUMABLES (REBIDDING) 1.The Philippine Science High School-Bicol Region Campus, through the General Appropriations Act FY 2020 intends to apply the total amount of FIVE HUNDRED SEVENTY-FIVE THOUSA</t>
  </si>
  <si>
    <t xml:space="preserve"> Republic of the Philippines Province of Southern Leyte Municipality of Tomas Oppus Invitation to Bid  Procurement of Thermal Gun 1.	The Local Government of Tomas Oppus through General Fund intends to apply the sum of One Hundred Thirty Five Thousand Pesos</t>
  </si>
  <si>
    <t xml:space="preserve"> I. CONCRETE WORKS 32.28 SQ.M. (FLOORING)</t>
  </si>
  <si>
    <t xml:space="preserve"> Republic of the Philippines LOCAL GOVERNMENT UNIT OF IBA PROVINCE OF ZAMBALES Municipal Hall, R. Magsaysay Ave., Zone 1, Iba, Zambales (047) 602-1115/(047) 602-1122  ibasz2013@gmail.com Invitation to Bid for “CONSTRUCTION OF LINED CANAL AT GAMBOA ST. P</t>
  </si>
  <si>
    <t xml:space="preserve"> INVITATION TO BID IB-2020-110-INFRA         Rehabilitation / Improvement and Maintenance of Drainage System along Remedios St. and Vicinity, Malate, District V, Manila 1.	The Metropolitan Manila Development Authority, through the 2020 General Appropriatio</t>
  </si>
  <si>
    <t xml:space="preserve"> Republic of the Philippines Province of Southern Leyte Municipality of Tomas Oppus Invitation to Bid  Procurement of Office Equipment (2 Units Digital Duplicator Machine with FREE Heavy Duty Multi-Function Copier Machine - Laser Printer) 1.	The Local Gove</t>
  </si>
  <si>
    <t xml:space="preserve"> I. REMOVAL OF EXISTING STRUCTURE 1 LOT II. EXCAVATION WORKS 6.63 CU.M. III. CONCRETE WORKS 112.00 CU.M. IV. MASONRY WORKS (FIN. ONE SIDE ONLY) 34 SQ.M. V. ROOFING WORKS 78.28 SQ.M.</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</si>
  <si>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</si>
  <si>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Republic of the Philippines Province of Davao de Oro MUNICIPALITY OF COMPOSTELA BIDS AND AWARDS COMMITTEE CP#: 0998-571-7569 INVITATION TO BID FOR  HOUSE CONSTRUCTION FOR BOLOHATON SETTLERS VILLAGE (RESETTLEMENT AREA) – Procurement of Materials  ITB NO. 2</t>
  </si>
  <si>
    <t xml:space="preserve"> CONCRETING</t>
  </si>
  <si>
    <t xml:space="preserve"> INVITATION TO BID IB-2020-117-INFRA         Improvement of Marulas Creek, District II, Valenzuela City 1.	The Metropolitan Manila Development Authority, through the 2020 General Appropriations Act (GAA) intends to apply the sum of Nine Million, Nine Hundr</t>
  </si>
  <si>
    <t xml:space="preserve"> INVITATION TO APPLY FOR ELIGIBILITY AND BID								 								 The  Barangay Nagba of  Maasin,  Iloilo,  through  its  Bids  and  Awards  Committee (BAC),  invites  suppliers/								 distributors/ contractors to apply for eligibility and to bid for the her</t>
  </si>
  <si>
    <t xml:space="preserve"> Republic of the Philippines REGION IX PROVINCE OF ZAMBOANGA DEL SUR Pagadian City Provincial CapitolPagadian City INVITATION TO APPLY FOR ELIGIBILITY AND TO BID The Provincial Government of Zamboanga del Sur, through its Bids and Awards Committee (BAC), i</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</si>
  <si>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</si>
  <si>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INVITATION TO BID IB 2020-005L 1.	The Batangas Medical Center through the General Appropriations Act intends to apply the sum of the following projects being the Approved Budget for the Contract (ABC) to payments under the contract for each bid. Bids rece</t>
  </si>
  <si>
    <t xml:space="preserve"> INVITATION TO BID IB 2020-005K 1.	The Batangas Medical Center through the General Appropriations Act intends to apply the sum of the following projects being the Approved Budget for the Contract (ABC) to payments under the contract for each bid. Bids rece</t>
  </si>
  <si>
    <t xml:space="preserve"> INVITATION TO BID IB 2020-005J 1.	The Batangas Medical Center through the General Appropriations Act intends to apply the sum of the following projects being the Approved Budget for the Contract (ABC) to payments under the contract for each bid. Bids rece</t>
  </si>
  <si>
    <t xml:space="preserve"> 1.	The Department of Health-Eastern Visayas Center for Health Development  through the Bids and Awards Committee (BAC) invites suppliers to bid for the hereunder projects for CY 2020: Procurement of Hospital Equipment II (DOH  Delivery) 1.	Normal Spontane</t>
  </si>
  <si>
    <t xml:space="preserve"> INVITATION TO BID IB 2020-005M 1.	The Batangas Medical Center through the General Appropriations Act intends to apply the sum of the following projects being the Approved Budget for the Contract (ABC) to payments under the contract for each bid. Bids rece</t>
  </si>
  <si>
    <t xml:space="preserve"> 1.	The Department of Health-Eastern Visayas Center for Health Development  through the Bids and Awards Committee (BAC) invites suppliers to bid for the hereunder projects for CY 2020: Procurement of  Hospital Equipment I (DOH Delivery) Procurement of  Hos</t>
  </si>
  <si>
    <t xml:space="preserve"> 1.	The Department of Health-Eastern Visayas Center for Health Development  through the Bids and Awards Committee (BAC) invites suppliers to bid for the hereunder projects for CY 2020: Procurement of Hospital Equipment II (On-site Delivery) 1)	Electro-hydr</t>
  </si>
  <si>
    <t xml:space="preserve"> INVITATION TO BID IB 2020-005I 1.	The Batangas Medical Center through the General Appropriations Act intends to apply the sum of the following projects being the Approved Budget for the Contract (ABC) to payments under the contract for each bid. Bids rece</t>
  </si>
  <si>
    <t xml:space="preserve"> 1.	The Department of Health-Eastern Visayas Center for Health Development  through the Bids and Awards Committee (BAC) invites suppliers to bid for the hereunder projects for CY 2020: Procurement of Hospital Equipment IV (DOH Delivery) 1.	Computer System </t>
  </si>
  <si>
    <t xml:space="preserve"> 1.	The Department of Health-Eastern Visayas Center for Health Development  through the Bids and Awards Committee (BAC) invites suppliers to bid for the hereunder projects for CY 2020: Procurement of  Hospital Equipment I (On-site Delivery) 1)	X-ray Machin</t>
  </si>
  <si>
    <t xml:space="preserve"> 1.	The Department of Health-Eastern Visayas Center for Health Development  through the Bids and Awards Committee (BAC) invites suppliers to bid for the hereunder projects for CY 2020: Procurement of Hospital Equipment III (On-site Delivery) 1)	Clinical Ch</t>
  </si>
  <si>
    <t xml:space="preserve"> 1.	The Department of Health-Eastern Visayas Center for Health Development  through the Bids and Awards Committee (BAC) invites suppliers to bid for the hereunder projects for CY 2020: Procurement of Hospital Equipment III (DOH Delivery) 1.	Instrument Cabi</t>
  </si>
  <si>
    <t xml:space="preserve"> Republic of the Philippines Province of Surigao del Sur MUNICIPALITY OF CANTILAN OFFICE OF THE BIDS AND AWARDS COMMITTEE INVITATION TO BID The Municipality of Cantilan allocates fund from Supplemental Budget No. 1 2019 for the Supply &amp; Delivery of One Uni</t>
  </si>
  <si>
    <t xml:space="preserve"> OPENING OF BIDS IN DSWD FO IX ZAMBOANGA CITY		 DELIVERY IN AVRC III MAMPANG PROCUREMENT FOR THE FF.		 		 2 pcs. 24 x 72" COMPUTERIZED PRINTOUT STICKER 30mm ACRYLIC OF AVRC III VISSION, MISSION AND OBJECTIVES IN ENGLISH , CHAVACANO, VISAYAN, AND TAUSOG	@ 1</t>
  </si>
  <si>
    <t xml:space="preserve"> INVITATION TO BID 							 INFRA 2020 - 08 - 003 							 							                The Bids and Award Committee (BAC) of the Municipality of Tuba, Benguet Province, through the 20% Municipal Development Fund CY 2019, 20% Municipal Development Fund CY 2020, 20</t>
  </si>
  <si>
    <t xml:space="preserve"> Republic of the Philippines Province of Southern Leyte MUNICIPALITY OF SAINT BERNARD BIDS AND AWARDS COMMITTEE INVITATION TO RE-BID FOR Supply and Delivery of Construction Materials for Const. /Improvement of Day Care Center Bldg. cum Evacuation Center BA</t>
  </si>
  <si>
    <t xml:space="preserve"> PLEASE DOWNLOAD THE ATTACHMENT/S FOR REFERENCE. Important Notes and Conditions: You can submit your quotation ON or BEFORE AUGUST 18, 2020 at 10:00 AM with the photocopy of the following legal documents: a. Mayor’s / Business Permit  b. PhilGEPS Registrat</t>
  </si>
  <si>
    <t xml:space="preserve"> 1.	The Department of Health-Eastern Visayas Center for Health Development  through the Bids and Awards Committee (BAC) invites suppliers to bid for the hereunder projects for CY 2020: Procurement of Hospital Equipment IV (On-site Delivery) 1)	Generator se</t>
  </si>
  <si>
    <t xml:space="preserve"> INVITATION TO BID IB 2020-005N 1.	The Batangas Medical Center through the General Appropriations Act intends to apply the sum of the following projects being the Approved Budget for the Contract (ABC) to payments under the contract for each bid. Bids rece</t>
  </si>
  <si>
    <t xml:space="preserve"> Please see attached Bid Document for more details School Sites: 1. Pongayan Elementary School, Kapangan, Benguet = Construction of Retaining Wall 2. Tabio National High School, Mankayan, Benguet = 2 Classrooms Bid Docs Price: PhP5,000.00</t>
  </si>
  <si>
    <t xml:space="preserve"> Republic of the Philippines Province of Leyte BRGY. TOLIBAO, CAPOOCAN, LEYTE -oOo- BIDS AND AWARD COMMITTEE INVITATION TO BID  FOR THE PROCUREMENT OF SUPPLY AND MATERIALS FOR THE IMPROVEMENT OF MULTI-PURPOSE CENTER 1.	The Brgy. Tolibao Capoocan, Leyte, th</t>
  </si>
  <si>
    <t xml:space="preserve"> BRAND NEW VEHICLE 4 X2, 2.4L DIESEL, Sports Utillty Vehicle (SUV)					 Including LTO Registration 					 With rain gutter/visor, tint, floor mats, seat covers, set of tools,  WARRANTY					 ENGINE:					 Type: 4 cylinder In-line, DOHC 16 valve, variable nozz</t>
  </si>
  <si>
    <t xml:space="preserve"> INVITATION TO BID FOR Supply and Delivery of PC Tablet for SDO Benguet Personnel to be used for Webinars and Teleconference (Goods-2020-002) 1. The DepEd CAR, Schools Division of Benguet, through the General Appropriations Act 2020 intends to apply the su</t>
  </si>
  <si>
    <t xml:space="preserve"> Purchase of Materials for the water system facilities and semi-expandable equipment...</t>
  </si>
  <si>
    <t xml:space="preserve"> Purchase of various learning materials to be given to each students...</t>
  </si>
  <si>
    <t xml:space="preserve"> Supply and Delivery of Materials</t>
  </si>
  <si>
    <t xml:space="preserve"> Please see attached Bidding Documents for more details. School Sites: 1. Binga Elementary School, Itogon 2. Nawal Elementary School, Bokod Bid Docs Price: PhP1,000.00</t>
  </si>
  <si>
    <t xml:space="preserve"> Republic of the Philippines PROVINCE OF MARINDUQUE Capitol Boac, Marinduque OFFICE OF BIDS AND AWARDS COMMITTEE Invitation to Bid  Furnishing labor, materials and rental of equipment for the Rehab./Improvement of Brgy. Water System at Brgy. Banot, Gasan, </t>
  </si>
  <si>
    <t xml:space="preserve"> Invitation to Bid 									August 12, 2020 	 1.	 The Municipal Government of Tinoc through the Bids and Awards Committee advertised an Invitation to bid for the Procurement of Office Supplies, Other Supplies and Materials, Office Equipment and IT Equipmen</t>
  </si>
  <si>
    <t xml:space="preserve"> Republic of the Philippines Province of Batangas Municipality of San Juan BIDS AND AWARDS COMMITTEE INVITATION TO APPLY FOR ELIGIBILITY AND TO BID THE LOCAL  GOVERNMENT UNIT OF BRGY. NAGSAULAY, SAN JUAN, BATANGAS, through its Bids and Awards Committee(BAC</t>
  </si>
  <si>
    <t xml:space="preserve"> Engine	:	4 Cylinder, 2500cc to 3000cc 	:	Transmission: 6 Speed Mannual Ambulance equipment	:	1 Installed Toplight w/ Siren &amp; PA System - TBD0 Red/Blue 	:	1 Construct Medical Cabinet (wall to wall) 	:	1 Install Fully Collapsable Stretcher w/ Locking Mechan</t>
  </si>
  <si>
    <t xml:space="preserve"> 1. 42.67 bd.ft 4"x 4"x8' COCO LUMBER 2. 32 bd.ft 4"x4"x6' COCO LUMBER 3.180 bd.ft 2"x5"x8' COCO LUMBER 4. 32 bd.ft 2"x4"x12' COCO LUMBER 5. 90 bd.ft 2"x3"x10' COCO LUMBER 6. 301.33 bd.ft 2"x2"x8' COCO LUMBER 7. 6 bd.ft 2"x4"x8' COCO LUMBER 8. 19 pcs 4"x8"</t>
  </si>
  <si>
    <t xml:space="preserve"> Republic of the Philippines PROVINCE OF MARINDUQUE Capitol Boac, Marinduque OFFICE OF BIDS AND AWARDS COMMITTEE Invitation to Bid  Furnishing labor, materials and equipment for the Improvement of Ogbac Multi-Purpose Building/ Evacuation Center (Phase I) a</t>
  </si>
  <si>
    <t xml:space="preserve"> Construction Projects-Subdivision &amp; Road Development for Tandag Housing &amp; Resettlement (Main Subdivision Road)Mabua-Telaje, Tandag City</t>
  </si>
  <si>
    <t xml:space="preserve"> INVITATION TO BID The Brgy. Kabatuan Baybay City, Leyte invites all interested qualified / eligible bidders for the following procurement to wit; Item I Contract Name: Contract Location: Item to be Bid ABC Contract Duration:	KABATUAN202001 REHABILITATION </t>
  </si>
  <si>
    <t xml:space="preserve"> ENGINE Displacement=2000 cc to 3000 cc 130 Hp. To 150 Hp Engine 4 Cylinder 5 speed Manual Control 1 Passenger Front and 12 Passenger Rear Capasity</t>
  </si>
  <si>
    <t xml:space="preserve"> Municipality of Dumanjug, Cebu through the SB Resolution No. 2018-136 Series of 2018  intends to apply the sum of TWO MILLION PESOS ONLY (Php 2,000,000.00) being the Approved Budget for the Contract (ABC) to payments under the contract for GOODS 2020-08-0</t>
  </si>
  <si>
    <t xml:space="preserve"> Please see attached Bid Documents for more details. School Sites 1. Tawang Barrio School, Kapangan, Benguet = 3 classrooms 2. Boneng Elementary School, Atok, Benguet = 9 classrooms Bid Docs Price: PhP5,000.00</t>
  </si>
  <si>
    <t xml:space="preserve"> Invitation to Bid for SUPPLY AND DELIVERY OF OFFICE EQUIPMENT  FOR MDRRM OFFICE The Municipal Government of Looc, Romblon, through the AO-NO. 018-2019 Regular intends to apply the sum of Eighty Thousand Pesos Only (P 80,000.00) being the Approved Budget f</t>
  </si>
  <si>
    <t xml:space="preserve"> Contract ID: 20GKK0033 Contract Name: Supply and Delivery of Office Equipment to be used by RROW Personnel Contract Location: DPWH-MOFDEO, Gingoog City Brief Description of Goods to be procured: Office Equipment Approved Budget for the Contract (ABC): PhP</t>
  </si>
  <si>
    <t xml:space="preserve"> INVITATION TO BID FOR  SUPPLY AND DELIVERY OF THREE (3) UNITS DIGITAL DUPLICATORS MACHINE 1.	The Local Government Unit of Laoang, through the Special Education Fund  intends to apply the sum of Four Hundred Fifty Thousand (Php450,000.00) being the Approve</t>
  </si>
  <si>
    <t xml:space="preserve"> A. Site Clearing, Grubbing &amp; Lay-out      B. Common Earth Excavation      C. Embankment (Backfill &amp; Gravel Bed)      D. Soil Poisoning      E. Structural Concrete (Footing)      F. Structural Concrete (Ground Tie Beam &amp; Slab on Fill)      G. Structural Co</t>
  </si>
  <si>
    <t xml:space="preserve"> Bridgette Smart School Management System</t>
  </si>
  <si>
    <t xml:space="preserve"> Republic of the Philippines PROVINCE OF MARINDUQUE Capitol Boac, Marinduque OFFICE OF BIDS AND AWARDS COMMITTEE Invitation to Bid  Furnishing labor, materials and equipment for the Concreting of Balogo-Buliasnin Road at Boac, Marinduque  The Marinduque Pr</t>
  </si>
  <si>
    <t xml:space="preserve"> The Local Government Unit of Santa Fe, Nueva Vizcaya, through its Bids &amp; Awards Committee invites contractors to bid for the following project: Contract Name: 	PROCUREMENT OF ONE (1) UNIT BRAND NEW PICK-UP 4 x 4 AT Contract Location: SB, Santa Fe, Nueva V</t>
  </si>
  <si>
    <t xml:space="preserve"> Republic of the Philippines  Province of Iloilo Municipality of New Lucena                                                                                                               August 12, 2020                                                       </t>
  </si>
  <si>
    <t xml:space="preserve"> Republic of the Philippines Province of Oriental Mindoro MUNICIPALITY OF NAUJAN BIDS &amp; AWARDS COMMITTEE INVITATION TO BID CONSTRUCTION OF ONE (1) UNIT CLASSROOM BUILDING AT MANUEL MARCOS SR. MEMORIAL ELEMENTARY SCHOOL, BARANGAY BAYANI AND ONE (1) UNIT CLA</t>
  </si>
  <si>
    <t xml:space="preserve"> Republic of the Philippines PROVINCE OF MARINDUQUE Capitol Boac, Marinduque OFFICE OF BIDS AND AWARDS COMMITTEE Invitation to Bid  Furnishing labor, materials and equipment for the Concreting of Kasily Road, Sta. Cruz, Marinduque  The Marinduque Provincia</t>
  </si>
  <si>
    <t xml:space="preserve"> Office Supplies- 1.10,000 rms-A4 Book/Bond Paper 80gsm 2.100 bx-PVC Cover 100's box 3.94 rolls-Master Roll 875 4.393 tube-Duplo Ink 514 black color</t>
  </si>
  <si>
    <t xml:space="preserve"> 1. 2.5 cu.m GRAVEL 2. 1 cu.m SAND</t>
  </si>
  <si>
    <t xml:space="preserve"> INVITATION FOR NEGOTIATED PROCUREMENT (TWO FAILED BIDDING) for the Procurement of Assorted Animal Feeds 1.	The Department of Agriculture-Regional Field Office 7, through the GAA 2020  intends to apply the sum of Seven Hundred Sixty Nine Thousand Two Hundr</t>
  </si>
  <si>
    <t xml:space="preserve"> INVITATION TO BID SUPPLY AND DELIVERY OF 1UNIT MCBOOK PRO 13 INCHES USE IN MUNICIPALITY OF BULUAN, MAGUINDANAO (ITB No. 04-Goods-2020) 1. The Local Government Unit of Buluan, Maguindanao through the MOOE of Municipal Engineering Office for the year 2020 i</t>
  </si>
  <si>
    <t xml:space="preserve"> Item          Quantity     Unit of Issue   Description 1.                 1,267       boxes            Gloves 2.                 2,093       boxes            Face Masks</t>
  </si>
  <si>
    <t xml:space="preserve"> Various Office and Janitorial Supplies</t>
  </si>
  <si>
    <t xml:space="preserve"> Republic of the Philippines PROVINCE OF MARINDUQUE Capitol Boac, Marinduque OFFICE OF BIDS AND AWARDS COMMITTEE Invitation to Bid  Furnishing labor, materials and equipment for the Concreting/Rehabilitation/Improvement/Upgrading of Balanacan-Argao Provinc</t>
  </si>
  <si>
    <t xml:space="preserve"> ENGINE	:	4 Cylinder 16-Valve, Gear Drive, Dielsel, 3000cc to 4250cc 	        :	Transmission: 5 Speed Manual SEATING CAPACITY	:	29-Seater</t>
  </si>
  <si>
    <t xml:space="preserve"> Lot 1- Conservation and restoration of Gabaldon at Barcelona Central Elementary School, Lingig Surigao del Sur Lot 2- Conservation and restoration of Gabaldon at Lingig Central Elementary School (Building 1), Lingig Surigao del Sur Lot 3- Conservation and</t>
  </si>
  <si>
    <t xml:space="preserve"> INVITATION TO APPLY FOR ELIGIBILITY AND TO BID (IAEB No. 02 -2020) Republic of the Philippines Barangay Government of Manggagawa Barangay Manggagawa Guinayangan, Quezon Supply and Delivery of Construction Materials 1.	The BARANGAY GOVERNMENT OF MANGGAGAWA</t>
  </si>
  <si>
    <t xml:space="preserve"> These will be installed in barangay Calaocan,Canan,Centro,Diamantina,La Paz,Macalaoat,Namnama,  Nueva Era,Rang-ay,San Andres,Tandul 50 sets solar lights with 4"Ø steel post,3.00 meters height		 100 watts</t>
  </si>
  <si>
    <t xml:space="preserve"> Republic of the Philippines SUGAR REGULATORY ADMINISTRATION North Avenue, Diliman, Quezon City 													                  8/11/2020 										         Date REQUEST FOR QUOTATION Gentlemen: 		Please quote your lowest prices, taxes included, on the item</t>
  </si>
  <si>
    <t xml:space="preserve"> 1 Unit = BRAND NEW SIX (6) WHEELER DUMP TRUCK SPECIFICATION: Drive System: 4x2 Six (6) Wheeler Gross Weight: 10,000 kg. - 13,000 kg. Engine: Diesel, Turbo-Charged &amp; Inter-cooled, 4-Cycle, Vertical, 4-Cylinder, Inline, Overhead Camshaft, Water-cooled, Dire</t>
  </si>
  <si>
    <t xml:space="preserve"> 1. 80 bd.ft 2"x4"x12' GEMILINA (10 PCS) 2. 120 bd.ft 1"x6"x8' GEMILINA (30 PCS)</t>
  </si>
  <si>
    <t xml:space="preserve"> 1. 106.67 bd.ft 2"x2"x8' COCO LUMBER 2. 160 bd.ft 2"x3"x8' COCO LUMBER</t>
  </si>
  <si>
    <t xml:space="preserve"> Specifications: 75 vials ERIG (Equine Rabies Immunoglobulin); 100 vials Speeda Vaccine; 150 amp TETANUS Toxoid ampule</t>
  </si>
  <si>
    <t xml:space="preserve"> Municipality of Looc Invitation to Bid for Construction of Water Supply System Level II 1.	The Municipality of Looc, through the DILG Trust Fund BUB/LDF intends to apply the sum of Php 8,043,897.00 being the Approved Budget for the Contract (ABC) to payme</t>
  </si>
  <si>
    <t xml:space="preserve"> Republic of the Philippines PROVINCE OF MARINDUQUE Capitol Boac, Marinduque OFFICE OF BIDS AND AWARDS COMMITTEE Invitation to Bid  Furnishing labor, materials and equipment for the Repair/Improvement of Expo, San Miguel, Boac, Marinduque  The Marinduque P</t>
  </si>
  <si>
    <t xml:space="preserve"> 1. 10.3 cu.m SAND 2. 8.5 cu.m GRAVEL 3. 629 pcs 4" CONCRETE HOLLOW BLOCKS</t>
  </si>
  <si>
    <t xml:space="preserve"> INVITATION TO BID NO. GOODS-038-2020 In response to the first advertisement for the Purchase of Rescue Supplies for Water Search and Rescue and Collapse Structure  for the use of Provincial Disaster Risk Reduction and Management Office, one (1) eligible b</t>
  </si>
  <si>
    <t xml:space="preserve"> REPAIR AND MAINTENANCE OF BUILDINGS AND FACILITIES</t>
  </si>
  <si>
    <t xml:space="preserve"> 1. The Municipality of Nabas, Aklan through its Special Education Fund (SEF), intends to apply the sum of Four Hundred Five Thousand One Hundred Sixty Pesos and 00/100 only (P 405,160.00) being the Approved Budget for the Contract (ABC) to payment under t</t>
  </si>
  <si>
    <t xml:space="preserve"> Contract ID: 20GKK0034 Contract Name: Supply and Delivery of Photocopier/Printer to be used by the PDS and RROW Personnel Contract Location: DPWH-MOFDEO, Gingoog City Brief Description of Goods to be procured: Photocopier/Printer Approved Budget for the C</t>
  </si>
  <si>
    <t xml:space="preserve"> Republic of the Philippines OFFICE OF THE PUNONG BARANGAY 	Barangay NAPUROG	 	Municipality of Tudela	 Province of Misamis Occidental INVITATION TO BID The Office of the Punong Barangay of Barangay Napurog through its Bids and Awards Committee [BAC], invit</t>
  </si>
  <si>
    <t xml:space="preserve"> Specifications: 720 bots. Lagundi 300mg./5ml. 60 ml. syrup 144’s; 144 bots. Mefenamic Acid 50mg. syrup 144’s; 20 bxs. Salbutamol + Ipratropuim Nebule 30’s; 288 bots. Cefuroxime 250mg./5ml Suspension 60ml.; 144 bots. Metronidazole 125mg./5ml. Suspension 60</t>
  </si>
  <si>
    <t xml:space="preserve"> 1. 12 BAGS CEMENT 2. 3 PCS 10MM DSB 3. 11 PCS 1-1/2" G.I. PIPE SCH.40 4. 7 PCS 1/4"X3/4"X3/4" ANGLE BAR 5. 1 SHT G.A. 14 G.I. PLAIN SHEET 6. 1 PC HACKSAW BLADE 7. 2 PCS 4" SANDING DISC 8. 5 KGS WELDING ELECTRODES 9. 5 PCS 1/2" THK MARINE PLYWOOD 10. 2 KGS</t>
  </si>
  <si>
    <t xml:space="preserve"> Republic of the Philippines Province of Misamis Oriental Municipality of Initao Invitation to Bid  LOCAL BRIDGE CONSTRUCTION/REHABILITATION AT BARANGAY APAS (PHASE II)  1.	The Municipal Government of Initao, Misamis Oriental, through its Trust and Develop</t>
  </si>
  <si>
    <t xml:space="preserve"> Name of Project	:	Procurement of Laboratory Equipment / Reagent Tie-up 2020 Location		:	MHARSMC, Mindog, Maningcol, Ozamiz City Brief Description	:	Laboratory Equipment / Reagent Tie-up 2020 Approved Budget for the Contract	:	Php 7,339,637.00 total or cor</t>
  </si>
  <si>
    <t xml:space="preserve"> Construction of 2 Storey 4 Classroom School Building</t>
  </si>
  <si>
    <t xml:space="preserve"> 1. The Municipality of Nabas, Aklan through its Special Education Fund, intends to apply the sum of One Hundred Ninety Five Thousand Five Hundred Pesos and 00/100 only (P 195, 500.00) being the Approved Budget for the Contract (ABC) to payment under the c</t>
  </si>
  <si>
    <t xml:space="preserve"> Range 1.5-2.0 kgs</t>
  </si>
  <si>
    <t xml:space="preserve"> Construction of 4 Storey 20 Classroom School Building</t>
  </si>
  <si>
    <t xml:space="preserve"> Supply and delivery of face shields to be distributed to various baranagay of Capas, Tarlac</t>
  </si>
  <si>
    <t xml:space="preserve"> 1.	The Provincial Government of Batanes, through the 2020 – 20% Development Fund and 2018 Supplemental Budget, intends to apply the sum of Four Million Four Hundred Eighty-four Thousand One Hundred Sixteen Pesos and 07/100 (4,484,116.07) being the Approve</t>
  </si>
  <si>
    <t xml:space="preserve"> INVITATION TO BID NO. GOODS-039-2020 In response to the first advertisement for the Purchase of rescue equipment for  the Provincial Disaster Risk Reduction and Management Office, one (1) eligible bidder purchased &amp; submitted bidding documents but failed </t>
  </si>
  <si>
    <t xml:space="preserve"> Contract ID: 20GKK0037 Contract Name: Supply and Delivery of Office Supplies to be used at DPWH-MOFDEO (All Section) Contract Location: DPWH-MOFDEO, Gingoog City Brief Description of Goods to be procured: Office Supplies Approved Budget for the Contract (</t>
  </si>
  <si>
    <t xml:space="preserve"> Republic of the Philippines Province of North Cotabato Municipality of Pres. Roxas OFFICE OF THE BARANGAY BIDS AND AWARDS COMMITTEE Barangay F. Cajelo INVITATION TO BID The Barangay Local Government Unit of F. Cajelo, President Roxas, thru Barangay Bids a</t>
  </si>
  <si>
    <t xml:space="preserve"> 20HN0117 -Repair/Reblocking and Maintenance along Intermittent  Sections of Pajo-Basak-Marigondon Road (S00014LP) KM.  11+500 – KM. 12+067, Lapu-Lapu City Scope of Work		:	Reblocking of damaged concrete pavement slabs on  					intermittent sections along </t>
  </si>
  <si>
    <t xml:space="preserve"> OPENING OF BIDS IN DSWD FO IX ZAMBOANGA CITY				 DELIVERY IN RSCC-DSWD, MAMPANG ZAMBAONGA CITY				 PROCUREMENT FOR THE FF.:				 				 1 LOT FURNITURE AND FIXTURE				 3	SET	SALA SET	@	 14,800.00  3	PCS	CHANDELIER	@	 14,500.00  12	PCS	FRAMES	@	 1,500.00  10	</t>
  </si>
  <si>
    <t xml:space="preserve"> 20HN0118 -Repainting of Mandaue Flyover (B00590CB) Mandaue City Scope of Work		:	Repainting of Flyover The GPPB Resolution No. 09-2020 approved measures allowing the (i) submission of procurement related documents, except for the submission and receipt of</t>
  </si>
  <si>
    <t xml:space="preserve"> The LGU - Mariveles, through the Budget of the Contract Approved by the Sanggunian of 2020 intends to apply the sum of Two Million, Two Hundred Thousand Pesos (Php 2,200,000.00) being the Approved Budget for the Contract (ABC) to payments under the contra</t>
  </si>
  <si>
    <t xml:space="preserve"> Purchase &amp; Delivery of five (5) units Patrol/Rescue Vehicle Brand New Patrol/Rescue Vehicle Engine: 0.8 Liter 8 Valve inline 2 Turbo DDis   Max. Power: 32Ps@3500rpm   Max. Torque:  72Nm@2000rpm   Transmission: 5Speed manual Clutch: Hydraulic Cable Type Ge</t>
  </si>
  <si>
    <t xml:space="preserve"> 1.	The Municipal Government of Roxas, Isabela has received the share from the CY 2016 Collection of Burley and Native Excise Tax   and it  intends to apply part or whole of the proceeds of this funds for payment under the contract for the project. Bids re</t>
  </si>
  <si>
    <t xml:space="preserve"> Construction of 4 Storey 8 Classroom School Building</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</si>
  <si>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</si>
  <si>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ITEM NO.	Unit of issue	ITEM &amp;DESCRIPTION	Brand &amp; Model	QTY.	 1	unit	1. ArcGIS Educational Program for Windows 10		1	 		-Up to maximum fifty (50) licenses ArcGIS			 		Desktop Advance (ArcGIS Pro and ArcMap)			 		with extensions:			 		-3D Analyst			 		-Data</t>
  </si>
  <si>
    <t xml:space="preserve"> Contract ID: 20GKK0038 Contract Name: Supply and Delivery of Consumable Supplies for Develop Ineo+ 3850 Printer to be used at Administrative Section, Cash Unit, Supply, ICT, COA and Finance Section Contract Location: DPWH-MOFDEO, Gingoog City Brief Descri</t>
  </si>
  <si>
    <t xml:space="preserve"> Item No.	Unit	DESCRIPTION				Qty 						 1	Unit	Portalet (Portable Toilet)				2</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</si>
  <si>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</si>
  <si>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Republic of the Philippines Cordillera Administrative Region Province of Kalinga B A L B A L A N MUNICIPALITY OF BALBALAN Invitation to Apply for Eligibility and to Bid for the COMPLETION OF BUAYA BARANGAY HEALTH CLINIC, MAPITPITA, BUAYA, BALBALAN, KALING</t>
  </si>
  <si>
    <t xml:space="preserve"> INVITATION TO BID Printing and Delivery of Modules to SDO Parañaque Schools 	The Department of Education, through the DepEd Basic Education Learning Continuity Plan (BE-LCP), provision of learning resources with Sub-ARO NCR 20-07-774 and NCR 20-07-790 dat</t>
  </si>
  <si>
    <t xml:space="preserve"> Gasoline and Diesel</t>
  </si>
  <si>
    <t xml:space="preserve"> Other Machinery and Equipment</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</si>
  <si>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</si>
  <si>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The Barangay Taribubu, Tuao Cagayan through its Department of Agriculture Fund intends to apply the sum of  Php 212,567.00   being the Approved Budget for the Contract (ABC) to payments under the contract for  Construction of Multi-Purpose Drying Pavement</t>
  </si>
  <si>
    <t xml:space="preserve"> Republic of the Philippines Cordillera Administrative Region Province of Kalinga B A L B A L A N MUNICIPALITY OF BALBALAN Invitation to Apply for Eligibility and to Bid for the CONSTRUCTION OF BALBALAN BRGY. HALL PROTECTION WALL, BALBALAN PROPER, BALBALAN</t>
  </si>
  <si>
    <t xml:space="preserve"> INVITATION FOR NEGOTIATED PROCUREMENT (pursuant to Section 53.1 of the IRR of R.A. 9184 CONTRACT ID: 20-03-070 REBID Contract Name: PROCUREMENT OF LABORATORY REAGENTS AND SUPPLIES Approved Budget for the Contract (ABC) : Php 1,567,362.00 1. The DOH - ZAMB</t>
  </si>
  <si>
    <t xml:space="preserve"> BLGU Barangay Norte, Patnanungan, Quezon			                    Ref.		See other bid docs                                                                                            	 Name of Project	As shown                                                  </t>
  </si>
  <si>
    <t xml:space="preserve"> Republic of the Philippines Province of Nueva Vizcaya Municipality of Solano -o0o- INVITATION TO BID FOR ABC for Lot 1 – Supply &amp; Delivery of materials for the Construction of  	    Drainage System along Silauan St. Brgy. Roxas, SNV 	      P693,020.00   A</t>
  </si>
  <si>
    <t xml:space="preserve"> Republic of the Philippines Province of Nueva Vizcaya Municipality of Solano -o0o- INVITATION TO BID FOR ABC for Lot 1 – Upgrading of Montan Road in Brgy. PD Galima,  					PD Galima- Uddiawan, SNV.	P6,999,828.11 ABC for Lot 2 -Upgrading of Silap Road, Sit</t>
  </si>
  <si>
    <t xml:space="preserve"> Furniture and Fixtures</t>
  </si>
  <si>
    <t xml:space="preserve"> Contract ID: 20GKK0041 Contract Name: Supply and Delivery of IT Equipment to be used for Technical and Administrative Application Contract Location: DPWH-MOFDEO, Gingoog City Brief Description of Goods to be procured: Office Equipment Approved Budget for </t>
  </si>
  <si>
    <t xml:space="preserve"> Veterinary Medical Supplies</t>
  </si>
  <si>
    <t xml:space="preserve"> TILE SETTING,PLUMBING AND PAINTING WORKS.</t>
  </si>
  <si>
    <t xml:space="preserve"> Republic of the Philippines Province of Batangas MUNICIPALITY OF LOBO Invitation to Bid for the SUPPLY OF MATERIALS, LABOR AND EQUIPMENT FOR THE CONSTRUCTION OF ADDITIONAL STRUCTURE FOR LOBO PUBLIC MARKET AT BARANGAY POBLACION, LOBO, BATANGAS Contract ID </t>
  </si>
  <si>
    <t xml:space="preserve"> Contract ID: 20GKK0040 Contract Name: Supply and Delivery of Consumables for Fuji Xerox DCS C2020 and Docucentre S2520 to be used at Records Unit, BAC-TWG, Monitoring Unit, QAS, Maintenance, PDS and Construction Section Contract Location: DPWH-MOFDEO, Gin</t>
  </si>
  <si>
    <t xml:space="preserve"> Spareparts and Oil Lubricants</t>
  </si>
  <si>
    <t xml:space="preserve"> SUPPLY AND DELIVERY OF CONSTRUCTION MATERIALS AND SUPPLIES (GOODS-2020-015) - REBID   1.	The Government of the Philippines, through the Puerto Princesa City Water District  intends to apply the sum of  Six Hundred Eighty Thousand Eight Hundred Thirty-Nine</t>
  </si>
  <si>
    <t xml:space="preserve"> Republic of the Philippines Province of Nueva Vizcaya Municipality of Solano -o0o- INVITATION TO BID FOR Supply &amp; Delivery of One (1) Unit Digital Color Copier Memory With smart Operating Panel   (SOLANO 097-2020) 1.	The Local Government Unit of Solano, N</t>
  </si>
  <si>
    <t xml:space="preserve"> Other Supplies and Materials Expense</t>
  </si>
  <si>
    <t xml:space="preserve"> Supply and Delivery of One (1) Unit Multi Cab (Rebuilt/Reconditioned), Ugac Sur, Tuguegarao City</t>
  </si>
  <si>
    <t xml:space="preserve"> QTY	UNIT	ITEM DESCRIPTION						Unit Cost	 50	box	CONTINUOUS FORMS, 11 x10-5/8, 2 ply plain, 70 gsm with						P2,420.00	 		side perforation, 1000 sets/box</t>
  </si>
  <si>
    <t xml:space="preserve"> Approved Budget for the Contract (ABC):  Php 140,000.00 Description of Goods and Quantity Required:  Supply and installation of a Paperless Board Meeting Solution for One (1) Year Subscription  Documentary Requirements:	 1.	Quotation Form 2.	Valid PhilGEP</t>
  </si>
  <si>
    <t xml:space="preserve"> Standard Form Number: SF-INFR-05 Revised on: July 29, 2004        INVITATION TO APPLY FOR ELIGIBILITY AND TO BID The LOCAL GOVERNMENT UNIT OF UNISAN, QUEZON, through its Bids and Awards Committee (BAC), invites contractors registered with and classified b</t>
  </si>
  <si>
    <t xml:space="preserve"> Republic of the Philippines Cordillera Administrative Region Province of Kalinga B A L B A L A N MUNICIPALITY OF BALBALAN Invitation to Apply for Eligibility and to Bid for the CONSTRUCTION OF CANAO DAY CARE CENTER BUILDING, MABACA, BALBALAN, KALINGA PROV</t>
  </si>
  <si>
    <t xml:space="preserve"> Completion of Multi - Purpose Hall, Namabbalan Norte, Tuguegarao City, Cagayan</t>
  </si>
  <si>
    <t xml:space="preserve"> SEE POW</t>
  </si>
  <si>
    <t xml:space="preserve"> Republic of the Philippines PROVINCE OF PAMPANGA City of San Fernando INVITATION TO BID NO. 2020-31 IG - BAC INVITATION TO BID FOR PURCHASE REQUEST NOS. 20-1811, 20-1539, 20-1538, 20-1451, 20-1455, 20-1535, 20-1543, 20-1545 and 20-1547 The Provincial Gove</t>
  </si>
  <si>
    <t xml:space="preserve"> Republic of the Philippines Province of Nueva Vizcaya BIDS AND AWARDS COMMITTEE (BAC-GOODS) BAC OFFICE, Provincial Capitol, Bayombong, Nueva Vizcaya Tel. No. (078) 392-2650 	 INVITATION TO BID FOR THE SUPPLY AND DELIVERY OF MEDICAL SUPPLIES FOR THE NUEVA </t>
  </si>
  <si>
    <t xml:space="preserve"> PROPOSED SITE DEVELOPMENT OF 1) PS # 441 SICO 10 (CATALINA VILLAGE 2), CATALINA VILLAGE, BRGY. SICO, LIPA CITY; 2) PS # 482 BUGTONG 5 (SUNNY VALE), SUNNYVALE SUBDIVISION, BRGY. BUGTONG NA PULO, LIPA CITY; AND 3) PS # 479 PAG-OLINGIN BATA 2, BRGY. PAG-OLIN</t>
  </si>
  <si>
    <t xml:space="preserve"> Republic of the Philippines  Province of La Union  Municipality of Bacnotan  Bids and Awards Committee  INVITATION TO BID FOR  Supply and Delivery of Medical Equipments for the Municipal Health Office (MHO) 1.	The Municipality of Bacnotan, through the 20%</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</si>
  <si>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</si>
  <si>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Republic of the Philippines  Province of La Union  Municipality of Bacnotan  Bids and Awards Committee  INVITATION TO BID FOR  Supply and Delivery of Equipments for the Municipal Disaster and Risk Reduction Management Council (MDRRMC) 1.	The Municipality </t>
  </si>
  <si>
    <t xml:space="preserve"> INVITATION TO BID INVITATION TO BID FOR SUPPLY AND DELIVERY OF GOODS (EASTERN SAMAR LIVELIHOOD SEEDING PROGRAM) 1. The Department of Trade and Industry, Regional Office No. 8, through the R. A. 11465 GAA 2020 intends to apply the sum of FIVE MILLION ONE H</t>
  </si>
  <si>
    <t xml:space="preserve"> COCONUT COIR BASED ORGANIC FERTILIZER (CCBOF) Moisture Content		:	10- 35% Total NPK				:	5-10% Salmonella				:	0 Organic Matter Content	:	Not less than 20% Net Weight				:	40 kg/bag Color					:	Brown to Black Physical Appearance		:	Friable Odor					:	No F</t>
  </si>
  <si>
    <t xml:space="preserve"> Republic of the Philippines Province of Nueva Vizcaya Municipality of Solano -o0o- INVITATION TO BID FOR Construction of Multi Purpose Building/Warehouse Phase II Municipal Compound, SNV.   (SOLANO 098-2020) 1.	The Local Government Unit of Solano, Nueva V</t>
  </si>
  <si>
    <t xml:space="preserve"> PEO-2020-0200 PR2020-0582 INVITATION TO BID FOR THE PROCUREMENT OF DIESEL FUEL FOR USE IN THE PROJECT MANAGEMENT DIVISION I, II, &amp; III, ETC., IN THE PROVINCIAL ENGINEER'S OFFICE, TAGBILARAN CITY ABC: P 5,500,000.00 COST OF BID DOCUMENTS: P 10,000.00 ADVER</t>
  </si>
  <si>
    <t xml:space="preserve"> Republic of the Philippines Province of Romblon MUNICIPALITY OF ALCANTARA -oOo- INVITATION TO BID FOR PROCUREMENT OF MEDICAL, DENTAL AND LABORATORY SUPPLIES Poblacion, Alcantara, Romblon The Local Government Unit of Alcantara, Romblon, through the GENERAL</t>
  </si>
  <si>
    <t xml:space="preserve"> Republic of the Philippines Province of Leyte BRGY. CABUL-AN, CAPOOCAN, LEYTE -oOo- BIDS AND AWARD COMMITTEE INVITATION TO BID  FOR THE SUPPLY AND DELIVERY OF MATERIALS FOR THE CONSTRUCTION OF TANOD OUTPOST 1.	The Brgy. Cabul –an,Capoocan, Leyte, through </t>
  </si>
  <si>
    <t xml:space="preserve"> The Bids &amp; Awards Committee (BAC) of Barangay Lamacan, Argao, Cebu, invites all interested suppliers/manufacturers/distributors/contractors/consultants to apply for eligibility and to submit bids for the following: ITEM NO. 1 Installation of Project Signb</t>
  </si>
  <si>
    <t xml:space="preserve"> Specs or Item	Unit	DESCRIPTION				Qty 						 102	cu.m.	Excavation				92.04 105	sq.m.	Subgrade Preparation				624.4 201	sq.m.	Aggregate Base Course				624.40 311	sq.m.	Portland Cement Concrete Pavement				446.00 500	L.m.	Pipe Culverts and Storm Drains				7</t>
  </si>
  <si>
    <t xml:space="preserve"> Republic of the Philippines Province of Batangas MUNICIPALITY OF LOBO Invitation to Bid for the SUPPLY OF HIGH SPEED/HIGH VOLUME COPIER, NETWORK PRINTER AND SCANNER (3 IN 1) FOR VARIOUS SCHOOLS AT LOBO, BATANGAS Contract ID No. 20-SEF-001 			 1.The Munici</t>
  </si>
  <si>
    <t xml:space="preserve"> Republic of the Philippines PROVINCE OF QUIRINO Cabarroguis -oOo- BIDS AND AWARDS COMMITTEE INVITATION TO BID FOR  Procurement of Various Fruit &amp; Forest Tree Seedlings for replanting of QIADP beneficiaries Contract No. PB-GS-2020-014 							August 12, 202</t>
  </si>
  <si>
    <t xml:space="preserve"> 1. 1.29 cu.m GRAVEL 2. 0.65 cu.m SAND</t>
  </si>
  <si>
    <t xml:space="preserve"> 1. 12 BOT AIR FRESHENER (SPRAY) 310 ML 2. 1 BOT AIR FRESHENER (CANESTER) 3. 10 PCS ALBATROSS 4. 168 PCS BALL PEN PILOT (BLACK/BLUE) 5. 6 BOX BINDER CLIP (BIG) 6. 6 PCS BINDER CLIP (SMALL) 7. 1 BOX BINDER CLIP (3/4) 8. 214 PCS BROWN ENVELOPE LONG 9. 50 PCS</t>
  </si>
  <si>
    <t xml:space="preserve"> 1.	The Bids and Awards Committee of the Local Government Unit of Tukuran, Zamboanga del Sur, through the LGSF-DILG-AM2020  intends to apply the sum of Php9,892,910.65 being the Approved Budget for the Contract (ABC) to payments under the contract for Conc</t>
  </si>
  <si>
    <t xml:space="preserve"> CATERING SERVICES FOR TEACHERS DAY FOR TEACHERS</t>
  </si>
  <si>
    <t xml:space="preserve"> PGBH-2020-0199 PR2020-0581 INVITATION TO BID FOR THE BULK PROCUREMENT OF FUEL (DIESEL AND GASOLINE) FOR USE BY VARIOUS OFFICE OF PGBH OFFICES - 2ND SEMESTER OF YEAR 2020 ABC: P 8,477,465.59 COST OF BID DOCUMENTS: P 10,000.00 ADVERTISEMENT PERIOD: AUGUST 1</t>
  </si>
  <si>
    <t xml:space="preserve"> Republic of the Philippines Province of Romblon MUNICIPALITY OF ALCANTARA -o0o- Invitation to Bid for   CONSTRUCTION OF BONLAO MULTI-PURPOSE HALL Bonlao, Alcantara, Romblon The Municipal Government of Alcantara, Romblon through the  20% Development Plan (</t>
  </si>
  <si>
    <t xml:space="preserve"> Republic of the Philippines  Province of La Union  Municipality of Bacnotan  Bids and Awards Committee  INVITATION TO BID FOR  Supply and Delivery of Modules for Day Care Pupils 1.	The Municipality of Bacnotan, through the General Fund intends to apply th</t>
  </si>
  <si>
    <t xml:space="preserve"> Municipality of  Sogod, Cebu					Contract Ref. No.-0007-2020 Additional Works for Sogod Level II Waters System (Ampongol Source), Sogod, Cebu 		 Standard Form Number: SF-INFR-05 Revised on: July 29, 2004 INVITATION TO BID The Municipality of Sogod  throug</t>
  </si>
  <si>
    <t xml:space="preserve"> INVITATION TO BID FOR SECURITY SERVICES (CONTRACT A &amp; B) PR Nos. 27921-001, 27919-001 1.	The Metropolitan Cebu Water District, through the Corporate Budget of 2020 intends to apply the sum of: For Contract “A” Approved Budget for  the Contract (ABC) [for </t>
  </si>
  <si>
    <t xml:space="preserve"> Republic of the Philippines Province of Ilocos Norte MUNICIPALITY OF CURRIMAO INVITATION TO BID FOR  PROCUREMENT OF COMPUTER DATABASE SYSTEM  FOR ASSESSOR AND TREASURY OFFICE 1.	The MUNICIPALITY OF CURRIMAO, through the General Fund  intends to apply the </t>
  </si>
  <si>
    <t xml:space="preserve"> The DPWH, Negros Occidental 3rd District Engineering Office, Kabankalan City, Negros Occidental, through its Bids and Awards Committee (BAC), invites contractors to submit bids for the following contract: 1. Contract ID		:	20GM0084 Contract Name	:	Constru</t>
  </si>
  <si>
    <t xml:space="preserve"> Republic of the Philippines Province of Nueva Vizcaya BIDS AND AWARDS COMMITTEE (BAC-Goods) BAC OFFICE, Provincial Capitol, Bayombong, Nueva Vizcaya Tel. No. 078-392-2062 	 2ND INVITATION TO BID FOR THE SUPPLY AND DELIVERY OF AIR-CONDITIONING UNITS &amp; RISO</t>
  </si>
  <si>
    <t xml:space="preserve"> Republic of the Philippines Province of Nueva Vizcaya BIDS AND AWARDS COMMITTEE (BAC-Goods) BAC OFFICE, Provincial Capitol, Bayombong, Nueva Vizcaya Tel. No. 078-392-2062 	 2ND INVITATION TO BID FOR THE SUPPLY AND DELIVERY OF 1 SET SOUND SYSTEM W/ INSTALL</t>
  </si>
  <si>
    <t xml:space="preserve"> Minimum Specifications: •	30 mbps CIR (upstream-downstream) •	30 mbps port speed •	1 IP block/range address with at least 5 usable IPs •	Inclusive of supply and installation of fiber optic cable from supply area to DOLE-BLE server room •	Inclusive of devi</t>
  </si>
  <si>
    <t xml:space="preserve"> Republic of the Philippines PROVINCE OF CAMARINES SUR BIDS AND AWARDS COMMITTEE ITB No. 049-09-2020 INVITATION TO BID  	The Provincial Government of Camarines Sur (PGCS) through its Bids and Awards Committee (BAC) invites suppliers/manufacturers/distribut</t>
  </si>
  <si>
    <t xml:space="preserve"> Republic of the Philippines  Province of La Union  Municipality of Bacnotan  Bids and Awards Committee  INVITATION TO BID FOR  Supply and Delivery of Information Technology Equipment  1.	The Municipality of Bacnotan, through the General Fund intends to ap</t>
  </si>
  <si>
    <t xml:space="preserve"> Republic of the Philippines Province of Guimaras OFFICE OF THE BIDS AND AWARDS COMMITTEE INVITATION TO BID FOR    SUPPLY AND DELIVERY OF REPRODUCTION MACHINE  AND DUPLICATING MACHINE INK Bid Ref. No. 2020-08-449 1.	The Province of Guimaras , through the S</t>
  </si>
  <si>
    <t xml:space="preserve"> Republic of the Philippines PROVINCE OF QUIRINO Cabarroguis -oOo- BIDS AND AWARDS COMMITTEE INVITATION TO BID FOR  Procurement of Medical Supplies for QIP  Contract No. PB-GS-2020-016 							August 12, 2020 1.	The Bids and Awards Committee (BAC) of the Pr</t>
  </si>
  <si>
    <t xml:space="preserve"> INVITATION TO BID ITB NO. 2020-007 RE-BID ELECTRIFICATION OF UN-ENERGIZED SCHOOLS AND MODERNIZATION OF  ELECTRICAL SYSTEMS ON-GRID SCHOOLS CY 2020  The Government of the Philippines, through the Department of Education, Division of Surigao del Sur, intend</t>
  </si>
  <si>
    <t xml:space="preserve"> Republic of the Philippines  Province of La Union  Municipality of Bacnotan  Bids and Awards Committee  INVITATION TO BID FOR  Supply and Installation of Air-conditioning Units  1.	The Municipality of Bacnotan, through the General Fund intends to apply th</t>
  </si>
  <si>
    <t xml:space="preserve"> OPENING OF BIDS IN DSWD FO IX ZAMBOANGA CITY		 DELIVERY IN HOME FOR WOMEN MAMPANG ZC		 PROCUREMENT FOR THE FF,:		 		 1 LOT FROZEN GOODS		 		 90 kls Chicken Liver	@	150 200 packs Chicken Lumpia 500g	@	85 180 packs Chicken Nuggets 500g	@	245 180 packs Chori</t>
  </si>
  <si>
    <t xml:space="preserve"> Development of Trinidad People's Park (Installation of CCTV Cameras and Upgrading)</t>
  </si>
  <si>
    <t xml:space="preserve"> Republic of the Philippines Region XII Province of Cotabato Municipality of Makilala  OFFICE OF THE BIDS AND AWARD COMMITTEE INVITATION TO BID N0. 2020-032            The Municipality of Makilala, through the  Municipal Health Office   intends to apply th</t>
  </si>
  <si>
    <t xml:space="preserve"> Republic of the Philippines  Province of La Union  Municipality of Bacnotan  Bids and Awards Committee  INVITATION TO BID FOR  Provision of Farm Inputs and Implements for Farmers-LBM No. 76 1.	The Municipality of Bacnotan, through the RA 7171  intends to </t>
  </si>
  <si>
    <t xml:space="preserve"> 1. 90 BOX INFANT MILK SUPPLEMENT (0-6 MONTHS) 400 GRAMS 2. 130 BOX INFANT MILK SUPPLEMENT (6-12 MONTHS) 400 GRAMS 3. 200 BOX INFANT MILK SUPPLEMENT (1-3 YRS OLD) 400 GRAMS</t>
  </si>
  <si>
    <t xml:space="preserve"> INVITATION TO BID FOR SUPPLY AND DELIVERY OF GOODS (LEYTE LIVELIHOOD SEEDING PROGRAM) 1.	The Department of Trade and Industry, Regional Office No. 8, through the R. A. 11465 GAA 2020 intends to apply the sum of FIVE MILLION SIX HUNDRED SIXTY-FIVE THOUSAND</t>
  </si>
  <si>
    <t xml:space="preserve"> ITEM NO.	QUANTITY	UNIT	DESCRIPTION 			 I			GENERAL REQUIREMENTS 	lot	1	         Demolition of Old Columns, Beans, 			         Walls, Roof, Celing, Etc. 			 II			EARTHWORKS 	cu.m.	43.20	         Structure Excavtion 	cu.m.	137.40	         Backfilling and Co</t>
  </si>
  <si>
    <t xml:space="preserve"> Republic of the Philippines Province of Romblon MUNICIPALITY OF ALCANTARA -oOo- INVITATION TO BID FOR PURCHASE OF MATERIALS FOR MOTHER AND BABY KITS Poblacion, Alcantara, Romblon The Local Government Unit of Alcantara, Romblon, through the GAD FUND CY 202</t>
  </si>
  <si>
    <t xml:space="preserve"> Please see attached file. Thanks!</t>
  </si>
  <si>
    <t xml:space="preserve"> ITEMS OF WORK TO BE DONE INCLUDES: - Site preparation &amp; clearing - Removal of structure and obstruction - Excavation includes backfill - Reinforcing steel - Formworks - Structural concrete - Laying of 4" CHB with rebars - Plastering works includes concret</t>
  </si>
  <si>
    <t xml:space="preserve"> HOP-QR-PRO-005 Republic of the Philippines Department of Health DAVAO REGIONAL MEDICAL CENTER Apokon, Tagum City BIDS AND AWARDS COMMITTEE Invitation to Bid for the SUPPLY &amp; DELIVERY OF TEXTILE 1.	The Davao Regional Medical Center (DRMC), through the HOSP</t>
  </si>
  <si>
    <t xml:space="preserve"> 1. 2 BOT INK 003 MAGENTA 2. 2 BOT INK 003 CYAN 3. 2 BOT INK 003 YELLOW 4. 4 BOT INK 003 BLACK 5. 13 REAM US BOND PAPER (LONG) 6. 5 REAM US BOND PAPER (A4)</t>
  </si>
  <si>
    <t xml:space="preserve"> Purchase of Tent/canopies cover</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</si>
  <si>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</si>
  <si>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Purchase of 6 wheeler Mounted with 16 Footer Drop Side Cargo and Built with 10M Bucket Manlift/Boom Truck Brand New			 GVM: 8,500 kg			 Engine: Euro IV, Diesel fed 4-cyclinder, 4 cycle vertical,			 Turbo chargeed and intercooled , overheaded valve,			 wat</t>
  </si>
  <si>
    <t xml:space="preserve"> Purchase of Computer set and Accessories</t>
  </si>
  <si>
    <t xml:space="preserve"> ***Please see attached electronic file.</t>
  </si>
  <si>
    <t xml:space="preserve"> REQUEST FOR PROPOSAL (RFP) The National Housing Authority (NHA), through its Regional Office Bids and Awards Committee (ROBAC) is inviting Real Estate External Appraisal Service Providers to undertake the valuation of total land area of 500,000 sq.m., mor</t>
  </si>
  <si>
    <t xml:space="preserve"> CONSTRUCTION/IMPROVEMENT/REHABILITATION OF SLOPE PROTECTION LUMANG KALYE @ SAN ANTONIO, SAN PASCUAL, BATANGAS</t>
  </si>
  <si>
    <t xml:space="preserve"> POTASSIUM CHLORIDE (0-0-60) Moisture Content		:	0.5 % maximum Water Soluble Potash (K2O) - 60% min. Sodium (as NaCl)- 3.5% max. Net Weight				:	50 kg/bag Physical Appearance		:	White Crystalline Powder Packaging Specifications: 1.	Outer Bag  Fabric and Co</t>
  </si>
  <si>
    <t xml:space="preserve"> Fuels (Deisel and Lubricants) (attached request for quotation)</t>
  </si>
  <si>
    <t xml:space="preserve"> Republic of the Philippines Province of Cagayan Tuguegarao City Invitation to Bid for Illumination of Road at Regional Government Center (R02) Tuguegarao, City  1.	The Provincial Government of Cagayan, through the General Fund intends to apply the sum of </t>
  </si>
  <si>
    <t xml:space="preserve"> INVITATION TO BID RE-BIDDING OF SUPPLY, DELIVERY, INSTALLATION, TESTING, AND ACCEPTANCE OF LIGHTNING PROTECTION SYSTEM   Bid Reference No. DICTBAC-VC2-2020-0001 Approved Budget for the Contract: Php 1,954,434.20 The DEPARTMENT OF INFORMATION AND COMMUNICA</t>
  </si>
  <si>
    <t xml:space="preserve"> 80 Unit	DESKTOP COMPUTER: 	PROCESSOR: Intel Core i7 - 9700 U Processor MEMORY: 8 GB DDR4 Memory, STORAGE: 1 TB HDD+128 SSD, 2GB Video Memory, GRAPHICS CARD:  2 GB, DVD-Writer, Wifi, Gigabit LAN, Card Reader, Keyboard and Mouse, 23.6 INCH  MONITOR W/ ODD, </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</si>
  <si>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</si>
  <si>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Republic of the Philippines  Province of La Union  Municipality of Bacnotan  Bids and Awards Committee  INVITATION TO BID FOR  Provision of Farm Inputs and Implements For Farmers-LBM No. 79 1.	The Municipality of Bacnotan, through the RA 7171 intends to a</t>
  </si>
  <si>
    <t xml:space="preserve"> ITEM NO.	QUANTITY	UNIT	DESCRIPTION 			 105	5,000	m2	Subgrade Preparation 201	750	m3	Aggregate Base Course SPCL1	1	lot	Billboard</t>
  </si>
  <si>
    <t xml:space="preserve"> The Local Government Unit of Barangay Mambago-B of  the Island Garden City of Samal, through the General Fund intends to apply the sum of Two Hundred Fifty-Eight Thousand Two Hundred Eighteen Pesos (₱258,218.85) being the Approved Budget for the Contract </t>
  </si>
  <si>
    <t xml:space="preserve"> Printing, Binding, Supply and Delivery of 175,784 modules  Technical Specifications: Paper Size (A4 Paper Thickness Sub20 or 8.27  x 11.69), Content back to back pages, maximum of 50 pages, back and front cover sheet are colored 1/4, with lamination (UV c</t>
  </si>
  <si>
    <t xml:space="preserve"> Please download and then print the attached Invitation to Bid (ITB) for more details and for your reference. To view this attachment, just click “ORDER” opposite the ASSOCIATED COMPONENTS. TOTAL APPROVED BUDGET FOR THE CONTRACT (ABC): ₱445,750.00</t>
  </si>
  <si>
    <t xml:space="preserve"> 1. 3 BOXES STAPLE WIRE #35 2. 15 REAMS BOND PAPER LONG 3. 15 REAMS BOND PAPER SHORT 4. 150 PCS BALL PEN (BLACK/BLUE) 5. 150 PCS NOTEBOOK (30 LEAVES) 6. 3 PCS CORRECTION TAPE 7. 3 PCS DOULE SIDED TAPE 8. 52 PCS ENVELOPE CELLOPHANE W/ HANDLE (ASSORTED COLOR</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</si>
  <si>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</si>
  <si>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</si>
  <si>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Republic of the Philippines  Province of La Union  Municipality of Bacnotan  Bids and Awards Committee  INVITATION TO BID FOR  Supply and Delivery of Five (5) Units Riso Digital Duplicator  1.	The Municipality of Bacnotan, through the Special Education Fu</t>
  </si>
  <si>
    <t xml:space="preserve"> HOP-QR-PRO-005 Republic of the Philippines Department of Health DAVAO REGIONAL MEDICAL CENTER Apokon, Tagum City BIDS AND AWARDS COMMITTEE Invitation to Bid for the SUPPLY &amp; DELIVERY OF HOUSEKEEPING SUPPLIES 1.	The Davao Regional Medical Center (DRMC), th</t>
  </si>
  <si>
    <t xml:space="preserve"> Construction of School Building (Phase I) 1.00 L.S. Offices, Shops, Stores and Workmens Accomodation for Contractor	 1.00 L.S. Permits and Clearances	 1.00 each Project Billboard/Signages	 1.00 L.S. Occupational Safety and Health Program	 1.00 L.S. Mobili</t>
  </si>
  <si>
    <t xml:space="preserve"> Republic of the Philippines Province of Cotabato Municipality of Makilala OFFICE OF THE BIDS &amp; AWARDS COMMITTEE INVITATION TO BID #2020-030 The Municipality of Makilala, funded by the  Municipal Government to apply for the  Road Concreting, Samonte Subdiv</t>
  </si>
  <si>
    <t xml:space="preserve"> PICK-UP TYPE VEHICLE  NOT EXCEEDING 3000cc ENGINE DISPLACEMENT, DIESEL-FED AND 4-CYLINDERS (FOR CONVERSION INTO RESCUE VEHICLES EQUIPPED WITH THE NECESSARY EQUIPMENT AND APPARATUS)</t>
  </si>
  <si>
    <t xml:space="preserve"> Invitation to Bid for Supply and Delivery of Various Valves and Fittings for Fabrication and Installation of Discharge Line for the Construction of  Tigayon Pumping Station No. 2 1.	The METRO KALIBO WATER DISTRICT, through the Corporate Budget for the con</t>
  </si>
  <si>
    <t xml:space="preserve"> Concreting of Tourism Access Road leading to Kawasan Falls</t>
  </si>
  <si>
    <t xml:space="preserve"> Republic of the Philippines Department of Health Cagayan Valley Center for Health Development BATANES GENERAL HOSPITAL Basco, Batanes E-mail Address: bataneshospital@gmail.com INVITATION TO BID ITB NO. 2020-08 Supply and Delivery of Various Medical Equipm</t>
  </si>
  <si>
    <t xml:space="preserve"> Comprehensive Land Use Plan &amp; Zoning Ordinance 3 sets Vol. 1 Comprehensive Land Use Plan 3 sets Vol. 2 Zoning Ordinance 3 sets Vol. 3 Sectoral Studies 2 pcs USB containing E-copy of Vol. 1,2,3 and Maps 2 pcs Presentation Maps in tarpaulin media</t>
  </si>
  <si>
    <t xml:space="preserve"> See attached document, print Bid Notice Abstract and download ITB No. GOODS-20-132.</t>
  </si>
  <si>
    <t xml:space="preserve"> REQUEST FOR PROPOSAL (RFP) The National Housing Authority (NHA), through its Regional Office Bids and Awards Committee (ROBAC) is inviting Real Estate External Appraisal Service Providers to undertake the valuation of total land area of 62,311 sq.m., more</t>
  </si>
  <si>
    <t xml:space="preserve"> CONSTRUCTION/IMPROVEMENT/REHABILITATION OF FLOOD CONTROL SYSTEM @ AQUINO AVE., POBLACION, SAN PASCUAL, BATANGAS</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</si>
  <si>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</si>
  <si>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Invitation to Bid 2020-006 RE-BID REPAIR/REHABIILITATION OF CLASSROOMS BEFF CY 2020 1.	The Government of the Philippines, through the Department of Education, Division of Surigao del Sur, through the Basic Education Facilities Fund (BEFF) intends to apply</t>
  </si>
  <si>
    <t xml:space="preserve"> Supply and Delivery Materials for the Installation of Solar Street Lights</t>
  </si>
  <si>
    <t xml:space="preserve"> Electrification of Un-energized Schools and Modernization of Electrical Systems On-grid Schools in Itbayat</t>
  </si>
  <si>
    <t xml:space="preserve"> I N V I T A T I O N   T O   B I D 2020 - 154 August 12, 2020 1.	The Provincial Government of Tarlac through the 20% DF '20 - Improvement of IT Park II and Dormitory intends to apply the sum of Three Million Five Hundred Ninety-Eight Thousand Two Hundred S</t>
  </si>
  <si>
    <t xml:space="preserve"> Republic of the Philippines  Province of Isabela  Municipality of Jones    INVITATION TO BID FOR   Supply of Materials, Labor and Equipment for the Expansion of Municipal Hall Solicitation No.: Infra-2020-14   		The Municipality of Jones, Isabela, through</t>
  </si>
  <si>
    <t xml:space="preserve"> INVITATION TO BID for the ITB No. 20-078 Supply and Delivery of Three Hundred Thirty-Four (334) Pieces Hemoperfusion Sepsis Cartridge 1.	The National Kidney and Transplant Institute (NKTI) through its Corporate Operating Budget (COB) intends to apply the </t>
  </si>
  <si>
    <t xml:space="preserve"> see uploaded bidding documents</t>
  </si>
  <si>
    <t xml:space="preserve"> HOP-QR-PRO-005 Republic of the Philippines Department of Health DAVAO REGIONAL MEDICAL CENTER Apokon, Tagum City BIDS AND AWARDS COMMITTEE Invitation to Bid for THE SUPPLY &amp; DELIVERY OF MEDICAL EQUIPMENT ACCESSORIES &amp; CONSUMABLES-REBID 1.	The Davao Region</t>
  </si>
  <si>
    <t xml:space="preserve"> Republic of the Philippines 		DEPARTMENT OF PUBLIC WORKS AND HIGHWAYS REGIONAL OFFICE II Tuguegarao City, Cagayan INVITATION TO BID 1.	The Department of Public Works and Highways – Regional Office No. 02, through the DPWH GAA FY 2020 RA 11465 intends to a</t>
  </si>
  <si>
    <t xml:space="preserve"> INVITATION TO BID The Local Government Unit of Rizal, through its Bids and Awards Committee , invites contractors to submit bids for the contract: a. Contract ID no. : LDF20-08-036 b. Contract Name : PACKAGE 7-LDF20 c. Total Approved Budget for the Contra</t>
  </si>
  <si>
    <t xml:space="preserve"> Republic of the Philippines Province of Negros Oriental City of Bais Barangay: Capiñahan       BIDS AND AWARD COMMITTEE INVITATION TO APPLY FOR ELIGIBILITY AND TO BID 	The Barangay Government of Barangay__ Capiñahan      , Bais City invites interested sup</t>
  </si>
  <si>
    <t xml:space="preserve"> 2020 28TH PUBLIC BIDDING: PROCUREMENT OF MEDICAL IMAGING SUPPLIES</t>
  </si>
  <si>
    <t xml:space="preserve"> I N V I T A T I O N   T O   B I D 2020 – 155 August 20, 2020 1.	The Provincial Government of Tarlac through the General Fund intends to apply the sum of Fourteen Million Thirty-Two Thousand Seven Hundred Ninety-Two Pesos and 87/100 (PhP 14,032,792.87) bei</t>
  </si>
  <si>
    <t xml:space="preserve"> Invitation to Bid for ROAD CONCRETING (CLUSTER 4-2020) 2nd POSTING [INFRA-CB-2020-07-007] 1.	The LOCAL GOVERNMENT UNIT OF BALATAN, through the 20% EDF intends to apply the sum of ONE MILLION NINE HUNDRED FORTY-SEVEN THOUSAND PESOS ONLY (P1,947,000.00) bei</t>
  </si>
  <si>
    <t xml:space="preserve"> INVITATION TO APPLY FOR ELIGIBILITY AND TO BID The LGU of Mataasnakahoy, Batangas, through its Bids and Award Committee (BAC), invites contractors/suppliers registered with PHILGEPS to apply for Eligibility and if found eligible, to bid for the hereunder </t>
  </si>
  <si>
    <t xml:space="preserve"> SEE ATTACHED BIDDING DOCS, ITB AND CHECKLIST</t>
  </si>
  <si>
    <t xml:space="preserve"> weighing scale 1000kg										 gasoline water pump										 power spray w/ electric motor 1.5 hp and acc w 2 roll hose										 handtractor w/ harrow &amp; disc plow and aircooled diesel engine 10 hp										 knapsack sprayer										 mudboat w/ aircoole</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</si>
  <si>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</si>
  <si>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REQUEST FOR PROPOSAL (RFP) The National Housing Authority (NHA), through its Regional Office Bids and Awards Committee (ROBAC) is inviting Real Estate External Appraisal Service Providers to undertake the valuation of total land area of 20,559 sq.m., more</t>
  </si>
  <si>
    <t xml:space="preserve"> NO	UNIT	DESCRIPTION	QTY 		TAYTAY	 1	SQ.M.	CONST. OF TEMPORARY FACILITIES/ BUNK HOUSE	20 2	SQ.M	SITE PREPARATION	36 3	SQ.M	LEAN CONCRETE	36 4	KGS	REINFORCEMENT STEEL BAR (INSTALLED)	3691 5	CU.M.	CONCRETE WORKS (CLASS A)	27 6	L.M.	PIPELINES/ PIPELAYING	1800</t>
  </si>
  <si>
    <t xml:space="preserve"> The DPWH, Negros Occidental 3rd District Engineering Office, Kabankalan City, Negros Occidental, through its Bids and Awards Committee (BAC), invites contractors to submit bids for the following contract: 1. Contract ID		:	20GM0083 Contract Name	:	Constru</t>
  </si>
  <si>
    <t xml:space="preserve"> Republic of the Philippines Province of Guimaras OFFICE OF THE BIDS AND AWARDS COMMITTEE INVITATION TO BID FOR    SUPPLY AND DELIVERY OF KNOWLEDGE CHANNEL K-12 CURRICULUM-BASED PORTABLE MEDIA LIBRARY Bid Ref. No. 2020-08-450 1.	The Province of Guimaras , </t>
  </si>
  <si>
    <t xml:space="preserve"> OPENING OF BIDS IN DSWD FO  IX ZAMBOANGA CITY DELIVERY IN HOME FOR WOMEN MAMPANG ZC PROCUREMENT FOR THE FF,: 1 LOT  VEGETABLE SUPPLIES 120	kls	Ampalaya	@	80 80	kls	Baguio beans	@	95 60	pcs	Banana Blossom	@	50 120	kls	Broccoli	@	150 80	kls	Bell pepper	@	14</t>
  </si>
  <si>
    <t xml:space="preserve"> Please download and then print the attached Invitation to Bid (ITB) for more details and for your reference. To view this attachment, just click “ORDER” opposite the ASSOCIATED COMPONENTS. TOTAL APPROVED BUDGET FOR THE CONTRACT (ABC): ₱2,695,900.00</t>
  </si>
  <si>
    <t xml:space="preserve"> 1.	The Department of Health-Eastern Visayas Center for Health Development  through the Bids and Awards Committee (BAC) invites suppliers to bid for the hereunder projects for CY 2020: Procurement of Hospital Equipment V (On-site Delivery) 1)	OR Light, Coo</t>
  </si>
  <si>
    <t xml:space="preserve"> HOP-QR-PRO-005 Republic of the Philippines Department of Health DAVAO REGIONAL MEDICAL CENTER Apokon, Tagum City BIDS AND AWARDS COMMITTEE Invitation to Bid for the SUPPLY &amp; DELIVERY OF MEDICAL EQUIPMENT ACCESSORIES &amp; CONSUMABLES- REBID 1.	The Davao Regio</t>
  </si>
  <si>
    <t xml:space="preserve"> Repair and Rehabilitation to be Used/Converted to Dental/Medical Clinic in Itbayat, Sabtang and Basco Central School</t>
  </si>
  <si>
    <t xml:space="preserve"> Procurement of Civil Works- Improvement of Mt. Pack-Laneb-Anit it Road, Cabayo, Kayapa, Nueva Vizcaya</t>
  </si>
  <si>
    <t xml:space="preserve"> "ITEM  NO."	GENERIC NAME				DOSAGE STRENGTH	PACKING SIZE	FORM		TOTAL QTY	ABC PER UNIT	TOTAL ABC DM0001	0.9% Sodium Chloride				 for Irrigating 	 500mL 	Bottle/Bag		48	 58.08 	 2,787.84  DM0015	5% Dextrose in Water	5% Dextrose in Water	5% Dextrose in Water</t>
  </si>
  <si>
    <t xml:space="preserve"> REQUEST FOR PROPOSAL (RFP) The National Housing Authority (NHA), through its Regional Office Bids and Awards Committee (ROBAC) is inviting Real Estate External Appraisal Service Providers to undertake the valuation of total land area of 149,444 sq.m., mor</t>
  </si>
  <si>
    <t xml:space="preserve"> Republic of the Philippines DEPARTMENT OF PUBLIC WORKS AND HIGHWAYS CAGAYAN 2ND DISTRICT ENGINEERING OFFICE Regional Office II Abulug, Cagayan INVITATION TO BID FOR  CLUSTER NO. 2020-06-GOODS The DPWH -Cagayan 2nd District Engineering Office through the B</t>
  </si>
  <si>
    <t xml:space="preserve"> Republic of the Philippines Department of Health DAVAO REGIONAL MEDICAL CENTER Apokon, Tagum City BIDS AND AWARDS COMMITTEE Invitation to Bid for the SUPPLY &amp; DELIVERY OF PRINTED FORMS - REBID 1.	The Davao Regional Medical Center (DRMC), through the HOSPI</t>
  </si>
  <si>
    <t xml:space="preserve"> Republic of the Philippines Province of La union Municipality of Bacnotan INVITATION TO BID The Local Government of  Bacnotan through its Bids and Awards Committee (BAC) invites contractors to submit bids for the following contract. Contract Name: MULTI-P</t>
  </si>
  <si>
    <t xml:space="preserve"> Computer &amp; Photocopier Ink Toner &amp; Cartridge 	-       Php720,345.40 Bond paper	-              Php 1,228,476.47</t>
  </si>
  <si>
    <t xml:space="preserve"> INVITATION TO BID The Local Government Unit of Rizal, through its Bids and Awards Committee , invites contractors to submit bids for the contract: a. Contract ID no. : LDF20-08-035 b. Contract Name : PACKAGE 6-LDF20 c. Total Approved Budget for the Contra</t>
  </si>
  <si>
    <t xml:space="preserve"> I. REMOVAL OF EXISTING STRUCTURE 1 LOT II. EXCAVATION WORKS 1.45 CU.M. III. CONCRETE WORKS (COLUMN, FOOTING, BEAM, FLOORING, ZOCALO &amp; SLAB) 6.03 CU.M. IV. MASONRY WORKS 3.30 SQ.M. V. FABRICATION AND INSTALLATION OF STEEL GATE 4 UNITS</t>
  </si>
  <si>
    <t xml:space="preserve"> INVITATION TO BID  	 The Central Luzon State University (CLSU) its Bids and Awards Committee (BAC), invites suppliers/manufacturers/distributors to bid for the hereunder projects: NAME OF PROJECT: Upgrading of the Pests and Disease Diagnostic Laboratory f</t>
  </si>
  <si>
    <t xml:space="preserve"> Please download and then print the attached Invitation to Bid (ITB) for more details and for your reference. To view this attachment, just click “ORDER” opposite the ASSOCIATED COMPONENTS. TOTAL APPROVED BUDGET FOR THE CONTRACT (ABC): ₱503,400.00</t>
  </si>
  <si>
    <t xml:space="preserve"> Republic of the Philippines Province of Cebu MUNICIPALITY OF DAANBANTAYAN Bids and Awards Committee Email address: bac.daanbantayan@gmail.com | Contact no.: (032) 437-8144 ITB No.: PB-2020-08-43 Invitation to Bid for the Supply and Delivery of Labor and M</t>
  </si>
  <si>
    <t xml:space="preserve"> NO	UNIT	DESCRIPTION	QTY 1	SQ.M	REMOVAL &amp; HAULING OF DELAPIDATED CONCRETE PAVEMENT	766 2	CU.M	SURPLUS COMMON EXCAVATION	1200 3	CU.M	BASE COURSE PREPARATION	545 4	LM	LINE CANAL	325 5	SQ.M	PCCP	1200 6	LM	RCPC	14 7	CU.M	STONE MASONRY	19 8	UNIT	CATCH BASIN	4</t>
  </si>
  <si>
    <t xml:space="preserve"> Republic of the Philippines City of Dapitan BIDS AND AWARDS COMMITTEE INVITATION TO BID August 11, 2020 	 The City Government of Dapitan, through its Bids and Awards Committee (BAC), invites interested parties to apply for eligibility and, if found eligib</t>
  </si>
  <si>
    <t xml:space="preserve"> INVITATION TO BID FOR CW-ALPIP-02-2020 1.	The National Irrigation Administration – Cordillera Administrative Region (NIA-CAR), through the General Appropriations Act (GAA) 2020 intends to apply the sum of Ninety Eight Million Fifty Nine Thousand Fifty Six</t>
  </si>
  <si>
    <t xml:space="preserve"> Republic of the Philippines Province of Eastern Samar Municipality of San Julian INVITATION TO BID CONSTRUCTION OF IMPROVEMENT OF OMAS TRAINING CENTER GROUND SO. DANHUGAN BARANGAY LIBAS, MUNICIPALITY OF SAN JULIAN, PROVINCE OF EASTERN SAMAR The Local Gove</t>
  </si>
  <si>
    <t xml:space="preserve"> INVITATION TO BID FOR  PROCUREMENT OF MEDICAL SUPPLIES AND PPE’S 1.	The DOH-LABUAN GENERAL HOSPITAL, through the GENERAL APPROPRIATION ACT (GAA) OF 2020 intends to apply the sum of EIGHT MILLION THREE HUNDRED PESOS  (8,300,000.00) being the Approved Budge</t>
  </si>
  <si>
    <t xml:space="preserve"> INVITATION TO BID The Local Government Unit of Rizal, through its Bids and Awards Committee , invites contractors to submit bids for the contract: a. Contract ID no. : LDF20-08-031 b. Contract Name : PACKAGE 10-LDF20 c. Location : c.1. Improvement of Revo</t>
  </si>
  <si>
    <t xml:space="preserve"> BIDS AND AWARDS COMMITTEE INVITATION TO BID 	The City Government of Valenzuela, through its Bids and Award Committee (BAC), invites interested suppliers, to apply for eligibility and to bid for the hereunder listed project to wit:            Project Refer</t>
  </si>
  <si>
    <t xml:space="preserve"> 910 cu.m. Backfilling Materials (Buga)</t>
  </si>
  <si>
    <t xml:space="preserve"> ONE BAGGER CONCRETE MIXER DEMOLITION (EXISTING PAVEMENT) SUBGRADE PREPARATION AGGREGATE SUB-BASE COARSE PORTLAND CEMENT CONCRETE PAVEMENT (0.15)</t>
  </si>
  <si>
    <t xml:space="preserve"> ( 3 tons ) Floor mounted inverter aircon  W/ free installation</t>
  </si>
  <si>
    <t xml:space="preserve"> Republic of the Philippines Province of Cotabato Municipality of Makilala OFFICE OF THE BIDS &amp; AWARDS COMMITTEE INVITATION TO BID #2020-029 The Municipality of Makilala, funded by the  Municipal Government to apply for the  Road Concreting,Sumabat Street </t>
  </si>
  <si>
    <t xml:space="preserve"> (see bidding documents in the associated component for further details)</t>
  </si>
  <si>
    <t xml:space="preserve"> Republic of the Philippines  Province of La Union  Municipality of Bacnotan  Bids and Awards Committee  INVITATION TO BID FOR  Supply and Delivery of School Supplies for the “Tulong para sa Mag-aaral” Project 1.	The Municipality of Bacnotan, through the G</t>
  </si>
  <si>
    <t xml:space="preserve"> CLARK DEVELOPMENT CORPORATION CLARK FREEPORT ZONE INVITATION TO BID The Clark Development Corporation, through its Bids and Awards Committee (BAC), invites contractors registered with and classified by the Philippine Contractors Accreditation Board (PCAB)</t>
  </si>
  <si>
    <t xml:space="preserve"> INVITATION TO BID  	 The Central Luzon State University (CLSU) its Bids and Awards Committee (BAC), invites suppliers/manufacturers/distributors to bid for the hereunder projects: NAME OF PROJECT: Supply and Delivery of Livestocks for the use of Small Rum</t>
  </si>
  <si>
    <t xml:space="preserve"> I. REMOVAL OF DELAPIDATED MATERIALS (ROOFING, CEILING, TILES &amp; WATER CLOSET) 1 LOT II. ROOFING WORKS (REPLACEMENT DAMAGE PORTION ONLY) 4.08 SQ.M. III. CEILING WORKS REPAIR 6.95 SQ.M. IV. TILE WORKS 40.07 SQ.M. V. C.R. FIXTURES 1LOT VI. PARTITION WALL 24.8</t>
  </si>
  <si>
    <t xml:space="preserve"> INVITATION TO BID PROCUREMENT OF VARIOUS HOSPITAL EQUIPMENT  ITB No. 2020-04-004 1.	The NORTHERN MINDANAO MEDICAL CENTER (NMMC), through the General Appropriations Act 2020 intends to apply the sum of   One Hundred Thirty Million Pesos  (Php130,000,000.00</t>
  </si>
  <si>
    <t xml:space="preserve"> INVITATION TO BID Bid No. B-125-2020  1.	The Provincial Government of Negros Oriental through Responsibility Center: 8918-129(19), intends to apply the sum of One Million Three Hundred Eighty-Seven Thousand Two Hundred Thirty-Three Pesos &amp; 53/100 (Php 1,3</t>
  </si>
  <si>
    <t xml:space="preserve"> INVITATION TO BID The MUNICIPALITY OF TABOGON through its Bids and Awards Committee (BAC), invites contractors registered with and classified by the Philippine Contractors Accreditation Board (PCAB) to apply eligibility and if found eligible to bid for th</t>
  </si>
  <si>
    <t xml:space="preserve"> Republic of the Philippines Province of Cebu MUNICIPALITY OF DAANBANTAYAN Bids and Awards Committee E-mail address: bac.daanbantayan@gmail.com |Contact no.: (032) 437-8144 ITB No.: PB-2020-08-45 Invitation to Bid for the Supply and Delivery of Materials f</t>
  </si>
  <si>
    <t xml:space="preserve"> 1.	Supply and Delivery of 122 head Upgraded Anglo Nubian Goat ABC: Php1,220,000.00  Specifications: -	Doe (female) -	22 - 25 kg. -	10 - 12 months Additional Requirements: -	Dewormed within a week prior to delivery -	with Test Result Negative to Caprine Ar</t>
  </si>
  <si>
    <t xml:space="preserve"> INVITATION TO BID Bid No. B-124-2020  1.	The Provincial Government of Negros Oriental through Responsibility Center: 1918-024(19), intends to apply the sum of One Million Two Hundred Twenty Thousand Six Hundred Eighty-Six Pesos (Php 1,220,686.00) to payme</t>
  </si>
  <si>
    <t xml:space="preserve"> Republic of the Philippines Department of Health DAVAO REGIONAL MEDICAL CENTER Apokon, Tagum City BIDS AND AWARDS COMMITTEE Invitation to Bid for the SUPPLY &amp; DELIVERY OF SPARE PARTS FOR VARIOUS VEHICLES 1.	The Davao Regional Medical Center (DRMC), throug</t>
  </si>
  <si>
    <t xml:space="preserve"> 1. 15 UNITS GLOBE MODEM WIFI 2. 24 UNITS EPSON PRINTER (3in1) L3110 3. 2 UNITS DESKTOP (CORE I3) 4. 1 UNIT LAPTOP (CORE I5) ICT CORD 5. 1 UNIT LAPTOP (CORE 15)</t>
  </si>
  <si>
    <t xml:space="preserve"> 1.	Supply and Delivery of 3,600 head Free Range Chicken ABC: Php1,800,000.00  Specifications: -	3,200 head Pullets (female) 400 head Cockerel (male) -	5-6 months old -	1.2 – 1.5 kg. Additional Requirements: -	with Test Result Negative to Avian Influenza (</t>
  </si>
  <si>
    <t xml:space="preserve"> Republic of the Philippines Province of Cebu MUNICIPALITY OF DAANBANTAYAN Bids and Awards Committee Email address: bac.daanbantayan@gmail.com | Contact no.: (032) 437-8144 ITB No.: PB-2020-08-44 Invitation to Bid for the Supply and Delivery of Labor and M</t>
  </si>
  <si>
    <t xml:space="preserve"> INVITATION TO BID FOR CW-ALPIP-03-2020 1.	The National Irrigation Administration – Cordillera Administrative Region (NIA-CAR), through the General Appropriations Act (GAA) 2020 intends to apply the sum of Eighty One Million Nine Hundred Thirty Five Thousa</t>
  </si>
  <si>
    <t xml:space="preserve"> INVITATION TO BID Bid No. B-123-2020  1.	The Provincial Government of Negros Oriental through Responsibility Center: 1091-04(18), intends to apply the sum of One Million Forty Thousand Four Hundred Ninety Pesos &amp; 50/100 (Php 1,040,490.50) to payment under</t>
  </si>
  <si>
    <t xml:space="preserve"> Negotiation for the Procurement of Brand New Van (for Mobile Blood Donation)</t>
  </si>
  <si>
    <t xml:space="preserve"> 1 REGION XII Province of Cotabato Municipality of Midsayap BIDS &amp; AWARDS COMMITTEE Tel. Nos. (064) 229-8018; 229-8650; 229-8450 INVITATION TO BID FOR  2020-103, CONSTRUCTION OF MULTI-PURPOSE (R.I.C) BUILDING, VILLARICA, MIDSAYAP, COTABATO 1. The MUNICIPAL</t>
  </si>
  <si>
    <t xml:space="preserve"> REQUEST FOR PROPOSAL (RFP) The National Housing Authority (NHA), through its Regional Office Bids and Awards Committee (ROBAC) is inviting Real Estate External Appraisal Service Providers to undertake the valuation of total land area of 81,692 sq.m., more</t>
  </si>
  <si>
    <t xml:space="preserve"> Invitation to Bid  for the Procurement of     Lease of Water Treatment Facility for Malamig Pumping Station  (Minimum of 4mld of treated water at 50psi output). The BUSTOS WATER DISTRICT, through the Corporate Budget for the contract approved by the gover</t>
  </si>
  <si>
    <t xml:space="preserve"> Procurement of Vehicle Rental  12	unit	For the conduct of Project monitoring and evaluation of various projects of the SAAD Program in the Province of Antique on September-December 2020 •	4WD vehicle with minimum capacity of 4 passengers •	Inclusion of dr</t>
  </si>
  <si>
    <t xml:space="preserve"> INVITATION TO BID The Department of Public Works and Highways, Cavite 3rd District Engineering Office, through its Bids and Awards Committee (BAC), invites suppliers to submit bids for the following Contract:  1.  Contract ID No.	 : 	20GDQ0026 Contract Na</t>
  </si>
  <si>
    <t xml:space="preserve"> MINIMUM EQUIPMENT REQUIREMENT 1 ROAD GRADER 135HP 1 ROAD ROLLER (125HP 10T,STATIC) 1 WATER TRUCK (2,000 LITERS CAP.) 1 CONCRETE VIBRATOR 2 BAR CUTTER 2 CONCRETE MIXER (ONE BAGGER) 2 CONCRETE SAW 86 STEEL FORMS</t>
  </si>
  <si>
    <t xml:space="preserve"> Invitation to Bid for ROAD CONCRETING (CLUSTER 3-2020) 2nd POSTING [INFRA-CB-2020-07-006 1.	The LOCAL GOVERNMENT UNIT OF BALATAN, through the 20% EDF MUN. FUND CY 2020 intends to apply the sum of ONE MILLION SIX HUNDRED FORTY-SEVEN THOUSAND PESOS ONLY (P1</t>
  </si>
  <si>
    <t xml:space="preserve"> Republic of the Philippines PROVINCE OF QUIRINO Cabarroguis -oOo- BIDS AND AWARDS COMMITTEE INVITATION TO BID FOR  Procurement of Various Fruit and Forest Tree Seedlings to be distributed to the  Forest Protection Program (FPP) beneficiaries Contract No. </t>
  </si>
  <si>
    <t xml:space="preserve"> Republic of the Philippines Department of Health DAVAO REGIONAL MEDICAL CENTER Apokon, Tagum City BIDS AND AWARDS COMMITTEE Invitation to Bid for the SUPPLY &amp; DELIVERY OF MEDICAL SUPPLIES 1.	The Davao Regional Medical Center (DRMC), through the GAA/HOSPIT</t>
  </si>
  <si>
    <t xml:space="preserve"> Contract ID: 20GKK0039 Contract Name: Supply and Delivery of SS1 - Emulsified Asphalt to be used for Act. III - Premix Patching Bitominous Pavement along BCIR Contract Location: DPWH-MOFDEO, Gingoog City Brief Description of Goods to be procured: SS1-Emul</t>
  </si>
  <si>
    <t xml:space="preserve"> Republic of the Philippines Province of Oriental Mindoro MUNICIPALITY OF GLORIA Invitation to Bid ITB No. 2020-012   Concreting of Local Access Road (Upgrading of Brgy. Banutan  to Brgy. G. Antonino Road) 1.	The Municipality of Gloria, through Local Gover</t>
  </si>
  <si>
    <t xml:space="preserve"> Republic of the Philippines Province of Eastern Samar Municipality of San Julian INVITATION TO BID REHABILITATION/IMPROVEMENT OF FARM-TO-MARKET ROAD PANAWNAWAN-MAGTIAW, BRGY. CAMPIDHAN MUNICIPALITY OF SAN JULIAN,  PROVINCE OF EASTERN SAMAR TheLocal Govern</t>
  </si>
  <si>
    <t xml:space="preserve"> REQUEST FOR PROPOSAL (RFP) The National Housing Authority (NHA), through its Regional Office Bids and Awards Committee (ROBAC) is inviting Real Estate External Appraisal Service Providers to undertake the valuation of total land area of 17,000 sq.m., more</t>
  </si>
  <si>
    <t xml:space="preserve"> The  Sangguniang Barangay  MANLAYAAN, through its Bids and Awards Committee (BAC), invites suppliers/manufacturers/distributors/contractors to apply for eligibility and to bid for the hereunder project: Name of Project	:  IMPROVEMENT OF MULTI –  PURPOSE H</t>
  </si>
  <si>
    <t xml:space="preserve"> INVITATION TO BID 	 The Municipality of Liloan, Southern Leyte through its Bids and Awards Committee (BAC), invites suppliers/manufacturers/distributors/contractors to bid for the following: 1.	Construction of Bridge/ Board Walk (Tagbak Marine Park) Locat</t>
  </si>
  <si>
    <t xml:space="preserve"> Republic of the Philippines Province of Quezon Municipality of Atimonan Barangay Caridad Ibaba INVITATION FOR ELIGIBILITY AND TO BID 	The Barangay Caridad Ibaba of Atimonan thru the Bids and Awards Committee (BAC) invites interested suppliers/contractors </t>
  </si>
  <si>
    <t xml:space="preserve"> REPUBLIC OF THE PHILIPPINES QUEZON CITY GOVERNMENT BAC – GOODS AND SERVICES INVITATION TO BID  ITEM NO.	P.R. NO.	OFFICE	PROJECT NAME	AMOUNT	SOURCE OF FUND	DELIVERY PERIOD GF-20-05-00718	QUEZON CITY HEALTH DEPARTMENT	DIGITAL COPIER AND MANUAL TYPEWRITER	 P</t>
  </si>
  <si>
    <t xml:space="preserve"> a.CONTRACT  ID : ANTIPOLO-01SEPTEMBER2020-01 b. NAME OF PROJECT : Construction of Molecular Testing Laboratory at Diagnostic Building, Sitio Cabading, Brgy. Inarawan, Antipolo City c. LOCATION : Brgy. Inarawan, Antipolo City d. BRIEF DESCRIPTION : Constru</t>
  </si>
  <si>
    <t xml:space="preserve"> 1.	Supply and Delivery of 610 Traditional Lowland Rice Seeds ABC: Php1,464,000.00  Specifications: -	Untreated -	Black Rice -	40 kilos/bag -	With germination rate at minimum 85% -	Bag shall be printed back to back with DA logo 3” diameter labelled with “G</t>
  </si>
  <si>
    <t xml:space="preserve"> 1.	Supply and Delivery of 3,218 pack Biological Insecticide ABC: Php1,367,650.00 Specifications: -	Active ingredients: Bacillus thuringiensis var aizawai -	(35,000 DBMU*potency) per mg Lepidoptera active toxin, 103/kg Diamond back moth unit -	100 grams pe</t>
  </si>
  <si>
    <t xml:space="preserve"> The Department of Public Works and Highways – Cordillera Administrative Region, through its Bids and Awards Committee (BAC) for Goods, invites suppliers to submit bids for the contract below: Contract ID No.:	20GP00088 Contract Name:	Procurement of Fuel f</t>
  </si>
  <si>
    <t xml:space="preserve"> 1.	Supply and Delivery of 3,188 sachet Pheromone ABC: Php2,072,200.00  Specifications: -	Active ingredients: (Z,E) 9,11 Tetradecadienyl acetate -	Pheromone Lure for Spodoptera Litura -	5 lures per sachet -	Delivery Period: 25 Calendar Days  -	Delivery Sit</t>
  </si>
  <si>
    <t xml:space="preserve"> INVITATION TO BID SUPPLY AND DELIVERY OF VARIOUS IT SUPPLIES AND EQUIPMENT  (PB 20-03-20) 1.	The Philippine Rice Research Institute, through the 2020 Regular Trust Fund Budget intends to apply the sum of  TWO MILLION FIVE HUNDRED ONE THOUSAND THIRTY-FIVE </t>
  </si>
  <si>
    <t xml:space="preserve"> Republic of the Philippines Department of Health DAVAO REGIONAL MEDICAL CENTER Apokon, Tagum City BIDS AND AWARDS COMMITTEE Invitation to Bid for the SUPPLY &amp; DELIVERY OF CONTINUOUS POSITIVE AIRWAY PRESSURE (CPAP) MACHINE 1.	The Davao Regional Medical Cen</t>
  </si>
  <si>
    <t xml:space="preserve"> The Municipal Government of Bayog, Zamboanga del Sur thru its Bids and Awards Committee (BAC) invites all interested bidders for the “CONSTRUCTION OF RESIDUAL CONTAINMENT BUILDING” for the Solid Waste Management Program of the Municipal Government of Bayo</t>
  </si>
  <si>
    <t xml:space="preserve"> I N V I T A T I O N   T O   B I D 2020 – 156 August 12, 2020 1.	The Provincial Government of Tarlac through the Tarlac Provincial Hospital intends to apply the sum of One Million Nine Hundred Forty-Four Thousand Pesos (Php 1,944,000.00)  being the Approve</t>
  </si>
  <si>
    <t xml:space="preserve"> SUPPLY AND DELIVERY OF VARIOUS HEALTH SUPPLIES AND EQUIPMENT</t>
  </si>
  <si>
    <t xml:space="preserve"> INVITATION FOR NEGOTIATED PROCUREMENT BAC-NP No. 2020-07 	The Research Institute for Tropical Medicine (RITM) through its Bids and Awards Committee (BAC) invites technically, legally and financially capable PHILGEPS-registered suppliers/manufacturers to a</t>
  </si>
  <si>
    <t xml:space="preserve"> 1.	Supply and Delivery of 14,638 packs Vegetable Seeds (Pinakbet) ABC: Php3,439,930.00  Specifications: -	6 in 1 pack (min. 32 grams/ pack) -	Enclose with Bitter Gourd (min. 3 grams), Pole Sitao (min. 12 grams), Squash (min. 4 grams), Eggplant (min. 2 gra</t>
  </si>
  <si>
    <t xml:space="preserve"> 1. 1 UNIT D-MAX 3.0 L 4X2 LS-A MT, 4JJ1-TCX, 4 CYLINDER IN LINE BLUE POWER DIESEL ENGINE WITH TURBO INTERCOOLER 177 (130) @ 3,600, 380 (38.7) @ 1,800-2,800 2,999 95.4 X 104.9 16.3:1</t>
  </si>
  <si>
    <t xml:space="preserve"> INVITATION TO BID The Local Government Unit of Rizal, through its Bids and Awards Committee , invites contractors to submit bids for the contract: a.Contract ID no. : LDF20-08-034 b.Contract Name : IMPROVEMENT OF PWS c. Location : Babalag West, Rizal, Kal</t>
  </si>
  <si>
    <t xml:space="preserve"> 1	Candy-Coffee, 50 pieces/pack 2	Candy-Menthol Ball, 50 pieces/pack 3	Candy-Cherry Menthol Flavor, 50s/pack 4	Candy-Honey Lemon Menthol Flavor, 50s/pack 5	Candy-Choco-Filled Mint, 7.05 oz, 50s/pack 6	Prawn Cracker, 5g, 20s/pack 7	Vinegar Pusit, 25g, 20s/p</t>
  </si>
  <si>
    <t xml:space="preserve"> 1. 6 PCS 3/4" THK MARINE PLYWOOD 2. 2 GALS FLAT WALL ENAMEL PAINT WHITE 3. 2 GALS GLOSS ENAMEL WHITE PAINT 4. 1 KG 2" FINISHING NAILS 5. 1 KG 1-1/2" FINISHING NAILS 6. 1 CAN WOOD GLUE 7. 2 GALS GLAZING PUTTY 8. 1 GALS PAINT THINNER 9. 15 PCS SAND PAPER #1</t>
  </si>
  <si>
    <t xml:space="preserve"> .</t>
  </si>
  <si>
    <t xml:space="preserve"> INVITATION TO BID  ITEM NO.	P.R. NO.	OFFICE	PROJECT NAME	AMOUNT	SOURCE OF FUND	DELIVERY PERIOD 4	GF-20-05-00719	QUEZON CITY HEALTH DEPARTMENT	PNEUMONIA AND INFLUENZA VACCINE	P 5,053,660.00	GENERAL FUND	30 CALENDAR DAYS 1.	The QUEZON CITY LOCAL GOVERNMENT,</t>
  </si>
  <si>
    <t xml:space="preserve"> Republic of the Philippines Province of Bulacan Municipality of Bocaue INVITATION TO BID FOR GASOLINE/ FUEL ALLOCATION FOR THE SERVICE VEHICLES OF THE MUNICIPALITY OF BOCAUE 1	The Municipality of Bocaue, through the Annual Appropriation 2020 intends to ap</t>
  </si>
  <si>
    <t xml:space="preserve"> The ISABELA CITY WATER DISTRICT through the CORPORATE OPERATING BUDGET 2020 approved by the Board of Directors intends to apply the sum listed below being the Approved Budget for the Contract (ABC) to payments under the contract for each lot per P.R. No. </t>
  </si>
  <si>
    <t xml:space="preserve"> INVITATION TO BID  ITEM NO.	P.R. NO.	OFFICE	PROJECT NAME	AMOUNT	SOURCE OF FUND	DELIVERY PERIOD GF-20-09-3C-QCU	QUEZON CITY UNIVERSITY	LAPTOP COMPUTERS FOR STUDENTS AND FACULTY MEMBERS	P 115,910,000‬.00	GENERAL FUND	30 CALENDAR DAYS 1.	The QUEZON CITY LOCA</t>
  </si>
  <si>
    <t xml:space="preserve"> 1. 1 PC TABLE TOP WATER DISPENSER (HOT &amp; COLD) WITH FREE GALLON AND COVER 2. 1 PC BINDING MACHINE (HEAVY DUTY) LEGAL SIZE, BINDING CAPACITY 700 SHEETS, MAX WIDTH OF PAPER LEGAL SIZE, PUNCHING SLOTS: 30 3. 1 PC RICE COOKER WITH STEAMER, SPATULA AND MEASURI</t>
  </si>
  <si>
    <t xml:space="preserve"> INVITATION TO BID  ITEM NO.	P.R. NO.	OFFICE	PROJECT NAME	AMOUNT	SOURCE OF FUND	DELIVERY PERIOD 1. GF-20-07-01052	BUSINESS PERMITS AND LICENSING DEPARTMENT	TABLE	P1,147,365.00	GENERAL FUND	30 CALENDAR DAYS 1.	The QUEZON CITY LOCAL GOVERNMENT, through the G</t>
  </si>
  <si>
    <t xml:space="preserve"> Republic of the Philippines Province of Leyte Municipality of Kananga BIDS AND AWARDS COMMITTEE INVITATION TO BID FOR PROCUREMENT OF VARIOUS OFFICE IT EQUIPMENT - REPOST 1.	The Municipality of Kananga, through the General Fund intends to apply the sum of </t>
  </si>
  <si>
    <t xml:space="preserve"> Invitation to Bid for   Procurement of Labor and Materials for Repair of Various Civil Works  IB NO. 2020-028-I The WESTERN VISAYAS MEDICAL CENTER, through the Regular Agency Fund GAA/SAA or Internally Generated Fund-Hospital  Income intends to apply the </t>
  </si>
  <si>
    <t xml:space="preserve"> Republic of the Philippines Department of Health DAVAO REGIONAL MEDICAL CENTER Apokon, Tagum City BIDS AND AWARDS COMMITTEE Invitation to Bid for the SUPPLY &amp; DELIVERY OF MAINTENANCE SUPPLIES 1.	The Davao Regional Medical Center (DRMC), through the HOSPIT</t>
  </si>
  <si>
    <t xml:space="preserve"> 16 Seurity Guards 10 Guards for SDSSU Tandag Campus   6 Guards for SDSSU Cantilan Campus</t>
  </si>
  <si>
    <t xml:space="preserve"> I.	General Requirements     A. Sign Board        B. Temporary Facility II.	Construction of Solar Power Irrigation System with Pump House</t>
  </si>
  <si>
    <t xml:space="preserve"> INVITATION TO BID SUPPLY AND DELIVERY OF VARIOUS IT SUPPLIES AND EQUIPMENT  (PB 20-03-21) 1.	The Philippine Rice Research Institute, through the 2020 Trust Fund Budget intends to apply the sum of TWO MILLION EIGHT HUNDRED EIGHTY-THREE THOUSAND EIGHT HUNDR</t>
  </si>
  <si>
    <t xml:space="preserve"> Republic of the Philippines Department of Health Jose R. Reyes Memorial Medical Center M a n i l a INVITATION TO BID FOR  TWO (2) UNITS INFANT TRANSPORT VENTILATOR  ITB No. 2020-INFANT VENT-100 1.	The Jose R. Reyes Memorial Medical Center, through the Gen</t>
  </si>
  <si>
    <t xml:space="preserve"> 1.	Supply and delivery of Various Inorganic Fertilizer ABC: Php21,000,000.00 Specifications: 12,000 bags Complete Fertilizer (14-14-14) -	Granular -	50 kg/bag -	 Bags printed with DA Logo with 3” in Diameter GOVERNMENT PROPERTY and NOT FOR SALE -	Provide </t>
  </si>
  <si>
    <t xml:space="preserve"> Republic of the Philippines Province of Leyte Municipality of Kananga BIDS AND AWARDS COMMITTEE Invitation to Bid for CONSTRUCTION OF FLOOD CONTROL WITH RIVER WALK AT BRGY. POBLACION, KANANGA, LEYTE 1.	The Municipality of Kananga through the Trust Fund (D</t>
  </si>
  <si>
    <t xml:space="preserve"> Republic of Philippines Province of Quezon MUNICIPALITY OF REAL -oOo- BIDS AND AWARDS COMMITTEE REQUEST FOR EXPRESSION OF INTEREST FOR CONSULTANCY SERVICES FOR WEBSITE DEVELOPMENT, INCLUSIVE OF DOMAIN NAME REGISTRATION AND WEB HOSTING   1.	The Municipal G</t>
  </si>
  <si>
    <t xml:space="preserve"> INVITATION TO BID  ITEM NO.	P.R. NO.	OFFICE	PROJECT NAME	AMOUNT	SOURCE OF FUND	DELIVERY PERIOD SEF-20-08-01196	DIVISION OF CITY SCHOOLS	LAPTOP COMPUTERS	P 124,548,000.00	SPECIAL EDUCATION FUND	30 CALENDAR DAYS 1.	The QUEZON CITY LOCAL GOVERNMENT, through </t>
  </si>
  <si>
    <t xml:space="preserve"> INVITATION TO BID  GF-20-05-00787	MARKET DEVELOPMENT AND ADMINISTRATION DEPARTMENT	PEST CONTROL SOLUTION	P 2,750,000.00	GENERAL FUND	 15 CALENDAR DAYS 1.	The QUEZON CITY LOCAL GOVERNMENT, through the General Fund of various years approved by the Sanggunia</t>
  </si>
  <si>
    <t xml:space="preserve"> SUPPLY AND DELIVERY OF HARDWARE MATERIALS</t>
  </si>
  <si>
    <t xml:space="preserve"> Contract Name: Cluster "RO-07" Concreting/ Landscaping of Various Access Road in Misamis Oriental 1. Landscaping, Poblacion, El Salvador City, Misamis Oriental Php = 1,000,000.00 2. Concreting of Access Road from the Entrance to DA Compound and its Respec</t>
  </si>
  <si>
    <t xml:space="preserve"> Contract ID: 20GO0105 Contract Name: Construction of Revetment w/ Floodwall along Sum-ag River, Bacolod City Contract Location: Bacolod City, Negros Occidental Brief Description: Construction of 738 l.m. revetment with floodwall which includes Project Bil</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</si>
  <si>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</si>
  <si>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Contract Name: Installation of Water System Poblacion, El Salvador City, Misamis Oriental Contract Location: Misamis Oriental Scope of Work: Installation of Water System Source of Fund: DA Trust Fund Appropriation: Php. 2,000,000.00 ABC: Php. 1,990,000.00</t>
  </si>
  <si>
    <t xml:space="preserve"> INVITATION TO BID  GF-20-05-00710	QUEZON CITY HEALTH DEPARTMENT	ANTI-TB KIT AND OTHERS	P 14,430,220.00	GENERAL FUND	30 CALENDAR DAYS 1.	The QUEZON CITY LOCAL GOVERNMENT, through the General Fund of various years approved by the Sangguniang Panglungsod, in</t>
  </si>
  <si>
    <t xml:space="preserve"> SUPPLY AND DELIVERY FOR THE INSTALLATION OF SOLAR STREETLIGHTS</t>
  </si>
  <si>
    <t xml:space="preserve"> Republic of the Philippines  Province of Samar Municipality of Sta. Margarita Invitation to Bid for  PROPOSED REPAIR OF OLD MUNICIPAL BUILDING LGU -  Sta. Margarita, Samar   The Municipal Government of Sta. Margarita, Samar, through the  2020 Annual Budge</t>
  </si>
  <si>
    <t xml:space="preserve"> Contract Name: Repair/ Maintenance and Rehabilitation of Infrastructure Facilities, Public Buildings 1. Repair/ Maintenance of DPWH Building GAD Building (Comfort Room), Engineer's Hill, Bulua, Cagayan de Oro City Php = 200,000.00 2. Repair/ Maintenance o</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</si>
  <si>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</si>
  <si>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For use in the Garbage Collection and Disposal Services.</t>
  </si>
  <si>
    <t xml:space="preserve"> Republic of the Philippines  Province of Samar Municipality of Sta. Margarita Invitation to Bid for  INSTALLATION OF STREET LIGHTING (PHASE II) LGU -  Sta. Margarita, Samar   The Municipal Government of Sta. Margarita, Samar, through the 20% EDF 2020    i</t>
  </si>
  <si>
    <t xml:space="preserve"> INVITATION TO BID COMPLETION OF BARANGAY HALL 	The Local Government Unit of Rizal, Cagayan intends to apply the sum of ONE HUNDRED THOUSAND PESOS (P100,000.00) being the Approved Budget for the Contract (ABC) for the COMPLETION OF BARANGAY HALL  from the </t>
  </si>
  <si>
    <t xml:space="preserve"> INVITATION TO BID  ITEM NO.	P.R. NO.	OFFICE	PROJECT NAME	AMOUNT	SOURCE OF FUND	DELIVERY PERIOD 7	GF-20-02-00229B	QUEZON CITY UNIVERSITY	VARIOUS ENGINEERING BOOKS	P 1,074,310.50	GENERAL FUND	45 CALENDAR DAYS 1.	The QUEZON CITY LOCAL GOVERNMENT, through the</t>
  </si>
  <si>
    <t xml:space="preserve"> INVITATION TO BID SUPPLY AND DELIVERY OF AGRICULTURAL SUPPLIES (PB 20-03-23) 1.	The Philippine Rice Research Institute, through the 2020 Regular Trust  Fund Budget intends to apply the sum of ONE MILLION SEVEN HUNDRED FOUR THOUSAND EIGHT HUNDRED SEVENTY-T</t>
  </si>
  <si>
    <t xml:space="preserve"> INVITATION TO BID CONSTRUCTION OF CORN SHED 	The Local Government Unit of Rizal, Cagayan intends to apply the sum of ONE HUNDRED FORTY THOUSAND NINE HUNDRED NINETY FOUR PESOS(P140,994.00) being the Approved Budget for the Contract (ABC) for the CONSTRUCTI</t>
  </si>
  <si>
    <t xml:space="preserve"> 5 pcs. Window blinds curtain 46x48 inches, Royal blue color, horizontal 2 pcs. Window blinds (W-3 feet 1 inch) (H-5 feet 10 inches), color pastel yellow, horizontal 2 pcs. Window blinds (6 feet 2 inches by 5 feet 10 inches), color pastel yellow, horizonta</t>
  </si>
  <si>
    <t xml:space="preserve"> Electrical Post 25</t>
  </si>
  <si>
    <t xml:space="preserve"> MAINTENANCE AND IMPROVEMENT OF WILD LIFE RESCUECENTER (WRC) FACILITIES AT BRGY. TAMPAYAN, MAGDIWANG, ROMBLON  PAVEMENT AND MAINTENANCE OF WILD LIFE RESCUECENTER (WRC) FACILITIES</t>
  </si>
  <si>
    <t xml:space="preserve"> Contract ID: 20GO0106 Contract Name: Construction/Repair/Rehabilitation/Improvement/Upgrading of Local Road in Brgy. 16, 35, 34, 14 &amp; 13, Bacolod City Contract Location: Bacolod City, Negros Occidental Brief Description: Construction/repair/rehabilitation</t>
  </si>
  <si>
    <t xml:space="preserve"> Republic of the Philippines Department of Health Jose R. Reyes Memorial Medical Center M a n i l a INVITATION TO BID FOR  ONE (1) LOT CONVENTIONAL MOBILE X-RAY  ITB No. 2020-XRAY-109  1.	The Jose R. Reyes Memorial Medical Center, through the General Appro</t>
  </si>
  <si>
    <t xml:space="preserve"> INVITATION TO BID FOR  FIVE (5) UNITS MECHANICAL VENTILATOR  ITB No. 2020 –MECH VENT–110 1.	The Jose R. Reyes Memorial Medical Center, through the General Appropriations Act 2020 (HFEP 2019 (CONAP) FUND) intends to apply the sum of Six Million Five Hundre</t>
  </si>
  <si>
    <t xml:space="preserve"> The Philippine Statistics Authority Regional Statistical Service Office V (PSA RSSO V), through the General Appropriations Act of 2020 intends to apply the sum of Eight Million Three Hundred Thirty-Four Thousand Four Hundred Pesos Only (P8,334,400.00). be</t>
  </si>
  <si>
    <t xml:space="preserve"> INVITATION TO BID SUPPLY AND DELIVERY OF AGRICULTURAL SUPPLIES (PB 20-03-22) 1.	The Philippine Rice Research Institute, through the 2020 Corporate Fund Budget intends to apply the sum of ONE MILLION TWO HUNDRED TWENTY FIVE THOUSAND SEVEN HUNDRED TWENTY-FI</t>
  </si>
  <si>
    <t xml:space="preserve"> Republic of the Philippines Province of Samar Municipality of Sta. Margarita INVITATION TO BID FOR  PURCHASE OF SENIOR CITIZEN’S BOOKLET 1.	The Municipal Government of Sta. Margarita, Samar, through the Annual Budget  of 2020   intends to apply the sum of</t>
  </si>
  <si>
    <t xml:space="preserve"> Contract Name: Cluster “RO-06” Construction of Various Building Projects in Bukidnon 1. Semen Processing Plant/ Laboratory, NMACLRC, Dalwangan, Malaybalay City, Bukidnon Php = 3,000,000.00 2. Establishment of Meat Processing Building, NMACLRC-MSF, Dalwang</t>
  </si>
  <si>
    <t xml:space="preserve"> 1 UNIT - VAN, FOR 4 MONTHS (SEPTEMBER TO DECEMBER 2020)</t>
  </si>
  <si>
    <t xml:space="preserve"> 1.	The Local Government Unit of CONNER, through the 20% Development Fund 2020 intends to apply the sum of Four Hundred Eighty Six Thousand Nine hundred ninety five pesos and 28/100 Centavos Only (₱ 486,995.28)  being the Approved Budget for the Contract (</t>
  </si>
  <si>
    <t xml:space="preserve"> REPUBLIC OF THE PHILIPPINES QUEZON CITY GOVERNMENT BAC – GOODS AND SERVICES INVITATION TO BID  ITEM NO.	P.R. NO.	OFFICE	PROJECT NAME	AMOUNT	SOURCE OF FUND	DELIVERY PERIOD 10	GF-20-05-00713	CITY TREASURER’S OFFICE	SUPPLIES FOR COFFEE VENDING MACHINE	P 2,52</t>
  </si>
  <si>
    <t xml:space="preserve"> Description:		 			Asphalt Overlay on Top of 4L.m Wide Concrete		 			Road Width: 6.0 L.m       Thickness: 50mm                          Pavement width: 6.0 L.m                          Length: 115 L.m		 			Surface Type Item:310 – Bituminous Concrete Surfac</t>
  </si>
  <si>
    <t xml:space="preserve"> The Local Government Unit of CONNER, through the DF-2017, 2018 intends to apply the sum of Three Hundred Ninety Thousand Four Hundred Fourteen Pesos and 68/100 Centavos Only (₱ 390,414.68) being the Approved Budget for the Contract (ABC) to payments under</t>
  </si>
  <si>
    <t xml:space="preserve"> 1. The Anti-Money Laundering Council (AMLC), through the Maintenance and Other Operating Expense Fund intends to apply the sum of PhP 1,942,500.00 being the Approved Budget for the Contract (ABC) to payments under the contract for Maintenance of Document </t>
  </si>
  <si>
    <t xml:space="preserve"> The Local Government Unit of CONNER, through the DF-2020 intends to apply the sum of Four Hundred Eighty-One Thousand Nine Hundred One Pesos and 51/100 Centavos Only (₱ 481,901.51) being the Approved Budget for the Contract (ABC) to payments under the con</t>
  </si>
  <si>
    <t xml:space="preserve"> 1.	The Local Government Unit of CONNER, through the 20% Development Fund 2017 intends to apply the sum of Two hundred ninety three thousand one hundred fifteen  and 45/100 Centavos Only (₱ 293,115.45)  being the Approved Budget for the Contract (ABC) to p</t>
  </si>
  <si>
    <t xml:space="preserve"> Section I. Invitation to Bid Republic of the Philippines PROVINCE OF ZAMBOANGA SIBUGAY Capitol Building, Ipil Heights, Ipil, Zamboanga Sibugay Invitation to Bid for  Improvement of Multi-purpose Building @ Tinongtongan, Diplahan, Zamboanga Sibugay 1.	The </t>
  </si>
  <si>
    <t xml:space="preserve"> The Local Government Unit of CONNER, through the MOOE-2020 intends to apply the sum of Two Hundred Fifty-Three Thousand Eight Hundred Twelve Pesos and 73/100 Centavos Only (₱ 253,812.73) being the Approved Budget for the Contract (ABC) to payments under t</t>
  </si>
  <si>
    <t xml:space="preserve"> 1.	The Local Government Unit of CONNER, through the 20% Development Fund 2020 intends to apply the sum of Two Hundred Ninety One thousand three hundred ninety two pesos and 18/100 Centavos Only (₱ 291,392.18)  being the Approved Budget for the Contract (A</t>
  </si>
  <si>
    <t xml:space="preserve"> Section I. Invitation to Bid Republic of the Philippines PROVINCE OF ZAMBOANGA SIBUGAY Capitol Building, Ipil Heights, Ipil, Zamboanga Sibugay Invitation to Bid for  Improvement of Multi-purpose Building @ Natan, Diplahan, Zamboanga Sibugay 1.	The Provinc</t>
  </si>
  <si>
    <t xml:space="preserve"> INVITATION TO BID FOR THE REBIDDING OF THE Supply and Delivery of Third Quarter Office Supplies for CY 2020 The Department of Education, Regional Office V, through General Appropriations Act FY 2020 and 2020 Regional Office Funds, intends to apply the sum</t>
  </si>
  <si>
    <t xml:space="preserve"> BIDS AND AWARDS COMMITTEE INVITATION TO BID The DEPARTMENT OF HEALTH – CENTRAL VISAYAS CENTER FOR HEALTH DEVELOPMENT (DOH – CV CHD), through its Bids and Awards Committee (BAC), invites suppliers to bid for the hereunder items: BAC NO. 2020-G09	NAME OF PR</t>
  </si>
  <si>
    <t xml:space="preserve"> Republic of the Philippines Department of Public Works and Highways REGIONAL OFFICE VIII Baras, Palo, Leyte INVITATION TO BID August 10, 2020 1.	The DPWH Regional Office VIII, Baras, Palo, Leyte through its Bids and Awards Committee (BAC), invites contrac</t>
  </si>
  <si>
    <t xml:space="preserve"> Lot 1 INSTRUMENTS 20 pcs. Lyre (standard size) 5 pcs. King Lyre (standard size) 3 pcs. Triple Drum (standard size) 8 pcs. Double Drum (standard size) 2 pcs. Bugle Lot 2 UNIFORMS 1 set Band Master 1 set Band Majorette 4 sets Letter Holder 1 set Logo Holder</t>
  </si>
  <si>
    <t xml:space="preserve"> August 12, 2020 1.	The Provincial Government of Davao del Sur, through its Special Bids and Awards Committee (SBAC), invites all potential bidders/contractors to apply to bid for the following project. Bids submitted in excess of the ABC shall be automati</t>
  </si>
  <si>
    <t xml:space="preserve"> PROCUREMENT OF HYGIENE KIT AND OTHER FOR KINDER LEARNER OF AGUTAYA The MUNICIPALITY OF AGUTAYA, through its Bids and Awards Committee (BAC), invites eligible suppliers/contractors to bid for the hereunder project: Project		:	 	 Requesting Office/End-user	</t>
  </si>
  <si>
    <t xml:space="preserve"> PROCUREMENT OF CONSTRUCTION MATERIALS FOR CONCRETING OF BANCAL ROAD The MUNICIPALITY OF AGUTAYA, through its Bids and Awards Committee (BAC), invites eligible suppliers/contractors to bid for the hereunder project: Project		:	 	 Requesting Office/End-user</t>
  </si>
  <si>
    <t xml:space="preserve"> The Local Government Unit of CONNER, through the DF-2020 intends to apply the sum of Two Hundred Ninety-Seven Thousand Four Hundred Seventy-Seven Pesos and 57/100 Centavos Only (₱ 297,477.57) being the Approved Budget for the Contract (ABC) to payments un</t>
  </si>
  <si>
    <t xml:space="preserve"> PROCUREMENT OF CONSTRUCTION MATERIALS FOR CONCRETING OF DORONGAN ROAD The MUNICIPALITY OF AGUTAYA, through its Bids and Awards Committee (BAC), invites eligible suppliers/contractors to bid for the hereunder project: Project		:	 	 Requesting Office/End-us</t>
  </si>
  <si>
    <t xml:space="preserve"> PROCUREMENT OF ASSORTED MDRRM EQUIPMENTS The MUNICIPALITY OF AGUTAYA, through its Bids and Awards Committee (BAC), invites eligible suppliers/contractors to bid for the hereunder project: Project		:	 	 Requesting Office/End-user	:	MUNICIPALITY OF AGUTAYA </t>
  </si>
  <si>
    <t xml:space="preserve"> PROCUREMMENT OF 1 UNIT ANDROIND PHONE FOR MDRRM USE The MUNICIPALITY OF AGUTAYA, through its Bids and Awards Committee (BAC), invites eligible suppliers/contractors to bid for the hereunder project: Project		:	 	 Requesting Office/End-user	:	MUNICIPALITY </t>
  </si>
  <si>
    <t xml:space="preserve"> SUPPLY AND DELIVERY OF CONSTRUCTION MATERIALS FOR REHABILITATION OF BARANGAY HALL, SAN VICENTE, BUTUAN CITY.</t>
  </si>
  <si>
    <t xml:space="preserve"> REPUBLIC OF THE PHILIPPINES QUEZON CITY GOVERNMENT BAC – GOODS AND SERVICES INVITATION TO BID  ITEM NO.	P.R. NO.	OFFICE	PROJECT NAME	AMOUNT	SOURCE OF FUND	DELIVERY PERIOD 1	GF-20-03-00494	SOCIAL SERVICES DEVELOPMENT DEPARTMENT	BUS 30 SEATER	P 3,848,000.00</t>
  </si>
  <si>
    <t xml:space="preserve"> CONSTRUCTION OF MACASSAB FOOTBRIDGE</t>
  </si>
  <si>
    <t xml:space="preserve"> INVITATION TO BID FOR SUPPLY AND DELIVERY OF TEN (10) UNITS GOLF CARTS FOR THE USE OF CLUB INTRAMUROS GOLF COURSE Invitation to Bid No. 20-08-0001 In line with the government’s directive to ensure safety and to prevent the spread of COVID-19, please be in</t>
  </si>
  <si>
    <t xml:space="preserve"> Section I. Invitation to Bid Republic of the Philippines PROVINCE OF ZAMBOANGA SIBUGAY Capitol Building, Ipil Heights, Ipil, Zamboanga Sibugay Invitation to Bid for  Improvement of Multi-purpose Building @ Sto. Niño, Tungawan, Zamboanga Sibugay 1.	The Pro</t>
  </si>
  <si>
    <t xml:space="preserve"> PROCUREMENT OF 2 UNITS OF WINDOW TYPE AIRCON WITH ACCESSORIES  AND CURTAIN The MUNICIPALITY OF AGUTAYA, through its Bids and Awards Committee (BAC), invites eligible suppliers/contractors to bid for the hereunder project: Project		:	 	 Requesting Office/E</t>
  </si>
  <si>
    <t xml:space="preserve"> Invitation to Bid	 PROCUREMENT OF SLIPPERS(SANDAL TYPE) FOR AGE 6-12 YEARS The MUNICIPALITY OF AGUTAYA, through its Bids and Awards Committee (BAC), invites eligible suppliers/contractors to bid for the hereunder project: Project		:	 	 Requesting Office/E</t>
  </si>
  <si>
    <t xml:space="preserve"> Section I. Invitation to Bid Republic of the Philippines PROVINCE OF ZAMBOANGA SIBUGAY Capitol Building, Ipil Heights, Ipil, Zamboanga Sibugay Invitation to Bid for  Construction of Multi-purpose Building at Olutanga Central School @ Brgy. Solar, Olutanga</t>
  </si>
  <si>
    <t xml:space="preserve"> Section I. Invitation to Bid Republic of the Philippines PROVINCE OF ZAMBOANGA SIBUGAY Capitol Building, Ipil Heights, Ipil, Zamboanga Sibugay Invitation to Bid for  Construction of Slope Protection along Capitol Service Road (at the back of Generator set</t>
  </si>
  <si>
    <t xml:space="preserve"> BAC-LGU ILIGAN INVITATION TO BID The Iligan City Government Bids and Awards Committee (BAC), through General Fund 2020, intends to apply the sum of  P 1,994,475.00  being the Approved Budget for the Contract (ABC) to payments under the Contract for Procur</t>
  </si>
  <si>
    <t xml:space="preserve"> Section I. Invitation to Bid Republic of the Philippines PROVINCE OF ZAMBOANGA SIBUGAY Capitol Building, Ipil Heights, Ipil, Zamboanga Sibugay Invitation to Bid for  Concreting of Brgy. Road @ Brgy.  Sitio Guinacutan to Loboc, Tungawan, Zamboanga Sibugay </t>
  </si>
  <si>
    <t xml:space="preserve"> 1.	The Local Government Unit of CONNER, through the 20% Development Fund 2020 intends to apply the sum of Four Hundred sixty nine thousand two hundred sixteen pesos only Centavos Only (₱ 469,216.00)  being the Approved Budget for the Contract (ABC) to pay</t>
  </si>
  <si>
    <t xml:space="preserve"> CONSTRUCTION OF ONE (1) UNIT BRGY. HALL AT BRGY. POBLACION, SIBUCO, ZAMBOANGA DEL NORTE APPROVED BUDGET OF THE CONTRACT: PHP 1,000,000.00 RECEIPT AND OPENING OF BIDS WILL BE ON AUGUST 31, 2020, 10:00 AM AT BAC OFFICE, BRGY. POBLACION, SIBUCO, ZAMBOANGA DE</t>
  </si>
  <si>
    <t xml:space="preserve"> Republic of the Philippines Province of Samar Municipality of Sta. Margarita INVITATION TO BID FOR  INSTALLATION OF CCTV  1.	The Municipal Government of Sta. Margarita, Samar, through the 20%  EDF  of 2020   intends to apply the sum of Three Million   Pes</t>
  </si>
  <si>
    <t xml:space="preserve"> Section I. Invitation to Bid Republic of the Philippines PROVINCE OF ZAMBOANGA SIBUGAY Capitol Building, Ipil Heights, Ipil, Zamboanga Sibugay Invitation to Bid for  Construction of Water System (Drilling) @ Brgy. Imelda, Titay, Zamboanga Sibugay 1.	The P</t>
  </si>
  <si>
    <t xml:space="preserve"> Republic of the Philippines Local Government Unit of General Santos City BIDS AND AWARDS COMMITTEE City Hall, General Santos City INVITATION TO APPLY FOR ELIGIBILITY AND TO BID FOR 20CW-GSC-028 REPAIR/REHABILITATION OF OVAL PLAZA COVERED COURT, GENERAL SA</t>
  </si>
  <si>
    <t xml:space="preserve"> Republic of the Philippines Local Government Unit of General Santos City BIDS AND AWARDS COMMITTEE City Hall, General Santos City INVITATION TO APPLY FOR ELIGIBILITY AND TO BID FOR 20CW-GSC-026 IMPROVEMENTS OF ROAD FACILITIES AT CABEL ST., BRGY. LAGAO, GE</t>
  </si>
  <si>
    <t xml:space="preserve"> Invitation to Bid for the Improvement / Renovation of the KBC Appartelle’s Cafeteria and Administrative Office 1. The Southern Philippines Development Authority (SPDA), through the National Government Subsidy intends to apply the sum of One Million and Ei</t>
  </si>
  <si>
    <t xml:space="preserve"> BAC-LGU ILIGAN INVITATION TO BID The Iligan City Government Bids and Awards Committee (BAC), through Trust Fund 2020, intends to apply the sum of  P 1,132,470.00 being the Approved Budget for the Contract (ABC) to payments under the Contract for Procureme</t>
  </si>
  <si>
    <t xml:space="preserve"> Republic of the Philippines Local Government Unit of General Santos City BIDS AND AWARDS COMMITTEE City Hall, General Santos City INVITATION TO APPLY FOR ELIGIBILITY AND TO BID FOR 20CW-GSC-029 FLOOD CONTROL SYSTEMS (CONSTRUCTION OF FLOODWAY ALONG MABUHAY</t>
  </si>
  <si>
    <t xml:space="preserve"> CONSTRUCTION OF ONE (1) UNIT BRGY. HALL AT BRGY. LINTANGAN, SIBUCO, ZAMBOANGA DEL NORTE APPROVED BUDGET OF THE CONTRACT: PHP 1,000,000.00 RECEIPT AND OPENING OF BIDS WILL BE ON AUGUST 31, 2020, 10:00 AM AT BAC OFFICE, BRGY. POBLACION, SIBUCO, ZAMBOANGA DE</t>
  </si>
  <si>
    <t xml:space="preserve"> Republic of the Philippines Local Government Unit of General Santos City BIDS AND AWARDS COMMITTEE City Hall, General Santos City INVITATION TO APPLY FOR ELIGIBILITY AND TO BID FOR 20CW-GSC-025 BUILDING - CITY HALL RENOVATION, CITY HALL COMPOUND, GENERAL </t>
  </si>
  <si>
    <t xml:space="preserve"> PROCUREMENT OF CONSTRUCTION MATERIALS FOR WOMENS CRISIS CENTER The MUNICIPALITY OF AGUTAYA, through its Bids and Awards Committee (BAC), invites eligible suppliers/contractors to bid for the hereunder project: Project		:	 	 Requesting Office/End-user	:	MU</t>
  </si>
  <si>
    <t xml:space="preserve"> CONSTRUCTION OF ONE (1) UNIT BRGY. HALL AT. BRGY. CUSIPAN, SIBUCO, ZAMBOANGA DEL NORTE APPROVED BUDGET OF THE CONTRACT: PHP 1,000,000.00 RECEIPT AND OPENING OF BIDS WILL BE ON AUGUST 31, 2020, 10:00 AM AT BAC OFFICE, BRGY. POBLACION, SIBUCO, ZAMBOANGA DEL</t>
  </si>
  <si>
    <t xml:space="preserve"> CONSTRUCTION OF ONE (1) UNIT BRGY. HALL AT BRGY. LAMBAGUAN, SIBUCO, ZAMBOANGA DEL NORTE APPROVED BUDGET OF THE CONTRACT: PHP 1,000,000.00 RECEIPT AND OPENING OF BIDS WILL BE ON AUGUST 31, 2020, 10:00 AM AT BAC OFFICE, BRGY. POBLACION, SIBUCO, ZAMBOANGA DE</t>
  </si>
  <si>
    <t xml:space="preserve"> Republic of the Philippines Local Government Unit of General Santos City BIDS AND AWARDS COMMITTEE City Hall, General Santos City INVITATION TO APPLY FOR ELIGIBILITY AND TO BID FOR 20CW-GSC-027 BUILDING - EXPANSION AND IMPROVEMENT OF CITY PUBLIC LIBRARY M</t>
  </si>
  <si>
    <t xml:space="preserve"> CONSTRUCTION OF ONE (1) UNIT BRGY. HALL AT BRGY. BONGALAO, SIBUCO, ZAMBOANGA DEL NORTE APPROVED BUDGET OF THE CONTRACT: PHP 1,000,000.00 RECEIPT AND OPENING OF BIDS WILL BE ON AUGUST 31, 2020, 10:00 AM AT BAC OFFICE, BRGY. POBLACION, SIBUCO, ZAMBOANGA DEL</t>
  </si>
  <si>
    <t xml:space="preserve"> INVITATION TO BID The Iligan City Government Bids and Awards Committee (BAC), through Trust Fund 2020, intends to apply the sum of P 1,980,500.00 being the Approved Budget for the Contract (ABC) to payments under the Contract for Procurement of Medical Eq</t>
  </si>
  <si>
    <t xml:space="preserve"> The Barangay Government of Sahud -Ulan through its Bids and Awards Committee (BAC), invites contractors with and classified by the Philippine Contractors Accredited Board (PCAB) to apply  for eligibility and to bid for hereunder project: Name of Project	:</t>
  </si>
  <si>
    <t xml:space="preserve"> 4 UNITS 3N1 PRINTER 16 BTLS REFILL INK  BLACK, 1 LITER 16 BTLS REFILL INK  YELLOW, 1 LITER 16 BTLS REFILL INK  BLUE, 1 LITER 16 BTLS REFILL INK  MAGENTA, 1 LITER 2,600 RMS BOND PAPER, LONG</t>
  </si>
  <si>
    <t xml:space="preserve"> BAC-LGU-ILIGAN INVITATION TO BID The Iligan City Government Bids and Awards Committee (BAC), through General Fund 2020, intends to apply the sum of P 1,499,415.00 being the Approved Budget for the Contract (ABC) to payments under the Contract for Procurem</t>
  </si>
  <si>
    <t xml:space="preserve"> Republic of the Philippines Province of Marinduque Torrijos BIDS AND AWARDS COMMITTEE INVITATION TO BID FOR THE CONSTRUCTION OF STORAGE FACILITY 1.	The MUNICIPALITY OF TORRIJOS, through the GENERAL FUND, intends to apply the sum of TWO MILLION PESOS ONLY </t>
  </si>
  <si>
    <t xml:space="preserve"> For the complete specifications and other details of the contract, please refer to the attached document or you may contact the Chairman of the BAC Secretariat at (035) 410-4066 or (035) 410-4069</t>
  </si>
  <si>
    <t xml:space="preserve"> INVITATION TO BID FOR SUPPLY AND DELIVERY OF CONSTRUCTION MATERIALS FOR SLAUGHTERHOUSE ENHANCEMENT AT BARANGAY BOSQUE, LINAMON, LANAO DEL NORTE Project Identification No. LIN-LDN-08-11-20A 	 1.	The Local Government Unit of Linamon, Lanao del Norte, throug</t>
  </si>
  <si>
    <t xml:space="preserve"> SUPPLY AND DELIVERY OF UPVC PIPES AND FITTINGS FOR REHABILITATION OF PIPES FOR SIBUCO WATER DISTRICT APPROVED BUDGET OF THE CONTRACT: PHP 720,000.00 RECEIPT AND OPENING OF BIDS WILL BE ON AUGUST 31, 2020, 10:00 AM AT BAC OFFICE, BRGY. POBLACION, SIBUCO, Z</t>
  </si>
  <si>
    <t xml:space="preserve"> INVITATION TO BID  	 The Department of Public Works and Highways-National Capital Region (DPWH-NCR), through  its Bids and Awards Committee (BAC), invites contractors to submit bids for the hereunder Contracts: 	  	        Contract ID	20O00019	20O00028 Co</t>
  </si>
  <si>
    <t xml:space="preserve"> ITEM NO.	UNIT	ITEMS &amp; DESCRIPTION/S		QTY 1	unit	Solar inverter, 6 KVA, 48V output with		1 		maximum 10A limited current		 		ABC Php 80,000.00		 2	unit	Digital temperature and humidity recorder,		1 		TDK0302 Model 40 0 C to 120 0 C; ±0.1 0 C, ±0.5 %RH		 		</t>
  </si>
  <si>
    <t xml:space="preserve"> Supply and delivery of one (1) unit brand new 18 ft., 4x2, 6-wheeler with dropside cargo truck to Tinagagacan, Gen. Santos City</t>
  </si>
  <si>
    <t xml:space="preserve"> 1. SITE WORKS IIA. INTAKE BOX 11B . COLLECTOR BOX IIC. RESERVOIR III. PIPELINE IV. COMMUNAL FAUCET/TAPSTAND V. BILLBOARD</t>
  </si>
  <si>
    <t xml:space="preserve"> UNIT	ITEMS &amp; DESCRIPTION/S		QTY	UNIT unit	Constuction of Wet filter - type		1	 unit  	finishing spray booth			 	Scope of work:			 	 - Following FPRDI wet filter-type spray			 	booth plans and design requirements for			 	the construction of 2.1 x 2.4 x 3.6</t>
  </si>
  <si>
    <t xml:space="preserve"> Republic of the Philippines Local Government Unit of General Santos City BIDS AND AWARDS COMMITTEE City Hall, General Santos City INVITATION TO APPLY FOR ELIGIBILITY AND TO BID FOR 20CW-GSC-030 ROAD CONCRETING FROM FIL-AM HIGHWAY TO ANTONIO C. ACHARON MEM</t>
  </si>
  <si>
    <t xml:space="preserve"> ITEM NO.	UNIT	ITEMS &amp; DESCRIPTION/S		QTY	UNIT 1	lot	Communication Technology (sound		1	 unit  		system package with mixers, amplifiers,			 		overhead projector, powered speakers and microphone			 		Wireless microphone (UHF-5800) set			 		receiver and two </t>
  </si>
  <si>
    <t xml:space="preserve"> BAC-LGU ILIGAN INVITATION TO BID The Iligan City Government Bids and Awards Committee (BAC), through General Fund 2020, intends to apply the sum of P 1,014,150.00 being the Approved Budget for the Contract (ABC) to payments under the Contract for Procurem</t>
  </si>
  <si>
    <t xml:space="preserve"> PROCUREMENT OF ONE (1) UNIT BRAND NEW PICK-UP TRUCK VEHICLE-MANUAL TRANSMISSION, 4 WHEEL DRIVE APPROVED BUDGET OF THE CONTRACT: PHP 1,500,000.00 RECEIPT AND OPENING OF BIDS WILL BE ON AUGUST 31, 2020, 10:00 AM AT BAC OFFICE, BRGY. POBLACION, SIBUCO, ZAMBO</t>
  </si>
  <si>
    <t xml:space="preserve"> PROCUREMENT OF CONSTRUCTION MATERIALS FOR CONCRETING OF INTERMITTENT ROAD (ABAGAT-VILLA SOL RD) The MUNICIPALITY OF AGUTAYA, through its Bids and Awards Committee (BAC), invites eligible suppliers/contractors to bid for the hereunder project: Project		:	 </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</si>
  <si>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</si>
  <si>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INVITATION TO BID FOR SUPPLY AND DELIVERY OF CONSTRUCTION MATERIALS FOR THE ESTABLISHMENT OF TECHNO DEMO FACILITY (PERIMETER FENCE EXTENSION) AT BALAK II, MANADI, PURAKAN, LINAMON, LANAO DEL NORTE Project Identification No. LIN-LDN-08-11-20 1.	The Local G</t>
  </si>
  <si>
    <t xml:space="preserve"> Republic of the Philippines Region XII Province of Cotabato BIDS AND AWARDS COMMITTEE Amas, Kidapawan City INVITATION TO BID FOR Supply of 50,492.29 liters Diesel Fuel for various road building equipment assigned in the repair/maintenance of Provincial an</t>
  </si>
  <si>
    <t xml:space="preserve"> Republic of the Philippines Region XII Province of Cotabato BIDS AND AWARDS COMMITTEE Amas, Kidapawan City INVITATION TO BID FOR Supply of 109,399.98 liters Diesel Fuel for various road building equipment assigned in the repair/maintenance of Provincial a</t>
  </si>
  <si>
    <t xml:space="preserve"> Republic of the Philippines Province of Nueva Vizcaya Municipality of Bambang -oOo- INVITATION TO BID The Local Government Unit of Bambang, through the Barangay Fund, intends to apply the sum of THREE HUNDRED THIRTY NINE THOUSAND NINE HUNDRED NINETY EIGHT</t>
  </si>
  <si>
    <t xml:space="preserve"> Procurement of Construction Materials for the CONSTRUCTION and INSTALLATION OF SOLAR STREETLIGHTS (P-2)</t>
  </si>
  <si>
    <t xml:space="preserve"> Purchase of jetmatic pumps for the barangays</t>
  </si>
  <si>
    <t xml:space="preserve"> Republic of the Philippines Region XII Province of Cotabato BIDS AND AWARDS COMMITTEE Amas, Kidapawan City INVITATION TO BID FOR Supply of 50,672 liters Diesel Fuel for various road building equipment assigned in the repair/maintenance of Provincial and B</t>
  </si>
  <si>
    <t xml:space="preserve"> Republic of the Philippines Region XII Province of Cotabato BIDS AND AWARDS COMMITTEE Amas, Kidapawan City INVITATION TO BID FOR Supply of 118,764 liters Diesel Fuel for various road building equipment assigned in the repair/maintenance of Provincial and </t>
  </si>
  <si>
    <t xml:space="preserve"> Republic of the Philippines Region XII Province of Cotabato BIDS AND AWARDS COMMITTEE Amas, Kidapawan City INVITATION TO BID FOR Supply of 159,892.28 liters Diesel Fuel for various road building equipment assigned in the repair/maintenance of Provincial a</t>
  </si>
  <si>
    <t xml:space="preserve"> Invitation to Bid for Printing and Reproduction of Self-Learning Modules for the 2nd Quarter of SY 2020-2021 1.	The DepEd Gingoog City Division, through the Capital Outlay (CO) 2020  intends to apply the sum of Fifteen Million Seven Hundred Twenty-Two Tho</t>
  </si>
  <si>
    <t xml:space="preserve"> PROCUREMENT OF CONSTRUCTION MATERIALS FOR VILLA FRIA DRAINAGE SYSTEM The MUNICIPALITY OF AGUTAYA, through its Bids and Awards Committee (BAC), invites eligible suppliers/contractors to bid for the hereunder project: Project		:	 	 Requesting Office/End-use</t>
  </si>
  <si>
    <t xml:space="preserve"> Republic of the Philippines Region XII Province of Cotabato BIDS AND AWARDS COMMITTEE Amas, Kidapawan City INVITATION TO BID FOR Supply &amp; Delivery of GeneXprt Machine (GeneXpert IV) for the use of HIV treatment hub. (PB-20-400) 1.	The Provincial Governmen</t>
  </si>
  <si>
    <t xml:space="preserve"> INVITATION TO BID  The DPWH – Cavite II District Engineering Office, through its Bids and Awards Committee (BAC), invites contractors to submit bids for the following Contract:  1.	Contract I.D. No.	:	20DG0052         Contract Name          :   	Concretin</t>
  </si>
  <si>
    <t xml:space="preserve"> INVITATION TO BID  The DPWH – Cavite II District Engineering Office, through its Bids and Awards Committee (BAC), invites contractors to submit bids for the following Contract:  3.	Contract I.D. No.	:	20DG0054         Contract Name          :   	Construct</t>
  </si>
  <si>
    <t xml:space="preserve"> Republic of the Philippines                   Department of Health	       CENTRAL OFFICE BIDS AND AWARDS COMMITTEE    INVITATION TO BID FOR THE  PROCUREMENT OF STRUCTURAL RETROFITTING AND REPAIR OF BUILDING 19 IB NO. CW-2020-001 1.	The Department of Healt</t>
  </si>
  <si>
    <t xml:space="preserve"> INVITATION TO BID FOR THE Supply and Delivery of  Office Supplies and Consumables (SEF-0678, 0677, 0676, 0679-072020) 1.	The City Government of Mandaue, through the Special Education Fund – (200)  50203010 Office Supplies Approved by the Sanggunian intend</t>
  </si>
  <si>
    <t xml:space="preserve"> Republic of the Philippines Region XII Province of Cotabato BIDS AND AWARDS COMMITTEE Amas, Kidapawan City INVITATION TO BID FOR Procurement of Catering Services for the conduct of Parliamentary and Emergency Response Training of Sangguniang Panlalawigan </t>
  </si>
  <si>
    <t xml:space="preserve"> SUPPLY AND DELIVERY OF CONSTRUCTION AND MAINTENANCE EQUIPMENT  Invitation to Bid No. 2020-014 1.	The Tarlac State University, through the Special Budget (SB) Fund intends to apply the sum of One Million Six Hundred Seventy Six Thousand Pesos (P 1,676,000.</t>
  </si>
  <si>
    <t xml:space="preserve"> MEALS FOR 100 PAX FOR 3 DAYS, BUFFET STYLE SNACKS FOR 100 PAX FOR 3 DAYS, AM &amp;PM</t>
  </si>
  <si>
    <t xml:space="preserve"> Republic of the Philippines Province of Cebu Municipality of Cordova BIDS AND AWARDS COMMITTEE (BAC) (032-236-6171) INVITATION TO BID  The Municipality of Cordova, through its Bids and Awards Committee (BAC) intends to apply  the sum of Two Hundred Ninety</t>
  </si>
  <si>
    <t xml:space="preserve"> Design and Build</t>
  </si>
  <si>
    <t xml:space="preserve"> 1.	The PHILIPPINE ORTHOPEDIC CENTER (POC), through HFEP CY 2020, intends to apply the sum of  Twenty Four Million Five Hundred Thousand Pesos (PhP 24,500,000.00) being the Approved Budget for the Contract (ABC) to payments under the contract for OR Instru</t>
  </si>
  <si>
    <t xml:space="preserve"> TERMS OF REFERENCE Disaster Recovery Data Center Co-location and ICT Equipment Phase 2 Background: The Department of Tourism’s (DOT) day to day operation involves the smooth flow of information from, to and within the different operating units and to or f</t>
  </si>
  <si>
    <t xml:space="preserve"> Republic of the Philippines Region XII Province of Cotabato BIDS AND AWARDS COMMITTEE Amas, Kidapawan City INVITATION TO BID FOR Supply &amp; Delivery of Transistor Radios &amp; Flash Drives in support to DEPED TV/Radio Base Instruction and offline programs. (PB-</t>
  </si>
  <si>
    <t xml:space="preserve"> Republic of the Philippines Province of Cebu Municipality of Cordova BIDS AND AWARDS COMMITTEE (BAC) (032-236-6171) INVITATION TO BID  The Municipality of Cordova, through its Bids and Awards Committee (BAC) intends to apply  the sum of One Hundred Twenty</t>
  </si>
  <si>
    <t xml:space="preserve"> INVITATION TO BID FOR THE Construction and Rehabilitation of Potable Water Supply Level II LGU-Kabugao, Apayao 1.	The Local Government Unit of Kabugao, through Appropriation Ordinance No. 02-Series of 2019 (FY 2020 Annual Budget – 20% MDF)   intends to ap</t>
  </si>
  <si>
    <t xml:space="preserve"> Please download attached documents for complete details of the project.</t>
  </si>
  <si>
    <t xml:space="preserve"> INVITATION TO BID  The DPWH – Cavite II District Engineering Office, through its Bids and Awards Committee (BAC), invites contractors to submit bids for the following Contract:  2.	Contract I.D. No.	:	20DG0053         Contract Name          :   	Construct</t>
  </si>
  <si>
    <t xml:space="preserve"> INVITATION TO BID     20-108 Name of Project	:	Duplicating Machine for Different Schools in the Province of Laguna Location	:	Sta. Cruz, Laguna   Brief Description	:	Multi-Function Digital Full Color Copier with ARDF and with Cabinet, Toner, Developer and</t>
  </si>
  <si>
    <t xml:space="preserve"> INVITATION TO BID     20-104 Name of Project	:	I.V. Fluids for LPH-San Pablo City District Hospital  Location	:	San Pablo City, Laguna Brief Description	:	Various I.V. Fluids Approved Budget For the Contract	:	1,413,980.00 Delivery Period 	:	10 Calendar D</t>
  </si>
  <si>
    <t xml:space="preserve"> INVITATION TO BID     20-107 Name of Project	:	Laboratory Equipment for LPH-Dr. J.P. Rizal Memorial District Hospital  Location	:	Calamba City, Laguna Brief Description	:	Various Laboratory Equipment Approved Budget For the Contract	:	675,000.00 Delivery </t>
  </si>
  <si>
    <t xml:space="preserve"> INVITATION TO BID     20-102 Name of Project	:	Misting Solution, Mosquito Net and Larvicide for Preparedness Measure and Response of the Provincial Government of Laguna Against Vector Borne Diseases and for Distribution to Affected Areas of LGUs Location	</t>
  </si>
  <si>
    <t xml:space="preserve"> INVITATION TO BID     20-105 Name of Project	:	Medicines for LPH-Luisiana District Hospital  Location	:	Luisiana, Laguna Brief Description	:	Various Medicines  Approved Budget For the Contract	:	1,085,683.80 Delivery Period 	:	10 Calendar Days The Provinc</t>
  </si>
  <si>
    <t xml:space="preserve"> INVITATION TO BID      20-101 Name of Project	:	Supplies for Donation to Different Barangays and Municipalities in the Province of Laguna Location	:	Various Barangays and Municipalities in the Province of Laguna Brief Description	:	Various Furniture, Appl</t>
  </si>
  <si>
    <t xml:space="preserve"> INVITATION TO BID FOR THE Improvement of Barangay Site and Access Road LGU-Kabugao, Apayao 1.	The Local Government Unit of Kabugao, through Appropriation Ordinance No. 02-Series of 2019 (FY 2020 Annual Budget)   intends to apply the sum of Seven Hundred F</t>
  </si>
  <si>
    <t xml:space="preserve"> INVITATION TO BID     20-106 Name of Project	:	Medical Supplies for Laguna Medical Center (NBB)  Location	:	Sta. Cruz, Laguna Brief Description	:	Various Medical Supplies Approved Budget For the Contract	:	999,600.00 Delivery Period 	:	10 Calendar Days Th</t>
  </si>
  <si>
    <t xml:space="preserve"> Completion of MPB, Drug Rehabilitation Center: Item I	-8.33 mo. Provision of Field Office for the Engineer Item II	-1.00 LS Project Billboard / Sign Board Item III	-1.00 LS Occupational Safety and Health Program Item IV	-1.00 LS Mobilization / Demobilizat</t>
  </si>
  <si>
    <t xml:space="preserve"> please see attached documents</t>
  </si>
  <si>
    <t xml:space="preserve"> INVITATION TO BID     20-103 Name of Project	:	Laboratory Supplies for LPH-Gen. Cailles Memorial District Hospital  Location	:	Pakil, Laguna Brief Description	:	Various Laboratory Supplies Approved Budget For the Contract	:	1,530,731.00 Delivery Period 	:</t>
  </si>
  <si>
    <t xml:space="preserve"> INVITATION TO BID  CONCRETING OF PORTION OF BARANGAY ROAD (AMDUS BARANGAY SITE-AMDUS ELEMENTARY SCHOOL), AYUNGON, NEGROS ORIENTAL BID IDENTIFICATION NUMBER 2020-08-42 1.	The Municipality of Ayungon, through the 20% EDF 2020 intends to apply the sum of One</t>
  </si>
  <si>
    <t xml:space="preserve"> INVITATION TO BID FOR THE Concreting of Access Road LGU-Kabugao, Apayao 1.	The Local Government Unit of Kabugao, through Appropriation Ordinance No. 02-Series of 2019 (FY 2020 Annual Budget)   intends to apply the sum of Four Hundred Thousand Pesos (₱400,</t>
  </si>
  <si>
    <t xml:space="preserve"> INVITATION TO BID  CONCRETING; PORTION OF MANOGTONG BARANGAY ROAD, AYUNGON, NEGROS ORIENTAL BID IDENTIFICATION NUMBER 2020-08-44 1.	The Municipality of Ayungon, through the 20% EDF 2020 intends to apply the sum of Five Hundred Thousand Pesos (Php 500,000.</t>
  </si>
  <si>
    <t xml:space="preserve"> August 10, 2020 INVITATION TO BID  Reference No. 7163517 /Solicitation No.20-30 The City Government of Tagum invites interested Bidders/Suppliers to bid for the following: Name of Contract         :  LIGHTING AND SOUND SYSTEMS FOR THE ENHANCEMENT       OF</t>
  </si>
  <si>
    <t xml:space="preserve"> INVITATION TO BID  CONCRETING; PORTION OF TIGUIB-TUMAMPON ROAD, AYUNGON, NEGROS ORIENTAL BID IDENTIFICATION NUMBER 2020-08-41 1.	The Municipality of Ayungon, through the 20% EDF 2020 intends to apply the sum of One Million Pesos (Php 1,000,000.00) being t</t>
  </si>
  <si>
    <t xml:space="preserve"> Procurement of Water Laboratory Supplies Lot 7</t>
  </si>
  <si>
    <t xml:space="preserve"> INVITATION TO BID  CONCRETING OF PORTION OF BARANGAY ROAD AWA-AN-POBLACION (VIA ATABAY) BARANGAY ROAD, AYUNGON, NEGROS ORIENTAL BID IDENTIFICATION NUMBER 2020-08-43 1.	The Municipality of Ayungon, through the 20% EDF 2020 intends to apply the sum of One M</t>
  </si>
  <si>
    <t xml:space="preserve"> Procurement of Water Laboratory Supplies Lot 4</t>
  </si>
  <si>
    <t xml:space="preserve"> Procurement of Water Laboratory Supplies Lot 3</t>
  </si>
  <si>
    <t xml:space="preserve"> Procurement of Water Laboratory Supplies Lot 1</t>
  </si>
  <si>
    <t xml:space="preserve"> Procurement of Medical Equipment Package for BHS</t>
  </si>
  <si>
    <t xml:space="preserve"> INVITATION TO BID FOR  Concreting of 500 meters Barangay Road Phase 1 The Municipality of Banaybanay, Davao Oriental, through its CY 2020 Local Government Support Fund (LGSF) Budget for the Contract (ABC) for the Concreting of 500 meters of Barangay Road </t>
  </si>
  <si>
    <t xml:space="preserve"> Procurement of Water laboratory Supplies Lot 6</t>
  </si>
  <si>
    <t xml:space="preserve"> Invitation to Bid for the Rehab. &amp; Repair of Brgy Roads  Brgy. Bilabid, Surigao City ITB No. 111-Infra-2020    1.	The City Government of Surigao, intends to apply the sum of   One Million  Pesos (Php1,000,000.00)  being the Approved Budget for the Contrac</t>
  </si>
  <si>
    <t xml:space="preserve"> August 10, 2020 INVITATION TO BID  Reference No. 7163485 /Solicitation No.20-30 The City Government of Tagum invites interested Bidders/Suppliers to bid for the following: Name of Contract         :  RESCUE AND RESPONSE EQUIPMENT FOR THE USE OF CDRRMO    </t>
  </si>
  <si>
    <t xml:space="preserve"> Procurement of Water laboratory Supplies Lot 5</t>
  </si>
  <si>
    <t xml:space="preserve"> August 10, 2020 INVITATION TO BID  Reference No. 7165040 /Solicitation No.20-30 The City Government of Tagum invites interested Bidders/Suppliers to bid for the following: Name of Contract         :  FIXTURES FOR THE ENHANCEMENT OF MULTI-PURPOSE BUILDING </t>
  </si>
  <si>
    <t xml:space="preserve"> Republic of the Philippines PROVINCE OF DINAGAT ISLANDS Municipality of Basilisa Barangay Sering BIDS AND AWARDS COMMITTEE INVITATION TO APPLY FOR ELIGIBILITY AND TO BID The Barangay Sering, Basilisa, Dinagat Islands through its Bids and Awards Committee </t>
  </si>
  <si>
    <t xml:space="preserve"> I. CONSTRUCTION OF MULTI-PURPOSE BUILDING AT BA-AYAN PROPER, BA-AYAN, TUBLAY, BENGUET ABC: Php 500,000.00 II. IMPROVEMENT OF BARANGAY HEALTH STATION LOCATED AT BANGHO, DACLAN, TUBLAY, BENGUET ABC: Php 500,000.00 III. REHABILITATION OF FOOTBRIDGE LOCATED A</t>
  </si>
  <si>
    <t xml:space="preserve"> Republic of the Philippines Province of Eastern Samar Municipality of Guiuan Invitation to Bid  for  PROPOSED CONTINUATION OF ROAD CONCRETING AT  BARANGAY CAMPOYONG, GUIUAN, E. SAMAR The LOCAL GOVERNMENT UNIT OF GUIUAN,  through the RDP-2018 20% Developme</t>
  </si>
  <si>
    <t xml:space="preserve"> I. IMPROVEMENT OF LOAKAN ROAD LOCATED AT TUBLAY CENTRAL, TUBLAY, BENGUET ABC: Php 500,000.00 II. COMPLETION OF CLIMATE CHANGE RESILIENT MULTI-PURPOSE BUILDING LOCATED AT PICAO, TUBLAY CENTRAL, TUBLAY, BENGUET ABC: Php 500,000.00 DAYS TO COMPLETE: 55 C.D. </t>
  </si>
  <si>
    <t xml:space="preserve"> Procurement of Water Laboratory Supplies Lot 2</t>
  </si>
  <si>
    <t xml:space="preserve"> Procurement of Fetal Doppler</t>
  </si>
  <si>
    <t xml:space="preserve"> IMPROVEMENT OF MULTI-PURPOSE PROJECT</t>
  </si>
  <si>
    <t xml:space="preserve"> 1.		LAPTOP, Specifications: Processor: Intel Core i7 7500U 2.7GHz (4MB Cache up to 3.5 GHz), Operating System: Windows 10 Home, Memory: 8GB RAM, Display: 15.6” (16:9) LED-backlit FHD (1920x1080) 60Hz Anti-Glare Panel with 45% NTSC, Graphics: 6Gb GDDR5 VRA</t>
  </si>
  <si>
    <t xml:space="preserve"> Improvment of drainage system and construction of pathway</t>
  </si>
  <si>
    <t xml:space="preserve"> Republic of the Philippines Province of Northern Samar MUNICIPALITY OF LOPE DE VEGA Lope De Vega, Northern Samar Invitation to Bid IMPROVEMENT OF MUNICIPAL ECO PARK  Barangay Getigo, Lope De Vega Northern Samar  The Local Government Unit – Lope De Vega, N</t>
  </si>
  <si>
    <t xml:space="preserve"> I. ELECTRIFICATION OF TUBLAY AGRI-MARKETING AND FOOD PROCESSING CENTER (TAMFPC) BUILDING ABC: Php 400,000.00 CONTRACT DURATION: 21 C.D. LOCATION: Acop, Caponga, Tublay, Benguet II. ELECTRIFICATION OF MUNICIPAL INTEGRATED ORGANIC AGRICULTURAL LEARNING SITE</t>
  </si>
  <si>
    <t xml:space="preserve"> INVITATION TO BID  CLUSTER OF CONSTRUCTION PROJECTS 2 (MDRRMO) AT AYUNGON, NEGROS ORIENTAL BID IDENTIFICATION NUMBER 2020-08-46 1.	The Municipality of Ayungon, through the LDRRMFIP 2020 intends to apply the sum of One Million One Hundred Sixty Three Thous</t>
  </si>
  <si>
    <t xml:space="preserve"> The Project includes the following below; Item No.	Description of Works	Quantity	Unit 1. Improvement of Poblacion Road (Opey-Ben Faguingas Section) SPLI	Project Signage	1.00	Lot SPLII	Provisions of Health and Safety	1.00	Lot 103	Structural Excavation	282.</t>
  </si>
  <si>
    <t xml:space="preserve"> Republic of the Philippines Province of Northern Samar MUNICIPALITY OF LOPE DE VEGA Lope De Vega, Northern Samar Invitation to Bid IMPROVEMENT OF MUNICIPAL ECO PARK PHASE III Barangay Getigo, Lope De Vega Northern Samar  The Local Government Unit – Lope D</t>
  </si>
  <si>
    <t xml:space="preserve"> INVITATION TO BID  PROCUREMENT OF 1 (ONE) PACKAGE ELECTRICAL AND LIGHTING SUPPLY AT AYUNGON, NEGROS ORIENTAL  BID IDENTIFICATION NUMBER 2020-08-48 1.	The Municipality of Ayungon, through the 20% EDF 2020 intends to apply the sum of One Million One Hundred</t>
  </si>
  <si>
    <t xml:space="preserve"> The specification is available at the Bids and Awards Committee Secretariat MPDO-2nd Floor, Lasam Municipal Town Hall</t>
  </si>
  <si>
    <t xml:space="preserve"> INVITATION TO BID  CONSTRUCTION OF MUNICIPAL SOLID WASTE LANDFILL – AWA-AN, AYUNGON, NEGROS ORIENTAL BID IDENTIFICATION NUMBER 2020-08-47 1.	The Municipality of Ayungon, through the 20% EDF 2020 intends to apply the sum of One Million Eight Hundred Eighty</t>
  </si>
  <si>
    <t xml:space="preserve"> For Full Description and Specification please refer to the Bidding documents.</t>
  </si>
  <si>
    <t xml:space="preserve"> Unit		                      Particulars				         Quantity	 bots		paracetamol 125mg syrup					90 bots		salbutamol sulfate 2mg syrup					50 bots		paracetamol drops					60 bots		ceterizine syrup					90 bots		lagundi syrup					50 bots		multivitamins syrup	</t>
  </si>
  <si>
    <t xml:space="preserve"> INVITATION TO BID FOR THE PROCUREMENT OF SPARE SUBMERSIBLE PUMP &amp; MOTOR 2020 1.	The Dagupan City Water District, through the Budget 2020 intends to apply the sum of Eight Hundred Thirty Thousand Pesos (830,000.00) being the Approved Budget for the Contrac</t>
  </si>
  <si>
    <t xml:space="preserve"> LGU-AL-34-2020 CONSTRUCTION OF MRF &amp; RCA BUILDING BRGY. KATIPUNAN ABUYOG, LEYTE</t>
  </si>
  <si>
    <t xml:space="preserve"> (FORM NO. 014- INVITATION TO APPLY FOR ELIGIBILITY AND TO BID) Republic of the Philippines Sangguniang Barangay of Malinao Ilaya Barangay Malinao Ilaya, Atimonan, Quezon INVITATION TO APPLY FOR ELIGIBILITY AND TO BID Date:  August 10, 2020 The  Sanggunian</t>
  </si>
  <si>
    <t xml:space="preserve"> I. EXCAVATION (INCLUDES SEPTIC TANK) II. STRUCTURAL CONCRETE III. DOORS AND WINDOWS IV. MASONRY WORKS V. PLUMBING VI. SEPTIC TANK VII. ELECTRICAL VIII. TILE WORKS</t>
  </si>
  <si>
    <t xml:space="preserve"> Republic of the Philippines Province of zamboanga Sibugay Municipality of Olutanga 7014 August 10, 2020 NOTICE TO THE PUBLIC INVITIATION TO APPLY FOR ELIGIBILITY AND TO BID All interested bidders are invited to Pre-qualify and participate in sealed biddin</t>
  </si>
  <si>
    <t xml:space="preserve"> CONSTRUCTION OF LIBI WATER SYSTEM Malapatan, Sarangani Province (Contract No. INFRA 2020-47) August 11, 2020 1.	The Provincial Government of Sarangani, through AIP CY 2020/AB 2020 intends to apply the sum of One Million Four Hundred Ninety-Nine Thousand N</t>
  </si>
  <si>
    <t xml:space="preserve"> INVITATION TO BID KB-INFRA- 2020-08 The MUNICIPALITY OF KITAOTAO, through its Bids and Awards Committee (BAC), invites supplier’s manufacturers/contractors to apply for eligibility and to bid for hereunder project:   Project Name	   :  CONSTRUCTION OF MUL</t>
  </si>
  <si>
    <t xml:space="preserve"> KIA BONGO SINGLE CAB CAT EYE SINGLE TIRE 4x4 3.0 ENGINE/TIMING GEAR, AIRCON/STERIO POWER WINDOW/POWER STIRRING FOR SOLID WASTE MANAGEMENT VEHICLE FOR THE USE OF BARANGAY BIGA, LUGAIT, MISAMIS ORIENTAL.</t>
  </si>
  <si>
    <t xml:space="preserve"> Republic of the Philippines Province of Zamboanga del Sur MUNICIPALITY OF LAKE WOOD BIDS AND AWARDS COMMITTEE Invitation to Bid for Procurement of various Heavy Equipment  and Light Vehicle use in this Municipality 1.	The Local Government Unit of Lake Woo</t>
  </si>
  <si>
    <t xml:space="preserve"> Construction of Shoreline Protection</t>
  </si>
  <si>
    <t xml:space="preserve"> COMMON OFFICE SUPPLIES - 488 Items</t>
  </si>
  <si>
    <t xml:space="preserve"> Procurement of Water Laboratory Supplies Lot 10</t>
  </si>
  <si>
    <t xml:space="preserve"> 200A, 3 POLES AT LEAST 200A CAPACITY MCCB</t>
  </si>
  <si>
    <t xml:space="preserve"> Procurement of Water Laboratory Supplies Lot 9</t>
  </si>
  <si>
    <t xml:space="preserve"> Procurement of Water Laboratory Supplies Lot 8</t>
  </si>
  <si>
    <t xml:space="preserve"> Fabrication and installation of Solar Street Lights</t>
  </si>
  <si>
    <t xml:space="preserve"> INVITATION TO BID  REHABILITATION/CONCRETING OF MUNICIPAL STREETS, BARANGAY CALAG CALAG, AYUNGON, NEGROS ORIENTAL BID IDENTIFICATION NUMBER 2020-08-45 1.	The Municipality of Ayungon, through the 20% LDF 2019 intends to apply the sum of One Million Pesos (</t>
  </si>
  <si>
    <t xml:space="preserve"> The Municipality of Pulilan, Bulacan, through its Bids and Awards Committee (BAC), invites prospective bidders/Supplier to apply for eligibility and shortlisting and if found eligible and shortlisted, to bid for Purchase of Rice for Barangay Tanod The Mun</t>
  </si>
  <si>
    <t xml:space="preserve"> CLARK DEVELOPMENT CORPORATION CLARK FREEPORT ZONE Request for Expression of Interest The Clark Development Corporation (CDC), through its Bids and Awards Committee (BAC), invites consultants to apply for eligibility and short-listing and if found eligible</t>
  </si>
  <si>
    <t xml:space="preserve"> QTY UNIT DESCRIPTION 14 pcs. Dumptruck Tiire</t>
  </si>
  <si>
    <t xml:space="preserve"> 1.	The City Government of Sipalay, through the 2020 Budget Appropriation approved by the Sangguniang Panlungsod intends to apply the amount of One Million Eight Hundred Twenty Thousand Pesos (P 1,820,000.00) only being the Approved Budget for the Contract</t>
  </si>
  <si>
    <t xml:space="preserve"> INVITATION TO BID KB-INFRA- 2020-08 The MUNICIPALITY OF KITAOTAO, through its Bids and Awards Committee (BAC), invites supplier’s manufacturers/contractors to apply for eligibility and to bid for hereunder project: Project Name	  :  CONSTRUCTION OF MULTIP</t>
  </si>
  <si>
    <t xml:space="preserve"> CONSTRUCTION OF MALAPATAN KASFALA HALL Poblacion, Malapatan, Sarangani Province (Contract No. INFRA 2020-50) August 11, 2020 1.	The Provincial Government of Sarangani, through AIP CY 2020/AB 2020 intends to apply the sum of Two Million Pesos (₱2,000,000.0</t>
  </si>
  <si>
    <t xml:space="preserve"> INVITATION TO BID FOR THE PROCUREMENT OF SEA PATROL SUPPLIES AND EQUIPMENT FOR THE IMPLEMENTATION OF COASTAL REGULATION, MONITORING AND SEABORNE PATROL OPERATION FOR FISHERIES REGULATORY AND LAW ENFORCEMENT IN THE CITY OF ALAMINOS, PANGASINAN 1.	The CITY </t>
  </si>
  <si>
    <t xml:space="preserve"> 332 BAGS CEMENT 78 CU.M GRAVEL 294 PCS 10MM.SRB 276 PCS 9MM.SRB 4,675 PCS CHB #4 60 KLS TIE WIRE #16 26 KLS CWN, ASSORTED 58 PCS MARINE PLYWOOD 1/4 190 PCS COCO LUMBER 2X2X10 50 CU.M. FINISHING SAND 2 BTLS. LYSOL  BIG 2 GAL WEED BURN (HERBECIDES)</t>
  </si>
  <si>
    <t xml:space="preserve"> Republic of the Philippines Province of Agusan del Sur Municipality of Trento BIDS &amp; AWARDS COMMITTEE INVITATION TO BID FOR  Supply/Delivery of One (1) Unit Motor Vehicle (PR# 20-08-0774)  1.	The Local Government Unit of Trento through the General Fund  n</t>
  </si>
  <si>
    <t xml:space="preserve"> Invitation to Bid for the Installation of SciCAT Signage and Pergola (20-06-0121) 1. The Bohol Island State University - Bilar Campus, through the DOST-PCAARRD 2020 intends to apply the sum of Three Hundred Thousand Pesos only (₱300,000.00) being the Appr</t>
  </si>
  <si>
    <t xml:space="preserve"> INVITATION TO BID NO. GOODS-037-2020 The Provincial Government of Bataan, through the General  Fund037 intends to apply the below listed procurement w/ corresponding Approved Budget of the Contract (ABC). Bids received in excess of the ABC shall be automa</t>
  </si>
  <si>
    <t xml:space="preserve"> Department of Education Region VI-Western Visayas Division of Cadiz City Severino Escaro Elementary School INVITATION TO BID FOR THE PROVISION OF PRINTER SUPPLIES AND MATERIALS FOR THE REPRODUCTION OF MODULES 2020 1.	The Severino Escaro Elementary School </t>
  </si>
  <si>
    <t xml:space="preserve"> The work includes Construction of 7.0m x 18.0m standard 1 unit, 2 classroom, 1 storey school building with attached toilets as per approved plans and specs.</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</si>
  <si>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</si>
  <si>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Item I Portable Sink Item II Signage with RC Footing Item III Testing Booth</t>
  </si>
  <si>
    <t xml:space="preserve"> 1.	The Local Government Unit (LGU) of Aroroy, through its Annual Budget 2020 to apply the sum of Php 1,006,760.00 being the Approved Budget for the Contract (ABC) to payments under the contract for Supply and Delivery of Other Supplies (3rd Quarter) for M</t>
  </si>
  <si>
    <t xml:space="preserve"> INVITATION TO BID    	NO	PROJECT DESCRIPTION / LOCATION	BRIEF DESCRIPTION	APPROVED BUDGET FOR THE CONTRACT	CONTRACT DURATION (CALENDAR  DAYS) PGL INFRA 20-057	01	Asphalt Overlay, Brgy. Aplaya, Sta. Rosa City, Laguna	Net area: 2,400.20 sq.m	3,019,109.57	3 </t>
  </si>
  <si>
    <t xml:space="preserve"> Republic of the Philippines Province of Nueva Vizcaya BIDS AND AWARDS COMMITTEE (BAC-GOODS) BAC OFFICE, Provincial Capitol, Bayombong, Nueva Vizcaya Tel. No. (078) 392-2650 	 INVITATION TO BID FOR THE SUPPLY AND DELIVERY OF 2,000 TANKS MEDICAL OXYGEN REFI</t>
  </si>
  <si>
    <t xml:space="preserve"> BARANGAY ENHANCEMENT PROGRAM - BARANGAY HALL (EQUIPMENT)</t>
  </si>
  <si>
    <t xml:space="preserve"> Item I Excavation Item II Concrete &amp; Masonry Works Item III Roof &amp; Roof Framing System Item IV Steel Works Item V Hardware Item VI Embankment</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</si>
  <si>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</si>
  <si>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CITY OF PANABO Province of Davao del Norte BIDS AND AWARDS COMMITTEE -o0o- INVITATION TO BID  SUPPLY OF CONSOLIDATED LAPTOP 120 UNITS &amp; COMPUTER DESKTOP 5 UNITS 1.	The City of Panabo, through LSB/DEP.ED-CAPITAL OUTLAY 2020 inte</t>
  </si>
  <si>
    <t xml:space="preserve"> Republic of the Philippines Province of Cagayan Tuguegarao City Invitation to Bid for Lightning of Cagayan Sports Complex Tuguegarao City  1.	The Provincial Government of Cagayan, through the SB #1 CY 2019 intends to apply the sum of P 14,954,075.29 being</t>
  </si>
  <si>
    <t xml:space="preserve"> Republic of the Philippines CITY OF PANABO Province of Davao del Norte BIDS AND AWARDS COMMITTEE -o0o- INVITATION TO BID  SUPPLY OF SURVEYING EQUIPMENT (REBID) 1.	The City of Panabo, through CPDO/ REAL TIME KINEMATIC SURVEYING EQUIPMENT – CAPITAL OUTLAY 2</t>
  </si>
  <si>
    <t xml:space="preserve"> Republic of the Philippines Province of Cagayan Tuguegarao City Invitation to Bid for  Cluster 20 Installation of Street Lights San Luis, Tuao Cagayan, Installation of Street Lights Bagumbayan Tuao, Cagayan, Installation of Street Lights Caggay Tuguegarao</t>
  </si>
  <si>
    <t xml:space="preserve"> The project includes the following; Item No.	Description of Works	Quantity	Unit 1. Concreting of Chocros-Ganga Irrigation cum Footpath SPL I	Project Signage	1.00	Lot SPL II	Provisions of Health and Safety	1.00	Lot 103	Structural Excavation	23.77	Cu.m. 404</t>
  </si>
  <si>
    <t xml:space="preserve"> IINVITATION TO BID FOR Procurement of Reference Books &amp; Professional Journals (Lot 1-2) Reposting 	          The CAMARINES SUR POLYTECHNIC COLLEGES, through the College Income intends to apply the sum of the following listed below being the Approved Budge</t>
  </si>
  <si>
    <t xml:space="preserve"> City Government of Manila INVITATION TO BID NO. 2020-08-109A Procurement of 4,674 pcs. Manila Banner 1.	The City Government of Manila, through the General Fund CY 2020 – Other Supplies and Materials Expenses intends to apply the sum of Three Million Five </t>
  </si>
  <si>
    <t xml:space="preserve"> I.  TRUSSES &amp; ROOFING WORKS      -    180.00   SQ.M.         (1-1/2 span)</t>
  </si>
  <si>
    <t xml:space="preserve"> 1.Municipality of Amadeo through its GEN FUND intends to apply the sum of Php 2,500,000.00 being the Approved Budget Ceiling for the PURCHASE OF RISOGRAPH MACHINE FOR USE OF PUBLIC SCHOOLS  Quotation received in excess of the ABC shall be automatically re</t>
  </si>
  <si>
    <t xml:space="preserve"> Republic of the Philippines CITY OF PANABO Province of Davao del Norte BIDS AND AWARDS COMMITTEE -o0o- INVITATION TO BID  SUPPLY OF 3 UNITS BRAND NEW RESCUE VEHICLE 1.	The City of Panabo, through CDRRMC-CO MOTOR VEHICLE-STF 2020-TRUST FUND-03-CALAMITY FUN</t>
  </si>
  <si>
    <t xml:space="preserve"> INVITATION TO BID    	NO	PROJECT DESCRIPTION / LOCATION	BRIEF DESCRIPTION	APPROVED BUDGET FOR THE CONTRACT	CONTRACT DURATION (CALENDAR  DAYS) PGL INFRA 20-059	03	Completion of Multi-Purpose Building, Brgy. Sto. Angel, San Pablo City, Laguna	Area: 106.6 sq</t>
  </si>
  <si>
    <t xml:space="preserve"> Six (6) Wheeler 4.50 cu. m. Dumper Engine Type: 129 HP, 4 Cylinder Euro 4 Emission Diesel Engine Cab: 1760mm with Aircon Transmission: 5 Speed Forward and 1 Speed Reverse Front Axle: 1080D Rear Axle: 1080DD (6.33) Wheel Base: 3200mm Tire Size: 8.25 x R16 </t>
  </si>
  <si>
    <t xml:space="preserve"> Republic of the Philippines Province of Cagayan Tuguegarao City Invitation to Bid for  Cluster5 Concreting of Road Leading to Zone1 San Esteban Alcala, Cagayan, Construction of Concrete Canal Pussian Alcala, Cagayan and Concreting of Barangay Marobbob Amu</t>
  </si>
  <si>
    <t xml:space="preserve"> Item I Hardscape Item II Lighting Fixtures with Power Lines Item III Drainage &amp; Irrigation Item IV Planting</t>
  </si>
  <si>
    <t xml:space="preserve"> Republic of the Philippines Province of Cagayan Tuguegarao City Invitation to Bid for  Cluster 6 Construction of Slope Protection Wall at Centro II Calayan, Cagayan and Concreting of Barangay Road Babuyan Claro Calayan, Cagayan                            </t>
  </si>
  <si>
    <t xml:space="preserve"> Invitation to Bid for the Drilling of One (1) Exploratory/Production Well Roxas Water District Palawan The Roxas Water District (RWD) intends to apply the sum of Three  Million Two Hundred Fifty Four Thousand Four Hundred Pesos Only (P 3,254,400.00) being</t>
  </si>
  <si>
    <t xml:space="preserve"> 350 pcs Modular Tent size 2.4 x 2.4 x 1.5M 210D Polyester Thickness: 0.11MM PE Materials on Flooring with Logo &amp; Bag</t>
  </si>
  <si>
    <t xml:space="preserve"> 19,185 liters of Diesel</t>
  </si>
  <si>
    <t xml:space="preserve"> Please see attached Terms of Refernce. You may email your quotations at calderonc@philhealth.gov.ph</t>
  </si>
  <si>
    <t xml:space="preserve"> Republic of the Philippines Province of Leyte Municipality of Inopacan Barangay Guadalupe INVITATION TO BID FOR  THE SUPPLY OF MATERIALS FOR THE PATHWAY ALONG THE SEAVIEW OF GUADALUPE 1.	The Barangay Guadalupe, Inopacan, Leyte, through the Municipal Finan</t>
  </si>
  <si>
    <t xml:space="preserve"> Vegetable Seeds</t>
  </si>
  <si>
    <t xml:space="preserve"> various vaccine as per Purchase Request</t>
  </si>
  <si>
    <t xml:space="preserve"> INVITATION TO BID    	NO	PROJECT DESCRIPTION / LOCATION	BRIEF DESCRIPTION	APPROVED BUDGET FOR THE CONTRACT	CONTRACT DURATION (CALENDAR  DAYS) PGL INFRA 20-058	02	Repair and Maintenance of Sta. Cruz-Calumpang-Nagcarlan Provincial Road (Asphalt Overlay), Br</t>
  </si>
  <si>
    <t xml:space="preserve"> 1.	The Local Government Unit (LGU) of Aroroy, through its Annual Budget 2020 to apply the sum of Php 1,011,436.00 being the Approved Budget for the Contract (ABC) to payments under the contract for Supply and Delivery of Various Office Supplies (3rd Quart</t>
  </si>
  <si>
    <t xml:space="preserve"> Item I	-61.31 cu.m. Excavation works Item II	-27.32 cu.m. Concrete works Item III	-2,230 meters Installation of Electrical wirings Item IV	-30 sets Erection of Electrical Post</t>
  </si>
  <si>
    <t xml:space="preserve"> City Government of Manila INVITATION TO BID  NO. 2020-08-120 Rental of Heavy Equipment for 2020 1.	The City Government of Manila, through the General Fund CY 2020 – Rent Expenses intends to apply the sum of Seven Million Five Hundred  Thousand Pesos Only </t>
  </si>
  <si>
    <t xml:space="preserve"> 1. The municipality of Sultan Naga Dimaporo, through the DILG-Performance Challenge Fund CY-2019								  intends to apply the sum of Two Million Three Hundred Thousand Pesos (Php. 2,300,000.00)								  being the Approved Budget for Contract (ABC) for Co</t>
  </si>
  <si>
    <t xml:space="preserve"> INVITATION TO BID FOR Procurement of Reference Books (Lot 1-4) 	          The CAMARINES SUR POLYTECHNIC COLLEGES, through the College Income intends to apply the sum of the following listed below being the Approved Budget for the Contract (ABC) to payment</t>
  </si>
  <si>
    <t xml:space="preserve"> Republic of the Philippines Province of Samar MUNICIPALITY OF CALBIGA Invitation to Bid for Upgrading and Improvement of Barangay Canticum to Barangay Calayaan Access Road Barangay Canticum-Calayaan Road, Calbiga, Samar  1.	The Municipality of Calbiga, th</t>
  </si>
  <si>
    <t xml:space="preserve"> One Unit Vehicle</t>
  </si>
  <si>
    <t xml:space="preserve"> INVITATION TO REBID The Iligan City Government Bids and Awards Committee (BAC), through 2020-SUPPLEMENTAL BUDGET NO.1 intends to apply the sum of P 9,338,800.00 being the Approved Budget for the Contract (ABC) to payments under the Contract for Supply and</t>
  </si>
  <si>
    <t xml:space="preserve"> Republic of the Philippines Province of Cagayan Tuguegarao City Invitation to Bid for Development of Eco Park ( Concreting of Road Leading to Maguddayao Street) Cagayan Sports Complex, Tuguegarao City 1.	The Provincial Government of Cagayan, through the A</t>
  </si>
  <si>
    <t xml:space="preserve"> SECURING A FRIENDLIER ENVIRONMENT (S.A.F.E.) (3RD QUARTER)</t>
  </si>
  <si>
    <t xml:space="preserve"> Republic of the Philippines Province of Cagayan Tuguegarao City Invitation to Bid for Transfer of Generator Set and Installation of Secondary Power Distribution Line of Aparri District Hospital Toran, Aparri, Cagayan 1.	The Provincial Government of Cagaya</t>
  </si>
  <si>
    <t xml:space="preserve"> SectionI. Invitation to Bid Republic of the Philippines Province of Misamis Occidental MUNICIPALITY OF PANAON Invitation to Bid for REHABILITATION OF MATERNAL CARE PACKAGE BUILDING (MCP) 									August 7, 2020 1.	The Municipality of Panaon, Misamis Occid</t>
  </si>
  <si>
    <t xml:space="preserve"> Construction of 7 unit Street Light Posts</t>
  </si>
  <si>
    <t xml:space="preserve"> BARANGAY ENHANCEMENT PROGRAM - PUBLIC WORKS, MAINTENANCE AND UTILITIES (3RD QUARTER)</t>
  </si>
  <si>
    <t xml:space="preserve"> Sub-Grade Preparation &amp; Cross Drainage with Head Wall</t>
  </si>
  <si>
    <t xml:space="preserve"> Republic of the Philippines Province of Cagayan Tuguegarao City Invitation to Bid for  Cluster 4 Concreting Farm to Market Road Ziminila Camalaniugan, Cagayan, Regravelling of Barangay Road Paruddun Sur, Aparri, Cagayan, Construction of Drainage Canal Cen</t>
  </si>
  <si>
    <t xml:space="preserve"> Construction Materials.</t>
  </si>
  <si>
    <t xml:space="preserve"> 1.	The LGU - CORELLA, BOHOL, through the budget approved by the Sanggunian per Municipal Ordinance Nos. 2019-15 under 20% development fund, intends to apply the sum of PHP 800,000.00 being the Approved Budget for the Contract (ABC) to payments under the c</t>
  </si>
  <si>
    <t xml:space="preserve"> Republic of the Philippines Province of Siquijor Barangay Lomangcapan Invitation to Bid for Rehabilitation/Improvement of Multi-Purpose Hall Phase V 1.	The Local Government of Barangay Lomangcapan, through the 20% Development Fund CY 2019 (Reprogrammed)  </t>
  </si>
  <si>
    <t xml:space="preserve"> Republic of the Philippines PROVINCE OF SOUTHERN LEYTE Maasin City Invitation to Bid for the Procurement of Various Catering Services  Contract ID # 2020-09-01-457PG 1.	The Provincial Government of Southern Leyte through the OSP – Other Maintenance and Op</t>
  </si>
  <si>
    <t xml:space="preserve"> Republic of the Philippines Province of Cagayan Tuguegarao City Invitation to Bid for  Cluster 8 Concreting of Cato Road Tuao, Cagayan and Concreting of Pata – Fugu Road Tauo, Cagayan 1.	The Provincial Government of Cagayan, through the AIP 2020 20% inten</t>
  </si>
  <si>
    <t xml:space="preserve"> INVITATION TO BID FOR THE PROCUREMENT OF VARIOUS FISHING GEARS AND PARAPHERNALIA FOR THE IMPLEMENTATION OF FISHERIES DEVELOPMENT PROGRAM IN THE CITY OF ALAMINOS, PANGASINAN 1.	The CITY GOVERNMENT OF ALAMINOS, PANGASINAN through its Trust Fund intends to a</t>
  </si>
  <si>
    <t xml:space="preserve"> Republic of the Philippines PROVINCE OF SOUTHERN LEYTE Maasin City Invitation to Bid for the Procurement of Vehicle Spare Parts &amp; Labor  Contract ID # 2020-09-01-456PG 1.	The Provincial Government of Southern Leyte through the PASSO Repair &amp; Maintenance –</t>
  </si>
  <si>
    <t xml:space="preserve"> Please download and then print the attached Invitation to Bid (ITB) for more details and for your reference. To view this attachment, just click “ORDER” opposite the ASSOCIATED COMPONENTS. TOTAL APPROVED BUDGET FOR THE CONTRACT (ABC): ₱1,800,000.00</t>
  </si>
  <si>
    <t xml:space="preserve"> Republic of the Philippines PROVINCE OF SOUTHERN LEYTE Maasin City Invitation to Bid for the Procurement of Vehicle Spare Parts &amp; Labor  Contract ID # 2020-09-01-455PG 1.	The Provincial Government of Southern Leyte through the OVG Repair &amp; Maintenance – T</t>
  </si>
  <si>
    <t xml:space="preserve"> Supply &amp; Delivery of Construction Materials for the Proposed  Installation of Portable Solar Lighting System, located at Brgy. Hilwan, Calinog, Iloilo</t>
  </si>
  <si>
    <t xml:space="preserve"> INVITATION TO BID    	NO	PROJECT DESCRIPTION / LOCATION	BRIEF DESCRIPTION	APPROVED BUDGET FOR THE CONTRACT	CONTRACT DURATION (CALENDAR  DAYS) PGL INFRA 20-060	04	Completion of Multi-Purpose Building, Brgy. Silangang Bukal, Liliw, Laguna	Area: 98.00 sq.m.	</t>
  </si>
  <si>
    <t xml:space="preserve"> Supply &amp; Delivery of Construction Materials for the proposed Construction of Perimeter Fence, located at Brgy. Alibunan, Calinog, Iloilo</t>
  </si>
  <si>
    <t xml:space="preserve"> I PROJECT BILLBOARD/SIGN BOARD II EXCAVATION III CONCRETE WORKS</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</si>
  <si>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</si>
  <si>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</si>
  <si>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</si>
  <si>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POBLACION POST AND STREETS REHABILITATION (3RD QUARTER)</t>
  </si>
  <si>
    <t xml:space="preserve"> INVITATION TO BID FOR THE PROCUREMENT FOR THE SUPPLY AND DELIVERY OF ICT EQUIPMENT 1.	The Department of Tourism, through the General Appropriations Act (GAA) 2020 intends to apply the following sum of Ten Million Four Hundred Seventy-Six Thousand Eight Hu</t>
  </si>
  <si>
    <t xml:space="preserve"> Structural Dem. Of Existing Railings, Concrete Works, Stainless Railings with 1 Layer CHB, Plastering &amp; Re-tiles &amp; Steet Gate</t>
  </si>
  <si>
    <t xml:space="preserve"> Republic of the Philippines BOHOL ISLAND STATE UNIVERSITY Main Campus, Tagbilaran City INVITATION TO BID FOR  SUPPLY AND DELIVERY OF PENDANT FOR PRAISE 2020 (PR NO. 2020-06-0585) 1.	The Bohol Island State University – Main Campus, Tagbilaran City, through</t>
  </si>
  <si>
    <t xml:space="preserve"> Vehicle Batteries</t>
  </si>
  <si>
    <t xml:space="preserve"> Republic of the Philippines BOHOL ISLAND STATE UNIVERSITY Main Campus, Tagbilaran City INVITATION TO BID FOR RE-BIDDING: SUPPLY AND DELIVERY OF TEST MATERIALS FOR THE GUIDANCE OFFICE (PR NO. 2020-01-0042) 1.	The Bohol Island State University – Main Campus</t>
  </si>
  <si>
    <t xml:space="preserve"> Office Supplies &amp; Office Equipment</t>
  </si>
  <si>
    <t xml:space="preserve"> 1	lot	Hybrid Soil and Plant Laboratory (Chemistry and Biology) Equipment				 					 		*see attached bidding documents/form for list of equipment</t>
  </si>
  <si>
    <t xml:space="preserve"> INVITATION TO BID FOR THE PROCUREMENT OF SUPPLIES AND MATERIALS FOR THE ESTABLISHMENT OF TECHNO DEMONSTRATIONS ON GROUPER PRODUCTION IN FISH CAGE AND POLYCULTURE OF SEABASS AND MALAGA IN POND IN THE CITY OF ALAMINOS, PANGASINAN 1.	The CITY GOVERNMENT OF A</t>
  </si>
  <si>
    <t xml:space="preserve"> Concreting of 0.15m x 2.00m x 85.0 meters long Materials. 1. Cement - 230 bags 2. SAG - 2,104 cans 3. RSB - 12mm x 6m -19 pcs 4. Coco Lumber - 2'x6"x12' -240 bd.ft 5. CW Nails - 3.00 kilos</t>
  </si>
  <si>
    <t xml:space="preserve"> Construction &amp; Hardware materials</t>
  </si>
  <si>
    <t xml:space="preserve"> Title:Procurement of 1 Package Safe Closure &amp; Rehabilitation of Doongan Controlled Dumpsite (LOT B) Phase 3 (Materials only) under P.R No. 2047-2020 -CEO -Trust Fund Total ABC: Php 3,675,037.85 For representative/s of interested bidders  who wish to atten</t>
  </si>
  <si>
    <t xml:space="preserve"> Please see attached RFQ # 20-1308 Submit your Sign and Sealed Quotation together with your UPDATED ELIGIBILITY Requirements at 3/F ATI Building Department of Agriculture Region IV-MiMaRoPa, Property&amp;Supply Unit/BAC Secretariat Elliptical Road, Diliman, Qu</t>
  </si>
  <si>
    <t xml:space="preserve"> Republic of the Philippines BOHOL ISLAND STATE UNIVERSITY Main Campus, Tagbilaran City INVITATION TO BID FOR RE-BIDDING: SUPPLY AND DELIVERY OF WHITE BOARD FOR DIFFERENT DEPARTMENTS (PR NO. 2020-02-0241, 2020-02-0386, 2020-03-0450) 1.	The Bohol Island Sta</t>
  </si>
  <si>
    <t xml:space="preserve"> MUNICIPALITY OF PANIQUI Province of Tarlac 	Project Reference Number : G-2020-007 Name of the Project           : Supply &amp; Delivery of  One (1)  Unit Motor Grader and One (1) Unit Walk Behind Machine Location of the Project     : LGU-Paniqui, Tarlac 	 Sta</t>
  </si>
  <si>
    <t xml:space="preserve"> Republic of the Philippines PROVINCE OF SOUTHERN LEYTE Maasin City Invitation to Bid for the Procurement of Catering Services, Venue and Accommodation  Contract ID # 2020-09-01-459PG 1.	The Provincial Government of Southern Leyte through the PHSO – Other </t>
  </si>
  <si>
    <t xml:space="preserve"> Design and Build Construction Project</t>
  </si>
  <si>
    <t xml:space="preserve"> INVITATION TO BID FOR THE PROCUREMENT OF VARIOUS SUPPLIES FOR THE IMPLEMENTATION OF MANGROVE POPULATION ENHANCEMENT PROJECT IN THE CITY OF ALAMINOS, PANGASINAN 1.	The CITY GOVERNMENT OF ALAMINOS, PANGASINAN through its Trust Fund intends to apply the sum </t>
  </si>
  <si>
    <t xml:space="preserve"> City Government of Manila INVITATION TO BID NO. 2020-08-121 Procurement of Various Air Conditioning Units 1.	The City Government of Manila, through the Capital Outlay - Machinery and Equipment – Office Equipment intends to apply the sum of One Million One</t>
  </si>
  <si>
    <t xml:space="preserve"> Republic of the Philippines Province of Cagayan Tuguegarao City Invitation to Bid for  Cluster 19 Construction of Public Toilet Piat Public Market Piat, Cagayan, Construction of Public Comfort Room at Gagabutan West, Rizal, Cagayan, Rehabilitation of Evac</t>
  </si>
  <si>
    <t xml:space="preserve"> Republic of the Philippines Province of Cagayan Tuguegarao City Invitation to Bid for Concreting of Sta. Maria Bilibigao Farm to Market Road, Claveria, Cagayan 1.	The Provincial Government of Cagayan, through the NTLB CY2017  intends to apply the sum of P</t>
  </si>
  <si>
    <t xml:space="preserve"> Repair, Rehabilitation and Improvement of Various School Building 1.	The DepEd Division of Eastern Samar, through the C.Y. 2020 Government Appropriation Act (GAA) Under the C.Y. 2020 Basic Educational Facilities Fund (BEFF) – Batch 2, intends to apply the</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</si>
  <si>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</si>
  <si>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Republic of the Philippines PROVINCE OF SOUTHERN LEYTE Maasin City Invitation to Bid for the Procurement of Various Catering Services  Contract ID # 2020-09-01-458PG 1.	The Provincial Government of Southern Leyte through the PAGSO – Trust Fund Expenses in</t>
  </si>
  <si>
    <t xml:space="preserve"> REPUBLIC OF THE PHILIPPINES PROVINCE OF ILOILO MUNICIPALITY OF SAN MIGUEL Barangay San Jose PROGRAM OF WORKS Name of Project: Regravelling of Barangay Road at Zone 1 to Zone 4 Location: 	 Barangay San Jose, San Miguel, Iloilo Source of Fund: Provincial Ai</t>
  </si>
  <si>
    <t xml:space="preserve"> Road length=29.50 l.m., Road width=6.0 m., Road pavement=4.0 m &amp; road pavement thick=0.152 m</t>
  </si>
  <si>
    <t xml:space="preserve"> Standard Form Number: SF-GOODS-60				 Revised on May 2004				 MUNICIPALITY OF PAOMBONG				 PAOMBONG, BULACAN				 				 REQUEST FOR QUOTATION				 PR. Number: 2020-014		RFQ No.:		2020-08-014 PR Date:	August 1. 2020	Philgeps Ref. No.     2019-025		2020-013 En</t>
  </si>
  <si>
    <t xml:space="preserve"> 1.	The MUNICIPALITY OF GUINAYANGAN, QUEZON, through the  MDRRM Fund 2020 intends to apply the sum of  Two Million Four Hundred Sixty Nine Thousand  Pesos                         (P 2,469,000.00) being the Approved Budget for the Contract (ABC) to payments</t>
  </si>
  <si>
    <t xml:space="preserve"> 17,024 packs Nutripack Rice based product- Champorado 50 gms 15808 packs Nutripack Rice based Product- Beef 50 gms. 10944 packs Nutripack Rice based Product- Chicken 50 gms. 20672 packs Nutripack pasta/ noodles based product- Spaghetti 50 gms. 19456 packs</t>
  </si>
  <si>
    <t xml:space="preserve"> 1.		High-speed Single Needle Sewing Machine  	60 units  2.		High Speed Sewing Machines, Specifications: 4 Threads Edging Machine Direct Drive Complete Set  Direct Drive Automatic Thread Trimmer Integrated Super High Speed Energy Saving	6 units  3.		Home S</t>
  </si>
  <si>
    <t xml:space="preserve"> 23,530 reams of Bookpaper A4 70 GSM, substance 20</t>
  </si>
  <si>
    <t xml:space="preserve"> Procurement of Hotel Room Accommodation for CF-Bacolod and CF-Iloilo Employees and Guests at Iloilo City for a Period of Three (3) Years.</t>
  </si>
  <si>
    <t xml:space="preserve"> 1	Laptop Entry Level Number of cores: 4 Cache: 4M Processor Base Frequency: at least 1.10 GHz Bus Speed: up to 2.70 GHz Memory: at least 4GB Storage: at least 1TB, 5400 rpm + 128GB SSD Screen Size: at least 14-inch Warranty: at least 1 year</t>
  </si>
  <si>
    <t xml:space="preserve"> Republic of the Philippines Dagupan City BIDS AND AWARDS COMMITTEE INVITATION TO BID For the Procurement of Office Equipment, Furnitures &amp; Fixtures, ICT Equipment &amp; Other Property, Plant &amp; Equipment (PR no.: 2020-00926-014) 1.	The City Government of Dagup</t>
  </si>
  <si>
    <t xml:space="preserve"> Republic of the of the Philippines Province of Agusan del Sur Municipality of San Francisco BARANGAY TAGAPUA BIDS AND AWARDS COMMITTEE (BAC) INVITATION TO BID  SUPPLY AND DELIVERY OF CONSTRUCTION MATERIALS OF MULTI PURPOSE BUILDING HALL PHASE III-B,  TAGA</t>
  </si>
  <si>
    <t xml:space="preserve"> Procurement of Hotel Room Accommodation for CF-Bacolod and CF-Iloilo Employees and Guests at Bacolod, Iloilo and Other Cities Nationwide for a Period of Three (3) Years.</t>
  </si>
  <si>
    <t xml:space="preserve"> INVITATION TO BID The __DPWH-2nd District Engineering Office, Labason, Zamboanga del Norte  , through its Bids and Awards Committee (BAC), invites contractors to submit bids for the following Contract:      Contract ID: 19JC0077       Contract Name: Concr</t>
  </si>
  <si>
    <t xml:space="preserve"> INVITATION TO BID FOR Procurement of Equipment and Materials for the Upgrade of Lighting System used in MPB Auditorium and Gymnasium           The CAMARINES SUR POLYTECHNIC COLLEGES, through the Income (2020) intends to apply the sum of One Million Eight </t>
  </si>
  <si>
    <t xml:space="preserve"> Republic of the Philippines Provincial Government of Palawan Puerto Princesa City INVITATION TO BID FOR THE  RENOVATION OF GSO ROOF BUILDING (CAPITOL COMPLEX, PUERTO PRINCESA CITY) 1.	The Provincial Government of Palawan, through its General Fund (OBR No.</t>
  </si>
  <si>
    <t xml:space="preserve"> INVITATION TO BID FOR THE SUPPLY, DELIVERY, INSTALLATION AND COMMISSIONING OF TREADMILL STRESS TEST SYSTEM 1.	The Cagayan Valley Medical Center (CVMC), intends to apply the sum Five Million Pesos (Php   5,000,000.00 ) being the Approved Budget for the Con</t>
  </si>
  <si>
    <t xml:space="preserve"> QTY  UNIT  DESCRIPTION 150 pcs. 2019-nCoV 1gg/1gm Detection Kit 20 unit Thermal gun with spare baterry 6 unit Nebulizer 1 unit Sterilizer 10 tray Microtainer 0.5ml 2 gal. Lysol Disinfectant 3 gal. Betadine 10% Antiseptic 12 bot. Lidocaine 2% 50ml 8 tube K</t>
  </si>
  <si>
    <t xml:space="preserve"> INVITATION TO BID FOR  The Construction of Box-Culvert (3 x 2 x 6m Double Barrel) at Brgy. Pagsanahan Sur, Badoc, Ilocos Norte. 1.	The Municipality of Badoc, Ilocos Norte, through the FY 2016 Collection of Excise Taxes on Locally Manufactured Virginia Typ</t>
  </si>
  <si>
    <t xml:space="preserve"> Republic of the Philippines Bangsamoro Autonomous Region in Muslim Mindanao Provincial Government of Maguindanao BIDS AND AWARDS COMMITTEE Buluan, Maguindanao INVITATION TO BID FOR SUPPLY AND DELIVERY OF SCHOOL ARMCHAIR and CLASSROOM BLACK BOARD 1.	The Pr</t>
  </si>
  <si>
    <t xml:space="preserve"> Supply and Delivery of Construction Materials &amp; Accessories for Reservoirs 1 to 4 sta. 1+812, 2+660, 3+854 &amp; 5+220  &amp; Supply &amp; Installation of uPVC Pipes @ MP sta. 3+966-5+220</t>
  </si>
  <si>
    <t xml:space="preserve"> Republic of the Philippines Dagupan City BIDS AND AWARDS COMMITTEE INVITATION TO BID For the Procurement of Various ICT EQUIPMENT (PR no.: 2020-00874-053) 1.	The City Government of Dagupan, through the Approved 2020 ANNUAL BUDGET intends to apply the sum </t>
  </si>
  <si>
    <t xml:space="preserve"> PLEASE SEE ATTACHED PURCHASE REQUISITION, TERMS AND REFERENCE AND BIDDING DOCUMENTS FOR DETAILS</t>
  </si>
  <si>
    <t xml:space="preserve"> INVITATION TO BID FOR SUPPLY/DELIVERY OF CONSTRUCTION MATERIALS FOR REPAIR/REHABILITATION OF CANALIZATION &amp; CANAL STRUCTURES OF NIA-LCPIS, Libmanan and Cabusao, Camarines Sur (REBID) 1.	The  National Irrigation Administration-Camarines Sur Irrigation Mana</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</si>
  <si>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</si>
  <si>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Specs or Item	Unit	DESCRIPTION				Qty 						 01000	Each	     General Requirements				1 02200	cu.m.     Earthwork/Lay-out/Demolition				33.75 02410	Lot	     Scafoldings/Formworks				1.00 03231	cu.m.     Reinforced Concrete Column/Column Footing (up to 2nd </t>
  </si>
  <si>
    <t xml:space="preserve"> Republic of the Philippines Province of Capiz Municipality of Tapaz INVITATION TO BID    Supply and Delivery of Furniture/Furnishing/Movables for New Government Center, Poblacion, Tapaz, Capiz 1.	The Municipality of Tapaz, through the GAD 2020 and Capital</t>
  </si>
  <si>
    <t xml:space="preserve"> Losartan Cinnarizine Ascorbic Acid Captopril Cloxacillin Multivitamins Loperamide Ferrous Sulfate Aluminum Magnesium etc.</t>
  </si>
  <si>
    <t xml:space="preserve"> 1.	The Municipal Government of Roxas, Isabela has received Funding Assistance from the Provincial Government of Isabela   and it  intends to apply part or whole of the proceeds of this funds for payment under the contract for the project. Bids received in</t>
  </si>
  <si>
    <t xml:space="preserve"> Republic of the Philippines BOHOL ISLAND STATE UNIVERSITY Main Campus, Tagbilaran City INVITATION TO BID FOR  SUPPLY AND DELIVERY OF IT EQUIPMENT FOR RESEARCH &amp; EXTENSION (PR NO. 2020-02-0143, 2020-02-0168) 1.	The Bohol Island State University – Main Camp</t>
  </si>
  <si>
    <t xml:space="preserve"> Bond Paper Enpson Ink Expanded PLastic Envelop Pencil Ballpen Folder Short Folder Long</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</si>
  <si>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</si>
  <si>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Please see attached document...</t>
  </si>
  <si>
    <t xml:space="preserve"> PROPOSED STREETLIGHTING ALONG GRANDEUR ST., LOCATED AT BRGY. SAN ISIDRO, MAKATI CITY -ORDER OF PAYMENT FOR BID DOCS WILL BE AVAILABLE AT GSD-HEAD OFFICE @ 10TH FLOOR MAKATI CITY HALL BLDG. 2. LOOK FOR MR. REDEN VILLANUEVA. A COMPLETE SET OF BIDDING DOCUME</t>
  </si>
  <si>
    <t xml:space="preserve"> Brgy. Matatalaib Project Billboard,  Safety and Health,  Excavation,  Embankment,  Concrete and Masonry Works,  Formworks,  Steel Works,  Roofing Works,  Doors and Windows,  Electrical Works,  Ceiling Works,  Plumbing Works,  Tile Works,  Painting Works B</t>
  </si>
  <si>
    <t xml:space="preserve"> INVITATION TO BID FOR SUPPLY/DELIVERY OF CONSTRUCTION MATERIALS FOR REPAIR/REHABILITATION OF CHECKGATE # 2 &amp; CANALIZATION WORKS OF YABO FRANCIA CIS, Milaor, Camarines Sur (REBID 3) 1.	The  National Irrigation Administration-Camarines Sur Irrigation Manage</t>
  </si>
  <si>
    <t xml:space="preserve"> Procurement of Airconditioner Php 225,000.00</t>
  </si>
  <si>
    <t xml:space="preserve"> Republic of the Philippines Province of Nueva Vizcaya BIDS AND AWARDS COMMITTEE (BAC-GOODS) BAC OFFICE, Provincial Capitol, Bayombong, Nueva Vizcaya Tel. No. (078) 392-2650 	 INVITATION TO BID FOR THE SUPPLY AND DELIVERY OF DENTAL SUPPLIES FOR THE NUEVA V</t>
  </si>
  <si>
    <t xml:space="preserve"> Republic of the Philippines PROVINCE OF SOUTHERN LEYTE Municipality of San Juan BIDS AND AWARD COMMITTEE INVITATION TO BID FOR  Supply and Delivery of IT and Office Equipment  The Municipality of San Juan through the General, and Trust Fund intends to app</t>
  </si>
  <si>
    <t xml:space="preserve"> INVITATION TO BID FOR SUPPLY/DELIVERY OF CONSTRUCTION MATERIALS FOR CONSTRUCTION OF CONCRETE CANAL LINING OF RONGOS PIP, Libmanan, Camarines Sur 1.	The  National Irrigation Administration-Camarines Sur Irrigation Management Office, Naga City, through the </t>
  </si>
  <si>
    <t xml:space="preserve"> 1.	The LGU - CORELLA, BOHOL, through the budget approved by the Sanggunian per Municipal Ordinance Nos. 2019-15 under 20% development fund, intends to apply the sum of PHP 594,000.00 being the Approved Budget for the Contract (ABC) to payments under the c</t>
  </si>
  <si>
    <t xml:space="preserve"> 1.	The Municipal Government of El Nido, through the Continuing Appropriation 2015 and 2017 Supplemental No.2 - Non Office Fund, 20 % DF and Trust Fund Fish Port Corong Corong BFAR IV B  intends to apply the sum of Three Million Five Hundred Thousand Pesos</t>
  </si>
  <si>
    <t xml:space="preserve"> Section I. Invitation to Re-Bid Republic of the Philippines Province of Romblon  Invitation to Bid for the  Repair/Rehabilitation of Main Building and Completion of Wards at Tablas Island District Hospital (TIDH) San Agustin, Romblon August 11, 2020 1.	Th</t>
  </si>
  <si>
    <t xml:space="preserve"> Republic of the Philippines Province of Zamboanga del Sur MUNICIPALITY OF DINAS BARANGAY LOCUBAN INVITATION TO BID August 11, 2020 The Barangay Locuban, Dinas, Zds now invites bids for PROPOSED LINE EXTENSION OF SINGLE PHASE PRIMARY at Barangay Locuban, D</t>
  </si>
  <si>
    <t xml:space="preserve"> Republic of the Philippines PROVINCE OF SOUTHERN LEYTE Maasin City Invitation to Bid for the Procurement of Various Medical Equipment  Contract ID # 2020-09-01-460PG 1.	The Provincial Government of Southern Leyte through the SOYMPH – medical equipment exp</t>
  </si>
  <si>
    <t xml:space="preserve"> 1	Digital Duplicator Scanning Method: ADF(Automatic Document Feeder) Resolution up to 300 x 360 dpi Master Making Speed: at least 40 seconds Print Speed: up to 130 pages per minute, 3-step adjustment Scanning Area 9.84” x 13.77” (250 mm x 350 mm) Document</t>
  </si>
  <si>
    <t xml:space="preserve"> BARANGAY RESOURCE ENHANCEMENT (3RD QUARTER)</t>
  </si>
  <si>
    <t xml:space="preserve"> Repair, Rehabilitation and Improvement of Various School Buildings – Cluster 2 – (BEFF-2020-R-B2-C2) 1.	The DepEd Division of Eastern Samar, through the C.Y. 2020 Government Appropriation Act (GAA) Under the C.Y. 2020 Basic Educational Facilities Fund (BE</t>
  </si>
  <si>
    <t xml:space="preserve"> INVITATION TO BID FOR  The Flood Control Project (Rehabilitation/Improvement of Drainage System} at Barangay Alogoog, Badoc, Ilocos Norte 1.	The Municipality of Badoc, Ilocos Norte, through the 20% Development Fund to apply the sum of Two million pesos an</t>
  </si>
  <si>
    <t xml:space="preserve"> INVITATION TO BID FOR THE PROCUREMENT OF SUPPLIES AND MATERIALS FOR THE ESTABLISHMENT OF TECHNO DEMONSTRATION ON SHELLFISH (OYSTER) CULTURE AND PRODUCTION IN THE CITY OF ALAMINOS, PANGASINAN 1.	The CITY GOVERNMENT OF ALAMINOS, PANGASINAN through its Trust</t>
  </si>
  <si>
    <t xml:space="preserve"> 1 unit Brand New Pick Up: Specifications: Overall Dimension (LWH)(mm): 4314*1809*1648 Kerb Weight (kg): 1258 GVW (kg): 1720 Wheelbase (mm): 3096 Wheel track (mm): Front: 1526, Rear: 1536 Rear leg room (mm): 926 Rear head room (mm): 995 Min. turning Radius</t>
  </si>
  <si>
    <t xml:space="preserve"> Republic of the Philippines Dagupan City BIDS AND AWARDS COMMITTEE INVITATION TO BID For the Procurement of Various Electrical Materials to be used in the Repair &amp; Maintenance of Streetlights &amp; Buildings/Facilities (PR no.: 2020-00944-012) 1.	The City Gov</t>
  </si>
  <si>
    <t xml:space="preserve"> Section I. Invitation to Bid Republic of the Philippines Province of Bukidnon MUNICIPALITY OF TALAKAG Invitation to Bid for Procurement of Traffic Mobile Patrol Unit  (For LGU Use) 1.	The Municipality of Talakag through the 5% LDRRMF intends to apply the </t>
  </si>
  <si>
    <t xml:space="preserve"> CONCRETING OF UPPER MAINIT-LOWER MAINIT-NAGPAN PROVINCIAL ROAD Malungon, Sarangani Province (Contract No. INFRA 2020-51) August 11, 2020 1.	The Provincial Government of Sarangani, through AIP CY 2020/AB 2020 intends to apply the sum of Five Million Pesos </t>
  </si>
  <si>
    <t xml:space="preserve"> Straight Contract for Improvement of Multi-Purpose Hall (Youth Center) See attached link under OTHER INFORMATION BOX</t>
  </si>
  <si>
    <t xml:space="preserve"> Straight Contract for Installation of Street Lights See attached link under OTHER INFORMATION BOX</t>
  </si>
  <si>
    <t xml:space="preserve"> REQUEST FOR EXPRESSION OF INTEREST FOR CONSULTINGSERVICES ON THE MASTER DEVELOPMENT PLANS OFNEUST SUMACAB CAMPUS, CABANATUAN CITY AND TABON, SAN ISIDRO CAMPUS, SAN ISIDRO, NUEVA ECIJA The Nueva Ecija University of Science and Technology (NEUST) now calls </t>
  </si>
  <si>
    <t xml:space="preserve"> CONSTRUCTION OF RIVER CONTROL STRUCTURE MARIBULAN, ALABEL Alabel, Sarangani Province (Contract No. INFRA 2020-49) August 11, 2020 1.	The Provincial Government of Sarangani, through AIP CY 2020/AB 2020 intends to apply the sum of Five Million Pesos (₱5,000</t>
  </si>
  <si>
    <t xml:space="preserve"> PES Various Office Supplies available at PS 2020 with the alloted budget of Php 40,000.00 QTY Unit Agency Specification Bidders Specification  20 ream paper multi copy, 80 gsm size 216mm x 330  15 ream paper multi copy A4 70gsm  2 pc Record book 300 pages</t>
  </si>
  <si>
    <t xml:space="preserve"> The significant times and deadlines of procurement activities are shown below:  Activities	Schedule 1. Receipt of LOIs from Prospective Bidders	August 11-17,2020 2. Issuance of Bidding Documents	August 18-24,2020 3. Pre-Bid Conference	August 18, 2020 4. R</t>
  </si>
  <si>
    <t xml:space="preserve"> Republic of the Philippines Province of Cagayan Tuguegarao City Invitation to Bid for  Cluster 12 Construction of Covered pathway Abbangkeruan Elem. School Pamplona, Cagayan, Construction of Covered Pathway Cabaggan Elem, School, Pamplo na, Cagayan, Const</t>
  </si>
  <si>
    <t xml:space="preserve"> See Program of Works and Bill of Quantities:</t>
  </si>
  <si>
    <t xml:space="preserve"> Procurement of Foodstuff for Supplementary Feeding Program Php 680,720.00</t>
  </si>
  <si>
    <t xml:space="preserve"> The work includes Construction of standard 1 unit, 3 classroom, 1 storey school building with the dimension of 7.0m x 27.0m, with attached toilets, complete as per approved plans and specsl.</t>
  </si>
  <si>
    <t xml:space="preserve"> BIDS AND AWARDS COMMITTEE INVITATION TO BID The DEPARTMENT OF HEALTH – CENTRAL VISAYAS CENTER FOR HEALTH DEVELOPMENT (DOH – CV CHD), through its Bids and Awards Committee (BAC), invites suppliers to bid for the hereunder items: BAC NO. 2020-G08	NAME OF PR</t>
  </si>
  <si>
    <t xml:space="preserve"> Republic of the Philippines						 City Government of Davao						 						 INVITATION TO BID						 for Infrastructure Projects B16-2020						 						 The City Government of Davao now invites bidders for the project/s under B16-2020 as listed below.   The pros</t>
  </si>
  <si>
    <t xml:space="preserve"> Republic of the Philippines Province of Iloilo Municipality of Lemery 	 Invitation to Bid 1.	The Municipality of  Lemery, Iloilo, through  the  Provincial Aid  intends to apply the sum of  Five Hundred Thousand Pesos (500,000.00) being the Approved  Budge</t>
  </si>
  <si>
    <t xml:space="preserve"> Invitation to Bid CONTRACT ID # 20-08-110 Contract Name: PROPOSED COMPLETION OF MALANGAS RHU Approved Budget for the Contract (ABC) : Php 2,474,058.86 Cost of Bidding Documents: Php 5,000.00 1. The DOH - ZAMBOANGA PENINSULA- CENTER FOR HEALTH DEVELOPMENT,</t>
  </si>
  <si>
    <t xml:space="preserve"> Republic of the Philippines Province of Nueva Vizcaya BIDS AND AWARDS COMMITTEE (BAC-GOODS) BAC OFFICE, Provincial Capitol, Bayombong, Nueva Vizcaya Tel. No. (078) 392-2650 	 INVITATION TO BID FOR THE SUPPLY AND DELIVERY OF DRUGS AND MEDICINES FOR THE PRO</t>
  </si>
  <si>
    <t xml:space="preserve"> The significant times and deadlines of procurement activities are shown below:  Activities	Schedule 1. Receipt of LOIs from Prospective Bidders	August 11-17,2020 2. Issuance of Bidding Documents	August 18-24,2020 3. Pre-Bid Conference	n.a 4. Receipt of Bi</t>
  </si>
  <si>
    <t xml:space="preserve"> OPLAN SAGIP BUHAY (3RD QUARTER)</t>
  </si>
  <si>
    <t xml:space="preserve"> Stickering and Fabrication of Early Warning Signages Php250,100.00</t>
  </si>
  <si>
    <t xml:space="preserve"> 500  pcs  Mnobloc Chairs</t>
  </si>
  <si>
    <t xml:space="preserve"> Powdered Milk etc. NOTE:To all suppliers bid documents and BAC Resolution 2020-029 are available at BAC Office and LGU website.</t>
  </si>
  <si>
    <t xml:space="preserve"> PROPOSED REHABILITATION AND UPGRADING OF EXISTING STREETLIGHTING ALONG PONTE ST., LOCATED AT BRGY. SINGKAMAS/TEJEROS/STA. CRUZ, MAKATI CITY -ORDER OF PAYMENT FOR BID DOCS WILL BE AVAILABLE AT GSD-HEAD OFFICE @ 10TH FLOOR MAKATI CITY HALL BLDG. 2. LOOK FOR</t>
  </si>
  <si>
    <t xml:space="preserve"> REPAINTING OF PROVINCIAL CAPITOL PERIMETER FENCE Capitol Complex, Alabel, Sarangani Province (Contract No. INFRA 2020-48) August 11, 2020 1.	The Provincial Government of Sarangani, through AIP CY 2020/AB 2020 intends to apply the sum of Three Million Peso</t>
  </si>
  <si>
    <t xml:space="preserve"> Brgy. Amucao Project Billboard,  Safety and Health,  Removal of Existing Concrete Pavement,  Aggregate Base Course,  PCCP Brgy. batang-Batang Project Billboard,  Safety and Health,  Sub-Grade Preparation,  Aggregate Base Course,  PCCP,  RCPC Prospective B</t>
  </si>
  <si>
    <t xml:space="preserve"> Repair, Rehabilitation and Improvement of Various School Buildings – Cluster 3 – (BEFF-2020-R-B2-C3) 1.	The DepEd Division of Eastern Samar, through the C.Y. 2020 Government Appropriation Act (GAA) Under the C.Y. 2020 Basic Educational Facilities Fund (BE</t>
  </si>
  <si>
    <t xml:space="preserve"> 40   PCS    36" RC PIPE 40   PCS    30" RC PIPE 200 PCS     5" CHB 35   BAGS   CEMENT 20   CU.M.  SAND 20   CU.M.  GRAVEL 30   PCS     10mm 20   PCS     12 mm 10   KGS     #16 TIE WIRE</t>
  </si>
  <si>
    <t xml:space="preserve"> PROPOSED REHABILITATION AND UPGRADING OF EXISTING STREETLIGHTING ALONG P. MEDINA ST., LOCATED AT BRGY. PIO DEL PILAR, MAKATI CITY -ORDER OF PAYMENT FOR BID DOCS WILL BE AVAILABLE AT GSD-HEAD OFFICE @ 10TH FLOOR MAKATI CITY HALL BLDG. 2. LOOK FOR MR. REDEN</t>
  </si>
  <si>
    <t xml:space="preserve"> Republic of the Philippines PROVINCE OF SOUTHERN LEYTE Maasin City Invitation to Bid for the Procurement of Newspaper Publication of Three (3) SP Ordinances  Contract ID # 2020-09-01-461PG 1.	The Provincial Government of Southern Leyte through the OSP – p</t>
  </si>
  <si>
    <t xml:space="preserve"> PROPOSED ROAD IMPROVEMENT OF PAGKAKAISA ST., LOCATED AT BRGY. KASILAWAN, MAKATI CITY -ORDER OF PAYMENT FOR BID DOCS WILL BE AVAILABLE AT GSD-HEAD OFFICE @ 10TH FLOOR MAKATI CITY HALL BLDG. 2. LOOK FOR MR. REDEN VILLANUEVA. A COMPLETE SET OF BIDDING DOCUME</t>
  </si>
  <si>
    <t xml:space="preserve"> 1.	The Municipality of Impasugong, through the GF-Infra-2020 Maintenance of Municipal Hall intends to apply the sum of One Million Seven Hundred Thousand Pesos (PhP1,700,000.00) being the Approved Budget for the Contract (ABC) to payments under the contra</t>
  </si>
  <si>
    <t xml:space="preserve"> DIGITAL MONOCHROME COPIER</t>
  </si>
  <si>
    <t xml:space="preserve"> The work includes Construction of standard 1 unit, 2 classroom, 1 storey school building with the dimension of 7.0m x 18.0m, with attached toilets, complete as per approved plans and specs.</t>
  </si>
  <si>
    <t xml:space="preserve"> 1.	The Municipal Government of El Nido, through the SUPPLEMENTAL #3-2020, intends to apply the sum of Two Million Seven Hundred Ninety Nine Thousand Four Hundred Seventeen Pesos and Fifty Centavos (₱ 2,799,417.50) being the Approved Budget for the Contrac</t>
  </si>
  <si>
    <t xml:space="preserve"> Brgy. Atioc Project Billboard,  Safety and Health,  Sub-Grade Preparation,  Aggregate Base Course,  PCCP Brgy. Dela Paz Project Billboard,  Safety and Health,  Sub-Grade Preparation,  Aggregate Base Course,  PCCP,  Brgy. San Francisco Project Billboard,  </t>
  </si>
  <si>
    <t xml:space="preserve"> 1 Lot Rehabilitation and Upgrading of Freshwater Fish Hatchery in Support to BASIL Program         The Works consist of the following:     - Site preparation     - Construction of Workplace facility     - Construction of Hatchery tanks     - Construction </t>
  </si>
  <si>
    <t xml:space="preserve"> PROJECT NAME: Improvement along JFMR LLPB – Pan-ayaoan – Lebeng – Amdodon JFMR BTA Road PROJECT LOCATION:  Bangao, Buguias, Benguet DURATION:  19 CD (Including mobilization) PROJECT Cost:  PHP 200,000.00 SOURCE OF FUND: 20% MDF CY 2020 ITEM NO.	DESCRIPTIO</t>
  </si>
  <si>
    <t xml:space="preserve"> ITB-No. 2008-027 Supply of Fuel: 1. 8,300 ltrs. Diesel Fuel</t>
  </si>
  <si>
    <t xml:space="preserve"> Republic of the Philippines Province of Oriental Mindoro Municipality of Bulalacao INVITATION TO BID FOR  Procurement of Construction Materials for Construction of Rural Health Unit II August 3, 2020 1.	The Municipality of Bulalacao, through the DOH-HFEP </t>
  </si>
  <si>
    <t xml:space="preserve"> Republic of the Philippines Province of Iloilo Municipality of Lemery 	 Invitation to Bid 1.	The Municipality of  Lemery, Iloilo, through  the  Provincial Aid  intends to apply the sum of  One  Million Pesos (1,000,000.00) being the Approved  Budget  for </t>
  </si>
  <si>
    <t xml:space="preserve"> INSTALLATION OF DELIVERED PIPE FROM SPRING  20    pcs    GATE VALVE (BRASS) 2" ø SCH.40  12    pcs    2" ø ELBOW SCH.40  20    pcs    2" ø GI PIPE SCH.40  20    pcs    2" ø UNIVERSAL FITTING/JOINERø    4    pcs	2"x1" ø REDUCER    8    pcs	2"ø GI TEE    2 </t>
  </si>
  <si>
    <t xml:space="preserve"> Republic of the Philippines Province of Nueva Vizcaya BIDS AND AWARDS COMMITTEE (BAC-GOODS) BAC OFFICE, Provincial Capitol, Bayombong, Nueva Vizcaya Tel. No. (078) 392-2650 	 INVITATION TO BID FOR THE SUPPLY AND DELIVERY OF RADIOLOGY SUPPLIES FOR THE NUEV</t>
  </si>
  <si>
    <t xml:space="preserve"> PROPOSED REHABILITATION AND UPGRADING OF EXISTING STREETLIGHTING ALONG PASONG TIRAD ST., LOCATED AT BRGY. LA PAZ/TEJEROS, MAKATI CITY -ORDER OF PAYMENT FOR BID DOCS WILL BE AVAILABLE AT GSD-HEAD OFFICE @ 10TH FLOOR MAKATI CITY HALL BLDG. 2. LOOK FOR MR. R</t>
  </si>
  <si>
    <t xml:space="preserve"> Brgy. Dolores Project Billboard,  Safety and Health,  Removal of Existing Concrete Pavement,  Aggregate Base Course,  PCCP Brgy. Laoang Project Billboard,  Safety and Health,  Sub-Grade Preparation,  Aggregate Base Course,  PCCP,  RCPC Prospective Bidders</t>
  </si>
  <si>
    <t xml:space="preserve"> Republic of the Philippines Province of Eastern Samar Municipality of Guiuan Invitation to Bid  for  PROPOSED CONSTRUCTION OF COMMUNITY FISH LANDING CENTER AT BARANGAY SULANGAN,  GUIUAN, E. SAMAR The LOCAL GOVERNMENT UNIT OF GUIUAN, through the  Trust  Fu</t>
  </si>
  <si>
    <t xml:space="preserve"> Republic of the Philippines CITY OF PANABO Province of Davao del Norte BIDS AND AWARDS COMMITTEE -o0o- INVITATION TO BID  SUPPLY OF 1 UNIT BRAND NEW SPEED BOAT 1.	The City of Panabo, through CDRRMC-CAPITAL OUTLAY-STF 2019-TRUST FUND 03-CALAMITY FUND 2018 </t>
  </si>
  <si>
    <t xml:space="preserve"> CANITOAN ELEMENTARY SCHOOL  REPRODUCTION OF MODULES OF FIRST QUARTER (4 WEEKS) FROM GRADE 1 TO GRADE 6.</t>
  </si>
  <si>
    <t xml:space="preserve"> 27.5 ha Relocation survey of T-267047               Lot 10, with an area of 48,338 sqm               Lot 12, with an area of 159,856 sqm T-189598               Lot 9490 - portion of LOT 7003 with an area of 30370               P-13723 with an area of 35,9</t>
  </si>
  <si>
    <t xml:space="preserve"> Construction Project I. Construction of PCCP     a. Aggregate Base Course (at 0.10m depth)     b. PCCP II. Construction Safety and Health</t>
  </si>
  <si>
    <t xml:space="preserve"> PROPOSED REHABILITATION AND UPGRADING OF EXISTING STREETLIGHTING ALONG ARNAIZ AVENUE LOCATED AT VARIOUS BARANGAYS OF MAKATI CITY -ORDER OF PAYMENT FOR BID DOCS WILL BE AVAILABLE AT GSD-HEAD OFFICE @ 10TH FLOOR MAKATI CITY HALL BLDG. 2. LOOK FOR MR. REDEN </t>
  </si>
  <si>
    <t xml:space="preserve"> The Local Government Unit of Aglipay through 20% Municipal Development Fund CY 2020 (BDP) and Improvement of Roads (MDF 2020) intends to apply the sum of Four Hundred Ninety Six Thousand Eight Hundred Fifty Nine Pesos and 28/100 (Php 496, 859.28) being th</t>
  </si>
  <si>
    <t xml:space="preserve"> IB 2020-08-013 NPPV Negotiated Procurement of Passenger Van Service Vehicle 2020-13</t>
  </si>
  <si>
    <t xml:space="preserve"> Please see attached files for reference. File names:  1. ITB - Promotional Giveaways (v08.07.2020) 2. Bid Docs - Promotional Giveaways (v08.10.2020) ***nothing follows***</t>
  </si>
  <si>
    <t xml:space="preserve"> Republic of the Philippines Province of Cagayan Municipality of Camalaniugan August 11, 2020 INVITATION TO BID  FOR THE FURNISHING &amp; DELIVERY OF MATERIALS FOR THE IMPROVEMENT OF CLIENTELE PARKING AREA INFRONT OF MTH 1.	The Municipality of Camalaniugan, th</t>
  </si>
  <si>
    <t xml:space="preserve"> 1.	The LGU - CORELLA, BOHOL, through the budget approved by the Sanggunian per Municipal Ordinance Nos. 2019-15 under 20% development fund, intends to apply the sum of PHP 520,000.00 being the Approved Budget for the Contract (ABC) to payments under the c</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</si>
  <si>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</si>
  <si>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See Phil. Bidding Documents, Bill of Quantities and Checklist hereto attached.</t>
  </si>
  <si>
    <t xml:space="preserve"> PROPOSED ROAD IMPROVEMENT FOR M. ESTRELLA ST. (VILLENA ST.), LOCATED AT BRGY. CARMONA, MAKATI CITY -ORDER OF PAYMENT FOR BID DOCS WILL BE AVAILABLE AT GSD-HEAD OFFICE @ 10TH FLOOR MAKATI CITY HALL BLDG. 2. LOOK FOR MR. REDEN VILLANUEVA. A COMPLETE SET OF </t>
  </si>
  <si>
    <t xml:space="preserve"> Title:Procurement of 6 Piece Philippine Flag , Nylon Tafetta, Size: 15 x 30 under P.R.No. 2374-2020- City Tourism Office. Total ABC: Php 120,000.00 (INSTRUCTION AS TO THE REQUIRED FORM: For your price quotation, please use the attached Request for Quotati</t>
  </si>
  <si>
    <t xml:space="preserve"> Construction Project I. Construction of PCCP    a. Aggregate Base Coarse (at 0.10 m Depth)    b. PCCP II. Construction Safety and Health</t>
  </si>
  <si>
    <t xml:space="preserve"> DESCRIPTION PROCUREMENT OF CATERING SERVICES FOR IDS, PMED, RAFC AND SAAD /CORN/GAD PROGRAM, RESEARCH AND REGULATORY DIVISION IN DAVAO REGION CY 2020   LOT NO.	ACTIVITY	DETAILED	SCHEDULE OF ACTIVITIES	QTY (pax)	ABC (PhP) 1	DAVAO CITY	 	 	 	               </t>
  </si>
  <si>
    <t xml:space="preserve"> MARKET CONTINUATION</t>
  </si>
  <si>
    <t xml:space="preserve"> PROPOSED REHABILITATION AND UPGRADING OF EXISTING STREETLIGHTING ALONG DON CHINO ROCES AVENUE LOCATED AT VARIOUS BARANGAYS OF MAKATI CITY -ORDER OF PAYMENT FOR BID DOCS WILL BE AVAILABLE AT GSD-HEAD OFFICE @ 10TH FLOOR MAKATI CITY HALL BLDG. 2. LOOK FOR M</t>
  </si>
  <si>
    <t xml:space="preserve"> Invitation to Bid CONTRACT ID # 20-08-109 Contract Name: PROPOSED COMPLETION OF HALFWAY HOUSE AT ROXAS RHU Approved Budget for the Contract (ABC) : Php 989,999.81 Cost of Bidding Documents: Php 1,000.00 1. The DOH - ZAMBOANGA PENINSULA- CENTER FOR HEALTH </t>
  </si>
  <si>
    <t xml:space="preserve"> Republic of the Philippines OFFICE OF THE PUNONG BARANGAY 	Barangay CENTRO NAPU	 	Municipality of Tudela	 Province of Misamis Occidental INVITATION TO BID The Office of the Punong Barangay of Barangay Centro Napu through its Bids and Awards Committee [BAC</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</si>
  <si>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</si>
  <si>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1.	The Provincial Government of Antique, through the 20% IRA-CY 2020 (Environmental Development Sector) intends to apply the sum One Million Nine Hundred Forty Four Thousand Two Hundred Fifty Eight Pesos &amp; 55/100 (Php 1, 944, 258.55) being the Approved Bu</t>
  </si>
  <si>
    <t xml:space="preserve"> Republic of the Philippines Province of Southern Leyte MUNICIPALITY OF SOGOD INVITATION TO BID FOR PROCUREMENT OF GOODS (CHICKEN PULLETS, CHICKEN COCKERELS AND LIVESTOCK SUPPLIES AND MATERIALS FOR THE FREE RANGE NATIVE CHICKEN PROJECT) 1.	The Municipal Go</t>
  </si>
  <si>
    <t xml:space="preserve"> INVITATION TO BID August 3, 2020 The Eastern Visayas Regional Medical Center, through its Bids and Awards Committee (BAC A) invites suppliers/manufacturers/distributors to bid for the hereunder project:  Item/Description	Approved Budget for the Contract (</t>
  </si>
  <si>
    <t xml:space="preserve"> Republic of the Philippines Province of Southern Leyte MUNICIPALITY OF SOGOD Invitation to Bid for Upgrading and Improvement of Brgy. Pandan Road, Brgy. Pandan, Sogod, Southern Leyte 1.	The Municipal Government Unit of Sogod, Southern Leyte through the Na</t>
  </si>
  <si>
    <t xml:space="preserve"> purchase</t>
  </si>
  <si>
    <t xml:space="preserve"> PHYSICAL THERAPY ENHANCEMENT PROGRAM (3RD QUARTER)</t>
  </si>
  <si>
    <t xml:space="preserve"> Republic of the Philippines Province of Cagayan Municipality of Camalaniugan August 11, 2020 INVITATION TO BID  FOR THE FURNISHING &amp; DELIVERY OF ONE (1) UNIT DUPLICATOR MACHINE 1.	The Municipality of Camalaniugan, through the SPECIAL EDUCATION FUND (CATAN</t>
  </si>
  <si>
    <t xml:space="preserve"> 1.	The Provincial Government of Antique, through the 20% IRA-CY 2020 (Social Development Sector) intends to apply the sum Two Million Nine Hundred Fifty Five Thousand Pesos &amp; 42/100 (Php 2, 955, 000.42) being the Approved Budget for the Contract (ABC) to </t>
  </si>
  <si>
    <t xml:space="preserve"> INSTALLATION OF 10 PCS. OF STREETLIGHTS WITH COMPLETE LIGHTING AND ACCESSORIES.</t>
  </si>
  <si>
    <t xml:space="preserve"> 1.	The Provincial Government of Antique, through the 20% IRA-CY 2020 (Social Development Sector) intends to apply the sum One Million Nine Hundred Sixty Six Thousand Fifty Three Pesos &amp; 60/100 (Php 1, 966, 053.60) being the Approved Budget for the Contrac</t>
  </si>
  <si>
    <t xml:space="preserve"> Republic of the Philippines Province of Negros Occidental Municipality of  Manapla BIDS AND AWARDS COMMITTEE INVITATION TO BID FOR THE PURCHASE OF ONE (1) UNIT RISO AND ONE (1) UNIT COPIER MACHINE The Municipality of Manapla, through  the SEF 2020/ LSB   </t>
  </si>
  <si>
    <t xml:space="preserve"> 1.	The Provincial Government of Antique, through the 20% IRA-CY 2020 (Economic Development Sector) intends to apply the sum One Million Nine Hundred Fifty Six Thousand Six Hundred Seventy Five Pesos &amp; 30/100 (Php 1, 956, 675.30) being the Approved Budget </t>
  </si>
  <si>
    <t xml:space="preserve"> Painting</t>
  </si>
  <si>
    <t xml:space="preserve"> INVITATION TO BID FOR PROCUREMENT AND DELIVERY OF DRUGS AND MEDICINES FOR CY 2020 1.	The DOH-Center for Health Development 1, through the Continuing Appropriations (CONAP) 2019 and GOP CY 2020 intends to apply the sums being the Approved Budget for the Co</t>
  </si>
  <si>
    <t xml:space="preserve"> Republic of the Philippines Province of Cotabato Municipality of Aleosan Invitation to Bid  SUPPLY AND DELIVERY OF PRINTING SUPPLIES (BOND PAPERS AND INKS)                                                                                                    </t>
  </si>
  <si>
    <t xml:space="preserve"> Republic of the Philippines Province of Cagayan Municipality of Camalaniugan August 11, 2020 INVITATION TO BID  FOR THE FURNISHING &amp; DELIVERY OF COVID19 ANTIBODY RAPID DIAGNOSTIC TEST SCREENING KIT 1.	The Municipality of Camalaniugan, through the BAYANIHA</t>
  </si>
  <si>
    <t xml:space="preserve"> 1.	The Provincial Government of Antique, through the SEF (Special Education Fund) intends to apply the sum of Eight Million Six Hundred Ten Thousand Eight Hundred Pesos (Php 8, 610, 800.00) being the Approved Budget for the Contract (ABC) to payments unde</t>
  </si>
  <si>
    <t xml:space="preserve"> 1 UNIT MOTORVEHICLE WITH SIDECAR</t>
  </si>
  <si>
    <t xml:space="preserve"> Republic of the Philippines Province of Sultan Kudarat Municipality of Sen. Ninoy Aquino Barangay Government of Lagubang BIDS AND AWARDS COMMITTEE Invitation to Bid for  CONSTRUCTION OF COVERED COURT/MINI GYM (Materials, Labor and Equipment) 1. The Barang</t>
  </si>
  <si>
    <t xml:space="preserve"> Republic of the Philippines MUNICIPALITY OF CABUGAO Ilocos Sur Invitation to Bid for the Construction of Multi-Purpose Drying Pavement (MPDP) @ Brgy. Turod Patac, Ilocos Sur 1. The Local Government Unit of Cabugao, Ilocos Sur, through the R.A. 7171 thru A</t>
  </si>
  <si>
    <t xml:space="preserve"> Invitation to Bid for the  CONSTRUCTION OF MULTI-PURPOSE BUILDING (DAIRY FARM) Kiblawan, Davao del Sur 1.The Local Government Unit of Kiblawan, through the 20% Local Government Development Fund 2020[ In the case of National Government Agencies, the Genera</t>
  </si>
  <si>
    <t xml:space="preserve"> H E A D Q U A R T E R S P H I L I P P I N E  A R M Y OFFICE OF THE PA BIDS AND AWARDS COMMITTEE-2 Fort Andres Bonifacio, Metro Manila 								10 August 2020 INVITATION TO BID The Armed Forces of the Philippines, through the Philippine Army Bids and Awards</t>
  </si>
  <si>
    <t xml:space="preserve"> Republic of the Philippines Province of Cagayan Municipality of Camalaniugan August 11, 2020 INVITATION TO BID  FOR THE FURNISHING &amp; DELIVERY OF ISOLATION BEDDINGS AND ELECTRIC FAN FOR LIGTAS COVID CENTER @ CENTRO SUR GYMNASIUM 1.	The Municipality of Cama</t>
  </si>
  <si>
    <t xml:space="preserve"> The project includes the following; Item No.	Description of Works	Quantity	Unit 1. Improvement of Pangcharan Drainage Canal I	Clearing and Grubbing	184.30	Sq.m. II	Excavation for Structure	7.28	Cu.m. III	Form Works	127.08	Sq.m. IV	Steel Works	760.64	Kgs. </t>
  </si>
  <si>
    <t xml:space="preserve"> Republic of the Philippines Province of Cagayan Municipality of Camalaniugan August 11, 2020 INVITATION TO BID  FOR THE FURNISHING &amp; DELIVERY OF MEDICAL SUPPLIES 1.	The Municipality of Camalaniugan, through the BAYANIHAN GRANT EQUIVALENT TO ONE MONTH IRA </t>
  </si>
  <si>
    <t xml:space="preserve"> Rehabilitation of Damaged Road, Brgy. San Roque Sagumay, Nabua, Camarines Sur</t>
  </si>
  <si>
    <t xml:space="preserve"> Republic of the Philippines DEPATMENT OF PUBLIC WORKS AND HIGHWAYS SULTAN KUDARAT 1ST DISTRICT EINGINEERING OFFICE 		REGIONAL OFFICE XII Isulan, Sultan Kudarat                                                                           INVITATION TO BID The</t>
  </si>
  <si>
    <t xml:space="preserve"> 1 LOT SUPPLY, DELIVERY AND INSTALLATION OF REAL-TIME POLYMERASE CHAIN REACTION (PCR) WORKFLOW MACHINES ABC: Php. 3,800,000.00 DELIVERY PERIOD: 90 Calendar Days BREAKDOWN: a.	1 Unit Real-time PCR Machine with complete accessories- with 13 items inclusion b</t>
  </si>
  <si>
    <t xml:space="preserve"> PROCUREMENT OF OFFICE TABLES, CABINET AND CHAIRS For Admin. Dept. Use 10 PCS REGULAR TABLES 1 PC SWIVEL CHAIR (EXECUTIVE) 1 SET COFFEE TABLE WITH CHAIR 1 PC SUPPLIES CABINET ***Please see attached minimum specification and sample designs. NOTES: 1. Price </t>
  </si>
  <si>
    <t xml:space="preserve"> INVITATION TO BID ON THE SUPPLY, DELIVERY AND INSTALLATION OF  1 UNIT LARGE FORMAT PRINTER OF BUKIDNON STATE UNIVERSITY 1.	The Bukidnon State University through the Bids and Awards Committee &amp; Budget Approved by the Board of Regents 2020 [Fund 164-IGP] in</t>
  </si>
  <si>
    <t xml:space="preserve"> BIDS AND AWARDS COMMITTEE – HEAD OFFICE INVITATION TO BID 1.	The Bangko Sentral ng Pilipinas (BSP), through its Bids and Awards Committee – Head Office (BAC-HO), invites bidders to apply for eligibility and to bid for the hereunder requirement: Lot No.	Na</t>
  </si>
  <si>
    <t xml:space="preserve"> Fifty Three (53) units of Laptops</t>
  </si>
  <si>
    <t xml:space="preserve"> Invitation to Bid “Acquisition of One (1) Unit, Supply and Delivery of Passenger Van for the Office of the Director.” 01. The National Bureau of Investigation, through the 2019 NBI Clearance Retention Fees pursuant to RA 10867 otherwise known as the NBI R</t>
  </si>
  <si>
    <t xml:space="preserve"> Item No.               Description	                     		 Unit 		Quantity     1		  Steel works				L.S		  22     2		  Painting works			L.S		  22     3		  Hauling works			L.S		  22		       4		  Concreting				L.S		  22     5		  General Requirements		L.S.		 </t>
  </si>
  <si>
    <t xml:space="preserve"> Republic of the Philippines Province of Nueva Ecija Municipality of General Mamerto Natividad BIDS AND AWARDS COMMITTEE  INVITATION TO BID FOR “CONCRETING/MAINTENANCE OF VARIOUS BARANGAY AND MUNICIPAL INFRASTRUCTURE” 1.	The LGU-General Mamerto Natividad, </t>
  </si>
  <si>
    <t xml:space="preserve"> Concreting of Local Road at Brgy. San Vicente Ogbon, Nabua, Camarines Sur</t>
  </si>
  <si>
    <t xml:space="preserve"> Republic of the Philippines PROVINCE OF SURIGAO DEL NORTE MUNICIPALITY OF TAGANA-AN Office of the Barangay Captain Brgy. Talavera, Surigao del Norte        Invitation to bid for RENOVATION OF GUESTHOUSE BGRY. TALAVERA, TAGANA-AN, SURIGAO DEL NORTE    1.  </t>
  </si>
  <si>
    <t xml:space="preserve"> Republic of the Philippines MUNICIPALITY OF CABUGAO Ilocos Sur Invitation to Bid for the Construction of Multi-Purpose Drying Pavement (MPDP) @ Brgy. Cuantacla, Cabugao, Ilocos Sur 1. The Local Government Unit of Cabugao, Ilocos Sur, through the R.A. 7171</t>
  </si>
  <si>
    <t xml:space="preserve"> Contract ID No. 20GKD0004: Purchase of Cubicle with Chair &amp; Mobile Pedestal Metal for Planning &amp; Design Section, Cagayan de Oro City 2nd District Engineering Office, Macabalan, Cagayan de Oro City 1.	The DPWH-2nd DEO-CDOC, through the DPWH FY 2020 Funds, </t>
  </si>
  <si>
    <t xml:space="preserve"> Solar Star Books Specs: Computer Stick (Processor i3) RAM 4gb ITB HDD 18.5 inches LED Monitor wiih HDMI port, HDMI cable, USB keyboard and mouse, multi media speaker, 4 port wireless router, wireless dongle, solar panel 50w with brace  super-pwn charger w</t>
  </si>
  <si>
    <t xml:space="preserve"> Republic of the Philippines Province of Leyte Municipality of Kananga BIDS AND AWARDS COMMITTEE INVITATION TO BID  1.	The Municipality of Kananga, through its Bids and Awards Committee (BAC) invites bids for the project, consisting of two (2) lots describ</t>
  </si>
  <si>
    <t xml:space="preserve"> Republic of the Philippines Province of Nueva Ecija Municipality of General Mamerto Natividad BIDS AND AWARDS COMMITTEE  INVITATION TO BID FOR “WIDENING OF BRIDGE AT PULONG SINGKAMAS” 1.	The LGU-General Mamerto Natividad, Nueva Ecija, through the 20% Deve</t>
  </si>
  <si>
    <t xml:space="preserve"> Bidding Documents can be downloaded at DPWH Website. Here's the link, you can copy and paste this link on a browser.      https://www.dpwh.gov.ph/dpwh/business/procurement/cw/advertisement?data_1=All&amp;data_2=All&amp;data=20J00217</t>
  </si>
  <si>
    <t xml:space="preserve"> REQUEST FOR EXPRESSION OF INTEREST FOR THE CONSULTING SERVICES FOR THE ARCHITECTURAL AND DETAILED ENGINEERING DESIGN FOR THE CONSTRUCTION OF MULTI-PURPOSE GYMNASIUM AND CONSTRUCTION OF ACADEMIC BUILDING II The PHILIPPINE SCIENCE HIGH SCHOOL - MIMAROPA REG</t>
  </si>
  <si>
    <t xml:space="preserve"> Republic of the Philippines Province of Leyte Municipality of Kananga BIDS AND AWARDS COMMITTEE INVITATION TO BID FOR PROCUREMENT OF SCHOOL EQUIPMENT FOR OPLAN BALIK SKWELA (OBE) 2020  (ELEMENTARY &amp; SECONDARY) 1.	The Municipality of Kananga, through the S</t>
  </si>
  <si>
    <t xml:space="preserve"> Republic of the Philippines Province of Leyte Municipality of Kananga BIDS AND AWARDS COMMITTEE Invitation to Bid for MUNICIPAL-WIDE STREET LIGHTING PROJECT (CONSTRUCTION OF STREETLIGHT PEDESTAL &amp; ELECTRICAL WORKS) 1.	The Municipality of Kananga through t</t>
  </si>
  <si>
    <t xml:space="preserve"> .17 month OS &amp; HP 313 sq.m. Clearing and Grubbing 336 sq.m. sub-grade preparation (common material) 67.20 cu.m. Excavation 97 cu.m. embankment 39 cu.m. aggregate base course 30.40 cu.m. stone masonry’ 50.40 cu.m. concrete class A 2,600.62 kgs rsb</t>
  </si>
  <si>
    <t xml:space="preserve"> .17 month OS &amp; HP 108 sq.m. Clearing and Grubbing 86.40 cu.m. Excavation 209.52 cu.m. stone masonry</t>
  </si>
  <si>
    <t xml:space="preserve"> .40 month OS &amp; HP 817.5 sq.m. scarifying of concrete pavement 163.50 cu.m. hauling of waste materials 967.5 sq.m. sub-grade preparation (common material) 80.60 cu.m. Excavation 112 cu.m. aggregate base course 27.66 cu.m. stone masonry 1,102.50 sq.m. PCCP</t>
  </si>
  <si>
    <t xml:space="preserve"> INVITATION TO BID: 1. Project Title: Acquisition of Furniture and Fixtures Lot 1: Chairs Lot 2: Tables Lot 3: Cabinets Lot 4: Laboratory Table and Chairs 2. Approved Budget for the Contract: Php 5,499,372.18 Lot 1: Chairs - Php 718,354.74 Lot 2: Tables - </t>
  </si>
  <si>
    <t xml:space="preserve"> .10 month OS &amp; HP 86.25 sq.m. Clearing and Grubbing 86.25 cu.m. Excavation 143.75 cu.m. stone masonry</t>
  </si>
  <si>
    <t xml:space="preserve"> Republic of the Philippines DEPARTMENT OF PUBLIC WORKS AND HIGHWAYS CAMARINES SUR 2ND DISTRICT ENGINEERING OFFICE Regional Office V Baras, Canaman, Camarines Sur INVITATION TO BID FOR 20GFE0018-	PROCUREMENT OF FUEL, OIL, LUBRICANT AND SPARE PARTS FOR QUAL</t>
  </si>
  <si>
    <t xml:space="preserve"> 1    -  NETWORK VIDEO RECORDER 2     -  HARD DRIVE 21   -  IP  BULLET CAMERA 2    -  9-PORT GIGABIT SWITCH WITH 4-PORT PoE 8    -  POE SWITCH 8 PORTS 1    -  LED MONITOR 40" WITH HDMI INPUT 1    -  HDMI CABLE 3M 1    -  AUTOMATIC VOLTAGE REGULATOR 5000W S</t>
  </si>
  <si>
    <t xml:space="preserve"> LOT NO.  1: PRAS NO. 20-1017 - ICTS-NOMD ABC: PHP594,000.00  - DSLR Camera (PhP44,000.00)  - HD DSLR Camera (PhP275,000.00)  - HD Video Camera (PhP275,000.00) LOT NO. 2: PRAS NO. 20-1016 - ICTS-NOMD ABC: PHP1,000,000.00  - Professional Camcorder with Trip</t>
  </si>
  <si>
    <t xml:space="preserve"> 1.	The Technological University of the Philippines Manila Campus, through Fiduciary Fund CY 2020 intends to apply the sum of Ten Million Four Hundred Ninety Two Thousand  Pesos (Php  10,492,000.00) being the Approved Budget for the Contract (ABC) to payme</t>
  </si>
  <si>
    <t xml:space="preserve"> 400 units - Diesel water pump (6.5 HP - Self Priming forced air cooled system, recoil manual start)  110 units - Electric water pump (1.5 HP) Republic of the Philippines  Province of Ilocos Sur Municipality of SANTA MARIA BIDS AND AWARDS COMMITTEE INVITAT</t>
  </si>
  <si>
    <t xml:space="preserve"> FENCING AT CMRF</t>
  </si>
  <si>
    <t xml:space="preserve"> 1. The ENERGY REGULATORY COMMISSION (ERC), through the Government of the Philippines (GOP), intends to apply the sum of Six Million Pesos (PhP6,000,000.00), inclusive of all government taxes, and other fees and charges being the Approved Budget for the Co</t>
  </si>
  <si>
    <t xml:space="preserve"> INVITATION TO BID FOR THE Construction of River Flood Control Phase II LGU-Kabugao, Apayao 1.	The Local Government Unit of Kabugao, through Appropriation Ordinance No. 02-Series of 2019 (FY 2020 Annual Budget)   intends to apply the sum of One Million Two</t>
  </si>
  <si>
    <t xml:space="preserve"> Republic of the Philippines Province of Leyte MUNICIPALITY OF MACARTHUR Invitation to Bid for  UPGRADING AND IMPROVEMENT OF BARANGAY ROAD 1.	The MUNICIPALITY OF MACARTHUR, LEYTE, through the DILG LGSF-AM 2020 intends to apply the sum of EIGHT MILLION SEVE</t>
  </si>
  <si>
    <t xml:space="preserve"> INVITATION TO BID FOR THE Construction of Slope Protection LGU-Kabugao, Apayao 1.	The Local Government Unit of Kabugao, through Appropriation Ordinance No. 02-Series of 2019 (FY 2020 Annual Budget)   intends to apply the sum of Two Million Five Hundred Th</t>
  </si>
  <si>
    <t xml:space="preserve"> INVITATION TO BID  FOR  PURCHASE AND INSTALLATION OF WEIGHBRIDGE EQUIPMENT FOR CY 2020 - TURBINA, CALAMBA CITY, LAGUNA  Contract ID No. 20GD00007 The Department of Public Works and Highways (DPWH), Regional Office No. IV-A thru its Bids and Awards Committ</t>
  </si>
  <si>
    <t xml:space="preserve"> % of Total        UNIT          QUANTITY  I . CONCRETE PATHWAY   1.  Sub Grade Preparation                     2.94             sqm.              158.00   2.  Base Course                                  7.15             cu.m                15.80   3.  P.</t>
  </si>
  <si>
    <t xml:space="preserve"> DOUBLE CAB DROPSIDE  4JG2 ENGINE  6 WHEELER  97 HORSEPOWER  3,059 CC CAPACITY</t>
  </si>
  <si>
    <t xml:space="preserve"> 2.50 cu.m. Sand 3.40 cu.m. Gravel 30 bags portland cement  20 pcs 12mm Def. Bars 20 pcs 10mm Def. Bars 7 kgs No. 16 Tie wire 10 sheets 3/8 marine plywood  150 bd.ft. 2" x 3" x 10" Coco Lumber (30pcs) 100 bd.ft. 2" x 2" x 10" Coco Lumber (30pcs) 5 kgs 4" C</t>
  </si>
  <si>
    <t xml:space="preserve"> 11 units Cellphone  Specifications:     Dimensions :  163.7x76.1x8.7mm (6.44x3.00x0.34 in);  Weight  :  199 g (7.02 oz)     SIM            :   Single SIM (Nano-SIM) or Dual SIM (Nano-SIM, dual standby) Stylus (Bluetooth integration,                       </t>
  </si>
  <si>
    <t xml:space="preserve"> Republic of the Philippines PROVINCE OF SOUTHERN LEYTE Maasin City Invitation to Bid for the Upgrading of Manhilo-Libhu-Bactul II Road Maasin City, Southern Leyte Contract is 2020-09-01-060CW 1.	The Provincial Government of the Philippines (GOP) through t</t>
  </si>
  <si>
    <t xml:space="preserve"> Invitation to Bid Republic of the Philippines TANZA WATER DISTRICT 		A .Soriano Highway, Tanza, Cavite 4108	 Tel. No. (046) 484-1813 / 505-2906      1.	The Tanza Water District (TWD), through the its Corporate funds for fiscal year 2020 intends to apply t</t>
  </si>
  <si>
    <t xml:space="preserve"> 16.0 length 35mm x 76mm x 3.0m Metal Thick 26.0 length 35mm x 76mm x 3.0m Metal Steel 2.00 box Blind Rivets 1/8 x 3/8 1 unit Single Rabbet 100mm Jamb Depth Jhamba 0.90m x 2.1m swing in left 70 pcs metal Scrows 6mm x 2 12 sheets Hardiflex Board 1/4 x 4 x 8</t>
  </si>
  <si>
    <t xml:space="preserve"> INVITATION TO BID FOR THE Construction of Potable Water Supply Level II LGU-Kabugao, Apayao 1.	The Local Government Unit of Kabugao, through Appropriation Ordinance No. 02-Series of 2019 (FY 2020 Annual Budget – 20% MDF)   intends to apply the sum of Eigh</t>
  </si>
  <si>
    <t xml:space="preserve"> INVITATION TO BID for PROCUREMENT OF DESIGN, SUPPLY, INSTALLATION, AND COMMISSIONING OF THEATRE CINEMA PROJECTION, EQUIPMENT AND AUDIO SYSTEM FOR THE METROPOLITAN THEATRE 1.	The NATIONAL COMMISSION FOR CULTURE AND THE ARTS (NCCA), through the CY 2020 Nati</t>
  </si>
  <si>
    <t xml:space="preserve"> Republic of the Philippines Province of Leyte MUNICIPALITY OF MACARTHUR Invitation to Bid for  CONSTRUCTION/EXPANSION OF PUBLIC CEMETERY PERIMETER TOMB PHASE 3 1.	The MUNICIPALITY OF MACARTHUR, LEYTE, through the 20% AIP 2020 intends to apply the sum of O</t>
  </si>
  <si>
    <t xml:space="preserve"> Construction Materials for the Repair of Roofing for Marcos Type Building</t>
  </si>
  <si>
    <t xml:space="preserve"> INVITATION TO BID for PROCUREMENT OF EVELOPMENT AND PRINTING SERVICES FOR EVERYDAY CULTURE BOOK (A Series of Books on the School of Living Traditions) 1.	The NATIONAL COMMISSION FOR CULTURE AND THE ARTS (NCCA), through the CY 2020 General Appropriations A</t>
  </si>
  <si>
    <t xml:space="preserve"> Republic of the Philippines 	Cebu Normal University 	Osmeña Blvd. Cebu City, 6000 Philippines                                 Office of the Bids and Awards Committee                                         Telephone No.: (+63 32) 254 1452 local 141 or 125</t>
  </si>
  <si>
    <t xml:space="preserve"> .40 month OS &amp; HP 350 sq.m. Clearing and Grubbing 210 cu.m. Excavation 437.5 cu.m. stone masonry</t>
  </si>
  <si>
    <t xml:space="preserve"> INVITATION TO BID FOR SUPPLY AND DELIVERY OF LAPTOP AND DESKTOP COMPUTERS FOR DSWD CENTRAL OFFICE AND FIELD OFFICES —  ITB NO. GOP/20-DSWD-046 — (PR NOS. 01-20001-PR-2020-07-00164 &amp; 01-20001-PR-2020-07-00165) 1. The Department of Social Welfare and Develo</t>
  </si>
  <si>
    <t xml:space="preserve"> .10 month OS &amp; HP 102 sq.m. Clearing and Grubbing 76.5 cu.m. Excavation 96.90 cu.m. stone masonry</t>
  </si>
  <si>
    <t xml:space="preserve"> INVITATION TO BID NO. GOODS-036-2020 The Provincial Government of Bataan, through the General Fund036 intends to apply the below listed procurement w/ corresponding Approved Budget of the Contract (ABC). Bids received in excess of the ABC shall be automat</t>
  </si>
  <si>
    <t xml:space="preserve"> STRUCTURAL CONCRETE    34.00 CUM RSB   4,496.46KGS FORM WORKS:    INSTALLATION   245.00 SQM    REMOVAL           245.00 SQM MASONRY WORKS (CHB LAYING)       3655 PIECES GROUTED RIPRAP     12.00 CUM TRANSHIPMENT OF MATERIALS  1.00 LOT PROJECT BILLBOARD   1</t>
  </si>
  <si>
    <t xml:space="preserve"> Description of Works to be Done Part A. Civil Works.........................................88.16% Part B. General Item &amp; Other Requirements......11.84% .....................................................................100% Item/Description............</t>
  </si>
  <si>
    <t xml:space="preserve"> 10.2 INCH RETINA DISPLAY A10 FUSHION CHIP TOUCH ID FOR SECURE AUTHENTICATION 8MP BACK CAM, 1.2 MP FACE TIME HD CAM 802.11 AC WIFI AND GIGABIT-CLASS LTE CELLULAR DATA</t>
  </si>
  <si>
    <t xml:space="preserve"> Republic of the Philippines Department of Justice BUREAU OF CORRECTIONS Muntinlupa City Invitation to Bid for  REPAIR/RENOVATION OF DIRECTORATE FOR ADMINISTRATION OFFICE 1.	The Bureau of Corrections, through the General Appropriations Act (GAA) of 2020   </t>
  </si>
  <si>
    <t xml:space="preserve"> concreting of barangay road</t>
  </si>
  <si>
    <t xml:space="preserve"> Procurement of Service Vehicle (Reconditioned) complete build-up double Cab Vehicle Type:  Double Cab Vehicle Engine:  Four (4) cylinder in line diesel engine Piston Displacement:  Not to exceed 3000c Transmission:  Manual transmission 5 speed and 1 rear </t>
  </si>
  <si>
    <t xml:space="preserve"> Items of Work consists of Project Billboard, Structure Excavation, Embankment, Reinforcing Steel, Structural Concrete The BAC will conduct the procurement process in accordance with the revised IRR of R.A. 9184.  Bids Received in excess of the ABC shall b</t>
  </si>
  <si>
    <t xml:space="preserve"> WEB CAMERA (Plug and Play HD 720 P for Video Calling) Quantity: 10 unit Budget: P 1,800.00 each "Specification:  Image Sensor:CMOS Pixels:3 Mega Interface Type:USB Package:Yes Auto Focus:Yes built-in microphone:YES Auto Focus:Yes Interface Type:USB 2.0 Ma</t>
  </si>
  <si>
    <t xml:space="preserve"> Items of Work consists of Project Billboard, Removal of existing partition/structure &amp; construction, Reinforcing Steel, Concrete Works, Masonry Works, Finishing Works, Metal Works, Roofing Sheets &amp; Roof Framing, Ceiling, Doors Windows &amp; Glass Wall, Painti</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</si>
  <si>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</si>
  <si>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Location: PSU Goa campus Bidding Fee: P 5,000.00 (Non-refundable) Schedule of activities: 1. Issuance and availability of Bid Documents: August 10, 2020 until 12:00 noon of September 1, 2020  (except week-ends &amp; Holidays at the BAC Secretariat Office, PSU</t>
  </si>
  <si>
    <t xml:space="preserve"> Invitation to Bid 									August 10, 2020 	 1.	 The Municipal Government of Tinoc through the Bids and Awards Committee advertised an Invitation to bid for the Procurement of Information and Communication Technology Equipment with an Approved Budget for </t>
  </si>
  <si>
    <t xml:space="preserve"> Concreting of 0.15m x 3.0m x 80 long road Materials/Description: 1. cement - 306 bags 2, SAG -59.38 cu.m 3. Gravel Bidding - 12.00 cu.m 4. 40 pcs 2x6x12' coco lumber 5. CW Nails assorted - 6.0 kilos</t>
  </si>
  <si>
    <t xml:space="preserve"> Materials: 1. Cement - 416 bags @ P 343.00  2. Screened Sand - 25.41 cu.m @ P 500.00/cu.m 3. Gravel -50.82 cu.m @ P 550.00/cu.m 4. RSB - 12mmx 6m - 16 pcs @ 295.00 5. Coco lumber - 34 pcs -2x6x12' = 408 bd.ft @ 8,160.00 6. CW Nails, assorted - 5 kls @ 85.</t>
  </si>
  <si>
    <t xml:space="preserve"> INVITATION TO BID FOR THE Construction of Potable Water Supply Level II LGU-Kabugao, Apayao 1.	The Local Government Unit of Kabugao, through Appropriation Ordinance No. 02-Series of 2019 (FY 2020 Annual Budget – 20% MDF)   intends to apply the sum of Thre</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</si>
  <si>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</si>
  <si>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MAINTENANCE OF MADEPDEPPAS- TACCONG- NACAGANG ROAD, SAGADA Fund Source: PEO 2020 Types of Work to be Done: Project billboard/ signboard/ occupational safety and health program/ structure excavation/ grouted riprap (class A)/ handlaid rock embankment/ rein</t>
  </si>
  <si>
    <t xml:space="preserve"> SOIL/ GEOTECHNICAL INVESTIGATION FOR THE PROPOSED CONSTRUCTION OF VARIOUS BRIDGE</t>
  </si>
  <si>
    <t xml:space="preserve"> 1.	The Barangay Council of Baragay Caggay, through the BDRRMF for Calendar Year 2020, intends to apply the sum of One Hundred Fifty Thousand Pesos , being the Approved Budget for the Contract (ABC) to payments for the Infrastructure Project: Declogging al</t>
  </si>
  <si>
    <t xml:space="preserve"> Republic of the Philippines Province of South Cotabato BIDS AND AWARDS COMMITTEE Capitol Compound Alunan Avenue, Koronadal City Tel. Fax No.: (083) 228-9951/228-8570 INVITATION TO BID FOR THE SUPPLY AND DELIVERY OF 1,000 BAGS FERTILIZER, COMPLETE 14-14-14</t>
  </si>
  <si>
    <t xml:space="preserve"> REPUBLIC OF THE PHILIPPINES PROVINCE OF NEGROS OCCIDENTAL MUNICIPALITY OF MOISES PADILLA Bids and Awards Committee 	August 7, 2020 INVITATION TO BID FOR THE PURCHASE OF FUEL 1.	The Municipality of Moises Padilla through the allocation from its MDRRMF Trus</t>
  </si>
  <si>
    <t xml:space="preserve"> Republic of the Philippines Province of South Cotabato BIDS AND AWARDS COMMITTEE Capitol Compound Alunan Avenue, Koronadal City Tel. Fax No.: (083) 228-9951/228-8570 INVITATION TO BID FOR THE SUPPLY AND DELIVERY OF 40,178 LITERS DIESOLINE 1.  The PROVINCI</t>
  </si>
  <si>
    <t xml:space="preserve"> Republic of the Philippines DEPARTMENT OF SCIENCE AND TECHNOLOGY Regional Office No. 13, Caraga CSU Campus, Ampayon, Butuan City Telephone #: (085) 342-5345, 341-9551, Fax #: 342-5684 INVITATION TO BID Supply, Delivery, and Installation of 1 unit Large Fo</t>
  </si>
  <si>
    <t xml:space="preserve"> Provision of safety and health program/ provision of billboard/ structure excavation (manual excavation common soil)/ subgrade preparation/ aggregate subbase course/  PCC pavement (plain) 200mmthk/ metal railings/ reinforcing steel bar/ structural concret</t>
  </si>
  <si>
    <t xml:space="preserve"> Republic of the Philippines CITY OF BAIS BIDS AND AWARDS COMMITTEE INVITATION TO APPLY FOR ELIGIBILITY AND TO BID 	The City Government of Bais invites interested bidders to apply for eligibility and to bid for use in the City Mayor’s Office, this city, vi</t>
  </si>
  <si>
    <t xml:space="preserve"> ONE UNIT SERVICE VEHICLE specification: Body type: VAN Seating capacity: 10 Engine: Four (4) cylinder diesel engine euro IV common rail direct             injection (cdri) with variable geometric turbo (vgt), double             overhead com.(dohc) 16 valv</t>
  </si>
  <si>
    <t xml:space="preserve"> Items of Work consists of Project Billboard, Demolition, Structure Excavation, Gravel Bedding, Reinforcing Steel, Concrete Works, Masonry Works including septic Vault, Formworks, Finishing Works, Metal Works, Roofing Sheets, Ceiling, Door &amp; Windows, Paint</t>
  </si>
  <si>
    <t xml:space="preserve"> SOURCE OF FUND: SUPPLEMENTAL APPROPRIATION CY 2019-NO.1. 822.60 SQ.M. REMOVAL OF EXISTING PAVEMENT 123.39 CU.M. ROAD EXCAVATION 82.26 CU.M. AGGREGATE BASE COURSE 164.52 CU.M. PORTLAND CEMENT CONCRETE PAVEMENT 1.00 UNIT GENERAL REQUIREMENTS(SIGNBOARD, TEMP</t>
  </si>
  <si>
    <t xml:space="preserve"> INVITATION TO BID PROCUREMENT OF MEDICAL/DENTAL SUPPLIES, EQUIPMENT AND OTHER PPE (PERSONAL PROTECTIVE EQUIPMENT) 1.	The OCCIDENTAL MINDORO STATE COLLEGE (OMSC), through the Special Trust Fund/General Fund intends to apply the sum of One Million One Hundr</t>
  </si>
  <si>
    <t xml:space="preserve"> The National Food Authority (NFA) Regional Office V, through its Infrastructure and PHF Machineries Capital Outlay Budget with ASA Nos. 2020-COF-TRSD-V-Legazpi-001 and 2020-COF-TRSD-V-Legazpi, Albay-002 intends to apply the sum of PESOS: ONE MILLION FOUR </t>
  </si>
  <si>
    <t xml:space="preserve"> Republic of the Philippines UNIVERSITY OF NORTHERN PHILIPPINES Tamag, Vigan City       Invitation to Bid for the Rehabilitation of the UNP Water System 1.	The University of Northern Philippines, through the Use of Income, 2020 intends to apply the sum of </t>
  </si>
  <si>
    <t xml:space="preserve"> Invitation to Bid</t>
  </si>
  <si>
    <t xml:space="preserve"> FUND SOURCE: TRUST LIABILITIES- DRRM TYPES OF WORK TO BE DONE: Provision of safety and health program/ provision o billboard/ structure excavation (manual excavation common soil)/ subgrade preparation/ aggregate subbase course/ PCC pavement (plain) 200 th</t>
  </si>
  <si>
    <t xml:space="preserve"> SERVICE VEHICLE Type of Vehicle: SUV ENGINE/TRANSMISSION Engine size: 2.5L Displacement: 2,488 cc Type: 4-cylinder, 16 valves, VGSi Fuel Tank Capacity: 80 Liters Fuel System: Common rail direct injection Transmission Type: 7-speed automatic transmission w</t>
  </si>
  <si>
    <t xml:space="preserve"> : Items of Work consists of Project Signboard/Billboard, Excavation Works, Gravel Bedding, Concrete Works, RSB Works, Form Works/Scaffoldings, 4” CHB Wall, Plastering Works, Ceiling and Locker Works, Tile Works, Toilet &amp; Bath, Metal Works, Roofing Sheets,</t>
  </si>
  <si>
    <t xml:space="preserve"> Contract ID:	20GFH0025 Contract Name:	SUPPLY AND DELIVERY OF HEAVY EQUIPMENT UNITS FOR USE IN CONNECTION WITH THE PROJECT, CONSTRUCTION OF SEWAGE FACILITIES IN VIRAC, CATANDUANES, DPWH CATANDUANES DISTRICT ENGINEERING OFFICE, SAN ISIDRO VILLAGE, VIRAC, CA</t>
  </si>
  <si>
    <t xml:space="preserve"> FUND SOURCE; 20% PDF 2019 TYPES OF WORK TO BE DONE: Project billboard/ signboard. occupational safety and health program/ surplus common excavation/ surplus unclassified excavation/ structure excavation (common soil)/ subgrade preparation (common material</t>
  </si>
  <si>
    <t xml:space="preserve"> 1 unit UTILITY VAN RESCUE VEHICLE 	WEIGHT: GROSS VEHICLE(GYW)2,950CC MASS-1295 	       BODY: FB TYPE ONLY 	ENGINE:MODEL DIRECT INJECT INJECTION COMMON 	       DIESEL ENGINE, EMISSION STANDARD 	       EURO IV, DISPLACEMENT CC2, 499, MAX. OUTPUT 	       KW(</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</si>
  <si>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</si>
  <si>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1.	10	PCS.		CLEAR BOOK ORANGE COVER, LONG 2.	3	PCS.		INK/TONER FOR PRINTER (SAMSUNG) MODEL, ML – 3750ND 3.	10	PCS.		ELECTRICAL TAPE (YELLOW) MEDIUM SIZE 4.	3	CONTAINER	ANTIBACTERIAL SOAP, LIQUID 750mL 5.	3	GALLON	ALL PURPOSE BLEACH, 3785mL 6.	2	BOTTLE		GC</t>
  </si>
  <si>
    <t xml:space="preserve"> Republic of the Philippines PROVINCE OF CAMARINES SUR BIDS AND AWARDS COMMITTEE ITB No. 048-09-2020 INVITATION TO BID  	The Provincial Government of Camarines Sur (PGCS) through its Bids and Awards Committee (BAC) invites suppliers/manufacturers/distribut</t>
  </si>
  <si>
    <t xml:space="preserve"> REPUBLIC OF THE PHILIPPINES PROVINCE OF NEGROS OCCIDENTAL MUNICIPALITY OF MOISES PADILLA Bids and Awards Committee 	August 7, 2020 INVITATION TO BID FOR THE ACQUISITION OF PATIENT TRANSPORT VEHICLE  (SPECIFIC – PURPOSE VEHICLE) 1.	The Municipality of Mois</t>
  </si>
  <si>
    <t xml:space="preserve"> https://drive.google.com/file/d/1ViNNLS4A9Y9n-2ODYjCmrK-2jN_TNgvV/view?usp=drivesdk</t>
  </si>
  <si>
    <t xml:space="preserve"> SOURCE OF FUND: 20% DEVELOPMENT FUND 182 SQ.M. REMOVAL OF EXISTING PAVEMENT 34.49 CU.M. ROAD EXCAVATION 172.44 SQ.M. SUBGRADE PREPARATION 25.87 CU.M. AGGREGATE BASE COURSE 36.00 CU.M. PORTLAND CEMENT CONCRETE PAVEMENT 17.85 LM REINFORCEMENT CONCRETE BOX C</t>
  </si>
  <si>
    <t xml:space="preserve"> IMPROVEMENT OF LIAS GYMNASIUM, BARLIG Fund Source: 20% PDF 2020 Types of Work to be Done: Project billboard/ signboard/ occupational safety and health program/ site preparation/ selected embankment/ steel works/ reinforcing steel bar, grade 40/ structural</t>
  </si>
  <si>
    <t xml:space="preserve"> Invitation to Bid CY 2020 BEFF - MODERNIZATION OF ELECTRICAL SYSTEM ON-GRID SCHOOLS BATCH 2 – NAVAL CS, NAVAL DISTRICT 1  (ELEC 2020-RVIII -Biliran-006) 1.	The DepEd, SDO-Biliran through the CY 2020 SARO  intends to apply the sum of TWO MILLION SIX HUNDRE</t>
  </si>
  <si>
    <t xml:space="preserve"> Invitation to Bid CONSTRUCTION OF DEPED TEMPORARY LEARNING SPACES (TLS)  CLUSTER 1 –  Villa Enage ES, Biliran District; Biliran NAHS, Biliran District; Biliran Science High School, Biliran District; Cabucgayan CS, Cabucgayan District; Naval NHS, Naval Dis</t>
  </si>
  <si>
    <t xml:space="preserve"> Procurement of Various Supplies and Construction Materials Intended for Grants and Donations</t>
  </si>
  <si>
    <t xml:space="preserve"> Republic of the Philippines Province of South Cotabato BIDS AND AWARDS COMMITTEE Capitol Compound Alunan Avenue, Koronadal City Tel. Fax No.: (083) 228-9951/228-8570 INVITATION TO BID FOR THE SUPPLY AND DELIVERY OF 25 UNITS SERVICE VEHICLE, PICK-UP TYPE, </t>
  </si>
  <si>
    <t xml:space="preserve"> REHABILITATION OF SITIO FATOK-OR AND KAYJOG PATHWAY AND DRAINAGE, MAINIT FUND SOURCE: 20% PDF 2020 TYPES OF WORK TO BE DONE: Project billboard/ signboard/ occupational safety and health program/ formworks (pathway)/ concrete works (pathway)/ structural ex</t>
  </si>
  <si>
    <t xml:space="preserve"> Please see attached files.</t>
  </si>
  <si>
    <t xml:space="preserve"> Republic of the Philippines PROVINCE OF SURIGAO DEL NORTE MUNICIPALITY OF TAGANA-AN Office of the Barangay Captain Brgy. Talavera, Surigao del Norte        Invitation to bid for ROAD CONCRETING OF SITIO CAMPANGDAN  BGRY. TALAVERA, TAGANA-AN, SURIGAO DEL N</t>
  </si>
  <si>
    <t xml:space="preserve"> BARANGAY GOVERNMENT OF DAGATKIDAVAO														  Valencia City, Bukidnon, Philippines														 														 Contract Reference No.Contract Reference No. 2020-08-11														 														 CONSTRUCTION OF PERIMETER FENCE														 							</t>
  </si>
  <si>
    <t xml:space="preserve"> FUND SOURCE: TRUST LIABILITIES- DRRM TYPES OF WORK TO BE DONE: Project billboard/ signboard/ occupational safety and health program/ structure excavation (manual excavation)/ REINFORCING STEEL BAR/ structural concrete (minor structure)/ grouted riprap (cl</t>
  </si>
  <si>
    <t xml:space="preserve"> reproduction of module for 1st and 2nd quarter for SY 2020-2021</t>
  </si>
  <si>
    <t xml:space="preserve"> I N V I T A T I O N   T O   B I D 2020 – 151 August 10, 2020 1.	The Provincial Government of Tarlac through the Trust Fund intends to apply the sum of One Million Two Hundred Twelve Thousand Thirty-Seven Pesos and 50/100 (PhP 1,212,037.50) being the Appro</t>
  </si>
  <si>
    <t xml:space="preserve"> Republic of the Philippines MUNICIPALITY OF CABUGAO Ilocos Sur Invitation to Bid for the Construction of Multi-Purpose Building @ Brgy. Salomague (Proper), Cabugao, Ilocos Sur 1. The Local Government Unit of Cabugao, Ilocos Sur, through the R.A. 7171 thru</t>
  </si>
  <si>
    <t xml:space="preserve"> I N V I T A T I O N   T O   B I D 2020 – 150 August 10, 2020 1.	The Provincial Government of Tarlac through the Trust Fund intends to apply the sum of One Million Two Hundred Fifty-Four Thousand Nine Hundred Twenty-Five Pesos Only (PhP 1,254,925.00) being</t>
  </si>
  <si>
    <t xml:space="preserve"> I N V I T A T I O N   T O   B I D 2020 - 149 August 10, 2020 1.	The Provincial Government of Tarlac, intends to apply the sum tabulated herein being the Approved Budget for the Contract (ABC) to payments under the contract of Procurement of Drugs and Medi</t>
  </si>
  <si>
    <t xml:space="preserve"> PHILIPPINE DEPOSIT INSURANCE CORPORATION Makati City INVITATION TO BID PROCUREMENT OF PROFESSIONAL DRIVERS SERVICES 1.	The Philippine Deposit Insurance Corporation (PDIC), through its 2020-2021 Corporate Operating Budget, intends to apply the sum of Php 5</t>
  </si>
  <si>
    <t xml:space="preserve"> I. MEDICINES AND SUPPLIES  1	Ferrous Sulfate tablet 2	Vitamin A 10,000 IU capsule 3	Amoxicillin 250 mg capsule 4	Amoxicillin 500 mg 5	Paracetamol 500mg 6	Paracetamol drop 15 ml 7	Paracetamol 250 mg 60 ml 8	Paracetamol Neo-Kiddie Aspilet 9	Mefenamic Acid 5</t>
  </si>
  <si>
    <t xml:space="preserve"> Republic of the Philippines										 BIDS AND AWARDS COMMITTEE										 Baguio City										 (074) 300-6537/ (074)442-8795										 BID FORM										 CP No. 2020-58 Bidding									August 6, 2020	 Circular Proposal No.									Date Prepared	 								</t>
  </si>
  <si>
    <t xml:space="preserve"> Kindly see attached Bidding Documents</t>
  </si>
  <si>
    <t xml:space="preserve"> 1.) 65 lgths.      1/16 thk. 1 x 1 Angular Bar 2.) 1 pc.           4" Cutting Disc 3.) 6 kgs.          Fujiweld Welding Rod 4.) 26 bags       Portland Cement 5.) 2 cu.m.        Fine Aggregates 6.) 2.5 cu.m.     Coarse Aggregates 7.) 12 pcs.        2 x 4 x</t>
  </si>
  <si>
    <t xml:space="preserve"> I N V I T A T I O N   T O   B I D 2020 – 152 August 10, 2020 1.	The Provincial Government of Tarlac through the Trust Fund intends to apply the sum of Nine Hundred Ninety-Nine Thousand Six Hundred Five Pesos Only (PhP 999,605.00) being the Approved Budget</t>
  </si>
  <si>
    <t xml:space="preserve"> Construction of Other Facilities.</t>
  </si>
  <si>
    <t xml:space="preserve"> Name of Project: Provision of Seven (7) Sets Solar Streetlight Location: Estipona, Pura, Tarlac ABC: Php 245,000.00 Specification: 7	sets	LED Solar Light 150 W SMD, Warm White			 		Model : SSL 150W -WW			 		Specification:			 		 Light Output:  150W 			 		 </t>
  </si>
  <si>
    <t xml:space="preserve"> Republic of the Philippines MINDANAO STATE UNIVERSITY General Santos City INVITATION TO BID FOR THE PURCHASE OF THE 3RD QUARTER OFFICE SUPPLIES 1.	The Mindanao State University – General Santos City (MSU-GSC), through MOOE 2020, intends to apply the sum o</t>
  </si>
  <si>
    <t xml:space="preserve"> Vigan City	Project Reference Number:	08312020-119 	Name of the Project :	Construction of Farm to Market Road Standard Form Number: SF-GOOD-05	Location of the Project:    	Beddeng Laud Vigan City Revise on: July 28, 2004		 		 INVITATION TO BID The City Vig</t>
  </si>
  <si>
    <t xml:space="preserve"> REPUBLIC OF THE PHILIPPINES PROVINCE OF CEBU MUNICIPALITY OF PINAMUNGAJAN Invitation to Bid for:  CONCRETING OF ROAD LEADING TO THE NEW MUNICIPAL CEMETERY IN BARANGAY PANDACAN 			                      1.	The MUNICIPALITY OF PINAMUNGAJAN, through the GENER</t>
  </si>
  <si>
    <t xml:space="preserve"> 25 units	Desktop Computer with Multifunction InkTank Printer  2 units	Smart TV LED 40" for JORS, PO, Contracts, NTP Monitoring 2 units	Laptop 4 units	Projector 2 units	Document Camera 8 units	All-in-One Touch Screen PC for HRIS, Billing and OPD Kiosk 5 un</t>
  </si>
  <si>
    <t xml:space="preserve"> Republic of the Philippines Province of Rizal MUNICIPALITY OF BARAS BIDS AND AWARDS COMMITTEE August 10, 2020 INVITATION TO BID COST OF IMPROVEMENT (BACKFILLING) OF BARAS KASARINLAN ECO PARK, BRGY. SANTIAGO,  BARAS, RIZAL 1.	The Municipality of Baras, thr</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</si>
  <si>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</si>
  <si>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Name of Project: PROVISION OF SIXTY NINE (69) SETS TABLE FOR AMBULANT VENDORS AT PUBLIC MARKET Location: Public Market, Pura, Tarlac ABC: Php 968,520.00 Materials 97	pcs	1'' GI pipe, sch. 40	 997	pcs	3/16'' x 1'' angle bar	 897	pcs	3/16'' x 2'' flat bar	 </t>
  </si>
  <si>
    <t xml:space="preserve"> The Municipal Government of Atok, Benguet now invites bids for MDF CLUSTER 15-2020 PROJECTS AT ABIANG AND TOPDAC, ATOK, BENGUET with the following Clustered Projects: 1.	REHABILITATION OF DOMESTIC WATER SUPPLY AT BOCAO, ABIANG WITH AN ABC OF P100,000.00; </t>
  </si>
  <si>
    <t xml:space="preserve"> I N V I T A T I O N   T O   B I D 2020 – 153 August 10, 2020 1.	The Provincial Government of Tarlac through the PGO - Capital Outlay - Info. and Comm. Technology Equipt.; PGO - Continuing 2019 - Computer Software intends to apply the sum of Nine Hundred F</t>
  </si>
  <si>
    <t xml:space="preserve"> A Republic of the Philippines BIDS AND AWARDS COMMITTEE Dagupan City Invitation to Bid   for CLOSURE/REHABILITATION OF THE EXISTING CONTROLLED DUMPSITE, BONUAN BOQUIG, DAGUPAN CITY – PHASE I 1.	The City Government of Dagupan, through the CITY BUDGET ORDIN</t>
  </si>
  <si>
    <t xml:space="preserve"> Please see attached RFQ # 20-1252-3 and attached Technical Specifications Submit your Sign and Sealed Quotation together with your UPDATED ELIGIBILITY Requirements at 3/F ATI Building Department of Agriculture Region IV-MiMaRoPa, Property&amp;Supply Unit/BAC </t>
  </si>
  <si>
    <t xml:space="preserve"> REPUBLIC OF THE PHILIPPINES PROVINCE OF BATANGAS BIDS AND AWARDS COMMITTEE Capitol Site, Batangas City INVITATION TO BID 1.	The Provincial Government of Batangas, through its Bids and Awards Committee (BAC) intends to apply the sum of ONE BILLION FOUR HUN</t>
  </si>
  <si>
    <t xml:space="preserve"> The construction of covered driveway and walkway will be connected from Gate 4 to the existing covered court of the Out Patient Department Building. This will serve as a canopy and protection for unpredictable weather conditions for employees, out patient</t>
  </si>
  <si>
    <t xml:space="preserve"> Procurement of Greenhouse (1 lot Job) 	Roofing for Greenhouse No. 1 with area 936 sqm Location: Nalook, Malay, Aklan With roofing of 200 micron Clear UVA Plastic locking system; 	Installation of 2 units Tunnel Type Greenhouse Location: Boracay Island, M</t>
  </si>
  <si>
    <t xml:space="preserve"> Name of Project: PROVISION OF FIFTEEN (15) SETS TABLE FOR AMBULANT VENDORS AT PUBLIC MARKET Location: Pura, Tarlac ABC: Php 211,285.86 Materials: 21	pcs	1'' GI pipe, sch. 40	 210	pcs	3/16'' x 1'' angle bar	 195	pcs	3/16'' x 2'' flat bar	 68	pcs	0.40 mm (g</t>
  </si>
  <si>
    <t xml:space="preserve"> 1 unit	Defibrillator 2 units	Mechanical Ventilator 1 unit	Electro Cautery Machine 2 units	Patient Transfer/Pat Slide 1 unit	Major Surgical Set 1 unit	Videolaryngoscope 2 units	Depth of Anesthesia and Noxious Stimuli Monitor 1 unit	Laboratory Reagent Refri</t>
  </si>
  <si>
    <t xml:space="preserve"> Republic of the Philippines DEPARTMENT OF AGRICULTURE Regional Field Office IX, Zamboanga Peninsula INVITATION TO BID FOR REBIDDING OF SUPPLY AND DELIVERY OF 2,695 HEADS OF LAYER CHICKEN (RTL) 1.	The Department of Agriculture Regional Field Office IX, thr</t>
  </si>
  <si>
    <t xml:space="preserve"> BALAOAN WATER DISTRICT Invitation to Bid For The Drilling Of One (1) Exploratory/ Production Well for Balaoan WD @ Brgy. Calliat, Balaoan, La Union 1.	The Balaoan Water District through the 17,738,000.00 loan funded under the GAA 2017 from the Local Water</t>
  </si>
  <si>
    <t xml:space="preserve"> The Municipality of Pulilan, Bulacan, through its Bids and Awards Committee (BAC), invites prospective bidders/Supplier to apply for eligibility and shortlisting and if found eligible and shortlisted, to bid for Purchase of 45 Units Laptop The Municipalit</t>
  </si>
  <si>
    <t xml:space="preserve"> 40 units	Office chairs  2 sets	Movable divider panel 1 set 	Sala set (Sofa) 1 set	        Dining Table, with 10 chairs 3 units	Office table</t>
  </si>
  <si>
    <t xml:space="preserve"> The Municipality of Pulilan, Bulacan, through its Bids and Awards Committee (BAC), invites prospective bidders/Supplier to apply for eligibility and shortlisting and if found eligible and shortlisted, to bid for Purchase of Two (2) Units Patrol Cars (DILG</t>
  </si>
  <si>
    <t xml:space="preserve"> The Municipality of Pulilan, Bulacan, through its Bids and Awards Committee (BAC), invites prospective bidders/Supplier to apply for eligibility and shortlisting and if found eligible and shortlisted, to bid for Purchase of Anti-Rabies Vaccines (RHU) The </t>
  </si>
  <si>
    <t xml:space="preserve"> The Municipality of Pulilan, Bulacan, through its Bids and Awards Committee (BAC), invites prospective bidders/Supplier to apply for eligibility and shortlisting and if found eligible and shortlisted, to bid for Purchase of Office Supplies (MO) The Munici</t>
  </si>
  <si>
    <t xml:space="preserve"> INVITATION TO BID FOR CW-ALPIP-07-2020 1.	The National Irrigation Administration – Cordillera Administrative Region (NIA-CAR), through the General Appropriations Act (GAA) 2020 intends to apply the sum of Twenty One Million Forty Three Thousand Seven Hund</t>
  </si>
  <si>
    <t xml:space="preserve"> The Municipality of Pulilan, Bulacan, through its Bids and Awards Committee (BAC), invites prospective bidders/Supplier to apply for eligibility and shortlisting and if found eligible and shortlisted, to bid for Purchase of Materials for Service Connectio</t>
  </si>
  <si>
    <t xml:space="preserve"> Republic of the Philippines Department of Health SOUTHERN ISABELA MEDICAL CENTER Hospital Bids and Awards Committee Brgy. Rosario, Santiago City Philippines ITB NO. 2020-08-016 INVITATION TO BID FOR THE  PROJECT: SUPPLY AND DELIVERY OF OBSTETRICS AND GYNE</t>
  </si>
  <si>
    <t xml:space="preserve"> The Municipality of Pulilan, Bulacan, through its Bids and Awards Committee (BAC), invites prospective bidders/Supplier to apply for eligibility and shortlisting and if found eligible and shortlisted, to bid for Purchase of Medicines (RHU) The Municipalit</t>
  </si>
  <si>
    <t xml:space="preserve"> INVITATION TO BID FOR CW-ALPIP-05-2020 1.	The National Irrigation Administration – Cordillera Administrative Region (NIA-CAR), through the General Appropriations Act (GAA) 2020 intends to apply the sum of Thirty Nine Million Nine Hundred Thirty Seven Thou</t>
  </si>
  <si>
    <t xml:space="preserve"> Construction of 10 Units Street Lights</t>
  </si>
  <si>
    <t xml:space="preserve"> Republic of the Philippines Department of Health SOUTHERN ISABELA MEDICAL CENTER Hospital Bids and Awards Committee Brgy. Rosario, Santiago City Philippines ITB NO. 2020-08-015 INVITATION TO BID FOR THE  PROJECT: SUPPLY AND DELIVERY OF DENTAL EQUIPMENT 1.</t>
  </si>
  <si>
    <t xml:space="preserve"> INVITATION TO BID FOR CW-ALPIP-04-2020 1.	The National Irrigation Administration – Cordillera Administrative Region (NIA-CAR), through the General Appropriations Act (GAA) 2020 intends to apply the sum of Twenty Eight Million Six Hundred Eighty Two Thousa</t>
  </si>
  <si>
    <t xml:space="preserve"> INVITATION TO BID FOR CW-ALPIP-01-2020 1.	The National Irrigation Administration – Cordillera Administrative Region (NIA-CAR), through the General Appropriations Act (GAA) 2020 intends to apply the sum of Sixty Nine Million One Hundred Thirteen Thousand O</t>
  </si>
  <si>
    <t xml:space="preserve"> Republic of the Philippines 	Province of Pangasinan 	Municipality of Infanta 	Barangay Bayambang 	BIDS AND AWARDS COMMITTEE 	 Invitation to Bid for CONCRETE PAVING OF CORPUZ ROAD (CONMTINUATION), BRGY. BAYAMBANG, INFANTA, PANGASINAN 1.	The BARANGAY BAYAMB</t>
  </si>
  <si>
    <t xml:space="preserve"> REF. NO./PR NO.: INFRA2020-CMD-021 / MG-CMT20-001  DESCRIPTION:     Construction of Fire Hydrant System for CMTSD, Ditucalan, Iligan City 1.	Earthworks: Excavation of Footings, Canals, Pedestals and Trenches 2.	Concrete Works: Pump House including Hydrant</t>
  </si>
  <si>
    <t xml:space="preserve"> INVITATION TO BID FOR CW-ALPIP-06-2020 1.	The National Irrigation Administration – Cordillera Administrative Region (NIA-CAR), through the General Appropriations Act (GAA) 2020 intends to apply the sum of Thirty Eight Million Two Hundred Fifty Six Thousan</t>
  </si>
  <si>
    <t xml:space="preserve"> The Municipality of Pulilan, Bulacan, through its Bids and Awards Committee (BAC), invites prospective bidders/Supplier to apply for eligibility and shortlisting and if found eligible and shortlisted, to bid for Purchase of One (1) Unit Service Vehicle (S</t>
  </si>
  <si>
    <t xml:space="preserve"> Republic of the Philippines PROVINCE OF PANGASINAN BIDS AND AWARD COMMITTEE (BAC) Brgy. San Jose, San Jacinto, Pangasinan Mobile No. 09176152866 INVITATION TO BID The Barangay  San Jose, San Jacinto, Pangasinan, though its Bids and Award Committee (BAC), </t>
  </si>
  <si>
    <t xml:space="preserve"> METRO SIQUIJOR WATER DISTRICT BIDS &amp; AWARDS COMMITTEE Siquijor, Siquijor The Metro Siquijor Water District (MSWD) through the Bids &amp; Awards Committee (BAC) will be undertaking the hereunder project: Name of Project: Well drilling 150 ft., 10" open bore ho</t>
  </si>
  <si>
    <t xml:space="preserve"> 1.	The National Irrigation Administration – Cordillera Administrative Region (NIA-CAR), through the General Appropriations Act (GAA) 2020 intends to apply the sum Sixty Six Million One Hundred Seventy-Nine Thousand Three Hundred Seventy-Seven Pesos and Se</t>
  </si>
  <si>
    <t xml:space="preserve"> INVITATION TO BID FOR CONSTRUCTION OF MULTI-PURPOSE HALL AT SALINUNGAN WEST  (INFRA 2020-18) 1.	The LOCAL GOVERNMENT UNIT OF SAN MATEO, ISABELA (LGU-SMI), through its Bids and Awards Committee  intends to apply the sum of FOUR MILLION NINE HUNDRED NINETY </t>
  </si>
  <si>
    <t xml:space="preserve"> Republic of the Philippines Province of Pangasinan Municipality of Infanta Barangay Bayambang BIDS AND AWARDS COMMITTEE INVITATION TO BID FOR: SUPPLY &amp; DELIVERY OF MATERIALS FOR THE CONSTRUCTION OFCOVER DRAINAGE CANAL @ PUROK 1, BRGY. BAYAMBANG, INFANTA, </t>
  </si>
  <si>
    <t xml:space="preserve"> Item 105- Sub-grade Preparation, Qty.=  140.00 sq.m., with 35.00 linear meters, a. Equipment Rental: one (01)  unit motorized road grader &amp; one (01) unit vibratory road roller, b. Labor: four (04) manpower. Item 200- aggregate sub-base course, Qty.= 33.60</t>
  </si>
  <si>
    <t xml:space="preserve"> Republic of the Philippines Province of Zambales BARANGAY BANI MUNICIPALITY OF MASINLOC OFFICE OF THE BIDS AND AWARDS COMMITTEE INVITATION TO BID The BARANGAY BANI, MUNICIPALITY OF MASINLOC, Province of Zambales, through its Bids and Awards Committee (BAC</t>
  </si>
  <si>
    <t xml:space="preserve"> INVITATION TO BID  REPLACEMENT OF TILES AND REPAINTING OF THE INTERIOR WALLS AND FINISHES OF BUDGET INFORMATION AND TRAINING SERVICE AND BUDGET AND MANAGEMENT BUREAU-B OFFICES 1.	The Department of Budget and Management (DBM), through the authorized approp</t>
  </si>
  <si>
    <t xml:space="preserve"> Invitation for Negotiated Procurement on Supply and Delivery of Vehicle for National Capital Regional Office 1. In view of the two (2) failed public biddings, the Department of Trade and Industry (DTI) Bids and Awards Committee (BAC) invites interested bi</t>
  </si>
  <si>
    <t xml:space="preserve"> Republic of the Philippines MUNICIPALITY OF BUNAWAN, AGUSAN DEL SUR Invitation to Bid/ Instruction to Bidders PURCHASE OF AGRICULTURAL PRODUCTS (SEEDS, SEEDLINGS, PLANTS…) COCONUT USE TO SUPPORT HVCDP August 10, 2020 1.	The Municipality of Bunawan, now in</t>
  </si>
  <si>
    <t xml:space="preserve"> Republic of the Philippines Province of Cagayan Municipality of Camalaniugan August 11, 2020 INVITATION TO BID  FOR THE FURNISHING &amp; DELIVERY OF MOUNTAIN SOIL FOR BACKFILLING AND LEVELING OF LOW LYING AREAS @ CEMETERY LOT 1.	The Municipality of Camalaniug</t>
  </si>
  <si>
    <t xml:space="preserve"> The Municipality of Pulilan, Bulacan, through its Bids and Awards Committee (BAC), with its Consultants  to apply for eligibility and shortlisting  bid for Consultancy Services in Different Offices in the Municipality of Pulilan Mayor's,Accounting,Treasur</t>
  </si>
  <si>
    <t xml:space="preserve"> Republic of the Philippines Province of Palawan Municipality of Narra INVITATION TO BID 1.	The Municipal Government of Narra, through Bids and Awards Committee intends to apply the sum of ONE MILLION NINE HUNDRED TWENTY-ONE THOUSAND FOUR HUNDRED FORTY PES</t>
  </si>
  <si>
    <t xml:space="preserve"> The Municipality of Pulilan, Bulacan, through its Bids and Awards Committee (BAC), invites prospective bidders/Supplier to apply for eligibility and shortlisting and if found eligible and shortlisted, to bid for Digital Public Address-Warning Siren &amp; Devi</t>
  </si>
  <si>
    <t xml:space="preserve"> Please see attached associated components &amp; download the complete bidding documents through the link below.</t>
  </si>
  <si>
    <t xml:space="preserve"> Republic of the Philippines Province of Iloilo Municipality of Lambunao Office of the Bids &amp; Awards Committee INVITATION TO BID Name of Project: Completion of Health Station (One Job) Location:  Brgy. Caninguan,Lambunao, Iloilo ABC: Php 499,989.49 (Suppli</t>
  </si>
  <si>
    <t xml:space="preserve"> INVITATION TO BID FOR THE SUPPLY AND DELIVERY OF CUT-SIZE PAPER PRODUCTS FOR THE PROCUREMENT SERVICE PUBLIC BIDDING NO. 20-025-1 FUNDING SOURCE: PROCUREMENT SERVICE FUNDS The PROCUREMENT SERVICE invites PhilGEPS registered suppliers to bid for the followi</t>
  </si>
  <si>
    <t xml:space="preserve"> PLEASE SEE ATTACHED FILES FOR YOUR REFERENCE</t>
  </si>
  <si>
    <t xml:space="preserve"> Republic of the Philippines Province of Iloilo Municipality of Lambunao Office of the Bids &amp; Awards Committee INVITATION TO BID Name of Project: Purchase of Medical Equipments and Supplies Location: Brgy. Coto, Lambunao, Iloilo ABC: Php 453,714.98 (Suppli</t>
  </si>
  <si>
    <t xml:space="preserve"> INVITATION TO BID No. IB-2020-IX-01-01 The Municipality of Sibalom through its Bids &amp; Awards Committee (BAC), invites bidders/contractors to apply for eligibility and to bid for the hereunder project: Project           	 		:	CONSTRUCTION OF FEEDMILL Locat</t>
  </si>
  <si>
    <t xml:space="preserve"> INVITATION TO BID The Municipality of San Nicolas, Pangasinan through its Bids and Awards Committee (BAC), invites contractors registered with and classified by the Philippine Contractors Accreditation Board (PCAB) to apply for eligibility and if found el</t>
  </si>
  <si>
    <t xml:space="preserve"> Republic of the Philippines Province of Isabela LOCAL GOVERNMENT UNIT OF BENITO SOLIVEN INVITATION TO BID FOR THE PROCUREMENT OF MEDICAL AND LABORATORY EQUIPMENT 1.	The Municipal Government of Benito Soliven, intends to apply the sum of Five Hundred Sixty</t>
  </si>
  <si>
    <t xml:space="preserve"> Republic of the Philippines   Municipality of Sual BIDS AND AWARDS COMMITTEE Sual, Pangasinan   Invitation to Bid for Construction of Three (3) Units Potable Water Supply System Level 3 Camagsingalan, Bolaoen &amp; Sto. Domingo, Sual, Pangasinan 1.	The Munici</t>
  </si>
  <si>
    <t xml:space="preserve"> Republic of the Philippines Province of Palawan Municipality of Narra INVITATION TO BID 1.	The Municipal Government of Narra, through Bids and Awards Committee intends to apply the sum of ONE MILLION FOUR HUNDRED THOUSAND PESOS (PHP 1,400,000.00) being th</t>
  </si>
  <si>
    <t xml:space="preserve"> Republic of the Philippines Province of Iloilo Municipality of Lambunao Office of the Bids &amp; Awards Committee INVITATION TO BID/ REQUEST FOR PRICE QUOTATION Name of Project: Construction of Water Tank Concrete Pedestal (One Job) Location:  Brgy. Buri, Lam</t>
  </si>
  <si>
    <t xml:space="preserve"> Supply and Delivery of Materials for the Implementation of the Modular Learning Delivery Modality using Print and Multimedia Learning Resources.  ABC -  P 8,071,500.00</t>
  </si>
  <si>
    <t xml:space="preserve"> OFFICE OF THE BIDS AND AWARDS COMMITTEE (BAC) INVITATION TO BID FOR THE 20-07-597 Upgrading and Improvement of Harab to Sumbacan Road in Barangay Barangiran, Alamada, Cotabato 1.	The Local Government Unit of Alamada, through the DILG-LGSF-AM PROGRAM FY 20</t>
  </si>
  <si>
    <t xml:space="preserve"> REPUBLIC OF THE PHILIPPINES DEPARTMENT OF FINANCE BUREAU OF INTERNAL REVENUE National Office, Diliman, Quezon City             August 7, 2020 INVITATION TO BID PUBLIC BIDDING NO.  2020-32 (GOODS)   1.	The   Bureau   of   Internal     Revenue – National Of</t>
  </si>
  <si>
    <t xml:space="preserve"> Republic of the Philippines Province of Iloilo Municipality of Lambunao Office of the Bids &amp; Awards Committee INVITATION TO BID/ REQUEST FOR PRICE QUOTATION Name of Project: Purchase of Materials for the Installation of Solar Lighting System Location: Brg</t>
  </si>
  <si>
    <t xml:space="preserve"> The bidding is a 1 lot bid of laboratory Equipment particularly 1 unit of Blood Culture Machine with an ABC of 700,000.00. Specification: •	*Detection of blood – borne pathogens to diagnose the bacteraemia and sepsis; •	*Optional capacity of 16 culture bo</t>
  </si>
  <si>
    <t xml:space="preserve"> INVITATION TO BID FOR  SUPPLY AND DELIVERY OF ONE (1) SET  PRINTING PRESS SET-UP 1.	The SAMAR STATE UNIVERSITY, through the IGF-Use of Income FY 2020 intends to apply the sum of Four Million Five Hundred Thousand Pesos (PhP4,500,000.00) being the Approved</t>
  </si>
  <si>
    <t xml:space="preserve"> REPUBLIC OF THE PHILIPPINES PROVINCE OF CEBU MUNICIPALITY OF PINAMUNGAJAN Invitation to Bid for:  CONCRETING OF FLOORING OF COVERED COURTS 	(Covered Courts at Brgys. Tupas,  Busay,  Butong, Guimbawian &amp; Sibago) 1.The MUNICIPALITY OF PINAMUNGAJAN, through </t>
  </si>
  <si>
    <t xml:space="preserve"> Republic of the Philippines Province of Northern Samar MUNICIPALITY OF PAMBUJAN BIDS AND AWARDS COMMITTEE INVITATION TO BID  FOR THE  SUPPLY AND DELIVERY OF LIVESTOCK AND POULTRY FOR REHABILITATION OF TD-USMAN VICTIMS The Local Government Unit of Pambujan</t>
  </si>
  <si>
    <t xml:space="preserve"> Republic of the Philippines Province of Northern Samar MUNICIPALITY OF PAMBUJAN BIDS AND AWARDS COMMITTEE INVITATION TO BID  FOR THE  PROCUREMENT OF ONE UNIT BRAND NEW AMBULANCE (PICK UP) NOT AVAILABLE IN DBM-PS The Local Government Unit of Pambujan, Prov</t>
  </si>
  <si>
    <t xml:space="preserve"> INVITATION TO BID FOR  SUPPLY AND DELIVERY OF SEVEN (7) UNITS DIGITAL PRINTING/DUPLICATING  MACHINE FOR VARIOUS COLLEGES (FOR  INSTRUCTIONAL DELIVERY VIA FLEXIBLE  LEARNING MODALITIES) 1.	The SAMAR STATE UNIVERSITY, through the IGF-Use of Income FY 2020 i</t>
  </si>
  <si>
    <t xml:space="preserve"> Republic of ther Philippines Province of Ilocos Sur Municipality of San Juan OFFICE OF THE BIDS AND AWARDS COMMITTEE INVITATION FOR ELIGIBILITY AND TO BID The Barangay Nagsabaran,San Juan,Ilocos Sur through the Bids and Awards Committee(BAC) invites suppl</t>
  </si>
  <si>
    <t xml:space="preserve"> Republic of the Philippines Province of Ilocos Sur Municipality of San Juan OFFICE OF THE BIDS AND AWARDS COMMITTEE INVITATION FOR ELIGIBILITY AND TO BID The Barangay Nagsabaran,San Juan,Ilocos Sur through the Bids and Awards Committee(BAC)invites supplie</t>
  </si>
  <si>
    <t xml:space="preserve"> Quantity   Unit of issue   Item Description 2               pcs                   Tire 7. 00 R15 10 PR LT Tube type with interior 4               pcs                    Tubeless tire 185  R14 8 PR Lt 10             pcs                    shovel (5 pointed</t>
  </si>
  <si>
    <t xml:space="preserve"> GI Pipe 1 1/4 dia x 20 sch 40 - 6 pcs.  GI Pipe 1 1/2 dia x 20 sch 40 - 3 pcs.  GI Pipe 2' dia x 20 sch 40- 6 pcs. GI Pipe 3' dia x 20 sch 40 - 3 pcs.  Welding Rod- 7 kls.  Machine Bolt S/B' dia. x 4" with knot &amp; washer- 12 pcs.  washed sand- 3 c.m  Scree</t>
  </si>
  <si>
    <t xml:space="preserve"> Construction of fence along basketball court area with approximate length of 20 meters and an average height of 15 meters. 22 bags Cement 1 cu.m. Sand 1.5 cu.m. Gravel 16 length G.I. Pipe, 2"dia, sch 40 3 rolls Cyclone Wire 16 length Flat bar, 3/16"x1" 10</t>
  </si>
  <si>
    <t xml:space="preserve"> Rebid of the Provision of Security Services of People’s Television Network, Inc.(PTNI) Manila Office and its Provincial Station</t>
  </si>
  <si>
    <t xml:space="preserve"> Republic of the Philippines Province of Ilocos Sur Municipality of San Juan OFFICE OF THE BIDS AND AWARDS COMMITTEE INVITATION FOR ELIGIBILITY AND TO BID The Barangay Nagsabaran,San JUan,Ilocos Sur through the Bids and awards Committee(BAC) invites suppli</t>
  </si>
  <si>
    <t xml:space="preserve"> INVITATION TO BID 1.	The Department of Public Works and Highways, through its Bids and Awards Committee (BAC) invites Suppliers to submit bids for the following contract: Contract ID	20GM0008 (Re-bid) Contract Name &amp; Location	PROCUREMENT OF DRYDOCKING AND</t>
  </si>
  <si>
    <t xml:space="preserve"> Quantity     Unit      Description 1                lot           General Requirement 1                lot           Earthworks 97              cu. M.     Line Canal 100            cu. M      Grouted riprap 2                 unit         Box culvert 133  </t>
  </si>
  <si>
    <t xml:space="preserve"> SPCL I Project BillBoard l.s. 1.00 SPCL II Occupational Safety &amp; Health Program  l.s.  1.00 SPCL III  Temporary Facilities  l.s. 1.00 ITEM No. Clearing l.s. 1.00 II. Hauling of Materials l.s. 1.00 III. Temporary Break Water l.s. 1.00 IV. Concrete Slope Pr</t>
  </si>
  <si>
    <t xml:space="preserve"> RIPRAPPING OF THE SLOPE AREA AROUND MULTI-PURPOSE HALL. 150 BAGS CEMENT 15 CU.M. SAND 70 CU.M/ BOULDER 13 LENGTH PVC PIPE, 2"DIA. 1 L.S. MISC.AND HARDWARES</t>
  </si>
  <si>
    <t xml:space="preserve"> INVITATION TO BID FOR THE CONSTRUCTION OF COMFORT ROOMS AT PSAU GATE 2 PB-2020-184-020 1. The Pampanga State Agricultural University, through Fund 184, intends to apply the sum of P184,557.10 being the Approved Budget for the Contract (ABC) to payment und</t>
  </si>
  <si>
    <t xml:space="preserve"> Republic of the Philippines Province of Bukidnon MUNICIPALITY OF BAUNGON Invitation to Bid for Construction of Baungon Municipal Hall @ Baungon, Bukidnon 1.	The Municipal Government of Baungon, Bukidnon, through the Budget for the Contract approved by the</t>
  </si>
  <si>
    <t xml:space="preserve"> Republic of the Philippines PROVINCE OF QUIRINO Cabarroguis -oOo- BIDS AND AWARDS COMMITTEE INVITATION TO BID FOR  Procurement of Laboratory Equipment (1 Unit Fully Automated Microbial Identification and Sensitivity Analyzer, 1 Unit Fully Automated Chemis</t>
  </si>
  <si>
    <t xml:space="preserve"> The Department of Agriculture-RFO 3, invites interested suppliers/ bidders to submit bid proposal(s) for the hereunder requirement, to wit: 122,574 bags Urea Fertilizer  (6,128,700 kilograms) Specification: 	46% Nitrogen 	50 kilograms / bag 	Granular O</t>
  </si>
  <si>
    <t xml:space="preserve"> Republic of the Philippines Province of Iloilo Municipality of Lambunao Office of the Bids &amp; Awards Committee INVITATION TO BID Name of Project: Improvement of Water Distribution Lines (One Job) Location: Brgy. Cabugao, Lambunao, Iloilo ABC: Php 2,300,000</t>
  </si>
  <si>
    <t xml:space="preserve"> The Department of Agriculture-RFO 3, invites interested suppliers/ bidders to submit bid proposal(s) for the hereunder requirement, to wit: 56,370 bags Urea Fertilizer (2,818,500 kilograms) Specification: 	46% Nitrogen 	50 kilograms / bag 	Granular Oth</t>
  </si>
  <si>
    <t xml:space="preserve"> ANULING NATIONAL HIGH SCHOOL SPCL 1 OCCUPATIONAL SAFETY AND HEALTH PROGRAM 1.00 LOT SPCL 2 TEMPORARY FACILITY 1.00 LOT I ANULING NATIOINAL HIGH SCHOOL SPCL 1 PROJECT BILLBOARD 1.00 LOT PPCR BLDG.3 CR A. REPLACEMENT OF DOOR &amp; WINDOW 1.00 LOT B. PLUMBING AN</t>
  </si>
  <si>
    <t xml:space="preserve"> INVITATION TO BID 1.	The Department of Public Works and Highways, through its Bids and Awards Committee (BAC) invites Suppliers to submit bids for the following contract: Contract ID	20GM0011  Contract Name &amp; Location	SUPPLY AND DELIVERY OF OFFICE SUPPLIE</t>
  </si>
  <si>
    <t xml:space="preserve"> Native chicken		pcs	700 Pullets (female)= 637 heads						 Cockerel (male)= 63 heads			 Average weight: 800-1,200 grams/head</t>
  </si>
  <si>
    <t xml:space="preserve"> Nipa shingles 		pcs	7650</t>
  </si>
  <si>
    <t xml:space="preserve"> Republic of the Philippines PROVINCE OF QUIRINO Cabarroguis -oOo- BIDS AND AWARDS COMMITTEE INVITATION TO BID FOR  Procurement of Three (3) Units Mechanical Ventilator Contract No. PB-GS-2020-012 							August 9, 2020 1.	The Bids and Awards Committee (BAC</t>
  </si>
  <si>
    <t xml:space="preserve"> Furnishing of materials for the regravelling of farm to market road @ Brgy. Cagoran, Lal-lo, Cagayan</t>
  </si>
  <si>
    <t xml:space="preserve"> INVITATION TO BID 1.	The Department of Public Works and Highways, through its Bids and Awards Committee (BAC) invites Suppliers to submit bids for the following contract: Contract ID	20GM0012 Contract Name &amp; Location	SUPPLY AND DELIVERY OF IT SUPPLIES FOR</t>
  </si>
  <si>
    <t xml:space="preserve"> COMPLETION OF LIGTAS-COVID CENTER BGY. PANAYTAYAN, RAGAY, CAM. SUR 27	bags	Cement 1.5	cu.m	Washed Sand 3	cu.m	Crushed Gravel 4	pcs	10mmø RSB 128	bdft	Coco lumber form 3150	bdft	Coco Lumber 120	pcs	2 x 3 x 12' Good lumber 6	pcs	2 x 2 x 10' S4S 6	pcs	1/2 x </t>
  </si>
  <si>
    <t xml:space="preserve"> 1.Book Cover w/ bolt, 23cm x 29cm 180 pcs 2. Bookpaper, 70 gsm, A3 20 reams 3. Bookpaper, 70 gsm, A4 100 reams 4. Bookpaper, 70 gsm, Legal 35 reams 5. Epson Ink, 001 Black 60 btls 6. Epson Ink, 001 Yellow 5 btls 7. Epson Ink, 001 Magenta 5 btls 8. Epson I</t>
  </si>
  <si>
    <t xml:space="preserve"> Labor &amp; Materials	 UPGRADING OF WATER SUPPLY SYSTEM	 Location: Salvacion, Ragay *	MOBILIZATION AND BUNKHOUSE *	CLEARING, GRUBBING, LAYOUT AND STAKING *	EXCAVATION  *	BACKFILL *	GRAVEL BED *	ELECTRO-MECHANICAL SYSTEM *	ELECTRIC LOGGING *	PLUMBING *	CONCRET</t>
  </si>
  <si>
    <t xml:space="preserve"> model  :  isuzu elf  mini dump chassis :  NKR58E-7180897 ENGINE : 4BE1 TYPE OF BODY :  MINI DUMP TRUCK (double tire/brand new tire) COLOR   : RED/SILVER FUELS : DIESEL TOOLS : JACK WITH TIRE WRENCH HANDLE EXTENDED BODY : L- 10FEET, W-6 1/2 H-6 1/2 GROSS T</t>
  </si>
  <si>
    <t xml:space="preserve"> 2.	The LGU-ALEGRIA now invites bids for: Item No.	Quantity	Unit	Item Description 1	1	set	                Gemstone processing machine Specification:            1.Slabbing Machine      Motor:1/2HP single phase,220 VAC, 60Hz Diamond wheel cutter:180mm, diame</t>
  </si>
  <si>
    <t xml:space="preserve"> Republic of the Philippines Province of Leyte Municipality of Kananga BARANGAY LIM-AO BIDS AND AWARDS COMMITTEE Invitation to Bid for Survey of Barangay Owned Lot, Brgy.Lim-ao, Kananga, Leyte 1.	The Barangay Government of Lim-ao, Kananga, Leyte, through i</t>
  </si>
  <si>
    <t xml:space="preserve"> Purchase of 1 unit Suzuki FB Scrum Type (RE/CE) @ Brgy. Bical, Lal-lo, Cagayan</t>
  </si>
  <si>
    <t xml:space="preserve"> Republic of the Philippines Province of Leyte Municipality of Kananga BARANGAY LIM-AO BIDS AND AWARDS COMMITTEE Invitation to Bid for the Procurement of Communication Equipment (Mobile Phones), Brgy.Lim-ao, Kananga, Leyte 1.	The Barangay Government of Lim</t>
  </si>
  <si>
    <t xml:space="preserve"> REPAIR OF COMFORT ROOMS AND SUPPLY SYSTEM IN VARIOUS SCHOOLS AT CARMONA AN G.M.A. SPCL 1 OCCUPATIONAL SAFETY AND HEALTH PROGRAM 1.00 l.s SPCL 2 TEMPORARY FACILITY 1.00 l.s CARMONA NATIONAL HIGH SCHOOL, CARMONA I DEMOLITION 1.00 L.S II CLEARING AND WATER D</t>
  </si>
  <si>
    <t xml:space="preserve"> Republic of the Philippines Province of Negros Occidental CITY OF VICTORIAS BIDS AND AWARDS COMMITTEE Reference No: Vict-eps20-041 INVITATION TO BID  PURCHASE OF MATERIALS FOR CONSTRUCTION OF 176 UNITS ADDITIONAL TOMBS AT VICTORIAS CITY PEOPLE’S MEMORIAL </t>
  </si>
  <si>
    <t xml:space="preserve"> Republic of the Philippines Province of Negros Occidental CITY OF VICTORIAS BIDS AND AWARDS COMMITTEE Reference No: Vict-eps20-043 INVITATION TO BID  REPAIR AND IMPROVEMENT OF ONE ( 1) UNIT 2 CLASSROOM FERRER BUILDING ESTADO ELEMENTARY SCHOOL, BRGY XI, VI</t>
  </si>
  <si>
    <t xml:space="preserve"> Provision of Comprehensive Preventive Maintenance  and Repair Services of the Three (3) Elevator Units located at the DOLE Main Building Note: Please see attached Terms of Reference</t>
  </si>
  <si>
    <t xml:space="preserve"> Republic of the Philippines Province of Negros Occidental CITY OF VICTORIAS BIDS AND AWARDS COMMITTEE Reference No: Vict-eps20-040 INVITATION TO BID  PURCHASE OF MATERIALS FOR ROAD MAINTENANCE OF VARIOUS BARANGAYS AND CITY ROADS  ( Basa Road,Brgy X.,Roman</t>
  </si>
  <si>
    <t xml:space="preserve"> Republic of the Philippines Province of Negros Occidental CITY OF VICTORIAS BIDS AND AWARDS COMMITTEE Reference No: Vict-eps20-042 INVITATION TO BID  REPAIR AND IMPROVEMENT OF ONE ( 1) UNIT CLASSROOM AT DAPES, BRGY X, VICTORIAS CITY NEGROS OCCIDENTAL    T</t>
  </si>
  <si>
    <t xml:space="preserve"> Republic of the Philippines PROVINCE OF QUIRINO Cabarroguis -oOo- BIDS AND AWARDS COMMITTEE INVITATION TO BID FOR  Construction of Perimeter Fence of Barangay Compound Contract No. PB-CW-2020-041 							August 8, 2020 1.	The Bids and Awards Committee (BAC</t>
  </si>
  <si>
    <t xml:space="preserve"> Republic of the Philippines PROVINCE OF QUIRINO Cabarroguis -oOo- BIDS AND AWARDS COMMITTEE INVITATION TO BID FOR  Improvement/Concreting of FTMR Contract No. PB-CW-2020-038 							August 8, 2020 1.	The Bids and Awards Committee (BAC) of the Provincial Go</t>
  </si>
  <si>
    <t xml:space="preserve"> INVITATION TO BID 1.	The Department of Public Works and Highways, through its Bids and Awards Committee (BAC) invites Suppliers to submit bids for the following contract: 1.	Contract ID	20GM0013 Contract Name &amp; Location	SUPPLY AND DELIVERY OF HANDHELD LAS</t>
  </si>
  <si>
    <t xml:space="preserve"> Republic of the Philippines Province of Negros Occidental CITY OF VICTORIAS BIDS AND AWARDS COMMITTEE Reference No: Vict-eps20-044 INVITATION TO BID  ROAD CONSTRUCTION AND REHABILITATION OF PORTION JOVER STREET, DE LEON STREET AND MAGSAYSAY STREET EXTENSI</t>
  </si>
  <si>
    <t xml:space="preserve"> Republic of the Philippines PROVINCE OF QUIRINO Cabarroguis -oOo- BIDS AND AWARDS COMMITTEE INVITATION TO BID FOR  Improvement/Concreting of FTMR Contract No. PB-CW-2020-040 							August 8, 2020 1.	The Bids and Awards Committee (BAC) of the Provincial Go</t>
  </si>
  <si>
    <t xml:space="preserve"> Republic of the Philippines PROVINCE OF QUIRINO Cabarroguis -oOo- BIDS AND AWARDS COMMITTEE INVITATION TO BID FOR  Improvement/Concreting of FTMR Contract No. PB-CW-2020-039 							August 8, 2020 1.	The Bids and Awards Committee (BAC) of the Provincial Go</t>
  </si>
  <si>
    <t xml:space="preserve"> Republic of the Philippines PROVINCE OF QUIRINO Cabarroguis -oOo- BIDS AND AWARDS COMMITTEE INVITATION TO BID FOR  Improvement/Concreting of FTMR Contract No. PB-CW-2020-037 							August 8, 2020 1.	The Bids and Awards Committee (BAC) of the Provincial Go</t>
  </si>
  <si>
    <t xml:space="preserve"> Republic of the Philippines PROVINCE OF QUIRINO Cabarroguis -oOo- BIDS AND AWARDS COMMITTEE INVITATION TO BID FOR  Improvement/Concreting of FTMR Contract No. PB-CW-2020-036 							August 8, 2020 1.	The Bids and Awards Committee (BAC) of the Provincial Go</t>
  </si>
  <si>
    <t xml:space="preserve"> Rehabilitation/Upgrading and Drainage Improvement</t>
  </si>
  <si>
    <t xml:space="preserve"> SectionI. Invitation to Bid Republic of the Philippines Province of Misamis Occidental MUNICIPALITY OF PANAON Invitation to Bid for CONSTRUCTION OF MULTI-PURPOSE BUILDING AT MUNICIPAL DEMO FARM IN BRGY. BAGA 									August 7, 2020 1.	The Municipality of </t>
  </si>
  <si>
    <t xml:space="preserve"> Sub-grade Preparation (Reshaping and grading); PCCP; Hauling; Mobilization and demobilization; Project Billboard; Equipment Requirement: Grader with scarifier; Road Roller; Water Truck (1000 gal); transit micer (5 cu.m.); Concrete Vibrator; Batching Plant</t>
  </si>
  <si>
    <t xml:space="preserve"> Improvement and Construction of Box Culvert</t>
  </si>
  <si>
    <t xml:space="preserve"> CONCRETE WORKS MATERIALS AND LABOR</t>
  </si>
  <si>
    <t xml:space="preserve"> Portable Weigh-In-Motion (WIM) Axle Weigher Set</t>
  </si>
  <si>
    <t xml:space="preserve"> Billboard; Structure Excavation; Grouted Riprap; Structural Concrete; equipment requirement: Dumptruck; 8 w.d.</t>
  </si>
  <si>
    <t xml:space="preserve"> REFER TO ATTACHED ITB NO. 013 0F 2020</t>
  </si>
  <si>
    <t xml:space="preserve"> Procurement and Delivery of Construction Supplies and Materials for the Improvement of Baywalk Location: Baywalk Barangay 6 Poblacion, Balingasag, Misamis Oriental</t>
  </si>
  <si>
    <t xml:space="preserve"> Project	 : PROPOSED REPAIR/REHABILITATION OF DAGUPAN POST OFFICE ( PHASE I) Location: POSTAL AREA 2  –  DAGUPAN CITY, PANGASINAN SCOPE OF WORKS I.	PERMITS a.	Application for building permits and other related permits, if necessary. b.	Application for elec</t>
  </si>
  <si>
    <t xml:space="preserve"> REFER TO ATTACHED ITB NO. 014 OF 2020</t>
  </si>
  <si>
    <t xml:space="preserve"> Supply, Deliver and Install electrical and mechanical supply materials for the rehabilitation and improvement of Lapaz Pumping Station, Barangay Lapaz, Bais City x x x x x x x x x x x x x x x x x x x</t>
  </si>
  <si>
    <t xml:space="preserve"> QTY  UNIT  DESCRIPTION EXCAVATION WORKS (189 CU.M.) 1.00 lot Laborworks-Lumpsum CP OCM VAT FILLING BOULDERS (116 CU.M.) A. MATERIALS 116.00 cu.m. Boulders  200.00 bd.ft. Forms Lumber 5.00 kgs. Assorted CWN B. LABOR 1.00 lot Laborworks-Lumpsum CP OCM VAT C</t>
  </si>
  <si>
    <t xml:space="preserve"> Republic of the Philippines Province of Palawan Municipality of Busuanga Invitation to Bid for ONE STOREY MULTI-PURPOSE BUILDING (PNP COMPOUND) Bgy. Salvacion, Busuanga Palawan 1.	The Local Government of Busuanga, through the CAPITAL OUTLAY intends to app</t>
  </si>
  <si>
    <t xml:space="preserve"> August 14, 2020 - Eligibility check, issuance of bidding documents. August 14, 2020 - 9:00 AM -  Pre-bid conference at the Office of the BAC Chairman. August 26, 2020 – 9:00 AM – Submission/Opening of bids at the Office of the BAC Chairman – Mun. Hall Tag</t>
  </si>
  <si>
    <t xml:space="preserve"> SCOPE OF WORKS				 1. Demolition of damaged ceiling and floor tiles; 								 2. Installation of wardrove/closet  at accountants quarters; 								 3. Installation of kitchen counter with under cabinet at dining area/pantry and dirty kitchen; 								 4. </t>
  </si>
  <si>
    <t xml:space="preserve"> INVITATION TO BID FOR THE CONSTRUCTION OF INTELLECTUAL PROPERTY AND TECHNOLOGY BUSINESS MANAGEMENT FACILITY PB-2020-184-021 1. The Pampanga State Agricultural University, through Fund 184, intends to apply the sum of P3,790,000.00 being the Approved Budge</t>
  </si>
  <si>
    <t xml:space="preserve"> Republic of the Philippines Province of Eastern Samar Municipality of Balangkayan INVITATION TO BID FOR: PROVISION OF NEW DRAINAGE SYSTEM Brgy. 02 &amp; 04, Balangkayan, E. Samar August 8 - 14, 2020 The Municipal Local Government Unit of Balangkayan, has rece</t>
  </si>
  <si>
    <t xml:space="preserve"> Republic of the Philippines Province of Negros Occidental CITY OF VICTORIAS BIDS AND AWARDS COMMITTEE Reference No: Vict-eps20-039 INVITATION TO BID  PURCHASE OF RESCUE VEHICLE FOR THE USE OF RESCUE PERSONNEL ( RE – BID ) The City of Victorias, through th</t>
  </si>
  <si>
    <t xml:space="preserve"> Republic of the Philippines                                                          Province of Aklan BARANGAY GUADALUPE MUNICIPALITY OF LIBACAO                                                           * * * The Barangay Council of Guadalupe, through it</t>
  </si>
  <si>
    <t xml:space="preserve"> Please see invitation to bid.</t>
  </si>
  <si>
    <t xml:space="preserve"> 33 units Printer High yield ink bottle easy ink refilling print, copy/scan, fax with ADF with ethernet, rear paper input compact integrated tank LCD Mobile printing from smartphones and more borderless printing up to 4R Maximum copy size: Legal/Long</t>
  </si>
  <si>
    <t xml:space="preserve"> -Digital Copy Printer -Fully Automatic One drum Stencil System -60-90 Copies per minute ( 2 steps) -Resolution: 300x300 dpi -Original size: minimum 90 x 140mm/ maximun 275 x 395 mm -Image modes: Letter mode, photo mode, photo/letter mode -Print paper weig</t>
  </si>
  <si>
    <t xml:space="preserve"> see attached purchase request</t>
  </si>
  <si>
    <t xml:space="preserve"> Invitation to Bid for the Contract Package for the Construction of Lubnac Diversion Dam, Barangay Lubnac, Tagudin, Ilocos Sur 1.	The Local Government Unit of Tagudin, Ilocos Sur, thru its Bids and Awards Committee intends to apply the sum of Five Million </t>
  </si>
  <si>
    <t xml:space="preserve"> The Municipal Government of Bayog, Zamboanga del Sur thru its Bids and Awards Committee (BAC) invites all interested bidders for the “LOCAL ACCESS ROAD: UPGRADING (GRAVEL TO PAVED) OF BARANGAY LAMARE ROAD (Sta 0+960 – Sta 2+020)” Bayog, Zamboanga del Sur.</t>
  </si>
  <si>
    <t xml:space="preserve"> Republic of the Philippines Province of Nueva Vizcaya Municipality of Solano -o0o- INVITATION TO BID FOR Construction of School Building at Aggub Elementary School Aggub, Solano, Nueva Vizcaya   (SOLANO 095-2020) 1.	The Local Government Unit of Solano, Nu</t>
  </si>
  <si>
    <t xml:space="preserve"> Rehabilitation of Road including Drainage</t>
  </si>
  <si>
    <t xml:space="preserve"> 3 Units Digital Duplicator (RISOGRAPH MACHINE) 1.	Bids received in excess of the ABC shall be automatically rejected at bid opening. 2.	Bidders should have completed a contract similar to the Project. The description of an eligible bidder is contained in </t>
  </si>
  <si>
    <t xml:space="preserve"> Republic of the Philippines PROVINCE OF AGUSAN DEL SUR Municipality of Sta. Josefa Invitation to Bid for   SJADS GOODS 20-13: PROCUREMENT OF IT EQUIPMENT (SEF) 					   August 08, 2020 1.	The Municipality of Sta. Josefa through the following; a.	CY 2020 SE</t>
  </si>
  <si>
    <t xml:space="preserve"> Republic of the Philippines DEPARTMENT OF EDUCATION Region III – Central Luzon SCHOOLS DIVISION OF CITY OF MEYCAUAYAN City of Meycauayan Invitation to Bid for  REPRODUCTION OF GRADE 4 MODULES FOR ALTERNATIVE DELIVERY MODE Project No. 2020-001-G 1.	The Dep</t>
  </si>
  <si>
    <t xml:space="preserve"> SCOPE OF WORKS					 1. Mobilization;						 2. Fabrication and installation of steel support						 3. Installation of construction net						 4. Construction of roof truss and roof cover						 5. Demolition of concrete water tank						 6. Ceiling works					</t>
  </si>
  <si>
    <t xml:space="preserve"> INVITATION TO BID FOR SUBSCRIPTION TO A MULTI-TELCO BULK SMS SERVICE FOR DSWD ENTERPRISE —  ITB NO. GOP/20-DSWD-045-A — (PR NO. 2019111806) 1.	The Department of Social Welfare and Development (DSWD), through the DSWD Funds, intends to apply the sum of One</t>
  </si>
  <si>
    <t xml:space="preserve"> Supply and delivery of 6 units risograph machine  for various public schools of Capas, Tarlac.</t>
  </si>
  <si>
    <t xml:space="preserve"> 2 Units Risograph Machine	 Specifications:				 Master Making/ Printing Methods: High-Speed digital master-making/ Fully automatic printing					 Original Type: Book or Sheet					 Master Making Time: Quick Master Making mode	Approx. 17 seconds (Letter, shor</t>
  </si>
  <si>
    <t xml:space="preserve"> Invitation to Bid for the Procurement of Two (2) Units Dump Truck for the Use of the Municipality, Tagudin, Ilocos Sur 1.	The Local Government Unit of Tagudin, Ilocos Sur, thru its Bids and Awards Committee intends to apply the sum of Two Million Four Hun</t>
  </si>
  <si>
    <t xml:space="preserve"> Rescue Vehicle (Ambulance type) Specs: YD25 DDTi In-line 4 cylinder DOHC 16 valves, Variable Turbocharger (VGS) 5- Speed manual (Dash-Mounted) Common Rail Direct Injection 2,488cc engine displacement Max Power- 129Hp/ 3200 rpm Max Torque – 356Nm/ 1,400 ᷈ </t>
  </si>
  <si>
    <t xml:space="preserve"> ITEM NO.	UNIT		QTY		DESCRIPTION		 							 					COMMON OFFICE SUPPLIES		 1	 can 		10		Air Freshener, California scent, car shaldan		 2	 piece 		120		Ballpen, panda, black, 		 3	 piece 		24		Ballpen,panda , blue, 		 4	 piece 		66		Ballpen, pilot, black, ori</t>
  </si>
  <si>
    <t xml:space="preserve"> Description	UNIT	QUANTITY Construction survey and staking	km	0.60 Project Billboard/Signboard	each	1.00 Occupational Safety and Health Program	lot	1.00 Traffic management 	month	4.00 Mobilization/Demobilization	lot	1.00 Surplus Common Excavation 	cu.m.	3,</t>
  </si>
  <si>
    <t xml:space="preserve"> LOCAL GOVERNMENT UNIT - MUNICIPALITY OF BACOLOR INVITATION TO APPLY FOR ELIGIBILITY AND TO BID The Local Government Unit - Municipality of Bacolor, Bacolor, Pampanga, through the Bids and Award Committee (BAC), invites contractors to apply for eligibility</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</si>
  <si>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</si>
  <si>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publication of Municipal Revenue Code in two consecutive weeks and Municipal Zoning Ordinance (once) in the Newspaper (see attached)</t>
  </si>
  <si>
    <t xml:space="preserve"> Republic of the Philippines Province of Northern Samar MUNICIPALITY OF PAMBUJAN BIDS AND AWARDS COMMITTEE INVITATION TO BID  FOR THE  SUPPLY AND DELIVERY OF OFFICE EQUIPMENT FOR MPDC The Local Government Unit of Pambujan, Province of Northern Samar throug</t>
  </si>
  <si>
    <t xml:space="preserve"> Invitation to Bid for   Supply of Labor &amp; Materials  For the Proposed Site Development of the Evacuation Center located  at Brgy. Carsuche Taal Batangas   cb-infra-2020-10     1.The Municipal Government of Taal, through the General Fund intends to apply t</t>
  </si>
  <si>
    <t xml:space="preserve"> ITEM NO.	UNIT		QTY		DESCRIPTION		 							 					COMMON OFFICE SUPPLIES		 1	 can 		9		Air Freshener, California scent, car shaldan		 2	 box 		2		Acetate film, clear, legal size, 100pcs/box		 3	 piece 		130		Ballpen, panda, black, 		 4	 piece 		15		Ballpen,p</t>
  </si>
  <si>
    <t xml:space="preserve"> see attached program of works</t>
  </si>
  <si>
    <t xml:space="preserve"> Invitation to Bid for   Supply of Labor &amp; Materials  For the Construction of Multi-Purpose Center Located  Buli Taal Batangas cb-infra-2020-08    1.The Municipal Government of Taal, through the General Fund intends to apply the sum of  Three Million Four </t>
  </si>
  <si>
    <t xml:space="preserve"> Invitation to Bid for   Supply of Labor &amp; Materials  For the Construction of Level II Potable Water System  Brgy. Carsuche Taal Batangas cb-infra-2020-09    1.The Municipal Government of Taal, through the Trust Fund intends to apply the sum of  Two Millio</t>
  </si>
  <si>
    <t xml:space="preserve"> Internet Connection for the LGU of San Lorenzo Ruiz</t>
  </si>
  <si>
    <t xml:space="preserve"> PHILIPPINE BIDDING DOCUMENTS (As Harmonized with Development Partners) Procurement of  FURNITURE AND FIXTURES FOR COA PSAO- SORSOGON COMMISSION ON AUDIT (COA), REGIONAL OFFICE NO. V Fifth Edition  August 2016   TABLE OF CONTENTS SECTION I. INVITATION TO B</t>
  </si>
  <si>
    <t xml:space="preserve"> Benguet First District Engineering Office La Trinidad, Benguet August 7, 2020    INVITATION TO BID The Benguet First District Engineering Office, through its Bids and Awards Committee (BAC), invites contractors to submit bids for the following Contract: C</t>
  </si>
  <si>
    <t xml:space="preserve"> The Local Government Unit of Barugo, through the General Fund – Supplemental Budget No. 4  intends to apply the sum of Five Hundred Thirty Thousand Pesos only (Php530,000.00) being the Approved Budget for the Contract (ABC) to payments under the contract </t>
  </si>
  <si>
    <t xml:space="preserve"> August 14, 2020 - Eligibility check, issuance of bidding documents. August 14, 2020 - 11:00 AM -  Pre-bid conference at the Office of the BAC Chairman. August 26, 2020 – 11:00 AM – Submission/Opening of bids at the Office of the BAC Chairman – Mun. Hall T</t>
  </si>
  <si>
    <t xml:space="preserve"> 420 CU M LIME SOIL ( ON SITE DELIVERY) 100 LITERS DIESEL FULE</t>
  </si>
  <si>
    <t xml:space="preserve"> see attached program of work</t>
  </si>
  <si>
    <t xml:space="preserve"> QUADRANT, STRAIN CLAMP</t>
  </si>
  <si>
    <t xml:space="preserve"> Republic of the Philippines Province of Davao Oriental City of Mati BIDS &amp; AWARDS COMMITTEE INVITATION TO BID LOT Procurement of GROCERY GOODS in Support to Individuals Under the Enhanced Community Quarantine due to COVID-19 per Presidential Proclamation </t>
  </si>
  <si>
    <t xml:space="preserve"> Republic of the Philippines Cordillera Administrative Region Provincial Government of Abra Bangued Invitation to Bid for the ROAD OPENING AND IMPROVEMENT OF MALABBAGA FARM TO MARKET ROAD (PHASE 1) 1.	The PROVINCIAL GOVERNMENT OF ABRA, through the Governme</t>
  </si>
  <si>
    <t xml:space="preserve"> PLS. SEE ATTACHED PURCHASE REQUISITION, TERMS OF REFERENCE, &amp; BID DOCS FOR DETAILS.</t>
  </si>
  <si>
    <t xml:space="preserve"> Invitation to Bid to all Supplier/Contractr duly accredited by the City Cpuncil of Manila to supply and deliver the following items provided hereunder, to wit; Item	Qty.	 	Unit	 	 	 	DESCRIPTION 1	 	10	 	Rolls	Stranded Electrical Wire #12	  2	 	13	 	Units</t>
  </si>
  <si>
    <t xml:space="preserve"> Standard Form No. SF INFR-05		                Project Reference No.: CATCAM-2020-25 Revised on July 28,2004                   	                 Name of Project: POBLACION-MADLING-QUIDAG-UM  ACCESS                                                           </t>
  </si>
  <si>
    <t xml:space="preserve"> Republic of the Philippines                                                              Province of Isabela                                                  MUNICIPALITY OF DELFIN ALBANO                               delfinalbano_gc@yahoo.com/gcdelfinalb</t>
  </si>
  <si>
    <t xml:space="preserve"> LOCAL GOVERNMENT UNIT OF LALA	 Project Reference Number:  Name of the Project: Purchase of Office Supplies and Equipment for Lala Districts Office Location of the Project:  LALA, Lanao del Norte  									                                                  </t>
  </si>
  <si>
    <t xml:space="preserve"> Republic of the Philippines DEPARTMENT OF PUBLIC WORKS AND HIGHWAYS Region VII            South Road Properties (SRP), Cebu City                                        Contract ID	 : 20H00082 Contract Name   : Organizational Outcome 1: Ensure Safe and Rel</t>
  </si>
  <si>
    <t xml:space="preserve"> Republic of the Philippines DEPARTMENT OF PUBLIC WORKS AND HIGHWAYS OFFICE OF THE REGIONAL DIRECTOR                                                                       Region VII                                                                           </t>
  </si>
  <si>
    <t xml:space="preserve"> PLS. SEE ATTACHED PURCHASE REQUISITION, TERMS OF REFERENCE &amp; BID DOCS FOR DETAILS.</t>
  </si>
  <si>
    <t xml:space="preserve"> 24 PORTS, 10/100/1000 MBPS</t>
  </si>
  <si>
    <t xml:space="preserve"> RUST CONVERTER AND GREASE</t>
  </si>
  <si>
    <t xml:space="preserve"> August 14, 2020 - Eligibility check, issuance of bidding documents. August 26, 2020 – 4:00 PM – Submission/Opening of bids at the Office of the BAC Chairman – Mun. Hall Tagkawayan, Quezon. Complete bidding documents may be purchased by the interested bidd</t>
  </si>
  <si>
    <t xml:space="preserve"> Improvement of Regional Comptrollership Division Office</t>
  </si>
  <si>
    <t xml:space="preserve"> Purchase and delivery of construction supplies and materials for the Proposed Single Barrel Box Culvert in Brgy. Alipaciawan, to wit: 318 bags Cement 16 cu.m. Sand 28 cu.m. Gravel 18 cu.m. Boulders 48 lgths. 16mm. Ø Deformed Steel Bars 145 lgths. 12mm. Ø </t>
  </si>
  <si>
    <t xml:space="preserve"> SEE ATTACHED PURCHASE REQUEST</t>
  </si>
  <si>
    <t xml:space="preserve"> Republic of the Philippines MUNICIPALITY OF PANIQUI Province of Tarlac 	Solicitation No.: I-2020-023 Name of the Project      : Construction of Drainage with Shoulder (Phase 1) Location of the Project : Brgy. Nancamarinan, Paniqui, Tarlac INVITATION TO AP</t>
  </si>
  <si>
    <t xml:space="preserve"> PARTICULARS	DATE Pre-bid Conference @ BAC Conference Room, GSO, 1st floor, New Capitol Blg, Pigcarangan, Tubod,LDN on August 20,  2020 @ 10:00 AM Deadline for Submission of Eligibility requirements and bidding documents for  bid opening (all bids must be </t>
  </si>
  <si>
    <t xml:space="preserve"> SUPPLY AND DELIVERY OF FAST MOVING SPARE PARTS FOR ARACELI DPP.</t>
  </si>
  <si>
    <t xml:space="preserve"> I.    CONCRETE PAVEMENT  =       36.90 cu.m. II.   RCPC    =    6 PCS.</t>
  </si>
  <si>
    <t xml:space="preserve"> INVITATION TO BID  SUPPLY AND INSTALLATION OF VENTILATION SYSTEM FOR THE PROPOSED MOLECULAR BIOLOGY LABORATORY IB No. 2020 - 08 1.	The Dr. PJGMRMC, through Bids and Awards Committee II, intends to apply the sum of FIVE MILLION EIGHT HUNDRED THOUSAND THREE</t>
  </si>
  <si>
    <t xml:space="preserve"> INVITATION TO BID 	The Bids and Awards Committee of Municipality of San Gabriel, La Union intends to apply the sum of THREE HUNDRED SEVENTY FOUR THOUSAND FORTY FOUR PESOS &amp; 35/100 (PHP  374,044.35.00) being the Approved budget for the Contract (ABC) to pa</t>
  </si>
  <si>
    <t xml:space="preserve"> SUPPLY AND DELIVERY OF VARIOUS MATERIALS FOR OPERATIONS</t>
  </si>
  <si>
    <t xml:space="preserve"> INVITATION TO BID 	The Bids and Awards Committee of Municipality of San Gabriel, La Union intends to apply the sum of TWO HUNDRED NINE THOUSAND SIX HUNDRED THIRTY FOUR PESOS (PHP  209,634.00) being the Approved budget for the Contract (ABC) to payments un</t>
  </si>
  <si>
    <t xml:space="preserve"> Please download the attached bidding documents for more info about the project. For further information, please refer to: Mrs. Maria Flora T. Pandes or Mrs. Herbie B. De Lemios Department of Education-Schools Division Office Division of Camarines Norte F.</t>
  </si>
  <si>
    <t xml:space="preserve"> SUPPLY AND DELIVERY OF MATERIALS AND SUPPLIES FOR ELECTRICAL MAINTENANCE USE.</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</si>
  <si>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</si>
  <si>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Purchase of 25 units of Solar Panel with Complete Accessories Specs per Unit: Solar Panel 400w Solar Battery 200 amps 10  m Solar Panel Card 5m x 5m Color Coding with Male &amp; Female Adapter 2 pcs battery Clip 14 pcs 7w LED bulb 12v 14 pcs Bulb cover Shield</t>
  </si>
  <si>
    <t xml:space="preserve"> Province of Surigao del Norte Municipality of Alegria Barangay San Juan INVITATION TO BID SUPPLY WITH DELIVERY OF CONSTRUCTION MATERIALS 1.	The Barangay San Juan Local Government Unit, through the Government of the Philippines, General Appropriation Act 2</t>
  </si>
  <si>
    <t xml:space="preserve"> INVITATION TO BID A.	The DPWH, Negros Oriental 1st District Engineering Office, Tinaogan, Bindoy, Negros Oriental now invites contractors to apply to bid for the contract(s); Contract ID # 		20HJ0122 Contract Name 	Construction of 1 Unit One-Storey Two Cl</t>
  </si>
  <si>
    <t xml:space="preserve"> INVITATION TO BID A.	The DPWH, Negros Oriental 1st District Engineering Office, Tinaogan, Bindoy, Negros Oriental now invites contractors to apply to bid for the contract(s); Contract ID # 		20HJ0123 Contract Name 	Construction of 1 Unit One-Storey Two Cl</t>
  </si>
  <si>
    <t xml:space="preserve"> SUPPLY AND DELIVERY OF VARIOUS MATERIALS FOR OPERATION AND MAINTENANCE USE.</t>
  </si>
  <si>
    <t xml:space="preserve"> Contract ID:       20HL0115 Contract Name:  Construction of  2 STY 8 CL  School Building @ Olandao Elementary                          School  Contract Location:  Basay, Negros Oriental  Scope of Works:  Construction of  2 STY 8 CL  School Building Source</t>
  </si>
  <si>
    <t xml:space="preserve"> INVITATION TO BID  SUPPLY AND DELIVERY OF ONE (1) LOT SPARE PARTS FOR THE MAINTENANCE AND REPAIR OF PHILIPPINE MARINE CORPS (PMC) FLOATING ASSETS FOR THE PHILIPPINE NAVY (PN)  Bid Reference No. MPG-B1-2020-373 (2nd  Rebid)  (Previous Bid Ref. Nos. MPG-B1-</t>
  </si>
  <si>
    <t xml:space="preserve"> SUPPLY AND DELIVERY OF VARIOUS MATERIALS FOR OPERATION USE.</t>
  </si>
  <si>
    <t xml:space="preserve"> Bids received in excess of the ABC for each project shall be automatically rejected at bid opening. Bidders should have completed a similar project within five (5) years from the date of bidding. Bidding will be conducted through open competitive bidding </t>
  </si>
  <si>
    <t xml:space="preserve"> INVITATION TO APPLY FOR ELIGIBILITY AND TO BID The Municipality of San Nicolas, Pangasinan through its Bids and Awards Committee (BAC), invites contractors registered with and classified by the Philippine Contractors Accreditation Board (PCAB) to apply fo</t>
  </si>
  <si>
    <t xml:space="preserve"> PURCHASE OF SPARE PARTS</t>
  </si>
  <si>
    <t xml:space="preserve"> INVITATION TO BID  Supply, Delivery and Testing of  One (1) unit Brand New Multi-Purpose Van IB No. 2020 - 09 1.	The Dr. PJGMRMC, through Bids and Awards Committee II, intends to apply for the procurement of the items indicated below the total amount of O</t>
  </si>
  <si>
    <t xml:space="preserve"> SUPPLY AND DELIVERY OF MATERIALS AND SUPLIES FOR OPERATION AND MAINTENANCE US</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</si>
  <si>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</si>
  <si>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INVITATION TO BID A.	The DPWH, Negros Oriental 1st District Engineering Office, Tinaogan, Bindoy, Negros Oriental now invites contractors to apply to bid for the contract(s); Contract ID # 		20HJ0121 Contract Name 	Construction of One Unit Two Storey Eigh</t>
  </si>
  <si>
    <t xml:space="preserve"> Road Concreting 					 Cost of Bidding Documents: Php 25,000.00					 Source of Funds: GAA FY 2020 (D.A. Fund) The significant times and deadlines of procurement activities are shown below: 1. Issuance of Bidding Documents	Deadline: August 10 – 26, 2020, 8:</t>
  </si>
  <si>
    <t xml:space="preserve"> SUPPLY AND DELIVERY OF FAST MOVING SPAREPARTS FOR AGUTAYA DPP.</t>
  </si>
  <si>
    <t xml:space="preserve"> SUPPLY AND DELIVERY OF MATERIALS AND SUPPLIES FOR OPERATIONS OF CULION DPP.</t>
  </si>
  <si>
    <t xml:space="preserve"> Contract ID:       20HL0114 Contract Name:  Construction of  2 STY 4 CL  School Building @ Palayuhan High                          School  Contract Location:  Siaton, Negros Oriental  Scope of Works:  Construction of  2 STY 4 CL  School Building Source of</t>
  </si>
  <si>
    <t xml:space="preserve"> INVITATION TO APPLY FOR ELIGIBILITY AND TO BID (IAEB No. 04 -2020) Republic of the Philippines Barangay Government of Sisi Barangay Sisi Guinayangan, Quezon Supply and Delivery of Construction Materials 1.	The BARANGAY GOVERNMENT OF SISI GUINAYANGAN, QUEZ</t>
  </si>
  <si>
    <t xml:space="preserve"> INVITATION TO BID  The DPWH – Negros Oriental 1st District Engineering Office, Tinaogan, Bindoy, Negros Oriental through its Bids and Awards Committee (BAC) for Goods, invites suppliers to submit bids for the contract; Contract Name	: Fuel for use in the </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</si>
  <si>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</si>
  <si>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3,433  Ream    Bond Paper, A4, Substance #20	 ABC: Php858,250.00</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</si>
  <si>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</si>
  <si>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Republic of the Philippines Department of Education Region IV-A CALABARZON Division of Quezon Perez National High School Bids &amp; Awards Committee INVITATION TO BID FOR  Perez National High School - Self Learning Modules 1.	The Perez National High School of</t>
  </si>
  <si>
    <t xml:space="preserve"> Supply and Delivery of 42 units of Multifunctional Inkjet Colored Printer with Continuous Ink Supply System max copy resolution: 300 x 300 dpi</t>
  </si>
  <si>
    <t xml:space="preserve"> INVITATION TO BID ON THE SUPPLY, DELIVERY AND INSTALLATION OF  1 LOT INTERNET SUBSCRIPTION OF BUKIDNON STATE UNIVERSITY (RE-BIDDING) 1.	The Bukidnon State University through the Bids and Awards Committee &amp; Budget Approved by the Board of Regents 2020 [Fun</t>
  </si>
  <si>
    <t xml:space="preserve"> Procurement of the following for Catacte Pumping Station (1) Supply, Delivery, Installation, Testing and Commissioning of Stainless Steel  Submersible Pump and Motor 20 lps x 260 ft. TDH, driven by 30 HP Submersible motor 460 V, 60 Hz, 3 phase, including </t>
  </si>
  <si>
    <t xml:space="preserve"> INVITATION TO BID A.	The DPWH, Negros Oriental 1st District Engineering Office, Tinaogan, Bindoy, Negros Oriental now invites contractors to apply to bid for the contract(s); Contract ID # 		20HJ0124 Contract Name 	Construction of One Unit Two Storey Six </t>
  </si>
  <si>
    <t xml:space="preserve"> INVITATION TO BID A.	The DPWH, Negros Oriental 1st District Engineering Office, Tinaogan, Bindoy, Negros Oriental now invites contractors to apply to bid for the contract(s); Contract ID # 		20HJ0126 Contract Name 	Repair/Maintenance of Road Slope Protect</t>
  </si>
  <si>
    <t xml:space="preserve"> INVITATION TO BID 	The Bids and Awards Committee of Municipality of San Gabriel, La Union intends to apply the sum of TWO HUNDRED NINETEEN THOUSAND NINE HUNDRED NINETY PESOS (PHP  219,990) being the Approved budget for the Contract (ABC) to payments under</t>
  </si>
  <si>
    <t xml:space="preserve"> Republic of the Philippines PROVINCE OF AGUSAN DEL SUR Municipality of Sta. Josefa Invitation to Bid for   SJADS INFRA 20-10: CONCRETING/REHABILITATION OF MUNICIPAL STREETS 				                         August 08, 2020 1.	The Municipality of Sta. Josefa th</t>
  </si>
  <si>
    <t xml:space="preserve"> INVITATION TO BID FOR  Procurement of Medical, Dental and Laboratory Supplies-Rebid 1.	The Ospital ng Palawan, through its General Fund for CY 2020 intends to apply the sum of Two Million Six Hundred Thirty-Nine Thousand Nine Hundred Thirty-Eight Pesos an</t>
  </si>
  <si>
    <t xml:space="preserve"> INVITATION TO BID    SUPPLY AND DELIVERY OF BRAND NEW 46,026 PAIRS ARMY COMBAT BOOTS, SUEDE, FIELD USE AND 24,400 PAIRS ARMY COMBAT BOOTS, SUEDE URBAN USE FOR THE PHILIPPINE ARMY (PA)  Bid Reference No. MPG-BI-2020-344     1. The Philippine International </t>
  </si>
  <si>
    <t xml:space="preserve"> National Power Corporation INVITATION TO BID PUBLIC BIDDING 2020-0275 1.	The NATIONAL POWER CORPORATION (NPC), through       its        approved       Corporate Budget of CY 2020 intends to apply   the   sum   of (Please see schedule below) being the Appr</t>
  </si>
  <si>
    <t xml:space="preserve"> Supply and Delivery of 8 units Heavy-duty 3 in 1 Copier with Auto-Reverse Document Feeder, Duplex and Metal Stand Speed 20 CPM, Color Scanning,resolution 600 x 600 dpi</t>
  </si>
  <si>
    <t xml:space="preserve"> PURCHASE OF OFFICE SUPPLIES FOR THE REPRODUCTION OF LEARNING MATERIALS</t>
  </si>
  <si>
    <t xml:space="preserve"> Republic of the Philippines Province of Sarangani Municipality of Malapatan Invitation to Bid  	 2020-B1-07-026 PROCUREMENT OF MEDICINES AND MEDICAL SUPPLIES FOR FAMILY PLANNING PROGRAM 1. The Local Government Unit of Malapatan, through the GENERAL FUND 2</t>
  </si>
  <si>
    <t xml:space="preserve"> Republic of the Philippines Province of Sarangani Municipality of Malapatan INVITATION TO BID  	 2020-B1-02       PROCUREMENT OF MATERIALS FOR THE MAINTENANCE AND DEVELOPMENT OF HRIS SYSTEM, MALAPATAN, SARANGANI PROVINCE 1.	The Local Government Unit of Ma</t>
  </si>
  <si>
    <t xml:space="preserve"> INVITATION TO BID FOR THE  SUPPLY AND DELIVERY OF VARIOUS SIZES HDPE PIPE 1.	The Metropolitan Tuguegarao Water District through the Corporate Budget for the Year 2020  intends to apply the sum of One Million Five Hundred Thousand Pesos (P 1,500,000.00) be</t>
  </si>
  <si>
    <t xml:space="preserve"> Republic of the Philippines Province of Sarangani Municipality of Malapatan Invitation to Bid  	 2020-B1-07-027  PROCUREMENT OF MEDICINES AND MEDICAL SUPPLIES FOR PROVISION OF BASIC HEALTH SERVICES, MHO MALAPATAN, SARANGANI PROVINCE 1. The Local Governmen</t>
  </si>
  <si>
    <t xml:space="preserve"> Republic of the Philippines Province of Agusan del Norte Municipality of Remedios T. Romualdez BARANGAY TAGBONGABONG Invitation to Bid PROCUREMENT OF WATER SUPPLY ACCESSORIES AND MATERIALS FOR THE IMPROVEMENT OF WATER SYSTEM OF TAGBONGABONG (2nd Posting) </t>
  </si>
  <si>
    <t xml:space="preserve"> Republic of the Philippines Province of Sarangani Municipality of Malapatan Invitation to Bid  	 2020-B1-06-022 PROCUREMENT OF GOODS FOR SENIOR CITIZEN AND PERSON WITH DISABILITY, MALAPATAN, SARANGANI PROVINCE 1. The Local Government Unit of Malapatan, th</t>
  </si>
  <si>
    <t xml:space="preserve"> Republic of the Philippines Province of Sarangani Municipality of Malapatan INVITATION TO BID  	 2020-B2-07-025 IMPROVEMENT OF MUNICIPAL PUBLIC MARKET, PUROK 8B,  BARANGAY POBLACION, MALAPATAN, SARANGANI PROVINCE  1.	The Local Government Unit of Malapatan</t>
  </si>
  <si>
    <t xml:space="preserve"> INVITATION TO BID FOR  Procurement of Supplies (Bond Paper) for the Printing of Self  Learning Modules –  Contract No. G-002-08- 1.	The Department of Education, Division of Island Garden City of Samal through the GAA 2020  intends to apply the sum of Two </t>
  </si>
  <si>
    <t xml:space="preserve"> Republic of the Philippines CITY GOVERNMENT OF ANTIPOLO Antipolo City INVITATION TO BID For the Supply &amp; Delivery of Medical, Laboratory, Dental, Radiologic &amp; Opthalmology Supplies The City Government of Antipolo, through the General Fund intends to apply</t>
  </si>
  <si>
    <t xml:space="preserve"> August 14, 2020 - Eligibility check, issuance of bidding documents. August 26, 2020 – 2:00 PM – Submission/Opening of bids at the Office of the BAC Chairman – Mun. Hall Tagkawayan, Quezon. Complete bidding documents may be purchased by the interested bidd</t>
  </si>
  <si>
    <t xml:space="preserve"> SUGAR-BROWN POWDERED MILK EGG SALT MONGO RICE 60 KLS NUTIBLEND MARGARINE</t>
  </si>
  <si>
    <t xml:space="preserve"> 1.	The DepED-Division of Lapu-Lapu City, through the DepED Trust Fund intends to apply the sum of Twenty-Three Million One Hundred Forty-Two Thousand Four Hundred Fifty-Two Pesos and Forty Centavos Only (P 23,142,452.40) being the Approved Budget for the </t>
  </si>
  <si>
    <t xml:space="preserve"> 1. GARBAGE COMPACTOR 15CBM...........................................................................3 units				 Specifications:				 Drive : 6 x 4				 Gross Vehicle Weight (kg) : 24500				 Curb Weight (kg) : 1500				 Load Weight (kg) : 9500				 Max Speed </t>
  </si>
  <si>
    <t xml:space="preserve"> Republic of the Philippines Province of Sarangani Municipality of Malapatan Invitation to Bid  	 2020-B2-24 CONCRETING OF JUNCTION NATIONAL HIGHWAY -MASBONG 1 ROAD ( PHASE III ) BRGY. POBLACION , MALAPATAN SARANGANI PROVINCE  1. The Local Government Unit </t>
  </si>
  <si>
    <t xml:space="preserve"> INVITATION TO BID IB NO. CW 2020 – 082-B Construction of Bridge at Sta. Maria, Mansalay, Oriental Mindoro 1.  The Provincial Government of Oriental Mindoro (PGOM) through the 20% Development Fund CA 2019 intends to apply the sum of One Million Nine Hundre</t>
  </si>
  <si>
    <t xml:space="preserve"> 2. Procurement ID/Contract ID:	20GD0113 Contract Name:	BASIC EDUCATIONAL FACILITIES FUND (BEFF) CONSTRUCTION OF ELEMENTARY AND SECONDARY CLASSROOMS – CONSTRUCTION OF 2STY4CL, TANZA ES, ROXAS CITY, CAPIZ Contract Location:	Roxas City, Capiz Brief Descripti</t>
  </si>
  <si>
    <t xml:space="preserve"> DIESEL GASOLINE OIL</t>
  </si>
  <si>
    <t xml:space="preserve"> ANTIBACTERIALS 1. Amikacin 125mg/mL, 2mL ampule, box of 10's ……………………………… 60 bxs. 2. Ampicillin+Sulbactam 1g/500mg vial ………………………………………….. 500 pcs. 3. Ampicillin+Sulbactam 500mg/250mg vial …………………………………….. 500 pcs. 4. Ampicillin Na 1g injection Vial, 10's</t>
  </si>
  <si>
    <t xml:space="preserve"> MINI ELECTRIC VEHICLES 1.	SOLAR-ELECTRIC COMBI POWERED GOLF-CART TYPE VEHICLE……………………………………………….6 UNITS MOTOR: 1000W CONTROLLER: 60V18TUBE CAR SIZE: 2900*1060*2100mm SIZE OF THE CAR: 1370*1060*2100mm REAR SEAT SIZE: 360*930mm DRIVER SEAT SIZE: 760*330mm H</t>
  </si>
  <si>
    <t xml:space="preserve"> INVITATION TO BID IB NO. CW 2020 –  109-A Construction of Day Care Center at Sampaguita, Victoria, Or. Mindoro 1.  The Provincial Government of Oriental Mindoro (PGOM) through the 20% Development Fund – SB #1 intends to apply the sum of One Million Three </t>
  </si>
  <si>
    <t xml:space="preserve"> INVITATION TO BID IB NO. CW 2020 –  111-A Construction of Senior Citizen’s Building at Calocmoy, Socorro, Oriental Mindoro 1.  The Provincial Government of Oriental Mindoro (PGOM) through the 20% Development Fund – SB #1 intends to apply the sum of One Mi</t>
  </si>
  <si>
    <t xml:space="preserve"> INVITATION TO BID IB NO. CW 2020 –  113-A Construction of Montemayor-Herrera Road, Naujan, Oriental Mindoro 1.  The Provincial Government of Oriental Mindoro (PGOM) through the 20% Development Fund – SB #1 intends to apply the sum of Four Million Nine Hun</t>
  </si>
  <si>
    <t xml:space="preserve"> INVITATION TO BID IB NO. CW 2020 –  110-A Upgrading of Naujan Community Hospital Electrical System, Naujan, Oriental Mindoro 1.  The Provincial Government of Oriental Mindoro (PGOM) through the General Fund – SB #1 intends to apply the sum of Two Million </t>
  </si>
  <si>
    <t xml:space="preserve"> Republic of the Philippines PROVINCE OF SOUTHERN LEYTE Maasin City Invitation to Bid for the Cluster: Swine Enterprises Development: Four (4) Units Hogstel Project (Pacific Area) Barangay Somoje, San Juan, Southern Leyte Barangay Look Anahawan, Southern L</t>
  </si>
  <si>
    <t xml:space="preserve"> Item 105- Sub-grade preparation: Qty.= 116.0 sq.m. 29 linear meters, A. Equipment Rental: one (01)  unit motorized grader, one (01) unit vibratory road roller, B. Labor: foreman, skilled laborer and laborer. Item 200 -aggregate Sub-base Course: A. Materia</t>
  </si>
  <si>
    <t xml:space="preserve"> Republic of the Philippines PROVINCE OF SOUTHERN LEYTE Maasin City Invitation to Bid for the Cluster: Swine Enterprises Development: Three (3) Units Hogstel Project (Sogod Bay Area) Barangay Bugasong, Libagon, Southern Leyte Barangay Buenavista, Bontoc, S</t>
  </si>
  <si>
    <t xml:space="preserve"> INVITATION TO BID IB NO. CW 2020 –  108-A Repair/Rehabilitation of Fence at Bansud Provincial Jail at Pag-asa, Bansud, Oriental Mindoro 1.  The Provincial Government of Oriental Mindoro (PGOM) through the General Fund – SB #1 intends to apply the sum of O</t>
  </si>
  <si>
    <t xml:space="preserve"> Republic of the Philippines PROVINCE OF SOUTHERN LEYTE Maasin City Invitation to Bid for the Cluster: Swine Enterprises Development: Three (3) Units Hogstel Project (Maasin City, Malitbog, Padre Burgos) Barangay Hantag, Maasin City, Southern Leyte Baranga</t>
  </si>
  <si>
    <t xml:space="preserve"> 1.	The Municipality of Dagami, through the Annual Investment Plan 2020 intends to apply the sum of Two Hundred Twenty Seven Thousand Six Hundred Sixty Five Pesos Only (227,665.00) for Lot 1 (AIP2020-medical supplies and equipment)dag2020 and Two Hundred E</t>
  </si>
  <si>
    <t xml:space="preserve"> INVITATION TO BID IB NO. CW 2020 –  112-A Concreting of Road at Sitio Quinaban, San Jose, Bongabong, Oriental Mindoro 1.  The Provincial Government of Oriental Mindoro (PGOM) through the 20% Development Fund – SB #1 intends to apply the sum of Four Millio</t>
  </si>
  <si>
    <t xml:space="preserve"> MG-TSE20-031..SUPPLY, DELIVERY &amp; INST. OF ELECT'L. DIST. PANEL, CIRCUIT BREAKER ,TOOLS &amp; EQPT. FOR HIGH VOLTAGE REPAIR ABC : P 1,300,000.00 PLACE OF DELIVERY : CMTSD WAREHOUSE DITUCALAN, ILIGAN CITY AMOUNT OF BID DOCUMENTS : P 3,000.00</t>
  </si>
  <si>
    <t xml:space="preserve"> Contract ID:       20HL0113 Contract Name:  Concreting of Brgy. Malaunay to Brgy. Doddob Farm-to-Market                          Road (FMR)            Contract Location:  Brgy. Malaunay and Brgy. Dobdob, Valencia, Negros Oriental Scope of Works:  Road Con</t>
  </si>
  <si>
    <t xml:space="preserve"> NOTICE TO THE PUBLIC REQUEST FOR QUOTATION                                              AMP SVP-S NO: 20-08-0430	              The University of the Philippines, System (UPS) hereby informs the public that it will be procuring the following item/s through</t>
  </si>
  <si>
    <t xml:space="preserve"> Republic of the Philippines BIDS AND AWARDS COMMITTEE Province of Iloilo Invitation to Bid Purchase of MEDICAL EQUIPMENT Bid No.CDH-20-0826-B  1. The Iloilo Provincial Government, through the 20% IRA (CAPITAL OUTLAY) CY 2019 intends to apply the sum ONE M</t>
  </si>
  <si>
    <t xml:space="preserve"> Republic of the Philippines Province of Misamis Oriental Local Government Unit of Claveria Invitation to Bid for  Concreting of 1.0 Km Junction Panampawan to Madaguing FMR 1.	The Local Government Unit of Claveria, through the shares of LGU-Claveria from F</t>
  </si>
  <si>
    <t xml:space="preserve"> Description of works to be done	Quantity	Unit 	CIVIL, MECHANICAL, ELECTRICAL AND SANITARY/PLUMBING WORKS		 	PART A – OTHER GENERAL REQUIREMENTS		 	PART A – EARTHWORK		 800(2)	Clearing &amp; Grubbing	All	LS 801(6)	Removal of Structures and Obstruction (Concret</t>
  </si>
  <si>
    <t xml:space="preserve"> Republic of the Philippines Province of Misamis Oriental Local Government Unit of Claveria Invitation to Bid for  Concreting of 0.200 Km Junction National Highway to Sitio Tapon (Via Mat-I NHS) 1.	The Local Government Unit of Claveria, through the shares </t>
  </si>
  <si>
    <t xml:space="preserve"> Republic of the Philippines BIDS AND AWARDS COMMITTEE Province of Iloilo Invitation to Bid Purchase of MEDICAL EQUIPMENT Bid No.CDH-20-0823-B  1. The Iloilo Provincial Government, through the 20% IRA (CAPITAL OUTLAY) CY 2019 intends to apply the sum ONE M</t>
  </si>
  <si>
    <t xml:space="preserve"> Item No.	Description	Quantity	Unit PART A	EARTHWORK		 801(1)	Removal of Structures and Obstruction	All	L.S. 803(1)a	Structure Excavation (Common Soil, Manual Excavation)	45.96	Cu.m. 804(1)a	Embankment from Structure Excavation	41.04	Cu.m. PART B	PLAIN AND</t>
  </si>
  <si>
    <t xml:space="preserve"> INVITATION TO BID # 20-08-13 Supply and Delivery of Goods under Supplementary Feeding Program of the Department of Social Welfare and Development – National Capital Region (DSWD-NCR) 1.	The Department of Social Welfare and Development – National Capital R</t>
  </si>
  <si>
    <t xml:space="preserve"> Republic of the Philippines BIDS AND AWARDS COMMITTEE Province of Iloilo Invitation to Bid Purchase of OFFICE EQUIPMENT Bid No.CDH-20-0824-B  1. The Iloilo Provincial Government, through the SUPPLEMENTAL BUDGET NO. 3, (CAPITAL OUTLAY) CY 2018 intends to a</t>
  </si>
  <si>
    <t xml:space="preserve"> Description:		 			Road Canal Section Length: 260 L.m		 			Type:  Grouter Riprap		 			Depth: 0.08m		 			Width, Bottom: 0.60m		 			Top: 0.80m		 			CONTRACT COST:		 1.	LOT	1	SPECIAL ITEM-GENERAL CONDITIONS	                                                    </t>
  </si>
  <si>
    <t xml:space="preserve"> Interested bidders may obtain further information from the City of Balanga and inspect the Bidding Documents at the address given below from 9:00 a.m. to 4:00 p.m. 5. A complete set of Bidding Documents may be acquired by interested Bidders on August 7 to</t>
  </si>
  <si>
    <t xml:space="preserve"> Republic of the Philippines								 Department Of Public Works and Highways								 Negros Oriental 2nd District Engineering Office								 REGIONAL OFFFICE VII								 Cangmating, Sibulan, Negros Oriental								 (035)522 0635								 								 INVITATION</t>
  </si>
  <si>
    <t xml:space="preserve"> Scope of Work: I. OTHER GENERAL REQUIREMENTS II. EARTHWORKS III. REINFORCED CONCRETE WORKS IV. STEEL WORKS V. PAINTING WORKS VI. FINISHING WORKS</t>
  </si>
  <si>
    <t xml:space="preserve"> MG-A5M20-071..RE-TUBING OF 7 SETS AIR COOLER, AGUS 4 HE PLANT ABC  : P 9,700,000.00 PLACE OF DELIVERY : AGUS 4 HEP WAREHOUSE BALO-I, LANAO DEL NORTE AMOUNT OF BID DOCUMENTS : P10,000.00</t>
  </si>
  <si>
    <t xml:space="preserve"> Republic of the Philippines PROVINCE OF ZAMBOANGA SIBUGAY Municipality of Buug BIDS AND AWARDS COMMITTEE Invitation to Bid for the Rehabiliation of Barangay Road(Guintuloan) 1. The Barangay Bawang of Buug, Zamboanga Sibugay, through the General Fund inten</t>
  </si>
  <si>
    <t xml:space="preserve"> SCOPE OF WORK TO BE DONE		 1.0			SPECIAL ITEM		 1.1	lot	1.00	Mobilization/Demobilization	17,664.90	17,664.90 1.2	lot	1.00	Temporary Facilities (Contractor’s Bunkhouse &amp; Materials Shed)	42,955.44	42,955.44 1.3	lot	1.00	Contractor’s Safety &amp; Health	64,538.1</t>
  </si>
  <si>
    <t xml:space="preserve"> The Zamboanga State College of Marine Sciences and Technology (ZSCMST), through its Bids and Awards Committee, is inviting PhilGeps registered suppliers to apply for eligibility and to submit bids for the items mentioned hereunder: B-047-2020 SUPPLY AND D</t>
  </si>
  <si>
    <t xml:space="preserve"> MG-A7C20-027..FILTER, GOVERNOR, UNITS 3, 4 &amp; 5 FOR AGUS 6 HEP ABC  : P 3,100,000.00 PLACE OF DELIVERY  : AGUS 6 &amp; 7 HEPC WAREHOUSE MARIA CRISTINA, ILIGAN CITY AMOUNT OF BID DOCUMENTS : P 5,000.00</t>
  </si>
  <si>
    <t xml:space="preserve"> MA-A2M20-003..REHAB OF GANTRY CRANE, AGUS 1 HE PLANT ABC  : P 4,944,000.00 PLACE OF DELIVERY : AGUS 1 HEP WAREHOUSE MARAWI CITY AMOUNT OF BID DOCUMENTS ; P 5,000.00</t>
  </si>
  <si>
    <t xml:space="preserve"> MA-A2H20-019..TRANSDUCER, KW MULTI PROGRAMMABLE TRANSDUCER, AGUS 1 HE PLANT ABC  : P 1,500,000.00 PLACE OF DELIVERY : AGUS 1 HEP WAREHOUSE  MARAWI CITY AMOUNT OF BID DOCUMENTS : P3,000.00</t>
  </si>
  <si>
    <t xml:space="preserve"> Concreting of FMR</t>
  </si>
  <si>
    <t xml:space="preserve"> INVITATION TO BID FOR THE Construction of River Flood Control LGU-Kabugao, Apayao 1.	The Local Government Unit of Kabugao, through Appropriation Ordinance No. 02-Series of 2019 (FY 2020 Annual Budget)   intends to apply the sum of One Million One Hundred </t>
  </si>
  <si>
    <t xml:space="preserve"> AMLODIPINE 10MG AMLODIPINE 5MG ASPIRIN 80MG METFORMIN 600MG METROPOLOL 50MG NEFIDIPINE STETHOSCOPE SPHYGMO DESK TYPE TB KIT FOR CHILDREN VIT B COMPLEX ISONIAZIDE ETHAMBUTOL STRILE WATER FOR INJECTION AND ETC..............................................</t>
  </si>
  <si>
    <t xml:space="preserve"> INVITATION TO BID SUPPLY AND DELIVERY OF DIGITAL DUPLICATOR MACHINE WITH ADDITIONAL INK AND MASTER ROLL, SEF, SFADS The Municipal Government of San Francisco, Agusan del Sur, through the BIDS and AWARDS COMMITTEE (BAC) intends to apply the sum of NINE HUN</t>
  </si>
  <si>
    <t xml:space="preserve"> Republic of the Philippines National Kidney and Transplant Institute Bids and Awards Committee East Avenue, Quezon City 1100 981-0300 / 981-0400 local 1157 http://www.nkti.gov.ph/	 INVITATION TO BID for the ITB No. 20-056 Supply and Delivery of Various La</t>
  </si>
  <si>
    <t xml:space="preserve"> 1 UNIT SERVICE VEHICLE  (SUV) 			 SPECIFICATION:	 		 2.8 V Diesel 4x4 AT			 Color - Black			 ENGINE			 Model - 1GD-FTV			 Type			       - 4 - Cylinder In-Line			       - DOHC 16 Valve			       - Variable Nozzle Turbo (VNT) with Front Mounted Intercooler		</t>
  </si>
  <si>
    <t xml:space="preserve"> 2 units Air Conditioning Unit (1.5 HP Split Type, wall mounted with installation) 1 Unit Electric Stove (2 Burner Big) 1 Unit Washing Machine with Dryer (digital type) 10 kilos capacity 1 unit Rice Cooker 10 cups 3 Unit Exhaust Fan 5 unit wall fan 3 Units</t>
  </si>
  <si>
    <t xml:space="preserve"> MG-A5C20-002..SUBMERSIBLE PUMP FOR POTABLE WATER, AGUS 4 HE PLANT ABC:P 1,200,000.00 PLACE OF DELIVERY : AGUS 4 HEP WAREHOUSE BALO-I, LANAO DEL NORTE AMOUNT OF BID DOCUMENTS : P 3,000.00</t>
  </si>
  <si>
    <t xml:space="preserve"> Various Materials – Architectural, Roof, Painting &amp; Electrical Work use: 1.	6    - pcs.    – Ventilating Fan Grid – Boston Bay MV100BVS  		   -        85.00 2.	12  -pcs.    -  Aluminum Flexible Duct 4”x2.5m		      		 -       350.00 3.	11  - pcs.   -  Ceil</t>
  </si>
  <si>
    <t xml:space="preserve"> MEALS AND SNACKS</t>
  </si>
  <si>
    <t xml:space="preserve"> Excavation, Concrete Works, Masonry Works and Plastering Works ******************************************************</t>
  </si>
  <si>
    <t xml:space="preserve"> Invitation to Bid The LGU Alangalang, through its Bids and Awards Committee (BAC), invites prospective bidders to apply for eligibility and to bid for the hereunder project: Name of Project  : IMPROVEMENT OF TREASURY OFFICE Location             :  LGU-Ala</t>
  </si>
  <si>
    <t xml:space="preserve"> LOT 2				 1	kgs.	6.5	4” CWN		 2	kgs.	14	2 1/2" CWN		 3	kg.	0.1	Nylon string for layout		 4	lgths.	58	12mmø x 6.0m DSB		 5	lgths.	80	10mmø x 6.0m PSB		 6	kgs.	24	#16 G.I Tie wire		 7	pcs.	14	Hacksaw blade		 8	bags	365	Portland cement		 9	pcs.	25	PVC const.</t>
  </si>
  <si>
    <t xml:space="preserve"> Fabrication &amp; Installation of Project Signboard, Concrete Works, Steel Works, Masonry Works, Plastering Works, Painting Works and Embankment *****************************************************************************</t>
  </si>
  <si>
    <t xml:space="preserve"> DESCRIPTION                                             UNIT          QUANTITY A. MATERIAL COST     PORTLAND CEMENT, TYPE 1                      BAGS            224     WASHED SAND                                        CUM              15     WASHED GRAV</t>
  </si>
  <si>
    <t xml:space="preserve"> 20 cases Milk 33 grams 16 packs/tie (15 packs/case) 20 cases Biscuit 33 grams (30pcs/case) 2 kilos Brown Sugar 4 Cases Sardines (100cans/case) 10 cases Noodles Instant (72pcs/case) 17 cases Milo 24 grams (8packs/tie - 42tie/case) 21 Tray Egg (medium) 36 p</t>
  </si>
  <si>
    <t xml:space="preserve"> INVITATION TO BID The Barangay Langkong, Mlang, Cotabato through its Bids and Awards Committee (Bac) invites Philgeps registered suppliers to apply to bid for the Supply and Delivery of Various Materials for Gravelling of Barangay Roads. 200 aggregate Sub</t>
  </si>
  <si>
    <t xml:space="preserve"> 1 Unit Television 55" Smart Led 1 Unit Television 50" Smart Led 2 Unit Television 32" Smart Led 4 Unit Visitor Chair  5 pcs. Filing Cabinet ( 4 layer metal) 24 pcs. back pack 53 pcs. Plaque (medium)</t>
  </si>
  <si>
    <t xml:space="preserve"> Republic of the Philippines Province of Ilocos Sur Municipality of San Juan OFFICE OF THE BIDS AND AWARDS COMMITTEE INVITATION FOR ELIGIBILITY AND TO BID The Barangay Guimod Norte ,San Juan,Ilocos Sur through the Bids and Awards Committe (BAC) invites sup</t>
  </si>
  <si>
    <t xml:space="preserve"> Republic of the Philippines Province of Pangasinan Municipality of Infanta BIDS AND AWARDS COMMITTEE 	 INVITATION TO BID FOR PURCHASE OF FORTY (40) UNITS FISHING BOAT FOR FISHER FOLKS OF THE MUNICIPALITY OF INFANTA, PANGASINAN (BANGKA PARA SA MANGINGISDA </t>
  </si>
  <si>
    <t xml:space="preserve"> INVITATION TO BID Procurement of ICT Related Equipment and Peripherals, Furniture and Electronic Learning Materials for Flexible / Alternative Mode of Teaching and Learning in Batangas State University The Batangas State University, through the Supplement</t>
  </si>
  <si>
    <t xml:space="preserve"> Republic of the Philippines CARAGA Administrative Region PROVINCE OF DINAGAT ISLANDS San Jose, Dinagat Islands Bids AND AWARDS COMMITTEE Invitation to Bid  Project Name: 	CONSTRUCTION OF 2-STOREY TOURISM INN Location: Brgy. Ferdinand, Basilisa, Dinagat Is</t>
  </si>
  <si>
    <t xml:space="preserve"> Interested bidders may obtain further information from the City of Balanga and inspect the Bidding Documents at the address given below from 9:00 a.m. to 4:00 p.m. 5. A complete set of Bidding Documents may be acquired by interested Bidders on August 7-26</t>
  </si>
  <si>
    <t xml:space="preserve"> BATTERY 3SMF HOSE W/PLY 1/2" TIRE W/FLAP AND TUBE 17.5x25 TORQUE ROD BUSHING BATTERY 2D BATTERY 6 SMF HYDRAULIC HOSE FAN BELT TIRE FLAP AND TUBE 11X20 16FLY AIR HORN 24V OIL FILTER FUEL FILTER CROSS JOINT LIFT SPRING REAR AND FRONT CLUTCH MASTER REPAIR KI</t>
  </si>
  <si>
    <t xml:space="preserve"> 3005 pcs Lamao Seedling 3025 pcs Guimaras Seedling 2505 pcs Sweet Elena Seedling</t>
  </si>
  <si>
    <t xml:space="preserve"> Republic of the Philippines Province of Sarangani Municipality of Malapatan Invitation to Bid  	 2020-B1-06-023 PROCUREMENT OF RESCUE / EXTRICATION EQUIPMENT OF MDRRMO, MALAPATAN, SARANGANI PROVINCE 1. The Local Government Unit of Malapatan, through the 5</t>
  </si>
  <si>
    <t xml:space="preserve"> INVITATION TO BID FOR THE Construction of Potable Water Supply Level II LGU-Kabugao, Apayao 1.	The Local Government Unit of Kabugao, through Appropriation Ordinance No. 02-Series of 2019 (FY 2020 Annual Budget – 20% MDF)   intends to apply the sum of One </t>
  </si>
  <si>
    <t xml:space="preserve"> Republic of the Philippines National Kidney and Transplant Institute Bids and Awards Committee East Avenue, Quezon City 1100 981-0300 / 981-0400 local 1157 http://www.nkti.gov.ph/	 INVITATION TO BID for the ITB No. 20-074 RE-BIDDING OF ONE (1) LOT SUPPLY </t>
  </si>
  <si>
    <t xml:space="preserve"> Republic of the Philippines CITY OF LAPU-LAPU BIDS AND AWARDS COMMITTEE Invitation to Bid FOR THE PROCUREMENT of GASOLINE AND DIESEL The City of Lapu-Lapu through the MOOE FUND 1061-5-02-03-090 intends to apply the sum of Seven Million Six Hundred Sixty-E</t>
  </si>
  <si>
    <t xml:space="preserve"> Republic of the Philippines CARAGA Administrative Region PROVINCE OF DINAGAT ISLANDS San Jose, Dinagat Islands Bids AND AWARDS COMMITTEE Invitation to Bid  Project Name: 	CONCRETING OF ACCESS ROAD, PUROK 3 JUSTINIANA, DINAGAT Location: Brgy. Justiniana Ed</t>
  </si>
  <si>
    <t xml:space="preserve"> INVITATION TO BID    SUPPLY AND DELIVERY OF BRAND NEW 16,490 PIECES PONCHO TENT, PHILARPAT FOR THE PHILIPPINE ARMY (PA)   Bid Reference No. MPG-BI-2020-244 Approved Budget for the Contract - ₱ 17,441,308.10     1. The Philippine International Trading Corp</t>
  </si>
  <si>
    <t xml:space="preserve"> 2 "Unit(s)" "Desktop Computer Set w/ Complete Accessories -" "Minimum Technical Specifications :          CPU Intel i7 8700K                Mother Board Z390-UD S1151    Memory 8GB 1G x 64-Bit, DDR4-2400 CL15 288-Pin DIMM HD Graphics Card GTX 1050TI Hard </t>
  </si>
  <si>
    <t xml:space="preserve"> REQUEST FOR EXPRESSION OF INTEREST FOR CONSULTING SERVICES  The DPWH-CAGAYAN THIRD DISTRICT ENGINEERING OFFICE, through its CY2020 PDE intend to apply the sum of P3,177,367.00 being the Approved Budget for the Contract (ABC) to payments under the contract</t>
  </si>
  <si>
    <t xml:space="preserve"> A. ABC            -   P    850,000.00 B. BID  DOCS  -            1,000.00</t>
  </si>
  <si>
    <t xml:space="preserve"> 1. Procurement ID/Contract ID:	20GD0112 Contract Name:	BASIC EDUCATIONAL FACILITIES FUND (BEFF) CONSTRUCTION OF ELEMENTARY AND SECONDARY CLASSROOMS – CONSTRUCTION OF 2STY4CL, WEST VILLAFLORES ES, MA-AYON, CAPIZ Contract Location:	Maayon, Capiz Brief Descr</t>
  </si>
  <si>
    <t xml:space="preserve"> 1 Handwashing Facility 1 pc</t>
  </si>
  <si>
    <t xml:space="preserve"> Republic of the Philippines CARAGA Administrative Region PROVINCE OF DINAGAT ISLANDS San Jose, Dinagat Islands Bids AND AWARDS COMMITTEE Invitation to Bid  Project Name: 	CONSTRUCTION OF LEVEL 3 WATER SYSTEM, DOŇA HELEN, LIBJO Location: Brgy. Doña Helen, </t>
  </si>
  <si>
    <t xml:space="preserve"> B.9	Mobilization/Demobilization	lot	all	7,186.00 801(3)	Removal of Actual Structures/Obstruction	20	sq.m.	2,400.00 803(1)	Structure Excavation (Common Soil)	180	cu.m.	82,278.00 804(1)	Embankment From Structure Excavation	160	cu.m.	36,304.00 900(1)	Structu</t>
  </si>
  <si>
    <t xml:space="preserve"> SEE ATTACHED TERMS OF REFERENCE</t>
  </si>
  <si>
    <t xml:space="preserve"> 1.	300 Bd. Ft. – 50 pcs. 2” x 3” x 12’ Coco Lumber 2.	3 Rolls – Nylon #16 3.	10 mtrs. – Transparent Hose Size 5/16 4.	5 kgs. - #4 CWN Nails 5.	5 kgs. - #3 CWN Nails 6.	2 kgs. - #2 CWN Nails 7.	1,800 BAGS- Portland Cement 8.	7,000 pcs. – CHB #6”  9.	9,000 </t>
  </si>
  <si>
    <t xml:space="preserve"> Republic of the Philippines Province of Cagayan Municipality of Sta. Praxedes BIDS AND AWARDS COMMITTEE	 Invitation to Bid Supply and Delivery of Public Utility Vehicle (Van) of Sta. Praxedes, Cagayan ITB – Goods – 2020-08-042 1.	The Local Government Unit</t>
  </si>
  <si>
    <t xml:space="preserve"> Republic of the Philippines Province of Siquijor Municipality of Maria   Invitation to Bid for Construction of Public Cemetery Comfort Room– Maria, Siquijor/MAR-00042I-2020 1.	The Local Government Unit of Maria, through the Economic Enterprise intends to </t>
  </si>
  <si>
    <t xml:space="preserve"> 1 THW #10 150 meters 5, 100 September  2 Circuit Breaker 60 amperes 1pc. 500 September</t>
  </si>
  <si>
    <t xml:space="preserve"> A4 bondpaper 50 reams 12, 500 September  Epsonk 664 ink (black) 11 pcs. 3, 300 September  Epsonk 664 ink (colored) 10 pcs. 3, 300 September</t>
  </si>
  <si>
    <t xml:space="preserve"> B.9	Mobilization/Demobilization	lot	all	14,370.00 803(1)	Structure Excavation (Common Soil)	483	cu.m.	200,209.80 804(1)	Embankment From Structure Excavation	438	cu.m.	100,083.00 900(1)	Structural Concrete, Class “A”	9.40	cu.m.	66,349.90 902(1)	Reinforcing</t>
  </si>
  <si>
    <t xml:space="preserve"> B.9	Mobilization/Demobilization	lot	all	14,371.90 803(1)	Structure Excavation (Common Soil)	162	cu.m.	74,034.00 804(1)	Embankment From Structure Excavation	155	cu.m.	35,448.50 900(1)	Structural Concrete, Class “A”	1.44	cu.m.	10,101.60 902(1)	Reinforcing S</t>
  </si>
  <si>
    <t xml:space="preserve"> Republic of the Philippines National Kidney and Transplant Institute Bids and Awards Committee East Avenue, Quezon City 1100 981-0300 / 981-0400 local 1157 http://www.nkti.gov.ph/	 INVITATION TO BID for the ITB No. 20-075 RE-BIDDING OF DESIGN AND BUILD OF</t>
  </si>
  <si>
    <t xml:space="preserve"> The Supreme Court of the Philippines through the bids and awards committee for the Halls of Justice, intends to procure through negotiated procurement the construction of the Hall of Justice San Isidro Davao Oriental.  (Please download attachment) For mor</t>
  </si>
  <si>
    <t xml:space="preserve"> Republic of the Philippines Province of Ilocos Sur Vigan City INVITATION TO BID FOR  Purchase &amp; Delivery of Bond Paper for the Reproduction of Learning Modules &amp; Self-learning Kits in Support &amp; Compliance to Basic Education 1.	The Provincial Government of</t>
  </si>
  <si>
    <t xml:space="preserve"> Republic of the Philippines CARAGA Administrative Region PROVINCE OF DINAGAT ISLANDS San Jose, Dinagat Islands Bids AND AWARDS COMMITTEE Invitation to Bid  Project Name: 	CONSTRUCTION OF MULTI-PURPOSE BUILDING, FERDINAND, LORETO Location: Brgy. Ferdinand,</t>
  </si>
  <si>
    <t xml:space="preserve"> Republic of the Philippines Province of Ilocos Sur Vigan City Invitation to Bid for the  Upgrading and Improvement of Ora-Tay-ac Road at Bantay, Ilocos Sur 1.	The Provincial Government of Ilocos Sur, through the GAA-Conditional Matching Grant Program (CMG</t>
  </si>
  <si>
    <t xml:space="preserve"> 1.	The Department of Public Works and Highways Regional Office XI, Davao City, through its Bids and Awards Committee (BAC), invites bidders to submit bids for the Infra projects funded under GAA FY 2020, to wit: Contract ID 	:	20L00174 Contract Name/Locat</t>
  </si>
  <si>
    <t xml:space="preserve"> Republic of the Philippines Province of Ilocos Sur Vigan City Invitation to Bid for the  Construction of Water System at ISPH-Gabriela Silang General Hospital, Tamag, Vigan City, Ilocos Sur 1.	The Provincial Government of Ilocos Sur, through the Special B</t>
  </si>
  <si>
    <t xml:space="preserve"> Republic of the Philippines Province of Siquijor Municipality of Maria   Invitation to Bid for Maintenance/Repair of Manpower Development Center (Repair of CR) – Maria, Siquijor/MAR-00043I-2020 1.	The Local Government Unit of Maria, through the 20% Develo</t>
  </si>
  <si>
    <t xml:space="preserve"> 1	2.00	UNIT	DESKTOP COMPUTER				 			Specification:				 			Core i5, 4GB DDR4 RAM, 1TB HDD, Windows 10,				 			DVD/RW2GB and RS M330, 18.5" Monitor,				 			WiFi/USB Keyboard and Mouse				 							 2	2.00	UNIT	ALL IN ONE DESKTOP				 			Specification:				 			A</t>
  </si>
  <si>
    <t xml:space="preserve"> Republic of the Philippines CARAGA Administrative Region PROVINCE OF DINAGAT ISLANDS San Jose, Dinagat Islands Bids AND AWARDS COMMITTEE Invitation to Bid  Project Name: 	COMPLETION OF PROVINCIAL GARAGE Location: Brgy. Cuarinta, San Jose, Dinagat Islands </t>
  </si>
  <si>
    <t xml:space="preserve"> Republic of the Philippines Province of Sarangani Municipality of Malapatan Invitation to Bid  	 2020-B1-03-009  PROCUREMENT OF RESCUE / EXTRICATION EQUIPMENT OF MDRRMO, MALAPATAN, SARANGANI PROVINCE 1. The Local Government Unit of Malapatan, through the </t>
  </si>
  <si>
    <t xml:space="preserve"> Republic of the Philippines Province of Ilocos Sur Vigan City Invitation to Bid for the  Upgrading and Improvement of Lubong-Tanggaoan-Dunglayan Road at Sta. Maria, Ilocos Sur 1.	The Provincial Government of Ilocos Sur, through the GAA-Conditional Matchin</t>
  </si>
  <si>
    <t xml:space="preserve"> Invitation to Bid for the Design and Build of 3-storey Administration Building with Meeting Halls in SPAMAST Malita, Davao Occidental 2nd Posting</t>
  </si>
  <si>
    <t xml:space="preserve"> INVITATION TO APPLY FOR ELIGIBILITY AND TO BID FOR THE SUPPLY AND DELIVERY OF 3 UNITS HIGH-SPEED PRINTER/DIGITAL DUPLICATOR. Specifications I. Master Making/Printing Methods: High-speed digital master-making/Fully automatic printing II. Original Type: Boo</t>
  </si>
  <si>
    <t xml:space="preserve"> INVITATION TO APPLY FOR ELIGIBILITY AND TO BID THE BIDS AND AWARD COMMITTEE OF THE MUNICIPALITY OF CAIBIRAN, BILIRAN IS INVITING ALL INTERESTED BIDDERS ON ITS FORTHCOMING PUBLIC BIDDING FOR: Project Title	                : Establishment Automated Weather </t>
  </si>
  <si>
    <t xml:space="preserve"> Republic of the Philippines Province of Ilocos Sur Vigan City Invitation to Bid for the  Upgrading and Improvement of Immayos-Saoang Road at San Juan, Ilocos Sur 1.	The Provincial Government of Ilocos Sur, through the GAA-Conditional Matching Grant Progra</t>
  </si>
  <si>
    <t xml:space="preserve"> 1.) 4 units Duplicating Machine with ink, master roll cuts and pedestal/table      Minimum Specifications:      -130 pages per minute print speed      -300x360 dpi print resolution      -3 rubber feed rollers      -minimum paper weight of 53gsm      -maxi</t>
  </si>
  <si>
    <t xml:space="preserve"> 12 "Unit(s)" "Cultivator -" " Specification: 1. Hand Tractor-Multi Crop Cultivator Rated Power  a.Diesel/Gasoline : minimum, 5.22 kw, 7HP 2. Transmission : gear type 3. 2 forward &amp; 2 reverse (high &amp; low) 4. Implements &amp; accessories included : Two sided pl</t>
  </si>
  <si>
    <t xml:space="preserve"> Republic of the Philippines Province of Siquijor Municipality of Maria   Invitation to Bid for Construction of Niches – Maria, Siquijor/MAR-00045I-2020 1.	The Local Government Unit of Maria, through the Economic Enterprise intends to apply the sum of Thre</t>
  </si>
  <si>
    <t xml:space="preserve"> 1 Latex Paint (yellow)  2 gal 2 Latex  Paint (Blue) 2 gal  3 Latex  Paint (Red) 2 gal 4 Latex Paint (Black) 2 gal</t>
  </si>
  <si>
    <t xml:space="preserve"> see attached associate document</t>
  </si>
  <si>
    <t xml:space="preserve"> Republic of the Philippines Province of Ilocos Sur Vigan City Invitation to Bid for the  Construction of Post-Harvest Facility at Barangay Caterman, Candon City, Ilocos Sur 1.	The Provincial Government of Ilocos Sur, through the Special Budget No. 1 (RA 7</t>
  </si>
  <si>
    <t xml:space="preserve"> INVITATION TO BID  FOR SUPPLY AND DELIVERY OF OFFICE SUPPLIES AND PRINTER. 1.	The Local Government Unit of Murcia, Negros Occidental, through the LGU-SEF 2020, intends to apply the sum of Two Hundred Twenty Nine Thousand Seven Hundred Forty Pesos (Php 229</t>
  </si>
  <si>
    <t xml:space="preserve"> INVITATION TO BID The City of Bayawan, through its Bids and Awards Committee (BAC), invites suppliers/manufacturers/distributors/contractors to bid for the hereunder projects: 	Lot No. I		VEHICLE PARTS/ACCESSORIES					 1	50	feet	Tube, Steel, 1/4"Ø					 2	</t>
  </si>
  <si>
    <t xml:space="preserve"> CONSTRUCTION OF 52 METERS CATWALK SHED AT INEANGAN ELEMENTARY SCHOOL, DUPAX DEL NORTE, NUEVA VIZCAYA</t>
  </si>
  <si>
    <t xml:space="preserve"> Purchase of Materials for 3rd &amp; 4th Quarter (Maintenance Section).</t>
  </si>
  <si>
    <t xml:space="preserve"> INVITATION TO BID The City of Bayawan, through its Bids and Awards Committee (BAC), invites suppliers/manufacturers/distributors/contractors to bid for the hereunder projects: 	Lot No. I		INDUSTRIAL EQUIPMENT					 1	30	pc(s)	Knapsack sprayer, stainless, 1</t>
  </si>
  <si>
    <t xml:space="preserve"> Republic of the Philippines PROVINCE OF SOUTHERN LEYTE Maasin City Invitation to Bid for the Procurement of Various Seeds, Planting Materials,Fertilizers, Various Pesticides &amp; Various Merchandise  Contract ID # 2020-08-28-454PG 1.	The Provincial Governmen</t>
  </si>
  <si>
    <t xml:space="preserve"> Republic of the Philippines Province of Ilocos Sur Vigan City Invitation to Bid for the  Concreting of Farm-to-Market Road at Sitio Anteng, Brgy. Ambulogan, Narvacan, Ilocos Sur 1.	The Provincial Government of Ilocos Sur, through the Special Budget #2 (RA</t>
  </si>
  <si>
    <t xml:space="preserve"> Canalization</t>
  </si>
  <si>
    <t xml:space="preserve"> 330 Lh 6" PE Pipes 1 pc. 6" CI Gate Valve (flange type) 2 pcs. 6" CI Elbow (flange type) 1 pc. 6" CI Tee 4 pcs. 6" Air Valve 1 pc. 6"x4" Reducer 4 pcs. 4"x90° CI Elbow 1 pc. 4" Gate Valve (flange type) 1 pc. 4" CI Tee</t>
  </si>
  <si>
    <t xml:space="preserve"> 2020 26TH PUBLIC BIDDING: PROCUREMENT OF VARIOUS MEDICAL EQUIPMENT</t>
  </si>
  <si>
    <t xml:space="preserve"> Republic of the Philippines MUNICIPALITY OF ECHAGUE Province of Isabela INVITATION TO BID FOR  THE  PROCUREMENT OF GARBAGE COMPACTOR  1.	The Local Government Unit , through  the  PCF FUND (Grant) and GENERAL    FUND  Of  2020  intends to apply the sum of </t>
  </si>
  <si>
    <t xml:space="preserve"> Republic of the Philippines Province of Davao Oriental BIDS &amp; AWARDS COMMITTEE City of Mati INVITATION TO BID Contract No.: CW20-21 The Provincial Government of Davao Oriental through its Bids and Awards Committee (BAC), invites licensed contractors to bi</t>
  </si>
  <si>
    <t xml:space="preserve"> One (1) Lot Hiring of Professional Webinar Manager for the Conduct of Bangko Sentral ng Pilipinas’ (BSP) Financial Education Stakeholders Expo on 23 to 27 November 2020, as per BSP Terms of Reference</t>
  </si>
  <si>
    <t xml:space="preserve"> Sir/Madam:																																						 																																						 Please quote your government price/s including delivery charges, VAT or other applicable taxes, and other incidental expenses for the goods listed in Annex A.  Also, f</t>
  </si>
  <si>
    <t xml:space="preserve"> Republic of the Philippines Province of Siquijor Municipality of Maria   Invitation to Bid for Construction of Water System – Maria, Siquijor/MAR-00046I-2020 1.	The Local Government Unit of Maria, through the Economic Enterprise intends to apply the sum o</t>
  </si>
  <si>
    <t xml:space="preserve"> ALBAY 3RD DISTRICT ENGINEERING OFFICE																																														 Paulog, Ligao City																																														 																																														 																																														 INVITATION T</t>
  </si>
  <si>
    <t xml:space="preserve"> ITEM     DESCRIPTION                                        QTY.            UNIT I.         EXCAVATION / BREAKING / BACK FILLING II.       CONCRETING                PAVEMENT                                           6.8             CU.M                CON</t>
  </si>
  <si>
    <t xml:space="preserve"> 1 Lot LANDSCAPING SUPPLIES AND MATERIALS</t>
  </si>
  <si>
    <t xml:space="preserve"> See Attached Associete Documents</t>
  </si>
  <si>
    <t xml:space="preserve"> Supply and Delivery of Various Laboratory Equipment for Ospital ng Makati (6 Lots) Lot 1: Supply and Delivery of Hematology Autostainer Lot 2: Supply and Delivery of      Biosafety Cabinet Class II Lot 3: Supply and Delivery of Binocular Microscope for Re</t>
  </si>
  <si>
    <t xml:space="preserve"> 2 units DUPLICATING MACHINE WITH DIRECT PC CONNECTIVITY AND LASER COPIER 7 pcs. INK CARTRIDGE 800mL 7 pcs. MASTER ROLL 7 pcs. Tn118</t>
  </si>
  <si>
    <t xml:space="preserve"> 1  SET     375KVA DIESEL GENERATOR     SILENT TYPE     ENGINE: NTA855-G1B CUMMINS ENGINE     ALTERNATOR: ECO38 2L4A MECC ALTE    CONTROL MODULE: DEEPSEA DSE6020/7320    3-PHASE, 60HZ, 220V     INCLUSION:     INSTALLATION (FROM GENSET TO ATS)    ELECTRICAL</t>
  </si>
  <si>
    <t xml:space="preserve"> Supply and Delivery of Medical Equipment for Autopsy - Order of payment for Bid Docs will be available at GSD-Head Office @ 10th Floor Makati City Hall Bldg. 2.  Look for Mr. Reden Villanueva. - A  complete set of Bidding Documents will be available from </t>
  </si>
  <si>
    <t xml:space="preserve"> 1 Lot VARIOUS MEDICINES</t>
  </si>
  <si>
    <t xml:space="preserve"> 1.	The Local Government Unit of Las Nieves, through the General Appropriations Act (DBP-TF) intends to apply the sum of five hundred ninety two thousand pesos only (Php 592,000.00) for Lot 1, two hundred forty nine thousand and six hundred pesos only (Php</t>
  </si>
  <si>
    <t xml:space="preserve"> Cloud Server Setup and Hosting with Local backup HCI and Server with Pre-Installed HCI for UMAK Learning Management System (LMS) - Order of payment for Bid Docs will be available at GSD-Head Office @ 10th Floor Makati City Hall Bldg. 2.  Look for Mr. Rede</t>
  </si>
  <si>
    <t xml:space="preserve"> Republic of the Philippines Province of Negros Oriental MUNICIPALITY OF BACONG INVITATION TO BID FOR  Improvement of Waterworks at Barangay Liptong, Bacong, Negros Oriental RFQ 2020-1 1.	The Barangay Liptong, Bacong, through the Barangay Funds(cont0  inte</t>
  </si>
  <si>
    <t xml:space="preserve"> Republic of the Philippines Province of Quezon MUNICIPALITY OF PANUKULAN INVITATION TO BID FOR SUPPLY AND DELIVERY OF  13 UNITS TENT AND 130 PCS FOLDING BED The Local Government Unit of Panukulan through the BGCM Fund   intends to apply the sum of  One Mi</t>
  </si>
  <si>
    <t xml:space="preserve"> Available upon request xxxxxxxxxxxxxxxxxxxx</t>
  </si>
  <si>
    <t xml:space="preserve"> INVITATION TO BID for Procurement of Additional Supplies for printing of modules for 2020 1.	The Pedro Pitogo Elementary School of Cadiz City, through the Schools MOOE Fund CY 2020  intends to apply the sum of Sixty-Six Thousand Five HundredPesos (Php. 66</t>
  </si>
  <si>
    <t xml:space="preserve"> Republic of the Philippines PROVINCE OF SOUTHERN LEYTE Maasin City Invitation to Bid for the Procurement of Grafted Jackfruit, Various Commercial Fertilizer and Agricultural Supplies   Contract ID # 2020-08-28-452PG 1.	The Provincial Government of Souther</t>
  </si>
  <si>
    <t xml:space="preserve"> Republic of the Philippines Region X Province of Lanao del Norte Gov. Arsenio A. Quibranza Provincial Government Center Invitation to Bid for the CONCRETING OF LIANGAN-CAMP I-MAHAYAHAY  PROVINCIAL ROAD Sta. 0+000.00 - Sta. 1+050.00 Project Location: Maigo</t>
  </si>
  <si>
    <t xml:space="preserve"> Republic of the Philippines Province of Quezon MUNICIPALITY OF PANUKULAN INVITATION TO BID FOR SUPPLY AND DELIVERY OF  TWO (2) UNITS MOTORCYCLE The Local Government Unit of Panukulan through the General Fund   intends to apply the sum of  One Hundred Fift</t>
  </si>
  <si>
    <t xml:space="preserve"> Republic of the Philippines DEPARTMENT OF PUBLIC WORKS AND HIGHWAYS CAGAYAN THIRD DISTRICT ENGINEERING OFFICE REGION II Tuguegarao City The DPWH-CAGAYAN THIRD DISTRICT ENGINEERING OFFICE, through the CY 2020 – BEFF  intends to apply the sum of P30,150,000</t>
  </si>
  <si>
    <t xml:space="preserve"> See Attached Associate Document</t>
  </si>
  <si>
    <t xml:space="preserve"> ELECTRICAL MATERIALS</t>
  </si>
  <si>
    <t xml:space="preserve"> INVITATION TO BID The Department of Public Works and Highways (DPWH) of Cotabato City District Engineering Office (CCDEO), 008 Ramon Rabago Sr. Street, Cotabato City, through its Bids and Awards Committee (BAC), invites contractors to apply to bid for the</t>
  </si>
  <si>
    <t xml:space="preserve"> Project Reference Number: 20-014 Name of Project: Bidding of Supply and Delivery of Grocery Items for Stockpile Location of the Project: DWSD FO XII     INVITATION TO APPLY FOR ELIGIBILITY AND TO BID The Department of Social Welfare and Development (DSWD)</t>
  </si>
  <si>
    <t xml:space="preserve"> Republic of the Philippines Province of Oriental Mindoro MUNICIPALITY OF PINAMALAYAN OFFICE OF THE BIDS AND AWARDS COMMITTEE Invitation to Bid ITB-2020-38 1.  The Municipal Government of Pinamalayan, Oriental Mindoro, through the authorized appropriations</t>
  </si>
  <si>
    <t xml:space="preserve"> Supply and Delivery of Thermal Scanners and Megger Testers - Order of payment for Bid Docs will be available at GSD-Head Office @ 10th Floor Makati City Hall Bldg. 2.  Look for Mr. Reden Villanueva. - A  complete set of Bidding Documents will be available</t>
  </si>
  <si>
    <t xml:space="preserve"> Procurement ID/Contract ID		: 	20CL0089 Contract Name	: 	Concreting of Galumayen Rd.,Brgy. Bangantalinga FMR,  Brgy. Bangantalinga,Iba, Zambales Contract Location	: 	Iba, Zambales Brief Description	: 	Construction of Concrete Road  	Approved Budget for th</t>
  </si>
  <si>
    <t xml:space="preserve"> Republic of the Philippines PROVINCE OF SOUTHERN LEYTE Maasin City Invitation to Bid for the Procurement of Various Fertilizers  Contract ID # 2020-08-28-453PG 1.	The Provincial Government of Southern Leyte through the PAGSO – Agricultural and Marine Supp</t>
  </si>
  <si>
    <t xml:space="preserve"> Supply, Delivery and Installation of Furnitures and Fixtures for Councilor’s Offices at 19F – 20F, Makati City Hall Building I - Order of payment for Bid Docs will be available at GSD-Head Office @ 10th Floor Makati City Hall Bldg. 2.  Look for Mr. Reden </t>
  </si>
  <si>
    <t xml:space="preserve"> Broiler Starter	9	bags Hog Starter	14	bags Hog Grower	22	bags Hog Breeder	12	bags Lactation	11	bags Rice Bran	180	bags Corn Grits	13	bags Thyrolac	21	sachet Ecolmin	19	bottle Cecical	4	box Bexan xP 100 ml	2	bottle Malathion	6	bottle Pitoxal	8	bottle</t>
  </si>
  <si>
    <t xml:space="preserve"> Republic of the Philippines PROVINCE OF IFUGAO Municipality of Asipulo BIDS AND AWARDS COMMITTEE INVITATION TO BID GOODS The Municipal Government of Asipulo, through the Mun. General Fund intends to apply the sum indicated in the table below, being the Ap</t>
  </si>
  <si>
    <t xml:space="preserve"> Procurement of ICT Equipment Line Item no. 1 - 3 packs (3 per pack) (3 pack) AC1300 Dual Band Whole Home Mesh Wi-Fi System | Seamless Roaming Mesh WiFi | 802.11 k/v/r Supported | Mesh Router | HARDWARE FEATURES Processor: Quad-core CPU;  Interface: 2 LAN/</t>
  </si>
  <si>
    <t xml:space="preserve"> Republic of the Philippines Province of Oriental Mindoro MUNICIPALITY OF PINAMALAYAN OFFICE OF THE BIDS AND AWARDS COMMITTEE Invitation to Bid ITB-2020-37 1.  The Municipal Government of Pinamalayan, Oriental Mindoro, through the authorized appropriations</t>
  </si>
  <si>
    <t xml:space="preserve"> REQUEST FOR EXPRESSION OF INTEREST (REOI) FOR CONDUCT OF SUBSURFACE EXPLORATION/PRELIMINARY DETAILED ENGINEERING FOR FY 2021 REGULAR INFRASTRUCTURE, MABATO BRIDGE 1, MABATO BRIDGE 2, BALOGO BRIDGE, MALAIBA BR. 1 (B00409NR), ALANGILANAN BRIDGE, MANJUYOD BR</t>
  </si>
  <si>
    <t xml:space="preserve"> Supply and Delivery of Adult Emergency and Transport Stretcher Beds - Order of payment for Bid Docs will be available at GSD-Head Office @ 10th Floor Makati City Hall Bldg. 2.  Look for Mr. Reden Villanueva. - A  complete set of Bidding Documents will be </t>
  </si>
  <si>
    <t xml:space="preserve"> Available upon request xxxxxxxxxxxxxxxxxxx</t>
  </si>
  <si>
    <t xml:space="preserve"> Supply and Delivery of Medical Equipments for Veterinary Services (Biological Refrigerator – Dry Heat Sterilizer Stainless) - Order of payment for Bid Docs will be available at GSD-Head Office @ 10th Floor Makati City Hall Bldg. 2.  Look for Mr. Reden Vil</t>
  </si>
  <si>
    <t xml:space="preserve"> NOTICE TO THE PUBLIC REQUEST FOR QUOTATION                                           AMP SVP-D NO: 20-08-0378C	              The University of the Philippines, Diliman (UPD) hereby informs the public that it will be procuring the following item/s through </t>
  </si>
  <si>
    <t xml:space="preserve"> Republic of the Philippines Province of Quezon MUNICIPALITY OF PANUKULAN INVITATION TO BID FOR SUPPLY AND DELIVERY OF  HOSPITAL EQUIPMENTS  The Local Government Unit of Panukulan through the BGCM   intends to apply the sum of  Four Hundred Twenty Four Tho</t>
  </si>
  <si>
    <t xml:space="preserve"> INVITATION TO APPLY FOR ELIGIBILITY AND TO BID FOR THE SUPPLY AND DELIVERY OF 10 UNITS (1 HP) WINDOW TYPE AIR CONDITIONER. I. 10 UNITS - (1 HP) WINDOW TYPE AIR CONDITIONER</t>
  </si>
  <si>
    <t xml:space="preserve"> Supply and Delivery of Airconditioning Units - Order of payment for Bid Docs will be available at GSD-Head Office @ 10th Floor Makati City Hall Bldg. 2.  Look for Mr. Reden Villanueva. - A  complete set of Bidding Documents will be available from day of p</t>
  </si>
  <si>
    <t xml:space="preserve"> INVITATION TO BID The City of Bayawan, through its Bids and Awards Committee (BAC), invites suppliers/manufacturers/distributors/contractors to bid for the hereunder projects: Lot No. I		FERTILIZERS	 				 1	4024	bags	FERTILIZERS, 18-46-0					 			** ** ** </t>
  </si>
  <si>
    <t xml:space="preserve"> Garbage Compactor truck: Brand New Cab Capacity: 2-3 persons w/ heating/cooling air condition Engine: fuel type,Diesel: power 120hp: displacement 2999 cc; Max speed 95kph; Chassis: 4x2 left hand drive: power steering Brand new tires, Number 6 tires &amp; 1 sp</t>
  </si>
  <si>
    <t xml:space="preserve"> Republic of the Philippines Province of Siquijor Municipality of Maria   Invitation to Bid for Installation of 2nd Level Deck Bleacher – Maria, Siquijor/MAR-00044I-2020 1.	The Local Government Unit of Maria, through the 20% Development Fund-2020 intends t</t>
  </si>
  <si>
    <t xml:space="preserve"> Electrical Works</t>
  </si>
  <si>
    <t xml:space="preserve"> Electrical Materials</t>
  </si>
  <si>
    <t xml:space="preserve"> Office Supplies and Materials</t>
  </si>
  <si>
    <t xml:space="preserve"> Republic of the Philippines PROVINCE OF SOUTHERN LEYTE Maasin City Invitation to Bid for the Procurement of Bangus Fingerlings and Feeds   Contract ID # 2020-08-28-451PG 1.	The Provincial Government of Southern Leyte through the PENRMO Agricultural and Ma</t>
  </si>
  <si>
    <t xml:space="preserve"> PROCUREMENT OF WELL-MILLED RICE FOR STOCKPILING - 75,000.00						 1	30.00	SACK	WELL MILLED RICE (50KG)						 									 			PROCUREMENT OF GROCERY FOOD ITEMS FOR STOCKPILING - 119,000.00						 1	1000.00	PACK	NOODLES						 2	15.00	BOX	SARDINES						 3	10.00	</t>
  </si>
  <si>
    <t xml:space="preserve"> B.9	Mobilization/Demobilization	lot	all	10,779.00 803(1)	Structure Excavation (Common Soil)	210	cu.m.	95,970.00 804(1)	Embankment From Structure Excavation	198	cu.m.	45,243.00 900(1)	Structural Concrete, Class “A”	1.88	cu.m.	14,138.54 902(1)	Reinforcing S</t>
  </si>
  <si>
    <t xml:space="preserve"> Republic of the Philippines CARAGA Administrative Region PROVINCE OF DINAGAT ISLANDS San Jose, Dinagat Islands Bids AND AWARDS COMMITTEE Invitation to Bid  Project Name: 	CONCRETING OF PROVINCIAL ROAD DIEGAS TO RITA GLENDA SECTION, BASILISA Location: Brgy</t>
  </si>
  <si>
    <t xml:space="preserve"> Supply of Hybridization Incu9wxbator •	Type  -	Orbital shaking mechanism, times out or continuous shaker/rotisserie operation •	Bottle capacity -	 12 large/ 24 small •	Rotisserie/ Rocker speed -	4 to 20 rpm •	Temperature Range -	 Ambient +5°C to 80°C •	Te</t>
  </si>
  <si>
    <t xml:space="preserve"> Invitation to Bid ITB-SSS-Goods-2020-024 ANNUAL SERVICING OF THE SSS MAIN BUILDING'S POWER SUBSTATIONS AND OTHER RELATED WORKS Approved Budget for the Contract (ABC)      :       PhP 841,471.40   Source of Fund	                                        :   </t>
  </si>
  <si>
    <t xml:space="preserve"> Standard Form No. SF Good-05		             Project Reference No.: CATCAM-2020-24 Revised on July 28,2004                   		     Name of Project: CONTINUOUS  LINING OF MUNICIPAL STREET                                                                      </t>
  </si>
  <si>
    <t xml:space="preserve"> Republic of the Philippines Province of Leyte Municipality of Palompon oOo BIDS &amp; AWARD COMMITTEE INVITATION TO BID FOR  PROCUREMENT OF FEEDS FOR BANGOS PRODUCTION Project Identification No. 2020-2708-018 The Municipality of Palompon, through the MMK Fund</t>
  </si>
  <si>
    <t xml:space="preserve"> Republic of the Philippines PROVINCE OF AGUSAN DEL SUR Municipality of Sta. Josefa Invitation to Bid for   SJADS GOODS 20-14: PROCUREMENT OF OFFICE &amp; SCHOOL SUPPLIES (SEF) 					   August 08, 2020 1.	The Municipality of Sta. Josefa through the following; a</t>
  </si>
  <si>
    <t xml:space="preserve"> Republic of the Philippines CARAGA Administrative Region PROVINCE OF DINAGAT ISLANDS San Jose, Dinagat Islands Bids AND AWARDS COMMITTEE Invitation to Bid  Project Name: 	CONCRETING OF ACCESS ROAD, CONALES STREET, MABINI, TUBAJON Location: Brgy. Mabini, T</t>
  </si>
  <si>
    <t xml:space="preserve"> PLEASE DOWNLOAD THE ATTACHMENT/S FOR REFERENCE. Important Notes and Conditions: You can submit your quotation ON or BEFORE AUGUST 14, 2020 at 10:00 AM with the photocopy of the following legal documents: a. Mayor’s / Business Permit  b. PhilGEPS Registrat</t>
  </si>
  <si>
    <t xml:space="preserve"> Overlaying of Pre-Mix Hot Laid Asphalt, Supply &amp; Installation of Rubberized Track Surface w/complete markings &amp; revision of existing drainage system</t>
  </si>
  <si>
    <t xml:space="preserve"> Computer furniture</t>
  </si>
  <si>
    <t xml:space="preserve"> Please see attach ITB &amp; Specs Thank you.</t>
  </si>
  <si>
    <t xml:space="preserve"> INVITATION TO APPLY FOR ELIGIBILITY AND TO BID (IAEB) August 7, 2020 The Barangay Madasigon of Molave, Zamboangadel Sur, through its Bids and Awards Committe (BAC), invites interested bidders to apply for eligibility and to bid for the hereunder project: </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</si>
  <si>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</si>
  <si>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Section I. Invitation to Bid FOR THE SUPPLY, INSTALLATION, TESTING AND COMMIS- SIONING OF CLIMATE CONTROL SYSTEM FOR THE NATIONAL LIBRARY OF THE PHILIPPINES (NLP) 1.	The National Library of the Philippines (NLP), through the National Expenditure Budget (N</t>
  </si>
  <si>
    <t xml:space="preserve"> common office and janitorial supplies for all sections for the 3rd quarter, 2020</t>
  </si>
  <si>
    <t xml:space="preserve"> INVITATION TO BID August 3, 2020 The Eastern Visayas Regional Medical Center, through its Bids and Awards Committee (BAC A) invites suppliers/manufacturers/distributors/contractors to bid for the hereunder project:  Procurement Activity	Approved Budget fo</t>
  </si>
  <si>
    <t xml:space="preserve"> Please submit your lowest price quotation on the lot listed below, stating the shortest time of delivery duly signed by your representative not later than 12 August 2020; 9:00 A.M., Ground Floor, Building No. 6, Department of Health, San Lazaro Compound, </t>
  </si>
  <si>
    <t xml:space="preserve"> Republic of the Philippines PROVINCE OF SOUTHERN LEYTE Maasin City Invitation to Bid for the Procurement of Various Information Technology Equipment &amp; Construction Materials  Contract ID # 2020-08-28-455PG 1.	The Provincial Government of Southern Leyte th</t>
  </si>
  <si>
    <t xml:space="preserve"> Republic of the Philippines DEPARTMENT OF PUBLIC WORKS AND HIGHWAYS CAGAYAN THIRD DISTRICT ENGINEERING OFFICE REGION II Tuguegarao City The DPWH-CAGAYAN THIRD DISTRICT ENGINEERING OFFICE, through the CY 2020 – BEFF  intends to apply the sum of P15,150,000</t>
  </si>
  <si>
    <t xml:space="preserve"> Republic of the Philippines Province of Oriental Mindoro MUNICIPALITY OF PINAMALAYAN OFFICE OF THE BIDS AND AWARDS COMMITTEE Invitation to Bid ITB-2020-39 1.  The Municipal Government of Pinamalayan, Oriental Mindoro, through the authorized appropriations</t>
  </si>
  <si>
    <t xml:space="preserve"> Supply and Delivery of Various Office Equipment and Supplies for Various Departments/Offices of City Government of Makati - Order of payment for Bid Docs will be available at GSD-Head Office @ 10th Floor Makati City Hall Bldg. 2.  Look for Mr. Reden Villa</t>
  </si>
  <si>
    <t xml:space="preserve"> Republic of the Philippines Region X Province of Lanao del Norte Gov. Arsenio A. Quibranza Provincial Government Center Invitation to Bid for the CONCRETING OF MAIGO-MENTRING-INOMA PROVINCIAL ROAD Sta. 5+237.00 -Sta. 6+007.40; Sta. 6+914.24 – Sta. 10+470.</t>
  </si>
  <si>
    <t xml:space="preserve"> The Philippine National Police (PNP) Health Service (HS) invites all PhilGEPS-accredited suppliers to apply for eligibility and to bid for the Procurement of Medical, Dental &amp; Laboratory Supplies. Approved Budget for Contract: Php2,549,928.00 Bid Document</t>
  </si>
  <si>
    <t xml:space="preserve"> INVITATION TO BID REFERENCE NO. 2020-08-008 1.The Department of Social Welfare and Development FO VIII, through the GAA OF CY 2020 intends to apply the sum Thirty-Nine Million, Three Hundred Seventy-Five Thousand, Eight Hundred Thirty-Five Pesos and 95/10</t>
  </si>
  <si>
    <t xml:space="preserve"> Republic of the Philippines PROVINCE OF QUIRINO Cabarroguis -oOo- BIDS AND AWARDS COMMITTEE INVITATION TO BID FOR  Water Source Drilling at QPMC Contract No. PB-CW-2020-030 							August 7, 2020 1.	The Bids and Awards Committee (BAC) of the Provincial Gov</t>
  </si>
  <si>
    <t xml:space="preserve"> Completion of Construction of the whole MPP Building including furniture and fixture and Construction of Car ramp.</t>
  </si>
  <si>
    <t xml:space="preserve"> 1.	The Department of Public Works and Highways, Regional Office I, through the FY 2020 RA 11465 Regular 2020 CURRENT, intends to apply the sum of Ten Million Nine Hundred Seventeen Thousand Six Hundred Ninety One Pesos and Sixty Six Centavos (Php 10,917,6</t>
  </si>
  <si>
    <t xml:space="preserve"> Chicken Meat Production for Food Sufficiency amidst the threat of Covid-19 Pandemic 5,000 head- One-day old chick mixed breed (immunized) 7 bag- Chick Booster 42 bag- Broiler Starter 5 bag- La Sota 650 Sachet- Antibiotic(24grms) 600 Sachet-Electrolytes (2</t>
  </si>
  <si>
    <t xml:space="preserve"> INVITATION TO BID NO. GOODS-035-2020 The Provincial Government of Bataan, through the General Fund035 intends to apply the below listed procurement w/ corresponding Approved Budget of the Contract (ABC). Bids received in excess of the ABC shall be automat</t>
  </si>
  <si>
    <t xml:space="preserve"> INVITATION TO BID The Iligan City Government Bids and Awards Committee (BAC), invites contractors registered by the Philippine Contractors Accreditation Board (PCAB) to bid for the hereunder contract: Name of Project 	  : Construction of Leachate Treatmen</t>
  </si>
  <si>
    <t xml:space="preserve"> Republic of the Philippines DEPARTMENT OF HEALTH WESTERN VISAYAS Center for Health Development INVITATION TO BID FOR THE  Procurement of Water Testing Reagent and Disinfectant,  IB No. SB-2020-029 1.	The Department of Health – WV CHD, through the SA-2020-</t>
  </si>
  <si>
    <t xml:space="preserve"> Description – Procurement and Delivery of Construction Materials for the Concreting of Roads at  1. Ligero, St., Dicabisaan West 2. Domorozo St., Dicabisagan West 3. Camiguing St., Dicabisagan West, and 4. Claravall St., Dicabisagan West and Dicabisagan E</t>
  </si>
  <si>
    <t xml:space="preserve"> Supply and Delivery of Medical Supplies (Helix Test 5.3-MIS Detergent) through Ordering Agreement - Order of payment for Bid Docs will be available at GSD-Head Office @ 10th Floor Makati City Hall Bldg. 2.  Look for Mr. Reden Villanueva. - A  complete set</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</si>
  <si>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</si>
  <si>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4 "Lot(s)" "Venue Rental -" "(Without Aircon) Catering Services 100 "Pax(s)" "Catering Services - Catering Services" "FIRST DAY AM SNACKS  Menu : - Egg Sandwich - Pineapple Juice LUNCH Menu : - Pork Steak - Fish Fillet - Canton Guisado - Rice - Soft drink</t>
  </si>
  <si>
    <t xml:space="preserve"> Concreting of Resettlement Center</t>
  </si>
  <si>
    <t xml:space="preserve"> INVITATION TO BID FOR THE  SUPPLY AND DELIVERY  OF VARIOUS GENERATOR SETS  1.	The Metro Lipa Water District (MLWD), through its 2020 Annual Procurement Plan intends to apply the sum of Six Million Three Hundred Thousand Pesos  (P 6,300,000.00) being the A</t>
  </si>
  <si>
    <t xml:space="preserve"> INVITATION TO APPLY FOR ELIGIBILITY AND TO BID FOR THE CONSTRUCTION OF ISOLATION BUILDING @ BURGOS, ISABELA. ITEM NO./WORK DESCRIPTION/QUANTITY/UNIT I.	GENERAL REQUIREMENTS - L .S. ALL II.	EARTH WORKS - 141.85 CU.M. III.	CONCRETE WORKS		 A.	FOOTING - 16.0</t>
  </si>
  <si>
    <t xml:space="preserve"> Republic of the Philippines DEPARTMENT OF HEALTH WESTERN VISAYAS Center for Health Development INVITATION TO BID FOR THE  Procurement of Lubricated Male Condoms IB No. SB-2020-033 1.	The Department of Health – WV CHD, through the SAA-2020-04-0726 fund  in</t>
  </si>
  <si>
    <t xml:space="preserve"> INVITATION FOR NEGOTIATED PROCUREMENT UNDER TWO-FAILED BIDDING  CONSULTING SERVICES FOR THE REVIEW AND UPDATING OF THE STUDY ON THE FLUCTUATION FACTORS (K) AND PARAMETRIC FORMULA UNDER THE REVISED CONTRACT PRICE ESCALATION GUIDELINES AND THE UPDATING OF T</t>
  </si>
  <si>
    <t xml:space="preserve"> 1	FUSER ASSEMBLY FOR HP LASERJET 605 SERIES	1	SET	  35,600.00  2	RIBBON CARTRIDGE EPSON LX310 (C13S015632), BLACK	6	PC		 250.00  3	TONER CARTRIDGE CF281A HP LASERJET M605	2	PC		 12,500.00  4	TONER CARTRIDGE FOR HP 600 #90A	3	PC		 12,500.00</t>
  </si>
  <si>
    <t xml:space="preserve"> INVITATION TO BID The Surigao del Sur 1st District Engineering Office, Tandag City, through its Bids and Awards Committee (BAC), invites contractors to submit bids for the following Contract: CONTRACT ID	:	20NH0094 CONTRACT NAME	:	Concreting of Brgy. Bita</t>
  </si>
  <si>
    <t xml:space="preserve"> 1	CABINET FILING, DOUBLE, 4 LAYERS	5	UNIT	 	 18,500.00</t>
  </si>
  <si>
    <t xml:space="preserve"> Republic of the Philippines PROVINCE OF QUIRINO Cabarroguis -oOo- BIDS AND AWARDS COMMITTEE INVITATION TO BID FOR  Construction of Promenade Contract No. PB-CW-2020-032 							August 7, 2020 1.	The Bids and Awards Committee (BAC) of the Provincial Governm</t>
  </si>
  <si>
    <t xml:space="preserve"> Republic of the Philippines Province of Oriental Mindoro MUNICIPALITY OF PINAMALAYAN OFFICE OF THE BIDS AND AWARDS COMMITTEE Invitation to Bid ITB-2020-40 1.  The Municipal Government of Pinamalayan, Oriental Mindoro, through the authorized appropriations</t>
  </si>
  <si>
    <t xml:space="preserve"> 1	TONER/ INK DCP T710W, BROTHER, ORIGINAL, ASSORTED COLORS	6	SET		 2,000.00  2	TONER HP 55A BLACK/ HP M552, ASSORTED COLORS (ORIGINAL, NOT REFILL)	1	SET		 45,000.00  3	WIRELESS ADAPTER USB, TP LINK, DUAL BAND	4	UNIT		 750.00</t>
  </si>
  <si>
    <t xml:space="preserve"> 1	SCANNER/PRINTER (LASER, COLORED) ETC. ALL-IN-ONE MULTI FUNCTION, FAX PRINTER, COPIER, SCANNER	1	UNIT	 86,530.00</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</si>
  <si>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</si>
  <si>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MUNICIPALITY OF ECHAGUE                                                                  Province of Isabela INVITATION TO BID FOR  THE  CONCRETE  PAVING OF LIBERTAD-ARA</t>
  </si>
  <si>
    <t xml:space="preserve"> Complete construction of (9.50mx36.00m) One (1) Storey Four (4) Classroom School Building mostly built with concrete and masonry,With PWD ramp with handrails, parapet wall on concrete gutter and  Complete with electrical works, sanitary plumbing works and</t>
  </si>
  <si>
    <t xml:space="preserve"> FURNISHING OF LABOR, MATERIALS AND EQUIPMENT RENTALS FOR THE CORE LOCAL ACCESS ROAD (SUPA-CANSILAYAN CIRCUMFERENCIAL ROAD) AT BRGY. SUPA-CANSILAYAN, TIGBAUAN, ILOILO.</t>
  </si>
  <si>
    <t xml:space="preserve"> Republic of the Philippines Province of Leyte Municipality of Hilongos INVITATION TO BID FOR THE PROCUREMENT OF PHOTO COPIER 1.  The Local Government Unit of Hilongos, through GENERAL FUND-SUPPLEMENTAL BUDGET NO. 2020-06 intends to apply the sum NINETY TH</t>
  </si>
  <si>
    <t xml:space="preserve"> INVITATION TO BID The Iligan City Government Bids and Awards Committee (BAC), invites contractors registered by the Philippine Contractors Accreditation Board (PCAB) to bid for the hereunder contract: Name of Project 	  : Procurement of Electro-Mechanical</t>
  </si>
  <si>
    <t xml:space="preserve"> 1500 "Piece(s)" "Bag Backpack -" "Bag, Backpack printed with Maasin City Logo  (color : combination of Fushia pink and black; height -16 inches; thickness - 8 inches; logo should be printed in colored; pls see attached design for reference)" 2700 "Piece(s</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</si>
  <si>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</si>
  <si>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Name of Project			:  Construction of Ware House Building Location                       		:  Bonbon, Sagay, Camiguin Brief Description        			:  Structural Concrete Works Specification       			:  Attached in the Forms of Bids Approved Budget for the C</t>
  </si>
  <si>
    <t xml:space="preserve"> Invitation to Bid for the Construction of ASCOM Facilities at Camp Aquino, Tarlac for the Bases Conversion and Development Authority (BCDA) Public Bidding No. 20-022-3 1. The Bases Conversion and Development Authority (BCDA) and the Procurement Service – </t>
  </si>
  <si>
    <t xml:space="preserve"> INVITATION TO BID HAULING OF RESIDUAL WASTE ITB 2020-08-042 (GOODS) 1. 	The Municipality of Tuba, through the Budget for the contract approved by the Sangguniang Bayan for CY 2020 intends to apply the sum of One Million Five Hundred Thousand Pesos (Php 1,</t>
  </si>
  <si>
    <t xml:space="preserve"> Construction of Spillway with 13m. Portland Cement Concrete Pavement</t>
  </si>
  <si>
    <t xml:space="preserve"> Republic of the Philippines DEPARTMENT OF HEALTH WESTERN VISAYAS Center for Health Development INVITATION TO BID FOR THE  Procurement of Drugs and Medicines for Botika ng Bayan,  IB No. SB-2020-035 1.	The Department of Health – WV CHD, through the 2020 NC</t>
  </si>
  <si>
    <t xml:space="preserve"> Republic of the Philippines DEPARTMENT OF HEALTH WESTERN VISAYAS Center for Health Development INVITATION TO BID FOR THE  Procurement of Drugs and Medicines,  IB No. SB-2020-034 1.	The Department of Health – WV CHD, through the 2020 GOP Pooled, CONAP SAA </t>
  </si>
  <si>
    <t xml:space="preserve"> 1	INK REFILL FOR CONTINUOUS INK SYSTEM PRINTER, 4BOTS/SET (BLACK, YELLOW, CYAN, MAGENTA) EPSON L3110	1	SET	 4,000.00  2	RIBBON CARTRIDGE EPSON LX-310 (C13S015632), BLACK	2	PC		 2,000.00  3	TONER HP M577-BLACK, COLORED	1	SET		 60,000.00</t>
  </si>
  <si>
    <t xml:space="preserve"> Republic of the Philippines Province of Oriental Mindoro MUNICIPALITY OF PINAMALAYAN OFFICE OF THE BIDS AND AWARDS COMMITTEE Invitation to Bid ITB-2020-41 1.  The Municipal Government of Pinamalayan, Oriental Mindoro, through the authorized appropriations</t>
  </si>
  <si>
    <t xml:space="preserve"> Republic of the Philippines PROVINCIAL GOVERNMENT OF EASTERN SAMAR Capitol Building, Borongan, Eastern Samar, 6800 Tel No. (055)-560-8312 E-mail Address: esamar.bac@gmail.com BIDS AND AWARDS COMMITTEE (BAC) INVITATION TO BID FOR THE  PROCUREMENT OF MEDICA</t>
  </si>
  <si>
    <t xml:space="preserve"> Republic of the Philippines PROVINCE OF QUIRINO Cabarroguis -oOo- BIDS AND AWARDS COMMITTEE INVITATION TO BID FOR  Installation of 10,000 Gallons Capacity Stainless Water Tank and Main Pipelines for Public Grandstand,  VIP Grandstand and other Facilities </t>
  </si>
  <si>
    <t xml:space="preserve"> Republic of the Philippines PROVINCE OF QUIRINO Cabarroguis -oOo- BIDS AND AWARDS COMMITTEE INVITATION TO BID FOR  Construction of 10,000 Gals. Elevated Water Tank for Dialysis at QPMC Contract No. PB-CW-2020-034 							August 7, 2020 1.	The Bids and Awar</t>
  </si>
  <si>
    <t xml:space="preserve"> Republic of the Philippines Province of Siquijor Municipality of Maria INVITATION TO BID FOR Procurement of Submersible Water Pump and Its Accessories – Maria, Siquijor / MAR-00047G-2020 1.	The LGU – Municipality of Maria, through the 20% Development Fund</t>
  </si>
  <si>
    <t xml:space="preserve"> Republic of the Philippines PROVINCIAL GOVERNMENT OF EASTERN SAMAR Capitol Building, Borongan, Eastern Samar, 6800 Tel No. (055)-560-8312 E-mail Address: esamar.bac@gmail.com BIDS AND AWARDS COMMITTEE (BAC) INVITATION TO BID FOR RENOVATION OF QUINAPONDAN </t>
  </si>
  <si>
    <t xml:space="preserve"> Republic of the Philippines PROVINCE OF QUIRINO Cabarroguis -oOo- BIDS AND AWARDS COMMITTEE INVITATION TO BID FOR  Improvement of Hostel A at QWC Contract No. PB-CW-2020-031 							August 7, 2020 1.	The Bids and Awards Committee (BAC) of the Provincial Go</t>
  </si>
  <si>
    <t xml:space="preserve"> Multi-Purpose Hall,Farm to Market Road, Flood Control, Sprinkler System</t>
  </si>
  <si>
    <t xml:space="preserve"> Republic of the Philippines Province of Leyte Municipality of Hilongos INVITATION TO BID FOR THE PROCUREMENT OF HANDHELD RADIO 1.  The Local Government Unit of Hilongos, through GENERAL FUND-SUPPLEMENTAL BUDGET NO. 2020-06 intends to apply the sum ONE HUN</t>
  </si>
  <si>
    <t xml:space="preserve"> Supply and Delivery of Medical Supplies (Implantable Access Port System – Power Injectable Safety Non-Coring Needle) through Ordering Agreement - Order of payment for Bid Docs will be available at GSD-Head Office @ 10th Floor Makati City Hall Bldg. 2.  Lo</t>
  </si>
  <si>
    <t xml:space="preserve"> Supply &amp; delivery of one (1) unit pick-up type vehicle Specs: Engine size - 2.4L Displacement - 2.393cc Number of cylinders - 4 Number of valves - 16 Transmission Category - 6 speed automatic transmission Power Train -rear-wheel drive Max Output (HP) - 17</t>
  </si>
  <si>
    <t xml:space="preserve"> Republic of the Philippines Region X Province of Lanao del Norte Gov. Arsenio A. Quibranza Provincial Government Center Invitation to Bid for the CONCRETING OF RUPAGAN-PAGAYAWAN PROVINCIAL ROAD Sta. 1+778.63 -Sta. 3+770.00 Project Location: Bacolod , Lana</t>
  </si>
  <si>
    <t xml:space="preserve"> The Philippine National Police (PNP) Health Service (HS) invites all PhilGEPS-accredited suppliers to apply for eligibility and to bid for the Procurement of Medical, Dental &amp; Laboratory Supplies. Approved Budget for Contract: Php819,770.02 Bid Documents </t>
  </si>
  <si>
    <t xml:space="preserve"> Republic of the Philippines PROVINCE OF BILIRAN Municipality of Naval – 6560 Project Reference Number: ITB No. 20-31     INVITATION TO BID FOR THE SUPPLY AND DELIVERY  OF 909 SACKS COMMERCIAL RICE 	1.	The Provincial Government of Biliran through PCSO, int</t>
  </si>
  <si>
    <t xml:space="preserve"> Republic of the Philippines DEPARTMENT OF HEALTH WESTERN VISAYAS Center for Health Development INVITATION TO BID FOR THE  Procurement of Laboratory Supplies for TB Infection Control, IB No. SB-2020-032 1.	The Department of Health – WV CHD, through the PHM</t>
  </si>
  <si>
    <t xml:space="preserve"> Section I. Invitation to Bid                                             	Republic of the Philippines                                             Municipality of Kalayaan                                             Province of Palawan 	Bids and Awards Com</t>
  </si>
  <si>
    <t xml:space="preserve"> SUPPLY AND DELIVERY OF MATERIALS, SUPPLIES FOR OFFICE EQUIPMENTS USE.</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</si>
  <si>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</si>
  <si>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Concreting of Existing Municipal Road W-4.00 x L-212 mtr x0.15m thick pavement 2nd posting- failure of bidding due to none appearance of interested bidder.</t>
  </si>
  <si>
    <t xml:space="preserve"> Republic of the Philippines Province of Oriental Mindoro MUNICIPALITY OF PINAMALAYAN OFFICE OF THE BIDS AND AWARDS COMMITTEE Invitation to Bid ITB-2020-42 1.  The Municipal Government of Pinamalayan, Oriental Mindoro, through the authorized appropriations</t>
  </si>
  <si>
    <t xml:space="preserve"> Republic of the Philippines DEPARTMENT OF HEALTH WESTERN VISAYAS Center for Health Development INVITATION TO BID FOR THE  Procurement of Hospital Equipment,  IB No. SB-2020-036 1.	The Department of Health – WV CHD, through the SAA No. 2020-05-0882 fund  i</t>
  </si>
  <si>
    <t xml:space="preserve"> REINFORCED CONCRETE WORKS MATERIAL AND LABOR</t>
  </si>
  <si>
    <t xml:space="preserve"> INVITATION TO BID The local government unit of Sagay Camiguin Province through its Bids and Awards Committee (BAC), invites supplier/manufacturers/distributors to apply to bid for the following:    Name of Project           : Local Access Road (Concreting</t>
  </si>
  <si>
    <t xml:space="preserve"> LOT 1.	MEDICINES		 	1.	Medicine, Acetylcysteine 600 mg Granules for Solution Mucolytic 	2000	sachet 	2.	Medicine, Aluminum Hydroxide, Magnesium Hydroxide, Simeticone Antacid Chewable 178mg/233mg/30mg	2000	tab 	3.	Medicine, Amoxicillin capsule 500mg 	1700	</t>
  </si>
  <si>
    <t xml:space="preserve"> FURNISHING OF LABOR, MATERIALS AND EQUIPMENT RENTALS FOR THE CONCRETING OF LEON-OMAMBONG-CORDOVA ROAD, TIGBAUAN, ILOILO.</t>
  </si>
  <si>
    <t xml:space="preserve"> Republic of the Philippines Province of Palawan Municipality of Narra INVITATION TO BID 1.	The Municipal Government of Narra, through Ord. No, 2019-904 intends to apply the sum of FOUR MILLION FIVE HUNDRED THOUSAND PESOS (PHP 4,500,000.00) being the Appro</t>
  </si>
  <si>
    <t xml:space="preserve"> Republic of the Philippines Province of Iloilo BIDS AND AWARDS COMMITTEE INVITATION TO BID Purchase ofCommunication Equipment Bid No.PPO-19-1873-B (Rebid) 1. The Iloilo Provincial Government, through the 2018CAPITAL OUTLAYintends to apply the sum of NINET</t>
  </si>
  <si>
    <t xml:space="preserve"> REINFORCED WORKS MATERIALS AND LABOR</t>
  </si>
  <si>
    <t xml:space="preserve"> Republic of the Philippines Province of Leyte Municipality of Hilongos INVITATION TO BID FOR THE PURCHASE OF PROJECTOR 1.  The Local Government Unit of Hilongos, through GENERAL FUND-CONTINUING APPROPRIATION-SUPPLEMENTAL BUDGET NO. 2019-01 intends to appl</t>
  </si>
  <si>
    <t xml:space="preserve"> Republic of the Philippines CITY OF PANABO Province of Davao del Norte BIDS AND AWARDS COMMITTEE -o0o- INVITATION TO BID 													August 7, 2020 1.	The City Government of Panabo, through the source of fund as indicated below intends to apply the sum a</t>
  </si>
  <si>
    <t xml:space="preserve"> Republic of the Philippines Province of Iloilo BIDS AND AWARDS COMMITTEE INVITATION TO BID Purchase ofOffice Equipment Bid No.PPO-20-0937-B  1. The Iloilo Provincial Government, through the 2020 CAPITAL OUTLAY intends to apply the sum of THREE HUNDRED SIX</t>
  </si>
  <si>
    <t xml:space="preserve"> INVITATION TO BID The Provincial Government of Bulacan (PGB), through its Bids and Awards Committee (BAC), invites contractors to apply for eligibility and to bid for hereunder projects: NO.	PROJECT TITLE	ABC	CONTRACT DURATION	SOURCE OF FUND GOODS-082620-</t>
  </si>
  <si>
    <t xml:space="preserve"> Please see attach documents</t>
  </si>
  <si>
    <t xml:space="preserve"> 1.	SCOPE OF WORK: I.	RELOCATION OF EXISTING WATER PRESSURE TANK, DEMOLITION OF EXISTING ROOF CONCRETE CANOPY AND STEEL RAILINGS (Back portion only) II.	MASONRY WORKS III.	DRY WALL PARTITION IV.	DOORS AND WINDOWS a)	Windows W1 (6.05m x 1.20m) W2 (4.05m x 2</t>
  </si>
  <si>
    <t xml:space="preserve"> GROUTED RIPRAP WORKS MATERIAL AND LABOR</t>
  </si>
  <si>
    <t xml:space="preserve"> The Municipality of Baliwag, through its Bids and Awards Committee (BAC), invites contractors to apply for eligibility and to bid the here ender project: Name of Project	:	PRINTING AND INFORMATION AND COMMUNICATION  				TECHNOLOGY (ICT) EQUIPMENT FOR VARI</t>
  </si>
  <si>
    <t xml:space="preserve"> INVITATION TO BID IB No. GS-2020 – 075-A Hospital/Medical Equipment for use of OMSDH/ for the Covid &amp; Non Covid patients of OMSDH 1. The  Provincial  Government  of  Oriental  Mindoro  (PGOM)  through  the  20% Development Fund CA 2019 intends  to  apply </t>
  </si>
  <si>
    <t xml:space="preserve"> INVITATION TO BID IB No. GS-2020 – 094 Chemicals and Chemical Products for use of the OMPH patients/2nd quarter 2020 1. The  Provincial  Government  of  Oriental  Mindoro  (PGOM)  through  the  Trust Fund intends  to  apply  the  sum  of  One Million Five</t>
  </si>
  <si>
    <t xml:space="preserve"> Republic of the Philippines MUNICIPALITY OF KAPALONG Province of Davao del Norte 	o0o	 INVITATION TO BID 		 Supply &amp; Delivery of Other Supplies 1.	The Local Government Unit of Kapalong, through the 20% Dev’t. Fund –SB# 2- 2020  intends to apply the sum of</t>
  </si>
  <si>
    <t xml:space="preserve"> Item 103-Structural Excavation, Q= 54.00 cu.m., with 40.00 linear meters, A. Equipment Rental: one (01) unit  jackhammer, and one (01) unit concrete saw, B. Labor: ten (10) manpower, Item 404- Reinforcing Steel, Q= 1,280.79 kls. A. Materials: 16mm x 6.0m </t>
  </si>
  <si>
    <t xml:space="preserve"> Please see attached files for reference. File names: 1. ITB - Pest Control 2. Bid Docs- Pest Control ***nothing follows***</t>
  </si>
  <si>
    <t xml:space="preserve"> INVITATION TO BID IB No. GS-2020 – 093 Chemicals and Chemical Products for OMPH patients use 1. The  Provincial  Government  of  Oriental  Mindoro  (PGOM)  through  the  Trust Fund  intends  to  apply  the  sum  of  One Million Three Hundred Thirty Seven </t>
  </si>
  <si>
    <t xml:space="preserve"> INVITATION TO BID Purchase and Delivery of Cover All and Mask Set for Front Liners ITB 2020-08-043 (GOODS) 1. 	The Municipality of Tuba, through the Budget for the contract approved by the Sangguniang Bayan for CY 2019 intends to apply the sum of Three Hu</t>
  </si>
  <si>
    <t xml:space="preserve"> 1.		A4 bondpaper, sub 20 	ream	5 2.		Alcohol, 70% Ethyl 500mL 	bottle	5 3.		Alcohol, 70% Isopropyl 250mL 	bottle	24 4.		Alcohol, 75% Isopropyl 500mL 	bottle	44 5.		Alcohol, 75% Isopropyl 500mL Scented	bottle	150 6.		Ballpen-black good quality	piece	684 7.</t>
  </si>
  <si>
    <t xml:space="preserve"> INVITATION TO BID IB No. GS-2020 – 092 Chemicals and Chemical Products for OMPH patients use 1. The  Provincial  Government  of  Oriental  Mindoro  (PGOM)  through  the  Trust Fund  intends  to  apply  the  sum  of  One Million Three Hundred Eighty Eight </t>
  </si>
  <si>
    <t xml:space="preserve"> PROJECT:  PERIMETER FENCE AND GATE LOCATION: BARANGAY CASTILLO, CONCEPCION, TARLAC APPROVED BUDGET FOR THE CONTRACT: PHP 522,131.33 SOURCE OF FUND: 20% BDF The contract to be performed by the successful bidder shall be specified in the Technical Quotation</t>
  </si>
  <si>
    <t xml:space="preserve"> Fund Source: Trust Liabilities- DRRM Types of Work to be Done: Provision of safety and health program/ provision of billboard/ removal of structures and obstruction (other than concrete)/ structure excavation/ grouted riprap, class A</t>
  </si>
  <si>
    <t xml:space="preserve"> Fund Source: 20% PDF 2019 Types of work to be Done: provision of billboard/ occupational safety and health program/ structure excavation/ structural concrete/ reinforcing steel bar/ forms and falseworks/ cement plaster finish/ masonry works</t>
  </si>
  <si>
    <t xml:space="preserve"> Invitation to Bid for Supply and Delivery of Office Supplies for the Printing of Self-Learning Modules in DepED Division of Oroquieta City  1.	The DepED, Division of Oroquieta City, through the Letter of Advice of Allotment No. LAA-10-20-192 dated July 24</t>
  </si>
  <si>
    <t xml:space="preserve"> INVITATION TO BID NO. DRD-GOODS-CO-1-2020 1.	The National Irrigation Administration - Upper Pampanga River Integrated Irrigation Systems, Dam and Reservoir Division (NIA-UPRIIS, DRD). Bids received in excess of the ABC shall be automatically rejected at b</t>
  </si>
  <si>
    <t xml:space="preserve"> INVITATION TO BID The __DEPARTMENT OF PUBLIC WORKS AND HIGHWAYS - DISTRICT ENGINEER’S OFFICE ZAMBOANGA CITY__, through its Bids and Awards Committee (BAC), invites contractors to submit bids for the following Contract: Contract ID: 20JA0094   (RE-ADVERTIS</t>
  </si>
  <si>
    <t xml:space="preserve"> INVITATION TO BID The Municipal Government of Nampicuan, through its Bids and Awards Committee (BAC), invites Contractors to apply for eligibility and to bid for the hereunder projects: Name of Project	Approved Budget of the Contract	Bid Document Fee (Non</t>
  </si>
  <si>
    <t xml:space="preserve"> Republic of the Philippines DEPARTMENT OF EDUCATION REGION VI–WESTERN VISAYAS DIVISION OF NEGROS OCCIDENTAL Cottage Road, Bacolod City Tel/Fax # - (034) 435–3960 e–mail: negros.occidental001@deped.gov.ph Website: www.depednegrosoccidental.weebly.com _____</t>
  </si>
  <si>
    <t xml:space="preserve"> 1.	The Provincial Government of Davao del Norte, through CY 2020 Annual Budget hereby invites all interested PhilGEPS registered suppliers to submit bids for the procurement of goods. Bids received in excess of the ABC shall be automatically rejected at b</t>
  </si>
  <si>
    <t xml:space="preserve"> Republic of the Philippines PROVINCE OF QUIRINO Cabarroguis -oOo- BIDS AND AWARDS COMMITTEE INVITATION TO BID FOR  Concreting of Front Yard at LTO Contract No. PB-CW-2020-035 							August 7, 2020 1.	The Bids and Awards Committee (BAC) of the Provincial G</t>
  </si>
  <si>
    <t xml:space="preserve"> INVITATION TO BID IB No. GS-2020 – 100 Information Technology Parts and Accessories &amp; Perip for OMSDH use 1. The  Provincial  Government  of  Oriental  Mindoro  (PGOM)  through  the  General Fund CA 2019  intends  to  apply  the  sum  of  One Million Eigh</t>
  </si>
  <si>
    <t xml:space="preserve"> INVITATION TO BID The Department of Public Works and Highways - Pampanga 1st District Engineering Office, through its Bids and Awards Committee (BAC), invites contractors to submit bids for the following Contract: 1.	 Procurement ID/Contract ID	:	20CG0267</t>
  </si>
  <si>
    <t xml:space="preserve"> INVITATION TO BID IB No. GS-2020 – 095 Construction Materials and Supplies for use in the Construction of SSG Office at San Teodro NHS, San Teodoro, Oriental Mindoro/ Completion of Gymnasium at Ma. Estrella E/S, Tawiran, Calapan City, Oriental Mindoro/ Co</t>
  </si>
  <si>
    <t xml:space="preserve"> INVITATION TO BID IB No. GS-2020 – 096 Construction Materials and Supplies for use in the Improvement of Barangay Hall at Brgy. Bagumbayan, Roxas, Oriental Mindoro/ Repair of Kinder and Grade 1 Classroom at San Juan E/S, Brgy. Cantil Roxas, Oriental Mindo</t>
  </si>
  <si>
    <t xml:space="preserve"> INVITATION TO BID The local government unit of Sagay Camiguin Province through its Bids and Awards Committee (BAC), invites supplier/manufacturers/distributors to apply to bid for the following: Name of Project		:  Water Metering System (for Brgy. Bacnit,</t>
  </si>
  <si>
    <t xml:space="preserve"> INVITATION TO BID The Iligan City Government Bids and Awards Committee (BAC), invites contractors registered by the Philippine Contractors Accreditation Board (PCAB) to bid for the hereunder contract: Name of Project 	  : Construction of Iligan’s Best Dis</t>
  </si>
  <si>
    <t xml:space="preserve"> Republic of the Philippines Department of National Defense PHILIPPINE VETERANS AFFAIRS OFFICE Veterans Compound Camp General Emilio Aguinaldo, Quezon City Invitation to Bid for  REPAIR/RENOVATION OF MSB BUILDING AND CONSTRUCTION OF GREEN PARK AND CAR PARK</t>
  </si>
  <si>
    <t xml:space="preserve"> PROCUREMENT OF SUPPLY, DELIVERY, CONFIGURATION  AND INSTALLATION SERVICES  OF NETWORK EQUIPMENT AND INFRASTRUCTURE  FOR PSA-RSSO V OFFICE BUILDING</t>
  </si>
  <si>
    <t xml:space="preserve"> Please see attached Bid Document</t>
  </si>
  <si>
    <t xml:space="preserve"> a.CONTRACT  ID : ANTIPOLO-27AUGUST2020-02 b. NAME OF PROJECT : Improvement of Drainage Canal and Pavement along V.V. Soliven Avenue, Brgy. Mayamot, Antipolo City c. LOCATION : Brgy. Mayamot, Antipolo City d. BRIEF DESCRIPTION : Improvement of Drainage Can</t>
  </si>
  <si>
    <t xml:space="preserve"> CONSTRUCTION OF 4STY 24CL SCHOOL BUUILDING</t>
  </si>
  <si>
    <t xml:space="preserve"> a.CONTRACT  ID : ANTIPOLO-27AUGUST2020-04 b. NAME OF PROJECT : Improvement of Drainage Canal and Concreting of Road at Portion of Napoleon Street  &amp; Louis Street, Edward VIII Street, Kingsville Subdivision, Barangay Mayamot &amp; Barangay Mambugan, Antipolo C</t>
  </si>
  <si>
    <t xml:space="preserve"> supply and deliver various furniture (see attached for the list of furniture)</t>
  </si>
  <si>
    <t xml:space="preserve"> a.CONTRACT  ID : ANTIPOLO-27AUGUST2020-05 b. NAME OF PROJECT : Rehabilitation/Improvement/Construction of Drainage System at M. Santos Extension, Barangay San Jose, Antipolo City c. LOCATION : Barangay San Jose, Antipolo City d. BRIEF DESCRIPTION : Rehabi</t>
  </si>
  <si>
    <t xml:space="preserve"> INVITATION TO BID PROCUREMENT OF BOND PAPER (A4 S-20) 					        For the Reproduction of Self-Learning Modules for Quarter 1 1.	The Schools Division Office of Catanduanes, through the General Appropriation Act (GAA) CY 2020 intends to apply the sum of  </t>
  </si>
  <si>
    <t xml:space="preserve"> a.CONTRACT  ID : ANTIPOLO-27AUGUST2020-03 b. NAME OF PROJECT : Construction of Drainage System from Frederick St., Gustavos St., Michael St. Open Space (Area 7) to Creek, Kingsville Subdivision, Brgy. Mambugan, Antipolo City c. LOCATION : Brgy. Mambugan, </t>
  </si>
  <si>
    <t xml:space="preserve"> INFRA NO-2020-013 Invitation to Bid for CONSTRUCTION OF 1-UNIT MULTI-PURPOSE BUILDING (CHILD DEVELOPMENT CENTER) AT VILLA AGLIPAY SAN JOSE, TARLAC 1.The LGU San Jose, Tarlac had budget approved by Sangguniang Bayan of San Jose, Tarlac intends to apply the</t>
  </si>
  <si>
    <t xml:space="preserve"> Republic of the Philippines CITY OF PANABO Province of Davao del Norte BIDS AND AWARDS COMMITTEE -o0o- INVITATION TO BID  SUPPLY OF 5 UNITS PHOTOCOPIER 1.	The City of Panabo, through LSB/DEP.ED-CAPITAL OUTLAY 2020 intends to apply the sum of One Million O</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</si>
  <si>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</si>
  <si>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Republic of the Philippines CITY OF PANABO Province of Davao del Norte BIDS AND AWARDS COMMITTEE -o0o- INVITATION TO BID  SUPPLY OF 1 UNIT PRINTER 1.	The City of Panabo, through LSB/DEP.ED-CAPITAL OUTLAY 2020 intends to apply the sum of One Million Three </t>
  </si>
  <si>
    <t xml:space="preserve"> CONCRETING OF FARM TO MARKET ROAD</t>
  </si>
  <si>
    <t xml:space="preserve"> INVITATION TO BID  The DPWH, Negros Occidental 2nd District Engineering Office, Binalbagan, Negros Occidental, through its Bids and Awards Committee (BAC), invites contractors to submit bids for the following Contract:       Contract ID		:  20GL0096      </t>
  </si>
  <si>
    <t xml:space="preserve"> Fund Source: 20% PDF 2020 Types of Work to be Done:  Project billboard/ signboard/ occupational safety and health program/ removal of structures and obstruction/ roadway excavation/ structure excavation (common soil)/ grouted riprap (class A)</t>
  </si>
  <si>
    <t xml:space="preserve"> Invitation to Bid For   Printing of Various LANDBANK Forms 1.	The LAND BANK OF THE PHILIPPINES (LANDBANK), through its Corporate Budget for the contract approved by the Board of Directors for 2020 intends to apply the total sum of Ten Million Seven Hundre</t>
  </si>
  <si>
    <t xml:space="preserve"> Republic of the Philippines                                                        Province of Batangas                                                   Nasugbu, Batangas                                                                                    </t>
  </si>
  <si>
    <t xml:space="preserve"> INVITATION TO BID  The DPWH, Negros Occidental 2nd District Engineering Office, Binalbagan, Negros Occidental, through its Bids and Awards Committee (BAC), invites contractors to submit bids for the following Contract: Contract ID		:  20GL0095 Contract Na</t>
  </si>
  <si>
    <t xml:space="preserve"> CONSTRUCTION OF CONCRETE ROAD</t>
  </si>
  <si>
    <t xml:space="preserve"> a.CONTRACT  ID : ANTIPOLO-27AUGUST2020-06 b. NAME OF PROJECT : Construction of Stone Masonry Riverwall (Portion), Trash Trap and Box Culvert along Labahan Creek at Poseidon Street, Crestview Subdivision, Brgy. Cupang, Antipolo City c. LOCATION : Brgy. Cup</t>
  </si>
  <si>
    <t xml:space="preserve"> Invitation to Bid for Supply and Delivery of Office Supplies and IT Equipment for the Implementation of Learning Continuity Plan in DepED Division of Oroquieta City  1.	The DepED, Division of Oroquieta City, through the 2019 Special Education Fund intends</t>
  </si>
  <si>
    <t xml:space="preserve"> Invitation to Bid for Supply and Delivery of Office Supplies and Equipment for the Implementation of Learning Continuity Plan in DepED Division of Oroquieta City  1.	The DepED, Division of Oroquieta City, through the 2019 Special Education Fund intends to</t>
  </si>
  <si>
    <t xml:space="preserve"> I	10.00	UNIT	LAPTOP		 			Specifications		 			Raizen 5		 			4GB RAM		 			Quad Core, 2.1 ghz		 			1 TB Hardrive		 			128SSD		 			14" Monitor		 			Wifi &amp; Bluetooth Ready		 			with Camera		 			Windows 10</t>
  </si>
  <si>
    <t xml:space="preserve"> Item &amp; Description							Unit of Issue	Quantity (6-23 months) Fortified Instant Cereal Baby Food Blend (Rice + Mongo) 30grams        pc		15,300 Rich Nutty Chocolate Flavored Complementary Food 25grams	      pc		5,100 (Pregnant Women) Brown Rice Bar (Ready</t>
  </si>
  <si>
    <t xml:space="preserve"> 1 CU.M DEMOLITION 25 SQ.M CLEARING &amp; LAY OUT 8 CU.M. EXCAVATION FOR STRUCTURE 10 CU.M EMBANKMENT 66 SQ.M FORMWORKS AND SCAFFOLDINGS 11 CU.M CONCRETE WORKS 1,060.50 KGS REBARS 112 SQ.M. MASONRY WORKS 136 SQ.M. PLASTERING 2.82 SQ.M TILE WORKS 1 L.S. DOORS A</t>
  </si>
  <si>
    <t xml:space="preserve"> a.CONTRACT  ID : ANTIPOLO-27AUGUST2020-07 b. NAME OF PROJECT : Construction of Drainage System Phase II at Maguey Road, Brgy. San Isidro &amp; San Luis, Antipolo City c. LOCATION : Brgy. San Isidro &amp; San Luis, Antipolo City d. BRIEF DESCRIPTION : Construction</t>
  </si>
  <si>
    <t xml:space="preserve"> The City Government of Naga, through the General Services Offices (GSO) budget, intends to apply the sum of One Million One Hundred Ten Thousand Six Hundred Forty (P 1,110,640.00) Pesos being the Approved Budget for the Contract (ABC) to payment under the</t>
  </si>
  <si>
    <t xml:space="preserve"> Invitation to Bid Rehabilitation / Improvement of DepEd School Division Office  Building , and  COA Office Building  1.	The Department of Education (DepED) Division of Zamboanga del Sur, through the TRUST FUND intends to apply the sum of Three Million, Tw</t>
  </si>
  <si>
    <t xml:space="preserve"> PROCUREMENT OF OFFICE SUPPLIES, JANITORIAL AND OTHER SUPPLIES FOR THE USE OF LGU-TIGBAUAN, ILOILO.</t>
  </si>
  <si>
    <t xml:space="preserve"> Republic of the Philippines Province of Cagayan Municipality of Camalaniugan  Barangay Catotoran Norte August 6, 2020 Invitation to Bid for the CONSTRUCTION &amp; INSTALLATION OF STREETLIGHT @ BARANGAY CATOTORAN NORTE        1.	The Barangay Catotoran Norte, t</t>
  </si>
  <si>
    <t xml:space="preserve"> CONSTRUCTION OF 1 UNIT 4STY 4LAB, SCHOOL BUILDING</t>
  </si>
  <si>
    <t xml:space="preserve"> The Bureau of Fisheries and Aquatic Resources Region XI now invites bids for the Supply and Delivery of 6-Wheeler Light Duty Truck with Refrigerated Van, Type-4 cylinder, 5-6 speed Manual, 100L tank capacity, and displacement of 2,500-3,500 cc for BFAR XI</t>
  </si>
  <si>
    <t xml:space="preserve"> Invitation to Bid For Supply, Delivery and Installation of Advanced Malware Protection System with Three (3) Years Warranty and Subscription  1.	The LAND BANK OF THE PHILIPPINES (LANDBANK), through its Corporate Budget for the contract approved by the Boa</t>
  </si>
  <si>
    <t xml:space="preserve"> Republic of the Philippines Province of Misamis Oriental Municipality of Lugait -oOo- INVITATION TO BID FOR THE PROCUREMENT OF  MEDICINES AND MEDICAL SUPPLIES FOR THE USE  OF MUNICIPAL HEALTH OFFICE  OF LOCAL GOVERNMMENT UNIT OF LUGAIT, MISAMIS ORIENTAL. </t>
  </si>
  <si>
    <t xml:space="preserve"> Various School forms  FORM 137 FORM 138 SF10 HEALTH CARD others Total  20,300.00</t>
  </si>
  <si>
    <t xml:space="preserve"> Republic of the Philippines CITY GOVERNMENT OF ANTIPOLO Antipolo City INVITATION TO BID For the Supply &amp; Delivery of Laboratory Machine Reagents including the Lending of Laboratory Machine through Ordering Agreement Modality The City Government of Antipol</t>
  </si>
  <si>
    <t xml:space="preserve"> Republic of the Philippines DEPARTMENT OF AGRICULTURE Regional Field Office IX, Zamboanga Peninsula INVITATION TO BID FOR SUPPLY AND DELIVERY 21,909 BAGS OF UREA FERTILIZER 1.	The Department of Agriculture Regional Field Office IX, through the GAA (Nation</t>
  </si>
  <si>
    <t xml:space="preserve"> Invitation to Bid For Supply, Delivery, Installation and Configuration of Network and Security Automated Backup &amp; Recovery Solution with Hardware Infrastructure with Three (3) Years Warranty 1.	The LAND BANK OF THE PHILIPPINES (LANDBANK), through its Corp</t>
  </si>
  <si>
    <t xml:space="preserve"> a.CONTRACT  ID : ANTIPOLO-27AUGUST2020-01 b. NAME OF PROJECT : Construction of Single Barrel Box Culvert along Binoog Creek across V.V. Soliven Avenue, Brgy. Mayamot, Antipolo City c. LOCATION : Brgy. Mayamot, Antipolo City d. BRIEF DESCRIPTION : Construc</t>
  </si>
  <si>
    <t xml:space="preserve"> Republic of the Philippines Province of Surigao del Sur MUNICIPALITY OF TAGBINA BIDS AND AWARDS COMMITTEE  (BAC) INVITATION TO BID SUPPLY AND DELIVERY OF MATERIALS FOR THE REHABILITATION OF MUNICIPAL HALL, THIS MUNICIPALITY The municipality of Tagbina, th</t>
  </si>
  <si>
    <t xml:space="preserve"> Supply and delivery of various office supplies. Bidders may participate for any one or all lots: Lot 1 - Office Supplies (MPDC)    ABC - P 19, 404.95 Lot 2 - Office Supplies (MCR)      ABC - P 20, 690.00 Lot 3 - Office Supplies (Accounting Office)   ABC -</t>
  </si>
  <si>
    <t xml:space="preserve"> One Unit Brand New Rescue Transport Van, 2.5 liter inline 4, 129 HP, 356 NM Torque VGS, Automatic Transmission, 15 seaters, 65 liters fuel capacity bubble top with bilinker and siren.</t>
  </si>
  <si>
    <t xml:space="preserve"> supply and delivery of various veterinary medicine, feeds and pet ID tags (see attached for the list of items)</t>
  </si>
  <si>
    <t xml:space="preserve"> PROCUREMENT OF DRUGS, MEDICINES AND CHEMICAL SUPPLIES FOR THE USE OF TIGBAUAN MUNICIPAL HEALTH AND BIRTHING CENTER, TIGBAUAN, ILOILO.</t>
  </si>
  <si>
    <t xml:space="preserve"> INVITATION TO BID  The DPWH, Negros Occidental 2nd District Engineering Office, Binalbagan, Negros Occidental, through its Bids and Awards Committee (BAC), invites contractors to submit bids for the following Contract: Contract ID		:  20GL0097 Contract Na</t>
  </si>
  <si>
    <t xml:space="preserve"> 1.	The Norzagaray Water District (NorWD) through its Corporate Budget for the contract approved by the governing Boards intends to apply the sum of One Million Two  Hundred  Thousand Pesos (Php. 1,200,000.00 ) a year  being the Approved Budget for the Con</t>
  </si>
  <si>
    <t xml:space="preserve"> Page 1 of 3 Invitation to Bid 20GFC0038-43 Republic of the Philippines DEPARTMENT OF PUBLIC WORKS AND HIGHWAYS CAMARINES NORTE DISTRICT ENGINEERING OFFICE REGIONAL OFFICE V Daet, Camarines Norte INVITATION TO BID The Department of Public Works and Highway</t>
  </si>
  <si>
    <t xml:space="preserve"> Republic of the Philippines PROVINCE OF ZAMBOANGA SIBUGAY Municipality of Buug BIDS AND AWARDS COMMITTEE Invitation to Bid for the Rehabiliation of Barangay Road(Delmonte) 1. The Barangay Delmonte of Buug, Zamboanga Sibugay, through the General Fund inten</t>
  </si>
  <si>
    <t xml:space="preserve"> The MINISTRY OF SOCIAL SERVICES AND DEVELOPMENT BARMM, intends to apply the sum of THREE MILLION TWO HUNDRED FORTY-SIX THOUSAND AND SIX HUNDRED PESOS (P3,246,600.00) being the Approved Budget for the Contract (ABC) to payments under the contract for the p</t>
  </si>
  <si>
    <t xml:space="preserve"> Republic of the Philippines Department of Public Works and Highways OFFICE OF THE DISTRICT ENGINEER Catarman, Northern Samar 		Telephone No.: (055) 500-0559 Invitation to Bid For 1.	Contract ID 		: 20GIH0017       Contract Name 	: Supply and Delivery of O</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</si>
  <si>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</si>
  <si>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Lot 1 Repair of Classrooms for Conversion to Dental Clinics under CY 2019 BEFF at Salvador CES,Salvador,LDN and Magsaysay CES, Magsaysay,LDN Contract Duration : 45 Calendar Dys ABC: Php947,264.44 Bidding Cost: 1,000.00 Lot 2 Repair of Classrooms for Conve</t>
  </si>
  <si>
    <t xml:space="preserve"> INVITATION TO BID    SUPPLY AND DELIVERY OF 11,300,000 ROUNDS BRAND NEW CTG 9MM, BALL FOR THE PHILIPPINE ARMY (PA)    Bid Reference No. MPG-BI-2020-418 Approved Budget for the Contract - ₱ 175,037,000.00    1. The Philippine International Trading Corporat</t>
  </si>
  <si>
    <t xml:space="preserve"> Republic of the Philippines PROVINCE OF SOUTHERN LEYTE BIDS AND AWARDS COMMITTEE                                                          INVITATION TO BID Invitation to Bid for the Supply/Delivery &amp; Installation of Brand New Air Condition Units (19 Units</t>
  </si>
  <si>
    <t xml:space="preserve"> Page 1 of 3 Invitation to Bid 20GFC0044-49 Republic of the Philippines DEPARTMENT OF PUBLIC WORKS AND HIGHWAYS CAMARINES NORTE DISTRICT ENGINEERING OFFICE REGIONAL OFFICE V Daet, Camarines Norte INVITATION TO BID The Department of Public Works and Highway</t>
  </si>
  <si>
    <t xml:space="preserve"> Invitation to Bid For One (1) Lot Supply, Delivery, and Installation of 300 Units Automated Teller Machines (Thru-the-Wall Type) inclusive of a Four (4) Year Maintenance Support Services and Spare Parts 1.	The LAND BANK OF THE PHILIPPINES (LANDBANK), thro</t>
  </si>
  <si>
    <t xml:space="preserve"> CONSTRUCTION OF THREE-STOREY MULTI PURPOSE BUILDING (PHASE 2) ADDITIONAL WORKS/RETROFITTING/CONSTRUCTION OF BUILDING AND STRUCTURE</t>
  </si>
  <si>
    <t xml:space="preserve"> National Power Corporation INVITATION TO BID PUBLIC BIDDING 2020-0269 1.	The NATIONAL POWER CORPORATION (NPC), through       its        approved       Corporate Budget of CY 2020 intends to apply   the   sum   of (Please see schedule below) being the Appr</t>
  </si>
  <si>
    <t xml:space="preserve"> INVITATION TO BID FOR  Procurement and Delivery of Materials for the Reproduction of Modules PB No. 2020-08-0053 1.	The Department of Education, Division of El Salvador City, through the General Appropriations Act CY 2020 intends to apply the sum of One M</t>
  </si>
  <si>
    <t xml:space="preserve"> FENCING AND SITE DEVELOPMENT OF NEW CEMETERY</t>
  </si>
  <si>
    <t xml:space="preserve"> CONSTRUCTION OF SIBUL-CEMETERY ROAD</t>
  </si>
  <si>
    <t xml:space="preserve"> Republic of the Philippines                   Department of Health	       CENTRAL OFFICE BIDS AND AWARDS COMMITTEE  INVITATION TO BID FOR THE PROCUREMENT OF ADDITIONAL SERVICES FOR BROKERAGE  IB NO. 2020-233 1.	The Department of Health (DOH), through the </t>
  </si>
  <si>
    <t xml:space="preserve"> INVITATION TO BID FOR SUPPLY AND DELIVERY OF 1 UNIT MULTI-PURPOSE VEHICLE 1.	The Municipal Government of Lal-lo, through the FY 2020 General Fund intends to apply the sum of One Million Two Hundred Thousand Pesos (Php 1,200,000.00) being the Approved Budg</t>
  </si>
  <si>
    <t xml:space="preserve"> FENCING OF NEW SLAUGHTERHOUSE</t>
  </si>
  <si>
    <t xml:space="preserve"> PROCUREMENT OF 1 UNIT SERVICE VEHICLE</t>
  </si>
  <si>
    <t xml:space="preserve"> PHILIPPINE ARMY ARMOR (PAMBATO) DIVISION, SPECIAL BIDS AND AWARDS COMMITTEE Camp O’Donnell, Sta. Lucia, Capas, Tarlac Invitation to Bid The Armed Forces of the Philippines, through the Special Bids and Awards Committee Armor Division, Philippine Army, inv</t>
  </si>
  <si>
    <t xml:space="preserve"> INVITATION TO BID FOR SUPPLY AND DELIVERY OF 2 UNITS  20 KVA GENERATOR SET 1.	The Municipal Government of Lal-lo, through the LDRRMF intends to apply the sum of Six Hundred Thousand Pesos (Php 600,000.00) being the Approved Budget for the Contract (ABC) t</t>
  </si>
  <si>
    <t xml:space="preserve"> PROCUREMENT OF GENERATOR SET</t>
  </si>
  <si>
    <t xml:space="preserve"> Invitation to Bid for the Construction of RHU Extension Building 1.	The Municipal Government of Lal-lo, through the 20% Development Fund-Continuing Appropriation intends to apply the sum of Seven Hundred Twenty Thousand Pesos (Php 720,000.00) being the Ap</t>
  </si>
  <si>
    <t xml:space="preserve"> INVITATION TO BID FOR SUPPLY AND DELIVERY OF 2 UNITS GENERATOR SET FOR MULTI-PURPOSE CENTER 1.	The Municipal Government of Lal-lo, through the 20% Development Fund intends to apply the sum of Four Million Pesos (Php 4,000,000.00) being the Approved Budget</t>
  </si>
  <si>
    <t xml:space="preserve"> PROCUREMENT OF 1-UNIT AMBULANCE (FULLY EQUIPPED)</t>
  </si>
  <si>
    <t xml:space="preserve"> REPAIR AND MAINTENANCE- MARKET (IMPROVEMENT OF MEAT SECTION)</t>
  </si>
  <si>
    <t xml:space="preserve"> Please see attached bid document</t>
  </si>
  <si>
    <t xml:space="preserve"> Invitation to Bid for the Construction of Protection Works  at Barangay Dalaya 	 1.	The Municipal Government of Lal-lo, through the 20% Development Fund intends to apply the sum of One Million One Hundred Eighty Thousand Pesos (Php 1,180,000.00) being the</t>
  </si>
  <si>
    <t xml:space="preserve"> The PRA now invites bids for Road Repair Works of PDMB, Asean Ave. and J.W. Diokno (Bay) Boulevard, with a total area of 3,932.68 square meters (sqm).  Completion of the Works is required within SIXTY calendar days (60 c.d.) from the receipt of Notice to </t>
  </si>
  <si>
    <t xml:space="preserve"> REPAIR AND MAINTENANCE- MARKET (IMPROVEMENT OF PROPOSED FISH SECTION)</t>
  </si>
  <si>
    <t xml:space="preserve"> Republic of the Philippines DEPARTMENT OF PUBLIC WORKS AND HIGHWAYS CAMARINES SUR 2ND DISTRICT ENGINEERING OFFICE Regional Office V Baras, Canaman, Camarines Sur INVITATION TO BID  FOR   20GFE0017 – SUPPLY OF MATERIALS FOR EROSION CONTROL, TRAFFIC SERVICE</t>
  </si>
  <si>
    <t xml:space="preserve"> Please see attached bid documents</t>
  </si>
  <si>
    <t xml:space="preserve"> Contract ID No. 20OH0157 Contract Name : Proposed Repair, Renovation and Installation of Modular Partition at Usec. Ramos Office, DPWH Main Office, Bonifacio Drive, Port Area, Manila Contract Location: Manila City	 Scope of Work: Renovation of Building So</t>
  </si>
  <si>
    <t xml:space="preserve"> Invitation to Bid for the Concreting of Box Culvert Approach  at Barangay Paranum 1.	The Municipal Government of Lal-lo, through the 20% Development Fund-Continuing Appropriation intends to apply the sum of Three Hundred Fifty-Four Thousand and Thirty Pes</t>
  </si>
  <si>
    <t xml:space="preserve"> Materials will be used for printing modules to be used by learners for school year 2020-2021.</t>
  </si>
  <si>
    <t xml:space="preserve"> INVITATION TO APPLY FOR ELIGIBILITY AND TO BID (IAEB) August 6, 2020 The Barangay Dalaon of Molave, Zamboanga del Sur, through its Bids and Awards Committe (BAC), invites interested bidders to apply for eligibility and to bid for the hereunder project: Co</t>
  </si>
  <si>
    <t xml:space="preserve"> Contract ID No. 20OH0156 Contract Name :  Proposed Renovation and Installation of Modular Partition at Asec. Pipo’s Office, DPWH Main Office, Bonifacio Drive, Port Area, Manila Contract Location: Manila City	 Scope of Work: Renovation of Building Source o</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</si>
  <si>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</si>
  <si>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Republic of the Philippines DEPARTMENT OF PUBLIC WORKS and HIGHWAYS SULTAN KUDARAT 2 ND DISTRICT ENGINEERING OFFICE REGION XII Lebak, Sultan Kudarat INVITATION TO BID FOR  SUPPLY/DELIVERY OF ONE(1) UNIT GENERATOR SET, DIESEL ENGINE AND SUPPLY/INSTALLATION</t>
  </si>
  <si>
    <t xml:space="preserve"> Republic of the Philippines DEPARTMENT OF HEALTH Center for Health Development 3 JOSE B. LINGAD MEMORIAL GENERAL HOSPITAL BIDS AND AWARDS COMMITTEE City of San Fernando, Pampanga Telephone No. (045) 961-3921/(045) 409-6688 loc 127 INVITATION TO BID FOR  P</t>
  </si>
  <si>
    <t xml:space="preserve"> BILL OF QUANTITIES: Item #	Qty	   Unit	                   Item Description	  Unit Cost	Total Cost 0001		29.37	Sq.m	Roofing and Roof Framing-Area 1		 0002		12.29	Sq.m	Roofing and Roof Framing-Area 2		 0003		0.80	Cu.m	Concrete Foot walk		 0004		14.40	Sq.m	C</t>
  </si>
  <si>
    <t xml:space="preserve"> Invitation to Bid for Construction and Installation of Street Lights 1.	The Barangay Del Rosario, Baao, Camarines Sur, through the Budget for the contract approved by the Sangunian 2019 intends to apply the sum of Three Hundred Ninety-Three Thousand Two H</t>
  </si>
  <si>
    <t xml:space="preserve"> Republic of the Philippines Province of Batangas MUNICIPALITY OF ALITAGTAG INVITATION TO BID FOR CONSTRUCTION/ IMPROVEMENT OF EVACUATION CENTER AT PINAGKURUSAN, ALITAGTAG, BATANGAS The Municipal Government of Alitagtag through the General Fund- Annual Bud</t>
  </si>
  <si>
    <t xml:space="preserve"> INVITATION TO BID FOR THE SUPPLY AND DELIVERY OF OFFICE SUPPLIES 1.	The Provincial Government of La Union (PGLU), through the PGLU Annual Budget CY 2020 (General Fund) intends to apply the sum of One Million Nine Hundred Thirty-Five Thousand Seven Hundred</t>
  </si>
  <si>
    <t xml:space="preserve"> PROCUREMENT OF MEDICAL SUPPLIES</t>
  </si>
  <si>
    <t xml:space="preserve"> Please see attached link for bidding documents: https://drive.google.com/file/d/1aJqjJ8uv548uxhfdQtWa9e7TXohDxl28/view?usp=drivesdk ------------------------------------------------------------------------------------------------------------ INVITATION TO </t>
  </si>
  <si>
    <t xml:space="preserve"> Please see attached link for bidding documents: https://drive.google.com/file/d/1gR_O-zEf_Skq8FbOzNEOPhGECHRIgTpM/view?usp=drivesdk ------------------------------------------------------------------------------------------------------------ INVITATION TO </t>
  </si>
  <si>
    <t xml:space="preserve"> PROCUREMENT OF ANTI RABIES</t>
  </si>
  <si>
    <t xml:space="preserve"> TRANSFORMER WITH ACCESSORIES, 3 PHASE  PRIMARY LINE, CONSTRUCTION OF POWER HOUSE</t>
  </si>
  <si>
    <t xml:space="preserve"> MATERIALS FOR THE RM OF SCHOOL FENCE</t>
  </si>
  <si>
    <t xml:space="preserve"> Invitation to Bid  Supply, Delivery and Installation of Modular Work Stations, Tables and Pantry Cabinet for POPCOM Region IV-A. 1.	The Commission on Population and Development- Region IV (POPCOM IV-A), through the 2020 General Appropriations Act (GAA) in</t>
  </si>
  <si>
    <t xml:space="preserve"> INVITATION TO BID FOR THE CATERING SERVICES FOR THE VARIOUS COMMITTEES ACTIVITIES  1.	The Provincial Government of La Union (PGLU), through the PGLU Annual Budget CY 2020 intends to apply the sum of One Million Five Hundred Forty Five Thousand Twenty Five</t>
  </si>
  <si>
    <t xml:space="preserve"> Earthworks, Bridge Construction, Slope Protection Structure, Miscellaneous</t>
  </si>
  <si>
    <t xml:space="preserve"> Bid Bulletin and Bidding Documents</t>
  </si>
  <si>
    <t xml:space="preserve"> Republic of the Philippines                   Department of Health	       CENTRAL OFFICE BIDS AND AWARDS COMMITTEE  INVITATION TO BID FOR THE  Procurement of DOH Web Application Firewall IB NO. 2020-190 1.	The Department of Health (DOH), through the Gener</t>
  </si>
  <si>
    <t xml:space="preserve"> National Power Corporation INVITATION TO BID PUBLIC BIDDING 2020-0273 1.	The NATIONAL POWER CORPORATION (NPC), through       its        approved       Corporate Budget of CY 2020 intends to apply   the   sum   of (Please see schedule below) being the Appr</t>
  </si>
  <si>
    <t xml:space="preserve"> GEN. REQUIREMENTS, CLEARING, LAY-OUT &amp; STAKING, EXCAVATION, BACKFILL, CONCRETE WORKS, ROOF AND ROOF FRAMING, ARCHITECTURAL, PLUMBING WORKS, ELECTRICAL WORKS</t>
  </si>
  <si>
    <t xml:space="preserve"> Multi-Purpose Vehicle (MPV) Dual AC Euro 4 -2.2L Diesel Turbocharge and Intercooled CRDi Engine Electronic Common Rail Direct Injection  -5-speed Manual Transmission. Rigid Body design. 17 persons capacity -Independent wishbone with coil spring and stabil</t>
  </si>
  <si>
    <t xml:space="preserve"> The LGU - Mariveles, through the Budget of the Contract Approved by the Sanggunian of 2020 intends to apply the sum of Five Million Pesos (Php 5,000,000.00) being the Approved Budget for the Contract (ABC) to payments under the contract for Transport and </t>
  </si>
  <si>
    <t xml:space="preserve"> PROCUREMENT OF GREENHOUSE MATERIALS (TUNNEL TYPE GREENHOUSE/NETHOUSE W/ INSTALLATION AND DELIVERY)</t>
  </si>
  <si>
    <t xml:space="preserve"> Department of Education Region VI-Western Visayas Division of Cadiz City Alimatoc Elementary School INVITATION TO BID FOR PROCUREMENT OF 2 SETS of PRINTER FOR 2020 1. The Alimatoc Elementary School of Cadiz City, through the Schools MOOE Fund CY 2020 inte</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</si>
  <si>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</si>
  <si>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Kindly see attached Terms of Reference (TOR) and Purchase Request (PR) for your perusal. Please take note that the availability of Bidding Documents will be on August 11, 2020. Contact Persons: DICT-Batangas Carmela Valencia (BAC Chairperson) carmela.vale</t>
  </si>
  <si>
    <t xml:space="preserve"> Construction of FOOD PROCESSING AREA, OFFICE LOUNGE AND RECEIVING AREA and SHOW ROOM</t>
  </si>
  <si>
    <t xml:space="preserve"> INVITATION TO BID IB No. 27,   S. 2020 The Municipality of General Nakar, Quezon through the Approved Appropriation Ordinance No. 2019-29  appropriating funds for the Annual Budget CY 2020 intends to apply the sum of  Two Million and Five Hundred Thousand</t>
  </si>
  <si>
    <t xml:space="preserve"> INVITATION TO BID IB No. 26,   S. 2020 The Municipality of General Nakar, Quezon through the Approved Appropriation Ordinance No. 2019-29  appropriating funds for the Annual Budget CY 2020 intends to apply the sum of  Two  Million Pesos (PhP2,000,000.00) </t>
  </si>
  <si>
    <t xml:space="preserve"> PHILIPPINE ARMY ARMOR (PAMBATO) DIVISION,  SPECIAL BIDS AND AWARDS COMMITTEE Camp O’Donnell, Sta. Lucia, Capas, Tarlac Invitation to Bid The Armed Forces of the Philippines, through the Special Bids and Awards Committee Armor Division, Philippine Army, in</t>
  </si>
  <si>
    <t xml:space="preserve"> Republic of the Philippines Province of Cagayan Municipality of Baggao INVITATION TO BID FOR THE PROCUREMENT OF GOODS The Barangay San Antonio, Baggao, Cagayan, through the Financial Assistance  intends to apply the sum of Three Hundred Fifty Thousand Pes</t>
  </si>
  <si>
    <t xml:space="preserve"> Department of Education Region VI-Western Visayas Cadiz City Alimatoc Elementary School Invitation to BID for the Procurement of Improvement of Kindergarten Comfortroom 1. The Alimatoc Elementary School, through the School’s MOOE 2020 intends to apply the</t>
  </si>
  <si>
    <t xml:space="preserve"> INVITATION TO BID  PROCUREMENT OF DRUGS AND MEDICINES MRH-009-2020 1.	The Margosatubig Regional Hospital, through the funding source of REVOLVING FUND intends to apply the sum of Sixteen Million Fifty-Three Thousand Five Hundred Ninety-Three Pesos and 05/</t>
  </si>
  <si>
    <t xml:space="preserve"> Republic of the Philippines Province of Cagayan Municipality of Baggao INVITATION TO BID FOR THE PROCUREMENT OF GOODS The Barangay Alba, Baggao, Cagayan, through the 20% Brgy. Development Fund CY 2020 intends to apply the sum of One Hundred Seventy Four T</t>
  </si>
  <si>
    <t xml:space="preserve"> STRAIGHT CONTRACT</t>
  </si>
  <si>
    <t xml:space="preserve"> Item No.	Description	                                                                Quantity	Unit I	        Excavation	                                                                        10.83	Cu.m. II	        Demolition	                             </t>
  </si>
  <si>
    <t xml:space="preserve"> Item No.	Description	Quantity	Unit I	Excavation	4.00	Cu.m. II	Demolition	1.00	Ls III	Formworks	1.00	Ls IV	Structural Concrete	11.84	Cu.m. V	Masonry Works	154.00	Sq.m VI	Reinforcing Steel Bar-Grade 40 (Inc slab on fill &amp; CHB wall)	1,100.00	Kg. VII	Plasteri</t>
  </si>
  <si>
    <t xml:space="preserve"> Republic of the Philippines City of Cagayan de Oro BIDS AND AWARDS COMMITTEE Invitation to Bid  for Concrete Paving of Malasag Circumferential Road Cugman (Phase 4); SN 185 - 2020 1.	The City Government of Cagayan de Oro, through the Current Appropriation</t>
  </si>
  <si>
    <t xml:space="preserve"> Republic of the Philippines Province of Cagayan Municipality of Baggao INVITATION TO BID FOR THE PROCUREMENT OF GOODS The Barangay San Vicente, Baggao, Cagayan, through the 20% BDF CY 2020 intends to apply the sum of One Hundred Thirty Three Thousand One </t>
  </si>
  <si>
    <t xml:space="preserve"> Heavy Duty Risograph Digital Duplicator machine Print Speed: 130 pages/minute(max). Paper Capacity:300x300dpi Paper Weight:46gsm to 210 gsm Master-making/printing methods: High Speed digital Masker-making/fully automatic stencil printing Image processing </t>
  </si>
  <si>
    <t xml:space="preserve"> Republic of the Philippines Province of Sarangani Municipality of Malapatan Invitation to Bid  	 2020-B2- INSTALLATION OF BASKETBALL GOAL FIBER GLASS BOARD WITH RING AT SITO PROPER BRGY. KINAM , MALAPATAN SARANGANI PROVINCE  1. The Local Government Unit o</t>
  </si>
  <si>
    <t xml:space="preserve"> Republic of the Philippines City of Cagayan de Oro BIDS AND AWARDS COMMITTEE Invitation to Bid  for Construction of Drainage at Bantiles Zone 1, Bugo; SN 187 - 2020 1.	The City Government of Cagayan de Oro, through the Continuing Appropriation CY 2019 - N</t>
  </si>
  <si>
    <t xml:space="preserve"> Republic of the Philippines DEPARTMENT OF PUBLIC WORKS AND HIGHWAYS IFUGAO SECOND DISTRICT ENGINEERING OFFICE CORDILLERA ADMINISTRATIVE REGION Aguinaldo, Ifugao Request for Expression of Interest (REOI) for the Soil Testing/Exploration for the projects: 1</t>
  </si>
  <si>
    <t xml:space="preserve"> INVITATION TO BID FOR THE SUPPLY AND DELIVERY OF CLINICAL WEIGHING SCALE   1.	The City of Iloilo, through the 20% Development Fund CY 2020 intends to apply the sum of One Million Four Hundred Ninety-Eight Thousand Five Hundred Pesos (P1,498,500.00) being </t>
  </si>
  <si>
    <t xml:space="preserve"> Straight Contract for Construction of Farm to Market Road  See attached link/Url under OTHER INFORMATION BOX</t>
  </si>
  <si>
    <t xml:space="preserve"> Straight Contract for Construction of Farm to Market Road See attached link/Url under OTHER INFORMATION BOX</t>
  </si>
  <si>
    <t xml:space="preserve"> Republic of the Philippines City of Cagayan de Oro BIDS AND AWARDS COMMITTEE Invitation to Bid  for Construction of Drainage System Along Ramon Chaves St. from Corrales to V. Roa St., Brgy. 30; SN 186 - 2020 1.	The City Government of Cagayan de Oro, throu</t>
  </si>
  <si>
    <t xml:space="preserve"> INVITATION TO BID FOR THE SUPPLY AND DELIVERY OF ICT EQUIPMENT   1.	The City of Iloilo, through the Capital Outlay - General Fund CY 2020 intends to apply the sum of Three Million Five Hundred Thousand Four Hundred Sixty-Five Pesos (P3,500,465.00) being t</t>
  </si>
  <si>
    <t xml:space="preserve"> Republic of the Philippines PROVINCE OF SOUTHERN LEYTE Municipality of San Juan BIDS AND AWARD COMMITTEE INVITATION TO BID FOR  Supply and Delivery of Medical, Dental and  Laboratory Supplies The Municipality of San Juan through the General Fund intends t</t>
  </si>
  <si>
    <t xml:space="preserve"> Invitation to Bid for  	EXPANSION OF CONCRETE DRAINAGE CANAL 1.	The Barangay San Juan of Sta. Fe, Leyte through the Barangay General Fund CY  2020  intends to apply the sum of Two Hundred Thousand Pesos Only (Php200.000.00) being the Approved Budget for t</t>
  </si>
  <si>
    <t xml:space="preserve"> Republic of the Philippines MUNICIPALITY OF BUNAWAN, AGUSAN DEL SUR Invitation to Bid/ Instruction to Bidders PURCHASE OF TWO UNITS OF PNP PATROL VEHICLE August 6, 2020 1.	The Municipality of Bunawan, now invite bids for Purchase of Two Units of PNP Patro</t>
  </si>
  <si>
    <t xml:space="preserve"> SUPPLY AND DELIVERY OF LAPTOP, PRINTER AND PRINTER INK  FOR DEP ED SARRAT ILOCOS NORTE 1.	The Municipality of Sarrat, Ilocos Norte, through the Special Educational Fund intends to apply the sum of  Eight Hundred Fifty Thousand Two Hundred Ninety Four Peso</t>
  </si>
  <si>
    <t xml:space="preserve"> SectionI. Invitation to Bid Republic of the Philippines Province of Misamis Occidental MUNICIPALITY OF PANAON Invitation to Bid for CONSTRUCTION OF MANPOWER DEVELOPMENT CENTER 									August 4, 2020 1.	The Municipality of Panaon, Misamis Occidental,utili</t>
  </si>
  <si>
    <t xml:space="preserve"> Invitation to Bid  For the Construction/Rehabilitation/Improvement of Multi-Purpose Hall at Brgy. North Baluarte, Molo, Iloilo City 1.	The City of Iloilo, through the 20% Development Fund, CY2020 intends to apply the sum of Three Million Six Hundred Thous</t>
  </si>
  <si>
    <t xml:space="preserve"> Invitation to Bid  For the Construction of Two (2) Storey Eight (8) Classrooms Building at Hibao-an Elementary School, Mandurriao, Iloilo City 1.	The City of Iloilo, through the SEF Capital Outlay CY2019 intends to apply the sum of Nineteen Million Pesos </t>
  </si>
  <si>
    <t xml:space="preserve"> Republic of the Philippines City of Cagayan de Oro BIDS AND AWARDS COMMITTEE Invitation to Bid  for Concrete Paving of Balubal CDORSHIP 4 Roads with Drainage (Phase 2); SN 178 - 2020 1.	The City Government of Cagayan de Oro, through the Current Appropriat</t>
  </si>
  <si>
    <t xml:space="preserve"> Invitation to Bid  For the Construction/Rehabilitation/Repair/Widening of Roads at Brgy. Tabuc Suba (Hechanova Subdivision), Jaro, Iloilo City 1.	The City of Iloilo, through the 20% Development Fund CY2020 intends to apply the sum of Three Million Two Hun</t>
  </si>
  <si>
    <t xml:space="preserve"> Republic of the Philippines 		MUNICIPALITY OF LEYTE LEYTE -oOo- INVITATION TO BID FOR THE CONSTRUCTION/REHAB. OF CONCRETE PAVEMENT (Brgy. Bachao, Leyte, Leyte) P.R No: LL-29-20 The Municipality of Leyte, through its Bids and Awards Committee intends to ap</t>
  </si>
  <si>
    <t xml:space="preserve"> Invitation to Bid  For the Construction of Two (2) Storey Four (4) Classrooms Building with Demolition at Bakhaw Elementary School, Mandurriao, Iloilo City 1.	The City of Iloilo, through the SEF Capital Outlay CY2018 intends to apply the sum of Ten Millio</t>
  </si>
  <si>
    <t xml:space="preserve"> Republic of the Philippines City of Cagayan de Oro BIDS AND AWARDS COMMITTEE Invitation to Bid  for Construction of Roads at Soldier’s Hill Bulua to Camp Evangelista; SN 180 - 2020 1.	The City Government of Cagayan de Oro, through the Current Appropriatio</t>
  </si>
  <si>
    <t xml:space="preserve"> Invitation to Bid  For the Construction of Two (2) Storey Ten (10) Classrooms Building at Sto. Niño Sur Elementary School, Arevalo, Iloilo City 1.	The City of Iloilo, through the SEF Capital Outlay CY2019 intends to apply the sum of Twenty Five Million Pe</t>
  </si>
  <si>
    <t xml:space="preserve"> Republic of the Philippines City of Cagayan de Oro BIDS AND AWARDS COMMITTEE Invitation to Bid  for Construction of Bigaan River Flood Mitigation Structure (Cugman Phase 2); SN 184 - 2020 1.	The City Government of Cagayan de Oro, through the Current Appro</t>
  </si>
  <si>
    <t xml:space="preserve"> Republic of the Philippines City of Cagayan de Oro BIDS AND AWARDS COMMITTEE Invitation to Bid  for Concrete Paving of Road at Caritas to Ecoverde Subd. with Drainage, Indahag; SN 181 - 2020 1.	The City Government of Cagayan de Oro, through the Current Ap</t>
  </si>
  <si>
    <t xml:space="preserve"> Republic of the Philippines City of Cagayan de Oro BIDS AND AWARDS COMMITTEE Invitation to Bid  for Concrete Paving of Melecia Homes Subd. Road with Drainage, Macasandig (Phase 3); SN 182 - 2020 1.	The City Government of Cagayan de Oro, through the Curren</t>
  </si>
  <si>
    <t xml:space="preserve"> 19F00143 - Construction of BLGF Training Center (Phase II), Government Regional Center, Rawis, Legazpi City</t>
  </si>
  <si>
    <t xml:space="preserve"> Invitation to Bid  For the Construction of Two (2) Storey Ten (10) Classrooms Building at Jalandoni Memorial Elementary School, Lapuz, Iloilo City 1.	The City of Iloilo, through the SEF Capital Outlay CY2020 intends to apply the sum of Twenty Eight Millio</t>
  </si>
  <si>
    <t xml:space="preserve"> Republic of the Philippines Province of Ilocos Norte MUNICIPALITY OF CURRIMAO INVITATION TO BID FOR  PURCHASE OF LIVELIHOOD STARTER KITS 1.	The Municipality of Currimao,  through the DOLE Support and LGU General Fund intends to apply the sum of [One Milli</t>
  </si>
  <si>
    <t xml:space="preserve"> 3 units COPY PRINTER														 Type: Digital, Desktop														 Printing Process: Fully-Automatic one-drum 														      Stencil System														 Originals: Sheet (one original sheet only)														 Original Size:  Minimum 80-100 x 1</t>
  </si>
  <si>
    <t xml:space="preserve"> Republic of the Philippines     Province of Bohol     Municipality of Loon INVITATION TO BID FOR THE PROPOSED MULTI-PURPOSE BUILDING  (MERCADO DE LOON TUBAAN) 1.	The Local Government Unit of Loon, Bohol through its appropriation from general fund intends </t>
  </si>
  <si>
    <t xml:space="preserve"> Republic of the Philippines     Province of Bohol     Municipality of Loon INVITATION TO BID FOR THE PROPOSED MULTI-PURPOSE BUILDING SHED  (MERCADO DE LOON TABO-AN) 1.	The Local Government Unit of Loon, Bohol through its appropriation from general fund in</t>
  </si>
  <si>
    <t xml:space="preserve"> INVITATION TO BID The DPWH Isabela 4th District Engineering Office through its Bids and Awards Committee (BAC), invites contractors to submit bids for the following Contract: Procurement ID / Contract ID			: 20BH0161 Contract Name/                        </t>
  </si>
  <si>
    <t xml:space="preserve"> Isuzu Dmax 4x4 LT MT RZ4E</t>
  </si>
  <si>
    <t xml:space="preserve"> INVITATION TO BID 1.	The Province of Cebu through the 2019 General Fund, intends to apply the sum of THIRTEEN MILLION NINETY-TWO THOUSAND PESOS (Php13,092,000.00) being the Approved Budget for the Contract (ABC) to payments under the contract for the CONS</t>
  </si>
  <si>
    <t xml:space="preserve"> ITEM I: INSTALLATION OF SOLAR STREETLIGHT           1. REMOVAL OF OBSTRUCTION           2. EXCAVATION WORKS           3. INSTALLATION OF STEEL POST           4. ELECTRICAL WORKS           5. BACKFILLING</t>
  </si>
  <si>
    <t xml:space="preserve"> INVITATION TO BID Procurement of One (1) Unit Passenger Van  in Batangas State University, JPLPC-Mlvar The Batangas State University, through the Supplemental 2019 intends to apply the sum of One Million Five Hundred Thousand Pesos only (Php 1,500,00.00) </t>
  </si>
  <si>
    <t xml:space="preserve"> Republic of the Philippines Province of Masbate MUNICIPALITY OF CATAINGAN BARANGAY NADAWISAN   			                                                                                              AUGUST 6, 2019 INVITATION TO APPLY FOR ELIGIBILITY AND TO BID T</t>
  </si>
  <si>
    <t xml:space="preserve"> Excavation, concrete works, masonry works, steel works, electrical works, painting works.</t>
  </si>
  <si>
    <t xml:space="preserve"> Republic of the Philippines						 Province of Bukidnon						 Municipality of Lantapan						 						 INVITATION TO BID FOR THE SUPPLY &amp; INSTALLATION OF STREET LIGHTS						 AT POBLACION, BALILA HIGHWAY ROAD AND P-3 &amp; P-5 BALILA (2ND BID)						 						 1	The L</t>
  </si>
  <si>
    <t xml:space="preserve"> Republic of the Philippines City of Cagayan de Oro BIDS AND AWARDS COMMITTEE Invitation to Bid  for Concrete Paving of Road with Drainage at Purok XI, Tablon; SN 183 - 2020 1.	The City Government of Cagayan de Oro, through the Current Appropriation CY 202</t>
  </si>
  <si>
    <t xml:space="preserve"> Supply and Delivery of Electrical Materials and Supplies for Installation of Solar Street Lights Additional (All Sitio's)</t>
  </si>
  <si>
    <t xml:space="preserve"> Reinforced concrete, masonry w/ plastering, roofing &amp; trusses, ceiling works(inc. GF), finishes w/concrete topping, electrical works, painting works(inlc. GF), metal works, plumbing &amp; fixtures, formworks &amp; scaffoldings, doors &amp; windows.</t>
  </si>
  <si>
    <t xml:space="preserve"> Excavation Subgrade Preparation Aggregate Base Course Portland Cement Concrete Pavement</t>
  </si>
  <si>
    <t xml:space="preserve"> Republic of the Philippines PROVINCE OF BILIRAN Municipality of Naval – 6560 Project Reference Number: ITB No. 20-30     INVITATION TO BID FOR THE SUPPLY AND DELIVERY OF 18 UNITS DESKTOP  COMPUTER &amp; OTHER RELATED PARTS &amp; ACCESSORIES (RE-BIDDING) 	1.	The P</t>
  </si>
  <si>
    <t xml:space="preserve"> Excavation, concrete works, masonry works, painting works, steel works, tile works(cladding) hardscape, landscape, drainage system, mechanical works.</t>
  </si>
  <si>
    <t xml:space="preserve"> Supply of Materials</t>
  </si>
  <si>
    <t xml:space="preserve"> Removal Of structures And Obstruction Excavation Structural Concrete Masonry Works Carpentry Tile Works Painting</t>
  </si>
  <si>
    <t xml:space="preserve"> 4 ROLLS OF ACETATE @50MTRS/ROLL 1500 PCS OF BALLPEN BLACK 500 PCS OF BALLPEN BLUE 500 PCS OF BALLPEN RED 30 BXS OF BINDER CLIP JUMBO 12 BXS OF BINDER CLIP SMALL 200 RMS OF BOND PAPER LEGAL 200 RMS OF BOND PAPER A4 200 RMS OF BOND PAPER SHORT 200 PCS CORRE</t>
  </si>
  <si>
    <t xml:space="preserve"> Republic of the Philippines City of Cagayan de Oro BIDS AND AWARDS COMMITTEE Invitation to Bid  for Concrete Paving of Road at Grotto St., Bulua; SN 179 - 2020 1.	The City Government of Cagayan de Oro, through the Current Appropriation CY 2020 Non-Office:</t>
  </si>
  <si>
    <t xml:space="preserve"> Republic of the Philippines Province of Leyte Municipality of Hilongos INVITATION TO RE-BID FOR THE PROCUREMENT OF 1 UNIT SOFA-3 SEATERS 1.  The Local Government Unit of Hilongos, through GENERAL FUND-SUPPLEMENTAL BUDGET NO. 2020-05 intends to apply the s</t>
  </si>
  <si>
    <t xml:space="preserve"> Republic of the Philippines Province of Leyte Municipality of Hilongos INVITATION TO RE-BID FOR THE PROCUREMENT OF OFFICE SUPPLIES 1.  The Local Government Unit of Hilongos, through GENERAL FUND-CURRENT APPROPRIATION intends to apply the sum TEN THOUSAND </t>
  </si>
  <si>
    <t xml:space="preserve"> Republic of the Philippines Province of Leyte Municipality of Hilongos INVITATION TO RE-BID FOR THE PURCHASE OF 1 UNIT SPLIT TYPE AIRCON 1.  The Local Government Unit of Hilongos, through GENERAL FUND-SUPPLEMENTAL BUDGET NO. 2020-05 intends to apply the s</t>
  </si>
  <si>
    <t xml:space="preserve"> Surface preparation, base coarse preparation(compacted), PCCP, cross drainage, shouldering</t>
  </si>
  <si>
    <t xml:space="preserve"> Section I. Invitation to Bid Republic of the Philippines Province of Benguet MUNICIPALITY OF BOKOD BIDS AND AWARDS COMMITTEE INVITATION TO BID FOR CONSTRUCTION OF WELCOME ARC AT GUISSET, AMBUKLAO, BOKOD, BENGUET (MDF 2020) 1.	The MUNICIPALITY OF BOKOD, th</t>
  </si>
  <si>
    <t xml:space="preserve"> Clearing &amp; grubbing, earthworks(roadway excavation)soft rock, pipe culvert, base coarse preparation PCCP.</t>
  </si>
  <si>
    <t xml:space="preserve"> Section I. Invitation to Bid Republic of the Philippines Province of Benguet MUNICIPALITY OF BOKOD BIDS AND AWARDS COMMITTEE INVITATION TO BID FOR PROCUREMENT OF MICRO-INFRA PROJECTS CLUSTER 07-2020 (MDF 2020), NAWAL &amp; TIKEY, BOKOD, BENGUET 1.	The MUNICIP</t>
  </si>
  <si>
    <t xml:space="preserve"> Republic of the Philippines 		MUNICIPALITY OF LEYTE LEYTE -oOo- INVITATION TO BID FOR THE REPAIR/IMPROVEMENT OF CIVIC CENTER (Brgy. Culasi, Leyte, Leyte) P.R No: LL-28-20 The Municipality of Leyte, through its Bids and Awards Committee intends to apply th</t>
  </si>
  <si>
    <t xml:space="preserve"> Section I. Invitation to Bid Republic of the Philippines Province of Benguet MUNICIPALITY OF BOKOD BIDS AND AWARDS COMMITTEE INVITATION TO BID FOR PROCUREMENT OF MICRO-INFRA PROJECTS CLUSTER 08-2020 (MDF 2020), POBLACION, BOKOD, BENGUET 1.	The MUNICIPALIT</t>
  </si>
  <si>
    <t xml:space="preserve"> Republic of the Philippines Province of Leyte Municipality of Hilongos INVITATION TO RE-BID FOR THE PROCUREMENT OF PRODUCTION INPUTS OF SWINE FATTENING LIVELIHOOD PROJECT FOR DATAG FARMER’S ASSOCIATION 1.  The Local Government Unit of Hilongos, through TR</t>
  </si>
  <si>
    <t xml:space="preserve"> 20GF00002 - Purchase/Installation of Weighbridge Equipment for Polangui Weighbridge Station, Sorsogon ATOME Station and Camarines Norte ATOME Station, (PR No. 2020-07-151 dated 7/15/2020), DPWH Regional Office No. V, Rawis, Legazpi City</t>
  </si>
  <si>
    <t xml:space="preserve"> Surface preparation,105(1)2, base coarse preparation,201(1)a, PCCP, road shoulder.</t>
  </si>
  <si>
    <t xml:space="preserve"> Section I. Invitation to Bid Republic of the Philippines Province of Benguet MUNICIPALITY OF BOKOD BIDS AND AWARDS COMMITTEE INVITATION TO BID FOR PROCUREMENT OF MICRO-INFRA PROJECTS CLUSTER 09-2020 (MDF 2020), EKIP &amp; TIKEY, BOKOD, BENGUET 1.	The MUNICIPA</t>
  </si>
  <si>
    <t xml:space="preserve"> Republic of the Philippines Province of Cagayan Municipality of Baggao INVITATION TO BID FOR THE PROCUREMENT OF GOODS The Barangay San Miguel, Baggao, Cagayan, through the Financial Assistance intends to apply the sum of Five Hundred Thousand Pesos (PHP50</t>
  </si>
  <si>
    <t xml:space="preserve"> Clearing &amp; grubbing, pipe culvert(installation, embankment slope protection w/ headwall, borrow fill, base coarse preparation, PCCP.</t>
  </si>
  <si>
    <t xml:space="preserve"> Republic of the Philippines					 Province of Bukidnon					 Municipality of Lantapan					 					 INVITATION TO BID FOR THE SUPPLY &amp; INSTALLATION OF STREET					 LIGHTS IN VARIOUS PUROKS, BARANGAYS AND SITIOS [2ND BID]					 					 1	The Local Government Unit o</t>
  </si>
  <si>
    <t xml:space="preserve"> Customized Looseleaf Folder Hardbound                -     1,000 pcs with DPWH Logo, Blue Size: 8 1/2 x 14 x 3</t>
  </si>
  <si>
    <t xml:space="preserve"> INVITATION TO BID ITB 2020 - 34 1.The Dr. Jose Fabella Memorial Hospital, through General Appropriations Act 2020 (GAA 2020) intends to apply the amount of Five Million Three Hundred Fourteen Thousand Nine Hundred Pesos and Sixty Centavos (Php 5,314,900.6</t>
  </si>
  <si>
    <t xml:space="preserve"> FEASIBILITY STUDY</t>
  </si>
  <si>
    <t xml:space="preserve"> Diesel=50,000 liters Gasoline= 6,250 liters</t>
  </si>
  <si>
    <t xml:space="preserve"> Issuance of Bid Documents Starts: August 5, 2020 Cost of Bid Document: Php 2,000.00 Venue of Dropping and Opening Bids: BAC Conference Room, Leyte SMED Center, Provincial Capitol Grounds, Tacloban City</t>
  </si>
  <si>
    <t xml:space="preserve"> Prospective bidders should have experience  in undertaking a similar project within the last two (2) years with an amount of at least 50% of the proposed project for bidding and have key personnel and equipment (owned, leased or under purchase) available </t>
  </si>
  <si>
    <t xml:space="preserve"> Republic of the Philippines City of Cagayan de Oro BIDS AND AWARDS COMMITTEE  INVITATION TO BID  FOR  Supply and Delivery of Mechanical Ventilator with Compressor and Other Items; PR No. 20-1618 dated 09 June 2020; SN 172 - 2020 1.	The City Government of </t>
  </si>
  <si>
    <t xml:space="preserve"> Blackout Blinds - 1,888 sq.ft. &gt; Conference Room: 86 sq.ft	 &gt; Office of the Asst. District Engineer:83.2 sq.ft	 &gt; Planning &amp; Design Section: 183 sq.ft	 &gt; Construction Section: 112.60 sq.ft	 &gt; Procurement Office: 192.2 sq.ft	 &gt; Public Information Officer O</t>
  </si>
  <si>
    <t xml:space="preserve"> CLEARING RIVER UPSTREAM AND BACKFILING OF 50.0M X 7.50M X 0.50M RIVER BED.</t>
  </si>
  <si>
    <t xml:space="preserve"> Excavation Gravel Fill Structural Concrete Masonry Roofing Plumbing Doors And Windows Tiles Painting Hardware Materials</t>
  </si>
  <si>
    <t xml:space="preserve"> Earthworks	70.02	cu.m. Reinforcing Steel Bar	1,175.52	kgs. Structural Concrete	13.38	cu.m. Fabrication/Erection &amp; Framing Works	1.00	lot Tinsmithry	648.00	sq.m. PCCP (T=0.10m)	630.00	cu.m. Construction Safety &amp; Health	4.00	mos. Project Billboard	64.00	sq.</t>
  </si>
  <si>
    <t xml:space="preserve"> Section I. Invitation to Bid Republic of the Philippines Province of Romblon INVITATION TO BID FOR  Procurement of Medicines for use of Romblon Provincial Hospital, Odiongan, Romblon. August 06, 2020 1.	The Provincial Government of Romblon, through the  P</t>
  </si>
  <si>
    <t xml:space="preserve"> Section I. Invitation to Bid Republic of the Philippines Province of Romblon INVITATION TO BID FOR  Procurement of Medical Supplies for use of Romblon Provincial Hospital, Odiongan, Romblon. August 06, 2020 1.	The Provincial Government of Romblon, through</t>
  </si>
  <si>
    <t xml:space="preserve"> Republic of the Philippines Province of Misamis Oriental Municipality of Lugait -oOo- INVITATION TO BID FOR THE PROCUREMENT OF  2-UNITS RISO MACHINE  AND  (INK &amp; MASTER ROLL) CONSUMABLES FOR THE USE LUGAIT DISTRICT UNDER LOCAL SCHOOL BOARD OF LOCAL GOVERN</t>
  </si>
  <si>
    <t xml:space="preserve"> Section I. Invitation to Bid Republic of the Philippines Province of Romblon INVITATION TO BID FOR  Procurement of Drugs for use of Romblon Provincial Hospital, Odiongan, Romblon. August 06, 2020 1.	The Provincial Government of Romblon, through the  PDRRM</t>
  </si>
  <si>
    <t xml:space="preserve"> Project: Completion of PRO13 Multi-Purpose Center (Last Phase) Location: Camp Col Rafael C Rodriguez, Libertad, Butuan City Approved Budget for the Contract: Php5,000,000.17 Duration: 210 Calendar Days</t>
  </si>
  <si>
    <t xml:space="preserve"> 1 lot Gypsum #6x1 for wood at 100pcs per box etc.- Supply and Installation of various office equipment and furnitures Phase II NOTE:To all suppliers bid documents and BAC Resolution 2020-029  are available at BAC Office and LGU website.</t>
  </si>
  <si>
    <t xml:space="preserve"> Republic of the Philippines     Province of Bohol     Municipality of Loon INVITATION TO BID FOR THE COMPLETION OF MULTI-PURPOSE BUILDING  (LOON TOWN SQUARE) 1.	The Local Government Unit of Loon, Bohol through its appropriation from trust fund intends to </t>
  </si>
  <si>
    <t xml:space="preserve"> 1. Procurement ID/Contract ID:	20GD0111 Contract Name:	REPAIR/MAINTENANCE OF DRAINAGE (CLUSTERED) 	                                                            1.	Repair/Maintenance of Drainage along Iloilo East Coast – Capiz Road KO106+558 (B/S) 2.	Repair</t>
  </si>
  <si>
    <t xml:space="preserve"> Contract ID No. 20OH0160 Contract Name : Proposed Installation of Waterline Distribution System (Phase 1-6) at CJVAB, Pasay City Contract Location: Pasay City	 Scope of Work: Installation of Waterline Distribution System Source of Fund and Year: GAA 2020 </t>
  </si>
  <si>
    <t xml:space="preserve"> Contract ID No. 20OH0159 Contract Name : Proposed Construction of One (1) Unit 5-Storey Officer’s Condominium at CJVAB, Pasay City Contract Location: Pasay City	 Scope of Work: Construction of Building Source of Fund and Year: GAA 2020 Approved Budget for</t>
  </si>
  <si>
    <t xml:space="preserve"> Republic of the Philippines City of Cagayan de Oro BIDS AND AWARDS COMMITTEE  INVITATION TO BID  FOR  Supply and Delivery of Five (5) Units Basic Life Support (BLS) Ambulance Vehicle with Complete Accessories; PR No. 19-1240 dated 16 May 2019; SN 174 - 20</t>
  </si>
  <si>
    <t xml:space="preserve"> PROCUREMENT OF DRUGS AND MEDICINES</t>
  </si>
  <si>
    <t xml:space="preserve"> Republic of the Philippines                   Department of Health	       CENTRAL OFFICE BIDS AND AWARDS COMMITTEE  INVITATION TO BID FOR THE PROCUREMENT OF ADDITIONAL SERVICES FOR THE TEMPERATURE-CONTROLLED PACKAGING AND TRANSPORT OF VACCINES INCLUDING D</t>
  </si>
  <si>
    <t xml:space="preserve"> Name of Project: Purchase of Various Medicines Location: Rural Health Unit, Pura, Tarlac ABC: Php 801,230.00 200	Boxes	Amlodipine 5mg/tab 400	Boxes	Amlodipine 10mg 50	BOTTLE	Amoxicillin(as Trihydrate) drops 100mg/ml, 15ml 100	BOTTLE	Amoxicillin (as Trihyd</t>
  </si>
  <si>
    <t xml:space="preserve"> 1.	The Local Government Unit of  Tuao, Cagayan  through Provincial Government Fund intends to  apply the sum of  Php 500,000.00  being the Approved Budget for the Contract (ABC) to   payments under  the contract for INSTALLATION OF STREETLIGHTS (SOLAR LIG</t>
  </si>
  <si>
    <t xml:space="preserve"> The MINISTRY OF SOCIAL SERVICES AND DEVELOPMENT BARMM, intends to apply the sum of ONE MILLION FOUR HUNDRED NINETY-NINE THOUSAND AND FIVE HUNDRED PESOS (P1,499,500.00) being the Approved Budget for the Contract (ABC) to payments under the contract for the</t>
  </si>
  <si>
    <t xml:space="preserve"> Republic of the Philippines  Province of Nueva Ecija City Government of Palayan INVITATION TO BID FOR THE CONSTRUCTION OF DAYCARE CENTER @ BRGY. ATATE(old) PALAYAN CITY 1.	The City Government of Palayan, through the 20% DEVELOPMENT FUND FOR THE YEAR 2020 </t>
  </si>
  <si>
    <t xml:space="preserve"> INVITATION TO BID The __DEPARTMENT OF PUBLIC WORKS AND HIGHWAYS - DISTRICT ENGINEER’S OFFICE ZAMBOANGA CITY__, through its Bids and Awards Committee (BAC), invites contractors to submit bids for the following Contract: Contract ID: 20JA0095 Contract Name:</t>
  </si>
  <si>
    <t xml:space="preserve"> Issuance of Bid Documents Starts: August 5, 2020 Cost of Bid Document: Php 1,500.00 Venue of Dropping and Opening Bids: BAC Conference Room, Leyte SMED Center, Provincial Capitol Grounds, Tacloban City</t>
  </si>
  <si>
    <t xml:space="preserve"> Invitation to Re-bid ITB No. 2020 - 33 1.The Dr. Jose Fabella Memorial Hospital, through the Hospital Income intends to apply the sum of Fifteen Million Five Hundred Thousand pesos (Php 15,500,000.00) being the Approved Budget for the Contract (ABC) to pa</t>
  </si>
  <si>
    <t xml:space="preserve"> Republic of the Philippines  Province of Nueva Ecija City Government of Palayan INVITATION TO BID FOR THE PROCUREMENT OF GARBAGE COLLECTION MOTOR VEHICLE  1.	The City Government of Palayan, through the GENERAL FUND intends to apply the sum of (Php1,035,19</t>
  </si>
  <si>
    <t xml:space="preserve"> Contract ID No. 20OH0158 Contract Name : Proposed Construction of One (1) Unit 4-Storey Transient officers Quarters at CJVAB, Pasay City Contract Location: Pasay City	 Scope of Work: Construction of Building Source of Fund and Year: GAA 2020 Approved Budg</t>
  </si>
  <si>
    <t xml:space="preserve"> Window system Concrete Flooring &amp; Tile works Fabrication of railings,gate,grills Fabrication of white board Pinting(railings) Fabrication of Cubicle 4.00m.x4.00m.(L.S.)</t>
  </si>
  <si>
    <t xml:space="preserve"> Furnishing of Labor, Materials and Equipment for the Construction of 2 Class Room School Building with Two Toilets at Hanopol National High School at Hanopol, Balilihan, Bohol, by the Provincial Engineer's Office, New Capitol Building, Tagbilaran City ABC</t>
  </si>
  <si>
    <t xml:space="preserve"> Republic of the Philippines Province of Iloilo Municipality of New Lucena    New Lucena, Iloilo 							         August 5, 2020     Invitation to Bid for the Completion/Construction of Multi – Purpose Gym,  Brgy. Burot,New Lucena , Iloilo.  	1. The Municip</t>
  </si>
  <si>
    <t xml:space="preserve"> 1.00       lot      Concreting Works</t>
  </si>
  <si>
    <t xml:space="preserve"> DESCRIPTION: One (1) Unit Dump Truck SPECIFICATIONS: 4 Cylinder Diesel Engine 4x4 (6 wheeler) 5 speed (Manual Transmission) 3.9 Liters (Turbo Intercooler) 8.25-16 &amp; 6.5-16 (Tire &amp; Rim) 8500 kg. Gross Vehicle Weight INCLUSIVE OF: 120 Ton Jack 1 Set Early W</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</si>
  <si>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</si>
  <si>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2020 25TH PUBLIC BIDDING PROCUREMENT OF HOUSEKEEPING AND LINEN AND LAUNDRY SUPPLIES FOR 2020 2ND SEMESTER CONSUMPTION</t>
  </si>
  <si>
    <t xml:space="preserve"> Republic of the Philippines Province of Iloilo Municipality of New Lucena    New Lucena, Iloilo 							         August 5, 2020     Invitation to Bid for the Concreting of Public Trail Brgy.Cabilauan, New Lucena , Iloilo.  	1. The Municipality of New Lucen</t>
  </si>
  <si>
    <t xml:space="preserve"> Please see attached RFQ # 20-1147-1 and attached Program of Works attached with the RFQ Submit your Sign and Sealed Quotation together with your UPDATED ELIGIBILITY Requirements at 3/F ATI Building Department of Agriculture Region IV-MiMaRoPa, Property&amp;Su</t>
  </si>
  <si>
    <t xml:space="preserve"> Republic of the Philippines  Province of Nueva Ecija City Government of Palayan INVITATION TO BID FOR THE CONSTRUCTION OF COMMUNITY PRECINT (COMPAC) @ BRGY. MANACNAC, PALAYAN CITY 1.	The City Government of Palayan, through the General Fund intends to appl</t>
  </si>
  <si>
    <t xml:space="preserve"> One Unit Motor Vehicle (Ambulance) Specifications are included in the Bid Docs</t>
  </si>
  <si>
    <t xml:space="preserve"> Procurement of Groundwood Paper (A3) to be used for the Public School of Libungan.</t>
  </si>
  <si>
    <t xml:space="preserve"> This is intended for the purchase of medicines and medical supplies used at RHU. (See attached Purchase Request)</t>
  </si>
  <si>
    <t xml:space="preserve"> Republic of the Philippines CITY GOVERNMENT OF LA CARLOTA BIDS AND AWARDS COMMITTEE OFFICE TEL. NO.  735-1370                                                                                                      	               	 INVITATION TO BID FOR THE </t>
  </si>
  <si>
    <t xml:space="preserve"> Republic of the Philippines PROVINCE OF ZAMBOANGA SIBUGAY Municipality of Buug BIDS AND AWARDS COMMITTEE Invitation to Bid for the  Construction Materials for Water Tank Construction(Guminta) 1. The Barangay Guminta of Buug, Zamboanga Sibugay, through the</t>
  </si>
  <si>
    <t xml:space="preserve"> Republic of the Philippines Province of Misamis Oriental MUNICIPALITY OF KINOGUITAN BIDS AND AWARDS COMMITTEE (BAC) INVITATION to APPLY for ELIGIBILITY and to BID The Local Government Unit of Kinoguitan, this province, invites interested prospective bidde</t>
  </si>
  <si>
    <t xml:space="preserve"> SEE ATTACHED PURCHASE REQUEST (PR)</t>
  </si>
  <si>
    <t xml:space="preserve"> Please see attached RFQ # 20-1147-3 and attached Program of Works attached with the RFQ Submit your Sign and Sealed Quotation together with your UPDATED ELIGIBILITY Requirements at 3/F ATI Building Department of Agriculture Region IV-MiMaRoPa, Property&amp;Su</t>
  </si>
  <si>
    <t xml:space="preserve"> Supply of Wiring and Double Throw Circuit Breaker including Installation</t>
  </si>
  <si>
    <t xml:space="preserve"> ITEM DESCRIPTION UNIT QUANTITY CONCRETE WORKS Portland Cement bags 37 Gravel G1(6 wheeler DT) load 1 Screened sand S1 (6 wheeler DT) load 2 10mmØx.omX6m RSB pcs 5 Welding rod kg 1/2 STEEL WORKS 3"ØX20'GI pipe pcs 3 1/4"x2"x4"x20' channel bar pcs 7 2"x3"x2</t>
  </si>
  <si>
    <t xml:space="preserve"> Republic of the Philippines                                               Province of Aklan                                         MUNICIPALITY OF LIBACAO                                                           * * * The Local Government Unit of Libaca</t>
  </si>
  <si>
    <t xml:space="preserve"> The Department of Education –Schools Division of Calbayog City, through the General Appropriations Act (GAA) CY 2020 intends to apply the sum of One Million Seven Hundred Thirty-One Thousand OneHundred Ninety-One Pesos &amp; 68/100 Only (Php 1,731,191.68) bei</t>
  </si>
  <si>
    <t xml:space="preserve"> Issuance of Bid Documents Starts: August 5, 2020 Cost of Bid Document: Php 1,000.00 Venue of Dropping and Opening Bids: BAC Conference Room, Leyte SMED Center, Provincial Capitol Grounds, Tacloban City</t>
  </si>
  <si>
    <t xml:space="preserve"> Republic of the Philippines                                                                   PROVINCE OF SAMAR                                                                      INVITATION TO BID                                                         </t>
  </si>
  <si>
    <t xml:space="preserve"> Section I. Invitation to Bid FOR THE UPLB-RES-037-08-20  SUPPLY AND DELIVERY OF BRANDED AND BRAND NEW REAL-TIME PCR DETECTION SYSTEM FOR IPB 1.	The UNIVERSITY OF THE PHILIPPINES LOS BAÑOS (UPLB), through the GOP (LB04011001-C002497-N827621) intends to app</t>
  </si>
  <si>
    <t xml:space="preserve"> The Local Government Unit of Isabel, Leyte through its Bids and Awards Committee (BAC), invites eligible bidders to bid the hereunder: Name of Project :Construction of one-storey evacuation center (35m x 12m) Location: Mahayag, Isabel, Leyte Brief Descrip</t>
  </si>
  <si>
    <t xml:space="preserve"> Name of Project/Contract	:	CONSTRUCTION OF MUNICIPAL SANITARY LANDFILL Location				:	Lupa, Kasibu, Nueva Vizcaya Brief Description		: 1.	Construction of Sanitary Landfill including bulk excavation;  2.	embankment;  3.	laying of clay liner;  4.	installatio</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</si>
  <si>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</si>
  <si>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Republic of the Philippines Province of Cagayan Municipality of Camalaniugan August 6, 2020 INVITATION TO BID  FOR THE FURNISHING &amp; DELIVERY OF NINE (9) UNITS XEROX/COPIER MACHINE 1.	The Municipality of Camalaniugan, through the SPECIAL EDUCATION FUND, in</t>
  </si>
  <si>
    <t xml:space="preserve"> The Department of Education –Schools Division of Calbayog City, through the General Appropriations Act (GAA) CY 2020 intends to apply the sum of One Million Eight Hundred Eighty-Two Thousand One Hundred Eighteen Pesos &amp; 05/100 Only (Php 1,882,118.05) bein</t>
  </si>
  <si>
    <t xml:space="preserve"> Office Fixtures and Furnitures</t>
  </si>
  <si>
    <t xml:space="preserve"> 98 UNITS PRINTER, 3 IN 1, ALL-IN-ONE (PRINT, SCAN, COPY)                MAXIMUM PRINT QUALITY: 5760 X 440 DPI                MAXIMUM PRINT SPEED: 33PPM FOR BLACK/15PPM FOR COLORED X X X X X X X X X X X X X X X X X X X X X X X X X X X X X X X X X X X X X X</t>
  </si>
  <si>
    <t xml:space="preserve"> 1. 2,200 Bag Cement 2. 300 Cu.m Mixed Gravel and Sand 3. 3,400 Pcs Steel bars (10mm x 6m) 4. 2,400 Pcs Steel bars (9mm x 6m) 5. 300 Pcs Steel bars (12mm x 6m) 6. 466 Kg Tie Wire #16 7. 2000 Bdft Coco lumber (1” x 8ft x 10”) 8. 3,000 Bdft Coco lumber (1” x</t>
  </si>
  <si>
    <t xml:space="preserve"> Construction of Multi-purpose Drying Pavement (MPDP) at Urzadan</t>
  </si>
  <si>
    <t xml:space="preserve"> Republic of the Philippines PROVINCE OF MARINDUQUE Capitol Boac, Marinduque OFFICE OF BIDS AND AWARDS COMMITTEE INVITATION TO BID  Supplying one (1) unit Brand New Crawler Excavator, etc. for Disaster Response Operations, Mitigation &amp; Climate Change, PEO,</t>
  </si>
  <si>
    <t xml:space="preserve"> 25	ltrs	Albendazole (Microzole)(1 liter) * 10	btls	Amoxicillin Lorey Acting (LA)* (100ml) 35	btls	Amoxicillin Injection, (150 mg)* 3,430	btls	Anti-rabies vaccine (Rabisin 10ml ) 1	bag	Antibiotic Powder (Robistrep 2.27kls) 100	amp	Atropine Sulfate (1ml) 20</t>
  </si>
  <si>
    <t xml:space="preserve"> 1,041 CAVAN  LOCAL WELL-MILLED RICE MAX.: 10% BROKEN (50KGS/CAVAN)</t>
  </si>
  <si>
    <t xml:space="preserve"> I. MOBILIZATION/DEMOB./EXCAVATION II. MASONRY WORKS III.STEEL WORKS IV. ELECTRICAL WORKS</t>
  </si>
  <si>
    <t xml:space="preserve"> IMPROVEMENT/REFURBISHMENT OF FACILITIES AND AMENITIES IN MUNICIPAL BUILDING. BRGY. PONONG, CARIGARA, LEYTE ABC: 400,000.00 1.00 UNIT GENERAL REQUIREMENTS 11.00 SQ.M. DEMOLITION WORKS 1.00 LOT FORMWORKS AND SCAFFOLDINGS 0.75 SQ.M. MASONRY WORKS 3.00 CU.M. </t>
  </si>
  <si>
    <t xml:space="preserve"> INVITATION TO BID IB No. GS-2020 – 091 Office Supplies and Devices for Distribution to Different Schools Provincewide 1. The  Provincial  Government  of  Oriental  Mindoro  (PGOM)  through  the  Trust Fund  intends  to  apply  the  sum  of  One Million Fi</t>
  </si>
  <si>
    <t xml:space="preserve"> Republic of the Philippines Province of Iloilo Municipality of Ajuy BIDS AND AWARD COMMITTEE INVITATION TO APPLY FOR ELIGIBILITY AND TO BID 	The Local Government of Ajuy, Iloilo invites Accredited Supplier to apply for eligibility and to bid for the Const</t>
  </si>
  <si>
    <t xml:space="preserve"> Project No.: GOODS-2020-08-003 INVITATION TO BID Provision of Supply and Delivery of Printing Materials for the Reproduction of Self-Learning Materials for Kinder to Grade 11 1. The Department of Education, Division of Masbate, through its Bids and Awards</t>
  </si>
  <si>
    <t xml:space="preserve"> Republic of the Philippines					 Province of Bukidnon					 Municipality of Lantapan					 					 INVITATION TO BID FOR THE PURCHASE OF MOTORCYCLES FOR BARANGAYS (2ND BID)					 					 1	The Local Government Unit of Lantapan through the General Fund for CY 202</t>
  </si>
  <si>
    <t xml:space="preserve"> Republic of the Philippines                                                          Province of Aklan                                                MUNICIPALITY OF LIBACAO                                                                * * * The Local Go</t>
  </si>
  <si>
    <t xml:space="preserve"> Republic of the Philippines												 City of San Carlos												 Negros Occidental												 												 			INVITATION TO BID							FOR SALE	 			PURCHASE REQUEST NO: 221-20-06-0712			P 7,000.00	 Sealed bids for quotation of prices will be receive</t>
  </si>
  <si>
    <t xml:space="preserve"> Spcl ITEM I. Removal of Damage Concrete Pavement ITEM 102. Common Borrow Excavation ITEM 105. Sub-grade Preparation ITEM 200. Aggregate  Sub-base Coarse Materials ITEM 311. Portland Cement Concrete Pavement Spcl ITEM II. Billboard &amp; Signages Installation </t>
  </si>
  <si>
    <t xml:space="preserve"> Republic of the Philippines Province of South Cotabato BIDS AND AWARDS COMMITTEE City of Koronadal  INF-ITB 20-040 INVITATION TO BID  1.	The Provincial Government of South Cotabato, through the PEO-8751 CA-2020-8-GF intends to apply the sum of            </t>
  </si>
  <si>
    <t xml:space="preserve"> Republic of the Philippines Department of Education Region V SCHOOLS DIVISION OFFICE OF CAMARINES SUR Office of the Bids and Awards Committee INVITATION TO BID FOR:   SUPPLY, DELIVERY AND INSTALLATION OF AIR-CONDITIONING UNIT FOR THE NEW BUILDING ITB No. </t>
  </si>
  <si>
    <t xml:space="preserve"> 6 AUGUST 2020 INVITATION TO BID FOR THE SUPPLY AND DELIVERY OF ECOBAGS WITH LOGO FOR   DIVISION OF CITY SCHOOLS 	 	 1.	The City of Caloocan, through the Special Education Fund and included in the 2020 Annual City School Board Budget approved under  City S</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</si>
  <si>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</si>
  <si>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Republic of the Philippines PROVINCE OF MARINDUQUE Capitol Boac, Marinduque OFFICE OF BIDS AND AWARDS COMMITTEE INVITATION TO BID  Supplying one (1) unit Brand New Wheel Loader, etc. for Disaster Response Operations, Mitigation &amp; Climate Change, PEO, Boac</t>
  </si>
  <si>
    <t xml:space="preserve"> Republic of the Philippines										 BIDS AND AWARDS COMMITTEE										 Baguio City										 (074) 300-6537/ (074)442-8795										 BID FORM										 CP No. 2020-56 Bidding									August 5, 2020	 Circular Proposal No.									Date Prepared	 								</t>
  </si>
  <si>
    <t xml:space="preserve"> REPUBLIC OF THE PHILIPPINES MUNICIPALITY OF SANTA ROSA  PROVINCE OF NUEVA ECIJA DIPACULAO WATER DISTRICT North Poblacion., Dipaculao, Aurora 3203 INVITATION TO BID FOR   SUPPLY, DELIVERY, INSTALLATION, TESTING AND COMMISSIONING OF PUMPING EQUIPMENT FOR TH</t>
  </si>
  <si>
    <t xml:space="preserve"> Bicol Medical Center Concepcion Pequeña, Naga City, 4400 (0998-247-0239/0906-256-9238          E-mail Address: bmc.bacoffice@gmail.com INIVITATION TO BID PROCUREMENT OF MEDICAL &amp; OTHER HEALTH RELATED EQUIPMENT (3) ITB No. 2020-30 1.	The BICOL MEDICAL CENT</t>
  </si>
  <si>
    <t xml:space="preserve"> Republic of the Philippines												 City of San Carlos												 Negros Occidental												 												 			INVITATION TO BID							FOR SALE	 			PURCHASE REQUEST NO: 18-20-07-0915			P 36,250.00	 Sealed bids for quotation of prices will be receive</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</si>
  <si>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</si>
  <si>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Republic of the Philippines												 City of San Carlos												 Negros Occidental												 												 			INVITATION TO BID							FOR SALE	 			PURCHASE REQUEST NO: 1-20-07-0896			P 2,330.00	 Sealed bids for quotation of prices will be received </t>
  </si>
  <si>
    <t xml:space="preserve"> Republic of the Philippines Province of Nueva Vizcaya BIDS AND AWARDS COMMITTEE (BAC-Goods) BAC OFFICE, Provincial Capitol, Bayombong, Nueva Vizcaya 	 REQUEST FOR QUOTATION (RFQ)  For the Procurement 250 pax Meals &amp; Snacks, etc for Various Meetings For th</t>
  </si>
  <si>
    <t xml:space="preserve"> Republic of the Philippines												 City of San Carlos												 Negros Occidental												 												 			INVITATION TO BID							FOR SALE	 			PURCHASE REQUEST NO: 1-20-07-0873			P 2,866.00	 Sealed bids for quotation of prices will be received </t>
  </si>
  <si>
    <t xml:space="preserve"> Republic of the Philippines PROVINCE OF MARINDUQUE Capitol Boac, Marinduque OFFICE OF BIDS AND AWARDS COMMITTEE INVITATION TO BID  Supplying various medical equipment for use in MPH Bldg. B (Pedia and Medicine Ward) Marinduque Provincial Hospital, Boac, M</t>
  </si>
  <si>
    <t xml:space="preserve"> Republic of the Philippines										 BIDS AND AWARDS COMMITTEE										 Baguio City										 (074) 300-6537/ (074)442-8795										 BID FORM										 CP No. 2020-55 Bidding									August 5, 2020	 Circular Proposal No.									Date Prepared	 								</t>
  </si>
  <si>
    <t xml:space="preserve"> Invitation to Bid  1.	The  Department  of Education (DepEd) Sorsogon City Division, through the 2020  GAA  Repair of Classrooms  intends to apply the sum indicated below ,   being the Approved Budget for the Contract (ABC) to payments under the contract f</t>
  </si>
  <si>
    <t xml:space="preserve"> Labor and Materials Completion of Hanging Bridge Location: Salvacion, Ragay -nothing follows-</t>
  </si>
  <si>
    <t xml:space="preserve"> INVITATION TO BID IB No. GS-2020 – 090 Information Technology for Distribution to Senior High School Students provincewide 1. The  Provincial  Government  of  Oriental  Mindoro  (PGOM)  through  the  Special Education Fund intends  to  apply  the  sum  of</t>
  </si>
  <si>
    <t xml:space="preserve"> - The Municipality of Baliguian, request for quotation for the Acquisition including installation of CCTV Camera. - The Estimated Budget Cost fr this Project is Six Hundred Thousand Pesos (Php600,000.00) - Interested suppliers/bidders may obtain further i</t>
  </si>
  <si>
    <t xml:space="preserve"> REPUBLIC OF THE PHILIPPINES 		                PROVINCE OF PALAWAN MUNICIPALITY OF LINAPACAN August 4, 2020 Invitation to Bid (ITB No. 39-20) 1.	The Municipal Government of Linapacan, Palawan through the GAD Fund projects intends to apply the sum of Three </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</si>
  <si>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</si>
  <si>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INSTALLATION OF NEW DISTRIBUTION OF WATER SYSTEM</t>
  </si>
  <si>
    <t xml:space="preserve"> Republic of the Philippines Province of Agusan del Sur Municipality of Trento BARANGAY CUEVAS BIDS &amp; AWARDS COMMITTEE INVITATION TO BID  FOR THE INSTALLATION OF GUTTER FOR MULTI-PURPOSE BUILDING 1.	The BLGU-Cuevas, through the 20% BDF intends to apply the</t>
  </si>
  <si>
    <t xml:space="preserve"> Republic of the Philippines Province of Iloilo Municipality of New Lucena    New Lucena, Iloilo 							         August 5, 2020     Invitation to Bid for the Completion/Construction of Multi – Purpose Gym, Brgy. Janipa –an Oeste, New Lucena , Iloilo.  	1. </t>
  </si>
  <si>
    <t xml:space="preserve"> Vigan City	Project Reference Number:	08242020-117 	Name of the Project :	Construction of Vigan Display Center-Phase IV Standard Form Number: SF-GOOD-05	Location of the Project:    	Crisologo St. Barangay I, Vigan City Revise on: July 28, 2004		 		 INVITAT</t>
  </si>
  <si>
    <t xml:space="preserve"> OUTBOARD MOTOR Cylinder (2) Compression Ration (6.0) Shaft Long 21 inches HP 40 @ 5000 rpm Weight 240 lbs Control Gear-Forward, Neutral &amp; Reverse</t>
  </si>
  <si>
    <t xml:space="preserve"> The City Government of Naga, through the Drugs and Medicines Account of Naga City Hospital (NCH), intends to apply the sum of Four Million Six Hundred Eighty Five Thousand Six Hundred Ninety Nine &amp; 56/100 (P 4,685,699.56) Pesos being the Approved Budget f</t>
  </si>
  <si>
    <t xml:space="preserve"> Rescue Recovery Hand Tools (spreader Cutter) (see attached documents)</t>
  </si>
  <si>
    <t xml:space="preserve"> INVITATION TO BID The City of Vigan, through its Bids and Awards Committee (BAC), invites suppliers/manufacturers/distributors/contractors to apply for eligibility and to bid for the hereunder project: Name of Project:	Procurement of 1 (One) Unit Double C</t>
  </si>
  <si>
    <t xml:space="preserve"> INVITATION TO BID IB No. GS-2020 – 089 Information Technology Parts for Distribution to different schools provincewide 1. The  Provincial  Government  of  Oriental  Mindoro  (PGOM)  through  the  Special Education Fund intends  to  apply  the  sum  of  Ni</t>
  </si>
  <si>
    <t xml:space="preserve"> 1.	1	unit	Brand New Ambulance Vehicle 			DOH Standard Compliance inclusive of vehicle, accessories and consumables 			ENGINE SPECIFICATIONS Engine Technology: 4 Cylinders, In-Line Type Type: 16-Valve DOHC Displacement cc: 2,755 Maximum Output Ps/Rpm: 176/</t>
  </si>
  <si>
    <t xml:space="preserve"> Project Billboard/Signboard; Occupational Safety and Health Program; Mobilization/Demobilization; Structure Excavation (Common Soil); Rubble Concrete.</t>
  </si>
  <si>
    <t xml:space="preserve"> SEE ATTACHED LINK TO"OTHER INFORMATION"</t>
  </si>
  <si>
    <t xml:space="preserve"> Name of Project: Completion of Barangay Health Facitility (To served as Covid-19 Isolation Facility)  Location: Brgy. Maungib, Pura, Tarlac ABC: Php 550,000.00</t>
  </si>
  <si>
    <t xml:space="preserve"> Republic of the Philippines Department of Justice BUREAU OF CORRECTIONS Muntinlupa City INVITATION TO BID FOR  SUPPLY AND DELIVERY OF FIRE TRUCKS FOR DAVAO PRISON AND PENAL FARM (DPPF) AND SAN RAMON PRISON AND PENAL FARM (SRPPF) LOT 3 RE-BID 1.	The Bureau</t>
  </si>
  <si>
    <t xml:space="preserve"> The Department of Education –Schools Division of Calbayog City, through the General Appropriations Act (GAA) CY 2020 intends to apply the sum of Two Million Nine Hundred Thirty-One Thousand One Hundred Thirty-Eight Pesos &amp; 81/100 Only (Php 2,931,138.81) b</t>
  </si>
  <si>
    <t xml:space="preserve"> CONSTRUCTION OF EVACUATION CENTER</t>
  </si>
  <si>
    <t xml:space="preserve"> ITEM 102. Common Borrow Excavation ITEM 105. Sub-grade Preparation ITEM 200. Aggregate  Sub-base Coarse Materials ITEM 311. Portland Cement Concrete Pavement Spcl ITEM II. Billboard &amp; Signages Installation Spcl ITEM III. Construction Safety and Health Sta</t>
  </si>
  <si>
    <t xml:space="preserve"> PHILIPPINE BIDDING DOCUMENTS (As Harmonized with Development Partners) Procurement of GOODS Procurement of Medical, Dental and Laboratory Supplies Government of the Republic of the Philippines Fourth Edition December 2010   Preface These Philippine Biddin</t>
  </si>
  <si>
    <t xml:space="preserve"> INVITATION TO BID FOR THE PROCUREMENT OF SERVICES – COLLECTION, HAULING, AND DISPOSAL OF SOLID WASTE AT THE CITY OF BACOOR - CENRO 1.	The City Government of Bacoor, Cavite, through the General Fund Year 2020 intends to apply the sum of SEVENTY FIVE MILLIO</t>
  </si>
  <si>
    <t xml:space="preserve"> Invitation to Bid for Improvement of Other DRRM Facilities (Supply &amp; Installation of Solar Panel at ALERT 161 Center ) at Talaba IV 1.	The City Government of Bacoor, Cavite, through the APP No. GF -03-2020 intends to apply the sum of NINE MILLION PESOS AN</t>
  </si>
  <si>
    <t xml:space="preserve"> Invitation to bid for the procurement of Supply and Delivery of Commonly-Used Supplies of SPAMAST for FY 2020 (2nd Posting)</t>
  </si>
  <si>
    <t xml:space="preserve"> Republic of the Philippines Province of Eastern Samar Municipality of Llorente Invitation to Bid for the Construction of Municipal Drainage System 1.	The Local Government of Llorente, through the Budget Approved by the Respective Sanggunian intends to app</t>
  </si>
  <si>
    <t xml:space="preserve"> ITB No. 2020-13 (SHORT OF AWARD) 1.	The SUGAR REGULATORY ADMINISTRATION, through the SRA GAA SIDA 2018 re-budgeted to 2020 intends to apply the sum of Twenty-Five Million Pesos (₱25,000,000.00) being the total Approved Budget for the Contract (ABC) to pay</t>
  </si>
  <si>
    <t xml:space="preserve"> PLEASE SEE ATTACHED ITB.</t>
  </si>
  <si>
    <t xml:space="preserve"> The Local Government Unit of Aglipay through 20% Municipal Development Fund CY 2020  intends to apply the sum of Four Hundred Eighty Three Thousand Seven Hundred Fourteen Pesos (Php 483, 714.00) being the Approved Budget for the Contract (ABC) to payments</t>
  </si>
  <si>
    <t xml:space="preserve"> Length of Railings - 33 1.m. with 11 steel post (3'' diameter x +/-1.1m ht. sch - 40) &amp;  foundation (0.40m x 0.40m x 0.2m). (concrete pedestal = 0.20m dia. x+/-1.80m)</t>
  </si>
  <si>
    <t xml:space="preserve"> Republic of the Philippines Province of Agusan del Norte BIDS AND AWARDS COMMITTEE Capitol, Butuan City Invitation to Bid for Rehabilitation of Tribal House, Sitio Lombuyan,  Brgy. Guinabsan, Buenavista, Agusan del Norte The Provincial Government of Agusa</t>
  </si>
  <si>
    <t xml:space="preserve"> Invitation to Bid The National Irrigation Administration – Upper Pampanga River Integrated Irrigation Systems, Dam and Reservoir Division (NIA-UPRIIS-DRD), through the GAA  2020 intends to bid out the projects listed below: CONTRACT ID NO.: 2020-DRD-INF-0</t>
  </si>
  <si>
    <t xml:space="preserve"> REPUBLIC OF THE PHILIPPINES 		                PROVINCE OF PALAWAN MUNICIPALITY OF LINAPACAN July 27, 2020 											  Date                                                                                                                                    </t>
  </si>
  <si>
    <t xml:space="preserve"> Project Billboard/Signboard; Occupational Safety and Health Program; Mobilization/Demobilization; Metal Guardrails (Metal Beam) including Post; Metal Beam End Piece; Hazard Markers, 450mm x 600mm Chevron Signs; Reflectorized Thermoplastic Pavement Marking</t>
  </si>
  <si>
    <t xml:space="preserve"> INVITATION TO BID FOR THE REGRAVELLING OF ROADS AT VARIOUS BARANGAYS, MUNICIPALITY OF HINIGARAN, NEGROS OCCIDENTAL 1.	The Local Government Unit of Hinigaran, through Supplemental Budget for 20% Development Fund 2020 intends to apply the sum of ₱ 2,666,630</t>
  </si>
  <si>
    <t xml:space="preserve"> REPUBLIC OF THE PHILIPPINES 		                PROVINCE OF PALAWAN MUNICIPALITY OF LINAPACAN 	July 27, 2020 Invitation to Bid (ITB No. 35-20) 1.	The Municipal Government of Linapacan, Palawan through the Municipal Development Fund 2020 (20%) intends to app</t>
  </si>
  <si>
    <t xml:space="preserve"> Republic of the Philippines Province of Siquijor Municipality of Enrique Villanueva Barangay Libo Invitation to Bid for  Purchase of Generator Set in Barangay Libo, Enrique Villanueva, Siquijor 	The Barangay Libo, through the Unappropriated Balances of 20</t>
  </si>
  <si>
    <t xml:space="preserve"> INVITATION TO BID  Supply and Delivery of Lot 1 – Seven (7) units Palay Thresher with Blower and Lot 2 – Ten (10) units Hand Tractor for Implementation under 2020 Rice Program 1.	The Department of Agriculture Regional Field Office No. 5, through the Gener</t>
  </si>
  <si>
    <t xml:space="preserve"> National Power Corporation INVITATION TO BID PUBLIC BIDDING 2020-0263 1.	The NATIONAL POWER CORPORATION (NPC), through       its        approved       Corporate Budget of CY 2020 intends to apply   the   sum   of (Please see schedule below) being the Appr</t>
  </si>
  <si>
    <t xml:space="preserve"> Section I. Invitation to Bid FOR THE UPLB-RES-039-08-20  SUPPLY AND DELIVERY OF BRANDED AND BRAND NEW LABORATORY SUPPLIES AND SCIENTIFIC EQUIPMENT FOR MNH 1.	The UNIVERSITY OF THE PHILIPPINES LOS BAÑOS (UPLB), through the GOP (LB03024001-C0002470; N9A9000</t>
  </si>
  <si>
    <t xml:space="preserve"> Republic of the Philippines Province of Agusan del Norte BIDS AND AWARDS COMMITTEE Capitol, Butuan City Invitation to Bid for Upgrading/Improvement of Sanghan-Luna-Calulutay-Calamba  Provincial Road, Cabadbaran City, Agusan del Norte The Provincial Govern</t>
  </si>
  <si>
    <t xml:space="preserve"> REPUBLIC OF THE PHILIPPINES 		                PROVINCE OF PALAWAN MUNICIPALITY OF LINAPACAN August 4, 2020 Invitation to Bid (ITB No. 40-20) 1.	The Municipal Government of Linapacan, Palawan through the Trust Fund projects intends to apply the sum of Seve</t>
  </si>
  <si>
    <t xml:space="preserve"> Republic of the Philippines National Kidney and Transplant Institute Bids and Awards Committee East Avenue, Quezon City 1100 981-0300 / 981-0400 local 1157 http://www.nkti.gov.ph/	 INVITATION TO BID for the ITB No. 20-072 Supply and Delivery of Various Co</t>
  </si>
  <si>
    <t xml:space="preserve"> REPUBLIC OF THE PHILIPPINES 		                PROVINCE OF PALAWAN MUNICIPALITY OF LINAPACAN 	July 27, 2020 Invitation to Bid (ITB No. 34-20) 1.	The Municipal Government of Linapacan, Palawan through the MUNICIPAL DEVELOPMENT FUND  (20% MDF 2019) projects </t>
  </si>
  <si>
    <t xml:space="preserve"> REPUBLIC OF THE PHILIPPINES 		                PROVINCE OF PALAWAN MUNICIPALITY OF LINAPACAN August 5, 2020 Invitation to Bid (ITB No. 42-20) 1.	The Municipal Government of Linapacan, Palawan through 5% Fund 2020 projects intends to apply the sum Seventy F</t>
  </si>
  <si>
    <t xml:space="preserve"> The DPWH-Regional Office I, through its Bids and Awards Committee (BAC), invites contractors to submit bids for the following Contract: Contract ID: 21A00001 Contract Name: Retrofitting/Strengthening of Permanent Bridges, Don Teofilo Sison Bridge (B00722L</t>
  </si>
  <si>
    <t xml:space="preserve"> REPUBLIC OF THE PHILIPPINES 		                PROVINCE OF PALAWAN MUNICIPALITY OF LINAPACAN August 5, 2020 											  Date                                                                                                                                   </t>
  </si>
  <si>
    <t xml:space="preserve"> REGION XII Province of Cotabato Municipality of Midsayap BIDS &amp; AWARDS COMMITTEE Tel. Nos. (064) 229-8018; 229-8650; 229-8450 INVITATION TO BID FOR  2020-100, CONSTRUCTION OF CONCRETE CANAL WITH SLOPE PROTECTION AT PUROK WALING- WALING, KIMAGANGO, MIDSAYA</t>
  </si>
  <si>
    <t xml:space="preserve"> SEE ATTACHED ASSOCIATED COMPONENT DOCUMENTS</t>
  </si>
  <si>
    <t xml:space="preserve"> Republic of the Philippines BOHOL ISLAND STATE UNIVERSITY- Calape Campus Calape, Bohol INVITATION TO BID FOR THE PROCUREMENT OF ELECTRICAL SUPPLIES, INSTRUMENT, SECURITY AND EMERGENCY DEVICES  (PRN-497-2020) 1.	The Bohol Island State University- Calape Ca</t>
  </si>
  <si>
    <t xml:space="preserve"> Republic of the Philippines Province of Pangasinan Municipality of Bugallon OFFICE OF THE BIDS AND AWARDS COMMITTEE INVITATION TO BID The Barangay Polong of the Municipality of Bugallon, Pangasinan, through its Bids and Awards Committee (BAC), invites con</t>
  </si>
  <si>
    <t xml:space="preserve"> INVITATION TO BID FOR THE Construction &amp; Rehabilitation of Potable Water Supply Level II LGU-Kabugao, Apayao 1.	The Local Government Unit of Kabugao, through Appropriation Ordinance No. 02-Series of 2019 (FY 2020 Annual Budget - 20% MDF)   intends to appl</t>
  </si>
  <si>
    <t xml:space="preserve"> INVITATION TO BID FOR THE Construction of Potable Water Supply Level II LGU-Kabugao, Apayao 1.	The Local Government Unit of Kabugao, through Appropriation Ordinance No. 02-Series of 2019 (FY 2020 Annual Budget - 20% MDF)   intends to apply the sum of Four</t>
  </si>
  <si>
    <t xml:space="preserve"> Republic of the Philippines Province of Apayao PROVINCIAL GOVERNMENT CENTER San Isidro Sur, Luna, Apayao INVITATION TO BID FOR THE SUPPLY AND DELIVERY OF VARIOUS GOODS 1.	The Provincial Government of Apayao, through the General Fund FY 2020, Capital Outla</t>
  </si>
  <si>
    <t xml:space="preserve"> Construction of 6 unit street lights</t>
  </si>
  <si>
    <t xml:space="preserve"> ITB 2020-14 1.	The SUGAR REGULATORY ADMINISTRATION, through the SRA Corporate Operating Budget 2020 intends to apply the sum of One Million Two Hundred Ten Thousand Pesos (₱1,210,000.00) being the Approved Budget for the Contract (ABC) to payments under t</t>
  </si>
  <si>
    <t xml:space="preserve"> INVITATION TO BID FOR THE Rehabilitation of Cable Foot Bridge LGU-Kabugao, Apayao 1.	The Local Government Unit of Kabugao, through Appropriation Ordinance No. 02-Series of 2019 (FY 2020 Annual Budget)   intends to apply the sum of Seven Hundred Thousand P</t>
  </si>
  <si>
    <t xml:space="preserve"> Project Billboard/Signboard, Occupational Safety and Health Program, Traffic Management, Mobilization/Demobilization, Aggregate Subbase Course</t>
  </si>
  <si>
    <t xml:space="preserve"> Republic of the Philippines Province of Agusan del Norte BIDS AND AWARDS COMMITTEE Capitol, Butuan City Invitation to Bid for Construction of Provincial Jail Covered Court,  Brgy. Libertad, Butuan City, Agusan del Norte The Provincial Government of Agusan</t>
  </si>
  <si>
    <t xml:space="preserve"> Concrete works (Beam, Column, suspended &amp; grade slab, Masonry works</t>
  </si>
  <si>
    <t xml:space="preserve"> Clearing and Grubbing Embankment Aggregate Sub-base Course Diameter 1.20m RCPC Riprap and Grouted Riprap Hand Laid Rock Embankment</t>
  </si>
  <si>
    <t xml:space="preserve"> Republic of the Philippines Province of Agusan del Norte BIDS AND AWARDS COMMITTEE Capitol, Butuan City Invitation to Bid for Construction of Bodega GSO, Capitol Compound,  Butuan City, Agusan del Norte The Provincial Government of Agusan del Norte, throu</t>
  </si>
  <si>
    <t xml:space="preserve"> The DPWH-Regional Office I, through its Bids and Awards Committee (BAC), invites contractors to submit bids for the following Contract: Contract ID: 21A00005 Contract Name: Retrofitting/Strengthening of Permanent Bridges, Bued Bridge (B00735LZ) along Mani</t>
  </si>
  <si>
    <t xml:space="preserve"> Please see BAC Chairman &amp; attached documents</t>
  </si>
  <si>
    <t xml:space="preserve"> INVITATION TO BID FOR THE Construction of River Flood Control LGU-Kabugao, Apayao 1.	The Local Government Unit of Kabugao, through Appropriation Ordinance No. 02-Series of 2019 (FY 2020 Annual Budget)   intends to apply the sum of One Million Pesos (₱1,00</t>
  </si>
  <si>
    <t xml:space="preserve"> 166 heads - Upgraded Goats (Crossbred of Anglo-nubian or Boer) Animals should be sourced from BAI accredited multiplier farm 166 does feminine appearance &amp; apparently healthy Minimum bodyweight of 20 kg in female upon delivery Tested free for CAE and Bruc</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</si>
  <si>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</si>
  <si>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REPUBLIC OF THE PHILIPPINES 		                PROVINCE OF PALAWAN MUNICIPALITY OF LINAPACAN August 5, 2020 Invitation to Bid (ITB No. 43-20) 1.	The Municipal Government of Linapacan, Palawan through 5% Fund 2018 projects intends to apply the sum One Hundr</t>
  </si>
  <si>
    <t xml:space="preserve"> Embankment Subgrade Preparation Aggregate Sub-base Course PCCP</t>
  </si>
  <si>
    <t xml:space="preserve"> The DPWH-Regional Office I, through its Bids and Awards Committee (BAC), invites contractors to submit bids for the following Contract: Contract ID: 21A00004 Contract Name: Retrofitting/Strengthening of Permanent Bridges, Bauang Bridge 1 (B02644LZ) along </t>
  </si>
  <si>
    <t xml:space="preserve"> INVITATION TO BID FOR THE SUPPLY, DELIVERY AND INSTALLATION OF 1 LOT GERMINATOR RCEF GOODS 20-07-05A 1.	The Philippine Rice Research Institute, through the 2020 Rice Competitiveness Enhancement Fund intends to apply the sum of ONE MILLION TWO HUNDRED THOU</t>
  </si>
  <si>
    <t xml:space="preserve"> The Municipality of Sta. Cruz through its Bids and Awards Committee (BAC), invites suppliers to apply for eligibility and if found eligible, to bid for the hereunder contract: Name of Project		: Supply, Delivery and Installation of one (1) unit Pressure V</t>
  </si>
  <si>
    <t xml:space="preserve"> INVITATION TO BID  FOR SUPPLY AND DELIVERY OF PRINTERS. 1.	The Local Government Unit of Murcia, Negros Occidental, through the LGU-SEF 2020, intends to apply the sum of Three Hundred Ninety Three Thousand Two Hundred Thirty Six Pesos (Php 393,236.00) bein</t>
  </si>
  <si>
    <t xml:space="preserve"> REGION XII Province of Cotabato Municipality of Midsayap BIDS &amp; AWARDS COMMITTEE Tel. Nos. (064) 229-8018; 229-8650; 229-8450 INVITATION TO BID FOR  2020-101, SUPPLY AND DELIVERY OF AGRICULTURAL INPUTS FOR ORGANIC FARMERS OF THE  MUNICIPALITY OF MIDSAYAP,</t>
  </si>
  <si>
    <t xml:space="preserve"> The DPWH-Regional Office I, through its Bids and Awards Committee (BAC), invites contractors to submit bids for the following Contract: Contract ID: 21A00003 Contract Name: Bridge Rehabilitation, Rehabilitation of Padilla Bridge (B02144LZ) along Pangasina</t>
  </si>
  <si>
    <t xml:space="preserve"> 1	958	bags	Cement 2	44	cu.m	Crushed Gravel (G1) 3	52	cu.m	Crushed Gravel(3/4) 4	60	cu.m	Albay Sand 5	6	cu.m	Boulders Class A 6	614	pcs	12mm RSB 7	712	pcs	10mm RSB 8	5	rolls	# 16 Tie Wire 9	4	boxes	4”  CW Nail 10	3	boxes	3” CW Nail 11	2	boxes	2” CW Nail 12</t>
  </si>
  <si>
    <t xml:space="preserve"> 2 units - Combine Harvester Location: 1 unit - Occidental Mindoro 1 unit - Palawan</t>
  </si>
  <si>
    <t xml:space="preserve"> The DPWH-Regional Office I, through its Bids and Awards Committee (BAC), invites contractors to submit bids for the following Contract: Contract ID: 21A00002 Contract Name: Retrofitting/Strengthening of Permanent Bridges, Cagubay Bridge (B00679LZ) along P</t>
  </si>
  <si>
    <t xml:space="preserve"> Republic of the Philippines Province of Eastern Samar Municipality of Guiuan Invitation to Bid  for  PROPOSED CONSTRUCTION OF DRAINAGE SYSTEM ALONG MANAGANTAN STREET,  BARANGAY 09-A, GUIUAN, E. SAMAR The LOCAL GOVERNMENT UNIT OF GUIUAN, through the  20% D</t>
  </si>
  <si>
    <t xml:space="preserve"> Republic of the Philippines Province of Camarines Sur MUNICIPALITY OF MINALABAC -o0o- Invitation to Bid for REBLOCKING OF ROAD at Manapao, Minalabac, Camarines Sur 1. LGU-Minalabac, Camarines Sur, through 20% EDF, CY 2020, intends to apply the sum of One </t>
  </si>
  <si>
    <t xml:space="preserve"> Republic of the Philippines Province of Davao de Oro MUNICIPALITY OF COMPOSTELA BIDS AND AWARDS COMMITTEE CP#: 0998-571-7569 INVITATION TO BID FOR CONSTRUCTION OF TEMPORARY MARKET STALLS FOR P-3 CROSSING GABI (Procurement of Materials) ITB NO. 2020-08-042</t>
  </si>
  <si>
    <t xml:space="preserve"> Republic of the Philippines Province of Cotabato Municipality of Antipas BIDS AND AWARDS COMMITTEE Invitation to Bid for  Concreting of Highway-Demo Farm Road 1.	The Municipal Government of Antipas, through the Budget Approved by the Sanggunian, intends t</t>
  </si>
  <si>
    <t xml:space="preserve"> Republic of the Philippines City Government of Cotabato BIDS AND AWARDS COMMITTEE Cotabato City INVITATION TO BID  Purchase of Construction Materials  1.	The City Government of Cotabato, through LDRRM – Calamity Fund  intends to apply the sum of One Milli</t>
  </si>
  <si>
    <t xml:space="preserve"> 1 UNIT AIRCON</t>
  </si>
  <si>
    <t xml:space="preserve"> Republic of the Philippines Bohol Island State University-Calape Campus Calape, Bohol Invitation to Bid for the Procurement of Office Supplies PRN- 632-2020 1.	The Bohol Island State University Calape Campus,  through the Special Trust Fund (STF) 2020  in</t>
  </si>
  <si>
    <t xml:space="preserve"> CONSTRUCTION OF 2-STOREY 4-CLASSROOM SCHOOL BUILDING Contract Location                :     Dugong NHS, Bucay, Abra Brief Description                 :     Construction of School Building using Finishing Works The DPWH-Abra District Engineering Office res</t>
  </si>
  <si>
    <t xml:space="preserve"> Project Billboard/Signboard; Occupational Safety and Health Program; Mobilization/Demobilization; Removal of Structure and Obstruction (including Restoration); Structure Excavation (Common Soil); Structural Concrete (Footing and Slab on Fill), Class A, 28</t>
  </si>
  <si>
    <t xml:space="preserve"> Construction of 2 units 1 Storey 2 Classroom Building (Modified)</t>
  </si>
  <si>
    <t xml:space="preserve"> 100 UNIT	DIGITAL DUPLICATOR (for various Schools)		 		 Master Making method: Thermal	Master  Making Interval: 45	seconds				 Resolution: Scan (input) resolution: 300x360 dpi				 Print (output) Resolution: 300x360 dpi				 Master Punch Density: 300x360 dpi	</t>
  </si>
  <si>
    <t xml:space="preserve"> Republic of the Philippines										 BIDS AND AWARDS COMMITTEE										 Baguio City										 (074) 300-6537/ (074)442-8795										 BID FORM										 CP No. 2020-57 Bidding									August 5, 2020	 Circular Proposal No.									Date Prepared	 								</t>
  </si>
  <si>
    <t xml:space="preserve"> The Municipal Government of San Mariano, Isabela intends to apply the sum of Two Hundred Thousand Pesos Only (Php. 200, 000.00) chargeable against 2020 Capital Outlay (Medical Equipment)Fund being the Approved Budget for the Contract (ABC) for payment und</t>
  </si>
  <si>
    <t xml:space="preserve"> Construction of 1 Storey 2 Classroom School Building (Modified)</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</si>
  <si>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</si>
  <si>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ITB 2020-12 1.	The SUGAR REGULATORY ADMINISTRATION, through the SRA Corporate Operating Budget 2020 intends to apply the sum of Ten Million Pesos (₱10,000,000.00) being the Approved Budget for the Contract (ABC) to payments under the contract for the Irri</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</si>
  <si>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</si>
  <si>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DEPARTMENT OF PUBLIC WORKS AND HIGHWAYS REGIONAL OFFICE VIII Baras, Palo, Leyte    INVITATION TO BID No. 2020-08-005 August 3, 2020 1.	The Department of Public Works and Highways Regional Office VIII, Baras, Palo, Leyte, throug</t>
  </si>
  <si>
    <t xml:space="preserve"> The Department of Agriculture-RFO 3, invites interested suppliers/ bidders to submit bid proposal(s) for the hereunder requirement, to wit: 1,175 bottles SPINETORAM (250ml/bottle) Composition: Water: 832.2 g/L Dispersant: 30.8 g/L Other Inert: 93.6 g/L Sp</t>
  </si>
  <si>
    <t xml:space="preserve"> Republic of the Philippines Bohol Island State University-Calape Campus Calape, Bohol Invitation to Bid for the Procurement of (CTAS) Electricity Equipment PRN- 488-2020 1.	The Bohol Island State University Calape Campus,  through the Special Trust Fund (</t>
  </si>
  <si>
    <t xml:space="preserve"> Republic of the Philippines DEPARTMENT OF PUBLIC WORKS AND HIGHWAYS ILOILO CITY DISTRICT ENGINEERING OFFICE REGION VI Fort San Pedro, Iloilo City INVITATION TO BID FOR 20GGJ0061 - Supply and Delivery of Office Supplies/Furniture for the use of Planning an</t>
  </si>
  <si>
    <t xml:space="preserve"> Republic of the Philippines BIDS AND AWARDS COMMITTEE 9017 Población, El Salvador City Misamis Oriental  Email: bac.elsalvadorcity@gmail.com INVITATION TO BID for the PROCUREMENT OF 4x2 VAN PICK-UP DRIVEN WITH ACCESSORIES 		(BRAND NEW) (GOODS) 	 The LGU-E</t>
  </si>
  <si>
    <t xml:space="preserve"> 1.	The Local Government Unit of  Tuao, Cagayan  through Provincial Government Fund – NTLB Program intends to  apply the sum of  Php 1,000,000.00  being the Approved Budget for the Contract (ABC) to   payments under  the contract for  PURCHASE &amp; DELIVERY O</t>
  </si>
  <si>
    <t xml:space="preserve"> The Local Government Unit of General Santos City, through the GENERAL FUND CY 2020 intends to apply the sum of one million one hundred sixty-seven thousand four hundred and xx / 100 Pesos Only (1,167,400.00) being the Approved Budget for the Contract (ABC</t>
  </si>
  <si>
    <t xml:space="preserve"> Acquisition of Motorcycle and Office Equipments for the Bureau of Fire Protection Items: 1. 1 unit - motorcycle Specs: Engine Type: 4 Stroke, Air-Cooled, Overhead Cam Displacement: 125cc Transmission Type: Electric and Kick Transmission Type: Semi-Manual </t>
  </si>
  <si>
    <t xml:space="preserve"> Republic of the Philippines National Kidney and Transplant Institute Bids and Awards Committee East Avenue, Quezon City 1100 981-0300 / 981-0400 local 1157 http://www.nkti.gov.ph/	 INVITATION TO BID for the ITB No. 20-055 Supply and Delivery of Various Co</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</si>
  <si>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</si>
  <si>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1	8090	PACK	NUTRI PASTA SAUCE SPAGHETTI 2	8090	PACK	MACARONI SOUP 3	8090	PACK	CREAM OF CHICKEN AND CORN 4	8090	PACK	BURGER STEAK 5	8090	PACK	CHICKEN ALA KING 6	8090	PACK	BEEF  7	8090	PACK	CHAMPORADO 8	8090	PACK	MACARONI SOUP(BEEF) 9	8090	PACK	MACARONI SOU</t>
  </si>
  <si>
    <t xml:space="preserve"> Plastic Crates    - 50 kgs capacity,outside dimension: 23.60 x 15.75 x 12 inches,inside dimension 22.4 x 14.6 x 11.4 inches, with print od DA logo and Kadiwa MiMaRoPa, for vegetables, double wall heavy duty perforated plastic crate, food grade certified b</t>
  </si>
  <si>
    <t xml:space="preserve"> Republic of the Philippines DEPARTMENT OF PUBLIC WORKS AND HIGHWAYS REGIONAL OFFICE VIII Baras, Palo, Leyte    INVITATION TO BID No. 2020-08-006 August 3, 2020 1.	The Department of Public Works and Highways Regional Office VIII, Baras, Palo, Leyte, throug</t>
  </si>
  <si>
    <t xml:space="preserve"> Provision of Combined Field Office, Laboratory and Living Quarters Building for the Engineer (Rental Basis); Permanent Monuments and Markers; Miscellaneous Survey and Staking; Project Billboard/Signboard; Occupational Safety and Health Program; Traffic Ma</t>
  </si>
  <si>
    <t xml:space="preserve"> Republic of the Philippines PROVINCE OF DAVAO ORIENTAL MUNICIPALITY OF SAN ISIDRO BARANGAY BAON INVITATION TO BID FOR THE PROCUREMENT OF WORKS FOR THE CONST’N WATER SYSTEM OF BARANGAY BAON, SAN ISIDRO, DAVAO ORIENTAL 1.	The Barangay Baon, Mun. of San Isid</t>
  </si>
  <si>
    <t xml:space="preserve"> The Local Government Unit of General Santos City, through the CDRRM FUND CY 2020 intends to apply the sum of thirty-one million four hundred fifty thousand and xx / 100 Pesos Only (31,450,000.00) being the Approved Budget for the Contract (ABC) to payment</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</si>
  <si>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</si>
  <si>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Republic of the Philippines Bohol Island State University-Calape Campus Calape, Bohol Invitation to Bid for the Procurement of Kitchen Equipment  PRN- 617-2020 1.	The Bohol Island State University Calape Campus,  through the Special Trust Fund (STF) 2020 </t>
  </si>
  <si>
    <t xml:space="preserve"> Republic of the Philippines Department of Health CENTRAL OFFICE BIDS AND AWARDS COMMITTEE Name of the Procuring Entity: Department of Health Name of the Project: Procurement of Various ICT Equipment SVP No. 2020-044	 _____________________________         </t>
  </si>
  <si>
    <t xml:space="preserve"> Republic of the Philippines MUNICIPALITY OF MULANAY Province of Quezon INVITATION TO BID FOR  Procurement of Furniture/ Fixture, Office and IT Equipment  for Different Offices 2020 1.	The Local Government Unit of Mulanay, Quezon, through the Capital Outla</t>
  </si>
  <si>
    <t xml:space="preserve"> Republic of the Philippines Province of Davao Oriental CITY OF MATI INVITATION TO BID REPAIR AND MAINTENANCE OF KOMATSU GRADER Name of Project 1.	The City Government of Mati, through the City Mayor’s Office intends to apply the sum of Eight Hundred Twenty</t>
  </si>
  <si>
    <t xml:space="preserve"> Republic of the Philippines Province of Nueva Vizcaya Municipality of Solano -o0o- INVITATION TO BID FOR Supply &amp; Delivery of materials for the Construction of  Multi Purpose Hall, brgy. Uddiawan, SNV.   (SOLANO 092-2020) 1.	The Local Government Unit of S</t>
  </si>
  <si>
    <t xml:space="preserve"> Republic of the Philippines Province of Nueva Vizcaya Municipality of Solano -o0o- INVITATION TO BID FOR  Renovation of Female &amp; Male Comfort Room at 2nd Floor Executive Building, Municipal Hall, SNV.  (SOLANO 091-2020) 1.	The Local Government Unit of Sol</t>
  </si>
  <si>
    <t xml:space="preserve"> 950 heads - Improved/Free-range/Native Chicken (Rooster) Age not less than 14 weeks Minimum bodyweight of 800 grms - 1 kg upon delivery Must not possess physical defects or undesirable characteristics Pre-delivery Requirement: (Inter-island shipment) Test</t>
  </si>
  <si>
    <t xml:space="preserve"> Republic of the Philippines Province of Negros Occidental Municipality of Valladolid INVITATION TO BID  ACQUISITION OF RESCUE/MULTI-PURPOSE VEHICLE 1.	The Municipality of Valladolid, intends to apply the sum of One Million Four Hundred Thousand Pesos (Php</t>
  </si>
  <si>
    <t xml:space="preserve"> GENERAL HEADQUARTERS ARMED FORCES OF THE PHILIPPINES GHQ BIDS AND AWARDS COMMITTEE 2 Camp General Emilio Aguinaldo, Quezon City INVITATION TO BID Procurement of ICIE (PHILARPAT Uniforms and 2 other items – (Lot 10) 2nd Re-Bidding  (GB2-PB-01-20) 1.   The </t>
  </si>
  <si>
    <t xml:space="preserve"> Supply and Delivery of 1 Unit Passenger Van -	Transmission: 4 speed automatic gate-type,  -	Suspension Front/Rear: double wishbone with stabilizer bar/rigid axle, leaf soring or its equivalent,  -	Tires: 225/70R15,  -	Wheels: 611x 15 alloy wheel,  -	Engin</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</si>
  <si>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</si>
  <si>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GENERAL HEADQUARTERS ARMED FORCES OF THE PHILIPPINES GHQ BIDS AND AWARDS COMMITTEE 2 Camp General Emilio Aguinaldo, Quezon City INVITATION TO BID Supply and Delivery of PHILAR PAT Uniforms 1st Re-Bidding  (GB2-PB-02-20) 1.   The Armed Forces of the Philip</t>
  </si>
  <si>
    <t xml:space="preserve"> 760 heads - Animal Feeds Chick Grower Crumble (50kgs/bag) Delivery: Occidental Mindoro - 168 bags Oriental Mindoro - 168 bags Marinduque - 224 bags Romblon - 200 bags</t>
  </si>
  <si>
    <t xml:space="preserve"> INVITATION TO BID FOR THE SUPPLY &amp; DELIVERY OF ONE (1) UNIT OF SERVICE VEHICLE FOR SAGIP MUNTINLUPA CENTER 1.	The City Government of Muntinlupa, through its duly-approved  Executive Budget  for 2019 intends to apply the sum of One Million Two Hundred Sixt</t>
  </si>
  <si>
    <t xml:space="preserve"> Republic of the Philippines Province of Nueva Vizcaya Municipality of Solano -o0o- INVITATION TO BID FOR Construction of One (1) Classroom School Building Phase II Brgy. Concepcion, SNV.   (SOLANO 090-2020) 1.	The Local Government Unit of Solano, Nueva Vi</t>
  </si>
  <si>
    <t xml:space="preserve"> Republic of the Philippines Province of South Cotabato City of Koronadal BIDS AND AWARDS COMMITTEE INVITATION TO BID FOR THE  Procurement for the Supply and Delivery of Twelve (12) Units Diesel-Type Brand New Four-Wheeled Vehicles (Pick-Up) for the Operat</t>
  </si>
  <si>
    <t xml:space="preserve"> Republic of the Philippines WESTERN PHILIPPINES UNIVERSITY         A STRONG PARTNER FOR SUSTAINABLE DEVELOPMENT BIDS AND AWARDS COMMITTEE Invitation to Bid for Supply and Delivery of Materials and Equipment for DA-ACEF Mango Project The Western Philippine</t>
  </si>
  <si>
    <t xml:space="preserve"> INVITATION TO BID FOR THE CONSTRUCTION OF NEW MUNTINLUPA CITY PUBLIC MARKET (PHASE 2) AT BRGY. ALABANG, MUNTINLUPA CITY 1.	The City Government of Muntinlupa, through its duly-approved Executive Budget for 2019 intends to apply the sum of One Hundred Eight</t>
  </si>
  <si>
    <t xml:space="preserve"> Civil work that includes concrete work</t>
  </si>
  <si>
    <t xml:space="preserve"> Section I. Invitation to Bid  Republic of the Philippines Province of Nueva Vizcaya Municipality of Solano -o0o- Supply &amp; Delivery of Ten (10) Wooden Table for use in Pasalubong Center   (SOLANO 094-2020) 1.	The Local Government Unit of Solano, Nueva Vizc</t>
  </si>
  <si>
    <t xml:space="preserve"> INVITATION TO BID FOR THE SUPPLY &amp; DELIVERY OF IV FLUIDS IN BAG TO BE USED AT OSPITAL NG MUNTINLUPA (*RE-POSTED)  1.	The City Government of Muntinlupa, through its duly-approved Executive Budget for 2020 intends to apply the sum of One Million Eight Hundr</t>
  </si>
  <si>
    <t xml:space="preserve"> Development of a Prototype Trimaran Multipurpose Fishing Vessel CENTER HULL      Length Overall       :          17.54 mtrs.      L.B.P.                     :          15.00 mtrs      Breadth                   :           2.00 mtrs.      Total Breadth    </t>
  </si>
  <si>
    <t xml:space="preserve"> REPUBLIC OF THE PHILIPPINES 		                PROVINCE OF PALAWAN MUNICIPALITY OF LINAPACAN August 5, 2020 Invitation to Bid (ITB No. 44-20) 1.	The Municipal Government of Linapacan, Palawan through 5% Fund 2020 projects intends to apply the sum Three Hun</t>
  </si>
  <si>
    <t xml:space="preserve"> ITEM NO.	UNIT		QTY		DESCRIPTION		 							 1	 unit 		1		MULTI PURPOSE VEHICLE		 					 Engine: 4JB1-CN 		 					 Displacement: 2.8 liters 		 					 Max. Power: 72kw/98ps (HP) 		 					 Max. Torque: 220N.m 		 					 Drive Type: 4 x 2 (Manual Drive) 		 					 Fuel</t>
  </si>
  <si>
    <t xml:space="preserve"> Engineering tools and equipment</t>
  </si>
  <si>
    <t xml:space="preserve"> Republic of the Philippines Department of Education Region V SCHOOLS DIVISION OFFICE OF CAMARINES SUR Office of the Bids and Awards Committee INVITATION TO BID FOR:   REPRODUCTION OF SELF-LEARNING MODULES ITB No. 2020-08-008 1.	The DepEd, Division of Cama</t>
  </si>
  <si>
    <t xml:space="preserve"> Republic of the Philippines Bohol Island State University-Calape Campus Calape, Bohol Invitation to Bid for the Procurement of Office IT Equipment and Supplies PRN- 659-2020 1.	The Bohol Island State University Calape Campus,  through the Special Trust Fu</t>
  </si>
  <si>
    <t xml:space="preserve"> 36"Ø RCPC 22pcs. Cement 12bags 3/4"Ø P.E. Pipe 2roll labor</t>
  </si>
  <si>
    <t xml:space="preserve"> 1	689	set		DESKTOP COMPUTER 				Specifications: 				Desktop Small Form Factor   				Processor: Quad Core, 4 threads, 3.6Ghz up to 4.2Ghz clock, 2MB L2 Cache 				not more than 2 generation gaps from the latest generation of the processor 				Memory module </t>
  </si>
  <si>
    <t xml:space="preserve"> 1	30	unit		Heavy Duty Network Printer (Print, Copy &amp; Scan) 				Paper Handling: Paper Feed Method / 2 paper trays (front &amp; rear) 				Input Capacity; up to 335 sheets / Output Capacity: 250 sheets 				Max paper size: A3+, 329 x1200mm (12.95 x 47.24") 				Pr</t>
  </si>
  <si>
    <t xml:space="preserve"> Construction of Reservoir at Brgy. Tubod, Merida, Leyte</t>
  </si>
  <si>
    <t xml:space="preserve"> Item No.			Qty							Unit	Item Description					 1			1							lot	"Contract for the Supply of Labor, Materials, Tools and Equipments necessary for the Construction of Evacuation Center at Barangay Salvacion and La Paz, Carmen, Davao del Norte Scope of Works</t>
  </si>
  <si>
    <t xml:space="preserve"> Construction of Reservoir at Brgy. Masumbang, Merida, Leyte</t>
  </si>
  <si>
    <t xml:space="preserve"> Construction of Covered Court Phase II in Sanica, Cabadiangan, Cebu</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</si>
  <si>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</si>
  <si>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Construction of Reservoir at Brgy. Calunasan, Merida, Leyte</t>
  </si>
  <si>
    <t xml:space="preserve"> Construction of Covered Court Phase I &amp; II in Sitio Urban San Vicente, Liloan</t>
  </si>
  <si>
    <t xml:space="preserve"> Republic of the Philippines Province of Pangasinan Municipality of Infanta BIDS AND AWARDS COMMITTEE INVITATION TO BID FOR PURCHASE OF COMMUNICATION EQUIPMENT (3RD QUARTER) FOR THE MUNICIPALITY OF INFANTA, PANGASINAN 1.	The Municipality of Infanta, Pangas</t>
  </si>
  <si>
    <t xml:space="preserve"> Construction of Covered Court Phase I &amp; II in Suba Elem. School</t>
  </si>
  <si>
    <t xml:space="preserve"> Invitation to Bid for the Catering Services for Training Programs and Extension Activities for Third and Fourth Quarter of 2020 IB-ATI-RTC2-2020-08-002 1.	The Agricultural Training Institute-Regional Training Center 02, through the 2020 General Appropriat</t>
  </si>
  <si>
    <t xml:space="preserve"> Construction of Covered Court Phase II in tuhob Cabadiangan</t>
  </si>
  <si>
    <t xml:space="preserve"> Republic of the Philippines PROVINCE OF ZAMBOANGA SIBUGAY Municipality of Buug BIDS AND AWARDS COMMITTEE Invitation to Bid for the Procurement of Agong 1.	The Local Government Unit of Buug, through the General  Fund of 2020 intends to apply the sum of Two</t>
  </si>
  <si>
    <t xml:space="preserve"> REPUBLIC OF THE PHILIPPINES 		                PROVINCE OF PALAWAN MUNICIPALITY OF LINAPACAN August 5, 2020 Invitation to Bid (ITB No. 45-20) 1.	The Municipal Government of Linapacan, Palawan through 20% development Fund projects intends to apply the sum O</t>
  </si>
  <si>
    <t xml:space="preserve"> Republic of the Philippines Province of Masbate MUNICIPALITY OF CATAINGAN BARANGAY PAWICAN   			                                                                                              AUGUST 6, 2020 INVITATION TO APPLY FOR ELIGIBILITY AND TO BID The</t>
  </si>
  <si>
    <t xml:space="preserve"> Asphalt overlay in Jubay, Liloan, cebu</t>
  </si>
  <si>
    <t xml:space="preserve"> Republic of the Philippines WESTERN PHILIPPINES UNIVERSITY          A STRONG PARTNER FOR SUSTAINABLE DEVELOPMENT BIDS AND AWARDS COMMITTEE Invitation to Bid for Supply and Delivery of IT Supplies and Equipment for the adoption of flexible learning under N</t>
  </si>
  <si>
    <t xml:space="preserve"> I. PERMITS AND CLEARANCES II. MOBILIZATION/DEMOBILIZATION III. CONSTRUCTION OF TEMPORARY FACILITIES IV. PROJECT SIGNAGE AND BILLBOARD V. REMOVAL OF EXISTING CONCRETE PAVEMENT VI. EARTHWORKS VII. FORMWORKS VIII. CONCRETE WORKS IX. MASONRY WORKS X. ROOF AND</t>
  </si>
  <si>
    <t xml:space="preserve"> Completion of Evacuation Center at Brgy. Poblacion, Merida, Leyte</t>
  </si>
  <si>
    <t xml:space="preserve"> NOTICE TO THE PUBLIC  REQUEST FOR QUOTATION                                                 AMP SVP-D NO: 20-08-0082C	              The University of the Philippines, Diliman (UPD) hereby informs the public that it will be procuring the following item/s t</t>
  </si>
  <si>
    <t xml:space="preserve"> Installation of Water System at Brgy. Poblacion, Merida, Leyte</t>
  </si>
  <si>
    <t xml:space="preserve"> Rehabilitation/Improvement of OSCA Building at Brgy. Poblacion, Merida, Leyte</t>
  </si>
  <si>
    <t xml:space="preserve"> Supply and Delivery of Handwashing Facilities</t>
  </si>
  <si>
    <t xml:space="preserve"> Republic of the Philippines WESTERN PHILIPPINES UNIVERSITY San Juan, Aborlan, Palawan                                                                                                                                                                          </t>
  </si>
  <si>
    <t xml:space="preserve"> Improvement of Drainage System at Brgy. Poblacion, Merida, Leyte</t>
  </si>
  <si>
    <t xml:space="preserve"> Republic of the Philippines Province of Quezon MUNICIPALITY OF PANUKULAN INVITATION TO BID FOR SUPPLY AND DELIVERY OF IT EQUIPMENTS  The Local Government Unit of Panukulan through the General Fund 2020     intends to apply the sum of  Five Hundred  Sixty </t>
  </si>
  <si>
    <t xml:space="preserve"> 1.	1 unit FIBERGLASS EXTENSION LADDER	 Heavy duty fiberglass extension ladder -	Load Capacity: 300 lbs -	Reaches from 16 ft to an extendable  length of 29 ft -	Self-leveling 2-way swivel safety shoes -	Main Material: Fiberglass -	Weight: 29 kgs -	ANSI 14.</t>
  </si>
  <si>
    <t xml:space="preserve"> Republic of the Philippines DEPARTMENT OF PUBLIC WORKS AND HIGHWAYS CAMARINES SUR 2ND DISTRICT ENGINEERING OFFICE Regional Office V Baras, Canaman, Camarines Sur INVITATION TO BID  FOR   20GFE0015- PROCUREMENT OF EQUIPMENT/APPARATUS, OFFICE, IT AND JANITO</t>
  </si>
  <si>
    <t xml:space="preserve"> Installation of Solar Street Lights</t>
  </si>
  <si>
    <t xml:space="preserve"> BIDS AND AWARDS COMMITTEE Municipality of Panukulan Province of Quezon REQUEST FOR EXPRESSION OF INTEREST The Municipality of Panukulan, Province of Quezon, through its Bids and Awards Committee (BAC) invites consultants to apply for eligibility and short</t>
  </si>
  <si>
    <t xml:space="preserve"> Item I -  Earthworks   1.73  cu.m. Item II - Concrete Works  2.30  cu.m. Item III - Installation of Flood Marker Equipment and Accessories   3   sets SPCL-I -  Standard Project Billboard  1  lot Invitation to Bid   INSTALLATION OF ASSESSMENT AND WARNING D</t>
  </si>
  <si>
    <t xml:space="preserve"> Please see attached associated components &amp; download the bidding documents through the linkage below</t>
  </si>
  <si>
    <t xml:space="preserve"> Location: RES Compound Airport Site, Legazpi City Scope of Work:Construction of Three Storey Building 20.4 x 18.2m steel and composite structural frame with basement on Base Isolation System(LRB Type) and mat foundation, building envelope with aluminum fr</t>
  </si>
  <si>
    <t xml:space="preserve"> Please see attached associated components &amp; download the bidding documents through the link below.</t>
  </si>
  <si>
    <t xml:space="preserve"> INVITATION TO BID ITB-INFRA 2020-01 The Municipal Government of Naval, through its Bids and Awards Committee (BAC), invites contractors registered with and classified by the Philippine Contractors Accreditation Board (PCAB) to bid for the hereunder projec</t>
  </si>
  <si>
    <t xml:space="preserve"> Republic of the Philippines Province of Quezon MUNICIPALITY OF PANUKULAN INVITATION TO BID FOR SUPPLY AND DELIVERY OF BOOKSHELVES AND TABLES FOR MUNICIPAL LIBRARY The Local Government Unit of Panukulan through the General Fund 2020     intends to apply th</t>
  </si>
  <si>
    <t xml:space="preserve"> Republic of the Philippines WESTERN PHILIPPINES UNIVERSITY         A STRONG PARTNER FOR SUSTAINABLE DEVELOPMENT BIDS AND AWARDS COMMITTEE Invitation to Bid for Repair and Improvement of various buildings at WPU-Main and WPU-PPC campuses The Western Philip</t>
  </si>
  <si>
    <t xml:space="preserve"> 1   lot   Supply and Delivery of Commonly-Used Supplies</t>
  </si>
  <si>
    <t xml:space="preserve"> Item I - Concrete Works   60.35  cu.m. Item II - Ceiling Works     102.38  sets Item III - Tile Works          78.94   sq.m. Item IV -  Carpentry Works  72.00  sq.m. Item V -  Fabrication and Installation Works  6.00  sets Item VI - Plumbing Works   1.00 </t>
  </si>
  <si>
    <t xml:space="preserve"> REPUBLIC OF THE PHILIPPINES  DEPARTMENT OF SOCIAL WELFARE AND DEVELOPMENT MIMAROPA REGION 1680 F. T Benitez cor Malvar Sts. Malate, Manila INVITATION TO BID FOR PROCUREMENT OF CATERING SERVICES FOR THE KALAHI CEAC ACTIVITIES-2ND POSTING PROJECT ID NO: DSW</t>
  </si>
  <si>
    <t xml:space="preserve"> ARMED FORCES OF THE PHILIPPINES PHILIPPINE AIR FORCE OFFICE OF THE PAF BIDS AND AWARDS COMMITTEE Colonel Jesus Villamor Air Base, Pasay City Ref. Nr. 2020-07-05-10 Invitation to Bid The Armed Forces of the Philippines, through the PAF Bids and Awards Comm</t>
  </si>
  <si>
    <t xml:space="preserve"> Construction/Rehab. of Multi-Purpose Building at Brgy. Poblacion, Merida, Leyte</t>
  </si>
  <si>
    <t xml:space="preserve"> 1.    The Davao del Norte State College through the Trust Receipts (Fund-163)- Product Development of Vacuum Fried Tuna  Skin intends to apply the sum of One Million Three  Hundred Thousand Pesos Only (Php 1,300,000.00) being the Approved Budget for the C</t>
  </si>
  <si>
    <t xml:space="preserve"> Construction of Reservoir at Brgy. Mahayag, Merida, Leyte</t>
  </si>
  <si>
    <t xml:space="preserve"> 1.	The OCCIDENTAL MINDORO STATE COLLEGE (OMSC), through the Special Trust Fund intend to apply the sum of Five Million Pesos Only (Php5,000,000.00) being the Approved Budget for the Contract (ABC) to payments under the contract for Improvement of Quadrang</t>
  </si>
  <si>
    <t xml:space="preserve"> Quantity  unit of issue     items description 2                 units               XRM 125  DSX Standard                                            Specification: 124.8 cc, 9hp, kick and electric, gasoline</t>
  </si>
  <si>
    <t xml:space="preserve"> Republic of the Philippines DEPARTMENT OF PUBLIC WORKS &amp; HIGHWAYS BUKIDNON 3RD DISTRICT ENGINEERING OFFICE REGION X Dicklum, Manolo Fortich, Bukidnon SOIL TESTING / EXPLORATION FOR THE WIDENING OF PERMANENT BRIDGE (5 SITE LOCATIONS), KALILANGAN &amp; PANGANTU</t>
  </si>
  <si>
    <t xml:space="preserve"> INVITATION TO BID (Re-Advertisement) The DPWH, Masbate 3rd District Engineering Office, Dimasalang, Masbate through its Bids and Awards Committee (BAC), invites contractors to submit bids for the following Contract: Procurement ID/ Contract ID:	20FJ0030 C</t>
  </si>
  <si>
    <t xml:space="preserve"> INVITATION TO BID NO. PB-G2020-08-02 Supply and Delivery of Bond Papers for the Reproduction of Quarter 1 Learning Activity Sheets/Modules 1.	The Department of Education – Division of Bohol, through the General Appropriations Act CY 2020 intends to apply </t>
  </si>
  <si>
    <t xml:space="preserve"> INVITATION TO BID 	The Department of Public Works and Highways – Zambales 2nd District Engineering Office, through its Bids and Awards Committee (BAC), invites contractors to bid for the following contract/s: Procurement ID/Contract ID	: 20CM0087 Contract</t>
  </si>
  <si>
    <t xml:space="preserve"> INVITATION TO BID 	The Department of Public Works and Highways – Zambales 2nd District Engineering Office, through its Bids and Awards Committee (BAC), invites contractors to bid for the following contract/s: Procurement ID/Contract ID	: 20CM0086 Contract</t>
  </si>
  <si>
    <t xml:space="preserve"> Printing and binding (softbound) of modules: Specifications for printing: •	bond paper size: A4, subs. 24 •	colored printing for Kindergarten and Grade 1 modules •	grayscale printing for Grade 2 to Grade 12 modules Specifications for binding: •	front and </t>
  </si>
  <si>
    <t xml:space="preserve"> 1. The Energy Regulatory Commission (ERC), through the continuing Appropriation for Fiscal Year 2019, intends to apply the sum of Three Million Pesos (PhP3,000,000.00), inclusive of all government taxes and other charges and fees, being the Approved Budge</t>
  </si>
  <si>
    <t xml:space="preserve"> INVITATION TO BID 	The Department of Public Works and Highways – Zambales 2nd District Engineering Office, through its Bids and Awards Committee (BAC), invites contractors to bid for the following contract/s: Procurement ID/Contract ID	: 20CM0085 Contract</t>
  </si>
  <si>
    <t xml:space="preserve"> Republic of the Philippines DEPARTMENT OF PUBLIC WORKS &amp; HIGHWAYS BUKIDNON 3RD DISTRICT ENGINEERING OFFICE REGION X Dicklum, Manolo Fortich, Bukidnon SOIL TESTING / EXPLORATION FOR THE WIDENING OF PERMANENT BRIDGE (3 SITE LOCATIONS), MANOLO FORTICH, TALAK</t>
  </si>
  <si>
    <t xml:space="preserve"> Local Government Unit of Cordon, Isabela INVITATION TO BID FOR  LOT  1- Procurement of 2-units Brand New  RISO Colored digital duplicator, Lot 2- Procurement of  800 sets portable radio AM/FM with 16GB USB 2.0 and Lot 3- Procurement of 2,700 sets portable</t>
  </si>
  <si>
    <t xml:space="preserve"> INVITATION TO BID (Re-Advertisement) The DPWH, Masbate 3rd District Engineering Office, Dimasalang, Masbate through its Bids and Awards Committee (BAC), invites contractors to submit bids for the following Contract: Procurement ID/ Contract ID:	20FJ0032 C</t>
  </si>
  <si>
    <t xml:space="preserve"> Supply of Labor, Materials &amp; Equipment Road Concreting/Bigain I, San Jose, Batangas	 2020-08-02		 P 294,140.59	  20% Dev. Fund-Cont.	 60 days Prospective bidders should possess a valid PCAB License applicable to the contract, must have an experience of ha</t>
  </si>
  <si>
    <t xml:space="preserve"> 6 AUGUST 2020 INVITATION TO BID FOR THE SUPPLY AND DELIVERY OF COMPUTER NOTEBOOKS  FOR  DIVISION OF CITY SCHOOLS 	 	 1.	The City of Caloocan, through the Special Education Fund and included in the 2020 Annual City School Board Budget approved under  City </t>
  </si>
  <si>
    <t xml:space="preserve"> Republic of the Philippines MUNICIPALITY OF BUNAWAN, AGUSAN DEL SUR Invitation to Bid/ Instruction to Bidders CONSTRUCTION OF BARANGAY STREETS (OPENNING) August 6, 2020 1.	The Municipality of Bunawan, now invite bids for Construction of Barangay Streets (</t>
  </si>
  <si>
    <t xml:space="preserve"> INVITATION TO BID (Re-Advertisement) The DPWH, Masbate 3rd District Engineering Office, Dimasalang, Masbate through its Bids and Awards Committee (BAC), invites contractors to submit bids for the following Contract: Procurement ID/ Contract ID:	20FJ0033 C</t>
  </si>
  <si>
    <t xml:space="preserve"> Supplies to be used in modular learning  (office supplies)</t>
  </si>
  <si>
    <t xml:space="preserve"> Republic of the Philippines MUNICIPALITY OF BUNAWAN, AGUSAN DEL SUR Invitation to Bid/ Instruction to Bidders PURCHASE OF CONSTRUCTION MATERIALS USE FOR THE MAINTENANCE OF STREET LIGHT August 6, 2020 1.	The Municipality of Bunawan, now invite bids for Pur</t>
  </si>
  <si>
    <t xml:space="preserve"> Supply and Delivery of Construction Materials and Supplies for Concreting of Barangay Road</t>
  </si>
  <si>
    <t xml:space="preserve"> Republic of the Philippines MUNICIPALITY OF MULANAY Province of Quezon Invitation to Bid for  Concreting of Farm to Market Road 1.	The Local Government Unit of Mulanay, Quezon through the Trust Fund/DA/PLGU Fund intends to apply the sum of One Million, Ni</t>
  </si>
  <si>
    <t xml:space="preserve"> Contruction/Installation of Guard Rail/Bigain I, San Jose, Batnagas 2020-08-04	Supply of Labor, Materials &amp; Equipment	 P 98,657.03	Gen.Fund-Cont.	 30 days Prospective bidders should possess a valid PCAB License applicable to the contract, must have an exp</t>
  </si>
  <si>
    <t xml:space="preserve"> 1. The OCCIDENTAL MINDORO STATE COLLEGE (OMSC), through the Special  Trust Fund (Php600,000.00) and General Fund (Php 250,000.00) intends to apply the sum of Eight Hundred Fifty Thousand Pesos Only (Php850,000.00) being the Approved Budget for the Contrac</t>
  </si>
  <si>
    <t xml:space="preserve"> Road Concreting/Bigain I, San Jose, Batangas	 2020-08-02	Supply of Labor, Materials &amp; Equipment	 P 195,491.00	Gen. Fund -Cont.	 45 days Prospective bidders should possess a valid PCAB License applicable to the contract, must have an experience of having c</t>
  </si>
  <si>
    <t xml:space="preserve"> INVITATION TO BID NO. PB-G2020-08-03 Supply and Delivery of Bond Papers for the Reproduction of Quarter 2 Learning Activity Sheets/Modules 1.	The Department of Education – Division of Bohol, through the General Appropriations Act CY 2020 intends to apply </t>
  </si>
  <si>
    <t xml:space="preserve"> Republic of the Philippines MUNICIPALITY OF BUNAWAN, AGUSAN DEL SUR Invitation to Bid/ Instruction to Bidders RENTAL OF EQUIPMENT FOR THE REHABILITATION OF NRJ – TAIGYAN – CABAOHAN – STA. MONICA ROAD SECTION (SELECTED PATCHING) August 6, 2020 1.	The Munic</t>
  </si>
  <si>
    <t xml:space="preserve"> Supplies to be used in modular learning (Printer)</t>
  </si>
  <si>
    <t xml:space="preserve"> Republic of the Philippines MUNICIPALITY OF MULANAY Province of Quezon Invitation to Bid for  Development of Land / Embankment of New Integrated Terminal 1.	The Local Government Unit of Mulanay, Quezon through the 20% Development Fund intends to apply the</t>
  </si>
  <si>
    <t xml:space="preserve"> Republic of the Philippines Province of Cagayan Municipality of Solana -o0o- BIDS AND AWARDS COMMITTEE (BAC) INVITATION TO BID FOR  Purchase of Motor Boat Fiberglass (Modified “V” Hull) -MDRRMO-LGU Solana, Cagayan 1.	The Municipal Government of Solana, th</t>
  </si>
  <si>
    <t xml:space="preserve"> The Bids and Awards Committee (BAC) of the LGU-Lubang, Occidental Mindoro invites contractors to bid for the aforementioned project: Contract I.D.:				ML-2020-04-18 Contract Name:	Purchase of One (1) Unit Ambulance Contract Location:	Lubang, Occidental Mi</t>
  </si>
  <si>
    <t xml:space="preserve"> 1.	The Local Government Unit of Kawayan, through the Local Government Support Fund-Assistance to Municipalities (LGSF-AM) Program  intends to apply the sum of Eleven Million Eight Hundred Ninety-Seven Thousand Pesos only (P11,897,000.00) being the Approve</t>
  </si>
  <si>
    <t xml:space="preserve"> Republic of the Philippines MUNICIPALITY OF BUNAWAN, AGUSAN DEL SUR Invitation to Bid/ Instruction to Bidders INSTALLATION OF CCTV ALONG STRATEGIC AREAS August 6, 2020 1.	The Municipality of Bunawan, now invite bids for Installation of CCTV along Strategi</t>
  </si>
  <si>
    <t xml:space="preserve"> Republic of the Philippines Province of Cagayan Municipality of Baggao INVITATION TO BID FOR THE PROCUREMENT OF GOODS The Barangay Nangalinan, Baggao, Cagayan, through the 20% Barangay Development Fund CY 2018 intends to apply the sum of  Three Hundred Fi</t>
  </si>
  <si>
    <t xml:space="preserve"> Republic of the Philippines Region XII Province of Cotabato CITY OF KIDAPAWAN BIDS AND AWARDS COMMITTEE Invitation to Bid 						  		            Date: August 5, 2020 1.	The City Government of Kidapawan, through the 20% EDF CY 2020 Appropriation Ordinance 2</t>
  </si>
  <si>
    <t xml:space="preserve"> Republic of the Philippines Province of Cagayan Municipality of Baggao INVITATION TO BID FOR THE PROCUREMENT OF GOODS The Barangay Canagatan, Baggao, Cagayan, through the 20% Barangay Development Fund CY 2020 intends to apply the sum of  Eighty Thousand T</t>
  </si>
  <si>
    <t xml:space="preserve"> Procurement of RHU 2020 Medical Instrument Lot 4- Rebidding</t>
  </si>
  <si>
    <t xml:space="preserve"> Republic of the Philippines Province of Cagayan Municipality of Baggao INVITATION TO BID FOR THE PROCUREMENT OF GOODS The Barangay Remus, Baggao, Cagayan, through the Provincial Assistance CY 2017 intends to apply the sum of Two Hundred Thirty Nine Thousa</t>
  </si>
  <si>
    <t xml:space="preserve"> Republic of the Philippines Province of Cagayan Municipality of Baggao INVITATION TO BID FOR THE PROCUREMENT OF GOODS The Barangay Remus, Baggao, Cagayan, through the 20% Brgy. Development Fund intends to apply the sum of Two Hundred Eighty Eight Thousand</t>
  </si>
  <si>
    <t xml:space="preserve"> Republic of the Philippines Province of Southern Leyte MUNICIPALITY OF SAN JUAN Invitation to Bid for  COMPLETION OF MULTIPURPOSE AND PRODUCTIVITY CENTER AT BRGY. SUA, SAN JUAN, SOUTHERN LEYTE 1.	The MUNICIPALITY OF SAN JUAN, through General Fund intends </t>
  </si>
  <si>
    <t xml:space="preserve"> Procurement of Medical Equipment for Taglatawan Hygienic Clinic- Hygienic- Rebidding</t>
  </si>
  <si>
    <t xml:space="preserve"> Procurement of RHU 2020 Medical Instrument Lot 2- Rebidding</t>
  </si>
  <si>
    <t xml:space="preserve"> INVITATION TO BID  1.	The Province of Cebu through the Trust Fund- DOH- HFEP 2018, intends to apply the sum of ONE MILLION ONE HUNDRED TEN THOUSAND PESOS AND 00/100 (Php1,110,000.00) being the Approved Budget for the Contract (ABC) to payments under the c</t>
  </si>
  <si>
    <t xml:space="preserve"> INVITATION TO BID  1.	The Province of Cebu through the 2020 General Fund, intends to apply the sum of FORTY-FIVE MILLION EIGHT HUNDRED FORTY-THREE THOUSAND SIX HUNDRED PESOS AND 00/100 (Php45,843,600.00) being the Approved Budget for the Contract (ABC) to</t>
  </si>
  <si>
    <t xml:space="preserve"> Procurement of RHU 2020 Oxygen Tank with Gauge in Trolley or Rack (20L)- Rebidding</t>
  </si>
  <si>
    <t xml:space="preserve"> Republic of the Philippines Province of Ilocos Sur Municipality of Quirino, Ilocos Sur Invitation to Bid for the Improvement of Patiacan FMR, Inuman, Patiacan, Quirino, Ilocos Sur 1.	The Municipality of Quirino, Ilocos Sur, through the R.A. 7171 FY 2015 F</t>
  </si>
  <si>
    <t xml:space="preserve"> Republic of the Philippines Province of Ilocos Sur Municipality of Quirino, Ilocos Sur Invitation to Bid for the Construction of Cabaroan Box Culvert, Patungcaleo, Quirino, Ilocos Sur 1.	The Municipality of Quirino, Ilocos Sur, through the R.A. 7171 FY 20</t>
  </si>
  <si>
    <t xml:space="preserve"> Republic of the Philippines Province of Ilocos Sur Municipality of Quirino, Ilocos Sur Invitation to Bid for the Construction of Bob-ococ Footbridge, Poblacion, Quirino, Ilocos Sur 1.	The Municipality of Quirino, Ilocos Sur, through the R.A. 7171 FY 2015 </t>
  </si>
  <si>
    <t xml:space="preserve"> Republic of the Philippines Province of Ilocos Sur Municipality of Quirino, Ilocos Sur Invitation to Bid for the Concreting/Improvement of Allibang Street, Poblacion, Quirino, Ilocos Sur 1.	The Municipality of Quirino, Ilocos Sur, through the R.A. 7171 FY</t>
  </si>
  <si>
    <t xml:space="preserve"> 1. The Department of Agrarian Reform Provincial Office, through CONVERGE intends to apply the sum of TWO HUNDRED TWENTY-FIVE THOUSAND Only (PHP 225,0000) being the Approved Budget for the Contract (ABC) to payments under the contract for CONSULTANCY SERVI</t>
  </si>
  <si>
    <t xml:space="preserve"> Republic of the Philippines BIDS AND AWARDS COMMITTEE Province of Iloilo Invitation to Bid Purchase of DUPLICATING MACHINE Bid No. DRL-20-0326-B  1. The Iloilo Provincial Government, through the SUPPLEMENTAL BUDGET 2019 CAPITAL OUTLAY intends to apply the</t>
  </si>
  <si>
    <t xml:space="preserve"> Republic of the Philippines BIDS AND AWARDS COMMITTEE Province of Iloilo Invitation to Bid Purchase of EMERGENCY CART TROLLY Bid No. DRL-20-0721-B  1. The Iloilo Provincial Government, through the SB3-IRA-HMO CY 2018 intends to apply the sum of ONE HUNDRE</t>
  </si>
  <si>
    <t xml:space="preserve"> Procurement of RHU 2020 Refrigerator- Rebidding</t>
  </si>
  <si>
    <t xml:space="preserve"> Republic of the Philippines BIDS AND AWARDS COMMITTEE Province of Iloilo Invitation to Bid Purchase of NEBULIZER MACHINE Bid No. DRL-20-0722-B  1. The Iloilo Provincial Government, through the SB3 IRA-HMO CY 2018 intends to apply the sum of EIGHTY ONE THO</t>
  </si>
  <si>
    <t xml:space="preserve"> Republic of the Philippines BANGSAMORO AUTONOMOUS REGION IN MUSLIM MINDANAO Province of Lanao del Sur Municipality of Marantao INVITATION TO BID The Municipal Government of Marantao through its Bids and Awards Committee (BAC) invites accredited suppliers </t>
  </si>
  <si>
    <t xml:space="preserve"> Republic of the Philippines Province of Ilocos Sur Municipality of Quirino, Ilocos Sur Invitation to Bid for the Continuation of the Construction of Inawey Flood Control, Lamag, Quirino, Ilocos Sur 1.	The Municipality of Quirino, Ilocos Sur, through the R</t>
  </si>
  <si>
    <t xml:space="preserve"> Republic of the Philippines BIDS AND AWARDS COMMITTEE Province of Iloilo Invitation to Bid Purchase of DIGITAL COPIER PRINTER SCANNER Bid No. DRL-20-0327-B  1. The Iloilo Provincial Government, through the SUPPLEMENTAL BUDGET 2019 CAPITAL OUTLAY intends t</t>
  </si>
  <si>
    <t xml:space="preserve"> Republic of the Philippines BIDS AND AWARDS COMMITTEE Province of Iloilo Invitation to Bid Purchase of PORTABLE DROPLIGHT Bid No. DRL-20-0723-B  1. The Iloilo Provincial Government, through the SB3  IRA CY 2018 intends to apply the sum of FORTY TWO THOUSA</t>
  </si>
  <si>
    <t xml:space="preserve"> Procurement of RHU 2020 Medical Instrument Lot 3- Rebidding</t>
  </si>
  <si>
    <t xml:space="preserve"> Republic of the Philippines Province of Cagayan Municipality of Baggao INVITATION TO BID FOR THE PROCUREMENT OF GOODS The Barangay Mocag, Baggao, Cagayan, through the 20% BDF CY 2020 intends to apply the sum of One Hundred Fifty Thousand Pesos (PHP 150,00</t>
  </si>
  <si>
    <t xml:space="preserve"> Republic of the Philippines BIDS AND AWARDS COMMITTEE Province of Iloilo Invitation to Bid Purchase of INFANT WEIGHING SCALE Bid No. DRL-20-0744-B  1. The Iloilo Provincial Government, through the 20% IRA-HMO SB 2018 intends to apply the sum of SEVENTEEN </t>
  </si>
  <si>
    <t xml:space="preserve"> office equipment</t>
  </si>
  <si>
    <t xml:space="preserve"> INVITATION TO BID 	 The Municipality of Liloan, Southern Leyte through its Bids and Awards Committee (BAC), invites suppliers/manufacturers/distributors/contractors to bid for the following: 1.	Purchase of Medicines Location:  Poblacion, Liloan, Southern </t>
  </si>
  <si>
    <t xml:space="preserve"> QTY	UNIT	ITEM DESCRIPTION 		  92.00 	lmtr	RC Pipe Laying with Manhole</t>
  </si>
  <si>
    <t xml:space="preserve"> QTY	UNIT	ITEM DESCRIPTION 		  11.00 	unit/s	Fabrication / Installation of Streetlights</t>
  </si>
  <si>
    <t xml:space="preserve"> QTY	UNIT	ITEM DESCRIPTION 		  1.00 	l.s.	Demolition  48.00 	sq.m.	Improvement of Sidewalk</t>
  </si>
  <si>
    <t xml:space="preserve"> QTY	UNIT	ITEM DESCRIPTION 		  20.00 	lmtr	Fabrication / Installation of Streetlights</t>
  </si>
  <si>
    <t xml:space="preserve"> QTY	UNIT	ITEM DESCRIPTION 		  20.00 	unit/s	Fabrication / Installation of Streetlights</t>
  </si>
  <si>
    <t xml:space="preserve"> Republic of the Philippines BIDS AND AWARDS COMMITTEE Province of Iloilo Invitation to Bid Purchase of CAUTERY MACHINE Bid No. DRL-20-0743-B  1. The Iloilo Provincial Government, through the 20% IRA-HMO SB3 intends to apply the sum of TWO HUNDRED THOUSAND</t>
  </si>
  <si>
    <t xml:space="preserve"> QTY	UNIT	ITEM DESCRIPTION 		  55.00 	unit/s	Fabrication / Installation of Streetlights</t>
  </si>
  <si>
    <t xml:space="preserve"> See the attached Invitation and Checklist</t>
  </si>
  <si>
    <t xml:space="preserve"> QTY	UNIT	ITEM DESCRIPTION 		  1.00 	unit	Service Vehicle 		Body Type: Pick -up 		5-Speed Automatic Transmission 		At least 2.4L, 4 Cylinder Diesel Engine 		&lt;3000 cc displacement 		Max. Output: At least 145 hp/3400 rpm 		Max. Torque: At least 340 Nm/1400-2</t>
  </si>
  <si>
    <t xml:space="preserve"> Republic of the Philippines BIDS AND AWARDS COMMITTEE Province of Iloilo Invitation to Bid Purchase of SUCTION MACHINE Bid No. DRL-20-0745-B  1. The Iloilo Provincial Government, through the 20% IRA-HMO CY 2019 intends to apply the sum of FORTY THOUSAND P</t>
  </si>
  <si>
    <t xml:space="preserve"> QTY	UNIT	ITEM DESCRIPTION	QTY	UNIT 				  55.00 	unit/s	Fabrication / Installation of Streetlights	 55.00 	unit/s</t>
  </si>
  <si>
    <t xml:space="preserve"> 1 REGION XII Province of Cotabato Municipality of Midsayap BIDS &amp; AWARDS COMMITTEE Tel. Nos. (064) 229-8018; 229-8650; 229-8450 INVITATION TO BID FOR  2020-091, CONCRETING OF PAVEMENT AND DRAINAGE CANAL AT POBLACION 5, MIDSAYAP,  COTABATO 1. The MUNICIPAL</t>
  </si>
  <si>
    <t xml:space="preserve"> Scope of Works: Critical Care Type and Rescue Two (2) Units Collapsible Stretcher including guide rail and locks Two (2) Units Oxygen Tank &amp; Holder 15lbs Two (2) Units O2 gauge Two (2) Units Medicine cabinet Two (2) Units spine board with spider strap Two</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</si>
  <si>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</si>
  <si>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Construction of Complete Two (2) Storey Four (4) Classroom School Building with (with concrete parapet, corridor railings at 2nd floor, steel casement window at rear portion with security grilles for the front jalousie windows, fire protection system, ove</t>
  </si>
  <si>
    <t xml:space="preserve"> Republic of the Philippines Province of Pangasinan Municipality of Bugallon OFFICE OF THE BIDS AND AWARDS COMMITTEE INVITATION TO BID The Barangay Salomague Norte of the Municipality of Bugallon, Pangasinan, through its Bids and Awards Committee (BAC), in</t>
  </si>
  <si>
    <t xml:space="preserve"> Construction of Complete One (1) Storey Four (4) Classroom School Building with Toilet attached. This also includes Concrete Parapet, Handwashing Facility, Window Grilles, Permit and Clearances stainless steel railings, and Site Development</t>
  </si>
  <si>
    <t xml:space="preserve"> Republic of the Philippines Province of Eastern Samar Municipality of Balangkayan INVITATION TO BID FOR: UPGRADING OF LOCAL ACCESS ROAD ALONG INFRES ROAD SECTION Sitio Ca-ob, Brgy. 04, Balangkayan, E. Samar Aug. 5 - 11, 2020 The Municipal Local Government</t>
  </si>
  <si>
    <t xml:space="preserve"> 1. The Local Government Unit of Tabontabon, Leyte through the Budget for the contract approved by the Sanggunian intends to apply the sum of Three Hundred Fifty Thousand Pesos (Php 350,000.00) being the Approved Budget for the Contract (ABC) to payments u</t>
  </si>
  <si>
    <t xml:space="preserve"> Invitation to Bid for Procurement of Works for the Proposed Renovation of Provincial Capitol Lobby (REBID) 1. The Provincial Government of Misamis Occidental, through the General Funds 20193 intends to apply the sum of One Million Five Hundred Twenty Thou</t>
  </si>
  <si>
    <t xml:space="preserve"> Republic of the Philippines DEPARTMENT OF PUBLIC WORKS AND HIGHWAYS OFFICE OF THE DISTRICT ENGINEER Aklan District Engineering Office Toting Reyes St., Kalibo, Aklan INVITATION TO BID FOR: PURCHASE OF ASPHALT MC 60/70  FOR USE IN THE MAINTENANCE OF NATION</t>
  </si>
  <si>
    <t xml:space="preserve"> INVITATION TO BID The Bureau of Fisheries and Aquatic Resources Region 5 (BFAR 5), through the Government of the Philippines (GOP), for CY 2020 intends to apply the sum of Three Million Nine Hundred Ninety Six Thousand Five Hundred Pesos (PhP3,996,500.00)</t>
  </si>
  <si>
    <t xml:space="preserve"> 2 units - street light post</t>
  </si>
  <si>
    <t xml:space="preserve"> Supply and Delivery of Ambulance with Complete Accessories and LTO Registration to be used for DRRM Emergency and Rescue Operations with an ABC of Php2,350,000.00 For further details, please refer to the attached Purchase Request in the associated compone</t>
  </si>
  <si>
    <t xml:space="preserve"> PCCP = 4.3 LANE KM, SLOPE PROTECTION= 1,000 SQM. AN DRAINAGE - 500 LNM</t>
  </si>
  <si>
    <t xml:space="preserve"> INVITATION TO BID ITB NO. PB20-08 Invitation to Bid for Supply and Delivery of Two (2) Units Reefer Van in Support to KADIWA on Wheels Activities The Bureau of Fisheries and Aquatic Resources Regional Office No. 02 (BFAR-R02) of the Department of Agricult</t>
  </si>
  <si>
    <t xml:space="preserve"> Section I. Invitation to Bid for Procurement of 1 unit 6x4 Water Truck for PGO 1. The Province of Misamis Occidental through the General Funds intends to apply the sum of Four Million Pesos (P 4,000,000.00) being the Approved Budget for the Contract (ABC)</t>
  </si>
  <si>
    <t xml:space="preserve"> Construction of Complete Two (2) Storey Four (4) Classroom School Building (with concrete parapet, Corridor railings at 2nd floor, steel casement window at rear portion with security grilles for the front jalousie windows, fire protection system, overhead</t>
  </si>
  <si>
    <t xml:space="preserve"> Republic of the Philippines Province of Ilocos Sur Municipality of Quirino INVITATION TO BID FOR Purchase of Medicines 1.	The Municipal Government of Quirino, Ilocos Sur, through the LDRRM Fund CY 2020  intends to apply the sum of One Million Pesos (Php 1</t>
  </si>
  <si>
    <t xml:space="preserve"> 1.	The Capiz Provincial Government, through the GOP–2020 intends to apply the total amount of Two Million Nine Hundred Two Thousand Eight Hundred Thirteen Pesos &amp; 50/100 (Php, 2,902,813.50) being the total aggregated Approved Budget for the Contract (ABC)</t>
  </si>
  <si>
    <t xml:space="preserve"> 1.	The Province of Cebu through the General Fund, intends to apply the sum of TWENTY-NINE MILLION TWO HUNDRED FORTY-NINE THOUSAND FIVE HUNDRED SIXTY-FOUR PESOS AND 04/100 (Php29,249,564.04) being the Approved Budget for the Contract (ABC) to payments unde</t>
  </si>
  <si>
    <t xml:space="preserve"> INVITATION TO BID  1.	The Province of Cebu through the 2019 General Fund, intends to apply the sum of FOUR MILLION PESOS AND 00/100 (Php4,000,000.00) being the Approved Budget for the Contract (ABC) to payments under the contract for the CONCRETING/IMPROV</t>
  </si>
  <si>
    <t xml:space="preserve"> INVITATION TO BID  1.	The Province of Cebu through the Trust Fund- DOH- HFEP 2018, intends to apply the sum of SIX HUNDRED THOUSAND PESOS AND 00/100 (Php600,000.00) being the Approved Budget for the Contract (ABC) to payments under the contract for the RE</t>
  </si>
  <si>
    <t xml:space="preserve"> INVITATION TO BID  1.	The Province of Cebu through the Trust Fund- DOH- HFEP 2018, intends to apply the sum of THREE HUNDRED FORTY-FIVE THOUSAND PESOS AND 00/100 (Php345,000.00) being the Approved Budget for the Contract (ABC) to payments under the contra</t>
  </si>
  <si>
    <t xml:space="preserve"> 1.	The Province of Cebu through the 2020 General Fund, intends to apply the sum of THIRTY-FIVE MILLION EIGHT HUNDRED EIGHTY THOUSAND PESOS AND 00/100 (Php35,880,000.00) being the Approved Budget for the Contract (ABC) to payments under the contract for th</t>
  </si>
  <si>
    <t xml:space="preserve"> 1.	The Province of Cebu through the 2020 General Fund, intends to apply the sum of THIRTY-FOUR MILLION FOUR HUNDRED TWENTY-SIX THOUSAND SIX HUNDRED PESOS AND 00/100 (Php34,426,600.00) being the Approved Budget for the Contract (ABC) to payments under the </t>
  </si>
  <si>
    <t xml:space="preserve"> 1.	The Province of Cebu through the 2019 General Fund, intends to apply the sum of TWELVE MILLION PESOS AND 00/100 (Php12,000,000.00) being the Approved Budget for the Contract (ABC) to payments under the contract for the CONCRETING/IMPROVEMENT OF BARANGA</t>
  </si>
  <si>
    <t xml:space="preserve"> 1.	The Provincial Government of Ilocos Norte, through the General Fund  intends to apply the sum of One Million Forty Four Thousand Pesos            (Php  1,044,000.00                         ) being the Approved Budget for the Contract (ABC) to payments </t>
  </si>
  <si>
    <t xml:space="preserve"> 1 REGION XII Province of Cotabato Municipality of Midsayap BIDS &amp; AWARDS COMMITTEE Tel. Nos. (064) 229-8018; 229-8650; 229-8450 INVITATION TO BID FOR  2020-083, CONCRETTING OF FARM TO MARKET ROAD FROM PUROK 2 TO PUROK 7,  BALIKI, MIDSAYAP, COTABATO 1. The</t>
  </si>
  <si>
    <t xml:space="preserve"> Republic of the Philippines Province of Cagayan Municipality of Baggao INVITATION TO BID FOR THE PROCUREMENT OF GOODS The Barangay Nangalinan, Baggao, Cagayan, through the 20% Barangay Development Fund CY 2020 intends to apply the sum of  One Hundred Thir</t>
  </si>
  <si>
    <t xml:space="preserve"> INVITATION TO BID FOR  ESTABLISHMENT OF THREE (3) UNITS OF SMALL WATER IMPOUNDING SYSTEM (SWIS) AT BRGY. ROSACARA, BANSUD, ORIENTAL MINDORO 1.	The DENR PENRO – Oriental Mindoro, through the RA 11465, GAA 2020 intends to apply the sum of Three Million Nine</t>
  </si>
  <si>
    <t xml:space="preserve"> INVITATION TO REBID The Iligan City Government Bids and Awards Committee (BAC), through CY 2020 BUDGET intends to apply the sum of P 2,375,600.00 being the Approved Budget for the Contract (ABC) to payments under the Contract for Supply and Delivery of Sp</t>
  </si>
  <si>
    <t xml:space="preserve"> Republic of the Philippines Province of Ilocos Sur Municipality of Quirino, Ilocos Sur Invitation to Bid for the Improvement of Lobolbo Creek to Banoen Plaza, Banoen, Quirino, Ilocos Sur 1.	The Municipality of Quirino, Ilocos Sur, through the R.A. 7171 FY</t>
  </si>
  <si>
    <t xml:space="preserve"> 1.	The Capiz Provincial Government, through the GOP–2020 intends to apply the total amount of One Million Three Hundred Forty-Two Thousand Four Hundred Thirty-Three Pesos (Php, 1,342,433.00) being the total aggregated Approved Budget for the Contract (ABC</t>
  </si>
  <si>
    <t xml:space="preserve"> Republic of the Philippines MUNICIPALITY OF BUNAWAN, AGUSAN DEL SUR Invitation to Bid/ Instruction to Bidders PURCHASE OF SEVEN (7) UNITS BARANGAY POLICE PATROL August 6, 2020 1.	The Municipality of Bunawan, now invite bids for Purchase of Seven (7) Units</t>
  </si>
  <si>
    <t xml:space="preserve"> IB 2020-08-012 PME2 Procurement of Medical Equipment (Part 2) 2020-12</t>
  </si>
  <si>
    <t xml:space="preserve"> BIDS AND AWARDS COMMITTEE INVITATION TO BID No. 051-2020 The METRO ROXAS WATER DISTRICT (MRWD), through its Bids and Awards Committee (BAC), invites Manufacturers/Suppliers/Distributors to apply for eligibility and to bid for the hereunder project: Name o</t>
  </si>
  <si>
    <t xml:space="preserve"> 1.	The Provincial Government of Ilocos Norte, through the General Fund  intends to apply the sum of Six Million Sixty Three Thousand One Hundred Seven Pesos and Ninety Nine Centavos   (Php  6,063,107.99               ) being the Approved Budget for the Co</t>
  </si>
  <si>
    <t xml:space="preserve"> Supply, Delivery, Installation, and Configuration of the TSU WiFi Modernization for the Lucinda Campus (Phase 1) Invitation to Bid No. 2020-011 1.	The Tarlac State University, through the Special Budget (SB) Fund intends to apply the sum of Four Million E</t>
  </si>
  <si>
    <t xml:space="preserve"> Section I. Invitation to Bid INVITATION TO BID  DA8-Goods-2020-50 (PR No. RICE 20-07-27-0928) 1.	The Department of Agriculture-Regional Field Office No. 8, through the RICE 2020-C.O intends to apply the sum of One Million Four Hundred Fifty Seven Thousand</t>
  </si>
  <si>
    <t xml:space="preserve"> I.   SIGNAGE  II.  DISCHARGE PIPELINES AND APPURTENANCES  III. REHABILITATION OF WATER DISTRIBUTION PIPELINES SYSTEM INCLUDING FLUSHING AND            DISINFECTION</t>
  </si>
  <si>
    <t xml:space="preserve"> Republic of the Philippines Region XII Province of Cotabato City of Kidapawan OFFICE OF THE BIDS AND AWARD COMMITTEE August 5, 2020 INVITATION TO BID FOR  SUPPLY, DELIVERY AND INSTALLATION OF MULTI-FUNCTION FULL COLOR INKJET PRINTER FOR THE PRINTING AND R</t>
  </si>
  <si>
    <t xml:space="preserve"> Construction/Rehabilitation of Water Supply/Septage and Sewerage/Rain Water Collectors</t>
  </si>
  <si>
    <t xml:space="preserve"> Invitation to Bid for Procurement of Civil Works for the Rehabilitation of Bahay Pag-asa Development Center 1. The Provincial Government of Misamis Occidental, through the General Funds 20203 intends to apply the sum of Two Million Six Hundred Eleven Thou</t>
  </si>
  <si>
    <t xml:space="preserve"> Invitation to Bid No. 2020-03 Procurement of Various I.T. Equipment 1. The West Visayas State University- Janiuay Campus, through Fund 164intends to apply the sum of ONE MILLION TWENTY-SEVEN THOUSAND FIVE HUNDRED PESOS (PhP1,027,500.00) being the Approved</t>
  </si>
  <si>
    <t xml:space="preserve"> SCHEDULE OF ACTIVITIES: BID EVALUATION - SEPTEMBER 8, 2020 POST QUALIFICATION - SEPTEMBER 10, 2020 NOTICE OF AWARD - SEPTEMBER 14, 2020 NOTICE TO PROCEED - SEPTEMBER 21, 2020</t>
  </si>
  <si>
    <t xml:space="preserve"> Section I. Invitation to Bid Republic of the Philippines Province of Sultan Kudarat Municipality of Bagumbayan OFFICE OF THE BIDS AND AWARDS COMMITTEE Bagumbayan, Sultan Kudarat INVITATION TO BID FOR PROCUREMENT FOR THE 4,440 LITERS OF DIESOLINE FOR THE A</t>
  </si>
  <si>
    <t xml:space="preserve"> Republic of the Philippines Province of Sultan Kudarat Municipality of Bagumbayan OFFICE OF THE BIDS AND AWARDS COMMITTEE Bagumbayan, Sultan Kudarat INVITATION TO BID FOR THE PROCUREMENT OF 1 UNIT AMBULANCE 1.	The Municipal Government of Bagumbayan, throu</t>
  </si>
  <si>
    <t xml:space="preserve"> Construction Projects-Housing &amp; Resettlement Project Access Road to LGU Lot No. 2793, Mabua, Tandag City</t>
  </si>
  <si>
    <t xml:space="preserve"> 1 lot- Installation of Upgraded Local Government System ----a   Treasury Management and Information System ----b   business permit and licensing system ----c   water billing and collection system ----d   market management and information system ----e   re</t>
  </si>
  <si>
    <t xml:space="preserve"> REGION XII Province of Cotabato Municipality of Midsayap BIDS &amp; AWARDS COMMITTEE Tel. Nos. (064) 229-8018; 229-8650; 229-8450 INVITATION TO BID FOR  2020-095, SUPPLY AND DELIVERY OF VETERINARY MEDICINES TO PREVENT THE SPREAD OF AFRICAN  SWINE FEVER (ASF) </t>
  </si>
  <si>
    <t xml:space="preserve"> Invitation to Bid for Procurement of Works for the Construction of Multi- Capitol, Oroquieta City 1. The Provincial Government of Misamis Occidental, through the General Funds 20203 intends to apply the sum of Three Million Nine Hundred Seventy-three Thou</t>
  </si>
  <si>
    <t xml:space="preserve"> Section I. Invitation to Bid INVITATION TO BID  DA8-Goods-2020-48 (PR No. SAAD 20-07-23-0237) 1.	The Department of Agriculture-Regional Field Office No. 8, through the SAAD 2020 intends to apply the sum of Sixteen Million One Hundred Sixty-Three Thousand </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</si>
  <si>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</si>
  <si>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Invitation to Bid for Procurement of Goods for Repainting of Capitol Old and New Building (Exterior Surface) 1. The Province of Misamis Occidental through the General Funds intends to apply the sum of One Million Nine Hundred Seventy-three Thousand Six Hu</t>
  </si>
  <si>
    <t xml:space="preserve"> INVITATION TO BID FOR PURCHASE OF OFFICE EQUIPMENTS, OFFICE SUPPLIES, DEVICES, AND CONSUMABLES FOR VARIOUS OFFICES  1.	The Municipality of Ubay, through the Annual Budget C.Y. 2020 (General Fund) intends to apply the sum of Two Million Nine Hundred Ninety</t>
  </si>
  <si>
    <t xml:space="preserve"> 3 units - Full Truss-1; 3 units - Ridge Truss &amp; 3 spans - Roofing</t>
  </si>
  <si>
    <t xml:space="preserve"> Invitation to Bid for SUPPLY AND DELIVERY OF OFFICE EQUIPMENT  FOR MUNICIPAL ENGINEERING OFFICE The Municipal Government of Looc, Romblon, through the AO-NO. 021-2020 Supplemental Appropriation1 intends to apply the sum of Ninety-Five Thousand Seven Hundr</t>
  </si>
  <si>
    <t xml:space="preserve"> Republic of the Philippines AUTONOMOUS REGION IN MUSLIM MINDANAO Province  of  Lanao  del  Sur Municipality of Marantao REQUEST FOR QUOTATION  The Municipal Government of  Marantao through the Bids and Awards Committee (BAC) invites accredited  suppliers </t>
  </si>
  <si>
    <t xml:space="preserve"> Construction of Water Pump and Gen. Set House Poblacion, Sta. Catalina, Ilocos Sur</t>
  </si>
  <si>
    <t xml:space="preserve"> 2 UNITS DVR (8 Channels and 16 Channels) 2 UNITS 4TB 64MB SATA3 Hard Drive 2 UNITS 42” TV MONITOR 16 UNITS 5mp Bullet Camera 4 UNITS 2mp Bullet Camera 4 UNITS 2mp Indoor EXEBALL Camera 100 x 100 x 70mm Waterproof Box HDMI Cable (1.5m) BNC PLUG LEAD FREE R</t>
  </si>
  <si>
    <t xml:space="preserve"> Republic of the Philippines Province of Leyte Municipality of La Paz OFFICE OF THE BIDS AND AWARDS COMMITTEE INVITATION TO BID (ITB) – NO. : 2020 - 006 Procuring Entity : Municipality of La Paz, Leyte Title of Project : CONSTRUCTION OF LOCAL ACCESS ROAD (</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</si>
  <si>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</si>
  <si>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Republic of the Philippines CITY OF TACURONG OFFICE OF THE CITY MAYOR INVITATION TO BID FOR CONSTRUCTION OF SANITARY LANDFILL (Contract ID No: 2020-CW-022) The City Government of Tacurong, through Trust Fund (5% DRRMF – Resolution No. 233 – 8th SP Series </t>
  </si>
  <si>
    <t xml:space="preserve"> Bid-Opening-August 27,2020 at 2:00 p.m. at Municipal Conference Room</t>
  </si>
  <si>
    <t xml:space="preserve"> PROJECT: IMPROVEMENT OF COVERED COURT METAL CLADDING PHASE 1 &amp; 2 LOCATION: BARANGAY DUTUNG A MATAS, CONCEPCION APPROVED BUDGET FOR THE CONTRACT: PHP 253,425.00 SOURCE OF FUND: 10% SK FUND The contract to be performed by the successful bidder shall be spec</t>
  </si>
  <si>
    <t xml:space="preserve"> VARIOUS CONSTRUCTION MATERIALS AND SUPPLIES (ATTACHED REQUEST FOR QUOTATION)</t>
  </si>
  <si>
    <t xml:space="preserve"> Republic of the Philippines DEPARTMENT OF PUBLIC WORKS AND HIGHWAYS BOHOL III DISTRICT ENGINEERING OFFICE REGIONAL OFFICE VII Guindulman, Bohol INVITATION TO BID FOR GOODS July 30, 2020 The Department of Public Works and Highways-Bohol 3rd District Engine</t>
  </si>
  <si>
    <t xml:space="preserve"> Republic of the Philippines PROVINCE OF QUIRINO Cabarroguis -oOo- BIDS AND AWARDS COMMITTEE INVITATION TO BID FOR  Procurement of One (1) Unit X-Ray Tube Assembly and One (1) Unit High Voltage Tank for CT Scan  Compatible with GE Brightspeed Select Edge C</t>
  </si>
  <si>
    <t xml:space="preserve"> Republic of the Philippines Province of Davao de Oro MUNICIPALITY OF COMPOSTELA BIDS AND AWARDS COMMITTEE CP#: 0998-571-7569 INVITATION TO BID FOR  MUNICIPAL COUNTERPART FOR THE CONSTRUCTION OF ISOLATION UNITS FOR 16 BARANGAYS (Procurement of Hardware Mat</t>
  </si>
  <si>
    <t xml:space="preserve"> Section I. Invitation to Bid FOR THE UPLB-S-050-08-20  SUPPLY AND DELIVERY OF BOOKS FOR UNIVERSITY LIBRARY 1.	The UNIVERSITY OF THE PHILIPPINES LOS BAÑOS (UPLB), through the GOP intends to apply the sum of NINE HUNDRED EIGHTEEN THOUSAND SIX HUNDRED TWENTY</t>
  </si>
  <si>
    <t xml:space="preserve"> Republic of the Philippines Province of Oriental Mindoro MUNICIPALITY OF SAN TEODORO INVITATION TO BID FOR THE  CONSTRUCTION OF PUBLIC MARKET No. 2020-15 August 4, 2020 1.	The Municipality of San Teodoro intends to apply the sum of Fifteen Million Five Hu</t>
  </si>
  <si>
    <t xml:space="preserve"> Invitation to Bid for SUPPLY AND DELIVERY OF OFFICE EQUIPMENT  FOR MUNICIPAL SOCIAL WELFARE AND DEVELOPMENT OFFICE The Municipal Government of Looc, Romblon, through the AO-NO. 021-2020 Supplemental Appropriation1 intends to apply the sum of One Hundred T</t>
  </si>
  <si>
    <t xml:space="preserve"> VARIOUS MUSICAL INSTRUMENTS (ATTACHED REQUEST FOR QUOTATION)</t>
  </si>
  <si>
    <t xml:space="preserve"> Issuance of Bid Documents Starts: August 5, 2020 Cost of Bid Document: Php 4,500.00 Venue of Dropping and Opening Bids: BAC Conference Room, Leyte SMED Center, Provincial Capitol Grounds, Tacloban City</t>
  </si>
  <si>
    <t xml:space="preserve"> Republic of the Philippines PROVINCE OF QUIRINO Cabarroguis -oOo- BIDS AND AWARDS COMMITTEE INVITATION TO BID FOR  Procurement of Various Medical Supplies for COVID-19 Prevention Contract No. PB-GS-2020-009 							August 5, 2020 1.	The Bids and Awards Com</t>
  </si>
  <si>
    <t xml:space="preserve"> Republic of the Philippines PROVINCE OF BUKIDNON Municipality of Sumilao INVITATION TO BID  ITB NO. CW-2020-10 REHABILITATION OF BARANGAY ROADS AT SUMILAO AREA 2020 1.	The Local Government Unit of Sumilao, through its Bds Awards Committee (BAC) invites co</t>
  </si>
  <si>
    <t xml:space="preserve"> Republic of the Philippines Municipality of Tabuelan Invitation to Bid  The Philippine Government Electronic Procurement System Office – Procurement Service invites PhilGEPS registered suppliers to bid for the hereunder items Attached: Description: 100 Un</t>
  </si>
  <si>
    <t xml:space="preserve"> Repair/Maintenance of DPWH Building</t>
  </si>
  <si>
    <t xml:space="preserve"> L=50m, w=4m,t=0.15m for pavement; h=.30m,h2=.4m,h4=1m,L=50m for ripraping</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</si>
  <si>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</si>
  <si>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Masonry, plastering and tiles works, windows, windows Grills and Door</t>
  </si>
  <si>
    <t xml:space="preserve"> PLEASE SEE ATTACHED FILES FOR YOUR REFERENCE.</t>
  </si>
  <si>
    <t xml:space="preserve"> Republic of the Philippines CITY OF TACURONG OFFICE OF THE CITY MAYOR INVITATION TO BID FOR PROGRESSIVE CONSTRUCTION OF MULTI-PURPOSE BUILDING (Contract ID No: 2020-CW-023) The City Government of Tacurong, through Continuing 2019 CMO – Property, Plant &amp; E</t>
  </si>
  <si>
    <t xml:space="preserve"> Republic of the Philippines PROVINCE OF NORTHERN SAMAR BIDS AND AWARDS COMMITTEE Catarman Purchase of Medical and Laboratory Supplies for the Northern Samar Provincial Hospital Barangay Acacia Catarman, Northern Samar NS-08-05-20-01 1.	The Provincial Gove</t>
  </si>
  <si>
    <t xml:space="preserve"> Construction / Rehabilitation /  Improvement of 42 Units Street Light  along Loreta St., Balite St. and Melia  St. to include soil excavation, concrete works, welding works, electrical  works and painting works.</t>
  </si>
  <si>
    <t xml:space="preserve"> Issuance of Bid Documents Starts: August 5, 2020 Cost of Bid Document: Php 3,000.00 Venue of Dropping and Opening Bids: BAC Conference Room, Leyte SMED Center, Provincial Capitol Grounds, Tacloban City</t>
  </si>
  <si>
    <t xml:space="preserve"> Bicol Medical Center Concepcion Pequeña, Naga City, 4400 (0998-247-0239/0906-256-9238          E-mail Address: bmc.bacoffice@gmail.com INIVITATION TO BID PROCUREMENT OF HOUSEKEEPING SUPPLIES ITB No. 2020-29 1.	The BICOL MEDICAL CENTER, through SA-CO QRF i</t>
  </si>
  <si>
    <t xml:space="preserve"> This si intended for the improvement of the Mayor's Office extension.</t>
  </si>
  <si>
    <t xml:space="preserve"> Sub-grade Preparation, Aggregate Base Course  &amp; PCCP</t>
  </si>
  <si>
    <t xml:space="preserve"> ITEM NO QTY UNIT DESCRIPTION 1.  70 BAGS CEMENT 2.  150 BAGS SAND 3.  240 BAGS GRAVEL 4.  30 PCS 12MM DEF BAR 5.  3 KILOS TIE WIRE # 16 6.  3 KLS COMMON NAILS # 3 7.  3 KILOS COMMN NAILS 1 1/2 8.  100 BD FT COCO LUMBER 2X2X10 9. 7 SHTS ORD PLYWOOD</t>
  </si>
  <si>
    <t xml:space="preserve"> Republic of the Philippines PROVINCE OF QUIRINO Cabarroguis -oOo- BIDS AND AWARDS COMMITTEE INVITATION TO BID FOR  Procurement of Digital Mobile X-Ray Machine  Contract No. PB-GS-2020-008 							August 5, 2020 1.	The Bids and Awards Committee (BAC) of the</t>
  </si>
  <si>
    <t xml:space="preserve"> This is intended for the rehabilitation of the comfort room at 2ndfloor of RHU building</t>
  </si>
  <si>
    <t xml:space="preserve"> BId-Opening-August 27,2020 at 2:00 p.m. at Municipal Conference Room</t>
  </si>
  <si>
    <t xml:space="preserve"> Republic of the Philippines Province of Nueva Vizcaya BIDS AND AWARDS COMMITTEE (BAC-Goods) BAC OFFICE, Provincial Capitol, Bayombong, Nueva Vizcaya Tel. No. 078-392-2062 	 INVITATION TO BID FOR THE SUPPLY, DELIVERY &amp; FABRICATION OF 30 UNITS STORAGE BINS </t>
  </si>
  <si>
    <t xml:space="preserve"> Issuance of Bid Documents Starts: August 5, 2020 Cost of Bid Document: Php 3,500.00 Venue of Dropping and Opening Bids: BAC Conference Room, Leyte SMED Center, Provincial Capitol Grounds, Tacloban City</t>
  </si>
  <si>
    <t xml:space="preserve"> Issuance of Bid Documents Starts: August 5, 2020 Cost of Bid Document: Php 4,000.00 Venue of Dropping and Opening Bids: BAC Conference Room, Leyte SMED Center, Provincial Capitol Grounds, Tacloban City</t>
  </si>
  <si>
    <t xml:space="preserve"> Republic of the Philippines Province of Nueva Vizcaya BIDS AND AWARDS COMMITTEE (BAC-GOODS) BAC OFFICE, Provincial Capitol, Bayombong, Nueva Vizcaya Tel. No. (078) 392-2650 	 INVITATION TO BID FOR THE SUPPLY AND DELIVERY OF IRON SYRUPS/DROPS/TABLETS FOR T</t>
  </si>
  <si>
    <t xml:space="preserve"> L=72m, W=4.m, T=0.15m, Using Class"A" Concrete Mixture</t>
  </si>
  <si>
    <t xml:space="preserve"> Republic of the Philippines PROVINCE OF QUIRINO Cabarroguis -oOo- BIDS AND AWARDS COMMITTEE INVITATION TO BID FOR  Procurement of Various Drugs and Medicines for QIP Contract No. PB-GS-2020-011 							August 5, 2020 1.	The Bids and Awards Committee (BAC) </t>
  </si>
  <si>
    <t xml:space="preserve"> Construction of Box Culvert</t>
  </si>
  <si>
    <t xml:space="preserve"> Common Electrical Supplies, Office Supplies, Office Equipment, Cleaning/ Janitorial Supplies and Computer Consumable (By Lot).</t>
  </si>
  <si>
    <t xml:space="preserve"> Republic of the Philippines Province of Nueva Vizcaya BIDS AND AWARDS COMMITTEE (BAC-Goods) BAC OFFICE, Provincial Capitol, Bayombong, Nueva Vizcaya Tel. No. 078-392-2062 	 INVITATION TO BID FOR THE SUPPLY, DELIVERY &amp; PRINTING OF DELIVERY RECEIPTS, TRANSP</t>
  </si>
  <si>
    <t xml:space="preserve"> INVITATION TO BID for the SUPPLY FOR 1 UNIT RTK 1.	The National Irrigation Administration-Davao del Norte IMO, through the GAA fund 2020 intends to apply the sum of  P2,300,000.00 being the Approved Budget for the Contract (ABC) to payments under the cont</t>
  </si>
  <si>
    <t xml:space="preserve"> Republic of the Philippines Province of Nueva Vizcaya BIDS AND AWARDS COMMITTEE (BAC-GOODS) BAC OFFICE, Provincial Capitol, Bayombong, Nueva Vizcaya Tel. No. (078) 392-2650 	 INVITATION TO BID FOR THE SUPPLY AND DELIVERY OF ONE (1) SET REFRIGERATED CENTRI</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</si>
  <si>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</si>
  <si>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Contract ID:	20FH0100 Contract Name:	CONSTRUCTION OF TWO (2) STOREY SIX (6) CLASSROOM (7X9) SENIOR HIGH SCHOOL BUILDING, TINAGO NATIONAL HIGH SCHOOL, VIGA, CATANDUANES Contract Location:	TINAGO NATIONAL HIGH SCHOOL, VIGA, CATANDUANES Scope of Work:	TWO (2</t>
  </si>
  <si>
    <t xml:space="preserve"> Republic of the Philippines Province of Nueva Vizcaya BIDS AND AWARDS COMMITTEE (BAC-Goods) BAC OFFICE, Provincial Capitol, Bayombong, Nueva Vizcaya Tel. No. 078-392-2062 	 INVITATION TO BID FOR THE SUPPLY &amp; DELIVERY OF1 UNIT LAPTOP   FOR THE  GOVERNOR’S </t>
  </si>
  <si>
    <t xml:space="preserve"> Invitation to Bid for Procurement of Pipes for Transmission and Distribution, Solar Pumps for Water System 1. The Province of Misamis Occidental through the General Funds intends to apply the sum of Nine Million Six Hundred Fifty Thousand Fifteen and Sixt</t>
  </si>
  <si>
    <t xml:space="preserve"> DOUBLE CAB 4X2  6 WHEELER  4 CYLINDER DIESEL ENGINE  3,059 CC  94 HP  FIVE(5) SPEED MANUAL TRANSMISSION  GIGA TYPE  MECHANICAL WINDOW RISER  FLAT LOW  POWER STEERING 4X2 WITH AIRCON  WITH HARDTOP CANOPY AND FOLDING CHAIR  WITH COMPLETE ACCESSORIES, LTO RE</t>
  </si>
  <si>
    <t xml:space="preserve"> 5 rolls 1/2'' dia P.E.Pipe SDR 11 4 rolls 2'' dia. P.E. Pipe SDR11 4 PCS.2'' DIA Coupling 4 pcs. 1/2'' dia Coupling</t>
  </si>
  <si>
    <t xml:space="preserve"> Republic of the Philippines Province of Misamis Occidental MUNICIPALITY OF PANAON INVITATION TO BID FOR  PROCUREMENT OF ONE (1) UNIT AUV 2.8 L DIESEL, MANUAL (Procurement of Goods) 									August 4, 2020 1.	The Local Government Unit of Panaon, Misamis Oc</t>
  </si>
  <si>
    <t xml:space="preserve"> INVITATION TO BID  Supply and Delivery of 24,592 bags Hybrid Palay Seeds for use of Rice Program 2020 1.	The Department of Agriculture Regional Field Office No. 5, through the General Appropriations Act (GAA) for CY 2020--Rice  intends to apply the sum of</t>
  </si>
  <si>
    <t xml:space="preserve"> Information Technology- 1.	1 set Transit Total Station (GNSSRTK)                       Support Multi Constellations &amp; Frequencies: -	GPL L1C/A, L2C, L2P, L5 -	GLONASS L1C/A, L2C/A -	BeiDou B1, B2, B3 -	Galileo E1, E5A, E5B -	QZSS L1C/A, L1C, L2C, L5 -	SBA</t>
  </si>
  <si>
    <t xml:space="preserve"> 1.	The Oroquieta City Water District, through the National Government 2017 intends to apply the sum of Two Million Nine Hundred Seventy Five Thousand Six Hundred Sixty Eight Pesos (Php 2,975,668.00) being the Approved Budget for the Contract (ABC) to paym</t>
  </si>
  <si>
    <t xml:space="preserve"> Republic of the Philippines Province of Nueva Vizcaya BIDS AND AWARDS COMMITTEE (BAC-GOODS) BAC OFFICE, Provincial Capitol, Bayombong, Nueva Vizcaya Tel. No. (078) 392-2650 	 INVITATION TO BID FOR THE SUPPLY AND DELIVERY OF VARIOUS HOSPITAL EQUIPMENT FOR </t>
  </si>
  <si>
    <t xml:space="preserve"> INVITATION TO BID  Re-bid of Various Medical and Hospital Supplies for August 2020 to December 2020 IB No. 2020 – 06 1.	The Dr. PJGMRMC, through Bids and Awards Committee I, intends to apply for the procurement of the items indicated the total amount of T</t>
  </si>
  <si>
    <t xml:space="preserve"> Republic of the Philippines MUNICIPALITY OF TAPAZ BIDS AND AWARDS COMMITTEE Office of the BAC Secretariat, Poblacion, Tapaz, Capiz 5814 E-mail: bac.tapaz@yahoo.com Invitation to Re-Bid:   Procurement of Works for the Installation of 869 units of Integrate</t>
  </si>
  <si>
    <t xml:space="preserve"> Republic of the Philippines City of Canlaon OFFICE OF THE BIDS AND AWARDS COMMITTEE Invitation to Bid for the MULTI-PURPOSE PAVEMENT  The City Government of Canlaon City, through Ord. No. 109, series of  2019 intends to apply the sum of Five Hundred Thirt</t>
  </si>
  <si>
    <t xml:space="preserve"> Republic of the Philippines Province of Samar MUNICIPALITY OF MARABUT INVITATION to BID for  IMPROVEMENT OF MATERIAL RECOVERY FACILITY (MRF)  	 1.	The Municipal Government of Marabut, through its 20% Development Fund and MRF Financial Assistance of Depart</t>
  </si>
  <si>
    <t xml:space="preserve"> Republic of the Philippines DEPARTMENT OF PUBLIC WORKS AND HIGHWAYS ILOILO CITY DISTRICT ENGINEERING OFFICE REGION VI Fort San Pedro, Iloilo City INVITATION TO BID FOR 20GGJ0060 - Supply and Delivery of Office Equipment (3rd Quarter, CY 2020) for the use </t>
  </si>
  <si>
    <t xml:space="preserve"> DOUBLE CAB 4X2   6 WHEELER   4 CYLINDER DIESEL ENGINE   2,835 CC   94 HP   FIVE (5) SPEED MANUAL TRANSMISSION   KC TYPE   POWER STEERING   4X2   WITH COMPLETE ACCESSORIES AND FREE LTO REGISTRATION AND INSURANCE</t>
  </si>
  <si>
    <t xml:space="preserve"> Issuance of Bid Documents Starts: August 5, 2020 Cost of Bid Document: Php 2,500.00 Venue of Dropping and Opening Bids: BAC Conference Room, Leyte SMED Center, Provincial Capitol Grounds, Tacloban City</t>
  </si>
  <si>
    <t xml:space="preserve"> INVITATION TO BID    		Republic of the Philippines 			  NATIONAL FOOD AUTHORITY           Eastern Visayas Regional Office      Pawing, Palo, Leyte INVITATION TO BID   REPAIR OF GID CATUBIG WAREHOUSE AT CATUBIG, NORTHERN SAMAR Project Reference No. 2020-NF</t>
  </si>
  <si>
    <t xml:space="preserve"> One (1) Job Contract for the Proposed 60 L.M. Hanging Foot Bridge, Brgy. Sarapan, Passi City, Iloilo/CEO</t>
  </si>
  <si>
    <t xml:space="preserve"> Republic of the Philippines SILAY CITY GOVERNMENT Zamora Street Silay City, Negros Occidental Telefax No. (034) 495-3746 	Control  Reference Number : GOODS#0139, ITB#0142,  PR#0455: SCG-2020 Name of the Project: Purchase of Construction Materials and Supp</t>
  </si>
  <si>
    <t xml:space="preserve"> Republic of the Philippines SILAY CITY GOVERNMENT Zamora Street Silay City, Negros Occidental Telefax No. (034) 495-3746 	Control  Reference Number : GOODS#0130, ITB#0133,  PR#0412: SCG-2020 Name of the Project: Purchase of Construction Materials and Supp</t>
  </si>
  <si>
    <t xml:space="preserve"> 9pcs.Plastic drum 35pcs.12mm quare bar 15m Nylon rope 2 gals Red oxide 2pcs.paint brush 2 bots paint thinner 5 kls.welding rod</t>
  </si>
  <si>
    <t xml:space="preserve"> Invitation to Bid for SUPPLY AND DELIVERY OF OFFICE EQUIPMENT  FOR PDAO The Municipal Government of Looc, Romblon, through the AO-NO. 018-2019 Regular1 intends to apply the sum of Fifty Thousand Pesos Only (P 50,000.00) being the Approved Budget for the C</t>
  </si>
  <si>
    <t xml:space="preserve"> Vehicles- 1.	1 unit Stake Truck 6 wheelers Specs: No. of Cylinders: 4 Displacement: 2771 Drive Layout: Rear Wheel Drive Max Output (kw/Hp/rpm): 80kw (108Hp) Max Torque (Nm/rpm): 260Nm Transmission: Getrag 5 speed manual Gross Weight: 4495 kgs. Wheelbase: </t>
  </si>
  <si>
    <t xml:space="preserve"> REQUEST FOR EXPRESSION OF INTEREST FOR CONSULTING SERVICES FOR THE PREPARATION OF SAN ISIDRO MALL (AGRO MALL), PUBLIC MARKET AND TRANSPORT TERMINAL FEASIBILITY STUDY, PLAN AND DETAILED ENGINEERING DESIGN Solicitation No.: Consulting Services-2020-01 The M</t>
  </si>
  <si>
    <t xml:space="preserve"> INVITATION TO BID Voice &amp; Data subscription for Inmarsat Disaster Emergency Communication Equipment 1.	The Department of Social Welfare and Development, Field Office V, through the General Appropriations Act (GAA), intends to apply the sum of Two Million </t>
  </si>
  <si>
    <t xml:space="preserve"> INVITATION TO BID FOR THE  SUPPLY AND DELIVERY OF QUEUING SYSTEM  PR Nos. 27831-001 1.	The Metropolitan Cebu Water District, through the Corporate Budget of 2020 intends to apply the sum of: PR No.	Description	Qty.	Unit Price	Approved Budget for the Contr</t>
  </si>
  <si>
    <t xml:space="preserve"> Republic of the Philippines DEPARTMENT OF PUBLIC WORKS AND HIGHWAYS ILOILO CITY DISTRICT ENGINEERING OFFICE REGION VI Fort San Pedro, Iloilo City INVITATION TO BID FOR 20GGJ0059 - Supply and Delivery of Materials for the Instructional/Coordination Meeting</t>
  </si>
  <si>
    <t xml:space="preserve"> Republic of the Philippines Province of Misamis Occidental MUNICIPALITY OF PANAON INVITATION TO BID FOR  PROCUREMENT OF ONE (1) UNIT AUV 2.8 L DIESEL, AUTOMATIC (Procurement of Goods) 									August 4, 2020 1.	The Local Government Unit of Panaon, Misamis</t>
  </si>
  <si>
    <t xml:space="preserve"> REQUEST FOR EXPRESSION OF INTEREST FOR  CONSULTING SERVICES FOR THE PREPARATION OF FEASIBILITY STUDY (FS), SURVEY AND DETAILED ENGINEERING DESIGN (D.E.D.) OF THE PHILIPPINE RURAL DEVELOPMENT PROJECT (PRDP): 1) CONCRETING OF RIZAL WEST-RAMOS WEST-RAMOS EAS</t>
  </si>
  <si>
    <t xml:space="preserve"> Section I. Invitation to Bid FOR THE UPLB-S-030-08-20 REBID  PROCUREMENT OF SIPHONING SERVICES OF SEPTIC TANKS FOR UPLB DORMITORIES (NEW DORMITORY, VETMED DORMITORY, FORESTRY RESIDENCE HALL, NEW FORESTRY RESIDENCE HALL) REBID 1.	The UNIVERSITY OF THE PHIL</t>
  </si>
  <si>
    <t xml:space="preserve"> MG-A7M20-010..TOTAL REPLACEMENT OF STOP LOGS IN THE TAILRACE OF UNITS 1 &amp; 2 ABC  : P 10,000,000.00 PLACE OF DELIVERY : AGUS 6 &amp; 7 HEP WAREHOUSE MARIA CRISTINA, ILIGAN CITY AMOUNT OF BID DOCUMENTS : P10,000.00</t>
  </si>
  <si>
    <t xml:space="preserve"> INVITATION TO REBID FOR THE PROCUREMENT OF SUPPLY &amp; DELIVERY OF INORGANIC FERTILIZERS      1.	The Department of Agriculture Regional Field Office 6 through the General Appropriations Act (GAA) of 2020 intends to apply the sum of Forty Five Million Seven H</t>
  </si>
  <si>
    <t xml:space="preserve"> Republic of the Philippines DEPARTMENT OF PUBLIC WORKS &amp; HIGHWAYS, REGION X OFFICE OF THE DISTRICT ENGINEER Lanao del Norte 1st District Engineering Office 0054 Seminary Drive, Del Carmen, Iligan City (063) 225-4244  INVITATION TO BID/REQUEST FOR EXPRESSI</t>
  </si>
  <si>
    <t xml:space="preserve"> Republic of the Philippines SILAY CITY GOVERNMENT Zamora Street Silay City, Negros Occidental Telefax No. (034) 495-3746 	Control  Reference Number : GOODS#0145, ITB#0148,  PR#0463: SCG-2020 Name of the Project: Purchase of Construction Materials and Supp</t>
  </si>
  <si>
    <t xml:space="preserve"> PAKYAW LABOR</t>
  </si>
  <si>
    <t xml:space="preserve"> Republic of the Philippines Department of Health Cagayan Valley Center for Health Development BATANES GENERAL HOSPITAL Basco, Batanes E-mail Address: bataneshospital@gmail.com REQUEST FOR PROPOSAL RFP NO. 2020-04 Supply &amp; Delivery of Various Medical Suppl</t>
  </si>
  <si>
    <t xml:space="preserve"> INVITATION TO BID FOR THE  SUPPLY AND DELIVERY OF VARIOUS GI FITTINGS (PR Nos. 27796-033 to 27796-052, 27803-001 to 27803-019) 1.	The Metropolitan Cebu Water District, through the Corporate Budget of 2020 intends to apply the sum of: PR No.	Description	Qt</t>
  </si>
  <si>
    <t xml:space="preserve"> INVITATION TO BID Bid No. B-117-2020 (*REBIDDING) 1.	The Provincial Government of Negros Oriental through Responsibility Center: 9998-051(20) / Account Code: 10705090, intends to apply the sum of Two Million Pesos (Php 2,000,000.00) to payment under the c</t>
  </si>
  <si>
    <t xml:space="preserve"> MG-A7M20-006..FABRICATION OF TRASH RACKS AT AGUS 6 HEP UNIT 3 ABC  : P 10,000,000.00 PLACE OF DELIVERY : AGUS 6 &amp; 7 HEP WAREHOUSE MARIA CRISTINA, ILIGAN CITY AMOUNT OF BID DOCUMENTS : P 10,000.00</t>
  </si>
  <si>
    <t xml:space="preserve"> Specs or Item	Unit	DESCRIPTION				Qty 						 02220	cu.m.	Excavation and Backfilling				120.09 02935	cu.m.	Concrete Grouting				1.95 15270	M.S.	Distribution &amp; Metering System				62.00 15066	L.m.	PE Pipes Installation				12,000.00 SPCL Item 1	Each	Project S</t>
  </si>
  <si>
    <t xml:space="preserve"> MG-A5C20-021..BUCHHOLZ RELAY, AGUS 5 HE PLANT ABC  : P 2,000,000.00 PLACE OF DELIVERY  : AGUS 5 HEP WAREHOUSE DITUCALAN, ILIGAN CITY AMOUNT OF BID DOCUMENTS : P 3,000.00</t>
  </si>
  <si>
    <t xml:space="preserve"> 1 REGION XII Province of Cotabato Municipality of Midsayap BIDS &amp; AWARDS COMMITTEE Tel. Nos. (064) 229-8018; 229-8650; 229-8450 INVITATION TO BID FOR  2020-097, INSTALLATION OF WATER SYSTEM AT PUROK DECOLORES, KIMAGANGO,  MIDSAYAP, COTABATO 1. The MUNICIP</t>
  </si>
  <si>
    <t xml:space="preserve"> INVITATION TO BID FOR THE REBIDDING OF THE SUPPLY, DELIVERY, INSTALLATION AND COMMISSIONING OF ONE (1) UNIT ENT-HNS DIGITAL VIDEO STROBOSCOPE (IB NO. 2020-GOODS-014R-01-0805) 1.	The ILOCOS TRAINING AND REGIONAL MEDICAL CENTER (ITRMC), through the GAA, FY </t>
  </si>
  <si>
    <t xml:space="preserve"> Please see the attached documents</t>
  </si>
  <si>
    <t xml:space="preserve"> Engine Specification:  Model: 1GD-FTV 1 unit 2.8 Diesel A/T  Type: 4 cylinder, 16 valve DOHC Variable Nozzle Turbo charger  Displacement: 2,755 cc Max. Output: A/T171 (M/T 167)/3,400 Max. Torque: A/T 360 (M/T 343)/1,200-3,400 Fuel system: Direct Injection</t>
  </si>
  <si>
    <t xml:space="preserve"> CONSTRUCTION MATERIALS AND SUPPLIES</t>
  </si>
  <si>
    <t xml:space="preserve"> INVITATION TO BID 1.	The Province of Cebu through the 2020 General Fund, intends to apply the sum of SIXTEEN MILLION SIX HUNDRED FORTY-TWO THOUSAND EIGHT HUNDRED FIFTY PESOS AND 00/100 (Php16,642,850.00) being the Approved Budget for the Contract (ABC) to</t>
  </si>
  <si>
    <t xml:space="preserve"> INVITATION TO BID Bid No. B-114-2020  1.	The Provincial Government of Negros Oriental through Responsibility Center: 1011-28(20) / Account Code: 1070-6010, intends to apply the sum of Four Million Pesos (Php 4,000,000.00) to payment under the contract “Pu</t>
  </si>
  <si>
    <t xml:space="preserve"> INVITATION TO BID PROCUREMENT OF VARIOUS GOODS IB NO. 2020-08-25 (10) 1.	The Department of Health Cagayan Valley Center for Health Development, through the GOP-General Appropriations Act 2020 intends to apply the lump sum of Two Million Nine Hundred Eight</t>
  </si>
  <si>
    <t xml:space="preserve"> Supply &amp; Delivery of 5 Units Four Wheeled Farm Tractor for the Municipal Agriculturist Office, Municipality of Bongabong, Oriental Mindoro</t>
  </si>
  <si>
    <t xml:space="preserve"> 1. FORMWORKS 2. MASONRY WORKS</t>
  </si>
  <si>
    <t xml:space="preserve"> INVITATION TO BID 1.	The Province of Cebu through the 2020 General Fund, intends to apply the sum of TWO MILLION SEVEN HUNDRED TWENTY-TWO THOUSAND SEVEN HUNDRED SEVENTY-FOUR PESOS AND 00/100 (Php2,722,774.00) being the Approved Budget for the Contract (AB</t>
  </si>
  <si>
    <t xml:space="preserve"> INVITATION TO BID FOR the Supply and delivery of Supply and delivery of various livelihood materials for swine production, rice trading, sari-sari store, dried fish and pusit trading and carpentry under DOLE-SFO (second posting) 1.	The Department of Labor</t>
  </si>
  <si>
    <t xml:space="preserve"> INVITATION TO BID (2020-07-05) The Department of Justice (DOJ), through the Bids and Awards Committee (BAC) is inviting interested parties to bid for the following projects:                            Name of Project	:	1. Purchase of 16 units Firewall 		 </t>
  </si>
  <si>
    <t xml:space="preserve"> INVITATION TO BID  PROCUREMENT OF MEDICAL GRADE OXYGEN MRH-011-2020 1.	The Margosatubig Regional Hospital, through the funding source of Hospital Income intends to apply the sum of Five Million Three Hundred Seventy-Four Thousand Five Hundred Pesos Only (</t>
  </si>
  <si>
    <t xml:space="preserve"> INVITATION TO BID (2020-07-05) The Department of Justice (DOJ), through the Bids and Awards Committee (BAC) is inviting interested parties to bid for the following projects:                            Name of Project	:	Purchase of 125 units Access Points </t>
  </si>
  <si>
    <t xml:space="preserve"> INVITATION TO BID (2020-07-05) The Department of Justice (DOJ), through the Bids and Awards Committee (BAC) is inviting interested parties to bid for the following projects:                            Name of Project	:	Purchase of 235 units Anti-virus Sof</t>
  </si>
  <si>
    <t xml:space="preserve"> Provision of 20 Units Shallow Tube Well for the Municipal Agriculturist Office</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</si>
  <si>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</si>
  <si>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30 T/LOAD   GRAVEL AND SAND (S1) 2000 BAGS  CEMENT 40 PCS        10MM RSB 2 KLS          TIE WIRE 2 PCS          HACKSAW BLADE</t>
  </si>
  <si>
    <t xml:space="preserve"> INVITATION TO BID FOR THE PROCUREMENT OF SUPPLY &amp; DELIVERY OF 38 SETS LAYER POULTRY PACKAGE     1.	The Department of Agriculture Regional Field Office 6 through the General Appropriations Act (GAA) of 2020 intends to apply the sum of One Million Nine Hund</t>
  </si>
  <si>
    <t xml:space="preserve"> INVITATION TO BID  1.	The Province of Cebu through the 2020 General Fund, intends to apply the sum of NINE MILLION TWO HUNDRED SEVENTY-EIGHT THOUSAND TWO HUNDRED SEVENTY-TWO PESOS AND 00/100 (Php9,278,272.00) being the Approved Budget for the Contract (AB</t>
  </si>
  <si>
    <t xml:space="preserve"> INVITATION TO BID  REPAIR AND CONVERSION OF PEDIATRIC WARD INTO MOLECULAR BIOLOGY LABORATORY  IB No. 2020 - 07 1.	The Dr. PJGMRMC, through Bids and Awards Committee II, intends to apply the sum of EIGHT MILLION TWO HUNDRED FIVE THOUSAND NINE HUNDRED NINET</t>
  </si>
  <si>
    <t xml:space="preserve"> Repair of 13.20 m. x 10.15m roofing of Public Market.</t>
  </si>
  <si>
    <t xml:space="preserve"> Republic of the Philippines Province of Nueva Ecija Municipality of General Mamerto Natividad BIDS AND AWARDS COMMITTEE  INVITATION TO BID FOR  “PURCHASE OF TENTS” 1.	The LGU – General Mamerto Natividad, Nueva Ecija, through the 2019 Continuing Appropriat</t>
  </si>
  <si>
    <t xml:space="preserve"> PUBLIC BIDDING The municipal government of Romblon through its Bids and Awards Committee (BAC) invites PhilGEPS registered suppliers to apply to bid for the Purchase of 3 in 1 Multifunction Printer.</t>
  </si>
  <si>
    <t xml:space="preserve"> INVITATION TO BID FOR Procurement of Various Medical Supplies for the Use of Heart Institute IB NO: 2020-027 The Western Visayas Medical Center, through Internally Generated Fund-Hospital Income, in the amount of Twelve Million Three Hundred Seventy Six T</t>
  </si>
  <si>
    <t xml:space="preserve"> INVITATION TO BID (2020-07-05) The Department of Justice (DOJ), through the Bids and Awards Committee (BAC) is inviting interested parties to bid for the following projects:                            Name of Project	:	Purchase of 1 lot Renewal of Firewal</t>
  </si>
  <si>
    <t xml:space="preserve"> Provision for Janitorial and General Support Services for Pag-IBIG Fund Bicol Area      Janitor (6-day work/week) - 10      Janitor (5-day work/week) - 2      Driver (5-day work/week) - 5      Reproduction Machine Operator (5-day work/week) - 1      Carpe</t>
  </si>
  <si>
    <t xml:space="preserve"> Province of Nueva Ecija Municipality of General Mamerto Natividad BIDS AND AWARDS COMMITTEE  INVITATION TO BID FOR  “AID TO BARANGAYS (PURCHASE OF MOTORCYCLES)” 1.	The LGU – General Mamerto Natividad, Nueva Ecija, through the 2020 Aid to Barangays intends</t>
  </si>
  <si>
    <t xml:space="preserve"> 20 Units	Computer printer -	A3 + Printing -	High yield ink bottles -	Print speed up to 15 ipm -	Print Resolution up to 5760 x 144 dpi -	Warranty of 2 years or 30,000 pages whichever comes first 39 units Computer printer -	Compact integrated tank design -	</t>
  </si>
  <si>
    <t xml:space="preserve"> Republic of the Philippines NATIONAL FOOD AUTHORITY Eastern Visayas Regional Office  Pawing, Palo, Leyte - INVITATION TO BID REPAIR OF  RAWIS  DUPLEX OWNED WAREHOUSE AT RAWIS, NORTHERN SAMAR Project Reference No. 2020-NFA-RBAC8-INFR- 22 The NATIONAL FOOD </t>
  </si>
  <si>
    <t xml:space="preserve"> Construction, Improvement, Rehab.</t>
  </si>
  <si>
    <t xml:space="preserve"> 1 REGION XII Province of Cotabato Municipality of Midsayap BIDS &amp; AWARDS COMMITTEE Tel. Nos. (064) 229-8018; 229-8650; 229-8450 INVITATION TO BID FOR  2020-098, REMOVAL AND REPLACEMENT OF CONCRETE PAVEMENT AT PUROK 7, VILLARICA, MIDSAYAP, COTABATO 1. The </t>
  </si>
  <si>
    <t xml:space="preserve"> SUPPLY &amp; DELIVERY OF CONSTRUCTION MATERIALS : Lot 1	Installation of Solar Powered Streetlights at K.I. Bridge, Poblacion Lot 2 Installation of Solar Powered Streetlights at Hagupit  Lot 3	Installation of Solar Streetlights at Sagana Lot 4	Installation of </t>
  </si>
  <si>
    <t xml:space="preserve"> Construction , Improvement, Rehab.</t>
  </si>
  <si>
    <t xml:space="preserve"> 2 Units Digital Duplicator -	Print speed: 5 levels (60,80,100,120,130 rpm) -	Print Resolution: 300 dpi x 600 dpi -	Ink capacity: 1000 ml -	128 x 64 dot LCD panel -	Standard equipment pf PC-1/F -	Direct Printing from USB flash drive -	Up to B4 size -	One y</t>
  </si>
  <si>
    <t xml:space="preserve"> Republic of the Philippines Department of Health DAVAO REGIONAL MEDICAL CENTER Apokon, Tagum City BIDS AND AWARDS COMMITTEE Invitation to Bid for the SUPPLY &amp; DELIVERY OF ANESTHETICS - REBID 1.	The Davao Regional Medical Center (DRMC), through the HOSPITA</t>
  </si>
  <si>
    <t xml:space="preserve"> Supply &amp; Delivery of Construction Materials for the Construction of Powerhouse - (BWS), Municipality of Bongabong, Oriental Mindoro</t>
  </si>
  <si>
    <t xml:space="preserve"> Republic of the Philippines Region XII Province of Cotabato City of Kidapawan OFFICE OF THE BIDS AND AWARD COMMITTEE August 5, 2020 INVITATION TO BID FOR  SUPPLY AND DELIVERY OF RESCUE EQUIPMENTS AND APPAREL FOR THE USE OF THE CDRRMO/CALL 911, KIDAPAWAN C</t>
  </si>
  <si>
    <t xml:space="preserve"> Republic of the Philippines Province of Nueva Vizcaya BIDS AND AWARDS COMMITTEE (BAC-Goods) BAC OFFICE, Provincial Capitol, Bayombong, Nueva Vizcaya Tel. No. 078-392-2062 	 INVITATION TO BID FOR THE SUPPLY AND DELIVERY OF AGRICULTURAL PRODUCTS  FOR THE  P</t>
  </si>
  <si>
    <t xml:space="preserve"> Plastic Envelopes Long and Transparent with handle,  any color Prospective Bidders must have completed a contract similar to the project with the amount of at least 50% of the ABC. Bidding will be conducted through open competitive bidding procedures usin</t>
  </si>
  <si>
    <t xml:space="preserve"> Construction of Evacuation Center at San Juan, Bongabong, Oriental Mindoro</t>
  </si>
  <si>
    <t xml:space="preserve"> Supply &amp; Delivery of Aircon (Mayor's Office), Municipality of Bongabong, Oriental Mindoro</t>
  </si>
  <si>
    <t xml:space="preserve"> 1.	The Municipality of Daram, through the General Fund-2020 intends to apply the sum of One Million Pesos (P1,000,000.00) being the Approved Budget for the Contract (ABC) to payments under the contract for the Supply and Delivery of 400pcs. Toilet Bowl an</t>
  </si>
  <si>
    <t xml:space="preserve"> Republic of the Philippines Province of Nueva Vizcaya BIDS AND AWARDS COMMITTEE (BAC-Goods) BAC OFFICE, Provincial Capitol, Bayombong, Nueva Vizcaya Tel. No. 078-392-2062 	 INVITATION TO BID FOR THE SUPPLY AND DELIVERY OF GRAFTED FRUIT TREES THE  PROVINCI</t>
  </si>
  <si>
    <t xml:space="preserve"> Republic of the Philippines Province of Oriental Mindoro MUNICIPALITY OF GLORIA Invitation to Bid ITB No. 2020-004   Repost: Bulaklakan Farm to Market Road (FMR) Concreting 1.	The Municipality of Gloria, through Annual Budget 2020 under the 20% Developmen</t>
  </si>
  <si>
    <t xml:space="preserve"> SUPPLY &amp; DELIVERY OF : Lot 1	1 Unit All-In-One Computer, 2 Sets Desktop PC,  (Branded), 1 PC Tablet, Mini (Wi-Fi + Cellular) &amp; 5 Units             Inkjet Printer with Wi-Fi for the General Services Office  Lot 2 1 Set Desktop PC, (Branded), 1 Set Desktop </t>
  </si>
  <si>
    <t xml:space="preserve"> REGION XII Province of Cotabato Municipality of Midsayap BIDS &amp; AWARDS COMMITTEE Tel. Nos. (064) 229-8018; 229-8650; 229-8450 INVITATION TO BID FOR  2020-096, SUPPLY AND DELIVERY CONSTRUCTION MATERIALS FOR THE REPAIR / REHABILITATION OF  DIFFERENT SCHOOLS</t>
  </si>
  <si>
    <t xml:space="preserve"> PURCHASE AND DELIVERY OF MATERIALS FOR THE CONCRETING OF TULATULA-AN TO ILAJAS ROAD DINGLE, ILOILO</t>
  </si>
  <si>
    <t xml:space="preserve"> SUPPLY &amp; DELIVERY OF : Lot 1	1 Set Desktop PC, 1 Set Desktop PC, (Branded) &amp; 1 Unit Laptop Computer for the Municipal Agriculturist Office  Lot 2 1 Unit Inkjet Printer with Wi-Fi, 1 Unit LaserJet Printer, 1 Unit Laptop Computer &amp; 1 Unit External Drive for</t>
  </si>
  <si>
    <t xml:space="preserve"> 1	unit 	Computer sets, Processor - Intel i7 8700, 8th Gen, Base Frequency - 3.2 GHz, Turbo Frequency - 4.6 GHz, Cache - 12 MB Cache, No. of Cores - 6 cores, Lithography - 14nm, Threads - 12 threads, Thermal Design  Power - 65W, Memory - 16GB DDR4, upgrada</t>
  </si>
  <si>
    <t xml:space="preserve"> Republic of the Philippines 		Department of Social Welfare and Development IBP Road, Constitution Hills, Quezon City Telephone Nos. (02) 931-8101 to 07 Local 122 or 124 Email: bacsec@dswd.gov.ph INVITATION TO BID FOR SUPPLY, DELIVERY AND INSTALLATION OF O</t>
  </si>
  <si>
    <t xml:space="preserve"> ITEM NO. DESCRIPTION Unit Qty. I Site Works sq.m. 224 II Structural Excavation Works cu.m. 163.20 III Concrete Works cu.m. 92.75 IV Plastering Works sq.m. 280 V Formworks sq.m. 1,183 VI Reinforcing Steel bars kgs. 22,244 VII Project Supervision days 90 VI</t>
  </si>
  <si>
    <t xml:space="preserve"> SUPPLY &amp; DELIVERY OF : Lot 1	25 Units 40 ̎ Smart TV, Full HD for Bongabong South District Lot 2 2 Units 32 ̎ Smart TV, Full HD for Bongabong South  District Lot 3	1 Unit 24 ̎ TV, LED and 2 Units 32 ̎ TV LED for Bongabong South District Lot 4	3 Units 45 ̎ </t>
  </si>
  <si>
    <t xml:space="preserve"> SUPPLY AND DELIVERY OF THE FOLLOWING: 1 UNIT MOTORBOAT SERVICE 60 FEET X 35 FEET 4D 56 MITSUBISHI ENGINE-DIESEL WITH COMPLETE ACCESSORIES</t>
  </si>
  <si>
    <t xml:space="preserve"> Republic of the Philippines Department of Health DAVAO REGIONAL MEDICAL CENTER Apokon, Tagum City BIDS AND AWARDS COMMITTEE Invitation to Bid for the SUPPLY &amp; DELIVERY OF ELECTRICAL SUPPLIES 1.	The Davao Regional Medical Center (DRMC), through the HOSPITA</t>
  </si>
  <si>
    <t xml:space="preserve"> Name of Contract: Construction of Flood Control, Barangay San Jose (Additional Allocation) IAC Classification: Small "B" for Flood Control PCAB Category "D" Duration: 120 Calendar Days Approved Budget for the Contract: Php 2,000,000.00 xxxxxxxxxx</t>
  </si>
  <si>
    <t xml:space="preserve"> INVITATION TO BID Bid No. B-118-2020 (*REBIDDING)  1.	The Provincial Government of Negros Oriental through Responsibility Center: 8751-01(20) / Account Code: 50213090, intends to apply the sum of Four Million Six Hundred Twenty-Three Thousand Six Hundred </t>
  </si>
  <si>
    <t xml:space="preserve"> Republic of the Philippines MUNICIPALITY OF ECHAGUE Province of Isabela INVITATION TO BID FOR  THE  SUPPLY AND  DELIVERY   OF MEDICINES  AND MEDICAL  SUPPLIES 1.	The Local Government Unit , through  the  GENERAL   FUND  Of  2020 ( LNB FUND)   intends to a</t>
  </si>
  <si>
    <t xml:space="preserve"> INVITATION TO BID FOR THE FOLLOWING:   SUPPLY, DELIVERY, INSTALLATION, AND COMMISSIONING OF ONE (1) UNIT 32 SLICE COMPUTED TOMOGRAPHY- SCAN MACHINE (CT-SCAN) (IB NO. 2020-GOODS-016-01-0805) 1.	The ILOCOS TRAINING AND REGIONAL MEDICAL CENTER (ITRMC), throu</t>
  </si>
  <si>
    <t xml:space="preserve"> MG-A5C20-011..BATTERY BANK, 125VDC INDUSTRIAL LEAD ACID BATTERIES, 60 UNITS ABC  : P 3,500,000.00 PLACE OF DELIVERY  : AGUS 5 HEP WAREHOUSE DITUCALAN, ILIGAN CITY AMOUNT OF BID DOCUMENTS : P 5,000.00</t>
  </si>
  <si>
    <t xml:space="preserve"> Republic of the Philippines Province of Palawan Municipality of Roxas   BIDS AND AWARDS COMMITTEE INVITATION TO BID  FOR THE CONSTRUCTION /REHABILITATION OF MULTI-PURPOSE HALL AT BARANGAY SANDOVAL, ROXAS, PALAWAN The Local Government Unit of Roxas, Palawa</t>
  </si>
  <si>
    <t xml:space="preserve"> Republic of the Philippines Province of Nueva Vizcaya BIDS AND AWARDS COMMITTEE (BAC-Goods) BAC OFFICE, Provincial Capitol, Bayombong, Nueva Vizcaya Tel. No. 078-392-2062 	 INVITATION TO BID FOR THE SUPPLY AND DELIVERY OF 6,000 PCS GRAFTED CACAO SEEDLINGS</t>
  </si>
  <si>
    <t xml:space="preserve"> BLGU-San Juan - Padre Burgos, Southern Leyte Invitation to Bid for Rehabilitation of Street Lighting  1.	The BLGU –San Juan, Padre Burgos, Southern Leyte, through the Barangay 20% EDF 2020  intends to apply the sum of One Hundred Ninety Four Thousand One </t>
  </si>
  <si>
    <t xml:space="preserve"> I N V I T A T I O N   T O   B I D 2020 - 146 August 5, 2020 1.	The Provincial Government of Tarlac through the Trust Fund (CMGP 2020) intends to apply the sum of Forty-One Million Four Hundred Five Thousand Six Hundred Twenty-Six Pesos Only (PhP 41,405,62</t>
  </si>
  <si>
    <t xml:space="preserve"> I N V I T A T I O N   T O   B I D 2020 - 145 August 5, 2020 1.	The Provincial Government of Tarlac through the Trust Fund (CMGP 2020) intends to apply the sum of Forty-Seven Million Three Hundred Forty-Seven Thousand Nine Hundred Two Pesos Only (PhP 47,34</t>
  </si>
  <si>
    <t xml:space="preserve"> INVITATION TO BID 1)	The DPWH- Davao City District Engineering Office through its Bids and Awards Committee (BAC), invites contractors to submit bids for the following contract; 1. Procurement ID /          Contract ID No.	:	20LB0296     Contract Name	:	R</t>
  </si>
  <si>
    <t xml:space="preserve"> BLGU-San Juan - Padre Burgos, Southern Leyte Invitation to Bid for Proposed Pathway to Basketball Court 1.	The BLGU –San Juan, Padre Burgos, Southern Leyte, through the Barangay 20% EDF,   intends to apply the sum of Ninety Three Thousand Pesos only (Php9</t>
  </si>
  <si>
    <t xml:space="preserve"> Invitation to Bid for Procurement of Two (2) units 6-Wheeler 4000L PTO Fire Truck 1. The Province of Misamis Occidental through the General Funds intends to apply the sum of Fifteen Million Four Hundred Fifty-six Thousand Pesos (Php. 15,456,000.00) being </t>
  </si>
  <si>
    <t xml:space="preserve"> 3	unit	Smart TV'55 		UHD 4K NU7300 n Series 7 		Real 4k Curved Inspired,slim Design 		HDR (High Dynamic Range) 		Elite 		Digital TV 		Motion Rate 120 		Sound Output 20W 		Wireless LAN Wifi 		Mounting Bracket 		HDMI Cord 		Remote Control</t>
  </si>
  <si>
    <t xml:space="preserve"> 5	unit 	Printer; Printer type: Print, Scan, Copy; Print speed: Photo default -  10 x 15 cm / 4 x 6":Approx. 69 sec per photo (Border) / 90 sec per photo (Borderless) Draft, A4 (Black/Colour): Up to 33 ppm / 15 ppm ISO 24734, A4 Simplex (Black / Colour): U</t>
  </si>
  <si>
    <t xml:space="preserve"> Republic of the Philippines MUNICIPALITY OF MULANAY Province of Quezon INVITATION TO BID FOR  Supply and Delivery of Various Office Supplies for the  Maintenance of LGU Different Offices for 2020 1.	The Local Government Unit of Mulanay, Quezon, through th</t>
  </si>
  <si>
    <t xml:space="preserve"> Republic of the Philippines Department of Health DAVAO REGIONAL MEDICAL CENTER Apokon, Tagum City BIDS AND AWARDS COMMITTEE Invitation to Bid for the SUPPLY &amp; DELIVERY OF LPG, 50 kgs 1.	The Davao Regional Medical Center (DRMC), through the HOSPITAL INCOME</t>
  </si>
  <si>
    <t xml:space="preserve"> INVITATION TO BID  Supply and Delivery of 80,260 bags Urea Fertilizer (Granular) for use under National Rice Program 2020 FLR 1.	The Department of Agriculture Regional Field Office No. 5, through the General Appropriations Act (GAA) for CY 2020--Rice  int</t>
  </si>
  <si>
    <t xml:space="preserve"> Invitation to Bid for Procurement of Various Medical Supplies for the use at MOPH Hematology/Microscopy, Blood Bank (2nd Quarter) 1. The Province of Misamis Occidental through the General Funds intends to apply the sum of One Million Four Hundred Thirty S</t>
  </si>
  <si>
    <t xml:space="preserve"> LOT 1		 4	copies	Mandarin 1 Revised Ed./ Morillo, 2019 4	copies	Fundamentals in Lodging Operations/ Maranan, 2019 4	copies	Cruise Tourism /Escabillas,2019 4	copies	Legal Aspects in Tourism &amp; Hospitality/Maranan, 2019 4	copies	A Macro Perspective on Touris</t>
  </si>
  <si>
    <t xml:space="preserve"> Republic of the Philippines Province of Palawan Municipality of Roxas   BIDS AND AWARDS COMMITTEE INVITATION TO BID  FOR THE IMPROVEMENT OF ROXAS LAND TRANSPORT TERMINAL The Local Government Unit of Roxas, Palawan, through the 2020 Annual Budget, intends </t>
  </si>
  <si>
    <t xml:space="preserve"> Section I. Invitation to Bid   Republic of the Philippines Department of Health Jose R. Reyes Memorial Medical Center M a n i l a INVITATION TO BID FOR  ONE (1) UNIT 2D ECHOCARDIOLOGY SYSTEM (2D ECHO)  ITB No. 2020-2D ECHO-108 1.	The Jose R. Reyes Memoria</t>
  </si>
  <si>
    <t xml:space="preserve"> Invitation to Bid for Procurement of Various Drugs and Medicines for MOPH Pharmacy (NBB Patient Use) 1. The Province of Misamis Occidental through the General Funds intends to apply the sum of Two Million Nine Hundred Thirty-six Thousand Nine Hundred Thir</t>
  </si>
  <si>
    <t xml:space="preserve"> INVITATION TO BID The Department of Public Works and Highways - Pampanga 1st District Engineering Office, through its Bids and Awards Committee (BAC), invites contractors to submit bids for the following Contract: 1.	 Procurement ID/Contract ID	:	20CG0259</t>
  </si>
  <si>
    <t xml:space="preserve"> 1	pcs	4	Sleeve Type Coupling 6” ø UPVC to UPVC	6,000.00	24,000.00 2	pcs	4	Sleeve Type Coupling 6” ø G.I to G.I	5,600.00	22,400.00 3	pcs	4	Sleeve Type Coupling 6” ø G.I to UPVC	3,650.00	14,600.00 4	pcs	4	Sleeve Type Coupling 4” ø UPVC to UPVC	5,550.00	22,2</t>
  </si>
  <si>
    <t xml:space="preserve"> INVITATION TO BID FOR THE SUPPLY AND DELIVERY OF BRASS WATER METER (RE-BIDDING) 1. The Metropolitan Tuguegarao Water District through the Corporate Budget for the Year 20201 intends to apply the sum of Eight Million Six Hundred Seventy Four Thousand Pesos</t>
  </si>
  <si>
    <t xml:space="preserve"> Invitation to Bid for Procurement of 5 units Infusion Pump and etc. for MOPH 1. The Province of Misamis Occidental through the General Funds intends to apply the sum of One Million One Hundred Eighty-Five Thousand Pesos (P 1,185,000.00) being the Approved</t>
  </si>
  <si>
    <t xml:space="preserve"> I N V I T A T I O N   T O   B I D 2020 - 147 August 5, 2020 1.	The Provincial Government of Tarlac through the Trust Fund (CMGP 2020) intends to apply the sum of Fourteen Million Six Hundred Eighty-Nine Thousand One Hundred Seventy-Six Pesos Only (PhP 14,</t>
  </si>
  <si>
    <t xml:space="preserve"> Development and Deployment of the Philippines Anti-Illegal Drugs Strategy – Agency Reporting and Monitoring System (PADS-ARMS) Please see attached Terms of Reference (TOR).</t>
  </si>
  <si>
    <t xml:space="preserve"> PGSO-2020-0194 PR2020-0561 INVITATION TO BID FOR THE PROCUREMENT OF CANOPY FOR TENT AND TENTS WITH CANOPY FOR USE AT PGBH ACTIVITIES AT NEW CAPITOL BUILDING AND OTHER FACILITIES ABC: P 1,002,000.00 COST OF BID DOCUMENTS: P 5,000.00 ADVERTISEMENT PERIOD: A</t>
  </si>
  <si>
    <t xml:space="preserve"> PEO-2020-0195 PR2020-0562 INVITATION TO BID FOR THE PROCUREMENT OF ANAPOG FOR REGRAVELLING OF BAGACAY TO ABACHANAN BARANGAY ROAD, SIERRA BULLONES, BOHOL ABC: P 1,153,565.00 COST OF BID DOCUMENTS: P 5,000.00 ADVERTISEMENT PERIOD: AUGUST 5 - 26, 2020 PRE-BI</t>
  </si>
  <si>
    <t xml:space="preserve"> Department of Public Works and Highways Contract ID	:	20MH0112 Contract Name	:	Concreting of Brgy. Kiadzam to Sitio Dongdong, Brgy. Kiadzam FMR Contract Location	:	Brgy. Kiadzam, Sen. Ninoy Aquino, Sultan Kudarat Department of Public Works and Highways Su</t>
  </si>
  <si>
    <t xml:space="preserve"> INVITATION TO BID FOR THE SUPPLY, DELIVERY, INSTALLATION, PROGRAMMING, TESTING AND COMMISSIONING OF EQUIPMENT AND APPURTENANCES FOR THE UPGRADING OF INLINE BOOSTER FOR LARION BAJO PUMPING STATION (RE-BIDDING) 1. The Metropolitan Tuguegarao Water District </t>
  </si>
  <si>
    <t xml:space="preserve"> PEO-2020-0197 PR2020-0575 INVITATION TO BID FOR THE PROCUREMENT OF LABOR, MATERIALS, AND EQUIPMENT FOR THE CONSTRUCTION OF 2-CLASSROOM SCHOOL BUILDING WITH PWD TOILETS AT MAHANAY HIGH SCHOOL AT MAHANAY, TALIBON, BOHOL ABC: P 3,077,874.05 COST OF BID DOCUM</t>
  </si>
  <si>
    <t xml:space="preserve"> SCO[E OF WORKS: A.1.1(3)	Construction of Field Office for the Engineer	1.00	l.s A.1.2(2)	Provision of 4X4 Pick Up Type Service Vehicle for the Engineer on Bare Rental Basis	6.70	mo. Part B	Other General Requirements		 B.4(1)	Construction Survey and Stakin</t>
  </si>
  <si>
    <t xml:space="preserve"> JOB ORDER: Furnishing of labor, materials and equipment rental for the Proposed Construction/Rehabilitation/Improvement of Various Government Building Structures and Facilities under Infra-001-2020 *** please see attached Instruction to Bidders</t>
  </si>
  <si>
    <t xml:space="preserve"> 5 AUGUST 2020 INVITATION TO BID FOR THE SUPPLY AND DELIVERY OF OFFICE AND JANITORIAL SUPPLIES  AND DEVICES  FOR VARIOUS OFFICES OF THE CITY GOVERNMENT 	 	 1.	The City of Caloocan, through the General Fund of the 2020 Annual City Budget approved under Sang</t>
  </si>
  <si>
    <t xml:space="preserve"> For the use of Cebu City Medical Center for patients.</t>
  </si>
  <si>
    <t xml:space="preserve"> 5 AUGUST 2020 INVITATION TO BID FOR THE SUPPLY AND DELIVERY OF DRUGS AND MEDICINES FOR VARIOUS  HEALTH CENTERS AT SOUTH CALOOCAN CITY 	 	 1.	The City of Caloocan, through the General Fund of the 2020 Annual City Budget approved under Sangguniang Panlungso</t>
  </si>
  <si>
    <t xml:space="preserve"> Republic of the Philippines DEPARTMENT OF AGRICULTURE Regional Field Office IX, Zamboanga Peninsula INVITATION TO BID FOR SUPPLY AND DELIVERY OF HYBRID RICE SEEDS 1.	The Department of Agriculture Regional Field Office IX, through the GAA 2020- (National R</t>
  </si>
  <si>
    <t xml:space="preserve"> Painting of Thermoplastic Pavement Markings (Sta. Limits K1607+050.00 to K1612+400.00 K1620+000.00 to K1621+000.00) (Net Length 6.350 kms. 12.70 kms.)</t>
  </si>
  <si>
    <t xml:space="preserve"> For printing Real Property Tax declaration, printing of a certified true copy of tax dec and for safekeeping of taxdec &amp; TMCR.</t>
  </si>
  <si>
    <t xml:space="preserve"> Laboratory Supply Expense-Biological, OB kits and etc.,</t>
  </si>
  <si>
    <t xml:space="preserve"> I N V I T A T I O N   T O   B I D 2020 - 148 August 5, 2020 1.	The Provincial Government of Tarlac through the PGO - Other Land Improvements intends to apply the sum of Two Million Four Hundred Fifty Thousand Nine Hundred Eighty-Seven Pesos and 95/100 (Ph</t>
  </si>
  <si>
    <t xml:space="preserve"> BILL OF QUANTITIES: Item #	Qty	   Unit	                   Item Description	  Unit Cost	Total Cost 0001		147	Sq.m	Super Tree		 0002		168	Sq.m	Public Space Outdoor Stage		 			x-x-x-x Nothing Follows x-x-x-x		 BIDS AND AWARDS COMMITTEE: ROY D. CARALDE       </t>
  </si>
  <si>
    <t xml:space="preserve"> 5 AUGUST 2020 INVITATION TO BID FOR THE SUPPLY AND DELIVERY OF DRUGS AND MEDICINES FOR VARIOUS HEALTH CENTERS AT NORTH CALOOCAN CITY 	 	 1.	The City of Caloocan, through the General Fund of the 2020 Annual City Budget approved under Sangguniang Panlungsod</t>
  </si>
  <si>
    <t xml:space="preserve"> Construction/Concreting</t>
  </si>
  <si>
    <t xml:space="preserve"> Painting of Thermoplastic Pavement Markings (Sta. Limits = K1633+449 to K1635+000) (Net Length = 1.5510 kms;  3.10 Lane-Kms)</t>
  </si>
  <si>
    <t xml:space="preserve"> BILL OF QUANTITIES: Item #	Qty	   Unit	                   Item Description	  Unit Cost	Total Cost 0001		1.00	ls	Sanitary Landfill		 0002		1.00	ls	Mobile &amp; Central MRF		 0003		321.47	Cu.m	Concrete Works		 0004		543.96	Sq.m	Masonry Works		 0005		892.17	Sq.m</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</si>
  <si>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</si>
  <si>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REBID The Iligan City Government Bids and Awards Committee (BAC), through TRUST FUND intends to apply the sum of P 1,481,955.00 being the Approved Budget for the Contract (ABC) to payments under the Contract for Procurement of Rental of Heav</t>
  </si>
  <si>
    <t xml:space="preserve"> SCOPE OF WORKS: A.1.1(3)	Construction of Field Office for the Engineer	1.00	l.s A.1.2(2)	Provision of 4X4 Pick Up Type Service Vehicle for the Engineer on Bare Rental Basis	6.27	mo.	 B.4(1)	Construction Survey and Staking	2.81	km. B.5	        Project Bill</t>
  </si>
  <si>
    <t xml:space="preserve"> The Roxas City Government, through the GOP-2020 intends to apply the total amount of One Hundred Fifty Thousand Pesos (P 150,000.00) being the Approved Budget for the Contract (ABC) to payments under the contract for Public Bidding for the Supply and Deli</t>
  </si>
  <si>
    <t xml:space="preserve"> Republic of the Philippines DEPARTMENT OF HEALTH Center for Health Development 3 JOSE B. LINGAD MEMORIAL GENERAL HOSPITAL BIDS AND AWARDS COMMITTEE City of San Fernando, Pampanga Telephone No. (045) 409-6688 loc 127 INVITATION TO BID   Procurement of Vari</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</si>
  <si>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</si>
  <si>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INVITATION TO BID Procurement of Calibration Equipment in Batangas State University, Pablo Borbon Main II The Batangas State University, through the Supplemental 2020 intends to apply the sum of Ten Million Pesos only (Php 10,000,000.00) being the Approve</t>
  </si>
  <si>
    <t xml:space="preserve"> Republic of the Philippines DEPARTMENT OF HEALTH Center for Health Development 3 JOSE B. LINGAD MEMORIAL GENERAL HOSPITAL BIDS AND AWARDS COMMITTEE City of San Fernando, Pampanga Telephone No. (045) 4096688 loc. 127 INVITATION TO BID FOR  Procurement of V</t>
  </si>
  <si>
    <t xml:space="preserve"> Installation</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</si>
  <si>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</si>
  <si>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B.7 Other General Requirements B. 5 Project Billboard/Sign Board B. 9 Mobilization/Demobilization Item 900 (1) c1 Structural Concrete (Shear Wall-4th Floor) Item 900 (1) c4 Structural Concrete (Column-4th Floor) Item 900 (1) c6 Structural Concrete (Roof B</t>
  </si>
  <si>
    <t xml:space="preserve"> B. 7 OCCUPATIONAL SAFETY AND HEALTH PROGRAMB. 5 PROJECT BILLBOARD / SIGNBOARD B. 9 MOBILIZATION/DEMOBILIZATION  Item 803 (1)a STRUCTURE EXCAVATION (POWER HOUSE) Item 804 (1)a EMBANKMENT FROM STRUCTURE EXCAVATION (POWER HOUSE) Item 900 (1) c2 STRUCTURAL CO</t>
  </si>
  <si>
    <t xml:space="preserve"> Upgrading of TSU Advanced Technology Training Laboratory Invitation to Bid No. 2020-013 1.	The Tarlac State University, through the Trust Fund (TF) intends to apply the sum of Five Million Pesos (P 5,000,000.00) being the Approved Budget for the Contract </t>
  </si>
  <si>
    <t xml:space="preserve"> INVITATION TO BID Procurement of Three (3) Units Passenger Van and One (1)	Unit Multi-Purpose Vehicle in Batangas State University, Pablo Borbon Main I The Batangas State University, through the Supplemental 2019 intends to apply the sum of Six Million Fi</t>
  </si>
  <si>
    <t xml:space="preserve"> INVITATION TO BID  MODERNIZATION OF LABORATORY EQUIPMENT FOR BACHELOR OF SCIENCE IN ELECTRICAL ENGINEERING  Invitation to Bid No. 2020-012 1.	The Tarlac State University, through the Trust Fund (TF) intends to apply the sum of One Million Eight Hundred Th</t>
  </si>
  <si>
    <t xml:space="preserve"> 1. The ENERGY REGULATORY COMMISSION (ERC), through the Government of the Philippines (GOP), intends to apply the sum of Seven Million Three Hundred Eighteen Thousand Five Hundred Pesos (PhP7,318,500.00), inclusive of all government taxes, and other fees a</t>
  </si>
  <si>
    <t xml:space="preserve"> INVITATION TO BID (for the Procurement of Goods)           1.	The City Government of Puerto Princesa (CGPP), through its Supplemental Budget No. 2-2019  intends to apply the sum, corresponds as the Approved Budget for the Contract (ABC) for each of the fo</t>
  </si>
  <si>
    <t xml:space="preserve"> INVITATION TO BID (for the Procurement of Goods)           1.	The City Government of Puerto Princesa (CGPP), through its Supplemental Budget No. 2-2019 and  General Appropriations Ordinance No. 1-2019 (General Fund FY 2020) intends to apply the sum, corre</t>
  </si>
  <si>
    <t xml:space="preserve"> Republic of the Philippines DEPARTMENT OF HEALTH Center for Health Development 3 JOSE B. LINGAD MEMORIAL GENERAL HOSPITAL BIDS AND AWARDS COMMITTEE City of San Fernando, Pampanga Telephone No. (045) 409-6688 loc 127 INVITATION TO BID   Rebidding of Variou</t>
  </si>
  <si>
    <t xml:space="preserve"> INVITATION TO BID  FOR PROCUREMENT OF CONSTRUCTION MATERIALS FOR  CONSTRUCTION OF POTABLE WATER SYSTEM @ LAYA 1.	The Local Government of Alfonso Lista Ifugao through the 20% Development Fund FY 2020 intends to apply the sum of One Million One Hundred Eigh</t>
  </si>
  <si>
    <t xml:space="preserve"> MICA</t>
  </si>
  <si>
    <t xml:space="preserve"> INVERTER TYPE</t>
  </si>
  <si>
    <t xml:space="preserve"> supply and delivery of the following: Lot 1 - Gasoline, Oil and Lubricants Expenses			-	1,934,460.00 5,575 Ltrs - Gasoline (Tricycle Drivers)				 16, 666 Ltrs - Gasoline (Fisherfolks) 				 12, 000 Ltrs - Diesel				 				 Lot 2 - Agricultural Supplies Expen</t>
  </si>
  <si>
    <t xml:space="preserve"> Eigth (8) units 260 watts semi-integrated solar streetlights with 2" dia g.i. post with concrete footing and foundation</t>
  </si>
  <si>
    <t xml:space="preserve"> 2020 20TH PUBLIC BIDDING: PROCUREMENT OF OFFICE SUPPLIES, SEMI-EXPENDABLES AND IT SUPPLIES FOR 2020 2ND SEMESTER CONSUMPTION</t>
  </si>
  <si>
    <t xml:space="preserve"> 1. The LGU-Bauko through its Annual Budget CY 2020  intends to apply the sum of One Million Two Hundred Seven Thousand Six Hundred Ten Pesos &amp; 22/100  (P 1,207,610.22) being the Approved Budget for the Contract (ABC) to payment for the contract P – 2020 –</t>
  </si>
  <si>
    <t xml:space="preserve"> 1. The LGU-Bauko through its Annual Budget CY 2020 intends to apply the sum of One Million One Hundred Seventy Thousand Two Hundred Sixty-Two Pesos &amp; 45/100 (P 1,170,262.45) being the Approved Budget for the Contract (ABC) to payment for the contract P – </t>
  </si>
  <si>
    <t xml:space="preserve"> ASSORTED SIZES</t>
  </si>
  <si>
    <t xml:space="preserve"> INVITATION TO BID FOR THE PROCUREMENT OF PERISHABLE ITEMS FOR BANGUN IMPLEMENTATION IN TAWI-TAWI PROVINCE The Department of Social Welfare and Development (DSWD) Field Office IX through the Government of the Philippines General Appropriations Act of 2020 </t>
  </si>
  <si>
    <t xml:space="preserve"> Work to be done: 1. Mobilization / Demobilization 2. Excavation ( Septic Tank &amp; Riprap) 3. Installation of Pipings 4. Installation of floor Tiles 5.  Installation of Elect. wiring and Lighting Fixtures 6. Septic tank 7. Riprap work 8. Installation of tran</t>
  </si>
  <si>
    <t xml:space="preserve"> INVITATION TO BID FOR THE PROCUREMENT OF PERISHABLE ITEMS FOR BANGUN IMPLEMENTATION IN BASILAN PROVINCE The Department of Social Welfare and Development (DSWD) Field Office IX through the Government of the Philippines General Appropriations Act of 2020 in</t>
  </si>
  <si>
    <t xml:space="preserve"> Republic of the Philippines CITY OF BAIS BIDS AND AWARDS COMMITTEE INVITATION TO APPLY FOR ELIGIBILITY AND TO BID 	The City Government of Bais invites interested bidders to apply for eligibility and to bid for Installation of Street lighting System along </t>
  </si>
  <si>
    <t xml:space="preserve"> 1 pc Printing Machine (Risograph) Direct Printing from a USB flash Drive Direct from PC Print Print Speed 60 to 130 paper per minute (5 steps variable) Original Type Book ,Sheet Master Supply-250 sheets per roll Print Resolution-300x600dpi Printing Area m</t>
  </si>
  <si>
    <t xml:space="preserve"> INVITATION TO BID FOR THE SUPPLY AND DELIVERY OF BRASS WATER METERS 1. The Sagay Water District, through the 2020 Corporate Budget by the SWD Board intends to apply the sum of Two Million Pesos (₱ 2,000,000.00) being the Approved Budget for the Contract (</t>
  </si>
  <si>
    <t xml:space="preserve"> 1. The BLGUs of Bagnen Oriente, Bagnen Proper and Balintaugan through the Bids and Awards Committee (BAC) of LGU-Bauko as their procuring agent, intends to apply the sum of One Million Seven Hundred Thirty Eight Thousand One Hundred Ninety Six Pesos &amp; 32/</t>
  </si>
  <si>
    <t xml:space="preserve"> Description: 2.80G 4x4 m/t white Pick-up diesel engine with accessories DIMENSION AND WEIGHT: Overall Dimension 5,335x1,855x1,855 Wheel base (mm) 3,085 Seating Capacity 5 Engine Displacement 2,755 Maximum Output (ps/rpm) 174/3,400 Maximum Torque / Nm/Rpm </t>
  </si>
  <si>
    <t xml:space="preserve"> Part A	Facilities for the Engineer		 A.1	        Provision of combined field office, labo-	months	5 	        ratory &amp; living quarters building for the		 	        engineer (Rental basis)		 Part B	Other General Requirements		 B.1	        Medical Room &amp; Firs</t>
  </si>
  <si>
    <t xml:space="preserve"> 250V</t>
  </si>
  <si>
    <t xml:space="preserve"> Project: CONCRETING OF BARANGAY ROAD Location: Sitio Duhat, San Gabriel, Laurel, Batangas ABC: PHP1,499,958.05 Advertisement	August 4-11, 2020	 Pre-bid Conference	August 14, 2020-2:00 PM at 2F R204 Municipal Hall of Laurel, Batangas-Pob. 2, Laurel, Batang</t>
  </si>
  <si>
    <t xml:space="preserve"> IMPROVEMENT OF SCHOOL STAGE @ ALALUM NATIONAL HIGH SCHOOL, SAN PASCUAL, BATANGAS</t>
  </si>
  <si>
    <t xml:space="preserve"> UNIT.      2    DX2430 COPY PRINTER DIGITAL DUPLICATING MACHINE		                      W/ STEEL MACHINE CABINET OR STAND SPECIFICATION:                      DRUM TYPE : DETACHABLE DRUM                      PRINTING SPEED : 90 PRINTS PER MINUTE (PPM)      </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</si>
  <si>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</si>
  <si>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Invitation to Bid for the Rehabilitationof Evacuation Center, Barangay VII, Mercedes, Camarines Norte 1.	TheProvincial Government of Camarines Norte, through the LDRRMF-Special Trust FundCY 2020intends to apply the sum of OneMillionTwo Hundred Ninety-Seve</t>
  </si>
  <si>
    <t xml:space="preserve"> ASSTD</t>
  </si>
  <si>
    <t xml:space="preserve"> August 3, 2020 INVITATION TO BID  Reference No. 7150103 /Solicitation No.20-29 The City Government of Tagum invites interested Bidders/Suppliers to bid for the following: Name of Contract         :  37 UNITS SHOTGUN FOR THE USE OF CGSO - SAFETY AND SECURI</t>
  </si>
  <si>
    <t xml:space="preserve"> Republic of the Philippines Province of Leyte Municipality of Palompon oOo BIDS &amp; AWARD COMMITTEE INVITATION TO BID FOR  PROCUREMENT OF EQUIPMENT FOR GLASS BOTTOM KAYAK’S &amp; EQUIPMENT FOR RENTALS Project Identification No. 2020-2508-017 The Municipality of</t>
  </si>
  <si>
    <t xml:space="preserve"> INVITATION TO BID ITB  No. 105-Brgy - 2020 The City Government of Surigao, through its Bids and Awards Committee (BAC), invites suppliers to bid for the following: Name of Contract	:  Purchase &amp; Delivery of Common Borrow for                               </t>
  </si>
  <si>
    <t xml:space="preserve"> Invitation to Bid for the Construction of Evacuation Center, Daguit High School, Brgy. Daguit, Labo, Camarines Norte 1.	TheProvincial Government of Camarines Norte, through the LDRRMF-Special Trust FundCY 2020intends to apply the sum of One MillionNine Hu</t>
  </si>
  <si>
    <t xml:space="preserve"> Medical Equipment</t>
  </si>
  <si>
    <t xml:space="preserve"> Invitation to Bid for the Construction of Evacuation Center, Brgy. Catioan, Capalonga, Camarines Norte 1.	TheProvincial Government of Camarines Norte, through the LDRRMF-Special Trust FundCY 2020intends to apply the sum of FourMillionFour Hundred Ninety-E</t>
  </si>
  <si>
    <t xml:space="preserve"> Republic of the Philippines Province of Agusan del Norte Municipality of Remedios T. Romualdez Invitation to Bid SUPPLY, DELIVERY AND INSTALLATION OF THREE (3) UNITS 50KVA TRANSFORMER AND ACCESSORIES OF MUNICIPAL HALL BUILDING 1. The Municipality of Remed</t>
  </si>
  <si>
    <t xml:space="preserve"> Republic of the Philippines  Province of Samar  Municipality of Villareal      INVITATION TO BID    CONSTRUCTION OF LOCAL ACESS ROAD AT BRGY LAM-AWAN TO POLANGI, VILLAREAL, SAMAR    	 	 	 	 	 	 	 	 	    	 August 4, 2020   	 	 	 	 	 	 	 	 	                </t>
  </si>
  <si>
    <t xml:space="preserve"> REGION XII Province of Cotabato Municipality of Midsayap BIDS &amp; AWARDS COMMITTEE Tel. Nos. (064) 229-8018; 229-8650; 229-8450 INVITATION TO BID FOR  2020-074, SUPPLY AND DELIVERY OF 2 UNITS MINI DUMPTRUCK (SURPLUS) AT LGU MIDSAYAP, COTABATO 1. The MUNICIP</t>
  </si>
  <si>
    <t xml:space="preserve"> Republic of the Philippines BOHOL ISLAND STATE UNIVERSITY Main Campus, Tagbilaran City INVITATION TO BID FOR RE-BIDDING: SUPPLY AND DELIVERY OF HOTEL PROPERTY MANAGEMENT SYSTEM (PMS) SOFTWARE (PR NO. 2020-03-0474) 1.	The Bohol Island State University – Ma</t>
  </si>
  <si>
    <t xml:space="preserve"> Clearing and Grubbing	 100.00 	 sq.m.  Structure Excavation	 51.80 	 cu.m.  Embankment	 40.26 	 cu.m.  Forms and Falseworks	 120.20 	 sq.m.  Structural Concrete	 20.47 	 cu.m.  Reinforcing Steel	 2,715.44 	 kgs  Masonry Works	 172.73 	 sq.m.  Cement Plast</t>
  </si>
  <si>
    <t xml:space="preserve"> INVITATION TO BID (CW-08-2020-022) The Department of Public Works and Highways (DPWH)-Batangas IV District Engineering Office, Marawoy, Lipa City, Batangas, through its Bids and Awards Committee (BAC), invites contractors to bid for the contract listed be</t>
  </si>
  <si>
    <t xml:space="preserve"> Machinery and Equipment</t>
  </si>
  <si>
    <t xml:space="preserve"> Republic of the Philippines BOHOL ISLAND STATE UNIVERSITY Main Campus, Tagbilaran City INVITATION TO BID FOR RE-BIDDING: SUPPLY AND DELIVERY OF PLAQUE FOR THE PRAISE AWARDING 2020 (PR NO. 2020-06-0584) 1.	The Bohol Island State University – Main Campus, T</t>
  </si>
  <si>
    <t xml:space="preserve"> INVITATION TO BID LGU-El Salvador City, Misamis Oriental through its BAC, invites interested bidders to apply for eligibility and if found eligible to bid for the contract: 1.	Contract ID No.	:	ITB No. 2020-08-075/Project ID No. 20-027-SB#1-ENGG Name of P</t>
  </si>
  <si>
    <t xml:space="preserve"> Republic of the Philippines BOHOL ISLAND STATE UNIVERSITY Main Campus, Tagbilaran City INVITATION TO BID FOR SUPPLY AND DELIVERY OF DESKTOP COMPUTERS (PR NO. 2020-01-0054, 2020-02-0308, 2020-02-0204, 2020-06-0563) 1.	The Bohol Island State University – Ma</t>
  </si>
  <si>
    <t xml:space="preserve"> for replacement of old tires of various service vehicle</t>
  </si>
  <si>
    <t xml:space="preserve"> Republic of the Philippines BOHOL ISLAND STATE UNIVERSITY Main Campus, Tagbilaran City INVITATION TO BID FOR SUPPLY AND DELIVERY OF LAPTOPS (PR NO. 2020-02-0226, 2020-02-0210, 2020-02-0280) 1.	The Bohol Island State University – Main Campus, Tagbilaran Ci</t>
  </si>
  <si>
    <t xml:space="preserve"> Republic of the Philippines BOHOL ISLAND STATE UNIVERSITY Main Campus, Tagbilaran City INVITATION TO BID FOR SUPPLY AND DELIVERY OF PRINTERS AND SCANNER (PR NO. 2020-06-0593, 2020-05-0507, 2020-02-0243, 2020-02-0308, 2020-02-0210, 2020-03-0462, 2020-02-03</t>
  </si>
  <si>
    <t xml:space="preserve"> Generator set, diesel, brand new equipped with sound attenuated enclosure and automatic transfer switch (ATS) with over voltage and under voltage (OVUV) protection Specifications: &gt; Engine: 	 	  Engine Data Sheet: Diesel Engine, 4 steps air to air cooling</t>
  </si>
  <si>
    <t xml:space="preserve"> INVITATION TO BID FOR Procurement of Equipment and CCTV Set for New I.T. Building           The CAMARINES SUR POLYTECHNIC COLLEGES, through the GAA (2020) intends to apply the sum of Two Million One Hundred Twenty Five Thousand One Hundred Seventy Pesos (</t>
  </si>
  <si>
    <t xml:space="preserve"> 1.	The Municipality of Ubay, through the its bids and Awards Committee (BAC), Invites contractors to submit bids for the following contract: Contract Name: CONSTRUCTION OF BOUNDARY MARKER (LED DISPLAY) Contract Location: Ilihan, Ubay, Bohol (Ubay-Alicia B</t>
  </si>
  <si>
    <t xml:space="preserve"> Republic of the Philippines BOHOL ISLAND STATE UNIVERSITY Main Campus, Tagbilaran City INVITATION TO BID FOR RE-BIDDING: SUPPLY AND DELIVERY OF ARM CHAIRS AND SALA SETS (PR NO. 2020-02-0376, 2020-02-0240, 2020-02-0371) 1.	The Bohol Island State University</t>
  </si>
  <si>
    <t xml:space="preserve"> CONSTRUCTION OF 70M FOOTBRIDGE WITH 35M X 2.50M APPROACH-BOTH ENDS &amp; 50M SLOPE PROTECTION-BOTH SIDES</t>
  </si>
  <si>
    <t xml:space="preserve"> Construction of 3,500 square meter public parks and plaza.</t>
  </si>
  <si>
    <t xml:space="preserve"> 1. The Local Government Unit of Baleno, Masbate, through the 2019 LGSFSALINTUBIG intends to apply the sum of Fourteen Million Nine Hundred Forty-three Thousand One Hundred Twenty-seven Pesos &amp; 68/100 (P14,943,127.68) being the Approved Budget for the Cont</t>
  </si>
  <si>
    <t xml:space="preserve"> Proposed Construction of Police Headquarters, Mapsa Headquarters &amp; Cental Fire Station, located at Malugay Street, Brgy. San Antonio, Makati City - Order of payment for Bid Docs will be available at GSD-Head Office @ 10th Floor Makati City Hall Bldg. 2.  </t>
  </si>
  <si>
    <t xml:space="preserve"> Form No. 	IFD-SP-PROC002-001 			BOHOL ISLAND STATE UNIVERSITY	Revision: 	00 			Main Campus	Effectivity Date:	June 17, 2019 			  C.P.G. North Avenue, Tagbilaran City, Bohol	Related Process:	BISU-SP-PROC-002 				REQUEST FOR QUOTATION	 					 The Bohol Island</t>
  </si>
  <si>
    <t xml:space="preserve"> CLARK DEVELOPMENT CORPORATION CLARK FREEPORT ZONE INVITATION TO BID The Clark Development Corporation, through its Bids and Awards Committee (BAC), invites Audio-Visual Equipment Suppliers to bid for the hereunder project: Name of Project:Supply and Insta</t>
  </si>
  <si>
    <t xml:space="preserve"> Department of Public Works and Highways (DPWH) Contract ID: 20G00114 Contract Name: Construction of River bank protection works along Kalibo River, Kalibo Bridge III, Tigayon, Kalibo Section, Aklan Location of the Contract: Tigayon, Kalibo, Aklan --------</t>
  </si>
  <si>
    <t xml:space="preserve"> Proposed Improvement of STP at Makati Homes-I located at H. Santos Street, Barangay Tejeros, Makati City - Order of payment for Bid Docs will be available at GSD-Head Office @ 10th Floor Makati City Hall Bldg. 2.  Look for Mr. Reden Villanueva. - A  compl</t>
  </si>
  <si>
    <t xml:space="preserve"> Name of the Procuring Entity: TONDO MEDICAL CENTER Name of the Project:  Procurement of Platform Truck and Electric Shower Heater      			                                          Location of the Project: Tondo Medical Center Balut, Tondo Manila          </t>
  </si>
  <si>
    <t xml:space="preserve"> Department of Public Works and Highways (DPWH) Contract ID: 20G00115 Contract Name: Construction of River Bank Protection Works along Kalibo River, Kalibo Bridge III, Mina, Lezo Section, Aklan Location of the Contract: Lezo, Aklan ------------------------</t>
  </si>
  <si>
    <t xml:space="preserve"> Construction of Ramp and Other PWD Requirements (Various Public Schools and Public Buildings), located at Makati City - Order of payment for Bid Docs will be available at GSD-Head Office @ 10th Floor Makati City Hall Bldg. 2.  Look for Mr. Reden Villanuev</t>
  </si>
  <si>
    <t xml:space="preserve"> Rehabilitation, Repair, Renovation and Repainting of Cembo Talipapa located at Narra St. Brgy. Cembo, Makati City - Order of payment for Bid Docs will be available at GSD-Head Office @ 10th Floor Makati City Hall Bldg. 2.  Look for Mr. Reden Villanueva. -</t>
  </si>
  <si>
    <t xml:space="preserve"> Form No. 	IFD-SP-PROC002-001			 			BOHOL ISLAND STATE UNIVERSITY	Revision: 	00			 			Main Campus	Effectivity Date:	June 17, 2019			 			  C.P.G. North Avenue, Tagbilaran City, Bohol	Related Process:	BISU-SP-PROC-002			 				REQUEST FOR QUOTATION				 							</t>
  </si>
  <si>
    <t xml:space="preserve"> Construction of Comfort Room, Riprapping and Construction of Perimeter Fence at Public Market New Public Market, Capalonga,  Camarines Norte</t>
  </si>
  <si>
    <t xml:space="preserve"> LGU - Padre Burgos, Southern Leyte Invitation to Bid for Continuation of MDRRM Bldg. Brgy. Poblacion, Padre Burgos, Southern Leyte 1.	The LGU – Padre Burgos, Southern Leyte, through the  5% CALAMITY FUND 2020   intends to apply the sum of Two Million One </t>
  </si>
  <si>
    <t xml:space="preserve"> Republic of the Philippines Province of Davao Oriental CITY OF MATI INVITATION TO BID PROCUREMENT OF SEEDLINGS (Forest Greening and Reforestation) Name of Project 1.	The City Government of Mati, through the 20% Local Development Fund intends to apply the </t>
  </si>
  <si>
    <t xml:space="preserve"> Proposed Rehabilitation and Upgrading of Existing Streetlighting along H. Santos Street located at Barangay Tejeros, Makati City - Order of payment for Bid Docs will be available at GSD-Head Office @ 10th Floor Makati City Hall Bldg. 2.  Look for Mr. Rede</t>
  </si>
  <si>
    <t xml:space="preserve"> 1  UNI General Examination Chair  -In accordance with the Technical Specifications  ABC: Php 14,850.00 -In accordance with the Technical Specifications  NOTE: Please sign all pages of the Technical Specifications and submit it together with your quotation</t>
  </si>
  <si>
    <t xml:space="preserve"> INVITATION TO BID Bid No. B-115-2020  1.	The Provincial Government of Negros Oriental through Responsibility Center: 4919-01(19) / Account Code: 1070-6010, intends to apply the sum of Four Million Five Hundred Thousand Pesos (Php 4,500,000.00) to payment </t>
  </si>
  <si>
    <t xml:space="preserve"> Section I. Invitation to Bid Notes on the Invitation to Bid The Invitation to Bid provides information that enables potential Bidders to decide whether to participate in the procurement at hand.  The Invitation to Bid shall be: (a)	Posted continuously in </t>
  </si>
  <si>
    <t xml:space="preserve"> INVITATION TO BID  Purchase &amp; Delivery of Various Medical Supplies  for PVET (Re-bid) August 4, 2020 1.	The Provincial Government of Sarangani, through the Trust Fund  Unexpended LDRRMF 2019 intends to apply the sum of One Million One Hundred Seventy Nine</t>
  </si>
  <si>
    <t xml:space="preserve"> &lt; Name and Location of Contracts&gt;						Bill of Quantities	 Item No.		Description		Unit	Quantity	Unit Price	Amount in 1	SITE WORKS						 2	EXTERIOR FENCE						 3	INTERIOR FENCE						 4	PAINTING WORKS						 5	FORMWORKS &amp; SCAFFOLDINGS						 6	MISCELLANEOUS W</t>
  </si>
  <si>
    <t xml:space="preserve"> LGU - Padre Burgos, Southern Leyte INVITATION TO BID FOR  Procurement of Various Drugs and Medicines  (3RD Quarter 2020) Padre Burgos, Southern Leyte 1.	The LGU Padre Burgos, Southern Leyte through the General Fund, CY 2020  intends to apply the sum of On</t>
  </si>
  <si>
    <t xml:space="preserve"> Republika ng Pilipinas PAMAHALAANG LUNGSOD NG TACLOBAN (City Government of Tacloban) Kanhuraw Hill, Tacloban City 6500 BIDS AND AWARDS COMMITTEE INVITATION TO BID  REF #050-08-2020 (AUGUST 04, 2020) PR# 2020-901 DATED 07-24-2020 7150902 The Procuring Enti</t>
  </si>
  <si>
    <t xml:space="preserve"> LGU - Padre Burgos, Southern Leyte INVITATION TO BID FOR  Procurement of Multi-Functional Ambulance (Ambulance, Rescue, Transport and Towing Vehicle) with complete Ambulance equipment, medicines and supplies Padre Burgos, Southern Leyte 1.	The LGU Padre B</t>
  </si>
  <si>
    <t xml:space="preserve"> Proposed Perimeter Fence along Residential Area at Makati Homes-I, located at H. Santos Street, Brgy. Tejeros, Makati City - Order of payment for Bid Docs will be available at GSD-Head Office @ 10th Floor Makati City Hall Bldg. 2.  Look for Mr. Reden Vill</t>
  </si>
  <si>
    <t xml:space="preserve"> Oxygen Refill for Human Consumption  2 PC Oxygen Refill, 10lbs. (for human consumption)  6 PC Oxygen Refill, 2lbs. (for human consumption)  1 PC Oxygen refill 50 lbs  -In accordance with the Technical Specifications   ABC: Php 3,300.00  NOTE: Please sign </t>
  </si>
  <si>
    <t xml:space="preserve"> Item No. 1 1338 bags Complete Fertilizer 14-14-14 at 50 kgs. 1338 bags Urea Fertilizer 46-0-0 at 50 kgs. Terms and Conditions: 1.	With FPA License. 2.	15 days delivery period. 3.	Delivered at Municipal Hall, Solsona, Ilocos Norte. 4.	Hauling and unloading</t>
  </si>
  <si>
    <t xml:space="preserve"> INVITATION TO BID for the ITB No. 20-073 Supply and Delivery of Three Hundred (300) vial of Polymyxin B Sulfate 500,000 units powder for solution, 5mL 1.	The National Kidney and Transplant Institute (NKTI) through its Corporate Operating Budget (COB) inte</t>
  </si>
  <si>
    <t xml:space="preserve"> Proposed Entry Landmark in Various Locations at Makati City - Order of payment for Bid Docs will be available at GSD-Head Office @ 10th Floor Makati City Hall Bldg. 2.  Look for Mr. Reden Villanueva. - A  complete set of Bidding Documents will be availabl</t>
  </si>
  <si>
    <t xml:space="preserve"> Renovation and Improvement of Pitogo Community Complex located at Cebu St. Cor. Luzon St., Brgy. Pitogo, Makati City - Order of payment for Bid Docs will be available at GSD-Head Office @ 10th Floor Makati City Hall Bldg. 2.  Look for Mr. Reden Villanueva</t>
  </si>
  <si>
    <t xml:space="preserve"> LOT 1-Refrigerated Van (Brand New)  Minimum Specification:6 wheeler mounted with 14 footer refrigerated van, Engine Size: 4.0L Engine Displacement 3,933,150 PS @2,500 rpm, 570N-m @ 1400rpm  Euro IV 4 cylinder Turbocharger with intercooler, Common Rail Dir</t>
  </si>
  <si>
    <t xml:space="preserve"> INVITATION TO BID FOR THE SUPPLY &amp; DELIVERY OF VARIOUS ICT EQUIPMENT FOR THE E-LEARNING TELECONFERENCING UNDER THE NEW NORMAL EDUCATION SYSTEM IN PLMUN 1.	The City Government of Muntinlupa, through its duly-approved Executive Budget for 2020 intends to ap</t>
  </si>
  <si>
    <t xml:space="preserve"> Invitation to Bid for the  UPGRADING OF LOCAL ACCESS ROAD AT P5 GENERAL AGUINALDO, RAMON, ISABELA 1.	The LGU-RAMON, ISABELA, through the Budget for the contract approved by the Sanggunian intends to apply the sum of Php4,200,000.00 being the Approved Budg</t>
  </si>
  <si>
    <t xml:space="preserve"> Proposed Rehabilitation and Upgrading of Existing Streetlighting along Antipolo Street (Phase 1 and 2) located at Barangay Poblacion/Valenzuela, Makati City - Order of payment for Bid Docs will be available at GSD-Head Office @ 10th Floor Makati City Hall</t>
  </si>
  <si>
    <t xml:space="preserve"> INVITATION TO BID FOR PROCUREMENT AND DELIVERY OF HOSPITAL FIXTURE AND MEDICAL AND LABORATORY EQUIPMENT 1.	The DOH-CHD I through the Continuing Appropriations (CONAP) 2019 for Projects 1-4 &amp; 9 and GOP CY 2020 for Projects 5-8 intends to apply the sums bei</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</si>
  <si>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</si>
  <si>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REQUEST FOR QUOTATION -Supply, Delivery, Wiring and Installation of One (1) Unit Automatic Transfer Switch                                           for 80KVACummins Genset Area of Delivery	:	DBP Dipolog Branch Building Approved Budget	:	P150,000.00 Deliv</t>
  </si>
  <si>
    <t xml:space="preserve"> PROVINCE OF BILIRAN		                                                                     Project Reference Number: ITB No. 20-29 Name of Procuring Entity      INVITATION TO BID FOR THE SALE OF VARIOUS UNSERVICEABLE PROPERTIES ON “AS IS, WHERE IS” BASIS T</t>
  </si>
  <si>
    <t xml:space="preserve"> LGU - Padre Burgos, Southern Leyte INVITATION TO BID FOR  Procurement of Glass Pulvorizer Padre Burgos, Southern Leyte 1.	The LGU Padre Burgos, Southern Leyte through the LGU- Provincial Fund, CY 2020  intends to apply the sum of Two Hundred Fifty Thousan</t>
  </si>
  <si>
    <t xml:space="preserve"> INVITATION TO BID FOR THE REPAIR OF FLOOR TILES AND CEILING AND REPLACEMENT OF DOOR AND PAINTING OF WALLS AT MIS OFFICE , PLMUN, POBLACION, MUNTINLUPA CITY 1.	The City Government of Muntinlupa, through its duly-approved Executive Budget for 2020 intends t</t>
  </si>
  <si>
    <t xml:space="preserve"> INVITATION TO BID FOR SUPPLY AND DELIVERY OF STRETCH FILM TO BE USED FOR THE PRODUCTION OF FAMILY FOOD PACKS FOR CY 2020 THROUGH FRAMEWORK AGREEMENT —  ITB NO. GOP/20-DSWD-028-B — (PR NO. 01-20001-PR-2020-02-00038) 1. The Department of Social Welfare and </t>
  </si>
  <si>
    <t xml:space="preserve"> 2 UNIT Particles Filter for Air purifier Blueair 650E (1 unit: 3 filters)  -In accordance with the Technical Specifications  ABC: Php 23,658.00  NOTE: Please sign all pages of the Technical Specifications and submit it together with your quotation. If sel</t>
  </si>
  <si>
    <t xml:space="preserve"> 524 bags Complete Fertilizer 14-14-14 at 50 kgs. 524 bags Urea Fertilizer 46-0-0 at 50 kgs. 140 bottles Prevatone, 250 ml Terms and Conditions: 1.	With FPA License. 2.	15 days delivery period. 3.	Delivered at Municipal Hall, Solsona, Ilocos Norte. 4.	Haul</t>
  </si>
  <si>
    <t xml:space="preserve"> Republic of the Philippines Province of Romblon MUNICIPALITY OF ALCANTARA -o0o- Invitation to Bid for   CONSTRUCTION OF EVACUATION CENTER Madalag, Alcantara, Romblon The Municipal Government of Alcantara, Romblon through the  Socio Civic Projects Fund (SC</t>
  </si>
  <si>
    <t xml:space="preserve"> REGION XII Province of Cotabato Municipality of Midsayap BIDS &amp; AWARDS COMMITTEE Tel. Nos. (064) 229-8018; 229-8650; 229-8450 INVITATION TO BID FOR  2020-079, SUPPLY AND DELIVERY OF 2 UNITS MOTORCYCLE (BRAND NEW) AT LGU MIDSAYAP, COTABATO 1. The MUNICIPAL</t>
  </si>
  <si>
    <t xml:space="preserve"> BUKIDNON 1ST DISTRICT ENGINEERING OFFICE REGIONAL OFFICE 10 Malaybalay City REQUEST FOR EXPRESSION OF INTEREST (REOI) FOR CONTRACT ID NO. 20CSKA0001 Contract ID	:	20CSKA0001 Contract Name	:	Conduct of Soil Testing/Exploration for F.Y. 2021 Projects Contra</t>
  </si>
  <si>
    <t xml:space="preserve"> Republic of the Philippines Province of Nueva Vizcaya BIDS AND AWARDS COMMITTEE (BAC-Goods) BAC OFFICE, Provincial Capitol, Bayombong, Nueva Vizcaya 	 REQUEST FOR QUOTATION (RFQ) For the Procurement of Office Supplies (3rd Quarter) For the Provincial Plan</t>
  </si>
  <si>
    <t xml:space="preserve"> REGION XII Province of Cotabato Municipality of Midsayap BIDS &amp; AWARDS COMMITTEE Tel. Nos. (064) 229-8018; 229-8650; 229-8450 INVITATION TO RE-BID FOR 2020-081, SUPPLY AND DELIVERY OF ELECTRONIC DEVICES AND EQUIPMENT FOR EXPLOSIVE ORDNANCE DISPOSAL (EOD) </t>
  </si>
  <si>
    <t xml:space="preserve"> Republic of the Philippines Province of Eastern Samar Municipality of San Julian LGU BIDS AND AWARDS COMMITTEE (LGU-BAC) INVITATION TO BID FOR THE SUPPLY &amp; DELIVERY OF  IT SUPPLIES, MATERIALS &amp; CONSUMABLES The Local Government Unit of San Julian, through </t>
  </si>
  <si>
    <t xml:space="preserve"> Invitation to Bid for Rejuvenation thru Fertilization CY 2020 1.The Philippine Coconut Authority – XI, through the authorized appropriations under the continuing appropriation of FY 2020 General Appropriations Act (GAA), intends to apply the sum of  Seven</t>
  </si>
  <si>
    <t xml:space="preserve"> Invitation to Bid for Rejuvenation thru Fertilization CY 2020 1.The Philippine Coconut Authority – XI, through the authorized appropriations under the continuing appropriation of FY 2020 General Appropriations Act (GAA), intends to apply the sum of  One M</t>
  </si>
  <si>
    <t xml:space="preserve"> REGION XII Province of Cotabato Municipality of Midsayap BIDS &amp; AWARDS COMMITTEE Tel. Nos. (064) 229-8018; 229-8650; 229-8450 INVITATION TO RE-BID FOR  2020-080, SUPPLY AND DELIVERY OF BUSINESS REGISTRATION PLATE AT LGU MIDSAYAP, COTABATO 1. The MUNICIPAL</t>
  </si>
  <si>
    <t xml:space="preserve"> 1 REGION XII Province of Cotabato Municipality of Midsayap BIDS &amp; AWARDS COMMITTEE Tel. Nos. (064) 229-8018; 229-8650; 229-8450 INVITATION TO BID FOR  2020-082, CONSTRUCTION OF MULTI-PURPOSE BUILDING FOR RURAL IMPROVEMENT CLUB (RIC)  AND FARMERS ASSOCIATI</t>
  </si>
  <si>
    <t xml:space="preserve"> Concreting of 88.00m x1.0m local access road (thickness = 0.15m)</t>
  </si>
  <si>
    <t xml:space="preserve"> INVITATION TO BID IB NO: 2020-08-25 (16) PROCUREMENT OF VARIOUS MEDICAL EQUIPMENT 1. 	The Caraga Regional Hospital (CRH), through the General Appropriation Act /  Hospital Income intends to apply the sum of FIVE MILLION TWO HUNDRED EIGHTY THOUSAND PESOS O</t>
  </si>
  <si>
    <t xml:space="preserve"> Republic of the Philippines Central Visayas Region Negros Oriental Province MUNICIPALITY OF SANTA CATALINA BIDS AND AWARDS COMMITTEE ITB NO.: 2020-08-02-026 INVITATION TO BID FOR THE SUPPLY AND DELIVERY OF WATER TANKER (SURPLUS) 1.	The Municipality of San</t>
  </si>
  <si>
    <t xml:space="preserve"> Concreting of ARC Road, Brgy. Jibolo-Balanac-Aguingay-Danao and Calmay, JAniuay, Iloilo Item No.	DESCRIPTION	Qty.	Unit A.I.1(3)	Construction of Field Office	1.00	L.s. B.5	Project Billboard/Signboard (COA)	1.00	Each SPL 1	Mobilization/Demobilization	1.00	L</t>
  </si>
  <si>
    <t xml:space="preserve"> Barangay Ususan through its Bid and Awards Committee (BAC) invites Contractors to bid for the hereunder project: Bidding will be conducted through open competitive bidding procedures using a non-discretionary "pass/fail" criteria as specified in Republic </t>
  </si>
  <si>
    <t xml:space="preserve"> Invitation to Bid for SOPDP 2020 1.The Philippine Coconut Authority – XI, through the authorized appropriations under the continuing appropriation of FY 2020 General Appropriations Act (GAA), intends to apply the sum of  Two Million One Hundred Ninety Tho</t>
  </si>
  <si>
    <t xml:space="preserve"> INVITATION TO BID FOR  1.	The Municipal Government of Coron, Palawan, through the 2020 Annual Municipal Budget intends to apply the sum of Nine Million Nine Hundred Ninety Six Thousand  Pesos (PhP9,996,000.00) being the Approved Budget for the Contract (A</t>
  </si>
  <si>
    <t xml:space="preserve"> Invitation to Bid for the Supply and Delivery of Hygiene Supplies K to Grade 6 Learners for SHDP The Department of Education, Regional Office V, through General Appropriations Act FY 2020 and 2020 Regional Office Funds, intends to apply the sum of Thirty </t>
  </si>
  <si>
    <t xml:space="preserve"> BIDS AND AWARDS COMMITTEE-SECURITY PLANT COMPLEX INVITATION TO BID 1. The Bangko Sentral ng Pilipinas (BSP), through its Bids and Awards Committee-Security Plant Complex, invites Bidders to apply for eligibility and to bid for the hereunder requirement: N</t>
  </si>
  <si>
    <t xml:space="preserve"> Rehabilitation of brgy. road</t>
  </si>
  <si>
    <t xml:space="preserve"> Republic of the Philippines Central Visayas Region Negros Oriental Province MUNICIPALITY OF SANTA CATALINA BIDS AND AWARDS COMMITTEE ITB NO.: 2020-08-02-025 INVITATION TO BID FOR THE SUPPLY AND DELIVERY OF 6-WHEELER DUMP TRUCKS 4X2 (BRAND NEW) 1.	The Muni</t>
  </si>
  <si>
    <t xml:space="preserve"> 1 REGION XII Province of Cotabato Municipality of Midsayap BIDS &amp; AWARDS COMMITTEE Tel. Nos. (064) 229-8018; 229-8650; 229-8450 INVITATION TO BID FOR  2020-089, SUPPLY, DELIVERY AND INSTALLATION OF SOLAR STREET LIGHTS AT IDENTIFIED EVACUATION CENTERS  OF </t>
  </si>
  <si>
    <t xml:space="preserve"> Concreting of Pathway</t>
  </si>
  <si>
    <t xml:space="preserve"> Construction of Concrete water tank</t>
  </si>
  <si>
    <t xml:space="preserve"> INVITATION TO BID LGU-El Salvador City, Misamis Oriental through its BAC, invites interested bidders to apply for eligibility and if found eligible to bid for the contract: 1.	Contract ID No.	:	ITB No. 2020-08-076/Project ID No. 20-023-20% Name of Project</t>
  </si>
  <si>
    <t xml:space="preserve"> INVITATION TO BID (2020-07-04) The Department of Justice (DOJ), through the Bids and Awards Committee (BAC) is inviting interested parties to bid for the following projects:                                                                                Pr</t>
  </si>
  <si>
    <t xml:space="preserve"> REGION XII Province of Cotabato Municipality of Midsayap BIDS &amp; AWARDS COMMITTEE Tel. Nos. (064) 229-8018; 229-8650; 229-8450 INVITATION TO BID FOR  2020-092, CONCRETING OF ROAD FROM OLD SLAUGHTERHOUSE TO DAY CARE CENTER AT  POBLACION 1, MIDSAYAP, COTABAT</t>
  </si>
  <si>
    <t xml:space="preserve"> INVITATION TO BID (2020-07-04) The Department of Justice (DOJ), through the Bids and Awards Committee (BAC) is inviting interested parties to bid for the following projects:                                                                    Project			:	Pu</t>
  </si>
  <si>
    <t xml:space="preserve"> Procurement of Audio Visual Equipment</t>
  </si>
  <si>
    <t xml:space="preserve"> REGION XII Province of Cotabato Municipality of Midsayap BIDS &amp; AWARDS COMMITTEE Tel. Nos. (064) 229-8018; 229-8650; 229-8450 INVITATION TO BID FOR  2020-094, CONSTRUCTION OF DISTRIBUTION LINE AT UPPER GLAD 2 RESETTLEMENT PROJECT  PHASE 1 AT UPPER GLAD 2,</t>
  </si>
  <si>
    <t xml:space="preserve"> INVITATION TO BID LGU-El Salvador City, Misamis Oriental through its BAC, invites interested bidders to apply for eligibility and if found eligible to bid for the contract: 1.	Contract ID No.	:	ITB No. 2020-08-077/Project ID No. 20-043-SB#1-20% Name of Pr</t>
  </si>
  <si>
    <t xml:space="preserve"> INVITATION TO BID FOR THE PROCUREMENT PROJECT: REPRODUCTION AND DOOR TO DOOR DELIVERY TO SCHOOLS DIVISION OFFICES OF REGION VII OF SELF-LEARNING MODULES PROVIDED BY THE DEPED CENTRAL OFFICE FOR QUARTER I 1.	The Department of Education- Region VII, through</t>
  </si>
  <si>
    <t xml:space="preserve"> INVITATION TO BID FOR THE  PROCUREMENT OF PLASTIC PALLET  IB NO. 2020-232 1.	The Department of Health (DOH), through the General Appropriations Act of 2020 intends to apply the sum of Two Million Five Hundred Philippine Pesos (PhP2,500,000.00) being the A</t>
  </si>
  <si>
    <t xml:space="preserve"> INVITATION TO BID FOR THE PROCUREMENT OF SEMI-PERISHABLE ITEMS FOR BANGUN IMPLEMENTATION IN SULU PROVINCE The Department of Social Welfare and Development (DSWD) Field Office IX through the Government of the Philippines General Appropriations Act of 2020 </t>
  </si>
  <si>
    <t xml:space="preserve"> Please see attached bidding documents or you may visit our website @www.prc.gov.ph.</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</si>
  <si>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</si>
  <si>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The LGU-Pandan, Catanduanes now invites bids for the road opening of 1,400 linear meter x 8.00m roadway (see approved plans and specifications) at Barangay Porot-San Isidro, Pandan, Catanduanes with the following scope of work; Description	Unit	Quantity P</t>
  </si>
  <si>
    <t xml:space="preserve"> INVITATION TO BID FOR THE PROCUREMENT OF SEMI-PERISHABLE ITEMS FOR BANGUN IMPLEMENTATION IN BASILAN PROVINCE The Department of Social Welfare and Development (DSWD) Field Office IX through the Government of the Philippines General Appropriations Act of 20</t>
  </si>
  <si>
    <t xml:space="preserve"> INVITATION TO BID FOR THE PROCUREMENT OF GROCERY ITEMS FOR BANGUN IMPLEMENTATION IN SULU PROVINCE The Department of Social Welfare and Development (DSWD) Field Office IX through the Government of the Philippines General Appropriations Act of 2020 intends </t>
  </si>
  <si>
    <t xml:space="preserve"> Invitation to Bid  IB-2020-108-INFRA Procurement and Installation of CCTV Cameras for MMDA’s No Contact Apprehension Program to Expand MMDA’s Network Coverage in Traffic Monitoring and Safe Environment The Metropolitan Manila Development Authority, throug</t>
  </si>
  <si>
    <t xml:space="preserve"> 1. The ENERGY REGULATORY COMMISSION (ERC), through the Government of the Philippines (GOP), intends to apply the sum of One Million Three Hundred Thirty-three Thousand Three Hundred Thirty-three Pesos and Thirty-three Centavos (PhP1,333,333.33), inclusive</t>
  </si>
  <si>
    <t xml:space="preserve"> INVITATION TO BID  IB-2020-107-INFRA  Proposed Construction of Sewage Treatment Plant House with Solar Panel Installation for Carbon Footprint Reduction and Water Storage Tank The Metropolitan Manila Development Authority, through the Trust Fund intends t</t>
  </si>
  <si>
    <t xml:space="preserve"> The LGU-Pandan, Catanduanes now invites bids for the construction of 2nd floor of multi-purpose hall with floor area of 56sq.m.  (see approved plans and specifications) at Barangay Tabugoc, Pandan, Catanduanes with the following scope of work; Description</t>
  </si>
  <si>
    <t xml:space="preserve"> 16,394 BOX SODIUM ASCORBATE( VITAMIN C) CAPSULE 500 MG 100 PCS/BOX</t>
  </si>
  <si>
    <t xml:space="preserve"> 1	Lot	HIGH PRESSURE VEHICLE EXTRICATION KIT		 		Inclusions:		 		1 Unit High Pressure Power Unit		 		Specification:		 		Max. Working Pressure: 10,500 PSI - 		 		724 BAR		 		Length: 21.20 in - 538.5 mm		 		Width: 15.50 in - 393.7 mm		 		Height: 15.0 in - 38</t>
  </si>
  <si>
    <t xml:space="preserve"> INVITATION TO BID FOR THE PROCUREMENT OF GROCERY ITEMS FOR BANGUN IMPLEMENTATION IN TAWI-TAWI PROVINCE The Department of Social Welfare and Development (DSWD) Field Office IX through the Government of the Philippines General Appropriations Act of 2020 int</t>
  </si>
  <si>
    <t xml:space="preserve"> INVITATION TO BID FOR THE PROCUREMENT OF SEMI-PERISHABLE ITEMS FOR BANGUN IMPLEMENTATION IN TAWI-TAWI PROVINCE The Department of Social Welfare and Development (DSWD) Field Office IX through the Government of the Philippines General Appropriations Act of </t>
  </si>
  <si>
    <t xml:space="preserve"> ENGINE:		 4-cylinder, in-line, direct injection, turbocharged and		 intercooled diesel engine; volume displacement= 4.1-4.3 liters;		 power output: 95-100kW @ 2,800 rpm; torque: ≥ 380N-m @ 		 1,400 - 1,800 rpm		 WEIGHT AND DIMENSION:		 gross vehicle weigh</t>
  </si>
  <si>
    <t xml:space="preserve"> One  (1) Lot Office Equipment ( Supply, Delivery,  Installation, Testing and Commissioning of Air- Conditioning Units) 2020-03 for PRO III  				 				03 units AIRCON -Ceiling Cassette Type; 2.5 HP Cooling 				     Capacity; Power Supply: 220V; Single Phase</t>
  </si>
  <si>
    <t xml:space="preserve"> INVITATION TO BID DEVELOPMENT/IMPROVEMENT OF THE PORT OF SAN ANTONIO Port of San Antonio, San Antonio, Northern Samar DOTC-PPA-CAB NO. 85-15 Approved Budget for the Contract: Php. 31,721,902.36 The Philippine Ports Authority, Port Management Office (PMO) </t>
  </si>
  <si>
    <t xml:space="preserve"> SUPPLY AND DELIVERY OF THE FOLLOWING: LOT 1- RESCUE TRUCK 1	UNIT	MULTIPURPOSE VEHICLE/TRUCK (RESCUE TRUCK)				1,320,000.00 		CAB or Double cab with van type cargo body				 		engine: 4 cylinders in line , 2.7-3.0 liters				 		turbocharged, water cooled, CR</t>
  </si>
  <si>
    <t xml:space="preserve"> OFFICE SUPPLIES AND MATERIALS: 10	pcs.	USB3.0-Flash drive 32GB 10	pcs.	USB3.0-Flash drive 64GB 		 OTHER SUPPLIES AND MATERIALS: 4	pck	Cable tie 4x150mm (100/pck) 30	pcs	Spiral wrap 1M 10	pcs	Adhesive 100gms (no more nails) 5	box	UTP cable CAT5e (305m/box)</t>
  </si>
  <si>
    <t xml:space="preserve"> INVITATION TO BID ITB NO. PB20-06 Invitation to Bid for Supply, Delivery and Installation of 6 Units Venturi Aeration System and its various materials to be use in the construction of Solar Power Frame and Floater  as Resilience Project under ALPAS COVID </t>
  </si>
  <si>
    <t xml:space="preserve"> INVITATION TO BID ITB NO. PB 20-07 Ordering Agreement Contract for the Procurement of Various Fish Feeds for  Fish Stocks of the 4 Units Aquaponics, 6 units Pond with Venturi  and 10 units Fish Cages The Bureau of Fisheries and Aquatic Resources Regional </t>
  </si>
  <si>
    <t xml:space="preserve"> Pediatric Medicines: 4,320	bottle	 Ascorbic Acid + Zinc Syrup 60 ml 4,320	bottle	Multivitamins Syrup 60ml 		 		 Adult Medicines-Capsules and Tablets: 800	Box	Amlodipine 5 mg tablet 100/box 800	Box	Amlodipine 10 mg tablet 100/box 6,000	Box	Losartan Potassi</t>
  </si>
  <si>
    <t xml:space="preserve"> (3rd Bidding) 1.	The Government Service Insurance System (GSIS) through the GSIS Corporate Operating Budget for CY 2020 intends to apply the sum of One Hundred Two Million Eight Hundred Seventy Thousand Two Hundred Ninety One Pesos and Forty One Centavos </t>
  </si>
  <si>
    <t xml:space="preserve"> INVITATION FOR NEGOTIATED PROCUREMENT Improvement of Existing Rock Causeway, Port of San Roque, Daram, Samar  (PPA-DOTr-7100-P1000-20401010B) Approved Budget for the Contract: Php. 9,230,982.40 1.	In view of the two (2) failed public bidding, the Philippi</t>
  </si>
  <si>
    <t xml:space="preserve"> Republic of the Philippines BIDS AND AWARDS COMMITTEE Province of Iloilo Invitation to Bid Purchase of DIESEL FUEL Bid No. GOV-20-0942-B 1. The Iloilo Provincial Government, through the GENERAL FUND 2020 intends to apply the sum of  ONE MILLION SEVEN HUND</t>
  </si>
  <si>
    <t xml:space="preserve"> Republic of the Philippines						 Province of Bukidnon						 Municipality of Lantapan						 						 INVITATION TO BID FOR THE PURCHASE OF DIGITAL DUPLICATING						 MACHINE, LAPTOP AND PRINTER USE FOR MODULAR REPRODUCTION						 OF DEPED LANTAPAN EAST AND WE</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</si>
  <si>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</si>
  <si>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Republic of the Philippines Province of Iloilo Municipality of Ajuy BIDS AND AWARD COMMITTEE INVITATION TO APPLY FOR ELIGIBILITY AND TO BID 	The Local Government of Ajuy, Iloilo invites Accredited Supplier to apply for eligibility and to bid for the Concr</t>
  </si>
  <si>
    <t xml:space="preserve"> Republic of the Philippines					 Province of Bukidnon					 Municipality of Lantapan					 					 INVITATION TO BID FOR THE PURCHASE OF 					 TWO (2) UNITS DUMPTRUCK (1ST BID)					 					 1	The Local Government Unit of Lantapan through the 20% LDF for CY 2020</t>
  </si>
  <si>
    <t xml:space="preserve"> 85	bags	Portland Cement 5	cu.m.	Washed Gravel ¾” 8	cu.m.	Washed Sand 20	pcs.	10mm DRB 3	kls.	#16 GI Tie Wires 500	pcs. 	4” CHB 30	pcs	6mm Steel Matting 8	pcs.	1-1/2 Dia GI Pipe Sch. 40 2	kls.	Concrete Nails 1	box	Steel Cutting Disc 5	pcs.	Stone Grinding D</t>
  </si>
  <si>
    <t xml:space="preserve"> Name of Project:   CONNECTING THE EARIST LABORATORIES AND FACULTY ROOMS in the  			 Immediate Distribution Function for the Demands on LMS/Blended 			 Learning” Particulars	                                                                                Me</t>
  </si>
  <si>
    <t xml:space="preserve"> 3	Unit	Brand New Shuttle Bus	 (Completely Built- Unit)	 Overall Dimension: (mm)	 11000x2500x3600	 Front/Rear Overhang: (mm)	 2250/3190	 Wheelbase : (mm)	 5550 regular bus	 Luggage Compartment volume	 Max 8.2 m3	 Engine: 270HP(Euro 4)	 Transmission: Manual</t>
  </si>
  <si>
    <t xml:space="preserve"> LABOR &amp; EQUIPMENT RENTAL FOR REHABILITATION OF MUNICPAL PUBLIC CEMETERY AT PUROK 5, HIJO, MACO, DAVAO DE ORO.</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</si>
  <si>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</si>
  <si>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INVITATION TO BID Procurement of Desktop Computers for Various Offices and Campuses in Batangas State University 1.	The Batangas State University, through the Supplemental Budget 2018, PRE FY 2018, STF 2018  intends to apply the sum of Six Million Nine Hu</t>
  </si>
  <si>
    <t xml:space="preserve"> Description CITY GOVERNMENT OF DIGOS INVITATION TO BID The City Government of Digos thru the Bids and Awards Committee(BAC) invited interested suppliers/contractors to apply for eligibility screening and if subsequently found eligible to bid for the procu</t>
  </si>
  <si>
    <t xml:space="preserve"> Computer,HArd drive Opening of bidding is on August 14, 2020 9:00am at Barangay Hall, Barangay Southside, Makati City</t>
  </si>
  <si>
    <t xml:space="preserve"> Tarpaulin. garbage bag, trash bin opening of bid will be on august 14, 2020 9:00am at Barangay Hall,Barangay Southside, Makati City</t>
  </si>
  <si>
    <t xml:space="preserve"> Landscaping of pathways, Plastic/ Styro Densifier, Brick Mold Machine Prebidding conference will be on August 10, 2020 9:00am at Barangay Hall, Barangay Southside, Makati City Opening of Bids will be on August 14, 2020 9:00am at Barangay Hall, Barangay So</t>
  </si>
  <si>
    <t xml:space="preserve"> Openning of bids will be on Aguust 14, 2020 9:00am at Barangay Hall, Barangay Southside Makati City</t>
  </si>
  <si>
    <t xml:space="preserve"> Republic of the Philippines					 Province of Bukidnon					 Municipality of Lantapan					 					 INVITATION TO BID FOR THE CONSTRUCTION OF LANDMARK:					 WELCOME SIGNAGES AT BARANGAY BUGCAON AND BASAC (1ST BID)					 					 1	The Local Government Unit of Lant</t>
  </si>
  <si>
    <t xml:space="preserve"> SPCL I Occupational Safety and Health Program lot 1.00 SPCL II Project Billboard lot 1.00 SPCL III Temporary Facility lot 1.00 I. Demolition and Clearing Works lot 1.00 II. Layout and Staking Works lot 1.00 III. Excavation Works  cu.m. 33.36 IV. Embankmen</t>
  </si>
  <si>
    <t xml:space="preserve"> Description Attached</t>
  </si>
  <si>
    <t xml:space="preserve"> I. Layout /Staking works lot 1.00 II. Project Billboad pc. 1.00 III. Occupational Safety and Health Program lot 1.00 IV. Demolition Works  cu.m. 5.00 V. Excavation Works  cu.m. 40.00 VI. Gravelfill  cu.m. 1.50 VII, Backfill cu.m. 7.00 VIII. Concrete works</t>
  </si>
  <si>
    <t xml:space="preserve"> Bicol Regional Training and Teaching Hospital Legazpi City INVITATION TO BID FOR  Procurement of UV Germicidal Light (HFEP) IB No. 08-2020 1.	The Bicol Regional Training and Teaching Hospital (BRTTH) through the DOH-HFEP Fund intends to apply the sum of S</t>
  </si>
  <si>
    <t xml:space="preserve"> I. Project Billboard lot 1.00 II. Temporary Facility lot 1.00 III.Occupational Safety and Health Program lot 1.00 IV. Demolition cu.m. 44.75 V. Clearing and Disposal lot 1.00 A. Grouted Riprap using Escombro  I. Clearing and Grubbing  sq.m. 40.50 II. Layo</t>
  </si>
  <si>
    <t xml:space="preserve"> 1.	The Capiz Provincial Government, through the GOP CY-2020 (20% DF) intends to apply the total amount of Three Million Five Hundred Thousand Pesos (Php,3,500,000.00) being the Approved Budget for the Contract (ABC).  Bids received in excess of the ABC sh</t>
  </si>
  <si>
    <t xml:space="preserve"> INVITATION TO BID FOR THE PROCUREMENT OF GOODS AND SERVICES FOR FISH PRODUCTION-RELATED PROGRAM IN SUPPORT TO BAYANIHAN TO HEAL AS ONE ACT  (ITB NO. 2020-09) 1. The Bureau of Fisheries and Aquatic Resources-Regional Fisheries Office I (BFAR-RFO I, through</t>
  </si>
  <si>
    <t xml:space="preserve"> 118 	bags	        Portland Cement 13	cu.m.	Washed Gravel 1-1/2 9	cu.m.	Washed Sand 10	pcs.	        12mm DRB 8	pcs.	        2” x 6” x 10’  Coco Lumber/Forms 1	KLS.	        4” CW Nails</t>
  </si>
  <si>
    <t xml:space="preserve"> INVITATION TO BID ITB NO. 20-12 	The Lung Center of the Philippines (LCP), through its Bids and Awards Committee 	(BAC), invites eligible bidders to bid for the, " PROCUREMENT FOR SUPPLY AND DELIVERY OF VARIOUS REGULAR MEDICINES AND IV FLUIDS" (ITB NO 20-</t>
  </si>
  <si>
    <t xml:space="preserve"> SCOPE OF WORKS: B.5	Project Billboard &amp; Signboard	2.00	each		 101(4)a3	Removal of Structures/Obstructions, 910 mm dia. RCPC	5.00	ln.m. 102(2)	Roadway Excavation (Surplus Common)	1,311.25	cu.m. 103(6)a	Pipe Culverts and Drain Excavation (Common Soil)	31.30</t>
  </si>
  <si>
    <t xml:space="preserve"> INVITATION TO BID ITB NO. 20-13 	The Lung Center of the Philippines (LCP), through its Bids and Awards Committee 	(BAC), invites eligible bidders to bid for the, " PROCUREMENT FOR SUPPLY AND DELIVERY OF VARIOUS ONCOLOGY DRUGS” ( ITB NO 20-13) ABC Php 5,37</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</si>
  <si>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</si>
  <si>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Republic of the Philippines Province of Davao de Oro BIDS AND AWARDS COMMITTE Cabidianan, Nabunturan, Davao de Oro ITB No. 20-029 July 30, 2020 INVITATION TO BID  FOR  THE Procurement of various medical supplies 1.	The Provincial Government of Davao de Or</t>
  </si>
  <si>
    <t xml:space="preserve"> Vicente Sotto Memorial Medical Center        B Rodriguez Street, Cebu City INVITATION TO BID The Vicente Sotto Memorial Medical Center, through its Bids and Awards Committee (BAC) invites contractors to bid for the hereunder project: Name of Project	Appro</t>
  </si>
  <si>
    <t xml:space="preserve"> SCOPE OF WORKS: B.5	Project Billboard &amp; Signboard	2.00	each B.7 (1)	Occupational Safety and Health Program	6.00	mos.	 103(1)a.1	Removal of Existing Concrete Pavement (0.20 m thk.)	18.00	cu.m. 103(1)a	Structure Excavation (Common Soil, RCPC)	1.91	cu.m. 104</t>
  </si>
  <si>
    <t xml:space="preserve"> INVITATION TO APPLY FOR ELIGIBILITY AND TO BID The City of San Juan, Metro Manila, through its Bids and Awards Committee (BAC), invites interested parties to apply for an Eligibility and if found eligible to bid for the – Name of Project One (1) Lot – Pes</t>
  </si>
  <si>
    <t xml:space="preserve"> Supply and Delivery of Office equipment, Semi-Expendable Furniture &amp; Fixtures and Furniture &amp; Fixtures &amp; Semi-Expendable Information and Communication Technology Equipment.</t>
  </si>
  <si>
    <t xml:space="preserve"> 1.	The Capiz Provincial Government, through the GOP–2020 intends to apply the total amount Two Million Nine Hundred Twenty-Eight Thousand One Hundred Thirty-Nine Pesos (Php 2,928,139.00) being the total Approved Budget for the Contract (ABC) to payments u</t>
  </si>
  <si>
    <t xml:space="preserve"> Republic of the Philippines										 BIDS AND AWARDS COMMITTEE										 Baguio City										 (074) 300-6537/ (074)442-8795										 BID FORM										 CP No. 2020-51 Bidding									July 30, 2020	 Circular Proposal No.									Date Prepared	 									</t>
  </si>
  <si>
    <t xml:space="preserve"> CP No. 2020-49 Bidding									July 29, 2020	 Circular Proposal No.									Date Prepared	 										 The City Government of Baguio, through its Bids and Awards Committee desires to purchase the articles listed below										 From Oct. 1, 2020 to Sept. 3</t>
  </si>
  <si>
    <t xml:space="preserve"> INVITATION TO APPLY FOR ELIGIBILITY AND TO BID The City of San Juan, Metro Manila, through its Bids and Awards Committee (BAC), invites interested parties to apply for an Eligibility and if found eligible to bid for the – Name of Project One (1) Lot –Pest</t>
  </si>
  <si>
    <t xml:space="preserve"> Republic of the Philippines										 BIDS AND AWARDS COMMITTEE										 Baguio City										 (074) 300-6537/ (074)442-8795										 BID FORM										 CP No. 2020-45 Bidding									July 21, 2020	 Circular Proposal No.									Date Prepared	 									</t>
  </si>
  <si>
    <t xml:space="preserve"> INVITATION TO APPLY FOR ELIGIBILITY AND TO BID The local Government Unit of Can-avid, through is Bid and Awards Committee (BAC). Invites suppliers to apply for eligibility, to bid for the hereunder contract: Name of Contract: 	PURCHASE AND DELIVERY OF MAT</t>
  </si>
  <si>
    <t xml:space="preserve"> 2.	Contract ID	No. 	      	: 20AD0098 Contract Name	      	: Construction of Candon Sports Complex, Phase I Contract Location	      	: Bagani Campo, Candon City, Ilocos Sur	       Brief Description	      	: Construction of Sports Complex Approved Budget f</t>
  </si>
  <si>
    <t xml:space="preserve"> Public Bidding for the Proposed Construction of Multi-Purpose Covered Court @ Brgy. San Ramon, Pilar, Capiz, Under ITB No. 2020-016C 1.	The Capiz Provincial Government, through the GOP CY-2020 (20% DF) intends to apply the total amount of Three Million Fi</t>
  </si>
  <si>
    <t xml:space="preserve"> A.1.1. Temporary Facility lot 1.00 B,5 Project Billboard lot 1.00 B.7  Occupational Safety and Health Program lot 1.00 B.9 Mobilization/Demobilization of waste Materials  lot 1.00 SPCL 1 Clearing and Dsiposal of Waste Materials  lot 1.00 Item 105 Subgrade</t>
  </si>
  <si>
    <t xml:space="preserve"> 1.	The Capiz Provincial Government, through the GOP CY-2020 (20% DF) intends to apply the total amount of Eleven Million Nine Hundred Eighty-Nine Thousand Nine Hundred Sixty-Seven Pesos &amp; 56/100 (Php,11,989,967.56) being the Approved Budget for the Contra</t>
  </si>
  <si>
    <t xml:space="preserve"> For use in the operation of service vehicles, brush cutter, chainsaw,  generator set, kneading machine and plate compactor assigned in this office  for the period of September 01, 2020 to December 31, 2020</t>
  </si>
  <si>
    <t xml:space="preserve"> 1.	Contract ID	No. 	      	: 20AD0097 Contract Name	      	: Construction of Candon Sports Complex, Phase II Contract Location	      	: Bagani Campo, Candon City, Ilocos Sur	       Brief Description	      	: Construction of Sports Complex Approved Budget </t>
  </si>
  <si>
    <t xml:space="preserve"> 1.	The Capiz Provincial Government, through the GOP CY-2020 (20% DF) intends to apply the total amount of Three Million Nine Hundred Eighty-Four Thousand Three Hundred Seventy Pesos &amp; 33/100 (Php,3,984,370.33) being the Approved Budget for the Contract (A</t>
  </si>
  <si>
    <t xml:space="preserve"> SCOPE OF WORKS: B.5	Project Billboard &amp; Signboard	2.00	each 101(1)	Removal of Structure and Obstruction (Overflow Bridge)	1.00	l.s 101(4)a3	Removal of Structure and Obstruction , 910 mm dia. RCPC	7.00	l.m 102(2)	Roadway Excavation (Surplus Common)	1,201.4</t>
  </si>
  <si>
    <t xml:space="preserve"> Procuring of the following Farm Machineries/Equipments   1. Mechanical Rice Transplanter   2.Rice reaper   3. Floating Tiller   4. Open Source Water Pump   5.Pressurized Power Sprayer   6. 2 Stroke Brush Cutter</t>
  </si>
  <si>
    <t xml:space="preserve"> INVITATION TO APPLY FOR ELIGIBILITY AND TO BID The City of San Juan, Metro Manila, through its Bids and Awards Committee (BAC), invites interested parties to apply for an Eligibility and if found eligible to bid for the – Name of Project  Laundry Services</t>
  </si>
  <si>
    <t xml:space="preserve"> SCOPE OF WORKS: A.1.1(8)	Provision of Field Office	8.00	month B.3	Project Billboard &amp; Signboard	2.00	each B.7	Occupational Safety and Health Program	8.00	months B.8 (2)	Traffic Management	1.00	l.s B.9	Mobilization/Demobilization	1.00	l.s 101(6)	Removal of</t>
  </si>
  <si>
    <t xml:space="preserve"> Republic of the Philippines MUNICIPALITY OF TAPAZ BIDS AND AWARDS COMMITTEE Office of the BAC Secretariat, Ground Floor, Municipal Hall, Tapaz, Capiz 5814 E-mail: bac.tapaz@yahoo.com Invitation to Bid:   Procurement of Works for the Construction of Suppor</t>
  </si>
  <si>
    <t xml:space="preserve"> 1st Bidding The Local Government Unit of Paracale,Camarines Norte ,through its Bids and Awards Committe (BAC ) invites a contractor registered with and classified by the Philippine Contractors Accreditation Board ( PCAB) to apply for eligibility and to be</t>
  </si>
  <si>
    <t xml:space="preserve"> PROJECT REFERENCE NO. CWD 35-2020 Invitation to Bid for  Drilling of Exploratory Well in  Various Areas of Calamba City, Laguna Item No.	Item Description	Qty.	Unit	Unit Cost	Total Amount 1	Brgy. Turbina, Glenwood Subdivision (200 mtrs)	1	Lot	4,828,110.00 </t>
  </si>
  <si>
    <t xml:space="preserve"> 1.	The Capiz Provincial Government, through the GOP CY-2020 (20% DF) intends to apply the total amount of Three Million Nine Hundred Ninety-Nine Thousand Eight Hundred Sixty-One Pesos &amp; 98/100 (Php,3,999,861.98) being the Approved Budget for the Contract </t>
  </si>
  <si>
    <t xml:space="preserve"> SECTION I. REQUEST FOR EXPRESSION OF INTEREST  Consulting Services For The  Revenue and Finance Operation Modernization Project 1.	The Municipal Government of Maramag, Bukidnon, through the General Fund intends to apply the sum of Php 20,000,000 being the</t>
  </si>
  <si>
    <t xml:space="preserve"> SCOPE OF WORKS: B.5	Project Billboard &amp; Signboard	2.00	each	 102(2)	Roadway Excavation (Surplus Common)	196.25	cu.m. 103(6)a	Pipe Culverts &amp; Drainage Excavation, Common Soil	3.99	cu.m. 104(1)a	Embankment from Road Excavation	175.00	cu.m. 105(1)a	Subgrade </t>
  </si>
  <si>
    <t xml:space="preserve"> 1.	The Local Government Unit (LGU) of Aroroy, through its Annual Budget 2020 to apply the sum of Php 1,250,000.00 being the Approved Budget for the Contract (ABC) to payments under the contract for Supply and Delivery of DRRM Rescue Vehicle (4 Wheel Drive</t>
  </si>
  <si>
    <t xml:space="preserve"> REQUEST FOR QUOTATION The City Government of Malolos, through its BIDS and AWARDS COMMITTEE (BAC) Invites Suppliers/Manufacturers/Distributors to Bid for hereunder procurement:  PR No. : GSO-2020-02-245 Name of Project : PURCHASE OF 1 UNIT AMBULANCE FOR T</t>
  </si>
  <si>
    <t xml:space="preserve"> 150	boxes	Amlodipine 10 mg tablet 40	boxes	Amoxicillin 500 mg capsule 300	bottles	Ascorbic Acid Syrup 100mg/5ml 60 ml 400	bottles	Ascorbic Acid 100 mg/ml drops 300	boxes	Ascorbic Acid 500 mg tablet 100	tablets	Azithromycin 500 mg 28	tubes	Betamethasone Va</t>
  </si>
  <si>
    <t xml:space="preserve"> PROJECT REFERENCE NO. CWD 36-2020 INVITATION TO BID FOR  Supply and Delivery of Various I.T Equipment of Different Departments ITEM NO.	PARTICULAR	QTY	UNIT	UNIT COST	TOTAL 1	CPU - i7	3	units	50,000.00	150,000.00 2	Printer 3 in 1	1	unit	20,000.00	20,000.00</t>
  </si>
  <si>
    <t xml:space="preserve"> Republic of the Philippines Province of Sarangani Municipality of Maitum Invitation to Bid for Construction of Lined Canal within Brgy. Malalag The Local Government of Maitum, through LGSF – FA FY 2019 intends to apply the sum of Php 8,000,000.00 being th</t>
  </si>
  <si>
    <t xml:space="preserve"> Barangay Government Unit										 Imelda, Zamboanga Sibugay										 										 INVITATION TO APPLY FOR ELIGIBILITY AND TO BID										 										 The Barangay Government Unit  of Imelda, Zamboanga Sibugay , through its Bids and  Awards Committee (BAC)</t>
  </si>
  <si>
    <t xml:space="preserve"> Republic of the Philippines MUNICIPALITY OF ORION Province of Bataan Bids and Awards Committee Secretariat Office, 2nd Floor Municipal Building, San Vicente, Orion, Bataan Telephone No. 244-9611 local 101 20ITB-G-03-00053 Invitation to Bid 1.	The Municipa</t>
  </si>
  <si>
    <t xml:space="preserve"> INVITATION TO APPLY FOR ELIGIBILITY AND TO BID The local Government Unit of Can-avid, through is Bid and Awards Committee (BAC). Invites suppliers to apply for eligibility, to bid for the hereunder contract: Name of Contract: 	PURCHASE AND DELIVERY OF OFF</t>
  </si>
  <si>
    <t xml:space="preserve"> Contract for the Supply of Various Spare Parts (Kit Mimic Panel HMI, Fuse 200A, Fuse 10A, etc.) under PR No. RS-0620-008 and ITB No. 2007-038-01 Schedule of Activities  Pre-bid Conference		: 07 August 2020 @ 10:00 A.M. 				  Cafeteria, LRTA Line 2- Depot,</t>
  </si>
  <si>
    <t xml:space="preserve"> Supply and Delivery of IT equipment, Parts Tools and Software for Installation and Configuration of Communication Networking Equipment including System Integration .</t>
  </si>
  <si>
    <t xml:space="preserve"> Republic of the Philippines										 BIDS AND AWARDS COMMITTEE										 Baguio City										 (074) 300-6537/ (074)442-8795										 BID FORM										 CP No. 2020-50 Bidding									July 29, 2020	 Circular Proposal No.									Date Prepared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</si>
  <si>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</si>
  <si>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See Section 1 of the Bidding Documents</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</si>
  <si>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</si>
  <si>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Republic of the Philippines Province of zamboanga Sibugay Municipality of Olutanga 7014 JULY 30,2020 NOTICE TO THE PUBLIC INVITIATION TO APPLY FOR ELIGIBILITY AND TO BID All interested bidders are invited to Pre-qualify and participate in sealed bidding f</t>
  </si>
  <si>
    <t xml:space="preserve"> Preventive Maintenance of Uninterruptible Power Supply (UPS) for two (2) quarters at various SSS Branch Offices under Luzon North 1 Division (1 lot) (CY 2020) SSS AGOO (10 KVA, 1 Ø) 3/F B&amp;D Building, McArthur Highway, San Antonio, Agoo, La Union SSS BAGUI</t>
  </si>
  <si>
    <t xml:space="preserve"> INVITATION TO APPLY FOR ELIGIBILITY AND TO BID Approved Budget for the Contract: ₱4,095,109.99 ITB No. 2020-024 Bidding 1.	The Municipality of Mendez-Nuñez, through POPS Fund intends to apply the sum of Four Million Ninety Five Thousand One Hundred Nine P</t>
  </si>
  <si>
    <t xml:space="preserve"> IAEB NO.: 2020-I004  BIDS AND AWARDS COMMITTEE I (POC-BAC I) INVITATION FOR NEGOTIATED PROCUREMENT Supply and Delivery of Radiology Supplies (July-December 2020) 1.	In view of the two (2) failed public biddings, the Philippine Orthopedic Center Bids and A</t>
  </si>
  <si>
    <t xml:space="preserve"> IAEB NO.: 2020-I003  BIDS AND AWARDS COMMITTEE I (POC-BAC I) INVITATION FOR NEGOTIATED PROCUREMENT Supply and Delivery of Anesthesia Supplies (July-December 2020) 1.	In view of the two (2) failed public biddings, the Philippine Orthopedic Center Bids and </t>
  </si>
  <si>
    <t xml:space="preserve"> INVITATION TO APPLY FOR ELIGIBILITY AND TO BID The LGU of Mataasnakahoy, Batangas through its Bids and Awards Committee (BAC), invites suppliers/ manufacturers/distributors/contractors to apply for eligibility and to bid for the hereunder project Name of </t>
  </si>
  <si>
    <t xml:space="preserve"> Republic of the Philippines										 BIDS AND AWARDS COMMITTEE										 Baguio City										 (074) 300-6537/ (074)442-8795										 BID FORM										 CP No. 2020-52 Bidding									July 30, 2020	 Circular Proposal No.									Date Prepared	 									</t>
  </si>
  <si>
    <t xml:space="preserve"> INVITATION TO BID FOR PURCHASE OF IT EQUIPMENT AND FURNITURE, MTO, CAJIDIOCAN, ROMBLON 1.	The Municipal Government of Cajidiocan, Romblon intends to apply the sum of EIGHTY FIVE THOUSAND PESOS and 00/100 (P 85,000.00) being the Approved Budget for the Con</t>
  </si>
  <si>
    <t xml:space="preserve"> Republic of the Philippines Region XII Province of Cotabato City of Kidapawan OFFICE OF THE BIDS AND AWARD COMMITTEE July 30, 2020 INVITATION TO BID FOR  SUPPLY OF FUEL FOR THE PROPOSED ROAD REHABILITATION/CROWNING AND COMPACTION OF VARIOUS BARANGAY ROADS</t>
  </si>
  <si>
    <t xml:space="preserve"> CONTRACT ID: 19GL00119; P.R. No. 2020-03-042 DATED 03/19/2020 CONTRACT LOCATION: DPWH R.O. XI (NEW BUILDING) CONTRACT DESCRIPTION: PROCUREMENT OF ONE (1) LOT OF VARIOUS FURNITURE, FOR USE IN THE OPERATION OF THE DPWH R.O. XI (NEW BUILDING), UNDER THE PLAN</t>
  </si>
  <si>
    <t xml:space="preserve"> SECTION I. INVITATION TO BID SUPPLY AND DELIVERY OF CONSERVATION, PRESERVATION AND EXHIBITION MATERIALS FOR THE NATIONAL LIBRARY OF THE PHILIPPINES The National Library of the Philippines (NLP) through the authorized appropriation for FY 2020 General Appr</t>
  </si>
  <si>
    <t xml:space="preserve"> INVITATION TO BID  Procurement of Security Services for Batangas State University  1.	The Batangas State University, through the MDS / STF / SUPPLEMENTAL BUDGET 2020 intends to apply the sum of Thirty Four Million Nine Hundred Nineteen Thousand Four Hundr</t>
  </si>
  <si>
    <t xml:space="preserve"> Invitation to Bid Supply and Delivery of Food Items (1 lot) for the Supplementary Feeding Program for the 10th cycle implementation CY 2020    1. The Department of Social Welfare and Development, Field Office 02, through the Government of the Philippines </t>
  </si>
  <si>
    <t xml:space="preserve"> 1.	The Bohol Island State University-Clarin Campus, Poblacion Norte, Clarin, Bohol, through the Corporate Budget for the contract approved by the governing Boards for CY 2020  intends to apply the sum of Five Hundred Thousand Pesos (Php 500,000.00) being </t>
  </si>
  <si>
    <t xml:space="preserve"> Republic of the Philippines MUNICIPALITY OF ORION Province of Bataan Bids and Awards Committee Secretariat Office, 2nd Floor Municipal Building, San Vicente, Orion, Bataan Telephone No. 244-9611 local 107  20ITB-INF-03-00054 Invitation to Bid for  Labor a</t>
  </si>
  <si>
    <t xml:space="preserve"> Description:		 			Road Section Length: 70 L.m		 			Thickness 0.15 m		 			Road Width: 7.0 L.m		 			Surface Type: Item 311-PCCP		 					 			CONTRACT COST:		 	LOT	1	SPECIAL ITEM-GENERAL CONDITIONS		 			A. Mobilization and Demobilization		10,000.00 			B. Proje</t>
  </si>
  <si>
    <t xml:space="preserve"> Republic of the Philippines Region XII Province of Cotabato CITY OF KIDAPAWAN BIDS AND AWARDS COMMITTEE Invitation to Bid 						  		             Date: July 30, 2020 1.	The City Government of Kidapawan, through the LDRRMF ORDINANCE No. 19-107 Disaster Prev</t>
  </si>
  <si>
    <t xml:space="preserve"> ROADWAY EXCAVATION AGGREGATE BASE COURSE BILLBOARD</t>
  </si>
  <si>
    <t xml:space="preserve"> Per compliance with the GPPB Resolution 03-2020 and BAC Resolution 2020-0018, The PCOO - BAC has issued a new notice for the resumption of the negotiated procurement of the Supply and Delivery of Office Supplies. The Meeting will be conducted via Google M</t>
  </si>
  <si>
    <t xml:space="preserve"> REHABILITATION/IMPROVEMENT OF SAN JOSE DIVERSION DAM</t>
  </si>
  <si>
    <t xml:space="preserve"> Concreting of Barangay Road W-4.00m x L-0.94km</t>
  </si>
  <si>
    <t xml:space="preserve"> Invitation to Bid No. LGU-Lupao- 2020-044 The Local Government of Lupao, Nueva Ecija Invitation to Bid for the Concreting of Farm to Market Road located at Brgy. San Roque of this municipality with Identification No. 2020-044 1. The Municipality of Lupao </t>
  </si>
  <si>
    <t xml:space="preserve"> Invitation to Bid No. LGU-Lupao- 2020-043 The Local Government of Lupao, Nueva Ecija Invitation to Bid for the Concreting of Farm to Market Road located at Brgy. Balbalungao ( Sitio Baybayabas ) of this municipality with Identification No. 2020-043 1. The</t>
  </si>
  <si>
    <t xml:space="preserve"> Concreting of Barangay Road W-2.00 x L-350m and Gravelled Raod W-2.00 x L-350m</t>
  </si>
  <si>
    <t xml:space="preserve"> REPUBLIC OF THE PHILIPPINES Province of Nueva Ecija MUNICIPALITY OF LUPAO Invitation to Bid No. LGU-Lupao- 2020-042 The Local Government of Lupao, Nueva Ecija Invitation to Bid for the Concreting of Farm to Market Road located at Agupalo Este of this muni</t>
  </si>
  <si>
    <t xml:space="preserve"> CONTRACT ID:	19GL00120; P.R. No. 2020-03-042 DATED 03/19/2020 CONTRACT LOCATION: DPWH R.O. XI (NEW BUILDING) CONTRACT DESCRIPTION: PROCUREMENT OF ONE (1) LOT OF VARIOUS CABINETS &amp; FILE STORAGE, FOR USE IN THE DPWH R.O. XI, UNDER ADMINISTRATIVE DIVISION, D</t>
  </si>
  <si>
    <t xml:space="preserve"> Republic of the Philippines BIDS AND AWARDS COMMITTEE Province of Iloilo Invitation to Bid Purchase of I.T EQUIPMENT AND SOFTWARE For Bid No. ACC-20-0918-B 1. The Iloilo Provincial Government, through the  CAPITAL OUTLAY (SUPPLEMENTAL BUDGET 2017) intends</t>
  </si>
  <si>
    <t xml:space="preserve"> Invitation to Bid No. LGU-Lupao- 2020-041 The Local Government of Lupao, Nueva Ecija Invitation to Bid for the Concreting of Farm to Market Road located at San Isidro of this municipality with Identification No. 2020-041 1. The Municipality of Lupao has a</t>
  </si>
  <si>
    <t xml:space="preserve"> INVITATION TO BID FOR PURCHASE OF NUTRITION PRODUCTS (ADULT MILK AND INSTANT OATMEAL), MDRRMO, CAJIDIOCAN, ROMBLON 1.	The Municipal Government of Cajidiocan, Romblon intends to apply the sum of NINETY-NINE THOUSAND, EIGHT HUNDRED TWENTY FIVE PESOS and 00/</t>
  </si>
  <si>
    <t xml:space="preserve"> INVITATION TO BID FOR THE PROCUREMENT OF SUPPLY &amp; DELIVERY OF 186 HEADS GOAT     1.	The Department of Agriculture Regional Field Office 6 through the General Appropriations Act (GAA) of 2020 intends to apply the sum of Two Million Nine Hundred Thirty Thou</t>
  </si>
  <si>
    <t xml:space="preserve"> INVITATION TO BID FOR PURCHASE OF MOBILE PHONES, SB OFFICE, CAJIDIOCAN, ROMBLON 1.	The Municipal Government of Cajidiocan, Romblon intends to apply the sum of NINETY THOUSAND PESOS and 00/100 (P 90,000.00) being the Approved Budget for the Contract (ABC) </t>
  </si>
  <si>
    <t xml:space="preserve"> INVITATION TO BID FOR PURCHASE OF FISHING EQUIPMENT, MAO, CAJIDIOCAN, ROMBLON 1.	The Municipal Government of Cajidiocan, Romblon intends to apply the sum of FOURTY THREE THOUSAND, TWO HUNDRED PESOS and 00/100  (P 43,200.00) being the Approved Budget for t</t>
  </si>
  <si>
    <t xml:space="preserve"> Title:Construction of 1 Unit 2 Classrooms at Sitio Salvacion, Barangay Manila De Bugabos, Butuan City Location: Barangay Manila De Bugabos, Butuan City Duration: 120 calendar days Total ABC: Php 3,064,853.87 For representative/s of interested bidders  who</t>
  </si>
  <si>
    <t xml:space="preserve"> Invitation to Bid No. LGU-Lupao- 2020-040 The Local Government of Lupao, Nueva Ecija Invitation to Bid for the Concreting of Farm to Market Road located at San Isidro to Mapangpang Road of this municipality with Identification No. 2020-040 1. The Municipa</t>
  </si>
  <si>
    <t xml:space="preserve"> INVITATION TO BID FOR PURCHASE OF OFFICE SUPPLIES, BFP-DILG, CAJIDIOCAN, ROMBLON 1.	The Municipal Government of Cajidiocan, Romblon intends to apply the sum of TWENTY THOUSAND PESOS and 00/100 (P 20,000.00) being the Approved Budget for the Contract (ABC)</t>
  </si>
  <si>
    <t xml:space="preserve"> Procurement of One (1) unit Brand New 4X2, 6-wheeler Cab for the Use of the Assets Management Office. To view Bidding Documents please copy this link on your browser: https://drive.google.com/file/d/1cDQo0TPrclBSM9Bd4TO5oDJECYPSsl1O/view?usp=sharing -----</t>
  </si>
  <si>
    <t xml:space="preserve"> The Supreme Court of the Philippines, through the Bids &amp; Awards Committee for the Halls of Justice, invites bids for the Repair and Rehabilitation of the Hall of Justice in Baler, Aurora and Refurbishment of Leased Property for the Courts in Imus City, Ca</t>
  </si>
  <si>
    <t xml:space="preserve"> CONTRACT ID: 19GL00121; P.R. No. 2020-03-042 DATED 03/19/2020 CONTRACT LOCATION:DPWH R.O. XI (NEW BUILDING) CONTRACT DESCRIPTION: PROCUREMENT OF ONE (1) OF LOT ROLLER BLINDS,  FOR USE IN THE OPERATION OF THE DPWH R.O. XI (NEW BUILDING), UNDER THE PLANNING</t>
  </si>
  <si>
    <t xml:space="preserve"> To provide catering services for the conduct of Training of Trainers on the NTP Manual of Procedure, 6th Edition August 25-28, 2020 in General Santos City.</t>
  </si>
  <si>
    <t xml:space="preserve"> QTY.	UNIT	DESCRIPTION 95	units	Branded Laptop 		Windows 10 OS 		1.6 Ghz Based Processor, Turbo Speed 		14in 1920x1080 FHD Display 		8GB RAM 		512GB HDD 		Nvidia GeForce w/ 2GB VRAM Graphic Adaptor 		802.11ac, Ethernet Port 		USB 3.0/2.0 Ports 		HDMI 		3.5</t>
  </si>
  <si>
    <t xml:space="preserve"> Procurement of licenses, Network Access Control (NAC) appliance inclusive of 1,200 device license scalable (up to 5,000 devices) with implementation, support and trainings for the enhancement of OP Network Access Control. To view Bidding Documents please </t>
  </si>
  <si>
    <t xml:space="preserve"> INVITATION TO BID Bid No. B-113-2020 (*REBIDDING) 1.	The Provincial Government of Negros Oriental through Responsibility Center: SP Res. # 846-2018 20% DF AIP 2019, intends to apply the sum of One Million Two Hundred Sixty-Eight Thousand Five Hundred Fort</t>
  </si>
  <si>
    <t xml:space="preserve"> INVITATION TO BID FOR PURCHASE OF OFFICE SUPPLIES, MSWDO, CAJIDIOCAN, ROMBLON 1.	The Municipal Government of Cajidiocan, Romblon intends to apply the sum of FOURTY NINE THOUSAND, NINE HUNDRED EIGHTY FIVE PESOS and 00/100 (P 49,985.00) being the Approved B</t>
  </si>
  <si>
    <t xml:space="preserve"> see associated components for downloadable RFQ 2020-4235)</t>
  </si>
  <si>
    <t xml:space="preserve"> INVITATION TO BID   PROPOSED 100MM X 394 LM. DI PIPELINE EXPANSION AT SITIO LUTAW-LUTAW, BRGY. TISA, CEBU CITY, CEBU PR No. 27583-001   1.	The Metropolitan Cebu Water District (MCWD), through the Corporate Budget for the contract approved by the governin</t>
  </si>
  <si>
    <t xml:space="preserve"> INVITATION TO BID July 29, 2020 1.	The Provincial Government of Davao Occidental, through its Bids and Awards Committee (BAC), invites all suppliers to apply to bid for the following goods: Bids received in excess of the ABC shall be automatically rejecte</t>
  </si>
  <si>
    <t xml:space="preserve"> Lot No. 1 150	pc.	Monoblock Chairs, gray color 40	pc.	Classroom Tables Rectangular Table BT006K027BWHT 182x76x74cm, RECT. WHITE IN HALF 10	pc.	Gang Chairs(4 Seaters Aluminum waiting visitors chairs) Lot No. 2 4	unit 	Swivel Chair, Erodynamic Chair 360⁰, W</t>
  </si>
  <si>
    <t xml:space="preserve"> REQUEST FOR EXPRESSION OF INTEREST FOR CONSULTANCY SERVICES FOR THE PREPARATION OF DETAILED ENGINEERING DESIGN FOR THE REHABILITATION OF SHIP REPAIR FACILITIES (SRF) PIER AND WHARVES PROJECT (SBMA-BAC-CONS-RFEI-20-03 1.	The Subic Bay Metropolitan Authorit</t>
  </si>
  <si>
    <t xml:space="preserve"> INVITATION TO BID   PROPOSED PIPELINE REHABILITATION PROJECT FOR GARDEN BLOOM ACRES SUBDIVISION, BRGY. PITOGO, CONSOLACION, CEBU PR No. 27613-001   1.	The Metropolitan Cebu Water District (MCWD), through the Corporate Budget for the contract approved by t</t>
  </si>
  <si>
    <t xml:space="preserve"> Republic of the Philippines City of Canlaon OFFICE OF THE BIDS AND AWARDS COMMITTEE Invitation to Bid for the CONSTRUCTION OF BUNTIS LOUNGE  The City Government of Canlaon City, through AIP 2020 intends to apply the sum of  Nine Hundred Seventy Eight Thou</t>
  </si>
  <si>
    <t xml:space="preserve"> INVITATION TO BID No. 20-004 ONE (1) YEAR GARBAGE COLLECTION, TRANSPORT AND DISPOSAL SERVICES (2nd Posting) 1.	The Cultural Center of the Philippines (CCP), through  its Corporate Operating Budget of 2020 intends to apply the sum of Two Million Nine Hundr</t>
  </si>
  <si>
    <t xml:space="preserve"> INFRA 2020-06-044  IMPROVEMENT  OF BRGY. WARD I COVERED COURT/ MULTI-PURPOSE BUILDING (PHASE III) AT BRGY. WARD I, MINGLANILLA, CEBU 1.	The MUNICIPALITY OF MINGLANILLA, through the Local Fund intends to apply the sum of   Two  Million   Nine   Hundred   N</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</si>
  <si>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</si>
  <si>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</si>
  <si>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Republic of the Philippines Province of Davao Occidental MUNICIPALITY OF SARANGANI Invitation to Bid CONSTRUCTION OF MULTI-PURPOSE BUILDING (BODEGA) (8000-2-2-15) MABILA, SARANGANI, DAVAO OCCIDENTAL. The Municipality of Sarangani, through 20% Devt.  Fund </t>
  </si>
  <si>
    <t xml:space="preserve"> QTY.	UNIT	DESCRIPTION 20	box	Aluminum Magnesium Tablet 100's 6	box	Allupirinol 100mg Tablet/100's 80	box	Amoxicillin 500mg Capsule/100's 144	btl	Amoxicillin 250mg Syrup 144	btl	Amoxicillin 100mg Drops 216	btl	Ascorbic Acid 100mg/5ml Syrup, 60ml 144	btl	As</t>
  </si>
  <si>
    <t xml:space="preserve"> GOODS 2020-06-045 PURCHASE OF MEDICAL, DENTAL &amp; LABORATORY SUPPLIES ALLOCATION FOR 2020 FOR RHU 1 FOR MINGLANILLA, CEBU The Municipality of Minglanilla, through the Local Fund of Municipality of Minglanilla intends  to  apply  the  sum  of   THREE MILLION</t>
  </si>
  <si>
    <t xml:space="preserve"> 4" Check Valve  - 1 set 3" Check Valve  - 1 set 10" Mechanical Flowmeter with pulser 	- 1 set 6" Mechanical Flowmeter with Pulser  - 1 set 4" Mechanical Flowmeter - 1 set 2" Mechanical Flowmeter - 1 set 6" Y-Strainer - 1	set 4" Y-Strainer - 1	set 2" Y-Str</t>
  </si>
  <si>
    <t xml:space="preserve"> The Zamboanga State College of Marine Sciences and Technology (ZSCMST), through its Bids and Awards Committee, is inviting PhilGeps registered suppliers to apply for eligibility and to submit bids for the items mentioned hereunder: B-046-2020-A	 SUPPLY, D</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</si>
  <si>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</si>
  <si>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Republic of the Philippines City of Dapitan BIDS AND AWARDS COMMITTEE INVITATION TO BID July 28, 2020 	 The City Government of Dapitan, through its Bids and Awards Committee (BAC), invites interested parties to apply for eligibility and, if found eligible</t>
  </si>
  <si>
    <t xml:space="preserve"> maintenance of various city owned vehicles and equipment.</t>
  </si>
  <si>
    <t xml:space="preserve"> To be distributed to the communities and public schools as part of fire preparedness program of CCDRRMO.</t>
  </si>
  <si>
    <t xml:space="preserve"> To purchase reflectorized Thermoplastic Pavement Markings to be used for Traffic Engineering.</t>
  </si>
  <si>
    <t xml:space="preserve"> For Office Supplies of Various Cebu City Government Offices.</t>
  </si>
  <si>
    <t xml:space="preserve"> For use in Artesian Well Servies Division in delivering Portable water in various barangays especially in the upland area.</t>
  </si>
  <si>
    <t xml:space="preserve"> GOODS 2020-06-046 PURCHASE OF MEDICAL, DENTAL &amp; LABORATORY SUPPLIES ALLOCATION FOR 2020 FOR RHU 2 FOR MINGLANILLA, CEBU The Municipality of Minglanilla, through the Local Fund of Municipality of Minglanilla intends to apply the sum of TWO MILLION NINE HUN</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</si>
  <si>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</si>
  <si>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ELECTRODES</t>
  </si>
  <si>
    <t xml:space="preserve"> AGUS 6 UNITS 3,4 &amp; 5</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</si>
  <si>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</si>
  <si>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Use for the fabrication of playground set at San Pedro West Day Care Center/CSAP Housing</t>
  </si>
  <si>
    <t xml:space="preserve"> INVITATION TO BID FOR Procurement of Non-Contact Temperature Screening Camera for the Covid-19 Prevention of the College           The CAMARINES SUR POLYTECHNIC COLLEGES, through the GAA Savings (2020) intends to apply the sum of One Million Five Hundred </t>
  </si>
  <si>
    <t xml:space="preserve"> The Local Government Unit of San Andres. Quezon is Requesting for Quotation for the Purchase of Materials for the Fabrication of Wooden windows Mosquito Net Frame at Bryg. Poblacion, San Andres, Quezon amounting to Php 56,735.00.</t>
  </si>
  <si>
    <t xml:space="preserve"> Contract for One (1) Lot Cloud Storage, 20TB under P.R. No. KMT-2002-008 and ITB No. 2006-029-10 Schedule of Activities  Pre-bid Conference		: 05 August 2020 @ 10:00 A.M. 				  Cafeteria, LRTA Line 2- Depot, Santolan, Pasig City Submission of Bids		: 19 A</t>
  </si>
  <si>
    <t xml:space="preserve"> Contract for the Supply of Various Spare Parts (Static Inverter IGBT, Static Inverter Gate Drive Unit, and SIV Fuse) under P.R. No. RS-0720-010 and ITB No.2007-037-01 Schedule of Activities  Pre-bid Conference		: 05 August 2020 @ 10:00 A.M. 				  Cafeteri</t>
  </si>
  <si>
    <t xml:space="preserve"> Qty.	Unit	Description 			 		OFFICE OF THE CITY TREASURER			 2	units	Desktop CPU			 		Specs: Intel Corei3 Processor			 		4GB DDR4 RAM, 1 TB Hard Disk Drive			 		Motherboard with Integrated AVL			 		Mini Tower Casing with Power Supply 650W	 		 		OFFICE OF T</t>
  </si>
  <si>
    <t xml:space="preserve"> 66.0 LPS@ 65mTDH SS-316 submersible pump (preferrably DPM 215-2a or equivalent) coupled to 75Hp, 460 volts, 3 phase 8"Ø Franklin submersible motor with 2 pcs-Splicing Kit #3M 82-A3)   - 1 set 4.0 LPS (240 liters per min) @85m TDH pump, SS 316 (preferrably</t>
  </si>
  <si>
    <t xml:space="preserve"> DP 160-3a, 60 LPS @ 68mts TDH, 6"Ø NPT,  SS 316, submersible pump, coupled to 75.0 Hp, 460 V, 3 phase, 3 wires, 8"Ø Franklin Submersible motor - 1 set 82-A3 Splicing Kit - 2	pcs 3C - 50mm² / #1.0 AWG submersible wire (flat wire preferred)  - 68 meters VFD</t>
  </si>
  <si>
    <t xml:space="preserve"> DP 160-3a, 50.0 LPS @ 84.0 mts TDH, 6"Ø NPT, SS316, submersible pump, coupled to 75.0 Hp, 460 V, 3 phase, 3 wires, 8"Ø Franklin submersible motor  -	1 Set 3C - 50mm²/ #1.0 AWG submersible wire (flat wire preferred) - 84 Meters 6” Ø/150mm Ø X 6.0 mm thick </t>
  </si>
  <si>
    <t xml:space="preserve"> Republic of the Philippines Province of Samar Catbalogan City INVITATION TO BID FOR Goods 2020-018 Supply and Delivery of  Computer Equipment (Laptop and printer)  and Nine (9) units Office Equipment (aircondition) 1.	The City Government of Catbalogan, th</t>
  </si>
  <si>
    <t xml:space="preserve"> 2” Sleeve Type Coupling - 80.00	Pcs 3” Sleeve Type Coupling - 50.00	Pcs 4” Sleeve Type Coupling - 70.00	Pcs 6” Sleeve Type Coupling - 50.00	Pcs 8” Sleeve Type Coupling - 35.00	Pcs Hot dipped galvanized 9/16” x 14” threaded rods with minimum of 4” thread l</t>
  </si>
  <si>
    <t xml:space="preserve"> CLARK DEVELOPMENT CORPORATION CLARK FREEPORT ZONE INVITATION TO BID The Clark Development Corporation, through its Bids and Awards Committee (BAC), invites Electrical Contractors/Suppliers to bid for the hereunder project: Name of Project:Preventive Maint</t>
  </si>
  <si>
    <t xml:space="preserve"> Project Reference No.: I-2020-17  Date:          July 29, 2020 INVITATION TO BID FOR “MODERN AUDIO VISUAL ROOM AT  LABORATORY HIGH SCHOOL (LHS)” (INFRA-2020-17)      1.	The Bulacan State University (BulSU), through the Income Fund 2020 intends to apply th</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</si>
  <si>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</si>
  <si>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The Zamboanga State College of Marine Sciences and Technology (ZSCMST), through its Bids and Awards Committee, is inviting PhilGeps registered suppliers to apply for eligibility and to submit bids for the items mentioned hereunder: B-044-2020  PROCUREMENT</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</si>
  <si>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</si>
  <si>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The Zamboanga State College of Marine Sciences and Technology (ZSCMST), through its Bids and Awards Committee, is inviting PhilGeps registered suppliers to apply for eligibility and to submit bids for the items mentioned hereunder: B-043-2020  CONTINUOUS </t>
  </si>
  <si>
    <t xml:space="preserve"> INVITATION TO BID ITB NO.: A6-2020 The East Avenue Medical Center through its Hospital Bids and Awards Committee (BAC) through the General Appropriations Act (GAA) 2020, Revolving Fund, and/or Hospital Income, invites suppliers / manufacturers / distribut</t>
  </si>
  <si>
    <t xml:space="preserve"> Invitation to Bid for the “PROPOSED CONSTRUCTION OF STORAGE FACILITY FOR HAZARDOUS MATERIALS” 1. The Subic Bay Metropolitan Authority, through the 2020 Corporate Operating Budget for the contract approved by the SBMA Governing Board, intends to apply the </t>
  </si>
  <si>
    <t xml:space="preserve"> Invitation to Bid for the “REHABILITATION OF MT. STA. RITA COMMUNICATION FACILITY” 1. The Subic Bay Metropolitan Authority, through the 2020 Corporate Operating Budget for the contract approved by the SBMA Governing Board, intends to apply the sum of Six </t>
  </si>
  <si>
    <t xml:space="preserve"> REQUEST FOR EXPRESSION OF INTEREST FOR THE PROCUREMENT OF CONSULTING SERVICES TO DEVELOP THE COMMISSION ON HUMAN RIGHTS ORGANIZATIONAL STRUCTURE AND STAFFING PATTERN AND PREPARATION FOR LEVEL 2 PRIME HRM ACCREDITATION 1.	The Commission on Human Rights (CH</t>
  </si>
  <si>
    <t xml:space="preserve"> 1.	The Bureau of Soils and Water Management, through the General Appropriation Act for CY 2020 intends to apply the sum of One Million Two Hundred Fifty Thousand pesos (Php 1,250,000.00) being the Approved Budget for the Contract (ABC) to payments under t</t>
  </si>
  <si>
    <t xml:space="preserve"> The Zamboanga State College of Marine Sciences and Technology (ZSCMST), through its Bids and Awards Committee, is inviting PhilGeps registered suppliers to apply for eligibility and to submit bids for the items mentioned hereunder: B-045-2020-A SUPPLY AND</t>
  </si>
  <si>
    <t xml:space="preserve"> 16	Unit 	Steel Cabinet, Vertical, 4 drawers, textured light gray, 45.2 x 62 x 133.1 cm (LWH) 11	Unit 	4-Layer Filing Cabinet with lock, gray, 46 x 62 x 138 cm (LWH), 73.5 kgs. 4	Unit 	Steel Locker Cabinet (9 door)</t>
  </si>
  <si>
    <t xml:space="preserve"> 1	unit 	Aircon Split Type with inverter (1.5HP) 4	unit 	Airconditioning unit, Split Type,Inverter, 2.0 HP, 65% power savings-the highest energy savings in the industry, wireless remote, autorestart function, easy to clean panel, Nano silver and photocatal</t>
  </si>
  <si>
    <t xml:space="preserve"> Republic of the Philippines City of Toledo -oOo- BIDS AND AWARDS COMMITTEE ITB No. I09-02-2020 INVITATION TO BID FOR: Proposed Construction of Multi-Purpose Building (PhaseII) @ Brgy. Cabitoonan, Toledo City 1.	The City Government of Toledo under the 20% </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</si>
  <si>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</si>
  <si>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Lot 1: Books ABC Php 147,115.00 3	copies  	Animation and Multimedia: K-12, 3rd ed./Jemma Development Group ©2017 3	copies  	Animation: Intermediate with DVD, 2nd ed./3G E-Learning ©2018 3	copies  	Art Appreciation/Solmerano, E. ©2019 3	copies  	Biology 2/</t>
  </si>
  <si>
    <t xml:space="preserve"> Upgrading of Internet Infrastructure •	Mobilization/ Demobilization and Logistics, Installation, Cable Pulling(Rough-ins), Grounding for Racks, Termination, Configuration, Labor •	Network Unifi AC-LR Access Point, UTP CAT5E Cable 300m, Fiber Optic Cable, </t>
  </si>
  <si>
    <t xml:space="preserve"> INVITATION TO BID The Iligan City Government Bids and Awards Committee (BAC), through  2016 GENERAL FUND-Proper intends to apply the sum of  P 3,300,000.00 being the Approved Budget for the Contract (ABC) to payments under the Contract for Supply and Deli</t>
  </si>
  <si>
    <t xml:space="preserve"> Invitation to Bid For Supply and Delivery of Additional 120 Units for Existing Cisco ISR 4221 Routers 1.	The LAND BANK OF THE PHILIPPINES (LANDBANK), through its Corporate Budget for the contract Thirty One Million Four Hundred Five Thousand Pesos Only (P</t>
  </si>
  <si>
    <t xml:space="preserve"> The Local Government Unit of Santa Fe, Nueva Vizcaya, through its Bids &amp; Awards Committee invites contractors to bid for the following project: Contract Name: 	CONCRETING OF TACTAC-ATBU ROAD Contract Location: Tactac, Santa Fe, Nueva Vizcaya Approve Budge</t>
  </si>
  <si>
    <t xml:space="preserve"> Quantity	Unit	Description 750	gals	Acid Concentrate 10L  1500	gals	Bicarbonate Concentrate 34	bxs	Boodlines w/ Filter 24's 5	gals	Citrosteril 5	pcs	Disafe Plus 100	pcs	Dialyzer F8 Low Flux 6	bxs	Fistula Needle (Arterial) 50's 6	bxs	Fistula  Needle (Venous</t>
  </si>
  <si>
    <t xml:space="preserve"> SEE ATTACHED FILE.</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</si>
  <si>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</si>
  <si>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Republic of the Philippines Province of Leyte Municipality of Hilongos Barangay STA. CRUZ REQUEST FOR QUOTATION ________________ DATE _____________________ _____________________ .        Please quote your lowest price on the items/listed below for theProc</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</si>
  <si>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</si>
  <si>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AREA FOR REPAIR-68.82M; T=2.5"; VOL.4.30M; H=5CHB; T=3" CONCRETE BENCH- L=25LM; W=0.3M</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</si>
  <si>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</si>
  <si>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172 bags Bangus feeds grower 30 bags Fry mash 5 bags Shrimp feeds (starter) 35 bags Shrimp feeds (grower) 10 bags Shrimp feeds (finisher)</t>
  </si>
  <si>
    <t xml:space="preserve"> Republic of the Philippines BIDS AND AWARDS COMMITTEE Province of Iloilo Invitation to Bid Purchase of Medical &amp; Laboratory Supplies Bid No. DIS-20-0817-B 1. The Iloilo Provincial Government, through the LDRRM TRUST FUND intends to apply the sum of ONE MI</t>
  </si>
  <si>
    <t xml:space="preserve"> Section I. Invitation to Bid FOR THE UPLB-S-049-08-20  PROCUREMENT FOR THE REHABILITATION/UPGRADE OF INTERNET CONNECTION FOR BAC SECRETARIAT OFFICE 1.	The UNIVERSITY OF THE PHILIPPINES LOS BAÑOS (UPLB), through the GOP intends to apply the sum of EIGHT HU</t>
  </si>
  <si>
    <t xml:space="preserve"> Section I. Invitation to Bid FOR THE UPLB-S-047-08-20  SUPPLY AND DELIVERY OF BRANDED AND BRAND NEW VARIOUS INFORMATION TECHNOLOGY, PARTS &amp; ACCESSORIES &amp; PERIPHERALS 1.	The UNIVERSITY OF THE PHILIPPINES LOS BAÑOS (UPLB), through the GOP intends to apply t</t>
  </si>
  <si>
    <t xml:space="preserve"> The purchase of one (unit) of Multi-Purpose Vehicle of Barangay Manibaug Pasig, Porac, Pampanga *not exceeding 2800cc engine displacement diesel-fed and 4 cylinder</t>
  </si>
  <si>
    <t xml:space="preserve"> 1	m³	189	Aggregate base course           FOB	800.00	151,200.00 2	m³	81	Gravel                                  INDUSTRIAL	840.00	68,040.00 3	m³	63	Sand                                          PARK, PALINPINON	820.00	51,660.00 			TOTAL:		270,900.00</t>
  </si>
  <si>
    <t xml:space="preserve"> Section I. Invitation to Bid FOR THE UPLB-S-048-08-20  SUPPLY AND DELIVERY OF BRANDED AND BRAND NEW CHEMICALS AND CHEMICAL PRODUCTS FOR BIOTECH 1.	The UNIVERSITY OF THE PHILIPPINES LOS BAÑOS (UPLB), through the GOP intends to apply the sum of TWO MILLION </t>
  </si>
  <si>
    <t xml:space="preserve"> Republic of the Philippines City of Toledo -oOo- BIDS AND AWARDS COMMITTEE ITB No. I11-02-2020 INVITATION TO BID FOR: Proposed Completion of GSD Warehouse &amp; Construction of Perimeter Fence @ Brgy. Poblacion, Toledo City 1.	The City Government of Toledo un</t>
  </si>
  <si>
    <t xml:space="preserve"> Republic of the Philippines City of Gapan Province of Nueva Ecija -------------------------------------------------------------------------- Invitation to Bid for the Construction of “Ang Lumang Gapan Project” 1.	The City Government of Gapan, through the </t>
  </si>
  <si>
    <t xml:space="preserve"> Cement Coco Lumber 2"x4"x12' Mixing Water Sand Gravel Common Nails</t>
  </si>
  <si>
    <t xml:space="preserve"> AS PER CRITERIA ATTACHED IN THE REQUEST FOR EXPRESSION OF INTEREST</t>
  </si>
  <si>
    <t xml:space="preserve"> INVITATION TO BID The DPWH Bukidnon 1st District Engineering Office, Malaybalay City, through its Bids and Awards Committee (BAC), invites contractors to submit bids for the following Contracts:   Contract ID 	:	19KA0162 Contract Name 	:	Concreting of Sit</t>
  </si>
  <si>
    <t xml:space="preserve"> Republic of the Philippines City of Gapan Province of Nueva Ecija -------------------------------------------------------------------------- Invitation to Bid for the Installation of Fiber Optic, CCTV, Early Warning System, and other Paraphernalia for Cen</t>
  </si>
  <si>
    <t xml:space="preserve"> Republic of the Philippines MUNICIPALITY OF TAPAZ BIDS AND AWARDS COMMITTEE Office of the BAC Secretariat, Poblacion, Tapaz, Capiz 5814 E-mail: bac.tapaz@yahoo.com Invitation to Bid:   Procurement of Works for the Construction of Category 3 Sanitary Land </t>
  </si>
  <si>
    <t xml:space="preserve"> B.5 Project Billboard l.s. 1.00 B.7 Occupational Safety and Health Program l.s. 1.00 B.8 Traffic Management l.s. 1.00 Item 301 Bit. Prime Coat m.t. 341 Item 310 Bit Conc. Surface Coarse m.t. 566.89 600 (a) Pavement Markings  sq.m. 162.20</t>
  </si>
  <si>
    <t xml:space="preserve"> REQUEST FOR EXPRESSION OF INTEREST (REOI) FOR          Consulting Services for the Concept Study of Baler By-Pass Road, Baler, Aurora 1.	The Department of Public Works and Highways – Aurora District Engineering Office, through the FY-2019 Preliminary Deta</t>
  </si>
  <si>
    <t xml:space="preserve"> I. Project Billboard l.s. 1 II. Temporary Facility l.s. 1.00 III. Occupational Safety land Health Program ls. 1.00 IV. Layout ad Clearing (Including cutting of tree) l.s. 1 V. Grouted Riprap     A. Excavation  cu.m. 345.00    B. Riprapping cu.m. 535.44   </t>
  </si>
  <si>
    <t xml:space="preserve"> SPCL 1 Project Billboard lot 1.00 SPCL II Temporary Facility lot 1.00 SPCL III Occupational Safety and Health Program  lot 1.00 I. Layout, clearing cutting of Tree and Uprooting II. Grouted Riprap A. Excavation cu.m. 324.00 B. Riprapping cu.m. 774.75 C. F</t>
  </si>
  <si>
    <t xml:space="preserve"> 1 UNI Recorder, Standalone h.264 USB, portable  -In accordance with the Technical Specifications  ABC: Php 27,442.54  NOTE: Please sign all pages of the Technical Specifications and submit it together with your quotation. If selected as the winning bidder</t>
  </si>
  <si>
    <t xml:space="preserve"> One  (1)  Lot  Engagement  of  Consultant  for  the Assessment  of  Enterprise  Risk,  Business  Continuity  Management  Frameworks  and Development  of  Compliance  Management Framework and Program for the Bangko Sentral ng  Pilipinas  (BSP),  as  per  B</t>
  </si>
  <si>
    <t xml:space="preserve"> I. Layout /Staking Works  lot 1.00 II. Project Billboard        pc. 1.00 III. Occupational Safety and Health Program lot 1.00 IV. Temporary Facility lot 1.00 V. Hauling of Const. Materials lot 1.00 VI. Temporary Break Water  lot 1.00 VII. Concrete Slope P</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</si>
  <si>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</si>
  <si>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MATERIALS FOR REHABILITATION OF MUNICIPAL PUBLIC CEMETERY AT PUROK 5, HIJO, MACO, DAVAO DE ORO.</t>
  </si>
  <si>
    <t xml:space="preserve"> 112	ROLL	ADDING MACHINE SLIP ADVANCE 57MM X 70M*	 75	PC	BALLPEN HBW ASSORTED* 7263	PC	BALLPEN HBW BLACK*	 812	PC	BALLPEN HBW BLUE*	 757	PC	BALLPEN HBW RED*	 792	PC	BALLPEN PANDA BLACK*	 216	PC	BALLPEN PANDA BLUE*	 216	PC	BALLPEN PANDA RED*	 50	PC	BALLPEN </t>
  </si>
  <si>
    <t xml:space="preserve"> 4	Unit	Brand New Jet Ski with trailer	 		Engine Type: 3 clinder, 4 stroke 	 		Electronic Fuel Injection	 		Displacement: 1,049 cc	 		Fuel Capacity: 70L/18.5gal 	 		unleaded gasoline	 		Rider Capacity: 1-3 persons	 		Storage Capacity: 93.2L/24.6 gal	 		Dim</t>
  </si>
  <si>
    <t xml:space="preserve"> 1.	The Sultan Kudarat Water District, through the Corporate Budget Approved by the Governing Board  intends to apply the sum of P 2,520,000.00 being the Approved Budget for the Contract (ABC) to payments under the contract. Bids received in excess of the </t>
  </si>
  <si>
    <t xml:space="preserve"> IMPROVEMENT OF DRAINAGE CANAL (LABOR, MATERIALS &amp; EQUIPMENT RENTAL) ALONG NATIONAL HIGHWAY, POBLACION, MACO, DAVAO DE ORO.</t>
  </si>
  <si>
    <t xml:space="preserve"> Invitation to Bid  IB-2020-109-INFRA Proposed Fabrication and Installation of Stairs and Waiting Shed for Bus Stop at MRT3/LRT1 and Footbridges along EDSA from Roxas Blvd. to Monumento The Metropolitan Manila Development Authority, through the 2020 Local </t>
  </si>
  <si>
    <t xml:space="preserve"> 1. The Energy Regulatory Commission (ERC), through the continuing Appropriation for Fiscal Year 2019, intends to apply the sum of Four Million Eight Hundred Thousand (PhP4,800,000.00), inclusive of all government taxes and other fees and charges, being th</t>
  </si>
  <si>
    <t xml:space="preserve"> 1. The ENERGY REGULATORY COMMISSION (ERC), through the Government of the Philippines (GOP), intends to apply the sum of Four Million Three Hundred Eighty-One Thousand Six Hundred Sixty-Six Pesos and Sixty-Seven Centavos (PhP4,381,666.67), inclusive of all</t>
  </si>
  <si>
    <t xml:space="preserve"> 120	CAN	AIR FRESHENER CAN (CALIFORNIA	 		SCENT)*	 92	CAN	AIR FRESHENER CAN (SHALDAN)*	 413	BTL	AIR FRESHENER GLADE 320ML SPRAY*	 96	BTL	ALCOHOL ISOPROPHYL 70% (GREEN	 		CROSS) 250ML*	 232	BAR	BATH SOAP (SAFEGUARD) 90G*	 6	PC	BOWL BRUSH &amp; CUDDY	 4	PC	BROOM</t>
  </si>
  <si>
    <t xml:space="preserve"> INVITATION TO BID FOR THE PROCUREMENT OF GROCERY ITEMS FOR BANGUN IMPLEMENTATION IN BASILAN PROVINCE The Department of Social Welfare and Development (DSWD) Field Office IX through the Government of the Philippines General Appropriations Act of 2020 inten</t>
  </si>
  <si>
    <t xml:space="preserve"> supply and delivery of the following: Lot 1 - LIVESTOCK                                         pHP 1,352,500.00 127 Heads - Upgraded Native Goat Specification: • Matured kid ready for breeding • Female kid • Not less than 8kgs. 2,050 heads - Native chick</t>
  </si>
  <si>
    <t xml:space="preserve"> INVITATION TO BID The Department of Public Works and Highways - Pampanga 1st District Engineering Office, through its Bids and Awards Committee (BAC), invites contractors to submit bids for the following Contract: 1.	 Procurement ID/Contract ID	:	20CG0250</t>
  </si>
  <si>
    <t xml:space="preserve"> Request for Quotation for the Procurement of 753 bags of Chicken Dung 1.	The Department of Agriculture-Regional Field Office 7 (DA-RFO 7), through the General Appropriation Act for CY 2020 intends to apply the sum of One Hundred Twelve Thousand Nine Hundr</t>
  </si>
  <si>
    <t xml:space="preserve"> Republic of the Philippines Province of Romblon MUNICIPALITY OF ALCANTARA -o0o- Invitation to Bid for   CONSTRUCTION OF POBLACION TO MALANTUYON BAYWALK ACCESS ROAD Poblacion, Alcantara, Romblon The Municipal Government of Alcantara, Romblon through the 20</t>
  </si>
  <si>
    <t xml:space="preserve"> INVITATION TO BID FOR THE PROCUREMENT OF PERISHABLE ITEMS FOR BANGUN IMPLEMENTATION IN SULU PROVINCE The Department of Social Welfare and Development (DSWD) Field Office IX through the Government of the Philippines General Appropriations Act of 2020 inten</t>
  </si>
  <si>
    <t xml:space="preserve"> Republic of the Philippines Region X PROVINCE OF LANAO DEL NORTE Gov. Arsenio A. Quibranza Provincial Government Center Pigcarangan, Tubod, Lanao del Norte OFFICE OF THE CHAIRPERSON OF THE BIDS AND AWARDS COMMITTEE Provincial Government of Lanao del Norte</t>
  </si>
  <si>
    <t xml:space="preserve"> PARTICULARS	DATE Pre-bid Conference @ BAC Conference Room, GSO, 1st floor, New Capitol Blg, Pigcarangan, Tubod,LDN on August 6,  2020 @ 10:00 AM Deadline for Submission of Eligibility requirements and bidding documents for  bid opening (all bids must be p</t>
  </si>
  <si>
    <t xml:space="preserve"> Invitation to Bid for the CONSTRUCTION OF MAKILALA INSTITUTE OF SCIENCE AND TECHNOLOGY (MIST) INDIGENOUS PEOPLE DORMITORY LOCATED AT BRGY. CONCEPCION, MAKILALA, COTABATO REFERENCE NO. NHAXII-2020-073 The National Housing Authority (NHA) – Region XII, thro</t>
  </si>
  <si>
    <t xml:space="preserve"> Section I. Invitation to Bid Supply and Delivery of Laptop Computers for the Department of Trade &amp; Industry (DTI) 1. The Department of Trade and Industry, through the General Appropriations Act for CY 2020, intends to apply the sum of Twenty-Six Million O</t>
  </si>
  <si>
    <t xml:space="preserve"> Section I. Request for Expression of Interest Consulting Service for the Support and Maintenance of the Business Name Registration System Next Generation (BNRSNextGEN) 1.	The Department of Trade and Industry, through the CY 2020 General Appropriations Act</t>
  </si>
  <si>
    <t xml:space="preserve"> Invitation to Bid for COMPLETION OF TECHNOLOGY HUB SND ONE STOP SHOP, MARIANO M. MONDOÑEDO AVE., UPLB, COLLEGE, LAGUNA 1.	The U.P. LOS BAÑOS, through the GOP through UPLB REPROGRAMMED FUND intends to apply the sum of ₱6,757,122.34 being the Approved Budge</t>
  </si>
  <si>
    <t xml:space="preserve"> PARTICULARS	DATE Pre-bid Conference @ BAC Conference Room, GSO, 1st floor, New Capitol Blg, Pigcarangan, Tubod,LDN.	August 6,  2020 @ 10:00 AM Deadline for Submission of Eligibility requirements and bidding documents for bid opening (all bids must be plac</t>
  </si>
  <si>
    <t xml:space="preserve"> INVITATION TO BID  PROCUREMENT  OF TWO (2) UNITS  BRAND NEW MEDICAL AMBULANCE   GS 2020-007-025 1.	The City Government of Sorsogon    intends to apply the sum of   Four   Million   Four Hundred      Thousand      Pesos (P 4,400,000.00) being the Approved </t>
  </si>
  <si>
    <t xml:space="preserve"> 14 males security personnel 3 females security personnel The Mindanao Central Sanitarium, through the General Appropriations Act of 2020 intends to apply the sum of Three Million Three Hundred Seventy-Eight Thousand Six Hundred Sixty-Eight &amp; 40/100 Pesos </t>
  </si>
  <si>
    <t xml:space="preserve"> PROJECT REFERENCE NO. CWD 33-2020 INVITATION TO BID FOR  Supply and Delivery of Various Cast Iron Fittings Item No.	Item Description	Qty.	Unit	Unit Cost	Total Amount 1	Gate Valve 50mm (2"),M/M	12	Pcs	6,877.20	82,526.40 2	Gate Valve 75mm (3"),M/M	3	Pcs	10,</t>
  </si>
  <si>
    <t xml:space="preserve"> Various Medical Supplies Line items type of Bidding</t>
  </si>
  <si>
    <t xml:space="preserve"> BIDS AND AWARDS COMMITTEE INVITATION TO BID No. 070-2020 The METRO ROXAS WATER DISTRICT (MRWD), through its Bids and Awards Committee (BAC), invites Manufacturers/Suppliers/Distributors to apply for eligibility and to bid for the hereunder project: Name o</t>
  </si>
  <si>
    <t xml:space="preserve"> Republic of the Philippines BIDS AND AWARDS COMMITTEE Bacolod City INVITATION TO BID FOR THE PURCHASE OF MATERIALS FOR THE CONCRETING OF ROAD AT FORTUNE TOWNE, 5TH ROAD, BRGY. ESTEFANIA 1.	The City of Bacolod, through the Sangguniang Panlungsod 2020 inten</t>
  </si>
  <si>
    <t xml:space="preserve"> 1.	The Bureau of Soils and Water Management, through the General Appropriation Act for CY 2020 intends to apply the sum of: LOT 1- Supply and Delivery of Palay and Vegetable seeds in the amount of One Million Three Hundred Seventy-Seven Thousand Seven Hun</t>
  </si>
  <si>
    <t xml:space="preserve"> Republic of the Philippines BIDS AND AWARDS COMMITTEE Bacolod City INVITATION TO BID FOR THE 	 1.	The City of Bacolod, through the Sangguniang Panlungsod 2020 intends to apply the sum of                                                                     </t>
  </si>
  <si>
    <t xml:space="preserve"> Republic of the Philippines BIDS AND AWARDS COMMITTEE Bacolod City INVITATION TO BID FOR THE PURCHASE OF MATERIALS FOR THE ROAD IMPROVEMENT AT SAN SEBASTIAN ST. (DAWIS), BRGY. 13 (SAN JUAN ST. TO PALANCA ST.) 1.	The City of Bacolod, through the Sanggunian</t>
  </si>
  <si>
    <t xml:space="preserve"> Republic of the Philippines BIDS AND AWARDS COMMITTEE Bacolod City INVITATION TO BID FOR THE PURCHASE OF MATERIALS FOR IMPROVEMENT OF FACILITIES AT SOCIAL DEVELOPMENT CENTER, BRGY. SINGCANG-AIRPORT, BACOLOD CITY 1.	The City of Bacolod, through the Sanggun</t>
  </si>
  <si>
    <t xml:space="preserve"> ROAD CONCRETING, (LENGTH=150 MTS.,WIDE=2.50 MTS.,THICK=0.10 MTS.</t>
  </si>
  <si>
    <t xml:space="preserve"> PROVISION OF A QUANTITATIVE SURVEY ON LEVELS OF AWARENESS  AND PREFERENCE ON PAG-IBIG FUND PRODUCTS  The Pag-IBIG Fund Corporate Headquarters, through its Bids and Awards Committee – Goods and Services (BAC-GS) intends to apply the sum of One Million Five</t>
  </si>
  <si>
    <t xml:space="preserve"> CONSTRUCTION OF MATERIALS RECOVERY FACILITY, MERCED, BANATE, ILOILO</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</si>
  <si>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</si>
  <si>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1.	The Philippine Rice Research Institute, through the 2020 Rice Competitiveness Enhancement Fund intends to apply the sum of TEN MILLION PESOS AND 00/100 ONLY (Php 10,000,000.00) being the Approved Budget for the Contract (ABC) to payments under the cont</t>
  </si>
  <si>
    <t xml:space="preserve"> Republic of the Philippines BIDS AND AWARDS COMMITTEE Bacolod City INVITATION TO BID FOR THE PURCHASE OF MATERIALS FOR THE ROAD IMPROVEMENT OF STA. ANA ST., BRGY. 30 &amp; 31 (FROM EXISTING PAVEMENT-LUZURIAGA ST.)  1.	The City of Bacolod, through the Sangguni</t>
  </si>
  <si>
    <t xml:space="preserve"> Republic of the Philippines BIDS AND AWARDS COMMITTEE Bacolod City INVITATION TO BID FOR THE PROJECT FOR CONSTRUCTION/REHABILITATION/ IMPROVEMENT OF DRAINAGE SYSTEM @ BRGY. 27 1.	The City of Bacolod, through the Sangguniang Panlungsod 2020 intends to appl</t>
  </si>
  <si>
    <t xml:space="preserve"> INVITATION TO APPLY FOR ELIGIBILITY AND TO BID 	The local Government Unit of Can-avid, through is Bid and Awards Committee (BAC). Invites suppliers to apply for eligibility, to bid for the hereunder contract: Name of Contract:      EMBANKMENT OF PROPOSED </t>
  </si>
  <si>
    <t xml:space="preserve"> PROVISION OF ADDITIONAL FISHING GEARS AS AN ALTERNATIVE LIVELIHOOD TO MUNICIPAL MODIFIED DANISH SEINE (HULBOT – HULBOT DE MANO) A.	Gill Net		 •	Net (0.25 twine, 7k mesh, 50)	270	Paldo •	Floats (No. 1 Cylindrical) (100/pack)	270	Packs B.	Fish Pot (Bobo)		 </t>
  </si>
  <si>
    <t xml:space="preserve"> 100 "Bag(s)" "Fertilizer, Organic, Vermicast -" "" 10 "Bag(s)" "Fertilizer, Urea (46-0-0) -" "" 10 "Bag(s)" "Fertilizer, Complete (14-14-14) - 60 "Bundle(s)" "Plastic Black PE -" "(Polyethelyne Bag Expanded) 7x7x10x0.003" 4 "Pack(s)" "Seeds, Pechay, OPV -</t>
  </si>
  <si>
    <t xml:space="preserve"> pls. see attached...</t>
  </si>
  <si>
    <t xml:space="preserve"> Invitation to Bid 1.	The MUNICIPAL GOVERNMENT OF SAN VICENTE, PALAWAN, through the General Fund for CY 2020 intends to apply the sum of  TWO HUNDRED SEVENTY THOUSAND PESOS (Php 270,000.00) being the Approved Budget for the Contract (ABC) to payments under</t>
  </si>
  <si>
    <t xml:space="preserve"> Delivery of materials and Scope of Project</t>
  </si>
  <si>
    <t xml:space="preserve"> Sub Soil Exploration</t>
  </si>
  <si>
    <t xml:space="preserve"> Invitation to Bid 1.	The MUNICIPAL GOVERNMENT OF SAN VICENTE, PALAWAN, through the Municipal Disaster Risk Reduction Management Office (MDRRMO) SUPPLEMENTAL BUDGET NO. 03. S, 2020 intends to apply the sum of  ONE MILLION EIGHT HUNDRED THOUSAND PESOS (Php </t>
  </si>
  <si>
    <t xml:space="preserve"> 1.	The Bangko Sentral ng Pilipinas (BSP), through its Bids and Awards Committee-Security Plant Complex (BAC-SPC), invites Bidders to apply for eligibility and to bid for the hereunder requirement: Name of Requirement/Brief Description:  One (1) lot Supply</t>
  </si>
  <si>
    <t xml:space="preserve"> Invitation to Bid 1.	The MUNICIPAL GOVERNMENT OF SAN VICENTE, PALAWAN, through the 2019 Continuing Fund of Municipal Economic and Enterprises Development Office (MEEDO) intends to apply the sum of  EIGHT HUNDRED THIRTY THOUSAND THREE HUNDRED NINETY PESOS </t>
  </si>
  <si>
    <t xml:space="preserve"> PROJECT REFERENCE NO. CWD 34-2020 INVITATION TO BID FOR  Supply and Delivery of Various Electrical Supplies Item No.	Item Description	Qty.	Unit	Unit Cost	Total Amount 1	Circuit Breaker 30A (plug on or bolt on)	6	pcs	1,046.65	6,279.90 2	Circuit Breaker 40A</t>
  </si>
  <si>
    <t xml:space="preserve"> Invitation to Bid 1.	The MUNICIPAL GOVERNMENT OF SAN VICENTE, PALAWAN, through the General Fund for CY 2020 intends to apply the sum of  ONE MILLION SIX HUNDRED SEVEN THOUSAND TWO HUNDRED ONE PESOS AND TWENTY-TWO CENTAVOS  (Php 1,607,201.22) being the App</t>
  </si>
  <si>
    <t xml:space="preserve"> Section I. Invitation for Re-Bidding Republic of the Philippines Philippine Rural Development Project Invitation for Re-bidding for the  Construction of Heirloom Rice Center in Support to Heirloom Rice Processing and Marketing Identification No. PRDP-IR-R</t>
  </si>
  <si>
    <t xml:space="preserve"> Republic of the Philippines DEPARTMENT OF PUBLIC WORKS AND HIGHWAYS BATANGAS III DISTRICT ENGINEERING OFFICE REGIONAL OFFICE IV-A J. Gonzales St., Barangay 4, Tanauan City REQUEST FOR EXPRESSION OF INTEREST (CONSL-2020-04) for the 20CSDD04 - Consultancy S</t>
  </si>
  <si>
    <t xml:space="preserve"> Republic of the Philippines DEPARTMENT OF PUBLIC WORKS AND HIGHWAYS BATANGAS III DISTRICT ENGINEERING OFFICE REGIONAL OFFICE IV-A J. Gonzales St., Barangay 4, Tanauan City REQUEST FOR EXPRESSION OF INTEREST (CONSL-2020-03) for the 20CSDD03 - Consultancy S</t>
  </si>
  <si>
    <t xml:space="preserve"> Invitation to Bid 1.	The MUNICIPAL GOVERNMENT OF SAN VICENTE, PALAWAN, through the 20% Development Fund for CY 2020 intends to apply the sum of  ONE MILLION THREE HUNDRED SIXTY-FIVE THOUSAND THREE HUNDRED THIRTY-NINE PESOS (Php 1,365,339.00) being the App</t>
  </si>
  <si>
    <t xml:space="preserve"> Section I. Invitation to Bid Republic of the Philippines Philippine Rural Development Project Invitation to Bid for the  Construction of Dairy Microbiological Facility Identification No. PRDP-IB-RO02-ISA-048-000-000-2019-AF Loan No. 8816-PH July 22, 2020 </t>
  </si>
  <si>
    <t xml:space="preserve"> LOT-1  		Approved Budget for the Contract (ABC) P 967,283.00	 1.	piece	30	Acetate (81/2"x11)	  2.	piece	12	A4 Plastic Clipboard	  3.	ream	1	Art Paper Assorted Color 	   4.	ream	1	Asstd. Colored bond paper, A4 size, neon color, 80gsm	   5.	box		35	Ballpen,</t>
  </si>
  <si>
    <t xml:space="preserve"> SEE ATTACHED LINK TO OTHER INFORMATION</t>
  </si>
  <si>
    <t xml:space="preserve"> 250 vials Flu Vaccine  &gt; Quadrivalent (4 strains)</t>
  </si>
  <si>
    <t xml:space="preserve"> Republic of the Philippines BOHOL ISLAND STATE UNIVERSITY Main Campus, Tagbilaran City INVITATION TO BID FOR PR NO. 2020-03-0432-MAIN - SUPPLY AND DELIVERY OF MECHANICAL TECHNOLOGY LABORATORY EQUIPMENT FOR CTAS 1.	The Bohol Island State University – Main </t>
  </si>
  <si>
    <t xml:space="preserve"> Republic of the Philippines BOHOL ISLAND STATE UNIVERSITY Main Campus, Tagbilaran City INVITATION TO BID FOR RE-BIDDING: PR NO. 2020-02-0267-MAIN-SUPPLY AND DELIVERY OF COSMETOLOGY EQUIPMENT FOR THE COSMETOLOGY TECHNOLOGY LABORATORY OF CTAS 1.	The Bohol I</t>
  </si>
  <si>
    <t xml:space="preserve"> Republic of the Philippines BOHOL ISLAND STATE UNIVERSITY Main Campus, Tagbilaran City INVITATION TO BID FOR RE-BIDDING: PR NO. 2020-02-0252-MAIN-SUPPLY AND DELIVERY OF RFID LIBRARY SECURITY SYSTEM 1.	The Bohol Island State University – Main Campus, Tagbi</t>
  </si>
  <si>
    <t xml:space="preserve"> REQUEST FOR EXPRESSION OF INTEREST    DESIGN AND DEVELOPMENT OF THE INTRAMUROS ADMINISTRATION INTEGRATED INFORMATION SYSTEM (RE-BID) Project No. 2020-02 1.	The INTRAMUROS ADMINISTRATION, through the General Appropriations Act of CY 2020 intends to apply t</t>
  </si>
  <si>
    <t xml:space="preserve"> The Civil Aviation Authority of the Philippines, through the Funds from DOTr Downloaded Projects intends to apply the sum of SEVEN MILLION EIGHT HUNDRED SEVENTY-ONE THOUSAND SIX HUNDRED SIXTY-NINE PESOS 6 3/1 00 (Php 7 ,8 71 ,6 69 .6 3) being the Approved</t>
  </si>
  <si>
    <t xml:space="preserve"> Invitation to Bid 1.	The MUNICIPAL GOVERNMENT OF SAN VICENTE, PALAWAN, through the General Fund for CY 2020 intends to apply the sum of  SIX HUNDRED SIXTEEN THOUSAND THREE HUNDRED FORTY-SIX PESOS AND FORTY CENTAVOS (Php 616,346.40) being the Approved Budg</t>
  </si>
  <si>
    <t xml:space="preserve"> Republic of the Philippines Department of Health DAVAO REGIONAL MEDICAL CENTER Apokon, Tagum City BIDS AND AWARDS COMMITTEE Invitation to Bid for THE SUPPLY &amp; DELIVERY OF DRUGS &amp; MEDICINES 1.	The Davao Regional Medical Center (DRMC), through the HOSPITAL </t>
  </si>
  <si>
    <t xml:space="preserve"> Please see attached files for reference. File names: 1. ITB - Corporate Giveaways 2. Bid Docs- Corporate Giveaways ***nothing follows***</t>
  </si>
  <si>
    <t xml:space="preserve"> INVITATION TO BID 1)	The DPWH- Davao City District Engineering Office through its Bids and Awards Committee (BAC), invites contractors to submit bids for the following contract; 1. Procurement ID /          Contract ID No.	:	20LB0191     Contract Name	:	R</t>
  </si>
  <si>
    <t xml:space="preserve"> Invitation to Bid 1.	The MUNICIPAL GOVERNMENT OF SAN VICENTE, PALAWAN, through the Municipal Disaster Risk Reduction Management Office (MDRRMO) SUPPLEMENTAL BUDGET NO. 03. S, 2020 intends to apply the sum of  TWO MILLION FIVE HUNDRED THOUSAND PESOS (Php 2</t>
  </si>
  <si>
    <t xml:space="preserve"> 2 units Radio Base		 &gt; Band: VHF		 &gt; Frequency:136-174MHz		 &gt; Lower Power Output:1-25W		 &gt; High Power Output: 25-45W		 &gt; Channel Spacing: 12.5,25kHz		 &gt; Channel Capacity: 1000		 &gt; Dimension (HxWxD): 53x175x206m		 &gt; Weight: 1.8kg		 &gt; Power Supply (Nominal)</t>
  </si>
  <si>
    <t xml:space="preserve"> see attached Invitation to Bid</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</si>
  <si>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</si>
  <si>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1564-20BAC  INVITATION T</t>
  </si>
  <si>
    <t xml:space="preserve"> The PhilGEPS registered suppliers are invited to bid for the following attached in PDF Form. Please download the attached file.</t>
  </si>
  <si>
    <t xml:space="preserve"> Department of Agriculture		 BUREAU OF PLANT INDUSTRY 692 San Andres Street Malate, Manila, Philippines E-mail Address: bpibac@yahoo.com Tel. No.: (02) 8526-7859, (02) 8691-0736 | Website: bpi.da.gov.ph SOLICITATION NO.: ITB PR NO. 1563-20BAC  INVITATION T</t>
  </si>
  <si>
    <t xml:space="preserve"> CENTRAL OFFICE BIDS AND AWARDS COMMITTEE (COBAC) INVITATION TO BID PROCUREMENT OF BUSINESS INTELLIGENCE PLATFORM SUBSCRIPTION COBAC IB NO. 004 (G) S. 2020  1.	The Department of the Interior and Local Government (DILG), through the General Appropriations A</t>
  </si>
  <si>
    <t xml:space="preserve"> INVITATION TO BID The Philippine Children’s Medical Center, through GAA/HFEP (DOH) CY 2019/2020 intends to apply the sum of Eleven Million Seven Hundred Eight-Nine Thousand Forty Pesos (Php 11,789,040.00) being the Approved Budget for the Contract (ABC) t</t>
  </si>
  <si>
    <t xml:space="preserve"> INVITATION TO BID The National Irrigation Administration (NIA) JRMP II Region VI, through its Bids and Awards Committee (BAC),  invites suppliers/manufacturers/distributors/contractors to apply for Eligibility and to bid for the hereunder contract: Name o</t>
  </si>
  <si>
    <t xml:space="preserve"> Department of Agriculture		 BUREAU OF PLANT INDUSTRY 692 San Andres Street Malate, Manila, Philippines E-mail Address: bpibac@yahoo.com Tel. No.: (02) 8526-7859, (02) 8691-0736 | Website: bpi.da.gov.ph SOLICITATION NO.: ITB PR NO. 1279-20BAC  INVITATION T</t>
  </si>
  <si>
    <t xml:space="preserve"> see associated componnets for downloadable Bidding Documents</t>
  </si>
  <si>
    <t xml:space="preserve"> 1.	The Bangko Sentral ng Pilipinas (BSP), through its Bids and Awards Committee – Information Technology, Infrastructure and Other Related Components (BAC-ITIO), invites interested contractors to bid for the project described below: Name of Requirement/ B</t>
  </si>
  <si>
    <t xml:space="preserve"> Invitation to Bid for Construction of Power House in Batangas State University, Balayan 1.	The Batangas State University, through the Supplemental Budget FY 2020 intends to apply the sum of One Million Two Hundred Twenty Six Thousand Three Hundred Pesos o</t>
  </si>
  <si>
    <t xml:space="preserve"> Department of Agriculture		 BUREAU OF PLANT INDUSTRY 692 San Andres Street Malate, Manila, Philippines E-mail Address: bpibac@yahoo.com Tel. No.: (02) 8526-7859, (02) 8691-0736 | Website: bpi.da.gov.ph SOLICITATION NO.: ITB PR NO. 1181-20BAC  INVITATION T</t>
  </si>
  <si>
    <t xml:space="preserve"> Item	Description	ABC	Unit 	Qty 	LOT BID			 1	RICE (WHITE SPECIAL RICE 50KG PER SACK)	-1,381,380.00-	SACK-	546 TERMS OF REFERENCE   RICE (WHITE RICE) General Requirements: •	Updated Government Permits: o	Business Permit o	Sanitary Permit o	Health Permits o</t>
  </si>
  <si>
    <t xml:space="preserve"> see associated components for downloadable Bidding Documents</t>
  </si>
  <si>
    <t xml:space="preserve"> INVITATION TO BID FOR Construction of Reinforced Concrete Slope Protection for CY 2020 1.	The Department of Education, Butuan City Division, through the GAA FY 2020 intends to apply the sum of  Php 3,820,757.90 RCS-2020-001 (Lot 1), and Php 3,408,125.05 R</t>
  </si>
  <si>
    <t xml:space="preserve"> Invitation to Bid  for the  CONSTRUCTION OF NEW CLARK CITY CONNECTING ROAD PACKAGE 1  New Clark City, Capas, Tarlac Public Bidding No. 20-021-1  1.	The Bases Conversion and Development Authority (BCDA) and the Procurement Service – Department of Budget an</t>
  </si>
  <si>
    <t xml:space="preserve"> Republic of the Philippines COMMISSION ON ELECTIONS M a n i l a INVITATION TO BID Supply and Delivery of Brother HL-L5100DN Toner Cartridges to be used for the Overseas Registration Period (BAC Ref No. 08-2020BTC) Approved Budget for the Contract:  Php1,7</t>
  </si>
  <si>
    <t xml:space="preserve"> Overlaying of limesoil and levelling to mitigate dilapidated roads</t>
  </si>
  <si>
    <t xml:space="preserve"> Republic of the Philippines COMMISSION ON ELECTIONS M a n i l a INVITATION TO BID Supply and Delivery of HD Webcam for  Various Field Offices of the Commission (BAC Ref No. 06-2020WC) Approved Budget for the Contract:  Php1,913,678.00 1.	The   Commission </t>
  </si>
  <si>
    <t xml:space="preserve"> July 13, 2020 INVITATION TO BID  The Department of Public Works and Highways, Mindoro Occidental District Engineering Office, Mamburao, Occidental Mindoro, through its Bids and Award Committee (BAC), invites contractors to submit bids for the following Co</t>
  </si>
  <si>
    <t xml:space="preserve"> Part A: Facilities for the Engineers 2      months     Provision of Combined Field Office, Laboratory and Living Quarters Building for the Engineer                         (Rental Basis) Part B: Other General Requirements 1      L.S.          Miscellaneou</t>
  </si>
  <si>
    <t xml:space="preserve"> I.   1   Lot    Occupational Safety and Health Program II.  1   Lot    Project Billboard/ Signboard III. 1   Lot    Mobilization/ Demobilization IV.  25 cu.m. Excavation Works V.   85  cu.m. Riprap Works: with Backfill</t>
  </si>
  <si>
    <t xml:space="preserve"> Facilities for Engineers: 2 months  Provision of Combined Field Office, Laboratory and Living Quarters Building for the Engineer                  (Rental Basis) Other General Requirements: 1  L.S.       Miscellaneous Survey and Staking 2  each      Projec</t>
  </si>
  <si>
    <t xml:space="preserve"> Republic of the Philippines City of Dapitan BIDS AND AWARDS COMMITTEE INVITATION TO BID July 16, 2020 	 The City Government of Dapitan, through its Bids and Awards Committee (BAC), invites interested parties to apply for eligibility and, if found eligible</t>
  </si>
  <si>
    <t xml:space="preserve"> INVITATION TO BID The DPWH Bukidnon 1st District Engineering Office, Malaybalay City, through its Bids and Awards Committee (BAC), invites contractors to submit bids for the following Contracts:   Contract ID 	:	20KA0101(Readvertisement) Contract Name 	:	</t>
  </si>
  <si>
    <t xml:space="preserve"> Republic of the Philippines COMMISSION ON ELECTIONS M a n i l a INVITATION TO BID Supply and Delivery of Various Supplies to be used by the Field Election Officers for the 2020 Resumption of the Continuing Registration of Voters in connection with 2022 NL</t>
  </si>
  <si>
    <t xml:space="preserve"> Item	Description	ABC	Unit 	Qty. 	LINE BID			 1	CADAVER SHEET (PLASTIC SOFT WHITE 48”X50METERS)	80,000.00	ROLL	100 2	HYPOCHLORITE SOLUTION 5.5% BRANDED ATLEAST 3785ML (ATLEAST 5% HYPOCHLORITE SOLUTION)	72,000.00	GAL	400 3	MEDICINE BAG 120 X 170MM	20,000.00</t>
  </si>
  <si>
    <t xml:space="preserve"> Republic of the Philippines COMMISSION ON ELECTIONS M a n i l a INVITATION TO BID Supply and Delivery of Brand-New Desktop Computers for Issuance/Replacement of Defective/Beyond Economic Repair of Voter Registration Machines in Various Field Offices of th</t>
  </si>
  <si>
    <t xml:space="preserve"> Item	Description	ABC	Unit 	Qty. 	LINE BID			 1	CATHETER SET DOUBLE LUMEN FR. 12, CURVED EXTENSIONS, STERILE, FOR HEMODIALYSIS	437,500.00	SET	125 2	CATHETER SET TRIPPLE LUMEN FR. 12, CURVED EXTENSIONS, STERILE, FOR HEMODIALYSIS	520,000.00	SET	130 3	FLEX C-</t>
  </si>
  <si>
    <t xml:space="preserve"> Item	Description	ABC	Unit	Qty. 	LINE BID			 1	NYLON 3-0 W/ NEEDLE 3/8 CURVE REVERSE CUTTING EDGE 26 MM, STAINLESS STEEL NEEDLE, SHARP, WELL POLISHED, STERILE	315,000.00	PCS	900 2	NYLON 4-0 CUTTING NEEDLE, STERILE	315,000.00	PCS	900 3	POLYGLACTIN/POLYGLYCO</t>
  </si>
  <si>
    <t xml:space="preserve"> Item	Description	ABC	Unit	Qty. 	LINE BID			 1	EXAMINING GLOVES LARGE (100’S/BOX) LATEX/RUBBER FLEXIBLE POWDER FREE	1,125,000.00	BOX	2,500 2	EXAMINING GLOVES MEDIUM (100’S/BOX) LATEX/RUBBER FLEXIBLE POWDER FREE	1,574,100.00	BOX	3,498 3	EXAMINING GLOVES SMA</t>
  </si>
  <si>
    <t xml:space="preserve"> PHILIPPINE DEPOSIT INSURANCE CORPORATION Makati City REQUEST FOR EXPRESSION OF INTEREST FOR THE Procurement of a Consultancy Service Provider (CSP) for the Review and Design of PDIC’s Organizational Structure and Staffing Pattern(OSSP) 1.	The Philippine D</t>
  </si>
  <si>
    <t xml:space="preserve"> Item	Description	ABC	Unit	Qty. 	LINE BID			 1	ADHESIVE PLASTER, BROWN CLOTH 1” (2.5 CM X 1 M) STICK WELL/STRONG ADHESION Size: At least 2.5 cm x 1 meter	180,000.00	SPOOL	2,000 2	ADHESIVE PLASTER, WHITE CLOTH 2” X 10 YDS (SILK TAPE, STICK WELL/STRONG ADHES</t>
  </si>
  <si>
    <t xml:space="preserve"> Procurement of Supply and Delivery of Office  Supplies  10	pcs	Ink cartridge #680 black 11	pcs	Ink cartridge #681 colored 10	pcs	Ink cartridge HP 932 XL, black 15	pcs	Ink cartridge HP 933 XL, cyan 15	pcs	Ink cartridge HP 933 XL, magenta 15	pcs	Ink cartrid</t>
  </si>
  <si>
    <t xml:space="preserve"> Item	Description	ABC	Unit	Qty. 	LINE BID			 1	BOND PAPER (LONG), 8 1/2" X 13” – SUBSTANCE 24/80 GSM, ULTRA WHITE, GLOSS	250,000.00	REAM	1,000 2	BOND PAPER (SHORT) 8 1/2" X 11” – SUBSTANCE 24/80 GSM, ULTRA WHITE, GLOSS	1,320,000.00	REAM	6,000</t>
  </si>
  <si>
    <t xml:space="preserve"> Item	-Description-	ABC-	Unit-	Qty. 	LOT BID			 1	OXYGEN TANK (MEDICAL OXYGEN 1800 PSI) 99% 02, UNIFORMED CYLINDER SIZE 6 CU. M	-5,520,000.00	-TANK	-24,000 TERMS OF REFERENCE •	Cylinders are free of use. •	Cylinder Pressure: At least 1,800 PSI •	Oxygen Pur</t>
  </si>
  <si>
    <t xml:space="preserve"> Item-	Description-	ABC-	Unit 	-Qty. 1	CT SCAN MACHINE (AT LEAST 64-SLICE)	-45,000,000.00	-LOT-	1 	Terms of Reference and Technical Specifications Item No.	Configuration for CT scan Machine (At Least 64-Slice) Standard Scanning System Configuration 1	Scann</t>
  </si>
  <si>
    <t xml:space="preserve"> Item	-Description-	ABC	-Unit	-Qty. 	LOT BID			 1	ONE (1) YEAR HAULING OF NON-INFECTIOUS (WET &amp; DRY) WASTE FROM CORAZON LOCSIN MONTELIBANO MEMORIAL REGIONAL HOSPITAL (CLMMRH) TO THE AUTHORIZED/DESIGNATED CITY DUMPSITE	-2,420,000.00	-JOB	-1 Terms of Referen</t>
  </si>
  <si>
    <t xml:space="preserve"> Item	Description	ABC	Unit	Qty. 	LINE BID			 1	AIRWAY GUEDEL 70 MM STERILE	15,000.00	PCS	250 2	AIRWAY GUEDEL 80 MM STERILE	36,000.00	PCS	600 3	BS/LAPARATOMY SPONGE BLUE LOOP W/ X-RAY THREAD, STERILE (1’S/PACK 18” X 18” X 12 PLY, 28 X 24 MESH)	40,000.00	PCS</t>
  </si>
  <si>
    <t xml:space="preserve"> Procurement of supply and delivery of  Mechanical Corn sheller 5	unit	Mechanical Corn Sheller 		1.	Output capacity: 2.0 tons/hr (minimum) With brand new pneumatic tires 2.	Engine (Prime Mover) •	Brand New •	10 Hp (Min.) •	Air-cooled engine •	Maximum power</t>
  </si>
  <si>
    <t xml:space="preserve"> INVITATION TO BID FOR THE CONTRACT ID: 20-07-097 Contract Name: PROCUREMENT OF PCR TEST KIT FOR COVID 19 Approved Budget for the Contract (ABC) : Php 4,177,800.00 Cost of Bidding Documents: Php 5,000.00 1. The Department of Health - Zamboanga Peninsula - </t>
  </si>
  <si>
    <t xml:space="preserve"> Item	Description	ABC	Unit 	Qty. 	LINE BID			 1	NATURAL CITRUS OIL 100%, HIGHLY CONCENTRATED DEODORIZER, CLEANER, DEGREASER	927,000.00	GAL	100 2	BROAD SPECTRUM CLEANER, DISINFECTANT, BIODEGRADABLE	365,080.00	GAL	100 3	ORGANIC ODOR SUPRESSANT &amp; AIR FRESHENE</t>
  </si>
  <si>
    <t xml:space="preserve"> Item	Description	ABC	Unit 	Qty. 	LINE BID			 1	ALL PURPOSE POWDER SOAP	71,500.00	KILO	1,000 2	OXALIC POWDER, STAIN REMOVER	42,000.00	KILO	600 3	GLASS CLEANER	42,432.00	GALLON	16 4	INSECTICIDE SPRAY, 500 ML/CAN	25,342.24	CAN	68 5	LIQUID FLOOR WAX, WHITE, C</t>
  </si>
  <si>
    <t xml:space="preserve"> Item	Description	ABC	Unit	Qty. 	LINE BID			 1	ADM. SET (BLOOD TRANSFUSION SET) 20 DROPS/ML WITH VENIPUNCTURE NEEDLE STERILE	300,000.00	SET	3,000 2	ASEPTO SYRINGE 60 ML PLASTIC STERILE	300,000.00	PCS	6,000 3	CATHETER UMBILICAL FR. 3.5 STERILE	15,000.00	PCS</t>
  </si>
  <si>
    <t xml:space="preserve"> Item-	Description	-ABC	-Unit 	-Qty 	LOT BID			 1	ARTERIAL BLOOD GAS REAGENT	-1,259,968.50	-TESTS-	9,450 Terms of Reference for Medical Equipment &amp; Supplies I.	The Corazon Locsin Montelibano Memorial Regional Hospital (CLMMRH) under Medical Division/ Pulmo</t>
  </si>
  <si>
    <t xml:space="preserve"> I.	Invitation to Apply for Eligibility and to Bid Supply and Delivery of Various IT Equipment for the Educating Science Teachers for All (ESTA) Project 1. The Philippine Normal University, through TL intends to apply the sum of One Million Three Hundred F</t>
  </si>
  <si>
    <t xml:space="preserve"> Item-	Description	-ABC	-Unit	-Qty. 	LOT BID			 1.	WIRELESS RETROFIT DIRECT RADIOGRAPHY SYSTEM WITH PACS AND RIS	-12,000,000.00	-LOT	-1 TERMS OF REFERENCE   Project Title: ONE (1) LOT WIRELESS RETROFIT DIRECT 	RADIOGRAPHY SYSTEM WITH PACS AND RIS  ABC: Twe</t>
  </si>
  <si>
    <t xml:space="preserve"> SUPPLY AND DELIVERY OF FOUR UNITS SOLAR PANEL</t>
  </si>
  <si>
    <t xml:space="preserve"> Item-	Description-	ABC-	Unit	-Qty. 	LOT BID			 1	HAZARDOUS WASTE TRANSPORT AND TREATMENT	-12,154,375.00-	LOT	-1 TERMS OF REFERENCE Project Name: 	Hazardous Waste Transport and Treatment Project Cost:	P12,154,375.00 Project Duration: 	Six Months Or Total T</t>
  </si>
  <si>
    <t xml:space="preserve"> Item	Description	ABC	Unit 	Quantity 	LINE BID			 1	BULLDOG VASCULAR CLAMP, DE BAKEY HEISS, 1 ½” LENGTH, 3/8” JAW SERRATION, STAINLESS STEEL AISI 400 SERIES	34,000.00	PCS	2 2	BULLDOG VASCULAR CLAMP, DIETRICH, 1 7/8” LENGTH, ½” JAW SERRATION, ANGLED 1/1, ST</t>
  </si>
  <si>
    <t xml:space="preserve"> Item	Description	ABC	Unit	Qty. 	LOT BID			 1	CD 20 (50 TESTS/PACK)	36,000.00	PACKS	1 2	CD3 (50 TESTS/PACK)	35,000.00	PACKS	1 3	CD45 (50 TESTS)	35,000.00	PACKS	1 4	CK20 (50 TESTS/PACK)	36,000.00	PACKS	1 5	CK7 (50 TESTS/PACK)	36,000.00	PACKS	1 6	DESMIN (50 </t>
  </si>
  <si>
    <t xml:space="preserve"> Item	Description	ABC	Unit	Qty. 	LOT BID			 1	HEP2 ANA (IFA) 10 X 6 WELLS) 60 TESTS/KIT	45,000.00	KIT	1 	TERMS OF REFERENCE FOR PROCUREMENT OF REAGENTS AND RELATED SUPPLIES FOR INDIRECT IMMUNOFLUORESCENT MICROSCOPY FOR THE DETECTION OF ANTI-NUCLEAR ANTIBOD</t>
  </si>
  <si>
    <t xml:space="preserve"> Item	Description	ABC	Unit 	Qty. 	LINE BID			 1	BACTO AGAR 500 GRAMS	        4,400.00 	BOTTLE	1 2	BILE ESCULIN AGAR, 500G	        4,794.05 	BOTTLE	1 3	CARY-BLAIR MEDIUM AGAR 500 GRAMS	        7,900.00 	BOTTLE	1 4	DNASE AGAR 500 GRAMS	      16,500.00 	BOTTL</t>
  </si>
  <si>
    <t xml:space="preserve"> Item	Description	ABC	Unit	Qty. 	LOT BID			 1	COMBO TEST FOR HBV, HCV AND HIV (NAT) 96 TEST/KIT	920,000.00	KIT	10 	TERMS OF REFERENCE FOR PROCUREMENT OF REAGENTS AND RELATED SUPPLIES FOR TTI TESTING BY NAT THIS IS LOT BID The supplier awarded to supply the</t>
  </si>
  <si>
    <t xml:space="preserve"> Item	Description	ABC	Unit	Qty. 1	BIOLOGICAL REFRIGERATOR-DOUBLE DOOR	8,000,000.00	UNIT	4 	PRODUCT FEATURES •	With door lock •	With forced air-cooling system •	With drawers (12 drawers) •	With recorder preferably •	Thermal printer type •	Glass door •	Safet</t>
  </si>
  <si>
    <t xml:space="preserve"> Item	Description	ABC	Unit	Qty. 	LOT BID			 1	GRAM NEGATIVE ID CARD	102,000.00	PCS	240 2	GRAM NEGATIVE SUSCEPTIBILITY CARD	102,000.00	PCS	240 3	MUELLER HINTON AGAR II WITH SHEEPS BLOOD (COMMERCIALLY PREPARED)	15,750.00	PCS	150 4	TSA WITH 5% SHEEPS BLOOD (C</t>
  </si>
  <si>
    <t xml:space="preserve"> Item	Description	ABC	Unit	Qty. 1	DEFIBRILLATOR	3,750,000.00	UNIT	5 	Features: 	Must be not more than 200 Joules with pulsed bi-phasic 	With selectable energy levels: 2, 4, 15, 30, 50, 70, 90, 120 	Not more than 6” Monitor as compact defibrillator 	Can</t>
  </si>
  <si>
    <t xml:space="preserve"> Item	Description	ABC	Unit 	Qty. 	LINE BID			 1	CRESCENT (OPHTHALMIC SURGICAL CRESCENT (BLADES BETWEEN 2.5MM TO 2.75 MM)	150,000.00	PCS	150 2	KERATOME (OPHTHALMIC KERATOME BLADES, SLIT BLADES ANGLED WITH HANDLE 2.2MM)	120,000.00	PCS	120 3	OPHTHALMIC SOLUTI</t>
  </si>
  <si>
    <t xml:space="preserve"> Item	Description	ABC	Unit 	Qty. 	LINE BID			 1	6 HOLE 1/3 TUBULAR PLATE	44,000.00	PCS	20 2	7 HOLE 1/3 TUBULAR PLATE	60,000.00	PCS	20 3	7 HOLE L-PLATE LEFT TIBIA	24,000.00	PCS	6 4	CORTEX SCREW, 3.5MM X 14MM	11,000.00	PCS	50 5	CORTEX SCREW, 3.5MM X 16MM	66,</t>
  </si>
  <si>
    <t xml:space="preserve"> Item	Description	ABC	Unit 	Qty. 	LINE BID			 1	ADM. SET (MACROSET) WITH Y PORT &amp; SAFETY LOCK (1ML=20 DROPS/ 1 DROP=0.05ML)	472,500.00	SET	13,500 2	ADM. SET (MICROSET) WITH Y PORT &amp; SAFETY LOCK (1ML=60DROPS/ 1 DROP=0.016ML)	315,000.00	SET	9,000 3	CARBON DI</t>
  </si>
  <si>
    <t xml:space="preserve"> Item	Description	ABC	Unit 	Qty. 	LOT BID			 1	BCG SYRINGE G-27 X 3/8 (0.05ML) 100’S STERILE	14,400.00	BOX	12 2	INSULIN SYRINGE 1CC, THICKNESS: NOT LESS THAN G-30X5/16” (100’S/BOX) STERILE	800,000.00	BOX	1,000 3	SYRINGE DISPOSABLE 1ML G-26 X ½”, LUER LOCK </t>
  </si>
  <si>
    <t xml:space="preserve"> Item	Description	ABC	Unit 	Qty. 	LOT BID			 1	BLOOD GLUCOSE TIP, STERILE, INDIVIDUALLY SEALED (MUST BE COMPATIBLE WITH HOSPITAL OWNED BLOOD GLUCOSE MONITORING DEVICE)	2,625,000.00	PCS	75,000 2	BLOOD LANCET WITH FREE USE OF LANCING DEVICE (MUST BE COMPATIB</t>
  </si>
  <si>
    <t xml:space="preserve"> Item	Description	ABC	Unit 	Qty. 	LINE BID			 1	ALLIS CLAMP, 6”, STAINLESS STEEL AISI 400 SERIES	168,000.00	PCS	24 2	ALLIS CLAMP, 8 ¾”, STAINLESS STEEL AISI 400 SERIES	121,200.00	PCS	12 3	BLADE HOLDER, 8 ¼, #3 LONG, 400 STAINLESS SERIES	27,000.00	PCS	6 4	B</t>
  </si>
  <si>
    <t xml:space="preserve"> Item-	Description	-ABC-	Unit-	Qty. 	LOT BID			 1	INTEGRATED HOSPITAL INFORMATION SYSTEM	-13,500,000.00	-LOT	-1 Integrated Hospital Information System Project Corazon Locsin Montelibano Memorial Regional Hospital Terms of Reference Software Provider Scope </t>
  </si>
  <si>
    <t xml:space="preserve"> Item	Description	ABC	Unit	Qty. 	LOT BID			 1	RIFAMPICIN 5 UG, 50 DISKS/CART	1,500.00	CART	5 2	NITROFURANTOIN 300 UG, 50 DISKS/CART	600.00	CART	2 3	MEROPENEM 10 UG, 50 DISKS/CART	3,500.00	CART	10 4	IMIPENEM 10 UG, 50 DISKS/CART	3,250.00	CART	10 5	LINEZOLID</t>
  </si>
  <si>
    <t xml:space="preserve"> Item	Description	ABC	Unit	Qty. 	LOT BID			 1	ABO BLOOD GROUPING REAGENT (160 TEST/KIT)	2,475,000.00	KIT	150 2	ANTIBODY SCREENING REAGENT (192 TEST/KIT)	792,000.00	KIT	18 	TERMS OF REFERENCE FOR PROCUREMENT OF REAGENTS AND RELATED SUPPLIES FOR AUTOMATED BL</t>
  </si>
  <si>
    <t xml:space="preserve"> Item	Description	ABC	Unit 	Qty. 	LINE BID			 1	INTERLOCKING NAIL ORIGINAL 8MM X 32CM TIBIA	100,000.00	PCS	5 2	INTERLOCKING NAIL ORIGINAL 8MM X 34CM FEMUR	100,000.00	PCS	5 3	INTERLOCKING NAIL ORIGINAL 8MM X 36CM FEMUR	100,000.00	PCS	5 4	INTERLOCKING NAIL O</t>
  </si>
  <si>
    <t xml:space="preserve"> Invitation to Bid for the Supply and Delivery of Branded and Brand New Printers and Consumables 1 Lot The Philippine Fiber Industry Development Authority (PhilFIDA), through the Republic Act No. 11465 GAA FY 2020 Fund intends to apply the sum of Two Milli</t>
  </si>
  <si>
    <t xml:space="preserve"> Item	Description	ABC	Unit	Quantity 	LINE BID			 1	ACETYLCYSTEINE 600MG EFFERVESCENT TABLET	110,000.00	TABLET	5,000 2	ALBUMIN, HUMAN 20%, 50ML BOTTLE, (IV, IV INFUSION)	384,022.00	VIAL	200 3	ANTI-TETANUS SERUM (EQUINE) 1500”IU”/0.7ML SOLUTION FOR INJECTION</t>
  </si>
  <si>
    <t xml:space="preserve"> see associated components for downloadable Bidding documents</t>
  </si>
  <si>
    <t xml:space="preserve"> Item	Description	ABC	Unit	Quantity 	LINE BID			 1	ASPARAGINASE LYOPHILIZED POWDER 10,000 IU VIAL, IV	169,800.00	VIAL	100 2	BLEOMYCIN POWDER, 15IU AMPULE OR VIAL (IM, IV) (AS SULFATE)	57,000.00	PCS	30 3	CAPECITABINE 500MG TABLET	51,000.00	TABLET	1,000 4	CA</t>
  </si>
  <si>
    <t xml:space="preserve"> Item	Description	ABC	Unit	Qty. 	LOT BID			 1	HBS-AG (ELISA) 480 TEST/KIT	529,200.00	KIT	9 2	HCV-AG/AB (ELISA) 480 TEST/KIT	1,337,400.00	KIT	9 3	HIV-AG/AB I &amp; II 480 TEST/KIT ELISA	788,400.00	KIT	9 4	SYPHILIS IMMUNOASSAY 960 TEST/KIT	344,000.00	KIT	4 	TERM</t>
  </si>
  <si>
    <t xml:space="preserve"> Item	Description	ABC	Unit	Qty. 	LOT BID			 1	450 CC DOUBLE BLOOD BAGS	247,500.00	PCS	900 2	450 CC SINGLE BLOOD BAGS	630,000.00	PCS	3,600 3	TOP AND BOTTOM BLOOD COLLECTION BAG	63,000.00	PCS	63 4	TUBE WELDER COPPER WAFER 140’S/BOX	105,000.00	BOX	10 	TERMS O</t>
  </si>
  <si>
    <t xml:space="preserve"> Item	Description	ABC	Unit	Quantity 	LINE BID			 1	BUTORPHANOL TARTRATE 2MG/ML, 1ML VIAL/AMPULE, (IM, IV)	436,220.00	PCS	1,000 2	DIAZEPAM 5MG/ML, 2ML AMPULE, (IM, IV)	142,848.00	AMPULE	1,800 3	EPHEDRINE SULFATE 50MG/ML, 1ML AMPULE (IM, IV)	91,500.00	AMPULE</t>
  </si>
  <si>
    <t xml:space="preserve"> Item	Description	ABC	Unit	Quantity 	LINE BID			 1	AMPHOTERICIN B CHOLESTERYL COMPLEX 50MG VIAL COLLOIDAL DISPERSION (LIPID COMPLEX), IV INFUSION	521,244.00	VIAL	50 2	AMPHOTERICIN B DEOXYCHOLATE 50MG LYOPHILIZED POWDER VIAL, NON LIPID COMPLEX, IV INFUSION	</t>
  </si>
  <si>
    <t xml:space="preserve"> Item	Description	ABC	Unit	Qty. 	LOT BID			 1	REAGENTS FOR HPLC HEMOGLOBIN A1C EXAMINATION WITH CONTROL CALIBRATORS, SAMPLE CUPS, FILTER, COLUMN, THERMAL PAPER &amp; OTHER ACCESSORIES	1,000,000.00	SET	2,500 	TERMS OF REFERENCE FOR PROCUREMENT OF HEMOGLOBIN A1c</t>
  </si>
  <si>
    <t xml:space="preserve"> Item	Description	ABC	Unit	Qty. 	LOT BID			 1	REAGENTS/SUPPLIES FOR AUTOMATED URINE SEDIMENT ANALYSER WITH AUTOMATED URINE CHEMISTRY ANALYSER GOOD FOR 30,240 TESTS WHICH WILL INCLUDE REPORTABLE TEST, CONTROL RUNS AND REPETITIONS	1,800,000.00	SET	1 	TERMS O</t>
  </si>
  <si>
    <t xml:space="preserve"> Please submit your lowest bid for rapidly deployable communications system as described in the technical specifications in the bid docs.</t>
  </si>
  <si>
    <t xml:space="preserve"> Please submit your lowest  bid  for the Multiband scanning receiver and post processing tools as described in the technical specifications of the bid documents.</t>
  </si>
  <si>
    <t xml:space="preserve"> REQUEST FOR EXPRESSION OF INTEREST FOR CONTRACT ID NO.:	     20CSC001  Procurement of Consulting Services for the Feasibility Study of San Ildefonso-Candaba Bypass Road and Balagtas Bypass Road.  Location         		:   Provinces of Pampanga and Bulacan  S</t>
  </si>
  <si>
    <t xml:space="preserve"> Item	Description	ABC	Unit	Quantity 	LINE BID			 1	ADENOSINE 3MG/ML, 2ML VIAL (IV)	22,132.00	VIAL	100 2	AMIODARONE HYDROCHLORIDE 200MG TABLET	10,915.00	TABLET	500 3	AMIODARONE HYDROCHLORIDE 50MG/ML, 3ML AMPULE (IV)	88,500.00	AMPULE	300 4	AMLODIPINE BESILAT</t>
  </si>
  <si>
    <t xml:space="preserve"> Item	Description	ABC	Unit	Qty. 	LINE BID			 1	ANTI HUMAN GLOBULIN (AHG) (10 ML PER VIAL)	4,800.00	VIALS	6 2	ANTI-D BLOOD TYPING SERA 10 ML/VIAL	27,000.00	VIALS	45 3	POLYPROPYLENE BAG, SPECS (PLASTIC BAG, 175 X 300 MM (7 X 12 INCHES), 1000S/BAG	9,000.00	BA</t>
  </si>
  <si>
    <t xml:space="preserve"> Item	Description	ABC	Unit 	Quantity 	LINE BID			 1	ALLOPURINOL 300MG TABLET	300.00	TABLET	200 2	ATRACURIUM BESILATE 10MG/ML, 2.5ML AMPULE (IV)	172,660.00	AMPULE	2,000 3	AZATHIOPRINE 50MG TABLET	6,000.00	TABLET	200 4	CALCIUM CARBONATE 500MG TABLET OR CHEWA</t>
  </si>
  <si>
    <t xml:space="preserve"> Contract Location: 1.  Multi-Purpose Building, Balagtas, Bulacan 		           2.	Multi-Purpose Building, BSU Bustos, Poblacion, Bustos, Bulacan 		           3.	Multi-Purpose Building (New Municipal Building Extension),                                   Br</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</si>
  <si>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</si>
  <si>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INVITATION TO BID FOR THE CONTRACT ID: 20-07-098 Contract Name: PROCUREMENT OF VARIOUS MASK AND ALCOHOL Approved Budget for the Contract (ABC) : Php 2,121,368.00 Cost of Bidding Documents: Php 5,000.00 1. The Department of Health - Zamboanga Peninsula - C</t>
  </si>
  <si>
    <t xml:space="preserve"> REQUEST FOR EXPRESSION OF INTEREST FOR CONTRACT ID NO.:	     20CSC003  Procurement of Consulting Services for the Feasibility Study of Tarlac River Right Dike Bypass Road, Tarlac and EGSA and Ala-Uli Flyovers, Bataan.  Location         		:   Provinces of </t>
  </si>
  <si>
    <t xml:space="preserve"> Invitation to Bid ITB-SSS-Goods-2020-022 	 PARTIAL REPLACEMENT OF 3-SET CIRCUIT BREAKERS FOR LOW VOLTAGE SWITCHGEAR (LVS) AT POWER SUBSTATION #1 (ATS AND STANDARD CONFIGURATION) 	 Approved Budget for the Contract (ABC)      :        PhP 1,500,000.00 Sourc</t>
  </si>
  <si>
    <t xml:space="preserve"> Item	Description	ABC	Unit	Qty. 	LOT BID			 1	HEMOGLOBIN MICROCUVETTE	225,000.00	PCS	4,500 	TERMS OF REFERENCE FOR PROCUREMENT  OF REAGENTS AND RELATED SUPPLIES FOR ON SITE HEMOGLOBIN AND HEMATOCRIT TESTING DURING MOBILE BLOOD DONATION THIS IS LOT BID The </t>
  </si>
  <si>
    <t xml:space="preserve"> INVITATION TO BID FOR THE CONTRACT ID: 20-07-099 Contract Name: PROCUREMENT OF PERSONAL PROTECTIVE EQUIPMENT Approved Budget for the Contract (ABC) : Php 11,520,600.00 Cost of Bidding Documents: Php 25,000.00 1. The Department of Health - Zamboanga Penins</t>
  </si>
  <si>
    <t xml:space="preserve"> Various Agricultural &amp; Marine Supplies See attached link under OTHER INFORMATION BOX</t>
  </si>
  <si>
    <t xml:space="preserve"> Name of the Procuring Entity: TONDO MEDICAL CENTER Name of the Project:  Procurement of Yellow Plastic Bag of  Housekeeping Section      			                                          Location of the Project: Tondo Medical Center Balut, Tondo Manila        </t>
  </si>
  <si>
    <t xml:space="preserve"> Invitation to Bid for Construction of Five (5) Storey Higher Education  Building in Batangas State University, JLPC - Malvar (Phase I) 1.	The Batangas State University, through the Supplemental Budget FY 2020 intends to apply the sum of One Hundred Millio</t>
  </si>
  <si>
    <t xml:space="preserve"> Procurement of 720 heads Ducks, Ready to Lay for use as start-up post training support re: Intensifying Farmers’ Income through Rice-Duck Integrated Farming System (Online Distance Learning-Blended) in the Municipalities of Ocampo, Pili, Nabua, San Fernan</t>
  </si>
  <si>
    <t xml:space="preserve"> ITB NO. 2020-0015 or Supply, Delivery, Design and Retrofitting of the Quezon City TV Broadcast Transmitter Tower including Rehabilitation of Building/Transmitter Shelter, Grounding and Lightning Protection System and Installation of Digital Terrestrial Te</t>
  </si>
  <si>
    <t xml:space="preserve"> Request for Quotation RFQ No.		SVP-037-2020 MR No.		10224 Requisition No. 	AMD-096-2020 Posting Date:         	July 17, 2020 Deadline of  Submission:		July 24, 2020 at 9:00 AM Opening Date:	July 24, 2020 at 10:00 AM TO:	Name of Supplier: _________________</t>
  </si>
  <si>
    <t xml:space="preserve"> INVITATION TO BID FOR THE SUPPLY, DELIVERY, INSTALLATION AND COMMISSIONING OF CENTRALLY-MANAGED WIRELESS ACCESS POINTS (WAP) The Department of Public Works and Highways thru its Bids and Awards Committee for Goods, through the GAA 2020, intends to apply t</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</si>
  <si>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</si>
  <si>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For the use of Bureau of Research and Standards 																																																						 				 DPWH TECHNICAL JOURNAL DECEMBER 2019 																																																						  1 				 Number of page: 52 pages 																						</t>
  </si>
  <si>
    <t xml:space="preserve"> BIDS AND AWARDS COMMITTEE                                                 SECTION I - INVITATION TO BID  SUPPLY, DELIVERY, INSTALLATION AND CONFIGURATION OF ADDITIONAL ACCESS POINT WITH FIBER OPTICS, CAT6 CABLE AND ACCESSORIES  The Philippine Internationa</t>
  </si>
  <si>
    <t xml:space="preserve"> BIDS AND AWARDS COMMITTEE                                                       SECTION I - INVITATION TO BID  SUPPLY OF LABOR AND MATERIALS FOR THE CORRECTIVE/REPAIR WORKS OF FIRE ENGINE PUMP AND ITS CONTROL SYSTEM AT POWERHOUSE     The Philippine Intern</t>
  </si>
  <si>
    <t xml:space="preserve"> REQUEST FOR EXPRESSION OF INTEREST FOR CONTRACT ID NO.:	     20CSC002  Procurement of Consulting Services for the Feasibility Study of Sto. Tomas-Arayat Bypass Road and Arayat-Magalang-Sta. Ana-Mexico Circumferential Road.  Location         		:   Province</t>
  </si>
  <si>
    <t xml:space="preserve"> Const. of Slope Protection</t>
  </si>
  <si>
    <t xml:space="preserve"> INVITATION TO BID July 11, 2020 CHINA STATE CONSTRUCTION ENGINEERING CO. LTD. 12F Petron Megaplaza 358 Gil Puyat Avenue Makati City SUBJECT	: Construction of the Priority Bridges Crossing Pasig-Marikina River and Manggahan Floodway Bridges Construction Pr</t>
  </si>
  <si>
    <t xml:space="preserve"> Invitation to Bid for  Construction of Four (4) Storey Student Services Center Building in Batangas State University, ARASOF – Nasugbu (Phase I) 1.	The Batangas State University, through the Supplemental Budget FY 2020 intends to apply the sum of One Hund</t>
  </si>
  <si>
    <t xml:space="preserve"> Item	Description	ABC	Unit	Quantity 	LINE BID			 1	0.9% SODIUM CHLORIDE SOLUTION 1L BOTTLE OR BAG (IV INFUSION)	1,330,000.00	PCS	35,000 2	10% DEXTROSE IN WATER 500CC BOTTLE OR BAG (IV INFUSION)	12,870.00	PCS	300 3	5% DEXTROSE IN 0.3% SODIUM CHLORIDE 500ML </t>
  </si>
  <si>
    <t xml:space="preserve"> Item	Description	ABC	Unit	Qty. 	LINE BID			 1	DISTILLED WATER, 4 LITERS	600.00	BOTTLE	6 2	LUGOL’S IODINE SOLUTION, 250 ML	980.00	BOTTLE	2 3	PREGNANCY TEST KIT DUO (URINE &amp; SERUM)	288,000.00	PCS	3,600 4	URINE STRIP (10 PARAMETERS), 100 STRIPS/BOTTLE	136,80</t>
  </si>
  <si>
    <t xml:space="preserve"> Item	Description	ABC	Unit	Qty. 	LINE BID			 1	AUTOPSY APRON (PLASTIC, UP TO KNEE)	7,500.00	PCS	30 2	AUTOPSY SAW BLADE/CUTTER BLADE MOPEC BD. 101	25,000.00	SET	1 3	DIAMOND PEN (STAINLESS)	3,690.00	PCS	1 4	ELBOW LENGTH GLOVES, SIZE 7	4,500.00	PCS	30 5	EYE W</t>
  </si>
  <si>
    <t xml:space="preserve"> 100 PC Advil softgel 200mg 50 PC Betahistine 16mg/tab 1000 PC biogesic Paracetamol 500 200 PC RiteMedMefenamic acid 500mg 200 PC Bioflu Phenylephrine Hydrochloride 10mg; Chlorphenamine maleate 2mg; Paracetamol 500 200 PC Cetirizine hydrochloride 10mg tab </t>
  </si>
  <si>
    <t xml:space="preserve"> 165 SQ.M. CLEARING AND LAY OUT 108.8 CU.M EXCAVATION FOR STRUCTURE 16 CU.M. EMBANKMENT 95.04 SQ.M FORMWORKS AND SCAFFOLDING 198 SQ.M MASONRY WORKS 264 SQ.M PLASTERING 1587.30 KGS REBARS 17.3 CU.M CONCRETE WORKS</t>
  </si>
  <si>
    <t xml:space="preserve"> REQUEST FOR QUOTATION Date	:	July 15, 2020 Project Title	:	SUPPLY, FABRICATION AND DELIVERY OF STEEL GATE AND WINDOW GLASS FOR THE REHABILITATION AND IMPROVEMENT OF ANTIPOLO REPEATER TOWER ITB No.             	:	FB20-03-007COR Approved Budget for the Cont</t>
  </si>
  <si>
    <t xml:space="preserve"> MICROFINIHSING</t>
  </si>
  <si>
    <t xml:space="preserve"> BIDS AND AWARDS COMMITTEE                                                   SECTION I - INVITATION TO BID            SUPPLY OF LABOR AND MATERIALS FOR THE REPAIR AND ALIGNMENT OF THE OPERABLE WALL                                                           </t>
  </si>
  <si>
    <t xml:space="preserve"> 1 lot Provision of Security Services for a Period of One (1) Year in the DOLE Central Office from October 2020 to October 2021</t>
  </si>
  <si>
    <t xml:space="preserve"> Procurement of supply and delivery of NATIVE CHICKEN 341	head	Pullet 84	head	cockerel 		Native chicken- strains of either Darag, Joloaon and crosses of other native strains •	Not less than 6 months but not more than 1 year of age •	Not less than 1 kilogra</t>
  </si>
  <si>
    <t xml:space="preserve"> Procurement of supply and delivery of Laboratory Supplies 2	box	Rubber band, heat resistant (1000pc/box) 20	box	Rubber band, regular, colored (1000pc/box) 10	packs	Auto clave plastic bag (12x12x0.3 thin, 100pc/pack) 100	box	Rearing plastic boxes (12x9x4) </t>
  </si>
  <si>
    <t xml:space="preserve"> Please submit your lowest bid price for one (1) unit brand new motor vehicle with an engine displacement not less than 2.0 Liter if gasoline-fed; or 2.5 Liter, if diesel-fed; with an engine not exceeding 4 cylinders.  The type of vehicle can either be Cro</t>
  </si>
  <si>
    <t xml:space="preserve"> INVITATION TO BID SUPPLY AND DELIVERY OF SIX (6) UNITS GROUND PENETRATING RADAR (GPR) FOR THE USE OF DPWH REGIONAL OFFICES (FY 2020) The Department of Public Works and Highways [DPWH] thru its Bids and Awards Committee for Goods, through GAA 2020, intends</t>
  </si>
  <si>
    <t xml:space="preserve"> 2 PC Bandage scissors 5.5" 2 PC Mayo Scissors 5.5" 1 PC Tissue Forcep 5.5" 1 Set Glucometer set with strips 2 Set Oxygen Regulator with accessories 1 PC Cervical collar 2 PC Non-Contact Infrared Forehead Thermometer 1 Set Padded Board Splint Set 1 PC Thum</t>
  </si>
  <si>
    <t xml:space="preserve"> Please see attached documents for your reference.</t>
  </si>
  <si>
    <t xml:space="preserve"> Item	Description	ABC	Unit	Qty. 	LINE BID			 1	COVER GLASS (24 X 50 MM OPTICALLY CLEAR) 100’S/BOX	600.00	BOX	3 2	COVER GLASS (24 X 60 MM OPTICALLY CLEAR) 100’S/BOX	15,000.00	BOX	75 3	CRYOGEL 120 ML/BOTTLE	3,000.00	BOTTLE	3 4	CRYOSPRAY AT LEAST 10 OZ PER CA</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</si>
  <si>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</si>
  <si>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CSC-CO  BIDS AND AWARDS COMMITTEE    								                               CSC-ITB No.  2020 - 10  (Proc. of Primary Internet Services)      June 29, 2020   INVITATION TO BID  (Mode of Procurement:   Public Bidding) The Civil Service Commission (CSC), th</t>
  </si>
  <si>
    <t xml:space="preserve"> CSC-CO  BIDS AND AWARDS COMMITTEE                                          CSC-ITB No.  2020-_08_               (Proc. of Laptops &amp; Printers)                                                                  June 29, 2020    INVITATION TO BID  (Mode of Pro</t>
  </si>
  <si>
    <t xml:space="preserve"> CSC-CO  BIDS AND AWARDS COMMITTEE                                                CSC-ITB No.  2020 - 09                 (Proc. of Anti-Virus Licenses)                                                                     June  29, 2020     INVITATION TO BID</t>
  </si>
  <si>
    <t xml:space="preserve"> REQUEST FOR EXPRESSION OF INTEREST FOR FEASIBILITY STUDY The NIA- CARAGA Region, through the FS of CY 2020 FUNDS intends to apply the sum of  Twenty Four Million Two Hundred Seventy One Thousand Eight Hundred Forty Four Pesos and 65/100 Centavos Only (P 2</t>
  </si>
  <si>
    <t xml:space="preserve"> LOT.#1 Construction of Steel Gate @ Purok 3 (Php100,000.00), LOT.#2 Rehab of MPB @ Purok 3 (Php100,000.00), LOT. #3 Cons. Of MPB - (store Stall) Phase 2 @ P3 (Php200,000.00), LOT.#4 Crossdrain (Culvert) @ Purok 1(Php100,000.00), LOT.#5 Rehab of MPP @ Puro</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</si>
  <si>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</si>
  <si>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REQUEST FOR EXPRESSION OF INTEREST The National Capital Region (NCR) - North Sector Regional Office of the National Housing Authority (NHA), through Corporate Receipts approved by the NHA Board for the year 2020, intends to invite collection service provi</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</si>
  <si>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</si>
  <si>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Name of Requirement/Brief Description 	 One (1) Lot Structural Engineering Audit/Investigation and Design Consultancy Services for the Proposed BSP Museum at PICC Project, as per BSP Terms of Reference Approved Budget for the Contract (inclusive of all ap</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</si>
  <si>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</si>
  <si>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</si>
  <si>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A) REQUEST FOR QUOTATION 1. 5 pails Flat Latex, white 2. 16 pails Semi-gloss Latex, white 3. 20 kilos Patching Compound 4. 4 pcs Paint Roller 9” cotton w/ tray 5. 4 pcs Paint Brush 4”  Note: Delivery Period: Fifteen (15) Calendar days B) USE COMPANY LETTE</t>
  </si>
  <si>
    <t xml:space="preserve"> Republic of the Philippines																					 BIDS AND AWARDS COMMITTEE																					 Dagupan City																					 																					 																					 Request for Quotation (RFQ)																					 																					 Procuremen</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</si>
  <si>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</si>
  <si>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</si>
  <si>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</si>
  <si>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</si>
  <si>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</si>
  <si>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</si>
  <si>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Construction of Multi – Purpose Building</t>
  </si>
  <si>
    <t xml:space="preserve"> Preventive Maintenance of Road: Asphalt Overlay</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</si>
  <si>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</si>
  <si>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Rehabilitation of Paved Road</t>
  </si>
  <si>
    <t xml:space="preserve"> Construction of Flood Mitigation Facility</t>
  </si>
  <si>
    <t xml:space="preserve"> MG-TSE20-018..METER MULTIFUNCTION CAN MEASURE VOLTAGE, CURRENT, ACTIVE POWER ABC  : P 1,500,000.00 PLACE OF DELIVERY : CMTSD WAREHOUSE DITUCALAN, ILIGAN CITY AMOUNT OF BID DOCUMENTS : P 3,000.00</t>
  </si>
  <si>
    <t xml:space="preserve"> Construction of Bridge</t>
  </si>
  <si>
    <t xml:space="preserve"> Construction of Flood Mitigation Structure</t>
  </si>
  <si>
    <t xml:space="preserve"> Thirty (30) sets Solar Kit See attached link under OTHER INFORMATION BOX</t>
  </si>
  <si>
    <t xml:space="preserve"> BAC1-20-006 SUPPLY AND DELIVERY OF VARIOUS CONSTRUCTION SUPPLIES - PABX –  FOR 2020                                                      INVITATION  TO BID 1. The University of the Philippines Manila through its Bids and Awards Committee I (BAC 1), invite</t>
  </si>
  <si>
    <t xml:space="preserve"> Invitation to Bid The Manila International Airport Authority, through its Bids and Awards Committee (BAC), invites contractors to apply for eligibility and if found eligible, to bid for the hereunder contract:  Name of Contract                            </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</si>
  <si>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</si>
  <si>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</si>
  <si>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Please see attached RFQ # 20-1217 Submit your Sign and Sealed Quotation together with your UPDATED ELIGIBILITY Requirements For more details please call PSU (927-5263) or Email us at damimaropasvp@gmail.com For more details please call AMAD (426-0634) Off</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</si>
  <si>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</si>
  <si>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Request for Quotation RFQ No.		SVP-022-2020 MR No.		10221 Requisition No. 	AMD-093-2020 Posting Date:         	July 1, 2020 Deadline of  Submission:		July 6, 2020 at 9:00 AM Opening Date:	July 6, 2020 at 10:00 AM TO:	Name of Supplier: ____________________</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</si>
  <si>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</si>
  <si>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</si>
  <si>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</si>
  <si>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</si>
  <si>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</si>
  <si>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</si>
  <si>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</si>
  <si>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</si>
  <si>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</si>
  <si>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</si>
  <si>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</si>
  <si>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Invitation to Bid For Three (3) Years Subscription for Web Security Protection for LANDBANK Branches (700 Users)  1.	The LAND BANK OF THE PHILIPPINES (LANDBANK), through its Corporate Budget for the contract approved by the Board of Directors for 2020 int</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</si>
  <si>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</si>
  <si>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</si>
  <si>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Construction of Concrete Road</t>
  </si>
  <si>
    <t xml:space="preserve"> Rehabilitation/ Major Repair of Multi – Purpose Building</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</si>
  <si>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</si>
  <si>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</si>
  <si>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</si>
  <si>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</si>
  <si>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</si>
  <si>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</si>
  <si>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</si>
  <si>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</si>
  <si>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</si>
  <si>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</si>
  <si>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</si>
  <si>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</si>
  <si>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BAC1-20-008 SUPPLY AND DELIVERY OF VARIOUS CONSTRUCTION SUPPLIES - MECHANICAL/CMGVS FOR 2020                                                            INVITATION  TO BID 1. The University of the Philippines Manila through its Bids and Awards Committee I </t>
  </si>
  <si>
    <t xml:space="preserve"> Please see attached RFQ # 20-710-2 Submit your Sign and Sealed Quotation together with your UPDATED ELIGIBILITY Requirements For more details please call BUB/Planning (426-0593)  Technical Requirements: 1. Valid Business Permit / Mayor's Permit 2. Valid P</t>
  </si>
  <si>
    <t xml:space="preserve"> BAC1-20-008 SUPPLY AND DELIVERY OF VARIOUS CONSTRUCTION SUPPLIES - PAINTING  FOR 2020                                                            INVITATION  TO BID 1. The University of the Philippines Manila through its Bids and Awards Committee I (BAC 1)</t>
  </si>
  <si>
    <t xml:space="preserve"> Seven (7) units Motorcycles See attached link under OTHER INFORMATION BOX</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</si>
  <si>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</si>
  <si>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1.	The General Mariano Alvarez Water District (GMAWD). through the GMAWD General Fund, intends to apply the sum of One Million and Two Hundred Thousand Pesos (Php 1,200,000.00) being the Approved Budget for the Contract (ABC) to payments under the contrac</t>
  </si>
  <si>
    <t xml:space="preserve"> INVITATION TO BID SUPPLY AND DELIVERY OF SIX (6) UNITS 24-CHANNEL SEISMOGRAPH FOR THE USE OF DPWH REGIONAL OFFICES (FY 2020) The Department of Public Works and Highways [DPWH] thru its Bids and Awards Committee for Goods, through GAA 2020, intends to appl</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</si>
  <si>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</si>
  <si>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Please see attached RFQ # 20-1151 and Technical Specifications Submit your Sign and Sealed Quotation together with your UPDATED ELIGIBILITY Requirements at 3/F ATI Building Department of Agriculture Region IV-MiMaRoPa, Property&amp;Supply Unit/BAC Secretariat</t>
  </si>
  <si>
    <t xml:space="preserve"> Item	Description	ABC	Unit	Quantity 	LINE BID			 1	ANTI-RABIES SERUM (EQUINE) 200IU/ML, 5ML VIAL (IM)	21,600.00	VIAL	20 2	BUPIVACAINE HYDROCHLORIDE 0.5%, 4ML AMPULE (HEAVY)	352,320.00	AMPULE	3,000 3	CALCIUM CARBONATE 500MG TABLET OR CHEWABLE TABLET (EQUIV </t>
  </si>
  <si>
    <t xml:space="preserve"> Item	Description	ABC	Unit	Qty. 	LINE BID			 1	CHLORHEXIDINE DIGLUCONATE SPRAY 0.2% SOL’N., ANTISEPTIC 60 ML	1,400,000.00	BOTTLE	7,000 2	DIGITAL THERMOMETER, GOOD QUALITY	75,000.00	PCS	750 3	ICE BAG 9” ADULT, GOOD QUALITY	23,750.00	PCS	250 4	NASOGASTRIC TU</t>
  </si>
  <si>
    <t xml:space="preserve"> Item	Description	ABC	Unit	Qty. 	LOT BID			 1	ADMIN. SET FOR INFUSION PUMP (20 DROPS/ML)	2,100,000.00	PCS	35,000 2	ADMIN. SET FOR INFUSION PUMP (60 DROPS/ML)	1,800,000.00	PCS	30,000 3	IV CANNULA G18 WITH SAFETY LOCK WITH INJECTION PORT, LUER LOCK PLUG WITH</t>
  </si>
  <si>
    <t xml:space="preserve"> Item	Description	ABC	Unit 	Qty. 	LINE BID			 1	CHLORHEXIDINE DIGLUCONATE SURGICAL HANDWASHING 4% (NON-IONIC SURFACTANTS, EMOLIENTS, MOISTURIZERS &amp; STAIN FREE; 5LITERS/GAL	300,000.00	GALLON	100 2	ENZYMATIC DETERGENT (@LEAST 3.78 LITERS OR MORE/GAL.)	525,00</t>
  </si>
  <si>
    <t xml:space="preserve"> Republic of the Philippines SUGAR REGULATORY ADMINISTRATION North Avenue, Diliman, Quezon City 													                                           7/20/2020 										         Date REQUEST FOR QUOTATION Gentlemen: 		Please quote your lowest prices, ta</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</si>
  <si>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</si>
  <si>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</si>
  <si>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</si>
  <si>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</si>
  <si>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A) REQUEST FOR QUOTATION NISSAN SENTRA UQB-607, UQX-606 AND UQX-609 1. 15 pc Tires, 185/65 R14 Tubeless Tire NISSAN URVAN LHK-605 AND UQX-607 2. 2 pc Battery-Maintenance Free 3SMF (15 plates) NISSAN SENTRA UQB-607, UQX-606 AND UQX-609 3. 3 pc Battery-Main</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</si>
  <si>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</si>
  <si>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</si>
  <si>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</si>
  <si>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</si>
  <si>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</si>
  <si>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</si>
  <si>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1.	The Government Service Insurance System (GSIS) through the GSIS Corporate Operating Budget for CY 2020 intends to apply the sum of One Million Three Hundred Thousand Pesos (Php1,300,000.00) being the Approved Budget for the Contract (ABC) to payments u</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</si>
  <si>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</si>
  <si>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</si>
  <si>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</si>
  <si>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</si>
  <si>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Republic of the Philippines										 BIDS AND AWARDS COMMITTEE										 Province of Pangasinan										 Municipality of Sta. Barbara										 										 Invitation to Bid										  for 										 Improvement of Public Plaza										 Poblacion Norte,</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</si>
  <si>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</si>
  <si>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NVITATION TO BID    SUPPLY AND DELIVERY OF BRAND NEW 3,552 PAIRS TANKER SUIT, PHILARPAT FOR THE PHILIPPINE ARMY (PA)   Bid Reference No. MPG-BI-2020-415 Approved Budget for the Contract - ₱ 9,615,264.00     1. The Philippine International Trading Corporat</t>
  </si>
  <si>
    <t xml:space="preserve"> INVITATION TO BID    SUPPLY AND DELIVERY OF BRAND NEW 14,871 SETS TOWEL BATH AND FACE, MICROFIBER OD FOR THE PHILIPPINE ARMY (PA)   Bid Reference No. MPG-BI-2020-250 Approved Budget for the Contract - ₱ 8,579,377.32     1. The Philippine International Tra</t>
  </si>
  <si>
    <t xml:space="preserve"> Item	Description	ABC	Unit	Qty. 	LOT BID			 1	10X EZ PREP SOLUTION AT LEAST 1 L/BOTTLE	32,000.00	BOTTLE	1 2	3M STICKER LABELS (EBAR LABEL 5 ROLLS X 500 LABELS/PACK	1,000.00	PACKS	1 3	CELL CONDITIONING SOLUTION CC1 (630 TESTS/PACK)	41,000.00	PACKS	1 4	DAB C</t>
  </si>
  <si>
    <t xml:space="preserve"> INVITATION TO BID    SUPPLY AND DELIVERY OF 9,615 BRAND NEW INDIVIDUAL FIRST AID KITSFOR THE PHILIPPINE ARMY (PA)  Bid Reference No. MPG-B1-2019-416    Approved Budget for the Contract – P 36,663,533.40   1.  The Philippine International Trading Corporati</t>
  </si>
  <si>
    <t xml:space="preserve"> INVITATION FOR NEGOTIATION    SUPPLY OF LABOR AND MATERIALS FOR THE REPAIR AND IMPROVEMENT OF GEN. RICARTE SHRINE GROUNDS AND ATTENDANT PARKS OF THE PHILIPPINE VETERANS AFFAIRS OFFICE (PVAO)    Bid Ref No. MPG-B2-2020-310 Nego  (Previous Bid Ref No. 2019-</t>
  </si>
  <si>
    <t xml:space="preserve"> INVITATION TO BID    Design and Build of Pagadian City and Navotas City Fire Stations for the  Bureau of Fire Protection – National Headquarters (BFP-NHQ)  Bid Ref. No. GPG-B2-2020-103 2ND REBID   (Previous Bid Ref. No. GPG-B2-2019-116 and GPG-B2-2019-487</t>
  </si>
  <si>
    <t xml:space="preserve"> PR NO. 20-03-0040								 DATE: March 18, 2020 Gentlemen/Ladies: The Technological University of the Philippines – Manila intends to Procure STEEL CABINET with an Approved Budget for the Contract of Sixty Thousand Pesos (PhP 60,000.00). Please quote your </t>
  </si>
  <si>
    <t xml:space="preserve"> INVITATION TO BID    SUPPLY AND DELIVERY OF ONE LOT BRAND NEW OPHTHALMIC OPERATING MICROSCOPE AND BRAND NEW OPHTHALMIC CHAIR AND STAND FOR THE PHILIPPINE ARMY (PA)   Bid Reference No. MPG-BI-2020-231 Rebid (Previous Bid Reference No. MPG-BI-2019-169)     </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</si>
  <si>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</si>
  <si>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MA-A2H20-006..BATTERY BANK, STATION BATTERY, AGUS 1 HE PLANT ABC  : P 8,500,000.00 PLACE OF DELIVERY  : AGUS 1 HEP WAREHOUSE MARAWI CITY AMOUNT OF BID DOCUMENTS  : P 10,000.00</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</si>
  <si>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</si>
  <si>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Republic of the Philippines				 				                   Office of the Municipal Mayor				 					       BIDS AND AWARDS COMMITTEE				 					            Sta. Barbara, Pangasinan				 									 					               Invitation to Bid 				 					                    </t>
  </si>
  <si>
    <t xml:space="preserve"> PROVISION OF WATCHMAN SERVICES FROM MARCH 1-DECEMBER 31, 2020</t>
  </si>
  <si>
    <t xml:space="preserve"> Invitation to Bid  PROCUREMENT OF REPAIR AND REHABILITATION OF VARIOUS SCHOOL BUILDING (REPAIR OF 11 CLASSROOMS) IN SINALOC ELEMENTARY SCHOOL Project 2020-03-0023 1.	The Department of Education, Division of El Salvador City, through the General Appropriat</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</si>
  <si>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</si>
  <si>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</si>
  <si>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</si>
  <si>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INVITATION TO BID    RENOVATION OF VARIOUS LABORATORIES AND TRAINING FACILITIES OF THE UNIVERSITY OF THE PHILIPPINES LOS BAÑOS – COLLEGE OF VETERINARY MEDICINE (UPLB – CVM)    Bid Ref. No. GPG-B2-2020-272 2nd Rebid (Prev. Bid Ref. Nos. GPG-B2-2019-301 and</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</si>
  <si>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</si>
  <si>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</si>
  <si>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INVITATION TO BID    REPAIR/RENOVATION OF DEPARTMENT OF HEALTH (DOH) BUILDING NO. 1   Bid Reference No. GPG-B2-2020-282 2nd Rebid (Prev. Bid Ref. No. GPG-B2-2019-402 Rebid and GPG-B2-2019-196)   Approved Budget for the Contract (ABC): ₱10,118,081.88    1.</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</si>
  <si>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</si>
  <si>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</si>
  <si>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Request for Quotation for the Procurement of 1 unit Generator Set  1.	The Department of Agriculture-Regional Field Office 7 (DA-RFO 7), through the General Appropriation Act for CY 2020 intends to apply the sum of Three Hundred Thousand Pesos (P 300,000.0</t>
  </si>
  <si>
    <t xml:space="preserve"> Construction and/or Repair/Rehabilitation of Multi-Purpose Building</t>
  </si>
  <si>
    <t xml:space="preserve"> INVITATION TO BID The __DPWH-2nd District Engineering Office, Labason, Zamboanga del Norte  , through its Bids and Awards Committee (BAC), invites contractors to submit bids for the following Contract:      Contract ID: 20JC0056       Contract Name: Const</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</si>
  <si>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</si>
  <si>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</si>
  <si>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Republic of the Philippines Province of Cavite City of General Trias Invitation to Bid for  Project Reference No. INFR-20-016– CONSTRUCTION OF HIMLAYANG GENERAL TRIAS ANNEX (PHASE II) AT BARANGAY BUENAVISTA III, CITY OF GEN. TRIAS, CAVITE 1.	The City Gove</t>
  </si>
  <si>
    <t xml:space="preserve"> Supply and Delivery of Various ICT Supplies 4 units UPS (650VA, AVR, Universal Sockets, Battery Backup and Surge Protector) 2 units UPS (14000VA, 700 watts, 230 V, AVR, Universal and IEC Sockets Battery Backup &amp; Surge Protector for Electronics and Compute</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</si>
  <si>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</si>
  <si>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Contract Name: Continuation of Multi – Purpose Building, Brgy. 259, Tondo, Manila Contract Location: Manila City      Brief Description: Rehabilitation of Multi – Purpose Building      Approved Budget for the Contract (ABC):  Php 14,849,659.73      Source</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</si>
  <si>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</si>
  <si>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SUPPLY AND DELIVERY OF VARIOUS BRAND NEW MEDICAL EQUIPMENT FOR THE DEPARTMENT OF HEALTH – CENTER FOR HEALTH DEVELOPMENT I  (DOH – CHD I) Bid Reference No.: GPG-B1-2020-010 1.	The Philippine International Trading Corporation (PITC) and th</t>
  </si>
  <si>
    <t xml:space="preserve"> INVITATION TO BID    SUPPLY AND DELIVERY OF BRAND NEW 17,059 PAIRS PHILIPPINE ARMY RUBBER SHOES BLACK FOR THE PHILIPPINE ARMY (PA)   Bid Reference No. MPG-BI-2020-054  Approved Budget for the Contract - ₱ 62,631,947.91     1. The Philippine International </t>
  </si>
  <si>
    <t xml:space="preserve"> Procurement of supply and delivery of flour mill 1	unit	Flour Mill with 4 electric hotplate cooking range (for the development of white flint corn value adding products) 		Flour Mill Specifications: Weight- Approx-26kg Size HXBXL- 58cm x 30 cm Size of Eme</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</si>
  <si>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</si>
  <si>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</si>
  <si>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</si>
  <si>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INVITATION TO BID  SUPPLY AND DELIVERY OF FOURTEEN (14) SETS BRAND NEW TRACK ASSY (T130) FOR M113 APC OF THE PHILIPPINE ARMY (PA)  Bid Reference No. MPG-B1-2020-002 Approved Budget for the Contract - ₱ 10,769,230.64     1. Philippine International Trading</t>
  </si>
  <si>
    <t xml:space="preserve"> INVITATION TO BID SUPPLY, DELIVERY, INSTALLATION, TESTING AND COMMISSIONING OF ONE (1) LOT BRAND NEW AIR-CONDITIONING UNITS FOR THE NATIONAL BUREAU OF INVESTIGATION (NBI) Bid Reference No. GPG-B1-2020-220 3RD REBID  (Previous Bid Ref. Nos. GPG-B1-2018-236</t>
  </si>
  <si>
    <t xml:space="preserve"> INVITATION TO BID  The National Housing Authority (NHA), through the Corporate Budget approved by the NHA Board for the year 2018 intends to apply the sum of the Approved Budget for the Contract (ABC) to payment for the following contract:  Ref. No.: ITB </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</si>
  <si>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</si>
  <si>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SUPPLY AND DELIVERY OF BRAND NEW KM 500 TIRE 11.00-20, 16PR  (LUG TRACTION DESIGN) FOR THE PHILIPPINE NAVY (PN)    Bid Ref. No. MPG-B1-2019-562 3rd Rebid  (Previous Bid Ref. Nos. MPG-B1-2018-397, MPG-B1-2018-597 Rebid and MPG-B1-2019-307</t>
  </si>
  <si>
    <t xml:space="preserve"> CLARK DEVELOPMENT CORPORATION Clark Freeport Zone, Philippines INVITATION TO BID The Clark Development Corporation, through its Bids and Awards Committee (BAC), invites video production companies to bid for the hereunder project: Name of Project	:	PRODUCT</t>
  </si>
  <si>
    <t xml:space="preserve"> SUPPLY AND DELIVERY OF BRAND NEW 2,031 PIECES MILITARY BINOCULAR, COMPACT, MODEL 1 FOR THE PHILIPPINE ARMY (PA)   Bid Reference No. MPG-BI 2020-318 4 th  Rebid  (Previous Bid Ref. Nos. MPG-BI-2018-113, MPG-B1-2018-264, Rebid,                              </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</si>
  <si>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</si>
  <si>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</si>
  <si>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</si>
  <si>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</si>
  <si>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REPAIR OF PHYTON CAGE NOTE: (FOR JOB ORDER) REQUEST FOR QUOTATION SHALL BE THRU EMAIL DUE TO COVID 19.   YOU CAN DROP YOUR QUOTATIONS AT OUR BID BOX SITUATED IN FRONT OF OUR MAINGATE GUARDHOUSE – AGUS 6/7 HPPC.</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</si>
  <si>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</si>
  <si>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</si>
  <si>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The CAGAYAN STATE UNIVERSITY (Andrews Campus), through the Trust Fund for the contract approved by the governing Board intends to apply the sum Two Million Eight Hundred Fifty-Nine Thousand Three Hundred Pesos and 00/100 (2,859,300.00) being the Approved </t>
  </si>
  <si>
    <t xml:space="preserve"> The CAGAYAN STATE UNIVERSITY (Andrews Campus), through the Trust Fund for the contract approved by the governing Board intends to apply the sum Seven Million Seven Hundred Twenty Thousand Seven Hundred Pesos and 00/100 (7,720,700.00) being the Approved Bu</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</si>
  <si>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</si>
  <si>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</si>
  <si>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A. Clearing. Layout and false works B. Excavation C. Concrete Line Canal with Concrete Cover and Concrete Shoulder D. Concrete Line Canal</t>
  </si>
  <si>
    <t xml:space="preserve"> BIDS AND AWARDS COMMITTEE – HEAD OFFICE INVITATION TO BID 1. The Bangko Sentral ng Pilipinas (BSP), through its Bids and Awards Committee – Head Office (BAC-HO), invites Bidders to apply for eligibility and to bid for the hereunder requirement: Descriptio</t>
  </si>
  <si>
    <t xml:space="preserve"> Invitation to Bid for the Supply, Delivery,  Installation and Commissioning  of 24  Units Solar Powered Pumps  NIAR6-GAA-SOLAR-GS03-20 1.	The National Irrigation Administration Regional Office VI, Iloilo City, through the General Appropriation Act (GAA) C</t>
  </si>
  <si>
    <t xml:space="preserve"> Consulting Services</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</si>
  <si>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</si>
  <si>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Republic of the Philippines SUGAR REGULATORY ADMINISTRATION North Avenue, Diliman, Quezon City 													                                            7/23/2020 										         Date REQUEST FOR QUOTATION Gentlemen: 		Please quote your lowest prices, t</t>
  </si>
  <si>
    <t xml:space="preserve"> 1.	The Sultan Kudarat Water District, through the Corporate Budget Approved by the Governing Board  intends to apply the sum of P 1,420,000.00 being the Approved Budget for the Contract (ABC) to payments under the contract. Bids received in excess of the </t>
  </si>
  <si>
    <t xml:space="preserve"> Republic of the Philippines BIDS AND AWARDS COMMITTEE Bacolod City INVITATION TO BID FOR THE PROJECT FOR IMPROVEMENT OF BACOLOD ARTS CENTER, BCNHS CPD., BRGY. TACULING, BACOLOD CITY 1.	The City of Bacolod, through the Sangguniang Panlungsod 2020 intends t</t>
  </si>
  <si>
    <t xml:space="preserve"> Republic of the Philippines BIDS AND AWARDS COMMITTEE Bacolod City INVITATION TO BID FOR THE CONSTRUCTION OF DRUG REHABILITATION CENTER BRGY. ALIJIS, BACOLOD CITY 1.	The City of Bacolod, through the Sangguniang Panlungsod 2020 intends to apply the sum of </t>
  </si>
  <si>
    <t xml:space="preserve"> 1.	The Philippine Rice Research Institute, through the 2020 Rice Competitiveness Enhancement Fund intends to apply the sum of TWO MILLION  AND 00/100 ONLY (Php 2,000,000.00) being the Approved Budget for the Contract (ABC) to payments under the contract f</t>
  </si>
  <si>
    <t xml:space="preserve"> Republic of the Philippines Province of Batangas Municipality of Sto. Tomas Barangay San Vicente INVITATION TO BID The Barangay Government of San Vicente, Sto. Tomas, Batangas through its Bids and Awards Committee ( BAC) invites suppliers/dealers/contract</t>
  </si>
  <si>
    <t xml:space="preserve"> National Power Corporation INVITATION TO BID PUBLIC BIDDING 2020-0199 1.	The NATIONAL POWER CORPORATION (NPC), through       its        approved       Corporate Budget of CY 2020 intends to apply   the   sum   of (Please see schedule below) being the Appr</t>
  </si>
  <si>
    <t xml:space="preserve"> 1.	The Philippine Rice Research Institute, through the 2020 Rice Competitiveness Enhancement Fund intends to apply the sum of EIGHT MILLION SIX HUNDRED FIFTY THOUSAND AND 00/100 ONLY (Php 8,650,000.00) being the Approved Budget for the Contract (ABC) to p</t>
  </si>
  <si>
    <t xml:space="preserve"> Republic of the Philippines  PROVINCE OF SAMAR Municipality of San Sebastian Invitation to Bid for  LOCAL ROAD UPGRADING Upgrading of 350Ln.m x 6.10mx0.20 Existing Gravel Road to Portland Cement Concrete Pavement 1.	The Municipality of San Sebastian, thro</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</si>
  <si>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</si>
  <si>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PLEASE SEE SIMILAR POSTING AT THE PROCURING ENTITY'S WEBSITE</t>
  </si>
  <si>
    <t xml:space="preserve"> 1. Issuance of Bidding Documents</t>
  </si>
  <si>
    <t xml:space="preserve"> Republic of the  Philippines </t>
  </si>
  <si>
    <t xml:space="preserve"> Prospective bidder should have experience in undertaking a similar project with the proposed project for bidding. The eligibility check/screening as well as the preliminary Examination of Bids shall use nondiscretionary “pass/fail” criteria. Post-qualification of the lowest calculated bid shall be conducted. All particulars relative to Eligibility Statement and Screening, Bid Security, Performance Security, Pre-bidding Conference(s), Evaluation of Bids, Post-qualification and Awards of Contract shall be governed by the pertinent provisions of RA 9184 and its Implementing Rules and Regulation (IRR).</t>
  </si>
  <si>
    <t xml:space="preserve"> QTY/UNIT/ITEM DESCRIPTION</t>
  </si>
  <si>
    <t xml:space="preserve"> Deadline for submission of the quotation shall be on August 27, 2020, at 02:00 PM in Municipal Conference Room, Libungan, Cotabato.</t>
  </si>
  <si>
    <t xml:space="preserve"> Deadline for submission of the quotation shall be on August 27, 2020, at 01:30 PM in Municipal Conference Room, Libungan, Cotabato.</t>
  </si>
  <si>
    <t xml:space="preserve"> Pre-bid Conference is open to all interested bidders.</t>
  </si>
  <si>
    <t xml:space="preserve"> 2020 20% DF</t>
  </si>
  <si>
    <t xml:space="preserve"> - Prospective Bidders are encouraged to attend the Pre-bid Conference on the scheduled date</t>
  </si>
  <si>
    <t xml:space="preserve"> Republic of the Philippines </t>
  </si>
  <si>
    <t xml:space="preserve"> Interested Bidders are encouraged to attend the Pre-bid Conference on the scheduled date</t>
  </si>
  <si>
    <t xml:space="preserve"> Deadline for submission of the quotation shall be on August 27, 2020, at 01:00 PM in Municipal Conference Room, Libungan, Cotabato.</t>
  </si>
  <si>
    <t xml:space="preserve"> 1 SET DENTAL CHAIR</t>
  </si>
  <si>
    <t xml:space="preserve"> SPL- I	2.00     units        Installation of Billboard	</t>
  </si>
  <si>
    <t xml:space="preserve"> For More Info. Please Contact:</t>
  </si>
  <si>
    <t xml:space="preserve"> The  schedule of activities is listed, as follows:							</t>
  </si>
  <si>
    <t xml:space="preserve"> Please download the attached Request for Quotation form to be included in the Document Request List &amp; Bidders List...</t>
  </si>
  <si>
    <t xml:space="preserve"> 1ST POSTING.</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</si>
  <si>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</si>
  <si>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INTERESTED BIDDER MAY CONTACT HON. ARVIN G. GABAISEN, BARANGAY CAPTAIN OF BARANGAY DANICOP, ANTEQUERA, BOHOL WITH A CEL NO. 09295700263.</t>
  </si>
  <si>
    <t xml:space="preserve"> Deadline Submission of Price Quotation:   August 27, 2020</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</si>
  <si>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</si>
  <si>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All quotations must be in the prescribed canvass form and suppliers or its duly authorized representative shall personally submit the same to the City Procurement Office, City Government of Antipolo.</t>
  </si>
  <si>
    <t xml:space="preserve"> 1.	All prospective suppliers must first submit photocopies of Class “A” Documents, and other</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</si>
  <si>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</si>
  <si>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https://drive.google.com/file/d/116e8n-Ip-PeETidTWw8NaSWJMNUxGh6-/view?usp=drivesdk</t>
  </si>
  <si>
    <t xml:space="preserve"> For the use of 76IBN, 2ID, PA</t>
  </si>
  <si>
    <t xml:space="preserve"> For the use of 2IMB, ASCOM, PA</t>
  </si>
  <si>
    <t xml:space="preserve"> Please download ITB &amp; Biddocs in the Associated Components for reference.</t>
  </si>
  <si>
    <t xml:space="preserve"> For inquiry, pls. send email at delegated procurement@bsp.gov.ph</t>
  </si>
  <si>
    <t xml:space="preserve"> For the use of 68IB, 2ID, PA</t>
  </si>
  <si>
    <t xml:space="preserve"> INSTRUCTIONS/TERMS AND CONDITIONS:								</t>
  </si>
  <si>
    <t xml:space="preserve"> For the use of HARESCOM</t>
  </si>
  <si>
    <t xml:space="preserve"> for the use Camarines Norte Provincial Jail Office</t>
  </si>
  <si>
    <t xml:space="preserve"> RM of Furniture &amp; Fixtures</t>
  </si>
  <si>
    <t xml:space="preserve"> Repair and Maintenance of PSWDO Service Vehicle NL-0085 L300 FB</t>
  </si>
  <si>
    <t xml:space="preserve"> For the use of 201BDE, 2ID, PA</t>
  </si>
  <si>
    <t xml:space="preserve"> Installation of CCTV</t>
  </si>
  <si>
    <t xml:space="preserve"> for use in support to pili, cacao, coffee production</t>
  </si>
  <si>
    <t xml:space="preserve"> for Preventive Maintenance of Digital X-Ray</t>
  </si>
  <si>
    <t xml:space="preserve"> for the operation of Bahay Pag-asa (for CICL Mat-e)</t>
  </si>
  <si>
    <t xml:space="preserve"> Repair and Maintenance of Government Vehicle with Plate No. SFY 601.</t>
  </si>
  <si>
    <t xml:space="preserve"> for the use of Camarines Norte Provincial Jail Office</t>
  </si>
  <si>
    <t xml:space="preserve"> created by:          CYNTHIA GABIONZA</t>
  </si>
  <si>
    <t xml:space="preserve"> For the use of 2CAVBn</t>
  </si>
  <si>
    <t xml:space="preserve"> Bidders must download the attached document in the associated components section.</t>
  </si>
  <si>
    <t xml:space="preserve"> ***Please see attached Request for Quotation...</t>
  </si>
  <si>
    <t xml:space="preserve"> Bidding Documents can also be downloaded at the link below. Copy and paste it in web browser address bar.</t>
  </si>
  <si>
    <t xml:space="preserve"> A complete set of Bidding Documents may be acquired by interested bidders on August 24, 2020 to September 15,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</si>
  <si>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Funded under the General Fund, 20% Development Fund with an ABC of Php 99,848.45</t>
  </si>
  <si>
    <t xml:space="preserve"> For Particular, Inquire at BAC Secretariat of Brgy. Zone III-Poblacion, Atimonan, Quezon</t>
  </si>
  <si>
    <t xml:space="preserve"> 1. DTI Business Name Registration or SEC registration, CDA, Registration </t>
  </si>
  <si>
    <t xml:space="preserve"> 1. Funded under the General Fund, 20% Development fund with an ABC of Php 99,789.38.</t>
  </si>
  <si>
    <t xml:space="preserve"> Click order link of the associated components</t>
  </si>
  <si>
    <t xml:space="preserve"> Bidding Documents may be secured from the Bids and Awards Committee, Office of the Municipal Mayor upon payment to the MTO Cashier of a non-refundable amount of ₱ 500.00. </t>
  </si>
  <si>
    <t xml:space="preserve"> For further information, please refer to:</t>
  </si>
  <si>
    <t xml:space="preserve"> SEE REQUEST FOR QUOTATION</t>
  </si>
  <si>
    <t xml:space="preserve"> Lot 	PR	Name of Project	Unit/ Quantity	Unit	Total	Over all		Fund	Program</t>
  </si>
  <si>
    <t xml:space="preserve"> Lot 	PR		Unit/ Quantity	Unit	Total	Over all	ABC	Fund	Program</t>
  </si>
  <si>
    <t xml:space="preserve"> Lot 	PR		Unit/ Quantity	Brand Name	Unit	Total	Over all		Fund	Program</t>
  </si>
  <si>
    <t xml:space="preserve"> LOOK FOR TREASURER MARIKITA CRUZ</t>
  </si>
  <si>
    <t xml:space="preserve"> Lot 	PR		Qty.	Unit	Brand	Unit	Total	Over all	ABC	Fund	Program</t>
  </si>
  <si>
    <t xml:space="preserve"> Lot	Description				Total Price			ABC</t>
  </si>
  <si>
    <t xml:space="preserve"> Lot 	PR		Qty.	Unit	Brand Name	Unit	Total	Over all		Fund	Program</t>
  </si>
  <si>
    <t xml:space="preserve"> Supplier within Sipalay City only</t>
  </si>
  <si>
    <t xml:space="preserve"> Lot 	PR		Qty.	Unit	Unit	Total	Over all	ABC	Fund	Program</t>
  </si>
  <si>
    <t xml:space="preserve"> Lot 	PR	Name of Project	Qty.	 Unit 	Brand Name	Unit	Total	Over all		Fund	Program</t>
  </si>
  <si>
    <t xml:space="preserve"> Lot	PR	Name of Project	Schedule	No. of	No. of	Unit	Total	Over all	ABC	Fund	Program</t>
  </si>
  <si>
    <t xml:space="preserve"> Concreting of Road 500m x 4m, thickness 0.20m with 0.80m shouldering bothsides.</t>
  </si>
  <si>
    <t xml:space="preserve"> https://drive.google.com/file/d/10WgOtAivYDNlDE3YGQrbCfMLREWRFBxq/view?usp=drivesdk</t>
  </si>
  <si>
    <t xml:space="preserve"> Concreting of Roads 230m x 3m, thickness 0.20m with 0.50m shouldering both sides.</t>
  </si>
  <si>
    <t xml:space="preserve"> Please visit the brgy. during office hours for further information..</t>
  </si>
  <si>
    <t xml:space="preserve"> https://drive.google.com/file/d/1LUqImyy80WY2S9KqjXxQvShIWMqsL9Xf/view?usp=drivesdk</t>
  </si>
  <si>
    <t xml:space="preserve"> Bidding Documents may be secured from the Bids and Awards Committee, Office of the Municipal Mayor upon payment to the MTO Cashier of a non-refundable amount of ₱ 5,000.00. </t>
  </si>
  <si>
    <t xml:space="preserve"> Fore queries, please refer to:</t>
  </si>
  <si>
    <t xml:space="preserve"> PROCEED TO BARANGAY MAHIPON</t>
  </si>
  <si>
    <t xml:space="preserve"> See request for quotation</t>
  </si>
  <si>
    <t xml:space="preserve"> For the use of 2MIB, 2ID, PA</t>
  </si>
  <si>
    <t xml:space="preserve"> for Hemodialysis facilities use</t>
  </si>
  <si>
    <t xml:space="preserve"> for Preventive Maintenance of CT Scan</t>
  </si>
  <si>
    <t xml:space="preserve"> CREATED BY BAC CHAIRMAN</t>
  </si>
  <si>
    <t xml:space="preserve"> BAC ACTIVITIES</t>
  </si>
  <si>
    <t xml:space="preserve"> Source of Fund : MDRRMF</t>
  </si>
  <si>
    <t xml:space="preserve"> Source of Fund: MDRRMF</t>
  </si>
  <si>
    <t xml:space="preserve"> Please visit BAC Office</t>
  </si>
  <si>
    <t xml:space="preserve"> For more clarifications and Information please contact Engr. Derwin Babor and Engr. Alvin Estrada thru Cell  Phone No's.09364761425  or 09368665741</t>
  </si>
  <si>
    <t xml:space="preserve"> For more information, please see or contact the BAC Members of LGU Magallanes, Sorsogon.</t>
  </si>
  <si>
    <t xml:space="preserve"> Terms of Reference:			</t>
  </si>
  <si>
    <t xml:space="preserve"> All suppliers must submit their quotation together with the following:</t>
  </si>
  <si>
    <t xml:space="preserve"> bounded per subject</t>
  </si>
  <si>
    <t xml:space="preserve"> Deliver your proposal on or before the closing time. Late proposal will not be accepted.</t>
  </si>
  <si>
    <t xml:space="preserve"> For Bidding Schedule, Please contact the BAC Secretariat.</t>
  </si>
  <si>
    <t xml:space="preserve"> Deliver your proposal on or before the closing time, late proposal will not be accepted.</t>
  </si>
  <si>
    <t xml:space="preserve"> Created By: Carolyne A. Santiago</t>
  </si>
  <si>
    <t xml:space="preserve"> https://drive.google.com/file/d/1tChNcomn1Q6XMnJTXPYbnV7_2XJN0Vk3/view?usp=drivesdk</t>
  </si>
  <si>
    <t xml:space="preserve"> Bids received in excess of the ABC shall be automatically rejected at bid opening.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</si>
  <si>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RFQ should be delivered to school</t>
  </si>
  <si>
    <t xml:space="preserve"> Submission of Quotation and Eligibility documents is on or before 5:00 P.M. of August 27, 2020 at BAC Secretariat Office located at Second Floor, Municipal Building, Alfonso, Cavite.</t>
  </si>
  <si>
    <t xml:space="preserve"> Annex “A”</t>
  </si>
  <si>
    <t xml:space="preserve"> Submission of Quotation and Eligibility documents is on or before 5:00 P.M. of August 27, 2020 at BAC Secretariat Office located at Second Floor, Municipal Building, Alfonso, Cavite</t>
  </si>
  <si>
    <t xml:space="preserve"> ONE TIME DELIVERY</t>
  </si>
  <si>
    <t xml:space="preserve"> Posting and Issuance of BID Documents: August 23 to September 1, 2020; 01:00 PM</t>
  </si>
  <si>
    <t xml:space="preserve"> Posting and Issuance of BID Documents: August  23 to September 1, 2020; 01:00 PM</t>
  </si>
  <si>
    <t xml:space="preserve"> PLEASE SEE ATTACHED DOCUMENT</t>
  </si>
  <si>
    <t xml:space="preserve"> Posting and Issuance of BID Documents : August 23 to September 1, 2020; 01:00 PM</t>
  </si>
  <si>
    <t xml:space="preserve"> 1. The AGUS 4&amp;5 HPP COMPLEX, through its approved Corporate Budget of CY 2020 intends to apply the sum of (Please see schedule below) being the Approved Budget for the Contract (ABC) to payments under the contract. Bids received in excess of the ABC shall be automatically rejected at Bid Opening.</t>
  </si>
  <si>
    <t xml:space="preserve"> For inquiry, call BAC sec</t>
  </si>
  <si>
    <t xml:space="preserve"> Posting and Issuance of Bid Documents: August 23 to September 1, 2020; 01:00 PM</t>
  </si>
  <si>
    <t xml:space="preserve"> Please download RFQ in the associated component.</t>
  </si>
  <si>
    <t xml:space="preserve"> Inquire at the Office of Quezon Medical Center for details.</t>
  </si>
  <si>
    <t xml:space="preserve"> Inquire at the Office of the Provincial Governor/BAC for details.</t>
  </si>
  <si>
    <t xml:space="preserve"> Inquire at the Office of San Francisco Municipal Hospital for details.</t>
  </si>
  <si>
    <t xml:space="preserve"> Inquire at the Office of the Provincial Treasurer for details.</t>
  </si>
  <si>
    <t xml:space="preserve"> Inquire at the Office of the Provincial Veterinarian for details.</t>
  </si>
  <si>
    <t xml:space="preserve"> The FINAL Bidding Documents and/or Request for Proposals (RFP) are also posted in the DPWH website</t>
  </si>
  <si>
    <t xml:space="preserve"> Inquire at the Office of the Provincial Agriculturist for details.</t>
  </si>
  <si>
    <t xml:space="preserve"> Inquire at the Office of Economic Enterprise Unit for details.</t>
  </si>
  <si>
    <t xml:space="preserve"> Inquire at the Office of the Provincial Engineer for details.</t>
  </si>
  <si>
    <t xml:space="preserve"> Inquire at the Office of Sangguniang Panlalawigan - BM Sio for details.</t>
  </si>
  <si>
    <t xml:space="preserve"> Inquire at the Office of the PGO-BAC for details.</t>
  </si>
  <si>
    <t xml:space="preserve"> Barangay Binog is a barangay that composed of Barangay Officials and Constituents.</t>
  </si>
  <si>
    <t xml:space="preserve"> Bid Openig Venue: BAC Office, 9:00AM</t>
  </si>
  <si>
    <t xml:space="preserve"> For more details please visit our office or call the CCC Chairman</t>
  </si>
  <si>
    <t xml:space="preserve"> for more details please visit our office or call the CCC Chairman</t>
  </si>
  <si>
    <t xml:space="preserve"> Interested bidders may download attached documents located in the Associated Component Section.</t>
  </si>
  <si>
    <t xml:space="preserve"> Interested Supplier/s may download attached documents located in the Associated Components Section.</t>
  </si>
  <si>
    <t xml:space="preserve"> Printed Modules in Elementary grade 1-6</t>
  </si>
  <si>
    <t xml:space="preserve"> Amount of Bidding Documents: Php. 1,000.00</t>
  </si>
  <si>
    <t xml:space="preserve"> For Particular, Inquire at BAC Secretariat of Brgy. Habingan, Atimonan, Quezon</t>
  </si>
  <si>
    <t xml:space="preserve"> Please see attached RFQ at associated components section</t>
  </si>
  <si>
    <t xml:space="preserve"> • Similar Contracts: Supply and delivery of electrical testing equipment / instruments</t>
  </si>
  <si>
    <t xml:space="preserve"> uploaded docs are also available in dpwh website</t>
  </si>
  <si>
    <t xml:space="preserve"> RESOLUTION RECOMMENDING TO THE REGIONAL DIRECTOR TO MAKE REPRESENTATION WITH ROBERTO R. BERNARDO, UNDER SECRETARY FOR VISAYAS OPERATIONS, REGION IV-A AND NCR TO AUTHORIZE THE BIDS AND AWARDS COMMITTEE OF THIS REGIONAL OFFICE TO UNDERTAKE THROUGH NEGOTIATED PROCUREMENT (EMERGENCY CASES) AND TO APPROVE THE RESOLUTION OF AWARD AND THE CORRESPONDING CONTRACT RESULTING THEREFROM AND OTHER DOCUMENTS PERTINENT THERETO FOR THE REHABILITATION OF DISASTER – RELATED INFRASTRUCTURE AND OTHER FACILITIES (STATE OWNED FACILITIES AND OTHER PREDETERMINED SITES INTO SEVERAL HEALTHCARE FACILITIES) DUE TO THE DECLARATION OF THE PRESIDENT OF STATE OF PUBLIC HEALTH EMERGENCY</t>
  </si>
  <si>
    <t xml:space="preserve"> Purpose: To be use for the Foot Hand Washing and Disinfection stations for health and sanitation</t>
  </si>
  <si>
    <t xml:space="preserve"> Republic of the Philippines</t>
  </si>
  <si>
    <t xml:space="preserve"> https://drive.google.com/file/d/1pGTGD3d-NTZB_YdclysJUtyf3tCnRsEl/view?usp=drivesdk</t>
  </si>
  <si>
    <t xml:space="preserve"> https://drive.google.com/file/d/1yDOA9_8VnlP-mB_Yzt7rEHrP7rljdPUV/view?usp=drivesdk</t>
  </si>
  <si>
    <t xml:space="preserve"> https://drive.google.com/file/d/1EYHy3ZPj0RNcc8M5e9CY-RAGo-Sscll-/view?usp=drivesdk</t>
  </si>
  <si>
    <t xml:space="preserve"> https://drive.google.com/file/d/1lcNwiXYdlxZubCCj3DfmsIkqEbG4gut8/view?usp=drivesdk</t>
  </si>
  <si>
    <t xml:space="preserve"> https://drive.google.com/file/d/1LN623Q9c3DIVQ-uch8tMglkfRjoHw3sp/view?usp=drivesdk</t>
  </si>
  <si>
    <t xml:space="preserve"> see bid docs attached</t>
  </si>
  <si>
    <t xml:space="preserve"> BIDDERS MUST DOWNLOAD THE ATTACHED DOCUMENT IN THE ASSOCIATED COMPONENT SECTION</t>
  </si>
  <si>
    <t xml:space="preserve"> The closing date shall be on the 3rd day after the date published on the Philgeps website</t>
  </si>
  <si>
    <t xml:space="preserve"> 1. DTI Business Name Registration or SEC Registration, CDA, Registration</t>
  </si>
  <si>
    <t xml:space="preserve"> NOTE: To all Suppliers,</t>
  </si>
  <si>
    <t xml:space="preserve"> Cost of Documents: Php5,000.00</t>
  </si>
  <si>
    <t xml:space="preserve"> Cost of Documents: Php1,000.00</t>
  </si>
  <si>
    <t xml:space="preserve"> FOR OTHER INQUIRIES PLEASE CALL</t>
  </si>
  <si>
    <t xml:space="preserve"> Kristine S. Mojica</t>
  </si>
  <si>
    <t xml:space="preserve"> ITB20-08-033B</t>
  </si>
  <si>
    <t xml:space="preserve"> ITB20-08-033A</t>
  </si>
  <si>
    <t xml:space="preserve"> you may also email to maureen.camilo.afab@gmail.com</t>
  </si>
  <si>
    <t xml:space="preserve"> VII. Please submit quotation before closing time"</t>
  </si>
  <si>
    <t xml:space="preserve"> ITB20-08-033E</t>
  </si>
  <si>
    <t xml:space="preserve"> ITB20-08-033D</t>
  </si>
  <si>
    <t xml:space="preserve"> you may also email your quotation to the ff:</t>
  </si>
  <si>
    <t xml:space="preserve"> For further information on this project procurement, you may contact the Bids and Awards Committee Secretariat through Mr. Marl Philippe Y. Cachero at (02) 8921 0565 or you may send an email to marlcachero7@gmail.com</t>
  </si>
  <si>
    <t xml:space="preserve"> Kindly download the attached file in the associated component section</t>
  </si>
  <si>
    <t xml:space="preserve"> Barangay Tubod is a barangay that composed of Barangay Officials and Constituents.</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</si>
  <si>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</si>
  <si>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For inquiries, please refer to:</t>
  </si>
  <si>
    <t xml:space="preserve"> ITB20-08-033C</t>
  </si>
  <si>
    <t xml:space="preserve"> CONTACT PERSON:</t>
  </si>
  <si>
    <t xml:space="preserve"> City Schools Division of the City of Tayabas</t>
  </si>
  <si>
    <t xml:space="preserve"> The local Government Unit Of Soledad, San Jose, Camarines Sur through the Provincial Government Subsidy</t>
  </si>
  <si>
    <t xml:space="preserve"> This is also available in DPWH Website.</t>
  </si>
  <si>
    <t xml:space="preserve"> https://drive.google.com/file/d/12GgSkW8rg0gwPdvlRH3vj_RQneKBN71C/view?usp=drivesdk</t>
  </si>
  <si>
    <t xml:space="preserve"> TCity Schools Division of the City of Tayabas</t>
  </si>
  <si>
    <t xml:space="preserve"> Also available in the DPWH Website</t>
  </si>
  <si>
    <t xml:space="preserve"> see attached bill of quantities for details</t>
  </si>
  <si>
    <t xml:space="preserve"> PROCEED TO BRGY. BUKAL</t>
  </si>
  <si>
    <t xml:space="preserve"> Please use link below so you can get the Bidding Document for this project.</t>
  </si>
  <si>
    <t xml:space="preserve"> Purpose: for subdivision interconnection works for Fatima Homes Subdivision, San Roque.</t>
  </si>
  <si>
    <t xml:space="preserve"> DEADLINE FOR SUBMISSION OF BIDS:</t>
  </si>
  <si>
    <t xml:space="preserve"> See attached bill of quantities for details</t>
  </si>
  <si>
    <t xml:space="preserve"> Date of Bidding: August 28, 2020</t>
  </si>
  <si>
    <t xml:space="preserve"> 1. Bidders must download the attached document in the associated component section and can also be downloaded for free at www.ilocossur.gov.ph.</t>
  </si>
  <si>
    <t xml:space="preserve"> ATTENDANCE IN PRE-BID CONFERENCE MUST BE NEEDED.</t>
  </si>
  <si>
    <t xml:space="preserve"> Alexander G. Diez</t>
  </si>
  <si>
    <t xml:space="preserve"> See associated components</t>
  </si>
  <si>
    <t xml:space="preserve"> View/Download the complete set of REQUEST FOR QUOTATION thru this link&gt;&gt;</t>
  </si>
  <si>
    <t xml:space="preserve"> Source of Fund: 1021 - Capital Outlay</t>
  </si>
  <si>
    <t xml:space="preserve"> Bidders are required to read the instructions:</t>
  </si>
  <si>
    <t xml:space="preserve"> Please refer to the Purchase Request for the complete list of materials</t>
  </si>
  <si>
    <t xml:space="preserve"> Please call To : 0998-247-0239  &amp; 0906-256-9238  for other details . . .</t>
  </si>
  <si>
    <t xml:space="preserve"> Please call To :  0998-247-0239  &amp;  0906-256-9238  for other details . . .</t>
  </si>
  <si>
    <t xml:space="preserve"> Pls. send your quotation to:</t>
  </si>
  <si>
    <t xml:space="preserve"> You may see the Municipal Agriculturist, Municipality of Caibiran</t>
  </si>
  <si>
    <t xml:space="preserve"> Please call 0998-247-0239 / 0906-256-9238 for other details...</t>
  </si>
  <si>
    <t xml:space="preserve"> https://drive.google.com/file/d/1BT0HO5gOXfST491u3INKIUNwtyaYfYZj/view?usp=drivesdk</t>
  </si>
  <si>
    <t xml:space="preserve"> Please submit your quotations to the General Services Office of the Local Government Unit of Dupax del Norte.</t>
  </si>
  <si>
    <t xml:space="preserve"> INVITATION TO BID</t>
  </si>
  <si>
    <t xml:space="preserve"> You may see the Supply Officer, Municipality of Caibiran</t>
  </si>
  <si>
    <t xml:space="preserve"> kindly specify brand names on your sealed quotation</t>
  </si>
  <si>
    <t xml:space="preserve"> PLEASE SUBMIT YOUR QUOTATION TOGETHER WITH THE REQUIRED DOCUMENTS AT tapat.bac@deped.gov.ph</t>
  </si>
  <si>
    <t xml:space="preserve"> FOR INQUIRY PLEASE PROCEED TO BAC OFFICE</t>
  </si>
  <si>
    <t xml:space="preserve"> https://drive.google.com/file/d/1ppfPhPQ8kK5dHN5esZNBBZSdEQwJgMg0/view?usp=drivesdk</t>
  </si>
  <si>
    <t xml:space="preserve"> See attached quotation form</t>
  </si>
  <si>
    <t xml:space="preserve"> For more information please visit or contact the BAC Secretariat at Brgy New Carcar, La Libertad Z.N</t>
  </si>
  <si>
    <t xml:space="preserve"> See attached Quotation form</t>
  </si>
  <si>
    <t xml:space="preserve"> For clarifications, just contact the BAC Secretariat of DOH CHD-NM at telephone # (088) 858-7123 local 227 in JV Seriña St., Carmen, Cagayan de Oro City from Monday until Friday (8:00 am to 5:00 pm). Just look for Ms. Marilou A. Gecosala, the Head of Procurement Unit.</t>
  </si>
  <si>
    <t xml:space="preserve"> Please download the document at the associated components.</t>
  </si>
  <si>
    <t xml:space="preserve"> PLEASE DELIVERED 3 DAYS AFTER</t>
  </si>
  <si>
    <t xml:space="preserve"> Bid Documents will be available only to prospective bidders upon payment of a non-refundable amount of Five Pesos (PhP. 500.00) to the Office of the Barangay Treasurer Cashier.</t>
  </si>
  <si>
    <t xml:space="preserve"> The deadline of submission of bids is on or before September 8, 2020 at 1:30 in the afternoon, 2nd floor, BAC Office, Municipal Hall of Don Carlos, Bukidnon.</t>
  </si>
  <si>
    <t xml:space="preserve"> TECHNICAL SPECIFICATIONS</t>
  </si>
  <si>
    <t xml:space="preserve"> 708	pcs	RSB 9mmØ x 6m</t>
  </si>
  <si>
    <t xml:space="preserve"> Please download attached quotation (RFQ) form / TOR, completely fill-out and submit quotation through or any of the following:</t>
  </si>
  <si>
    <t xml:space="preserve"> https://drive.google.com/file/d/1XLLCUQhnK-Dt4s7XmtqoIeBvecpQS32i/view?usp=drivesdk</t>
  </si>
  <si>
    <t xml:space="preserve"> Pls. see attached files...</t>
  </si>
  <si>
    <t xml:space="preserve"> 1.) 1 Unit 4.0HP FLOOR MOUNTED NON-INVERTER TYPE</t>
  </si>
  <si>
    <t xml:space="preserve"> We will accept quotation of bid through a soft copy via email.</t>
  </si>
  <si>
    <t xml:space="preserve"> CHECKLIST FOR BIDDING OF GOODS</t>
  </si>
  <si>
    <t xml:space="preserve"> 1.)	139	Pcs	T-SHIRT with PRINT</t>
  </si>
  <si>
    <t xml:space="preserve"> Legal requirements set forth in Annex “H” of the revised Implementing Rules and Regulations of R.A. 9184: </t>
  </si>
  <si>
    <t xml:space="preserve"> https://drive.google.com/file/d/1DWMAqVfRoVt7Cin1nOGvDKF-nRUlp2iI/view?usp=drivesdk</t>
  </si>
  <si>
    <t xml:space="preserve"> I.	SUPPLY PIPELINES (From Source to Collecting Box)</t>
  </si>
  <si>
    <t xml:space="preserve"> https://drive.google.com/file/d/1aB_8uOSIpI9a5Q4DvFAjtUYakyOcoBBI/view?usp=drivesdk</t>
  </si>
  <si>
    <t xml:space="preserve"> https://drive.google.com/file/d/18eqa6YjQH7hB4o9PGyt6CTHOyyWWpTCJ/view?usp=drivesdk</t>
  </si>
  <si>
    <t xml:space="preserve"> Please Email us your, Price Quotation (warranty,delivery, validity, payment), Business Permit, Tax Clearance, PhilGEPS Certificate, Certificate of Registration, Etc.</t>
  </si>
  <si>
    <t xml:space="preserve"> https://drive.google.com/file/d/18O6POMxea9kjptK9Uebkisndvw-UjEVp/view?usp=drivesdk</t>
  </si>
  <si>
    <t xml:space="preserve"> Please Quote your lowest price on the item/s listed above, subject to the General Conditions, stating the shortest time of delivery and submit your quotation duly signed by your representative not later than August 25, 2020, 9:00 A.M. at the Bids and Awards Committee Office, 3rd Floor, Provincial Capitol Building, Bontoc, Mountain Province.</t>
  </si>
  <si>
    <t xml:space="preserve"> Interested bidders shall pay 500 for the bid docs</t>
  </si>
  <si>
    <t xml:space="preserve"> https://drive.google.com/file/d/13lSGUE_R_XN0sI-3RZoFdPePqsilXTcB/view?usp=drivesdk</t>
  </si>
  <si>
    <t xml:space="preserve"> • Similar Contracts: Supply and Delivery of Diesel Generating Sets or Mechanical and/or Electrical Parts / Components / Equipment for Diesel Generating Sets</t>
  </si>
  <si>
    <t xml:space="preserve"> PLANT SITE DELIVERY, DINAGAT DPP</t>
  </si>
  <si>
    <t xml:space="preserve"> ://drive.google.com/file/d/1A0VkD7_LZMSxTcKynkxHZdWz7Y8NplsU/view?usp=drivesdk</t>
  </si>
  <si>
    <t xml:space="preserve"> 1. Interested suppliers are required to submit their valid and current Mayor's Permit, DTI Registration, BIR Registration, Tax Clearance, PhilGEPS Platinum Registration Certificate and Price Quotation (Annex "A").</t>
  </si>
  <si>
    <t xml:space="preserve"> SUPPLIER OR BIDDER MUST  DOWNLOAD THE ATTACHED DOCUMENT IN THE ASSOCIATED COMPONENT SECTION.</t>
  </si>
  <si>
    <t xml:space="preserve"> Area of Delivery: Quezon City</t>
  </si>
  <si>
    <t xml:space="preserve"> Please Contact:</t>
  </si>
  <si>
    <t xml:space="preserve"> Contact Number 09176569021</t>
  </si>
  <si>
    <t xml:space="preserve"> Quantity		Unit 		Item Description		Stock</t>
  </si>
  <si>
    <t xml:space="preserve"> Conditions:</t>
  </si>
  <si>
    <t xml:space="preserve"> See attached RFQ for complete specifications, terms &amp; conditions.</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</si>
  <si>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</si>
  <si>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FOR INQUIRY PROCEED TO BARANGAY HALL OF BARANGAY GUINHAWA TAYSAN BATANGAS</t>
  </si>
  <si>
    <t xml:space="preserve"> FOR INQUIRY PROCEED TO BARANGAY HALL AT BARANGAY STO. NIÑO TAYSAN BATANGAS</t>
  </si>
  <si>
    <t xml:space="preserve"> 10.	For further information, please refer to:</t>
  </si>
  <si>
    <t xml:space="preserve"> See attached RFQ for complete specifications, terms and conditions.</t>
  </si>
  <si>
    <t xml:space="preserve"> Source of Funds: Annual Budget 2020</t>
  </si>
  <si>
    <t xml:space="preserve"> Reminder:</t>
  </si>
  <si>
    <t xml:space="preserve"> BIDDING DATE: SEPTEMBER 9, 2020 @ 9:00 A.M.</t>
  </si>
  <si>
    <t xml:space="preserve"> Download RFQ and Memo at the associated components and submit both documents.</t>
  </si>
  <si>
    <t xml:space="preserve"> JONAS FELICIANO C. DOMINGO</t>
  </si>
  <si>
    <t xml:space="preserve"> Other Information</t>
  </si>
  <si>
    <t xml:space="preserve"> kindly download the attached bidding documents for the requirements and specifications.</t>
  </si>
  <si>
    <t xml:space="preserve"> Please download bidding document and ITB in the associated component</t>
  </si>
  <si>
    <t xml:space="preserve"> Bidding Document Cost: P/ 500.00</t>
  </si>
  <si>
    <t xml:space="preserve"> LCRB</t>
  </si>
  <si>
    <t xml:space="preserve"> Checklist for Alternative Mode of Procurement</t>
  </si>
  <si>
    <t xml:space="preserve"> Rebid.</t>
  </si>
  <si>
    <t xml:space="preserve"> PLEASE SEE ASSOCIATED COMPONENTS FOR THE COMPLETE SET OF BIDDING DOCUMENTS</t>
  </si>
  <si>
    <t xml:space="preserve"> Instruction for Suppliers on how to View/Download the document just go to the link below:</t>
  </si>
  <si>
    <t xml:space="preserve"> Source of Fund: special Education Fund - Capital Outlay</t>
  </si>
  <si>
    <t xml:space="preserve"> For more details, please contact Barangay Captain Juvenile P. Medequiso, Sr. with his Mobile No. 09483976852.</t>
  </si>
  <si>
    <t xml:space="preserve"> Buyer: Z.C. Tayao</t>
  </si>
  <si>
    <t xml:space="preserve"> https://drive.google.com/file/d/1KX0DSGysWjwCF4fdFez2Fbk47qaFbo6e/view?usp=drivesdk</t>
  </si>
  <si>
    <t xml:space="preserve"> Bidding Document Cost: P/ 1,000.00</t>
  </si>
  <si>
    <t xml:space="preserve"> Deadline for submission of price quotation will be on August 27, 2020 at 9:00 a.m.</t>
  </si>
  <si>
    <t xml:space="preserve"> for more information please call 411-0100 local 1407 BAC Office</t>
  </si>
  <si>
    <t xml:space="preserve"> For inquiry, pls. email at delegatedprocurement@bsp.gov.ph</t>
  </si>
  <si>
    <t xml:space="preserve"> https://drive.google.com/file/d/1ZF0015MX9unGXx5R6dQ1D2Sm7BGSfKs3/view?usp=drivesdk</t>
  </si>
  <si>
    <t xml:space="preserve"> Source of Funds: Annual Budget 2019</t>
  </si>
  <si>
    <t xml:space="preserve"> Rental of Plate Compactor - 3 days rental - 2,519.85</t>
  </si>
  <si>
    <t xml:space="preserve"> INVITATION TO BID FOR </t>
  </si>
  <si>
    <t xml:space="preserve"> Bidders must download the attached documents in the associated component</t>
  </si>
  <si>
    <t xml:space="preserve"> 1.) 1 Unit 3-TON FLOOR MOUNTED INVERTER TYPE</t>
  </si>
  <si>
    <t xml:space="preserve"> BAC ACTIVITIES AND SCHEDULE</t>
  </si>
  <si>
    <t xml:space="preserve"> The bidders must download the attached documents in the associated components section.</t>
  </si>
  <si>
    <t xml:space="preserve"> https://drive.google.com/file/d/1aAisVl1zGAv1uIGiXrtCmg9J2Vf7Ptu4/view?usp=drivesdk</t>
  </si>
  <si>
    <t xml:space="preserve"> 1.	THIS IS THE FIRST PUBLICATION FOR THIS PROCUREMENT.</t>
  </si>
  <si>
    <t xml:space="preserve"> Negotiated.</t>
  </si>
  <si>
    <t xml:space="preserve"> You may send your quotation and other necessary documents on a soft copy through email.</t>
  </si>
  <si>
    <t xml:space="preserve"> Criteria: Pass or Fail </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</si>
  <si>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</si>
  <si>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Bidding Document Cost: P/ 5,000.00</t>
  </si>
  <si>
    <t xml:space="preserve"> Please refer to the attached Request for Quotation (RFQ) for complete and detailed specifications. For queries, please call at 317-1768 local 772 and look for Dr. Erminda C. Fortes.</t>
  </si>
  <si>
    <t xml:space="preserve"> PARTIAL BID IS ALLOWED</t>
  </si>
  <si>
    <t xml:space="preserve"> Welding Machine - 7 days rental - 6,293.00</t>
  </si>
  <si>
    <t xml:space="preserve"> For further information, please refer to: MS. Milou Paraiso at milouparaiso@yahoo.com</t>
  </si>
  <si>
    <t xml:space="preserve"> contact BAC Secretariat for specs &amp; requirements</t>
  </si>
  <si>
    <t xml:space="preserve"> Please submit sealed quotation.</t>
  </si>
  <si>
    <t xml:space="preserve"> deliver at project site</t>
  </si>
  <si>
    <t xml:space="preserve"> Province of Iloilo</t>
  </si>
  <si>
    <t xml:space="preserve"> BIDDERS MUST DOWNLOAD ELECTRONIC COPY OF BIDDING DOCUMENTS IN THE LINK BELOW:</t>
  </si>
  <si>
    <t xml:space="preserve"> Bidders/Suppliers must download the attached document in the Associated Components Section.</t>
  </si>
  <si>
    <t xml:space="preserve"> For copies of Request for Quotation and Specifications, kindly click the associated components.</t>
  </si>
  <si>
    <t xml:space="preserve"> 1. All prospective suppliers must first submit photocopies of Class “A” Documents, and other</t>
  </si>
  <si>
    <t xml:space="preserve"> Activity	Date &amp; Time	Venue</t>
  </si>
  <si>
    <t xml:space="preserve"> The Municipal Government of Lamut, through its Bids and Awards Committee (BAC), will undertake a Small Value Procurement of Tap water of Municipal Mayor's Office In accordance with section 53.9 of the implementing rules and regulation of the Republic Act No. 9184 invites suppliers to submit their eligibility and to quote for the hereunder project:								</t>
  </si>
  <si>
    <t xml:space="preserve"> see request fro quotation</t>
  </si>
  <si>
    <t xml:space="preserve"> 1. Receipt from the Bidders of Letter of Intent-- August  25 to Sept 2, 2020</t>
  </si>
  <si>
    <t xml:space="preserve"> For use of 950th CEISG.</t>
  </si>
  <si>
    <t xml:space="preserve"> FOR MORE INFORMATION AND DETAILS, PLEASE CONTACT BRGY. CANABUAN BIDS AND AWARDS COMMITTEE, CANABUAN BRGY. HALL C/O BRGY. SECRETARY EVELYN FURTON WITH CELLPHONE NO. 0948-949-8853.</t>
  </si>
  <si>
    <t xml:space="preserve"> For use of OA-4.</t>
  </si>
  <si>
    <t xml:space="preserve"> For use of 950TH CEISG.</t>
  </si>
  <si>
    <t xml:space="preserve"> For use of 520TH ABW.</t>
  </si>
  <si>
    <t xml:space="preserve"> 1. Receipt from the Bidders of Letter of Intent - August 25 - September 3, 2020</t>
  </si>
  <si>
    <t xml:space="preserve"> For use of 505th SRG.</t>
  </si>
  <si>
    <t xml:space="preserve"> Note: </t>
  </si>
  <si>
    <t xml:space="preserve"> The complete schedule of activities is listed, as follows:</t>
  </si>
  <si>
    <t xml:space="preserve"> 220 liters Chemical Mist Spray (Deltamethrin)</t>
  </si>
  <si>
    <t xml:space="preserve"> https://drive.google.com/file/d/1ZnJzYRDiGoHvetUNailx9sT9fa14NVp9/view?usp=drivesdk</t>
  </si>
  <si>
    <t xml:space="preserve"> 1. Receipt from the Bidders of Letter of Intent - Aug. 25 - Sept. 2, 2020</t>
  </si>
  <si>
    <t xml:space="preserve"> For use of AFFC.</t>
  </si>
  <si>
    <t xml:space="preserve"> Please refer to attached RFQ</t>
  </si>
  <si>
    <t xml:space="preserve"> GASOLINE, OIL &amp; LUBRICANTS EXPENSES		</t>
  </si>
  <si>
    <t xml:space="preserve"> BAC ACTIVITY DATES:</t>
  </si>
  <si>
    <t xml:space="preserve"> PLEASE CHECK SIMILAR INFORMATION POSTED  AT THE  PROCURING ENTITY'S WEBSITE</t>
  </si>
  <si>
    <t xml:space="preserve"> For compltete details get a copy of program of works</t>
  </si>
  <si>
    <t xml:space="preserve"> Medical Oxygen Refill 1800 lbs	1239	tank</t>
  </si>
  <si>
    <t xml:space="preserve"> For Legislative Use</t>
  </si>
  <si>
    <t xml:space="preserve"> All interested bidders must purchase bid document at Municipal Treasury Office together with the letter of intent before going to the BAC Office, 3rd floor, Municipal Bldg. Abatan, Buguias, Benguet from September 1, 2020 starting 3:00 PM - 4:00 PM.</t>
  </si>
  <si>
    <t xml:space="preserve"> Submission August 25, 2020 at 10:00 am</t>
  </si>
  <si>
    <t xml:space="preserve"> The Schedule of BAC activities are as follows:						</t>
  </si>
  <si>
    <t xml:space="preserve"> https://drive.google.com/file/d/1S_aUtkNMDUJld4etcIlIA9BXskItwVOa/view?usp=drivesdk</t>
  </si>
  <si>
    <t xml:space="preserve"> For all Suppliers, the two (2) envelope system will be followed. The first envelope shall contain the following eligibility documents: Certified Copy of G-EPS Registration Certificate, Mayor's Permit, DTI and Tax Clearance, and Omnibus Sworn Statement. The second envelope which will contain the quotation shall only be opened after the first is declared complying.</t>
  </si>
  <si>
    <t xml:space="preserve"> For all Suppliers, the two (2) envelope system will be followed. The first envelope shall contain the following eligibility documents: Certified Copy of G-EPS Registration Certificate, Mayor's Permit, DTI and Tax Clearance. The second envelope which will contain the quotation shall only be opened after the first is declared complying.</t>
  </si>
  <si>
    <t xml:space="preserve"> Please submit sealed quotation .</t>
  </si>
  <si>
    <t xml:space="preserve"> BIDDER AND SUPPLIER MUST DOWNLOAD THE ATTACHED DOCUMENT TO THE ASSOCIATED COMPONENT SECTION.</t>
  </si>
  <si>
    <t xml:space="preserve"> https://drive.google.com/file/d/10mt9JaCA4qGHLSz84-kilvuLKWwBEPcU/view?usp=drivesdk</t>
  </si>
  <si>
    <t xml:space="preserve"> SUPPLIER OR BIDDER MUST DOWNLOAD THE ATTACHED DOCUMENT TO THE ASSOCIATED COMPONENT SECTION.</t>
  </si>
  <si>
    <t xml:space="preserve"> Please Quote your lowest price on the item/s listed above, subject to the General Conditions, stating the shortest time of delivery and submit your quotation duly signed by your representative not later than August 25, 2020 (9:00 AM) at the Bids and Awards Committee 3rd floor Provincial Capitol, Poblacion Bontoc, Mountain Province.</t>
  </si>
  <si>
    <t xml:space="preserve"> Sealed quotations must be submitted at the Office of the BAC Secretariat, LGU- Donsol, Sorsogon on or before August 27, 2020  at  9:00 o’clock in the morning.</t>
  </si>
  <si>
    <t xml:space="preserve"> BIDDER OR SUPPLIER MUST DOWNLOAD THE ATTACHED DOCUMENT IN THE ASSOCIATED COMPONENT SECTION.</t>
  </si>
  <si>
    <t xml:space="preserve"> Submission &amp; Opening of Bid Quotation: August 28, 2020 10:00 AM</t>
  </si>
  <si>
    <t xml:space="preserve"> BIDDING DOCUMENTS AVAILABLE AT BAC OFFICE  OF BRGY SAN ISIDRO, BOBON N SAMAR</t>
  </si>
  <si>
    <t xml:space="preserve"> Laveling and Scrapping School Ground of Cristo Rey High School, Iriga City</t>
  </si>
  <si>
    <t xml:space="preserve"> Submission and Opening of Bids: September 3, 2020  10:00 AM</t>
  </si>
  <si>
    <t xml:space="preserve"> Submission August 20, 2020 at 10:00 am</t>
  </si>
  <si>
    <t xml:space="preserve"> For inquiry, pls. send email at delegatedprocurement@bsp.gov.ph</t>
  </si>
  <si>
    <t xml:space="preserve"> Purchase of Medical Supplies - P 84,259.00</t>
  </si>
  <si>
    <t xml:space="preserve"> For further information including drawings please refer to:</t>
  </si>
  <si>
    <t xml:space="preserve"> BID DOCUMENTS IS AVAILABLE ONLY TO PROSPECTIVE BIDDER UPON PAYMENT OF NON-REFUNDABLE FEE IN THE</t>
  </si>
  <si>
    <t xml:space="preserve"> SEE RFQ</t>
  </si>
  <si>
    <t xml:space="preserve"> For information inquire at BAC Secretariat of Atimonan, Quezon.</t>
  </si>
  <si>
    <t xml:space="preserve"> Sealed quotations must be submitted at the Office of the BAC Secretariat, LGU- Donsol, Sorsogon on or before     August 27, 2020  at  9:00 o’clock in the morning.</t>
  </si>
  <si>
    <t xml:space="preserve"> MONTHLY SUPPLY OF SUPPLY OF FUEL, OIL AND LUBRICANTS FOR AUGUST TO DECEMBER 2020</t>
  </si>
  <si>
    <t xml:space="preserve"> see links for bidding docs</t>
  </si>
  <si>
    <t xml:space="preserve"> Please visit MPDO/BAC Office for details.</t>
  </si>
  <si>
    <t xml:space="preserve"> Reservation Clause:</t>
  </si>
  <si>
    <t xml:space="preserve"> Terms of Payment : COD</t>
  </si>
  <si>
    <t xml:space="preserve"> LINKS TO DOWNLOAD THE BIDDING DOCUMENTS, TERMS OF REFERENCE AND PLANS</t>
  </si>
  <si>
    <t xml:space="preserve"> For information inquire at BAC Secretariat of Atimonan, Quezon</t>
  </si>
  <si>
    <t xml:space="preserve"> The deadline of Submission and opening of the RFQ are as follows:	</t>
  </si>
  <si>
    <t xml:space="preserve"> Please see attached E-file for further Information</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</si>
  <si>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</si>
  <si>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1. Receipt from the Bidders of Letter of intent – August 21-27,2020 @ 8:00am to 5:00 pm</t>
  </si>
  <si>
    <t xml:space="preserve"> Bidding Documents:</t>
  </si>
  <si>
    <t xml:space="preserve"> Requirements:</t>
  </si>
  <si>
    <t xml:space="preserve"> https://drive.google.com/file/d/1Srb6-Gm3_WTwWr6OSvJU3oJFTt6G4Ns_/view?usp=drivesdk</t>
  </si>
  <si>
    <t xml:space="preserve"> Provision: </t>
  </si>
  <si>
    <t xml:space="preserve"> Ms. Bituin B. Lonzaga</t>
  </si>
  <si>
    <t xml:space="preserve"> Pre-bid conference is not required for ABC is below 1M.</t>
  </si>
  <si>
    <t xml:space="preserve"> For more information Please contact Barangay Treasurer - 09462126979</t>
  </si>
  <si>
    <t xml:space="preserve"> See Associated Components</t>
  </si>
  <si>
    <t xml:space="preserve"> Cost of Bid Docs: Php 25,000.00</t>
  </si>
  <si>
    <t xml:space="preserve"> Cost of Bid Docs: Php 50,000.00</t>
  </si>
  <si>
    <t xml:space="preserve"> EL NIDO NATIONAL HIGH SCHOOL</t>
  </si>
  <si>
    <t xml:space="preserve"> Please attach the following documents together with your quotation/bid</t>
  </si>
  <si>
    <t xml:space="preserve"> To participate in the Pre-Bid Conference, Pre-register here: https://docs.google.com/forms/d/14e9OfDtXunawfjhKp8OF9jLVIoqUTLAttpI7ekJNCZs/viewform?edit_requested=true </t>
  </si>
  <si>
    <t xml:space="preserve"> September 9, 2020- Bid Opening, 10:00 AM</t>
  </si>
  <si>
    <t xml:space="preserve"> Interested bidders are encourage to attend the Pre-bid Conference on the above-stated schedule and venue.</t>
  </si>
  <si>
    <t xml:space="preserve"> Issuance of bidding documents at BAC Office on August 20, 2020 to September 9, 2020 at 10:00 a.m.</t>
  </si>
  <si>
    <t xml:space="preserve"> BIDDERS MUST DOWNLOAD THE ATTACHED DOCUMENTS IN THE ASSOCIATED COMPONENTS SECTION</t>
  </si>
  <si>
    <t xml:space="preserve"> All quotation must be submitted in a sealed envelope directly to LPGH&amp;STC, address to Ms. Cecille P. Manipon, BAC Chairman or email, together with the following requirements;</t>
  </si>
  <si>
    <t xml:space="preserve"> ITEM NO.	ITEM &amp; DESCRIPTION	QTY	UNIT</t>
  </si>
  <si>
    <t xml:space="preserve"> ITEM NO.	ITEM &amp; DESCRIPTION	UNIT	QTY</t>
  </si>
  <si>
    <t xml:space="preserve"> CRIMINOLOGY</t>
  </si>
  <si>
    <t xml:space="preserve"> alll copies will be given to the supplier in soft copy</t>
  </si>
  <si>
    <t xml:space="preserve"> 1.Suppliers/Bidders must download the attached Bid Document in the associated component section.</t>
  </si>
  <si>
    <t xml:space="preserve"> Stock 	Unit 	DESCRIPTION 	QTY</t>
  </si>
  <si>
    <t xml:space="preserve"> Please download ITB and bidding documents in the associated component</t>
  </si>
  <si>
    <t xml:space="preserve"> Deadline of submission of quotation is on August 25, 2020 at 3:00 PM.</t>
  </si>
  <si>
    <t xml:space="preserve"> BID TENDER							</t>
  </si>
  <si>
    <t xml:space="preserve"> Kindly download the attached bidding documents for requirements and specifications.</t>
  </si>
  <si>
    <t xml:space="preserve"> https://drive.google.com/file/d/1rCdpnmo0DsrquBteLjaVQg-81mrjcdKr/view?usp=drivesdk</t>
  </si>
  <si>
    <t xml:space="preserve"> BIDDER’S MUST DOWLOAD THE DOCUMENTS IN THE ASSOCIATED COMPONENT SECTION.</t>
  </si>
  <si>
    <t xml:space="preserve"> https://drive.google.com/file/d/1xSGWK1yezg2b5CPqi-kotTVjksdJiBJm/view?usp=drivesdk</t>
  </si>
  <si>
    <t xml:space="preserve"> 1			        FACILITIES FOR THE ENGINEERS:</t>
  </si>
  <si>
    <t xml:space="preserve"> This is PAYABLE for 3 years upon completion of the Project.</t>
  </si>
  <si>
    <t xml:space="preserve"> For Inquiries please contact Mr. MONICO S. SUTACIO</t>
  </si>
  <si>
    <t xml:space="preserve"> Contact Person:</t>
  </si>
  <si>
    <t xml:space="preserve"> Posting and Issuance of BID Documents ; August 20 to September 2, 2020; 01:00 PM</t>
  </si>
  <si>
    <t xml:space="preserve"> Bidding Activities	Schedule / Venue</t>
  </si>
  <si>
    <t xml:space="preserve"> Please download ITB and bidding document in the associated component</t>
  </si>
  <si>
    <t xml:space="preserve"> https://drive.google.com/file/d/1DU58wcSBHREcElm-VFgo0AC-ppgaAW2Z/view?usp=drivesdk</t>
  </si>
  <si>
    <t xml:space="preserve"> 6. https://drive.google.com/file/d/19GXySS-V5I5wVhVHUO30DLcsOh5GhnYO/view?usp=drivesdk</t>
  </si>
  <si>
    <t xml:space="preserve"> 3. https://drive.google.com/file/d/1PWiPLxyV9Iimt4E5XbNaMgwQE8uT3r-H/view?usp=drivesdk</t>
  </si>
  <si>
    <t xml:space="preserve"> 2. https://drive.google.com/file/d/1Ijb3nrm3ZJFVb8dC5pMLDLCB7yfF3TMq/view?usp=drivesdk</t>
  </si>
  <si>
    <t xml:space="preserve"> 1. https://drive.google.com/file/d/1-VRR-AuTuy5Rc-VE3W4bdlwUXVJJo_sN/view?usp=drivesdk</t>
  </si>
  <si>
    <t xml:space="preserve"> College of Physical Therapy								</t>
  </si>
  <si>
    <t xml:space="preserve"> Date of posting : August 20-27, 2020</t>
  </si>
  <si>
    <t xml:space="preserve"> 15. https://drive.google.com/file/d/1zWpfzg7tlLMi1KUBQ3GjQM4OYslTb_Zz/view?usp=drivesdk</t>
  </si>
  <si>
    <t xml:space="preserve"> Bids received in excess of the ABC shall be automatically rejected at the opening of the Financial Proposals.</t>
  </si>
  <si>
    <t xml:space="preserve"> 16. https://drive.google.com/file/d/1KNRfzQXgzfqB0ZiWnoCSvW3VVJQUPVQK/view?usp=drivesdk</t>
  </si>
  <si>
    <t xml:space="preserve"> 4. https://drive.google.com/file/d/18aKMaXgcVRKNwFZymwcDtqGHWZqZfPrd/view?usp=drivesdk</t>
  </si>
  <si>
    <t xml:space="preserve"> 13. https://drive.google.com/file/d/1ZgaMNG0ghaSMlPmOESHfy-cJzHjy6h7H/view?usp=drivesdk</t>
  </si>
  <si>
    <t xml:space="preserve"> 12. https://drive.google.com/file/d/1mkl_B9eVToqZxoUAvrR4qcdS3QQe4XGk/view?usp=drivesdk</t>
  </si>
  <si>
    <t xml:space="preserve"> 14.  https://drive.google.com/file/d/13yzrX8H9V9YXIuzBZ4snmiRItprqCDJd/view?usp=drivesdk</t>
  </si>
  <si>
    <t xml:space="preserve"> 10. https://drive.google.com/file/d/1PMx0k0FQhmeLEZcCREuDATjaBQ7EolKV/view?usp=drivesdk</t>
  </si>
  <si>
    <t xml:space="preserve"> 9. https://drive.google.com/file/d/11oRKIn6dqqx1vhlTN_-gwgGEPaCdAlCK/view?usp=drivesdk</t>
  </si>
  <si>
    <t xml:space="preserve"> 7. https://drive.google.com/file/d/1JoLMoEHgcvT4BHYc8AgTuJlQRLIH2VEn/view?usp=drivesdk</t>
  </si>
  <si>
    <t xml:space="preserve"> 5. https://drive.google.com/file/d/1JNi4oR_fsLXKetqEgTaIRNVuqnxOZjG9/view?usp=drivesdk</t>
  </si>
  <si>
    <t xml:space="preserve"> https://drive.google.com/file/d/1zH0sOfM3JYlvfv4nWUZKX2ayE8mUakD-/view?usp=drivesdk</t>
  </si>
  <si>
    <t xml:space="preserve"> 8. https://drive.google.com/file/d/1JCDFH6_NTcN3HjMV5oJX-pl9q6_oNMoH/view?usp=drivesdk</t>
  </si>
  <si>
    <t xml:space="preserve"> 11. https://drive.google.com/file/d/11veyKrZYppz0XBiPYN7m7vRwsvchEbgF/view?usp=drivesdk</t>
  </si>
  <si>
    <t xml:space="preserve"> 17. https://drive.google.com/file/d/1Dbb9FXx2foaSKj_0dx3WSjdXOr_342TV/view?usp=drivesdk</t>
  </si>
  <si>
    <t xml:space="preserve"> 18. https://drive.google.com/file/d/11G62KORIpMiYJmMumjP6fAE7WQiO4Kr9/view?usp=drivesdk</t>
  </si>
  <si>
    <t xml:space="preserve"> 19. https://drive.google.com/file/d/15TVNRvc65V6PsPgQpFvW3cQOki5kcE8p/view?usp=drivesdk</t>
  </si>
  <si>
    <t xml:space="preserve"> https://drive.google.com/file/d/1jZp93hiNuvRzLwxvM6mPCu30-_9VwdDA/view?usp=drivesdk</t>
  </si>
  <si>
    <t xml:space="preserve"> 20. https://drive.google.com/file/d/1m_o0QvCCdBFHxLJp3BUZv8s3O9fkFLJC/view?usp=drivesdk</t>
  </si>
  <si>
    <t xml:space="preserve"> 21. https://drive.google.com/file/d/1RNqmzmGjn4lzx3ChJRurg-okNQcKtewn/view?usp=drivesdk</t>
  </si>
  <si>
    <t xml:space="preserve"> PLEASE SEE ATTACHED ASSOCIATED COMPONENTS.</t>
  </si>
  <si>
    <t xml:space="preserve"> The winning Supplier/Bidders will deliver the Goats at the designated place at Pigcawayan, North Cotabato.</t>
  </si>
  <si>
    <t xml:space="preserve"> 22. https://drive.google.com/file/d/17x0xewT8RqrRaGnuzAoweyC1iuBnQTvy/view?usp=drivesdk</t>
  </si>
  <si>
    <t xml:space="preserve"> Contact person: Ronald Alquiros</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</si>
  <si>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</si>
  <si>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24. https://drive.google.com/file/d/1igq6xgqS71unfuZxHLQs5qc_Y4c-F4pL/view?usp=drivesdk</t>
  </si>
  <si>
    <t xml:space="preserve"> For more clarifications regarding details on specifications, please call Ms. Sharon Africano at 074 424-1422 loc 0150 or Ms Carmen Pavon at 074 448-0041 loc 0117.</t>
  </si>
  <si>
    <t xml:space="preserve"> 23. https://drive.google.com/file/d/1fBH7UtuoZ1xdym6b0Yc5_C4Q_GqXqJG0/view?usp=drivesdk</t>
  </si>
  <si>
    <t xml:space="preserve"> Please see attached associated components.</t>
  </si>
  <si>
    <t xml:space="preserve"> Please DOWNLOAD attached file/s for Specifications.</t>
  </si>
  <si>
    <t xml:space="preserve"> 25. https://drive.google.com/file/d/17LDxuPubVUrh891tycKLBe4TchpH1Cas/view?usp=drivesdk</t>
  </si>
  <si>
    <t xml:space="preserve"> Please See attached file</t>
  </si>
  <si>
    <t xml:space="preserve"> please see file on associated component</t>
  </si>
  <si>
    <t xml:space="preserve"> SUPPLIERS/BIDDERS MUST DOWNLOAD THE ATTACHED DOCUMENT IN THE ASSOCIATED COMPONENT SECTION.</t>
  </si>
  <si>
    <t xml:space="preserve"> BID OPENING: AUGUST 27, 2020 AT 1:00 PM   BAC OFFICE, MUNICIPAL HALL, STA. MARCELA, APAYAO</t>
  </si>
  <si>
    <t xml:space="preserve"> 26. https://drive.google.com/file/d/19IzP3am6ja_rEN70txlo0Wx0EM5-eQ7x/view?usp=drivesdk</t>
  </si>
  <si>
    <t xml:space="preserve"> NORMAN B. CASIPLE </t>
  </si>
  <si>
    <t xml:space="preserve"> PLEASE SEE FILE ON ASSOCIATED COMPONENT</t>
  </si>
  <si>
    <t xml:space="preserve"> GET RFQ FROM BAC SECRETARIAT</t>
  </si>
  <si>
    <t xml:space="preserve"> Fir information only.</t>
  </si>
  <si>
    <t xml:space="preserve"> 27. https://drive.google.com/file/d/14ofPb4BAXM8hu_WE1paatHdk_6Go5ife/view?usp=drivesdk</t>
  </si>
  <si>
    <t xml:space="preserve"> BID OPENING: SEPTEMBER 8, 2020 1:00 PM LIGA NG MGA BARANGAY OFFICE</t>
  </si>
  <si>
    <t xml:space="preserve"> For more clarifications, please call Ms Carmen Pavon @ 074 448-0041 loc 0117</t>
  </si>
  <si>
    <t xml:space="preserve"> 29. https://drive.google.com/file/d/1ULoPtePU-OpgtvmGcCAbZYwPeEUUjqUK/view?usp=drivesdk</t>
  </si>
  <si>
    <t xml:space="preserve"> PLEASE DO NOT FORGET TO ATTACHED THE FOLLOWING REQUIREMENTS;</t>
  </si>
  <si>
    <t xml:space="preserve"> 28. https://drive.google.com/file/d/1w4zGT0q2mok4jPkk2SChqs3y5d3Z8D2s/view?usp=drivesdk</t>
  </si>
  <si>
    <t xml:space="preserve"> To all eligible bidders you may contact this number 09465881691 JULIET N. SIAO BAC Chairperson</t>
  </si>
  <si>
    <t xml:space="preserve"> 30. https://drive.google.com/file/d/1nZR8Mx4I00qu4ueVXnH5ewNT4PgcrFHE/view?usp=drivesdk</t>
  </si>
  <si>
    <t xml:space="preserve"> 1.) Availability of Request for Quotation (RFQ) can be downloaded here.</t>
  </si>
  <si>
    <t xml:space="preserve"> Bidding Documents may be purchased by the Interested Bidders on August 24, 2020 from 8:00 A.M to 5:00 P.M. and upon payment of non - refundable fee of Five Hundred Pesos (Php 500.00).</t>
  </si>
  <si>
    <t xml:space="preserve"> Note:</t>
  </si>
  <si>
    <t xml:space="preserve"> ACTIVITIES SCHEDULE:</t>
  </si>
  <si>
    <t xml:space="preserve"> Bidding Documents may be purchased by the Interested Bidders on August 24, 2020 from 8:00 A.M to 5:00 P.M. and upon payment of non - refundable fee of Two Thousand Pesos (Php 2,000.00).</t>
  </si>
  <si>
    <t xml:space="preserve"> SCHEDULE OF ACTIVITIES</t>
  </si>
  <si>
    <t xml:space="preserve"> Schedule of Activities: </t>
  </si>
  <si>
    <t xml:space="preserve"> for inquiries, you may call us at tel. no. 8364-8242 and look for Mr. Caranto</t>
  </si>
  <si>
    <t xml:space="preserve"> For inquiry proceed to Barangay hall of Barangay San Marcelino Taysan Batangas</t>
  </si>
  <si>
    <t xml:space="preserve"> Cost of Documents: P5,000.00</t>
  </si>
  <si>
    <t xml:space="preserve"> 32. https://drive.google.com/file/d/1av4LpbywPEQ8uHZ3bFSSBuqF25_BbtDP/view</t>
  </si>
  <si>
    <t xml:space="preserve"> Certificate of Site Inspection can be downloaded at the attached associated component.</t>
  </si>
  <si>
    <t xml:space="preserve"> 33. https://drive.google.com/file/d/1qGGWC-mGra3BHMQAMb9cpgtFxQGN_PzT/view?usp=drivesdk</t>
  </si>
  <si>
    <t xml:space="preserve"> Contact Person: 					</t>
  </si>
  <si>
    <t xml:space="preserve"> 31. https://drive.google.com/file/d/1BMZfvKnV_TpzZjlsDbjjEj2k-16jCiTx/view?usp=drivesdk</t>
  </si>
  <si>
    <t xml:space="preserve"> 1. Availability of Bidding Documents - August 20 - 27, 2020</t>
  </si>
  <si>
    <t xml:space="preserve"> The winning bidder will  deliver the Chickens at the designated area  of Columbio, Sultan Kudarat.</t>
  </si>
  <si>
    <t xml:space="preserve"> 34. https://drive.google.com/file/d/185JTq3YxQRxv5JAiy4Vt1pjARX_7N9Wy/view?usp=drivesdk</t>
  </si>
  <si>
    <t xml:space="preserve"> 35. https://drive.google.com/file/d/1UyJMEYsW47LxcMXV5PxeTu_NnQnXijkG/view?usp=drivesdk</t>
  </si>
  <si>
    <t xml:space="preserve"> Submission of LOI : August 20, 2020 to August 27, 2020</t>
  </si>
  <si>
    <t xml:space="preserve"> https://drive.google.com/file/d/1GOGA7rL8LhmKM3mII5fcaOoK5-lM2Rrw/view?usp=drivesdk</t>
  </si>
  <si>
    <t xml:space="preserve"> The winning bidder will deliver the Chickens at the designated place at Maitum, Sarangani Province.</t>
  </si>
  <si>
    <t xml:space="preserve"> NOTE: WEAR FACE MASK, FACE SHIELD AND OBSERVED SOCIAL DISTANCING DURING THE OPENING OF BIDS.</t>
  </si>
  <si>
    <t xml:space="preserve"> None</t>
  </si>
  <si>
    <t xml:space="preserve"> https://drive.google.com/file/d/1d8KwcIqIeBR2iZcwOBXIjahTjwP5Ezbn/view?usp=drivesdk</t>
  </si>
  <si>
    <t xml:space="preserve"> 36. https://drive.google.com/file/d/1gSSwNZ0aViS93ySAmTau1REjaQXwlRzX/view?usp=drivesdk</t>
  </si>
  <si>
    <t xml:space="preserve"> PLEASE COPY AND PASTE IN THE BROWSER THE LINK BELOW TO VIEW BIDDING DOCUMENTS: </t>
  </si>
  <si>
    <t xml:space="preserve"> Please come on time...</t>
  </si>
  <si>
    <t xml:space="preserve"> 37. https://drive.google.com/file/d/1dwMWIIG-Q1CF8V-1w1j6p3LxIT3zvlE4/view?usp=drivesdk</t>
  </si>
  <si>
    <t xml:space="preserve"> 1. DTI Business Name Registration or SEC Registration ,CDA Registration</t>
  </si>
  <si>
    <t xml:space="preserve"> Please use the official quotation attached and provide a copy of PhilGEPS Certificate (Platinum).</t>
  </si>
  <si>
    <t xml:space="preserve"> Bid Document Section 1-7 is Available</t>
  </si>
  <si>
    <t xml:space="preserve"> 38. https://drive.google.com/file/d/1_IdDvg2zsD8GodRimhkR7FhiDgZ0mR2C/view?usp=drivesdk</t>
  </si>
  <si>
    <t xml:space="preserve"> Project Description: Concreting of FMR with 0.20m thk. x 5.0m width x 481m length</t>
  </si>
  <si>
    <t xml:space="preserve"> 39. https://drive.google.com/file/d/1YjfYm5qgj-5RB-5P1mSnqP_BXMVgHXxZ/view</t>
  </si>
  <si>
    <t xml:space="preserve"> Mayors Per</t>
  </si>
  <si>
    <t xml:space="preserve"> Please download document in associate component</t>
  </si>
  <si>
    <t xml:space="preserve"> Project Description: Concreting of FMR with length of 1,114m x 5m width x 0.20m thk</t>
  </si>
  <si>
    <t xml:space="preserve"> 40. https://drive.google.com/file/d/1mNYXaZGmk2Ogs9ysTjut2920c4kqJrkO/view</t>
  </si>
  <si>
    <t xml:space="preserve"> Bidding Date - September 9 ,2020, 2:00PM at the Municipal Conference Hall, Galimuyod, Ilocos Sur</t>
  </si>
  <si>
    <t xml:space="preserve"> SALE OF DOCUMENTS: SEPTEMBER 2 TO SEPTEMBER 10, 2020(8:30 AM TO 4:30 P.M.)</t>
  </si>
  <si>
    <t xml:space="preserve"> 1. ISSUANCE OF BID DOCUMENTS   -  AUG. 19, 2020 - SEPTEMBER 3, 2020</t>
  </si>
  <si>
    <t xml:space="preserve"> 41. https://drive.google.com/file/d/1oNIsRzHaALe-zImwh-LXmZ-1Fm4UTGFX/view</t>
  </si>
  <si>
    <t xml:space="preserve"> 42. https://drive.google.com/file/d/1bgJ2dNPFPzKKCMdFyXdzwklJmgVZ_4bC/view?usp=drivesdk</t>
  </si>
  <si>
    <t xml:space="preserve"> Bidding Documents may be purchased by the Interested Bidders on August 24, 2020 from 8:00 A.M to 5:00 P.M. and upon payment of non - refundable fee of One Thousand Pesos (Php 1,000.00).</t>
  </si>
  <si>
    <t xml:space="preserve"> 43. https://drive.google.com/file/d/1Mo6N77BglOUpqSxb3bh4xc1Hnd-skNv0/view?usp=drivesdk</t>
  </si>
  <si>
    <t xml:space="preserve"> SUPPLY AND DELIVERY FOR USE IN THE OFFICE OF THE MAINTENANCE SECTION</t>
  </si>
  <si>
    <t xml:space="preserve"> 44. https://drive.google.com/file/d/15rALjOkWG8N-SJRcsixxKvEAYXusfe-G/view?usp=drivesdk</t>
  </si>
  <si>
    <t xml:space="preserve"> 45. https://drive.google.com/file/d/19wAvX-y8X1L8zwMjjBOLMYD_92vzVnFY/view?usp=drivesdk</t>
  </si>
  <si>
    <t xml:space="preserve"> Opening of Bid – September 9, 2020</t>
  </si>
  <si>
    <t xml:space="preserve"> 48. https://drive.google.com/file/d/1wXZKOWtge2t_ZmAJ_rd6J5OwvrniAxzp/view?usp=drivesdk</t>
  </si>
  <si>
    <t xml:space="preserve"> 47. https://drive.google.com/file/d/1Gcp3Rc6IVmV3jT6XQFqIYUxKCv5R3AGq/view?usp=drivesdk</t>
  </si>
  <si>
    <t xml:space="preserve"> 46. https://drive.google.com/file/d/1Puyn79ZJFI3hA6SdHxPnBdPI5hG2BQqZ/view?usp=drivesdk</t>
  </si>
  <si>
    <t xml:space="preserve"> 1			FACILITIES FOR THE ENGINEERS:</t>
  </si>
  <si>
    <t xml:space="preserve"> 49. https://drive.google.com/file/d/1OfycxR7EgnxeQdlQMEU0U8i3mw3s6S_b/view?usp=drivesdk</t>
  </si>
  <si>
    <t xml:space="preserve"> 50. https://drive.google.com/file/d/1kLnBYmD4ONbrAR-5_C2IS1WZf5GVKs_t/view?usp=drivesdk</t>
  </si>
  <si>
    <t xml:space="preserve"> Please contact Mr. Reno C. Salazar the BAC Secretary with CP # 09459852914 or you may call to Ms. Ma. Teresa L. Minguez the BAC Chairperson. Thanks and God Bless us all.</t>
  </si>
  <si>
    <t xml:space="preserve"> Interested parties may send their VAT inclusive price quotation to elmer.valenzuela@cbaa.gov.ph</t>
  </si>
  <si>
    <t xml:space="preserve"> SUPPLY AND DELIVERY FOR USE IN THE REPAINTING OF BRIDGE ALONG A.) DIPOLOG - OROQUIETA NATIONAL ROAD @ OPAO BRIDGE B.) DIPOLOG - PUNTA - DANSULLAN SERGIO OSMEÑA ROAD @ DILAWA BRIDGE C.) DIPOLOG - PUNTA - DANSULLAN SERGIO OSMEÑA ROAD @ SALUG DACU BRIDGE</t>
  </si>
  <si>
    <t xml:space="preserve"> Note: Please see the uploaded file at the associated components.</t>
  </si>
  <si>
    <t xml:space="preserve"> KINDLY DOWNLOAD BID DOCS ON THE ASSOCIATED COMPONENT.</t>
  </si>
  <si>
    <t xml:space="preserve"> For further information, please refer to:						</t>
  </si>
  <si>
    <t xml:space="preserve"> All interested Bidders must download the attached documents at the Associated Component Section for Instructions and Specifications.</t>
  </si>
  <si>
    <t xml:space="preserve"> Note: Please see the uploaded file at associated components.</t>
  </si>
  <si>
    <t xml:space="preserve"> https://drive.google.com/file/d/1FrrwYtRECEPGgnqL_GyKkWaS24vv2g6z/view?usp=drivesdk</t>
  </si>
  <si>
    <t xml:space="preserve"> to be use in the operation of halfway house for former rebels</t>
  </si>
  <si>
    <t xml:space="preserve"> For other concern please contact:</t>
  </si>
  <si>
    <t xml:space="preserve"> Repair/Improvement of Hemodialysis Building</t>
  </si>
  <si>
    <t xml:space="preserve"> KINDLY DOWNLOAD RFQ DOCS ON THE ASSOCIATED COMPONENT.</t>
  </si>
  <si>
    <t xml:space="preserve"> to be distribute in Caravan and walk-in clientle.</t>
  </si>
  <si>
    <t xml:space="preserve"> All interested Bidders/Suppliers must download the attached documents at the Associated Component Section for instructions and specifications.</t>
  </si>
  <si>
    <t xml:space="preserve"> 53. https://drive.google.com/file/d/1stxuFJRa0LEh5k4PwZSvoNWMjlC41f-k/view?usp=drivesdk</t>
  </si>
  <si>
    <t xml:space="preserve"> for CNPH use</t>
  </si>
  <si>
    <t xml:space="preserve"> 52. https://drive.google.com/file/d/1AZC3oik61F9e6U7rROjKKRQFKZ6ssi5v/view?usp=drivesdk</t>
  </si>
  <si>
    <t xml:space="preserve"> CNPH use</t>
  </si>
  <si>
    <t xml:space="preserve"> 54. https://drive.google.com/file/d/1cLmuFi7-VIdj9_FFfoXvAYNWktqn89oo/view?usp=drivesdk</t>
  </si>
  <si>
    <t xml:space="preserve"> 56. https://drive.google.com/file/d/1rhw_GxzjeFXkz7evy9_xmuzNMCjLesFv/view?usp=drivesdk</t>
  </si>
  <si>
    <t xml:space="preserve"> 58. https://drive.google.com/file/d/18fROBx4Q9n7Ue5OvxIzhsR9_r8Ur4wFz/view?usp=drivesdk</t>
  </si>
  <si>
    <t xml:space="preserve"> 55. https://drive.google.com/file/d/1etgt38vc7EUByPR0hvy1PEFa5BAnBsMb/view?usp=drivesdk</t>
  </si>
  <si>
    <t xml:space="preserve"> 57. https://drive.google.com/file/d/1r5XqywEPOx37kl7hRyb7GWs6m-yooHMV/view?usp=drivesdk</t>
  </si>
  <si>
    <t xml:space="preserve"> https://drive.google.com/file/d/1bqzQUL0h91hsFk15coE5QXnxj_Cc1a-i/view?usp=drivesdk</t>
  </si>
  <si>
    <t xml:space="preserve"> USE LINK TO VIEW THE BIDDING DOCUMENTS</t>
  </si>
  <si>
    <t xml:space="preserve"> 60. https://drive.google.com/file/d/1qAovNAId0ydufFAUR29dH_DecYkdiCbX/view?usp=drivesdk</t>
  </si>
  <si>
    <t xml:space="preserve"> 59. https://drive.google.com/file/d/1_NusNnpVfoB1LBSl3NckwCRSvc-jnC65/view?usp=drivesdk</t>
  </si>
  <si>
    <t xml:space="preserve"> 51. https://drive.google.com/file/d/1oEC5ar0Y3vBeQPXgyaadxUV7UrFVhzMj/view?usp=drivesdk</t>
  </si>
  <si>
    <t xml:space="preserve"> ATTACHED PR</t>
  </si>
  <si>
    <t xml:space="preserve"> SUPPLIERS MUST DOWNLOAD THE ATTACHED DOCUMENT IN THE ASSOCIATED COMPONENT</t>
  </si>
  <si>
    <t xml:space="preserve"> 62. https://drive.google.com/file/d/1ypIwRds3-CAnzBOxpjKO6I_WyB7_En0k/view?usp=drivesdk</t>
  </si>
  <si>
    <t xml:space="preserve"> 63. https://drive.google.com/file/d/1ANlcuWaWy_INlbSptBjsBLMqqUV2p92x/view?usp=drivesdk</t>
  </si>
  <si>
    <t xml:space="preserve"> 61. https://drive.google.com/file/d/10T-9S_1F3394r6X9vE1QxGwEhn3e2Gde/view?usp=drivesdk</t>
  </si>
  <si>
    <t xml:space="preserve"> 64. https://drive.google.com/file/d/14iIVwYbmYbK03aBYL2kKbJLAnuUXzScC/view?usp=drivesdk</t>
  </si>
  <si>
    <t xml:space="preserve"> https://drive.google.com/file/d/1bN9NXOatMdIifqg22K4s9X0CR7W7Jg9M/view?usp=drivesdk</t>
  </si>
  <si>
    <t xml:space="preserve"> For interested suppliers, please also submit the following documents along with the accomplished RFQ:</t>
  </si>
  <si>
    <t xml:space="preserve"> The Local Government Unit of Pilar, through the General Fund intends to apply the sum of Five Hundred Thousand Pesos (P500,000.00)  being the Approved Budget for the Contract (ABC) to payment under the contract for the Procurement of Services (Publication of Municipal Ordinances).  Bids received in excess of the ABC shall be automatically rejected at bid opening.</t>
  </si>
  <si>
    <t xml:space="preserve"> Contact BAC Secretariat, Laua-an, Antique</t>
  </si>
  <si>
    <t xml:space="preserve"> Kindly submit your quotations in a sealed envelope addressed to Ms. Rosalia G. Climaco  Chairman of the Bids and Awards Committee (BAC) of POPCOM Caraga located at Butuan-Cagayan-Iligan Road, Purok 1 Abilan, Buenavista, Agusan del Norte on or before 10:00am of September 1, 2020.</t>
  </si>
  <si>
    <t xml:space="preserve"> 65. https://drive.google.com/file/d/1V8O-kOihZSxvgJCPpp_drV2YwNjyIUkC/view?usp=drivesdk</t>
  </si>
  <si>
    <t xml:space="preserve"> 67. https://drive.google.com/file/d/1OjzLyrHuGWSy8bTWsSY0bCznYZQPW7Da/view?usp=drivesdk</t>
  </si>
  <si>
    <t xml:space="preserve"> CONTACT 4354619</t>
  </si>
  <si>
    <t xml:space="preserve"> Interested supplier must visit site for actual measurement and estimate.</t>
  </si>
  <si>
    <t xml:space="preserve"> 66. https://drive.google.com/file/d/14pKcSsO-DryF-78Cfp7-Tdbir4WEpkvW/view?usp=drivesdk</t>
  </si>
  <si>
    <t xml:space="preserve"> For other information please contact</t>
  </si>
  <si>
    <t xml:space="preserve"> BID DOCUMENT IS AVAILABLE AT ENGINEERING OFFICE, BAC SECRETARIAT</t>
  </si>
  <si>
    <t xml:space="preserve"> 68. https://drive.google.com/file/d/1rCp70gNMQr8lOwR9pTal2rMn4_96HHrt/view?usp=drivesdk</t>
  </si>
  <si>
    <t xml:space="preserve"> For more information kindly contact: </t>
  </si>
  <si>
    <t xml:space="preserve"> 71. https://drive.google.com/file/d/118C5zN9xNlPQHciL0qyePIq2A20QbL8P/view?usp=drivesdk</t>
  </si>
  <si>
    <t xml:space="preserve"> Please submit the following documents with the duly accomplished RFQ</t>
  </si>
  <si>
    <t xml:space="preserve"> CONTACT BAC SECRETARIAT</t>
  </si>
  <si>
    <t xml:space="preserve"> Please download RFQ thru the Associated Component under the Bid Notice Abstract</t>
  </si>
  <si>
    <t xml:space="preserve"> 70. https://drive.google.com/file/d/1_N6zkPtg1TQYMgRWorFSZqh7UUEIX_Xs/view?usp=drivesdk</t>
  </si>
  <si>
    <t xml:space="preserve"> 72. https://drive.google.com/file/d/1SkU1RiAiZa8IZT-RL4kcfRsAxT9kpNfz/view</t>
  </si>
  <si>
    <t xml:space="preserve"> For more details you may call/visit BAC Secretariat @ LGU POLANCO, Polanco, Z. N.</t>
  </si>
  <si>
    <t xml:space="preserve"> 69. https://drive.google.com/file/d/1Tu6p4TOhbFsXGilGq8yKxs9wdEArNSB5/view?usp=drivesdk</t>
  </si>
  <si>
    <t xml:space="preserve"> Please attach with the duly accomplished RFQ:</t>
  </si>
  <si>
    <t xml:space="preserve"> Mixed Gravel described herein is a mix of Course Aggregate and Fine Sand/S1</t>
  </si>
  <si>
    <t xml:space="preserve"> Repair of Weighbridge</t>
  </si>
  <si>
    <t xml:space="preserve"> SEE DESCRIPTION</t>
  </si>
  <si>
    <t xml:space="preserve"> 73. https://drive.google.com/file/d/1h5MeO_ekKd1Hiop2R4m4n7NeTCeiEp1S/view?usp=drivesdk</t>
  </si>
  <si>
    <t xml:space="preserve"> 1.  Please see associated components to download Request for Quotation Form</t>
  </si>
  <si>
    <t xml:space="preserve"> 74. https://drive.google.com/file/d/1q6zM4pV1vSGDAr_6O0MKwwBABxAtPvR7/view?usp=drivesdk</t>
  </si>
  <si>
    <t xml:space="preserve"> You may download bidding documents using the link below:</t>
  </si>
  <si>
    <t xml:space="preserve"> 75. https://drive.google.com/file/d/1O2JJ3TAph_KlqClI1jgjP9SXI6M_A6wd/view?usp=drivesdk</t>
  </si>
  <si>
    <t xml:space="preserve"> Please look Mr. FREDERICK VILLAS and Ms. Rowena Rodriguez for other information.</t>
  </si>
  <si>
    <t xml:space="preserve"> 76. https://drive.google.com/file/d/1S7HcXsODfPyM_rjorU8jCa0MUmcxZLNI/view?usp=drivesdk</t>
  </si>
  <si>
    <t xml:space="preserve"> 77. https://drive.google.com/file/d/1ORkaGvWJu4fm_8pfpG5gf1CaZQRxDlP1/view?usp=drivesdk</t>
  </si>
  <si>
    <t xml:space="preserve"> PLEASE INCLUDE THE FF: EMAIL ADDRESSES IN SENDING THE QUOTATION/S:</t>
  </si>
  <si>
    <t xml:space="preserve"> Submission and Opening of Bids: August 28, 2020 @ 11:00 a.m.</t>
  </si>
  <si>
    <t xml:space="preserve"> The Local Government Unit of Pilar, through the 20% Economic Development Fund intends to apply the sum of Three Hundred Seventy Eight Thousand, Seven Hundred Eighty Pesos Only (P378,780.00) being the Approved Budget for the Contract (ABC) to payment under the contract for the Balai Silangan Rehabilitation for Covid-19 Isolation Facility at  Pilar, Sorsogon. Bids received in excess of the ABC shall be automatically rejected at bid opening.</t>
  </si>
  <si>
    <t xml:space="preserve"> 78. https://drive.google.com/file/d/1cvARIIogm9Tb9sz4l5LuV_gcCHlG7XTB/view?usp=drivesdk</t>
  </si>
  <si>
    <t xml:space="preserve"> Submission and Opening of Bids: September 9, 2020 @ 10:00 a.m.</t>
  </si>
  <si>
    <t xml:space="preserve"> https://drive.google.com/file/d/1CtM2B96SbRGqR0-XRuZuR8IX5LcMhsSw/view?usp=drivesdk</t>
  </si>
  <si>
    <t xml:space="preserve"> FOB / DELIVERY POINT: CARCAR WATER DISTRICT SAN VICENTE ST., POB. 1, CARCAR CITY CEBU</t>
  </si>
  <si>
    <t xml:space="preserve"> 3 Units Printer (Epson L3110)</t>
  </si>
  <si>
    <t xml:space="preserve"> BIDDER MUST DOWNLOAD THE ATTACHED DOCUMENT IN THE ASSOCIATE COMPONENT</t>
  </si>
  <si>
    <t xml:space="preserve"> Instruction for Suppliers on how to View/Download Documents:</t>
  </si>
  <si>
    <t xml:space="preserve"> https://drive.google.com/file/d/15hEPQ_0obUSoAEJZximATKOKF2SQkrro/view?usp=drivesdk</t>
  </si>
  <si>
    <t xml:space="preserve"> Also available in DPWH Website</t>
  </si>
  <si>
    <t xml:space="preserve"> Notice of Alternative Method of Proc., BAC Notice, RFQ - PR-2020-08-0044</t>
  </si>
  <si>
    <t xml:space="preserve"> Fund Source: AM 2020</t>
  </si>
  <si>
    <t xml:space="preserve"> PLEASE INCLUDE THE EMAIL ADDRESSES BELOW IN SENDING QUOTATION/S:</t>
  </si>
  <si>
    <t xml:space="preserve"> see attachement</t>
  </si>
  <si>
    <t xml:space="preserve"> Bid Docs Fee P/10,000.00</t>
  </si>
  <si>
    <t xml:space="preserve"> BID TENDER														</t>
  </si>
  <si>
    <t xml:space="preserve"> BID TENDER																</t>
  </si>
  <si>
    <t xml:space="preserve"> Quotation shall be submitted via email (lbphobac@mail.landbank.com) not later than September 1, 2020, Monday, 9:00 A.M.</t>
  </si>
  <si>
    <t xml:space="preserve"> Bid Docs Fee P/500.00 per lot</t>
  </si>
  <si>
    <t xml:space="preserve"> Project Description:</t>
  </si>
  <si>
    <t xml:space="preserve"> For copy of the Request for Quotation, kindly click the associated component.</t>
  </si>
  <si>
    <t xml:space="preserve"> Bidding documents available at Agumaymayan Barangay Hall from August 20, 2020 - August 26, 2020 @ 8:00AM to 5:00 PM.</t>
  </si>
  <si>
    <t xml:space="preserve"> KINDLY DOWNLOAD THE ATTACHMENT IN THE ASSOCIATED COMPONENTS.</t>
  </si>
  <si>
    <t xml:space="preserve"> 1. Issuance of Bid Documents	August 19 – September 8, 2020 12:00 NN</t>
  </si>
  <si>
    <t xml:space="preserve"> Please see Associated Component attached.</t>
  </si>
  <si>
    <t xml:space="preserve"> Note: Inclusive of free delivery.</t>
  </si>
  <si>
    <t xml:space="preserve"> DOCUMENTARY REQUIREMENTS FOR ALTERNATIVE METHODS OF PROCUREMENT</t>
  </si>
  <si>
    <t xml:space="preserve"> https://drive.google.com/file/d/1a6_7BKJ5Z9pBh5G5NcqxZioieirSoMA4/view?usp=drivesdk</t>
  </si>
  <si>
    <t xml:space="preserve"> 20IH0114  (ITB, Bid Docs, POW)</t>
  </si>
  <si>
    <t xml:space="preserve"> The BAC is conducting the public bidding for this Contracts in accordance with RA 9184 and its Revised Implementing Rules and Regulations. Bids received in excess of the ABC shall be automatically rejected at bid opening.</t>
  </si>
  <si>
    <t xml:space="preserve"> Specification:</t>
  </si>
  <si>
    <t xml:space="preserve"> 20IH0116  (ITB, Bid Docs, POW, Plan 1)</t>
  </si>
  <si>
    <t xml:space="preserve"> For clarification on details, you may call tel. # (074) 444-2929 (SSS Baguio)</t>
  </si>
  <si>
    <t xml:space="preserve"> 20IH0113  (ITB, Bid Docs, POW, Plan)</t>
  </si>
  <si>
    <t xml:space="preserve"> 20IH0115  (ITB, Bid Docs, POW, Plan)</t>
  </si>
  <si>
    <t xml:space="preserve"> The Local Government Unit of Pilar, through the Trust Fund intends to apply the sum of Nine Million, Seven Hundred Thousand Pesos Only (P9,700,000.00) being the Approved Budget for the Contract (ABC) to payment under the contract for the Construction of Legislative Building at Calongay, Pilar, Sorsogon. Bids received in excess of the ABC shall be automatically rejected at bid opening.</t>
  </si>
  <si>
    <t xml:space="preserve"> Please click the Associated Components for the Checklist of Requirements. Thank you.</t>
  </si>
  <si>
    <t xml:space="preserve"> Bidding documents available at Agumaymayan Barangay Hall from August 20, 2020 to August 26, 2020 @ 8:00AM - 5:00PM.</t>
  </si>
  <si>
    <t xml:space="preserve"> 1. All prices must be VAT Inclusive.</t>
  </si>
  <si>
    <t xml:space="preserve"> The Local Government Unit of Pilar, through the Trust Fund intends to apply the sum of Two Million, Three Hundred Thousand Pesos (P2,300,000.00)  being the Approved Budget for the Contract (ABC) to payment under the contract for the Procurement of One (1) Unit Wheel Loader. Bids received in excess of the ABC shall be automatically rejected at bid opening.</t>
  </si>
  <si>
    <t xml:space="preserve"> Visit MPDO/BAC Office for details</t>
  </si>
  <si>
    <t xml:space="preserve"> call Ms. Judy Garcia for additional inquiry (044)4631734</t>
  </si>
  <si>
    <t xml:space="preserve"> Note: Inclusive for free delivery.</t>
  </si>
  <si>
    <t xml:space="preserve"> call Ms. Judy Garcia for additional querry</t>
  </si>
  <si>
    <t xml:space="preserve"> *Inclusive: Free delivery</t>
  </si>
  <si>
    <t xml:space="preserve"> Bid Documents will be available only to prospective bidders upon payment of a non-refundable amount									</t>
  </si>
  <si>
    <t xml:space="preserve"> The submission of request for quotation form is on or before the closing date at  2nd floor, BAC Office, Municipal Hall of Don Carlos, Bukidnon.</t>
  </si>
  <si>
    <t xml:space="preserve"> REGIONAL BIDS AND AWARDS COMMITTEE – CEBU REGIONAL OFFICE</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</si>
  <si>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</si>
  <si>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Tentative Schedule is on September 9 - 11, 2020</t>
  </si>
  <si>
    <t xml:space="preserve"> Bid Documents will be available only to prospective bidders upon payment of a non-refundable amount										</t>
  </si>
  <si>
    <t xml:space="preserve"> All quotations will be collated and checked a day after the 7 days posting.</t>
  </si>
  <si>
    <t xml:space="preserve"> REGIONAL BIDS AND AWARDS COMMITTEE - CEBU REGIONAL OFFICE</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</si>
  <si>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</si>
  <si>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created by:     JAY MAXWELL</t>
  </si>
  <si>
    <t xml:space="preserve"> Generic names of medicines are available upon payment of the Bid docs</t>
  </si>
  <si>
    <t xml:space="preserve"> Bid Docs Fee P/5,000.00</t>
  </si>
  <si>
    <t xml:space="preserve"> Mr. Danilo A. Majomot</t>
  </si>
  <si>
    <t xml:space="preserve"> Bid Docs Fee P/1,000.00</t>
  </si>
  <si>
    <t xml:space="preserve"> Schedule of Bidding Activities: </t>
  </si>
  <si>
    <t xml:space="preserve"> see attachment</t>
  </si>
  <si>
    <t xml:space="preserve"> Invitation to Bid for Completion of Evacuation Center</t>
  </si>
  <si>
    <t xml:space="preserve"> created by:          CYNTHIA GABIOZA</t>
  </si>
  <si>
    <t xml:space="preserve"> DATE OF POSTING: AUGUST 20-27, 2020</t>
  </si>
  <si>
    <t xml:space="preserve"> created by:    EMERITA ILIGAN</t>
  </si>
  <si>
    <t xml:space="preserve"> BID DOCUMENT IS AVAILABLE AT ENGINEERING OFFICE, BAC SECRETARIAT.</t>
  </si>
  <si>
    <t xml:space="preserve"> OPENING OF BIDS IS ON SEPTEMBER 2, 2020 (09:00 AM) AT THE BOARD ROOM, ADMIN. BUILDING</t>
  </si>
  <si>
    <t xml:space="preserve"> Please download the attached Invitation to bid, Bidding Documents, Eligibility Checklist and Drawing in the associated component.</t>
  </si>
  <si>
    <t xml:space="preserve"> For inquiries, you may call the following:</t>
  </si>
  <si>
    <t xml:space="preserve"> For more details please contact the following:</t>
  </si>
  <si>
    <t xml:space="preserve"> Created By: Elrene C. Villar</t>
  </si>
  <si>
    <t xml:space="preserve"> PLEASE INCLUDE YOUR SIGNATURE TO COMPLY THE ATTACHED DESIGN/SPECIFICATION.</t>
  </si>
  <si>
    <t xml:space="preserve"> Please Contact</t>
  </si>
  <si>
    <t xml:space="preserve"> Kindly download the attached bidding documents for the requirements and specifications.</t>
  </si>
  <si>
    <t xml:space="preserve"> Check associated components.</t>
  </si>
  <si>
    <t xml:space="preserve"> please see attached documents.</t>
  </si>
  <si>
    <t xml:space="preserve"> Conditions in joining the bidding:</t>
  </si>
  <si>
    <t xml:space="preserve"> To Our Supplier, Bid Documents are Available at BAC Secretariat</t>
  </si>
  <si>
    <t xml:space="preserve"> BID TENDER								</t>
  </si>
  <si>
    <t xml:space="preserve"> Please see attached bidding documents for the complete details of the Weight Criteria and Terms of Reference.</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</si>
  <si>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</si>
  <si>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Please see attached Invitation to Bid.</t>
  </si>
  <si>
    <t xml:space="preserve"> Please see attached rfQ at associated components section.</t>
  </si>
  <si>
    <t xml:space="preserve"> Please download RFQ in the associated components.</t>
  </si>
  <si>
    <t xml:space="preserve"> Obtain further info @ the Office of the BAC Secretariat/TWG</t>
  </si>
  <si>
    <t xml:space="preserve"> By Administrative</t>
  </si>
  <si>
    <t xml:space="preserve"> FUEL, OIL &amp; LUBRICANTS		</t>
  </si>
  <si>
    <t xml:space="preserve"> FOR SDS-678,SLD-710,SGR-191,SFB-600,SGP-534,SGR-149,SGR-171,SFB-563,SFB-554 &amp; SGP-590		</t>
  </si>
  <si>
    <t xml:space="preserve"> All representatives are required to bring appropriate/proper identification or authorization when attending the Pre-bid Conference.</t>
  </si>
  <si>
    <t xml:space="preserve"> Terms and Condition: </t>
  </si>
  <si>
    <t xml:space="preserve"> https://drive.google.com/file/d/1611BOCwGSdOUeceHdpYt-DK-ozNldlxI/view?usp=drivesdk</t>
  </si>
  <si>
    <t xml:space="preserve"> Check associated components</t>
  </si>
  <si>
    <t xml:space="preserve"> wheel type hydraulic excavator with breaker line;</t>
  </si>
  <si>
    <t xml:space="preserve"> The Municipal Government of Dauin, Negros Oriental, through Supplemental #2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</si>
  <si>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Cost of Documents: P500.00</t>
  </si>
  <si>
    <t xml:space="preserve"> Please see attached PDF file for more information.</t>
  </si>
  <si>
    <t xml:space="preserve"> Please see attached RFQ No. 20-0745 Shopping (B) for complete list of Items, Specification and Description.</t>
  </si>
  <si>
    <t xml:space="preserve"> SB1 2019</t>
  </si>
  <si>
    <t xml:space="preserve"> BIDDERS MUST DOWNLOAD THE ATTACHED DOCUMENT IN THE ASSOCIATED COMPONENT</t>
  </si>
  <si>
    <t xml:space="preserve"> Check Associated Components</t>
  </si>
  <si>
    <t xml:space="preserve"> Deadline for submission of quotations is at 9:00 am, AUGUST 24, 2020 at The Principals’ Office,  Angeles City National High School, Arayat Blvd., Pampang, Angeles City</t>
  </si>
  <si>
    <t xml:space="preserve"> https://drive.google.com/file/d/13DJoiN186fIJWSZJAkDXQrZi-JpkalnZ/view?usp=drivesdk</t>
  </si>
  <si>
    <t xml:space="preserve"> FOR MORE INFORMATION PLEASE CONTACT:</t>
  </si>
  <si>
    <t xml:space="preserve"> https://drive.google.com/file/d/15bLEdQmsD3l63r09nFRdgwngxtPVMtYc/view?usp=drivesdk</t>
  </si>
  <si>
    <t xml:space="preserve"> Deadline for submission of quotations is at 9:00 am, AUGUST 24, 2020 at The Principals Office,  Angeles City National High School, Arayat Blvd., Pampang, Angeles City</t>
  </si>
  <si>
    <t xml:space="preserve"> Pay Item No.	Description	Unit	Quantity</t>
  </si>
  <si>
    <t xml:space="preserve"> Please see the attached in the associated components</t>
  </si>
  <si>
    <t xml:space="preserve"> All interested Bidders must download the  attached document at the Associated Component Section for instructions and specifications.</t>
  </si>
  <si>
    <t xml:space="preserve"> BAC Office, Engineering Office, Municipal Hall for Bidding forms and other inquiries</t>
  </si>
  <si>
    <t xml:space="preserve"> Interested Bidder may purchase Bidding Documents in the amount of 500.00 pesos at the BAC Secretariat, Treasurer's Office, Municipal Hall Building.</t>
  </si>
  <si>
    <t xml:space="preserve"> https://drive.google.com/file/d/1CE3u82KXKsjA4mHJi_0MhHQvm88S-umr/view?usp=drivesdk</t>
  </si>
  <si>
    <t xml:space="preserve"> Kindly download Associated Components for full details.</t>
  </si>
  <si>
    <t xml:space="preserve"> https://drive.google.com/file/d/1h7BxzDcuLnnY7ab1RpeIBLTQcgTevgjr/view?usp=drivesdk</t>
  </si>
  <si>
    <t xml:space="preserve"> Freight on Board to LGU, Looc, Occidental Mindoro</t>
  </si>
  <si>
    <t xml:space="preserve"> 8. For further information, please refer to:</t>
  </si>
  <si>
    <t xml:space="preserve"> 1. Date of First Publication: AUGUST 19, 2020</t>
  </si>
  <si>
    <t xml:space="preserve"> Please see Attached Files</t>
  </si>
  <si>
    <t xml:space="preserve"> OPENING OF PRICE QUOTATION ON AUGUST 28, 2020 2:00P.M. AT DENR-PENRO, SAN VICTORIES ST. BRGY.9, MALAYBALAY CITY/BUKIDNON</t>
  </si>
  <si>
    <t xml:space="preserve"> Bid Opening shall be on September 8, 2020 @ 09:30 AM at the Conference Room, Office of the Mayor, 2/f Municipal Hall Building, Municipal Compound, Brgy. Poblacion, Calintaan, Occ. Mindoro.</t>
  </si>
  <si>
    <t xml:space="preserve"> Publication - August 18, 2020</t>
  </si>
  <si>
    <t xml:space="preserve"> Source of Fund: Bayanihan Grant to Cities and Municipalities</t>
  </si>
  <si>
    <t xml:space="preserve"> 1. All entries must be printed or type written					</t>
  </si>
  <si>
    <t xml:space="preserve"> https://drive.google.com/file/d/1THkj7SWOOiaymxo1znMhgGFVt9PMZ6dp/view?usp=drivesdk</t>
  </si>
  <si>
    <t xml:space="preserve"> ITEM	QUANTITY	UNIT	DESCRIPTION</t>
  </si>
  <si>
    <t xml:space="preserve"> Publication: August 19-25, 2020</t>
  </si>
  <si>
    <t xml:space="preserve"> For more information kindly contact:</t>
  </si>
  <si>
    <t xml:space="preserve"> Check to DL: https://drive.google.com/file/d/1PL8lEJ650N9SmGR8bh-tCt3D0Vq6fqpk/view?usp=drivesdk</t>
  </si>
  <si>
    <t xml:space="preserve"> https://drive.google.com/file/d/1zkIG7YapmcdHTdn4ePr8OpCXlGyapkUR/view?usp=drivesdk</t>
  </si>
  <si>
    <t xml:space="preserve"> Deadline for submission August 26, 2020, 9am.</t>
  </si>
  <si>
    <t xml:space="preserve"> https://drive.google.com/file/d/1AcjoCeibJsKW-bhi-nju-j5NQNy9S9Rt/view?usp=drivesdk</t>
  </si>
  <si>
    <t xml:space="preserve"> Bidders/Suppliers Must Download the Attached Document in the Associated Component Section </t>
  </si>
  <si>
    <t xml:space="preserve"> Prospective bidder may seek further information through BAC Office @ 469-9056.</t>
  </si>
  <si>
    <t xml:space="preserve"> P.O.W</t>
  </si>
  <si>
    <t xml:space="preserve"> Any requests for additional information concerning this bidding shall be directed to the following:</t>
  </si>
  <si>
    <t xml:space="preserve"> PLS. REFER TO BID DOCS ATTACHED.</t>
  </si>
  <si>
    <t xml:space="preserve"> The LGU - Talavera assumes no responsibility whatsoever to compensate or indemnify bidders for any expenses incurred in the preparation of their bids.</t>
  </si>
  <si>
    <t xml:space="preserve"> For inquiries, please contact Arch. Victor Sanchez, BGMSD, GSD.</t>
  </si>
  <si>
    <t xml:space="preserve"> Interested Bidders may download attached documents located in the Associated Components Section.</t>
  </si>
  <si>
    <t xml:space="preserve"> For inquiries, please contact Arch Victor Sanchez, BGMSD, GSD.</t>
  </si>
  <si>
    <t xml:space="preserve"> Item Number	Description	Quantity	Total	Delivered, Weeks/Months</t>
  </si>
  <si>
    <t xml:space="preserve"> For further information, please contact:</t>
  </si>
  <si>
    <t xml:space="preserve"> The winning bidder will delivered the purchased goods to the Buyer with Free of Charges.</t>
  </si>
  <si>
    <t xml:space="preserve"> https://drive.google.com/file/d/1O-vy1LobuIXOF0V6yutn9Xuxj-NZ3cU9/view?usp=drivesdk</t>
  </si>
  <si>
    <t xml:space="preserve"> The schedule of opening of bid will be on September 5, 2020 at exactly 2:00 o'clock in the afternoon at the BAC Office LGU Dauis, Bohol</t>
  </si>
  <si>
    <t xml:space="preserve"> Deadline of the Submission and opening of bids will be on September 11, 2020 @ 9:00 AM</t>
  </si>
  <si>
    <t xml:space="preserve"> Please get the printed RFQ at the Admin Office, 2nd Floor, Admin Building of Cabangan HIgh School.</t>
  </si>
  <si>
    <t xml:space="preserve"> 1. PRE-BID CONFERENCE - AUGUST 27, 2020 @ 10:00 A.M.</t>
  </si>
  <si>
    <t xml:space="preserve"> Please Download the Associated Components</t>
  </si>
  <si>
    <t xml:space="preserve"> For inquiries you may contact:</t>
  </si>
  <si>
    <t xml:space="preserve"> Contact Person </t>
  </si>
  <si>
    <t xml:space="preserve"> For queries, please contact Mr. Eric A. Teves, Head of RBAC Secretariat thru telephone #(035) 430-0230.</t>
  </si>
  <si>
    <t xml:space="preserve"> Please see personally the head of the BAC Secretariat for the availability of the bid document upon payment of the non-refundable amount of P 500.00 to the Cashier.</t>
  </si>
  <si>
    <t xml:space="preserve"> Delivery Point: Plantsite / JOLO DPP, Sulu Province</t>
  </si>
  <si>
    <t xml:space="preserve"> The Works consists of Replacement of Plumbing Fixtures, Installation of plumbing fixtures, replacement deteriorated door jamb, replacement of destroyed PVC Door and destroyed door knob.</t>
  </si>
  <si>
    <t xml:space="preserve"> The Works consists of Improvement of perimeter fence, earthworks, concreting masonry and fabrication, installation of steel framed cyclone wires and painting works.</t>
  </si>
  <si>
    <t xml:space="preserve"> Buyer: J.S. Medina</t>
  </si>
  <si>
    <t xml:space="preserve"> Delivery Point: SPUG-MOD Warehouse, Zamboanga City</t>
  </si>
  <si>
    <t xml:space="preserve"> Buyer: N.R. Abarquez</t>
  </si>
  <si>
    <t xml:space="preserve"> https://drive.google.com/file/d/17kesj8gmHhvmdHtWPLBWlLe6IxDBoKe-/view?usp=drivesdk</t>
  </si>
  <si>
    <t xml:space="preserve"> Please see personally the BAC secretariat for the availability of the Bid Document upon payment of the non-refundable amount of P 500.00 to the Cashier.</t>
  </si>
  <si>
    <t xml:space="preserve"> receipts and opening of bid will be on September 1,2020 at 9:00 am. </t>
  </si>
  <si>
    <t xml:space="preserve"> The winning bidder will deliver the chickens at the designated place at Matalam, Cotabato.</t>
  </si>
  <si>
    <t xml:space="preserve"> https://drive.google.com/file/d/1lCKwEQXSoFcKI9iU8FqDx5M0mBgLMhwv/view?usp=drivesdk</t>
  </si>
  <si>
    <t xml:space="preserve"> The Works consists of Construction of 170.00 ln.m. 4” THK CHB 2 layers canal lining with concrete column and stiffener spaced at every 5.00m.</t>
  </si>
  <si>
    <t xml:space="preserve"> Please see personally the BAC secretariat for the availability of the bid document upon payment of the non-refundable amount of P 500.00 to the Cashier.</t>
  </si>
  <si>
    <t xml:space="preserve"> https://drive.google.com/file/d/10hrR-QHD6Q-f3JBCQyiPo_4y57Xl7-Cb/view?usp=drivesdk</t>
  </si>
  <si>
    <t xml:space="preserve"> Interested Supplier must visit site for actual measurement  and estimate</t>
  </si>
  <si>
    <t xml:space="preserve"> Contact Person</t>
  </si>
  <si>
    <t xml:space="preserve"> Please take note that this project is part of the Early Procurement Activities of the university. This means that the project will be awarded this year (2020) but will be implemented the following year (2021) upon the issuance of the VSU GAA 2021 by DBM.</t>
  </si>
  <si>
    <t xml:space="preserve"> https://drive.google.com/file/d/1eQzAhYy55jt6cTZscq5pFGFP81YAOVdR/view?usp=drivesdk</t>
  </si>
  <si>
    <t xml:space="preserve"> BID DOCS CAN BE BOUGHT AT PRINCIPAL OFFICE, CAUAYAN SOUTH CENTRAL SCHOOL</t>
  </si>
  <si>
    <t xml:space="preserve"> https://drive.google.com/file/d/1zTtS925FGorjo1awNSQUIc19IfiBv5c6/view?usp=drivesdk</t>
  </si>
  <si>
    <t xml:space="preserve"> Fund 164</t>
  </si>
  <si>
    <t xml:space="preserve"> HON. DULCENIA T. DE GUZMAN</t>
  </si>
  <si>
    <t xml:space="preserve"> https://drive.google.com/file/d/1PPPwm8_nky7X1n7Bh-vbSr4rFlNN-U0E/view?usp=drivesdk</t>
  </si>
  <si>
    <t xml:space="preserve"> Section VII. Technical Specifications</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</si>
  <si>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</si>
  <si>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Fund 1010</t>
  </si>
  <si>
    <t xml:space="preserve"> Brand names of all items must be indicated in the bid.</t>
  </si>
  <si>
    <t xml:space="preserve"> You can also download the items and specifications at our official website: www.cebucity.gov.ph under For</t>
  </si>
  <si>
    <t xml:space="preserve"> Please be informed that the Bid Documents can't be downloaded from the website. Interested bidders are requested to acquire the documents directly and personally from the Mayor's Office upon payment of a corresponding fee of Php500.00 for the said project at the Municipal Treasury Office.</t>
  </si>
  <si>
    <t xml:space="preserve"> LEVI C. EDMA</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</si>
  <si>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</si>
  <si>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be informed that the Bid Documents can't be downloaded from the website. Interested bidders are requested to acquire the documents directly and personally from the Mayor's Office upon payment of a corresponding fee of Php1,000.00 for the said project at the Municipal Treasury Office.</t>
  </si>
  <si>
    <t xml:space="preserve"> Suppliers are required to submit their quotation/written proposal with the following documents on or  AUGUST 25, 2020 9:00 AM at BAC Office, this LGU, to wit:</t>
  </si>
  <si>
    <t xml:space="preserve"> Pre-bid Conference will be done through teleconference. Any interested bidder you could contact the Head BAC Secretariat or email us.</t>
  </si>
  <si>
    <t xml:space="preserve"> PHILIPPINE BIDDING DOCUMENTS</t>
  </si>
  <si>
    <t xml:space="preserve"> https://drive.google.com/file/d/1OnLLKQ_qbMGgBBueiBn_GfBbI075xm4Z/view?usp=drivesdk</t>
  </si>
  <si>
    <t xml:space="preserve"> Please see attached at Associated Components</t>
  </si>
  <si>
    <t xml:space="preserve"> Please see attached bidding documents for complete specifications and Terms of Reference.</t>
  </si>
  <si>
    <t xml:space="preserve"> Terms of payment : 30 days from receipt of all materials</t>
  </si>
  <si>
    <t xml:space="preserve"> New Contact Person</t>
  </si>
  <si>
    <t xml:space="preserve"> TERMS OF PAYMENT = 30 DAYS</t>
  </si>
  <si>
    <t xml:space="preserve"> https://drive.google.com/file/d/1-GXCWOmdJt6Ei5LVD4A5L6yTRjV8uor3/view?usp=drivesdk</t>
  </si>
  <si>
    <t xml:space="preserve"> Please see accompanying document attached.</t>
  </si>
  <si>
    <t xml:space="preserve"> For the use of 4FAU, ASPA</t>
  </si>
  <si>
    <t xml:space="preserve"> Instruction for Suppliers on how to View/ Download the document:</t>
  </si>
  <si>
    <t xml:space="preserve"> Please download the Bid Document in the Associated Component.</t>
  </si>
  <si>
    <t xml:space="preserve"> Prisoners Subsistence Allowance 153 days x 650	650	pax</t>
  </si>
  <si>
    <t xml:space="preserve"> Please look Ms. MHELET BEÑALES and Ms. Rowena Rodriguez for other information.</t>
  </si>
  <si>
    <t xml:space="preserve"> BID OPENING: SEPTEMBER 7, 2020  1:00PM  BAC OFFICE, MUNICIPAL HALL, STA. MARCELA, APAYAO</t>
  </si>
  <si>
    <t xml:space="preserve"> • Similar Contracts: Supply and delivery of Diesel Generating Sets or Mechanical and/or Electrical Parts / Components / Equipment for Diesel Generating Sets</t>
  </si>
  <si>
    <t xml:space="preserve"> SB No. 2 CY 2018</t>
  </si>
  <si>
    <t xml:space="preserve"> SUPPLIER MUST HAVE A VALID BUSINESS PERMIT AND PHILGEPS REGISTRATION CERTIFICATE. </t>
  </si>
  <si>
    <t xml:space="preserve"> https://drive.google.com/file/d/1OXK9MTe1t1IneItMI4EcPj-WiaYMCmjx/view?usp=drivesdk</t>
  </si>
  <si>
    <t xml:space="preserve"> 1.	THIS IS A SECOND PUBLICATION FOR THIS PROCUREMENT.</t>
  </si>
  <si>
    <t xml:space="preserve"> Quotations submitted thru mail/fax will not be accepted.</t>
  </si>
  <si>
    <t xml:space="preserve"> https://drive.google.com/file/d/1f9jfTUj6UDI-xaKlKrOXiNMQk0QLY6Nh/view?usp=drivesdk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</si>
  <si>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</si>
  <si>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</si>
  <si>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Bidding Documents: </t>
  </si>
  <si>
    <t xml:space="preserve"> https://drive.google.com/file/d/15oHG8onaqY9ci0HnKOFtzzUCba2v5g3C/view?usp=drivesdk</t>
  </si>
  <si>
    <t xml:space="preserve"> https://drive.google.com/file/d/1VwDREOC0RF4gBuCYrNuQrzTi4-sa0xh8/view?usp=drivesdk</t>
  </si>
  <si>
    <t xml:space="preserve"> PLEASE CHECK SIMILAR INFORMATION POSTED AT THE PROCURING ENTITY'S WEBSITE</t>
  </si>
  <si>
    <t xml:space="preserve"> https://drive.google.com/file/d/1rZVDXzSXXVQ-IP-Nr-iXi08B1FyNN0SG/view?usp=drivesdk</t>
  </si>
  <si>
    <t xml:space="preserve"> The deadline of submission of Bids is on or before September 8, 2020 at 1:30 in the afternoon, 2nd floor, BAC Office, Municipal Hall of Don Carlos, Bukidnon.</t>
  </si>
  <si>
    <t xml:space="preserve"> Bid opening shall be on  August 27, 2020 @ 2:00 o’clock in the afternoon at  Dampas Barangay Session Hall, Barangay Dampas, Tagbilaran City.  Bids will be opened in the presence of the bidders’ representatives who choose to attend at the address below. Late bids shall not be accepted.</t>
  </si>
  <si>
    <t xml:space="preserve"> Please download the attached Request for Expression of Interest (REI), Bidding Document, Eligibility Checklist and Terms of Reference in the associated component.</t>
  </si>
  <si>
    <t xml:space="preserve"> Opening of RFQs will be on August 25, 2020 at 9am at the Division Conference Hall, DepED Division of Samal City,Penaplata, Samal District, Samal City</t>
  </si>
  <si>
    <t xml:space="preserve"> Please visit MPDO/BAC Office for details</t>
  </si>
  <si>
    <t xml:space="preserve"> created by:         RONALD ACHA</t>
  </si>
  <si>
    <t xml:space="preserve"> ELIGIBILITY REQUIREMENTS:</t>
  </si>
  <si>
    <t xml:space="preserve"> created by:        Consuelo Reyes</t>
  </si>
  <si>
    <t xml:space="preserve"> created by:      BERNADETTE VILLANUEVA</t>
  </si>
  <si>
    <t xml:space="preserve"> Opening of RFQs will be on August 25, 2020 at 9am at the Division Conference Hall, Penaplata, Samal District, Samal City</t>
  </si>
  <si>
    <t xml:space="preserve"> Paper size – paper size used on layout (A4)</t>
  </si>
  <si>
    <t xml:space="preserve"> 1. Letter of Intent of Contractor must be signed original attached with certified photocopy of PhilGEPS Certificate of Registration (Platinum Category) and Valid PCAB License and Registration.</t>
  </si>
  <si>
    <t xml:space="preserve"> FOR MORE INFORMATION AND DETAILS, KINDLY CONTACT BRGY. NAGBA BIDS AND AWARDS COMMITTEE, BRGY. NAGBA HALL C/O BAC CHAIRMAN VIZENN TOMESA WITH CELLPHONE NO. 0928-8184636.</t>
  </si>
  <si>
    <t xml:space="preserve"> The labor is by Administration</t>
  </si>
  <si>
    <t xml:space="preserve"> https://drive.google.com/file/d/1HPHceTnX5a2EocJRiOiFLEajLVmPAC-C/view?usp=drivesdk</t>
  </si>
  <si>
    <t xml:space="preserve"> https://drive.google.com/file/d/1_CMY3EcfCXvon8I-5pDvy_i5LbT78LRk/view?usp=drivesdk</t>
  </si>
  <si>
    <t xml:space="preserve"> https://drive.google.com/file/d/1ojr-e9CPVRZxddqyKJFYcyCuvZiY9ua_/view?usp=drivesdk</t>
  </si>
  <si>
    <t xml:space="preserve"> Classification: Building</t>
  </si>
  <si>
    <t xml:space="preserve"> https://drive.google.com/file/d/1teD6NJMg3-d_VztkevKe1HgA0NwL3chx/view?usp=drivesdk</t>
  </si>
  <si>
    <t xml:space="preserve"> https://drive.google.com/file/d/1tv6IHgT2Zw7C3RlwSA7ifaaiV3oEIM3G/view?usp=drivesdk</t>
  </si>
  <si>
    <t xml:space="preserve"> https://drive.google.com/file/d/1tOMj2w4yUmtuyXF1cwDDGHfNMPw-EQKJ/view?usp=drivesdk</t>
  </si>
  <si>
    <t xml:space="preserve"> bid dcoc posted:August 18, 2020, Tuesday</t>
  </si>
  <si>
    <t xml:space="preserve"> https://drive.google.com/file/d/1qKR0_0-iwJAQeg0a1S7AT8lmh6z7pO_M/view?usp=drivesdk</t>
  </si>
  <si>
    <t xml:space="preserve"> https://drive.google.com/file/d/12adpPZOv6sJ2FCeeTn6TyevFIPBz5DCo/view?usp=drivesdk</t>
  </si>
  <si>
    <t xml:space="preserve"> https://drive.google.com/file/d/1LkOGa0sF3LWb-SoR8Vl-zBDmSv8Mptu5/view?usp=drivesdk</t>
  </si>
  <si>
    <t xml:space="preserve"> https://drive.google.com/file/d/1RA22qLgK_jV8IhfuNaGGFbiaFpuvEHb3/view?usp=drivesdk</t>
  </si>
  <si>
    <t xml:space="preserve"> https://drive.google.com/file/d/1kviDMnBCZXqz9IM75AmnJxsL6io5jCHQ/view?usp=drivesdk</t>
  </si>
  <si>
    <t xml:space="preserve"> SUPPLIER MUST SUBMIT LOCAL BUSINESS PERMIT AT ILIGAN CITY</t>
  </si>
  <si>
    <t xml:space="preserve"> https://drive.google.com/file/d/1BaokO9oxJpIGz95Zji5vQb7YnvyLFrJ2/view?usp=drivesdk</t>
  </si>
  <si>
    <t xml:space="preserve"> The amount of three hundred  eighty seven thousand six hundred fourty eight and 95/100</t>
  </si>
  <si>
    <t xml:space="preserve"> https://drive.google.com/file/d/1z3sEGsvdmvWJDZhqpO-Zu1EeUhiIKAsG/view?usp=drivesdk</t>
  </si>
  <si>
    <t xml:space="preserve"> https://drive.google.com/file/d/1Y-2sp9ESqgwNpeAJQxadE16Wo7cvwHxD/view?usp=drivesdk</t>
  </si>
  <si>
    <t xml:space="preserve"> https://drive.google.com/file/d/1qFkUHIsbLjYkYbOsLs1ee5HTHB9sasXX/view?usp=drivesdk</t>
  </si>
  <si>
    <t xml:space="preserve"> For easier download of attached Bidding Document please copy and paste the link below in the URL</t>
  </si>
  <si>
    <t xml:space="preserve"> TERMS AND CONDITIONS:</t>
  </si>
  <si>
    <t xml:space="preserve"> Also available at DPWH website.</t>
  </si>
  <si>
    <t xml:space="preserve"> Bid Documents must be secured from the BAC Secretariat, Leyte SMED Center, Provincial Capitol Grounds, Tacloban City</t>
  </si>
  <si>
    <t xml:space="preserve"> https://drive.google.com/file/d/15B1lHy3IVTLZOUM2jp9eVxNK3oVqM7SP/view?usp=drivesdk</t>
  </si>
  <si>
    <t xml:space="preserve"> For more information and clarification, please feel free to contact our BAC Secretariat.</t>
  </si>
  <si>
    <t xml:space="preserve"> https://drive.google.com/file/d/1fMmH73pdtZvu8pt9v5ROBMuhjXG7QSMc/view?usp=drivesdk</t>
  </si>
  <si>
    <t xml:space="preserve"> For easier download of attached bidding document please copy and paste the link below in the URL</t>
  </si>
  <si>
    <t xml:space="preserve"> For easier download of attached bidding document please copy and paste the link below in the URL.</t>
  </si>
  <si>
    <t xml:space="preserve"> YOU MAY DOWNLOAD THE ITB FROM THE ASSOCIATED COMPONENTS</t>
  </si>
  <si>
    <t xml:space="preserve"> Downloads available at the Associated Components/Bid Supplements pages.</t>
  </si>
  <si>
    <t xml:space="preserve"> https://drive.google.com/file/d/1uf5ntMOWnmgDCpnba30nPWx_HTn_LlrF/view?usp=drivesdk</t>
  </si>
  <si>
    <t xml:space="preserve"> https://drive.google.com/file/d/1TW_4_4Il3QIQDUn7poRPuY5PeHbMHYaI/view?usp=drivesdk</t>
  </si>
  <si>
    <t xml:space="preserve"> Due to Covid 19, all prospective bidders are required to wear face masks and face shields when transacting with the LGU.</t>
  </si>
  <si>
    <t xml:space="preserve"> Instruction for Suppliers on how to View/Download the document:</t>
  </si>
  <si>
    <t xml:space="preserve"> 1.	BIDDERS ARE ADVISED TO DOWNLOAD ALL ASSOCIATED COMPONENTS FOR GUIDANCE AND REFERENCE.</t>
  </si>
  <si>
    <t xml:space="preserve"> Please check link below to download Plan.</t>
  </si>
  <si>
    <t xml:space="preserve"> Bidding Documents may avail at BAC Secretariat manually and upon payment of corresponding amount</t>
  </si>
  <si>
    <t xml:space="preserve"> 1. Please download ITB and bidding documents in the associated component</t>
  </si>
  <si>
    <t xml:space="preserve"> BID DOCS PhP 500.00</t>
  </si>
  <si>
    <t xml:space="preserve"> https://drive.google.com/file/d/1FMIAXgmaZV11HpZM-IeyR1ZyFtCty_wy/view?usp=drivesdk</t>
  </si>
  <si>
    <t xml:space="preserve"> The Bidding will be held at the Barangay Session Hall located at Sitio Cruz, Barangay San Isidro, Mauban, Quezon</t>
  </si>
  <si>
    <t xml:space="preserve"> Quick Guide up to Cost Breakdown</t>
  </si>
  <si>
    <t xml:space="preserve"> https://drive.google.com/file/d/1R_lf9bNUdzXDdXuS7RszY944abgl5y06/view?usp=drivesdk</t>
  </si>
  <si>
    <t xml:space="preserve"> https://drive.google.com/file/d/1qdlIHLykZRhbTytBUqlPOc9fYanI9Qk4/view?usp=drivesdk</t>
  </si>
  <si>
    <t xml:space="preserve"> 1.Please download ITB and  bidding documents in the associated component</t>
  </si>
  <si>
    <t xml:space="preserve"> Diesel	115,052.00	liters</t>
  </si>
  <si>
    <t xml:space="preserve"> Please contact to Mr. Reno C. Salazar the BAC Secretary with CP # 09459852914 or you may call to Ms. Ma. Teresa L. Minguez the BAC Chairperson. Thanks and God Bless us all.</t>
  </si>
  <si>
    <t xml:space="preserve"> IFAD-BFAR Fund</t>
  </si>
  <si>
    <t xml:space="preserve"> 1.Please download ITB and bidding documents in the associated component</t>
  </si>
  <si>
    <t xml:space="preserve"> FUEL, OIL AND LUBRICANTS EXP.		</t>
  </si>
  <si>
    <t xml:space="preserve"> FOR EASIER DOWNLOAD OF ATTACHED BIDDING DOCUMENT PLEASE COPY AND PASTE THE LINK BELOW TO THE URL.</t>
  </si>
  <si>
    <t xml:space="preserve"> FOR EASIER DOWNLOAD OF ATTACHED BIDDING DOCUMENT PLEASE COPY AND PASTE THE LINK BELOW IN THE URL.</t>
  </si>
  <si>
    <t xml:space="preserve"> Tail Light Assembly Light	5	Pc</t>
  </si>
  <si>
    <t xml:space="preserve"> FOR EASIER DOWNLOAD OF ATTACHED BIDDING DOCUMENT PLEASE COPY AND PASTE THE LINK BELOW IN THE URL</t>
  </si>
  <si>
    <t xml:space="preserve"> Please email your quotation</t>
  </si>
  <si>
    <t xml:space="preserve"> Publication: August 18-24, 2020</t>
  </si>
  <si>
    <t xml:space="preserve"> NOTE: THIS IS A REBIDDING FOR ALL ITEMS IN THIS PURCHASE REQUEST.</t>
  </si>
  <si>
    <t xml:space="preserve"> NOTE: THIS IS A REBIDDING FOR THE SAID ITEM IN THIS PURCHASE REQUEST.</t>
  </si>
  <si>
    <t xml:space="preserve"> 1. Current Mayor’s Permit</t>
  </si>
  <si>
    <t xml:space="preserve"> Rice, Well-milled Banay-Banay Local	44	sacks</t>
  </si>
  <si>
    <t xml:space="preserve"> Bid documents are available at Cantuod Barangay Hall</t>
  </si>
  <si>
    <t xml:space="preserve"> NONE</t>
  </si>
  <si>
    <t xml:space="preserve"> PLEASE SEE ATTACHED ASSOCIATED COMPONENTS</t>
  </si>
  <si>
    <t xml:space="preserve"> Please download canvass (RFQ) form/TOR, completely fill-out and submit either through any  of the following:</t>
  </si>
  <si>
    <t xml:space="preserve"> bidding date,Sept. 10, 2020 at Brgy. Hall, Brgy. Punong,alimodian Iloilo at 9:00 am</t>
  </si>
  <si>
    <t xml:space="preserve"> bidding date September 10, 2020,at Brgy. Hall,Brgy. Cagay,Alimodian Iloilo at 11:00 am</t>
  </si>
  <si>
    <t xml:space="preserve"> Bungulan Suckers/Balangon Suckers		15,000.00	pcs</t>
  </si>
  <si>
    <t xml:space="preserve"> Concreting of 304.00 x 4.00m wide x 0.15m thick PCCP; Concreting of 51.00ln.m. x 0.80m wide x 0.15m thick additional plain PCCP of existing tire path; Concreting of 51.ln.m. x 1.80m wide x 0.15m thick additional Plain PCCP shoulder of existing tire path.</t>
  </si>
  <si>
    <t xml:space="preserve"> SIMPLICIA O. OCBA</t>
  </si>
  <si>
    <t xml:space="preserve"> BAC Secretariat</t>
  </si>
  <si>
    <t xml:space="preserve"> Item No.         Description                                                                   Unit                       Quantity</t>
  </si>
  <si>
    <t xml:space="preserve"> For further questions/clarifications please contact Atty. Paul Elbert E. Amon, Head of FLS Laguna at (049) 557-7550.</t>
  </si>
  <si>
    <t xml:space="preserve"> Installation/Roofing</t>
  </si>
  <si>
    <t xml:space="preserve"> For more information, please contact with this number 09076210257. Thank you.</t>
  </si>
  <si>
    <t xml:space="preserve"> see or call Basilio D. Uy , Head BAC Secretariat , Division of Zamboanga City , Baliwasan Chico Zamboanga City # 0917-155-1801</t>
  </si>
  <si>
    <t xml:space="preserve"> Bid opening on August 26, 2020 at 9:00A.M at the Municipal Hall.</t>
  </si>
  <si>
    <t xml:space="preserve"> STAINLESS STEEL STORAGE TANK GAUGE 14 #303 (500 GALLONS</t>
  </si>
  <si>
    <t xml:space="preserve"> Deadline for submission of bids will be on August 25, 2020, 10:00 A.M. at the Supply Office, Town Hall, Poblacion, Kibungan, Benguet.</t>
  </si>
  <si>
    <t xml:space="preserve"> The PRO 7 BAC will issue a complete set of Bidding Documents upon payment in cash of a non-refundable amount ofFive Thousand Pesos (₱ 5,000.00) for the project with ABC of 1M-5M.Prospective Bidders may obtain further information at the PRO 7-BAC Secretariat, PRO 7, Camp Sergio Osmeña Sr., Cebu City at telephone numbers (032) 255-0364 Look for PSSg Ryan D Delos Reyes.</t>
  </si>
  <si>
    <t xml:space="preserve"> Meeting with the Bidders</t>
  </si>
  <si>
    <t xml:space="preserve"> BAC ACTIVITIES	DATE	VENUE</t>
  </si>
  <si>
    <t xml:space="preserve"> For more information, please contact us in this number 09076210257 or 09306316170. Thank you and God bless.</t>
  </si>
  <si>
    <t xml:space="preserve"> https://drive.google.com/file/d/11qPxQhLb1apEnyyRuZs9eCJ53rf43LAE/view?usp=drivesdk</t>
  </si>
  <si>
    <t xml:space="preserve"> Submission of Bids will be on August 26, 2020 9:30 AM at the SB Session Hall New Municipal Bldg. Bid Opening will immediately follow at 10:00 PM.</t>
  </si>
  <si>
    <t xml:space="preserve"> Pre-Bid Conference </t>
  </si>
  <si>
    <t xml:space="preserve"> Delivery at the job site.</t>
  </si>
  <si>
    <t xml:space="preserve"> IP67 (Dust-tight and waterproof protection)</t>
  </si>
  <si>
    <t xml:space="preserve"> Inquire at BAC OFFICE, MUNICIPAL HALL, TAMBULIG, ZAMBOANGA DEL SUR</t>
  </si>
  <si>
    <t xml:space="preserve"> https://drive.google.com/file/d/1d80FVqhwxEGpPptjIHl3fnRwRYOXnqVz/view?usp=drivesdk</t>
  </si>
  <si>
    <t xml:space="preserve"> MARECIL C. BUENAFE</t>
  </si>
  <si>
    <t xml:space="preserve"> You may see the Municipal Engineer, Municipality of Caibiran</t>
  </si>
  <si>
    <t xml:space="preserve"> Issuance of Bid Documents  : 8:00AM - 5:00PM August 18, 2020 to 8:00AM - 09:30AM, September 02, 2020</t>
  </si>
  <si>
    <t xml:space="preserve"> Documents uploaded are also available in DPWH website</t>
  </si>
  <si>
    <t xml:space="preserve"> Bid opening shall be on September 9, 2020, 10:00 AM at the PNOC Bldg. 6, Energy Center, Rizal Drive, BGC, Taguig City.  Bids will be opened in the presence of the bidders’ representatives who choose to attend at the address below. Late bids shall not be accepted.</t>
  </si>
  <si>
    <t xml:space="preserve"> The DICT-FOO-MC3 through its committee for SVP mode of procurement intend to procure scanner as per specification above. As such, the supplier of known qualifications is hereby invited to submit their quotations/price proposals not later than August 25, 2020 at DICT-F. Torres St., Davao City The supplier must submit the ff. requirements:																																						</t>
  </si>
  <si>
    <t xml:space="preserve"> REQUEST FOR QUOTATION FORM WILL BE AVAILABLE AT GINGOOG CITY WATER DISTRICT OFFICE</t>
  </si>
  <si>
    <t xml:space="preserve"> https://drive.google.com/file/d/1vptlkggNRVHaH1XQ3A5IAY5H-arc4IiO/view?usp=drivesdk</t>
  </si>
  <si>
    <t xml:space="preserve"> 1	set	Ambulance Blinker built-in Siren</t>
  </si>
  <si>
    <t xml:space="preserve"> SEE ASSOCIATED COMPONENTS</t>
  </si>
  <si>
    <t xml:space="preserve"> PR0126-20 PEO</t>
  </si>
  <si>
    <t xml:space="preserve"> Bidders must download the attached documents in the associated component section.</t>
  </si>
  <si>
    <t xml:space="preserve"> Request for Price Quotation may be viewed or downloaded from the link provided below:</t>
  </si>
  <si>
    <t xml:space="preserve"> Bidding Documents Cost: P 5,000.00</t>
  </si>
  <si>
    <t xml:space="preserve"> The Works consists of Concreting of 219.07 m long x 6.10m wide x 0.20m thick plain PCCP and provision of 56.2 l.m. l.m. stone masonry slope protection structure.</t>
  </si>
  <si>
    <t xml:space="preserve"> Interested bidders may obtain further information from Bids and Awards Committee Secretariat and inspect the Bidding Documents at the address given below from 9:00am to 5:00pm.</t>
  </si>
  <si>
    <t xml:space="preserve"> A complete set of bidding Documents can be obtained at the BAC Office only upon payment of corresponding fees.</t>
  </si>
  <si>
    <t xml:space="preserve"> LOT 1 – VARIOUS FILTERS (ABC – P465,415.00)</t>
  </si>
  <si>
    <t xml:space="preserve"> A complete set of Bidding Documents may be acquired by interested Bidders on August 18, 2020 from the address below and upon payment of a nonrefundable fee for the Bidding Documents, pursuant to the latest Guidelines issued by the GPPB, in the amount One Thousand pesos only (Php 1,000.00).</t>
  </si>
  <si>
    <t xml:space="preserve"> Please download attachments.</t>
  </si>
  <si>
    <t xml:space="preserve"> A complete set of Bidding Documents can  be obtained from the BAC Office only upon payment of corresponding fees.</t>
  </si>
  <si>
    <t xml:space="preserve"> Request for Price Quotation may be viewed or downloaded from the link provided below</t>
  </si>
  <si>
    <t xml:space="preserve"> A complete set of Bidding Documents can be obtained at the BAC Office only upon payment of corresponding fees.</t>
  </si>
  <si>
    <t xml:space="preserve"> Bid Documents are also downloadable in the DPWH Website</t>
  </si>
  <si>
    <t xml:space="preserve"> A complete set of Bidding documents can be obtained at the BAC Office only upon payment of corresponding fees.</t>
  </si>
  <si>
    <t xml:space="preserve"> Please Download attachments</t>
  </si>
  <si>
    <t xml:space="preserve"> https://drive.google.com/file/d/1DpdyNEXXa69piKpHcfd-lMuYvUDvAsyK/view?usp=drivesdk</t>
  </si>
  <si>
    <t xml:space="preserve"> https://drive.google.com/file/d/1CihcAkGdZcFik1_ODrfiOcK7Zy5-4ySa/view?usp=drivesdk</t>
  </si>
  <si>
    <t xml:space="preserve"> A complete set of Bidding Document can be obtained at the BAC Ofiice only upon payment corresponding fees.</t>
  </si>
  <si>
    <t xml:space="preserve"> Brand New</t>
  </si>
  <si>
    <t xml:space="preserve"> A complete set of Bidding documents vcan be obtained at the BAC Office only upon payment of corresponding fees.</t>
  </si>
  <si>
    <t xml:space="preserve"> https://drive.google.com/file/d/1xalhT-PLvoj_mn2-MiVX0WNGdzXkmwsr/view?usp=drivesdk</t>
  </si>
  <si>
    <t xml:space="preserve"> pls notify Sec Nor of Linglingay</t>
  </si>
  <si>
    <t xml:space="preserve"> https://drive.google.com/file/d/16Ixxm78WEEFQ8bf1IyTMDfmsFwI07XfG/view?usp=drivesdk</t>
  </si>
  <si>
    <t xml:space="preserve"> https://drive.google.com/file/d/1R_N9gvjXHHbGgt3aO2uwL-sUSfFZfnJa/view?usp=drivesdk</t>
  </si>
  <si>
    <t xml:space="preserve"> https://drive.google.com/file/d/11SaEiMByw10BSj0OSYDNiReVaSvtbPby/view?usp=drivesdk</t>
  </si>
  <si>
    <t xml:space="preserve"> A complete set of Bidding Documents can be obtained at the BAC Office only upon payment of coresponding fees.</t>
  </si>
  <si>
    <t xml:space="preserve"> YOU MAY DOWNLOAD THE ITB FROM THE ASSOCIATED COMPONENTS.</t>
  </si>
  <si>
    <t xml:space="preserve"> General Description			 Quantity/Size 	 Unit </t>
  </si>
  <si>
    <t xml:space="preserve"> A complete set of Bidding Documents can be  obtained at the BAC Office only upon payment of corresponding fees.</t>
  </si>
  <si>
    <t xml:space="preserve"> https://drive.google.com/file/d/1MN9_joA7NQtEILLno-5C4DgJu1gQge6v/view?usp=drivesdk</t>
  </si>
  <si>
    <t xml:space="preserve"> https://drive.google.com/file/d/1mJ5oaDm04F2XVX6zp9Z4vD0AlPAcg1pb/view?usp=drivesdk</t>
  </si>
  <si>
    <t xml:space="preserve"> https://drive.google.com/file/d/1wHf9oHeVxTbjM5agPqpr24MDk830Q48h/view?usp=drivesdk</t>
  </si>
  <si>
    <t xml:space="preserve"> 6.	Supplier shall submit together with the RFQ the following:</t>
  </si>
  <si>
    <t xml:space="preserve"> https://drive.google.com/file/d/1AdAlcntDveOQElzbACvm0cdal8Hr_f0G/view?usp=drivesdk</t>
  </si>
  <si>
    <t xml:space="preserve"> https://drive.google.com/file/d/18_IGkmbaDPmO4ootfhrHhpyZokZwKesm/view?usp=drivesdk</t>
  </si>
  <si>
    <t xml:space="preserve"> SUPPLIER MUST SUBMIT LOCAL BUSINESS PERMIT AT ILIGAN CITY </t>
  </si>
  <si>
    <t xml:space="preserve"> Handling and installation included</t>
  </si>
  <si>
    <t xml:space="preserve"> IB and Bidding Documents:</t>
  </si>
  <si>
    <t xml:space="preserve"> All interested bidders must purchase bid document at Municipal Treasury Office together with the letter of intent before going to the BAC Office, 3rd floor, Municipal Bldg. Abatan, Buguias, Benguet from August 25, 2020 starting 3:00 PM - 4:00 PM.</t>
  </si>
  <si>
    <t xml:space="preserve"> Other information</t>
  </si>
  <si>
    <t xml:space="preserve"> kindly see the plan and specification</t>
  </si>
  <si>
    <t xml:space="preserve"> 4,624 Liters DIESEL FUEL</t>
  </si>
  <si>
    <t xml:space="preserve"> Procuring Entity: La Medalla, Baao, Cam. SUr</t>
  </si>
  <si>
    <t xml:space="preserve"> 6,000 Kilos ROOTCROPS (Purple Ube and Taro or Colocasia Esculenta)</t>
  </si>
  <si>
    <t xml:space="preserve"> 25,000 Pcs ABACA Suckers/Shoots</t>
  </si>
  <si>
    <t xml:space="preserve"> 1.)	1	set	Oil filter (503/513)</t>
  </si>
  <si>
    <t xml:space="preserve"> 1.)	1	pc	Wheel bearing</t>
  </si>
  <si>
    <t xml:space="preserve"> 1.)	37	sacks	Chicken Grower Crumble</t>
  </si>
  <si>
    <t xml:space="preserve"> 1.)	1	set	Piston ring (STD)		</t>
  </si>
  <si>
    <t xml:space="preserve"> https://drive.google.com/file/d/19oJHC3yHdcb2t3du9g_UviCQQYgpk6pZ/view?usp=drivesdk</t>
  </si>
  <si>
    <t xml:space="preserve"> Procuring Entity: Barangay La Medalla, Baao, Cam. SUr</t>
  </si>
  <si>
    <t xml:space="preserve"> https://drive.google.com/file/d/1awNoRtD0ijhtkazHLN4WSIHrlrzSXNyM/view?usp=drivesdk</t>
  </si>
  <si>
    <t xml:space="preserve"> BID TENDER											</t>
  </si>
  <si>
    <t xml:space="preserve"> 1 JO General repair of aircon malfunction of one (1) unit Ford Ranger with the following scope of works:		</t>
  </si>
  <si>
    <t xml:space="preserve"> https://drive.google.com/file/d/1kOjii8Jn0ZS6AzhvmDJ2BFLNMkWRd4gU/view?usp=drivesdk https://drive.google.com/file/d/1yj_t7LSZPjcl1jowrB_CIVYBH5xc3sQ7/view?usp=drivesdk</t>
  </si>
  <si>
    <t xml:space="preserve"> https://drive.google.com/file/d/1TUYkxg9UHGSGQxQdHIU8BgwmUFIwUrZu/view?usp=drivesdk</t>
  </si>
  <si>
    <t xml:space="preserve"> Please download associated component/s</t>
  </si>
  <si>
    <t xml:space="preserve"> SALINTUBIG</t>
  </si>
  <si>
    <t xml:space="preserve"> Bidding will set by BAC upon submission of COA request</t>
  </si>
  <si>
    <t xml:space="preserve"> none</t>
  </si>
  <si>
    <t xml:space="preserve"> further information from the Barangay Poblacion, Sibonga Cebu and inspect the Bidding Documents or one may call the Secretariat at (032) 486-9030 / 09309383186 from Monday to Friday 8:00 A.M to 5:00 P.M.</t>
  </si>
  <si>
    <t xml:space="preserve"> ADDITIONAL REQUIREMENTS TO BE COMPLIED ON THE PROCUREMENT OF MEDICINE:</t>
  </si>
  <si>
    <t xml:space="preserve"> Note:  	</t>
  </si>
  <si>
    <t xml:space="preserve"> A complete set of Bidding Documents may be acquired by interested bidders on AUGUST 17, 2020 to SEPTEMBER 8,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</si>
  <si>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unit	PASSENGER VAN (for conversion into an ambulance and fitted with necessary medical equipment and apparatus)</t>
  </si>
  <si>
    <t xml:space="preserve"> INVITATION TO BID FOR PMMA CADETS UNIFORMS </t>
  </si>
  <si>
    <t xml:space="preserve"> HON. ROMEO F. ALBERCA </t>
  </si>
  <si>
    <t xml:space="preserve"> ATTACHED POW</t>
  </si>
  <si>
    <t xml:space="preserve"> INVITATION TO BID FOR</t>
  </si>
  <si>
    <t xml:space="preserve"> For more information, please see or contact the BAC Members of LGU-Magallanes, Sorsogon.</t>
  </si>
  <si>
    <t xml:space="preserve"> BID TENDER												</t>
  </si>
  <si>
    <t xml:space="preserve"> To be Open on September 2,2020 at Barangay Hall at 2:00pm.</t>
  </si>
  <si>
    <t xml:space="preserve"> For more information please visit or contact the BAC Secretariat at Brgy Sta Catalina, La Libertad Z.N</t>
  </si>
  <si>
    <t xml:space="preserve"> Deliver with in 5 days after awarding</t>
  </si>
  <si>
    <t xml:space="preserve"> https://drive.google.com/file/d/17SGmoB-hcY6RCBxQMfb49Orx_LcRhoCG/view?usp=drivesdk</t>
  </si>
  <si>
    <t xml:space="preserve"> The requested project nor materials is to developed the specific said area.</t>
  </si>
  <si>
    <t xml:space="preserve"> Other details, visit BAC Office at Multi Purpose Hall, Brgy. San Roque, Alaminos City, Pangasinan</t>
  </si>
  <si>
    <t xml:space="preserve"> 1.   A complete set of Bidding Documents may be purchased by interested Bidders from the address below starting on August 17, 2020 and upon payment of a nonrefundable fee for the Bidding Documents in the amount of Five Hundred Pesos (P500.00) at the Municipal Treasury Office, Amdalao, Guinaang, Pasil, Kalinga.   					</t>
  </si>
  <si>
    <t xml:space="preserve"> Please visit BAC Office of Baranagay Payag at Barangay Hall</t>
  </si>
  <si>
    <t xml:space="preserve"> https://drive.google.com/file/d/1v_AaGlyoWy23AA9kQzYOXfUtLxD8_Svs/view?usp=drivesdk</t>
  </si>
  <si>
    <t xml:space="preserve"> The winning bidder will deliver the Goats at the designated area at Alabel, Sarangani Province.</t>
  </si>
  <si>
    <t xml:space="preserve"> e mail your quotation only to ptmendiola22@yahoo.com.  supply and delivery of digital duplicator payable in installment basis until november 30,2020</t>
  </si>
  <si>
    <t xml:space="preserve"> https://drive.google.com/file/d/1i5WrY1kUC4uPgVn0VaKgqT2uIxtw9_SM/view?usp=drivesdk</t>
  </si>
  <si>
    <t xml:space="preserve"> Submission of Bids before 10 a.m. of August 26, 2020</t>
  </si>
  <si>
    <t xml:space="preserve"> 2</t>
  </si>
  <si>
    <t xml:space="preserve"> 3	unit  Medical Ambulance				</t>
  </si>
  <si>
    <t xml:space="preserve"> Deadline of Submission of BIDDING DOCUMENTS SEPTEMBER 9 2020 10:00AM</t>
  </si>
  <si>
    <t xml:space="preserve"> THE SUPPLIER MUST DOWNLOAD THE ATTACHED DOCUMENTS IN THE ASSOCIATED COMPONENTS.</t>
  </si>
  <si>
    <t xml:space="preserve"> https://drive.google.com/file/d/17-XO7XvDxsDjYd8FjArxZ3mrrPilAWti/view?usp=drivesdk</t>
  </si>
  <si>
    <t xml:space="preserve"> https://drive.google.com/file/d/1V9HjLSBDYLdLMf9wwxsN6y1GvNdbmAKx/view?usp=drivesdk</t>
  </si>
  <si>
    <t xml:space="preserve"> https://drive.google.com/file/d/16jr1fgaNc1XAivn1yXeOd5qxukIb4Uxd/view?usp=drivesdk</t>
  </si>
  <si>
    <t xml:space="preserve"> https://drive.google.com/file/d/1mf32NJUOrxg8EUB4QhKlRZV8HDRPthFY/view?usp=drivesdk</t>
  </si>
  <si>
    <t xml:space="preserve"> Please visit the BSP website for complete set of bidding documents or you may request thru email at ubaldomc@bsp.gov.ph.</t>
  </si>
  <si>
    <t xml:space="preserve"> https://drive.google.com/file/d/1IIAascXE-Ba4R6WhoiGVjKEuBtXFoBSZ/view?usp=drivesdk</t>
  </si>
  <si>
    <t xml:space="preserve"> Please see associated files attached.</t>
  </si>
  <si>
    <t xml:space="preserve"> • Similar Contracts:Supply and Delivery of Diesel / Bunker Generating Sets or Mechanical and/or Electrical Parts / Components / Equipment for Diesel Generating Sets</t>
  </si>
  <si>
    <t xml:space="preserve"> • Similar Contracts: Lease of Modular Diesel Generating Sets or Operation and Maintenance (O &amp; M) of Diesel Generating Sets</t>
  </si>
  <si>
    <t xml:space="preserve"> https://drive.google.com/file/d/1nh1gZiicwz7zgaYXa35vgLtMGcdo6NWy/view?usp=drivesdk</t>
  </si>
  <si>
    <t xml:space="preserve"> https://drive.google.com/file/d/1gxLjyD4JRo8sJQpFlF1xJdZWrbJH3Kr0/view?usp=drivesdk</t>
  </si>
  <si>
    <t xml:space="preserve"> https://drive.google.com/file/d/1yvkqkRzjj-lDmhn2xb14kaUTF1qM6tbw/view?usp=drivesdk</t>
  </si>
  <si>
    <t xml:space="preserve"> PLEASE SEE ATTACHED ASSOCIATED COMPONENT</t>
  </si>
  <si>
    <t xml:space="preserve"> 1 LOT</t>
  </si>
  <si>
    <t xml:space="preserve"> https://drive.google.com/file/d/1k_cVMCbTAgE09B4zA9IL-YLOtSYov08R/view?usp=drivesdk</t>
  </si>
  <si>
    <t xml:space="preserve"> GRAVELG</t>
  </si>
  <si>
    <t xml:space="preserve"> Below is the link of the Bidding Document for this Project.</t>
  </si>
  <si>
    <t xml:space="preserve"> Please copy the link below and paste it on new tab:</t>
  </si>
  <si>
    <t xml:space="preserve"> https://drive.google.com/file/d/1l64ha01EhjYxQEKVR0n0je1g0tT3c5gr/view?usp=drivesdk</t>
  </si>
  <si>
    <t xml:space="preserve"> For pre-bid conference:</t>
  </si>
  <si>
    <t xml:space="preserve"> For the pre-bid conference:</t>
  </si>
  <si>
    <t xml:space="preserve"> Use for Completion of 270 m. Drainage System w/ Cover along Mabini Street</t>
  </si>
  <si>
    <t xml:space="preserve"> For inquiry proceed to Barangay Hall at Barangay Panghayaan Taysan Batangas</t>
  </si>
  <si>
    <t xml:space="preserve"> For inquiry proceed to barangay hall of Barangay Panghayaan Taysan Batangas</t>
  </si>
  <si>
    <t xml:space="preserve"> Use for Construction of Fermentation Box (5-units per, ladder type)</t>
  </si>
  <si>
    <t xml:space="preserve"> Please refer to the attached bidding document for reference</t>
  </si>
  <si>
    <t xml:space="preserve"> Mr. RUEL C. DE LOYOLA</t>
  </si>
  <si>
    <t xml:space="preserve"> For use in the Operation of Water System</t>
  </si>
  <si>
    <t xml:space="preserve"> https://drive.google.com/file/d/16p5UoQJTkfVoUEPrKdbrMAsttmsPEvF0/view?usp=drivesdk</t>
  </si>
  <si>
    <t xml:space="preserve"> https://drive.google.com/file/d/14vUfEGJjhLlxMtRxsDi04hwdKgPoHTRC/view?usp=drivesdk</t>
  </si>
  <si>
    <t xml:space="preserve"> The DepED- Balabac National High School reserves the right to reject any and all bids, declare a failure of bidding, not award the contract(s), or annul the bidding process without thereby incurring any liability to the affected bidder or bidders.</t>
  </si>
  <si>
    <t xml:space="preserve"> BARANGAY RITAGLENDA, BASILISA, DINAGAT ISLANDS</t>
  </si>
  <si>
    <t xml:space="preserve"> NOTE TO PROSPECTIVE BIDDER/SUPPLIER</t>
  </si>
  <si>
    <t xml:space="preserve"> Pre-Bid Conference - August 20, 2020 at 2:00 PM</t>
  </si>
  <si>
    <t xml:space="preserve"> NOTICE TO PROSPECTIVE BIDDER/SUPPLIER</t>
  </si>
  <si>
    <t xml:space="preserve"> https://drive.google.com/file/d/11KyUJM2cd0B8YurCq47RFEoj_JerEUsh/view?usp=drivesdk</t>
  </si>
  <si>
    <t xml:space="preserve"> https://drive.google.com/file/d/1UdDAgDKJ7AJktyXtYABEe84zqiIGi6zO/view?usp=drivesdk</t>
  </si>
  <si>
    <t xml:space="preserve"> Opening of Bids: September 4, 2020</t>
  </si>
  <si>
    <t xml:space="preserve"> Bidding requirements of non-refundable in the amount of P10, 000.00</t>
  </si>
  <si>
    <t xml:space="preserve"> Bidders must download the attached document in the associated component.</t>
  </si>
  <si>
    <t xml:space="preserve"> https://drive.google.com/file/d/1PnFpLr3qmEEt_Rxz4J4y-3EqGwEGF3eC/view?usp=drivesdk</t>
  </si>
  <si>
    <t xml:space="preserve"> THE SUPPLIER MUST DOWNLOAD THE ATTACHED DOCUMENTS IN THE ASSOCIATED COMPONENT.</t>
  </si>
  <si>
    <t xml:space="preserve"> A complete set of Bidding Documents may be acquired by interested Bidders on August 17, 2020 from the address below and upon payment of the applicable fee for the Bidding Documents, pursuant to the latest Guidelines issued by the GPPB, in the amount of One Thousand Pesos (Php500.00).</t>
  </si>
  <si>
    <t xml:space="preserve"> 1	unit	Brand New Small Bulldozer				</t>
  </si>
  <si>
    <t xml:space="preserve"> For 1 Sanitary Toilet</t>
  </si>
  <si>
    <t xml:space="preserve"> ITEM No.	QTY.	UNIT	DESCRIPTION				</t>
  </si>
  <si>
    <t xml:space="preserve"> 1	unit	Wheeled Backhoe				</t>
  </si>
  <si>
    <t xml:space="preserve"> ITB, Bidding Documents and RFQ can be download in the Associated Components.</t>
  </si>
  <si>
    <t xml:space="preserve"> Pre-bid conference will be on August 24, 2020, 2:00 pm at MPDO, Municipal Hall, Sibulan, Negros Oriental and opening of bids will be on September 7, 2020, 2:00 pm at the same venue.</t>
  </si>
  <si>
    <t xml:space="preserve"> https://drive.google.com/file/d/1VyjTa07vzGdPihWPkz7N51pgCsLzGDqs/view?usp=drivesdk</t>
  </si>
  <si>
    <t xml:space="preserve"> For online conferences, webinars, and encoding and submission of reports though email.</t>
  </si>
  <si>
    <t xml:space="preserve"> For reproduction of    Instructional Materials (IMS) Manukan I District</t>
  </si>
  <si>
    <t xml:space="preserve"> Schedule of Activities:</t>
  </si>
  <si>
    <t xml:space="preserve"> https://drive.google.com/file/d/1CGdtHGJAcIjcYH3YXhCby4bCJ0cie2XR/view?usp=drivesdk</t>
  </si>
  <si>
    <t xml:space="preserve"> Please see attached ITB and Bid Documents</t>
  </si>
  <si>
    <t xml:space="preserve"> FIRST ENVELOPE (ELIGIBILITY &amp; TECHNICAL COMPONENTS) </t>
  </si>
  <si>
    <t xml:space="preserve"> FOR MORE INFORMATION AND DETAILS, PLEASE CONTACT BRGY. NAPNAPAN NORTE BIDS AND AWARDS COMMITTEE, BRGY. NAPNAPAN NORTE HALL C/O BRGY. SECRETARY CECILIA CAIN WITH CELLPHONE NO. </t>
  </si>
  <si>
    <t xml:space="preserve"> 1.	Availability of Request for Quotation (RFQ) Form is on August 17, 2020 until 5:00 pm of August 25, 2020 (working days only).</t>
  </si>
  <si>
    <t xml:space="preserve"> BIDDER MUST DOWNLOAD THE ATTACHED DOCUMENT IN THE ASSOCIATED COMPONENT SECTION.</t>
  </si>
  <si>
    <t xml:space="preserve"> 1.	Issuance of bid documents is on August 15, 2020 until 9:00 am of August 26, 2020 (working days only).</t>
  </si>
  <si>
    <t xml:space="preserve"> Please see attached Documents.</t>
  </si>
  <si>
    <t xml:space="preserve"> https://drive.google.com/file/d/1sLqyUxKYsQBue8FEWSMGf_e4zjrmuGCZ/view?usp=drivesdk</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</si>
  <si>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</si>
  <si>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For more information, please call the BAC Secretariat Section Office at telephone nos. 8522-7252 / 5335-1777 or 87 loc. 397.</t>
  </si>
  <si>
    <t xml:space="preserve"> Please check/see other associated components.</t>
  </si>
  <si>
    <t xml:space="preserve"> Prospective bidders should have the experience in undertaking a similar contract within the last five ( 5 ) years .Bidding will be conducted through open competitive bidding procedures using a non-discretionary “Pass/fail “criterion as specified under Implementing Rules and Regulations of R.A.9184 otherwise known as the “Government Procurement Reform Act”</t>
  </si>
  <si>
    <t xml:space="preserve"> Please email us on macalinaoelementaryschool@gamail.com for more information.</t>
  </si>
  <si>
    <t xml:space="preserve"> ITB20-08-032A</t>
  </si>
  <si>
    <t xml:space="preserve"> No responsive bid received.</t>
  </si>
  <si>
    <t xml:space="preserve"> ITB20-08-032B</t>
  </si>
  <si>
    <t xml:space="preserve"> Criselle Mhae Hilario Rele</t>
  </si>
  <si>
    <t xml:space="preserve"> BAC Office, LGU-Leon B. Postigo, Z.N.</t>
  </si>
  <si>
    <t xml:space="preserve"> Labor by administration</t>
  </si>
  <si>
    <t xml:space="preserve"> Also available in DPWH Website. Thank you.</t>
  </si>
  <si>
    <t xml:space="preserve"> SUPPLIERS/ BIDDERS MUST DOWNLOAD THE ATTACHED DOCUMENT IN ASSOCIATED COMPONENT SECTION.</t>
  </si>
  <si>
    <t xml:space="preserve"> https://drive.google.com/file/d/13dKt6Pr5dzpoN75h9LT_moss6yfWE-EB/view?usp=drivesdk</t>
  </si>
  <si>
    <t xml:space="preserve"> BAC ACTIVITIES	SCHEDULE</t>
  </si>
  <si>
    <t xml:space="preserve"> ELIGIBILITY CHECK REQUIREMENTS FOR THE PROCUREMENT OF GOODS</t>
  </si>
  <si>
    <t xml:space="preserve"> for furthers information please see attached and link of bidding document or contact BAC Secretariat.</t>
  </si>
  <si>
    <t xml:space="preserve"> See Attachment</t>
  </si>
  <si>
    <t xml:space="preserve"> for further information please see attached and link of bidding documents or contact BAC Secretariat.</t>
  </si>
  <si>
    <t xml:space="preserve"> 1. Pre-Bid Conference: August 24, 2020, 2:00PM at the Municipal Conference Hall, Galimuyod, Ilocos Sur.</t>
  </si>
  <si>
    <t xml:space="preserve"> Bidding Documents will be available to prospective bidders who will purchase the bidding Documents to the office of the Muncipal Treasurer of the Local Government Unit of Magpet</t>
  </si>
  <si>
    <t xml:space="preserve"> Bidding documents will be available to prospective Bidders who will purchase the bidding Documents to the office of the Municipal Treasurer of the LOcal Government Unit of Magpet</t>
  </si>
  <si>
    <t xml:space="preserve"> Pls see attached TOR (S1-CAT20-007)</t>
  </si>
  <si>
    <t xml:space="preserve"> Bid Opening on August 26, 2020 at 9:00A.M. at the Municipal Function Hall</t>
  </si>
  <si>
    <t xml:space="preserve"> PR 0086-20 (P181,650.00)</t>
  </si>
  <si>
    <t xml:space="preserve"> PLEASE COPY AND PASTE IN THE BROWSER THE LINK BELOW TO VIEW RFQ OR CANVASS:</t>
  </si>
  <si>
    <t xml:space="preserve"> PR 0095-20 (P604,060.00)</t>
  </si>
  <si>
    <t xml:space="preserve"> The ERC now invites suppliers to submit their best offer or quotation for the contract which must be delivered in a sealed envelope to:</t>
  </si>
  <si>
    <t xml:space="preserve"> Bid Opening shall be on August 25, 2020 @ 09:30 AM at the Conference Room, Office of the Mayor, 2/f Municipal Hall Building, Municipal Compound, Brgy. Poblacion, Calintaan, Occ. Mindoro.</t>
  </si>
  <si>
    <t xml:space="preserve"> Bidding is on September 4, 2020 at 10:00 AM at the Conference Hall, Siniloan Municipal Hall</t>
  </si>
  <si>
    <t xml:space="preserve"> Bidding is on September 4, 2020 at 10:00 AM at the Conference Hall, Siniloan Municipal Office</t>
  </si>
  <si>
    <t xml:space="preserve"> YOU CAN CONTACT THE SECRETARIAT DURING OFFICE HOURS</t>
  </si>
  <si>
    <t xml:space="preserve"> https://drive.google.com/file/d/1-tCg9xke2RyC3Rplf5zrTgTT_y5I2Nnf/view?usp=drivesdk</t>
  </si>
  <si>
    <t xml:space="preserve"> Bidding Documents will be available to prospective bidders who will purchase the bidding documents from the office of the Municipal Treasurer of the Local Government Unit of Magpet..</t>
  </si>
  <si>
    <t xml:space="preserve"> 8.For further information, please refer to:</t>
  </si>
  <si>
    <t xml:space="preserve"> kindly download the attached bidding documents for requirements and specifications.</t>
  </si>
  <si>
    <t xml:space="preserve"> Kindly see the specification</t>
  </si>
  <si>
    <t xml:space="preserve"> Bidding Documents amount is Php 500.00.</t>
  </si>
  <si>
    <t xml:space="preserve"> Bidding Documents  amount is Php 1000.00.</t>
  </si>
  <si>
    <t xml:space="preserve"> Bid opening shall be on August 25, 2020; 09:30 A.M at the Conference Room, Office of the Mayor, 2/f building, Municipal Compound, Brgy. Poblacion, Calintaan, Occ. Mindoro.</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</si>
  <si>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</si>
  <si>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1.  1,800 pcs      Washable Face Mask (with LGU Logo) green/pink</t>
  </si>
  <si>
    <t xml:space="preserve"> 1. Pre-Bid Conference: August 24, 2020, 2:00PM at the Municipal Conference Hall, Galimuyod, Ilocos Sur</t>
  </si>
  <si>
    <t xml:space="preserve"> Implementation Arrangement pls. contact: JUDITTE L. ASUNCION</t>
  </si>
  <si>
    <t xml:space="preserve"> Pre-Bid Conference  - August 26, 2020, 9:30 A.M. at ABc Conference Room, Municipal Hall Building, Lingayen, Pangasinan</t>
  </si>
  <si>
    <t xml:space="preserve"> SOURCE OF FUND: SB 2 -2020</t>
  </si>
  <si>
    <t xml:space="preserve"> Mayors per</t>
  </si>
  <si>
    <t xml:space="preserve"> ttps://drive.google.com/file/d/1B7PpofML3-gSQXsaQjQ3sEVGXpd1UwYp/view?usp=drivesdk</t>
  </si>
  <si>
    <t xml:space="preserve"> Instruction to Bidders:</t>
  </si>
  <si>
    <t xml:space="preserve"> THOMAS ADRIAN GRIARTE</t>
  </si>
  <si>
    <t xml:space="preserve"> to be delivered on site</t>
  </si>
  <si>
    <t xml:space="preserve"> Suppliers must download the attached document in the associated component section, or you may also download the attachments at the OSG website : www.osg.gov.ph</t>
  </si>
  <si>
    <t xml:space="preserve"> 1. Issuance of Bid Documents August 17 to August 31, 2020 9:00 AM</t>
  </si>
  <si>
    <t xml:space="preserve"> ITEM NO.	UNIT	ITEM &amp; DESCRIPTION	QTY.</t>
  </si>
  <si>
    <t xml:space="preserve"> The Works consists of Concreting of 291 , long x 4.00m wide x 0.20m THK and 190.85m long x 6.10m wide by 0.20m thk plain PCCP Provincial Road; Provision of 18.0m (92.60cu.m.) stone masonry headwall catch basin &amp; apron and laying of 25 l.m ø910mm RCPC.</t>
  </si>
  <si>
    <t xml:space="preserve"> The BAC will use NON-DISCRETIONARY PASS/FAIL CRITERIA in the Eligibility Check/Screening as well as the Preliminary Examination of Bids.  The BAC will conduct post-qualification of the lowest calculated bid.</t>
  </si>
  <si>
    <t xml:space="preserve"> The Works consists of Provision of 82.5 l.m. stone masonry slope protection structure, 9 l.m headwall, 2-units apron, 2-units catch basin, 29.3 l.m. reinforced concrete canal lining and 24 l.m. 910mmø RCPC.</t>
  </si>
  <si>
    <t xml:space="preserve"> https://drive.google.com/file/d/1Pl9M4DgRWJbtlKF3BeBiAM9F_hqZ1tw-/view?usp=drivesdk</t>
  </si>
  <si>
    <t xml:space="preserve"> The Works consists of Provision of 61.00 l.m. grouted riprap, 61.00 l.m. rubble concrete, 36.2 l.m. stone masonry slope protection structure, 149 l.m. curb &amp; gutter and 246.2 l.m. concrete shoulder.</t>
  </si>
  <si>
    <t xml:space="preserve"> BID OPENING: SEPTEMBER 2, 2020  1:00 PM   BAC OFFICE, MUNICIPAL HALL, STA. MARCELA, APAYAO</t>
  </si>
  <si>
    <t xml:space="preserve"> https://drive.google.com/file/d/1cZcyIkZMOfx-VNwRJRk40ikyRCAeHHwf/view?usp=drivesdk</t>
  </si>
  <si>
    <t xml:space="preserve"> The Works consists of Provision of One pc. Ø910mm RCPC with 38 l.m. (388.46 cu.m.) rubble concrete protection structure, 12.20 lm. (35.41 cu.m.) stone masonry headwall &amp; slope protection structure, 40 l.m. 88.0cu.m.) Gabion w/ mattress bedding and 5.70 l.m. (4.42 cu.m.) Grouted Riprap spillway flooring.</t>
  </si>
  <si>
    <t xml:space="preserve"> FOR MORE INFORMATION AND DETAILS, PLEASE CONTACT BRGY. NAPNAPAN NORTE BIDS AND AWARDS COMMITTEE, BRGY. NAPNAPAN NORTE HALL C/O BRGY. SECRETARY CECILIA CAIN WITH CELLPHONE NO.</t>
  </si>
  <si>
    <t xml:space="preserve"> https://drive.google.com/file/d/1d62RiLDkVsQcxJA6Qiba0ku7Q2EeXLT-/view?usp=drivesdk</t>
  </si>
  <si>
    <t xml:space="preserve"> TO DOWNLOAD THE BIDDING DOCUMENTS, KINDLY FOLLOW THE LINK BELOW:</t>
  </si>
  <si>
    <t xml:space="preserve"> • PR Nos.: S3-MOD20-018, S4-PIC20-018, S4-WMG20-003, HO-PAW20-007 </t>
  </si>
  <si>
    <t xml:space="preserve"> https://drive.google.com/file/d/1Rx_4rolo6cWWZ0TgSB-chXcIT7chRNu3/view?usp=drivesdk</t>
  </si>
  <si>
    <t xml:space="preserve"> https://drive.google.com/file/d/1ohc_cz5sSEFUnaET6l-xqJ34IND0tNQW/view?usp=drivesdk</t>
  </si>
  <si>
    <t xml:space="preserve"> https://drive.google.com/file/d/14yUYvunYvOJd65SetxE1FuoCLvUVfJft/view?usp=drivesdk</t>
  </si>
  <si>
    <t xml:space="preserve"> 1	328	boxes	Azithromycin 3's/box	</t>
  </si>
  <si>
    <t xml:space="preserve"> Interested bidders must download the bidding documents in this link:</t>
  </si>
  <si>
    <t xml:space="preserve"> https://drive.google.com/file/d/1Xq-6qxFJK5PJ_Npl80SMeSxmDKAcypYS/view?usp=drivesdk</t>
  </si>
  <si>
    <t xml:space="preserve"> https://drive.google.com/file/d/1c9gW3SQ8g4DqJ2Sr-3_Kp9bHlEMh40TR/view?usp=drivesdk</t>
  </si>
  <si>
    <t xml:space="preserve"> BAC Activity Schedule:</t>
  </si>
  <si>
    <t xml:space="preserve"> for more information just contact barangay secretariat of Barangay Linobayan Tigbauan, Iloilo</t>
  </si>
  <si>
    <t xml:space="preserve"> https://drive.google.com/file/d/1wmy4fRHuJWFihZWo5NGT6_ygDj0OavJE/view?usp=drivesdk</t>
  </si>
  <si>
    <t xml:space="preserve"> Bidder must download the attached documents in Associated Components.</t>
  </si>
  <si>
    <t xml:space="preserve"> Issuance of Bid Documents  : 8:00AM - 5:00PM August 13, 2020 to 8:00AM - 09:30AM, September 02, 2020</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</si>
  <si>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</si>
  <si>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https://drive.google.com/file/d/1XON-fMntV6Zx72-NN9u5Dw5KwDuUPSYy/view?usp=drivesdk</t>
  </si>
  <si>
    <t xml:space="preserve"> Equipment Requirement:</t>
  </si>
  <si>
    <t xml:space="preserve"> The BAC is conducting the public bidding for this Contract in accordance with the 2016 Revised IRR of RA 9184.</t>
  </si>
  <si>
    <t xml:space="preserve"> 1.	Bidders should have completed a contract similar to the Project. The description of an eligible bidder is contained in the Bidding Documents, particularly, in Section 2. Instructions to Bidders.</t>
  </si>
  <si>
    <t xml:space="preserve"> A complete set of bidding document may be purchased by interested bidders on August 13, 2020 to September 01, 2020 from the address below upon payment of a non-refundable fee for the bidding documents in the amount of P500.00</t>
  </si>
  <si>
    <t xml:space="preserve"> 2	pcs 	Panel Door - 0.80 x 2.10 Solid Core</t>
  </si>
  <si>
    <t xml:space="preserve"> Please Contact BAC Sec at</t>
  </si>
  <si>
    <t xml:space="preserve"> Contact:</t>
  </si>
  <si>
    <t xml:space="preserve"> Item Number	Description	Quantity	Unit</t>
  </si>
  <si>
    <t xml:space="preserve"> Please Contact BAC Secretraiat @ </t>
  </si>
  <si>
    <t xml:space="preserve"> For Particulars: Inquire at the Bac Secretariat of Barangay San Rafael, Atimonan, Quezon</t>
  </si>
  <si>
    <t xml:space="preserve"> 1	Barber chair (Revolving)	Unit 	3		</t>
  </si>
  <si>
    <t xml:space="preserve"> • PR Nos.: S3-BAD20-013, S3-BAD20-011, S3-CTW20-023, S3-TAU20-003, S3-SIT20-001 </t>
  </si>
  <si>
    <t xml:space="preserve"> 1.	All interested bidders/suppliers may now submit Eligibility Documents and other documents.</t>
  </si>
  <si>
    <t xml:space="preserve"> Please use this link below for the bidding documents.</t>
  </si>
  <si>
    <t xml:space="preserve"> Qnty  Unit  Item Description</t>
  </si>
  <si>
    <t xml:space="preserve"> Please use this link blow for the bidding documents.</t>
  </si>
  <si>
    <t xml:space="preserve"> Please use link below for the bidding documents.</t>
  </si>
  <si>
    <t xml:space="preserve"> item no.           quantity                         unit of issue                        item/description</t>
  </si>
  <si>
    <t xml:space="preserve"> Opening of Bids: September 2, 2020</t>
  </si>
  <si>
    <t xml:space="preserve"> bring the following buying bid documents:</t>
  </si>
  <si>
    <t xml:space="preserve"> QUANTITY                        UNIT OF ISSUE               ITEM/DESCRIPTION</t>
  </si>
  <si>
    <t xml:space="preserve"> For further information about the project, please contact Brgy. Balirong through the given contact number.</t>
  </si>
  <si>
    <t xml:space="preserve"> For further information, please refer to:		</t>
  </si>
  <si>
    <t xml:space="preserve"> 1  lot Disinfection and Sanitization Services</t>
  </si>
  <si>
    <t xml:space="preserve"> 1	4	units	LED WORKLIGHT	</t>
  </si>
  <si>
    <t xml:space="preserve"> https://drive.google.com/file/d/18QOetMeShsT-McqJ8TLjvkAWx7Xeavke/view?usp=drivesdk</t>
  </si>
  <si>
    <t xml:space="preserve"> NOTE: WEAR FACE MASK AND OBSERVED SOCIAL DISTANCING DURING THE OPENING OF BIDS.</t>
  </si>
  <si>
    <t xml:space="preserve"> 1	COMPUTER DESKSTOP W/ ACCESSORIES	5 UNITS</t>
  </si>
  <si>
    <t xml:space="preserve"> https://drive.google.com/file/d/1QsIN0HApwULL8BF7Syoowqrn8xTu3NBo/view?usp=drivesdk</t>
  </si>
  <si>
    <t xml:space="preserve"> The Works consists of Fabrication of 1.20m x 1.00 thk signage and frame post.</t>
  </si>
  <si>
    <t xml:space="preserve"> The Works consists of Concreting of 103.00m long x 3.00 m wide x 0.15m thick PCCP Plain.</t>
  </si>
  <si>
    <t xml:space="preserve"> 100 unit Laptop</t>
  </si>
  <si>
    <t xml:space="preserve"> The Works consists of Concreting of 47.00m long x 3.00 m wide x 0.15m thick PCCP Plain.</t>
  </si>
  <si>
    <t xml:space="preserve"> The Works consists of IMPROVEMENT.</t>
  </si>
  <si>
    <t xml:space="preserve"> 20,000 pouch/box Fortified Powdered Milk Drink</t>
  </si>
  <si>
    <t xml:space="preserve"> The Works consists of Drilling of well, installation of water system/water lines.</t>
  </si>
  <si>
    <t xml:space="preserve"> 1. Submission of canvass on or before August 26, 2020 @ 2:00 P.M.</t>
  </si>
  <si>
    <t xml:space="preserve"> BIDDERS MUST BE FROM WITHIN THE PROVINCE OF ZAMBOANGA DEL NORTE AND MUST HAVE A PHYSICAL OFFICE WITHIN THE MENTIONED PROVINCE</t>
  </si>
  <si>
    <t xml:space="preserve"> The Works consists of Provision of 9.00 length by 7.475m wide Flat Slab Bridge, 20 pcs. Ø910mm RCPC with 11.28 l.m. (12.768 cu.m.) stone masonry headwall, 14.726 l.m. (27.51 cu.m.) stone masonry protection structure, 53.483 cu.m. stone masonry apron w/ buffle and sidewall , 818.52 cu.m. rubble concrete, 5.-0.13 cu.m. grouted riprap, concreting of 73.78 sq.m. x 0.20m thick reinforced PCCP and 6.0m long x 5.0m wide overflow bridge  (detour).</t>
  </si>
  <si>
    <t xml:space="preserve"> https://drive.google.com/file/d/1x8w4i1NoqROvvKnSi_qiBifWRTssDLZA/view?usp=drivesdk</t>
  </si>
  <si>
    <t xml:space="preserve"> The DPWH, MNDEO - BAC is conducting the public bidding for this Contract in accordance with Republic Act No. 9184 and its Implementing Rules and Regulations (IRR).</t>
  </si>
  <si>
    <t xml:space="preserve"> PRE-BID  :  AUGUST 20,2020 - 10:00 AM</t>
  </si>
  <si>
    <t xml:space="preserve"> https://drive.google.com/file/d/123dYgUWWra1jVZtOR6E2jydVfyxtXrEw/view?usp=drivesdk</t>
  </si>
  <si>
    <t xml:space="preserve"> For more information and details, please contact the BAC Secretariat</t>
  </si>
  <si>
    <t xml:space="preserve"> SUPPLY AND DELIVERY OF VARIOUS TOOLS AND MATERIALS FOR DEPW </t>
  </si>
  <si>
    <t xml:space="preserve"> https://drive.google.com/file/d/1J3H77gqfgvyjCtnrilDlnJQrNceBds8B/view?usp=drivesdk</t>
  </si>
  <si>
    <t xml:space="preserve"> The Works consists of Completion of 13.75m x 45.25m Ancillary Building with Water Tank.</t>
  </si>
  <si>
    <t xml:space="preserve"> For more details, please contact Barangay Captain Lucita B. Jumawan with her Mobile No. 09483388096.</t>
  </si>
  <si>
    <t xml:space="preserve"> https://drive.google.com/file/d/1rDvJEaV7FQlEf6hVADLkfr9O-IvP8Lt0/view?usp=drivesdk</t>
  </si>
  <si>
    <t xml:space="preserve"> https://drive.google.com/file/d/1WRkKTTaXFDFsRjX_B0XySdpFHRRaNZ8X/view?usp=drivesdk</t>
  </si>
  <si>
    <t xml:space="preserve"> The Works consists of Construction of 10.10m x 3.00m covered pathway.</t>
  </si>
  <si>
    <t xml:space="preserve"> 1. Submission of canvass on or before August 26, 2020 @2:00 P.M.</t>
  </si>
  <si>
    <t xml:space="preserve"> https://www.philgeps.gov.ph/GEPSNONPILOT/Tender/CreateNoticeStep2UI.aspx?RefID=7172697</t>
  </si>
  <si>
    <t xml:space="preserve"> https://drive.google.com/file/d/1GEc3ukuXshVHGYRh08wt7dS2kHWKwH2z/view?usp=drivesdk</t>
  </si>
  <si>
    <t xml:space="preserve"> https://drive.google.com/file/d/1--OIclOBMs1spPCzdt0bjFYYYunXmywt/view?usp=drivesdk</t>
  </si>
  <si>
    <t xml:space="preserve"> The Works consists of Construction of 7.50m x 12.80m health building.</t>
  </si>
  <si>
    <t xml:space="preserve"> 1	Submission of Letter of Intent						August 13-20,2020		</t>
  </si>
  <si>
    <t xml:space="preserve"> https://drive.google.com/file/d/1dbTjYx2lOpggbOrZcKTYVXoLdlAHBttj/view?usp=drivesdk</t>
  </si>
  <si>
    <t xml:space="preserve"> https://drive.google.com/file/d/1F7hzRvLIadnfda86GElhx0aTmbgEVIhu/view?usp=drivesdk</t>
  </si>
  <si>
    <t xml:space="preserve"> https://drive.google.com/file/d/1xcj33IBes2rN5XBk8K-pDMLKskf-m-1J/view?usp=drivesdk</t>
  </si>
  <si>
    <t xml:space="preserve"> https://drive.google.com/file/d/1_RJm3QSxiafjQhx2deerN3Eu-E3CnRqy/view?usp=drivesdk</t>
  </si>
  <si>
    <t xml:space="preserve"> https://drive.google.com/file/d/1xU9nleWVZpwUPTO4tbG21azzFZQxjsMb/view?usp=drivesdk</t>
  </si>
  <si>
    <t xml:space="preserve"> Bid Opening</t>
  </si>
  <si>
    <t xml:space="preserve"> Bidders must download the attached document in the associated component section.</t>
  </si>
  <si>
    <t xml:space="preserve"> Bids received in excess of the ABC shall be automatically rejected at bid opening.</t>
  </si>
  <si>
    <t xml:space="preserve"> 1. Submission of canvass on or before August 12, 2020 @ 2:00 P.M.</t>
  </si>
  <si>
    <t xml:space="preserve"> https://drive.google.com/file/d/1xO2cIiGOdywjn_S0Qin_Jj-L6Mdw2tWT/view?usp=drivesdk</t>
  </si>
  <si>
    <t xml:space="preserve"> BID OPENING: SEPTEMBER 1, 2020  1:00 PM   BAC OFFICE, MUNICIPAL HALL, STA. MARCELA, APAYAO</t>
  </si>
  <si>
    <t xml:space="preserve"> https://drive.google.com/file/d/1e8M0OoS2iQm-Hf5v09onN9FtC-xvGV-U/view?usp=drivesdk</t>
  </si>
  <si>
    <t xml:space="preserve"> Vehicles Specifications; Elf, 4 cylinder Engine, Six Wheelers, Six Studs @ 1,300,00.00 and Forklift 4.5 tons Cap. @ 500,000.00</t>
  </si>
  <si>
    <t xml:space="preserve"> INQUIRE AT BAC OFFICE, MUNICIPAL HALL, TAMBULIG, ZAMBOANGA DEL SUR</t>
  </si>
  <si>
    <t xml:space="preserve"> Schedule of Bidding Activities:</t>
  </si>
  <si>
    <t xml:space="preserve"> See the attached Technical and Special Conditions</t>
  </si>
  <si>
    <t xml:space="preserve"> N/A</t>
  </si>
  <si>
    <t xml:space="preserve"> 1.	https://drive.google.com/file/d/1Ehq8wU2mNRFmkSJaPGkq2FY-AZBSSnBA/view?usp=drivesdk</t>
  </si>
  <si>
    <t xml:space="preserve"> FOR MORE INFO AND CLARIFICATION, PLEASE SEE HEAD-BAC SECRETARIAT, ENGR. CATHERINE B. CAPILI AT ENGINEERING OFFICE (LGU-DULAG) FROM MONDAY TO FRIDAY (8:00 A.M. TO 5:00 P.M.)</t>
  </si>
  <si>
    <t xml:space="preserve"> 2.	https://drive.google.com/file/d/1GWtt4W_7H2_xH76rjZVVFZkUIOrcKcA5/view?usp=drivesdk</t>
  </si>
  <si>
    <t xml:space="preserve"> https://drive.google.com/file/d/1lkYpCTK0F8BSt7iqlenxPTck-BE8DlbQ/view?usp=drivesdk</t>
  </si>
  <si>
    <t xml:space="preserve"> 3.	https://drive.google.com/file/d/1LYr27ueqrN1q6E7b8GZFEEYtfCIvqogr/view?usp=drivesdk</t>
  </si>
  <si>
    <t xml:space="preserve"> FOR MORE INFO AND CLARIFICATION, SEE HEAD-BAC SECRETARIAT, ENGR. CATHERINE B. CAPILI AT ENGINEERING OFFICE (LGU DULAG) FROM MONDAY TO FRIDAY (8:00 A.M. TO 5:00 P.M.)</t>
  </si>
  <si>
    <t xml:space="preserve"> The Works consists of Provision of 288.25 lm. CHB Canal Lining 110.00l.m. concrete shoulder 58 l.m. stone masonry slope protection structure,14.4l.m. stone masonry headwall, 3 units catch basin, 3 units apron and 25 pcs ø910mm RCPC.</t>
  </si>
  <si>
    <t xml:space="preserve"> https://drive.google.com/file/d/1g_Qw6mwadC79nV0w5ToFfoJijLLdv0HZ/view?usp=drivesdk</t>
  </si>
  <si>
    <t xml:space="preserve"> https://drive.google.com/file/d/10Owj02g02ETl_q58wmviC7hxSWwPoAxg/view?usp=drivesdk</t>
  </si>
  <si>
    <t xml:space="preserve"> https://drive.google.com/file/d/1HXHfZx4Hc3Z0B70t8z_xfNnheefziIp1/view?usp=drivesdk</t>
  </si>
  <si>
    <t xml:space="preserve"> It will be appreciated if we can have your SEALED QUOTATION to be dropped at:</t>
  </si>
  <si>
    <t xml:space="preserve"> 1	1	unit	Turck mounted boom crane with manlift basket	</t>
  </si>
  <si>
    <t xml:space="preserve"> • Similar Contracts: Supply, Delivery, Installation, Configuration and Testing of Data Analytics License and/or enterprise application software</t>
  </si>
  <si>
    <t xml:space="preserve"> For inquiries you may contact the BAC Secretariat at (082) 227-4073/2463 local 1142 or 0923-7216533/0917-3156929/0999-8878095(call only) local 1142 Email address: proc_chd11@yahoo.com.ph</t>
  </si>
  <si>
    <t xml:space="preserve"> THE BAC WILL ISSUE PROSPECTIVE BIDDER BIDDING DOCUMENTS AT THE MUNICIPALITY OF BACOLOR, BACOLOR, PAMPANGA UPON THEIR PAYMENT OF A NON REFUNDABLE AMOUNT OF P 5,000.00 TO THE BAC SECRETARIAT, THE MUNICIPALITY OF BACOLOR ASSUMES NO RESPONSIBILITY WHATSOEVER TO COMPENSATE OR IDENTIFY BIDDERS FOR ANY EXPENSES INCURRED IN THE PREPARATION OF THEIR BIDS.</t>
  </si>
  <si>
    <t xml:space="preserve"> PLEASE COMPLY WITH THE SEALING OF ENVELOPS</t>
  </si>
  <si>
    <t xml:space="preserve"> For project survey of various CY 2020 BARMM - Regular Infra Projects (Month of August)</t>
  </si>
  <si>
    <t xml:space="preserve"> https://drive.google.com/file/d/1TgDjgEUbnDfvBrFYwE67eXYSiYZ5B4a0/view?usp=drivesdk</t>
  </si>
  <si>
    <t xml:space="preserve"> Proposed Seawall is funded by GOP through Local Government Support Fund of FY 2020</t>
  </si>
  <si>
    <t xml:space="preserve"> FOR MORE INFORMATION PLEASE CONTRACT ARLAINE M. DE VERA, BAC SECRETARIAT AT (075) 955-5862 OR EMAIL AT arlainemdevera@gmail.com</t>
  </si>
  <si>
    <t xml:space="preserve"> • Similar Contracts: Supply and delivery of various Personnel Protective Equipment (PPE) and/or any two (2) similar items under this contract</t>
  </si>
  <si>
    <t xml:space="preserve"> BILL OF QUANTITIES</t>
  </si>
  <si>
    <t xml:space="preserve"> BID FORM</t>
  </si>
  <si>
    <t xml:space="preserve"> https://drive.google.com/file/d/1hauPir2L9ow9hOyFy2BWn6M3LOgMtU5S/view?usp=drivesdk</t>
  </si>
  <si>
    <t xml:space="preserve"> Issuance of bid documents - August 12, 2020 to September 1, 2020</t>
  </si>
  <si>
    <t xml:space="preserve"> https://drive.google.com/file/d/1haSm5evaj4brV31HWbzXFAcq-P5Wsb9X/view?usp=drivesdk</t>
  </si>
  <si>
    <t xml:space="preserve"> https://drive.google.com/file/d/1YSGaS6_gOzBk9oq9XRwSQcdVKxjUraGi/view?usp=drivesdk</t>
  </si>
  <si>
    <t xml:space="preserve"> 1.         1 ROLL ACETATE, THICKNESS: 0.075MM MIN (GAUGE #3)</t>
  </si>
  <si>
    <t xml:space="preserve"> copy this link to google drive to download bidding documents:</t>
  </si>
  <si>
    <t xml:space="preserve"> https://drive.google.com/file/d/1ykPZHkx1tYfhKpKSLfKG9AYBWIO9UKAr/view?usp=drivesdk</t>
  </si>
  <si>
    <t xml:space="preserve"> copy this link to google drive to download bidding documens:</t>
  </si>
  <si>
    <t xml:space="preserve"> https://drive.google.com/file/d/10WDWviM4yNANVrvHAKOB8YPAOdjGCfQb/view?usp=drivesdk</t>
  </si>
  <si>
    <t xml:space="preserve"> • Similar Contracts: Supply, delivery, installation and test of outdoor, three phase Automatic Circuit Recloser / Breaker intended for 15kV and above</t>
  </si>
  <si>
    <t xml:space="preserve"> Note:  * Re-bid projects		</t>
  </si>
  <si>
    <t xml:space="preserve"> Please see attached Blank POW and Blank DE for reference.</t>
  </si>
  <si>
    <t xml:space="preserve"> https://drive.google.com/file/d/1AzkkDvMMCTi0LicZqOG3UHOyNZTMF16Y/view?usp=drivesdk</t>
  </si>
  <si>
    <t xml:space="preserve"> Manuel Marcos Sr., Mem. E/S, Barangay Bayani		</t>
  </si>
  <si>
    <t xml:space="preserve"> Pls. see attached PDF File.</t>
  </si>
  <si>
    <t xml:space="preserve"> 1 15 Pair attack shoes 5mm high cut 75,000.00 </t>
  </si>
  <si>
    <t xml:space="preserve"> https://drive.google.com/file/d/1CFyNkVrl5P8oXUnGfERm18bOvnUr5Y28/view?usp=drivesdk</t>
  </si>
  <si>
    <t xml:space="preserve"> Pls. see attached PDF file.</t>
  </si>
  <si>
    <t xml:space="preserve"> Lot No.	                                                         ABC per LOT Item             Amount of Bid Document</t>
  </si>
  <si>
    <t xml:space="preserve"> 1 3 Unit Circular Saw - with blades 30,000.00 </t>
  </si>
  <si>
    <t xml:space="preserve"> Bidding documents:</t>
  </si>
  <si>
    <t xml:space="preserve"> 1. Issuance of Bidding Documents	:	August 12, 2020 to September 02, 2020</t>
  </si>
  <si>
    <t xml:space="preserve"> Inclusion:</t>
  </si>
  <si>
    <t xml:space="preserve"> Please check links below to download Plan.</t>
  </si>
  <si>
    <t xml:space="preserve"> Please inquire at the Office of BAC Secretariat for more details.</t>
  </si>
  <si>
    <t xml:space="preserve"> FOR 2ND BIDDING</t>
  </si>
  <si>
    <t xml:space="preserve"> Allopurinol 100mg		2	bxs</t>
  </si>
  <si>
    <t xml:space="preserve"> Note: Please copy the link below and paste to the web browser for the attached set of Bidding Documents.</t>
  </si>
  <si>
    <t xml:space="preserve"> - All interested PCAB Licensed Contractors are advised to inquire at the Municipal Engineering Office for verification of plans, specifications, items of work and other matters pertaining to this procurement.</t>
  </si>
  <si>
    <t xml:space="preserve"> CHECKLIST OF REQUIREMENTS FOR BIDDERS</t>
  </si>
  <si>
    <t xml:space="preserve"> The Local Government Unit of Barangay Mambago-B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</si>
  <si>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https://drive.google.com/file/d/1rRNv1UTuhwloo3YbRJHehezN3ewB2W7e/view?usp=drivesdk</t>
  </si>
  <si>
    <t xml:space="preserve"> LINE ITEM DETAILS:</t>
  </si>
  <si>
    <t xml:space="preserve"> The Region II Trauma and Medical Center will be conducting the Negotiation on     August 19, 2020 at 2:00 PM at the MCC Conference Room, 2nd Floor Old Administration Building, Region II Trauma and Medical Center, Brgy. Magsaysay, Bayombong, Nueva Vizcaya.</t>
  </si>
  <si>
    <t xml:space="preserve"> 1	lot	Earthworks</t>
  </si>
  <si>
    <t xml:space="preserve"> Quantity		Unit 		Item Description	</t>
  </si>
  <si>
    <t xml:space="preserve"> Please download the Bidding Requirements using the links below:</t>
  </si>
  <si>
    <t xml:space="preserve"> Contact Person:  Ms. Antonina A. Alcachupas</t>
  </si>
  <si>
    <t xml:space="preserve"> INTERESTED BIDDERS MAY CONTACT MS. ANGELIKA T. LABAG,  BRGY. DATAL BILA SECRETARIAT OR MS. BELEN JICA @ TELEPHONE NUMBER 0948-8959422</t>
  </si>
  <si>
    <t xml:space="preserve"> For inquiries you may contact the BAC Secretariat at (082) 227-4073/2463 local 1142 or 0923-7216533/0917-3156929/0999-8878095(call only) local 1142</t>
  </si>
  <si>
    <t xml:space="preserve"> Please bring valid medical certificates upon attendance ( only certificates issued one week prior to the date of attendance are to be accepted)</t>
  </si>
  <si>
    <t xml:space="preserve"> Schedule of Bidding Activities</t>
  </si>
  <si>
    <t xml:space="preserve"> https://drive.google.com/file/d/125NgNt6keFjf5J28CsWVP_OeuNDtLPgd/view?usp=drivesdk</t>
  </si>
  <si>
    <t xml:space="preserve"> Please see the BAC Chairperson/Secretary for the Bidding Documents.</t>
  </si>
  <si>
    <t xml:space="preserve"> https://drive.google.com/file/d/11-agvtYPXyx3Wzi30HMVZCysakw35q3A/view?usp=drivesdk</t>
  </si>
  <si>
    <t xml:space="preserve"> https://drive.google.com/file/d/1QVp9e4GzrSb3c-StRdiOTjrJJSsIVj5l/view?usp=drivesdk</t>
  </si>
  <si>
    <t xml:space="preserve"> SOURCE OF FUND: 20% MDF CY 2020 &amp; SUPPLEMENTAL BUDGET CY 2019</t>
  </si>
  <si>
    <t xml:space="preserve"> https://drive.google.com/file/d/1p_NQoEFDx7_QndMj2MW53mOVIRgo6_j5/view?usp=drivesdk</t>
  </si>
  <si>
    <t xml:space="preserve"> SOURCE OF FUND: 20% MDF CY 2020</t>
  </si>
  <si>
    <t xml:space="preserve"> SOURCE OF FUND: SUPPLEMENTAL BUDGET CY 2019</t>
  </si>
  <si>
    <t xml:space="preserve"> Please call tel # (056) 333-6310 and look for BAC Secretariat or email at mmwd_1978@yahoo.com</t>
  </si>
  <si>
    <t xml:space="preserve"> ITB-PROPOSED REHABILITATION OF MULTI-PURPOSE HALL</t>
  </si>
  <si>
    <t xml:space="preserve"> Bid Opening on August 26, 2020 at 9:00A.M at the Municipal Function Hall</t>
  </si>
  <si>
    <t xml:space="preserve"> A complete set of bidding document may be purchased by interested bidders on August 11, 2020 to September 01, 2020 from the address below upon payment of a non-refundable fee for the bidding documents in the amount of P500.00</t>
  </si>
  <si>
    <t xml:space="preserve"> SALE OF DOCUMENTS: AUGUST 19 TO AUGUST 24, 2020 (8:30AM TO 4:30 P.M.)</t>
  </si>
  <si>
    <t xml:space="preserve"> For further information, please refer to the following:</t>
  </si>
  <si>
    <t xml:space="preserve"> 1 Collapsible Dryer 24	Unit 960,000.00</t>
  </si>
  <si>
    <t xml:space="preserve"> Contact Persons: Atty. Chery Sheil T. Valenzuela, Engr. June C. Caberoy</t>
  </si>
  <si>
    <t xml:space="preserve"> FOR MORE INFO AND CLARIFICATION, PLEASE SEE HEAD-BAC SECRETARIAT,  ENGR. CATHERINE B. CAPILI AT ENGINEERING OFFICE (LGU-DULAG) FROM MONDAY TO FRIDAY (8:00 A.M. TO 5:00 P.M.)</t>
  </si>
  <si>
    <t xml:space="preserve"> BIDDERS/SUPPLIER MUST DOWNLOAD THE ATTACHED DOCUMENTS IN THE ASSOCIATED SECTIONS.</t>
  </si>
  <si>
    <t xml:space="preserve"> ECCD (NCC)</t>
  </si>
  <si>
    <t xml:space="preserve"> https://drive.google.com/file/d/10qmpEiHGdSLWe-l0iC3t02nbmDWadgFj/view?usp=drivesdk</t>
  </si>
  <si>
    <t xml:space="preserve"> Procurement of One (1) unit of Vehicle for Administration and for Multipurpose use  of SK Barangay Magallanes </t>
  </si>
  <si>
    <t xml:space="preserve"> Bid Documents are available at the office of the Punong Barangay</t>
  </si>
  <si>
    <t xml:space="preserve"> Bid Documents are available at the Office of the Punong Barangay</t>
  </si>
  <si>
    <t xml:space="preserve"> https://drive.google.com/file/d/1AFGFLDMBl_AH6t-pCMVIVD4uFpX_bsul/view?usp=drivesdk</t>
  </si>
  <si>
    <t xml:space="preserve"> Schedule of Activities</t>
  </si>
  <si>
    <t xml:space="preserve"> https://drive.google.com/file/d/1R-QJPBTylaTSZKPhhmhNFdhqlc_moYaK/view?usp=drivesdk</t>
  </si>
  <si>
    <t xml:space="preserve"> BAC Schedule of Activities;</t>
  </si>
  <si>
    <t xml:space="preserve"> https://drive.google.com/file/d/1YAbafVqoO-6rTRHA7AOGLARNdLRPX8w_/view?usp=drivesdk</t>
  </si>
  <si>
    <t xml:space="preserve"> Bid documents are available at the office of the Punong Barangay</t>
  </si>
  <si>
    <t xml:space="preserve"> https://drive.google.com/file/d/1EiUVEHZMRjqjd2mSYIOLrn5R9cFeMTb1/view?usp=drivesdk</t>
  </si>
  <si>
    <t xml:space="preserve"> Details and other information will be discuss during pre-bid conference.</t>
  </si>
  <si>
    <t xml:space="preserve"> FOR HINO DUMP TRUCK: 1137, 1014, 1131, 1046, 1123, 1119, 1124, 1122, 1135, 1061, 1112, 1085, 1086, 1111, 1049, 1090, 1113, 1155, 1156, 1157		</t>
  </si>
  <si>
    <t xml:space="preserve"> https://drive.google.com/file/d/1t_GfhpS45YPMtY0diOEmF1Qyl8dy36tD/view?usp=drivesdk</t>
  </si>
  <si>
    <t xml:space="preserve"> Bidding Documents Alternative download link: https://drive.google.com/file/d/1SP7BAohhyU5GI4GAAAmXWgVHJNShfbq0/view?usp=drivesdk</t>
  </si>
  <si>
    <t xml:space="preserve"> 1	Supply and Delivery of Land Ambulance with Medical Equipment and Accessories (Repeat Order)</t>
  </si>
  <si>
    <t xml:space="preserve"> https://drive.google.com/file/d/1RmLJ6a4XgFavvAhEzanOQR92G4AOfgWD/view?usp=drivesdk</t>
  </si>
  <si>
    <t xml:space="preserve"> 1	Submission of Letter of Intent						August 11-17,2020		</t>
  </si>
  <si>
    <t xml:space="preserve"> https://drive.google.com/file/d/15ZlHlTCibaazC9YpX-RIUR_KqwHxQ16F/view?usp=drivesdk</t>
  </si>
  <si>
    <t xml:space="preserve"> https://drive.google.com/file/d/18BL24skvCoDUynutRpsB3xl42PA1n2X_/view?usp=drivesdk</t>
  </si>
  <si>
    <t xml:space="preserve"> Issuance of Bid Documents  : 8:00AM - 5:00PM August 11, 2020 to 8:00AM - 09:30AM, August 26, 2020</t>
  </si>
  <si>
    <t xml:space="preserve"> I.	DEMOLITION WORKS		</t>
  </si>
  <si>
    <t xml:space="preserve"> RENT TO OWN TO BE PAID FOR 12 MONTHS WITH AN AMOUNT OF 15,000 IN EVERY 30TH DAY OF THE MONTH.</t>
  </si>
  <si>
    <t xml:space="preserve"> All interested bidders must purchase bid document at Municipal Treasury Office together with the letter of intent before going to the BAC Office, 3rd floor, Municipal Bldg. Abatan, Buguias, Benguet from August 18, 2020 starting 3:00 PM - 4:00 PM.</t>
  </si>
  <si>
    <t xml:space="preserve"> NOTE:</t>
  </si>
  <si>
    <t xml:space="preserve"> Bidding Documents Alternative download link: https://drive.google.com/file/d/19fpsGzMtGG9No1OflFrALne21jCa2Nfw/view?usp=drivesdk</t>
  </si>
  <si>
    <t xml:space="preserve"> https://drive.google.com/file/d/1ICC-yPvj442SKxpPhx4GCdbz_3mJuoPU/view?usp=drivesdk</t>
  </si>
  <si>
    <t xml:space="preserve"> For further information, please contact Ms. JOCELYN A. FERNANDO, MPMG, SBAC Secretariat at 5238231-38 local 2469, National Bureau of Investigation, Taft Avenue, Ermita, Manila.</t>
  </si>
  <si>
    <t xml:space="preserve"> For reproduction of    Instructional Materials (IMS)</t>
  </si>
  <si>
    <t xml:space="preserve"> GUIDELINES:</t>
  </si>
  <si>
    <t xml:space="preserve"> Bidding Documents Alternative download link: https://drive.google.com/file/d/1x5U30FV4d1WBJxgOylnbSRnfbvyG-jyT/view?usp=drivesdk</t>
  </si>
  <si>
    <t xml:space="preserve"> Buyer: K.C. Lacatan</t>
  </si>
  <si>
    <t xml:space="preserve"> BID OPENING AUGUST 25, 2020 - 10:00AM AT MARIFOSQUE BGRY. HALL</t>
  </si>
  <si>
    <t xml:space="preserve"> PLEASE ACCESS THE LINK BELOW TO VIEW/DOWNLOAD THE BIDDING DOCUMENTS:</t>
  </si>
  <si>
    <t xml:space="preserve"> Bidding requirements/bid forms may be obtained, beginning August 13, 2020  from C.A. General Service upon payment of a non-refundable fee of P4,000.00.  Interested parties may get in touch with Ms. Weng Mirhan, BAC Secretariat at telephone no. 8834-2708.</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</si>
  <si>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</si>
  <si>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see attached Bidding Documents for more details.</t>
  </si>
  <si>
    <t xml:space="preserve"> 1 		15				Bottle				50gr Oral Glucose Tolerance Test													3,000.00	</t>
  </si>
  <si>
    <t xml:space="preserve"> 1 		100			Pack				 Sterile Gauze 4 x 4, 50s														16,500.00	</t>
  </si>
  <si>
    <t xml:space="preserve"> For quotation our official form is attach and downloadable. Send quotation at ncr.quezoncity@tesda.gov.ph.</t>
  </si>
  <si>
    <t xml:space="preserve"> A complete set of Bidding Documents may be acquired by interested bidders on AUGUST 10, 2020 to SEPTEMBER 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</si>
  <si>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Bidders must download the attached document to the associate  component section.</t>
  </si>
  <si>
    <t xml:space="preserve"> Bidders must download the attached documents to the associate component section.</t>
  </si>
  <si>
    <t xml:space="preserve"> 1	15	 canister 	Residual Peroxide Test Stips 100's	 30,000.00 </t>
  </si>
  <si>
    <t xml:space="preserve"> 1		2	Piece	3V Lithium Batteries		220.00</t>
  </si>
  <si>
    <t xml:space="preserve"> Please be informed that the bid documents cannot be downloaded from the website. It is non – electronic. </t>
  </si>
  <si>
    <t xml:space="preserve"> Bidder's must download the documents in the associated component section.</t>
  </si>
  <si>
    <t xml:space="preserve"> Please copy and paste the following URL into your web browser:</t>
  </si>
  <si>
    <t xml:space="preserve"> https://drive.google.com/file/d/1QTRjnuksvxzaUpNpKcl8dcI50OyeIhaB/view?usp=drivesdk</t>
  </si>
  <si>
    <t xml:space="preserve"> Please copy the link below and print for a copy of BIDDING DOCUMENT</t>
  </si>
  <si>
    <t xml:space="preserve"> attached Program of works</t>
  </si>
  <si>
    <t xml:space="preserve"> INTERESTED BIDDER MUST PRESENT A VALID COMPANY ID. FOR REPRESENTATIVE, PLEASE BRING VALID COMPANY ID OF THE PERSON BEING REPRESENTED, SPA, HIS/HER VALID ID AND DRL FOR THE PROJECT</t>
  </si>
  <si>
    <t xml:space="preserve"> ITB </t>
  </si>
  <si>
    <t xml:space="preserve"> INTERESTED BIDDER MUST PRESENT A VALID COMPANY ID. FOR REPRESENTATIVES, PLEASE BRING YOUR VALID ID, VALID COMPANY ID OF THE PERSON BEING REPRESENTED, SPA AND DRL FOR THE PROJECT</t>
  </si>
  <si>
    <t xml:space="preserve"> https://drive.google.com/file/d/1qoZ2ULzmjXYj0K1J38lqqtOe7cYwmWPe/view?usp=drivesdk</t>
  </si>
  <si>
    <t xml:space="preserve"> Bid document will be available on August 12, 2020 at the Cashier's office at 8:00am to 5:00Pm. Bid documents cost is 1000.00</t>
  </si>
  <si>
    <t xml:space="preserve"> For More Details Please Contact: Floro E. Bejona -BAC Chairman 09333123724</t>
  </si>
  <si>
    <t xml:space="preserve"> Use for the Implementation of 2017 Native Chicken production Project under SAAD program to be benefited by Sitio Bayol FA, Villaramos FA, Don Jose Aguirre FA, East Pob. FA, Patunan FA &amp; Piangon FA.</t>
  </si>
  <si>
    <t xml:space="preserve"> Submit LOI</t>
  </si>
  <si>
    <t xml:space="preserve"> Please see attached Specifications</t>
  </si>
  <si>
    <t xml:space="preserve"> A complete set of bidding document may be purchased by interested bidders on August 08, 2020 to September 01, 2020 from the address below upon payment of a non-refundable fee for the bidding documents in the amount of P500.00</t>
  </si>
  <si>
    <t xml:space="preserve"> To all interested bidder/s or representative/s please follow our Local Inter-Agency Task Force's protocol.</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</si>
  <si>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 </t>
  </si>
  <si>
    <t xml:space="preserve"> See attachments</t>
  </si>
  <si>
    <t xml:space="preserve"> Pre-Bid and Opening of Bids will be done through video conference. Bid submission is through online.</t>
  </si>
  <si>
    <t xml:space="preserve"> 1.00	  	L.S	Mobilization and Demobilization</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</si>
  <si>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</si>
  <si>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with Free Lifetime Service and has an authorized Service Center Based in Naga City, Camarines Sur. </t>
  </si>
  <si>
    <t xml:space="preserve"> BID DOCUMENT IS AVAILABLE AT THE BAC OFFICE DURING OFFICE HOUR.</t>
  </si>
  <si>
    <t xml:space="preserve"> THE BAC WILL ISSUE PROSPECTIVE BIDDER BIDDING DOCUMENTS AT THE MUNICIPALITY OF BACOLOR, BACOLOR, PAMPANGA UPON THEIR PAYMENT OF A NON REFUNDABLE AMOUNT OF P 1,000.00 TO THE BAC SECRETARIAT, THE MUNICIPALITY OF BACOLOR ASSUMES NO RESPONSIBILITY WHATSOEVER TO COMPENSATE OR IDENTIFY BIDDERS FOR ANY EXPENSES INCURRED IN THE PREPARATION OF THEIR BIDS.</t>
  </si>
  <si>
    <t xml:space="preserve"> https://drive.google.com/file/d/1d04MixEot8ZAJPCrJ0h_y7SMh4NfxcM9/view?usp=drivesdk</t>
  </si>
  <si>
    <t xml:space="preserve"> Bid opening shall be on August 27, 2020 at 9:00 A.M. at the Municipal Hall, Poblacion, Santa Fe, Romblon</t>
  </si>
  <si>
    <t xml:space="preserve"> https://drive.google.com/file/d/1AatwWOrxBnVdh2qJ41E86_yuBjp5zFbn/view?usp=drivesdk</t>
  </si>
  <si>
    <t xml:space="preserve"> Links to download the plans</t>
  </si>
  <si>
    <t xml:space="preserve"> https://drive.google.com/file/d/1WVMPo3Ik_hBGIojvC13Cy4UMAgZEzIQe/view?usp=drivesdk</t>
  </si>
  <si>
    <t xml:space="preserve"> 1.)	400	bags	Rice</t>
  </si>
  <si>
    <t xml:space="preserve"> Please download Invitation to Bid and Bid Documents</t>
  </si>
  <si>
    <t xml:space="preserve"> https://drive.google.com/file/d/1UYvUNmDViaiyy-3bhJNcngVBb-MMiAUr/view?usp=drivesdk</t>
  </si>
  <si>
    <t xml:space="preserve"> PLEASE SEE/READ AND AGREE TO THE ATTACHED TERMS OF REFERENCES.</t>
  </si>
  <si>
    <t xml:space="preserve"> FOR MORE INFO AND CLARIFICATION, PLEASE SEE HEAD-BAC SECRETARIAT, ENGR. CATHERINE B. CAPILI AT ENGINEERING OFFICE FROM MONDAY TO FRIDAY (8:00 A.M. TO 5:00 P.M.)</t>
  </si>
  <si>
    <t xml:space="preserve"> https://drive.google.com/file/d/13QO46KlXdUmRjpd_uYR1bmlULtrPQSON/view?usp=drivesdk</t>
  </si>
  <si>
    <t xml:space="preserve"> PLEASE SEE/READ AND AGREE TO THE ATTACHED TERMS OF REFERENCES</t>
  </si>
  <si>
    <t xml:space="preserve"> https://drive.google.com/file/d/1MW-n198UiKyIJxMdLDGnFTjKWxrH3vTx/view?usp=drivesdk</t>
  </si>
  <si>
    <t xml:space="preserve"> https://drive.google.com/file/d/1blg_bfibgfmyqM8xKLRkUkV95mVY4KmM/view?usp=drivesdk</t>
  </si>
  <si>
    <t xml:space="preserve"> Also available at DPWH website</t>
  </si>
  <si>
    <t xml:space="preserve"> Please see attached bidding document in associated component</t>
  </si>
  <si>
    <t xml:space="preserve"> Please see attached Bidding Document</t>
  </si>
  <si>
    <t xml:space="preserve"> • Similar Contracts: Supply, Delivery, Test and Commissioning of Diesel Power Generations Systems with aggregate output capacity of at least 5.0 MW e.</t>
  </si>
  <si>
    <t xml:space="preserve"> Cycle	Pills (branded)	1500</t>
  </si>
  <si>
    <t xml:space="preserve"> Stock	Unit	Item Description	Qty.</t>
  </si>
  <si>
    <t xml:space="preserve"> No.  unit     Description	                                       Qty.</t>
  </si>
  <si>
    <t xml:space="preserve"> Unit	Item Description	Qty.</t>
  </si>
  <si>
    <t xml:space="preserve"> 9.	For further information, please refer to:</t>
  </si>
  <si>
    <t xml:space="preserve"> ALL INTERESTED BIDDERS ARE REQUIRED TO SUBMIT THEIR COMPLETE ELIGIBILITY REQUIREMENTS TO THE BAC FOR EVALUATION DURING THE PRE-BID CONFERENCE ON AUGUST 14, 2020 1:00P.M. AT THE DASMARIÑAS COMMUNITY AFFAIRS (DASCA) BUILDING LOCATED AT BRGY. BUROL I, CITY OF DASMARIÑAS, CAVITE. BIDDERS WHO SHALL FAIL TO ATTEND THE PRE-BID SHALL NOT BE ALLOWED TO JOIN THE BIDDING FOR THE AFORESAID PROJECT. </t>
  </si>
  <si>
    <t xml:space="preserve"> stock         Unit	Item Description	Qty.</t>
  </si>
  <si>
    <t xml:space="preserve"> ALL INTERESTED BIDDERS ARE REQUIRED TO SUBMIT THEIR COMPLETE ELIGIBILITY REQUIREMENTS TO THE BAC FOR EVALUATION DURING THE PRE-BID CONFERENCE ON AUGUST 14, 2020 1:00 P.M. AT THE DASMARIÑAS COMMUNITY AFFAIRS (DASCA) BUILDING, BRGY. BUROL I, CITY OF DASMARIÑAS, CAVITE. BIDDERS WHO SHALL FAIL TO ATTEND THE PRE-BID SHALL NOT BE ALLOWED TO JOIN THE BIDDING FOR THE AFORESAID PROJECT. </t>
  </si>
  <si>
    <t xml:space="preserve"> ALL INTERESTED BIDDERS ARE REQUIRED TO SUBMIT THEIR COMPLETE ELIGIBILITY REQUIREMENTS TO THE BAC FOR EVALUATION DURING THE PRE-BID CONFERENCE ON AUGUST 14, 2020 1:00 P.M. AT THE DASMARIÑAS COMMUNITY AFFAIRS (DASCA) BUILDING LOCATED AT BRGY. BUROL I, CITY OF DASMARIÑAS, CAVITE. BIDDERS WHO SHALL FAIL TO ATTEND THE PRE-BID SHALL NOT BE ALLOWED TO JOIN THE BIDDING FOR THE AFORESAID PROJECT. </t>
  </si>
  <si>
    <t xml:space="preserve"> https://drive.google.com/file/d/1MO1nTHLiIpCK1EnwCV3FwZR5Fx1PiVNf/view?usp=drivesdk</t>
  </si>
  <si>
    <t xml:space="preserve"> https://drive.google.com/file/d/1NMmOC3veN2DjzCyFwK4E2iMkL0BV2odS/view?usp=drivesdk</t>
  </si>
  <si>
    <t xml:space="preserve"> The BAC shall issue bidding documents upon payment of Five Thousand Pesos Only (Php5,000.00) to the disbursing/ collecting officer of the LGU.</t>
  </si>
  <si>
    <t xml:space="preserve"> Purpose: To maintain reasonable stocks of common goods, office and school supplies necessary in the operation of different colleges and offices for 3rd and 4th quarter.</t>
  </si>
  <si>
    <t xml:space="preserve"> https://drive.google.com/file/d/1rFmRTQYTVpaSx4fBwjptS-htYOPXTFRP/view?usp=drivesdk</t>
  </si>
  <si>
    <t xml:space="preserve"> Please copy the link below, save and print for a copy of Bidding Document</t>
  </si>
  <si>
    <t xml:space="preserve"> The BAC shall issue bidding documents upon payment of One Thousand Pesos Only  (Php1,000.00) to the disbursing/ collecting officer of the LGU.</t>
  </si>
  <si>
    <t xml:space="preserve"> Pre-Bid will be on August 13, 2020 at 9:00 A.M via Zoom Tele-Conferencing please feel free to Call or Send a text message our Head of ICT (09266556047)</t>
  </si>
  <si>
    <t xml:space="preserve"> https://drive.google.com/file/d/1Djw3iQ4-m6jWdsvIrRs8zH0w4HTrzoDg/view?usp=drivesdk</t>
  </si>
  <si>
    <t xml:space="preserve"> I.  To be funded under General Fund, with an ABC of Php 14,400,000.00</t>
  </si>
  <si>
    <t xml:space="preserve"> https://drive.google.com/file/d/1WJsdaKpV6-agfmjXr1_omG7We8VXYR7P/view?usp=drivesdk</t>
  </si>
  <si>
    <t xml:space="preserve"> Bidders must download the attached document in the associated component section and can also be downloaded for free at www.ilocossur.gov.ph.</t>
  </si>
  <si>
    <t xml:space="preserve"> Also available at the DPWH Website.</t>
  </si>
  <si>
    <t xml:space="preserve"> Availability of Bid Documents: August 07-26, 2020; 8:00 AM-5:00 PM; Monday through Friday</t>
  </si>
  <si>
    <t xml:space="preserve"> 3  units	1000 Liter Intermediate Bulk Container</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</si>
  <si>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</si>
  <si>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Please be informed that the Bid Documents can't be downloaded from the website. Prospective bidders are requested to acquire the documents directly and personally from the BAC Secretariat upon payment at the Barangay Treasurer a corresponding fee of Php 500.00 for the said project.</t>
  </si>
  <si>
    <t xml:space="preserve"> PRE-BID CONFERENCE WILL BE ON AUGUST 14, 2020, 2:00 PM AT MUNICIPAL HALL, SIBULAN, NEGROS ORIENTAL AND OPENING OF BIDS WILL BE ON AUGUST 26, 2020, 2:00 PM AT THE SAME VENUE</t>
  </si>
  <si>
    <t xml:space="preserve"> PRE-BID CONFERENCE WILL BE ON AUGUST 14, 2020, 2:00 PM AT MUNICIPAL HALL, SIBULAN, NEGROS ORIENTAL</t>
  </si>
  <si>
    <t xml:space="preserve"> Submission of Bids August 7, 2020 until September 1, 2020 @12noon</t>
  </si>
  <si>
    <t xml:space="preserve"> Bidding Date - August 27, 2020, 2:00PM at the Municipal Conference Hall, Galimuyod, Ilocos Sur</t>
  </si>
  <si>
    <t xml:space="preserve"> 2nd Publication</t>
  </si>
  <si>
    <t xml:space="preserve"> Bidding Documents may be secured from the Bids and Awards Committee, Office of the Municipal Mayor upon payment to the MTO Cashier of a non-refundable amount of ₱ 10,000.00. </t>
  </si>
  <si>
    <t xml:space="preserve"> Pre-Bid Conference	2:00 P.M. August 13, 2020	DPWH Pampanga 2nd DEO BAC-Office</t>
  </si>
  <si>
    <t xml:space="preserve"> https://drive.google.com/file/d/13EbDMMjAPg0Jum2U9q16BWAcMekLQK1M/view?usp=drivesdk</t>
  </si>
  <si>
    <t xml:space="preserve"> click the links below to download plans</t>
  </si>
  <si>
    <t xml:space="preserve"> UPLOADED DOCS ARE ALSO UPLOADED IN DPWH WEBSITE</t>
  </si>
  <si>
    <t xml:space="preserve"> https://drive.google.com/file/d/1bXPJTN6rCmbYxTOAWCiOM-PWb0bcSeZd/view?usp=drivesdk</t>
  </si>
  <si>
    <t xml:space="preserve"> Submission of sealed envelopes and opening of bids: August 27, 2020/ 10:00 A.M./ Alimodian Municipal Conference Room</t>
  </si>
  <si>
    <t xml:space="preserve"> 1 		120			Vials				0.9% Saline, 50 ml.														7,238.40	</t>
  </si>
  <si>
    <t xml:space="preserve"> SUPPLEMENTAL/BID BULLETIN</t>
  </si>
  <si>
    <t xml:space="preserve"> 1.	Drinking Water Disinfectant, 100 ml/Bottle	4,000	Bottles	260,000.00	On or Before October 30, 2020	DOH – WV CHD</t>
  </si>
  <si>
    <t xml:space="preserve"> 1	 156 	vial	0.9% Sodium Chloride 50ml	 9,409.92 </t>
  </si>
  <si>
    <t xml:space="preserve"> https://drive.google.com/file/d/18HOul5YRbZ09DNUldM7kQeFcmNjVEeRw/view?usp=drivesdk</t>
  </si>
  <si>
    <t xml:space="preserve"> 1	5	pack	Activated Charcoal Sachet	 990.00 </t>
  </si>
  <si>
    <t xml:space="preserve"> 1.	Lubricated Male Condoms	134,862	Pieces	1,078,896.00	Within 4th Quarter of 2020	DOH – WV CHD</t>
  </si>
  <si>
    <t xml:space="preserve"> 1 		150				Vials				0.9% Saline, 50 ml.													9,048.00	</t>
  </si>
  <si>
    <t xml:space="preserve"> https://drive.google.com/file/d/1yR8K8gmjzgO5WAJ1-u9LqKUinFsDGlKr/view?usp=drivesdk</t>
  </si>
  <si>
    <t xml:space="preserve"> For more Information and details please contact the Secretariat, BAC Office, LGU Tigbauan, Iloilo at (033) 511-8790.</t>
  </si>
  <si>
    <t xml:space="preserve"> Please follow this link for the complete bidding documents and other attachments: </t>
  </si>
  <si>
    <t xml:space="preserve"> 1.		Amlodipine 10 mg Tablet	77,120	Tablets	57,068.80	Within 30 Calendar Days from receipt of NTP	Based on Allocation Lists</t>
  </si>
  <si>
    <t xml:space="preserve"> 1.		Biperiden Hydrochloride, 2mg/Tablet	45,435	Tablets	238,988.10	Within 4th Quarter of 2020	DOH – WV CHD</t>
  </si>
  <si>
    <t xml:space="preserve"> BID OPENING: AUGUST 26, 2020  1:00PM  BAC OFFICE, MUNICIPAL HALL, STA. MARCELA, APAYAO</t>
  </si>
  <si>
    <t xml:space="preserve"> 1.	N95 MASK (20’s / box) 	100	Boxes	304,000.00	Within 60 Calendar Days from receipt of NTP	DOH – WV CHD</t>
  </si>
  <si>
    <t xml:space="preserve"> 1.	HIGH LOW OXYGEN NASAL CANNULA	200	Units	500,000.00	Within 30 Calendar Days from receipt of the NTP	Dr. Rafael S. Tumbokon Memorial Hospital (50), Roxas Memorial Provincial Hospital (50), Dr. Catalino G. Nava Provincial Hospital (50) and Iloilo Provincial Hospital (50)</t>
  </si>
  <si>
    <t xml:space="preserve"> For more Information and details please contact the BAC Secretariat, LGU Tigbauan at (033) 511-8790.</t>
  </si>
  <si>
    <t xml:space="preserve"> INTERESTED BIDDER MUST PRESENT A VALID COMPANY ID, AUTHORIZED PERSONNEL SHALL BEAR THE ID OF PERSON BEING REPRESENTED, SPA AND HIS/HER VALID ID. FAILURE TO COMPLY WILL BE CONSIDERED AS BOGUS/HOAX/DUMMY AND WILL NOT BE ENTERTAINED.</t>
  </si>
  <si>
    <t xml:space="preserve"> https://drive.google.com/file/d/1dx1kQJBc1msaBu2mOCVdrycctwDtAadM/view?usp=drivesdk</t>
  </si>
  <si>
    <t xml:space="preserve"> 20IH0109 (ITB, Bid Docs, POW)</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</si>
  <si>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</si>
  <si>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https://drive.google.com/file/d/1dcwk7odnPPybkhfkDCrg_RoSZiQ8l-qj/view?usp=drivesdk</t>
  </si>
  <si>
    <t xml:space="preserve"> 20IH0110 (ITB, Bid Docs, POW)</t>
  </si>
  <si>
    <t xml:space="preserve"> bring the following when buying bid documents</t>
  </si>
  <si>
    <t xml:space="preserve"> 20IH0108 (ITB, Bid Docs, POW)</t>
  </si>
  <si>
    <t xml:space="preserve"> https://drive.google.com/file/d/18Tcgk6Y1BhgfjO0gbUIY7g0cfaVzB41Z/view?usp=drivesdk</t>
  </si>
  <si>
    <t xml:space="preserve"> Opening and reading of quotation shall be on August 27, 2020, 9:00 in the morning at the Municipal Hall, Poblacion, Santa Fe, Romblon.</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</si>
  <si>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Five Hundred Pesos Only (Php500.00) at the Cashier’s Office, Provincial Capitol, Bontoc, Mountain Province.</t>
  </si>
  <si>
    <t xml:space="preserve"> https://drive.google.com/file/d/1iPp3k4Z_7JzPbzz6rAoMsHxlUN2u8Qf5/view?usp=drivesdk</t>
  </si>
  <si>
    <t xml:space="preserve"> 20IH0111 (ITB, Bid Docs, POW)</t>
  </si>
  <si>
    <t xml:space="preserve"> 20IH0112 (ITB, Bid Docs, POW)</t>
  </si>
  <si>
    <t xml:space="preserve"> SALEOF BID DOCUMENTS: AUGUST 13 TO AUGUST 27, 2020 (8:00A.M. TO 5:00 P.M.)</t>
  </si>
  <si>
    <t xml:space="preserve"> For more Information and details pls. contact the BAC Secretariat, LGU-Tigbauan, Iloilo at (033) 511-8790.</t>
  </si>
  <si>
    <t xml:space="preserve"> LABORATORY MACHINE REAGENT			</t>
  </si>
  <si>
    <t xml:space="preserve"> Bid Documents will be available only to prospective bidders upon payment of a non-refundable amount of Php 5,000.00 per set to the Municipal Treasurer of LGU- GATTARAN.</t>
  </si>
  <si>
    <t xml:space="preserve"> Opening and reading of quotations shall be on August 27, 2020, 9:00 o'clock in the morning at the Municipal Hall, Poblacion, Santa Fe, Romblon.</t>
  </si>
  <si>
    <t xml:space="preserve"> For more Information and details please contact the BAC Secretariat, LGU Tigbauan, Iloilo at (033) 511-8790.</t>
  </si>
  <si>
    <t xml:space="preserve"> The work covers the design and build for the Construction of Alternative Water Supply (Level III) consisting of intake structure, earthworks/pipelaying, installation of transfer pipe, installation of transmission pipeline that can handle minimum volume of 40 liters per second, provision of flow meter, installation of distribution pipeline up to Sitio Tinago Brgy. Benolho, and installation of standpipes.</t>
  </si>
  <si>
    <t xml:space="preserve"> please download the associated documents</t>
  </si>
  <si>
    <t xml:space="preserve"> • PCAB License: License Category of at least “Category B – General Building” and registration classification of at least “Medium A – Building or Industrial Plant”</t>
  </si>
  <si>
    <t xml:space="preserve"> Please checked associated components.</t>
  </si>
  <si>
    <t xml:space="preserve"> For more information, please call the:</t>
  </si>
  <si>
    <t xml:space="preserve"> • Supply and Delivery of Diesel Generating Sets or Mechanical and/or Electrical Parts / Components / Equipment for Diesel Generating Sets</t>
  </si>
  <si>
    <t xml:space="preserve"> I AGGREGATES</t>
  </si>
  <si>
    <t xml:space="preserve"> Please download the attached file in the Associated Components section.</t>
  </si>
  <si>
    <t xml:space="preserve"> Please see attached link for bidding documents:</t>
  </si>
  <si>
    <t xml:space="preserve"> Please see attached links for bidding documents: </t>
  </si>
  <si>
    <t xml:space="preserve"> ENGR. ROBERTO SE</t>
  </si>
  <si>
    <t xml:space="preserve"> • Similar Contracts: Supply and Delivery of Protection and Meters and/or Substation Protection and Equipment</t>
  </si>
  <si>
    <t xml:space="preserve"> Schedule of Requirements:</t>
  </si>
  <si>
    <t xml:space="preserve"> Special Bids and Awards Committee Secretariat, Armor Div, PA	</t>
  </si>
  <si>
    <t xml:space="preserve"> 2 units Hang Type &amp; Folded Basketball Goal supported structural steel of 5 mm x 2 " &amp; 5mm x 1.5" Angle Bar " sch. 40 bi PIpes, 12mm steel cable wire anchored with 1 ton heavy duty pully installed with thk x 1.20m x 1.80 m transparent original tempered glass with frame heavy duty ring with spring net and transluscent sticker</t>
  </si>
  <si>
    <t xml:space="preserve"> Issuance of Bid Documents  : 8:00AM - 5:00PM August 06, 2020 to 8:00AM - 09:30AM, August 26, 2020</t>
  </si>
  <si>
    <t xml:space="preserve"> https://drive.google.com/file/d/1kQLLih6dU9KXVfdSDE3y2THp72JLFBui/view?usp=drivesdk</t>
  </si>
  <si>
    <t xml:space="preserve"> with barangay logo and siren</t>
  </si>
  <si>
    <t xml:space="preserve"> At Different Brgys, Maasin City, Southern Leyte</t>
  </si>
  <si>
    <t xml:space="preserve"> At Different Schools, Maasin City, Southern Leyte</t>
  </si>
  <si>
    <t xml:space="preserve"> At brgy Tunga-tunga, Maasin City, Southern Leyte</t>
  </si>
  <si>
    <t xml:space="preserve"> At brgy Combado, Maasin City, Southern Leyte</t>
  </si>
  <si>
    <t xml:space="preserve"> At brgy Cambo-oc(half lane), Maasin City, Southern Leyte</t>
  </si>
  <si>
    <t xml:space="preserve"> At brgy Soro-soro, Maasin City, Southern Leyte</t>
  </si>
  <si>
    <t xml:space="preserve"> At brgy Bactul II, Maasin City, Southern Leyte</t>
  </si>
  <si>
    <t xml:space="preserve"> At brgy Sto.Niño(Loblobon), Maasin City, Southern Leyte</t>
  </si>
  <si>
    <t xml:space="preserve"> see attached invitation to bid</t>
  </si>
  <si>
    <t xml:space="preserve"> OTHER INFORMATION</t>
  </si>
  <si>
    <t xml:space="preserve"> 1. Pre-bid conference - August 14, 2020, 2:00PM at the Municipal Conference Hall, Galimuyod, Ilocos Sur</t>
  </si>
  <si>
    <t xml:space="preserve"> Schedule of Bidding Activities: Sale and Issuance of Bid Mondays to Fridays Starting August 6, 2020 (8AM to 3PM only) DOE-BAC Secretariat, Procurement Management Division 3/F DOE Main Bldg., Energy Center, Rizal Drive, Bonifacio Global City, Taguig City Pre-Bid Conference August 13, 2020 – 9:00 AM to 11:00 AM at DOE BAC Main Office through video conferencing (Microsoft Teams). The bidders are required to submit the following information through jaymeedeogracias@gmail.com or jaymee.deogracias@doe.gov.ph: 1. Complete name of the authorized company representative who will participate in the Pre- Bid Conference. Complete company Name, address and contact details; 2. Active email addresses where the invitation/link will be sent; and 3. Indicate the item/s the company would like to participate Deadline of submission of information is on or before 11 August 2020. Video conferencing will be through MS Teams, prospective bidders are advised to download MS Teams app prior to the date of the Pre-bid Conference. Submission of Bids Mondays to Fridays 8AM to 3PM only DOE-Procurement Management Division 3/F DOE Main Bldg., Energy Center, Rizal Drive, Bonifacio Global City, Taguig City OR submission could be made through courier service provided it will be stamped-received by the DOE Records Management Division. Deadline of Submission of Bids August 27, 2020 –9:00 AM 3/F Procurement Management Division (PMD) DOE Main Bldg., Energy Center, Rizal Drive, Bonifacio Global City, Taguig City OR submission could be made through courier service provided it will be stamped-received by the DOE Records Management Division. Opening of Bids August 27, 2020 – 9:30 AM DOE- Audio Visual Room (AVR) Energy Center, Rizal Drive, Bonifacio Global City, Taguig.</t>
  </si>
  <si>
    <t xml:space="preserve"> Amount of Bid Documents: Php1,000.00</t>
  </si>
  <si>
    <t xml:space="preserve"> Amount of Bid Documents: Php10,000.00</t>
  </si>
  <si>
    <t xml:space="preserve"> Amount of Bid Documents: Php5,000.00</t>
  </si>
  <si>
    <t xml:space="preserve"> See Attachments</t>
  </si>
  <si>
    <t xml:space="preserve"> Please visit BAC office</t>
  </si>
  <si>
    <t xml:space="preserve"> ATTACHMENT CAN BE DOWNLOADED THROUGH THE ASSOCIATED COMPONENTS.</t>
  </si>
  <si>
    <t xml:space="preserve"> ITEM NO.                          SCOPE OF WORK                                              UNIT                   QUANTITY</t>
  </si>
  <si>
    <t xml:space="preserve"> https://drive.google.com/file/d/1sfnR_iq9uznsa7k2LRonRFrbr23zRfWy/view?usp=drivesdk</t>
  </si>
  <si>
    <t xml:space="preserve"> A complete set of Bidding Documents will be provided by PNBAC Secretariat to the interested Bidders upon payment of a non-refundable fee in the amount of TWENTY FIVE THOUSAND PESOS (P 25,000.00) only at CRB, CPMU, Philippine Navy Finance Center (PNFC), Naval Station Jose Francisco, Fort Bonifacio, Taguig City.</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</si>
  <si>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</si>
  <si>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SUBMISSION OF BID DOCUMENTS IS BEFORE 9:OO IN THE MORNING  OF</t>
  </si>
  <si>
    <t xml:space="preserve"> BID OPENING: AUGUST 25, 2020  AT 1:00PM   BAC OFFICE,MUNICIPAL HALL, STA. MARCELA, APAYAO</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</si>
  <si>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</si>
  <si>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https://drive.google.com/file/d/1A0DvWVjLZK95mCJ0daLfjyDWYKK6yCHz/view?usp=drivesdk</t>
  </si>
  <si>
    <t xml:space="preserve"> Bidding Documents may be purchased by the Interested Bidders on August 12-13, 2020 from 8:00 A.M to 5:00 P.M. and upon payment of non - refundable fee of Five Hundred Pesos (Php 500.00).</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</si>
  <si>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</si>
  <si>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SUPPLER OR BIDDER MUST DOWNLOAD THE ATTACHED DOCUMENT IN THE ASSOCIATED COMPONENT SECTION.</t>
  </si>
  <si>
    <t xml:space="preserve"> COPY OF DRAWINGS MAY BE REQUESTED AT THE BAC SECRETARIAT THROUGH MSCBAC2011@GMAIL.COM. PRE-BID CONFERENCE MAYBE CONDUCTED VIA AN ONLINE PLATFORM; REQUEST FOR CONFERENCE INVITATION MAY BE SENT TO THE BAC SECRETARIAT AT THE AFOREMENTIONED EMAIL ADDRESS.</t>
  </si>
  <si>
    <t xml:space="preserve"> bidders must download attached documents in the associated components</t>
  </si>
  <si>
    <t xml:space="preserve"> ATTACHMENT CAN BE DOWNLOADED IN THE ASSOCIATED COMPONENTS.</t>
  </si>
  <si>
    <t xml:space="preserve"> https://drive.google.com/file/d/16kkAOlEkEzPbqeu01JAOMtJt5gaE6Blz/view?usp=drivesdk</t>
  </si>
  <si>
    <t xml:space="preserve"> SUPPLIER OR BIDDER MUST DOWNLOAD THE ATTACHED DOCUMENT IN THE ASSOCIATED COMPONENT SECTION.</t>
  </si>
  <si>
    <t xml:space="preserve"> Lot 1	Quantity	Item/Description</t>
  </si>
  <si>
    <t xml:space="preserve"> https://drive.google.com/file/d/1MX3mZU44V84vVBRDb5gwpIIx20lAHWB9/view?usp=drivesdk</t>
  </si>
  <si>
    <t xml:space="preserve"> https://drive.google.com/file/d/1EXLhi9nqwv_travGD_gPDWB6ifGQOoeu/view?usp=drivesdk</t>
  </si>
  <si>
    <t xml:space="preserve"> https://drive.google.com/file/d/1n6gIbGKYGa7XJmHsqNx2a-Sbtxq0MP5j/view?usp=drivesdk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</si>
  <si>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</si>
  <si>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https://drive.google.com/file/d/124MJXl7B8igH6HHQ5vbkg79u7xfpCQeX/view?usp=drivesdk</t>
  </si>
  <si>
    <t xml:space="preserve"> https://drive.google.com/file/d/194lfDfNf0YPgxU9AjxwoEeGBT0YwzyLY/view?usp=drivesdk</t>
  </si>
  <si>
    <t xml:space="preserve"> Please see attached Invitation to Bid and Technical Specifications.</t>
  </si>
  <si>
    <t xml:space="preserve"> https://drive.google.com/file/d/1uwRlHA9CkfQimdA-ebrOQjSGAI4lrD5E/view?usp=drivesdk</t>
  </si>
  <si>
    <t xml:space="preserve"> https://drive.google.com/file/d/1dCH8ByXU3e4gQdvIwX0CJByvoQKwV3yO/view?usp=drivesdk</t>
  </si>
  <si>
    <t xml:space="preserve"> Project Title : REBLOCKING OF ROAD</t>
  </si>
  <si>
    <t xml:space="preserve"> Quantity	Item / Description</t>
  </si>
  <si>
    <t xml:space="preserve"> https://drive.google.com/file/d/199yZSNUfV6MHKx76tntLIevObV9Htsgv/view?usp=drivesdk</t>
  </si>
  <si>
    <t xml:space="preserve"> All inquiries shall be directed to Dr. Rolando O. Borrinaga, Chairman, Bids and Awards Committee, UP Manila – School of Health Sciences, Palo, Leyte.</t>
  </si>
  <si>
    <t xml:space="preserve"> https://drive.google.com/file/d/1tyhKrV5NDz5p028KrszRbI0g9dC2ew_X/view?usp=drivesdk</t>
  </si>
  <si>
    <t xml:space="preserve"> • Similar Contracts: Engineering, design services, manufacturing, installation of piping integrity restoration works for gas plant or similar projects (e.g. power plant, industrial plant)</t>
  </si>
  <si>
    <t xml:space="preserve"> Click on the link to download bidding documents</t>
  </si>
  <si>
    <t xml:space="preserve"> • Similar Contract: Supply and Delivery of Diesel Generating Sets or Mechanical and/or Electrical Parts / Components / Equipment for Diesel Generating Sets</t>
  </si>
  <si>
    <t xml:space="preserve"> https://drive.google.com/file/d/1xy6ANLHNMCVHjL1-KL2oWmhwZLA4JH0E/view?usp=drivesdk</t>
  </si>
  <si>
    <t xml:space="preserve"> https://drive.google.com/file/d/1MWyMO6y2H8Rzx7teU5rU8zHVXvJmp0k_/view?usp=drivesdk</t>
  </si>
  <si>
    <t xml:space="preserve"> 20CM0087</t>
  </si>
  <si>
    <t xml:space="preserve"> 20CM0086</t>
  </si>
  <si>
    <t xml:space="preserve"> 20CM0085</t>
  </si>
  <si>
    <t xml:space="preserve"> I.  Provision of Progress Photograps----- 1.0 each</t>
  </si>
  <si>
    <t xml:space="preserve"> I.  Construction, Installation of Guard Rail-------- lumpsum</t>
  </si>
  <si>
    <t xml:space="preserve"> I.      Provision of Progress Photographs  --------    1.0 each</t>
  </si>
  <si>
    <t xml:space="preserve"> BIDDERS MUST DOWNLOAD THE ATTACHED DOCUMENTS IN THE ASSOCIATED COMPONENT SECTION</t>
  </si>
  <si>
    <t xml:space="preserve"> Bid documents are available at the office of Punong Barangay</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</si>
  <si>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Php5,000.00 for the said project.</t>
  </si>
  <si>
    <t xml:space="preserve"> https://drive.google.com/file/d/1CZNaP6ecuc-yk6jKz7ht7QM9e7FObABw/view?usp=drivesdk</t>
  </si>
  <si>
    <t xml:space="preserve"> Construction of one-unit (1.5m x 1.5m x 1.5m) Source Tank, one-unit (1.5m x 1.5m x 1.5m) Outlet/Distribution tank and one-unit (5m x 5m x 2.8m) Storage/Collection Tank with water pipelines with total volume of 76.75.</t>
  </si>
  <si>
    <t xml:space="preserve"> https://drive.google.com/file/d/1szXt0il8nDc6AV1yCXXcVxN2546JucWb/view?usp=drivesdk</t>
  </si>
  <si>
    <t xml:space="preserve"> Please bring valid medical certificates upon attendance (note: certificates should be issued one week prior to the date of attendance)</t>
  </si>
  <si>
    <t xml:space="preserve"> The BAC is conducting the public bidding for this Contract in accordance with Republic Act No. 9184 and its Implementing Rules and Regulations (IRR).</t>
  </si>
  <si>
    <t xml:space="preserve"> https://drive.google.com/file/d/1KVBLVGaf1k4MtciBlvJLfHPoXODr6aKK/view?usp=drivesdk (Bidding Documents)</t>
  </si>
  <si>
    <t xml:space="preserve"> SPECS: </t>
  </si>
  <si>
    <t xml:space="preserve"> 1	Diesoline	 4,440   Liters</t>
  </si>
  <si>
    <t xml:space="preserve"> 1	AMBULANCE</t>
  </si>
  <si>
    <t xml:space="preserve"> AS PER BAC INTERNAL RULE, YOU ARE REQUIRED TO ATTEND THE PREBID CONFERENCE AS SCHEDULED.</t>
  </si>
  <si>
    <t xml:space="preserve"> issuance of bid documents - August 5-26, 2020</t>
  </si>
  <si>
    <t xml:space="preserve"> 1	Portland cement	350	Bags</t>
  </si>
  <si>
    <t xml:space="preserve"> Bid documents are available at the office of Punong Banrangay</t>
  </si>
  <si>
    <t xml:space="preserve"> 1	Portland cement	10	Bags</t>
  </si>
  <si>
    <t xml:space="preserve"> Kindly see the Plan and details</t>
  </si>
  <si>
    <t xml:space="preserve"> kindly download he attached bidding documents for the requirements and specifications.</t>
  </si>
  <si>
    <t xml:space="preserve"> THIS IS FOR BRGY GENERAL, TUDELA, CEBU</t>
  </si>
  <si>
    <t xml:space="preserve"> 1.	30	units	Fabrication of Storage Bins</t>
  </si>
  <si>
    <t xml:space="preserve"> 1 METER HIGH CONCRETE PEDESTAL  WITH 40CM EXPOSED AND 60CM EMBEDED TO THE GROUND  SCHEDULED 40 3" IN THE DIAMETER  GI PIPE, 60 WATTS, 300-500 LUMENS OR ITS EQUIVALENT WITH BUILT IN STORAGE COMPATABLE TO 60WATTS, POST LAMP'S HEIGHT IS 6M WITH PIPE BASE STEEL PLATE AND ANCHOR BOLTED TO THE PEDESTAL, POST PAINTED WITH ACRYLIC SCRATCH RESISTANT</t>
  </si>
  <si>
    <t xml:space="preserve"> mayors per</t>
  </si>
  <si>
    <t xml:space="preserve"> Bidding documents can also be downloaded thru this link:</t>
  </si>
  <si>
    <t xml:space="preserve"> Please download the Associated Components</t>
  </si>
  <si>
    <t xml:space="preserve"> BID DOCUMENT IS AVAILABLE AT BAC SECRETARIAT OFFICE AT BRGY. HALL, BRGY. MANGAYANG</t>
  </si>
  <si>
    <t xml:space="preserve"> BID DOCUMENT IS AVAILABLE AT BAC SECRETARIAT, BARANGAY HALL, BRGY. MANGAYANG</t>
  </si>
  <si>
    <t xml:space="preserve"> Issuance of Bidding Documents:  August 5, 2020 until 1:30 p.m. of August 25, 2020</t>
  </si>
  <si>
    <t xml:space="preserve"> BID DOCUMENT IS AVAILABLE AT BAC SECRETARIAT, BRGY. BALZAIN</t>
  </si>
  <si>
    <t xml:space="preserve"> Project Description	: Construction</t>
  </si>
  <si>
    <t xml:space="preserve"> bid docs PhP 500.00</t>
  </si>
  <si>
    <t xml:space="preserve"> https://drive.google.com/file/d/1Rq-1cZwyXHWbwm3EcAaDKL4MhAzBJXYd/view?usp=drivesdk</t>
  </si>
  <si>
    <t xml:space="preserve"> Project Description	: Rehabilitation/Improvement</t>
  </si>
  <si>
    <t xml:space="preserve"> Project Description	: Completion</t>
  </si>
  <si>
    <t xml:space="preserve"> a.	Concreting of Pathway at San Pedro 	   	               500,000.00</t>
  </si>
  <si>
    <t xml:space="preserve"> a.	Construction of Perimeter Fence at Pantaleon Gotladera 	   1,800,000.00</t>
  </si>
  <si>
    <t xml:space="preserve"> a.	Construction &amp; Establishment of AgriHope Tourism Farm	   3,000,000.00</t>
  </si>
  <si>
    <t xml:space="preserve"> FOR BID DOCS:</t>
  </si>
  <si>
    <t xml:space="preserve"> a.	Establishment of Coconut Nursery, Cogon, Juban   		      130,000.00</t>
  </si>
  <si>
    <t xml:space="preserve"> Please bring medical certificate issued at least 7 days prior to the conference you are attending. Thank you.</t>
  </si>
  <si>
    <t xml:space="preserve"> Approved Budget for the contract - Php 150,000.00</t>
  </si>
  <si>
    <t xml:space="preserve"> Bidding documents can be downloaded on the Associated Components</t>
  </si>
  <si>
    <t xml:space="preserve"> https://drive.google.com/file/d/1VHwM9HiDdVPGctOVPoLud9dHfj2-oSXm/view?usp=drivesdk</t>
  </si>
  <si>
    <t xml:space="preserve"> Medicine and Medical Supplies Rack, 1st bay double side, 7 levels, H1.8mx W 6.870m x L900mm, Wire Mesh racking, Beige Color, Powder Coated, 100Kg Load capacity per level	9	unit</t>
  </si>
  <si>
    <t xml:space="preserve"> https://drive.google.com/file/d/1Jnte8yPm8Z2pFeItEECoTbFGwygniyum/view?usp=drivesdk</t>
  </si>
  <si>
    <t xml:space="preserve"> https://drive.google.com/file/d/169ZHvq0ebrDsxDvKUB98H6rVgJ0GTwFu/view?usp=drivesdk</t>
  </si>
  <si>
    <t xml:space="preserve"> https://drive.google.com/file/d/1-4aM7F3I-A_ynk0yWPmwH2sK4nm-xMaC/view?usp=drivesdk</t>
  </si>
  <si>
    <t xml:space="preserve"> https://drive.google.com/file/d/1W_WX7pP21K-Jk9MTtDnBz1UIbpd_Dvsc/view?usp=drivesdk</t>
  </si>
  <si>
    <t xml:space="preserve"> https://drive.google.com/file/d/1CnZBB1cAQMchL0uDwboDoGw9gX0IlYeb/view?usp=drivesdk</t>
  </si>
  <si>
    <t xml:space="preserve"> https://drive.google.com/file/d/1vRAG27wI8my0TJfjoJJhpXci6DqXqfEX/view?usp=drivesdk</t>
  </si>
  <si>
    <t xml:space="preserve"> FUND SOURCE 20%EDF AND AM</t>
  </si>
  <si>
    <t xml:space="preserve"> DESCRIPTION - CONCRETING</t>
  </si>
  <si>
    <t xml:space="preserve"> https://drive.google.com/file/d/187Uzytzb5-BVT0bFhucnSgrw5mpjGnP5/view?usp=drivesdk</t>
  </si>
  <si>
    <t xml:space="preserve"> Please see attached Bidding Document for more details.</t>
  </si>
  <si>
    <t xml:space="preserve"> You can download the Bidding Documents Here:</t>
  </si>
  <si>
    <t xml:space="preserve"> Bid Docs PhP 500.00</t>
  </si>
  <si>
    <t xml:space="preserve"> Interested bidders/suppliers may download attached documents located in the Associated Component Section.</t>
  </si>
  <si>
    <t xml:space="preserve"> https://drive.google.com/file/d/1VVeGBmMit3wd1gerNLo_8KjyNcM9iuW8/view?usp=drivesdk</t>
  </si>
  <si>
    <t xml:space="preserve"> https://drive.google.com/file/d/1ATEMytt_mW2-qqpuph64k14Jzp2sLeOO/view?usp=drivesdk</t>
  </si>
  <si>
    <t xml:space="preserve"> BAC Meetings will be conducted thru video conferencing via MS Team</t>
  </si>
  <si>
    <t xml:space="preserve"> Interested bidders may purchase bid documents from BAC-Secretariat at the address stated in the Invitation to Bid.</t>
  </si>
  <si>
    <t xml:space="preserve"> Interested bidders may obtain further information from the PPA-BAC-EP- secretariat and inspect the bidding documents from the address given below from 9:00 am to 4:00 pm.</t>
  </si>
  <si>
    <t xml:space="preserve"> https://drive.google.com/file/d/1RIjBv896OZro0INvj2ikwN4v13wN6dde/view?usp=drivesdk</t>
  </si>
  <si>
    <t xml:space="preserve"> https://drive.google.com/file/d/15Q8snoITHTAy4-6RxuJ8tiiUJDqC_8CR/view?usp=drivesdk</t>
  </si>
  <si>
    <t xml:space="preserve"> This is an Online or Electronic Bid Submission. Only One (1) Representative per Company is allowed to join the Video Conferencing.</t>
  </si>
  <si>
    <t xml:space="preserve"> https://drive.google.com/file/d/1jLagGNdQ1r6nQDAzr1lxlVxCcCAFUCkN/view?usp=drivesdk</t>
  </si>
  <si>
    <t xml:space="preserve"> Interested bidders may obtain further information from Palawan 2nd District Engineering Office (BAC Secretariat) and inspect the Bidding Documents at the address given below during 8:00am to 5:00pm.</t>
  </si>
  <si>
    <t xml:space="preserve"> https://drive.google.com/file/d/1C8cvMRk30T0WG1wepu-u9vFt6kN45iCP/view?usp=drivesdk</t>
  </si>
  <si>
    <t xml:space="preserve"> https://drive.google.com/file/d/1UiuASXBYAOLF16DlL7xEUK18w1zei954/view?usp=drivesdk</t>
  </si>
  <si>
    <t xml:space="preserve"> https://drive.google.com/file/d/1ewyectRvJ4NAQIEZfutUJv7r04yEQ_4Z/view?usp=drivesdk</t>
  </si>
  <si>
    <t xml:space="preserve"> https://drive.google.com/file/d/1O0MEwoKebm6_IR4z8a5JwMw7MfguC33d/view?usp=drivesdk</t>
  </si>
  <si>
    <t xml:space="preserve"> https://drive.google.com/file/d/1lXDJO9dpJtm-mIiVC4bGE6Ec8aD2RYxU/view?usp=drivesdk</t>
  </si>
  <si>
    <t xml:space="preserve"> https://drive.google.com/file/d/1gfIkLoDD89IOgWufyhDBymVg5bRGBLXD/view?usp=drivesdk</t>
  </si>
  <si>
    <t xml:space="preserve"> https://drive.google.com/file/d/106ColiR76CW-qCDu6DsR0D972BgReQ5t/view?usp=drivesdk</t>
  </si>
  <si>
    <t xml:space="preserve"> https://drive.google.com/file/d/1leXJ-snrh-_G4a0-mHKfKfiVy_NGR83J/view?usp=drivesdk</t>
  </si>
  <si>
    <t xml:space="preserve"> https://drive.google.com/file/d/1Xds4cVaAkOBta1XCGr2gy0k6cGlzW2S9/view?usp=drivesdk</t>
  </si>
  <si>
    <t xml:space="preserve"> For copies of the Bidding Documents, Scope of Works, Drawing and Bill of Quantities, kindly click the associated components.</t>
  </si>
  <si>
    <t xml:space="preserve"> https://drive.google.com/file/d/1wHuD5G7-yUs1loTOxXDidWs9a8KuSZ3B/view?usp=drivesdk</t>
  </si>
  <si>
    <t xml:space="preserve"> https://drive.google.com/file/d/1T6O5-WQoMjpazzjVr3aOKHX_Xbl-K3Si/view?usp=drivesdk</t>
  </si>
  <si>
    <t xml:space="preserve"> Other Information:</t>
  </si>
  <si>
    <t xml:space="preserve"> For copies of the Bidding Documents and Specifications, kindly click the associated components.</t>
  </si>
  <si>
    <t xml:space="preserve"> https://drive.google.com/file/d/1E2UqFx3DeUbpU8T4fCoLx0ooK0p8E2ws/view?usp=drivesdk</t>
  </si>
  <si>
    <t xml:space="preserve"> Bidder / Supplier must download the attached documents in Associated Components.</t>
  </si>
  <si>
    <t xml:space="preserve"> QTYUNIT/ITEM DESCRIPTION</t>
  </si>
  <si>
    <t xml:space="preserve"> For clarification on details, you may call tel. # (074) 444-4882 (SSS OVP LN1D)</t>
  </si>
  <si>
    <t xml:space="preserve"> For further information, you may call the POC-BAC I Secretariat at 711-4276 loc. 224 from 8:00 a.m. to 4:00 p.m, Monday to Friday.</t>
  </si>
  <si>
    <t xml:space="preserve"> Pre Register here: https://docs.google.com/forms/d/14e9OfDtXunawfjhKp8OF9jLVIoqUTLAttpI7ekJNCZs/viewform?edit_requested=true</t>
  </si>
  <si>
    <t xml:space="preserve"> Purpose: 	Upgrade of Maritime Education Laboratories and Equipment.</t>
  </si>
  <si>
    <t xml:space="preserve"> Buyer: A.S. Dizon</t>
  </si>
  <si>
    <t xml:space="preserve"> Purpose: 	For Medical use, For Dental use</t>
  </si>
  <si>
    <t xml:space="preserve"> Purpose: 	Electronic Resources (E-books) for Learning Resource Center.</t>
  </si>
  <si>
    <t xml:space="preserve"> Purpose: 	 Upgrading the office equipment and facilities and accessories of the CFMS</t>
  </si>
  <si>
    <t xml:space="preserve"> Please download the documents at the associated components.</t>
  </si>
  <si>
    <t xml:space="preserve"> for query, pls. contact MS. JAM FABELLA at tel no. 8 5512200 locals 2452, 2453; email address: jamfabella@gmail.com</t>
  </si>
  <si>
    <t xml:space="preserve"> Double Cab Truck w/ Customized Casket Compartment</t>
  </si>
  <si>
    <t xml:space="preserve"> Mini Dump Truck</t>
  </si>
  <si>
    <t xml:space="preserve"> Floating Ball Buoy</t>
  </si>
  <si>
    <t xml:space="preserve"> Contact Number </t>
  </si>
  <si>
    <t xml:space="preserve"> CHECKLIST FOR INFRASTRUCTURE</t>
  </si>
  <si>
    <t xml:space="preserve"> Please refer to the attached Invitation to Bid and Bidding Documents.</t>
  </si>
  <si>
    <t xml:space="preserve"> PLEASE CHECK SIMILAR INFORMATION IN THE WEBSITE OF THE PROCURING ENTITY</t>
  </si>
  <si>
    <t xml:space="preserve"> ONE (1) ASSEMBLY MAIN ECB 3000AT, 3PHASE, 460V NEMA 1 (NATIONAL ELECTRICAL MANUFACTURERS ASSOCIATION) (FREE STANDING) MOULDED CASE CIRCUIT BREAKER AND ONE (1) ASSEMBLY AUTOMATIC TRANSFER SWITCH (ATS) 3000AT. 85KAIC, 460V, 3P, 60HZ INCLUDING INSTALLATION, TESTING, AND COMMISSIONING; ONE HUNDRED TWENTY (120) METERS 500 MM2 THW STRANDED COPPER WIRE AND TWENTY-FOUR (24) PIECES 500 MM2 MECHANICAL LUGS; TWO-CONDUCTOR</t>
  </si>
  <si>
    <t xml:space="preserve"> BAC Activities	Schedule	</t>
  </si>
  <si>
    <t xml:space="preserve"> https://drive.google.com/file/d/1qdGmTI65nzygfSsWGZWEHTJvLcBA3cub/view?usp=drivesdk</t>
  </si>
  <si>
    <t xml:space="preserve"> Interested consultants must submit their eligibility documents on or before July 30, 2020 2:00 P.M at the Bids and Awards Committee (BAC) for Consulting Services, BAC Conference Room, DPWH-Pampanga 2nd District Engineering Office, San Antonio, Guagua, Pampanga.   The short list shall consist of three (3) prospective bidders who will be entitled to attend the pre-bid conference on August 07, 2020 at 10:00 A.M. at the Department of Public Works &amp; Highways  Pampanga 2nd  DEO, San Antonio, Guagua, Pampanga. Submission of bids is on August 19, 2020 until  10:00 in the morning.</t>
  </si>
  <si>
    <t xml:space="preserve"> For copies of Bidding Documents and Specifications, kindly click the associated components.</t>
  </si>
  <si>
    <t xml:space="preserve"> https://drive.google.com/file/d/1IUIbz0__pti_t0vJ_SWaKc1nVpVH4BoM/view?usp=drivesdk</t>
  </si>
  <si>
    <t xml:space="preserve"> https://drive.google.com/file/d/1_D42cYW00CEetGDOOB8QRSpp0QR_Zswz/view?usp=drivesdk</t>
  </si>
  <si>
    <t xml:space="preserve"> https://drive.google.com/file/d/1In1fRSipB71_g7GENLNnhXnCEg6gpwNz/view?usp=drivesdk</t>
  </si>
  <si>
    <t xml:space="preserve"> Kindly see attached Invitation to Bid and Public Bidding Documents</t>
  </si>
  <si>
    <t xml:space="preserve"> Please download attached file</t>
  </si>
  <si>
    <t xml:space="preserve"> Please download attached document.</t>
  </si>
  <si>
    <t xml:space="preserve"> https://drive.google.com/file/d/1ZUgWceyqB6h9cAndkFZnLJ21Ls1BjoLd/view?usp=drivesdk</t>
  </si>
  <si>
    <t xml:space="preserve"> Due to the current Community Quarantine brought about by the Covid-19 pandemic, PhilFIDA shall hold a virtual Pre-Bid Conference through O365 Teams on July 27, 2020, 10:00 A.M. Prospective bidders should submit a valid email address one day before the Pre-bid Conference.</t>
  </si>
  <si>
    <t xml:space="preserve"> Issuance of Bid Documents  : 8:00AM - 5:00PM July 19, 2020 to 8:00AM - 10:00AM, July 28, 2020</t>
  </si>
  <si>
    <t xml:space="preserve"> Pre-Bid Conference	2:00 P.M. July 21, 2020	</t>
  </si>
  <si>
    <t xml:space="preserve"> Buyer: N. C. R. Abarquez</t>
  </si>
  <si>
    <t xml:space="preserve"> for queries, pls. contact MS. LUBELLE LUMABAS, tel no. 8-405-7233 to 34; email address: landbank2290@gmail.com</t>
  </si>
  <si>
    <t xml:space="preserve"> https://drive.google.com/file/d/1ppLQ06pqjivr1QSmIp4t9EtO6rj5rNKk/view?usp=drivesdk</t>
  </si>
  <si>
    <t xml:space="preserve"> Below is the link of the bidding document for this Project.</t>
  </si>
  <si>
    <t xml:space="preserve"> Bidders must download the document in the associated component section.</t>
  </si>
  <si>
    <t xml:space="preserve"> Bidding documents are available at the BAC Secretariat Office, 4th Floor, Core A, Senate of the Philippines, Diokno Avenue, Pasay City.</t>
  </si>
  <si>
    <t xml:space="preserve"> for queries, pls contact MS. JENKIN DY at 8-5512200 locals 2290, 2979; email address: jenkindy26@yahoo.com</t>
  </si>
  <si>
    <t xml:space="preserve"> 2.	https://drive.google.com/file/d/1idHJ8D1pmUXgEU8-TWy_VILC8id1Gidv/view?usp=drivesdk</t>
  </si>
  <si>
    <t xml:space="preserve"> Issuance of Bid Documents  : 8:00AM - 5:00PM July 03, 2020 to 8:00AM - 10:00AM, July 14, 2020</t>
  </si>
  <si>
    <t xml:space="preserve"> Please see attached RFQ # 20-1217</t>
  </si>
  <si>
    <t xml:space="preserve"> https://drive.google.com/file/d/1BLzW9kq3CQC1wOpc5Jbqpbj_6g7PQyFB/view?usp=drivesdk PLAN 20CN0073</t>
  </si>
  <si>
    <t xml:space="preserve"> for queries, pls contact MS. ANJ EMETERIO at tel no. 405-7233 to 34, email address: mqemetrio@gmail.com</t>
  </si>
  <si>
    <t xml:space="preserve"> for queries, you may email MS. KIM STO. TOMAS  at kimjoyangeles@yahoo.com</t>
  </si>
  <si>
    <t xml:space="preserve"> Issuance of Bid Documents  : 8:00AM - 5:00PM June 20, 2020 to 8:00AM - 10:00AM, July 14, 2020</t>
  </si>
  <si>
    <t xml:space="preserve"> Please see attached RFQ # 20-1151 and Technical Specifications</t>
  </si>
  <si>
    <t xml:space="preserve"> Buyer: J. F. Ramos</t>
  </si>
  <si>
    <t xml:space="preserve"> https://drive.google.com/file/d/1KgHRA1CgLn0h8QZo9dFR0kgGgD4506Np/view?usp=drivesdk</t>
  </si>
  <si>
    <t xml:space="preserve"> See attached other associated components.</t>
  </si>
  <si>
    <t xml:space="preserve"> for inquiries, pls contact MS. ARVIE ESTRELLA at tel no. 8-405-7233 to 34, 8-5512200 locals 2452, 2453, 2731, 2609, 2979 &amp; 2290</t>
  </si>
  <si>
    <t xml:space="preserve"> https://drive.google.com/file/d/1NXXiu6oT-T8aIyAvcGZjbafYDCmP_pZD/view?usp=drivesdk</t>
  </si>
  <si>
    <t xml:space="preserve"> https://drive.google.com/file/d/1VX63br-L5q7cwB7jf3kttxaRtaN2z325/view?usp=drivesdk</t>
  </si>
  <si>
    <t xml:space="preserve"> please download associated documents</t>
  </si>
  <si>
    <t xml:space="preserve"> Also available at DPWH Website.</t>
  </si>
  <si>
    <t xml:space="preserve"> for queries, pls. contact MR. CHARM FLORIDO at tel nos. 85512200 locals 2452, 2453; 84057233 to 34</t>
  </si>
  <si>
    <t xml:space="preserve"> for queries, you may contact MS. LUBELLE LUMABAS AT TEL NO. 84057233 TO 34</t>
  </si>
  <si>
    <t xml:space="preserve"> https://drive.google.com/file/d/1a61i6rDWwf5GemzvzjWGF-r2Dl3bRn99/view?usp=drivesdk</t>
  </si>
  <si>
    <t xml:space="preserve"> for queries, you may email Ms. Anj Emeterio at mqemeterio@gmail.com</t>
  </si>
  <si>
    <t xml:space="preserve"> Interested consultants must submit their eligibility documents on or before July 30, 2020 2:00 P.M at the Bids and Awards Committee (BAC) for Consulting Services, BAC Conference Room, DPWH-Pampanga 2nd District Engineering Office, San Antonio, Guagua, Pampanga.   The short list shall consist of three (3) prospective bidders who will be entitled to attend the pre-bid conference on August 07, 2020 at 10:00 A.M. at the Department of Public Works &amp; Highways  Pampanga 2nd  DEO, San Antonio, Guagua, Pampanga. Submission of bids is on August 19, 2020            until  10:00 in the morning.</t>
  </si>
  <si>
    <t xml:space="preserve"> Bidders must download the attached documents  in the associated component</t>
  </si>
  <si>
    <t xml:space="preserve"> https://drive.google.com/file/d/1k6vDDEyelPVuGQuqdPTkWNgYLdLuQXJK/view?usp=drivesdk</t>
  </si>
  <si>
    <t xml:space="preserve"> • Similar Contracts: Supply and Delivery of Petroleum, Oil or Lubricant Products </t>
  </si>
  <si>
    <t xml:space="preserve"> https://drive.google.com/file/d/1ROX8D5qgVPEVBRDHd4yTTMYuyxsxpapN/view?usp=drivesdk</t>
  </si>
  <si>
    <t>MARY ANNE C LADO</t>
  </si>
  <si>
    <t>Michael Angelo J. Paras</t>
  </si>
  <si>
    <t>Angelika A. Paladan</t>
  </si>
  <si>
    <t>MANUEL JR. FLORES GASCO</t>
  </si>
  <si>
    <t>marivic manlabao rioja</t>
  </si>
  <si>
    <t>Abdul Rafi M. Lomondaya</t>
  </si>
  <si>
    <t>Benjamin C Mina</t>
  </si>
  <si>
    <t>Julio M Ramos</t>
  </si>
  <si>
    <t>MELLANY DAVE</t>
  </si>
  <si>
    <t>Ramer B. Panes</t>
  </si>
  <si>
    <t>RAFAEL LACBAYO SANTIAGO</t>
  </si>
  <si>
    <t>Johnnyline Pastor Jagdon</t>
  </si>
  <si>
    <t>Victor Jimenez Sotelo</t>
  </si>
  <si>
    <t>Arniel A. Abellonar</t>
  </si>
  <si>
    <t>dipolog water bac</t>
  </si>
  <si>
    <t>ALLAN ELIEZER M. MAL-IN</t>
  </si>
  <si>
    <t>Joseph Cañas Hernani</t>
  </si>
  <si>
    <t>ANECITA A. SESPEÑE</t>
  </si>
  <si>
    <t>Harold C. Duremdes</t>
  </si>
  <si>
    <t>Genesis Weiyn  Blando  Lee</t>
  </si>
  <si>
    <t>CHRISTOPHER GUBALANI BARCELLANO</t>
  </si>
  <si>
    <t>Michael, Jr. N Quizon</t>
  </si>
  <si>
    <t>DELIZA M CUTARA</t>
  </si>
  <si>
    <t>Edmundo Jr M Abueg</t>
  </si>
  <si>
    <t>ELLEN ROSE C. BAUTISTA</t>
  </si>
  <si>
    <t>Irma Danganan Lugue</t>
  </si>
  <si>
    <t>Atila S. Barre</t>
  </si>
  <si>
    <t>DAYANARA TOMAS ABALUS</t>
  </si>
  <si>
    <t>Ma. Nena T. Zapico</t>
  </si>
  <si>
    <t>Korina Sibulo Tronqued</t>
  </si>
  <si>
    <t>Engimer A. Ludovice</t>
  </si>
  <si>
    <t>Lorena Pasco Bodoso</t>
  </si>
  <si>
    <t>Genevieve Nuñez</t>
  </si>
  <si>
    <t>Bazil Nacman Cabria</t>
  </si>
  <si>
    <t>Nurhima Injani Badol</t>
  </si>
  <si>
    <t>Mark Joseph Justimbaste Calinao</t>
  </si>
  <si>
    <t>Jhune M Rivera</t>
  </si>
  <si>
    <t>Sheila Marie S Chua</t>
  </si>
  <si>
    <t>Veronica CV Esguerra</t>
  </si>
  <si>
    <t>Carlos J Martus</t>
  </si>
  <si>
    <t>Ryan Saguyod Apolonio</t>
  </si>
  <si>
    <t>Buenaventura Zaldivar Flandez</t>
  </si>
  <si>
    <t>Diphdalyn Aguillo Salazar</t>
  </si>
  <si>
    <t>Editha Ignacio De Lemos</t>
  </si>
  <si>
    <t>Marilou Seno Villanueva</t>
  </si>
  <si>
    <t>Czarina Facunla Palencia</t>
  </si>
  <si>
    <t>Ethyl M Deodor</t>
  </si>
  <si>
    <t>Jennylyn Fernando Macapagal</t>
  </si>
  <si>
    <t>Roderick D Domasig</t>
  </si>
  <si>
    <t>Roxanne C. Pimentel</t>
  </si>
  <si>
    <t>ALLEN JOY M. ESCALONA</t>
  </si>
  <si>
    <t>Jose Marlowe Torrefranca Echem</t>
  </si>
  <si>
    <t>Daisy Acero Umbina</t>
  </si>
  <si>
    <t>Glory Vi A. Mesina</t>
  </si>
  <si>
    <t>Rosemarie B. Rivera</t>
  </si>
  <si>
    <t>Mark J. Arceo</t>
  </si>
  <si>
    <t>Lawrence Nacpil Carlos</t>
  </si>
  <si>
    <t>PERSEUS B PANGALIMAN</t>
  </si>
  <si>
    <t>Jhea E Ebal</t>
  </si>
  <si>
    <t>Roxanne Padilla</t>
  </si>
  <si>
    <t>Joseph R. Sermonia</t>
  </si>
  <si>
    <t>Elrey Garcia Belga</t>
  </si>
  <si>
    <t>Raymond Pulido Gelacio</t>
  </si>
  <si>
    <t>Loel Bacatan Fajardo</t>
  </si>
  <si>
    <t>Arthur Molenilla Balmadrid</t>
  </si>
  <si>
    <t>Grace Ipongan Daniel</t>
  </si>
  <si>
    <t>Lindy C. Llona</t>
  </si>
  <si>
    <t>RONALD S LANGBAN</t>
  </si>
  <si>
    <t>Marino E Martinquilla</t>
  </si>
  <si>
    <t>AIVIE MAE BUTUAN ALIUDIN</t>
  </si>
  <si>
    <t>LORY MAHINAY GUANI</t>
  </si>
  <si>
    <t>Nelzar Borres Arsenio</t>
  </si>
  <si>
    <t>Michael Rey Villaluz Biado</t>
  </si>
  <si>
    <t>Rodelio Jr. Abordo Vera</t>
  </si>
  <si>
    <t>Gemma Pugong Luglug</t>
  </si>
  <si>
    <t>Liza C Dorado</t>
  </si>
  <si>
    <t>Florence P. Tiu</t>
  </si>
  <si>
    <t>Serafin v Tiu, Jr.</t>
  </si>
  <si>
    <t>ALVIAR P. SALAGUBANG</t>
  </si>
  <si>
    <t>REYNALDO B OBEDOZA</t>
  </si>
  <si>
    <t>Imelda P Abuan</t>
  </si>
  <si>
    <t>Marife Aglosolos</t>
  </si>
  <si>
    <t>Rosario Fe Quizon Arevalo</t>
  </si>
  <si>
    <t>Aldren Galido Madelozo</t>
  </si>
  <si>
    <t>ELIZABETH S. FERNANDEZ</t>
  </si>
  <si>
    <t>Zandro A. Samarista</t>
  </si>
  <si>
    <t>Lydia Yumang Vinculado</t>
  </si>
  <si>
    <t>Raquel Soriano Familara</t>
  </si>
  <si>
    <t>Marc Alexis M Arabe</t>
  </si>
  <si>
    <t>Ciara Joy Cabrera Esteban</t>
  </si>
  <si>
    <t>BIENVENIDA PAMAN DULCERO</t>
  </si>
  <si>
    <t>Generoso Jr. Projillo Maghopoy</t>
  </si>
  <si>
    <t>Noli U. Guiad</t>
  </si>
  <si>
    <t>Redan I Cognito</t>
  </si>
  <si>
    <t>Melchor Talosig Halog</t>
  </si>
  <si>
    <t>Roy C Gonzales</t>
  </si>
  <si>
    <t>Kristine Alonzo Gealan</t>
  </si>
  <si>
    <t>Maylen Asuncion</t>
  </si>
  <si>
    <t>Katherine V Veracruz</t>
  </si>
  <si>
    <t>Alito D Rafales</t>
  </si>
  <si>
    <t>Melanie Calura Rufino</t>
  </si>
  <si>
    <t>Rommel T Reamico</t>
  </si>
  <si>
    <t>Jevic Gadon Daguno</t>
  </si>
  <si>
    <t>Christian Ian Caligagan Villarin</t>
  </si>
  <si>
    <t>MARILOU DERION PEDOS</t>
  </si>
  <si>
    <t>Brett Andrew Surell</t>
  </si>
  <si>
    <t>Juanito Biadnes Acorin</t>
  </si>
  <si>
    <t>Jenalyn Julaton Acosta</t>
  </si>
  <si>
    <t>REYSHA  T.  QUIMADO</t>
  </si>
  <si>
    <t>Rodel H. Lim</t>
  </si>
  <si>
    <t>Sharmaine J. Vicente</t>
  </si>
  <si>
    <t>Cheryl J. Siana</t>
  </si>
  <si>
    <t>RANDY R MALIWAT</t>
  </si>
  <si>
    <t>Eduardo D. Fernandez</t>
  </si>
  <si>
    <t>Haydee Asparin Espinosa</t>
  </si>
  <si>
    <t>Cynthlyn Alfante Gutierez</t>
  </si>
  <si>
    <t>Pinky Miriam D Canlas</t>
  </si>
  <si>
    <t>Mary Zhane Acosta</t>
  </si>
  <si>
    <t>Isidro Alabag Gumpad</t>
  </si>
  <si>
    <t>Reynold Q. Velos</t>
  </si>
  <si>
    <t>Dionesia B. Lagas</t>
  </si>
  <si>
    <t>Roland Dayuno Morales</t>
  </si>
  <si>
    <t>ROEL B CADAGAT</t>
  </si>
  <si>
    <t>Fe P Sagre</t>
  </si>
  <si>
    <t>ZORAYA B. MASAKAL</t>
  </si>
  <si>
    <t>Amelia P. Santos</t>
  </si>
  <si>
    <t>Vince Kyle Dizon Timbol</t>
  </si>
  <si>
    <t>Jed D Panes</t>
  </si>
  <si>
    <t>Aurelia Araoarao Bongcac</t>
  </si>
  <si>
    <t>Philip Al C. Estacion</t>
  </si>
  <si>
    <t>Castor Gracilla Verdeblanco</t>
  </si>
  <si>
    <t>Nerichelle R Bobis</t>
  </si>
  <si>
    <t>Jasmin Macaspag Dacaynos</t>
  </si>
  <si>
    <t>Julius Raymond Y Gutierrez</t>
  </si>
  <si>
    <t>Joel R Perez</t>
  </si>
  <si>
    <t>EMMA SARAYAN LUBRINO</t>
  </si>
  <si>
    <t>Leonor F.  Santos</t>
  </si>
  <si>
    <t>11/02/2020</t>
  </si>
  <si>
    <t>28/11/2019</t>
  </si>
  <si>
    <t>09/06/2020</t>
  </si>
  <si>
    <t>11/03/2019</t>
  </si>
  <si>
    <t>15/10/2019</t>
  </si>
  <si>
    <t>02/01/2020</t>
  </si>
  <si>
    <t>04/02/2020</t>
  </si>
  <si>
    <t>16/09/2019</t>
  </si>
  <si>
    <t>06/02/2019</t>
  </si>
  <si>
    <t>25/05/2015</t>
  </si>
  <si>
    <t>06/05/2020</t>
  </si>
  <si>
    <t>19/04/2020</t>
  </si>
  <si>
    <t>26/07/2020</t>
  </si>
  <si>
    <t>24/04/2020</t>
  </si>
  <si>
    <t>21/10/2019</t>
  </si>
  <si>
    <t>22/06/2020</t>
  </si>
  <si>
    <t>05/06/2020</t>
  </si>
  <si>
    <t>16/06/2020</t>
  </si>
  <si>
    <t>21/05/2020</t>
  </si>
  <si>
    <t>29/04/2020</t>
  </si>
  <si>
    <t>27/05/2020</t>
  </si>
  <si>
    <t>31/03/2020</t>
  </si>
  <si>
    <t>16/04/2020</t>
  </si>
  <si>
    <t>26/03/2020</t>
  </si>
  <si>
    <t>02/03/2020</t>
  </si>
  <si>
    <t>29/01/2020</t>
  </si>
  <si>
    <t>13/02/2020</t>
  </si>
  <si>
    <t>19/12/2019</t>
  </si>
  <si>
    <t>23/01/2020</t>
  </si>
  <si>
    <t>18/02/2020</t>
  </si>
  <si>
    <t>25/02/2020</t>
  </si>
  <si>
    <t>09/03/2020</t>
  </si>
  <si>
    <t>01/06/2020</t>
  </si>
  <si>
    <t>25/04/2020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</si>
</sst>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19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HYPERLINK("https://www.philgeps.gov.ph/GEPSNONPILOT/Tender/SplashBidNoticeAbstractUI.aspx?menuIndex=3&amp;refID=7141943&amp;Result=3","7141943")</f>
        <v>0</v>
      </c>
      <c r="B2" t="s">
        <v>24</v>
      </c>
      <c r="C2" t="s">
        <v>3516</v>
      </c>
      <c r="D2" t="s">
        <v>17141</v>
      </c>
      <c r="E2" t="s">
        <v>17251</v>
      </c>
      <c r="F2" t="s">
        <v>29372</v>
      </c>
      <c r="G2" t="s">
        <v>29379</v>
      </c>
      <c r="H2" t="s">
        <v>29389</v>
      </c>
      <c r="I2" t="s">
        <v>4709</v>
      </c>
      <c r="J2" t="s">
        <v>29524</v>
      </c>
      <c r="K2" t="s">
        <v>38485</v>
      </c>
      <c r="M2" t="s">
        <v>38777</v>
      </c>
      <c r="N2" t="s">
        <v>42669</v>
      </c>
      <c r="O2" t="s">
        <v>42670</v>
      </c>
      <c r="P2">
        <v>0</v>
      </c>
      <c r="Q2">
        <v>2</v>
      </c>
      <c r="R2" t="s">
        <v>42671</v>
      </c>
      <c r="S2" t="s">
        <v>42779</v>
      </c>
      <c r="T2" t="s">
        <v>44348</v>
      </c>
      <c r="U2" t="s">
        <v>44881</v>
      </c>
      <c r="W2" t="s">
        <v>38777</v>
      </c>
      <c r="X2" t="s">
        <v>42699</v>
      </c>
    </row>
    <row r="3" spans="1:24">
      <c r="A3">
        <f>HYPERLINK("https://www.philgeps.gov.ph/GEPSNONPILOT/Tender/SplashBidNoticeAbstractUI.aspx?menuIndex=3&amp;refID=7177236&amp;Result=3","7177236")</f>
        <v>0</v>
      </c>
      <c r="B3" t="s">
        <v>25</v>
      </c>
      <c r="C3" t="s">
        <v>3517</v>
      </c>
      <c r="D3" t="s">
        <v>17142</v>
      </c>
      <c r="E3" t="s">
        <v>3517</v>
      </c>
      <c r="F3" t="s">
        <v>29372</v>
      </c>
      <c r="G3" t="s">
        <v>29379</v>
      </c>
      <c r="H3" t="s">
        <v>11048</v>
      </c>
      <c r="I3" t="s">
        <v>3670</v>
      </c>
      <c r="J3" t="s">
        <v>29525</v>
      </c>
      <c r="K3" t="s">
        <v>38485</v>
      </c>
      <c r="M3" t="s">
        <v>38778</v>
      </c>
      <c r="N3" t="s">
        <v>42669</v>
      </c>
      <c r="O3" t="s">
        <v>42670</v>
      </c>
      <c r="P3">
        <v>0</v>
      </c>
      <c r="Q3">
        <v>0</v>
      </c>
      <c r="R3" t="s">
        <v>42671</v>
      </c>
      <c r="S3" t="s">
        <v>42779</v>
      </c>
      <c r="T3" t="s">
        <v>44349</v>
      </c>
      <c r="U3" t="s">
        <v>44882</v>
      </c>
      <c r="W3" t="s">
        <v>38778</v>
      </c>
      <c r="X3" t="s">
        <v>42683</v>
      </c>
    </row>
    <row r="4" spans="1:24">
      <c r="A4">
        <f>HYPERLINK("https://www.philgeps.gov.ph/GEPSNONPILOT/Tender/SplashBidNoticeAbstractUI.aspx?menuIndex=3&amp;refID=7176767&amp;Result=3","7176767")</f>
        <v>0</v>
      </c>
      <c r="B4" t="s">
        <v>26</v>
      </c>
      <c r="C4" t="s">
        <v>3518</v>
      </c>
      <c r="D4" t="s">
        <v>17143</v>
      </c>
      <c r="E4" t="s">
        <v>17252</v>
      </c>
      <c r="F4" t="s">
        <v>29372</v>
      </c>
      <c r="G4" t="s">
        <v>29379</v>
      </c>
      <c r="H4" t="s">
        <v>29390</v>
      </c>
      <c r="I4" t="s">
        <v>29392</v>
      </c>
      <c r="J4" t="s">
        <v>29526</v>
      </c>
      <c r="K4" t="s">
        <v>38486</v>
      </c>
      <c r="L4" t="s">
        <v>26</v>
      </c>
      <c r="M4" t="s">
        <v>38779</v>
      </c>
      <c r="N4" t="s">
        <v>42669</v>
      </c>
      <c r="O4" t="s">
        <v>42670</v>
      </c>
      <c r="P4">
        <v>0</v>
      </c>
      <c r="Q4">
        <v>0</v>
      </c>
      <c r="R4" t="s">
        <v>42671</v>
      </c>
      <c r="S4" t="s">
        <v>42779</v>
      </c>
      <c r="T4" t="s">
        <v>44350</v>
      </c>
      <c r="U4" t="s">
        <v>44883</v>
      </c>
      <c r="W4" t="s">
        <v>38779</v>
      </c>
      <c r="X4" t="s">
        <v>42683</v>
      </c>
    </row>
    <row r="5" spans="1:24">
      <c r="A5">
        <f>HYPERLINK("https://www.philgeps.gov.ph/GEPSNONPILOT/Tender/SplashBidNoticeAbstractUI.aspx?menuIndex=3&amp;refID=7173668&amp;Result=3","7173668")</f>
        <v>0</v>
      </c>
      <c r="B5" t="s">
        <v>27</v>
      </c>
      <c r="C5" t="s">
        <v>3519</v>
      </c>
      <c r="D5" t="s">
        <v>17141</v>
      </c>
      <c r="E5" t="s">
        <v>17253</v>
      </c>
      <c r="F5" t="s">
        <v>29372</v>
      </c>
      <c r="G5" t="s">
        <v>29380</v>
      </c>
      <c r="H5" t="s">
        <v>11048</v>
      </c>
      <c r="I5" t="s">
        <v>8614</v>
      </c>
      <c r="J5" t="s">
        <v>29527</v>
      </c>
      <c r="K5" t="s">
        <v>38487</v>
      </c>
      <c r="M5" t="s">
        <v>38780</v>
      </c>
      <c r="N5" t="s">
        <v>42669</v>
      </c>
      <c r="O5" t="s">
        <v>42670</v>
      </c>
      <c r="P5">
        <v>0</v>
      </c>
      <c r="Q5">
        <v>17</v>
      </c>
      <c r="R5" t="s">
        <v>42671</v>
      </c>
      <c r="S5" t="s">
        <v>42779</v>
      </c>
      <c r="T5" t="s">
        <v>44351</v>
      </c>
      <c r="U5" t="s">
        <v>44884</v>
      </c>
      <c r="W5" t="s">
        <v>38780</v>
      </c>
      <c r="X5" t="s">
        <v>42684</v>
      </c>
    </row>
    <row r="6" spans="1:24">
      <c r="A6">
        <f>HYPERLINK("https://www.philgeps.gov.ph/GEPSNONPILOT/Tender/SplashBidNoticeAbstractUI.aspx?menuIndex=3&amp;refID=7182478&amp;Result=3","7182478")</f>
        <v>0</v>
      </c>
      <c r="B6" t="s">
        <v>28</v>
      </c>
      <c r="C6" t="s">
        <v>3520</v>
      </c>
      <c r="D6" t="s">
        <v>17144</v>
      </c>
      <c r="E6" t="s">
        <v>17254</v>
      </c>
      <c r="F6" t="s">
        <v>29372</v>
      </c>
      <c r="G6" t="s">
        <v>29380</v>
      </c>
      <c r="H6" t="s">
        <v>11048</v>
      </c>
      <c r="I6" t="s">
        <v>29393</v>
      </c>
      <c r="J6" t="s">
        <v>29528</v>
      </c>
      <c r="K6" t="s">
        <v>38488</v>
      </c>
      <c r="M6" t="s">
        <v>38781</v>
      </c>
      <c r="N6" t="s">
        <v>42669</v>
      </c>
      <c r="O6" t="s">
        <v>42670</v>
      </c>
      <c r="P6">
        <v>0</v>
      </c>
      <c r="Q6">
        <v>2</v>
      </c>
      <c r="R6" t="s">
        <v>42671</v>
      </c>
      <c r="S6" t="s">
        <v>42779</v>
      </c>
      <c r="T6" t="s">
        <v>44352</v>
      </c>
      <c r="U6" t="s">
        <v>44885</v>
      </c>
      <c r="W6" t="s">
        <v>38781</v>
      </c>
      <c r="X6" t="s">
        <v>42679</v>
      </c>
    </row>
    <row r="7" spans="1:24">
      <c r="A7">
        <f>HYPERLINK("https://www.philgeps.gov.ph/GEPSNONPILOT/Tender/SplashBidNoticeAbstractUI.aspx?menuIndex=3&amp;refID=7159262&amp;Result=3","7159262")</f>
        <v>0</v>
      </c>
      <c r="B7" t="s">
        <v>29</v>
      </c>
      <c r="C7" t="s">
        <v>3521</v>
      </c>
      <c r="D7" t="s">
        <v>17141</v>
      </c>
      <c r="E7" t="s">
        <v>17255</v>
      </c>
      <c r="F7" t="s">
        <v>29372</v>
      </c>
      <c r="G7" t="s">
        <v>29379</v>
      </c>
      <c r="H7" t="s">
        <v>11048</v>
      </c>
      <c r="I7" t="s">
        <v>3670</v>
      </c>
      <c r="J7" t="s">
        <v>29529</v>
      </c>
      <c r="K7" t="s">
        <v>38489</v>
      </c>
      <c r="M7" t="s">
        <v>38782</v>
      </c>
      <c r="N7" t="s">
        <v>42669</v>
      </c>
      <c r="O7" t="s">
        <v>42670</v>
      </c>
      <c r="P7">
        <v>0</v>
      </c>
      <c r="Q7">
        <v>9</v>
      </c>
      <c r="R7" t="s">
        <v>42671</v>
      </c>
      <c r="S7" t="s">
        <v>42779</v>
      </c>
      <c r="T7" t="s">
        <v>44353</v>
      </c>
      <c r="U7" t="s">
        <v>44886</v>
      </c>
      <c r="W7" t="s">
        <v>38782</v>
      </c>
      <c r="X7" t="s">
        <v>42690</v>
      </c>
    </row>
    <row r="8" spans="1:24">
      <c r="A8">
        <f>HYPERLINK("https://www.philgeps.gov.ph/GEPSNONPILOT/Tender/SplashBidNoticeAbstractUI.aspx?menuIndex=3&amp;refID=7153238&amp;Result=3","7153238")</f>
        <v>0</v>
      </c>
      <c r="B8" t="s">
        <v>30</v>
      </c>
      <c r="C8" t="s">
        <v>3522</v>
      </c>
      <c r="D8" t="s">
        <v>17145</v>
      </c>
      <c r="E8" t="s">
        <v>17256</v>
      </c>
      <c r="F8" t="s">
        <v>29373</v>
      </c>
      <c r="G8" t="s">
        <v>29379</v>
      </c>
      <c r="H8" t="s">
        <v>11048</v>
      </c>
      <c r="I8" t="s">
        <v>3629</v>
      </c>
      <c r="J8" t="s">
        <v>29530</v>
      </c>
      <c r="K8" t="s">
        <v>38485</v>
      </c>
      <c r="M8" t="s">
        <v>38783</v>
      </c>
      <c r="N8" t="s">
        <v>42669</v>
      </c>
      <c r="O8" t="s">
        <v>42670</v>
      </c>
      <c r="P8">
        <v>0</v>
      </c>
      <c r="Q8">
        <v>0</v>
      </c>
      <c r="R8" t="s">
        <v>42671</v>
      </c>
      <c r="S8" t="s">
        <v>42779</v>
      </c>
      <c r="T8" t="s">
        <v>44354</v>
      </c>
      <c r="U8" t="s">
        <v>44887</v>
      </c>
      <c r="W8" t="s">
        <v>38783</v>
      </c>
      <c r="X8" t="s">
        <v>42692</v>
      </c>
    </row>
    <row r="9" spans="1:24">
      <c r="A9">
        <f>HYPERLINK("https://www.philgeps.gov.ph/GEPSNONPILOT/Tender/SplashBidNoticeAbstractUI.aspx?menuIndex=3&amp;refID=7147067&amp;Result=3","7147067")</f>
        <v>0</v>
      </c>
      <c r="B9" t="s">
        <v>31</v>
      </c>
      <c r="C9" t="s">
        <v>3523</v>
      </c>
      <c r="D9" t="s">
        <v>17146</v>
      </c>
      <c r="E9" t="s">
        <v>17257</v>
      </c>
      <c r="F9" t="s">
        <v>29372</v>
      </c>
      <c r="G9" t="s">
        <v>29380</v>
      </c>
      <c r="H9" t="s">
        <v>11048</v>
      </c>
      <c r="I9" t="s">
        <v>4709</v>
      </c>
      <c r="J9" t="s">
        <v>29531</v>
      </c>
      <c r="K9" t="s">
        <v>38490</v>
      </c>
      <c r="M9" t="s">
        <v>38784</v>
      </c>
      <c r="N9" t="s">
        <v>42669</v>
      </c>
      <c r="O9" t="s">
        <v>42670</v>
      </c>
      <c r="P9">
        <v>0</v>
      </c>
      <c r="Q9">
        <v>0</v>
      </c>
      <c r="R9" t="s">
        <v>42671</v>
      </c>
      <c r="S9" t="s">
        <v>42779</v>
      </c>
      <c r="T9" t="s">
        <v>44355</v>
      </c>
      <c r="U9" t="s">
        <v>44888</v>
      </c>
      <c r="W9" t="s">
        <v>38784</v>
      </c>
      <c r="X9" t="s">
        <v>42697</v>
      </c>
    </row>
    <row r="10" spans="1:24">
      <c r="A10">
        <f>HYPERLINK("https://www.philgeps.gov.ph/GEPSNONPILOT/Tender/SplashBidNoticeAbstractUI.aspx?menuIndex=3&amp;refID=7178979&amp;Result=3","7178979")</f>
        <v>0</v>
      </c>
      <c r="B10" t="s">
        <v>32</v>
      </c>
      <c r="C10" t="s">
        <v>3524</v>
      </c>
      <c r="E10" t="s">
        <v>17258</v>
      </c>
      <c r="F10" t="s">
        <v>29372</v>
      </c>
      <c r="G10" t="s">
        <v>29380</v>
      </c>
      <c r="H10" t="s">
        <v>29389</v>
      </c>
      <c r="I10" t="s">
        <v>10408</v>
      </c>
      <c r="J10" t="s">
        <v>29532</v>
      </c>
      <c r="K10" t="s">
        <v>38491</v>
      </c>
      <c r="M10" t="s">
        <v>38785</v>
      </c>
      <c r="N10" t="s">
        <v>42669</v>
      </c>
      <c r="O10" t="s">
        <v>42670</v>
      </c>
      <c r="P10">
        <v>0</v>
      </c>
      <c r="Q10">
        <v>0</v>
      </c>
      <c r="R10" t="s">
        <v>42671</v>
      </c>
      <c r="S10" t="s">
        <v>42779</v>
      </c>
      <c r="T10" t="s">
        <v>44356</v>
      </c>
      <c r="U10" t="s">
        <v>44889</v>
      </c>
      <c r="W10" t="s">
        <v>38785</v>
      </c>
      <c r="X10" t="s">
        <v>42682</v>
      </c>
    </row>
    <row r="11" spans="1:24">
      <c r="A11">
        <f>HYPERLINK("https://www.philgeps.gov.ph/GEPSNONPILOT/Tender/SplashBidNoticeAbstractUI.aspx?menuIndex=3&amp;refID=7185961&amp;Result=3","7185961")</f>
        <v>0</v>
      </c>
      <c r="B11" t="s">
        <v>33</v>
      </c>
      <c r="C11" t="s">
        <v>3525</v>
      </c>
      <c r="D11" t="s">
        <v>17147</v>
      </c>
      <c r="E11" t="s">
        <v>17259</v>
      </c>
      <c r="F11" t="s">
        <v>29372</v>
      </c>
      <c r="G11" t="s">
        <v>29380</v>
      </c>
      <c r="H11" t="s">
        <v>29389</v>
      </c>
      <c r="I11" t="s">
        <v>10408</v>
      </c>
      <c r="J11" t="s">
        <v>29533</v>
      </c>
      <c r="K11" t="s">
        <v>38492</v>
      </c>
      <c r="M11" t="s">
        <v>38786</v>
      </c>
      <c r="N11" t="s">
        <v>42669</v>
      </c>
      <c r="O11" t="s">
        <v>42670</v>
      </c>
      <c r="P11">
        <v>0</v>
      </c>
      <c r="Q11">
        <v>0</v>
      </c>
      <c r="R11" t="s">
        <v>42671</v>
      </c>
      <c r="S11" t="s">
        <v>42779</v>
      </c>
      <c r="T11" t="s">
        <v>44357</v>
      </c>
      <c r="U11" t="s">
        <v>44890</v>
      </c>
      <c r="W11" t="s">
        <v>38786</v>
      </c>
      <c r="X11" t="s">
        <v>42678</v>
      </c>
    </row>
    <row r="12" spans="1:24">
      <c r="A12">
        <f>HYPERLINK("https://www.philgeps.gov.ph/GEPSNONPILOT/Tender/SplashBidNoticeAbstractUI.aspx?menuIndex=3&amp;refID=7185923&amp;Result=3","7185923")</f>
        <v>0</v>
      </c>
      <c r="B12" t="s">
        <v>33</v>
      </c>
      <c r="C12" t="s">
        <v>3526</v>
      </c>
      <c r="D12" t="s">
        <v>17147</v>
      </c>
      <c r="E12" t="s">
        <v>17260</v>
      </c>
      <c r="F12" t="s">
        <v>29372</v>
      </c>
      <c r="G12" t="s">
        <v>29380</v>
      </c>
      <c r="H12" t="s">
        <v>29389</v>
      </c>
      <c r="I12" t="s">
        <v>10408</v>
      </c>
      <c r="J12" t="s">
        <v>29534</v>
      </c>
      <c r="K12" t="s">
        <v>38493</v>
      </c>
      <c r="M12" t="s">
        <v>38786</v>
      </c>
      <c r="N12" t="s">
        <v>42669</v>
      </c>
      <c r="O12" t="s">
        <v>42670</v>
      </c>
      <c r="P12">
        <v>0</v>
      </c>
      <c r="Q12">
        <v>0</v>
      </c>
      <c r="R12" t="s">
        <v>42671</v>
      </c>
      <c r="S12" t="s">
        <v>42779</v>
      </c>
      <c r="T12" t="s">
        <v>44357</v>
      </c>
      <c r="U12" t="s">
        <v>44891</v>
      </c>
      <c r="W12" t="s">
        <v>38786</v>
      </c>
      <c r="X12" t="s">
        <v>42678</v>
      </c>
    </row>
    <row r="13" spans="1:24">
      <c r="A13">
        <f>HYPERLINK("https://www.philgeps.gov.ph/GEPSNONPILOT/Tender/SplashBidNoticeAbstractUI.aspx?menuIndex=3&amp;refID=7185863&amp;Result=3","7185863")</f>
        <v>0</v>
      </c>
      <c r="B13" t="s">
        <v>33</v>
      </c>
      <c r="C13" t="s">
        <v>3527</v>
      </c>
      <c r="D13" t="s">
        <v>17147</v>
      </c>
      <c r="E13" t="s">
        <v>17261</v>
      </c>
      <c r="F13" t="s">
        <v>29372</v>
      </c>
      <c r="G13" t="s">
        <v>29380</v>
      </c>
      <c r="H13" t="s">
        <v>29389</v>
      </c>
      <c r="I13" t="s">
        <v>10408</v>
      </c>
      <c r="J13" t="s">
        <v>29535</v>
      </c>
      <c r="K13" t="s">
        <v>38494</v>
      </c>
      <c r="M13" t="s">
        <v>38786</v>
      </c>
      <c r="N13" t="s">
        <v>42669</v>
      </c>
      <c r="O13" t="s">
        <v>42670</v>
      </c>
      <c r="P13">
        <v>0</v>
      </c>
      <c r="Q13">
        <v>0</v>
      </c>
      <c r="R13" t="s">
        <v>42671</v>
      </c>
      <c r="S13" t="s">
        <v>42779</v>
      </c>
      <c r="T13" t="s">
        <v>44358</v>
      </c>
      <c r="U13" t="s">
        <v>44892</v>
      </c>
      <c r="W13" t="s">
        <v>38786</v>
      </c>
      <c r="X13" t="s">
        <v>42678</v>
      </c>
    </row>
    <row r="14" spans="1:24">
      <c r="A14">
        <f>HYPERLINK("https://www.philgeps.gov.ph/GEPSNONPILOT/Tender/SplashBidNoticeAbstractUI.aspx?menuIndex=3&amp;refID=6855687&amp;Result=3","6855687")</f>
        <v>0</v>
      </c>
      <c r="B14" t="s">
        <v>34</v>
      </c>
      <c r="C14" t="s">
        <v>3528</v>
      </c>
      <c r="D14" t="s">
        <v>17148</v>
      </c>
      <c r="E14" t="s">
        <v>17262</v>
      </c>
      <c r="F14" t="s">
        <v>29372</v>
      </c>
      <c r="G14" t="s">
        <v>29380</v>
      </c>
      <c r="H14" t="s">
        <v>29389</v>
      </c>
      <c r="I14" t="s">
        <v>10408</v>
      </c>
      <c r="J14" t="s">
        <v>29536</v>
      </c>
      <c r="K14" t="s">
        <v>38495</v>
      </c>
      <c r="M14" t="s">
        <v>38787</v>
      </c>
      <c r="N14" t="s">
        <v>42669</v>
      </c>
      <c r="O14" t="s">
        <v>42670</v>
      </c>
      <c r="Q14">
        <v>39</v>
      </c>
      <c r="R14" t="s">
        <v>42671</v>
      </c>
      <c r="S14" t="s">
        <v>42780</v>
      </c>
      <c r="T14" t="s">
        <v>44359</v>
      </c>
      <c r="U14" t="s">
        <v>44893</v>
      </c>
      <c r="V14" t="s">
        <v>56325</v>
      </c>
      <c r="W14" t="s">
        <v>38787</v>
      </c>
      <c r="X14" t="s">
        <v>58138</v>
      </c>
    </row>
    <row r="15" spans="1:24">
      <c r="A15">
        <f>HYPERLINK("https://www.philgeps.gov.ph/GEPSNONPILOT/Tender/SplashBidNoticeAbstractUI.aspx?menuIndex=3&amp;refID=7180438&amp;Result=3","7180438")</f>
        <v>0</v>
      </c>
      <c r="B15" t="s">
        <v>35</v>
      </c>
      <c r="C15" t="s">
        <v>3529</v>
      </c>
      <c r="D15" t="s">
        <v>17149</v>
      </c>
      <c r="E15" t="s">
        <v>17263</v>
      </c>
      <c r="F15" t="s">
        <v>29372</v>
      </c>
      <c r="G15" t="s">
        <v>29380</v>
      </c>
      <c r="H15" t="s">
        <v>29389</v>
      </c>
      <c r="I15" t="s">
        <v>10408</v>
      </c>
      <c r="J15" t="s">
        <v>29537</v>
      </c>
      <c r="K15" t="s">
        <v>38496</v>
      </c>
      <c r="M15" t="s">
        <v>38788</v>
      </c>
      <c r="N15" t="s">
        <v>42669</v>
      </c>
      <c r="O15" t="s">
        <v>42670</v>
      </c>
      <c r="P15">
        <v>0</v>
      </c>
      <c r="Q15">
        <v>1</v>
      </c>
      <c r="R15" t="s">
        <v>42671</v>
      </c>
      <c r="S15" t="s">
        <v>42779</v>
      </c>
      <c r="T15" t="s">
        <v>44360</v>
      </c>
      <c r="U15" t="s">
        <v>44894</v>
      </c>
      <c r="W15" t="s">
        <v>38788</v>
      </c>
      <c r="X15" t="s">
        <v>42680</v>
      </c>
    </row>
    <row r="16" spans="1:24">
      <c r="A16">
        <f>HYPERLINK("https://www.philgeps.gov.ph/GEPSNONPILOT/Tender/SplashBidNoticeAbstractUI.aspx?menuIndex=3&amp;refID=7185997&amp;Result=3","7185997")</f>
        <v>0</v>
      </c>
      <c r="B16" t="s">
        <v>33</v>
      </c>
      <c r="C16" t="s">
        <v>3530</v>
      </c>
      <c r="D16" t="s">
        <v>17147</v>
      </c>
      <c r="E16" t="s">
        <v>17264</v>
      </c>
      <c r="F16" t="s">
        <v>29372</v>
      </c>
      <c r="G16" t="s">
        <v>29380</v>
      </c>
      <c r="H16" t="s">
        <v>29389</v>
      </c>
      <c r="I16" t="s">
        <v>10408</v>
      </c>
      <c r="J16" t="s">
        <v>29538</v>
      </c>
      <c r="K16" t="s">
        <v>38497</v>
      </c>
      <c r="M16" t="s">
        <v>38786</v>
      </c>
      <c r="N16" t="s">
        <v>42669</v>
      </c>
      <c r="O16" t="s">
        <v>42670</v>
      </c>
      <c r="P16">
        <v>0</v>
      </c>
      <c r="Q16">
        <v>0</v>
      </c>
      <c r="R16" t="s">
        <v>42671</v>
      </c>
      <c r="S16" t="s">
        <v>42779</v>
      </c>
      <c r="T16" t="s">
        <v>44357</v>
      </c>
      <c r="U16" t="s">
        <v>44895</v>
      </c>
      <c r="W16" t="s">
        <v>38786</v>
      </c>
      <c r="X16" t="s">
        <v>42678</v>
      </c>
    </row>
    <row r="17" spans="1:24">
      <c r="A17">
        <f>HYPERLINK("https://www.philgeps.gov.ph/GEPSNONPILOT/Tender/SplashBidNoticeAbstractUI.aspx?menuIndex=3&amp;refID=7186004&amp;Result=3","7186004")</f>
        <v>0</v>
      </c>
      <c r="B17" t="s">
        <v>36</v>
      </c>
      <c r="C17" t="s">
        <v>3531</v>
      </c>
      <c r="D17" t="s">
        <v>17150</v>
      </c>
      <c r="E17" t="s">
        <v>17265</v>
      </c>
      <c r="F17" t="s">
        <v>29372</v>
      </c>
      <c r="G17" t="s">
        <v>29380</v>
      </c>
      <c r="H17" t="s">
        <v>11048</v>
      </c>
      <c r="I17" t="s">
        <v>29394</v>
      </c>
      <c r="J17" t="s">
        <v>29539</v>
      </c>
      <c r="K17" t="s">
        <v>38485</v>
      </c>
      <c r="M17" t="s">
        <v>38789</v>
      </c>
      <c r="N17" t="s">
        <v>42669</v>
      </c>
      <c r="O17" t="s">
        <v>42670</v>
      </c>
      <c r="P17">
        <v>0</v>
      </c>
      <c r="Q17">
        <v>1</v>
      </c>
      <c r="R17" t="s">
        <v>42671</v>
      </c>
      <c r="S17" t="s">
        <v>42779</v>
      </c>
      <c r="T17" t="s">
        <v>44361</v>
      </c>
      <c r="U17" t="s">
        <v>44896</v>
      </c>
      <c r="V17" t="s">
        <v>56326</v>
      </c>
      <c r="W17" t="s">
        <v>38789</v>
      </c>
      <c r="X17" t="s">
        <v>42678</v>
      </c>
    </row>
    <row r="18" spans="1:24">
      <c r="A18">
        <f>HYPERLINK("https://www.philgeps.gov.ph/GEPSNONPILOT/Tender/SplashBidNoticeAbstractUI.aspx?menuIndex=3&amp;refID=7186301&amp;Result=3","7186301")</f>
        <v>0</v>
      </c>
      <c r="B18" t="s">
        <v>37</v>
      </c>
      <c r="C18" t="s">
        <v>3532</v>
      </c>
      <c r="E18" t="s">
        <v>17266</v>
      </c>
      <c r="F18" t="s">
        <v>29372</v>
      </c>
      <c r="G18" t="s">
        <v>29380</v>
      </c>
      <c r="H18" t="s">
        <v>11048</v>
      </c>
      <c r="I18" t="s">
        <v>9469</v>
      </c>
      <c r="J18" t="s">
        <v>29540</v>
      </c>
      <c r="K18" t="s">
        <v>38487</v>
      </c>
      <c r="M18" t="s">
        <v>38790</v>
      </c>
      <c r="N18" t="s">
        <v>42669</v>
      </c>
      <c r="O18" t="s">
        <v>42670</v>
      </c>
      <c r="P18">
        <v>0</v>
      </c>
      <c r="Q18">
        <v>2</v>
      </c>
      <c r="R18" t="s">
        <v>42671</v>
      </c>
      <c r="S18" t="s">
        <v>42779</v>
      </c>
      <c r="T18" t="s">
        <v>44362</v>
      </c>
      <c r="U18" t="s">
        <v>44897</v>
      </c>
      <c r="W18" t="s">
        <v>38790</v>
      </c>
      <c r="X18" t="s">
        <v>42678</v>
      </c>
    </row>
    <row r="19" spans="1:24">
      <c r="A19">
        <f>HYPERLINK("https://www.philgeps.gov.ph/GEPSNONPILOT/Tender/SplashBidNoticeAbstractUI.aspx?menuIndex=3&amp;refID=7186283&amp;Result=3","7186283")</f>
        <v>0</v>
      </c>
      <c r="B19" t="s">
        <v>37</v>
      </c>
      <c r="C19" t="s">
        <v>3532</v>
      </c>
      <c r="E19" t="s">
        <v>17267</v>
      </c>
      <c r="F19" t="s">
        <v>29372</v>
      </c>
      <c r="G19" t="s">
        <v>29380</v>
      </c>
      <c r="H19" t="s">
        <v>11048</v>
      </c>
      <c r="I19" t="s">
        <v>9469</v>
      </c>
      <c r="J19" t="s">
        <v>29541</v>
      </c>
      <c r="K19" t="s">
        <v>38487</v>
      </c>
      <c r="M19" t="s">
        <v>38790</v>
      </c>
      <c r="N19" t="s">
        <v>42669</v>
      </c>
      <c r="O19" t="s">
        <v>42670</v>
      </c>
      <c r="P19">
        <v>0</v>
      </c>
      <c r="Q19">
        <v>3</v>
      </c>
      <c r="R19" t="s">
        <v>42671</v>
      </c>
      <c r="S19" t="s">
        <v>42779</v>
      </c>
      <c r="T19" t="s">
        <v>44362</v>
      </c>
      <c r="U19" t="s">
        <v>44898</v>
      </c>
      <c r="W19" t="s">
        <v>38790</v>
      </c>
      <c r="X19" t="s">
        <v>42678</v>
      </c>
    </row>
    <row r="20" spans="1:24">
      <c r="A20">
        <f>HYPERLINK("https://www.philgeps.gov.ph/GEPSNONPILOT/Tender/SplashBidNoticeAbstractUI.aspx?menuIndex=3&amp;refID=7185824&amp;Result=3","7185824")</f>
        <v>0</v>
      </c>
      <c r="B20" t="s">
        <v>33</v>
      </c>
      <c r="C20" t="s">
        <v>3533</v>
      </c>
      <c r="D20" t="s">
        <v>17147</v>
      </c>
      <c r="E20" t="s">
        <v>17268</v>
      </c>
      <c r="F20" t="s">
        <v>29372</v>
      </c>
      <c r="G20" t="s">
        <v>29380</v>
      </c>
      <c r="H20" t="s">
        <v>29389</v>
      </c>
      <c r="I20" t="s">
        <v>10408</v>
      </c>
      <c r="J20" t="s">
        <v>29542</v>
      </c>
      <c r="K20" t="s">
        <v>38498</v>
      </c>
      <c r="M20" t="s">
        <v>38786</v>
      </c>
      <c r="N20" t="s">
        <v>42669</v>
      </c>
      <c r="O20" t="s">
        <v>42670</v>
      </c>
      <c r="P20">
        <v>0</v>
      </c>
      <c r="Q20">
        <v>0</v>
      </c>
      <c r="R20" t="s">
        <v>42671</v>
      </c>
      <c r="S20" t="s">
        <v>42779</v>
      </c>
      <c r="T20" t="s">
        <v>44358</v>
      </c>
      <c r="U20" t="s">
        <v>44899</v>
      </c>
      <c r="W20" t="s">
        <v>38786</v>
      </c>
      <c r="X20" t="s">
        <v>42678</v>
      </c>
    </row>
    <row r="21" spans="1:24">
      <c r="A21">
        <f>HYPERLINK("https://www.philgeps.gov.ph/GEPSNONPILOT/Tender/SplashBidNoticeAbstractUI.aspx?menuIndex=3&amp;refID=7186180&amp;Result=3","7186180")</f>
        <v>0</v>
      </c>
      <c r="B21" t="s">
        <v>37</v>
      </c>
      <c r="C21" t="s">
        <v>3534</v>
      </c>
      <c r="E21" t="s">
        <v>17269</v>
      </c>
      <c r="F21" t="s">
        <v>29372</v>
      </c>
      <c r="G21" t="s">
        <v>29380</v>
      </c>
      <c r="H21" t="s">
        <v>29389</v>
      </c>
      <c r="I21" t="s">
        <v>10408</v>
      </c>
      <c r="J21" t="s">
        <v>29543</v>
      </c>
      <c r="K21" t="s">
        <v>38499</v>
      </c>
      <c r="M21" t="s">
        <v>38790</v>
      </c>
      <c r="N21" t="s">
        <v>42669</v>
      </c>
      <c r="O21" t="s">
        <v>42670</v>
      </c>
      <c r="P21">
        <v>0</v>
      </c>
      <c r="Q21">
        <v>0</v>
      </c>
      <c r="R21" t="s">
        <v>42671</v>
      </c>
      <c r="S21" t="s">
        <v>42779</v>
      </c>
      <c r="T21" t="s">
        <v>44362</v>
      </c>
      <c r="U21" t="s">
        <v>44900</v>
      </c>
      <c r="W21" t="s">
        <v>38790</v>
      </c>
      <c r="X21" t="s">
        <v>42678</v>
      </c>
    </row>
    <row r="22" spans="1:24">
      <c r="A22">
        <f>HYPERLINK("https://www.philgeps.gov.ph/GEPSNONPILOT/Tender/SplashBidNoticeAbstractUI.aspx?menuIndex=3&amp;refID=7185711&amp;Result=3","7185711")</f>
        <v>0</v>
      </c>
      <c r="B22" t="s">
        <v>33</v>
      </c>
      <c r="C22" t="s">
        <v>3535</v>
      </c>
      <c r="D22" t="s">
        <v>17147</v>
      </c>
      <c r="E22" t="s">
        <v>17270</v>
      </c>
      <c r="F22" t="s">
        <v>29374</v>
      </c>
      <c r="G22" t="s">
        <v>29380</v>
      </c>
      <c r="H22" t="s">
        <v>29389</v>
      </c>
      <c r="I22" t="s">
        <v>10408</v>
      </c>
      <c r="J22" t="s">
        <v>29544</v>
      </c>
      <c r="K22" t="s">
        <v>38498</v>
      </c>
      <c r="M22" t="s">
        <v>38786</v>
      </c>
      <c r="N22" t="s">
        <v>42669</v>
      </c>
      <c r="O22" t="s">
        <v>42670</v>
      </c>
      <c r="P22">
        <v>0</v>
      </c>
      <c r="Q22">
        <v>0</v>
      </c>
      <c r="R22" t="s">
        <v>42671</v>
      </c>
      <c r="S22" t="s">
        <v>42779</v>
      </c>
      <c r="T22" t="s">
        <v>44358</v>
      </c>
      <c r="U22" t="s">
        <v>44901</v>
      </c>
      <c r="W22" t="s">
        <v>38786</v>
      </c>
      <c r="X22" t="s">
        <v>42678</v>
      </c>
    </row>
    <row r="23" spans="1:24">
      <c r="A23">
        <f>HYPERLINK("https://www.philgeps.gov.ph/GEPSNONPILOT/Tender/SplashBidNoticeAbstractUI.aspx?menuIndex=3&amp;refID=7187180&amp;Result=3","7187180")</f>
        <v>0</v>
      </c>
      <c r="B23" t="s">
        <v>38</v>
      </c>
      <c r="C23" t="s">
        <v>3536</v>
      </c>
      <c r="D23" t="s">
        <v>17151</v>
      </c>
      <c r="E23" t="s">
        <v>17271</v>
      </c>
      <c r="F23" t="s">
        <v>29372</v>
      </c>
      <c r="G23" t="s">
        <v>29380</v>
      </c>
      <c r="H23" t="s">
        <v>29389</v>
      </c>
      <c r="I23" t="s">
        <v>10408</v>
      </c>
      <c r="J23" t="s">
        <v>29545</v>
      </c>
      <c r="K23" t="s">
        <v>38500</v>
      </c>
      <c r="M23" t="s">
        <v>38791</v>
      </c>
      <c r="N23" t="s">
        <v>42669</v>
      </c>
      <c r="O23" t="s">
        <v>42670</v>
      </c>
      <c r="P23">
        <v>0</v>
      </c>
      <c r="Q23">
        <v>0</v>
      </c>
      <c r="R23" t="s">
        <v>42671</v>
      </c>
      <c r="S23" t="s">
        <v>42779</v>
      </c>
      <c r="T23" t="s">
        <v>44363</v>
      </c>
      <c r="U23" t="s">
        <v>44902</v>
      </c>
      <c r="V23" t="s">
        <v>56327</v>
      </c>
      <c r="W23" t="s">
        <v>38791</v>
      </c>
      <c r="X23" t="s">
        <v>42677</v>
      </c>
    </row>
    <row r="24" spans="1:24">
      <c r="A24">
        <f>HYPERLINK("https://www.philgeps.gov.ph/GEPSNONPILOT/Tender/SplashBidNoticeAbstractUI.aspx?menuIndex=3&amp;refID=7186996&amp;Result=3","7186996")</f>
        <v>0</v>
      </c>
      <c r="B24" t="s">
        <v>39</v>
      </c>
      <c r="C24" t="s">
        <v>3537</v>
      </c>
      <c r="D24" t="s">
        <v>17152</v>
      </c>
      <c r="E24" t="s">
        <v>17272</v>
      </c>
      <c r="F24" t="s">
        <v>29372</v>
      </c>
      <c r="G24" t="s">
        <v>29379</v>
      </c>
      <c r="H24" t="s">
        <v>11048</v>
      </c>
      <c r="I24" t="s">
        <v>8208</v>
      </c>
      <c r="J24" t="s">
        <v>29546</v>
      </c>
      <c r="K24" t="s">
        <v>38491</v>
      </c>
      <c r="M24" t="s">
        <v>38792</v>
      </c>
      <c r="N24" t="s">
        <v>42669</v>
      </c>
      <c r="O24" t="s">
        <v>42670</v>
      </c>
      <c r="P24">
        <v>0</v>
      </c>
      <c r="Q24">
        <v>0</v>
      </c>
      <c r="R24" t="s">
        <v>42671</v>
      </c>
      <c r="S24" t="s">
        <v>42779</v>
      </c>
      <c r="T24" t="s">
        <v>44364</v>
      </c>
      <c r="U24" t="s">
        <v>44903</v>
      </c>
      <c r="W24" t="s">
        <v>38792</v>
      </c>
      <c r="X24" t="s">
        <v>42677</v>
      </c>
    </row>
    <row r="25" spans="1:24">
      <c r="A25">
        <f>HYPERLINK("https://www.philgeps.gov.ph/GEPSNONPILOT/Tender/SplashBidNoticeAbstractUI.aspx?menuIndex=3&amp;refID=7186242&amp;Result=3","7186242")</f>
        <v>0</v>
      </c>
      <c r="B25" t="s">
        <v>33</v>
      </c>
      <c r="C25" t="s">
        <v>3538</v>
      </c>
      <c r="D25" t="s">
        <v>17147</v>
      </c>
      <c r="E25" t="s">
        <v>17273</v>
      </c>
      <c r="F25" t="s">
        <v>29372</v>
      </c>
      <c r="G25" t="s">
        <v>29380</v>
      </c>
      <c r="H25" t="s">
        <v>29389</v>
      </c>
      <c r="I25" t="s">
        <v>10408</v>
      </c>
      <c r="J25" t="s">
        <v>29547</v>
      </c>
      <c r="K25" t="s">
        <v>38501</v>
      </c>
      <c r="M25" t="s">
        <v>38786</v>
      </c>
      <c r="N25" t="s">
        <v>42669</v>
      </c>
      <c r="O25" t="s">
        <v>42670</v>
      </c>
      <c r="P25">
        <v>0</v>
      </c>
      <c r="Q25">
        <v>0</v>
      </c>
      <c r="R25" t="s">
        <v>42671</v>
      </c>
      <c r="S25" t="s">
        <v>42779</v>
      </c>
      <c r="T25" t="s">
        <v>44357</v>
      </c>
      <c r="U25" t="s">
        <v>44904</v>
      </c>
      <c r="W25" t="s">
        <v>38786</v>
      </c>
      <c r="X25" t="s">
        <v>42678</v>
      </c>
    </row>
    <row r="26" spans="1:24">
      <c r="A26">
        <f>HYPERLINK("https://www.philgeps.gov.ph/GEPSNONPILOT/Tender/SplashBidNoticeAbstractUI.aspx?menuIndex=3&amp;refID=7186234&amp;Result=3","7186234")</f>
        <v>0</v>
      </c>
      <c r="B26" t="s">
        <v>36</v>
      </c>
      <c r="C26" t="s">
        <v>3539</v>
      </c>
      <c r="D26" t="s">
        <v>17150</v>
      </c>
      <c r="E26" t="s">
        <v>17274</v>
      </c>
      <c r="F26" t="s">
        <v>29372</v>
      </c>
      <c r="G26" t="s">
        <v>29380</v>
      </c>
      <c r="H26" t="s">
        <v>11048</v>
      </c>
      <c r="I26" t="s">
        <v>29395</v>
      </c>
      <c r="J26" t="s">
        <v>29548</v>
      </c>
      <c r="K26" t="s">
        <v>38485</v>
      </c>
      <c r="M26" t="s">
        <v>38789</v>
      </c>
      <c r="N26" t="s">
        <v>42669</v>
      </c>
      <c r="O26" t="s">
        <v>42670</v>
      </c>
      <c r="P26">
        <v>0</v>
      </c>
      <c r="Q26">
        <v>0</v>
      </c>
      <c r="R26" t="s">
        <v>42671</v>
      </c>
      <c r="S26" t="s">
        <v>42779</v>
      </c>
      <c r="T26" t="s">
        <v>44361</v>
      </c>
      <c r="U26" t="s">
        <v>44905</v>
      </c>
      <c r="V26" t="s">
        <v>56326</v>
      </c>
      <c r="W26" t="s">
        <v>38789</v>
      </c>
      <c r="X26" t="s">
        <v>42678</v>
      </c>
    </row>
    <row r="27" spans="1:24">
      <c r="A27">
        <f>HYPERLINK("https://www.philgeps.gov.ph/GEPSNONPILOT/Tender/SplashBidNoticeAbstractUI.aspx?menuIndex=3&amp;refID=7186978&amp;Result=3","7186978")</f>
        <v>0</v>
      </c>
      <c r="B27" t="s">
        <v>39</v>
      </c>
      <c r="C27" t="s">
        <v>3540</v>
      </c>
      <c r="D27" t="s">
        <v>17152</v>
      </c>
      <c r="E27" t="s">
        <v>17275</v>
      </c>
      <c r="F27" t="s">
        <v>29372</v>
      </c>
      <c r="G27" t="s">
        <v>29379</v>
      </c>
      <c r="H27" t="s">
        <v>11048</v>
      </c>
      <c r="I27" t="s">
        <v>29396</v>
      </c>
      <c r="J27" t="s">
        <v>29549</v>
      </c>
      <c r="K27" t="s">
        <v>38491</v>
      </c>
      <c r="M27" t="s">
        <v>38792</v>
      </c>
      <c r="N27" t="s">
        <v>42669</v>
      </c>
      <c r="O27" t="s">
        <v>42670</v>
      </c>
      <c r="P27">
        <v>0</v>
      </c>
      <c r="Q27">
        <v>2</v>
      </c>
      <c r="R27" t="s">
        <v>42671</v>
      </c>
      <c r="S27" t="s">
        <v>42779</v>
      </c>
      <c r="T27" t="s">
        <v>44365</v>
      </c>
      <c r="U27" t="s">
        <v>44906</v>
      </c>
      <c r="W27" t="s">
        <v>38792</v>
      </c>
      <c r="X27" t="s">
        <v>42677</v>
      </c>
    </row>
    <row r="28" spans="1:24">
      <c r="A28">
        <f>HYPERLINK("https://www.philgeps.gov.ph/GEPSNONPILOT/Tender/SplashBidNoticeAbstractUI.aspx?menuIndex=3&amp;refID=7180439&amp;Result=3","7180439")</f>
        <v>0</v>
      </c>
      <c r="B28" t="s">
        <v>35</v>
      </c>
      <c r="C28" t="s">
        <v>3541</v>
      </c>
      <c r="D28" t="s">
        <v>17149</v>
      </c>
      <c r="E28" t="s">
        <v>17276</v>
      </c>
      <c r="F28" t="s">
        <v>29372</v>
      </c>
      <c r="G28" t="s">
        <v>29380</v>
      </c>
      <c r="H28" t="s">
        <v>29389</v>
      </c>
      <c r="I28" t="s">
        <v>10408</v>
      </c>
      <c r="J28" t="s">
        <v>29550</v>
      </c>
      <c r="K28" t="s">
        <v>38502</v>
      </c>
      <c r="M28" t="s">
        <v>38788</v>
      </c>
      <c r="N28" t="s">
        <v>42669</v>
      </c>
      <c r="O28" t="s">
        <v>42670</v>
      </c>
      <c r="P28">
        <v>0</v>
      </c>
      <c r="Q28">
        <v>0</v>
      </c>
      <c r="R28" t="s">
        <v>42671</v>
      </c>
      <c r="S28" t="s">
        <v>42779</v>
      </c>
      <c r="T28" t="s">
        <v>44360</v>
      </c>
      <c r="U28" t="s">
        <v>44907</v>
      </c>
      <c r="W28" t="s">
        <v>38788</v>
      </c>
      <c r="X28" t="s">
        <v>42680</v>
      </c>
    </row>
    <row r="29" spans="1:24">
      <c r="A29">
        <f>HYPERLINK("https://www.philgeps.gov.ph/GEPSNONPILOT/Tender/SplashBidNoticeAbstractUI.aspx?menuIndex=3&amp;refID=7186962&amp;Result=3","7186962")</f>
        <v>0</v>
      </c>
      <c r="B29" t="s">
        <v>39</v>
      </c>
      <c r="C29" t="s">
        <v>3542</v>
      </c>
      <c r="D29" t="s">
        <v>17152</v>
      </c>
      <c r="E29" t="s">
        <v>17277</v>
      </c>
      <c r="F29" t="s">
        <v>29372</v>
      </c>
      <c r="G29" t="s">
        <v>29379</v>
      </c>
      <c r="H29" t="s">
        <v>11048</v>
      </c>
      <c r="I29" t="s">
        <v>29393</v>
      </c>
      <c r="J29" t="s">
        <v>29551</v>
      </c>
      <c r="K29" t="s">
        <v>38491</v>
      </c>
      <c r="M29" t="s">
        <v>38792</v>
      </c>
      <c r="N29" t="s">
        <v>42669</v>
      </c>
      <c r="O29" t="s">
        <v>42670</v>
      </c>
      <c r="P29">
        <v>0</v>
      </c>
      <c r="Q29">
        <v>0</v>
      </c>
      <c r="R29" t="s">
        <v>42671</v>
      </c>
      <c r="S29" t="s">
        <v>42779</v>
      </c>
      <c r="T29" t="s">
        <v>44364</v>
      </c>
      <c r="U29" t="s">
        <v>44908</v>
      </c>
      <c r="W29" t="s">
        <v>38792</v>
      </c>
      <c r="X29" t="s">
        <v>42677</v>
      </c>
    </row>
    <row r="30" spans="1:24">
      <c r="A30">
        <f>HYPERLINK("https://www.philgeps.gov.ph/GEPSNONPILOT/Tender/SplashBidNoticeAbstractUI.aspx?menuIndex=3&amp;refID=7186381&amp;Result=3","7186381")</f>
        <v>0</v>
      </c>
      <c r="B30" t="s">
        <v>33</v>
      </c>
      <c r="C30" t="s">
        <v>3543</v>
      </c>
      <c r="D30" t="s">
        <v>17147</v>
      </c>
      <c r="E30" t="s">
        <v>17278</v>
      </c>
      <c r="F30" t="s">
        <v>29372</v>
      </c>
      <c r="G30" t="s">
        <v>29380</v>
      </c>
      <c r="H30" t="s">
        <v>29389</v>
      </c>
      <c r="I30" t="s">
        <v>10408</v>
      </c>
      <c r="J30" t="s">
        <v>29552</v>
      </c>
      <c r="K30" t="s">
        <v>38503</v>
      </c>
      <c r="M30" t="s">
        <v>38786</v>
      </c>
      <c r="N30" t="s">
        <v>42669</v>
      </c>
      <c r="O30" t="s">
        <v>42670</v>
      </c>
      <c r="P30">
        <v>0</v>
      </c>
      <c r="Q30">
        <v>0</v>
      </c>
      <c r="R30" t="s">
        <v>42671</v>
      </c>
      <c r="S30" t="s">
        <v>42779</v>
      </c>
      <c r="T30" t="s">
        <v>44364</v>
      </c>
      <c r="U30" t="s">
        <v>44909</v>
      </c>
      <c r="W30" t="s">
        <v>38786</v>
      </c>
      <c r="X30" t="s">
        <v>42678</v>
      </c>
    </row>
    <row r="31" spans="1:24">
      <c r="A31">
        <f>HYPERLINK("https://www.philgeps.gov.ph/GEPSNONPILOT/Tender/SplashBidNoticeAbstractUI.aspx?menuIndex=3&amp;refID=7186343&amp;Result=3","7186343")</f>
        <v>0</v>
      </c>
      <c r="B31" t="s">
        <v>37</v>
      </c>
      <c r="C31" t="s">
        <v>3544</v>
      </c>
      <c r="E31" t="s">
        <v>17279</v>
      </c>
      <c r="F31" t="s">
        <v>29372</v>
      </c>
      <c r="G31" t="s">
        <v>29380</v>
      </c>
      <c r="H31" t="s">
        <v>11048</v>
      </c>
      <c r="I31" t="s">
        <v>29395</v>
      </c>
      <c r="J31" t="s">
        <v>29553</v>
      </c>
      <c r="K31" t="s">
        <v>38487</v>
      </c>
      <c r="M31" t="s">
        <v>38790</v>
      </c>
      <c r="N31" t="s">
        <v>42669</v>
      </c>
      <c r="O31" t="s">
        <v>42670</v>
      </c>
      <c r="P31">
        <v>0</v>
      </c>
      <c r="Q31">
        <v>0</v>
      </c>
      <c r="R31" t="s">
        <v>42671</v>
      </c>
      <c r="S31" t="s">
        <v>42779</v>
      </c>
      <c r="T31" t="s">
        <v>44362</v>
      </c>
      <c r="U31" t="s">
        <v>44910</v>
      </c>
      <c r="W31" t="s">
        <v>38790</v>
      </c>
      <c r="X31" t="s">
        <v>42678</v>
      </c>
    </row>
    <row r="32" spans="1:24">
      <c r="A32">
        <f>HYPERLINK("https://www.philgeps.gov.ph/GEPSNONPILOT/Tender/SplashBidNoticeAbstractUI.aspx?menuIndex=3&amp;refID=7186325&amp;Result=3","7186325")</f>
        <v>0</v>
      </c>
      <c r="B32" t="s">
        <v>33</v>
      </c>
      <c r="C32" t="s">
        <v>3545</v>
      </c>
      <c r="D32" t="s">
        <v>17147</v>
      </c>
      <c r="E32" t="s">
        <v>17280</v>
      </c>
      <c r="F32" t="s">
        <v>29372</v>
      </c>
      <c r="G32" t="s">
        <v>29380</v>
      </c>
      <c r="H32" t="s">
        <v>29389</v>
      </c>
      <c r="I32" t="s">
        <v>10408</v>
      </c>
      <c r="J32" t="s">
        <v>29554</v>
      </c>
      <c r="K32" t="s">
        <v>38485</v>
      </c>
      <c r="M32" t="s">
        <v>38786</v>
      </c>
      <c r="N32" t="s">
        <v>42669</v>
      </c>
      <c r="O32" t="s">
        <v>42670</v>
      </c>
      <c r="P32">
        <v>0</v>
      </c>
      <c r="Q32">
        <v>0</v>
      </c>
      <c r="R32" t="s">
        <v>42671</v>
      </c>
      <c r="S32" t="s">
        <v>42779</v>
      </c>
      <c r="T32" t="s">
        <v>44357</v>
      </c>
      <c r="U32" t="s">
        <v>44911</v>
      </c>
      <c r="W32" t="s">
        <v>38786</v>
      </c>
      <c r="X32" t="s">
        <v>42678</v>
      </c>
    </row>
    <row r="33" spans="1:24">
      <c r="A33">
        <f>HYPERLINK("https://www.philgeps.gov.ph/GEPSNONPILOT/Tender/SplashBidNoticeAbstractUI.aspx?menuIndex=3&amp;refID=7186980&amp;Result=3","7186980")</f>
        <v>0</v>
      </c>
      <c r="B33" t="s">
        <v>39</v>
      </c>
      <c r="C33" t="s">
        <v>3546</v>
      </c>
      <c r="D33" t="s">
        <v>17152</v>
      </c>
      <c r="E33" t="s">
        <v>17281</v>
      </c>
      <c r="F33" t="s">
        <v>29372</v>
      </c>
      <c r="G33" t="s">
        <v>29379</v>
      </c>
      <c r="H33" t="s">
        <v>11048</v>
      </c>
      <c r="I33" t="s">
        <v>29397</v>
      </c>
      <c r="J33" t="s">
        <v>29555</v>
      </c>
      <c r="K33" t="s">
        <v>38491</v>
      </c>
      <c r="M33" t="s">
        <v>38792</v>
      </c>
      <c r="N33" t="s">
        <v>42669</v>
      </c>
      <c r="O33" t="s">
        <v>42670</v>
      </c>
      <c r="P33">
        <v>0</v>
      </c>
      <c r="Q33">
        <v>1</v>
      </c>
      <c r="R33" t="s">
        <v>42671</v>
      </c>
      <c r="S33" t="s">
        <v>42779</v>
      </c>
      <c r="T33" t="s">
        <v>44364</v>
      </c>
      <c r="U33" t="s">
        <v>44912</v>
      </c>
      <c r="W33" t="s">
        <v>38792</v>
      </c>
      <c r="X33" t="s">
        <v>42677</v>
      </c>
    </row>
    <row r="34" spans="1:24">
      <c r="A34">
        <f>HYPERLINK("https://www.philgeps.gov.ph/GEPSNONPILOT/Tender/SplashBidNoticeAbstractUI.aspx?menuIndex=3&amp;refID=7186157&amp;Result=3","7186157")</f>
        <v>0</v>
      </c>
      <c r="B34" t="s">
        <v>37</v>
      </c>
      <c r="C34" t="s">
        <v>3547</v>
      </c>
      <c r="E34" t="s">
        <v>17282</v>
      </c>
      <c r="F34" t="s">
        <v>29372</v>
      </c>
      <c r="G34" t="s">
        <v>29380</v>
      </c>
      <c r="H34" t="s">
        <v>29389</v>
      </c>
      <c r="I34" t="s">
        <v>10408</v>
      </c>
      <c r="J34" t="s">
        <v>29543</v>
      </c>
      <c r="K34" t="s">
        <v>38501</v>
      </c>
      <c r="M34" t="s">
        <v>38790</v>
      </c>
      <c r="N34" t="s">
        <v>42669</v>
      </c>
      <c r="O34" t="s">
        <v>42670</v>
      </c>
      <c r="P34">
        <v>0</v>
      </c>
      <c r="Q34">
        <v>0</v>
      </c>
      <c r="R34" t="s">
        <v>42671</v>
      </c>
      <c r="S34" t="s">
        <v>42779</v>
      </c>
      <c r="T34" t="s">
        <v>44362</v>
      </c>
      <c r="U34" t="s">
        <v>44913</v>
      </c>
      <c r="W34" t="s">
        <v>38790</v>
      </c>
      <c r="X34" t="s">
        <v>42678</v>
      </c>
    </row>
    <row r="35" spans="1:24">
      <c r="A35">
        <f>HYPERLINK("https://www.philgeps.gov.ph/GEPSNONPILOT/Tender/SplashBidNoticeAbstractUI.aspx?menuIndex=3&amp;refID=7186122&amp;Result=3","7186122")</f>
        <v>0</v>
      </c>
      <c r="B35" t="s">
        <v>37</v>
      </c>
      <c r="C35" t="s">
        <v>3548</v>
      </c>
      <c r="E35" t="s">
        <v>17283</v>
      </c>
      <c r="F35" t="s">
        <v>29372</v>
      </c>
      <c r="G35" t="s">
        <v>29380</v>
      </c>
      <c r="H35" t="s">
        <v>29389</v>
      </c>
      <c r="I35" t="s">
        <v>10408</v>
      </c>
      <c r="J35" t="s">
        <v>29543</v>
      </c>
      <c r="K35" t="s">
        <v>38504</v>
      </c>
      <c r="M35" t="s">
        <v>38790</v>
      </c>
      <c r="N35" t="s">
        <v>42669</v>
      </c>
      <c r="O35" t="s">
        <v>42670</v>
      </c>
      <c r="P35">
        <v>0</v>
      </c>
      <c r="Q35">
        <v>0</v>
      </c>
      <c r="R35" t="s">
        <v>42671</v>
      </c>
      <c r="S35" t="s">
        <v>42779</v>
      </c>
      <c r="T35" t="s">
        <v>44362</v>
      </c>
      <c r="U35" t="s">
        <v>44914</v>
      </c>
      <c r="W35" t="s">
        <v>38790</v>
      </c>
      <c r="X35" t="s">
        <v>42678</v>
      </c>
    </row>
    <row r="36" spans="1:24">
      <c r="A36">
        <f>HYPERLINK("https://www.philgeps.gov.ph/GEPSNONPILOT/Tender/SplashBidNoticeAbstractUI.aspx?menuIndex=3&amp;refID=7187305&amp;Result=3","7187305")</f>
        <v>0</v>
      </c>
      <c r="B36" t="s">
        <v>28</v>
      </c>
      <c r="C36" t="s">
        <v>3549</v>
      </c>
      <c r="D36" t="s">
        <v>17144</v>
      </c>
      <c r="E36" t="s">
        <v>17284</v>
      </c>
      <c r="F36" t="s">
        <v>29372</v>
      </c>
      <c r="G36" t="s">
        <v>29380</v>
      </c>
      <c r="H36" t="s">
        <v>29389</v>
      </c>
      <c r="I36" t="s">
        <v>10408</v>
      </c>
      <c r="J36" t="s">
        <v>29556</v>
      </c>
      <c r="K36" t="s">
        <v>38505</v>
      </c>
      <c r="M36" t="s">
        <v>38781</v>
      </c>
      <c r="N36" t="s">
        <v>42669</v>
      </c>
      <c r="O36" t="s">
        <v>42670</v>
      </c>
      <c r="P36">
        <v>0</v>
      </c>
      <c r="Q36">
        <v>1</v>
      </c>
      <c r="R36" t="s">
        <v>42671</v>
      </c>
      <c r="S36" t="s">
        <v>42779</v>
      </c>
      <c r="T36" t="s">
        <v>44352</v>
      </c>
      <c r="U36" t="s">
        <v>44915</v>
      </c>
      <c r="W36" t="s">
        <v>38781</v>
      </c>
      <c r="X36" t="s">
        <v>42677</v>
      </c>
    </row>
    <row r="37" spans="1:24">
      <c r="A37">
        <f>HYPERLINK("https://www.philgeps.gov.ph/GEPSNONPILOT/Tender/SplashBidNoticeAbstractUI.aspx?menuIndex=3&amp;refID=7186906&amp;Result=3","7186906")</f>
        <v>0</v>
      </c>
      <c r="B37" t="s">
        <v>40</v>
      </c>
      <c r="C37" t="s">
        <v>3550</v>
      </c>
      <c r="D37" t="s">
        <v>17151</v>
      </c>
      <c r="E37" t="s">
        <v>17285</v>
      </c>
      <c r="F37" t="s">
        <v>29372</v>
      </c>
      <c r="G37" t="s">
        <v>29380</v>
      </c>
      <c r="H37" t="s">
        <v>11048</v>
      </c>
      <c r="I37" t="s">
        <v>3695</v>
      </c>
      <c r="J37" t="s">
        <v>29557</v>
      </c>
      <c r="K37" t="s">
        <v>38485</v>
      </c>
      <c r="M37" t="s">
        <v>38793</v>
      </c>
      <c r="N37" t="s">
        <v>42669</v>
      </c>
      <c r="O37" t="s">
        <v>42670</v>
      </c>
      <c r="P37">
        <v>0</v>
      </c>
      <c r="Q37">
        <v>0</v>
      </c>
      <c r="R37" t="s">
        <v>42671</v>
      </c>
      <c r="S37" t="s">
        <v>42779</v>
      </c>
      <c r="T37" t="s">
        <v>44366</v>
      </c>
      <c r="U37" t="s">
        <v>44916</v>
      </c>
      <c r="V37" t="s">
        <v>56328</v>
      </c>
      <c r="W37" t="s">
        <v>38793</v>
      </c>
      <c r="X37" t="s">
        <v>42678</v>
      </c>
    </row>
    <row r="38" spans="1:24">
      <c r="A38">
        <f>HYPERLINK("https://www.philgeps.gov.ph/GEPSNONPILOT/Tender/SplashBidNoticeAbstractUI.aspx?menuIndex=3&amp;refID=7188513&amp;Result=3","7188513")</f>
        <v>0</v>
      </c>
      <c r="B38" t="s">
        <v>41</v>
      </c>
      <c r="C38" t="s">
        <v>3551</v>
      </c>
      <c r="D38" t="s">
        <v>17153</v>
      </c>
      <c r="E38" t="s">
        <v>17286</v>
      </c>
      <c r="F38" t="s">
        <v>29372</v>
      </c>
      <c r="G38" t="s">
        <v>29380</v>
      </c>
      <c r="H38" t="s">
        <v>11048</v>
      </c>
      <c r="I38" t="s">
        <v>3695</v>
      </c>
      <c r="J38" t="s">
        <v>29558</v>
      </c>
      <c r="K38" t="s">
        <v>38488</v>
      </c>
      <c r="M38" t="s">
        <v>38794</v>
      </c>
      <c r="N38" t="s">
        <v>42669</v>
      </c>
      <c r="O38" t="s">
        <v>42670</v>
      </c>
      <c r="P38">
        <v>0</v>
      </c>
      <c r="Q38">
        <v>1</v>
      </c>
      <c r="R38" t="s">
        <v>42671</v>
      </c>
      <c r="S38" t="s">
        <v>42779</v>
      </c>
      <c r="T38" t="s">
        <v>44367</v>
      </c>
      <c r="U38" t="s">
        <v>44917</v>
      </c>
      <c r="V38" t="s">
        <v>56329</v>
      </c>
      <c r="W38" t="s">
        <v>38794</v>
      </c>
      <c r="X38" t="s">
        <v>42677</v>
      </c>
    </row>
    <row r="39" spans="1:24">
      <c r="A39">
        <f>HYPERLINK("https://www.philgeps.gov.ph/GEPSNONPILOT/Tender/SplashBidNoticeAbstractUI.aspx?menuIndex=3&amp;refID=7188429&amp;Result=3","7188429")</f>
        <v>0</v>
      </c>
      <c r="B39" t="s">
        <v>41</v>
      </c>
      <c r="C39" t="s">
        <v>3552</v>
      </c>
      <c r="D39" t="s">
        <v>17153</v>
      </c>
      <c r="E39" t="s">
        <v>17287</v>
      </c>
      <c r="F39" t="s">
        <v>29372</v>
      </c>
      <c r="G39" t="s">
        <v>29380</v>
      </c>
      <c r="H39" t="s">
        <v>11048</v>
      </c>
      <c r="I39" t="s">
        <v>4486</v>
      </c>
      <c r="J39" t="s">
        <v>29559</v>
      </c>
      <c r="K39" t="s">
        <v>38488</v>
      </c>
      <c r="M39" t="s">
        <v>38794</v>
      </c>
      <c r="N39" t="s">
        <v>42669</v>
      </c>
      <c r="O39" t="s">
        <v>42670</v>
      </c>
      <c r="P39">
        <v>0</v>
      </c>
      <c r="Q39">
        <v>2</v>
      </c>
      <c r="R39" t="s">
        <v>42671</v>
      </c>
      <c r="S39" t="s">
        <v>42779</v>
      </c>
      <c r="T39" t="s">
        <v>44367</v>
      </c>
      <c r="U39" t="s">
        <v>44918</v>
      </c>
      <c r="V39" t="s">
        <v>56329</v>
      </c>
      <c r="W39" t="s">
        <v>38794</v>
      </c>
      <c r="X39" t="s">
        <v>42677</v>
      </c>
    </row>
    <row r="40" spans="1:24">
      <c r="A40">
        <f>HYPERLINK("https://www.philgeps.gov.ph/GEPSNONPILOT/Tender/SplashBidNoticeAbstractUI.aspx?menuIndex=3&amp;refID=7187419&amp;Result=3","7187419")</f>
        <v>0</v>
      </c>
      <c r="B40" t="s">
        <v>38</v>
      </c>
      <c r="C40" t="s">
        <v>3553</v>
      </c>
      <c r="D40" t="s">
        <v>17151</v>
      </c>
      <c r="E40" t="s">
        <v>17288</v>
      </c>
      <c r="F40" t="s">
        <v>29372</v>
      </c>
      <c r="G40" t="s">
        <v>29380</v>
      </c>
      <c r="H40" t="s">
        <v>29389</v>
      </c>
      <c r="I40" t="s">
        <v>10408</v>
      </c>
      <c r="J40" t="s">
        <v>29560</v>
      </c>
      <c r="K40" t="s">
        <v>38500</v>
      </c>
      <c r="M40" t="s">
        <v>38791</v>
      </c>
      <c r="N40" t="s">
        <v>42669</v>
      </c>
      <c r="O40" t="s">
        <v>42670</v>
      </c>
      <c r="P40">
        <v>0</v>
      </c>
      <c r="Q40">
        <v>1</v>
      </c>
      <c r="R40" t="s">
        <v>42671</v>
      </c>
      <c r="S40" t="s">
        <v>42779</v>
      </c>
      <c r="T40" t="s">
        <v>44363</v>
      </c>
      <c r="U40" t="s">
        <v>44902</v>
      </c>
      <c r="V40" t="s">
        <v>56327</v>
      </c>
      <c r="W40" t="s">
        <v>38791</v>
      </c>
      <c r="X40" t="s">
        <v>42677</v>
      </c>
    </row>
    <row r="41" spans="1:24">
      <c r="A41">
        <f>HYPERLINK("https://www.philgeps.gov.ph/GEPSNONPILOT/Tender/SplashBidNoticeAbstractUI.aspx?menuIndex=3&amp;refID=7187976&amp;Result=3","7187976")</f>
        <v>0</v>
      </c>
      <c r="B41" t="s">
        <v>42</v>
      </c>
      <c r="C41" t="s">
        <v>3554</v>
      </c>
      <c r="D41" t="s">
        <v>17154</v>
      </c>
      <c r="E41" t="s">
        <v>17289</v>
      </c>
      <c r="F41" t="s">
        <v>29372</v>
      </c>
      <c r="G41" t="s">
        <v>29381</v>
      </c>
      <c r="H41" t="s">
        <v>11048</v>
      </c>
      <c r="I41" t="s">
        <v>5383</v>
      </c>
      <c r="J41" t="s">
        <v>29561</v>
      </c>
      <c r="K41" t="s">
        <v>38506</v>
      </c>
      <c r="M41" t="s">
        <v>38795</v>
      </c>
      <c r="N41" t="s">
        <v>42669</v>
      </c>
      <c r="O41" t="s">
        <v>42670</v>
      </c>
      <c r="P41">
        <v>0</v>
      </c>
      <c r="Q41">
        <v>8</v>
      </c>
      <c r="R41" t="s">
        <v>42671</v>
      </c>
      <c r="S41" t="s">
        <v>42779</v>
      </c>
      <c r="T41" t="s">
        <v>44368</v>
      </c>
      <c r="U41" t="s">
        <v>44919</v>
      </c>
      <c r="W41" t="s">
        <v>38795</v>
      </c>
      <c r="X41" t="s">
        <v>42677</v>
      </c>
    </row>
    <row r="42" spans="1:24">
      <c r="A42">
        <f>HYPERLINK("https://www.philgeps.gov.ph/GEPSNONPILOT/Tender/SplashBidNoticeAbstractUI.aspx?menuIndex=3&amp;refID=7187912&amp;Result=3","7187912")</f>
        <v>0</v>
      </c>
      <c r="B42" t="s">
        <v>43</v>
      </c>
      <c r="C42" t="s">
        <v>3555</v>
      </c>
      <c r="D42" t="s">
        <v>17143</v>
      </c>
      <c r="E42" t="s">
        <v>17290</v>
      </c>
      <c r="F42" t="s">
        <v>29372</v>
      </c>
      <c r="G42" t="s">
        <v>29379</v>
      </c>
      <c r="H42" t="s">
        <v>11048</v>
      </c>
      <c r="I42" t="s">
        <v>29393</v>
      </c>
      <c r="J42" t="s">
        <v>29562</v>
      </c>
      <c r="K42" t="s">
        <v>38488</v>
      </c>
      <c r="M42" t="s">
        <v>38796</v>
      </c>
      <c r="N42" t="s">
        <v>42669</v>
      </c>
      <c r="O42" t="s">
        <v>42670</v>
      </c>
      <c r="P42">
        <v>0</v>
      </c>
      <c r="Q42">
        <v>0</v>
      </c>
      <c r="R42" t="s">
        <v>42671</v>
      </c>
      <c r="S42" t="s">
        <v>42779</v>
      </c>
      <c r="T42" t="s">
        <v>44369</v>
      </c>
      <c r="U42" t="s">
        <v>44920</v>
      </c>
      <c r="V42" t="s">
        <v>56330</v>
      </c>
      <c r="W42" t="s">
        <v>38796</v>
      </c>
      <c r="X42" t="s">
        <v>42677</v>
      </c>
    </row>
    <row r="43" spans="1:24">
      <c r="A43">
        <f>HYPERLINK("https://www.philgeps.gov.ph/GEPSNONPILOT/Tender/SplashBidNoticeAbstractUI.aspx?menuIndex=3&amp;refID=7187764&amp;Result=3","7187764")</f>
        <v>0</v>
      </c>
      <c r="B43" t="s">
        <v>43</v>
      </c>
      <c r="C43" t="s">
        <v>3556</v>
      </c>
      <c r="D43" t="s">
        <v>17143</v>
      </c>
      <c r="E43" t="s">
        <v>17291</v>
      </c>
      <c r="F43" t="s">
        <v>29372</v>
      </c>
      <c r="G43" t="s">
        <v>29379</v>
      </c>
      <c r="H43" t="s">
        <v>11048</v>
      </c>
      <c r="I43" t="s">
        <v>3629</v>
      </c>
      <c r="J43" t="s">
        <v>29563</v>
      </c>
      <c r="K43" t="s">
        <v>38488</v>
      </c>
      <c r="M43" t="s">
        <v>38796</v>
      </c>
      <c r="N43" t="s">
        <v>42669</v>
      </c>
      <c r="O43" t="s">
        <v>42670</v>
      </c>
      <c r="P43">
        <v>0</v>
      </c>
      <c r="Q43">
        <v>0</v>
      </c>
      <c r="R43" t="s">
        <v>42671</v>
      </c>
      <c r="S43" t="s">
        <v>42779</v>
      </c>
      <c r="T43" t="s">
        <v>44370</v>
      </c>
      <c r="U43" t="s">
        <v>44921</v>
      </c>
      <c r="V43" t="s">
        <v>56331</v>
      </c>
      <c r="W43" t="s">
        <v>38796</v>
      </c>
      <c r="X43" t="s">
        <v>42677</v>
      </c>
    </row>
    <row r="44" spans="1:24">
      <c r="A44">
        <f>HYPERLINK("https://www.philgeps.gov.ph/GEPSNONPILOT/Tender/SplashBidNoticeAbstractUI.aspx?menuIndex=3&amp;refID=7188502&amp;Result=3","7188502")</f>
        <v>0</v>
      </c>
      <c r="B44" t="s">
        <v>44</v>
      </c>
      <c r="C44" t="s">
        <v>3557</v>
      </c>
      <c r="D44" t="s">
        <v>17155</v>
      </c>
      <c r="E44" t="s">
        <v>17292</v>
      </c>
      <c r="F44" t="s">
        <v>29372</v>
      </c>
      <c r="G44" t="s">
        <v>29379</v>
      </c>
      <c r="H44" t="s">
        <v>11048</v>
      </c>
      <c r="I44" t="s">
        <v>8208</v>
      </c>
      <c r="J44" t="s">
        <v>29564</v>
      </c>
      <c r="K44" t="s">
        <v>38488</v>
      </c>
      <c r="M44" t="s">
        <v>38797</v>
      </c>
      <c r="N44" t="s">
        <v>42669</v>
      </c>
      <c r="O44" t="s">
        <v>42670</v>
      </c>
      <c r="P44">
        <v>0</v>
      </c>
      <c r="Q44">
        <v>1</v>
      </c>
      <c r="R44" t="s">
        <v>42671</v>
      </c>
      <c r="S44" t="s">
        <v>42779</v>
      </c>
      <c r="T44" t="s">
        <v>44371</v>
      </c>
      <c r="U44" t="s">
        <v>44922</v>
      </c>
      <c r="W44" t="s">
        <v>38797</v>
      </c>
      <c r="X44" t="s">
        <v>42677</v>
      </c>
    </row>
    <row r="45" spans="1:24">
      <c r="A45">
        <f>HYPERLINK("https://www.philgeps.gov.ph/GEPSNONPILOT/Tender/SplashBidNoticeAbstractUI.aspx?menuIndex=3&amp;refID=7186139&amp;Result=3","7186139")</f>
        <v>0</v>
      </c>
      <c r="B45" t="s">
        <v>33</v>
      </c>
      <c r="C45" t="s">
        <v>3558</v>
      </c>
      <c r="D45" t="s">
        <v>17147</v>
      </c>
      <c r="E45" t="s">
        <v>17293</v>
      </c>
      <c r="F45" t="s">
        <v>29372</v>
      </c>
      <c r="G45" t="s">
        <v>29380</v>
      </c>
      <c r="H45" t="s">
        <v>29389</v>
      </c>
      <c r="I45" t="s">
        <v>10408</v>
      </c>
      <c r="J45" t="s">
        <v>29565</v>
      </c>
      <c r="K45" t="s">
        <v>38503</v>
      </c>
      <c r="M45" t="s">
        <v>38786</v>
      </c>
      <c r="N45" t="s">
        <v>42669</v>
      </c>
      <c r="O45" t="s">
        <v>42670</v>
      </c>
      <c r="P45">
        <v>0</v>
      </c>
      <c r="Q45">
        <v>0</v>
      </c>
      <c r="R45" t="s">
        <v>42671</v>
      </c>
      <c r="S45" t="s">
        <v>42779</v>
      </c>
      <c r="T45" t="s">
        <v>44357</v>
      </c>
      <c r="U45" t="s">
        <v>44923</v>
      </c>
      <c r="W45" t="s">
        <v>38786</v>
      </c>
      <c r="X45" t="s">
        <v>42678</v>
      </c>
    </row>
    <row r="46" spans="1:24">
      <c r="A46">
        <f>HYPERLINK("https://www.philgeps.gov.ph/GEPSNONPILOT/Tender/SplashBidNoticeAbstractUI.aspx?menuIndex=3&amp;refID=7187870&amp;Result=3","7187870")</f>
        <v>0</v>
      </c>
      <c r="B46" t="s">
        <v>45</v>
      </c>
      <c r="C46" t="s">
        <v>3559</v>
      </c>
      <c r="D46" t="s">
        <v>17156</v>
      </c>
      <c r="E46" t="s">
        <v>17294</v>
      </c>
      <c r="F46" t="s">
        <v>29372</v>
      </c>
      <c r="G46" t="s">
        <v>29380</v>
      </c>
      <c r="H46" t="s">
        <v>11048</v>
      </c>
      <c r="I46" t="s">
        <v>29398</v>
      </c>
      <c r="J46" t="s">
        <v>29566</v>
      </c>
      <c r="K46" t="s">
        <v>38496</v>
      </c>
      <c r="M46" t="s">
        <v>38798</v>
      </c>
      <c r="N46" t="s">
        <v>42669</v>
      </c>
      <c r="O46" t="s">
        <v>42670</v>
      </c>
      <c r="P46">
        <v>0</v>
      </c>
      <c r="Q46">
        <v>1</v>
      </c>
      <c r="R46" t="s">
        <v>42671</v>
      </c>
      <c r="S46" t="s">
        <v>42779</v>
      </c>
      <c r="T46" t="s">
        <v>44372</v>
      </c>
      <c r="U46" t="s">
        <v>44924</v>
      </c>
      <c r="V46" t="s">
        <v>56332</v>
      </c>
      <c r="W46" t="s">
        <v>38798</v>
      </c>
      <c r="X46" t="s">
        <v>42677</v>
      </c>
    </row>
    <row r="47" spans="1:24">
      <c r="A47">
        <f>HYPERLINK("https://www.philgeps.gov.ph/GEPSNONPILOT/Tender/SplashBidNoticeAbstractUI.aspx?menuIndex=3&amp;refID=7188610&amp;Result=3","7188610")</f>
        <v>0</v>
      </c>
      <c r="B47" t="s">
        <v>44</v>
      </c>
      <c r="C47" t="s">
        <v>3560</v>
      </c>
      <c r="D47" t="s">
        <v>17155</v>
      </c>
      <c r="E47" t="s">
        <v>17295</v>
      </c>
      <c r="F47" t="s">
        <v>29372</v>
      </c>
      <c r="G47" t="s">
        <v>29379</v>
      </c>
      <c r="H47" t="s">
        <v>11048</v>
      </c>
      <c r="I47" t="s">
        <v>3695</v>
      </c>
      <c r="J47" t="s">
        <v>29567</v>
      </c>
      <c r="K47" t="s">
        <v>38488</v>
      </c>
      <c r="M47" t="s">
        <v>38797</v>
      </c>
      <c r="N47" t="s">
        <v>42669</v>
      </c>
      <c r="O47" t="s">
        <v>42670</v>
      </c>
      <c r="P47">
        <v>0</v>
      </c>
      <c r="Q47">
        <v>0</v>
      </c>
      <c r="R47" t="s">
        <v>42671</v>
      </c>
      <c r="S47" t="s">
        <v>42779</v>
      </c>
      <c r="T47" t="s">
        <v>44371</v>
      </c>
      <c r="U47" t="s">
        <v>44925</v>
      </c>
      <c r="W47" t="s">
        <v>38797</v>
      </c>
      <c r="X47" t="s">
        <v>42677</v>
      </c>
    </row>
    <row r="48" spans="1:24">
      <c r="A48">
        <f>HYPERLINK("https://www.philgeps.gov.ph/GEPSNONPILOT/Tender/SplashBidNoticeAbstractUI.aspx?menuIndex=3&amp;refID=7188607&amp;Result=3","7188607")</f>
        <v>0</v>
      </c>
      <c r="B48" t="s">
        <v>46</v>
      </c>
      <c r="C48" t="s">
        <v>3561</v>
      </c>
      <c r="D48" t="s">
        <v>17157</v>
      </c>
      <c r="E48" t="s">
        <v>17296</v>
      </c>
      <c r="F48" t="s">
        <v>29372</v>
      </c>
      <c r="G48" t="s">
        <v>29380</v>
      </c>
      <c r="H48" t="s">
        <v>29389</v>
      </c>
      <c r="I48" t="s">
        <v>10408</v>
      </c>
      <c r="J48" t="s">
        <v>29568</v>
      </c>
      <c r="K48" t="s">
        <v>38507</v>
      </c>
      <c r="M48" t="s">
        <v>38799</v>
      </c>
      <c r="N48" t="s">
        <v>42669</v>
      </c>
      <c r="O48" t="s">
        <v>42670</v>
      </c>
      <c r="P48">
        <v>0</v>
      </c>
      <c r="Q48">
        <v>0</v>
      </c>
      <c r="R48" t="s">
        <v>42671</v>
      </c>
      <c r="S48" t="s">
        <v>42779</v>
      </c>
      <c r="T48" t="s">
        <v>44373</v>
      </c>
      <c r="U48" t="s">
        <v>44926</v>
      </c>
      <c r="V48" t="s">
        <v>56333</v>
      </c>
      <c r="W48" t="s">
        <v>38799</v>
      </c>
      <c r="X48" t="s">
        <v>42677</v>
      </c>
    </row>
    <row r="49" spans="1:24">
      <c r="A49">
        <f>HYPERLINK("https://www.philgeps.gov.ph/GEPSNONPILOT/Tender/SplashBidNoticeAbstractUI.aspx?menuIndex=3&amp;refID=7188569&amp;Result=3","7188569")</f>
        <v>0</v>
      </c>
      <c r="B49" t="s">
        <v>44</v>
      </c>
      <c r="C49" t="s">
        <v>3562</v>
      </c>
      <c r="D49" t="s">
        <v>17155</v>
      </c>
      <c r="E49" t="s">
        <v>17297</v>
      </c>
      <c r="F49" t="s">
        <v>29372</v>
      </c>
      <c r="G49" t="s">
        <v>29379</v>
      </c>
      <c r="H49" t="s">
        <v>11048</v>
      </c>
      <c r="I49" t="s">
        <v>8208</v>
      </c>
      <c r="J49" t="s">
        <v>29569</v>
      </c>
      <c r="K49" t="s">
        <v>38488</v>
      </c>
      <c r="M49" t="s">
        <v>38797</v>
      </c>
      <c r="N49" t="s">
        <v>42669</v>
      </c>
      <c r="O49" t="s">
        <v>42670</v>
      </c>
      <c r="P49">
        <v>0</v>
      </c>
      <c r="Q49">
        <v>0</v>
      </c>
      <c r="R49" t="s">
        <v>42671</v>
      </c>
      <c r="S49" t="s">
        <v>42779</v>
      </c>
      <c r="T49" t="s">
        <v>44371</v>
      </c>
      <c r="U49" t="s">
        <v>44927</v>
      </c>
      <c r="W49" t="s">
        <v>38797</v>
      </c>
      <c r="X49" t="s">
        <v>42677</v>
      </c>
    </row>
    <row r="50" spans="1:24">
      <c r="A50">
        <f>HYPERLINK("https://www.philgeps.gov.ph/GEPSNONPILOT/Tender/SplashBidNoticeAbstractUI.aspx?menuIndex=3&amp;refID=7187756&amp;Result=3","7187756")</f>
        <v>0</v>
      </c>
      <c r="B50" t="s">
        <v>47</v>
      </c>
      <c r="C50" t="s">
        <v>3563</v>
      </c>
      <c r="D50" t="s">
        <v>17148</v>
      </c>
      <c r="E50" t="s">
        <v>17298</v>
      </c>
      <c r="F50" t="s">
        <v>29372</v>
      </c>
      <c r="G50" t="s">
        <v>29380</v>
      </c>
      <c r="H50" t="s">
        <v>11048</v>
      </c>
      <c r="I50" t="s">
        <v>9469</v>
      </c>
      <c r="J50" t="s">
        <v>29543</v>
      </c>
      <c r="K50" t="s">
        <v>38489</v>
      </c>
      <c r="M50" t="s">
        <v>38800</v>
      </c>
      <c r="N50" t="s">
        <v>42669</v>
      </c>
      <c r="O50" t="s">
        <v>42670</v>
      </c>
      <c r="P50">
        <v>0</v>
      </c>
      <c r="Q50">
        <v>2</v>
      </c>
      <c r="R50" t="s">
        <v>42671</v>
      </c>
      <c r="S50" t="s">
        <v>42779</v>
      </c>
      <c r="T50" t="s">
        <v>44374</v>
      </c>
      <c r="U50" t="s">
        <v>44928</v>
      </c>
      <c r="V50" t="s">
        <v>56334</v>
      </c>
      <c r="W50" t="s">
        <v>38800</v>
      </c>
      <c r="X50" t="s">
        <v>42677</v>
      </c>
    </row>
    <row r="51" spans="1:24">
      <c r="A51">
        <f>HYPERLINK("https://www.philgeps.gov.ph/GEPSNONPILOT/Tender/SplashBidNoticeAbstractUI.aspx?menuIndex=3&amp;refID=7188752&amp;Result=3","7188752")</f>
        <v>0</v>
      </c>
      <c r="B51" t="s">
        <v>46</v>
      </c>
      <c r="C51" t="s">
        <v>3564</v>
      </c>
      <c r="D51" t="s">
        <v>17157</v>
      </c>
      <c r="E51" t="s">
        <v>17299</v>
      </c>
      <c r="F51" t="s">
        <v>29372</v>
      </c>
      <c r="G51" t="s">
        <v>29380</v>
      </c>
      <c r="H51" t="s">
        <v>29389</v>
      </c>
      <c r="I51" t="s">
        <v>10408</v>
      </c>
      <c r="J51" t="s">
        <v>29570</v>
      </c>
      <c r="K51" t="s">
        <v>38508</v>
      </c>
      <c r="M51" t="s">
        <v>38799</v>
      </c>
      <c r="N51" t="s">
        <v>42669</v>
      </c>
      <c r="O51" t="s">
        <v>42670</v>
      </c>
      <c r="P51">
        <v>0</v>
      </c>
      <c r="Q51">
        <v>0</v>
      </c>
      <c r="R51" t="s">
        <v>42671</v>
      </c>
      <c r="S51" t="s">
        <v>42779</v>
      </c>
      <c r="T51" t="s">
        <v>44373</v>
      </c>
      <c r="U51" t="s">
        <v>44929</v>
      </c>
      <c r="V51" t="s">
        <v>56333</v>
      </c>
      <c r="W51" t="s">
        <v>38799</v>
      </c>
      <c r="X51" t="s">
        <v>42677</v>
      </c>
    </row>
    <row r="52" spans="1:24">
      <c r="A52">
        <f>HYPERLINK("https://www.philgeps.gov.ph/GEPSNONPILOT/Tender/SplashBidNoticeAbstractUI.aspx?menuIndex=3&amp;refID=7186992&amp;Result=3","7186992")</f>
        <v>0</v>
      </c>
      <c r="B52" t="s">
        <v>39</v>
      </c>
      <c r="C52" t="s">
        <v>3565</v>
      </c>
      <c r="D52" t="s">
        <v>17152</v>
      </c>
      <c r="E52" t="s">
        <v>17300</v>
      </c>
      <c r="F52" t="s">
        <v>29372</v>
      </c>
      <c r="G52" t="s">
        <v>29382</v>
      </c>
      <c r="H52" t="s">
        <v>11048</v>
      </c>
      <c r="I52" t="s">
        <v>3839</v>
      </c>
      <c r="J52" t="s">
        <v>29571</v>
      </c>
      <c r="K52" t="s">
        <v>38491</v>
      </c>
      <c r="M52" t="s">
        <v>38792</v>
      </c>
      <c r="N52" t="s">
        <v>42669</v>
      </c>
      <c r="O52" t="s">
        <v>42670</v>
      </c>
      <c r="P52">
        <v>0</v>
      </c>
      <c r="Q52">
        <v>5</v>
      </c>
      <c r="R52" t="s">
        <v>42671</v>
      </c>
      <c r="S52" t="s">
        <v>42779</v>
      </c>
      <c r="T52" t="s">
        <v>44375</v>
      </c>
      <c r="U52" t="s">
        <v>44930</v>
      </c>
      <c r="W52" t="s">
        <v>38792</v>
      </c>
      <c r="X52" t="s">
        <v>42677</v>
      </c>
    </row>
    <row r="53" spans="1:24">
      <c r="A53">
        <f>HYPERLINK("https://www.philgeps.gov.ph/GEPSNONPILOT/Tender/SplashBidNoticeAbstractUI.aspx?menuIndex=3&amp;refID=7187697&amp;Result=3","7187697")</f>
        <v>0</v>
      </c>
      <c r="B53" t="s">
        <v>48</v>
      </c>
      <c r="C53" t="s">
        <v>3566</v>
      </c>
      <c r="D53" t="s">
        <v>17158</v>
      </c>
      <c r="E53" t="s">
        <v>17301</v>
      </c>
      <c r="F53" t="s">
        <v>29372</v>
      </c>
      <c r="G53" t="s">
        <v>29380</v>
      </c>
      <c r="H53" t="s">
        <v>29389</v>
      </c>
      <c r="I53" t="s">
        <v>10408</v>
      </c>
      <c r="J53" t="s">
        <v>29572</v>
      </c>
      <c r="K53" t="s">
        <v>38490</v>
      </c>
      <c r="M53" t="s">
        <v>38801</v>
      </c>
      <c r="N53" t="s">
        <v>42669</v>
      </c>
      <c r="O53" t="s">
        <v>42670</v>
      </c>
      <c r="P53">
        <v>0</v>
      </c>
      <c r="Q53">
        <v>0</v>
      </c>
      <c r="R53" t="s">
        <v>42671</v>
      </c>
      <c r="S53" t="s">
        <v>42779</v>
      </c>
      <c r="T53" t="s">
        <v>44363</v>
      </c>
      <c r="U53" t="s">
        <v>44931</v>
      </c>
      <c r="W53" t="s">
        <v>38801</v>
      </c>
      <c r="X53" t="s">
        <v>42677</v>
      </c>
    </row>
    <row r="54" spans="1:24">
      <c r="A54">
        <f>HYPERLINK("https://www.philgeps.gov.ph/GEPSNONPILOT/Tender/SplashBidNoticeAbstractUI.aspx?menuIndex=3&amp;refID=7187654&amp;Result=3","7187654")</f>
        <v>0</v>
      </c>
      <c r="B54" t="s">
        <v>49</v>
      </c>
      <c r="C54" t="s">
        <v>3567</v>
      </c>
      <c r="D54" t="s">
        <v>17156</v>
      </c>
      <c r="E54" t="s">
        <v>17302</v>
      </c>
      <c r="F54" t="s">
        <v>29372</v>
      </c>
      <c r="G54" t="s">
        <v>29380</v>
      </c>
      <c r="H54" t="s">
        <v>11048</v>
      </c>
      <c r="I54" t="s">
        <v>9469</v>
      </c>
      <c r="J54" t="s">
        <v>29573</v>
      </c>
      <c r="K54" t="s">
        <v>38496</v>
      </c>
      <c r="L54" t="s">
        <v>49</v>
      </c>
      <c r="M54" t="s">
        <v>38802</v>
      </c>
      <c r="N54" t="s">
        <v>42669</v>
      </c>
      <c r="O54" t="s">
        <v>42670</v>
      </c>
      <c r="P54">
        <v>0</v>
      </c>
      <c r="Q54">
        <v>8</v>
      </c>
      <c r="R54" t="s">
        <v>42671</v>
      </c>
      <c r="S54" t="s">
        <v>42779</v>
      </c>
      <c r="T54" t="s">
        <v>44376</v>
      </c>
      <c r="U54" t="s">
        <v>44932</v>
      </c>
      <c r="W54" t="s">
        <v>38802</v>
      </c>
      <c r="X54" t="s">
        <v>42677</v>
      </c>
    </row>
    <row r="55" spans="1:24">
      <c r="A55">
        <f>HYPERLINK("https://www.philgeps.gov.ph/GEPSNONPILOT/Tender/SplashBidNoticeAbstractUI.aspx?menuIndex=3&amp;refID=7187583&amp;Result=3","7187583")</f>
        <v>0</v>
      </c>
      <c r="B55" t="s">
        <v>38</v>
      </c>
      <c r="C55" t="s">
        <v>3568</v>
      </c>
      <c r="D55" t="s">
        <v>17151</v>
      </c>
      <c r="E55" t="s">
        <v>17303</v>
      </c>
      <c r="F55" t="s">
        <v>29372</v>
      </c>
      <c r="G55" t="s">
        <v>29380</v>
      </c>
      <c r="H55" t="s">
        <v>29389</v>
      </c>
      <c r="I55" t="s">
        <v>10408</v>
      </c>
      <c r="J55" t="s">
        <v>29574</v>
      </c>
      <c r="K55" t="s">
        <v>38509</v>
      </c>
      <c r="M55" t="s">
        <v>38791</v>
      </c>
      <c r="N55" t="s">
        <v>42669</v>
      </c>
      <c r="O55" t="s">
        <v>42670</v>
      </c>
      <c r="P55">
        <v>0</v>
      </c>
      <c r="Q55">
        <v>0</v>
      </c>
      <c r="R55" t="s">
        <v>42671</v>
      </c>
      <c r="S55" t="s">
        <v>42779</v>
      </c>
      <c r="T55" t="s">
        <v>44363</v>
      </c>
      <c r="U55" t="s">
        <v>44933</v>
      </c>
      <c r="V55" t="s">
        <v>56335</v>
      </c>
      <c r="W55" t="s">
        <v>38791</v>
      </c>
      <c r="X55" t="s">
        <v>42677</v>
      </c>
    </row>
    <row r="56" spans="1:24">
      <c r="A56">
        <f>HYPERLINK("https://www.philgeps.gov.ph/GEPSNONPILOT/Tender/SplashBidNoticeAbstractUI.aspx?menuIndex=3&amp;refID=7188777&amp;Result=3","7188777")</f>
        <v>0</v>
      </c>
      <c r="B56" t="s">
        <v>47</v>
      </c>
      <c r="C56" t="s">
        <v>3569</v>
      </c>
      <c r="D56" t="s">
        <v>17148</v>
      </c>
      <c r="E56" t="s">
        <v>17304</v>
      </c>
      <c r="F56" t="s">
        <v>29372</v>
      </c>
      <c r="G56" t="s">
        <v>29380</v>
      </c>
      <c r="H56" t="s">
        <v>11048</v>
      </c>
      <c r="I56" t="s">
        <v>9469</v>
      </c>
      <c r="J56" t="s">
        <v>29526</v>
      </c>
      <c r="K56" t="s">
        <v>38489</v>
      </c>
      <c r="M56" t="s">
        <v>38800</v>
      </c>
      <c r="N56" t="s">
        <v>42669</v>
      </c>
      <c r="O56" t="s">
        <v>42670</v>
      </c>
      <c r="P56">
        <v>0</v>
      </c>
      <c r="Q56">
        <v>0</v>
      </c>
      <c r="R56" t="s">
        <v>42671</v>
      </c>
      <c r="S56" t="s">
        <v>42779</v>
      </c>
      <c r="T56" t="s">
        <v>44377</v>
      </c>
      <c r="U56" t="s">
        <v>44928</v>
      </c>
      <c r="V56" t="s">
        <v>56336</v>
      </c>
      <c r="W56" t="s">
        <v>38800</v>
      </c>
      <c r="X56" t="s">
        <v>42677</v>
      </c>
    </row>
    <row r="57" spans="1:24">
      <c r="A57">
        <f>HYPERLINK("https://www.philgeps.gov.ph/GEPSNONPILOT/Tender/SplashBidNoticeAbstractUI.aspx?menuIndex=3&amp;refID=7188835&amp;Result=3","7188835")</f>
        <v>0</v>
      </c>
      <c r="B57" t="s">
        <v>50</v>
      </c>
      <c r="C57" t="s">
        <v>3570</v>
      </c>
      <c r="D57" t="s">
        <v>17159</v>
      </c>
      <c r="E57" t="s">
        <v>17305</v>
      </c>
      <c r="F57" t="s">
        <v>29372</v>
      </c>
      <c r="G57" t="s">
        <v>29379</v>
      </c>
      <c r="H57" t="s">
        <v>11048</v>
      </c>
      <c r="I57" t="s">
        <v>4709</v>
      </c>
      <c r="J57" t="s">
        <v>29575</v>
      </c>
      <c r="K57" t="s">
        <v>38510</v>
      </c>
      <c r="M57" t="s">
        <v>38803</v>
      </c>
      <c r="N57" t="s">
        <v>42669</v>
      </c>
      <c r="O57" t="s">
        <v>42670</v>
      </c>
      <c r="P57">
        <v>0</v>
      </c>
      <c r="Q57">
        <v>0</v>
      </c>
      <c r="R57" t="s">
        <v>42671</v>
      </c>
      <c r="S57" t="s">
        <v>42779</v>
      </c>
      <c r="T57" t="s">
        <v>44371</v>
      </c>
      <c r="U57" t="s">
        <v>44934</v>
      </c>
      <c r="W57" t="s">
        <v>38803</v>
      </c>
      <c r="X57" t="s">
        <v>42677</v>
      </c>
    </row>
    <row r="58" spans="1:24">
      <c r="A58">
        <f>HYPERLINK("https://www.philgeps.gov.ph/GEPSNONPILOT/Tender/SplashBidNoticeAbstractUI.aspx?menuIndex=3&amp;refID=7187736&amp;Result=3","7187736")</f>
        <v>0</v>
      </c>
      <c r="B58" t="s">
        <v>43</v>
      </c>
      <c r="C58" t="s">
        <v>3571</v>
      </c>
      <c r="E58" t="s">
        <v>17306</v>
      </c>
      <c r="F58" t="s">
        <v>29372</v>
      </c>
      <c r="G58" t="s">
        <v>29379</v>
      </c>
      <c r="H58" t="s">
        <v>11048</v>
      </c>
      <c r="I58" t="s">
        <v>3629</v>
      </c>
      <c r="J58" t="s">
        <v>29576</v>
      </c>
      <c r="K58" t="s">
        <v>38488</v>
      </c>
      <c r="M58" t="s">
        <v>38796</v>
      </c>
      <c r="N58" t="s">
        <v>42669</v>
      </c>
      <c r="O58" t="s">
        <v>42670</v>
      </c>
      <c r="P58">
        <v>0</v>
      </c>
      <c r="Q58">
        <v>0</v>
      </c>
      <c r="R58" t="s">
        <v>42671</v>
      </c>
      <c r="S58" t="s">
        <v>42779</v>
      </c>
      <c r="T58" t="s">
        <v>44378</v>
      </c>
      <c r="U58" t="s">
        <v>44935</v>
      </c>
      <c r="V58" t="s">
        <v>56337</v>
      </c>
      <c r="W58" t="s">
        <v>38796</v>
      </c>
      <c r="X58" t="s">
        <v>42677</v>
      </c>
    </row>
    <row r="59" spans="1:24">
      <c r="A59">
        <f>HYPERLINK("https://www.philgeps.gov.ph/GEPSNONPILOT/Tender/SplashBidNoticeAbstractUI.aspx?menuIndex=3&amp;refID=7189713&amp;Result=3","7189713")</f>
        <v>0</v>
      </c>
      <c r="B59" t="s">
        <v>51</v>
      </c>
      <c r="C59" t="s">
        <v>3572</v>
      </c>
      <c r="D59" t="s">
        <v>17151</v>
      </c>
      <c r="E59" t="s">
        <v>17307</v>
      </c>
      <c r="F59" t="s">
        <v>29372</v>
      </c>
      <c r="G59" t="s">
        <v>29380</v>
      </c>
      <c r="H59" t="s">
        <v>11048</v>
      </c>
      <c r="I59" t="s">
        <v>3597</v>
      </c>
      <c r="J59" t="s">
        <v>29577</v>
      </c>
      <c r="K59" t="s">
        <v>38496</v>
      </c>
      <c r="M59" t="s">
        <v>38804</v>
      </c>
      <c r="N59" t="s">
        <v>42669</v>
      </c>
      <c r="O59" t="s">
        <v>42670</v>
      </c>
      <c r="P59">
        <v>0</v>
      </c>
      <c r="Q59">
        <v>6</v>
      </c>
      <c r="R59" t="s">
        <v>42671</v>
      </c>
      <c r="S59" t="s">
        <v>42779</v>
      </c>
      <c r="T59" t="s">
        <v>44379</v>
      </c>
      <c r="U59" t="s">
        <v>44936</v>
      </c>
      <c r="W59" t="s">
        <v>38804</v>
      </c>
      <c r="X59" t="s">
        <v>42677</v>
      </c>
    </row>
    <row r="60" spans="1:24">
      <c r="A60">
        <f>HYPERLINK("https://www.philgeps.gov.ph/GEPSNONPILOT/Tender/SplashBidNoticeAbstractUI.aspx?menuIndex=3&amp;refID=7189699&amp;Result=3","7189699")</f>
        <v>0</v>
      </c>
      <c r="B60" t="s">
        <v>52</v>
      </c>
      <c r="C60" t="s">
        <v>3573</v>
      </c>
      <c r="D60" t="s">
        <v>17160</v>
      </c>
      <c r="E60" t="s">
        <v>17308</v>
      </c>
      <c r="F60" t="s">
        <v>29372</v>
      </c>
      <c r="G60" t="s">
        <v>29379</v>
      </c>
      <c r="H60" t="s">
        <v>11048</v>
      </c>
      <c r="I60" t="s">
        <v>14920</v>
      </c>
      <c r="J60" t="s">
        <v>29578</v>
      </c>
      <c r="K60" t="s">
        <v>38511</v>
      </c>
      <c r="L60" t="s">
        <v>52</v>
      </c>
      <c r="M60" t="s">
        <v>38805</v>
      </c>
      <c r="N60" t="s">
        <v>42669</v>
      </c>
      <c r="O60" t="s">
        <v>42670</v>
      </c>
      <c r="P60">
        <v>0</v>
      </c>
      <c r="Q60">
        <v>3</v>
      </c>
      <c r="R60" t="s">
        <v>42671</v>
      </c>
      <c r="S60" t="s">
        <v>42779</v>
      </c>
      <c r="T60" t="s">
        <v>44380</v>
      </c>
      <c r="U60" t="s">
        <v>44937</v>
      </c>
      <c r="W60" t="s">
        <v>38805</v>
      </c>
      <c r="X60" t="s">
        <v>42677</v>
      </c>
    </row>
    <row r="61" spans="1:24">
      <c r="A61">
        <f>HYPERLINK("https://www.philgeps.gov.ph/GEPSNONPILOT/Tender/SplashBidNoticeAbstractUI.aspx?menuIndex=3&amp;refID=7189565&amp;Result=3","7189565")</f>
        <v>0</v>
      </c>
      <c r="B61" t="s">
        <v>53</v>
      </c>
      <c r="C61" t="s">
        <v>3574</v>
      </c>
      <c r="D61" t="s">
        <v>17161</v>
      </c>
      <c r="E61" t="s">
        <v>17309</v>
      </c>
      <c r="F61" t="s">
        <v>29372</v>
      </c>
      <c r="G61" t="s">
        <v>29380</v>
      </c>
      <c r="H61" t="s">
        <v>29389</v>
      </c>
      <c r="I61" t="s">
        <v>10408</v>
      </c>
      <c r="J61" t="s">
        <v>29579</v>
      </c>
      <c r="K61" t="s">
        <v>38512</v>
      </c>
      <c r="M61" t="s">
        <v>38806</v>
      </c>
      <c r="N61" t="s">
        <v>42669</v>
      </c>
      <c r="O61" t="s">
        <v>42670</v>
      </c>
      <c r="P61">
        <v>0</v>
      </c>
      <c r="Q61">
        <v>0</v>
      </c>
      <c r="R61" t="s">
        <v>42671</v>
      </c>
      <c r="S61" t="s">
        <v>42779</v>
      </c>
      <c r="T61" t="s">
        <v>44381</v>
      </c>
      <c r="U61" t="s">
        <v>44938</v>
      </c>
      <c r="W61" t="s">
        <v>58001</v>
      </c>
      <c r="X61" t="s">
        <v>42677</v>
      </c>
    </row>
    <row r="62" spans="1:24">
      <c r="A62">
        <f>HYPERLINK("https://www.philgeps.gov.ph/GEPSNONPILOT/Tender/SplashBidNoticeAbstractUI.aspx?menuIndex=3&amp;refID=7189297&amp;Result=3","7189297")</f>
        <v>0</v>
      </c>
      <c r="B62" t="s">
        <v>54</v>
      </c>
      <c r="C62" t="s">
        <v>3575</v>
      </c>
      <c r="D62" t="s">
        <v>17162</v>
      </c>
      <c r="E62" t="s">
        <v>17310</v>
      </c>
      <c r="F62" t="s">
        <v>29372</v>
      </c>
      <c r="G62" t="s">
        <v>29380</v>
      </c>
      <c r="H62" t="s">
        <v>11048</v>
      </c>
      <c r="I62" t="s">
        <v>3839</v>
      </c>
      <c r="J62" t="s">
        <v>29580</v>
      </c>
      <c r="K62" t="s">
        <v>38510</v>
      </c>
      <c r="M62" t="s">
        <v>38807</v>
      </c>
      <c r="N62" t="s">
        <v>42669</v>
      </c>
      <c r="O62" t="s">
        <v>42670</v>
      </c>
      <c r="P62">
        <v>0</v>
      </c>
      <c r="Q62">
        <v>3</v>
      </c>
      <c r="R62" t="s">
        <v>42671</v>
      </c>
      <c r="S62" t="s">
        <v>42779</v>
      </c>
      <c r="T62" t="s">
        <v>44357</v>
      </c>
      <c r="U62" t="s">
        <v>44939</v>
      </c>
      <c r="W62" t="s">
        <v>38807</v>
      </c>
      <c r="X62" t="s">
        <v>42677</v>
      </c>
    </row>
    <row r="63" spans="1:24">
      <c r="A63">
        <f>HYPERLINK("https://www.philgeps.gov.ph/GEPSNONPILOT/Tender/SplashBidNoticeAbstractUI.aspx?menuIndex=3&amp;refID=7189228&amp;Result=3","7189228")</f>
        <v>0</v>
      </c>
      <c r="B63" t="s">
        <v>54</v>
      </c>
      <c r="C63" t="s">
        <v>3576</v>
      </c>
      <c r="D63" t="s">
        <v>17162</v>
      </c>
      <c r="E63" t="s">
        <v>17311</v>
      </c>
      <c r="F63" t="s">
        <v>29372</v>
      </c>
      <c r="G63" t="s">
        <v>29380</v>
      </c>
      <c r="H63" t="s">
        <v>11048</v>
      </c>
      <c r="I63" t="s">
        <v>29399</v>
      </c>
      <c r="J63" t="s">
        <v>29581</v>
      </c>
      <c r="K63" t="s">
        <v>38510</v>
      </c>
      <c r="M63" t="s">
        <v>38807</v>
      </c>
      <c r="N63" t="s">
        <v>42669</v>
      </c>
      <c r="O63" t="s">
        <v>42670</v>
      </c>
      <c r="P63">
        <v>0</v>
      </c>
      <c r="Q63">
        <v>1</v>
      </c>
      <c r="R63" t="s">
        <v>42671</v>
      </c>
      <c r="S63" t="s">
        <v>42779</v>
      </c>
      <c r="T63" t="s">
        <v>44357</v>
      </c>
      <c r="U63" t="s">
        <v>44940</v>
      </c>
      <c r="W63" t="s">
        <v>38807</v>
      </c>
      <c r="X63" t="s">
        <v>42677</v>
      </c>
    </row>
    <row r="64" spans="1:24">
      <c r="A64">
        <f>HYPERLINK("https://www.philgeps.gov.ph/GEPSNONPILOT/Tender/SplashBidNoticeAbstractUI.aspx?menuIndex=3&amp;refID=7189182&amp;Result=3","7189182")</f>
        <v>0</v>
      </c>
      <c r="B64" t="s">
        <v>54</v>
      </c>
      <c r="C64" t="s">
        <v>3577</v>
      </c>
      <c r="D64" t="s">
        <v>17162</v>
      </c>
      <c r="E64" t="s">
        <v>17312</v>
      </c>
      <c r="F64" t="s">
        <v>29372</v>
      </c>
      <c r="G64" t="s">
        <v>29380</v>
      </c>
      <c r="H64" t="s">
        <v>11048</v>
      </c>
      <c r="I64" t="s">
        <v>3839</v>
      </c>
      <c r="J64" t="s">
        <v>29582</v>
      </c>
      <c r="K64" t="s">
        <v>38510</v>
      </c>
      <c r="M64" t="s">
        <v>38807</v>
      </c>
      <c r="N64" t="s">
        <v>42669</v>
      </c>
      <c r="O64" t="s">
        <v>42670</v>
      </c>
      <c r="P64">
        <v>0</v>
      </c>
      <c r="Q64">
        <v>1</v>
      </c>
      <c r="R64" t="s">
        <v>42671</v>
      </c>
      <c r="S64" t="s">
        <v>42779</v>
      </c>
      <c r="T64" t="s">
        <v>44357</v>
      </c>
      <c r="U64" t="s">
        <v>44941</v>
      </c>
      <c r="W64" t="s">
        <v>38807</v>
      </c>
      <c r="X64" t="s">
        <v>42677</v>
      </c>
    </row>
    <row r="65" spans="1:24">
      <c r="A65">
        <f>HYPERLINK("https://www.philgeps.gov.ph/GEPSNONPILOT/Tender/SplashBidNoticeAbstractUI.aspx?menuIndex=3&amp;refID=7189143&amp;Result=3","7189143")</f>
        <v>0</v>
      </c>
      <c r="B65" t="s">
        <v>54</v>
      </c>
      <c r="C65" t="s">
        <v>3578</v>
      </c>
      <c r="D65" t="s">
        <v>17162</v>
      </c>
      <c r="E65" t="s">
        <v>17313</v>
      </c>
      <c r="F65" t="s">
        <v>29372</v>
      </c>
      <c r="G65" t="s">
        <v>29380</v>
      </c>
      <c r="H65" t="s">
        <v>11048</v>
      </c>
      <c r="I65" t="s">
        <v>29400</v>
      </c>
      <c r="J65" t="s">
        <v>29583</v>
      </c>
      <c r="K65" t="s">
        <v>38510</v>
      </c>
      <c r="M65" t="s">
        <v>38807</v>
      </c>
      <c r="N65" t="s">
        <v>42669</v>
      </c>
      <c r="O65" t="s">
        <v>42670</v>
      </c>
      <c r="P65">
        <v>0</v>
      </c>
      <c r="Q65">
        <v>1</v>
      </c>
      <c r="R65" t="s">
        <v>42671</v>
      </c>
      <c r="S65" t="s">
        <v>42779</v>
      </c>
      <c r="T65" t="s">
        <v>44357</v>
      </c>
      <c r="U65" t="s">
        <v>44942</v>
      </c>
      <c r="W65" t="s">
        <v>38807</v>
      </c>
      <c r="X65" t="s">
        <v>42677</v>
      </c>
    </row>
    <row r="66" spans="1:24">
      <c r="A66">
        <f>HYPERLINK("https://www.philgeps.gov.ph/GEPSNONPILOT/Tender/SplashBidNoticeAbstractUI.aspx?menuIndex=3&amp;refID=7189108&amp;Result=3","7189108")</f>
        <v>0</v>
      </c>
      <c r="B66" t="s">
        <v>55</v>
      </c>
      <c r="C66" t="s">
        <v>3579</v>
      </c>
      <c r="D66" t="s">
        <v>17163</v>
      </c>
      <c r="E66" t="s">
        <v>17314</v>
      </c>
      <c r="F66" t="s">
        <v>29372</v>
      </c>
      <c r="G66" t="s">
        <v>29379</v>
      </c>
      <c r="H66" t="s">
        <v>11048</v>
      </c>
      <c r="I66" t="s">
        <v>4709</v>
      </c>
      <c r="J66" t="s">
        <v>29584</v>
      </c>
      <c r="K66" t="s">
        <v>38488</v>
      </c>
      <c r="M66" t="s">
        <v>38808</v>
      </c>
      <c r="N66" t="s">
        <v>42669</v>
      </c>
      <c r="O66" t="s">
        <v>42670</v>
      </c>
      <c r="P66">
        <v>0</v>
      </c>
      <c r="Q66">
        <v>0</v>
      </c>
      <c r="R66" t="s">
        <v>42671</v>
      </c>
      <c r="S66" t="s">
        <v>42779</v>
      </c>
      <c r="T66" t="s">
        <v>44382</v>
      </c>
      <c r="U66" t="s">
        <v>44943</v>
      </c>
      <c r="W66" t="s">
        <v>38808</v>
      </c>
      <c r="X66" t="s">
        <v>42677</v>
      </c>
    </row>
    <row r="67" spans="1:24">
      <c r="A67">
        <f>HYPERLINK("https://www.philgeps.gov.ph/GEPSNONPILOT/Tender/SplashBidNoticeAbstractUI.aspx?menuIndex=3&amp;refID=7187753&amp;Result=3","7187753")</f>
        <v>0</v>
      </c>
      <c r="B67" t="s">
        <v>56</v>
      </c>
      <c r="C67" t="s">
        <v>3580</v>
      </c>
      <c r="D67" t="s">
        <v>17164</v>
      </c>
      <c r="E67" t="s">
        <v>17315</v>
      </c>
      <c r="F67" t="s">
        <v>29372</v>
      </c>
      <c r="G67" t="s">
        <v>29380</v>
      </c>
      <c r="H67" t="s">
        <v>29389</v>
      </c>
      <c r="I67" t="s">
        <v>10408</v>
      </c>
      <c r="J67" t="s">
        <v>29585</v>
      </c>
      <c r="K67" t="s">
        <v>38513</v>
      </c>
      <c r="M67" t="s">
        <v>38809</v>
      </c>
      <c r="N67" t="s">
        <v>42669</v>
      </c>
      <c r="O67" t="s">
        <v>42670</v>
      </c>
      <c r="P67">
        <v>0</v>
      </c>
      <c r="Q67">
        <v>0</v>
      </c>
      <c r="R67" t="s">
        <v>42671</v>
      </c>
      <c r="S67" t="s">
        <v>42779</v>
      </c>
      <c r="T67" t="s">
        <v>44363</v>
      </c>
      <c r="U67" t="s">
        <v>44944</v>
      </c>
      <c r="W67" t="s">
        <v>38809</v>
      </c>
      <c r="X67" t="s">
        <v>42677</v>
      </c>
    </row>
    <row r="68" spans="1:24">
      <c r="A68">
        <f>HYPERLINK("https://www.philgeps.gov.ph/GEPSNONPILOT/Tender/SplashBidNoticeAbstractUI.aspx?menuIndex=3&amp;refID=7188809&amp;Result=3","7188809")</f>
        <v>0</v>
      </c>
      <c r="B68" t="s">
        <v>50</v>
      </c>
      <c r="C68" t="s">
        <v>3581</v>
      </c>
      <c r="D68" t="s">
        <v>17159</v>
      </c>
      <c r="E68" t="s">
        <v>17316</v>
      </c>
      <c r="F68" t="s">
        <v>29372</v>
      </c>
      <c r="G68" t="s">
        <v>29379</v>
      </c>
      <c r="H68" t="s">
        <v>11048</v>
      </c>
      <c r="I68" t="s">
        <v>4709</v>
      </c>
      <c r="J68" t="s">
        <v>29586</v>
      </c>
      <c r="K68" t="s">
        <v>38510</v>
      </c>
      <c r="M68" t="s">
        <v>38803</v>
      </c>
      <c r="N68" t="s">
        <v>42669</v>
      </c>
      <c r="O68" t="s">
        <v>42670</v>
      </c>
      <c r="P68">
        <v>0</v>
      </c>
      <c r="Q68">
        <v>0</v>
      </c>
      <c r="R68" t="s">
        <v>42671</v>
      </c>
      <c r="S68" t="s">
        <v>42779</v>
      </c>
      <c r="T68" t="s">
        <v>44371</v>
      </c>
      <c r="U68" t="s">
        <v>44934</v>
      </c>
      <c r="W68" t="s">
        <v>38803</v>
      </c>
      <c r="X68" t="s">
        <v>42677</v>
      </c>
    </row>
    <row r="69" spans="1:24">
      <c r="A69">
        <f>HYPERLINK("https://www.philgeps.gov.ph/GEPSNONPILOT/Tender/SplashBidNoticeAbstractUI.aspx?menuIndex=3&amp;refID=7189114&amp;Result=3","7189114")</f>
        <v>0</v>
      </c>
      <c r="B69" t="s">
        <v>50</v>
      </c>
      <c r="C69" t="s">
        <v>3582</v>
      </c>
      <c r="D69" t="s">
        <v>17159</v>
      </c>
      <c r="E69" t="s">
        <v>17317</v>
      </c>
      <c r="F69" t="s">
        <v>29372</v>
      </c>
      <c r="G69" t="s">
        <v>29379</v>
      </c>
      <c r="H69" t="s">
        <v>11048</v>
      </c>
      <c r="I69" t="s">
        <v>29401</v>
      </c>
      <c r="J69" t="s">
        <v>29587</v>
      </c>
      <c r="K69" t="s">
        <v>38485</v>
      </c>
      <c r="M69" t="s">
        <v>38803</v>
      </c>
      <c r="N69" t="s">
        <v>42669</v>
      </c>
      <c r="O69" t="s">
        <v>42670</v>
      </c>
      <c r="P69">
        <v>0</v>
      </c>
      <c r="Q69">
        <v>0</v>
      </c>
      <c r="R69" t="s">
        <v>42671</v>
      </c>
      <c r="S69" t="s">
        <v>42779</v>
      </c>
      <c r="T69" t="s">
        <v>44371</v>
      </c>
      <c r="U69" t="s">
        <v>44945</v>
      </c>
      <c r="W69" t="s">
        <v>38803</v>
      </c>
      <c r="X69" t="s">
        <v>42677</v>
      </c>
    </row>
    <row r="70" spans="1:24">
      <c r="A70">
        <f>HYPERLINK("https://www.philgeps.gov.ph/GEPSNONPILOT/Tender/SplashBidNoticeAbstractUI.aspx?menuIndex=3&amp;refID=7189044&amp;Result=3","7189044")</f>
        <v>0</v>
      </c>
      <c r="B70" t="s">
        <v>57</v>
      </c>
      <c r="C70" t="s">
        <v>3583</v>
      </c>
      <c r="D70" t="s">
        <v>17160</v>
      </c>
      <c r="E70" t="s">
        <v>17318</v>
      </c>
      <c r="F70" t="s">
        <v>29372</v>
      </c>
      <c r="G70" t="s">
        <v>29380</v>
      </c>
      <c r="H70" t="s">
        <v>29389</v>
      </c>
      <c r="I70" t="s">
        <v>29402</v>
      </c>
      <c r="J70" t="s">
        <v>29588</v>
      </c>
      <c r="K70" t="s">
        <v>38488</v>
      </c>
      <c r="M70" t="s">
        <v>38810</v>
      </c>
      <c r="N70" t="s">
        <v>42669</v>
      </c>
      <c r="O70" t="s">
        <v>42670</v>
      </c>
      <c r="P70">
        <v>0</v>
      </c>
      <c r="Q70">
        <v>1</v>
      </c>
      <c r="R70" t="s">
        <v>42671</v>
      </c>
      <c r="S70" t="s">
        <v>42779</v>
      </c>
      <c r="T70" t="s">
        <v>44383</v>
      </c>
      <c r="U70" t="s">
        <v>44946</v>
      </c>
      <c r="W70" t="s">
        <v>38810</v>
      </c>
      <c r="X70" t="s">
        <v>42677</v>
      </c>
    </row>
    <row r="71" spans="1:24">
      <c r="A71">
        <f>HYPERLINK("https://www.philgeps.gov.ph/GEPSNONPILOT/Tender/SplashBidNoticeAbstractUI.aspx?menuIndex=3&amp;refID=7188970&amp;Result=3","7188970")</f>
        <v>0</v>
      </c>
      <c r="B71" t="s">
        <v>50</v>
      </c>
      <c r="C71" t="s">
        <v>3584</v>
      </c>
      <c r="D71" t="s">
        <v>17159</v>
      </c>
      <c r="E71" t="s">
        <v>17319</v>
      </c>
      <c r="F71" t="s">
        <v>29372</v>
      </c>
      <c r="G71" t="s">
        <v>29379</v>
      </c>
      <c r="H71" t="s">
        <v>11048</v>
      </c>
      <c r="I71" t="s">
        <v>4487</v>
      </c>
      <c r="J71" t="s">
        <v>29589</v>
      </c>
      <c r="K71" t="s">
        <v>38491</v>
      </c>
      <c r="M71" t="s">
        <v>38803</v>
      </c>
      <c r="N71" t="s">
        <v>42669</v>
      </c>
      <c r="O71" t="s">
        <v>42670</v>
      </c>
      <c r="P71">
        <v>0</v>
      </c>
      <c r="Q71">
        <v>5</v>
      </c>
      <c r="R71" t="s">
        <v>42671</v>
      </c>
      <c r="S71" t="s">
        <v>42779</v>
      </c>
      <c r="T71" t="s">
        <v>44371</v>
      </c>
      <c r="U71" t="s">
        <v>44947</v>
      </c>
      <c r="W71" t="s">
        <v>38803</v>
      </c>
      <c r="X71" t="s">
        <v>42677</v>
      </c>
    </row>
    <row r="72" spans="1:24">
      <c r="A72">
        <f>HYPERLINK("https://www.philgeps.gov.ph/GEPSNONPILOT/Tender/SplashBidNoticeAbstractUI.aspx?menuIndex=3&amp;refID=7188929&amp;Result=3","7188929")</f>
        <v>0</v>
      </c>
      <c r="B72" t="s">
        <v>41</v>
      </c>
      <c r="C72" t="s">
        <v>3585</v>
      </c>
      <c r="D72" t="s">
        <v>17153</v>
      </c>
      <c r="E72" t="s">
        <v>17320</v>
      </c>
      <c r="F72" t="s">
        <v>29372</v>
      </c>
      <c r="G72" t="s">
        <v>29380</v>
      </c>
      <c r="H72" t="s">
        <v>11048</v>
      </c>
      <c r="I72" t="s">
        <v>29400</v>
      </c>
      <c r="J72" t="s">
        <v>29590</v>
      </c>
      <c r="K72" t="s">
        <v>38485</v>
      </c>
      <c r="M72" t="s">
        <v>38794</v>
      </c>
      <c r="N72" t="s">
        <v>42669</v>
      </c>
      <c r="O72" t="s">
        <v>42670</v>
      </c>
      <c r="P72">
        <v>0</v>
      </c>
      <c r="Q72">
        <v>2</v>
      </c>
      <c r="R72" t="s">
        <v>42671</v>
      </c>
      <c r="S72" t="s">
        <v>42779</v>
      </c>
      <c r="T72" t="s">
        <v>44367</v>
      </c>
      <c r="U72" t="s">
        <v>44948</v>
      </c>
      <c r="V72" t="s">
        <v>56338</v>
      </c>
      <c r="W72" t="s">
        <v>38794</v>
      </c>
      <c r="X72" t="s">
        <v>42677</v>
      </c>
    </row>
    <row r="73" spans="1:24">
      <c r="A73">
        <f>HYPERLINK("https://www.philgeps.gov.ph/GEPSNONPILOT/Tender/SplashBidNoticeAbstractUI.aspx?menuIndex=3&amp;refID=7189093&amp;Result=3","7189093")</f>
        <v>0</v>
      </c>
      <c r="B73" t="s">
        <v>50</v>
      </c>
      <c r="C73" t="s">
        <v>3586</v>
      </c>
      <c r="D73" t="s">
        <v>17159</v>
      </c>
      <c r="E73" t="s">
        <v>17321</v>
      </c>
      <c r="F73" t="s">
        <v>29372</v>
      </c>
      <c r="G73" t="s">
        <v>29379</v>
      </c>
      <c r="H73" t="s">
        <v>11048</v>
      </c>
      <c r="I73" t="s">
        <v>3695</v>
      </c>
      <c r="J73" t="s">
        <v>29591</v>
      </c>
      <c r="K73" t="s">
        <v>38491</v>
      </c>
      <c r="M73" t="s">
        <v>38803</v>
      </c>
      <c r="N73" t="s">
        <v>42669</v>
      </c>
      <c r="O73" t="s">
        <v>42670</v>
      </c>
      <c r="P73">
        <v>0</v>
      </c>
      <c r="Q73">
        <v>0</v>
      </c>
      <c r="R73" t="s">
        <v>42671</v>
      </c>
      <c r="S73" t="s">
        <v>42779</v>
      </c>
      <c r="T73" t="s">
        <v>44371</v>
      </c>
      <c r="U73" t="s">
        <v>44949</v>
      </c>
      <c r="W73" t="s">
        <v>38803</v>
      </c>
      <c r="X73" t="s">
        <v>42677</v>
      </c>
    </row>
    <row r="74" spans="1:24">
      <c r="A74">
        <f>HYPERLINK("https://www.philgeps.gov.ph/GEPSNONPILOT/Tender/SplashBidNoticeAbstractUI.aspx?menuIndex=3&amp;refID=7188917&amp;Result=3","7188917")</f>
        <v>0</v>
      </c>
      <c r="B74" t="s">
        <v>57</v>
      </c>
      <c r="C74" t="s">
        <v>3587</v>
      </c>
      <c r="D74" t="s">
        <v>17160</v>
      </c>
      <c r="E74" t="s">
        <v>17322</v>
      </c>
      <c r="F74" t="s">
        <v>29372</v>
      </c>
      <c r="G74" t="s">
        <v>29380</v>
      </c>
      <c r="H74" t="s">
        <v>11048</v>
      </c>
      <c r="I74" t="s">
        <v>29398</v>
      </c>
      <c r="J74" t="s">
        <v>29592</v>
      </c>
      <c r="K74" t="s">
        <v>38488</v>
      </c>
      <c r="M74" t="s">
        <v>38810</v>
      </c>
      <c r="N74" t="s">
        <v>42669</v>
      </c>
      <c r="O74" t="s">
        <v>42670</v>
      </c>
      <c r="P74">
        <v>0</v>
      </c>
      <c r="Q74">
        <v>10</v>
      </c>
      <c r="R74" t="s">
        <v>42671</v>
      </c>
      <c r="S74" t="s">
        <v>42779</v>
      </c>
      <c r="T74" t="s">
        <v>44363</v>
      </c>
      <c r="U74" t="s">
        <v>44950</v>
      </c>
      <c r="W74" t="s">
        <v>38810</v>
      </c>
      <c r="X74" t="s">
        <v>42677</v>
      </c>
    </row>
    <row r="75" spans="1:24">
      <c r="A75">
        <f>HYPERLINK("https://www.philgeps.gov.ph/GEPSNONPILOT/Tender/SplashBidNoticeAbstractUI.aspx?menuIndex=3&amp;refID=7188916&amp;Result=3","7188916")</f>
        <v>0</v>
      </c>
      <c r="B75" t="s">
        <v>50</v>
      </c>
      <c r="C75" t="s">
        <v>3588</v>
      </c>
      <c r="D75" t="s">
        <v>17159</v>
      </c>
      <c r="E75" t="s">
        <v>17323</v>
      </c>
      <c r="F75" t="s">
        <v>29372</v>
      </c>
      <c r="G75" t="s">
        <v>29379</v>
      </c>
      <c r="H75" t="s">
        <v>11048</v>
      </c>
      <c r="I75" t="s">
        <v>5383</v>
      </c>
      <c r="J75" t="s">
        <v>29593</v>
      </c>
      <c r="K75" t="s">
        <v>38491</v>
      </c>
      <c r="M75" t="s">
        <v>38803</v>
      </c>
      <c r="N75" t="s">
        <v>42669</v>
      </c>
      <c r="O75" t="s">
        <v>42670</v>
      </c>
      <c r="P75">
        <v>0</v>
      </c>
      <c r="Q75">
        <v>1</v>
      </c>
      <c r="R75" t="s">
        <v>42671</v>
      </c>
      <c r="S75" t="s">
        <v>42779</v>
      </c>
      <c r="T75" t="s">
        <v>44371</v>
      </c>
      <c r="U75" t="s">
        <v>44951</v>
      </c>
      <c r="W75" t="s">
        <v>38803</v>
      </c>
      <c r="X75" t="s">
        <v>42677</v>
      </c>
    </row>
    <row r="76" spans="1:24">
      <c r="A76">
        <f>HYPERLINK("https://www.philgeps.gov.ph/GEPSNONPILOT/Tender/SplashBidNoticeAbstractUI.aspx?menuIndex=3&amp;refID=7188866&amp;Result=3","7188866")</f>
        <v>0</v>
      </c>
      <c r="B76" t="s">
        <v>50</v>
      </c>
      <c r="C76" t="s">
        <v>3589</v>
      </c>
      <c r="D76" t="s">
        <v>17159</v>
      </c>
      <c r="E76" t="s">
        <v>17324</v>
      </c>
      <c r="F76" t="s">
        <v>29372</v>
      </c>
      <c r="G76" t="s">
        <v>29379</v>
      </c>
      <c r="H76" t="s">
        <v>11048</v>
      </c>
      <c r="I76" t="s">
        <v>4709</v>
      </c>
      <c r="J76" t="s">
        <v>29594</v>
      </c>
      <c r="K76" t="s">
        <v>38510</v>
      </c>
      <c r="M76" t="s">
        <v>38803</v>
      </c>
      <c r="N76" t="s">
        <v>42669</v>
      </c>
      <c r="O76" t="s">
        <v>42670</v>
      </c>
      <c r="P76">
        <v>0</v>
      </c>
      <c r="Q76">
        <v>0</v>
      </c>
      <c r="R76" t="s">
        <v>42671</v>
      </c>
      <c r="S76" t="s">
        <v>42779</v>
      </c>
      <c r="T76" t="s">
        <v>44371</v>
      </c>
      <c r="U76" t="s">
        <v>44952</v>
      </c>
      <c r="W76" t="s">
        <v>38803</v>
      </c>
      <c r="X76" t="s">
        <v>42677</v>
      </c>
    </row>
    <row r="77" spans="1:24">
      <c r="A77">
        <f>HYPERLINK("https://www.philgeps.gov.ph/GEPSNONPILOT/Tender/SplashBidNoticeAbstractUI.aspx?menuIndex=3&amp;refID=7189003&amp;Result=3","7189003")</f>
        <v>0</v>
      </c>
      <c r="B77" t="s">
        <v>57</v>
      </c>
      <c r="C77" t="s">
        <v>3590</v>
      </c>
      <c r="D77" t="s">
        <v>17160</v>
      </c>
      <c r="E77" t="s">
        <v>17325</v>
      </c>
      <c r="F77" t="s">
        <v>29372</v>
      </c>
      <c r="G77" t="s">
        <v>29380</v>
      </c>
      <c r="H77" t="s">
        <v>11048</v>
      </c>
      <c r="I77" t="s">
        <v>29398</v>
      </c>
      <c r="J77" t="s">
        <v>29549</v>
      </c>
      <c r="K77" t="s">
        <v>38488</v>
      </c>
      <c r="M77" t="s">
        <v>38810</v>
      </c>
      <c r="N77" t="s">
        <v>42669</v>
      </c>
      <c r="O77" t="s">
        <v>42670</v>
      </c>
      <c r="P77">
        <v>0</v>
      </c>
      <c r="Q77">
        <v>7</v>
      </c>
      <c r="R77" t="s">
        <v>42671</v>
      </c>
      <c r="S77" t="s">
        <v>42779</v>
      </c>
      <c r="T77" t="s">
        <v>44363</v>
      </c>
      <c r="U77" t="s">
        <v>44953</v>
      </c>
      <c r="W77" t="s">
        <v>38810</v>
      </c>
      <c r="X77" t="s">
        <v>42677</v>
      </c>
    </row>
    <row r="78" spans="1:24">
      <c r="A78">
        <f>HYPERLINK("https://www.philgeps.gov.ph/GEPSNONPILOT/Tender/SplashBidNoticeAbstractUI.aspx?menuIndex=3&amp;refID=7190213&amp;Result=3","7190213")</f>
        <v>0</v>
      </c>
      <c r="B78" t="s">
        <v>58</v>
      </c>
      <c r="C78" t="s">
        <v>3591</v>
      </c>
      <c r="D78" t="s">
        <v>17144</v>
      </c>
      <c r="E78" t="s">
        <v>17326</v>
      </c>
      <c r="F78" t="s">
        <v>29372</v>
      </c>
      <c r="G78" t="s">
        <v>29379</v>
      </c>
      <c r="H78" t="s">
        <v>11048</v>
      </c>
      <c r="I78" t="s">
        <v>3629</v>
      </c>
      <c r="J78" t="s">
        <v>29595</v>
      </c>
      <c r="K78" t="s">
        <v>38490</v>
      </c>
      <c r="L78" t="s">
        <v>58</v>
      </c>
      <c r="M78" t="s">
        <v>38811</v>
      </c>
      <c r="N78" t="s">
        <v>42669</v>
      </c>
      <c r="O78" t="s">
        <v>42670</v>
      </c>
      <c r="P78">
        <v>0</v>
      </c>
      <c r="Q78">
        <v>0</v>
      </c>
      <c r="R78" t="s">
        <v>42671</v>
      </c>
      <c r="S78" t="s">
        <v>42779</v>
      </c>
      <c r="T78" t="s">
        <v>44371</v>
      </c>
      <c r="U78" t="s">
        <v>44954</v>
      </c>
      <c r="W78" t="s">
        <v>38811</v>
      </c>
      <c r="X78" t="s">
        <v>42676</v>
      </c>
    </row>
    <row r="79" spans="1:24">
      <c r="A79">
        <f>HYPERLINK("https://www.philgeps.gov.ph/GEPSNONPILOT/Tender/SplashBidNoticeAbstractUI.aspx?menuIndex=3&amp;refID=7186188&amp;Result=3","7186188")</f>
        <v>0</v>
      </c>
      <c r="B79" t="s">
        <v>33</v>
      </c>
      <c r="C79" t="s">
        <v>3592</v>
      </c>
      <c r="D79" t="s">
        <v>17147</v>
      </c>
      <c r="E79" t="s">
        <v>17327</v>
      </c>
      <c r="F79" t="s">
        <v>29372</v>
      </c>
      <c r="G79" t="s">
        <v>29380</v>
      </c>
      <c r="H79" t="s">
        <v>29389</v>
      </c>
      <c r="I79" t="s">
        <v>10408</v>
      </c>
      <c r="J79" t="s">
        <v>29596</v>
      </c>
      <c r="K79" t="s">
        <v>38514</v>
      </c>
      <c r="M79" t="s">
        <v>38786</v>
      </c>
      <c r="N79" t="s">
        <v>42669</v>
      </c>
      <c r="O79" t="s">
        <v>42670</v>
      </c>
      <c r="P79">
        <v>0</v>
      </c>
      <c r="Q79">
        <v>0</v>
      </c>
      <c r="R79" t="s">
        <v>42671</v>
      </c>
      <c r="S79" t="s">
        <v>42779</v>
      </c>
      <c r="T79" t="s">
        <v>44358</v>
      </c>
      <c r="U79" t="s">
        <v>44955</v>
      </c>
      <c r="W79" t="s">
        <v>38786</v>
      </c>
      <c r="X79" t="s">
        <v>42678</v>
      </c>
    </row>
    <row r="80" spans="1:24">
      <c r="A80">
        <f>HYPERLINK("https://www.philgeps.gov.ph/GEPSNONPILOT/Tender/SplashBidNoticeAbstractUI.aspx?menuIndex=3&amp;refID=7189062&amp;Result=3","7189062")</f>
        <v>0</v>
      </c>
      <c r="B80" t="s">
        <v>50</v>
      </c>
      <c r="C80" t="s">
        <v>3593</v>
      </c>
      <c r="D80" t="s">
        <v>17159</v>
      </c>
      <c r="E80" t="s">
        <v>17328</v>
      </c>
      <c r="F80" t="s">
        <v>29372</v>
      </c>
      <c r="G80" t="s">
        <v>29379</v>
      </c>
      <c r="H80" t="s">
        <v>11048</v>
      </c>
      <c r="I80" t="s">
        <v>3860</v>
      </c>
      <c r="J80" t="s">
        <v>29597</v>
      </c>
      <c r="K80" t="s">
        <v>38491</v>
      </c>
      <c r="M80" t="s">
        <v>38803</v>
      </c>
      <c r="N80" t="s">
        <v>42669</v>
      </c>
      <c r="O80" t="s">
        <v>42670</v>
      </c>
      <c r="P80">
        <v>0</v>
      </c>
      <c r="Q80">
        <v>0</v>
      </c>
      <c r="R80" t="s">
        <v>42671</v>
      </c>
      <c r="S80" t="s">
        <v>42779</v>
      </c>
      <c r="T80" t="s">
        <v>44371</v>
      </c>
      <c r="U80" t="s">
        <v>44956</v>
      </c>
      <c r="W80" t="s">
        <v>38803</v>
      </c>
      <c r="X80" t="s">
        <v>42677</v>
      </c>
    </row>
    <row r="81" spans="1:24">
      <c r="A81">
        <f>HYPERLINK("https://www.philgeps.gov.ph/GEPSNONPILOT/Tender/SplashBidNoticeAbstractUI.aspx?menuIndex=3&amp;refID=7190195&amp;Result=3","7190195")</f>
        <v>0</v>
      </c>
      <c r="B81" t="s">
        <v>39</v>
      </c>
      <c r="C81" t="s">
        <v>3594</v>
      </c>
      <c r="D81" t="s">
        <v>17152</v>
      </c>
      <c r="E81" t="s">
        <v>17329</v>
      </c>
      <c r="F81" t="s">
        <v>29372</v>
      </c>
      <c r="G81" t="s">
        <v>29381</v>
      </c>
      <c r="H81" t="s">
        <v>11048</v>
      </c>
      <c r="I81" t="s">
        <v>4486</v>
      </c>
      <c r="J81" t="s">
        <v>29598</v>
      </c>
      <c r="K81" t="s">
        <v>38491</v>
      </c>
      <c r="M81" t="s">
        <v>38812</v>
      </c>
      <c r="N81" t="s">
        <v>42669</v>
      </c>
      <c r="O81" t="s">
        <v>42670</v>
      </c>
      <c r="P81">
        <v>0</v>
      </c>
      <c r="Q81">
        <v>1</v>
      </c>
      <c r="R81" t="s">
        <v>42671</v>
      </c>
      <c r="S81" t="s">
        <v>42779</v>
      </c>
      <c r="T81" t="s">
        <v>44375</v>
      </c>
      <c r="U81" t="s">
        <v>44957</v>
      </c>
      <c r="W81" t="s">
        <v>38812</v>
      </c>
      <c r="X81" t="s">
        <v>42676</v>
      </c>
    </row>
    <row r="82" spans="1:24">
      <c r="A82">
        <f>HYPERLINK("https://www.philgeps.gov.ph/GEPSNONPILOT/Tender/SplashBidNoticeAbstractUI.aspx?menuIndex=3&amp;refID=7189744&amp;Result=3","7189744")</f>
        <v>0</v>
      </c>
      <c r="B82" t="s">
        <v>51</v>
      </c>
      <c r="C82" t="s">
        <v>3595</v>
      </c>
      <c r="D82" t="s">
        <v>17151</v>
      </c>
      <c r="E82" t="s">
        <v>17330</v>
      </c>
      <c r="F82" t="s">
        <v>29372</v>
      </c>
      <c r="G82" t="s">
        <v>29380</v>
      </c>
      <c r="H82" t="s">
        <v>11048</v>
      </c>
      <c r="I82" t="s">
        <v>3670</v>
      </c>
      <c r="J82" t="s">
        <v>29599</v>
      </c>
      <c r="K82" t="s">
        <v>38496</v>
      </c>
      <c r="M82" t="s">
        <v>38804</v>
      </c>
      <c r="N82" t="s">
        <v>42669</v>
      </c>
      <c r="O82" t="s">
        <v>42670</v>
      </c>
      <c r="P82">
        <v>0</v>
      </c>
      <c r="Q82">
        <v>3</v>
      </c>
      <c r="R82" t="s">
        <v>42671</v>
      </c>
      <c r="S82" t="s">
        <v>42779</v>
      </c>
      <c r="T82" t="s">
        <v>44379</v>
      </c>
      <c r="U82" t="s">
        <v>44958</v>
      </c>
      <c r="W82" t="s">
        <v>38804</v>
      </c>
      <c r="X82" t="s">
        <v>42677</v>
      </c>
    </row>
    <row r="83" spans="1:24">
      <c r="A83">
        <f>HYPERLINK("https://www.philgeps.gov.ph/GEPSNONPILOT/Tender/SplashBidNoticeAbstractUI.aspx?menuIndex=3&amp;refID=7190193&amp;Result=3","7190193")</f>
        <v>0</v>
      </c>
      <c r="B83" t="s">
        <v>59</v>
      </c>
      <c r="C83" t="s">
        <v>3596</v>
      </c>
      <c r="D83" t="s">
        <v>17141</v>
      </c>
      <c r="E83" t="s">
        <v>17331</v>
      </c>
      <c r="F83" t="s">
        <v>29372</v>
      </c>
      <c r="G83" t="s">
        <v>29383</v>
      </c>
      <c r="H83" t="s">
        <v>11048</v>
      </c>
      <c r="I83" t="s">
        <v>5383</v>
      </c>
      <c r="J83" t="s">
        <v>29600</v>
      </c>
      <c r="K83" t="s">
        <v>38489</v>
      </c>
      <c r="M83" t="s">
        <v>38813</v>
      </c>
      <c r="N83" t="s">
        <v>42669</v>
      </c>
      <c r="O83" t="s">
        <v>42670</v>
      </c>
      <c r="P83">
        <v>0</v>
      </c>
      <c r="Q83">
        <v>1</v>
      </c>
      <c r="R83" t="s">
        <v>42671</v>
      </c>
      <c r="S83" t="s">
        <v>42779</v>
      </c>
      <c r="T83" t="s">
        <v>44384</v>
      </c>
      <c r="U83" t="s">
        <v>44959</v>
      </c>
      <c r="W83" t="s">
        <v>38813</v>
      </c>
      <c r="X83" t="s">
        <v>42676</v>
      </c>
    </row>
    <row r="84" spans="1:24">
      <c r="A84">
        <f>HYPERLINK("https://www.philgeps.gov.ph/GEPSNONPILOT/Tender/SplashBidNoticeAbstractUI.aspx?menuIndex=3&amp;refID=7190186&amp;Result=3","7190186")</f>
        <v>0</v>
      </c>
      <c r="B84" t="s">
        <v>60</v>
      </c>
      <c r="C84" t="s">
        <v>3597</v>
      </c>
      <c r="D84" t="s">
        <v>17165</v>
      </c>
      <c r="E84" t="s">
        <v>17332</v>
      </c>
      <c r="F84" t="s">
        <v>29372</v>
      </c>
      <c r="G84" t="s">
        <v>29383</v>
      </c>
      <c r="H84" t="s">
        <v>11048</v>
      </c>
      <c r="I84" t="s">
        <v>3597</v>
      </c>
      <c r="J84" t="s">
        <v>29601</v>
      </c>
      <c r="K84" t="s">
        <v>38485</v>
      </c>
      <c r="M84" t="s">
        <v>38814</v>
      </c>
      <c r="N84" t="s">
        <v>42669</v>
      </c>
      <c r="O84" t="s">
        <v>42670</v>
      </c>
      <c r="P84">
        <v>0</v>
      </c>
      <c r="Q84">
        <v>5</v>
      </c>
      <c r="R84" t="s">
        <v>42671</v>
      </c>
      <c r="S84" t="s">
        <v>42779</v>
      </c>
      <c r="T84" t="s">
        <v>44385</v>
      </c>
      <c r="U84" t="s">
        <v>44960</v>
      </c>
      <c r="W84" t="s">
        <v>38814</v>
      </c>
      <c r="X84" t="s">
        <v>42676</v>
      </c>
    </row>
    <row r="85" spans="1:24">
      <c r="A85">
        <f>HYPERLINK("https://www.philgeps.gov.ph/GEPSNONPILOT/Tender/SplashBidNoticeAbstractUI.aspx?menuIndex=3&amp;refID=7190181&amp;Result=3","7190181")</f>
        <v>0</v>
      </c>
      <c r="B85" t="s">
        <v>25</v>
      </c>
      <c r="C85" t="s">
        <v>3598</v>
      </c>
      <c r="D85" t="s">
        <v>17142</v>
      </c>
      <c r="E85" t="s">
        <v>3598</v>
      </c>
      <c r="F85" t="s">
        <v>29372</v>
      </c>
      <c r="G85" t="s">
        <v>29379</v>
      </c>
      <c r="H85" t="s">
        <v>11048</v>
      </c>
      <c r="I85" t="s">
        <v>3670</v>
      </c>
      <c r="J85" t="s">
        <v>29602</v>
      </c>
      <c r="K85" t="s">
        <v>38485</v>
      </c>
      <c r="M85" t="s">
        <v>38778</v>
      </c>
      <c r="N85" t="s">
        <v>42669</v>
      </c>
      <c r="O85" t="s">
        <v>42670</v>
      </c>
      <c r="P85">
        <v>0</v>
      </c>
      <c r="Q85">
        <v>0</v>
      </c>
      <c r="R85" t="s">
        <v>42671</v>
      </c>
      <c r="S85" t="s">
        <v>42779</v>
      </c>
      <c r="T85" t="s">
        <v>44386</v>
      </c>
      <c r="U85" t="s">
        <v>44961</v>
      </c>
      <c r="W85" t="s">
        <v>38778</v>
      </c>
      <c r="X85" t="s">
        <v>42676</v>
      </c>
    </row>
    <row r="86" spans="1:24">
      <c r="A86">
        <f>HYPERLINK("https://www.philgeps.gov.ph/GEPSNONPILOT/Tender/SplashBidNoticeAbstractUI.aspx?menuIndex=3&amp;refID=7190158&amp;Result=3","7190158")</f>
        <v>0</v>
      </c>
      <c r="B86" t="s">
        <v>39</v>
      </c>
      <c r="C86" t="s">
        <v>3594</v>
      </c>
      <c r="D86" t="s">
        <v>17152</v>
      </c>
      <c r="E86" t="s">
        <v>17333</v>
      </c>
      <c r="F86" t="s">
        <v>29372</v>
      </c>
      <c r="G86" t="s">
        <v>29381</v>
      </c>
      <c r="H86" t="s">
        <v>11048</v>
      </c>
      <c r="I86" t="s">
        <v>4486</v>
      </c>
      <c r="J86" t="s">
        <v>29603</v>
      </c>
      <c r="K86" t="s">
        <v>38491</v>
      </c>
      <c r="M86" t="s">
        <v>38812</v>
      </c>
      <c r="N86" t="s">
        <v>42669</v>
      </c>
      <c r="O86" t="s">
        <v>42670</v>
      </c>
      <c r="P86">
        <v>0</v>
      </c>
      <c r="Q86">
        <v>1</v>
      </c>
      <c r="R86" t="s">
        <v>42671</v>
      </c>
      <c r="S86" t="s">
        <v>42779</v>
      </c>
      <c r="T86" t="s">
        <v>44375</v>
      </c>
      <c r="U86" t="s">
        <v>44957</v>
      </c>
      <c r="W86" t="s">
        <v>38812</v>
      </c>
      <c r="X86" t="s">
        <v>42676</v>
      </c>
    </row>
    <row r="87" spans="1:24">
      <c r="A87">
        <f>HYPERLINK("https://www.philgeps.gov.ph/GEPSNONPILOT/Tender/SplashBidNoticeAbstractUI.aspx?menuIndex=3&amp;refID=7190146&amp;Result=3","7190146")</f>
        <v>0</v>
      </c>
      <c r="B87" t="s">
        <v>25</v>
      </c>
      <c r="C87" t="s">
        <v>3599</v>
      </c>
      <c r="D87" t="s">
        <v>17142</v>
      </c>
      <c r="E87" t="s">
        <v>3599</v>
      </c>
      <c r="F87" t="s">
        <v>29372</v>
      </c>
      <c r="G87" t="s">
        <v>29379</v>
      </c>
      <c r="H87" t="s">
        <v>11048</v>
      </c>
      <c r="I87" t="s">
        <v>3670</v>
      </c>
      <c r="J87" t="s">
        <v>29604</v>
      </c>
      <c r="K87" t="s">
        <v>38488</v>
      </c>
      <c r="M87" t="s">
        <v>38778</v>
      </c>
      <c r="N87" t="s">
        <v>42669</v>
      </c>
      <c r="O87" t="s">
        <v>42670</v>
      </c>
      <c r="P87">
        <v>0</v>
      </c>
      <c r="Q87">
        <v>0</v>
      </c>
      <c r="R87" t="s">
        <v>42671</v>
      </c>
      <c r="S87" t="s">
        <v>42779</v>
      </c>
      <c r="T87" t="s">
        <v>44386</v>
      </c>
      <c r="U87" t="s">
        <v>44962</v>
      </c>
      <c r="W87" t="s">
        <v>38778</v>
      </c>
      <c r="X87" t="s">
        <v>42676</v>
      </c>
    </row>
    <row r="88" spans="1:24">
      <c r="A88">
        <f>HYPERLINK("https://www.philgeps.gov.ph/GEPSNONPILOT/Tender/SplashBidNoticeAbstractUI.aspx?menuIndex=3&amp;refID=7190119&amp;Result=3","7190119")</f>
        <v>0</v>
      </c>
      <c r="B88" t="s">
        <v>61</v>
      </c>
      <c r="C88" t="s">
        <v>3600</v>
      </c>
      <c r="D88" t="s">
        <v>17166</v>
      </c>
      <c r="E88" t="s">
        <v>17334</v>
      </c>
      <c r="F88" t="s">
        <v>29372</v>
      </c>
      <c r="G88" t="s">
        <v>29379</v>
      </c>
      <c r="H88" t="s">
        <v>29389</v>
      </c>
      <c r="I88" t="s">
        <v>29403</v>
      </c>
      <c r="J88" t="s">
        <v>29605</v>
      </c>
      <c r="K88" t="s">
        <v>38485</v>
      </c>
      <c r="M88" t="s">
        <v>38815</v>
      </c>
      <c r="N88" t="s">
        <v>42669</v>
      </c>
      <c r="O88" t="s">
        <v>42670</v>
      </c>
      <c r="P88">
        <v>0</v>
      </c>
      <c r="Q88">
        <v>0</v>
      </c>
      <c r="R88" t="s">
        <v>42671</v>
      </c>
      <c r="S88" t="s">
        <v>42779</v>
      </c>
      <c r="T88" t="s">
        <v>44387</v>
      </c>
      <c r="U88" t="s">
        <v>44963</v>
      </c>
      <c r="W88" t="s">
        <v>38815</v>
      </c>
      <c r="X88" t="s">
        <v>42676</v>
      </c>
    </row>
    <row r="89" spans="1:24">
      <c r="A89">
        <f>HYPERLINK("https://www.philgeps.gov.ph/GEPSNONPILOT/Tender/SplashBidNoticeAbstractUI.aspx?menuIndex=3&amp;refID=7190205&amp;Result=3","7190205")</f>
        <v>0</v>
      </c>
      <c r="B89" t="s">
        <v>62</v>
      </c>
      <c r="C89" t="s">
        <v>3601</v>
      </c>
      <c r="D89" t="s">
        <v>17167</v>
      </c>
      <c r="E89" t="s">
        <v>17335</v>
      </c>
      <c r="F89" t="s">
        <v>29372</v>
      </c>
      <c r="G89" t="s">
        <v>29380</v>
      </c>
      <c r="H89" t="s">
        <v>11048</v>
      </c>
      <c r="I89" t="s">
        <v>10408</v>
      </c>
      <c r="J89" t="s">
        <v>29606</v>
      </c>
      <c r="K89" t="s">
        <v>38515</v>
      </c>
      <c r="M89" t="s">
        <v>38816</v>
      </c>
      <c r="N89" t="s">
        <v>42669</v>
      </c>
      <c r="O89" t="s">
        <v>42670</v>
      </c>
      <c r="P89">
        <v>0</v>
      </c>
      <c r="Q89">
        <v>2</v>
      </c>
      <c r="R89" t="s">
        <v>42671</v>
      </c>
      <c r="S89" t="s">
        <v>42779</v>
      </c>
      <c r="T89" t="s">
        <v>44388</v>
      </c>
      <c r="U89" t="s">
        <v>44964</v>
      </c>
      <c r="V89" t="s">
        <v>56339</v>
      </c>
      <c r="W89" t="s">
        <v>38816</v>
      </c>
      <c r="X89" t="s">
        <v>42676</v>
      </c>
    </row>
    <row r="90" spans="1:24">
      <c r="A90">
        <f>HYPERLINK("https://www.philgeps.gov.ph/GEPSNONPILOT/Tender/SplashBidNoticeAbstractUI.aspx?menuIndex=3&amp;refID=7190513&amp;Result=3","7190513")</f>
        <v>0</v>
      </c>
      <c r="B90" t="s">
        <v>63</v>
      </c>
      <c r="C90" t="s">
        <v>3602</v>
      </c>
      <c r="D90" t="s">
        <v>17161</v>
      </c>
      <c r="E90" t="s">
        <v>17336</v>
      </c>
      <c r="F90" t="s">
        <v>29372</v>
      </c>
      <c r="G90" t="s">
        <v>29381</v>
      </c>
      <c r="H90" t="s">
        <v>11048</v>
      </c>
      <c r="I90" t="s">
        <v>4709</v>
      </c>
      <c r="J90" t="s">
        <v>29607</v>
      </c>
      <c r="K90" t="s">
        <v>38490</v>
      </c>
      <c r="M90" t="s">
        <v>38817</v>
      </c>
      <c r="N90" t="s">
        <v>42669</v>
      </c>
      <c r="O90" t="s">
        <v>42670</v>
      </c>
      <c r="P90">
        <v>0</v>
      </c>
      <c r="Q90">
        <v>0</v>
      </c>
      <c r="R90" t="s">
        <v>42671</v>
      </c>
      <c r="S90" t="s">
        <v>42779</v>
      </c>
      <c r="T90" t="s">
        <v>44354</v>
      </c>
      <c r="U90" t="s">
        <v>44965</v>
      </c>
      <c r="W90" t="s">
        <v>38817</v>
      </c>
      <c r="X90" t="s">
        <v>42676</v>
      </c>
    </row>
    <row r="91" spans="1:24">
      <c r="A91">
        <f>HYPERLINK("https://www.philgeps.gov.ph/GEPSNONPILOT/Tender/SplashBidNoticeAbstractUI.aspx?menuIndex=3&amp;refID=7184454&amp;Result=3","7184454")</f>
        <v>0</v>
      </c>
      <c r="B91" t="s">
        <v>64</v>
      </c>
      <c r="C91" t="s">
        <v>3603</v>
      </c>
      <c r="D91" t="s">
        <v>17163</v>
      </c>
      <c r="E91" t="s">
        <v>17337</v>
      </c>
      <c r="F91" t="s">
        <v>29372</v>
      </c>
      <c r="G91" t="s">
        <v>29380</v>
      </c>
      <c r="H91" t="s">
        <v>11048</v>
      </c>
      <c r="I91" t="s">
        <v>3597</v>
      </c>
      <c r="J91" t="s">
        <v>29549</v>
      </c>
      <c r="K91" t="s">
        <v>38485</v>
      </c>
      <c r="M91" t="s">
        <v>38818</v>
      </c>
      <c r="N91" t="s">
        <v>42669</v>
      </c>
      <c r="O91" t="s">
        <v>42670</v>
      </c>
      <c r="P91">
        <v>0</v>
      </c>
      <c r="Q91">
        <v>5</v>
      </c>
      <c r="R91" t="s">
        <v>42671</v>
      </c>
      <c r="S91" t="s">
        <v>42779</v>
      </c>
      <c r="T91" t="s">
        <v>44389</v>
      </c>
      <c r="U91" t="s">
        <v>44966</v>
      </c>
      <c r="W91" t="s">
        <v>38818</v>
      </c>
      <c r="X91" t="s">
        <v>42678</v>
      </c>
    </row>
    <row r="92" spans="1:24">
      <c r="A92">
        <f>HYPERLINK("https://www.philgeps.gov.ph/GEPSNONPILOT/Tender/SplashBidNoticeAbstractUI.aspx?menuIndex=3&amp;refID=7190490&amp;Result=3","7190490")</f>
        <v>0</v>
      </c>
      <c r="B92" t="s">
        <v>65</v>
      </c>
      <c r="C92" t="s">
        <v>3604</v>
      </c>
      <c r="D92" t="s">
        <v>17141</v>
      </c>
      <c r="E92" t="s">
        <v>17338</v>
      </c>
      <c r="F92" t="s">
        <v>29372</v>
      </c>
      <c r="G92" t="s">
        <v>29379</v>
      </c>
      <c r="H92" t="s">
        <v>11048</v>
      </c>
      <c r="I92" t="s">
        <v>4709</v>
      </c>
      <c r="J92" t="s">
        <v>29608</v>
      </c>
      <c r="K92" t="s">
        <v>38489</v>
      </c>
      <c r="M92" t="s">
        <v>38819</v>
      </c>
      <c r="N92" t="s">
        <v>42669</v>
      </c>
      <c r="O92" t="s">
        <v>42670</v>
      </c>
      <c r="P92">
        <v>0</v>
      </c>
      <c r="Q92">
        <v>0</v>
      </c>
      <c r="R92" t="s">
        <v>42671</v>
      </c>
      <c r="S92" t="s">
        <v>42779</v>
      </c>
      <c r="T92" t="s">
        <v>44371</v>
      </c>
      <c r="U92" t="s">
        <v>44967</v>
      </c>
      <c r="W92" t="s">
        <v>38819</v>
      </c>
      <c r="X92" t="s">
        <v>42676</v>
      </c>
    </row>
    <row r="93" spans="1:24">
      <c r="A93">
        <f>HYPERLINK("https://www.philgeps.gov.ph/GEPSNONPILOT/Tender/SplashBidNoticeAbstractUI.aspx?menuIndex=3&amp;refID=7190455&amp;Result=3","7190455")</f>
        <v>0</v>
      </c>
      <c r="B93" t="s">
        <v>63</v>
      </c>
      <c r="C93" t="s">
        <v>3605</v>
      </c>
      <c r="D93" t="s">
        <v>17161</v>
      </c>
      <c r="E93" t="s">
        <v>17339</v>
      </c>
      <c r="F93" t="s">
        <v>29372</v>
      </c>
      <c r="G93" t="s">
        <v>29380</v>
      </c>
      <c r="H93" t="s">
        <v>11048</v>
      </c>
      <c r="I93" t="s">
        <v>29393</v>
      </c>
      <c r="J93" t="s">
        <v>29609</v>
      </c>
      <c r="K93" t="s">
        <v>38490</v>
      </c>
      <c r="M93" t="s">
        <v>38817</v>
      </c>
      <c r="N93" t="s">
        <v>42669</v>
      </c>
      <c r="O93" t="s">
        <v>42670</v>
      </c>
      <c r="P93">
        <v>0</v>
      </c>
      <c r="Q93">
        <v>0</v>
      </c>
      <c r="R93" t="s">
        <v>42671</v>
      </c>
      <c r="S93" t="s">
        <v>42779</v>
      </c>
      <c r="T93" t="s">
        <v>44354</v>
      </c>
      <c r="U93" t="s">
        <v>44968</v>
      </c>
      <c r="W93" t="s">
        <v>38817</v>
      </c>
      <c r="X93" t="s">
        <v>42676</v>
      </c>
    </row>
    <row r="94" spans="1:24">
      <c r="A94">
        <f>HYPERLINK("https://www.philgeps.gov.ph/GEPSNONPILOT/Tender/SplashBidNoticeAbstractUI.aspx?menuIndex=3&amp;refID=7190178&amp;Result=3","7190178")</f>
        <v>0</v>
      </c>
      <c r="B94" t="s">
        <v>39</v>
      </c>
      <c r="C94" t="s">
        <v>3594</v>
      </c>
      <c r="D94" t="s">
        <v>17152</v>
      </c>
      <c r="E94" t="s">
        <v>17340</v>
      </c>
      <c r="F94" t="s">
        <v>29372</v>
      </c>
      <c r="G94" t="s">
        <v>29381</v>
      </c>
      <c r="H94" t="s">
        <v>11048</v>
      </c>
      <c r="I94" t="s">
        <v>4486</v>
      </c>
      <c r="J94" t="s">
        <v>29610</v>
      </c>
      <c r="K94" t="s">
        <v>38491</v>
      </c>
      <c r="M94" t="s">
        <v>38812</v>
      </c>
      <c r="N94" t="s">
        <v>42669</v>
      </c>
      <c r="O94" t="s">
        <v>42670</v>
      </c>
      <c r="P94">
        <v>0</v>
      </c>
      <c r="Q94">
        <v>1</v>
      </c>
      <c r="R94" t="s">
        <v>42671</v>
      </c>
      <c r="S94" t="s">
        <v>42779</v>
      </c>
      <c r="T94" t="s">
        <v>44375</v>
      </c>
      <c r="U94" t="s">
        <v>44957</v>
      </c>
      <c r="W94" t="s">
        <v>38812</v>
      </c>
      <c r="X94" t="s">
        <v>42676</v>
      </c>
    </row>
    <row r="95" spans="1:24">
      <c r="A95">
        <f>HYPERLINK("https://www.philgeps.gov.ph/GEPSNONPILOT/Tender/SplashBidNoticeAbstractUI.aspx?menuIndex=3&amp;refID=7190450&amp;Result=3","7190450")</f>
        <v>0</v>
      </c>
      <c r="B95" t="s">
        <v>33</v>
      </c>
      <c r="C95" t="s">
        <v>3606</v>
      </c>
      <c r="D95" t="s">
        <v>17147</v>
      </c>
      <c r="E95" t="s">
        <v>17341</v>
      </c>
      <c r="F95" t="s">
        <v>29372</v>
      </c>
      <c r="G95" t="s">
        <v>29380</v>
      </c>
      <c r="H95" t="s">
        <v>29389</v>
      </c>
      <c r="I95" t="s">
        <v>10408</v>
      </c>
      <c r="J95" t="s">
        <v>29611</v>
      </c>
      <c r="K95" t="s">
        <v>38516</v>
      </c>
      <c r="M95" t="s">
        <v>38786</v>
      </c>
      <c r="N95" t="s">
        <v>42669</v>
      </c>
      <c r="O95" t="s">
        <v>42670</v>
      </c>
      <c r="P95">
        <v>0</v>
      </c>
      <c r="Q95">
        <v>0</v>
      </c>
      <c r="R95" t="s">
        <v>42671</v>
      </c>
      <c r="S95" t="s">
        <v>42779</v>
      </c>
      <c r="T95" t="s">
        <v>44357</v>
      </c>
      <c r="U95" t="s">
        <v>44969</v>
      </c>
      <c r="W95" t="s">
        <v>38786</v>
      </c>
      <c r="X95" t="s">
        <v>42676</v>
      </c>
    </row>
    <row r="96" spans="1:24">
      <c r="A96">
        <f>HYPERLINK("https://www.philgeps.gov.ph/GEPSNONPILOT/Tender/SplashBidNoticeAbstractUI.aspx?menuIndex=3&amp;refID=7190407&amp;Result=3","7190407")</f>
        <v>0</v>
      </c>
      <c r="B96" t="s">
        <v>66</v>
      </c>
      <c r="C96" t="s">
        <v>3607</v>
      </c>
      <c r="D96" t="s">
        <v>17151</v>
      </c>
      <c r="E96" t="s">
        <v>17342</v>
      </c>
      <c r="F96" t="s">
        <v>29372</v>
      </c>
      <c r="G96" t="s">
        <v>29379</v>
      </c>
      <c r="H96" t="s">
        <v>11048</v>
      </c>
      <c r="I96" t="s">
        <v>29404</v>
      </c>
      <c r="J96" t="s">
        <v>29612</v>
      </c>
      <c r="K96" t="s">
        <v>38517</v>
      </c>
      <c r="M96" t="s">
        <v>38820</v>
      </c>
      <c r="N96" t="s">
        <v>42669</v>
      </c>
      <c r="O96" t="s">
        <v>42670</v>
      </c>
      <c r="P96">
        <v>0</v>
      </c>
      <c r="Q96">
        <v>0</v>
      </c>
      <c r="R96" t="s">
        <v>42671</v>
      </c>
      <c r="S96" t="s">
        <v>42779</v>
      </c>
      <c r="T96" t="s">
        <v>44387</v>
      </c>
      <c r="U96" t="s">
        <v>44970</v>
      </c>
      <c r="V96" t="s">
        <v>56340</v>
      </c>
      <c r="W96" t="s">
        <v>38820</v>
      </c>
      <c r="X96" t="s">
        <v>42676</v>
      </c>
    </row>
    <row r="97" spans="1:24">
      <c r="A97">
        <f>HYPERLINK("https://www.philgeps.gov.ph/GEPSNONPILOT/Tender/SplashBidNoticeAbstractUI.aspx?menuIndex=3&amp;refID=7190118&amp;Result=3","7190118")</f>
        <v>0</v>
      </c>
      <c r="B97" t="s">
        <v>39</v>
      </c>
      <c r="C97" t="s">
        <v>3594</v>
      </c>
      <c r="D97" t="s">
        <v>17152</v>
      </c>
      <c r="E97" t="s">
        <v>17343</v>
      </c>
      <c r="F97" t="s">
        <v>29372</v>
      </c>
      <c r="G97" t="s">
        <v>29381</v>
      </c>
      <c r="H97" t="s">
        <v>11048</v>
      </c>
      <c r="I97" t="s">
        <v>4486</v>
      </c>
      <c r="J97" t="s">
        <v>29613</v>
      </c>
      <c r="K97" t="s">
        <v>38491</v>
      </c>
      <c r="M97" t="s">
        <v>38812</v>
      </c>
      <c r="N97" t="s">
        <v>42669</v>
      </c>
      <c r="O97" t="s">
        <v>42670</v>
      </c>
      <c r="P97">
        <v>0</v>
      </c>
      <c r="Q97">
        <v>1</v>
      </c>
      <c r="R97" t="s">
        <v>42671</v>
      </c>
      <c r="S97" t="s">
        <v>42779</v>
      </c>
      <c r="T97" t="s">
        <v>44375</v>
      </c>
      <c r="U97" t="s">
        <v>44957</v>
      </c>
      <c r="W97" t="s">
        <v>38812</v>
      </c>
      <c r="X97" t="s">
        <v>42676</v>
      </c>
    </row>
    <row r="98" spans="1:24">
      <c r="A98">
        <f>HYPERLINK("https://www.philgeps.gov.ph/GEPSNONPILOT/Tender/SplashBidNoticeAbstractUI.aspx?menuIndex=3&amp;refID=7190392&amp;Result=3","7190392")</f>
        <v>0</v>
      </c>
      <c r="B98" t="s">
        <v>67</v>
      </c>
      <c r="C98" t="s">
        <v>3608</v>
      </c>
      <c r="D98" t="s">
        <v>17168</v>
      </c>
      <c r="E98" t="s">
        <v>17344</v>
      </c>
      <c r="F98" t="s">
        <v>29372</v>
      </c>
      <c r="G98" t="s">
        <v>29380</v>
      </c>
      <c r="H98" t="s">
        <v>11048</v>
      </c>
      <c r="I98" t="s">
        <v>4709</v>
      </c>
      <c r="J98" t="s">
        <v>29614</v>
      </c>
      <c r="K98" t="s">
        <v>38518</v>
      </c>
      <c r="M98" t="s">
        <v>38821</v>
      </c>
      <c r="N98" t="s">
        <v>42669</v>
      </c>
      <c r="O98" t="s">
        <v>42670</v>
      </c>
      <c r="P98">
        <v>0</v>
      </c>
      <c r="Q98">
        <v>0</v>
      </c>
      <c r="R98" t="s">
        <v>42671</v>
      </c>
      <c r="S98" t="s">
        <v>42779</v>
      </c>
      <c r="T98" t="s">
        <v>44390</v>
      </c>
      <c r="U98" t="s">
        <v>44971</v>
      </c>
      <c r="V98" t="s">
        <v>56341</v>
      </c>
      <c r="W98" t="s">
        <v>38821</v>
      </c>
      <c r="X98" t="s">
        <v>42676</v>
      </c>
    </row>
    <row r="99" spans="1:24">
      <c r="A99">
        <f>HYPERLINK("https://www.philgeps.gov.ph/GEPSNONPILOT/Tender/SplashBidNoticeAbstractUI.aspx?menuIndex=3&amp;refID=7190353&amp;Result=3","7190353")</f>
        <v>0</v>
      </c>
      <c r="B99" t="s">
        <v>63</v>
      </c>
      <c r="C99" t="s">
        <v>3609</v>
      </c>
      <c r="D99" t="s">
        <v>17161</v>
      </c>
      <c r="E99" t="s">
        <v>17345</v>
      </c>
      <c r="F99" t="s">
        <v>29372</v>
      </c>
      <c r="G99" t="s">
        <v>29380</v>
      </c>
      <c r="H99" t="s">
        <v>11048</v>
      </c>
      <c r="I99" t="s">
        <v>9469</v>
      </c>
      <c r="J99" t="s">
        <v>29615</v>
      </c>
      <c r="K99" t="s">
        <v>38490</v>
      </c>
      <c r="M99" t="s">
        <v>38817</v>
      </c>
      <c r="N99" t="s">
        <v>42669</v>
      </c>
      <c r="O99" t="s">
        <v>42670</v>
      </c>
      <c r="P99">
        <v>0</v>
      </c>
      <c r="Q99">
        <v>3</v>
      </c>
      <c r="R99" t="s">
        <v>42671</v>
      </c>
      <c r="S99" t="s">
        <v>42779</v>
      </c>
      <c r="T99" t="s">
        <v>44360</v>
      </c>
      <c r="U99" t="s">
        <v>44972</v>
      </c>
      <c r="W99" t="s">
        <v>38817</v>
      </c>
      <c r="X99" t="s">
        <v>42676</v>
      </c>
    </row>
    <row r="100" spans="1:24">
      <c r="A100">
        <f>HYPERLINK("https://www.philgeps.gov.ph/GEPSNONPILOT/Tender/SplashBidNoticeAbstractUI.aspx?menuIndex=3&amp;refID=7190428&amp;Result=3","7190428")</f>
        <v>0</v>
      </c>
      <c r="B100" t="s">
        <v>68</v>
      </c>
      <c r="C100" t="s">
        <v>3610</v>
      </c>
      <c r="D100" t="s">
        <v>17169</v>
      </c>
      <c r="E100" t="s">
        <v>17346</v>
      </c>
      <c r="F100" t="s">
        <v>29372</v>
      </c>
      <c r="G100" t="s">
        <v>29380</v>
      </c>
      <c r="H100" t="s">
        <v>29389</v>
      </c>
      <c r="I100" t="s">
        <v>10408</v>
      </c>
      <c r="J100" t="s">
        <v>29616</v>
      </c>
      <c r="K100" t="s">
        <v>38518</v>
      </c>
      <c r="M100" t="s">
        <v>38822</v>
      </c>
      <c r="N100" t="s">
        <v>42669</v>
      </c>
      <c r="O100" t="s">
        <v>42670</v>
      </c>
      <c r="P100">
        <v>0</v>
      </c>
      <c r="Q100">
        <v>0</v>
      </c>
      <c r="R100" t="s">
        <v>42671</v>
      </c>
      <c r="S100" t="s">
        <v>42779</v>
      </c>
      <c r="T100" t="s">
        <v>44391</v>
      </c>
      <c r="U100" t="s">
        <v>44973</v>
      </c>
      <c r="W100" t="s">
        <v>38822</v>
      </c>
      <c r="X100" t="s">
        <v>42676</v>
      </c>
    </row>
    <row r="101" spans="1:24">
      <c r="A101">
        <f>HYPERLINK("https://www.philgeps.gov.ph/GEPSNONPILOT/Tender/SplashBidNoticeAbstractUI.aspx?menuIndex=3&amp;refID=7190345&amp;Result=3","7190345")</f>
        <v>0</v>
      </c>
      <c r="B101" t="s">
        <v>69</v>
      </c>
      <c r="C101" t="s">
        <v>3611</v>
      </c>
      <c r="D101" t="s">
        <v>17170</v>
      </c>
      <c r="E101" t="s">
        <v>17347</v>
      </c>
      <c r="F101" t="s">
        <v>29372</v>
      </c>
      <c r="G101" t="s">
        <v>29380</v>
      </c>
      <c r="H101" t="s">
        <v>11048</v>
      </c>
      <c r="I101" t="s">
        <v>4709</v>
      </c>
      <c r="J101" t="s">
        <v>29617</v>
      </c>
      <c r="K101" t="s">
        <v>38495</v>
      </c>
      <c r="M101" t="s">
        <v>38823</v>
      </c>
      <c r="N101" t="s">
        <v>42669</v>
      </c>
      <c r="O101" t="s">
        <v>42670</v>
      </c>
      <c r="P101">
        <v>0</v>
      </c>
      <c r="Q101">
        <v>0</v>
      </c>
      <c r="R101" t="s">
        <v>42671</v>
      </c>
      <c r="S101" t="s">
        <v>42779</v>
      </c>
      <c r="T101" t="s">
        <v>44392</v>
      </c>
      <c r="U101" t="s">
        <v>44974</v>
      </c>
      <c r="W101" t="s">
        <v>38823</v>
      </c>
      <c r="X101" t="s">
        <v>42676</v>
      </c>
    </row>
    <row r="102" spans="1:24">
      <c r="A102">
        <f>HYPERLINK("https://www.philgeps.gov.ph/GEPSNONPILOT/Tender/SplashBidNoticeAbstractUI.aspx?menuIndex=3&amp;refID=7180767&amp;Result=3","7180767")</f>
        <v>0</v>
      </c>
      <c r="B102" t="s">
        <v>70</v>
      </c>
      <c r="C102" t="s">
        <v>3612</v>
      </c>
      <c r="D102" t="s">
        <v>17143</v>
      </c>
      <c r="E102" t="s">
        <v>17348</v>
      </c>
      <c r="F102" t="s">
        <v>29372</v>
      </c>
      <c r="G102" t="s">
        <v>29379</v>
      </c>
      <c r="H102" t="s">
        <v>11048</v>
      </c>
      <c r="I102" t="s">
        <v>3695</v>
      </c>
      <c r="J102" t="s">
        <v>29618</v>
      </c>
      <c r="K102" t="s">
        <v>38488</v>
      </c>
      <c r="M102" t="s">
        <v>38824</v>
      </c>
      <c r="N102" t="s">
        <v>42669</v>
      </c>
      <c r="O102" t="s">
        <v>42670</v>
      </c>
      <c r="P102">
        <v>0</v>
      </c>
      <c r="Q102">
        <v>1</v>
      </c>
      <c r="R102" t="s">
        <v>42671</v>
      </c>
      <c r="S102" t="s">
        <v>42779</v>
      </c>
      <c r="T102" t="s">
        <v>44366</v>
      </c>
      <c r="U102" t="s">
        <v>44975</v>
      </c>
      <c r="W102" t="s">
        <v>38824</v>
      </c>
      <c r="X102" t="s">
        <v>42680</v>
      </c>
    </row>
    <row r="103" spans="1:24">
      <c r="A103">
        <f>HYPERLINK("https://www.philgeps.gov.ph/GEPSNONPILOT/Tender/SplashBidNoticeAbstractUI.aspx?menuIndex=3&amp;refID=7190309&amp;Result=3","7190309")</f>
        <v>0</v>
      </c>
      <c r="B103" t="s">
        <v>71</v>
      </c>
      <c r="C103" t="s">
        <v>3613</v>
      </c>
      <c r="D103" t="s">
        <v>17141</v>
      </c>
      <c r="E103" t="s">
        <v>17349</v>
      </c>
      <c r="F103" t="s">
        <v>29372</v>
      </c>
      <c r="G103" t="s">
        <v>29383</v>
      </c>
      <c r="H103" t="s">
        <v>11048</v>
      </c>
      <c r="I103" t="s">
        <v>3670</v>
      </c>
      <c r="J103" t="s">
        <v>29619</v>
      </c>
      <c r="K103" t="s">
        <v>38491</v>
      </c>
      <c r="M103" t="s">
        <v>38825</v>
      </c>
      <c r="N103" t="s">
        <v>42669</v>
      </c>
      <c r="O103" t="s">
        <v>42670</v>
      </c>
      <c r="P103">
        <v>0</v>
      </c>
      <c r="Q103">
        <v>3</v>
      </c>
      <c r="R103" t="s">
        <v>42671</v>
      </c>
      <c r="S103" t="s">
        <v>42779</v>
      </c>
      <c r="T103" t="s">
        <v>44393</v>
      </c>
      <c r="U103" t="s">
        <v>44976</v>
      </c>
      <c r="W103" t="s">
        <v>38825</v>
      </c>
      <c r="X103" t="s">
        <v>42676</v>
      </c>
    </row>
    <row r="104" spans="1:24">
      <c r="A104">
        <f>HYPERLINK("https://www.philgeps.gov.ph/GEPSNONPILOT/Tender/SplashBidNoticeAbstractUI.aspx?menuIndex=3&amp;refID=7190575&amp;Result=3","7190575")</f>
        <v>0</v>
      </c>
      <c r="B104" t="s">
        <v>72</v>
      </c>
      <c r="C104" t="s">
        <v>3614</v>
      </c>
      <c r="D104" t="s">
        <v>17158</v>
      </c>
      <c r="E104" t="s">
        <v>17350</v>
      </c>
      <c r="F104" t="s">
        <v>29372</v>
      </c>
      <c r="G104" t="s">
        <v>29379</v>
      </c>
      <c r="H104" t="s">
        <v>11048</v>
      </c>
      <c r="I104" t="s">
        <v>29405</v>
      </c>
      <c r="J104" t="s">
        <v>29620</v>
      </c>
      <c r="K104" t="s">
        <v>38488</v>
      </c>
      <c r="M104" t="s">
        <v>38826</v>
      </c>
      <c r="N104" t="s">
        <v>42669</v>
      </c>
      <c r="O104" t="s">
        <v>42670</v>
      </c>
      <c r="P104">
        <v>0</v>
      </c>
      <c r="Q104">
        <v>0</v>
      </c>
      <c r="R104" t="s">
        <v>42671</v>
      </c>
      <c r="S104" t="s">
        <v>42779</v>
      </c>
      <c r="T104" t="s">
        <v>44394</v>
      </c>
      <c r="U104" t="s">
        <v>44977</v>
      </c>
      <c r="W104" t="s">
        <v>38826</v>
      </c>
      <c r="X104" t="s">
        <v>42676</v>
      </c>
    </row>
    <row r="105" spans="1:24">
      <c r="A105">
        <f>HYPERLINK("https://www.philgeps.gov.ph/GEPSNONPILOT/Tender/SplashBidNoticeAbstractUI.aspx?menuIndex=3&amp;refID=7190376&amp;Result=3","7190376")</f>
        <v>0</v>
      </c>
      <c r="B105" t="s">
        <v>73</v>
      </c>
      <c r="C105" t="s">
        <v>3615</v>
      </c>
      <c r="D105" t="s">
        <v>17171</v>
      </c>
      <c r="E105" t="s">
        <v>17351</v>
      </c>
      <c r="F105" t="s">
        <v>29372</v>
      </c>
      <c r="G105" t="s">
        <v>29379</v>
      </c>
      <c r="H105" t="s">
        <v>11048</v>
      </c>
      <c r="I105" t="s">
        <v>29400</v>
      </c>
      <c r="J105" t="s">
        <v>29621</v>
      </c>
      <c r="K105" t="s">
        <v>38490</v>
      </c>
      <c r="M105" t="s">
        <v>38827</v>
      </c>
      <c r="N105" t="s">
        <v>42669</v>
      </c>
      <c r="O105" t="s">
        <v>42670</v>
      </c>
      <c r="P105">
        <v>0</v>
      </c>
      <c r="Q105">
        <v>5</v>
      </c>
      <c r="R105" t="s">
        <v>42671</v>
      </c>
      <c r="S105" t="s">
        <v>42779</v>
      </c>
      <c r="T105" t="s">
        <v>44382</v>
      </c>
      <c r="U105" t="s">
        <v>44978</v>
      </c>
      <c r="W105" t="s">
        <v>38827</v>
      </c>
      <c r="X105" t="s">
        <v>42676</v>
      </c>
    </row>
    <row r="106" spans="1:24">
      <c r="A106">
        <f>HYPERLINK("https://www.philgeps.gov.ph/GEPSNONPILOT/Tender/SplashBidNoticeAbstractUI.aspx?menuIndex=3&amp;refID=7190548&amp;Result=3","7190548")</f>
        <v>0</v>
      </c>
      <c r="B106" t="s">
        <v>63</v>
      </c>
      <c r="C106" t="s">
        <v>3616</v>
      </c>
      <c r="D106" t="s">
        <v>17161</v>
      </c>
      <c r="E106" t="s">
        <v>17352</v>
      </c>
      <c r="F106" t="s">
        <v>29372</v>
      </c>
      <c r="G106" t="s">
        <v>29381</v>
      </c>
      <c r="H106" t="s">
        <v>11048</v>
      </c>
      <c r="I106" t="s">
        <v>4709</v>
      </c>
      <c r="J106" t="s">
        <v>29622</v>
      </c>
      <c r="K106" t="s">
        <v>38490</v>
      </c>
      <c r="M106" t="s">
        <v>38817</v>
      </c>
      <c r="N106" t="s">
        <v>42669</v>
      </c>
      <c r="O106" t="s">
        <v>42670</v>
      </c>
      <c r="P106">
        <v>0</v>
      </c>
      <c r="Q106">
        <v>0</v>
      </c>
      <c r="R106" t="s">
        <v>42671</v>
      </c>
      <c r="S106" t="s">
        <v>42779</v>
      </c>
      <c r="T106" t="s">
        <v>44354</v>
      </c>
      <c r="U106" t="s">
        <v>44965</v>
      </c>
      <c r="W106" t="s">
        <v>38817</v>
      </c>
      <c r="X106" t="s">
        <v>42676</v>
      </c>
    </row>
    <row r="107" spans="1:24">
      <c r="A107">
        <f>HYPERLINK("https://www.philgeps.gov.ph/GEPSNONPILOT/Tender/SplashBidNoticeAbstractUI.aspx?menuIndex=3&amp;refID=7190770&amp;Result=3","7190770")</f>
        <v>0</v>
      </c>
      <c r="B107" t="s">
        <v>74</v>
      </c>
      <c r="C107" t="s">
        <v>3617</v>
      </c>
      <c r="D107" t="s">
        <v>17169</v>
      </c>
      <c r="E107" t="s">
        <v>17353</v>
      </c>
      <c r="F107" t="s">
        <v>29372</v>
      </c>
      <c r="G107" t="s">
        <v>29380</v>
      </c>
      <c r="H107" t="s">
        <v>29389</v>
      </c>
      <c r="I107" t="s">
        <v>10408</v>
      </c>
      <c r="J107" t="s">
        <v>29623</v>
      </c>
      <c r="K107" t="s">
        <v>38519</v>
      </c>
      <c r="L107" t="s">
        <v>74</v>
      </c>
      <c r="M107" t="s">
        <v>38828</v>
      </c>
      <c r="N107" t="s">
        <v>42669</v>
      </c>
      <c r="O107" t="s">
        <v>42670</v>
      </c>
      <c r="P107">
        <v>0</v>
      </c>
      <c r="Q107">
        <v>0</v>
      </c>
      <c r="R107" t="s">
        <v>42671</v>
      </c>
      <c r="S107" t="s">
        <v>42779</v>
      </c>
      <c r="T107" t="s">
        <v>44395</v>
      </c>
      <c r="U107" t="s">
        <v>44979</v>
      </c>
      <c r="W107" t="s">
        <v>38828</v>
      </c>
      <c r="X107" t="s">
        <v>42676</v>
      </c>
    </row>
    <row r="108" spans="1:24">
      <c r="A108">
        <f>HYPERLINK("https://www.philgeps.gov.ph/GEPSNONPILOT/Tender/SplashBidNoticeAbstractUI.aspx?menuIndex=3&amp;refID=7190406&amp;Result=3","7190406")</f>
        <v>0</v>
      </c>
      <c r="B108" t="s">
        <v>63</v>
      </c>
      <c r="C108" t="s">
        <v>3618</v>
      </c>
      <c r="D108" t="s">
        <v>17161</v>
      </c>
      <c r="E108" t="s">
        <v>17354</v>
      </c>
      <c r="F108" t="s">
        <v>29372</v>
      </c>
      <c r="G108" t="s">
        <v>29380</v>
      </c>
      <c r="H108" t="s">
        <v>11048</v>
      </c>
      <c r="I108" t="s">
        <v>9469</v>
      </c>
      <c r="J108" t="s">
        <v>29615</v>
      </c>
      <c r="K108" t="s">
        <v>38490</v>
      </c>
      <c r="M108" t="s">
        <v>38817</v>
      </c>
      <c r="N108" t="s">
        <v>42669</v>
      </c>
      <c r="O108" t="s">
        <v>42670</v>
      </c>
      <c r="P108">
        <v>0</v>
      </c>
      <c r="Q108">
        <v>4</v>
      </c>
      <c r="R108" t="s">
        <v>42671</v>
      </c>
      <c r="S108" t="s">
        <v>42779</v>
      </c>
      <c r="T108" t="s">
        <v>44360</v>
      </c>
      <c r="U108" t="s">
        <v>44972</v>
      </c>
      <c r="W108" t="s">
        <v>38817</v>
      </c>
      <c r="X108" t="s">
        <v>42676</v>
      </c>
    </row>
    <row r="109" spans="1:24">
      <c r="A109">
        <f>HYPERLINK("https://www.philgeps.gov.ph/GEPSNONPILOT/Tender/SplashBidNoticeAbstractUI.aspx?menuIndex=3&amp;refID=7190738&amp;Result=3","7190738")</f>
        <v>0</v>
      </c>
      <c r="B109" t="s">
        <v>74</v>
      </c>
      <c r="C109" t="s">
        <v>3619</v>
      </c>
      <c r="D109" t="s">
        <v>17169</v>
      </c>
      <c r="E109" t="s">
        <v>17355</v>
      </c>
      <c r="F109" t="s">
        <v>29372</v>
      </c>
      <c r="G109" t="s">
        <v>29380</v>
      </c>
      <c r="H109" t="s">
        <v>29389</v>
      </c>
      <c r="I109" t="s">
        <v>10408</v>
      </c>
      <c r="J109" t="s">
        <v>29624</v>
      </c>
      <c r="K109" t="s">
        <v>38520</v>
      </c>
      <c r="L109" t="s">
        <v>74</v>
      </c>
      <c r="M109" t="s">
        <v>38828</v>
      </c>
      <c r="N109" t="s">
        <v>42669</v>
      </c>
      <c r="O109" t="s">
        <v>42670</v>
      </c>
      <c r="P109">
        <v>0</v>
      </c>
      <c r="Q109">
        <v>4</v>
      </c>
      <c r="R109" t="s">
        <v>42671</v>
      </c>
      <c r="S109" t="s">
        <v>42779</v>
      </c>
      <c r="T109" t="s">
        <v>44395</v>
      </c>
      <c r="U109" t="s">
        <v>44979</v>
      </c>
      <c r="W109" t="s">
        <v>38828</v>
      </c>
      <c r="X109" t="s">
        <v>42676</v>
      </c>
    </row>
    <row r="110" spans="1:24">
      <c r="A110">
        <f>HYPERLINK("https://www.philgeps.gov.ph/GEPSNONPILOT/Tender/SplashBidNoticeAbstractUI.aspx?menuIndex=3&amp;refID=7190301&amp;Result=3","7190301")</f>
        <v>0</v>
      </c>
      <c r="B110" t="s">
        <v>63</v>
      </c>
      <c r="C110" t="s">
        <v>3620</v>
      </c>
      <c r="D110" t="s">
        <v>17161</v>
      </c>
      <c r="E110" t="s">
        <v>17356</v>
      </c>
      <c r="F110" t="s">
        <v>29372</v>
      </c>
      <c r="G110" t="s">
        <v>29380</v>
      </c>
      <c r="H110" t="s">
        <v>11048</v>
      </c>
      <c r="I110" t="s">
        <v>9469</v>
      </c>
      <c r="J110" t="s">
        <v>29540</v>
      </c>
      <c r="K110" t="s">
        <v>38490</v>
      </c>
      <c r="M110" t="s">
        <v>38817</v>
      </c>
      <c r="N110" t="s">
        <v>42669</v>
      </c>
      <c r="O110" t="s">
        <v>42670</v>
      </c>
      <c r="P110">
        <v>0</v>
      </c>
      <c r="Q110">
        <v>4</v>
      </c>
      <c r="R110" t="s">
        <v>42671</v>
      </c>
      <c r="S110" t="s">
        <v>42779</v>
      </c>
      <c r="T110" t="s">
        <v>44360</v>
      </c>
      <c r="U110" t="s">
        <v>44972</v>
      </c>
      <c r="W110" t="s">
        <v>38817</v>
      </c>
      <c r="X110" t="s">
        <v>42676</v>
      </c>
    </row>
    <row r="111" spans="1:24">
      <c r="A111">
        <f>HYPERLINK("https://www.philgeps.gov.ph/GEPSNONPILOT/Tender/SplashBidNoticeAbstractUI.aspx?menuIndex=3&amp;refID=7190507&amp;Result=3","7190507")</f>
        <v>0</v>
      </c>
      <c r="B111" t="s">
        <v>75</v>
      </c>
      <c r="C111" t="s">
        <v>3621</v>
      </c>
      <c r="D111" t="s">
        <v>17153</v>
      </c>
      <c r="E111" t="s">
        <v>17357</v>
      </c>
      <c r="F111" t="s">
        <v>29372</v>
      </c>
      <c r="G111" t="s">
        <v>29379</v>
      </c>
      <c r="H111" t="s">
        <v>11048</v>
      </c>
      <c r="I111" t="s">
        <v>5383</v>
      </c>
      <c r="J111" t="s">
        <v>29625</v>
      </c>
      <c r="K111" t="s">
        <v>38491</v>
      </c>
      <c r="M111" t="s">
        <v>38829</v>
      </c>
      <c r="N111" t="s">
        <v>42669</v>
      </c>
      <c r="O111" t="s">
        <v>42670</v>
      </c>
      <c r="P111">
        <v>0</v>
      </c>
      <c r="Q111">
        <v>0</v>
      </c>
      <c r="R111" t="s">
        <v>42671</v>
      </c>
      <c r="S111" t="s">
        <v>42779</v>
      </c>
      <c r="T111" t="s">
        <v>44386</v>
      </c>
      <c r="U111" t="s">
        <v>44980</v>
      </c>
      <c r="W111" t="s">
        <v>38829</v>
      </c>
      <c r="X111" t="s">
        <v>42676</v>
      </c>
    </row>
    <row r="112" spans="1:24">
      <c r="A112">
        <f>HYPERLINK("https://www.philgeps.gov.ph/GEPSNONPILOT/Tender/SplashBidNoticeAbstractUI.aspx?menuIndex=3&amp;refID=7190730&amp;Result=3","7190730")</f>
        <v>0</v>
      </c>
      <c r="B112" t="s">
        <v>63</v>
      </c>
      <c r="C112" t="s">
        <v>3622</v>
      </c>
      <c r="D112" t="s">
        <v>17161</v>
      </c>
      <c r="E112" t="s">
        <v>17358</v>
      </c>
      <c r="F112" t="s">
        <v>29372</v>
      </c>
      <c r="G112" t="s">
        <v>29381</v>
      </c>
      <c r="H112" t="s">
        <v>11048</v>
      </c>
      <c r="I112" t="s">
        <v>4709</v>
      </c>
      <c r="J112" t="s">
        <v>29626</v>
      </c>
      <c r="K112" t="s">
        <v>38490</v>
      </c>
      <c r="M112" t="s">
        <v>38817</v>
      </c>
      <c r="N112" t="s">
        <v>42669</v>
      </c>
      <c r="O112" t="s">
        <v>42670</v>
      </c>
      <c r="P112">
        <v>0</v>
      </c>
      <c r="Q112">
        <v>0</v>
      </c>
      <c r="R112" t="s">
        <v>42671</v>
      </c>
      <c r="S112" t="s">
        <v>42779</v>
      </c>
      <c r="T112" t="s">
        <v>44354</v>
      </c>
      <c r="U112" t="s">
        <v>44965</v>
      </c>
      <c r="W112" t="s">
        <v>38817</v>
      </c>
      <c r="X112" t="s">
        <v>42676</v>
      </c>
    </row>
    <row r="113" spans="1:24">
      <c r="A113">
        <f>HYPERLINK("https://www.philgeps.gov.ph/GEPSNONPILOT/Tender/SplashBidNoticeAbstractUI.aspx?menuIndex=3&amp;refID=7190699&amp;Result=3","7190699")</f>
        <v>0</v>
      </c>
      <c r="B113" t="s">
        <v>76</v>
      </c>
      <c r="C113" t="s">
        <v>3623</v>
      </c>
      <c r="D113" t="s">
        <v>17168</v>
      </c>
      <c r="E113" t="s">
        <v>17359</v>
      </c>
      <c r="F113" t="s">
        <v>29372</v>
      </c>
      <c r="G113" t="s">
        <v>29379</v>
      </c>
      <c r="H113" t="s">
        <v>11048</v>
      </c>
      <c r="I113" t="s">
        <v>3629</v>
      </c>
      <c r="J113" t="s">
        <v>29627</v>
      </c>
      <c r="K113" t="s">
        <v>38488</v>
      </c>
      <c r="M113" t="s">
        <v>38830</v>
      </c>
      <c r="N113" t="s">
        <v>42669</v>
      </c>
      <c r="O113" t="s">
        <v>42670</v>
      </c>
      <c r="P113">
        <v>0</v>
      </c>
      <c r="Q113">
        <v>0</v>
      </c>
      <c r="R113" t="s">
        <v>42671</v>
      </c>
      <c r="S113" t="s">
        <v>42779</v>
      </c>
      <c r="T113" t="s">
        <v>44386</v>
      </c>
      <c r="U113" t="s">
        <v>44981</v>
      </c>
      <c r="W113" t="s">
        <v>38830</v>
      </c>
      <c r="X113" t="s">
        <v>42676</v>
      </c>
    </row>
    <row r="114" spans="1:24">
      <c r="A114">
        <f>HYPERLINK("https://www.philgeps.gov.ph/GEPSNONPILOT/Tender/SplashBidNoticeAbstractUI.aspx?menuIndex=3&amp;refID=7190696&amp;Result=3","7190696")</f>
        <v>0</v>
      </c>
      <c r="B114" t="s">
        <v>63</v>
      </c>
      <c r="C114" t="s">
        <v>3624</v>
      </c>
      <c r="D114" t="s">
        <v>17161</v>
      </c>
      <c r="E114" t="s">
        <v>17360</v>
      </c>
      <c r="F114" t="s">
        <v>29372</v>
      </c>
      <c r="G114" t="s">
        <v>29381</v>
      </c>
      <c r="H114" t="s">
        <v>11048</v>
      </c>
      <c r="I114" t="s">
        <v>4709</v>
      </c>
      <c r="J114" t="s">
        <v>29628</v>
      </c>
      <c r="K114" t="s">
        <v>38490</v>
      </c>
      <c r="M114" t="s">
        <v>38817</v>
      </c>
      <c r="N114" t="s">
        <v>42669</v>
      </c>
      <c r="O114" t="s">
        <v>42670</v>
      </c>
      <c r="P114">
        <v>0</v>
      </c>
      <c r="Q114">
        <v>0</v>
      </c>
      <c r="R114" t="s">
        <v>42671</v>
      </c>
      <c r="S114" t="s">
        <v>42779</v>
      </c>
      <c r="T114" t="s">
        <v>44354</v>
      </c>
      <c r="U114" t="s">
        <v>44965</v>
      </c>
      <c r="W114" t="s">
        <v>38817</v>
      </c>
      <c r="X114" t="s">
        <v>42676</v>
      </c>
    </row>
    <row r="115" spans="1:24">
      <c r="A115">
        <f>HYPERLINK("https://www.philgeps.gov.ph/GEPSNONPILOT/Tender/SplashBidNoticeAbstractUI.aspx?menuIndex=3&amp;refID=7190508&amp;Result=3","7190508")</f>
        <v>0</v>
      </c>
      <c r="B115" t="s">
        <v>76</v>
      </c>
      <c r="C115" t="s">
        <v>3625</v>
      </c>
      <c r="D115" t="s">
        <v>17168</v>
      </c>
      <c r="E115" t="s">
        <v>17361</v>
      </c>
      <c r="F115" t="s">
        <v>29372</v>
      </c>
      <c r="G115" t="s">
        <v>29379</v>
      </c>
      <c r="H115" t="s">
        <v>11048</v>
      </c>
      <c r="I115" t="s">
        <v>4487</v>
      </c>
      <c r="J115" t="s">
        <v>29629</v>
      </c>
      <c r="K115" t="s">
        <v>38488</v>
      </c>
      <c r="M115" t="s">
        <v>38830</v>
      </c>
      <c r="N115" t="s">
        <v>42669</v>
      </c>
      <c r="O115" t="s">
        <v>42670</v>
      </c>
      <c r="P115">
        <v>0</v>
      </c>
      <c r="Q115">
        <v>1</v>
      </c>
      <c r="R115" t="s">
        <v>42671</v>
      </c>
      <c r="S115" t="s">
        <v>42779</v>
      </c>
      <c r="T115" t="s">
        <v>44394</v>
      </c>
      <c r="U115" t="s">
        <v>44982</v>
      </c>
      <c r="W115" t="s">
        <v>38830</v>
      </c>
      <c r="X115" t="s">
        <v>42676</v>
      </c>
    </row>
    <row r="116" spans="1:24">
      <c r="A116">
        <f>HYPERLINK("https://www.philgeps.gov.ph/GEPSNONPILOT/Tender/SplashBidNoticeAbstractUI.aspx?menuIndex=3&amp;refID=7190687&amp;Result=3","7190687")</f>
        <v>0</v>
      </c>
      <c r="B116" t="s">
        <v>63</v>
      </c>
      <c r="C116" t="s">
        <v>3626</v>
      </c>
      <c r="D116" t="s">
        <v>17161</v>
      </c>
      <c r="E116" t="s">
        <v>17362</v>
      </c>
      <c r="F116" t="s">
        <v>29372</v>
      </c>
      <c r="G116" t="s">
        <v>29381</v>
      </c>
      <c r="H116" t="s">
        <v>11048</v>
      </c>
      <c r="I116" t="s">
        <v>4709</v>
      </c>
      <c r="J116" t="s">
        <v>29630</v>
      </c>
      <c r="K116" t="s">
        <v>38490</v>
      </c>
      <c r="M116" t="s">
        <v>38817</v>
      </c>
      <c r="N116" t="s">
        <v>42669</v>
      </c>
      <c r="O116" t="s">
        <v>42670</v>
      </c>
      <c r="P116">
        <v>0</v>
      </c>
      <c r="Q116">
        <v>0</v>
      </c>
      <c r="R116" t="s">
        <v>42671</v>
      </c>
      <c r="S116" t="s">
        <v>42779</v>
      </c>
      <c r="T116" t="s">
        <v>44354</v>
      </c>
      <c r="U116" t="s">
        <v>44965</v>
      </c>
      <c r="W116" t="s">
        <v>38817</v>
      </c>
      <c r="X116" t="s">
        <v>42676</v>
      </c>
    </row>
    <row r="117" spans="1:24">
      <c r="A117">
        <f>HYPERLINK("https://www.philgeps.gov.ph/GEPSNONPILOT/Tender/SplashBidNoticeAbstractUI.aspx?menuIndex=3&amp;refID=7190667&amp;Result=3","7190667")</f>
        <v>0</v>
      </c>
      <c r="B117" t="s">
        <v>77</v>
      </c>
      <c r="C117" t="s">
        <v>3627</v>
      </c>
      <c r="D117" t="s">
        <v>17154</v>
      </c>
      <c r="E117" t="s">
        <v>17363</v>
      </c>
      <c r="F117" t="s">
        <v>29372</v>
      </c>
      <c r="G117" t="s">
        <v>29380</v>
      </c>
      <c r="H117" t="s">
        <v>11048</v>
      </c>
      <c r="I117" t="s">
        <v>5383</v>
      </c>
      <c r="J117" t="s">
        <v>29631</v>
      </c>
      <c r="K117" t="s">
        <v>38488</v>
      </c>
      <c r="M117" t="s">
        <v>38831</v>
      </c>
      <c r="N117" t="s">
        <v>42669</v>
      </c>
      <c r="O117" t="s">
        <v>42670</v>
      </c>
      <c r="P117">
        <v>0</v>
      </c>
      <c r="Q117">
        <v>1</v>
      </c>
      <c r="R117" t="s">
        <v>42671</v>
      </c>
      <c r="S117" t="s">
        <v>42779</v>
      </c>
      <c r="T117" t="s">
        <v>44396</v>
      </c>
      <c r="U117" t="s">
        <v>44983</v>
      </c>
      <c r="W117" t="s">
        <v>38831</v>
      </c>
      <c r="X117" t="s">
        <v>42676</v>
      </c>
    </row>
    <row r="118" spans="1:24">
      <c r="A118">
        <f>HYPERLINK("https://www.philgeps.gov.ph/GEPSNONPILOT/Tender/SplashBidNoticeAbstractUI.aspx?menuIndex=3&amp;refID=7190898&amp;Result=3","7190898")</f>
        <v>0</v>
      </c>
      <c r="B118" t="s">
        <v>78</v>
      </c>
      <c r="C118" t="s">
        <v>3628</v>
      </c>
      <c r="D118" t="s">
        <v>17141</v>
      </c>
      <c r="E118" t="s">
        <v>17364</v>
      </c>
      <c r="F118" t="s">
        <v>29372</v>
      </c>
      <c r="G118" t="s">
        <v>29379</v>
      </c>
      <c r="H118" t="s">
        <v>11048</v>
      </c>
      <c r="I118" t="s">
        <v>8208</v>
      </c>
      <c r="J118" t="s">
        <v>29632</v>
      </c>
      <c r="K118" t="s">
        <v>38485</v>
      </c>
      <c r="M118" t="s">
        <v>38832</v>
      </c>
      <c r="N118" t="s">
        <v>42669</v>
      </c>
      <c r="O118" t="s">
        <v>42670</v>
      </c>
      <c r="P118">
        <v>0</v>
      </c>
      <c r="Q118">
        <v>0</v>
      </c>
      <c r="R118" t="s">
        <v>42671</v>
      </c>
      <c r="S118" t="s">
        <v>42779</v>
      </c>
      <c r="T118" t="s">
        <v>44387</v>
      </c>
      <c r="U118" t="s">
        <v>44984</v>
      </c>
      <c r="W118" t="s">
        <v>38832</v>
      </c>
      <c r="X118" t="s">
        <v>42676</v>
      </c>
    </row>
    <row r="119" spans="1:24">
      <c r="A119">
        <f>HYPERLINK("https://www.philgeps.gov.ph/GEPSNONPILOT/Tender/SplashBidNoticeAbstractUI.aspx?menuIndex=3&amp;refID=7190869&amp;Result=3","7190869")</f>
        <v>0</v>
      </c>
      <c r="B119" t="s">
        <v>79</v>
      </c>
      <c r="C119" t="s">
        <v>3629</v>
      </c>
      <c r="D119" t="s">
        <v>17172</v>
      </c>
      <c r="E119" t="s">
        <v>17365</v>
      </c>
      <c r="F119" t="s">
        <v>29372</v>
      </c>
      <c r="G119" t="s">
        <v>29379</v>
      </c>
      <c r="H119" t="s">
        <v>11048</v>
      </c>
      <c r="I119" t="s">
        <v>3629</v>
      </c>
      <c r="J119" t="s">
        <v>29633</v>
      </c>
      <c r="K119" t="s">
        <v>38491</v>
      </c>
      <c r="M119" t="s">
        <v>38833</v>
      </c>
      <c r="N119" t="s">
        <v>42669</v>
      </c>
      <c r="O119" t="s">
        <v>42670</v>
      </c>
      <c r="P119">
        <v>0</v>
      </c>
      <c r="Q119">
        <v>2</v>
      </c>
      <c r="R119" t="s">
        <v>42671</v>
      </c>
      <c r="S119" t="s">
        <v>42779</v>
      </c>
      <c r="T119" t="s">
        <v>44371</v>
      </c>
      <c r="U119" t="s">
        <v>44985</v>
      </c>
      <c r="W119" t="s">
        <v>38833</v>
      </c>
      <c r="X119" t="s">
        <v>42676</v>
      </c>
    </row>
    <row r="120" spans="1:24">
      <c r="A120">
        <f>HYPERLINK("https://www.philgeps.gov.ph/GEPSNONPILOT/Tender/SplashBidNoticeAbstractUI.aspx?menuIndex=3&amp;refID=7191051&amp;Result=3","7191051")</f>
        <v>0</v>
      </c>
      <c r="B120" t="s">
        <v>80</v>
      </c>
      <c r="C120" t="s">
        <v>3630</v>
      </c>
      <c r="D120" t="s">
        <v>17142</v>
      </c>
      <c r="E120" t="s">
        <v>17366</v>
      </c>
      <c r="F120" t="s">
        <v>29372</v>
      </c>
      <c r="G120" t="s">
        <v>29380</v>
      </c>
      <c r="H120" t="s">
        <v>29389</v>
      </c>
      <c r="I120" t="s">
        <v>4486</v>
      </c>
      <c r="J120" t="s">
        <v>29634</v>
      </c>
      <c r="K120" t="s">
        <v>38510</v>
      </c>
      <c r="M120" t="s">
        <v>38834</v>
      </c>
      <c r="N120" t="s">
        <v>42669</v>
      </c>
      <c r="O120" t="s">
        <v>42670</v>
      </c>
      <c r="P120">
        <v>0</v>
      </c>
      <c r="Q120">
        <v>5</v>
      </c>
      <c r="R120" t="s">
        <v>42671</v>
      </c>
      <c r="S120" t="s">
        <v>42779</v>
      </c>
      <c r="T120" t="s">
        <v>44397</v>
      </c>
      <c r="U120" t="s">
        <v>44986</v>
      </c>
      <c r="W120" t="s">
        <v>38834</v>
      </c>
      <c r="X120" t="s">
        <v>42676</v>
      </c>
    </row>
    <row r="121" spans="1:24">
      <c r="A121">
        <f>HYPERLINK("https://www.philgeps.gov.ph/GEPSNONPILOT/Tender/SplashBidNoticeAbstractUI.aspx?menuIndex=3&amp;refID=7190755&amp;Result=3","7190755")</f>
        <v>0</v>
      </c>
      <c r="B121" t="s">
        <v>63</v>
      </c>
      <c r="C121" t="s">
        <v>3631</v>
      </c>
      <c r="D121" t="s">
        <v>17161</v>
      </c>
      <c r="E121" t="s">
        <v>17367</v>
      </c>
      <c r="F121" t="s">
        <v>29372</v>
      </c>
      <c r="G121" t="s">
        <v>29381</v>
      </c>
      <c r="H121" t="s">
        <v>11048</v>
      </c>
      <c r="I121" t="s">
        <v>4709</v>
      </c>
      <c r="J121" t="s">
        <v>29626</v>
      </c>
      <c r="K121" t="s">
        <v>38490</v>
      </c>
      <c r="M121" t="s">
        <v>38817</v>
      </c>
      <c r="N121" t="s">
        <v>42669</v>
      </c>
      <c r="O121" t="s">
        <v>42670</v>
      </c>
      <c r="P121">
        <v>0</v>
      </c>
      <c r="Q121">
        <v>0</v>
      </c>
      <c r="R121" t="s">
        <v>42671</v>
      </c>
      <c r="S121" t="s">
        <v>42779</v>
      </c>
      <c r="T121" t="s">
        <v>44354</v>
      </c>
      <c r="U121" t="s">
        <v>44965</v>
      </c>
      <c r="W121" t="s">
        <v>38817</v>
      </c>
      <c r="X121" t="s">
        <v>42676</v>
      </c>
    </row>
    <row r="122" spans="1:24">
      <c r="A122">
        <f>HYPERLINK("https://www.philgeps.gov.ph/GEPSNONPILOT/Tender/SplashBidNoticeAbstractUI.aspx?menuIndex=3&amp;refID=7191028&amp;Result=3","7191028")</f>
        <v>0</v>
      </c>
      <c r="B122" t="s">
        <v>81</v>
      </c>
      <c r="C122" t="s">
        <v>3632</v>
      </c>
      <c r="D122" t="s">
        <v>17171</v>
      </c>
      <c r="E122" t="s">
        <v>17368</v>
      </c>
      <c r="F122" t="s">
        <v>29372</v>
      </c>
      <c r="G122" t="s">
        <v>29379</v>
      </c>
      <c r="H122" t="s">
        <v>11048</v>
      </c>
      <c r="I122" t="s">
        <v>4487</v>
      </c>
      <c r="J122" t="s">
        <v>29635</v>
      </c>
      <c r="K122" t="s">
        <v>38491</v>
      </c>
      <c r="M122" t="s">
        <v>38835</v>
      </c>
      <c r="N122" t="s">
        <v>42669</v>
      </c>
      <c r="O122" t="s">
        <v>42670</v>
      </c>
      <c r="P122">
        <v>0</v>
      </c>
      <c r="Q122">
        <v>5</v>
      </c>
      <c r="R122" t="s">
        <v>42671</v>
      </c>
      <c r="S122" t="s">
        <v>42779</v>
      </c>
      <c r="T122" t="s">
        <v>44371</v>
      </c>
      <c r="U122" t="s">
        <v>44987</v>
      </c>
      <c r="W122" t="s">
        <v>38835</v>
      </c>
      <c r="X122" t="s">
        <v>42676</v>
      </c>
    </row>
    <row r="123" spans="1:24">
      <c r="A123">
        <f>HYPERLINK("https://www.philgeps.gov.ph/GEPSNONPILOT/Tender/SplashBidNoticeAbstractUI.aspx?menuIndex=3&amp;refID=7190951&amp;Result=3","7190951")</f>
        <v>0</v>
      </c>
      <c r="B123" t="s">
        <v>82</v>
      </c>
      <c r="C123" t="s">
        <v>3633</v>
      </c>
      <c r="D123" t="s">
        <v>17172</v>
      </c>
      <c r="E123" t="s">
        <v>17369</v>
      </c>
      <c r="F123" t="s">
        <v>29372</v>
      </c>
      <c r="G123" t="s">
        <v>29379</v>
      </c>
      <c r="H123" t="s">
        <v>11048</v>
      </c>
      <c r="I123" t="s">
        <v>29393</v>
      </c>
      <c r="J123" t="s">
        <v>29636</v>
      </c>
      <c r="K123" t="s">
        <v>38485</v>
      </c>
      <c r="M123" t="s">
        <v>38836</v>
      </c>
      <c r="N123" t="s">
        <v>42669</v>
      </c>
      <c r="O123" t="s">
        <v>42670</v>
      </c>
      <c r="P123">
        <v>0</v>
      </c>
      <c r="Q123">
        <v>0</v>
      </c>
      <c r="R123" t="s">
        <v>42671</v>
      </c>
      <c r="S123" t="s">
        <v>42779</v>
      </c>
      <c r="T123" t="s">
        <v>44387</v>
      </c>
      <c r="U123" t="s">
        <v>44988</v>
      </c>
      <c r="W123" t="s">
        <v>38836</v>
      </c>
      <c r="X123" t="s">
        <v>42676</v>
      </c>
    </row>
    <row r="124" spans="1:24">
      <c r="A124">
        <f>HYPERLINK("https://www.philgeps.gov.ph/GEPSNONPILOT/Tender/SplashBidNoticeAbstractUI.aspx?menuIndex=3&amp;refID=7190222&amp;Result=3","7190222")</f>
        <v>0</v>
      </c>
      <c r="B124" t="s">
        <v>83</v>
      </c>
      <c r="C124" t="s">
        <v>3634</v>
      </c>
      <c r="D124" t="s">
        <v>17160</v>
      </c>
      <c r="E124" t="s">
        <v>17370</v>
      </c>
      <c r="F124" t="s">
        <v>29372</v>
      </c>
      <c r="G124" t="s">
        <v>29379</v>
      </c>
      <c r="H124" t="s">
        <v>11048</v>
      </c>
      <c r="I124" t="s">
        <v>3597</v>
      </c>
      <c r="J124" t="s">
        <v>29637</v>
      </c>
      <c r="K124" t="s">
        <v>38490</v>
      </c>
      <c r="M124" t="s">
        <v>38837</v>
      </c>
      <c r="N124" t="s">
        <v>42669</v>
      </c>
      <c r="O124" t="s">
        <v>42670</v>
      </c>
      <c r="P124">
        <v>0</v>
      </c>
      <c r="Q124">
        <v>12</v>
      </c>
      <c r="R124" t="s">
        <v>42671</v>
      </c>
      <c r="S124" t="s">
        <v>42779</v>
      </c>
      <c r="T124" t="s">
        <v>44394</v>
      </c>
      <c r="U124" t="s">
        <v>44989</v>
      </c>
      <c r="W124" t="s">
        <v>38837</v>
      </c>
      <c r="X124" t="s">
        <v>42676</v>
      </c>
    </row>
    <row r="125" spans="1:24">
      <c r="A125">
        <f>HYPERLINK("https://www.philgeps.gov.ph/GEPSNONPILOT/Tender/SplashBidNoticeAbstractUI.aspx?menuIndex=3&amp;refID=7190907&amp;Result=3","7190907")</f>
        <v>0</v>
      </c>
      <c r="B125" t="s">
        <v>33</v>
      </c>
      <c r="C125" t="s">
        <v>3635</v>
      </c>
      <c r="D125" t="s">
        <v>17147</v>
      </c>
      <c r="E125" t="s">
        <v>17371</v>
      </c>
      <c r="F125" t="s">
        <v>29372</v>
      </c>
      <c r="G125" t="s">
        <v>29380</v>
      </c>
      <c r="H125" t="s">
        <v>11048</v>
      </c>
      <c r="I125" t="s">
        <v>29406</v>
      </c>
      <c r="J125" t="s">
        <v>29638</v>
      </c>
      <c r="K125" t="s">
        <v>38488</v>
      </c>
      <c r="M125" t="s">
        <v>38786</v>
      </c>
      <c r="N125" t="s">
        <v>42669</v>
      </c>
      <c r="O125" t="s">
        <v>42670</v>
      </c>
      <c r="P125">
        <v>0</v>
      </c>
      <c r="Q125">
        <v>0</v>
      </c>
      <c r="R125" t="s">
        <v>42671</v>
      </c>
      <c r="S125" t="s">
        <v>42779</v>
      </c>
      <c r="T125" t="s">
        <v>44357</v>
      </c>
      <c r="U125" t="s">
        <v>44990</v>
      </c>
      <c r="W125" t="s">
        <v>38786</v>
      </c>
      <c r="X125" t="s">
        <v>42676</v>
      </c>
    </row>
    <row r="126" spans="1:24">
      <c r="A126">
        <f>HYPERLINK("https://www.philgeps.gov.ph/GEPSNONPILOT/Tender/SplashBidNoticeAbstractUI.aspx?menuIndex=3&amp;refID=7190858&amp;Result=3","7190858")</f>
        <v>0</v>
      </c>
      <c r="B126" t="s">
        <v>74</v>
      </c>
      <c r="C126" t="s">
        <v>3636</v>
      </c>
      <c r="D126" t="s">
        <v>17169</v>
      </c>
      <c r="E126" t="s">
        <v>17372</v>
      </c>
      <c r="F126" t="s">
        <v>29372</v>
      </c>
      <c r="G126" t="s">
        <v>29380</v>
      </c>
      <c r="H126" t="s">
        <v>29389</v>
      </c>
      <c r="I126" t="s">
        <v>10408</v>
      </c>
      <c r="J126" t="s">
        <v>29639</v>
      </c>
      <c r="K126" t="s">
        <v>38518</v>
      </c>
      <c r="L126" t="s">
        <v>74</v>
      </c>
      <c r="M126" t="s">
        <v>38828</v>
      </c>
      <c r="N126" t="s">
        <v>42669</v>
      </c>
      <c r="O126" t="s">
        <v>42670</v>
      </c>
      <c r="P126">
        <v>0</v>
      </c>
      <c r="Q126">
        <v>0</v>
      </c>
      <c r="R126" t="s">
        <v>42671</v>
      </c>
      <c r="S126" t="s">
        <v>42779</v>
      </c>
      <c r="T126" t="s">
        <v>44395</v>
      </c>
      <c r="U126" t="s">
        <v>44979</v>
      </c>
      <c r="W126" t="s">
        <v>38828</v>
      </c>
      <c r="X126" t="s">
        <v>42676</v>
      </c>
    </row>
    <row r="127" spans="1:24">
      <c r="A127">
        <f>HYPERLINK("https://www.philgeps.gov.ph/GEPSNONPILOT/Tender/SplashBidNoticeAbstractUI.aspx?menuIndex=3&amp;refID=7190853&amp;Result=3","7190853")</f>
        <v>0</v>
      </c>
      <c r="B127" t="s">
        <v>74</v>
      </c>
      <c r="C127" t="s">
        <v>3637</v>
      </c>
      <c r="D127" t="s">
        <v>17169</v>
      </c>
      <c r="E127" t="s">
        <v>17373</v>
      </c>
      <c r="F127" t="s">
        <v>29372</v>
      </c>
      <c r="G127" t="s">
        <v>29380</v>
      </c>
      <c r="H127" t="s">
        <v>29389</v>
      </c>
      <c r="I127" t="s">
        <v>10408</v>
      </c>
      <c r="J127" t="s">
        <v>29639</v>
      </c>
      <c r="K127" t="s">
        <v>38492</v>
      </c>
      <c r="L127" t="s">
        <v>74</v>
      </c>
      <c r="M127" t="s">
        <v>38828</v>
      </c>
      <c r="N127" t="s">
        <v>42669</v>
      </c>
      <c r="O127" t="s">
        <v>42670</v>
      </c>
      <c r="P127">
        <v>0</v>
      </c>
      <c r="Q127">
        <v>0</v>
      </c>
      <c r="R127" t="s">
        <v>42671</v>
      </c>
      <c r="S127" t="s">
        <v>42779</v>
      </c>
      <c r="T127" t="s">
        <v>44395</v>
      </c>
      <c r="U127" t="s">
        <v>44979</v>
      </c>
      <c r="W127" t="s">
        <v>38828</v>
      </c>
      <c r="X127" t="s">
        <v>42676</v>
      </c>
    </row>
    <row r="128" spans="1:24">
      <c r="A128">
        <f>HYPERLINK("https://www.philgeps.gov.ph/GEPSNONPILOT/Tender/SplashBidNoticeAbstractUI.aspx?menuIndex=3&amp;refID=7190846&amp;Result=3","7190846")</f>
        <v>0</v>
      </c>
      <c r="B128" t="s">
        <v>74</v>
      </c>
      <c r="C128" t="s">
        <v>3638</v>
      </c>
      <c r="D128" t="s">
        <v>17169</v>
      </c>
      <c r="E128" t="s">
        <v>17374</v>
      </c>
      <c r="F128" t="s">
        <v>29372</v>
      </c>
      <c r="G128" t="s">
        <v>29380</v>
      </c>
      <c r="H128" t="s">
        <v>29389</v>
      </c>
      <c r="I128" t="s">
        <v>10408</v>
      </c>
      <c r="J128" t="s">
        <v>29639</v>
      </c>
      <c r="K128" t="s">
        <v>38518</v>
      </c>
      <c r="L128" t="s">
        <v>74</v>
      </c>
      <c r="M128" t="s">
        <v>38828</v>
      </c>
      <c r="N128" t="s">
        <v>42669</v>
      </c>
      <c r="O128" t="s">
        <v>42670</v>
      </c>
      <c r="P128">
        <v>0</v>
      </c>
      <c r="Q128">
        <v>0</v>
      </c>
      <c r="R128" t="s">
        <v>42671</v>
      </c>
      <c r="S128" t="s">
        <v>42779</v>
      </c>
      <c r="T128" t="s">
        <v>44395</v>
      </c>
      <c r="U128" t="s">
        <v>44979</v>
      </c>
      <c r="W128" t="s">
        <v>38828</v>
      </c>
      <c r="X128" t="s">
        <v>42676</v>
      </c>
    </row>
    <row r="129" spans="1:24">
      <c r="A129">
        <f>HYPERLINK("https://www.philgeps.gov.ph/GEPSNONPILOT/Tender/SplashBidNoticeAbstractUI.aspx?menuIndex=3&amp;refID=7190983&amp;Result=3","7190983")</f>
        <v>0</v>
      </c>
      <c r="B129" t="s">
        <v>84</v>
      </c>
      <c r="C129" t="s">
        <v>3639</v>
      </c>
      <c r="D129" t="s">
        <v>17154</v>
      </c>
      <c r="E129" t="s">
        <v>17375</v>
      </c>
      <c r="F129" t="s">
        <v>29373</v>
      </c>
      <c r="G129" t="s">
        <v>29379</v>
      </c>
      <c r="H129" t="s">
        <v>29389</v>
      </c>
      <c r="I129" t="s">
        <v>10408</v>
      </c>
      <c r="J129" t="s">
        <v>29640</v>
      </c>
      <c r="K129" t="s">
        <v>38485</v>
      </c>
      <c r="M129" t="s">
        <v>38838</v>
      </c>
      <c r="N129" t="s">
        <v>42669</v>
      </c>
      <c r="O129" t="s">
        <v>42670</v>
      </c>
      <c r="P129">
        <v>0</v>
      </c>
      <c r="Q129">
        <v>0</v>
      </c>
      <c r="R129" t="s">
        <v>42671</v>
      </c>
      <c r="S129" t="s">
        <v>42779</v>
      </c>
      <c r="T129" t="s">
        <v>44397</v>
      </c>
      <c r="U129" t="s">
        <v>44991</v>
      </c>
      <c r="V129" t="s">
        <v>56342</v>
      </c>
      <c r="W129" t="s">
        <v>38838</v>
      </c>
      <c r="X129" t="s">
        <v>42676</v>
      </c>
    </row>
    <row r="130" spans="1:24">
      <c r="A130">
        <f>HYPERLINK("https://www.philgeps.gov.ph/GEPSNONPILOT/Tender/SplashBidNoticeAbstractUI.aspx?menuIndex=3&amp;refID=7190816&amp;Result=3","7190816")</f>
        <v>0</v>
      </c>
      <c r="B130" t="s">
        <v>85</v>
      </c>
      <c r="C130" t="s">
        <v>3640</v>
      </c>
      <c r="D130" t="s">
        <v>17173</v>
      </c>
      <c r="E130" t="s">
        <v>17376</v>
      </c>
      <c r="F130" t="s">
        <v>29372</v>
      </c>
      <c r="G130" t="s">
        <v>29380</v>
      </c>
      <c r="H130" t="s">
        <v>29391</v>
      </c>
      <c r="I130" t="s">
        <v>29391</v>
      </c>
      <c r="J130" t="s">
        <v>29641</v>
      </c>
      <c r="K130" t="s">
        <v>38495</v>
      </c>
      <c r="M130" t="s">
        <v>38839</v>
      </c>
      <c r="N130" t="s">
        <v>42669</v>
      </c>
      <c r="O130" t="s">
        <v>42670</v>
      </c>
      <c r="P130">
        <v>0</v>
      </c>
      <c r="Q130">
        <v>2</v>
      </c>
      <c r="R130" t="s">
        <v>42671</v>
      </c>
      <c r="S130" t="s">
        <v>42779</v>
      </c>
      <c r="T130" t="s">
        <v>44398</v>
      </c>
      <c r="U130" t="s">
        <v>44992</v>
      </c>
      <c r="V130" t="s">
        <v>56343</v>
      </c>
      <c r="W130" t="s">
        <v>38839</v>
      </c>
      <c r="X130" t="s">
        <v>42676</v>
      </c>
    </row>
    <row r="131" spans="1:24">
      <c r="A131">
        <f>HYPERLINK("https://www.philgeps.gov.ph/GEPSNONPILOT/Tender/SplashBidNoticeAbstractUI.aspx?menuIndex=3&amp;refID=7190941&amp;Result=3","7190941")</f>
        <v>0</v>
      </c>
      <c r="B131" t="s">
        <v>86</v>
      </c>
      <c r="C131" t="s">
        <v>3641</v>
      </c>
      <c r="E131" t="s">
        <v>17377</v>
      </c>
      <c r="F131" t="s">
        <v>29372</v>
      </c>
      <c r="G131" t="s">
        <v>29383</v>
      </c>
      <c r="H131" t="s">
        <v>11048</v>
      </c>
      <c r="I131" t="s">
        <v>3839</v>
      </c>
      <c r="J131" t="s">
        <v>29642</v>
      </c>
      <c r="K131" t="s">
        <v>38485</v>
      </c>
      <c r="M131" t="s">
        <v>38840</v>
      </c>
      <c r="N131" t="s">
        <v>42669</v>
      </c>
      <c r="O131" t="s">
        <v>42670</v>
      </c>
      <c r="P131">
        <v>0</v>
      </c>
      <c r="Q131">
        <v>2</v>
      </c>
      <c r="R131" t="s">
        <v>42671</v>
      </c>
      <c r="S131" t="s">
        <v>42779</v>
      </c>
      <c r="T131" t="s">
        <v>44399</v>
      </c>
      <c r="U131" t="s">
        <v>44993</v>
      </c>
      <c r="W131" t="s">
        <v>38840</v>
      </c>
      <c r="X131" t="s">
        <v>42676</v>
      </c>
    </row>
    <row r="132" spans="1:24">
      <c r="A132">
        <f>HYPERLINK("https://www.philgeps.gov.ph/GEPSNONPILOT/Tender/SplashBidNoticeAbstractUI.aspx?menuIndex=3&amp;refID=7190810&amp;Result=3","7190810")</f>
        <v>0</v>
      </c>
      <c r="B132" t="s">
        <v>74</v>
      </c>
      <c r="C132" t="s">
        <v>3642</v>
      </c>
      <c r="D132" t="s">
        <v>17169</v>
      </c>
      <c r="E132" t="s">
        <v>17378</v>
      </c>
      <c r="F132" t="s">
        <v>29372</v>
      </c>
      <c r="G132" t="s">
        <v>29380</v>
      </c>
      <c r="H132" t="s">
        <v>29389</v>
      </c>
      <c r="I132" t="s">
        <v>10408</v>
      </c>
      <c r="J132" t="s">
        <v>29643</v>
      </c>
      <c r="K132" t="s">
        <v>38521</v>
      </c>
      <c r="L132" t="s">
        <v>74</v>
      </c>
      <c r="M132" t="s">
        <v>38828</v>
      </c>
      <c r="N132" t="s">
        <v>42669</v>
      </c>
      <c r="O132" t="s">
        <v>42670</v>
      </c>
      <c r="P132">
        <v>0</v>
      </c>
      <c r="Q132">
        <v>0</v>
      </c>
      <c r="R132" t="s">
        <v>42671</v>
      </c>
      <c r="S132" t="s">
        <v>42779</v>
      </c>
      <c r="T132" t="s">
        <v>44395</v>
      </c>
      <c r="U132" t="s">
        <v>44979</v>
      </c>
      <c r="W132" t="s">
        <v>38828</v>
      </c>
      <c r="X132" t="s">
        <v>42676</v>
      </c>
    </row>
    <row r="133" spans="1:24">
      <c r="A133">
        <f>HYPERLINK("https://www.philgeps.gov.ph/GEPSNONPILOT/Tender/SplashBidNoticeAbstractUI.aspx?menuIndex=3&amp;refID=7190936&amp;Result=3","7190936")</f>
        <v>0</v>
      </c>
      <c r="B133" t="s">
        <v>82</v>
      </c>
      <c r="C133" t="s">
        <v>3643</v>
      </c>
      <c r="D133" t="s">
        <v>17172</v>
      </c>
      <c r="E133" t="s">
        <v>17369</v>
      </c>
      <c r="F133" t="s">
        <v>29372</v>
      </c>
      <c r="G133" t="s">
        <v>29379</v>
      </c>
      <c r="H133" t="s">
        <v>11048</v>
      </c>
      <c r="I133" t="s">
        <v>29393</v>
      </c>
      <c r="J133" t="s">
        <v>29644</v>
      </c>
      <c r="K133" t="s">
        <v>38485</v>
      </c>
      <c r="M133" t="s">
        <v>38836</v>
      </c>
      <c r="N133" t="s">
        <v>42669</v>
      </c>
      <c r="O133" t="s">
        <v>42670</v>
      </c>
      <c r="P133">
        <v>0</v>
      </c>
      <c r="Q133">
        <v>0</v>
      </c>
      <c r="R133" t="s">
        <v>42671</v>
      </c>
      <c r="S133" t="s">
        <v>42779</v>
      </c>
      <c r="T133" t="s">
        <v>44387</v>
      </c>
      <c r="U133" t="s">
        <v>44994</v>
      </c>
      <c r="W133" t="s">
        <v>38836</v>
      </c>
      <c r="X133" t="s">
        <v>42676</v>
      </c>
    </row>
    <row r="134" spans="1:24">
      <c r="A134">
        <f>HYPERLINK("https://www.philgeps.gov.ph/GEPSNONPILOT/Tender/SplashBidNoticeAbstractUI.aspx?menuIndex=3&amp;refID=7191232&amp;Result=3","7191232")</f>
        <v>0</v>
      </c>
      <c r="B134" t="s">
        <v>79</v>
      </c>
      <c r="C134" t="s">
        <v>3644</v>
      </c>
      <c r="D134" t="s">
        <v>17172</v>
      </c>
      <c r="E134" t="s">
        <v>17379</v>
      </c>
      <c r="F134" t="s">
        <v>29372</v>
      </c>
      <c r="G134" t="s">
        <v>29380</v>
      </c>
      <c r="H134" t="s">
        <v>29389</v>
      </c>
      <c r="I134" t="s">
        <v>10408</v>
      </c>
      <c r="J134" t="s">
        <v>29645</v>
      </c>
      <c r="K134" t="s">
        <v>38485</v>
      </c>
      <c r="M134" t="s">
        <v>38833</v>
      </c>
      <c r="N134" t="s">
        <v>42669</v>
      </c>
      <c r="O134" t="s">
        <v>42670</v>
      </c>
      <c r="P134">
        <v>0</v>
      </c>
      <c r="Q134">
        <v>0</v>
      </c>
      <c r="R134" t="s">
        <v>42671</v>
      </c>
      <c r="S134" t="s">
        <v>42779</v>
      </c>
      <c r="T134" t="s">
        <v>44357</v>
      </c>
      <c r="U134" t="s">
        <v>44995</v>
      </c>
      <c r="V134" t="s">
        <v>56344</v>
      </c>
      <c r="W134" t="s">
        <v>38833</v>
      </c>
      <c r="X134" t="s">
        <v>42676</v>
      </c>
    </row>
    <row r="135" spans="1:24">
      <c r="A135">
        <f>HYPERLINK("https://www.philgeps.gov.ph/GEPSNONPILOT/Tender/SplashBidNoticeAbstractUI.aspx?menuIndex=3&amp;refID=7191225&amp;Result=3","7191225")</f>
        <v>0</v>
      </c>
      <c r="B135" t="s">
        <v>87</v>
      </c>
      <c r="C135" t="s">
        <v>3645</v>
      </c>
      <c r="D135" t="s">
        <v>17163</v>
      </c>
      <c r="E135" t="s">
        <v>17380</v>
      </c>
      <c r="F135" t="s">
        <v>29372</v>
      </c>
      <c r="G135" t="s">
        <v>29383</v>
      </c>
      <c r="H135" t="s">
        <v>11048</v>
      </c>
      <c r="I135" t="s">
        <v>3860</v>
      </c>
      <c r="J135" t="s">
        <v>29646</v>
      </c>
      <c r="K135" t="s">
        <v>38491</v>
      </c>
      <c r="M135" t="s">
        <v>38841</v>
      </c>
      <c r="N135" t="s">
        <v>42669</v>
      </c>
      <c r="O135" t="s">
        <v>42670</v>
      </c>
      <c r="P135">
        <v>0</v>
      </c>
      <c r="Q135">
        <v>1</v>
      </c>
      <c r="R135" t="s">
        <v>42671</v>
      </c>
      <c r="S135" t="s">
        <v>42779</v>
      </c>
      <c r="T135" t="s">
        <v>44391</v>
      </c>
      <c r="U135" t="s">
        <v>44996</v>
      </c>
      <c r="W135" t="s">
        <v>38841</v>
      </c>
      <c r="X135" t="s">
        <v>42676</v>
      </c>
    </row>
    <row r="136" spans="1:24">
      <c r="A136">
        <f>HYPERLINK("https://www.philgeps.gov.ph/GEPSNONPILOT/Tender/SplashBidNoticeAbstractUI.aspx?menuIndex=3&amp;refID=7191218&amp;Result=3","7191218")</f>
        <v>0</v>
      </c>
      <c r="B136" t="s">
        <v>79</v>
      </c>
      <c r="C136" t="s">
        <v>3646</v>
      </c>
      <c r="D136" t="s">
        <v>17172</v>
      </c>
      <c r="E136" t="s">
        <v>17381</v>
      </c>
      <c r="F136" t="s">
        <v>29372</v>
      </c>
      <c r="G136" t="s">
        <v>29380</v>
      </c>
      <c r="H136" t="s">
        <v>29389</v>
      </c>
      <c r="I136" t="s">
        <v>10408</v>
      </c>
      <c r="J136" t="s">
        <v>29645</v>
      </c>
      <c r="K136" t="s">
        <v>38485</v>
      </c>
      <c r="M136" t="s">
        <v>38833</v>
      </c>
      <c r="N136" t="s">
        <v>42669</v>
      </c>
      <c r="O136" t="s">
        <v>42670</v>
      </c>
      <c r="P136">
        <v>0</v>
      </c>
      <c r="Q136">
        <v>0</v>
      </c>
      <c r="R136" t="s">
        <v>42671</v>
      </c>
      <c r="S136" t="s">
        <v>42779</v>
      </c>
      <c r="T136" t="s">
        <v>44357</v>
      </c>
      <c r="U136" t="s">
        <v>44995</v>
      </c>
      <c r="V136" t="s">
        <v>56344</v>
      </c>
      <c r="W136" t="s">
        <v>38833</v>
      </c>
      <c r="X136" t="s">
        <v>42676</v>
      </c>
    </row>
    <row r="137" spans="1:24">
      <c r="A137">
        <f>HYPERLINK("https://www.philgeps.gov.ph/GEPSNONPILOT/Tender/SplashBidNoticeAbstractUI.aspx?menuIndex=3&amp;refID=7191215&amp;Result=3","7191215")</f>
        <v>0</v>
      </c>
      <c r="B137" t="s">
        <v>88</v>
      </c>
      <c r="C137" t="s">
        <v>3647</v>
      </c>
      <c r="D137" t="s">
        <v>17174</v>
      </c>
      <c r="E137" t="s">
        <v>17382</v>
      </c>
      <c r="F137" t="s">
        <v>29372</v>
      </c>
      <c r="G137" t="s">
        <v>29380</v>
      </c>
      <c r="H137" t="s">
        <v>11048</v>
      </c>
      <c r="I137" t="s">
        <v>4709</v>
      </c>
      <c r="J137" t="s">
        <v>29647</v>
      </c>
      <c r="K137" t="s">
        <v>38488</v>
      </c>
      <c r="M137" t="s">
        <v>38842</v>
      </c>
      <c r="N137" t="s">
        <v>42669</v>
      </c>
      <c r="O137" t="s">
        <v>42670</v>
      </c>
      <c r="P137">
        <v>0</v>
      </c>
      <c r="Q137">
        <v>0</v>
      </c>
      <c r="R137" t="s">
        <v>42671</v>
      </c>
      <c r="S137" t="s">
        <v>42779</v>
      </c>
      <c r="T137" t="s">
        <v>44400</v>
      </c>
      <c r="U137" t="s">
        <v>44997</v>
      </c>
      <c r="V137" t="s">
        <v>56345</v>
      </c>
      <c r="W137" t="s">
        <v>38842</v>
      </c>
      <c r="X137" t="s">
        <v>42676</v>
      </c>
    </row>
    <row r="138" spans="1:24">
      <c r="A138">
        <f>HYPERLINK("https://www.philgeps.gov.ph/GEPSNONPILOT/Tender/SplashBidNoticeAbstractUI.aspx?menuIndex=3&amp;refID=7190805&amp;Result=3","7190805")</f>
        <v>0</v>
      </c>
      <c r="B138" t="s">
        <v>63</v>
      </c>
      <c r="C138" t="s">
        <v>3648</v>
      </c>
      <c r="D138" t="s">
        <v>17161</v>
      </c>
      <c r="E138" t="s">
        <v>17383</v>
      </c>
      <c r="F138" t="s">
        <v>29372</v>
      </c>
      <c r="G138" t="s">
        <v>29381</v>
      </c>
      <c r="H138" t="s">
        <v>11048</v>
      </c>
      <c r="I138" t="s">
        <v>4709</v>
      </c>
      <c r="J138" t="s">
        <v>29648</v>
      </c>
      <c r="K138" t="s">
        <v>38490</v>
      </c>
      <c r="M138" t="s">
        <v>38817</v>
      </c>
      <c r="N138" t="s">
        <v>42669</v>
      </c>
      <c r="O138" t="s">
        <v>42670</v>
      </c>
      <c r="P138">
        <v>0</v>
      </c>
      <c r="Q138">
        <v>0</v>
      </c>
      <c r="R138" t="s">
        <v>42671</v>
      </c>
      <c r="S138" t="s">
        <v>42779</v>
      </c>
      <c r="T138" t="s">
        <v>44354</v>
      </c>
      <c r="U138" t="s">
        <v>44965</v>
      </c>
      <c r="W138" t="s">
        <v>38817</v>
      </c>
      <c r="X138" t="s">
        <v>42676</v>
      </c>
    </row>
    <row r="139" spans="1:24">
      <c r="A139">
        <f>HYPERLINK("https://www.philgeps.gov.ph/GEPSNONPILOT/Tender/SplashBidNoticeAbstractUI.aspx?menuIndex=3&amp;refID=7191209&amp;Result=3","7191209")</f>
        <v>0</v>
      </c>
      <c r="B139" t="s">
        <v>87</v>
      </c>
      <c r="C139" t="s">
        <v>3649</v>
      </c>
      <c r="D139" t="s">
        <v>17163</v>
      </c>
      <c r="E139" t="s">
        <v>17384</v>
      </c>
      <c r="F139" t="s">
        <v>29372</v>
      </c>
      <c r="G139" t="s">
        <v>29383</v>
      </c>
      <c r="H139" t="s">
        <v>29389</v>
      </c>
      <c r="I139" t="s">
        <v>10408</v>
      </c>
      <c r="J139" t="s">
        <v>29649</v>
      </c>
      <c r="K139" t="s">
        <v>38491</v>
      </c>
      <c r="M139" t="s">
        <v>38841</v>
      </c>
      <c r="N139" t="s">
        <v>42669</v>
      </c>
      <c r="O139" t="s">
        <v>42670</v>
      </c>
      <c r="P139">
        <v>0</v>
      </c>
      <c r="Q139">
        <v>0</v>
      </c>
      <c r="R139" t="s">
        <v>42671</v>
      </c>
      <c r="S139" t="s">
        <v>42779</v>
      </c>
      <c r="T139" t="s">
        <v>44391</v>
      </c>
      <c r="U139" t="s">
        <v>44998</v>
      </c>
      <c r="W139" t="s">
        <v>38841</v>
      </c>
      <c r="X139" t="s">
        <v>42676</v>
      </c>
    </row>
    <row r="140" spans="1:24">
      <c r="A140">
        <f>HYPERLINK("https://www.philgeps.gov.ph/GEPSNONPILOT/Tender/SplashBidNoticeAbstractUI.aspx?menuIndex=3&amp;refID=7190825&amp;Result=3","7190825")</f>
        <v>0</v>
      </c>
      <c r="B140" t="s">
        <v>63</v>
      </c>
      <c r="C140" t="s">
        <v>3650</v>
      </c>
      <c r="D140" t="s">
        <v>17161</v>
      </c>
      <c r="E140" t="s">
        <v>17385</v>
      </c>
      <c r="F140" t="s">
        <v>29372</v>
      </c>
      <c r="G140" t="s">
        <v>29381</v>
      </c>
      <c r="H140" t="s">
        <v>11048</v>
      </c>
      <c r="I140" t="s">
        <v>4709</v>
      </c>
      <c r="J140" t="s">
        <v>29648</v>
      </c>
      <c r="K140" t="s">
        <v>38490</v>
      </c>
      <c r="M140" t="s">
        <v>38817</v>
      </c>
      <c r="N140" t="s">
        <v>42669</v>
      </c>
      <c r="O140" t="s">
        <v>42670</v>
      </c>
      <c r="P140">
        <v>0</v>
      </c>
      <c r="Q140">
        <v>0</v>
      </c>
      <c r="R140" t="s">
        <v>42671</v>
      </c>
      <c r="S140" t="s">
        <v>42779</v>
      </c>
      <c r="T140" t="s">
        <v>44354</v>
      </c>
      <c r="U140" t="s">
        <v>44965</v>
      </c>
      <c r="W140" t="s">
        <v>38817</v>
      </c>
      <c r="X140" t="s">
        <v>42676</v>
      </c>
    </row>
    <row r="141" spans="1:24">
      <c r="A141">
        <f>HYPERLINK("https://www.philgeps.gov.ph/GEPSNONPILOT/Tender/SplashBidNoticeAbstractUI.aspx?menuIndex=3&amp;refID=7191199&amp;Result=3","7191199")</f>
        <v>0</v>
      </c>
      <c r="B141" t="s">
        <v>86</v>
      </c>
      <c r="C141" t="s">
        <v>3651</v>
      </c>
      <c r="E141" t="s">
        <v>17386</v>
      </c>
      <c r="F141" t="s">
        <v>29372</v>
      </c>
      <c r="G141" t="s">
        <v>29383</v>
      </c>
      <c r="H141" t="s">
        <v>11048</v>
      </c>
      <c r="I141" t="s">
        <v>29407</v>
      </c>
      <c r="J141" t="s">
        <v>29650</v>
      </c>
      <c r="K141" t="s">
        <v>38491</v>
      </c>
      <c r="M141" t="s">
        <v>38840</v>
      </c>
      <c r="N141" t="s">
        <v>42669</v>
      </c>
      <c r="O141" t="s">
        <v>42670</v>
      </c>
      <c r="P141">
        <v>0</v>
      </c>
      <c r="Q141">
        <v>4</v>
      </c>
      <c r="R141" t="s">
        <v>42671</v>
      </c>
      <c r="S141" t="s">
        <v>42779</v>
      </c>
      <c r="T141" t="s">
        <v>44399</v>
      </c>
      <c r="U141" t="s">
        <v>44993</v>
      </c>
      <c r="W141" t="s">
        <v>38840</v>
      </c>
      <c r="X141" t="s">
        <v>42676</v>
      </c>
    </row>
    <row r="142" spans="1:24">
      <c r="A142">
        <f>HYPERLINK("https://www.philgeps.gov.ph/GEPSNONPILOT/Tender/SplashBidNoticeAbstractUI.aspx?menuIndex=3&amp;refID=7191190&amp;Result=3","7191190")</f>
        <v>0</v>
      </c>
      <c r="B142" t="s">
        <v>79</v>
      </c>
      <c r="C142" t="s">
        <v>3652</v>
      </c>
      <c r="D142" t="s">
        <v>17172</v>
      </c>
      <c r="E142" t="s">
        <v>17387</v>
      </c>
      <c r="F142" t="s">
        <v>29372</v>
      </c>
      <c r="G142" t="s">
        <v>29380</v>
      </c>
      <c r="H142" t="s">
        <v>29389</v>
      </c>
      <c r="I142" t="s">
        <v>10408</v>
      </c>
      <c r="J142" t="s">
        <v>29651</v>
      </c>
      <c r="K142" t="s">
        <v>38488</v>
      </c>
      <c r="M142" t="s">
        <v>38833</v>
      </c>
      <c r="N142" t="s">
        <v>42669</v>
      </c>
      <c r="O142" t="s">
        <v>42670</v>
      </c>
      <c r="P142">
        <v>0</v>
      </c>
      <c r="Q142">
        <v>0</v>
      </c>
      <c r="R142" t="s">
        <v>42671</v>
      </c>
      <c r="S142" t="s">
        <v>42779</v>
      </c>
      <c r="T142" t="s">
        <v>44357</v>
      </c>
      <c r="U142" t="s">
        <v>44995</v>
      </c>
      <c r="V142" t="s">
        <v>56344</v>
      </c>
      <c r="W142" t="s">
        <v>38833</v>
      </c>
      <c r="X142" t="s">
        <v>42676</v>
      </c>
    </row>
    <row r="143" spans="1:24">
      <c r="A143">
        <f>HYPERLINK("https://www.philgeps.gov.ph/GEPSNONPILOT/Tender/SplashBidNoticeAbstractUI.aspx?menuIndex=3&amp;refID=7191170&amp;Result=3","7191170")</f>
        <v>0</v>
      </c>
      <c r="B143" t="s">
        <v>89</v>
      </c>
      <c r="C143" t="s">
        <v>3653</v>
      </c>
      <c r="D143" t="s">
        <v>17146</v>
      </c>
      <c r="E143" t="s">
        <v>17388</v>
      </c>
      <c r="F143" t="s">
        <v>29372</v>
      </c>
      <c r="G143" t="s">
        <v>29379</v>
      </c>
      <c r="H143" t="s">
        <v>11048</v>
      </c>
      <c r="I143" t="s">
        <v>8208</v>
      </c>
      <c r="J143" t="s">
        <v>29652</v>
      </c>
      <c r="K143" t="s">
        <v>38485</v>
      </c>
      <c r="M143" t="s">
        <v>38843</v>
      </c>
      <c r="N143" t="s">
        <v>42669</v>
      </c>
      <c r="O143" t="s">
        <v>42670</v>
      </c>
      <c r="P143">
        <v>0</v>
      </c>
      <c r="Q143">
        <v>0</v>
      </c>
      <c r="R143" t="s">
        <v>42671</v>
      </c>
      <c r="S143" t="s">
        <v>42779</v>
      </c>
      <c r="T143" t="s">
        <v>44387</v>
      </c>
      <c r="U143" t="s">
        <v>44999</v>
      </c>
      <c r="V143" t="s">
        <v>56346</v>
      </c>
      <c r="W143" t="s">
        <v>38843</v>
      </c>
      <c r="X143" t="s">
        <v>42676</v>
      </c>
    </row>
    <row r="144" spans="1:24">
      <c r="A144">
        <f>HYPERLINK("https://www.philgeps.gov.ph/GEPSNONPILOT/Tender/SplashBidNoticeAbstractUI.aspx?menuIndex=3&amp;refID=7191148&amp;Result=3","7191148")</f>
        <v>0</v>
      </c>
      <c r="B144" t="s">
        <v>90</v>
      </c>
      <c r="C144" t="s">
        <v>3654</v>
      </c>
      <c r="D144" t="s">
        <v>17175</v>
      </c>
      <c r="E144" t="s">
        <v>17389</v>
      </c>
      <c r="F144" t="s">
        <v>29372</v>
      </c>
      <c r="G144" t="s">
        <v>29380</v>
      </c>
      <c r="H144" t="s">
        <v>29389</v>
      </c>
      <c r="I144" t="s">
        <v>10408</v>
      </c>
      <c r="J144" t="s">
        <v>29653</v>
      </c>
      <c r="K144" t="s">
        <v>38495</v>
      </c>
      <c r="M144" t="s">
        <v>38844</v>
      </c>
      <c r="N144" t="s">
        <v>42669</v>
      </c>
      <c r="O144" t="s">
        <v>42670</v>
      </c>
      <c r="P144">
        <v>0</v>
      </c>
      <c r="Q144">
        <v>0</v>
      </c>
      <c r="R144" t="s">
        <v>42671</v>
      </c>
      <c r="S144" t="s">
        <v>42779</v>
      </c>
      <c r="T144" t="s">
        <v>44379</v>
      </c>
      <c r="U144" t="s">
        <v>45000</v>
      </c>
      <c r="V144" t="s">
        <v>56347</v>
      </c>
      <c r="W144" t="s">
        <v>38844</v>
      </c>
      <c r="X144" t="s">
        <v>42676</v>
      </c>
    </row>
    <row r="145" spans="1:24">
      <c r="A145">
        <f>HYPERLINK("https://www.philgeps.gov.ph/GEPSNONPILOT/Tender/SplashBidNoticeAbstractUI.aspx?menuIndex=3&amp;refID=7191133&amp;Result=3","7191133")</f>
        <v>0</v>
      </c>
      <c r="B145" t="s">
        <v>79</v>
      </c>
      <c r="C145" t="s">
        <v>3655</v>
      </c>
      <c r="D145" t="s">
        <v>17172</v>
      </c>
      <c r="E145" t="s">
        <v>17390</v>
      </c>
      <c r="F145" t="s">
        <v>29372</v>
      </c>
      <c r="G145" t="s">
        <v>29380</v>
      </c>
      <c r="H145" t="s">
        <v>29389</v>
      </c>
      <c r="I145" t="s">
        <v>29408</v>
      </c>
      <c r="J145" t="s">
        <v>29654</v>
      </c>
      <c r="K145" t="s">
        <v>38522</v>
      </c>
      <c r="M145" t="s">
        <v>38833</v>
      </c>
      <c r="N145" t="s">
        <v>42669</v>
      </c>
      <c r="O145" t="s">
        <v>42670</v>
      </c>
      <c r="P145">
        <v>0</v>
      </c>
      <c r="Q145">
        <v>0</v>
      </c>
      <c r="R145" t="s">
        <v>42671</v>
      </c>
      <c r="S145" t="s">
        <v>42779</v>
      </c>
      <c r="T145" t="s">
        <v>44358</v>
      </c>
      <c r="U145" t="s">
        <v>45001</v>
      </c>
      <c r="V145" t="s">
        <v>56344</v>
      </c>
      <c r="W145" t="s">
        <v>38833</v>
      </c>
      <c r="X145" t="s">
        <v>42676</v>
      </c>
    </row>
    <row r="146" spans="1:24">
      <c r="A146">
        <f>HYPERLINK("https://www.philgeps.gov.ph/GEPSNONPILOT/Tender/SplashBidNoticeAbstractUI.aspx?menuIndex=3&amp;refID=7190710&amp;Result=3","7190710")</f>
        <v>0</v>
      </c>
      <c r="B146" t="s">
        <v>63</v>
      </c>
      <c r="C146" t="s">
        <v>3656</v>
      </c>
      <c r="D146" t="s">
        <v>17161</v>
      </c>
      <c r="E146" t="s">
        <v>17391</v>
      </c>
      <c r="F146" t="s">
        <v>29372</v>
      </c>
      <c r="G146" t="s">
        <v>29381</v>
      </c>
      <c r="H146" t="s">
        <v>11048</v>
      </c>
      <c r="I146" t="s">
        <v>4709</v>
      </c>
      <c r="J146" t="s">
        <v>29655</v>
      </c>
      <c r="K146" t="s">
        <v>38490</v>
      </c>
      <c r="M146" t="s">
        <v>38817</v>
      </c>
      <c r="N146" t="s">
        <v>42669</v>
      </c>
      <c r="O146" t="s">
        <v>42670</v>
      </c>
      <c r="P146">
        <v>0</v>
      </c>
      <c r="Q146">
        <v>0</v>
      </c>
      <c r="R146" t="s">
        <v>42671</v>
      </c>
      <c r="S146" t="s">
        <v>42779</v>
      </c>
      <c r="T146" t="s">
        <v>44354</v>
      </c>
      <c r="U146" t="s">
        <v>44965</v>
      </c>
      <c r="W146" t="s">
        <v>38817</v>
      </c>
      <c r="X146" t="s">
        <v>42676</v>
      </c>
    </row>
    <row r="147" spans="1:24">
      <c r="A147">
        <f>HYPERLINK("https://www.philgeps.gov.ph/GEPSNONPILOT/Tender/SplashBidNoticeAbstractUI.aspx?menuIndex=3&amp;refID=7191117&amp;Result=3","7191117")</f>
        <v>0</v>
      </c>
      <c r="B147" t="s">
        <v>91</v>
      </c>
      <c r="C147" t="s">
        <v>3657</v>
      </c>
      <c r="D147" t="s">
        <v>17176</v>
      </c>
      <c r="E147" t="s">
        <v>17392</v>
      </c>
      <c r="F147" t="s">
        <v>29372</v>
      </c>
      <c r="G147" t="s">
        <v>29379</v>
      </c>
      <c r="H147" t="s">
        <v>11048</v>
      </c>
      <c r="I147" t="s">
        <v>3670</v>
      </c>
      <c r="J147" t="s">
        <v>29656</v>
      </c>
      <c r="K147" t="s">
        <v>38510</v>
      </c>
      <c r="M147" t="s">
        <v>38845</v>
      </c>
      <c r="N147" t="s">
        <v>42669</v>
      </c>
      <c r="O147" t="s">
        <v>42670</v>
      </c>
      <c r="P147">
        <v>0</v>
      </c>
      <c r="Q147">
        <v>0</v>
      </c>
      <c r="R147" t="s">
        <v>42671</v>
      </c>
      <c r="S147" t="s">
        <v>42779</v>
      </c>
      <c r="T147" t="s">
        <v>44386</v>
      </c>
      <c r="U147" t="s">
        <v>45002</v>
      </c>
      <c r="W147" t="s">
        <v>38845</v>
      </c>
      <c r="X147" t="s">
        <v>42676</v>
      </c>
    </row>
    <row r="148" spans="1:24">
      <c r="A148">
        <f>HYPERLINK("https://www.philgeps.gov.ph/GEPSNONPILOT/Tender/SplashBidNoticeAbstractUI.aspx?menuIndex=3&amp;refID=7191207&amp;Result=3","7191207")</f>
        <v>0</v>
      </c>
      <c r="B148" t="s">
        <v>79</v>
      </c>
      <c r="C148" t="s">
        <v>3658</v>
      </c>
      <c r="D148" t="s">
        <v>17172</v>
      </c>
      <c r="E148" t="s">
        <v>17393</v>
      </c>
      <c r="F148" t="s">
        <v>29372</v>
      </c>
      <c r="G148" t="s">
        <v>29380</v>
      </c>
      <c r="H148" t="s">
        <v>29389</v>
      </c>
      <c r="I148" t="s">
        <v>10408</v>
      </c>
      <c r="J148" t="s">
        <v>29645</v>
      </c>
      <c r="K148" t="s">
        <v>38485</v>
      </c>
      <c r="M148" t="s">
        <v>38833</v>
      </c>
      <c r="N148" t="s">
        <v>42669</v>
      </c>
      <c r="O148" t="s">
        <v>42670</v>
      </c>
      <c r="P148">
        <v>0</v>
      </c>
      <c r="Q148">
        <v>0</v>
      </c>
      <c r="R148" t="s">
        <v>42671</v>
      </c>
      <c r="S148" t="s">
        <v>42779</v>
      </c>
      <c r="T148" t="s">
        <v>44357</v>
      </c>
      <c r="U148" t="s">
        <v>44995</v>
      </c>
      <c r="V148" t="s">
        <v>56344</v>
      </c>
      <c r="W148" t="s">
        <v>38833</v>
      </c>
      <c r="X148" t="s">
        <v>42676</v>
      </c>
    </row>
    <row r="149" spans="1:24">
      <c r="A149">
        <f>HYPERLINK("https://www.philgeps.gov.ph/GEPSNONPILOT/Tender/SplashBidNoticeAbstractUI.aspx?menuIndex=3&amp;refID=7191110&amp;Result=3","7191110")</f>
        <v>0</v>
      </c>
      <c r="B149" t="s">
        <v>92</v>
      </c>
      <c r="C149" t="s">
        <v>3659</v>
      </c>
      <c r="D149" t="s">
        <v>17141</v>
      </c>
      <c r="E149" t="s">
        <v>17394</v>
      </c>
      <c r="F149" t="s">
        <v>29372</v>
      </c>
      <c r="G149" t="s">
        <v>29379</v>
      </c>
      <c r="H149" t="s">
        <v>11048</v>
      </c>
      <c r="I149" t="s">
        <v>29407</v>
      </c>
      <c r="J149" t="s">
        <v>29657</v>
      </c>
      <c r="K149" t="s">
        <v>38490</v>
      </c>
      <c r="M149" t="s">
        <v>38846</v>
      </c>
      <c r="N149" t="s">
        <v>42669</v>
      </c>
      <c r="O149" t="s">
        <v>42670</v>
      </c>
      <c r="P149">
        <v>0</v>
      </c>
      <c r="Q149">
        <v>9</v>
      </c>
      <c r="R149" t="s">
        <v>42671</v>
      </c>
      <c r="S149" t="s">
        <v>42779</v>
      </c>
      <c r="T149" t="s">
        <v>44382</v>
      </c>
      <c r="U149" t="s">
        <v>45003</v>
      </c>
      <c r="W149" t="s">
        <v>38846</v>
      </c>
      <c r="X149" t="s">
        <v>42676</v>
      </c>
    </row>
    <row r="150" spans="1:24">
      <c r="A150">
        <f>HYPERLINK("https://www.philgeps.gov.ph/GEPSNONPILOT/Tender/SplashBidNoticeAbstractUI.aspx?menuIndex=3&amp;refID=7191156&amp;Result=3","7191156")</f>
        <v>0</v>
      </c>
      <c r="B150" t="s">
        <v>93</v>
      </c>
      <c r="C150" t="s">
        <v>3660</v>
      </c>
      <c r="D150" t="s">
        <v>17165</v>
      </c>
      <c r="E150" t="s">
        <v>17395</v>
      </c>
      <c r="F150" t="s">
        <v>29372</v>
      </c>
      <c r="G150" t="s">
        <v>29379</v>
      </c>
      <c r="H150" t="s">
        <v>11048</v>
      </c>
      <c r="I150" t="s">
        <v>29409</v>
      </c>
      <c r="J150" t="s">
        <v>29658</v>
      </c>
      <c r="K150" t="s">
        <v>38510</v>
      </c>
      <c r="M150" t="s">
        <v>38847</v>
      </c>
      <c r="N150" t="s">
        <v>42669</v>
      </c>
      <c r="O150" t="s">
        <v>42670</v>
      </c>
      <c r="P150">
        <v>0</v>
      </c>
      <c r="Q150">
        <v>3</v>
      </c>
      <c r="R150" t="s">
        <v>42671</v>
      </c>
      <c r="S150" t="s">
        <v>42779</v>
      </c>
      <c r="T150" t="s">
        <v>44387</v>
      </c>
      <c r="U150" t="s">
        <v>45004</v>
      </c>
      <c r="W150" t="s">
        <v>38847</v>
      </c>
      <c r="X150" t="s">
        <v>42676</v>
      </c>
    </row>
    <row r="151" spans="1:24">
      <c r="A151">
        <f>HYPERLINK("https://www.philgeps.gov.ph/GEPSNONPILOT/Tender/SplashBidNoticeAbstractUI.aspx?menuIndex=3&amp;refID=7191097&amp;Result=3","7191097")</f>
        <v>0</v>
      </c>
      <c r="B151" t="s">
        <v>94</v>
      </c>
      <c r="C151" t="s">
        <v>3661</v>
      </c>
      <c r="D151" t="s">
        <v>17171</v>
      </c>
      <c r="E151" t="s">
        <v>17396</v>
      </c>
      <c r="F151" t="s">
        <v>29372</v>
      </c>
      <c r="G151" t="s">
        <v>29383</v>
      </c>
      <c r="H151" t="s">
        <v>11048</v>
      </c>
      <c r="I151" t="s">
        <v>4487</v>
      </c>
      <c r="J151" t="s">
        <v>29659</v>
      </c>
      <c r="K151" t="s">
        <v>38491</v>
      </c>
      <c r="M151" t="s">
        <v>38848</v>
      </c>
      <c r="N151" t="s">
        <v>42669</v>
      </c>
      <c r="O151" t="s">
        <v>42670</v>
      </c>
      <c r="P151">
        <v>0</v>
      </c>
      <c r="Q151">
        <v>0</v>
      </c>
      <c r="R151" t="s">
        <v>42671</v>
      </c>
      <c r="S151" t="s">
        <v>42779</v>
      </c>
      <c r="T151" t="s">
        <v>44401</v>
      </c>
      <c r="U151" t="s">
        <v>45005</v>
      </c>
      <c r="W151" t="s">
        <v>38848</v>
      </c>
      <c r="X151" t="s">
        <v>42676</v>
      </c>
    </row>
    <row r="152" spans="1:24">
      <c r="A152">
        <f>HYPERLINK("https://www.philgeps.gov.ph/GEPSNONPILOT/Tender/SplashBidNoticeAbstractUI.aspx?menuIndex=3&amp;refID=7191143&amp;Result=3","7191143")</f>
        <v>0</v>
      </c>
      <c r="B152" t="s">
        <v>91</v>
      </c>
      <c r="C152" t="s">
        <v>3662</v>
      </c>
      <c r="D152" t="s">
        <v>17176</v>
      </c>
      <c r="E152" t="s">
        <v>17397</v>
      </c>
      <c r="F152" t="s">
        <v>29372</v>
      </c>
      <c r="G152" t="s">
        <v>29379</v>
      </c>
      <c r="H152" t="s">
        <v>11048</v>
      </c>
      <c r="I152" t="s">
        <v>29409</v>
      </c>
      <c r="J152" t="s">
        <v>29555</v>
      </c>
      <c r="K152" t="s">
        <v>38510</v>
      </c>
      <c r="M152" t="s">
        <v>38845</v>
      </c>
      <c r="N152" t="s">
        <v>42669</v>
      </c>
      <c r="O152" t="s">
        <v>42670</v>
      </c>
      <c r="P152">
        <v>0</v>
      </c>
      <c r="Q152">
        <v>3</v>
      </c>
      <c r="R152" t="s">
        <v>42671</v>
      </c>
      <c r="S152" t="s">
        <v>42779</v>
      </c>
      <c r="T152" t="s">
        <v>44399</v>
      </c>
      <c r="U152" t="s">
        <v>45002</v>
      </c>
      <c r="W152" t="s">
        <v>38845</v>
      </c>
      <c r="X152" t="s">
        <v>42676</v>
      </c>
    </row>
    <row r="153" spans="1:24">
      <c r="A153">
        <f>HYPERLINK("https://www.philgeps.gov.ph/GEPSNONPILOT/Tender/SplashBidNoticeAbstractUI.aspx?menuIndex=3&amp;refID=7191084&amp;Result=3","7191084")</f>
        <v>0</v>
      </c>
      <c r="B153" t="s">
        <v>79</v>
      </c>
      <c r="C153" t="s">
        <v>3663</v>
      </c>
      <c r="D153" t="s">
        <v>17172</v>
      </c>
      <c r="E153" t="s">
        <v>17398</v>
      </c>
      <c r="F153" t="s">
        <v>29372</v>
      </c>
      <c r="G153" t="s">
        <v>29380</v>
      </c>
      <c r="H153" t="s">
        <v>29389</v>
      </c>
      <c r="I153" t="s">
        <v>29408</v>
      </c>
      <c r="J153" t="s">
        <v>29660</v>
      </c>
      <c r="K153" t="s">
        <v>38523</v>
      </c>
      <c r="M153" t="s">
        <v>38833</v>
      </c>
      <c r="N153" t="s">
        <v>42669</v>
      </c>
      <c r="O153" t="s">
        <v>42670</v>
      </c>
      <c r="P153">
        <v>0</v>
      </c>
      <c r="Q153">
        <v>0</v>
      </c>
      <c r="R153" t="s">
        <v>42671</v>
      </c>
      <c r="S153" t="s">
        <v>42779</v>
      </c>
      <c r="T153" t="s">
        <v>44358</v>
      </c>
      <c r="U153" t="s">
        <v>45006</v>
      </c>
      <c r="V153" t="s">
        <v>56344</v>
      </c>
      <c r="W153" t="s">
        <v>38833</v>
      </c>
      <c r="X153" t="s">
        <v>42676</v>
      </c>
    </row>
    <row r="154" spans="1:24">
      <c r="A154">
        <f>HYPERLINK("https://www.philgeps.gov.ph/GEPSNONPILOT/Tender/SplashBidNoticeAbstractUI.aspx?menuIndex=3&amp;refID=7191363&amp;Result=3","7191363")</f>
        <v>0</v>
      </c>
      <c r="B154" t="s">
        <v>95</v>
      </c>
      <c r="C154" t="s">
        <v>3664</v>
      </c>
      <c r="D154" t="s">
        <v>17161</v>
      </c>
      <c r="E154" t="s">
        <v>17399</v>
      </c>
      <c r="F154" t="s">
        <v>29372</v>
      </c>
      <c r="G154" t="s">
        <v>29379</v>
      </c>
      <c r="H154" t="s">
        <v>11048</v>
      </c>
      <c r="I154" t="s">
        <v>4487</v>
      </c>
      <c r="J154" t="s">
        <v>29661</v>
      </c>
      <c r="K154" t="s">
        <v>38524</v>
      </c>
      <c r="M154" t="s">
        <v>38849</v>
      </c>
      <c r="N154" t="s">
        <v>42669</v>
      </c>
      <c r="O154" t="s">
        <v>42670</v>
      </c>
      <c r="P154">
        <v>0</v>
      </c>
      <c r="Q154">
        <v>3</v>
      </c>
      <c r="R154" t="s">
        <v>42671</v>
      </c>
      <c r="S154" t="s">
        <v>42779</v>
      </c>
      <c r="T154" t="s">
        <v>44386</v>
      </c>
      <c r="U154" t="s">
        <v>45007</v>
      </c>
      <c r="W154" t="s">
        <v>38849</v>
      </c>
      <c r="X154" t="s">
        <v>42676</v>
      </c>
    </row>
    <row r="155" spans="1:24">
      <c r="A155">
        <f>HYPERLINK("https://www.philgeps.gov.ph/GEPSNONPILOT/Tender/SplashBidNoticeAbstractUI.aspx?menuIndex=3&amp;refID=7191103&amp;Result=3","7191103")</f>
        <v>0</v>
      </c>
      <c r="B155" t="s">
        <v>91</v>
      </c>
      <c r="C155" t="s">
        <v>3665</v>
      </c>
      <c r="D155" t="s">
        <v>17176</v>
      </c>
      <c r="E155" t="s">
        <v>17400</v>
      </c>
      <c r="F155" t="s">
        <v>29372</v>
      </c>
      <c r="G155" t="s">
        <v>29379</v>
      </c>
      <c r="H155" t="s">
        <v>11048</v>
      </c>
      <c r="I155" t="s">
        <v>3695</v>
      </c>
      <c r="J155" t="s">
        <v>29662</v>
      </c>
      <c r="K155" t="s">
        <v>38510</v>
      </c>
      <c r="M155" t="s">
        <v>38845</v>
      </c>
      <c r="N155" t="s">
        <v>42669</v>
      </c>
      <c r="O155" t="s">
        <v>42670</v>
      </c>
      <c r="P155">
        <v>0</v>
      </c>
      <c r="Q155">
        <v>1</v>
      </c>
      <c r="R155" t="s">
        <v>42671</v>
      </c>
      <c r="S155" t="s">
        <v>42779</v>
      </c>
      <c r="T155" t="s">
        <v>44399</v>
      </c>
      <c r="U155" t="s">
        <v>45002</v>
      </c>
      <c r="W155" t="s">
        <v>38845</v>
      </c>
      <c r="X155" t="s">
        <v>42676</v>
      </c>
    </row>
    <row r="156" spans="1:24">
      <c r="A156">
        <f>HYPERLINK("https://www.philgeps.gov.ph/GEPSNONPILOT/Tender/SplashBidNoticeAbstractUI.aspx?menuIndex=3&amp;refID=7191337&amp;Result=3","7191337")</f>
        <v>0</v>
      </c>
      <c r="B156" t="s">
        <v>96</v>
      </c>
      <c r="C156" t="s">
        <v>3666</v>
      </c>
      <c r="D156" t="s">
        <v>17177</v>
      </c>
      <c r="E156" t="s">
        <v>17401</v>
      </c>
      <c r="F156" t="s">
        <v>29372</v>
      </c>
      <c r="G156" t="s">
        <v>29380</v>
      </c>
      <c r="H156" t="s">
        <v>29389</v>
      </c>
      <c r="I156" t="s">
        <v>10408</v>
      </c>
      <c r="J156" t="s">
        <v>29663</v>
      </c>
      <c r="K156" t="s">
        <v>38525</v>
      </c>
      <c r="M156" t="s">
        <v>38850</v>
      </c>
      <c r="N156" t="s">
        <v>42669</v>
      </c>
      <c r="O156" t="s">
        <v>42670</v>
      </c>
      <c r="P156">
        <v>0</v>
      </c>
      <c r="Q156">
        <v>1</v>
      </c>
      <c r="R156" t="s">
        <v>42671</v>
      </c>
      <c r="S156" t="s">
        <v>42779</v>
      </c>
      <c r="T156" t="s">
        <v>44402</v>
      </c>
      <c r="U156" t="s">
        <v>45008</v>
      </c>
      <c r="W156" t="s">
        <v>38850</v>
      </c>
      <c r="X156" t="s">
        <v>42676</v>
      </c>
    </row>
    <row r="157" spans="1:24">
      <c r="A157">
        <f>HYPERLINK("https://www.philgeps.gov.ph/GEPSNONPILOT/Tender/SplashBidNoticeAbstractUI.aspx?menuIndex=3&amp;refID=7191320&amp;Result=3","7191320")</f>
        <v>0</v>
      </c>
      <c r="B157" t="s">
        <v>97</v>
      </c>
      <c r="C157" t="s">
        <v>3667</v>
      </c>
      <c r="D157" t="s">
        <v>17154</v>
      </c>
      <c r="E157" t="s">
        <v>17402</v>
      </c>
      <c r="F157" t="s">
        <v>29372</v>
      </c>
      <c r="G157" t="s">
        <v>29379</v>
      </c>
      <c r="H157" t="s">
        <v>11048</v>
      </c>
      <c r="I157" t="s">
        <v>29409</v>
      </c>
      <c r="J157" t="s">
        <v>29664</v>
      </c>
      <c r="K157" t="s">
        <v>38490</v>
      </c>
      <c r="M157" t="s">
        <v>38851</v>
      </c>
      <c r="N157" t="s">
        <v>42669</v>
      </c>
      <c r="O157" t="s">
        <v>42670</v>
      </c>
      <c r="P157">
        <v>0</v>
      </c>
      <c r="Q157">
        <v>14</v>
      </c>
      <c r="R157" t="s">
        <v>42671</v>
      </c>
      <c r="S157" t="s">
        <v>42779</v>
      </c>
      <c r="T157" t="s">
        <v>44382</v>
      </c>
      <c r="U157" t="s">
        <v>45009</v>
      </c>
      <c r="V157" t="s">
        <v>56348</v>
      </c>
      <c r="W157" t="s">
        <v>38851</v>
      </c>
      <c r="X157" t="s">
        <v>42676</v>
      </c>
    </row>
    <row r="158" spans="1:24">
      <c r="A158">
        <f>HYPERLINK("https://www.philgeps.gov.ph/GEPSNONPILOT/Tender/SplashBidNoticeAbstractUI.aspx?menuIndex=3&amp;refID=7190719&amp;Result=3","7190719")</f>
        <v>0</v>
      </c>
      <c r="B158" t="s">
        <v>74</v>
      </c>
      <c r="C158" t="s">
        <v>3668</v>
      </c>
      <c r="D158" t="s">
        <v>17169</v>
      </c>
      <c r="E158" t="s">
        <v>17403</v>
      </c>
      <c r="F158" t="s">
        <v>29372</v>
      </c>
      <c r="G158" t="s">
        <v>29380</v>
      </c>
      <c r="H158" t="s">
        <v>29389</v>
      </c>
      <c r="I158" t="s">
        <v>10408</v>
      </c>
      <c r="J158" t="s">
        <v>29624</v>
      </c>
      <c r="K158" t="s">
        <v>38526</v>
      </c>
      <c r="L158" t="s">
        <v>74</v>
      </c>
      <c r="M158" t="s">
        <v>38828</v>
      </c>
      <c r="N158" t="s">
        <v>42669</v>
      </c>
      <c r="O158" t="s">
        <v>42670</v>
      </c>
      <c r="P158">
        <v>0</v>
      </c>
      <c r="Q158">
        <v>4</v>
      </c>
      <c r="R158" t="s">
        <v>42671</v>
      </c>
      <c r="S158" t="s">
        <v>42779</v>
      </c>
      <c r="T158" t="s">
        <v>44395</v>
      </c>
      <c r="U158" t="s">
        <v>44979</v>
      </c>
      <c r="W158" t="s">
        <v>38828</v>
      </c>
      <c r="X158" t="s">
        <v>42676</v>
      </c>
    </row>
    <row r="159" spans="1:24">
      <c r="A159">
        <f>HYPERLINK("https://www.philgeps.gov.ph/GEPSNONPILOT/Tender/SplashBidNoticeAbstractUI.aspx?menuIndex=3&amp;refID=7191330&amp;Result=3","7191330")</f>
        <v>0</v>
      </c>
      <c r="B159" t="s">
        <v>98</v>
      </c>
      <c r="C159" t="s">
        <v>3669</v>
      </c>
      <c r="D159" t="s">
        <v>17141</v>
      </c>
      <c r="E159" t="s">
        <v>17404</v>
      </c>
      <c r="F159" t="s">
        <v>29372</v>
      </c>
      <c r="G159" t="s">
        <v>29379</v>
      </c>
      <c r="H159" t="s">
        <v>11048</v>
      </c>
      <c r="I159" t="s">
        <v>29410</v>
      </c>
      <c r="J159" t="s">
        <v>29665</v>
      </c>
      <c r="K159" t="s">
        <v>38488</v>
      </c>
      <c r="M159" t="s">
        <v>38852</v>
      </c>
      <c r="N159" t="s">
        <v>42669</v>
      </c>
      <c r="O159" t="s">
        <v>42670</v>
      </c>
      <c r="P159">
        <v>0</v>
      </c>
      <c r="Q159">
        <v>7</v>
      </c>
      <c r="R159" t="s">
        <v>42671</v>
      </c>
      <c r="S159" t="s">
        <v>42779</v>
      </c>
      <c r="T159" t="s">
        <v>44403</v>
      </c>
      <c r="U159" t="s">
        <v>45010</v>
      </c>
      <c r="W159" t="s">
        <v>38852</v>
      </c>
      <c r="X159" t="s">
        <v>42676</v>
      </c>
    </row>
    <row r="160" spans="1:24">
      <c r="A160">
        <f>HYPERLINK("https://www.philgeps.gov.ph/GEPSNONPILOT/Tender/SplashBidNoticeAbstractUI.aspx?menuIndex=3&amp;refID=7191306&amp;Result=3","7191306")</f>
        <v>0</v>
      </c>
      <c r="B160" t="s">
        <v>66</v>
      </c>
      <c r="C160" t="s">
        <v>3670</v>
      </c>
      <c r="D160" t="s">
        <v>17151</v>
      </c>
      <c r="E160" t="s">
        <v>17405</v>
      </c>
      <c r="F160" t="s">
        <v>29372</v>
      </c>
      <c r="G160" t="s">
        <v>29379</v>
      </c>
      <c r="H160" t="s">
        <v>11048</v>
      </c>
      <c r="I160" t="s">
        <v>3670</v>
      </c>
      <c r="J160" t="s">
        <v>29666</v>
      </c>
      <c r="K160" t="s">
        <v>38488</v>
      </c>
      <c r="M160" t="s">
        <v>38820</v>
      </c>
      <c r="N160" t="s">
        <v>42669</v>
      </c>
      <c r="O160" t="s">
        <v>42670</v>
      </c>
      <c r="P160">
        <v>0</v>
      </c>
      <c r="Q160">
        <v>0</v>
      </c>
      <c r="R160" t="s">
        <v>42671</v>
      </c>
      <c r="S160" t="s">
        <v>42779</v>
      </c>
      <c r="T160" t="s">
        <v>44387</v>
      </c>
      <c r="U160" t="s">
        <v>44970</v>
      </c>
      <c r="V160" t="s">
        <v>56340</v>
      </c>
      <c r="W160" t="s">
        <v>38820</v>
      </c>
      <c r="X160" t="s">
        <v>42676</v>
      </c>
    </row>
    <row r="161" spans="1:24">
      <c r="A161">
        <f>HYPERLINK("https://www.philgeps.gov.ph/GEPSNONPILOT/Tender/SplashBidNoticeAbstractUI.aspx?menuIndex=3&amp;refID=7191346&amp;Result=3","7191346")</f>
        <v>0</v>
      </c>
      <c r="B161" t="s">
        <v>65</v>
      </c>
      <c r="C161" t="s">
        <v>3671</v>
      </c>
      <c r="D161" t="s">
        <v>17141</v>
      </c>
      <c r="E161" t="s">
        <v>17406</v>
      </c>
      <c r="F161" t="s">
        <v>29372</v>
      </c>
      <c r="G161" t="s">
        <v>29379</v>
      </c>
      <c r="H161" t="s">
        <v>11048</v>
      </c>
      <c r="I161" t="s">
        <v>4709</v>
      </c>
      <c r="J161" t="s">
        <v>29667</v>
      </c>
      <c r="K161" t="s">
        <v>38489</v>
      </c>
      <c r="M161" t="s">
        <v>38819</v>
      </c>
      <c r="N161" t="s">
        <v>42669</v>
      </c>
      <c r="O161" t="s">
        <v>42670</v>
      </c>
      <c r="P161">
        <v>0</v>
      </c>
      <c r="Q161">
        <v>0</v>
      </c>
      <c r="R161" t="s">
        <v>42671</v>
      </c>
      <c r="S161" t="s">
        <v>42779</v>
      </c>
      <c r="T161" t="s">
        <v>44371</v>
      </c>
      <c r="U161" t="s">
        <v>45011</v>
      </c>
      <c r="W161" t="s">
        <v>38819</v>
      </c>
      <c r="X161" t="s">
        <v>42676</v>
      </c>
    </row>
    <row r="162" spans="1:24">
      <c r="A162">
        <f>HYPERLINK("https://www.philgeps.gov.ph/GEPSNONPILOT/Tender/SplashBidNoticeAbstractUI.aspx?menuIndex=3&amp;refID=7191295&amp;Result=3","7191295")</f>
        <v>0</v>
      </c>
      <c r="B162" t="s">
        <v>99</v>
      </c>
      <c r="C162" t="s">
        <v>3672</v>
      </c>
      <c r="D162" t="s">
        <v>17141</v>
      </c>
      <c r="E162" t="s">
        <v>17407</v>
      </c>
      <c r="F162" t="s">
        <v>29372</v>
      </c>
      <c r="G162" t="s">
        <v>29379</v>
      </c>
      <c r="H162" t="s">
        <v>11048</v>
      </c>
      <c r="I162" t="s">
        <v>3860</v>
      </c>
      <c r="J162" t="s">
        <v>29668</v>
      </c>
      <c r="K162" t="s">
        <v>38491</v>
      </c>
      <c r="M162" t="s">
        <v>38853</v>
      </c>
      <c r="N162" t="s">
        <v>42669</v>
      </c>
      <c r="O162" t="s">
        <v>42670</v>
      </c>
      <c r="P162">
        <v>0</v>
      </c>
      <c r="Q162">
        <v>1</v>
      </c>
      <c r="R162" t="s">
        <v>42671</v>
      </c>
      <c r="S162" t="s">
        <v>42779</v>
      </c>
      <c r="T162" t="s">
        <v>44404</v>
      </c>
      <c r="U162" t="s">
        <v>45012</v>
      </c>
      <c r="V162" t="s">
        <v>56349</v>
      </c>
      <c r="W162" t="s">
        <v>38853</v>
      </c>
      <c r="X162" t="s">
        <v>42676</v>
      </c>
    </row>
    <row r="163" spans="1:24">
      <c r="A163">
        <f>HYPERLINK("https://www.philgeps.gov.ph/GEPSNONPILOT/Tender/SplashBidNoticeAbstractUI.aspx?menuIndex=3&amp;refID=7191284&amp;Result=3","7191284")</f>
        <v>0</v>
      </c>
      <c r="B163" t="s">
        <v>90</v>
      </c>
      <c r="C163" t="s">
        <v>3673</v>
      </c>
      <c r="D163" t="s">
        <v>17175</v>
      </c>
      <c r="E163" t="s">
        <v>17408</v>
      </c>
      <c r="F163" t="s">
        <v>29372</v>
      </c>
      <c r="G163" t="s">
        <v>29380</v>
      </c>
      <c r="H163" t="s">
        <v>29389</v>
      </c>
      <c r="I163" t="s">
        <v>10408</v>
      </c>
      <c r="J163" t="s">
        <v>29669</v>
      </c>
      <c r="K163" t="s">
        <v>38527</v>
      </c>
      <c r="M163" t="s">
        <v>38844</v>
      </c>
      <c r="N163" t="s">
        <v>42669</v>
      </c>
      <c r="O163" t="s">
        <v>42670</v>
      </c>
      <c r="P163">
        <v>0</v>
      </c>
      <c r="Q163">
        <v>0</v>
      </c>
      <c r="R163" t="s">
        <v>42671</v>
      </c>
      <c r="S163" t="s">
        <v>42779</v>
      </c>
      <c r="T163" t="s">
        <v>44379</v>
      </c>
      <c r="U163" t="s">
        <v>45013</v>
      </c>
      <c r="V163" t="s">
        <v>56347</v>
      </c>
      <c r="W163" t="s">
        <v>38844</v>
      </c>
      <c r="X163" t="s">
        <v>42676</v>
      </c>
    </row>
    <row r="164" spans="1:24">
      <c r="A164">
        <f>HYPERLINK("https://www.philgeps.gov.ph/GEPSNONPILOT/Tender/SplashBidNoticeAbstractUI.aspx?menuIndex=3&amp;refID=7190721&amp;Result=3","7190721")</f>
        <v>0</v>
      </c>
      <c r="B164" t="s">
        <v>33</v>
      </c>
      <c r="C164" t="s">
        <v>3674</v>
      </c>
      <c r="D164" t="s">
        <v>17147</v>
      </c>
      <c r="E164" t="s">
        <v>17409</v>
      </c>
      <c r="F164" t="s">
        <v>29372</v>
      </c>
      <c r="G164" t="s">
        <v>29380</v>
      </c>
      <c r="H164" t="s">
        <v>11048</v>
      </c>
      <c r="I164" t="s">
        <v>10408</v>
      </c>
      <c r="J164" t="s">
        <v>29670</v>
      </c>
      <c r="K164" t="s">
        <v>38488</v>
      </c>
      <c r="M164" t="s">
        <v>38786</v>
      </c>
      <c r="N164" t="s">
        <v>42669</v>
      </c>
      <c r="O164" t="s">
        <v>42670</v>
      </c>
      <c r="P164">
        <v>0</v>
      </c>
      <c r="Q164">
        <v>0</v>
      </c>
      <c r="R164" t="s">
        <v>42671</v>
      </c>
      <c r="S164" t="s">
        <v>42779</v>
      </c>
      <c r="T164" t="s">
        <v>44358</v>
      </c>
      <c r="U164" t="s">
        <v>45014</v>
      </c>
      <c r="W164" t="s">
        <v>38786</v>
      </c>
      <c r="X164" t="s">
        <v>42676</v>
      </c>
    </row>
    <row r="165" spans="1:24">
      <c r="A165">
        <f>HYPERLINK("https://www.philgeps.gov.ph/GEPSNONPILOT/Tender/SplashBidNoticeAbstractUI.aspx?menuIndex=3&amp;refID=7191265&amp;Result=3","7191265")</f>
        <v>0</v>
      </c>
      <c r="B165" t="s">
        <v>79</v>
      </c>
      <c r="C165" t="s">
        <v>3675</v>
      </c>
      <c r="D165" t="s">
        <v>17172</v>
      </c>
      <c r="E165" t="s">
        <v>17410</v>
      </c>
      <c r="F165" t="s">
        <v>29372</v>
      </c>
      <c r="G165" t="s">
        <v>29380</v>
      </c>
      <c r="H165" t="s">
        <v>29389</v>
      </c>
      <c r="I165" t="s">
        <v>10408</v>
      </c>
      <c r="J165" t="s">
        <v>29645</v>
      </c>
      <c r="K165" t="s">
        <v>38485</v>
      </c>
      <c r="M165" t="s">
        <v>38833</v>
      </c>
      <c r="N165" t="s">
        <v>42669</v>
      </c>
      <c r="O165" t="s">
        <v>42670</v>
      </c>
      <c r="P165">
        <v>0</v>
      </c>
      <c r="Q165">
        <v>0</v>
      </c>
      <c r="R165" t="s">
        <v>42671</v>
      </c>
      <c r="S165" t="s">
        <v>42779</v>
      </c>
      <c r="T165" t="s">
        <v>44357</v>
      </c>
      <c r="U165" t="s">
        <v>44995</v>
      </c>
      <c r="V165" t="s">
        <v>56344</v>
      </c>
      <c r="W165" t="s">
        <v>38833</v>
      </c>
      <c r="X165" t="s">
        <v>42676</v>
      </c>
    </row>
    <row r="166" spans="1:24">
      <c r="A166">
        <f>HYPERLINK("https://www.philgeps.gov.ph/GEPSNONPILOT/Tender/SplashBidNoticeAbstractUI.aspx?menuIndex=3&amp;refID=7191098&amp;Result=3","7191098")</f>
        <v>0</v>
      </c>
      <c r="B166" t="s">
        <v>79</v>
      </c>
      <c r="C166" t="s">
        <v>3676</v>
      </c>
      <c r="D166" t="s">
        <v>17172</v>
      </c>
      <c r="E166" t="s">
        <v>17411</v>
      </c>
      <c r="F166" t="s">
        <v>29372</v>
      </c>
      <c r="G166" t="s">
        <v>29380</v>
      </c>
      <c r="H166" t="s">
        <v>29389</v>
      </c>
      <c r="I166" t="s">
        <v>29408</v>
      </c>
      <c r="J166" t="s">
        <v>29671</v>
      </c>
      <c r="K166" t="s">
        <v>38522</v>
      </c>
      <c r="M166" t="s">
        <v>38833</v>
      </c>
      <c r="N166" t="s">
        <v>42669</v>
      </c>
      <c r="O166" t="s">
        <v>42670</v>
      </c>
      <c r="P166">
        <v>0</v>
      </c>
      <c r="Q166">
        <v>0</v>
      </c>
      <c r="R166" t="s">
        <v>42671</v>
      </c>
      <c r="S166" t="s">
        <v>42779</v>
      </c>
      <c r="T166" t="s">
        <v>44358</v>
      </c>
      <c r="U166" t="s">
        <v>45001</v>
      </c>
      <c r="V166" t="s">
        <v>56344</v>
      </c>
      <c r="W166" t="s">
        <v>38833</v>
      </c>
      <c r="X166" t="s">
        <v>42676</v>
      </c>
    </row>
    <row r="167" spans="1:24">
      <c r="A167">
        <f>HYPERLINK("https://www.philgeps.gov.ph/GEPSNONPILOT/Tender/SplashBidNoticeAbstractUI.aspx?menuIndex=3&amp;refID=7190764&amp;Result=3","7190764")</f>
        <v>0</v>
      </c>
      <c r="B167" t="s">
        <v>74</v>
      </c>
      <c r="C167" t="s">
        <v>3677</v>
      </c>
      <c r="D167" t="s">
        <v>17169</v>
      </c>
      <c r="E167" t="s">
        <v>17412</v>
      </c>
      <c r="F167" t="s">
        <v>29372</v>
      </c>
      <c r="G167" t="s">
        <v>29380</v>
      </c>
      <c r="H167" t="s">
        <v>29389</v>
      </c>
      <c r="I167" t="s">
        <v>10408</v>
      </c>
      <c r="J167" t="s">
        <v>29672</v>
      </c>
      <c r="K167" t="s">
        <v>38527</v>
      </c>
      <c r="L167" t="s">
        <v>74</v>
      </c>
      <c r="M167" t="s">
        <v>38828</v>
      </c>
      <c r="N167" t="s">
        <v>42669</v>
      </c>
      <c r="O167" t="s">
        <v>42670</v>
      </c>
      <c r="P167">
        <v>0</v>
      </c>
      <c r="Q167">
        <v>2</v>
      </c>
      <c r="R167" t="s">
        <v>42671</v>
      </c>
      <c r="S167" t="s">
        <v>42779</v>
      </c>
      <c r="T167" t="s">
        <v>44395</v>
      </c>
      <c r="U167" t="s">
        <v>44979</v>
      </c>
      <c r="W167" t="s">
        <v>38828</v>
      </c>
      <c r="X167" t="s">
        <v>42676</v>
      </c>
    </row>
    <row r="168" spans="1:24">
      <c r="A168">
        <f>HYPERLINK("https://www.philgeps.gov.ph/GEPSNONPILOT/Tender/SplashBidNoticeAbstractUI.aspx?menuIndex=3&amp;refID=7191503&amp;Result=3","7191503")</f>
        <v>0</v>
      </c>
      <c r="B168" t="s">
        <v>100</v>
      </c>
      <c r="C168" t="s">
        <v>3678</v>
      </c>
      <c r="D168" t="s">
        <v>17178</v>
      </c>
      <c r="E168" t="s">
        <v>17413</v>
      </c>
      <c r="F168" t="s">
        <v>29372</v>
      </c>
      <c r="G168" t="s">
        <v>29380</v>
      </c>
      <c r="H168" t="s">
        <v>11048</v>
      </c>
      <c r="I168" t="s">
        <v>3670</v>
      </c>
      <c r="J168" t="s">
        <v>29673</v>
      </c>
      <c r="K168" t="s">
        <v>38488</v>
      </c>
      <c r="M168" t="s">
        <v>38854</v>
      </c>
      <c r="N168" t="s">
        <v>42669</v>
      </c>
      <c r="O168" t="s">
        <v>42670</v>
      </c>
      <c r="P168">
        <v>0</v>
      </c>
      <c r="Q168">
        <v>8</v>
      </c>
      <c r="R168" t="s">
        <v>42671</v>
      </c>
      <c r="S168" t="s">
        <v>42779</v>
      </c>
      <c r="T168" t="s">
        <v>44391</v>
      </c>
      <c r="U168" t="s">
        <v>45015</v>
      </c>
      <c r="W168" t="s">
        <v>38854</v>
      </c>
      <c r="X168" t="s">
        <v>42676</v>
      </c>
    </row>
    <row r="169" spans="1:24">
      <c r="A169">
        <f>HYPERLINK("https://www.philgeps.gov.ph/GEPSNONPILOT/Tender/SplashBidNoticeAbstractUI.aspx?menuIndex=3&amp;refID=7191271&amp;Result=3","7191271")</f>
        <v>0</v>
      </c>
      <c r="B169" t="s">
        <v>79</v>
      </c>
      <c r="C169" t="s">
        <v>3679</v>
      </c>
      <c r="D169" t="s">
        <v>17172</v>
      </c>
      <c r="E169" t="s">
        <v>17414</v>
      </c>
      <c r="F169" t="s">
        <v>29372</v>
      </c>
      <c r="G169" t="s">
        <v>29380</v>
      </c>
      <c r="H169" t="s">
        <v>29389</v>
      </c>
      <c r="I169" t="s">
        <v>10408</v>
      </c>
      <c r="J169" t="s">
        <v>29645</v>
      </c>
      <c r="K169" t="s">
        <v>38485</v>
      </c>
      <c r="M169" t="s">
        <v>38833</v>
      </c>
      <c r="N169" t="s">
        <v>42669</v>
      </c>
      <c r="O169" t="s">
        <v>42670</v>
      </c>
      <c r="P169">
        <v>0</v>
      </c>
      <c r="Q169">
        <v>0</v>
      </c>
      <c r="R169" t="s">
        <v>42671</v>
      </c>
      <c r="S169" t="s">
        <v>42779</v>
      </c>
      <c r="T169" t="s">
        <v>44357</v>
      </c>
      <c r="U169" t="s">
        <v>44995</v>
      </c>
      <c r="V169" t="s">
        <v>56344</v>
      </c>
      <c r="W169" t="s">
        <v>38833</v>
      </c>
      <c r="X169" t="s">
        <v>42676</v>
      </c>
    </row>
    <row r="170" spans="1:24">
      <c r="A170">
        <f>HYPERLINK("https://www.philgeps.gov.ph/GEPSNONPILOT/Tender/SplashBidNoticeAbstractUI.aspx?menuIndex=3&amp;refID=7191298&amp;Result=3","7191298")</f>
        <v>0</v>
      </c>
      <c r="B170" t="s">
        <v>101</v>
      </c>
      <c r="C170" t="s">
        <v>3680</v>
      </c>
      <c r="E170" t="s">
        <v>17415</v>
      </c>
      <c r="F170" t="s">
        <v>29372</v>
      </c>
      <c r="G170" t="s">
        <v>29384</v>
      </c>
      <c r="H170" t="s">
        <v>11048</v>
      </c>
      <c r="I170" t="s">
        <v>14920</v>
      </c>
      <c r="J170" t="s">
        <v>29674</v>
      </c>
      <c r="K170" t="s">
        <v>38490</v>
      </c>
      <c r="M170" t="s">
        <v>38855</v>
      </c>
      <c r="N170" t="s">
        <v>42669</v>
      </c>
      <c r="O170" t="s">
        <v>42670</v>
      </c>
      <c r="P170">
        <v>0</v>
      </c>
      <c r="Q170">
        <v>3</v>
      </c>
      <c r="R170" t="s">
        <v>42671</v>
      </c>
      <c r="S170" t="s">
        <v>42779</v>
      </c>
      <c r="T170" t="s">
        <v>44405</v>
      </c>
      <c r="U170" t="s">
        <v>45016</v>
      </c>
      <c r="W170" t="s">
        <v>38855</v>
      </c>
      <c r="X170" t="s">
        <v>42676</v>
      </c>
    </row>
    <row r="171" spans="1:24">
      <c r="A171">
        <f>HYPERLINK("https://www.philgeps.gov.ph/GEPSNONPILOT/Tender/SplashBidNoticeAbstractUI.aspx?menuIndex=3&amp;refID=7191483&amp;Result=3","7191483")</f>
        <v>0</v>
      </c>
      <c r="B171" t="s">
        <v>102</v>
      </c>
      <c r="C171" t="s">
        <v>3681</v>
      </c>
      <c r="D171" t="s">
        <v>17179</v>
      </c>
      <c r="E171" t="s">
        <v>17416</v>
      </c>
      <c r="F171" t="s">
        <v>29372</v>
      </c>
      <c r="G171" t="s">
        <v>29379</v>
      </c>
      <c r="H171" t="s">
        <v>11048</v>
      </c>
      <c r="I171" t="s">
        <v>29411</v>
      </c>
      <c r="J171" t="s">
        <v>29675</v>
      </c>
      <c r="K171" t="s">
        <v>38485</v>
      </c>
      <c r="M171" t="s">
        <v>38856</v>
      </c>
      <c r="N171" t="s">
        <v>42669</v>
      </c>
      <c r="O171" t="s">
        <v>42670</v>
      </c>
      <c r="P171">
        <v>0</v>
      </c>
      <c r="Q171">
        <v>1</v>
      </c>
      <c r="R171" t="s">
        <v>42671</v>
      </c>
      <c r="S171" t="s">
        <v>42779</v>
      </c>
      <c r="T171" t="s">
        <v>44387</v>
      </c>
      <c r="U171" t="s">
        <v>45017</v>
      </c>
      <c r="W171" t="s">
        <v>38856</v>
      </c>
      <c r="X171" t="s">
        <v>42676</v>
      </c>
    </row>
    <row r="172" spans="1:24">
      <c r="A172">
        <f>HYPERLINK("https://www.philgeps.gov.ph/GEPSNONPILOT/Tender/SplashBidNoticeAbstractUI.aspx?menuIndex=3&amp;refID=7191479&amp;Result=3","7191479")</f>
        <v>0</v>
      </c>
      <c r="B172" t="s">
        <v>92</v>
      </c>
      <c r="C172" t="s">
        <v>3682</v>
      </c>
      <c r="D172" t="s">
        <v>17141</v>
      </c>
      <c r="E172" t="s">
        <v>17417</v>
      </c>
      <c r="F172" t="s">
        <v>29372</v>
      </c>
      <c r="G172" t="s">
        <v>29379</v>
      </c>
      <c r="H172" t="s">
        <v>11048</v>
      </c>
      <c r="I172" t="s">
        <v>29407</v>
      </c>
      <c r="J172" t="s">
        <v>29526</v>
      </c>
      <c r="K172" t="s">
        <v>38490</v>
      </c>
      <c r="M172" t="s">
        <v>38846</v>
      </c>
      <c r="N172" t="s">
        <v>42669</v>
      </c>
      <c r="O172" t="s">
        <v>42670</v>
      </c>
      <c r="P172">
        <v>0</v>
      </c>
      <c r="Q172">
        <v>6</v>
      </c>
      <c r="R172" t="s">
        <v>42671</v>
      </c>
      <c r="S172" t="s">
        <v>42779</v>
      </c>
      <c r="T172" t="s">
        <v>44382</v>
      </c>
      <c r="U172" t="s">
        <v>45003</v>
      </c>
      <c r="W172" t="s">
        <v>38846</v>
      </c>
      <c r="X172" t="s">
        <v>42676</v>
      </c>
    </row>
    <row r="173" spans="1:24">
      <c r="A173">
        <f>HYPERLINK("https://www.philgeps.gov.ph/GEPSNONPILOT/Tender/SplashBidNoticeAbstractUI.aspx?menuIndex=3&amp;refID=7191467&amp;Result=3","7191467")</f>
        <v>0</v>
      </c>
      <c r="B173" t="s">
        <v>103</v>
      </c>
      <c r="C173" t="s">
        <v>3683</v>
      </c>
      <c r="D173" t="s">
        <v>17179</v>
      </c>
      <c r="E173" t="s">
        <v>17418</v>
      </c>
      <c r="F173" t="s">
        <v>29372</v>
      </c>
      <c r="G173" t="s">
        <v>29379</v>
      </c>
      <c r="H173" t="s">
        <v>11048</v>
      </c>
      <c r="I173" t="s">
        <v>3670</v>
      </c>
      <c r="J173" t="s">
        <v>29676</v>
      </c>
      <c r="K173" t="s">
        <v>38528</v>
      </c>
      <c r="M173" t="s">
        <v>38857</v>
      </c>
      <c r="N173" t="s">
        <v>42669</v>
      </c>
      <c r="O173" t="s">
        <v>42670</v>
      </c>
      <c r="P173">
        <v>0</v>
      </c>
      <c r="Q173">
        <v>0</v>
      </c>
      <c r="R173" t="s">
        <v>42671</v>
      </c>
      <c r="S173" t="s">
        <v>42779</v>
      </c>
      <c r="T173" t="s">
        <v>44371</v>
      </c>
      <c r="U173" t="s">
        <v>45018</v>
      </c>
      <c r="W173" t="s">
        <v>38857</v>
      </c>
      <c r="X173" t="s">
        <v>42676</v>
      </c>
    </row>
    <row r="174" spans="1:24">
      <c r="A174">
        <f>HYPERLINK("https://www.philgeps.gov.ph/GEPSNONPILOT/Tender/SplashBidNoticeAbstractUI.aspx?menuIndex=3&amp;refID=7191462&amp;Result=3","7191462")</f>
        <v>0</v>
      </c>
      <c r="B174" t="s">
        <v>102</v>
      </c>
      <c r="C174" t="s">
        <v>3684</v>
      </c>
      <c r="D174" t="s">
        <v>17179</v>
      </c>
      <c r="E174" t="s">
        <v>17419</v>
      </c>
      <c r="F174" t="s">
        <v>29372</v>
      </c>
      <c r="G174" t="s">
        <v>29379</v>
      </c>
      <c r="H174" t="s">
        <v>11048</v>
      </c>
      <c r="I174" t="s">
        <v>5383</v>
      </c>
      <c r="J174" t="s">
        <v>29677</v>
      </c>
      <c r="K174" t="s">
        <v>38485</v>
      </c>
      <c r="M174" t="s">
        <v>38856</v>
      </c>
      <c r="N174" t="s">
        <v>42669</v>
      </c>
      <c r="O174" t="s">
        <v>42670</v>
      </c>
      <c r="P174">
        <v>0</v>
      </c>
      <c r="Q174">
        <v>0</v>
      </c>
      <c r="R174" t="s">
        <v>42671</v>
      </c>
      <c r="S174" t="s">
        <v>42779</v>
      </c>
      <c r="T174" t="s">
        <v>44387</v>
      </c>
      <c r="U174" t="s">
        <v>45017</v>
      </c>
      <c r="W174" t="s">
        <v>38856</v>
      </c>
      <c r="X174" t="s">
        <v>42676</v>
      </c>
    </row>
    <row r="175" spans="1:24">
      <c r="A175">
        <f>HYPERLINK("https://www.philgeps.gov.ph/GEPSNONPILOT/Tender/SplashBidNoticeAbstractUI.aspx?menuIndex=3&amp;refID=7191471&amp;Result=3","7191471")</f>
        <v>0</v>
      </c>
      <c r="B175" t="s">
        <v>99</v>
      </c>
      <c r="C175" t="s">
        <v>3685</v>
      </c>
      <c r="D175" t="s">
        <v>17141</v>
      </c>
      <c r="E175" t="s">
        <v>17420</v>
      </c>
      <c r="F175" t="s">
        <v>29372</v>
      </c>
      <c r="G175" t="s">
        <v>29379</v>
      </c>
      <c r="H175" t="s">
        <v>11048</v>
      </c>
      <c r="I175" t="s">
        <v>29412</v>
      </c>
      <c r="J175" t="s">
        <v>29678</v>
      </c>
      <c r="K175" t="s">
        <v>38491</v>
      </c>
      <c r="M175" t="s">
        <v>38858</v>
      </c>
      <c r="N175" t="s">
        <v>42669</v>
      </c>
      <c r="O175" t="s">
        <v>42670</v>
      </c>
      <c r="P175">
        <v>0</v>
      </c>
      <c r="Q175">
        <v>0</v>
      </c>
      <c r="R175" t="s">
        <v>42671</v>
      </c>
      <c r="S175" t="s">
        <v>42779</v>
      </c>
      <c r="T175" t="s">
        <v>44371</v>
      </c>
      <c r="U175" t="s">
        <v>45019</v>
      </c>
      <c r="V175" t="s">
        <v>56350</v>
      </c>
      <c r="W175" t="s">
        <v>38858</v>
      </c>
      <c r="X175" t="s">
        <v>42676</v>
      </c>
    </row>
    <row r="176" spans="1:24">
      <c r="A176">
        <f>HYPERLINK("https://www.philgeps.gov.ph/GEPSNONPILOT/Tender/SplashBidNoticeAbstractUI.aspx?menuIndex=3&amp;refID=7191486&amp;Result=3","7191486")</f>
        <v>0</v>
      </c>
      <c r="B176" t="s">
        <v>103</v>
      </c>
      <c r="C176" t="s">
        <v>3686</v>
      </c>
      <c r="D176" t="s">
        <v>17179</v>
      </c>
      <c r="E176" t="s">
        <v>17421</v>
      </c>
      <c r="F176" t="s">
        <v>29372</v>
      </c>
      <c r="G176" t="s">
        <v>29379</v>
      </c>
      <c r="H176" t="s">
        <v>11048</v>
      </c>
      <c r="I176" t="s">
        <v>3670</v>
      </c>
      <c r="J176" t="s">
        <v>29679</v>
      </c>
      <c r="K176" t="s">
        <v>38528</v>
      </c>
      <c r="M176" t="s">
        <v>38857</v>
      </c>
      <c r="N176" t="s">
        <v>42669</v>
      </c>
      <c r="O176" t="s">
        <v>42670</v>
      </c>
      <c r="P176">
        <v>0</v>
      </c>
      <c r="Q176">
        <v>0</v>
      </c>
      <c r="R176" t="s">
        <v>42671</v>
      </c>
      <c r="S176" t="s">
        <v>42779</v>
      </c>
      <c r="T176" t="s">
        <v>44371</v>
      </c>
      <c r="U176" t="s">
        <v>45020</v>
      </c>
      <c r="W176" t="s">
        <v>38857</v>
      </c>
      <c r="X176" t="s">
        <v>42676</v>
      </c>
    </row>
    <row r="177" spans="1:24">
      <c r="A177">
        <f>HYPERLINK("https://www.philgeps.gov.ph/GEPSNONPILOT/Tender/SplashBidNoticeAbstractUI.aspx?menuIndex=3&amp;refID=7191441&amp;Result=3","7191441")</f>
        <v>0</v>
      </c>
      <c r="B177" t="s">
        <v>102</v>
      </c>
      <c r="C177" t="s">
        <v>3687</v>
      </c>
      <c r="D177" t="s">
        <v>17179</v>
      </c>
      <c r="E177" t="s">
        <v>17422</v>
      </c>
      <c r="F177" t="s">
        <v>29372</v>
      </c>
      <c r="G177" t="s">
        <v>29379</v>
      </c>
      <c r="H177" t="s">
        <v>11048</v>
      </c>
      <c r="I177" t="s">
        <v>7828</v>
      </c>
      <c r="J177" t="s">
        <v>29680</v>
      </c>
      <c r="K177" t="s">
        <v>38485</v>
      </c>
      <c r="M177" t="s">
        <v>38856</v>
      </c>
      <c r="N177" t="s">
        <v>42669</v>
      </c>
      <c r="O177" t="s">
        <v>42670</v>
      </c>
      <c r="P177">
        <v>0</v>
      </c>
      <c r="Q177">
        <v>0</v>
      </c>
      <c r="R177" t="s">
        <v>42671</v>
      </c>
      <c r="S177" t="s">
        <v>42779</v>
      </c>
      <c r="T177" t="s">
        <v>44387</v>
      </c>
      <c r="U177" t="s">
        <v>45017</v>
      </c>
      <c r="W177" t="s">
        <v>38856</v>
      </c>
      <c r="X177" t="s">
        <v>42676</v>
      </c>
    </row>
    <row r="178" spans="1:24">
      <c r="A178">
        <f>HYPERLINK("https://www.philgeps.gov.ph/GEPSNONPILOT/Tender/SplashBidNoticeAbstractUI.aspx?menuIndex=3&amp;refID=7191417&amp;Result=3","7191417")</f>
        <v>0</v>
      </c>
      <c r="B178" t="s">
        <v>33</v>
      </c>
      <c r="C178" t="s">
        <v>3688</v>
      </c>
      <c r="D178" t="s">
        <v>17147</v>
      </c>
      <c r="E178" t="s">
        <v>17423</v>
      </c>
      <c r="F178" t="s">
        <v>29372</v>
      </c>
      <c r="G178" t="s">
        <v>29380</v>
      </c>
      <c r="H178" t="s">
        <v>11048</v>
      </c>
      <c r="I178" t="s">
        <v>5383</v>
      </c>
      <c r="J178" t="s">
        <v>29681</v>
      </c>
      <c r="K178" t="s">
        <v>38488</v>
      </c>
      <c r="M178" t="s">
        <v>38786</v>
      </c>
      <c r="N178" t="s">
        <v>42669</v>
      </c>
      <c r="O178" t="s">
        <v>42670</v>
      </c>
      <c r="P178">
        <v>0</v>
      </c>
      <c r="Q178">
        <v>0</v>
      </c>
      <c r="R178" t="s">
        <v>42671</v>
      </c>
      <c r="S178" t="s">
        <v>42779</v>
      </c>
      <c r="T178" t="s">
        <v>44357</v>
      </c>
      <c r="U178" t="s">
        <v>45021</v>
      </c>
      <c r="W178" t="s">
        <v>38786</v>
      </c>
      <c r="X178" t="s">
        <v>42676</v>
      </c>
    </row>
    <row r="179" spans="1:24">
      <c r="A179">
        <f>HYPERLINK("https://www.philgeps.gov.ph/GEPSNONPILOT/Tender/SplashBidNoticeAbstractUI.aspx?menuIndex=3&amp;refID=7191400&amp;Result=3","7191400")</f>
        <v>0</v>
      </c>
      <c r="B179" t="s">
        <v>97</v>
      </c>
      <c r="C179" t="s">
        <v>3689</v>
      </c>
      <c r="D179" t="s">
        <v>17154</v>
      </c>
      <c r="E179" t="s">
        <v>17424</v>
      </c>
      <c r="F179" t="s">
        <v>29372</v>
      </c>
      <c r="G179" t="s">
        <v>29382</v>
      </c>
      <c r="H179" t="s">
        <v>11048</v>
      </c>
      <c r="I179" t="s">
        <v>8614</v>
      </c>
      <c r="J179" t="s">
        <v>29682</v>
      </c>
      <c r="K179" t="s">
        <v>38490</v>
      </c>
      <c r="M179" t="s">
        <v>38851</v>
      </c>
      <c r="N179" t="s">
        <v>42669</v>
      </c>
      <c r="O179" t="s">
        <v>42670</v>
      </c>
      <c r="P179">
        <v>0</v>
      </c>
      <c r="Q179">
        <v>2</v>
      </c>
      <c r="R179" t="s">
        <v>42671</v>
      </c>
      <c r="S179" t="s">
        <v>42779</v>
      </c>
      <c r="T179" t="s">
        <v>44382</v>
      </c>
      <c r="U179" t="s">
        <v>45022</v>
      </c>
      <c r="V179" t="s">
        <v>56348</v>
      </c>
      <c r="W179" t="s">
        <v>38851</v>
      </c>
      <c r="X179" t="s">
        <v>42676</v>
      </c>
    </row>
    <row r="180" spans="1:24">
      <c r="A180">
        <f>HYPERLINK("https://www.philgeps.gov.ph/GEPSNONPILOT/Tender/SplashBidNoticeAbstractUI.aspx?menuIndex=3&amp;refID=7191307&amp;Result=3","7191307")</f>
        <v>0</v>
      </c>
      <c r="B180" t="s">
        <v>104</v>
      </c>
      <c r="C180" t="s">
        <v>3690</v>
      </c>
      <c r="D180" t="s">
        <v>17180</v>
      </c>
      <c r="E180" t="s">
        <v>17425</v>
      </c>
      <c r="F180" t="s">
        <v>29372</v>
      </c>
      <c r="G180" t="s">
        <v>29380</v>
      </c>
      <c r="H180" t="s">
        <v>11048</v>
      </c>
      <c r="I180" t="s">
        <v>4709</v>
      </c>
      <c r="J180" t="s">
        <v>29555</v>
      </c>
      <c r="K180" t="s">
        <v>38491</v>
      </c>
      <c r="M180" t="s">
        <v>38859</v>
      </c>
      <c r="N180" t="s">
        <v>42669</v>
      </c>
      <c r="O180" t="s">
        <v>42670</v>
      </c>
      <c r="P180">
        <v>0</v>
      </c>
      <c r="Q180">
        <v>1</v>
      </c>
      <c r="R180" t="s">
        <v>42671</v>
      </c>
      <c r="S180" t="s">
        <v>42779</v>
      </c>
      <c r="T180" t="s">
        <v>44406</v>
      </c>
      <c r="U180" t="s">
        <v>45023</v>
      </c>
      <c r="W180" t="s">
        <v>38859</v>
      </c>
      <c r="X180" t="s">
        <v>42676</v>
      </c>
    </row>
    <row r="181" spans="1:24">
      <c r="A181">
        <f>HYPERLINK("https://www.philgeps.gov.ph/GEPSNONPILOT/Tender/SplashBidNoticeAbstractUI.aspx?menuIndex=3&amp;refID=7191429&amp;Result=3","7191429")</f>
        <v>0</v>
      </c>
      <c r="B181" t="s">
        <v>105</v>
      </c>
      <c r="C181" t="s">
        <v>3691</v>
      </c>
      <c r="D181" t="s">
        <v>17181</v>
      </c>
      <c r="E181" t="s">
        <v>17426</v>
      </c>
      <c r="F181" t="s">
        <v>29372</v>
      </c>
      <c r="G181" t="s">
        <v>29380</v>
      </c>
      <c r="H181" t="s">
        <v>29389</v>
      </c>
      <c r="I181" t="s">
        <v>10408</v>
      </c>
      <c r="J181" t="s">
        <v>29683</v>
      </c>
      <c r="K181" t="s">
        <v>38529</v>
      </c>
      <c r="M181" t="s">
        <v>38860</v>
      </c>
      <c r="N181" t="s">
        <v>42669</v>
      </c>
      <c r="O181" t="s">
        <v>42670</v>
      </c>
      <c r="P181">
        <v>0</v>
      </c>
      <c r="Q181">
        <v>0</v>
      </c>
      <c r="R181" t="s">
        <v>42671</v>
      </c>
      <c r="S181" t="s">
        <v>42779</v>
      </c>
      <c r="T181" t="s">
        <v>44407</v>
      </c>
      <c r="U181" t="s">
        <v>45024</v>
      </c>
      <c r="V181" t="s">
        <v>56351</v>
      </c>
      <c r="W181" t="s">
        <v>38860</v>
      </c>
      <c r="X181" t="s">
        <v>42676</v>
      </c>
    </row>
    <row r="182" spans="1:24">
      <c r="A182">
        <f>HYPERLINK("https://www.philgeps.gov.ph/GEPSNONPILOT/Tender/SplashBidNoticeAbstractUI.aspx?menuIndex=3&amp;refID=7191394&amp;Result=3","7191394")</f>
        <v>0</v>
      </c>
      <c r="B182" t="s">
        <v>106</v>
      </c>
      <c r="C182" t="s">
        <v>3692</v>
      </c>
      <c r="D182" t="s">
        <v>17173</v>
      </c>
      <c r="E182" t="s">
        <v>17427</v>
      </c>
      <c r="F182" t="s">
        <v>29372</v>
      </c>
      <c r="G182" t="s">
        <v>29379</v>
      </c>
      <c r="H182" t="s">
        <v>11048</v>
      </c>
      <c r="I182" t="s">
        <v>3670</v>
      </c>
      <c r="J182" t="s">
        <v>29625</v>
      </c>
      <c r="K182" t="s">
        <v>38488</v>
      </c>
      <c r="M182" t="s">
        <v>38861</v>
      </c>
      <c r="N182" t="s">
        <v>42669</v>
      </c>
      <c r="O182" t="s">
        <v>42670</v>
      </c>
      <c r="P182">
        <v>0</v>
      </c>
      <c r="Q182">
        <v>0</v>
      </c>
      <c r="R182" t="s">
        <v>42671</v>
      </c>
      <c r="S182" t="s">
        <v>42779</v>
      </c>
      <c r="T182" t="s">
        <v>44371</v>
      </c>
      <c r="U182" t="s">
        <v>45025</v>
      </c>
      <c r="V182" t="s">
        <v>56352</v>
      </c>
      <c r="W182" t="s">
        <v>38861</v>
      </c>
      <c r="X182" t="s">
        <v>42676</v>
      </c>
    </row>
    <row r="183" spans="1:24">
      <c r="A183">
        <f>HYPERLINK("https://www.philgeps.gov.ph/GEPSNONPILOT/Tender/SplashBidNoticeAbstractUI.aspx?menuIndex=3&amp;refID=7191414&amp;Result=3","7191414")</f>
        <v>0</v>
      </c>
      <c r="B183" t="s">
        <v>107</v>
      </c>
      <c r="C183" t="s">
        <v>3693</v>
      </c>
      <c r="D183" t="s">
        <v>17180</v>
      </c>
      <c r="E183" t="s">
        <v>17428</v>
      </c>
      <c r="F183" t="s">
        <v>29372</v>
      </c>
      <c r="G183" t="s">
        <v>29383</v>
      </c>
      <c r="H183" t="s">
        <v>11048</v>
      </c>
      <c r="I183" t="s">
        <v>29412</v>
      </c>
      <c r="J183" t="s">
        <v>29684</v>
      </c>
      <c r="K183" t="s">
        <v>38490</v>
      </c>
      <c r="M183" t="s">
        <v>38862</v>
      </c>
      <c r="N183" t="s">
        <v>42669</v>
      </c>
      <c r="O183" t="s">
        <v>42670</v>
      </c>
      <c r="P183">
        <v>0</v>
      </c>
      <c r="Q183">
        <v>0</v>
      </c>
      <c r="R183" t="s">
        <v>42671</v>
      </c>
      <c r="S183" t="s">
        <v>42779</v>
      </c>
      <c r="T183" t="s">
        <v>44387</v>
      </c>
      <c r="U183" t="s">
        <v>45026</v>
      </c>
      <c r="W183" t="s">
        <v>38862</v>
      </c>
      <c r="X183" t="s">
        <v>42676</v>
      </c>
    </row>
    <row r="184" spans="1:24">
      <c r="A184">
        <f>HYPERLINK("https://www.philgeps.gov.ph/GEPSNONPILOT/Tender/SplashBidNoticeAbstractUI.aspx?menuIndex=3&amp;refID=7191383&amp;Result=3","7191383")</f>
        <v>0</v>
      </c>
      <c r="B184" t="s">
        <v>103</v>
      </c>
      <c r="C184" t="s">
        <v>3694</v>
      </c>
      <c r="D184" t="s">
        <v>17179</v>
      </c>
      <c r="E184" t="s">
        <v>17429</v>
      </c>
      <c r="F184" t="s">
        <v>29372</v>
      </c>
      <c r="G184" t="s">
        <v>29379</v>
      </c>
      <c r="H184" t="s">
        <v>11048</v>
      </c>
      <c r="I184" t="s">
        <v>29407</v>
      </c>
      <c r="J184" t="s">
        <v>29685</v>
      </c>
      <c r="K184" t="s">
        <v>38528</v>
      </c>
      <c r="M184" t="s">
        <v>38857</v>
      </c>
      <c r="N184" t="s">
        <v>42669</v>
      </c>
      <c r="O184" t="s">
        <v>42670</v>
      </c>
      <c r="P184">
        <v>0</v>
      </c>
      <c r="Q184">
        <v>1</v>
      </c>
      <c r="R184" t="s">
        <v>42671</v>
      </c>
      <c r="S184" t="s">
        <v>42779</v>
      </c>
      <c r="T184" t="s">
        <v>44371</v>
      </c>
      <c r="U184" t="s">
        <v>45027</v>
      </c>
      <c r="W184" t="s">
        <v>38857</v>
      </c>
      <c r="X184" t="s">
        <v>42676</v>
      </c>
    </row>
    <row r="185" spans="1:24">
      <c r="A185">
        <f>HYPERLINK("https://www.philgeps.gov.ph/GEPSNONPILOT/Tender/SplashBidNoticeAbstractUI.aspx?menuIndex=3&amp;refID=7191377&amp;Result=3","7191377")</f>
        <v>0</v>
      </c>
      <c r="B185" t="s">
        <v>66</v>
      </c>
      <c r="C185" t="s">
        <v>3695</v>
      </c>
      <c r="D185" t="s">
        <v>17151</v>
      </c>
      <c r="E185" t="s">
        <v>17430</v>
      </c>
      <c r="F185" t="s">
        <v>29372</v>
      </c>
      <c r="G185" t="s">
        <v>29379</v>
      </c>
      <c r="H185" t="s">
        <v>11048</v>
      </c>
      <c r="I185" t="s">
        <v>3695</v>
      </c>
      <c r="J185" t="s">
        <v>29686</v>
      </c>
      <c r="K185" t="s">
        <v>38488</v>
      </c>
      <c r="M185" t="s">
        <v>38820</v>
      </c>
      <c r="N185" t="s">
        <v>42669</v>
      </c>
      <c r="O185" t="s">
        <v>42670</v>
      </c>
      <c r="P185">
        <v>0</v>
      </c>
      <c r="Q185">
        <v>0</v>
      </c>
      <c r="R185" t="s">
        <v>42671</v>
      </c>
      <c r="S185" t="s">
        <v>42779</v>
      </c>
      <c r="T185" t="s">
        <v>44387</v>
      </c>
      <c r="U185" t="s">
        <v>44970</v>
      </c>
      <c r="V185" t="s">
        <v>56340</v>
      </c>
      <c r="W185" t="s">
        <v>38820</v>
      </c>
      <c r="X185" t="s">
        <v>42676</v>
      </c>
    </row>
    <row r="186" spans="1:24">
      <c r="A186">
        <f>HYPERLINK("https://www.philgeps.gov.ph/GEPSNONPILOT/Tender/SplashBidNoticeAbstractUI.aspx?menuIndex=3&amp;refID=7191396&amp;Result=3","7191396")</f>
        <v>0</v>
      </c>
      <c r="B186" t="s">
        <v>108</v>
      </c>
      <c r="C186" t="s">
        <v>3696</v>
      </c>
      <c r="D186" t="s">
        <v>17170</v>
      </c>
      <c r="E186" t="s">
        <v>17431</v>
      </c>
      <c r="F186" t="s">
        <v>29372</v>
      </c>
      <c r="G186" t="s">
        <v>29380</v>
      </c>
      <c r="H186" t="s">
        <v>11048</v>
      </c>
      <c r="I186" t="s">
        <v>29413</v>
      </c>
      <c r="J186" t="s">
        <v>29687</v>
      </c>
      <c r="K186" t="s">
        <v>38490</v>
      </c>
      <c r="M186" t="s">
        <v>38863</v>
      </c>
      <c r="N186" t="s">
        <v>42669</v>
      </c>
      <c r="O186" t="s">
        <v>42670</v>
      </c>
      <c r="P186">
        <v>0</v>
      </c>
      <c r="Q186">
        <v>5</v>
      </c>
      <c r="R186" t="s">
        <v>42671</v>
      </c>
      <c r="S186" t="s">
        <v>42779</v>
      </c>
      <c r="T186" t="s">
        <v>44408</v>
      </c>
      <c r="U186" t="s">
        <v>45028</v>
      </c>
      <c r="W186" t="s">
        <v>38863</v>
      </c>
      <c r="X186" t="s">
        <v>42676</v>
      </c>
    </row>
    <row r="187" spans="1:24">
      <c r="A187">
        <f>HYPERLINK("https://www.philgeps.gov.ph/GEPSNONPILOT/Tender/SplashBidNoticeAbstractUI.aspx?menuIndex=3&amp;refID=7191506&amp;Result=3","7191506")</f>
        <v>0</v>
      </c>
      <c r="B187" t="s">
        <v>99</v>
      </c>
      <c r="C187" t="s">
        <v>3697</v>
      </c>
      <c r="D187" t="s">
        <v>17141</v>
      </c>
      <c r="E187" t="s">
        <v>17432</v>
      </c>
      <c r="F187" t="s">
        <v>29372</v>
      </c>
      <c r="G187" t="s">
        <v>29379</v>
      </c>
      <c r="H187" t="s">
        <v>11048</v>
      </c>
      <c r="I187" t="s">
        <v>3670</v>
      </c>
      <c r="J187" t="s">
        <v>29688</v>
      </c>
      <c r="K187" t="s">
        <v>38491</v>
      </c>
      <c r="M187" t="s">
        <v>38858</v>
      </c>
      <c r="N187" t="s">
        <v>42669</v>
      </c>
      <c r="O187" t="s">
        <v>42670</v>
      </c>
      <c r="P187">
        <v>0</v>
      </c>
      <c r="Q187">
        <v>0</v>
      </c>
      <c r="R187" t="s">
        <v>42671</v>
      </c>
      <c r="S187" t="s">
        <v>42779</v>
      </c>
      <c r="T187" t="s">
        <v>44371</v>
      </c>
      <c r="U187" t="s">
        <v>45029</v>
      </c>
      <c r="V187" t="s">
        <v>56350</v>
      </c>
      <c r="W187" t="s">
        <v>38858</v>
      </c>
      <c r="X187" t="s">
        <v>42676</v>
      </c>
    </row>
    <row r="188" spans="1:24">
      <c r="A188">
        <f>HYPERLINK("https://www.philgeps.gov.ph/GEPSNONPILOT/Tender/SplashBidNoticeAbstractUI.aspx?menuIndex=3&amp;refID=7191443&amp;Result=3","7191443")</f>
        <v>0</v>
      </c>
      <c r="B188" t="s">
        <v>97</v>
      </c>
      <c r="C188" t="s">
        <v>3698</v>
      </c>
      <c r="D188" t="s">
        <v>17154</v>
      </c>
      <c r="E188" t="s">
        <v>17433</v>
      </c>
      <c r="F188" t="s">
        <v>29372</v>
      </c>
      <c r="G188" t="s">
        <v>29379</v>
      </c>
      <c r="H188" t="s">
        <v>11048</v>
      </c>
      <c r="I188" t="s">
        <v>29403</v>
      </c>
      <c r="J188" t="s">
        <v>29689</v>
      </c>
      <c r="K188" t="s">
        <v>38490</v>
      </c>
      <c r="M188" t="s">
        <v>38851</v>
      </c>
      <c r="N188" t="s">
        <v>42669</v>
      </c>
      <c r="O188" t="s">
        <v>42670</v>
      </c>
      <c r="P188">
        <v>0</v>
      </c>
      <c r="Q188">
        <v>0</v>
      </c>
      <c r="R188" t="s">
        <v>42671</v>
      </c>
      <c r="S188" t="s">
        <v>42779</v>
      </c>
      <c r="T188" t="s">
        <v>44382</v>
      </c>
      <c r="U188" t="s">
        <v>45030</v>
      </c>
      <c r="V188" t="s">
        <v>56348</v>
      </c>
      <c r="W188" t="s">
        <v>38851</v>
      </c>
      <c r="X188" t="s">
        <v>42676</v>
      </c>
    </row>
    <row r="189" spans="1:24">
      <c r="A189">
        <f>HYPERLINK("https://www.philgeps.gov.ph/GEPSNONPILOT/Tender/SplashBidNoticeAbstractUI.aspx?menuIndex=3&amp;refID=7191380&amp;Result=3","7191380")</f>
        <v>0</v>
      </c>
      <c r="B189" t="s">
        <v>109</v>
      </c>
      <c r="C189" t="s">
        <v>3699</v>
      </c>
      <c r="D189" t="s">
        <v>17162</v>
      </c>
      <c r="E189" t="s">
        <v>17434</v>
      </c>
      <c r="F189" t="s">
        <v>29372</v>
      </c>
      <c r="G189" t="s">
        <v>29380</v>
      </c>
      <c r="H189" t="s">
        <v>11048</v>
      </c>
      <c r="I189" t="s">
        <v>3670</v>
      </c>
      <c r="J189" t="s">
        <v>29690</v>
      </c>
      <c r="K189" t="s">
        <v>38485</v>
      </c>
      <c r="M189" t="s">
        <v>38864</v>
      </c>
      <c r="N189" t="s">
        <v>42669</v>
      </c>
      <c r="O189" t="s">
        <v>42670</v>
      </c>
      <c r="P189">
        <v>0</v>
      </c>
      <c r="Q189">
        <v>1</v>
      </c>
      <c r="R189" t="s">
        <v>42671</v>
      </c>
      <c r="S189" t="s">
        <v>42779</v>
      </c>
      <c r="T189" t="s">
        <v>44375</v>
      </c>
      <c r="U189" t="s">
        <v>45031</v>
      </c>
      <c r="W189" t="s">
        <v>38864</v>
      </c>
      <c r="X189" t="s">
        <v>42676</v>
      </c>
    </row>
    <row r="190" spans="1:24">
      <c r="A190">
        <f>HYPERLINK("https://www.philgeps.gov.ph/GEPSNONPILOT/Tender/SplashBidNoticeAbstractUI.aspx?menuIndex=3&amp;refID=7191646&amp;Result=3","7191646")</f>
        <v>0</v>
      </c>
      <c r="B190" t="s">
        <v>73</v>
      </c>
      <c r="C190" t="s">
        <v>3700</v>
      </c>
      <c r="D190" t="s">
        <v>17171</v>
      </c>
      <c r="E190" t="s">
        <v>17435</v>
      </c>
      <c r="F190" t="s">
        <v>29372</v>
      </c>
      <c r="G190" t="s">
        <v>29379</v>
      </c>
      <c r="H190" t="s">
        <v>11048</v>
      </c>
      <c r="I190" t="s">
        <v>29410</v>
      </c>
      <c r="J190" t="s">
        <v>29691</v>
      </c>
      <c r="K190" t="s">
        <v>38490</v>
      </c>
      <c r="M190" t="s">
        <v>38827</v>
      </c>
      <c r="N190" t="s">
        <v>42669</v>
      </c>
      <c r="O190" t="s">
        <v>42670</v>
      </c>
      <c r="P190">
        <v>0</v>
      </c>
      <c r="Q190">
        <v>0</v>
      </c>
      <c r="R190" t="s">
        <v>42671</v>
      </c>
      <c r="S190" t="s">
        <v>42779</v>
      </c>
      <c r="T190" t="s">
        <v>44382</v>
      </c>
      <c r="U190" t="s">
        <v>45032</v>
      </c>
      <c r="W190" t="s">
        <v>38827</v>
      </c>
      <c r="X190" t="s">
        <v>42676</v>
      </c>
    </row>
    <row r="191" spans="1:24">
      <c r="A191">
        <f>HYPERLINK("https://www.philgeps.gov.ph/GEPSNONPILOT/Tender/SplashBidNoticeAbstractUI.aspx?menuIndex=3&amp;refID=7191365&amp;Result=3","7191365")</f>
        <v>0</v>
      </c>
      <c r="B191" t="s">
        <v>103</v>
      </c>
      <c r="C191" t="s">
        <v>3701</v>
      </c>
      <c r="D191" t="s">
        <v>17179</v>
      </c>
      <c r="E191" t="s">
        <v>17436</v>
      </c>
      <c r="F191" t="s">
        <v>29372</v>
      </c>
      <c r="G191" t="s">
        <v>29379</v>
      </c>
      <c r="H191" t="s">
        <v>11048</v>
      </c>
      <c r="I191" t="s">
        <v>3952</v>
      </c>
      <c r="J191" t="s">
        <v>29692</v>
      </c>
      <c r="K191" t="s">
        <v>38528</v>
      </c>
      <c r="M191" t="s">
        <v>38857</v>
      </c>
      <c r="N191" t="s">
        <v>42669</v>
      </c>
      <c r="O191" t="s">
        <v>42670</v>
      </c>
      <c r="P191">
        <v>0</v>
      </c>
      <c r="Q191">
        <v>0</v>
      </c>
      <c r="R191" t="s">
        <v>42671</v>
      </c>
      <c r="S191" t="s">
        <v>42779</v>
      </c>
      <c r="T191" t="s">
        <v>44371</v>
      </c>
      <c r="U191" t="s">
        <v>45033</v>
      </c>
      <c r="W191" t="s">
        <v>38857</v>
      </c>
      <c r="X191" t="s">
        <v>42676</v>
      </c>
    </row>
    <row r="192" spans="1:24">
      <c r="A192">
        <f>HYPERLINK("https://www.philgeps.gov.ph/GEPSNONPILOT/Tender/SplashBidNoticeAbstractUI.aspx?menuIndex=3&amp;refID=7191639&amp;Result=3","7191639")</f>
        <v>0</v>
      </c>
      <c r="B192" t="s">
        <v>100</v>
      </c>
      <c r="C192" t="s">
        <v>3702</v>
      </c>
      <c r="D192" t="s">
        <v>17178</v>
      </c>
      <c r="E192" t="s">
        <v>17437</v>
      </c>
      <c r="F192" t="s">
        <v>29372</v>
      </c>
      <c r="G192" t="s">
        <v>29380</v>
      </c>
      <c r="H192" t="s">
        <v>11048</v>
      </c>
      <c r="I192" t="s">
        <v>3839</v>
      </c>
      <c r="J192" t="s">
        <v>29580</v>
      </c>
      <c r="K192" t="s">
        <v>38488</v>
      </c>
      <c r="M192" t="s">
        <v>38854</v>
      </c>
      <c r="N192" t="s">
        <v>42669</v>
      </c>
      <c r="O192" t="s">
        <v>42670</v>
      </c>
      <c r="P192">
        <v>0</v>
      </c>
      <c r="Q192">
        <v>1</v>
      </c>
      <c r="R192" t="s">
        <v>42671</v>
      </c>
      <c r="S192" t="s">
        <v>42779</v>
      </c>
      <c r="T192" t="s">
        <v>44391</v>
      </c>
      <c r="U192" t="s">
        <v>45034</v>
      </c>
      <c r="W192" t="s">
        <v>38854</v>
      </c>
      <c r="X192" t="s">
        <v>42676</v>
      </c>
    </row>
    <row r="193" spans="1:24">
      <c r="A193">
        <f>HYPERLINK("https://www.philgeps.gov.ph/GEPSNONPILOT/Tender/SplashBidNoticeAbstractUI.aspx?menuIndex=3&amp;refID=7191610&amp;Result=3","7191610")</f>
        <v>0</v>
      </c>
      <c r="B193" t="s">
        <v>73</v>
      </c>
      <c r="C193" t="s">
        <v>3703</v>
      </c>
      <c r="D193" t="s">
        <v>17171</v>
      </c>
      <c r="E193" t="s">
        <v>17438</v>
      </c>
      <c r="F193" t="s">
        <v>29372</v>
      </c>
      <c r="G193" t="s">
        <v>29379</v>
      </c>
      <c r="H193" t="s">
        <v>11048</v>
      </c>
      <c r="I193" t="s">
        <v>10408</v>
      </c>
      <c r="J193" t="s">
        <v>29693</v>
      </c>
      <c r="K193" t="s">
        <v>38490</v>
      </c>
      <c r="M193" t="s">
        <v>38827</v>
      </c>
      <c r="N193" t="s">
        <v>42669</v>
      </c>
      <c r="O193" t="s">
        <v>42670</v>
      </c>
      <c r="P193">
        <v>0</v>
      </c>
      <c r="Q193">
        <v>0</v>
      </c>
      <c r="R193" t="s">
        <v>42671</v>
      </c>
      <c r="S193" t="s">
        <v>42779</v>
      </c>
      <c r="T193" t="s">
        <v>44382</v>
      </c>
      <c r="U193" t="s">
        <v>44978</v>
      </c>
      <c r="W193" t="s">
        <v>38827</v>
      </c>
      <c r="X193" t="s">
        <v>42676</v>
      </c>
    </row>
    <row r="194" spans="1:24">
      <c r="A194">
        <f>HYPERLINK("https://www.philgeps.gov.ph/GEPSNONPILOT/Tender/SplashBidNoticeAbstractUI.aspx?menuIndex=3&amp;refID=7191674&amp;Result=3","7191674")</f>
        <v>0</v>
      </c>
      <c r="B194" t="s">
        <v>106</v>
      </c>
      <c r="C194" t="s">
        <v>3692</v>
      </c>
      <c r="D194" t="s">
        <v>17172</v>
      </c>
      <c r="E194" t="s">
        <v>17439</v>
      </c>
      <c r="F194" t="s">
        <v>29372</v>
      </c>
      <c r="G194" t="s">
        <v>29379</v>
      </c>
      <c r="H194" t="s">
        <v>11048</v>
      </c>
      <c r="I194" t="s">
        <v>3670</v>
      </c>
      <c r="J194" t="s">
        <v>29555</v>
      </c>
      <c r="K194" t="s">
        <v>38488</v>
      </c>
      <c r="M194" t="s">
        <v>38861</v>
      </c>
      <c r="N194" t="s">
        <v>42669</v>
      </c>
      <c r="O194" t="s">
        <v>42670</v>
      </c>
      <c r="P194">
        <v>0</v>
      </c>
      <c r="Q194">
        <v>1</v>
      </c>
      <c r="R194" t="s">
        <v>42671</v>
      </c>
      <c r="S194" t="s">
        <v>42779</v>
      </c>
      <c r="T194" t="s">
        <v>44371</v>
      </c>
      <c r="U194" t="s">
        <v>45035</v>
      </c>
      <c r="V194" t="s">
        <v>56353</v>
      </c>
      <c r="W194" t="s">
        <v>38861</v>
      </c>
      <c r="X194" t="s">
        <v>42676</v>
      </c>
    </row>
    <row r="195" spans="1:24">
      <c r="A195">
        <f>HYPERLINK("https://www.philgeps.gov.ph/GEPSNONPILOT/Tender/SplashBidNoticeAbstractUI.aspx?menuIndex=3&amp;refID=7191604&amp;Result=3","7191604")</f>
        <v>0</v>
      </c>
      <c r="B195" t="s">
        <v>110</v>
      </c>
      <c r="C195" t="s">
        <v>3704</v>
      </c>
      <c r="D195" t="s">
        <v>17165</v>
      </c>
      <c r="E195" t="s">
        <v>17440</v>
      </c>
      <c r="F195" t="s">
        <v>29372</v>
      </c>
      <c r="G195" t="s">
        <v>29380</v>
      </c>
      <c r="H195" t="s">
        <v>11048</v>
      </c>
      <c r="I195" t="s">
        <v>4486</v>
      </c>
      <c r="J195" t="s">
        <v>29694</v>
      </c>
      <c r="K195" t="s">
        <v>38518</v>
      </c>
      <c r="L195" t="s">
        <v>110</v>
      </c>
      <c r="M195" t="s">
        <v>38865</v>
      </c>
      <c r="N195" t="s">
        <v>42669</v>
      </c>
      <c r="O195" t="s">
        <v>42670</v>
      </c>
      <c r="P195">
        <v>0</v>
      </c>
      <c r="Q195">
        <v>2</v>
      </c>
      <c r="R195" t="s">
        <v>42671</v>
      </c>
      <c r="S195" t="s">
        <v>42779</v>
      </c>
      <c r="T195" t="s">
        <v>44375</v>
      </c>
      <c r="U195" t="s">
        <v>45036</v>
      </c>
      <c r="V195" t="s">
        <v>56354</v>
      </c>
      <c r="W195" t="s">
        <v>38865</v>
      </c>
      <c r="X195" t="s">
        <v>42676</v>
      </c>
    </row>
    <row r="196" spans="1:24">
      <c r="A196">
        <f>HYPERLINK("https://www.philgeps.gov.ph/GEPSNONPILOT/Tender/SplashBidNoticeAbstractUI.aspx?menuIndex=3&amp;refID=7191641&amp;Result=3","7191641")</f>
        <v>0</v>
      </c>
      <c r="B196" t="s">
        <v>110</v>
      </c>
      <c r="C196" t="s">
        <v>3705</v>
      </c>
      <c r="D196" t="s">
        <v>17165</v>
      </c>
      <c r="E196" t="s">
        <v>17441</v>
      </c>
      <c r="F196" t="s">
        <v>29372</v>
      </c>
      <c r="G196" t="s">
        <v>29380</v>
      </c>
      <c r="H196" t="s">
        <v>11048</v>
      </c>
      <c r="I196" t="s">
        <v>29398</v>
      </c>
      <c r="J196" t="s">
        <v>29695</v>
      </c>
      <c r="K196" t="s">
        <v>38510</v>
      </c>
      <c r="L196" t="s">
        <v>110</v>
      </c>
      <c r="M196" t="s">
        <v>38865</v>
      </c>
      <c r="N196" t="s">
        <v>42669</v>
      </c>
      <c r="O196" t="s">
        <v>42670</v>
      </c>
      <c r="P196">
        <v>0</v>
      </c>
      <c r="Q196">
        <v>1</v>
      </c>
      <c r="R196" t="s">
        <v>42671</v>
      </c>
      <c r="S196" t="s">
        <v>42779</v>
      </c>
      <c r="T196" t="s">
        <v>44375</v>
      </c>
      <c r="U196" t="s">
        <v>45037</v>
      </c>
      <c r="V196" t="s">
        <v>56354</v>
      </c>
      <c r="W196" t="s">
        <v>38865</v>
      </c>
      <c r="X196" t="s">
        <v>42676</v>
      </c>
    </row>
    <row r="197" spans="1:24">
      <c r="A197">
        <f>HYPERLINK("https://www.philgeps.gov.ph/GEPSNONPILOT/Tender/SplashBidNoticeAbstractUI.aspx?menuIndex=3&amp;refID=7191577&amp;Result=3","7191577")</f>
        <v>0</v>
      </c>
      <c r="B197" t="s">
        <v>73</v>
      </c>
      <c r="C197" t="s">
        <v>3706</v>
      </c>
      <c r="D197" t="s">
        <v>17171</v>
      </c>
      <c r="E197" t="s">
        <v>17442</v>
      </c>
      <c r="F197" t="s">
        <v>29372</v>
      </c>
      <c r="G197" t="s">
        <v>29379</v>
      </c>
      <c r="H197" t="s">
        <v>11048</v>
      </c>
      <c r="I197" t="s">
        <v>14920</v>
      </c>
      <c r="J197" t="s">
        <v>29696</v>
      </c>
      <c r="K197" t="s">
        <v>38490</v>
      </c>
      <c r="M197" t="s">
        <v>38827</v>
      </c>
      <c r="N197" t="s">
        <v>42669</v>
      </c>
      <c r="O197" t="s">
        <v>42670</v>
      </c>
      <c r="P197">
        <v>0</v>
      </c>
      <c r="Q197">
        <v>2</v>
      </c>
      <c r="R197" t="s">
        <v>42671</v>
      </c>
      <c r="S197" t="s">
        <v>42779</v>
      </c>
      <c r="T197" t="s">
        <v>44382</v>
      </c>
      <c r="U197" t="s">
        <v>44978</v>
      </c>
      <c r="W197" t="s">
        <v>38827</v>
      </c>
      <c r="X197" t="s">
        <v>42676</v>
      </c>
    </row>
    <row r="198" spans="1:24">
      <c r="A198">
        <f>HYPERLINK("https://www.philgeps.gov.ph/GEPSNONPILOT/Tender/SplashBidNoticeAbstractUI.aspx?menuIndex=3&amp;refID=7191620&amp;Result=3","7191620")</f>
        <v>0</v>
      </c>
      <c r="B198" t="s">
        <v>103</v>
      </c>
      <c r="C198" t="s">
        <v>3707</v>
      </c>
      <c r="D198" t="s">
        <v>17179</v>
      </c>
      <c r="E198" t="s">
        <v>17443</v>
      </c>
      <c r="F198" t="s">
        <v>29372</v>
      </c>
      <c r="G198" t="s">
        <v>29380</v>
      </c>
      <c r="H198" t="s">
        <v>11048</v>
      </c>
      <c r="I198" t="s">
        <v>4709</v>
      </c>
      <c r="J198" t="s">
        <v>29697</v>
      </c>
      <c r="K198" t="s">
        <v>38528</v>
      </c>
      <c r="M198" t="s">
        <v>38857</v>
      </c>
      <c r="N198" t="s">
        <v>42669</v>
      </c>
      <c r="O198" t="s">
        <v>42670</v>
      </c>
      <c r="P198">
        <v>0</v>
      </c>
      <c r="Q198">
        <v>0</v>
      </c>
      <c r="R198" t="s">
        <v>42671</v>
      </c>
      <c r="S198" t="s">
        <v>42779</v>
      </c>
      <c r="T198" t="s">
        <v>44409</v>
      </c>
      <c r="U198" t="s">
        <v>45038</v>
      </c>
      <c r="W198" t="s">
        <v>38857</v>
      </c>
      <c r="X198" t="s">
        <v>42676</v>
      </c>
    </row>
    <row r="199" spans="1:24">
      <c r="A199">
        <f>HYPERLINK("https://www.philgeps.gov.ph/GEPSNONPILOT/Tender/SplashBidNoticeAbstractUI.aspx?menuIndex=3&amp;refID=7191564&amp;Result=3","7191564")</f>
        <v>0</v>
      </c>
      <c r="B199" t="s">
        <v>111</v>
      </c>
      <c r="C199" t="s">
        <v>3708</v>
      </c>
      <c r="D199" t="s">
        <v>17182</v>
      </c>
      <c r="E199" t="s">
        <v>17444</v>
      </c>
      <c r="F199" t="s">
        <v>29372</v>
      </c>
      <c r="G199" t="s">
        <v>29379</v>
      </c>
      <c r="H199" t="s">
        <v>11048</v>
      </c>
      <c r="I199" t="s">
        <v>3670</v>
      </c>
      <c r="J199" t="s">
        <v>29698</v>
      </c>
      <c r="K199" t="s">
        <v>38510</v>
      </c>
      <c r="M199" t="s">
        <v>38866</v>
      </c>
      <c r="N199" t="s">
        <v>42669</v>
      </c>
      <c r="O199" t="s">
        <v>42670</v>
      </c>
      <c r="P199">
        <v>0</v>
      </c>
      <c r="Q199">
        <v>0</v>
      </c>
      <c r="R199" t="s">
        <v>42671</v>
      </c>
      <c r="S199" t="s">
        <v>42779</v>
      </c>
      <c r="T199" t="s">
        <v>44394</v>
      </c>
      <c r="U199" t="s">
        <v>45039</v>
      </c>
      <c r="W199" t="s">
        <v>38866</v>
      </c>
      <c r="X199" t="s">
        <v>42676</v>
      </c>
    </row>
    <row r="200" spans="1:24">
      <c r="A200">
        <f>HYPERLINK("https://www.philgeps.gov.ph/GEPSNONPILOT/Tender/SplashBidNoticeAbstractUI.aspx?menuIndex=3&amp;refID=7191274&amp;Result=3","7191274")</f>
        <v>0</v>
      </c>
      <c r="B200" t="s">
        <v>79</v>
      </c>
      <c r="C200" t="s">
        <v>3709</v>
      </c>
      <c r="D200" t="s">
        <v>17172</v>
      </c>
      <c r="E200" t="s">
        <v>17445</v>
      </c>
      <c r="F200" t="s">
        <v>29372</v>
      </c>
      <c r="G200" t="s">
        <v>29380</v>
      </c>
      <c r="H200" t="s">
        <v>29389</v>
      </c>
      <c r="I200" t="s">
        <v>10408</v>
      </c>
      <c r="J200" t="s">
        <v>29699</v>
      </c>
      <c r="K200" t="s">
        <v>38496</v>
      </c>
      <c r="M200" t="s">
        <v>38833</v>
      </c>
      <c r="N200" t="s">
        <v>42669</v>
      </c>
      <c r="O200" t="s">
        <v>42670</v>
      </c>
      <c r="P200">
        <v>0</v>
      </c>
      <c r="Q200">
        <v>0</v>
      </c>
      <c r="R200" t="s">
        <v>42671</v>
      </c>
      <c r="S200" t="s">
        <v>42779</v>
      </c>
      <c r="T200" t="s">
        <v>44357</v>
      </c>
      <c r="U200" t="s">
        <v>45040</v>
      </c>
      <c r="V200" t="s">
        <v>56344</v>
      </c>
      <c r="W200" t="s">
        <v>38833</v>
      </c>
      <c r="X200" t="s">
        <v>42676</v>
      </c>
    </row>
    <row r="201" spans="1:24">
      <c r="A201">
        <f>HYPERLINK("https://www.philgeps.gov.ph/GEPSNONPILOT/Tender/SplashBidNoticeAbstractUI.aspx?menuIndex=3&amp;refID=7191555&amp;Result=3","7191555")</f>
        <v>0</v>
      </c>
      <c r="B201" t="s">
        <v>97</v>
      </c>
      <c r="C201" t="s">
        <v>3710</v>
      </c>
      <c r="D201" t="s">
        <v>17154</v>
      </c>
      <c r="E201" t="s">
        <v>17446</v>
      </c>
      <c r="F201" t="s">
        <v>29372</v>
      </c>
      <c r="G201" t="s">
        <v>29383</v>
      </c>
      <c r="H201" t="s">
        <v>11048</v>
      </c>
      <c r="I201" t="s">
        <v>29414</v>
      </c>
      <c r="J201" t="s">
        <v>29700</v>
      </c>
      <c r="K201" t="s">
        <v>38490</v>
      </c>
      <c r="M201" t="s">
        <v>38851</v>
      </c>
      <c r="N201" t="s">
        <v>42669</v>
      </c>
      <c r="O201" t="s">
        <v>42670</v>
      </c>
      <c r="P201">
        <v>0</v>
      </c>
      <c r="Q201">
        <v>2</v>
      </c>
      <c r="R201" t="s">
        <v>42671</v>
      </c>
      <c r="S201" t="s">
        <v>42779</v>
      </c>
      <c r="T201" t="s">
        <v>44382</v>
      </c>
      <c r="U201" t="s">
        <v>45041</v>
      </c>
      <c r="V201" t="s">
        <v>56348</v>
      </c>
      <c r="W201" t="s">
        <v>38851</v>
      </c>
      <c r="X201" t="s">
        <v>42676</v>
      </c>
    </row>
    <row r="202" spans="1:24">
      <c r="A202">
        <f>HYPERLINK("https://www.philgeps.gov.ph/GEPSNONPILOT/Tender/SplashBidNoticeAbstractUI.aspx?menuIndex=3&amp;refID=7191829&amp;Result=3","7191829")</f>
        <v>0</v>
      </c>
      <c r="B202" t="s">
        <v>112</v>
      </c>
      <c r="C202" t="s">
        <v>3711</v>
      </c>
      <c r="D202" t="s">
        <v>17179</v>
      </c>
      <c r="E202" t="s">
        <v>17447</v>
      </c>
      <c r="F202" t="s">
        <v>29372</v>
      </c>
      <c r="G202" t="s">
        <v>29379</v>
      </c>
      <c r="H202" t="s">
        <v>11048</v>
      </c>
      <c r="I202" t="s">
        <v>29412</v>
      </c>
      <c r="J202" t="s">
        <v>29701</v>
      </c>
      <c r="K202" t="s">
        <v>38528</v>
      </c>
      <c r="M202" t="s">
        <v>38867</v>
      </c>
      <c r="N202" t="s">
        <v>42669</v>
      </c>
      <c r="O202" t="s">
        <v>42670</v>
      </c>
      <c r="P202">
        <v>0</v>
      </c>
      <c r="Q202">
        <v>0</v>
      </c>
      <c r="R202" t="s">
        <v>42671</v>
      </c>
      <c r="S202" t="s">
        <v>42779</v>
      </c>
      <c r="T202" t="s">
        <v>44371</v>
      </c>
      <c r="U202" t="s">
        <v>45042</v>
      </c>
      <c r="W202" t="s">
        <v>38867</v>
      </c>
      <c r="X202" t="s">
        <v>42676</v>
      </c>
    </row>
    <row r="203" spans="1:24">
      <c r="A203">
        <f>HYPERLINK("https://www.philgeps.gov.ph/GEPSNONPILOT/Tender/SplashBidNoticeAbstractUI.aspx?menuIndex=3&amp;refID=7191578&amp;Result=3","7191578")</f>
        <v>0</v>
      </c>
      <c r="B203" t="s">
        <v>113</v>
      </c>
      <c r="C203" t="s">
        <v>3712</v>
      </c>
      <c r="D203" t="s">
        <v>17174</v>
      </c>
      <c r="E203" t="s">
        <v>17448</v>
      </c>
      <c r="F203" t="s">
        <v>29372</v>
      </c>
      <c r="G203" t="s">
        <v>29380</v>
      </c>
      <c r="H203" t="s">
        <v>11048</v>
      </c>
      <c r="I203" t="s">
        <v>29405</v>
      </c>
      <c r="J203" t="s">
        <v>29702</v>
      </c>
      <c r="K203" t="s">
        <v>38485</v>
      </c>
      <c r="M203" t="s">
        <v>38868</v>
      </c>
      <c r="N203" t="s">
        <v>42669</v>
      </c>
      <c r="O203" t="s">
        <v>42670</v>
      </c>
      <c r="P203">
        <v>0</v>
      </c>
      <c r="Q203">
        <v>3</v>
      </c>
      <c r="R203" t="s">
        <v>42671</v>
      </c>
      <c r="S203" t="s">
        <v>42779</v>
      </c>
      <c r="T203" t="s">
        <v>44410</v>
      </c>
      <c r="U203" t="s">
        <v>45043</v>
      </c>
      <c r="W203" t="s">
        <v>38868</v>
      </c>
      <c r="X203" t="s">
        <v>42676</v>
      </c>
    </row>
    <row r="204" spans="1:24">
      <c r="A204">
        <f>HYPERLINK("https://www.philgeps.gov.ph/GEPSNONPILOT/Tender/SplashBidNoticeAbstractUI.aspx?menuIndex=3&amp;refID=7191820&amp;Result=3","7191820")</f>
        <v>0</v>
      </c>
      <c r="B204" t="s">
        <v>114</v>
      </c>
      <c r="C204" t="s">
        <v>3713</v>
      </c>
      <c r="D204" t="s">
        <v>17177</v>
      </c>
      <c r="E204" t="s">
        <v>17449</v>
      </c>
      <c r="F204" t="s">
        <v>29372</v>
      </c>
      <c r="G204" t="s">
        <v>29380</v>
      </c>
      <c r="H204" t="s">
        <v>29389</v>
      </c>
      <c r="I204" t="s">
        <v>10408</v>
      </c>
      <c r="J204" t="s">
        <v>29703</v>
      </c>
      <c r="K204" t="s">
        <v>38530</v>
      </c>
      <c r="M204" t="s">
        <v>38869</v>
      </c>
      <c r="N204" t="s">
        <v>42669</v>
      </c>
      <c r="O204" t="s">
        <v>42670</v>
      </c>
      <c r="P204">
        <v>0</v>
      </c>
      <c r="Q204">
        <v>0</v>
      </c>
      <c r="R204" t="s">
        <v>42671</v>
      </c>
      <c r="S204" t="s">
        <v>42779</v>
      </c>
      <c r="T204" t="s">
        <v>44411</v>
      </c>
      <c r="U204" t="s">
        <v>45044</v>
      </c>
      <c r="W204" t="s">
        <v>38869</v>
      </c>
      <c r="X204" t="s">
        <v>42676</v>
      </c>
    </row>
    <row r="205" spans="1:24">
      <c r="A205">
        <f>HYPERLINK("https://www.philgeps.gov.ph/GEPSNONPILOT/Tender/SplashBidNoticeAbstractUI.aspx?menuIndex=3&amp;refID=7191625&amp;Result=3","7191625")</f>
        <v>0</v>
      </c>
      <c r="B205" t="s">
        <v>115</v>
      </c>
      <c r="C205" t="s">
        <v>3714</v>
      </c>
      <c r="D205" t="s">
        <v>17177</v>
      </c>
      <c r="E205" t="s">
        <v>17450</v>
      </c>
      <c r="F205" t="s">
        <v>29372</v>
      </c>
      <c r="G205" t="s">
        <v>29379</v>
      </c>
      <c r="H205" t="s">
        <v>11048</v>
      </c>
      <c r="I205" t="s">
        <v>29415</v>
      </c>
      <c r="J205" t="s">
        <v>29704</v>
      </c>
      <c r="K205" t="s">
        <v>38488</v>
      </c>
      <c r="M205" t="s">
        <v>38870</v>
      </c>
      <c r="N205" t="s">
        <v>42669</v>
      </c>
      <c r="O205" t="s">
        <v>42670</v>
      </c>
      <c r="P205">
        <v>0</v>
      </c>
      <c r="Q205">
        <v>0</v>
      </c>
      <c r="R205" t="s">
        <v>42671</v>
      </c>
      <c r="S205" t="s">
        <v>42779</v>
      </c>
      <c r="T205" t="s">
        <v>44371</v>
      </c>
      <c r="U205" t="s">
        <v>45045</v>
      </c>
      <c r="W205" t="s">
        <v>38870</v>
      </c>
      <c r="X205" t="s">
        <v>42676</v>
      </c>
    </row>
    <row r="206" spans="1:24">
      <c r="A206">
        <f>HYPERLINK("https://www.philgeps.gov.ph/GEPSNONPILOT/Tender/SplashBidNoticeAbstractUI.aspx?menuIndex=3&amp;refID=7191562&amp;Result=3","7191562")</f>
        <v>0</v>
      </c>
      <c r="B206" t="s">
        <v>110</v>
      </c>
      <c r="C206" t="s">
        <v>3715</v>
      </c>
      <c r="D206" t="s">
        <v>17165</v>
      </c>
      <c r="E206" t="s">
        <v>17451</v>
      </c>
      <c r="F206" t="s">
        <v>29372</v>
      </c>
      <c r="G206" t="s">
        <v>29380</v>
      </c>
      <c r="H206" t="s">
        <v>11048</v>
      </c>
      <c r="I206" t="s">
        <v>3695</v>
      </c>
      <c r="J206" t="s">
        <v>29705</v>
      </c>
      <c r="K206" t="s">
        <v>38510</v>
      </c>
      <c r="L206" t="s">
        <v>110</v>
      </c>
      <c r="M206" t="s">
        <v>38865</v>
      </c>
      <c r="N206" t="s">
        <v>42669</v>
      </c>
      <c r="O206" t="s">
        <v>42670</v>
      </c>
      <c r="P206">
        <v>0</v>
      </c>
      <c r="Q206">
        <v>1</v>
      </c>
      <c r="R206" t="s">
        <v>42671</v>
      </c>
      <c r="S206" t="s">
        <v>42779</v>
      </c>
      <c r="T206" t="s">
        <v>44375</v>
      </c>
      <c r="U206" t="s">
        <v>45046</v>
      </c>
      <c r="V206" t="s">
        <v>56354</v>
      </c>
      <c r="W206" t="s">
        <v>38865</v>
      </c>
      <c r="X206" t="s">
        <v>42676</v>
      </c>
    </row>
    <row r="207" spans="1:24">
      <c r="A207">
        <f>HYPERLINK("https://www.philgeps.gov.ph/GEPSNONPILOT/Tender/SplashBidNoticeAbstractUI.aspx?menuIndex=3&amp;refID=7191811&amp;Result=3","7191811")</f>
        <v>0</v>
      </c>
      <c r="B207" t="s">
        <v>113</v>
      </c>
      <c r="C207" t="s">
        <v>3716</v>
      </c>
      <c r="D207" t="s">
        <v>17174</v>
      </c>
      <c r="E207" t="s">
        <v>17448</v>
      </c>
      <c r="F207" t="s">
        <v>29372</v>
      </c>
      <c r="G207" t="s">
        <v>29380</v>
      </c>
      <c r="H207" t="s">
        <v>29389</v>
      </c>
      <c r="I207" t="s">
        <v>10408</v>
      </c>
      <c r="J207" t="s">
        <v>29706</v>
      </c>
      <c r="K207" t="s">
        <v>38485</v>
      </c>
      <c r="M207" t="s">
        <v>38868</v>
      </c>
      <c r="N207" t="s">
        <v>42669</v>
      </c>
      <c r="O207" t="s">
        <v>42670</v>
      </c>
      <c r="P207">
        <v>0</v>
      </c>
      <c r="Q207">
        <v>0</v>
      </c>
      <c r="R207" t="s">
        <v>42671</v>
      </c>
      <c r="S207" t="s">
        <v>42779</v>
      </c>
      <c r="T207" t="s">
        <v>44410</v>
      </c>
      <c r="U207" t="s">
        <v>45047</v>
      </c>
      <c r="W207" t="s">
        <v>38868</v>
      </c>
      <c r="X207" t="s">
        <v>42676</v>
      </c>
    </row>
    <row r="208" spans="1:24">
      <c r="A208">
        <f>HYPERLINK("https://www.philgeps.gov.ph/GEPSNONPILOT/Tender/SplashBidNoticeAbstractUI.aspx?menuIndex=3&amp;refID=7191807&amp;Result=3","7191807")</f>
        <v>0</v>
      </c>
      <c r="B208" t="s">
        <v>78</v>
      </c>
      <c r="C208" t="s">
        <v>3717</v>
      </c>
      <c r="D208" t="s">
        <v>17141</v>
      </c>
      <c r="E208" t="s">
        <v>17452</v>
      </c>
      <c r="F208" t="s">
        <v>29372</v>
      </c>
      <c r="G208" t="s">
        <v>29379</v>
      </c>
      <c r="H208" t="s">
        <v>11048</v>
      </c>
      <c r="I208" t="s">
        <v>29416</v>
      </c>
      <c r="J208" t="s">
        <v>29707</v>
      </c>
      <c r="K208" t="s">
        <v>38485</v>
      </c>
      <c r="M208" t="s">
        <v>38832</v>
      </c>
      <c r="N208" t="s">
        <v>42669</v>
      </c>
      <c r="O208" t="s">
        <v>42670</v>
      </c>
      <c r="P208">
        <v>0</v>
      </c>
      <c r="Q208">
        <v>2</v>
      </c>
      <c r="R208" t="s">
        <v>42671</v>
      </c>
      <c r="S208" t="s">
        <v>42779</v>
      </c>
      <c r="T208" t="s">
        <v>44378</v>
      </c>
      <c r="U208" t="s">
        <v>44984</v>
      </c>
      <c r="W208" t="s">
        <v>38832</v>
      </c>
      <c r="X208" t="s">
        <v>42676</v>
      </c>
    </row>
    <row r="209" spans="1:24">
      <c r="A209">
        <f>HYPERLINK("https://www.philgeps.gov.ph/GEPSNONPILOT/Tender/SplashBidNoticeAbstractUI.aspx?menuIndex=3&amp;refID=7191792&amp;Result=3","7191792")</f>
        <v>0</v>
      </c>
      <c r="B209" t="s">
        <v>116</v>
      </c>
      <c r="C209" t="s">
        <v>3718</v>
      </c>
      <c r="D209" t="s">
        <v>17170</v>
      </c>
      <c r="E209" t="s">
        <v>17453</v>
      </c>
      <c r="F209" t="s">
        <v>29372</v>
      </c>
      <c r="G209" t="s">
        <v>29380</v>
      </c>
      <c r="H209" t="s">
        <v>11048</v>
      </c>
      <c r="I209" t="s">
        <v>29417</v>
      </c>
      <c r="J209" t="s">
        <v>29708</v>
      </c>
      <c r="K209" t="s">
        <v>38485</v>
      </c>
      <c r="M209" t="s">
        <v>38871</v>
      </c>
      <c r="N209" t="s">
        <v>42669</v>
      </c>
      <c r="O209" t="s">
        <v>42670</v>
      </c>
      <c r="P209">
        <v>0</v>
      </c>
      <c r="Q209">
        <v>0</v>
      </c>
      <c r="R209" t="s">
        <v>42671</v>
      </c>
      <c r="S209" t="s">
        <v>42779</v>
      </c>
      <c r="T209" t="s">
        <v>44357</v>
      </c>
      <c r="U209" t="s">
        <v>45048</v>
      </c>
      <c r="W209" t="s">
        <v>38871</v>
      </c>
      <c r="X209" t="s">
        <v>42676</v>
      </c>
    </row>
    <row r="210" spans="1:24">
      <c r="A210">
        <f>HYPERLINK("https://www.philgeps.gov.ph/GEPSNONPILOT/Tender/SplashBidNoticeAbstractUI.aspx?menuIndex=3&amp;refID=7191815&amp;Result=3","7191815")</f>
        <v>0</v>
      </c>
      <c r="B210" t="s">
        <v>117</v>
      </c>
      <c r="C210" t="s">
        <v>3719</v>
      </c>
      <c r="D210" t="s">
        <v>17181</v>
      </c>
      <c r="E210" t="s">
        <v>17454</v>
      </c>
      <c r="F210" t="s">
        <v>29372</v>
      </c>
      <c r="G210" t="s">
        <v>29382</v>
      </c>
      <c r="H210" t="s">
        <v>11048</v>
      </c>
      <c r="I210" t="s">
        <v>5383</v>
      </c>
      <c r="J210" t="s">
        <v>29709</v>
      </c>
      <c r="K210" t="s">
        <v>38510</v>
      </c>
      <c r="M210" t="s">
        <v>38872</v>
      </c>
      <c r="N210" t="s">
        <v>42669</v>
      </c>
      <c r="O210" t="s">
        <v>42670</v>
      </c>
      <c r="P210">
        <v>0</v>
      </c>
      <c r="Q210">
        <v>2</v>
      </c>
      <c r="R210" t="s">
        <v>42671</v>
      </c>
      <c r="S210" t="s">
        <v>42779</v>
      </c>
      <c r="T210" t="s">
        <v>44412</v>
      </c>
      <c r="U210" t="s">
        <v>45049</v>
      </c>
      <c r="W210" t="s">
        <v>38872</v>
      </c>
      <c r="X210" t="s">
        <v>42676</v>
      </c>
    </row>
    <row r="211" spans="1:24">
      <c r="A211">
        <f>HYPERLINK("https://www.philgeps.gov.ph/GEPSNONPILOT/Tender/SplashBidNoticeAbstractUI.aspx?menuIndex=3&amp;refID=7191484&amp;Result=3","7191484")</f>
        <v>0</v>
      </c>
      <c r="B211" t="s">
        <v>110</v>
      </c>
      <c r="C211" t="s">
        <v>3720</v>
      </c>
      <c r="D211" t="s">
        <v>17165</v>
      </c>
      <c r="E211" t="s">
        <v>17455</v>
      </c>
      <c r="F211" t="s">
        <v>29372</v>
      </c>
      <c r="G211" t="s">
        <v>29380</v>
      </c>
      <c r="H211" t="s">
        <v>11048</v>
      </c>
      <c r="I211" t="s">
        <v>29394</v>
      </c>
      <c r="J211" t="s">
        <v>29710</v>
      </c>
      <c r="K211" t="s">
        <v>38510</v>
      </c>
      <c r="L211" t="s">
        <v>110</v>
      </c>
      <c r="M211" t="s">
        <v>38865</v>
      </c>
      <c r="N211" t="s">
        <v>42669</v>
      </c>
      <c r="O211" t="s">
        <v>42670</v>
      </c>
      <c r="P211">
        <v>0</v>
      </c>
      <c r="Q211">
        <v>2</v>
      </c>
      <c r="R211" t="s">
        <v>42671</v>
      </c>
      <c r="S211" t="s">
        <v>42779</v>
      </c>
      <c r="T211" t="s">
        <v>44375</v>
      </c>
      <c r="U211" t="s">
        <v>45050</v>
      </c>
      <c r="V211" t="s">
        <v>56354</v>
      </c>
      <c r="W211" t="s">
        <v>38865</v>
      </c>
      <c r="X211" t="s">
        <v>42676</v>
      </c>
    </row>
    <row r="212" spans="1:24">
      <c r="A212">
        <f>HYPERLINK("https://www.philgeps.gov.ph/GEPSNONPILOT/Tender/SplashBidNoticeAbstractUI.aspx?menuIndex=3&amp;refID=7191768&amp;Result=3","7191768")</f>
        <v>0</v>
      </c>
      <c r="B212" t="s">
        <v>114</v>
      </c>
      <c r="C212" t="s">
        <v>3721</v>
      </c>
      <c r="D212" t="s">
        <v>17177</v>
      </c>
      <c r="E212" t="s">
        <v>17456</v>
      </c>
      <c r="F212" t="s">
        <v>29372</v>
      </c>
      <c r="G212" t="s">
        <v>29380</v>
      </c>
      <c r="H212" t="s">
        <v>29389</v>
      </c>
      <c r="I212" t="s">
        <v>10408</v>
      </c>
      <c r="J212" t="s">
        <v>29711</v>
      </c>
      <c r="K212" t="s">
        <v>38510</v>
      </c>
      <c r="M212" t="s">
        <v>38869</v>
      </c>
      <c r="N212" t="s">
        <v>42669</v>
      </c>
      <c r="O212" t="s">
        <v>42670</v>
      </c>
      <c r="P212">
        <v>0</v>
      </c>
      <c r="Q212">
        <v>0</v>
      </c>
      <c r="R212" t="s">
        <v>42671</v>
      </c>
      <c r="S212" t="s">
        <v>42779</v>
      </c>
      <c r="T212" t="s">
        <v>44411</v>
      </c>
      <c r="U212" t="s">
        <v>45051</v>
      </c>
      <c r="W212" t="s">
        <v>38869</v>
      </c>
      <c r="X212" t="s">
        <v>42676</v>
      </c>
    </row>
    <row r="213" spans="1:24">
      <c r="A213">
        <f>HYPERLINK("https://www.philgeps.gov.ph/GEPSNONPILOT/Tender/SplashBidNoticeAbstractUI.aspx?menuIndex=3&amp;refID=7191765&amp;Result=3","7191765")</f>
        <v>0</v>
      </c>
      <c r="B213" t="s">
        <v>73</v>
      </c>
      <c r="C213" t="s">
        <v>3722</v>
      </c>
      <c r="D213" t="s">
        <v>17171</v>
      </c>
      <c r="E213" t="s">
        <v>17457</v>
      </c>
      <c r="F213" t="s">
        <v>29372</v>
      </c>
      <c r="G213" t="s">
        <v>29379</v>
      </c>
      <c r="H213" t="s">
        <v>11048</v>
      </c>
      <c r="I213" t="s">
        <v>29407</v>
      </c>
      <c r="J213" t="s">
        <v>29712</v>
      </c>
      <c r="K213" t="s">
        <v>38490</v>
      </c>
      <c r="M213" t="s">
        <v>38827</v>
      </c>
      <c r="N213" t="s">
        <v>42669</v>
      </c>
      <c r="O213" t="s">
        <v>42670</v>
      </c>
      <c r="P213">
        <v>0</v>
      </c>
      <c r="Q213">
        <v>9</v>
      </c>
      <c r="R213" t="s">
        <v>42671</v>
      </c>
      <c r="S213" t="s">
        <v>42779</v>
      </c>
      <c r="T213" t="s">
        <v>44382</v>
      </c>
      <c r="U213" t="s">
        <v>44978</v>
      </c>
      <c r="W213" t="s">
        <v>38827</v>
      </c>
      <c r="X213" t="s">
        <v>42676</v>
      </c>
    </row>
    <row r="214" spans="1:24">
      <c r="A214">
        <f>HYPERLINK("https://www.philgeps.gov.ph/GEPSNONPILOT/Tender/SplashBidNoticeAbstractUI.aspx?menuIndex=3&amp;refID=7191720&amp;Result=3","7191720")</f>
        <v>0</v>
      </c>
      <c r="B214" t="s">
        <v>118</v>
      </c>
      <c r="C214" t="s">
        <v>3723</v>
      </c>
      <c r="D214" t="s">
        <v>17141</v>
      </c>
      <c r="E214" t="s">
        <v>17458</v>
      </c>
      <c r="F214" t="s">
        <v>29372</v>
      </c>
      <c r="G214" t="s">
        <v>29380</v>
      </c>
      <c r="H214" t="s">
        <v>11048</v>
      </c>
      <c r="I214" t="s">
        <v>3629</v>
      </c>
      <c r="J214" t="s">
        <v>29713</v>
      </c>
      <c r="K214" t="s">
        <v>38485</v>
      </c>
      <c r="M214" t="s">
        <v>38873</v>
      </c>
      <c r="N214" t="s">
        <v>42669</v>
      </c>
      <c r="O214" t="s">
        <v>42670</v>
      </c>
      <c r="P214">
        <v>0</v>
      </c>
      <c r="Q214">
        <v>2</v>
      </c>
      <c r="R214" t="s">
        <v>42671</v>
      </c>
      <c r="S214" t="s">
        <v>42779</v>
      </c>
      <c r="T214" t="s">
        <v>44413</v>
      </c>
      <c r="U214" t="s">
        <v>45052</v>
      </c>
      <c r="W214" t="s">
        <v>38873</v>
      </c>
      <c r="X214" t="s">
        <v>42676</v>
      </c>
    </row>
    <row r="215" spans="1:24">
      <c r="A215">
        <f>HYPERLINK("https://www.philgeps.gov.ph/GEPSNONPILOT/Tender/SplashBidNoticeAbstractUI.aspx?menuIndex=3&amp;refID=7191714&amp;Result=3","7191714")</f>
        <v>0</v>
      </c>
      <c r="B215" t="s">
        <v>51</v>
      </c>
      <c r="C215" t="s">
        <v>3724</v>
      </c>
      <c r="D215" t="s">
        <v>17151</v>
      </c>
      <c r="E215" t="s">
        <v>17459</v>
      </c>
      <c r="F215" t="s">
        <v>29372</v>
      </c>
      <c r="G215" t="s">
        <v>29380</v>
      </c>
      <c r="H215" t="s">
        <v>11048</v>
      </c>
      <c r="I215" t="s">
        <v>3670</v>
      </c>
      <c r="J215" t="s">
        <v>29714</v>
      </c>
      <c r="K215" t="s">
        <v>38496</v>
      </c>
      <c r="M215" t="s">
        <v>38804</v>
      </c>
      <c r="N215" t="s">
        <v>42669</v>
      </c>
      <c r="O215" t="s">
        <v>42670</v>
      </c>
      <c r="P215">
        <v>0</v>
      </c>
      <c r="Q215">
        <v>3</v>
      </c>
      <c r="R215" t="s">
        <v>42671</v>
      </c>
      <c r="S215" t="s">
        <v>42779</v>
      </c>
      <c r="T215" t="s">
        <v>44379</v>
      </c>
      <c r="U215" t="s">
        <v>45053</v>
      </c>
      <c r="W215" t="s">
        <v>38804</v>
      </c>
      <c r="X215" t="s">
        <v>42676</v>
      </c>
    </row>
    <row r="216" spans="1:24">
      <c r="A216">
        <f>HYPERLINK("https://www.philgeps.gov.ph/GEPSNONPILOT/Tender/SplashBidNoticeAbstractUI.aspx?menuIndex=3&amp;refID=7191803&amp;Result=3","7191803")</f>
        <v>0</v>
      </c>
      <c r="B216" t="s">
        <v>73</v>
      </c>
      <c r="C216" t="s">
        <v>3722</v>
      </c>
      <c r="D216" t="s">
        <v>17171</v>
      </c>
      <c r="E216" t="s">
        <v>17460</v>
      </c>
      <c r="F216" t="s">
        <v>29372</v>
      </c>
      <c r="G216" t="s">
        <v>29379</v>
      </c>
      <c r="H216" t="s">
        <v>11048</v>
      </c>
      <c r="I216" t="s">
        <v>29407</v>
      </c>
      <c r="J216" t="s">
        <v>29708</v>
      </c>
      <c r="K216" t="s">
        <v>38490</v>
      </c>
      <c r="M216" t="s">
        <v>38827</v>
      </c>
      <c r="N216" t="s">
        <v>42669</v>
      </c>
      <c r="O216" t="s">
        <v>42670</v>
      </c>
      <c r="P216">
        <v>0</v>
      </c>
      <c r="Q216">
        <v>8</v>
      </c>
      <c r="R216" t="s">
        <v>42671</v>
      </c>
      <c r="S216" t="s">
        <v>42779</v>
      </c>
      <c r="T216" t="s">
        <v>44382</v>
      </c>
      <c r="U216" t="s">
        <v>44978</v>
      </c>
      <c r="W216" t="s">
        <v>38827</v>
      </c>
      <c r="X216" t="s">
        <v>42676</v>
      </c>
    </row>
    <row r="217" spans="1:24">
      <c r="A217">
        <f>HYPERLINK("https://www.philgeps.gov.ph/GEPSNONPILOT/Tender/SplashBidNoticeAbstractUI.aspx?menuIndex=3&amp;refID=7191757&amp;Result=3","7191757")</f>
        <v>0</v>
      </c>
      <c r="B217" t="s">
        <v>119</v>
      </c>
      <c r="C217" t="s">
        <v>3725</v>
      </c>
      <c r="D217" t="s">
        <v>17141</v>
      </c>
      <c r="E217" t="s">
        <v>17461</v>
      </c>
      <c r="F217" t="s">
        <v>29372</v>
      </c>
      <c r="G217" t="s">
        <v>29379</v>
      </c>
      <c r="H217" t="s">
        <v>11048</v>
      </c>
      <c r="I217" t="s">
        <v>29403</v>
      </c>
      <c r="J217" t="s">
        <v>29715</v>
      </c>
      <c r="K217" t="s">
        <v>38531</v>
      </c>
      <c r="M217" t="s">
        <v>38874</v>
      </c>
      <c r="N217" t="s">
        <v>42669</v>
      </c>
      <c r="O217" t="s">
        <v>42670</v>
      </c>
      <c r="P217">
        <v>0</v>
      </c>
      <c r="Q217">
        <v>2</v>
      </c>
      <c r="R217" t="s">
        <v>42671</v>
      </c>
      <c r="S217" t="s">
        <v>42779</v>
      </c>
      <c r="T217" t="s">
        <v>44414</v>
      </c>
      <c r="U217" t="s">
        <v>45054</v>
      </c>
      <c r="V217" t="s">
        <v>56355</v>
      </c>
      <c r="W217" t="s">
        <v>38874</v>
      </c>
      <c r="X217" t="s">
        <v>42676</v>
      </c>
    </row>
    <row r="218" spans="1:24">
      <c r="A218">
        <f>HYPERLINK("https://www.philgeps.gov.ph/GEPSNONPILOT/Tender/SplashBidNoticeAbstractUI.aspx?menuIndex=3&amp;refID=7191823&amp;Result=3","7191823")</f>
        <v>0</v>
      </c>
      <c r="B218" t="s">
        <v>116</v>
      </c>
      <c r="C218" t="s">
        <v>3726</v>
      </c>
      <c r="D218" t="s">
        <v>17170</v>
      </c>
      <c r="E218" t="s">
        <v>17462</v>
      </c>
      <c r="F218" t="s">
        <v>29372</v>
      </c>
      <c r="G218" t="s">
        <v>29380</v>
      </c>
      <c r="H218" t="s">
        <v>11048</v>
      </c>
      <c r="I218" t="s">
        <v>29394</v>
      </c>
      <c r="J218" t="s">
        <v>29716</v>
      </c>
      <c r="K218" t="s">
        <v>38518</v>
      </c>
      <c r="M218" t="s">
        <v>38871</v>
      </c>
      <c r="N218" t="s">
        <v>42669</v>
      </c>
      <c r="O218" t="s">
        <v>42670</v>
      </c>
      <c r="P218">
        <v>0</v>
      </c>
      <c r="Q218">
        <v>1</v>
      </c>
      <c r="R218" t="s">
        <v>42671</v>
      </c>
      <c r="S218" t="s">
        <v>42779</v>
      </c>
      <c r="T218" t="s">
        <v>44363</v>
      </c>
      <c r="U218" t="s">
        <v>45055</v>
      </c>
      <c r="W218" t="s">
        <v>38871</v>
      </c>
      <c r="X218" t="s">
        <v>42676</v>
      </c>
    </row>
    <row r="219" spans="1:24">
      <c r="A219">
        <f>HYPERLINK("https://www.philgeps.gov.ph/GEPSNONPILOT/Tender/SplashBidNoticeAbstractUI.aspx?menuIndex=3&amp;refID=7191692&amp;Result=3","7191692")</f>
        <v>0</v>
      </c>
      <c r="B219" t="s">
        <v>110</v>
      </c>
      <c r="C219" t="s">
        <v>3727</v>
      </c>
      <c r="D219" t="s">
        <v>17165</v>
      </c>
      <c r="E219" t="s">
        <v>17463</v>
      </c>
      <c r="F219" t="s">
        <v>29372</v>
      </c>
      <c r="G219" t="s">
        <v>29380</v>
      </c>
      <c r="H219" t="s">
        <v>11048</v>
      </c>
      <c r="I219" t="s">
        <v>9469</v>
      </c>
      <c r="J219" t="s">
        <v>29717</v>
      </c>
      <c r="K219" t="s">
        <v>38496</v>
      </c>
      <c r="L219" t="s">
        <v>110</v>
      </c>
      <c r="M219" t="s">
        <v>38865</v>
      </c>
      <c r="N219" t="s">
        <v>42669</v>
      </c>
      <c r="O219" t="s">
        <v>42670</v>
      </c>
      <c r="P219">
        <v>0</v>
      </c>
      <c r="Q219">
        <v>5</v>
      </c>
      <c r="R219" t="s">
        <v>42671</v>
      </c>
      <c r="S219" t="s">
        <v>42779</v>
      </c>
      <c r="T219" t="s">
        <v>44415</v>
      </c>
      <c r="U219" t="s">
        <v>45056</v>
      </c>
      <c r="V219" t="s">
        <v>56354</v>
      </c>
      <c r="W219" t="s">
        <v>38865</v>
      </c>
      <c r="X219" t="s">
        <v>42676</v>
      </c>
    </row>
    <row r="220" spans="1:24">
      <c r="A220">
        <f>HYPERLINK("https://www.philgeps.gov.ph/GEPSNONPILOT/Tender/SplashBidNoticeAbstractUI.aspx?menuIndex=3&amp;refID=7191686&amp;Result=3","7191686")</f>
        <v>0</v>
      </c>
      <c r="B220" t="s">
        <v>120</v>
      </c>
      <c r="C220" t="s">
        <v>3728</v>
      </c>
      <c r="D220" t="s">
        <v>17172</v>
      </c>
      <c r="E220" t="s">
        <v>17464</v>
      </c>
      <c r="F220" t="s">
        <v>29372</v>
      </c>
      <c r="G220" t="s">
        <v>29380</v>
      </c>
      <c r="H220" t="s">
        <v>29389</v>
      </c>
      <c r="I220" t="s">
        <v>10408</v>
      </c>
      <c r="J220" t="s">
        <v>29718</v>
      </c>
      <c r="K220" t="s">
        <v>38530</v>
      </c>
      <c r="M220" t="s">
        <v>38875</v>
      </c>
      <c r="N220" t="s">
        <v>42669</v>
      </c>
      <c r="O220" t="s">
        <v>42670</v>
      </c>
      <c r="P220">
        <v>0</v>
      </c>
      <c r="Q220">
        <v>0</v>
      </c>
      <c r="R220" t="s">
        <v>42671</v>
      </c>
      <c r="S220" t="s">
        <v>42779</v>
      </c>
      <c r="T220" t="s">
        <v>44354</v>
      </c>
      <c r="U220" t="s">
        <v>45057</v>
      </c>
      <c r="W220" t="s">
        <v>38875</v>
      </c>
      <c r="X220" t="s">
        <v>42676</v>
      </c>
    </row>
    <row r="221" spans="1:24">
      <c r="A221">
        <f>HYPERLINK("https://www.philgeps.gov.ph/GEPSNONPILOT/Tender/SplashBidNoticeAbstractUI.aspx?menuIndex=3&amp;refID=7191684&amp;Result=3","7191684")</f>
        <v>0</v>
      </c>
      <c r="B221" t="s">
        <v>121</v>
      </c>
      <c r="C221" t="s">
        <v>3729</v>
      </c>
      <c r="D221" t="s">
        <v>17183</v>
      </c>
      <c r="E221" t="s">
        <v>17465</v>
      </c>
      <c r="F221" t="s">
        <v>29372</v>
      </c>
      <c r="G221" t="s">
        <v>29380</v>
      </c>
      <c r="H221" t="s">
        <v>11048</v>
      </c>
      <c r="I221" t="s">
        <v>4709</v>
      </c>
      <c r="J221" t="s">
        <v>29719</v>
      </c>
      <c r="K221" t="s">
        <v>38488</v>
      </c>
      <c r="M221" t="s">
        <v>38876</v>
      </c>
      <c r="N221" t="s">
        <v>42669</v>
      </c>
      <c r="O221" t="s">
        <v>42670</v>
      </c>
      <c r="P221">
        <v>0</v>
      </c>
      <c r="Q221">
        <v>0</v>
      </c>
      <c r="R221" t="s">
        <v>42671</v>
      </c>
      <c r="S221" t="s">
        <v>42779</v>
      </c>
      <c r="T221" t="s">
        <v>44409</v>
      </c>
      <c r="U221" t="s">
        <v>45058</v>
      </c>
      <c r="W221" t="s">
        <v>38876</v>
      </c>
      <c r="X221" t="s">
        <v>42676</v>
      </c>
    </row>
    <row r="222" spans="1:24">
      <c r="A222">
        <f>HYPERLINK("https://www.philgeps.gov.ph/GEPSNONPILOT/Tender/SplashBidNoticeAbstractUI.aspx?menuIndex=3&amp;refID=7191773&amp;Result=3","7191773")</f>
        <v>0</v>
      </c>
      <c r="B222" t="s">
        <v>78</v>
      </c>
      <c r="C222" t="s">
        <v>3730</v>
      </c>
      <c r="D222" t="s">
        <v>17141</v>
      </c>
      <c r="E222" t="s">
        <v>17466</v>
      </c>
      <c r="F222" t="s">
        <v>29372</v>
      </c>
      <c r="G222" t="s">
        <v>29379</v>
      </c>
      <c r="H222" t="s">
        <v>11048</v>
      </c>
      <c r="I222" t="s">
        <v>29418</v>
      </c>
      <c r="J222" t="s">
        <v>29720</v>
      </c>
      <c r="K222" t="s">
        <v>38485</v>
      </c>
      <c r="M222" t="s">
        <v>38832</v>
      </c>
      <c r="N222" t="s">
        <v>42669</v>
      </c>
      <c r="O222" t="s">
        <v>42670</v>
      </c>
      <c r="P222">
        <v>0</v>
      </c>
      <c r="Q222">
        <v>2</v>
      </c>
      <c r="R222" t="s">
        <v>42671</v>
      </c>
      <c r="S222" t="s">
        <v>42779</v>
      </c>
      <c r="T222" t="s">
        <v>44387</v>
      </c>
      <c r="U222" t="s">
        <v>44984</v>
      </c>
      <c r="W222" t="s">
        <v>38832</v>
      </c>
      <c r="X222" t="s">
        <v>42676</v>
      </c>
    </row>
    <row r="223" spans="1:24">
      <c r="A223">
        <f>HYPERLINK("https://www.philgeps.gov.ph/GEPSNONPILOT/Tender/SplashBidNoticeAbstractUI.aspx?menuIndex=3&amp;refID=7191713&amp;Result=3","7191713")</f>
        <v>0</v>
      </c>
      <c r="B223" t="s">
        <v>52</v>
      </c>
      <c r="C223" t="s">
        <v>3731</v>
      </c>
      <c r="D223" t="s">
        <v>17160</v>
      </c>
      <c r="E223" t="s">
        <v>17467</v>
      </c>
      <c r="F223" t="s">
        <v>29372</v>
      </c>
      <c r="G223" t="s">
        <v>29379</v>
      </c>
      <c r="H223" t="s">
        <v>11048</v>
      </c>
      <c r="I223" t="s">
        <v>14920</v>
      </c>
      <c r="J223" t="s">
        <v>29721</v>
      </c>
      <c r="K223" t="s">
        <v>38522</v>
      </c>
      <c r="M223" t="s">
        <v>38805</v>
      </c>
      <c r="N223" t="s">
        <v>42669</v>
      </c>
      <c r="O223" t="s">
        <v>42670</v>
      </c>
      <c r="P223">
        <v>0</v>
      </c>
      <c r="Q223">
        <v>1</v>
      </c>
      <c r="R223" t="s">
        <v>42671</v>
      </c>
      <c r="S223" t="s">
        <v>42779</v>
      </c>
      <c r="T223" t="s">
        <v>44380</v>
      </c>
      <c r="U223" t="s">
        <v>45059</v>
      </c>
      <c r="W223" t="s">
        <v>38805</v>
      </c>
      <c r="X223" t="s">
        <v>42676</v>
      </c>
    </row>
    <row r="224" spans="1:24">
      <c r="A224">
        <f>HYPERLINK("https://www.philgeps.gov.ph/GEPSNONPILOT/Tender/SplashBidNoticeAbstractUI.aspx?menuIndex=3&amp;refID=7191538&amp;Result=3","7191538")</f>
        <v>0</v>
      </c>
      <c r="B224" t="s">
        <v>99</v>
      </c>
      <c r="C224" t="s">
        <v>3732</v>
      </c>
      <c r="D224" t="s">
        <v>17141</v>
      </c>
      <c r="E224" t="s">
        <v>17468</v>
      </c>
      <c r="F224" t="s">
        <v>29372</v>
      </c>
      <c r="G224" t="s">
        <v>29379</v>
      </c>
      <c r="H224" t="s">
        <v>11048</v>
      </c>
      <c r="I224" t="s">
        <v>29419</v>
      </c>
      <c r="J224" t="s">
        <v>29722</v>
      </c>
      <c r="K224" t="s">
        <v>38491</v>
      </c>
      <c r="M224" t="s">
        <v>38858</v>
      </c>
      <c r="N224" t="s">
        <v>42669</v>
      </c>
      <c r="O224" t="s">
        <v>42670</v>
      </c>
      <c r="P224">
        <v>0</v>
      </c>
      <c r="Q224">
        <v>0</v>
      </c>
      <c r="R224" t="s">
        <v>42671</v>
      </c>
      <c r="S224" t="s">
        <v>42779</v>
      </c>
      <c r="T224" t="s">
        <v>44371</v>
      </c>
      <c r="U224" t="s">
        <v>45060</v>
      </c>
      <c r="V224" t="s">
        <v>56350</v>
      </c>
      <c r="W224" t="s">
        <v>38858</v>
      </c>
      <c r="X224" t="s">
        <v>42676</v>
      </c>
    </row>
    <row r="225" spans="1:24">
      <c r="A225">
        <f>HYPERLINK("https://www.philgeps.gov.ph/GEPSNONPILOT/Tender/SplashBidNoticeAbstractUI.aspx?menuIndex=3&amp;refID=7191529&amp;Result=3","7191529")</f>
        <v>0</v>
      </c>
      <c r="B225" t="s">
        <v>110</v>
      </c>
      <c r="C225" t="s">
        <v>3733</v>
      </c>
      <c r="D225" t="s">
        <v>17165</v>
      </c>
      <c r="E225" t="s">
        <v>17469</v>
      </c>
      <c r="F225" t="s">
        <v>29372</v>
      </c>
      <c r="G225" t="s">
        <v>29380</v>
      </c>
      <c r="H225" t="s">
        <v>11048</v>
      </c>
      <c r="I225" t="s">
        <v>29420</v>
      </c>
      <c r="J225" t="s">
        <v>29721</v>
      </c>
      <c r="K225" t="s">
        <v>38510</v>
      </c>
      <c r="L225" t="s">
        <v>110</v>
      </c>
      <c r="M225" t="s">
        <v>38865</v>
      </c>
      <c r="N225" t="s">
        <v>42669</v>
      </c>
      <c r="O225" t="s">
        <v>42670</v>
      </c>
      <c r="P225">
        <v>0</v>
      </c>
      <c r="Q225">
        <v>0</v>
      </c>
      <c r="R225" t="s">
        <v>42671</v>
      </c>
      <c r="S225" t="s">
        <v>42779</v>
      </c>
      <c r="T225" t="s">
        <v>44375</v>
      </c>
      <c r="U225" t="s">
        <v>45061</v>
      </c>
      <c r="V225" t="s">
        <v>56354</v>
      </c>
      <c r="W225" t="s">
        <v>38865</v>
      </c>
      <c r="X225" t="s">
        <v>42676</v>
      </c>
    </row>
    <row r="226" spans="1:24">
      <c r="A226">
        <f>HYPERLINK("https://www.philgeps.gov.ph/GEPSNONPILOT/Tender/SplashBidNoticeAbstractUI.aspx?menuIndex=3&amp;refID=7191509&amp;Result=3","7191509")</f>
        <v>0</v>
      </c>
      <c r="B226" t="s">
        <v>106</v>
      </c>
      <c r="C226" t="s">
        <v>3692</v>
      </c>
      <c r="D226" t="s">
        <v>17184</v>
      </c>
      <c r="E226" t="s">
        <v>17470</v>
      </c>
      <c r="F226" t="s">
        <v>29372</v>
      </c>
      <c r="G226" t="s">
        <v>29379</v>
      </c>
      <c r="H226" t="s">
        <v>11048</v>
      </c>
      <c r="I226" t="s">
        <v>3670</v>
      </c>
      <c r="J226" t="s">
        <v>29555</v>
      </c>
      <c r="K226" t="s">
        <v>38488</v>
      </c>
      <c r="M226" t="s">
        <v>38861</v>
      </c>
      <c r="N226" t="s">
        <v>42669</v>
      </c>
      <c r="O226" t="s">
        <v>42670</v>
      </c>
      <c r="P226">
        <v>0</v>
      </c>
      <c r="Q226">
        <v>0</v>
      </c>
      <c r="R226" t="s">
        <v>42671</v>
      </c>
      <c r="S226" t="s">
        <v>42779</v>
      </c>
      <c r="T226" t="s">
        <v>44371</v>
      </c>
      <c r="U226" t="s">
        <v>45062</v>
      </c>
      <c r="V226" t="s">
        <v>56356</v>
      </c>
      <c r="W226" t="s">
        <v>38861</v>
      </c>
      <c r="X226" t="s">
        <v>42676</v>
      </c>
    </row>
    <row r="227" spans="1:24">
      <c r="A227">
        <f>HYPERLINK("https://www.philgeps.gov.ph/GEPSNONPILOT/Tender/SplashBidNoticeAbstractUI.aspx?menuIndex=3&amp;refID=7191986&amp;Result=3","7191986")</f>
        <v>0</v>
      </c>
      <c r="B227" t="s">
        <v>122</v>
      </c>
      <c r="C227" t="s">
        <v>3734</v>
      </c>
      <c r="E227" t="s">
        <v>17471</v>
      </c>
      <c r="F227" t="s">
        <v>29372</v>
      </c>
      <c r="G227" t="s">
        <v>29383</v>
      </c>
      <c r="H227" t="s">
        <v>11048</v>
      </c>
      <c r="I227" t="s">
        <v>29421</v>
      </c>
      <c r="J227" t="s">
        <v>29723</v>
      </c>
      <c r="K227" t="s">
        <v>38490</v>
      </c>
      <c r="M227" t="s">
        <v>38877</v>
      </c>
      <c r="N227" t="s">
        <v>42669</v>
      </c>
      <c r="O227" t="s">
        <v>42670</v>
      </c>
      <c r="P227">
        <v>0</v>
      </c>
      <c r="Q227">
        <v>1</v>
      </c>
      <c r="R227" t="s">
        <v>42671</v>
      </c>
      <c r="S227" t="s">
        <v>42779</v>
      </c>
      <c r="T227" t="s">
        <v>44387</v>
      </c>
      <c r="U227" t="s">
        <v>45063</v>
      </c>
      <c r="V227" t="s">
        <v>56357</v>
      </c>
      <c r="W227" t="s">
        <v>38877</v>
      </c>
      <c r="X227" t="s">
        <v>42676</v>
      </c>
    </row>
    <row r="228" spans="1:24">
      <c r="A228">
        <f>HYPERLINK("https://www.philgeps.gov.ph/GEPSNONPILOT/Tender/SplashBidNoticeAbstractUI.aspx?menuIndex=3&amp;refID=7191991&amp;Result=3","7191991")</f>
        <v>0</v>
      </c>
      <c r="B228" t="s">
        <v>113</v>
      </c>
      <c r="C228" t="s">
        <v>3735</v>
      </c>
      <c r="D228" t="s">
        <v>17174</v>
      </c>
      <c r="E228" t="s">
        <v>17448</v>
      </c>
      <c r="F228" t="s">
        <v>29372</v>
      </c>
      <c r="G228" t="s">
        <v>29380</v>
      </c>
      <c r="H228" t="s">
        <v>29389</v>
      </c>
      <c r="I228" t="s">
        <v>10408</v>
      </c>
      <c r="J228" t="s">
        <v>29721</v>
      </c>
      <c r="K228" t="s">
        <v>38495</v>
      </c>
      <c r="M228" t="s">
        <v>38868</v>
      </c>
      <c r="N228" t="s">
        <v>42669</v>
      </c>
      <c r="O228" t="s">
        <v>42670</v>
      </c>
      <c r="P228">
        <v>0</v>
      </c>
      <c r="Q228">
        <v>0</v>
      </c>
      <c r="R228" t="s">
        <v>42671</v>
      </c>
      <c r="S228" t="s">
        <v>42779</v>
      </c>
      <c r="T228" t="s">
        <v>44410</v>
      </c>
      <c r="U228" t="s">
        <v>45064</v>
      </c>
      <c r="W228" t="s">
        <v>38868</v>
      </c>
      <c r="X228" t="s">
        <v>42676</v>
      </c>
    </row>
    <row r="229" spans="1:24">
      <c r="A229">
        <f>HYPERLINK("https://www.philgeps.gov.ph/GEPSNONPILOT/Tender/SplashBidNoticeAbstractUI.aspx?menuIndex=3&amp;refID=7191988&amp;Result=3","7191988")</f>
        <v>0</v>
      </c>
      <c r="B229" t="s">
        <v>123</v>
      </c>
      <c r="C229" t="s">
        <v>3736</v>
      </c>
      <c r="D229" t="s">
        <v>17141</v>
      </c>
      <c r="E229" t="s">
        <v>17472</v>
      </c>
      <c r="F229" t="s">
        <v>29372</v>
      </c>
      <c r="G229" t="s">
        <v>29380</v>
      </c>
      <c r="H229" t="s">
        <v>11048</v>
      </c>
      <c r="I229" t="s">
        <v>29422</v>
      </c>
      <c r="J229" t="s">
        <v>29724</v>
      </c>
      <c r="K229" t="s">
        <v>38496</v>
      </c>
      <c r="M229" t="s">
        <v>38878</v>
      </c>
      <c r="N229" t="s">
        <v>42669</v>
      </c>
      <c r="O229" t="s">
        <v>42670</v>
      </c>
      <c r="P229">
        <v>0</v>
      </c>
      <c r="Q229">
        <v>4</v>
      </c>
      <c r="R229" t="s">
        <v>42671</v>
      </c>
      <c r="S229" t="s">
        <v>42779</v>
      </c>
      <c r="T229" t="s">
        <v>44358</v>
      </c>
      <c r="U229" t="s">
        <v>45065</v>
      </c>
      <c r="W229" t="s">
        <v>38878</v>
      </c>
      <c r="X229" t="s">
        <v>42676</v>
      </c>
    </row>
    <row r="230" spans="1:24">
      <c r="A230">
        <f>HYPERLINK("https://www.philgeps.gov.ph/GEPSNONPILOT/Tender/SplashBidNoticeAbstractUI.aspx?menuIndex=3&amp;refID=7191693&amp;Result=3","7191693")</f>
        <v>0</v>
      </c>
      <c r="B230" t="s">
        <v>124</v>
      </c>
      <c r="C230" t="s">
        <v>3737</v>
      </c>
      <c r="D230" t="s">
        <v>17168</v>
      </c>
      <c r="E230" t="s">
        <v>17473</v>
      </c>
      <c r="F230" t="s">
        <v>29372</v>
      </c>
      <c r="G230" t="s">
        <v>29380</v>
      </c>
      <c r="H230" t="s">
        <v>11048</v>
      </c>
      <c r="I230" t="s">
        <v>4486</v>
      </c>
      <c r="J230" t="s">
        <v>29725</v>
      </c>
      <c r="K230" t="s">
        <v>38496</v>
      </c>
      <c r="M230" t="s">
        <v>38879</v>
      </c>
      <c r="N230" t="s">
        <v>42669</v>
      </c>
      <c r="O230" t="s">
        <v>42670</v>
      </c>
      <c r="P230">
        <v>0</v>
      </c>
      <c r="Q230">
        <v>5</v>
      </c>
      <c r="R230" t="s">
        <v>42671</v>
      </c>
      <c r="S230" t="s">
        <v>42779</v>
      </c>
      <c r="T230" t="s">
        <v>44381</v>
      </c>
      <c r="U230" t="s">
        <v>45066</v>
      </c>
      <c r="W230" t="s">
        <v>38879</v>
      </c>
      <c r="X230" t="s">
        <v>42676</v>
      </c>
    </row>
    <row r="231" spans="1:24">
      <c r="A231">
        <f>HYPERLINK("https://www.philgeps.gov.ph/GEPSNONPILOT/Tender/SplashBidNoticeAbstractUI.aspx?menuIndex=3&amp;refID=7191523&amp;Result=3","7191523")</f>
        <v>0</v>
      </c>
      <c r="B231" t="s">
        <v>92</v>
      </c>
      <c r="C231" t="s">
        <v>3738</v>
      </c>
      <c r="D231" t="s">
        <v>17141</v>
      </c>
      <c r="E231" t="s">
        <v>17474</v>
      </c>
      <c r="F231" t="s">
        <v>29372</v>
      </c>
      <c r="G231" t="s">
        <v>29379</v>
      </c>
      <c r="H231" t="s">
        <v>11048</v>
      </c>
      <c r="I231" t="s">
        <v>3670</v>
      </c>
      <c r="J231" t="s">
        <v>29726</v>
      </c>
      <c r="K231" t="s">
        <v>38490</v>
      </c>
      <c r="M231" t="s">
        <v>38846</v>
      </c>
      <c r="N231" t="s">
        <v>42669</v>
      </c>
      <c r="O231" t="s">
        <v>42670</v>
      </c>
      <c r="P231">
        <v>0</v>
      </c>
      <c r="Q231">
        <v>2</v>
      </c>
      <c r="R231" t="s">
        <v>42671</v>
      </c>
      <c r="S231" t="s">
        <v>42779</v>
      </c>
      <c r="T231" t="s">
        <v>44382</v>
      </c>
      <c r="U231" t="s">
        <v>45003</v>
      </c>
      <c r="W231" t="s">
        <v>38846</v>
      </c>
      <c r="X231" t="s">
        <v>42676</v>
      </c>
    </row>
    <row r="232" spans="1:24">
      <c r="A232">
        <f>HYPERLINK("https://www.philgeps.gov.ph/GEPSNONPILOT/Tender/SplashBidNoticeAbstractUI.aspx?menuIndex=3&amp;refID=7191968&amp;Result=3","7191968")</f>
        <v>0</v>
      </c>
      <c r="B232" t="s">
        <v>113</v>
      </c>
      <c r="C232" t="s">
        <v>3739</v>
      </c>
      <c r="D232" t="s">
        <v>17174</v>
      </c>
      <c r="E232" t="s">
        <v>17448</v>
      </c>
      <c r="F232" t="s">
        <v>29372</v>
      </c>
      <c r="G232" t="s">
        <v>29380</v>
      </c>
      <c r="H232" t="s">
        <v>11048</v>
      </c>
      <c r="I232" t="s">
        <v>29417</v>
      </c>
      <c r="J232" t="s">
        <v>29727</v>
      </c>
      <c r="K232" t="s">
        <v>38496</v>
      </c>
      <c r="M232" t="s">
        <v>38868</v>
      </c>
      <c r="N232" t="s">
        <v>42669</v>
      </c>
      <c r="O232" t="s">
        <v>42670</v>
      </c>
      <c r="P232">
        <v>0</v>
      </c>
      <c r="Q232">
        <v>2</v>
      </c>
      <c r="R232" t="s">
        <v>42671</v>
      </c>
      <c r="S232" t="s">
        <v>42779</v>
      </c>
      <c r="T232" t="s">
        <v>44410</v>
      </c>
      <c r="U232" t="s">
        <v>45067</v>
      </c>
      <c r="W232" t="s">
        <v>38868</v>
      </c>
      <c r="X232" t="s">
        <v>42676</v>
      </c>
    </row>
    <row r="233" spans="1:24">
      <c r="A233">
        <f>HYPERLINK("https://www.philgeps.gov.ph/GEPSNONPILOT/Tender/SplashBidNoticeAbstractUI.aspx?menuIndex=3&amp;refID=7191951&amp;Result=3","7191951")</f>
        <v>0</v>
      </c>
      <c r="B233" t="s">
        <v>123</v>
      </c>
      <c r="C233" t="s">
        <v>3740</v>
      </c>
      <c r="D233" t="s">
        <v>17141</v>
      </c>
      <c r="E233" t="s">
        <v>17475</v>
      </c>
      <c r="F233" t="s">
        <v>29372</v>
      </c>
      <c r="G233" t="s">
        <v>29380</v>
      </c>
      <c r="H233" t="s">
        <v>11048</v>
      </c>
      <c r="I233" t="s">
        <v>4486</v>
      </c>
      <c r="J233" t="s">
        <v>29728</v>
      </c>
      <c r="K233" t="s">
        <v>38532</v>
      </c>
      <c r="M233" t="s">
        <v>38878</v>
      </c>
      <c r="N233" t="s">
        <v>42669</v>
      </c>
      <c r="O233" t="s">
        <v>42670</v>
      </c>
      <c r="P233">
        <v>0</v>
      </c>
      <c r="Q233">
        <v>3</v>
      </c>
      <c r="R233" t="s">
        <v>42671</v>
      </c>
      <c r="S233" t="s">
        <v>42779</v>
      </c>
      <c r="T233" t="s">
        <v>44358</v>
      </c>
      <c r="U233" t="s">
        <v>45068</v>
      </c>
      <c r="W233" t="s">
        <v>38878</v>
      </c>
      <c r="X233" t="s">
        <v>42676</v>
      </c>
    </row>
    <row r="234" spans="1:24">
      <c r="A234">
        <f>HYPERLINK("https://www.philgeps.gov.ph/GEPSNONPILOT/Tender/SplashBidNoticeAbstractUI.aspx?menuIndex=3&amp;refID=7191955&amp;Result=3","7191955")</f>
        <v>0</v>
      </c>
      <c r="B234" t="s">
        <v>125</v>
      </c>
      <c r="C234" t="s">
        <v>3741</v>
      </c>
      <c r="D234" t="s">
        <v>17177</v>
      </c>
      <c r="E234" t="s">
        <v>17476</v>
      </c>
      <c r="F234" t="s">
        <v>29372</v>
      </c>
      <c r="G234" t="s">
        <v>29379</v>
      </c>
      <c r="H234" t="s">
        <v>11048</v>
      </c>
      <c r="I234" t="s">
        <v>29394</v>
      </c>
      <c r="J234" t="s">
        <v>29532</v>
      </c>
      <c r="K234" t="s">
        <v>38491</v>
      </c>
      <c r="M234" t="s">
        <v>38880</v>
      </c>
      <c r="N234" t="s">
        <v>42669</v>
      </c>
      <c r="O234" t="s">
        <v>42670</v>
      </c>
      <c r="P234">
        <v>0</v>
      </c>
      <c r="Q234">
        <v>2</v>
      </c>
      <c r="R234" t="s">
        <v>42671</v>
      </c>
      <c r="S234" t="s">
        <v>42779</v>
      </c>
      <c r="T234" t="s">
        <v>44387</v>
      </c>
      <c r="U234" t="s">
        <v>45069</v>
      </c>
      <c r="W234" t="s">
        <v>38880</v>
      </c>
      <c r="X234" t="s">
        <v>42676</v>
      </c>
    </row>
    <row r="235" spans="1:24">
      <c r="A235">
        <f>HYPERLINK("https://www.philgeps.gov.ph/GEPSNONPILOT/Tender/SplashBidNoticeAbstractUI.aspx?menuIndex=3&amp;refID=7191927&amp;Result=3","7191927")</f>
        <v>0</v>
      </c>
      <c r="B235" t="s">
        <v>126</v>
      </c>
      <c r="C235" t="s">
        <v>3742</v>
      </c>
      <c r="D235" t="s">
        <v>17177</v>
      </c>
      <c r="E235" t="s">
        <v>17382</v>
      </c>
      <c r="F235" t="s">
        <v>29372</v>
      </c>
      <c r="G235" t="s">
        <v>29381</v>
      </c>
      <c r="H235" t="s">
        <v>11048</v>
      </c>
      <c r="I235" t="s">
        <v>29423</v>
      </c>
      <c r="J235" t="s">
        <v>29729</v>
      </c>
      <c r="K235" t="s">
        <v>38488</v>
      </c>
      <c r="M235" t="s">
        <v>38881</v>
      </c>
      <c r="N235" t="s">
        <v>42669</v>
      </c>
      <c r="O235" t="s">
        <v>42670</v>
      </c>
      <c r="P235">
        <v>0</v>
      </c>
      <c r="Q235">
        <v>6</v>
      </c>
      <c r="R235" t="s">
        <v>42671</v>
      </c>
      <c r="S235" t="s">
        <v>42779</v>
      </c>
      <c r="T235" t="s">
        <v>44416</v>
      </c>
      <c r="U235" t="s">
        <v>45070</v>
      </c>
      <c r="W235" t="s">
        <v>38881</v>
      </c>
      <c r="X235" t="s">
        <v>42676</v>
      </c>
    </row>
    <row r="236" spans="1:24">
      <c r="A236">
        <f>HYPERLINK("https://www.philgeps.gov.ph/GEPSNONPILOT/Tender/SplashBidNoticeAbstractUI.aspx?menuIndex=3&amp;refID=7191681&amp;Result=3","7191681")</f>
        <v>0</v>
      </c>
      <c r="B236" t="s">
        <v>113</v>
      </c>
      <c r="C236" t="s">
        <v>3743</v>
      </c>
      <c r="D236" t="s">
        <v>17174</v>
      </c>
      <c r="E236" t="s">
        <v>17448</v>
      </c>
      <c r="F236" t="s">
        <v>29372</v>
      </c>
      <c r="G236" t="s">
        <v>29380</v>
      </c>
      <c r="H236" t="s">
        <v>11048</v>
      </c>
      <c r="I236" t="s">
        <v>9469</v>
      </c>
      <c r="J236" t="s">
        <v>29730</v>
      </c>
      <c r="K236" t="s">
        <v>38485</v>
      </c>
      <c r="M236" t="s">
        <v>38868</v>
      </c>
      <c r="N236" t="s">
        <v>42669</v>
      </c>
      <c r="O236" t="s">
        <v>42670</v>
      </c>
      <c r="P236">
        <v>0</v>
      </c>
      <c r="Q236">
        <v>0</v>
      </c>
      <c r="R236" t="s">
        <v>42671</v>
      </c>
      <c r="S236" t="s">
        <v>42779</v>
      </c>
      <c r="T236" t="s">
        <v>44410</v>
      </c>
      <c r="U236" t="s">
        <v>45071</v>
      </c>
      <c r="W236" t="s">
        <v>38868</v>
      </c>
      <c r="X236" t="s">
        <v>42676</v>
      </c>
    </row>
    <row r="237" spans="1:24">
      <c r="A237">
        <f>HYPERLINK("https://www.philgeps.gov.ph/GEPSNONPILOT/Tender/SplashBidNoticeAbstractUI.aspx?menuIndex=3&amp;refID=7191952&amp;Result=3","7191952")</f>
        <v>0</v>
      </c>
      <c r="B237" t="s">
        <v>127</v>
      </c>
      <c r="C237" t="s">
        <v>3744</v>
      </c>
      <c r="D237" t="s">
        <v>17177</v>
      </c>
      <c r="E237" t="s">
        <v>17477</v>
      </c>
      <c r="F237" t="s">
        <v>29372</v>
      </c>
      <c r="G237" t="s">
        <v>29383</v>
      </c>
      <c r="H237" t="s">
        <v>11048</v>
      </c>
      <c r="I237" t="s">
        <v>29424</v>
      </c>
      <c r="J237" t="s">
        <v>29731</v>
      </c>
      <c r="K237" t="s">
        <v>38491</v>
      </c>
      <c r="M237" t="s">
        <v>38882</v>
      </c>
      <c r="N237" t="s">
        <v>42669</v>
      </c>
      <c r="O237" t="s">
        <v>42670</v>
      </c>
      <c r="P237">
        <v>0</v>
      </c>
      <c r="Q237">
        <v>3</v>
      </c>
      <c r="R237" t="s">
        <v>42671</v>
      </c>
      <c r="S237" t="s">
        <v>42779</v>
      </c>
      <c r="T237" t="s">
        <v>44389</v>
      </c>
      <c r="U237" t="s">
        <v>45072</v>
      </c>
      <c r="W237" t="s">
        <v>38882</v>
      </c>
      <c r="X237" t="s">
        <v>42676</v>
      </c>
    </row>
    <row r="238" spans="1:24">
      <c r="A238">
        <f>HYPERLINK("https://www.philgeps.gov.ph/GEPSNONPILOT/Tender/SplashBidNoticeAbstractUI.aspx?menuIndex=3&amp;refID=7191947&amp;Result=3","7191947")</f>
        <v>0</v>
      </c>
      <c r="B238" t="s">
        <v>118</v>
      </c>
      <c r="C238" t="s">
        <v>3745</v>
      </c>
      <c r="D238" t="s">
        <v>17141</v>
      </c>
      <c r="E238" t="s">
        <v>17478</v>
      </c>
      <c r="F238" t="s">
        <v>29372</v>
      </c>
      <c r="G238" t="s">
        <v>29380</v>
      </c>
      <c r="H238" t="s">
        <v>11048</v>
      </c>
      <c r="I238" t="s">
        <v>29416</v>
      </c>
      <c r="J238" t="s">
        <v>29573</v>
      </c>
      <c r="K238" t="s">
        <v>38488</v>
      </c>
      <c r="M238" t="s">
        <v>38873</v>
      </c>
      <c r="N238" t="s">
        <v>42669</v>
      </c>
      <c r="O238" t="s">
        <v>42670</v>
      </c>
      <c r="P238">
        <v>0</v>
      </c>
      <c r="Q238">
        <v>4</v>
      </c>
      <c r="R238" t="s">
        <v>42671</v>
      </c>
      <c r="S238" t="s">
        <v>42779</v>
      </c>
      <c r="T238" t="s">
        <v>44413</v>
      </c>
      <c r="U238" t="s">
        <v>45073</v>
      </c>
      <c r="W238" t="s">
        <v>38873</v>
      </c>
      <c r="X238" t="s">
        <v>42676</v>
      </c>
    </row>
    <row r="239" spans="1:24">
      <c r="A239">
        <f>HYPERLINK("https://www.philgeps.gov.ph/GEPSNONPILOT/Tender/SplashBidNoticeAbstractUI.aspx?menuIndex=3&amp;refID=7191939&amp;Result=3","7191939")</f>
        <v>0</v>
      </c>
      <c r="B239" t="s">
        <v>95</v>
      </c>
      <c r="C239" t="s">
        <v>3746</v>
      </c>
      <c r="D239" t="s">
        <v>17161</v>
      </c>
      <c r="E239" t="s">
        <v>17479</v>
      </c>
      <c r="F239" t="s">
        <v>29372</v>
      </c>
      <c r="G239" t="s">
        <v>29379</v>
      </c>
      <c r="H239" t="s">
        <v>29390</v>
      </c>
      <c r="I239" t="s">
        <v>29409</v>
      </c>
      <c r="J239" t="s">
        <v>29732</v>
      </c>
      <c r="K239" t="s">
        <v>38524</v>
      </c>
      <c r="M239" t="s">
        <v>38849</v>
      </c>
      <c r="N239" t="s">
        <v>42669</v>
      </c>
      <c r="O239" t="s">
        <v>42670</v>
      </c>
      <c r="P239">
        <v>0</v>
      </c>
      <c r="Q239">
        <v>0</v>
      </c>
      <c r="R239" t="s">
        <v>42671</v>
      </c>
      <c r="S239" t="s">
        <v>42779</v>
      </c>
      <c r="T239" t="s">
        <v>44386</v>
      </c>
      <c r="U239" t="s">
        <v>45074</v>
      </c>
      <c r="W239" t="s">
        <v>38849</v>
      </c>
      <c r="X239" t="s">
        <v>42676</v>
      </c>
    </row>
    <row r="240" spans="1:24">
      <c r="A240">
        <f>HYPERLINK("https://www.philgeps.gov.ph/GEPSNONPILOT/Tender/SplashBidNoticeAbstractUI.aspx?menuIndex=3&amp;refID=7192177&amp;Result=3","7192177")</f>
        <v>0</v>
      </c>
      <c r="B240" t="s">
        <v>128</v>
      </c>
      <c r="C240" t="s">
        <v>3747</v>
      </c>
      <c r="D240" t="s">
        <v>17145</v>
      </c>
      <c r="E240" t="s">
        <v>17480</v>
      </c>
      <c r="F240" t="s">
        <v>29372</v>
      </c>
      <c r="G240" t="s">
        <v>29379</v>
      </c>
      <c r="H240" t="s">
        <v>11048</v>
      </c>
      <c r="I240" t="s">
        <v>29394</v>
      </c>
      <c r="J240" t="s">
        <v>29555</v>
      </c>
      <c r="K240" t="s">
        <v>38490</v>
      </c>
      <c r="M240" t="s">
        <v>38883</v>
      </c>
      <c r="N240" t="s">
        <v>42669</v>
      </c>
      <c r="O240" t="s">
        <v>42670</v>
      </c>
      <c r="P240">
        <v>0</v>
      </c>
      <c r="Q240">
        <v>0</v>
      </c>
      <c r="R240" t="s">
        <v>42671</v>
      </c>
      <c r="S240" t="s">
        <v>42779</v>
      </c>
      <c r="T240" t="s">
        <v>44394</v>
      </c>
      <c r="U240" t="s">
        <v>45075</v>
      </c>
      <c r="W240" t="s">
        <v>38883</v>
      </c>
      <c r="X240" t="s">
        <v>42676</v>
      </c>
    </row>
    <row r="241" spans="1:24">
      <c r="A241">
        <f>HYPERLINK("https://www.philgeps.gov.ph/GEPSNONPILOT/Tender/SplashBidNoticeAbstractUI.aspx?menuIndex=3&amp;refID=7192167&amp;Result=3","7192167")</f>
        <v>0</v>
      </c>
      <c r="B241" t="s">
        <v>106</v>
      </c>
      <c r="C241" t="s">
        <v>3692</v>
      </c>
      <c r="D241" t="s">
        <v>17142</v>
      </c>
      <c r="E241" t="s">
        <v>17481</v>
      </c>
      <c r="F241" t="s">
        <v>29372</v>
      </c>
      <c r="G241" t="s">
        <v>29379</v>
      </c>
      <c r="H241" t="s">
        <v>11048</v>
      </c>
      <c r="I241" t="s">
        <v>3670</v>
      </c>
      <c r="J241" t="s">
        <v>29733</v>
      </c>
      <c r="K241" t="s">
        <v>38488</v>
      </c>
      <c r="M241" t="s">
        <v>38861</v>
      </c>
      <c r="N241" t="s">
        <v>42669</v>
      </c>
      <c r="O241" t="s">
        <v>42670</v>
      </c>
      <c r="P241">
        <v>0</v>
      </c>
      <c r="Q241">
        <v>0</v>
      </c>
      <c r="R241" t="s">
        <v>42671</v>
      </c>
      <c r="S241" t="s">
        <v>42779</v>
      </c>
      <c r="T241" t="s">
        <v>44371</v>
      </c>
      <c r="U241" t="s">
        <v>45076</v>
      </c>
      <c r="V241" t="s">
        <v>56358</v>
      </c>
      <c r="W241" t="s">
        <v>38861</v>
      </c>
      <c r="X241" t="s">
        <v>42676</v>
      </c>
    </row>
    <row r="242" spans="1:24">
      <c r="A242">
        <f>HYPERLINK("https://www.philgeps.gov.ph/GEPSNONPILOT/Tender/SplashBidNoticeAbstractUI.aspx?menuIndex=3&amp;refID=7192155&amp;Result=3","7192155")</f>
        <v>0</v>
      </c>
      <c r="B242" t="s">
        <v>37</v>
      </c>
      <c r="C242" t="s">
        <v>3748</v>
      </c>
      <c r="E242" t="s">
        <v>17482</v>
      </c>
      <c r="F242" t="s">
        <v>29372</v>
      </c>
      <c r="G242" t="s">
        <v>29380</v>
      </c>
      <c r="H242" t="s">
        <v>11048</v>
      </c>
      <c r="I242" t="s">
        <v>29425</v>
      </c>
      <c r="J242" t="s">
        <v>29734</v>
      </c>
      <c r="K242" t="s">
        <v>38490</v>
      </c>
      <c r="M242" t="s">
        <v>38790</v>
      </c>
      <c r="N242" t="s">
        <v>42669</v>
      </c>
      <c r="O242" t="s">
        <v>42670</v>
      </c>
      <c r="P242">
        <v>0</v>
      </c>
      <c r="Q242">
        <v>2</v>
      </c>
      <c r="R242" t="s">
        <v>42671</v>
      </c>
      <c r="S242" t="s">
        <v>42779</v>
      </c>
      <c r="T242" t="s">
        <v>44362</v>
      </c>
      <c r="U242" t="s">
        <v>45077</v>
      </c>
      <c r="W242" t="s">
        <v>38790</v>
      </c>
      <c r="X242" t="s">
        <v>42676</v>
      </c>
    </row>
    <row r="243" spans="1:24">
      <c r="A243">
        <f>HYPERLINK("https://www.philgeps.gov.ph/GEPSNONPILOT/Tender/SplashBidNoticeAbstractUI.aspx?menuIndex=3&amp;refID=7192130&amp;Result=3","7192130")</f>
        <v>0</v>
      </c>
      <c r="B243" t="s">
        <v>109</v>
      </c>
      <c r="C243" t="s">
        <v>3749</v>
      </c>
      <c r="D243" t="s">
        <v>17162</v>
      </c>
      <c r="E243" t="s">
        <v>17479</v>
      </c>
      <c r="F243" t="s">
        <v>29372</v>
      </c>
      <c r="G243" t="s">
        <v>29380</v>
      </c>
      <c r="H243" t="s">
        <v>11048</v>
      </c>
      <c r="I243" t="s">
        <v>3670</v>
      </c>
      <c r="J243" t="s">
        <v>29735</v>
      </c>
      <c r="K243" t="s">
        <v>38488</v>
      </c>
      <c r="M243" t="s">
        <v>38864</v>
      </c>
      <c r="N243" t="s">
        <v>42669</v>
      </c>
      <c r="O243" t="s">
        <v>42670</v>
      </c>
      <c r="P243">
        <v>0</v>
      </c>
      <c r="Q243">
        <v>1</v>
      </c>
      <c r="R243" t="s">
        <v>42671</v>
      </c>
      <c r="S243" t="s">
        <v>42779</v>
      </c>
      <c r="T243" t="s">
        <v>44357</v>
      </c>
      <c r="U243" t="s">
        <v>45031</v>
      </c>
      <c r="W243" t="s">
        <v>38864</v>
      </c>
      <c r="X243" t="s">
        <v>42676</v>
      </c>
    </row>
    <row r="244" spans="1:24">
      <c r="A244">
        <f>HYPERLINK("https://www.philgeps.gov.ph/GEPSNONPILOT/Tender/SplashBidNoticeAbstractUI.aspx?menuIndex=3&amp;refID=7192127&amp;Result=3","7192127")</f>
        <v>0</v>
      </c>
      <c r="B244" t="s">
        <v>129</v>
      </c>
      <c r="C244" t="s">
        <v>3750</v>
      </c>
      <c r="E244" t="s">
        <v>17483</v>
      </c>
      <c r="F244" t="s">
        <v>29372</v>
      </c>
      <c r="G244" t="s">
        <v>29383</v>
      </c>
      <c r="H244" t="s">
        <v>11048</v>
      </c>
      <c r="I244" t="s">
        <v>29407</v>
      </c>
      <c r="J244" t="s">
        <v>29555</v>
      </c>
      <c r="K244" t="s">
        <v>38490</v>
      </c>
      <c r="M244" t="s">
        <v>38884</v>
      </c>
      <c r="N244" t="s">
        <v>42669</v>
      </c>
      <c r="O244" t="s">
        <v>42670</v>
      </c>
      <c r="P244">
        <v>0</v>
      </c>
      <c r="Q244">
        <v>3</v>
      </c>
      <c r="R244" t="s">
        <v>42671</v>
      </c>
      <c r="S244" t="s">
        <v>42779</v>
      </c>
      <c r="T244" t="s">
        <v>44417</v>
      </c>
      <c r="U244" t="s">
        <v>45078</v>
      </c>
      <c r="W244" t="s">
        <v>38884</v>
      </c>
      <c r="X244" t="s">
        <v>42676</v>
      </c>
    </row>
    <row r="245" spans="1:24">
      <c r="A245">
        <f>HYPERLINK("https://www.philgeps.gov.ph/GEPSNONPILOT/Tender/SplashBidNoticeAbstractUI.aspx?menuIndex=3&amp;refID=7192025&amp;Result=3","7192025")</f>
        <v>0</v>
      </c>
      <c r="B245" t="s">
        <v>130</v>
      </c>
      <c r="C245" t="s">
        <v>3751</v>
      </c>
      <c r="D245" t="s">
        <v>17185</v>
      </c>
      <c r="E245" t="s">
        <v>17484</v>
      </c>
      <c r="F245" t="s">
        <v>29372</v>
      </c>
      <c r="G245" t="s">
        <v>29380</v>
      </c>
      <c r="H245" t="s">
        <v>11048</v>
      </c>
      <c r="I245" t="s">
        <v>29426</v>
      </c>
      <c r="J245" t="s">
        <v>29736</v>
      </c>
      <c r="K245" t="s">
        <v>38490</v>
      </c>
      <c r="M245" t="s">
        <v>38885</v>
      </c>
      <c r="N245" t="s">
        <v>42669</v>
      </c>
      <c r="O245" t="s">
        <v>42670</v>
      </c>
      <c r="P245">
        <v>0</v>
      </c>
      <c r="Q245">
        <v>3</v>
      </c>
      <c r="R245" t="s">
        <v>42671</v>
      </c>
      <c r="S245" t="s">
        <v>42779</v>
      </c>
      <c r="T245" t="s">
        <v>44412</v>
      </c>
      <c r="U245" t="s">
        <v>45079</v>
      </c>
      <c r="W245" t="s">
        <v>38885</v>
      </c>
      <c r="X245" t="s">
        <v>42676</v>
      </c>
    </row>
    <row r="246" spans="1:24">
      <c r="A246">
        <f>HYPERLINK("https://www.philgeps.gov.ph/GEPSNONPILOT/Tender/SplashBidNoticeAbstractUI.aspx?menuIndex=3&amp;refID=7192187&amp;Result=3","7192187")</f>
        <v>0</v>
      </c>
      <c r="B246" t="s">
        <v>131</v>
      </c>
      <c r="C246" t="s">
        <v>3752</v>
      </c>
      <c r="D246" t="s">
        <v>17178</v>
      </c>
      <c r="E246" t="s">
        <v>17485</v>
      </c>
      <c r="F246" t="s">
        <v>29372</v>
      </c>
      <c r="G246" t="s">
        <v>29383</v>
      </c>
      <c r="H246" t="s">
        <v>11048</v>
      </c>
      <c r="I246" t="s">
        <v>29393</v>
      </c>
      <c r="J246" t="s">
        <v>29737</v>
      </c>
      <c r="K246" t="s">
        <v>38490</v>
      </c>
      <c r="M246" t="s">
        <v>38886</v>
      </c>
      <c r="N246" t="s">
        <v>42669</v>
      </c>
      <c r="O246" t="s">
        <v>42670</v>
      </c>
      <c r="P246">
        <v>0</v>
      </c>
      <c r="Q246">
        <v>0</v>
      </c>
      <c r="R246" t="s">
        <v>42671</v>
      </c>
      <c r="S246" t="s">
        <v>42779</v>
      </c>
      <c r="T246" t="s">
        <v>44418</v>
      </c>
      <c r="U246" t="s">
        <v>45080</v>
      </c>
      <c r="V246" t="s">
        <v>56359</v>
      </c>
      <c r="W246" t="s">
        <v>38886</v>
      </c>
      <c r="X246" t="s">
        <v>42676</v>
      </c>
    </row>
    <row r="247" spans="1:24">
      <c r="A247">
        <f>HYPERLINK("https://www.philgeps.gov.ph/GEPSNONPILOT/Tender/SplashBidNoticeAbstractUI.aspx?menuIndex=3&amp;refID=7192105&amp;Result=3","7192105")</f>
        <v>0</v>
      </c>
      <c r="B247" t="s">
        <v>130</v>
      </c>
      <c r="C247" t="s">
        <v>3753</v>
      </c>
      <c r="D247" t="s">
        <v>17185</v>
      </c>
      <c r="E247" t="s">
        <v>17486</v>
      </c>
      <c r="F247" t="s">
        <v>29372</v>
      </c>
      <c r="G247" t="s">
        <v>29380</v>
      </c>
      <c r="H247" t="s">
        <v>11048</v>
      </c>
      <c r="I247" t="s">
        <v>29427</v>
      </c>
      <c r="J247" t="s">
        <v>29738</v>
      </c>
      <c r="K247" t="s">
        <v>38490</v>
      </c>
      <c r="M247" t="s">
        <v>38885</v>
      </c>
      <c r="N247" t="s">
        <v>42669</v>
      </c>
      <c r="O247" t="s">
        <v>42670</v>
      </c>
      <c r="P247">
        <v>0</v>
      </c>
      <c r="Q247">
        <v>0</v>
      </c>
      <c r="R247" t="s">
        <v>42671</v>
      </c>
      <c r="S247" t="s">
        <v>42779</v>
      </c>
      <c r="T247" t="s">
        <v>44412</v>
      </c>
      <c r="U247" t="s">
        <v>45081</v>
      </c>
      <c r="W247" t="s">
        <v>38885</v>
      </c>
      <c r="X247" t="s">
        <v>42676</v>
      </c>
    </row>
    <row r="248" spans="1:24">
      <c r="A248">
        <f>HYPERLINK("https://www.philgeps.gov.ph/GEPSNONPILOT/Tender/SplashBidNoticeAbstractUI.aspx?menuIndex=3&amp;refID=7192103&amp;Result=3","7192103")</f>
        <v>0</v>
      </c>
      <c r="B248" t="s">
        <v>132</v>
      </c>
      <c r="C248" t="s">
        <v>3754</v>
      </c>
      <c r="D248" t="s">
        <v>17167</v>
      </c>
      <c r="E248" t="s">
        <v>17487</v>
      </c>
      <c r="F248" t="s">
        <v>29372</v>
      </c>
      <c r="G248" t="s">
        <v>29381</v>
      </c>
      <c r="H248" t="s">
        <v>11048</v>
      </c>
      <c r="I248" t="s">
        <v>9642</v>
      </c>
      <c r="J248" t="s">
        <v>29739</v>
      </c>
      <c r="K248" t="s">
        <v>38485</v>
      </c>
      <c r="M248" t="s">
        <v>38887</v>
      </c>
      <c r="N248" t="s">
        <v>42669</v>
      </c>
      <c r="O248" t="s">
        <v>42670</v>
      </c>
      <c r="P248">
        <v>0</v>
      </c>
      <c r="Q248">
        <v>2</v>
      </c>
      <c r="R248" t="s">
        <v>42671</v>
      </c>
      <c r="S248" t="s">
        <v>42779</v>
      </c>
      <c r="T248" t="s">
        <v>44419</v>
      </c>
      <c r="U248" t="s">
        <v>45082</v>
      </c>
      <c r="W248" t="s">
        <v>58002</v>
      </c>
      <c r="X248" t="s">
        <v>42676</v>
      </c>
    </row>
    <row r="249" spans="1:24">
      <c r="A249">
        <f>HYPERLINK("https://www.philgeps.gov.ph/GEPSNONPILOT/Tender/SplashBidNoticeAbstractUI.aspx?menuIndex=3&amp;refID=7192111&amp;Result=3","7192111")</f>
        <v>0</v>
      </c>
      <c r="B249" t="s">
        <v>133</v>
      </c>
      <c r="C249" t="s">
        <v>3755</v>
      </c>
      <c r="D249" t="s">
        <v>17186</v>
      </c>
      <c r="E249" t="s">
        <v>17488</v>
      </c>
      <c r="F249" t="s">
        <v>29372</v>
      </c>
      <c r="G249" t="s">
        <v>29380</v>
      </c>
      <c r="H249" t="s">
        <v>11048</v>
      </c>
      <c r="I249" t="s">
        <v>9469</v>
      </c>
      <c r="J249" t="s">
        <v>29740</v>
      </c>
      <c r="K249" t="s">
        <v>38488</v>
      </c>
      <c r="M249" t="s">
        <v>38888</v>
      </c>
      <c r="N249" t="s">
        <v>42669</v>
      </c>
      <c r="O249" t="s">
        <v>42670</v>
      </c>
      <c r="P249">
        <v>0</v>
      </c>
      <c r="Q249">
        <v>3</v>
      </c>
      <c r="R249" t="s">
        <v>42671</v>
      </c>
      <c r="S249" t="s">
        <v>42779</v>
      </c>
      <c r="T249" t="s">
        <v>44381</v>
      </c>
      <c r="U249" t="s">
        <v>45083</v>
      </c>
      <c r="W249" t="s">
        <v>38888</v>
      </c>
      <c r="X249" t="s">
        <v>42676</v>
      </c>
    </row>
    <row r="250" spans="1:24">
      <c r="A250">
        <f>HYPERLINK("https://www.philgeps.gov.ph/GEPSNONPILOT/Tender/SplashBidNoticeAbstractUI.aspx?menuIndex=3&amp;refID=7192172&amp;Result=3","7192172")</f>
        <v>0</v>
      </c>
      <c r="B250" t="s">
        <v>131</v>
      </c>
      <c r="C250" t="s">
        <v>3756</v>
      </c>
      <c r="D250" t="s">
        <v>17178</v>
      </c>
      <c r="E250" t="s">
        <v>17489</v>
      </c>
      <c r="F250" t="s">
        <v>29372</v>
      </c>
      <c r="G250" t="s">
        <v>29383</v>
      </c>
      <c r="H250" t="s">
        <v>11048</v>
      </c>
      <c r="I250" t="s">
        <v>9642</v>
      </c>
      <c r="J250" t="s">
        <v>29741</v>
      </c>
      <c r="K250" t="s">
        <v>38490</v>
      </c>
      <c r="M250" t="s">
        <v>38886</v>
      </c>
      <c r="N250" t="s">
        <v>42669</v>
      </c>
      <c r="O250" t="s">
        <v>42670</v>
      </c>
      <c r="P250">
        <v>0</v>
      </c>
      <c r="Q250">
        <v>0</v>
      </c>
      <c r="R250" t="s">
        <v>42671</v>
      </c>
      <c r="S250" t="s">
        <v>42779</v>
      </c>
      <c r="T250" t="s">
        <v>44418</v>
      </c>
      <c r="U250" t="s">
        <v>45084</v>
      </c>
      <c r="V250" t="s">
        <v>56360</v>
      </c>
      <c r="W250" t="s">
        <v>38886</v>
      </c>
      <c r="X250" t="s">
        <v>42676</v>
      </c>
    </row>
    <row r="251" spans="1:24">
      <c r="A251">
        <f>HYPERLINK("https://www.philgeps.gov.ph/GEPSNONPILOT/Tender/SplashBidNoticeAbstractUI.aspx?menuIndex=3&amp;refID=7192285&amp;Result=3","7192285")</f>
        <v>0</v>
      </c>
      <c r="B251" t="s">
        <v>131</v>
      </c>
      <c r="C251" t="s">
        <v>3757</v>
      </c>
      <c r="D251" t="s">
        <v>17178</v>
      </c>
      <c r="E251" t="s">
        <v>17490</v>
      </c>
      <c r="F251" t="s">
        <v>29372</v>
      </c>
      <c r="G251" t="s">
        <v>29379</v>
      </c>
      <c r="H251" t="s">
        <v>11048</v>
      </c>
      <c r="I251" t="s">
        <v>29403</v>
      </c>
      <c r="J251" t="s">
        <v>29742</v>
      </c>
      <c r="K251" t="s">
        <v>38490</v>
      </c>
      <c r="M251" t="s">
        <v>38886</v>
      </c>
      <c r="N251" t="s">
        <v>42669</v>
      </c>
      <c r="O251" t="s">
        <v>42670</v>
      </c>
      <c r="P251">
        <v>0</v>
      </c>
      <c r="Q251">
        <v>0</v>
      </c>
      <c r="R251" t="s">
        <v>42671</v>
      </c>
      <c r="S251" t="s">
        <v>42779</v>
      </c>
      <c r="T251" t="s">
        <v>44418</v>
      </c>
      <c r="U251" t="s">
        <v>45085</v>
      </c>
      <c r="V251" t="s">
        <v>56361</v>
      </c>
      <c r="W251" t="s">
        <v>38886</v>
      </c>
      <c r="X251" t="s">
        <v>42676</v>
      </c>
    </row>
    <row r="252" spans="1:24">
      <c r="A252">
        <f>HYPERLINK("https://www.philgeps.gov.ph/GEPSNONPILOT/Tender/SplashBidNoticeAbstractUI.aspx?menuIndex=3&amp;refID=7192087&amp;Result=3","7192087")</f>
        <v>0</v>
      </c>
      <c r="B252" t="s">
        <v>52</v>
      </c>
      <c r="C252" t="s">
        <v>3758</v>
      </c>
      <c r="D252" t="s">
        <v>17160</v>
      </c>
      <c r="E252" t="s">
        <v>17491</v>
      </c>
      <c r="F252" t="s">
        <v>29372</v>
      </c>
      <c r="G252" t="s">
        <v>29379</v>
      </c>
      <c r="H252" t="s">
        <v>11048</v>
      </c>
      <c r="I252" t="s">
        <v>14920</v>
      </c>
      <c r="J252" t="s">
        <v>29743</v>
      </c>
      <c r="K252" t="s">
        <v>38522</v>
      </c>
      <c r="M252" t="s">
        <v>38805</v>
      </c>
      <c r="N252" t="s">
        <v>42669</v>
      </c>
      <c r="O252" t="s">
        <v>42670</v>
      </c>
      <c r="P252">
        <v>0</v>
      </c>
      <c r="Q252">
        <v>1</v>
      </c>
      <c r="R252" t="s">
        <v>42671</v>
      </c>
      <c r="S252" t="s">
        <v>42779</v>
      </c>
      <c r="T252" t="s">
        <v>44380</v>
      </c>
      <c r="U252" t="s">
        <v>45086</v>
      </c>
      <c r="W252" t="s">
        <v>38805</v>
      </c>
      <c r="X252" t="s">
        <v>42676</v>
      </c>
    </row>
    <row r="253" spans="1:24">
      <c r="A253">
        <f>HYPERLINK("https://www.philgeps.gov.ph/GEPSNONPILOT/Tender/SplashBidNoticeAbstractUI.aspx?menuIndex=3&amp;refID=7192125&amp;Result=3","7192125")</f>
        <v>0</v>
      </c>
      <c r="B253" t="s">
        <v>132</v>
      </c>
      <c r="C253" t="s">
        <v>3759</v>
      </c>
      <c r="D253" t="s">
        <v>17167</v>
      </c>
      <c r="E253" t="s">
        <v>17492</v>
      </c>
      <c r="F253" t="s">
        <v>29372</v>
      </c>
      <c r="G253" t="s">
        <v>29380</v>
      </c>
      <c r="H253" t="s">
        <v>11048</v>
      </c>
      <c r="I253" t="s">
        <v>9469</v>
      </c>
      <c r="J253" t="s">
        <v>29744</v>
      </c>
      <c r="K253" t="s">
        <v>38485</v>
      </c>
      <c r="M253" t="s">
        <v>38887</v>
      </c>
      <c r="N253" t="s">
        <v>42669</v>
      </c>
      <c r="O253" t="s">
        <v>42670</v>
      </c>
      <c r="P253">
        <v>0</v>
      </c>
      <c r="Q253">
        <v>2</v>
      </c>
      <c r="R253" t="s">
        <v>42671</v>
      </c>
      <c r="S253" t="s">
        <v>42779</v>
      </c>
      <c r="T253" t="s">
        <v>44420</v>
      </c>
      <c r="U253" t="s">
        <v>45087</v>
      </c>
      <c r="W253" t="s">
        <v>58002</v>
      </c>
      <c r="X253" t="s">
        <v>42676</v>
      </c>
    </row>
    <row r="254" spans="1:24">
      <c r="A254">
        <f>HYPERLINK("https://www.philgeps.gov.ph/GEPSNONPILOT/Tender/SplashBidNoticeAbstractUI.aspx?menuIndex=3&amp;refID=7191918&amp;Result=3","7191918")</f>
        <v>0</v>
      </c>
      <c r="B254" t="s">
        <v>127</v>
      </c>
      <c r="C254" t="s">
        <v>3760</v>
      </c>
      <c r="D254" t="s">
        <v>17177</v>
      </c>
      <c r="E254" t="s">
        <v>17493</v>
      </c>
      <c r="F254" t="s">
        <v>29372</v>
      </c>
      <c r="G254" t="s">
        <v>29383</v>
      </c>
      <c r="H254" t="s">
        <v>11048</v>
      </c>
      <c r="I254" t="s">
        <v>5383</v>
      </c>
      <c r="J254" t="s">
        <v>29745</v>
      </c>
      <c r="K254" t="s">
        <v>38491</v>
      </c>
      <c r="M254" t="s">
        <v>38882</v>
      </c>
      <c r="N254" t="s">
        <v>42669</v>
      </c>
      <c r="O254" t="s">
        <v>42670</v>
      </c>
      <c r="P254">
        <v>0</v>
      </c>
      <c r="Q254">
        <v>2</v>
      </c>
      <c r="R254" t="s">
        <v>42671</v>
      </c>
      <c r="S254" t="s">
        <v>42779</v>
      </c>
      <c r="T254" t="s">
        <v>44389</v>
      </c>
      <c r="U254" t="s">
        <v>45088</v>
      </c>
      <c r="W254" t="s">
        <v>38882</v>
      </c>
      <c r="X254" t="s">
        <v>42676</v>
      </c>
    </row>
    <row r="255" spans="1:24">
      <c r="A255">
        <f>HYPERLINK("https://www.philgeps.gov.ph/GEPSNONPILOT/Tender/SplashBidNoticeAbstractUI.aspx?menuIndex=3&amp;refID=7192267&amp;Result=3","7192267")</f>
        <v>0</v>
      </c>
      <c r="B255" t="s">
        <v>134</v>
      </c>
      <c r="C255" t="s">
        <v>3761</v>
      </c>
      <c r="D255" t="s">
        <v>17177</v>
      </c>
      <c r="E255" t="s">
        <v>17494</v>
      </c>
      <c r="F255" t="s">
        <v>29372</v>
      </c>
      <c r="G255" t="s">
        <v>29379</v>
      </c>
      <c r="H255" t="s">
        <v>11048</v>
      </c>
      <c r="I255" t="s">
        <v>29428</v>
      </c>
      <c r="J255" t="s">
        <v>29746</v>
      </c>
      <c r="K255" t="s">
        <v>38528</v>
      </c>
      <c r="M255" t="s">
        <v>38889</v>
      </c>
      <c r="N255" t="s">
        <v>42669</v>
      </c>
      <c r="O255" t="s">
        <v>42670</v>
      </c>
      <c r="P255">
        <v>0</v>
      </c>
      <c r="Q255">
        <v>0</v>
      </c>
      <c r="R255" t="s">
        <v>42671</v>
      </c>
      <c r="S255" t="s">
        <v>42779</v>
      </c>
      <c r="T255" t="s">
        <v>44382</v>
      </c>
      <c r="U255" t="s">
        <v>45089</v>
      </c>
      <c r="W255" t="s">
        <v>38889</v>
      </c>
      <c r="X255" t="s">
        <v>42676</v>
      </c>
    </row>
    <row r="256" spans="1:24">
      <c r="A256">
        <f>HYPERLINK("https://www.philgeps.gov.ph/GEPSNONPILOT/Tender/SplashBidNoticeAbstractUI.aspx?menuIndex=3&amp;refID=7192261&amp;Result=3","7192261")</f>
        <v>0</v>
      </c>
      <c r="B256" t="s">
        <v>106</v>
      </c>
      <c r="C256" t="s">
        <v>3692</v>
      </c>
      <c r="D256" t="s">
        <v>17172</v>
      </c>
      <c r="E256" t="s">
        <v>17495</v>
      </c>
      <c r="F256" t="s">
        <v>29372</v>
      </c>
      <c r="G256" t="s">
        <v>29379</v>
      </c>
      <c r="H256" t="s">
        <v>11048</v>
      </c>
      <c r="I256" t="s">
        <v>3670</v>
      </c>
      <c r="J256" t="s">
        <v>29747</v>
      </c>
      <c r="K256" t="s">
        <v>38488</v>
      </c>
      <c r="M256" t="s">
        <v>38861</v>
      </c>
      <c r="N256" t="s">
        <v>42669</v>
      </c>
      <c r="O256" t="s">
        <v>42670</v>
      </c>
      <c r="P256">
        <v>0</v>
      </c>
      <c r="Q256">
        <v>0</v>
      </c>
      <c r="R256" t="s">
        <v>42671</v>
      </c>
      <c r="S256" t="s">
        <v>42779</v>
      </c>
      <c r="T256" t="s">
        <v>44371</v>
      </c>
      <c r="U256" t="s">
        <v>45090</v>
      </c>
      <c r="V256" t="s">
        <v>56362</v>
      </c>
      <c r="W256" t="s">
        <v>38861</v>
      </c>
      <c r="X256" t="s">
        <v>42676</v>
      </c>
    </row>
    <row r="257" spans="1:24">
      <c r="A257">
        <f>HYPERLINK("https://www.philgeps.gov.ph/GEPSNONPILOT/Tender/SplashBidNoticeAbstractUI.aspx?menuIndex=3&amp;refID=7192258&amp;Result=3","7192258")</f>
        <v>0</v>
      </c>
      <c r="B257" t="s">
        <v>131</v>
      </c>
      <c r="C257" t="s">
        <v>3762</v>
      </c>
      <c r="D257" t="s">
        <v>17178</v>
      </c>
      <c r="E257" t="s">
        <v>17496</v>
      </c>
      <c r="F257" t="s">
        <v>29372</v>
      </c>
      <c r="G257" t="s">
        <v>29379</v>
      </c>
      <c r="H257" t="s">
        <v>11048</v>
      </c>
      <c r="I257" t="s">
        <v>8614</v>
      </c>
      <c r="J257" t="s">
        <v>29748</v>
      </c>
      <c r="K257" t="s">
        <v>38490</v>
      </c>
      <c r="M257" t="s">
        <v>38886</v>
      </c>
      <c r="N257" t="s">
        <v>42669</v>
      </c>
      <c r="O257" t="s">
        <v>42670</v>
      </c>
      <c r="P257">
        <v>0</v>
      </c>
      <c r="Q257">
        <v>1</v>
      </c>
      <c r="R257" t="s">
        <v>42671</v>
      </c>
      <c r="S257" t="s">
        <v>42779</v>
      </c>
      <c r="T257" t="s">
        <v>44418</v>
      </c>
      <c r="U257" t="s">
        <v>45091</v>
      </c>
      <c r="V257" t="s">
        <v>56363</v>
      </c>
      <c r="W257" t="s">
        <v>38886</v>
      </c>
      <c r="X257" t="s">
        <v>42676</v>
      </c>
    </row>
    <row r="258" spans="1:24">
      <c r="A258">
        <f>HYPERLINK("https://www.philgeps.gov.ph/GEPSNONPILOT/Tender/SplashBidNoticeAbstractUI.aspx?menuIndex=3&amp;refID=7192242&amp;Result=3","7192242")</f>
        <v>0</v>
      </c>
      <c r="B258" t="s">
        <v>131</v>
      </c>
      <c r="C258" t="s">
        <v>3763</v>
      </c>
      <c r="D258" t="s">
        <v>17178</v>
      </c>
      <c r="E258" t="s">
        <v>17497</v>
      </c>
      <c r="F258" t="s">
        <v>29372</v>
      </c>
      <c r="G258" t="s">
        <v>29383</v>
      </c>
      <c r="H258" t="s">
        <v>11048</v>
      </c>
      <c r="I258" t="s">
        <v>29395</v>
      </c>
      <c r="J258" t="s">
        <v>29749</v>
      </c>
      <c r="K258" t="s">
        <v>38490</v>
      </c>
      <c r="M258" t="s">
        <v>38886</v>
      </c>
      <c r="N258" t="s">
        <v>42669</v>
      </c>
      <c r="O258" t="s">
        <v>42670</v>
      </c>
      <c r="P258">
        <v>0</v>
      </c>
      <c r="Q258">
        <v>1</v>
      </c>
      <c r="R258" t="s">
        <v>42671</v>
      </c>
      <c r="S258" t="s">
        <v>42779</v>
      </c>
      <c r="T258" t="s">
        <v>44418</v>
      </c>
      <c r="U258" t="s">
        <v>45092</v>
      </c>
      <c r="V258" t="s">
        <v>56364</v>
      </c>
      <c r="W258" t="s">
        <v>38886</v>
      </c>
      <c r="X258" t="s">
        <v>42676</v>
      </c>
    </row>
    <row r="259" spans="1:24">
      <c r="A259">
        <f>HYPERLINK("https://www.philgeps.gov.ph/GEPSNONPILOT/Tender/SplashBidNoticeAbstractUI.aspx?menuIndex=3&amp;refID=7191566&amp;Result=3","7191566")</f>
        <v>0</v>
      </c>
      <c r="B259" t="s">
        <v>99</v>
      </c>
      <c r="C259" t="s">
        <v>3764</v>
      </c>
      <c r="D259" t="s">
        <v>17141</v>
      </c>
      <c r="E259" t="s">
        <v>17498</v>
      </c>
      <c r="F259" t="s">
        <v>29372</v>
      </c>
      <c r="G259" t="s">
        <v>29379</v>
      </c>
      <c r="H259" t="s">
        <v>11048</v>
      </c>
      <c r="I259" t="s">
        <v>4486</v>
      </c>
      <c r="J259" t="s">
        <v>29750</v>
      </c>
      <c r="K259" t="s">
        <v>38491</v>
      </c>
      <c r="M259" t="s">
        <v>38858</v>
      </c>
      <c r="N259" t="s">
        <v>42669</v>
      </c>
      <c r="O259" t="s">
        <v>42670</v>
      </c>
      <c r="P259">
        <v>0</v>
      </c>
      <c r="Q259">
        <v>3</v>
      </c>
      <c r="R259" t="s">
        <v>42671</v>
      </c>
      <c r="S259" t="s">
        <v>42779</v>
      </c>
      <c r="T259" t="s">
        <v>44371</v>
      </c>
      <c r="U259" t="s">
        <v>45093</v>
      </c>
      <c r="V259" t="s">
        <v>56350</v>
      </c>
      <c r="W259" t="s">
        <v>38858</v>
      </c>
      <c r="X259" t="s">
        <v>42676</v>
      </c>
    </row>
    <row r="260" spans="1:24">
      <c r="A260">
        <f>HYPERLINK("https://www.philgeps.gov.ph/GEPSNONPILOT/Tender/SplashBidNoticeAbstractUI.aspx?menuIndex=3&amp;refID=7192228&amp;Result=3","7192228")</f>
        <v>0</v>
      </c>
      <c r="B260" t="s">
        <v>131</v>
      </c>
      <c r="C260" t="s">
        <v>3765</v>
      </c>
      <c r="D260" t="s">
        <v>17178</v>
      </c>
      <c r="E260" t="s">
        <v>17499</v>
      </c>
      <c r="F260" t="s">
        <v>29372</v>
      </c>
      <c r="G260" t="s">
        <v>29379</v>
      </c>
      <c r="H260" t="s">
        <v>11048</v>
      </c>
      <c r="I260" t="s">
        <v>29420</v>
      </c>
      <c r="J260" t="s">
        <v>29751</v>
      </c>
      <c r="K260" t="s">
        <v>38490</v>
      </c>
      <c r="M260" t="s">
        <v>38886</v>
      </c>
      <c r="N260" t="s">
        <v>42669</v>
      </c>
      <c r="O260" t="s">
        <v>42670</v>
      </c>
      <c r="P260">
        <v>0</v>
      </c>
      <c r="Q260">
        <v>2</v>
      </c>
      <c r="R260" t="s">
        <v>42671</v>
      </c>
      <c r="S260" t="s">
        <v>42779</v>
      </c>
      <c r="T260" t="s">
        <v>44418</v>
      </c>
      <c r="U260" t="s">
        <v>45094</v>
      </c>
      <c r="V260" t="s">
        <v>56365</v>
      </c>
      <c r="W260" t="s">
        <v>38886</v>
      </c>
      <c r="X260" t="s">
        <v>42676</v>
      </c>
    </row>
    <row r="261" spans="1:24">
      <c r="A261">
        <f>HYPERLINK("https://www.philgeps.gov.ph/GEPSNONPILOT/Tender/SplashBidNoticeAbstractUI.aspx?menuIndex=3&amp;refID=7192263&amp;Result=3","7192263")</f>
        <v>0</v>
      </c>
      <c r="B261" t="s">
        <v>129</v>
      </c>
      <c r="C261" t="s">
        <v>3766</v>
      </c>
      <c r="E261" t="s">
        <v>17500</v>
      </c>
      <c r="F261" t="s">
        <v>29372</v>
      </c>
      <c r="G261" t="s">
        <v>29383</v>
      </c>
      <c r="H261" t="s">
        <v>11048</v>
      </c>
      <c r="I261" t="s">
        <v>29407</v>
      </c>
      <c r="J261" t="s">
        <v>29752</v>
      </c>
      <c r="K261" t="s">
        <v>38490</v>
      </c>
      <c r="M261" t="s">
        <v>38884</v>
      </c>
      <c r="N261" t="s">
        <v>42669</v>
      </c>
      <c r="O261" t="s">
        <v>42670</v>
      </c>
      <c r="P261">
        <v>0</v>
      </c>
      <c r="Q261">
        <v>2</v>
      </c>
      <c r="R261" t="s">
        <v>42671</v>
      </c>
      <c r="S261" t="s">
        <v>42779</v>
      </c>
      <c r="T261" t="s">
        <v>44417</v>
      </c>
      <c r="U261" t="s">
        <v>45095</v>
      </c>
      <c r="W261" t="s">
        <v>38884</v>
      </c>
      <c r="X261" t="s">
        <v>42676</v>
      </c>
    </row>
    <row r="262" spans="1:24">
      <c r="A262">
        <f>HYPERLINK("https://www.philgeps.gov.ph/GEPSNONPILOT/Tender/SplashBidNoticeAbstractUI.aspx?menuIndex=3&amp;refID=7192222&amp;Result=3","7192222")</f>
        <v>0</v>
      </c>
      <c r="B262" t="s">
        <v>130</v>
      </c>
      <c r="C262" t="s">
        <v>3767</v>
      </c>
      <c r="D262" t="s">
        <v>17185</v>
      </c>
      <c r="E262" t="s">
        <v>17501</v>
      </c>
      <c r="F262" t="s">
        <v>29372</v>
      </c>
      <c r="G262" t="s">
        <v>29380</v>
      </c>
      <c r="H262" t="s">
        <v>11048</v>
      </c>
      <c r="I262" t="s">
        <v>8208</v>
      </c>
      <c r="J262" t="s">
        <v>29753</v>
      </c>
      <c r="K262" t="s">
        <v>38490</v>
      </c>
      <c r="M262" t="s">
        <v>38885</v>
      </c>
      <c r="N262" t="s">
        <v>42669</v>
      </c>
      <c r="O262" t="s">
        <v>42670</v>
      </c>
      <c r="P262">
        <v>0</v>
      </c>
      <c r="Q262">
        <v>0</v>
      </c>
      <c r="R262" t="s">
        <v>42671</v>
      </c>
      <c r="S262" t="s">
        <v>42779</v>
      </c>
      <c r="T262" t="s">
        <v>44412</v>
      </c>
      <c r="U262" t="s">
        <v>45096</v>
      </c>
      <c r="W262" t="s">
        <v>38885</v>
      </c>
      <c r="X262" t="s">
        <v>42676</v>
      </c>
    </row>
    <row r="263" spans="1:24">
      <c r="A263">
        <f>HYPERLINK("https://www.philgeps.gov.ph/GEPSNONPILOT/Tender/SplashBidNoticeAbstractUI.aspx?menuIndex=3&amp;refID=7192212&amp;Result=3","7192212")</f>
        <v>0</v>
      </c>
      <c r="B263" t="s">
        <v>131</v>
      </c>
      <c r="C263" t="s">
        <v>3768</v>
      </c>
      <c r="D263" t="s">
        <v>17178</v>
      </c>
      <c r="E263" t="s">
        <v>17502</v>
      </c>
      <c r="F263" t="s">
        <v>29372</v>
      </c>
      <c r="G263" t="s">
        <v>29379</v>
      </c>
      <c r="H263" t="s">
        <v>11048</v>
      </c>
      <c r="I263" t="s">
        <v>9642</v>
      </c>
      <c r="J263" t="s">
        <v>29604</v>
      </c>
      <c r="K263" t="s">
        <v>38490</v>
      </c>
      <c r="M263" t="s">
        <v>38886</v>
      </c>
      <c r="N263" t="s">
        <v>42669</v>
      </c>
      <c r="O263" t="s">
        <v>42670</v>
      </c>
      <c r="P263">
        <v>0</v>
      </c>
      <c r="Q263">
        <v>3</v>
      </c>
      <c r="R263" t="s">
        <v>42671</v>
      </c>
      <c r="S263" t="s">
        <v>42779</v>
      </c>
      <c r="T263" t="s">
        <v>44418</v>
      </c>
      <c r="U263" t="s">
        <v>45097</v>
      </c>
      <c r="V263" t="s">
        <v>56366</v>
      </c>
      <c r="W263" t="s">
        <v>38886</v>
      </c>
      <c r="X263" t="s">
        <v>42676</v>
      </c>
    </row>
    <row r="264" spans="1:24">
      <c r="A264">
        <f>HYPERLINK("https://www.philgeps.gov.ph/GEPSNONPILOT/Tender/SplashBidNoticeAbstractUI.aspx?menuIndex=3&amp;refID=7192202&amp;Result=3","7192202")</f>
        <v>0</v>
      </c>
      <c r="B264" t="s">
        <v>72</v>
      </c>
      <c r="C264" t="s">
        <v>3769</v>
      </c>
      <c r="D264" t="s">
        <v>17158</v>
      </c>
      <c r="E264" t="s">
        <v>17503</v>
      </c>
      <c r="F264" t="s">
        <v>29372</v>
      </c>
      <c r="G264" t="s">
        <v>29382</v>
      </c>
      <c r="H264" t="s">
        <v>11048</v>
      </c>
      <c r="I264" t="s">
        <v>5383</v>
      </c>
      <c r="J264" t="s">
        <v>29754</v>
      </c>
      <c r="K264" t="s">
        <v>38489</v>
      </c>
      <c r="M264" t="s">
        <v>38826</v>
      </c>
      <c r="N264" t="s">
        <v>42669</v>
      </c>
      <c r="O264" t="s">
        <v>42670</v>
      </c>
      <c r="P264">
        <v>0</v>
      </c>
      <c r="Q264">
        <v>0</v>
      </c>
      <c r="R264" t="s">
        <v>42671</v>
      </c>
      <c r="S264" t="s">
        <v>42779</v>
      </c>
      <c r="T264" t="s">
        <v>44394</v>
      </c>
      <c r="U264" t="s">
        <v>45098</v>
      </c>
      <c r="W264" t="s">
        <v>38826</v>
      </c>
      <c r="X264" t="s">
        <v>42676</v>
      </c>
    </row>
    <row r="265" spans="1:24">
      <c r="A265">
        <f>HYPERLINK("https://www.philgeps.gov.ph/GEPSNONPILOT/Tender/SplashBidNoticeAbstractUI.aspx?menuIndex=3&amp;refID=7192269&amp;Result=3","7192269")</f>
        <v>0</v>
      </c>
      <c r="B265" t="s">
        <v>131</v>
      </c>
      <c r="C265" t="s">
        <v>3757</v>
      </c>
      <c r="D265" t="s">
        <v>17178</v>
      </c>
      <c r="E265" t="s">
        <v>17504</v>
      </c>
      <c r="F265" t="s">
        <v>29372</v>
      </c>
      <c r="G265" t="s">
        <v>29379</v>
      </c>
      <c r="H265" t="s">
        <v>11048</v>
      </c>
      <c r="I265" t="s">
        <v>29403</v>
      </c>
      <c r="J265" t="s">
        <v>29755</v>
      </c>
      <c r="K265" t="s">
        <v>38490</v>
      </c>
      <c r="M265" t="s">
        <v>38886</v>
      </c>
      <c r="N265" t="s">
        <v>42669</v>
      </c>
      <c r="O265" t="s">
        <v>42670</v>
      </c>
      <c r="P265">
        <v>0</v>
      </c>
      <c r="Q265">
        <v>0</v>
      </c>
      <c r="R265" t="s">
        <v>42671</v>
      </c>
      <c r="S265" t="s">
        <v>42779</v>
      </c>
      <c r="T265" t="s">
        <v>44418</v>
      </c>
      <c r="U265" t="s">
        <v>45099</v>
      </c>
      <c r="V265" t="s">
        <v>56367</v>
      </c>
      <c r="W265" t="s">
        <v>38886</v>
      </c>
      <c r="X265" t="s">
        <v>42676</v>
      </c>
    </row>
    <row r="266" spans="1:24">
      <c r="A266">
        <f>HYPERLINK("https://www.philgeps.gov.ph/GEPSNONPILOT/Tender/SplashBidNoticeAbstractUI.aspx?menuIndex=3&amp;refID=7192201&amp;Result=3","7192201")</f>
        <v>0</v>
      </c>
      <c r="B266" t="s">
        <v>131</v>
      </c>
      <c r="C266" t="s">
        <v>3752</v>
      </c>
      <c r="D266" t="s">
        <v>17178</v>
      </c>
      <c r="E266" t="s">
        <v>17505</v>
      </c>
      <c r="F266" t="s">
        <v>29372</v>
      </c>
      <c r="G266" t="s">
        <v>29383</v>
      </c>
      <c r="H266" t="s">
        <v>11048</v>
      </c>
      <c r="I266" t="s">
        <v>29393</v>
      </c>
      <c r="J266" t="s">
        <v>29756</v>
      </c>
      <c r="K266" t="s">
        <v>38490</v>
      </c>
      <c r="M266" t="s">
        <v>38886</v>
      </c>
      <c r="N266" t="s">
        <v>42669</v>
      </c>
      <c r="O266" t="s">
        <v>42670</v>
      </c>
      <c r="P266">
        <v>0</v>
      </c>
      <c r="Q266">
        <v>0</v>
      </c>
      <c r="R266" t="s">
        <v>42671</v>
      </c>
      <c r="S266" t="s">
        <v>42779</v>
      </c>
      <c r="T266" t="s">
        <v>44418</v>
      </c>
      <c r="U266" t="s">
        <v>45080</v>
      </c>
      <c r="V266" t="s">
        <v>56368</v>
      </c>
      <c r="W266" t="s">
        <v>38886</v>
      </c>
      <c r="X266" t="s">
        <v>42676</v>
      </c>
    </row>
    <row r="267" spans="1:24">
      <c r="A267">
        <f>HYPERLINK("https://www.philgeps.gov.ph/GEPSNONPILOT/Tender/SplashBidNoticeAbstractUI.aspx?menuIndex=3&amp;refID=7192197&amp;Result=3","7192197")</f>
        <v>0</v>
      </c>
      <c r="B267" t="s">
        <v>129</v>
      </c>
      <c r="C267" t="s">
        <v>3770</v>
      </c>
      <c r="E267" t="s">
        <v>17506</v>
      </c>
      <c r="F267" t="s">
        <v>29372</v>
      </c>
      <c r="G267" t="s">
        <v>29383</v>
      </c>
      <c r="H267" t="s">
        <v>11048</v>
      </c>
      <c r="I267" t="s">
        <v>29407</v>
      </c>
      <c r="J267" t="s">
        <v>29757</v>
      </c>
      <c r="K267" t="s">
        <v>38490</v>
      </c>
      <c r="M267" t="s">
        <v>38884</v>
      </c>
      <c r="N267" t="s">
        <v>42669</v>
      </c>
      <c r="O267" t="s">
        <v>42670</v>
      </c>
      <c r="P267">
        <v>0</v>
      </c>
      <c r="Q267">
        <v>1</v>
      </c>
      <c r="R267" t="s">
        <v>42671</v>
      </c>
      <c r="S267" t="s">
        <v>42779</v>
      </c>
      <c r="T267" t="s">
        <v>44382</v>
      </c>
      <c r="U267" t="s">
        <v>45100</v>
      </c>
      <c r="W267" t="s">
        <v>38884</v>
      </c>
      <c r="X267" t="s">
        <v>42676</v>
      </c>
    </row>
    <row r="268" spans="1:24">
      <c r="A268">
        <f>HYPERLINK("https://www.philgeps.gov.ph/GEPSNONPILOT/Tender/SplashBidNoticeAbstractUI.aspx?menuIndex=3&amp;refID=7192443&amp;Result=3","7192443")</f>
        <v>0</v>
      </c>
      <c r="B268" t="s">
        <v>135</v>
      </c>
      <c r="C268" t="s">
        <v>3771</v>
      </c>
      <c r="D268" t="s">
        <v>17175</v>
      </c>
      <c r="E268" t="s">
        <v>17507</v>
      </c>
      <c r="F268" t="s">
        <v>29373</v>
      </c>
      <c r="G268" t="s">
        <v>29383</v>
      </c>
      <c r="H268" t="s">
        <v>29389</v>
      </c>
      <c r="I268" t="s">
        <v>29429</v>
      </c>
      <c r="J268" t="s">
        <v>29758</v>
      </c>
      <c r="K268" t="s">
        <v>38487</v>
      </c>
      <c r="M268" t="s">
        <v>38890</v>
      </c>
      <c r="N268" t="s">
        <v>42669</v>
      </c>
      <c r="O268" t="s">
        <v>42670</v>
      </c>
      <c r="P268">
        <v>0</v>
      </c>
      <c r="Q268">
        <v>0</v>
      </c>
      <c r="R268" t="s">
        <v>42671</v>
      </c>
      <c r="S268" t="s">
        <v>42779</v>
      </c>
      <c r="T268" t="s">
        <v>44371</v>
      </c>
      <c r="U268" t="s">
        <v>45101</v>
      </c>
      <c r="W268" t="s">
        <v>38890</v>
      </c>
      <c r="X268" t="s">
        <v>42676</v>
      </c>
    </row>
    <row r="269" spans="1:24">
      <c r="A269">
        <f>HYPERLINK("https://www.philgeps.gov.ph/GEPSNONPILOT/Tender/SplashBidNoticeAbstractUI.aspx?menuIndex=3&amp;refID=7192469&amp;Result=3","7192469")</f>
        <v>0</v>
      </c>
      <c r="B269" t="s">
        <v>136</v>
      </c>
      <c r="C269" t="s">
        <v>3772</v>
      </c>
      <c r="D269" t="s">
        <v>17141</v>
      </c>
      <c r="E269" t="s">
        <v>17508</v>
      </c>
      <c r="F269" t="s">
        <v>29372</v>
      </c>
      <c r="G269" t="s">
        <v>29380</v>
      </c>
      <c r="H269" t="s">
        <v>11048</v>
      </c>
      <c r="I269" t="s">
        <v>29412</v>
      </c>
      <c r="J269" t="s">
        <v>29759</v>
      </c>
      <c r="K269" t="s">
        <v>38489</v>
      </c>
      <c r="M269" t="s">
        <v>38891</v>
      </c>
      <c r="N269" t="s">
        <v>42669</v>
      </c>
      <c r="O269" t="s">
        <v>42670</v>
      </c>
      <c r="P269">
        <v>0</v>
      </c>
      <c r="Q269">
        <v>2</v>
      </c>
      <c r="R269" t="s">
        <v>42671</v>
      </c>
      <c r="S269" t="s">
        <v>42779</v>
      </c>
      <c r="T269" t="s">
        <v>44409</v>
      </c>
      <c r="U269" t="s">
        <v>45102</v>
      </c>
      <c r="V269" t="s">
        <v>56369</v>
      </c>
      <c r="W269" t="s">
        <v>38891</v>
      </c>
      <c r="X269" t="s">
        <v>42676</v>
      </c>
    </row>
    <row r="270" spans="1:24">
      <c r="A270">
        <f>HYPERLINK("https://www.philgeps.gov.ph/GEPSNONPILOT/Tender/SplashBidNoticeAbstractUI.aspx?menuIndex=3&amp;refID=7192272&amp;Result=3","7192272")</f>
        <v>0</v>
      </c>
      <c r="B270" t="s">
        <v>76</v>
      </c>
      <c r="C270" t="s">
        <v>3773</v>
      </c>
      <c r="D270" t="s">
        <v>17168</v>
      </c>
      <c r="E270" t="s">
        <v>17509</v>
      </c>
      <c r="F270" t="s">
        <v>29372</v>
      </c>
      <c r="G270" t="s">
        <v>29379</v>
      </c>
      <c r="H270" t="s">
        <v>11048</v>
      </c>
      <c r="I270" t="s">
        <v>3629</v>
      </c>
      <c r="J270" t="s">
        <v>29760</v>
      </c>
      <c r="K270" t="s">
        <v>38488</v>
      </c>
      <c r="M270" t="s">
        <v>38830</v>
      </c>
      <c r="N270" t="s">
        <v>42669</v>
      </c>
      <c r="O270" t="s">
        <v>42670</v>
      </c>
      <c r="P270">
        <v>0</v>
      </c>
      <c r="Q270">
        <v>1</v>
      </c>
      <c r="R270" t="s">
        <v>42671</v>
      </c>
      <c r="S270" t="s">
        <v>42779</v>
      </c>
      <c r="T270" t="s">
        <v>44386</v>
      </c>
      <c r="U270" t="s">
        <v>45103</v>
      </c>
      <c r="W270" t="s">
        <v>38830</v>
      </c>
      <c r="X270" t="s">
        <v>42676</v>
      </c>
    </row>
    <row r="271" spans="1:24">
      <c r="A271">
        <f>HYPERLINK("https://www.philgeps.gov.ph/GEPSNONPILOT/Tender/SplashBidNoticeAbstractUI.aspx?menuIndex=3&amp;refID=7192203&amp;Result=3","7192203")</f>
        <v>0</v>
      </c>
      <c r="B271" t="s">
        <v>52</v>
      </c>
      <c r="C271" t="s">
        <v>3774</v>
      </c>
      <c r="D271" t="s">
        <v>17160</v>
      </c>
      <c r="E271" t="s">
        <v>17510</v>
      </c>
      <c r="F271" t="s">
        <v>29372</v>
      </c>
      <c r="G271" t="s">
        <v>29379</v>
      </c>
      <c r="H271" t="s">
        <v>11048</v>
      </c>
      <c r="I271" t="s">
        <v>14920</v>
      </c>
      <c r="J271" t="s">
        <v>29761</v>
      </c>
      <c r="K271" t="s">
        <v>38522</v>
      </c>
      <c r="M271" t="s">
        <v>38805</v>
      </c>
      <c r="N271" t="s">
        <v>42669</v>
      </c>
      <c r="O271" t="s">
        <v>42670</v>
      </c>
      <c r="P271">
        <v>0</v>
      </c>
      <c r="Q271">
        <v>1</v>
      </c>
      <c r="R271" t="s">
        <v>42671</v>
      </c>
      <c r="S271" t="s">
        <v>42779</v>
      </c>
      <c r="T271" t="s">
        <v>44380</v>
      </c>
      <c r="U271" t="s">
        <v>45104</v>
      </c>
      <c r="W271" t="s">
        <v>38805</v>
      </c>
      <c r="X271" t="s">
        <v>42676</v>
      </c>
    </row>
    <row r="272" spans="1:24">
      <c r="A272">
        <f>HYPERLINK("https://www.philgeps.gov.ph/GEPSNONPILOT/Tender/SplashBidNoticeAbstractUI.aspx?menuIndex=3&amp;refID=7192456&amp;Result=3","7192456")</f>
        <v>0</v>
      </c>
      <c r="B272" t="s">
        <v>65</v>
      </c>
      <c r="C272" t="s">
        <v>3775</v>
      </c>
      <c r="D272" t="s">
        <v>17141</v>
      </c>
      <c r="E272" t="s">
        <v>17511</v>
      </c>
      <c r="F272" t="s">
        <v>29372</v>
      </c>
      <c r="G272" t="s">
        <v>29379</v>
      </c>
      <c r="H272" t="s">
        <v>11048</v>
      </c>
      <c r="I272" t="s">
        <v>4709</v>
      </c>
      <c r="J272" t="s">
        <v>29762</v>
      </c>
      <c r="K272" t="s">
        <v>38489</v>
      </c>
      <c r="M272" t="s">
        <v>38819</v>
      </c>
      <c r="N272" t="s">
        <v>42669</v>
      </c>
      <c r="O272" t="s">
        <v>42670</v>
      </c>
      <c r="P272">
        <v>0</v>
      </c>
      <c r="Q272">
        <v>1</v>
      </c>
      <c r="R272" t="s">
        <v>42671</v>
      </c>
      <c r="S272" t="s">
        <v>42779</v>
      </c>
      <c r="T272" t="s">
        <v>44371</v>
      </c>
      <c r="U272" t="s">
        <v>45105</v>
      </c>
      <c r="W272" t="s">
        <v>38819</v>
      </c>
      <c r="X272" t="s">
        <v>42676</v>
      </c>
    </row>
    <row r="273" spans="1:24">
      <c r="A273">
        <f>HYPERLINK("https://www.philgeps.gov.ph/GEPSNONPILOT/Tender/SplashBidNoticeAbstractUI.aspx?menuIndex=3&amp;refID=7192412&amp;Result=3","7192412")</f>
        <v>0</v>
      </c>
      <c r="B273" t="s">
        <v>106</v>
      </c>
      <c r="C273" t="s">
        <v>3692</v>
      </c>
      <c r="D273" t="s">
        <v>17172</v>
      </c>
      <c r="E273" t="s">
        <v>17512</v>
      </c>
      <c r="F273" t="s">
        <v>29372</v>
      </c>
      <c r="G273" t="s">
        <v>29379</v>
      </c>
      <c r="H273" t="s">
        <v>11048</v>
      </c>
      <c r="I273" t="s">
        <v>3670</v>
      </c>
      <c r="J273" t="s">
        <v>29708</v>
      </c>
      <c r="K273" t="s">
        <v>38488</v>
      </c>
      <c r="M273" t="s">
        <v>38861</v>
      </c>
      <c r="N273" t="s">
        <v>42669</v>
      </c>
      <c r="O273" t="s">
        <v>42670</v>
      </c>
      <c r="P273">
        <v>0</v>
      </c>
      <c r="Q273">
        <v>0</v>
      </c>
      <c r="R273" t="s">
        <v>42671</v>
      </c>
      <c r="S273" t="s">
        <v>42779</v>
      </c>
      <c r="T273" t="s">
        <v>44371</v>
      </c>
      <c r="U273" t="s">
        <v>45106</v>
      </c>
      <c r="V273" t="s">
        <v>56370</v>
      </c>
      <c r="W273" t="s">
        <v>38861</v>
      </c>
      <c r="X273" t="s">
        <v>42676</v>
      </c>
    </row>
    <row r="274" spans="1:24">
      <c r="A274">
        <f>HYPERLINK("https://www.philgeps.gov.ph/GEPSNONPILOT/Tender/SplashBidNoticeAbstractUI.aspx?menuIndex=3&amp;refID=7192246&amp;Result=3","7192246")</f>
        <v>0</v>
      </c>
      <c r="B274" t="s">
        <v>130</v>
      </c>
      <c r="C274" t="s">
        <v>3776</v>
      </c>
      <c r="D274" t="s">
        <v>17185</v>
      </c>
      <c r="E274" t="s">
        <v>17513</v>
      </c>
      <c r="F274" t="s">
        <v>29372</v>
      </c>
      <c r="G274" t="s">
        <v>29380</v>
      </c>
      <c r="H274" t="s">
        <v>11048</v>
      </c>
      <c r="I274" t="s">
        <v>8614</v>
      </c>
      <c r="J274" t="s">
        <v>29587</v>
      </c>
      <c r="K274" t="s">
        <v>38490</v>
      </c>
      <c r="M274" t="s">
        <v>38885</v>
      </c>
      <c r="N274" t="s">
        <v>42669</v>
      </c>
      <c r="O274" t="s">
        <v>42670</v>
      </c>
      <c r="P274">
        <v>0</v>
      </c>
      <c r="Q274">
        <v>1</v>
      </c>
      <c r="R274" t="s">
        <v>42671</v>
      </c>
      <c r="S274" t="s">
        <v>42779</v>
      </c>
      <c r="T274" t="s">
        <v>44412</v>
      </c>
      <c r="U274" t="s">
        <v>45107</v>
      </c>
      <c r="W274" t="s">
        <v>38885</v>
      </c>
      <c r="X274" t="s">
        <v>42676</v>
      </c>
    </row>
    <row r="275" spans="1:24">
      <c r="A275">
        <f>HYPERLINK("https://www.philgeps.gov.ph/GEPSNONPILOT/Tender/SplashBidNoticeAbstractUI.aspx?menuIndex=3&amp;refID=7192398&amp;Result=3","7192398")</f>
        <v>0</v>
      </c>
      <c r="B275" t="s">
        <v>52</v>
      </c>
      <c r="C275" t="s">
        <v>3777</v>
      </c>
      <c r="D275" t="s">
        <v>17160</v>
      </c>
      <c r="E275" t="s">
        <v>17514</v>
      </c>
      <c r="F275" t="s">
        <v>29372</v>
      </c>
      <c r="G275" t="s">
        <v>29379</v>
      </c>
      <c r="H275" t="s">
        <v>11048</v>
      </c>
      <c r="I275" t="s">
        <v>14920</v>
      </c>
      <c r="J275" t="s">
        <v>29721</v>
      </c>
      <c r="K275" t="s">
        <v>38522</v>
      </c>
      <c r="M275" t="s">
        <v>38805</v>
      </c>
      <c r="N275" t="s">
        <v>42669</v>
      </c>
      <c r="O275" t="s">
        <v>42670</v>
      </c>
      <c r="P275">
        <v>0</v>
      </c>
      <c r="Q275">
        <v>1</v>
      </c>
      <c r="R275" t="s">
        <v>42671</v>
      </c>
      <c r="S275" t="s">
        <v>42779</v>
      </c>
      <c r="T275" t="s">
        <v>44380</v>
      </c>
      <c r="U275" t="s">
        <v>45108</v>
      </c>
      <c r="W275" t="s">
        <v>38805</v>
      </c>
      <c r="X275" t="s">
        <v>42676</v>
      </c>
    </row>
    <row r="276" spans="1:24">
      <c r="A276">
        <f>HYPERLINK("https://www.philgeps.gov.ph/GEPSNONPILOT/Tender/SplashBidNoticeAbstractUI.aspx?menuIndex=3&amp;refID=7192461&amp;Result=3","7192461")</f>
        <v>0</v>
      </c>
      <c r="B276" t="s">
        <v>137</v>
      </c>
      <c r="C276" t="s">
        <v>3778</v>
      </c>
      <c r="D276" t="s">
        <v>17187</v>
      </c>
      <c r="E276" t="s">
        <v>17515</v>
      </c>
      <c r="F276" t="s">
        <v>29372</v>
      </c>
      <c r="G276" t="s">
        <v>29380</v>
      </c>
      <c r="H276" t="s">
        <v>29389</v>
      </c>
      <c r="I276" t="s">
        <v>10408</v>
      </c>
      <c r="J276" t="s">
        <v>29590</v>
      </c>
      <c r="K276" t="s">
        <v>38491</v>
      </c>
      <c r="M276" t="s">
        <v>38892</v>
      </c>
      <c r="N276" t="s">
        <v>42669</v>
      </c>
      <c r="O276" t="s">
        <v>42670</v>
      </c>
      <c r="P276">
        <v>0</v>
      </c>
      <c r="Q276">
        <v>0</v>
      </c>
      <c r="R276" t="s">
        <v>42671</v>
      </c>
      <c r="S276" t="s">
        <v>42779</v>
      </c>
      <c r="T276" t="s">
        <v>44421</v>
      </c>
      <c r="U276" t="s">
        <v>45109</v>
      </c>
      <c r="W276" t="s">
        <v>38892</v>
      </c>
      <c r="X276" t="s">
        <v>42676</v>
      </c>
    </row>
    <row r="277" spans="1:24">
      <c r="A277">
        <f>HYPERLINK("https://www.philgeps.gov.ph/GEPSNONPILOT/Tender/SplashBidNoticeAbstractUI.aspx?menuIndex=3&amp;refID=7192379&amp;Result=3","7192379")</f>
        <v>0</v>
      </c>
      <c r="B277" t="s">
        <v>129</v>
      </c>
      <c r="C277" t="s">
        <v>3779</v>
      </c>
      <c r="E277" t="s">
        <v>17516</v>
      </c>
      <c r="F277" t="s">
        <v>29372</v>
      </c>
      <c r="G277" t="s">
        <v>29383</v>
      </c>
      <c r="H277" t="s">
        <v>11048</v>
      </c>
      <c r="I277" t="s">
        <v>29407</v>
      </c>
      <c r="J277" t="s">
        <v>29763</v>
      </c>
      <c r="K277" t="s">
        <v>38490</v>
      </c>
      <c r="M277" t="s">
        <v>38884</v>
      </c>
      <c r="N277" t="s">
        <v>42669</v>
      </c>
      <c r="O277" t="s">
        <v>42670</v>
      </c>
      <c r="P277">
        <v>0</v>
      </c>
      <c r="Q277">
        <v>2</v>
      </c>
      <c r="R277" t="s">
        <v>42671</v>
      </c>
      <c r="S277" t="s">
        <v>42779</v>
      </c>
      <c r="T277" t="s">
        <v>44382</v>
      </c>
      <c r="U277" t="s">
        <v>45110</v>
      </c>
      <c r="W277" t="s">
        <v>38884</v>
      </c>
      <c r="X277" t="s">
        <v>42676</v>
      </c>
    </row>
    <row r="278" spans="1:24">
      <c r="A278">
        <f>HYPERLINK("https://www.philgeps.gov.ph/GEPSNONPILOT/Tender/SplashBidNoticeAbstractUI.aspx?menuIndex=3&amp;refID=7192370&amp;Result=3","7192370")</f>
        <v>0</v>
      </c>
      <c r="B278" t="s">
        <v>138</v>
      </c>
      <c r="C278" t="s">
        <v>3780</v>
      </c>
      <c r="D278" t="s">
        <v>17141</v>
      </c>
      <c r="E278" t="s">
        <v>17517</v>
      </c>
      <c r="F278" t="s">
        <v>29372</v>
      </c>
      <c r="G278" t="s">
        <v>29379</v>
      </c>
      <c r="H278" t="s">
        <v>11048</v>
      </c>
      <c r="I278" t="s">
        <v>3839</v>
      </c>
      <c r="J278" t="s">
        <v>29642</v>
      </c>
      <c r="K278" t="s">
        <v>38490</v>
      </c>
      <c r="M278" t="s">
        <v>38893</v>
      </c>
      <c r="N278" t="s">
        <v>42669</v>
      </c>
      <c r="O278" t="s">
        <v>42670</v>
      </c>
      <c r="P278">
        <v>0</v>
      </c>
      <c r="Q278">
        <v>3</v>
      </c>
      <c r="R278" t="s">
        <v>42671</v>
      </c>
      <c r="S278" t="s">
        <v>42779</v>
      </c>
      <c r="T278" t="s">
        <v>44375</v>
      </c>
      <c r="U278" t="s">
        <v>45111</v>
      </c>
      <c r="V278" t="s">
        <v>56371</v>
      </c>
      <c r="W278" t="s">
        <v>38893</v>
      </c>
      <c r="X278" t="s">
        <v>42676</v>
      </c>
    </row>
    <row r="279" spans="1:24">
      <c r="A279">
        <f>HYPERLINK("https://www.philgeps.gov.ph/GEPSNONPILOT/Tender/SplashBidNoticeAbstractUI.aspx?menuIndex=3&amp;refID=7192402&amp;Result=3","7192402")</f>
        <v>0</v>
      </c>
      <c r="B279" t="s">
        <v>129</v>
      </c>
      <c r="C279" t="s">
        <v>3781</v>
      </c>
      <c r="E279" t="s">
        <v>17518</v>
      </c>
      <c r="F279" t="s">
        <v>29372</v>
      </c>
      <c r="G279" t="s">
        <v>29383</v>
      </c>
      <c r="H279" t="s">
        <v>11048</v>
      </c>
      <c r="I279" t="s">
        <v>29407</v>
      </c>
      <c r="J279" t="s">
        <v>29764</v>
      </c>
      <c r="K279" t="s">
        <v>38490</v>
      </c>
      <c r="M279" t="s">
        <v>38884</v>
      </c>
      <c r="N279" t="s">
        <v>42669</v>
      </c>
      <c r="O279" t="s">
        <v>42670</v>
      </c>
      <c r="P279">
        <v>0</v>
      </c>
      <c r="Q279">
        <v>5</v>
      </c>
      <c r="R279" t="s">
        <v>42671</v>
      </c>
      <c r="S279" t="s">
        <v>42779</v>
      </c>
      <c r="T279" t="s">
        <v>44382</v>
      </c>
      <c r="U279" t="s">
        <v>45112</v>
      </c>
      <c r="W279" t="s">
        <v>38884</v>
      </c>
      <c r="X279" t="s">
        <v>42676</v>
      </c>
    </row>
    <row r="280" spans="1:24">
      <c r="A280">
        <f>HYPERLINK("https://www.philgeps.gov.ph/GEPSNONPILOT/Tender/SplashBidNoticeAbstractUI.aspx?menuIndex=3&amp;refID=7192338&amp;Result=3","7192338")</f>
        <v>0</v>
      </c>
      <c r="B280" t="s">
        <v>129</v>
      </c>
      <c r="C280" t="s">
        <v>3782</v>
      </c>
      <c r="E280" t="s">
        <v>17519</v>
      </c>
      <c r="F280" t="s">
        <v>29372</v>
      </c>
      <c r="G280" t="s">
        <v>29383</v>
      </c>
      <c r="H280" t="s">
        <v>11048</v>
      </c>
      <c r="I280" t="s">
        <v>29407</v>
      </c>
      <c r="J280" t="s">
        <v>29765</v>
      </c>
      <c r="K280" t="s">
        <v>38490</v>
      </c>
      <c r="M280" t="s">
        <v>38884</v>
      </c>
      <c r="N280" t="s">
        <v>42669</v>
      </c>
      <c r="O280" t="s">
        <v>42670</v>
      </c>
      <c r="P280">
        <v>0</v>
      </c>
      <c r="Q280">
        <v>2</v>
      </c>
      <c r="R280" t="s">
        <v>42671</v>
      </c>
      <c r="S280" t="s">
        <v>42779</v>
      </c>
      <c r="T280" t="s">
        <v>44382</v>
      </c>
      <c r="U280" t="s">
        <v>45113</v>
      </c>
      <c r="W280" t="s">
        <v>38884</v>
      </c>
      <c r="X280" t="s">
        <v>42676</v>
      </c>
    </row>
    <row r="281" spans="1:24">
      <c r="A281">
        <f>HYPERLINK("https://www.philgeps.gov.ph/GEPSNONPILOT/Tender/SplashBidNoticeAbstractUI.aspx?menuIndex=3&amp;refID=7192329&amp;Result=3","7192329")</f>
        <v>0</v>
      </c>
      <c r="B281" t="s">
        <v>139</v>
      </c>
      <c r="C281" t="s">
        <v>3783</v>
      </c>
      <c r="D281" t="s">
        <v>17188</v>
      </c>
      <c r="E281" t="s">
        <v>17520</v>
      </c>
      <c r="F281" t="s">
        <v>29372</v>
      </c>
      <c r="G281" t="s">
        <v>29379</v>
      </c>
      <c r="H281" t="s">
        <v>11048</v>
      </c>
      <c r="I281" t="s">
        <v>29407</v>
      </c>
      <c r="J281" t="s">
        <v>29766</v>
      </c>
      <c r="K281" t="s">
        <v>38491</v>
      </c>
      <c r="M281" t="s">
        <v>38894</v>
      </c>
      <c r="N281" t="s">
        <v>42669</v>
      </c>
      <c r="O281" t="s">
        <v>42670</v>
      </c>
      <c r="P281">
        <v>0</v>
      </c>
      <c r="Q281">
        <v>4</v>
      </c>
      <c r="R281" t="s">
        <v>42671</v>
      </c>
      <c r="S281" t="s">
        <v>42779</v>
      </c>
      <c r="T281" t="s">
        <v>44371</v>
      </c>
      <c r="U281" t="s">
        <v>45114</v>
      </c>
      <c r="W281" t="s">
        <v>38894</v>
      </c>
      <c r="X281" t="s">
        <v>42676</v>
      </c>
    </row>
    <row r="282" spans="1:24">
      <c r="A282">
        <f>HYPERLINK("https://www.philgeps.gov.ph/GEPSNONPILOT/Tender/SplashBidNoticeAbstractUI.aspx?menuIndex=3&amp;refID=7192392&amp;Result=3","7192392")</f>
        <v>0</v>
      </c>
      <c r="B282" t="s">
        <v>138</v>
      </c>
      <c r="C282" t="s">
        <v>3784</v>
      </c>
      <c r="D282" t="s">
        <v>17141</v>
      </c>
      <c r="E282" t="s">
        <v>17521</v>
      </c>
      <c r="F282" t="s">
        <v>29372</v>
      </c>
      <c r="G282" t="s">
        <v>29379</v>
      </c>
      <c r="H282" t="s">
        <v>11048</v>
      </c>
      <c r="I282" t="s">
        <v>6417</v>
      </c>
      <c r="J282" t="s">
        <v>29767</v>
      </c>
      <c r="K282" t="s">
        <v>38490</v>
      </c>
      <c r="M282" t="s">
        <v>38893</v>
      </c>
      <c r="N282" t="s">
        <v>42669</v>
      </c>
      <c r="O282" t="s">
        <v>42670</v>
      </c>
      <c r="P282">
        <v>0</v>
      </c>
      <c r="Q282">
        <v>1</v>
      </c>
      <c r="R282" t="s">
        <v>42671</v>
      </c>
      <c r="S282" t="s">
        <v>42779</v>
      </c>
      <c r="T282" t="s">
        <v>44375</v>
      </c>
      <c r="U282" t="s">
        <v>45115</v>
      </c>
      <c r="V282" t="s">
        <v>56371</v>
      </c>
      <c r="W282" t="s">
        <v>38893</v>
      </c>
      <c r="X282" t="s">
        <v>42676</v>
      </c>
    </row>
    <row r="283" spans="1:24">
      <c r="A283">
        <f>HYPERLINK("https://www.philgeps.gov.ph/GEPSNONPILOT/Tender/SplashBidNoticeAbstractUI.aspx?menuIndex=3&amp;refID=7192467&amp;Result=3","7192467")</f>
        <v>0</v>
      </c>
      <c r="B283" t="s">
        <v>140</v>
      </c>
      <c r="C283" t="s">
        <v>3785</v>
      </c>
      <c r="D283" t="s">
        <v>17170</v>
      </c>
      <c r="E283" t="s">
        <v>17522</v>
      </c>
      <c r="F283" t="s">
        <v>29372</v>
      </c>
      <c r="G283" t="s">
        <v>29380</v>
      </c>
      <c r="H283" t="s">
        <v>11048</v>
      </c>
      <c r="I283" t="s">
        <v>3695</v>
      </c>
      <c r="J283" t="s">
        <v>29768</v>
      </c>
      <c r="K283" t="s">
        <v>38485</v>
      </c>
      <c r="M283" t="s">
        <v>38895</v>
      </c>
      <c r="N283" t="s">
        <v>42669</v>
      </c>
      <c r="O283" t="s">
        <v>42670</v>
      </c>
      <c r="P283">
        <v>0</v>
      </c>
      <c r="Q283">
        <v>4</v>
      </c>
      <c r="R283" t="s">
        <v>42671</v>
      </c>
      <c r="S283" t="s">
        <v>42779</v>
      </c>
      <c r="T283" t="s">
        <v>44351</v>
      </c>
      <c r="U283" t="s">
        <v>45116</v>
      </c>
      <c r="W283" t="s">
        <v>38895</v>
      </c>
      <c r="X283" t="s">
        <v>42676</v>
      </c>
    </row>
    <row r="284" spans="1:24">
      <c r="A284">
        <f>HYPERLINK("https://www.philgeps.gov.ph/GEPSNONPILOT/Tender/SplashBidNoticeAbstractUI.aspx?menuIndex=3&amp;refID=7191336&amp;Result=3","7191336")</f>
        <v>0</v>
      </c>
      <c r="B284" t="s">
        <v>104</v>
      </c>
      <c r="C284" t="s">
        <v>3786</v>
      </c>
      <c r="D284" t="s">
        <v>17180</v>
      </c>
      <c r="E284" t="s">
        <v>17523</v>
      </c>
      <c r="F284" t="s">
        <v>29372</v>
      </c>
      <c r="G284" t="s">
        <v>29379</v>
      </c>
      <c r="H284" t="s">
        <v>11048</v>
      </c>
      <c r="I284" t="s">
        <v>4709</v>
      </c>
      <c r="J284" t="s">
        <v>29769</v>
      </c>
      <c r="K284" t="s">
        <v>38491</v>
      </c>
      <c r="M284" t="s">
        <v>38859</v>
      </c>
      <c r="N284" t="s">
        <v>42669</v>
      </c>
      <c r="O284" t="s">
        <v>42670</v>
      </c>
      <c r="P284">
        <v>0</v>
      </c>
      <c r="Q284">
        <v>1</v>
      </c>
      <c r="R284" t="s">
        <v>42671</v>
      </c>
      <c r="S284" t="s">
        <v>42779</v>
      </c>
      <c r="T284" t="s">
        <v>44422</v>
      </c>
      <c r="U284" t="s">
        <v>45117</v>
      </c>
      <c r="W284" t="s">
        <v>38859</v>
      </c>
      <c r="X284" t="s">
        <v>42676</v>
      </c>
    </row>
    <row r="285" spans="1:24">
      <c r="A285">
        <f>HYPERLINK("https://www.philgeps.gov.ph/GEPSNONPILOT/Tender/SplashBidNoticeAbstractUI.aspx?menuIndex=3&amp;refID=7192848&amp;Result=3","7192848")</f>
        <v>0</v>
      </c>
      <c r="B285" t="s">
        <v>141</v>
      </c>
      <c r="C285" t="s">
        <v>3787</v>
      </c>
      <c r="D285" t="s">
        <v>17170</v>
      </c>
      <c r="E285" t="s">
        <v>17524</v>
      </c>
      <c r="F285" t="s">
        <v>29372</v>
      </c>
      <c r="G285" t="s">
        <v>29380</v>
      </c>
      <c r="H285" t="s">
        <v>11048</v>
      </c>
      <c r="I285" t="s">
        <v>29412</v>
      </c>
      <c r="J285" t="s">
        <v>29770</v>
      </c>
      <c r="K285" t="s">
        <v>38496</v>
      </c>
      <c r="M285" t="s">
        <v>38896</v>
      </c>
      <c r="N285" t="s">
        <v>42669</v>
      </c>
      <c r="O285" t="s">
        <v>42670</v>
      </c>
      <c r="P285">
        <v>0</v>
      </c>
      <c r="Q285">
        <v>1</v>
      </c>
      <c r="R285" t="s">
        <v>42671</v>
      </c>
      <c r="S285" t="s">
        <v>42779</v>
      </c>
      <c r="T285" t="s">
        <v>44373</v>
      </c>
      <c r="U285" t="s">
        <v>45118</v>
      </c>
      <c r="W285" t="s">
        <v>38896</v>
      </c>
      <c r="X285" t="s">
        <v>42676</v>
      </c>
    </row>
    <row r="286" spans="1:24">
      <c r="A286">
        <f>HYPERLINK("https://www.philgeps.gov.ph/GEPSNONPILOT/Tender/SplashBidNoticeAbstractUI.aspx?menuIndex=3&amp;refID=7192845&amp;Result=3","7192845")</f>
        <v>0</v>
      </c>
      <c r="B286" t="s">
        <v>58</v>
      </c>
      <c r="C286" t="s">
        <v>3788</v>
      </c>
      <c r="D286" t="s">
        <v>17144</v>
      </c>
      <c r="E286" t="s">
        <v>17525</v>
      </c>
      <c r="F286" t="s">
        <v>29372</v>
      </c>
      <c r="G286" t="s">
        <v>29379</v>
      </c>
      <c r="H286" t="s">
        <v>11048</v>
      </c>
      <c r="I286" t="s">
        <v>3629</v>
      </c>
      <c r="J286" t="s">
        <v>29771</v>
      </c>
      <c r="K286" t="s">
        <v>38490</v>
      </c>
      <c r="L286" t="s">
        <v>58</v>
      </c>
      <c r="M286" t="s">
        <v>38811</v>
      </c>
      <c r="N286" t="s">
        <v>42669</v>
      </c>
      <c r="O286" t="s">
        <v>42670</v>
      </c>
      <c r="P286">
        <v>0</v>
      </c>
      <c r="Q286">
        <v>0</v>
      </c>
      <c r="R286" t="s">
        <v>42671</v>
      </c>
      <c r="S286" t="s">
        <v>42779</v>
      </c>
      <c r="T286" t="s">
        <v>44371</v>
      </c>
      <c r="U286" t="s">
        <v>45119</v>
      </c>
      <c r="W286" t="s">
        <v>38811</v>
      </c>
      <c r="X286" t="s">
        <v>42676</v>
      </c>
    </row>
    <row r="287" spans="1:24">
      <c r="A287">
        <f>HYPERLINK("https://www.philgeps.gov.ph/GEPSNONPILOT/Tender/SplashBidNoticeAbstractUI.aspx?menuIndex=3&amp;refID=7192835&amp;Result=3","7192835")</f>
        <v>0</v>
      </c>
      <c r="B287" t="s">
        <v>58</v>
      </c>
      <c r="C287" t="s">
        <v>3789</v>
      </c>
      <c r="D287" t="s">
        <v>17144</v>
      </c>
      <c r="E287" t="s">
        <v>17526</v>
      </c>
      <c r="F287" t="s">
        <v>29372</v>
      </c>
      <c r="G287" t="s">
        <v>29379</v>
      </c>
      <c r="H287" t="s">
        <v>11048</v>
      </c>
      <c r="I287" t="s">
        <v>3629</v>
      </c>
      <c r="J287" t="s">
        <v>29772</v>
      </c>
      <c r="K287" t="s">
        <v>38490</v>
      </c>
      <c r="L287" t="s">
        <v>58</v>
      </c>
      <c r="M287" t="s">
        <v>38811</v>
      </c>
      <c r="N287" t="s">
        <v>42669</v>
      </c>
      <c r="O287" t="s">
        <v>42670</v>
      </c>
      <c r="P287">
        <v>0</v>
      </c>
      <c r="Q287">
        <v>0</v>
      </c>
      <c r="R287" t="s">
        <v>42671</v>
      </c>
      <c r="S287" t="s">
        <v>42779</v>
      </c>
      <c r="T287" t="s">
        <v>44371</v>
      </c>
      <c r="U287" t="s">
        <v>45120</v>
      </c>
      <c r="W287" t="s">
        <v>38811</v>
      </c>
      <c r="X287" t="s">
        <v>42676</v>
      </c>
    </row>
    <row r="288" spans="1:24">
      <c r="A288">
        <f>HYPERLINK("https://www.philgeps.gov.ph/GEPSNONPILOT/Tender/SplashBidNoticeAbstractUI.aspx?menuIndex=3&amp;refID=7192248&amp;Result=3","7192248")</f>
        <v>0</v>
      </c>
      <c r="B288" t="s">
        <v>135</v>
      </c>
      <c r="C288" t="s">
        <v>3790</v>
      </c>
      <c r="D288" t="s">
        <v>17175</v>
      </c>
      <c r="E288" t="s">
        <v>17527</v>
      </c>
      <c r="F288" t="s">
        <v>29373</v>
      </c>
      <c r="G288" t="s">
        <v>29383</v>
      </c>
      <c r="H288" t="s">
        <v>11048</v>
      </c>
      <c r="I288" t="s">
        <v>4709</v>
      </c>
      <c r="J288" t="s">
        <v>29773</v>
      </c>
      <c r="K288" t="s">
        <v>38485</v>
      </c>
      <c r="M288" t="s">
        <v>38890</v>
      </c>
      <c r="N288" t="s">
        <v>42669</v>
      </c>
      <c r="O288" t="s">
        <v>42670</v>
      </c>
      <c r="P288">
        <v>0</v>
      </c>
      <c r="Q288">
        <v>0</v>
      </c>
      <c r="R288" t="s">
        <v>42671</v>
      </c>
      <c r="S288" t="s">
        <v>42779</v>
      </c>
      <c r="T288" t="s">
        <v>44371</v>
      </c>
      <c r="U288" t="s">
        <v>45121</v>
      </c>
      <c r="W288" t="s">
        <v>38890</v>
      </c>
      <c r="X288" t="s">
        <v>42676</v>
      </c>
    </row>
    <row r="289" spans="1:24">
      <c r="A289">
        <f>HYPERLINK("https://www.philgeps.gov.ph/GEPSNONPILOT/Tender/SplashBidNoticeAbstractUI.aspx?menuIndex=3&amp;refID=7192334&amp;Result=3","7192334")</f>
        <v>0</v>
      </c>
      <c r="B289" t="s">
        <v>52</v>
      </c>
      <c r="C289" t="s">
        <v>3791</v>
      </c>
      <c r="D289" t="s">
        <v>17160</v>
      </c>
      <c r="E289" t="s">
        <v>17528</v>
      </c>
      <c r="F289" t="s">
        <v>29372</v>
      </c>
      <c r="G289" t="s">
        <v>29379</v>
      </c>
      <c r="H289" t="s">
        <v>11048</v>
      </c>
      <c r="I289" t="s">
        <v>14920</v>
      </c>
      <c r="J289" t="s">
        <v>29721</v>
      </c>
      <c r="K289" t="s">
        <v>38522</v>
      </c>
      <c r="M289" t="s">
        <v>38805</v>
      </c>
      <c r="N289" t="s">
        <v>42669</v>
      </c>
      <c r="O289" t="s">
        <v>42670</v>
      </c>
      <c r="P289">
        <v>0</v>
      </c>
      <c r="Q289">
        <v>1</v>
      </c>
      <c r="R289" t="s">
        <v>42671</v>
      </c>
      <c r="S289" t="s">
        <v>42779</v>
      </c>
      <c r="T289" t="s">
        <v>44380</v>
      </c>
      <c r="U289" t="s">
        <v>45122</v>
      </c>
      <c r="W289" t="s">
        <v>38805</v>
      </c>
      <c r="X289" t="s">
        <v>42676</v>
      </c>
    </row>
    <row r="290" spans="1:24">
      <c r="A290">
        <f>HYPERLINK("https://www.philgeps.gov.ph/GEPSNONPILOT/Tender/SplashBidNoticeAbstractUI.aspx?menuIndex=3&amp;refID=7192200&amp;Result=3","7192200")</f>
        <v>0</v>
      </c>
      <c r="B290" t="s">
        <v>37</v>
      </c>
      <c r="C290" t="s">
        <v>3792</v>
      </c>
      <c r="E290" t="s">
        <v>17529</v>
      </c>
      <c r="F290" t="s">
        <v>29372</v>
      </c>
      <c r="G290" t="s">
        <v>29380</v>
      </c>
      <c r="H290" t="s">
        <v>11048</v>
      </c>
      <c r="I290" t="s">
        <v>9469</v>
      </c>
      <c r="J290" t="s">
        <v>29774</v>
      </c>
      <c r="K290" t="s">
        <v>38490</v>
      </c>
      <c r="M290" t="s">
        <v>38790</v>
      </c>
      <c r="N290" t="s">
        <v>42669</v>
      </c>
      <c r="O290" t="s">
        <v>42670</v>
      </c>
      <c r="P290">
        <v>0</v>
      </c>
      <c r="Q290">
        <v>3</v>
      </c>
      <c r="R290" t="s">
        <v>42671</v>
      </c>
      <c r="S290" t="s">
        <v>42779</v>
      </c>
      <c r="T290" t="s">
        <v>44362</v>
      </c>
      <c r="U290" t="s">
        <v>45123</v>
      </c>
      <c r="W290" t="s">
        <v>38790</v>
      </c>
      <c r="X290" t="s">
        <v>42676</v>
      </c>
    </row>
    <row r="291" spans="1:24">
      <c r="A291">
        <f>HYPERLINK("https://www.philgeps.gov.ph/GEPSNONPILOT/Tender/SplashBidNoticeAbstractUI.aspx?menuIndex=3&amp;refID=7192340&amp;Result=3","7192340")</f>
        <v>0</v>
      </c>
      <c r="B291" t="s">
        <v>142</v>
      </c>
      <c r="C291" t="s">
        <v>3793</v>
      </c>
      <c r="D291" t="s">
        <v>17167</v>
      </c>
      <c r="E291" t="s">
        <v>17530</v>
      </c>
      <c r="F291" t="s">
        <v>29372</v>
      </c>
      <c r="G291" t="s">
        <v>29383</v>
      </c>
      <c r="H291" t="s">
        <v>11048</v>
      </c>
      <c r="I291" t="s">
        <v>4709</v>
      </c>
      <c r="J291" t="s">
        <v>29775</v>
      </c>
      <c r="K291" t="s">
        <v>38485</v>
      </c>
      <c r="L291" t="s">
        <v>142</v>
      </c>
      <c r="M291" t="s">
        <v>38897</v>
      </c>
      <c r="N291" t="s">
        <v>42669</v>
      </c>
      <c r="O291" t="s">
        <v>42670</v>
      </c>
      <c r="P291">
        <v>0</v>
      </c>
      <c r="Q291">
        <v>0</v>
      </c>
      <c r="R291" t="s">
        <v>42671</v>
      </c>
      <c r="S291" t="s">
        <v>42779</v>
      </c>
      <c r="T291" t="s">
        <v>44385</v>
      </c>
      <c r="U291" t="s">
        <v>45124</v>
      </c>
      <c r="V291" t="s">
        <v>56372</v>
      </c>
      <c r="W291" t="s">
        <v>38897</v>
      </c>
      <c r="X291" t="s">
        <v>42676</v>
      </c>
    </row>
    <row r="292" spans="1:24">
      <c r="A292">
        <f>HYPERLINK("https://www.philgeps.gov.ph/GEPSNONPILOT/Tender/SplashBidNoticeAbstractUI.aspx?menuIndex=3&amp;refID=7192841&amp;Result=3","7192841")</f>
        <v>0</v>
      </c>
      <c r="B292" t="s">
        <v>58</v>
      </c>
      <c r="C292" t="s">
        <v>3794</v>
      </c>
      <c r="D292" t="s">
        <v>17144</v>
      </c>
      <c r="E292" t="s">
        <v>17531</v>
      </c>
      <c r="F292" t="s">
        <v>29372</v>
      </c>
      <c r="G292" t="s">
        <v>29379</v>
      </c>
      <c r="H292" t="s">
        <v>11048</v>
      </c>
      <c r="I292" t="s">
        <v>3629</v>
      </c>
      <c r="J292" t="s">
        <v>29776</v>
      </c>
      <c r="K292" t="s">
        <v>38490</v>
      </c>
      <c r="L292" t="s">
        <v>58</v>
      </c>
      <c r="M292" t="s">
        <v>38811</v>
      </c>
      <c r="N292" t="s">
        <v>42669</v>
      </c>
      <c r="O292" t="s">
        <v>42670</v>
      </c>
      <c r="P292">
        <v>0</v>
      </c>
      <c r="Q292">
        <v>0</v>
      </c>
      <c r="R292" t="s">
        <v>42671</v>
      </c>
      <c r="S292" t="s">
        <v>42779</v>
      </c>
      <c r="T292" t="s">
        <v>44371</v>
      </c>
      <c r="U292" t="s">
        <v>45125</v>
      </c>
      <c r="W292" t="s">
        <v>38811</v>
      </c>
      <c r="X292" t="s">
        <v>42676</v>
      </c>
    </row>
    <row r="293" spans="1:24">
      <c r="A293">
        <f>HYPERLINK("https://www.philgeps.gov.ph/GEPSNONPILOT/Tender/SplashBidNoticeAbstractUI.aspx?menuIndex=3&amp;refID=7192699&amp;Result=3","7192699")</f>
        <v>0</v>
      </c>
      <c r="B293" t="s">
        <v>143</v>
      </c>
      <c r="C293" t="s">
        <v>3795</v>
      </c>
      <c r="D293" t="s">
        <v>17182</v>
      </c>
      <c r="E293" t="s">
        <v>17532</v>
      </c>
      <c r="F293" t="s">
        <v>29372</v>
      </c>
      <c r="G293" t="s">
        <v>29380</v>
      </c>
      <c r="H293" t="s">
        <v>11048</v>
      </c>
      <c r="I293" t="s">
        <v>9469</v>
      </c>
      <c r="J293" t="s">
        <v>29777</v>
      </c>
      <c r="K293" t="s">
        <v>38491</v>
      </c>
      <c r="M293" t="s">
        <v>38898</v>
      </c>
      <c r="N293" t="s">
        <v>42669</v>
      </c>
      <c r="O293" t="s">
        <v>42670</v>
      </c>
      <c r="P293">
        <v>0</v>
      </c>
      <c r="Q293">
        <v>5</v>
      </c>
      <c r="R293" t="s">
        <v>42671</v>
      </c>
      <c r="S293" t="s">
        <v>42779</v>
      </c>
      <c r="T293" t="s">
        <v>44423</v>
      </c>
      <c r="U293" t="s">
        <v>45126</v>
      </c>
      <c r="W293" t="s">
        <v>38898</v>
      </c>
      <c r="X293" t="s">
        <v>42676</v>
      </c>
    </row>
    <row r="294" spans="1:24">
      <c r="A294">
        <f>HYPERLINK("https://www.philgeps.gov.ph/GEPSNONPILOT/Tender/SplashBidNoticeAbstractUI.aspx?menuIndex=3&amp;refID=7192655&amp;Result=3","7192655")</f>
        <v>0</v>
      </c>
      <c r="B294" t="s">
        <v>144</v>
      </c>
      <c r="C294" t="s">
        <v>3796</v>
      </c>
      <c r="D294" t="s">
        <v>17144</v>
      </c>
      <c r="E294" t="s">
        <v>17533</v>
      </c>
      <c r="F294" t="s">
        <v>29372</v>
      </c>
      <c r="G294" t="s">
        <v>29382</v>
      </c>
      <c r="H294" t="s">
        <v>11048</v>
      </c>
      <c r="I294" t="s">
        <v>3839</v>
      </c>
      <c r="J294" t="s">
        <v>29778</v>
      </c>
      <c r="K294" t="s">
        <v>38518</v>
      </c>
      <c r="M294" t="s">
        <v>38899</v>
      </c>
      <c r="N294" t="s">
        <v>42669</v>
      </c>
      <c r="O294" t="s">
        <v>42670</v>
      </c>
      <c r="P294">
        <v>0</v>
      </c>
      <c r="Q294">
        <v>6</v>
      </c>
      <c r="R294" t="s">
        <v>42671</v>
      </c>
      <c r="S294" t="s">
        <v>42779</v>
      </c>
      <c r="T294" t="s">
        <v>44387</v>
      </c>
      <c r="U294" t="s">
        <v>45127</v>
      </c>
      <c r="W294" t="s">
        <v>38899</v>
      </c>
      <c r="X294" t="s">
        <v>42676</v>
      </c>
    </row>
    <row r="295" spans="1:24">
      <c r="A295">
        <f>HYPERLINK("https://www.philgeps.gov.ph/GEPSNONPILOT/Tender/SplashBidNoticeAbstractUI.aspx?menuIndex=3&amp;refID=7192633&amp;Result=3","7192633")</f>
        <v>0</v>
      </c>
      <c r="B295" t="s">
        <v>113</v>
      </c>
      <c r="C295" t="s">
        <v>3797</v>
      </c>
      <c r="D295" t="s">
        <v>17174</v>
      </c>
      <c r="E295" t="s">
        <v>17534</v>
      </c>
      <c r="F295" t="s">
        <v>29372</v>
      </c>
      <c r="G295" t="s">
        <v>29380</v>
      </c>
      <c r="H295" t="s">
        <v>29389</v>
      </c>
      <c r="I295" t="s">
        <v>10408</v>
      </c>
      <c r="J295" t="s">
        <v>29779</v>
      </c>
      <c r="K295" t="s">
        <v>38533</v>
      </c>
      <c r="M295" t="s">
        <v>38868</v>
      </c>
      <c r="N295" t="s">
        <v>42669</v>
      </c>
      <c r="O295" t="s">
        <v>42670</v>
      </c>
      <c r="P295">
        <v>0</v>
      </c>
      <c r="Q295">
        <v>0</v>
      </c>
      <c r="R295" t="s">
        <v>42671</v>
      </c>
      <c r="S295" t="s">
        <v>42779</v>
      </c>
      <c r="T295" t="s">
        <v>44352</v>
      </c>
      <c r="U295" t="s">
        <v>45128</v>
      </c>
      <c r="V295" t="s">
        <v>56373</v>
      </c>
      <c r="W295" t="s">
        <v>38868</v>
      </c>
      <c r="X295" t="s">
        <v>42676</v>
      </c>
    </row>
    <row r="296" spans="1:24">
      <c r="A296">
        <f>HYPERLINK("https://www.philgeps.gov.ph/GEPSNONPILOT/Tender/SplashBidNoticeAbstractUI.aspx?menuIndex=3&amp;refID=7192757&amp;Result=3","7192757")</f>
        <v>0</v>
      </c>
      <c r="B296" t="s">
        <v>145</v>
      </c>
      <c r="C296" t="s">
        <v>3798</v>
      </c>
      <c r="D296" t="s">
        <v>17148</v>
      </c>
      <c r="E296" t="s">
        <v>17535</v>
      </c>
      <c r="F296" t="s">
        <v>29372</v>
      </c>
      <c r="G296" t="s">
        <v>29379</v>
      </c>
      <c r="H296" t="s">
        <v>11048</v>
      </c>
      <c r="I296" t="s">
        <v>8208</v>
      </c>
      <c r="J296" t="s">
        <v>29780</v>
      </c>
      <c r="K296" t="s">
        <v>38534</v>
      </c>
      <c r="M296" t="s">
        <v>38900</v>
      </c>
      <c r="N296" t="s">
        <v>42669</v>
      </c>
      <c r="O296" t="s">
        <v>42670</v>
      </c>
      <c r="P296">
        <v>0</v>
      </c>
      <c r="Q296">
        <v>0</v>
      </c>
      <c r="R296" t="s">
        <v>42671</v>
      </c>
      <c r="S296" t="s">
        <v>42779</v>
      </c>
      <c r="T296" t="s">
        <v>44356</v>
      </c>
      <c r="U296" t="s">
        <v>45129</v>
      </c>
      <c r="W296" t="s">
        <v>38900</v>
      </c>
      <c r="X296" t="s">
        <v>42676</v>
      </c>
    </row>
    <row r="297" spans="1:24">
      <c r="A297">
        <f>HYPERLINK("https://www.philgeps.gov.ph/GEPSNONPILOT/Tender/SplashBidNoticeAbstractUI.aspx?menuIndex=3&amp;refID=7192709&amp;Result=3","7192709")</f>
        <v>0</v>
      </c>
      <c r="B297" t="s">
        <v>143</v>
      </c>
      <c r="C297" t="s">
        <v>3799</v>
      </c>
      <c r="D297" t="s">
        <v>17182</v>
      </c>
      <c r="E297" t="s">
        <v>17536</v>
      </c>
      <c r="F297" t="s">
        <v>29372</v>
      </c>
      <c r="G297" t="s">
        <v>29380</v>
      </c>
      <c r="H297" t="s">
        <v>11048</v>
      </c>
      <c r="I297" t="s">
        <v>9469</v>
      </c>
      <c r="J297" t="s">
        <v>29781</v>
      </c>
      <c r="K297" t="s">
        <v>38491</v>
      </c>
      <c r="M297" t="s">
        <v>38898</v>
      </c>
      <c r="N297" t="s">
        <v>42669</v>
      </c>
      <c r="O297" t="s">
        <v>42670</v>
      </c>
      <c r="P297">
        <v>0</v>
      </c>
      <c r="Q297">
        <v>5</v>
      </c>
      <c r="R297" t="s">
        <v>42671</v>
      </c>
      <c r="S297" t="s">
        <v>42779</v>
      </c>
      <c r="T297" t="s">
        <v>44423</v>
      </c>
      <c r="U297" t="s">
        <v>45126</v>
      </c>
      <c r="W297" t="s">
        <v>38898</v>
      </c>
      <c r="X297" t="s">
        <v>42676</v>
      </c>
    </row>
    <row r="298" spans="1:24">
      <c r="A298">
        <f>HYPERLINK("https://www.philgeps.gov.ph/GEPSNONPILOT/Tender/SplashBidNoticeAbstractUI.aspx?menuIndex=3&amp;refID=7192770&amp;Result=3","7192770")</f>
        <v>0</v>
      </c>
      <c r="B298" t="s">
        <v>146</v>
      </c>
      <c r="C298" t="s">
        <v>3800</v>
      </c>
      <c r="D298" t="s">
        <v>17189</v>
      </c>
      <c r="E298" t="s">
        <v>17537</v>
      </c>
      <c r="F298" t="s">
        <v>29372</v>
      </c>
      <c r="G298" t="s">
        <v>29382</v>
      </c>
      <c r="H298" t="s">
        <v>11048</v>
      </c>
      <c r="I298" t="s">
        <v>29412</v>
      </c>
      <c r="J298" t="s">
        <v>29782</v>
      </c>
      <c r="K298" t="s">
        <v>38534</v>
      </c>
      <c r="M298" t="s">
        <v>38901</v>
      </c>
      <c r="N298" t="s">
        <v>42669</v>
      </c>
      <c r="O298" t="s">
        <v>42670</v>
      </c>
      <c r="P298">
        <v>0</v>
      </c>
      <c r="Q298">
        <v>1</v>
      </c>
      <c r="R298" t="s">
        <v>42671</v>
      </c>
      <c r="S298" t="s">
        <v>42779</v>
      </c>
      <c r="T298" t="s">
        <v>44424</v>
      </c>
      <c r="U298" t="s">
        <v>45130</v>
      </c>
      <c r="W298" t="s">
        <v>38901</v>
      </c>
      <c r="X298" t="s">
        <v>42676</v>
      </c>
    </row>
    <row r="299" spans="1:24">
      <c r="A299">
        <f>HYPERLINK("https://www.philgeps.gov.ph/GEPSNONPILOT/Tender/SplashBidNoticeAbstractUI.aspx?menuIndex=3&amp;refID=7192645&amp;Result=3","7192645")</f>
        <v>0</v>
      </c>
      <c r="B299" t="s">
        <v>147</v>
      </c>
      <c r="C299" t="s">
        <v>3801</v>
      </c>
      <c r="D299" t="s">
        <v>17141</v>
      </c>
      <c r="E299" t="s">
        <v>17538</v>
      </c>
      <c r="F299" t="s">
        <v>29372</v>
      </c>
      <c r="G299" t="s">
        <v>29383</v>
      </c>
      <c r="H299" t="s">
        <v>11048</v>
      </c>
      <c r="I299" t="s">
        <v>3670</v>
      </c>
      <c r="J299" t="s">
        <v>29555</v>
      </c>
      <c r="K299" t="s">
        <v>38489</v>
      </c>
      <c r="M299" t="s">
        <v>38902</v>
      </c>
      <c r="N299" t="s">
        <v>42669</v>
      </c>
      <c r="O299" t="s">
        <v>42670</v>
      </c>
      <c r="P299">
        <v>0</v>
      </c>
      <c r="Q299">
        <v>1</v>
      </c>
      <c r="R299" t="s">
        <v>42671</v>
      </c>
      <c r="S299" t="s">
        <v>42779</v>
      </c>
      <c r="T299" t="s">
        <v>44425</v>
      </c>
      <c r="U299" t="s">
        <v>45131</v>
      </c>
      <c r="W299" t="s">
        <v>38902</v>
      </c>
      <c r="X299" t="s">
        <v>42676</v>
      </c>
    </row>
    <row r="300" spans="1:24">
      <c r="A300">
        <f>HYPERLINK("https://www.philgeps.gov.ph/GEPSNONPILOT/Tender/SplashBidNoticeAbstractUI.aspx?menuIndex=3&amp;refID=7193113&amp;Result=3","7193113")</f>
        <v>0</v>
      </c>
      <c r="B300" t="s">
        <v>148</v>
      </c>
      <c r="C300" t="s">
        <v>3802</v>
      </c>
      <c r="D300" t="s">
        <v>17171</v>
      </c>
      <c r="E300" t="s">
        <v>17539</v>
      </c>
      <c r="F300" t="s">
        <v>29372</v>
      </c>
      <c r="G300" t="s">
        <v>29379</v>
      </c>
      <c r="H300" t="s">
        <v>11048</v>
      </c>
      <c r="I300" t="s">
        <v>4487</v>
      </c>
      <c r="J300" t="s">
        <v>29783</v>
      </c>
      <c r="K300" t="s">
        <v>38534</v>
      </c>
      <c r="M300" t="s">
        <v>38903</v>
      </c>
      <c r="N300" t="s">
        <v>42669</v>
      </c>
      <c r="O300" t="s">
        <v>42670</v>
      </c>
      <c r="P300">
        <v>0</v>
      </c>
      <c r="Q300">
        <v>0</v>
      </c>
      <c r="R300" t="s">
        <v>42671</v>
      </c>
      <c r="S300" t="s">
        <v>42779</v>
      </c>
      <c r="T300" t="s">
        <v>44382</v>
      </c>
      <c r="U300" t="s">
        <v>45132</v>
      </c>
      <c r="W300" t="s">
        <v>38903</v>
      </c>
      <c r="X300" t="s">
        <v>42674</v>
      </c>
    </row>
    <row r="301" spans="1:24">
      <c r="A301">
        <f>HYPERLINK("https://www.philgeps.gov.ph/GEPSNONPILOT/Tender/SplashBidNoticeAbstractUI.aspx?menuIndex=3&amp;refID=7192751&amp;Result=3","7192751")</f>
        <v>0</v>
      </c>
      <c r="B301" t="s">
        <v>144</v>
      </c>
      <c r="C301" t="s">
        <v>3803</v>
      </c>
      <c r="D301" t="s">
        <v>17144</v>
      </c>
      <c r="E301" t="s">
        <v>17540</v>
      </c>
      <c r="F301" t="s">
        <v>29372</v>
      </c>
      <c r="G301" t="s">
        <v>29382</v>
      </c>
      <c r="H301" t="s">
        <v>11048</v>
      </c>
      <c r="I301" t="s">
        <v>5383</v>
      </c>
      <c r="J301" t="s">
        <v>29784</v>
      </c>
      <c r="K301" t="s">
        <v>38488</v>
      </c>
      <c r="M301" t="s">
        <v>38899</v>
      </c>
      <c r="N301" t="s">
        <v>42669</v>
      </c>
      <c r="O301" t="s">
        <v>42670</v>
      </c>
      <c r="P301">
        <v>0</v>
      </c>
      <c r="Q301">
        <v>1</v>
      </c>
      <c r="R301" t="s">
        <v>42671</v>
      </c>
      <c r="S301" t="s">
        <v>42779</v>
      </c>
      <c r="T301" t="s">
        <v>44387</v>
      </c>
      <c r="U301" t="s">
        <v>45127</v>
      </c>
      <c r="W301" t="s">
        <v>38899</v>
      </c>
      <c r="X301" t="s">
        <v>42676</v>
      </c>
    </row>
    <row r="302" spans="1:24">
      <c r="A302">
        <f>HYPERLINK("https://www.philgeps.gov.ph/GEPSNONPILOT/Tender/SplashBidNoticeAbstractUI.aspx?menuIndex=3&amp;refID=7193109&amp;Result=3","7193109")</f>
        <v>0</v>
      </c>
      <c r="B302" t="s">
        <v>149</v>
      </c>
      <c r="C302" t="s">
        <v>3804</v>
      </c>
      <c r="D302" t="s">
        <v>17190</v>
      </c>
      <c r="E302" t="s">
        <v>17541</v>
      </c>
      <c r="F302" t="s">
        <v>29372</v>
      </c>
      <c r="G302" t="s">
        <v>29380</v>
      </c>
      <c r="H302" t="s">
        <v>29389</v>
      </c>
      <c r="I302" t="s">
        <v>10408</v>
      </c>
      <c r="J302" t="s">
        <v>29785</v>
      </c>
      <c r="K302" t="s">
        <v>38490</v>
      </c>
      <c r="M302" t="s">
        <v>38904</v>
      </c>
      <c r="N302" t="s">
        <v>42669</v>
      </c>
      <c r="O302" t="s">
        <v>42670</v>
      </c>
      <c r="P302">
        <v>0</v>
      </c>
      <c r="Q302">
        <v>0</v>
      </c>
      <c r="R302" t="s">
        <v>42671</v>
      </c>
      <c r="S302" t="s">
        <v>42779</v>
      </c>
      <c r="T302" t="s">
        <v>44358</v>
      </c>
      <c r="U302" t="s">
        <v>45133</v>
      </c>
      <c r="V302" t="s">
        <v>56374</v>
      </c>
      <c r="W302" t="s">
        <v>38904</v>
      </c>
      <c r="X302" t="s">
        <v>42674</v>
      </c>
    </row>
    <row r="303" spans="1:24">
      <c r="A303">
        <f>HYPERLINK("https://www.philgeps.gov.ph/GEPSNONPILOT/Tender/SplashBidNoticeAbstractUI.aspx?menuIndex=3&amp;refID=7193104&amp;Result=3","7193104")</f>
        <v>0</v>
      </c>
      <c r="B303" t="s">
        <v>150</v>
      </c>
      <c r="C303" t="s">
        <v>3805</v>
      </c>
      <c r="E303" t="s">
        <v>17542</v>
      </c>
      <c r="F303" t="s">
        <v>29372</v>
      </c>
      <c r="G303" t="s">
        <v>29380</v>
      </c>
      <c r="H303" t="s">
        <v>29389</v>
      </c>
      <c r="I303" t="s">
        <v>10408</v>
      </c>
      <c r="J303" t="s">
        <v>29786</v>
      </c>
      <c r="K303" t="s">
        <v>38485</v>
      </c>
      <c r="M303" t="s">
        <v>38905</v>
      </c>
      <c r="N303" t="s">
        <v>42669</v>
      </c>
      <c r="O303" t="s">
        <v>42670</v>
      </c>
      <c r="P303">
        <v>0</v>
      </c>
      <c r="Q303">
        <v>0</v>
      </c>
      <c r="R303" t="s">
        <v>42671</v>
      </c>
      <c r="S303" t="s">
        <v>42779</v>
      </c>
      <c r="T303" t="s">
        <v>44426</v>
      </c>
      <c r="U303" t="s">
        <v>45134</v>
      </c>
      <c r="W303" t="s">
        <v>38905</v>
      </c>
      <c r="X303" t="s">
        <v>42674</v>
      </c>
    </row>
    <row r="304" spans="1:24">
      <c r="A304">
        <f>HYPERLINK("https://www.philgeps.gov.ph/GEPSNONPILOT/Tender/SplashBidNoticeAbstractUI.aspx?menuIndex=3&amp;refID=7192563&amp;Result=3","7192563")</f>
        <v>0</v>
      </c>
      <c r="B304" t="s">
        <v>126</v>
      </c>
      <c r="C304" t="s">
        <v>3806</v>
      </c>
      <c r="D304" t="s">
        <v>17177</v>
      </c>
      <c r="E304" t="s">
        <v>17543</v>
      </c>
      <c r="F304" t="s">
        <v>29372</v>
      </c>
      <c r="G304" t="s">
        <v>29381</v>
      </c>
      <c r="H304" t="s">
        <v>11048</v>
      </c>
      <c r="I304" t="s">
        <v>4709</v>
      </c>
      <c r="J304" t="s">
        <v>29787</v>
      </c>
      <c r="K304" t="s">
        <v>38488</v>
      </c>
      <c r="M304" t="s">
        <v>38881</v>
      </c>
      <c r="N304" t="s">
        <v>42669</v>
      </c>
      <c r="O304" t="s">
        <v>42670</v>
      </c>
      <c r="P304">
        <v>0</v>
      </c>
      <c r="Q304">
        <v>1</v>
      </c>
      <c r="R304" t="s">
        <v>42671</v>
      </c>
      <c r="S304" t="s">
        <v>42779</v>
      </c>
      <c r="T304" t="s">
        <v>44416</v>
      </c>
      <c r="U304" t="s">
        <v>45070</v>
      </c>
      <c r="W304" t="s">
        <v>38881</v>
      </c>
      <c r="X304" t="s">
        <v>42676</v>
      </c>
    </row>
    <row r="305" spans="1:24">
      <c r="A305">
        <f>HYPERLINK("https://www.philgeps.gov.ph/GEPSNONPILOT/Tender/SplashBidNoticeAbstractUI.aspx?menuIndex=3&amp;refID=7193099&amp;Result=3","7193099")</f>
        <v>0</v>
      </c>
      <c r="B305" t="s">
        <v>149</v>
      </c>
      <c r="C305" t="s">
        <v>3807</v>
      </c>
      <c r="D305" t="s">
        <v>17190</v>
      </c>
      <c r="E305" t="s">
        <v>17541</v>
      </c>
      <c r="F305" t="s">
        <v>29372</v>
      </c>
      <c r="G305" t="s">
        <v>29380</v>
      </c>
      <c r="H305" t="s">
        <v>29389</v>
      </c>
      <c r="I305" t="s">
        <v>10408</v>
      </c>
      <c r="J305" t="s">
        <v>29788</v>
      </c>
      <c r="K305" t="s">
        <v>38490</v>
      </c>
      <c r="M305" t="s">
        <v>38904</v>
      </c>
      <c r="N305" t="s">
        <v>42669</v>
      </c>
      <c r="O305" t="s">
        <v>42670</v>
      </c>
      <c r="P305">
        <v>0</v>
      </c>
      <c r="Q305">
        <v>0</v>
      </c>
      <c r="R305" t="s">
        <v>42671</v>
      </c>
      <c r="S305" t="s">
        <v>42779</v>
      </c>
      <c r="T305" t="s">
        <v>44358</v>
      </c>
      <c r="U305" t="s">
        <v>45135</v>
      </c>
      <c r="V305" t="s">
        <v>56374</v>
      </c>
      <c r="W305" t="s">
        <v>38904</v>
      </c>
      <c r="X305" t="s">
        <v>42674</v>
      </c>
    </row>
    <row r="306" spans="1:24">
      <c r="A306">
        <f>HYPERLINK("https://www.philgeps.gov.ph/GEPSNONPILOT/Tender/SplashBidNoticeAbstractUI.aspx?menuIndex=3&amp;refID=7193105&amp;Result=3","7193105")</f>
        <v>0</v>
      </c>
      <c r="B306" t="s">
        <v>149</v>
      </c>
      <c r="C306" t="s">
        <v>3808</v>
      </c>
      <c r="D306" t="s">
        <v>17190</v>
      </c>
      <c r="E306" t="s">
        <v>17541</v>
      </c>
      <c r="F306" t="s">
        <v>29372</v>
      </c>
      <c r="G306" t="s">
        <v>29380</v>
      </c>
      <c r="H306" t="s">
        <v>29389</v>
      </c>
      <c r="I306" t="s">
        <v>10408</v>
      </c>
      <c r="J306" t="s">
        <v>29789</v>
      </c>
      <c r="K306" t="s">
        <v>38490</v>
      </c>
      <c r="M306" t="s">
        <v>38904</v>
      </c>
      <c r="N306" t="s">
        <v>42669</v>
      </c>
      <c r="O306" t="s">
        <v>42670</v>
      </c>
      <c r="P306">
        <v>0</v>
      </c>
      <c r="Q306">
        <v>0</v>
      </c>
      <c r="R306" t="s">
        <v>42671</v>
      </c>
      <c r="S306" t="s">
        <v>42779</v>
      </c>
      <c r="T306" t="s">
        <v>44358</v>
      </c>
      <c r="U306" t="s">
        <v>45136</v>
      </c>
      <c r="V306" t="s">
        <v>56374</v>
      </c>
      <c r="W306" t="s">
        <v>38904</v>
      </c>
      <c r="X306" t="s">
        <v>42674</v>
      </c>
    </row>
    <row r="307" spans="1:24">
      <c r="A307">
        <f>HYPERLINK("https://www.philgeps.gov.ph/GEPSNONPILOT/Tender/SplashBidNoticeAbstractUI.aspx?menuIndex=3&amp;refID=7193093&amp;Result=3","7193093")</f>
        <v>0</v>
      </c>
      <c r="B307" t="s">
        <v>151</v>
      </c>
      <c r="C307" t="s">
        <v>3809</v>
      </c>
      <c r="D307" t="s">
        <v>17182</v>
      </c>
      <c r="E307" t="s">
        <v>17544</v>
      </c>
      <c r="F307" t="s">
        <v>29372</v>
      </c>
      <c r="G307" t="s">
        <v>29380</v>
      </c>
      <c r="H307" t="s">
        <v>29389</v>
      </c>
      <c r="I307" t="s">
        <v>10408</v>
      </c>
      <c r="J307" t="s">
        <v>29790</v>
      </c>
      <c r="K307" t="s">
        <v>38491</v>
      </c>
      <c r="L307" t="s">
        <v>151</v>
      </c>
      <c r="M307" t="s">
        <v>38906</v>
      </c>
      <c r="N307" t="s">
        <v>42669</v>
      </c>
      <c r="O307" t="s">
        <v>42670</v>
      </c>
      <c r="P307">
        <v>0</v>
      </c>
      <c r="Q307">
        <v>0</v>
      </c>
      <c r="R307" t="s">
        <v>42671</v>
      </c>
      <c r="S307" t="s">
        <v>42779</v>
      </c>
      <c r="T307" t="s">
        <v>44409</v>
      </c>
      <c r="U307" t="s">
        <v>45137</v>
      </c>
      <c r="V307" t="s">
        <v>56375</v>
      </c>
      <c r="W307" t="s">
        <v>38906</v>
      </c>
      <c r="X307" t="s">
        <v>42674</v>
      </c>
    </row>
    <row r="308" spans="1:24">
      <c r="A308">
        <f>HYPERLINK("https://www.philgeps.gov.ph/GEPSNONPILOT/Tender/SplashBidNoticeAbstractUI.aspx?menuIndex=3&amp;refID=7193092&amp;Result=3","7193092")</f>
        <v>0</v>
      </c>
      <c r="B308" t="s">
        <v>152</v>
      </c>
      <c r="C308" t="s">
        <v>3810</v>
      </c>
      <c r="D308" t="s">
        <v>17191</v>
      </c>
      <c r="E308" t="s">
        <v>17545</v>
      </c>
      <c r="F308" t="s">
        <v>29372</v>
      </c>
      <c r="G308" t="s">
        <v>29380</v>
      </c>
      <c r="H308" t="s">
        <v>11048</v>
      </c>
      <c r="I308" t="s">
        <v>4709</v>
      </c>
      <c r="J308" t="s">
        <v>29791</v>
      </c>
      <c r="K308" t="s">
        <v>38491</v>
      </c>
      <c r="M308" t="s">
        <v>38907</v>
      </c>
      <c r="N308" t="s">
        <v>42669</v>
      </c>
      <c r="O308" t="s">
        <v>42670</v>
      </c>
      <c r="P308">
        <v>0</v>
      </c>
      <c r="Q308">
        <v>0</v>
      </c>
      <c r="R308" t="s">
        <v>42671</v>
      </c>
      <c r="S308" t="s">
        <v>42779</v>
      </c>
      <c r="T308" t="s">
        <v>44426</v>
      </c>
      <c r="U308" t="s">
        <v>45138</v>
      </c>
      <c r="W308" t="s">
        <v>38907</v>
      </c>
      <c r="X308" t="s">
        <v>42674</v>
      </c>
    </row>
    <row r="309" spans="1:24">
      <c r="A309">
        <f>HYPERLINK("https://www.philgeps.gov.ph/GEPSNONPILOT/Tender/SplashBidNoticeAbstractUI.aspx?menuIndex=3&amp;refID=7192516&amp;Result=3","7192516")</f>
        <v>0</v>
      </c>
      <c r="B309" t="s">
        <v>52</v>
      </c>
      <c r="C309" t="s">
        <v>3811</v>
      </c>
      <c r="D309" t="s">
        <v>17160</v>
      </c>
      <c r="E309" t="s">
        <v>17546</v>
      </c>
      <c r="F309" t="s">
        <v>29372</v>
      </c>
      <c r="G309" t="s">
        <v>29379</v>
      </c>
      <c r="H309" t="s">
        <v>11048</v>
      </c>
      <c r="I309" t="s">
        <v>14920</v>
      </c>
      <c r="J309" t="s">
        <v>29743</v>
      </c>
      <c r="K309" t="s">
        <v>38522</v>
      </c>
      <c r="M309" t="s">
        <v>38805</v>
      </c>
      <c r="N309" t="s">
        <v>42669</v>
      </c>
      <c r="O309" t="s">
        <v>42670</v>
      </c>
      <c r="P309">
        <v>0</v>
      </c>
      <c r="Q309">
        <v>1</v>
      </c>
      <c r="R309" t="s">
        <v>42671</v>
      </c>
      <c r="S309" t="s">
        <v>42779</v>
      </c>
      <c r="T309" t="s">
        <v>44380</v>
      </c>
      <c r="U309" t="s">
        <v>45139</v>
      </c>
      <c r="W309" t="s">
        <v>38805</v>
      </c>
      <c r="X309" t="s">
        <v>42676</v>
      </c>
    </row>
    <row r="310" spans="1:24">
      <c r="A310">
        <f>HYPERLINK("https://www.philgeps.gov.ph/GEPSNONPILOT/Tender/SplashBidNoticeAbstractUI.aspx?menuIndex=3&amp;refID=7193080&amp;Result=3","7193080")</f>
        <v>0</v>
      </c>
      <c r="B310" t="s">
        <v>153</v>
      </c>
      <c r="C310" t="s">
        <v>3812</v>
      </c>
      <c r="D310" t="s">
        <v>17158</v>
      </c>
      <c r="E310" t="s">
        <v>17547</v>
      </c>
      <c r="F310" t="s">
        <v>29372</v>
      </c>
      <c r="G310" t="s">
        <v>29383</v>
      </c>
      <c r="H310" t="s">
        <v>11048</v>
      </c>
      <c r="I310" t="s">
        <v>9642</v>
      </c>
      <c r="J310" t="s">
        <v>29685</v>
      </c>
      <c r="K310" t="s">
        <v>38490</v>
      </c>
      <c r="L310" t="s">
        <v>153</v>
      </c>
      <c r="M310" t="s">
        <v>38908</v>
      </c>
      <c r="N310" t="s">
        <v>42669</v>
      </c>
      <c r="O310" t="s">
        <v>42670</v>
      </c>
      <c r="P310">
        <v>0</v>
      </c>
      <c r="Q310">
        <v>0</v>
      </c>
      <c r="R310" t="s">
        <v>42671</v>
      </c>
      <c r="S310" t="s">
        <v>42779</v>
      </c>
      <c r="T310" t="s">
        <v>44357</v>
      </c>
      <c r="U310" t="s">
        <v>45140</v>
      </c>
      <c r="W310" t="s">
        <v>38908</v>
      </c>
      <c r="X310" t="s">
        <v>42674</v>
      </c>
    </row>
    <row r="311" spans="1:24">
      <c r="A311">
        <f>HYPERLINK("https://www.philgeps.gov.ph/GEPSNONPILOT/Tender/SplashBidNoticeAbstractUI.aspx?menuIndex=3&amp;refID=7193101&amp;Result=3","7193101")</f>
        <v>0</v>
      </c>
      <c r="B311" t="s">
        <v>53</v>
      </c>
      <c r="C311" t="s">
        <v>3813</v>
      </c>
      <c r="D311" t="s">
        <v>17161</v>
      </c>
      <c r="E311" t="s">
        <v>17548</v>
      </c>
      <c r="F311" t="s">
        <v>29372</v>
      </c>
      <c r="G311" t="s">
        <v>29380</v>
      </c>
      <c r="H311" t="s">
        <v>11048</v>
      </c>
      <c r="I311" t="s">
        <v>29407</v>
      </c>
      <c r="J311" t="s">
        <v>29792</v>
      </c>
      <c r="K311" t="s">
        <v>38490</v>
      </c>
      <c r="M311" t="s">
        <v>38909</v>
      </c>
      <c r="N311" t="s">
        <v>42669</v>
      </c>
      <c r="O311" t="s">
        <v>42670</v>
      </c>
      <c r="P311">
        <v>0</v>
      </c>
      <c r="Q311">
        <v>4</v>
      </c>
      <c r="R311" t="s">
        <v>42671</v>
      </c>
      <c r="S311" t="s">
        <v>42779</v>
      </c>
      <c r="T311" t="s">
        <v>44412</v>
      </c>
      <c r="U311" t="s">
        <v>45141</v>
      </c>
      <c r="W311" t="s">
        <v>58001</v>
      </c>
      <c r="X311" t="s">
        <v>42674</v>
      </c>
    </row>
    <row r="312" spans="1:24">
      <c r="A312">
        <f>HYPERLINK("https://www.philgeps.gov.ph/GEPSNONPILOT/Tender/SplashBidNoticeAbstractUI.aspx?menuIndex=3&amp;refID=7193076&amp;Result=3","7193076")</f>
        <v>0</v>
      </c>
      <c r="B312" t="s">
        <v>154</v>
      </c>
      <c r="C312" t="s">
        <v>3814</v>
      </c>
      <c r="D312" t="s">
        <v>17172</v>
      </c>
      <c r="E312" t="s">
        <v>17549</v>
      </c>
      <c r="F312" t="s">
        <v>29372</v>
      </c>
      <c r="G312" t="s">
        <v>29383</v>
      </c>
      <c r="H312" t="s">
        <v>11048</v>
      </c>
      <c r="I312" t="s">
        <v>3670</v>
      </c>
      <c r="J312" t="s">
        <v>29793</v>
      </c>
      <c r="K312" t="s">
        <v>38528</v>
      </c>
      <c r="M312" t="s">
        <v>38910</v>
      </c>
      <c r="N312" t="s">
        <v>42669</v>
      </c>
      <c r="O312" t="s">
        <v>42670</v>
      </c>
      <c r="P312">
        <v>0</v>
      </c>
      <c r="Q312">
        <v>0</v>
      </c>
      <c r="R312" t="s">
        <v>42671</v>
      </c>
      <c r="S312" t="s">
        <v>42779</v>
      </c>
      <c r="T312" t="s">
        <v>44427</v>
      </c>
      <c r="U312" t="s">
        <v>45142</v>
      </c>
      <c r="V312" t="s">
        <v>56376</v>
      </c>
      <c r="W312" t="s">
        <v>38910</v>
      </c>
      <c r="X312" t="s">
        <v>42674</v>
      </c>
    </row>
    <row r="313" spans="1:24">
      <c r="A313">
        <f>HYPERLINK("https://www.philgeps.gov.ph/GEPSNONPILOT/Tender/SplashBidNoticeAbstractUI.aspx?menuIndex=3&amp;refID=7193082&amp;Result=3","7193082")</f>
        <v>0</v>
      </c>
      <c r="B313" t="s">
        <v>155</v>
      </c>
      <c r="C313" t="s">
        <v>3815</v>
      </c>
      <c r="D313" t="s">
        <v>17158</v>
      </c>
      <c r="E313" t="s">
        <v>17550</v>
      </c>
      <c r="F313" t="s">
        <v>29372</v>
      </c>
      <c r="G313" t="s">
        <v>29380</v>
      </c>
      <c r="H313" t="s">
        <v>29389</v>
      </c>
      <c r="I313" t="s">
        <v>29395</v>
      </c>
      <c r="J313" t="s">
        <v>29794</v>
      </c>
      <c r="K313" t="s">
        <v>38495</v>
      </c>
      <c r="M313" t="s">
        <v>38911</v>
      </c>
      <c r="N313" t="s">
        <v>42669</v>
      </c>
      <c r="O313" t="s">
        <v>42670</v>
      </c>
      <c r="P313">
        <v>0</v>
      </c>
      <c r="Q313">
        <v>0</v>
      </c>
      <c r="R313" t="s">
        <v>42671</v>
      </c>
      <c r="S313" t="s">
        <v>42779</v>
      </c>
      <c r="T313" t="s">
        <v>44391</v>
      </c>
      <c r="U313" t="s">
        <v>45143</v>
      </c>
      <c r="V313" t="s">
        <v>56377</v>
      </c>
      <c r="W313" t="s">
        <v>38911</v>
      </c>
      <c r="X313" t="s">
        <v>42674</v>
      </c>
    </row>
    <row r="314" spans="1:24">
      <c r="A314">
        <f>HYPERLINK("https://www.philgeps.gov.ph/GEPSNONPILOT/Tender/SplashBidNoticeAbstractUI.aspx?menuIndex=3&amp;refID=7193071&amp;Result=3","7193071")</f>
        <v>0</v>
      </c>
      <c r="B314" t="s">
        <v>156</v>
      </c>
      <c r="C314" t="s">
        <v>3816</v>
      </c>
      <c r="E314" t="s">
        <v>17551</v>
      </c>
      <c r="F314" t="s">
        <v>29372</v>
      </c>
      <c r="G314" t="s">
        <v>29379</v>
      </c>
      <c r="H314" t="s">
        <v>11048</v>
      </c>
      <c r="I314" t="s">
        <v>5383</v>
      </c>
      <c r="J314" t="s">
        <v>29692</v>
      </c>
      <c r="K314" t="s">
        <v>38488</v>
      </c>
      <c r="M314" t="s">
        <v>38912</v>
      </c>
      <c r="N314" t="s">
        <v>42669</v>
      </c>
      <c r="O314" t="s">
        <v>42670</v>
      </c>
      <c r="P314">
        <v>0</v>
      </c>
      <c r="Q314">
        <v>0</v>
      </c>
      <c r="R314" t="s">
        <v>42671</v>
      </c>
      <c r="S314" t="s">
        <v>42779</v>
      </c>
      <c r="T314" t="s">
        <v>44428</v>
      </c>
      <c r="U314" t="s">
        <v>45144</v>
      </c>
      <c r="W314" t="s">
        <v>38912</v>
      </c>
      <c r="X314" t="s">
        <v>42674</v>
      </c>
    </row>
    <row r="315" spans="1:24">
      <c r="A315">
        <f>HYPERLINK("https://www.philgeps.gov.ph/GEPSNONPILOT/Tender/SplashBidNoticeAbstractUI.aspx?menuIndex=3&amp;refID=7193081&amp;Result=3","7193081")</f>
        <v>0</v>
      </c>
      <c r="B315" t="s">
        <v>153</v>
      </c>
      <c r="C315" t="s">
        <v>3816</v>
      </c>
      <c r="D315" t="s">
        <v>17158</v>
      </c>
      <c r="E315" t="s">
        <v>17552</v>
      </c>
      <c r="F315" t="s">
        <v>29372</v>
      </c>
      <c r="G315" t="s">
        <v>29383</v>
      </c>
      <c r="H315" t="s">
        <v>11048</v>
      </c>
      <c r="I315" t="s">
        <v>5383</v>
      </c>
      <c r="J315" t="s">
        <v>29795</v>
      </c>
      <c r="K315" t="s">
        <v>38490</v>
      </c>
      <c r="L315" t="s">
        <v>153</v>
      </c>
      <c r="M315" t="s">
        <v>38908</v>
      </c>
      <c r="N315" t="s">
        <v>42669</v>
      </c>
      <c r="O315" t="s">
        <v>42670</v>
      </c>
      <c r="P315">
        <v>0</v>
      </c>
      <c r="Q315">
        <v>0</v>
      </c>
      <c r="R315" t="s">
        <v>42671</v>
      </c>
      <c r="S315" t="s">
        <v>42779</v>
      </c>
      <c r="T315" t="s">
        <v>44357</v>
      </c>
      <c r="U315" t="s">
        <v>45145</v>
      </c>
      <c r="W315" t="s">
        <v>38908</v>
      </c>
      <c r="X315" t="s">
        <v>42674</v>
      </c>
    </row>
    <row r="316" spans="1:24">
      <c r="A316">
        <f>HYPERLINK("https://www.philgeps.gov.ph/GEPSNONPILOT/Tender/SplashBidNoticeAbstractUI.aspx?menuIndex=3&amp;refID=7193087&amp;Result=3","7193087")</f>
        <v>0</v>
      </c>
      <c r="B316" t="s">
        <v>151</v>
      </c>
      <c r="C316" t="s">
        <v>3817</v>
      </c>
      <c r="D316" t="s">
        <v>17182</v>
      </c>
      <c r="E316" t="s">
        <v>17553</v>
      </c>
      <c r="F316" t="s">
        <v>29372</v>
      </c>
      <c r="G316" t="s">
        <v>29380</v>
      </c>
      <c r="H316" t="s">
        <v>29389</v>
      </c>
      <c r="I316" t="s">
        <v>10408</v>
      </c>
      <c r="J316" t="s">
        <v>29796</v>
      </c>
      <c r="K316" t="s">
        <v>38535</v>
      </c>
      <c r="L316" t="s">
        <v>151</v>
      </c>
      <c r="M316" t="s">
        <v>38906</v>
      </c>
      <c r="N316" t="s">
        <v>42669</v>
      </c>
      <c r="O316" t="s">
        <v>42670</v>
      </c>
      <c r="P316">
        <v>0</v>
      </c>
      <c r="Q316">
        <v>0</v>
      </c>
      <c r="R316" t="s">
        <v>42671</v>
      </c>
      <c r="S316" t="s">
        <v>42779</v>
      </c>
      <c r="T316" t="s">
        <v>44426</v>
      </c>
      <c r="U316" t="s">
        <v>45146</v>
      </c>
      <c r="V316" t="s">
        <v>56378</v>
      </c>
      <c r="W316" t="s">
        <v>38906</v>
      </c>
      <c r="X316" t="s">
        <v>42674</v>
      </c>
    </row>
    <row r="317" spans="1:24">
      <c r="A317">
        <f>HYPERLINK("https://www.philgeps.gov.ph/GEPSNONPILOT/Tender/SplashBidNoticeAbstractUI.aspx?menuIndex=3&amp;refID=7193062&amp;Result=3","7193062")</f>
        <v>0</v>
      </c>
      <c r="B317" t="s">
        <v>157</v>
      </c>
      <c r="C317" t="s">
        <v>3818</v>
      </c>
      <c r="D317" t="s">
        <v>17172</v>
      </c>
      <c r="E317" t="s">
        <v>17554</v>
      </c>
      <c r="F317" t="s">
        <v>29372</v>
      </c>
      <c r="G317" t="s">
        <v>29383</v>
      </c>
      <c r="H317" t="s">
        <v>11048</v>
      </c>
      <c r="I317" t="s">
        <v>4487</v>
      </c>
      <c r="J317" t="s">
        <v>29797</v>
      </c>
      <c r="K317" t="s">
        <v>38528</v>
      </c>
      <c r="M317" t="s">
        <v>38913</v>
      </c>
      <c r="N317" t="s">
        <v>42669</v>
      </c>
      <c r="O317" t="s">
        <v>42670</v>
      </c>
      <c r="P317">
        <v>0</v>
      </c>
      <c r="Q317">
        <v>0</v>
      </c>
      <c r="R317" t="s">
        <v>42671</v>
      </c>
      <c r="S317" t="s">
        <v>42779</v>
      </c>
      <c r="T317" t="s">
        <v>44427</v>
      </c>
      <c r="U317" t="s">
        <v>45147</v>
      </c>
      <c r="W317" t="s">
        <v>38913</v>
      </c>
      <c r="X317" t="s">
        <v>42674</v>
      </c>
    </row>
    <row r="318" spans="1:24">
      <c r="A318">
        <f>HYPERLINK("https://www.philgeps.gov.ph/GEPSNONPILOT/Tender/SplashBidNoticeAbstractUI.aspx?menuIndex=3&amp;refID=7193301&amp;Result=3","7193301")</f>
        <v>0</v>
      </c>
      <c r="B318" t="s">
        <v>31</v>
      </c>
      <c r="C318" t="s">
        <v>3819</v>
      </c>
      <c r="D318" t="s">
        <v>17146</v>
      </c>
      <c r="E318" t="s">
        <v>17555</v>
      </c>
      <c r="F318" t="s">
        <v>29372</v>
      </c>
      <c r="G318" t="s">
        <v>29380</v>
      </c>
      <c r="H318" t="s">
        <v>11048</v>
      </c>
      <c r="I318" t="s">
        <v>4709</v>
      </c>
      <c r="J318" t="s">
        <v>29798</v>
      </c>
      <c r="K318" t="s">
        <v>38490</v>
      </c>
      <c r="M318" t="s">
        <v>38784</v>
      </c>
      <c r="N318" t="s">
        <v>42669</v>
      </c>
      <c r="O318" t="s">
        <v>42670</v>
      </c>
      <c r="P318">
        <v>0</v>
      </c>
      <c r="Q318">
        <v>0</v>
      </c>
      <c r="R318" t="s">
        <v>42671</v>
      </c>
      <c r="S318" t="s">
        <v>42779</v>
      </c>
      <c r="T318" t="s">
        <v>44355</v>
      </c>
      <c r="U318" t="s">
        <v>45148</v>
      </c>
      <c r="W318" t="s">
        <v>38784</v>
      </c>
      <c r="X318" t="s">
        <v>42674</v>
      </c>
    </row>
    <row r="319" spans="1:24">
      <c r="A319">
        <f>HYPERLINK("https://www.philgeps.gov.ph/GEPSNONPILOT/Tender/SplashBidNoticeAbstractUI.aspx?menuIndex=3&amp;refID=7193299&amp;Result=3","7193299")</f>
        <v>0</v>
      </c>
      <c r="B319" t="s">
        <v>158</v>
      </c>
      <c r="C319" t="s">
        <v>3820</v>
      </c>
      <c r="D319" t="s">
        <v>17163</v>
      </c>
      <c r="E319" t="s">
        <v>17556</v>
      </c>
      <c r="F319" t="s">
        <v>29372</v>
      </c>
      <c r="G319" t="s">
        <v>29383</v>
      </c>
      <c r="H319" t="s">
        <v>11048</v>
      </c>
      <c r="I319" t="s">
        <v>29411</v>
      </c>
      <c r="J319" t="s">
        <v>29799</v>
      </c>
      <c r="K319" t="s">
        <v>38491</v>
      </c>
      <c r="M319" t="s">
        <v>38914</v>
      </c>
      <c r="N319" t="s">
        <v>42669</v>
      </c>
      <c r="O319" t="s">
        <v>42670</v>
      </c>
      <c r="P319">
        <v>0</v>
      </c>
      <c r="Q319">
        <v>3</v>
      </c>
      <c r="R319" t="s">
        <v>42671</v>
      </c>
      <c r="S319" t="s">
        <v>42779</v>
      </c>
      <c r="T319" t="s">
        <v>44429</v>
      </c>
      <c r="U319" t="s">
        <v>45149</v>
      </c>
      <c r="W319" t="s">
        <v>38914</v>
      </c>
      <c r="X319" t="s">
        <v>42674</v>
      </c>
    </row>
    <row r="320" spans="1:24">
      <c r="A320">
        <f>HYPERLINK("https://www.philgeps.gov.ph/GEPSNONPILOT/Tender/SplashBidNoticeAbstractUI.aspx?menuIndex=3&amp;refID=7192828&amp;Result=3","7192828")</f>
        <v>0</v>
      </c>
      <c r="B320" t="s">
        <v>58</v>
      </c>
      <c r="C320" t="s">
        <v>3821</v>
      </c>
      <c r="D320" t="s">
        <v>17144</v>
      </c>
      <c r="E320" t="s">
        <v>17557</v>
      </c>
      <c r="F320" t="s">
        <v>29372</v>
      </c>
      <c r="G320" t="s">
        <v>29379</v>
      </c>
      <c r="H320" t="s">
        <v>11048</v>
      </c>
      <c r="I320" t="s">
        <v>3839</v>
      </c>
      <c r="J320" t="s">
        <v>29800</v>
      </c>
      <c r="K320" t="s">
        <v>38490</v>
      </c>
      <c r="L320" t="s">
        <v>58</v>
      </c>
      <c r="M320" t="s">
        <v>38811</v>
      </c>
      <c r="N320" t="s">
        <v>42669</v>
      </c>
      <c r="O320" t="s">
        <v>42670</v>
      </c>
      <c r="P320">
        <v>0</v>
      </c>
      <c r="Q320">
        <v>3</v>
      </c>
      <c r="R320" t="s">
        <v>42671</v>
      </c>
      <c r="S320" t="s">
        <v>42779</v>
      </c>
      <c r="T320" t="s">
        <v>44371</v>
      </c>
      <c r="U320" t="s">
        <v>45150</v>
      </c>
      <c r="W320" t="s">
        <v>38811</v>
      </c>
      <c r="X320" t="s">
        <v>42676</v>
      </c>
    </row>
    <row r="321" spans="1:24">
      <c r="A321">
        <f>HYPERLINK("https://www.philgeps.gov.ph/GEPSNONPILOT/Tender/SplashBidNoticeAbstractUI.aspx?menuIndex=3&amp;refID=7193279&amp;Result=3","7193279")</f>
        <v>0</v>
      </c>
      <c r="B321" t="s">
        <v>159</v>
      </c>
      <c r="C321" t="s">
        <v>3822</v>
      </c>
      <c r="D321" t="s">
        <v>17192</v>
      </c>
      <c r="E321" t="s">
        <v>17558</v>
      </c>
      <c r="F321" t="s">
        <v>29372</v>
      </c>
      <c r="G321" t="s">
        <v>29379</v>
      </c>
      <c r="H321" t="s">
        <v>11048</v>
      </c>
      <c r="I321" t="s">
        <v>3695</v>
      </c>
      <c r="J321" t="s">
        <v>29685</v>
      </c>
      <c r="K321" t="s">
        <v>38524</v>
      </c>
      <c r="M321" t="s">
        <v>38915</v>
      </c>
      <c r="N321" t="s">
        <v>42669</v>
      </c>
      <c r="O321" t="s">
        <v>42670</v>
      </c>
      <c r="P321">
        <v>0</v>
      </c>
      <c r="Q321">
        <v>0</v>
      </c>
      <c r="R321" t="s">
        <v>42671</v>
      </c>
      <c r="S321" t="s">
        <v>42779</v>
      </c>
      <c r="T321" t="s">
        <v>44389</v>
      </c>
      <c r="U321" t="s">
        <v>45151</v>
      </c>
      <c r="W321" t="s">
        <v>38915</v>
      </c>
      <c r="X321" t="s">
        <v>42674</v>
      </c>
    </row>
    <row r="322" spans="1:24">
      <c r="A322">
        <f>HYPERLINK("https://www.philgeps.gov.ph/GEPSNONPILOT/Tender/SplashBidNoticeAbstractUI.aspx?menuIndex=3&amp;refID=7193265&amp;Result=3","7193265")</f>
        <v>0</v>
      </c>
      <c r="B322" t="s">
        <v>160</v>
      </c>
      <c r="C322" t="s">
        <v>3823</v>
      </c>
      <c r="D322" t="s">
        <v>17193</v>
      </c>
      <c r="E322" t="s">
        <v>17559</v>
      </c>
      <c r="F322" t="s">
        <v>29372</v>
      </c>
      <c r="G322" t="s">
        <v>29380</v>
      </c>
      <c r="H322" t="s">
        <v>29389</v>
      </c>
      <c r="I322" t="s">
        <v>10408</v>
      </c>
      <c r="J322" t="s">
        <v>29801</v>
      </c>
      <c r="K322" t="s">
        <v>38504</v>
      </c>
      <c r="M322" t="s">
        <v>38916</v>
      </c>
      <c r="N322" t="s">
        <v>42669</v>
      </c>
      <c r="O322" t="s">
        <v>42670</v>
      </c>
      <c r="P322">
        <v>0</v>
      </c>
      <c r="Q322">
        <v>0</v>
      </c>
      <c r="R322" t="s">
        <v>42671</v>
      </c>
      <c r="S322" t="s">
        <v>42779</v>
      </c>
      <c r="T322" t="s">
        <v>44381</v>
      </c>
      <c r="U322" t="s">
        <v>45152</v>
      </c>
      <c r="W322" t="s">
        <v>38916</v>
      </c>
      <c r="X322" t="s">
        <v>42674</v>
      </c>
    </row>
    <row r="323" spans="1:24">
      <c r="A323">
        <f>HYPERLINK("https://www.philgeps.gov.ph/GEPSNONPILOT/Tender/SplashBidNoticeAbstractUI.aspx?menuIndex=3&amp;refID=7193244&amp;Result=3","7193244")</f>
        <v>0</v>
      </c>
      <c r="B323" t="s">
        <v>161</v>
      </c>
      <c r="C323" t="s">
        <v>3824</v>
      </c>
      <c r="D323" t="s">
        <v>17166</v>
      </c>
      <c r="E323" t="s">
        <v>17560</v>
      </c>
      <c r="F323" t="s">
        <v>29372</v>
      </c>
      <c r="G323" t="s">
        <v>29379</v>
      </c>
      <c r="H323" t="s">
        <v>11048</v>
      </c>
      <c r="I323" t="s">
        <v>4487</v>
      </c>
      <c r="J323" t="s">
        <v>29802</v>
      </c>
      <c r="K323" t="s">
        <v>38488</v>
      </c>
      <c r="M323" t="s">
        <v>38917</v>
      </c>
      <c r="N323" t="s">
        <v>42669</v>
      </c>
      <c r="O323" t="s">
        <v>42670</v>
      </c>
      <c r="P323">
        <v>0</v>
      </c>
      <c r="Q323">
        <v>1</v>
      </c>
      <c r="R323" t="s">
        <v>42671</v>
      </c>
      <c r="S323" t="s">
        <v>42779</v>
      </c>
      <c r="T323" t="s">
        <v>44430</v>
      </c>
      <c r="U323" t="s">
        <v>45153</v>
      </c>
      <c r="W323" t="s">
        <v>38917</v>
      </c>
      <c r="X323" t="s">
        <v>42674</v>
      </c>
    </row>
    <row r="324" spans="1:24">
      <c r="A324">
        <f>HYPERLINK("https://www.philgeps.gov.ph/GEPSNONPILOT/Tender/SplashBidNoticeAbstractUI.aspx?menuIndex=3&amp;refID=7193069&amp;Result=3","7193069")</f>
        <v>0</v>
      </c>
      <c r="B324" t="s">
        <v>162</v>
      </c>
      <c r="C324" t="s">
        <v>3816</v>
      </c>
      <c r="D324" t="s">
        <v>17169</v>
      </c>
      <c r="E324" t="s">
        <v>17561</v>
      </c>
      <c r="F324" t="s">
        <v>29372</v>
      </c>
      <c r="G324" t="s">
        <v>29379</v>
      </c>
      <c r="H324" t="s">
        <v>11048</v>
      </c>
      <c r="I324" t="s">
        <v>5383</v>
      </c>
      <c r="J324" t="s">
        <v>29680</v>
      </c>
      <c r="K324" t="s">
        <v>38488</v>
      </c>
      <c r="M324" t="s">
        <v>38918</v>
      </c>
      <c r="N324" t="s">
        <v>42669</v>
      </c>
      <c r="O324" t="s">
        <v>42670</v>
      </c>
      <c r="P324">
        <v>0</v>
      </c>
      <c r="Q324">
        <v>1</v>
      </c>
      <c r="R324" t="s">
        <v>42671</v>
      </c>
      <c r="S324" t="s">
        <v>42779</v>
      </c>
      <c r="T324" t="s">
        <v>44428</v>
      </c>
      <c r="U324" t="s">
        <v>45144</v>
      </c>
      <c r="W324" t="s">
        <v>38918</v>
      </c>
      <c r="X324" t="s">
        <v>42674</v>
      </c>
    </row>
    <row r="325" spans="1:24">
      <c r="A325">
        <f>HYPERLINK("https://www.philgeps.gov.ph/GEPSNONPILOT/Tender/SplashBidNoticeAbstractUI.aspx?menuIndex=3&amp;refID=7193236&amp;Result=3","7193236")</f>
        <v>0</v>
      </c>
      <c r="B325" t="s">
        <v>163</v>
      </c>
      <c r="C325" t="s">
        <v>3825</v>
      </c>
      <c r="D325" t="s">
        <v>17177</v>
      </c>
      <c r="E325" t="s">
        <v>17562</v>
      </c>
      <c r="F325" t="s">
        <v>29372</v>
      </c>
      <c r="G325" t="s">
        <v>29380</v>
      </c>
      <c r="H325" t="s">
        <v>29389</v>
      </c>
      <c r="I325" t="s">
        <v>10408</v>
      </c>
      <c r="J325" t="s">
        <v>29587</v>
      </c>
      <c r="K325" t="s">
        <v>38536</v>
      </c>
      <c r="L325" t="s">
        <v>163</v>
      </c>
      <c r="M325" t="s">
        <v>38919</v>
      </c>
      <c r="N325" t="s">
        <v>42669</v>
      </c>
      <c r="O325" t="s">
        <v>42670</v>
      </c>
      <c r="P325">
        <v>0</v>
      </c>
      <c r="Q325">
        <v>0</v>
      </c>
      <c r="R325" t="s">
        <v>42671</v>
      </c>
      <c r="S325" t="s">
        <v>42779</v>
      </c>
      <c r="T325" t="s">
        <v>44409</v>
      </c>
      <c r="U325" t="s">
        <v>45154</v>
      </c>
      <c r="W325" t="s">
        <v>38919</v>
      </c>
      <c r="X325" t="s">
        <v>42674</v>
      </c>
    </row>
    <row r="326" spans="1:24">
      <c r="A326">
        <f>HYPERLINK("https://www.philgeps.gov.ph/GEPSNONPILOT/Tender/SplashBidNoticeAbstractUI.aspx?menuIndex=3&amp;refID=7193186&amp;Result=3","7193186")</f>
        <v>0</v>
      </c>
      <c r="B326" t="s">
        <v>73</v>
      </c>
      <c r="C326" t="s">
        <v>3826</v>
      </c>
      <c r="D326" t="s">
        <v>17171</v>
      </c>
      <c r="E326" t="s">
        <v>17563</v>
      </c>
      <c r="F326" t="s">
        <v>29372</v>
      </c>
      <c r="G326" t="s">
        <v>29379</v>
      </c>
      <c r="H326" t="s">
        <v>11048</v>
      </c>
      <c r="I326" t="s">
        <v>29409</v>
      </c>
      <c r="J326" t="s">
        <v>29803</v>
      </c>
      <c r="K326" t="s">
        <v>38490</v>
      </c>
      <c r="M326" t="s">
        <v>38827</v>
      </c>
      <c r="N326" t="s">
        <v>42669</v>
      </c>
      <c r="O326" t="s">
        <v>42670</v>
      </c>
      <c r="P326">
        <v>0</v>
      </c>
      <c r="Q326">
        <v>5</v>
      </c>
      <c r="R326" t="s">
        <v>42671</v>
      </c>
      <c r="S326" t="s">
        <v>42779</v>
      </c>
      <c r="T326" t="s">
        <v>44382</v>
      </c>
      <c r="U326" t="s">
        <v>44978</v>
      </c>
      <c r="W326" t="s">
        <v>38827</v>
      </c>
      <c r="X326" t="s">
        <v>42674</v>
      </c>
    </row>
    <row r="327" spans="1:24">
      <c r="A327">
        <f>HYPERLINK("https://www.philgeps.gov.ph/GEPSNONPILOT/Tender/SplashBidNoticeAbstractUI.aspx?menuIndex=3&amp;refID=7192771&amp;Result=3","7192771")</f>
        <v>0</v>
      </c>
      <c r="B327" t="s">
        <v>145</v>
      </c>
      <c r="C327" t="s">
        <v>3827</v>
      </c>
      <c r="D327" t="s">
        <v>17148</v>
      </c>
      <c r="E327" t="s">
        <v>17564</v>
      </c>
      <c r="F327" t="s">
        <v>29372</v>
      </c>
      <c r="G327" t="s">
        <v>29379</v>
      </c>
      <c r="H327" t="s">
        <v>11048</v>
      </c>
      <c r="I327" t="s">
        <v>8208</v>
      </c>
      <c r="J327" t="s">
        <v>29804</v>
      </c>
      <c r="K327" t="s">
        <v>38534</v>
      </c>
      <c r="M327" t="s">
        <v>38900</v>
      </c>
      <c r="N327" t="s">
        <v>42669</v>
      </c>
      <c r="O327" t="s">
        <v>42670</v>
      </c>
      <c r="P327">
        <v>0</v>
      </c>
      <c r="Q327">
        <v>0</v>
      </c>
      <c r="R327" t="s">
        <v>42671</v>
      </c>
      <c r="S327" t="s">
        <v>42779</v>
      </c>
      <c r="T327" t="s">
        <v>44356</v>
      </c>
      <c r="U327" t="s">
        <v>45155</v>
      </c>
      <c r="W327" t="s">
        <v>38900</v>
      </c>
      <c r="X327" t="s">
        <v>42676</v>
      </c>
    </row>
    <row r="328" spans="1:24">
      <c r="A328">
        <f>HYPERLINK("https://www.philgeps.gov.ph/GEPSNONPILOT/Tender/SplashBidNoticeAbstractUI.aspx?menuIndex=3&amp;refID=7193173&amp;Result=3","7193173")</f>
        <v>0</v>
      </c>
      <c r="B328" t="s">
        <v>53</v>
      </c>
      <c r="C328" t="s">
        <v>3828</v>
      </c>
      <c r="D328" t="s">
        <v>17161</v>
      </c>
      <c r="E328" t="s">
        <v>17565</v>
      </c>
      <c r="F328" t="s">
        <v>29372</v>
      </c>
      <c r="G328" t="s">
        <v>29380</v>
      </c>
      <c r="H328" t="s">
        <v>11048</v>
      </c>
      <c r="I328" t="s">
        <v>4709</v>
      </c>
      <c r="J328" t="s">
        <v>29805</v>
      </c>
      <c r="K328" t="s">
        <v>38490</v>
      </c>
      <c r="M328" t="s">
        <v>38806</v>
      </c>
      <c r="N328" t="s">
        <v>42669</v>
      </c>
      <c r="O328" t="s">
        <v>42670</v>
      </c>
      <c r="P328">
        <v>0</v>
      </c>
      <c r="Q328">
        <v>0</v>
      </c>
      <c r="R328" t="s">
        <v>42671</v>
      </c>
      <c r="S328" t="s">
        <v>42779</v>
      </c>
      <c r="T328" t="s">
        <v>44381</v>
      </c>
      <c r="U328" t="s">
        <v>45156</v>
      </c>
      <c r="W328" t="s">
        <v>58001</v>
      </c>
      <c r="X328" t="s">
        <v>42674</v>
      </c>
    </row>
    <row r="329" spans="1:24">
      <c r="A329">
        <f>HYPERLINK("https://www.philgeps.gov.ph/GEPSNONPILOT/Tender/SplashBidNoticeAbstractUI.aspx?menuIndex=3&amp;refID=7193138&amp;Result=3","7193138")</f>
        <v>0</v>
      </c>
      <c r="B329" t="s">
        <v>135</v>
      </c>
      <c r="C329" t="s">
        <v>3829</v>
      </c>
      <c r="D329" t="s">
        <v>17175</v>
      </c>
      <c r="E329" t="s">
        <v>17566</v>
      </c>
      <c r="F329" t="s">
        <v>29373</v>
      </c>
      <c r="G329" t="s">
        <v>29383</v>
      </c>
      <c r="H329" t="s">
        <v>29389</v>
      </c>
      <c r="I329" t="s">
        <v>29429</v>
      </c>
      <c r="J329" t="s">
        <v>29806</v>
      </c>
      <c r="K329" t="s">
        <v>38485</v>
      </c>
      <c r="M329" t="s">
        <v>38890</v>
      </c>
      <c r="N329" t="s">
        <v>42669</v>
      </c>
      <c r="O329" t="s">
        <v>42670</v>
      </c>
      <c r="P329">
        <v>0</v>
      </c>
      <c r="Q329">
        <v>0</v>
      </c>
      <c r="R329" t="s">
        <v>42671</v>
      </c>
      <c r="S329" t="s">
        <v>42779</v>
      </c>
      <c r="T329" t="s">
        <v>44371</v>
      </c>
      <c r="U329" t="s">
        <v>45157</v>
      </c>
      <c r="W329" t="s">
        <v>38890</v>
      </c>
      <c r="X329" t="s">
        <v>42674</v>
      </c>
    </row>
    <row r="330" spans="1:24">
      <c r="A330">
        <f>HYPERLINK("https://www.philgeps.gov.ph/GEPSNONPILOT/Tender/SplashBidNoticeAbstractUI.aspx?menuIndex=3&amp;refID=7193038&amp;Result=3","7193038")</f>
        <v>0</v>
      </c>
      <c r="B330" t="s">
        <v>162</v>
      </c>
      <c r="C330" t="s">
        <v>3830</v>
      </c>
      <c r="D330" t="s">
        <v>17169</v>
      </c>
      <c r="E330" t="s">
        <v>17567</v>
      </c>
      <c r="F330" t="s">
        <v>29372</v>
      </c>
      <c r="G330" t="s">
        <v>29379</v>
      </c>
      <c r="H330" t="s">
        <v>11048</v>
      </c>
      <c r="I330" t="s">
        <v>14920</v>
      </c>
      <c r="J330" t="s">
        <v>29807</v>
      </c>
      <c r="K330" t="s">
        <v>38488</v>
      </c>
      <c r="M330" t="s">
        <v>38918</v>
      </c>
      <c r="N330" t="s">
        <v>42669</v>
      </c>
      <c r="O330" t="s">
        <v>42670</v>
      </c>
      <c r="P330">
        <v>0</v>
      </c>
      <c r="Q330">
        <v>0</v>
      </c>
      <c r="R330" t="s">
        <v>42671</v>
      </c>
      <c r="S330" t="s">
        <v>42779</v>
      </c>
      <c r="T330" t="s">
        <v>44428</v>
      </c>
      <c r="U330" t="s">
        <v>45158</v>
      </c>
      <c r="W330" t="s">
        <v>38918</v>
      </c>
      <c r="X330" t="s">
        <v>42676</v>
      </c>
    </row>
    <row r="331" spans="1:24">
      <c r="A331">
        <f>HYPERLINK("https://www.philgeps.gov.ph/GEPSNONPILOT/Tender/SplashBidNoticeAbstractUI.aspx?menuIndex=3&amp;refID=7193134&amp;Result=3","7193134")</f>
        <v>0</v>
      </c>
      <c r="B331" t="s">
        <v>164</v>
      </c>
      <c r="C331" t="s">
        <v>3831</v>
      </c>
      <c r="D331" t="s">
        <v>17164</v>
      </c>
      <c r="E331" t="s">
        <v>17568</v>
      </c>
      <c r="F331" t="s">
        <v>29372</v>
      </c>
      <c r="G331" t="s">
        <v>29380</v>
      </c>
      <c r="H331" t="s">
        <v>29389</v>
      </c>
      <c r="I331" t="s">
        <v>29418</v>
      </c>
      <c r="J331" t="s">
        <v>29808</v>
      </c>
      <c r="K331" t="s">
        <v>38537</v>
      </c>
      <c r="M331" t="s">
        <v>38920</v>
      </c>
      <c r="N331" t="s">
        <v>42669</v>
      </c>
      <c r="O331" t="s">
        <v>42670</v>
      </c>
      <c r="P331">
        <v>0</v>
      </c>
      <c r="Q331">
        <v>0</v>
      </c>
      <c r="R331" t="s">
        <v>42671</v>
      </c>
      <c r="S331" t="s">
        <v>42779</v>
      </c>
      <c r="T331" t="s">
        <v>44389</v>
      </c>
      <c r="U331" t="s">
        <v>45159</v>
      </c>
      <c r="W331" t="s">
        <v>38920</v>
      </c>
      <c r="X331" t="s">
        <v>42674</v>
      </c>
    </row>
    <row r="332" spans="1:24">
      <c r="A332">
        <f>HYPERLINK("https://www.philgeps.gov.ph/GEPSNONPILOT/Tender/SplashBidNoticeAbstractUI.aspx?menuIndex=3&amp;refID=7193191&amp;Result=3","7193191")</f>
        <v>0</v>
      </c>
      <c r="B332" t="s">
        <v>73</v>
      </c>
      <c r="C332" t="s">
        <v>3832</v>
      </c>
      <c r="D332" t="s">
        <v>17171</v>
      </c>
      <c r="E332" t="s">
        <v>17569</v>
      </c>
      <c r="F332" t="s">
        <v>29372</v>
      </c>
      <c r="G332" t="s">
        <v>29379</v>
      </c>
      <c r="H332" t="s">
        <v>11048</v>
      </c>
      <c r="I332" t="s">
        <v>4709</v>
      </c>
      <c r="J332" t="s">
        <v>29809</v>
      </c>
      <c r="K332" t="s">
        <v>38490</v>
      </c>
      <c r="M332" t="s">
        <v>38827</v>
      </c>
      <c r="N332" t="s">
        <v>42669</v>
      </c>
      <c r="O332" t="s">
        <v>42670</v>
      </c>
      <c r="P332">
        <v>0</v>
      </c>
      <c r="Q332">
        <v>0</v>
      </c>
      <c r="R332" t="s">
        <v>42671</v>
      </c>
      <c r="S332" t="s">
        <v>42779</v>
      </c>
      <c r="T332" t="s">
        <v>44382</v>
      </c>
      <c r="U332" t="s">
        <v>44978</v>
      </c>
      <c r="W332" t="s">
        <v>38827</v>
      </c>
      <c r="X332" t="s">
        <v>42674</v>
      </c>
    </row>
    <row r="333" spans="1:24">
      <c r="A333">
        <f>HYPERLINK("https://www.philgeps.gov.ph/GEPSNONPILOT/Tender/SplashBidNoticeAbstractUI.aspx?menuIndex=3&amp;refID=7193130&amp;Result=3","7193130")</f>
        <v>0</v>
      </c>
      <c r="B333" t="s">
        <v>52</v>
      </c>
      <c r="C333" t="s">
        <v>3833</v>
      </c>
      <c r="D333" t="s">
        <v>17192</v>
      </c>
      <c r="E333" t="s">
        <v>17570</v>
      </c>
      <c r="F333" t="s">
        <v>29372</v>
      </c>
      <c r="G333" t="s">
        <v>29379</v>
      </c>
      <c r="H333" t="s">
        <v>11048</v>
      </c>
      <c r="I333" t="s">
        <v>4486</v>
      </c>
      <c r="J333" t="s">
        <v>29619</v>
      </c>
      <c r="K333" t="s">
        <v>38530</v>
      </c>
      <c r="L333" t="s">
        <v>52</v>
      </c>
      <c r="M333" t="s">
        <v>38921</v>
      </c>
      <c r="N333" t="s">
        <v>42669</v>
      </c>
      <c r="O333" t="s">
        <v>42670</v>
      </c>
      <c r="P333">
        <v>0</v>
      </c>
      <c r="Q333">
        <v>3</v>
      </c>
      <c r="R333" t="s">
        <v>42671</v>
      </c>
      <c r="S333" t="s">
        <v>42779</v>
      </c>
      <c r="T333" t="s">
        <v>44431</v>
      </c>
      <c r="U333" t="s">
        <v>45160</v>
      </c>
      <c r="W333" t="s">
        <v>38921</v>
      </c>
      <c r="X333" t="s">
        <v>42674</v>
      </c>
    </row>
    <row r="334" spans="1:24">
      <c r="A334">
        <f>HYPERLINK("https://www.philgeps.gov.ph/GEPSNONPILOT/Tender/SplashBidNoticeAbstractUI.aspx?menuIndex=3&amp;refID=7193157&amp;Result=3","7193157")</f>
        <v>0</v>
      </c>
      <c r="B334" t="s">
        <v>165</v>
      </c>
      <c r="C334" t="s">
        <v>3834</v>
      </c>
      <c r="D334" t="s">
        <v>17169</v>
      </c>
      <c r="E334" t="s">
        <v>17399</v>
      </c>
      <c r="F334" t="s">
        <v>29372</v>
      </c>
      <c r="G334" t="s">
        <v>29380</v>
      </c>
      <c r="H334" t="s">
        <v>29389</v>
      </c>
      <c r="I334" t="s">
        <v>10408</v>
      </c>
      <c r="J334" t="s">
        <v>29590</v>
      </c>
      <c r="K334" t="s">
        <v>38490</v>
      </c>
      <c r="M334" t="s">
        <v>38922</v>
      </c>
      <c r="N334" t="s">
        <v>42669</v>
      </c>
      <c r="O334" t="s">
        <v>42670</v>
      </c>
      <c r="P334">
        <v>0</v>
      </c>
      <c r="Q334">
        <v>0</v>
      </c>
      <c r="R334" t="s">
        <v>42671</v>
      </c>
      <c r="S334" t="s">
        <v>42779</v>
      </c>
      <c r="T334" t="s">
        <v>44389</v>
      </c>
      <c r="U334" t="s">
        <v>45161</v>
      </c>
      <c r="W334" t="s">
        <v>38922</v>
      </c>
      <c r="X334" t="s">
        <v>42674</v>
      </c>
    </row>
    <row r="335" spans="1:24">
      <c r="A335">
        <f>HYPERLINK("https://www.philgeps.gov.ph/GEPSNONPILOT/Tender/SplashBidNoticeAbstractUI.aspx?menuIndex=3&amp;refID=7193123&amp;Result=3","7193123")</f>
        <v>0</v>
      </c>
      <c r="B335" t="s">
        <v>149</v>
      </c>
      <c r="C335" t="s">
        <v>3835</v>
      </c>
      <c r="D335" t="s">
        <v>17190</v>
      </c>
      <c r="E335" t="s">
        <v>17541</v>
      </c>
      <c r="F335" t="s">
        <v>29372</v>
      </c>
      <c r="G335" t="s">
        <v>29380</v>
      </c>
      <c r="H335" t="s">
        <v>29389</v>
      </c>
      <c r="I335" t="s">
        <v>10408</v>
      </c>
      <c r="J335" t="s">
        <v>29810</v>
      </c>
      <c r="K335" t="s">
        <v>38490</v>
      </c>
      <c r="M335" t="s">
        <v>38904</v>
      </c>
      <c r="N335" t="s">
        <v>42669</v>
      </c>
      <c r="O335" t="s">
        <v>42670</v>
      </c>
      <c r="P335">
        <v>0</v>
      </c>
      <c r="Q335">
        <v>0</v>
      </c>
      <c r="R335" t="s">
        <v>42671</v>
      </c>
      <c r="S335" t="s">
        <v>42779</v>
      </c>
      <c r="T335" t="s">
        <v>44358</v>
      </c>
      <c r="U335" t="s">
        <v>45162</v>
      </c>
      <c r="V335" t="s">
        <v>56374</v>
      </c>
      <c r="W335" t="s">
        <v>38904</v>
      </c>
      <c r="X335" t="s">
        <v>42674</v>
      </c>
    </row>
    <row r="336" spans="1:24">
      <c r="A336">
        <f>HYPERLINK("https://www.philgeps.gov.ph/GEPSNONPILOT/Tender/SplashBidNoticeAbstractUI.aspx?menuIndex=3&amp;refID=7193212&amp;Result=3","7193212")</f>
        <v>0</v>
      </c>
      <c r="B336" t="s">
        <v>137</v>
      </c>
      <c r="C336" t="s">
        <v>3836</v>
      </c>
      <c r="D336" t="s">
        <v>17187</v>
      </c>
      <c r="E336" t="s">
        <v>17571</v>
      </c>
      <c r="F336" t="s">
        <v>29372</v>
      </c>
      <c r="G336" t="s">
        <v>29380</v>
      </c>
      <c r="H336" t="s">
        <v>29389</v>
      </c>
      <c r="I336" t="s">
        <v>29429</v>
      </c>
      <c r="J336" t="s">
        <v>29708</v>
      </c>
      <c r="K336" t="s">
        <v>38491</v>
      </c>
      <c r="M336" t="s">
        <v>38892</v>
      </c>
      <c r="N336" t="s">
        <v>42669</v>
      </c>
      <c r="O336" t="s">
        <v>42670</v>
      </c>
      <c r="P336">
        <v>0</v>
      </c>
      <c r="Q336">
        <v>0</v>
      </c>
      <c r="R336" t="s">
        <v>42671</v>
      </c>
      <c r="S336" t="s">
        <v>42779</v>
      </c>
      <c r="T336" t="s">
        <v>44421</v>
      </c>
      <c r="U336" t="s">
        <v>45163</v>
      </c>
      <c r="W336" t="s">
        <v>38892</v>
      </c>
      <c r="X336" t="s">
        <v>42674</v>
      </c>
    </row>
    <row r="337" spans="1:24">
      <c r="A337">
        <f>HYPERLINK("https://www.philgeps.gov.ph/GEPSNONPILOT/Tender/SplashBidNoticeAbstractUI.aspx?menuIndex=3&amp;refID=7193305&amp;Result=3","7193305")</f>
        <v>0</v>
      </c>
      <c r="B337" t="s">
        <v>166</v>
      </c>
      <c r="C337" t="s">
        <v>3837</v>
      </c>
      <c r="D337" t="s">
        <v>17163</v>
      </c>
      <c r="E337" t="s">
        <v>17533</v>
      </c>
      <c r="F337" t="s">
        <v>29372</v>
      </c>
      <c r="G337" t="s">
        <v>29379</v>
      </c>
      <c r="H337" t="s">
        <v>29390</v>
      </c>
      <c r="I337" t="s">
        <v>29409</v>
      </c>
      <c r="J337" t="s">
        <v>29811</v>
      </c>
      <c r="K337" t="s">
        <v>38528</v>
      </c>
      <c r="M337" t="s">
        <v>38923</v>
      </c>
      <c r="N337" t="s">
        <v>42669</v>
      </c>
      <c r="O337" t="s">
        <v>42670</v>
      </c>
      <c r="P337">
        <v>0</v>
      </c>
      <c r="Q337">
        <v>2</v>
      </c>
      <c r="R337" t="s">
        <v>42671</v>
      </c>
      <c r="S337" t="s">
        <v>42779</v>
      </c>
      <c r="T337" t="s">
        <v>44389</v>
      </c>
      <c r="U337" t="s">
        <v>45164</v>
      </c>
      <c r="W337" t="s">
        <v>38923</v>
      </c>
      <c r="X337" t="s">
        <v>42674</v>
      </c>
    </row>
    <row r="338" spans="1:24">
      <c r="A338">
        <f>HYPERLINK("https://www.philgeps.gov.ph/GEPSNONPILOT/Tender/SplashBidNoticeAbstractUI.aspx?menuIndex=3&amp;refID=7193046&amp;Result=3","7193046")</f>
        <v>0</v>
      </c>
      <c r="B338" t="s">
        <v>156</v>
      </c>
      <c r="C338" t="s">
        <v>3830</v>
      </c>
      <c r="D338" t="s">
        <v>17169</v>
      </c>
      <c r="E338" t="s">
        <v>17561</v>
      </c>
      <c r="F338" t="s">
        <v>29372</v>
      </c>
      <c r="G338" t="s">
        <v>29379</v>
      </c>
      <c r="H338" t="s">
        <v>11048</v>
      </c>
      <c r="I338" t="s">
        <v>14920</v>
      </c>
      <c r="J338" t="s">
        <v>29807</v>
      </c>
      <c r="K338" t="s">
        <v>38488</v>
      </c>
      <c r="M338" t="s">
        <v>38912</v>
      </c>
      <c r="N338" t="s">
        <v>42669</v>
      </c>
      <c r="O338" t="s">
        <v>42670</v>
      </c>
      <c r="P338">
        <v>0</v>
      </c>
      <c r="Q338">
        <v>0</v>
      </c>
      <c r="R338" t="s">
        <v>42671</v>
      </c>
      <c r="S338" t="s">
        <v>42779</v>
      </c>
      <c r="T338" t="s">
        <v>44428</v>
      </c>
      <c r="U338" t="s">
        <v>45158</v>
      </c>
      <c r="W338" t="s">
        <v>38912</v>
      </c>
      <c r="X338" t="s">
        <v>42676</v>
      </c>
    </row>
    <row r="339" spans="1:24">
      <c r="A339">
        <f>HYPERLINK("https://www.philgeps.gov.ph/GEPSNONPILOT/Tender/SplashBidNoticeAbstractUI.aspx?menuIndex=3&amp;refID=7193375&amp;Result=3","7193375")</f>
        <v>0</v>
      </c>
      <c r="B339" t="s">
        <v>167</v>
      </c>
      <c r="C339" t="s">
        <v>3838</v>
      </c>
      <c r="D339" t="s">
        <v>17194</v>
      </c>
      <c r="E339" t="s">
        <v>17572</v>
      </c>
      <c r="F339" t="s">
        <v>29372</v>
      </c>
      <c r="G339" t="s">
        <v>29380</v>
      </c>
      <c r="H339" t="s">
        <v>11048</v>
      </c>
      <c r="I339" t="s">
        <v>29407</v>
      </c>
      <c r="J339" t="s">
        <v>29812</v>
      </c>
      <c r="K339" t="s">
        <v>38510</v>
      </c>
      <c r="M339" t="s">
        <v>38924</v>
      </c>
      <c r="N339" t="s">
        <v>42669</v>
      </c>
      <c r="O339" t="s">
        <v>42670</v>
      </c>
      <c r="P339">
        <v>0</v>
      </c>
      <c r="Q339">
        <v>2</v>
      </c>
      <c r="R339" t="s">
        <v>42671</v>
      </c>
      <c r="S339" t="s">
        <v>42779</v>
      </c>
      <c r="T339" t="s">
        <v>44405</v>
      </c>
      <c r="U339" t="s">
        <v>45165</v>
      </c>
      <c r="V339" t="s">
        <v>56379</v>
      </c>
      <c r="W339" t="s">
        <v>38924</v>
      </c>
      <c r="X339" t="s">
        <v>42674</v>
      </c>
    </row>
    <row r="340" spans="1:24">
      <c r="A340">
        <f>HYPERLINK("https://www.philgeps.gov.ph/GEPSNONPILOT/Tender/SplashBidNoticeAbstractUI.aspx?menuIndex=3&amp;refID=7193399&amp;Result=3","7193399")</f>
        <v>0</v>
      </c>
      <c r="B340" t="s">
        <v>168</v>
      </c>
      <c r="C340" t="s">
        <v>3839</v>
      </c>
      <c r="E340" t="s">
        <v>17573</v>
      </c>
      <c r="F340" t="s">
        <v>29372</v>
      </c>
      <c r="G340" t="s">
        <v>29379</v>
      </c>
      <c r="H340" t="s">
        <v>11048</v>
      </c>
      <c r="I340" t="s">
        <v>3839</v>
      </c>
      <c r="J340" t="s">
        <v>29813</v>
      </c>
      <c r="K340" t="s">
        <v>38485</v>
      </c>
      <c r="M340" t="s">
        <v>38925</v>
      </c>
      <c r="N340" t="s">
        <v>42669</v>
      </c>
      <c r="O340" t="s">
        <v>42670</v>
      </c>
      <c r="P340">
        <v>0</v>
      </c>
      <c r="Q340">
        <v>2</v>
      </c>
      <c r="R340" t="s">
        <v>42671</v>
      </c>
      <c r="S340" t="s">
        <v>42779</v>
      </c>
      <c r="T340" t="s">
        <v>44394</v>
      </c>
      <c r="U340" t="s">
        <v>45166</v>
      </c>
      <c r="W340" t="s">
        <v>38925</v>
      </c>
      <c r="X340" t="s">
        <v>42674</v>
      </c>
    </row>
    <row r="341" spans="1:24">
      <c r="A341">
        <f>HYPERLINK("https://www.philgeps.gov.ph/GEPSNONPILOT/Tender/SplashBidNoticeAbstractUI.aspx?menuIndex=3&amp;refID=7193257&amp;Result=3","7193257")</f>
        <v>0</v>
      </c>
      <c r="B341" t="s">
        <v>53</v>
      </c>
      <c r="C341" t="s">
        <v>3840</v>
      </c>
      <c r="D341" t="s">
        <v>17161</v>
      </c>
      <c r="E341" t="s">
        <v>17574</v>
      </c>
      <c r="F341" t="s">
        <v>29372</v>
      </c>
      <c r="G341" t="s">
        <v>29380</v>
      </c>
      <c r="H341" t="s">
        <v>11048</v>
      </c>
      <c r="I341" t="s">
        <v>4709</v>
      </c>
      <c r="J341" t="s">
        <v>29814</v>
      </c>
      <c r="K341" t="s">
        <v>38490</v>
      </c>
      <c r="M341" t="s">
        <v>38806</v>
      </c>
      <c r="N341" t="s">
        <v>42669</v>
      </c>
      <c r="O341" t="s">
        <v>42670</v>
      </c>
      <c r="P341">
        <v>0</v>
      </c>
      <c r="Q341">
        <v>0</v>
      </c>
      <c r="R341" t="s">
        <v>42671</v>
      </c>
      <c r="S341" t="s">
        <v>42779</v>
      </c>
      <c r="T341" t="s">
        <v>44381</v>
      </c>
      <c r="U341" t="s">
        <v>45167</v>
      </c>
      <c r="W341" t="s">
        <v>58001</v>
      </c>
      <c r="X341" t="s">
        <v>42674</v>
      </c>
    </row>
    <row r="342" spans="1:24">
      <c r="A342">
        <f>HYPERLINK("https://www.philgeps.gov.ph/GEPSNONPILOT/Tender/SplashBidNoticeAbstractUI.aspx?menuIndex=3&amp;refID=7193137&amp;Result=3","7193137")</f>
        <v>0</v>
      </c>
      <c r="B342" t="s">
        <v>135</v>
      </c>
      <c r="C342" t="s">
        <v>3829</v>
      </c>
      <c r="D342" t="s">
        <v>17175</v>
      </c>
      <c r="E342" t="s">
        <v>17575</v>
      </c>
      <c r="F342" t="s">
        <v>29373</v>
      </c>
      <c r="G342" t="s">
        <v>29383</v>
      </c>
      <c r="H342" t="s">
        <v>11048</v>
      </c>
      <c r="I342" t="s">
        <v>4709</v>
      </c>
      <c r="J342" t="s">
        <v>29815</v>
      </c>
      <c r="K342" t="s">
        <v>38510</v>
      </c>
      <c r="M342" t="s">
        <v>38890</v>
      </c>
      <c r="N342" t="s">
        <v>42669</v>
      </c>
      <c r="O342" t="s">
        <v>42670</v>
      </c>
      <c r="P342">
        <v>0</v>
      </c>
      <c r="Q342">
        <v>0</v>
      </c>
      <c r="R342" t="s">
        <v>42671</v>
      </c>
      <c r="S342" t="s">
        <v>42779</v>
      </c>
      <c r="T342" t="s">
        <v>44371</v>
      </c>
      <c r="U342" t="s">
        <v>45168</v>
      </c>
      <c r="W342" t="s">
        <v>38890</v>
      </c>
      <c r="X342" t="s">
        <v>42674</v>
      </c>
    </row>
    <row r="343" spans="1:24">
      <c r="A343">
        <f>HYPERLINK("https://www.philgeps.gov.ph/GEPSNONPILOT/Tender/SplashBidNoticeAbstractUI.aspx?menuIndex=3&amp;refID=7193117&amp;Result=3","7193117")</f>
        <v>0</v>
      </c>
      <c r="B343" t="s">
        <v>169</v>
      </c>
      <c r="C343" t="s">
        <v>3841</v>
      </c>
      <c r="D343" t="s">
        <v>17178</v>
      </c>
      <c r="E343" t="s">
        <v>17576</v>
      </c>
      <c r="F343" t="s">
        <v>29372</v>
      </c>
      <c r="G343" t="s">
        <v>29380</v>
      </c>
      <c r="H343" t="s">
        <v>29389</v>
      </c>
      <c r="I343" t="s">
        <v>10408</v>
      </c>
      <c r="J343" t="s">
        <v>29816</v>
      </c>
      <c r="K343" t="s">
        <v>38485</v>
      </c>
      <c r="M343" t="s">
        <v>38926</v>
      </c>
      <c r="N343" t="s">
        <v>42669</v>
      </c>
      <c r="O343" t="s">
        <v>42670</v>
      </c>
      <c r="P343">
        <v>0</v>
      </c>
      <c r="Q343">
        <v>1</v>
      </c>
      <c r="R343" t="s">
        <v>42671</v>
      </c>
      <c r="S343" t="s">
        <v>42779</v>
      </c>
      <c r="T343" t="s">
        <v>44373</v>
      </c>
      <c r="U343" t="s">
        <v>45169</v>
      </c>
      <c r="W343" t="s">
        <v>38926</v>
      </c>
      <c r="X343" t="s">
        <v>42674</v>
      </c>
    </row>
    <row r="344" spans="1:24">
      <c r="A344">
        <f>HYPERLINK("https://www.philgeps.gov.ph/GEPSNONPILOT/Tender/SplashBidNoticeAbstractUI.aspx?menuIndex=3&amp;refID=7193381&amp;Result=3","7193381")</f>
        <v>0</v>
      </c>
      <c r="B344" t="s">
        <v>170</v>
      </c>
      <c r="C344" t="s">
        <v>3842</v>
      </c>
      <c r="D344" t="s">
        <v>17195</v>
      </c>
      <c r="E344" t="s">
        <v>17577</v>
      </c>
      <c r="F344" t="s">
        <v>29372</v>
      </c>
      <c r="G344" t="s">
        <v>29380</v>
      </c>
      <c r="H344" t="s">
        <v>11048</v>
      </c>
      <c r="I344" t="s">
        <v>4709</v>
      </c>
      <c r="J344" t="s">
        <v>29817</v>
      </c>
      <c r="K344" t="s">
        <v>38495</v>
      </c>
      <c r="M344" t="s">
        <v>38927</v>
      </c>
      <c r="N344" t="s">
        <v>42669</v>
      </c>
      <c r="O344" t="s">
        <v>42670</v>
      </c>
      <c r="P344">
        <v>0</v>
      </c>
      <c r="Q344">
        <v>0</v>
      </c>
      <c r="R344" t="s">
        <v>42671</v>
      </c>
      <c r="S344" t="s">
        <v>42779</v>
      </c>
      <c r="T344" t="s">
        <v>44368</v>
      </c>
      <c r="U344" t="s">
        <v>45170</v>
      </c>
      <c r="W344" t="s">
        <v>38927</v>
      </c>
      <c r="X344" t="s">
        <v>42674</v>
      </c>
    </row>
    <row r="345" spans="1:24">
      <c r="A345">
        <f>HYPERLINK("https://www.philgeps.gov.ph/GEPSNONPILOT/Tender/SplashBidNoticeAbstractUI.aspx?menuIndex=3&amp;refID=7193378&amp;Result=3","7193378")</f>
        <v>0</v>
      </c>
      <c r="B345" t="s">
        <v>167</v>
      </c>
      <c r="C345" t="s">
        <v>3843</v>
      </c>
      <c r="D345" t="s">
        <v>17194</v>
      </c>
      <c r="E345" t="s">
        <v>17578</v>
      </c>
      <c r="F345" t="s">
        <v>29372</v>
      </c>
      <c r="G345" t="s">
        <v>29380</v>
      </c>
      <c r="H345" t="s">
        <v>11048</v>
      </c>
      <c r="I345" t="s">
        <v>3695</v>
      </c>
      <c r="J345" t="s">
        <v>29818</v>
      </c>
      <c r="K345" t="s">
        <v>38510</v>
      </c>
      <c r="M345" t="s">
        <v>38924</v>
      </c>
      <c r="N345" t="s">
        <v>42669</v>
      </c>
      <c r="O345" t="s">
        <v>42670</v>
      </c>
      <c r="P345">
        <v>0</v>
      </c>
      <c r="Q345">
        <v>0</v>
      </c>
      <c r="R345" t="s">
        <v>42671</v>
      </c>
      <c r="S345" t="s">
        <v>42779</v>
      </c>
      <c r="T345" t="s">
        <v>44405</v>
      </c>
      <c r="U345" t="s">
        <v>45165</v>
      </c>
      <c r="V345" t="s">
        <v>56379</v>
      </c>
      <c r="W345" t="s">
        <v>38924</v>
      </c>
      <c r="X345" t="s">
        <v>42674</v>
      </c>
    </row>
    <row r="346" spans="1:24">
      <c r="A346">
        <f>HYPERLINK("https://www.philgeps.gov.ph/GEPSNONPILOT/Tender/SplashBidNoticeAbstractUI.aspx?menuIndex=3&amp;refID=7193396&amp;Result=3","7193396")</f>
        <v>0</v>
      </c>
      <c r="B346" t="s">
        <v>171</v>
      </c>
      <c r="C346" t="s">
        <v>3844</v>
      </c>
      <c r="D346" t="s">
        <v>17166</v>
      </c>
      <c r="E346" t="s">
        <v>17579</v>
      </c>
      <c r="F346" t="s">
        <v>29372</v>
      </c>
      <c r="G346" t="s">
        <v>29379</v>
      </c>
      <c r="H346" t="s">
        <v>11048</v>
      </c>
      <c r="I346" t="s">
        <v>29424</v>
      </c>
      <c r="J346" t="s">
        <v>29819</v>
      </c>
      <c r="K346" t="s">
        <v>38489</v>
      </c>
      <c r="L346" t="s">
        <v>171</v>
      </c>
      <c r="M346" t="s">
        <v>38928</v>
      </c>
      <c r="N346" t="s">
        <v>42669</v>
      </c>
      <c r="O346" t="s">
        <v>42670</v>
      </c>
      <c r="P346">
        <v>0</v>
      </c>
      <c r="Q346">
        <v>2</v>
      </c>
      <c r="R346" t="s">
        <v>42671</v>
      </c>
      <c r="S346" t="s">
        <v>42779</v>
      </c>
      <c r="T346" t="s">
        <v>44394</v>
      </c>
      <c r="U346" t="s">
        <v>45171</v>
      </c>
      <c r="W346" t="s">
        <v>38928</v>
      </c>
      <c r="X346" t="s">
        <v>42674</v>
      </c>
    </row>
    <row r="347" spans="1:24">
      <c r="A347">
        <f>HYPERLINK("https://www.philgeps.gov.ph/GEPSNONPILOT/Tender/SplashBidNoticeAbstractUI.aspx?menuIndex=3&amp;refID=7193346&amp;Result=3","7193346")</f>
        <v>0</v>
      </c>
      <c r="B347" t="s">
        <v>172</v>
      </c>
      <c r="C347" t="s">
        <v>3845</v>
      </c>
      <c r="D347" t="s">
        <v>17196</v>
      </c>
      <c r="E347" t="s">
        <v>17580</v>
      </c>
      <c r="F347" t="s">
        <v>29372</v>
      </c>
      <c r="G347" t="s">
        <v>29380</v>
      </c>
      <c r="H347" t="s">
        <v>29389</v>
      </c>
      <c r="I347" t="s">
        <v>10408</v>
      </c>
      <c r="J347" t="s">
        <v>29590</v>
      </c>
      <c r="K347" t="s">
        <v>38496</v>
      </c>
      <c r="M347" t="s">
        <v>38929</v>
      </c>
      <c r="N347" t="s">
        <v>42669</v>
      </c>
      <c r="O347" t="s">
        <v>42670</v>
      </c>
      <c r="P347">
        <v>0</v>
      </c>
      <c r="Q347">
        <v>0</v>
      </c>
      <c r="R347" t="s">
        <v>42671</v>
      </c>
      <c r="S347" t="s">
        <v>42779</v>
      </c>
      <c r="T347" t="s">
        <v>44424</v>
      </c>
      <c r="U347" t="s">
        <v>45172</v>
      </c>
      <c r="W347" t="s">
        <v>38929</v>
      </c>
      <c r="X347" t="s">
        <v>42674</v>
      </c>
    </row>
    <row r="348" spans="1:24">
      <c r="A348">
        <f>HYPERLINK("https://www.philgeps.gov.ph/GEPSNONPILOT/Tender/SplashBidNoticeAbstractUI.aspx?menuIndex=3&amp;refID=7193368&amp;Result=3","7193368")</f>
        <v>0</v>
      </c>
      <c r="B348" t="s">
        <v>167</v>
      </c>
      <c r="C348" t="s">
        <v>3846</v>
      </c>
      <c r="D348" t="s">
        <v>17194</v>
      </c>
      <c r="E348" t="s">
        <v>17581</v>
      </c>
      <c r="F348" t="s">
        <v>29372</v>
      </c>
      <c r="G348" t="s">
        <v>29380</v>
      </c>
      <c r="H348" t="s">
        <v>11048</v>
      </c>
      <c r="I348" t="s">
        <v>29428</v>
      </c>
      <c r="J348" t="s">
        <v>29820</v>
      </c>
      <c r="K348" t="s">
        <v>38510</v>
      </c>
      <c r="M348" t="s">
        <v>38924</v>
      </c>
      <c r="N348" t="s">
        <v>42669</v>
      </c>
      <c r="O348" t="s">
        <v>42670</v>
      </c>
      <c r="P348">
        <v>0</v>
      </c>
      <c r="Q348">
        <v>0</v>
      </c>
      <c r="R348" t="s">
        <v>42671</v>
      </c>
      <c r="S348" t="s">
        <v>42779</v>
      </c>
      <c r="T348" t="s">
        <v>44405</v>
      </c>
      <c r="U348" t="s">
        <v>45165</v>
      </c>
      <c r="V348" t="s">
        <v>56379</v>
      </c>
      <c r="W348" t="s">
        <v>38924</v>
      </c>
      <c r="X348" t="s">
        <v>42674</v>
      </c>
    </row>
    <row r="349" spans="1:24">
      <c r="A349">
        <f>HYPERLINK("https://www.philgeps.gov.ph/GEPSNONPILOT/Tender/SplashBidNoticeAbstractUI.aspx?menuIndex=3&amp;refID=7193353&amp;Result=3","7193353")</f>
        <v>0</v>
      </c>
      <c r="B349" t="s">
        <v>53</v>
      </c>
      <c r="C349" t="s">
        <v>3847</v>
      </c>
      <c r="E349" t="s">
        <v>17582</v>
      </c>
      <c r="F349" t="s">
        <v>29372</v>
      </c>
      <c r="G349" t="s">
        <v>29380</v>
      </c>
      <c r="H349" t="s">
        <v>11048</v>
      </c>
      <c r="I349" t="s">
        <v>4709</v>
      </c>
      <c r="J349" t="s">
        <v>29821</v>
      </c>
      <c r="K349" t="s">
        <v>38490</v>
      </c>
      <c r="M349" t="s">
        <v>38806</v>
      </c>
      <c r="N349" t="s">
        <v>42669</v>
      </c>
      <c r="O349" t="s">
        <v>42670</v>
      </c>
      <c r="P349">
        <v>0</v>
      </c>
      <c r="Q349">
        <v>0</v>
      </c>
      <c r="R349" t="s">
        <v>42671</v>
      </c>
      <c r="S349" t="s">
        <v>42779</v>
      </c>
      <c r="T349" t="s">
        <v>44381</v>
      </c>
      <c r="U349" t="s">
        <v>45173</v>
      </c>
      <c r="W349" t="s">
        <v>58001</v>
      </c>
      <c r="X349" t="s">
        <v>42674</v>
      </c>
    </row>
    <row r="350" spans="1:24">
      <c r="A350">
        <f>HYPERLINK("https://www.philgeps.gov.ph/GEPSNONPILOT/Tender/SplashBidNoticeAbstractUI.aspx?menuIndex=3&amp;refID=7193315&amp;Result=3","7193315")</f>
        <v>0</v>
      </c>
      <c r="B350" t="s">
        <v>166</v>
      </c>
      <c r="C350" t="s">
        <v>3848</v>
      </c>
      <c r="D350" t="s">
        <v>17163</v>
      </c>
      <c r="E350" t="s">
        <v>17533</v>
      </c>
      <c r="F350" t="s">
        <v>29372</v>
      </c>
      <c r="G350" t="s">
        <v>29379</v>
      </c>
      <c r="H350" t="s">
        <v>29390</v>
      </c>
      <c r="I350" t="s">
        <v>29409</v>
      </c>
      <c r="J350" t="s">
        <v>29822</v>
      </c>
      <c r="K350" t="s">
        <v>38528</v>
      </c>
      <c r="M350" t="s">
        <v>38923</v>
      </c>
      <c r="N350" t="s">
        <v>42669</v>
      </c>
      <c r="O350" t="s">
        <v>42670</v>
      </c>
      <c r="P350">
        <v>0</v>
      </c>
      <c r="Q350">
        <v>2</v>
      </c>
      <c r="R350" t="s">
        <v>42671</v>
      </c>
      <c r="S350" t="s">
        <v>42779</v>
      </c>
      <c r="T350" t="s">
        <v>44389</v>
      </c>
      <c r="U350" t="s">
        <v>45174</v>
      </c>
      <c r="W350" t="s">
        <v>38923</v>
      </c>
      <c r="X350" t="s">
        <v>42674</v>
      </c>
    </row>
    <row r="351" spans="1:24">
      <c r="A351">
        <f>HYPERLINK("https://www.philgeps.gov.ph/GEPSNONPILOT/Tender/SplashBidNoticeAbstractUI.aspx?menuIndex=3&amp;refID=7193313&amp;Result=3","7193313")</f>
        <v>0</v>
      </c>
      <c r="B351" t="s">
        <v>166</v>
      </c>
      <c r="C351" t="s">
        <v>3849</v>
      </c>
      <c r="D351" t="s">
        <v>17163</v>
      </c>
      <c r="E351" t="s">
        <v>17533</v>
      </c>
      <c r="F351" t="s">
        <v>29372</v>
      </c>
      <c r="G351" t="s">
        <v>29379</v>
      </c>
      <c r="H351" t="s">
        <v>29390</v>
      </c>
      <c r="I351" t="s">
        <v>29409</v>
      </c>
      <c r="J351" t="s">
        <v>29708</v>
      </c>
      <c r="K351" t="s">
        <v>38528</v>
      </c>
      <c r="M351" t="s">
        <v>38923</v>
      </c>
      <c r="N351" t="s">
        <v>42669</v>
      </c>
      <c r="O351" t="s">
        <v>42670</v>
      </c>
      <c r="P351">
        <v>0</v>
      </c>
      <c r="Q351">
        <v>2</v>
      </c>
      <c r="R351" t="s">
        <v>42671</v>
      </c>
      <c r="S351" t="s">
        <v>42779</v>
      </c>
      <c r="T351" t="s">
        <v>44389</v>
      </c>
      <c r="U351" t="s">
        <v>45175</v>
      </c>
      <c r="W351" t="s">
        <v>38923</v>
      </c>
      <c r="X351" t="s">
        <v>42674</v>
      </c>
    </row>
    <row r="352" spans="1:24">
      <c r="A352">
        <f>HYPERLINK("https://www.philgeps.gov.ph/GEPSNONPILOT/Tender/SplashBidNoticeAbstractUI.aspx?menuIndex=3&amp;refID=7193311&amp;Result=3","7193311")</f>
        <v>0</v>
      </c>
      <c r="B352" t="s">
        <v>166</v>
      </c>
      <c r="C352" t="s">
        <v>3850</v>
      </c>
      <c r="D352" t="s">
        <v>17163</v>
      </c>
      <c r="E352" t="s">
        <v>17533</v>
      </c>
      <c r="F352" t="s">
        <v>29372</v>
      </c>
      <c r="G352" t="s">
        <v>29379</v>
      </c>
      <c r="H352" t="s">
        <v>29390</v>
      </c>
      <c r="I352" t="s">
        <v>29409</v>
      </c>
      <c r="J352" t="s">
        <v>29571</v>
      </c>
      <c r="K352" t="s">
        <v>38528</v>
      </c>
      <c r="M352" t="s">
        <v>38923</v>
      </c>
      <c r="N352" t="s">
        <v>42669</v>
      </c>
      <c r="O352" t="s">
        <v>42670</v>
      </c>
      <c r="P352">
        <v>0</v>
      </c>
      <c r="Q352">
        <v>1</v>
      </c>
      <c r="R352" t="s">
        <v>42671</v>
      </c>
      <c r="S352" t="s">
        <v>42779</v>
      </c>
      <c r="T352" t="s">
        <v>44389</v>
      </c>
      <c r="U352" t="s">
        <v>45176</v>
      </c>
      <c r="W352" t="s">
        <v>38923</v>
      </c>
      <c r="X352" t="s">
        <v>42674</v>
      </c>
    </row>
    <row r="353" spans="1:24">
      <c r="A353">
        <f>HYPERLINK("https://www.philgeps.gov.ph/GEPSNONPILOT/Tender/SplashBidNoticeAbstractUI.aspx?menuIndex=3&amp;refID=7193308&amp;Result=3","7193308")</f>
        <v>0</v>
      </c>
      <c r="B353" t="s">
        <v>166</v>
      </c>
      <c r="C353" t="s">
        <v>3851</v>
      </c>
      <c r="D353" t="s">
        <v>17163</v>
      </c>
      <c r="E353" t="s">
        <v>17533</v>
      </c>
      <c r="F353" t="s">
        <v>29372</v>
      </c>
      <c r="G353" t="s">
        <v>29379</v>
      </c>
      <c r="H353" t="s">
        <v>29390</v>
      </c>
      <c r="I353" t="s">
        <v>29409</v>
      </c>
      <c r="J353" t="s">
        <v>29764</v>
      </c>
      <c r="K353" t="s">
        <v>38528</v>
      </c>
      <c r="M353" t="s">
        <v>38923</v>
      </c>
      <c r="N353" t="s">
        <v>42669</v>
      </c>
      <c r="O353" t="s">
        <v>42670</v>
      </c>
      <c r="P353">
        <v>0</v>
      </c>
      <c r="Q353">
        <v>1</v>
      </c>
      <c r="R353" t="s">
        <v>42671</v>
      </c>
      <c r="S353" t="s">
        <v>42779</v>
      </c>
      <c r="T353" t="s">
        <v>44389</v>
      </c>
      <c r="U353" t="s">
        <v>45177</v>
      </c>
      <c r="W353" t="s">
        <v>38923</v>
      </c>
      <c r="X353" t="s">
        <v>42674</v>
      </c>
    </row>
    <row r="354" spans="1:24">
      <c r="A354">
        <f>HYPERLINK("https://www.philgeps.gov.ph/GEPSNONPILOT/Tender/SplashBidNoticeAbstractUI.aspx?menuIndex=3&amp;refID=7193306&amp;Result=3","7193306")</f>
        <v>0</v>
      </c>
      <c r="B354" t="s">
        <v>166</v>
      </c>
      <c r="C354" t="s">
        <v>3852</v>
      </c>
      <c r="D354" t="s">
        <v>17163</v>
      </c>
      <c r="E354" t="s">
        <v>17533</v>
      </c>
      <c r="F354" t="s">
        <v>29372</v>
      </c>
      <c r="G354" t="s">
        <v>29379</v>
      </c>
      <c r="H354" t="s">
        <v>29390</v>
      </c>
      <c r="I354" t="s">
        <v>29409</v>
      </c>
      <c r="J354" t="s">
        <v>29823</v>
      </c>
      <c r="K354" t="s">
        <v>38528</v>
      </c>
      <c r="M354" t="s">
        <v>38923</v>
      </c>
      <c r="N354" t="s">
        <v>42669</v>
      </c>
      <c r="O354" t="s">
        <v>42670</v>
      </c>
      <c r="P354">
        <v>0</v>
      </c>
      <c r="Q354">
        <v>1</v>
      </c>
      <c r="R354" t="s">
        <v>42671</v>
      </c>
      <c r="S354" t="s">
        <v>42779</v>
      </c>
      <c r="T354" t="s">
        <v>44389</v>
      </c>
      <c r="U354" t="s">
        <v>45178</v>
      </c>
      <c r="W354" t="s">
        <v>38923</v>
      </c>
      <c r="X354" t="s">
        <v>42674</v>
      </c>
    </row>
    <row r="355" spans="1:24">
      <c r="A355">
        <f>HYPERLINK("https://www.philgeps.gov.ph/GEPSNONPILOT/Tender/SplashBidNoticeAbstractUI.aspx?menuIndex=3&amp;refID=7193303&amp;Result=3","7193303")</f>
        <v>0</v>
      </c>
      <c r="B355" t="s">
        <v>166</v>
      </c>
      <c r="C355" t="s">
        <v>3853</v>
      </c>
      <c r="D355" t="s">
        <v>17163</v>
      </c>
      <c r="E355" t="s">
        <v>17533</v>
      </c>
      <c r="F355" t="s">
        <v>29372</v>
      </c>
      <c r="G355" t="s">
        <v>29379</v>
      </c>
      <c r="H355" t="s">
        <v>29390</v>
      </c>
      <c r="I355" t="s">
        <v>29409</v>
      </c>
      <c r="J355" t="s">
        <v>29824</v>
      </c>
      <c r="K355" t="s">
        <v>38528</v>
      </c>
      <c r="M355" t="s">
        <v>38923</v>
      </c>
      <c r="N355" t="s">
        <v>42669</v>
      </c>
      <c r="O355" t="s">
        <v>42670</v>
      </c>
      <c r="P355">
        <v>0</v>
      </c>
      <c r="Q355">
        <v>3</v>
      </c>
      <c r="R355" t="s">
        <v>42671</v>
      </c>
      <c r="S355" t="s">
        <v>42779</v>
      </c>
      <c r="T355" t="s">
        <v>44389</v>
      </c>
      <c r="U355" t="s">
        <v>45179</v>
      </c>
      <c r="W355" t="s">
        <v>38923</v>
      </c>
      <c r="X355" t="s">
        <v>42674</v>
      </c>
    </row>
    <row r="356" spans="1:24">
      <c r="A356">
        <f>HYPERLINK("https://www.philgeps.gov.ph/GEPSNONPILOT/Tender/SplashBidNoticeAbstractUI.aspx?menuIndex=3&amp;refID=7193302&amp;Result=3","7193302")</f>
        <v>0</v>
      </c>
      <c r="B356" t="s">
        <v>173</v>
      </c>
      <c r="C356" t="s">
        <v>3854</v>
      </c>
      <c r="E356" t="s">
        <v>17583</v>
      </c>
      <c r="F356" t="s">
        <v>29372</v>
      </c>
      <c r="G356" t="s">
        <v>29379</v>
      </c>
      <c r="H356" t="s">
        <v>11048</v>
      </c>
      <c r="I356" t="s">
        <v>29393</v>
      </c>
      <c r="J356" t="s">
        <v>29825</v>
      </c>
      <c r="K356" t="s">
        <v>38490</v>
      </c>
      <c r="M356" t="s">
        <v>38930</v>
      </c>
      <c r="N356" t="s">
        <v>42669</v>
      </c>
      <c r="O356" t="s">
        <v>42670</v>
      </c>
      <c r="P356">
        <v>0</v>
      </c>
      <c r="Q356">
        <v>0</v>
      </c>
      <c r="R356" t="s">
        <v>42671</v>
      </c>
      <c r="S356" t="s">
        <v>42779</v>
      </c>
      <c r="T356" t="s">
        <v>44371</v>
      </c>
      <c r="U356" t="s">
        <v>45180</v>
      </c>
      <c r="W356" t="s">
        <v>58003</v>
      </c>
      <c r="X356" t="s">
        <v>42674</v>
      </c>
    </row>
    <row r="357" spans="1:24">
      <c r="A357">
        <f>HYPERLINK("https://www.philgeps.gov.ph/GEPSNONPILOT/Tender/SplashBidNoticeAbstractUI.aspx?menuIndex=3&amp;refID=7193416&amp;Result=3","7193416")</f>
        <v>0</v>
      </c>
      <c r="B357" t="s">
        <v>168</v>
      </c>
      <c r="C357" t="s">
        <v>3855</v>
      </c>
      <c r="E357" t="s">
        <v>17584</v>
      </c>
      <c r="F357" t="s">
        <v>29372</v>
      </c>
      <c r="G357" t="s">
        <v>29379</v>
      </c>
      <c r="H357" t="s">
        <v>11048</v>
      </c>
      <c r="I357" t="s">
        <v>29430</v>
      </c>
      <c r="J357" t="s">
        <v>29826</v>
      </c>
      <c r="K357" t="s">
        <v>38485</v>
      </c>
      <c r="M357" t="s">
        <v>38925</v>
      </c>
      <c r="N357" t="s">
        <v>42669</v>
      </c>
      <c r="O357" t="s">
        <v>42670</v>
      </c>
      <c r="P357">
        <v>0</v>
      </c>
      <c r="Q357">
        <v>1</v>
      </c>
      <c r="R357" t="s">
        <v>42671</v>
      </c>
      <c r="S357" t="s">
        <v>42779</v>
      </c>
      <c r="T357" t="s">
        <v>44386</v>
      </c>
      <c r="U357" t="s">
        <v>45181</v>
      </c>
      <c r="W357" t="s">
        <v>38925</v>
      </c>
      <c r="X357" t="s">
        <v>42674</v>
      </c>
    </row>
    <row r="358" spans="1:24">
      <c r="A358">
        <f>HYPERLINK("https://www.philgeps.gov.ph/GEPSNONPILOT/Tender/SplashBidNoticeAbstractUI.aspx?menuIndex=3&amp;refID=7193497&amp;Result=3","7193497")</f>
        <v>0</v>
      </c>
      <c r="B358" t="s">
        <v>168</v>
      </c>
      <c r="C358" t="s">
        <v>3856</v>
      </c>
      <c r="E358" t="s">
        <v>17585</v>
      </c>
      <c r="F358" t="s">
        <v>29372</v>
      </c>
      <c r="G358" t="s">
        <v>29379</v>
      </c>
      <c r="H358" t="s">
        <v>11048</v>
      </c>
      <c r="I358" t="s">
        <v>9642</v>
      </c>
      <c r="J358" t="s">
        <v>29827</v>
      </c>
      <c r="K358" t="s">
        <v>38531</v>
      </c>
      <c r="M358" t="s">
        <v>38925</v>
      </c>
      <c r="N358" t="s">
        <v>42669</v>
      </c>
      <c r="O358" t="s">
        <v>42670</v>
      </c>
      <c r="P358">
        <v>0</v>
      </c>
      <c r="Q358">
        <v>6</v>
      </c>
      <c r="R358" t="s">
        <v>42671</v>
      </c>
      <c r="S358" t="s">
        <v>42779</v>
      </c>
      <c r="T358" t="s">
        <v>44386</v>
      </c>
      <c r="U358" t="s">
        <v>45182</v>
      </c>
      <c r="W358" t="s">
        <v>38925</v>
      </c>
      <c r="X358" t="s">
        <v>42674</v>
      </c>
    </row>
    <row r="359" spans="1:24">
      <c r="A359">
        <f>HYPERLINK("https://www.philgeps.gov.ph/GEPSNONPILOT/Tender/SplashBidNoticeAbstractUI.aspx?menuIndex=3&amp;refID=7193492&amp;Result=3","7193492")</f>
        <v>0</v>
      </c>
      <c r="B359" t="s">
        <v>170</v>
      </c>
      <c r="C359" t="s">
        <v>3857</v>
      </c>
      <c r="D359" t="s">
        <v>17195</v>
      </c>
      <c r="E359" t="s">
        <v>17586</v>
      </c>
      <c r="F359" t="s">
        <v>29372</v>
      </c>
      <c r="G359" t="s">
        <v>29380</v>
      </c>
      <c r="H359" t="s">
        <v>11048</v>
      </c>
      <c r="I359" t="s">
        <v>29393</v>
      </c>
      <c r="J359" t="s">
        <v>29828</v>
      </c>
      <c r="K359" t="s">
        <v>38495</v>
      </c>
      <c r="M359" t="s">
        <v>38927</v>
      </c>
      <c r="N359" t="s">
        <v>42669</v>
      </c>
      <c r="O359" t="s">
        <v>42670</v>
      </c>
      <c r="P359">
        <v>0</v>
      </c>
      <c r="Q359">
        <v>0</v>
      </c>
      <c r="R359" t="s">
        <v>42671</v>
      </c>
      <c r="S359" t="s">
        <v>42779</v>
      </c>
      <c r="T359" t="s">
        <v>44368</v>
      </c>
      <c r="U359" t="s">
        <v>45170</v>
      </c>
      <c r="W359" t="s">
        <v>38927</v>
      </c>
      <c r="X359" t="s">
        <v>42674</v>
      </c>
    </row>
    <row r="360" spans="1:24">
      <c r="A360">
        <f>HYPERLINK("https://www.philgeps.gov.ph/GEPSNONPILOT/Tender/SplashBidNoticeAbstractUI.aspx?menuIndex=3&amp;refID=7193333&amp;Result=3","7193333")</f>
        <v>0</v>
      </c>
      <c r="B360" t="s">
        <v>172</v>
      </c>
      <c r="C360" t="s">
        <v>3858</v>
      </c>
      <c r="D360" t="s">
        <v>17196</v>
      </c>
      <c r="E360" t="s">
        <v>17587</v>
      </c>
      <c r="F360" t="s">
        <v>29372</v>
      </c>
      <c r="G360" t="s">
        <v>29380</v>
      </c>
      <c r="H360" t="s">
        <v>29389</v>
      </c>
      <c r="I360" t="s">
        <v>10408</v>
      </c>
      <c r="J360" t="s">
        <v>29829</v>
      </c>
      <c r="K360" t="s">
        <v>38522</v>
      </c>
      <c r="M360" t="s">
        <v>38929</v>
      </c>
      <c r="N360" t="s">
        <v>42669</v>
      </c>
      <c r="O360" t="s">
        <v>42670</v>
      </c>
      <c r="P360">
        <v>0</v>
      </c>
      <c r="Q360">
        <v>0</v>
      </c>
      <c r="R360" t="s">
        <v>42671</v>
      </c>
      <c r="S360" t="s">
        <v>42779</v>
      </c>
      <c r="T360" t="s">
        <v>44424</v>
      </c>
      <c r="U360" t="s">
        <v>45183</v>
      </c>
      <c r="W360" t="s">
        <v>38929</v>
      </c>
      <c r="X360" t="s">
        <v>42674</v>
      </c>
    </row>
    <row r="361" spans="1:24">
      <c r="A361">
        <f>HYPERLINK("https://www.philgeps.gov.ph/GEPSNONPILOT/Tender/SplashBidNoticeAbstractUI.aspx?menuIndex=3&amp;refID=7193481&amp;Result=3","7193481")</f>
        <v>0</v>
      </c>
      <c r="B361" t="s">
        <v>174</v>
      </c>
      <c r="C361" t="s">
        <v>3859</v>
      </c>
      <c r="D361" t="s">
        <v>17162</v>
      </c>
      <c r="E361" t="s">
        <v>17588</v>
      </c>
      <c r="F361" t="s">
        <v>29372</v>
      </c>
      <c r="G361" t="s">
        <v>29380</v>
      </c>
      <c r="H361" t="s">
        <v>11048</v>
      </c>
      <c r="I361" t="s">
        <v>29426</v>
      </c>
      <c r="J361" t="s">
        <v>29830</v>
      </c>
      <c r="K361" t="s">
        <v>38488</v>
      </c>
      <c r="L361" t="s">
        <v>174</v>
      </c>
      <c r="M361" t="s">
        <v>38931</v>
      </c>
      <c r="N361" t="s">
        <v>42669</v>
      </c>
      <c r="O361" t="s">
        <v>42670</v>
      </c>
      <c r="P361">
        <v>0</v>
      </c>
      <c r="Q361">
        <v>2</v>
      </c>
      <c r="R361" t="s">
        <v>42671</v>
      </c>
      <c r="S361" t="s">
        <v>42779</v>
      </c>
      <c r="T361" t="s">
        <v>44412</v>
      </c>
      <c r="U361" t="s">
        <v>45184</v>
      </c>
      <c r="V361" t="s">
        <v>56380</v>
      </c>
      <c r="W361" t="s">
        <v>38931</v>
      </c>
      <c r="X361" t="s">
        <v>42674</v>
      </c>
    </row>
    <row r="362" spans="1:24">
      <c r="A362">
        <f>HYPERLINK("https://www.philgeps.gov.ph/GEPSNONPILOT/Tender/SplashBidNoticeAbstractUI.aspx?menuIndex=3&amp;refID=7193480&amp;Result=3","7193480")</f>
        <v>0</v>
      </c>
      <c r="B362" t="s">
        <v>168</v>
      </c>
      <c r="C362" t="s">
        <v>3860</v>
      </c>
      <c r="E362" t="s">
        <v>17589</v>
      </c>
      <c r="F362" t="s">
        <v>29372</v>
      </c>
      <c r="G362" t="s">
        <v>29379</v>
      </c>
      <c r="H362" t="s">
        <v>11048</v>
      </c>
      <c r="I362" t="s">
        <v>3860</v>
      </c>
      <c r="J362" t="s">
        <v>29831</v>
      </c>
      <c r="K362" t="s">
        <v>38510</v>
      </c>
      <c r="M362" t="s">
        <v>38925</v>
      </c>
      <c r="N362" t="s">
        <v>42669</v>
      </c>
      <c r="O362" t="s">
        <v>42670</v>
      </c>
      <c r="P362">
        <v>0</v>
      </c>
      <c r="Q362">
        <v>0</v>
      </c>
      <c r="R362" t="s">
        <v>42671</v>
      </c>
      <c r="S362" t="s">
        <v>42779</v>
      </c>
      <c r="T362" t="s">
        <v>44386</v>
      </c>
      <c r="U362" t="s">
        <v>45185</v>
      </c>
      <c r="W362" t="s">
        <v>38925</v>
      </c>
      <c r="X362" t="s">
        <v>42674</v>
      </c>
    </row>
    <row r="363" spans="1:24">
      <c r="A363">
        <f>HYPERLINK("https://www.philgeps.gov.ph/GEPSNONPILOT/Tender/SplashBidNoticeAbstractUI.aspx?menuIndex=3&amp;refID=7193467&amp;Result=3","7193467")</f>
        <v>0</v>
      </c>
      <c r="B363" t="s">
        <v>168</v>
      </c>
      <c r="C363" t="s">
        <v>3861</v>
      </c>
      <c r="E363" t="s">
        <v>17590</v>
      </c>
      <c r="F363" t="s">
        <v>29372</v>
      </c>
      <c r="G363" t="s">
        <v>29379</v>
      </c>
      <c r="H363" t="s">
        <v>11048</v>
      </c>
      <c r="I363" t="s">
        <v>29395</v>
      </c>
      <c r="J363" t="s">
        <v>29832</v>
      </c>
      <c r="K363" t="s">
        <v>38510</v>
      </c>
      <c r="M363" t="s">
        <v>38925</v>
      </c>
      <c r="N363" t="s">
        <v>42669</v>
      </c>
      <c r="O363" t="s">
        <v>42670</v>
      </c>
      <c r="P363">
        <v>0</v>
      </c>
      <c r="Q363">
        <v>0</v>
      </c>
      <c r="R363" t="s">
        <v>42671</v>
      </c>
      <c r="S363" t="s">
        <v>42779</v>
      </c>
      <c r="T363" t="s">
        <v>44386</v>
      </c>
      <c r="U363" t="s">
        <v>45186</v>
      </c>
      <c r="W363" t="s">
        <v>38925</v>
      </c>
      <c r="X363" t="s">
        <v>42674</v>
      </c>
    </row>
    <row r="364" spans="1:24">
      <c r="A364">
        <f>HYPERLINK("https://www.philgeps.gov.ph/GEPSNONPILOT/Tender/SplashBidNoticeAbstractUI.aspx?menuIndex=3&amp;refID=7193331&amp;Result=3","7193331")</f>
        <v>0</v>
      </c>
      <c r="B364" t="s">
        <v>53</v>
      </c>
      <c r="C364" t="s">
        <v>3862</v>
      </c>
      <c r="D364" t="s">
        <v>17161</v>
      </c>
      <c r="E364" t="s">
        <v>17591</v>
      </c>
      <c r="F364" t="s">
        <v>29374</v>
      </c>
      <c r="G364" t="s">
        <v>29380</v>
      </c>
      <c r="H364" t="s">
        <v>11048</v>
      </c>
      <c r="I364" t="s">
        <v>4709</v>
      </c>
      <c r="J364" t="s">
        <v>29833</v>
      </c>
      <c r="K364" t="s">
        <v>38490</v>
      </c>
      <c r="M364" t="s">
        <v>38806</v>
      </c>
      <c r="N364" t="s">
        <v>42669</v>
      </c>
      <c r="O364" t="s">
        <v>42670</v>
      </c>
      <c r="P364">
        <v>0</v>
      </c>
      <c r="Q364">
        <v>1</v>
      </c>
      <c r="R364" t="s">
        <v>42671</v>
      </c>
      <c r="S364" t="s">
        <v>42779</v>
      </c>
      <c r="T364" t="s">
        <v>44381</v>
      </c>
      <c r="U364" t="s">
        <v>45187</v>
      </c>
      <c r="W364" t="s">
        <v>58001</v>
      </c>
      <c r="X364" t="s">
        <v>42674</v>
      </c>
    </row>
    <row r="365" spans="1:24">
      <c r="A365">
        <f>HYPERLINK("https://www.philgeps.gov.ph/GEPSNONPILOT/Tender/SplashBidNoticeAbstractUI.aspx?menuIndex=3&amp;refID=7193463&amp;Result=3","7193463")</f>
        <v>0</v>
      </c>
      <c r="B365" t="s">
        <v>168</v>
      </c>
      <c r="C365" t="s">
        <v>3863</v>
      </c>
      <c r="E365" t="s">
        <v>17592</v>
      </c>
      <c r="F365" t="s">
        <v>29372</v>
      </c>
      <c r="G365" t="s">
        <v>29379</v>
      </c>
      <c r="H365" t="s">
        <v>11048</v>
      </c>
      <c r="I365" t="s">
        <v>3629</v>
      </c>
      <c r="J365" t="s">
        <v>29834</v>
      </c>
      <c r="K365" t="s">
        <v>38488</v>
      </c>
      <c r="M365" t="s">
        <v>38925</v>
      </c>
      <c r="N365" t="s">
        <v>42669</v>
      </c>
      <c r="O365" t="s">
        <v>42670</v>
      </c>
      <c r="P365">
        <v>0</v>
      </c>
      <c r="Q365">
        <v>0</v>
      </c>
      <c r="R365" t="s">
        <v>42671</v>
      </c>
      <c r="S365" t="s">
        <v>42779</v>
      </c>
      <c r="T365" t="s">
        <v>44386</v>
      </c>
      <c r="U365" t="s">
        <v>45188</v>
      </c>
      <c r="W365" t="s">
        <v>38925</v>
      </c>
      <c r="X365" t="s">
        <v>42674</v>
      </c>
    </row>
    <row r="366" spans="1:24">
      <c r="A366">
        <f>HYPERLINK("https://www.philgeps.gov.ph/GEPSNONPILOT/Tender/SplashBidNoticeAbstractUI.aspx?menuIndex=3&amp;refID=7193470&amp;Result=3","7193470")</f>
        <v>0</v>
      </c>
      <c r="B366" t="s">
        <v>168</v>
      </c>
      <c r="C366" t="s">
        <v>3864</v>
      </c>
      <c r="E366" t="s">
        <v>17593</v>
      </c>
      <c r="F366" t="s">
        <v>29372</v>
      </c>
      <c r="G366" t="s">
        <v>29379</v>
      </c>
      <c r="H366" t="s">
        <v>11048</v>
      </c>
      <c r="I366" t="s">
        <v>3597</v>
      </c>
      <c r="J366" t="s">
        <v>29835</v>
      </c>
      <c r="K366" t="s">
        <v>38485</v>
      </c>
      <c r="M366" t="s">
        <v>38925</v>
      </c>
      <c r="N366" t="s">
        <v>42669</v>
      </c>
      <c r="O366" t="s">
        <v>42670</v>
      </c>
      <c r="P366">
        <v>0</v>
      </c>
      <c r="Q366">
        <v>6</v>
      </c>
      <c r="R366" t="s">
        <v>42671</v>
      </c>
      <c r="S366" t="s">
        <v>42779</v>
      </c>
      <c r="T366" t="s">
        <v>44386</v>
      </c>
      <c r="U366" t="s">
        <v>45189</v>
      </c>
      <c r="W366" t="s">
        <v>38925</v>
      </c>
      <c r="X366" t="s">
        <v>42674</v>
      </c>
    </row>
    <row r="367" spans="1:24">
      <c r="A367">
        <f>HYPERLINK("https://www.philgeps.gov.ph/GEPSNONPILOT/Tender/SplashBidNoticeAbstractUI.aspx?menuIndex=3&amp;refID=7193461&amp;Result=3","7193461")</f>
        <v>0</v>
      </c>
      <c r="B367" t="s">
        <v>175</v>
      </c>
      <c r="C367" t="s">
        <v>3865</v>
      </c>
      <c r="D367" t="s">
        <v>17168</v>
      </c>
      <c r="E367" t="s">
        <v>17594</v>
      </c>
      <c r="F367" t="s">
        <v>29372</v>
      </c>
      <c r="G367" t="s">
        <v>29383</v>
      </c>
      <c r="H367" t="s">
        <v>11048</v>
      </c>
      <c r="I367" t="s">
        <v>4709</v>
      </c>
      <c r="J367" t="s">
        <v>29799</v>
      </c>
      <c r="K367" t="s">
        <v>38538</v>
      </c>
      <c r="M367" t="s">
        <v>38932</v>
      </c>
      <c r="N367" t="s">
        <v>42669</v>
      </c>
      <c r="O367" t="s">
        <v>42670</v>
      </c>
      <c r="P367">
        <v>0</v>
      </c>
      <c r="Q367">
        <v>0</v>
      </c>
      <c r="R367" t="s">
        <v>42671</v>
      </c>
      <c r="S367" t="s">
        <v>42779</v>
      </c>
      <c r="T367" t="s">
        <v>44417</v>
      </c>
      <c r="U367" t="s">
        <v>45190</v>
      </c>
      <c r="W367" t="s">
        <v>38932</v>
      </c>
      <c r="X367" t="s">
        <v>42674</v>
      </c>
    </row>
    <row r="368" spans="1:24">
      <c r="A368">
        <f>HYPERLINK("https://www.philgeps.gov.ph/GEPSNONPILOT/Tender/SplashBidNoticeAbstractUI.aspx?menuIndex=3&amp;refID=7193459&amp;Result=3","7193459")</f>
        <v>0</v>
      </c>
      <c r="B368" t="s">
        <v>170</v>
      </c>
      <c r="C368" t="s">
        <v>3866</v>
      </c>
      <c r="D368" t="s">
        <v>17195</v>
      </c>
      <c r="E368" t="s">
        <v>17595</v>
      </c>
      <c r="F368" t="s">
        <v>29372</v>
      </c>
      <c r="G368" t="s">
        <v>29380</v>
      </c>
      <c r="H368" t="s">
        <v>11048</v>
      </c>
      <c r="I368" t="s">
        <v>4709</v>
      </c>
      <c r="J368" t="s">
        <v>29836</v>
      </c>
      <c r="K368" t="s">
        <v>38495</v>
      </c>
      <c r="M368" t="s">
        <v>38927</v>
      </c>
      <c r="N368" t="s">
        <v>42669</v>
      </c>
      <c r="O368" t="s">
        <v>42670</v>
      </c>
      <c r="P368">
        <v>0</v>
      </c>
      <c r="Q368">
        <v>0</v>
      </c>
      <c r="R368" t="s">
        <v>42671</v>
      </c>
      <c r="S368" t="s">
        <v>42779</v>
      </c>
      <c r="T368" t="s">
        <v>44368</v>
      </c>
      <c r="U368" t="s">
        <v>45170</v>
      </c>
      <c r="W368" t="s">
        <v>38927</v>
      </c>
      <c r="X368" t="s">
        <v>42674</v>
      </c>
    </row>
    <row r="369" spans="1:24">
      <c r="A369">
        <f>HYPERLINK("https://www.philgeps.gov.ph/GEPSNONPILOT/Tender/SplashBidNoticeAbstractUI.aspx?menuIndex=3&amp;refID=7193455&amp;Result=3","7193455")</f>
        <v>0</v>
      </c>
      <c r="B369" t="s">
        <v>175</v>
      </c>
      <c r="C369" t="s">
        <v>3867</v>
      </c>
      <c r="D369" t="s">
        <v>17168</v>
      </c>
      <c r="E369" t="s">
        <v>17596</v>
      </c>
      <c r="F369" t="s">
        <v>29372</v>
      </c>
      <c r="G369" t="s">
        <v>29383</v>
      </c>
      <c r="H369" t="s">
        <v>11048</v>
      </c>
      <c r="I369" t="s">
        <v>4709</v>
      </c>
      <c r="J369" t="s">
        <v>29837</v>
      </c>
      <c r="K369" t="s">
        <v>38538</v>
      </c>
      <c r="M369" t="s">
        <v>38932</v>
      </c>
      <c r="N369" t="s">
        <v>42669</v>
      </c>
      <c r="O369" t="s">
        <v>42670</v>
      </c>
      <c r="P369">
        <v>0</v>
      </c>
      <c r="Q369">
        <v>0</v>
      </c>
      <c r="R369" t="s">
        <v>42671</v>
      </c>
      <c r="S369" t="s">
        <v>42779</v>
      </c>
      <c r="T369" t="s">
        <v>44417</v>
      </c>
      <c r="U369" t="s">
        <v>45191</v>
      </c>
      <c r="W369" t="s">
        <v>38932</v>
      </c>
      <c r="X369" t="s">
        <v>42674</v>
      </c>
    </row>
    <row r="370" spans="1:24">
      <c r="A370">
        <f>HYPERLINK("https://www.philgeps.gov.ph/GEPSNONPILOT/Tender/SplashBidNoticeAbstractUI.aspx?menuIndex=3&amp;refID=7193364&amp;Result=3","7193364")</f>
        <v>0</v>
      </c>
      <c r="B370" t="s">
        <v>176</v>
      </c>
      <c r="C370" t="s">
        <v>3868</v>
      </c>
      <c r="D370" t="s">
        <v>17142</v>
      </c>
      <c r="E370" t="s">
        <v>17597</v>
      </c>
      <c r="F370" t="s">
        <v>29372</v>
      </c>
      <c r="G370" t="s">
        <v>29380</v>
      </c>
      <c r="H370" t="s">
        <v>29390</v>
      </c>
      <c r="I370" t="s">
        <v>29431</v>
      </c>
      <c r="J370" t="s">
        <v>29694</v>
      </c>
      <c r="K370" t="s">
        <v>38491</v>
      </c>
      <c r="M370" t="s">
        <v>38933</v>
      </c>
      <c r="N370" t="s">
        <v>42669</v>
      </c>
      <c r="O370" t="s">
        <v>42670</v>
      </c>
      <c r="P370">
        <v>0</v>
      </c>
      <c r="Q370">
        <v>0</v>
      </c>
      <c r="R370" t="s">
        <v>42671</v>
      </c>
      <c r="S370" t="s">
        <v>42779</v>
      </c>
      <c r="T370" t="s">
        <v>44426</v>
      </c>
      <c r="U370" t="s">
        <v>45192</v>
      </c>
      <c r="W370" t="s">
        <v>38933</v>
      </c>
      <c r="X370" t="s">
        <v>42674</v>
      </c>
    </row>
    <row r="371" spans="1:24">
      <c r="A371">
        <f>HYPERLINK("https://www.philgeps.gov.ph/GEPSNONPILOT/Tender/SplashBidNoticeAbstractUI.aspx?menuIndex=3&amp;refID=7193464&amp;Result=3","7193464")</f>
        <v>0</v>
      </c>
      <c r="B371" t="s">
        <v>175</v>
      </c>
      <c r="C371" t="s">
        <v>3869</v>
      </c>
      <c r="D371" t="s">
        <v>17168</v>
      </c>
      <c r="E371" t="s">
        <v>17598</v>
      </c>
      <c r="F371" t="s">
        <v>29372</v>
      </c>
      <c r="G371" t="s">
        <v>29383</v>
      </c>
      <c r="H371" t="s">
        <v>11048</v>
      </c>
      <c r="I371" t="s">
        <v>4487</v>
      </c>
      <c r="J371" t="s">
        <v>29838</v>
      </c>
      <c r="K371" t="s">
        <v>38538</v>
      </c>
      <c r="M371" t="s">
        <v>38932</v>
      </c>
      <c r="N371" t="s">
        <v>42669</v>
      </c>
      <c r="O371" t="s">
        <v>42670</v>
      </c>
      <c r="P371">
        <v>0</v>
      </c>
      <c r="Q371">
        <v>2</v>
      </c>
      <c r="R371" t="s">
        <v>42671</v>
      </c>
      <c r="S371" t="s">
        <v>42779</v>
      </c>
      <c r="T371" t="s">
        <v>44417</v>
      </c>
      <c r="U371" t="s">
        <v>45193</v>
      </c>
      <c r="W371" t="s">
        <v>38932</v>
      </c>
      <c r="X371" t="s">
        <v>42674</v>
      </c>
    </row>
    <row r="372" spans="1:24">
      <c r="A372">
        <f>HYPERLINK("https://www.philgeps.gov.ph/GEPSNONPILOT/Tender/SplashBidNoticeAbstractUI.aspx?menuIndex=3&amp;refID=7193437&amp;Result=3","7193437")</f>
        <v>0</v>
      </c>
      <c r="B372" t="s">
        <v>170</v>
      </c>
      <c r="C372" t="s">
        <v>3870</v>
      </c>
      <c r="D372" t="s">
        <v>17195</v>
      </c>
      <c r="E372" t="s">
        <v>17599</v>
      </c>
      <c r="F372" t="s">
        <v>29372</v>
      </c>
      <c r="G372" t="s">
        <v>29380</v>
      </c>
      <c r="H372" t="s">
        <v>11048</v>
      </c>
      <c r="I372" t="s">
        <v>4709</v>
      </c>
      <c r="J372" t="s">
        <v>29839</v>
      </c>
      <c r="K372" t="s">
        <v>38495</v>
      </c>
      <c r="M372" t="s">
        <v>38927</v>
      </c>
      <c r="N372" t="s">
        <v>42669</v>
      </c>
      <c r="O372" t="s">
        <v>42670</v>
      </c>
      <c r="P372">
        <v>0</v>
      </c>
      <c r="Q372">
        <v>0</v>
      </c>
      <c r="R372" t="s">
        <v>42671</v>
      </c>
      <c r="S372" t="s">
        <v>42779</v>
      </c>
      <c r="T372" t="s">
        <v>44368</v>
      </c>
      <c r="U372" t="s">
        <v>45170</v>
      </c>
      <c r="W372" t="s">
        <v>38927</v>
      </c>
      <c r="X372" t="s">
        <v>42674</v>
      </c>
    </row>
    <row r="373" spans="1:24">
      <c r="A373">
        <f>HYPERLINK("https://www.philgeps.gov.ph/GEPSNONPILOT/Tender/SplashBidNoticeAbstractUI.aspx?menuIndex=3&amp;refID=7193434&amp;Result=3","7193434")</f>
        <v>0</v>
      </c>
      <c r="B373" t="s">
        <v>53</v>
      </c>
      <c r="C373" t="s">
        <v>3871</v>
      </c>
      <c r="D373" t="s">
        <v>17161</v>
      </c>
      <c r="E373" t="s">
        <v>17600</v>
      </c>
      <c r="F373" t="s">
        <v>29372</v>
      </c>
      <c r="G373" t="s">
        <v>29380</v>
      </c>
      <c r="H373" t="s">
        <v>11048</v>
      </c>
      <c r="I373" t="s">
        <v>4709</v>
      </c>
      <c r="J373" t="s">
        <v>29840</v>
      </c>
      <c r="K373" t="s">
        <v>38490</v>
      </c>
      <c r="M373" t="s">
        <v>38806</v>
      </c>
      <c r="N373" t="s">
        <v>42669</v>
      </c>
      <c r="O373" t="s">
        <v>42670</v>
      </c>
      <c r="P373">
        <v>0</v>
      </c>
      <c r="Q373">
        <v>0</v>
      </c>
      <c r="R373" t="s">
        <v>42671</v>
      </c>
      <c r="S373" t="s">
        <v>42779</v>
      </c>
      <c r="T373" t="s">
        <v>44381</v>
      </c>
      <c r="U373" t="s">
        <v>45194</v>
      </c>
      <c r="W373" t="s">
        <v>58001</v>
      </c>
      <c r="X373" t="s">
        <v>42674</v>
      </c>
    </row>
    <row r="374" spans="1:24">
      <c r="A374">
        <f>HYPERLINK("https://www.philgeps.gov.ph/GEPSNONPILOT/Tender/SplashBidNoticeAbstractUI.aspx?menuIndex=3&amp;refID=7193453&amp;Result=3","7193453")</f>
        <v>0</v>
      </c>
      <c r="B374" t="s">
        <v>168</v>
      </c>
      <c r="C374" t="s">
        <v>3872</v>
      </c>
      <c r="E374" t="s">
        <v>17601</v>
      </c>
      <c r="F374" t="s">
        <v>29372</v>
      </c>
      <c r="G374" t="s">
        <v>29379</v>
      </c>
      <c r="H374" t="s">
        <v>11048</v>
      </c>
      <c r="I374" t="s">
        <v>9469</v>
      </c>
      <c r="J374" t="s">
        <v>29587</v>
      </c>
      <c r="K374" t="s">
        <v>38518</v>
      </c>
      <c r="M374" t="s">
        <v>38925</v>
      </c>
      <c r="N374" t="s">
        <v>42669</v>
      </c>
      <c r="O374" t="s">
        <v>42670</v>
      </c>
      <c r="P374">
        <v>0</v>
      </c>
      <c r="Q374">
        <v>1</v>
      </c>
      <c r="R374" t="s">
        <v>42671</v>
      </c>
      <c r="S374" t="s">
        <v>42779</v>
      </c>
      <c r="T374" t="s">
        <v>44386</v>
      </c>
      <c r="U374" t="s">
        <v>45195</v>
      </c>
      <c r="W374" t="s">
        <v>38925</v>
      </c>
      <c r="X374" t="s">
        <v>42674</v>
      </c>
    </row>
    <row r="375" spans="1:24">
      <c r="A375">
        <f>HYPERLINK("https://www.philgeps.gov.ph/GEPSNONPILOT/Tender/SplashBidNoticeAbstractUI.aspx?menuIndex=3&amp;refID=7193403&amp;Result=3","7193403")</f>
        <v>0</v>
      </c>
      <c r="B375" t="s">
        <v>177</v>
      </c>
      <c r="C375" t="s">
        <v>3873</v>
      </c>
      <c r="D375" t="s">
        <v>17197</v>
      </c>
      <c r="E375" t="s">
        <v>17602</v>
      </c>
      <c r="F375" t="s">
        <v>29373</v>
      </c>
      <c r="G375" t="s">
        <v>29380</v>
      </c>
      <c r="H375" t="s">
        <v>29389</v>
      </c>
      <c r="I375" t="s">
        <v>10408</v>
      </c>
      <c r="J375" t="s">
        <v>29841</v>
      </c>
      <c r="K375" t="s">
        <v>38487</v>
      </c>
      <c r="M375" t="s">
        <v>38934</v>
      </c>
      <c r="N375" t="s">
        <v>42669</v>
      </c>
      <c r="O375" t="s">
        <v>42670</v>
      </c>
      <c r="P375">
        <v>0</v>
      </c>
      <c r="Q375">
        <v>0</v>
      </c>
      <c r="R375" t="s">
        <v>42671</v>
      </c>
      <c r="S375" t="s">
        <v>42779</v>
      </c>
      <c r="T375" t="s">
        <v>44390</v>
      </c>
      <c r="U375" t="s">
        <v>45196</v>
      </c>
      <c r="W375" t="s">
        <v>38934</v>
      </c>
      <c r="X375" t="s">
        <v>42674</v>
      </c>
    </row>
    <row r="376" spans="1:24">
      <c r="A376">
        <f>HYPERLINK("https://www.philgeps.gov.ph/GEPSNONPILOT/Tender/SplashBidNoticeAbstractUI.aspx?menuIndex=3&amp;refID=7193409&amp;Result=3","7193409")</f>
        <v>0</v>
      </c>
      <c r="B376" t="s">
        <v>170</v>
      </c>
      <c r="C376" t="s">
        <v>3874</v>
      </c>
      <c r="D376" t="s">
        <v>17195</v>
      </c>
      <c r="E376" t="s">
        <v>17603</v>
      </c>
      <c r="F376" t="s">
        <v>29372</v>
      </c>
      <c r="G376" t="s">
        <v>29380</v>
      </c>
      <c r="H376" t="s">
        <v>11048</v>
      </c>
      <c r="I376" t="s">
        <v>4709</v>
      </c>
      <c r="J376" t="s">
        <v>29842</v>
      </c>
      <c r="K376" t="s">
        <v>38495</v>
      </c>
      <c r="M376" t="s">
        <v>38927</v>
      </c>
      <c r="N376" t="s">
        <v>42669</v>
      </c>
      <c r="O376" t="s">
        <v>42670</v>
      </c>
      <c r="P376">
        <v>0</v>
      </c>
      <c r="Q376">
        <v>0</v>
      </c>
      <c r="R376" t="s">
        <v>42671</v>
      </c>
      <c r="S376" t="s">
        <v>42779</v>
      </c>
      <c r="T376" t="s">
        <v>44368</v>
      </c>
      <c r="U376" t="s">
        <v>45170</v>
      </c>
      <c r="W376" t="s">
        <v>38927</v>
      </c>
      <c r="X376" t="s">
        <v>42674</v>
      </c>
    </row>
    <row r="377" spans="1:24">
      <c r="A377">
        <f>HYPERLINK("https://www.philgeps.gov.ph/GEPSNONPILOT/Tender/SplashBidNoticeAbstractUI.aspx?menuIndex=3&amp;refID=7192990&amp;Result=3","7192990")</f>
        <v>0</v>
      </c>
      <c r="B377" t="s">
        <v>178</v>
      </c>
      <c r="C377" t="s">
        <v>3875</v>
      </c>
      <c r="D377" t="s">
        <v>17141</v>
      </c>
      <c r="E377" t="s">
        <v>17604</v>
      </c>
      <c r="F377" t="s">
        <v>29372</v>
      </c>
      <c r="G377" t="s">
        <v>29379</v>
      </c>
      <c r="H377" t="s">
        <v>11048</v>
      </c>
      <c r="I377" t="s">
        <v>29396</v>
      </c>
      <c r="J377" t="s">
        <v>29843</v>
      </c>
      <c r="K377" t="s">
        <v>38490</v>
      </c>
      <c r="M377" t="s">
        <v>38935</v>
      </c>
      <c r="N377" t="s">
        <v>42669</v>
      </c>
      <c r="O377" t="s">
        <v>42670</v>
      </c>
      <c r="P377">
        <v>0</v>
      </c>
      <c r="Q377">
        <v>1</v>
      </c>
      <c r="R377" t="s">
        <v>42671</v>
      </c>
      <c r="S377" t="s">
        <v>42779</v>
      </c>
      <c r="T377" t="s">
        <v>44378</v>
      </c>
      <c r="U377" t="s">
        <v>45197</v>
      </c>
      <c r="V377" t="s">
        <v>56381</v>
      </c>
      <c r="W377" t="s">
        <v>58004</v>
      </c>
      <c r="X377" t="s">
        <v>42676</v>
      </c>
    </row>
    <row r="378" spans="1:24">
      <c r="A378">
        <f>HYPERLINK("https://www.philgeps.gov.ph/GEPSNONPILOT/Tender/SplashBidNoticeAbstractUI.aspx?menuIndex=3&amp;refID=7192849&amp;Result=3","7192849")</f>
        <v>0</v>
      </c>
      <c r="B378" t="s">
        <v>58</v>
      </c>
      <c r="C378" t="s">
        <v>3876</v>
      </c>
      <c r="D378" t="s">
        <v>17144</v>
      </c>
      <c r="E378" t="s">
        <v>17605</v>
      </c>
      <c r="F378" t="s">
        <v>29372</v>
      </c>
      <c r="G378" t="s">
        <v>29379</v>
      </c>
      <c r="H378" t="s">
        <v>11048</v>
      </c>
      <c r="I378" t="s">
        <v>29399</v>
      </c>
      <c r="J378" t="s">
        <v>29844</v>
      </c>
      <c r="K378" t="s">
        <v>38490</v>
      </c>
      <c r="L378" t="s">
        <v>58</v>
      </c>
      <c r="M378" t="s">
        <v>38811</v>
      </c>
      <c r="N378" t="s">
        <v>42669</v>
      </c>
      <c r="O378" t="s">
        <v>42670</v>
      </c>
      <c r="P378">
        <v>0</v>
      </c>
      <c r="Q378">
        <v>2</v>
      </c>
      <c r="R378" t="s">
        <v>42671</v>
      </c>
      <c r="S378" t="s">
        <v>42779</v>
      </c>
      <c r="T378" t="s">
        <v>44371</v>
      </c>
      <c r="U378" t="s">
        <v>45198</v>
      </c>
      <c r="W378" t="s">
        <v>38811</v>
      </c>
      <c r="X378" t="s">
        <v>42676</v>
      </c>
    </row>
    <row r="379" spans="1:24">
      <c r="A379">
        <f>HYPERLINK("https://www.philgeps.gov.ph/GEPSNONPILOT/Tender/SplashBidNoticeAbstractUI.aspx?menuIndex=3&amp;refID=7193431&amp;Result=3","7193431")</f>
        <v>0</v>
      </c>
      <c r="B379" t="s">
        <v>179</v>
      </c>
      <c r="C379" t="s">
        <v>3877</v>
      </c>
      <c r="D379" t="s">
        <v>17197</v>
      </c>
      <c r="E379" t="s">
        <v>17606</v>
      </c>
      <c r="F379" t="s">
        <v>29372</v>
      </c>
      <c r="G379" t="s">
        <v>29383</v>
      </c>
      <c r="H379" t="s">
        <v>11048</v>
      </c>
      <c r="I379" t="s">
        <v>3670</v>
      </c>
      <c r="J379" t="s">
        <v>29680</v>
      </c>
      <c r="K379" t="s">
        <v>38534</v>
      </c>
      <c r="M379" t="s">
        <v>38936</v>
      </c>
      <c r="N379" t="s">
        <v>42669</v>
      </c>
      <c r="O379" t="s">
        <v>42670</v>
      </c>
      <c r="P379">
        <v>0</v>
      </c>
      <c r="Q379">
        <v>0</v>
      </c>
      <c r="R379" t="s">
        <v>42671</v>
      </c>
      <c r="S379" t="s">
        <v>42779</v>
      </c>
      <c r="T379" t="s">
        <v>44432</v>
      </c>
      <c r="U379" t="s">
        <v>45199</v>
      </c>
      <c r="V379" t="s">
        <v>56382</v>
      </c>
      <c r="W379" t="s">
        <v>38936</v>
      </c>
      <c r="X379" t="s">
        <v>42674</v>
      </c>
    </row>
    <row r="380" spans="1:24">
      <c r="A380">
        <f>HYPERLINK("https://www.philgeps.gov.ph/GEPSNONPILOT/Tender/SplashBidNoticeAbstractUI.aspx?menuIndex=3&amp;refID=7193421&amp;Result=3","7193421")</f>
        <v>0</v>
      </c>
      <c r="B380" t="s">
        <v>53</v>
      </c>
      <c r="C380" t="s">
        <v>3878</v>
      </c>
      <c r="D380" t="s">
        <v>17161</v>
      </c>
      <c r="E380" t="s">
        <v>17607</v>
      </c>
      <c r="F380" t="s">
        <v>29372</v>
      </c>
      <c r="G380" t="s">
        <v>29380</v>
      </c>
      <c r="H380" t="s">
        <v>11048</v>
      </c>
      <c r="I380" t="s">
        <v>4709</v>
      </c>
      <c r="J380" t="s">
        <v>29845</v>
      </c>
      <c r="K380" t="s">
        <v>38490</v>
      </c>
      <c r="M380" t="s">
        <v>38806</v>
      </c>
      <c r="N380" t="s">
        <v>42669</v>
      </c>
      <c r="O380" t="s">
        <v>42670</v>
      </c>
      <c r="P380">
        <v>0</v>
      </c>
      <c r="Q380">
        <v>0</v>
      </c>
      <c r="R380" t="s">
        <v>42671</v>
      </c>
      <c r="S380" t="s">
        <v>42779</v>
      </c>
      <c r="T380" t="s">
        <v>44381</v>
      </c>
      <c r="U380" t="s">
        <v>45200</v>
      </c>
      <c r="W380" t="s">
        <v>58001</v>
      </c>
      <c r="X380" t="s">
        <v>42674</v>
      </c>
    </row>
    <row r="381" spans="1:24">
      <c r="A381">
        <f>HYPERLINK("https://www.philgeps.gov.ph/GEPSNONPILOT/Tender/SplashBidNoticeAbstractUI.aspx?menuIndex=3&amp;refID=7193606&amp;Result=3","7193606")</f>
        <v>0</v>
      </c>
      <c r="B381" t="s">
        <v>180</v>
      </c>
      <c r="C381" t="s">
        <v>3879</v>
      </c>
      <c r="D381" t="s">
        <v>17154</v>
      </c>
      <c r="E381" t="s">
        <v>17608</v>
      </c>
      <c r="F381" t="s">
        <v>29372</v>
      </c>
      <c r="G381" t="s">
        <v>29380</v>
      </c>
      <c r="H381" t="s">
        <v>29389</v>
      </c>
      <c r="I381" t="s">
        <v>10408</v>
      </c>
      <c r="J381" t="s">
        <v>29846</v>
      </c>
      <c r="K381" t="s">
        <v>38539</v>
      </c>
      <c r="M381" t="s">
        <v>38937</v>
      </c>
      <c r="N381" t="s">
        <v>42669</v>
      </c>
      <c r="O381" t="s">
        <v>42670</v>
      </c>
      <c r="P381">
        <v>0</v>
      </c>
      <c r="Q381">
        <v>0</v>
      </c>
      <c r="R381" t="s">
        <v>42671</v>
      </c>
      <c r="S381" t="s">
        <v>42779</v>
      </c>
      <c r="T381" t="s">
        <v>44358</v>
      </c>
      <c r="U381" t="s">
        <v>45201</v>
      </c>
      <c r="W381" t="s">
        <v>38937</v>
      </c>
      <c r="X381" t="s">
        <v>42674</v>
      </c>
    </row>
    <row r="382" spans="1:24">
      <c r="A382">
        <f>HYPERLINK("https://www.philgeps.gov.ph/GEPSNONPILOT/Tender/SplashBidNoticeAbstractUI.aspx?menuIndex=3&amp;refID=7193600&amp;Result=3","7193600")</f>
        <v>0</v>
      </c>
      <c r="B382" t="s">
        <v>180</v>
      </c>
      <c r="C382" t="s">
        <v>3880</v>
      </c>
      <c r="D382" t="s">
        <v>17154</v>
      </c>
      <c r="E382" t="s">
        <v>17609</v>
      </c>
      <c r="F382" t="s">
        <v>29372</v>
      </c>
      <c r="G382" t="s">
        <v>29380</v>
      </c>
      <c r="H382" t="s">
        <v>29389</v>
      </c>
      <c r="I382" t="s">
        <v>10408</v>
      </c>
      <c r="J382" t="s">
        <v>29847</v>
      </c>
      <c r="K382" t="s">
        <v>38512</v>
      </c>
      <c r="M382" t="s">
        <v>38937</v>
      </c>
      <c r="N382" t="s">
        <v>42669</v>
      </c>
      <c r="O382" t="s">
        <v>42670</v>
      </c>
      <c r="P382">
        <v>0</v>
      </c>
      <c r="Q382">
        <v>0</v>
      </c>
      <c r="R382" t="s">
        <v>42671</v>
      </c>
      <c r="S382" t="s">
        <v>42779</v>
      </c>
      <c r="T382" t="s">
        <v>44358</v>
      </c>
      <c r="U382" t="s">
        <v>45202</v>
      </c>
      <c r="W382" t="s">
        <v>38937</v>
      </c>
      <c r="X382" t="s">
        <v>42674</v>
      </c>
    </row>
    <row r="383" spans="1:24">
      <c r="A383">
        <f>HYPERLINK("https://www.philgeps.gov.ph/GEPSNONPILOT/Tender/SplashBidNoticeAbstractUI.aspx?menuIndex=3&amp;refID=7193610&amp;Result=3","7193610")</f>
        <v>0</v>
      </c>
      <c r="B383" t="s">
        <v>180</v>
      </c>
      <c r="C383" t="s">
        <v>3881</v>
      </c>
      <c r="D383" t="s">
        <v>17154</v>
      </c>
      <c r="E383" t="s">
        <v>17610</v>
      </c>
      <c r="F383" t="s">
        <v>29372</v>
      </c>
      <c r="G383" t="s">
        <v>29380</v>
      </c>
      <c r="H383" t="s">
        <v>29389</v>
      </c>
      <c r="I383" t="s">
        <v>10408</v>
      </c>
      <c r="J383" t="s">
        <v>29848</v>
      </c>
      <c r="K383" t="s">
        <v>38540</v>
      </c>
      <c r="M383" t="s">
        <v>38937</v>
      </c>
      <c r="N383" t="s">
        <v>42669</v>
      </c>
      <c r="O383" t="s">
        <v>42670</v>
      </c>
      <c r="P383">
        <v>0</v>
      </c>
      <c r="Q383">
        <v>0</v>
      </c>
      <c r="R383" t="s">
        <v>42671</v>
      </c>
      <c r="S383" t="s">
        <v>42779</v>
      </c>
      <c r="T383" t="s">
        <v>44358</v>
      </c>
      <c r="U383" t="s">
        <v>45203</v>
      </c>
      <c r="W383" t="s">
        <v>38937</v>
      </c>
      <c r="X383" t="s">
        <v>42674</v>
      </c>
    </row>
    <row r="384" spans="1:24">
      <c r="A384">
        <f>HYPERLINK("https://www.philgeps.gov.ph/GEPSNONPILOT/Tender/SplashBidNoticeAbstractUI.aspx?menuIndex=3&amp;refID=7193124&amp;Result=3","7193124")</f>
        <v>0</v>
      </c>
      <c r="B384" t="s">
        <v>135</v>
      </c>
      <c r="C384" t="s">
        <v>3882</v>
      </c>
      <c r="D384" t="s">
        <v>17175</v>
      </c>
      <c r="E384" t="s">
        <v>17611</v>
      </c>
      <c r="F384" t="s">
        <v>29373</v>
      </c>
      <c r="G384" t="s">
        <v>29383</v>
      </c>
      <c r="H384" t="s">
        <v>11048</v>
      </c>
      <c r="I384" t="s">
        <v>4709</v>
      </c>
      <c r="J384" t="s">
        <v>29849</v>
      </c>
      <c r="K384" t="s">
        <v>38488</v>
      </c>
      <c r="M384" t="s">
        <v>38890</v>
      </c>
      <c r="N384" t="s">
        <v>42669</v>
      </c>
      <c r="O384" t="s">
        <v>42670</v>
      </c>
      <c r="P384">
        <v>0</v>
      </c>
      <c r="Q384">
        <v>0</v>
      </c>
      <c r="R384" t="s">
        <v>42671</v>
      </c>
      <c r="S384" t="s">
        <v>42779</v>
      </c>
      <c r="T384" t="s">
        <v>44371</v>
      </c>
      <c r="U384" t="s">
        <v>45204</v>
      </c>
      <c r="W384" t="s">
        <v>38890</v>
      </c>
      <c r="X384" t="s">
        <v>42674</v>
      </c>
    </row>
    <row r="385" spans="1:24">
      <c r="A385">
        <f>HYPERLINK("https://www.philgeps.gov.ph/GEPSNONPILOT/Tender/SplashBidNoticeAbstractUI.aspx?menuIndex=3&amp;refID=7193603&amp;Result=3","7193603")</f>
        <v>0</v>
      </c>
      <c r="B385" t="s">
        <v>180</v>
      </c>
      <c r="C385" t="s">
        <v>3883</v>
      </c>
      <c r="D385" t="s">
        <v>17154</v>
      </c>
      <c r="E385" t="s">
        <v>17612</v>
      </c>
      <c r="F385" t="s">
        <v>29372</v>
      </c>
      <c r="G385" t="s">
        <v>29380</v>
      </c>
      <c r="H385" t="s">
        <v>29389</v>
      </c>
      <c r="I385" t="s">
        <v>10408</v>
      </c>
      <c r="J385" t="s">
        <v>29850</v>
      </c>
      <c r="K385" t="s">
        <v>38541</v>
      </c>
      <c r="M385" t="s">
        <v>38937</v>
      </c>
      <c r="N385" t="s">
        <v>42669</v>
      </c>
      <c r="O385" t="s">
        <v>42670</v>
      </c>
      <c r="P385">
        <v>0</v>
      </c>
      <c r="Q385">
        <v>0</v>
      </c>
      <c r="R385" t="s">
        <v>42671</v>
      </c>
      <c r="S385" t="s">
        <v>42779</v>
      </c>
      <c r="T385" t="s">
        <v>44358</v>
      </c>
      <c r="U385" t="s">
        <v>45205</v>
      </c>
      <c r="W385" t="s">
        <v>38937</v>
      </c>
      <c r="X385" t="s">
        <v>42674</v>
      </c>
    </row>
    <row r="386" spans="1:24">
      <c r="A386">
        <f>HYPERLINK("https://www.philgeps.gov.ph/GEPSNONPILOT/Tender/SplashBidNoticeAbstractUI.aspx?menuIndex=3&amp;refID=7193599&amp;Result=3","7193599")</f>
        <v>0</v>
      </c>
      <c r="B386" t="s">
        <v>180</v>
      </c>
      <c r="C386" t="s">
        <v>3884</v>
      </c>
      <c r="D386" t="s">
        <v>17154</v>
      </c>
      <c r="E386" t="s">
        <v>17613</v>
      </c>
      <c r="F386" t="s">
        <v>29372</v>
      </c>
      <c r="G386" t="s">
        <v>29380</v>
      </c>
      <c r="H386" t="s">
        <v>29389</v>
      </c>
      <c r="I386" t="s">
        <v>10408</v>
      </c>
      <c r="J386" t="s">
        <v>29851</v>
      </c>
      <c r="K386" t="s">
        <v>38496</v>
      </c>
      <c r="M386" t="s">
        <v>38937</v>
      </c>
      <c r="N386" t="s">
        <v>42669</v>
      </c>
      <c r="O386" t="s">
        <v>42670</v>
      </c>
      <c r="P386">
        <v>0</v>
      </c>
      <c r="Q386">
        <v>0</v>
      </c>
      <c r="R386" t="s">
        <v>42671</v>
      </c>
      <c r="S386" t="s">
        <v>42779</v>
      </c>
      <c r="T386" t="s">
        <v>44358</v>
      </c>
      <c r="U386" t="s">
        <v>45206</v>
      </c>
      <c r="W386" t="s">
        <v>38937</v>
      </c>
      <c r="X386" t="s">
        <v>42674</v>
      </c>
    </row>
    <row r="387" spans="1:24">
      <c r="A387">
        <f>HYPERLINK("https://www.philgeps.gov.ph/GEPSNONPILOT/Tender/SplashBidNoticeAbstractUI.aspx?menuIndex=3&amp;refID=7193590&amp;Result=3","7193590")</f>
        <v>0</v>
      </c>
      <c r="B387" t="s">
        <v>181</v>
      </c>
      <c r="C387" t="s">
        <v>3885</v>
      </c>
      <c r="D387" t="s">
        <v>17163</v>
      </c>
      <c r="E387" t="s">
        <v>17614</v>
      </c>
      <c r="F387" t="s">
        <v>29372</v>
      </c>
      <c r="G387" t="s">
        <v>29382</v>
      </c>
      <c r="H387" t="s">
        <v>11048</v>
      </c>
      <c r="I387" t="s">
        <v>4487</v>
      </c>
      <c r="J387" t="s">
        <v>29852</v>
      </c>
      <c r="K387" t="s">
        <v>38510</v>
      </c>
      <c r="M387" t="s">
        <v>38938</v>
      </c>
      <c r="N387" t="s">
        <v>42669</v>
      </c>
      <c r="O387" t="s">
        <v>42670</v>
      </c>
      <c r="P387">
        <v>0</v>
      </c>
      <c r="Q387">
        <v>6</v>
      </c>
      <c r="R387" t="s">
        <v>42671</v>
      </c>
      <c r="S387" t="s">
        <v>42779</v>
      </c>
      <c r="T387" t="s">
        <v>44371</v>
      </c>
      <c r="U387" t="s">
        <v>45207</v>
      </c>
      <c r="W387" t="s">
        <v>38938</v>
      </c>
      <c r="X387" t="s">
        <v>42674</v>
      </c>
    </row>
    <row r="388" spans="1:24">
      <c r="A388">
        <f>HYPERLINK("https://www.philgeps.gov.ph/GEPSNONPILOT/Tender/SplashBidNoticeAbstractUI.aspx?menuIndex=3&amp;refID=7193587&amp;Result=3","7193587")</f>
        <v>0</v>
      </c>
      <c r="B388" t="s">
        <v>181</v>
      </c>
      <c r="C388" t="s">
        <v>3886</v>
      </c>
      <c r="D388" t="s">
        <v>17163</v>
      </c>
      <c r="E388" t="s">
        <v>17615</v>
      </c>
      <c r="F388" t="s">
        <v>29372</v>
      </c>
      <c r="G388" t="s">
        <v>29382</v>
      </c>
      <c r="H388" t="s">
        <v>11048</v>
      </c>
      <c r="I388" t="s">
        <v>29432</v>
      </c>
      <c r="J388" t="s">
        <v>29853</v>
      </c>
      <c r="K388" t="s">
        <v>38510</v>
      </c>
      <c r="M388" t="s">
        <v>38938</v>
      </c>
      <c r="N388" t="s">
        <v>42669</v>
      </c>
      <c r="O388" t="s">
        <v>42670</v>
      </c>
      <c r="P388">
        <v>0</v>
      </c>
      <c r="Q388">
        <v>7</v>
      </c>
      <c r="R388" t="s">
        <v>42671</v>
      </c>
      <c r="S388" t="s">
        <v>42779</v>
      </c>
      <c r="T388" t="s">
        <v>44371</v>
      </c>
      <c r="U388" t="s">
        <v>45208</v>
      </c>
      <c r="W388" t="s">
        <v>38938</v>
      </c>
      <c r="X388" t="s">
        <v>42674</v>
      </c>
    </row>
    <row r="389" spans="1:24">
      <c r="A389">
        <f>HYPERLINK("https://www.philgeps.gov.ph/GEPSNONPILOT/Tender/SplashBidNoticeAbstractUI.aspx?menuIndex=3&amp;refID=7193592&amp;Result=3","7193592")</f>
        <v>0</v>
      </c>
      <c r="B389" t="s">
        <v>180</v>
      </c>
      <c r="C389" t="s">
        <v>3887</v>
      </c>
      <c r="D389" t="s">
        <v>17154</v>
      </c>
      <c r="E389" t="s">
        <v>17616</v>
      </c>
      <c r="F389" t="s">
        <v>29372</v>
      </c>
      <c r="G389" t="s">
        <v>29380</v>
      </c>
      <c r="H389" t="s">
        <v>29389</v>
      </c>
      <c r="I389" t="s">
        <v>10408</v>
      </c>
      <c r="J389" t="s">
        <v>29854</v>
      </c>
      <c r="K389" t="s">
        <v>38542</v>
      </c>
      <c r="M389" t="s">
        <v>38937</v>
      </c>
      <c r="N389" t="s">
        <v>42669</v>
      </c>
      <c r="O389" t="s">
        <v>42670</v>
      </c>
      <c r="P389">
        <v>0</v>
      </c>
      <c r="Q389">
        <v>0</v>
      </c>
      <c r="R389" t="s">
        <v>42671</v>
      </c>
      <c r="S389" t="s">
        <v>42779</v>
      </c>
      <c r="T389" t="s">
        <v>44358</v>
      </c>
      <c r="U389" t="s">
        <v>45209</v>
      </c>
      <c r="W389" t="s">
        <v>38937</v>
      </c>
      <c r="X389" t="s">
        <v>42674</v>
      </c>
    </row>
    <row r="390" spans="1:24">
      <c r="A390">
        <f>HYPERLINK("https://www.philgeps.gov.ph/GEPSNONPILOT/Tender/SplashBidNoticeAbstractUI.aspx?menuIndex=3&amp;refID=7193582&amp;Result=3","7193582")</f>
        <v>0</v>
      </c>
      <c r="B390" t="s">
        <v>180</v>
      </c>
      <c r="C390" t="s">
        <v>3888</v>
      </c>
      <c r="D390" t="s">
        <v>17154</v>
      </c>
      <c r="E390" t="s">
        <v>17617</v>
      </c>
      <c r="F390" t="s">
        <v>29372</v>
      </c>
      <c r="G390" t="s">
        <v>29380</v>
      </c>
      <c r="H390" t="s">
        <v>29389</v>
      </c>
      <c r="I390" t="s">
        <v>10408</v>
      </c>
      <c r="J390" t="s">
        <v>29855</v>
      </c>
      <c r="K390" t="s">
        <v>38541</v>
      </c>
      <c r="M390" t="s">
        <v>38937</v>
      </c>
      <c r="N390" t="s">
        <v>42669</v>
      </c>
      <c r="O390" t="s">
        <v>42670</v>
      </c>
      <c r="P390">
        <v>0</v>
      </c>
      <c r="Q390">
        <v>0</v>
      </c>
      <c r="R390" t="s">
        <v>42671</v>
      </c>
      <c r="S390" t="s">
        <v>42779</v>
      </c>
      <c r="T390" t="s">
        <v>44358</v>
      </c>
      <c r="U390" t="s">
        <v>45210</v>
      </c>
      <c r="W390" t="s">
        <v>38937</v>
      </c>
      <c r="X390" t="s">
        <v>42674</v>
      </c>
    </row>
    <row r="391" spans="1:24">
      <c r="A391">
        <f>HYPERLINK("https://www.philgeps.gov.ph/GEPSNONPILOT/Tender/SplashBidNoticeAbstractUI.aspx?menuIndex=3&amp;refID=7193585&amp;Result=3","7193585")</f>
        <v>0</v>
      </c>
      <c r="B391" t="s">
        <v>180</v>
      </c>
      <c r="C391" t="s">
        <v>3889</v>
      </c>
      <c r="D391" t="s">
        <v>17154</v>
      </c>
      <c r="E391" t="s">
        <v>17618</v>
      </c>
      <c r="F391" t="s">
        <v>29372</v>
      </c>
      <c r="G391" t="s">
        <v>29380</v>
      </c>
      <c r="H391" t="s">
        <v>29389</v>
      </c>
      <c r="I391" t="s">
        <v>10408</v>
      </c>
      <c r="J391" t="s">
        <v>29856</v>
      </c>
      <c r="K391" t="s">
        <v>38543</v>
      </c>
      <c r="M391" t="s">
        <v>38937</v>
      </c>
      <c r="N391" t="s">
        <v>42669</v>
      </c>
      <c r="O391" t="s">
        <v>42670</v>
      </c>
      <c r="P391">
        <v>0</v>
      </c>
      <c r="Q391">
        <v>0</v>
      </c>
      <c r="R391" t="s">
        <v>42671</v>
      </c>
      <c r="S391" t="s">
        <v>42779</v>
      </c>
      <c r="T391" t="s">
        <v>44358</v>
      </c>
      <c r="U391" t="s">
        <v>45211</v>
      </c>
      <c r="W391" t="s">
        <v>38937</v>
      </c>
      <c r="X391" t="s">
        <v>42674</v>
      </c>
    </row>
    <row r="392" spans="1:24">
      <c r="A392">
        <f>HYPERLINK("https://www.philgeps.gov.ph/GEPSNONPILOT/Tender/SplashBidNoticeAbstractUI.aspx?menuIndex=3&amp;refID=7193667&amp;Result=3","7193667")</f>
        <v>0</v>
      </c>
      <c r="B392" t="s">
        <v>180</v>
      </c>
      <c r="C392" t="s">
        <v>3890</v>
      </c>
      <c r="D392" t="s">
        <v>17154</v>
      </c>
      <c r="E392" t="s">
        <v>17619</v>
      </c>
      <c r="F392" t="s">
        <v>29372</v>
      </c>
      <c r="G392" t="s">
        <v>29380</v>
      </c>
      <c r="H392" t="s">
        <v>29389</v>
      </c>
      <c r="I392" t="s">
        <v>10408</v>
      </c>
      <c r="J392" t="s">
        <v>29857</v>
      </c>
      <c r="K392" t="s">
        <v>38527</v>
      </c>
      <c r="M392" t="s">
        <v>38937</v>
      </c>
      <c r="N392" t="s">
        <v>42669</v>
      </c>
      <c r="O392" t="s">
        <v>42670</v>
      </c>
      <c r="P392">
        <v>0</v>
      </c>
      <c r="Q392">
        <v>0</v>
      </c>
      <c r="R392" t="s">
        <v>42671</v>
      </c>
      <c r="S392" t="s">
        <v>42779</v>
      </c>
      <c r="T392" t="s">
        <v>44358</v>
      </c>
      <c r="U392" t="s">
        <v>45212</v>
      </c>
      <c r="W392" t="s">
        <v>38937</v>
      </c>
      <c r="X392" t="s">
        <v>42674</v>
      </c>
    </row>
    <row r="393" spans="1:24">
      <c r="A393">
        <f>HYPERLINK("https://www.philgeps.gov.ph/GEPSNONPILOT/Tender/SplashBidNoticeAbstractUI.aspx?menuIndex=3&amp;refID=7193583&amp;Result=3","7193583")</f>
        <v>0</v>
      </c>
      <c r="B393" t="s">
        <v>181</v>
      </c>
      <c r="C393" t="s">
        <v>3891</v>
      </c>
      <c r="D393" t="s">
        <v>17163</v>
      </c>
      <c r="E393" t="s">
        <v>17620</v>
      </c>
      <c r="F393" t="s">
        <v>29372</v>
      </c>
      <c r="G393" t="s">
        <v>29382</v>
      </c>
      <c r="H393" t="s">
        <v>11048</v>
      </c>
      <c r="I393" t="s">
        <v>4487</v>
      </c>
      <c r="J393" t="s">
        <v>29858</v>
      </c>
      <c r="K393" t="s">
        <v>38510</v>
      </c>
      <c r="M393" t="s">
        <v>38938</v>
      </c>
      <c r="N393" t="s">
        <v>42669</v>
      </c>
      <c r="O393" t="s">
        <v>42670</v>
      </c>
      <c r="P393">
        <v>0</v>
      </c>
      <c r="Q393">
        <v>9</v>
      </c>
      <c r="R393" t="s">
        <v>42671</v>
      </c>
      <c r="S393" t="s">
        <v>42779</v>
      </c>
      <c r="T393" t="s">
        <v>44371</v>
      </c>
      <c r="U393" t="s">
        <v>45213</v>
      </c>
      <c r="W393" t="s">
        <v>38938</v>
      </c>
      <c r="X393" t="s">
        <v>42674</v>
      </c>
    </row>
    <row r="394" spans="1:24">
      <c r="A394">
        <f>HYPERLINK("https://www.philgeps.gov.ph/GEPSNONPILOT/Tender/SplashBidNoticeAbstractUI.aspx?menuIndex=3&amp;refID=7193589&amp;Result=3","7193589")</f>
        <v>0</v>
      </c>
      <c r="B394" t="s">
        <v>180</v>
      </c>
      <c r="C394" t="s">
        <v>3892</v>
      </c>
      <c r="D394" t="s">
        <v>17154</v>
      </c>
      <c r="E394" t="s">
        <v>17621</v>
      </c>
      <c r="F394" t="s">
        <v>29372</v>
      </c>
      <c r="G394" t="s">
        <v>29380</v>
      </c>
      <c r="H394" t="s">
        <v>29389</v>
      </c>
      <c r="I394" t="s">
        <v>10408</v>
      </c>
      <c r="J394" t="s">
        <v>29859</v>
      </c>
      <c r="K394" t="s">
        <v>38541</v>
      </c>
      <c r="M394" t="s">
        <v>38937</v>
      </c>
      <c r="N394" t="s">
        <v>42669</v>
      </c>
      <c r="O394" t="s">
        <v>42670</v>
      </c>
      <c r="P394">
        <v>0</v>
      </c>
      <c r="Q394">
        <v>0</v>
      </c>
      <c r="R394" t="s">
        <v>42671</v>
      </c>
      <c r="S394" t="s">
        <v>42779</v>
      </c>
      <c r="T394" t="s">
        <v>44358</v>
      </c>
      <c r="U394" t="s">
        <v>45214</v>
      </c>
      <c r="W394" t="s">
        <v>38937</v>
      </c>
      <c r="X394" t="s">
        <v>42674</v>
      </c>
    </row>
    <row r="395" spans="1:24">
      <c r="A395">
        <f>HYPERLINK("https://www.philgeps.gov.ph/GEPSNONPILOT/Tender/SplashBidNoticeAbstractUI.aspx?menuIndex=3&amp;refID=7193664&amp;Result=3","7193664")</f>
        <v>0</v>
      </c>
      <c r="B395" t="s">
        <v>180</v>
      </c>
      <c r="C395" t="s">
        <v>3893</v>
      </c>
      <c r="D395" t="s">
        <v>17154</v>
      </c>
      <c r="E395" t="s">
        <v>17622</v>
      </c>
      <c r="F395" t="s">
        <v>29372</v>
      </c>
      <c r="G395" t="s">
        <v>29380</v>
      </c>
      <c r="H395" t="s">
        <v>29389</v>
      </c>
      <c r="I395" t="s">
        <v>10408</v>
      </c>
      <c r="J395" t="s">
        <v>29860</v>
      </c>
      <c r="K395" t="s">
        <v>38500</v>
      </c>
      <c r="M395" t="s">
        <v>38937</v>
      </c>
      <c r="N395" t="s">
        <v>42669</v>
      </c>
      <c r="O395" t="s">
        <v>42670</v>
      </c>
      <c r="P395">
        <v>0</v>
      </c>
      <c r="Q395">
        <v>0</v>
      </c>
      <c r="R395" t="s">
        <v>42671</v>
      </c>
      <c r="S395" t="s">
        <v>42779</v>
      </c>
      <c r="T395" t="s">
        <v>44358</v>
      </c>
      <c r="U395" t="s">
        <v>45215</v>
      </c>
      <c r="W395" t="s">
        <v>38937</v>
      </c>
      <c r="X395" t="s">
        <v>42674</v>
      </c>
    </row>
    <row r="396" spans="1:24">
      <c r="A396">
        <f>HYPERLINK("https://www.philgeps.gov.ph/GEPSNONPILOT/Tender/SplashBidNoticeAbstractUI.aspx?menuIndex=3&amp;refID=7193444&amp;Result=3","7193444")</f>
        <v>0</v>
      </c>
      <c r="B396" t="s">
        <v>175</v>
      </c>
      <c r="C396" t="s">
        <v>3894</v>
      </c>
      <c r="D396" t="s">
        <v>17168</v>
      </c>
      <c r="E396" t="s">
        <v>17623</v>
      </c>
      <c r="F396" t="s">
        <v>29372</v>
      </c>
      <c r="G396" t="s">
        <v>29383</v>
      </c>
      <c r="H396" t="s">
        <v>11048</v>
      </c>
      <c r="I396" t="s">
        <v>3670</v>
      </c>
      <c r="J396" t="s">
        <v>29555</v>
      </c>
      <c r="K396" t="s">
        <v>38538</v>
      </c>
      <c r="M396" t="s">
        <v>38932</v>
      </c>
      <c r="N396" t="s">
        <v>42669</v>
      </c>
      <c r="O396" t="s">
        <v>42670</v>
      </c>
      <c r="P396">
        <v>0</v>
      </c>
      <c r="Q396">
        <v>1</v>
      </c>
      <c r="R396" t="s">
        <v>42671</v>
      </c>
      <c r="S396" t="s">
        <v>42779</v>
      </c>
      <c r="T396" t="s">
        <v>44417</v>
      </c>
      <c r="U396" t="s">
        <v>45216</v>
      </c>
      <c r="W396" t="s">
        <v>38932</v>
      </c>
      <c r="X396" t="s">
        <v>42674</v>
      </c>
    </row>
    <row r="397" spans="1:24">
      <c r="A397">
        <f>HYPERLINK("https://www.philgeps.gov.ph/GEPSNONPILOT/Tender/SplashBidNoticeAbstractUI.aspx?menuIndex=3&amp;refID=7193660&amp;Result=3","7193660")</f>
        <v>0</v>
      </c>
      <c r="B397" t="s">
        <v>180</v>
      </c>
      <c r="C397" t="s">
        <v>3895</v>
      </c>
      <c r="D397" t="s">
        <v>17154</v>
      </c>
      <c r="E397" t="s">
        <v>17624</v>
      </c>
      <c r="F397" t="s">
        <v>29372</v>
      </c>
      <c r="G397" t="s">
        <v>29380</v>
      </c>
      <c r="H397" t="s">
        <v>29389</v>
      </c>
      <c r="I397" t="s">
        <v>10408</v>
      </c>
      <c r="J397" t="s">
        <v>29861</v>
      </c>
      <c r="K397" t="s">
        <v>38500</v>
      </c>
      <c r="M397" t="s">
        <v>38937</v>
      </c>
      <c r="N397" t="s">
        <v>42669</v>
      </c>
      <c r="O397" t="s">
        <v>42670</v>
      </c>
      <c r="P397">
        <v>0</v>
      </c>
      <c r="Q397">
        <v>0</v>
      </c>
      <c r="R397" t="s">
        <v>42671</v>
      </c>
      <c r="S397" t="s">
        <v>42779</v>
      </c>
      <c r="T397" t="s">
        <v>44358</v>
      </c>
      <c r="U397" t="s">
        <v>45217</v>
      </c>
      <c r="W397" t="s">
        <v>38937</v>
      </c>
      <c r="X397" t="s">
        <v>42674</v>
      </c>
    </row>
    <row r="398" spans="1:24">
      <c r="A398">
        <f>HYPERLINK("https://www.philgeps.gov.ph/GEPSNONPILOT/Tender/SplashBidNoticeAbstractUI.aspx?menuIndex=3&amp;refID=7193666&amp;Result=3","7193666")</f>
        <v>0</v>
      </c>
      <c r="B398" t="s">
        <v>180</v>
      </c>
      <c r="C398" t="s">
        <v>3896</v>
      </c>
      <c r="D398" t="s">
        <v>17154</v>
      </c>
      <c r="E398" t="s">
        <v>17625</v>
      </c>
      <c r="F398" t="s">
        <v>29372</v>
      </c>
      <c r="G398" t="s">
        <v>29380</v>
      </c>
      <c r="H398" t="s">
        <v>29389</v>
      </c>
      <c r="I398" t="s">
        <v>10408</v>
      </c>
      <c r="J398" t="s">
        <v>29862</v>
      </c>
      <c r="K398" t="s">
        <v>38527</v>
      </c>
      <c r="M398" t="s">
        <v>38937</v>
      </c>
      <c r="N398" t="s">
        <v>42669</v>
      </c>
      <c r="O398" t="s">
        <v>42670</v>
      </c>
      <c r="P398">
        <v>0</v>
      </c>
      <c r="Q398">
        <v>0</v>
      </c>
      <c r="R398" t="s">
        <v>42671</v>
      </c>
      <c r="S398" t="s">
        <v>42779</v>
      </c>
      <c r="T398" t="s">
        <v>44358</v>
      </c>
      <c r="U398" t="s">
        <v>45218</v>
      </c>
      <c r="W398" t="s">
        <v>38937</v>
      </c>
      <c r="X398" t="s">
        <v>42674</v>
      </c>
    </row>
    <row r="399" spans="1:24">
      <c r="A399">
        <f>HYPERLINK("https://www.philgeps.gov.ph/GEPSNONPILOT/Tender/SplashBidNoticeAbstractUI.aspx?menuIndex=3&amp;refID=7193648&amp;Result=3","7193648")</f>
        <v>0</v>
      </c>
      <c r="B399" t="s">
        <v>180</v>
      </c>
      <c r="C399" t="s">
        <v>3897</v>
      </c>
      <c r="D399" t="s">
        <v>17154</v>
      </c>
      <c r="E399" t="s">
        <v>17626</v>
      </c>
      <c r="F399" t="s">
        <v>29372</v>
      </c>
      <c r="G399" t="s">
        <v>29380</v>
      </c>
      <c r="H399" t="s">
        <v>29389</v>
      </c>
      <c r="I399" t="s">
        <v>10408</v>
      </c>
      <c r="J399" t="s">
        <v>29863</v>
      </c>
      <c r="K399" t="s">
        <v>38496</v>
      </c>
      <c r="M399" t="s">
        <v>38937</v>
      </c>
      <c r="N399" t="s">
        <v>42669</v>
      </c>
      <c r="O399" t="s">
        <v>42670</v>
      </c>
      <c r="P399">
        <v>0</v>
      </c>
      <c r="Q399">
        <v>0</v>
      </c>
      <c r="R399" t="s">
        <v>42671</v>
      </c>
      <c r="S399" t="s">
        <v>42779</v>
      </c>
      <c r="T399" t="s">
        <v>44358</v>
      </c>
      <c r="U399" t="s">
        <v>45219</v>
      </c>
      <c r="W399" t="s">
        <v>38937</v>
      </c>
      <c r="X399" t="s">
        <v>42674</v>
      </c>
    </row>
    <row r="400" spans="1:24">
      <c r="A400">
        <f>HYPERLINK("https://www.philgeps.gov.ph/GEPSNONPILOT/Tender/SplashBidNoticeAbstractUI.aspx?menuIndex=3&amp;refID=7193460&amp;Result=3","7193460")</f>
        <v>0</v>
      </c>
      <c r="B400" t="s">
        <v>168</v>
      </c>
      <c r="C400" t="s">
        <v>3898</v>
      </c>
      <c r="E400" t="s">
        <v>17627</v>
      </c>
      <c r="F400" t="s">
        <v>29372</v>
      </c>
      <c r="G400" t="s">
        <v>29379</v>
      </c>
      <c r="H400" t="s">
        <v>11048</v>
      </c>
      <c r="I400" t="s">
        <v>29433</v>
      </c>
      <c r="J400" t="s">
        <v>29864</v>
      </c>
      <c r="K400" t="s">
        <v>38488</v>
      </c>
      <c r="M400" t="s">
        <v>38925</v>
      </c>
      <c r="N400" t="s">
        <v>42669</v>
      </c>
      <c r="O400" t="s">
        <v>42670</v>
      </c>
      <c r="P400">
        <v>0</v>
      </c>
      <c r="Q400">
        <v>2</v>
      </c>
      <c r="R400" t="s">
        <v>42671</v>
      </c>
      <c r="S400" t="s">
        <v>42779</v>
      </c>
      <c r="T400" t="s">
        <v>44386</v>
      </c>
      <c r="U400" t="s">
        <v>45220</v>
      </c>
      <c r="W400" t="s">
        <v>38925</v>
      </c>
      <c r="X400" t="s">
        <v>42674</v>
      </c>
    </row>
    <row r="401" spans="1:24">
      <c r="A401">
        <f>HYPERLINK("https://www.philgeps.gov.ph/GEPSNONPILOT/Tender/SplashBidNoticeAbstractUI.aspx?menuIndex=3&amp;refID=7193644&amp;Result=3","7193644")</f>
        <v>0</v>
      </c>
      <c r="B401" t="s">
        <v>180</v>
      </c>
      <c r="C401" t="s">
        <v>3899</v>
      </c>
      <c r="D401" t="s">
        <v>17154</v>
      </c>
      <c r="E401" t="s">
        <v>17628</v>
      </c>
      <c r="F401" t="s">
        <v>29372</v>
      </c>
      <c r="G401" t="s">
        <v>29380</v>
      </c>
      <c r="H401" t="s">
        <v>29389</v>
      </c>
      <c r="I401" t="s">
        <v>10408</v>
      </c>
      <c r="J401" t="s">
        <v>29865</v>
      </c>
      <c r="K401" t="s">
        <v>38496</v>
      </c>
      <c r="M401" t="s">
        <v>38937</v>
      </c>
      <c r="N401" t="s">
        <v>42669</v>
      </c>
      <c r="O401" t="s">
        <v>42670</v>
      </c>
      <c r="P401">
        <v>0</v>
      </c>
      <c r="Q401">
        <v>0</v>
      </c>
      <c r="R401" t="s">
        <v>42671</v>
      </c>
      <c r="S401" t="s">
        <v>42779</v>
      </c>
      <c r="T401" t="s">
        <v>44358</v>
      </c>
      <c r="U401" t="s">
        <v>45221</v>
      </c>
      <c r="W401" t="s">
        <v>38937</v>
      </c>
      <c r="X401" t="s">
        <v>42674</v>
      </c>
    </row>
    <row r="402" spans="1:24">
      <c r="A402">
        <f>HYPERLINK("https://www.philgeps.gov.ph/GEPSNONPILOT/Tender/SplashBidNoticeAbstractUI.aspx?menuIndex=3&amp;refID=7193665&amp;Result=3","7193665")</f>
        <v>0</v>
      </c>
      <c r="B402" t="s">
        <v>182</v>
      </c>
      <c r="C402" t="s">
        <v>3900</v>
      </c>
      <c r="E402" t="s">
        <v>17629</v>
      </c>
      <c r="F402" t="s">
        <v>29372</v>
      </c>
      <c r="G402" t="s">
        <v>29380</v>
      </c>
      <c r="H402" t="s">
        <v>29389</v>
      </c>
      <c r="I402" t="s">
        <v>10408</v>
      </c>
      <c r="J402" t="s">
        <v>29866</v>
      </c>
      <c r="K402" t="s">
        <v>38510</v>
      </c>
      <c r="M402" t="s">
        <v>38939</v>
      </c>
      <c r="N402" t="s">
        <v>42669</v>
      </c>
      <c r="O402" t="s">
        <v>42670</v>
      </c>
      <c r="P402">
        <v>0</v>
      </c>
      <c r="Q402">
        <v>0</v>
      </c>
      <c r="R402" t="s">
        <v>42671</v>
      </c>
      <c r="S402" t="s">
        <v>42779</v>
      </c>
      <c r="T402" t="s">
        <v>44433</v>
      </c>
      <c r="U402" t="s">
        <v>45222</v>
      </c>
      <c r="W402" t="s">
        <v>38939</v>
      </c>
      <c r="X402" t="s">
        <v>42674</v>
      </c>
    </row>
    <row r="403" spans="1:24">
      <c r="A403">
        <f>HYPERLINK("https://www.philgeps.gov.ph/GEPSNONPILOT/Tender/SplashBidNoticeAbstractUI.aspx?menuIndex=3&amp;refID=7193131&amp;Result=3","7193131")</f>
        <v>0</v>
      </c>
      <c r="B403" t="s">
        <v>135</v>
      </c>
      <c r="C403" t="s">
        <v>3901</v>
      </c>
      <c r="E403" t="s">
        <v>17630</v>
      </c>
      <c r="F403" t="s">
        <v>29373</v>
      </c>
      <c r="G403" t="s">
        <v>29383</v>
      </c>
      <c r="H403" t="s">
        <v>29389</v>
      </c>
      <c r="I403" t="s">
        <v>29429</v>
      </c>
      <c r="J403" t="s">
        <v>29867</v>
      </c>
      <c r="K403" t="s">
        <v>38487</v>
      </c>
      <c r="M403" t="s">
        <v>38890</v>
      </c>
      <c r="N403" t="s">
        <v>42669</v>
      </c>
      <c r="O403" t="s">
        <v>42670</v>
      </c>
      <c r="P403">
        <v>0</v>
      </c>
      <c r="Q403">
        <v>0</v>
      </c>
      <c r="R403" t="s">
        <v>42671</v>
      </c>
      <c r="S403" t="s">
        <v>42779</v>
      </c>
      <c r="T403" t="s">
        <v>44394</v>
      </c>
      <c r="U403" t="s">
        <v>45223</v>
      </c>
      <c r="W403" t="s">
        <v>38890</v>
      </c>
      <c r="X403" t="s">
        <v>42674</v>
      </c>
    </row>
    <row r="404" spans="1:24">
      <c r="A404">
        <f>HYPERLINK("https://www.philgeps.gov.ph/GEPSNONPILOT/Tender/SplashBidNoticeAbstractUI.aspx?menuIndex=3&amp;refID=7193633&amp;Result=3","7193633")</f>
        <v>0</v>
      </c>
      <c r="B404" t="s">
        <v>180</v>
      </c>
      <c r="C404" t="s">
        <v>3902</v>
      </c>
      <c r="D404" t="s">
        <v>17154</v>
      </c>
      <c r="E404" t="s">
        <v>17631</v>
      </c>
      <c r="F404" t="s">
        <v>29372</v>
      </c>
      <c r="G404" t="s">
        <v>29380</v>
      </c>
      <c r="H404" t="s">
        <v>29389</v>
      </c>
      <c r="I404" t="s">
        <v>10408</v>
      </c>
      <c r="J404" t="s">
        <v>29868</v>
      </c>
      <c r="K404" t="s">
        <v>38544</v>
      </c>
      <c r="M404" t="s">
        <v>38937</v>
      </c>
      <c r="N404" t="s">
        <v>42669</v>
      </c>
      <c r="O404" t="s">
        <v>42670</v>
      </c>
      <c r="P404">
        <v>0</v>
      </c>
      <c r="Q404">
        <v>0</v>
      </c>
      <c r="R404" t="s">
        <v>42671</v>
      </c>
      <c r="S404" t="s">
        <v>42779</v>
      </c>
      <c r="T404" t="s">
        <v>44358</v>
      </c>
      <c r="U404" t="s">
        <v>45224</v>
      </c>
      <c r="W404" t="s">
        <v>38937</v>
      </c>
      <c r="X404" t="s">
        <v>42674</v>
      </c>
    </row>
    <row r="405" spans="1:24">
      <c r="A405">
        <f>HYPERLINK("https://www.philgeps.gov.ph/GEPSNONPILOT/Tender/SplashBidNoticeAbstractUI.aspx?menuIndex=3&amp;refID=7193629&amp;Result=3","7193629")</f>
        <v>0</v>
      </c>
      <c r="B405" t="s">
        <v>180</v>
      </c>
      <c r="C405" t="s">
        <v>3903</v>
      </c>
      <c r="D405" t="s">
        <v>17154</v>
      </c>
      <c r="E405" t="s">
        <v>17632</v>
      </c>
      <c r="F405" t="s">
        <v>29372</v>
      </c>
      <c r="G405" t="s">
        <v>29380</v>
      </c>
      <c r="H405" t="s">
        <v>29389</v>
      </c>
      <c r="I405" t="s">
        <v>10408</v>
      </c>
      <c r="J405" t="s">
        <v>29848</v>
      </c>
      <c r="K405" t="s">
        <v>38540</v>
      </c>
      <c r="M405" t="s">
        <v>38937</v>
      </c>
      <c r="N405" t="s">
        <v>42669</v>
      </c>
      <c r="O405" t="s">
        <v>42670</v>
      </c>
      <c r="P405">
        <v>0</v>
      </c>
      <c r="Q405">
        <v>0</v>
      </c>
      <c r="R405" t="s">
        <v>42671</v>
      </c>
      <c r="S405" t="s">
        <v>42779</v>
      </c>
      <c r="T405" t="s">
        <v>44358</v>
      </c>
      <c r="U405" t="s">
        <v>45225</v>
      </c>
      <c r="W405" t="s">
        <v>38937</v>
      </c>
      <c r="X405" t="s">
        <v>42674</v>
      </c>
    </row>
    <row r="406" spans="1:24">
      <c r="A406">
        <f>HYPERLINK("https://www.philgeps.gov.ph/GEPSNONPILOT/Tender/SplashBidNoticeAbstractUI.aspx?menuIndex=3&amp;refID=7193651&amp;Result=3","7193651")</f>
        <v>0</v>
      </c>
      <c r="B406" t="s">
        <v>180</v>
      </c>
      <c r="C406" t="s">
        <v>3904</v>
      </c>
      <c r="D406" t="s">
        <v>17154</v>
      </c>
      <c r="E406" t="s">
        <v>17633</v>
      </c>
      <c r="F406" t="s">
        <v>29372</v>
      </c>
      <c r="G406" t="s">
        <v>29380</v>
      </c>
      <c r="H406" t="s">
        <v>29389</v>
      </c>
      <c r="I406" t="s">
        <v>10408</v>
      </c>
      <c r="J406" t="s">
        <v>29869</v>
      </c>
      <c r="K406" t="s">
        <v>38545</v>
      </c>
      <c r="M406" t="s">
        <v>38937</v>
      </c>
      <c r="N406" t="s">
        <v>42669</v>
      </c>
      <c r="O406" t="s">
        <v>42670</v>
      </c>
      <c r="P406">
        <v>0</v>
      </c>
      <c r="Q406">
        <v>0</v>
      </c>
      <c r="R406" t="s">
        <v>42671</v>
      </c>
      <c r="S406" t="s">
        <v>42779</v>
      </c>
      <c r="T406" t="s">
        <v>44358</v>
      </c>
      <c r="U406" t="s">
        <v>45226</v>
      </c>
      <c r="W406" t="s">
        <v>38937</v>
      </c>
      <c r="X406" t="s">
        <v>42674</v>
      </c>
    </row>
    <row r="407" spans="1:24">
      <c r="A407">
        <f>HYPERLINK("https://www.philgeps.gov.ph/GEPSNONPILOT/Tender/SplashBidNoticeAbstractUI.aspx?menuIndex=3&amp;refID=7193625&amp;Result=3","7193625")</f>
        <v>0</v>
      </c>
      <c r="B407" t="s">
        <v>180</v>
      </c>
      <c r="C407" t="s">
        <v>3905</v>
      </c>
      <c r="D407" t="s">
        <v>17154</v>
      </c>
      <c r="E407" t="s">
        <v>17634</v>
      </c>
      <c r="F407" t="s">
        <v>29372</v>
      </c>
      <c r="G407" t="s">
        <v>29380</v>
      </c>
      <c r="H407" t="s">
        <v>29389</v>
      </c>
      <c r="I407" t="s">
        <v>10408</v>
      </c>
      <c r="J407" t="s">
        <v>29870</v>
      </c>
      <c r="K407" t="s">
        <v>38500</v>
      </c>
      <c r="M407" t="s">
        <v>38937</v>
      </c>
      <c r="N407" t="s">
        <v>42669</v>
      </c>
      <c r="O407" t="s">
        <v>42670</v>
      </c>
      <c r="P407">
        <v>0</v>
      </c>
      <c r="Q407">
        <v>0</v>
      </c>
      <c r="R407" t="s">
        <v>42671</v>
      </c>
      <c r="S407" t="s">
        <v>42779</v>
      </c>
      <c r="T407" t="s">
        <v>44358</v>
      </c>
      <c r="U407" t="s">
        <v>45227</v>
      </c>
      <c r="W407" t="s">
        <v>38937</v>
      </c>
      <c r="X407" t="s">
        <v>42674</v>
      </c>
    </row>
    <row r="408" spans="1:24">
      <c r="A408">
        <f>HYPERLINK("https://www.philgeps.gov.ph/GEPSNONPILOT/Tender/SplashBidNoticeAbstractUI.aspx?menuIndex=3&amp;refID=7193781&amp;Result=3","7193781")</f>
        <v>0</v>
      </c>
      <c r="B408" t="s">
        <v>183</v>
      </c>
      <c r="C408" t="s">
        <v>3906</v>
      </c>
      <c r="E408" t="s">
        <v>17635</v>
      </c>
      <c r="F408" t="s">
        <v>29372</v>
      </c>
      <c r="G408" t="s">
        <v>29380</v>
      </c>
      <c r="H408" t="s">
        <v>11048</v>
      </c>
      <c r="I408" t="s">
        <v>29434</v>
      </c>
      <c r="J408" t="s">
        <v>29871</v>
      </c>
      <c r="K408" t="s">
        <v>38490</v>
      </c>
      <c r="M408" t="s">
        <v>38940</v>
      </c>
      <c r="N408" t="s">
        <v>42669</v>
      </c>
      <c r="O408" t="s">
        <v>42670</v>
      </c>
      <c r="P408">
        <v>0</v>
      </c>
      <c r="Q408">
        <v>0</v>
      </c>
      <c r="R408" t="s">
        <v>42671</v>
      </c>
      <c r="S408" t="s">
        <v>42779</v>
      </c>
      <c r="T408" t="s">
        <v>44415</v>
      </c>
      <c r="U408" t="s">
        <v>45228</v>
      </c>
      <c r="V408" t="s">
        <v>56383</v>
      </c>
      <c r="W408" t="s">
        <v>38940</v>
      </c>
      <c r="X408" t="s">
        <v>42673</v>
      </c>
    </row>
    <row r="409" spans="1:24">
      <c r="A409">
        <f>HYPERLINK("https://www.philgeps.gov.ph/GEPSNONPILOT/Tender/SplashBidNoticeAbstractUI.aspx?menuIndex=3&amp;refID=7193641&amp;Result=3","7193641")</f>
        <v>0</v>
      </c>
      <c r="B409" t="s">
        <v>180</v>
      </c>
      <c r="C409" t="s">
        <v>3907</v>
      </c>
      <c r="D409" t="s">
        <v>17154</v>
      </c>
      <c r="E409" t="s">
        <v>17636</v>
      </c>
      <c r="F409" t="s">
        <v>29372</v>
      </c>
      <c r="G409" t="s">
        <v>29380</v>
      </c>
      <c r="H409" t="s">
        <v>29389</v>
      </c>
      <c r="I409" t="s">
        <v>10408</v>
      </c>
      <c r="J409" t="s">
        <v>29872</v>
      </c>
      <c r="K409" t="s">
        <v>38541</v>
      </c>
      <c r="M409" t="s">
        <v>38937</v>
      </c>
      <c r="N409" t="s">
        <v>42669</v>
      </c>
      <c r="O409" t="s">
        <v>42670</v>
      </c>
      <c r="P409">
        <v>0</v>
      </c>
      <c r="Q409">
        <v>0</v>
      </c>
      <c r="R409" t="s">
        <v>42671</v>
      </c>
      <c r="S409" t="s">
        <v>42779</v>
      </c>
      <c r="T409" t="s">
        <v>44358</v>
      </c>
      <c r="U409" t="s">
        <v>45229</v>
      </c>
      <c r="W409" t="s">
        <v>38937</v>
      </c>
      <c r="X409" t="s">
        <v>42674</v>
      </c>
    </row>
    <row r="410" spans="1:24">
      <c r="A410">
        <f>HYPERLINK("https://www.philgeps.gov.ph/GEPSNONPILOT/Tender/SplashBidNoticeAbstractUI.aspx?menuIndex=3&amp;refID=7193779&amp;Result=3","7193779")</f>
        <v>0</v>
      </c>
      <c r="B410" t="s">
        <v>183</v>
      </c>
      <c r="C410" t="s">
        <v>3908</v>
      </c>
      <c r="E410" t="s">
        <v>17637</v>
      </c>
      <c r="F410" t="s">
        <v>29372</v>
      </c>
      <c r="G410" t="s">
        <v>29380</v>
      </c>
      <c r="H410" t="s">
        <v>11048</v>
      </c>
      <c r="I410" t="s">
        <v>29435</v>
      </c>
      <c r="J410" t="s">
        <v>29873</v>
      </c>
      <c r="K410" t="s">
        <v>38490</v>
      </c>
      <c r="M410" t="s">
        <v>38940</v>
      </c>
      <c r="N410" t="s">
        <v>42669</v>
      </c>
      <c r="O410" t="s">
        <v>42670</v>
      </c>
      <c r="P410">
        <v>0</v>
      </c>
      <c r="Q410">
        <v>0</v>
      </c>
      <c r="R410" t="s">
        <v>42671</v>
      </c>
      <c r="S410" t="s">
        <v>42779</v>
      </c>
      <c r="T410" t="s">
        <v>44415</v>
      </c>
      <c r="U410" t="s">
        <v>45230</v>
      </c>
      <c r="V410" t="s">
        <v>56384</v>
      </c>
      <c r="W410" t="s">
        <v>38940</v>
      </c>
      <c r="X410" t="s">
        <v>42673</v>
      </c>
    </row>
    <row r="411" spans="1:24">
      <c r="A411">
        <f>HYPERLINK("https://www.philgeps.gov.ph/GEPSNONPILOT/Tender/SplashBidNoticeAbstractUI.aspx?menuIndex=3&amp;refID=7193778&amp;Result=3","7193778")</f>
        <v>0</v>
      </c>
      <c r="B411" t="s">
        <v>183</v>
      </c>
      <c r="C411" t="s">
        <v>3909</v>
      </c>
      <c r="E411" t="s">
        <v>17638</v>
      </c>
      <c r="F411" t="s">
        <v>29372</v>
      </c>
      <c r="G411" t="s">
        <v>29380</v>
      </c>
      <c r="H411" t="s">
        <v>11048</v>
      </c>
      <c r="I411" t="s">
        <v>29434</v>
      </c>
      <c r="J411" t="s">
        <v>29587</v>
      </c>
      <c r="K411" t="s">
        <v>38490</v>
      </c>
      <c r="M411" t="s">
        <v>38940</v>
      </c>
      <c r="N411" t="s">
        <v>42669</v>
      </c>
      <c r="O411" t="s">
        <v>42670</v>
      </c>
      <c r="P411">
        <v>0</v>
      </c>
      <c r="Q411">
        <v>1</v>
      </c>
      <c r="R411" t="s">
        <v>42671</v>
      </c>
      <c r="S411" t="s">
        <v>42779</v>
      </c>
      <c r="T411" t="s">
        <v>44415</v>
      </c>
      <c r="U411" t="s">
        <v>45231</v>
      </c>
      <c r="V411" t="s">
        <v>56384</v>
      </c>
      <c r="W411" t="s">
        <v>38940</v>
      </c>
      <c r="X411" t="s">
        <v>42673</v>
      </c>
    </row>
    <row r="412" spans="1:24">
      <c r="A412">
        <f>HYPERLINK("https://www.philgeps.gov.ph/GEPSNONPILOT/Tender/SplashBidNoticeAbstractUI.aspx?menuIndex=3&amp;refID=7193773&amp;Result=3","7193773")</f>
        <v>0</v>
      </c>
      <c r="B412" t="s">
        <v>183</v>
      </c>
      <c r="C412" t="s">
        <v>3910</v>
      </c>
      <c r="E412" t="s">
        <v>17639</v>
      </c>
      <c r="F412" t="s">
        <v>29372</v>
      </c>
      <c r="G412" t="s">
        <v>29380</v>
      </c>
      <c r="H412" t="s">
        <v>11048</v>
      </c>
      <c r="I412" t="s">
        <v>29435</v>
      </c>
      <c r="J412" t="s">
        <v>29874</v>
      </c>
      <c r="K412" t="s">
        <v>38490</v>
      </c>
      <c r="M412" t="s">
        <v>38940</v>
      </c>
      <c r="N412" t="s">
        <v>42669</v>
      </c>
      <c r="O412" t="s">
        <v>42670</v>
      </c>
      <c r="P412">
        <v>0</v>
      </c>
      <c r="Q412">
        <v>0</v>
      </c>
      <c r="R412" t="s">
        <v>42671</v>
      </c>
      <c r="S412" t="s">
        <v>42779</v>
      </c>
      <c r="T412" t="s">
        <v>44415</v>
      </c>
      <c r="U412" t="s">
        <v>45232</v>
      </c>
      <c r="V412" t="s">
        <v>56384</v>
      </c>
      <c r="W412" t="s">
        <v>38940</v>
      </c>
      <c r="X412" t="s">
        <v>42673</v>
      </c>
    </row>
    <row r="413" spans="1:24">
      <c r="A413">
        <f>HYPERLINK("https://www.philgeps.gov.ph/GEPSNONPILOT/Tender/SplashBidNoticeAbstractUI.aspx?menuIndex=3&amp;refID=7193772&amp;Result=3","7193772")</f>
        <v>0</v>
      </c>
      <c r="B413" t="s">
        <v>183</v>
      </c>
      <c r="C413" t="s">
        <v>3911</v>
      </c>
      <c r="E413" t="s">
        <v>17640</v>
      </c>
      <c r="F413" t="s">
        <v>29372</v>
      </c>
      <c r="G413" t="s">
        <v>29380</v>
      </c>
      <c r="H413" t="s">
        <v>11048</v>
      </c>
      <c r="I413" t="s">
        <v>3670</v>
      </c>
      <c r="J413" t="s">
        <v>29875</v>
      </c>
      <c r="K413" t="s">
        <v>38490</v>
      </c>
      <c r="M413" t="s">
        <v>38940</v>
      </c>
      <c r="N413" t="s">
        <v>42669</v>
      </c>
      <c r="O413" t="s">
        <v>42670</v>
      </c>
      <c r="P413">
        <v>0</v>
      </c>
      <c r="Q413">
        <v>1</v>
      </c>
      <c r="R413" t="s">
        <v>42671</v>
      </c>
      <c r="S413" t="s">
        <v>42779</v>
      </c>
      <c r="T413" t="s">
        <v>44415</v>
      </c>
      <c r="U413" t="s">
        <v>45233</v>
      </c>
      <c r="V413" t="s">
        <v>56385</v>
      </c>
      <c r="W413" t="s">
        <v>38940</v>
      </c>
      <c r="X413" t="s">
        <v>42673</v>
      </c>
    </row>
    <row r="414" spans="1:24">
      <c r="A414">
        <f>HYPERLINK("https://www.philgeps.gov.ph/GEPSNONPILOT/Tender/SplashBidNoticeAbstractUI.aspx?menuIndex=3&amp;refID=7193632&amp;Result=3","7193632")</f>
        <v>0</v>
      </c>
      <c r="B414" t="s">
        <v>180</v>
      </c>
      <c r="C414" t="s">
        <v>3912</v>
      </c>
      <c r="D414" t="s">
        <v>17154</v>
      </c>
      <c r="E414" t="s">
        <v>17641</v>
      </c>
      <c r="F414" t="s">
        <v>29372</v>
      </c>
      <c r="G414" t="s">
        <v>29380</v>
      </c>
      <c r="H414" t="s">
        <v>29389</v>
      </c>
      <c r="I414" t="s">
        <v>10408</v>
      </c>
      <c r="J414" t="s">
        <v>29876</v>
      </c>
      <c r="K414" t="s">
        <v>38541</v>
      </c>
      <c r="M414" t="s">
        <v>38937</v>
      </c>
      <c r="N414" t="s">
        <v>42669</v>
      </c>
      <c r="O414" t="s">
        <v>42670</v>
      </c>
      <c r="P414">
        <v>0</v>
      </c>
      <c r="Q414">
        <v>0</v>
      </c>
      <c r="R414" t="s">
        <v>42671</v>
      </c>
      <c r="S414" t="s">
        <v>42779</v>
      </c>
      <c r="T414" t="s">
        <v>44358</v>
      </c>
      <c r="U414" t="s">
        <v>45234</v>
      </c>
      <c r="W414" t="s">
        <v>38937</v>
      </c>
      <c r="X414" t="s">
        <v>42674</v>
      </c>
    </row>
    <row r="415" spans="1:24">
      <c r="A415">
        <f>HYPERLINK("https://www.philgeps.gov.ph/GEPSNONPILOT/Tender/SplashBidNoticeAbstractUI.aspx?menuIndex=3&amp;refID=7193653&amp;Result=3","7193653")</f>
        <v>0</v>
      </c>
      <c r="B415" t="s">
        <v>180</v>
      </c>
      <c r="C415" t="s">
        <v>3913</v>
      </c>
      <c r="D415" t="s">
        <v>17154</v>
      </c>
      <c r="E415" t="s">
        <v>17642</v>
      </c>
      <c r="F415" t="s">
        <v>29372</v>
      </c>
      <c r="G415" t="s">
        <v>29380</v>
      </c>
      <c r="H415" t="s">
        <v>29389</v>
      </c>
      <c r="I415" t="s">
        <v>10408</v>
      </c>
      <c r="J415" t="s">
        <v>29877</v>
      </c>
      <c r="K415" t="s">
        <v>38546</v>
      </c>
      <c r="M415" t="s">
        <v>38937</v>
      </c>
      <c r="N415" t="s">
        <v>42669</v>
      </c>
      <c r="O415" t="s">
        <v>42670</v>
      </c>
      <c r="P415">
        <v>0</v>
      </c>
      <c r="Q415">
        <v>0</v>
      </c>
      <c r="R415" t="s">
        <v>42671</v>
      </c>
      <c r="S415" t="s">
        <v>42779</v>
      </c>
      <c r="T415" t="s">
        <v>44358</v>
      </c>
      <c r="U415" t="s">
        <v>45235</v>
      </c>
      <c r="W415" t="s">
        <v>38937</v>
      </c>
      <c r="X415" t="s">
        <v>42674</v>
      </c>
    </row>
    <row r="416" spans="1:24">
      <c r="A416">
        <f>HYPERLINK("https://www.philgeps.gov.ph/GEPSNONPILOT/Tender/SplashBidNoticeAbstractUI.aspx?menuIndex=3&amp;refID=7193638&amp;Result=3","7193638")</f>
        <v>0</v>
      </c>
      <c r="B416" t="s">
        <v>184</v>
      </c>
      <c r="C416" t="s">
        <v>3914</v>
      </c>
      <c r="D416" t="s">
        <v>17141</v>
      </c>
      <c r="E416" t="s">
        <v>17643</v>
      </c>
      <c r="F416" t="s">
        <v>29372</v>
      </c>
      <c r="G416" t="s">
        <v>29380</v>
      </c>
      <c r="H416" t="s">
        <v>11048</v>
      </c>
      <c r="I416" t="s">
        <v>29413</v>
      </c>
      <c r="J416" t="s">
        <v>29878</v>
      </c>
      <c r="K416" t="s">
        <v>38485</v>
      </c>
      <c r="M416" t="s">
        <v>38941</v>
      </c>
      <c r="N416" t="s">
        <v>42669</v>
      </c>
      <c r="O416" t="s">
        <v>42670</v>
      </c>
      <c r="P416">
        <v>0</v>
      </c>
      <c r="Q416">
        <v>3</v>
      </c>
      <c r="R416" t="s">
        <v>42671</v>
      </c>
      <c r="S416" t="s">
        <v>42779</v>
      </c>
      <c r="T416" t="s">
        <v>44412</v>
      </c>
      <c r="U416" t="s">
        <v>45236</v>
      </c>
      <c r="V416" t="s">
        <v>56386</v>
      </c>
      <c r="W416" t="s">
        <v>38941</v>
      </c>
      <c r="X416" t="s">
        <v>42674</v>
      </c>
    </row>
    <row r="417" spans="1:24">
      <c r="A417">
        <f>HYPERLINK("https://www.philgeps.gov.ph/GEPSNONPILOT/Tender/SplashBidNoticeAbstractUI.aspx?menuIndex=3&amp;refID=7193769&amp;Result=3","7193769")</f>
        <v>0</v>
      </c>
      <c r="B417" t="s">
        <v>183</v>
      </c>
      <c r="C417" t="s">
        <v>3915</v>
      </c>
      <c r="E417" t="s">
        <v>17644</v>
      </c>
      <c r="F417" t="s">
        <v>29372</v>
      </c>
      <c r="G417" t="s">
        <v>29380</v>
      </c>
      <c r="H417" t="s">
        <v>11048</v>
      </c>
      <c r="I417" t="s">
        <v>3670</v>
      </c>
      <c r="J417" t="s">
        <v>29879</v>
      </c>
      <c r="K417" t="s">
        <v>38490</v>
      </c>
      <c r="M417" t="s">
        <v>38940</v>
      </c>
      <c r="N417" t="s">
        <v>42669</v>
      </c>
      <c r="O417" t="s">
        <v>42670</v>
      </c>
      <c r="P417">
        <v>0</v>
      </c>
      <c r="Q417">
        <v>1</v>
      </c>
      <c r="R417" t="s">
        <v>42671</v>
      </c>
      <c r="S417" t="s">
        <v>42779</v>
      </c>
      <c r="T417" t="s">
        <v>44415</v>
      </c>
      <c r="U417" t="s">
        <v>45237</v>
      </c>
      <c r="V417" t="s">
        <v>56387</v>
      </c>
      <c r="W417" t="s">
        <v>38940</v>
      </c>
      <c r="X417" t="s">
        <v>42673</v>
      </c>
    </row>
    <row r="418" spans="1:24">
      <c r="A418">
        <f>HYPERLINK("https://www.philgeps.gov.ph/GEPSNONPILOT/Tender/SplashBidNoticeAbstractUI.aspx?menuIndex=3&amp;refID=7193767&amp;Result=3","7193767")</f>
        <v>0</v>
      </c>
      <c r="B418" t="s">
        <v>183</v>
      </c>
      <c r="C418" t="s">
        <v>3916</v>
      </c>
      <c r="D418" t="s">
        <v>17168</v>
      </c>
      <c r="E418" t="s">
        <v>17645</v>
      </c>
      <c r="F418" t="s">
        <v>29372</v>
      </c>
      <c r="G418" t="s">
        <v>29380</v>
      </c>
      <c r="H418" t="s">
        <v>11048</v>
      </c>
      <c r="I418" t="s">
        <v>8614</v>
      </c>
      <c r="J418" t="s">
        <v>29880</v>
      </c>
      <c r="K418" t="s">
        <v>38490</v>
      </c>
      <c r="M418" t="s">
        <v>38940</v>
      </c>
      <c r="N418" t="s">
        <v>42669</v>
      </c>
      <c r="O418" t="s">
        <v>42670</v>
      </c>
      <c r="P418">
        <v>0</v>
      </c>
      <c r="Q418">
        <v>5</v>
      </c>
      <c r="R418" t="s">
        <v>42671</v>
      </c>
      <c r="S418" t="s">
        <v>42779</v>
      </c>
      <c r="T418" t="s">
        <v>44415</v>
      </c>
      <c r="U418" t="s">
        <v>45238</v>
      </c>
      <c r="V418" t="s">
        <v>56388</v>
      </c>
      <c r="W418" t="s">
        <v>38940</v>
      </c>
      <c r="X418" t="s">
        <v>42673</v>
      </c>
    </row>
    <row r="419" spans="1:24">
      <c r="A419">
        <f>HYPERLINK("https://www.philgeps.gov.ph/GEPSNONPILOT/Tender/SplashBidNoticeAbstractUI.aspx?menuIndex=3&amp;refID=7193763&amp;Result=3","7193763")</f>
        <v>0</v>
      </c>
      <c r="B419" t="s">
        <v>183</v>
      </c>
      <c r="C419" t="s">
        <v>3917</v>
      </c>
      <c r="E419" t="s">
        <v>17646</v>
      </c>
      <c r="F419" t="s">
        <v>29372</v>
      </c>
      <c r="G419" t="s">
        <v>29380</v>
      </c>
      <c r="H419" t="s">
        <v>11048</v>
      </c>
      <c r="I419" t="s">
        <v>29435</v>
      </c>
      <c r="J419" t="s">
        <v>29881</v>
      </c>
      <c r="K419" t="s">
        <v>38490</v>
      </c>
      <c r="M419" t="s">
        <v>38940</v>
      </c>
      <c r="N419" t="s">
        <v>42669</v>
      </c>
      <c r="O419" t="s">
        <v>42670</v>
      </c>
      <c r="P419">
        <v>0</v>
      </c>
      <c r="Q419">
        <v>0</v>
      </c>
      <c r="R419" t="s">
        <v>42671</v>
      </c>
      <c r="S419" t="s">
        <v>42779</v>
      </c>
      <c r="T419" t="s">
        <v>44415</v>
      </c>
      <c r="U419" t="s">
        <v>45239</v>
      </c>
      <c r="V419" t="s">
        <v>56384</v>
      </c>
      <c r="W419" t="s">
        <v>38940</v>
      </c>
      <c r="X419" t="s">
        <v>42674</v>
      </c>
    </row>
    <row r="420" spans="1:24">
      <c r="A420">
        <f>HYPERLINK("https://www.philgeps.gov.ph/GEPSNONPILOT/Tender/SplashBidNoticeAbstractUI.aspx?menuIndex=3&amp;refID=7193756&amp;Result=3","7193756")</f>
        <v>0</v>
      </c>
      <c r="B420" t="s">
        <v>183</v>
      </c>
      <c r="C420" t="s">
        <v>3918</v>
      </c>
      <c r="D420" t="s">
        <v>17168</v>
      </c>
      <c r="E420" t="s">
        <v>17647</v>
      </c>
      <c r="F420" t="s">
        <v>29372</v>
      </c>
      <c r="G420" t="s">
        <v>29380</v>
      </c>
      <c r="H420" t="s">
        <v>11048</v>
      </c>
      <c r="I420" t="s">
        <v>8614</v>
      </c>
      <c r="J420" t="s">
        <v>29882</v>
      </c>
      <c r="K420" t="s">
        <v>38490</v>
      </c>
      <c r="M420" t="s">
        <v>38940</v>
      </c>
      <c r="N420" t="s">
        <v>42669</v>
      </c>
      <c r="O420" t="s">
        <v>42670</v>
      </c>
      <c r="P420">
        <v>0</v>
      </c>
      <c r="Q420">
        <v>6</v>
      </c>
      <c r="R420" t="s">
        <v>42671</v>
      </c>
      <c r="S420" t="s">
        <v>42779</v>
      </c>
      <c r="T420" t="s">
        <v>44375</v>
      </c>
      <c r="U420" t="s">
        <v>45240</v>
      </c>
      <c r="V420" t="s">
        <v>56389</v>
      </c>
      <c r="W420" t="s">
        <v>38940</v>
      </c>
      <c r="X420" t="s">
        <v>42674</v>
      </c>
    </row>
    <row r="421" spans="1:24">
      <c r="A421">
        <f>HYPERLINK("https://www.philgeps.gov.ph/GEPSNONPILOT/Tender/SplashBidNoticeAbstractUI.aspx?menuIndex=3&amp;refID=7193770&amp;Result=3","7193770")</f>
        <v>0</v>
      </c>
      <c r="B421" t="s">
        <v>185</v>
      </c>
      <c r="C421" t="s">
        <v>3919</v>
      </c>
      <c r="D421" t="s">
        <v>17171</v>
      </c>
      <c r="E421" t="s">
        <v>17648</v>
      </c>
      <c r="F421" t="s">
        <v>29372</v>
      </c>
      <c r="G421" t="s">
        <v>29379</v>
      </c>
      <c r="H421" t="s">
        <v>11048</v>
      </c>
      <c r="I421" t="s">
        <v>4487</v>
      </c>
      <c r="J421" t="s">
        <v>29883</v>
      </c>
      <c r="K421" t="s">
        <v>38488</v>
      </c>
      <c r="M421" t="s">
        <v>38942</v>
      </c>
      <c r="N421" t="s">
        <v>42669</v>
      </c>
      <c r="O421" t="s">
        <v>42670</v>
      </c>
      <c r="P421">
        <v>0</v>
      </c>
      <c r="Q421">
        <v>2</v>
      </c>
      <c r="R421" t="s">
        <v>42671</v>
      </c>
      <c r="S421" t="s">
        <v>42779</v>
      </c>
      <c r="T421" t="s">
        <v>44389</v>
      </c>
      <c r="U421" t="s">
        <v>45241</v>
      </c>
      <c r="V421" t="s">
        <v>56390</v>
      </c>
      <c r="W421" t="s">
        <v>38942</v>
      </c>
      <c r="X421" t="s">
        <v>42673</v>
      </c>
    </row>
    <row r="422" spans="1:24">
      <c r="A422">
        <f>HYPERLINK("https://www.philgeps.gov.ph/GEPSNONPILOT/Tender/SplashBidNoticeAbstractUI.aspx?menuIndex=3&amp;refID=7193775&amp;Result=3","7193775")</f>
        <v>0</v>
      </c>
      <c r="B422" t="s">
        <v>183</v>
      </c>
      <c r="C422" t="s">
        <v>3920</v>
      </c>
      <c r="D422" t="s">
        <v>17171</v>
      </c>
      <c r="E422" t="s">
        <v>17649</v>
      </c>
      <c r="F422" t="s">
        <v>29372</v>
      </c>
      <c r="G422" t="s">
        <v>29380</v>
      </c>
      <c r="H422" t="s">
        <v>11048</v>
      </c>
      <c r="I422" t="s">
        <v>29425</v>
      </c>
      <c r="J422" t="s">
        <v>29549</v>
      </c>
      <c r="K422" t="s">
        <v>38490</v>
      </c>
      <c r="M422" t="s">
        <v>38940</v>
      </c>
      <c r="N422" t="s">
        <v>42669</v>
      </c>
      <c r="O422" t="s">
        <v>42670</v>
      </c>
      <c r="P422">
        <v>0</v>
      </c>
      <c r="Q422">
        <v>1</v>
      </c>
      <c r="R422" t="s">
        <v>42671</v>
      </c>
      <c r="S422" t="s">
        <v>42779</v>
      </c>
      <c r="T422" t="s">
        <v>44415</v>
      </c>
      <c r="U422" t="s">
        <v>45242</v>
      </c>
      <c r="V422" t="s">
        <v>56385</v>
      </c>
      <c r="W422" t="s">
        <v>38940</v>
      </c>
      <c r="X422" t="s">
        <v>42673</v>
      </c>
    </row>
    <row r="423" spans="1:24">
      <c r="A423">
        <f>HYPERLINK("https://www.philgeps.gov.ph/GEPSNONPILOT/Tender/SplashBidNoticeAbstractUI.aspx?menuIndex=3&amp;refID=7193765&amp;Result=3","7193765")</f>
        <v>0</v>
      </c>
      <c r="B423" t="s">
        <v>183</v>
      </c>
      <c r="C423" t="s">
        <v>3921</v>
      </c>
      <c r="E423" t="s">
        <v>17650</v>
      </c>
      <c r="F423" t="s">
        <v>29372</v>
      </c>
      <c r="G423" t="s">
        <v>29380</v>
      </c>
      <c r="H423" t="s">
        <v>11048</v>
      </c>
      <c r="I423" t="s">
        <v>3670</v>
      </c>
      <c r="J423" t="s">
        <v>29590</v>
      </c>
      <c r="K423" t="s">
        <v>38490</v>
      </c>
      <c r="M423" t="s">
        <v>38940</v>
      </c>
      <c r="N423" t="s">
        <v>42669</v>
      </c>
      <c r="O423" t="s">
        <v>42670</v>
      </c>
      <c r="P423">
        <v>0</v>
      </c>
      <c r="Q423">
        <v>2</v>
      </c>
      <c r="R423" t="s">
        <v>42671</v>
      </c>
      <c r="S423" t="s">
        <v>42779</v>
      </c>
      <c r="T423" t="s">
        <v>44415</v>
      </c>
      <c r="U423" t="s">
        <v>45243</v>
      </c>
      <c r="V423" t="s">
        <v>56391</v>
      </c>
      <c r="W423" t="s">
        <v>38940</v>
      </c>
      <c r="X423" t="s">
        <v>42673</v>
      </c>
    </row>
    <row r="424" spans="1:24">
      <c r="A424">
        <f>HYPERLINK("https://www.philgeps.gov.ph/GEPSNONPILOT/Tender/SplashBidNoticeAbstractUI.aspx?menuIndex=3&amp;refID=7193688&amp;Result=3","7193688")</f>
        <v>0</v>
      </c>
      <c r="B424" t="s">
        <v>186</v>
      </c>
      <c r="C424" t="s">
        <v>3922</v>
      </c>
      <c r="D424" t="s">
        <v>17198</v>
      </c>
      <c r="E424" t="s">
        <v>17651</v>
      </c>
      <c r="F424" t="s">
        <v>29372</v>
      </c>
      <c r="G424" t="s">
        <v>29379</v>
      </c>
      <c r="H424" t="s">
        <v>11048</v>
      </c>
      <c r="I424" t="s">
        <v>8614</v>
      </c>
      <c r="J424" t="s">
        <v>29767</v>
      </c>
      <c r="K424" t="s">
        <v>38489</v>
      </c>
      <c r="M424" t="s">
        <v>38943</v>
      </c>
      <c r="N424" t="s">
        <v>42669</v>
      </c>
      <c r="O424" t="s">
        <v>42670</v>
      </c>
      <c r="P424">
        <v>0</v>
      </c>
      <c r="Q424">
        <v>2</v>
      </c>
      <c r="R424" t="s">
        <v>42671</v>
      </c>
      <c r="S424" t="s">
        <v>42779</v>
      </c>
      <c r="T424" t="s">
        <v>44371</v>
      </c>
      <c r="U424" t="s">
        <v>45244</v>
      </c>
      <c r="W424" t="s">
        <v>38943</v>
      </c>
      <c r="X424" t="s">
        <v>42674</v>
      </c>
    </row>
    <row r="425" spans="1:24">
      <c r="A425">
        <f>HYPERLINK("https://www.philgeps.gov.ph/GEPSNONPILOT/Tender/SplashBidNoticeAbstractUI.aspx?menuIndex=3&amp;refID=7193655&amp;Result=3","7193655")</f>
        <v>0</v>
      </c>
      <c r="B425" t="s">
        <v>180</v>
      </c>
      <c r="C425" t="s">
        <v>3923</v>
      </c>
      <c r="D425" t="s">
        <v>17154</v>
      </c>
      <c r="E425" t="s">
        <v>17652</v>
      </c>
      <c r="F425" t="s">
        <v>29372</v>
      </c>
      <c r="G425" t="s">
        <v>29380</v>
      </c>
      <c r="H425" t="s">
        <v>29389</v>
      </c>
      <c r="I425" t="s">
        <v>10408</v>
      </c>
      <c r="J425" t="s">
        <v>29884</v>
      </c>
      <c r="K425" t="s">
        <v>38496</v>
      </c>
      <c r="M425" t="s">
        <v>38937</v>
      </c>
      <c r="N425" t="s">
        <v>42669</v>
      </c>
      <c r="O425" t="s">
        <v>42670</v>
      </c>
      <c r="P425">
        <v>0</v>
      </c>
      <c r="Q425">
        <v>0</v>
      </c>
      <c r="R425" t="s">
        <v>42671</v>
      </c>
      <c r="S425" t="s">
        <v>42779</v>
      </c>
      <c r="T425" t="s">
        <v>44358</v>
      </c>
      <c r="U425" t="s">
        <v>45245</v>
      </c>
      <c r="W425" t="s">
        <v>38937</v>
      </c>
      <c r="X425" t="s">
        <v>42674</v>
      </c>
    </row>
    <row r="426" spans="1:24">
      <c r="A426">
        <f>HYPERLINK("https://www.philgeps.gov.ph/GEPSNONPILOT/Tender/SplashBidNoticeAbstractUI.aspx?menuIndex=3&amp;refID=7193679&amp;Result=3","7193679")</f>
        <v>0</v>
      </c>
      <c r="B426" t="s">
        <v>180</v>
      </c>
      <c r="C426" t="s">
        <v>3924</v>
      </c>
      <c r="D426" t="s">
        <v>17154</v>
      </c>
      <c r="E426" t="s">
        <v>17653</v>
      </c>
      <c r="F426" t="s">
        <v>29372</v>
      </c>
      <c r="G426" t="s">
        <v>29380</v>
      </c>
      <c r="H426" t="s">
        <v>29389</v>
      </c>
      <c r="I426" t="s">
        <v>10408</v>
      </c>
      <c r="J426" t="s">
        <v>29885</v>
      </c>
      <c r="K426" t="s">
        <v>38527</v>
      </c>
      <c r="M426" t="s">
        <v>38937</v>
      </c>
      <c r="N426" t="s">
        <v>42669</v>
      </c>
      <c r="O426" t="s">
        <v>42670</v>
      </c>
      <c r="P426">
        <v>0</v>
      </c>
      <c r="Q426">
        <v>0</v>
      </c>
      <c r="R426" t="s">
        <v>42671</v>
      </c>
      <c r="S426" t="s">
        <v>42779</v>
      </c>
      <c r="T426" t="s">
        <v>44358</v>
      </c>
      <c r="U426" t="s">
        <v>45246</v>
      </c>
      <c r="W426" t="s">
        <v>38937</v>
      </c>
      <c r="X426" t="s">
        <v>42674</v>
      </c>
    </row>
    <row r="427" spans="1:24">
      <c r="A427">
        <f>HYPERLINK("https://www.philgeps.gov.ph/GEPSNONPILOT/Tender/SplashBidNoticeAbstractUI.aspx?menuIndex=3&amp;refID=7193594&amp;Result=3","7193594")</f>
        <v>0</v>
      </c>
      <c r="B427" t="s">
        <v>180</v>
      </c>
      <c r="C427" t="s">
        <v>3925</v>
      </c>
      <c r="D427" t="s">
        <v>17154</v>
      </c>
      <c r="E427" t="s">
        <v>17654</v>
      </c>
      <c r="F427" t="s">
        <v>29372</v>
      </c>
      <c r="G427" t="s">
        <v>29380</v>
      </c>
      <c r="H427" t="s">
        <v>29389</v>
      </c>
      <c r="I427" t="s">
        <v>10408</v>
      </c>
      <c r="J427" t="s">
        <v>29886</v>
      </c>
      <c r="K427" t="s">
        <v>38502</v>
      </c>
      <c r="M427" t="s">
        <v>38937</v>
      </c>
      <c r="N427" t="s">
        <v>42669</v>
      </c>
      <c r="O427" t="s">
        <v>42670</v>
      </c>
      <c r="P427">
        <v>0</v>
      </c>
      <c r="Q427">
        <v>0</v>
      </c>
      <c r="R427" t="s">
        <v>42671</v>
      </c>
      <c r="S427" t="s">
        <v>42779</v>
      </c>
      <c r="T427" t="s">
        <v>44358</v>
      </c>
      <c r="U427" t="s">
        <v>45247</v>
      </c>
      <c r="W427" t="s">
        <v>38937</v>
      </c>
      <c r="X427" t="s">
        <v>42674</v>
      </c>
    </row>
    <row r="428" spans="1:24">
      <c r="A428">
        <f>HYPERLINK("https://www.philgeps.gov.ph/GEPSNONPILOT/Tender/SplashBidNoticeAbstractUI.aspx?menuIndex=3&amp;refID=7193673&amp;Result=3","7193673")</f>
        <v>0</v>
      </c>
      <c r="B428" t="s">
        <v>186</v>
      </c>
      <c r="C428" t="s">
        <v>3926</v>
      </c>
      <c r="D428" t="s">
        <v>17198</v>
      </c>
      <c r="E428" t="s">
        <v>17655</v>
      </c>
      <c r="F428" t="s">
        <v>29372</v>
      </c>
      <c r="G428" t="s">
        <v>29379</v>
      </c>
      <c r="H428" t="s">
        <v>11048</v>
      </c>
      <c r="I428" t="s">
        <v>29407</v>
      </c>
      <c r="J428" t="s">
        <v>29887</v>
      </c>
      <c r="K428" t="s">
        <v>38489</v>
      </c>
      <c r="M428" t="s">
        <v>38943</v>
      </c>
      <c r="N428" t="s">
        <v>42669</v>
      </c>
      <c r="O428" t="s">
        <v>42670</v>
      </c>
      <c r="P428">
        <v>0</v>
      </c>
      <c r="Q428">
        <v>5</v>
      </c>
      <c r="R428" t="s">
        <v>42671</v>
      </c>
      <c r="S428" t="s">
        <v>42779</v>
      </c>
      <c r="T428" t="s">
        <v>44371</v>
      </c>
      <c r="U428" t="s">
        <v>45244</v>
      </c>
      <c r="W428" t="s">
        <v>38943</v>
      </c>
      <c r="X428" t="s">
        <v>42674</v>
      </c>
    </row>
    <row r="429" spans="1:24">
      <c r="A429">
        <f>HYPERLINK("https://www.philgeps.gov.ph/GEPSNONPILOT/Tender/SplashBidNoticeAbstractUI.aspx?menuIndex=3&amp;refID=7193622&amp;Result=3","7193622")</f>
        <v>0</v>
      </c>
      <c r="B429" t="s">
        <v>180</v>
      </c>
      <c r="C429" t="s">
        <v>3927</v>
      </c>
      <c r="D429" t="s">
        <v>17154</v>
      </c>
      <c r="E429" t="s">
        <v>17656</v>
      </c>
      <c r="F429" t="s">
        <v>29372</v>
      </c>
      <c r="G429" t="s">
        <v>29380</v>
      </c>
      <c r="H429" t="s">
        <v>29389</v>
      </c>
      <c r="I429" t="s">
        <v>10408</v>
      </c>
      <c r="J429" t="s">
        <v>29888</v>
      </c>
      <c r="K429" t="s">
        <v>38546</v>
      </c>
      <c r="M429" t="s">
        <v>38937</v>
      </c>
      <c r="N429" t="s">
        <v>42669</v>
      </c>
      <c r="O429" t="s">
        <v>42670</v>
      </c>
      <c r="P429">
        <v>0</v>
      </c>
      <c r="Q429">
        <v>0</v>
      </c>
      <c r="R429" t="s">
        <v>42671</v>
      </c>
      <c r="S429" t="s">
        <v>42779</v>
      </c>
      <c r="T429" t="s">
        <v>44358</v>
      </c>
      <c r="U429" t="s">
        <v>45248</v>
      </c>
      <c r="W429" t="s">
        <v>38937</v>
      </c>
      <c r="X429" t="s">
        <v>42674</v>
      </c>
    </row>
    <row r="430" spans="1:24">
      <c r="A430">
        <f>HYPERLINK("https://www.philgeps.gov.ph/GEPSNONPILOT/Tender/SplashBidNoticeAbstractUI.aspx?menuIndex=3&amp;refID=7193736&amp;Result=3","7193736")</f>
        <v>0</v>
      </c>
      <c r="B430" t="s">
        <v>183</v>
      </c>
      <c r="C430" t="s">
        <v>3928</v>
      </c>
      <c r="D430" t="s">
        <v>17168</v>
      </c>
      <c r="E430" t="s">
        <v>17657</v>
      </c>
      <c r="F430" t="s">
        <v>29372</v>
      </c>
      <c r="G430" t="s">
        <v>29380</v>
      </c>
      <c r="H430" t="s">
        <v>11048</v>
      </c>
      <c r="I430" t="s">
        <v>4486</v>
      </c>
      <c r="J430" t="s">
        <v>29889</v>
      </c>
      <c r="K430" t="s">
        <v>38490</v>
      </c>
      <c r="M430" t="s">
        <v>38940</v>
      </c>
      <c r="N430" t="s">
        <v>42669</v>
      </c>
      <c r="O430" t="s">
        <v>42670</v>
      </c>
      <c r="P430">
        <v>0</v>
      </c>
      <c r="Q430">
        <v>4</v>
      </c>
      <c r="R430" t="s">
        <v>42671</v>
      </c>
      <c r="S430" t="s">
        <v>42779</v>
      </c>
      <c r="T430" t="s">
        <v>44415</v>
      </c>
      <c r="U430" t="s">
        <v>45249</v>
      </c>
      <c r="V430" t="s">
        <v>56392</v>
      </c>
      <c r="W430" t="s">
        <v>38940</v>
      </c>
      <c r="X430" t="s">
        <v>42674</v>
      </c>
    </row>
    <row r="431" spans="1:24">
      <c r="A431">
        <f>HYPERLINK("https://www.philgeps.gov.ph/GEPSNONPILOT/Tender/SplashBidNoticeAbstractUI.aspx?menuIndex=3&amp;refID=7193618&amp;Result=3","7193618")</f>
        <v>0</v>
      </c>
      <c r="B431" t="s">
        <v>187</v>
      </c>
      <c r="C431" t="s">
        <v>3929</v>
      </c>
      <c r="D431" t="s">
        <v>17141</v>
      </c>
      <c r="E431" t="s">
        <v>17658</v>
      </c>
      <c r="F431" t="s">
        <v>29372</v>
      </c>
      <c r="G431" t="s">
        <v>29379</v>
      </c>
      <c r="H431" t="s">
        <v>11048</v>
      </c>
      <c r="I431" t="s">
        <v>29436</v>
      </c>
      <c r="J431" t="s">
        <v>29890</v>
      </c>
      <c r="K431" t="s">
        <v>38491</v>
      </c>
      <c r="M431" t="s">
        <v>38944</v>
      </c>
      <c r="N431" t="s">
        <v>42669</v>
      </c>
      <c r="O431" t="s">
        <v>42670</v>
      </c>
      <c r="P431">
        <v>0</v>
      </c>
      <c r="Q431">
        <v>2</v>
      </c>
      <c r="R431" t="s">
        <v>42671</v>
      </c>
      <c r="S431" t="s">
        <v>42779</v>
      </c>
      <c r="T431" t="s">
        <v>44393</v>
      </c>
      <c r="U431" t="s">
        <v>45250</v>
      </c>
      <c r="W431" t="s">
        <v>38944</v>
      </c>
      <c r="X431" t="s">
        <v>42674</v>
      </c>
    </row>
    <row r="432" spans="1:24">
      <c r="A432">
        <f>HYPERLINK("https://www.philgeps.gov.ph/GEPSNONPILOT/Tender/SplashBidNoticeAbstractUI.aspx?menuIndex=3&amp;refID=7193751&amp;Result=3","7193751")</f>
        <v>0</v>
      </c>
      <c r="B432" t="s">
        <v>183</v>
      </c>
      <c r="C432" t="s">
        <v>3930</v>
      </c>
      <c r="E432" t="s">
        <v>17659</v>
      </c>
      <c r="F432" t="s">
        <v>29372</v>
      </c>
      <c r="G432" t="s">
        <v>29380</v>
      </c>
      <c r="H432" t="s">
        <v>11048</v>
      </c>
      <c r="I432" t="s">
        <v>3670</v>
      </c>
      <c r="J432" t="s">
        <v>29619</v>
      </c>
      <c r="K432" t="s">
        <v>38490</v>
      </c>
      <c r="M432" t="s">
        <v>38940</v>
      </c>
      <c r="N432" t="s">
        <v>42669</v>
      </c>
      <c r="O432" t="s">
        <v>42670</v>
      </c>
      <c r="P432">
        <v>0</v>
      </c>
      <c r="Q432">
        <v>0</v>
      </c>
      <c r="R432" t="s">
        <v>42671</v>
      </c>
      <c r="S432" t="s">
        <v>42779</v>
      </c>
      <c r="T432" t="s">
        <v>44415</v>
      </c>
      <c r="U432" t="s">
        <v>45251</v>
      </c>
      <c r="V432" t="s">
        <v>56387</v>
      </c>
      <c r="W432" t="s">
        <v>38940</v>
      </c>
      <c r="X432" t="s">
        <v>42674</v>
      </c>
    </row>
    <row r="433" spans="1:24">
      <c r="A433">
        <f>HYPERLINK("https://www.philgeps.gov.ph/GEPSNONPILOT/Tender/SplashBidNoticeAbstractUI.aspx?menuIndex=3&amp;refID=7193682&amp;Result=3","7193682")</f>
        <v>0</v>
      </c>
      <c r="B433" t="s">
        <v>180</v>
      </c>
      <c r="C433" t="s">
        <v>3931</v>
      </c>
      <c r="D433" t="s">
        <v>17154</v>
      </c>
      <c r="E433" t="s">
        <v>17660</v>
      </c>
      <c r="F433" t="s">
        <v>29372</v>
      </c>
      <c r="G433" t="s">
        <v>29380</v>
      </c>
      <c r="H433" t="s">
        <v>29389</v>
      </c>
      <c r="I433" t="s">
        <v>10408</v>
      </c>
      <c r="J433" t="s">
        <v>29891</v>
      </c>
      <c r="K433" t="s">
        <v>38547</v>
      </c>
      <c r="M433" t="s">
        <v>38937</v>
      </c>
      <c r="N433" t="s">
        <v>42669</v>
      </c>
      <c r="O433" t="s">
        <v>42670</v>
      </c>
      <c r="P433">
        <v>0</v>
      </c>
      <c r="Q433">
        <v>0</v>
      </c>
      <c r="R433" t="s">
        <v>42671</v>
      </c>
      <c r="S433" t="s">
        <v>42779</v>
      </c>
      <c r="T433" t="s">
        <v>44358</v>
      </c>
      <c r="U433" t="s">
        <v>45252</v>
      </c>
      <c r="W433" t="s">
        <v>38937</v>
      </c>
      <c r="X433" t="s">
        <v>42674</v>
      </c>
    </row>
    <row r="434" spans="1:24">
      <c r="A434">
        <f>HYPERLINK("https://www.philgeps.gov.ph/GEPSNONPILOT/Tender/SplashBidNoticeAbstractUI.aspx?menuIndex=3&amp;refID=7193844&amp;Result=3","7193844")</f>
        <v>0</v>
      </c>
      <c r="B434" t="s">
        <v>188</v>
      </c>
      <c r="C434" t="s">
        <v>3932</v>
      </c>
      <c r="D434" t="s">
        <v>17141</v>
      </c>
      <c r="E434" t="s">
        <v>17661</v>
      </c>
      <c r="F434" t="s">
        <v>29372</v>
      </c>
      <c r="G434" t="s">
        <v>29379</v>
      </c>
      <c r="H434" t="s">
        <v>11048</v>
      </c>
      <c r="I434" t="s">
        <v>3839</v>
      </c>
      <c r="J434" t="s">
        <v>29892</v>
      </c>
      <c r="K434" t="s">
        <v>38490</v>
      </c>
      <c r="M434" t="s">
        <v>38945</v>
      </c>
      <c r="N434" t="s">
        <v>42669</v>
      </c>
      <c r="O434" t="s">
        <v>42670</v>
      </c>
      <c r="P434">
        <v>0</v>
      </c>
      <c r="Q434">
        <v>2</v>
      </c>
      <c r="R434" t="s">
        <v>42671</v>
      </c>
      <c r="S434" t="s">
        <v>42779</v>
      </c>
      <c r="T434" t="s">
        <v>44434</v>
      </c>
      <c r="U434" t="s">
        <v>45253</v>
      </c>
      <c r="W434" t="s">
        <v>38945</v>
      </c>
      <c r="X434" t="s">
        <v>42673</v>
      </c>
    </row>
    <row r="435" spans="1:24">
      <c r="A435">
        <f>HYPERLINK("https://www.philgeps.gov.ph/GEPSNONPILOT/Tender/SplashBidNoticeAbstractUI.aspx?menuIndex=3&amp;refID=7193841&amp;Result=3","7193841")</f>
        <v>0</v>
      </c>
      <c r="B435" t="s">
        <v>174</v>
      </c>
      <c r="C435" t="s">
        <v>3933</v>
      </c>
      <c r="D435" t="s">
        <v>17162</v>
      </c>
      <c r="E435" t="s">
        <v>17662</v>
      </c>
      <c r="F435" t="s">
        <v>29372</v>
      </c>
      <c r="G435" t="s">
        <v>29380</v>
      </c>
      <c r="H435" t="s">
        <v>11048</v>
      </c>
      <c r="I435" t="s">
        <v>8614</v>
      </c>
      <c r="J435" t="s">
        <v>29679</v>
      </c>
      <c r="K435" t="s">
        <v>38488</v>
      </c>
      <c r="L435" t="s">
        <v>174</v>
      </c>
      <c r="M435" t="s">
        <v>38931</v>
      </c>
      <c r="N435" t="s">
        <v>42669</v>
      </c>
      <c r="O435" t="s">
        <v>42670</v>
      </c>
      <c r="P435">
        <v>0</v>
      </c>
      <c r="Q435">
        <v>0</v>
      </c>
      <c r="R435" t="s">
        <v>42671</v>
      </c>
      <c r="S435" t="s">
        <v>42779</v>
      </c>
      <c r="T435" t="s">
        <v>44412</v>
      </c>
      <c r="U435" t="s">
        <v>45254</v>
      </c>
      <c r="V435" t="s">
        <v>56380</v>
      </c>
      <c r="W435" t="s">
        <v>38931</v>
      </c>
      <c r="X435" t="s">
        <v>42673</v>
      </c>
    </row>
    <row r="436" spans="1:24">
      <c r="A436">
        <f>HYPERLINK("https://www.philgeps.gov.ph/GEPSNONPILOT/Tender/SplashBidNoticeAbstractUI.aspx?menuIndex=3&amp;refID=7193745&amp;Result=3","7193745")</f>
        <v>0</v>
      </c>
      <c r="B436" t="s">
        <v>183</v>
      </c>
      <c r="C436" t="s">
        <v>3934</v>
      </c>
      <c r="E436" t="s">
        <v>17663</v>
      </c>
      <c r="F436" t="s">
        <v>29372</v>
      </c>
      <c r="G436" t="s">
        <v>29380</v>
      </c>
      <c r="H436" t="s">
        <v>11048</v>
      </c>
      <c r="I436" t="s">
        <v>29437</v>
      </c>
      <c r="J436" t="s">
        <v>29893</v>
      </c>
      <c r="K436" t="s">
        <v>38490</v>
      </c>
      <c r="M436" t="s">
        <v>38940</v>
      </c>
      <c r="N436" t="s">
        <v>42669</v>
      </c>
      <c r="O436" t="s">
        <v>42670</v>
      </c>
      <c r="P436">
        <v>0</v>
      </c>
      <c r="Q436">
        <v>0</v>
      </c>
      <c r="R436" t="s">
        <v>42671</v>
      </c>
      <c r="S436" t="s">
        <v>42779</v>
      </c>
      <c r="T436" t="s">
        <v>44375</v>
      </c>
      <c r="U436" t="s">
        <v>45255</v>
      </c>
      <c r="V436" t="s">
        <v>56393</v>
      </c>
      <c r="W436" t="s">
        <v>38940</v>
      </c>
      <c r="X436" t="s">
        <v>42674</v>
      </c>
    </row>
    <row r="437" spans="1:24">
      <c r="A437">
        <f>HYPERLINK("https://www.philgeps.gov.ph/GEPSNONPILOT/Tender/SplashBidNoticeAbstractUI.aspx?menuIndex=3&amp;refID=7193613&amp;Result=3","7193613")</f>
        <v>0</v>
      </c>
      <c r="B437" t="s">
        <v>180</v>
      </c>
      <c r="C437" t="s">
        <v>3935</v>
      </c>
      <c r="D437" t="s">
        <v>17154</v>
      </c>
      <c r="E437" t="s">
        <v>17664</v>
      </c>
      <c r="F437" t="s">
        <v>29372</v>
      </c>
      <c r="G437" t="s">
        <v>29380</v>
      </c>
      <c r="H437" t="s">
        <v>29389</v>
      </c>
      <c r="I437" t="s">
        <v>10408</v>
      </c>
      <c r="J437" t="s">
        <v>29894</v>
      </c>
      <c r="K437" t="s">
        <v>38544</v>
      </c>
      <c r="M437" t="s">
        <v>38937</v>
      </c>
      <c r="N437" t="s">
        <v>42669</v>
      </c>
      <c r="O437" t="s">
        <v>42670</v>
      </c>
      <c r="P437">
        <v>0</v>
      </c>
      <c r="Q437">
        <v>0</v>
      </c>
      <c r="R437" t="s">
        <v>42671</v>
      </c>
      <c r="S437" t="s">
        <v>42779</v>
      </c>
      <c r="T437" t="s">
        <v>44358</v>
      </c>
      <c r="U437" t="s">
        <v>45256</v>
      </c>
      <c r="W437" t="s">
        <v>38937</v>
      </c>
      <c r="X437" t="s">
        <v>42674</v>
      </c>
    </row>
    <row r="438" spans="1:24">
      <c r="A438">
        <f>HYPERLINK("https://www.philgeps.gov.ph/GEPSNONPILOT/Tender/SplashBidNoticeAbstractUI.aspx?menuIndex=3&amp;refID=7193839&amp;Result=3","7193839")</f>
        <v>0</v>
      </c>
      <c r="B438" t="s">
        <v>189</v>
      </c>
      <c r="C438" t="s">
        <v>3936</v>
      </c>
      <c r="D438" t="s">
        <v>17179</v>
      </c>
      <c r="E438" t="s">
        <v>17665</v>
      </c>
      <c r="F438" t="s">
        <v>29372</v>
      </c>
      <c r="G438" t="s">
        <v>29380</v>
      </c>
      <c r="H438" t="s">
        <v>29389</v>
      </c>
      <c r="I438" t="s">
        <v>10408</v>
      </c>
      <c r="J438" t="s">
        <v>29895</v>
      </c>
      <c r="K438" t="s">
        <v>38525</v>
      </c>
      <c r="M438" t="s">
        <v>38946</v>
      </c>
      <c r="N438" t="s">
        <v>42669</v>
      </c>
      <c r="O438" t="s">
        <v>42670</v>
      </c>
      <c r="P438">
        <v>0</v>
      </c>
      <c r="Q438">
        <v>0</v>
      </c>
      <c r="R438" t="s">
        <v>42671</v>
      </c>
      <c r="S438" t="s">
        <v>42779</v>
      </c>
      <c r="T438" t="s">
        <v>44363</v>
      </c>
      <c r="U438" t="s">
        <v>45257</v>
      </c>
      <c r="V438" t="s">
        <v>56394</v>
      </c>
      <c r="W438" t="s">
        <v>38946</v>
      </c>
      <c r="X438" t="s">
        <v>42673</v>
      </c>
    </row>
    <row r="439" spans="1:24">
      <c r="A439">
        <f>HYPERLINK("https://www.philgeps.gov.ph/GEPSNONPILOT/Tender/SplashBidNoticeAbstractUI.aspx?menuIndex=3&amp;refID=7193827&amp;Result=3","7193827")</f>
        <v>0</v>
      </c>
      <c r="B439" t="s">
        <v>190</v>
      </c>
      <c r="C439" t="s">
        <v>3937</v>
      </c>
      <c r="D439" t="s">
        <v>17163</v>
      </c>
      <c r="E439" t="s">
        <v>17666</v>
      </c>
      <c r="F439" t="s">
        <v>29372</v>
      </c>
      <c r="G439" t="s">
        <v>29379</v>
      </c>
      <c r="H439" t="s">
        <v>11048</v>
      </c>
      <c r="I439" t="s">
        <v>4487</v>
      </c>
      <c r="J439" t="s">
        <v>29896</v>
      </c>
      <c r="K439" t="s">
        <v>38491</v>
      </c>
      <c r="M439" t="s">
        <v>38947</v>
      </c>
      <c r="N439" t="s">
        <v>42669</v>
      </c>
      <c r="O439" t="s">
        <v>42670</v>
      </c>
      <c r="P439">
        <v>0</v>
      </c>
      <c r="Q439">
        <v>2</v>
      </c>
      <c r="R439" t="s">
        <v>42671</v>
      </c>
      <c r="S439" t="s">
        <v>42779</v>
      </c>
      <c r="T439" t="s">
        <v>44389</v>
      </c>
      <c r="U439" t="s">
        <v>45258</v>
      </c>
      <c r="W439" t="s">
        <v>38947</v>
      </c>
      <c r="X439" t="s">
        <v>42673</v>
      </c>
    </row>
    <row r="440" spans="1:24">
      <c r="A440">
        <f>HYPERLINK("https://www.philgeps.gov.ph/GEPSNONPILOT/Tender/SplashBidNoticeAbstractUI.aspx?menuIndex=3&amp;refID=7193826&amp;Result=3","7193826")</f>
        <v>0</v>
      </c>
      <c r="B440" t="s">
        <v>191</v>
      </c>
      <c r="C440" t="s">
        <v>3938</v>
      </c>
      <c r="E440" t="s">
        <v>17667</v>
      </c>
      <c r="F440" t="s">
        <v>29372</v>
      </c>
      <c r="G440" t="s">
        <v>29380</v>
      </c>
      <c r="H440" t="s">
        <v>11048</v>
      </c>
      <c r="I440" t="s">
        <v>3670</v>
      </c>
      <c r="J440" t="s">
        <v>29897</v>
      </c>
      <c r="K440" t="s">
        <v>38491</v>
      </c>
      <c r="M440" t="s">
        <v>38948</v>
      </c>
      <c r="N440" t="s">
        <v>42669</v>
      </c>
      <c r="O440" t="s">
        <v>42670</v>
      </c>
      <c r="P440">
        <v>0</v>
      </c>
      <c r="Q440">
        <v>1</v>
      </c>
      <c r="R440" t="s">
        <v>42671</v>
      </c>
      <c r="S440" t="s">
        <v>42779</v>
      </c>
      <c r="T440" t="s">
        <v>44364</v>
      </c>
      <c r="U440" t="s">
        <v>45259</v>
      </c>
      <c r="V440" t="s">
        <v>56395</v>
      </c>
      <c r="W440" t="s">
        <v>38948</v>
      </c>
      <c r="X440" t="s">
        <v>42673</v>
      </c>
    </row>
    <row r="441" spans="1:24">
      <c r="A441">
        <f>HYPERLINK("https://www.philgeps.gov.ph/GEPSNONPILOT/Tender/SplashBidNoticeAbstractUI.aspx?menuIndex=3&amp;refID=7193617&amp;Result=3","7193617")</f>
        <v>0</v>
      </c>
      <c r="B441" t="s">
        <v>180</v>
      </c>
      <c r="C441" t="s">
        <v>3939</v>
      </c>
      <c r="D441" t="s">
        <v>17154</v>
      </c>
      <c r="E441" t="s">
        <v>17668</v>
      </c>
      <c r="F441" t="s">
        <v>29372</v>
      </c>
      <c r="G441" t="s">
        <v>29380</v>
      </c>
      <c r="H441" t="s">
        <v>29389</v>
      </c>
      <c r="I441" t="s">
        <v>10408</v>
      </c>
      <c r="J441" t="s">
        <v>29898</v>
      </c>
      <c r="K441" t="s">
        <v>38548</v>
      </c>
      <c r="M441" t="s">
        <v>38937</v>
      </c>
      <c r="N441" t="s">
        <v>42669</v>
      </c>
      <c r="O441" t="s">
        <v>42670</v>
      </c>
      <c r="P441">
        <v>0</v>
      </c>
      <c r="Q441">
        <v>0</v>
      </c>
      <c r="R441" t="s">
        <v>42671</v>
      </c>
      <c r="S441" t="s">
        <v>42779</v>
      </c>
      <c r="T441" t="s">
        <v>44358</v>
      </c>
      <c r="U441" t="s">
        <v>45260</v>
      </c>
      <c r="W441" t="s">
        <v>38937</v>
      </c>
      <c r="X441" t="s">
        <v>42674</v>
      </c>
    </row>
    <row r="442" spans="1:24">
      <c r="A442">
        <f>HYPERLINK("https://www.philgeps.gov.ph/GEPSNONPILOT/Tender/SplashBidNoticeAbstractUI.aspx?menuIndex=3&amp;refID=7193822&amp;Result=3","7193822")</f>
        <v>0</v>
      </c>
      <c r="B442" t="s">
        <v>192</v>
      </c>
      <c r="C442" t="s">
        <v>3940</v>
      </c>
      <c r="D442" t="s">
        <v>17189</v>
      </c>
      <c r="E442" t="s">
        <v>17669</v>
      </c>
      <c r="F442" t="s">
        <v>29372</v>
      </c>
      <c r="G442" t="s">
        <v>29383</v>
      </c>
      <c r="H442" t="s">
        <v>11048</v>
      </c>
      <c r="I442" t="s">
        <v>4487</v>
      </c>
      <c r="J442" t="s">
        <v>29899</v>
      </c>
      <c r="K442" t="s">
        <v>38528</v>
      </c>
      <c r="M442" t="s">
        <v>38949</v>
      </c>
      <c r="N442" t="s">
        <v>42669</v>
      </c>
      <c r="O442" t="s">
        <v>42670</v>
      </c>
      <c r="P442">
        <v>0</v>
      </c>
      <c r="Q442">
        <v>0</v>
      </c>
      <c r="R442" t="s">
        <v>42671</v>
      </c>
      <c r="S442" t="s">
        <v>42779</v>
      </c>
      <c r="T442" t="s">
        <v>44394</v>
      </c>
      <c r="U442" t="s">
        <v>45261</v>
      </c>
      <c r="W442" t="s">
        <v>38949</v>
      </c>
      <c r="X442" t="s">
        <v>42673</v>
      </c>
    </row>
    <row r="443" spans="1:24">
      <c r="A443">
        <f>HYPERLINK("https://www.philgeps.gov.ph/GEPSNONPILOT/Tender/SplashBidNoticeAbstractUI.aspx?menuIndex=3&amp;refID=7193834&amp;Result=3","7193834")</f>
        <v>0</v>
      </c>
      <c r="B443" t="s">
        <v>34</v>
      </c>
      <c r="C443" t="s">
        <v>3941</v>
      </c>
      <c r="D443" t="s">
        <v>17148</v>
      </c>
      <c r="E443" t="s">
        <v>17670</v>
      </c>
      <c r="F443" t="s">
        <v>29372</v>
      </c>
      <c r="G443" t="s">
        <v>29379</v>
      </c>
      <c r="H443" t="s">
        <v>11048</v>
      </c>
      <c r="I443" t="s">
        <v>9469</v>
      </c>
      <c r="J443" t="s">
        <v>29900</v>
      </c>
      <c r="K443" t="s">
        <v>38485</v>
      </c>
      <c r="M443" t="s">
        <v>38787</v>
      </c>
      <c r="N443" t="s">
        <v>42669</v>
      </c>
      <c r="O443" t="s">
        <v>42670</v>
      </c>
      <c r="P443">
        <v>0</v>
      </c>
      <c r="Q443">
        <v>0</v>
      </c>
      <c r="R443" t="s">
        <v>42671</v>
      </c>
      <c r="S443" t="s">
        <v>42779</v>
      </c>
      <c r="T443" t="s">
        <v>44435</v>
      </c>
      <c r="U443" t="s">
        <v>45262</v>
      </c>
      <c r="W443" t="s">
        <v>38787</v>
      </c>
      <c r="X443" t="s">
        <v>42673</v>
      </c>
    </row>
    <row r="444" spans="1:24">
      <c r="A444">
        <f>HYPERLINK("https://www.philgeps.gov.ph/GEPSNONPILOT/Tender/SplashBidNoticeAbstractUI.aspx?menuIndex=3&amp;refID=7193816&amp;Result=3","7193816")</f>
        <v>0</v>
      </c>
      <c r="B444" t="s">
        <v>193</v>
      </c>
      <c r="C444" t="s">
        <v>3942</v>
      </c>
      <c r="D444" t="s">
        <v>17169</v>
      </c>
      <c r="E444" t="s">
        <v>17671</v>
      </c>
      <c r="F444" t="s">
        <v>29372</v>
      </c>
      <c r="G444" t="s">
        <v>29380</v>
      </c>
      <c r="H444" t="s">
        <v>11048</v>
      </c>
      <c r="I444" t="s">
        <v>5383</v>
      </c>
      <c r="J444" t="s">
        <v>29526</v>
      </c>
      <c r="K444" t="s">
        <v>38510</v>
      </c>
      <c r="M444" t="s">
        <v>38950</v>
      </c>
      <c r="N444" t="s">
        <v>42669</v>
      </c>
      <c r="O444" t="s">
        <v>42670</v>
      </c>
      <c r="P444">
        <v>0</v>
      </c>
      <c r="Q444">
        <v>0</v>
      </c>
      <c r="R444" t="s">
        <v>42671</v>
      </c>
      <c r="S444" t="s">
        <v>42779</v>
      </c>
      <c r="T444" t="s">
        <v>44412</v>
      </c>
      <c r="U444" t="s">
        <v>45263</v>
      </c>
      <c r="W444" t="s">
        <v>38950</v>
      </c>
      <c r="X444" t="s">
        <v>42673</v>
      </c>
    </row>
    <row r="445" spans="1:24">
      <c r="A445">
        <f>HYPERLINK("https://www.philgeps.gov.ph/GEPSNONPILOT/Tender/SplashBidNoticeAbstractUI.aspx?menuIndex=3&amp;refID=7193846&amp;Result=3","7193846")</f>
        <v>0</v>
      </c>
      <c r="B445" t="s">
        <v>194</v>
      </c>
      <c r="C445" t="s">
        <v>3943</v>
      </c>
      <c r="D445" t="s">
        <v>17166</v>
      </c>
      <c r="E445" t="s">
        <v>17672</v>
      </c>
      <c r="F445" t="s">
        <v>29372</v>
      </c>
      <c r="G445" t="s">
        <v>29379</v>
      </c>
      <c r="H445" t="s">
        <v>29389</v>
      </c>
      <c r="I445" t="s">
        <v>29395</v>
      </c>
      <c r="J445" t="s">
        <v>29901</v>
      </c>
      <c r="K445" t="s">
        <v>38490</v>
      </c>
      <c r="M445" t="s">
        <v>38951</v>
      </c>
      <c r="N445" t="s">
        <v>42669</v>
      </c>
      <c r="O445" t="s">
        <v>42670</v>
      </c>
      <c r="P445">
        <v>0</v>
      </c>
      <c r="Q445">
        <v>1</v>
      </c>
      <c r="R445" t="s">
        <v>42671</v>
      </c>
      <c r="S445" t="s">
        <v>42779</v>
      </c>
      <c r="T445" t="s">
        <v>44386</v>
      </c>
      <c r="U445" t="s">
        <v>45264</v>
      </c>
      <c r="W445" t="s">
        <v>38951</v>
      </c>
      <c r="X445" t="s">
        <v>42673</v>
      </c>
    </row>
    <row r="446" spans="1:24">
      <c r="A446">
        <f>HYPERLINK("https://www.philgeps.gov.ph/GEPSNONPILOT/Tender/SplashBidNoticeAbstractUI.aspx?menuIndex=3&amp;refID=7193823&amp;Result=3","7193823")</f>
        <v>0</v>
      </c>
      <c r="B446" t="s">
        <v>195</v>
      </c>
      <c r="C446" t="s">
        <v>3936</v>
      </c>
      <c r="D446" t="s">
        <v>17179</v>
      </c>
      <c r="E446" t="s">
        <v>17673</v>
      </c>
      <c r="F446" t="s">
        <v>29372</v>
      </c>
      <c r="G446" t="s">
        <v>29380</v>
      </c>
      <c r="H446" t="s">
        <v>29389</v>
      </c>
      <c r="I446" t="s">
        <v>10408</v>
      </c>
      <c r="J446" t="s">
        <v>29902</v>
      </c>
      <c r="K446" t="s">
        <v>38549</v>
      </c>
      <c r="M446" t="s">
        <v>38952</v>
      </c>
      <c r="N446" t="s">
        <v>42669</v>
      </c>
      <c r="O446" t="s">
        <v>42670</v>
      </c>
      <c r="P446">
        <v>0</v>
      </c>
      <c r="Q446">
        <v>0</v>
      </c>
      <c r="R446" t="s">
        <v>42671</v>
      </c>
      <c r="S446" t="s">
        <v>42779</v>
      </c>
      <c r="T446" t="s">
        <v>44379</v>
      </c>
      <c r="U446" t="s">
        <v>45265</v>
      </c>
      <c r="V446" t="s">
        <v>56396</v>
      </c>
      <c r="W446" t="s">
        <v>38952</v>
      </c>
      <c r="X446" t="s">
        <v>42673</v>
      </c>
    </row>
    <row r="447" spans="1:24">
      <c r="A447">
        <f>HYPERLINK("https://www.philgeps.gov.ph/GEPSNONPILOT/Tender/SplashBidNoticeAbstractUI.aspx?menuIndex=3&amp;refID=7193788&amp;Result=3","7193788")</f>
        <v>0</v>
      </c>
      <c r="B447" t="s">
        <v>196</v>
      </c>
      <c r="C447" t="s">
        <v>3944</v>
      </c>
      <c r="D447" t="s">
        <v>17166</v>
      </c>
      <c r="E447" t="s">
        <v>17674</v>
      </c>
      <c r="F447" t="s">
        <v>29372</v>
      </c>
      <c r="G447" t="s">
        <v>29379</v>
      </c>
      <c r="H447" t="s">
        <v>11048</v>
      </c>
      <c r="I447" t="s">
        <v>3597</v>
      </c>
      <c r="J447" t="s">
        <v>29903</v>
      </c>
      <c r="K447" t="s">
        <v>38488</v>
      </c>
      <c r="M447" t="s">
        <v>38953</v>
      </c>
      <c r="N447" t="s">
        <v>42669</v>
      </c>
      <c r="O447" t="s">
        <v>42670</v>
      </c>
      <c r="P447">
        <v>0</v>
      </c>
      <c r="Q447">
        <v>1</v>
      </c>
      <c r="R447" t="s">
        <v>42671</v>
      </c>
      <c r="S447" t="s">
        <v>42779</v>
      </c>
      <c r="T447" t="s">
        <v>44371</v>
      </c>
      <c r="U447" t="s">
        <v>45266</v>
      </c>
      <c r="W447" t="s">
        <v>42173</v>
      </c>
      <c r="X447" t="s">
        <v>42673</v>
      </c>
    </row>
    <row r="448" spans="1:24">
      <c r="A448">
        <f>HYPERLINK("https://www.philgeps.gov.ph/GEPSNONPILOT/Tender/SplashBidNoticeAbstractUI.aspx?menuIndex=3&amp;refID=7193692&amp;Result=3","7193692")</f>
        <v>0</v>
      </c>
      <c r="B448" t="s">
        <v>197</v>
      </c>
      <c r="C448" t="s">
        <v>3945</v>
      </c>
      <c r="D448" t="s">
        <v>17151</v>
      </c>
      <c r="E448" t="s">
        <v>17675</v>
      </c>
      <c r="F448" t="s">
        <v>29372</v>
      </c>
      <c r="G448" t="s">
        <v>29380</v>
      </c>
      <c r="H448" t="s">
        <v>11048</v>
      </c>
      <c r="I448" t="s">
        <v>29438</v>
      </c>
      <c r="J448" t="s">
        <v>29708</v>
      </c>
      <c r="K448" t="s">
        <v>38528</v>
      </c>
      <c r="M448" t="s">
        <v>38954</v>
      </c>
      <c r="N448" t="s">
        <v>42669</v>
      </c>
      <c r="O448" t="s">
        <v>42670</v>
      </c>
      <c r="P448">
        <v>0</v>
      </c>
      <c r="Q448">
        <v>0</v>
      </c>
      <c r="R448" t="s">
        <v>42671</v>
      </c>
      <c r="S448" t="s">
        <v>42779</v>
      </c>
      <c r="T448" t="s">
        <v>44436</v>
      </c>
      <c r="U448" t="s">
        <v>45267</v>
      </c>
      <c r="W448" t="s">
        <v>38954</v>
      </c>
      <c r="X448" t="s">
        <v>42674</v>
      </c>
    </row>
    <row r="449" spans="1:24">
      <c r="A449">
        <f>HYPERLINK("https://www.philgeps.gov.ph/GEPSNONPILOT/Tender/SplashBidNoticeAbstractUI.aspx?menuIndex=3&amp;refID=7193787&amp;Result=3","7193787")</f>
        <v>0</v>
      </c>
      <c r="B449" t="s">
        <v>198</v>
      </c>
      <c r="C449" t="s">
        <v>3946</v>
      </c>
      <c r="D449" t="s">
        <v>17199</v>
      </c>
      <c r="E449" t="s">
        <v>17676</v>
      </c>
      <c r="F449" t="s">
        <v>29372</v>
      </c>
      <c r="G449" t="s">
        <v>29385</v>
      </c>
      <c r="H449" t="s">
        <v>11048</v>
      </c>
      <c r="I449" t="s">
        <v>4487</v>
      </c>
      <c r="J449" t="s">
        <v>29904</v>
      </c>
      <c r="K449" t="s">
        <v>38510</v>
      </c>
      <c r="M449" t="s">
        <v>38955</v>
      </c>
      <c r="N449" t="s">
        <v>42669</v>
      </c>
      <c r="O449" t="s">
        <v>42670</v>
      </c>
      <c r="P449">
        <v>0</v>
      </c>
      <c r="Q449">
        <v>6</v>
      </c>
      <c r="R449" t="s">
        <v>42671</v>
      </c>
      <c r="S449" t="s">
        <v>42779</v>
      </c>
      <c r="T449" t="s">
        <v>44378</v>
      </c>
      <c r="U449" t="s">
        <v>45268</v>
      </c>
      <c r="W449" t="s">
        <v>38955</v>
      </c>
      <c r="X449" t="s">
        <v>42673</v>
      </c>
    </row>
    <row r="450" spans="1:24">
      <c r="A450">
        <f>HYPERLINK("https://www.philgeps.gov.ph/GEPSNONPILOT/Tender/SplashBidNoticeAbstractUI.aspx?menuIndex=3&amp;refID=7193819&amp;Result=3","7193819")</f>
        <v>0</v>
      </c>
      <c r="B450" t="s">
        <v>199</v>
      </c>
      <c r="C450" t="s">
        <v>3947</v>
      </c>
      <c r="D450" t="s">
        <v>17192</v>
      </c>
      <c r="E450" t="s">
        <v>17677</v>
      </c>
      <c r="F450" t="s">
        <v>29372</v>
      </c>
      <c r="G450" t="s">
        <v>29380</v>
      </c>
      <c r="H450" t="s">
        <v>29389</v>
      </c>
      <c r="I450" t="s">
        <v>4709</v>
      </c>
      <c r="J450" t="s">
        <v>29905</v>
      </c>
      <c r="K450" t="s">
        <v>38490</v>
      </c>
      <c r="M450" t="s">
        <v>38956</v>
      </c>
      <c r="N450" t="s">
        <v>42669</v>
      </c>
      <c r="O450" t="s">
        <v>42670</v>
      </c>
      <c r="P450">
        <v>0</v>
      </c>
      <c r="Q450">
        <v>0</v>
      </c>
      <c r="R450" t="s">
        <v>42671</v>
      </c>
      <c r="S450" t="s">
        <v>42779</v>
      </c>
      <c r="T450" t="s">
        <v>44357</v>
      </c>
      <c r="U450" t="s">
        <v>45269</v>
      </c>
      <c r="W450" t="s">
        <v>38956</v>
      </c>
      <c r="X450" t="s">
        <v>42673</v>
      </c>
    </row>
    <row r="451" spans="1:24">
      <c r="A451">
        <f>HYPERLINK("https://www.philgeps.gov.ph/GEPSNONPILOT/Tender/SplashBidNoticeAbstractUI.aspx?menuIndex=3&amp;refID=7193824&amp;Result=3","7193824")</f>
        <v>0</v>
      </c>
      <c r="B451" t="s">
        <v>200</v>
      </c>
      <c r="C451" t="s">
        <v>3948</v>
      </c>
      <c r="D451" t="s">
        <v>17200</v>
      </c>
      <c r="E451" t="s">
        <v>17678</v>
      </c>
      <c r="F451" t="s">
        <v>29372</v>
      </c>
      <c r="G451" t="s">
        <v>29380</v>
      </c>
      <c r="H451" t="s">
        <v>29389</v>
      </c>
      <c r="I451" t="s">
        <v>10408</v>
      </c>
      <c r="J451" t="s">
        <v>29906</v>
      </c>
      <c r="K451" t="s">
        <v>38550</v>
      </c>
      <c r="M451" t="s">
        <v>38957</v>
      </c>
      <c r="N451" t="s">
        <v>42669</v>
      </c>
      <c r="O451" t="s">
        <v>42670</v>
      </c>
      <c r="P451">
        <v>0</v>
      </c>
      <c r="Q451">
        <v>0</v>
      </c>
      <c r="R451" t="s">
        <v>42671</v>
      </c>
      <c r="S451" t="s">
        <v>42779</v>
      </c>
      <c r="T451" t="s">
        <v>44437</v>
      </c>
      <c r="U451" t="s">
        <v>45270</v>
      </c>
      <c r="V451" t="s">
        <v>56397</v>
      </c>
      <c r="W451" t="s">
        <v>38957</v>
      </c>
      <c r="X451" t="s">
        <v>42673</v>
      </c>
    </row>
    <row r="452" spans="1:24">
      <c r="A452">
        <f>HYPERLINK("https://www.philgeps.gov.ph/GEPSNONPILOT/Tender/SplashBidNoticeAbstractUI.aspx?menuIndex=3&amp;refID=7193535&amp;Result=3","7193535")</f>
        <v>0</v>
      </c>
      <c r="B452" t="s">
        <v>201</v>
      </c>
      <c r="C452" t="s">
        <v>3949</v>
      </c>
      <c r="D452" t="s">
        <v>17193</v>
      </c>
      <c r="E452" t="s">
        <v>17679</v>
      </c>
      <c r="F452" t="s">
        <v>29372</v>
      </c>
      <c r="G452" t="s">
        <v>29379</v>
      </c>
      <c r="H452" t="s">
        <v>11048</v>
      </c>
      <c r="I452" t="s">
        <v>29437</v>
      </c>
      <c r="J452" t="s">
        <v>29907</v>
      </c>
      <c r="K452" t="s">
        <v>38490</v>
      </c>
      <c r="M452" t="s">
        <v>38958</v>
      </c>
      <c r="N452" t="s">
        <v>42669</v>
      </c>
      <c r="O452" t="s">
        <v>42670</v>
      </c>
      <c r="P452">
        <v>0</v>
      </c>
      <c r="Q452">
        <v>2</v>
      </c>
      <c r="R452" t="s">
        <v>42671</v>
      </c>
      <c r="S452" t="s">
        <v>42779</v>
      </c>
      <c r="T452" t="s">
        <v>44378</v>
      </c>
      <c r="U452" t="s">
        <v>45271</v>
      </c>
      <c r="W452" t="s">
        <v>38958</v>
      </c>
      <c r="X452" t="s">
        <v>42674</v>
      </c>
    </row>
    <row r="453" spans="1:24">
      <c r="A453">
        <f>HYPERLINK("https://www.philgeps.gov.ph/GEPSNONPILOT/Tender/SplashBidNoticeAbstractUI.aspx?menuIndex=3&amp;refID=7193792&amp;Result=3","7193792")</f>
        <v>0</v>
      </c>
      <c r="B453" t="s">
        <v>202</v>
      </c>
      <c r="C453" t="s">
        <v>3950</v>
      </c>
      <c r="D453" t="s">
        <v>17169</v>
      </c>
      <c r="E453" t="s">
        <v>17680</v>
      </c>
      <c r="F453" t="s">
        <v>29372</v>
      </c>
      <c r="G453" t="s">
        <v>29380</v>
      </c>
      <c r="H453" t="s">
        <v>11048</v>
      </c>
      <c r="I453" t="s">
        <v>29407</v>
      </c>
      <c r="J453" t="s">
        <v>29908</v>
      </c>
      <c r="K453" t="s">
        <v>38510</v>
      </c>
      <c r="M453" t="s">
        <v>38959</v>
      </c>
      <c r="N453" t="s">
        <v>42669</v>
      </c>
      <c r="O453" t="s">
        <v>42670</v>
      </c>
      <c r="P453">
        <v>0</v>
      </c>
      <c r="Q453">
        <v>3</v>
      </c>
      <c r="R453" t="s">
        <v>42671</v>
      </c>
      <c r="S453" t="s">
        <v>42779</v>
      </c>
      <c r="T453" t="s">
        <v>44412</v>
      </c>
      <c r="U453" t="s">
        <v>45272</v>
      </c>
      <c r="W453" t="s">
        <v>38959</v>
      </c>
      <c r="X453" t="s">
        <v>42673</v>
      </c>
    </row>
    <row r="454" spans="1:24">
      <c r="A454">
        <f>HYPERLINK("https://www.philgeps.gov.ph/GEPSNONPILOT/Tender/SplashBidNoticeAbstractUI.aspx?menuIndex=3&amp;refID=7193525&amp;Result=3","7193525")</f>
        <v>0</v>
      </c>
      <c r="B454" t="s">
        <v>168</v>
      </c>
      <c r="C454" t="s">
        <v>3951</v>
      </c>
      <c r="E454" t="s">
        <v>17681</v>
      </c>
      <c r="F454" t="s">
        <v>29372</v>
      </c>
      <c r="G454" t="s">
        <v>29379</v>
      </c>
      <c r="H454" t="s">
        <v>11048</v>
      </c>
      <c r="I454" t="s">
        <v>29396</v>
      </c>
      <c r="J454" t="s">
        <v>29820</v>
      </c>
      <c r="K454" t="s">
        <v>38489</v>
      </c>
      <c r="M454" t="s">
        <v>38925</v>
      </c>
      <c r="N454" t="s">
        <v>42669</v>
      </c>
      <c r="O454" t="s">
        <v>42670</v>
      </c>
      <c r="P454">
        <v>0</v>
      </c>
      <c r="Q454">
        <v>0</v>
      </c>
      <c r="R454" t="s">
        <v>42671</v>
      </c>
      <c r="S454" t="s">
        <v>42779</v>
      </c>
      <c r="T454" t="s">
        <v>44386</v>
      </c>
      <c r="U454" t="s">
        <v>45273</v>
      </c>
      <c r="W454" t="s">
        <v>38925</v>
      </c>
      <c r="X454" t="s">
        <v>42674</v>
      </c>
    </row>
    <row r="455" spans="1:24">
      <c r="A455">
        <f>HYPERLINK("https://www.philgeps.gov.ph/GEPSNONPILOT/Tender/SplashBidNoticeAbstractUI.aspx?menuIndex=3&amp;refID=7193508&amp;Result=3","7193508")</f>
        <v>0</v>
      </c>
      <c r="B455" t="s">
        <v>168</v>
      </c>
      <c r="C455" t="s">
        <v>3952</v>
      </c>
      <c r="E455" t="s">
        <v>17682</v>
      </c>
      <c r="F455" t="s">
        <v>29372</v>
      </c>
      <c r="G455" t="s">
        <v>29379</v>
      </c>
      <c r="H455" t="s">
        <v>11048</v>
      </c>
      <c r="I455" t="s">
        <v>3952</v>
      </c>
      <c r="J455" t="s">
        <v>29909</v>
      </c>
      <c r="K455" t="s">
        <v>38510</v>
      </c>
      <c r="M455" t="s">
        <v>38925</v>
      </c>
      <c r="N455" t="s">
        <v>42669</v>
      </c>
      <c r="O455" t="s">
        <v>42670</v>
      </c>
      <c r="P455">
        <v>0</v>
      </c>
      <c r="Q455">
        <v>1</v>
      </c>
      <c r="R455" t="s">
        <v>42671</v>
      </c>
      <c r="S455" t="s">
        <v>42779</v>
      </c>
      <c r="T455" t="s">
        <v>44386</v>
      </c>
      <c r="U455" t="s">
        <v>45274</v>
      </c>
      <c r="W455" t="s">
        <v>38925</v>
      </c>
      <c r="X455" t="s">
        <v>42674</v>
      </c>
    </row>
    <row r="456" spans="1:24">
      <c r="A456">
        <f>HYPERLINK("https://www.philgeps.gov.ph/GEPSNONPILOT/Tender/SplashBidNoticeAbstractUI.aspx?menuIndex=3&amp;refID=7193782&amp;Result=3","7193782")</f>
        <v>0</v>
      </c>
      <c r="B456" t="s">
        <v>197</v>
      </c>
      <c r="C456" t="s">
        <v>3953</v>
      </c>
      <c r="D456" t="s">
        <v>17151</v>
      </c>
      <c r="E456" t="s">
        <v>17683</v>
      </c>
      <c r="F456" t="s">
        <v>29372</v>
      </c>
      <c r="G456" t="s">
        <v>29380</v>
      </c>
      <c r="H456" t="s">
        <v>11048</v>
      </c>
      <c r="I456" t="s">
        <v>4709</v>
      </c>
      <c r="J456" t="s">
        <v>29910</v>
      </c>
      <c r="K456" t="s">
        <v>38528</v>
      </c>
      <c r="M456" t="s">
        <v>38954</v>
      </c>
      <c r="N456" t="s">
        <v>42669</v>
      </c>
      <c r="O456" t="s">
        <v>42670</v>
      </c>
      <c r="P456">
        <v>0</v>
      </c>
      <c r="Q456">
        <v>0</v>
      </c>
      <c r="R456" t="s">
        <v>42671</v>
      </c>
      <c r="S456" t="s">
        <v>42779</v>
      </c>
      <c r="T456" t="s">
        <v>44436</v>
      </c>
      <c r="U456" t="s">
        <v>45275</v>
      </c>
      <c r="W456" t="s">
        <v>38954</v>
      </c>
      <c r="X456" t="s">
        <v>42673</v>
      </c>
    </row>
    <row r="457" spans="1:24">
      <c r="A457">
        <f>HYPERLINK("https://www.philgeps.gov.ph/GEPSNONPILOT/Tender/SplashBidNoticeAbstractUI.aspx?menuIndex=3&amp;refID=7193506&amp;Result=3","7193506")</f>
        <v>0</v>
      </c>
      <c r="B457" t="s">
        <v>170</v>
      </c>
      <c r="C457" t="s">
        <v>3954</v>
      </c>
      <c r="D457" t="s">
        <v>17195</v>
      </c>
      <c r="E457" t="s">
        <v>17684</v>
      </c>
      <c r="F457" t="s">
        <v>29372</v>
      </c>
      <c r="G457" t="s">
        <v>29380</v>
      </c>
      <c r="H457" t="s">
        <v>11048</v>
      </c>
      <c r="I457" t="s">
        <v>4709</v>
      </c>
      <c r="J457" t="s">
        <v>29911</v>
      </c>
      <c r="K457" t="s">
        <v>38495</v>
      </c>
      <c r="M457" t="s">
        <v>38927</v>
      </c>
      <c r="N457" t="s">
        <v>42669</v>
      </c>
      <c r="O457" t="s">
        <v>42670</v>
      </c>
      <c r="P457">
        <v>0</v>
      </c>
      <c r="Q457">
        <v>0</v>
      </c>
      <c r="R457" t="s">
        <v>42671</v>
      </c>
      <c r="S457" t="s">
        <v>42779</v>
      </c>
      <c r="T457" t="s">
        <v>44368</v>
      </c>
      <c r="U457" t="s">
        <v>45170</v>
      </c>
      <c r="W457" t="s">
        <v>38927</v>
      </c>
      <c r="X457" t="s">
        <v>42674</v>
      </c>
    </row>
    <row r="458" spans="1:24">
      <c r="A458">
        <f>HYPERLINK("https://www.philgeps.gov.ph/GEPSNONPILOT/Tender/SplashBidNoticeAbstractUI.aspx?menuIndex=3&amp;refID=7193847&amp;Result=3","7193847")</f>
        <v>0</v>
      </c>
      <c r="B458" t="s">
        <v>49</v>
      </c>
      <c r="C458" t="s">
        <v>3955</v>
      </c>
      <c r="D458" t="s">
        <v>17156</v>
      </c>
      <c r="E458" t="s">
        <v>17685</v>
      </c>
      <c r="F458" t="s">
        <v>29372</v>
      </c>
      <c r="G458" t="s">
        <v>29379</v>
      </c>
      <c r="H458" t="s">
        <v>11048</v>
      </c>
      <c r="I458" t="s">
        <v>3839</v>
      </c>
      <c r="J458" t="s">
        <v>29912</v>
      </c>
      <c r="K458" t="s">
        <v>38510</v>
      </c>
      <c r="L458" t="s">
        <v>49</v>
      </c>
      <c r="M458" t="s">
        <v>38802</v>
      </c>
      <c r="N458" t="s">
        <v>42669</v>
      </c>
      <c r="O458" t="s">
        <v>42670</v>
      </c>
      <c r="P458">
        <v>0</v>
      </c>
      <c r="Q458">
        <v>0</v>
      </c>
      <c r="R458" t="s">
        <v>42671</v>
      </c>
      <c r="S458" t="s">
        <v>42779</v>
      </c>
      <c r="T458" t="s">
        <v>44414</v>
      </c>
      <c r="U458" t="s">
        <v>45276</v>
      </c>
      <c r="W458" t="s">
        <v>38802</v>
      </c>
      <c r="X458" t="s">
        <v>42673</v>
      </c>
    </row>
    <row r="459" spans="1:24">
      <c r="A459">
        <f>HYPERLINK("https://www.philgeps.gov.ph/GEPSNONPILOT/Tender/SplashBidNoticeAbstractUI.aspx?menuIndex=3&amp;refID=7193581&amp;Result=3","7193581")</f>
        <v>0</v>
      </c>
      <c r="B459" t="s">
        <v>181</v>
      </c>
      <c r="C459" t="s">
        <v>3956</v>
      </c>
      <c r="D459" t="s">
        <v>17163</v>
      </c>
      <c r="E459" t="s">
        <v>17686</v>
      </c>
      <c r="F459" t="s">
        <v>29372</v>
      </c>
      <c r="G459" t="s">
        <v>29382</v>
      </c>
      <c r="H459" t="s">
        <v>11048</v>
      </c>
      <c r="I459" t="s">
        <v>5383</v>
      </c>
      <c r="J459" t="s">
        <v>29913</v>
      </c>
      <c r="K459" t="s">
        <v>38510</v>
      </c>
      <c r="M459" t="s">
        <v>38938</v>
      </c>
      <c r="N459" t="s">
        <v>42669</v>
      </c>
      <c r="O459" t="s">
        <v>42670</v>
      </c>
      <c r="P459">
        <v>0</v>
      </c>
      <c r="Q459">
        <v>7</v>
      </c>
      <c r="R459" t="s">
        <v>42671</v>
      </c>
      <c r="S459" t="s">
        <v>42779</v>
      </c>
      <c r="T459" t="s">
        <v>44371</v>
      </c>
      <c r="U459" t="s">
        <v>45277</v>
      </c>
      <c r="W459" t="s">
        <v>38938</v>
      </c>
      <c r="X459" t="s">
        <v>42674</v>
      </c>
    </row>
    <row r="460" spans="1:24">
      <c r="A460">
        <f>HYPERLINK("https://www.philgeps.gov.ph/GEPSNONPILOT/Tender/SplashBidNoticeAbstractUI.aspx?menuIndex=3&amp;refID=7193906&amp;Result=3","7193906")</f>
        <v>0</v>
      </c>
      <c r="B460" t="s">
        <v>34</v>
      </c>
      <c r="C460" t="s">
        <v>3957</v>
      </c>
      <c r="D460" t="s">
        <v>17148</v>
      </c>
      <c r="E460" t="s">
        <v>17687</v>
      </c>
      <c r="F460" t="s">
        <v>29372</v>
      </c>
      <c r="G460" t="s">
        <v>29379</v>
      </c>
      <c r="H460" t="s">
        <v>11048</v>
      </c>
      <c r="I460" t="s">
        <v>29426</v>
      </c>
      <c r="J460" t="s">
        <v>29799</v>
      </c>
      <c r="K460" t="s">
        <v>38485</v>
      </c>
      <c r="M460" t="s">
        <v>38787</v>
      </c>
      <c r="N460" t="s">
        <v>42669</v>
      </c>
      <c r="O460" t="s">
        <v>42670</v>
      </c>
      <c r="P460">
        <v>0</v>
      </c>
      <c r="Q460">
        <v>0</v>
      </c>
      <c r="R460" t="s">
        <v>42671</v>
      </c>
      <c r="S460" t="s">
        <v>42779</v>
      </c>
      <c r="T460" t="s">
        <v>44378</v>
      </c>
      <c r="U460" t="s">
        <v>45278</v>
      </c>
      <c r="W460" t="s">
        <v>38787</v>
      </c>
      <c r="X460" t="s">
        <v>42673</v>
      </c>
    </row>
    <row r="461" spans="1:24">
      <c r="A461">
        <f>HYPERLINK("https://www.philgeps.gov.ph/GEPSNONPILOT/Tender/SplashBidNoticeAbstractUI.aspx?menuIndex=3&amp;refID=7193507&amp;Result=3","7193507")</f>
        <v>0</v>
      </c>
      <c r="B461" t="s">
        <v>203</v>
      </c>
      <c r="C461" t="s">
        <v>3958</v>
      </c>
      <c r="D461" t="s">
        <v>17156</v>
      </c>
      <c r="E461" t="s">
        <v>17688</v>
      </c>
      <c r="F461" t="s">
        <v>29372</v>
      </c>
      <c r="G461" t="s">
        <v>29380</v>
      </c>
      <c r="H461" t="s">
        <v>11048</v>
      </c>
      <c r="I461" t="s">
        <v>3839</v>
      </c>
      <c r="J461" t="s">
        <v>29914</v>
      </c>
      <c r="K461" t="s">
        <v>38496</v>
      </c>
      <c r="M461" t="s">
        <v>38960</v>
      </c>
      <c r="N461" t="s">
        <v>42669</v>
      </c>
      <c r="O461" t="s">
        <v>42670</v>
      </c>
      <c r="P461">
        <v>0</v>
      </c>
      <c r="Q461">
        <v>0</v>
      </c>
      <c r="R461" t="s">
        <v>42671</v>
      </c>
      <c r="S461" t="s">
        <v>42779</v>
      </c>
      <c r="T461" t="s">
        <v>44438</v>
      </c>
      <c r="U461" t="s">
        <v>45279</v>
      </c>
      <c r="W461" t="s">
        <v>38960</v>
      </c>
      <c r="X461" t="s">
        <v>42674</v>
      </c>
    </row>
    <row r="462" spans="1:24">
      <c r="A462">
        <f>HYPERLINK("https://www.philgeps.gov.ph/GEPSNONPILOT/Tender/SplashBidNoticeAbstractUI.aspx?menuIndex=3&amp;refID=7193892&amp;Result=3","7193892")</f>
        <v>0</v>
      </c>
      <c r="B462" t="s">
        <v>34</v>
      </c>
      <c r="C462" t="s">
        <v>3959</v>
      </c>
      <c r="D462" t="s">
        <v>17148</v>
      </c>
      <c r="E462" t="s">
        <v>17689</v>
      </c>
      <c r="F462" t="s">
        <v>29372</v>
      </c>
      <c r="G462" t="s">
        <v>29379</v>
      </c>
      <c r="H462" t="s">
        <v>11048</v>
      </c>
      <c r="I462" t="s">
        <v>29411</v>
      </c>
      <c r="J462" t="s">
        <v>29915</v>
      </c>
      <c r="K462" t="s">
        <v>38485</v>
      </c>
      <c r="M462" t="s">
        <v>38787</v>
      </c>
      <c r="N462" t="s">
        <v>42669</v>
      </c>
      <c r="O462" t="s">
        <v>42670</v>
      </c>
      <c r="P462">
        <v>0</v>
      </c>
      <c r="Q462">
        <v>2</v>
      </c>
      <c r="R462" t="s">
        <v>42671</v>
      </c>
      <c r="S462" t="s">
        <v>42779</v>
      </c>
      <c r="T462" t="s">
        <v>44378</v>
      </c>
      <c r="U462" t="s">
        <v>45280</v>
      </c>
      <c r="W462" t="s">
        <v>38787</v>
      </c>
      <c r="X462" t="s">
        <v>42673</v>
      </c>
    </row>
    <row r="463" spans="1:24">
      <c r="A463">
        <f>HYPERLINK("https://www.philgeps.gov.ph/GEPSNONPILOT/Tender/SplashBidNoticeAbstractUI.aspx?menuIndex=3&amp;refID=7193789&amp;Result=3","7193789")</f>
        <v>0</v>
      </c>
      <c r="B463" t="s">
        <v>204</v>
      </c>
      <c r="C463" t="s">
        <v>3960</v>
      </c>
      <c r="D463" t="s">
        <v>17189</v>
      </c>
      <c r="E463" t="s">
        <v>17690</v>
      </c>
      <c r="F463" t="s">
        <v>29372</v>
      </c>
      <c r="G463" t="s">
        <v>29383</v>
      </c>
      <c r="H463" t="s">
        <v>11048</v>
      </c>
      <c r="I463" t="s">
        <v>29429</v>
      </c>
      <c r="J463" t="s">
        <v>29916</v>
      </c>
      <c r="K463" t="s">
        <v>38491</v>
      </c>
      <c r="M463" t="s">
        <v>38961</v>
      </c>
      <c r="N463" t="s">
        <v>42669</v>
      </c>
      <c r="O463" t="s">
        <v>42670</v>
      </c>
      <c r="P463">
        <v>0</v>
      </c>
      <c r="Q463">
        <v>1</v>
      </c>
      <c r="R463" t="s">
        <v>42671</v>
      </c>
      <c r="S463" t="s">
        <v>42779</v>
      </c>
      <c r="T463" t="s">
        <v>44394</v>
      </c>
      <c r="U463" t="s">
        <v>45281</v>
      </c>
      <c r="W463" t="s">
        <v>38961</v>
      </c>
      <c r="X463" t="s">
        <v>42673</v>
      </c>
    </row>
    <row r="464" spans="1:24">
      <c r="A464">
        <f>HYPERLINK("https://www.philgeps.gov.ph/GEPSNONPILOT/Tender/SplashBidNoticeAbstractUI.aspx?menuIndex=3&amp;refID=7193886&amp;Result=3","7193886")</f>
        <v>0</v>
      </c>
      <c r="B464" t="s">
        <v>205</v>
      </c>
      <c r="C464" t="s">
        <v>3961</v>
      </c>
      <c r="D464" t="s">
        <v>17179</v>
      </c>
      <c r="E464" t="s">
        <v>17691</v>
      </c>
      <c r="F464" t="s">
        <v>29372</v>
      </c>
      <c r="G464" t="s">
        <v>29380</v>
      </c>
      <c r="H464" t="s">
        <v>11048</v>
      </c>
      <c r="I464" t="s">
        <v>4709</v>
      </c>
      <c r="J464" t="s">
        <v>29917</v>
      </c>
      <c r="K464" t="s">
        <v>38491</v>
      </c>
      <c r="M464" t="s">
        <v>38962</v>
      </c>
      <c r="N464" t="s">
        <v>42669</v>
      </c>
      <c r="O464" t="s">
        <v>42670</v>
      </c>
      <c r="P464">
        <v>0</v>
      </c>
      <c r="Q464">
        <v>0</v>
      </c>
      <c r="R464" t="s">
        <v>42671</v>
      </c>
      <c r="S464" t="s">
        <v>42779</v>
      </c>
      <c r="T464" t="s">
        <v>44439</v>
      </c>
      <c r="U464" t="s">
        <v>45282</v>
      </c>
      <c r="V464" t="s">
        <v>56398</v>
      </c>
      <c r="W464" t="s">
        <v>58005</v>
      </c>
      <c r="X464" t="s">
        <v>42673</v>
      </c>
    </row>
    <row r="465" spans="1:24">
      <c r="A465">
        <f>HYPERLINK("https://www.philgeps.gov.ph/GEPSNONPILOT/Tender/SplashBidNoticeAbstractUI.aspx?menuIndex=3&amp;refID=7193500&amp;Result=3","7193500")</f>
        <v>0</v>
      </c>
      <c r="B465" t="s">
        <v>206</v>
      </c>
      <c r="C465" t="s">
        <v>3962</v>
      </c>
      <c r="D465" t="s">
        <v>17162</v>
      </c>
      <c r="E465" t="s">
        <v>17692</v>
      </c>
      <c r="F465" t="s">
        <v>29372</v>
      </c>
      <c r="G465" t="s">
        <v>29382</v>
      </c>
      <c r="H465" t="s">
        <v>11048</v>
      </c>
      <c r="I465" t="s">
        <v>4487</v>
      </c>
      <c r="J465" t="s">
        <v>29918</v>
      </c>
      <c r="K465" t="s">
        <v>38489</v>
      </c>
      <c r="M465" t="s">
        <v>38963</v>
      </c>
      <c r="N465" t="s">
        <v>42669</v>
      </c>
      <c r="O465" t="s">
        <v>42670</v>
      </c>
      <c r="P465">
        <v>0</v>
      </c>
      <c r="Q465">
        <v>1</v>
      </c>
      <c r="R465" t="s">
        <v>42671</v>
      </c>
      <c r="S465" t="s">
        <v>42779</v>
      </c>
      <c r="T465" t="s">
        <v>44387</v>
      </c>
      <c r="U465" t="s">
        <v>45283</v>
      </c>
      <c r="W465" t="s">
        <v>38963</v>
      </c>
      <c r="X465" t="s">
        <v>42674</v>
      </c>
    </row>
    <row r="466" spans="1:24">
      <c r="A466">
        <f>HYPERLINK("https://www.philgeps.gov.ph/GEPSNONPILOT/Tender/SplashBidNoticeAbstractUI.aspx?menuIndex=3&amp;refID=7193883&amp;Result=3","7193883")</f>
        <v>0</v>
      </c>
      <c r="B466" t="s">
        <v>207</v>
      </c>
      <c r="C466" t="s">
        <v>3963</v>
      </c>
      <c r="D466" t="s">
        <v>17157</v>
      </c>
      <c r="E466" t="s">
        <v>17693</v>
      </c>
      <c r="F466" t="s">
        <v>29372</v>
      </c>
      <c r="G466" t="s">
        <v>29380</v>
      </c>
      <c r="H466" t="s">
        <v>11048</v>
      </c>
      <c r="I466" t="s">
        <v>29407</v>
      </c>
      <c r="J466" t="s">
        <v>29919</v>
      </c>
      <c r="K466" t="s">
        <v>38491</v>
      </c>
      <c r="M466" t="s">
        <v>38964</v>
      </c>
      <c r="N466" t="s">
        <v>42669</v>
      </c>
      <c r="O466" t="s">
        <v>42670</v>
      </c>
      <c r="P466">
        <v>0</v>
      </c>
      <c r="Q466">
        <v>12</v>
      </c>
      <c r="R466" t="s">
        <v>42671</v>
      </c>
      <c r="S466" t="s">
        <v>42779</v>
      </c>
      <c r="T466" t="s">
        <v>44440</v>
      </c>
      <c r="U466" t="s">
        <v>45284</v>
      </c>
      <c r="W466" t="s">
        <v>38964</v>
      </c>
      <c r="X466" t="s">
        <v>42673</v>
      </c>
    </row>
    <row r="467" spans="1:24">
      <c r="A467">
        <f>HYPERLINK("https://www.philgeps.gov.ph/GEPSNONPILOT/Tender/SplashBidNoticeAbstractUI.aspx?menuIndex=3&amp;refID=7193876&amp;Result=3","7193876")</f>
        <v>0</v>
      </c>
      <c r="B467" t="s">
        <v>208</v>
      </c>
      <c r="C467" t="s">
        <v>3964</v>
      </c>
      <c r="D467" t="s">
        <v>17197</v>
      </c>
      <c r="E467" t="s">
        <v>17694</v>
      </c>
      <c r="F467" t="s">
        <v>29372</v>
      </c>
      <c r="G467" t="s">
        <v>29379</v>
      </c>
      <c r="H467" t="s">
        <v>11048</v>
      </c>
      <c r="I467" t="s">
        <v>4709</v>
      </c>
      <c r="J467" t="s">
        <v>29920</v>
      </c>
      <c r="K467" t="s">
        <v>38491</v>
      </c>
      <c r="M467" t="s">
        <v>38965</v>
      </c>
      <c r="N467" t="s">
        <v>42669</v>
      </c>
      <c r="O467" t="s">
        <v>42670</v>
      </c>
      <c r="P467">
        <v>0</v>
      </c>
      <c r="Q467">
        <v>0</v>
      </c>
      <c r="R467" t="s">
        <v>42671</v>
      </c>
      <c r="S467" t="s">
        <v>42779</v>
      </c>
      <c r="T467" t="s">
        <v>44387</v>
      </c>
      <c r="U467" t="s">
        <v>45285</v>
      </c>
      <c r="W467" t="s">
        <v>38965</v>
      </c>
      <c r="X467" t="s">
        <v>42673</v>
      </c>
    </row>
    <row r="468" spans="1:24">
      <c r="A468">
        <f>HYPERLINK("https://www.philgeps.gov.ph/GEPSNONPILOT/Tender/SplashBidNoticeAbstractUI.aspx?menuIndex=3&amp;refID=7193902&amp;Result=3","7193902")</f>
        <v>0</v>
      </c>
      <c r="B468" t="s">
        <v>209</v>
      </c>
      <c r="C468" t="s">
        <v>3965</v>
      </c>
      <c r="D468" t="s">
        <v>17149</v>
      </c>
      <c r="E468" t="s">
        <v>17695</v>
      </c>
      <c r="F468" t="s">
        <v>29372</v>
      </c>
      <c r="G468" t="s">
        <v>29381</v>
      </c>
      <c r="H468" t="s">
        <v>11048</v>
      </c>
      <c r="I468" t="s">
        <v>29439</v>
      </c>
      <c r="J468" t="s">
        <v>29587</v>
      </c>
      <c r="K468" t="s">
        <v>38485</v>
      </c>
      <c r="M468" t="s">
        <v>38966</v>
      </c>
      <c r="N468" t="s">
        <v>42669</v>
      </c>
      <c r="O468" t="s">
        <v>42670</v>
      </c>
      <c r="P468">
        <v>0</v>
      </c>
      <c r="Q468">
        <v>0</v>
      </c>
      <c r="R468" t="s">
        <v>42671</v>
      </c>
      <c r="S468" t="s">
        <v>42779</v>
      </c>
      <c r="T468" t="s">
        <v>44393</v>
      </c>
      <c r="U468" t="s">
        <v>45286</v>
      </c>
      <c r="W468" t="s">
        <v>38966</v>
      </c>
      <c r="X468" t="s">
        <v>42673</v>
      </c>
    </row>
    <row r="469" spans="1:24">
      <c r="A469">
        <f>HYPERLINK("https://www.philgeps.gov.ph/GEPSNONPILOT/Tender/SplashBidNoticeAbstractUI.aspx?menuIndex=3&amp;refID=7193873&amp;Result=3","7193873")</f>
        <v>0</v>
      </c>
      <c r="B469" t="s">
        <v>208</v>
      </c>
      <c r="C469" t="s">
        <v>3966</v>
      </c>
      <c r="D469" t="s">
        <v>17197</v>
      </c>
      <c r="E469" t="s">
        <v>17696</v>
      </c>
      <c r="F469" t="s">
        <v>29372</v>
      </c>
      <c r="G469" t="s">
        <v>29379</v>
      </c>
      <c r="H469" t="s">
        <v>11048</v>
      </c>
      <c r="I469" t="s">
        <v>4709</v>
      </c>
      <c r="J469" t="s">
        <v>29921</v>
      </c>
      <c r="K469" t="s">
        <v>38491</v>
      </c>
      <c r="M469" t="s">
        <v>38965</v>
      </c>
      <c r="N469" t="s">
        <v>42669</v>
      </c>
      <c r="O469" t="s">
        <v>42670</v>
      </c>
      <c r="P469">
        <v>0</v>
      </c>
      <c r="Q469">
        <v>0</v>
      </c>
      <c r="R469" t="s">
        <v>42671</v>
      </c>
      <c r="S469" t="s">
        <v>42779</v>
      </c>
      <c r="T469" t="s">
        <v>44387</v>
      </c>
      <c r="U469" t="s">
        <v>45287</v>
      </c>
      <c r="W469" t="s">
        <v>38965</v>
      </c>
      <c r="X469" t="s">
        <v>42673</v>
      </c>
    </row>
    <row r="470" spans="1:24">
      <c r="A470">
        <f>HYPERLINK("https://www.philgeps.gov.ph/GEPSNONPILOT/Tender/SplashBidNoticeAbstractUI.aspx?menuIndex=3&amp;refID=7193864&amp;Result=3","7193864")</f>
        <v>0</v>
      </c>
      <c r="B470" t="s">
        <v>49</v>
      </c>
      <c r="C470" t="s">
        <v>3967</v>
      </c>
      <c r="D470" t="s">
        <v>17156</v>
      </c>
      <c r="E470" t="s">
        <v>17697</v>
      </c>
      <c r="F470" t="s">
        <v>29372</v>
      </c>
      <c r="G470" t="s">
        <v>29379</v>
      </c>
      <c r="H470" t="s">
        <v>11048</v>
      </c>
      <c r="I470" t="s">
        <v>8208</v>
      </c>
      <c r="J470" t="s">
        <v>29922</v>
      </c>
      <c r="K470" t="s">
        <v>38510</v>
      </c>
      <c r="L470" t="s">
        <v>49</v>
      </c>
      <c r="M470" t="s">
        <v>38802</v>
      </c>
      <c r="N470" t="s">
        <v>42669</v>
      </c>
      <c r="O470" t="s">
        <v>42670</v>
      </c>
      <c r="P470">
        <v>0</v>
      </c>
      <c r="Q470">
        <v>0</v>
      </c>
      <c r="R470" t="s">
        <v>42671</v>
      </c>
      <c r="S470" t="s">
        <v>42779</v>
      </c>
      <c r="T470" t="s">
        <v>44414</v>
      </c>
      <c r="U470" t="s">
        <v>45276</v>
      </c>
      <c r="W470" t="s">
        <v>38802</v>
      </c>
      <c r="X470" t="s">
        <v>42673</v>
      </c>
    </row>
    <row r="471" spans="1:24">
      <c r="A471">
        <f>HYPERLINK("https://www.philgeps.gov.ph/GEPSNONPILOT/Tender/SplashBidNoticeAbstractUI.aspx?menuIndex=3&amp;refID=7193888&amp;Result=3","7193888")</f>
        <v>0</v>
      </c>
      <c r="B471" t="s">
        <v>210</v>
      </c>
      <c r="C471" t="s">
        <v>3968</v>
      </c>
      <c r="D471" t="s">
        <v>17172</v>
      </c>
      <c r="E471" t="s">
        <v>17698</v>
      </c>
      <c r="F471" t="s">
        <v>29372</v>
      </c>
      <c r="G471" t="s">
        <v>29380</v>
      </c>
      <c r="H471" t="s">
        <v>29389</v>
      </c>
      <c r="I471" t="s">
        <v>10408</v>
      </c>
      <c r="J471" t="s">
        <v>29923</v>
      </c>
      <c r="K471" t="s">
        <v>38551</v>
      </c>
      <c r="M471" t="s">
        <v>38967</v>
      </c>
      <c r="N471" t="s">
        <v>42669</v>
      </c>
      <c r="O471" t="s">
        <v>42670</v>
      </c>
      <c r="P471">
        <v>0</v>
      </c>
      <c r="Q471">
        <v>0</v>
      </c>
      <c r="R471" t="s">
        <v>42671</v>
      </c>
      <c r="S471" t="s">
        <v>42779</v>
      </c>
      <c r="T471" t="s">
        <v>44426</v>
      </c>
      <c r="U471" t="s">
        <v>45288</v>
      </c>
      <c r="W471" t="s">
        <v>38967</v>
      </c>
      <c r="X471" t="s">
        <v>42673</v>
      </c>
    </row>
    <row r="472" spans="1:24">
      <c r="A472">
        <f>HYPERLINK("https://www.philgeps.gov.ph/GEPSNONPILOT/Tender/SplashBidNoticeAbstractUI.aspx?menuIndex=3&amp;refID=7193862&amp;Result=3","7193862")</f>
        <v>0</v>
      </c>
      <c r="B472" t="s">
        <v>34</v>
      </c>
      <c r="C472" t="s">
        <v>3969</v>
      </c>
      <c r="D472" t="s">
        <v>17148</v>
      </c>
      <c r="E472" t="s">
        <v>17699</v>
      </c>
      <c r="F472" t="s">
        <v>29372</v>
      </c>
      <c r="G472" t="s">
        <v>29379</v>
      </c>
      <c r="H472" t="s">
        <v>11048</v>
      </c>
      <c r="I472" t="s">
        <v>29426</v>
      </c>
      <c r="J472" t="s">
        <v>29799</v>
      </c>
      <c r="K472" t="s">
        <v>38485</v>
      </c>
      <c r="M472" t="s">
        <v>38787</v>
      </c>
      <c r="N472" t="s">
        <v>42669</v>
      </c>
      <c r="O472" t="s">
        <v>42670</v>
      </c>
      <c r="P472">
        <v>0</v>
      </c>
      <c r="Q472">
        <v>1</v>
      </c>
      <c r="R472" t="s">
        <v>42671</v>
      </c>
      <c r="S472" t="s">
        <v>42779</v>
      </c>
      <c r="T472" t="s">
        <v>44378</v>
      </c>
      <c r="U472" t="s">
        <v>45289</v>
      </c>
      <c r="W472" t="s">
        <v>38787</v>
      </c>
      <c r="X472" t="s">
        <v>42673</v>
      </c>
    </row>
    <row r="473" spans="1:24">
      <c r="A473">
        <f>HYPERLINK("https://www.philgeps.gov.ph/GEPSNONPILOT/Tender/SplashBidNoticeAbstractUI.aspx?menuIndex=3&amp;refID=7193878&amp;Result=3","7193878")</f>
        <v>0</v>
      </c>
      <c r="B473" t="s">
        <v>174</v>
      </c>
      <c r="C473" t="s">
        <v>3970</v>
      </c>
      <c r="D473" t="s">
        <v>17162</v>
      </c>
      <c r="E473" t="s">
        <v>17700</v>
      </c>
      <c r="F473" t="s">
        <v>29372</v>
      </c>
      <c r="G473" t="s">
        <v>29380</v>
      </c>
      <c r="H473" t="s">
        <v>11048</v>
      </c>
      <c r="I473" t="s">
        <v>9469</v>
      </c>
      <c r="J473" t="s">
        <v>29924</v>
      </c>
      <c r="K473" t="s">
        <v>38488</v>
      </c>
      <c r="L473" t="s">
        <v>174</v>
      </c>
      <c r="M473" t="s">
        <v>38931</v>
      </c>
      <c r="N473" t="s">
        <v>42669</v>
      </c>
      <c r="O473" t="s">
        <v>42670</v>
      </c>
      <c r="P473">
        <v>0</v>
      </c>
      <c r="Q473">
        <v>4</v>
      </c>
      <c r="R473" t="s">
        <v>42671</v>
      </c>
      <c r="S473" t="s">
        <v>42779</v>
      </c>
      <c r="T473" t="s">
        <v>44381</v>
      </c>
      <c r="U473" t="s">
        <v>45254</v>
      </c>
      <c r="V473" t="s">
        <v>56399</v>
      </c>
      <c r="W473" t="s">
        <v>38931</v>
      </c>
      <c r="X473" t="s">
        <v>42673</v>
      </c>
    </row>
    <row r="474" spans="1:24">
      <c r="A474">
        <f>HYPERLINK("https://www.philgeps.gov.ph/GEPSNONPILOT/Tender/SplashBidNoticeAbstractUI.aspx?menuIndex=3&amp;refID=7193790&amp;Result=3","7193790")</f>
        <v>0</v>
      </c>
      <c r="B474" t="s">
        <v>211</v>
      </c>
      <c r="C474" t="s">
        <v>3971</v>
      </c>
      <c r="D474" t="s">
        <v>17159</v>
      </c>
      <c r="E474" t="s">
        <v>17533</v>
      </c>
      <c r="F474" t="s">
        <v>29372</v>
      </c>
      <c r="G474" t="s">
        <v>29380</v>
      </c>
      <c r="H474" t="s">
        <v>29389</v>
      </c>
      <c r="I474" t="s">
        <v>10408</v>
      </c>
      <c r="J474" t="s">
        <v>29555</v>
      </c>
      <c r="K474" t="s">
        <v>38518</v>
      </c>
      <c r="M474" t="s">
        <v>38968</v>
      </c>
      <c r="N474" t="s">
        <v>42669</v>
      </c>
      <c r="O474" t="s">
        <v>42670</v>
      </c>
      <c r="P474">
        <v>0</v>
      </c>
      <c r="Q474">
        <v>0</v>
      </c>
      <c r="R474" t="s">
        <v>42671</v>
      </c>
      <c r="S474" t="s">
        <v>42779</v>
      </c>
      <c r="T474" t="s">
        <v>44426</v>
      </c>
      <c r="U474" t="s">
        <v>45290</v>
      </c>
      <c r="W474" t="s">
        <v>38968</v>
      </c>
      <c r="X474" t="s">
        <v>42673</v>
      </c>
    </row>
    <row r="475" spans="1:24">
      <c r="A475">
        <f>HYPERLINK("https://www.philgeps.gov.ph/GEPSNONPILOT/Tender/SplashBidNoticeAbstractUI.aspx?menuIndex=3&amp;refID=7193854&amp;Result=3","7193854")</f>
        <v>0</v>
      </c>
      <c r="B475" t="s">
        <v>49</v>
      </c>
      <c r="C475" t="s">
        <v>3972</v>
      </c>
      <c r="D475" t="s">
        <v>17156</v>
      </c>
      <c r="E475" t="s">
        <v>17701</v>
      </c>
      <c r="F475" t="s">
        <v>29372</v>
      </c>
      <c r="G475" t="s">
        <v>29379</v>
      </c>
      <c r="H475" t="s">
        <v>11048</v>
      </c>
      <c r="I475" t="s">
        <v>8208</v>
      </c>
      <c r="J475" t="s">
        <v>29564</v>
      </c>
      <c r="K475" t="s">
        <v>38510</v>
      </c>
      <c r="L475" t="s">
        <v>49</v>
      </c>
      <c r="M475" t="s">
        <v>38802</v>
      </c>
      <c r="N475" t="s">
        <v>42669</v>
      </c>
      <c r="O475" t="s">
        <v>42670</v>
      </c>
      <c r="P475">
        <v>0</v>
      </c>
      <c r="Q475">
        <v>0</v>
      </c>
      <c r="R475" t="s">
        <v>42671</v>
      </c>
      <c r="S475" t="s">
        <v>42779</v>
      </c>
      <c r="T475" t="s">
        <v>44414</v>
      </c>
      <c r="U475" t="s">
        <v>45276</v>
      </c>
      <c r="W475" t="s">
        <v>38802</v>
      </c>
      <c r="X475" t="s">
        <v>42673</v>
      </c>
    </row>
    <row r="476" spans="1:24">
      <c r="A476">
        <f>HYPERLINK("https://www.philgeps.gov.ph/GEPSNONPILOT/Tender/SplashBidNoticeAbstractUI.aspx?menuIndex=3&amp;refID=7193869&amp;Result=3","7193869")</f>
        <v>0</v>
      </c>
      <c r="B476" t="s">
        <v>49</v>
      </c>
      <c r="C476" t="s">
        <v>3973</v>
      </c>
      <c r="D476" t="s">
        <v>17156</v>
      </c>
      <c r="E476" t="s">
        <v>17702</v>
      </c>
      <c r="F476" t="s">
        <v>29372</v>
      </c>
      <c r="G476" t="s">
        <v>29379</v>
      </c>
      <c r="H476" t="s">
        <v>11048</v>
      </c>
      <c r="I476" t="s">
        <v>29432</v>
      </c>
      <c r="J476" t="s">
        <v>29925</v>
      </c>
      <c r="K476" t="s">
        <v>38510</v>
      </c>
      <c r="L476" t="s">
        <v>49</v>
      </c>
      <c r="M476" t="s">
        <v>38802</v>
      </c>
      <c r="N476" t="s">
        <v>42669</v>
      </c>
      <c r="O476" t="s">
        <v>42670</v>
      </c>
      <c r="P476">
        <v>0</v>
      </c>
      <c r="Q476">
        <v>0</v>
      </c>
      <c r="R476" t="s">
        <v>42671</v>
      </c>
      <c r="S476" t="s">
        <v>42779</v>
      </c>
      <c r="T476" t="s">
        <v>44414</v>
      </c>
      <c r="U476" t="s">
        <v>45276</v>
      </c>
      <c r="W476" t="s">
        <v>38802</v>
      </c>
      <c r="X476" t="s">
        <v>42673</v>
      </c>
    </row>
    <row r="477" spans="1:24">
      <c r="A477">
        <f>HYPERLINK("https://www.philgeps.gov.ph/GEPSNONPILOT/Tender/SplashBidNoticeAbstractUI.aspx?menuIndex=3&amp;refID=7193863&amp;Result=3","7193863")</f>
        <v>0</v>
      </c>
      <c r="B477" t="s">
        <v>212</v>
      </c>
      <c r="C477" t="s">
        <v>3974</v>
      </c>
      <c r="D477" t="s">
        <v>17179</v>
      </c>
      <c r="E477" t="s">
        <v>17703</v>
      </c>
      <c r="F477" t="s">
        <v>29372</v>
      </c>
      <c r="G477" t="s">
        <v>29379</v>
      </c>
      <c r="H477" t="s">
        <v>11048</v>
      </c>
      <c r="I477" t="s">
        <v>3952</v>
      </c>
      <c r="J477" t="s">
        <v>29926</v>
      </c>
      <c r="K477" t="s">
        <v>38528</v>
      </c>
      <c r="M477" t="s">
        <v>38969</v>
      </c>
      <c r="N477" t="s">
        <v>42669</v>
      </c>
      <c r="O477" t="s">
        <v>42670</v>
      </c>
      <c r="P477">
        <v>0</v>
      </c>
      <c r="Q477">
        <v>1</v>
      </c>
      <c r="R477" t="s">
        <v>42671</v>
      </c>
      <c r="S477" t="s">
        <v>42779</v>
      </c>
      <c r="T477" t="s">
        <v>44378</v>
      </c>
      <c r="U477" t="s">
        <v>45291</v>
      </c>
      <c r="V477" t="s">
        <v>56400</v>
      </c>
      <c r="W477" t="s">
        <v>38969</v>
      </c>
      <c r="X477" t="s">
        <v>42673</v>
      </c>
    </row>
    <row r="478" spans="1:24">
      <c r="A478">
        <f>HYPERLINK("https://www.philgeps.gov.ph/GEPSNONPILOT/Tender/SplashBidNoticeAbstractUI.aspx?menuIndex=3&amp;refID=7193786&amp;Result=3","7193786")</f>
        <v>0</v>
      </c>
      <c r="B478" t="s">
        <v>204</v>
      </c>
      <c r="C478" t="s">
        <v>3975</v>
      </c>
      <c r="D478" t="s">
        <v>17189</v>
      </c>
      <c r="E478" t="s">
        <v>17704</v>
      </c>
      <c r="F478" t="s">
        <v>29372</v>
      </c>
      <c r="G478" t="s">
        <v>29383</v>
      </c>
      <c r="H478" t="s">
        <v>11048</v>
      </c>
      <c r="I478" t="s">
        <v>3670</v>
      </c>
      <c r="J478" t="s">
        <v>29927</v>
      </c>
      <c r="K478" t="s">
        <v>38491</v>
      </c>
      <c r="M478" t="s">
        <v>38961</v>
      </c>
      <c r="N478" t="s">
        <v>42669</v>
      </c>
      <c r="O478" t="s">
        <v>42670</v>
      </c>
      <c r="P478">
        <v>0</v>
      </c>
      <c r="Q478">
        <v>1</v>
      </c>
      <c r="R478" t="s">
        <v>42671</v>
      </c>
      <c r="S478" t="s">
        <v>42779</v>
      </c>
      <c r="T478" t="s">
        <v>44394</v>
      </c>
      <c r="U478" t="s">
        <v>45292</v>
      </c>
      <c r="W478" t="s">
        <v>38961</v>
      </c>
      <c r="X478" t="s">
        <v>42673</v>
      </c>
    </row>
    <row r="479" spans="1:24">
      <c r="A479">
        <f>HYPERLINK("https://www.philgeps.gov.ph/GEPSNONPILOT/Tender/SplashBidNoticeAbstractUI.aspx?menuIndex=3&amp;refID=7192508&amp;Result=3","7192508")</f>
        <v>0</v>
      </c>
      <c r="B479" t="s">
        <v>140</v>
      </c>
      <c r="C479" t="s">
        <v>3976</v>
      </c>
      <c r="D479" t="s">
        <v>17170</v>
      </c>
      <c r="E479" t="s">
        <v>17705</v>
      </c>
      <c r="F479" t="s">
        <v>29372</v>
      </c>
      <c r="G479" t="s">
        <v>29380</v>
      </c>
      <c r="H479" t="s">
        <v>11048</v>
      </c>
      <c r="I479" t="s">
        <v>29407</v>
      </c>
      <c r="J479" t="s">
        <v>29928</v>
      </c>
      <c r="K479" t="s">
        <v>38485</v>
      </c>
      <c r="M479" t="s">
        <v>38895</v>
      </c>
      <c r="N479" t="s">
        <v>42669</v>
      </c>
      <c r="O479" t="s">
        <v>42670</v>
      </c>
      <c r="P479">
        <v>0</v>
      </c>
      <c r="Q479">
        <v>5</v>
      </c>
      <c r="R479" t="s">
        <v>42671</v>
      </c>
      <c r="S479" t="s">
        <v>42779</v>
      </c>
      <c r="T479" t="s">
        <v>44351</v>
      </c>
      <c r="U479" t="s">
        <v>45116</v>
      </c>
      <c r="W479" t="s">
        <v>38895</v>
      </c>
      <c r="X479" t="s">
        <v>42676</v>
      </c>
    </row>
    <row r="480" spans="1:24">
      <c r="A480">
        <f>HYPERLINK("https://www.philgeps.gov.ph/GEPSNONPILOT/Tender/SplashBidNoticeAbstractUI.aspx?menuIndex=3&amp;refID=7193956&amp;Result=3","7193956")</f>
        <v>0</v>
      </c>
      <c r="B480" t="s">
        <v>213</v>
      </c>
      <c r="C480" t="s">
        <v>3977</v>
      </c>
      <c r="D480" t="s">
        <v>17201</v>
      </c>
      <c r="E480" t="s">
        <v>17706</v>
      </c>
      <c r="F480" t="s">
        <v>29372</v>
      </c>
      <c r="G480" t="s">
        <v>29381</v>
      </c>
      <c r="H480" t="s">
        <v>11048</v>
      </c>
      <c r="I480" t="s">
        <v>3695</v>
      </c>
      <c r="J480" t="s">
        <v>29708</v>
      </c>
      <c r="K480" t="s">
        <v>38518</v>
      </c>
      <c r="M480" t="s">
        <v>38970</v>
      </c>
      <c r="N480" t="s">
        <v>42669</v>
      </c>
      <c r="O480" t="s">
        <v>42670</v>
      </c>
      <c r="P480">
        <v>0</v>
      </c>
      <c r="Q480">
        <v>2</v>
      </c>
      <c r="R480" t="s">
        <v>42671</v>
      </c>
      <c r="S480" t="s">
        <v>42779</v>
      </c>
      <c r="T480" t="s">
        <v>44405</v>
      </c>
      <c r="U480" t="s">
        <v>45293</v>
      </c>
      <c r="W480" t="s">
        <v>38970</v>
      </c>
      <c r="X480" t="s">
        <v>42673</v>
      </c>
    </row>
    <row r="481" spans="1:24">
      <c r="A481">
        <f>HYPERLINK("https://www.philgeps.gov.ph/GEPSNONPILOT/Tender/SplashBidNoticeAbstractUI.aspx?menuIndex=3&amp;refID=7193857&amp;Result=3","7193857")</f>
        <v>0</v>
      </c>
      <c r="B481" t="s">
        <v>49</v>
      </c>
      <c r="C481" t="s">
        <v>3978</v>
      </c>
      <c r="D481" t="s">
        <v>17156</v>
      </c>
      <c r="E481" t="s">
        <v>17707</v>
      </c>
      <c r="F481" t="s">
        <v>29372</v>
      </c>
      <c r="G481" t="s">
        <v>29379</v>
      </c>
      <c r="H481" t="s">
        <v>11048</v>
      </c>
      <c r="I481" t="s">
        <v>29409</v>
      </c>
      <c r="J481" t="s">
        <v>29929</v>
      </c>
      <c r="K481" t="s">
        <v>38510</v>
      </c>
      <c r="L481" t="s">
        <v>49</v>
      </c>
      <c r="M481" t="s">
        <v>38802</v>
      </c>
      <c r="N481" t="s">
        <v>42669</v>
      </c>
      <c r="O481" t="s">
        <v>42670</v>
      </c>
      <c r="P481">
        <v>0</v>
      </c>
      <c r="Q481">
        <v>6</v>
      </c>
      <c r="R481" t="s">
        <v>42671</v>
      </c>
      <c r="S481" t="s">
        <v>42779</v>
      </c>
      <c r="T481" t="s">
        <v>44414</v>
      </c>
      <c r="U481" t="s">
        <v>45276</v>
      </c>
      <c r="W481" t="s">
        <v>38802</v>
      </c>
      <c r="X481" t="s">
        <v>42673</v>
      </c>
    </row>
    <row r="482" spans="1:24">
      <c r="A482">
        <f>HYPERLINK("https://www.philgeps.gov.ph/GEPSNONPILOT/Tender/SplashBidNoticeAbstractUI.aspx?menuIndex=3&amp;refID=7193856&amp;Result=3","7193856")</f>
        <v>0</v>
      </c>
      <c r="B482" t="s">
        <v>174</v>
      </c>
      <c r="C482" t="s">
        <v>3979</v>
      </c>
      <c r="D482" t="s">
        <v>17162</v>
      </c>
      <c r="E482" t="s">
        <v>17708</v>
      </c>
      <c r="F482" t="s">
        <v>29372</v>
      </c>
      <c r="G482" t="s">
        <v>29380</v>
      </c>
      <c r="H482" t="s">
        <v>11048</v>
      </c>
      <c r="I482" t="s">
        <v>6417</v>
      </c>
      <c r="J482" t="s">
        <v>29708</v>
      </c>
      <c r="K482" t="s">
        <v>38488</v>
      </c>
      <c r="L482" t="s">
        <v>174</v>
      </c>
      <c r="M482" t="s">
        <v>38931</v>
      </c>
      <c r="N482" t="s">
        <v>42669</v>
      </c>
      <c r="O482" t="s">
        <v>42670</v>
      </c>
      <c r="P482">
        <v>0</v>
      </c>
      <c r="Q482">
        <v>0</v>
      </c>
      <c r="R482" t="s">
        <v>42671</v>
      </c>
      <c r="S482" t="s">
        <v>42779</v>
      </c>
      <c r="T482" t="s">
        <v>44381</v>
      </c>
      <c r="U482" t="s">
        <v>45254</v>
      </c>
      <c r="V482" t="s">
        <v>56380</v>
      </c>
      <c r="W482" t="s">
        <v>38931</v>
      </c>
      <c r="X482" t="s">
        <v>42673</v>
      </c>
    </row>
    <row r="483" spans="1:24">
      <c r="A483">
        <f>HYPERLINK("https://www.philgeps.gov.ph/GEPSNONPILOT/Tender/SplashBidNoticeAbstractUI.aspx?menuIndex=3&amp;refID=7193970&amp;Result=3","7193970")</f>
        <v>0</v>
      </c>
      <c r="B483" t="s">
        <v>42</v>
      </c>
      <c r="C483" t="s">
        <v>3980</v>
      </c>
      <c r="D483" t="s">
        <v>17154</v>
      </c>
      <c r="E483" t="s">
        <v>17709</v>
      </c>
      <c r="F483" t="s">
        <v>29372</v>
      </c>
      <c r="G483" t="s">
        <v>29380</v>
      </c>
      <c r="H483" t="s">
        <v>29389</v>
      </c>
      <c r="I483" t="s">
        <v>10408</v>
      </c>
      <c r="J483" t="s">
        <v>29930</v>
      </c>
      <c r="K483" t="s">
        <v>38496</v>
      </c>
      <c r="M483" t="s">
        <v>38795</v>
      </c>
      <c r="N483" t="s">
        <v>42669</v>
      </c>
      <c r="O483" t="s">
        <v>42670</v>
      </c>
      <c r="P483">
        <v>0</v>
      </c>
      <c r="Q483">
        <v>0</v>
      </c>
      <c r="R483" t="s">
        <v>42671</v>
      </c>
      <c r="S483" t="s">
        <v>42779</v>
      </c>
      <c r="T483" t="s">
        <v>44361</v>
      </c>
      <c r="U483" t="s">
        <v>45294</v>
      </c>
      <c r="W483" t="s">
        <v>38795</v>
      </c>
      <c r="X483" t="s">
        <v>42673</v>
      </c>
    </row>
    <row r="484" spans="1:24">
      <c r="A484">
        <f>HYPERLINK("https://www.philgeps.gov.ph/GEPSNONPILOT/Tender/SplashBidNoticeAbstractUI.aspx?menuIndex=3&amp;refID=7193852&amp;Result=3","7193852")</f>
        <v>0</v>
      </c>
      <c r="B484" t="s">
        <v>174</v>
      </c>
      <c r="C484" t="s">
        <v>3981</v>
      </c>
      <c r="D484" t="s">
        <v>17162</v>
      </c>
      <c r="E484" t="s">
        <v>17710</v>
      </c>
      <c r="F484" t="s">
        <v>29372</v>
      </c>
      <c r="G484" t="s">
        <v>29380</v>
      </c>
      <c r="H484" t="s">
        <v>11048</v>
      </c>
      <c r="I484" t="s">
        <v>6417</v>
      </c>
      <c r="J484" t="s">
        <v>29931</v>
      </c>
      <c r="K484" t="s">
        <v>38488</v>
      </c>
      <c r="L484" t="s">
        <v>174</v>
      </c>
      <c r="M484" t="s">
        <v>38931</v>
      </c>
      <c r="N484" t="s">
        <v>42669</v>
      </c>
      <c r="O484" t="s">
        <v>42670</v>
      </c>
      <c r="P484">
        <v>0</v>
      </c>
      <c r="Q484">
        <v>0</v>
      </c>
      <c r="R484" t="s">
        <v>42671</v>
      </c>
      <c r="S484" t="s">
        <v>42779</v>
      </c>
      <c r="T484" t="s">
        <v>44412</v>
      </c>
      <c r="U484" t="s">
        <v>45254</v>
      </c>
      <c r="V484" t="s">
        <v>56380</v>
      </c>
      <c r="W484" t="s">
        <v>38931</v>
      </c>
      <c r="X484" t="s">
        <v>42673</v>
      </c>
    </row>
    <row r="485" spans="1:24">
      <c r="A485">
        <f>HYPERLINK("https://www.philgeps.gov.ph/GEPSNONPILOT/Tender/SplashBidNoticeAbstractUI.aspx?menuIndex=3&amp;refID=7193959&amp;Result=3","7193959")</f>
        <v>0</v>
      </c>
      <c r="B485" t="s">
        <v>213</v>
      </c>
      <c r="C485" t="s">
        <v>3982</v>
      </c>
      <c r="D485" t="s">
        <v>17201</v>
      </c>
      <c r="E485" t="s">
        <v>17711</v>
      </c>
      <c r="F485" t="s">
        <v>29372</v>
      </c>
      <c r="G485" t="s">
        <v>29380</v>
      </c>
      <c r="H485" t="s">
        <v>11048</v>
      </c>
      <c r="I485" t="s">
        <v>5383</v>
      </c>
      <c r="J485" t="s">
        <v>29932</v>
      </c>
      <c r="K485" t="s">
        <v>38518</v>
      </c>
      <c r="M485" t="s">
        <v>38970</v>
      </c>
      <c r="N485" t="s">
        <v>42669</v>
      </c>
      <c r="O485" t="s">
        <v>42670</v>
      </c>
      <c r="P485">
        <v>0</v>
      </c>
      <c r="Q485">
        <v>0</v>
      </c>
      <c r="R485" t="s">
        <v>42671</v>
      </c>
      <c r="S485" t="s">
        <v>42779</v>
      </c>
      <c r="T485" t="s">
        <v>44405</v>
      </c>
      <c r="U485" t="s">
        <v>45295</v>
      </c>
      <c r="W485" t="s">
        <v>38970</v>
      </c>
      <c r="X485" t="s">
        <v>42673</v>
      </c>
    </row>
    <row r="486" spans="1:24">
      <c r="A486">
        <f>HYPERLINK("https://www.philgeps.gov.ph/GEPSNONPILOT/Tender/SplashBidNoticeAbstractUI.aspx?menuIndex=3&amp;refID=7193957&amp;Result=3","7193957")</f>
        <v>0</v>
      </c>
      <c r="B486" t="s">
        <v>213</v>
      </c>
      <c r="C486" t="s">
        <v>3983</v>
      </c>
      <c r="D486" t="s">
        <v>17201</v>
      </c>
      <c r="E486" t="s">
        <v>17712</v>
      </c>
      <c r="F486" t="s">
        <v>29372</v>
      </c>
      <c r="G486" t="s">
        <v>29380</v>
      </c>
      <c r="H486" t="s">
        <v>11048</v>
      </c>
      <c r="I486" t="s">
        <v>3695</v>
      </c>
      <c r="J486" t="s">
        <v>29933</v>
      </c>
      <c r="K486" t="s">
        <v>38518</v>
      </c>
      <c r="M486" t="s">
        <v>38970</v>
      </c>
      <c r="N486" t="s">
        <v>42669</v>
      </c>
      <c r="O486" t="s">
        <v>42670</v>
      </c>
      <c r="P486">
        <v>0</v>
      </c>
      <c r="Q486">
        <v>3</v>
      </c>
      <c r="R486" t="s">
        <v>42671</v>
      </c>
      <c r="S486" t="s">
        <v>42779</v>
      </c>
      <c r="T486" t="s">
        <v>44405</v>
      </c>
      <c r="U486" t="s">
        <v>45295</v>
      </c>
      <c r="W486" t="s">
        <v>38970</v>
      </c>
      <c r="X486" t="s">
        <v>42673</v>
      </c>
    </row>
    <row r="487" spans="1:24">
      <c r="A487">
        <f>HYPERLINK("https://www.philgeps.gov.ph/GEPSNONPILOT/Tender/SplashBidNoticeAbstractUI.aspx?menuIndex=3&amp;refID=7193849&amp;Result=3","7193849")</f>
        <v>0</v>
      </c>
      <c r="B487" t="s">
        <v>49</v>
      </c>
      <c r="C487" t="s">
        <v>3984</v>
      </c>
      <c r="D487" t="s">
        <v>17156</v>
      </c>
      <c r="E487" t="s">
        <v>17713</v>
      </c>
      <c r="F487" t="s">
        <v>29372</v>
      </c>
      <c r="G487" t="s">
        <v>29379</v>
      </c>
      <c r="H487" t="s">
        <v>11048</v>
      </c>
      <c r="I487" t="s">
        <v>9469</v>
      </c>
      <c r="J487" t="s">
        <v>29882</v>
      </c>
      <c r="K487" t="s">
        <v>38487</v>
      </c>
      <c r="L487" t="s">
        <v>49</v>
      </c>
      <c r="M487" t="s">
        <v>38802</v>
      </c>
      <c r="N487" t="s">
        <v>42669</v>
      </c>
      <c r="O487" t="s">
        <v>42670</v>
      </c>
      <c r="P487">
        <v>0</v>
      </c>
      <c r="Q487">
        <v>0</v>
      </c>
      <c r="R487" t="s">
        <v>42671</v>
      </c>
      <c r="S487" t="s">
        <v>42779</v>
      </c>
      <c r="T487" t="s">
        <v>44414</v>
      </c>
      <c r="U487" t="s">
        <v>45276</v>
      </c>
      <c r="W487" t="s">
        <v>38802</v>
      </c>
      <c r="X487" t="s">
        <v>42673</v>
      </c>
    </row>
    <row r="488" spans="1:24">
      <c r="A488">
        <f>HYPERLINK("https://www.philgeps.gov.ph/GEPSNONPILOT/Tender/SplashBidNoticeAbstractUI.aspx?menuIndex=3&amp;refID=7193953&amp;Result=3","7193953")</f>
        <v>0</v>
      </c>
      <c r="B488" t="s">
        <v>214</v>
      </c>
      <c r="C488" t="s">
        <v>3985</v>
      </c>
      <c r="D488" t="s">
        <v>17142</v>
      </c>
      <c r="E488" t="s">
        <v>17714</v>
      </c>
      <c r="F488" t="s">
        <v>29372</v>
      </c>
      <c r="G488" t="s">
        <v>29379</v>
      </c>
      <c r="H488" t="s">
        <v>11048</v>
      </c>
      <c r="I488" t="s">
        <v>14920</v>
      </c>
      <c r="J488" t="s">
        <v>29934</v>
      </c>
      <c r="K488" t="s">
        <v>38510</v>
      </c>
      <c r="M488" t="s">
        <v>38971</v>
      </c>
      <c r="N488" t="s">
        <v>42669</v>
      </c>
      <c r="O488" t="s">
        <v>42670</v>
      </c>
      <c r="P488">
        <v>0</v>
      </c>
      <c r="Q488">
        <v>0</v>
      </c>
      <c r="R488" t="s">
        <v>42671</v>
      </c>
      <c r="S488" t="s">
        <v>42779</v>
      </c>
      <c r="T488" t="s">
        <v>44371</v>
      </c>
      <c r="U488" t="s">
        <v>45296</v>
      </c>
      <c r="W488" t="s">
        <v>38971</v>
      </c>
      <c r="X488" t="s">
        <v>42673</v>
      </c>
    </row>
    <row r="489" spans="1:24">
      <c r="A489">
        <f>HYPERLINK("https://www.philgeps.gov.ph/GEPSNONPILOT/Tender/SplashBidNoticeAbstractUI.aspx?menuIndex=3&amp;refID=7193946&amp;Result=3","7193946")</f>
        <v>0</v>
      </c>
      <c r="B489" t="s">
        <v>181</v>
      </c>
      <c r="C489" t="s">
        <v>3986</v>
      </c>
      <c r="D489" t="s">
        <v>17187</v>
      </c>
      <c r="E489" t="s">
        <v>17715</v>
      </c>
      <c r="F489" t="s">
        <v>29372</v>
      </c>
      <c r="G489" t="s">
        <v>29379</v>
      </c>
      <c r="H489" t="s">
        <v>11048</v>
      </c>
      <c r="I489" t="s">
        <v>8208</v>
      </c>
      <c r="J489" t="s">
        <v>29822</v>
      </c>
      <c r="K489" t="s">
        <v>38489</v>
      </c>
      <c r="M489" t="s">
        <v>38972</v>
      </c>
      <c r="N489" t="s">
        <v>42669</v>
      </c>
      <c r="O489" t="s">
        <v>42670</v>
      </c>
      <c r="P489">
        <v>0</v>
      </c>
      <c r="Q489">
        <v>2</v>
      </c>
      <c r="R489" t="s">
        <v>42671</v>
      </c>
      <c r="S489" t="s">
        <v>42779</v>
      </c>
      <c r="T489" t="s">
        <v>44371</v>
      </c>
      <c r="U489" t="s">
        <v>45297</v>
      </c>
      <c r="W489" t="s">
        <v>38938</v>
      </c>
      <c r="X489" t="s">
        <v>42673</v>
      </c>
    </row>
    <row r="490" spans="1:24">
      <c r="A490">
        <f>HYPERLINK("https://www.philgeps.gov.ph/GEPSNONPILOT/Tender/SplashBidNoticeAbstractUI.aspx?menuIndex=3&amp;refID=7193943&amp;Result=3","7193943")</f>
        <v>0</v>
      </c>
      <c r="B490" t="s">
        <v>181</v>
      </c>
      <c r="C490" t="s">
        <v>3987</v>
      </c>
      <c r="D490" t="s">
        <v>17187</v>
      </c>
      <c r="E490" t="s">
        <v>17716</v>
      </c>
      <c r="F490" t="s">
        <v>29372</v>
      </c>
      <c r="G490" t="s">
        <v>29379</v>
      </c>
      <c r="H490" t="s">
        <v>11048</v>
      </c>
      <c r="I490" t="s">
        <v>3670</v>
      </c>
      <c r="J490" t="s">
        <v>29935</v>
      </c>
      <c r="K490" t="s">
        <v>38489</v>
      </c>
      <c r="M490" t="s">
        <v>38972</v>
      </c>
      <c r="N490" t="s">
        <v>42669</v>
      </c>
      <c r="O490" t="s">
        <v>42670</v>
      </c>
      <c r="P490">
        <v>0</v>
      </c>
      <c r="Q490">
        <v>2</v>
      </c>
      <c r="R490" t="s">
        <v>42671</v>
      </c>
      <c r="S490" t="s">
        <v>42779</v>
      </c>
      <c r="T490" t="s">
        <v>44371</v>
      </c>
      <c r="U490" t="s">
        <v>45298</v>
      </c>
      <c r="W490" t="s">
        <v>38938</v>
      </c>
      <c r="X490" t="s">
        <v>42673</v>
      </c>
    </row>
    <row r="491" spans="1:24">
      <c r="A491">
        <f>HYPERLINK("https://www.philgeps.gov.ph/GEPSNONPILOT/Tender/SplashBidNoticeAbstractUI.aspx?menuIndex=3&amp;refID=7193938&amp;Result=3","7193938")</f>
        <v>0</v>
      </c>
      <c r="B491" t="s">
        <v>215</v>
      </c>
      <c r="C491" t="s">
        <v>3988</v>
      </c>
      <c r="D491" t="s">
        <v>17163</v>
      </c>
      <c r="E491" t="s">
        <v>17717</v>
      </c>
      <c r="F491" t="s">
        <v>29375</v>
      </c>
      <c r="G491" t="s">
        <v>29383</v>
      </c>
      <c r="H491" t="s">
        <v>11048</v>
      </c>
      <c r="I491" t="s">
        <v>29412</v>
      </c>
      <c r="J491" t="s">
        <v>29587</v>
      </c>
      <c r="K491" t="s">
        <v>38489</v>
      </c>
      <c r="M491" t="s">
        <v>38973</v>
      </c>
      <c r="N491" t="s">
        <v>42669</v>
      </c>
      <c r="O491" t="s">
        <v>42670</v>
      </c>
      <c r="P491">
        <v>0</v>
      </c>
      <c r="Q491">
        <v>0</v>
      </c>
      <c r="R491" t="s">
        <v>42671</v>
      </c>
      <c r="S491" t="s">
        <v>42779</v>
      </c>
      <c r="T491" t="s">
        <v>44441</v>
      </c>
      <c r="U491" t="s">
        <v>45299</v>
      </c>
      <c r="W491" t="s">
        <v>38973</v>
      </c>
      <c r="X491" t="s">
        <v>42673</v>
      </c>
    </row>
    <row r="492" spans="1:24">
      <c r="A492">
        <f>HYPERLINK("https://www.philgeps.gov.ph/GEPSNONPILOT/Tender/SplashBidNoticeAbstractUI.aspx?menuIndex=3&amp;refID=7193962&amp;Result=3","7193962")</f>
        <v>0</v>
      </c>
      <c r="B492" t="s">
        <v>213</v>
      </c>
      <c r="C492" t="s">
        <v>3989</v>
      </c>
      <c r="D492" t="s">
        <v>17201</v>
      </c>
      <c r="E492" t="s">
        <v>17718</v>
      </c>
      <c r="F492" t="s">
        <v>29372</v>
      </c>
      <c r="G492" t="s">
        <v>29380</v>
      </c>
      <c r="H492" t="s">
        <v>29389</v>
      </c>
      <c r="I492" t="s">
        <v>10408</v>
      </c>
      <c r="J492" t="s">
        <v>29936</v>
      </c>
      <c r="K492" t="s">
        <v>38552</v>
      </c>
      <c r="M492" t="s">
        <v>38970</v>
      </c>
      <c r="N492" t="s">
        <v>42669</v>
      </c>
      <c r="O492" t="s">
        <v>42670</v>
      </c>
      <c r="P492">
        <v>0</v>
      </c>
      <c r="Q492">
        <v>0</v>
      </c>
      <c r="R492" t="s">
        <v>42671</v>
      </c>
      <c r="S492" t="s">
        <v>42779</v>
      </c>
      <c r="T492" t="s">
        <v>44405</v>
      </c>
      <c r="U492" t="s">
        <v>45300</v>
      </c>
      <c r="W492" t="s">
        <v>38970</v>
      </c>
      <c r="X492" t="s">
        <v>42673</v>
      </c>
    </row>
    <row r="493" spans="1:24">
      <c r="A493">
        <f>HYPERLINK("https://www.philgeps.gov.ph/GEPSNONPILOT/Tender/SplashBidNoticeAbstractUI.aspx?menuIndex=3&amp;refID=7193935&amp;Result=3","7193935")</f>
        <v>0</v>
      </c>
      <c r="B493" t="s">
        <v>216</v>
      </c>
      <c r="C493" t="s">
        <v>3990</v>
      </c>
      <c r="D493" t="s">
        <v>17183</v>
      </c>
      <c r="E493" t="s">
        <v>17719</v>
      </c>
      <c r="F493" t="s">
        <v>29372</v>
      </c>
      <c r="G493" t="s">
        <v>29380</v>
      </c>
      <c r="H493" t="s">
        <v>11048</v>
      </c>
      <c r="I493" t="s">
        <v>29417</v>
      </c>
      <c r="J493" t="s">
        <v>29937</v>
      </c>
      <c r="K493" t="s">
        <v>38495</v>
      </c>
      <c r="M493" t="s">
        <v>38974</v>
      </c>
      <c r="N493" t="s">
        <v>42669</v>
      </c>
      <c r="O493" t="s">
        <v>42670</v>
      </c>
      <c r="P493">
        <v>0</v>
      </c>
      <c r="Q493">
        <v>0</v>
      </c>
      <c r="R493" t="s">
        <v>42671</v>
      </c>
      <c r="S493" t="s">
        <v>42779</v>
      </c>
      <c r="T493" t="s">
        <v>44402</v>
      </c>
      <c r="U493" t="s">
        <v>45301</v>
      </c>
      <c r="W493" t="s">
        <v>38974</v>
      </c>
      <c r="X493" t="s">
        <v>42673</v>
      </c>
    </row>
    <row r="494" spans="1:24">
      <c r="A494">
        <f>HYPERLINK("https://www.philgeps.gov.ph/GEPSNONPILOT/Tender/SplashBidNoticeAbstractUI.aspx?menuIndex=3&amp;refID=7193923&amp;Result=3","7193923")</f>
        <v>0</v>
      </c>
      <c r="B494" t="s">
        <v>217</v>
      </c>
      <c r="C494" t="s">
        <v>3991</v>
      </c>
      <c r="D494" t="s">
        <v>17166</v>
      </c>
      <c r="E494" t="s">
        <v>17480</v>
      </c>
      <c r="F494" t="s">
        <v>29373</v>
      </c>
      <c r="G494" t="s">
        <v>29380</v>
      </c>
      <c r="H494" t="s">
        <v>29390</v>
      </c>
      <c r="I494" t="s">
        <v>3952</v>
      </c>
      <c r="J494" t="s">
        <v>29938</v>
      </c>
      <c r="K494" t="s">
        <v>38517</v>
      </c>
      <c r="M494" t="s">
        <v>38975</v>
      </c>
      <c r="N494" t="s">
        <v>42669</v>
      </c>
      <c r="O494" t="s">
        <v>42670</v>
      </c>
      <c r="P494">
        <v>0</v>
      </c>
      <c r="Q494">
        <v>0</v>
      </c>
      <c r="R494" t="s">
        <v>42671</v>
      </c>
      <c r="S494" t="s">
        <v>42779</v>
      </c>
      <c r="T494" t="s">
        <v>44368</v>
      </c>
      <c r="U494" t="s">
        <v>45302</v>
      </c>
      <c r="V494" t="s">
        <v>56401</v>
      </c>
      <c r="W494" t="s">
        <v>38975</v>
      </c>
      <c r="X494" t="s">
        <v>42673</v>
      </c>
    </row>
    <row r="495" spans="1:24">
      <c r="A495">
        <f>HYPERLINK("https://www.philgeps.gov.ph/GEPSNONPILOT/Tender/SplashBidNoticeAbstractUI.aspx?menuIndex=3&amp;refID=7193921&amp;Result=3","7193921")</f>
        <v>0</v>
      </c>
      <c r="B495" t="s">
        <v>217</v>
      </c>
      <c r="C495" t="s">
        <v>3992</v>
      </c>
      <c r="D495" t="s">
        <v>17166</v>
      </c>
      <c r="E495" t="s">
        <v>17720</v>
      </c>
      <c r="F495" t="s">
        <v>29373</v>
      </c>
      <c r="G495" t="s">
        <v>29380</v>
      </c>
      <c r="H495" t="s">
        <v>11048</v>
      </c>
      <c r="I495" t="s">
        <v>29413</v>
      </c>
      <c r="J495" t="s">
        <v>29939</v>
      </c>
      <c r="K495" t="s">
        <v>38537</v>
      </c>
      <c r="M495" t="s">
        <v>38975</v>
      </c>
      <c r="N495" t="s">
        <v>42669</v>
      </c>
      <c r="O495" t="s">
        <v>42670</v>
      </c>
      <c r="P495">
        <v>0</v>
      </c>
      <c r="Q495">
        <v>0</v>
      </c>
      <c r="R495" t="s">
        <v>42671</v>
      </c>
      <c r="S495" t="s">
        <v>42779</v>
      </c>
      <c r="T495" t="s">
        <v>44355</v>
      </c>
      <c r="U495" t="s">
        <v>45303</v>
      </c>
      <c r="V495" t="s">
        <v>56401</v>
      </c>
      <c r="W495" t="s">
        <v>38975</v>
      </c>
      <c r="X495" t="s">
        <v>42673</v>
      </c>
    </row>
    <row r="496" spans="1:24">
      <c r="A496">
        <f>HYPERLINK("https://www.philgeps.gov.ph/GEPSNONPILOT/Tender/SplashBidNoticeAbstractUI.aspx?menuIndex=3&amp;refID=7193783&amp;Result=3","7193783")</f>
        <v>0</v>
      </c>
      <c r="B496" t="s">
        <v>145</v>
      </c>
      <c r="C496" t="s">
        <v>3993</v>
      </c>
      <c r="D496" t="s">
        <v>17148</v>
      </c>
      <c r="E496" t="s">
        <v>17721</v>
      </c>
      <c r="F496" t="s">
        <v>29372</v>
      </c>
      <c r="G496" t="s">
        <v>29379</v>
      </c>
      <c r="H496" t="s">
        <v>11048</v>
      </c>
      <c r="I496" t="s">
        <v>29399</v>
      </c>
      <c r="J496" t="s">
        <v>29940</v>
      </c>
      <c r="K496" t="s">
        <v>38488</v>
      </c>
      <c r="M496" t="s">
        <v>38900</v>
      </c>
      <c r="N496" t="s">
        <v>42669</v>
      </c>
      <c r="O496" t="s">
        <v>42670</v>
      </c>
      <c r="P496">
        <v>0</v>
      </c>
      <c r="Q496">
        <v>2</v>
      </c>
      <c r="R496" t="s">
        <v>42671</v>
      </c>
      <c r="S496" t="s">
        <v>42779</v>
      </c>
      <c r="T496" t="s">
        <v>44378</v>
      </c>
      <c r="U496" t="s">
        <v>45304</v>
      </c>
      <c r="W496" t="s">
        <v>38900</v>
      </c>
      <c r="X496" t="s">
        <v>42673</v>
      </c>
    </row>
    <row r="497" spans="1:24">
      <c r="A497">
        <f>HYPERLINK("https://www.philgeps.gov.ph/GEPSNONPILOT/Tender/SplashBidNoticeAbstractUI.aspx?menuIndex=3&amp;refID=7193918&amp;Result=3","7193918")</f>
        <v>0</v>
      </c>
      <c r="B497" t="s">
        <v>34</v>
      </c>
      <c r="C497" t="s">
        <v>3994</v>
      </c>
      <c r="D497" t="s">
        <v>17148</v>
      </c>
      <c r="E497" t="s">
        <v>17722</v>
      </c>
      <c r="F497" t="s">
        <v>29372</v>
      </c>
      <c r="G497" t="s">
        <v>29379</v>
      </c>
      <c r="H497" t="s">
        <v>11048</v>
      </c>
      <c r="I497" t="s">
        <v>4709</v>
      </c>
      <c r="J497" t="s">
        <v>29941</v>
      </c>
      <c r="K497" t="s">
        <v>38485</v>
      </c>
      <c r="M497" t="s">
        <v>38787</v>
      </c>
      <c r="N497" t="s">
        <v>42669</v>
      </c>
      <c r="O497" t="s">
        <v>42670</v>
      </c>
      <c r="P497">
        <v>0</v>
      </c>
      <c r="Q497">
        <v>1</v>
      </c>
      <c r="R497" t="s">
        <v>42671</v>
      </c>
      <c r="S497" t="s">
        <v>42779</v>
      </c>
      <c r="T497" t="s">
        <v>44378</v>
      </c>
      <c r="U497" t="s">
        <v>45305</v>
      </c>
      <c r="W497" t="s">
        <v>38787</v>
      </c>
      <c r="X497" t="s">
        <v>42673</v>
      </c>
    </row>
    <row r="498" spans="1:24">
      <c r="A498">
        <f>HYPERLINK("https://www.philgeps.gov.ph/GEPSNONPILOT/Tender/SplashBidNoticeAbstractUI.aspx?menuIndex=3&amp;refID=7193955&amp;Result=3","7193955")</f>
        <v>0</v>
      </c>
      <c r="B498" t="s">
        <v>42</v>
      </c>
      <c r="C498" t="s">
        <v>3995</v>
      </c>
      <c r="D498" t="s">
        <v>17154</v>
      </c>
      <c r="E498" t="s">
        <v>17723</v>
      </c>
      <c r="F498" t="s">
        <v>29372</v>
      </c>
      <c r="G498" t="s">
        <v>29380</v>
      </c>
      <c r="H498" t="s">
        <v>11048</v>
      </c>
      <c r="I498" t="s">
        <v>29440</v>
      </c>
      <c r="J498" t="s">
        <v>29942</v>
      </c>
      <c r="K498" t="s">
        <v>38485</v>
      </c>
      <c r="M498" t="s">
        <v>38795</v>
      </c>
      <c r="N498" t="s">
        <v>42669</v>
      </c>
      <c r="O498" t="s">
        <v>42670</v>
      </c>
      <c r="P498">
        <v>0</v>
      </c>
      <c r="Q498">
        <v>3</v>
      </c>
      <c r="R498" t="s">
        <v>42671</v>
      </c>
      <c r="S498" t="s">
        <v>42779</v>
      </c>
      <c r="T498" t="s">
        <v>44357</v>
      </c>
      <c r="U498" t="s">
        <v>45306</v>
      </c>
      <c r="W498" t="s">
        <v>38795</v>
      </c>
      <c r="X498" t="s">
        <v>42673</v>
      </c>
    </row>
    <row r="499" spans="1:24">
      <c r="A499">
        <f>HYPERLINK("https://www.philgeps.gov.ph/GEPSNONPILOT/Tender/SplashBidNoticeAbstractUI.aspx?menuIndex=3&amp;refID=7193916&amp;Result=3","7193916")</f>
        <v>0</v>
      </c>
      <c r="B499" t="s">
        <v>34</v>
      </c>
      <c r="C499" t="s">
        <v>3996</v>
      </c>
      <c r="D499" t="s">
        <v>17148</v>
      </c>
      <c r="E499" t="s">
        <v>17724</v>
      </c>
      <c r="F499" t="s">
        <v>29372</v>
      </c>
      <c r="G499" t="s">
        <v>29379</v>
      </c>
      <c r="H499" t="s">
        <v>11048</v>
      </c>
      <c r="I499" t="s">
        <v>29419</v>
      </c>
      <c r="J499" t="s">
        <v>29943</v>
      </c>
      <c r="K499" t="s">
        <v>38485</v>
      </c>
      <c r="M499" t="s">
        <v>38787</v>
      </c>
      <c r="N499" t="s">
        <v>42669</v>
      </c>
      <c r="O499" t="s">
        <v>42670</v>
      </c>
      <c r="P499">
        <v>0</v>
      </c>
      <c r="Q499">
        <v>3</v>
      </c>
      <c r="R499" t="s">
        <v>42671</v>
      </c>
      <c r="S499" t="s">
        <v>42779</v>
      </c>
      <c r="T499" t="s">
        <v>44378</v>
      </c>
      <c r="U499" t="s">
        <v>45307</v>
      </c>
      <c r="W499" t="s">
        <v>38787</v>
      </c>
      <c r="X499" t="s">
        <v>42673</v>
      </c>
    </row>
    <row r="500" spans="1:24">
      <c r="A500">
        <f>HYPERLINK("https://www.philgeps.gov.ph/GEPSNONPILOT/Tender/SplashBidNoticeAbstractUI.aspx?menuIndex=3&amp;refID=7193945&amp;Result=3","7193945")</f>
        <v>0</v>
      </c>
      <c r="B500" t="s">
        <v>42</v>
      </c>
      <c r="C500" t="s">
        <v>3997</v>
      </c>
      <c r="D500" t="s">
        <v>17154</v>
      </c>
      <c r="E500" t="s">
        <v>17725</v>
      </c>
      <c r="F500" t="s">
        <v>29372</v>
      </c>
      <c r="G500" t="s">
        <v>29380</v>
      </c>
      <c r="H500" t="s">
        <v>11048</v>
      </c>
      <c r="I500" t="s">
        <v>8614</v>
      </c>
      <c r="J500" t="s">
        <v>29944</v>
      </c>
      <c r="K500" t="s">
        <v>38485</v>
      </c>
      <c r="M500" t="s">
        <v>38795</v>
      </c>
      <c r="N500" t="s">
        <v>42669</v>
      </c>
      <c r="O500" t="s">
        <v>42670</v>
      </c>
      <c r="P500">
        <v>0</v>
      </c>
      <c r="Q500">
        <v>4</v>
      </c>
      <c r="R500" t="s">
        <v>42671</v>
      </c>
      <c r="S500" t="s">
        <v>42779</v>
      </c>
      <c r="T500" t="s">
        <v>44375</v>
      </c>
      <c r="U500" t="s">
        <v>45308</v>
      </c>
      <c r="W500" t="s">
        <v>38795</v>
      </c>
      <c r="X500" t="s">
        <v>42673</v>
      </c>
    </row>
    <row r="501" spans="1:24">
      <c r="A501">
        <f>HYPERLINK("https://www.philgeps.gov.ph/GEPSNONPILOT/Tender/SplashBidNoticeAbstractUI.aspx?menuIndex=3&amp;refID=7194016&amp;Result=3","7194016")</f>
        <v>0</v>
      </c>
      <c r="B501" t="s">
        <v>42</v>
      </c>
      <c r="C501" t="s">
        <v>3998</v>
      </c>
      <c r="D501" t="s">
        <v>17154</v>
      </c>
      <c r="E501" t="s">
        <v>17726</v>
      </c>
      <c r="F501" t="s">
        <v>29372</v>
      </c>
      <c r="G501" t="s">
        <v>29380</v>
      </c>
      <c r="H501" t="s">
        <v>29389</v>
      </c>
      <c r="I501" t="s">
        <v>10408</v>
      </c>
      <c r="J501" t="s">
        <v>29945</v>
      </c>
      <c r="K501" t="s">
        <v>38496</v>
      </c>
      <c r="M501" t="s">
        <v>38795</v>
      </c>
      <c r="N501" t="s">
        <v>42669</v>
      </c>
      <c r="O501" t="s">
        <v>42670</v>
      </c>
      <c r="P501">
        <v>0</v>
      </c>
      <c r="Q501">
        <v>0</v>
      </c>
      <c r="R501" t="s">
        <v>42671</v>
      </c>
      <c r="S501" t="s">
        <v>42779</v>
      </c>
      <c r="T501" t="s">
        <v>44442</v>
      </c>
      <c r="U501" t="s">
        <v>45309</v>
      </c>
      <c r="W501" t="s">
        <v>38795</v>
      </c>
      <c r="X501" t="s">
        <v>42673</v>
      </c>
    </row>
    <row r="502" spans="1:24">
      <c r="A502">
        <f>HYPERLINK("https://www.philgeps.gov.ph/GEPSNONPILOT/Tender/SplashBidNoticeAbstractUI.aspx?menuIndex=3&amp;refID=7193966&amp;Result=3","7193966")</f>
        <v>0</v>
      </c>
      <c r="B502" t="s">
        <v>213</v>
      </c>
      <c r="C502" t="s">
        <v>3999</v>
      </c>
      <c r="D502" t="s">
        <v>17201</v>
      </c>
      <c r="E502" t="s">
        <v>17727</v>
      </c>
      <c r="F502" t="s">
        <v>29372</v>
      </c>
      <c r="G502" t="s">
        <v>29380</v>
      </c>
      <c r="H502" t="s">
        <v>29389</v>
      </c>
      <c r="I502" t="s">
        <v>10408</v>
      </c>
      <c r="J502" t="s">
        <v>29946</v>
      </c>
      <c r="K502" t="s">
        <v>38553</v>
      </c>
      <c r="M502" t="s">
        <v>38970</v>
      </c>
      <c r="N502" t="s">
        <v>42669</v>
      </c>
      <c r="O502" t="s">
        <v>42670</v>
      </c>
      <c r="P502">
        <v>0</v>
      </c>
      <c r="Q502">
        <v>0</v>
      </c>
      <c r="R502" t="s">
        <v>42671</v>
      </c>
      <c r="S502" t="s">
        <v>42779</v>
      </c>
      <c r="T502" t="s">
        <v>44405</v>
      </c>
      <c r="U502" t="s">
        <v>45310</v>
      </c>
      <c r="W502" t="s">
        <v>38970</v>
      </c>
      <c r="X502" t="s">
        <v>42673</v>
      </c>
    </row>
    <row r="503" spans="1:24">
      <c r="A503">
        <f>HYPERLINK("https://www.philgeps.gov.ph/GEPSNONPILOT/Tender/SplashBidNoticeAbstractUI.aspx?menuIndex=3&amp;refID=7193850&amp;Result=3","7193850")</f>
        <v>0</v>
      </c>
      <c r="B503" t="s">
        <v>188</v>
      </c>
      <c r="C503" t="s">
        <v>4000</v>
      </c>
      <c r="D503" t="s">
        <v>17141</v>
      </c>
      <c r="E503" t="s">
        <v>17728</v>
      </c>
      <c r="F503" t="s">
        <v>29372</v>
      </c>
      <c r="G503" t="s">
        <v>29379</v>
      </c>
      <c r="H503" t="s">
        <v>11048</v>
      </c>
      <c r="I503" t="s">
        <v>3839</v>
      </c>
      <c r="J503" t="s">
        <v>29947</v>
      </c>
      <c r="K503" t="s">
        <v>38490</v>
      </c>
      <c r="M503" t="s">
        <v>38945</v>
      </c>
      <c r="N503" t="s">
        <v>42669</v>
      </c>
      <c r="O503" t="s">
        <v>42670</v>
      </c>
      <c r="P503">
        <v>0</v>
      </c>
      <c r="Q503">
        <v>1</v>
      </c>
      <c r="R503" t="s">
        <v>42671</v>
      </c>
      <c r="S503" t="s">
        <v>42779</v>
      </c>
      <c r="T503" t="s">
        <v>44434</v>
      </c>
      <c r="U503" t="s">
        <v>45253</v>
      </c>
      <c r="W503" t="s">
        <v>38945</v>
      </c>
      <c r="X503" t="s">
        <v>42673</v>
      </c>
    </row>
    <row r="504" spans="1:24">
      <c r="A504">
        <f>HYPERLINK("https://www.philgeps.gov.ph/GEPSNONPILOT/Tender/SplashBidNoticeAbstractUI.aspx?menuIndex=3&amp;refID=7194014&amp;Result=3","7194014")</f>
        <v>0</v>
      </c>
      <c r="B504" t="s">
        <v>42</v>
      </c>
      <c r="C504" t="s">
        <v>4001</v>
      </c>
      <c r="D504" t="s">
        <v>17154</v>
      </c>
      <c r="E504" t="s">
        <v>17729</v>
      </c>
      <c r="F504" t="s">
        <v>29372</v>
      </c>
      <c r="G504" t="s">
        <v>29380</v>
      </c>
      <c r="H504" t="s">
        <v>29389</v>
      </c>
      <c r="I504" t="s">
        <v>10408</v>
      </c>
      <c r="J504" t="s">
        <v>29948</v>
      </c>
      <c r="K504" t="s">
        <v>38496</v>
      </c>
      <c r="M504" t="s">
        <v>38795</v>
      </c>
      <c r="N504" t="s">
        <v>42669</v>
      </c>
      <c r="O504" t="s">
        <v>42670</v>
      </c>
      <c r="P504">
        <v>0</v>
      </c>
      <c r="Q504">
        <v>0</v>
      </c>
      <c r="R504" t="s">
        <v>42671</v>
      </c>
      <c r="S504" t="s">
        <v>42779</v>
      </c>
      <c r="T504" t="s">
        <v>44443</v>
      </c>
      <c r="U504" t="s">
        <v>45311</v>
      </c>
      <c r="W504" t="s">
        <v>38795</v>
      </c>
      <c r="X504" t="s">
        <v>42673</v>
      </c>
    </row>
    <row r="505" spans="1:24">
      <c r="A505">
        <f>HYPERLINK("https://www.philgeps.gov.ph/GEPSNONPILOT/Tender/SplashBidNoticeAbstractUI.aspx?menuIndex=3&amp;refID=7193926&amp;Result=3","7193926")</f>
        <v>0</v>
      </c>
      <c r="B505" t="s">
        <v>217</v>
      </c>
      <c r="C505" t="s">
        <v>4002</v>
      </c>
      <c r="D505" t="s">
        <v>17166</v>
      </c>
      <c r="E505" t="s">
        <v>17730</v>
      </c>
      <c r="F505" t="s">
        <v>29373</v>
      </c>
      <c r="G505" t="s">
        <v>29380</v>
      </c>
      <c r="H505" t="s">
        <v>29390</v>
      </c>
      <c r="I505" t="s">
        <v>29429</v>
      </c>
      <c r="J505" t="s">
        <v>29526</v>
      </c>
      <c r="K505" t="s">
        <v>38517</v>
      </c>
      <c r="M505" t="s">
        <v>38975</v>
      </c>
      <c r="N505" t="s">
        <v>42669</v>
      </c>
      <c r="O505" t="s">
        <v>42670</v>
      </c>
      <c r="P505">
        <v>0</v>
      </c>
      <c r="Q505">
        <v>0</v>
      </c>
      <c r="R505" t="s">
        <v>42671</v>
      </c>
      <c r="S505" t="s">
        <v>42779</v>
      </c>
      <c r="T505" t="s">
        <v>44368</v>
      </c>
      <c r="U505" t="s">
        <v>45312</v>
      </c>
      <c r="V505" t="s">
        <v>56401</v>
      </c>
      <c r="W505" t="s">
        <v>38975</v>
      </c>
      <c r="X505" t="s">
        <v>42673</v>
      </c>
    </row>
    <row r="506" spans="1:24">
      <c r="A506">
        <f>HYPERLINK("https://www.philgeps.gov.ph/GEPSNONPILOT/Tender/SplashBidNoticeAbstractUI.aspx?menuIndex=3&amp;refID=7194005&amp;Result=3","7194005")</f>
        <v>0</v>
      </c>
      <c r="B506" t="s">
        <v>42</v>
      </c>
      <c r="C506" t="s">
        <v>4003</v>
      </c>
      <c r="D506" t="s">
        <v>17154</v>
      </c>
      <c r="E506" t="s">
        <v>17731</v>
      </c>
      <c r="F506" t="s">
        <v>29372</v>
      </c>
      <c r="G506" t="s">
        <v>29380</v>
      </c>
      <c r="H506" t="s">
        <v>29389</v>
      </c>
      <c r="I506" t="s">
        <v>10408</v>
      </c>
      <c r="J506" t="s">
        <v>29949</v>
      </c>
      <c r="K506" t="s">
        <v>38496</v>
      </c>
      <c r="M506" t="s">
        <v>38795</v>
      </c>
      <c r="N506" t="s">
        <v>42669</v>
      </c>
      <c r="O506" t="s">
        <v>42670</v>
      </c>
      <c r="P506">
        <v>0</v>
      </c>
      <c r="Q506">
        <v>0</v>
      </c>
      <c r="R506" t="s">
        <v>42671</v>
      </c>
      <c r="S506" t="s">
        <v>42779</v>
      </c>
      <c r="T506" t="s">
        <v>44421</v>
      </c>
      <c r="U506" t="s">
        <v>45313</v>
      </c>
      <c r="W506" t="s">
        <v>38795</v>
      </c>
      <c r="X506" t="s">
        <v>42673</v>
      </c>
    </row>
    <row r="507" spans="1:24">
      <c r="A507">
        <f>HYPERLINK("https://www.philgeps.gov.ph/GEPSNONPILOT/Tender/SplashBidNoticeAbstractUI.aspx?menuIndex=3&amp;refID=7194002&amp;Result=3","7194002")</f>
        <v>0</v>
      </c>
      <c r="B507" t="s">
        <v>42</v>
      </c>
      <c r="C507" t="s">
        <v>4004</v>
      </c>
      <c r="D507" t="s">
        <v>17154</v>
      </c>
      <c r="E507" t="s">
        <v>17732</v>
      </c>
      <c r="F507" t="s">
        <v>29372</v>
      </c>
      <c r="G507" t="s">
        <v>29380</v>
      </c>
      <c r="H507" t="s">
        <v>29389</v>
      </c>
      <c r="I507" t="s">
        <v>10408</v>
      </c>
      <c r="J507" t="s">
        <v>29950</v>
      </c>
      <c r="K507" t="s">
        <v>38496</v>
      </c>
      <c r="M507" t="s">
        <v>38795</v>
      </c>
      <c r="N507" t="s">
        <v>42669</v>
      </c>
      <c r="O507" t="s">
        <v>42670</v>
      </c>
      <c r="P507">
        <v>0</v>
      </c>
      <c r="Q507">
        <v>0</v>
      </c>
      <c r="R507" t="s">
        <v>42671</v>
      </c>
      <c r="S507" t="s">
        <v>42779</v>
      </c>
      <c r="T507" t="s">
        <v>44444</v>
      </c>
      <c r="U507" t="s">
        <v>45314</v>
      </c>
      <c r="W507" t="s">
        <v>38795</v>
      </c>
      <c r="X507" t="s">
        <v>42673</v>
      </c>
    </row>
    <row r="508" spans="1:24">
      <c r="A508">
        <f>HYPERLINK("https://www.philgeps.gov.ph/GEPSNONPILOT/Tender/SplashBidNoticeAbstractUI.aspx?menuIndex=3&amp;refID=7194020&amp;Result=3","7194020")</f>
        <v>0</v>
      </c>
      <c r="B508" t="s">
        <v>42</v>
      </c>
      <c r="C508" t="s">
        <v>4005</v>
      </c>
      <c r="D508" t="s">
        <v>17154</v>
      </c>
      <c r="E508" t="s">
        <v>17733</v>
      </c>
      <c r="F508" t="s">
        <v>29372</v>
      </c>
      <c r="G508" t="s">
        <v>29380</v>
      </c>
      <c r="H508" t="s">
        <v>29389</v>
      </c>
      <c r="I508" t="s">
        <v>10408</v>
      </c>
      <c r="J508" t="s">
        <v>29951</v>
      </c>
      <c r="K508" t="s">
        <v>38487</v>
      </c>
      <c r="M508" t="s">
        <v>38795</v>
      </c>
      <c r="N508" t="s">
        <v>42669</v>
      </c>
      <c r="O508" t="s">
        <v>42670</v>
      </c>
      <c r="P508">
        <v>0</v>
      </c>
      <c r="Q508">
        <v>0</v>
      </c>
      <c r="R508" t="s">
        <v>42671</v>
      </c>
      <c r="S508" t="s">
        <v>42779</v>
      </c>
      <c r="T508" t="s">
        <v>44445</v>
      </c>
      <c r="U508" t="s">
        <v>45315</v>
      </c>
      <c r="W508" t="s">
        <v>38795</v>
      </c>
      <c r="X508" t="s">
        <v>42673</v>
      </c>
    </row>
    <row r="509" spans="1:24">
      <c r="A509">
        <f>HYPERLINK("https://www.philgeps.gov.ph/GEPSNONPILOT/Tender/SplashBidNoticeAbstractUI.aspx?menuIndex=3&amp;refID=7193998&amp;Result=3","7193998")</f>
        <v>0</v>
      </c>
      <c r="B509" t="s">
        <v>138</v>
      </c>
      <c r="C509" t="s">
        <v>4006</v>
      </c>
      <c r="D509" t="s">
        <v>17141</v>
      </c>
      <c r="E509" t="s">
        <v>17734</v>
      </c>
      <c r="F509" t="s">
        <v>29372</v>
      </c>
      <c r="G509" t="s">
        <v>29379</v>
      </c>
      <c r="H509" t="s">
        <v>11048</v>
      </c>
      <c r="I509" t="s">
        <v>4709</v>
      </c>
      <c r="J509" t="s">
        <v>29952</v>
      </c>
      <c r="K509" t="s">
        <v>38490</v>
      </c>
      <c r="M509" t="s">
        <v>38976</v>
      </c>
      <c r="N509" t="s">
        <v>42669</v>
      </c>
      <c r="O509" t="s">
        <v>42670</v>
      </c>
      <c r="P509">
        <v>0</v>
      </c>
      <c r="Q509">
        <v>0</v>
      </c>
      <c r="R509" t="s">
        <v>42671</v>
      </c>
      <c r="S509" t="s">
        <v>42779</v>
      </c>
      <c r="T509" t="s">
        <v>44426</v>
      </c>
      <c r="U509" t="s">
        <v>45316</v>
      </c>
      <c r="W509" t="s">
        <v>38976</v>
      </c>
      <c r="X509" t="s">
        <v>42673</v>
      </c>
    </row>
    <row r="510" spans="1:24">
      <c r="A510">
        <f>HYPERLINK("https://www.philgeps.gov.ph/GEPSNONPILOT/Tender/SplashBidNoticeAbstractUI.aspx?menuIndex=3&amp;refID=7193996&amp;Result=3","7193996")</f>
        <v>0</v>
      </c>
      <c r="B510" t="s">
        <v>138</v>
      </c>
      <c r="C510" t="s">
        <v>4007</v>
      </c>
      <c r="D510" t="s">
        <v>17141</v>
      </c>
      <c r="E510" t="s">
        <v>17735</v>
      </c>
      <c r="F510" t="s">
        <v>29372</v>
      </c>
      <c r="G510" t="s">
        <v>29379</v>
      </c>
      <c r="H510" t="s">
        <v>11048</v>
      </c>
      <c r="I510" t="s">
        <v>3670</v>
      </c>
      <c r="J510" t="s">
        <v>29953</v>
      </c>
      <c r="K510" t="s">
        <v>38490</v>
      </c>
      <c r="M510" t="s">
        <v>38976</v>
      </c>
      <c r="N510" t="s">
        <v>42669</v>
      </c>
      <c r="O510" t="s">
        <v>42670</v>
      </c>
      <c r="P510">
        <v>0</v>
      </c>
      <c r="Q510">
        <v>1</v>
      </c>
      <c r="R510" t="s">
        <v>42671</v>
      </c>
      <c r="S510" t="s">
        <v>42779</v>
      </c>
      <c r="T510" t="s">
        <v>44426</v>
      </c>
      <c r="U510" t="s">
        <v>45317</v>
      </c>
      <c r="W510" t="s">
        <v>38976</v>
      </c>
      <c r="X510" t="s">
        <v>42673</v>
      </c>
    </row>
    <row r="511" spans="1:24">
      <c r="A511">
        <f>HYPERLINK("https://www.philgeps.gov.ph/GEPSNONPILOT/Tender/SplashBidNoticeAbstractUI.aspx?menuIndex=3&amp;refID=7193991&amp;Result=3","7193991")</f>
        <v>0</v>
      </c>
      <c r="B511" t="s">
        <v>138</v>
      </c>
      <c r="C511" t="s">
        <v>4008</v>
      </c>
      <c r="D511" t="s">
        <v>17141</v>
      </c>
      <c r="E511" t="s">
        <v>17736</v>
      </c>
      <c r="F511" t="s">
        <v>29372</v>
      </c>
      <c r="G511" t="s">
        <v>29379</v>
      </c>
      <c r="H511" t="s">
        <v>11048</v>
      </c>
      <c r="I511" t="s">
        <v>8614</v>
      </c>
      <c r="J511" t="s">
        <v>29526</v>
      </c>
      <c r="K511" t="s">
        <v>38490</v>
      </c>
      <c r="M511" t="s">
        <v>38976</v>
      </c>
      <c r="N511" t="s">
        <v>42669</v>
      </c>
      <c r="O511" t="s">
        <v>42670</v>
      </c>
      <c r="P511">
        <v>0</v>
      </c>
      <c r="Q511">
        <v>2</v>
      </c>
      <c r="R511" t="s">
        <v>42671</v>
      </c>
      <c r="S511" t="s">
        <v>42779</v>
      </c>
      <c r="T511" t="s">
        <v>44426</v>
      </c>
      <c r="U511" t="s">
        <v>45318</v>
      </c>
      <c r="W511" t="s">
        <v>38976</v>
      </c>
      <c r="X511" t="s">
        <v>42673</v>
      </c>
    </row>
    <row r="512" spans="1:24">
      <c r="A512">
        <f>HYPERLINK("https://www.philgeps.gov.ph/GEPSNONPILOT/Tender/SplashBidNoticeAbstractUI.aspx?menuIndex=3&amp;refID=7194008&amp;Result=3","7194008")</f>
        <v>0</v>
      </c>
      <c r="B512" t="s">
        <v>42</v>
      </c>
      <c r="C512" t="s">
        <v>4009</v>
      </c>
      <c r="D512" t="s">
        <v>17154</v>
      </c>
      <c r="E512" t="s">
        <v>17737</v>
      </c>
      <c r="F512" t="s">
        <v>29372</v>
      </c>
      <c r="G512" t="s">
        <v>29380</v>
      </c>
      <c r="H512" t="s">
        <v>29389</v>
      </c>
      <c r="I512" t="s">
        <v>10408</v>
      </c>
      <c r="J512" t="s">
        <v>29954</v>
      </c>
      <c r="K512" t="s">
        <v>38487</v>
      </c>
      <c r="M512" t="s">
        <v>38795</v>
      </c>
      <c r="N512" t="s">
        <v>42669</v>
      </c>
      <c r="O512" t="s">
        <v>42670</v>
      </c>
      <c r="P512">
        <v>0</v>
      </c>
      <c r="Q512">
        <v>0</v>
      </c>
      <c r="R512" t="s">
        <v>42671</v>
      </c>
      <c r="S512" t="s">
        <v>42779</v>
      </c>
      <c r="T512" t="s">
        <v>44446</v>
      </c>
      <c r="U512" t="s">
        <v>45319</v>
      </c>
      <c r="W512" t="s">
        <v>38795</v>
      </c>
      <c r="X512" t="s">
        <v>42673</v>
      </c>
    </row>
    <row r="513" spans="1:24">
      <c r="A513">
        <f>HYPERLINK("https://www.philgeps.gov.ph/GEPSNONPILOT/Tender/SplashBidNoticeAbstractUI.aspx?menuIndex=3&amp;refID=7193990&amp;Result=3","7193990")</f>
        <v>0</v>
      </c>
      <c r="B513" t="s">
        <v>42</v>
      </c>
      <c r="C513" t="s">
        <v>4010</v>
      </c>
      <c r="D513" t="s">
        <v>17154</v>
      </c>
      <c r="E513" t="s">
        <v>17738</v>
      </c>
      <c r="F513" t="s">
        <v>29372</v>
      </c>
      <c r="G513" t="s">
        <v>29380</v>
      </c>
      <c r="H513" t="s">
        <v>29389</v>
      </c>
      <c r="I513" t="s">
        <v>10408</v>
      </c>
      <c r="J513" t="s">
        <v>29955</v>
      </c>
      <c r="K513" t="s">
        <v>38496</v>
      </c>
      <c r="M513" t="s">
        <v>38795</v>
      </c>
      <c r="N513" t="s">
        <v>42669</v>
      </c>
      <c r="O513" t="s">
        <v>42670</v>
      </c>
      <c r="P513">
        <v>0</v>
      </c>
      <c r="Q513">
        <v>0</v>
      </c>
      <c r="R513" t="s">
        <v>42671</v>
      </c>
      <c r="S513" t="s">
        <v>42779</v>
      </c>
      <c r="T513" t="s">
        <v>44419</v>
      </c>
      <c r="U513" t="s">
        <v>45320</v>
      </c>
      <c r="W513" t="s">
        <v>38795</v>
      </c>
      <c r="X513" t="s">
        <v>42673</v>
      </c>
    </row>
    <row r="514" spans="1:24">
      <c r="A514">
        <f>HYPERLINK("https://www.philgeps.gov.ph/GEPSNONPILOT/Tender/SplashBidNoticeAbstractUI.aspx?menuIndex=3&amp;refID=7194000&amp;Result=3","7194000")</f>
        <v>0</v>
      </c>
      <c r="B514" t="s">
        <v>42</v>
      </c>
      <c r="C514" t="s">
        <v>4011</v>
      </c>
      <c r="D514" t="s">
        <v>17154</v>
      </c>
      <c r="E514" t="s">
        <v>17739</v>
      </c>
      <c r="F514" t="s">
        <v>29372</v>
      </c>
      <c r="G514" t="s">
        <v>29380</v>
      </c>
      <c r="H514" t="s">
        <v>29389</v>
      </c>
      <c r="I514" t="s">
        <v>10408</v>
      </c>
      <c r="J514" t="s">
        <v>29956</v>
      </c>
      <c r="K514" t="s">
        <v>38496</v>
      </c>
      <c r="M514" t="s">
        <v>38795</v>
      </c>
      <c r="N514" t="s">
        <v>42669</v>
      </c>
      <c r="O514" t="s">
        <v>42670</v>
      </c>
      <c r="P514">
        <v>0</v>
      </c>
      <c r="Q514">
        <v>0</v>
      </c>
      <c r="R514" t="s">
        <v>42671</v>
      </c>
      <c r="S514" t="s">
        <v>42779</v>
      </c>
      <c r="T514" t="s">
        <v>44447</v>
      </c>
      <c r="U514" t="s">
        <v>45321</v>
      </c>
      <c r="W514" t="s">
        <v>38795</v>
      </c>
      <c r="X514" t="s">
        <v>42673</v>
      </c>
    </row>
    <row r="515" spans="1:24">
      <c r="A515">
        <f>HYPERLINK("https://www.philgeps.gov.ph/GEPSNONPILOT/Tender/SplashBidNoticeAbstractUI.aspx?menuIndex=3&amp;refID=7193983&amp;Result=3","7193983")</f>
        <v>0</v>
      </c>
      <c r="B515" t="s">
        <v>42</v>
      </c>
      <c r="C515" t="s">
        <v>4012</v>
      </c>
      <c r="D515" t="s">
        <v>17154</v>
      </c>
      <c r="E515" t="s">
        <v>17740</v>
      </c>
      <c r="F515" t="s">
        <v>29372</v>
      </c>
      <c r="G515" t="s">
        <v>29380</v>
      </c>
      <c r="H515" t="s">
        <v>29389</v>
      </c>
      <c r="I515" t="s">
        <v>10408</v>
      </c>
      <c r="J515" t="s">
        <v>29957</v>
      </c>
      <c r="K515" t="s">
        <v>38495</v>
      </c>
      <c r="M515" t="s">
        <v>38795</v>
      </c>
      <c r="N515" t="s">
        <v>42669</v>
      </c>
      <c r="O515" t="s">
        <v>42670</v>
      </c>
      <c r="P515">
        <v>0</v>
      </c>
      <c r="Q515">
        <v>0</v>
      </c>
      <c r="R515" t="s">
        <v>42671</v>
      </c>
      <c r="S515" t="s">
        <v>42779</v>
      </c>
      <c r="T515" t="s">
        <v>44380</v>
      </c>
      <c r="U515" t="s">
        <v>45322</v>
      </c>
      <c r="W515" t="s">
        <v>38795</v>
      </c>
      <c r="X515" t="s">
        <v>42673</v>
      </c>
    </row>
    <row r="516" spans="1:24">
      <c r="A516">
        <f>HYPERLINK("https://www.philgeps.gov.ph/GEPSNONPILOT/Tender/SplashBidNoticeAbstractUI.aspx?menuIndex=3&amp;refID=7193972&amp;Result=3","7193972")</f>
        <v>0</v>
      </c>
      <c r="B516" t="s">
        <v>218</v>
      </c>
      <c r="C516" t="s">
        <v>4013</v>
      </c>
      <c r="D516" t="s">
        <v>17197</v>
      </c>
      <c r="E516" t="s">
        <v>17741</v>
      </c>
      <c r="F516" t="s">
        <v>29372</v>
      </c>
      <c r="G516" t="s">
        <v>29383</v>
      </c>
      <c r="H516" t="s">
        <v>11048</v>
      </c>
      <c r="I516" t="s">
        <v>3670</v>
      </c>
      <c r="J516" t="s">
        <v>29958</v>
      </c>
      <c r="K516" t="s">
        <v>38490</v>
      </c>
      <c r="M516" t="s">
        <v>38977</v>
      </c>
      <c r="N516" t="s">
        <v>42669</v>
      </c>
      <c r="O516" t="s">
        <v>42670</v>
      </c>
      <c r="P516">
        <v>0</v>
      </c>
      <c r="Q516">
        <v>1</v>
      </c>
      <c r="R516" t="s">
        <v>42671</v>
      </c>
      <c r="S516" t="s">
        <v>42779</v>
      </c>
      <c r="T516" t="s">
        <v>44427</v>
      </c>
      <c r="U516" t="s">
        <v>45323</v>
      </c>
      <c r="V516" t="s">
        <v>56382</v>
      </c>
      <c r="W516" t="s">
        <v>38977</v>
      </c>
      <c r="X516" t="s">
        <v>42673</v>
      </c>
    </row>
    <row r="517" spans="1:24">
      <c r="A517">
        <f>HYPERLINK("https://www.philgeps.gov.ph/GEPSNONPILOT/Tender/SplashBidNoticeAbstractUI.aspx?menuIndex=3&amp;refID=7193994&amp;Result=3","7193994")</f>
        <v>0</v>
      </c>
      <c r="B517" t="s">
        <v>138</v>
      </c>
      <c r="C517" t="s">
        <v>4014</v>
      </c>
      <c r="D517" t="s">
        <v>17141</v>
      </c>
      <c r="E517" t="s">
        <v>17742</v>
      </c>
      <c r="F517" t="s">
        <v>29372</v>
      </c>
      <c r="G517" t="s">
        <v>29379</v>
      </c>
      <c r="H517" t="s">
        <v>11048</v>
      </c>
      <c r="I517" t="s">
        <v>29409</v>
      </c>
      <c r="J517" t="s">
        <v>29959</v>
      </c>
      <c r="K517" t="s">
        <v>38490</v>
      </c>
      <c r="M517" t="s">
        <v>38976</v>
      </c>
      <c r="N517" t="s">
        <v>42669</v>
      </c>
      <c r="O517" t="s">
        <v>42670</v>
      </c>
      <c r="P517">
        <v>0</v>
      </c>
      <c r="Q517">
        <v>5</v>
      </c>
      <c r="R517" t="s">
        <v>42671</v>
      </c>
      <c r="S517" t="s">
        <v>42779</v>
      </c>
      <c r="T517" t="s">
        <v>44426</v>
      </c>
      <c r="U517" t="s">
        <v>45324</v>
      </c>
      <c r="W517" t="s">
        <v>38976</v>
      </c>
      <c r="X517" t="s">
        <v>42673</v>
      </c>
    </row>
    <row r="518" spans="1:24">
      <c r="A518">
        <f>HYPERLINK("https://www.philgeps.gov.ph/GEPSNONPILOT/Tender/SplashBidNoticeAbstractUI.aspx?menuIndex=3&amp;refID=7193915&amp;Result=3","7193915")</f>
        <v>0</v>
      </c>
      <c r="B518" t="s">
        <v>219</v>
      </c>
      <c r="C518" t="s">
        <v>4015</v>
      </c>
      <c r="D518" t="s">
        <v>17176</v>
      </c>
      <c r="E518" t="s">
        <v>17743</v>
      </c>
      <c r="F518" t="s">
        <v>29372</v>
      </c>
      <c r="G518" t="s">
        <v>29379</v>
      </c>
      <c r="H518" t="s">
        <v>11048</v>
      </c>
      <c r="I518" t="s">
        <v>4709</v>
      </c>
      <c r="J518" t="s">
        <v>29960</v>
      </c>
      <c r="K518" t="s">
        <v>38488</v>
      </c>
      <c r="M518" t="s">
        <v>38978</v>
      </c>
      <c r="N518" t="s">
        <v>42669</v>
      </c>
      <c r="O518" t="s">
        <v>42670</v>
      </c>
      <c r="P518">
        <v>0</v>
      </c>
      <c r="Q518">
        <v>0</v>
      </c>
      <c r="R518" t="s">
        <v>42671</v>
      </c>
      <c r="S518" t="s">
        <v>42779</v>
      </c>
      <c r="T518" t="s">
        <v>44382</v>
      </c>
      <c r="U518" t="s">
        <v>45325</v>
      </c>
      <c r="W518" t="s">
        <v>38978</v>
      </c>
      <c r="X518" t="s">
        <v>42673</v>
      </c>
    </row>
    <row r="519" spans="1:24">
      <c r="A519">
        <f>HYPERLINK("https://www.philgeps.gov.ph/GEPSNONPILOT/Tender/SplashBidNoticeAbstractUI.aspx?menuIndex=3&amp;refID=7193910&amp;Result=3","7193910")</f>
        <v>0</v>
      </c>
      <c r="B519" t="s">
        <v>220</v>
      </c>
      <c r="C519" t="s">
        <v>4016</v>
      </c>
      <c r="D519" t="s">
        <v>17197</v>
      </c>
      <c r="E519" t="s">
        <v>17744</v>
      </c>
      <c r="F519" t="s">
        <v>29372</v>
      </c>
      <c r="G519" t="s">
        <v>29383</v>
      </c>
      <c r="H519" t="s">
        <v>11048</v>
      </c>
      <c r="I519" t="s">
        <v>3670</v>
      </c>
      <c r="J519" t="s">
        <v>29961</v>
      </c>
      <c r="K519" t="s">
        <v>38534</v>
      </c>
      <c r="M519" t="s">
        <v>38979</v>
      </c>
      <c r="N519" t="s">
        <v>42669</v>
      </c>
      <c r="O519" t="s">
        <v>42670</v>
      </c>
      <c r="P519">
        <v>0</v>
      </c>
      <c r="Q519">
        <v>0</v>
      </c>
      <c r="R519" t="s">
        <v>42671</v>
      </c>
      <c r="S519" t="s">
        <v>42779</v>
      </c>
      <c r="T519" t="s">
        <v>44429</v>
      </c>
      <c r="U519" t="s">
        <v>45326</v>
      </c>
      <c r="V519" t="s">
        <v>56402</v>
      </c>
      <c r="W519" t="s">
        <v>38979</v>
      </c>
      <c r="X519" t="s">
        <v>42673</v>
      </c>
    </row>
    <row r="520" spans="1:24">
      <c r="A520">
        <f>HYPERLINK("https://www.philgeps.gov.ph/GEPSNONPILOT/Tender/SplashBidNoticeAbstractUI.aspx?menuIndex=3&amp;refID=7192487&amp;Result=3","7192487")</f>
        <v>0</v>
      </c>
      <c r="B520" t="s">
        <v>221</v>
      </c>
      <c r="C520" t="s">
        <v>4017</v>
      </c>
      <c r="D520" t="s">
        <v>17202</v>
      </c>
      <c r="E520" t="s">
        <v>17745</v>
      </c>
      <c r="F520" t="s">
        <v>29372</v>
      </c>
      <c r="G520" t="s">
        <v>29379</v>
      </c>
      <c r="H520" t="s">
        <v>11048</v>
      </c>
      <c r="I520" t="s">
        <v>3670</v>
      </c>
      <c r="J520" t="s">
        <v>29962</v>
      </c>
      <c r="K520" t="s">
        <v>38488</v>
      </c>
      <c r="M520" t="s">
        <v>38980</v>
      </c>
      <c r="N520" t="s">
        <v>42669</v>
      </c>
      <c r="O520" t="s">
        <v>42670</v>
      </c>
      <c r="P520">
        <v>0</v>
      </c>
      <c r="Q520">
        <v>0</v>
      </c>
      <c r="R520" t="s">
        <v>42671</v>
      </c>
      <c r="S520" t="s">
        <v>42779</v>
      </c>
      <c r="T520" t="s">
        <v>44448</v>
      </c>
      <c r="U520" t="s">
        <v>45327</v>
      </c>
      <c r="W520" t="s">
        <v>38980</v>
      </c>
      <c r="X520" t="s">
        <v>42676</v>
      </c>
    </row>
    <row r="521" spans="1:24">
      <c r="A521">
        <f>HYPERLINK("https://www.philgeps.gov.ph/GEPSNONPILOT/Tender/SplashBidNoticeAbstractUI.aspx?menuIndex=3&amp;refID=7194017&amp;Result=3","7194017")</f>
        <v>0</v>
      </c>
      <c r="B521" t="s">
        <v>222</v>
      </c>
      <c r="C521" t="s">
        <v>4018</v>
      </c>
      <c r="D521" t="s">
        <v>17178</v>
      </c>
      <c r="E521" t="s">
        <v>17746</v>
      </c>
      <c r="F521" t="s">
        <v>29372</v>
      </c>
      <c r="G521" t="s">
        <v>29380</v>
      </c>
      <c r="H521" t="s">
        <v>11048</v>
      </c>
      <c r="I521" t="s">
        <v>4709</v>
      </c>
      <c r="J521" t="s">
        <v>29963</v>
      </c>
      <c r="K521" t="s">
        <v>38496</v>
      </c>
      <c r="M521" t="s">
        <v>38981</v>
      </c>
      <c r="N521" t="s">
        <v>42669</v>
      </c>
      <c r="O521" t="s">
        <v>42670</v>
      </c>
      <c r="P521">
        <v>0</v>
      </c>
      <c r="Q521">
        <v>0</v>
      </c>
      <c r="R521" t="s">
        <v>42671</v>
      </c>
      <c r="S521" t="s">
        <v>42779</v>
      </c>
      <c r="T521" t="s">
        <v>44393</v>
      </c>
      <c r="U521" t="s">
        <v>45328</v>
      </c>
      <c r="W521" t="s">
        <v>38981</v>
      </c>
      <c r="X521" t="s">
        <v>42673</v>
      </c>
    </row>
    <row r="522" spans="1:24">
      <c r="A522">
        <f>HYPERLINK("https://www.philgeps.gov.ph/GEPSNONPILOT/Tender/SplashBidNoticeAbstractUI.aspx?menuIndex=3&amp;refID=7193980&amp;Result=3","7193980")</f>
        <v>0</v>
      </c>
      <c r="B522" t="s">
        <v>42</v>
      </c>
      <c r="C522" t="s">
        <v>4019</v>
      </c>
      <c r="D522" t="s">
        <v>17154</v>
      </c>
      <c r="E522" t="s">
        <v>17747</v>
      </c>
      <c r="F522" t="s">
        <v>29372</v>
      </c>
      <c r="G522" t="s">
        <v>29380</v>
      </c>
      <c r="H522" t="s">
        <v>29389</v>
      </c>
      <c r="I522" t="s">
        <v>10408</v>
      </c>
      <c r="J522" t="s">
        <v>29964</v>
      </c>
      <c r="K522" t="s">
        <v>38487</v>
      </c>
      <c r="M522" t="s">
        <v>38795</v>
      </c>
      <c r="N522" t="s">
        <v>42669</v>
      </c>
      <c r="O522" t="s">
        <v>42670</v>
      </c>
      <c r="P522">
        <v>0</v>
      </c>
      <c r="Q522">
        <v>0</v>
      </c>
      <c r="R522" t="s">
        <v>42671</v>
      </c>
      <c r="S522" t="s">
        <v>42779</v>
      </c>
      <c r="T522" t="s">
        <v>44412</v>
      </c>
      <c r="U522" t="s">
        <v>45329</v>
      </c>
      <c r="W522" t="s">
        <v>38795</v>
      </c>
      <c r="X522" t="s">
        <v>42673</v>
      </c>
    </row>
    <row r="523" spans="1:24">
      <c r="A523">
        <f>HYPERLINK("https://www.philgeps.gov.ph/GEPSNONPILOT/Tender/SplashBidNoticeAbstractUI.aspx?menuIndex=3&amp;refID=7192474&amp;Result=3","7192474")</f>
        <v>0</v>
      </c>
      <c r="B523" t="s">
        <v>52</v>
      </c>
      <c r="C523" t="s">
        <v>4020</v>
      </c>
      <c r="D523" t="s">
        <v>17160</v>
      </c>
      <c r="E523" t="s">
        <v>17748</v>
      </c>
      <c r="F523" t="s">
        <v>29372</v>
      </c>
      <c r="G523" t="s">
        <v>29379</v>
      </c>
      <c r="H523" t="s">
        <v>11048</v>
      </c>
      <c r="I523" t="s">
        <v>14920</v>
      </c>
      <c r="J523" t="s">
        <v>29965</v>
      </c>
      <c r="K523" t="s">
        <v>38522</v>
      </c>
      <c r="M523" t="s">
        <v>38805</v>
      </c>
      <c r="N523" t="s">
        <v>42669</v>
      </c>
      <c r="O523" t="s">
        <v>42670</v>
      </c>
      <c r="P523">
        <v>0</v>
      </c>
      <c r="Q523">
        <v>1</v>
      </c>
      <c r="R523" t="s">
        <v>42671</v>
      </c>
      <c r="S523" t="s">
        <v>42779</v>
      </c>
      <c r="T523" t="s">
        <v>44380</v>
      </c>
      <c r="U523" t="s">
        <v>45330</v>
      </c>
      <c r="W523" t="s">
        <v>38805</v>
      </c>
      <c r="X523" t="s">
        <v>42676</v>
      </c>
    </row>
    <row r="524" spans="1:24">
      <c r="A524">
        <f>HYPERLINK("https://www.philgeps.gov.ph/GEPSNONPILOT/Tender/SplashBidNoticeAbstractUI.aspx?menuIndex=3&amp;refID=7194046&amp;Result=3","7194046")</f>
        <v>0</v>
      </c>
      <c r="B524" t="s">
        <v>223</v>
      </c>
      <c r="C524" t="s">
        <v>4021</v>
      </c>
      <c r="D524" t="s">
        <v>17176</v>
      </c>
      <c r="E524" t="s">
        <v>17749</v>
      </c>
      <c r="F524" t="s">
        <v>29372</v>
      </c>
      <c r="G524" t="s">
        <v>29380</v>
      </c>
      <c r="H524" t="s">
        <v>29389</v>
      </c>
      <c r="I524" t="s">
        <v>10408</v>
      </c>
      <c r="J524" t="s">
        <v>29966</v>
      </c>
      <c r="K524" t="s">
        <v>38508</v>
      </c>
      <c r="M524" t="s">
        <v>38982</v>
      </c>
      <c r="N524" t="s">
        <v>42669</v>
      </c>
      <c r="O524" t="s">
        <v>42670</v>
      </c>
      <c r="P524">
        <v>0</v>
      </c>
      <c r="Q524">
        <v>0</v>
      </c>
      <c r="R524" t="s">
        <v>42671</v>
      </c>
      <c r="S524" t="s">
        <v>42779</v>
      </c>
      <c r="T524" t="s">
        <v>44449</v>
      </c>
      <c r="U524" t="s">
        <v>45331</v>
      </c>
      <c r="W524" t="s">
        <v>38982</v>
      </c>
      <c r="X524" t="s">
        <v>42672</v>
      </c>
    </row>
    <row r="525" spans="1:24">
      <c r="A525">
        <f>HYPERLINK("https://www.philgeps.gov.ph/GEPSNONPILOT/Tender/SplashBidNoticeAbstractUI.aspx?menuIndex=3&amp;refID=7192494&amp;Result=3","7192494")</f>
        <v>0</v>
      </c>
      <c r="B525" t="s">
        <v>106</v>
      </c>
      <c r="C525" t="s">
        <v>4022</v>
      </c>
      <c r="D525" t="s">
        <v>17154</v>
      </c>
      <c r="E525" t="s">
        <v>17750</v>
      </c>
      <c r="F525" t="s">
        <v>29372</v>
      </c>
      <c r="G525" t="s">
        <v>29379</v>
      </c>
      <c r="H525" t="s">
        <v>11048</v>
      </c>
      <c r="I525" t="s">
        <v>4709</v>
      </c>
      <c r="J525" t="s">
        <v>29625</v>
      </c>
      <c r="K525" t="s">
        <v>38488</v>
      </c>
      <c r="M525" t="s">
        <v>38861</v>
      </c>
      <c r="N525" t="s">
        <v>42669</v>
      </c>
      <c r="O525" t="s">
        <v>42670</v>
      </c>
      <c r="P525">
        <v>0</v>
      </c>
      <c r="Q525">
        <v>0</v>
      </c>
      <c r="R525" t="s">
        <v>42671</v>
      </c>
      <c r="S525" t="s">
        <v>42779</v>
      </c>
      <c r="T525" t="s">
        <v>44371</v>
      </c>
      <c r="U525" t="s">
        <v>45332</v>
      </c>
      <c r="V525" t="s">
        <v>56403</v>
      </c>
      <c r="W525" t="s">
        <v>38861</v>
      </c>
      <c r="X525" t="s">
        <v>42676</v>
      </c>
    </row>
    <row r="526" spans="1:24">
      <c r="A526">
        <f>HYPERLINK("https://www.philgeps.gov.ph/GEPSNONPILOT/Tender/SplashBidNoticeAbstractUI.aspx?menuIndex=3&amp;refID=7194001&amp;Result=3","7194001")</f>
        <v>0</v>
      </c>
      <c r="B526" t="s">
        <v>223</v>
      </c>
      <c r="C526" t="s">
        <v>4023</v>
      </c>
      <c r="D526" t="s">
        <v>17176</v>
      </c>
      <c r="E526" t="s">
        <v>17751</v>
      </c>
      <c r="F526" t="s">
        <v>29372</v>
      </c>
      <c r="G526" t="s">
        <v>29380</v>
      </c>
      <c r="H526" t="s">
        <v>11048</v>
      </c>
      <c r="I526" t="s">
        <v>29395</v>
      </c>
      <c r="J526" t="s">
        <v>29967</v>
      </c>
      <c r="K526" t="s">
        <v>38488</v>
      </c>
      <c r="M526" t="s">
        <v>38982</v>
      </c>
      <c r="N526" t="s">
        <v>42669</v>
      </c>
      <c r="O526" t="s">
        <v>42670</v>
      </c>
      <c r="P526">
        <v>0</v>
      </c>
      <c r="Q526">
        <v>0</v>
      </c>
      <c r="R526" t="s">
        <v>42671</v>
      </c>
      <c r="S526" t="s">
        <v>42779</v>
      </c>
      <c r="T526" t="s">
        <v>44449</v>
      </c>
      <c r="U526" t="s">
        <v>45333</v>
      </c>
      <c r="W526" t="s">
        <v>38982</v>
      </c>
      <c r="X526" t="s">
        <v>42673</v>
      </c>
    </row>
    <row r="527" spans="1:24">
      <c r="A527">
        <f>HYPERLINK("https://www.philgeps.gov.ph/GEPSNONPILOT/Tender/SplashBidNoticeAbstractUI.aspx?menuIndex=3&amp;refID=7194043&amp;Result=3","7194043")</f>
        <v>0</v>
      </c>
      <c r="B527" t="s">
        <v>223</v>
      </c>
      <c r="C527" t="s">
        <v>4024</v>
      </c>
      <c r="D527" t="s">
        <v>17176</v>
      </c>
      <c r="E527" t="s">
        <v>17752</v>
      </c>
      <c r="F527" t="s">
        <v>29372</v>
      </c>
      <c r="G527" t="s">
        <v>29380</v>
      </c>
      <c r="H527" t="s">
        <v>29389</v>
      </c>
      <c r="I527" t="s">
        <v>10408</v>
      </c>
      <c r="J527" t="s">
        <v>29968</v>
      </c>
      <c r="K527" t="s">
        <v>38549</v>
      </c>
      <c r="M527" t="s">
        <v>38982</v>
      </c>
      <c r="N527" t="s">
        <v>42669</v>
      </c>
      <c r="O527" t="s">
        <v>42670</v>
      </c>
      <c r="P527">
        <v>0</v>
      </c>
      <c r="Q527">
        <v>0</v>
      </c>
      <c r="R527" t="s">
        <v>42671</v>
      </c>
      <c r="S527" t="s">
        <v>42779</v>
      </c>
      <c r="T527" t="s">
        <v>44449</v>
      </c>
      <c r="U527" t="s">
        <v>45334</v>
      </c>
      <c r="W527" t="s">
        <v>38982</v>
      </c>
      <c r="X527" t="s">
        <v>42672</v>
      </c>
    </row>
    <row r="528" spans="1:24">
      <c r="A528">
        <f>HYPERLINK("https://www.philgeps.gov.ph/GEPSNONPILOT/Tender/SplashBidNoticeAbstractUI.aspx?menuIndex=3&amp;refID=7194042&amp;Result=3","7194042")</f>
        <v>0</v>
      </c>
      <c r="B528" t="s">
        <v>224</v>
      </c>
      <c r="C528" t="s">
        <v>4025</v>
      </c>
      <c r="D528" t="s">
        <v>17160</v>
      </c>
      <c r="E528" t="s">
        <v>17753</v>
      </c>
      <c r="F528" t="s">
        <v>29372</v>
      </c>
      <c r="G528" t="s">
        <v>29380</v>
      </c>
      <c r="H528" t="s">
        <v>29390</v>
      </c>
      <c r="I528" t="s">
        <v>9469</v>
      </c>
      <c r="J528" t="s">
        <v>29657</v>
      </c>
      <c r="K528" t="s">
        <v>38510</v>
      </c>
      <c r="M528" t="s">
        <v>38983</v>
      </c>
      <c r="N528" t="s">
        <v>42669</v>
      </c>
      <c r="O528" t="s">
        <v>42670</v>
      </c>
      <c r="P528">
        <v>0</v>
      </c>
      <c r="Q528">
        <v>0</v>
      </c>
      <c r="R528" t="s">
        <v>42671</v>
      </c>
      <c r="S528" t="s">
        <v>42779</v>
      </c>
      <c r="T528" t="s">
        <v>44356</v>
      </c>
      <c r="U528" t="s">
        <v>45335</v>
      </c>
      <c r="W528" t="s">
        <v>38983</v>
      </c>
      <c r="X528" t="s">
        <v>42672</v>
      </c>
    </row>
    <row r="529" spans="1:24">
      <c r="A529">
        <f>HYPERLINK("https://www.philgeps.gov.ph/GEPSNONPILOT/Tender/SplashBidNoticeAbstractUI.aspx?menuIndex=3&amp;refID=7194041&amp;Result=3","7194041")</f>
        <v>0</v>
      </c>
      <c r="B529" t="s">
        <v>225</v>
      </c>
      <c r="C529" t="s">
        <v>4026</v>
      </c>
      <c r="D529" t="s">
        <v>17173</v>
      </c>
      <c r="E529" t="s">
        <v>17283</v>
      </c>
      <c r="F529" t="s">
        <v>29372</v>
      </c>
      <c r="G529" t="s">
        <v>29380</v>
      </c>
      <c r="H529" t="s">
        <v>11048</v>
      </c>
      <c r="I529" t="s">
        <v>4709</v>
      </c>
      <c r="J529" t="s">
        <v>29969</v>
      </c>
      <c r="K529" t="s">
        <v>38510</v>
      </c>
      <c r="M529" t="s">
        <v>38984</v>
      </c>
      <c r="N529" t="s">
        <v>42669</v>
      </c>
      <c r="O529" t="s">
        <v>42670</v>
      </c>
      <c r="P529">
        <v>0</v>
      </c>
      <c r="Q529">
        <v>0</v>
      </c>
      <c r="R529" t="s">
        <v>42671</v>
      </c>
      <c r="S529" t="s">
        <v>42779</v>
      </c>
      <c r="T529" t="s">
        <v>44355</v>
      </c>
      <c r="U529" t="s">
        <v>45336</v>
      </c>
      <c r="W529" t="s">
        <v>38984</v>
      </c>
      <c r="X529" t="s">
        <v>42672</v>
      </c>
    </row>
    <row r="530" spans="1:24">
      <c r="A530">
        <f>HYPERLINK("https://www.philgeps.gov.ph/GEPSNONPILOT/Tender/SplashBidNoticeAbstractUI.aspx?menuIndex=3&amp;refID=7194045&amp;Result=3","7194045")</f>
        <v>0</v>
      </c>
      <c r="B530" t="s">
        <v>223</v>
      </c>
      <c r="C530" t="s">
        <v>4027</v>
      </c>
      <c r="D530" t="s">
        <v>17176</v>
      </c>
      <c r="E530" t="s">
        <v>17754</v>
      </c>
      <c r="F530" t="s">
        <v>29372</v>
      </c>
      <c r="G530" t="s">
        <v>29380</v>
      </c>
      <c r="H530" t="s">
        <v>29389</v>
      </c>
      <c r="I530" t="s">
        <v>10408</v>
      </c>
      <c r="J530" t="s">
        <v>29970</v>
      </c>
      <c r="K530" t="s">
        <v>38531</v>
      </c>
      <c r="M530" t="s">
        <v>38982</v>
      </c>
      <c r="N530" t="s">
        <v>42669</v>
      </c>
      <c r="O530" t="s">
        <v>42670</v>
      </c>
      <c r="P530">
        <v>0</v>
      </c>
      <c r="Q530">
        <v>0</v>
      </c>
      <c r="R530" t="s">
        <v>42671</v>
      </c>
      <c r="S530" t="s">
        <v>42779</v>
      </c>
      <c r="T530" t="s">
        <v>44449</v>
      </c>
      <c r="U530" t="s">
        <v>45337</v>
      </c>
      <c r="W530" t="s">
        <v>38982</v>
      </c>
      <c r="X530" t="s">
        <v>42672</v>
      </c>
    </row>
    <row r="531" spans="1:24">
      <c r="A531">
        <f>HYPERLINK("https://www.philgeps.gov.ph/GEPSNONPILOT/Tender/SplashBidNoticeAbstractUI.aspx?menuIndex=3&amp;refID=7194039&amp;Result=3","7194039")</f>
        <v>0</v>
      </c>
      <c r="B531" t="s">
        <v>226</v>
      </c>
      <c r="C531" t="s">
        <v>4028</v>
      </c>
      <c r="D531" t="s">
        <v>17189</v>
      </c>
      <c r="E531" t="s">
        <v>17755</v>
      </c>
      <c r="F531" t="s">
        <v>29372</v>
      </c>
      <c r="G531" t="s">
        <v>29383</v>
      </c>
      <c r="H531" t="s">
        <v>11048</v>
      </c>
      <c r="I531" t="s">
        <v>4487</v>
      </c>
      <c r="J531" t="s">
        <v>29590</v>
      </c>
      <c r="K531" t="s">
        <v>38528</v>
      </c>
      <c r="M531" t="s">
        <v>38985</v>
      </c>
      <c r="N531" t="s">
        <v>42669</v>
      </c>
      <c r="O531" t="s">
        <v>42670</v>
      </c>
      <c r="P531">
        <v>0</v>
      </c>
      <c r="Q531">
        <v>3</v>
      </c>
      <c r="R531" t="s">
        <v>42671</v>
      </c>
      <c r="S531" t="s">
        <v>42779</v>
      </c>
      <c r="T531" t="s">
        <v>44429</v>
      </c>
      <c r="U531" t="s">
        <v>45338</v>
      </c>
      <c r="W531" t="s">
        <v>38985</v>
      </c>
      <c r="X531" t="s">
        <v>42672</v>
      </c>
    </row>
    <row r="532" spans="1:24">
      <c r="A532">
        <f>HYPERLINK("https://www.philgeps.gov.ph/GEPSNONPILOT/Tender/SplashBidNoticeAbstractUI.aspx?menuIndex=3&amp;refID=7194018&amp;Result=3","7194018")</f>
        <v>0</v>
      </c>
      <c r="B532" t="s">
        <v>42</v>
      </c>
      <c r="C532" t="s">
        <v>4029</v>
      </c>
      <c r="D532" t="s">
        <v>17154</v>
      </c>
      <c r="E532" t="s">
        <v>17756</v>
      </c>
      <c r="F532" t="s">
        <v>29372</v>
      </c>
      <c r="G532" t="s">
        <v>29380</v>
      </c>
      <c r="H532" t="s">
        <v>29389</v>
      </c>
      <c r="I532" t="s">
        <v>10408</v>
      </c>
      <c r="J532" t="s">
        <v>29971</v>
      </c>
      <c r="K532" t="s">
        <v>38496</v>
      </c>
      <c r="M532" t="s">
        <v>38795</v>
      </c>
      <c r="N532" t="s">
        <v>42669</v>
      </c>
      <c r="O532" t="s">
        <v>42670</v>
      </c>
      <c r="P532">
        <v>0</v>
      </c>
      <c r="Q532">
        <v>0</v>
      </c>
      <c r="R532" t="s">
        <v>42671</v>
      </c>
      <c r="S532" t="s">
        <v>42779</v>
      </c>
      <c r="T532" t="s">
        <v>44450</v>
      </c>
      <c r="U532" t="s">
        <v>45339</v>
      </c>
      <c r="W532" t="s">
        <v>38795</v>
      </c>
      <c r="X532" t="s">
        <v>42673</v>
      </c>
    </row>
    <row r="533" spans="1:24">
      <c r="A533">
        <f>HYPERLINK("https://www.philgeps.gov.ph/GEPSNONPILOT/Tender/SplashBidNoticeAbstractUI.aspx?menuIndex=3&amp;refID=7194037&amp;Result=3","7194037")</f>
        <v>0</v>
      </c>
      <c r="B533" t="s">
        <v>227</v>
      </c>
      <c r="C533" t="s">
        <v>4030</v>
      </c>
      <c r="E533" t="s">
        <v>17757</v>
      </c>
      <c r="F533" t="s">
        <v>29372</v>
      </c>
      <c r="G533" t="s">
        <v>29383</v>
      </c>
      <c r="H533" t="s">
        <v>11048</v>
      </c>
      <c r="I533" t="s">
        <v>14920</v>
      </c>
      <c r="J533" t="s">
        <v>29650</v>
      </c>
      <c r="K533" t="s">
        <v>38490</v>
      </c>
      <c r="M533" t="s">
        <v>38986</v>
      </c>
      <c r="N533" t="s">
        <v>42669</v>
      </c>
      <c r="O533" t="s">
        <v>42670</v>
      </c>
      <c r="P533">
        <v>0</v>
      </c>
      <c r="Q533">
        <v>0</v>
      </c>
      <c r="R533" t="s">
        <v>42671</v>
      </c>
      <c r="S533" t="s">
        <v>42779</v>
      </c>
      <c r="T533" t="s">
        <v>44451</v>
      </c>
      <c r="U533" t="s">
        <v>45340</v>
      </c>
      <c r="W533" t="s">
        <v>38986</v>
      </c>
      <c r="X533" t="s">
        <v>42672</v>
      </c>
    </row>
    <row r="534" spans="1:24">
      <c r="A534">
        <f>HYPERLINK("https://www.philgeps.gov.ph/GEPSNONPILOT/Tender/SplashBidNoticeAbstractUI.aspx?menuIndex=3&amp;refID=7194044&amp;Result=3","7194044")</f>
        <v>0</v>
      </c>
      <c r="B534" t="s">
        <v>223</v>
      </c>
      <c r="C534" t="s">
        <v>4031</v>
      </c>
      <c r="D534" t="s">
        <v>17176</v>
      </c>
      <c r="E534" t="s">
        <v>17758</v>
      </c>
      <c r="F534" t="s">
        <v>29372</v>
      </c>
      <c r="G534" t="s">
        <v>29380</v>
      </c>
      <c r="H534" t="s">
        <v>29389</v>
      </c>
      <c r="I534" t="s">
        <v>10408</v>
      </c>
      <c r="J534" t="s">
        <v>29972</v>
      </c>
      <c r="K534" t="s">
        <v>38554</v>
      </c>
      <c r="M534" t="s">
        <v>38982</v>
      </c>
      <c r="N534" t="s">
        <v>42669</v>
      </c>
      <c r="O534" t="s">
        <v>42670</v>
      </c>
      <c r="P534">
        <v>0</v>
      </c>
      <c r="Q534">
        <v>0</v>
      </c>
      <c r="R534" t="s">
        <v>42671</v>
      </c>
      <c r="S534" t="s">
        <v>42779</v>
      </c>
      <c r="T534" t="s">
        <v>44449</v>
      </c>
      <c r="U534" t="s">
        <v>45341</v>
      </c>
      <c r="W534" t="s">
        <v>38982</v>
      </c>
      <c r="X534" t="s">
        <v>42672</v>
      </c>
    </row>
    <row r="535" spans="1:24">
      <c r="A535">
        <f>HYPERLINK("https://www.philgeps.gov.ph/GEPSNONPILOT/Tender/SplashBidNoticeAbstractUI.aspx?menuIndex=3&amp;refID=7194035&amp;Result=3","7194035")</f>
        <v>0</v>
      </c>
      <c r="B535" t="s">
        <v>228</v>
      </c>
      <c r="C535" t="s">
        <v>4032</v>
      </c>
      <c r="D535" t="s">
        <v>17141</v>
      </c>
      <c r="E535" t="s">
        <v>17759</v>
      </c>
      <c r="F535" t="s">
        <v>29373</v>
      </c>
      <c r="G535" t="s">
        <v>29380</v>
      </c>
      <c r="H535" t="s">
        <v>11048</v>
      </c>
      <c r="I535" t="s">
        <v>29441</v>
      </c>
      <c r="J535" t="s">
        <v>29973</v>
      </c>
      <c r="K535" t="s">
        <v>38485</v>
      </c>
      <c r="M535" t="s">
        <v>38987</v>
      </c>
      <c r="N535" t="s">
        <v>42669</v>
      </c>
      <c r="O535" t="s">
        <v>42670</v>
      </c>
      <c r="P535">
        <v>0</v>
      </c>
      <c r="Q535">
        <v>0</v>
      </c>
      <c r="R535" t="s">
        <v>42671</v>
      </c>
      <c r="S535" t="s">
        <v>42779</v>
      </c>
      <c r="T535" t="s">
        <v>44390</v>
      </c>
      <c r="U535" t="s">
        <v>45342</v>
      </c>
      <c r="W535" t="s">
        <v>38987</v>
      </c>
      <c r="X535" t="s">
        <v>42672</v>
      </c>
    </row>
    <row r="536" spans="1:24">
      <c r="A536">
        <f>HYPERLINK("https://www.philgeps.gov.ph/GEPSNONPILOT/Tender/SplashBidNoticeAbstractUI.aspx?menuIndex=3&amp;refID=7194031&amp;Result=3","7194031")</f>
        <v>0</v>
      </c>
      <c r="B536" t="s">
        <v>229</v>
      </c>
      <c r="C536" t="s">
        <v>4033</v>
      </c>
      <c r="D536" t="s">
        <v>17141</v>
      </c>
      <c r="E536" t="s">
        <v>17730</v>
      </c>
      <c r="F536" t="s">
        <v>29372</v>
      </c>
      <c r="G536" t="s">
        <v>29379</v>
      </c>
      <c r="H536" t="s">
        <v>11048</v>
      </c>
      <c r="I536" t="s">
        <v>29433</v>
      </c>
      <c r="J536" t="s">
        <v>29587</v>
      </c>
      <c r="K536" t="s">
        <v>38496</v>
      </c>
      <c r="M536" t="s">
        <v>38988</v>
      </c>
      <c r="N536" t="s">
        <v>42669</v>
      </c>
      <c r="O536" t="s">
        <v>42670</v>
      </c>
      <c r="P536">
        <v>0</v>
      </c>
      <c r="Q536">
        <v>2</v>
      </c>
      <c r="R536" t="s">
        <v>42671</v>
      </c>
      <c r="S536" t="s">
        <v>42779</v>
      </c>
      <c r="T536" t="s">
        <v>44371</v>
      </c>
      <c r="U536" t="s">
        <v>45343</v>
      </c>
      <c r="W536" t="s">
        <v>38988</v>
      </c>
      <c r="X536" t="s">
        <v>42672</v>
      </c>
    </row>
    <row r="537" spans="1:24">
      <c r="A537">
        <f>HYPERLINK("https://www.philgeps.gov.ph/GEPSNONPILOT/Tender/SplashBidNoticeAbstractUI.aspx?menuIndex=3&amp;refID=7194026&amp;Result=3","7194026")</f>
        <v>0</v>
      </c>
      <c r="B537" t="s">
        <v>229</v>
      </c>
      <c r="C537" t="s">
        <v>4034</v>
      </c>
      <c r="D537" t="s">
        <v>17141</v>
      </c>
      <c r="E537" t="s">
        <v>17399</v>
      </c>
      <c r="F537" t="s">
        <v>29372</v>
      </c>
      <c r="G537" t="s">
        <v>29379</v>
      </c>
      <c r="H537" t="s">
        <v>11048</v>
      </c>
      <c r="I537" t="s">
        <v>29409</v>
      </c>
      <c r="J537" t="s">
        <v>29680</v>
      </c>
      <c r="K537" t="s">
        <v>38496</v>
      </c>
      <c r="M537" t="s">
        <v>38988</v>
      </c>
      <c r="N537" t="s">
        <v>42669</v>
      </c>
      <c r="O537" t="s">
        <v>42670</v>
      </c>
      <c r="P537">
        <v>0</v>
      </c>
      <c r="Q537">
        <v>10</v>
      </c>
      <c r="R537" t="s">
        <v>42671</v>
      </c>
      <c r="S537" t="s">
        <v>42779</v>
      </c>
      <c r="T537" t="s">
        <v>44371</v>
      </c>
      <c r="U537" t="s">
        <v>45344</v>
      </c>
      <c r="W537" t="s">
        <v>38988</v>
      </c>
      <c r="X537" t="s">
        <v>42672</v>
      </c>
    </row>
    <row r="538" spans="1:24">
      <c r="A538">
        <f>HYPERLINK("https://www.philgeps.gov.ph/GEPSNONPILOT/Tender/SplashBidNoticeAbstractUI.aspx?menuIndex=3&amp;refID=7194040&amp;Result=3","7194040")</f>
        <v>0</v>
      </c>
      <c r="B538" t="s">
        <v>230</v>
      </c>
      <c r="C538" t="s">
        <v>4025</v>
      </c>
      <c r="D538" t="s">
        <v>17160</v>
      </c>
      <c r="E538" t="s">
        <v>17760</v>
      </c>
      <c r="F538" t="s">
        <v>29372</v>
      </c>
      <c r="G538" t="s">
        <v>29380</v>
      </c>
      <c r="H538" t="s">
        <v>29390</v>
      </c>
      <c r="I538" t="s">
        <v>9469</v>
      </c>
      <c r="J538" t="s">
        <v>29657</v>
      </c>
      <c r="K538" t="s">
        <v>38510</v>
      </c>
      <c r="M538" t="s">
        <v>38989</v>
      </c>
      <c r="N538" t="s">
        <v>42669</v>
      </c>
      <c r="O538" t="s">
        <v>42670</v>
      </c>
      <c r="P538">
        <v>0</v>
      </c>
      <c r="Q538">
        <v>0</v>
      </c>
      <c r="R538" t="s">
        <v>42671</v>
      </c>
      <c r="S538" t="s">
        <v>42779</v>
      </c>
      <c r="T538" t="s">
        <v>44356</v>
      </c>
      <c r="U538" t="s">
        <v>45345</v>
      </c>
      <c r="W538" t="s">
        <v>38989</v>
      </c>
      <c r="X538" t="s">
        <v>42672</v>
      </c>
    </row>
    <row r="539" spans="1:24">
      <c r="A539">
        <f>HYPERLINK("https://www.philgeps.gov.ph/GEPSNONPILOT/Tender/SplashBidNoticeAbstractUI.aspx?menuIndex=3&amp;refID=7194025&amp;Result=3","7194025")</f>
        <v>0</v>
      </c>
      <c r="B539" t="s">
        <v>228</v>
      </c>
      <c r="C539" t="s">
        <v>4035</v>
      </c>
      <c r="D539" t="s">
        <v>17141</v>
      </c>
      <c r="E539" t="s">
        <v>17761</v>
      </c>
      <c r="F539" t="s">
        <v>29373</v>
      </c>
      <c r="G539" t="s">
        <v>29380</v>
      </c>
      <c r="H539" t="s">
        <v>11048</v>
      </c>
      <c r="I539" t="s">
        <v>4487</v>
      </c>
      <c r="J539" t="s">
        <v>29974</v>
      </c>
      <c r="K539" t="s">
        <v>38491</v>
      </c>
      <c r="M539" t="s">
        <v>38987</v>
      </c>
      <c r="N539" t="s">
        <v>42669</v>
      </c>
      <c r="O539" t="s">
        <v>42670</v>
      </c>
      <c r="P539">
        <v>0</v>
      </c>
      <c r="Q539">
        <v>1</v>
      </c>
      <c r="R539" t="s">
        <v>42671</v>
      </c>
      <c r="S539" t="s">
        <v>42779</v>
      </c>
      <c r="T539" t="s">
        <v>44390</v>
      </c>
      <c r="U539" t="s">
        <v>45346</v>
      </c>
      <c r="W539" t="s">
        <v>38987</v>
      </c>
      <c r="X539" t="s">
        <v>42672</v>
      </c>
    </row>
    <row r="540" spans="1:24">
      <c r="A540">
        <f>HYPERLINK("https://www.philgeps.gov.ph/GEPSNONPILOT/Tender/SplashBidNoticeAbstractUI.aspx?menuIndex=3&amp;refID=7193988&amp;Result=3","7193988")</f>
        <v>0</v>
      </c>
      <c r="B540" t="s">
        <v>138</v>
      </c>
      <c r="C540" t="s">
        <v>4036</v>
      </c>
      <c r="D540" t="s">
        <v>17141</v>
      </c>
      <c r="E540" t="s">
        <v>17762</v>
      </c>
      <c r="F540" t="s">
        <v>29372</v>
      </c>
      <c r="G540" t="s">
        <v>29379</v>
      </c>
      <c r="H540" t="s">
        <v>11048</v>
      </c>
      <c r="I540" t="s">
        <v>3629</v>
      </c>
      <c r="J540" t="s">
        <v>29975</v>
      </c>
      <c r="K540" t="s">
        <v>38490</v>
      </c>
      <c r="M540" t="s">
        <v>38976</v>
      </c>
      <c r="N540" t="s">
        <v>42669</v>
      </c>
      <c r="O540" t="s">
        <v>42670</v>
      </c>
      <c r="P540">
        <v>0</v>
      </c>
      <c r="Q540">
        <v>2</v>
      </c>
      <c r="R540" t="s">
        <v>42671</v>
      </c>
      <c r="S540" t="s">
        <v>42779</v>
      </c>
      <c r="T540" t="s">
        <v>44426</v>
      </c>
      <c r="U540" t="s">
        <v>45347</v>
      </c>
      <c r="W540" t="s">
        <v>38976</v>
      </c>
      <c r="X540" t="s">
        <v>42673</v>
      </c>
    </row>
    <row r="541" spans="1:24">
      <c r="A541">
        <f>HYPERLINK("https://www.philgeps.gov.ph/GEPSNONPILOT/Tender/SplashBidNoticeAbstractUI.aspx?menuIndex=3&amp;refID=7194024&amp;Result=3","7194024")</f>
        <v>0</v>
      </c>
      <c r="B541" t="s">
        <v>228</v>
      </c>
      <c r="C541" t="s">
        <v>4037</v>
      </c>
      <c r="D541" t="s">
        <v>17141</v>
      </c>
      <c r="E541" t="s">
        <v>17763</v>
      </c>
      <c r="F541" t="s">
        <v>29373</v>
      </c>
      <c r="G541" t="s">
        <v>29380</v>
      </c>
      <c r="H541" t="s">
        <v>11048</v>
      </c>
      <c r="I541" t="s">
        <v>29407</v>
      </c>
      <c r="J541" t="s">
        <v>29526</v>
      </c>
      <c r="K541" t="s">
        <v>38491</v>
      </c>
      <c r="M541" t="s">
        <v>38987</v>
      </c>
      <c r="N541" t="s">
        <v>42669</v>
      </c>
      <c r="O541" t="s">
        <v>42670</v>
      </c>
      <c r="P541">
        <v>0</v>
      </c>
      <c r="Q541">
        <v>3</v>
      </c>
      <c r="R541" t="s">
        <v>42671</v>
      </c>
      <c r="S541" t="s">
        <v>42779</v>
      </c>
      <c r="T541" t="s">
        <v>44390</v>
      </c>
      <c r="U541" t="s">
        <v>45348</v>
      </c>
      <c r="W541" t="s">
        <v>38987</v>
      </c>
      <c r="X541" t="s">
        <v>42672</v>
      </c>
    </row>
    <row r="542" spans="1:24">
      <c r="A542">
        <f>HYPERLINK("https://www.philgeps.gov.ph/GEPSNONPILOT/Tender/SplashBidNoticeAbstractUI.aspx?menuIndex=3&amp;refID=7194023&amp;Result=3","7194023")</f>
        <v>0</v>
      </c>
      <c r="B542" t="s">
        <v>228</v>
      </c>
      <c r="C542" t="s">
        <v>4038</v>
      </c>
      <c r="D542" t="s">
        <v>17141</v>
      </c>
      <c r="E542" t="s">
        <v>17764</v>
      </c>
      <c r="F542" t="s">
        <v>29373</v>
      </c>
      <c r="G542" t="s">
        <v>29380</v>
      </c>
      <c r="H542" t="s">
        <v>11048</v>
      </c>
      <c r="I542" t="s">
        <v>3839</v>
      </c>
      <c r="J542" t="s">
        <v>29976</v>
      </c>
      <c r="K542" t="s">
        <v>38491</v>
      </c>
      <c r="M542" t="s">
        <v>38987</v>
      </c>
      <c r="N542" t="s">
        <v>42669</v>
      </c>
      <c r="O542" t="s">
        <v>42670</v>
      </c>
      <c r="P542">
        <v>0</v>
      </c>
      <c r="Q542">
        <v>4</v>
      </c>
      <c r="R542" t="s">
        <v>42671</v>
      </c>
      <c r="S542" t="s">
        <v>42779</v>
      </c>
      <c r="T542" t="s">
        <v>44452</v>
      </c>
      <c r="U542" t="s">
        <v>45349</v>
      </c>
      <c r="W542" t="s">
        <v>38987</v>
      </c>
      <c r="X542" t="s">
        <v>42672</v>
      </c>
    </row>
    <row r="543" spans="1:24">
      <c r="A543">
        <f>HYPERLINK("https://www.philgeps.gov.ph/GEPSNONPILOT/Tender/SplashBidNoticeAbstractUI.aspx?menuIndex=3&amp;refID=7194036&amp;Result=3","7194036")</f>
        <v>0</v>
      </c>
      <c r="B543" t="s">
        <v>231</v>
      </c>
      <c r="C543" t="s">
        <v>4039</v>
      </c>
      <c r="D543" t="s">
        <v>17166</v>
      </c>
      <c r="E543" t="s">
        <v>17765</v>
      </c>
      <c r="F543" t="s">
        <v>29372</v>
      </c>
      <c r="G543" t="s">
        <v>29380</v>
      </c>
      <c r="H543" t="s">
        <v>11048</v>
      </c>
      <c r="I543" t="s">
        <v>29426</v>
      </c>
      <c r="J543" t="s">
        <v>29977</v>
      </c>
      <c r="K543" t="s">
        <v>38485</v>
      </c>
      <c r="M543" t="s">
        <v>38990</v>
      </c>
      <c r="N543" t="s">
        <v>42669</v>
      </c>
      <c r="O543" t="s">
        <v>42670</v>
      </c>
      <c r="P543">
        <v>0</v>
      </c>
      <c r="Q543">
        <v>1</v>
      </c>
      <c r="R543" t="s">
        <v>42671</v>
      </c>
      <c r="S543" t="s">
        <v>42779</v>
      </c>
      <c r="T543" t="s">
        <v>44354</v>
      </c>
      <c r="U543" t="s">
        <v>45350</v>
      </c>
      <c r="W543" t="s">
        <v>38990</v>
      </c>
      <c r="X543" t="s">
        <v>42672</v>
      </c>
    </row>
    <row r="544" spans="1:24">
      <c r="A544">
        <f>HYPERLINK("https://www.philgeps.gov.ph/GEPSNONPILOT/Tender/SplashBidNoticeAbstractUI.aspx?menuIndex=3&amp;refID=7192323&amp;Result=3","7192323")</f>
        <v>0</v>
      </c>
      <c r="B544" t="s">
        <v>131</v>
      </c>
      <c r="C544" t="s">
        <v>4040</v>
      </c>
      <c r="D544" t="s">
        <v>17178</v>
      </c>
      <c r="E544" t="s">
        <v>17766</v>
      </c>
      <c r="F544" t="s">
        <v>29372</v>
      </c>
      <c r="G544" t="s">
        <v>29379</v>
      </c>
      <c r="H544" t="s">
        <v>11048</v>
      </c>
      <c r="I544" t="s">
        <v>29433</v>
      </c>
      <c r="J544" t="s">
        <v>29978</v>
      </c>
      <c r="K544" t="s">
        <v>38490</v>
      </c>
      <c r="M544" t="s">
        <v>38886</v>
      </c>
      <c r="N544" t="s">
        <v>42669</v>
      </c>
      <c r="O544" t="s">
        <v>42670</v>
      </c>
      <c r="P544">
        <v>0</v>
      </c>
      <c r="Q544">
        <v>4</v>
      </c>
      <c r="R544" t="s">
        <v>42671</v>
      </c>
      <c r="S544" t="s">
        <v>42779</v>
      </c>
      <c r="T544" t="s">
        <v>44418</v>
      </c>
      <c r="U544" t="s">
        <v>45351</v>
      </c>
      <c r="V544" t="s">
        <v>56404</v>
      </c>
      <c r="W544" t="s">
        <v>38886</v>
      </c>
      <c r="X544" t="s">
        <v>42676</v>
      </c>
    </row>
    <row r="545" spans="1:24">
      <c r="A545">
        <f>HYPERLINK("https://www.philgeps.gov.ph/GEPSNONPILOT/Tender/SplashBidNoticeAbstractUI.aspx?menuIndex=3&amp;refID=7194029&amp;Result=3","7194029")</f>
        <v>0</v>
      </c>
      <c r="B545" t="s">
        <v>229</v>
      </c>
      <c r="C545" t="s">
        <v>4041</v>
      </c>
      <c r="D545" t="s">
        <v>17141</v>
      </c>
      <c r="E545" t="s">
        <v>17479</v>
      </c>
      <c r="F545" t="s">
        <v>29372</v>
      </c>
      <c r="G545" t="s">
        <v>29379</v>
      </c>
      <c r="H545" t="s">
        <v>11048</v>
      </c>
      <c r="I545" t="s">
        <v>29433</v>
      </c>
      <c r="J545" t="s">
        <v>29555</v>
      </c>
      <c r="K545" t="s">
        <v>38496</v>
      </c>
      <c r="M545" t="s">
        <v>38988</v>
      </c>
      <c r="N545" t="s">
        <v>42669</v>
      </c>
      <c r="O545" t="s">
        <v>42670</v>
      </c>
      <c r="P545">
        <v>0</v>
      </c>
      <c r="Q545">
        <v>9</v>
      </c>
      <c r="R545" t="s">
        <v>42671</v>
      </c>
      <c r="S545" t="s">
        <v>42779</v>
      </c>
      <c r="T545" t="s">
        <v>44371</v>
      </c>
      <c r="U545" t="s">
        <v>45352</v>
      </c>
      <c r="W545" t="s">
        <v>38988</v>
      </c>
      <c r="X545" t="s">
        <v>42672</v>
      </c>
    </row>
    <row r="546" spans="1:24">
      <c r="A546">
        <f>HYPERLINK("https://www.philgeps.gov.ph/GEPSNONPILOT/Tender/SplashBidNoticeAbstractUI.aspx?menuIndex=3&amp;refID=7192322&amp;Result=3","7192322")</f>
        <v>0</v>
      </c>
      <c r="B546" t="s">
        <v>134</v>
      </c>
      <c r="C546" t="s">
        <v>4042</v>
      </c>
      <c r="D546" t="s">
        <v>17177</v>
      </c>
      <c r="E546" t="s">
        <v>17767</v>
      </c>
      <c r="F546" t="s">
        <v>29372</v>
      </c>
      <c r="G546" t="s">
        <v>29379</v>
      </c>
      <c r="H546" t="s">
        <v>11048</v>
      </c>
      <c r="I546" t="s">
        <v>29395</v>
      </c>
      <c r="J546" t="s">
        <v>29979</v>
      </c>
      <c r="K546" t="s">
        <v>38528</v>
      </c>
      <c r="M546" t="s">
        <v>38889</v>
      </c>
      <c r="N546" t="s">
        <v>42669</v>
      </c>
      <c r="O546" t="s">
        <v>42670</v>
      </c>
      <c r="P546">
        <v>0</v>
      </c>
      <c r="Q546">
        <v>0</v>
      </c>
      <c r="R546" t="s">
        <v>42671</v>
      </c>
      <c r="S546" t="s">
        <v>42779</v>
      </c>
      <c r="T546" t="s">
        <v>44382</v>
      </c>
      <c r="U546" t="s">
        <v>45353</v>
      </c>
      <c r="W546" t="s">
        <v>38889</v>
      </c>
      <c r="X546" t="s">
        <v>42676</v>
      </c>
    </row>
    <row r="547" spans="1:24">
      <c r="A547">
        <f>HYPERLINK("https://www.philgeps.gov.ph/GEPSNONPILOT/Tender/SplashBidNoticeAbstractUI.aspx?menuIndex=3&amp;refID=7194028&amp;Result=3","7194028")</f>
        <v>0</v>
      </c>
      <c r="B547" t="s">
        <v>229</v>
      </c>
      <c r="C547" t="s">
        <v>4043</v>
      </c>
      <c r="D547" t="s">
        <v>17141</v>
      </c>
      <c r="E547" t="s">
        <v>17434</v>
      </c>
      <c r="F547" t="s">
        <v>29372</v>
      </c>
      <c r="G547" t="s">
        <v>29379</v>
      </c>
      <c r="H547" t="s">
        <v>11048</v>
      </c>
      <c r="I547" t="s">
        <v>29433</v>
      </c>
      <c r="J547" t="s">
        <v>29980</v>
      </c>
      <c r="K547" t="s">
        <v>38496</v>
      </c>
      <c r="M547" t="s">
        <v>38988</v>
      </c>
      <c r="N547" t="s">
        <v>42669</v>
      </c>
      <c r="O547" t="s">
        <v>42670</v>
      </c>
      <c r="P547">
        <v>0</v>
      </c>
      <c r="Q547">
        <v>10</v>
      </c>
      <c r="R547" t="s">
        <v>42671</v>
      </c>
      <c r="S547" t="s">
        <v>42779</v>
      </c>
      <c r="T547" t="s">
        <v>44371</v>
      </c>
      <c r="U547" t="s">
        <v>45354</v>
      </c>
      <c r="W547" t="s">
        <v>38988</v>
      </c>
      <c r="X547" t="s">
        <v>42672</v>
      </c>
    </row>
    <row r="548" spans="1:24">
      <c r="A548">
        <f>HYPERLINK("https://www.philgeps.gov.ph/GEPSNONPILOT/Tender/SplashBidNoticeAbstractUI.aspx?menuIndex=3&amp;refID=7193986&amp;Result=3","7193986")</f>
        <v>0</v>
      </c>
      <c r="B548" t="s">
        <v>42</v>
      </c>
      <c r="C548" t="s">
        <v>4044</v>
      </c>
      <c r="D548" t="s">
        <v>17154</v>
      </c>
      <c r="E548" t="s">
        <v>17768</v>
      </c>
      <c r="F548" t="s">
        <v>29372</v>
      </c>
      <c r="G548" t="s">
        <v>29380</v>
      </c>
      <c r="H548" t="s">
        <v>29389</v>
      </c>
      <c r="I548" t="s">
        <v>10408</v>
      </c>
      <c r="J548" t="s">
        <v>29981</v>
      </c>
      <c r="K548" t="s">
        <v>38496</v>
      </c>
      <c r="M548" t="s">
        <v>38795</v>
      </c>
      <c r="N548" t="s">
        <v>42669</v>
      </c>
      <c r="O548" t="s">
        <v>42670</v>
      </c>
      <c r="P548">
        <v>0</v>
      </c>
      <c r="Q548">
        <v>0</v>
      </c>
      <c r="R548" t="s">
        <v>42671</v>
      </c>
      <c r="S548" t="s">
        <v>42779</v>
      </c>
      <c r="T548" t="s">
        <v>44453</v>
      </c>
      <c r="U548" t="s">
        <v>45355</v>
      </c>
      <c r="W548" t="s">
        <v>38795</v>
      </c>
      <c r="X548" t="s">
        <v>42673</v>
      </c>
    </row>
    <row r="549" spans="1:24">
      <c r="A549">
        <f>HYPERLINK("https://www.philgeps.gov.ph/GEPSNONPILOT/Tender/SplashBidNoticeAbstractUI.aspx?menuIndex=3&amp;refID=7194066&amp;Result=3","7194066")</f>
        <v>0</v>
      </c>
      <c r="B549" t="s">
        <v>232</v>
      </c>
      <c r="C549" t="s">
        <v>4045</v>
      </c>
      <c r="D549" t="s">
        <v>17186</v>
      </c>
      <c r="E549" t="s">
        <v>17769</v>
      </c>
      <c r="F549" t="s">
        <v>29372</v>
      </c>
      <c r="G549" t="s">
        <v>29383</v>
      </c>
      <c r="H549" t="s">
        <v>11048</v>
      </c>
      <c r="I549" t="s">
        <v>29409</v>
      </c>
      <c r="J549" t="s">
        <v>29929</v>
      </c>
      <c r="K549" t="s">
        <v>38528</v>
      </c>
      <c r="M549" t="s">
        <v>38991</v>
      </c>
      <c r="N549" t="s">
        <v>42669</v>
      </c>
      <c r="O549" t="s">
        <v>42670</v>
      </c>
      <c r="P549">
        <v>0</v>
      </c>
      <c r="Q549">
        <v>1</v>
      </c>
      <c r="R549" t="s">
        <v>42671</v>
      </c>
      <c r="S549" t="s">
        <v>42779</v>
      </c>
      <c r="T549" t="s">
        <v>44454</v>
      </c>
      <c r="U549" t="s">
        <v>45356</v>
      </c>
      <c r="W549" t="s">
        <v>38991</v>
      </c>
      <c r="X549" t="s">
        <v>42672</v>
      </c>
    </row>
    <row r="550" spans="1:24">
      <c r="A550">
        <f>HYPERLINK("https://www.philgeps.gov.ph/GEPSNONPILOT/Tender/SplashBidNoticeAbstractUI.aspx?menuIndex=3&amp;refID=7194064&amp;Result=3","7194064")</f>
        <v>0</v>
      </c>
      <c r="B550" t="s">
        <v>233</v>
      </c>
      <c r="C550" t="s">
        <v>4046</v>
      </c>
      <c r="D550" t="s">
        <v>17203</v>
      </c>
      <c r="E550" t="s">
        <v>17770</v>
      </c>
      <c r="F550" t="s">
        <v>29372</v>
      </c>
      <c r="G550" t="s">
        <v>29379</v>
      </c>
      <c r="H550" t="s">
        <v>11048</v>
      </c>
      <c r="I550" t="s">
        <v>4709</v>
      </c>
      <c r="J550" t="s">
        <v>29982</v>
      </c>
      <c r="K550" t="s">
        <v>38488</v>
      </c>
      <c r="M550" t="s">
        <v>38992</v>
      </c>
      <c r="N550" t="s">
        <v>42669</v>
      </c>
      <c r="O550" t="s">
        <v>42670</v>
      </c>
      <c r="P550">
        <v>0</v>
      </c>
      <c r="Q550">
        <v>0</v>
      </c>
      <c r="R550" t="s">
        <v>42671</v>
      </c>
      <c r="S550" t="s">
        <v>42779</v>
      </c>
      <c r="T550" t="s">
        <v>44373</v>
      </c>
      <c r="U550" t="s">
        <v>45357</v>
      </c>
      <c r="W550" t="s">
        <v>38992</v>
      </c>
      <c r="X550" t="s">
        <v>42672</v>
      </c>
    </row>
    <row r="551" spans="1:24">
      <c r="A551">
        <f>HYPERLINK("https://www.philgeps.gov.ph/GEPSNONPILOT/Tender/SplashBidNoticeAbstractUI.aspx?menuIndex=3&amp;refID=7194022&amp;Result=3","7194022")</f>
        <v>0</v>
      </c>
      <c r="B551" t="s">
        <v>42</v>
      </c>
      <c r="C551" t="s">
        <v>4047</v>
      </c>
      <c r="D551" t="s">
        <v>17154</v>
      </c>
      <c r="E551" t="s">
        <v>17771</v>
      </c>
      <c r="F551" t="s">
        <v>29372</v>
      </c>
      <c r="G551" t="s">
        <v>29380</v>
      </c>
      <c r="H551" t="s">
        <v>29389</v>
      </c>
      <c r="I551" t="s">
        <v>10408</v>
      </c>
      <c r="J551" t="s">
        <v>29983</v>
      </c>
      <c r="K551" t="s">
        <v>38496</v>
      </c>
      <c r="M551" t="s">
        <v>38795</v>
      </c>
      <c r="N551" t="s">
        <v>42669</v>
      </c>
      <c r="O551" t="s">
        <v>42670</v>
      </c>
      <c r="P551">
        <v>0</v>
      </c>
      <c r="Q551">
        <v>0</v>
      </c>
      <c r="R551" t="s">
        <v>42671</v>
      </c>
      <c r="S551" t="s">
        <v>42779</v>
      </c>
      <c r="T551" t="s">
        <v>44455</v>
      </c>
      <c r="U551" t="s">
        <v>45339</v>
      </c>
      <c r="W551" t="s">
        <v>38795</v>
      </c>
      <c r="X551" t="s">
        <v>42672</v>
      </c>
    </row>
    <row r="552" spans="1:24">
      <c r="A552">
        <f>HYPERLINK("https://www.philgeps.gov.ph/GEPSNONPILOT/Tender/SplashBidNoticeAbstractUI.aspx?menuIndex=3&amp;refID=7194062&amp;Result=3","7194062")</f>
        <v>0</v>
      </c>
      <c r="B552" t="s">
        <v>234</v>
      </c>
      <c r="C552" t="s">
        <v>4048</v>
      </c>
      <c r="D552" t="s">
        <v>17141</v>
      </c>
      <c r="E552" t="s">
        <v>17772</v>
      </c>
      <c r="F552" t="s">
        <v>29373</v>
      </c>
      <c r="G552" t="s">
        <v>29386</v>
      </c>
      <c r="H552" t="s">
        <v>29391</v>
      </c>
      <c r="I552" t="s">
        <v>29391</v>
      </c>
      <c r="J552" t="s">
        <v>29984</v>
      </c>
      <c r="K552" t="s">
        <v>38486</v>
      </c>
      <c r="M552" t="s">
        <v>38993</v>
      </c>
      <c r="N552" t="s">
        <v>42669</v>
      </c>
      <c r="O552" t="s">
        <v>42670</v>
      </c>
      <c r="P552">
        <v>0</v>
      </c>
      <c r="Q552">
        <v>0</v>
      </c>
      <c r="R552" t="s">
        <v>42671</v>
      </c>
      <c r="S552" t="s">
        <v>42779</v>
      </c>
      <c r="T552" t="s">
        <v>44389</v>
      </c>
      <c r="U552" t="s">
        <v>45358</v>
      </c>
      <c r="W552" t="s">
        <v>38993</v>
      </c>
      <c r="X552" t="s">
        <v>42672</v>
      </c>
    </row>
    <row r="553" spans="1:24">
      <c r="A553">
        <f>HYPERLINK("https://www.philgeps.gov.ph/GEPSNONPILOT/Tender/SplashBidNoticeAbstractUI.aspx?menuIndex=3&amp;refID=7194061&amp;Result=3","7194061")</f>
        <v>0</v>
      </c>
      <c r="B553" t="s">
        <v>235</v>
      </c>
      <c r="C553" t="s">
        <v>4049</v>
      </c>
      <c r="D553" t="s">
        <v>17185</v>
      </c>
      <c r="E553" t="s">
        <v>17773</v>
      </c>
      <c r="F553" t="s">
        <v>29372</v>
      </c>
      <c r="G553" t="s">
        <v>29379</v>
      </c>
      <c r="H553" t="s">
        <v>11048</v>
      </c>
      <c r="I553" t="s">
        <v>8208</v>
      </c>
      <c r="J553" t="s">
        <v>29985</v>
      </c>
      <c r="K553" t="s">
        <v>38510</v>
      </c>
      <c r="M553" t="s">
        <v>38994</v>
      </c>
      <c r="N553" t="s">
        <v>42669</v>
      </c>
      <c r="O553" t="s">
        <v>42670</v>
      </c>
      <c r="P553">
        <v>0</v>
      </c>
      <c r="Q553">
        <v>0</v>
      </c>
      <c r="R553" t="s">
        <v>42671</v>
      </c>
      <c r="S553" t="s">
        <v>42779</v>
      </c>
      <c r="T553" t="s">
        <v>44387</v>
      </c>
      <c r="U553" t="s">
        <v>45359</v>
      </c>
      <c r="W553" t="s">
        <v>38994</v>
      </c>
      <c r="X553" t="s">
        <v>42672</v>
      </c>
    </row>
    <row r="554" spans="1:24">
      <c r="A554">
        <f>HYPERLINK("https://www.philgeps.gov.ph/GEPSNONPILOT/Tender/SplashBidNoticeAbstractUI.aspx?menuIndex=3&amp;refID=7194063&amp;Result=3","7194063")</f>
        <v>0</v>
      </c>
      <c r="B554" t="s">
        <v>236</v>
      </c>
      <c r="C554" t="s">
        <v>4050</v>
      </c>
      <c r="D554" t="s">
        <v>17197</v>
      </c>
      <c r="E554" t="s">
        <v>17774</v>
      </c>
      <c r="F554" t="s">
        <v>29372</v>
      </c>
      <c r="G554" t="s">
        <v>29383</v>
      </c>
      <c r="H554" t="s">
        <v>11048</v>
      </c>
      <c r="I554" t="s">
        <v>29430</v>
      </c>
      <c r="J554" t="s">
        <v>29986</v>
      </c>
      <c r="K554" t="s">
        <v>38487</v>
      </c>
      <c r="M554" t="s">
        <v>38995</v>
      </c>
      <c r="N554" t="s">
        <v>42669</v>
      </c>
      <c r="O554" t="s">
        <v>42670</v>
      </c>
      <c r="P554">
        <v>0</v>
      </c>
      <c r="Q554">
        <v>8</v>
      </c>
      <c r="R554" t="s">
        <v>42671</v>
      </c>
      <c r="S554" t="s">
        <v>42779</v>
      </c>
      <c r="T554" t="s">
        <v>44398</v>
      </c>
      <c r="U554" t="s">
        <v>45360</v>
      </c>
      <c r="W554" t="s">
        <v>38995</v>
      </c>
      <c r="X554" t="s">
        <v>42672</v>
      </c>
    </row>
    <row r="555" spans="1:24">
      <c r="A555">
        <f>HYPERLINK("https://www.philgeps.gov.ph/GEPSNONPILOT/Tender/SplashBidNoticeAbstractUI.aspx?menuIndex=3&amp;refID=7194060&amp;Result=3","7194060")</f>
        <v>0</v>
      </c>
      <c r="B555" t="s">
        <v>235</v>
      </c>
      <c r="C555" t="s">
        <v>4051</v>
      </c>
      <c r="D555" t="s">
        <v>17185</v>
      </c>
      <c r="E555" t="s">
        <v>17773</v>
      </c>
      <c r="F555" t="s">
        <v>29372</v>
      </c>
      <c r="G555" t="s">
        <v>29379</v>
      </c>
      <c r="H555" t="s">
        <v>11048</v>
      </c>
      <c r="I555" t="s">
        <v>29409</v>
      </c>
      <c r="J555" t="s">
        <v>29987</v>
      </c>
      <c r="K555" t="s">
        <v>38510</v>
      </c>
      <c r="M555" t="s">
        <v>38994</v>
      </c>
      <c r="N555" t="s">
        <v>42669</v>
      </c>
      <c r="O555" t="s">
        <v>42670</v>
      </c>
      <c r="P555">
        <v>0</v>
      </c>
      <c r="Q555">
        <v>0</v>
      </c>
      <c r="R555" t="s">
        <v>42671</v>
      </c>
      <c r="S555" t="s">
        <v>42779</v>
      </c>
      <c r="T555" t="s">
        <v>44387</v>
      </c>
      <c r="U555" t="s">
        <v>45361</v>
      </c>
      <c r="W555" t="s">
        <v>38994</v>
      </c>
      <c r="X555" t="s">
        <v>42672</v>
      </c>
    </row>
    <row r="556" spans="1:24">
      <c r="A556">
        <f>HYPERLINK("https://www.philgeps.gov.ph/GEPSNONPILOT/Tender/SplashBidNoticeAbstractUI.aspx?menuIndex=3&amp;refID=7194067&amp;Result=3","7194067")</f>
        <v>0</v>
      </c>
      <c r="B556" t="s">
        <v>209</v>
      </c>
      <c r="C556" t="s">
        <v>4052</v>
      </c>
      <c r="D556" t="s">
        <v>17149</v>
      </c>
      <c r="E556" t="s">
        <v>17775</v>
      </c>
      <c r="F556" t="s">
        <v>29372</v>
      </c>
      <c r="G556" t="s">
        <v>29381</v>
      </c>
      <c r="H556" t="s">
        <v>11048</v>
      </c>
      <c r="I556" t="s">
        <v>9469</v>
      </c>
      <c r="J556" t="s">
        <v>29988</v>
      </c>
      <c r="K556" t="s">
        <v>38485</v>
      </c>
      <c r="M556" t="s">
        <v>38966</v>
      </c>
      <c r="N556" t="s">
        <v>42669</v>
      </c>
      <c r="O556" t="s">
        <v>42670</v>
      </c>
      <c r="P556">
        <v>0</v>
      </c>
      <c r="Q556">
        <v>0</v>
      </c>
      <c r="R556" t="s">
        <v>42671</v>
      </c>
      <c r="S556" t="s">
        <v>42779</v>
      </c>
      <c r="T556" t="s">
        <v>44393</v>
      </c>
      <c r="U556" t="s">
        <v>45362</v>
      </c>
      <c r="W556" t="s">
        <v>38966</v>
      </c>
      <c r="X556" t="s">
        <v>42672</v>
      </c>
    </row>
    <row r="557" spans="1:24">
      <c r="A557">
        <f>HYPERLINK("https://www.philgeps.gov.ph/GEPSNONPILOT/Tender/SplashBidNoticeAbstractUI.aspx?menuIndex=3&amp;refID=7194058&amp;Result=3","7194058")</f>
        <v>0</v>
      </c>
      <c r="B557" t="s">
        <v>233</v>
      </c>
      <c r="C557" t="s">
        <v>4053</v>
      </c>
      <c r="D557" t="s">
        <v>17203</v>
      </c>
      <c r="E557" t="s">
        <v>17776</v>
      </c>
      <c r="F557" t="s">
        <v>29372</v>
      </c>
      <c r="G557" t="s">
        <v>29379</v>
      </c>
      <c r="H557" t="s">
        <v>11048</v>
      </c>
      <c r="I557" t="s">
        <v>3839</v>
      </c>
      <c r="J557" t="s">
        <v>29929</v>
      </c>
      <c r="K557" t="s">
        <v>38488</v>
      </c>
      <c r="M557" t="s">
        <v>38992</v>
      </c>
      <c r="N557" t="s">
        <v>42669</v>
      </c>
      <c r="O557" t="s">
        <v>42670</v>
      </c>
      <c r="P557">
        <v>0</v>
      </c>
      <c r="Q557">
        <v>4</v>
      </c>
      <c r="R557" t="s">
        <v>42671</v>
      </c>
      <c r="S557" t="s">
        <v>42779</v>
      </c>
      <c r="T557" t="s">
        <v>44373</v>
      </c>
      <c r="U557" t="s">
        <v>45363</v>
      </c>
      <c r="W557" t="s">
        <v>38992</v>
      </c>
      <c r="X557" t="s">
        <v>42672</v>
      </c>
    </row>
    <row r="558" spans="1:24">
      <c r="A558">
        <f>HYPERLINK("https://www.philgeps.gov.ph/GEPSNONPILOT/Tender/SplashBidNoticeAbstractUI.aspx?menuIndex=3&amp;refID=7194057&amp;Result=3","7194057")</f>
        <v>0</v>
      </c>
      <c r="B558" t="s">
        <v>167</v>
      </c>
      <c r="C558" t="s">
        <v>4054</v>
      </c>
      <c r="D558" t="s">
        <v>17194</v>
      </c>
      <c r="E558" t="s">
        <v>17777</v>
      </c>
      <c r="F558" t="s">
        <v>29372</v>
      </c>
      <c r="G558" t="s">
        <v>29380</v>
      </c>
      <c r="H558" t="s">
        <v>11048</v>
      </c>
      <c r="I558" t="s">
        <v>29442</v>
      </c>
      <c r="J558" t="s">
        <v>29989</v>
      </c>
      <c r="K558" t="s">
        <v>38510</v>
      </c>
      <c r="M558" t="s">
        <v>38924</v>
      </c>
      <c r="N558" t="s">
        <v>42669</v>
      </c>
      <c r="O558" t="s">
        <v>42670</v>
      </c>
      <c r="P558">
        <v>0</v>
      </c>
      <c r="Q558">
        <v>1</v>
      </c>
      <c r="R558" t="s">
        <v>42671</v>
      </c>
      <c r="S558" t="s">
        <v>42779</v>
      </c>
      <c r="T558" t="s">
        <v>44405</v>
      </c>
      <c r="U558" t="s">
        <v>45165</v>
      </c>
      <c r="V558" t="s">
        <v>56379</v>
      </c>
      <c r="W558" t="s">
        <v>38924</v>
      </c>
      <c r="X558" t="s">
        <v>42672</v>
      </c>
    </row>
    <row r="559" spans="1:24">
      <c r="A559">
        <f>HYPERLINK("https://www.philgeps.gov.ph/GEPSNONPILOT/Tender/SplashBidNoticeAbstractUI.aspx?menuIndex=3&amp;refID=7194033&amp;Result=3","7194033")</f>
        <v>0</v>
      </c>
      <c r="B559" t="s">
        <v>228</v>
      </c>
      <c r="C559" t="s">
        <v>4055</v>
      </c>
      <c r="D559" t="s">
        <v>17141</v>
      </c>
      <c r="E559" t="s">
        <v>17778</v>
      </c>
      <c r="F559" t="s">
        <v>29373</v>
      </c>
      <c r="G559" t="s">
        <v>29380</v>
      </c>
      <c r="H559" t="s">
        <v>11048</v>
      </c>
      <c r="I559" t="s">
        <v>29443</v>
      </c>
      <c r="J559" t="s">
        <v>29789</v>
      </c>
      <c r="K559" t="s">
        <v>38485</v>
      </c>
      <c r="M559" t="s">
        <v>38987</v>
      </c>
      <c r="N559" t="s">
        <v>42669</v>
      </c>
      <c r="O559" t="s">
        <v>42670</v>
      </c>
      <c r="P559">
        <v>0</v>
      </c>
      <c r="Q559">
        <v>2</v>
      </c>
      <c r="R559" t="s">
        <v>42671</v>
      </c>
      <c r="S559" t="s">
        <v>42779</v>
      </c>
      <c r="T559" t="s">
        <v>44390</v>
      </c>
      <c r="U559" t="s">
        <v>45364</v>
      </c>
      <c r="W559" t="s">
        <v>38987</v>
      </c>
      <c r="X559" t="s">
        <v>42672</v>
      </c>
    </row>
    <row r="560" spans="1:24">
      <c r="A560">
        <f>HYPERLINK("https://www.philgeps.gov.ph/GEPSNONPILOT/Tender/SplashBidNoticeAbstractUI.aspx?menuIndex=3&amp;refID=7194054&amp;Result=3","7194054")</f>
        <v>0</v>
      </c>
      <c r="B560" t="s">
        <v>237</v>
      </c>
      <c r="C560" t="s">
        <v>4056</v>
      </c>
      <c r="D560" t="s">
        <v>17166</v>
      </c>
      <c r="E560" t="s">
        <v>17779</v>
      </c>
      <c r="F560" t="s">
        <v>29372</v>
      </c>
      <c r="G560" t="s">
        <v>29383</v>
      </c>
      <c r="H560" t="s">
        <v>11048</v>
      </c>
      <c r="I560" t="s">
        <v>3839</v>
      </c>
      <c r="J560" t="s">
        <v>29990</v>
      </c>
      <c r="K560" t="s">
        <v>38534</v>
      </c>
      <c r="M560" t="s">
        <v>38996</v>
      </c>
      <c r="N560" t="s">
        <v>42669</v>
      </c>
      <c r="O560" t="s">
        <v>42670</v>
      </c>
      <c r="P560">
        <v>0</v>
      </c>
      <c r="Q560">
        <v>1</v>
      </c>
      <c r="R560" t="s">
        <v>42671</v>
      </c>
      <c r="S560" t="s">
        <v>42779</v>
      </c>
      <c r="T560" t="s">
        <v>44451</v>
      </c>
      <c r="U560" t="s">
        <v>45365</v>
      </c>
      <c r="W560" t="s">
        <v>38996</v>
      </c>
      <c r="X560" t="s">
        <v>42672</v>
      </c>
    </row>
    <row r="561" spans="1:24">
      <c r="A561">
        <f>HYPERLINK("https://www.philgeps.gov.ph/GEPSNONPILOT/Tender/SplashBidNoticeAbstractUI.aspx?menuIndex=3&amp;refID=7194053&amp;Result=3","7194053")</f>
        <v>0</v>
      </c>
      <c r="B561" t="s">
        <v>238</v>
      </c>
      <c r="C561" t="s">
        <v>4057</v>
      </c>
      <c r="D561" t="s">
        <v>17187</v>
      </c>
      <c r="E561" t="s">
        <v>17780</v>
      </c>
      <c r="F561" t="s">
        <v>29372</v>
      </c>
      <c r="G561" t="s">
        <v>29383</v>
      </c>
      <c r="H561" t="s">
        <v>11048</v>
      </c>
      <c r="I561" t="s">
        <v>4486</v>
      </c>
      <c r="J561" t="s">
        <v>29991</v>
      </c>
      <c r="K561" t="s">
        <v>38490</v>
      </c>
      <c r="M561" t="s">
        <v>38997</v>
      </c>
      <c r="N561" t="s">
        <v>42669</v>
      </c>
      <c r="O561" t="s">
        <v>42670</v>
      </c>
      <c r="P561">
        <v>0</v>
      </c>
      <c r="Q561">
        <v>5</v>
      </c>
      <c r="R561" t="s">
        <v>42671</v>
      </c>
      <c r="S561" t="s">
        <v>42779</v>
      </c>
      <c r="T561" t="s">
        <v>44456</v>
      </c>
      <c r="U561" t="s">
        <v>44993</v>
      </c>
      <c r="W561" t="s">
        <v>38997</v>
      </c>
      <c r="X561" t="s">
        <v>42672</v>
      </c>
    </row>
    <row r="562" spans="1:24">
      <c r="A562">
        <f>HYPERLINK("https://www.philgeps.gov.ph/GEPSNONPILOT/Tender/SplashBidNoticeAbstractUI.aspx?menuIndex=3&amp;refID=7194052&amp;Result=3","7194052")</f>
        <v>0</v>
      </c>
      <c r="B562" t="s">
        <v>223</v>
      </c>
      <c r="C562" t="s">
        <v>4058</v>
      </c>
      <c r="D562" t="s">
        <v>17176</v>
      </c>
      <c r="E562" t="s">
        <v>17781</v>
      </c>
      <c r="F562" t="s">
        <v>29372</v>
      </c>
      <c r="G562" t="s">
        <v>29380</v>
      </c>
      <c r="H562" t="s">
        <v>29389</v>
      </c>
      <c r="I562" t="s">
        <v>10408</v>
      </c>
      <c r="J562" t="s">
        <v>29992</v>
      </c>
      <c r="K562" t="s">
        <v>38555</v>
      </c>
      <c r="M562" t="s">
        <v>38982</v>
      </c>
      <c r="N562" t="s">
        <v>42669</v>
      </c>
      <c r="O562" t="s">
        <v>42670</v>
      </c>
      <c r="P562">
        <v>0</v>
      </c>
      <c r="Q562">
        <v>0</v>
      </c>
      <c r="R562" t="s">
        <v>42671</v>
      </c>
      <c r="S562" t="s">
        <v>42779</v>
      </c>
      <c r="T562" t="s">
        <v>44449</v>
      </c>
      <c r="U562" t="s">
        <v>45366</v>
      </c>
      <c r="W562" t="s">
        <v>38982</v>
      </c>
      <c r="X562" t="s">
        <v>42672</v>
      </c>
    </row>
    <row r="563" spans="1:24">
      <c r="A563">
        <f>HYPERLINK("https://www.philgeps.gov.ph/GEPSNONPILOT/Tender/SplashBidNoticeAbstractUI.aspx?menuIndex=3&amp;refID=7194059&amp;Result=3","7194059")</f>
        <v>0</v>
      </c>
      <c r="B563" t="s">
        <v>236</v>
      </c>
      <c r="C563" t="s">
        <v>4059</v>
      </c>
      <c r="D563" t="s">
        <v>17197</v>
      </c>
      <c r="E563" t="s">
        <v>17782</v>
      </c>
      <c r="F563" t="s">
        <v>29372</v>
      </c>
      <c r="G563" t="s">
        <v>29383</v>
      </c>
      <c r="H563" t="s">
        <v>11048</v>
      </c>
      <c r="I563" t="s">
        <v>3839</v>
      </c>
      <c r="J563" t="s">
        <v>29993</v>
      </c>
      <c r="K563" t="s">
        <v>38518</v>
      </c>
      <c r="M563" t="s">
        <v>38995</v>
      </c>
      <c r="N563" t="s">
        <v>42669</v>
      </c>
      <c r="O563" t="s">
        <v>42670</v>
      </c>
      <c r="P563">
        <v>0</v>
      </c>
      <c r="Q563">
        <v>5</v>
      </c>
      <c r="R563" t="s">
        <v>42671</v>
      </c>
      <c r="S563" t="s">
        <v>42779</v>
      </c>
      <c r="T563" t="s">
        <v>44398</v>
      </c>
      <c r="U563" t="s">
        <v>45360</v>
      </c>
      <c r="W563" t="s">
        <v>38995</v>
      </c>
      <c r="X563" t="s">
        <v>42672</v>
      </c>
    </row>
    <row r="564" spans="1:24">
      <c r="A564">
        <f>HYPERLINK("https://www.philgeps.gov.ph/GEPSNONPILOT/Tender/SplashBidNoticeAbstractUI.aspx?menuIndex=3&amp;refID=7194049&amp;Result=3","7194049")</f>
        <v>0</v>
      </c>
      <c r="B564" t="s">
        <v>223</v>
      </c>
      <c r="C564" t="s">
        <v>4060</v>
      </c>
      <c r="D564" t="s">
        <v>17176</v>
      </c>
      <c r="E564" t="s">
        <v>17783</v>
      </c>
      <c r="F564" t="s">
        <v>29372</v>
      </c>
      <c r="G564" t="s">
        <v>29380</v>
      </c>
      <c r="H564" t="s">
        <v>29389</v>
      </c>
      <c r="I564" t="s">
        <v>10408</v>
      </c>
      <c r="J564" t="s">
        <v>29994</v>
      </c>
      <c r="K564" t="s">
        <v>38556</v>
      </c>
      <c r="M564" t="s">
        <v>38982</v>
      </c>
      <c r="N564" t="s">
        <v>42669</v>
      </c>
      <c r="O564" t="s">
        <v>42670</v>
      </c>
      <c r="P564">
        <v>0</v>
      </c>
      <c r="Q564">
        <v>0</v>
      </c>
      <c r="R564" t="s">
        <v>42671</v>
      </c>
      <c r="S564" t="s">
        <v>42779</v>
      </c>
      <c r="T564" t="s">
        <v>44449</v>
      </c>
      <c r="U564" t="s">
        <v>45367</v>
      </c>
      <c r="W564" t="s">
        <v>38982</v>
      </c>
      <c r="X564" t="s">
        <v>42672</v>
      </c>
    </row>
    <row r="565" spans="1:24">
      <c r="A565">
        <f>HYPERLINK("https://www.philgeps.gov.ph/GEPSNONPILOT/Tender/SplashBidNoticeAbstractUI.aspx?menuIndex=3&amp;refID=7194056&amp;Result=3","7194056")</f>
        <v>0</v>
      </c>
      <c r="B565" t="s">
        <v>233</v>
      </c>
      <c r="C565" t="s">
        <v>4061</v>
      </c>
      <c r="D565" t="s">
        <v>17203</v>
      </c>
      <c r="E565" t="s">
        <v>17784</v>
      </c>
      <c r="F565" t="s">
        <v>29372</v>
      </c>
      <c r="G565" t="s">
        <v>29379</v>
      </c>
      <c r="H565" t="s">
        <v>11048</v>
      </c>
      <c r="I565" t="s">
        <v>29411</v>
      </c>
      <c r="J565" t="s">
        <v>29555</v>
      </c>
      <c r="K565" t="s">
        <v>38488</v>
      </c>
      <c r="M565" t="s">
        <v>38992</v>
      </c>
      <c r="N565" t="s">
        <v>42669</v>
      </c>
      <c r="O565" t="s">
        <v>42670</v>
      </c>
      <c r="P565">
        <v>0</v>
      </c>
      <c r="Q565">
        <v>0</v>
      </c>
      <c r="R565" t="s">
        <v>42671</v>
      </c>
      <c r="S565" t="s">
        <v>42779</v>
      </c>
      <c r="T565" t="s">
        <v>44373</v>
      </c>
      <c r="U565" t="s">
        <v>45368</v>
      </c>
      <c r="W565" t="s">
        <v>38992</v>
      </c>
      <c r="X565" t="s">
        <v>42672</v>
      </c>
    </row>
    <row r="566" spans="1:24">
      <c r="A566">
        <f>HYPERLINK("https://www.philgeps.gov.ph/GEPSNONPILOT/Tender/SplashBidNoticeAbstractUI.aspx?menuIndex=3&amp;refID=7194047&amp;Result=3","7194047")</f>
        <v>0</v>
      </c>
      <c r="B566" t="s">
        <v>233</v>
      </c>
      <c r="C566" t="s">
        <v>4062</v>
      </c>
      <c r="D566" t="s">
        <v>17203</v>
      </c>
      <c r="E566" t="s">
        <v>17785</v>
      </c>
      <c r="F566" t="s">
        <v>29372</v>
      </c>
      <c r="G566" t="s">
        <v>29379</v>
      </c>
      <c r="H566" t="s">
        <v>11048</v>
      </c>
      <c r="I566" t="s">
        <v>4487</v>
      </c>
      <c r="J566" t="s">
        <v>29995</v>
      </c>
      <c r="K566" t="s">
        <v>38488</v>
      </c>
      <c r="M566" t="s">
        <v>38992</v>
      </c>
      <c r="N566" t="s">
        <v>42669</v>
      </c>
      <c r="O566" t="s">
        <v>42670</v>
      </c>
      <c r="P566">
        <v>0</v>
      </c>
      <c r="Q566">
        <v>0</v>
      </c>
      <c r="R566" t="s">
        <v>42671</v>
      </c>
      <c r="S566" t="s">
        <v>42779</v>
      </c>
      <c r="T566" t="s">
        <v>44373</v>
      </c>
      <c r="U566" t="s">
        <v>45369</v>
      </c>
      <c r="W566" t="s">
        <v>38992</v>
      </c>
      <c r="X566" t="s">
        <v>42672</v>
      </c>
    </row>
    <row r="567" spans="1:24">
      <c r="A567">
        <f>HYPERLINK("https://www.philgeps.gov.ph/GEPSNONPILOT/Tender/SplashBidNoticeAbstractUI.aspx?menuIndex=3&amp;refID=7192300&amp;Result=3","7192300")</f>
        <v>0</v>
      </c>
      <c r="B567" t="s">
        <v>131</v>
      </c>
      <c r="C567" t="s">
        <v>4063</v>
      </c>
      <c r="D567" t="s">
        <v>17178</v>
      </c>
      <c r="E567" t="s">
        <v>17786</v>
      </c>
      <c r="F567" t="s">
        <v>29372</v>
      </c>
      <c r="G567" t="s">
        <v>29379</v>
      </c>
      <c r="H567" t="s">
        <v>11048</v>
      </c>
      <c r="I567" t="s">
        <v>29420</v>
      </c>
      <c r="J567" t="s">
        <v>29996</v>
      </c>
      <c r="K567" t="s">
        <v>38490</v>
      </c>
      <c r="M567" t="s">
        <v>38886</v>
      </c>
      <c r="N567" t="s">
        <v>42669</v>
      </c>
      <c r="O567" t="s">
        <v>42670</v>
      </c>
      <c r="P567">
        <v>0</v>
      </c>
      <c r="Q567">
        <v>2</v>
      </c>
      <c r="R567" t="s">
        <v>42671</v>
      </c>
      <c r="S567" t="s">
        <v>42779</v>
      </c>
      <c r="T567" t="s">
        <v>44418</v>
      </c>
      <c r="U567" t="s">
        <v>45370</v>
      </c>
      <c r="V567" t="s">
        <v>56405</v>
      </c>
      <c r="W567" t="s">
        <v>38886</v>
      </c>
      <c r="X567" t="s">
        <v>42676</v>
      </c>
    </row>
    <row r="568" spans="1:24">
      <c r="A568">
        <f>HYPERLINK("https://www.philgeps.gov.ph/GEPSNONPILOT/Tender/SplashBidNoticeAbstractUI.aspx?menuIndex=3&amp;refID=7192286&amp;Result=3","7192286")</f>
        <v>0</v>
      </c>
      <c r="B568" t="s">
        <v>126</v>
      </c>
      <c r="C568" t="s">
        <v>4064</v>
      </c>
      <c r="D568" t="s">
        <v>17177</v>
      </c>
      <c r="E568" t="s">
        <v>17787</v>
      </c>
      <c r="F568" t="s">
        <v>29372</v>
      </c>
      <c r="G568" t="s">
        <v>29381</v>
      </c>
      <c r="H568" t="s">
        <v>11048</v>
      </c>
      <c r="I568" t="s">
        <v>29401</v>
      </c>
      <c r="J568" t="s">
        <v>29997</v>
      </c>
      <c r="K568" t="s">
        <v>38488</v>
      </c>
      <c r="M568" t="s">
        <v>38881</v>
      </c>
      <c r="N568" t="s">
        <v>42669</v>
      </c>
      <c r="O568" t="s">
        <v>42670</v>
      </c>
      <c r="P568">
        <v>0</v>
      </c>
      <c r="Q568">
        <v>1</v>
      </c>
      <c r="R568" t="s">
        <v>42671</v>
      </c>
      <c r="S568" t="s">
        <v>42779</v>
      </c>
      <c r="T568" t="s">
        <v>44416</v>
      </c>
      <c r="U568" t="s">
        <v>45070</v>
      </c>
      <c r="W568" t="s">
        <v>38881</v>
      </c>
      <c r="X568" t="s">
        <v>42676</v>
      </c>
    </row>
    <row r="569" spans="1:24">
      <c r="A569">
        <f>HYPERLINK("https://www.philgeps.gov.ph/GEPSNONPILOT/Tender/SplashBidNoticeAbstractUI.aspx?menuIndex=3&amp;refID=7192190&amp;Result=3","7192190")</f>
        <v>0</v>
      </c>
      <c r="B569" t="s">
        <v>130</v>
      </c>
      <c r="C569" t="s">
        <v>4065</v>
      </c>
      <c r="D569" t="s">
        <v>17185</v>
      </c>
      <c r="E569" t="s">
        <v>17788</v>
      </c>
      <c r="F569" t="s">
        <v>29372</v>
      </c>
      <c r="G569" t="s">
        <v>29380</v>
      </c>
      <c r="H569" t="s">
        <v>11048</v>
      </c>
      <c r="I569" t="s">
        <v>5383</v>
      </c>
      <c r="J569" t="s">
        <v>29998</v>
      </c>
      <c r="K569" t="s">
        <v>38490</v>
      </c>
      <c r="M569" t="s">
        <v>38885</v>
      </c>
      <c r="N569" t="s">
        <v>42669</v>
      </c>
      <c r="O569" t="s">
        <v>42670</v>
      </c>
      <c r="P569">
        <v>0</v>
      </c>
      <c r="Q569">
        <v>3</v>
      </c>
      <c r="R569" t="s">
        <v>42671</v>
      </c>
      <c r="S569" t="s">
        <v>42779</v>
      </c>
      <c r="T569" t="s">
        <v>44412</v>
      </c>
      <c r="U569" t="s">
        <v>45371</v>
      </c>
      <c r="W569" t="s">
        <v>38885</v>
      </c>
      <c r="X569" t="s">
        <v>42676</v>
      </c>
    </row>
    <row r="570" spans="1:24">
      <c r="A570">
        <f>HYPERLINK("https://www.philgeps.gov.ph/GEPSNONPILOT/Tender/SplashBidNoticeAbstractUI.aspx?menuIndex=3&amp;refID=7194050&amp;Result=3","7194050")</f>
        <v>0</v>
      </c>
      <c r="B570" t="s">
        <v>223</v>
      </c>
      <c r="C570" t="s">
        <v>4066</v>
      </c>
      <c r="D570" t="s">
        <v>17176</v>
      </c>
      <c r="E570" t="s">
        <v>17789</v>
      </c>
      <c r="F570" t="s">
        <v>29372</v>
      </c>
      <c r="G570" t="s">
        <v>29380</v>
      </c>
      <c r="H570" t="s">
        <v>29389</v>
      </c>
      <c r="I570" t="s">
        <v>10408</v>
      </c>
      <c r="J570" t="s">
        <v>29999</v>
      </c>
      <c r="K570" t="s">
        <v>38508</v>
      </c>
      <c r="M570" t="s">
        <v>38982</v>
      </c>
      <c r="N570" t="s">
        <v>42669</v>
      </c>
      <c r="O570" t="s">
        <v>42670</v>
      </c>
      <c r="P570">
        <v>0</v>
      </c>
      <c r="Q570">
        <v>0</v>
      </c>
      <c r="R570" t="s">
        <v>42671</v>
      </c>
      <c r="S570" t="s">
        <v>42779</v>
      </c>
      <c r="T570" t="s">
        <v>44449</v>
      </c>
      <c r="U570" t="s">
        <v>45372</v>
      </c>
      <c r="W570" t="s">
        <v>38982</v>
      </c>
      <c r="X570" t="s">
        <v>42672</v>
      </c>
    </row>
    <row r="571" spans="1:24">
      <c r="A571">
        <f>HYPERLINK("https://www.philgeps.gov.ph/GEPSNONPILOT/Tender/SplashBidNoticeAbstractUI.aspx?menuIndex=3&amp;refID=7192065&amp;Result=3","7192065")</f>
        <v>0</v>
      </c>
      <c r="B571" t="s">
        <v>239</v>
      </c>
      <c r="C571" t="s">
        <v>4067</v>
      </c>
      <c r="D571" t="s">
        <v>17145</v>
      </c>
      <c r="E571" t="s">
        <v>17790</v>
      </c>
      <c r="F571" t="s">
        <v>29372</v>
      </c>
      <c r="G571" t="s">
        <v>29380</v>
      </c>
      <c r="H571" t="s">
        <v>29389</v>
      </c>
      <c r="I571" t="s">
        <v>10408</v>
      </c>
      <c r="J571" t="s">
        <v>29555</v>
      </c>
      <c r="K571" t="s">
        <v>38510</v>
      </c>
      <c r="M571" t="s">
        <v>38998</v>
      </c>
      <c r="N571" t="s">
        <v>42669</v>
      </c>
      <c r="O571" t="s">
        <v>42670</v>
      </c>
      <c r="P571">
        <v>0</v>
      </c>
      <c r="Q571">
        <v>0</v>
      </c>
      <c r="R571" t="s">
        <v>42671</v>
      </c>
      <c r="S571" t="s">
        <v>42779</v>
      </c>
      <c r="T571" t="s">
        <v>44457</v>
      </c>
      <c r="U571" t="s">
        <v>45373</v>
      </c>
      <c r="W571" t="s">
        <v>38998</v>
      </c>
      <c r="X571" t="s">
        <v>42676</v>
      </c>
    </row>
    <row r="572" spans="1:24">
      <c r="A572">
        <f>HYPERLINK("https://www.philgeps.gov.ph/GEPSNONPILOT/Tender/SplashBidNoticeAbstractUI.aspx?menuIndex=3&amp;refID=7194095&amp;Result=3","7194095")</f>
        <v>0</v>
      </c>
      <c r="B572" t="s">
        <v>240</v>
      </c>
      <c r="C572" t="s">
        <v>4068</v>
      </c>
      <c r="D572" t="s">
        <v>17185</v>
      </c>
      <c r="E572" t="s">
        <v>17791</v>
      </c>
      <c r="F572" t="s">
        <v>29372</v>
      </c>
      <c r="G572" t="s">
        <v>29379</v>
      </c>
      <c r="H572" t="s">
        <v>11048</v>
      </c>
      <c r="I572" t="s">
        <v>3839</v>
      </c>
      <c r="J572" t="s">
        <v>30000</v>
      </c>
      <c r="K572" t="s">
        <v>38490</v>
      </c>
      <c r="M572" t="s">
        <v>38999</v>
      </c>
      <c r="N572" t="s">
        <v>42669</v>
      </c>
      <c r="O572" t="s">
        <v>42670</v>
      </c>
      <c r="P572">
        <v>0</v>
      </c>
      <c r="Q572">
        <v>4</v>
      </c>
      <c r="R572" t="s">
        <v>42671</v>
      </c>
      <c r="S572" t="s">
        <v>42779</v>
      </c>
      <c r="T572" t="s">
        <v>44437</v>
      </c>
      <c r="U572" t="s">
        <v>45374</v>
      </c>
      <c r="W572" t="s">
        <v>38999</v>
      </c>
      <c r="X572" t="s">
        <v>42672</v>
      </c>
    </row>
    <row r="573" spans="1:24">
      <c r="A573">
        <f>HYPERLINK("https://www.philgeps.gov.ph/GEPSNONPILOT/Tender/SplashBidNoticeAbstractUI.aspx?menuIndex=3&amp;refID=7194104&amp;Result=3","7194104")</f>
        <v>0</v>
      </c>
      <c r="B573" t="s">
        <v>241</v>
      </c>
      <c r="C573" t="s">
        <v>4069</v>
      </c>
      <c r="D573" t="s">
        <v>17141</v>
      </c>
      <c r="E573" t="s">
        <v>17347</v>
      </c>
      <c r="F573" t="s">
        <v>29372</v>
      </c>
      <c r="G573" t="s">
        <v>29380</v>
      </c>
      <c r="H573" t="s">
        <v>11048</v>
      </c>
      <c r="I573" t="s">
        <v>29413</v>
      </c>
      <c r="J573" t="s">
        <v>30001</v>
      </c>
      <c r="K573" t="s">
        <v>38489</v>
      </c>
      <c r="M573" t="s">
        <v>39000</v>
      </c>
      <c r="N573" t="s">
        <v>42669</v>
      </c>
      <c r="O573" t="s">
        <v>42670</v>
      </c>
      <c r="P573">
        <v>0</v>
      </c>
      <c r="Q573">
        <v>6</v>
      </c>
      <c r="R573" t="s">
        <v>42671</v>
      </c>
      <c r="S573" t="s">
        <v>42779</v>
      </c>
      <c r="T573" t="s">
        <v>44409</v>
      </c>
      <c r="U573" t="s">
        <v>45375</v>
      </c>
      <c r="V573" t="s">
        <v>56406</v>
      </c>
      <c r="W573" t="s">
        <v>39000</v>
      </c>
      <c r="X573" t="s">
        <v>42672</v>
      </c>
    </row>
    <row r="574" spans="1:24">
      <c r="A574">
        <f>HYPERLINK("https://www.philgeps.gov.ph/GEPSNONPILOT/Tender/SplashBidNoticeAbstractUI.aspx?menuIndex=3&amp;refID=7194102&amp;Result=3","7194102")</f>
        <v>0</v>
      </c>
      <c r="B574" t="s">
        <v>34</v>
      </c>
      <c r="C574" t="s">
        <v>4070</v>
      </c>
      <c r="D574" t="s">
        <v>17148</v>
      </c>
      <c r="E574" t="s">
        <v>17792</v>
      </c>
      <c r="F574" t="s">
        <v>29372</v>
      </c>
      <c r="G574" t="s">
        <v>29382</v>
      </c>
      <c r="H574" t="s">
        <v>11048</v>
      </c>
      <c r="I574" t="s">
        <v>4487</v>
      </c>
      <c r="J574" t="s">
        <v>30002</v>
      </c>
      <c r="K574" t="s">
        <v>38488</v>
      </c>
      <c r="M574" t="s">
        <v>38787</v>
      </c>
      <c r="N574" t="s">
        <v>42669</v>
      </c>
      <c r="O574" t="s">
        <v>42670</v>
      </c>
      <c r="P574">
        <v>0</v>
      </c>
      <c r="Q574">
        <v>1</v>
      </c>
      <c r="R574" t="s">
        <v>42671</v>
      </c>
      <c r="S574" t="s">
        <v>42779</v>
      </c>
      <c r="T574" t="s">
        <v>44378</v>
      </c>
      <c r="U574" t="s">
        <v>45376</v>
      </c>
      <c r="W574" t="s">
        <v>38787</v>
      </c>
      <c r="X574" t="s">
        <v>42672</v>
      </c>
    </row>
    <row r="575" spans="1:24">
      <c r="A575">
        <f>HYPERLINK("https://www.philgeps.gov.ph/GEPSNONPILOT/Tender/SplashBidNoticeAbstractUI.aspx?menuIndex=3&amp;refID=7194097&amp;Result=3","7194097")</f>
        <v>0</v>
      </c>
      <c r="B575" t="s">
        <v>29</v>
      </c>
      <c r="C575" t="s">
        <v>4071</v>
      </c>
      <c r="D575" t="s">
        <v>17141</v>
      </c>
      <c r="E575" t="s">
        <v>17255</v>
      </c>
      <c r="F575" t="s">
        <v>29372</v>
      </c>
      <c r="G575" t="s">
        <v>29379</v>
      </c>
      <c r="H575" t="s">
        <v>11048</v>
      </c>
      <c r="I575" t="s">
        <v>3670</v>
      </c>
      <c r="J575" t="s">
        <v>29642</v>
      </c>
      <c r="K575" t="s">
        <v>38489</v>
      </c>
      <c r="M575" t="s">
        <v>38782</v>
      </c>
      <c r="N575" t="s">
        <v>42669</v>
      </c>
      <c r="O575" t="s">
        <v>42670</v>
      </c>
      <c r="P575">
        <v>0</v>
      </c>
      <c r="Q575">
        <v>3</v>
      </c>
      <c r="R575" t="s">
        <v>42671</v>
      </c>
      <c r="S575" t="s">
        <v>42779</v>
      </c>
      <c r="T575" t="s">
        <v>44458</v>
      </c>
      <c r="U575" t="s">
        <v>44886</v>
      </c>
      <c r="W575" t="s">
        <v>38782</v>
      </c>
      <c r="X575" t="s">
        <v>42672</v>
      </c>
    </row>
    <row r="576" spans="1:24">
      <c r="A576">
        <f>HYPERLINK("https://www.philgeps.gov.ph/GEPSNONPILOT/Tender/SplashBidNoticeAbstractUI.aspx?menuIndex=3&amp;refID=7192194&amp;Result=3","7192194")</f>
        <v>0</v>
      </c>
      <c r="B576" t="s">
        <v>242</v>
      </c>
      <c r="C576" t="s">
        <v>4072</v>
      </c>
      <c r="D576" t="s">
        <v>17197</v>
      </c>
      <c r="E576" t="s">
        <v>17793</v>
      </c>
      <c r="F576" t="s">
        <v>29372</v>
      </c>
      <c r="G576" t="s">
        <v>29380</v>
      </c>
      <c r="H576" t="s">
        <v>11048</v>
      </c>
      <c r="I576" t="s">
        <v>29398</v>
      </c>
      <c r="J576" t="s">
        <v>30003</v>
      </c>
      <c r="K576" t="s">
        <v>38538</v>
      </c>
      <c r="M576" t="s">
        <v>39001</v>
      </c>
      <c r="N576" t="s">
        <v>42669</v>
      </c>
      <c r="O576" t="s">
        <v>42670</v>
      </c>
      <c r="P576">
        <v>0</v>
      </c>
      <c r="Q576">
        <v>4</v>
      </c>
      <c r="R576" t="s">
        <v>42671</v>
      </c>
      <c r="S576" t="s">
        <v>42779</v>
      </c>
      <c r="T576" t="s">
        <v>44459</v>
      </c>
      <c r="U576" t="s">
        <v>45377</v>
      </c>
      <c r="W576" t="s">
        <v>39001</v>
      </c>
      <c r="X576" t="s">
        <v>42676</v>
      </c>
    </row>
    <row r="577" spans="1:24">
      <c r="A577">
        <f>HYPERLINK("https://www.philgeps.gov.ph/GEPSNONPILOT/Tender/SplashBidNoticeAbstractUI.aspx?menuIndex=3&amp;refID=7194093&amp;Result=3","7194093")</f>
        <v>0</v>
      </c>
      <c r="B577" t="s">
        <v>29</v>
      </c>
      <c r="C577" t="s">
        <v>4073</v>
      </c>
      <c r="D577" t="s">
        <v>17141</v>
      </c>
      <c r="E577" t="s">
        <v>17255</v>
      </c>
      <c r="F577" t="s">
        <v>29372</v>
      </c>
      <c r="G577" t="s">
        <v>29379</v>
      </c>
      <c r="H577" t="s">
        <v>11048</v>
      </c>
      <c r="I577" t="s">
        <v>3670</v>
      </c>
      <c r="J577" t="s">
        <v>29922</v>
      </c>
      <c r="K577" t="s">
        <v>38489</v>
      </c>
      <c r="M577" t="s">
        <v>38782</v>
      </c>
      <c r="N577" t="s">
        <v>42669</v>
      </c>
      <c r="O577" t="s">
        <v>42670</v>
      </c>
      <c r="P577">
        <v>0</v>
      </c>
      <c r="Q577">
        <v>2</v>
      </c>
      <c r="R577" t="s">
        <v>42671</v>
      </c>
      <c r="S577" t="s">
        <v>42779</v>
      </c>
      <c r="T577" t="s">
        <v>44458</v>
      </c>
      <c r="U577" t="s">
        <v>44886</v>
      </c>
      <c r="V577" t="s">
        <v>44886</v>
      </c>
      <c r="W577" t="s">
        <v>38782</v>
      </c>
      <c r="X577" t="s">
        <v>42672</v>
      </c>
    </row>
    <row r="578" spans="1:24">
      <c r="A578">
        <f>HYPERLINK("https://www.philgeps.gov.ph/GEPSNONPILOT/Tender/SplashBidNoticeAbstractUI.aspx?menuIndex=3&amp;refID=7194089&amp;Result=3","7194089")</f>
        <v>0</v>
      </c>
      <c r="B578" t="s">
        <v>243</v>
      </c>
      <c r="C578" t="s">
        <v>4074</v>
      </c>
      <c r="D578" t="s">
        <v>17145</v>
      </c>
      <c r="E578" t="s">
        <v>17794</v>
      </c>
      <c r="F578" t="s">
        <v>29372</v>
      </c>
      <c r="G578" t="s">
        <v>29380</v>
      </c>
      <c r="H578" t="s">
        <v>29389</v>
      </c>
      <c r="I578" t="s">
        <v>10408</v>
      </c>
      <c r="J578" t="s">
        <v>29729</v>
      </c>
      <c r="K578" t="s">
        <v>38552</v>
      </c>
      <c r="M578" t="s">
        <v>39002</v>
      </c>
      <c r="N578" t="s">
        <v>42669</v>
      </c>
      <c r="O578" t="s">
        <v>42670</v>
      </c>
      <c r="P578">
        <v>0</v>
      </c>
      <c r="Q578">
        <v>0</v>
      </c>
      <c r="R578" t="s">
        <v>42671</v>
      </c>
      <c r="S578" t="s">
        <v>42779</v>
      </c>
      <c r="T578" t="s">
        <v>44460</v>
      </c>
      <c r="U578" t="s">
        <v>45378</v>
      </c>
      <c r="V578" t="s">
        <v>56407</v>
      </c>
      <c r="W578" t="s">
        <v>39002</v>
      </c>
      <c r="X578" t="s">
        <v>42672</v>
      </c>
    </row>
    <row r="579" spans="1:24">
      <c r="A579">
        <f>HYPERLINK("https://www.philgeps.gov.ph/GEPSNONPILOT/Tender/SplashBidNoticeAbstractUI.aspx?menuIndex=3&amp;refID=7194065&amp;Result=3","7194065")</f>
        <v>0</v>
      </c>
      <c r="B579" t="s">
        <v>235</v>
      </c>
      <c r="C579" t="s">
        <v>4075</v>
      </c>
      <c r="D579" t="s">
        <v>17185</v>
      </c>
      <c r="E579" t="s">
        <v>17773</v>
      </c>
      <c r="F579" t="s">
        <v>29372</v>
      </c>
      <c r="G579" t="s">
        <v>29383</v>
      </c>
      <c r="H579" t="s">
        <v>11048</v>
      </c>
      <c r="I579" t="s">
        <v>4486</v>
      </c>
      <c r="J579" t="s">
        <v>30004</v>
      </c>
      <c r="K579" t="s">
        <v>38510</v>
      </c>
      <c r="M579" t="s">
        <v>38994</v>
      </c>
      <c r="N579" t="s">
        <v>42669</v>
      </c>
      <c r="O579" t="s">
        <v>42670</v>
      </c>
      <c r="P579">
        <v>0</v>
      </c>
      <c r="Q579">
        <v>2</v>
      </c>
      <c r="R579" t="s">
        <v>42671</v>
      </c>
      <c r="S579" t="s">
        <v>42779</v>
      </c>
      <c r="T579" t="s">
        <v>44387</v>
      </c>
      <c r="U579" t="s">
        <v>45379</v>
      </c>
      <c r="W579" t="s">
        <v>38994</v>
      </c>
      <c r="X579" t="s">
        <v>42672</v>
      </c>
    </row>
    <row r="580" spans="1:24">
      <c r="A580">
        <f>HYPERLINK("https://www.philgeps.gov.ph/GEPSNONPILOT/Tender/SplashBidNoticeAbstractUI.aspx?menuIndex=3&amp;refID=7194048&amp;Result=3","7194048")</f>
        <v>0</v>
      </c>
      <c r="B580" t="s">
        <v>223</v>
      </c>
      <c r="C580" t="s">
        <v>4076</v>
      </c>
      <c r="D580" t="s">
        <v>17176</v>
      </c>
      <c r="E580" t="s">
        <v>17795</v>
      </c>
      <c r="F580" t="s">
        <v>29372</v>
      </c>
      <c r="G580" t="s">
        <v>29380</v>
      </c>
      <c r="H580" t="s">
        <v>29389</v>
      </c>
      <c r="I580" t="s">
        <v>10408</v>
      </c>
      <c r="J580" t="s">
        <v>30005</v>
      </c>
      <c r="K580" t="s">
        <v>38557</v>
      </c>
      <c r="M580" t="s">
        <v>38982</v>
      </c>
      <c r="N580" t="s">
        <v>42669</v>
      </c>
      <c r="O580" t="s">
        <v>42670</v>
      </c>
      <c r="P580">
        <v>0</v>
      </c>
      <c r="Q580">
        <v>0</v>
      </c>
      <c r="R580" t="s">
        <v>42671</v>
      </c>
      <c r="S580" t="s">
        <v>42779</v>
      </c>
      <c r="T580" t="s">
        <v>44449</v>
      </c>
      <c r="U580" t="s">
        <v>45380</v>
      </c>
      <c r="W580" t="s">
        <v>38982</v>
      </c>
      <c r="X580" t="s">
        <v>42672</v>
      </c>
    </row>
    <row r="581" spans="1:24">
      <c r="A581">
        <f>HYPERLINK("https://www.philgeps.gov.ph/GEPSNONPILOT/Tender/SplashBidNoticeAbstractUI.aspx?menuIndex=3&amp;refID=7192297&amp;Result=3","7192297")</f>
        <v>0</v>
      </c>
      <c r="B581" t="s">
        <v>134</v>
      </c>
      <c r="C581" t="s">
        <v>4077</v>
      </c>
      <c r="D581" t="s">
        <v>17177</v>
      </c>
      <c r="E581" t="s">
        <v>17796</v>
      </c>
      <c r="F581" t="s">
        <v>29372</v>
      </c>
      <c r="G581" t="s">
        <v>29379</v>
      </c>
      <c r="H581" t="s">
        <v>11048</v>
      </c>
      <c r="I581" t="s">
        <v>4486</v>
      </c>
      <c r="J581" t="s">
        <v>30006</v>
      </c>
      <c r="K581" t="s">
        <v>38528</v>
      </c>
      <c r="M581" t="s">
        <v>38889</v>
      </c>
      <c r="N581" t="s">
        <v>42669</v>
      </c>
      <c r="O581" t="s">
        <v>42670</v>
      </c>
      <c r="P581">
        <v>0</v>
      </c>
      <c r="Q581">
        <v>4</v>
      </c>
      <c r="R581" t="s">
        <v>42671</v>
      </c>
      <c r="S581" t="s">
        <v>42779</v>
      </c>
      <c r="T581" t="s">
        <v>44382</v>
      </c>
      <c r="U581" t="s">
        <v>45089</v>
      </c>
      <c r="W581" t="s">
        <v>38889</v>
      </c>
      <c r="X581" t="s">
        <v>42676</v>
      </c>
    </row>
    <row r="582" spans="1:24">
      <c r="A582">
        <f>HYPERLINK("https://www.philgeps.gov.ph/GEPSNONPILOT/Tender/SplashBidNoticeAbstractUI.aspx?menuIndex=3&amp;refID=7194087&amp;Result=3","7194087")</f>
        <v>0</v>
      </c>
      <c r="B582" t="s">
        <v>244</v>
      </c>
      <c r="C582" t="s">
        <v>4078</v>
      </c>
      <c r="D582" t="s">
        <v>17169</v>
      </c>
      <c r="E582" t="s">
        <v>17797</v>
      </c>
      <c r="F582" t="s">
        <v>29372</v>
      </c>
      <c r="G582" t="s">
        <v>29383</v>
      </c>
      <c r="H582" t="s">
        <v>29389</v>
      </c>
      <c r="I582" t="s">
        <v>10408</v>
      </c>
      <c r="J582" t="s">
        <v>29555</v>
      </c>
      <c r="K582" t="s">
        <v>38485</v>
      </c>
      <c r="M582" t="s">
        <v>39003</v>
      </c>
      <c r="N582" t="s">
        <v>42669</v>
      </c>
      <c r="O582" t="s">
        <v>42670</v>
      </c>
      <c r="P582">
        <v>0</v>
      </c>
      <c r="Q582">
        <v>0</v>
      </c>
      <c r="R582" t="s">
        <v>42671</v>
      </c>
      <c r="S582" t="s">
        <v>42779</v>
      </c>
      <c r="T582" t="s">
        <v>44456</v>
      </c>
      <c r="U582" t="s">
        <v>45381</v>
      </c>
      <c r="V582" t="s">
        <v>56408</v>
      </c>
      <c r="W582" t="s">
        <v>39003</v>
      </c>
      <c r="X582" t="s">
        <v>42672</v>
      </c>
    </row>
    <row r="583" spans="1:24">
      <c r="A583">
        <f>HYPERLINK("https://www.philgeps.gov.ph/GEPSNONPILOT/Tender/SplashBidNoticeAbstractUI.aspx?menuIndex=3&amp;refID=7194101&amp;Result=3","7194101")</f>
        <v>0</v>
      </c>
      <c r="B583" t="s">
        <v>240</v>
      </c>
      <c r="C583" t="s">
        <v>4079</v>
      </c>
      <c r="D583" t="s">
        <v>17185</v>
      </c>
      <c r="E583" t="s">
        <v>17798</v>
      </c>
      <c r="F583" t="s">
        <v>29372</v>
      </c>
      <c r="G583" t="s">
        <v>29379</v>
      </c>
      <c r="H583" t="s">
        <v>11048</v>
      </c>
      <c r="I583" t="s">
        <v>3839</v>
      </c>
      <c r="J583" t="s">
        <v>30007</v>
      </c>
      <c r="K583" t="s">
        <v>38490</v>
      </c>
      <c r="M583" t="s">
        <v>38999</v>
      </c>
      <c r="N583" t="s">
        <v>42669</v>
      </c>
      <c r="O583" t="s">
        <v>42670</v>
      </c>
      <c r="P583">
        <v>0</v>
      </c>
      <c r="Q583">
        <v>6</v>
      </c>
      <c r="R583" t="s">
        <v>42671</v>
      </c>
      <c r="S583" t="s">
        <v>42779</v>
      </c>
      <c r="T583" t="s">
        <v>44437</v>
      </c>
      <c r="U583" t="s">
        <v>45382</v>
      </c>
      <c r="W583" t="s">
        <v>38999</v>
      </c>
      <c r="X583" t="s">
        <v>42672</v>
      </c>
    </row>
    <row r="584" spans="1:24">
      <c r="A584">
        <f>HYPERLINK("https://www.philgeps.gov.ph/GEPSNONPILOT/Tender/SplashBidNoticeAbstractUI.aspx?menuIndex=3&amp;refID=7194080&amp;Result=3","7194080")</f>
        <v>0</v>
      </c>
      <c r="B584" t="s">
        <v>34</v>
      </c>
      <c r="C584" t="s">
        <v>4080</v>
      </c>
      <c r="D584" t="s">
        <v>17148</v>
      </c>
      <c r="E584" t="s">
        <v>17799</v>
      </c>
      <c r="F584" t="s">
        <v>29372</v>
      </c>
      <c r="G584" t="s">
        <v>29379</v>
      </c>
      <c r="H584" t="s">
        <v>11048</v>
      </c>
      <c r="I584" t="s">
        <v>29444</v>
      </c>
      <c r="J584" t="s">
        <v>30008</v>
      </c>
      <c r="K584" t="s">
        <v>38488</v>
      </c>
      <c r="M584" t="s">
        <v>38787</v>
      </c>
      <c r="N584" t="s">
        <v>42669</v>
      </c>
      <c r="O584" t="s">
        <v>42670</v>
      </c>
      <c r="P584">
        <v>0</v>
      </c>
      <c r="Q584">
        <v>3</v>
      </c>
      <c r="R584" t="s">
        <v>42671</v>
      </c>
      <c r="S584" t="s">
        <v>42779</v>
      </c>
      <c r="T584" t="s">
        <v>44378</v>
      </c>
      <c r="U584" t="s">
        <v>45383</v>
      </c>
      <c r="W584" t="s">
        <v>38787</v>
      </c>
      <c r="X584" t="s">
        <v>42672</v>
      </c>
    </row>
    <row r="585" spans="1:24">
      <c r="A585">
        <f>HYPERLINK("https://www.philgeps.gov.ph/GEPSNONPILOT/Tender/SplashBidNoticeAbstractUI.aspx?menuIndex=3&amp;refID=7194079&amp;Result=3","7194079")</f>
        <v>0</v>
      </c>
      <c r="B585" t="s">
        <v>245</v>
      </c>
      <c r="C585" t="s">
        <v>4081</v>
      </c>
      <c r="D585" t="s">
        <v>17171</v>
      </c>
      <c r="E585" t="s">
        <v>17800</v>
      </c>
      <c r="F585" t="s">
        <v>29372</v>
      </c>
      <c r="G585" t="s">
        <v>29379</v>
      </c>
      <c r="H585" t="s">
        <v>11048</v>
      </c>
      <c r="I585" t="s">
        <v>5383</v>
      </c>
      <c r="J585" t="s">
        <v>30009</v>
      </c>
      <c r="K585" t="s">
        <v>38510</v>
      </c>
      <c r="M585" t="s">
        <v>39004</v>
      </c>
      <c r="N585" t="s">
        <v>42669</v>
      </c>
      <c r="O585" t="s">
        <v>42670</v>
      </c>
      <c r="P585">
        <v>0</v>
      </c>
      <c r="Q585">
        <v>1</v>
      </c>
      <c r="R585" t="s">
        <v>42671</v>
      </c>
      <c r="S585" t="s">
        <v>42779</v>
      </c>
      <c r="T585" t="s">
        <v>44394</v>
      </c>
      <c r="U585" t="s">
        <v>45384</v>
      </c>
      <c r="W585" t="s">
        <v>39004</v>
      </c>
      <c r="X585" t="s">
        <v>42672</v>
      </c>
    </row>
    <row r="586" spans="1:24">
      <c r="A586">
        <f>HYPERLINK("https://www.philgeps.gov.ph/GEPSNONPILOT/Tender/SplashBidNoticeAbstractUI.aspx?menuIndex=3&amp;refID=7194088&amp;Result=3","7194088")</f>
        <v>0</v>
      </c>
      <c r="B586" t="s">
        <v>240</v>
      </c>
      <c r="C586" t="s">
        <v>4082</v>
      </c>
      <c r="D586" t="s">
        <v>17185</v>
      </c>
      <c r="E586" t="s">
        <v>17801</v>
      </c>
      <c r="F586" t="s">
        <v>29372</v>
      </c>
      <c r="G586" t="s">
        <v>29379</v>
      </c>
      <c r="H586" t="s">
        <v>11048</v>
      </c>
      <c r="I586" t="s">
        <v>9642</v>
      </c>
      <c r="J586" t="s">
        <v>30010</v>
      </c>
      <c r="K586" t="s">
        <v>38490</v>
      </c>
      <c r="M586" t="s">
        <v>38999</v>
      </c>
      <c r="N586" t="s">
        <v>42669</v>
      </c>
      <c r="O586" t="s">
        <v>42670</v>
      </c>
      <c r="P586">
        <v>0</v>
      </c>
      <c r="Q586">
        <v>2</v>
      </c>
      <c r="R586" t="s">
        <v>42671</v>
      </c>
      <c r="S586" t="s">
        <v>42779</v>
      </c>
      <c r="T586" t="s">
        <v>44391</v>
      </c>
      <c r="U586" t="s">
        <v>45385</v>
      </c>
      <c r="W586" t="s">
        <v>38999</v>
      </c>
      <c r="X586" t="s">
        <v>42672</v>
      </c>
    </row>
    <row r="587" spans="1:24">
      <c r="A587">
        <f>HYPERLINK("https://www.philgeps.gov.ph/GEPSNONPILOT/Tender/SplashBidNoticeAbstractUI.aspx?menuIndex=3&amp;refID=7194073&amp;Result=3","7194073")</f>
        <v>0</v>
      </c>
      <c r="B587" t="s">
        <v>233</v>
      </c>
      <c r="C587" t="s">
        <v>4083</v>
      </c>
      <c r="D587" t="s">
        <v>17203</v>
      </c>
      <c r="E587" t="s">
        <v>17802</v>
      </c>
      <c r="F587" t="s">
        <v>29372</v>
      </c>
      <c r="G587" t="s">
        <v>29379</v>
      </c>
      <c r="H587" t="s">
        <v>11048</v>
      </c>
      <c r="I587" t="s">
        <v>8794</v>
      </c>
      <c r="J587" t="s">
        <v>30011</v>
      </c>
      <c r="K587" t="s">
        <v>38488</v>
      </c>
      <c r="M587" t="s">
        <v>38992</v>
      </c>
      <c r="N587" t="s">
        <v>42669</v>
      </c>
      <c r="O587" t="s">
        <v>42670</v>
      </c>
      <c r="P587">
        <v>0</v>
      </c>
      <c r="Q587">
        <v>0</v>
      </c>
      <c r="R587" t="s">
        <v>42671</v>
      </c>
      <c r="S587" t="s">
        <v>42779</v>
      </c>
      <c r="T587" t="s">
        <v>44373</v>
      </c>
      <c r="U587" t="s">
        <v>45386</v>
      </c>
      <c r="W587" t="s">
        <v>38992</v>
      </c>
      <c r="X587" t="s">
        <v>42672</v>
      </c>
    </row>
    <row r="588" spans="1:24">
      <c r="A588">
        <f>HYPERLINK("https://www.philgeps.gov.ph/GEPSNONPILOT/Tender/SplashBidNoticeAbstractUI.aspx?menuIndex=3&amp;refID=7194091&amp;Result=3","7194091")</f>
        <v>0</v>
      </c>
      <c r="B588" t="s">
        <v>246</v>
      </c>
      <c r="C588" t="s">
        <v>4084</v>
      </c>
      <c r="E588" t="s">
        <v>17803</v>
      </c>
      <c r="F588" t="s">
        <v>29372</v>
      </c>
      <c r="G588" t="s">
        <v>29380</v>
      </c>
      <c r="H588" t="s">
        <v>11048</v>
      </c>
      <c r="I588" t="s">
        <v>8614</v>
      </c>
      <c r="J588" t="s">
        <v>30012</v>
      </c>
      <c r="K588" t="s">
        <v>38490</v>
      </c>
      <c r="M588" t="s">
        <v>39005</v>
      </c>
      <c r="N588" t="s">
        <v>42669</v>
      </c>
      <c r="O588" t="s">
        <v>42670</v>
      </c>
      <c r="P588">
        <v>0</v>
      </c>
      <c r="Q588">
        <v>15</v>
      </c>
      <c r="R588" t="s">
        <v>42671</v>
      </c>
      <c r="S588" t="s">
        <v>42779</v>
      </c>
      <c r="T588" t="s">
        <v>44461</v>
      </c>
      <c r="U588" t="s">
        <v>45387</v>
      </c>
      <c r="W588" t="s">
        <v>39005</v>
      </c>
      <c r="X588" t="s">
        <v>42672</v>
      </c>
    </row>
    <row r="589" spans="1:24">
      <c r="A589">
        <f>HYPERLINK("https://www.philgeps.gov.ph/GEPSNONPILOT/Tender/SplashBidNoticeAbstractUI.aspx?menuIndex=3&amp;refID=7194090&amp;Result=3","7194090")</f>
        <v>0</v>
      </c>
      <c r="B589" t="s">
        <v>34</v>
      </c>
      <c r="C589" t="s">
        <v>4085</v>
      </c>
      <c r="D589" t="s">
        <v>17148</v>
      </c>
      <c r="E589" t="s">
        <v>17804</v>
      </c>
      <c r="F589" t="s">
        <v>29372</v>
      </c>
      <c r="G589" t="s">
        <v>29382</v>
      </c>
      <c r="H589" t="s">
        <v>11048</v>
      </c>
      <c r="I589" t="s">
        <v>5383</v>
      </c>
      <c r="J589" t="s">
        <v>30013</v>
      </c>
      <c r="K589" t="s">
        <v>38488</v>
      </c>
      <c r="M589" t="s">
        <v>38787</v>
      </c>
      <c r="N589" t="s">
        <v>42669</v>
      </c>
      <c r="O589" t="s">
        <v>42670</v>
      </c>
      <c r="P589">
        <v>0</v>
      </c>
      <c r="Q589">
        <v>1</v>
      </c>
      <c r="R589" t="s">
        <v>42671</v>
      </c>
      <c r="S589" t="s">
        <v>42779</v>
      </c>
      <c r="T589" t="s">
        <v>44378</v>
      </c>
      <c r="U589" t="s">
        <v>45388</v>
      </c>
      <c r="W589" t="s">
        <v>38787</v>
      </c>
      <c r="X589" t="s">
        <v>42672</v>
      </c>
    </row>
    <row r="590" spans="1:24">
      <c r="A590">
        <f>HYPERLINK("https://www.philgeps.gov.ph/GEPSNONPILOT/Tender/SplashBidNoticeAbstractUI.aspx?menuIndex=3&amp;refID=7194128&amp;Result=3","7194128")</f>
        <v>0</v>
      </c>
      <c r="B590" t="s">
        <v>247</v>
      </c>
      <c r="C590" t="s">
        <v>4086</v>
      </c>
      <c r="D590" t="s">
        <v>17204</v>
      </c>
      <c r="E590" t="s">
        <v>17805</v>
      </c>
      <c r="F590" t="s">
        <v>29372</v>
      </c>
      <c r="G590" t="s">
        <v>29379</v>
      </c>
      <c r="H590" t="s">
        <v>11048</v>
      </c>
      <c r="I590" t="s">
        <v>6417</v>
      </c>
      <c r="J590" t="s">
        <v>30014</v>
      </c>
      <c r="K590" t="s">
        <v>38485</v>
      </c>
      <c r="M590" t="s">
        <v>39006</v>
      </c>
      <c r="N590" t="s">
        <v>42669</v>
      </c>
      <c r="O590" t="s">
        <v>42670</v>
      </c>
      <c r="P590">
        <v>0</v>
      </c>
      <c r="Q590">
        <v>1</v>
      </c>
      <c r="R590" t="s">
        <v>42671</v>
      </c>
      <c r="S590" t="s">
        <v>42779</v>
      </c>
      <c r="T590" t="s">
        <v>44462</v>
      </c>
      <c r="U590" t="s">
        <v>45389</v>
      </c>
      <c r="W590" t="s">
        <v>39006</v>
      </c>
      <c r="X590" t="s">
        <v>42672</v>
      </c>
    </row>
    <row r="591" spans="1:24">
      <c r="A591">
        <f>HYPERLINK("https://www.philgeps.gov.ph/GEPSNONPILOT/Tender/SplashBidNoticeAbstractUI.aspx?menuIndex=3&amp;refID=7194055&amp;Result=3","7194055")</f>
        <v>0</v>
      </c>
      <c r="B591" t="s">
        <v>248</v>
      </c>
      <c r="C591" t="s">
        <v>4087</v>
      </c>
      <c r="D591" t="s">
        <v>17161</v>
      </c>
      <c r="E591" t="s">
        <v>17806</v>
      </c>
      <c r="F591" t="s">
        <v>29372</v>
      </c>
      <c r="G591" t="s">
        <v>29380</v>
      </c>
      <c r="H591" t="s">
        <v>29389</v>
      </c>
      <c r="I591" t="s">
        <v>10408</v>
      </c>
      <c r="J591" t="s">
        <v>30015</v>
      </c>
      <c r="K591" t="s">
        <v>38531</v>
      </c>
      <c r="M591" t="s">
        <v>39007</v>
      </c>
      <c r="N591" t="s">
        <v>42669</v>
      </c>
      <c r="O591" t="s">
        <v>42670</v>
      </c>
      <c r="P591">
        <v>0</v>
      </c>
      <c r="Q591">
        <v>0</v>
      </c>
      <c r="R591" t="s">
        <v>42671</v>
      </c>
      <c r="S591" t="s">
        <v>42779</v>
      </c>
      <c r="T591" t="s">
        <v>44363</v>
      </c>
      <c r="U591" t="s">
        <v>45390</v>
      </c>
      <c r="W591" t="s">
        <v>39007</v>
      </c>
      <c r="X591" t="s">
        <v>42672</v>
      </c>
    </row>
    <row r="592" spans="1:24">
      <c r="A592">
        <f>HYPERLINK("https://www.philgeps.gov.ph/GEPSNONPILOT/Tender/SplashBidNoticeAbstractUI.aspx?menuIndex=3&amp;refID=7194127&amp;Result=3","7194127")</f>
        <v>0</v>
      </c>
      <c r="B592" t="s">
        <v>249</v>
      </c>
      <c r="C592" t="s">
        <v>4088</v>
      </c>
      <c r="D592" t="s">
        <v>17170</v>
      </c>
      <c r="E592" t="s">
        <v>17807</v>
      </c>
      <c r="F592" t="s">
        <v>29372</v>
      </c>
      <c r="G592" t="s">
        <v>29380</v>
      </c>
      <c r="H592" t="s">
        <v>29389</v>
      </c>
      <c r="I592" t="s">
        <v>10408</v>
      </c>
      <c r="J592" t="s">
        <v>29555</v>
      </c>
      <c r="K592" t="s">
        <v>38490</v>
      </c>
      <c r="M592" t="s">
        <v>39008</v>
      </c>
      <c r="N592" t="s">
        <v>42669</v>
      </c>
      <c r="O592" t="s">
        <v>42670</v>
      </c>
      <c r="P592">
        <v>0</v>
      </c>
      <c r="Q592">
        <v>0</v>
      </c>
      <c r="R592" t="s">
        <v>42671</v>
      </c>
      <c r="S592" t="s">
        <v>42779</v>
      </c>
      <c r="T592" t="s">
        <v>44463</v>
      </c>
      <c r="U592" t="s">
        <v>45391</v>
      </c>
      <c r="W592" t="s">
        <v>39008</v>
      </c>
      <c r="X592" t="s">
        <v>42672</v>
      </c>
    </row>
    <row r="593" spans="1:24">
      <c r="A593">
        <f>HYPERLINK("https://www.philgeps.gov.ph/GEPSNONPILOT/Tender/SplashBidNoticeAbstractUI.aspx?menuIndex=3&amp;refID=7194123&amp;Result=3","7194123")</f>
        <v>0</v>
      </c>
      <c r="B593" t="s">
        <v>250</v>
      </c>
      <c r="C593" t="s">
        <v>4089</v>
      </c>
      <c r="D593" t="s">
        <v>17205</v>
      </c>
      <c r="E593" t="s">
        <v>17808</v>
      </c>
      <c r="F593" t="s">
        <v>29372</v>
      </c>
      <c r="G593" t="s">
        <v>29380</v>
      </c>
      <c r="H593" t="s">
        <v>11048</v>
      </c>
      <c r="I593" t="s">
        <v>29445</v>
      </c>
      <c r="J593" t="s">
        <v>30016</v>
      </c>
      <c r="K593" t="s">
        <v>38485</v>
      </c>
      <c r="M593" t="s">
        <v>39009</v>
      </c>
      <c r="N593" t="s">
        <v>42669</v>
      </c>
      <c r="O593" t="s">
        <v>42670</v>
      </c>
      <c r="P593">
        <v>0</v>
      </c>
      <c r="Q593">
        <v>1</v>
      </c>
      <c r="R593" t="s">
        <v>42671</v>
      </c>
      <c r="S593" t="s">
        <v>42779</v>
      </c>
      <c r="T593" t="s">
        <v>44464</v>
      </c>
      <c r="U593" t="s">
        <v>45392</v>
      </c>
      <c r="W593" t="s">
        <v>39009</v>
      </c>
      <c r="X593" t="s">
        <v>42672</v>
      </c>
    </row>
    <row r="594" spans="1:24">
      <c r="A594">
        <f>HYPERLINK("https://www.philgeps.gov.ph/GEPSNONPILOT/Tender/SplashBidNoticeAbstractUI.aspx?menuIndex=3&amp;refID=7194085&amp;Result=3","7194085")</f>
        <v>0</v>
      </c>
      <c r="B594" t="s">
        <v>244</v>
      </c>
      <c r="C594" t="s">
        <v>4090</v>
      </c>
      <c r="D594" t="s">
        <v>17169</v>
      </c>
      <c r="E594" t="s">
        <v>17809</v>
      </c>
      <c r="F594" t="s">
        <v>29372</v>
      </c>
      <c r="G594" t="s">
        <v>29383</v>
      </c>
      <c r="H594" t="s">
        <v>29389</v>
      </c>
      <c r="I594" t="s">
        <v>10408</v>
      </c>
      <c r="J594" t="s">
        <v>30017</v>
      </c>
      <c r="K594" t="s">
        <v>38485</v>
      </c>
      <c r="M594" t="s">
        <v>39003</v>
      </c>
      <c r="N594" t="s">
        <v>42669</v>
      </c>
      <c r="O594" t="s">
        <v>42670</v>
      </c>
      <c r="P594">
        <v>0</v>
      </c>
      <c r="Q594">
        <v>0</v>
      </c>
      <c r="R594" t="s">
        <v>42671</v>
      </c>
      <c r="S594" t="s">
        <v>42779</v>
      </c>
      <c r="T594" t="s">
        <v>44456</v>
      </c>
      <c r="U594" t="s">
        <v>45393</v>
      </c>
      <c r="V594" t="s">
        <v>56409</v>
      </c>
      <c r="W594" t="s">
        <v>39003</v>
      </c>
      <c r="X594" t="s">
        <v>42672</v>
      </c>
    </row>
    <row r="595" spans="1:24">
      <c r="A595">
        <f>HYPERLINK("https://www.philgeps.gov.ph/GEPSNONPILOT/Tender/SplashBidNoticeAbstractUI.aspx?menuIndex=3&amp;refID=7194120&amp;Result=3","7194120")</f>
        <v>0</v>
      </c>
      <c r="B595" t="s">
        <v>249</v>
      </c>
      <c r="C595" t="s">
        <v>4091</v>
      </c>
      <c r="D595" t="s">
        <v>17170</v>
      </c>
      <c r="E595" t="s">
        <v>17810</v>
      </c>
      <c r="F595" t="s">
        <v>29372</v>
      </c>
      <c r="G595" t="s">
        <v>29380</v>
      </c>
      <c r="H595" t="s">
        <v>29389</v>
      </c>
      <c r="I595" t="s">
        <v>10408</v>
      </c>
      <c r="J595" t="s">
        <v>29604</v>
      </c>
      <c r="K595" t="s">
        <v>38490</v>
      </c>
      <c r="M595" t="s">
        <v>39008</v>
      </c>
      <c r="N595" t="s">
        <v>42669</v>
      </c>
      <c r="O595" t="s">
        <v>42670</v>
      </c>
      <c r="P595">
        <v>0</v>
      </c>
      <c r="Q595">
        <v>0</v>
      </c>
      <c r="R595" t="s">
        <v>42671</v>
      </c>
      <c r="S595" t="s">
        <v>42779</v>
      </c>
      <c r="T595" t="s">
        <v>44465</v>
      </c>
      <c r="U595" t="s">
        <v>45394</v>
      </c>
      <c r="W595" t="s">
        <v>39008</v>
      </c>
      <c r="X595" t="s">
        <v>42672</v>
      </c>
    </row>
    <row r="596" spans="1:24">
      <c r="A596">
        <f>HYPERLINK("https://www.philgeps.gov.ph/GEPSNONPILOT/Tender/SplashBidNoticeAbstractUI.aspx?menuIndex=3&amp;refID=7194078&amp;Result=3","7194078")</f>
        <v>0</v>
      </c>
      <c r="B596" t="s">
        <v>251</v>
      </c>
      <c r="C596" t="s">
        <v>4081</v>
      </c>
      <c r="D596" t="s">
        <v>17171</v>
      </c>
      <c r="E596" t="s">
        <v>17800</v>
      </c>
      <c r="F596" t="s">
        <v>29372</v>
      </c>
      <c r="G596" t="s">
        <v>29379</v>
      </c>
      <c r="H596" t="s">
        <v>11048</v>
      </c>
      <c r="I596" t="s">
        <v>5383</v>
      </c>
      <c r="J596" t="s">
        <v>30018</v>
      </c>
      <c r="K596" t="s">
        <v>38510</v>
      </c>
      <c r="M596" t="s">
        <v>39010</v>
      </c>
      <c r="N596" t="s">
        <v>42669</v>
      </c>
      <c r="O596" t="s">
        <v>42670</v>
      </c>
      <c r="P596">
        <v>0</v>
      </c>
      <c r="Q596">
        <v>1</v>
      </c>
      <c r="R596" t="s">
        <v>42671</v>
      </c>
      <c r="S596" t="s">
        <v>42779</v>
      </c>
      <c r="T596" t="s">
        <v>44394</v>
      </c>
      <c r="U596" t="s">
        <v>45395</v>
      </c>
      <c r="W596" t="s">
        <v>39010</v>
      </c>
      <c r="X596" t="s">
        <v>42672</v>
      </c>
    </row>
    <row r="597" spans="1:24">
      <c r="A597">
        <f>HYPERLINK("https://www.philgeps.gov.ph/GEPSNONPILOT/Tender/SplashBidNoticeAbstractUI.aspx?menuIndex=3&amp;refID=7194076&amp;Result=3","7194076")</f>
        <v>0</v>
      </c>
      <c r="B597" t="s">
        <v>233</v>
      </c>
      <c r="C597" t="s">
        <v>4092</v>
      </c>
      <c r="D597" t="s">
        <v>17203</v>
      </c>
      <c r="E597" t="s">
        <v>17811</v>
      </c>
      <c r="F597" t="s">
        <v>29372</v>
      </c>
      <c r="G597" t="s">
        <v>29379</v>
      </c>
      <c r="H597" t="s">
        <v>11048</v>
      </c>
      <c r="I597" t="s">
        <v>29428</v>
      </c>
      <c r="J597" t="s">
        <v>29571</v>
      </c>
      <c r="K597" t="s">
        <v>38488</v>
      </c>
      <c r="M597" t="s">
        <v>38992</v>
      </c>
      <c r="N597" t="s">
        <v>42669</v>
      </c>
      <c r="O597" t="s">
        <v>42670</v>
      </c>
      <c r="P597">
        <v>0</v>
      </c>
      <c r="Q597">
        <v>0</v>
      </c>
      <c r="R597" t="s">
        <v>42671</v>
      </c>
      <c r="S597" t="s">
        <v>42779</v>
      </c>
      <c r="T597" t="s">
        <v>44373</v>
      </c>
      <c r="U597" t="s">
        <v>45396</v>
      </c>
      <c r="W597" t="s">
        <v>38992</v>
      </c>
      <c r="X597" t="s">
        <v>42672</v>
      </c>
    </row>
    <row r="598" spans="1:24">
      <c r="A598">
        <f>HYPERLINK("https://www.philgeps.gov.ph/GEPSNONPILOT/Tender/SplashBidNoticeAbstractUI.aspx?menuIndex=3&amp;refID=7194119&amp;Result=3","7194119")</f>
        <v>0</v>
      </c>
      <c r="B598" t="s">
        <v>250</v>
      </c>
      <c r="C598" t="s">
        <v>4093</v>
      </c>
      <c r="D598" t="s">
        <v>17205</v>
      </c>
      <c r="E598" t="s">
        <v>17812</v>
      </c>
      <c r="F598" t="s">
        <v>29372</v>
      </c>
      <c r="G598" t="s">
        <v>29380</v>
      </c>
      <c r="H598" t="s">
        <v>11048</v>
      </c>
      <c r="I598" t="s">
        <v>5383</v>
      </c>
      <c r="J598" t="s">
        <v>30019</v>
      </c>
      <c r="K598" t="s">
        <v>38485</v>
      </c>
      <c r="M598" t="s">
        <v>39009</v>
      </c>
      <c r="N598" t="s">
        <v>42669</v>
      </c>
      <c r="O598" t="s">
        <v>42670</v>
      </c>
      <c r="P598">
        <v>0</v>
      </c>
      <c r="Q598">
        <v>2</v>
      </c>
      <c r="R598" t="s">
        <v>42671</v>
      </c>
      <c r="S598" t="s">
        <v>42779</v>
      </c>
      <c r="T598" t="s">
        <v>44409</v>
      </c>
      <c r="U598" t="s">
        <v>45392</v>
      </c>
      <c r="W598" t="s">
        <v>39009</v>
      </c>
      <c r="X598" t="s">
        <v>42672</v>
      </c>
    </row>
    <row r="599" spans="1:24">
      <c r="A599">
        <f>HYPERLINK("https://www.philgeps.gov.ph/GEPSNONPILOT/Tender/SplashBidNoticeAbstractUI.aspx?menuIndex=3&amp;refID=7194124&amp;Result=3","7194124")</f>
        <v>0</v>
      </c>
      <c r="B599" t="s">
        <v>252</v>
      </c>
      <c r="C599" t="s">
        <v>4094</v>
      </c>
      <c r="D599" t="s">
        <v>17160</v>
      </c>
      <c r="E599" t="s">
        <v>17813</v>
      </c>
      <c r="F599" t="s">
        <v>29372</v>
      </c>
      <c r="G599" t="s">
        <v>29380</v>
      </c>
      <c r="H599" t="s">
        <v>11048</v>
      </c>
      <c r="I599" t="s">
        <v>29394</v>
      </c>
      <c r="J599" t="s">
        <v>30020</v>
      </c>
      <c r="K599" t="s">
        <v>38489</v>
      </c>
      <c r="M599" t="s">
        <v>39011</v>
      </c>
      <c r="N599" t="s">
        <v>42669</v>
      </c>
      <c r="O599" t="s">
        <v>42670</v>
      </c>
      <c r="P599">
        <v>0</v>
      </c>
      <c r="Q599">
        <v>2</v>
      </c>
      <c r="R599" t="s">
        <v>42671</v>
      </c>
      <c r="S599" t="s">
        <v>42779</v>
      </c>
      <c r="T599" t="s">
        <v>44466</v>
      </c>
      <c r="U599" t="s">
        <v>45397</v>
      </c>
      <c r="W599" t="s">
        <v>39011</v>
      </c>
      <c r="X599" t="s">
        <v>42672</v>
      </c>
    </row>
    <row r="600" spans="1:24">
      <c r="A600">
        <f>HYPERLINK("https://www.philgeps.gov.ph/GEPSNONPILOT/Tender/SplashBidNoticeAbstractUI.aspx?menuIndex=3&amp;refID=7194122&amp;Result=3","7194122")</f>
        <v>0</v>
      </c>
      <c r="B600" t="s">
        <v>249</v>
      </c>
      <c r="C600" t="s">
        <v>4095</v>
      </c>
      <c r="D600" t="s">
        <v>17170</v>
      </c>
      <c r="E600" t="s">
        <v>17814</v>
      </c>
      <c r="F600" t="s">
        <v>29372</v>
      </c>
      <c r="G600" t="s">
        <v>29380</v>
      </c>
      <c r="H600" t="s">
        <v>29389</v>
      </c>
      <c r="I600" t="s">
        <v>10408</v>
      </c>
      <c r="J600" t="s">
        <v>29708</v>
      </c>
      <c r="K600" t="s">
        <v>38490</v>
      </c>
      <c r="M600" t="s">
        <v>39008</v>
      </c>
      <c r="N600" t="s">
        <v>42669</v>
      </c>
      <c r="O600" t="s">
        <v>42670</v>
      </c>
      <c r="P600">
        <v>0</v>
      </c>
      <c r="Q600">
        <v>0</v>
      </c>
      <c r="R600" t="s">
        <v>42671</v>
      </c>
      <c r="S600" t="s">
        <v>42779</v>
      </c>
      <c r="T600" t="s">
        <v>44465</v>
      </c>
      <c r="U600" t="s">
        <v>45398</v>
      </c>
      <c r="W600" t="s">
        <v>39008</v>
      </c>
      <c r="X600" t="s">
        <v>42672</v>
      </c>
    </row>
    <row r="601" spans="1:24">
      <c r="A601">
        <f>HYPERLINK("https://www.philgeps.gov.ph/GEPSNONPILOT/Tender/SplashBidNoticeAbstractUI.aspx?menuIndex=3&amp;refID=7194121&amp;Result=3","7194121")</f>
        <v>0</v>
      </c>
      <c r="B601" t="s">
        <v>250</v>
      </c>
      <c r="C601" t="s">
        <v>4096</v>
      </c>
      <c r="D601" t="s">
        <v>17205</v>
      </c>
      <c r="E601" t="s">
        <v>17815</v>
      </c>
      <c r="F601" t="s">
        <v>29372</v>
      </c>
      <c r="G601" t="s">
        <v>29380</v>
      </c>
      <c r="H601" t="s">
        <v>11048</v>
      </c>
      <c r="I601" t="s">
        <v>4487</v>
      </c>
      <c r="J601" t="s">
        <v>29765</v>
      </c>
      <c r="K601" t="s">
        <v>38485</v>
      </c>
      <c r="M601" t="s">
        <v>39009</v>
      </c>
      <c r="N601" t="s">
        <v>42669</v>
      </c>
      <c r="O601" t="s">
        <v>42670</v>
      </c>
      <c r="P601">
        <v>0</v>
      </c>
      <c r="Q601">
        <v>0</v>
      </c>
      <c r="R601" t="s">
        <v>42671</v>
      </c>
      <c r="S601" t="s">
        <v>42779</v>
      </c>
      <c r="T601" t="s">
        <v>44467</v>
      </c>
      <c r="U601" t="s">
        <v>45392</v>
      </c>
      <c r="W601" t="s">
        <v>39009</v>
      </c>
      <c r="X601" t="s">
        <v>42672</v>
      </c>
    </row>
    <row r="602" spans="1:24">
      <c r="A602">
        <f>HYPERLINK("https://www.philgeps.gov.ph/GEPSNONPILOT/Tender/SplashBidNoticeAbstractUI.aspx?menuIndex=3&amp;refID=7194111&amp;Result=3","7194111")</f>
        <v>0</v>
      </c>
      <c r="B602" t="s">
        <v>24</v>
      </c>
      <c r="C602" t="s">
        <v>4097</v>
      </c>
      <c r="D602" t="s">
        <v>17141</v>
      </c>
      <c r="E602" t="s">
        <v>17816</v>
      </c>
      <c r="F602" t="s">
        <v>29372</v>
      </c>
      <c r="G602" t="s">
        <v>29379</v>
      </c>
      <c r="H602" t="s">
        <v>11048</v>
      </c>
      <c r="I602" t="s">
        <v>29407</v>
      </c>
      <c r="J602" t="s">
        <v>30021</v>
      </c>
      <c r="K602" t="s">
        <v>38518</v>
      </c>
      <c r="M602" t="s">
        <v>38777</v>
      </c>
      <c r="N602" t="s">
        <v>42669</v>
      </c>
      <c r="O602" t="s">
        <v>42670</v>
      </c>
      <c r="P602">
        <v>0</v>
      </c>
      <c r="Q602">
        <v>8</v>
      </c>
      <c r="R602" t="s">
        <v>42671</v>
      </c>
      <c r="S602" t="s">
        <v>42779</v>
      </c>
      <c r="T602" t="s">
        <v>44378</v>
      </c>
      <c r="U602" t="s">
        <v>45399</v>
      </c>
      <c r="W602" t="s">
        <v>38777</v>
      </c>
      <c r="X602" t="s">
        <v>42672</v>
      </c>
    </row>
    <row r="603" spans="1:24">
      <c r="A603">
        <f>HYPERLINK("https://www.philgeps.gov.ph/GEPSNONPILOT/Tender/SplashBidNoticeAbstractUI.aspx?menuIndex=3&amp;refID=7194118&amp;Result=3","7194118")</f>
        <v>0</v>
      </c>
      <c r="B603" t="s">
        <v>252</v>
      </c>
      <c r="C603" t="s">
        <v>4098</v>
      </c>
      <c r="D603" t="s">
        <v>17160</v>
      </c>
      <c r="E603" t="s">
        <v>17817</v>
      </c>
      <c r="F603" t="s">
        <v>29372</v>
      </c>
      <c r="G603" t="s">
        <v>29380</v>
      </c>
      <c r="H603" t="s">
        <v>11048</v>
      </c>
      <c r="I603" t="s">
        <v>3695</v>
      </c>
      <c r="J603" t="s">
        <v>30022</v>
      </c>
      <c r="K603" t="s">
        <v>38528</v>
      </c>
      <c r="M603" t="s">
        <v>39011</v>
      </c>
      <c r="N603" t="s">
        <v>42669</v>
      </c>
      <c r="O603" t="s">
        <v>42670</v>
      </c>
      <c r="P603">
        <v>0</v>
      </c>
      <c r="Q603">
        <v>3</v>
      </c>
      <c r="R603" t="s">
        <v>42671</v>
      </c>
      <c r="S603" t="s">
        <v>42779</v>
      </c>
      <c r="T603" t="s">
        <v>44466</v>
      </c>
      <c r="U603" t="s">
        <v>45400</v>
      </c>
      <c r="W603" t="s">
        <v>39011</v>
      </c>
      <c r="X603" t="s">
        <v>42672</v>
      </c>
    </row>
    <row r="604" spans="1:24">
      <c r="A604">
        <f>HYPERLINK("https://www.philgeps.gov.ph/GEPSNONPILOT/Tender/SplashBidNoticeAbstractUI.aspx?menuIndex=3&amp;refID=7194115&amp;Result=3","7194115")</f>
        <v>0</v>
      </c>
      <c r="B604" t="s">
        <v>252</v>
      </c>
      <c r="C604" t="s">
        <v>4099</v>
      </c>
      <c r="D604" t="s">
        <v>17160</v>
      </c>
      <c r="E604" t="s">
        <v>17818</v>
      </c>
      <c r="F604" t="s">
        <v>29372</v>
      </c>
      <c r="G604" t="s">
        <v>29379</v>
      </c>
      <c r="H604" t="s">
        <v>11048</v>
      </c>
      <c r="I604" t="s">
        <v>5383</v>
      </c>
      <c r="J604" t="s">
        <v>30023</v>
      </c>
      <c r="K604" t="s">
        <v>38534</v>
      </c>
      <c r="M604" t="s">
        <v>39011</v>
      </c>
      <c r="N604" t="s">
        <v>42669</v>
      </c>
      <c r="O604" t="s">
        <v>42670</v>
      </c>
      <c r="P604">
        <v>0</v>
      </c>
      <c r="Q604">
        <v>0</v>
      </c>
      <c r="R604" t="s">
        <v>42671</v>
      </c>
      <c r="S604" t="s">
        <v>42779</v>
      </c>
      <c r="T604" t="s">
        <v>44468</v>
      </c>
      <c r="U604" t="s">
        <v>45401</v>
      </c>
      <c r="W604" t="s">
        <v>39011</v>
      </c>
      <c r="X604" t="s">
        <v>42672</v>
      </c>
    </row>
    <row r="605" spans="1:24">
      <c r="A605">
        <f>HYPERLINK("https://www.philgeps.gov.ph/GEPSNONPILOT/Tender/SplashBidNoticeAbstractUI.aspx?menuIndex=3&amp;refID=7194110&amp;Result=3","7194110")</f>
        <v>0</v>
      </c>
      <c r="B605" t="s">
        <v>253</v>
      </c>
      <c r="C605" t="s">
        <v>4100</v>
      </c>
      <c r="D605" t="s">
        <v>17166</v>
      </c>
      <c r="E605" t="s">
        <v>17267</v>
      </c>
      <c r="F605" t="s">
        <v>29372</v>
      </c>
      <c r="G605" t="s">
        <v>29383</v>
      </c>
      <c r="H605" t="s">
        <v>11048</v>
      </c>
      <c r="I605" t="s">
        <v>5383</v>
      </c>
      <c r="J605" t="s">
        <v>30024</v>
      </c>
      <c r="K605" t="s">
        <v>38534</v>
      </c>
      <c r="M605" t="s">
        <v>39012</v>
      </c>
      <c r="N605" t="s">
        <v>42669</v>
      </c>
      <c r="O605" t="s">
        <v>42670</v>
      </c>
      <c r="P605">
        <v>0</v>
      </c>
      <c r="Q605">
        <v>1</v>
      </c>
      <c r="R605" t="s">
        <v>42671</v>
      </c>
      <c r="S605" t="s">
        <v>42779</v>
      </c>
      <c r="T605" t="s">
        <v>44389</v>
      </c>
      <c r="U605" t="s">
        <v>45402</v>
      </c>
      <c r="W605" t="s">
        <v>39012</v>
      </c>
      <c r="X605" t="s">
        <v>42672</v>
      </c>
    </row>
    <row r="606" spans="1:24">
      <c r="A606">
        <f>HYPERLINK("https://www.philgeps.gov.ph/GEPSNONPILOT/Tender/SplashBidNoticeAbstractUI.aspx?menuIndex=3&amp;refID=7194109&amp;Result=3","7194109")</f>
        <v>0</v>
      </c>
      <c r="B606" t="s">
        <v>253</v>
      </c>
      <c r="C606" t="s">
        <v>4101</v>
      </c>
      <c r="D606" t="s">
        <v>17166</v>
      </c>
      <c r="E606" t="s">
        <v>17282</v>
      </c>
      <c r="F606" t="s">
        <v>29372</v>
      </c>
      <c r="G606" t="s">
        <v>29383</v>
      </c>
      <c r="H606" t="s">
        <v>11048</v>
      </c>
      <c r="I606" t="s">
        <v>29446</v>
      </c>
      <c r="J606" t="s">
        <v>29680</v>
      </c>
      <c r="K606" t="s">
        <v>38534</v>
      </c>
      <c r="M606" t="s">
        <v>39012</v>
      </c>
      <c r="N606" t="s">
        <v>42669</v>
      </c>
      <c r="O606" t="s">
        <v>42670</v>
      </c>
      <c r="P606">
        <v>0</v>
      </c>
      <c r="Q606">
        <v>0</v>
      </c>
      <c r="R606" t="s">
        <v>42671</v>
      </c>
      <c r="S606" t="s">
        <v>42779</v>
      </c>
      <c r="T606" t="s">
        <v>44389</v>
      </c>
      <c r="U606" t="s">
        <v>45403</v>
      </c>
      <c r="W606" t="s">
        <v>39012</v>
      </c>
      <c r="X606" t="s">
        <v>42672</v>
      </c>
    </row>
    <row r="607" spans="1:24">
      <c r="A607">
        <f>HYPERLINK("https://www.philgeps.gov.ph/GEPSNONPILOT/Tender/SplashBidNoticeAbstractUI.aspx?menuIndex=3&amp;refID=7194108&amp;Result=3","7194108")</f>
        <v>0</v>
      </c>
      <c r="B607" t="s">
        <v>24</v>
      </c>
      <c r="C607" t="s">
        <v>4102</v>
      </c>
      <c r="D607" t="s">
        <v>17141</v>
      </c>
      <c r="E607" t="s">
        <v>17819</v>
      </c>
      <c r="F607" t="s">
        <v>29372</v>
      </c>
      <c r="G607" t="s">
        <v>29379</v>
      </c>
      <c r="H607" t="s">
        <v>11048</v>
      </c>
      <c r="I607" t="s">
        <v>29406</v>
      </c>
      <c r="J607" t="s">
        <v>30025</v>
      </c>
      <c r="K607" t="s">
        <v>38518</v>
      </c>
      <c r="M607" t="s">
        <v>38777</v>
      </c>
      <c r="N607" t="s">
        <v>42669</v>
      </c>
      <c r="O607" t="s">
        <v>42670</v>
      </c>
      <c r="P607">
        <v>0</v>
      </c>
      <c r="Q607">
        <v>9</v>
      </c>
      <c r="R607" t="s">
        <v>42671</v>
      </c>
      <c r="S607" t="s">
        <v>42779</v>
      </c>
      <c r="T607" t="s">
        <v>44431</v>
      </c>
      <c r="U607" t="s">
        <v>45404</v>
      </c>
      <c r="W607" t="s">
        <v>38777</v>
      </c>
      <c r="X607" t="s">
        <v>42672</v>
      </c>
    </row>
    <row r="608" spans="1:24">
      <c r="A608">
        <f>HYPERLINK("https://www.philgeps.gov.ph/GEPSNONPILOT/Tender/SplashBidNoticeAbstractUI.aspx?menuIndex=3&amp;refID=7194113&amp;Result=3","7194113")</f>
        <v>0</v>
      </c>
      <c r="B608" t="s">
        <v>254</v>
      </c>
      <c r="C608" t="s">
        <v>4103</v>
      </c>
      <c r="D608" t="s">
        <v>17142</v>
      </c>
      <c r="E608" t="s">
        <v>17820</v>
      </c>
      <c r="F608" t="s">
        <v>29372</v>
      </c>
      <c r="G608" t="s">
        <v>29379</v>
      </c>
      <c r="H608" t="s">
        <v>11048</v>
      </c>
      <c r="I608" t="s">
        <v>29424</v>
      </c>
      <c r="J608" t="s">
        <v>30026</v>
      </c>
      <c r="K608" t="s">
        <v>38524</v>
      </c>
      <c r="M608" t="s">
        <v>39013</v>
      </c>
      <c r="N608" t="s">
        <v>42669</v>
      </c>
      <c r="O608" t="s">
        <v>42670</v>
      </c>
      <c r="P608">
        <v>0</v>
      </c>
      <c r="Q608">
        <v>3</v>
      </c>
      <c r="R608" t="s">
        <v>42671</v>
      </c>
      <c r="S608" t="s">
        <v>42779</v>
      </c>
      <c r="T608" t="s">
        <v>44394</v>
      </c>
      <c r="U608" t="s">
        <v>45405</v>
      </c>
      <c r="W608" t="s">
        <v>39013</v>
      </c>
      <c r="X608" t="s">
        <v>42672</v>
      </c>
    </row>
    <row r="609" spans="1:24">
      <c r="A609">
        <f>HYPERLINK("https://www.philgeps.gov.ph/GEPSNONPILOT/Tender/SplashBidNoticeAbstractUI.aspx?menuIndex=3&amp;refID=7194112&amp;Result=3","7194112")</f>
        <v>0</v>
      </c>
      <c r="B609" t="s">
        <v>250</v>
      </c>
      <c r="C609" t="s">
        <v>4104</v>
      </c>
      <c r="D609" t="s">
        <v>17205</v>
      </c>
      <c r="E609" t="s">
        <v>17821</v>
      </c>
      <c r="F609" t="s">
        <v>29372</v>
      </c>
      <c r="G609" t="s">
        <v>29380</v>
      </c>
      <c r="H609" t="s">
        <v>11048</v>
      </c>
      <c r="I609" t="s">
        <v>29447</v>
      </c>
      <c r="J609" t="s">
        <v>30027</v>
      </c>
      <c r="K609" t="s">
        <v>38485</v>
      </c>
      <c r="M609" t="s">
        <v>39009</v>
      </c>
      <c r="N609" t="s">
        <v>42669</v>
      </c>
      <c r="O609" t="s">
        <v>42670</v>
      </c>
      <c r="P609">
        <v>0</v>
      </c>
      <c r="Q609">
        <v>0</v>
      </c>
      <c r="R609" t="s">
        <v>42671</v>
      </c>
      <c r="S609" t="s">
        <v>42779</v>
      </c>
      <c r="T609" t="s">
        <v>44426</v>
      </c>
      <c r="U609" t="s">
        <v>45392</v>
      </c>
      <c r="W609" t="s">
        <v>39009</v>
      </c>
      <c r="X609" t="s">
        <v>42672</v>
      </c>
    </row>
    <row r="610" spans="1:24">
      <c r="A610">
        <f>HYPERLINK("https://www.philgeps.gov.ph/GEPSNONPILOT/Tender/SplashBidNoticeAbstractUI.aspx?menuIndex=3&amp;refID=7194116&amp;Result=3","7194116")</f>
        <v>0</v>
      </c>
      <c r="B610" t="s">
        <v>240</v>
      </c>
      <c r="C610" t="s">
        <v>4105</v>
      </c>
      <c r="D610" t="s">
        <v>17185</v>
      </c>
      <c r="E610" t="s">
        <v>17822</v>
      </c>
      <c r="F610" t="s">
        <v>29372</v>
      </c>
      <c r="G610" t="s">
        <v>29379</v>
      </c>
      <c r="H610" t="s">
        <v>11048</v>
      </c>
      <c r="I610" t="s">
        <v>4487</v>
      </c>
      <c r="J610" t="s">
        <v>30028</v>
      </c>
      <c r="K610" t="s">
        <v>38490</v>
      </c>
      <c r="M610" t="s">
        <v>38999</v>
      </c>
      <c r="N610" t="s">
        <v>42669</v>
      </c>
      <c r="O610" t="s">
        <v>42670</v>
      </c>
      <c r="P610">
        <v>0</v>
      </c>
      <c r="Q610">
        <v>2</v>
      </c>
      <c r="R610" t="s">
        <v>42671</v>
      </c>
      <c r="S610" t="s">
        <v>42779</v>
      </c>
      <c r="T610" t="s">
        <v>44437</v>
      </c>
      <c r="U610" t="s">
        <v>45406</v>
      </c>
      <c r="W610" t="s">
        <v>38999</v>
      </c>
      <c r="X610" t="s">
        <v>42672</v>
      </c>
    </row>
    <row r="611" spans="1:24">
      <c r="A611">
        <f>HYPERLINK("https://www.philgeps.gov.ph/GEPSNONPILOT/Tender/SplashBidNoticeAbstractUI.aspx?menuIndex=3&amp;refID=7192059&amp;Result=3","7192059")</f>
        <v>0</v>
      </c>
      <c r="B611" t="s">
        <v>132</v>
      </c>
      <c r="C611" t="s">
        <v>4106</v>
      </c>
      <c r="D611" t="s">
        <v>17167</v>
      </c>
      <c r="E611" t="s">
        <v>17823</v>
      </c>
      <c r="F611" t="s">
        <v>29372</v>
      </c>
      <c r="G611" t="s">
        <v>29380</v>
      </c>
      <c r="H611" t="s">
        <v>11048</v>
      </c>
      <c r="I611" t="s">
        <v>4709</v>
      </c>
      <c r="J611" t="s">
        <v>30029</v>
      </c>
      <c r="K611" t="s">
        <v>38519</v>
      </c>
      <c r="M611" t="s">
        <v>38887</v>
      </c>
      <c r="N611" t="s">
        <v>42669</v>
      </c>
      <c r="O611" t="s">
        <v>42670</v>
      </c>
      <c r="P611">
        <v>0</v>
      </c>
      <c r="Q611">
        <v>0</v>
      </c>
      <c r="R611" t="s">
        <v>42671</v>
      </c>
      <c r="S611" t="s">
        <v>42779</v>
      </c>
      <c r="T611" t="s">
        <v>44453</v>
      </c>
      <c r="U611" t="s">
        <v>45407</v>
      </c>
      <c r="W611" t="s">
        <v>58002</v>
      </c>
      <c r="X611" t="s">
        <v>42676</v>
      </c>
    </row>
    <row r="612" spans="1:24">
      <c r="A612">
        <f>HYPERLINK("https://www.philgeps.gov.ph/GEPSNONPILOT/Tender/SplashBidNoticeAbstractUI.aspx?menuIndex=3&amp;refID=7194107&amp;Result=3","7194107")</f>
        <v>0</v>
      </c>
      <c r="B612" t="s">
        <v>255</v>
      </c>
      <c r="C612" t="s">
        <v>4107</v>
      </c>
      <c r="E612" t="s">
        <v>17824</v>
      </c>
      <c r="F612" t="s">
        <v>29372</v>
      </c>
      <c r="G612" t="s">
        <v>29379</v>
      </c>
      <c r="H612" t="s">
        <v>11048</v>
      </c>
      <c r="I612" t="s">
        <v>29433</v>
      </c>
      <c r="J612" t="s">
        <v>30030</v>
      </c>
      <c r="K612" t="s">
        <v>38490</v>
      </c>
      <c r="M612" t="s">
        <v>39014</v>
      </c>
      <c r="N612" t="s">
        <v>42669</v>
      </c>
      <c r="O612" t="s">
        <v>42670</v>
      </c>
      <c r="P612">
        <v>0</v>
      </c>
      <c r="Q612">
        <v>4</v>
      </c>
      <c r="R612" t="s">
        <v>42671</v>
      </c>
      <c r="S612" t="s">
        <v>42779</v>
      </c>
      <c r="T612" t="s">
        <v>44349</v>
      </c>
      <c r="U612" t="s">
        <v>45408</v>
      </c>
      <c r="W612" t="s">
        <v>39014</v>
      </c>
      <c r="X612" t="s">
        <v>42672</v>
      </c>
    </row>
    <row r="613" spans="1:24">
      <c r="A613">
        <f>HYPERLINK("https://www.philgeps.gov.ph/GEPSNONPILOT/Tender/SplashBidNoticeAbstractUI.aspx?menuIndex=3&amp;refID=7194072&amp;Result=3","7194072")</f>
        <v>0</v>
      </c>
      <c r="B613" t="s">
        <v>256</v>
      </c>
      <c r="C613" t="s">
        <v>4108</v>
      </c>
      <c r="D613" t="s">
        <v>17186</v>
      </c>
      <c r="E613" t="s">
        <v>17825</v>
      </c>
      <c r="F613" t="s">
        <v>29372</v>
      </c>
      <c r="G613" t="s">
        <v>29383</v>
      </c>
      <c r="H613" t="s">
        <v>11048</v>
      </c>
      <c r="I613" t="s">
        <v>4709</v>
      </c>
      <c r="J613" t="s">
        <v>30031</v>
      </c>
      <c r="K613" t="s">
        <v>38488</v>
      </c>
      <c r="M613" t="s">
        <v>39015</v>
      </c>
      <c r="N613" t="s">
        <v>42669</v>
      </c>
      <c r="O613" t="s">
        <v>42670</v>
      </c>
      <c r="P613">
        <v>0</v>
      </c>
      <c r="Q613">
        <v>0</v>
      </c>
      <c r="R613" t="s">
        <v>42671</v>
      </c>
      <c r="S613" t="s">
        <v>42779</v>
      </c>
      <c r="T613" t="s">
        <v>44389</v>
      </c>
      <c r="U613" t="s">
        <v>45409</v>
      </c>
      <c r="W613" t="s">
        <v>39015</v>
      </c>
      <c r="X613" t="s">
        <v>42672</v>
      </c>
    </row>
    <row r="614" spans="1:24">
      <c r="A614">
        <f>HYPERLINK("https://www.philgeps.gov.ph/GEPSNONPILOT/Tender/SplashBidNoticeAbstractUI.aspx?menuIndex=3&amp;refID=7194071&amp;Result=3","7194071")</f>
        <v>0</v>
      </c>
      <c r="B614" t="s">
        <v>256</v>
      </c>
      <c r="C614" t="s">
        <v>4109</v>
      </c>
      <c r="D614" t="s">
        <v>17186</v>
      </c>
      <c r="E614" t="s">
        <v>17826</v>
      </c>
      <c r="F614" t="s">
        <v>29372</v>
      </c>
      <c r="G614" t="s">
        <v>29383</v>
      </c>
      <c r="H614" t="s">
        <v>11048</v>
      </c>
      <c r="I614" t="s">
        <v>29409</v>
      </c>
      <c r="J614" t="s">
        <v>30032</v>
      </c>
      <c r="K614" t="s">
        <v>38489</v>
      </c>
      <c r="M614" t="s">
        <v>39015</v>
      </c>
      <c r="N614" t="s">
        <v>42669</v>
      </c>
      <c r="O614" t="s">
        <v>42670</v>
      </c>
      <c r="P614">
        <v>0</v>
      </c>
      <c r="Q614">
        <v>0</v>
      </c>
      <c r="R614" t="s">
        <v>42671</v>
      </c>
      <c r="S614" t="s">
        <v>42779</v>
      </c>
      <c r="T614" t="s">
        <v>44469</v>
      </c>
      <c r="U614" t="s">
        <v>45410</v>
      </c>
      <c r="W614" t="s">
        <v>39015</v>
      </c>
      <c r="X614" t="s">
        <v>42672</v>
      </c>
    </row>
    <row r="615" spans="1:24">
      <c r="A615">
        <f>HYPERLINK("https://www.philgeps.gov.ph/GEPSNONPILOT/Tender/SplashBidNoticeAbstractUI.aspx?menuIndex=3&amp;refID=7192027&amp;Result=3","7192027")</f>
        <v>0</v>
      </c>
      <c r="B615" t="s">
        <v>124</v>
      </c>
      <c r="C615" t="s">
        <v>4110</v>
      </c>
      <c r="D615" t="s">
        <v>17168</v>
      </c>
      <c r="E615" t="s">
        <v>17827</v>
      </c>
      <c r="F615" t="s">
        <v>29372</v>
      </c>
      <c r="G615" t="s">
        <v>29380</v>
      </c>
      <c r="H615" t="s">
        <v>11048</v>
      </c>
      <c r="I615" t="s">
        <v>29448</v>
      </c>
      <c r="J615" t="s">
        <v>30033</v>
      </c>
      <c r="K615" t="s">
        <v>38496</v>
      </c>
      <c r="M615" t="s">
        <v>38879</v>
      </c>
      <c r="N615" t="s">
        <v>42669</v>
      </c>
      <c r="O615" t="s">
        <v>42670</v>
      </c>
      <c r="P615">
        <v>0</v>
      </c>
      <c r="Q615">
        <v>6</v>
      </c>
      <c r="R615" t="s">
        <v>42671</v>
      </c>
      <c r="S615" t="s">
        <v>42779</v>
      </c>
      <c r="T615" t="s">
        <v>44381</v>
      </c>
      <c r="U615" t="s">
        <v>45411</v>
      </c>
      <c r="W615" t="s">
        <v>38879</v>
      </c>
      <c r="X615" t="s">
        <v>42676</v>
      </c>
    </row>
    <row r="616" spans="1:24">
      <c r="A616">
        <f>HYPERLINK("https://www.philgeps.gov.ph/GEPSNONPILOT/Tender/SplashBidNoticeAbstractUI.aspx?menuIndex=3&amp;refID=7194126&amp;Result=3","7194126")</f>
        <v>0</v>
      </c>
      <c r="B616" t="s">
        <v>257</v>
      </c>
      <c r="C616" t="s">
        <v>4065</v>
      </c>
      <c r="D616" t="s">
        <v>17143</v>
      </c>
      <c r="E616" t="s">
        <v>17828</v>
      </c>
      <c r="F616" t="s">
        <v>29372</v>
      </c>
      <c r="G616" t="s">
        <v>29379</v>
      </c>
      <c r="H616" t="s">
        <v>11048</v>
      </c>
      <c r="I616" t="s">
        <v>5383</v>
      </c>
      <c r="J616" t="s">
        <v>30034</v>
      </c>
      <c r="K616" t="s">
        <v>38490</v>
      </c>
      <c r="M616" t="s">
        <v>39016</v>
      </c>
      <c r="N616" t="s">
        <v>42669</v>
      </c>
      <c r="O616" t="s">
        <v>42670</v>
      </c>
      <c r="P616">
        <v>0</v>
      </c>
      <c r="Q616">
        <v>0</v>
      </c>
      <c r="R616" t="s">
        <v>42671</v>
      </c>
      <c r="S616" t="s">
        <v>42779</v>
      </c>
      <c r="T616" t="s">
        <v>44470</v>
      </c>
      <c r="U616" t="s">
        <v>45412</v>
      </c>
      <c r="W616" t="s">
        <v>39016</v>
      </c>
      <c r="X616" t="s">
        <v>42672</v>
      </c>
    </row>
    <row r="617" spans="1:24">
      <c r="A617">
        <f>HYPERLINK("https://www.philgeps.gov.ph/GEPSNONPILOT/Tender/SplashBidNoticeAbstractUI.aspx?menuIndex=3&amp;refID=7194105&amp;Result=3","7194105")</f>
        <v>0</v>
      </c>
      <c r="B617" t="s">
        <v>240</v>
      </c>
      <c r="C617" t="s">
        <v>4111</v>
      </c>
      <c r="D617" t="s">
        <v>17185</v>
      </c>
      <c r="E617" t="s">
        <v>17829</v>
      </c>
      <c r="F617" t="s">
        <v>29372</v>
      </c>
      <c r="G617" t="s">
        <v>29379</v>
      </c>
      <c r="H617" t="s">
        <v>11048</v>
      </c>
      <c r="I617" t="s">
        <v>29430</v>
      </c>
      <c r="J617" t="s">
        <v>30035</v>
      </c>
      <c r="K617" t="s">
        <v>38490</v>
      </c>
      <c r="M617" t="s">
        <v>38999</v>
      </c>
      <c r="N617" t="s">
        <v>42669</v>
      </c>
      <c r="O617" t="s">
        <v>42670</v>
      </c>
      <c r="P617">
        <v>0</v>
      </c>
      <c r="Q617">
        <v>2</v>
      </c>
      <c r="R617" t="s">
        <v>42671</v>
      </c>
      <c r="S617" t="s">
        <v>42779</v>
      </c>
      <c r="T617" t="s">
        <v>44437</v>
      </c>
      <c r="U617" t="s">
        <v>45413</v>
      </c>
      <c r="W617" t="s">
        <v>38999</v>
      </c>
      <c r="X617" t="s">
        <v>42672</v>
      </c>
    </row>
    <row r="618" spans="1:24">
      <c r="A618">
        <f>HYPERLINK("https://www.philgeps.gov.ph/GEPSNONPILOT/Tender/SplashBidNoticeAbstractUI.aspx?menuIndex=3&amp;refID=7192039&amp;Result=3","7192039")</f>
        <v>0</v>
      </c>
      <c r="B618" t="s">
        <v>258</v>
      </c>
      <c r="C618" t="s">
        <v>4112</v>
      </c>
      <c r="D618" t="s">
        <v>17177</v>
      </c>
      <c r="E618" t="s">
        <v>17830</v>
      </c>
      <c r="F618" t="s">
        <v>29372</v>
      </c>
      <c r="G618" t="s">
        <v>29380</v>
      </c>
      <c r="H618" t="s">
        <v>29389</v>
      </c>
      <c r="I618" t="s">
        <v>10408</v>
      </c>
      <c r="J618" t="s">
        <v>29587</v>
      </c>
      <c r="K618" t="s">
        <v>38518</v>
      </c>
      <c r="M618" t="s">
        <v>39017</v>
      </c>
      <c r="N618" t="s">
        <v>42669</v>
      </c>
      <c r="O618" t="s">
        <v>42670</v>
      </c>
      <c r="P618">
        <v>0</v>
      </c>
      <c r="Q618">
        <v>0</v>
      </c>
      <c r="R618" t="s">
        <v>42671</v>
      </c>
      <c r="S618" t="s">
        <v>42779</v>
      </c>
      <c r="T618" t="s">
        <v>44411</v>
      </c>
      <c r="U618" t="s">
        <v>45414</v>
      </c>
      <c r="W618" t="s">
        <v>39017</v>
      </c>
      <c r="X618" t="s">
        <v>42676</v>
      </c>
    </row>
    <row r="619" spans="1:24">
      <c r="A619">
        <f>HYPERLINK("https://www.philgeps.gov.ph/GEPSNONPILOT/Tender/SplashBidNoticeAbstractUI.aspx?menuIndex=3&amp;refID=7191903&amp;Result=3","7191903")</f>
        <v>0</v>
      </c>
      <c r="B619" t="s">
        <v>259</v>
      </c>
      <c r="C619" t="s">
        <v>3816</v>
      </c>
      <c r="D619" t="s">
        <v>17169</v>
      </c>
      <c r="E619" t="s">
        <v>17831</v>
      </c>
      <c r="F619" t="s">
        <v>29372</v>
      </c>
      <c r="G619" t="s">
        <v>29380</v>
      </c>
      <c r="H619" t="s">
        <v>11048</v>
      </c>
      <c r="I619" t="s">
        <v>4487</v>
      </c>
      <c r="J619" t="s">
        <v>30036</v>
      </c>
      <c r="K619" t="s">
        <v>38537</v>
      </c>
      <c r="M619" t="s">
        <v>39018</v>
      </c>
      <c r="N619" t="s">
        <v>42669</v>
      </c>
      <c r="O619" t="s">
        <v>42670</v>
      </c>
      <c r="P619">
        <v>0</v>
      </c>
      <c r="Q619">
        <v>1</v>
      </c>
      <c r="R619" t="s">
        <v>42671</v>
      </c>
      <c r="S619" t="s">
        <v>42779</v>
      </c>
      <c r="T619" t="s">
        <v>44393</v>
      </c>
      <c r="U619" t="s">
        <v>45415</v>
      </c>
      <c r="W619" t="s">
        <v>39018</v>
      </c>
      <c r="X619" t="s">
        <v>42676</v>
      </c>
    </row>
    <row r="620" spans="1:24">
      <c r="A620">
        <f>HYPERLINK("https://www.philgeps.gov.ph/GEPSNONPILOT/Tender/SplashBidNoticeAbstractUI.aspx?menuIndex=3&amp;refID=7191890&amp;Result=3","7191890")</f>
        <v>0</v>
      </c>
      <c r="B620" t="s">
        <v>113</v>
      </c>
      <c r="C620" t="s">
        <v>4113</v>
      </c>
      <c r="D620" t="s">
        <v>17174</v>
      </c>
      <c r="E620" t="s">
        <v>17448</v>
      </c>
      <c r="F620" t="s">
        <v>29372</v>
      </c>
      <c r="G620" t="s">
        <v>29380</v>
      </c>
      <c r="H620" t="s">
        <v>11048</v>
      </c>
      <c r="I620" t="s">
        <v>29397</v>
      </c>
      <c r="J620" t="s">
        <v>30037</v>
      </c>
      <c r="K620" t="s">
        <v>38485</v>
      </c>
      <c r="M620" t="s">
        <v>38868</v>
      </c>
      <c r="N620" t="s">
        <v>42669</v>
      </c>
      <c r="O620" t="s">
        <v>42670</v>
      </c>
      <c r="P620">
        <v>0</v>
      </c>
      <c r="Q620">
        <v>2</v>
      </c>
      <c r="R620" t="s">
        <v>42671</v>
      </c>
      <c r="S620" t="s">
        <v>42779</v>
      </c>
      <c r="T620" t="s">
        <v>44410</v>
      </c>
      <c r="U620" t="s">
        <v>45416</v>
      </c>
      <c r="W620" t="s">
        <v>38868</v>
      </c>
      <c r="X620" t="s">
        <v>42676</v>
      </c>
    </row>
    <row r="621" spans="1:24">
      <c r="A621">
        <f>HYPERLINK("https://www.philgeps.gov.ph/GEPSNONPILOT/Tender/SplashBidNoticeAbstractUI.aspx?menuIndex=3&amp;refID=7191888&amp;Result=3","7191888")</f>
        <v>0</v>
      </c>
      <c r="B621" t="s">
        <v>95</v>
      </c>
      <c r="C621" t="s">
        <v>4114</v>
      </c>
      <c r="D621" t="s">
        <v>17161</v>
      </c>
      <c r="E621" t="s">
        <v>17434</v>
      </c>
      <c r="F621" t="s">
        <v>29372</v>
      </c>
      <c r="G621" t="s">
        <v>29379</v>
      </c>
      <c r="H621" t="s">
        <v>11048</v>
      </c>
      <c r="I621" t="s">
        <v>3839</v>
      </c>
      <c r="J621" t="s">
        <v>30038</v>
      </c>
      <c r="K621" t="s">
        <v>38524</v>
      </c>
      <c r="M621" t="s">
        <v>38849</v>
      </c>
      <c r="N621" t="s">
        <v>42669</v>
      </c>
      <c r="O621" t="s">
        <v>42670</v>
      </c>
      <c r="P621">
        <v>0</v>
      </c>
      <c r="Q621">
        <v>0</v>
      </c>
      <c r="R621" t="s">
        <v>42671</v>
      </c>
      <c r="S621" t="s">
        <v>42779</v>
      </c>
      <c r="T621" t="s">
        <v>44386</v>
      </c>
      <c r="U621" t="s">
        <v>45417</v>
      </c>
      <c r="W621" t="s">
        <v>38849</v>
      </c>
      <c r="X621" t="s">
        <v>42676</v>
      </c>
    </row>
    <row r="622" spans="1:24">
      <c r="A622">
        <f>HYPERLINK("https://www.philgeps.gov.ph/GEPSNONPILOT/Tender/SplashBidNoticeAbstractUI.aspx?menuIndex=3&amp;refID=7192001&amp;Result=3","7192001")</f>
        <v>0</v>
      </c>
      <c r="B622" t="s">
        <v>130</v>
      </c>
      <c r="C622" t="s">
        <v>4115</v>
      </c>
      <c r="D622" t="s">
        <v>17185</v>
      </c>
      <c r="E622" t="s">
        <v>17832</v>
      </c>
      <c r="F622" t="s">
        <v>29372</v>
      </c>
      <c r="G622" t="s">
        <v>29380</v>
      </c>
      <c r="H622" t="s">
        <v>11048</v>
      </c>
      <c r="I622" t="s">
        <v>29434</v>
      </c>
      <c r="J622" t="s">
        <v>30039</v>
      </c>
      <c r="K622" t="s">
        <v>38490</v>
      </c>
      <c r="M622" t="s">
        <v>38885</v>
      </c>
      <c r="N622" t="s">
        <v>42669</v>
      </c>
      <c r="O622" t="s">
        <v>42670</v>
      </c>
      <c r="P622">
        <v>0</v>
      </c>
      <c r="Q622">
        <v>1</v>
      </c>
      <c r="R622" t="s">
        <v>42671</v>
      </c>
      <c r="S622" t="s">
        <v>42779</v>
      </c>
      <c r="T622" t="s">
        <v>44412</v>
      </c>
      <c r="U622" t="s">
        <v>45418</v>
      </c>
      <c r="W622" t="s">
        <v>38885</v>
      </c>
      <c r="X622" t="s">
        <v>42676</v>
      </c>
    </row>
    <row r="623" spans="1:24">
      <c r="A623">
        <f>HYPERLINK("https://www.philgeps.gov.ph/GEPSNONPILOT/Tender/SplashBidNoticeAbstractUI.aspx?menuIndex=3&amp;refID=7194153&amp;Result=3","7194153")</f>
        <v>0</v>
      </c>
      <c r="B623" t="s">
        <v>260</v>
      </c>
      <c r="C623" t="s">
        <v>4116</v>
      </c>
      <c r="D623" t="s">
        <v>17169</v>
      </c>
      <c r="E623" t="s">
        <v>17833</v>
      </c>
      <c r="F623" t="s">
        <v>29372</v>
      </c>
      <c r="G623" t="s">
        <v>29380</v>
      </c>
      <c r="H623" t="s">
        <v>29389</v>
      </c>
      <c r="I623" t="s">
        <v>10408</v>
      </c>
      <c r="J623" t="s">
        <v>30040</v>
      </c>
      <c r="K623" t="s">
        <v>38522</v>
      </c>
      <c r="M623" t="s">
        <v>39019</v>
      </c>
      <c r="N623" t="s">
        <v>42669</v>
      </c>
      <c r="O623" t="s">
        <v>42670</v>
      </c>
      <c r="P623">
        <v>0</v>
      </c>
      <c r="Q623">
        <v>4</v>
      </c>
      <c r="R623" t="s">
        <v>42671</v>
      </c>
      <c r="S623" t="s">
        <v>42779</v>
      </c>
      <c r="T623" t="s">
        <v>44466</v>
      </c>
      <c r="U623" t="s">
        <v>45419</v>
      </c>
      <c r="W623" t="s">
        <v>39019</v>
      </c>
      <c r="X623" t="s">
        <v>42672</v>
      </c>
    </row>
    <row r="624" spans="1:24">
      <c r="A624">
        <f>HYPERLINK("https://www.philgeps.gov.ph/GEPSNONPILOT/Tender/SplashBidNoticeAbstractUI.aspx?menuIndex=3&amp;refID=7194152&amp;Result=3","7194152")</f>
        <v>0</v>
      </c>
      <c r="B624" t="s">
        <v>53</v>
      </c>
      <c r="C624" t="s">
        <v>4117</v>
      </c>
      <c r="D624" t="s">
        <v>17161</v>
      </c>
      <c r="E624" t="s">
        <v>17834</v>
      </c>
      <c r="F624" t="s">
        <v>29372</v>
      </c>
      <c r="G624" t="s">
        <v>29379</v>
      </c>
      <c r="H624" t="s">
        <v>11048</v>
      </c>
      <c r="I624" t="s">
        <v>4709</v>
      </c>
      <c r="J624" t="s">
        <v>30041</v>
      </c>
      <c r="K624" t="s">
        <v>38490</v>
      </c>
      <c r="M624" t="s">
        <v>38806</v>
      </c>
      <c r="N624" t="s">
        <v>42669</v>
      </c>
      <c r="O624" t="s">
        <v>42670</v>
      </c>
      <c r="P624">
        <v>0</v>
      </c>
      <c r="Q624">
        <v>1</v>
      </c>
      <c r="R624" t="s">
        <v>42671</v>
      </c>
      <c r="S624" t="s">
        <v>42779</v>
      </c>
      <c r="T624" t="s">
        <v>44412</v>
      </c>
      <c r="U624" t="s">
        <v>45420</v>
      </c>
      <c r="W624" t="s">
        <v>58001</v>
      </c>
      <c r="X624" t="s">
        <v>42672</v>
      </c>
    </row>
    <row r="625" spans="1:24">
      <c r="A625">
        <f>HYPERLINK("https://www.philgeps.gov.ph/GEPSNONPILOT/Tender/SplashBidNoticeAbstractUI.aspx?menuIndex=3&amp;refID=7194150&amp;Result=3","7194150")</f>
        <v>0</v>
      </c>
      <c r="B625" t="s">
        <v>261</v>
      </c>
      <c r="C625" t="s">
        <v>4118</v>
      </c>
      <c r="D625" t="s">
        <v>17162</v>
      </c>
      <c r="E625" t="s">
        <v>17835</v>
      </c>
      <c r="F625" t="s">
        <v>29372</v>
      </c>
      <c r="G625" t="s">
        <v>29382</v>
      </c>
      <c r="H625" t="s">
        <v>11048</v>
      </c>
      <c r="I625" t="s">
        <v>4487</v>
      </c>
      <c r="J625" t="s">
        <v>30026</v>
      </c>
      <c r="K625" t="s">
        <v>38510</v>
      </c>
      <c r="M625" t="s">
        <v>39020</v>
      </c>
      <c r="N625" t="s">
        <v>42669</v>
      </c>
      <c r="O625" t="s">
        <v>42670</v>
      </c>
      <c r="P625">
        <v>0</v>
      </c>
      <c r="Q625">
        <v>2</v>
      </c>
      <c r="R625" t="s">
        <v>42671</v>
      </c>
      <c r="S625" t="s">
        <v>42779</v>
      </c>
      <c r="T625" t="s">
        <v>44426</v>
      </c>
      <c r="U625" t="s">
        <v>45421</v>
      </c>
      <c r="W625" t="s">
        <v>39020</v>
      </c>
      <c r="X625" t="s">
        <v>42672</v>
      </c>
    </row>
    <row r="626" spans="1:24">
      <c r="A626">
        <f>HYPERLINK("https://www.philgeps.gov.ph/GEPSNONPILOT/Tender/SplashBidNoticeAbstractUI.aspx?menuIndex=3&amp;refID=7192033&amp;Result=3","7192033")</f>
        <v>0</v>
      </c>
      <c r="B626" t="s">
        <v>106</v>
      </c>
      <c r="C626" t="s">
        <v>3692</v>
      </c>
      <c r="D626" t="s">
        <v>17142</v>
      </c>
      <c r="E626" t="s">
        <v>17836</v>
      </c>
      <c r="F626" t="s">
        <v>29372</v>
      </c>
      <c r="G626" t="s">
        <v>29379</v>
      </c>
      <c r="H626" t="s">
        <v>11048</v>
      </c>
      <c r="I626" t="s">
        <v>3670</v>
      </c>
      <c r="J626" t="s">
        <v>30042</v>
      </c>
      <c r="K626" t="s">
        <v>38488</v>
      </c>
      <c r="M626" t="s">
        <v>38861</v>
      </c>
      <c r="N626" t="s">
        <v>42669</v>
      </c>
      <c r="O626" t="s">
        <v>42670</v>
      </c>
      <c r="P626">
        <v>0</v>
      </c>
      <c r="Q626">
        <v>0</v>
      </c>
      <c r="R626" t="s">
        <v>42671</v>
      </c>
      <c r="S626" t="s">
        <v>42779</v>
      </c>
      <c r="T626" t="s">
        <v>44471</v>
      </c>
      <c r="U626" t="s">
        <v>45422</v>
      </c>
      <c r="V626" t="s">
        <v>56358</v>
      </c>
      <c r="W626" t="s">
        <v>38861</v>
      </c>
      <c r="X626" t="s">
        <v>42676</v>
      </c>
    </row>
    <row r="627" spans="1:24">
      <c r="A627">
        <f>HYPERLINK("https://www.philgeps.gov.ph/GEPSNONPILOT/Tender/SplashBidNoticeAbstractUI.aspx?menuIndex=3&amp;refID=7194148&amp;Result=3","7194148")</f>
        <v>0</v>
      </c>
      <c r="B627" t="s">
        <v>260</v>
      </c>
      <c r="C627" t="s">
        <v>4119</v>
      </c>
      <c r="D627" t="s">
        <v>17169</v>
      </c>
      <c r="E627" t="s">
        <v>17837</v>
      </c>
      <c r="F627" t="s">
        <v>29372</v>
      </c>
      <c r="G627" t="s">
        <v>29380</v>
      </c>
      <c r="H627" t="s">
        <v>29389</v>
      </c>
      <c r="I627" t="s">
        <v>10408</v>
      </c>
      <c r="J627" t="s">
        <v>30043</v>
      </c>
      <c r="K627" t="s">
        <v>38495</v>
      </c>
      <c r="M627" t="s">
        <v>39019</v>
      </c>
      <c r="N627" t="s">
        <v>42669</v>
      </c>
      <c r="O627" t="s">
        <v>42670</v>
      </c>
      <c r="P627">
        <v>0</v>
      </c>
      <c r="Q627">
        <v>4</v>
      </c>
      <c r="R627" t="s">
        <v>42671</v>
      </c>
      <c r="S627" t="s">
        <v>42779</v>
      </c>
      <c r="T627" t="s">
        <v>44466</v>
      </c>
      <c r="U627" t="s">
        <v>45423</v>
      </c>
      <c r="W627" t="s">
        <v>39019</v>
      </c>
      <c r="X627" t="s">
        <v>42672</v>
      </c>
    </row>
    <row r="628" spans="1:24">
      <c r="A628">
        <f>HYPERLINK("https://www.philgeps.gov.ph/GEPSNONPILOT/Tender/SplashBidNoticeAbstractUI.aspx?menuIndex=3&amp;refID=7194145&amp;Result=3","7194145")</f>
        <v>0</v>
      </c>
      <c r="B628" t="s">
        <v>262</v>
      </c>
      <c r="C628" t="s">
        <v>4120</v>
      </c>
      <c r="D628" t="s">
        <v>17153</v>
      </c>
      <c r="E628" t="s">
        <v>17838</v>
      </c>
      <c r="F628" t="s">
        <v>29372</v>
      </c>
      <c r="G628" t="s">
        <v>29380</v>
      </c>
      <c r="H628" t="s">
        <v>11048</v>
      </c>
      <c r="I628" t="s">
        <v>3839</v>
      </c>
      <c r="J628" t="s">
        <v>30044</v>
      </c>
      <c r="K628" t="s">
        <v>38485</v>
      </c>
      <c r="M628" t="s">
        <v>39021</v>
      </c>
      <c r="N628" t="s">
        <v>42669</v>
      </c>
      <c r="O628" t="s">
        <v>42670</v>
      </c>
      <c r="P628">
        <v>0</v>
      </c>
      <c r="Q628">
        <v>3</v>
      </c>
      <c r="R628" t="s">
        <v>42671</v>
      </c>
      <c r="S628" t="s">
        <v>42779</v>
      </c>
      <c r="T628" t="s">
        <v>44356</v>
      </c>
      <c r="U628" t="s">
        <v>45424</v>
      </c>
      <c r="V628" t="s">
        <v>56410</v>
      </c>
      <c r="W628" t="s">
        <v>39021</v>
      </c>
      <c r="X628" t="s">
        <v>42672</v>
      </c>
    </row>
    <row r="629" spans="1:24">
      <c r="A629">
        <f>HYPERLINK("https://www.philgeps.gov.ph/GEPSNONPILOT/Tender/SplashBidNoticeAbstractUI.aspx?menuIndex=3&amp;refID=7194144&amp;Result=3","7194144")</f>
        <v>0</v>
      </c>
      <c r="B629" t="s">
        <v>233</v>
      </c>
      <c r="C629" t="s">
        <v>4121</v>
      </c>
      <c r="D629" t="s">
        <v>17203</v>
      </c>
      <c r="E629" t="s">
        <v>17839</v>
      </c>
      <c r="F629" t="s">
        <v>29372</v>
      </c>
      <c r="G629" t="s">
        <v>29379</v>
      </c>
      <c r="H629" t="s">
        <v>11048</v>
      </c>
      <c r="I629" t="s">
        <v>4709</v>
      </c>
      <c r="J629" t="s">
        <v>30045</v>
      </c>
      <c r="K629" t="s">
        <v>38488</v>
      </c>
      <c r="M629" t="s">
        <v>38992</v>
      </c>
      <c r="N629" t="s">
        <v>42669</v>
      </c>
      <c r="O629" t="s">
        <v>42670</v>
      </c>
      <c r="P629">
        <v>0</v>
      </c>
      <c r="Q629">
        <v>0</v>
      </c>
      <c r="R629" t="s">
        <v>42671</v>
      </c>
      <c r="S629" t="s">
        <v>42779</v>
      </c>
      <c r="T629" t="s">
        <v>44364</v>
      </c>
      <c r="U629" t="s">
        <v>45425</v>
      </c>
      <c r="W629" t="s">
        <v>38992</v>
      </c>
      <c r="X629" t="s">
        <v>42672</v>
      </c>
    </row>
    <row r="630" spans="1:24">
      <c r="A630">
        <f>HYPERLINK("https://www.philgeps.gov.ph/GEPSNONPILOT/Tender/SplashBidNoticeAbstractUI.aspx?menuIndex=3&amp;refID=7194142&amp;Result=3","7194142")</f>
        <v>0</v>
      </c>
      <c r="B630" t="s">
        <v>255</v>
      </c>
      <c r="C630" t="s">
        <v>4122</v>
      </c>
      <c r="E630" t="s">
        <v>17840</v>
      </c>
      <c r="F630" t="s">
        <v>29372</v>
      </c>
      <c r="G630" t="s">
        <v>29379</v>
      </c>
      <c r="H630" t="s">
        <v>11048</v>
      </c>
      <c r="I630" t="s">
        <v>29433</v>
      </c>
      <c r="J630" t="s">
        <v>29555</v>
      </c>
      <c r="K630" t="s">
        <v>38490</v>
      </c>
      <c r="M630" t="s">
        <v>39014</v>
      </c>
      <c r="N630" t="s">
        <v>42669</v>
      </c>
      <c r="O630" t="s">
        <v>42670</v>
      </c>
      <c r="P630">
        <v>0</v>
      </c>
      <c r="Q630">
        <v>3</v>
      </c>
      <c r="R630" t="s">
        <v>42671</v>
      </c>
      <c r="S630" t="s">
        <v>42779</v>
      </c>
      <c r="T630" t="s">
        <v>44349</v>
      </c>
      <c r="U630" t="s">
        <v>45408</v>
      </c>
      <c r="W630" t="s">
        <v>39014</v>
      </c>
      <c r="X630" t="s">
        <v>42672</v>
      </c>
    </row>
    <row r="631" spans="1:24">
      <c r="A631">
        <f>HYPERLINK("https://www.philgeps.gov.ph/GEPSNONPILOT/Tender/SplashBidNoticeAbstractUI.aspx?menuIndex=3&amp;refID=7192043&amp;Result=3","7192043")</f>
        <v>0</v>
      </c>
      <c r="B631" t="s">
        <v>122</v>
      </c>
      <c r="C631" t="s">
        <v>4123</v>
      </c>
      <c r="E631" t="s">
        <v>17841</v>
      </c>
      <c r="F631" t="s">
        <v>29372</v>
      </c>
      <c r="G631" t="s">
        <v>29383</v>
      </c>
      <c r="H631" t="s">
        <v>11048</v>
      </c>
      <c r="I631" t="s">
        <v>29415</v>
      </c>
      <c r="J631" t="s">
        <v>29935</v>
      </c>
      <c r="K631" t="s">
        <v>38490</v>
      </c>
      <c r="M631" t="s">
        <v>38877</v>
      </c>
      <c r="N631" t="s">
        <v>42669</v>
      </c>
      <c r="O631" t="s">
        <v>42670</v>
      </c>
      <c r="P631">
        <v>0</v>
      </c>
      <c r="Q631">
        <v>0</v>
      </c>
      <c r="R631" t="s">
        <v>42671</v>
      </c>
      <c r="S631" t="s">
        <v>42779</v>
      </c>
      <c r="T631" t="s">
        <v>44387</v>
      </c>
      <c r="U631" t="s">
        <v>45426</v>
      </c>
      <c r="V631" t="s">
        <v>56357</v>
      </c>
      <c r="W631" t="s">
        <v>38877</v>
      </c>
      <c r="X631" t="s">
        <v>42676</v>
      </c>
    </row>
    <row r="632" spans="1:24">
      <c r="A632">
        <f>HYPERLINK("https://www.philgeps.gov.ph/GEPSNONPILOT/Tender/SplashBidNoticeAbstractUI.aspx?menuIndex=3&amp;refID=7194149&amp;Result=3","7194149")</f>
        <v>0</v>
      </c>
      <c r="B632" t="s">
        <v>255</v>
      </c>
      <c r="C632" t="s">
        <v>4124</v>
      </c>
      <c r="E632" t="s">
        <v>17842</v>
      </c>
      <c r="F632" t="s">
        <v>29372</v>
      </c>
      <c r="G632" t="s">
        <v>29379</v>
      </c>
      <c r="H632" t="s">
        <v>11048</v>
      </c>
      <c r="I632" t="s">
        <v>29433</v>
      </c>
      <c r="J632" t="s">
        <v>30046</v>
      </c>
      <c r="K632" t="s">
        <v>38490</v>
      </c>
      <c r="M632" t="s">
        <v>39014</v>
      </c>
      <c r="N632" t="s">
        <v>42669</v>
      </c>
      <c r="O632" t="s">
        <v>42670</v>
      </c>
      <c r="P632">
        <v>0</v>
      </c>
      <c r="Q632">
        <v>5</v>
      </c>
      <c r="R632" t="s">
        <v>42671</v>
      </c>
      <c r="S632" t="s">
        <v>42779</v>
      </c>
      <c r="T632" t="s">
        <v>44349</v>
      </c>
      <c r="U632" t="s">
        <v>45408</v>
      </c>
      <c r="W632" t="s">
        <v>39014</v>
      </c>
      <c r="X632" t="s">
        <v>42672</v>
      </c>
    </row>
    <row r="633" spans="1:24">
      <c r="A633">
        <f>HYPERLINK("https://www.philgeps.gov.ph/GEPSNONPILOT/Tender/SplashBidNoticeAbstractUI.aspx?menuIndex=3&amp;refID=7194140&amp;Result=3","7194140")</f>
        <v>0</v>
      </c>
      <c r="B633" t="s">
        <v>53</v>
      </c>
      <c r="C633" t="s">
        <v>4125</v>
      </c>
      <c r="D633" t="s">
        <v>17161</v>
      </c>
      <c r="E633" t="s">
        <v>17843</v>
      </c>
      <c r="F633" t="s">
        <v>29372</v>
      </c>
      <c r="G633" t="s">
        <v>29379</v>
      </c>
      <c r="H633" t="s">
        <v>11048</v>
      </c>
      <c r="I633" t="s">
        <v>4709</v>
      </c>
      <c r="J633" t="s">
        <v>30047</v>
      </c>
      <c r="K633" t="s">
        <v>38490</v>
      </c>
      <c r="M633" t="s">
        <v>38806</v>
      </c>
      <c r="N633" t="s">
        <v>42669</v>
      </c>
      <c r="O633" t="s">
        <v>42670</v>
      </c>
      <c r="P633">
        <v>0</v>
      </c>
      <c r="Q633">
        <v>1</v>
      </c>
      <c r="R633" t="s">
        <v>42671</v>
      </c>
      <c r="S633" t="s">
        <v>42779</v>
      </c>
      <c r="T633" t="s">
        <v>44412</v>
      </c>
      <c r="U633" t="s">
        <v>45427</v>
      </c>
      <c r="V633" t="s">
        <v>56411</v>
      </c>
      <c r="W633" t="s">
        <v>58001</v>
      </c>
      <c r="X633" t="s">
        <v>42672</v>
      </c>
    </row>
    <row r="634" spans="1:24">
      <c r="A634">
        <f>HYPERLINK("https://www.philgeps.gov.ph/GEPSNONPILOT/Tender/SplashBidNoticeAbstractUI.aspx?menuIndex=3&amp;refID=7194138&amp;Result=3","7194138")</f>
        <v>0</v>
      </c>
      <c r="B634" t="s">
        <v>247</v>
      </c>
      <c r="C634" t="s">
        <v>4126</v>
      </c>
      <c r="D634" t="s">
        <v>17204</v>
      </c>
      <c r="E634" t="s">
        <v>17844</v>
      </c>
      <c r="F634" t="s">
        <v>29372</v>
      </c>
      <c r="G634" t="s">
        <v>29379</v>
      </c>
      <c r="H634" t="s">
        <v>11048</v>
      </c>
      <c r="I634" t="s">
        <v>29393</v>
      </c>
      <c r="J634" t="s">
        <v>30048</v>
      </c>
      <c r="K634" t="s">
        <v>38495</v>
      </c>
      <c r="M634" t="s">
        <v>39006</v>
      </c>
      <c r="N634" t="s">
        <v>42669</v>
      </c>
      <c r="O634" t="s">
        <v>42670</v>
      </c>
      <c r="P634">
        <v>0</v>
      </c>
      <c r="Q634">
        <v>0</v>
      </c>
      <c r="R634" t="s">
        <v>42671</v>
      </c>
      <c r="S634" t="s">
        <v>42779</v>
      </c>
      <c r="T634" t="s">
        <v>44394</v>
      </c>
      <c r="U634" t="s">
        <v>45428</v>
      </c>
      <c r="W634" t="s">
        <v>39006</v>
      </c>
      <c r="X634" t="s">
        <v>42672</v>
      </c>
    </row>
    <row r="635" spans="1:24">
      <c r="A635">
        <f>HYPERLINK("https://www.philgeps.gov.ph/GEPSNONPILOT/Tender/SplashBidNoticeAbstractUI.aspx?menuIndex=3&amp;refID=7191904&amp;Result=3","7191904")</f>
        <v>0</v>
      </c>
      <c r="B635" t="s">
        <v>125</v>
      </c>
      <c r="C635" t="s">
        <v>4127</v>
      </c>
      <c r="D635" t="s">
        <v>17177</v>
      </c>
      <c r="E635" t="s">
        <v>17845</v>
      </c>
      <c r="F635" t="s">
        <v>29372</v>
      </c>
      <c r="G635" t="s">
        <v>29379</v>
      </c>
      <c r="H635" t="s">
        <v>11048</v>
      </c>
      <c r="I635" t="s">
        <v>3952</v>
      </c>
      <c r="J635" t="s">
        <v>29526</v>
      </c>
      <c r="K635" t="s">
        <v>38491</v>
      </c>
      <c r="M635" t="s">
        <v>38880</v>
      </c>
      <c r="N635" t="s">
        <v>42669</v>
      </c>
      <c r="O635" t="s">
        <v>42670</v>
      </c>
      <c r="P635">
        <v>0</v>
      </c>
      <c r="Q635">
        <v>7</v>
      </c>
      <c r="R635" t="s">
        <v>42671</v>
      </c>
      <c r="S635" t="s">
        <v>42779</v>
      </c>
      <c r="T635" t="s">
        <v>44387</v>
      </c>
      <c r="U635" t="s">
        <v>45069</v>
      </c>
      <c r="W635" t="s">
        <v>38880</v>
      </c>
      <c r="X635" t="s">
        <v>42676</v>
      </c>
    </row>
    <row r="636" spans="1:24">
      <c r="A636">
        <f>HYPERLINK("https://www.philgeps.gov.ph/GEPSNONPILOT/Tender/SplashBidNoticeAbstractUI.aspx?menuIndex=3&amp;refID=7194137&amp;Result=3","7194137")</f>
        <v>0</v>
      </c>
      <c r="B636" t="s">
        <v>260</v>
      </c>
      <c r="C636" t="s">
        <v>4128</v>
      </c>
      <c r="D636" t="s">
        <v>17169</v>
      </c>
      <c r="E636" t="s">
        <v>17846</v>
      </c>
      <c r="F636" t="s">
        <v>29372</v>
      </c>
      <c r="G636" t="s">
        <v>29380</v>
      </c>
      <c r="H636" t="s">
        <v>29389</v>
      </c>
      <c r="I636" t="s">
        <v>10408</v>
      </c>
      <c r="J636" t="s">
        <v>30049</v>
      </c>
      <c r="K636" t="s">
        <v>38495</v>
      </c>
      <c r="M636" t="s">
        <v>39019</v>
      </c>
      <c r="N636" t="s">
        <v>42669</v>
      </c>
      <c r="O636" t="s">
        <v>42670</v>
      </c>
      <c r="P636">
        <v>0</v>
      </c>
      <c r="Q636">
        <v>4</v>
      </c>
      <c r="R636" t="s">
        <v>42671</v>
      </c>
      <c r="S636" t="s">
        <v>42779</v>
      </c>
      <c r="T636" t="s">
        <v>44466</v>
      </c>
      <c r="U636" t="s">
        <v>45429</v>
      </c>
      <c r="W636" t="s">
        <v>39019</v>
      </c>
      <c r="X636" t="s">
        <v>42672</v>
      </c>
    </row>
    <row r="637" spans="1:24">
      <c r="A637">
        <f>HYPERLINK("https://www.philgeps.gov.ph/GEPSNONPILOT/Tender/SplashBidNoticeAbstractUI.aspx?menuIndex=3&amp;refID=7194143&amp;Result=3","7194143")</f>
        <v>0</v>
      </c>
      <c r="B637" t="s">
        <v>260</v>
      </c>
      <c r="C637" t="s">
        <v>4129</v>
      </c>
      <c r="D637" t="s">
        <v>17169</v>
      </c>
      <c r="E637" t="s">
        <v>17847</v>
      </c>
      <c r="F637" t="s">
        <v>29372</v>
      </c>
      <c r="G637" t="s">
        <v>29380</v>
      </c>
      <c r="H637" t="s">
        <v>29389</v>
      </c>
      <c r="I637" t="s">
        <v>10408</v>
      </c>
      <c r="J637" t="s">
        <v>30050</v>
      </c>
      <c r="K637" t="s">
        <v>38522</v>
      </c>
      <c r="M637" t="s">
        <v>39019</v>
      </c>
      <c r="N637" t="s">
        <v>42669</v>
      </c>
      <c r="O637" t="s">
        <v>42670</v>
      </c>
      <c r="P637">
        <v>0</v>
      </c>
      <c r="Q637">
        <v>4</v>
      </c>
      <c r="R637" t="s">
        <v>42671</v>
      </c>
      <c r="S637" t="s">
        <v>42779</v>
      </c>
      <c r="T637" t="s">
        <v>44466</v>
      </c>
      <c r="U637" t="s">
        <v>45430</v>
      </c>
      <c r="W637" t="s">
        <v>39019</v>
      </c>
      <c r="X637" t="s">
        <v>42672</v>
      </c>
    </row>
    <row r="638" spans="1:24">
      <c r="A638">
        <f>HYPERLINK("https://www.philgeps.gov.ph/GEPSNONPILOT/Tender/SplashBidNoticeAbstractUI.aspx?menuIndex=3&amp;refID=7194139&amp;Result=3","7194139")</f>
        <v>0</v>
      </c>
      <c r="B638" t="s">
        <v>262</v>
      </c>
      <c r="C638" t="s">
        <v>4130</v>
      </c>
      <c r="D638" t="s">
        <v>17153</v>
      </c>
      <c r="E638" t="s">
        <v>17848</v>
      </c>
      <c r="F638" t="s">
        <v>29372</v>
      </c>
      <c r="G638" t="s">
        <v>29380</v>
      </c>
      <c r="H638" t="s">
        <v>11048</v>
      </c>
      <c r="I638" t="s">
        <v>3839</v>
      </c>
      <c r="J638" t="s">
        <v>29799</v>
      </c>
      <c r="K638" t="s">
        <v>38485</v>
      </c>
      <c r="M638" t="s">
        <v>39021</v>
      </c>
      <c r="N638" t="s">
        <v>42669</v>
      </c>
      <c r="O638" t="s">
        <v>42670</v>
      </c>
      <c r="P638">
        <v>0</v>
      </c>
      <c r="Q638">
        <v>1</v>
      </c>
      <c r="R638" t="s">
        <v>42671</v>
      </c>
      <c r="S638" t="s">
        <v>42779</v>
      </c>
      <c r="T638" t="s">
        <v>44356</v>
      </c>
      <c r="U638" t="s">
        <v>45424</v>
      </c>
      <c r="V638" t="s">
        <v>56410</v>
      </c>
      <c r="W638" t="s">
        <v>39021</v>
      </c>
      <c r="X638" t="s">
        <v>42672</v>
      </c>
    </row>
    <row r="639" spans="1:24">
      <c r="A639">
        <f>HYPERLINK("https://www.philgeps.gov.ph/GEPSNONPILOT/Tender/SplashBidNoticeAbstractUI.aspx?menuIndex=3&amp;refID=7194070&amp;Result=3","7194070")</f>
        <v>0</v>
      </c>
      <c r="B639" t="s">
        <v>209</v>
      </c>
      <c r="C639" t="s">
        <v>4131</v>
      </c>
      <c r="E639" t="s">
        <v>17849</v>
      </c>
      <c r="F639" t="s">
        <v>29372</v>
      </c>
      <c r="G639" t="s">
        <v>29381</v>
      </c>
      <c r="H639" t="s">
        <v>11048</v>
      </c>
      <c r="I639" t="s">
        <v>9469</v>
      </c>
      <c r="J639" t="s">
        <v>29724</v>
      </c>
      <c r="K639" t="s">
        <v>38496</v>
      </c>
      <c r="M639" t="s">
        <v>38966</v>
      </c>
      <c r="N639" t="s">
        <v>42669</v>
      </c>
      <c r="O639" t="s">
        <v>42670</v>
      </c>
      <c r="P639">
        <v>0</v>
      </c>
      <c r="Q639">
        <v>1</v>
      </c>
      <c r="R639" t="s">
        <v>42671</v>
      </c>
      <c r="S639" t="s">
        <v>42779</v>
      </c>
      <c r="T639" t="s">
        <v>44393</v>
      </c>
      <c r="U639" t="s">
        <v>45431</v>
      </c>
      <c r="W639" t="s">
        <v>38966</v>
      </c>
      <c r="X639" t="s">
        <v>42672</v>
      </c>
    </row>
    <row r="640" spans="1:24">
      <c r="A640">
        <f>HYPERLINK("https://www.philgeps.gov.ph/GEPSNONPILOT/Tender/SplashBidNoticeAbstractUI.aspx?menuIndex=3&amp;refID=7194132&amp;Result=3","7194132")</f>
        <v>0</v>
      </c>
      <c r="B640" t="s">
        <v>249</v>
      </c>
      <c r="C640" t="s">
        <v>4132</v>
      </c>
      <c r="D640" t="s">
        <v>17170</v>
      </c>
      <c r="E640" t="s">
        <v>17850</v>
      </c>
      <c r="F640" t="s">
        <v>29372</v>
      </c>
      <c r="G640" t="s">
        <v>29380</v>
      </c>
      <c r="H640" t="s">
        <v>29389</v>
      </c>
      <c r="I640" t="s">
        <v>10408</v>
      </c>
      <c r="J640" t="s">
        <v>29571</v>
      </c>
      <c r="K640" t="s">
        <v>38490</v>
      </c>
      <c r="M640" t="s">
        <v>39008</v>
      </c>
      <c r="N640" t="s">
        <v>42669</v>
      </c>
      <c r="O640" t="s">
        <v>42670</v>
      </c>
      <c r="P640">
        <v>0</v>
      </c>
      <c r="Q640">
        <v>0</v>
      </c>
      <c r="R640" t="s">
        <v>42671</v>
      </c>
      <c r="S640" t="s">
        <v>42779</v>
      </c>
      <c r="T640" t="s">
        <v>44463</v>
      </c>
      <c r="U640" t="s">
        <v>45432</v>
      </c>
      <c r="W640" t="s">
        <v>39008</v>
      </c>
      <c r="X640" t="s">
        <v>42672</v>
      </c>
    </row>
    <row r="641" spans="1:24">
      <c r="A641">
        <f>HYPERLINK("https://www.philgeps.gov.ph/GEPSNONPILOT/Tender/SplashBidNoticeAbstractUI.aspx?menuIndex=3&amp;refID=7194130&amp;Result=3","7194130")</f>
        <v>0</v>
      </c>
      <c r="B641" t="s">
        <v>53</v>
      </c>
      <c r="C641" t="s">
        <v>4133</v>
      </c>
      <c r="D641" t="s">
        <v>17161</v>
      </c>
      <c r="E641" t="s">
        <v>17851</v>
      </c>
      <c r="F641" t="s">
        <v>29372</v>
      </c>
      <c r="G641" t="s">
        <v>29379</v>
      </c>
      <c r="H641" t="s">
        <v>11048</v>
      </c>
      <c r="I641" t="s">
        <v>4709</v>
      </c>
      <c r="J641" t="s">
        <v>30051</v>
      </c>
      <c r="K641" t="s">
        <v>38490</v>
      </c>
      <c r="M641" t="s">
        <v>38806</v>
      </c>
      <c r="N641" t="s">
        <v>42669</v>
      </c>
      <c r="O641" t="s">
        <v>42670</v>
      </c>
      <c r="P641">
        <v>0</v>
      </c>
      <c r="Q641">
        <v>1</v>
      </c>
      <c r="R641" t="s">
        <v>42671</v>
      </c>
      <c r="S641" t="s">
        <v>42779</v>
      </c>
      <c r="T641" t="s">
        <v>44412</v>
      </c>
      <c r="U641" t="s">
        <v>45433</v>
      </c>
      <c r="W641" t="s">
        <v>58001</v>
      </c>
      <c r="X641" t="s">
        <v>42672</v>
      </c>
    </row>
    <row r="642" spans="1:24">
      <c r="A642">
        <f>HYPERLINK("https://www.philgeps.gov.ph/GEPSNONPILOT/Tender/SplashBidNoticeAbstractUI.aspx?menuIndex=3&amp;refID=7194129&amp;Result=3","7194129")</f>
        <v>0</v>
      </c>
      <c r="B642" t="s">
        <v>249</v>
      </c>
      <c r="C642" t="s">
        <v>4134</v>
      </c>
      <c r="D642" t="s">
        <v>17170</v>
      </c>
      <c r="E642" t="s">
        <v>17852</v>
      </c>
      <c r="F642" t="s">
        <v>29372</v>
      </c>
      <c r="G642" t="s">
        <v>29380</v>
      </c>
      <c r="H642" t="s">
        <v>29389</v>
      </c>
      <c r="I642" t="s">
        <v>10408</v>
      </c>
      <c r="J642" t="s">
        <v>29555</v>
      </c>
      <c r="K642" t="s">
        <v>38490</v>
      </c>
      <c r="M642" t="s">
        <v>39008</v>
      </c>
      <c r="N642" t="s">
        <v>42669</v>
      </c>
      <c r="O642" t="s">
        <v>42670</v>
      </c>
      <c r="P642">
        <v>0</v>
      </c>
      <c r="Q642">
        <v>0</v>
      </c>
      <c r="R642" t="s">
        <v>42671</v>
      </c>
      <c r="S642" t="s">
        <v>42779</v>
      </c>
      <c r="T642" t="s">
        <v>44463</v>
      </c>
      <c r="U642" t="s">
        <v>45434</v>
      </c>
      <c r="W642" t="s">
        <v>39008</v>
      </c>
      <c r="X642" t="s">
        <v>42672</v>
      </c>
    </row>
    <row r="643" spans="1:24">
      <c r="A643">
        <f>HYPERLINK("https://www.philgeps.gov.ph/GEPSNONPILOT/Tender/SplashBidNoticeAbstractUI.aspx?menuIndex=3&amp;refID=7191887&amp;Result=3","7191887")</f>
        <v>0</v>
      </c>
      <c r="B643" t="s">
        <v>116</v>
      </c>
      <c r="C643" t="s">
        <v>4135</v>
      </c>
      <c r="D643" t="s">
        <v>17170</v>
      </c>
      <c r="E643" t="s">
        <v>17853</v>
      </c>
      <c r="F643" t="s">
        <v>29372</v>
      </c>
      <c r="G643" t="s">
        <v>29380</v>
      </c>
      <c r="H643" t="s">
        <v>29389</v>
      </c>
      <c r="I643" t="s">
        <v>10408</v>
      </c>
      <c r="J643" t="s">
        <v>29590</v>
      </c>
      <c r="K643" t="s">
        <v>38487</v>
      </c>
      <c r="M643" t="s">
        <v>38871</v>
      </c>
      <c r="N643" t="s">
        <v>42669</v>
      </c>
      <c r="O643" t="s">
        <v>42670</v>
      </c>
      <c r="P643">
        <v>0</v>
      </c>
      <c r="Q643">
        <v>0</v>
      </c>
      <c r="R643" t="s">
        <v>42671</v>
      </c>
      <c r="S643" t="s">
        <v>42779</v>
      </c>
      <c r="T643" t="s">
        <v>44357</v>
      </c>
      <c r="U643" t="s">
        <v>45435</v>
      </c>
      <c r="W643" t="s">
        <v>38871</v>
      </c>
      <c r="X643" t="s">
        <v>42676</v>
      </c>
    </row>
    <row r="644" spans="1:24">
      <c r="A644">
        <f>HYPERLINK("https://www.philgeps.gov.ph/GEPSNONPILOT/Tender/SplashBidNoticeAbstractUI.aspx?menuIndex=3&amp;refID=7191858&amp;Result=3","7191858")</f>
        <v>0</v>
      </c>
      <c r="B644" t="s">
        <v>263</v>
      </c>
      <c r="C644" t="s">
        <v>4136</v>
      </c>
      <c r="D644" t="s">
        <v>17189</v>
      </c>
      <c r="E644" t="s">
        <v>17854</v>
      </c>
      <c r="F644" t="s">
        <v>29372</v>
      </c>
      <c r="G644" t="s">
        <v>29382</v>
      </c>
      <c r="H644" t="s">
        <v>11048</v>
      </c>
      <c r="I644" t="s">
        <v>5383</v>
      </c>
      <c r="J644" t="s">
        <v>30052</v>
      </c>
      <c r="K644" t="s">
        <v>38528</v>
      </c>
      <c r="M644" t="s">
        <v>39022</v>
      </c>
      <c r="N644" t="s">
        <v>42669</v>
      </c>
      <c r="O644" t="s">
        <v>42670</v>
      </c>
      <c r="P644">
        <v>0</v>
      </c>
      <c r="Q644">
        <v>1</v>
      </c>
      <c r="R644" t="s">
        <v>42671</v>
      </c>
      <c r="S644" t="s">
        <v>42779</v>
      </c>
      <c r="T644" t="s">
        <v>44356</v>
      </c>
      <c r="U644" t="s">
        <v>45436</v>
      </c>
      <c r="W644" t="s">
        <v>39022</v>
      </c>
      <c r="X644" t="s">
        <v>42676</v>
      </c>
    </row>
    <row r="645" spans="1:24">
      <c r="A645">
        <f>HYPERLINK("https://www.philgeps.gov.ph/GEPSNONPILOT/Tender/SplashBidNoticeAbstractUI.aspx?menuIndex=3&amp;refID=7194134&amp;Result=3","7194134")</f>
        <v>0</v>
      </c>
      <c r="B645" t="s">
        <v>53</v>
      </c>
      <c r="C645" t="s">
        <v>4137</v>
      </c>
      <c r="D645" t="s">
        <v>17161</v>
      </c>
      <c r="E645" t="s">
        <v>17855</v>
      </c>
      <c r="F645" t="s">
        <v>29372</v>
      </c>
      <c r="G645" t="s">
        <v>29379</v>
      </c>
      <c r="H645" t="s">
        <v>11048</v>
      </c>
      <c r="I645" t="s">
        <v>4709</v>
      </c>
      <c r="J645" t="s">
        <v>30053</v>
      </c>
      <c r="K645" t="s">
        <v>38490</v>
      </c>
      <c r="M645" t="s">
        <v>38806</v>
      </c>
      <c r="N645" t="s">
        <v>42669</v>
      </c>
      <c r="O645" t="s">
        <v>42670</v>
      </c>
      <c r="P645">
        <v>0</v>
      </c>
      <c r="Q645">
        <v>1</v>
      </c>
      <c r="R645" t="s">
        <v>42671</v>
      </c>
      <c r="S645" t="s">
        <v>42779</v>
      </c>
      <c r="T645" t="s">
        <v>44412</v>
      </c>
      <c r="U645" t="s">
        <v>45437</v>
      </c>
      <c r="W645" t="s">
        <v>58001</v>
      </c>
      <c r="X645" t="s">
        <v>42672</v>
      </c>
    </row>
    <row r="646" spans="1:24">
      <c r="A646">
        <f>HYPERLINK("https://www.philgeps.gov.ph/GEPSNONPILOT/Tender/SplashBidNoticeAbstractUI.aspx?menuIndex=3&amp;refID=7194136&amp;Result=3","7194136")</f>
        <v>0</v>
      </c>
      <c r="B646" t="s">
        <v>255</v>
      </c>
      <c r="C646" t="s">
        <v>4138</v>
      </c>
      <c r="E646" t="s">
        <v>17856</v>
      </c>
      <c r="F646" t="s">
        <v>29372</v>
      </c>
      <c r="G646" t="s">
        <v>29379</v>
      </c>
      <c r="H646" t="s">
        <v>11048</v>
      </c>
      <c r="I646" t="s">
        <v>29431</v>
      </c>
      <c r="J646" t="s">
        <v>30054</v>
      </c>
      <c r="K646" t="s">
        <v>38490</v>
      </c>
      <c r="M646" t="s">
        <v>39014</v>
      </c>
      <c r="N646" t="s">
        <v>42669</v>
      </c>
      <c r="O646" t="s">
        <v>42670</v>
      </c>
      <c r="P646">
        <v>0</v>
      </c>
      <c r="Q646">
        <v>0</v>
      </c>
      <c r="R646" t="s">
        <v>42671</v>
      </c>
      <c r="S646" t="s">
        <v>42779</v>
      </c>
      <c r="T646" t="s">
        <v>44349</v>
      </c>
      <c r="U646" t="s">
        <v>45408</v>
      </c>
      <c r="W646" t="s">
        <v>39014</v>
      </c>
      <c r="X646" t="s">
        <v>42672</v>
      </c>
    </row>
    <row r="647" spans="1:24">
      <c r="A647">
        <f>HYPERLINK("https://www.philgeps.gov.ph/GEPSNONPILOT/Tender/SplashBidNoticeAbstractUI.aspx?menuIndex=3&amp;refID=7191834&amp;Result=3","7191834")</f>
        <v>0</v>
      </c>
      <c r="B647" t="s">
        <v>264</v>
      </c>
      <c r="C647" t="s">
        <v>4139</v>
      </c>
      <c r="D647" t="s">
        <v>17141</v>
      </c>
      <c r="E647" t="s">
        <v>17857</v>
      </c>
      <c r="F647" t="s">
        <v>29372</v>
      </c>
      <c r="G647" t="s">
        <v>29379</v>
      </c>
      <c r="H647" t="s">
        <v>11048</v>
      </c>
      <c r="I647" t="s">
        <v>29449</v>
      </c>
      <c r="J647" t="s">
        <v>30055</v>
      </c>
      <c r="K647" t="s">
        <v>38490</v>
      </c>
      <c r="M647" t="s">
        <v>39023</v>
      </c>
      <c r="N647" t="s">
        <v>42669</v>
      </c>
      <c r="O647" t="s">
        <v>42670</v>
      </c>
      <c r="P647">
        <v>0</v>
      </c>
      <c r="Q647">
        <v>1</v>
      </c>
      <c r="R647" t="s">
        <v>42671</v>
      </c>
      <c r="S647" t="s">
        <v>42779</v>
      </c>
      <c r="T647" t="s">
        <v>44382</v>
      </c>
      <c r="U647" t="s">
        <v>45438</v>
      </c>
      <c r="W647" t="s">
        <v>39023</v>
      </c>
      <c r="X647" t="s">
        <v>42676</v>
      </c>
    </row>
    <row r="648" spans="1:24">
      <c r="A648">
        <f>HYPERLINK("https://www.philgeps.gov.ph/GEPSNONPILOT/Tender/SplashBidNoticeAbstractUI.aspx?menuIndex=3&amp;refID=7191255&amp;Result=3","7191255")</f>
        <v>0</v>
      </c>
      <c r="B648" t="s">
        <v>79</v>
      </c>
      <c r="C648" t="s">
        <v>4140</v>
      </c>
      <c r="D648" t="s">
        <v>17172</v>
      </c>
      <c r="E648" t="s">
        <v>17858</v>
      </c>
      <c r="F648" t="s">
        <v>29372</v>
      </c>
      <c r="G648" t="s">
        <v>29380</v>
      </c>
      <c r="H648" t="s">
        <v>29389</v>
      </c>
      <c r="I648" t="s">
        <v>10408</v>
      </c>
      <c r="J648" t="s">
        <v>29645</v>
      </c>
      <c r="K648" t="s">
        <v>38485</v>
      </c>
      <c r="M648" t="s">
        <v>38833</v>
      </c>
      <c r="N648" t="s">
        <v>42669</v>
      </c>
      <c r="O648" t="s">
        <v>42670</v>
      </c>
      <c r="P648">
        <v>0</v>
      </c>
      <c r="Q648">
        <v>0</v>
      </c>
      <c r="R648" t="s">
        <v>42671</v>
      </c>
      <c r="S648" t="s">
        <v>42779</v>
      </c>
      <c r="T648" t="s">
        <v>44357</v>
      </c>
      <c r="U648" t="s">
        <v>44995</v>
      </c>
      <c r="V648" t="s">
        <v>56344</v>
      </c>
      <c r="W648" t="s">
        <v>38833</v>
      </c>
      <c r="X648" t="s">
        <v>42676</v>
      </c>
    </row>
    <row r="649" spans="1:24">
      <c r="A649">
        <f>HYPERLINK("https://www.philgeps.gov.ph/GEPSNONPILOT/Tender/SplashBidNoticeAbstractUI.aspx?menuIndex=3&amp;refID=7191253&amp;Result=3","7191253")</f>
        <v>0</v>
      </c>
      <c r="B649" t="s">
        <v>265</v>
      </c>
      <c r="C649" t="s">
        <v>4141</v>
      </c>
      <c r="D649" t="s">
        <v>17192</v>
      </c>
      <c r="E649" t="s">
        <v>17859</v>
      </c>
      <c r="F649" t="s">
        <v>29372</v>
      </c>
      <c r="G649" t="s">
        <v>29380</v>
      </c>
      <c r="H649" t="s">
        <v>29389</v>
      </c>
      <c r="I649" t="s">
        <v>10408</v>
      </c>
      <c r="J649" t="s">
        <v>30056</v>
      </c>
      <c r="K649" t="s">
        <v>38558</v>
      </c>
      <c r="M649" t="s">
        <v>39024</v>
      </c>
      <c r="N649" t="s">
        <v>42669</v>
      </c>
      <c r="O649" t="s">
        <v>42670</v>
      </c>
      <c r="P649">
        <v>0</v>
      </c>
      <c r="Q649">
        <v>1</v>
      </c>
      <c r="R649" t="s">
        <v>42671</v>
      </c>
      <c r="S649" t="s">
        <v>42779</v>
      </c>
      <c r="T649" t="s">
        <v>44472</v>
      </c>
      <c r="U649" t="s">
        <v>45439</v>
      </c>
      <c r="W649" t="s">
        <v>39024</v>
      </c>
      <c r="X649" t="s">
        <v>42676</v>
      </c>
    </row>
    <row r="650" spans="1:24">
      <c r="A650">
        <f>HYPERLINK("https://www.philgeps.gov.ph/GEPSNONPILOT/Tender/SplashBidNoticeAbstractUI.aspx?menuIndex=3&amp;refID=7194135&amp;Result=3","7194135")</f>
        <v>0</v>
      </c>
      <c r="B650" t="s">
        <v>249</v>
      </c>
      <c r="C650" t="s">
        <v>4142</v>
      </c>
      <c r="D650" t="s">
        <v>17170</v>
      </c>
      <c r="E650" t="s">
        <v>17860</v>
      </c>
      <c r="F650" t="s">
        <v>29372</v>
      </c>
      <c r="G650" t="s">
        <v>29380</v>
      </c>
      <c r="H650" t="s">
        <v>11048</v>
      </c>
      <c r="I650" t="s">
        <v>9642</v>
      </c>
      <c r="J650" t="s">
        <v>29587</v>
      </c>
      <c r="K650" t="s">
        <v>38490</v>
      </c>
      <c r="M650" t="s">
        <v>39008</v>
      </c>
      <c r="N650" t="s">
        <v>42669</v>
      </c>
      <c r="O650" t="s">
        <v>42670</v>
      </c>
      <c r="P650">
        <v>0</v>
      </c>
      <c r="Q650">
        <v>1</v>
      </c>
      <c r="R650" t="s">
        <v>42671</v>
      </c>
      <c r="S650" t="s">
        <v>42779</v>
      </c>
      <c r="T650" t="s">
        <v>44384</v>
      </c>
      <c r="U650" t="s">
        <v>45440</v>
      </c>
      <c r="W650" t="s">
        <v>39008</v>
      </c>
      <c r="X650" t="s">
        <v>42672</v>
      </c>
    </row>
    <row r="651" spans="1:24">
      <c r="A651">
        <f>HYPERLINK("https://www.philgeps.gov.ph/GEPSNONPILOT/Tender/SplashBidNoticeAbstractUI.aspx?menuIndex=3&amp;refID=7191239&amp;Result=3","7191239")</f>
        <v>0</v>
      </c>
      <c r="B651" t="s">
        <v>266</v>
      </c>
      <c r="C651" t="s">
        <v>4143</v>
      </c>
      <c r="D651" t="s">
        <v>17170</v>
      </c>
      <c r="E651" t="s">
        <v>17861</v>
      </c>
      <c r="F651" t="s">
        <v>29372</v>
      </c>
      <c r="G651" t="s">
        <v>29383</v>
      </c>
      <c r="H651" t="s">
        <v>11048</v>
      </c>
      <c r="I651" t="s">
        <v>3597</v>
      </c>
      <c r="J651" t="s">
        <v>29799</v>
      </c>
      <c r="K651" t="s">
        <v>38518</v>
      </c>
      <c r="M651" t="s">
        <v>39025</v>
      </c>
      <c r="N651" t="s">
        <v>42669</v>
      </c>
      <c r="O651" t="s">
        <v>42670</v>
      </c>
      <c r="P651">
        <v>0</v>
      </c>
      <c r="Q651">
        <v>1</v>
      </c>
      <c r="R651" t="s">
        <v>42671</v>
      </c>
      <c r="S651" t="s">
        <v>42779</v>
      </c>
      <c r="T651" t="s">
        <v>44371</v>
      </c>
      <c r="U651" t="s">
        <v>45441</v>
      </c>
      <c r="W651" t="s">
        <v>39025</v>
      </c>
      <c r="X651" t="s">
        <v>42676</v>
      </c>
    </row>
    <row r="652" spans="1:24">
      <c r="A652">
        <f>HYPERLINK("https://www.philgeps.gov.ph/GEPSNONPILOT/Tender/SplashBidNoticeAbstractUI.aspx?menuIndex=3&amp;refID=7191880&amp;Result=3","7191880")</f>
        <v>0</v>
      </c>
      <c r="B652" t="s">
        <v>100</v>
      </c>
      <c r="C652" t="s">
        <v>4144</v>
      </c>
      <c r="D652" t="s">
        <v>17178</v>
      </c>
      <c r="E652" t="s">
        <v>17862</v>
      </c>
      <c r="F652" t="s">
        <v>29372</v>
      </c>
      <c r="G652" t="s">
        <v>29380</v>
      </c>
      <c r="H652" t="s">
        <v>11048</v>
      </c>
      <c r="I652" t="s">
        <v>4709</v>
      </c>
      <c r="J652" t="s">
        <v>30057</v>
      </c>
      <c r="K652" t="s">
        <v>38490</v>
      </c>
      <c r="M652" t="s">
        <v>38854</v>
      </c>
      <c r="N652" t="s">
        <v>42669</v>
      </c>
      <c r="O652" t="s">
        <v>42670</v>
      </c>
      <c r="P652">
        <v>0</v>
      </c>
      <c r="Q652">
        <v>0</v>
      </c>
      <c r="R652" t="s">
        <v>42671</v>
      </c>
      <c r="S652" t="s">
        <v>42779</v>
      </c>
      <c r="T652" t="s">
        <v>44391</v>
      </c>
      <c r="U652" t="s">
        <v>45442</v>
      </c>
      <c r="W652" t="s">
        <v>38854</v>
      </c>
      <c r="X652" t="s">
        <v>42676</v>
      </c>
    </row>
    <row r="653" spans="1:24">
      <c r="A653">
        <f>HYPERLINK("https://www.philgeps.gov.ph/GEPSNONPILOT/Tender/SplashBidNoticeAbstractUI.aspx?menuIndex=3&amp;refID=7191064&amp;Result=3","7191064")</f>
        <v>0</v>
      </c>
      <c r="B653" t="s">
        <v>77</v>
      </c>
      <c r="C653" t="s">
        <v>4145</v>
      </c>
      <c r="D653" t="s">
        <v>17154</v>
      </c>
      <c r="E653" t="s">
        <v>17863</v>
      </c>
      <c r="F653" t="s">
        <v>29372</v>
      </c>
      <c r="G653" t="s">
        <v>29383</v>
      </c>
      <c r="H653" t="s">
        <v>11048</v>
      </c>
      <c r="I653" t="s">
        <v>5383</v>
      </c>
      <c r="J653" t="s">
        <v>30058</v>
      </c>
      <c r="K653" t="s">
        <v>38491</v>
      </c>
      <c r="M653" t="s">
        <v>38831</v>
      </c>
      <c r="N653" t="s">
        <v>42669</v>
      </c>
      <c r="O653" t="s">
        <v>42670</v>
      </c>
      <c r="P653">
        <v>0</v>
      </c>
      <c r="Q653">
        <v>2</v>
      </c>
      <c r="R653" t="s">
        <v>42671</v>
      </c>
      <c r="S653" t="s">
        <v>42779</v>
      </c>
      <c r="T653" t="s">
        <v>44397</v>
      </c>
      <c r="U653" t="s">
        <v>45443</v>
      </c>
      <c r="W653" t="s">
        <v>38831</v>
      </c>
      <c r="X653" t="s">
        <v>42676</v>
      </c>
    </row>
    <row r="654" spans="1:24">
      <c r="A654">
        <f>HYPERLINK("https://www.philgeps.gov.ph/GEPSNONPILOT/Tender/SplashBidNoticeAbstractUI.aspx?menuIndex=3&amp;refID=7191262&amp;Result=3","7191262")</f>
        <v>0</v>
      </c>
      <c r="B654" t="s">
        <v>99</v>
      </c>
      <c r="C654" t="s">
        <v>4146</v>
      </c>
      <c r="D654" t="s">
        <v>17141</v>
      </c>
      <c r="E654" t="s">
        <v>17864</v>
      </c>
      <c r="F654" t="s">
        <v>29372</v>
      </c>
      <c r="G654" t="s">
        <v>29379</v>
      </c>
      <c r="H654" t="s">
        <v>11048</v>
      </c>
      <c r="I654" t="s">
        <v>6417</v>
      </c>
      <c r="J654" t="s">
        <v>30059</v>
      </c>
      <c r="K654" t="s">
        <v>38491</v>
      </c>
      <c r="M654" t="s">
        <v>38853</v>
      </c>
      <c r="N654" t="s">
        <v>42669</v>
      </c>
      <c r="O654" t="s">
        <v>42670</v>
      </c>
      <c r="P654">
        <v>0</v>
      </c>
      <c r="Q654">
        <v>0</v>
      </c>
      <c r="R654" t="s">
        <v>42671</v>
      </c>
      <c r="S654" t="s">
        <v>42779</v>
      </c>
      <c r="T654" t="s">
        <v>44404</v>
      </c>
      <c r="U654" t="s">
        <v>45444</v>
      </c>
      <c r="V654" t="s">
        <v>56349</v>
      </c>
      <c r="W654" t="s">
        <v>38853</v>
      </c>
      <c r="X654" t="s">
        <v>42676</v>
      </c>
    </row>
    <row r="655" spans="1:24">
      <c r="A655">
        <f>HYPERLINK("https://www.philgeps.gov.ph/GEPSNONPILOT/Tender/SplashBidNoticeAbstractUI.aspx?menuIndex=3&amp;refID=7191914&amp;Result=3","7191914")</f>
        <v>0</v>
      </c>
      <c r="B655" t="s">
        <v>267</v>
      </c>
      <c r="C655" t="s">
        <v>4147</v>
      </c>
      <c r="D655" t="s">
        <v>17148</v>
      </c>
      <c r="E655" t="s">
        <v>17865</v>
      </c>
      <c r="F655" t="s">
        <v>29372</v>
      </c>
      <c r="G655" t="s">
        <v>29379</v>
      </c>
      <c r="H655" t="s">
        <v>11048</v>
      </c>
      <c r="I655" t="s">
        <v>3839</v>
      </c>
      <c r="J655" t="s">
        <v>30060</v>
      </c>
      <c r="K655" t="s">
        <v>38491</v>
      </c>
      <c r="M655" t="s">
        <v>39026</v>
      </c>
      <c r="N655" t="s">
        <v>42669</v>
      </c>
      <c r="O655" t="s">
        <v>42670</v>
      </c>
      <c r="P655">
        <v>0</v>
      </c>
      <c r="Q655">
        <v>1</v>
      </c>
      <c r="R655" t="s">
        <v>42671</v>
      </c>
      <c r="S655" t="s">
        <v>42779</v>
      </c>
      <c r="T655" t="s">
        <v>44371</v>
      </c>
      <c r="U655" t="s">
        <v>45445</v>
      </c>
      <c r="V655" t="s">
        <v>56412</v>
      </c>
      <c r="W655" t="s">
        <v>39026</v>
      </c>
      <c r="X655" t="s">
        <v>42676</v>
      </c>
    </row>
    <row r="656" spans="1:24">
      <c r="A656">
        <f>HYPERLINK("https://www.philgeps.gov.ph/GEPSNONPILOT/Tender/SplashBidNoticeAbstractUI.aspx?menuIndex=3&amp;refID=7190792&amp;Result=3","7190792")</f>
        <v>0</v>
      </c>
      <c r="B656" t="s">
        <v>63</v>
      </c>
      <c r="C656" t="s">
        <v>4148</v>
      </c>
      <c r="D656" t="s">
        <v>17161</v>
      </c>
      <c r="E656" t="s">
        <v>17866</v>
      </c>
      <c r="F656" t="s">
        <v>29372</v>
      </c>
      <c r="G656" t="s">
        <v>29381</v>
      </c>
      <c r="H656" t="s">
        <v>11048</v>
      </c>
      <c r="I656" t="s">
        <v>4709</v>
      </c>
      <c r="J656" t="s">
        <v>29648</v>
      </c>
      <c r="K656" t="s">
        <v>38490</v>
      </c>
      <c r="M656" t="s">
        <v>38817</v>
      </c>
      <c r="N656" t="s">
        <v>42669</v>
      </c>
      <c r="O656" t="s">
        <v>42670</v>
      </c>
      <c r="P656">
        <v>0</v>
      </c>
      <c r="Q656">
        <v>0</v>
      </c>
      <c r="R656" t="s">
        <v>42671</v>
      </c>
      <c r="S656" t="s">
        <v>42779</v>
      </c>
      <c r="T656" t="s">
        <v>44354</v>
      </c>
      <c r="U656" t="s">
        <v>44965</v>
      </c>
      <c r="W656" t="s">
        <v>38817</v>
      </c>
      <c r="X656" t="s">
        <v>42676</v>
      </c>
    </row>
    <row r="657" spans="1:24">
      <c r="A657">
        <f>HYPERLINK("https://www.philgeps.gov.ph/GEPSNONPILOT/Tender/SplashBidNoticeAbstractUI.aspx?menuIndex=3&amp;refID=7191248&amp;Result=3","7191248")</f>
        <v>0</v>
      </c>
      <c r="B657" t="s">
        <v>79</v>
      </c>
      <c r="C657" t="s">
        <v>4149</v>
      </c>
      <c r="D657" t="s">
        <v>17172</v>
      </c>
      <c r="E657" t="s">
        <v>17867</v>
      </c>
      <c r="F657" t="s">
        <v>29372</v>
      </c>
      <c r="G657" t="s">
        <v>29380</v>
      </c>
      <c r="H657" t="s">
        <v>29389</v>
      </c>
      <c r="I657" t="s">
        <v>10408</v>
      </c>
      <c r="J657" t="s">
        <v>29645</v>
      </c>
      <c r="K657" t="s">
        <v>38485</v>
      </c>
      <c r="M657" t="s">
        <v>38833</v>
      </c>
      <c r="N657" t="s">
        <v>42669</v>
      </c>
      <c r="O657" t="s">
        <v>42670</v>
      </c>
      <c r="P657">
        <v>0</v>
      </c>
      <c r="Q657">
        <v>0</v>
      </c>
      <c r="R657" t="s">
        <v>42671</v>
      </c>
      <c r="S657" t="s">
        <v>42779</v>
      </c>
      <c r="T657" t="s">
        <v>44357</v>
      </c>
      <c r="U657" t="s">
        <v>44995</v>
      </c>
      <c r="V657" t="s">
        <v>56344</v>
      </c>
      <c r="W657" t="s">
        <v>38833</v>
      </c>
      <c r="X657" t="s">
        <v>42676</v>
      </c>
    </row>
    <row r="658" spans="1:24">
      <c r="A658">
        <f>HYPERLINK("https://www.philgeps.gov.ph/GEPSNONPILOT/Tender/SplashBidNoticeAbstractUI.aspx?menuIndex=3&amp;refID=7194183&amp;Result=3","7194183")</f>
        <v>0</v>
      </c>
      <c r="B658" t="s">
        <v>268</v>
      </c>
      <c r="C658" t="s">
        <v>4150</v>
      </c>
      <c r="D658" t="s">
        <v>17171</v>
      </c>
      <c r="E658" t="s">
        <v>17868</v>
      </c>
      <c r="F658" t="s">
        <v>29372</v>
      </c>
      <c r="G658" t="s">
        <v>29380</v>
      </c>
      <c r="H658" t="s">
        <v>11048</v>
      </c>
      <c r="I658" t="s">
        <v>29397</v>
      </c>
      <c r="J658" t="s">
        <v>30061</v>
      </c>
      <c r="K658" t="s">
        <v>38534</v>
      </c>
      <c r="M658" t="s">
        <v>39027</v>
      </c>
      <c r="N658" t="s">
        <v>42669</v>
      </c>
      <c r="O658" t="s">
        <v>42670</v>
      </c>
      <c r="P658">
        <v>0</v>
      </c>
      <c r="Q658">
        <v>1</v>
      </c>
      <c r="R658" t="s">
        <v>42671</v>
      </c>
      <c r="S658" t="s">
        <v>42779</v>
      </c>
      <c r="T658" t="s">
        <v>44473</v>
      </c>
      <c r="U658" t="s">
        <v>45446</v>
      </c>
      <c r="W658" t="s">
        <v>39027</v>
      </c>
      <c r="X658" t="s">
        <v>42672</v>
      </c>
    </row>
    <row r="659" spans="1:24">
      <c r="A659">
        <f>HYPERLINK("https://www.philgeps.gov.ph/GEPSNONPILOT/Tender/SplashBidNoticeAbstractUI.aspx?menuIndex=3&amp;refID=7194141&amp;Result=3","7194141")</f>
        <v>0</v>
      </c>
      <c r="B659" t="s">
        <v>260</v>
      </c>
      <c r="C659" t="s">
        <v>4151</v>
      </c>
      <c r="D659" t="s">
        <v>17169</v>
      </c>
      <c r="E659" t="s">
        <v>17869</v>
      </c>
      <c r="F659" t="s">
        <v>29372</v>
      </c>
      <c r="G659" t="s">
        <v>29380</v>
      </c>
      <c r="H659" t="s">
        <v>29389</v>
      </c>
      <c r="I659" t="s">
        <v>10408</v>
      </c>
      <c r="J659" t="s">
        <v>30062</v>
      </c>
      <c r="K659" t="s">
        <v>38495</v>
      </c>
      <c r="M659" t="s">
        <v>39019</v>
      </c>
      <c r="N659" t="s">
        <v>42669</v>
      </c>
      <c r="O659" t="s">
        <v>42670</v>
      </c>
      <c r="P659">
        <v>0</v>
      </c>
      <c r="Q659">
        <v>4</v>
      </c>
      <c r="R659" t="s">
        <v>42671</v>
      </c>
      <c r="S659" t="s">
        <v>42779</v>
      </c>
      <c r="T659" t="s">
        <v>44466</v>
      </c>
      <c r="U659" t="s">
        <v>45447</v>
      </c>
      <c r="W659" t="s">
        <v>39019</v>
      </c>
      <c r="X659" t="s">
        <v>42672</v>
      </c>
    </row>
    <row r="660" spans="1:24">
      <c r="A660">
        <f>HYPERLINK("https://www.philgeps.gov.ph/GEPSNONPILOT/Tender/SplashBidNoticeAbstractUI.aspx?menuIndex=3&amp;refID=7194181&amp;Result=3","7194181")</f>
        <v>0</v>
      </c>
      <c r="B660" t="s">
        <v>269</v>
      </c>
      <c r="C660" t="s">
        <v>4152</v>
      </c>
      <c r="E660" t="s">
        <v>17870</v>
      </c>
      <c r="F660" t="s">
        <v>29372</v>
      </c>
      <c r="G660" t="s">
        <v>29380</v>
      </c>
      <c r="H660" t="s">
        <v>29389</v>
      </c>
      <c r="I660" t="s">
        <v>29417</v>
      </c>
      <c r="J660" t="s">
        <v>29526</v>
      </c>
      <c r="K660" t="s">
        <v>38490</v>
      </c>
      <c r="M660" t="s">
        <v>39028</v>
      </c>
      <c r="N660" t="s">
        <v>42669</v>
      </c>
      <c r="O660" t="s">
        <v>42670</v>
      </c>
      <c r="P660">
        <v>0</v>
      </c>
      <c r="Q660">
        <v>0</v>
      </c>
      <c r="R660" t="s">
        <v>42671</v>
      </c>
      <c r="S660" t="s">
        <v>42779</v>
      </c>
      <c r="T660" t="s">
        <v>44474</v>
      </c>
      <c r="U660" t="s">
        <v>45448</v>
      </c>
      <c r="W660" t="s">
        <v>39028</v>
      </c>
      <c r="X660" t="s">
        <v>42672</v>
      </c>
    </row>
    <row r="661" spans="1:24">
      <c r="A661">
        <f>HYPERLINK("https://www.philgeps.gov.ph/GEPSNONPILOT/Tender/SplashBidNoticeAbstractUI.aspx?menuIndex=3&amp;refID=7190799&amp;Result=3","7190799")</f>
        <v>0</v>
      </c>
      <c r="B661" t="s">
        <v>74</v>
      </c>
      <c r="C661" t="s">
        <v>4153</v>
      </c>
      <c r="D661" t="s">
        <v>17169</v>
      </c>
      <c r="E661" t="s">
        <v>17871</v>
      </c>
      <c r="F661" t="s">
        <v>29372</v>
      </c>
      <c r="G661" t="s">
        <v>29380</v>
      </c>
      <c r="H661" t="s">
        <v>29389</v>
      </c>
      <c r="I661" t="s">
        <v>10408</v>
      </c>
      <c r="J661" t="s">
        <v>29623</v>
      </c>
      <c r="K661" t="s">
        <v>38552</v>
      </c>
      <c r="L661" t="s">
        <v>74</v>
      </c>
      <c r="M661" t="s">
        <v>38828</v>
      </c>
      <c r="N661" t="s">
        <v>42669</v>
      </c>
      <c r="O661" t="s">
        <v>42670</v>
      </c>
      <c r="P661">
        <v>0</v>
      </c>
      <c r="Q661">
        <v>0</v>
      </c>
      <c r="R661" t="s">
        <v>42671</v>
      </c>
      <c r="S661" t="s">
        <v>42779</v>
      </c>
      <c r="T661" t="s">
        <v>44395</v>
      </c>
      <c r="U661" t="s">
        <v>44979</v>
      </c>
      <c r="W661" t="s">
        <v>38828</v>
      </c>
      <c r="X661" t="s">
        <v>42676</v>
      </c>
    </row>
    <row r="662" spans="1:24">
      <c r="A662">
        <f>HYPERLINK("https://www.philgeps.gov.ph/GEPSNONPILOT/Tender/SplashBidNoticeAbstractUI.aspx?menuIndex=3&amp;refID=7194178&amp;Result=3","7194178")</f>
        <v>0</v>
      </c>
      <c r="B662" t="s">
        <v>270</v>
      </c>
      <c r="C662" t="s">
        <v>4154</v>
      </c>
      <c r="D662" t="s">
        <v>17160</v>
      </c>
      <c r="E662" t="s">
        <v>17872</v>
      </c>
      <c r="F662" t="s">
        <v>29372</v>
      </c>
      <c r="G662" t="s">
        <v>29383</v>
      </c>
      <c r="H662" t="s">
        <v>11048</v>
      </c>
      <c r="I662" t="s">
        <v>3670</v>
      </c>
      <c r="J662" t="s">
        <v>30032</v>
      </c>
      <c r="K662" t="s">
        <v>38528</v>
      </c>
      <c r="M662" t="s">
        <v>39029</v>
      </c>
      <c r="N662" t="s">
        <v>42669</v>
      </c>
      <c r="O662" t="s">
        <v>42670</v>
      </c>
      <c r="P662">
        <v>0</v>
      </c>
      <c r="Q662">
        <v>1</v>
      </c>
      <c r="R662" t="s">
        <v>42671</v>
      </c>
      <c r="S662" t="s">
        <v>42779</v>
      </c>
      <c r="T662" t="s">
        <v>44394</v>
      </c>
      <c r="U662" t="s">
        <v>45449</v>
      </c>
      <c r="W662" t="s">
        <v>39029</v>
      </c>
      <c r="X662" t="s">
        <v>42672</v>
      </c>
    </row>
    <row r="663" spans="1:24">
      <c r="A663">
        <f>HYPERLINK("https://www.philgeps.gov.ph/GEPSNONPILOT/Tender/SplashBidNoticeAbstractUI.aspx?menuIndex=3&amp;refID=7190783&amp;Result=3","7190783")</f>
        <v>0</v>
      </c>
      <c r="B663" t="s">
        <v>76</v>
      </c>
      <c r="C663" t="s">
        <v>4155</v>
      </c>
      <c r="D663" t="s">
        <v>17168</v>
      </c>
      <c r="E663" t="s">
        <v>17873</v>
      </c>
      <c r="F663" t="s">
        <v>29372</v>
      </c>
      <c r="G663" t="s">
        <v>29379</v>
      </c>
      <c r="H663" t="s">
        <v>11048</v>
      </c>
      <c r="I663" t="s">
        <v>29403</v>
      </c>
      <c r="J663" t="s">
        <v>30063</v>
      </c>
      <c r="K663" t="s">
        <v>38488</v>
      </c>
      <c r="M663" t="s">
        <v>38830</v>
      </c>
      <c r="N663" t="s">
        <v>42669</v>
      </c>
      <c r="O663" t="s">
        <v>42670</v>
      </c>
      <c r="P663">
        <v>0</v>
      </c>
      <c r="Q663">
        <v>0</v>
      </c>
      <c r="R663" t="s">
        <v>42671</v>
      </c>
      <c r="S663" t="s">
        <v>42779</v>
      </c>
      <c r="T663" t="s">
        <v>44386</v>
      </c>
      <c r="U663" t="s">
        <v>45450</v>
      </c>
      <c r="W663" t="s">
        <v>38830</v>
      </c>
      <c r="X663" t="s">
        <v>42676</v>
      </c>
    </row>
    <row r="664" spans="1:24">
      <c r="A664">
        <f>HYPERLINK("https://www.philgeps.gov.ph/GEPSNONPILOT/Tender/SplashBidNoticeAbstractUI.aspx?menuIndex=3&amp;refID=7194176&amp;Result=3","7194176")</f>
        <v>0</v>
      </c>
      <c r="B664" t="s">
        <v>269</v>
      </c>
      <c r="C664" t="s">
        <v>4156</v>
      </c>
      <c r="E664" t="s">
        <v>17347</v>
      </c>
      <c r="F664" t="s">
        <v>29372</v>
      </c>
      <c r="G664" t="s">
        <v>29380</v>
      </c>
      <c r="H664" t="s">
        <v>29389</v>
      </c>
      <c r="I664" t="s">
        <v>10408</v>
      </c>
      <c r="J664" t="s">
        <v>29587</v>
      </c>
      <c r="K664" t="s">
        <v>38490</v>
      </c>
      <c r="M664" t="s">
        <v>39028</v>
      </c>
      <c r="N664" t="s">
        <v>42669</v>
      </c>
      <c r="O664" t="s">
        <v>42670</v>
      </c>
      <c r="P664">
        <v>0</v>
      </c>
      <c r="Q664">
        <v>0</v>
      </c>
      <c r="R664" t="s">
        <v>42671</v>
      </c>
      <c r="S664" t="s">
        <v>42779</v>
      </c>
      <c r="T664" t="s">
        <v>44474</v>
      </c>
      <c r="U664" t="s">
        <v>45451</v>
      </c>
      <c r="W664" t="s">
        <v>39028</v>
      </c>
      <c r="X664" t="s">
        <v>42672</v>
      </c>
    </row>
    <row r="665" spans="1:24">
      <c r="A665">
        <f>HYPERLINK("https://www.philgeps.gov.ph/GEPSNONPILOT/Tender/SplashBidNoticeAbstractUI.aspx?menuIndex=3&amp;refID=7194175&amp;Result=3","7194175")</f>
        <v>0</v>
      </c>
      <c r="B665" t="s">
        <v>271</v>
      </c>
      <c r="C665" t="s">
        <v>4157</v>
      </c>
      <c r="D665" t="s">
        <v>17192</v>
      </c>
      <c r="E665" t="s">
        <v>17874</v>
      </c>
      <c r="F665" t="s">
        <v>29372</v>
      </c>
      <c r="G665" t="s">
        <v>29380</v>
      </c>
      <c r="H665" t="s">
        <v>11048</v>
      </c>
      <c r="I665" t="s">
        <v>29400</v>
      </c>
      <c r="J665" t="s">
        <v>30064</v>
      </c>
      <c r="K665" t="s">
        <v>38490</v>
      </c>
      <c r="L665" t="s">
        <v>271</v>
      </c>
      <c r="M665" t="s">
        <v>39030</v>
      </c>
      <c r="N665" t="s">
        <v>42669</v>
      </c>
      <c r="O665" t="s">
        <v>42670</v>
      </c>
      <c r="P665">
        <v>0</v>
      </c>
      <c r="Q665">
        <v>9</v>
      </c>
      <c r="R665" t="s">
        <v>42671</v>
      </c>
      <c r="S665" t="s">
        <v>42779</v>
      </c>
      <c r="T665" t="s">
        <v>44438</v>
      </c>
      <c r="U665" t="s">
        <v>45452</v>
      </c>
      <c r="V665" t="s">
        <v>47275</v>
      </c>
      <c r="W665" t="s">
        <v>39030</v>
      </c>
      <c r="X665" t="s">
        <v>42672</v>
      </c>
    </row>
    <row r="666" spans="1:24">
      <c r="A666">
        <f>HYPERLINK("https://www.philgeps.gov.ph/GEPSNONPILOT/Tender/SplashBidNoticeAbstractUI.aspx?menuIndex=3&amp;refID=7194170&amp;Result=3","7194170")</f>
        <v>0</v>
      </c>
      <c r="B666" t="s">
        <v>260</v>
      </c>
      <c r="C666" t="s">
        <v>4158</v>
      </c>
      <c r="D666" t="s">
        <v>17169</v>
      </c>
      <c r="E666" t="s">
        <v>17875</v>
      </c>
      <c r="F666" t="s">
        <v>29372</v>
      </c>
      <c r="G666" t="s">
        <v>29380</v>
      </c>
      <c r="H666" t="s">
        <v>29389</v>
      </c>
      <c r="I666" t="s">
        <v>10408</v>
      </c>
      <c r="J666" t="s">
        <v>30065</v>
      </c>
      <c r="K666" t="s">
        <v>38522</v>
      </c>
      <c r="M666" t="s">
        <v>39019</v>
      </c>
      <c r="N666" t="s">
        <v>42669</v>
      </c>
      <c r="O666" t="s">
        <v>42670</v>
      </c>
      <c r="P666">
        <v>0</v>
      </c>
      <c r="Q666">
        <v>4</v>
      </c>
      <c r="R666" t="s">
        <v>42671</v>
      </c>
      <c r="S666" t="s">
        <v>42779</v>
      </c>
      <c r="T666" t="s">
        <v>44466</v>
      </c>
      <c r="U666" t="s">
        <v>45453</v>
      </c>
      <c r="W666" t="s">
        <v>39019</v>
      </c>
      <c r="X666" t="s">
        <v>42672</v>
      </c>
    </row>
    <row r="667" spans="1:24">
      <c r="A667">
        <f>HYPERLINK("https://www.philgeps.gov.ph/GEPSNONPILOT/Tender/SplashBidNoticeAbstractUI.aspx?menuIndex=3&amp;refID=7191238&amp;Result=3","7191238")</f>
        <v>0</v>
      </c>
      <c r="B667" t="s">
        <v>79</v>
      </c>
      <c r="C667" t="s">
        <v>4159</v>
      </c>
      <c r="D667" t="s">
        <v>17172</v>
      </c>
      <c r="E667" t="s">
        <v>17876</v>
      </c>
      <c r="F667" t="s">
        <v>29372</v>
      </c>
      <c r="G667" t="s">
        <v>29380</v>
      </c>
      <c r="H667" t="s">
        <v>29389</v>
      </c>
      <c r="I667" t="s">
        <v>10408</v>
      </c>
      <c r="J667" t="s">
        <v>29645</v>
      </c>
      <c r="K667" t="s">
        <v>38485</v>
      </c>
      <c r="M667" t="s">
        <v>38833</v>
      </c>
      <c r="N667" t="s">
        <v>42669</v>
      </c>
      <c r="O667" t="s">
        <v>42670</v>
      </c>
      <c r="P667">
        <v>0</v>
      </c>
      <c r="Q667">
        <v>0</v>
      </c>
      <c r="R667" t="s">
        <v>42671</v>
      </c>
      <c r="S667" t="s">
        <v>42779</v>
      </c>
      <c r="T667" t="s">
        <v>44357</v>
      </c>
      <c r="U667" t="s">
        <v>44995</v>
      </c>
      <c r="V667" t="s">
        <v>56344</v>
      </c>
      <c r="W667" t="s">
        <v>38833</v>
      </c>
      <c r="X667" t="s">
        <v>42676</v>
      </c>
    </row>
    <row r="668" spans="1:24">
      <c r="A668">
        <f>HYPERLINK("https://www.philgeps.gov.ph/GEPSNONPILOT/Tender/SplashBidNoticeAbstractUI.aspx?menuIndex=3&amp;refID=7194169&amp;Result=3","7194169")</f>
        <v>0</v>
      </c>
      <c r="B668" t="s">
        <v>255</v>
      </c>
      <c r="C668" t="s">
        <v>4160</v>
      </c>
      <c r="D668" t="s">
        <v>17200</v>
      </c>
      <c r="E668" t="s">
        <v>17877</v>
      </c>
      <c r="F668" t="s">
        <v>29372</v>
      </c>
      <c r="G668" t="s">
        <v>29382</v>
      </c>
      <c r="H668" t="s">
        <v>11048</v>
      </c>
      <c r="I668" t="s">
        <v>5383</v>
      </c>
      <c r="J668" t="s">
        <v>30066</v>
      </c>
      <c r="K668" t="s">
        <v>38490</v>
      </c>
      <c r="M668" t="s">
        <v>39014</v>
      </c>
      <c r="N668" t="s">
        <v>42669</v>
      </c>
      <c r="O668" t="s">
        <v>42670</v>
      </c>
      <c r="P668">
        <v>0</v>
      </c>
      <c r="Q668">
        <v>4</v>
      </c>
      <c r="R668" t="s">
        <v>42671</v>
      </c>
      <c r="S668" t="s">
        <v>42779</v>
      </c>
      <c r="T668" t="s">
        <v>44349</v>
      </c>
      <c r="U668" t="s">
        <v>45408</v>
      </c>
      <c r="W668" t="s">
        <v>39014</v>
      </c>
      <c r="X668" t="s">
        <v>42672</v>
      </c>
    </row>
    <row r="669" spans="1:24">
      <c r="A669">
        <f>HYPERLINK("https://www.philgeps.gov.ph/GEPSNONPILOT/Tender/SplashBidNoticeAbstractUI.aspx?menuIndex=3&amp;refID=7194165&amp;Result=3","7194165")</f>
        <v>0</v>
      </c>
      <c r="B669" t="s">
        <v>260</v>
      </c>
      <c r="C669" t="s">
        <v>4161</v>
      </c>
      <c r="D669" t="s">
        <v>17169</v>
      </c>
      <c r="E669" t="s">
        <v>17878</v>
      </c>
      <c r="F669" t="s">
        <v>29372</v>
      </c>
      <c r="G669" t="s">
        <v>29380</v>
      </c>
      <c r="H669" t="s">
        <v>29389</v>
      </c>
      <c r="I669" t="s">
        <v>10408</v>
      </c>
      <c r="J669" t="s">
        <v>30067</v>
      </c>
      <c r="K669" t="s">
        <v>38522</v>
      </c>
      <c r="M669" t="s">
        <v>39019</v>
      </c>
      <c r="N669" t="s">
        <v>42669</v>
      </c>
      <c r="O669" t="s">
        <v>42670</v>
      </c>
      <c r="P669">
        <v>0</v>
      </c>
      <c r="Q669">
        <v>4</v>
      </c>
      <c r="R669" t="s">
        <v>42671</v>
      </c>
      <c r="S669" t="s">
        <v>42779</v>
      </c>
      <c r="T669" t="s">
        <v>44466</v>
      </c>
      <c r="U669" t="s">
        <v>45454</v>
      </c>
      <c r="W669" t="s">
        <v>39019</v>
      </c>
      <c r="X669" t="s">
        <v>42672</v>
      </c>
    </row>
    <row r="670" spans="1:24">
      <c r="A670">
        <f>HYPERLINK("https://www.philgeps.gov.ph/GEPSNONPILOT/Tender/SplashBidNoticeAbstractUI.aspx?menuIndex=3&amp;refID=7191508&amp;Result=3","7191508")</f>
        <v>0</v>
      </c>
      <c r="B670" t="s">
        <v>113</v>
      </c>
      <c r="C670" t="s">
        <v>4162</v>
      </c>
      <c r="D670" t="s">
        <v>17174</v>
      </c>
      <c r="E670" t="s">
        <v>17448</v>
      </c>
      <c r="F670" t="s">
        <v>29372</v>
      </c>
      <c r="G670" t="s">
        <v>29380</v>
      </c>
      <c r="H670" t="s">
        <v>11048</v>
      </c>
      <c r="I670" t="s">
        <v>8614</v>
      </c>
      <c r="J670" t="s">
        <v>30068</v>
      </c>
      <c r="K670" t="s">
        <v>38485</v>
      </c>
      <c r="M670" t="s">
        <v>38868</v>
      </c>
      <c r="N670" t="s">
        <v>42669</v>
      </c>
      <c r="O670" t="s">
        <v>42670</v>
      </c>
      <c r="P670">
        <v>0</v>
      </c>
      <c r="Q670">
        <v>2</v>
      </c>
      <c r="R670" t="s">
        <v>42671</v>
      </c>
      <c r="S670" t="s">
        <v>42779</v>
      </c>
      <c r="T670" t="s">
        <v>44410</v>
      </c>
      <c r="U670" t="s">
        <v>45455</v>
      </c>
      <c r="W670" t="s">
        <v>38868</v>
      </c>
      <c r="X670" t="s">
        <v>42676</v>
      </c>
    </row>
    <row r="671" spans="1:24">
      <c r="A671">
        <f>HYPERLINK("https://www.philgeps.gov.ph/GEPSNONPILOT/Tender/SplashBidNoticeAbstractUI.aspx?menuIndex=3&amp;refID=7194179&amp;Result=3","7194179")</f>
        <v>0</v>
      </c>
      <c r="B671" t="s">
        <v>272</v>
      </c>
      <c r="C671" t="s">
        <v>4163</v>
      </c>
      <c r="D671" t="s">
        <v>17206</v>
      </c>
      <c r="E671" t="s">
        <v>17879</v>
      </c>
      <c r="F671" t="s">
        <v>29372</v>
      </c>
      <c r="G671" t="s">
        <v>29379</v>
      </c>
      <c r="H671" t="s">
        <v>11048</v>
      </c>
      <c r="I671" t="s">
        <v>29413</v>
      </c>
      <c r="J671" t="s">
        <v>30069</v>
      </c>
      <c r="K671" t="s">
        <v>38510</v>
      </c>
      <c r="M671" t="s">
        <v>39031</v>
      </c>
      <c r="N671" t="s">
        <v>42669</v>
      </c>
      <c r="O671" t="s">
        <v>42670</v>
      </c>
      <c r="P671">
        <v>0</v>
      </c>
      <c r="Q671">
        <v>0</v>
      </c>
      <c r="R671" t="s">
        <v>42671</v>
      </c>
      <c r="S671" t="s">
        <v>42779</v>
      </c>
      <c r="T671" t="s">
        <v>44386</v>
      </c>
      <c r="U671" t="s">
        <v>45456</v>
      </c>
      <c r="W671" t="s">
        <v>39031</v>
      </c>
      <c r="X671" t="s">
        <v>42672</v>
      </c>
    </row>
    <row r="672" spans="1:24">
      <c r="A672">
        <f>HYPERLINK("https://www.philgeps.gov.ph/GEPSNONPILOT/Tender/SplashBidNoticeAbstractUI.aspx?menuIndex=3&amp;refID=7194172&amp;Result=3","7194172")</f>
        <v>0</v>
      </c>
      <c r="B672" t="s">
        <v>255</v>
      </c>
      <c r="C672" t="s">
        <v>4164</v>
      </c>
      <c r="E672" t="s">
        <v>17880</v>
      </c>
      <c r="F672" t="s">
        <v>29372</v>
      </c>
      <c r="G672" t="s">
        <v>29379</v>
      </c>
      <c r="H672" t="s">
        <v>11048</v>
      </c>
      <c r="I672" t="s">
        <v>29429</v>
      </c>
      <c r="J672" t="s">
        <v>29692</v>
      </c>
      <c r="K672" t="s">
        <v>38490</v>
      </c>
      <c r="M672" t="s">
        <v>39014</v>
      </c>
      <c r="N672" t="s">
        <v>42669</v>
      </c>
      <c r="O672" t="s">
        <v>42670</v>
      </c>
      <c r="P672">
        <v>0</v>
      </c>
      <c r="Q672">
        <v>1</v>
      </c>
      <c r="R672" t="s">
        <v>42671</v>
      </c>
      <c r="S672" t="s">
        <v>42779</v>
      </c>
      <c r="T672" t="s">
        <v>44349</v>
      </c>
      <c r="U672" t="s">
        <v>45408</v>
      </c>
      <c r="W672" t="s">
        <v>39014</v>
      </c>
      <c r="X672" t="s">
        <v>42672</v>
      </c>
    </row>
    <row r="673" spans="1:24">
      <c r="A673">
        <f>HYPERLINK("https://www.philgeps.gov.ph/GEPSNONPILOT/Tender/SplashBidNoticeAbstractUI.aspx?menuIndex=3&amp;refID=7194174&amp;Result=3","7194174")</f>
        <v>0</v>
      </c>
      <c r="B673" t="s">
        <v>273</v>
      </c>
      <c r="C673" t="s">
        <v>4165</v>
      </c>
      <c r="D673" t="s">
        <v>17207</v>
      </c>
      <c r="E673" t="s">
        <v>17881</v>
      </c>
      <c r="F673" t="s">
        <v>29372</v>
      </c>
      <c r="G673" t="s">
        <v>29380</v>
      </c>
      <c r="H673" t="s">
        <v>29389</v>
      </c>
      <c r="I673" t="s">
        <v>10408</v>
      </c>
      <c r="J673" t="s">
        <v>30070</v>
      </c>
      <c r="K673" t="s">
        <v>38559</v>
      </c>
      <c r="M673" t="s">
        <v>39032</v>
      </c>
      <c r="N673" t="s">
        <v>42669</v>
      </c>
      <c r="O673" t="s">
        <v>42670</v>
      </c>
      <c r="P673">
        <v>0</v>
      </c>
      <c r="Q673">
        <v>0</v>
      </c>
      <c r="R673" t="s">
        <v>42671</v>
      </c>
      <c r="S673" t="s">
        <v>42779</v>
      </c>
      <c r="T673" t="s">
        <v>44475</v>
      </c>
      <c r="U673" t="s">
        <v>45457</v>
      </c>
      <c r="W673" t="s">
        <v>39032</v>
      </c>
      <c r="X673" t="s">
        <v>42672</v>
      </c>
    </row>
    <row r="674" spans="1:24">
      <c r="A674">
        <f>HYPERLINK("https://www.philgeps.gov.ph/GEPSNONPILOT/Tender/SplashBidNoticeAbstractUI.aspx?menuIndex=3&amp;refID=7194173&amp;Result=3","7194173")</f>
        <v>0</v>
      </c>
      <c r="B674" t="s">
        <v>255</v>
      </c>
      <c r="C674" t="s">
        <v>4166</v>
      </c>
      <c r="E674" t="s">
        <v>17882</v>
      </c>
      <c r="F674" t="s">
        <v>29372</v>
      </c>
      <c r="G674" t="s">
        <v>29382</v>
      </c>
      <c r="H674" t="s">
        <v>11048</v>
      </c>
      <c r="I674" t="s">
        <v>5383</v>
      </c>
      <c r="J674" t="s">
        <v>30071</v>
      </c>
      <c r="K674" t="s">
        <v>38490</v>
      </c>
      <c r="M674" t="s">
        <v>39014</v>
      </c>
      <c r="N674" t="s">
        <v>42669</v>
      </c>
      <c r="O674" t="s">
        <v>42670</v>
      </c>
      <c r="P674">
        <v>0</v>
      </c>
      <c r="Q674">
        <v>4</v>
      </c>
      <c r="R674" t="s">
        <v>42671</v>
      </c>
      <c r="S674" t="s">
        <v>42779</v>
      </c>
      <c r="T674" t="s">
        <v>44349</v>
      </c>
      <c r="U674" t="s">
        <v>45408</v>
      </c>
      <c r="W674" t="s">
        <v>39014</v>
      </c>
      <c r="X674" t="s">
        <v>42672</v>
      </c>
    </row>
    <row r="675" spans="1:24">
      <c r="A675">
        <f>HYPERLINK("https://www.philgeps.gov.ph/GEPSNONPILOT/Tender/SplashBidNoticeAbstractUI.aspx?menuIndex=3&amp;refID=7194164&amp;Result=3","7194164")</f>
        <v>0</v>
      </c>
      <c r="B675" t="s">
        <v>255</v>
      </c>
      <c r="C675" t="s">
        <v>4167</v>
      </c>
      <c r="E675" t="s">
        <v>17883</v>
      </c>
      <c r="F675" t="s">
        <v>29372</v>
      </c>
      <c r="G675" t="s">
        <v>29382</v>
      </c>
      <c r="H675" t="s">
        <v>11048</v>
      </c>
      <c r="I675" t="s">
        <v>5383</v>
      </c>
      <c r="J675" t="s">
        <v>30072</v>
      </c>
      <c r="K675" t="s">
        <v>38490</v>
      </c>
      <c r="M675" t="s">
        <v>39014</v>
      </c>
      <c r="N675" t="s">
        <v>42669</v>
      </c>
      <c r="O675" t="s">
        <v>42670</v>
      </c>
      <c r="P675">
        <v>0</v>
      </c>
      <c r="Q675">
        <v>5</v>
      </c>
      <c r="R675" t="s">
        <v>42671</v>
      </c>
      <c r="S675" t="s">
        <v>42779</v>
      </c>
      <c r="T675" t="s">
        <v>44349</v>
      </c>
      <c r="U675" t="s">
        <v>45408</v>
      </c>
      <c r="W675" t="s">
        <v>39014</v>
      </c>
      <c r="X675" t="s">
        <v>42672</v>
      </c>
    </row>
    <row r="676" spans="1:24">
      <c r="A676">
        <f>HYPERLINK("https://www.philgeps.gov.ph/GEPSNONPILOT/Tender/SplashBidNoticeAbstractUI.aspx?menuIndex=3&amp;refID=7194157&amp;Result=3","7194157")</f>
        <v>0</v>
      </c>
      <c r="B676" t="s">
        <v>274</v>
      </c>
      <c r="C676" t="s">
        <v>4168</v>
      </c>
      <c r="D676" t="s">
        <v>17141</v>
      </c>
      <c r="E676" t="s">
        <v>17884</v>
      </c>
      <c r="F676" t="s">
        <v>29372</v>
      </c>
      <c r="G676" t="s">
        <v>29380</v>
      </c>
      <c r="H676" t="s">
        <v>11048</v>
      </c>
      <c r="I676" t="s">
        <v>7828</v>
      </c>
      <c r="J676" t="s">
        <v>29555</v>
      </c>
      <c r="K676" t="s">
        <v>38491</v>
      </c>
      <c r="M676" t="s">
        <v>39033</v>
      </c>
      <c r="N676" t="s">
        <v>42669</v>
      </c>
      <c r="O676" t="s">
        <v>42670</v>
      </c>
      <c r="P676">
        <v>0</v>
      </c>
      <c r="Q676">
        <v>1</v>
      </c>
      <c r="R676" t="s">
        <v>42671</v>
      </c>
      <c r="S676" t="s">
        <v>42779</v>
      </c>
      <c r="T676" t="s">
        <v>44393</v>
      </c>
      <c r="U676" t="s">
        <v>45458</v>
      </c>
      <c r="W676" t="s">
        <v>39033</v>
      </c>
      <c r="X676" t="s">
        <v>42672</v>
      </c>
    </row>
    <row r="677" spans="1:24">
      <c r="A677">
        <f>HYPERLINK("https://www.philgeps.gov.ph/GEPSNONPILOT/Tender/SplashBidNoticeAbstractUI.aspx?menuIndex=3&amp;refID=7194156&amp;Result=3","7194156")</f>
        <v>0</v>
      </c>
      <c r="B677" t="s">
        <v>53</v>
      </c>
      <c r="C677" t="s">
        <v>4169</v>
      </c>
      <c r="D677" t="s">
        <v>17161</v>
      </c>
      <c r="E677" t="s">
        <v>17885</v>
      </c>
      <c r="F677" t="s">
        <v>29372</v>
      </c>
      <c r="G677" t="s">
        <v>29379</v>
      </c>
      <c r="H677" t="s">
        <v>11048</v>
      </c>
      <c r="I677" t="s">
        <v>4709</v>
      </c>
      <c r="J677" t="s">
        <v>30073</v>
      </c>
      <c r="K677" t="s">
        <v>38490</v>
      </c>
      <c r="M677" t="s">
        <v>38806</v>
      </c>
      <c r="N677" t="s">
        <v>42669</v>
      </c>
      <c r="O677" t="s">
        <v>42670</v>
      </c>
      <c r="P677">
        <v>0</v>
      </c>
      <c r="Q677">
        <v>1</v>
      </c>
      <c r="R677" t="s">
        <v>42671</v>
      </c>
      <c r="S677" t="s">
        <v>42779</v>
      </c>
      <c r="T677" t="s">
        <v>44412</v>
      </c>
      <c r="U677" t="s">
        <v>45459</v>
      </c>
      <c r="W677" t="s">
        <v>58001</v>
      </c>
      <c r="X677" t="s">
        <v>42672</v>
      </c>
    </row>
    <row r="678" spans="1:24">
      <c r="A678">
        <f>HYPERLINK("https://www.philgeps.gov.ph/GEPSNONPILOT/Tender/SplashBidNoticeAbstractUI.aspx?menuIndex=3&amp;refID=7194154&amp;Result=3","7194154")</f>
        <v>0</v>
      </c>
      <c r="B678" t="s">
        <v>255</v>
      </c>
      <c r="C678" t="s">
        <v>4170</v>
      </c>
      <c r="E678" t="s">
        <v>17886</v>
      </c>
      <c r="F678" t="s">
        <v>29372</v>
      </c>
      <c r="G678" t="s">
        <v>29379</v>
      </c>
      <c r="H678" t="s">
        <v>11048</v>
      </c>
      <c r="I678" t="s">
        <v>29433</v>
      </c>
      <c r="J678" t="s">
        <v>29657</v>
      </c>
      <c r="K678" t="s">
        <v>38490</v>
      </c>
      <c r="M678" t="s">
        <v>39014</v>
      </c>
      <c r="N678" t="s">
        <v>42669</v>
      </c>
      <c r="O678" t="s">
        <v>42670</v>
      </c>
      <c r="P678">
        <v>0</v>
      </c>
      <c r="Q678">
        <v>3</v>
      </c>
      <c r="R678" t="s">
        <v>42671</v>
      </c>
      <c r="S678" t="s">
        <v>42779</v>
      </c>
      <c r="T678" t="s">
        <v>44349</v>
      </c>
      <c r="U678" t="s">
        <v>45408</v>
      </c>
      <c r="W678" t="s">
        <v>39014</v>
      </c>
      <c r="X678" t="s">
        <v>42672</v>
      </c>
    </row>
    <row r="679" spans="1:24">
      <c r="A679">
        <f>HYPERLINK("https://www.philgeps.gov.ph/GEPSNONPILOT/Tender/SplashBidNoticeAbstractUI.aspx?menuIndex=3&amp;refID=7190663&amp;Result=3","7190663")</f>
        <v>0</v>
      </c>
      <c r="B679" t="s">
        <v>63</v>
      </c>
      <c r="C679" t="s">
        <v>4171</v>
      </c>
      <c r="D679" t="s">
        <v>17161</v>
      </c>
      <c r="E679" t="s">
        <v>17887</v>
      </c>
      <c r="F679" t="s">
        <v>29372</v>
      </c>
      <c r="G679" t="s">
        <v>29381</v>
      </c>
      <c r="H679" t="s">
        <v>11048</v>
      </c>
      <c r="I679" t="s">
        <v>4709</v>
      </c>
      <c r="J679" t="s">
        <v>30074</v>
      </c>
      <c r="K679" t="s">
        <v>38490</v>
      </c>
      <c r="M679" t="s">
        <v>38817</v>
      </c>
      <c r="N679" t="s">
        <v>42669</v>
      </c>
      <c r="O679" t="s">
        <v>42670</v>
      </c>
      <c r="P679">
        <v>0</v>
      </c>
      <c r="Q679">
        <v>0</v>
      </c>
      <c r="R679" t="s">
        <v>42671</v>
      </c>
      <c r="S679" t="s">
        <v>42779</v>
      </c>
      <c r="T679" t="s">
        <v>44354</v>
      </c>
      <c r="U679" t="s">
        <v>44965</v>
      </c>
      <c r="W679" t="s">
        <v>38817</v>
      </c>
      <c r="X679" t="s">
        <v>42676</v>
      </c>
    </row>
    <row r="680" spans="1:24">
      <c r="A680">
        <f>HYPERLINK("https://www.philgeps.gov.ph/GEPSNONPILOT/Tender/SplashBidNoticeAbstractUI.aspx?menuIndex=3&amp;refID=7190632&amp;Result=3","7190632")</f>
        <v>0</v>
      </c>
      <c r="B680" t="s">
        <v>275</v>
      </c>
      <c r="C680" t="s">
        <v>4172</v>
      </c>
      <c r="D680" t="s">
        <v>17180</v>
      </c>
      <c r="E680" t="s">
        <v>17888</v>
      </c>
      <c r="F680" t="s">
        <v>29372</v>
      </c>
      <c r="G680" t="s">
        <v>29380</v>
      </c>
      <c r="H680" t="s">
        <v>11048</v>
      </c>
      <c r="I680" t="s">
        <v>6417</v>
      </c>
      <c r="J680" t="s">
        <v>30075</v>
      </c>
      <c r="K680" t="s">
        <v>38488</v>
      </c>
      <c r="M680" t="s">
        <v>39034</v>
      </c>
      <c r="N680" t="s">
        <v>42669</v>
      </c>
      <c r="O680" t="s">
        <v>42670</v>
      </c>
      <c r="P680">
        <v>0</v>
      </c>
      <c r="Q680">
        <v>1</v>
      </c>
      <c r="R680" t="s">
        <v>42671</v>
      </c>
      <c r="S680" t="s">
        <v>42779</v>
      </c>
      <c r="T680" t="s">
        <v>44476</v>
      </c>
      <c r="U680" t="s">
        <v>45460</v>
      </c>
      <c r="W680" t="s">
        <v>39034</v>
      </c>
      <c r="X680" t="s">
        <v>42676</v>
      </c>
    </row>
    <row r="681" spans="1:24">
      <c r="A681">
        <f>HYPERLINK("https://www.philgeps.gov.ph/GEPSNONPILOT/Tender/SplashBidNoticeAbstractUI.aspx?menuIndex=3&amp;refID=7194160&amp;Result=3","7194160")</f>
        <v>0</v>
      </c>
      <c r="B681" t="s">
        <v>255</v>
      </c>
      <c r="C681" t="s">
        <v>4173</v>
      </c>
      <c r="E681" t="s">
        <v>17889</v>
      </c>
      <c r="F681" t="s">
        <v>29372</v>
      </c>
      <c r="G681" t="s">
        <v>29379</v>
      </c>
      <c r="H681" t="s">
        <v>11048</v>
      </c>
      <c r="I681" t="s">
        <v>29431</v>
      </c>
      <c r="J681" t="s">
        <v>29984</v>
      </c>
      <c r="K681" t="s">
        <v>38490</v>
      </c>
      <c r="M681" t="s">
        <v>39014</v>
      </c>
      <c r="N681" t="s">
        <v>42669</v>
      </c>
      <c r="O681" t="s">
        <v>42670</v>
      </c>
      <c r="P681">
        <v>0</v>
      </c>
      <c r="Q681">
        <v>0</v>
      </c>
      <c r="R681" t="s">
        <v>42671</v>
      </c>
      <c r="S681" t="s">
        <v>42779</v>
      </c>
      <c r="T681" t="s">
        <v>44349</v>
      </c>
      <c r="U681" t="s">
        <v>45408</v>
      </c>
      <c r="W681" t="s">
        <v>39014</v>
      </c>
      <c r="X681" t="s">
        <v>42672</v>
      </c>
    </row>
    <row r="682" spans="1:24">
      <c r="A682">
        <f>HYPERLINK("https://www.philgeps.gov.ph/GEPSNONPILOT/Tender/SplashBidNoticeAbstractUI.aspx?menuIndex=3&amp;refID=7194214&amp;Result=3","7194214")</f>
        <v>0</v>
      </c>
      <c r="B682" t="s">
        <v>276</v>
      </c>
      <c r="C682" t="s">
        <v>4174</v>
      </c>
      <c r="D682" t="s">
        <v>17178</v>
      </c>
      <c r="E682" t="s">
        <v>17648</v>
      </c>
      <c r="F682" t="s">
        <v>29372</v>
      </c>
      <c r="G682" t="s">
        <v>29380</v>
      </c>
      <c r="H682" t="s">
        <v>29389</v>
      </c>
      <c r="I682" t="s">
        <v>10408</v>
      </c>
      <c r="J682" t="s">
        <v>30076</v>
      </c>
      <c r="K682" t="s">
        <v>38487</v>
      </c>
      <c r="M682" t="s">
        <v>39035</v>
      </c>
      <c r="N682" t="s">
        <v>42669</v>
      </c>
      <c r="O682" t="s">
        <v>42670</v>
      </c>
      <c r="P682">
        <v>0</v>
      </c>
      <c r="Q682">
        <v>1</v>
      </c>
      <c r="R682" t="s">
        <v>42671</v>
      </c>
      <c r="S682" t="s">
        <v>42779</v>
      </c>
      <c r="T682" t="s">
        <v>44393</v>
      </c>
      <c r="U682" t="s">
        <v>45461</v>
      </c>
      <c r="W682" t="s">
        <v>39035</v>
      </c>
      <c r="X682" t="s">
        <v>42672</v>
      </c>
    </row>
    <row r="683" spans="1:24">
      <c r="A683">
        <f>HYPERLINK("https://www.philgeps.gov.ph/GEPSNONPILOT/Tender/SplashBidNoticeAbstractUI.aspx?menuIndex=3&amp;refID=7194212&amp;Result=3","7194212")</f>
        <v>0</v>
      </c>
      <c r="B683" t="s">
        <v>277</v>
      </c>
      <c r="C683" t="s">
        <v>4175</v>
      </c>
      <c r="D683" t="s">
        <v>17170</v>
      </c>
      <c r="E683" t="s">
        <v>17890</v>
      </c>
      <c r="F683" t="s">
        <v>29372</v>
      </c>
      <c r="G683" t="s">
        <v>29379</v>
      </c>
      <c r="H683" t="s">
        <v>11048</v>
      </c>
      <c r="I683" t="s">
        <v>4487</v>
      </c>
      <c r="J683" t="s">
        <v>30077</v>
      </c>
      <c r="K683" t="s">
        <v>38491</v>
      </c>
      <c r="M683" t="s">
        <v>39036</v>
      </c>
      <c r="N683" t="s">
        <v>42669</v>
      </c>
      <c r="O683" t="s">
        <v>42670</v>
      </c>
      <c r="P683">
        <v>0</v>
      </c>
      <c r="Q683">
        <v>3</v>
      </c>
      <c r="R683" t="s">
        <v>42671</v>
      </c>
      <c r="S683" t="s">
        <v>42779</v>
      </c>
      <c r="T683" t="s">
        <v>44382</v>
      </c>
      <c r="U683" t="s">
        <v>45462</v>
      </c>
      <c r="W683" t="s">
        <v>39036</v>
      </c>
      <c r="X683" t="s">
        <v>42672</v>
      </c>
    </row>
    <row r="684" spans="1:24">
      <c r="A684">
        <f>HYPERLINK("https://www.philgeps.gov.ph/GEPSNONPILOT/Tender/SplashBidNoticeAbstractUI.aspx?menuIndex=3&amp;refID=7190657&amp;Result=3","7190657")</f>
        <v>0</v>
      </c>
      <c r="B684" t="s">
        <v>76</v>
      </c>
      <c r="C684" t="s">
        <v>4176</v>
      </c>
      <c r="D684" t="s">
        <v>17168</v>
      </c>
      <c r="E684" t="s">
        <v>17891</v>
      </c>
      <c r="F684" t="s">
        <v>29372</v>
      </c>
      <c r="G684" t="s">
        <v>29379</v>
      </c>
      <c r="H684" t="s">
        <v>11048</v>
      </c>
      <c r="I684" t="s">
        <v>3839</v>
      </c>
      <c r="J684" t="s">
        <v>30078</v>
      </c>
      <c r="K684" t="s">
        <v>38488</v>
      </c>
      <c r="M684" t="s">
        <v>38830</v>
      </c>
      <c r="N684" t="s">
        <v>42669</v>
      </c>
      <c r="O684" t="s">
        <v>42670</v>
      </c>
      <c r="P684">
        <v>0</v>
      </c>
      <c r="Q684">
        <v>2</v>
      </c>
      <c r="R684" t="s">
        <v>42671</v>
      </c>
      <c r="S684" t="s">
        <v>42779</v>
      </c>
      <c r="T684" t="s">
        <v>44386</v>
      </c>
      <c r="U684" t="s">
        <v>45463</v>
      </c>
      <c r="W684" t="s">
        <v>38830</v>
      </c>
      <c r="X684" t="s">
        <v>42676</v>
      </c>
    </row>
    <row r="685" spans="1:24">
      <c r="A685">
        <f>HYPERLINK("https://www.philgeps.gov.ph/GEPSNONPILOT/Tender/SplashBidNoticeAbstractUI.aspx?menuIndex=3&amp;refID=7194161&amp;Result=3","7194161")</f>
        <v>0</v>
      </c>
      <c r="B685" t="s">
        <v>273</v>
      </c>
      <c r="C685" t="s">
        <v>4177</v>
      </c>
      <c r="D685" t="s">
        <v>17207</v>
      </c>
      <c r="E685" t="s">
        <v>17892</v>
      </c>
      <c r="F685" t="s">
        <v>29372</v>
      </c>
      <c r="G685" t="s">
        <v>29380</v>
      </c>
      <c r="H685" t="s">
        <v>29389</v>
      </c>
      <c r="I685" t="s">
        <v>10408</v>
      </c>
      <c r="J685" t="s">
        <v>30079</v>
      </c>
      <c r="K685" t="s">
        <v>38560</v>
      </c>
      <c r="M685" t="s">
        <v>39032</v>
      </c>
      <c r="N685" t="s">
        <v>42669</v>
      </c>
      <c r="O685" t="s">
        <v>42670</v>
      </c>
      <c r="P685">
        <v>0</v>
      </c>
      <c r="Q685">
        <v>0</v>
      </c>
      <c r="R685" t="s">
        <v>42671</v>
      </c>
      <c r="S685" t="s">
        <v>42779</v>
      </c>
      <c r="T685" t="s">
        <v>44475</v>
      </c>
      <c r="U685" t="s">
        <v>45457</v>
      </c>
      <c r="W685" t="s">
        <v>39032</v>
      </c>
      <c r="X685" t="s">
        <v>42672</v>
      </c>
    </row>
    <row r="686" spans="1:24">
      <c r="A686">
        <f>HYPERLINK("https://www.philgeps.gov.ph/GEPSNONPILOT/Tender/SplashBidNoticeAbstractUI.aspx?menuIndex=3&amp;refID=7190606&amp;Result=3","7190606")</f>
        <v>0</v>
      </c>
      <c r="B686" t="s">
        <v>72</v>
      </c>
      <c r="C686" t="s">
        <v>4178</v>
      </c>
      <c r="D686" t="s">
        <v>17158</v>
      </c>
      <c r="E686" t="s">
        <v>17893</v>
      </c>
      <c r="F686" t="s">
        <v>29372</v>
      </c>
      <c r="G686" t="s">
        <v>29382</v>
      </c>
      <c r="H686" t="s">
        <v>11048</v>
      </c>
      <c r="I686" t="s">
        <v>5383</v>
      </c>
      <c r="J686" t="s">
        <v>30080</v>
      </c>
      <c r="K686" t="s">
        <v>38489</v>
      </c>
      <c r="M686" t="s">
        <v>38826</v>
      </c>
      <c r="N686" t="s">
        <v>42669</v>
      </c>
      <c r="O686" t="s">
        <v>42670</v>
      </c>
      <c r="P686">
        <v>0</v>
      </c>
      <c r="Q686">
        <v>0</v>
      </c>
      <c r="R686" t="s">
        <v>42671</v>
      </c>
      <c r="S686" t="s">
        <v>42779</v>
      </c>
      <c r="T686" t="s">
        <v>44394</v>
      </c>
      <c r="U686" t="s">
        <v>45464</v>
      </c>
      <c r="W686" t="s">
        <v>38826</v>
      </c>
      <c r="X686" t="s">
        <v>42676</v>
      </c>
    </row>
    <row r="687" spans="1:24">
      <c r="A687">
        <f>HYPERLINK("https://www.philgeps.gov.ph/GEPSNONPILOT/Tender/SplashBidNoticeAbstractUI.aspx?menuIndex=3&amp;refID=7194210&amp;Result=3","7194210")</f>
        <v>0</v>
      </c>
      <c r="B687" t="s">
        <v>278</v>
      </c>
      <c r="C687" t="s">
        <v>4179</v>
      </c>
      <c r="D687" t="s">
        <v>17208</v>
      </c>
      <c r="E687" t="s">
        <v>17894</v>
      </c>
      <c r="F687" t="s">
        <v>29372</v>
      </c>
      <c r="G687" t="s">
        <v>29379</v>
      </c>
      <c r="H687" t="s">
        <v>29390</v>
      </c>
      <c r="I687" t="s">
        <v>29450</v>
      </c>
      <c r="J687" t="s">
        <v>30081</v>
      </c>
      <c r="K687" t="s">
        <v>38485</v>
      </c>
      <c r="M687" t="s">
        <v>39037</v>
      </c>
      <c r="N687" t="s">
        <v>42669</v>
      </c>
      <c r="O687" t="s">
        <v>42670</v>
      </c>
      <c r="P687">
        <v>0</v>
      </c>
      <c r="Q687">
        <v>2</v>
      </c>
      <c r="R687" t="s">
        <v>42671</v>
      </c>
      <c r="S687" t="s">
        <v>42779</v>
      </c>
      <c r="T687" t="s">
        <v>44477</v>
      </c>
      <c r="U687" t="s">
        <v>45465</v>
      </c>
      <c r="W687" t="s">
        <v>58006</v>
      </c>
      <c r="X687" t="s">
        <v>42672</v>
      </c>
    </row>
    <row r="688" spans="1:24">
      <c r="A688">
        <f>HYPERLINK("https://www.philgeps.gov.ph/GEPSNONPILOT/Tender/SplashBidNoticeAbstractUI.aspx?menuIndex=3&amp;refID=7194208&amp;Result=3","7194208")</f>
        <v>0</v>
      </c>
      <c r="B688" t="s">
        <v>278</v>
      </c>
      <c r="C688" t="s">
        <v>4180</v>
      </c>
      <c r="D688" t="s">
        <v>17208</v>
      </c>
      <c r="E688" t="s">
        <v>17895</v>
      </c>
      <c r="F688" t="s">
        <v>29372</v>
      </c>
      <c r="G688" t="s">
        <v>29379</v>
      </c>
      <c r="H688" t="s">
        <v>29390</v>
      </c>
      <c r="I688" t="s">
        <v>29396</v>
      </c>
      <c r="J688" t="s">
        <v>30082</v>
      </c>
      <c r="K688" t="s">
        <v>38485</v>
      </c>
      <c r="M688" t="s">
        <v>39037</v>
      </c>
      <c r="N688" t="s">
        <v>42669</v>
      </c>
      <c r="O688" t="s">
        <v>42670</v>
      </c>
      <c r="P688">
        <v>0</v>
      </c>
      <c r="Q688">
        <v>0</v>
      </c>
      <c r="R688" t="s">
        <v>42671</v>
      </c>
      <c r="S688" t="s">
        <v>42779</v>
      </c>
      <c r="T688" t="s">
        <v>44477</v>
      </c>
      <c r="U688" t="s">
        <v>45465</v>
      </c>
      <c r="W688" t="s">
        <v>58006</v>
      </c>
      <c r="X688" t="s">
        <v>42672</v>
      </c>
    </row>
    <row r="689" spans="1:24">
      <c r="A689">
        <f>HYPERLINK("https://www.philgeps.gov.ph/GEPSNONPILOT/Tender/SplashBidNoticeAbstractUI.aspx?menuIndex=3&amp;refID=7194206&amp;Result=3","7194206")</f>
        <v>0</v>
      </c>
      <c r="B689" t="s">
        <v>278</v>
      </c>
      <c r="C689" t="s">
        <v>4181</v>
      </c>
      <c r="D689" t="s">
        <v>17208</v>
      </c>
      <c r="E689" t="s">
        <v>17896</v>
      </c>
      <c r="F689" t="s">
        <v>29372</v>
      </c>
      <c r="G689" t="s">
        <v>29383</v>
      </c>
      <c r="H689" t="s">
        <v>11048</v>
      </c>
      <c r="I689" t="s">
        <v>3670</v>
      </c>
      <c r="J689" t="s">
        <v>30083</v>
      </c>
      <c r="K689" t="s">
        <v>38487</v>
      </c>
      <c r="M689" t="s">
        <v>39037</v>
      </c>
      <c r="N689" t="s">
        <v>42669</v>
      </c>
      <c r="O689" t="s">
        <v>42670</v>
      </c>
      <c r="P689">
        <v>0</v>
      </c>
      <c r="Q689">
        <v>0</v>
      </c>
      <c r="R689" t="s">
        <v>42671</v>
      </c>
      <c r="S689" t="s">
        <v>42779</v>
      </c>
      <c r="T689" t="s">
        <v>44477</v>
      </c>
      <c r="U689" t="s">
        <v>45465</v>
      </c>
      <c r="W689" t="s">
        <v>58006</v>
      </c>
      <c r="X689" t="s">
        <v>42672</v>
      </c>
    </row>
    <row r="690" spans="1:24">
      <c r="A690">
        <f>HYPERLINK("https://www.philgeps.gov.ph/GEPSNONPILOT/Tender/SplashBidNoticeAbstractUI.aspx?menuIndex=3&amp;refID=7194167&amp;Result=3","7194167")</f>
        <v>0</v>
      </c>
      <c r="B690" t="s">
        <v>279</v>
      </c>
      <c r="C690" t="s">
        <v>4182</v>
      </c>
      <c r="D690" t="s">
        <v>17169</v>
      </c>
      <c r="E690" t="s">
        <v>17897</v>
      </c>
      <c r="F690" t="s">
        <v>29372</v>
      </c>
      <c r="G690" t="s">
        <v>29380</v>
      </c>
      <c r="H690" t="s">
        <v>29389</v>
      </c>
      <c r="I690" t="s">
        <v>10408</v>
      </c>
      <c r="J690" t="s">
        <v>29811</v>
      </c>
      <c r="K690" t="s">
        <v>38496</v>
      </c>
      <c r="M690" t="s">
        <v>39038</v>
      </c>
      <c r="N690" t="s">
        <v>42669</v>
      </c>
      <c r="O690" t="s">
        <v>42670</v>
      </c>
      <c r="P690">
        <v>0</v>
      </c>
      <c r="Q690">
        <v>0</v>
      </c>
      <c r="R690" t="s">
        <v>42671</v>
      </c>
      <c r="S690" t="s">
        <v>42779</v>
      </c>
      <c r="T690" t="s">
        <v>44373</v>
      </c>
      <c r="U690" t="s">
        <v>45466</v>
      </c>
      <c r="W690" t="s">
        <v>39038</v>
      </c>
      <c r="X690" t="s">
        <v>42672</v>
      </c>
    </row>
    <row r="691" spans="1:24">
      <c r="A691">
        <f>HYPERLINK("https://www.philgeps.gov.ph/GEPSNONPILOT/Tender/SplashBidNoticeAbstractUI.aspx?menuIndex=3&amp;refID=7194211&amp;Result=3","7194211")</f>
        <v>0</v>
      </c>
      <c r="B691" t="s">
        <v>278</v>
      </c>
      <c r="C691" t="s">
        <v>4183</v>
      </c>
      <c r="D691" t="s">
        <v>17208</v>
      </c>
      <c r="E691" t="s">
        <v>17898</v>
      </c>
      <c r="F691" t="s">
        <v>29372</v>
      </c>
      <c r="G691" t="s">
        <v>29383</v>
      </c>
      <c r="H691" t="s">
        <v>11048</v>
      </c>
      <c r="I691" t="s">
        <v>29436</v>
      </c>
      <c r="J691" t="s">
        <v>30084</v>
      </c>
      <c r="K691" t="s">
        <v>38496</v>
      </c>
      <c r="M691" t="s">
        <v>39037</v>
      </c>
      <c r="N691" t="s">
        <v>42669</v>
      </c>
      <c r="O691" t="s">
        <v>42670</v>
      </c>
      <c r="P691">
        <v>0</v>
      </c>
      <c r="Q691">
        <v>6</v>
      </c>
      <c r="R691" t="s">
        <v>42671</v>
      </c>
      <c r="S691" t="s">
        <v>42779</v>
      </c>
      <c r="T691" t="s">
        <v>44477</v>
      </c>
      <c r="U691" t="s">
        <v>45465</v>
      </c>
      <c r="W691" t="s">
        <v>58006</v>
      </c>
      <c r="X691" t="s">
        <v>42672</v>
      </c>
    </row>
    <row r="692" spans="1:24">
      <c r="A692">
        <f>HYPERLINK("https://www.philgeps.gov.ph/GEPSNONPILOT/Tender/SplashBidNoticeAbstractUI.aspx?menuIndex=3&amp;refID=7194159&amp;Result=3","7194159")</f>
        <v>0</v>
      </c>
      <c r="B692" t="s">
        <v>260</v>
      </c>
      <c r="C692" t="s">
        <v>4184</v>
      </c>
      <c r="D692" t="s">
        <v>17169</v>
      </c>
      <c r="E692" t="s">
        <v>17899</v>
      </c>
      <c r="F692" t="s">
        <v>29372</v>
      </c>
      <c r="G692" t="s">
        <v>29380</v>
      </c>
      <c r="H692" t="s">
        <v>29389</v>
      </c>
      <c r="I692" t="s">
        <v>10408</v>
      </c>
      <c r="J692" t="s">
        <v>30085</v>
      </c>
      <c r="K692" t="s">
        <v>38495</v>
      </c>
      <c r="M692" t="s">
        <v>39019</v>
      </c>
      <c r="N692" t="s">
        <v>42669</v>
      </c>
      <c r="O692" t="s">
        <v>42670</v>
      </c>
      <c r="P692">
        <v>0</v>
      </c>
      <c r="Q692">
        <v>4</v>
      </c>
      <c r="R692" t="s">
        <v>42671</v>
      </c>
      <c r="S692" t="s">
        <v>42779</v>
      </c>
      <c r="T692" t="s">
        <v>44466</v>
      </c>
      <c r="U692" t="s">
        <v>45467</v>
      </c>
      <c r="W692" t="s">
        <v>39019</v>
      </c>
      <c r="X692" t="s">
        <v>42672</v>
      </c>
    </row>
    <row r="693" spans="1:24">
      <c r="A693">
        <f>HYPERLINK("https://www.philgeps.gov.ph/GEPSNONPILOT/Tender/SplashBidNoticeAbstractUI.aspx?menuIndex=3&amp;refID=7194202&amp;Result=3","7194202")</f>
        <v>0</v>
      </c>
      <c r="B693" t="s">
        <v>278</v>
      </c>
      <c r="C693" t="s">
        <v>4185</v>
      </c>
      <c r="D693" t="s">
        <v>17208</v>
      </c>
      <c r="E693" t="s">
        <v>17900</v>
      </c>
      <c r="F693" t="s">
        <v>29372</v>
      </c>
      <c r="G693" t="s">
        <v>29379</v>
      </c>
      <c r="H693" t="s">
        <v>29390</v>
      </c>
      <c r="I693" t="s">
        <v>29396</v>
      </c>
      <c r="J693" t="s">
        <v>30086</v>
      </c>
      <c r="K693" t="s">
        <v>38485</v>
      </c>
      <c r="M693" t="s">
        <v>39037</v>
      </c>
      <c r="N693" t="s">
        <v>42669</v>
      </c>
      <c r="O693" t="s">
        <v>42670</v>
      </c>
      <c r="P693">
        <v>0</v>
      </c>
      <c r="Q693">
        <v>0</v>
      </c>
      <c r="R693" t="s">
        <v>42671</v>
      </c>
      <c r="S693" t="s">
        <v>42779</v>
      </c>
      <c r="T693" t="s">
        <v>44477</v>
      </c>
      <c r="U693" t="s">
        <v>45465</v>
      </c>
      <c r="W693" t="s">
        <v>58006</v>
      </c>
      <c r="X693" t="s">
        <v>42672</v>
      </c>
    </row>
    <row r="694" spans="1:24">
      <c r="A694">
        <f>HYPERLINK("https://www.philgeps.gov.ph/GEPSNONPILOT/Tender/SplashBidNoticeAbstractUI.aspx?menuIndex=3&amp;refID=7194198&amp;Result=3","7194198")</f>
        <v>0</v>
      </c>
      <c r="B694" t="s">
        <v>278</v>
      </c>
      <c r="C694" t="s">
        <v>4186</v>
      </c>
      <c r="D694" t="s">
        <v>17208</v>
      </c>
      <c r="E694" t="s">
        <v>17901</v>
      </c>
      <c r="F694" t="s">
        <v>29372</v>
      </c>
      <c r="G694" t="s">
        <v>29383</v>
      </c>
      <c r="H694" t="s">
        <v>11048</v>
      </c>
      <c r="I694" t="s">
        <v>3952</v>
      </c>
      <c r="J694" t="s">
        <v>30087</v>
      </c>
      <c r="K694" t="s">
        <v>38485</v>
      </c>
      <c r="M694" t="s">
        <v>39037</v>
      </c>
      <c r="N694" t="s">
        <v>42669</v>
      </c>
      <c r="O694" t="s">
        <v>42670</v>
      </c>
      <c r="P694">
        <v>0</v>
      </c>
      <c r="Q694">
        <v>5</v>
      </c>
      <c r="R694" t="s">
        <v>42671</v>
      </c>
      <c r="S694" t="s">
        <v>42779</v>
      </c>
      <c r="T694" t="s">
        <v>44477</v>
      </c>
      <c r="U694" t="s">
        <v>45465</v>
      </c>
      <c r="W694" t="s">
        <v>58006</v>
      </c>
      <c r="X694" t="s">
        <v>42672</v>
      </c>
    </row>
    <row r="695" spans="1:24">
      <c r="A695">
        <f>HYPERLINK("https://www.philgeps.gov.ph/GEPSNONPILOT/Tender/SplashBidNoticeAbstractUI.aspx?menuIndex=3&amp;refID=7194209&amp;Result=3","7194209")</f>
        <v>0</v>
      </c>
      <c r="B695" t="s">
        <v>280</v>
      </c>
      <c r="C695" t="s">
        <v>4187</v>
      </c>
      <c r="D695" t="s">
        <v>17144</v>
      </c>
      <c r="E695" t="s">
        <v>17902</v>
      </c>
      <c r="F695" t="s">
        <v>29372</v>
      </c>
      <c r="G695" t="s">
        <v>29379</v>
      </c>
      <c r="H695" t="s">
        <v>11048</v>
      </c>
      <c r="I695" t="s">
        <v>29451</v>
      </c>
      <c r="J695" t="s">
        <v>30088</v>
      </c>
      <c r="K695" t="s">
        <v>38485</v>
      </c>
      <c r="M695" t="s">
        <v>39039</v>
      </c>
      <c r="N695" t="s">
        <v>42669</v>
      </c>
      <c r="O695" t="s">
        <v>42670</v>
      </c>
      <c r="P695">
        <v>0</v>
      </c>
      <c r="Q695">
        <v>3</v>
      </c>
      <c r="R695" t="s">
        <v>42671</v>
      </c>
      <c r="S695" t="s">
        <v>42779</v>
      </c>
      <c r="T695" t="s">
        <v>44389</v>
      </c>
      <c r="U695" t="s">
        <v>45468</v>
      </c>
      <c r="W695" t="s">
        <v>39039</v>
      </c>
      <c r="X695" t="s">
        <v>42672</v>
      </c>
    </row>
    <row r="696" spans="1:24">
      <c r="A696">
        <f>HYPERLINK("https://www.philgeps.gov.ph/GEPSNONPILOT/Tender/SplashBidNoticeAbstractUI.aspx?menuIndex=3&amp;refID=7194205&amp;Result=3","7194205")</f>
        <v>0</v>
      </c>
      <c r="B696" t="s">
        <v>281</v>
      </c>
      <c r="C696" t="s">
        <v>4188</v>
      </c>
      <c r="D696" t="s">
        <v>17206</v>
      </c>
      <c r="E696" t="s">
        <v>17794</v>
      </c>
      <c r="F696" t="s">
        <v>29372</v>
      </c>
      <c r="G696" t="s">
        <v>29380</v>
      </c>
      <c r="H696" t="s">
        <v>11048</v>
      </c>
      <c r="I696" t="s">
        <v>29403</v>
      </c>
      <c r="J696" t="s">
        <v>29708</v>
      </c>
      <c r="K696" t="s">
        <v>38485</v>
      </c>
      <c r="M696" t="s">
        <v>39040</v>
      </c>
      <c r="N696" t="s">
        <v>42669</v>
      </c>
      <c r="O696" t="s">
        <v>42670</v>
      </c>
      <c r="P696">
        <v>0</v>
      </c>
      <c r="Q696">
        <v>0</v>
      </c>
      <c r="R696" t="s">
        <v>42671</v>
      </c>
      <c r="S696" t="s">
        <v>42779</v>
      </c>
      <c r="T696" t="s">
        <v>44357</v>
      </c>
      <c r="U696" t="s">
        <v>45469</v>
      </c>
      <c r="W696" t="s">
        <v>39040</v>
      </c>
      <c r="X696" t="s">
        <v>42672</v>
      </c>
    </row>
    <row r="697" spans="1:24">
      <c r="A697">
        <f>HYPERLINK("https://www.philgeps.gov.ph/GEPSNONPILOT/Tender/SplashBidNoticeAbstractUI.aspx?menuIndex=3&amp;refID=7194195&amp;Result=3","7194195")</f>
        <v>0</v>
      </c>
      <c r="B697" t="s">
        <v>278</v>
      </c>
      <c r="C697" t="s">
        <v>4189</v>
      </c>
      <c r="D697" t="s">
        <v>17208</v>
      </c>
      <c r="E697" t="s">
        <v>17903</v>
      </c>
      <c r="F697" t="s">
        <v>29372</v>
      </c>
      <c r="G697" t="s">
        <v>29383</v>
      </c>
      <c r="H697" t="s">
        <v>11048</v>
      </c>
      <c r="I697" t="s">
        <v>3670</v>
      </c>
      <c r="J697" t="s">
        <v>30089</v>
      </c>
      <c r="K697" t="s">
        <v>38485</v>
      </c>
      <c r="M697" t="s">
        <v>39037</v>
      </c>
      <c r="N697" t="s">
        <v>42669</v>
      </c>
      <c r="O697" t="s">
        <v>42670</v>
      </c>
      <c r="P697">
        <v>0</v>
      </c>
      <c r="Q697">
        <v>2</v>
      </c>
      <c r="R697" t="s">
        <v>42671</v>
      </c>
      <c r="S697" t="s">
        <v>42779</v>
      </c>
      <c r="T697" t="s">
        <v>44477</v>
      </c>
      <c r="U697" t="s">
        <v>45465</v>
      </c>
      <c r="W697" t="s">
        <v>58006</v>
      </c>
      <c r="X697" t="s">
        <v>42672</v>
      </c>
    </row>
    <row r="698" spans="1:24">
      <c r="A698">
        <f>HYPERLINK("https://www.philgeps.gov.ph/GEPSNONPILOT/Tender/SplashBidNoticeAbstractUI.aspx?menuIndex=3&amp;refID=7194192&amp;Result=3","7194192")</f>
        <v>0</v>
      </c>
      <c r="B698" t="s">
        <v>278</v>
      </c>
      <c r="C698" t="s">
        <v>4190</v>
      </c>
      <c r="D698" t="s">
        <v>17208</v>
      </c>
      <c r="E698" t="s">
        <v>17904</v>
      </c>
      <c r="F698" t="s">
        <v>29372</v>
      </c>
      <c r="G698" t="s">
        <v>29383</v>
      </c>
      <c r="H698" t="s">
        <v>11048</v>
      </c>
      <c r="I698" t="s">
        <v>29405</v>
      </c>
      <c r="J698" t="s">
        <v>29549</v>
      </c>
      <c r="K698" t="s">
        <v>38487</v>
      </c>
      <c r="M698" t="s">
        <v>39037</v>
      </c>
      <c r="N698" t="s">
        <v>42669</v>
      </c>
      <c r="O698" t="s">
        <v>42670</v>
      </c>
      <c r="P698">
        <v>0</v>
      </c>
      <c r="Q698">
        <v>8</v>
      </c>
      <c r="R698" t="s">
        <v>42671</v>
      </c>
      <c r="S698" t="s">
        <v>42779</v>
      </c>
      <c r="T698" t="s">
        <v>44477</v>
      </c>
      <c r="U698" t="s">
        <v>45465</v>
      </c>
      <c r="W698" t="s">
        <v>58006</v>
      </c>
      <c r="X698" t="s">
        <v>42672</v>
      </c>
    </row>
    <row r="699" spans="1:24">
      <c r="A699">
        <f>HYPERLINK("https://www.philgeps.gov.ph/GEPSNONPILOT/Tender/SplashBidNoticeAbstractUI.aspx?menuIndex=3&amp;refID=7194199&amp;Result=3","7194199")</f>
        <v>0</v>
      </c>
      <c r="B699" t="s">
        <v>278</v>
      </c>
      <c r="C699" t="s">
        <v>4191</v>
      </c>
      <c r="D699" t="s">
        <v>17208</v>
      </c>
      <c r="E699" t="s">
        <v>17905</v>
      </c>
      <c r="F699" t="s">
        <v>29372</v>
      </c>
      <c r="G699" t="s">
        <v>29383</v>
      </c>
      <c r="H699" t="s">
        <v>11048</v>
      </c>
      <c r="I699" t="s">
        <v>3670</v>
      </c>
      <c r="J699" t="s">
        <v>29601</v>
      </c>
      <c r="K699" t="s">
        <v>38485</v>
      </c>
      <c r="M699" t="s">
        <v>39037</v>
      </c>
      <c r="N699" t="s">
        <v>42669</v>
      </c>
      <c r="O699" t="s">
        <v>42670</v>
      </c>
      <c r="P699">
        <v>0</v>
      </c>
      <c r="Q699">
        <v>1</v>
      </c>
      <c r="R699" t="s">
        <v>42671</v>
      </c>
      <c r="S699" t="s">
        <v>42779</v>
      </c>
      <c r="T699" t="s">
        <v>44477</v>
      </c>
      <c r="U699" t="s">
        <v>45465</v>
      </c>
      <c r="W699" t="s">
        <v>58006</v>
      </c>
      <c r="X699" t="s">
        <v>42672</v>
      </c>
    </row>
    <row r="700" spans="1:24">
      <c r="A700">
        <f>HYPERLINK("https://www.philgeps.gov.ph/GEPSNONPILOT/Tender/SplashBidNoticeAbstractUI.aspx?menuIndex=3&amp;refID=7194203&amp;Result=3","7194203")</f>
        <v>0</v>
      </c>
      <c r="B700" t="s">
        <v>282</v>
      </c>
      <c r="C700" t="s">
        <v>4192</v>
      </c>
      <c r="D700" t="s">
        <v>17209</v>
      </c>
      <c r="E700" t="s">
        <v>4192</v>
      </c>
      <c r="F700" t="s">
        <v>29372</v>
      </c>
      <c r="G700" t="s">
        <v>29379</v>
      </c>
      <c r="H700" t="s">
        <v>11048</v>
      </c>
      <c r="I700" t="s">
        <v>3670</v>
      </c>
      <c r="J700" t="s">
        <v>29555</v>
      </c>
      <c r="K700" t="s">
        <v>38488</v>
      </c>
      <c r="L700" t="s">
        <v>282</v>
      </c>
      <c r="M700" t="s">
        <v>39041</v>
      </c>
      <c r="N700" t="s">
        <v>42669</v>
      </c>
      <c r="O700" t="s">
        <v>42670</v>
      </c>
      <c r="P700">
        <v>0</v>
      </c>
      <c r="Q700">
        <v>0</v>
      </c>
      <c r="R700" t="s">
        <v>42671</v>
      </c>
      <c r="S700" t="s">
        <v>42779</v>
      </c>
      <c r="T700" t="s">
        <v>44394</v>
      </c>
      <c r="U700" t="s">
        <v>45470</v>
      </c>
      <c r="W700" t="s">
        <v>39041</v>
      </c>
      <c r="X700" t="s">
        <v>42672</v>
      </c>
    </row>
    <row r="701" spans="1:24">
      <c r="A701">
        <f>HYPERLINK("https://www.philgeps.gov.ph/GEPSNONPILOT/Tender/SplashBidNoticeAbstractUI.aspx?menuIndex=3&amp;refID=7190600&amp;Result=3","7190600")</f>
        <v>0</v>
      </c>
      <c r="B701" t="s">
        <v>74</v>
      </c>
      <c r="C701" t="s">
        <v>4193</v>
      </c>
      <c r="D701" t="s">
        <v>17169</v>
      </c>
      <c r="E701" t="s">
        <v>17906</v>
      </c>
      <c r="F701" t="s">
        <v>29372</v>
      </c>
      <c r="G701" t="s">
        <v>29380</v>
      </c>
      <c r="H701" t="s">
        <v>29389</v>
      </c>
      <c r="I701" t="s">
        <v>10408</v>
      </c>
      <c r="J701" t="s">
        <v>30090</v>
      </c>
      <c r="K701" t="s">
        <v>38561</v>
      </c>
      <c r="L701" t="s">
        <v>74</v>
      </c>
      <c r="M701" t="s">
        <v>38828</v>
      </c>
      <c r="N701" t="s">
        <v>42669</v>
      </c>
      <c r="O701" t="s">
        <v>42670</v>
      </c>
      <c r="P701">
        <v>0</v>
      </c>
      <c r="Q701">
        <v>6</v>
      </c>
      <c r="R701" t="s">
        <v>42671</v>
      </c>
      <c r="S701" t="s">
        <v>42779</v>
      </c>
      <c r="T701" t="s">
        <v>44395</v>
      </c>
      <c r="U701" t="s">
        <v>44979</v>
      </c>
      <c r="W701" t="s">
        <v>38828</v>
      </c>
      <c r="X701" t="s">
        <v>42676</v>
      </c>
    </row>
    <row r="702" spans="1:24">
      <c r="A702">
        <f>HYPERLINK("https://www.philgeps.gov.ph/GEPSNONPILOT/Tender/SplashBidNoticeAbstractUI.aspx?menuIndex=3&amp;refID=7190774&amp;Result=3","7190774")</f>
        <v>0</v>
      </c>
      <c r="B702" t="s">
        <v>63</v>
      </c>
      <c r="C702" t="s">
        <v>4194</v>
      </c>
      <c r="D702" t="s">
        <v>17161</v>
      </c>
      <c r="E702" t="s">
        <v>17907</v>
      </c>
      <c r="F702" t="s">
        <v>29372</v>
      </c>
      <c r="G702" t="s">
        <v>29381</v>
      </c>
      <c r="H702" t="s">
        <v>11048</v>
      </c>
      <c r="I702" t="s">
        <v>4709</v>
      </c>
      <c r="J702" t="s">
        <v>30091</v>
      </c>
      <c r="K702" t="s">
        <v>38490</v>
      </c>
      <c r="M702" t="s">
        <v>38817</v>
      </c>
      <c r="N702" t="s">
        <v>42669</v>
      </c>
      <c r="O702" t="s">
        <v>42670</v>
      </c>
      <c r="P702">
        <v>0</v>
      </c>
      <c r="Q702">
        <v>0</v>
      </c>
      <c r="R702" t="s">
        <v>42671</v>
      </c>
      <c r="S702" t="s">
        <v>42779</v>
      </c>
      <c r="T702" t="s">
        <v>44354</v>
      </c>
      <c r="U702" t="s">
        <v>44965</v>
      </c>
      <c r="W702" t="s">
        <v>38817</v>
      </c>
      <c r="X702" t="s">
        <v>42676</v>
      </c>
    </row>
    <row r="703" spans="1:24">
      <c r="A703">
        <f>HYPERLINK("https://www.philgeps.gov.ph/GEPSNONPILOT/Tender/SplashBidNoticeAbstractUI.aspx?menuIndex=3&amp;refID=7194188&amp;Result=3","7194188")</f>
        <v>0</v>
      </c>
      <c r="B703" t="s">
        <v>271</v>
      </c>
      <c r="C703" t="s">
        <v>4195</v>
      </c>
      <c r="D703" t="s">
        <v>17192</v>
      </c>
      <c r="E703" t="s">
        <v>17908</v>
      </c>
      <c r="F703" t="s">
        <v>29372</v>
      </c>
      <c r="G703" t="s">
        <v>29380</v>
      </c>
      <c r="H703" t="s">
        <v>11048</v>
      </c>
      <c r="I703" t="s">
        <v>29409</v>
      </c>
      <c r="J703" t="s">
        <v>30092</v>
      </c>
      <c r="K703" t="s">
        <v>38490</v>
      </c>
      <c r="L703" t="s">
        <v>271</v>
      </c>
      <c r="M703" t="s">
        <v>39030</v>
      </c>
      <c r="N703" t="s">
        <v>42669</v>
      </c>
      <c r="O703" t="s">
        <v>42670</v>
      </c>
      <c r="P703">
        <v>0</v>
      </c>
      <c r="Q703">
        <v>6</v>
      </c>
      <c r="R703" t="s">
        <v>42671</v>
      </c>
      <c r="S703" t="s">
        <v>42779</v>
      </c>
      <c r="T703" t="s">
        <v>44438</v>
      </c>
      <c r="U703" t="s">
        <v>45471</v>
      </c>
      <c r="W703" t="s">
        <v>39030</v>
      </c>
      <c r="X703" t="s">
        <v>42672</v>
      </c>
    </row>
    <row r="704" spans="1:24">
      <c r="A704">
        <f>HYPERLINK("https://www.philgeps.gov.ph/GEPSNONPILOT/Tender/SplashBidNoticeAbstractUI.aspx?menuIndex=3&amp;refID=7194200&amp;Result=3","7194200")</f>
        <v>0</v>
      </c>
      <c r="B704" t="s">
        <v>272</v>
      </c>
      <c r="C704" t="s">
        <v>4196</v>
      </c>
      <c r="D704" t="s">
        <v>17206</v>
      </c>
      <c r="E704" t="s">
        <v>17909</v>
      </c>
      <c r="F704" t="s">
        <v>29372</v>
      </c>
      <c r="G704" t="s">
        <v>29379</v>
      </c>
      <c r="H704" t="s">
        <v>11048</v>
      </c>
      <c r="I704" t="s">
        <v>29407</v>
      </c>
      <c r="J704" t="s">
        <v>30093</v>
      </c>
      <c r="K704" t="s">
        <v>38510</v>
      </c>
      <c r="M704" t="s">
        <v>39031</v>
      </c>
      <c r="N704" t="s">
        <v>42669</v>
      </c>
      <c r="O704" t="s">
        <v>42670</v>
      </c>
      <c r="P704">
        <v>0</v>
      </c>
      <c r="Q704">
        <v>1</v>
      </c>
      <c r="R704" t="s">
        <v>42671</v>
      </c>
      <c r="S704" t="s">
        <v>42779</v>
      </c>
      <c r="T704" t="s">
        <v>44386</v>
      </c>
      <c r="U704" t="s">
        <v>45472</v>
      </c>
      <c r="W704" t="s">
        <v>39031</v>
      </c>
      <c r="X704" t="s">
        <v>42672</v>
      </c>
    </row>
    <row r="705" spans="1:24">
      <c r="A705">
        <f>HYPERLINK("https://www.philgeps.gov.ph/GEPSNONPILOT/Tender/SplashBidNoticeAbstractUI.aspx?menuIndex=3&amp;refID=7194187&amp;Result=3","7194187")</f>
        <v>0</v>
      </c>
      <c r="B705" t="s">
        <v>283</v>
      </c>
      <c r="C705" t="s">
        <v>4152</v>
      </c>
      <c r="E705" t="s">
        <v>17347</v>
      </c>
      <c r="F705" t="s">
        <v>29372</v>
      </c>
      <c r="G705" t="s">
        <v>29380</v>
      </c>
      <c r="H705" t="s">
        <v>29389</v>
      </c>
      <c r="I705" t="s">
        <v>29417</v>
      </c>
      <c r="J705" t="s">
        <v>29526</v>
      </c>
      <c r="K705" t="s">
        <v>38490</v>
      </c>
      <c r="M705" t="s">
        <v>39042</v>
      </c>
      <c r="N705" t="s">
        <v>42669</v>
      </c>
      <c r="O705" t="s">
        <v>42670</v>
      </c>
      <c r="P705">
        <v>0</v>
      </c>
      <c r="Q705">
        <v>0</v>
      </c>
      <c r="R705" t="s">
        <v>42671</v>
      </c>
      <c r="S705" t="s">
        <v>42779</v>
      </c>
      <c r="T705" t="s">
        <v>44474</v>
      </c>
      <c r="U705" t="s">
        <v>45473</v>
      </c>
      <c r="W705" t="s">
        <v>39042</v>
      </c>
      <c r="X705" t="s">
        <v>42672</v>
      </c>
    </row>
    <row r="706" spans="1:24">
      <c r="A706">
        <f>HYPERLINK("https://www.philgeps.gov.ph/GEPSNONPILOT/Tender/SplashBidNoticeAbstractUI.aspx?menuIndex=3&amp;refID=7190268&amp;Result=3","7190268")</f>
        <v>0</v>
      </c>
      <c r="B706" t="s">
        <v>284</v>
      </c>
      <c r="C706" t="s">
        <v>4197</v>
      </c>
      <c r="D706" t="s">
        <v>17192</v>
      </c>
      <c r="E706" t="s">
        <v>17910</v>
      </c>
      <c r="F706" t="s">
        <v>29372</v>
      </c>
      <c r="G706" t="s">
        <v>29379</v>
      </c>
      <c r="H706" t="s">
        <v>11048</v>
      </c>
      <c r="I706" t="s">
        <v>3695</v>
      </c>
      <c r="J706" t="s">
        <v>30094</v>
      </c>
      <c r="K706" t="s">
        <v>38490</v>
      </c>
      <c r="M706" t="s">
        <v>39043</v>
      </c>
      <c r="N706" t="s">
        <v>42669</v>
      </c>
      <c r="O706" t="s">
        <v>42670</v>
      </c>
      <c r="P706">
        <v>0</v>
      </c>
      <c r="Q706">
        <v>2</v>
      </c>
      <c r="R706" t="s">
        <v>42671</v>
      </c>
      <c r="S706" t="s">
        <v>42779</v>
      </c>
      <c r="T706" t="s">
        <v>44382</v>
      </c>
      <c r="U706" t="s">
        <v>45474</v>
      </c>
      <c r="V706" t="s">
        <v>56413</v>
      </c>
      <c r="W706" t="s">
        <v>39043</v>
      </c>
      <c r="X706" t="s">
        <v>42676</v>
      </c>
    </row>
    <row r="707" spans="1:24">
      <c r="A707">
        <f>HYPERLINK("https://www.philgeps.gov.ph/GEPSNONPILOT/Tender/SplashBidNoticeAbstractUI.aspx?menuIndex=3&amp;refID=7190233&amp;Result=3","7190233")</f>
        <v>0</v>
      </c>
      <c r="B707" t="s">
        <v>79</v>
      </c>
      <c r="C707" t="s">
        <v>4198</v>
      </c>
      <c r="D707" t="s">
        <v>17172</v>
      </c>
      <c r="E707" t="s">
        <v>17911</v>
      </c>
      <c r="F707" t="s">
        <v>29372</v>
      </c>
      <c r="G707" t="s">
        <v>29379</v>
      </c>
      <c r="H707" t="s">
        <v>11048</v>
      </c>
      <c r="I707" t="s">
        <v>3952</v>
      </c>
      <c r="J707" t="s">
        <v>30095</v>
      </c>
      <c r="K707" t="s">
        <v>38491</v>
      </c>
      <c r="M707" t="s">
        <v>38833</v>
      </c>
      <c r="N707" t="s">
        <v>42669</v>
      </c>
      <c r="O707" t="s">
        <v>42670</v>
      </c>
      <c r="P707">
        <v>0</v>
      </c>
      <c r="Q707">
        <v>2</v>
      </c>
      <c r="R707" t="s">
        <v>42671</v>
      </c>
      <c r="S707" t="s">
        <v>42779</v>
      </c>
      <c r="T707" t="s">
        <v>44371</v>
      </c>
      <c r="U707" t="s">
        <v>45475</v>
      </c>
      <c r="W707" t="s">
        <v>38833</v>
      </c>
      <c r="X707" t="s">
        <v>42676</v>
      </c>
    </row>
    <row r="708" spans="1:24">
      <c r="A708">
        <f>HYPERLINK("https://www.philgeps.gov.ph/GEPSNONPILOT/Tender/SplashBidNoticeAbstractUI.aspx?menuIndex=3&amp;refID=7190223&amp;Result=3","7190223")</f>
        <v>0</v>
      </c>
      <c r="B708" t="s">
        <v>58</v>
      </c>
      <c r="C708" t="s">
        <v>4199</v>
      </c>
      <c r="D708" t="s">
        <v>17144</v>
      </c>
      <c r="E708" t="s">
        <v>17912</v>
      </c>
      <c r="F708" t="s">
        <v>29372</v>
      </c>
      <c r="G708" t="s">
        <v>29379</v>
      </c>
      <c r="H708" t="s">
        <v>11048</v>
      </c>
      <c r="I708" t="s">
        <v>3629</v>
      </c>
      <c r="J708" t="s">
        <v>30096</v>
      </c>
      <c r="K708" t="s">
        <v>38490</v>
      </c>
      <c r="L708" t="s">
        <v>58</v>
      </c>
      <c r="M708" t="s">
        <v>38811</v>
      </c>
      <c r="N708" t="s">
        <v>42669</v>
      </c>
      <c r="O708" t="s">
        <v>42670</v>
      </c>
      <c r="P708">
        <v>0</v>
      </c>
      <c r="Q708">
        <v>0</v>
      </c>
      <c r="R708" t="s">
        <v>42671</v>
      </c>
      <c r="S708" t="s">
        <v>42779</v>
      </c>
      <c r="T708" t="s">
        <v>44371</v>
      </c>
      <c r="U708" t="s">
        <v>45476</v>
      </c>
      <c r="W708" t="s">
        <v>38811</v>
      </c>
      <c r="X708" t="s">
        <v>42676</v>
      </c>
    </row>
    <row r="709" spans="1:24">
      <c r="A709">
        <f>HYPERLINK("https://www.philgeps.gov.ph/GEPSNONPILOT/Tender/SplashBidNoticeAbstractUI.aspx?menuIndex=3&amp;refID=7194217&amp;Result=3","7194217")</f>
        <v>0</v>
      </c>
      <c r="B709" t="s">
        <v>278</v>
      </c>
      <c r="C709" t="s">
        <v>4200</v>
      </c>
      <c r="E709" t="s">
        <v>17913</v>
      </c>
      <c r="F709" t="s">
        <v>29372</v>
      </c>
      <c r="G709" t="s">
        <v>29383</v>
      </c>
      <c r="H709" t="s">
        <v>11048</v>
      </c>
      <c r="I709" t="s">
        <v>3670</v>
      </c>
      <c r="J709" t="s">
        <v>30097</v>
      </c>
      <c r="K709" t="s">
        <v>38485</v>
      </c>
      <c r="M709" t="s">
        <v>39037</v>
      </c>
      <c r="N709" t="s">
        <v>42669</v>
      </c>
      <c r="O709" t="s">
        <v>42670</v>
      </c>
      <c r="P709">
        <v>0</v>
      </c>
      <c r="Q709">
        <v>0</v>
      </c>
      <c r="R709" t="s">
        <v>42671</v>
      </c>
      <c r="S709" t="s">
        <v>42779</v>
      </c>
      <c r="T709" t="s">
        <v>44477</v>
      </c>
      <c r="U709" t="s">
        <v>45465</v>
      </c>
      <c r="W709" t="s">
        <v>58006</v>
      </c>
      <c r="X709" t="s">
        <v>42672</v>
      </c>
    </row>
    <row r="710" spans="1:24">
      <c r="A710">
        <f>HYPERLINK("https://www.philgeps.gov.ph/GEPSNONPILOT/Tender/SplashBidNoticeAbstractUI.aspx?menuIndex=3&amp;refID=7194229&amp;Result=3","7194229")</f>
        <v>0</v>
      </c>
      <c r="B710" t="s">
        <v>285</v>
      </c>
      <c r="C710" t="s">
        <v>4201</v>
      </c>
      <c r="E710" t="s">
        <v>17914</v>
      </c>
      <c r="F710" t="s">
        <v>29372</v>
      </c>
      <c r="G710" t="s">
        <v>29380</v>
      </c>
      <c r="H710" t="s">
        <v>11048</v>
      </c>
      <c r="I710" t="s">
        <v>3670</v>
      </c>
      <c r="J710" t="s">
        <v>29786</v>
      </c>
      <c r="K710" t="s">
        <v>38490</v>
      </c>
      <c r="M710" t="s">
        <v>39044</v>
      </c>
      <c r="N710" t="s">
        <v>42669</v>
      </c>
      <c r="O710" t="s">
        <v>42670</v>
      </c>
      <c r="P710">
        <v>0</v>
      </c>
      <c r="Q710">
        <v>1</v>
      </c>
      <c r="R710" t="s">
        <v>42671</v>
      </c>
      <c r="S710" t="s">
        <v>42779</v>
      </c>
      <c r="T710" t="s">
        <v>44389</v>
      </c>
      <c r="U710" t="s">
        <v>45477</v>
      </c>
      <c r="W710" t="s">
        <v>39044</v>
      </c>
      <c r="X710" t="s">
        <v>42672</v>
      </c>
    </row>
    <row r="711" spans="1:24">
      <c r="A711">
        <f>HYPERLINK("https://www.philgeps.gov.ph/GEPSNONPILOT/Tender/SplashBidNoticeAbstractUI.aspx?menuIndex=3&amp;refID=7194235&amp;Result=3","7194235")</f>
        <v>0</v>
      </c>
      <c r="B711" t="s">
        <v>260</v>
      </c>
      <c r="C711" t="s">
        <v>4202</v>
      </c>
      <c r="D711" t="s">
        <v>17169</v>
      </c>
      <c r="E711" t="s">
        <v>17915</v>
      </c>
      <c r="F711" t="s">
        <v>29372</v>
      </c>
      <c r="G711" t="s">
        <v>29380</v>
      </c>
      <c r="H711" t="s">
        <v>29389</v>
      </c>
      <c r="I711" t="s">
        <v>10408</v>
      </c>
      <c r="J711" t="s">
        <v>30098</v>
      </c>
      <c r="K711" t="s">
        <v>38495</v>
      </c>
      <c r="M711" t="s">
        <v>39019</v>
      </c>
      <c r="N711" t="s">
        <v>42669</v>
      </c>
      <c r="O711" t="s">
        <v>42670</v>
      </c>
      <c r="P711">
        <v>0</v>
      </c>
      <c r="Q711">
        <v>4</v>
      </c>
      <c r="R711" t="s">
        <v>42671</v>
      </c>
      <c r="S711" t="s">
        <v>42779</v>
      </c>
      <c r="T711" t="s">
        <v>44466</v>
      </c>
      <c r="U711" t="s">
        <v>45478</v>
      </c>
      <c r="W711" t="s">
        <v>39019</v>
      </c>
      <c r="X711" t="s">
        <v>42672</v>
      </c>
    </row>
    <row r="712" spans="1:24">
      <c r="A712">
        <f>HYPERLINK("https://www.philgeps.gov.ph/GEPSNONPILOT/Tender/SplashBidNoticeAbstractUI.aspx?menuIndex=3&amp;refID=7190237&amp;Result=3","7190237")</f>
        <v>0</v>
      </c>
      <c r="B712" t="s">
        <v>58</v>
      </c>
      <c r="C712" t="s">
        <v>4203</v>
      </c>
      <c r="D712" t="s">
        <v>17144</v>
      </c>
      <c r="E712" t="s">
        <v>17916</v>
      </c>
      <c r="F712" t="s">
        <v>29372</v>
      </c>
      <c r="G712" t="s">
        <v>29379</v>
      </c>
      <c r="H712" t="s">
        <v>11048</v>
      </c>
      <c r="I712" t="s">
        <v>3839</v>
      </c>
      <c r="J712" t="s">
        <v>29571</v>
      </c>
      <c r="K712" t="s">
        <v>38490</v>
      </c>
      <c r="L712" t="s">
        <v>58</v>
      </c>
      <c r="M712" t="s">
        <v>38811</v>
      </c>
      <c r="N712" t="s">
        <v>42669</v>
      </c>
      <c r="O712" t="s">
        <v>42670</v>
      </c>
      <c r="P712">
        <v>0</v>
      </c>
      <c r="Q712">
        <v>3</v>
      </c>
      <c r="R712" t="s">
        <v>42671</v>
      </c>
      <c r="S712" t="s">
        <v>42779</v>
      </c>
      <c r="T712" t="s">
        <v>44371</v>
      </c>
      <c r="U712" t="s">
        <v>45479</v>
      </c>
      <c r="W712" t="s">
        <v>38811</v>
      </c>
      <c r="X712" t="s">
        <v>42676</v>
      </c>
    </row>
    <row r="713" spans="1:24">
      <c r="A713">
        <f>HYPERLINK("https://www.philgeps.gov.ph/GEPSNONPILOT/Tender/SplashBidNoticeAbstractUI.aspx?menuIndex=3&amp;refID=7194234&amp;Result=3","7194234")</f>
        <v>0</v>
      </c>
      <c r="B713" t="s">
        <v>280</v>
      </c>
      <c r="C713" t="s">
        <v>4204</v>
      </c>
      <c r="D713" t="s">
        <v>17144</v>
      </c>
      <c r="E713" t="s">
        <v>17917</v>
      </c>
      <c r="F713" t="s">
        <v>29372</v>
      </c>
      <c r="G713" t="s">
        <v>29380</v>
      </c>
      <c r="H713" t="s">
        <v>11048</v>
      </c>
      <c r="I713" t="s">
        <v>3670</v>
      </c>
      <c r="J713" t="s">
        <v>30099</v>
      </c>
      <c r="K713" t="s">
        <v>38485</v>
      </c>
      <c r="M713" t="s">
        <v>39039</v>
      </c>
      <c r="N713" t="s">
        <v>42669</v>
      </c>
      <c r="O713" t="s">
        <v>42670</v>
      </c>
      <c r="P713">
        <v>0</v>
      </c>
      <c r="Q713">
        <v>5</v>
      </c>
      <c r="R713" t="s">
        <v>42671</v>
      </c>
      <c r="S713" t="s">
        <v>42779</v>
      </c>
      <c r="T713" t="s">
        <v>44478</v>
      </c>
      <c r="U713" t="s">
        <v>45480</v>
      </c>
      <c r="W713" t="s">
        <v>39039</v>
      </c>
      <c r="X713" t="s">
        <v>42672</v>
      </c>
    </row>
    <row r="714" spans="1:24">
      <c r="A714">
        <f>HYPERLINK("https://www.philgeps.gov.ph/GEPSNONPILOT/Tender/SplashBidNoticeAbstractUI.aspx?menuIndex=3&amp;refID=7194232&amp;Result=3","7194232")</f>
        <v>0</v>
      </c>
      <c r="B714" t="s">
        <v>286</v>
      </c>
      <c r="C714" t="s">
        <v>4205</v>
      </c>
      <c r="D714" t="s">
        <v>17166</v>
      </c>
      <c r="E714" t="s">
        <v>17918</v>
      </c>
      <c r="F714" t="s">
        <v>29372</v>
      </c>
      <c r="G714" t="s">
        <v>29380</v>
      </c>
      <c r="H714" t="s">
        <v>29389</v>
      </c>
      <c r="I714" t="s">
        <v>10408</v>
      </c>
      <c r="J714" t="s">
        <v>30100</v>
      </c>
      <c r="K714" t="s">
        <v>38538</v>
      </c>
      <c r="M714" t="s">
        <v>39045</v>
      </c>
      <c r="N714" t="s">
        <v>42669</v>
      </c>
      <c r="O714" t="s">
        <v>42670</v>
      </c>
      <c r="P714">
        <v>0</v>
      </c>
      <c r="Q714">
        <v>0</v>
      </c>
      <c r="R714" t="s">
        <v>42671</v>
      </c>
      <c r="S714" t="s">
        <v>42779</v>
      </c>
      <c r="T714" t="s">
        <v>44389</v>
      </c>
      <c r="U714" t="s">
        <v>45481</v>
      </c>
      <c r="W714" t="s">
        <v>39045</v>
      </c>
      <c r="X714" t="s">
        <v>42672</v>
      </c>
    </row>
    <row r="715" spans="1:24">
      <c r="A715">
        <f>HYPERLINK("https://www.philgeps.gov.ph/GEPSNONPILOT/Tender/SplashBidNoticeAbstractUI.aspx?menuIndex=3&amp;refID=7194231&amp;Result=3","7194231")</f>
        <v>0</v>
      </c>
      <c r="B715" t="s">
        <v>282</v>
      </c>
      <c r="C715" t="s">
        <v>4206</v>
      </c>
      <c r="D715" t="s">
        <v>17209</v>
      </c>
      <c r="E715" t="s">
        <v>4206</v>
      </c>
      <c r="F715" t="s">
        <v>29372</v>
      </c>
      <c r="G715" t="s">
        <v>29379</v>
      </c>
      <c r="H715" t="s">
        <v>11048</v>
      </c>
      <c r="I715" t="s">
        <v>4709</v>
      </c>
      <c r="J715" t="s">
        <v>29625</v>
      </c>
      <c r="K715" t="s">
        <v>38488</v>
      </c>
      <c r="L715" t="s">
        <v>282</v>
      </c>
      <c r="M715" t="s">
        <v>39041</v>
      </c>
      <c r="N715" t="s">
        <v>42669</v>
      </c>
      <c r="O715" t="s">
        <v>42670</v>
      </c>
      <c r="P715">
        <v>0</v>
      </c>
      <c r="Q715">
        <v>0</v>
      </c>
      <c r="R715" t="s">
        <v>42671</v>
      </c>
      <c r="S715" t="s">
        <v>42779</v>
      </c>
      <c r="T715" t="s">
        <v>44394</v>
      </c>
      <c r="U715" t="s">
        <v>45482</v>
      </c>
      <c r="W715" t="s">
        <v>39041</v>
      </c>
      <c r="X715" t="s">
        <v>42672</v>
      </c>
    </row>
    <row r="716" spans="1:24">
      <c r="A716">
        <f>HYPERLINK("https://www.philgeps.gov.ph/GEPSNONPILOT/Tender/SplashBidNoticeAbstractUI.aspx?menuIndex=3&amp;refID=7190297&amp;Result=3","7190297")</f>
        <v>0</v>
      </c>
      <c r="B716" t="s">
        <v>287</v>
      </c>
      <c r="C716" t="s">
        <v>4207</v>
      </c>
      <c r="D716" t="s">
        <v>17141</v>
      </c>
      <c r="E716" t="s">
        <v>17919</v>
      </c>
      <c r="F716" t="s">
        <v>29372</v>
      </c>
      <c r="G716" t="s">
        <v>29379</v>
      </c>
      <c r="H716" t="s">
        <v>11048</v>
      </c>
      <c r="I716" t="s">
        <v>3839</v>
      </c>
      <c r="J716" t="s">
        <v>29799</v>
      </c>
      <c r="K716" t="s">
        <v>38485</v>
      </c>
      <c r="M716" t="s">
        <v>39046</v>
      </c>
      <c r="N716" t="s">
        <v>42669</v>
      </c>
      <c r="O716" t="s">
        <v>42670</v>
      </c>
      <c r="P716">
        <v>0</v>
      </c>
      <c r="Q716">
        <v>0</v>
      </c>
      <c r="R716" t="s">
        <v>42671</v>
      </c>
      <c r="S716" t="s">
        <v>42779</v>
      </c>
      <c r="T716" t="s">
        <v>44382</v>
      </c>
      <c r="U716" t="s">
        <v>45483</v>
      </c>
      <c r="W716" t="s">
        <v>39046</v>
      </c>
      <c r="X716" t="s">
        <v>42676</v>
      </c>
    </row>
    <row r="717" spans="1:24">
      <c r="A717">
        <f>HYPERLINK("https://www.philgeps.gov.ph/GEPSNONPILOT/Tender/SplashBidNoticeAbstractUI.aspx?menuIndex=3&amp;refID=7190538&amp;Result=3","7190538")</f>
        <v>0</v>
      </c>
      <c r="B717" t="s">
        <v>67</v>
      </c>
      <c r="C717" t="s">
        <v>4208</v>
      </c>
      <c r="D717" t="s">
        <v>17168</v>
      </c>
      <c r="E717" t="s">
        <v>17344</v>
      </c>
      <c r="F717" t="s">
        <v>29372</v>
      </c>
      <c r="G717" t="s">
        <v>29380</v>
      </c>
      <c r="H717" t="s">
        <v>11048</v>
      </c>
      <c r="I717" t="s">
        <v>4709</v>
      </c>
      <c r="J717" t="s">
        <v>30101</v>
      </c>
      <c r="K717" t="s">
        <v>38518</v>
      </c>
      <c r="M717" t="s">
        <v>38821</v>
      </c>
      <c r="N717" t="s">
        <v>42669</v>
      </c>
      <c r="O717" t="s">
        <v>42670</v>
      </c>
      <c r="P717">
        <v>0</v>
      </c>
      <c r="Q717">
        <v>0</v>
      </c>
      <c r="R717" t="s">
        <v>42671</v>
      </c>
      <c r="S717" t="s">
        <v>42779</v>
      </c>
      <c r="T717" t="s">
        <v>44390</v>
      </c>
      <c r="U717" t="s">
        <v>45484</v>
      </c>
      <c r="V717" t="s">
        <v>56341</v>
      </c>
      <c r="W717" t="s">
        <v>38821</v>
      </c>
      <c r="X717" t="s">
        <v>42676</v>
      </c>
    </row>
    <row r="718" spans="1:24">
      <c r="A718">
        <f>HYPERLINK("https://www.philgeps.gov.ph/GEPSNONPILOT/Tender/SplashBidNoticeAbstractUI.aspx?menuIndex=3&amp;refID=7194227&amp;Result=3","7194227")</f>
        <v>0</v>
      </c>
      <c r="B718" t="s">
        <v>282</v>
      </c>
      <c r="C718" t="s">
        <v>4209</v>
      </c>
      <c r="D718" t="s">
        <v>17209</v>
      </c>
      <c r="E718" t="s">
        <v>4209</v>
      </c>
      <c r="F718" t="s">
        <v>29372</v>
      </c>
      <c r="G718" t="s">
        <v>29379</v>
      </c>
      <c r="H718" t="s">
        <v>11048</v>
      </c>
      <c r="I718" t="s">
        <v>3670</v>
      </c>
      <c r="J718" t="s">
        <v>30102</v>
      </c>
      <c r="K718" t="s">
        <v>38488</v>
      </c>
      <c r="L718" t="s">
        <v>282</v>
      </c>
      <c r="M718" t="s">
        <v>39041</v>
      </c>
      <c r="N718" t="s">
        <v>42669</v>
      </c>
      <c r="O718" t="s">
        <v>42670</v>
      </c>
      <c r="P718">
        <v>0</v>
      </c>
      <c r="Q718">
        <v>0</v>
      </c>
      <c r="R718" t="s">
        <v>42671</v>
      </c>
      <c r="S718" t="s">
        <v>42779</v>
      </c>
      <c r="T718" t="s">
        <v>44394</v>
      </c>
      <c r="U718" t="s">
        <v>45485</v>
      </c>
      <c r="W718" t="s">
        <v>39041</v>
      </c>
      <c r="X718" t="s">
        <v>42672</v>
      </c>
    </row>
    <row r="719" spans="1:24">
      <c r="A719">
        <f>HYPERLINK("https://www.philgeps.gov.ph/GEPSNONPILOT/Tender/SplashBidNoticeAbstractUI.aspx?menuIndex=3&amp;refID=7194196&amp;Result=3","7194196")</f>
        <v>0</v>
      </c>
      <c r="B719" t="s">
        <v>42</v>
      </c>
      <c r="C719" t="s">
        <v>4210</v>
      </c>
      <c r="D719" t="s">
        <v>17154</v>
      </c>
      <c r="E719" t="s">
        <v>17920</v>
      </c>
      <c r="F719" t="s">
        <v>29372</v>
      </c>
      <c r="G719" t="s">
        <v>29380</v>
      </c>
      <c r="H719" t="s">
        <v>11048</v>
      </c>
      <c r="I719" t="s">
        <v>5383</v>
      </c>
      <c r="J719" t="s">
        <v>29788</v>
      </c>
      <c r="K719" t="s">
        <v>38485</v>
      </c>
      <c r="M719" t="s">
        <v>38795</v>
      </c>
      <c r="N719" t="s">
        <v>42669</v>
      </c>
      <c r="O719" t="s">
        <v>42670</v>
      </c>
      <c r="P719">
        <v>0</v>
      </c>
      <c r="Q719">
        <v>4</v>
      </c>
      <c r="R719" t="s">
        <v>42671</v>
      </c>
      <c r="S719" t="s">
        <v>42779</v>
      </c>
      <c r="T719" t="s">
        <v>44415</v>
      </c>
      <c r="U719" t="s">
        <v>45486</v>
      </c>
      <c r="W719" t="s">
        <v>38795</v>
      </c>
      <c r="X719" t="s">
        <v>42672</v>
      </c>
    </row>
    <row r="720" spans="1:24">
      <c r="A720">
        <f>HYPERLINK("https://www.philgeps.gov.ph/GEPSNONPILOT/Tender/SplashBidNoticeAbstractUI.aspx?menuIndex=3&amp;refID=7194226&amp;Result=3","7194226")</f>
        <v>0</v>
      </c>
      <c r="B720" t="s">
        <v>280</v>
      </c>
      <c r="C720" t="s">
        <v>4211</v>
      </c>
      <c r="D720" t="s">
        <v>17144</v>
      </c>
      <c r="E720" t="s">
        <v>17921</v>
      </c>
      <c r="F720" t="s">
        <v>29372</v>
      </c>
      <c r="G720" t="s">
        <v>29380</v>
      </c>
      <c r="H720" t="s">
        <v>11048</v>
      </c>
      <c r="I720" t="s">
        <v>29407</v>
      </c>
      <c r="J720" t="s">
        <v>30103</v>
      </c>
      <c r="K720" t="s">
        <v>38485</v>
      </c>
      <c r="M720" t="s">
        <v>39039</v>
      </c>
      <c r="N720" t="s">
        <v>42669</v>
      </c>
      <c r="O720" t="s">
        <v>42670</v>
      </c>
      <c r="P720">
        <v>0</v>
      </c>
      <c r="Q720">
        <v>6</v>
      </c>
      <c r="R720" t="s">
        <v>42671</v>
      </c>
      <c r="S720" t="s">
        <v>42779</v>
      </c>
      <c r="T720" t="s">
        <v>44478</v>
      </c>
      <c r="U720" t="s">
        <v>45487</v>
      </c>
      <c r="W720" t="s">
        <v>39039</v>
      </c>
      <c r="X720" t="s">
        <v>42672</v>
      </c>
    </row>
    <row r="721" spans="1:24">
      <c r="A721">
        <f>HYPERLINK("https://www.philgeps.gov.ph/GEPSNONPILOT/Tender/SplashBidNoticeAbstractUI.aspx?menuIndex=3&amp;refID=7194222&amp;Result=3","7194222")</f>
        <v>0</v>
      </c>
      <c r="B721" t="s">
        <v>288</v>
      </c>
      <c r="C721" t="s">
        <v>4212</v>
      </c>
      <c r="D721" t="s">
        <v>17160</v>
      </c>
      <c r="E721" t="s">
        <v>17922</v>
      </c>
      <c r="F721" t="s">
        <v>29372</v>
      </c>
      <c r="G721" t="s">
        <v>29380</v>
      </c>
      <c r="H721" t="s">
        <v>11048</v>
      </c>
      <c r="I721" t="s">
        <v>4487</v>
      </c>
      <c r="J721" t="s">
        <v>30010</v>
      </c>
      <c r="K721" t="s">
        <v>38491</v>
      </c>
      <c r="M721" t="s">
        <v>39047</v>
      </c>
      <c r="N721" t="s">
        <v>42669</v>
      </c>
      <c r="O721" t="s">
        <v>42670</v>
      </c>
      <c r="P721">
        <v>0</v>
      </c>
      <c r="Q721">
        <v>1</v>
      </c>
      <c r="R721" t="s">
        <v>42671</v>
      </c>
      <c r="S721" t="s">
        <v>42779</v>
      </c>
      <c r="T721" t="s">
        <v>44426</v>
      </c>
      <c r="U721" t="s">
        <v>45488</v>
      </c>
      <c r="W721" t="s">
        <v>39047</v>
      </c>
      <c r="X721" t="s">
        <v>42672</v>
      </c>
    </row>
    <row r="722" spans="1:24">
      <c r="A722">
        <f>HYPERLINK("https://www.philgeps.gov.ph/GEPSNONPILOT/Tender/SplashBidNoticeAbstractUI.aspx?menuIndex=3&amp;refID=7194185&amp;Result=3","7194185")</f>
        <v>0</v>
      </c>
      <c r="B722" t="s">
        <v>272</v>
      </c>
      <c r="C722" t="s">
        <v>4213</v>
      </c>
      <c r="D722" t="s">
        <v>17206</v>
      </c>
      <c r="E722" t="s">
        <v>17923</v>
      </c>
      <c r="F722" t="s">
        <v>29372</v>
      </c>
      <c r="G722" t="s">
        <v>29379</v>
      </c>
      <c r="H722" t="s">
        <v>11048</v>
      </c>
      <c r="I722" t="s">
        <v>3695</v>
      </c>
      <c r="J722" t="s">
        <v>30104</v>
      </c>
      <c r="K722" t="s">
        <v>38510</v>
      </c>
      <c r="M722" t="s">
        <v>39031</v>
      </c>
      <c r="N722" t="s">
        <v>42669</v>
      </c>
      <c r="O722" t="s">
        <v>42670</v>
      </c>
      <c r="P722">
        <v>0</v>
      </c>
      <c r="Q722">
        <v>1</v>
      </c>
      <c r="R722" t="s">
        <v>42671</v>
      </c>
      <c r="S722" t="s">
        <v>42779</v>
      </c>
      <c r="T722" t="s">
        <v>44386</v>
      </c>
      <c r="U722" t="s">
        <v>45489</v>
      </c>
      <c r="W722" t="s">
        <v>39031</v>
      </c>
      <c r="X722" t="s">
        <v>42672</v>
      </c>
    </row>
    <row r="723" spans="1:24">
      <c r="A723">
        <f>HYPERLINK("https://www.philgeps.gov.ph/GEPSNONPILOT/Tender/SplashBidNoticeAbstractUI.aspx?menuIndex=3&amp;refID=7194230&amp;Result=3","7194230")</f>
        <v>0</v>
      </c>
      <c r="B723" t="s">
        <v>288</v>
      </c>
      <c r="C723" t="s">
        <v>4214</v>
      </c>
      <c r="D723" t="s">
        <v>17160</v>
      </c>
      <c r="E723" t="s">
        <v>17922</v>
      </c>
      <c r="F723" t="s">
        <v>29372</v>
      </c>
      <c r="G723" t="s">
        <v>29380</v>
      </c>
      <c r="H723" t="s">
        <v>11048</v>
      </c>
      <c r="I723" t="s">
        <v>10408</v>
      </c>
      <c r="J723" t="s">
        <v>30105</v>
      </c>
      <c r="K723" t="s">
        <v>38485</v>
      </c>
      <c r="M723" t="s">
        <v>39047</v>
      </c>
      <c r="N723" t="s">
        <v>42669</v>
      </c>
      <c r="O723" t="s">
        <v>42670</v>
      </c>
      <c r="P723">
        <v>0</v>
      </c>
      <c r="Q723">
        <v>1</v>
      </c>
      <c r="R723" t="s">
        <v>42671</v>
      </c>
      <c r="S723" t="s">
        <v>42779</v>
      </c>
      <c r="T723" t="s">
        <v>44389</v>
      </c>
      <c r="U723" t="s">
        <v>45490</v>
      </c>
      <c r="W723" t="s">
        <v>39047</v>
      </c>
      <c r="X723" t="s">
        <v>42672</v>
      </c>
    </row>
    <row r="724" spans="1:24">
      <c r="A724">
        <f>HYPERLINK("https://www.philgeps.gov.ph/GEPSNONPILOT/Tender/SplashBidNoticeAbstractUI.aspx?menuIndex=3&amp;refID=7194228&amp;Result=3","7194228")</f>
        <v>0</v>
      </c>
      <c r="B724" t="s">
        <v>289</v>
      </c>
      <c r="C724" t="s">
        <v>4215</v>
      </c>
      <c r="E724" t="s">
        <v>17924</v>
      </c>
      <c r="F724" t="s">
        <v>29372</v>
      </c>
      <c r="G724" t="s">
        <v>29380</v>
      </c>
      <c r="H724" t="s">
        <v>11048</v>
      </c>
      <c r="I724" t="s">
        <v>29398</v>
      </c>
      <c r="J724" t="s">
        <v>30106</v>
      </c>
      <c r="K724" t="s">
        <v>38490</v>
      </c>
      <c r="M724" t="s">
        <v>39048</v>
      </c>
      <c r="N724" t="s">
        <v>42669</v>
      </c>
      <c r="O724" t="s">
        <v>42670</v>
      </c>
      <c r="P724">
        <v>0</v>
      </c>
      <c r="Q724">
        <v>1</v>
      </c>
      <c r="R724" t="s">
        <v>42671</v>
      </c>
      <c r="S724" t="s">
        <v>42779</v>
      </c>
      <c r="T724" t="s">
        <v>44479</v>
      </c>
      <c r="U724" t="s">
        <v>45491</v>
      </c>
      <c r="W724" t="s">
        <v>39048</v>
      </c>
      <c r="X724" t="s">
        <v>42672</v>
      </c>
    </row>
    <row r="725" spans="1:24">
      <c r="A725">
        <f>HYPERLINK("https://www.philgeps.gov.ph/GEPSNONPILOT/Tender/SplashBidNoticeAbstractUI.aspx?menuIndex=3&amp;refID=7194219&amp;Result=3","7194219")</f>
        <v>0</v>
      </c>
      <c r="B725" t="s">
        <v>278</v>
      </c>
      <c r="C725" t="s">
        <v>4216</v>
      </c>
      <c r="D725" t="s">
        <v>17208</v>
      </c>
      <c r="E725" t="s">
        <v>17925</v>
      </c>
      <c r="F725" t="s">
        <v>29372</v>
      </c>
      <c r="G725" t="s">
        <v>29383</v>
      </c>
      <c r="H725" t="s">
        <v>11048</v>
      </c>
      <c r="I725" t="s">
        <v>9642</v>
      </c>
      <c r="J725" t="s">
        <v>29929</v>
      </c>
      <c r="K725" t="s">
        <v>38485</v>
      </c>
      <c r="M725" t="s">
        <v>39037</v>
      </c>
      <c r="N725" t="s">
        <v>42669</v>
      </c>
      <c r="O725" t="s">
        <v>42670</v>
      </c>
      <c r="P725">
        <v>0</v>
      </c>
      <c r="Q725">
        <v>2</v>
      </c>
      <c r="R725" t="s">
        <v>42671</v>
      </c>
      <c r="S725" t="s">
        <v>42779</v>
      </c>
      <c r="T725" t="s">
        <v>44477</v>
      </c>
      <c r="U725" t="s">
        <v>45465</v>
      </c>
      <c r="W725" t="s">
        <v>58006</v>
      </c>
      <c r="X725" t="s">
        <v>42672</v>
      </c>
    </row>
    <row r="726" spans="1:24">
      <c r="A726">
        <f>HYPERLINK("https://www.philgeps.gov.ph/GEPSNONPILOT/Tender/SplashBidNoticeAbstractUI.aspx?menuIndex=3&amp;refID=7194233&amp;Result=3","7194233")</f>
        <v>0</v>
      </c>
      <c r="B726" t="s">
        <v>290</v>
      </c>
      <c r="C726" t="s">
        <v>4217</v>
      </c>
      <c r="D726" t="s">
        <v>17189</v>
      </c>
      <c r="E726" t="s">
        <v>17926</v>
      </c>
      <c r="F726" t="s">
        <v>29372</v>
      </c>
      <c r="G726" t="s">
        <v>29380</v>
      </c>
      <c r="H726" t="s">
        <v>11048</v>
      </c>
      <c r="I726" t="s">
        <v>3839</v>
      </c>
      <c r="J726" t="s">
        <v>30107</v>
      </c>
      <c r="K726" t="s">
        <v>38485</v>
      </c>
      <c r="M726" t="s">
        <v>39049</v>
      </c>
      <c r="N726" t="s">
        <v>42669</v>
      </c>
      <c r="O726" t="s">
        <v>42670</v>
      </c>
      <c r="P726">
        <v>0</v>
      </c>
      <c r="Q726">
        <v>3</v>
      </c>
      <c r="R726" t="s">
        <v>42671</v>
      </c>
      <c r="S726" t="s">
        <v>42779</v>
      </c>
      <c r="T726" t="s">
        <v>44422</v>
      </c>
      <c r="U726" t="s">
        <v>45492</v>
      </c>
      <c r="W726" t="s">
        <v>39049</v>
      </c>
      <c r="X726" t="s">
        <v>42672</v>
      </c>
    </row>
    <row r="727" spans="1:24">
      <c r="A727">
        <f>HYPERLINK("https://www.philgeps.gov.ph/GEPSNONPILOT/Tender/SplashBidNoticeAbstractUI.aspx?menuIndex=3&amp;refID=7194218&amp;Result=3","7194218")</f>
        <v>0</v>
      </c>
      <c r="B727" t="s">
        <v>288</v>
      </c>
      <c r="C727" t="s">
        <v>4218</v>
      </c>
      <c r="D727" t="s">
        <v>17160</v>
      </c>
      <c r="E727" t="s">
        <v>17922</v>
      </c>
      <c r="F727" t="s">
        <v>29372</v>
      </c>
      <c r="G727" t="s">
        <v>29380</v>
      </c>
      <c r="H727" t="s">
        <v>11048</v>
      </c>
      <c r="I727" t="s">
        <v>3597</v>
      </c>
      <c r="J727" t="s">
        <v>30108</v>
      </c>
      <c r="K727" t="s">
        <v>38491</v>
      </c>
      <c r="M727" t="s">
        <v>39047</v>
      </c>
      <c r="N727" t="s">
        <v>42669</v>
      </c>
      <c r="O727" t="s">
        <v>42670</v>
      </c>
      <c r="P727">
        <v>0</v>
      </c>
      <c r="Q727">
        <v>4</v>
      </c>
      <c r="R727" t="s">
        <v>42671</v>
      </c>
      <c r="S727" t="s">
        <v>42779</v>
      </c>
      <c r="T727" t="s">
        <v>44426</v>
      </c>
      <c r="U727" t="s">
        <v>45493</v>
      </c>
      <c r="W727" t="s">
        <v>39047</v>
      </c>
      <c r="X727" t="s">
        <v>42672</v>
      </c>
    </row>
    <row r="728" spans="1:24">
      <c r="A728">
        <f>HYPERLINK("https://www.philgeps.gov.ph/GEPSNONPILOT/Tender/SplashBidNoticeAbstractUI.aspx?menuIndex=3&amp;refID=7190112&amp;Result=3","7190112")</f>
        <v>0</v>
      </c>
      <c r="B728" t="s">
        <v>291</v>
      </c>
      <c r="C728" t="s">
        <v>4219</v>
      </c>
      <c r="D728" t="s">
        <v>17197</v>
      </c>
      <c r="E728" t="s">
        <v>17927</v>
      </c>
      <c r="F728" t="s">
        <v>29372</v>
      </c>
      <c r="G728" t="s">
        <v>29383</v>
      </c>
      <c r="H728" t="s">
        <v>11048</v>
      </c>
      <c r="I728" t="s">
        <v>5383</v>
      </c>
      <c r="J728" t="s">
        <v>30109</v>
      </c>
      <c r="K728" t="s">
        <v>38487</v>
      </c>
      <c r="M728" t="s">
        <v>39050</v>
      </c>
      <c r="N728" t="s">
        <v>42669</v>
      </c>
      <c r="O728" t="s">
        <v>42670</v>
      </c>
      <c r="P728">
        <v>0</v>
      </c>
      <c r="Q728">
        <v>3</v>
      </c>
      <c r="R728" t="s">
        <v>42671</v>
      </c>
      <c r="S728" t="s">
        <v>42779</v>
      </c>
      <c r="T728" t="s">
        <v>44371</v>
      </c>
      <c r="U728" t="s">
        <v>45494</v>
      </c>
      <c r="W728" t="s">
        <v>39050</v>
      </c>
      <c r="X728" t="s">
        <v>42676</v>
      </c>
    </row>
    <row r="729" spans="1:24">
      <c r="A729">
        <f>HYPERLINK("https://www.philgeps.gov.ph/GEPSNONPILOT/Tender/SplashBidNoticeAbstractUI.aspx?menuIndex=3&amp;refID=7194221&amp;Result=3","7194221")</f>
        <v>0</v>
      </c>
      <c r="B729" t="s">
        <v>288</v>
      </c>
      <c r="C729" t="s">
        <v>4220</v>
      </c>
      <c r="D729" t="s">
        <v>17160</v>
      </c>
      <c r="E729" t="s">
        <v>17922</v>
      </c>
      <c r="F729" t="s">
        <v>29372</v>
      </c>
      <c r="G729" t="s">
        <v>29380</v>
      </c>
      <c r="H729" t="s">
        <v>11048</v>
      </c>
      <c r="I729" t="s">
        <v>29447</v>
      </c>
      <c r="J729" t="s">
        <v>30010</v>
      </c>
      <c r="K729" t="s">
        <v>38491</v>
      </c>
      <c r="M729" t="s">
        <v>39047</v>
      </c>
      <c r="N729" t="s">
        <v>42669</v>
      </c>
      <c r="O729" t="s">
        <v>42670</v>
      </c>
      <c r="P729">
        <v>0</v>
      </c>
      <c r="Q729">
        <v>1</v>
      </c>
      <c r="R729" t="s">
        <v>42671</v>
      </c>
      <c r="S729" t="s">
        <v>42779</v>
      </c>
      <c r="T729" t="s">
        <v>44426</v>
      </c>
      <c r="U729" t="s">
        <v>45495</v>
      </c>
      <c r="W729" t="s">
        <v>39047</v>
      </c>
      <c r="X729" t="s">
        <v>42672</v>
      </c>
    </row>
    <row r="730" spans="1:24">
      <c r="A730">
        <f>HYPERLINK("https://www.philgeps.gov.ph/GEPSNONPILOT/Tender/SplashBidNoticeAbstractUI.aspx?menuIndex=3&amp;refID=7194255&amp;Result=3","7194255")</f>
        <v>0</v>
      </c>
      <c r="B730" t="s">
        <v>292</v>
      </c>
      <c r="C730" t="s">
        <v>4221</v>
      </c>
      <c r="D730" t="s">
        <v>17151</v>
      </c>
      <c r="E730" t="s">
        <v>17928</v>
      </c>
      <c r="F730" t="s">
        <v>29372</v>
      </c>
      <c r="G730" t="s">
        <v>29379</v>
      </c>
      <c r="H730" t="s">
        <v>11048</v>
      </c>
      <c r="I730" t="s">
        <v>29398</v>
      </c>
      <c r="J730" t="s">
        <v>29767</v>
      </c>
      <c r="K730" t="s">
        <v>38528</v>
      </c>
      <c r="M730" t="s">
        <v>39051</v>
      </c>
      <c r="N730" t="s">
        <v>42669</v>
      </c>
      <c r="O730" t="s">
        <v>42670</v>
      </c>
      <c r="P730">
        <v>0</v>
      </c>
      <c r="Q730">
        <v>1</v>
      </c>
      <c r="R730" t="s">
        <v>42671</v>
      </c>
      <c r="S730" t="s">
        <v>42779</v>
      </c>
      <c r="T730" t="s">
        <v>44387</v>
      </c>
      <c r="U730" t="s">
        <v>45496</v>
      </c>
      <c r="V730" t="s">
        <v>56414</v>
      </c>
      <c r="W730" t="s">
        <v>39051</v>
      </c>
      <c r="X730" t="s">
        <v>42672</v>
      </c>
    </row>
    <row r="731" spans="1:24">
      <c r="A731">
        <f>HYPERLINK("https://www.philgeps.gov.ph/GEPSNONPILOT/Tender/SplashBidNoticeAbstractUI.aspx?menuIndex=3&amp;refID=7194257&amp;Result=3","7194257")</f>
        <v>0</v>
      </c>
      <c r="B731" t="s">
        <v>293</v>
      </c>
      <c r="C731" t="s">
        <v>4222</v>
      </c>
      <c r="D731" t="s">
        <v>17210</v>
      </c>
      <c r="E731" t="s">
        <v>17929</v>
      </c>
      <c r="F731" t="s">
        <v>29372</v>
      </c>
      <c r="G731" t="s">
        <v>29380</v>
      </c>
      <c r="H731" t="s">
        <v>11048</v>
      </c>
      <c r="I731" t="s">
        <v>29452</v>
      </c>
      <c r="J731" t="s">
        <v>29829</v>
      </c>
      <c r="K731" t="s">
        <v>38487</v>
      </c>
      <c r="M731" t="s">
        <v>39052</v>
      </c>
      <c r="N731" t="s">
        <v>42669</v>
      </c>
      <c r="O731" t="s">
        <v>42670</v>
      </c>
      <c r="P731">
        <v>0</v>
      </c>
      <c r="Q731">
        <v>1</v>
      </c>
      <c r="R731" t="s">
        <v>42671</v>
      </c>
      <c r="S731" t="s">
        <v>42779</v>
      </c>
      <c r="T731" t="s">
        <v>44403</v>
      </c>
      <c r="U731" t="s">
        <v>45497</v>
      </c>
      <c r="W731" t="s">
        <v>39052</v>
      </c>
      <c r="X731" t="s">
        <v>42672</v>
      </c>
    </row>
    <row r="732" spans="1:24">
      <c r="A732">
        <f>HYPERLINK("https://www.philgeps.gov.ph/GEPSNONPILOT/Tender/SplashBidNoticeAbstractUI.aspx?menuIndex=3&amp;refID=7194256&amp;Result=3","7194256")</f>
        <v>0</v>
      </c>
      <c r="B732" t="s">
        <v>294</v>
      </c>
      <c r="C732" t="s">
        <v>4223</v>
      </c>
      <c r="D732" t="s">
        <v>17209</v>
      </c>
      <c r="E732" t="s">
        <v>17930</v>
      </c>
      <c r="F732" t="s">
        <v>29372</v>
      </c>
      <c r="G732" t="s">
        <v>29382</v>
      </c>
      <c r="H732" t="s">
        <v>11048</v>
      </c>
      <c r="I732" t="s">
        <v>5383</v>
      </c>
      <c r="J732" t="s">
        <v>30110</v>
      </c>
      <c r="K732" t="s">
        <v>38528</v>
      </c>
      <c r="M732" t="s">
        <v>39053</v>
      </c>
      <c r="N732" t="s">
        <v>42669</v>
      </c>
      <c r="O732" t="s">
        <v>42670</v>
      </c>
      <c r="P732">
        <v>0</v>
      </c>
      <c r="Q732">
        <v>1</v>
      </c>
      <c r="R732" t="s">
        <v>42671</v>
      </c>
      <c r="S732" t="s">
        <v>42779</v>
      </c>
      <c r="T732" t="s">
        <v>44378</v>
      </c>
      <c r="U732" t="s">
        <v>45498</v>
      </c>
      <c r="W732" t="s">
        <v>39053</v>
      </c>
      <c r="X732" t="s">
        <v>42672</v>
      </c>
    </row>
    <row r="733" spans="1:24">
      <c r="A733">
        <f>HYPERLINK("https://www.philgeps.gov.ph/GEPSNONPILOT/Tender/SplashBidNoticeAbstractUI.aspx?menuIndex=3&amp;refID=7194216&amp;Result=3","7194216")</f>
        <v>0</v>
      </c>
      <c r="B733" t="s">
        <v>278</v>
      </c>
      <c r="C733" t="s">
        <v>4224</v>
      </c>
      <c r="D733" t="s">
        <v>17208</v>
      </c>
      <c r="E733" t="s">
        <v>17931</v>
      </c>
      <c r="F733" t="s">
        <v>29372</v>
      </c>
      <c r="G733" t="s">
        <v>29383</v>
      </c>
      <c r="H733" t="s">
        <v>11048</v>
      </c>
      <c r="I733" t="s">
        <v>29406</v>
      </c>
      <c r="J733" t="s">
        <v>30111</v>
      </c>
      <c r="K733" t="s">
        <v>38485</v>
      </c>
      <c r="M733" t="s">
        <v>39037</v>
      </c>
      <c r="N733" t="s">
        <v>42669</v>
      </c>
      <c r="O733" t="s">
        <v>42670</v>
      </c>
      <c r="P733">
        <v>0</v>
      </c>
      <c r="Q733">
        <v>3</v>
      </c>
      <c r="R733" t="s">
        <v>42671</v>
      </c>
      <c r="S733" t="s">
        <v>42779</v>
      </c>
      <c r="T733" t="s">
        <v>44477</v>
      </c>
      <c r="U733" t="s">
        <v>45465</v>
      </c>
      <c r="W733" t="s">
        <v>58006</v>
      </c>
      <c r="X733" t="s">
        <v>42672</v>
      </c>
    </row>
    <row r="734" spans="1:24">
      <c r="A734">
        <f>HYPERLINK("https://www.philgeps.gov.ph/GEPSNONPILOT/Tender/SplashBidNoticeAbstractUI.aspx?menuIndex=3&amp;refID=7194254&amp;Result=3","7194254")</f>
        <v>0</v>
      </c>
      <c r="B734" t="s">
        <v>24</v>
      </c>
      <c r="C734" t="s">
        <v>4225</v>
      </c>
      <c r="D734" t="s">
        <v>17141</v>
      </c>
      <c r="E734" t="s">
        <v>17932</v>
      </c>
      <c r="F734" t="s">
        <v>29372</v>
      </c>
      <c r="G734" t="s">
        <v>29379</v>
      </c>
      <c r="H734" t="s">
        <v>11048</v>
      </c>
      <c r="I734" t="s">
        <v>29445</v>
      </c>
      <c r="J734" t="s">
        <v>30112</v>
      </c>
      <c r="K734" t="s">
        <v>38485</v>
      </c>
      <c r="M734" t="s">
        <v>38777</v>
      </c>
      <c r="N734" t="s">
        <v>42669</v>
      </c>
      <c r="O734" t="s">
        <v>42670</v>
      </c>
      <c r="P734">
        <v>0</v>
      </c>
      <c r="Q734">
        <v>0</v>
      </c>
      <c r="R734" t="s">
        <v>42671</v>
      </c>
      <c r="S734" t="s">
        <v>42779</v>
      </c>
      <c r="T734" t="s">
        <v>44480</v>
      </c>
      <c r="U734" t="s">
        <v>45499</v>
      </c>
      <c r="W734" t="s">
        <v>38777</v>
      </c>
      <c r="X734" t="s">
        <v>42672</v>
      </c>
    </row>
    <row r="735" spans="1:24">
      <c r="A735">
        <f>HYPERLINK("https://www.philgeps.gov.ph/GEPSNONPILOT/Tender/SplashBidNoticeAbstractUI.aspx?menuIndex=3&amp;refID=7194215&amp;Result=3","7194215")</f>
        <v>0</v>
      </c>
      <c r="B735" t="s">
        <v>288</v>
      </c>
      <c r="C735" t="s">
        <v>4226</v>
      </c>
      <c r="D735" t="s">
        <v>17160</v>
      </c>
      <c r="E735" t="s">
        <v>17933</v>
      </c>
      <c r="F735" t="s">
        <v>29372</v>
      </c>
      <c r="G735" t="s">
        <v>29380</v>
      </c>
      <c r="H735" t="s">
        <v>11048</v>
      </c>
      <c r="I735" t="s">
        <v>29412</v>
      </c>
      <c r="J735" t="s">
        <v>30113</v>
      </c>
      <c r="K735" t="s">
        <v>38491</v>
      </c>
      <c r="M735" t="s">
        <v>39047</v>
      </c>
      <c r="N735" t="s">
        <v>42669</v>
      </c>
      <c r="O735" t="s">
        <v>42670</v>
      </c>
      <c r="P735">
        <v>0</v>
      </c>
      <c r="Q735">
        <v>1</v>
      </c>
      <c r="R735" t="s">
        <v>42671</v>
      </c>
      <c r="S735" t="s">
        <v>42779</v>
      </c>
      <c r="T735" t="s">
        <v>44426</v>
      </c>
      <c r="U735" t="s">
        <v>45500</v>
      </c>
      <c r="W735" t="s">
        <v>39047</v>
      </c>
      <c r="X735" t="s">
        <v>42672</v>
      </c>
    </row>
    <row r="736" spans="1:24">
      <c r="A736">
        <f>HYPERLINK("https://www.philgeps.gov.ph/GEPSNONPILOT/Tender/SplashBidNoticeAbstractUI.aspx?menuIndex=3&amp;refID=7194220&amp;Result=3","7194220")</f>
        <v>0</v>
      </c>
      <c r="B736" t="s">
        <v>295</v>
      </c>
      <c r="C736" t="s">
        <v>4227</v>
      </c>
      <c r="D736" t="s">
        <v>17199</v>
      </c>
      <c r="E736" t="s">
        <v>17934</v>
      </c>
      <c r="F736" t="s">
        <v>29372</v>
      </c>
      <c r="G736" t="s">
        <v>29381</v>
      </c>
      <c r="H736" t="s">
        <v>11048</v>
      </c>
      <c r="I736" t="s">
        <v>29398</v>
      </c>
      <c r="J736" t="s">
        <v>30114</v>
      </c>
      <c r="K736" t="s">
        <v>38510</v>
      </c>
      <c r="M736" t="s">
        <v>39054</v>
      </c>
      <c r="N736" t="s">
        <v>42669</v>
      </c>
      <c r="O736" t="s">
        <v>42670</v>
      </c>
      <c r="P736">
        <v>0</v>
      </c>
      <c r="Q736">
        <v>0</v>
      </c>
      <c r="R736" t="s">
        <v>42671</v>
      </c>
      <c r="S736" t="s">
        <v>42779</v>
      </c>
      <c r="T736" t="s">
        <v>44466</v>
      </c>
      <c r="U736" t="s">
        <v>45501</v>
      </c>
      <c r="W736" t="s">
        <v>39054</v>
      </c>
      <c r="X736" t="s">
        <v>42672</v>
      </c>
    </row>
    <row r="737" spans="1:24">
      <c r="A737">
        <f>HYPERLINK("https://www.philgeps.gov.ph/GEPSNONPILOT/Tender/SplashBidNoticeAbstractUI.aspx?menuIndex=3&amp;refID=7194252&amp;Result=3","7194252")</f>
        <v>0</v>
      </c>
      <c r="B737" t="s">
        <v>296</v>
      </c>
      <c r="C737" t="s">
        <v>4228</v>
      </c>
      <c r="D737" t="s">
        <v>17153</v>
      </c>
      <c r="E737" t="s">
        <v>17935</v>
      </c>
      <c r="F737" t="s">
        <v>29372</v>
      </c>
      <c r="G737" t="s">
        <v>29380</v>
      </c>
      <c r="H737" t="s">
        <v>29390</v>
      </c>
      <c r="I737" t="s">
        <v>8208</v>
      </c>
      <c r="J737" t="s">
        <v>30115</v>
      </c>
      <c r="K737" t="s">
        <v>38488</v>
      </c>
      <c r="M737" t="s">
        <v>39055</v>
      </c>
      <c r="N737" t="s">
        <v>42669</v>
      </c>
      <c r="O737" t="s">
        <v>42670</v>
      </c>
      <c r="P737">
        <v>0</v>
      </c>
      <c r="Q737">
        <v>0</v>
      </c>
      <c r="R737" t="s">
        <v>42671</v>
      </c>
      <c r="S737" t="s">
        <v>42779</v>
      </c>
      <c r="T737" t="s">
        <v>44381</v>
      </c>
      <c r="U737" t="s">
        <v>45502</v>
      </c>
      <c r="W737" t="s">
        <v>39055</v>
      </c>
      <c r="X737" t="s">
        <v>42672</v>
      </c>
    </row>
    <row r="738" spans="1:24">
      <c r="A738">
        <f>HYPERLINK("https://www.philgeps.gov.ph/GEPSNONPILOT/Tender/SplashBidNoticeAbstractUI.aspx?menuIndex=3&amp;refID=7194246&amp;Result=3","7194246")</f>
        <v>0</v>
      </c>
      <c r="B738" t="s">
        <v>292</v>
      </c>
      <c r="C738" t="s">
        <v>4229</v>
      </c>
      <c r="D738" t="s">
        <v>17151</v>
      </c>
      <c r="E738" t="s">
        <v>17936</v>
      </c>
      <c r="F738" t="s">
        <v>29372</v>
      </c>
      <c r="G738" t="s">
        <v>29379</v>
      </c>
      <c r="H738" t="s">
        <v>11048</v>
      </c>
      <c r="I738" t="s">
        <v>4709</v>
      </c>
      <c r="J738" t="s">
        <v>30116</v>
      </c>
      <c r="K738" t="s">
        <v>38528</v>
      </c>
      <c r="M738" t="s">
        <v>39051</v>
      </c>
      <c r="N738" t="s">
        <v>42669</v>
      </c>
      <c r="O738" t="s">
        <v>42670</v>
      </c>
      <c r="P738">
        <v>0</v>
      </c>
      <c r="Q738">
        <v>0</v>
      </c>
      <c r="R738" t="s">
        <v>42671</v>
      </c>
      <c r="S738" t="s">
        <v>42779</v>
      </c>
      <c r="T738" t="s">
        <v>44387</v>
      </c>
      <c r="U738" t="s">
        <v>45503</v>
      </c>
      <c r="V738" t="s">
        <v>56414</v>
      </c>
      <c r="W738" t="s">
        <v>39051</v>
      </c>
      <c r="X738" t="s">
        <v>42672</v>
      </c>
    </row>
    <row r="739" spans="1:24">
      <c r="A739">
        <f>HYPERLINK("https://www.philgeps.gov.ph/GEPSNONPILOT/Tender/SplashBidNoticeAbstractUI.aspx?menuIndex=3&amp;refID=7194224&amp;Result=3","7194224")</f>
        <v>0</v>
      </c>
      <c r="B739" t="s">
        <v>288</v>
      </c>
      <c r="C739" t="s">
        <v>4230</v>
      </c>
      <c r="E739" t="s">
        <v>17922</v>
      </c>
      <c r="F739" t="s">
        <v>29372</v>
      </c>
      <c r="G739" t="s">
        <v>29380</v>
      </c>
      <c r="H739" t="s">
        <v>11048</v>
      </c>
      <c r="I739" t="s">
        <v>4709</v>
      </c>
      <c r="J739" t="s">
        <v>29571</v>
      </c>
      <c r="K739" t="s">
        <v>38491</v>
      </c>
      <c r="M739" t="s">
        <v>39047</v>
      </c>
      <c r="N739" t="s">
        <v>42669</v>
      </c>
      <c r="O739" t="s">
        <v>42670</v>
      </c>
      <c r="P739">
        <v>0</v>
      </c>
      <c r="Q739">
        <v>0</v>
      </c>
      <c r="R739" t="s">
        <v>42671</v>
      </c>
      <c r="S739" t="s">
        <v>42779</v>
      </c>
      <c r="T739" t="s">
        <v>44426</v>
      </c>
      <c r="U739" t="s">
        <v>45504</v>
      </c>
      <c r="W739" t="s">
        <v>39047</v>
      </c>
      <c r="X739" t="s">
        <v>42672</v>
      </c>
    </row>
    <row r="740" spans="1:24">
      <c r="A740">
        <f>HYPERLINK("https://www.philgeps.gov.ph/GEPSNONPILOT/Tender/SplashBidNoticeAbstractUI.aspx?menuIndex=3&amp;refID=7194245&amp;Result=3","7194245")</f>
        <v>0</v>
      </c>
      <c r="B740" t="s">
        <v>293</v>
      </c>
      <c r="C740" t="s">
        <v>4231</v>
      </c>
      <c r="D740" t="s">
        <v>17210</v>
      </c>
      <c r="E740" t="s">
        <v>17937</v>
      </c>
      <c r="F740" t="s">
        <v>29372</v>
      </c>
      <c r="G740" t="s">
        <v>29380</v>
      </c>
      <c r="H740" t="s">
        <v>29389</v>
      </c>
      <c r="I740" t="s">
        <v>10408</v>
      </c>
      <c r="J740" t="s">
        <v>30117</v>
      </c>
      <c r="K740" t="s">
        <v>38523</v>
      </c>
      <c r="M740" t="s">
        <v>39052</v>
      </c>
      <c r="N740" t="s">
        <v>42669</v>
      </c>
      <c r="O740" t="s">
        <v>42670</v>
      </c>
      <c r="P740">
        <v>0</v>
      </c>
      <c r="Q740">
        <v>0</v>
      </c>
      <c r="R740" t="s">
        <v>42671</v>
      </c>
      <c r="S740" t="s">
        <v>42779</v>
      </c>
      <c r="T740" t="s">
        <v>44403</v>
      </c>
      <c r="U740" t="s">
        <v>45505</v>
      </c>
      <c r="W740" t="s">
        <v>39052</v>
      </c>
      <c r="X740" t="s">
        <v>42672</v>
      </c>
    </row>
    <row r="741" spans="1:24">
      <c r="A741">
        <f>HYPERLINK("https://www.philgeps.gov.ph/GEPSNONPILOT/Tender/SplashBidNoticeAbstractUI.aspx?menuIndex=3&amp;refID=7194243&amp;Result=3","7194243")</f>
        <v>0</v>
      </c>
      <c r="B741" t="s">
        <v>297</v>
      </c>
      <c r="C741" t="s">
        <v>4232</v>
      </c>
      <c r="D741" t="s">
        <v>17141</v>
      </c>
      <c r="E741" t="s">
        <v>17938</v>
      </c>
      <c r="F741" t="s">
        <v>29372</v>
      </c>
      <c r="G741" t="s">
        <v>29379</v>
      </c>
      <c r="H741" t="s">
        <v>11048</v>
      </c>
      <c r="I741" t="s">
        <v>8614</v>
      </c>
      <c r="J741" t="s">
        <v>29694</v>
      </c>
      <c r="K741" t="s">
        <v>38487</v>
      </c>
      <c r="M741" t="s">
        <v>39056</v>
      </c>
      <c r="N741" t="s">
        <v>42669</v>
      </c>
      <c r="O741" t="s">
        <v>42670</v>
      </c>
      <c r="P741">
        <v>0</v>
      </c>
      <c r="Q741">
        <v>20</v>
      </c>
      <c r="R741" t="s">
        <v>42671</v>
      </c>
      <c r="S741" t="s">
        <v>42779</v>
      </c>
      <c r="T741" t="s">
        <v>44386</v>
      </c>
      <c r="U741" t="s">
        <v>45506</v>
      </c>
      <c r="W741" t="s">
        <v>39056</v>
      </c>
      <c r="X741" t="s">
        <v>42672</v>
      </c>
    </row>
    <row r="742" spans="1:24">
      <c r="A742">
        <f>HYPERLINK("https://www.philgeps.gov.ph/GEPSNONPILOT/Tender/SplashBidNoticeAbstractUI.aspx?menuIndex=3&amp;refID=7194242&amp;Result=3","7194242")</f>
        <v>0</v>
      </c>
      <c r="B742" t="s">
        <v>298</v>
      </c>
      <c r="C742" t="s">
        <v>4233</v>
      </c>
      <c r="D742" t="s">
        <v>17164</v>
      </c>
      <c r="E742" t="s">
        <v>17939</v>
      </c>
      <c r="F742" t="s">
        <v>29372</v>
      </c>
      <c r="G742" t="s">
        <v>29380</v>
      </c>
      <c r="H742" t="s">
        <v>29389</v>
      </c>
      <c r="I742" t="s">
        <v>10408</v>
      </c>
      <c r="J742" t="s">
        <v>30118</v>
      </c>
      <c r="K742" t="s">
        <v>38562</v>
      </c>
      <c r="M742" t="s">
        <v>39057</v>
      </c>
      <c r="N742" t="s">
        <v>42669</v>
      </c>
      <c r="O742" t="s">
        <v>42670</v>
      </c>
      <c r="P742">
        <v>0</v>
      </c>
      <c r="Q742">
        <v>0</v>
      </c>
      <c r="R742" t="s">
        <v>42671</v>
      </c>
      <c r="S742" t="s">
        <v>42779</v>
      </c>
      <c r="T742" t="s">
        <v>44381</v>
      </c>
      <c r="U742" t="s">
        <v>45507</v>
      </c>
      <c r="W742" t="s">
        <v>39057</v>
      </c>
      <c r="X742" t="s">
        <v>42672</v>
      </c>
    </row>
    <row r="743" spans="1:24">
      <c r="A743">
        <f>HYPERLINK("https://www.philgeps.gov.ph/GEPSNONPILOT/Tender/SplashBidNoticeAbstractUI.aspx?menuIndex=3&amp;refID=7194247&amp;Result=3","7194247")</f>
        <v>0</v>
      </c>
      <c r="B743" t="s">
        <v>299</v>
      </c>
      <c r="C743" t="s">
        <v>4234</v>
      </c>
      <c r="D743" t="s">
        <v>17160</v>
      </c>
      <c r="E743" t="s">
        <v>17940</v>
      </c>
      <c r="F743" t="s">
        <v>29372</v>
      </c>
      <c r="G743" t="s">
        <v>29383</v>
      </c>
      <c r="H743" t="s">
        <v>11048</v>
      </c>
      <c r="I743" t="s">
        <v>29398</v>
      </c>
      <c r="J743" t="s">
        <v>29590</v>
      </c>
      <c r="K743" t="s">
        <v>38528</v>
      </c>
      <c r="M743" t="s">
        <v>39058</v>
      </c>
      <c r="N743" t="s">
        <v>42669</v>
      </c>
      <c r="O743" t="s">
        <v>42670</v>
      </c>
      <c r="P743">
        <v>0</v>
      </c>
      <c r="Q743">
        <v>8</v>
      </c>
      <c r="R743" t="s">
        <v>42671</v>
      </c>
      <c r="S743" t="s">
        <v>42779</v>
      </c>
      <c r="T743" t="s">
        <v>44385</v>
      </c>
      <c r="U743" t="s">
        <v>45508</v>
      </c>
      <c r="W743" t="s">
        <v>39058</v>
      </c>
      <c r="X743" t="s">
        <v>42672</v>
      </c>
    </row>
    <row r="744" spans="1:24">
      <c r="A744">
        <f>HYPERLINK("https://www.philgeps.gov.ph/GEPSNONPILOT/Tender/SplashBidNoticeAbstractUI.aspx?menuIndex=3&amp;refID=7194241&amp;Result=3","7194241")</f>
        <v>0</v>
      </c>
      <c r="B744" t="s">
        <v>292</v>
      </c>
      <c r="C744" t="s">
        <v>4235</v>
      </c>
      <c r="D744" t="s">
        <v>17151</v>
      </c>
      <c r="E744" t="s">
        <v>17941</v>
      </c>
      <c r="F744" t="s">
        <v>29372</v>
      </c>
      <c r="G744" t="s">
        <v>29379</v>
      </c>
      <c r="H744" t="s">
        <v>11048</v>
      </c>
      <c r="I744" t="s">
        <v>4235</v>
      </c>
      <c r="J744" t="s">
        <v>29549</v>
      </c>
      <c r="K744" t="s">
        <v>38528</v>
      </c>
      <c r="M744" t="s">
        <v>39051</v>
      </c>
      <c r="N744" t="s">
        <v>42669</v>
      </c>
      <c r="O744" t="s">
        <v>42670</v>
      </c>
      <c r="P744">
        <v>0</v>
      </c>
      <c r="Q744">
        <v>0</v>
      </c>
      <c r="R744" t="s">
        <v>42671</v>
      </c>
      <c r="S744" t="s">
        <v>42779</v>
      </c>
      <c r="T744" t="s">
        <v>44387</v>
      </c>
      <c r="U744" t="s">
        <v>45509</v>
      </c>
      <c r="V744" t="s">
        <v>56414</v>
      </c>
      <c r="W744" t="s">
        <v>39051</v>
      </c>
      <c r="X744" t="s">
        <v>42672</v>
      </c>
    </row>
    <row r="745" spans="1:24">
      <c r="A745">
        <f>HYPERLINK("https://www.philgeps.gov.ph/GEPSNONPILOT/Tender/SplashBidNoticeAbstractUI.aspx?menuIndex=3&amp;refID=7194184&amp;Result=3","7194184")</f>
        <v>0</v>
      </c>
      <c r="B745" t="s">
        <v>281</v>
      </c>
      <c r="C745" t="s">
        <v>4236</v>
      </c>
      <c r="D745" t="s">
        <v>17206</v>
      </c>
      <c r="E745" t="s">
        <v>17714</v>
      </c>
      <c r="F745" t="s">
        <v>29372</v>
      </c>
      <c r="G745" t="s">
        <v>29380</v>
      </c>
      <c r="H745" t="s">
        <v>11048</v>
      </c>
      <c r="I745" t="s">
        <v>29452</v>
      </c>
      <c r="J745" t="s">
        <v>29619</v>
      </c>
      <c r="K745" t="s">
        <v>38485</v>
      </c>
      <c r="M745" t="s">
        <v>39040</v>
      </c>
      <c r="N745" t="s">
        <v>42669</v>
      </c>
      <c r="O745" t="s">
        <v>42670</v>
      </c>
      <c r="P745">
        <v>0</v>
      </c>
      <c r="Q745">
        <v>0</v>
      </c>
      <c r="R745" t="s">
        <v>42671</v>
      </c>
      <c r="S745" t="s">
        <v>42779</v>
      </c>
      <c r="T745" t="s">
        <v>44357</v>
      </c>
      <c r="U745" t="s">
        <v>45510</v>
      </c>
      <c r="W745" t="s">
        <v>39040</v>
      </c>
      <c r="X745" t="s">
        <v>42672</v>
      </c>
    </row>
    <row r="746" spans="1:24">
      <c r="A746">
        <f>HYPERLINK("https://www.philgeps.gov.ph/GEPSNONPILOT/Tender/SplashBidNoticeAbstractUI.aspx?menuIndex=3&amp;refID=7194250&amp;Result=3","7194250")</f>
        <v>0</v>
      </c>
      <c r="B746" t="s">
        <v>296</v>
      </c>
      <c r="C746" t="s">
        <v>4237</v>
      </c>
      <c r="D746" t="s">
        <v>17153</v>
      </c>
      <c r="E746" t="s">
        <v>17942</v>
      </c>
      <c r="F746" t="s">
        <v>29372</v>
      </c>
      <c r="G746" t="s">
        <v>29380</v>
      </c>
      <c r="H746" t="s">
        <v>29389</v>
      </c>
      <c r="I746" t="s">
        <v>10408</v>
      </c>
      <c r="J746" t="s">
        <v>30119</v>
      </c>
      <c r="K746" t="s">
        <v>38533</v>
      </c>
      <c r="M746" t="s">
        <v>39055</v>
      </c>
      <c r="N746" t="s">
        <v>42669</v>
      </c>
      <c r="O746" t="s">
        <v>42670</v>
      </c>
      <c r="P746">
        <v>0</v>
      </c>
      <c r="Q746">
        <v>4</v>
      </c>
      <c r="R746" t="s">
        <v>42671</v>
      </c>
      <c r="S746" t="s">
        <v>42779</v>
      </c>
      <c r="T746" t="s">
        <v>44379</v>
      </c>
      <c r="U746" t="s">
        <v>45511</v>
      </c>
      <c r="W746" t="s">
        <v>39055</v>
      </c>
      <c r="X746" t="s">
        <v>42672</v>
      </c>
    </row>
    <row r="747" spans="1:24">
      <c r="A747">
        <f>HYPERLINK("https://www.philgeps.gov.ph/GEPSNONPILOT/Tender/SplashBidNoticeAbstractUI.aspx?menuIndex=3&amp;refID=7194244&amp;Result=3","7194244")</f>
        <v>0</v>
      </c>
      <c r="B747" t="s">
        <v>24</v>
      </c>
      <c r="C747" t="s">
        <v>4238</v>
      </c>
      <c r="D747" t="s">
        <v>17141</v>
      </c>
      <c r="E747" t="s">
        <v>17943</v>
      </c>
      <c r="F747" t="s">
        <v>29372</v>
      </c>
      <c r="G747" t="s">
        <v>29379</v>
      </c>
      <c r="H747" t="s">
        <v>11048</v>
      </c>
      <c r="I747" t="s">
        <v>29412</v>
      </c>
      <c r="J747" t="s">
        <v>30120</v>
      </c>
      <c r="K747" t="s">
        <v>38485</v>
      </c>
      <c r="M747" t="s">
        <v>38777</v>
      </c>
      <c r="N747" t="s">
        <v>42669</v>
      </c>
      <c r="O747" t="s">
        <v>42670</v>
      </c>
      <c r="P747">
        <v>0</v>
      </c>
      <c r="Q747">
        <v>2</v>
      </c>
      <c r="R747" t="s">
        <v>42671</v>
      </c>
      <c r="S747" t="s">
        <v>42779</v>
      </c>
      <c r="T747" t="s">
        <v>44470</v>
      </c>
      <c r="U747" t="s">
        <v>45512</v>
      </c>
      <c r="V747" t="s">
        <v>56415</v>
      </c>
      <c r="W747" t="s">
        <v>38777</v>
      </c>
      <c r="X747" t="s">
        <v>42672</v>
      </c>
    </row>
    <row r="748" spans="1:24">
      <c r="A748">
        <f>HYPERLINK("https://www.philgeps.gov.ph/GEPSNONPILOT/Tender/SplashBidNoticeAbstractUI.aspx?menuIndex=3&amp;refID=7194239&amp;Result=3","7194239")</f>
        <v>0</v>
      </c>
      <c r="B748" t="s">
        <v>280</v>
      </c>
      <c r="C748" t="s">
        <v>4239</v>
      </c>
      <c r="D748" t="s">
        <v>17144</v>
      </c>
      <c r="E748" t="s">
        <v>17944</v>
      </c>
      <c r="F748" t="s">
        <v>29372</v>
      </c>
      <c r="G748" t="s">
        <v>29380</v>
      </c>
      <c r="H748" t="s">
        <v>11048</v>
      </c>
      <c r="I748" t="s">
        <v>29400</v>
      </c>
      <c r="J748" t="s">
        <v>30121</v>
      </c>
      <c r="K748" t="s">
        <v>38485</v>
      </c>
      <c r="M748" t="s">
        <v>39039</v>
      </c>
      <c r="N748" t="s">
        <v>42669</v>
      </c>
      <c r="O748" t="s">
        <v>42670</v>
      </c>
      <c r="P748">
        <v>0</v>
      </c>
      <c r="Q748">
        <v>6</v>
      </c>
      <c r="R748" t="s">
        <v>42671</v>
      </c>
      <c r="S748" t="s">
        <v>42779</v>
      </c>
      <c r="T748" t="s">
        <v>44478</v>
      </c>
      <c r="U748" t="s">
        <v>45513</v>
      </c>
      <c r="W748" t="s">
        <v>39039</v>
      </c>
      <c r="X748" t="s">
        <v>42672</v>
      </c>
    </row>
    <row r="749" spans="1:24">
      <c r="A749">
        <f>HYPERLINK("https://www.philgeps.gov.ph/GEPSNONPILOT/Tender/SplashBidNoticeAbstractUI.aspx?menuIndex=3&amp;refID=7194249&amp;Result=3","7194249")</f>
        <v>0</v>
      </c>
      <c r="B749" t="s">
        <v>292</v>
      </c>
      <c r="C749" t="s">
        <v>4240</v>
      </c>
      <c r="D749" t="s">
        <v>17151</v>
      </c>
      <c r="E749" t="s">
        <v>17945</v>
      </c>
      <c r="F749" t="s">
        <v>29372</v>
      </c>
      <c r="G749" t="s">
        <v>29379</v>
      </c>
      <c r="H749" t="s">
        <v>11048</v>
      </c>
      <c r="I749" t="s">
        <v>29425</v>
      </c>
      <c r="J749" t="s">
        <v>30122</v>
      </c>
      <c r="K749" t="s">
        <v>38528</v>
      </c>
      <c r="M749" t="s">
        <v>39051</v>
      </c>
      <c r="N749" t="s">
        <v>42669</v>
      </c>
      <c r="O749" t="s">
        <v>42670</v>
      </c>
      <c r="P749">
        <v>0</v>
      </c>
      <c r="Q749">
        <v>1</v>
      </c>
      <c r="R749" t="s">
        <v>42671</v>
      </c>
      <c r="S749" t="s">
        <v>42779</v>
      </c>
      <c r="T749" t="s">
        <v>44387</v>
      </c>
      <c r="U749" t="s">
        <v>45514</v>
      </c>
      <c r="V749" t="s">
        <v>56414</v>
      </c>
      <c r="W749" t="s">
        <v>39051</v>
      </c>
      <c r="X749" t="s">
        <v>42672</v>
      </c>
    </row>
    <row r="750" spans="1:24">
      <c r="A750">
        <f>HYPERLINK("https://www.philgeps.gov.ph/GEPSNONPILOT/Tender/SplashBidNoticeAbstractUI.aspx?menuIndex=3&amp;refID=7194225&amp;Result=3","7194225")</f>
        <v>0</v>
      </c>
      <c r="B750" t="s">
        <v>300</v>
      </c>
      <c r="C750" t="s">
        <v>4241</v>
      </c>
      <c r="D750" t="s">
        <v>17169</v>
      </c>
      <c r="E750" t="s">
        <v>17946</v>
      </c>
      <c r="F750" t="s">
        <v>29372</v>
      </c>
      <c r="G750" t="s">
        <v>29383</v>
      </c>
      <c r="H750" t="s">
        <v>11048</v>
      </c>
      <c r="I750" t="s">
        <v>29407</v>
      </c>
      <c r="J750" t="s">
        <v>30123</v>
      </c>
      <c r="K750" t="s">
        <v>38491</v>
      </c>
      <c r="M750" t="s">
        <v>39059</v>
      </c>
      <c r="N750" t="s">
        <v>42669</v>
      </c>
      <c r="O750" t="s">
        <v>42670</v>
      </c>
      <c r="P750">
        <v>0</v>
      </c>
      <c r="Q750">
        <v>4</v>
      </c>
      <c r="R750" t="s">
        <v>42671</v>
      </c>
      <c r="S750" t="s">
        <v>42779</v>
      </c>
      <c r="T750" t="s">
        <v>44481</v>
      </c>
      <c r="U750" t="s">
        <v>45515</v>
      </c>
      <c r="W750" t="s">
        <v>39059</v>
      </c>
      <c r="X750" t="s">
        <v>42672</v>
      </c>
    </row>
    <row r="751" spans="1:24">
      <c r="A751">
        <f>HYPERLINK("https://www.philgeps.gov.ph/GEPSNONPILOT/Tender/SplashBidNoticeAbstractUI.aspx?menuIndex=3&amp;refID=7194279&amp;Result=3","7194279")</f>
        <v>0</v>
      </c>
      <c r="B751" t="s">
        <v>301</v>
      </c>
      <c r="C751" t="s">
        <v>4242</v>
      </c>
      <c r="D751" t="s">
        <v>17160</v>
      </c>
      <c r="E751" t="s">
        <v>17947</v>
      </c>
      <c r="F751" t="s">
        <v>29372</v>
      </c>
      <c r="G751" t="s">
        <v>29381</v>
      </c>
      <c r="H751" t="s">
        <v>11048</v>
      </c>
      <c r="I751" t="s">
        <v>4709</v>
      </c>
      <c r="J751" t="s">
        <v>29980</v>
      </c>
      <c r="K751" t="s">
        <v>38528</v>
      </c>
      <c r="M751" t="s">
        <v>39060</v>
      </c>
      <c r="N751" t="s">
        <v>42669</v>
      </c>
      <c r="O751" t="s">
        <v>42670</v>
      </c>
      <c r="P751">
        <v>0</v>
      </c>
      <c r="Q751">
        <v>0</v>
      </c>
      <c r="R751" t="s">
        <v>42671</v>
      </c>
      <c r="S751" t="s">
        <v>42779</v>
      </c>
      <c r="T751" t="s">
        <v>44389</v>
      </c>
      <c r="U751" t="s">
        <v>45516</v>
      </c>
      <c r="W751" t="s">
        <v>58007</v>
      </c>
      <c r="X751" t="s">
        <v>42672</v>
      </c>
    </row>
    <row r="752" spans="1:24">
      <c r="A752">
        <f>HYPERLINK("https://www.philgeps.gov.ph/GEPSNONPILOT/Tender/SplashBidNoticeAbstractUI.aspx?menuIndex=3&amp;refID=7194278&amp;Result=3","7194278")</f>
        <v>0</v>
      </c>
      <c r="B752" t="s">
        <v>282</v>
      </c>
      <c r="C752" t="s">
        <v>4243</v>
      </c>
      <c r="D752" t="s">
        <v>17209</v>
      </c>
      <c r="E752" t="s">
        <v>4243</v>
      </c>
      <c r="F752" t="s">
        <v>29372</v>
      </c>
      <c r="G752" t="s">
        <v>29379</v>
      </c>
      <c r="H752" t="s">
        <v>11048</v>
      </c>
      <c r="I752" t="s">
        <v>3629</v>
      </c>
      <c r="J752" t="s">
        <v>30124</v>
      </c>
      <c r="K752" t="s">
        <v>38488</v>
      </c>
      <c r="L752" t="s">
        <v>282</v>
      </c>
      <c r="M752" t="s">
        <v>39041</v>
      </c>
      <c r="N752" t="s">
        <v>42669</v>
      </c>
      <c r="O752" t="s">
        <v>42670</v>
      </c>
      <c r="P752">
        <v>0</v>
      </c>
      <c r="Q752">
        <v>0</v>
      </c>
      <c r="R752" t="s">
        <v>42671</v>
      </c>
      <c r="S752" t="s">
        <v>42779</v>
      </c>
      <c r="T752" t="s">
        <v>44394</v>
      </c>
      <c r="U752" t="s">
        <v>45482</v>
      </c>
      <c r="W752" t="s">
        <v>39041</v>
      </c>
      <c r="X752" t="s">
        <v>42672</v>
      </c>
    </row>
    <row r="753" spans="1:24">
      <c r="A753">
        <f>HYPERLINK("https://www.philgeps.gov.ph/GEPSNONPILOT/Tender/SplashBidNoticeAbstractUI.aspx?menuIndex=3&amp;refID=7194274&amp;Result=3","7194274")</f>
        <v>0</v>
      </c>
      <c r="B753" t="s">
        <v>302</v>
      </c>
      <c r="C753" t="s">
        <v>4244</v>
      </c>
      <c r="D753" t="s">
        <v>17153</v>
      </c>
      <c r="E753" t="s">
        <v>17948</v>
      </c>
      <c r="F753" t="s">
        <v>29372</v>
      </c>
      <c r="G753" t="s">
        <v>29380</v>
      </c>
      <c r="H753" t="s">
        <v>29389</v>
      </c>
      <c r="I753" t="s">
        <v>10408</v>
      </c>
      <c r="J753" t="s">
        <v>30125</v>
      </c>
      <c r="K753" t="s">
        <v>38530</v>
      </c>
      <c r="M753" t="s">
        <v>39061</v>
      </c>
      <c r="N753" t="s">
        <v>42669</v>
      </c>
      <c r="O753" t="s">
        <v>42670</v>
      </c>
      <c r="P753">
        <v>0</v>
      </c>
      <c r="Q753">
        <v>0</v>
      </c>
      <c r="R753" t="s">
        <v>42671</v>
      </c>
      <c r="S753" t="s">
        <v>42779</v>
      </c>
      <c r="T753" t="s">
        <v>44354</v>
      </c>
      <c r="U753" t="s">
        <v>45517</v>
      </c>
      <c r="W753" t="s">
        <v>39061</v>
      </c>
      <c r="X753" t="s">
        <v>42672</v>
      </c>
    </row>
    <row r="754" spans="1:24">
      <c r="A754">
        <f>HYPERLINK("https://www.philgeps.gov.ph/GEPSNONPILOT/Tender/SplashBidNoticeAbstractUI.aspx?menuIndex=3&amp;refID=7194240&amp;Result=3","7194240")</f>
        <v>0</v>
      </c>
      <c r="B754" t="s">
        <v>260</v>
      </c>
      <c r="C754" t="s">
        <v>4245</v>
      </c>
      <c r="D754" t="s">
        <v>17169</v>
      </c>
      <c r="E754" t="s">
        <v>17949</v>
      </c>
      <c r="F754" t="s">
        <v>29372</v>
      </c>
      <c r="G754" t="s">
        <v>29380</v>
      </c>
      <c r="H754" t="s">
        <v>29389</v>
      </c>
      <c r="I754" t="s">
        <v>29417</v>
      </c>
      <c r="J754" t="s">
        <v>30126</v>
      </c>
      <c r="K754" t="s">
        <v>38522</v>
      </c>
      <c r="M754" t="s">
        <v>39019</v>
      </c>
      <c r="N754" t="s">
        <v>42669</v>
      </c>
      <c r="O754" t="s">
        <v>42670</v>
      </c>
      <c r="P754">
        <v>0</v>
      </c>
      <c r="Q754">
        <v>3</v>
      </c>
      <c r="R754" t="s">
        <v>42671</v>
      </c>
      <c r="S754" t="s">
        <v>42779</v>
      </c>
      <c r="T754" t="s">
        <v>44466</v>
      </c>
      <c r="U754" t="s">
        <v>45518</v>
      </c>
      <c r="W754" t="s">
        <v>39019</v>
      </c>
      <c r="X754" t="s">
        <v>42672</v>
      </c>
    </row>
    <row r="755" spans="1:24">
      <c r="A755">
        <f>HYPERLINK("https://www.philgeps.gov.ph/GEPSNONPILOT/Tender/SplashBidNoticeAbstractUI.aspx?menuIndex=3&amp;refID=7194271&amp;Result=3","7194271")</f>
        <v>0</v>
      </c>
      <c r="B755" t="s">
        <v>303</v>
      </c>
      <c r="C755" t="s">
        <v>4246</v>
      </c>
      <c r="D755" t="s">
        <v>17160</v>
      </c>
      <c r="E755" t="s">
        <v>17947</v>
      </c>
      <c r="F755" t="s">
        <v>29372</v>
      </c>
      <c r="G755" t="s">
        <v>29380</v>
      </c>
      <c r="H755" t="s">
        <v>29390</v>
      </c>
      <c r="I755" t="s">
        <v>9469</v>
      </c>
      <c r="J755" t="s">
        <v>29625</v>
      </c>
      <c r="K755" t="s">
        <v>38528</v>
      </c>
      <c r="M755" t="s">
        <v>39062</v>
      </c>
      <c r="N755" t="s">
        <v>42669</v>
      </c>
      <c r="O755" t="s">
        <v>42670</v>
      </c>
      <c r="P755">
        <v>0</v>
      </c>
      <c r="Q755">
        <v>0</v>
      </c>
      <c r="R755" t="s">
        <v>42671</v>
      </c>
      <c r="S755" t="s">
        <v>42779</v>
      </c>
      <c r="T755" t="s">
        <v>44389</v>
      </c>
      <c r="U755" t="s">
        <v>45519</v>
      </c>
      <c r="W755" t="s">
        <v>58008</v>
      </c>
      <c r="X755" t="s">
        <v>42672</v>
      </c>
    </row>
    <row r="756" spans="1:24">
      <c r="A756">
        <f>HYPERLINK("https://www.philgeps.gov.ph/GEPSNONPILOT/Tender/SplashBidNoticeAbstractUI.aspx?menuIndex=3&amp;refID=7194280&amp;Result=3","7194280")</f>
        <v>0</v>
      </c>
      <c r="B756" t="s">
        <v>302</v>
      </c>
      <c r="C756" t="s">
        <v>4247</v>
      </c>
      <c r="D756" t="s">
        <v>17153</v>
      </c>
      <c r="E756" t="s">
        <v>17950</v>
      </c>
      <c r="F756" t="s">
        <v>29372</v>
      </c>
      <c r="G756" t="s">
        <v>29380</v>
      </c>
      <c r="H756" t="s">
        <v>11048</v>
      </c>
      <c r="I756" t="s">
        <v>9469</v>
      </c>
      <c r="J756" t="s">
        <v>29721</v>
      </c>
      <c r="K756" t="s">
        <v>38510</v>
      </c>
      <c r="M756" t="s">
        <v>39061</v>
      </c>
      <c r="N756" t="s">
        <v>42669</v>
      </c>
      <c r="O756" t="s">
        <v>42670</v>
      </c>
      <c r="P756">
        <v>0</v>
      </c>
      <c r="Q756">
        <v>0</v>
      </c>
      <c r="R756" t="s">
        <v>42671</v>
      </c>
      <c r="S756" t="s">
        <v>42779</v>
      </c>
      <c r="T756" t="s">
        <v>44380</v>
      </c>
      <c r="U756" t="s">
        <v>45520</v>
      </c>
      <c r="W756" t="s">
        <v>39061</v>
      </c>
      <c r="X756" t="s">
        <v>42672</v>
      </c>
    </row>
    <row r="757" spans="1:24">
      <c r="A757">
        <f>HYPERLINK("https://www.philgeps.gov.ph/GEPSNONPILOT/Tender/SplashBidNoticeAbstractUI.aspx?menuIndex=3&amp;refID=7194281&amp;Result=3","7194281")</f>
        <v>0</v>
      </c>
      <c r="B757" t="s">
        <v>304</v>
      </c>
      <c r="C757" t="s">
        <v>4248</v>
      </c>
      <c r="D757" t="s">
        <v>17141</v>
      </c>
      <c r="E757" t="s">
        <v>17951</v>
      </c>
      <c r="F757" t="s">
        <v>29372</v>
      </c>
      <c r="G757" t="s">
        <v>29380</v>
      </c>
      <c r="H757" t="s">
        <v>11048</v>
      </c>
      <c r="I757" t="s">
        <v>29409</v>
      </c>
      <c r="J757" t="s">
        <v>30127</v>
      </c>
      <c r="K757" t="s">
        <v>38491</v>
      </c>
      <c r="M757" t="s">
        <v>39063</v>
      </c>
      <c r="N757" t="s">
        <v>42669</v>
      </c>
      <c r="O757" t="s">
        <v>42670</v>
      </c>
      <c r="P757">
        <v>0</v>
      </c>
      <c r="Q757">
        <v>4</v>
      </c>
      <c r="R757" t="s">
        <v>42671</v>
      </c>
      <c r="S757" t="s">
        <v>42779</v>
      </c>
      <c r="T757" t="s">
        <v>44373</v>
      </c>
      <c r="U757" t="s">
        <v>45521</v>
      </c>
      <c r="W757" t="s">
        <v>39063</v>
      </c>
      <c r="X757" t="s">
        <v>42672</v>
      </c>
    </row>
    <row r="758" spans="1:24">
      <c r="A758">
        <f>HYPERLINK("https://www.philgeps.gov.ph/GEPSNONPILOT/Tender/SplashBidNoticeAbstractUI.aspx?menuIndex=3&amp;refID=7194270&amp;Result=3","7194270")</f>
        <v>0</v>
      </c>
      <c r="B758" t="s">
        <v>305</v>
      </c>
      <c r="C758" t="s">
        <v>4249</v>
      </c>
      <c r="D758" t="s">
        <v>17204</v>
      </c>
      <c r="E758" t="s">
        <v>17952</v>
      </c>
      <c r="F758" t="s">
        <v>29372</v>
      </c>
      <c r="G758" t="s">
        <v>29383</v>
      </c>
      <c r="H758" t="s">
        <v>11048</v>
      </c>
      <c r="I758" t="s">
        <v>4487</v>
      </c>
      <c r="J758" t="s">
        <v>30128</v>
      </c>
      <c r="K758" t="s">
        <v>38518</v>
      </c>
      <c r="M758" t="s">
        <v>39064</v>
      </c>
      <c r="N758" t="s">
        <v>42669</v>
      </c>
      <c r="O758" t="s">
        <v>42670</v>
      </c>
      <c r="P758">
        <v>0</v>
      </c>
      <c r="Q758">
        <v>9</v>
      </c>
      <c r="R758" t="s">
        <v>42671</v>
      </c>
      <c r="S758" t="s">
        <v>42779</v>
      </c>
      <c r="T758" t="s">
        <v>44429</v>
      </c>
      <c r="U758" t="s">
        <v>45522</v>
      </c>
      <c r="W758" t="s">
        <v>39064</v>
      </c>
      <c r="X758" t="s">
        <v>42672</v>
      </c>
    </row>
    <row r="759" spans="1:24">
      <c r="A759">
        <f>HYPERLINK("https://www.philgeps.gov.ph/GEPSNONPILOT/Tender/SplashBidNoticeAbstractUI.aspx?menuIndex=3&amp;refID=7194273&amp;Result=3","7194273")</f>
        <v>0</v>
      </c>
      <c r="B759" t="s">
        <v>305</v>
      </c>
      <c r="C759" t="s">
        <v>4250</v>
      </c>
      <c r="D759" t="s">
        <v>17204</v>
      </c>
      <c r="E759" t="s">
        <v>17953</v>
      </c>
      <c r="F759" t="s">
        <v>29372</v>
      </c>
      <c r="G759" t="s">
        <v>29379</v>
      </c>
      <c r="H759" t="s">
        <v>29389</v>
      </c>
      <c r="I759" t="s">
        <v>29429</v>
      </c>
      <c r="J759" t="s">
        <v>30129</v>
      </c>
      <c r="K759" t="s">
        <v>38487</v>
      </c>
      <c r="M759" t="s">
        <v>39064</v>
      </c>
      <c r="N759" t="s">
        <v>42669</v>
      </c>
      <c r="O759" t="s">
        <v>42670</v>
      </c>
      <c r="P759">
        <v>0</v>
      </c>
      <c r="Q759">
        <v>2</v>
      </c>
      <c r="R759" t="s">
        <v>42671</v>
      </c>
      <c r="S759" t="s">
        <v>42779</v>
      </c>
      <c r="T759" t="s">
        <v>44389</v>
      </c>
      <c r="U759" t="s">
        <v>45523</v>
      </c>
      <c r="W759" t="s">
        <v>39064</v>
      </c>
      <c r="X759" t="s">
        <v>42672</v>
      </c>
    </row>
    <row r="760" spans="1:24">
      <c r="A760">
        <f>HYPERLINK("https://www.philgeps.gov.ph/GEPSNONPILOT/Tender/SplashBidNoticeAbstractUI.aspx?menuIndex=3&amp;refID=7194275&amp;Result=3","7194275")</f>
        <v>0</v>
      </c>
      <c r="B760" t="s">
        <v>294</v>
      </c>
      <c r="C760" t="s">
        <v>4251</v>
      </c>
      <c r="D760" t="s">
        <v>17209</v>
      </c>
      <c r="E760" t="s">
        <v>17954</v>
      </c>
      <c r="F760" t="s">
        <v>29372</v>
      </c>
      <c r="G760" t="s">
        <v>29379</v>
      </c>
      <c r="H760" t="s">
        <v>11048</v>
      </c>
      <c r="I760" t="s">
        <v>29412</v>
      </c>
      <c r="J760" t="s">
        <v>29543</v>
      </c>
      <c r="K760" t="s">
        <v>38528</v>
      </c>
      <c r="M760" t="s">
        <v>39053</v>
      </c>
      <c r="N760" t="s">
        <v>42669</v>
      </c>
      <c r="O760" t="s">
        <v>42670</v>
      </c>
      <c r="P760">
        <v>0</v>
      </c>
      <c r="Q760">
        <v>0</v>
      </c>
      <c r="R760" t="s">
        <v>42671</v>
      </c>
      <c r="S760" t="s">
        <v>42779</v>
      </c>
      <c r="T760" t="s">
        <v>44378</v>
      </c>
      <c r="U760" t="s">
        <v>45524</v>
      </c>
      <c r="W760" t="s">
        <v>39053</v>
      </c>
      <c r="X760" t="s">
        <v>42672</v>
      </c>
    </row>
    <row r="761" spans="1:24">
      <c r="A761">
        <f>HYPERLINK("https://www.philgeps.gov.ph/GEPSNONPILOT/Tender/SplashBidNoticeAbstractUI.aspx?menuIndex=3&amp;refID=7194264&amp;Result=3","7194264")</f>
        <v>0</v>
      </c>
      <c r="B761" t="s">
        <v>294</v>
      </c>
      <c r="C761" t="s">
        <v>4252</v>
      </c>
      <c r="D761" t="s">
        <v>17209</v>
      </c>
      <c r="E761" t="s">
        <v>17955</v>
      </c>
      <c r="F761" t="s">
        <v>29372</v>
      </c>
      <c r="G761" t="s">
        <v>29379</v>
      </c>
      <c r="H761" t="s">
        <v>11048</v>
      </c>
      <c r="I761" t="s">
        <v>29407</v>
      </c>
      <c r="J761" t="s">
        <v>29543</v>
      </c>
      <c r="K761" t="s">
        <v>38528</v>
      </c>
      <c r="M761" t="s">
        <v>39053</v>
      </c>
      <c r="N761" t="s">
        <v>42669</v>
      </c>
      <c r="O761" t="s">
        <v>42670</v>
      </c>
      <c r="P761">
        <v>0</v>
      </c>
      <c r="Q761">
        <v>4</v>
      </c>
      <c r="R761" t="s">
        <v>42671</v>
      </c>
      <c r="S761" t="s">
        <v>42779</v>
      </c>
      <c r="T761" t="s">
        <v>44378</v>
      </c>
      <c r="U761" t="s">
        <v>45524</v>
      </c>
      <c r="W761" t="s">
        <v>39053</v>
      </c>
      <c r="X761" t="s">
        <v>42672</v>
      </c>
    </row>
    <row r="762" spans="1:24">
      <c r="A762">
        <f>HYPERLINK("https://www.philgeps.gov.ph/GEPSNONPILOT/Tender/SplashBidNoticeAbstractUI.aspx?menuIndex=3&amp;refID=7194285&amp;Result=3","7194285")</f>
        <v>0</v>
      </c>
      <c r="B762" t="s">
        <v>294</v>
      </c>
      <c r="C762" t="s">
        <v>4253</v>
      </c>
      <c r="D762" t="s">
        <v>17209</v>
      </c>
      <c r="E762" t="s">
        <v>17956</v>
      </c>
      <c r="F762" t="s">
        <v>29372</v>
      </c>
      <c r="G762" t="s">
        <v>29382</v>
      </c>
      <c r="H762" t="s">
        <v>11048</v>
      </c>
      <c r="I762" t="s">
        <v>29410</v>
      </c>
      <c r="J762" t="s">
        <v>29590</v>
      </c>
      <c r="K762" t="s">
        <v>38528</v>
      </c>
      <c r="M762" t="s">
        <v>39053</v>
      </c>
      <c r="N762" t="s">
        <v>42669</v>
      </c>
      <c r="O762" t="s">
        <v>42670</v>
      </c>
      <c r="P762">
        <v>0</v>
      </c>
      <c r="Q762">
        <v>1</v>
      </c>
      <c r="R762" t="s">
        <v>42671</v>
      </c>
      <c r="S762" t="s">
        <v>42779</v>
      </c>
      <c r="T762" t="s">
        <v>44378</v>
      </c>
      <c r="U762" t="s">
        <v>45524</v>
      </c>
      <c r="W762" t="s">
        <v>39053</v>
      </c>
      <c r="X762" t="s">
        <v>42672</v>
      </c>
    </row>
    <row r="763" spans="1:24">
      <c r="A763">
        <f>HYPERLINK("https://www.philgeps.gov.ph/GEPSNONPILOT/Tender/SplashBidNoticeAbstractUI.aspx?menuIndex=3&amp;refID=7194269&amp;Result=3","7194269")</f>
        <v>0</v>
      </c>
      <c r="B763" t="s">
        <v>282</v>
      </c>
      <c r="C763" t="s">
        <v>4254</v>
      </c>
      <c r="D763" t="s">
        <v>17209</v>
      </c>
      <c r="E763" t="s">
        <v>4254</v>
      </c>
      <c r="F763" t="s">
        <v>29372</v>
      </c>
      <c r="G763" t="s">
        <v>29379</v>
      </c>
      <c r="H763" t="s">
        <v>11048</v>
      </c>
      <c r="I763" t="s">
        <v>4487</v>
      </c>
      <c r="J763" t="s">
        <v>30130</v>
      </c>
      <c r="K763" t="s">
        <v>38488</v>
      </c>
      <c r="L763" t="s">
        <v>282</v>
      </c>
      <c r="M763" t="s">
        <v>39041</v>
      </c>
      <c r="N763" t="s">
        <v>42669</v>
      </c>
      <c r="O763" t="s">
        <v>42670</v>
      </c>
      <c r="P763">
        <v>0</v>
      </c>
      <c r="Q763">
        <v>0</v>
      </c>
      <c r="R763" t="s">
        <v>42671</v>
      </c>
      <c r="S763" t="s">
        <v>42779</v>
      </c>
      <c r="T763" t="s">
        <v>44394</v>
      </c>
      <c r="U763" t="s">
        <v>45525</v>
      </c>
      <c r="W763" t="s">
        <v>39041</v>
      </c>
      <c r="X763" t="s">
        <v>42672</v>
      </c>
    </row>
    <row r="764" spans="1:24">
      <c r="A764">
        <f>HYPERLINK("https://www.philgeps.gov.ph/GEPSNONPILOT/Tender/SplashBidNoticeAbstractUI.aspx?menuIndex=3&amp;refID=7194266&amp;Result=3","7194266")</f>
        <v>0</v>
      </c>
      <c r="B764" t="s">
        <v>294</v>
      </c>
      <c r="C764" t="s">
        <v>4255</v>
      </c>
      <c r="D764" t="s">
        <v>17209</v>
      </c>
      <c r="E764" t="s">
        <v>17957</v>
      </c>
      <c r="F764" t="s">
        <v>29372</v>
      </c>
      <c r="G764" t="s">
        <v>29379</v>
      </c>
      <c r="H764" t="s">
        <v>11048</v>
      </c>
      <c r="I764" t="s">
        <v>29393</v>
      </c>
      <c r="J764" t="s">
        <v>30131</v>
      </c>
      <c r="K764" t="s">
        <v>38528</v>
      </c>
      <c r="M764" t="s">
        <v>39053</v>
      </c>
      <c r="N764" t="s">
        <v>42669</v>
      </c>
      <c r="O764" t="s">
        <v>42670</v>
      </c>
      <c r="P764">
        <v>0</v>
      </c>
      <c r="Q764">
        <v>0</v>
      </c>
      <c r="R764" t="s">
        <v>42671</v>
      </c>
      <c r="S764" t="s">
        <v>42779</v>
      </c>
      <c r="T764" t="s">
        <v>44378</v>
      </c>
      <c r="U764" t="s">
        <v>45524</v>
      </c>
      <c r="W764" t="s">
        <v>39053</v>
      </c>
      <c r="X764" t="s">
        <v>42672</v>
      </c>
    </row>
    <row r="765" spans="1:24">
      <c r="A765">
        <f>HYPERLINK("https://www.philgeps.gov.ph/GEPSNONPILOT/Tender/SplashBidNoticeAbstractUI.aspx?menuIndex=3&amp;refID=7194265&amp;Result=3","7194265")</f>
        <v>0</v>
      </c>
      <c r="B765" t="s">
        <v>305</v>
      </c>
      <c r="C765" t="s">
        <v>4256</v>
      </c>
      <c r="D765" t="s">
        <v>17204</v>
      </c>
      <c r="E765" t="s">
        <v>17958</v>
      </c>
      <c r="F765" t="s">
        <v>29372</v>
      </c>
      <c r="G765" t="s">
        <v>29383</v>
      </c>
      <c r="H765" t="s">
        <v>11048</v>
      </c>
      <c r="I765" t="s">
        <v>29410</v>
      </c>
      <c r="J765" t="s">
        <v>30132</v>
      </c>
      <c r="K765" t="s">
        <v>38518</v>
      </c>
      <c r="M765" t="s">
        <v>39064</v>
      </c>
      <c r="N765" t="s">
        <v>42669</v>
      </c>
      <c r="O765" t="s">
        <v>42670</v>
      </c>
      <c r="P765">
        <v>0</v>
      </c>
      <c r="Q765">
        <v>1</v>
      </c>
      <c r="R765" t="s">
        <v>42671</v>
      </c>
      <c r="S765" t="s">
        <v>42779</v>
      </c>
      <c r="T765" t="s">
        <v>44429</v>
      </c>
      <c r="U765" t="s">
        <v>45526</v>
      </c>
      <c r="W765" t="s">
        <v>39064</v>
      </c>
      <c r="X765" t="s">
        <v>42672</v>
      </c>
    </row>
    <row r="766" spans="1:24">
      <c r="A766">
        <f>HYPERLINK("https://www.philgeps.gov.ph/GEPSNONPILOT/Tender/SplashBidNoticeAbstractUI.aspx?menuIndex=3&amp;refID=7194303&amp;Result=3","7194303")</f>
        <v>0</v>
      </c>
      <c r="B766" t="s">
        <v>306</v>
      </c>
      <c r="C766" t="s">
        <v>4257</v>
      </c>
      <c r="D766" t="s">
        <v>17141</v>
      </c>
      <c r="E766" t="s">
        <v>17959</v>
      </c>
      <c r="F766" t="s">
        <v>29372</v>
      </c>
      <c r="G766" t="s">
        <v>29381</v>
      </c>
      <c r="H766" t="s">
        <v>29389</v>
      </c>
      <c r="I766" t="s">
        <v>29417</v>
      </c>
      <c r="J766" t="s">
        <v>30133</v>
      </c>
      <c r="K766" t="s">
        <v>38490</v>
      </c>
      <c r="M766" t="s">
        <v>39065</v>
      </c>
      <c r="N766" t="s">
        <v>42669</v>
      </c>
      <c r="O766" t="s">
        <v>42670</v>
      </c>
      <c r="P766">
        <v>0</v>
      </c>
      <c r="Q766">
        <v>5</v>
      </c>
      <c r="R766" t="s">
        <v>42671</v>
      </c>
      <c r="S766" t="s">
        <v>42779</v>
      </c>
      <c r="T766" t="s">
        <v>44482</v>
      </c>
      <c r="U766" t="s">
        <v>45527</v>
      </c>
      <c r="W766" t="s">
        <v>39065</v>
      </c>
      <c r="X766" t="s">
        <v>42672</v>
      </c>
    </row>
    <row r="767" spans="1:24">
      <c r="A767">
        <f>HYPERLINK("https://www.philgeps.gov.ph/GEPSNONPILOT/Tender/SplashBidNoticeAbstractUI.aspx?menuIndex=3&amp;refID=7194272&amp;Result=3","7194272")</f>
        <v>0</v>
      </c>
      <c r="B767" t="s">
        <v>294</v>
      </c>
      <c r="C767" t="s">
        <v>4258</v>
      </c>
      <c r="D767" t="s">
        <v>17209</v>
      </c>
      <c r="E767" t="s">
        <v>17960</v>
      </c>
      <c r="F767" t="s">
        <v>29372</v>
      </c>
      <c r="G767" t="s">
        <v>29382</v>
      </c>
      <c r="H767" t="s">
        <v>11048</v>
      </c>
      <c r="I767" t="s">
        <v>5383</v>
      </c>
      <c r="J767" t="s">
        <v>30134</v>
      </c>
      <c r="K767" t="s">
        <v>38528</v>
      </c>
      <c r="M767" t="s">
        <v>39053</v>
      </c>
      <c r="N767" t="s">
        <v>42669</v>
      </c>
      <c r="O767" t="s">
        <v>42670</v>
      </c>
      <c r="P767">
        <v>0</v>
      </c>
      <c r="Q767">
        <v>0</v>
      </c>
      <c r="R767" t="s">
        <v>42671</v>
      </c>
      <c r="S767" t="s">
        <v>42779</v>
      </c>
      <c r="T767" t="s">
        <v>44378</v>
      </c>
      <c r="U767" t="s">
        <v>45524</v>
      </c>
      <c r="W767" t="s">
        <v>39053</v>
      </c>
      <c r="X767" t="s">
        <v>42672</v>
      </c>
    </row>
    <row r="768" spans="1:24">
      <c r="A768">
        <f>HYPERLINK("https://www.philgeps.gov.ph/GEPSNONPILOT/Tender/SplashBidNoticeAbstractUI.aspx?menuIndex=3&amp;refID=7194302&amp;Result=3","7194302")</f>
        <v>0</v>
      </c>
      <c r="B768" t="s">
        <v>282</v>
      </c>
      <c r="C768" t="s">
        <v>4259</v>
      </c>
      <c r="D768" t="s">
        <v>17209</v>
      </c>
      <c r="E768" t="s">
        <v>4259</v>
      </c>
      <c r="F768" t="s">
        <v>29372</v>
      </c>
      <c r="G768" t="s">
        <v>29379</v>
      </c>
      <c r="H768" t="s">
        <v>11048</v>
      </c>
      <c r="I768" t="s">
        <v>3670</v>
      </c>
      <c r="J768" t="s">
        <v>29555</v>
      </c>
      <c r="K768" t="s">
        <v>38488</v>
      </c>
      <c r="L768" t="s">
        <v>282</v>
      </c>
      <c r="M768" t="s">
        <v>39041</v>
      </c>
      <c r="N768" t="s">
        <v>42669</v>
      </c>
      <c r="O768" t="s">
        <v>42670</v>
      </c>
      <c r="P768">
        <v>0</v>
      </c>
      <c r="Q768">
        <v>0</v>
      </c>
      <c r="R768" t="s">
        <v>42671</v>
      </c>
      <c r="S768" t="s">
        <v>42779</v>
      </c>
      <c r="T768" t="s">
        <v>44394</v>
      </c>
      <c r="U768" t="s">
        <v>45485</v>
      </c>
      <c r="W768" t="s">
        <v>39041</v>
      </c>
      <c r="X768" t="s">
        <v>42672</v>
      </c>
    </row>
    <row r="769" spans="1:24">
      <c r="A769">
        <f>HYPERLINK("https://www.philgeps.gov.ph/GEPSNONPILOT/Tender/SplashBidNoticeAbstractUI.aspx?menuIndex=3&amp;refID=7194301&amp;Result=3","7194301")</f>
        <v>0</v>
      </c>
      <c r="B769" t="s">
        <v>307</v>
      </c>
      <c r="C769" t="s">
        <v>4260</v>
      </c>
      <c r="D769" t="s">
        <v>17171</v>
      </c>
      <c r="E769" t="s">
        <v>17961</v>
      </c>
      <c r="F769" t="s">
        <v>29372</v>
      </c>
      <c r="G769" t="s">
        <v>29380</v>
      </c>
      <c r="H769" t="s">
        <v>11048</v>
      </c>
      <c r="I769" t="s">
        <v>29394</v>
      </c>
      <c r="J769" t="s">
        <v>30135</v>
      </c>
      <c r="K769" t="s">
        <v>38534</v>
      </c>
      <c r="M769" t="s">
        <v>39066</v>
      </c>
      <c r="N769" t="s">
        <v>42669</v>
      </c>
      <c r="O769" t="s">
        <v>42670</v>
      </c>
      <c r="P769">
        <v>0</v>
      </c>
      <c r="Q769">
        <v>0</v>
      </c>
      <c r="R769" t="s">
        <v>42671</v>
      </c>
      <c r="S769" t="s">
        <v>42779</v>
      </c>
      <c r="T769" t="s">
        <v>44483</v>
      </c>
      <c r="U769" t="s">
        <v>45528</v>
      </c>
      <c r="W769" t="s">
        <v>39066</v>
      </c>
      <c r="X769" t="s">
        <v>42672</v>
      </c>
    </row>
    <row r="770" spans="1:24">
      <c r="A770">
        <f>HYPERLINK("https://www.philgeps.gov.ph/GEPSNONPILOT/Tender/SplashBidNoticeAbstractUI.aspx?menuIndex=3&amp;refID=7194277&amp;Result=3","7194277")</f>
        <v>0</v>
      </c>
      <c r="B770" t="s">
        <v>308</v>
      </c>
      <c r="C770" t="s">
        <v>4261</v>
      </c>
      <c r="D770" t="s">
        <v>17141</v>
      </c>
      <c r="E770" t="s">
        <v>17962</v>
      </c>
      <c r="F770" t="s">
        <v>29372</v>
      </c>
      <c r="G770" t="s">
        <v>29379</v>
      </c>
      <c r="H770" t="s">
        <v>29390</v>
      </c>
      <c r="I770" t="s">
        <v>9469</v>
      </c>
      <c r="J770" t="s">
        <v>30136</v>
      </c>
      <c r="K770" t="s">
        <v>38488</v>
      </c>
      <c r="M770" t="s">
        <v>39067</v>
      </c>
      <c r="N770" t="s">
        <v>42669</v>
      </c>
      <c r="O770" t="s">
        <v>42670</v>
      </c>
      <c r="P770">
        <v>0</v>
      </c>
      <c r="Q770">
        <v>1</v>
      </c>
      <c r="R770" t="s">
        <v>42671</v>
      </c>
      <c r="S770" t="s">
        <v>42779</v>
      </c>
      <c r="T770" t="s">
        <v>44387</v>
      </c>
      <c r="U770" t="s">
        <v>45529</v>
      </c>
      <c r="V770" t="s">
        <v>56416</v>
      </c>
      <c r="W770" t="s">
        <v>39067</v>
      </c>
      <c r="X770" t="s">
        <v>42672</v>
      </c>
    </row>
    <row r="771" spans="1:24">
      <c r="A771">
        <f>HYPERLINK("https://www.philgeps.gov.ph/GEPSNONPILOT/Tender/SplashBidNoticeAbstractUI.aspx?menuIndex=3&amp;refID=7194253&amp;Result=3","7194253")</f>
        <v>0</v>
      </c>
      <c r="B771" t="s">
        <v>292</v>
      </c>
      <c r="C771" t="s">
        <v>4262</v>
      </c>
      <c r="D771" t="s">
        <v>17151</v>
      </c>
      <c r="E771" t="s">
        <v>17963</v>
      </c>
      <c r="F771" t="s">
        <v>29372</v>
      </c>
      <c r="G771" t="s">
        <v>29379</v>
      </c>
      <c r="H771" t="s">
        <v>11048</v>
      </c>
      <c r="I771" t="s">
        <v>3629</v>
      </c>
      <c r="J771" t="s">
        <v>30137</v>
      </c>
      <c r="K771" t="s">
        <v>38528</v>
      </c>
      <c r="M771" t="s">
        <v>39051</v>
      </c>
      <c r="N771" t="s">
        <v>42669</v>
      </c>
      <c r="O771" t="s">
        <v>42670</v>
      </c>
      <c r="P771">
        <v>0</v>
      </c>
      <c r="Q771">
        <v>0</v>
      </c>
      <c r="R771" t="s">
        <v>42671</v>
      </c>
      <c r="S771" t="s">
        <v>42779</v>
      </c>
      <c r="T771" t="s">
        <v>44387</v>
      </c>
      <c r="U771" t="s">
        <v>45530</v>
      </c>
      <c r="V771" t="s">
        <v>56414</v>
      </c>
      <c r="W771" t="s">
        <v>39051</v>
      </c>
      <c r="X771" t="s">
        <v>42672</v>
      </c>
    </row>
    <row r="772" spans="1:24">
      <c r="A772">
        <f>HYPERLINK("https://www.philgeps.gov.ph/GEPSNONPILOT/Tender/SplashBidNoticeAbstractUI.aspx?menuIndex=3&amp;refID=7194298&amp;Result=3","7194298")</f>
        <v>0</v>
      </c>
      <c r="B772" t="s">
        <v>309</v>
      </c>
      <c r="C772" t="s">
        <v>4263</v>
      </c>
      <c r="D772" t="s">
        <v>17211</v>
      </c>
      <c r="E772" t="s">
        <v>17964</v>
      </c>
      <c r="F772" t="s">
        <v>29372</v>
      </c>
      <c r="G772" t="s">
        <v>29380</v>
      </c>
      <c r="H772" t="s">
        <v>11048</v>
      </c>
      <c r="I772" t="s">
        <v>4709</v>
      </c>
      <c r="J772" t="s">
        <v>30138</v>
      </c>
      <c r="K772" t="s">
        <v>38496</v>
      </c>
      <c r="L772" t="s">
        <v>309</v>
      </c>
      <c r="M772" t="s">
        <v>39068</v>
      </c>
      <c r="N772" t="s">
        <v>42669</v>
      </c>
      <c r="O772" t="s">
        <v>42670</v>
      </c>
      <c r="P772">
        <v>0</v>
      </c>
      <c r="Q772">
        <v>0</v>
      </c>
      <c r="R772" t="s">
        <v>42671</v>
      </c>
      <c r="S772" t="s">
        <v>42779</v>
      </c>
      <c r="T772" t="s">
        <v>44412</v>
      </c>
      <c r="U772" t="s">
        <v>45531</v>
      </c>
      <c r="W772" t="s">
        <v>39068</v>
      </c>
      <c r="X772" t="s">
        <v>42672</v>
      </c>
    </row>
    <row r="773" spans="1:24">
      <c r="A773">
        <f>HYPERLINK("https://www.philgeps.gov.ph/GEPSNONPILOT/Tender/SplashBidNoticeAbstractUI.aspx?menuIndex=3&amp;refID=7194305&amp;Result=3","7194305")</f>
        <v>0</v>
      </c>
      <c r="B773" t="s">
        <v>310</v>
      </c>
      <c r="C773" t="s">
        <v>4264</v>
      </c>
      <c r="D773" t="s">
        <v>17205</v>
      </c>
      <c r="E773" t="s">
        <v>17965</v>
      </c>
      <c r="F773" t="s">
        <v>29372</v>
      </c>
      <c r="G773" t="s">
        <v>29380</v>
      </c>
      <c r="H773" t="s">
        <v>11048</v>
      </c>
      <c r="I773" t="s">
        <v>4709</v>
      </c>
      <c r="J773" t="s">
        <v>29929</v>
      </c>
      <c r="K773" t="s">
        <v>38491</v>
      </c>
      <c r="M773" t="s">
        <v>39069</v>
      </c>
      <c r="N773" t="s">
        <v>42669</v>
      </c>
      <c r="O773" t="s">
        <v>42670</v>
      </c>
      <c r="P773">
        <v>0</v>
      </c>
      <c r="Q773">
        <v>0</v>
      </c>
      <c r="R773" t="s">
        <v>42671</v>
      </c>
      <c r="S773" t="s">
        <v>42779</v>
      </c>
      <c r="T773" t="s">
        <v>44356</v>
      </c>
      <c r="U773" t="s">
        <v>45532</v>
      </c>
      <c r="W773" t="s">
        <v>39069</v>
      </c>
      <c r="X773" t="s">
        <v>42672</v>
      </c>
    </row>
    <row r="774" spans="1:24">
      <c r="A774">
        <f>HYPERLINK("https://www.philgeps.gov.ph/GEPSNONPILOT/Tender/SplashBidNoticeAbstractUI.aspx?menuIndex=3&amp;refID=7194295&amp;Result=3","7194295")</f>
        <v>0</v>
      </c>
      <c r="B774" t="s">
        <v>311</v>
      </c>
      <c r="C774" t="s">
        <v>4265</v>
      </c>
      <c r="E774" t="s">
        <v>17966</v>
      </c>
      <c r="F774" t="s">
        <v>29372</v>
      </c>
      <c r="G774" t="s">
        <v>29379</v>
      </c>
      <c r="H774" t="s">
        <v>11048</v>
      </c>
      <c r="I774" t="s">
        <v>5383</v>
      </c>
      <c r="J774" t="s">
        <v>30139</v>
      </c>
      <c r="K774" t="s">
        <v>38490</v>
      </c>
      <c r="M774" t="s">
        <v>39070</v>
      </c>
      <c r="N774" t="s">
        <v>42669</v>
      </c>
      <c r="O774" t="s">
        <v>42670</v>
      </c>
      <c r="P774">
        <v>0</v>
      </c>
      <c r="Q774">
        <v>5</v>
      </c>
      <c r="R774" t="s">
        <v>42671</v>
      </c>
      <c r="S774" t="s">
        <v>42779</v>
      </c>
      <c r="T774" t="s">
        <v>44387</v>
      </c>
      <c r="U774" t="s">
        <v>45533</v>
      </c>
      <c r="W774" t="s">
        <v>39070</v>
      </c>
      <c r="X774" t="s">
        <v>42672</v>
      </c>
    </row>
    <row r="775" spans="1:24">
      <c r="A775">
        <f>HYPERLINK("https://www.philgeps.gov.ph/GEPSNONPILOT/Tender/SplashBidNoticeAbstractUI.aspx?menuIndex=3&amp;refID=7194292&amp;Result=3","7194292")</f>
        <v>0</v>
      </c>
      <c r="B775" t="s">
        <v>312</v>
      </c>
      <c r="C775" t="s">
        <v>4266</v>
      </c>
      <c r="D775" t="s">
        <v>17189</v>
      </c>
      <c r="E775" t="s">
        <v>17533</v>
      </c>
      <c r="F775" t="s">
        <v>29372</v>
      </c>
      <c r="G775" t="s">
        <v>29383</v>
      </c>
      <c r="H775" t="s">
        <v>11048</v>
      </c>
      <c r="I775" t="s">
        <v>29412</v>
      </c>
      <c r="J775" t="s">
        <v>30140</v>
      </c>
      <c r="K775" t="s">
        <v>38528</v>
      </c>
      <c r="M775" t="s">
        <v>39071</v>
      </c>
      <c r="N775" t="s">
        <v>42669</v>
      </c>
      <c r="O775" t="s">
        <v>42670</v>
      </c>
      <c r="P775">
        <v>0</v>
      </c>
      <c r="Q775">
        <v>0</v>
      </c>
      <c r="R775" t="s">
        <v>42671</v>
      </c>
      <c r="S775" t="s">
        <v>42779</v>
      </c>
      <c r="T775" t="s">
        <v>44469</v>
      </c>
      <c r="U775" t="s">
        <v>45534</v>
      </c>
      <c r="W775" t="s">
        <v>39071</v>
      </c>
      <c r="X775" t="s">
        <v>42672</v>
      </c>
    </row>
    <row r="776" spans="1:24">
      <c r="A776">
        <f>HYPERLINK("https://www.philgeps.gov.ph/GEPSNONPILOT/Tender/SplashBidNoticeAbstractUI.aspx?menuIndex=3&amp;refID=7194290&amp;Result=3","7194290")</f>
        <v>0</v>
      </c>
      <c r="B776" t="s">
        <v>313</v>
      </c>
      <c r="C776" t="s">
        <v>4267</v>
      </c>
      <c r="D776" t="s">
        <v>17207</v>
      </c>
      <c r="E776" t="s">
        <v>17771</v>
      </c>
      <c r="F776" t="s">
        <v>29372</v>
      </c>
      <c r="G776" t="s">
        <v>29380</v>
      </c>
      <c r="H776" t="s">
        <v>11048</v>
      </c>
      <c r="I776" t="s">
        <v>8794</v>
      </c>
      <c r="J776" t="s">
        <v>30141</v>
      </c>
      <c r="K776" t="s">
        <v>38485</v>
      </c>
      <c r="M776" t="s">
        <v>39072</v>
      </c>
      <c r="N776" t="s">
        <v>42669</v>
      </c>
      <c r="O776" t="s">
        <v>42670</v>
      </c>
      <c r="P776">
        <v>0</v>
      </c>
      <c r="Q776">
        <v>0</v>
      </c>
      <c r="R776" t="s">
        <v>42671</v>
      </c>
      <c r="S776" t="s">
        <v>42779</v>
      </c>
      <c r="T776" t="s">
        <v>44409</v>
      </c>
      <c r="U776" t="s">
        <v>45535</v>
      </c>
      <c r="W776" t="s">
        <v>39072</v>
      </c>
      <c r="X776" t="s">
        <v>42672</v>
      </c>
    </row>
    <row r="777" spans="1:24">
      <c r="A777">
        <f>HYPERLINK("https://www.philgeps.gov.ph/GEPSNONPILOT/Tender/SplashBidNoticeAbstractUI.aspx?menuIndex=3&amp;refID=7194299&amp;Result=3","7194299")</f>
        <v>0</v>
      </c>
      <c r="B777" t="s">
        <v>314</v>
      </c>
      <c r="C777" t="s">
        <v>4268</v>
      </c>
      <c r="D777" t="s">
        <v>17169</v>
      </c>
      <c r="E777" t="s">
        <v>17428</v>
      </c>
      <c r="F777" t="s">
        <v>29372</v>
      </c>
      <c r="G777" t="s">
        <v>29382</v>
      </c>
      <c r="H777" t="s">
        <v>11048</v>
      </c>
      <c r="I777" t="s">
        <v>29419</v>
      </c>
      <c r="J777" t="s">
        <v>30142</v>
      </c>
      <c r="K777" t="s">
        <v>38489</v>
      </c>
      <c r="M777" t="s">
        <v>39073</v>
      </c>
      <c r="N777" t="s">
        <v>42669</v>
      </c>
      <c r="O777" t="s">
        <v>42670</v>
      </c>
      <c r="P777">
        <v>0</v>
      </c>
      <c r="Q777">
        <v>1</v>
      </c>
      <c r="R777" t="s">
        <v>42671</v>
      </c>
      <c r="S777" t="s">
        <v>42779</v>
      </c>
      <c r="T777" t="s">
        <v>44387</v>
      </c>
      <c r="U777" t="s">
        <v>45536</v>
      </c>
      <c r="W777" t="s">
        <v>39073</v>
      </c>
      <c r="X777" t="s">
        <v>42672</v>
      </c>
    </row>
    <row r="778" spans="1:24">
      <c r="A778">
        <f>HYPERLINK("https://www.philgeps.gov.ph/GEPSNONPILOT/Tender/SplashBidNoticeAbstractUI.aspx?menuIndex=3&amp;refID=7194300&amp;Result=3","7194300")</f>
        <v>0</v>
      </c>
      <c r="B778" t="s">
        <v>40</v>
      </c>
      <c r="C778" t="s">
        <v>4269</v>
      </c>
      <c r="D778" t="s">
        <v>17151</v>
      </c>
      <c r="E778" t="s">
        <v>17967</v>
      </c>
      <c r="F778" t="s">
        <v>29372</v>
      </c>
      <c r="G778" t="s">
        <v>29380</v>
      </c>
      <c r="H778" t="s">
        <v>11048</v>
      </c>
      <c r="I778" t="s">
        <v>3670</v>
      </c>
      <c r="J778" t="s">
        <v>30143</v>
      </c>
      <c r="K778" t="s">
        <v>38485</v>
      </c>
      <c r="M778" t="s">
        <v>38793</v>
      </c>
      <c r="N778" t="s">
        <v>42669</v>
      </c>
      <c r="O778" t="s">
        <v>42670</v>
      </c>
      <c r="P778">
        <v>0</v>
      </c>
      <c r="Q778">
        <v>0</v>
      </c>
      <c r="R778" t="s">
        <v>42671</v>
      </c>
      <c r="S778" t="s">
        <v>42779</v>
      </c>
      <c r="T778" t="s">
        <v>44366</v>
      </c>
      <c r="U778" t="s">
        <v>45537</v>
      </c>
      <c r="V778" t="s">
        <v>56328</v>
      </c>
      <c r="W778" t="s">
        <v>38793</v>
      </c>
      <c r="X778" t="s">
        <v>42672</v>
      </c>
    </row>
    <row r="779" spans="1:24">
      <c r="A779">
        <f>HYPERLINK("https://www.philgeps.gov.ph/GEPSNONPILOT/Tender/SplashBidNoticeAbstractUI.aspx?menuIndex=3&amp;refID=7194289&amp;Result=3","7194289")</f>
        <v>0</v>
      </c>
      <c r="B779" t="s">
        <v>304</v>
      </c>
      <c r="C779" t="s">
        <v>4270</v>
      </c>
      <c r="D779" t="s">
        <v>17141</v>
      </c>
      <c r="E779" t="s">
        <v>17968</v>
      </c>
      <c r="F779" t="s">
        <v>29372</v>
      </c>
      <c r="G779" t="s">
        <v>29381</v>
      </c>
      <c r="H779" t="s">
        <v>11048</v>
      </c>
      <c r="I779" t="s">
        <v>29453</v>
      </c>
      <c r="J779" t="s">
        <v>30144</v>
      </c>
      <c r="K779" t="s">
        <v>38491</v>
      </c>
      <c r="M779" t="s">
        <v>39063</v>
      </c>
      <c r="N779" t="s">
        <v>42669</v>
      </c>
      <c r="O779" t="s">
        <v>42670</v>
      </c>
      <c r="P779">
        <v>0</v>
      </c>
      <c r="Q779">
        <v>0</v>
      </c>
      <c r="R779" t="s">
        <v>42671</v>
      </c>
      <c r="S779" t="s">
        <v>42779</v>
      </c>
      <c r="T779" t="s">
        <v>44373</v>
      </c>
      <c r="U779" t="s">
        <v>45538</v>
      </c>
      <c r="W779" t="s">
        <v>39063</v>
      </c>
      <c r="X779" t="s">
        <v>42672</v>
      </c>
    </row>
    <row r="780" spans="1:24">
      <c r="A780">
        <f>HYPERLINK("https://www.philgeps.gov.ph/GEPSNONPILOT/Tender/SplashBidNoticeAbstractUI.aspx?menuIndex=3&amp;refID=7194296&amp;Result=3","7194296")</f>
        <v>0</v>
      </c>
      <c r="B780" t="s">
        <v>307</v>
      </c>
      <c r="C780" t="s">
        <v>4271</v>
      </c>
      <c r="D780" t="s">
        <v>17171</v>
      </c>
      <c r="E780" t="s">
        <v>17969</v>
      </c>
      <c r="F780" t="s">
        <v>29372</v>
      </c>
      <c r="G780" t="s">
        <v>29380</v>
      </c>
      <c r="H780" t="s">
        <v>11048</v>
      </c>
      <c r="I780" t="s">
        <v>4709</v>
      </c>
      <c r="J780" t="s">
        <v>30145</v>
      </c>
      <c r="K780" t="s">
        <v>38534</v>
      </c>
      <c r="M780" t="s">
        <v>39066</v>
      </c>
      <c r="N780" t="s">
        <v>42669</v>
      </c>
      <c r="O780" t="s">
        <v>42670</v>
      </c>
      <c r="P780">
        <v>0</v>
      </c>
      <c r="Q780">
        <v>0</v>
      </c>
      <c r="R780" t="s">
        <v>42671</v>
      </c>
      <c r="S780" t="s">
        <v>42779</v>
      </c>
      <c r="T780" t="s">
        <v>44483</v>
      </c>
      <c r="U780" t="s">
        <v>45539</v>
      </c>
      <c r="W780" t="s">
        <v>39066</v>
      </c>
      <c r="X780" t="s">
        <v>42672</v>
      </c>
    </row>
    <row r="781" spans="1:24">
      <c r="A781">
        <f>HYPERLINK("https://www.philgeps.gov.ph/GEPSNONPILOT/Tender/SplashBidNoticeAbstractUI.aspx?menuIndex=3&amp;refID=7194294&amp;Result=3","7194294")</f>
        <v>0</v>
      </c>
      <c r="B781" t="s">
        <v>304</v>
      </c>
      <c r="C781" t="s">
        <v>4272</v>
      </c>
      <c r="D781" t="s">
        <v>17141</v>
      </c>
      <c r="E781" t="s">
        <v>17970</v>
      </c>
      <c r="F781" t="s">
        <v>29372</v>
      </c>
      <c r="G781" t="s">
        <v>29379</v>
      </c>
      <c r="H781" t="s">
        <v>29390</v>
      </c>
      <c r="I781" t="s">
        <v>29453</v>
      </c>
      <c r="J781" t="s">
        <v>30146</v>
      </c>
      <c r="K781" t="s">
        <v>38528</v>
      </c>
      <c r="M781" t="s">
        <v>39063</v>
      </c>
      <c r="N781" t="s">
        <v>42669</v>
      </c>
      <c r="O781" t="s">
        <v>42670</v>
      </c>
      <c r="P781">
        <v>0</v>
      </c>
      <c r="Q781">
        <v>2</v>
      </c>
      <c r="R781" t="s">
        <v>42671</v>
      </c>
      <c r="S781" t="s">
        <v>42779</v>
      </c>
      <c r="T781" t="s">
        <v>44386</v>
      </c>
      <c r="U781" t="s">
        <v>45540</v>
      </c>
      <c r="W781" t="s">
        <v>39063</v>
      </c>
      <c r="X781" t="s">
        <v>42672</v>
      </c>
    </row>
    <row r="782" spans="1:24">
      <c r="A782">
        <f>HYPERLINK("https://www.philgeps.gov.ph/GEPSNONPILOT/Tender/SplashBidNoticeAbstractUI.aspx?menuIndex=3&amp;refID=7194283&amp;Result=3","7194283")</f>
        <v>0</v>
      </c>
      <c r="B782" t="s">
        <v>294</v>
      </c>
      <c r="C782" t="s">
        <v>4273</v>
      </c>
      <c r="D782" t="s">
        <v>17209</v>
      </c>
      <c r="E782" t="s">
        <v>17971</v>
      </c>
      <c r="F782" t="s">
        <v>29372</v>
      </c>
      <c r="G782" t="s">
        <v>29382</v>
      </c>
      <c r="H782" t="s">
        <v>11048</v>
      </c>
      <c r="I782" t="s">
        <v>29410</v>
      </c>
      <c r="J782" t="s">
        <v>29590</v>
      </c>
      <c r="K782" t="s">
        <v>38528</v>
      </c>
      <c r="M782" t="s">
        <v>39053</v>
      </c>
      <c r="N782" t="s">
        <v>42669</v>
      </c>
      <c r="O782" t="s">
        <v>42670</v>
      </c>
      <c r="P782">
        <v>0</v>
      </c>
      <c r="Q782">
        <v>0</v>
      </c>
      <c r="R782" t="s">
        <v>42671</v>
      </c>
      <c r="S782" t="s">
        <v>42779</v>
      </c>
      <c r="T782" t="s">
        <v>44378</v>
      </c>
      <c r="U782" t="s">
        <v>45524</v>
      </c>
      <c r="W782" t="s">
        <v>39053</v>
      </c>
      <c r="X782" t="s">
        <v>42672</v>
      </c>
    </row>
    <row r="783" spans="1:24">
      <c r="A783">
        <f>HYPERLINK("https://www.philgeps.gov.ph/GEPSNONPILOT/Tender/SplashBidNoticeAbstractUI.aspx?menuIndex=3&amp;refID=7194282&amp;Result=3","7194282")</f>
        <v>0</v>
      </c>
      <c r="B783" t="s">
        <v>315</v>
      </c>
      <c r="C783" t="s">
        <v>4274</v>
      </c>
      <c r="D783" t="s">
        <v>17180</v>
      </c>
      <c r="E783" t="s">
        <v>17972</v>
      </c>
      <c r="F783" t="s">
        <v>29372</v>
      </c>
      <c r="G783" t="s">
        <v>29380</v>
      </c>
      <c r="H783" t="s">
        <v>11048</v>
      </c>
      <c r="I783" t="s">
        <v>4709</v>
      </c>
      <c r="J783" t="s">
        <v>30147</v>
      </c>
      <c r="K783" t="s">
        <v>38491</v>
      </c>
      <c r="M783" t="s">
        <v>39074</v>
      </c>
      <c r="N783" t="s">
        <v>42669</v>
      </c>
      <c r="O783" t="s">
        <v>42670</v>
      </c>
      <c r="P783">
        <v>0</v>
      </c>
      <c r="Q783">
        <v>2</v>
      </c>
      <c r="R783" t="s">
        <v>42671</v>
      </c>
      <c r="S783" t="s">
        <v>42779</v>
      </c>
      <c r="T783" t="s">
        <v>44393</v>
      </c>
      <c r="U783" t="s">
        <v>45541</v>
      </c>
      <c r="V783" t="s">
        <v>56417</v>
      </c>
      <c r="W783" t="s">
        <v>39074</v>
      </c>
      <c r="X783" t="s">
        <v>42672</v>
      </c>
    </row>
    <row r="784" spans="1:24">
      <c r="A784">
        <f>HYPERLINK("https://www.philgeps.gov.ph/GEPSNONPILOT/Tender/SplashBidNoticeAbstractUI.aspx?menuIndex=3&amp;refID=7194260&amp;Result=3","7194260")</f>
        <v>0</v>
      </c>
      <c r="B784" t="s">
        <v>294</v>
      </c>
      <c r="C784" t="s">
        <v>4275</v>
      </c>
      <c r="D784" t="s">
        <v>17209</v>
      </c>
      <c r="E784" t="s">
        <v>17973</v>
      </c>
      <c r="F784" t="s">
        <v>29372</v>
      </c>
      <c r="G784" t="s">
        <v>29379</v>
      </c>
      <c r="H784" t="s">
        <v>11048</v>
      </c>
      <c r="I784" t="s">
        <v>29393</v>
      </c>
      <c r="J784" t="s">
        <v>30148</v>
      </c>
      <c r="K784" t="s">
        <v>38528</v>
      </c>
      <c r="M784" t="s">
        <v>39053</v>
      </c>
      <c r="N784" t="s">
        <v>42669</v>
      </c>
      <c r="O784" t="s">
        <v>42670</v>
      </c>
      <c r="P784">
        <v>0</v>
      </c>
      <c r="Q784">
        <v>0</v>
      </c>
      <c r="R784" t="s">
        <v>42671</v>
      </c>
      <c r="S784" t="s">
        <v>42779</v>
      </c>
      <c r="T784" t="s">
        <v>44378</v>
      </c>
      <c r="U784" t="s">
        <v>45498</v>
      </c>
      <c r="W784" t="s">
        <v>39053</v>
      </c>
      <c r="X784" t="s">
        <v>42672</v>
      </c>
    </row>
    <row r="785" spans="1:24">
      <c r="A785">
        <f>HYPERLINK("https://www.philgeps.gov.ph/GEPSNONPILOT/Tender/SplashBidNoticeAbstractUI.aspx?menuIndex=3&amp;refID=7194306&amp;Result=3","7194306")</f>
        <v>0</v>
      </c>
      <c r="B785" t="s">
        <v>307</v>
      </c>
      <c r="C785" t="s">
        <v>4276</v>
      </c>
      <c r="D785" t="s">
        <v>17171</v>
      </c>
      <c r="E785" t="s">
        <v>17974</v>
      </c>
      <c r="F785" t="s">
        <v>29372</v>
      </c>
      <c r="G785" t="s">
        <v>29380</v>
      </c>
      <c r="H785" t="s">
        <v>11048</v>
      </c>
      <c r="I785" t="s">
        <v>4487</v>
      </c>
      <c r="J785" t="s">
        <v>30149</v>
      </c>
      <c r="K785" t="s">
        <v>38534</v>
      </c>
      <c r="M785" t="s">
        <v>39066</v>
      </c>
      <c r="N785" t="s">
        <v>42669</v>
      </c>
      <c r="O785" t="s">
        <v>42670</v>
      </c>
      <c r="P785">
        <v>0</v>
      </c>
      <c r="Q785">
        <v>1</v>
      </c>
      <c r="R785" t="s">
        <v>42671</v>
      </c>
      <c r="S785" t="s">
        <v>42779</v>
      </c>
      <c r="T785" t="s">
        <v>44483</v>
      </c>
      <c r="U785" t="s">
        <v>45542</v>
      </c>
      <c r="W785" t="s">
        <v>39066</v>
      </c>
      <c r="X785" t="s">
        <v>42672</v>
      </c>
    </row>
    <row r="786" spans="1:24">
      <c r="A786">
        <f>HYPERLINK("https://www.philgeps.gov.ph/GEPSNONPILOT/Tender/SplashBidNoticeAbstractUI.aspx?menuIndex=3&amp;refID=7194287&amp;Result=3","7194287")</f>
        <v>0</v>
      </c>
      <c r="B786" t="s">
        <v>316</v>
      </c>
      <c r="C786" t="s">
        <v>4277</v>
      </c>
      <c r="D786" t="s">
        <v>17212</v>
      </c>
      <c r="E786" t="s">
        <v>17975</v>
      </c>
      <c r="F786" t="s">
        <v>29372</v>
      </c>
      <c r="G786" t="s">
        <v>29379</v>
      </c>
      <c r="H786" t="s">
        <v>11048</v>
      </c>
      <c r="I786" t="s">
        <v>29407</v>
      </c>
      <c r="J786" t="s">
        <v>30150</v>
      </c>
      <c r="K786" t="s">
        <v>38490</v>
      </c>
      <c r="M786" t="s">
        <v>39075</v>
      </c>
      <c r="N786" t="s">
        <v>42669</v>
      </c>
      <c r="O786" t="s">
        <v>42670</v>
      </c>
      <c r="P786">
        <v>0</v>
      </c>
      <c r="Q786">
        <v>5</v>
      </c>
      <c r="R786" t="s">
        <v>42671</v>
      </c>
      <c r="S786" t="s">
        <v>42779</v>
      </c>
      <c r="T786" t="s">
        <v>44371</v>
      </c>
      <c r="U786" t="s">
        <v>45543</v>
      </c>
      <c r="W786" t="s">
        <v>39075</v>
      </c>
      <c r="X786" t="s">
        <v>42672</v>
      </c>
    </row>
    <row r="787" spans="1:24">
      <c r="A787">
        <f>HYPERLINK("https://www.philgeps.gov.ph/GEPSNONPILOT/Tender/SplashBidNoticeAbstractUI.aspx?menuIndex=3&amp;refID=7194286&amp;Result=3","7194286")</f>
        <v>0</v>
      </c>
      <c r="B787" t="s">
        <v>308</v>
      </c>
      <c r="C787" t="s">
        <v>4278</v>
      </c>
      <c r="D787" t="s">
        <v>17141</v>
      </c>
      <c r="E787" t="s">
        <v>17976</v>
      </c>
      <c r="F787" t="s">
        <v>29372</v>
      </c>
      <c r="G787" t="s">
        <v>29379</v>
      </c>
      <c r="H787" t="s">
        <v>29390</v>
      </c>
      <c r="I787" t="s">
        <v>9469</v>
      </c>
      <c r="J787" t="s">
        <v>30151</v>
      </c>
      <c r="K787" t="s">
        <v>38488</v>
      </c>
      <c r="M787" t="s">
        <v>39067</v>
      </c>
      <c r="N787" t="s">
        <v>42669</v>
      </c>
      <c r="O787" t="s">
        <v>42670</v>
      </c>
      <c r="P787">
        <v>0</v>
      </c>
      <c r="Q787">
        <v>0</v>
      </c>
      <c r="R787" t="s">
        <v>42671</v>
      </c>
      <c r="S787" t="s">
        <v>42779</v>
      </c>
      <c r="T787" t="s">
        <v>44387</v>
      </c>
      <c r="U787" t="s">
        <v>45529</v>
      </c>
      <c r="V787" t="s">
        <v>56418</v>
      </c>
      <c r="W787" t="s">
        <v>39067</v>
      </c>
      <c r="X787" t="s">
        <v>42672</v>
      </c>
    </row>
    <row r="788" spans="1:24">
      <c r="A788">
        <f>HYPERLINK("https://www.philgeps.gov.ph/GEPSNONPILOT/Tender/SplashBidNoticeAbstractUI.aspx?menuIndex=3&amp;refID=7194238&amp;Result=3","7194238")</f>
        <v>0</v>
      </c>
      <c r="B788" t="s">
        <v>260</v>
      </c>
      <c r="C788" t="s">
        <v>4279</v>
      </c>
      <c r="D788" t="s">
        <v>17169</v>
      </c>
      <c r="E788" t="s">
        <v>17977</v>
      </c>
      <c r="F788" t="s">
        <v>29372</v>
      </c>
      <c r="G788" t="s">
        <v>29380</v>
      </c>
      <c r="H788" t="s">
        <v>29389</v>
      </c>
      <c r="I788" t="s">
        <v>10408</v>
      </c>
      <c r="J788" t="s">
        <v>30152</v>
      </c>
      <c r="K788" t="s">
        <v>38495</v>
      </c>
      <c r="M788" t="s">
        <v>39019</v>
      </c>
      <c r="N788" t="s">
        <v>42669</v>
      </c>
      <c r="O788" t="s">
        <v>42670</v>
      </c>
      <c r="P788">
        <v>0</v>
      </c>
      <c r="Q788">
        <v>4</v>
      </c>
      <c r="R788" t="s">
        <v>42671</v>
      </c>
      <c r="S788" t="s">
        <v>42779</v>
      </c>
      <c r="T788" t="s">
        <v>44466</v>
      </c>
      <c r="U788" t="s">
        <v>45544</v>
      </c>
      <c r="W788" t="s">
        <v>39019</v>
      </c>
      <c r="X788" t="s">
        <v>42672</v>
      </c>
    </row>
    <row r="789" spans="1:24">
      <c r="A789">
        <f>HYPERLINK("https://www.philgeps.gov.ph/GEPSNONPILOT/Tender/SplashBidNoticeAbstractUI.aspx?menuIndex=3&amp;refID=7194237&amp;Result=3","7194237")</f>
        <v>0</v>
      </c>
      <c r="B789" t="s">
        <v>317</v>
      </c>
      <c r="C789" t="s">
        <v>4280</v>
      </c>
      <c r="D789" t="s">
        <v>17164</v>
      </c>
      <c r="E789" t="s">
        <v>17978</v>
      </c>
      <c r="F789" t="s">
        <v>29372</v>
      </c>
      <c r="G789" t="s">
        <v>29380</v>
      </c>
      <c r="H789" t="s">
        <v>29389</v>
      </c>
      <c r="I789" t="s">
        <v>29454</v>
      </c>
      <c r="J789" t="s">
        <v>30153</v>
      </c>
      <c r="K789" t="s">
        <v>38563</v>
      </c>
      <c r="M789" t="s">
        <v>39076</v>
      </c>
      <c r="N789" t="s">
        <v>42669</v>
      </c>
      <c r="O789" t="s">
        <v>42670</v>
      </c>
      <c r="P789">
        <v>0</v>
      </c>
      <c r="Q789">
        <v>2</v>
      </c>
      <c r="R789" t="s">
        <v>42671</v>
      </c>
      <c r="S789" t="s">
        <v>42779</v>
      </c>
      <c r="T789" t="s">
        <v>44484</v>
      </c>
      <c r="U789" t="s">
        <v>45545</v>
      </c>
      <c r="W789" t="s">
        <v>39076</v>
      </c>
      <c r="X789" t="s">
        <v>42672</v>
      </c>
    </row>
    <row r="790" spans="1:24">
      <c r="A790">
        <f>HYPERLINK("https://www.philgeps.gov.ph/GEPSNONPILOT/Tender/SplashBidNoticeAbstractUI.aspx?menuIndex=3&amp;refID=7194236&amp;Result=3","7194236")</f>
        <v>0</v>
      </c>
      <c r="B790" t="s">
        <v>260</v>
      </c>
      <c r="C790" t="s">
        <v>4281</v>
      </c>
      <c r="D790" t="s">
        <v>17169</v>
      </c>
      <c r="E790" t="s">
        <v>17979</v>
      </c>
      <c r="F790" t="s">
        <v>29372</v>
      </c>
      <c r="G790" t="s">
        <v>29380</v>
      </c>
      <c r="H790" t="s">
        <v>29389</v>
      </c>
      <c r="I790" t="s">
        <v>10408</v>
      </c>
      <c r="J790" t="s">
        <v>30154</v>
      </c>
      <c r="K790" t="s">
        <v>38564</v>
      </c>
      <c r="M790" t="s">
        <v>39019</v>
      </c>
      <c r="N790" t="s">
        <v>42669</v>
      </c>
      <c r="O790" t="s">
        <v>42670</v>
      </c>
      <c r="P790">
        <v>0</v>
      </c>
      <c r="Q790">
        <v>4</v>
      </c>
      <c r="R790" t="s">
        <v>42671</v>
      </c>
      <c r="S790" t="s">
        <v>42779</v>
      </c>
      <c r="T790" t="s">
        <v>44466</v>
      </c>
      <c r="U790" t="s">
        <v>45546</v>
      </c>
      <c r="W790" t="s">
        <v>39019</v>
      </c>
      <c r="X790" t="s">
        <v>42672</v>
      </c>
    </row>
    <row r="791" spans="1:24">
      <c r="A791">
        <f>HYPERLINK("https://www.philgeps.gov.ph/GEPSNONPILOT/Tender/SplashBidNoticeAbstractUI.aspx?menuIndex=3&amp;refID=7190091&amp;Result=3","7190091")</f>
        <v>0</v>
      </c>
      <c r="B791" t="s">
        <v>25</v>
      </c>
      <c r="C791" t="s">
        <v>4282</v>
      </c>
      <c r="D791" t="s">
        <v>17142</v>
      </c>
      <c r="E791" t="s">
        <v>4282</v>
      </c>
      <c r="F791" t="s">
        <v>29372</v>
      </c>
      <c r="G791" t="s">
        <v>29379</v>
      </c>
      <c r="H791" t="s">
        <v>11048</v>
      </c>
      <c r="I791" t="s">
        <v>3670</v>
      </c>
      <c r="J791" t="s">
        <v>30155</v>
      </c>
      <c r="K791" t="s">
        <v>38488</v>
      </c>
      <c r="M791" t="s">
        <v>38778</v>
      </c>
      <c r="N791" t="s">
        <v>42669</v>
      </c>
      <c r="O791" t="s">
        <v>42670</v>
      </c>
      <c r="P791">
        <v>0</v>
      </c>
      <c r="Q791">
        <v>0</v>
      </c>
      <c r="R791" t="s">
        <v>42671</v>
      </c>
      <c r="S791" t="s">
        <v>42779</v>
      </c>
      <c r="T791" t="s">
        <v>44386</v>
      </c>
      <c r="U791" t="s">
        <v>45547</v>
      </c>
      <c r="W791" t="s">
        <v>38778</v>
      </c>
      <c r="X791" t="s">
        <v>42676</v>
      </c>
    </row>
    <row r="792" spans="1:24">
      <c r="A792">
        <f>HYPERLINK("https://www.philgeps.gov.ph/GEPSNONPILOT/Tender/SplashBidNoticeAbstractUI.aspx?menuIndex=3&amp;refID=7190090&amp;Result=3","7190090")</f>
        <v>0</v>
      </c>
      <c r="B792" t="s">
        <v>291</v>
      </c>
      <c r="C792" t="s">
        <v>4283</v>
      </c>
      <c r="D792" t="s">
        <v>17197</v>
      </c>
      <c r="E792" t="s">
        <v>17980</v>
      </c>
      <c r="F792" t="s">
        <v>29372</v>
      </c>
      <c r="G792" t="s">
        <v>29383</v>
      </c>
      <c r="H792" t="s">
        <v>11048</v>
      </c>
      <c r="I792" t="s">
        <v>29410</v>
      </c>
      <c r="J792" t="s">
        <v>30156</v>
      </c>
      <c r="K792" t="s">
        <v>38496</v>
      </c>
      <c r="M792" t="s">
        <v>39050</v>
      </c>
      <c r="N792" t="s">
        <v>42669</v>
      </c>
      <c r="O792" t="s">
        <v>42670</v>
      </c>
      <c r="P792">
        <v>0</v>
      </c>
      <c r="Q792">
        <v>2</v>
      </c>
      <c r="R792" t="s">
        <v>42671</v>
      </c>
      <c r="S792" t="s">
        <v>42779</v>
      </c>
      <c r="T792" t="s">
        <v>44371</v>
      </c>
      <c r="U792" t="s">
        <v>45494</v>
      </c>
      <c r="W792" t="s">
        <v>39050</v>
      </c>
      <c r="X792" t="s">
        <v>42676</v>
      </c>
    </row>
    <row r="793" spans="1:24">
      <c r="A793">
        <f>HYPERLINK("https://www.philgeps.gov.ph/GEPSNONPILOT/Tender/SplashBidNoticeAbstractUI.aspx?menuIndex=3&amp;refID=7190087&amp;Result=3","7190087")</f>
        <v>0</v>
      </c>
      <c r="B793" t="s">
        <v>318</v>
      </c>
      <c r="C793" t="s">
        <v>4284</v>
      </c>
      <c r="D793" t="s">
        <v>17172</v>
      </c>
      <c r="E793" t="s">
        <v>17981</v>
      </c>
      <c r="F793" t="s">
        <v>29372</v>
      </c>
      <c r="G793" t="s">
        <v>29380</v>
      </c>
      <c r="H793" t="s">
        <v>29389</v>
      </c>
      <c r="I793" t="s">
        <v>10408</v>
      </c>
      <c r="J793" t="s">
        <v>30157</v>
      </c>
      <c r="K793" t="s">
        <v>38513</v>
      </c>
      <c r="M793" t="s">
        <v>39077</v>
      </c>
      <c r="N793" t="s">
        <v>42669</v>
      </c>
      <c r="O793" t="s">
        <v>42670</v>
      </c>
      <c r="P793">
        <v>0</v>
      </c>
      <c r="Q793">
        <v>0</v>
      </c>
      <c r="R793" t="s">
        <v>42671</v>
      </c>
      <c r="S793" t="s">
        <v>42779</v>
      </c>
      <c r="T793" t="s">
        <v>44355</v>
      </c>
      <c r="U793" t="s">
        <v>45548</v>
      </c>
      <c r="W793" t="s">
        <v>39077</v>
      </c>
      <c r="X793" t="s">
        <v>42676</v>
      </c>
    </row>
    <row r="794" spans="1:24">
      <c r="A794">
        <f>HYPERLINK("https://www.philgeps.gov.ph/GEPSNONPILOT/Tender/SplashBidNoticeAbstractUI.aspx?menuIndex=3&amp;refID=7190017&amp;Result=3","7190017")</f>
        <v>0</v>
      </c>
      <c r="B794" t="s">
        <v>178</v>
      </c>
      <c r="C794" t="s">
        <v>4285</v>
      </c>
      <c r="D794" t="s">
        <v>17141</v>
      </c>
      <c r="E794" t="s">
        <v>17982</v>
      </c>
      <c r="F794" t="s">
        <v>29372</v>
      </c>
      <c r="G794" t="s">
        <v>29379</v>
      </c>
      <c r="H794" t="s">
        <v>11048</v>
      </c>
      <c r="I794" t="s">
        <v>29407</v>
      </c>
      <c r="J794" t="s">
        <v>29736</v>
      </c>
      <c r="K794" t="s">
        <v>38490</v>
      </c>
      <c r="M794" t="s">
        <v>38935</v>
      </c>
      <c r="N794" t="s">
        <v>42669</v>
      </c>
      <c r="O794" t="s">
        <v>42670</v>
      </c>
      <c r="P794">
        <v>0</v>
      </c>
      <c r="Q794">
        <v>5</v>
      </c>
      <c r="R794" t="s">
        <v>42671</v>
      </c>
      <c r="S794" t="s">
        <v>42779</v>
      </c>
      <c r="T794" t="s">
        <v>44394</v>
      </c>
      <c r="U794" t="s">
        <v>45549</v>
      </c>
      <c r="V794" t="s">
        <v>56381</v>
      </c>
      <c r="W794" t="s">
        <v>58004</v>
      </c>
      <c r="X794" t="s">
        <v>42677</v>
      </c>
    </row>
    <row r="795" spans="1:24">
      <c r="A795">
        <f>HYPERLINK("https://www.philgeps.gov.ph/GEPSNONPILOT/Tender/SplashBidNoticeAbstractUI.aspx?menuIndex=3&amp;refID=7194258&amp;Result=3","7194258")</f>
        <v>0</v>
      </c>
      <c r="B795" t="s">
        <v>319</v>
      </c>
      <c r="C795" t="s">
        <v>4286</v>
      </c>
      <c r="D795" t="s">
        <v>17160</v>
      </c>
      <c r="E795" t="s">
        <v>17983</v>
      </c>
      <c r="F795" t="s">
        <v>29372</v>
      </c>
      <c r="G795" t="s">
        <v>29382</v>
      </c>
      <c r="H795" t="s">
        <v>11048</v>
      </c>
      <c r="I795" t="s">
        <v>3670</v>
      </c>
      <c r="J795" t="s">
        <v>29708</v>
      </c>
      <c r="K795" t="s">
        <v>38524</v>
      </c>
      <c r="M795" t="s">
        <v>39078</v>
      </c>
      <c r="N795" t="s">
        <v>42669</v>
      </c>
      <c r="O795" t="s">
        <v>42670</v>
      </c>
      <c r="P795">
        <v>0</v>
      </c>
      <c r="Q795">
        <v>0</v>
      </c>
      <c r="R795" t="s">
        <v>42671</v>
      </c>
      <c r="S795" t="s">
        <v>42779</v>
      </c>
      <c r="T795" t="s">
        <v>44414</v>
      </c>
      <c r="U795" t="s">
        <v>45550</v>
      </c>
      <c r="W795" t="s">
        <v>39078</v>
      </c>
      <c r="X795" t="s">
        <v>42672</v>
      </c>
    </row>
    <row r="796" spans="1:24">
      <c r="A796">
        <f>HYPERLINK("https://www.philgeps.gov.ph/GEPSNONPILOT/Tender/SplashBidNoticeAbstractUI.aspx?menuIndex=3&amp;refID=7194307&amp;Result=3","7194307")</f>
        <v>0</v>
      </c>
      <c r="B796" t="s">
        <v>282</v>
      </c>
      <c r="C796" t="s">
        <v>4287</v>
      </c>
      <c r="D796" t="s">
        <v>17209</v>
      </c>
      <c r="E796" t="s">
        <v>4287</v>
      </c>
      <c r="F796" t="s">
        <v>29372</v>
      </c>
      <c r="G796" t="s">
        <v>29379</v>
      </c>
      <c r="H796" t="s">
        <v>11048</v>
      </c>
      <c r="I796" t="s">
        <v>3670</v>
      </c>
      <c r="J796" t="s">
        <v>30158</v>
      </c>
      <c r="K796" t="s">
        <v>38488</v>
      </c>
      <c r="L796" t="s">
        <v>282</v>
      </c>
      <c r="M796" t="s">
        <v>39041</v>
      </c>
      <c r="N796" t="s">
        <v>42669</v>
      </c>
      <c r="O796" t="s">
        <v>42670</v>
      </c>
      <c r="P796">
        <v>0</v>
      </c>
      <c r="Q796">
        <v>1</v>
      </c>
      <c r="R796" t="s">
        <v>42671</v>
      </c>
      <c r="S796" t="s">
        <v>42779</v>
      </c>
      <c r="T796" t="s">
        <v>44394</v>
      </c>
      <c r="U796" t="s">
        <v>45485</v>
      </c>
      <c r="W796" t="s">
        <v>39041</v>
      </c>
      <c r="X796" t="s">
        <v>42672</v>
      </c>
    </row>
    <row r="797" spans="1:24">
      <c r="A797">
        <f>HYPERLINK("https://www.philgeps.gov.ph/GEPSNONPILOT/Tender/SplashBidNoticeAbstractUI.aspx?menuIndex=3&amp;refID=7194263&amp;Result=3","7194263")</f>
        <v>0</v>
      </c>
      <c r="B797" t="s">
        <v>294</v>
      </c>
      <c r="C797" t="s">
        <v>4288</v>
      </c>
      <c r="D797" t="s">
        <v>17209</v>
      </c>
      <c r="E797" t="s">
        <v>17984</v>
      </c>
      <c r="F797" t="s">
        <v>29372</v>
      </c>
      <c r="G797" t="s">
        <v>29379</v>
      </c>
      <c r="H797" t="s">
        <v>11048</v>
      </c>
      <c r="I797" t="s">
        <v>29393</v>
      </c>
      <c r="J797" t="s">
        <v>30148</v>
      </c>
      <c r="K797" t="s">
        <v>38528</v>
      </c>
      <c r="M797" t="s">
        <v>39053</v>
      </c>
      <c r="N797" t="s">
        <v>42669</v>
      </c>
      <c r="O797" t="s">
        <v>42670</v>
      </c>
      <c r="P797">
        <v>0</v>
      </c>
      <c r="Q797">
        <v>0</v>
      </c>
      <c r="R797" t="s">
        <v>42671</v>
      </c>
      <c r="S797" t="s">
        <v>42779</v>
      </c>
      <c r="T797" t="s">
        <v>44378</v>
      </c>
      <c r="U797" t="s">
        <v>45498</v>
      </c>
      <c r="W797" t="s">
        <v>39053</v>
      </c>
      <c r="X797" t="s">
        <v>42672</v>
      </c>
    </row>
    <row r="798" spans="1:24">
      <c r="A798">
        <f>HYPERLINK("https://www.philgeps.gov.ph/GEPSNONPILOT/Tender/SplashBidNoticeAbstractUI.aspx?menuIndex=3&amp;refID=7194317&amp;Result=3","7194317")</f>
        <v>0</v>
      </c>
      <c r="B798" t="s">
        <v>320</v>
      </c>
      <c r="C798" t="s">
        <v>4289</v>
      </c>
      <c r="E798" t="s">
        <v>17985</v>
      </c>
      <c r="F798" t="s">
        <v>29372</v>
      </c>
      <c r="G798" t="s">
        <v>29380</v>
      </c>
      <c r="H798" t="s">
        <v>29389</v>
      </c>
      <c r="I798" t="s">
        <v>10408</v>
      </c>
      <c r="J798" t="s">
        <v>30083</v>
      </c>
      <c r="K798" t="s">
        <v>38490</v>
      </c>
      <c r="M798" t="s">
        <v>39079</v>
      </c>
      <c r="N798" t="s">
        <v>42669</v>
      </c>
      <c r="O798" t="s">
        <v>42670</v>
      </c>
      <c r="P798">
        <v>0</v>
      </c>
      <c r="Q798">
        <v>0</v>
      </c>
      <c r="R798" t="s">
        <v>42671</v>
      </c>
      <c r="S798" t="s">
        <v>42779</v>
      </c>
      <c r="T798" t="s">
        <v>44485</v>
      </c>
      <c r="U798" t="s">
        <v>45551</v>
      </c>
      <c r="W798" t="s">
        <v>39079</v>
      </c>
      <c r="X798" t="s">
        <v>42672</v>
      </c>
    </row>
    <row r="799" spans="1:24">
      <c r="A799">
        <f>HYPERLINK("https://www.philgeps.gov.ph/GEPSNONPILOT/Tender/SplashBidNoticeAbstractUI.aspx?menuIndex=3&amp;refID=7190078&amp;Result=3","7190078")</f>
        <v>0</v>
      </c>
      <c r="B799" t="s">
        <v>25</v>
      </c>
      <c r="C799" t="s">
        <v>4290</v>
      </c>
      <c r="D799" t="s">
        <v>17142</v>
      </c>
      <c r="E799" t="s">
        <v>4290</v>
      </c>
      <c r="F799" t="s">
        <v>29372</v>
      </c>
      <c r="G799" t="s">
        <v>29379</v>
      </c>
      <c r="H799" t="s">
        <v>11048</v>
      </c>
      <c r="I799" t="s">
        <v>3670</v>
      </c>
      <c r="J799" t="s">
        <v>30159</v>
      </c>
      <c r="K799" t="s">
        <v>38488</v>
      </c>
      <c r="M799" t="s">
        <v>38778</v>
      </c>
      <c r="N799" t="s">
        <v>42669</v>
      </c>
      <c r="O799" t="s">
        <v>42670</v>
      </c>
      <c r="P799">
        <v>0</v>
      </c>
      <c r="Q799">
        <v>0</v>
      </c>
      <c r="R799" t="s">
        <v>42671</v>
      </c>
      <c r="S799" t="s">
        <v>42779</v>
      </c>
      <c r="T799" t="s">
        <v>44394</v>
      </c>
      <c r="U799" t="s">
        <v>45552</v>
      </c>
      <c r="W799" t="s">
        <v>38778</v>
      </c>
      <c r="X799" t="s">
        <v>42676</v>
      </c>
    </row>
    <row r="800" spans="1:24">
      <c r="A800">
        <f>HYPERLINK("https://www.philgeps.gov.ph/GEPSNONPILOT/Tender/SplashBidNoticeAbstractUI.aspx?menuIndex=3&amp;refID=7194291&amp;Result=3","7194291")</f>
        <v>0</v>
      </c>
      <c r="B800" t="s">
        <v>282</v>
      </c>
      <c r="C800" t="s">
        <v>4291</v>
      </c>
      <c r="D800" t="s">
        <v>17209</v>
      </c>
      <c r="E800" t="s">
        <v>4291</v>
      </c>
      <c r="F800" t="s">
        <v>29372</v>
      </c>
      <c r="G800" t="s">
        <v>29379</v>
      </c>
      <c r="H800" t="s">
        <v>11048</v>
      </c>
      <c r="I800" t="s">
        <v>4709</v>
      </c>
      <c r="J800" t="s">
        <v>30160</v>
      </c>
      <c r="K800" t="s">
        <v>38488</v>
      </c>
      <c r="L800" t="s">
        <v>282</v>
      </c>
      <c r="M800" t="s">
        <v>39041</v>
      </c>
      <c r="N800" t="s">
        <v>42669</v>
      </c>
      <c r="O800" t="s">
        <v>42670</v>
      </c>
      <c r="P800">
        <v>0</v>
      </c>
      <c r="Q800">
        <v>0</v>
      </c>
      <c r="R800" t="s">
        <v>42671</v>
      </c>
      <c r="S800" t="s">
        <v>42779</v>
      </c>
      <c r="T800" t="s">
        <v>44394</v>
      </c>
      <c r="U800" t="s">
        <v>45482</v>
      </c>
      <c r="W800" t="s">
        <v>39041</v>
      </c>
      <c r="X800" t="s">
        <v>42672</v>
      </c>
    </row>
    <row r="801" spans="1:24">
      <c r="A801">
        <f>HYPERLINK("https://www.philgeps.gov.ph/GEPSNONPILOT/Tender/SplashBidNoticeAbstractUI.aspx?menuIndex=3&amp;refID=7189729&amp;Result=3","7189729")</f>
        <v>0</v>
      </c>
      <c r="B801" t="s">
        <v>51</v>
      </c>
      <c r="C801" t="s">
        <v>4292</v>
      </c>
      <c r="D801" t="s">
        <v>17151</v>
      </c>
      <c r="E801" t="s">
        <v>17986</v>
      </c>
      <c r="F801" t="s">
        <v>29372</v>
      </c>
      <c r="G801" t="s">
        <v>29380</v>
      </c>
      <c r="H801" t="s">
        <v>11048</v>
      </c>
      <c r="I801" t="s">
        <v>7828</v>
      </c>
      <c r="J801" t="s">
        <v>30161</v>
      </c>
      <c r="K801" t="s">
        <v>38496</v>
      </c>
      <c r="M801" t="s">
        <v>38804</v>
      </c>
      <c r="N801" t="s">
        <v>42669</v>
      </c>
      <c r="O801" t="s">
        <v>42670</v>
      </c>
      <c r="P801">
        <v>0</v>
      </c>
      <c r="Q801">
        <v>5</v>
      </c>
      <c r="R801" t="s">
        <v>42671</v>
      </c>
      <c r="S801" t="s">
        <v>42779</v>
      </c>
      <c r="T801" t="s">
        <v>44379</v>
      </c>
      <c r="U801" t="s">
        <v>45553</v>
      </c>
      <c r="W801" t="s">
        <v>38804</v>
      </c>
      <c r="X801" t="s">
        <v>42677</v>
      </c>
    </row>
    <row r="802" spans="1:24">
      <c r="A802">
        <f>HYPERLINK("https://www.philgeps.gov.ph/GEPSNONPILOT/Tender/SplashBidNoticeAbstractUI.aspx?menuIndex=3&amp;refID=7194328&amp;Result=3","7194328")</f>
        <v>0</v>
      </c>
      <c r="B802" t="s">
        <v>321</v>
      </c>
      <c r="C802" t="s">
        <v>4293</v>
      </c>
      <c r="D802" t="s">
        <v>17141</v>
      </c>
      <c r="E802" t="s">
        <v>17987</v>
      </c>
      <c r="F802" t="s">
        <v>29372</v>
      </c>
      <c r="G802" t="s">
        <v>29383</v>
      </c>
      <c r="H802" t="s">
        <v>11048</v>
      </c>
      <c r="I802" t="s">
        <v>8614</v>
      </c>
      <c r="J802" t="s">
        <v>30162</v>
      </c>
      <c r="K802" t="s">
        <v>38485</v>
      </c>
      <c r="M802" t="s">
        <v>39080</v>
      </c>
      <c r="N802" t="s">
        <v>42669</v>
      </c>
      <c r="O802" t="s">
        <v>42670</v>
      </c>
      <c r="P802">
        <v>0</v>
      </c>
      <c r="Q802">
        <v>15</v>
      </c>
      <c r="R802" t="s">
        <v>42671</v>
      </c>
      <c r="S802" t="s">
        <v>42779</v>
      </c>
      <c r="T802" t="s">
        <v>44382</v>
      </c>
      <c r="U802" t="s">
        <v>45554</v>
      </c>
      <c r="W802" t="s">
        <v>39080</v>
      </c>
      <c r="X802" t="s">
        <v>42672</v>
      </c>
    </row>
    <row r="803" spans="1:24">
      <c r="A803">
        <f>HYPERLINK("https://www.philgeps.gov.ph/GEPSNONPILOT/Tender/SplashBidNoticeAbstractUI.aspx?menuIndex=3&amp;refID=7194326&amp;Result=3","7194326")</f>
        <v>0</v>
      </c>
      <c r="B803" t="s">
        <v>322</v>
      </c>
      <c r="C803" t="s">
        <v>4294</v>
      </c>
      <c r="D803" t="s">
        <v>17141</v>
      </c>
      <c r="E803" t="s">
        <v>17988</v>
      </c>
      <c r="F803" t="s">
        <v>29372</v>
      </c>
      <c r="G803" t="s">
        <v>29380</v>
      </c>
      <c r="H803" t="s">
        <v>11048</v>
      </c>
      <c r="I803" t="s">
        <v>3670</v>
      </c>
      <c r="J803" t="s">
        <v>29708</v>
      </c>
      <c r="K803" t="s">
        <v>38489</v>
      </c>
      <c r="M803" t="s">
        <v>39081</v>
      </c>
      <c r="N803" t="s">
        <v>42669</v>
      </c>
      <c r="O803" t="s">
        <v>42670</v>
      </c>
      <c r="P803">
        <v>0</v>
      </c>
      <c r="Q803">
        <v>3</v>
      </c>
      <c r="R803" t="s">
        <v>42671</v>
      </c>
      <c r="S803" t="s">
        <v>42779</v>
      </c>
      <c r="T803" t="s">
        <v>44357</v>
      </c>
      <c r="U803" t="s">
        <v>45555</v>
      </c>
      <c r="V803" t="s">
        <v>56419</v>
      </c>
      <c r="W803" t="s">
        <v>39081</v>
      </c>
      <c r="X803" t="s">
        <v>42672</v>
      </c>
    </row>
    <row r="804" spans="1:24">
      <c r="A804">
        <f>HYPERLINK("https://www.philgeps.gov.ph/GEPSNONPILOT/Tender/SplashBidNoticeAbstractUI.aspx?menuIndex=3&amp;refID=7194318&amp;Result=3","7194318")</f>
        <v>0</v>
      </c>
      <c r="B804" t="s">
        <v>323</v>
      </c>
      <c r="C804" t="s">
        <v>4295</v>
      </c>
      <c r="D804" t="s">
        <v>17143</v>
      </c>
      <c r="E804" t="s">
        <v>17989</v>
      </c>
      <c r="F804" t="s">
        <v>29372</v>
      </c>
      <c r="G804" t="s">
        <v>29380</v>
      </c>
      <c r="H804" t="s">
        <v>29389</v>
      </c>
      <c r="I804" t="s">
        <v>10408</v>
      </c>
      <c r="J804" t="s">
        <v>30163</v>
      </c>
      <c r="K804" t="s">
        <v>38495</v>
      </c>
      <c r="M804" t="s">
        <v>39082</v>
      </c>
      <c r="N804" t="s">
        <v>42669</v>
      </c>
      <c r="O804" t="s">
        <v>42670</v>
      </c>
      <c r="P804">
        <v>0</v>
      </c>
      <c r="Q804">
        <v>0</v>
      </c>
      <c r="R804" t="s">
        <v>42671</v>
      </c>
      <c r="S804" t="s">
        <v>42779</v>
      </c>
      <c r="T804" t="s">
        <v>44358</v>
      </c>
      <c r="U804" t="s">
        <v>45556</v>
      </c>
      <c r="V804" t="s">
        <v>56420</v>
      </c>
      <c r="W804" t="s">
        <v>39082</v>
      </c>
      <c r="X804" t="s">
        <v>42672</v>
      </c>
    </row>
    <row r="805" spans="1:24">
      <c r="A805">
        <f>HYPERLINK("https://www.philgeps.gov.ph/GEPSNONPILOT/Tender/SplashBidNoticeAbstractUI.aspx?menuIndex=3&amp;refID=7194324&amp;Result=3","7194324")</f>
        <v>0</v>
      </c>
      <c r="B805" t="s">
        <v>324</v>
      </c>
      <c r="C805" t="s">
        <v>4296</v>
      </c>
      <c r="E805" t="s">
        <v>17990</v>
      </c>
      <c r="F805" t="s">
        <v>29372</v>
      </c>
      <c r="G805" t="s">
        <v>29380</v>
      </c>
      <c r="H805" t="s">
        <v>11048</v>
      </c>
      <c r="I805" t="s">
        <v>29398</v>
      </c>
      <c r="J805" t="s">
        <v>30164</v>
      </c>
      <c r="K805" t="s">
        <v>38490</v>
      </c>
      <c r="M805" t="s">
        <v>39083</v>
      </c>
      <c r="N805" t="s">
        <v>42669</v>
      </c>
      <c r="O805" t="s">
        <v>42670</v>
      </c>
      <c r="P805">
        <v>0</v>
      </c>
      <c r="Q805">
        <v>3</v>
      </c>
      <c r="R805" t="s">
        <v>42671</v>
      </c>
      <c r="S805" t="s">
        <v>42779</v>
      </c>
      <c r="T805" t="s">
        <v>44464</v>
      </c>
      <c r="U805" t="s">
        <v>45557</v>
      </c>
      <c r="V805" t="s">
        <v>56421</v>
      </c>
      <c r="W805" t="s">
        <v>39083</v>
      </c>
      <c r="X805" t="s">
        <v>42672</v>
      </c>
    </row>
    <row r="806" spans="1:24">
      <c r="A806">
        <f>HYPERLINK("https://www.philgeps.gov.ph/GEPSNONPILOT/Tender/SplashBidNoticeAbstractUI.aspx?menuIndex=3&amp;refID=7194323&amp;Result=3","7194323")</f>
        <v>0</v>
      </c>
      <c r="B806" t="s">
        <v>325</v>
      </c>
      <c r="C806" t="s">
        <v>4297</v>
      </c>
      <c r="D806" t="s">
        <v>17141</v>
      </c>
      <c r="E806" t="s">
        <v>17991</v>
      </c>
      <c r="F806" t="s">
        <v>29372</v>
      </c>
      <c r="G806" t="s">
        <v>29379</v>
      </c>
      <c r="H806" t="s">
        <v>11048</v>
      </c>
      <c r="I806" t="s">
        <v>3670</v>
      </c>
      <c r="J806" t="s">
        <v>30165</v>
      </c>
      <c r="K806" t="s">
        <v>38491</v>
      </c>
      <c r="M806" t="s">
        <v>39084</v>
      </c>
      <c r="N806" t="s">
        <v>42669</v>
      </c>
      <c r="O806" t="s">
        <v>42670</v>
      </c>
      <c r="P806">
        <v>0</v>
      </c>
      <c r="Q806">
        <v>5</v>
      </c>
      <c r="R806" t="s">
        <v>42671</v>
      </c>
      <c r="S806" t="s">
        <v>42779</v>
      </c>
      <c r="T806" t="s">
        <v>44394</v>
      </c>
      <c r="U806" t="s">
        <v>45558</v>
      </c>
      <c r="W806" t="s">
        <v>58009</v>
      </c>
      <c r="X806" t="s">
        <v>42672</v>
      </c>
    </row>
    <row r="807" spans="1:24">
      <c r="A807">
        <f>HYPERLINK("https://www.philgeps.gov.ph/GEPSNONPILOT/Tender/SplashBidNoticeAbstractUI.aspx?menuIndex=3&amp;refID=7194321&amp;Result=3","7194321")</f>
        <v>0</v>
      </c>
      <c r="B807" t="s">
        <v>326</v>
      </c>
      <c r="C807" t="s">
        <v>4298</v>
      </c>
      <c r="D807" t="s">
        <v>17205</v>
      </c>
      <c r="E807" t="s">
        <v>17533</v>
      </c>
      <c r="F807" t="s">
        <v>29372</v>
      </c>
      <c r="G807" t="s">
        <v>29379</v>
      </c>
      <c r="H807" t="s">
        <v>11048</v>
      </c>
      <c r="I807" t="s">
        <v>29409</v>
      </c>
      <c r="J807" t="s">
        <v>30166</v>
      </c>
      <c r="K807" t="s">
        <v>38488</v>
      </c>
      <c r="M807" t="s">
        <v>39085</v>
      </c>
      <c r="N807" t="s">
        <v>42669</v>
      </c>
      <c r="O807" t="s">
        <v>42670</v>
      </c>
      <c r="P807">
        <v>0</v>
      </c>
      <c r="Q807">
        <v>0</v>
      </c>
      <c r="R807" t="s">
        <v>42671</v>
      </c>
      <c r="S807" t="s">
        <v>42779</v>
      </c>
      <c r="T807" t="s">
        <v>44394</v>
      </c>
      <c r="U807" t="s">
        <v>45559</v>
      </c>
      <c r="W807" t="s">
        <v>39085</v>
      </c>
      <c r="X807" t="s">
        <v>42672</v>
      </c>
    </row>
    <row r="808" spans="1:24">
      <c r="A808">
        <f>HYPERLINK("https://www.philgeps.gov.ph/GEPSNONPILOT/Tender/SplashBidNoticeAbstractUI.aspx?menuIndex=3&amp;refID=7194320&amp;Result=3","7194320")</f>
        <v>0</v>
      </c>
      <c r="B808" t="s">
        <v>325</v>
      </c>
      <c r="C808" t="s">
        <v>4297</v>
      </c>
      <c r="D808" t="s">
        <v>17141</v>
      </c>
      <c r="E808" t="s">
        <v>17992</v>
      </c>
      <c r="F808" t="s">
        <v>29372</v>
      </c>
      <c r="G808" t="s">
        <v>29379</v>
      </c>
      <c r="H808" t="s">
        <v>29390</v>
      </c>
      <c r="I808" t="s">
        <v>3670</v>
      </c>
      <c r="J808" t="s">
        <v>30167</v>
      </c>
      <c r="K808" t="s">
        <v>38491</v>
      </c>
      <c r="M808" t="s">
        <v>39084</v>
      </c>
      <c r="N808" t="s">
        <v>42669</v>
      </c>
      <c r="O808" t="s">
        <v>42670</v>
      </c>
      <c r="P808">
        <v>0</v>
      </c>
      <c r="Q808">
        <v>4</v>
      </c>
      <c r="R808" t="s">
        <v>42671</v>
      </c>
      <c r="S808" t="s">
        <v>42779</v>
      </c>
      <c r="T808" t="s">
        <v>44394</v>
      </c>
      <c r="U808" t="s">
        <v>45558</v>
      </c>
      <c r="W808" t="s">
        <v>58009</v>
      </c>
      <c r="X808" t="s">
        <v>42672</v>
      </c>
    </row>
    <row r="809" spans="1:24">
      <c r="A809">
        <f>HYPERLINK("https://www.philgeps.gov.ph/GEPSNONPILOT/Tender/SplashBidNoticeAbstractUI.aspx?menuIndex=3&amp;refID=7194259&amp;Result=3","7194259")</f>
        <v>0</v>
      </c>
      <c r="B809" t="s">
        <v>292</v>
      </c>
      <c r="C809" t="s">
        <v>4240</v>
      </c>
      <c r="D809" t="s">
        <v>17151</v>
      </c>
      <c r="E809" t="s">
        <v>17993</v>
      </c>
      <c r="F809" t="s">
        <v>29372</v>
      </c>
      <c r="G809" t="s">
        <v>29379</v>
      </c>
      <c r="H809" t="s">
        <v>11048</v>
      </c>
      <c r="I809" t="s">
        <v>29425</v>
      </c>
      <c r="J809" t="s">
        <v>30168</v>
      </c>
      <c r="K809" t="s">
        <v>38528</v>
      </c>
      <c r="M809" t="s">
        <v>39051</v>
      </c>
      <c r="N809" t="s">
        <v>42669</v>
      </c>
      <c r="O809" t="s">
        <v>42670</v>
      </c>
      <c r="P809">
        <v>0</v>
      </c>
      <c r="Q809">
        <v>1</v>
      </c>
      <c r="R809" t="s">
        <v>42671</v>
      </c>
      <c r="S809" t="s">
        <v>42779</v>
      </c>
      <c r="T809" t="s">
        <v>44387</v>
      </c>
      <c r="U809" t="s">
        <v>45560</v>
      </c>
      <c r="V809" t="s">
        <v>56414</v>
      </c>
      <c r="W809" t="s">
        <v>39051</v>
      </c>
      <c r="X809" t="s">
        <v>42672</v>
      </c>
    </row>
    <row r="810" spans="1:24">
      <c r="A810">
        <f>HYPERLINK("https://www.philgeps.gov.ph/GEPSNONPILOT/Tender/SplashBidNoticeAbstractUI.aspx?menuIndex=3&amp;refID=7194316&amp;Result=3","7194316")</f>
        <v>0</v>
      </c>
      <c r="B810" t="s">
        <v>327</v>
      </c>
      <c r="C810" t="s">
        <v>4299</v>
      </c>
      <c r="D810" t="s">
        <v>17205</v>
      </c>
      <c r="E810" t="s">
        <v>17994</v>
      </c>
      <c r="F810" t="s">
        <v>29372</v>
      </c>
      <c r="G810" t="s">
        <v>29380</v>
      </c>
      <c r="H810" t="s">
        <v>11048</v>
      </c>
      <c r="I810" t="s">
        <v>4709</v>
      </c>
      <c r="J810" t="s">
        <v>30169</v>
      </c>
      <c r="K810" t="s">
        <v>38491</v>
      </c>
      <c r="M810" t="s">
        <v>39086</v>
      </c>
      <c r="N810" t="s">
        <v>42669</v>
      </c>
      <c r="O810" t="s">
        <v>42670</v>
      </c>
      <c r="P810">
        <v>0</v>
      </c>
      <c r="Q810">
        <v>0</v>
      </c>
      <c r="R810" t="s">
        <v>42671</v>
      </c>
      <c r="S810" t="s">
        <v>42779</v>
      </c>
      <c r="T810" t="s">
        <v>44356</v>
      </c>
      <c r="U810" t="s">
        <v>45561</v>
      </c>
      <c r="W810" t="s">
        <v>39086</v>
      </c>
      <c r="X810" t="s">
        <v>42672</v>
      </c>
    </row>
    <row r="811" spans="1:24">
      <c r="A811">
        <f>HYPERLINK("https://www.philgeps.gov.ph/GEPSNONPILOT/Tender/SplashBidNoticeAbstractUI.aspx?menuIndex=3&amp;refID=7194315&amp;Result=3","7194315")</f>
        <v>0</v>
      </c>
      <c r="B811" t="s">
        <v>328</v>
      </c>
      <c r="C811" t="s">
        <v>4300</v>
      </c>
      <c r="D811" t="s">
        <v>17147</v>
      </c>
      <c r="E811" t="s">
        <v>17995</v>
      </c>
      <c r="F811" t="s">
        <v>29372</v>
      </c>
      <c r="G811" t="s">
        <v>29379</v>
      </c>
      <c r="H811" t="s">
        <v>29389</v>
      </c>
      <c r="I811" t="s">
        <v>29399</v>
      </c>
      <c r="J811" t="s">
        <v>30170</v>
      </c>
      <c r="K811" t="s">
        <v>38524</v>
      </c>
      <c r="L811" t="s">
        <v>328</v>
      </c>
      <c r="M811" t="s">
        <v>39087</v>
      </c>
      <c r="N811" t="s">
        <v>42669</v>
      </c>
      <c r="O811" t="s">
        <v>42670</v>
      </c>
      <c r="P811">
        <v>0</v>
      </c>
      <c r="Q811">
        <v>0</v>
      </c>
      <c r="R811" t="s">
        <v>42671</v>
      </c>
      <c r="S811" t="s">
        <v>42779</v>
      </c>
      <c r="T811" t="s">
        <v>44394</v>
      </c>
      <c r="U811" t="s">
        <v>45562</v>
      </c>
      <c r="W811" t="s">
        <v>39087</v>
      </c>
      <c r="X811" t="s">
        <v>42672</v>
      </c>
    </row>
    <row r="812" spans="1:24">
      <c r="A812">
        <f>HYPERLINK("https://www.philgeps.gov.ph/GEPSNONPILOT/Tender/SplashBidNoticeAbstractUI.aspx?menuIndex=3&amp;refID=7194313&amp;Result=3","7194313")</f>
        <v>0</v>
      </c>
      <c r="B812" t="s">
        <v>329</v>
      </c>
      <c r="C812" t="s">
        <v>3919</v>
      </c>
      <c r="D812" t="s">
        <v>17171</v>
      </c>
      <c r="E812" t="s">
        <v>17972</v>
      </c>
      <c r="F812" t="s">
        <v>29372</v>
      </c>
      <c r="G812" t="s">
        <v>29379</v>
      </c>
      <c r="H812" t="s">
        <v>11048</v>
      </c>
      <c r="I812" t="s">
        <v>4487</v>
      </c>
      <c r="J812" t="s">
        <v>30171</v>
      </c>
      <c r="K812" t="s">
        <v>38488</v>
      </c>
      <c r="M812" t="s">
        <v>39088</v>
      </c>
      <c r="N812" t="s">
        <v>42669</v>
      </c>
      <c r="O812" t="s">
        <v>42670</v>
      </c>
      <c r="P812">
        <v>0</v>
      </c>
      <c r="Q812">
        <v>1</v>
      </c>
      <c r="R812" t="s">
        <v>42671</v>
      </c>
      <c r="S812" t="s">
        <v>42779</v>
      </c>
      <c r="T812" t="s">
        <v>44389</v>
      </c>
      <c r="U812" t="s">
        <v>45563</v>
      </c>
      <c r="V812" t="s">
        <v>56422</v>
      </c>
      <c r="W812" t="s">
        <v>39088</v>
      </c>
      <c r="X812" t="s">
        <v>42672</v>
      </c>
    </row>
    <row r="813" spans="1:24">
      <c r="A813">
        <f>HYPERLINK("https://www.philgeps.gov.ph/GEPSNONPILOT/Tender/SplashBidNoticeAbstractUI.aspx?menuIndex=3&amp;refID=7194327&amp;Result=3","7194327")</f>
        <v>0</v>
      </c>
      <c r="B813" t="s">
        <v>324</v>
      </c>
      <c r="C813" t="s">
        <v>4301</v>
      </c>
      <c r="E813" t="s">
        <v>17996</v>
      </c>
      <c r="F813" t="s">
        <v>29372</v>
      </c>
      <c r="G813" t="s">
        <v>29383</v>
      </c>
      <c r="H813" t="s">
        <v>11048</v>
      </c>
      <c r="I813" t="s">
        <v>4487</v>
      </c>
      <c r="J813" t="s">
        <v>30172</v>
      </c>
      <c r="K813" t="s">
        <v>38490</v>
      </c>
      <c r="M813" t="s">
        <v>39083</v>
      </c>
      <c r="N813" t="s">
        <v>42669</v>
      </c>
      <c r="O813" t="s">
        <v>42670</v>
      </c>
      <c r="P813">
        <v>0</v>
      </c>
      <c r="Q813">
        <v>1</v>
      </c>
      <c r="R813" t="s">
        <v>42671</v>
      </c>
      <c r="S813" t="s">
        <v>42779</v>
      </c>
      <c r="T813" t="s">
        <v>44464</v>
      </c>
      <c r="U813" t="s">
        <v>45564</v>
      </c>
      <c r="V813" t="s">
        <v>56423</v>
      </c>
      <c r="W813" t="s">
        <v>39083</v>
      </c>
      <c r="X813" t="s">
        <v>42672</v>
      </c>
    </row>
    <row r="814" spans="1:24">
      <c r="A814">
        <f>HYPERLINK("https://www.philgeps.gov.ph/GEPSNONPILOT/Tender/SplashBidNoticeAbstractUI.aspx?menuIndex=3&amp;refID=7194311&amp;Result=3","7194311")</f>
        <v>0</v>
      </c>
      <c r="B814" t="s">
        <v>307</v>
      </c>
      <c r="C814" t="s">
        <v>4302</v>
      </c>
      <c r="D814" t="s">
        <v>17171</v>
      </c>
      <c r="E814" t="s">
        <v>17997</v>
      </c>
      <c r="F814" t="s">
        <v>29372</v>
      </c>
      <c r="G814" t="s">
        <v>29380</v>
      </c>
      <c r="H814" t="s">
        <v>11048</v>
      </c>
      <c r="I814" t="s">
        <v>29407</v>
      </c>
      <c r="J814" t="s">
        <v>30173</v>
      </c>
      <c r="K814" t="s">
        <v>38534</v>
      </c>
      <c r="M814" t="s">
        <v>39066</v>
      </c>
      <c r="N814" t="s">
        <v>42669</v>
      </c>
      <c r="O814" t="s">
        <v>42670</v>
      </c>
      <c r="P814">
        <v>0</v>
      </c>
      <c r="Q814">
        <v>2</v>
      </c>
      <c r="R814" t="s">
        <v>42671</v>
      </c>
      <c r="S814" t="s">
        <v>42779</v>
      </c>
      <c r="T814" t="s">
        <v>44483</v>
      </c>
      <c r="U814" t="s">
        <v>45565</v>
      </c>
      <c r="W814" t="s">
        <v>39066</v>
      </c>
      <c r="X814" t="s">
        <v>42672</v>
      </c>
    </row>
    <row r="815" spans="1:24">
      <c r="A815">
        <f>HYPERLINK("https://www.philgeps.gov.ph/GEPSNONPILOT/Tender/SplashBidNoticeAbstractUI.aspx?menuIndex=3&amp;refID=7181260&amp;Result=3","7181260")</f>
        <v>0</v>
      </c>
      <c r="B815" t="s">
        <v>330</v>
      </c>
      <c r="C815" t="s">
        <v>4303</v>
      </c>
      <c r="D815" t="s">
        <v>17168</v>
      </c>
      <c r="E815" t="s">
        <v>17998</v>
      </c>
      <c r="F815" t="s">
        <v>29372</v>
      </c>
      <c r="G815" t="s">
        <v>29380</v>
      </c>
      <c r="H815" t="s">
        <v>11048</v>
      </c>
      <c r="I815" t="s">
        <v>4709</v>
      </c>
      <c r="J815" t="s">
        <v>29587</v>
      </c>
      <c r="K815" t="s">
        <v>38485</v>
      </c>
      <c r="M815" t="s">
        <v>39089</v>
      </c>
      <c r="N815" t="s">
        <v>42669</v>
      </c>
      <c r="O815" t="s">
        <v>42670</v>
      </c>
      <c r="P815">
        <v>0</v>
      </c>
      <c r="Q815">
        <v>0</v>
      </c>
      <c r="R815" t="s">
        <v>42672</v>
      </c>
      <c r="S815" t="s">
        <v>42781</v>
      </c>
      <c r="T815" t="s">
        <v>44486</v>
      </c>
      <c r="U815" t="s">
        <v>45566</v>
      </c>
      <c r="W815" t="s">
        <v>39089</v>
      </c>
      <c r="X815" t="s">
        <v>42679</v>
      </c>
    </row>
    <row r="816" spans="1:24">
      <c r="A816">
        <f>HYPERLINK("https://www.philgeps.gov.ph/GEPSNONPILOT/Tender/SplashBidNoticeAbstractUI.aspx?menuIndex=3&amp;refID=7194330&amp;Result=3","7194330")</f>
        <v>0</v>
      </c>
      <c r="B816" t="s">
        <v>324</v>
      </c>
      <c r="C816" t="s">
        <v>4304</v>
      </c>
      <c r="E816" t="s">
        <v>17999</v>
      </c>
      <c r="F816" t="s">
        <v>29372</v>
      </c>
      <c r="G816" t="s">
        <v>29379</v>
      </c>
      <c r="H816" t="s">
        <v>11048</v>
      </c>
      <c r="I816" t="s">
        <v>3629</v>
      </c>
      <c r="J816" t="s">
        <v>30174</v>
      </c>
      <c r="K816" t="s">
        <v>38490</v>
      </c>
      <c r="M816" t="s">
        <v>39083</v>
      </c>
      <c r="N816" t="s">
        <v>42669</v>
      </c>
      <c r="O816" t="s">
        <v>42670</v>
      </c>
      <c r="P816">
        <v>0</v>
      </c>
      <c r="Q816">
        <v>0</v>
      </c>
      <c r="R816" t="s">
        <v>42671</v>
      </c>
      <c r="S816" t="s">
        <v>42779</v>
      </c>
      <c r="T816" t="s">
        <v>44394</v>
      </c>
      <c r="U816" t="s">
        <v>45567</v>
      </c>
      <c r="V816" t="s">
        <v>56423</v>
      </c>
      <c r="W816" t="s">
        <v>39083</v>
      </c>
      <c r="X816" t="s">
        <v>42672</v>
      </c>
    </row>
    <row r="817" spans="1:24">
      <c r="A817">
        <f>HYPERLINK("https://www.philgeps.gov.ph/GEPSNONPILOT/Tender/SplashBidNoticeAbstractUI.aspx?menuIndex=3&amp;refID=7194319&amp;Result=3","7194319")</f>
        <v>0</v>
      </c>
      <c r="B817" t="s">
        <v>331</v>
      </c>
      <c r="C817" t="s">
        <v>4305</v>
      </c>
      <c r="D817" t="s">
        <v>17205</v>
      </c>
      <c r="E817" t="s">
        <v>18000</v>
      </c>
      <c r="F817" t="s">
        <v>29372</v>
      </c>
      <c r="G817" t="s">
        <v>29380</v>
      </c>
      <c r="H817" t="s">
        <v>11048</v>
      </c>
      <c r="I817" t="s">
        <v>4709</v>
      </c>
      <c r="J817" t="s">
        <v>30175</v>
      </c>
      <c r="K817" t="s">
        <v>38491</v>
      </c>
      <c r="M817" t="s">
        <v>39090</v>
      </c>
      <c r="N817" t="s">
        <v>42669</v>
      </c>
      <c r="O817" t="s">
        <v>42670</v>
      </c>
      <c r="P817">
        <v>0</v>
      </c>
      <c r="Q817">
        <v>0</v>
      </c>
      <c r="R817" t="s">
        <v>42671</v>
      </c>
      <c r="S817" t="s">
        <v>42779</v>
      </c>
      <c r="T817" t="s">
        <v>44356</v>
      </c>
      <c r="U817" t="s">
        <v>45568</v>
      </c>
      <c r="W817" t="s">
        <v>39090</v>
      </c>
      <c r="X817" t="s">
        <v>42672</v>
      </c>
    </row>
    <row r="818" spans="1:24">
      <c r="A818">
        <f>HYPERLINK("https://www.philgeps.gov.ph/GEPSNONPILOT/Tender/SplashBidNoticeAbstractUI.aspx?menuIndex=3&amp;refID=7194314&amp;Result=3","7194314")</f>
        <v>0</v>
      </c>
      <c r="B818" t="s">
        <v>282</v>
      </c>
      <c r="C818" t="s">
        <v>4306</v>
      </c>
      <c r="D818" t="s">
        <v>17209</v>
      </c>
      <c r="E818" t="s">
        <v>18001</v>
      </c>
      <c r="F818" t="s">
        <v>29372</v>
      </c>
      <c r="G818" t="s">
        <v>29379</v>
      </c>
      <c r="H818" t="s">
        <v>11048</v>
      </c>
      <c r="I818" t="s">
        <v>29419</v>
      </c>
      <c r="J818" t="s">
        <v>30176</v>
      </c>
      <c r="K818" t="s">
        <v>38488</v>
      </c>
      <c r="L818" t="s">
        <v>282</v>
      </c>
      <c r="M818" t="s">
        <v>39041</v>
      </c>
      <c r="N818" t="s">
        <v>42669</v>
      </c>
      <c r="O818" t="s">
        <v>42670</v>
      </c>
      <c r="P818">
        <v>0</v>
      </c>
      <c r="Q818">
        <v>0</v>
      </c>
      <c r="R818" t="s">
        <v>42671</v>
      </c>
      <c r="S818" t="s">
        <v>42779</v>
      </c>
      <c r="T818" t="s">
        <v>44394</v>
      </c>
      <c r="U818" t="s">
        <v>45569</v>
      </c>
      <c r="W818" t="s">
        <v>39041</v>
      </c>
      <c r="X818" t="s">
        <v>42672</v>
      </c>
    </row>
    <row r="819" spans="1:24">
      <c r="A819">
        <f>HYPERLINK("https://www.philgeps.gov.ph/GEPSNONPILOT/Tender/SplashBidNoticeAbstractUI.aspx?menuIndex=3&amp;refID=7192889&amp;Result=3","7192889")</f>
        <v>0</v>
      </c>
      <c r="B819" t="s">
        <v>332</v>
      </c>
      <c r="C819" t="s">
        <v>4307</v>
      </c>
      <c r="D819" t="s">
        <v>17213</v>
      </c>
      <c r="E819" t="s">
        <v>18002</v>
      </c>
      <c r="F819" t="s">
        <v>29372</v>
      </c>
      <c r="G819" t="s">
        <v>29379</v>
      </c>
      <c r="H819" t="s">
        <v>11048</v>
      </c>
      <c r="I819" t="s">
        <v>3839</v>
      </c>
      <c r="J819" t="s">
        <v>29625</v>
      </c>
      <c r="K819" t="s">
        <v>38485</v>
      </c>
      <c r="M819" t="s">
        <v>39091</v>
      </c>
      <c r="N819" t="s">
        <v>42669</v>
      </c>
      <c r="O819" t="s">
        <v>42670</v>
      </c>
      <c r="P819">
        <v>0</v>
      </c>
      <c r="Q819">
        <v>7</v>
      </c>
      <c r="R819" t="s">
        <v>42672</v>
      </c>
      <c r="S819" t="s">
        <v>42781</v>
      </c>
      <c r="T819" t="s">
        <v>44481</v>
      </c>
      <c r="U819" t="s">
        <v>45570</v>
      </c>
      <c r="V819" t="s">
        <v>56424</v>
      </c>
      <c r="W819" t="s">
        <v>39091</v>
      </c>
      <c r="X819" t="s">
        <v>42676</v>
      </c>
    </row>
    <row r="820" spans="1:24">
      <c r="A820">
        <f>HYPERLINK("https://www.philgeps.gov.ph/GEPSNONPILOT/Tender/SplashBidNoticeAbstractUI.aspx?menuIndex=3&amp;refID=7192859&amp;Result=3","7192859")</f>
        <v>0</v>
      </c>
      <c r="B820" t="s">
        <v>333</v>
      </c>
      <c r="C820" t="s">
        <v>4308</v>
      </c>
      <c r="E820" t="s">
        <v>17972</v>
      </c>
      <c r="F820" t="s">
        <v>29372</v>
      </c>
      <c r="G820" t="s">
        <v>29379</v>
      </c>
      <c r="H820" t="s">
        <v>11048</v>
      </c>
      <c r="I820" t="s">
        <v>29412</v>
      </c>
      <c r="J820" t="s">
        <v>30177</v>
      </c>
      <c r="K820" t="s">
        <v>38490</v>
      </c>
      <c r="M820" t="s">
        <v>39092</v>
      </c>
      <c r="N820" t="s">
        <v>42669</v>
      </c>
      <c r="O820" t="s">
        <v>42670</v>
      </c>
      <c r="P820">
        <v>0</v>
      </c>
      <c r="Q820">
        <v>2</v>
      </c>
      <c r="R820" t="s">
        <v>42672</v>
      </c>
      <c r="S820" t="s">
        <v>42781</v>
      </c>
      <c r="T820" t="s">
        <v>44429</v>
      </c>
      <c r="U820" t="s">
        <v>45571</v>
      </c>
      <c r="W820" t="s">
        <v>39092</v>
      </c>
      <c r="X820" t="s">
        <v>42676</v>
      </c>
    </row>
    <row r="821" spans="1:24">
      <c r="A821">
        <f>HYPERLINK("https://www.philgeps.gov.ph/GEPSNONPILOT/Tender/SplashBidNoticeAbstractUI.aspx?menuIndex=3&amp;refID=7192897&amp;Result=3","7192897")</f>
        <v>0</v>
      </c>
      <c r="B821" t="s">
        <v>332</v>
      </c>
      <c r="C821" t="s">
        <v>4309</v>
      </c>
      <c r="D821" t="s">
        <v>17213</v>
      </c>
      <c r="E821" t="s">
        <v>18003</v>
      </c>
      <c r="F821" t="s">
        <v>29372</v>
      </c>
      <c r="G821" t="s">
        <v>29379</v>
      </c>
      <c r="H821" t="s">
        <v>11048</v>
      </c>
      <c r="I821" t="s">
        <v>3839</v>
      </c>
      <c r="J821" t="s">
        <v>29929</v>
      </c>
      <c r="K821" t="s">
        <v>38485</v>
      </c>
      <c r="M821" t="s">
        <v>39091</v>
      </c>
      <c r="N821" t="s">
        <v>42669</v>
      </c>
      <c r="O821" t="s">
        <v>42670</v>
      </c>
      <c r="P821">
        <v>0</v>
      </c>
      <c r="Q821">
        <v>4</v>
      </c>
      <c r="R821" t="s">
        <v>42672</v>
      </c>
      <c r="S821" t="s">
        <v>42781</v>
      </c>
      <c r="T821" t="s">
        <v>44481</v>
      </c>
      <c r="U821" t="s">
        <v>45570</v>
      </c>
      <c r="V821" t="s">
        <v>56424</v>
      </c>
      <c r="W821" t="s">
        <v>39091</v>
      </c>
      <c r="X821" t="s">
        <v>42676</v>
      </c>
    </row>
    <row r="822" spans="1:24">
      <c r="A822">
        <f>HYPERLINK("https://www.philgeps.gov.ph/GEPSNONPILOT/Tender/SplashBidNoticeAbstractUI.aspx?menuIndex=3&amp;refID=7194332&amp;Result=3","7194332")</f>
        <v>0</v>
      </c>
      <c r="B822" t="s">
        <v>334</v>
      </c>
      <c r="C822" t="s">
        <v>4310</v>
      </c>
      <c r="D822" t="s">
        <v>17205</v>
      </c>
      <c r="E822" t="s">
        <v>17346</v>
      </c>
      <c r="F822" t="s">
        <v>29372</v>
      </c>
      <c r="G822" t="s">
        <v>29380</v>
      </c>
      <c r="H822" t="s">
        <v>11048</v>
      </c>
      <c r="I822" t="s">
        <v>3670</v>
      </c>
      <c r="J822" t="s">
        <v>29625</v>
      </c>
      <c r="K822" t="s">
        <v>38491</v>
      </c>
      <c r="M822" t="s">
        <v>39093</v>
      </c>
      <c r="N822" t="s">
        <v>42669</v>
      </c>
      <c r="O822" t="s">
        <v>42670</v>
      </c>
      <c r="P822">
        <v>0</v>
      </c>
      <c r="Q822">
        <v>1</v>
      </c>
      <c r="R822" t="s">
        <v>42671</v>
      </c>
      <c r="S822" t="s">
        <v>42779</v>
      </c>
      <c r="T822" t="s">
        <v>44356</v>
      </c>
      <c r="U822" t="s">
        <v>45572</v>
      </c>
      <c r="W822" t="s">
        <v>39093</v>
      </c>
      <c r="X822" t="s">
        <v>42672</v>
      </c>
    </row>
    <row r="823" spans="1:24">
      <c r="A823">
        <f>HYPERLINK("https://www.philgeps.gov.ph/GEPSNONPILOT/Tender/SplashBidNoticeAbstractUI.aspx?menuIndex=3&amp;refID=7192900&amp;Result=3","7192900")</f>
        <v>0</v>
      </c>
      <c r="B823" t="s">
        <v>332</v>
      </c>
      <c r="C823" t="s">
        <v>4311</v>
      </c>
      <c r="D823" t="s">
        <v>17213</v>
      </c>
      <c r="E823" t="s">
        <v>18004</v>
      </c>
      <c r="F823" t="s">
        <v>29372</v>
      </c>
      <c r="G823" t="s">
        <v>29379</v>
      </c>
      <c r="H823" t="s">
        <v>11048</v>
      </c>
      <c r="I823" t="s">
        <v>29440</v>
      </c>
      <c r="J823" t="s">
        <v>30178</v>
      </c>
      <c r="K823" t="s">
        <v>38485</v>
      </c>
      <c r="M823" t="s">
        <v>39091</v>
      </c>
      <c r="N823" t="s">
        <v>42669</v>
      </c>
      <c r="O823" t="s">
        <v>42670</v>
      </c>
      <c r="P823">
        <v>0</v>
      </c>
      <c r="Q823">
        <v>1</v>
      </c>
      <c r="R823" t="s">
        <v>42672</v>
      </c>
      <c r="S823" t="s">
        <v>42781</v>
      </c>
      <c r="T823" t="s">
        <v>44481</v>
      </c>
      <c r="U823" t="s">
        <v>45573</v>
      </c>
      <c r="V823" t="s">
        <v>56424</v>
      </c>
      <c r="W823" t="s">
        <v>39091</v>
      </c>
      <c r="X823" t="s">
        <v>42676</v>
      </c>
    </row>
    <row r="824" spans="1:24">
      <c r="A824">
        <f>HYPERLINK("https://www.philgeps.gov.ph/GEPSNONPILOT/Tender/SplashBidNoticeAbstractUI.aspx?menuIndex=3&amp;refID=7194262&amp;Result=3","7194262")</f>
        <v>0</v>
      </c>
      <c r="B824" t="s">
        <v>294</v>
      </c>
      <c r="C824" t="s">
        <v>4312</v>
      </c>
      <c r="D824" t="s">
        <v>17209</v>
      </c>
      <c r="E824" t="s">
        <v>18005</v>
      </c>
      <c r="F824" t="s">
        <v>29372</v>
      </c>
      <c r="G824" t="s">
        <v>29382</v>
      </c>
      <c r="H824" t="s">
        <v>11048</v>
      </c>
      <c r="I824" t="s">
        <v>5383</v>
      </c>
      <c r="J824" t="s">
        <v>30110</v>
      </c>
      <c r="K824" t="s">
        <v>38528</v>
      </c>
      <c r="M824" t="s">
        <v>39053</v>
      </c>
      <c r="N824" t="s">
        <v>42669</v>
      </c>
      <c r="O824" t="s">
        <v>42670</v>
      </c>
      <c r="P824">
        <v>0</v>
      </c>
      <c r="Q824">
        <v>0</v>
      </c>
      <c r="R824" t="s">
        <v>42671</v>
      </c>
      <c r="S824" t="s">
        <v>42779</v>
      </c>
      <c r="T824" t="s">
        <v>44378</v>
      </c>
      <c r="U824" t="s">
        <v>45498</v>
      </c>
      <c r="W824" t="s">
        <v>39053</v>
      </c>
      <c r="X824" t="s">
        <v>42672</v>
      </c>
    </row>
    <row r="825" spans="1:24">
      <c r="A825">
        <f>HYPERLINK("https://www.philgeps.gov.ph/GEPSNONPILOT/Tender/SplashBidNoticeAbstractUI.aspx?menuIndex=3&amp;refID=6708403&amp;Result=3","6708403")</f>
        <v>0</v>
      </c>
      <c r="B825" t="s">
        <v>333</v>
      </c>
      <c r="C825" t="s">
        <v>4313</v>
      </c>
      <c r="E825" t="s">
        <v>17755</v>
      </c>
      <c r="F825" t="s">
        <v>29372</v>
      </c>
      <c r="G825" t="s">
        <v>29379</v>
      </c>
      <c r="H825" t="s">
        <v>11048</v>
      </c>
      <c r="I825" t="s">
        <v>29412</v>
      </c>
      <c r="J825" t="s">
        <v>30179</v>
      </c>
      <c r="K825" t="s">
        <v>38490</v>
      </c>
      <c r="M825" t="s">
        <v>39092</v>
      </c>
      <c r="N825" t="s">
        <v>42669</v>
      </c>
      <c r="O825" t="s">
        <v>42670</v>
      </c>
      <c r="P825">
        <v>0</v>
      </c>
      <c r="Q825">
        <v>1</v>
      </c>
      <c r="R825" t="s">
        <v>42672</v>
      </c>
      <c r="S825" t="s">
        <v>42781</v>
      </c>
      <c r="T825" t="s">
        <v>44429</v>
      </c>
      <c r="U825" t="s">
        <v>45574</v>
      </c>
      <c r="W825" t="s">
        <v>39092</v>
      </c>
      <c r="X825" t="s">
        <v>58139</v>
      </c>
    </row>
    <row r="826" spans="1:24">
      <c r="A826">
        <f>HYPERLINK("https://www.philgeps.gov.ph/GEPSNONPILOT/Tender/SplashBidNoticeAbstractUI.aspx?menuIndex=3&amp;refID=7194344&amp;Result=3","7194344")</f>
        <v>0</v>
      </c>
      <c r="B826" t="s">
        <v>94</v>
      </c>
      <c r="C826" t="s">
        <v>4314</v>
      </c>
      <c r="D826" t="s">
        <v>17171</v>
      </c>
      <c r="E826" t="s">
        <v>18006</v>
      </c>
      <c r="F826" t="s">
        <v>29372</v>
      </c>
      <c r="G826" t="s">
        <v>29383</v>
      </c>
      <c r="H826" t="s">
        <v>11048</v>
      </c>
      <c r="I826" t="s">
        <v>5383</v>
      </c>
      <c r="J826" t="s">
        <v>30180</v>
      </c>
      <c r="K826" t="s">
        <v>38491</v>
      </c>
      <c r="M826" t="s">
        <v>38848</v>
      </c>
      <c r="N826" t="s">
        <v>42669</v>
      </c>
      <c r="O826" t="s">
        <v>42670</v>
      </c>
      <c r="P826">
        <v>0</v>
      </c>
      <c r="Q826">
        <v>0</v>
      </c>
      <c r="R826" t="s">
        <v>42671</v>
      </c>
      <c r="S826" t="s">
        <v>42779</v>
      </c>
      <c r="T826" t="s">
        <v>44401</v>
      </c>
      <c r="U826" t="s">
        <v>45575</v>
      </c>
      <c r="W826" t="s">
        <v>38848</v>
      </c>
      <c r="X826" t="s">
        <v>42672</v>
      </c>
    </row>
    <row r="827" spans="1:24">
      <c r="A827">
        <f>HYPERLINK("https://www.philgeps.gov.ph/GEPSNONPILOT/Tender/SplashBidNoticeAbstractUI.aspx?menuIndex=3&amp;refID=7192885&amp;Result=3","7192885")</f>
        <v>0</v>
      </c>
      <c r="B827" t="s">
        <v>332</v>
      </c>
      <c r="C827" t="s">
        <v>4315</v>
      </c>
      <c r="D827" t="s">
        <v>17213</v>
      </c>
      <c r="E827" t="s">
        <v>18007</v>
      </c>
      <c r="F827" t="s">
        <v>29372</v>
      </c>
      <c r="G827" t="s">
        <v>29379</v>
      </c>
      <c r="H827" t="s">
        <v>11048</v>
      </c>
      <c r="I827" t="s">
        <v>3839</v>
      </c>
      <c r="J827" t="s">
        <v>29555</v>
      </c>
      <c r="K827" t="s">
        <v>38485</v>
      </c>
      <c r="M827" t="s">
        <v>39091</v>
      </c>
      <c r="N827" t="s">
        <v>42669</v>
      </c>
      <c r="O827" t="s">
        <v>42670</v>
      </c>
      <c r="Q827">
        <v>6</v>
      </c>
      <c r="R827" t="s">
        <v>42672</v>
      </c>
      <c r="S827" t="s">
        <v>42782</v>
      </c>
      <c r="T827" t="s">
        <v>44481</v>
      </c>
      <c r="U827" t="s">
        <v>45570</v>
      </c>
      <c r="V827" t="s">
        <v>56424</v>
      </c>
      <c r="W827" t="s">
        <v>39091</v>
      </c>
      <c r="X827" t="s">
        <v>42676</v>
      </c>
    </row>
    <row r="828" spans="1:24">
      <c r="A828">
        <f>HYPERLINK("https://www.philgeps.gov.ph/GEPSNONPILOT/Tender/SplashBidNoticeAbstractUI.aspx?menuIndex=3&amp;refID=7194342&amp;Result=3","7194342")</f>
        <v>0</v>
      </c>
      <c r="B828" t="s">
        <v>335</v>
      </c>
      <c r="C828" t="s">
        <v>4316</v>
      </c>
      <c r="E828" t="s">
        <v>18008</v>
      </c>
      <c r="F828" t="s">
        <v>29372</v>
      </c>
      <c r="G828" t="s">
        <v>29380</v>
      </c>
      <c r="H828" t="s">
        <v>11048</v>
      </c>
      <c r="I828" t="s">
        <v>3695</v>
      </c>
      <c r="J828" t="s">
        <v>30181</v>
      </c>
      <c r="K828" t="s">
        <v>38490</v>
      </c>
      <c r="M828" t="s">
        <v>39094</v>
      </c>
      <c r="N828" t="s">
        <v>42669</v>
      </c>
      <c r="O828" t="s">
        <v>42670</v>
      </c>
      <c r="P828">
        <v>0</v>
      </c>
      <c r="Q828">
        <v>4</v>
      </c>
      <c r="R828" t="s">
        <v>42671</v>
      </c>
      <c r="S828" t="s">
        <v>42779</v>
      </c>
      <c r="T828" t="s">
        <v>44412</v>
      </c>
      <c r="U828" t="s">
        <v>45576</v>
      </c>
      <c r="W828" t="s">
        <v>39094</v>
      </c>
      <c r="X828" t="s">
        <v>42672</v>
      </c>
    </row>
    <row r="829" spans="1:24">
      <c r="A829">
        <f>HYPERLINK("https://www.philgeps.gov.ph/GEPSNONPILOT/Tender/SplashBidNoticeAbstractUI.aspx?menuIndex=3&amp;refID=7145925&amp;Result=3","7145925")</f>
        <v>0</v>
      </c>
      <c r="B829" t="s">
        <v>336</v>
      </c>
      <c r="C829" t="s">
        <v>4317</v>
      </c>
      <c r="E829" t="s">
        <v>18009</v>
      </c>
      <c r="F829" t="s">
        <v>29372</v>
      </c>
      <c r="G829" t="s">
        <v>29380</v>
      </c>
      <c r="H829" t="s">
        <v>11048</v>
      </c>
      <c r="I829" t="s">
        <v>29404</v>
      </c>
      <c r="J829" t="s">
        <v>30182</v>
      </c>
      <c r="K829" t="s">
        <v>38485</v>
      </c>
      <c r="M829" t="s">
        <v>39095</v>
      </c>
      <c r="N829" t="s">
        <v>42669</v>
      </c>
      <c r="O829" t="s">
        <v>42670</v>
      </c>
      <c r="P829">
        <v>0</v>
      </c>
      <c r="Q829">
        <v>0</v>
      </c>
      <c r="R829" t="s">
        <v>42672</v>
      </c>
      <c r="S829" t="s">
        <v>42781</v>
      </c>
      <c r="T829" t="s">
        <v>44379</v>
      </c>
      <c r="U829" t="s">
        <v>45577</v>
      </c>
      <c r="W829" t="s">
        <v>39095</v>
      </c>
      <c r="X829" t="s">
        <v>42697</v>
      </c>
    </row>
    <row r="830" spans="1:24">
      <c r="A830">
        <f>HYPERLINK("https://www.philgeps.gov.ph/GEPSNONPILOT/Tender/SplashBidNoticeAbstractUI.aspx?menuIndex=3&amp;refID=7194341&amp;Result=3","7194341")</f>
        <v>0</v>
      </c>
      <c r="B830" t="s">
        <v>94</v>
      </c>
      <c r="C830" t="s">
        <v>4318</v>
      </c>
      <c r="D830" t="s">
        <v>17171</v>
      </c>
      <c r="E830" t="s">
        <v>18010</v>
      </c>
      <c r="F830" t="s">
        <v>29372</v>
      </c>
      <c r="G830" t="s">
        <v>29383</v>
      </c>
      <c r="H830" t="s">
        <v>11048</v>
      </c>
      <c r="I830" t="s">
        <v>3695</v>
      </c>
      <c r="J830" t="s">
        <v>30183</v>
      </c>
      <c r="K830" t="s">
        <v>38491</v>
      </c>
      <c r="M830" t="s">
        <v>38848</v>
      </c>
      <c r="N830" t="s">
        <v>42669</v>
      </c>
      <c r="O830" t="s">
        <v>42670</v>
      </c>
      <c r="P830">
        <v>0</v>
      </c>
      <c r="Q830">
        <v>1</v>
      </c>
      <c r="R830" t="s">
        <v>42671</v>
      </c>
      <c r="S830" t="s">
        <v>42779</v>
      </c>
      <c r="T830" t="s">
        <v>44401</v>
      </c>
      <c r="U830" t="s">
        <v>45578</v>
      </c>
      <c r="W830" t="s">
        <v>38848</v>
      </c>
      <c r="X830" t="s">
        <v>42672</v>
      </c>
    </row>
    <row r="831" spans="1:24">
      <c r="A831">
        <f>HYPERLINK("https://www.philgeps.gov.ph/GEPSNONPILOT/Tender/SplashBidNoticeAbstractUI.aspx?menuIndex=3&amp;refID=7194339&amp;Result=3","7194339")</f>
        <v>0</v>
      </c>
      <c r="B831" t="s">
        <v>324</v>
      </c>
      <c r="C831" t="s">
        <v>4319</v>
      </c>
      <c r="E831" t="s">
        <v>18011</v>
      </c>
      <c r="F831" t="s">
        <v>29372</v>
      </c>
      <c r="G831" t="s">
        <v>29379</v>
      </c>
      <c r="H831" t="s">
        <v>29389</v>
      </c>
      <c r="I831" t="s">
        <v>10408</v>
      </c>
      <c r="J831" t="s">
        <v>30184</v>
      </c>
      <c r="K831" t="s">
        <v>38490</v>
      </c>
      <c r="M831" t="s">
        <v>39083</v>
      </c>
      <c r="N831" t="s">
        <v>42669</v>
      </c>
      <c r="O831" t="s">
        <v>42670</v>
      </c>
      <c r="P831">
        <v>0</v>
      </c>
      <c r="Q831">
        <v>0</v>
      </c>
      <c r="R831" t="s">
        <v>42671</v>
      </c>
      <c r="S831" t="s">
        <v>42779</v>
      </c>
      <c r="T831" t="s">
        <v>44382</v>
      </c>
      <c r="U831" t="s">
        <v>45579</v>
      </c>
      <c r="V831" t="s">
        <v>56425</v>
      </c>
      <c r="W831" t="s">
        <v>39083</v>
      </c>
      <c r="X831" t="s">
        <v>42672</v>
      </c>
    </row>
    <row r="832" spans="1:24">
      <c r="A832">
        <f>HYPERLINK("https://www.philgeps.gov.ph/GEPSNONPILOT/Tender/SplashBidNoticeAbstractUI.aspx?menuIndex=3&amp;refID=7194346&amp;Result=3","7194346")</f>
        <v>0</v>
      </c>
      <c r="B832" t="s">
        <v>337</v>
      </c>
      <c r="C832" t="s">
        <v>4320</v>
      </c>
      <c r="D832" t="s">
        <v>17171</v>
      </c>
      <c r="E832" t="s">
        <v>18012</v>
      </c>
      <c r="F832" t="s">
        <v>29372</v>
      </c>
      <c r="G832" t="s">
        <v>29380</v>
      </c>
      <c r="H832" t="s">
        <v>11048</v>
      </c>
      <c r="I832" t="s">
        <v>29426</v>
      </c>
      <c r="J832" t="s">
        <v>30185</v>
      </c>
      <c r="K832" t="s">
        <v>38485</v>
      </c>
      <c r="M832" t="s">
        <v>39096</v>
      </c>
      <c r="N832" t="s">
        <v>42669</v>
      </c>
      <c r="O832" t="s">
        <v>42670</v>
      </c>
      <c r="P832">
        <v>0</v>
      </c>
      <c r="Q832">
        <v>6</v>
      </c>
      <c r="R832" t="s">
        <v>42671</v>
      </c>
      <c r="S832" t="s">
        <v>42779</v>
      </c>
      <c r="T832" t="s">
        <v>44487</v>
      </c>
      <c r="U832" t="s">
        <v>45580</v>
      </c>
      <c r="W832" t="s">
        <v>39096</v>
      </c>
      <c r="X832" t="s">
        <v>42672</v>
      </c>
    </row>
    <row r="833" spans="1:24">
      <c r="A833">
        <f>HYPERLINK("https://www.philgeps.gov.ph/GEPSNONPILOT/Tender/SplashBidNoticeAbstractUI.aspx?menuIndex=3&amp;refID=7194329&amp;Result=3","7194329")</f>
        <v>0</v>
      </c>
      <c r="B833" t="s">
        <v>335</v>
      </c>
      <c r="C833" t="s">
        <v>4321</v>
      </c>
      <c r="D833" t="s">
        <v>17164</v>
      </c>
      <c r="E833" t="s">
        <v>18013</v>
      </c>
      <c r="F833" t="s">
        <v>29372</v>
      </c>
      <c r="G833" t="s">
        <v>29380</v>
      </c>
      <c r="H833" t="s">
        <v>29389</v>
      </c>
      <c r="I833" t="s">
        <v>10408</v>
      </c>
      <c r="J833" t="s">
        <v>30186</v>
      </c>
      <c r="K833" t="s">
        <v>38490</v>
      </c>
      <c r="M833" t="s">
        <v>39094</v>
      </c>
      <c r="N833" t="s">
        <v>42669</v>
      </c>
      <c r="O833" t="s">
        <v>42670</v>
      </c>
      <c r="P833">
        <v>0</v>
      </c>
      <c r="Q833">
        <v>2</v>
      </c>
      <c r="R833" t="s">
        <v>42671</v>
      </c>
      <c r="S833" t="s">
        <v>42779</v>
      </c>
      <c r="T833" t="s">
        <v>44412</v>
      </c>
      <c r="U833" t="s">
        <v>45581</v>
      </c>
      <c r="W833" t="s">
        <v>39094</v>
      </c>
      <c r="X833" t="s">
        <v>42672</v>
      </c>
    </row>
    <row r="834" spans="1:24">
      <c r="A834">
        <f>HYPERLINK("https://www.philgeps.gov.ph/GEPSNONPILOT/Tender/SplashBidNoticeAbstractUI.aspx?menuIndex=3&amp;refID=6972267-2&amp;Result=3","6972267-2")</f>
        <v>0</v>
      </c>
      <c r="B834" t="s">
        <v>338</v>
      </c>
      <c r="C834" t="s">
        <v>4322</v>
      </c>
      <c r="D834" t="s">
        <v>17141</v>
      </c>
      <c r="E834" t="s">
        <v>18014</v>
      </c>
      <c r="F834" t="s">
        <v>29372</v>
      </c>
      <c r="G834" t="s">
        <v>29380</v>
      </c>
      <c r="H834" t="s">
        <v>29391</v>
      </c>
      <c r="I834" t="s">
        <v>29391</v>
      </c>
      <c r="J834" t="s">
        <v>30056</v>
      </c>
      <c r="K834" t="s">
        <v>38490</v>
      </c>
      <c r="M834" t="s">
        <v>39097</v>
      </c>
      <c r="N834" t="s">
        <v>42669</v>
      </c>
      <c r="O834" t="s">
        <v>42670</v>
      </c>
      <c r="P834">
        <v>0</v>
      </c>
      <c r="Q834">
        <v>0</v>
      </c>
      <c r="R834" t="s">
        <v>42672</v>
      </c>
      <c r="S834" t="s">
        <v>42781</v>
      </c>
      <c r="T834" t="s">
        <v>44375</v>
      </c>
      <c r="U834" t="s">
        <v>45582</v>
      </c>
      <c r="W834" t="s">
        <v>39097</v>
      </c>
      <c r="X834" t="s">
        <v>58140</v>
      </c>
    </row>
    <row r="835" spans="1:24">
      <c r="A835">
        <f>HYPERLINK("https://www.philgeps.gov.ph/GEPSNONPILOT/Tender/SplashBidNoticeAbstractUI.aspx?menuIndex=3&amp;refID=7193802&amp;Result=3","7193802")</f>
        <v>0</v>
      </c>
      <c r="B835" t="s">
        <v>339</v>
      </c>
      <c r="C835" t="s">
        <v>4323</v>
      </c>
      <c r="D835" t="s">
        <v>17156</v>
      </c>
      <c r="E835" t="s">
        <v>18015</v>
      </c>
      <c r="F835" t="s">
        <v>29372</v>
      </c>
      <c r="G835" t="s">
        <v>29381</v>
      </c>
      <c r="H835" t="s">
        <v>11048</v>
      </c>
      <c r="I835" t="s">
        <v>3629</v>
      </c>
      <c r="J835" t="s">
        <v>30187</v>
      </c>
      <c r="K835" t="s">
        <v>38485</v>
      </c>
      <c r="M835" t="s">
        <v>39098</v>
      </c>
      <c r="N835" t="s">
        <v>42669</v>
      </c>
      <c r="O835" t="s">
        <v>42670</v>
      </c>
      <c r="P835">
        <v>0</v>
      </c>
      <c r="Q835">
        <v>2</v>
      </c>
      <c r="R835" t="s">
        <v>42672</v>
      </c>
      <c r="S835" t="s">
        <v>42781</v>
      </c>
      <c r="T835" t="s">
        <v>44414</v>
      </c>
      <c r="U835" t="s">
        <v>45583</v>
      </c>
      <c r="W835" t="s">
        <v>39098</v>
      </c>
      <c r="X835" t="s">
        <v>42673</v>
      </c>
    </row>
    <row r="836" spans="1:24">
      <c r="A836">
        <f>HYPERLINK("https://www.philgeps.gov.ph/GEPSNONPILOT/Tender/SplashBidNoticeAbstractUI.aspx?menuIndex=3&amp;refID=7194347&amp;Result=3","7194347")</f>
        <v>0</v>
      </c>
      <c r="B836" t="s">
        <v>335</v>
      </c>
      <c r="C836" t="s">
        <v>4324</v>
      </c>
      <c r="E836" t="s">
        <v>18016</v>
      </c>
      <c r="F836" t="s">
        <v>29372</v>
      </c>
      <c r="G836" t="s">
        <v>29379</v>
      </c>
      <c r="H836" t="s">
        <v>11048</v>
      </c>
      <c r="I836" t="s">
        <v>3839</v>
      </c>
      <c r="J836" t="s">
        <v>30000</v>
      </c>
      <c r="K836" t="s">
        <v>38490</v>
      </c>
      <c r="M836" t="s">
        <v>39094</v>
      </c>
      <c r="N836" t="s">
        <v>42669</v>
      </c>
      <c r="O836" t="s">
        <v>42670</v>
      </c>
      <c r="P836">
        <v>0</v>
      </c>
      <c r="Q836">
        <v>6</v>
      </c>
      <c r="R836" t="s">
        <v>42671</v>
      </c>
      <c r="S836" t="s">
        <v>42779</v>
      </c>
      <c r="T836" t="s">
        <v>44399</v>
      </c>
      <c r="U836" t="s">
        <v>45584</v>
      </c>
      <c r="W836" t="s">
        <v>39094</v>
      </c>
      <c r="X836" t="s">
        <v>42672</v>
      </c>
    </row>
    <row r="837" spans="1:24">
      <c r="A837">
        <f>HYPERLINK("https://www.philgeps.gov.ph/GEPSNONPILOT/Tender/SplashBidNoticeAbstractUI.aspx?menuIndex=3&amp;refID=7193801&amp;Result=3","7193801")</f>
        <v>0</v>
      </c>
      <c r="B837" t="s">
        <v>339</v>
      </c>
      <c r="C837" t="s">
        <v>4325</v>
      </c>
      <c r="D837" t="s">
        <v>17156</v>
      </c>
      <c r="E837" t="s">
        <v>4325</v>
      </c>
      <c r="F837" t="s">
        <v>29372</v>
      </c>
      <c r="G837" t="s">
        <v>29381</v>
      </c>
      <c r="H837" t="s">
        <v>11048</v>
      </c>
      <c r="I837" t="s">
        <v>8614</v>
      </c>
      <c r="J837" t="s">
        <v>30188</v>
      </c>
      <c r="K837" t="s">
        <v>38485</v>
      </c>
      <c r="M837" t="s">
        <v>39098</v>
      </c>
      <c r="N837" t="s">
        <v>42669</v>
      </c>
      <c r="O837" t="s">
        <v>42670</v>
      </c>
      <c r="P837">
        <v>0</v>
      </c>
      <c r="Q837">
        <v>6</v>
      </c>
      <c r="R837" t="s">
        <v>42672</v>
      </c>
      <c r="S837" t="s">
        <v>42781</v>
      </c>
      <c r="T837" t="s">
        <v>44414</v>
      </c>
      <c r="U837" t="s">
        <v>45585</v>
      </c>
      <c r="W837" t="s">
        <v>39098</v>
      </c>
      <c r="X837" t="s">
        <v>42673</v>
      </c>
    </row>
    <row r="838" spans="1:24">
      <c r="A838">
        <f>HYPERLINK("https://www.philgeps.gov.ph/GEPSNONPILOT/Tender/SplashBidNoticeAbstractUI.aspx?menuIndex=3&amp;refID=7194336&amp;Result=3","7194336")</f>
        <v>0</v>
      </c>
      <c r="B838" t="s">
        <v>340</v>
      </c>
      <c r="C838" t="s">
        <v>4326</v>
      </c>
      <c r="D838" t="s">
        <v>17141</v>
      </c>
      <c r="E838" t="s">
        <v>17428</v>
      </c>
      <c r="F838" t="s">
        <v>29372</v>
      </c>
      <c r="G838" t="s">
        <v>29383</v>
      </c>
      <c r="H838" t="s">
        <v>11048</v>
      </c>
      <c r="I838" t="s">
        <v>5383</v>
      </c>
      <c r="J838" t="s">
        <v>29657</v>
      </c>
      <c r="K838" t="s">
        <v>38488</v>
      </c>
      <c r="M838" t="s">
        <v>39099</v>
      </c>
      <c r="N838" t="s">
        <v>42669</v>
      </c>
      <c r="O838" t="s">
        <v>42670</v>
      </c>
      <c r="P838">
        <v>0</v>
      </c>
      <c r="Q838">
        <v>2</v>
      </c>
      <c r="R838" t="s">
        <v>42671</v>
      </c>
      <c r="S838" t="s">
        <v>42779</v>
      </c>
      <c r="T838" t="s">
        <v>44417</v>
      </c>
      <c r="U838" t="s">
        <v>45586</v>
      </c>
      <c r="W838" t="s">
        <v>39099</v>
      </c>
      <c r="X838" t="s">
        <v>42672</v>
      </c>
    </row>
    <row r="839" spans="1:24">
      <c r="A839">
        <f>HYPERLINK("https://www.philgeps.gov.ph/GEPSNONPILOT/Tender/SplashBidNoticeAbstractUI.aspx?menuIndex=3&amp;refID=7194310&amp;Result=3","7194310")</f>
        <v>0</v>
      </c>
      <c r="B839" t="s">
        <v>341</v>
      </c>
      <c r="C839" t="s">
        <v>4327</v>
      </c>
      <c r="D839" t="s">
        <v>17205</v>
      </c>
      <c r="E839" t="s">
        <v>18017</v>
      </c>
      <c r="F839" t="s">
        <v>29372</v>
      </c>
      <c r="G839" t="s">
        <v>29380</v>
      </c>
      <c r="H839" t="s">
        <v>11048</v>
      </c>
      <c r="I839" t="s">
        <v>4709</v>
      </c>
      <c r="J839" t="s">
        <v>29571</v>
      </c>
      <c r="K839" t="s">
        <v>38491</v>
      </c>
      <c r="M839" t="s">
        <v>39100</v>
      </c>
      <c r="N839" t="s">
        <v>42669</v>
      </c>
      <c r="O839" t="s">
        <v>42670</v>
      </c>
      <c r="P839">
        <v>0</v>
      </c>
      <c r="Q839">
        <v>0</v>
      </c>
      <c r="R839" t="s">
        <v>42671</v>
      </c>
      <c r="S839" t="s">
        <v>42779</v>
      </c>
      <c r="T839" t="s">
        <v>44356</v>
      </c>
      <c r="U839" t="s">
        <v>45587</v>
      </c>
      <c r="W839" t="s">
        <v>39100</v>
      </c>
      <c r="X839" t="s">
        <v>42672</v>
      </c>
    </row>
    <row r="840" spans="1:24">
      <c r="A840">
        <f>HYPERLINK("https://www.philgeps.gov.ph/GEPSNONPILOT/Tender/SplashBidNoticeAbstractUI.aspx?menuIndex=3&amp;refID=7193798&amp;Result=3","7193798")</f>
        <v>0</v>
      </c>
      <c r="B840" t="s">
        <v>339</v>
      </c>
      <c r="C840" t="s">
        <v>4328</v>
      </c>
      <c r="D840" t="s">
        <v>17156</v>
      </c>
      <c r="E840" t="s">
        <v>4328</v>
      </c>
      <c r="F840" t="s">
        <v>29372</v>
      </c>
      <c r="G840" t="s">
        <v>29381</v>
      </c>
      <c r="H840" t="s">
        <v>11048</v>
      </c>
      <c r="I840" t="s">
        <v>29415</v>
      </c>
      <c r="J840" t="s">
        <v>30189</v>
      </c>
      <c r="K840" t="s">
        <v>38485</v>
      </c>
      <c r="M840" t="s">
        <v>39098</v>
      </c>
      <c r="N840" t="s">
        <v>42669</v>
      </c>
      <c r="O840" t="s">
        <v>42670</v>
      </c>
      <c r="P840">
        <v>0</v>
      </c>
      <c r="Q840">
        <v>5</v>
      </c>
      <c r="R840" t="s">
        <v>42672</v>
      </c>
      <c r="S840" t="s">
        <v>42781</v>
      </c>
      <c r="T840" t="s">
        <v>44414</v>
      </c>
      <c r="U840" t="s">
        <v>45588</v>
      </c>
      <c r="W840" t="s">
        <v>39098</v>
      </c>
      <c r="X840" t="s">
        <v>42673</v>
      </c>
    </row>
    <row r="841" spans="1:24">
      <c r="A841">
        <f>HYPERLINK("https://www.philgeps.gov.ph/GEPSNONPILOT/Tender/SplashBidNoticeAbstractUI.aspx?menuIndex=3&amp;refID=7193800&amp;Result=3","7193800")</f>
        <v>0</v>
      </c>
      <c r="B841" t="s">
        <v>339</v>
      </c>
      <c r="C841" t="s">
        <v>4329</v>
      </c>
      <c r="D841" t="s">
        <v>17156</v>
      </c>
      <c r="E841" t="s">
        <v>18018</v>
      </c>
      <c r="F841" t="s">
        <v>29372</v>
      </c>
      <c r="G841" t="s">
        <v>29381</v>
      </c>
      <c r="H841" t="s">
        <v>11048</v>
      </c>
      <c r="I841" t="s">
        <v>29455</v>
      </c>
      <c r="J841" t="s">
        <v>30175</v>
      </c>
      <c r="K841" t="s">
        <v>38485</v>
      </c>
      <c r="M841" t="s">
        <v>39098</v>
      </c>
      <c r="N841" t="s">
        <v>42669</v>
      </c>
      <c r="O841" t="s">
        <v>42670</v>
      </c>
      <c r="P841">
        <v>0</v>
      </c>
      <c r="Q841">
        <v>0</v>
      </c>
      <c r="R841" t="s">
        <v>42672</v>
      </c>
      <c r="S841" t="s">
        <v>42781</v>
      </c>
      <c r="T841" t="s">
        <v>44414</v>
      </c>
      <c r="U841" t="s">
        <v>45589</v>
      </c>
      <c r="W841" t="s">
        <v>39098</v>
      </c>
      <c r="X841" t="s">
        <v>42673</v>
      </c>
    </row>
    <row r="842" spans="1:24">
      <c r="A842">
        <f>HYPERLINK("https://www.philgeps.gov.ph/GEPSNONPILOT/Tender/SplashBidNoticeAbstractUI.aspx?menuIndex=3&amp;refID=7194337&amp;Result=3","7194337")</f>
        <v>0</v>
      </c>
      <c r="B842" t="s">
        <v>335</v>
      </c>
      <c r="C842" t="s">
        <v>4330</v>
      </c>
      <c r="E842" t="s">
        <v>18019</v>
      </c>
      <c r="F842" t="s">
        <v>29372</v>
      </c>
      <c r="G842" t="s">
        <v>29380</v>
      </c>
      <c r="H842" t="s">
        <v>11048</v>
      </c>
      <c r="I842" t="s">
        <v>3695</v>
      </c>
      <c r="J842" t="s">
        <v>30190</v>
      </c>
      <c r="K842" t="s">
        <v>38490</v>
      </c>
      <c r="M842" t="s">
        <v>39094</v>
      </c>
      <c r="N842" t="s">
        <v>42669</v>
      </c>
      <c r="O842" t="s">
        <v>42670</v>
      </c>
      <c r="P842">
        <v>0</v>
      </c>
      <c r="Q842">
        <v>2</v>
      </c>
      <c r="R842" t="s">
        <v>42671</v>
      </c>
      <c r="S842" t="s">
        <v>42779</v>
      </c>
      <c r="T842" t="s">
        <v>44412</v>
      </c>
      <c r="U842" t="s">
        <v>45590</v>
      </c>
      <c r="W842" t="s">
        <v>39094</v>
      </c>
      <c r="X842" t="s">
        <v>42672</v>
      </c>
    </row>
    <row r="843" spans="1:24">
      <c r="A843">
        <f>HYPERLINK("https://www.philgeps.gov.ph/GEPSNONPILOT/Tender/SplashBidNoticeAbstractUI.aspx?menuIndex=3&amp;refID=7193785&amp;Result=3","7193785")</f>
        <v>0</v>
      </c>
      <c r="B843" t="s">
        <v>342</v>
      </c>
      <c r="C843" t="s">
        <v>4331</v>
      </c>
      <c r="D843" t="s">
        <v>17189</v>
      </c>
      <c r="E843" t="s">
        <v>17714</v>
      </c>
      <c r="F843" t="s">
        <v>29372</v>
      </c>
      <c r="G843" t="s">
        <v>29382</v>
      </c>
      <c r="H843" t="s">
        <v>11048</v>
      </c>
      <c r="I843" t="s">
        <v>29412</v>
      </c>
      <c r="J843" t="s">
        <v>30191</v>
      </c>
      <c r="K843" t="s">
        <v>38490</v>
      </c>
      <c r="M843" t="s">
        <v>39101</v>
      </c>
      <c r="N843" t="s">
        <v>42669</v>
      </c>
      <c r="O843" t="s">
        <v>42670</v>
      </c>
      <c r="P843">
        <v>0</v>
      </c>
      <c r="Q843">
        <v>0</v>
      </c>
      <c r="R843" t="s">
        <v>42672</v>
      </c>
      <c r="S843" t="s">
        <v>42781</v>
      </c>
      <c r="T843" t="s">
        <v>44469</v>
      </c>
      <c r="U843" t="s">
        <v>45591</v>
      </c>
      <c r="W843" t="s">
        <v>39101</v>
      </c>
      <c r="X843" t="s">
        <v>42673</v>
      </c>
    </row>
    <row r="844" spans="1:24">
      <c r="A844">
        <f>HYPERLINK("https://www.philgeps.gov.ph/GEPSNONPILOT/Tender/SplashBidNoticeAbstractUI.aspx?menuIndex=3&amp;refID=7187007&amp;Result=3","7187007")</f>
        <v>0</v>
      </c>
      <c r="B844" t="s">
        <v>336</v>
      </c>
      <c r="C844" t="s">
        <v>4332</v>
      </c>
      <c r="E844" t="s">
        <v>18020</v>
      </c>
      <c r="F844" t="s">
        <v>29372</v>
      </c>
      <c r="G844" t="s">
        <v>29380</v>
      </c>
      <c r="H844" t="s">
        <v>11048</v>
      </c>
      <c r="I844" t="s">
        <v>29428</v>
      </c>
      <c r="J844" t="s">
        <v>30192</v>
      </c>
      <c r="K844" t="s">
        <v>38485</v>
      </c>
      <c r="M844" t="s">
        <v>39095</v>
      </c>
      <c r="N844" t="s">
        <v>42669</v>
      </c>
      <c r="O844" t="s">
        <v>42670</v>
      </c>
      <c r="P844">
        <v>0</v>
      </c>
      <c r="Q844">
        <v>0</v>
      </c>
      <c r="R844" t="s">
        <v>42672</v>
      </c>
      <c r="S844" t="s">
        <v>42781</v>
      </c>
      <c r="T844" t="s">
        <v>44379</v>
      </c>
      <c r="U844" t="s">
        <v>45592</v>
      </c>
      <c r="W844" t="s">
        <v>39095</v>
      </c>
      <c r="X844" t="s">
        <v>42677</v>
      </c>
    </row>
    <row r="845" spans="1:24">
      <c r="A845">
        <f>HYPERLINK("https://www.philgeps.gov.ph/GEPSNONPILOT/Tender/SplashBidNoticeAbstractUI.aspx?menuIndex=3&amp;refID=7193796&amp;Result=3","7193796")</f>
        <v>0</v>
      </c>
      <c r="B845" t="s">
        <v>343</v>
      </c>
      <c r="C845" t="s">
        <v>4333</v>
      </c>
      <c r="D845" t="s">
        <v>17172</v>
      </c>
      <c r="E845" t="s">
        <v>18021</v>
      </c>
      <c r="F845" t="s">
        <v>29372</v>
      </c>
      <c r="G845" t="s">
        <v>29379</v>
      </c>
      <c r="H845" t="s">
        <v>11048</v>
      </c>
      <c r="I845" t="s">
        <v>29409</v>
      </c>
      <c r="J845" t="s">
        <v>30193</v>
      </c>
      <c r="K845" t="s">
        <v>38490</v>
      </c>
      <c r="M845" t="s">
        <v>39102</v>
      </c>
      <c r="N845" t="s">
        <v>42669</v>
      </c>
      <c r="O845" t="s">
        <v>42670</v>
      </c>
      <c r="P845">
        <v>0</v>
      </c>
      <c r="Q845">
        <v>1</v>
      </c>
      <c r="R845" t="s">
        <v>42672</v>
      </c>
      <c r="S845" t="s">
        <v>42781</v>
      </c>
      <c r="T845" t="s">
        <v>44429</v>
      </c>
      <c r="U845" t="s">
        <v>45593</v>
      </c>
      <c r="W845" t="s">
        <v>39102</v>
      </c>
      <c r="X845" t="s">
        <v>42673</v>
      </c>
    </row>
    <row r="846" spans="1:24">
      <c r="A846">
        <f>HYPERLINK("https://www.philgeps.gov.ph/GEPSNONPILOT/Tender/SplashBidNoticeAbstractUI.aspx?menuIndex=3&amp;refID=7193794&amp;Result=3","7193794")</f>
        <v>0</v>
      </c>
      <c r="B846" t="s">
        <v>339</v>
      </c>
      <c r="C846" t="s">
        <v>4334</v>
      </c>
      <c r="D846" t="s">
        <v>17156</v>
      </c>
      <c r="E846" t="s">
        <v>4334</v>
      </c>
      <c r="F846" t="s">
        <v>29372</v>
      </c>
      <c r="G846" t="s">
        <v>29382</v>
      </c>
      <c r="H846" t="s">
        <v>11048</v>
      </c>
      <c r="I846" t="s">
        <v>8614</v>
      </c>
      <c r="J846" t="s">
        <v>30194</v>
      </c>
      <c r="K846" t="s">
        <v>38485</v>
      </c>
      <c r="M846" t="s">
        <v>39098</v>
      </c>
      <c r="N846" t="s">
        <v>42669</v>
      </c>
      <c r="O846" t="s">
        <v>42670</v>
      </c>
      <c r="P846">
        <v>0</v>
      </c>
      <c r="Q846">
        <v>2</v>
      </c>
      <c r="R846" t="s">
        <v>42672</v>
      </c>
      <c r="S846" t="s">
        <v>42781</v>
      </c>
      <c r="T846" t="s">
        <v>44414</v>
      </c>
      <c r="U846" t="s">
        <v>45594</v>
      </c>
      <c r="W846" t="s">
        <v>39098</v>
      </c>
      <c r="X846" t="s">
        <v>42673</v>
      </c>
    </row>
    <row r="847" spans="1:24">
      <c r="A847">
        <f>HYPERLINK("https://www.philgeps.gov.ph/GEPSNONPILOT/Tender/SplashBidNoticeAbstractUI.aspx?menuIndex=3&amp;refID=7193777&amp;Result=3","7193777")</f>
        <v>0</v>
      </c>
      <c r="B847" t="s">
        <v>344</v>
      </c>
      <c r="C847" t="s">
        <v>4335</v>
      </c>
      <c r="D847" t="s">
        <v>17166</v>
      </c>
      <c r="E847" t="s">
        <v>18022</v>
      </c>
      <c r="F847" t="s">
        <v>29372</v>
      </c>
      <c r="G847" t="s">
        <v>29379</v>
      </c>
      <c r="H847" t="s">
        <v>11048</v>
      </c>
      <c r="I847" t="s">
        <v>29412</v>
      </c>
      <c r="J847" t="s">
        <v>30195</v>
      </c>
      <c r="K847" t="s">
        <v>38532</v>
      </c>
      <c r="M847" t="s">
        <v>39103</v>
      </c>
      <c r="N847" t="s">
        <v>42669</v>
      </c>
      <c r="O847" t="s">
        <v>42670</v>
      </c>
      <c r="P847">
        <v>0</v>
      </c>
      <c r="Q847">
        <v>2</v>
      </c>
      <c r="R847" t="s">
        <v>42672</v>
      </c>
      <c r="S847" t="s">
        <v>42781</v>
      </c>
      <c r="T847" t="s">
        <v>44425</v>
      </c>
      <c r="U847" t="s">
        <v>45595</v>
      </c>
      <c r="W847" t="s">
        <v>39103</v>
      </c>
      <c r="X847" t="s">
        <v>42673</v>
      </c>
    </row>
    <row r="848" spans="1:24">
      <c r="A848">
        <f>HYPERLINK("https://www.philgeps.gov.ph/GEPSNONPILOT/Tender/SplashBidNoticeAbstractUI.aspx?menuIndex=3&amp;refID=7193799&amp;Result=3","7193799")</f>
        <v>0</v>
      </c>
      <c r="B848" t="s">
        <v>345</v>
      </c>
      <c r="C848" t="s">
        <v>4336</v>
      </c>
      <c r="D848" t="s">
        <v>17171</v>
      </c>
      <c r="E848" t="s">
        <v>18023</v>
      </c>
      <c r="F848" t="s">
        <v>29372</v>
      </c>
      <c r="G848" t="s">
        <v>29379</v>
      </c>
      <c r="H848" t="s">
        <v>11048</v>
      </c>
      <c r="I848" t="s">
        <v>29412</v>
      </c>
      <c r="J848" t="s">
        <v>30196</v>
      </c>
      <c r="K848" t="s">
        <v>38491</v>
      </c>
      <c r="M848" t="s">
        <v>39104</v>
      </c>
      <c r="N848" t="s">
        <v>42669</v>
      </c>
      <c r="O848" t="s">
        <v>42670</v>
      </c>
      <c r="P848">
        <v>0</v>
      </c>
      <c r="Q848">
        <v>1</v>
      </c>
      <c r="R848" t="s">
        <v>42672</v>
      </c>
      <c r="S848" t="s">
        <v>42781</v>
      </c>
      <c r="T848" t="s">
        <v>44417</v>
      </c>
      <c r="U848" t="s">
        <v>45596</v>
      </c>
      <c r="V848" t="s">
        <v>56426</v>
      </c>
      <c r="W848" t="s">
        <v>39104</v>
      </c>
      <c r="X848" t="s">
        <v>42673</v>
      </c>
    </row>
    <row r="849" spans="1:24">
      <c r="A849">
        <f>HYPERLINK("https://www.philgeps.gov.ph/GEPSNONPILOT/Tender/SplashBidNoticeAbstractUI.aspx?menuIndex=3&amp;refID=7193893&amp;Result=3","7193893")</f>
        <v>0</v>
      </c>
      <c r="B849" t="s">
        <v>346</v>
      </c>
      <c r="C849" t="s">
        <v>4337</v>
      </c>
      <c r="E849" t="s">
        <v>18024</v>
      </c>
      <c r="F849" t="s">
        <v>29372</v>
      </c>
      <c r="G849" t="s">
        <v>29383</v>
      </c>
      <c r="H849" t="s">
        <v>11048</v>
      </c>
      <c r="I849" t="s">
        <v>3839</v>
      </c>
      <c r="J849" t="s">
        <v>30197</v>
      </c>
      <c r="K849" t="s">
        <v>38488</v>
      </c>
      <c r="M849" t="s">
        <v>39105</v>
      </c>
      <c r="N849" t="s">
        <v>42669</v>
      </c>
      <c r="O849" t="s">
        <v>42670</v>
      </c>
      <c r="P849">
        <v>0</v>
      </c>
      <c r="Q849">
        <v>1</v>
      </c>
      <c r="R849" t="s">
        <v>42672</v>
      </c>
      <c r="S849" t="s">
        <v>42781</v>
      </c>
      <c r="T849" t="s">
        <v>44488</v>
      </c>
      <c r="U849" t="s">
        <v>45597</v>
      </c>
      <c r="W849" t="s">
        <v>39105</v>
      </c>
      <c r="X849" t="s">
        <v>42673</v>
      </c>
    </row>
    <row r="850" spans="1:24">
      <c r="A850">
        <f>HYPERLINK("https://www.philgeps.gov.ph/GEPSNONPILOT/Tender/SplashBidNoticeAbstractUI.aspx?menuIndex=3&amp;refID=7193797&amp;Result=3","7193797")</f>
        <v>0</v>
      </c>
      <c r="B850" t="s">
        <v>339</v>
      </c>
      <c r="C850" t="s">
        <v>4338</v>
      </c>
      <c r="D850" t="s">
        <v>17156</v>
      </c>
      <c r="E850" t="s">
        <v>4338</v>
      </c>
      <c r="F850" t="s">
        <v>29372</v>
      </c>
      <c r="G850" t="s">
        <v>29381</v>
      </c>
      <c r="H850" t="s">
        <v>11048</v>
      </c>
      <c r="I850" t="s">
        <v>3839</v>
      </c>
      <c r="J850" t="s">
        <v>30198</v>
      </c>
      <c r="K850" t="s">
        <v>38485</v>
      </c>
      <c r="M850" t="s">
        <v>39098</v>
      </c>
      <c r="N850" t="s">
        <v>42669</v>
      </c>
      <c r="O850" t="s">
        <v>42670</v>
      </c>
      <c r="P850">
        <v>0</v>
      </c>
      <c r="Q850">
        <v>2</v>
      </c>
      <c r="R850" t="s">
        <v>42672</v>
      </c>
      <c r="S850" t="s">
        <v>42781</v>
      </c>
      <c r="T850" t="s">
        <v>44414</v>
      </c>
      <c r="U850" t="s">
        <v>45598</v>
      </c>
      <c r="W850" t="s">
        <v>39098</v>
      </c>
      <c r="X850" t="s">
        <v>42673</v>
      </c>
    </row>
    <row r="851" spans="1:24">
      <c r="A851">
        <f>HYPERLINK("https://www.philgeps.gov.ph/GEPSNONPILOT/Tender/SplashBidNoticeAbstractUI.aspx?menuIndex=3&amp;refID=7193784&amp;Result=3","7193784")</f>
        <v>0</v>
      </c>
      <c r="B851" t="s">
        <v>342</v>
      </c>
      <c r="C851" t="s">
        <v>4339</v>
      </c>
      <c r="D851" t="s">
        <v>17189</v>
      </c>
      <c r="E851" t="s">
        <v>17714</v>
      </c>
      <c r="F851" t="s">
        <v>29372</v>
      </c>
      <c r="G851" t="s">
        <v>29382</v>
      </c>
      <c r="H851" t="s">
        <v>11048</v>
      </c>
      <c r="I851" t="s">
        <v>29412</v>
      </c>
      <c r="J851" t="s">
        <v>30014</v>
      </c>
      <c r="K851" t="s">
        <v>38490</v>
      </c>
      <c r="M851" t="s">
        <v>39101</v>
      </c>
      <c r="N851" t="s">
        <v>42669</v>
      </c>
      <c r="O851" t="s">
        <v>42670</v>
      </c>
      <c r="P851">
        <v>0</v>
      </c>
      <c r="Q851">
        <v>0</v>
      </c>
      <c r="R851" t="s">
        <v>42672</v>
      </c>
      <c r="S851" t="s">
        <v>42781</v>
      </c>
      <c r="T851" t="s">
        <v>44469</v>
      </c>
      <c r="U851" t="s">
        <v>45599</v>
      </c>
      <c r="W851" t="s">
        <v>39101</v>
      </c>
      <c r="X851" t="s">
        <v>42673</v>
      </c>
    </row>
    <row r="852" spans="1:24">
      <c r="A852">
        <f>HYPERLINK("https://www.philgeps.gov.ph/GEPSNONPILOT/Tender/SplashBidNoticeAbstractUI.aspx?menuIndex=3&amp;refID=7193780&amp;Result=3","7193780")</f>
        <v>0</v>
      </c>
      <c r="B852" t="s">
        <v>344</v>
      </c>
      <c r="C852" t="s">
        <v>4340</v>
      </c>
      <c r="D852" t="s">
        <v>17166</v>
      </c>
      <c r="E852" t="s">
        <v>18025</v>
      </c>
      <c r="F852" t="s">
        <v>29372</v>
      </c>
      <c r="G852" t="s">
        <v>29379</v>
      </c>
      <c r="H852" t="s">
        <v>11048</v>
      </c>
      <c r="I852" t="s">
        <v>29407</v>
      </c>
      <c r="J852" t="s">
        <v>30199</v>
      </c>
      <c r="K852" t="s">
        <v>38532</v>
      </c>
      <c r="M852" t="s">
        <v>39103</v>
      </c>
      <c r="N852" t="s">
        <v>42669</v>
      </c>
      <c r="O852" t="s">
        <v>42670</v>
      </c>
      <c r="P852">
        <v>0</v>
      </c>
      <c r="Q852">
        <v>5</v>
      </c>
      <c r="R852" t="s">
        <v>42672</v>
      </c>
      <c r="S852" t="s">
        <v>42781</v>
      </c>
      <c r="T852" t="s">
        <v>44429</v>
      </c>
      <c r="U852" t="s">
        <v>45600</v>
      </c>
      <c r="W852" t="s">
        <v>39103</v>
      </c>
      <c r="X852" t="s">
        <v>42673</v>
      </c>
    </row>
    <row r="853" spans="1:24">
      <c r="A853">
        <f>HYPERLINK("https://www.philgeps.gov.ph/GEPSNONPILOT/Tender/SplashBidNoticeAbstractUI.aspx?menuIndex=3&amp;refID=7193865&amp;Result=3","7193865")</f>
        <v>0</v>
      </c>
      <c r="B853" t="s">
        <v>347</v>
      </c>
      <c r="C853" t="s">
        <v>4341</v>
      </c>
      <c r="D853" t="s">
        <v>17163</v>
      </c>
      <c r="E853" t="s">
        <v>18026</v>
      </c>
      <c r="F853" t="s">
        <v>29372</v>
      </c>
      <c r="G853" t="s">
        <v>29382</v>
      </c>
      <c r="H853" t="s">
        <v>29390</v>
      </c>
      <c r="I853" t="s">
        <v>29434</v>
      </c>
      <c r="J853" t="s">
        <v>29625</v>
      </c>
      <c r="K853" t="s">
        <v>38538</v>
      </c>
      <c r="M853" t="s">
        <v>39106</v>
      </c>
      <c r="N853" t="s">
        <v>42669</v>
      </c>
      <c r="O853" t="s">
        <v>42670</v>
      </c>
      <c r="P853">
        <v>0</v>
      </c>
      <c r="Q853">
        <v>1</v>
      </c>
      <c r="R853" t="s">
        <v>42672</v>
      </c>
      <c r="S853" t="s">
        <v>42781</v>
      </c>
      <c r="T853" t="s">
        <v>44394</v>
      </c>
      <c r="U853" t="s">
        <v>45601</v>
      </c>
      <c r="W853" t="s">
        <v>39106</v>
      </c>
      <c r="X853" t="s">
        <v>42673</v>
      </c>
    </row>
    <row r="854" spans="1:24">
      <c r="A854">
        <f>HYPERLINK("https://www.philgeps.gov.ph/GEPSNONPILOT/Tender/SplashBidNoticeAbstractUI.aspx?menuIndex=3&amp;refID=7193858&amp;Result=3","7193858")</f>
        <v>0</v>
      </c>
      <c r="B854" t="s">
        <v>348</v>
      </c>
      <c r="C854" t="s">
        <v>4342</v>
      </c>
      <c r="D854" t="s">
        <v>17141</v>
      </c>
      <c r="E854" t="s">
        <v>18027</v>
      </c>
      <c r="F854" t="s">
        <v>29372</v>
      </c>
      <c r="G854" t="s">
        <v>29383</v>
      </c>
      <c r="H854" t="s">
        <v>11048</v>
      </c>
      <c r="I854" t="s">
        <v>29409</v>
      </c>
      <c r="J854" t="s">
        <v>29729</v>
      </c>
      <c r="K854" t="s">
        <v>38490</v>
      </c>
      <c r="M854" t="s">
        <v>39107</v>
      </c>
      <c r="N854" t="s">
        <v>42669</v>
      </c>
      <c r="O854" t="s">
        <v>42670</v>
      </c>
      <c r="P854">
        <v>0</v>
      </c>
      <c r="Q854">
        <v>3</v>
      </c>
      <c r="R854" t="s">
        <v>42672</v>
      </c>
      <c r="S854" t="s">
        <v>42781</v>
      </c>
      <c r="T854" t="s">
        <v>44429</v>
      </c>
      <c r="U854" t="s">
        <v>45602</v>
      </c>
      <c r="W854" t="s">
        <v>39107</v>
      </c>
      <c r="X854" t="s">
        <v>42673</v>
      </c>
    </row>
    <row r="855" spans="1:24">
      <c r="A855">
        <f>HYPERLINK("https://www.philgeps.gov.ph/GEPSNONPILOT/Tender/SplashBidNoticeAbstractUI.aspx?menuIndex=3&amp;refID=7193833&amp;Result=3","7193833")</f>
        <v>0</v>
      </c>
      <c r="B855" t="s">
        <v>349</v>
      </c>
      <c r="C855" t="s">
        <v>4343</v>
      </c>
      <c r="D855" t="s">
        <v>17199</v>
      </c>
      <c r="E855" t="s">
        <v>4343</v>
      </c>
      <c r="F855" t="s">
        <v>29372</v>
      </c>
      <c r="G855" t="s">
        <v>29379</v>
      </c>
      <c r="H855" t="s">
        <v>11048</v>
      </c>
      <c r="I855" t="s">
        <v>3629</v>
      </c>
      <c r="J855" t="s">
        <v>29820</v>
      </c>
      <c r="K855" t="s">
        <v>38488</v>
      </c>
      <c r="M855" t="s">
        <v>39108</v>
      </c>
      <c r="N855" t="s">
        <v>42669</v>
      </c>
      <c r="O855" t="s">
        <v>42670</v>
      </c>
      <c r="P855">
        <v>0</v>
      </c>
      <c r="Q855">
        <v>0</v>
      </c>
      <c r="R855" t="s">
        <v>42672</v>
      </c>
      <c r="S855" t="s">
        <v>42781</v>
      </c>
      <c r="T855" t="s">
        <v>44427</v>
      </c>
      <c r="U855" t="s">
        <v>45603</v>
      </c>
      <c r="W855" t="s">
        <v>39108</v>
      </c>
      <c r="X855" t="s">
        <v>42673</v>
      </c>
    </row>
    <row r="856" spans="1:24">
      <c r="A856">
        <f>HYPERLINK("https://www.philgeps.gov.ph/GEPSNONPILOT/Tender/SplashBidNoticeAbstractUI.aspx?menuIndex=3&amp;refID=7193832&amp;Result=3","7193832")</f>
        <v>0</v>
      </c>
      <c r="B856" t="s">
        <v>350</v>
      </c>
      <c r="C856" t="s">
        <v>4344</v>
      </c>
      <c r="D856" t="s">
        <v>17197</v>
      </c>
      <c r="E856" t="s">
        <v>17744</v>
      </c>
      <c r="F856" t="s">
        <v>29372</v>
      </c>
      <c r="G856" t="s">
        <v>29383</v>
      </c>
      <c r="H856" t="s">
        <v>11048</v>
      </c>
      <c r="I856" t="s">
        <v>3670</v>
      </c>
      <c r="J856" t="s">
        <v>30200</v>
      </c>
      <c r="K856" t="s">
        <v>38534</v>
      </c>
      <c r="M856" t="s">
        <v>39109</v>
      </c>
      <c r="N856" t="s">
        <v>42669</v>
      </c>
      <c r="O856" t="s">
        <v>42670</v>
      </c>
      <c r="P856">
        <v>0</v>
      </c>
      <c r="Q856">
        <v>0</v>
      </c>
      <c r="R856" t="s">
        <v>42672</v>
      </c>
      <c r="S856" t="s">
        <v>42781</v>
      </c>
      <c r="T856" t="s">
        <v>44489</v>
      </c>
      <c r="U856" t="s">
        <v>45604</v>
      </c>
      <c r="V856" t="s">
        <v>56382</v>
      </c>
      <c r="W856" t="s">
        <v>39109</v>
      </c>
      <c r="X856" t="s">
        <v>42673</v>
      </c>
    </row>
    <row r="857" spans="1:24">
      <c r="A857">
        <f>HYPERLINK("https://www.philgeps.gov.ph/GEPSNONPILOT/Tender/SplashBidNoticeAbstractUI.aspx?menuIndex=3&amp;refID=7193828&amp;Result=3","7193828")</f>
        <v>0</v>
      </c>
      <c r="B857" t="s">
        <v>351</v>
      </c>
      <c r="C857" t="s">
        <v>4345</v>
      </c>
      <c r="D857" t="s">
        <v>17209</v>
      </c>
      <c r="E857" t="s">
        <v>18028</v>
      </c>
      <c r="F857" t="s">
        <v>29372</v>
      </c>
      <c r="G857" t="s">
        <v>29380</v>
      </c>
      <c r="H857" t="s">
        <v>29389</v>
      </c>
      <c r="I857" t="s">
        <v>10408</v>
      </c>
      <c r="J857" t="s">
        <v>30201</v>
      </c>
      <c r="K857" t="s">
        <v>38485</v>
      </c>
      <c r="M857" t="s">
        <v>39110</v>
      </c>
      <c r="N857" t="s">
        <v>42669</v>
      </c>
      <c r="O857" t="s">
        <v>42670</v>
      </c>
      <c r="P857">
        <v>0</v>
      </c>
      <c r="Q857">
        <v>0</v>
      </c>
      <c r="R857" t="s">
        <v>42672</v>
      </c>
      <c r="S857" t="s">
        <v>42781</v>
      </c>
      <c r="T857" t="s">
        <v>44439</v>
      </c>
      <c r="U857" t="s">
        <v>45605</v>
      </c>
      <c r="W857" t="s">
        <v>39110</v>
      </c>
      <c r="X857" t="s">
        <v>42673</v>
      </c>
    </row>
    <row r="858" spans="1:24">
      <c r="A858">
        <f>HYPERLINK("https://www.philgeps.gov.ph/GEPSNONPILOT/Tender/SplashBidNoticeAbstractUI.aspx?menuIndex=3&amp;refID=7193817&amp;Result=3","7193817")</f>
        <v>0</v>
      </c>
      <c r="B858" t="s">
        <v>352</v>
      </c>
      <c r="C858" t="s">
        <v>4346</v>
      </c>
      <c r="D858" t="s">
        <v>17141</v>
      </c>
      <c r="E858" t="s">
        <v>17794</v>
      </c>
      <c r="F858" t="s">
        <v>29372</v>
      </c>
      <c r="G858" t="s">
        <v>29380</v>
      </c>
      <c r="H858" t="s">
        <v>11048</v>
      </c>
      <c r="I858" t="s">
        <v>3839</v>
      </c>
      <c r="J858" t="s">
        <v>29604</v>
      </c>
      <c r="K858" t="s">
        <v>38491</v>
      </c>
      <c r="M858" t="s">
        <v>39111</v>
      </c>
      <c r="N858" t="s">
        <v>42669</v>
      </c>
      <c r="O858" t="s">
        <v>42670</v>
      </c>
      <c r="P858">
        <v>0</v>
      </c>
      <c r="Q858">
        <v>1</v>
      </c>
      <c r="R858" t="s">
        <v>42672</v>
      </c>
      <c r="S858" t="s">
        <v>42781</v>
      </c>
      <c r="T858" t="s">
        <v>44373</v>
      </c>
      <c r="U858" t="s">
        <v>45606</v>
      </c>
      <c r="V858" t="s">
        <v>56427</v>
      </c>
      <c r="W858" t="s">
        <v>39111</v>
      </c>
      <c r="X858" t="s">
        <v>42673</v>
      </c>
    </row>
    <row r="859" spans="1:24">
      <c r="A859">
        <f>HYPERLINK("https://www.philgeps.gov.ph/GEPSNONPILOT/Tender/SplashBidNoticeAbstractUI.aspx?menuIndex=3&amp;refID=7193815&amp;Result=3","7193815")</f>
        <v>0</v>
      </c>
      <c r="B859" t="s">
        <v>352</v>
      </c>
      <c r="C859" t="s">
        <v>4347</v>
      </c>
      <c r="D859" t="s">
        <v>17141</v>
      </c>
      <c r="E859" t="s">
        <v>17714</v>
      </c>
      <c r="F859" t="s">
        <v>29372</v>
      </c>
      <c r="G859" t="s">
        <v>29380</v>
      </c>
      <c r="H859" t="s">
        <v>11048</v>
      </c>
      <c r="I859" t="s">
        <v>29405</v>
      </c>
      <c r="J859" t="s">
        <v>29708</v>
      </c>
      <c r="K859" t="s">
        <v>38491</v>
      </c>
      <c r="M859" t="s">
        <v>39111</v>
      </c>
      <c r="N859" t="s">
        <v>42669</v>
      </c>
      <c r="O859" t="s">
        <v>42670</v>
      </c>
      <c r="P859">
        <v>0</v>
      </c>
      <c r="Q859">
        <v>4</v>
      </c>
      <c r="R859" t="s">
        <v>42672</v>
      </c>
      <c r="S859" t="s">
        <v>42781</v>
      </c>
      <c r="T859" t="s">
        <v>44373</v>
      </c>
      <c r="U859" t="s">
        <v>45607</v>
      </c>
      <c r="V859" t="s">
        <v>56427</v>
      </c>
      <c r="W859" t="s">
        <v>39111</v>
      </c>
      <c r="X859" t="s">
        <v>42673</v>
      </c>
    </row>
    <row r="860" spans="1:24">
      <c r="A860">
        <f>HYPERLINK("https://www.philgeps.gov.ph/GEPSNONPILOT/Tender/SplashBidNoticeAbstractUI.aspx?menuIndex=3&amp;refID=7194343&amp;Result=3","7194343")</f>
        <v>0</v>
      </c>
      <c r="B860" t="s">
        <v>353</v>
      </c>
      <c r="C860" t="s">
        <v>4348</v>
      </c>
      <c r="D860" t="s">
        <v>17141</v>
      </c>
      <c r="E860" t="s">
        <v>18029</v>
      </c>
      <c r="F860" t="s">
        <v>29372</v>
      </c>
      <c r="G860" t="s">
        <v>29383</v>
      </c>
      <c r="H860" t="s">
        <v>11048</v>
      </c>
      <c r="I860" t="s">
        <v>4487</v>
      </c>
      <c r="J860" t="s">
        <v>29650</v>
      </c>
      <c r="K860" t="s">
        <v>38528</v>
      </c>
      <c r="M860" t="s">
        <v>39112</v>
      </c>
      <c r="N860" t="s">
        <v>42669</v>
      </c>
      <c r="O860" t="s">
        <v>42670</v>
      </c>
      <c r="P860">
        <v>0</v>
      </c>
      <c r="Q860">
        <v>8</v>
      </c>
      <c r="R860" t="s">
        <v>42671</v>
      </c>
      <c r="S860" t="s">
        <v>42779</v>
      </c>
      <c r="T860" t="s">
        <v>44429</v>
      </c>
      <c r="U860" t="s">
        <v>45608</v>
      </c>
      <c r="W860" t="s">
        <v>39112</v>
      </c>
      <c r="X860" t="s">
        <v>42672</v>
      </c>
    </row>
    <row r="861" spans="1:24">
      <c r="A861">
        <f>HYPERLINK("https://www.philgeps.gov.ph/GEPSNONPILOT/Tender/SplashBidNoticeAbstractUI.aspx?menuIndex=3&amp;refID=7193812&amp;Result=3","7193812")</f>
        <v>0</v>
      </c>
      <c r="B861" t="s">
        <v>352</v>
      </c>
      <c r="C861" t="s">
        <v>4349</v>
      </c>
      <c r="D861" t="s">
        <v>17141</v>
      </c>
      <c r="E861" t="s">
        <v>17401</v>
      </c>
      <c r="F861" t="s">
        <v>29372</v>
      </c>
      <c r="G861" t="s">
        <v>29380</v>
      </c>
      <c r="H861" t="s">
        <v>11048</v>
      </c>
      <c r="I861" t="s">
        <v>29456</v>
      </c>
      <c r="J861" t="s">
        <v>29708</v>
      </c>
      <c r="K861" t="s">
        <v>38491</v>
      </c>
      <c r="M861" t="s">
        <v>39111</v>
      </c>
      <c r="N861" t="s">
        <v>42669</v>
      </c>
      <c r="O861" t="s">
        <v>42670</v>
      </c>
      <c r="P861">
        <v>0</v>
      </c>
      <c r="Q861">
        <v>0</v>
      </c>
      <c r="R861" t="s">
        <v>42672</v>
      </c>
      <c r="S861" t="s">
        <v>42781</v>
      </c>
      <c r="T861" t="s">
        <v>44373</v>
      </c>
      <c r="U861" t="s">
        <v>45609</v>
      </c>
      <c r="V861" t="s">
        <v>56427</v>
      </c>
      <c r="W861" t="s">
        <v>39111</v>
      </c>
      <c r="X861" t="s">
        <v>42673</v>
      </c>
    </row>
    <row r="862" spans="1:24">
      <c r="A862">
        <f>HYPERLINK("https://www.philgeps.gov.ph/GEPSNONPILOT/Tender/SplashBidNoticeAbstractUI.aspx?menuIndex=3&amp;refID=7193810&amp;Result=3","7193810")</f>
        <v>0</v>
      </c>
      <c r="B862" t="s">
        <v>352</v>
      </c>
      <c r="C862" t="s">
        <v>4350</v>
      </c>
      <c r="D862" t="s">
        <v>17141</v>
      </c>
      <c r="E862" t="s">
        <v>17401</v>
      </c>
      <c r="F862" t="s">
        <v>29372</v>
      </c>
      <c r="G862" t="s">
        <v>29380</v>
      </c>
      <c r="H862" t="s">
        <v>11048</v>
      </c>
      <c r="I862" t="s">
        <v>3670</v>
      </c>
      <c r="J862" t="s">
        <v>29555</v>
      </c>
      <c r="K862" t="s">
        <v>38489</v>
      </c>
      <c r="M862" t="s">
        <v>39111</v>
      </c>
      <c r="N862" t="s">
        <v>42669</v>
      </c>
      <c r="O862" t="s">
        <v>42670</v>
      </c>
      <c r="P862">
        <v>0</v>
      </c>
      <c r="Q862">
        <v>0</v>
      </c>
      <c r="R862" t="s">
        <v>42672</v>
      </c>
      <c r="S862" t="s">
        <v>42781</v>
      </c>
      <c r="T862" t="s">
        <v>44373</v>
      </c>
      <c r="U862" t="s">
        <v>45610</v>
      </c>
      <c r="V862" t="s">
        <v>56427</v>
      </c>
      <c r="W862" t="s">
        <v>39111</v>
      </c>
      <c r="X862" t="s">
        <v>42673</v>
      </c>
    </row>
    <row r="863" spans="1:24">
      <c r="A863">
        <f>HYPERLINK("https://www.philgeps.gov.ph/GEPSNONPILOT/Tender/SplashBidNoticeAbstractUI.aspx?menuIndex=3&amp;refID=7193891&amp;Result=3","7193891")</f>
        <v>0</v>
      </c>
      <c r="B863" t="s">
        <v>346</v>
      </c>
      <c r="C863" t="s">
        <v>4351</v>
      </c>
      <c r="E863" t="s">
        <v>18030</v>
      </c>
      <c r="F863" t="s">
        <v>29372</v>
      </c>
      <c r="G863" t="s">
        <v>29383</v>
      </c>
      <c r="H863" t="s">
        <v>11048</v>
      </c>
      <c r="I863" t="s">
        <v>29432</v>
      </c>
      <c r="J863" t="s">
        <v>30202</v>
      </c>
      <c r="K863" t="s">
        <v>38488</v>
      </c>
      <c r="M863" t="s">
        <v>39105</v>
      </c>
      <c r="N863" t="s">
        <v>42669</v>
      </c>
      <c r="O863" t="s">
        <v>42670</v>
      </c>
      <c r="P863">
        <v>0</v>
      </c>
      <c r="Q863">
        <v>1</v>
      </c>
      <c r="R863" t="s">
        <v>42672</v>
      </c>
      <c r="S863" t="s">
        <v>42781</v>
      </c>
      <c r="T863" t="s">
        <v>44488</v>
      </c>
      <c r="U863" t="s">
        <v>45611</v>
      </c>
      <c r="W863" t="s">
        <v>39105</v>
      </c>
      <c r="X863" t="s">
        <v>42673</v>
      </c>
    </row>
    <row r="864" spans="1:24">
      <c r="A864">
        <f>HYPERLINK("https://www.philgeps.gov.ph/GEPSNONPILOT/Tender/SplashBidNoticeAbstractUI.aspx?menuIndex=3&amp;refID=7193860&amp;Result=3","7193860")</f>
        <v>0</v>
      </c>
      <c r="B864" t="s">
        <v>354</v>
      </c>
      <c r="C864" t="s">
        <v>4352</v>
      </c>
      <c r="D864" t="s">
        <v>17200</v>
      </c>
      <c r="E864" t="s">
        <v>18031</v>
      </c>
      <c r="F864" t="s">
        <v>29372</v>
      </c>
      <c r="G864" t="s">
        <v>29380</v>
      </c>
      <c r="H864" t="s">
        <v>29389</v>
      </c>
      <c r="I864" t="s">
        <v>29453</v>
      </c>
      <c r="J864" t="s">
        <v>30203</v>
      </c>
      <c r="K864" t="s">
        <v>38496</v>
      </c>
      <c r="M864" t="s">
        <v>39113</v>
      </c>
      <c r="N864" t="s">
        <v>42669</v>
      </c>
      <c r="O864" t="s">
        <v>42670</v>
      </c>
      <c r="P864">
        <v>0</v>
      </c>
      <c r="Q864">
        <v>2</v>
      </c>
      <c r="R864" t="s">
        <v>42672</v>
      </c>
      <c r="S864" t="s">
        <v>42781</v>
      </c>
      <c r="T864" t="s">
        <v>44490</v>
      </c>
      <c r="U864" t="s">
        <v>45612</v>
      </c>
      <c r="W864" t="s">
        <v>39113</v>
      </c>
      <c r="X864" t="s">
        <v>42673</v>
      </c>
    </row>
    <row r="865" spans="1:24">
      <c r="A865">
        <f>HYPERLINK("https://www.philgeps.gov.ph/GEPSNONPILOT/Tender/SplashBidNoticeAbstractUI.aspx?menuIndex=3&amp;refID=7193806&amp;Result=3","7193806")</f>
        <v>0</v>
      </c>
      <c r="B865" t="s">
        <v>352</v>
      </c>
      <c r="C865" t="s">
        <v>4353</v>
      </c>
      <c r="D865" t="s">
        <v>17141</v>
      </c>
      <c r="E865" t="s">
        <v>18032</v>
      </c>
      <c r="F865" t="s">
        <v>29372</v>
      </c>
      <c r="G865" t="s">
        <v>29380</v>
      </c>
      <c r="H865" t="s">
        <v>11048</v>
      </c>
      <c r="I865" t="s">
        <v>29456</v>
      </c>
      <c r="J865" t="s">
        <v>29619</v>
      </c>
      <c r="K865" t="s">
        <v>38491</v>
      </c>
      <c r="M865" t="s">
        <v>39111</v>
      </c>
      <c r="N865" t="s">
        <v>42669</v>
      </c>
      <c r="O865" t="s">
        <v>42670</v>
      </c>
      <c r="P865">
        <v>0</v>
      </c>
      <c r="Q865">
        <v>0</v>
      </c>
      <c r="R865" t="s">
        <v>42672</v>
      </c>
      <c r="S865" t="s">
        <v>42781</v>
      </c>
      <c r="T865" t="s">
        <v>44373</v>
      </c>
      <c r="U865" t="s">
        <v>45613</v>
      </c>
      <c r="V865" t="s">
        <v>56428</v>
      </c>
      <c r="W865" t="s">
        <v>39111</v>
      </c>
      <c r="X865" t="s">
        <v>42673</v>
      </c>
    </row>
    <row r="866" spans="1:24">
      <c r="A866">
        <f>HYPERLINK("https://www.philgeps.gov.ph/GEPSNONPILOT/Tender/SplashBidNoticeAbstractUI.aspx?menuIndex=3&amp;refID=7193805&amp;Result=3","7193805")</f>
        <v>0</v>
      </c>
      <c r="B866" t="s">
        <v>339</v>
      </c>
      <c r="C866" t="s">
        <v>4354</v>
      </c>
      <c r="D866" t="s">
        <v>17156</v>
      </c>
      <c r="E866" t="s">
        <v>18033</v>
      </c>
      <c r="F866" t="s">
        <v>29372</v>
      </c>
      <c r="G866" t="s">
        <v>29381</v>
      </c>
      <c r="H866" t="s">
        <v>11048</v>
      </c>
      <c r="I866" t="s">
        <v>29393</v>
      </c>
      <c r="J866" t="s">
        <v>30204</v>
      </c>
      <c r="K866" t="s">
        <v>38534</v>
      </c>
      <c r="M866" t="s">
        <v>39098</v>
      </c>
      <c r="N866" t="s">
        <v>42669</v>
      </c>
      <c r="O866" t="s">
        <v>42670</v>
      </c>
      <c r="P866">
        <v>0</v>
      </c>
      <c r="Q866">
        <v>0</v>
      </c>
      <c r="R866" t="s">
        <v>42672</v>
      </c>
      <c r="S866" t="s">
        <v>42781</v>
      </c>
      <c r="T866" t="s">
        <v>44414</v>
      </c>
      <c r="U866" t="s">
        <v>45614</v>
      </c>
      <c r="W866" t="s">
        <v>39098</v>
      </c>
      <c r="X866" t="s">
        <v>42673</v>
      </c>
    </row>
    <row r="867" spans="1:24">
      <c r="A867">
        <f>HYPERLINK("https://www.philgeps.gov.ph/GEPSNONPILOT/Tender/SplashBidNoticeAbstractUI.aspx?menuIndex=3&amp;refID=7193818&amp;Result=3","7193818")</f>
        <v>0</v>
      </c>
      <c r="B867" t="s">
        <v>355</v>
      </c>
      <c r="C867" t="s">
        <v>4355</v>
      </c>
      <c r="D867" t="s">
        <v>17189</v>
      </c>
      <c r="E867" t="s">
        <v>18034</v>
      </c>
      <c r="F867" t="s">
        <v>29372</v>
      </c>
      <c r="G867" t="s">
        <v>29379</v>
      </c>
      <c r="H867" t="s">
        <v>11048</v>
      </c>
      <c r="I867" t="s">
        <v>29412</v>
      </c>
      <c r="J867" t="s">
        <v>30205</v>
      </c>
      <c r="K867" t="s">
        <v>38490</v>
      </c>
      <c r="M867" t="s">
        <v>39114</v>
      </c>
      <c r="N867" t="s">
        <v>42669</v>
      </c>
      <c r="O867" t="s">
        <v>42670</v>
      </c>
      <c r="P867">
        <v>0</v>
      </c>
      <c r="Q867">
        <v>0</v>
      </c>
      <c r="R867" t="s">
        <v>42672</v>
      </c>
      <c r="S867" t="s">
        <v>42781</v>
      </c>
      <c r="T867" t="s">
        <v>44429</v>
      </c>
      <c r="U867" t="s">
        <v>45615</v>
      </c>
      <c r="W867" t="s">
        <v>39114</v>
      </c>
      <c r="X867" t="s">
        <v>42673</v>
      </c>
    </row>
    <row r="868" spans="1:24">
      <c r="A868">
        <f>HYPERLINK("https://www.philgeps.gov.ph/GEPSNONPILOT/Tender/SplashBidNoticeAbstractUI.aspx?menuIndex=3&amp;refID=7193776&amp;Result=3","7193776")</f>
        <v>0</v>
      </c>
      <c r="B868" t="s">
        <v>356</v>
      </c>
      <c r="C868" t="s">
        <v>4356</v>
      </c>
      <c r="E868" t="s">
        <v>18035</v>
      </c>
      <c r="F868" t="s">
        <v>29372</v>
      </c>
      <c r="G868" t="s">
        <v>29379</v>
      </c>
      <c r="H868" t="s">
        <v>11048</v>
      </c>
      <c r="I868" t="s">
        <v>29407</v>
      </c>
      <c r="J868" t="s">
        <v>30206</v>
      </c>
      <c r="K868" t="s">
        <v>38491</v>
      </c>
      <c r="M868" t="s">
        <v>39115</v>
      </c>
      <c r="N868" t="s">
        <v>42669</v>
      </c>
      <c r="O868" t="s">
        <v>42670</v>
      </c>
      <c r="P868">
        <v>0</v>
      </c>
      <c r="Q868">
        <v>4</v>
      </c>
      <c r="R868" t="s">
        <v>42672</v>
      </c>
      <c r="S868" t="s">
        <v>42781</v>
      </c>
      <c r="T868" t="s">
        <v>44378</v>
      </c>
      <c r="U868" t="s">
        <v>45616</v>
      </c>
      <c r="W868" t="s">
        <v>39115</v>
      </c>
      <c r="X868" t="s">
        <v>42673</v>
      </c>
    </row>
    <row r="869" spans="1:24">
      <c r="A869">
        <f>HYPERLINK("https://www.philgeps.gov.ph/GEPSNONPILOT/Tender/SplashBidNoticeAbstractUI.aspx?menuIndex=3&amp;refID=7193885&amp;Result=3","7193885")</f>
        <v>0</v>
      </c>
      <c r="B869" t="s">
        <v>357</v>
      </c>
      <c r="C869" t="s">
        <v>4357</v>
      </c>
      <c r="D869" t="s">
        <v>17205</v>
      </c>
      <c r="E869" t="s">
        <v>18036</v>
      </c>
      <c r="F869" t="s">
        <v>29373</v>
      </c>
      <c r="G869" t="s">
        <v>29383</v>
      </c>
      <c r="H869" t="s">
        <v>11048</v>
      </c>
      <c r="I869" t="s">
        <v>29394</v>
      </c>
      <c r="J869" t="s">
        <v>30036</v>
      </c>
      <c r="K869" t="s">
        <v>38488</v>
      </c>
      <c r="M869" t="s">
        <v>39116</v>
      </c>
      <c r="N869" t="s">
        <v>42669</v>
      </c>
      <c r="O869" t="s">
        <v>42670</v>
      </c>
      <c r="P869">
        <v>0</v>
      </c>
      <c r="Q869">
        <v>1</v>
      </c>
      <c r="R869" t="s">
        <v>42672</v>
      </c>
      <c r="S869" t="s">
        <v>42781</v>
      </c>
      <c r="T869" t="s">
        <v>44427</v>
      </c>
      <c r="U869" t="s">
        <v>45617</v>
      </c>
      <c r="W869" t="s">
        <v>39116</v>
      </c>
      <c r="X869" t="s">
        <v>42673</v>
      </c>
    </row>
    <row r="870" spans="1:24">
      <c r="A870">
        <f>HYPERLINK("https://www.philgeps.gov.ph/GEPSNONPILOT/Tender/SplashBidNoticeAbstractUI.aspx?menuIndex=3&amp;refID=7193752&amp;Result=3","7193752")</f>
        <v>0</v>
      </c>
      <c r="B870" t="s">
        <v>358</v>
      </c>
      <c r="C870" t="s">
        <v>4358</v>
      </c>
      <c r="D870" t="s">
        <v>17189</v>
      </c>
      <c r="E870" t="s">
        <v>18037</v>
      </c>
      <c r="F870" t="s">
        <v>29372</v>
      </c>
      <c r="G870" t="s">
        <v>29382</v>
      </c>
      <c r="H870" t="s">
        <v>11048</v>
      </c>
      <c r="I870" t="s">
        <v>29412</v>
      </c>
      <c r="J870" t="s">
        <v>30207</v>
      </c>
      <c r="K870" t="s">
        <v>38528</v>
      </c>
      <c r="M870" t="s">
        <v>39117</v>
      </c>
      <c r="N870" t="s">
        <v>42669</v>
      </c>
      <c r="O870" t="s">
        <v>42670</v>
      </c>
      <c r="P870">
        <v>0</v>
      </c>
      <c r="Q870">
        <v>2</v>
      </c>
      <c r="R870" t="s">
        <v>42672</v>
      </c>
      <c r="S870" t="s">
        <v>42781</v>
      </c>
      <c r="T870" t="s">
        <v>44429</v>
      </c>
      <c r="U870" t="s">
        <v>45618</v>
      </c>
      <c r="V870" t="s">
        <v>56429</v>
      </c>
      <c r="W870" t="s">
        <v>39117</v>
      </c>
      <c r="X870" t="s">
        <v>42674</v>
      </c>
    </row>
    <row r="871" spans="1:24">
      <c r="A871">
        <f>HYPERLINK("https://www.philgeps.gov.ph/GEPSNONPILOT/Tender/SplashBidNoticeAbstractUI.aspx?menuIndex=3&amp;refID=7193807&amp;Result=3","7193807")</f>
        <v>0</v>
      </c>
      <c r="B871" t="s">
        <v>352</v>
      </c>
      <c r="C871" t="s">
        <v>4359</v>
      </c>
      <c r="D871" t="s">
        <v>17141</v>
      </c>
      <c r="E871" t="s">
        <v>18038</v>
      </c>
      <c r="F871" t="s">
        <v>29372</v>
      </c>
      <c r="G871" t="s">
        <v>29380</v>
      </c>
      <c r="H871" t="s">
        <v>11048</v>
      </c>
      <c r="I871" t="s">
        <v>3670</v>
      </c>
      <c r="J871" t="s">
        <v>29555</v>
      </c>
      <c r="K871" t="s">
        <v>38489</v>
      </c>
      <c r="M871" t="s">
        <v>39111</v>
      </c>
      <c r="N871" t="s">
        <v>42669</v>
      </c>
      <c r="O871" t="s">
        <v>42670</v>
      </c>
      <c r="P871">
        <v>0</v>
      </c>
      <c r="Q871">
        <v>3</v>
      </c>
      <c r="R871" t="s">
        <v>42672</v>
      </c>
      <c r="S871" t="s">
        <v>42781</v>
      </c>
      <c r="T871" t="s">
        <v>44373</v>
      </c>
      <c r="U871" t="s">
        <v>45619</v>
      </c>
      <c r="V871" t="s">
        <v>56430</v>
      </c>
      <c r="W871" t="s">
        <v>39111</v>
      </c>
      <c r="X871" t="s">
        <v>42673</v>
      </c>
    </row>
    <row r="872" spans="1:24">
      <c r="A872">
        <f>HYPERLINK("https://www.philgeps.gov.ph/GEPSNONPILOT/Tender/SplashBidNoticeAbstractUI.aspx?menuIndex=3&amp;refID=7193650&amp;Result=3","7193650")</f>
        <v>0</v>
      </c>
      <c r="B872" t="s">
        <v>359</v>
      </c>
      <c r="C872" t="s">
        <v>4360</v>
      </c>
      <c r="D872" t="s">
        <v>17212</v>
      </c>
      <c r="E872" t="s">
        <v>17294</v>
      </c>
      <c r="F872" t="s">
        <v>29372</v>
      </c>
      <c r="G872" t="s">
        <v>29380</v>
      </c>
      <c r="H872" t="s">
        <v>11048</v>
      </c>
      <c r="I872" t="s">
        <v>9642</v>
      </c>
      <c r="J872" t="s">
        <v>30208</v>
      </c>
      <c r="K872" t="s">
        <v>38488</v>
      </c>
      <c r="M872" t="s">
        <v>39118</v>
      </c>
      <c r="N872" t="s">
        <v>42669</v>
      </c>
      <c r="O872" t="s">
        <v>42670</v>
      </c>
      <c r="P872">
        <v>0</v>
      </c>
      <c r="Q872">
        <v>3</v>
      </c>
      <c r="R872" t="s">
        <v>42672</v>
      </c>
      <c r="S872" t="s">
        <v>42781</v>
      </c>
      <c r="T872" t="s">
        <v>44412</v>
      </c>
      <c r="U872" t="s">
        <v>45620</v>
      </c>
      <c r="W872" t="s">
        <v>39118</v>
      </c>
      <c r="X872" t="s">
        <v>42674</v>
      </c>
    </row>
    <row r="873" spans="1:24">
      <c r="A873">
        <f>HYPERLINK("https://www.philgeps.gov.ph/GEPSNONPILOT/Tender/SplashBidNoticeAbstractUI.aspx?menuIndex=3&amp;refID=7193143&amp;Result=3","7193143")</f>
        <v>0</v>
      </c>
      <c r="B873" t="s">
        <v>360</v>
      </c>
      <c r="C873" t="s">
        <v>4361</v>
      </c>
      <c r="D873" t="s">
        <v>17163</v>
      </c>
      <c r="E873" t="s">
        <v>17870</v>
      </c>
      <c r="F873" t="s">
        <v>29372</v>
      </c>
      <c r="G873" t="s">
        <v>29379</v>
      </c>
      <c r="H873" t="s">
        <v>11048</v>
      </c>
      <c r="I873" t="s">
        <v>29409</v>
      </c>
      <c r="J873" t="s">
        <v>30209</v>
      </c>
      <c r="K873" t="s">
        <v>38524</v>
      </c>
      <c r="M873" t="s">
        <v>39119</v>
      </c>
      <c r="N873" t="s">
        <v>42669</v>
      </c>
      <c r="O873" t="s">
        <v>42670</v>
      </c>
      <c r="P873">
        <v>0</v>
      </c>
      <c r="Q873">
        <v>0</v>
      </c>
      <c r="R873" t="s">
        <v>42672</v>
      </c>
      <c r="S873" t="s">
        <v>42781</v>
      </c>
      <c r="T873" t="s">
        <v>44429</v>
      </c>
      <c r="U873" t="s">
        <v>45621</v>
      </c>
      <c r="W873" t="s">
        <v>39119</v>
      </c>
      <c r="X873" t="s">
        <v>42674</v>
      </c>
    </row>
    <row r="874" spans="1:24">
      <c r="A874">
        <f>HYPERLINK("https://www.philgeps.gov.ph/GEPSNONPILOT/Tender/SplashBidNoticeAbstractUI.aspx?menuIndex=3&amp;refID=7192913&amp;Result=3","7192913")</f>
        <v>0</v>
      </c>
      <c r="B874" t="s">
        <v>332</v>
      </c>
      <c r="C874" t="s">
        <v>4362</v>
      </c>
      <c r="D874" t="s">
        <v>17213</v>
      </c>
      <c r="E874" t="s">
        <v>18039</v>
      </c>
      <c r="F874" t="s">
        <v>29372</v>
      </c>
      <c r="G874" t="s">
        <v>29379</v>
      </c>
      <c r="H874" t="s">
        <v>11048</v>
      </c>
      <c r="I874" t="s">
        <v>3629</v>
      </c>
      <c r="J874" t="s">
        <v>30032</v>
      </c>
      <c r="K874" t="s">
        <v>38485</v>
      </c>
      <c r="M874" t="s">
        <v>39091</v>
      </c>
      <c r="N874" t="s">
        <v>42669</v>
      </c>
      <c r="O874" t="s">
        <v>42670</v>
      </c>
      <c r="P874">
        <v>0</v>
      </c>
      <c r="Q874">
        <v>1</v>
      </c>
      <c r="R874" t="s">
        <v>42672</v>
      </c>
      <c r="S874" t="s">
        <v>42781</v>
      </c>
      <c r="T874" t="s">
        <v>44481</v>
      </c>
      <c r="U874" t="s">
        <v>45570</v>
      </c>
      <c r="V874" t="s">
        <v>56424</v>
      </c>
      <c r="W874" t="s">
        <v>39091</v>
      </c>
      <c r="X874" t="s">
        <v>42676</v>
      </c>
    </row>
    <row r="875" spans="1:24">
      <c r="A875">
        <f>HYPERLINK("https://www.philgeps.gov.ph/GEPSNONPILOT/Tender/SplashBidNoticeAbstractUI.aspx?menuIndex=3&amp;refID=7193721&amp;Result=3","7193721")</f>
        <v>0</v>
      </c>
      <c r="B875" t="s">
        <v>278</v>
      </c>
      <c r="C875" t="s">
        <v>4363</v>
      </c>
      <c r="D875" t="s">
        <v>17206</v>
      </c>
      <c r="E875" t="s">
        <v>18040</v>
      </c>
      <c r="F875" t="s">
        <v>29372</v>
      </c>
      <c r="G875" t="s">
        <v>29380</v>
      </c>
      <c r="H875" t="s">
        <v>11048</v>
      </c>
      <c r="I875" t="s">
        <v>3952</v>
      </c>
      <c r="J875" t="s">
        <v>30210</v>
      </c>
      <c r="K875" t="s">
        <v>38485</v>
      </c>
      <c r="M875" t="s">
        <v>39120</v>
      </c>
      <c r="N875" t="s">
        <v>42669</v>
      </c>
      <c r="O875" t="s">
        <v>42670</v>
      </c>
      <c r="P875">
        <v>0</v>
      </c>
      <c r="Q875">
        <v>2</v>
      </c>
      <c r="R875" t="s">
        <v>42672</v>
      </c>
      <c r="S875" t="s">
        <v>42781</v>
      </c>
      <c r="T875" t="s">
        <v>44446</v>
      </c>
      <c r="U875" t="s">
        <v>45622</v>
      </c>
      <c r="V875" t="s">
        <v>56431</v>
      </c>
      <c r="W875" t="s">
        <v>39120</v>
      </c>
      <c r="X875" t="s">
        <v>42674</v>
      </c>
    </row>
    <row r="876" spans="1:24">
      <c r="A876">
        <f>HYPERLINK("https://www.philgeps.gov.ph/GEPSNONPILOT/Tender/SplashBidNoticeAbstractUI.aspx?menuIndex=3&amp;refID=7193925&amp;Result=3","7193925")</f>
        <v>0</v>
      </c>
      <c r="B876" t="s">
        <v>255</v>
      </c>
      <c r="C876" t="s">
        <v>4364</v>
      </c>
      <c r="E876" t="s">
        <v>18041</v>
      </c>
      <c r="F876" t="s">
        <v>29372</v>
      </c>
      <c r="G876" t="s">
        <v>29379</v>
      </c>
      <c r="H876" t="s">
        <v>11048</v>
      </c>
      <c r="I876" t="s">
        <v>29433</v>
      </c>
      <c r="J876" t="s">
        <v>29600</v>
      </c>
      <c r="K876" t="s">
        <v>38490</v>
      </c>
      <c r="M876" t="s">
        <v>39014</v>
      </c>
      <c r="N876" t="s">
        <v>42669</v>
      </c>
      <c r="O876" t="s">
        <v>42670</v>
      </c>
      <c r="P876">
        <v>0</v>
      </c>
      <c r="Q876">
        <v>4</v>
      </c>
      <c r="R876" t="s">
        <v>42672</v>
      </c>
      <c r="S876" t="s">
        <v>42781</v>
      </c>
      <c r="T876" t="s">
        <v>44349</v>
      </c>
      <c r="U876" t="s">
        <v>45623</v>
      </c>
      <c r="W876" t="s">
        <v>39014</v>
      </c>
      <c r="X876" t="s">
        <v>42673</v>
      </c>
    </row>
    <row r="877" spans="1:24">
      <c r="A877">
        <f>HYPERLINK("https://www.philgeps.gov.ph/GEPSNONPILOT/Tender/SplashBidNoticeAbstractUI.aspx?menuIndex=3&amp;refID=7193922&amp;Result=3","7193922")</f>
        <v>0</v>
      </c>
      <c r="B877" t="s">
        <v>346</v>
      </c>
      <c r="C877" t="s">
        <v>4365</v>
      </c>
      <c r="E877" t="s">
        <v>18042</v>
      </c>
      <c r="F877" t="s">
        <v>29372</v>
      </c>
      <c r="G877" t="s">
        <v>29380</v>
      </c>
      <c r="H877" t="s">
        <v>29391</v>
      </c>
      <c r="I877" t="s">
        <v>29391</v>
      </c>
      <c r="J877" t="s">
        <v>30211</v>
      </c>
      <c r="K877" t="s">
        <v>38495</v>
      </c>
      <c r="M877" t="s">
        <v>39105</v>
      </c>
      <c r="N877" t="s">
        <v>42669</v>
      </c>
      <c r="O877" t="s">
        <v>42670</v>
      </c>
      <c r="P877">
        <v>0</v>
      </c>
      <c r="Q877">
        <v>1</v>
      </c>
      <c r="R877" t="s">
        <v>42672</v>
      </c>
      <c r="S877" t="s">
        <v>42781</v>
      </c>
      <c r="T877" t="s">
        <v>44357</v>
      </c>
      <c r="U877" t="s">
        <v>45624</v>
      </c>
      <c r="W877" t="s">
        <v>39105</v>
      </c>
      <c r="X877" t="s">
        <v>42673</v>
      </c>
    </row>
    <row r="878" spans="1:24">
      <c r="A878">
        <f>HYPERLINK("https://www.philgeps.gov.ph/GEPSNONPILOT/Tender/SplashBidNoticeAbstractUI.aspx?menuIndex=3&amp;refID=7193920&amp;Result=3","7193920")</f>
        <v>0</v>
      </c>
      <c r="B878" t="s">
        <v>361</v>
      </c>
      <c r="C878" t="s">
        <v>4366</v>
      </c>
      <c r="D878" t="s">
        <v>17170</v>
      </c>
      <c r="E878" t="s">
        <v>18043</v>
      </c>
      <c r="F878" t="s">
        <v>29372</v>
      </c>
      <c r="G878" t="s">
        <v>29379</v>
      </c>
      <c r="H878" t="s">
        <v>11048</v>
      </c>
      <c r="I878" t="s">
        <v>29397</v>
      </c>
      <c r="J878" t="s">
        <v>30212</v>
      </c>
      <c r="K878" t="s">
        <v>38491</v>
      </c>
      <c r="M878" t="s">
        <v>39121</v>
      </c>
      <c r="N878" t="s">
        <v>42669</v>
      </c>
      <c r="O878" t="s">
        <v>42670</v>
      </c>
      <c r="P878">
        <v>0</v>
      </c>
      <c r="Q878">
        <v>4</v>
      </c>
      <c r="R878" t="s">
        <v>42672</v>
      </c>
      <c r="S878" t="s">
        <v>42781</v>
      </c>
      <c r="T878" t="s">
        <v>44417</v>
      </c>
      <c r="U878" t="s">
        <v>45625</v>
      </c>
      <c r="W878" t="s">
        <v>39121</v>
      </c>
      <c r="X878" t="s">
        <v>42673</v>
      </c>
    </row>
    <row r="879" spans="1:24">
      <c r="A879">
        <f>HYPERLINK("https://www.philgeps.gov.ph/GEPSNONPILOT/Tender/SplashBidNoticeAbstractUI.aspx?menuIndex=3&amp;refID=7193919&amp;Result=3","7193919")</f>
        <v>0</v>
      </c>
      <c r="B879" t="s">
        <v>255</v>
      </c>
      <c r="C879" t="s">
        <v>4367</v>
      </c>
      <c r="E879" t="s">
        <v>18044</v>
      </c>
      <c r="F879" t="s">
        <v>29372</v>
      </c>
      <c r="G879" t="s">
        <v>29382</v>
      </c>
      <c r="H879" t="s">
        <v>11048</v>
      </c>
      <c r="I879" t="s">
        <v>5383</v>
      </c>
      <c r="J879" t="s">
        <v>30213</v>
      </c>
      <c r="K879" t="s">
        <v>38490</v>
      </c>
      <c r="M879" t="s">
        <v>39014</v>
      </c>
      <c r="N879" t="s">
        <v>42669</v>
      </c>
      <c r="O879" t="s">
        <v>42670</v>
      </c>
      <c r="P879">
        <v>0</v>
      </c>
      <c r="Q879">
        <v>8</v>
      </c>
      <c r="R879" t="s">
        <v>42672</v>
      </c>
      <c r="S879" t="s">
        <v>42781</v>
      </c>
      <c r="T879" t="s">
        <v>44349</v>
      </c>
      <c r="U879" t="s">
        <v>45623</v>
      </c>
      <c r="W879" t="s">
        <v>39014</v>
      </c>
      <c r="X879" t="s">
        <v>42673</v>
      </c>
    </row>
    <row r="880" spans="1:24">
      <c r="A880">
        <f>HYPERLINK("https://www.philgeps.gov.ph/GEPSNONPILOT/Tender/SplashBidNoticeAbstractUI.aspx?menuIndex=3&amp;refID=7193917&amp;Result=3","7193917")</f>
        <v>0</v>
      </c>
      <c r="B880" t="s">
        <v>255</v>
      </c>
      <c r="C880" t="s">
        <v>4368</v>
      </c>
      <c r="E880" t="s">
        <v>18045</v>
      </c>
      <c r="F880" t="s">
        <v>29372</v>
      </c>
      <c r="G880" t="s">
        <v>29382</v>
      </c>
      <c r="H880" t="s">
        <v>11048</v>
      </c>
      <c r="I880" t="s">
        <v>3839</v>
      </c>
      <c r="J880" t="s">
        <v>30214</v>
      </c>
      <c r="K880" t="s">
        <v>38490</v>
      </c>
      <c r="M880" t="s">
        <v>39014</v>
      </c>
      <c r="N880" t="s">
        <v>42669</v>
      </c>
      <c r="O880" t="s">
        <v>42670</v>
      </c>
      <c r="P880">
        <v>0</v>
      </c>
      <c r="Q880">
        <v>5</v>
      </c>
      <c r="R880" t="s">
        <v>42672</v>
      </c>
      <c r="S880" t="s">
        <v>42781</v>
      </c>
      <c r="T880" t="s">
        <v>44349</v>
      </c>
      <c r="U880" t="s">
        <v>45623</v>
      </c>
      <c r="W880" t="s">
        <v>39014</v>
      </c>
      <c r="X880" t="s">
        <v>42673</v>
      </c>
    </row>
    <row r="881" spans="1:24">
      <c r="A881">
        <f>HYPERLINK("https://www.philgeps.gov.ph/GEPSNONPILOT/Tender/SplashBidNoticeAbstractUI.aspx?menuIndex=3&amp;refID=7193913&amp;Result=3","7193913")</f>
        <v>0</v>
      </c>
      <c r="B881" t="s">
        <v>362</v>
      </c>
      <c r="C881" t="s">
        <v>4369</v>
      </c>
      <c r="D881" t="s">
        <v>17197</v>
      </c>
      <c r="E881" t="s">
        <v>17744</v>
      </c>
      <c r="F881" t="s">
        <v>29372</v>
      </c>
      <c r="G881" t="s">
        <v>29383</v>
      </c>
      <c r="H881" t="s">
        <v>11048</v>
      </c>
      <c r="I881" t="s">
        <v>3670</v>
      </c>
      <c r="J881" t="s">
        <v>30215</v>
      </c>
      <c r="K881" t="s">
        <v>38534</v>
      </c>
      <c r="M881" t="s">
        <v>39122</v>
      </c>
      <c r="N881" t="s">
        <v>42669</v>
      </c>
      <c r="O881" t="s">
        <v>42670</v>
      </c>
      <c r="P881">
        <v>0</v>
      </c>
      <c r="Q881">
        <v>1</v>
      </c>
      <c r="R881" t="s">
        <v>42672</v>
      </c>
      <c r="S881" t="s">
        <v>42781</v>
      </c>
      <c r="T881" t="s">
        <v>44432</v>
      </c>
      <c r="U881" t="s">
        <v>45626</v>
      </c>
      <c r="V881" t="s">
        <v>56402</v>
      </c>
      <c r="W881" t="s">
        <v>39122</v>
      </c>
      <c r="X881" t="s">
        <v>42673</v>
      </c>
    </row>
    <row r="882" spans="1:24">
      <c r="A882">
        <f>HYPERLINK("https://www.philgeps.gov.ph/GEPSNONPILOT/Tender/SplashBidNoticeAbstractUI.aspx?menuIndex=3&amp;refID=7193912&amp;Result=3","7193912")</f>
        <v>0</v>
      </c>
      <c r="B882" t="s">
        <v>219</v>
      </c>
      <c r="C882" t="s">
        <v>4370</v>
      </c>
      <c r="D882" t="s">
        <v>17176</v>
      </c>
      <c r="E882" t="s">
        <v>18046</v>
      </c>
      <c r="F882" t="s">
        <v>29372</v>
      </c>
      <c r="G882" t="s">
        <v>29380</v>
      </c>
      <c r="H882" t="s">
        <v>11048</v>
      </c>
      <c r="I882" t="s">
        <v>4709</v>
      </c>
      <c r="J882" t="s">
        <v>30216</v>
      </c>
      <c r="K882" t="s">
        <v>38488</v>
      </c>
      <c r="M882" t="s">
        <v>38978</v>
      </c>
      <c r="N882" t="s">
        <v>42669</v>
      </c>
      <c r="O882" t="s">
        <v>42670</v>
      </c>
      <c r="P882">
        <v>0</v>
      </c>
      <c r="Q882">
        <v>0</v>
      </c>
      <c r="R882" t="s">
        <v>42672</v>
      </c>
      <c r="S882" t="s">
        <v>42781</v>
      </c>
      <c r="T882" t="s">
        <v>44485</v>
      </c>
      <c r="U882" t="s">
        <v>45627</v>
      </c>
      <c r="W882" t="s">
        <v>38978</v>
      </c>
      <c r="X882" t="s">
        <v>42673</v>
      </c>
    </row>
    <row r="883" spans="1:24">
      <c r="A883">
        <f>HYPERLINK("https://www.philgeps.gov.ph/GEPSNONPILOT/Tender/SplashBidNoticeAbstractUI.aspx?menuIndex=3&amp;refID=7193911&amp;Result=3","7193911")</f>
        <v>0</v>
      </c>
      <c r="B883" t="s">
        <v>357</v>
      </c>
      <c r="C883" t="s">
        <v>4371</v>
      </c>
      <c r="D883" t="s">
        <v>17205</v>
      </c>
      <c r="E883" t="s">
        <v>18047</v>
      </c>
      <c r="F883" t="s">
        <v>29373</v>
      </c>
      <c r="G883" t="s">
        <v>29383</v>
      </c>
      <c r="H883" t="s">
        <v>11048</v>
      </c>
      <c r="I883" t="s">
        <v>3670</v>
      </c>
      <c r="J883" t="s">
        <v>29929</v>
      </c>
      <c r="K883" t="s">
        <v>38488</v>
      </c>
      <c r="M883" t="s">
        <v>39116</v>
      </c>
      <c r="N883" t="s">
        <v>42669</v>
      </c>
      <c r="O883" t="s">
        <v>42670</v>
      </c>
      <c r="P883">
        <v>0</v>
      </c>
      <c r="Q883">
        <v>1</v>
      </c>
      <c r="R883" t="s">
        <v>42672</v>
      </c>
      <c r="S883" t="s">
        <v>42781</v>
      </c>
      <c r="T883" t="s">
        <v>44427</v>
      </c>
      <c r="U883" t="s">
        <v>45628</v>
      </c>
      <c r="W883" t="s">
        <v>39116</v>
      </c>
      <c r="X883" t="s">
        <v>42673</v>
      </c>
    </row>
    <row r="884" spans="1:24">
      <c r="A884">
        <f>HYPERLINK("https://www.philgeps.gov.ph/GEPSNONPILOT/Tender/SplashBidNoticeAbstractUI.aspx?menuIndex=3&amp;refID=7193908&amp;Result=3","7193908")</f>
        <v>0</v>
      </c>
      <c r="B884" t="s">
        <v>363</v>
      </c>
      <c r="C884" t="s">
        <v>4372</v>
      </c>
      <c r="D884" t="s">
        <v>17141</v>
      </c>
      <c r="E884" t="s">
        <v>18048</v>
      </c>
      <c r="F884" t="s">
        <v>29372</v>
      </c>
      <c r="G884" t="s">
        <v>29383</v>
      </c>
      <c r="H884" t="s">
        <v>11048</v>
      </c>
      <c r="I884" t="s">
        <v>29395</v>
      </c>
      <c r="J884" t="s">
        <v>30217</v>
      </c>
      <c r="K884" t="s">
        <v>38489</v>
      </c>
      <c r="M884" t="s">
        <v>39123</v>
      </c>
      <c r="N884" t="s">
        <v>42669</v>
      </c>
      <c r="O884" t="s">
        <v>42670</v>
      </c>
      <c r="P884">
        <v>0</v>
      </c>
      <c r="Q884">
        <v>0</v>
      </c>
      <c r="R884" t="s">
        <v>42672</v>
      </c>
      <c r="S884" t="s">
        <v>42781</v>
      </c>
      <c r="T884" t="s">
        <v>44429</v>
      </c>
      <c r="U884" t="s">
        <v>45629</v>
      </c>
      <c r="W884" t="s">
        <v>39123</v>
      </c>
      <c r="X884" t="s">
        <v>42673</v>
      </c>
    </row>
    <row r="885" spans="1:24">
      <c r="A885">
        <f>HYPERLINK("https://www.philgeps.gov.ph/GEPSNONPILOT/Tender/SplashBidNoticeAbstractUI.aspx?menuIndex=3&amp;refID=7193907&amp;Result=3","7193907")</f>
        <v>0</v>
      </c>
      <c r="B885" t="s">
        <v>364</v>
      </c>
      <c r="C885" t="s">
        <v>4373</v>
      </c>
      <c r="D885" t="s">
        <v>17169</v>
      </c>
      <c r="E885" t="s">
        <v>18049</v>
      </c>
      <c r="F885" t="s">
        <v>29372</v>
      </c>
      <c r="G885" t="s">
        <v>29380</v>
      </c>
      <c r="H885" t="s">
        <v>11048</v>
      </c>
      <c r="I885" t="s">
        <v>3670</v>
      </c>
      <c r="J885" t="s">
        <v>29767</v>
      </c>
      <c r="K885" t="s">
        <v>38488</v>
      </c>
      <c r="M885" t="s">
        <v>39124</v>
      </c>
      <c r="N885" t="s">
        <v>42669</v>
      </c>
      <c r="O885" t="s">
        <v>42670</v>
      </c>
      <c r="P885">
        <v>0</v>
      </c>
      <c r="Q885">
        <v>1</v>
      </c>
      <c r="R885" t="s">
        <v>42672</v>
      </c>
      <c r="S885" t="s">
        <v>42781</v>
      </c>
      <c r="T885" t="s">
        <v>44398</v>
      </c>
      <c r="U885" t="s">
        <v>45630</v>
      </c>
      <c r="W885" t="s">
        <v>39124</v>
      </c>
      <c r="X885" t="s">
        <v>42673</v>
      </c>
    </row>
    <row r="886" spans="1:24">
      <c r="A886">
        <f>HYPERLINK("https://www.philgeps.gov.ph/GEPSNONPILOT/Tender/SplashBidNoticeAbstractUI.aspx?menuIndex=3&amp;refID=7193905&amp;Result=3","7193905")</f>
        <v>0</v>
      </c>
      <c r="B886" t="s">
        <v>346</v>
      </c>
      <c r="C886" t="s">
        <v>4374</v>
      </c>
      <c r="E886" t="s">
        <v>18050</v>
      </c>
      <c r="F886" t="s">
        <v>29372</v>
      </c>
      <c r="G886" t="s">
        <v>29383</v>
      </c>
      <c r="H886" t="s">
        <v>11048</v>
      </c>
      <c r="I886" t="s">
        <v>8614</v>
      </c>
      <c r="J886" t="s">
        <v>29735</v>
      </c>
      <c r="K886" t="s">
        <v>38488</v>
      </c>
      <c r="M886" t="s">
        <v>39105</v>
      </c>
      <c r="N886" t="s">
        <v>42669</v>
      </c>
      <c r="O886" t="s">
        <v>42670</v>
      </c>
      <c r="P886">
        <v>0</v>
      </c>
      <c r="Q886">
        <v>1</v>
      </c>
      <c r="R886" t="s">
        <v>42672</v>
      </c>
      <c r="S886" t="s">
        <v>42781</v>
      </c>
      <c r="T886" t="s">
        <v>44401</v>
      </c>
      <c r="U886" t="s">
        <v>45597</v>
      </c>
      <c r="W886" t="s">
        <v>39105</v>
      </c>
      <c r="X886" t="s">
        <v>42673</v>
      </c>
    </row>
    <row r="887" spans="1:24">
      <c r="A887">
        <f>HYPERLINK("https://www.philgeps.gov.ph/GEPSNONPILOT/Tender/SplashBidNoticeAbstractUI.aspx?menuIndex=3&amp;refID=7193950&amp;Result=3","7193950")</f>
        <v>0</v>
      </c>
      <c r="B887" t="s">
        <v>255</v>
      </c>
      <c r="C887" t="s">
        <v>4375</v>
      </c>
      <c r="E887" t="s">
        <v>18051</v>
      </c>
      <c r="F887" t="s">
        <v>29372</v>
      </c>
      <c r="G887" t="s">
        <v>29379</v>
      </c>
      <c r="H887" t="s">
        <v>11048</v>
      </c>
      <c r="I887" t="s">
        <v>29433</v>
      </c>
      <c r="J887" t="s">
        <v>30218</v>
      </c>
      <c r="K887" t="s">
        <v>38490</v>
      </c>
      <c r="M887" t="s">
        <v>39014</v>
      </c>
      <c r="N887" t="s">
        <v>42669</v>
      </c>
      <c r="O887" t="s">
        <v>42670</v>
      </c>
      <c r="P887">
        <v>0</v>
      </c>
      <c r="Q887">
        <v>4</v>
      </c>
      <c r="R887" t="s">
        <v>42672</v>
      </c>
      <c r="S887" t="s">
        <v>42781</v>
      </c>
      <c r="T887" t="s">
        <v>44349</v>
      </c>
      <c r="U887" t="s">
        <v>45623</v>
      </c>
      <c r="W887" t="s">
        <v>39014</v>
      </c>
      <c r="X887" t="s">
        <v>42673</v>
      </c>
    </row>
    <row r="888" spans="1:24">
      <c r="A888">
        <f>HYPERLINK("https://www.philgeps.gov.ph/GEPSNONPILOT/Tender/SplashBidNoticeAbstractUI.aspx?menuIndex=3&amp;refID=7193961&amp;Result=3","7193961")</f>
        <v>0</v>
      </c>
      <c r="B888" t="s">
        <v>365</v>
      </c>
      <c r="C888" t="s">
        <v>4376</v>
      </c>
      <c r="D888" t="s">
        <v>17143</v>
      </c>
      <c r="E888" t="s">
        <v>18052</v>
      </c>
      <c r="F888" t="s">
        <v>29372</v>
      </c>
      <c r="G888" t="s">
        <v>29382</v>
      </c>
      <c r="H888" t="s">
        <v>11048</v>
      </c>
      <c r="I888" t="s">
        <v>5383</v>
      </c>
      <c r="J888" t="s">
        <v>30219</v>
      </c>
      <c r="K888" t="s">
        <v>38488</v>
      </c>
      <c r="M888" t="s">
        <v>39125</v>
      </c>
      <c r="N888" t="s">
        <v>42669</v>
      </c>
      <c r="O888" t="s">
        <v>42670</v>
      </c>
      <c r="P888">
        <v>0</v>
      </c>
      <c r="Q888">
        <v>0</v>
      </c>
      <c r="R888" t="s">
        <v>42672</v>
      </c>
      <c r="S888" t="s">
        <v>42781</v>
      </c>
      <c r="T888" t="s">
        <v>44427</v>
      </c>
      <c r="U888" t="s">
        <v>45631</v>
      </c>
      <c r="W888" t="s">
        <v>58010</v>
      </c>
      <c r="X888" t="s">
        <v>42673</v>
      </c>
    </row>
    <row r="889" spans="1:24">
      <c r="A889">
        <f>HYPERLINK("https://www.philgeps.gov.ph/GEPSNONPILOT/Tender/SplashBidNoticeAbstractUI.aspx?menuIndex=3&amp;refID=7193909&amp;Result=3","7193909")</f>
        <v>0</v>
      </c>
      <c r="B889" t="s">
        <v>357</v>
      </c>
      <c r="C889" t="s">
        <v>4377</v>
      </c>
      <c r="D889" t="s">
        <v>17205</v>
      </c>
      <c r="E889" t="s">
        <v>18053</v>
      </c>
      <c r="F889" t="s">
        <v>29373</v>
      </c>
      <c r="G889" t="s">
        <v>29383</v>
      </c>
      <c r="H889" t="s">
        <v>11048</v>
      </c>
      <c r="I889" t="s">
        <v>3670</v>
      </c>
      <c r="J889" t="s">
        <v>29625</v>
      </c>
      <c r="K889" t="s">
        <v>38488</v>
      </c>
      <c r="M889" t="s">
        <v>39116</v>
      </c>
      <c r="N889" t="s">
        <v>42669</v>
      </c>
      <c r="O889" t="s">
        <v>42670</v>
      </c>
      <c r="P889">
        <v>0</v>
      </c>
      <c r="Q889">
        <v>2</v>
      </c>
      <c r="R889" t="s">
        <v>42672</v>
      </c>
      <c r="S889" t="s">
        <v>42781</v>
      </c>
      <c r="T889" t="s">
        <v>44427</v>
      </c>
      <c r="U889" t="s">
        <v>45632</v>
      </c>
      <c r="W889" t="s">
        <v>39116</v>
      </c>
      <c r="X889" t="s">
        <v>42673</v>
      </c>
    </row>
    <row r="890" spans="1:24">
      <c r="A890">
        <f>HYPERLINK("https://www.philgeps.gov.ph/GEPSNONPILOT/Tender/SplashBidNoticeAbstractUI.aspx?menuIndex=3&amp;refID=7193960&amp;Result=3","7193960")</f>
        <v>0</v>
      </c>
      <c r="B890" t="s">
        <v>365</v>
      </c>
      <c r="C890" t="s">
        <v>4378</v>
      </c>
      <c r="D890" t="s">
        <v>17143</v>
      </c>
      <c r="E890" t="s">
        <v>18054</v>
      </c>
      <c r="F890" t="s">
        <v>29372</v>
      </c>
      <c r="G890" t="s">
        <v>29379</v>
      </c>
      <c r="H890" t="s">
        <v>11048</v>
      </c>
      <c r="I890" t="s">
        <v>29457</v>
      </c>
      <c r="J890" t="s">
        <v>30220</v>
      </c>
      <c r="K890" t="s">
        <v>38485</v>
      </c>
      <c r="M890" t="s">
        <v>39125</v>
      </c>
      <c r="N890" t="s">
        <v>42669</v>
      </c>
      <c r="O890" t="s">
        <v>42670</v>
      </c>
      <c r="P890">
        <v>0</v>
      </c>
      <c r="Q890">
        <v>0</v>
      </c>
      <c r="R890" t="s">
        <v>42672</v>
      </c>
      <c r="S890" t="s">
        <v>42781</v>
      </c>
      <c r="T890" t="s">
        <v>44427</v>
      </c>
      <c r="U890" t="s">
        <v>45633</v>
      </c>
      <c r="W890" t="s">
        <v>58010</v>
      </c>
      <c r="X890" t="s">
        <v>42673</v>
      </c>
    </row>
    <row r="891" spans="1:24">
      <c r="A891">
        <f>HYPERLINK("https://www.philgeps.gov.ph/GEPSNONPILOT/Tender/SplashBidNoticeAbstractUI.aspx?menuIndex=3&amp;refID=7193809&amp;Result=3","7193809")</f>
        <v>0</v>
      </c>
      <c r="B891" t="s">
        <v>366</v>
      </c>
      <c r="C891" t="s">
        <v>3816</v>
      </c>
      <c r="D891" t="s">
        <v>17172</v>
      </c>
      <c r="E891" t="s">
        <v>18055</v>
      </c>
      <c r="F891" t="s">
        <v>29372</v>
      </c>
      <c r="G891" t="s">
        <v>29383</v>
      </c>
      <c r="H891" t="s">
        <v>11048</v>
      </c>
      <c r="I891" t="s">
        <v>5383</v>
      </c>
      <c r="J891" t="s">
        <v>30221</v>
      </c>
      <c r="K891" t="s">
        <v>38490</v>
      </c>
      <c r="M891" t="s">
        <v>39126</v>
      </c>
      <c r="N891" t="s">
        <v>42669</v>
      </c>
      <c r="O891" t="s">
        <v>42670</v>
      </c>
      <c r="P891">
        <v>0</v>
      </c>
      <c r="Q891">
        <v>0</v>
      </c>
      <c r="R891" t="s">
        <v>42672</v>
      </c>
      <c r="S891" t="s">
        <v>42781</v>
      </c>
      <c r="T891" t="s">
        <v>44427</v>
      </c>
      <c r="U891" t="s">
        <v>45634</v>
      </c>
      <c r="V891" t="s">
        <v>56432</v>
      </c>
      <c r="W891" t="s">
        <v>39126</v>
      </c>
      <c r="X891" t="s">
        <v>42673</v>
      </c>
    </row>
    <row r="892" spans="1:24">
      <c r="A892">
        <f>HYPERLINK("https://www.philgeps.gov.ph/GEPSNONPILOT/Tender/SplashBidNoticeAbstractUI.aspx?menuIndex=3&amp;refID=7193952&amp;Result=3","7193952")</f>
        <v>0</v>
      </c>
      <c r="B892" t="s">
        <v>367</v>
      </c>
      <c r="C892" t="s">
        <v>4379</v>
      </c>
      <c r="D892" t="s">
        <v>17141</v>
      </c>
      <c r="E892" t="s">
        <v>18056</v>
      </c>
      <c r="F892" t="s">
        <v>29372</v>
      </c>
      <c r="G892" t="s">
        <v>29383</v>
      </c>
      <c r="H892" t="s">
        <v>11048</v>
      </c>
      <c r="I892" t="s">
        <v>29409</v>
      </c>
      <c r="J892" t="s">
        <v>29985</v>
      </c>
      <c r="K892" t="s">
        <v>38488</v>
      </c>
      <c r="M892" t="s">
        <v>39127</v>
      </c>
      <c r="N892" t="s">
        <v>42669</v>
      </c>
      <c r="O892" t="s">
        <v>42670</v>
      </c>
      <c r="P892">
        <v>0</v>
      </c>
      <c r="Q892">
        <v>15</v>
      </c>
      <c r="R892" t="s">
        <v>42672</v>
      </c>
      <c r="S892" t="s">
        <v>42781</v>
      </c>
      <c r="T892" t="s">
        <v>44491</v>
      </c>
      <c r="U892" t="s">
        <v>45635</v>
      </c>
      <c r="W892" t="s">
        <v>39127</v>
      </c>
      <c r="X892" t="s">
        <v>42673</v>
      </c>
    </row>
    <row r="893" spans="1:24">
      <c r="A893">
        <f>HYPERLINK("https://www.philgeps.gov.ph/GEPSNONPILOT/Tender/SplashBidNoticeAbstractUI.aspx?menuIndex=3&amp;refID=7193951&amp;Result=3","7193951")</f>
        <v>0</v>
      </c>
      <c r="B893" t="s">
        <v>367</v>
      </c>
      <c r="C893" t="s">
        <v>4380</v>
      </c>
      <c r="D893" t="s">
        <v>17141</v>
      </c>
      <c r="E893" t="s">
        <v>18057</v>
      </c>
      <c r="F893" t="s">
        <v>29372</v>
      </c>
      <c r="G893" t="s">
        <v>29383</v>
      </c>
      <c r="H893" t="s">
        <v>11048</v>
      </c>
      <c r="I893" t="s">
        <v>3597</v>
      </c>
      <c r="J893" t="s">
        <v>29922</v>
      </c>
      <c r="K893" t="s">
        <v>38488</v>
      </c>
      <c r="M893" t="s">
        <v>39127</v>
      </c>
      <c r="N893" t="s">
        <v>42669</v>
      </c>
      <c r="O893" t="s">
        <v>42670</v>
      </c>
      <c r="P893">
        <v>0</v>
      </c>
      <c r="Q893">
        <v>5</v>
      </c>
      <c r="R893" t="s">
        <v>42672</v>
      </c>
      <c r="S893" t="s">
        <v>42781</v>
      </c>
      <c r="T893" t="s">
        <v>44491</v>
      </c>
      <c r="U893" t="s">
        <v>45636</v>
      </c>
      <c r="W893" t="s">
        <v>39127</v>
      </c>
      <c r="X893" t="s">
        <v>42673</v>
      </c>
    </row>
    <row r="894" spans="1:24">
      <c r="A894">
        <f>HYPERLINK("https://www.philgeps.gov.ph/GEPSNONPILOT/Tender/SplashBidNoticeAbstractUI.aspx?menuIndex=3&amp;refID=7193958&amp;Result=3","7193958")</f>
        <v>0</v>
      </c>
      <c r="B894" t="s">
        <v>368</v>
      </c>
      <c r="C894" t="s">
        <v>4381</v>
      </c>
      <c r="D894" t="s">
        <v>17147</v>
      </c>
      <c r="E894" t="s">
        <v>18058</v>
      </c>
      <c r="F894" t="s">
        <v>29372</v>
      </c>
      <c r="G894" t="s">
        <v>29379</v>
      </c>
      <c r="H894" t="s">
        <v>11048</v>
      </c>
      <c r="I894" t="s">
        <v>29397</v>
      </c>
      <c r="J894" t="s">
        <v>29619</v>
      </c>
      <c r="K894" t="s">
        <v>38528</v>
      </c>
      <c r="M894" t="s">
        <v>39128</v>
      </c>
      <c r="N894" t="s">
        <v>42669</v>
      </c>
      <c r="O894" t="s">
        <v>42670</v>
      </c>
      <c r="Q894">
        <v>6</v>
      </c>
      <c r="R894" t="s">
        <v>42672</v>
      </c>
      <c r="S894" t="s">
        <v>42783</v>
      </c>
      <c r="T894" t="s">
        <v>44401</v>
      </c>
      <c r="U894" t="s">
        <v>44993</v>
      </c>
      <c r="V894" t="s">
        <v>44993</v>
      </c>
      <c r="W894" t="s">
        <v>39128</v>
      </c>
      <c r="X894" t="s">
        <v>42673</v>
      </c>
    </row>
    <row r="895" spans="1:24">
      <c r="A895">
        <f>HYPERLINK("https://www.philgeps.gov.ph/GEPSNONPILOT/Tender/SplashBidNoticeAbstractUI.aspx?menuIndex=3&amp;refID=7193944&amp;Result=3","7193944")</f>
        <v>0</v>
      </c>
      <c r="B895" t="s">
        <v>255</v>
      </c>
      <c r="C895" t="s">
        <v>4382</v>
      </c>
      <c r="E895" t="s">
        <v>18059</v>
      </c>
      <c r="F895" t="s">
        <v>29372</v>
      </c>
      <c r="G895" t="s">
        <v>29379</v>
      </c>
      <c r="H895" t="s">
        <v>11048</v>
      </c>
      <c r="I895" t="s">
        <v>29433</v>
      </c>
      <c r="J895" t="s">
        <v>30222</v>
      </c>
      <c r="K895" t="s">
        <v>38490</v>
      </c>
      <c r="M895" t="s">
        <v>39014</v>
      </c>
      <c r="N895" t="s">
        <v>42669</v>
      </c>
      <c r="O895" t="s">
        <v>42670</v>
      </c>
      <c r="P895">
        <v>0</v>
      </c>
      <c r="Q895">
        <v>2</v>
      </c>
      <c r="R895" t="s">
        <v>42672</v>
      </c>
      <c r="S895" t="s">
        <v>42781</v>
      </c>
      <c r="T895" t="s">
        <v>44349</v>
      </c>
      <c r="U895" t="s">
        <v>45623</v>
      </c>
      <c r="W895" t="s">
        <v>39014</v>
      </c>
      <c r="X895" t="s">
        <v>42673</v>
      </c>
    </row>
    <row r="896" spans="1:24">
      <c r="A896">
        <f>HYPERLINK("https://www.philgeps.gov.ph/GEPSNONPILOT/Tender/SplashBidNoticeAbstractUI.aspx?menuIndex=3&amp;refID=7193942&amp;Result=3","7193942")</f>
        <v>0</v>
      </c>
      <c r="B896" t="s">
        <v>255</v>
      </c>
      <c r="C896" t="s">
        <v>4383</v>
      </c>
      <c r="E896" t="s">
        <v>18060</v>
      </c>
      <c r="F896" t="s">
        <v>29372</v>
      </c>
      <c r="G896" t="s">
        <v>29379</v>
      </c>
      <c r="H896" t="s">
        <v>11048</v>
      </c>
      <c r="I896" t="s">
        <v>29433</v>
      </c>
      <c r="J896" t="s">
        <v>29694</v>
      </c>
      <c r="K896" t="s">
        <v>38490</v>
      </c>
      <c r="M896" t="s">
        <v>39014</v>
      </c>
      <c r="N896" t="s">
        <v>42669</v>
      </c>
      <c r="O896" t="s">
        <v>42670</v>
      </c>
      <c r="P896">
        <v>0</v>
      </c>
      <c r="Q896">
        <v>20</v>
      </c>
      <c r="R896" t="s">
        <v>42672</v>
      </c>
      <c r="S896" t="s">
        <v>42781</v>
      </c>
      <c r="T896" t="s">
        <v>44349</v>
      </c>
      <c r="U896" t="s">
        <v>45623</v>
      </c>
      <c r="W896" t="s">
        <v>39014</v>
      </c>
      <c r="X896" t="s">
        <v>42673</v>
      </c>
    </row>
    <row r="897" spans="1:24">
      <c r="A897">
        <f>HYPERLINK("https://www.philgeps.gov.ph/GEPSNONPILOT/Tender/SplashBidNoticeAbstractUI.aspx?menuIndex=3&amp;refID=7193940&amp;Result=3","7193940")</f>
        <v>0</v>
      </c>
      <c r="B897" t="s">
        <v>255</v>
      </c>
      <c r="C897" t="s">
        <v>4384</v>
      </c>
      <c r="E897" t="s">
        <v>18061</v>
      </c>
      <c r="F897" t="s">
        <v>29372</v>
      </c>
      <c r="G897" t="s">
        <v>29379</v>
      </c>
      <c r="H897" t="s">
        <v>11048</v>
      </c>
      <c r="I897" t="s">
        <v>29433</v>
      </c>
      <c r="J897" t="s">
        <v>29767</v>
      </c>
      <c r="K897" t="s">
        <v>38490</v>
      </c>
      <c r="M897" t="s">
        <v>39014</v>
      </c>
      <c r="N897" t="s">
        <v>42669</v>
      </c>
      <c r="O897" t="s">
        <v>42670</v>
      </c>
      <c r="P897">
        <v>0</v>
      </c>
      <c r="Q897">
        <v>16</v>
      </c>
      <c r="R897" t="s">
        <v>42672</v>
      </c>
      <c r="S897" t="s">
        <v>42781</v>
      </c>
      <c r="T897" t="s">
        <v>44349</v>
      </c>
      <c r="U897" t="s">
        <v>45623</v>
      </c>
      <c r="W897" t="s">
        <v>39014</v>
      </c>
      <c r="X897" t="s">
        <v>42673</v>
      </c>
    </row>
    <row r="898" spans="1:24">
      <c r="A898">
        <f>HYPERLINK("https://www.philgeps.gov.ph/GEPSNONPILOT/Tender/SplashBidNoticeAbstractUI.aspx?menuIndex=3&amp;refID=7193936&amp;Result=3","7193936")</f>
        <v>0</v>
      </c>
      <c r="B898" t="s">
        <v>255</v>
      </c>
      <c r="C898" t="s">
        <v>4385</v>
      </c>
      <c r="E898" t="s">
        <v>18062</v>
      </c>
      <c r="F898" t="s">
        <v>29372</v>
      </c>
      <c r="G898" t="s">
        <v>29379</v>
      </c>
      <c r="H898" t="s">
        <v>11048</v>
      </c>
      <c r="I898" t="s">
        <v>29458</v>
      </c>
      <c r="J898" t="s">
        <v>29685</v>
      </c>
      <c r="K898" t="s">
        <v>38490</v>
      </c>
      <c r="M898" t="s">
        <v>39014</v>
      </c>
      <c r="N898" t="s">
        <v>42669</v>
      </c>
      <c r="O898" t="s">
        <v>42670</v>
      </c>
      <c r="P898">
        <v>0</v>
      </c>
      <c r="Q898">
        <v>1</v>
      </c>
      <c r="R898" t="s">
        <v>42672</v>
      </c>
      <c r="S898" t="s">
        <v>42781</v>
      </c>
      <c r="T898" t="s">
        <v>44349</v>
      </c>
      <c r="U898" t="s">
        <v>45623</v>
      </c>
      <c r="W898" t="s">
        <v>39014</v>
      </c>
      <c r="X898" t="s">
        <v>42673</v>
      </c>
    </row>
    <row r="899" spans="1:24">
      <c r="A899">
        <f>HYPERLINK("https://www.philgeps.gov.ph/GEPSNONPILOT/Tender/SplashBidNoticeAbstractUI.aspx?menuIndex=3&amp;refID=7193954&amp;Result=3","7193954")</f>
        <v>0</v>
      </c>
      <c r="B899" t="s">
        <v>367</v>
      </c>
      <c r="C899" t="s">
        <v>4386</v>
      </c>
      <c r="D899" t="s">
        <v>17141</v>
      </c>
      <c r="E899" t="s">
        <v>18063</v>
      </c>
      <c r="F899" t="s">
        <v>29372</v>
      </c>
      <c r="G899" t="s">
        <v>29383</v>
      </c>
      <c r="H899" t="s">
        <v>11048</v>
      </c>
      <c r="I899" t="s">
        <v>4487</v>
      </c>
      <c r="J899" t="s">
        <v>30223</v>
      </c>
      <c r="K899" t="s">
        <v>38488</v>
      </c>
      <c r="M899" t="s">
        <v>39127</v>
      </c>
      <c r="N899" t="s">
        <v>42669</v>
      </c>
      <c r="O899" t="s">
        <v>42670</v>
      </c>
      <c r="P899">
        <v>0</v>
      </c>
      <c r="Q899">
        <v>12</v>
      </c>
      <c r="R899" t="s">
        <v>42672</v>
      </c>
      <c r="S899" t="s">
        <v>42781</v>
      </c>
      <c r="T899" t="s">
        <v>44491</v>
      </c>
      <c r="U899" t="s">
        <v>45637</v>
      </c>
      <c r="W899" t="s">
        <v>39127</v>
      </c>
      <c r="X899" t="s">
        <v>42673</v>
      </c>
    </row>
    <row r="900" spans="1:24">
      <c r="A900">
        <f>HYPERLINK("https://www.philgeps.gov.ph/GEPSNONPILOT/Tender/SplashBidNoticeAbstractUI.aspx?menuIndex=3&amp;refID=7193941&amp;Result=3","7193941")</f>
        <v>0</v>
      </c>
      <c r="B900" t="s">
        <v>367</v>
      </c>
      <c r="C900" t="s">
        <v>4387</v>
      </c>
      <c r="D900" t="s">
        <v>17141</v>
      </c>
      <c r="E900" t="s">
        <v>18064</v>
      </c>
      <c r="F900" t="s">
        <v>29372</v>
      </c>
      <c r="G900" t="s">
        <v>29383</v>
      </c>
      <c r="H900" t="s">
        <v>11048</v>
      </c>
      <c r="I900" t="s">
        <v>4487</v>
      </c>
      <c r="J900" t="s">
        <v>30224</v>
      </c>
      <c r="K900" t="s">
        <v>38488</v>
      </c>
      <c r="M900" t="s">
        <v>39127</v>
      </c>
      <c r="N900" t="s">
        <v>42669</v>
      </c>
      <c r="O900" t="s">
        <v>42670</v>
      </c>
      <c r="P900">
        <v>0</v>
      </c>
      <c r="Q900">
        <v>9</v>
      </c>
      <c r="R900" t="s">
        <v>42672</v>
      </c>
      <c r="S900" t="s">
        <v>42781</v>
      </c>
      <c r="T900" t="s">
        <v>44491</v>
      </c>
      <c r="U900" t="s">
        <v>45638</v>
      </c>
      <c r="W900" t="s">
        <v>39127</v>
      </c>
      <c r="X900" t="s">
        <v>42673</v>
      </c>
    </row>
    <row r="901" spans="1:24">
      <c r="A901">
        <f>HYPERLINK("https://www.philgeps.gov.ph/GEPSNONPILOT/Tender/SplashBidNoticeAbstractUI.aspx?menuIndex=3&amp;refID=7193895&amp;Result=3","7193895")</f>
        <v>0</v>
      </c>
      <c r="B901" t="s">
        <v>357</v>
      </c>
      <c r="C901" t="s">
        <v>4388</v>
      </c>
      <c r="D901" t="s">
        <v>17159</v>
      </c>
      <c r="E901" t="s">
        <v>18065</v>
      </c>
      <c r="F901" t="s">
        <v>29373</v>
      </c>
      <c r="G901" t="s">
        <v>29383</v>
      </c>
      <c r="H901" t="s">
        <v>11048</v>
      </c>
      <c r="I901" t="s">
        <v>3670</v>
      </c>
      <c r="J901" t="s">
        <v>29824</v>
      </c>
      <c r="K901" t="s">
        <v>38488</v>
      </c>
      <c r="M901" t="s">
        <v>39116</v>
      </c>
      <c r="N901" t="s">
        <v>42669</v>
      </c>
      <c r="O901" t="s">
        <v>42670</v>
      </c>
      <c r="P901">
        <v>0</v>
      </c>
      <c r="Q901">
        <v>1</v>
      </c>
      <c r="R901" t="s">
        <v>42672</v>
      </c>
      <c r="S901" t="s">
        <v>42781</v>
      </c>
      <c r="T901" t="s">
        <v>44427</v>
      </c>
      <c r="U901" t="s">
        <v>45639</v>
      </c>
      <c r="W901" t="s">
        <v>39116</v>
      </c>
      <c r="X901" t="s">
        <v>42673</v>
      </c>
    </row>
    <row r="902" spans="1:24">
      <c r="A902">
        <f>HYPERLINK("https://www.philgeps.gov.ph/GEPSNONPILOT/Tender/SplashBidNoticeAbstractUI.aspx?menuIndex=3&amp;refID=7193933&amp;Result=3","7193933")</f>
        <v>0</v>
      </c>
      <c r="B902" t="s">
        <v>367</v>
      </c>
      <c r="C902" t="s">
        <v>4389</v>
      </c>
      <c r="D902" t="s">
        <v>17141</v>
      </c>
      <c r="E902" t="s">
        <v>18066</v>
      </c>
      <c r="F902" t="s">
        <v>29372</v>
      </c>
      <c r="G902" t="s">
        <v>29383</v>
      </c>
      <c r="H902" t="s">
        <v>11048</v>
      </c>
      <c r="I902" t="s">
        <v>5383</v>
      </c>
      <c r="J902" t="s">
        <v>30225</v>
      </c>
      <c r="K902" t="s">
        <v>38488</v>
      </c>
      <c r="M902" t="s">
        <v>39127</v>
      </c>
      <c r="N902" t="s">
        <v>42669</v>
      </c>
      <c r="O902" t="s">
        <v>42670</v>
      </c>
      <c r="P902">
        <v>0</v>
      </c>
      <c r="Q902">
        <v>8</v>
      </c>
      <c r="R902" t="s">
        <v>42672</v>
      </c>
      <c r="S902" t="s">
        <v>42781</v>
      </c>
      <c r="T902" t="s">
        <v>44491</v>
      </c>
      <c r="U902" t="s">
        <v>45640</v>
      </c>
      <c r="W902" t="s">
        <v>39127</v>
      </c>
      <c r="X902" t="s">
        <v>42673</v>
      </c>
    </row>
    <row r="903" spans="1:24">
      <c r="A903">
        <f>HYPERLINK("https://www.philgeps.gov.ph/GEPSNONPILOT/Tender/SplashBidNoticeAbstractUI.aspx?menuIndex=3&amp;refID=7193932&amp;Result=3","7193932")</f>
        <v>0</v>
      </c>
      <c r="B903" t="s">
        <v>255</v>
      </c>
      <c r="C903" t="s">
        <v>4390</v>
      </c>
      <c r="E903" t="s">
        <v>18067</v>
      </c>
      <c r="F903" t="s">
        <v>29372</v>
      </c>
      <c r="G903" t="s">
        <v>29379</v>
      </c>
      <c r="H903" t="s">
        <v>11048</v>
      </c>
      <c r="I903" t="s">
        <v>29433</v>
      </c>
      <c r="J903" t="s">
        <v>29799</v>
      </c>
      <c r="K903" t="s">
        <v>38490</v>
      </c>
      <c r="M903" t="s">
        <v>39014</v>
      </c>
      <c r="N903" t="s">
        <v>42669</v>
      </c>
      <c r="O903" t="s">
        <v>42670</v>
      </c>
      <c r="P903">
        <v>0</v>
      </c>
      <c r="Q903">
        <v>5</v>
      </c>
      <c r="R903" t="s">
        <v>42672</v>
      </c>
      <c r="S903" t="s">
        <v>42781</v>
      </c>
      <c r="T903" t="s">
        <v>44349</v>
      </c>
      <c r="U903" t="s">
        <v>45623</v>
      </c>
      <c r="W903" t="s">
        <v>39014</v>
      </c>
      <c r="X903" t="s">
        <v>42673</v>
      </c>
    </row>
    <row r="904" spans="1:24">
      <c r="A904">
        <f>HYPERLINK("https://www.philgeps.gov.ph/GEPSNONPILOT/Tender/SplashBidNoticeAbstractUI.aspx?menuIndex=3&amp;refID=7193930&amp;Result=3","7193930")</f>
        <v>0</v>
      </c>
      <c r="B904" t="s">
        <v>369</v>
      </c>
      <c r="C904" t="s">
        <v>4391</v>
      </c>
      <c r="D904" t="s">
        <v>17141</v>
      </c>
      <c r="E904" t="s">
        <v>18068</v>
      </c>
      <c r="F904" t="s">
        <v>29372</v>
      </c>
      <c r="G904" t="s">
        <v>29379</v>
      </c>
      <c r="H904" t="s">
        <v>11048</v>
      </c>
      <c r="I904" t="s">
        <v>29407</v>
      </c>
      <c r="J904" t="s">
        <v>30226</v>
      </c>
      <c r="K904" t="s">
        <v>38491</v>
      </c>
      <c r="M904" t="s">
        <v>39129</v>
      </c>
      <c r="N904" t="s">
        <v>42669</v>
      </c>
      <c r="O904" t="s">
        <v>42670</v>
      </c>
      <c r="P904">
        <v>0</v>
      </c>
      <c r="Q904">
        <v>5</v>
      </c>
      <c r="R904" t="s">
        <v>42672</v>
      </c>
      <c r="S904" t="s">
        <v>42781</v>
      </c>
      <c r="T904" t="s">
        <v>44417</v>
      </c>
      <c r="U904" t="s">
        <v>45641</v>
      </c>
      <c r="W904" t="s">
        <v>39129</v>
      </c>
      <c r="X904" t="s">
        <v>42673</v>
      </c>
    </row>
    <row r="905" spans="1:24">
      <c r="A905">
        <f>HYPERLINK("https://www.philgeps.gov.ph/GEPSNONPILOT/Tender/SplashBidNoticeAbstractUI.aspx?menuIndex=3&amp;refID=7193929&amp;Result=3","7193929")</f>
        <v>0</v>
      </c>
      <c r="B905" t="s">
        <v>311</v>
      </c>
      <c r="C905" t="s">
        <v>4392</v>
      </c>
      <c r="D905" t="s">
        <v>17141</v>
      </c>
      <c r="E905" t="s">
        <v>18069</v>
      </c>
      <c r="F905" t="s">
        <v>29372</v>
      </c>
      <c r="G905" t="s">
        <v>29379</v>
      </c>
      <c r="H905" t="s">
        <v>29391</v>
      </c>
      <c r="I905" t="s">
        <v>29396</v>
      </c>
      <c r="J905" t="s">
        <v>29721</v>
      </c>
      <c r="K905" t="s">
        <v>38510</v>
      </c>
      <c r="M905" t="s">
        <v>39130</v>
      </c>
      <c r="N905" t="s">
        <v>42669</v>
      </c>
      <c r="O905" t="s">
        <v>42670</v>
      </c>
      <c r="P905">
        <v>0</v>
      </c>
      <c r="Q905">
        <v>1</v>
      </c>
      <c r="R905" t="s">
        <v>42672</v>
      </c>
      <c r="S905" t="s">
        <v>42781</v>
      </c>
      <c r="T905" t="s">
        <v>44385</v>
      </c>
      <c r="U905" t="s">
        <v>45642</v>
      </c>
      <c r="W905" t="s">
        <v>39130</v>
      </c>
      <c r="X905" t="s">
        <v>42673</v>
      </c>
    </row>
    <row r="906" spans="1:24">
      <c r="A906">
        <f>HYPERLINK("https://www.philgeps.gov.ph/GEPSNONPILOT/Tender/SplashBidNoticeAbstractUI.aspx?menuIndex=3&amp;refID=7193928&amp;Result=3","7193928")</f>
        <v>0</v>
      </c>
      <c r="B906" t="s">
        <v>352</v>
      </c>
      <c r="C906" t="s">
        <v>4393</v>
      </c>
      <c r="D906" t="s">
        <v>17141</v>
      </c>
      <c r="E906" t="s">
        <v>17448</v>
      </c>
      <c r="F906" t="s">
        <v>29372</v>
      </c>
      <c r="G906" t="s">
        <v>29380</v>
      </c>
      <c r="H906" t="s">
        <v>11048</v>
      </c>
      <c r="I906" t="s">
        <v>3670</v>
      </c>
      <c r="J906" t="s">
        <v>29555</v>
      </c>
      <c r="K906" t="s">
        <v>38489</v>
      </c>
      <c r="M906" t="s">
        <v>39111</v>
      </c>
      <c r="N906" t="s">
        <v>42669</v>
      </c>
      <c r="O906" t="s">
        <v>42670</v>
      </c>
      <c r="P906">
        <v>0</v>
      </c>
      <c r="Q906">
        <v>0</v>
      </c>
      <c r="R906" t="s">
        <v>42672</v>
      </c>
      <c r="S906" t="s">
        <v>42781</v>
      </c>
      <c r="T906" t="s">
        <v>44373</v>
      </c>
      <c r="U906" t="s">
        <v>45643</v>
      </c>
      <c r="V906" t="s">
        <v>56433</v>
      </c>
      <c r="W906" t="s">
        <v>39111</v>
      </c>
      <c r="X906" t="s">
        <v>42673</v>
      </c>
    </row>
    <row r="907" spans="1:24">
      <c r="A907">
        <f>HYPERLINK("https://www.philgeps.gov.ph/GEPSNONPILOT/Tender/SplashBidNoticeAbstractUI.aspx?menuIndex=3&amp;refID=7193934&amp;Result=3","7193934")</f>
        <v>0</v>
      </c>
      <c r="B907" t="s">
        <v>255</v>
      </c>
      <c r="C907" t="s">
        <v>4394</v>
      </c>
      <c r="E907" t="s">
        <v>18070</v>
      </c>
      <c r="F907" t="s">
        <v>29372</v>
      </c>
      <c r="G907" t="s">
        <v>29379</v>
      </c>
      <c r="H907" t="s">
        <v>11048</v>
      </c>
      <c r="I907" t="s">
        <v>29458</v>
      </c>
      <c r="J907" t="s">
        <v>29685</v>
      </c>
      <c r="K907" t="s">
        <v>38490</v>
      </c>
      <c r="M907" t="s">
        <v>39014</v>
      </c>
      <c r="N907" t="s">
        <v>42669</v>
      </c>
      <c r="O907" t="s">
        <v>42670</v>
      </c>
      <c r="P907">
        <v>0</v>
      </c>
      <c r="Q907">
        <v>0</v>
      </c>
      <c r="R907" t="s">
        <v>42672</v>
      </c>
      <c r="S907" t="s">
        <v>42781</v>
      </c>
      <c r="T907" t="s">
        <v>44349</v>
      </c>
      <c r="U907" t="s">
        <v>45623</v>
      </c>
      <c r="W907" t="s">
        <v>39014</v>
      </c>
      <c r="X907" t="s">
        <v>42673</v>
      </c>
    </row>
    <row r="908" spans="1:24">
      <c r="A908">
        <f>HYPERLINK("https://www.philgeps.gov.ph/GEPSNONPILOT/Tender/SplashBidNoticeAbstractUI.aspx?menuIndex=3&amp;refID=7193931&amp;Result=3","7193931")</f>
        <v>0</v>
      </c>
      <c r="B908" t="s">
        <v>255</v>
      </c>
      <c r="C908" t="s">
        <v>4395</v>
      </c>
      <c r="E908" t="s">
        <v>18071</v>
      </c>
      <c r="F908" t="s">
        <v>29372</v>
      </c>
      <c r="G908" t="s">
        <v>29382</v>
      </c>
      <c r="H908" t="s">
        <v>11048</v>
      </c>
      <c r="I908" t="s">
        <v>5383</v>
      </c>
      <c r="J908" t="s">
        <v>30227</v>
      </c>
      <c r="K908" t="s">
        <v>38490</v>
      </c>
      <c r="M908" t="s">
        <v>39014</v>
      </c>
      <c r="N908" t="s">
        <v>42669</v>
      </c>
      <c r="O908" t="s">
        <v>42670</v>
      </c>
      <c r="P908">
        <v>0</v>
      </c>
      <c r="Q908">
        <v>6</v>
      </c>
      <c r="R908" t="s">
        <v>42672</v>
      </c>
      <c r="S908" t="s">
        <v>42781</v>
      </c>
      <c r="T908" t="s">
        <v>44349</v>
      </c>
      <c r="U908" t="s">
        <v>45623</v>
      </c>
      <c r="W908" t="s">
        <v>39014</v>
      </c>
      <c r="X908" t="s">
        <v>42673</v>
      </c>
    </row>
    <row r="909" spans="1:24">
      <c r="A909">
        <f>HYPERLINK("https://www.philgeps.gov.ph/GEPSNONPILOT/Tender/SplashBidNoticeAbstractUI.aspx?menuIndex=3&amp;refID=7193999&amp;Result=3","7193999")</f>
        <v>0</v>
      </c>
      <c r="B909" t="s">
        <v>370</v>
      </c>
      <c r="C909" t="s">
        <v>4396</v>
      </c>
      <c r="D909" t="s">
        <v>17189</v>
      </c>
      <c r="E909" t="s">
        <v>17648</v>
      </c>
      <c r="F909" t="s">
        <v>29372</v>
      </c>
      <c r="G909" t="s">
        <v>29382</v>
      </c>
      <c r="H909" t="s">
        <v>11048</v>
      </c>
      <c r="I909" t="s">
        <v>4487</v>
      </c>
      <c r="J909" t="s">
        <v>30228</v>
      </c>
      <c r="K909" t="s">
        <v>38491</v>
      </c>
      <c r="M909" t="s">
        <v>39131</v>
      </c>
      <c r="N909" t="s">
        <v>42669</v>
      </c>
      <c r="O909" t="s">
        <v>42670</v>
      </c>
      <c r="P909">
        <v>0</v>
      </c>
      <c r="Q909">
        <v>0</v>
      </c>
      <c r="R909" t="s">
        <v>42672</v>
      </c>
      <c r="S909" t="s">
        <v>42781</v>
      </c>
      <c r="T909" t="s">
        <v>44417</v>
      </c>
      <c r="U909" t="s">
        <v>45644</v>
      </c>
      <c r="V909" t="s">
        <v>56434</v>
      </c>
      <c r="W909" t="s">
        <v>39131</v>
      </c>
      <c r="X909" t="s">
        <v>42673</v>
      </c>
    </row>
    <row r="910" spans="1:24">
      <c r="A910">
        <f>HYPERLINK("https://www.philgeps.gov.ph/GEPSNONPILOT/Tender/SplashBidNoticeAbstractUI.aspx?menuIndex=3&amp;refID=7193992&amp;Result=3","7193992")</f>
        <v>0</v>
      </c>
      <c r="B910" t="s">
        <v>235</v>
      </c>
      <c r="C910" t="s">
        <v>4397</v>
      </c>
      <c r="D910" t="s">
        <v>17185</v>
      </c>
      <c r="E910" t="s">
        <v>17773</v>
      </c>
      <c r="F910" t="s">
        <v>29372</v>
      </c>
      <c r="G910" t="s">
        <v>29383</v>
      </c>
      <c r="H910" t="s">
        <v>11048</v>
      </c>
      <c r="I910" t="s">
        <v>5383</v>
      </c>
      <c r="J910" t="s">
        <v>30229</v>
      </c>
      <c r="K910" t="s">
        <v>38510</v>
      </c>
      <c r="M910" t="s">
        <v>38994</v>
      </c>
      <c r="N910" t="s">
        <v>42669</v>
      </c>
      <c r="O910" t="s">
        <v>42670</v>
      </c>
      <c r="P910">
        <v>0</v>
      </c>
      <c r="Q910">
        <v>1</v>
      </c>
      <c r="R910" t="s">
        <v>42672</v>
      </c>
      <c r="S910" t="s">
        <v>42781</v>
      </c>
      <c r="T910" t="s">
        <v>44387</v>
      </c>
      <c r="U910" t="s">
        <v>45645</v>
      </c>
      <c r="W910" t="s">
        <v>38994</v>
      </c>
      <c r="X910" t="s">
        <v>42673</v>
      </c>
    </row>
    <row r="911" spans="1:24">
      <c r="A911">
        <f>HYPERLINK("https://www.philgeps.gov.ph/GEPSNONPILOT/Tender/SplashBidNoticeAbstractUI.aspx?menuIndex=3&amp;refID=7193987&amp;Result=3","7193987")</f>
        <v>0</v>
      </c>
      <c r="B911" t="s">
        <v>235</v>
      </c>
      <c r="C911" t="s">
        <v>4398</v>
      </c>
      <c r="D911" t="s">
        <v>17185</v>
      </c>
      <c r="E911" t="s">
        <v>17773</v>
      </c>
      <c r="F911" t="s">
        <v>29372</v>
      </c>
      <c r="G911" t="s">
        <v>29383</v>
      </c>
      <c r="H911" t="s">
        <v>11048</v>
      </c>
      <c r="I911" t="s">
        <v>5383</v>
      </c>
      <c r="J911" t="s">
        <v>29571</v>
      </c>
      <c r="K911" t="s">
        <v>38510</v>
      </c>
      <c r="M911" t="s">
        <v>38994</v>
      </c>
      <c r="N911" t="s">
        <v>42669</v>
      </c>
      <c r="O911" t="s">
        <v>42670</v>
      </c>
      <c r="P911">
        <v>0</v>
      </c>
      <c r="Q911">
        <v>1</v>
      </c>
      <c r="R911" t="s">
        <v>42672</v>
      </c>
      <c r="S911" t="s">
        <v>42781</v>
      </c>
      <c r="T911" t="s">
        <v>44387</v>
      </c>
      <c r="U911" t="s">
        <v>45646</v>
      </c>
      <c r="W911" t="s">
        <v>38994</v>
      </c>
      <c r="X911" t="s">
        <v>42673</v>
      </c>
    </row>
    <row r="912" spans="1:24">
      <c r="A912">
        <f>HYPERLINK("https://www.philgeps.gov.ph/GEPSNONPILOT/Tender/SplashBidNoticeAbstractUI.aspx?menuIndex=3&amp;refID=7193985&amp;Result=3","7193985")</f>
        <v>0</v>
      </c>
      <c r="B912" t="s">
        <v>371</v>
      </c>
      <c r="C912" t="s">
        <v>4399</v>
      </c>
      <c r="D912" t="s">
        <v>17187</v>
      </c>
      <c r="E912" t="s">
        <v>18072</v>
      </c>
      <c r="F912" t="s">
        <v>29372</v>
      </c>
      <c r="G912" t="s">
        <v>29379</v>
      </c>
      <c r="H912" t="s">
        <v>11048</v>
      </c>
      <c r="I912" t="s">
        <v>29413</v>
      </c>
      <c r="J912" t="s">
        <v>29824</v>
      </c>
      <c r="K912" t="s">
        <v>38485</v>
      </c>
      <c r="M912" t="s">
        <v>39132</v>
      </c>
      <c r="N912" t="s">
        <v>42669</v>
      </c>
      <c r="O912" t="s">
        <v>42670</v>
      </c>
      <c r="P912">
        <v>0</v>
      </c>
      <c r="Q912">
        <v>5</v>
      </c>
      <c r="R912" t="s">
        <v>42672</v>
      </c>
      <c r="S912" t="s">
        <v>42781</v>
      </c>
      <c r="T912" t="s">
        <v>44427</v>
      </c>
      <c r="U912" t="s">
        <v>45647</v>
      </c>
      <c r="W912" t="s">
        <v>39132</v>
      </c>
      <c r="X912" t="s">
        <v>42673</v>
      </c>
    </row>
    <row r="913" spans="1:24">
      <c r="A913">
        <f>HYPERLINK("https://www.philgeps.gov.ph/GEPSNONPILOT/Tender/SplashBidNoticeAbstractUI.aspx?menuIndex=3&amp;refID=7193984&amp;Result=3","7193984")</f>
        <v>0</v>
      </c>
      <c r="B913" t="s">
        <v>235</v>
      </c>
      <c r="C913" t="s">
        <v>4400</v>
      </c>
      <c r="D913" t="s">
        <v>17185</v>
      </c>
      <c r="E913" t="s">
        <v>17773</v>
      </c>
      <c r="F913" t="s">
        <v>29372</v>
      </c>
      <c r="G913" t="s">
        <v>29383</v>
      </c>
      <c r="H913" t="s">
        <v>11048</v>
      </c>
      <c r="I913" t="s">
        <v>5383</v>
      </c>
      <c r="J913" t="s">
        <v>30230</v>
      </c>
      <c r="K913" t="s">
        <v>38510</v>
      </c>
      <c r="M913" t="s">
        <v>38994</v>
      </c>
      <c r="N913" t="s">
        <v>42669</v>
      </c>
      <c r="O913" t="s">
        <v>42670</v>
      </c>
      <c r="P913">
        <v>0</v>
      </c>
      <c r="Q913">
        <v>0</v>
      </c>
      <c r="R913" t="s">
        <v>42672</v>
      </c>
      <c r="S913" t="s">
        <v>42781</v>
      </c>
      <c r="T913" t="s">
        <v>44387</v>
      </c>
      <c r="U913" t="s">
        <v>45648</v>
      </c>
      <c r="W913" t="s">
        <v>38994</v>
      </c>
      <c r="X913" t="s">
        <v>42673</v>
      </c>
    </row>
    <row r="914" spans="1:24">
      <c r="A914">
        <f>HYPERLINK("https://www.philgeps.gov.ph/GEPSNONPILOT/Tender/SplashBidNoticeAbstractUI.aspx?menuIndex=3&amp;refID=7193989&amp;Result=3","7193989")</f>
        <v>0</v>
      </c>
      <c r="B914" t="s">
        <v>278</v>
      </c>
      <c r="C914" t="s">
        <v>4401</v>
      </c>
      <c r="D914" t="s">
        <v>17206</v>
      </c>
      <c r="E914" t="s">
        <v>18073</v>
      </c>
      <c r="F914" t="s">
        <v>29372</v>
      </c>
      <c r="G914" t="s">
        <v>29380</v>
      </c>
      <c r="H914" t="s">
        <v>29389</v>
      </c>
      <c r="I914" t="s">
        <v>29429</v>
      </c>
      <c r="J914" t="s">
        <v>30231</v>
      </c>
      <c r="K914" t="s">
        <v>38496</v>
      </c>
      <c r="M914" t="s">
        <v>39120</v>
      </c>
      <c r="N914" t="s">
        <v>42669</v>
      </c>
      <c r="O914" t="s">
        <v>42670</v>
      </c>
      <c r="P914">
        <v>0</v>
      </c>
      <c r="Q914">
        <v>3</v>
      </c>
      <c r="R914" t="s">
        <v>42672</v>
      </c>
      <c r="S914" t="s">
        <v>42781</v>
      </c>
      <c r="T914" t="s">
        <v>44460</v>
      </c>
      <c r="U914" t="s">
        <v>45649</v>
      </c>
      <c r="V914" t="s">
        <v>56431</v>
      </c>
      <c r="W914" t="s">
        <v>39120</v>
      </c>
      <c r="X914" t="s">
        <v>42673</v>
      </c>
    </row>
    <row r="915" spans="1:24">
      <c r="A915">
        <f>HYPERLINK("https://www.philgeps.gov.ph/GEPSNONPILOT/Tender/SplashBidNoticeAbstractUI.aspx?menuIndex=3&amp;refID=7193904&amp;Result=3","7193904")</f>
        <v>0</v>
      </c>
      <c r="B915" t="s">
        <v>346</v>
      </c>
      <c r="C915" t="s">
        <v>4402</v>
      </c>
      <c r="E915" t="s">
        <v>18074</v>
      </c>
      <c r="F915" t="s">
        <v>29372</v>
      </c>
      <c r="G915" t="s">
        <v>29383</v>
      </c>
      <c r="H915" t="s">
        <v>11048</v>
      </c>
      <c r="I915" t="s">
        <v>4486</v>
      </c>
      <c r="J915" t="s">
        <v>30232</v>
      </c>
      <c r="K915" t="s">
        <v>38488</v>
      </c>
      <c r="M915" t="s">
        <v>39105</v>
      </c>
      <c r="N915" t="s">
        <v>42669</v>
      </c>
      <c r="O915" t="s">
        <v>42670</v>
      </c>
      <c r="P915">
        <v>0</v>
      </c>
      <c r="Q915">
        <v>0</v>
      </c>
      <c r="R915" t="s">
        <v>42672</v>
      </c>
      <c r="S915" t="s">
        <v>42781</v>
      </c>
      <c r="T915" t="s">
        <v>44401</v>
      </c>
      <c r="U915" t="s">
        <v>45597</v>
      </c>
      <c r="W915" t="s">
        <v>39105</v>
      </c>
      <c r="X915" t="s">
        <v>42673</v>
      </c>
    </row>
    <row r="916" spans="1:24">
      <c r="A916">
        <f>HYPERLINK("https://www.philgeps.gov.ph/GEPSNONPILOT/Tender/SplashBidNoticeAbstractUI.aspx?menuIndex=3&amp;refID=7193804&amp;Result=3","7193804")</f>
        <v>0</v>
      </c>
      <c r="B916" t="s">
        <v>339</v>
      </c>
      <c r="C916" t="s">
        <v>4403</v>
      </c>
      <c r="D916" t="s">
        <v>17156</v>
      </c>
      <c r="E916" t="s">
        <v>4403</v>
      </c>
      <c r="F916" t="s">
        <v>29372</v>
      </c>
      <c r="G916" t="s">
        <v>29381</v>
      </c>
      <c r="H916" t="s">
        <v>11048</v>
      </c>
      <c r="I916" t="s">
        <v>3597</v>
      </c>
      <c r="J916" t="s">
        <v>30218</v>
      </c>
      <c r="K916" t="s">
        <v>38485</v>
      </c>
      <c r="M916" t="s">
        <v>39098</v>
      </c>
      <c r="N916" t="s">
        <v>42669</v>
      </c>
      <c r="O916" t="s">
        <v>42670</v>
      </c>
      <c r="P916">
        <v>0</v>
      </c>
      <c r="Q916">
        <v>2</v>
      </c>
      <c r="R916" t="s">
        <v>42672</v>
      </c>
      <c r="S916" t="s">
        <v>42781</v>
      </c>
      <c r="T916" t="s">
        <v>44414</v>
      </c>
      <c r="U916" t="s">
        <v>45650</v>
      </c>
      <c r="W916" t="s">
        <v>39098</v>
      </c>
      <c r="X916" t="s">
        <v>42673</v>
      </c>
    </row>
    <row r="917" spans="1:24">
      <c r="A917">
        <f>HYPERLINK("https://www.philgeps.gov.ph/GEPSNONPILOT/Tender/SplashBidNoticeAbstractUI.aspx?menuIndex=3&amp;refID=7193981&amp;Result=3","7193981")</f>
        <v>0</v>
      </c>
      <c r="B917" t="s">
        <v>372</v>
      </c>
      <c r="C917" t="s">
        <v>4404</v>
      </c>
      <c r="D917" t="s">
        <v>17169</v>
      </c>
      <c r="E917" t="s">
        <v>18075</v>
      </c>
      <c r="F917" t="s">
        <v>29372</v>
      </c>
      <c r="G917" t="s">
        <v>29379</v>
      </c>
      <c r="H917" t="s">
        <v>11048</v>
      </c>
      <c r="I917" t="s">
        <v>8614</v>
      </c>
      <c r="J917" t="s">
        <v>29708</v>
      </c>
      <c r="K917" t="s">
        <v>38491</v>
      </c>
      <c r="M917" t="s">
        <v>39133</v>
      </c>
      <c r="N917" t="s">
        <v>42669</v>
      </c>
      <c r="O917" t="s">
        <v>42670</v>
      </c>
      <c r="P917">
        <v>0</v>
      </c>
      <c r="Q917">
        <v>4</v>
      </c>
      <c r="R917" t="s">
        <v>42672</v>
      </c>
      <c r="S917" t="s">
        <v>42781</v>
      </c>
      <c r="T917" t="s">
        <v>44429</v>
      </c>
      <c r="U917" t="s">
        <v>45651</v>
      </c>
      <c r="W917" t="s">
        <v>39133</v>
      </c>
      <c r="X917" t="s">
        <v>42673</v>
      </c>
    </row>
    <row r="918" spans="1:24">
      <c r="A918">
        <f>HYPERLINK("https://www.philgeps.gov.ph/GEPSNONPILOT/Tender/SplashBidNoticeAbstractUI.aspx?menuIndex=3&amp;refID=7193978&amp;Result=3","7193978")</f>
        <v>0</v>
      </c>
      <c r="B918" t="s">
        <v>373</v>
      </c>
      <c r="C918" t="s">
        <v>4405</v>
      </c>
      <c r="D918" t="s">
        <v>17210</v>
      </c>
      <c r="E918" t="s">
        <v>18076</v>
      </c>
      <c r="F918" t="s">
        <v>29372</v>
      </c>
      <c r="G918" t="s">
        <v>29380</v>
      </c>
      <c r="H918" t="s">
        <v>29389</v>
      </c>
      <c r="I918" t="s">
        <v>10408</v>
      </c>
      <c r="J918" t="s">
        <v>30233</v>
      </c>
      <c r="K918" t="s">
        <v>38515</v>
      </c>
      <c r="M918" t="s">
        <v>39134</v>
      </c>
      <c r="N918" t="s">
        <v>42669</v>
      </c>
      <c r="O918" t="s">
        <v>42670</v>
      </c>
      <c r="P918">
        <v>0</v>
      </c>
      <c r="Q918">
        <v>0</v>
      </c>
      <c r="R918" t="s">
        <v>42672</v>
      </c>
      <c r="S918" t="s">
        <v>42781</v>
      </c>
      <c r="T918" t="s">
        <v>44409</v>
      </c>
      <c r="U918" t="s">
        <v>45652</v>
      </c>
      <c r="W918" t="s">
        <v>39134</v>
      </c>
      <c r="X918" t="s">
        <v>42673</v>
      </c>
    </row>
    <row r="919" spans="1:24">
      <c r="A919">
        <f>HYPERLINK("https://www.philgeps.gov.ph/GEPSNONPILOT/Tender/SplashBidNoticeAbstractUI.aspx?menuIndex=3&amp;refID=7193976&amp;Result=3","7193976")</f>
        <v>0</v>
      </c>
      <c r="B919" t="s">
        <v>297</v>
      </c>
      <c r="C919" t="s">
        <v>4406</v>
      </c>
      <c r="D919" t="s">
        <v>17141</v>
      </c>
      <c r="E919" t="s">
        <v>18077</v>
      </c>
      <c r="F919" t="s">
        <v>29372</v>
      </c>
      <c r="G919" t="s">
        <v>29379</v>
      </c>
      <c r="H919" t="s">
        <v>29390</v>
      </c>
      <c r="I919" t="s">
        <v>29409</v>
      </c>
      <c r="J919" t="s">
        <v>29587</v>
      </c>
      <c r="K919" t="s">
        <v>38510</v>
      </c>
      <c r="M919" t="s">
        <v>39056</v>
      </c>
      <c r="N919" t="s">
        <v>42669</v>
      </c>
      <c r="O919" t="s">
        <v>42670</v>
      </c>
      <c r="P919">
        <v>0</v>
      </c>
      <c r="Q919">
        <v>24</v>
      </c>
      <c r="R919" t="s">
        <v>42672</v>
      </c>
      <c r="S919" t="s">
        <v>42781</v>
      </c>
      <c r="T919" t="s">
        <v>44417</v>
      </c>
      <c r="U919" t="s">
        <v>45653</v>
      </c>
      <c r="W919" t="s">
        <v>39056</v>
      </c>
      <c r="X919" t="s">
        <v>42673</v>
      </c>
    </row>
    <row r="920" spans="1:24">
      <c r="A920">
        <f>HYPERLINK("https://www.philgeps.gov.ph/GEPSNONPILOT/Tender/SplashBidNoticeAbstractUI.aspx?menuIndex=3&amp;refID=7193993&amp;Result=3","7193993")</f>
        <v>0</v>
      </c>
      <c r="B920" t="s">
        <v>372</v>
      </c>
      <c r="C920" t="s">
        <v>4407</v>
      </c>
      <c r="D920" t="s">
        <v>17169</v>
      </c>
      <c r="E920" t="s">
        <v>18078</v>
      </c>
      <c r="F920" t="s">
        <v>29372</v>
      </c>
      <c r="G920" t="s">
        <v>29379</v>
      </c>
      <c r="H920" t="s">
        <v>11048</v>
      </c>
      <c r="I920" t="s">
        <v>29411</v>
      </c>
      <c r="J920" t="s">
        <v>29799</v>
      </c>
      <c r="K920" t="s">
        <v>38491</v>
      </c>
      <c r="M920" t="s">
        <v>39133</v>
      </c>
      <c r="N920" t="s">
        <v>42669</v>
      </c>
      <c r="O920" t="s">
        <v>42670</v>
      </c>
      <c r="P920">
        <v>0</v>
      </c>
      <c r="Q920">
        <v>1</v>
      </c>
      <c r="R920" t="s">
        <v>42672</v>
      </c>
      <c r="S920" t="s">
        <v>42781</v>
      </c>
      <c r="T920" t="s">
        <v>44429</v>
      </c>
      <c r="U920" t="s">
        <v>45654</v>
      </c>
      <c r="W920" t="s">
        <v>39133</v>
      </c>
      <c r="X920" t="s">
        <v>42673</v>
      </c>
    </row>
    <row r="921" spans="1:24">
      <c r="A921">
        <f>HYPERLINK("https://www.philgeps.gov.ph/GEPSNONPILOT/Tender/SplashBidNoticeAbstractUI.aspx?menuIndex=3&amp;refID=7181735&amp;Result=3","7181735")</f>
        <v>0</v>
      </c>
      <c r="B921" t="s">
        <v>374</v>
      </c>
      <c r="C921" t="s">
        <v>4408</v>
      </c>
      <c r="D921" t="s">
        <v>17172</v>
      </c>
      <c r="E921" t="s">
        <v>18079</v>
      </c>
      <c r="F921" t="s">
        <v>29372</v>
      </c>
      <c r="G921" t="s">
        <v>29379</v>
      </c>
      <c r="H921" t="s">
        <v>11048</v>
      </c>
      <c r="I921" t="s">
        <v>29407</v>
      </c>
      <c r="J921" t="s">
        <v>29526</v>
      </c>
      <c r="K921" t="s">
        <v>38485</v>
      </c>
      <c r="M921" t="s">
        <v>39135</v>
      </c>
      <c r="N921" t="s">
        <v>42669</v>
      </c>
      <c r="O921" t="s">
        <v>42670</v>
      </c>
      <c r="P921">
        <v>0</v>
      </c>
      <c r="Q921">
        <v>2</v>
      </c>
      <c r="R921" t="s">
        <v>42673</v>
      </c>
      <c r="S921" t="s">
        <v>42784</v>
      </c>
      <c r="T921" t="s">
        <v>44401</v>
      </c>
      <c r="U921" t="s">
        <v>45655</v>
      </c>
      <c r="V921" t="s">
        <v>56435</v>
      </c>
      <c r="W921" t="s">
        <v>39135</v>
      </c>
      <c r="X921" t="s">
        <v>42679</v>
      </c>
    </row>
    <row r="922" spans="1:24">
      <c r="A922">
        <f>HYPERLINK("https://www.philgeps.gov.ph/GEPSNONPILOT/Tender/SplashBidNoticeAbstractUI.aspx?menuIndex=3&amp;refID=7193982&amp;Result=3","7193982")</f>
        <v>0</v>
      </c>
      <c r="B922" t="s">
        <v>235</v>
      </c>
      <c r="C922" t="s">
        <v>4409</v>
      </c>
      <c r="D922" t="s">
        <v>17185</v>
      </c>
      <c r="E922" t="s">
        <v>17773</v>
      </c>
      <c r="F922" t="s">
        <v>29372</v>
      </c>
      <c r="G922" t="s">
        <v>29383</v>
      </c>
      <c r="H922" t="s">
        <v>11048</v>
      </c>
      <c r="I922" t="s">
        <v>29407</v>
      </c>
      <c r="J922" t="s">
        <v>30234</v>
      </c>
      <c r="K922" t="s">
        <v>38510</v>
      </c>
      <c r="M922" t="s">
        <v>38994</v>
      </c>
      <c r="N922" t="s">
        <v>42669</v>
      </c>
      <c r="O922" t="s">
        <v>42670</v>
      </c>
      <c r="P922">
        <v>0</v>
      </c>
      <c r="Q922">
        <v>1</v>
      </c>
      <c r="R922" t="s">
        <v>42672</v>
      </c>
      <c r="S922" t="s">
        <v>42781</v>
      </c>
      <c r="T922" t="s">
        <v>44387</v>
      </c>
      <c r="U922" t="s">
        <v>45656</v>
      </c>
      <c r="W922" t="s">
        <v>38994</v>
      </c>
      <c r="X922" t="s">
        <v>42673</v>
      </c>
    </row>
    <row r="923" spans="1:24">
      <c r="A923">
        <f>HYPERLINK("https://www.philgeps.gov.ph/GEPSNONPILOT/Tender/SplashBidNoticeAbstractUI.aspx?menuIndex=3&amp;refID=7175495&amp;Result=3","7175495")</f>
        <v>0</v>
      </c>
      <c r="B923" t="s">
        <v>374</v>
      </c>
      <c r="C923" t="s">
        <v>4410</v>
      </c>
      <c r="D923" t="s">
        <v>17172</v>
      </c>
      <c r="E923" t="s">
        <v>18080</v>
      </c>
      <c r="F923" t="s">
        <v>29372</v>
      </c>
      <c r="G923" t="s">
        <v>29379</v>
      </c>
      <c r="H923" t="s">
        <v>11048</v>
      </c>
      <c r="I923" t="s">
        <v>9642</v>
      </c>
      <c r="J923" t="s">
        <v>30235</v>
      </c>
      <c r="K923" t="s">
        <v>38485</v>
      </c>
      <c r="M923" t="s">
        <v>39135</v>
      </c>
      <c r="N923" t="s">
        <v>42669</v>
      </c>
      <c r="O923" t="s">
        <v>42670</v>
      </c>
      <c r="P923">
        <v>0</v>
      </c>
      <c r="Q923">
        <v>7</v>
      </c>
      <c r="R923" t="s">
        <v>42673</v>
      </c>
      <c r="S923" t="s">
        <v>42784</v>
      </c>
      <c r="T923" t="s">
        <v>44401</v>
      </c>
      <c r="U923" t="s">
        <v>45657</v>
      </c>
      <c r="V923" t="s">
        <v>56436</v>
      </c>
      <c r="W923" t="s">
        <v>39135</v>
      </c>
      <c r="X923" t="s">
        <v>42683</v>
      </c>
    </row>
    <row r="924" spans="1:24">
      <c r="A924">
        <f>HYPERLINK("https://www.philgeps.gov.ph/GEPSNONPILOT/Tender/SplashBidNoticeAbstractUI.aspx?menuIndex=3&amp;refID=7175452&amp;Result=3","7175452")</f>
        <v>0</v>
      </c>
      <c r="B924" t="s">
        <v>374</v>
      </c>
      <c r="C924" t="s">
        <v>4411</v>
      </c>
      <c r="D924" t="s">
        <v>17172</v>
      </c>
      <c r="E924" t="s">
        <v>18081</v>
      </c>
      <c r="F924" t="s">
        <v>29372</v>
      </c>
      <c r="G924" t="s">
        <v>29379</v>
      </c>
      <c r="H924" t="s">
        <v>11048</v>
      </c>
      <c r="I924" t="s">
        <v>29426</v>
      </c>
      <c r="J924" t="s">
        <v>30236</v>
      </c>
      <c r="K924" t="s">
        <v>38485</v>
      </c>
      <c r="M924" t="s">
        <v>39135</v>
      </c>
      <c r="N924" t="s">
        <v>42669</v>
      </c>
      <c r="O924" t="s">
        <v>42670</v>
      </c>
      <c r="P924">
        <v>0</v>
      </c>
      <c r="Q924">
        <v>0</v>
      </c>
      <c r="R924" t="s">
        <v>42673</v>
      </c>
      <c r="S924" t="s">
        <v>42784</v>
      </c>
      <c r="T924" t="s">
        <v>44401</v>
      </c>
      <c r="U924" t="s">
        <v>45658</v>
      </c>
      <c r="V924" t="s">
        <v>56435</v>
      </c>
      <c r="W924" t="s">
        <v>39135</v>
      </c>
      <c r="X924" t="s">
        <v>42683</v>
      </c>
    </row>
    <row r="925" spans="1:24">
      <c r="A925">
        <f>HYPERLINK("https://www.philgeps.gov.ph/GEPSNONPILOT/Tender/SplashBidNoticeAbstractUI.aspx?menuIndex=3&amp;refID=7175423&amp;Result=3","7175423")</f>
        <v>0</v>
      </c>
      <c r="B925" t="s">
        <v>374</v>
      </c>
      <c r="C925" t="s">
        <v>4412</v>
      </c>
      <c r="D925" t="s">
        <v>17172</v>
      </c>
      <c r="E925" t="s">
        <v>18082</v>
      </c>
      <c r="F925" t="s">
        <v>29372</v>
      </c>
      <c r="G925" t="s">
        <v>29382</v>
      </c>
      <c r="H925" t="s">
        <v>11048</v>
      </c>
      <c r="I925" t="s">
        <v>3839</v>
      </c>
      <c r="J925" t="s">
        <v>29625</v>
      </c>
      <c r="K925" t="s">
        <v>38485</v>
      </c>
      <c r="M925" t="s">
        <v>39135</v>
      </c>
      <c r="N925" t="s">
        <v>42669</v>
      </c>
      <c r="O925" t="s">
        <v>42670</v>
      </c>
      <c r="P925">
        <v>0</v>
      </c>
      <c r="Q925">
        <v>3</v>
      </c>
      <c r="R925" t="s">
        <v>42673</v>
      </c>
      <c r="S925" t="s">
        <v>42784</v>
      </c>
      <c r="T925" t="s">
        <v>44401</v>
      </c>
      <c r="U925" t="s">
        <v>45659</v>
      </c>
      <c r="V925" t="s">
        <v>56437</v>
      </c>
      <c r="W925" t="s">
        <v>39135</v>
      </c>
      <c r="X925" t="s">
        <v>42683</v>
      </c>
    </row>
    <row r="926" spans="1:24">
      <c r="A926">
        <f>HYPERLINK("https://www.philgeps.gov.ph/GEPSNONPILOT/Tender/SplashBidNoticeAbstractUI.aspx?menuIndex=3&amp;refID=7193974&amp;Result=3","7193974")</f>
        <v>0</v>
      </c>
      <c r="B926" t="s">
        <v>365</v>
      </c>
      <c r="C926" t="s">
        <v>4413</v>
      </c>
      <c r="D926" t="s">
        <v>17143</v>
      </c>
      <c r="E926" t="s">
        <v>18083</v>
      </c>
      <c r="F926" t="s">
        <v>29372</v>
      </c>
      <c r="G926" t="s">
        <v>29379</v>
      </c>
      <c r="H926" t="s">
        <v>11048</v>
      </c>
      <c r="I926" t="s">
        <v>14920</v>
      </c>
      <c r="J926" t="s">
        <v>29532</v>
      </c>
      <c r="K926" t="s">
        <v>38488</v>
      </c>
      <c r="M926" t="s">
        <v>39125</v>
      </c>
      <c r="N926" t="s">
        <v>42669</v>
      </c>
      <c r="O926" t="s">
        <v>42670</v>
      </c>
      <c r="P926">
        <v>0</v>
      </c>
      <c r="Q926">
        <v>0</v>
      </c>
      <c r="R926" t="s">
        <v>42672</v>
      </c>
      <c r="S926" t="s">
        <v>42781</v>
      </c>
      <c r="T926" t="s">
        <v>44427</v>
      </c>
      <c r="U926" t="s">
        <v>45660</v>
      </c>
      <c r="W926" t="s">
        <v>58010</v>
      </c>
      <c r="X926" t="s">
        <v>42673</v>
      </c>
    </row>
    <row r="927" spans="1:24">
      <c r="A927">
        <f>HYPERLINK("https://www.philgeps.gov.ph/GEPSNONPILOT/Tender/SplashBidNoticeAbstractUI.aspx?menuIndex=3&amp;refID=7173052&amp;Result=3","7173052")</f>
        <v>0</v>
      </c>
      <c r="B927" t="s">
        <v>374</v>
      </c>
      <c r="C927" t="s">
        <v>4414</v>
      </c>
      <c r="D927" t="s">
        <v>17172</v>
      </c>
      <c r="E927" t="s">
        <v>18084</v>
      </c>
      <c r="F927" t="s">
        <v>29372</v>
      </c>
      <c r="G927" t="s">
        <v>29382</v>
      </c>
      <c r="H927" t="s">
        <v>11048</v>
      </c>
      <c r="I927" t="s">
        <v>5383</v>
      </c>
      <c r="J927" t="s">
        <v>30237</v>
      </c>
      <c r="K927" t="s">
        <v>38485</v>
      </c>
      <c r="M927" t="s">
        <v>39135</v>
      </c>
      <c r="N927" t="s">
        <v>42669</v>
      </c>
      <c r="O927" t="s">
        <v>42670</v>
      </c>
      <c r="P927">
        <v>0</v>
      </c>
      <c r="Q927">
        <v>0</v>
      </c>
      <c r="R927" t="s">
        <v>42673</v>
      </c>
      <c r="S927" t="s">
        <v>42784</v>
      </c>
      <c r="T927" t="s">
        <v>44401</v>
      </c>
      <c r="U927" t="s">
        <v>45661</v>
      </c>
      <c r="V927" t="s">
        <v>56438</v>
      </c>
      <c r="W927" t="s">
        <v>39135</v>
      </c>
      <c r="X927" t="s">
        <v>42684</v>
      </c>
    </row>
    <row r="928" spans="1:24">
      <c r="A928">
        <f>HYPERLINK("https://www.philgeps.gov.ph/GEPSNONPILOT/Tender/SplashBidNoticeAbstractUI.aspx?menuIndex=3&amp;refID=7173029&amp;Result=3","7173029")</f>
        <v>0</v>
      </c>
      <c r="B928" t="s">
        <v>374</v>
      </c>
      <c r="C928" t="s">
        <v>4415</v>
      </c>
      <c r="D928" t="s">
        <v>17172</v>
      </c>
      <c r="E928" t="s">
        <v>18085</v>
      </c>
      <c r="F928" t="s">
        <v>29372</v>
      </c>
      <c r="G928" t="s">
        <v>29379</v>
      </c>
      <c r="H928" t="s">
        <v>11048</v>
      </c>
      <c r="I928" t="s">
        <v>29444</v>
      </c>
      <c r="J928" t="s">
        <v>30238</v>
      </c>
      <c r="K928" t="s">
        <v>38485</v>
      </c>
      <c r="M928" t="s">
        <v>39135</v>
      </c>
      <c r="N928" t="s">
        <v>42669</v>
      </c>
      <c r="O928" t="s">
        <v>42670</v>
      </c>
      <c r="P928">
        <v>0</v>
      </c>
      <c r="Q928">
        <v>3</v>
      </c>
      <c r="R928" t="s">
        <v>42673</v>
      </c>
      <c r="S928" t="s">
        <v>42784</v>
      </c>
      <c r="T928" t="s">
        <v>44401</v>
      </c>
      <c r="U928" t="s">
        <v>45662</v>
      </c>
      <c r="V928" t="s">
        <v>56439</v>
      </c>
      <c r="W928" t="s">
        <v>39135</v>
      </c>
      <c r="X928" t="s">
        <v>42684</v>
      </c>
    </row>
    <row r="929" spans="1:24">
      <c r="A929">
        <f>HYPERLINK("https://www.philgeps.gov.ph/GEPSNONPILOT/Tender/SplashBidNoticeAbstractUI.aspx?menuIndex=3&amp;refID=7171999-2&amp;Result=3","7171999-2")</f>
        <v>0</v>
      </c>
      <c r="B929" t="s">
        <v>375</v>
      </c>
      <c r="C929" t="s">
        <v>4416</v>
      </c>
      <c r="D929" t="s">
        <v>17141</v>
      </c>
      <c r="E929" t="s">
        <v>18086</v>
      </c>
      <c r="F929" t="s">
        <v>29372</v>
      </c>
      <c r="G929" t="s">
        <v>29380</v>
      </c>
      <c r="H929" t="s">
        <v>29391</v>
      </c>
      <c r="I929" t="s">
        <v>29391</v>
      </c>
      <c r="J929" t="s">
        <v>30239</v>
      </c>
      <c r="K929" t="s">
        <v>38495</v>
      </c>
      <c r="M929" t="s">
        <v>39136</v>
      </c>
      <c r="N929" t="s">
        <v>42669</v>
      </c>
      <c r="O929" t="s">
        <v>42670</v>
      </c>
      <c r="Q929">
        <v>1</v>
      </c>
      <c r="R929" t="s">
        <v>42673</v>
      </c>
      <c r="S929" t="s">
        <v>42785</v>
      </c>
      <c r="T929" t="s">
        <v>44355</v>
      </c>
      <c r="U929" t="s">
        <v>45663</v>
      </c>
      <c r="V929" t="s">
        <v>56440</v>
      </c>
      <c r="W929" t="s">
        <v>58011</v>
      </c>
      <c r="X929" t="s">
        <v>42674</v>
      </c>
    </row>
    <row r="930" spans="1:24">
      <c r="A930">
        <f>HYPERLINK("https://www.philgeps.gov.ph/GEPSNONPILOT/Tender/SplashBidNoticeAbstractUI.aspx?menuIndex=3&amp;refID=7170716&amp;Result=3","7170716")</f>
        <v>0</v>
      </c>
      <c r="B930" t="s">
        <v>376</v>
      </c>
      <c r="C930" t="s">
        <v>4417</v>
      </c>
      <c r="D930" t="s">
        <v>17141</v>
      </c>
      <c r="E930" t="s">
        <v>18087</v>
      </c>
      <c r="F930" t="s">
        <v>29372</v>
      </c>
      <c r="G930" t="s">
        <v>29380</v>
      </c>
      <c r="H930" t="s">
        <v>11048</v>
      </c>
      <c r="I930" t="s">
        <v>3670</v>
      </c>
      <c r="J930" t="s">
        <v>30240</v>
      </c>
      <c r="K930" t="s">
        <v>38485</v>
      </c>
      <c r="M930" t="s">
        <v>39137</v>
      </c>
      <c r="N930" t="s">
        <v>42669</v>
      </c>
      <c r="O930" t="s">
        <v>42670</v>
      </c>
      <c r="P930">
        <v>0</v>
      </c>
      <c r="Q930">
        <v>4</v>
      </c>
      <c r="R930" t="s">
        <v>42673</v>
      </c>
      <c r="S930" t="s">
        <v>42784</v>
      </c>
      <c r="T930" t="s">
        <v>44492</v>
      </c>
      <c r="U930" t="s">
        <v>45664</v>
      </c>
      <c r="W930" t="s">
        <v>39137</v>
      </c>
      <c r="X930" t="s">
        <v>42685</v>
      </c>
    </row>
    <row r="931" spans="1:24">
      <c r="A931">
        <f>HYPERLINK("https://www.philgeps.gov.ph/GEPSNONPILOT/Tender/SplashBidNoticeAbstractUI.aspx?menuIndex=3&amp;refID=7193937&amp;Result=3","7193937")</f>
        <v>0</v>
      </c>
      <c r="B931" t="s">
        <v>367</v>
      </c>
      <c r="C931" t="s">
        <v>4418</v>
      </c>
      <c r="D931" t="s">
        <v>17141</v>
      </c>
      <c r="E931" t="s">
        <v>18088</v>
      </c>
      <c r="F931" t="s">
        <v>29372</v>
      </c>
      <c r="G931" t="s">
        <v>29383</v>
      </c>
      <c r="H931" t="s">
        <v>11048</v>
      </c>
      <c r="I931" t="s">
        <v>29409</v>
      </c>
      <c r="J931" t="s">
        <v>29764</v>
      </c>
      <c r="K931" t="s">
        <v>38488</v>
      </c>
      <c r="M931" t="s">
        <v>39127</v>
      </c>
      <c r="N931" t="s">
        <v>42669</v>
      </c>
      <c r="O931" t="s">
        <v>42670</v>
      </c>
      <c r="P931">
        <v>0</v>
      </c>
      <c r="Q931">
        <v>23</v>
      </c>
      <c r="R931" t="s">
        <v>42672</v>
      </c>
      <c r="S931" t="s">
        <v>42781</v>
      </c>
      <c r="T931" t="s">
        <v>44491</v>
      </c>
      <c r="U931" t="s">
        <v>45665</v>
      </c>
      <c r="W931" t="s">
        <v>39127</v>
      </c>
      <c r="X931" t="s">
        <v>42673</v>
      </c>
    </row>
    <row r="932" spans="1:24">
      <c r="A932">
        <f>HYPERLINK("https://www.philgeps.gov.ph/GEPSNONPILOT/Tender/SplashBidNoticeAbstractUI.aspx?menuIndex=3&amp;refID=7149696&amp;Result=3","7149696")</f>
        <v>0</v>
      </c>
      <c r="B932" t="s">
        <v>354</v>
      </c>
      <c r="C932" t="s">
        <v>4419</v>
      </c>
      <c r="D932" t="s">
        <v>17200</v>
      </c>
      <c r="E932" t="s">
        <v>18089</v>
      </c>
      <c r="F932" t="s">
        <v>29372</v>
      </c>
      <c r="G932" t="s">
        <v>29380</v>
      </c>
      <c r="H932" t="s">
        <v>29389</v>
      </c>
      <c r="I932" t="s">
        <v>29453</v>
      </c>
      <c r="J932" t="s">
        <v>29767</v>
      </c>
      <c r="K932" t="s">
        <v>38485</v>
      </c>
      <c r="M932" t="s">
        <v>39113</v>
      </c>
      <c r="N932" t="s">
        <v>42669</v>
      </c>
      <c r="O932" t="s">
        <v>42670</v>
      </c>
      <c r="P932">
        <v>0</v>
      </c>
      <c r="Q932">
        <v>1</v>
      </c>
      <c r="R932" t="s">
        <v>42673</v>
      </c>
      <c r="S932" t="s">
        <v>42784</v>
      </c>
      <c r="T932" t="s">
        <v>44393</v>
      </c>
      <c r="U932" t="s">
        <v>45666</v>
      </c>
      <c r="W932" t="s">
        <v>39113</v>
      </c>
      <c r="X932" t="s">
        <v>42693</v>
      </c>
    </row>
    <row r="933" spans="1:24">
      <c r="A933">
        <f>HYPERLINK("https://www.philgeps.gov.ph/GEPSNONPILOT/Tender/SplashBidNoticeAbstractUI.aspx?menuIndex=3&amp;refID=7188307&amp;Result=3","7188307")</f>
        <v>0</v>
      </c>
      <c r="B933" t="s">
        <v>278</v>
      </c>
      <c r="C933" t="s">
        <v>4420</v>
      </c>
      <c r="D933" t="s">
        <v>17189</v>
      </c>
      <c r="E933" t="s">
        <v>4420</v>
      </c>
      <c r="F933" t="s">
        <v>29372</v>
      </c>
      <c r="G933" t="s">
        <v>29380</v>
      </c>
      <c r="H933" t="s">
        <v>11048</v>
      </c>
      <c r="I933" t="s">
        <v>29423</v>
      </c>
      <c r="J933" t="s">
        <v>29615</v>
      </c>
      <c r="K933" t="s">
        <v>38496</v>
      </c>
      <c r="M933" t="s">
        <v>39138</v>
      </c>
      <c r="N933" t="s">
        <v>42669</v>
      </c>
      <c r="O933" t="s">
        <v>42670</v>
      </c>
      <c r="P933">
        <v>0</v>
      </c>
      <c r="Q933">
        <v>2</v>
      </c>
      <c r="R933" t="s">
        <v>42673</v>
      </c>
      <c r="S933" t="s">
        <v>42784</v>
      </c>
      <c r="T933" t="s">
        <v>44395</v>
      </c>
      <c r="U933" t="s">
        <v>45667</v>
      </c>
      <c r="W933" t="s">
        <v>39138</v>
      </c>
      <c r="X933" t="s">
        <v>42677</v>
      </c>
    </row>
    <row r="934" spans="1:24">
      <c r="A934">
        <f>HYPERLINK("https://www.philgeps.gov.ph/GEPSNONPILOT/Tender/SplashBidNoticeAbstractUI.aspx?menuIndex=3&amp;refID=7193811&amp;Result=3","7193811")</f>
        <v>0</v>
      </c>
      <c r="B934" t="s">
        <v>377</v>
      </c>
      <c r="C934" t="s">
        <v>4421</v>
      </c>
      <c r="E934" t="s">
        <v>18090</v>
      </c>
      <c r="F934" t="s">
        <v>29372</v>
      </c>
      <c r="G934" t="s">
        <v>29380</v>
      </c>
      <c r="H934" t="s">
        <v>11048</v>
      </c>
      <c r="I934" t="s">
        <v>4709</v>
      </c>
      <c r="J934" t="s">
        <v>30241</v>
      </c>
      <c r="K934" t="s">
        <v>38490</v>
      </c>
      <c r="M934" t="s">
        <v>39139</v>
      </c>
      <c r="N934" t="s">
        <v>42669</v>
      </c>
      <c r="O934" t="s">
        <v>42670</v>
      </c>
      <c r="P934">
        <v>0</v>
      </c>
      <c r="Q934">
        <v>1</v>
      </c>
      <c r="R934" t="s">
        <v>42672</v>
      </c>
      <c r="S934" t="s">
        <v>42781</v>
      </c>
      <c r="T934" t="s">
        <v>44409</v>
      </c>
      <c r="U934" t="s">
        <v>45668</v>
      </c>
      <c r="W934" t="s">
        <v>39139</v>
      </c>
      <c r="X934" t="s">
        <v>42673</v>
      </c>
    </row>
    <row r="935" spans="1:24">
      <c r="A935">
        <f>HYPERLINK("https://www.philgeps.gov.ph/GEPSNONPILOT/Tender/SplashBidNoticeAbstractUI.aspx?menuIndex=3&amp;refID=7172196&amp;Result=3","7172196")</f>
        <v>0</v>
      </c>
      <c r="B935" t="s">
        <v>374</v>
      </c>
      <c r="C935" t="s">
        <v>4422</v>
      </c>
      <c r="D935" t="s">
        <v>17172</v>
      </c>
      <c r="E935" t="s">
        <v>18091</v>
      </c>
      <c r="F935" t="s">
        <v>29372</v>
      </c>
      <c r="G935" t="s">
        <v>29379</v>
      </c>
      <c r="H935" t="s">
        <v>11048</v>
      </c>
      <c r="I935" t="s">
        <v>8208</v>
      </c>
      <c r="J935" t="s">
        <v>29526</v>
      </c>
      <c r="K935" t="s">
        <v>38485</v>
      </c>
      <c r="M935" t="s">
        <v>39135</v>
      </c>
      <c r="N935" t="s">
        <v>42669</v>
      </c>
      <c r="O935" t="s">
        <v>42670</v>
      </c>
      <c r="P935">
        <v>0</v>
      </c>
      <c r="Q935">
        <v>0</v>
      </c>
      <c r="R935" t="s">
        <v>42673</v>
      </c>
      <c r="S935" t="s">
        <v>42784</v>
      </c>
      <c r="T935" t="s">
        <v>44401</v>
      </c>
      <c r="U935" t="s">
        <v>45669</v>
      </c>
      <c r="V935" t="s">
        <v>56441</v>
      </c>
      <c r="W935" t="s">
        <v>39135</v>
      </c>
      <c r="X935" t="s">
        <v>42684</v>
      </c>
    </row>
    <row r="936" spans="1:24">
      <c r="A936">
        <f>HYPERLINK("https://www.philgeps.gov.ph/GEPSNONPILOT/Tender/SplashBidNoticeAbstractUI.aspx?menuIndex=3&amp;refID=7188482&amp;Result=3","7188482")</f>
        <v>0</v>
      </c>
      <c r="B936" t="s">
        <v>378</v>
      </c>
      <c r="C936" t="s">
        <v>4423</v>
      </c>
      <c r="D936" t="s">
        <v>17151</v>
      </c>
      <c r="E936" t="s">
        <v>18092</v>
      </c>
      <c r="F936" t="s">
        <v>29372</v>
      </c>
      <c r="G936" t="s">
        <v>29379</v>
      </c>
      <c r="H936" t="s">
        <v>11048</v>
      </c>
      <c r="I936" t="s">
        <v>3670</v>
      </c>
      <c r="J936" t="s">
        <v>30242</v>
      </c>
      <c r="K936" t="s">
        <v>38490</v>
      </c>
      <c r="M936" t="s">
        <v>39140</v>
      </c>
      <c r="N936" t="s">
        <v>42669</v>
      </c>
      <c r="O936" t="s">
        <v>42670</v>
      </c>
      <c r="P936">
        <v>0</v>
      </c>
      <c r="Q936">
        <v>0</v>
      </c>
      <c r="R936" t="s">
        <v>42673</v>
      </c>
      <c r="S936" t="s">
        <v>42784</v>
      </c>
      <c r="T936" t="s">
        <v>44493</v>
      </c>
      <c r="U936" t="s">
        <v>45670</v>
      </c>
      <c r="W936" t="s">
        <v>39140</v>
      </c>
      <c r="X936" t="s">
        <v>42677</v>
      </c>
    </row>
    <row r="937" spans="1:24">
      <c r="A937">
        <f>HYPERLINK("https://www.philgeps.gov.ph/GEPSNONPILOT/Tender/SplashBidNoticeAbstractUI.aspx?menuIndex=3&amp;refID=7188442&amp;Result=3","7188442")</f>
        <v>0</v>
      </c>
      <c r="B937" t="s">
        <v>378</v>
      </c>
      <c r="C937" t="s">
        <v>4424</v>
      </c>
      <c r="D937" t="s">
        <v>17151</v>
      </c>
      <c r="E937" t="s">
        <v>18093</v>
      </c>
      <c r="F937" t="s">
        <v>29372</v>
      </c>
      <c r="G937" t="s">
        <v>29379</v>
      </c>
      <c r="H937" t="s">
        <v>11048</v>
      </c>
      <c r="I937" t="s">
        <v>3629</v>
      </c>
      <c r="J937" t="s">
        <v>29708</v>
      </c>
      <c r="K937" t="s">
        <v>38490</v>
      </c>
      <c r="M937" t="s">
        <v>39140</v>
      </c>
      <c r="N937" t="s">
        <v>42669</v>
      </c>
      <c r="O937" t="s">
        <v>42670</v>
      </c>
      <c r="P937">
        <v>0</v>
      </c>
      <c r="Q937">
        <v>0</v>
      </c>
      <c r="R937" t="s">
        <v>42673</v>
      </c>
      <c r="S937" t="s">
        <v>42784</v>
      </c>
      <c r="T937" t="s">
        <v>44493</v>
      </c>
      <c r="U937" t="s">
        <v>45671</v>
      </c>
      <c r="W937" t="s">
        <v>39140</v>
      </c>
      <c r="X937" t="s">
        <v>42677</v>
      </c>
    </row>
    <row r="938" spans="1:24">
      <c r="A938">
        <f>HYPERLINK("https://www.philgeps.gov.ph/GEPSNONPILOT/Tender/SplashBidNoticeAbstractUI.aspx?menuIndex=3&amp;refID=7188420&amp;Result=3","7188420")</f>
        <v>0</v>
      </c>
      <c r="B938" t="s">
        <v>378</v>
      </c>
      <c r="C938" t="s">
        <v>4425</v>
      </c>
      <c r="D938" t="s">
        <v>17151</v>
      </c>
      <c r="E938" t="s">
        <v>18094</v>
      </c>
      <c r="F938" t="s">
        <v>29372</v>
      </c>
      <c r="G938" t="s">
        <v>29382</v>
      </c>
      <c r="H938" t="s">
        <v>11048</v>
      </c>
      <c r="I938" t="s">
        <v>4487</v>
      </c>
      <c r="J938" t="s">
        <v>30243</v>
      </c>
      <c r="K938" t="s">
        <v>38490</v>
      </c>
      <c r="M938" t="s">
        <v>39140</v>
      </c>
      <c r="N938" t="s">
        <v>42669</v>
      </c>
      <c r="O938" t="s">
        <v>42670</v>
      </c>
      <c r="P938">
        <v>0</v>
      </c>
      <c r="Q938">
        <v>1</v>
      </c>
      <c r="R938" t="s">
        <v>42673</v>
      </c>
      <c r="S938" t="s">
        <v>42784</v>
      </c>
      <c r="T938" t="s">
        <v>44493</v>
      </c>
      <c r="U938" t="s">
        <v>45672</v>
      </c>
      <c r="W938" t="s">
        <v>39140</v>
      </c>
      <c r="X938" t="s">
        <v>42677</v>
      </c>
    </row>
    <row r="939" spans="1:24">
      <c r="A939">
        <f>HYPERLINK("https://www.philgeps.gov.ph/GEPSNONPILOT/Tender/SplashBidNoticeAbstractUI.aspx?menuIndex=3&amp;refID=7188404&amp;Result=3","7188404")</f>
        <v>0</v>
      </c>
      <c r="B939" t="s">
        <v>278</v>
      </c>
      <c r="C939" t="s">
        <v>4426</v>
      </c>
      <c r="D939" t="s">
        <v>17189</v>
      </c>
      <c r="E939" t="s">
        <v>18095</v>
      </c>
      <c r="F939" t="s">
        <v>29372</v>
      </c>
      <c r="G939" t="s">
        <v>29380</v>
      </c>
      <c r="H939" t="s">
        <v>11048</v>
      </c>
      <c r="I939" t="s">
        <v>29423</v>
      </c>
      <c r="J939" t="s">
        <v>30244</v>
      </c>
      <c r="K939" t="s">
        <v>38496</v>
      </c>
      <c r="M939" t="s">
        <v>39138</v>
      </c>
      <c r="N939" t="s">
        <v>42669</v>
      </c>
      <c r="O939" t="s">
        <v>42670</v>
      </c>
      <c r="P939">
        <v>0</v>
      </c>
      <c r="Q939">
        <v>5</v>
      </c>
      <c r="R939" t="s">
        <v>42673</v>
      </c>
      <c r="S939" t="s">
        <v>42784</v>
      </c>
      <c r="T939" t="s">
        <v>44395</v>
      </c>
      <c r="U939" t="s">
        <v>45673</v>
      </c>
      <c r="W939" t="s">
        <v>39138</v>
      </c>
      <c r="X939" t="s">
        <v>42677</v>
      </c>
    </row>
    <row r="940" spans="1:24">
      <c r="A940">
        <f>HYPERLINK("https://www.philgeps.gov.ph/GEPSNONPILOT/Tender/SplashBidNoticeAbstractUI.aspx?menuIndex=3&amp;refID=7188362&amp;Result=3","7188362")</f>
        <v>0</v>
      </c>
      <c r="B940" t="s">
        <v>378</v>
      </c>
      <c r="C940" t="s">
        <v>4427</v>
      </c>
      <c r="D940" t="s">
        <v>17151</v>
      </c>
      <c r="E940" t="s">
        <v>18096</v>
      </c>
      <c r="F940" t="s">
        <v>29372</v>
      </c>
      <c r="G940" t="s">
        <v>29379</v>
      </c>
      <c r="H940" t="s">
        <v>11048</v>
      </c>
      <c r="I940" t="s">
        <v>3670</v>
      </c>
      <c r="J940" t="s">
        <v>29799</v>
      </c>
      <c r="K940" t="s">
        <v>38490</v>
      </c>
      <c r="M940" t="s">
        <v>39140</v>
      </c>
      <c r="N940" t="s">
        <v>42669</v>
      </c>
      <c r="O940" t="s">
        <v>42670</v>
      </c>
      <c r="P940">
        <v>0</v>
      </c>
      <c r="Q940">
        <v>0</v>
      </c>
      <c r="R940" t="s">
        <v>42673</v>
      </c>
      <c r="S940" t="s">
        <v>42784</v>
      </c>
      <c r="T940" t="s">
        <v>44493</v>
      </c>
      <c r="U940" t="s">
        <v>45674</v>
      </c>
      <c r="W940" t="s">
        <v>39140</v>
      </c>
      <c r="X940" t="s">
        <v>42677</v>
      </c>
    </row>
    <row r="941" spans="1:24">
      <c r="A941">
        <f>HYPERLINK("https://www.philgeps.gov.ph/GEPSNONPILOT/Tender/SplashBidNoticeAbstractUI.aspx?menuIndex=3&amp;refID=7177440&amp;Result=3","7177440")</f>
        <v>0</v>
      </c>
      <c r="B941" t="s">
        <v>379</v>
      </c>
      <c r="C941" t="s">
        <v>4428</v>
      </c>
      <c r="E941" t="s">
        <v>18097</v>
      </c>
      <c r="F941" t="s">
        <v>29372</v>
      </c>
      <c r="G941" t="s">
        <v>29379</v>
      </c>
      <c r="H941" t="s">
        <v>11048</v>
      </c>
      <c r="I941" t="s">
        <v>14920</v>
      </c>
      <c r="J941" t="s">
        <v>30245</v>
      </c>
      <c r="K941" t="s">
        <v>38490</v>
      </c>
      <c r="M941" t="s">
        <v>39141</v>
      </c>
      <c r="N941" t="s">
        <v>42669</v>
      </c>
      <c r="O941" t="s">
        <v>42670</v>
      </c>
      <c r="P941">
        <v>0</v>
      </c>
      <c r="Q941">
        <v>0</v>
      </c>
      <c r="R941" t="s">
        <v>42673</v>
      </c>
      <c r="S941" t="s">
        <v>42784</v>
      </c>
      <c r="T941" t="s">
        <v>44493</v>
      </c>
      <c r="U941" t="s">
        <v>45675</v>
      </c>
      <c r="W941" t="s">
        <v>39141</v>
      </c>
      <c r="X941" t="s">
        <v>42682</v>
      </c>
    </row>
    <row r="942" spans="1:24">
      <c r="A942">
        <f>HYPERLINK("https://www.philgeps.gov.ph/GEPSNONPILOT/Tender/SplashBidNoticeAbstractUI.aspx?menuIndex=3&amp;refID=7188223&amp;Result=3","7188223")</f>
        <v>0</v>
      </c>
      <c r="B942" t="s">
        <v>278</v>
      </c>
      <c r="C942" t="s">
        <v>4429</v>
      </c>
      <c r="D942" t="s">
        <v>17189</v>
      </c>
      <c r="E942" t="s">
        <v>18098</v>
      </c>
      <c r="F942" t="s">
        <v>29372</v>
      </c>
      <c r="G942" t="s">
        <v>29380</v>
      </c>
      <c r="H942" t="s">
        <v>11048</v>
      </c>
      <c r="I942" t="s">
        <v>29423</v>
      </c>
      <c r="J942" t="s">
        <v>30056</v>
      </c>
      <c r="K942" t="s">
        <v>38496</v>
      </c>
      <c r="M942" t="s">
        <v>39138</v>
      </c>
      <c r="N942" t="s">
        <v>42669</v>
      </c>
      <c r="O942" t="s">
        <v>42670</v>
      </c>
      <c r="P942">
        <v>0</v>
      </c>
      <c r="Q942">
        <v>2</v>
      </c>
      <c r="R942" t="s">
        <v>42673</v>
      </c>
      <c r="S942" t="s">
        <v>42784</v>
      </c>
      <c r="T942" t="s">
        <v>44494</v>
      </c>
      <c r="U942" t="s">
        <v>45676</v>
      </c>
      <c r="W942" t="s">
        <v>39138</v>
      </c>
      <c r="X942" t="s">
        <v>42677</v>
      </c>
    </row>
    <row r="943" spans="1:24">
      <c r="A943">
        <f>HYPERLINK("https://www.philgeps.gov.ph/GEPSNONPILOT/Tender/SplashBidNoticeAbstractUI.aspx?menuIndex=3&amp;refID=7186983&amp;Result=3","7186983")</f>
        <v>0</v>
      </c>
      <c r="B943" t="s">
        <v>380</v>
      </c>
      <c r="C943" t="s">
        <v>4430</v>
      </c>
      <c r="D943" t="s">
        <v>17160</v>
      </c>
      <c r="E943" t="s">
        <v>18099</v>
      </c>
      <c r="F943" t="s">
        <v>29372</v>
      </c>
      <c r="G943" t="s">
        <v>29382</v>
      </c>
      <c r="H943" t="s">
        <v>11048</v>
      </c>
      <c r="I943" t="s">
        <v>3670</v>
      </c>
      <c r="J943" t="s">
        <v>30000</v>
      </c>
      <c r="K943" t="s">
        <v>38528</v>
      </c>
      <c r="M943" t="s">
        <v>39142</v>
      </c>
      <c r="N943" t="s">
        <v>42669</v>
      </c>
      <c r="O943" t="s">
        <v>42670</v>
      </c>
      <c r="P943">
        <v>0</v>
      </c>
      <c r="Q943">
        <v>2</v>
      </c>
      <c r="R943" t="s">
        <v>42673</v>
      </c>
      <c r="S943" t="s">
        <v>42784</v>
      </c>
      <c r="T943" t="s">
        <v>44454</v>
      </c>
      <c r="U943" t="s">
        <v>45677</v>
      </c>
      <c r="W943" t="s">
        <v>39142</v>
      </c>
      <c r="X943" t="s">
        <v>42677</v>
      </c>
    </row>
    <row r="944" spans="1:24">
      <c r="A944">
        <f>HYPERLINK("https://www.philgeps.gov.ph/GEPSNONPILOT/Tender/SplashBidNoticeAbstractUI.aspx?menuIndex=3&amp;refID=7186625&amp;Result=3","7186625")</f>
        <v>0</v>
      </c>
      <c r="B944" t="s">
        <v>381</v>
      </c>
      <c r="C944" t="s">
        <v>4431</v>
      </c>
      <c r="D944" t="s">
        <v>17141</v>
      </c>
      <c r="E944" t="s">
        <v>18100</v>
      </c>
      <c r="F944" t="s">
        <v>29373</v>
      </c>
      <c r="G944" t="s">
        <v>29379</v>
      </c>
      <c r="H944" t="s">
        <v>11048</v>
      </c>
      <c r="I944" t="s">
        <v>4487</v>
      </c>
      <c r="J944" t="s">
        <v>30087</v>
      </c>
      <c r="K944" t="s">
        <v>38490</v>
      </c>
      <c r="M944" t="s">
        <v>39143</v>
      </c>
      <c r="N944" t="s">
        <v>42669</v>
      </c>
      <c r="O944" t="s">
        <v>42670</v>
      </c>
      <c r="P944">
        <v>0</v>
      </c>
      <c r="Q944">
        <v>4</v>
      </c>
      <c r="R944" t="s">
        <v>42673</v>
      </c>
      <c r="S944" t="s">
        <v>42784</v>
      </c>
      <c r="T944" t="s">
        <v>44356</v>
      </c>
      <c r="U944" t="s">
        <v>45678</v>
      </c>
      <c r="W944" t="s">
        <v>39143</v>
      </c>
      <c r="X944" t="s">
        <v>42678</v>
      </c>
    </row>
    <row r="945" spans="1:24">
      <c r="A945">
        <f>HYPERLINK("https://www.philgeps.gov.ph/GEPSNONPILOT/Tender/SplashBidNoticeAbstractUI.aspx?menuIndex=3&amp;refID=7172159&amp;Result=3","7172159")</f>
        <v>0</v>
      </c>
      <c r="B945" t="s">
        <v>374</v>
      </c>
      <c r="C945" t="s">
        <v>4432</v>
      </c>
      <c r="D945" t="s">
        <v>17172</v>
      </c>
      <c r="E945" t="s">
        <v>18101</v>
      </c>
      <c r="F945" t="s">
        <v>29372</v>
      </c>
      <c r="G945" t="s">
        <v>29379</v>
      </c>
      <c r="H945" t="s">
        <v>11048</v>
      </c>
      <c r="I945" t="s">
        <v>29432</v>
      </c>
      <c r="J945" t="s">
        <v>30246</v>
      </c>
      <c r="K945" t="s">
        <v>38485</v>
      </c>
      <c r="M945" t="s">
        <v>39135</v>
      </c>
      <c r="N945" t="s">
        <v>42669</v>
      </c>
      <c r="O945" t="s">
        <v>42670</v>
      </c>
      <c r="P945">
        <v>0</v>
      </c>
      <c r="Q945">
        <v>0</v>
      </c>
      <c r="R945" t="s">
        <v>42673</v>
      </c>
      <c r="S945" t="s">
        <v>42784</v>
      </c>
      <c r="T945" t="s">
        <v>44401</v>
      </c>
      <c r="U945" t="s">
        <v>45679</v>
      </c>
      <c r="V945" t="s">
        <v>56442</v>
      </c>
      <c r="W945" t="s">
        <v>39135</v>
      </c>
      <c r="X945" t="s">
        <v>42684</v>
      </c>
    </row>
    <row r="946" spans="1:24">
      <c r="A946">
        <f>HYPERLINK("https://www.philgeps.gov.ph/GEPSNONPILOT/Tender/SplashBidNoticeAbstractUI.aspx?menuIndex=3&amp;refID=7186202&amp;Result=3","7186202")</f>
        <v>0</v>
      </c>
      <c r="B946" t="s">
        <v>382</v>
      </c>
      <c r="C946" t="s">
        <v>4433</v>
      </c>
      <c r="D946" t="s">
        <v>17192</v>
      </c>
      <c r="E946" t="s">
        <v>18102</v>
      </c>
      <c r="F946" t="s">
        <v>29372</v>
      </c>
      <c r="G946" t="s">
        <v>29379</v>
      </c>
      <c r="H946" t="s">
        <v>11048</v>
      </c>
      <c r="I946" t="s">
        <v>29432</v>
      </c>
      <c r="J946" t="s">
        <v>30247</v>
      </c>
      <c r="K946" t="s">
        <v>38490</v>
      </c>
      <c r="M946" t="s">
        <v>39144</v>
      </c>
      <c r="N946" t="s">
        <v>42669</v>
      </c>
      <c r="O946" t="s">
        <v>42670</v>
      </c>
      <c r="P946">
        <v>0</v>
      </c>
      <c r="Q946">
        <v>2</v>
      </c>
      <c r="R946" t="s">
        <v>42673</v>
      </c>
      <c r="S946" t="s">
        <v>42784</v>
      </c>
      <c r="T946" t="s">
        <v>44451</v>
      </c>
      <c r="U946" t="s">
        <v>45680</v>
      </c>
      <c r="W946" t="s">
        <v>39144</v>
      </c>
      <c r="X946" t="s">
        <v>42678</v>
      </c>
    </row>
    <row r="947" spans="1:24">
      <c r="A947">
        <f>HYPERLINK("https://www.philgeps.gov.ph/GEPSNONPILOT/Tender/SplashBidNoticeAbstractUI.aspx?menuIndex=3&amp;refID=7188270&amp;Result=3","7188270")</f>
        <v>0</v>
      </c>
      <c r="B947" t="s">
        <v>278</v>
      </c>
      <c r="C947" t="s">
        <v>4434</v>
      </c>
      <c r="D947" t="s">
        <v>17189</v>
      </c>
      <c r="E947" t="s">
        <v>18103</v>
      </c>
      <c r="F947" t="s">
        <v>29372</v>
      </c>
      <c r="G947" t="s">
        <v>29380</v>
      </c>
      <c r="H947" t="s">
        <v>11048</v>
      </c>
      <c r="I947" t="s">
        <v>29459</v>
      </c>
      <c r="J947" t="s">
        <v>30248</v>
      </c>
      <c r="K947" t="s">
        <v>38496</v>
      </c>
      <c r="M947" t="s">
        <v>39138</v>
      </c>
      <c r="N947" t="s">
        <v>42669</v>
      </c>
      <c r="O947" t="s">
        <v>42670</v>
      </c>
      <c r="P947">
        <v>0</v>
      </c>
      <c r="Q947">
        <v>5</v>
      </c>
      <c r="R947" t="s">
        <v>42673</v>
      </c>
      <c r="S947" t="s">
        <v>42784</v>
      </c>
      <c r="T947" t="s">
        <v>44395</v>
      </c>
      <c r="U947" t="s">
        <v>45681</v>
      </c>
      <c r="W947" t="s">
        <v>39138</v>
      </c>
      <c r="X947" t="s">
        <v>42677</v>
      </c>
    </row>
    <row r="948" spans="1:24">
      <c r="A948">
        <f>HYPERLINK("https://www.philgeps.gov.ph/GEPSNONPILOT/Tender/SplashBidNoticeAbstractUI.aspx?menuIndex=3&amp;refID=7184377&amp;Result=3","7184377")</f>
        <v>0</v>
      </c>
      <c r="B948" t="s">
        <v>374</v>
      </c>
      <c r="C948" t="s">
        <v>4435</v>
      </c>
      <c r="D948" t="s">
        <v>17172</v>
      </c>
      <c r="E948" t="s">
        <v>18104</v>
      </c>
      <c r="F948" t="s">
        <v>29372</v>
      </c>
      <c r="G948" t="s">
        <v>29379</v>
      </c>
      <c r="H948" t="s">
        <v>11048</v>
      </c>
      <c r="I948" t="s">
        <v>29403</v>
      </c>
      <c r="J948" t="s">
        <v>30249</v>
      </c>
      <c r="K948" t="s">
        <v>38485</v>
      </c>
      <c r="M948" t="s">
        <v>39135</v>
      </c>
      <c r="N948" t="s">
        <v>42669</v>
      </c>
      <c r="O948" t="s">
        <v>42670</v>
      </c>
      <c r="P948">
        <v>0</v>
      </c>
      <c r="Q948">
        <v>0</v>
      </c>
      <c r="R948" t="s">
        <v>42673</v>
      </c>
      <c r="S948" t="s">
        <v>42784</v>
      </c>
      <c r="T948" t="s">
        <v>44401</v>
      </c>
      <c r="U948" t="s">
        <v>45682</v>
      </c>
      <c r="V948" t="s">
        <v>56443</v>
      </c>
      <c r="W948" t="s">
        <v>39135</v>
      </c>
      <c r="X948" t="s">
        <v>42678</v>
      </c>
    </row>
    <row r="949" spans="1:24">
      <c r="A949">
        <f>HYPERLINK("https://www.philgeps.gov.ph/GEPSNONPILOT/Tender/SplashBidNoticeAbstractUI.aspx?menuIndex=3&amp;refID=7187331&amp;Result=3","7187331")</f>
        <v>0</v>
      </c>
      <c r="B949" t="s">
        <v>383</v>
      </c>
      <c r="C949" t="s">
        <v>4436</v>
      </c>
      <c r="D949" t="s">
        <v>17159</v>
      </c>
      <c r="E949" t="s">
        <v>18105</v>
      </c>
      <c r="F949" t="s">
        <v>29372</v>
      </c>
      <c r="G949" t="s">
        <v>29379</v>
      </c>
      <c r="H949" t="s">
        <v>11048</v>
      </c>
      <c r="I949" t="s">
        <v>29393</v>
      </c>
      <c r="J949" t="s">
        <v>30250</v>
      </c>
      <c r="K949" t="s">
        <v>38485</v>
      </c>
      <c r="M949" t="s">
        <v>39145</v>
      </c>
      <c r="N949" t="s">
        <v>42669</v>
      </c>
      <c r="O949" t="s">
        <v>42670</v>
      </c>
      <c r="P949">
        <v>0</v>
      </c>
      <c r="Q949">
        <v>0</v>
      </c>
      <c r="R949" t="s">
        <v>42673</v>
      </c>
      <c r="S949" t="s">
        <v>42784</v>
      </c>
      <c r="T949" t="s">
        <v>44488</v>
      </c>
      <c r="U949" t="s">
        <v>45683</v>
      </c>
      <c r="W949" t="s">
        <v>39145</v>
      </c>
      <c r="X949" t="s">
        <v>42677</v>
      </c>
    </row>
    <row r="950" spans="1:24">
      <c r="A950">
        <f>HYPERLINK("https://www.philgeps.gov.ph/GEPSNONPILOT/Tender/SplashBidNoticeAbstractUI.aspx?menuIndex=3&amp;refID=7184356&amp;Result=3","7184356")</f>
        <v>0</v>
      </c>
      <c r="B950" t="s">
        <v>374</v>
      </c>
      <c r="C950" t="s">
        <v>4437</v>
      </c>
      <c r="D950" t="s">
        <v>17172</v>
      </c>
      <c r="E950" t="s">
        <v>18106</v>
      </c>
      <c r="F950" t="s">
        <v>29372</v>
      </c>
      <c r="G950" t="s">
        <v>29379</v>
      </c>
      <c r="H950" t="s">
        <v>11048</v>
      </c>
      <c r="I950" t="s">
        <v>29432</v>
      </c>
      <c r="J950" t="s">
        <v>30251</v>
      </c>
      <c r="K950" t="s">
        <v>38485</v>
      </c>
      <c r="M950" t="s">
        <v>39135</v>
      </c>
      <c r="N950" t="s">
        <v>42669</v>
      </c>
      <c r="O950" t="s">
        <v>42670</v>
      </c>
      <c r="P950">
        <v>0</v>
      </c>
      <c r="Q950">
        <v>1</v>
      </c>
      <c r="R950" t="s">
        <v>42673</v>
      </c>
      <c r="S950" t="s">
        <v>42784</v>
      </c>
      <c r="T950" t="s">
        <v>44401</v>
      </c>
      <c r="U950" t="s">
        <v>45684</v>
      </c>
      <c r="V950" t="s">
        <v>56444</v>
      </c>
      <c r="W950" t="s">
        <v>39135</v>
      </c>
      <c r="X950" t="s">
        <v>42678</v>
      </c>
    </row>
    <row r="951" spans="1:24">
      <c r="A951">
        <f>HYPERLINK("https://www.philgeps.gov.ph/GEPSNONPILOT/Tender/SplashBidNoticeAbstractUI.aspx?menuIndex=3&amp;refID=7184282&amp;Result=3","7184282")</f>
        <v>0</v>
      </c>
      <c r="B951" t="s">
        <v>374</v>
      </c>
      <c r="C951" t="s">
        <v>4438</v>
      </c>
      <c r="D951" t="s">
        <v>17172</v>
      </c>
      <c r="E951" t="s">
        <v>18107</v>
      </c>
      <c r="F951" t="s">
        <v>29372</v>
      </c>
      <c r="G951" t="s">
        <v>29382</v>
      </c>
      <c r="H951" t="s">
        <v>11048</v>
      </c>
      <c r="I951" t="s">
        <v>5383</v>
      </c>
      <c r="J951" t="s">
        <v>30252</v>
      </c>
      <c r="K951" t="s">
        <v>38485</v>
      </c>
      <c r="M951" t="s">
        <v>39135</v>
      </c>
      <c r="N951" t="s">
        <v>42669</v>
      </c>
      <c r="O951" t="s">
        <v>42670</v>
      </c>
      <c r="P951">
        <v>0</v>
      </c>
      <c r="Q951">
        <v>0</v>
      </c>
      <c r="R951" t="s">
        <v>42673</v>
      </c>
      <c r="S951" t="s">
        <v>42784</v>
      </c>
      <c r="T951" t="s">
        <v>44401</v>
      </c>
      <c r="U951" t="s">
        <v>45685</v>
      </c>
      <c r="V951" t="s">
        <v>56444</v>
      </c>
      <c r="W951" t="s">
        <v>39135</v>
      </c>
      <c r="X951" t="s">
        <v>42678</v>
      </c>
    </row>
    <row r="952" spans="1:24">
      <c r="A952">
        <f>HYPERLINK("https://www.philgeps.gov.ph/GEPSNONPILOT/Tender/SplashBidNoticeAbstractUI.aspx?menuIndex=3&amp;refID=7181748&amp;Result=3","7181748")</f>
        <v>0</v>
      </c>
      <c r="B952" t="s">
        <v>374</v>
      </c>
      <c r="C952" t="s">
        <v>4439</v>
      </c>
      <c r="D952" t="s">
        <v>17172</v>
      </c>
      <c r="E952" t="s">
        <v>18108</v>
      </c>
      <c r="F952" t="s">
        <v>29372</v>
      </c>
      <c r="G952" t="s">
        <v>29382</v>
      </c>
      <c r="H952" t="s">
        <v>11048</v>
      </c>
      <c r="I952" t="s">
        <v>8614</v>
      </c>
      <c r="J952" t="s">
        <v>30253</v>
      </c>
      <c r="K952" t="s">
        <v>38485</v>
      </c>
      <c r="M952" t="s">
        <v>39135</v>
      </c>
      <c r="N952" t="s">
        <v>42669</v>
      </c>
      <c r="O952" t="s">
        <v>42670</v>
      </c>
      <c r="P952">
        <v>0</v>
      </c>
      <c r="Q952">
        <v>2</v>
      </c>
      <c r="R952" t="s">
        <v>42673</v>
      </c>
      <c r="S952" t="s">
        <v>42784</v>
      </c>
      <c r="T952" t="s">
        <v>44401</v>
      </c>
      <c r="U952" t="s">
        <v>45686</v>
      </c>
      <c r="V952" t="s">
        <v>56445</v>
      </c>
      <c r="W952" t="s">
        <v>39135</v>
      </c>
      <c r="X952" t="s">
        <v>42679</v>
      </c>
    </row>
    <row r="953" spans="1:24">
      <c r="A953">
        <f>HYPERLINK("https://www.philgeps.gov.ph/GEPSNONPILOT/Tender/SplashBidNoticeAbstractUI.aspx?menuIndex=3&amp;refID=7177886&amp;Result=3","7177886")</f>
        <v>0</v>
      </c>
      <c r="B953" t="s">
        <v>384</v>
      </c>
      <c r="C953" t="s">
        <v>4440</v>
      </c>
      <c r="D953" t="s">
        <v>17189</v>
      </c>
      <c r="E953" t="s">
        <v>4440</v>
      </c>
      <c r="F953" t="s">
        <v>29375</v>
      </c>
      <c r="G953" t="s">
        <v>29383</v>
      </c>
      <c r="H953" t="s">
        <v>11048</v>
      </c>
      <c r="I953" t="s">
        <v>5383</v>
      </c>
      <c r="J953" t="s">
        <v>30254</v>
      </c>
      <c r="K953" t="s">
        <v>38528</v>
      </c>
      <c r="M953" t="s">
        <v>39146</v>
      </c>
      <c r="N953" t="s">
        <v>42669</v>
      </c>
      <c r="O953" t="s">
        <v>42670</v>
      </c>
      <c r="P953">
        <v>0</v>
      </c>
      <c r="Q953">
        <v>1</v>
      </c>
      <c r="R953" t="s">
        <v>42673</v>
      </c>
      <c r="S953" t="s">
        <v>42784</v>
      </c>
      <c r="T953" t="s">
        <v>44429</v>
      </c>
      <c r="U953" t="s">
        <v>45687</v>
      </c>
      <c r="W953" t="s">
        <v>39146</v>
      </c>
      <c r="X953" t="s">
        <v>42682</v>
      </c>
    </row>
    <row r="954" spans="1:24">
      <c r="A954">
        <f>HYPERLINK("https://www.philgeps.gov.ph/GEPSNONPILOT/Tender/SplashBidNoticeAbstractUI.aspx?menuIndex=3&amp;refID=7137987&amp;Result=3","7137987")</f>
        <v>0</v>
      </c>
      <c r="B954" t="s">
        <v>385</v>
      </c>
      <c r="C954" t="s">
        <v>4441</v>
      </c>
      <c r="D954" t="s">
        <v>17142</v>
      </c>
      <c r="E954" t="s">
        <v>18109</v>
      </c>
      <c r="F954" t="s">
        <v>29372</v>
      </c>
      <c r="G954" t="s">
        <v>29380</v>
      </c>
      <c r="H954" t="s">
        <v>29389</v>
      </c>
      <c r="I954" t="s">
        <v>10408</v>
      </c>
      <c r="J954" t="s">
        <v>29708</v>
      </c>
      <c r="K954" t="s">
        <v>38522</v>
      </c>
      <c r="M954" t="s">
        <v>39147</v>
      </c>
      <c r="N954" t="s">
        <v>42669</v>
      </c>
      <c r="O954" t="s">
        <v>42670</v>
      </c>
      <c r="P954">
        <v>0</v>
      </c>
      <c r="Q954">
        <v>0</v>
      </c>
      <c r="R954" t="s">
        <v>42673</v>
      </c>
      <c r="S954" t="s">
        <v>42784</v>
      </c>
      <c r="T954" t="s">
        <v>44495</v>
      </c>
      <c r="U954" t="s">
        <v>45688</v>
      </c>
      <c r="W954" t="s">
        <v>39147</v>
      </c>
      <c r="X954" t="s">
        <v>42700</v>
      </c>
    </row>
    <row r="955" spans="1:24">
      <c r="A955">
        <f>HYPERLINK("https://www.philgeps.gov.ph/GEPSNONPILOT/Tender/SplashBidNoticeAbstractUI.aspx?menuIndex=3&amp;refID=7137659&amp;Result=3","7137659")</f>
        <v>0</v>
      </c>
      <c r="B955" t="s">
        <v>385</v>
      </c>
      <c r="C955" t="s">
        <v>4442</v>
      </c>
      <c r="D955" t="s">
        <v>17142</v>
      </c>
      <c r="E955" t="s">
        <v>17678</v>
      </c>
      <c r="F955" t="s">
        <v>29372</v>
      </c>
      <c r="G955" t="s">
        <v>29380</v>
      </c>
      <c r="H955" t="s">
        <v>29389</v>
      </c>
      <c r="I955" t="s">
        <v>10408</v>
      </c>
      <c r="J955" t="s">
        <v>29604</v>
      </c>
      <c r="K955" t="s">
        <v>38522</v>
      </c>
      <c r="M955" t="s">
        <v>39147</v>
      </c>
      <c r="N955" t="s">
        <v>42669</v>
      </c>
      <c r="O955" t="s">
        <v>42670</v>
      </c>
      <c r="P955">
        <v>0</v>
      </c>
      <c r="Q955">
        <v>0</v>
      </c>
      <c r="R955" t="s">
        <v>42673</v>
      </c>
      <c r="S955" t="s">
        <v>42784</v>
      </c>
      <c r="T955" t="s">
        <v>44495</v>
      </c>
      <c r="U955" t="s">
        <v>45689</v>
      </c>
      <c r="W955" t="s">
        <v>39147</v>
      </c>
      <c r="X955" t="s">
        <v>42700</v>
      </c>
    </row>
    <row r="956" spans="1:24">
      <c r="A956">
        <f>HYPERLINK("https://www.philgeps.gov.ph/GEPSNONPILOT/Tender/SplashBidNoticeAbstractUI.aspx?menuIndex=3&amp;refID=7194010&amp;Result=3","7194010")</f>
        <v>0</v>
      </c>
      <c r="B956" t="s">
        <v>386</v>
      </c>
      <c r="C956" t="s">
        <v>4443</v>
      </c>
      <c r="D956" t="s">
        <v>17156</v>
      </c>
      <c r="E956" t="s">
        <v>18110</v>
      </c>
      <c r="F956" t="s">
        <v>29372</v>
      </c>
      <c r="G956" t="s">
        <v>29379</v>
      </c>
      <c r="H956" t="s">
        <v>11048</v>
      </c>
      <c r="I956" t="s">
        <v>29447</v>
      </c>
      <c r="J956" t="s">
        <v>30255</v>
      </c>
      <c r="K956" t="s">
        <v>38490</v>
      </c>
      <c r="M956" t="s">
        <v>39148</v>
      </c>
      <c r="N956" t="s">
        <v>42669</v>
      </c>
      <c r="O956" t="s">
        <v>42670</v>
      </c>
      <c r="P956">
        <v>0</v>
      </c>
      <c r="Q956">
        <v>7</v>
      </c>
      <c r="R956" t="s">
        <v>42672</v>
      </c>
      <c r="S956" t="s">
        <v>42781</v>
      </c>
      <c r="T956" t="s">
        <v>44429</v>
      </c>
      <c r="U956" t="s">
        <v>45690</v>
      </c>
      <c r="W956" t="s">
        <v>39148</v>
      </c>
      <c r="X956" t="s">
        <v>42673</v>
      </c>
    </row>
    <row r="957" spans="1:24">
      <c r="A957">
        <f>HYPERLINK("https://www.philgeps.gov.ph/GEPSNONPILOT/Tender/SplashBidNoticeAbstractUI.aspx?menuIndex=3&amp;refID=7194007&amp;Result=3","7194007")</f>
        <v>0</v>
      </c>
      <c r="B957" t="s">
        <v>386</v>
      </c>
      <c r="C957" t="s">
        <v>4444</v>
      </c>
      <c r="D957" t="s">
        <v>17156</v>
      </c>
      <c r="E957" t="s">
        <v>18111</v>
      </c>
      <c r="F957" t="s">
        <v>29372</v>
      </c>
      <c r="G957" t="s">
        <v>29379</v>
      </c>
      <c r="H957" t="s">
        <v>11048</v>
      </c>
      <c r="I957" t="s">
        <v>3952</v>
      </c>
      <c r="J957" t="s">
        <v>30256</v>
      </c>
      <c r="K957" t="s">
        <v>38490</v>
      </c>
      <c r="M957" t="s">
        <v>39148</v>
      </c>
      <c r="N957" t="s">
        <v>42669</v>
      </c>
      <c r="O957" t="s">
        <v>42670</v>
      </c>
      <c r="P957">
        <v>0</v>
      </c>
      <c r="Q957">
        <v>1</v>
      </c>
      <c r="R957" t="s">
        <v>42672</v>
      </c>
      <c r="S957" t="s">
        <v>42781</v>
      </c>
      <c r="T957" t="s">
        <v>44429</v>
      </c>
      <c r="U957" t="s">
        <v>45691</v>
      </c>
      <c r="W957" t="s">
        <v>39148</v>
      </c>
      <c r="X957" t="s">
        <v>42673</v>
      </c>
    </row>
    <row r="958" spans="1:24">
      <c r="A958">
        <f>HYPERLINK("https://www.philgeps.gov.ph/GEPSNONPILOT/Tender/SplashBidNoticeAbstractUI.aspx?menuIndex=3&amp;refID=7194006&amp;Result=3","7194006")</f>
        <v>0</v>
      </c>
      <c r="B958" t="s">
        <v>387</v>
      </c>
      <c r="C958" t="s">
        <v>4445</v>
      </c>
      <c r="E958" t="s">
        <v>18076</v>
      </c>
      <c r="F958" t="s">
        <v>29372</v>
      </c>
      <c r="G958" t="s">
        <v>29380</v>
      </c>
      <c r="H958" t="s">
        <v>29389</v>
      </c>
      <c r="I958" t="s">
        <v>10408</v>
      </c>
      <c r="J958" t="s">
        <v>30257</v>
      </c>
      <c r="K958" t="s">
        <v>38565</v>
      </c>
      <c r="M958" t="s">
        <v>39149</v>
      </c>
      <c r="N958" t="s">
        <v>42669</v>
      </c>
      <c r="O958" t="s">
        <v>42670</v>
      </c>
      <c r="P958">
        <v>0</v>
      </c>
      <c r="Q958">
        <v>0</v>
      </c>
      <c r="R958" t="s">
        <v>42672</v>
      </c>
      <c r="S958" t="s">
        <v>42781</v>
      </c>
      <c r="T958" t="s">
        <v>44389</v>
      </c>
      <c r="U958" t="s">
        <v>45692</v>
      </c>
      <c r="W958" t="s">
        <v>39149</v>
      </c>
      <c r="X958" t="s">
        <v>42673</v>
      </c>
    </row>
    <row r="959" spans="1:24">
      <c r="A959">
        <f>HYPERLINK("https://www.philgeps.gov.ph/GEPSNONPILOT/Tender/SplashBidNoticeAbstractUI.aspx?menuIndex=3&amp;refID=7184228&amp;Result=3","7184228")</f>
        <v>0</v>
      </c>
      <c r="B959" t="s">
        <v>374</v>
      </c>
      <c r="C959" t="s">
        <v>4446</v>
      </c>
      <c r="D959" t="s">
        <v>17172</v>
      </c>
      <c r="E959" t="s">
        <v>18112</v>
      </c>
      <c r="F959" t="s">
        <v>29372</v>
      </c>
      <c r="G959" t="s">
        <v>29382</v>
      </c>
      <c r="H959" t="s">
        <v>11048</v>
      </c>
      <c r="I959" t="s">
        <v>5383</v>
      </c>
      <c r="J959" t="s">
        <v>29555</v>
      </c>
      <c r="K959" t="s">
        <v>38485</v>
      </c>
      <c r="M959" t="s">
        <v>39135</v>
      </c>
      <c r="N959" t="s">
        <v>42669</v>
      </c>
      <c r="O959" t="s">
        <v>42670</v>
      </c>
      <c r="P959">
        <v>0</v>
      </c>
      <c r="Q959">
        <v>0</v>
      </c>
      <c r="R959" t="s">
        <v>42673</v>
      </c>
      <c r="S959" t="s">
        <v>42784</v>
      </c>
      <c r="T959" t="s">
        <v>44401</v>
      </c>
      <c r="U959" t="s">
        <v>45693</v>
      </c>
      <c r="V959" t="s">
        <v>56438</v>
      </c>
      <c r="W959" t="s">
        <v>39135</v>
      </c>
      <c r="X959" t="s">
        <v>42678</v>
      </c>
    </row>
    <row r="960" spans="1:24">
      <c r="A960">
        <f>HYPERLINK("https://www.philgeps.gov.ph/GEPSNONPILOT/Tender/SplashBidNoticeAbstractUI.aspx?menuIndex=3&amp;refID=7193973&amp;Result=3","7193973")</f>
        <v>0</v>
      </c>
      <c r="B960" t="s">
        <v>365</v>
      </c>
      <c r="C960" t="s">
        <v>4447</v>
      </c>
      <c r="D960" t="s">
        <v>17143</v>
      </c>
      <c r="E960" t="s">
        <v>18113</v>
      </c>
      <c r="F960" t="s">
        <v>29372</v>
      </c>
      <c r="G960" t="s">
        <v>29379</v>
      </c>
      <c r="H960" t="s">
        <v>11048</v>
      </c>
      <c r="I960" t="s">
        <v>29407</v>
      </c>
      <c r="J960" t="s">
        <v>30258</v>
      </c>
      <c r="K960" t="s">
        <v>38488</v>
      </c>
      <c r="M960" t="s">
        <v>39125</v>
      </c>
      <c r="N960" t="s">
        <v>42669</v>
      </c>
      <c r="O960" t="s">
        <v>42670</v>
      </c>
      <c r="P960">
        <v>0</v>
      </c>
      <c r="Q960">
        <v>3</v>
      </c>
      <c r="R960" t="s">
        <v>42672</v>
      </c>
      <c r="S960" t="s">
        <v>42781</v>
      </c>
      <c r="T960" t="s">
        <v>44427</v>
      </c>
      <c r="U960" t="s">
        <v>45694</v>
      </c>
      <c r="W960" t="s">
        <v>58010</v>
      </c>
      <c r="X960" t="s">
        <v>42673</v>
      </c>
    </row>
    <row r="961" spans="1:24">
      <c r="A961">
        <f>HYPERLINK("https://www.philgeps.gov.ph/GEPSNONPILOT/Tender/SplashBidNoticeAbstractUI.aspx?menuIndex=3&amp;refID=7193971&amp;Result=3","7193971")</f>
        <v>0</v>
      </c>
      <c r="B961" t="s">
        <v>365</v>
      </c>
      <c r="C961" t="s">
        <v>4448</v>
      </c>
      <c r="D961" t="s">
        <v>17143</v>
      </c>
      <c r="E961" t="s">
        <v>18114</v>
      </c>
      <c r="F961" t="s">
        <v>29372</v>
      </c>
      <c r="G961" t="s">
        <v>29379</v>
      </c>
      <c r="H961" t="s">
        <v>11048</v>
      </c>
      <c r="I961" t="s">
        <v>29393</v>
      </c>
      <c r="J961" t="s">
        <v>30259</v>
      </c>
      <c r="K961" t="s">
        <v>38495</v>
      </c>
      <c r="M961" t="s">
        <v>39125</v>
      </c>
      <c r="N961" t="s">
        <v>42669</v>
      </c>
      <c r="O961" t="s">
        <v>42670</v>
      </c>
      <c r="P961">
        <v>0</v>
      </c>
      <c r="Q961">
        <v>0</v>
      </c>
      <c r="R961" t="s">
        <v>42672</v>
      </c>
      <c r="S961" t="s">
        <v>42781</v>
      </c>
      <c r="T961" t="s">
        <v>44427</v>
      </c>
      <c r="U961" t="s">
        <v>45695</v>
      </c>
      <c r="W961" t="s">
        <v>58010</v>
      </c>
      <c r="X961" t="s">
        <v>42673</v>
      </c>
    </row>
    <row r="962" spans="1:24">
      <c r="A962">
        <f>HYPERLINK("https://www.philgeps.gov.ph/GEPSNONPILOT/Tender/SplashBidNoticeAbstractUI.aspx?menuIndex=3&amp;refID=7193969&amp;Result=3","7193969")</f>
        <v>0</v>
      </c>
      <c r="B962" t="s">
        <v>365</v>
      </c>
      <c r="C962" t="s">
        <v>4449</v>
      </c>
      <c r="D962" t="s">
        <v>17143</v>
      </c>
      <c r="E962" t="s">
        <v>18115</v>
      </c>
      <c r="F962" t="s">
        <v>29372</v>
      </c>
      <c r="G962" t="s">
        <v>29379</v>
      </c>
      <c r="H962" t="s">
        <v>11048</v>
      </c>
      <c r="I962" t="s">
        <v>8208</v>
      </c>
      <c r="J962" t="s">
        <v>30260</v>
      </c>
      <c r="K962" t="s">
        <v>38495</v>
      </c>
      <c r="M962" t="s">
        <v>39125</v>
      </c>
      <c r="N962" t="s">
        <v>42669</v>
      </c>
      <c r="O962" t="s">
        <v>42670</v>
      </c>
      <c r="P962">
        <v>0</v>
      </c>
      <c r="Q962">
        <v>0</v>
      </c>
      <c r="R962" t="s">
        <v>42672</v>
      </c>
      <c r="S962" t="s">
        <v>42781</v>
      </c>
      <c r="T962" t="s">
        <v>44427</v>
      </c>
      <c r="U962" t="s">
        <v>45696</v>
      </c>
      <c r="W962" t="s">
        <v>58010</v>
      </c>
      <c r="X962" t="s">
        <v>42673</v>
      </c>
    </row>
    <row r="963" spans="1:24">
      <c r="A963">
        <f>HYPERLINK("https://www.philgeps.gov.ph/GEPSNONPILOT/Tender/SplashBidNoticeAbstractUI.aspx?menuIndex=3&amp;refID=7193968&amp;Result=3","7193968")</f>
        <v>0</v>
      </c>
      <c r="B963" t="s">
        <v>365</v>
      </c>
      <c r="C963" t="s">
        <v>4450</v>
      </c>
      <c r="D963" t="s">
        <v>17143</v>
      </c>
      <c r="E963" t="s">
        <v>18116</v>
      </c>
      <c r="F963" t="s">
        <v>29372</v>
      </c>
      <c r="G963" t="s">
        <v>29379</v>
      </c>
      <c r="H963" t="s">
        <v>11048</v>
      </c>
      <c r="I963" t="s">
        <v>8208</v>
      </c>
      <c r="J963" t="s">
        <v>30260</v>
      </c>
      <c r="K963" t="s">
        <v>38495</v>
      </c>
      <c r="M963" t="s">
        <v>39125</v>
      </c>
      <c r="N963" t="s">
        <v>42669</v>
      </c>
      <c r="O963" t="s">
        <v>42670</v>
      </c>
      <c r="P963">
        <v>0</v>
      </c>
      <c r="Q963">
        <v>0</v>
      </c>
      <c r="R963" t="s">
        <v>42672</v>
      </c>
      <c r="S963" t="s">
        <v>42781</v>
      </c>
      <c r="T963" t="s">
        <v>44427</v>
      </c>
      <c r="U963" t="s">
        <v>45697</v>
      </c>
      <c r="W963" t="s">
        <v>58010</v>
      </c>
      <c r="X963" t="s">
        <v>42673</v>
      </c>
    </row>
    <row r="964" spans="1:24">
      <c r="A964">
        <f>HYPERLINK("https://www.philgeps.gov.ph/GEPSNONPILOT/Tender/SplashBidNoticeAbstractUI.aspx?menuIndex=3&amp;refID=7194004&amp;Result=3","7194004")</f>
        <v>0</v>
      </c>
      <c r="B964" t="s">
        <v>370</v>
      </c>
      <c r="C964" t="s">
        <v>4451</v>
      </c>
      <c r="D964" t="s">
        <v>17189</v>
      </c>
      <c r="E964" t="s">
        <v>17947</v>
      </c>
      <c r="F964" t="s">
        <v>29372</v>
      </c>
      <c r="G964" t="s">
        <v>29379</v>
      </c>
      <c r="H964" t="s">
        <v>11048</v>
      </c>
      <c r="I964" t="s">
        <v>29424</v>
      </c>
      <c r="J964" t="s">
        <v>30261</v>
      </c>
      <c r="K964" t="s">
        <v>38491</v>
      </c>
      <c r="M964" t="s">
        <v>39131</v>
      </c>
      <c r="N964" t="s">
        <v>42669</v>
      </c>
      <c r="O964" t="s">
        <v>42670</v>
      </c>
      <c r="P964">
        <v>0</v>
      </c>
      <c r="Q964">
        <v>0</v>
      </c>
      <c r="R964" t="s">
        <v>42672</v>
      </c>
      <c r="S964" t="s">
        <v>42781</v>
      </c>
      <c r="T964" t="s">
        <v>44417</v>
      </c>
      <c r="U964" t="s">
        <v>45644</v>
      </c>
      <c r="V964" t="s">
        <v>56434</v>
      </c>
      <c r="W964" t="s">
        <v>39131</v>
      </c>
      <c r="X964" t="s">
        <v>42673</v>
      </c>
    </row>
    <row r="965" spans="1:24">
      <c r="A965">
        <f>HYPERLINK("https://www.philgeps.gov.ph/GEPSNONPILOT/Tender/SplashBidNoticeAbstractUI.aspx?menuIndex=3&amp;refID=7194003&amp;Result=3","7194003")</f>
        <v>0</v>
      </c>
      <c r="B965" t="s">
        <v>388</v>
      </c>
      <c r="C965" t="s">
        <v>4452</v>
      </c>
      <c r="E965" t="s">
        <v>17666</v>
      </c>
      <c r="F965" t="s">
        <v>29372</v>
      </c>
      <c r="G965" t="s">
        <v>29379</v>
      </c>
      <c r="H965" t="s">
        <v>11048</v>
      </c>
      <c r="I965" t="s">
        <v>29407</v>
      </c>
      <c r="J965" t="s">
        <v>30262</v>
      </c>
      <c r="K965" t="s">
        <v>38490</v>
      </c>
      <c r="M965" t="s">
        <v>39150</v>
      </c>
      <c r="N965" t="s">
        <v>42669</v>
      </c>
      <c r="O965" t="s">
        <v>42670</v>
      </c>
      <c r="P965">
        <v>0</v>
      </c>
      <c r="Q965">
        <v>14</v>
      </c>
      <c r="R965" t="s">
        <v>42672</v>
      </c>
      <c r="S965" t="s">
        <v>42781</v>
      </c>
      <c r="T965" t="s">
        <v>44427</v>
      </c>
      <c r="U965" t="s">
        <v>45698</v>
      </c>
      <c r="W965" t="s">
        <v>58012</v>
      </c>
      <c r="X965" t="s">
        <v>42673</v>
      </c>
    </row>
    <row r="966" spans="1:24">
      <c r="A966">
        <f>HYPERLINK("https://www.philgeps.gov.ph/GEPSNONPILOT/Tender/SplashBidNoticeAbstractUI.aspx?menuIndex=3&amp;refID=7193965&amp;Result=3","7193965")</f>
        <v>0</v>
      </c>
      <c r="B966" t="s">
        <v>365</v>
      </c>
      <c r="C966" t="s">
        <v>4453</v>
      </c>
      <c r="D966" t="s">
        <v>17143</v>
      </c>
      <c r="E966" t="s">
        <v>18117</v>
      </c>
      <c r="F966" t="s">
        <v>29372</v>
      </c>
      <c r="G966" t="s">
        <v>29379</v>
      </c>
      <c r="H966" t="s">
        <v>11048</v>
      </c>
      <c r="I966" t="s">
        <v>29393</v>
      </c>
      <c r="J966" t="s">
        <v>30263</v>
      </c>
      <c r="K966" t="s">
        <v>38495</v>
      </c>
      <c r="M966" t="s">
        <v>39125</v>
      </c>
      <c r="N966" t="s">
        <v>42669</v>
      </c>
      <c r="O966" t="s">
        <v>42670</v>
      </c>
      <c r="P966">
        <v>0</v>
      </c>
      <c r="Q966">
        <v>0</v>
      </c>
      <c r="R966" t="s">
        <v>42672</v>
      </c>
      <c r="S966" t="s">
        <v>42781</v>
      </c>
      <c r="T966" t="s">
        <v>44427</v>
      </c>
      <c r="U966" t="s">
        <v>45699</v>
      </c>
      <c r="W966" t="s">
        <v>58010</v>
      </c>
      <c r="X966" t="s">
        <v>42673</v>
      </c>
    </row>
    <row r="967" spans="1:24">
      <c r="A967">
        <f>HYPERLINK("https://www.philgeps.gov.ph/GEPSNONPILOT/Tender/SplashBidNoticeAbstractUI.aspx?menuIndex=3&amp;refID=7193963&amp;Result=3","7193963")</f>
        <v>0</v>
      </c>
      <c r="B967" t="s">
        <v>365</v>
      </c>
      <c r="C967" t="s">
        <v>4454</v>
      </c>
      <c r="D967" t="s">
        <v>17143</v>
      </c>
      <c r="E967" t="s">
        <v>18118</v>
      </c>
      <c r="F967" t="s">
        <v>29372</v>
      </c>
      <c r="G967" t="s">
        <v>29379</v>
      </c>
      <c r="H967" t="s">
        <v>11048</v>
      </c>
      <c r="I967" t="s">
        <v>3629</v>
      </c>
      <c r="J967" t="s">
        <v>29799</v>
      </c>
      <c r="K967" t="s">
        <v>38488</v>
      </c>
      <c r="M967" t="s">
        <v>39125</v>
      </c>
      <c r="N967" t="s">
        <v>42669</v>
      </c>
      <c r="O967" t="s">
        <v>42670</v>
      </c>
      <c r="P967">
        <v>0</v>
      </c>
      <c r="Q967">
        <v>1</v>
      </c>
      <c r="R967" t="s">
        <v>42672</v>
      </c>
      <c r="S967" t="s">
        <v>42781</v>
      </c>
      <c r="T967" t="s">
        <v>44427</v>
      </c>
      <c r="U967" t="s">
        <v>45700</v>
      </c>
      <c r="W967" t="s">
        <v>58010</v>
      </c>
      <c r="X967" t="s">
        <v>42673</v>
      </c>
    </row>
    <row r="968" spans="1:24">
      <c r="A968">
        <f>HYPERLINK("https://www.philgeps.gov.ph/GEPSNONPILOT/Tender/SplashBidNoticeAbstractUI.aspx?menuIndex=3&amp;refID=7186189&amp;Result=3","7186189")</f>
        <v>0</v>
      </c>
      <c r="B968" t="s">
        <v>382</v>
      </c>
      <c r="C968" t="s">
        <v>4455</v>
      </c>
      <c r="D968" t="s">
        <v>17192</v>
      </c>
      <c r="E968" t="s">
        <v>18119</v>
      </c>
      <c r="F968" t="s">
        <v>29372</v>
      </c>
      <c r="G968" t="s">
        <v>29379</v>
      </c>
      <c r="H968" t="s">
        <v>11048</v>
      </c>
      <c r="I968" t="s">
        <v>29405</v>
      </c>
      <c r="J968" t="s">
        <v>30264</v>
      </c>
      <c r="K968" t="s">
        <v>38490</v>
      </c>
      <c r="M968" t="s">
        <v>39144</v>
      </c>
      <c r="N968" t="s">
        <v>42669</v>
      </c>
      <c r="O968" t="s">
        <v>42670</v>
      </c>
      <c r="P968">
        <v>0</v>
      </c>
      <c r="Q968">
        <v>5</v>
      </c>
      <c r="R968" t="s">
        <v>42673</v>
      </c>
      <c r="S968" t="s">
        <v>42784</v>
      </c>
      <c r="T968" t="s">
        <v>44488</v>
      </c>
      <c r="U968" t="s">
        <v>45701</v>
      </c>
      <c r="W968" t="s">
        <v>39144</v>
      </c>
      <c r="X968" t="s">
        <v>42678</v>
      </c>
    </row>
    <row r="969" spans="1:24">
      <c r="A969">
        <f>HYPERLINK("https://www.philgeps.gov.ph/GEPSNONPILOT/Tender/SplashBidNoticeAbstractUI.aspx?menuIndex=3&amp;refID=7193901&amp;Result=3","7193901")</f>
        <v>0</v>
      </c>
      <c r="B969" t="s">
        <v>346</v>
      </c>
      <c r="C969" t="s">
        <v>4456</v>
      </c>
      <c r="E969" t="s">
        <v>18120</v>
      </c>
      <c r="F969" t="s">
        <v>29372</v>
      </c>
      <c r="G969" t="s">
        <v>29379</v>
      </c>
      <c r="H969" t="s">
        <v>11048</v>
      </c>
      <c r="I969" t="s">
        <v>5383</v>
      </c>
      <c r="J969" t="s">
        <v>30265</v>
      </c>
      <c r="K969" t="s">
        <v>38488</v>
      </c>
      <c r="M969" t="s">
        <v>39105</v>
      </c>
      <c r="N969" t="s">
        <v>42669</v>
      </c>
      <c r="O969" t="s">
        <v>42670</v>
      </c>
      <c r="P969">
        <v>0</v>
      </c>
      <c r="Q969">
        <v>0</v>
      </c>
      <c r="R969" t="s">
        <v>42672</v>
      </c>
      <c r="S969" t="s">
        <v>42781</v>
      </c>
      <c r="T969" t="s">
        <v>44401</v>
      </c>
      <c r="U969" t="s">
        <v>45611</v>
      </c>
      <c r="W969" t="s">
        <v>39105</v>
      </c>
      <c r="X969" t="s">
        <v>42673</v>
      </c>
    </row>
    <row r="970" spans="1:24">
      <c r="A970">
        <f>HYPERLINK("https://www.philgeps.gov.ph/GEPSNONPILOT/Tender/SplashBidNoticeAbstractUI.aspx?menuIndex=3&amp;refID=7193899&amp;Result=3","7193899")</f>
        <v>0</v>
      </c>
      <c r="B970" t="s">
        <v>389</v>
      </c>
      <c r="C970" t="s">
        <v>4457</v>
      </c>
      <c r="D970" t="s">
        <v>17174</v>
      </c>
      <c r="E970" t="s">
        <v>18121</v>
      </c>
      <c r="F970" t="s">
        <v>29372</v>
      </c>
      <c r="G970" t="s">
        <v>29383</v>
      </c>
      <c r="H970" t="s">
        <v>11048</v>
      </c>
      <c r="I970" t="s">
        <v>5383</v>
      </c>
      <c r="J970" t="s">
        <v>30266</v>
      </c>
      <c r="K970" t="s">
        <v>38510</v>
      </c>
      <c r="M970" t="s">
        <v>39151</v>
      </c>
      <c r="N970" t="s">
        <v>42669</v>
      </c>
      <c r="O970" t="s">
        <v>42670</v>
      </c>
      <c r="P970">
        <v>0</v>
      </c>
      <c r="Q970">
        <v>2</v>
      </c>
      <c r="R970" t="s">
        <v>42672</v>
      </c>
      <c r="S970" t="s">
        <v>42781</v>
      </c>
      <c r="T970" t="s">
        <v>44496</v>
      </c>
      <c r="U970" t="s">
        <v>45702</v>
      </c>
      <c r="W970" t="s">
        <v>39151</v>
      </c>
      <c r="X970" t="s">
        <v>42673</v>
      </c>
    </row>
    <row r="971" spans="1:24">
      <c r="A971">
        <f>HYPERLINK("https://www.philgeps.gov.ph/GEPSNONPILOT/Tender/SplashBidNoticeAbstractUI.aspx?menuIndex=3&amp;refID=7193795&amp;Result=3","7193795")</f>
        <v>0</v>
      </c>
      <c r="B971" t="s">
        <v>390</v>
      </c>
      <c r="C971" t="s">
        <v>4458</v>
      </c>
      <c r="D971" t="s">
        <v>17177</v>
      </c>
      <c r="E971" t="s">
        <v>18122</v>
      </c>
      <c r="F971" t="s">
        <v>29372</v>
      </c>
      <c r="G971" t="s">
        <v>29385</v>
      </c>
      <c r="H971" t="s">
        <v>29389</v>
      </c>
      <c r="I971" t="s">
        <v>4709</v>
      </c>
      <c r="J971" t="s">
        <v>30267</v>
      </c>
      <c r="K971" t="s">
        <v>38485</v>
      </c>
      <c r="M971" t="s">
        <v>39152</v>
      </c>
      <c r="N971" t="s">
        <v>42669</v>
      </c>
      <c r="O971" t="s">
        <v>42670</v>
      </c>
      <c r="P971">
        <v>0</v>
      </c>
      <c r="Q971">
        <v>0</v>
      </c>
      <c r="R971" t="s">
        <v>42672</v>
      </c>
      <c r="S971" t="s">
        <v>42781</v>
      </c>
      <c r="T971" t="s">
        <v>44419</v>
      </c>
      <c r="U971" t="s">
        <v>45703</v>
      </c>
      <c r="V971" t="s">
        <v>56446</v>
      </c>
      <c r="W971" t="s">
        <v>39152</v>
      </c>
      <c r="X971" t="s">
        <v>42673</v>
      </c>
    </row>
    <row r="972" spans="1:24">
      <c r="A972">
        <f>HYPERLINK("https://www.philgeps.gov.ph/GEPSNONPILOT/Tender/SplashBidNoticeAbstractUI.aspx?menuIndex=3&amp;refID=7188515&amp;Result=3","7188515")</f>
        <v>0</v>
      </c>
      <c r="B972" t="s">
        <v>378</v>
      </c>
      <c r="C972" t="s">
        <v>4459</v>
      </c>
      <c r="D972" t="s">
        <v>17151</v>
      </c>
      <c r="E972" t="s">
        <v>18123</v>
      </c>
      <c r="F972" t="s">
        <v>29372</v>
      </c>
      <c r="G972" t="s">
        <v>29382</v>
      </c>
      <c r="H972" t="s">
        <v>11048</v>
      </c>
      <c r="I972" t="s">
        <v>4487</v>
      </c>
      <c r="J972" t="s">
        <v>30268</v>
      </c>
      <c r="K972" t="s">
        <v>38490</v>
      </c>
      <c r="M972" t="s">
        <v>39140</v>
      </c>
      <c r="N972" t="s">
        <v>42669</v>
      </c>
      <c r="O972" t="s">
        <v>42670</v>
      </c>
      <c r="P972">
        <v>0</v>
      </c>
      <c r="Q972">
        <v>1</v>
      </c>
      <c r="R972" t="s">
        <v>42673</v>
      </c>
      <c r="S972" t="s">
        <v>42784</v>
      </c>
      <c r="T972" t="s">
        <v>44493</v>
      </c>
      <c r="U972" t="s">
        <v>45704</v>
      </c>
      <c r="W972" t="s">
        <v>39140</v>
      </c>
      <c r="X972" t="s">
        <v>42677</v>
      </c>
    </row>
    <row r="973" spans="1:24">
      <c r="A973">
        <f>HYPERLINK("https://www.philgeps.gov.ph/GEPSNONPILOT/Tender/SplashBidNoticeAbstractUI.aspx?menuIndex=3&amp;refID=7193903&amp;Result=3","7193903")</f>
        <v>0</v>
      </c>
      <c r="B973" t="s">
        <v>254</v>
      </c>
      <c r="C973" t="s">
        <v>4460</v>
      </c>
      <c r="D973" t="s">
        <v>17142</v>
      </c>
      <c r="E973" t="s">
        <v>18124</v>
      </c>
      <c r="F973" t="s">
        <v>29372</v>
      </c>
      <c r="G973" t="s">
        <v>29383</v>
      </c>
      <c r="H973" t="s">
        <v>11048</v>
      </c>
      <c r="I973" t="s">
        <v>4709</v>
      </c>
      <c r="J973" t="s">
        <v>30269</v>
      </c>
      <c r="K973" t="s">
        <v>38528</v>
      </c>
      <c r="M973" t="s">
        <v>39153</v>
      </c>
      <c r="N973" t="s">
        <v>42669</v>
      </c>
      <c r="O973" t="s">
        <v>42670</v>
      </c>
      <c r="P973">
        <v>0</v>
      </c>
      <c r="Q973">
        <v>1</v>
      </c>
      <c r="R973" t="s">
        <v>42672</v>
      </c>
      <c r="S973" t="s">
        <v>42781</v>
      </c>
      <c r="T973" t="s">
        <v>44429</v>
      </c>
      <c r="U973" t="s">
        <v>45705</v>
      </c>
      <c r="W973" t="s">
        <v>39153</v>
      </c>
      <c r="X973" t="s">
        <v>42673</v>
      </c>
    </row>
    <row r="974" spans="1:24">
      <c r="A974">
        <f>HYPERLINK("https://www.philgeps.gov.ph/GEPSNONPILOT/Tender/SplashBidNoticeAbstractUI.aspx?menuIndex=3&amp;refID=7189362&amp;Result=3","7189362")</f>
        <v>0</v>
      </c>
      <c r="B974" t="s">
        <v>378</v>
      </c>
      <c r="C974" t="s">
        <v>4461</v>
      </c>
      <c r="D974" t="s">
        <v>17151</v>
      </c>
      <c r="E974" t="s">
        <v>18125</v>
      </c>
      <c r="F974" t="s">
        <v>29372</v>
      </c>
      <c r="G974" t="s">
        <v>29379</v>
      </c>
      <c r="H974" t="s">
        <v>11048</v>
      </c>
      <c r="I974" t="s">
        <v>3670</v>
      </c>
      <c r="J974" t="s">
        <v>30270</v>
      </c>
      <c r="K974" t="s">
        <v>38490</v>
      </c>
      <c r="M974" t="s">
        <v>39140</v>
      </c>
      <c r="N974" t="s">
        <v>42669</v>
      </c>
      <c r="O974" t="s">
        <v>42670</v>
      </c>
      <c r="P974">
        <v>0</v>
      </c>
      <c r="Q974">
        <v>0</v>
      </c>
      <c r="R974" t="s">
        <v>42673</v>
      </c>
      <c r="S974" t="s">
        <v>42784</v>
      </c>
      <c r="T974" t="s">
        <v>44493</v>
      </c>
      <c r="U974" t="s">
        <v>45670</v>
      </c>
      <c r="W974" t="s">
        <v>39140</v>
      </c>
      <c r="X974" t="s">
        <v>42677</v>
      </c>
    </row>
    <row r="975" spans="1:24">
      <c r="A975">
        <f>HYPERLINK("https://www.philgeps.gov.ph/GEPSNONPILOT/Tender/SplashBidNoticeAbstractUI.aspx?menuIndex=3&amp;refID=7193900&amp;Result=3","7193900")</f>
        <v>0</v>
      </c>
      <c r="B975" t="s">
        <v>391</v>
      </c>
      <c r="C975" t="s">
        <v>4462</v>
      </c>
      <c r="D975" t="s">
        <v>17213</v>
      </c>
      <c r="E975" t="s">
        <v>18126</v>
      </c>
      <c r="F975" t="s">
        <v>29372</v>
      </c>
      <c r="G975" t="s">
        <v>29383</v>
      </c>
      <c r="H975" t="s">
        <v>11048</v>
      </c>
      <c r="I975" t="s">
        <v>29398</v>
      </c>
      <c r="J975" t="s">
        <v>29532</v>
      </c>
      <c r="K975" t="s">
        <v>38491</v>
      </c>
      <c r="M975" t="s">
        <v>39154</v>
      </c>
      <c r="N975" t="s">
        <v>42669</v>
      </c>
      <c r="O975" t="s">
        <v>42670</v>
      </c>
      <c r="P975">
        <v>0</v>
      </c>
      <c r="Q975">
        <v>2</v>
      </c>
      <c r="R975" t="s">
        <v>42672</v>
      </c>
      <c r="S975" t="s">
        <v>42781</v>
      </c>
      <c r="T975" t="s">
        <v>44432</v>
      </c>
      <c r="U975" t="s">
        <v>45706</v>
      </c>
      <c r="V975" t="s">
        <v>56447</v>
      </c>
      <c r="W975" t="s">
        <v>39154</v>
      </c>
      <c r="X975" t="s">
        <v>42673</v>
      </c>
    </row>
    <row r="976" spans="1:24">
      <c r="A976">
        <f>HYPERLINK("https://www.philgeps.gov.ph/GEPSNONPILOT/Tender/SplashBidNoticeAbstractUI.aspx?menuIndex=3&amp;refID=7189282&amp;Result=3","7189282")</f>
        <v>0</v>
      </c>
      <c r="B976" t="s">
        <v>378</v>
      </c>
      <c r="C976" t="s">
        <v>4463</v>
      </c>
      <c r="D976" t="s">
        <v>17151</v>
      </c>
      <c r="E976" t="s">
        <v>18127</v>
      </c>
      <c r="F976" t="s">
        <v>29372</v>
      </c>
      <c r="G976" t="s">
        <v>29379</v>
      </c>
      <c r="H976" t="s">
        <v>11048</v>
      </c>
      <c r="I976" t="s">
        <v>9469</v>
      </c>
      <c r="J976" t="s">
        <v>29526</v>
      </c>
      <c r="K976" t="s">
        <v>38490</v>
      </c>
      <c r="M976" t="s">
        <v>39140</v>
      </c>
      <c r="N976" t="s">
        <v>42669</v>
      </c>
      <c r="O976" t="s">
        <v>42670</v>
      </c>
      <c r="P976">
        <v>0</v>
      </c>
      <c r="Q976">
        <v>1</v>
      </c>
      <c r="R976" t="s">
        <v>42673</v>
      </c>
      <c r="S976" t="s">
        <v>42784</v>
      </c>
      <c r="T976" t="s">
        <v>44493</v>
      </c>
      <c r="U976" t="s">
        <v>45707</v>
      </c>
      <c r="W976" t="s">
        <v>39140</v>
      </c>
      <c r="X976" t="s">
        <v>42677</v>
      </c>
    </row>
    <row r="977" spans="1:24">
      <c r="A977">
        <f>HYPERLINK("https://www.philgeps.gov.ph/GEPSNONPILOT/Tender/SplashBidNoticeAbstractUI.aspx?menuIndex=3&amp;refID=7193967&amp;Result=3","7193967")</f>
        <v>0</v>
      </c>
      <c r="B977" t="s">
        <v>365</v>
      </c>
      <c r="C977" t="s">
        <v>4464</v>
      </c>
      <c r="D977" t="s">
        <v>17143</v>
      </c>
      <c r="E977" t="s">
        <v>18128</v>
      </c>
      <c r="F977" t="s">
        <v>29372</v>
      </c>
      <c r="G977" t="s">
        <v>29379</v>
      </c>
      <c r="H977" t="s">
        <v>11048</v>
      </c>
      <c r="I977" t="s">
        <v>8208</v>
      </c>
      <c r="J977" t="s">
        <v>30260</v>
      </c>
      <c r="K977" t="s">
        <v>38495</v>
      </c>
      <c r="M977" t="s">
        <v>39125</v>
      </c>
      <c r="N977" t="s">
        <v>42669</v>
      </c>
      <c r="O977" t="s">
        <v>42670</v>
      </c>
      <c r="P977">
        <v>0</v>
      </c>
      <c r="Q977">
        <v>0</v>
      </c>
      <c r="R977" t="s">
        <v>42672</v>
      </c>
      <c r="S977" t="s">
        <v>42781</v>
      </c>
      <c r="T977" t="s">
        <v>44427</v>
      </c>
      <c r="U977" t="s">
        <v>45708</v>
      </c>
      <c r="W977" t="s">
        <v>58010</v>
      </c>
      <c r="X977" t="s">
        <v>42673</v>
      </c>
    </row>
    <row r="978" spans="1:24">
      <c r="A978">
        <f>HYPERLINK("https://www.philgeps.gov.ph/GEPSNONPILOT/Tender/SplashBidNoticeAbstractUI.aspx?menuIndex=3&amp;refID=7189326&amp;Result=3","7189326")</f>
        <v>0</v>
      </c>
      <c r="B978" t="s">
        <v>392</v>
      </c>
      <c r="C978" t="s">
        <v>4465</v>
      </c>
      <c r="D978" t="s">
        <v>17143</v>
      </c>
      <c r="E978" t="s">
        <v>18129</v>
      </c>
      <c r="F978" t="s">
        <v>29372</v>
      </c>
      <c r="G978" t="s">
        <v>29379</v>
      </c>
      <c r="H978" t="s">
        <v>11048</v>
      </c>
      <c r="I978" t="s">
        <v>3839</v>
      </c>
      <c r="J978" t="s">
        <v>29532</v>
      </c>
      <c r="K978" t="s">
        <v>38488</v>
      </c>
      <c r="M978" t="s">
        <v>39155</v>
      </c>
      <c r="N978" t="s">
        <v>42669</v>
      </c>
      <c r="O978" t="s">
        <v>42670</v>
      </c>
      <c r="P978">
        <v>0</v>
      </c>
      <c r="Q978">
        <v>3</v>
      </c>
      <c r="R978" t="s">
        <v>42673</v>
      </c>
      <c r="S978" t="s">
        <v>42784</v>
      </c>
      <c r="T978" t="s">
        <v>44469</v>
      </c>
      <c r="U978" t="s">
        <v>45709</v>
      </c>
      <c r="W978" t="s">
        <v>39155</v>
      </c>
      <c r="X978" t="s">
        <v>42677</v>
      </c>
    </row>
    <row r="979" spans="1:24">
      <c r="A979">
        <f>HYPERLINK("https://www.philgeps.gov.ph/GEPSNONPILOT/Tender/SplashBidNoticeAbstractUI.aspx?menuIndex=3&amp;refID=7189272&amp;Result=3","7189272")</f>
        <v>0</v>
      </c>
      <c r="B979" t="s">
        <v>392</v>
      </c>
      <c r="C979" t="s">
        <v>4466</v>
      </c>
      <c r="D979" t="s">
        <v>17143</v>
      </c>
      <c r="E979" t="s">
        <v>18130</v>
      </c>
      <c r="F979" t="s">
        <v>29372</v>
      </c>
      <c r="G979" t="s">
        <v>29382</v>
      </c>
      <c r="H979" t="s">
        <v>11048</v>
      </c>
      <c r="I979" t="s">
        <v>5383</v>
      </c>
      <c r="J979" t="s">
        <v>30271</v>
      </c>
      <c r="K979" t="s">
        <v>38488</v>
      </c>
      <c r="M979" t="s">
        <v>39155</v>
      </c>
      <c r="N979" t="s">
        <v>42669</v>
      </c>
      <c r="O979" t="s">
        <v>42670</v>
      </c>
      <c r="P979">
        <v>0</v>
      </c>
      <c r="Q979">
        <v>1</v>
      </c>
      <c r="R979" t="s">
        <v>42673</v>
      </c>
      <c r="S979" t="s">
        <v>42784</v>
      </c>
      <c r="T979" t="s">
        <v>44469</v>
      </c>
      <c r="U979" t="s">
        <v>45709</v>
      </c>
      <c r="W979" t="s">
        <v>39155</v>
      </c>
      <c r="X979" t="s">
        <v>42677</v>
      </c>
    </row>
    <row r="980" spans="1:24">
      <c r="A980">
        <f>HYPERLINK("https://www.philgeps.gov.ph/GEPSNONPILOT/Tender/SplashBidNoticeAbstractUI.aspx?menuIndex=3&amp;refID=7189229&amp;Result=3","7189229")</f>
        <v>0</v>
      </c>
      <c r="B980" t="s">
        <v>378</v>
      </c>
      <c r="C980" t="s">
        <v>4467</v>
      </c>
      <c r="D980" t="s">
        <v>17151</v>
      </c>
      <c r="E980" t="s">
        <v>18131</v>
      </c>
      <c r="F980" t="s">
        <v>29372</v>
      </c>
      <c r="G980" t="s">
        <v>29379</v>
      </c>
      <c r="H980" t="s">
        <v>11048</v>
      </c>
      <c r="I980" t="s">
        <v>4709</v>
      </c>
      <c r="J980" t="s">
        <v>30272</v>
      </c>
      <c r="K980" t="s">
        <v>38490</v>
      </c>
      <c r="M980" t="s">
        <v>39140</v>
      </c>
      <c r="N980" t="s">
        <v>42669</v>
      </c>
      <c r="O980" t="s">
        <v>42670</v>
      </c>
      <c r="P980">
        <v>0</v>
      </c>
      <c r="Q980">
        <v>0</v>
      </c>
      <c r="R980" t="s">
        <v>42673</v>
      </c>
      <c r="S980" t="s">
        <v>42784</v>
      </c>
      <c r="T980" t="s">
        <v>44493</v>
      </c>
      <c r="U980" t="s">
        <v>45710</v>
      </c>
      <c r="W980" t="s">
        <v>39140</v>
      </c>
      <c r="X980" t="s">
        <v>42677</v>
      </c>
    </row>
    <row r="981" spans="1:24">
      <c r="A981">
        <f>HYPERLINK("https://www.philgeps.gov.ph/GEPSNONPILOT/Tender/SplashBidNoticeAbstractUI.aspx?menuIndex=3&amp;refID=7189117&amp;Result=3","7189117")</f>
        <v>0</v>
      </c>
      <c r="B981" t="s">
        <v>392</v>
      </c>
      <c r="C981" t="s">
        <v>4468</v>
      </c>
      <c r="D981" t="s">
        <v>17143</v>
      </c>
      <c r="E981" t="s">
        <v>18132</v>
      </c>
      <c r="F981" t="s">
        <v>29372</v>
      </c>
      <c r="G981" t="s">
        <v>29379</v>
      </c>
      <c r="H981" t="s">
        <v>11048</v>
      </c>
      <c r="I981" t="s">
        <v>4709</v>
      </c>
      <c r="J981" t="s">
        <v>30273</v>
      </c>
      <c r="K981" t="s">
        <v>38488</v>
      </c>
      <c r="M981" t="s">
        <v>39155</v>
      </c>
      <c r="N981" t="s">
        <v>42669</v>
      </c>
      <c r="O981" t="s">
        <v>42670</v>
      </c>
      <c r="P981">
        <v>0</v>
      </c>
      <c r="Q981">
        <v>0</v>
      </c>
      <c r="R981" t="s">
        <v>42673</v>
      </c>
      <c r="S981" t="s">
        <v>42784</v>
      </c>
      <c r="T981" t="s">
        <v>44469</v>
      </c>
      <c r="U981" t="s">
        <v>45709</v>
      </c>
      <c r="W981" t="s">
        <v>39155</v>
      </c>
      <c r="X981" t="s">
        <v>42677</v>
      </c>
    </row>
    <row r="982" spans="1:24">
      <c r="A982">
        <f>HYPERLINK("https://www.philgeps.gov.ph/GEPSNONPILOT/Tender/SplashBidNoticeAbstractUI.aspx?menuIndex=3&amp;refID=7189293&amp;Result=3","7189293")</f>
        <v>0</v>
      </c>
      <c r="B982" t="s">
        <v>392</v>
      </c>
      <c r="C982" t="s">
        <v>4469</v>
      </c>
      <c r="D982" t="s">
        <v>17143</v>
      </c>
      <c r="E982" t="s">
        <v>18133</v>
      </c>
      <c r="F982" t="s">
        <v>29372</v>
      </c>
      <c r="G982" t="s">
        <v>29379</v>
      </c>
      <c r="H982" t="s">
        <v>11048</v>
      </c>
      <c r="I982" t="s">
        <v>3839</v>
      </c>
      <c r="J982" t="s">
        <v>29571</v>
      </c>
      <c r="K982" t="s">
        <v>38488</v>
      </c>
      <c r="M982" t="s">
        <v>39155</v>
      </c>
      <c r="N982" t="s">
        <v>42669</v>
      </c>
      <c r="O982" t="s">
        <v>42670</v>
      </c>
      <c r="P982">
        <v>0</v>
      </c>
      <c r="Q982">
        <v>2</v>
      </c>
      <c r="R982" t="s">
        <v>42673</v>
      </c>
      <c r="S982" t="s">
        <v>42784</v>
      </c>
      <c r="T982" t="s">
        <v>44469</v>
      </c>
      <c r="U982" t="s">
        <v>45709</v>
      </c>
      <c r="W982" t="s">
        <v>39155</v>
      </c>
      <c r="X982" t="s">
        <v>42677</v>
      </c>
    </row>
    <row r="983" spans="1:24">
      <c r="A983">
        <f>HYPERLINK("https://www.philgeps.gov.ph/GEPSNONPILOT/Tender/SplashBidNoticeAbstractUI.aspx?menuIndex=3&amp;refID=7188748&amp;Result=3","7188748")</f>
        <v>0</v>
      </c>
      <c r="B983" t="s">
        <v>378</v>
      </c>
      <c r="C983" t="s">
        <v>4470</v>
      </c>
      <c r="D983" t="s">
        <v>17151</v>
      </c>
      <c r="E983" t="s">
        <v>18134</v>
      </c>
      <c r="F983" t="s">
        <v>29372</v>
      </c>
      <c r="G983" t="s">
        <v>29379</v>
      </c>
      <c r="H983" t="s">
        <v>11048</v>
      </c>
      <c r="I983" t="s">
        <v>4709</v>
      </c>
      <c r="J983" t="s">
        <v>30274</v>
      </c>
      <c r="K983" t="s">
        <v>38490</v>
      </c>
      <c r="M983" t="s">
        <v>39140</v>
      </c>
      <c r="N983" t="s">
        <v>42669</v>
      </c>
      <c r="O983" t="s">
        <v>42670</v>
      </c>
      <c r="P983">
        <v>0</v>
      </c>
      <c r="Q983">
        <v>0</v>
      </c>
      <c r="R983" t="s">
        <v>42673</v>
      </c>
      <c r="S983" t="s">
        <v>42784</v>
      </c>
      <c r="T983" t="s">
        <v>44493</v>
      </c>
      <c r="U983" t="s">
        <v>45711</v>
      </c>
      <c r="W983" t="s">
        <v>39140</v>
      </c>
      <c r="X983" t="s">
        <v>42677</v>
      </c>
    </row>
    <row r="984" spans="1:24">
      <c r="A984">
        <f>HYPERLINK("https://www.philgeps.gov.ph/GEPSNONPILOT/Tender/SplashBidNoticeAbstractUI.aspx?menuIndex=3&amp;refID=7188711&amp;Result=3","7188711")</f>
        <v>0</v>
      </c>
      <c r="B984" t="s">
        <v>378</v>
      </c>
      <c r="C984" t="s">
        <v>4471</v>
      </c>
      <c r="D984" t="s">
        <v>17151</v>
      </c>
      <c r="E984" t="s">
        <v>18135</v>
      </c>
      <c r="F984" t="s">
        <v>29372</v>
      </c>
      <c r="G984" t="s">
        <v>29379</v>
      </c>
      <c r="H984" t="s">
        <v>11048</v>
      </c>
      <c r="I984" t="s">
        <v>3670</v>
      </c>
      <c r="J984" t="s">
        <v>30275</v>
      </c>
      <c r="K984" t="s">
        <v>38490</v>
      </c>
      <c r="M984" t="s">
        <v>39140</v>
      </c>
      <c r="N984" t="s">
        <v>42669</v>
      </c>
      <c r="O984" t="s">
        <v>42670</v>
      </c>
      <c r="P984">
        <v>0</v>
      </c>
      <c r="Q984">
        <v>2</v>
      </c>
      <c r="R984" t="s">
        <v>42673</v>
      </c>
      <c r="S984" t="s">
        <v>42784</v>
      </c>
      <c r="T984" t="s">
        <v>44493</v>
      </c>
      <c r="U984" t="s">
        <v>45712</v>
      </c>
      <c r="W984" t="s">
        <v>39140</v>
      </c>
      <c r="X984" t="s">
        <v>42677</v>
      </c>
    </row>
    <row r="985" spans="1:24">
      <c r="A985">
        <f>HYPERLINK("https://www.philgeps.gov.ph/GEPSNONPILOT/Tender/SplashBidNoticeAbstractUI.aspx?menuIndex=3&amp;refID=7193964&amp;Result=3","7193964")</f>
        <v>0</v>
      </c>
      <c r="B985" t="s">
        <v>365</v>
      </c>
      <c r="C985" t="s">
        <v>4472</v>
      </c>
      <c r="D985" t="s">
        <v>17143</v>
      </c>
      <c r="E985" t="s">
        <v>18136</v>
      </c>
      <c r="F985" t="s">
        <v>29372</v>
      </c>
      <c r="G985" t="s">
        <v>29379</v>
      </c>
      <c r="H985" t="s">
        <v>11048</v>
      </c>
      <c r="I985" t="s">
        <v>8208</v>
      </c>
      <c r="J985" t="s">
        <v>30276</v>
      </c>
      <c r="K985" t="s">
        <v>38495</v>
      </c>
      <c r="M985" t="s">
        <v>39125</v>
      </c>
      <c r="N985" t="s">
        <v>42669</v>
      </c>
      <c r="O985" t="s">
        <v>42670</v>
      </c>
      <c r="P985">
        <v>0</v>
      </c>
      <c r="Q985">
        <v>0</v>
      </c>
      <c r="R985" t="s">
        <v>42672</v>
      </c>
      <c r="S985" t="s">
        <v>42781</v>
      </c>
      <c r="T985" t="s">
        <v>44427</v>
      </c>
      <c r="U985" t="s">
        <v>45713</v>
      </c>
      <c r="W985" t="s">
        <v>58010</v>
      </c>
      <c r="X985" t="s">
        <v>42673</v>
      </c>
    </row>
    <row r="986" spans="1:24">
      <c r="A986">
        <f>HYPERLINK("https://www.philgeps.gov.ph/GEPSNONPILOT/Tender/SplashBidNoticeAbstractUI.aspx?menuIndex=3&amp;refID=7188690&amp;Result=3","7188690")</f>
        <v>0</v>
      </c>
      <c r="B986" t="s">
        <v>378</v>
      </c>
      <c r="C986" t="s">
        <v>4473</v>
      </c>
      <c r="D986" t="s">
        <v>17151</v>
      </c>
      <c r="E986" t="s">
        <v>18137</v>
      </c>
      <c r="F986" t="s">
        <v>29372</v>
      </c>
      <c r="G986" t="s">
        <v>29379</v>
      </c>
      <c r="H986" t="s">
        <v>11048</v>
      </c>
      <c r="I986" t="s">
        <v>3629</v>
      </c>
      <c r="J986" t="s">
        <v>29929</v>
      </c>
      <c r="K986" t="s">
        <v>38490</v>
      </c>
      <c r="M986" t="s">
        <v>39140</v>
      </c>
      <c r="N986" t="s">
        <v>42669</v>
      </c>
      <c r="O986" t="s">
        <v>42670</v>
      </c>
      <c r="P986">
        <v>0</v>
      </c>
      <c r="Q986">
        <v>0</v>
      </c>
      <c r="R986" t="s">
        <v>42673</v>
      </c>
      <c r="S986" t="s">
        <v>42784</v>
      </c>
      <c r="T986" t="s">
        <v>44493</v>
      </c>
      <c r="U986" t="s">
        <v>45714</v>
      </c>
      <c r="W986" t="s">
        <v>39140</v>
      </c>
      <c r="X986" t="s">
        <v>42677</v>
      </c>
    </row>
    <row r="987" spans="1:24">
      <c r="A987">
        <f>HYPERLINK("https://www.philgeps.gov.ph/GEPSNONPILOT/Tender/SplashBidNoticeAbstractUI.aspx?menuIndex=3&amp;refID=7188618&amp;Result=3","7188618")</f>
        <v>0</v>
      </c>
      <c r="B987" t="s">
        <v>378</v>
      </c>
      <c r="C987" t="s">
        <v>4474</v>
      </c>
      <c r="D987" t="s">
        <v>17151</v>
      </c>
      <c r="E987" t="s">
        <v>18138</v>
      </c>
      <c r="F987" t="s">
        <v>29372</v>
      </c>
      <c r="G987" t="s">
        <v>29379</v>
      </c>
      <c r="H987" t="s">
        <v>11048</v>
      </c>
      <c r="I987" t="s">
        <v>3670</v>
      </c>
      <c r="J987" t="s">
        <v>30277</v>
      </c>
      <c r="K987" t="s">
        <v>38490</v>
      </c>
      <c r="M987" t="s">
        <v>39140</v>
      </c>
      <c r="N987" t="s">
        <v>42669</v>
      </c>
      <c r="O987" t="s">
        <v>42670</v>
      </c>
      <c r="P987">
        <v>0</v>
      </c>
      <c r="Q987">
        <v>1</v>
      </c>
      <c r="R987" t="s">
        <v>42673</v>
      </c>
      <c r="S987" t="s">
        <v>42784</v>
      </c>
      <c r="T987" t="s">
        <v>44493</v>
      </c>
      <c r="U987" t="s">
        <v>45715</v>
      </c>
      <c r="W987" t="s">
        <v>39140</v>
      </c>
      <c r="X987" t="s">
        <v>42677</v>
      </c>
    </row>
    <row r="988" spans="1:24">
      <c r="A988">
        <f>HYPERLINK("https://www.philgeps.gov.ph/GEPSNONPILOT/Tender/SplashBidNoticeAbstractUI.aspx?menuIndex=3&amp;refID=7189209&amp;Result=3","7189209")</f>
        <v>0</v>
      </c>
      <c r="B988" t="s">
        <v>392</v>
      </c>
      <c r="C988" t="s">
        <v>4475</v>
      </c>
      <c r="D988" t="s">
        <v>17143</v>
      </c>
      <c r="E988" t="s">
        <v>18139</v>
      </c>
      <c r="F988" t="s">
        <v>29372</v>
      </c>
      <c r="G988" t="s">
        <v>29379</v>
      </c>
      <c r="H988" t="s">
        <v>11048</v>
      </c>
      <c r="I988" t="s">
        <v>4709</v>
      </c>
      <c r="J988" t="s">
        <v>30278</v>
      </c>
      <c r="K988" t="s">
        <v>38488</v>
      </c>
      <c r="M988" t="s">
        <v>39155</v>
      </c>
      <c r="N988" t="s">
        <v>42669</v>
      </c>
      <c r="O988" t="s">
        <v>42670</v>
      </c>
      <c r="P988">
        <v>0</v>
      </c>
      <c r="Q988">
        <v>0</v>
      </c>
      <c r="R988" t="s">
        <v>42673</v>
      </c>
      <c r="S988" t="s">
        <v>42784</v>
      </c>
      <c r="T988" t="s">
        <v>44469</v>
      </c>
      <c r="U988" t="s">
        <v>45709</v>
      </c>
      <c r="W988" t="s">
        <v>39155</v>
      </c>
      <c r="X988" t="s">
        <v>42677</v>
      </c>
    </row>
    <row r="989" spans="1:24">
      <c r="A989">
        <f>HYPERLINK("https://www.philgeps.gov.ph/GEPSNONPILOT/Tender/SplashBidNoticeAbstractUI.aspx?menuIndex=3&amp;refID=7188602&amp;Result=3","7188602")</f>
        <v>0</v>
      </c>
      <c r="B989" t="s">
        <v>378</v>
      </c>
      <c r="C989" t="s">
        <v>4476</v>
      </c>
      <c r="D989" t="s">
        <v>17151</v>
      </c>
      <c r="E989" t="s">
        <v>18140</v>
      </c>
      <c r="F989" t="s">
        <v>29372</v>
      </c>
      <c r="G989" t="s">
        <v>29379</v>
      </c>
      <c r="H989" t="s">
        <v>11048</v>
      </c>
      <c r="I989" t="s">
        <v>3670</v>
      </c>
      <c r="J989" t="s">
        <v>29590</v>
      </c>
      <c r="K989" t="s">
        <v>38490</v>
      </c>
      <c r="M989" t="s">
        <v>39140</v>
      </c>
      <c r="N989" t="s">
        <v>42669</v>
      </c>
      <c r="O989" t="s">
        <v>42670</v>
      </c>
      <c r="P989">
        <v>0</v>
      </c>
      <c r="Q989">
        <v>0</v>
      </c>
      <c r="R989" t="s">
        <v>42673</v>
      </c>
      <c r="S989" t="s">
        <v>42784</v>
      </c>
      <c r="T989" t="s">
        <v>44493</v>
      </c>
      <c r="U989" t="s">
        <v>45716</v>
      </c>
      <c r="W989" t="s">
        <v>39140</v>
      </c>
      <c r="X989" t="s">
        <v>42677</v>
      </c>
    </row>
    <row r="990" spans="1:24">
      <c r="A990">
        <f>HYPERLINK("https://www.philgeps.gov.ph/GEPSNONPILOT/Tender/SplashBidNoticeAbstractUI.aspx?menuIndex=3&amp;refID=7188570&amp;Result=3","7188570")</f>
        <v>0</v>
      </c>
      <c r="B990" t="s">
        <v>378</v>
      </c>
      <c r="C990" t="s">
        <v>4477</v>
      </c>
      <c r="D990" t="s">
        <v>17151</v>
      </c>
      <c r="E990" t="s">
        <v>18141</v>
      </c>
      <c r="F990" t="s">
        <v>29372</v>
      </c>
      <c r="G990" t="s">
        <v>29382</v>
      </c>
      <c r="H990" t="s">
        <v>11048</v>
      </c>
      <c r="I990" t="s">
        <v>4487</v>
      </c>
      <c r="J990" t="s">
        <v>30279</v>
      </c>
      <c r="K990" t="s">
        <v>38490</v>
      </c>
      <c r="M990" t="s">
        <v>39140</v>
      </c>
      <c r="N990" t="s">
        <v>42669</v>
      </c>
      <c r="O990" t="s">
        <v>42670</v>
      </c>
      <c r="P990">
        <v>0</v>
      </c>
      <c r="Q990">
        <v>0</v>
      </c>
      <c r="R990" t="s">
        <v>42673</v>
      </c>
      <c r="S990" t="s">
        <v>42784</v>
      </c>
      <c r="T990" t="s">
        <v>44493</v>
      </c>
      <c r="U990" t="s">
        <v>45717</v>
      </c>
      <c r="W990" t="s">
        <v>39140</v>
      </c>
      <c r="X990" t="s">
        <v>42677</v>
      </c>
    </row>
    <row r="991" spans="1:24">
      <c r="A991">
        <f>HYPERLINK("https://www.philgeps.gov.ph/GEPSNONPILOT/Tender/SplashBidNoticeAbstractUI.aspx?menuIndex=3&amp;refID=7189244&amp;Result=3","7189244")</f>
        <v>0</v>
      </c>
      <c r="B991" t="s">
        <v>392</v>
      </c>
      <c r="C991" t="s">
        <v>4478</v>
      </c>
      <c r="D991" t="s">
        <v>17143</v>
      </c>
      <c r="E991" t="s">
        <v>18142</v>
      </c>
      <c r="F991" t="s">
        <v>29372</v>
      </c>
      <c r="G991" t="s">
        <v>29379</v>
      </c>
      <c r="H991" t="s">
        <v>11048</v>
      </c>
      <c r="I991" t="s">
        <v>29401</v>
      </c>
      <c r="J991" t="s">
        <v>29526</v>
      </c>
      <c r="K991" t="s">
        <v>38488</v>
      </c>
      <c r="M991" t="s">
        <v>39155</v>
      </c>
      <c r="N991" t="s">
        <v>42669</v>
      </c>
      <c r="O991" t="s">
        <v>42670</v>
      </c>
      <c r="P991">
        <v>0</v>
      </c>
      <c r="Q991">
        <v>0</v>
      </c>
      <c r="R991" t="s">
        <v>42673</v>
      </c>
      <c r="S991" t="s">
        <v>42784</v>
      </c>
      <c r="T991" t="s">
        <v>44469</v>
      </c>
      <c r="U991" t="s">
        <v>45709</v>
      </c>
      <c r="W991" t="s">
        <v>39155</v>
      </c>
      <c r="X991" t="s">
        <v>42677</v>
      </c>
    </row>
    <row r="992" spans="1:24">
      <c r="A992">
        <f>HYPERLINK("https://www.philgeps.gov.ph/GEPSNONPILOT/Tender/SplashBidNoticeAbstractUI.aspx?menuIndex=3&amp;refID=7188645&amp;Result=3","7188645")</f>
        <v>0</v>
      </c>
      <c r="B992" t="s">
        <v>378</v>
      </c>
      <c r="C992" t="s">
        <v>4479</v>
      </c>
      <c r="D992" t="s">
        <v>17151</v>
      </c>
      <c r="E992" t="s">
        <v>18143</v>
      </c>
      <c r="F992" t="s">
        <v>29372</v>
      </c>
      <c r="G992" t="s">
        <v>29382</v>
      </c>
      <c r="H992" t="s">
        <v>11048</v>
      </c>
      <c r="I992" t="s">
        <v>4487</v>
      </c>
      <c r="J992" t="s">
        <v>30280</v>
      </c>
      <c r="K992" t="s">
        <v>38490</v>
      </c>
      <c r="M992" t="s">
        <v>39140</v>
      </c>
      <c r="N992" t="s">
        <v>42669</v>
      </c>
      <c r="O992" t="s">
        <v>42670</v>
      </c>
      <c r="P992">
        <v>0</v>
      </c>
      <c r="Q992">
        <v>1</v>
      </c>
      <c r="R992" t="s">
        <v>42673</v>
      </c>
      <c r="S992" t="s">
        <v>42784</v>
      </c>
      <c r="T992" t="s">
        <v>44493</v>
      </c>
      <c r="U992" t="s">
        <v>45718</v>
      </c>
      <c r="W992" t="s">
        <v>39140</v>
      </c>
      <c r="X992" t="s">
        <v>42677</v>
      </c>
    </row>
    <row r="993" spans="1:24">
      <c r="A993">
        <f>HYPERLINK("https://www.philgeps.gov.ph/GEPSNONPILOT/Tender/SplashBidNoticeAbstractUI.aspx?menuIndex=3&amp;refID=7193896&amp;Result=3","7193896")</f>
        <v>0</v>
      </c>
      <c r="B993" t="s">
        <v>357</v>
      </c>
      <c r="C993" t="s">
        <v>4388</v>
      </c>
      <c r="D993" t="s">
        <v>17148</v>
      </c>
      <c r="E993" t="s">
        <v>18144</v>
      </c>
      <c r="F993" t="s">
        <v>29373</v>
      </c>
      <c r="G993" t="s">
        <v>29383</v>
      </c>
      <c r="H993" t="s">
        <v>11048</v>
      </c>
      <c r="I993" t="s">
        <v>3670</v>
      </c>
      <c r="J993" t="s">
        <v>29824</v>
      </c>
      <c r="K993" t="s">
        <v>38488</v>
      </c>
      <c r="M993" t="s">
        <v>39116</v>
      </c>
      <c r="N993" t="s">
        <v>42669</v>
      </c>
      <c r="O993" t="s">
        <v>42670</v>
      </c>
      <c r="P993">
        <v>0</v>
      </c>
      <c r="Q993">
        <v>1</v>
      </c>
      <c r="R993" t="s">
        <v>42672</v>
      </c>
      <c r="S993" t="s">
        <v>42781</v>
      </c>
      <c r="T993" t="s">
        <v>44427</v>
      </c>
      <c r="U993" t="s">
        <v>45719</v>
      </c>
      <c r="W993" t="s">
        <v>39116</v>
      </c>
      <c r="X993" t="s">
        <v>42673</v>
      </c>
    </row>
    <row r="994" spans="1:24">
      <c r="A994">
        <f>HYPERLINK("https://www.philgeps.gov.ph/GEPSNONPILOT/Tender/SplashBidNoticeAbstractUI.aspx?menuIndex=3&amp;refID=7188623&amp;Result=3","7188623")</f>
        <v>0</v>
      </c>
      <c r="B994" t="s">
        <v>393</v>
      </c>
      <c r="C994" t="s">
        <v>4480</v>
      </c>
      <c r="D994" t="s">
        <v>17189</v>
      </c>
      <c r="E994" t="s">
        <v>17807</v>
      </c>
      <c r="F994" t="s">
        <v>29372</v>
      </c>
      <c r="G994" t="s">
        <v>29382</v>
      </c>
      <c r="H994" t="s">
        <v>11048</v>
      </c>
      <c r="I994" t="s">
        <v>29412</v>
      </c>
      <c r="J994" t="s">
        <v>30281</v>
      </c>
      <c r="K994" t="s">
        <v>38510</v>
      </c>
      <c r="M994" t="s">
        <v>39156</v>
      </c>
      <c r="N994" t="s">
        <v>42669</v>
      </c>
      <c r="O994" t="s">
        <v>42670</v>
      </c>
      <c r="P994">
        <v>0</v>
      </c>
      <c r="Q994">
        <v>10</v>
      </c>
      <c r="R994" t="s">
        <v>42673</v>
      </c>
      <c r="S994" t="s">
        <v>42784</v>
      </c>
      <c r="T994" t="s">
        <v>44429</v>
      </c>
      <c r="U994" t="s">
        <v>45720</v>
      </c>
      <c r="W994" t="s">
        <v>39156</v>
      </c>
      <c r="X994" t="s">
        <v>42677</v>
      </c>
    </row>
    <row r="995" spans="1:24">
      <c r="A995">
        <f>HYPERLINK("https://www.philgeps.gov.ph/GEPSNONPILOT/Tender/SplashBidNoticeAbstractUI.aspx?menuIndex=3&amp;refID=7192067&amp;Result=3","7192067")</f>
        <v>0</v>
      </c>
      <c r="B995" t="s">
        <v>394</v>
      </c>
      <c r="C995" t="s">
        <v>4481</v>
      </c>
      <c r="D995" t="s">
        <v>17170</v>
      </c>
      <c r="E995" t="s">
        <v>18145</v>
      </c>
      <c r="F995" t="s">
        <v>29372</v>
      </c>
      <c r="G995" t="s">
        <v>29380</v>
      </c>
      <c r="H995" t="s">
        <v>11048</v>
      </c>
      <c r="I995" t="s">
        <v>29425</v>
      </c>
      <c r="J995" t="s">
        <v>30282</v>
      </c>
      <c r="K995" t="s">
        <v>38496</v>
      </c>
      <c r="M995" t="s">
        <v>39157</v>
      </c>
      <c r="N995" t="s">
        <v>42669</v>
      </c>
      <c r="O995" t="s">
        <v>42670</v>
      </c>
      <c r="P995">
        <v>0</v>
      </c>
      <c r="Q995">
        <v>3</v>
      </c>
      <c r="R995" t="s">
        <v>42673</v>
      </c>
      <c r="S995" t="s">
        <v>42784</v>
      </c>
      <c r="T995" t="s">
        <v>44395</v>
      </c>
      <c r="U995" t="s">
        <v>45721</v>
      </c>
      <c r="W995" t="s">
        <v>39157</v>
      </c>
      <c r="X995" t="s">
        <v>42676</v>
      </c>
    </row>
    <row r="996" spans="1:24">
      <c r="A996">
        <f>HYPERLINK("https://www.philgeps.gov.ph/GEPSNONPILOT/Tender/SplashBidNoticeAbstractUI.aspx?menuIndex=3&amp;refID=7188585&amp;Result=3","7188585")</f>
        <v>0</v>
      </c>
      <c r="B996" t="s">
        <v>378</v>
      </c>
      <c r="C996" t="s">
        <v>4482</v>
      </c>
      <c r="D996" t="s">
        <v>17151</v>
      </c>
      <c r="E996" t="s">
        <v>18146</v>
      </c>
      <c r="F996" t="s">
        <v>29372</v>
      </c>
      <c r="G996" t="s">
        <v>29382</v>
      </c>
      <c r="H996" t="s">
        <v>11048</v>
      </c>
      <c r="I996" t="s">
        <v>4487</v>
      </c>
      <c r="J996" t="s">
        <v>30283</v>
      </c>
      <c r="K996" t="s">
        <v>38490</v>
      </c>
      <c r="M996" t="s">
        <v>39140</v>
      </c>
      <c r="N996" t="s">
        <v>42669</v>
      </c>
      <c r="O996" t="s">
        <v>42670</v>
      </c>
      <c r="P996">
        <v>0</v>
      </c>
      <c r="Q996">
        <v>1</v>
      </c>
      <c r="R996" t="s">
        <v>42673</v>
      </c>
      <c r="S996" t="s">
        <v>42784</v>
      </c>
      <c r="T996" t="s">
        <v>44493</v>
      </c>
      <c r="U996" t="s">
        <v>45717</v>
      </c>
      <c r="W996" t="s">
        <v>39140</v>
      </c>
      <c r="X996" t="s">
        <v>42677</v>
      </c>
    </row>
    <row r="997" spans="1:24">
      <c r="A997">
        <f>HYPERLINK("https://www.philgeps.gov.ph/GEPSNONPILOT/Tender/SplashBidNoticeAbstractUI.aspx?menuIndex=3&amp;refID=7192013&amp;Result=3","7192013")</f>
        <v>0</v>
      </c>
      <c r="B997" t="s">
        <v>395</v>
      </c>
      <c r="C997" t="s">
        <v>4483</v>
      </c>
      <c r="D997" t="s">
        <v>17141</v>
      </c>
      <c r="E997" t="s">
        <v>18147</v>
      </c>
      <c r="F997" t="s">
        <v>29372</v>
      </c>
      <c r="G997" t="s">
        <v>29379</v>
      </c>
      <c r="H997" t="s">
        <v>11048</v>
      </c>
      <c r="I997" t="s">
        <v>10408</v>
      </c>
      <c r="J997" t="s">
        <v>30284</v>
      </c>
      <c r="K997" t="s">
        <v>38557</v>
      </c>
      <c r="M997" t="s">
        <v>39158</v>
      </c>
      <c r="N997" t="s">
        <v>42669</v>
      </c>
      <c r="O997" t="s">
        <v>42670</v>
      </c>
      <c r="P997">
        <v>0</v>
      </c>
      <c r="Q997">
        <v>0</v>
      </c>
      <c r="R997" t="s">
        <v>42673</v>
      </c>
      <c r="S997" t="s">
        <v>42784</v>
      </c>
      <c r="T997" t="s">
        <v>44470</v>
      </c>
      <c r="U997" t="s">
        <v>45722</v>
      </c>
      <c r="W997" t="s">
        <v>39158</v>
      </c>
      <c r="X997" t="s">
        <v>42676</v>
      </c>
    </row>
    <row r="998" spans="1:24">
      <c r="A998">
        <f>HYPERLINK("https://www.philgeps.gov.ph/GEPSNONPILOT/Tender/SplashBidNoticeAbstractUI.aspx?menuIndex=3&amp;refID=7186159&amp;Result=3","7186159")</f>
        <v>0</v>
      </c>
      <c r="B998" t="s">
        <v>382</v>
      </c>
      <c r="C998" t="s">
        <v>4484</v>
      </c>
      <c r="D998" t="s">
        <v>17192</v>
      </c>
      <c r="E998" t="s">
        <v>18148</v>
      </c>
      <c r="F998" t="s">
        <v>29372</v>
      </c>
      <c r="G998" t="s">
        <v>29379</v>
      </c>
      <c r="H998" t="s">
        <v>11048</v>
      </c>
      <c r="I998" t="s">
        <v>29403</v>
      </c>
      <c r="J998" t="s">
        <v>30285</v>
      </c>
      <c r="K998" t="s">
        <v>38490</v>
      </c>
      <c r="M998" t="s">
        <v>39144</v>
      </c>
      <c r="N998" t="s">
        <v>42669</v>
      </c>
      <c r="O998" t="s">
        <v>42670</v>
      </c>
      <c r="P998">
        <v>0</v>
      </c>
      <c r="Q998">
        <v>0</v>
      </c>
      <c r="R998" t="s">
        <v>42673</v>
      </c>
      <c r="S998" t="s">
        <v>42784</v>
      </c>
      <c r="T998" t="s">
        <v>44488</v>
      </c>
      <c r="U998" t="s">
        <v>45723</v>
      </c>
      <c r="W998" t="s">
        <v>39144</v>
      </c>
      <c r="X998" t="s">
        <v>42678</v>
      </c>
    </row>
    <row r="999" spans="1:24">
      <c r="A999">
        <f>HYPERLINK("https://www.philgeps.gov.ph/GEPSNONPILOT/Tender/SplashBidNoticeAbstractUI.aspx?menuIndex=3&amp;refID=7193897&amp;Result=3","7193897")</f>
        <v>0</v>
      </c>
      <c r="B999" t="s">
        <v>357</v>
      </c>
      <c r="C999" t="s">
        <v>4388</v>
      </c>
      <c r="D999" t="s">
        <v>17180</v>
      </c>
      <c r="E999" t="s">
        <v>18149</v>
      </c>
      <c r="F999" t="s">
        <v>29373</v>
      </c>
      <c r="G999" t="s">
        <v>29383</v>
      </c>
      <c r="H999" t="s">
        <v>11048</v>
      </c>
      <c r="I999" t="s">
        <v>3670</v>
      </c>
      <c r="J999" t="s">
        <v>29824</v>
      </c>
      <c r="K999" t="s">
        <v>38488</v>
      </c>
      <c r="M999" t="s">
        <v>39116</v>
      </c>
      <c r="N999" t="s">
        <v>42669</v>
      </c>
      <c r="O999" t="s">
        <v>42670</v>
      </c>
      <c r="P999">
        <v>0</v>
      </c>
      <c r="Q999">
        <v>1</v>
      </c>
      <c r="R999" t="s">
        <v>42672</v>
      </c>
      <c r="S999" t="s">
        <v>42781</v>
      </c>
      <c r="T999" t="s">
        <v>44427</v>
      </c>
      <c r="U999" t="s">
        <v>45724</v>
      </c>
      <c r="W999" t="s">
        <v>39116</v>
      </c>
      <c r="X999" t="s">
        <v>42673</v>
      </c>
    </row>
    <row r="1000" spans="1:24">
      <c r="A1000">
        <f>HYPERLINK("https://www.philgeps.gov.ph/GEPSNONPILOT/Tender/SplashBidNoticeAbstractUI.aspx?menuIndex=3&amp;refID=7191978&amp;Result=3","7191978")</f>
        <v>0</v>
      </c>
      <c r="B1000" t="s">
        <v>395</v>
      </c>
      <c r="C1000" t="s">
        <v>4485</v>
      </c>
      <c r="D1000" t="s">
        <v>17141</v>
      </c>
      <c r="E1000" t="s">
        <v>18150</v>
      </c>
      <c r="F1000" t="s">
        <v>29372</v>
      </c>
      <c r="G1000" t="s">
        <v>29379</v>
      </c>
      <c r="H1000" t="s">
        <v>11048</v>
      </c>
      <c r="I1000" t="s">
        <v>29447</v>
      </c>
      <c r="J1000" t="s">
        <v>30286</v>
      </c>
      <c r="K1000" t="s">
        <v>38491</v>
      </c>
      <c r="M1000" t="s">
        <v>39158</v>
      </c>
      <c r="N1000" t="s">
        <v>42669</v>
      </c>
      <c r="O1000" t="s">
        <v>42670</v>
      </c>
      <c r="P1000">
        <v>0</v>
      </c>
      <c r="Q1000">
        <v>0</v>
      </c>
      <c r="R1000" t="s">
        <v>42673</v>
      </c>
      <c r="S1000" t="s">
        <v>42784</v>
      </c>
      <c r="T1000" t="s">
        <v>44470</v>
      </c>
      <c r="U1000" t="s">
        <v>45725</v>
      </c>
      <c r="W1000" t="s">
        <v>39158</v>
      </c>
      <c r="X1000" t="s">
        <v>42676</v>
      </c>
    </row>
    <row r="1001" spans="1:24">
      <c r="A1001">
        <f>HYPERLINK("https://www.philgeps.gov.ph/GEPSNONPILOT/Tender/SplashBidNoticeAbstractUI.aspx?menuIndex=3&amp;refID=7191582&amp;Result=3","7191582")</f>
        <v>0</v>
      </c>
      <c r="B1001" t="s">
        <v>292</v>
      </c>
      <c r="C1001" t="s">
        <v>4486</v>
      </c>
      <c r="D1001" t="s">
        <v>17151</v>
      </c>
      <c r="E1001" t="s">
        <v>18151</v>
      </c>
      <c r="F1001" t="s">
        <v>29372</v>
      </c>
      <c r="G1001" t="s">
        <v>29379</v>
      </c>
      <c r="H1001" t="s">
        <v>11048</v>
      </c>
      <c r="I1001" t="s">
        <v>4486</v>
      </c>
      <c r="J1001" t="s">
        <v>30287</v>
      </c>
      <c r="K1001" t="s">
        <v>38528</v>
      </c>
      <c r="M1001" t="s">
        <v>39051</v>
      </c>
      <c r="N1001" t="s">
        <v>42669</v>
      </c>
      <c r="O1001" t="s">
        <v>42670</v>
      </c>
      <c r="P1001">
        <v>0</v>
      </c>
      <c r="Q1001">
        <v>1</v>
      </c>
      <c r="R1001" t="s">
        <v>42673</v>
      </c>
      <c r="S1001" t="s">
        <v>42784</v>
      </c>
      <c r="T1001" t="s">
        <v>44427</v>
      </c>
      <c r="U1001" t="s">
        <v>45726</v>
      </c>
      <c r="V1001" t="s">
        <v>56414</v>
      </c>
      <c r="W1001" t="s">
        <v>39051</v>
      </c>
      <c r="X1001" t="s">
        <v>42676</v>
      </c>
    </row>
    <row r="1002" spans="1:24">
      <c r="A1002">
        <f>HYPERLINK("https://www.philgeps.gov.ph/GEPSNONPILOT/Tender/SplashBidNoticeAbstractUI.aspx?menuIndex=3&amp;refID=7191550&amp;Result=3","7191550")</f>
        <v>0</v>
      </c>
      <c r="B1002" t="s">
        <v>292</v>
      </c>
      <c r="C1002" t="s">
        <v>4487</v>
      </c>
      <c r="D1002" t="s">
        <v>17151</v>
      </c>
      <c r="E1002" t="s">
        <v>18152</v>
      </c>
      <c r="F1002" t="s">
        <v>29372</v>
      </c>
      <c r="G1002" t="s">
        <v>29379</v>
      </c>
      <c r="H1002" t="s">
        <v>11048</v>
      </c>
      <c r="I1002" t="s">
        <v>4487</v>
      </c>
      <c r="J1002" t="s">
        <v>30288</v>
      </c>
      <c r="K1002" t="s">
        <v>38528</v>
      </c>
      <c r="M1002" t="s">
        <v>39051</v>
      </c>
      <c r="N1002" t="s">
        <v>42669</v>
      </c>
      <c r="O1002" t="s">
        <v>42670</v>
      </c>
      <c r="P1002">
        <v>0</v>
      </c>
      <c r="Q1002">
        <v>0</v>
      </c>
      <c r="R1002" t="s">
        <v>42673</v>
      </c>
      <c r="S1002" t="s">
        <v>42784</v>
      </c>
      <c r="T1002" t="s">
        <v>44427</v>
      </c>
      <c r="U1002" t="s">
        <v>45727</v>
      </c>
      <c r="V1002" t="s">
        <v>56414</v>
      </c>
      <c r="W1002" t="s">
        <v>39051</v>
      </c>
      <c r="X1002" t="s">
        <v>42676</v>
      </c>
    </row>
    <row r="1003" spans="1:24">
      <c r="A1003">
        <f>HYPERLINK("https://www.philgeps.gov.ph/GEPSNONPILOT/Tender/SplashBidNoticeAbstractUI.aspx?menuIndex=3&amp;refID=7191155&amp;Result=3","7191155")</f>
        <v>0</v>
      </c>
      <c r="B1003" t="s">
        <v>396</v>
      </c>
      <c r="C1003" t="s">
        <v>4488</v>
      </c>
      <c r="D1003" t="s">
        <v>17212</v>
      </c>
      <c r="E1003" t="s">
        <v>17648</v>
      </c>
      <c r="F1003" t="s">
        <v>29372</v>
      </c>
      <c r="G1003" t="s">
        <v>29380</v>
      </c>
      <c r="H1003" t="s">
        <v>11048</v>
      </c>
      <c r="I1003" t="s">
        <v>4709</v>
      </c>
      <c r="J1003" t="s">
        <v>30289</v>
      </c>
      <c r="K1003" t="s">
        <v>38489</v>
      </c>
      <c r="M1003" t="s">
        <v>39159</v>
      </c>
      <c r="N1003" t="s">
        <v>42669</v>
      </c>
      <c r="O1003" t="s">
        <v>42670</v>
      </c>
      <c r="P1003">
        <v>0</v>
      </c>
      <c r="Q1003">
        <v>0</v>
      </c>
      <c r="R1003" t="s">
        <v>42673</v>
      </c>
      <c r="S1003" t="s">
        <v>42784</v>
      </c>
      <c r="T1003" t="s">
        <v>44497</v>
      </c>
      <c r="U1003" t="s">
        <v>45728</v>
      </c>
      <c r="W1003" t="s">
        <v>39159</v>
      </c>
      <c r="X1003" t="s">
        <v>42676</v>
      </c>
    </row>
    <row r="1004" spans="1:24">
      <c r="A1004">
        <f>HYPERLINK("https://www.philgeps.gov.ph/GEPSNONPILOT/Tender/SplashBidNoticeAbstractUI.aspx?menuIndex=3&amp;refID=7191134&amp;Result=3","7191134")</f>
        <v>0</v>
      </c>
      <c r="B1004" t="s">
        <v>397</v>
      </c>
      <c r="C1004" t="s">
        <v>4489</v>
      </c>
      <c r="D1004" t="s">
        <v>17163</v>
      </c>
      <c r="E1004" t="s">
        <v>18153</v>
      </c>
      <c r="F1004" t="s">
        <v>29372</v>
      </c>
      <c r="G1004" t="s">
        <v>29379</v>
      </c>
      <c r="H1004" t="s">
        <v>11048</v>
      </c>
      <c r="I1004" t="s">
        <v>29460</v>
      </c>
      <c r="J1004" t="s">
        <v>30290</v>
      </c>
      <c r="K1004" t="s">
        <v>38485</v>
      </c>
      <c r="M1004" t="s">
        <v>39160</v>
      </c>
      <c r="N1004" t="s">
        <v>42669</v>
      </c>
      <c r="O1004" t="s">
        <v>42670</v>
      </c>
      <c r="P1004">
        <v>0</v>
      </c>
      <c r="Q1004">
        <v>4</v>
      </c>
      <c r="R1004" t="s">
        <v>42673</v>
      </c>
      <c r="S1004" t="s">
        <v>42784</v>
      </c>
      <c r="T1004" t="s">
        <v>44488</v>
      </c>
      <c r="U1004" t="s">
        <v>45729</v>
      </c>
      <c r="V1004" t="s">
        <v>56448</v>
      </c>
      <c r="W1004" t="s">
        <v>39160</v>
      </c>
      <c r="X1004" t="s">
        <v>42676</v>
      </c>
    </row>
    <row r="1005" spans="1:24">
      <c r="A1005">
        <f>HYPERLINK("https://www.philgeps.gov.ph/GEPSNONPILOT/Tender/SplashBidNoticeAbstractUI.aspx?menuIndex=3&amp;refID=7191785&amp;Result=3","7191785")</f>
        <v>0</v>
      </c>
      <c r="B1005" t="s">
        <v>395</v>
      </c>
      <c r="C1005" t="s">
        <v>4490</v>
      </c>
      <c r="D1005" t="s">
        <v>17141</v>
      </c>
      <c r="E1005" t="s">
        <v>18154</v>
      </c>
      <c r="F1005" t="s">
        <v>29372</v>
      </c>
      <c r="G1005" t="s">
        <v>29379</v>
      </c>
      <c r="H1005" t="s">
        <v>11048</v>
      </c>
      <c r="I1005" t="s">
        <v>10408</v>
      </c>
      <c r="J1005" t="s">
        <v>30291</v>
      </c>
      <c r="K1005" t="s">
        <v>38518</v>
      </c>
      <c r="M1005" t="s">
        <v>39158</v>
      </c>
      <c r="N1005" t="s">
        <v>42669</v>
      </c>
      <c r="O1005" t="s">
        <v>42670</v>
      </c>
      <c r="P1005">
        <v>0</v>
      </c>
      <c r="Q1005">
        <v>0</v>
      </c>
      <c r="R1005" t="s">
        <v>42673</v>
      </c>
      <c r="S1005" t="s">
        <v>42784</v>
      </c>
      <c r="T1005" t="s">
        <v>44488</v>
      </c>
      <c r="U1005" t="s">
        <v>45730</v>
      </c>
      <c r="W1005" t="s">
        <v>39158</v>
      </c>
      <c r="X1005" t="s">
        <v>42676</v>
      </c>
    </row>
    <row r="1006" spans="1:24">
      <c r="A1006">
        <f>HYPERLINK("https://www.philgeps.gov.ph/GEPSNONPILOT/Tender/SplashBidNoticeAbstractUI.aspx?menuIndex=3&amp;refID=7191102&amp;Result=3","7191102")</f>
        <v>0</v>
      </c>
      <c r="B1006" t="s">
        <v>397</v>
      </c>
      <c r="C1006" t="s">
        <v>4491</v>
      </c>
      <c r="D1006" t="s">
        <v>17163</v>
      </c>
      <c r="E1006" t="s">
        <v>18155</v>
      </c>
      <c r="F1006" t="s">
        <v>29372</v>
      </c>
      <c r="G1006" t="s">
        <v>29379</v>
      </c>
      <c r="H1006" t="s">
        <v>11048</v>
      </c>
      <c r="I1006" t="s">
        <v>29460</v>
      </c>
      <c r="J1006" t="s">
        <v>29825</v>
      </c>
      <c r="K1006" t="s">
        <v>38485</v>
      </c>
      <c r="M1006" t="s">
        <v>39160</v>
      </c>
      <c r="N1006" t="s">
        <v>42669</v>
      </c>
      <c r="O1006" t="s">
        <v>42670</v>
      </c>
      <c r="P1006">
        <v>0</v>
      </c>
      <c r="Q1006">
        <v>1</v>
      </c>
      <c r="R1006" t="s">
        <v>42673</v>
      </c>
      <c r="S1006" t="s">
        <v>42784</v>
      </c>
      <c r="T1006" t="s">
        <v>44488</v>
      </c>
      <c r="U1006" t="s">
        <v>45729</v>
      </c>
      <c r="V1006" t="s">
        <v>56449</v>
      </c>
      <c r="W1006" t="s">
        <v>39160</v>
      </c>
      <c r="X1006" t="s">
        <v>42676</v>
      </c>
    </row>
    <row r="1007" spans="1:24">
      <c r="A1007">
        <f>HYPERLINK("https://www.philgeps.gov.ph/GEPSNONPILOT/Tender/SplashBidNoticeAbstractUI.aspx?menuIndex=3&amp;refID=7191089&amp;Result=3","7191089")</f>
        <v>0</v>
      </c>
      <c r="B1007" t="s">
        <v>397</v>
      </c>
      <c r="C1007" t="s">
        <v>4492</v>
      </c>
      <c r="D1007" t="s">
        <v>17163</v>
      </c>
      <c r="E1007" t="s">
        <v>18156</v>
      </c>
      <c r="F1007" t="s">
        <v>29372</v>
      </c>
      <c r="G1007" t="s">
        <v>29379</v>
      </c>
      <c r="H1007" t="s">
        <v>11048</v>
      </c>
      <c r="I1007" t="s">
        <v>29460</v>
      </c>
      <c r="J1007" t="s">
        <v>30292</v>
      </c>
      <c r="K1007" t="s">
        <v>38485</v>
      </c>
      <c r="M1007" t="s">
        <v>39160</v>
      </c>
      <c r="N1007" t="s">
        <v>42669</v>
      </c>
      <c r="O1007" t="s">
        <v>42670</v>
      </c>
      <c r="P1007">
        <v>0</v>
      </c>
      <c r="Q1007">
        <v>3</v>
      </c>
      <c r="R1007" t="s">
        <v>42673</v>
      </c>
      <c r="S1007" t="s">
        <v>42784</v>
      </c>
      <c r="T1007" t="s">
        <v>44488</v>
      </c>
      <c r="U1007" t="s">
        <v>45729</v>
      </c>
      <c r="V1007" t="s">
        <v>56448</v>
      </c>
      <c r="W1007" t="s">
        <v>39160</v>
      </c>
      <c r="X1007" t="s">
        <v>42676</v>
      </c>
    </row>
    <row r="1008" spans="1:24">
      <c r="A1008">
        <f>HYPERLINK("https://www.philgeps.gov.ph/GEPSNONPILOT/Tender/SplashBidNoticeAbstractUI.aspx?menuIndex=3&amp;refID=7191062&amp;Result=3","7191062")</f>
        <v>0</v>
      </c>
      <c r="B1008" t="s">
        <v>397</v>
      </c>
      <c r="C1008" t="s">
        <v>4493</v>
      </c>
      <c r="D1008" t="s">
        <v>17163</v>
      </c>
      <c r="E1008" t="s">
        <v>18157</v>
      </c>
      <c r="F1008" t="s">
        <v>29372</v>
      </c>
      <c r="G1008" t="s">
        <v>29379</v>
      </c>
      <c r="H1008" t="s">
        <v>11048</v>
      </c>
      <c r="I1008" t="s">
        <v>29460</v>
      </c>
      <c r="J1008" t="s">
        <v>30293</v>
      </c>
      <c r="K1008" t="s">
        <v>38485</v>
      </c>
      <c r="M1008" t="s">
        <v>39160</v>
      </c>
      <c r="N1008" t="s">
        <v>42669</v>
      </c>
      <c r="O1008" t="s">
        <v>42670</v>
      </c>
      <c r="P1008">
        <v>0</v>
      </c>
      <c r="Q1008">
        <v>2</v>
      </c>
      <c r="R1008" t="s">
        <v>42673</v>
      </c>
      <c r="S1008" t="s">
        <v>42784</v>
      </c>
      <c r="T1008" t="s">
        <v>44488</v>
      </c>
      <c r="U1008" t="s">
        <v>45729</v>
      </c>
      <c r="V1008" t="s">
        <v>56448</v>
      </c>
      <c r="W1008" t="s">
        <v>39160</v>
      </c>
      <c r="X1008" t="s">
        <v>42676</v>
      </c>
    </row>
    <row r="1009" spans="1:24">
      <c r="A1009">
        <f>HYPERLINK("https://www.philgeps.gov.ph/GEPSNONPILOT/Tender/SplashBidNoticeAbstractUI.aspx?menuIndex=3&amp;refID=7191391&amp;Result=3","7191391")</f>
        <v>0</v>
      </c>
      <c r="B1009" t="s">
        <v>398</v>
      </c>
      <c r="C1009" t="s">
        <v>4494</v>
      </c>
      <c r="D1009" t="s">
        <v>17151</v>
      </c>
      <c r="E1009" t="s">
        <v>18158</v>
      </c>
      <c r="F1009" t="s">
        <v>29372</v>
      </c>
      <c r="G1009" t="s">
        <v>29379</v>
      </c>
      <c r="H1009" t="s">
        <v>11048</v>
      </c>
      <c r="I1009" t="s">
        <v>29407</v>
      </c>
      <c r="J1009" t="s">
        <v>30294</v>
      </c>
      <c r="K1009" t="s">
        <v>38538</v>
      </c>
      <c r="M1009" t="s">
        <v>39161</v>
      </c>
      <c r="N1009" t="s">
        <v>42669</v>
      </c>
      <c r="O1009" t="s">
        <v>42670</v>
      </c>
      <c r="P1009">
        <v>0</v>
      </c>
      <c r="Q1009">
        <v>2</v>
      </c>
      <c r="R1009" t="s">
        <v>42673</v>
      </c>
      <c r="S1009" t="s">
        <v>42784</v>
      </c>
      <c r="T1009" t="s">
        <v>44498</v>
      </c>
      <c r="U1009" t="s">
        <v>45731</v>
      </c>
      <c r="V1009" t="s">
        <v>56450</v>
      </c>
      <c r="W1009" t="s">
        <v>39161</v>
      </c>
      <c r="X1009" t="s">
        <v>42676</v>
      </c>
    </row>
    <row r="1010" spans="1:24">
      <c r="A1010">
        <f>HYPERLINK("https://www.philgeps.gov.ph/GEPSNONPILOT/Tender/SplashBidNoticeAbstractUI.aspx?menuIndex=3&amp;refID=7190662&amp;Result=3","7190662")</f>
        <v>0</v>
      </c>
      <c r="B1010" t="s">
        <v>398</v>
      </c>
      <c r="C1010" t="s">
        <v>4495</v>
      </c>
      <c r="D1010" t="s">
        <v>17151</v>
      </c>
      <c r="E1010" t="s">
        <v>18159</v>
      </c>
      <c r="F1010" t="s">
        <v>29372</v>
      </c>
      <c r="G1010" t="s">
        <v>29379</v>
      </c>
      <c r="H1010" t="s">
        <v>11048</v>
      </c>
      <c r="I1010" t="s">
        <v>29394</v>
      </c>
      <c r="J1010" t="s">
        <v>29555</v>
      </c>
      <c r="K1010" t="s">
        <v>38485</v>
      </c>
      <c r="M1010" t="s">
        <v>39161</v>
      </c>
      <c r="N1010" t="s">
        <v>42669</v>
      </c>
      <c r="O1010" t="s">
        <v>42670</v>
      </c>
      <c r="P1010">
        <v>0</v>
      </c>
      <c r="Q1010">
        <v>0</v>
      </c>
      <c r="R1010" t="s">
        <v>42673</v>
      </c>
      <c r="S1010" t="s">
        <v>42784</v>
      </c>
      <c r="T1010" t="s">
        <v>44427</v>
      </c>
      <c r="U1010" t="s">
        <v>45732</v>
      </c>
      <c r="V1010" t="s">
        <v>56451</v>
      </c>
      <c r="W1010" t="s">
        <v>39161</v>
      </c>
      <c r="X1010" t="s">
        <v>42676</v>
      </c>
    </row>
    <row r="1011" spans="1:24">
      <c r="A1011">
        <f>HYPERLINK("https://www.philgeps.gov.ph/GEPSNONPILOT/Tender/SplashBidNoticeAbstractUI.aspx?menuIndex=3&amp;refID=7190584&amp;Result=3","7190584")</f>
        <v>0</v>
      </c>
      <c r="B1011" t="s">
        <v>399</v>
      </c>
      <c r="C1011" t="s">
        <v>4496</v>
      </c>
      <c r="D1011" t="s">
        <v>17143</v>
      </c>
      <c r="E1011" t="s">
        <v>18160</v>
      </c>
      <c r="F1011" t="s">
        <v>29372</v>
      </c>
      <c r="G1011" t="s">
        <v>29379</v>
      </c>
      <c r="H1011" t="s">
        <v>11048</v>
      </c>
      <c r="I1011" t="s">
        <v>8614</v>
      </c>
      <c r="J1011" t="s">
        <v>30295</v>
      </c>
      <c r="K1011" t="s">
        <v>38491</v>
      </c>
      <c r="M1011" t="s">
        <v>39162</v>
      </c>
      <c r="N1011" t="s">
        <v>42669</v>
      </c>
      <c r="O1011" t="s">
        <v>42670</v>
      </c>
      <c r="P1011">
        <v>0</v>
      </c>
      <c r="Q1011">
        <v>2</v>
      </c>
      <c r="R1011" t="s">
        <v>42673</v>
      </c>
      <c r="S1011" t="s">
        <v>42784</v>
      </c>
      <c r="T1011" t="s">
        <v>44394</v>
      </c>
      <c r="U1011" t="s">
        <v>45733</v>
      </c>
      <c r="W1011" t="s">
        <v>39162</v>
      </c>
      <c r="X1011" t="s">
        <v>42676</v>
      </c>
    </row>
    <row r="1012" spans="1:24">
      <c r="A1012">
        <f>HYPERLINK("https://www.philgeps.gov.ph/GEPSNONPILOT/Tender/SplashBidNoticeAbstractUI.aspx?menuIndex=3&amp;refID=7191039&amp;Result=3","7191039")</f>
        <v>0</v>
      </c>
      <c r="B1012" t="s">
        <v>397</v>
      </c>
      <c r="C1012" t="s">
        <v>4497</v>
      </c>
      <c r="D1012" t="s">
        <v>17163</v>
      </c>
      <c r="E1012" t="s">
        <v>18161</v>
      </c>
      <c r="F1012" t="s">
        <v>29372</v>
      </c>
      <c r="G1012" t="s">
        <v>29379</v>
      </c>
      <c r="H1012" t="s">
        <v>11048</v>
      </c>
      <c r="I1012" t="s">
        <v>29460</v>
      </c>
      <c r="J1012" t="s">
        <v>30296</v>
      </c>
      <c r="K1012" t="s">
        <v>38485</v>
      </c>
      <c r="M1012" t="s">
        <v>39160</v>
      </c>
      <c r="N1012" t="s">
        <v>42669</v>
      </c>
      <c r="O1012" t="s">
        <v>42670</v>
      </c>
      <c r="P1012">
        <v>0</v>
      </c>
      <c r="Q1012">
        <v>4</v>
      </c>
      <c r="R1012" t="s">
        <v>42673</v>
      </c>
      <c r="S1012" t="s">
        <v>42784</v>
      </c>
      <c r="T1012" t="s">
        <v>44488</v>
      </c>
      <c r="U1012" t="s">
        <v>45734</v>
      </c>
      <c r="V1012" t="s">
        <v>56448</v>
      </c>
      <c r="W1012" t="s">
        <v>39160</v>
      </c>
      <c r="X1012" t="s">
        <v>42676</v>
      </c>
    </row>
    <row r="1013" spans="1:24">
      <c r="A1013">
        <f>HYPERLINK("https://www.philgeps.gov.ph/GEPSNONPILOT/Tender/SplashBidNoticeAbstractUI.aspx?menuIndex=3&amp;refID=7190720&amp;Result=3","7190720")</f>
        <v>0</v>
      </c>
      <c r="B1013" t="s">
        <v>398</v>
      </c>
      <c r="C1013" t="s">
        <v>4498</v>
      </c>
      <c r="D1013" t="s">
        <v>17151</v>
      </c>
      <c r="E1013" t="s">
        <v>18162</v>
      </c>
      <c r="F1013" t="s">
        <v>29372</v>
      </c>
      <c r="G1013" t="s">
        <v>29379</v>
      </c>
      <c r="H1013" t="s">
        <v>11048</v>
      </c>
      <c r="I1013" t="s">
        <v>29394</v>
      </c>
      <c r="J1013" t="s">
        <v>29555</v>
      </c>
      <c r="K1013" t="s">
        <v>38485</v>
      </c>
      <c r="M1013" t="s">
        <v>39161</v>
      </c>
      <c r="N1013" t="s">
        <v>42669</v>
      </c>
      <c r="O1013" t="s">
        <v>42670</v>
      </c>
      <c r="P1013">
        <v>0</v>
      </c>
      <c r="Q1013">
        <v>0</v>
      </c>
      <c r="R1013" t="s">
        <v>42673</v>
      </c>
      <c r="S1013" t="s">
        <v>42784</v>
      </c>
      <c r="T1013" t="s">
        <v>44499</v>
      </c>
      <c r="U1013" t="s">
        <v>45735</v>
      </c>
      <c r="V1013" t="s">
        <v>56451</v>
      </c>
      <c r="W1013" t="s">
        <v>39161</v>
      </c>
      <c r="X1013" t="s">
        <v>42676</v>
      </c>
    </row>
    <row r="1014" spans="1:24">
      <c r="A1014">
        <f>HYPERLINK("https://www.philgeps.gov.ph/GEPSNONPILOT/Tender/SplashBidNoticeAbstractUI.aspx?menuIndex=3&amp;refID=7188473&amp;Result=3","7188473")</f>
        <v>0</v>
      </c>
      <c r="B1014" t="s">
        <v>378</v>
      </c>
      <c r="C1014" t="s">
        <v>4499</v>
      </c>
      <c r="D1014" t="s">
        <v>17151</v>
      </c>
      <c r="E1014" t="s">
        <v>18163</v>
      </c>
      <c r="F1014" t="s">
        <v>29372</v>
      </c>
      <c r="G1014" t="s">
        <v>29385</v>
      </c>
      <c r="H1014" t="s">
        <v>11048</v>
      </c>
      <c r="I1014" t="s">
        <v>29404</v>
      </c>
      <c r="J1014" t="s">
        <v>30297</v>
      </c>
      <c r="K1014" t="s">
        <v>38490</v>
      </c>
      <c r="M1014" t="s">
        <v>39140</v>
      </c>
      <c r="N1014" t="s">
        <v>42669</v>
      </c>
      <c r="O1014" t="s">
        <v>42670</v>
      </c>
      <c r="P1014">
        <v>0</v>
      </c>
      <c r="Q1014">
        <v>0</v>
      </c>
      <c r="R1014" t="s">
        <v>42673</v>
      </c>
      <c r="S1014" t="s">
        <v>42784</v>
      </c>
      <c r="T1014" t="s">
        <v>44493</v>
      </c>
      <c r="U1014" t="s">
        <v>45736</v>
      </c>
      <c r="W1014" t="s">
        <v>39140</v>
      </c>
      <c r="X1014" t="s">
        <v>42677</v>
      </c>
    </row>
    <row r="1015" spans="1:24">
      <c r="A1015">
        <f>HYPERLINK("https://www.philgeps.gov.ph/GEPSNONPILOT/Tender/SplashBidNoticeAbstractUI.aspx?menuIndex=3&amp;refID=7192907&amp;Result=3","7192907")</f>
        <v>0</v>
      </c>
      <c r="B1015" t="s">
        <v>332</v>
      </c>
      <c r="C1015" t="s">
        <v>4500</v>
      </c>
      <c r="D1015" t="s">
        <v>17213</v>
      </c>
      <c r="E1015" t="s">
        <v>18164</v>
      </c>
      <c r="F1015" t="s">
        <v>29372</v>
      </c>
      <c r="G1015" t="s">
        <v>29379</v>
      </c>
      <c r="H1015" t="s">
        <v>11048</v>
      </c>
      <c r="I1015" t="s">
        <v>29395</v>
      </c>
      <c r="J1015" t="s">
        <v>30298</v>
      </c>
      <c r="K1015" t="s">
        <v>38485</v>
      </c>
      <c r="M1015" t="s">
        <v>39091</v>
      </c>
      <c r="N1015" t="s">
        <v>42669</v>
      </c>
      <c r="O1015" t="s">
        <v>42670</v>
      </c>
      <c r="P1015">
        <v>0</v>
      </c>
      <c r="Q1015">
        <v>0</v>
      </c>
      <c r="R1015" t="s">
        <v>42672</v>
      </c>
      <c r="S1015" t="s">
        <v>42781</v>
      </c>
      <c r="T1015" t="s">
        <v>44481</v>
      </c>
      <c r="U1015" t="s">
        <v>45570</v>
      </c>
      <c r="V1015" t="s">
        <v>56424</v>
      </c>
      <c r="W1015" t="s">
        <v>39091</v>
      </c>
      <c r="X1015" t="s">
        <v>42676</v>
      </c>
    </row>
    <row r="1016" spans="1:24">
      <c r="A1016">
        <f>HYPERLINK("https://www.philgeps.gov.ph/GEPSNONPILOT/Tender/SplashBidNoticeAbstractUI.aspx?menuIndex=3&amp;refID=7190149&amp;Result=3","7190149")</f>
        <v>0</v>
      </c>
      <c r="B1016" t="s">
        <v>400</v>
      </c>
      <c r="C1016" t="s">
        <v>4501</v>
      </c>
      <c r="D1016" t="s">
        <v>17210</v>
      </c>
      <c r="E1016" t="s">
        <v>18165</v>
      </c>
      <c r="F1016" t="s">
        <v>29372</v>
      </c>
      <c r="G1016" t="s">
        <v>29382</v>
      </c>
      <c r="H1016" t="s">
        <v>11048</v>
      </c>
      <c r="I1016" t="s">
        <v>3670</v>
      </c>
      <c r="J1016" t="s">
        <v>30299</v>
      </c>
      <c r="K1016" t="s">
        <v>38488</v>
      </c>
      <c r="M1016" t="s">
        <v>39163</v>
      </c>
      <c r="N1016" t="s">
        <v>42669</v>
      </c>
      <c r="O1016" t="s">
        <v>42670</v>
      </c>
      <c r="P1016">
        <v>0</v>
      </c>
      <c r="Q1016">
        <v>3</v>
      </c>
      <c r="R1016" t="s">
        <v>42673</v>
      </c>
      <c r="S1016" t="s">
        <v>42784</v>
      </c>
      <c r="T1016" t="s">
        <v>44500</v>
      </c>
      <c r="U1016" t="s">
        <v>45737</v>
      </c>
      <c r="W1016" t="s">
        <v>39163</v>
      </c>
      <c r="X1016" t="s">
        <v>42676</v>
      </c>
    </row>
    <row r="1017" spans="1:24">
      <c r="A1017">
        <f>HYPERLINK("https://www.philgeps.gov.ph/GEPSNONPILOT/Tender/SplashBidNoticeAbstractUI.aspx?menuIndex=3&amp;refID=7192388&amp;Result=3","7192388")</f>
        <v>0</v>
      </c>
      <c r="B1017" t="s">
        <v>50</v>
      </c>
      <c r="C1017" t="s">
        <v>4502</v>
      </c>
      <c r="D1017" t="s">
        <v>17159</v>
      </c>
      <c r="E1017" t="s">
        <v>18166</v>
      </c>
      <c r="F1017" t="s">
        <v>29372</v>
      </c>
      <c r="G1017" t="s">
        <v>29380</v>
      </c>
      <c r="H1017" t="s">
        <v>29389</v>
      </c>
      <c r="I1017" t="s">
        <v>10408</v>
      </c>
      <c r="J1017" t="s">
        <v>30300</v>
      </c>
      <c r="K1017" t="s">
        <v>38522</v>
      </c>
      <c r="M1017" t="s">
        <v>38803</v>
      </c>
      <c r="N1017" t="s">
        <v>42669</v>
      </c>
      <c r="O1017" t="s">
        <v>42670</v>
      </c>
      <c r="P1017">
        <v>0</v>
      </c>
      <c r="Q1017">
        <v>0</v>
      </c>
      <c r="R1017" t="s">
        <v>42673</v>
      </c>
      <c r="S1017" t="s">
        <v>42784</v>
      </c>
      <c r="T1017" t="s">
        <v>44358</v>
      </c>
      <c r="U1017" t="s">
        <v>45738</v>
      </c>
      <c r="W1017" t="s">
        <v>38803</v>
      </c>
      <c r="X1017" t="s">
        <v>42676</v>
      </c>
    </row>
    <row r="1018" spans="1:24">
      <c r="A1018">
        <f>HYPERLINK("https://www.philgeps.gov.ph/GEPSNONPILOT/Tender/SplashBidNoticeAbstractUI.aspx?menuIndex=3&amp;refID=7190095&amp;Result=3","7190095")</f>
        <v>0</v>
      </c>
      <c r="B1018" t="s">
        <v>401</v>
      </c>
      <c r="C1018" t="s">
        <v>4503</v>
      </c>
      <c r="D1018" t="s">
        <v>17172</v>
      </c>
      <c r="E1018" t="s">
        <v>17994</v>
      </c>
      <c r="F1018" t="s">
        <v>29373</v>
      </c>
      <c r="G1018" t="s">
        <v>29380</v>
      </c>
      <c r="H1018" t="s">
        <v>11048</v>
      </c>
      <c r="I1018" t="s">
        <v>29434</v>
      </c>
      <c r="J1018" t="s">
        <v>30301</v>
      </c>
      <c r="K1018" t="s">
        <v>38491</v>
      </c>
      <c r="L1018" t="s">
        <v>401</v>
      </c>
      <c r="M1018" t="s">
        <v>39164</v>
      </c>
      <c r="N1018" t="s">
        <v>42669</v>
      </c>
      <c r="O1018" t="s">
        <v>42670</v>
      </c>
      <c r="P1018">
        <v>0</v>
      </c>
      <c r="Q1018">
        <v>1</v>
      </c>
      <c r="R1018" t="s">
        <v>42673</v>
      </c>
      <c r="S1018" t="s">
        <v>42784</v>
      </c>
      <c r="T1018" t="s">
        <v>44501</v>
      </c>
      <c r="U1018" t="s">
        <v>45739</v>
      </c>
      <c r="V1018" t="s">
        <v>56452</v>
      </c>
      <c r="W1018" t="s">
        <v>39164</v>
      </c>
      <c r="X1018" t="s">
        <v>42676</v>
      </c>
    </row>
    <row r="1019" spans="1:24">
      <c r="A1019">
        <f>HYPERLINK("https://www.philgeps.gov.ph/GEPSNONPILOT/Tender/SplashBidNoticeAbstractUI.aspx?menuIndex=3&amp;refID=7192028&amp;Result=3","7192028")</f>
        <v>0</v>
      </c>
      <c r="B1019" t="s">
        <v>402</v>
      </c>
      <c r="C1019" t="s">
        <v>4504</v>
      </c>
      <c r="D1019" t="s">
        <v>17174</v>
      </c>
      <c r="E1019" t="s">
        <v>18167</v>
      </c>
      <c r="F1019" t="s">
        <v>29372</v>
      </c>
      <c r="G1019" t="s">
        <v>29380</v>
      </c>
      <c r="H1019" t="s">
        <v>29389</v>
      </c>
      <c r="I1019" t="s">
        <v>10408</v>
      </c>
      <c r="J1019" t="s">
        <v>30302</v>
      </c>
      <c r="K1019" t="s">
        <v>38533</v>
      </c>
      <c r="M1019" t="s">
        <v>39165</v>
      </c>
      <c r="N1019" t="s">
        <v>42669</v>
      </c>
      <c r="O1019" t="s">
        <v>42670</v>
      </c>
      <c r="P1019">
        <v>0</v>
      </c>
      <c r="Q1019">
        <v>1</v>
      </c>
      <c r="R1019" t="s">
        <v>42673</v>
      </c>
      <c r="S1019" t="s">
        <v>42784</v>
      </c>
      <c r="T1019" t="s">
        <v>44357</v>
      </c>
      <c r="U1019" t="s">
        <v>45740</v>
      </c>
      <c r="V1019" t="s">
        <v>56453</v>
      </c>
      <c r="W1019" t="s">
        <v>39165</v>
      </c>
      <c r="X1019" t="s">
        <v>42676</v>
      </c>
    </row>
    <row r="1020" spans="1:24">
      <c r="A1020">
        <f>HYPERLINK("https://www.philgeps.gov.ph/GEPSNONPILOT/Tender/SplashBidNoticeAbstractUI.aspx?menuIndex=3&amp;refID=7192766&amp;Result=3","7192766")</f>
        <v>0</v>
      </c>
      <c r="B1020" t="s">
        <v>395</v>
      </c>
      <c r="C1020" t="s">
        <v>4505</v>
      </c>
      <c r="D1020" t="s">
        <v>17141</v>
      </c>
      <c r="E1020" t="s">
        <v>18168</v>
      </c>
      <c r="F1020" t="s">
        <v>29372</v>
      </c>
      <c r="G1020" t="s">
        <v>29379</v>
      </c>
      <c r="H1020" t="s">
        <v>11048</v>
      </c>
      <c r="I1020" t="s">
        <v>3670</v>
      </c>
      <c r="J1020" t="s">
        <v>30303</v>
      </c>
      <c r="K1020" t="s">
        <v>38491</v>
      </c>
      <c r="M1020" t="s">
        <v>39158</v>
      </c>
      <c r="N1020" t="s">
        <v>42669</v>
      </c>
      <c r="O1020" t="s">
        <v>42670</v>
      </c>
      <c r="P1020">
        <v>0</v>
      </c>
      <c r="Q1020">
        <v>0</v>
      </c>
      <c r="R1020" t="s">
        <v>42673</v>
      </c>
      <c r="S1020" t="s">
        <v>42784</v>
      </c>
      <c r="T1020" t="s">
        <v>44470</v>
      </c>
      <c r="U1020" t="s">
        <v>45741</v>
      </c>
      <c r="W1020" t="s">
        <v>39158</v>
      </c>
      <c r="X1020" t="s">
        <v>42676</v>
      </c>
    </row>
    <row r="1021" spans="1:24">
      <c r="A1021">
        <f>HYPERLINK("https://www.philgeps.gov.ph/GEPSNONPILOT/Tender/SplashBidNoticeAbstractUI.aspx?menuIndex=3&amp;refID=7192745&amp;Result=3","7192745")</f>
        <v>0</v>
      </c>
      <c r="B1021" t="s">
        <v>395</v>
      </c>
      <c r="C1021" t="s">
        <v>4506</v>
      </c>
      <c r="D1021" t="s">
        <v>17141</v>
      </c>
      <c r="E1021" t="s">
        <v>18169</v>
      </c>
      <c r="F1021" t="s">
        <v>29372</v>
      </c>
      <c r="G1021" t="s">
        <v>29379</v>
      </c>
      <c r="H1021" t="s">
        <v>11048</v>
      </c>
      <c r="I1021" t="s">
        <v>3695</v>
      </c>
      <c r="J1021" t="s">
        <v>30304</v>
      </c>
      <c r="K1021" t="s">
        <v>38491</v>
      </c>
      <c r="M1021" t="s">
        <v>39158</v>
      </c>
      <c r="N1021" t="s">
        <v>42669</v>
      </c>
      <c r="O1021" t="s">
        <v>42670</v>
      </c>
      <c r="P1021">
        <v>0</v>
      </c>
      <c r="Q1021">
        <v>2</v>
      </c>
      <c r="R1021" t="s">
        <v>42673</v>
      </c>
      <c r="S1021" t="s">
        <v>42784</v>
      </c>
      <c r="T1021" t="s">
        <v>44470</v>
      </c>
      <c r="U1021" t="s">
        <v>45742</v>
      </c>
      <c r="W1021" t="s">
        <v>39158</v>
      </c>
      <c r="X1021" t="s">
        <v>42676</v>
      </c>
    </row>
    <row r="1022" spans="1:24">
      <c r="A1022">
        <f>HYPERLINK("https://www.philgeps.gov.ph/GEPSNONPILOT/Tender/SplashBidNoticeAbstractUI.aspx?menuIndex=3&amp;refID=7191699&amp;Result=3","7191699")</f>
        <v>0</v>
      </c>
      <c r="B1022" t="s">
        <v>395</v>
      </c>
      <c r="C1022" t="s">
        <v>4507</v>
      </c>
      <c r="D1022" t="s">
        <v>17141</v>
      </c>
      <c r="E1022" t="s">
        <v>18170</v>
      </c>
      <c r="F1022" t="s">
        <v>29372</v>
      </c>
      <c r="G1022" t="s">
        <v>29379</v>
      </c>
      <c r="H1022" t="s">
        <v>11048</v>
      </c>
      <c r="I1022" t="s">
        <v>29423</v>
      </c>
      <c r="J1022" t="s">
        <v>30305</v>
      </c>
      <c r="K1022" t="s">
        <v>38491</v>
      </c>
      <c r="M1022" t="s">
        <v>39166</v>
      </c>
      <c r="N1022" t="s">
        <v>42669</v>
      </c>
      <c r="O1022" t="s">
        <v>42670</v>
      </c>
      <c r="P1022">
        <v>0</v>
      </c>
      <c r="Q1022">
        <v>1</v>
      </c>
      <c r="R1022" t="s">
        <v>42673</v>
      </c>
      <c r="S1022" t="s">
        <v>42784</v>
      </c>
      <c r="T1022" t="s">
        <v>44488</v>
      </c>
      <c r="U1022" t="s">
        <v>45743</v>
      </c>
      <c r="W1022" t="s">
        <v>39166</v>
      </c>
      <c r="X1022" t="s">
        <v>42676</v>
      </c>
    </row>
    <row r="1023" spans="1:24">
      <c r="A1023">
        <f>HYPERLINK("https://www.philgeps.gov.ph/GEPSNONPILOT/Tender/SplashBidNoticeAbstractUI.aspx?menuIndex=3&amp;refID=7192524&amp;Result=3","7192524")</f>
        <v>0</v>
      </c>
      <c r="B1023" t="s">
        <v>50</v>
      </c>
      <c r="C1023" t="s">
        <v>4508</v>
      </c>
      <c r="D1023" t="s">
        <v>17159</v>
      </c>
      <c r="E1023" t="s">
        <v>18171</v>
      </c>
      <c r="F1023" t="s">
        <v>29372</v>
      </c>
      <c r="G1023" t="s">
        <v>29380</v>
      </c>
      <c r="H1023" t="s">
        <v>11048</v>
      </c>
      <c r="I1023" t="s">
        <v>29403</v>
      </c>
      <c r="J1023" t="s">
        <v>30306</v>
      </c>
      <c r="K1023" t="s">
        <v>38496</v>
      </c>
      <c r="M1023" t="s">
        <v>38803</v>
      </c>
      <c r="N1023" t="s">
        <v>42669</v>
      </c>
      <c r="O1023" t="s">
        <v>42670</v>
      </c>
      <c r="P1023">
        <v>0</v>
      </c>
      <c r="Q1023">
        <v>1</v>
      </c>
      <c r="R1023" t="s">
        <v>42673</v>
      </c>
      <c r="S1023" t="s">
        <v>42784</v>
      </c>
      <c r="T1023" t="s">
        <v>44358</v>
      </c>
      <c r="U1023" t="s">
        <v>45744</v>
      </c>
      <c r="W1023" t="s">
        <v>38803</v>
      </c>
      <c r="X1023" t="s">
        <v>42676</v>
      </c>
    </row>
    <row r="1024" spans="1:24">
      <c r="A1024">
        <f>HYPERLINK("https://www.philgeps.gov.ph/GEPSNONPILOT/Tender/SplashBidNoticeAbstractUI.aspx?menuIndex=3&amp;refID=7192513&amp;Result=3","7192513")</f>
        <v>0</v>
      </c>
      <c r="B1024" t="s">
        <v>50</v>
      </c>
      <c r="C1024" t="s">
        <v>4509</v>
      </c>
      <c r="D1024" t="s">
        <v>17159</v>
      </c>
      <c r="E1024" t="s">
        <v>18172</v>
      </c>
      <c r="F1024" t="s">
        <v>29372</v>
      </c>
      <c r="G1024" t="s">
        <v>29380</v>
      </c>
      <c r="H1024" t="s">
        <v>11048</v>
      </c>
      <c r="I1024" t="s">
        <v>3860</v>
      </c>
      <c r="J1024" t="s">
        <v>30307</v>
      </c>
      <c r="K1024" t="s">
        <v>38496</v>
      </c>
      <c r="M1024" t="s">
        <v>38803</v>
      </c>
      <c r="N1024" t="s">
        <v>42669</v>
      </c>
      <c r="O1024" t="s">
        <v>42670</v>
      </c>
      <c r="P1024">
        <v>0</v>
      </c>
      <c r="Q1024">
        <v>1</v>
      </c>
      <c r="R1024" t="s">
        <v>42673</v>
      </c>
      <c r="S1024" t="s">
        <v>42784</v>
      </c>
      <c r="T1024" t="s">
        <v>44358</v>
      </c>
      <c r="U1024" t="s">
        <v>45745</v>
      </c>
      <c r="W1024" t="s">
        <v>38803</v>
      </c>
      <c r="X1024" t="s">
        <v>42676</v>
      </c>
    </row>
    <row r="1025" spans="1:24">
      <c r="A1025">
        <f>HYPERLINK("https://www.philgeps.gov.ph/GEPSNONPILOT/Tender/SplashBidNoticeAbstractUI.aspx?menuIndex=3&amp;refID=7192499&amp;Result=3","7192499")</f>
        <v>0</v>
      </c>
      <c r="B1025" t="s">
        <v>50</v>
      </c>
      <c r="C1025" t="s">
        <v>4510</v>
      </c>
      <c r="D1025" t="s">
        <v>17159</v>
      </c>
      <c r="E1025" t="s">
        <v>18173</v>
      </c>
      <c r="F1025" t="s">
        <v>29372</v>
      </c>
      <c r="G1025" t="s">
        <v>29380</v>
      </c>
      <c r="H1025" t="s">
        <v>11048</v>
      </c>
      <c r="I1025" t="s">
        <v>29461</v>
      </c>
      <c r="J1025" t="s">
        <v>30308</v>
      </c>
      <c r="K1025" t="s">
        <v>38495</v>
      </c>
      <c r="M1025" t="s">
        <v>38803</v>
      </c>
      <c r="N1025" t="s">
        <v>42669</v>
      </c>
      <c r="O1025" t="s">
        <v>42670</v>
      </c>
      <c r="P1025">
        <v>0</v>
      </c>
      <c r="Q1025">
        <v>5</v>
      </c>
      <c r="R1025" t="s">
        <v>42673</v>
      </c>
      <c r="S1025" t="s">
        <v>42784</v>
      </c>
      <c r="T1025" t="s">
        <v>44358</v>
      </c>
      <c r="U1025" t="s">
        <v>45746</v>
      </c>
      <c r="W1025" t="s">
        <v>38803</v>
      </c>
      <c r="X1025" t="s">
        <v>42676</v>
      </c>
    </row>
    <row r="1026" spans="1:24">
      <c r="A1026">
        <f>HYPERLINK("https://www.philgeps.gov.ph/GEPSNONPILOT/Tender/SplashBidNoticeAbstractUI.aspx?menuIndex=3&amp;refID=7192460&amp;Result=3","7192460")</f>
        <v>0</v>
      </c>
      <c r="B1026" t="s">
        <v>50</v>
      </c>
      <c r="C1026" t="s">
        <v>4511</v>
      </c>
      <c r="D1026" t="s">
        <v>17159</v>
      </c>
      <c r="E1026" t="s">
        <v>18174</v>
      </c>
      <c r="F1026" t="s">
        <v>29372</v>
      </c>
      <c r="G1026" t="s">
        <v>29380</v>
      </c>
      <c r="H1026" t="s">
        <v>11048</v>
      </c>
      <c r="I1026" t="s">
        <v>4709</v>
      </c>
      <c r="J1026" t="s">
        <v>30309</v>
      </c>
      <c r="K1026" t="s">
        <v>38485</v>
      </c>
      <c r="M1026" t="s">
        <v>38803</v>
      </c>
      <c r="N1026" t="s">
        <v>42669</v>
      </c>
      <c r="O1026" t="s">
        <v>42670</v>
      </c>
      <c r="P1026">
        <v>0</v>
      </c>
      <c r="Q1026">
        <v>0</v>
      </c>
      <c r="R1026" t="s">
        <v>42673</v>
      </c>
      <c r="S1026" t="s">
        <v>42784</v>
      </c>
      <c r="T1026" t="s">
        <v>44358</v>
      </c>
      <c r="U1026" t="s">
        <v>45747</v>
      </c>
      <c r="W1026" t="s">
        <v>38803</v>
      </c>
      <c r="X1026" t="s">
        <v>42676</v>
      </c>
    </row>
    <row r="1027" spans="1:24">
      <c r="A1027">
        <f>HYPERLINK("https://www.philgeps.gov.ph/GEPSNONPILOT/Tender/SplashBidNoticeAbstractUI.aspx?menuIndex=3&amp;refID=7192431&amp;Result=3","7192431")</f>
        <v>0</v>
      </c>
      <c r="B1027" t="s">
        <v>50</v>
      </c>
      <c r="C1027" t="s">
        <v>4512</v>
      </c>
      <c r="D1027" t="s">
        <v>17159</v>
      </c>
      <c r="E1027" t="s">
        <v>18175</v>
      </c>
      <c r="F1027" t="s">
        <v>29372</v>
      </c>
      <c r="G1027" t="s">
        <v>29380</v>
      </c>
      <c r="H1027" t="s">
        <v>29389</v>
      </c>
      <c r="I1027" t="s">
        <v>10408</v>
      </c>
      <c r="J1027" t="s">
        <v>30310</v>
      </c>
      <c r="K1027" t="s">
        <v>38564</v>
      </c>
      <c r="M1027" t="s">
        <v>38803</v>
      </c>
      <c r="N1027" t="s">
        <v>42669</v>
      </c>
      <c r="O1027" t="s">
        <v>42670</v>
      </c>
      <c r="P1027">
        <v>0</v>
      </c>
      <c r="Q1027">
        <v>0</v>
      </c>
      <c r="R1027" t="s">
        <v>42673</v>
      </c>
      <c r="S1027" t="s">
        <v>42784</v>
      </c>
      <c r="T1027" t="s">
        <v>44358</v>
      </c>
      <c r="U1027" t="s">
        <v>45748</v>
      </c>
      <c r="W1027" t="s">
        <v>38803</v>
      </c>
      <c r="X1027" t="s">
        <v>42676</v>
      </c>
    </row>
    <row r="1028" spans="1:24">
      <c r="A1028">
        <f>HYPERLINK("https://www.philgeps.gov.ph/GEPSNONPILOT/Tender/SplashBidNoticeAbstractUI.aspx?menuIndex=3&amp;refID=7194309&amp;Result=3","7194309")</f>
        <v>0</v>
      </c>
      <c r="B1028" t="s">
        <v>307</v>
      </c>
      <c r="C1028" t="s">
        <v>4513</v>
      </c>
      <c r="D1028" t="s">
        <v>17171</v>
      </c>
      <c r="E1028" t="s">
        <v>18176</v>
      </c>
      <c r="F1028" t="s">
        <v>29372</v>
      </c>
      <c r="G1028" t="s">
        <v>29380</v>
      </c>
      <c r="H1028" t="s">
        <v>11048</v>
      </c>
      <c r="I1028" t="s">
        <v>5383</v>
      </c>
      <c r="J1028" t="s">
        <v>30311</v>
      </c>
      <c r="K1028" t="s">
        <v>38534</v>
      </c>
      <c r="M1028" t="s">
        <v>39066</v>
      </c>
      <c r="N1028" t="s">
        <v>42669</v>
      </c>
      <c r="O1028" t="s">
        <v>42670</v>
      </c>
      <c r="P1028">
        <v>0</v>
      </c>
      <c r="Q1028">
        <v>1</v>
      </c>
      <c r="R1028" t="s">
        <v>42671</v>
      </c>
      <c r="S1028" t="s">
        <v>42779</v>
      </c>
      <c r="T1028" t="s">
        <v>44483</v>
      </c>
      <c r="U1028" t="s">
        <v>45749</v>
      </c>
      <c r="W1028" t="s">
        <v>39066</v>
      </c>
      <c r="X1028" t="s">
        <v>42672</v>
      </c>
    </row>
    <row r="1029" spans="1:24">
      <c r="A1029">
        <f>HYPERLINK("https://www.philgeps.gov.ph/GEPSNONPILOT/Tender/SplashBidNoticeAbstractUI.aspx?menuIndex=3&amp;refID=7192339&amp;Result=3","7192339")</f>
        <v>0</v>
      </c>
      <c r="B1029" t="s">
        <v>394</v>
      </c>
      <c r="C1029" t="s">
        <v>4514</v>
      </c>
      <c r="D1029" t="s">
        <v>17170</v>
      </c>
      <c r="E1029" t="s">
        <v>18177</v>
      </c>
      <c r="F1029" t="s">
        <v>29372</v>
      </c>
      <c r="G1029" t="s">
        <v>29380</v>
      </c>
      <c r="H1029" t="s">
        <v>11048</v>
      </c>
      <c r="I1029" t="s">
        <v>3952</v>
      </c>
      <c r="J1029" t="s">
        <v>30312</v>
      </c>
      <c r="K1029" t="s">
        <v>38496</v>
      </c>
      <c r="M1029" t="s">
        <v>39157</v>
      </c>
      <c r="N1029" t="s">
        <v>42669</v>
      </c>
      <c r="O1029" t="s">
        <v>42670</v>
      </c>
      <c r="P1029">
        <v>0</v>
      </c>
      <c r="Q1029">
        <v>3</v>
      </c>
      <c r="R1029" t="s">
        <v>42673</v>
      </c>
      <c r="S1029" t="s">
        <v>42784</v>
      </c>
      <c r="T1029" t="s">
        <v>44395</v>
      </c>
      <c r="U1029" t="s">
        <v>45750</v>
      </c>
      <c r="W1029" t="s">
        <v>39157</v>
      </c>
      <c r="X1029" t="s">
        <v>42676</v>
      </c>
    </row>
    <row r="1030" spans="1:24">
      <c r="A1030">
        <f>HYPERLINK("https://www.philgeps.gov.ph/GEPSNONPILOT/Tender/SplashBidNoticeAbstractUI.aspx?menuIndex=3&amp;refID=7192126&amp;Result=3","7192126")</f>
        <v>0</v>
      </c>
      <c r="B1030" t="s">
        <v>378</v>
      </c>
      <c r="C1030" t="s">
        <v>4515</v>
      </c>
      <c r="D1030" t="s">
        <v>17151</v>
      </c>
      <c r="E1030" t="s">
        <v>18178</v>
      </c>
      <c r="F1030" t="s">
        <v>29372</v>
      </c>
      <c r="G1030" t="s">
        <v>29379</v>
      </c>
      <c r="H1030" t="s">
        <v>11048</v>
      </c>
      <c r="I1030" t="s">
        <v>9469</v>
      </c>
      <c r="J1030" t="s">
        <v>29543</v>
      </c>
      <c r="K1030" t="s">
        <v>38490</v>
      </c>
      <c r="M1030" t="s">
        <v>39140</v>
      </c>
      <c r="N1030" t="s">
        <v>42669</v>
      </c>
      <c r="O1030" t="s">
        <v>42670</v>
      </c>
      <c r="P1030">
        <v>0</v>
      </c>
      <c r="Q1030">
        <v>4</v>
      </c>
      <c r="R1030" t="s">
        <v>42673</v>
      </c>
      <c r="S1030" t="s">
        <v>42784</v>
      </c>
      <c r="T1030" t="s">
        <v>44493</v>
      </c>
      <c r="U1030" t="s">
        <v>45707</v>
      </c>
      <c r="W1030" t="s">
        <v>39140</v>
      </c>
      <c r="X1030" t="s">
        <v>42676</v>
      </c>
    </row>
    <row r="1031" spans="1:24">
      <c r="A1031">
        <f>HYPERLINK("https://www.philgeps.gov.ph/GEPSNONPILOT/Tender/SplashBidNoticeAbstractUI.aspx?menuIndex=3&amp;refID=7192270&amp;Result=3","7192270")</f>
        <v>0</v>
      </c>
      <c r="B1031" t="s">
        <v>394</v>
      </c>
      <c r="C1031" t="s">
        <v>4516</v>
      </c>
      <c r="D1031" t="s">
        <v>17170</v>
      </c>
      <c r="E1031" t="s">
        <v>18179</v>
      </c>
      <c r="F1031" t="s">
        <v>29372</v>
      </c>
      <c r="G1031" t="s">
        <v>29380</v>
      </c>
      <c r="H1031" t="s">
        <v>11048</v>
      </c>
      <c r="I1031" t="s">
        <v>29425</v>
      </c>
      <c r="J1031" t="s">
        <v>30313</v>
      </c>
      <c r="K1031" t="s">
        <v>38496</v>
      </c>
      <c r="M1031" t="s">
        <v>39157</v>
      </c>
      <c r="N1031" t="s">
        <v>42669</v>
      </c>
      <c r="O1031" t="s">
        <v>42670</v>
      </c>
      <c r="P1031">
        <v>0</v>
      </c>
      <c r="Q1031">
        <v>4</v>
      </c>
      <c r="R1031" t="s">
        <v>42673</v>
      </c>
      <c r="S1031" t="s">
        <v>42784</v>
      </c>
      <c r="T1031" t="s">
        <v>44395</v>
      </c>
      <c r="U1031" t="s">
        <v>45751</v>
      </c>
      <c r="W1031" t="s">
        <v>39157</v>
      </c>
      <c r="X1031" t="s">
        <v>42676</v>
      </c>
    </row>
    <row r="1032" spans="1:24">
      <c r="A1032">
        <f>HYPERLINK("https://www.philgeps.gov.ph/GEPSNONPILOT/Tender/SplashBidNoticeAbstractUI.aspx?menuIndex=3&amp;refID=7192481&amp;Result=3","7192481")</f>
        <v>0</v>
      </c>
      <c r="B1032" t="s">
        <v>50</v>
      </c>
      <c r="C1032" t="s">
        <v>4517</v>
      </c>
      <c r="D1032" t="s">
        <v>17159</v>
      </c>
      <c r="E1032" t="s">
        <v>18180</v>
      </c>
      <c r="F1032" t="s">
        <v>29372</v>
      </c>
      <c r="G1032" t="s">
        <v>29380</v>
      </c>
      <c r="H1032" t="s">
        <v>11048</v>
      </c>
      <c r="I1032" t="s">
        <v>29403</v>
      </c>
      <c r="J1032" t="s">
        <v>30314</v>
      </c>
      <c r="K1032" t="s">
        <v>38485</v>
      </c>
      <c r="M1032" t="s">
        <v>38803</v>
      </c>
      <c r="N1032" t="s">
        <v>42669</v>
      </c>
      <c r="O1032" t="s">
        <v>42670</v>
      </c>
      <c r="P1032">
        <v>0</v>
      </c>
      <c r="Q1032">
        <v>0</v>
      </c>
      <c r="R1032" t="s">
        <v>42673</v>
      </c>
      <c r="S1032" t="s">
        <v>42784</v>
      </c>
      <c r="T1032" t="s">
        <v>44358</v>
      </c>
      <c r="U1032" t="s">
        <v>45752</v>
      </c>
      <c r="W1032" t="s">
        <v>38803</v>
      </c>
      <c r="X1032" t="s">
        <v>42676</v>
      </c>
    </row>
    <row r="1033" spans="1:24">
      <c r="A1033">
        <f>HYPERLINK("https://www.philgeps.gov.ph/GEPSNONPILOT/Tender/SplashBidNoticeAbstractUI.aspx?menuIndex=3&amp;refID=7192188&amp;Result=3","7192188")</f>
        <v>0</v>
      </c>
      <c r="B1033" t="s">
        <v>378</v>
      </c>
      <c r="C1033" t="s">
        <v>4518</v>
      </c>
      <c r="D1033" t="s">
        <v>17151</v>
      </c>
      <c r="E1033" t="s">
        <v>18181</v>
      </c>
      <c r="F1033" t="s">
        <v>29372</v>
      </c>
      <c r="G1033" t="s">
        <v>29379</v>
      </c>
      <c r="H1033" t="s">
        <v>11048</v>
      </c>
      <c r="I1033" t="s">
        <v>9469</v>
      </c>
      <c r="J1033" t="s">
        <v>29543</v>
      </c>
      <c r="K1033" t="s">
        <v>38490</v>
      </c>
      <c r="M1033" t="s">
        <v>39140</v>
      </c>
      <c r="N1033" t="s">
        <v>42669</v>
      </c>
      <c r="O1033" t="s">
        <v>42670</v>
      </c>
      <c r="P1033">
        <v>0</v>
      </c>
      <c r="Q1033">
        <v>3</v>
      </c>
      <c r="R1033" t="s">
        <v>42673</v>
      </c>
      <c r="S1033" t="s">
        <v>42784</v>
      </c>
      <c r="T1033" t="s">
        <v>44493</v>
      </c>
      <c r="U1033" t="s">
        <v>45753</v>
      </c>
      <c r="W1033" t="s">
        <v>39140</v>
      </c>
      <c r="X1033" t="s">
        <v>42676</v>
      </c>
    </row>
    <row r="1034" spans="1:24">
      <c r="A1034">
        <f>HYPERLINK("https://www.philgeps.gov.ph/GEPSNONPILOT/Tender/SplashBidNoticeAbstractUI.aspx?menuIndex=3&amp;refID=7192403&amp;Result=3","7192403")</f>
        <v>0</v>
      </c>
      <c r="B1034" t="s">
        <v>403</v>
      </c>
      <c r="C1034" t="s">
        <v>4519</v>
      </c>
      <c r="D1034" t="s">
        <v>17188</v>
      </c>
      <c r="E1034" t="s">
        <v>18182</v>
      </c>
      <c r="F1034" t="s">
        <v>29372</v>
      </c>
      <c r="G1034" t="s">
        <v>29379</v>
      </c>
      <c r="H1034" t="s">
        <v>11048</v>
      </c>
      <c r="I1034" t="s">
        <v>5383</v>
      </c>
      <c r="J1034" t="s">
        <v>30315</v>
      </c>
      <c r="K1034" t="s">
        <v>38491</v>
      </c>
      <c r="M1034" t="s">
        <v>39167</v>
      </c>
      <c r="N1034" t="s">
        <v>42669</v>
      </c>
      <c r="O1034" t="s">
        <v>42670</v>
      </c>
      <c r="P1034">
        <v>0</v>
      </c>
      <c r="Q1034">
        <v>6</v>
      </c>
      <c r="R1034" t="s">
        <v>42673</v>
      </c>
      <c r="S1034" t="s">
        <v>42784</v>
      </c>
      <c r="T1034" t="s">
        <v>44488</v>
      </c>
      <c r="U1034" t="s">
        <v>45754</v>
      </c>
      <c r="W1034" t="s">
        <v>39167</v>
      </c>
      <c r="X1034" t="s">
        <v>42676</v>
      </c>
    </row>
    <row r="1035" spans="1:24">
      <c r="A1035">
        <f>HYPERLINK("https://www.philgeps.gov.ph/GEPSNONPILOT/Tender/SplashBidNoticeAbstractUI.aspx?menuIndex=3&amp;refID=7192223&amp;Result=3","7192223")</f>
        <v>0</v>
      </c>
      <c r="B1035" t="s">
        <v>378</v>
      </c>
      <c r="C1035" t="s">
        <v>4520</v>
      </c>
      <c r="D1035" t="s">
        <v>17151</v>
      </c>
      <c r="E1035" t="s">
        <v>18183</v>
      </c>
      <c r="F1035" t="s">
        <v>29372</v>
      </c>
      <c r="G1035" t="s">
        <v>29379</v>
      </c>
      <c r="H1035" t="s">
        <v>11048</v>
      </c>
      <c r="I1035" t="s">
        <v>9469</v>
      </c>
      <c r="J1035" t="s">
        <v>29543</v>
      </c>
      <c r="K1035" t="s">
        <v>38490</v>
      </c>
      <c r="M1035" t="s">
        <v>39140</v>
      </c>
      <c r="N1035" t="s">
        <v>42669</v>
      </c>
      <c r="O1035" t="s">
        <v>42670</v>
      </c>
      <c r="P1035">
        <v>0</v>
      </c>
      <c r="Q1035">
        <v>3</v>
      </c>
      <c r="R1035" t="s">
        <v>42673</v>
      </c>
      <c r="S1035" t="s">
        <v>42784</v>
      </c>
      <c r="T1035" t="s">
        <v>44451</v>
      </c>
      <c r="U1035" t="s">
        <v>45753</v>
      </c>
      <c r="W1035" t="s">
        <v>39140</v>
      </c>
      <c r="X1035" t="s">
        <v>42676</v>
      </c>
    </row>
    <row r="1036" spans="1:24">
      <c r="A1036">
        <f>HYPERLINK("https://www.philgeps.gov.ph/GEPSNONPILOT/Tender/SplashBidNoticeAbstractUI.aspx?menuIndex=3&amp;refID=7188534&amp;Result=3","7188534")</f>
        <v>0</v>
      </c>
      <c r="B1036" t="s">
        <v>378</v>
      </c>
      <c r="C1036" t="s">
        <v>4521</v>
      </c>
      <c r="D1036" t="s">
        <v>17151</v>
      </c>
      <c r="E1036" t="s">
        <v>18184</v>
      </c>
      <c r="F1036" t="s">
        <v>29372</v>
      </c>
      <c r="G1036" t="s">
        <v>29379</v>
      </c>
      <c r="H1036" t="s">
        <v>11048</v>
      </c>
      <c r="I1036" t="s">
        <v>3670</v>
      </c>
      <c r="J1036" t="s">
        <v>30316</v>
      </c>
      <c r="K1036" t="s">
        <v>38490</v>
      </c>
      <c r="M1036" t="s">
        <v>39140</v>
      </c>
      <c r="N1036" t="s">
        <v>42669</v>
      </c>
      <c r="O1036" t="s">
        <v>42670</v>
      </c>
      <c r="P1036">
        <v>0</v>
      </c>
      <c r="Q1036">
        <v>0</v>
      </c>
      <c r="R1036" t="s">
        <v>42673</v>
      </c>
      <c r="S1036" t="s">
        <v>42784</v>
      </c>
      <c r="T1036" t="s">
        <v>44493</v>
      </c>
      <c r="U1036" t="s">
        <v>45755</v>
      </c>
      <c r="W1036" t="s">
        <v>39140</v>
      </c>
      <c r="X1036" t="s">
        <v>42677</v>
      </c>
    </row>
    <row r="1037" spans="1:24">
      <c r="A1037">
        <f>HYPERLINK("https://www.philgeps.gov.ph/GEPSNONPILOT/Tender/SplashBidNoticeAbstractUI.aspx?menuIndex=3&amp;refID=7193084&amp;Result=3","7193084")</f>
        <v>0</v>
      </c>
      <c r="B1037" t="s">
        <v>404</v>
      </c>
      <c r="C1037" t="s">
        <v>4522</v>
      </c>
      <c r="D1037" t="s">
        <v>17180</v>
      </c>
      <c r="E1037" t="s">
        <v>18185</v>
      </c>
      <c r="F1037" t="s">
        <v>29372</v>
      </c>
      <c r="G1037" t="s">
        <v>29380</v>
      </c>
      <c r="H1037" t="s">
        <v>29389</v>
      </c>
      <c r="I1037" t="s">
        <v>10408</v>
      </c>
      <c r="J1037" t="s">
        <v>30317</v>
      </c>
      <c r="K1037" t="s">
        <v>38495</v>
      </c>
      <c r="L1037" t="s">
        <v>404</v>
      </c>
      <c r="M1037" t="s">
        <v>39168</v>
      </c>
      <c r="N1037" t="s">
        <v>42669</v>
      </c>
      <c r="O1037" t="s">
        <v>42670</v>
      </c>
      <c r="P1037">
        <v>0</v>
      </c>
      <c r="Q1037">
        <v>18</v>
      </c>
      <c r="R1037" t="s">
        <v>42673</v>
      </c>
      <c r="S1037" t="s">
        <v>42784</v>
      </c>
      <c r="T1037" t="s">
        <v>44502</v>
      </c>
      <c r="U1037" t="s">
        <v>45756</v>
      </c>
      <c r="W1037" t="s">
        <v>39168</v>
      </c>
      <c r="X1037" t="s">
        <v>42674</v>
      </c>
    </row>
    <row r="1038" spans="1:24">
      <c r="A1038">
        <f>HYPERLINK("https://www.philgeps.gov.ph/GEPSNONPILOT/Tender/SplashBidNoticeAbstractUI.aspx?menuIndex=3&amp;refID=7193075&amp;Result=3","7193075")</f>
        <v>0</v>
      </c>
      <c r="B1038" t="s">
        <v>405</v>
      </c>
      <c r="C1038" t="s">
        <v>4523</v>
      </c>
      <c r="D1038" t="s">
        <v>17172</v>
      </c>
      <c r="E1038" t="s">
        <v>18186</v>
      </c>
      <c r="F1038" t="s">
        <v>29372</v>
      </c>
      <c r="G1038" t="s">
        <v>29383</v>
      </c>
      <c r="H1038" t="s">
        <v>11048</v>
      </c>
      <c r="I1038" t="s">
        <v>3670</v>
      </c>
      <c r="J1038" t="s">
        <v>29685</v>
      </c>
      <c r="K1038" t="s">
        <v>38528</v>
      </c>
      <c r="M1038" t="s">
        <v>39169</v>
      </c>
      <c r="N1038" t="s">
        <v>42669</v>
      </c>
      <c r="O1038" t="s">
        <v>42670</v>
      </c>
      <c r="P1038">
        <v>0</v>
      </c>
      <c r="Q1038">
        <v>0</v>
      </c>
      <c r="R1038" t="s">
        <v>42673</v>
      </c>
      <c r="S1038" t="s">
        <v>42784</v>
      </c>
      <c r="T1038" t="s">
        <v>44432</v>
      </c>
      <c r="U1038" t="s">
        <v>45757</v>
      </c>
      <c r="V1038" t="s">
        <v>56454</v>
      </c>
      <c r="W1038" t="s">
        <v>39169</v>
      </c>
      <c r="X1038" t="s">
        <v>42674</v>
      </c>
    </row>
    <row r="1039" spans="1:24">
      <c r="A1039">
        <f>HYPERLINK("https://www.philgeps.gov.ph/GEPSNONPILOT/Tender/SplashBidNoticeAbstractUI.aspx?menuIndex=3&amp;refID=7193079&amp;Result=3","7193079")</f>
        <v>0</v>
      </c>
      <c r="B1039" t="s">
        <v>406</v>
      </c>
      <c r="C1039" t="s">
        <v>4524</v>
      </c>
      <c r="D1039" t="s">
        <v>17162</v>
      </c>
      <c r="E1039" t="s">
        <v>18187</v>
      </c>
      <c r="F1039" t="s">
        <v>29372</v>
      </c>
      <c r="G1039" t="s">
        <v>29383</v>
      </c>
      <c r="H1039" t="s">
        <v>11048</v>
      </c>
      <c r="I1039" t="s">
        <v>4487</v>
      </c>
      <c r="J1039" t="s">
        <v>30318</v>
      </c>
      <c r="K1039" t="s">
        <v>38491</v>
      </c>
      <c r="M1039" t="s">
        <v>39170</v>
      </c>
      <c r="N1039" t="s">
        <v>42669</v>
      </c>
      <c r="O1039" t="s">
        <v>42670</v>
      </c>
      <c r="P1039">
        <v>0</v>
      </c>
      <c r="Q1039">
        <v>1</v>
      </c>
      <c r="R1039" t="s">
        <v>42673</v>
      </c>
      <c r="S1039" t="s">
        <v>42784</v>
      </c>
      <c r="T1039" t="s">
        <v>44430</v>
      </c>
      <c r="U1039" t="s">
        <v>45758</v>
      </c>
      <c r="W1039" t="s">
        <v>39170</v>
      </c>
      <c r="X1039" t="s">
        <v>42674</v>
      </c>
    </row>
    <row r="1040" spans="1:24">
      <c r="A1040">
        <f>HYPERLINK("https://www.philgeps.gov.ph/GEPSNONPILOT/Tender/SplashBidNoticeAbstractUI.aspx?menuIndex=3&amp;refID=7193073&amp;Result=3","7193073")</f>
        <v>0</v>
      </c>
      <c r="B1040" t="s">
        <v>405</v>
      </c>
      <c r="C1040" t="s">
        <v>4525</v>
      </c>
      <c r="D1040" t="s">
        <v>17172</v>
      </c>
      <c r="E1040" t="s">
        <v>18188</v>
      </c>
      <c r="F1040" t="s">
        <v>29372</v>
      </c>
      <c r="G1040" t="s">
        <v>29383</v>
      </c>
      <c r="H1040" t="s">
        <v>11048</v>
      </c>
      <c r="I1040" t="s">
        <v>9642</v>
      </c>
      <c r="J1040" t="s">
        <v>30319</v>
      </c>
      <c r="K1040" t="s">
        <v>38528</v>
      </c>
      <c r="M1040" t="s">
        <v>39169</v>
      </c>
      <c r="N1040" t="s">
        <v>42669</v>
      </c>
      <c r="O1040" t="s">
        <v>42670</v>
      </c>
      <c r="P1040">
        <v>0</v>
      </c>
      <c r="Q1040">
        <v>1</v>
      </c>
      <c r="R1040" t="s">
        <v>42673</v>
      </c>
      <c r="S1040" t="s">
        <v>42784</v>
      </c>
      <c r="T1040" t="s">
        <v>44488</v>
      </c>
      <c r="U1040" t="s">
        <v>45759</v>
      </c>
      <c r="W1040" t="s">
        <v>39169</v>
      </c>
      <c r="X1040" t="s">
        <v>42674</v>
      </c>
    </row>
    <row r="1041" spans="1:24">
      <c r="A1041">
        <f>HYPERLINK("https://www.philgeps.gov.ph/GEPSNONPILOT/Tender/SplashBidNoticeAbstractUI.aspx?menuIndex=3&amp;refID=7193086&amp;Result=3","7193086")</f>
        <v>0</v>
      </c>
      <c r="B1041" t="s">
        <v>404</v>
      </c>
      <c r="C1041" t="s">
        <v>4526</v>
      </c>
      <c r="D1041" t="s">
        <v>17180</v>
      </c>
      <c r="E1041" t="s">
        <v>18185</v>
      </c>
      <c r="F1041" t="s">
        <v>29372</v>
      </c>
      <c r="G1041" t="s">
        <v>29380</v>
      </c>
      <c r="H1041" t="s">
        <v>29389</v>
      </c>
      <c r="I1041" t="s">
        <v>10408</v>
      </c>
      <c r="J1041" t="s">
        <v>30320</v>
      </c>
      <c r="K1041" t="s">
        <v>38495</v>
      </c>
      <c r="L1041" t="s">
        <v>404</v>
      </c>
      <c r="M1041" t="s">
        <v>39168</v>
      </c>
      <c r="N1041" t="s">
        <v>42669</v>
      </c>
      <c r="O1041" t="s">
        <v>42670</v>
      </c>
      <c r="P1041">
        <v>0</v>
      </c>
      <c r="Q1041">
        <v>17</v>
      </c>
      <c r="R1041" t="s">
        <v>42673</v>
      </c>
      <c r="S1041" t="s">
        <v>42784</v>
      </c>
      <c r="T1041" t="s">
        <v>44502</v>
      </c>
      <c r="U1041" t="s">
        <v>45760</v>
      </c>
      <c r="W1041" t="s">
        <v>39168</v>
      </c>
      <c r="X1041" t="s">
        <v>42674</v>
      </c>
    </row>
    <row r="1042" spans="1:24">
      <c r="A1042">
        <f>HYPERLINK("https://www.philgeps.gov.ph/GEPSNONPILOT/Tender/SplashBidNoticeAbstractUI.aspx?menuIndex=3&amp;refID=7193068&amp;Result=3","7193068")</f>
        <v>0</v>
      </c>
      <c r="B1042" t="s">
        <v>405</v>
      </c>
      <c r="C1042" t="s">
        <v>4527</v>
      </c>
      <c r="D1042" t="s">
        <v>17172</v>
      </c>
      <c r="E1042" t="s">
        <v>18189</v>
      </c>
      <c r="F1042" t="s">
        <v>29372</v>
      </c>
      <c r="G1042" t="s">
        <v>29383</v>
      </c>
      <c r="H1042" t="s">
        <v>11048</v>
      </c>
      <c r="I1042" t="s">
        <v>9642</v>
      </c>
      <c r="J1042" t="s">
        <v>30321</v>
      </c>
      <c r="K1042" t="s">
        <v>38528</v>
      </c>
      <c r="M1042" t="s">
        <v>39169</v>
      </c>
      <c r="N1042" t="s">
        <v>42669</v>
      </c>
      <c r="O1042" t="s">
        <v>42670</v>
      </c>
      <c r="P1042">
        <v>0</v>
      </c>
      <c r="Q1042">
        <v>0</v>
      </c>
      <c r="R1042" t="s">
        <v>42673</v>
      </c>
      <c r="S1042" t="s">
        <v>42784</v>
      </c>
      <c r="T1042" t="s">
        <v>44488</v>
      </c>
      <c r="U1042" t="s">
        <v>45761</v>
      </c>
      <c r="V1042" t="s">
        <v>56454</v>
      </c>
      <c r="W1042" t="s">
        <v>39169</v>
      </c>
      <c r="X1042" t="s">
        <v>42674</v>
      </c>
    </row>
    <row r="1043" spans="1:24">
      <c r="A1043">
        <f>HYPERLINK("https://www.philgeps.gov.ph/GEPSNONPILOT/Tender/SplashBidNoticeAbstractUI.aspx?menuIndex=3&amp;refID=7193065&amp;Result=3","7193065")</f>
        <v>0</v>
      </c>
      <c r="B1043" t="s">
        <v>405</v>
      </c>
      <c r="C1043" t="s">
        <v>4528</v>
      </c>
      <c r="D1043" t="s">
        <v>17172</v>
      </c>
      <c r="E1043" t="s">
        <v>18190</v>
      </c>
      <c r="F1043" t="s">
        <v>29372</v>
      </c>
      <c r="G1043" t="s">
        <v>29383</v>
      </c>
      <c r="H1043" t="s">
        <v>11048</v>
      </c>
      <c r="I1043" t="s">
        <v>3670</v>
      </c>
      <c r="J1043" t="s">
        <v>30322</v>
      </c>
      <c r="K1043" t="s">
        <v>38528</v>
      </c>
      <c r="M1043" t="s">
        <v>39169</v>
      </c>
      <c r="N1043" t="s">
        <v>42669</v>
      </c>
      <c r="O1043" t="s">
        <v>42670</v>
      </c>
      <c r="P1043">
        <v>0</v>
      </c>
      <c r="Q1043">
        <v>1</v>
      </c>
      <c r="R1043" t="s">
        <v>42673</v>
      </c>
      <c r="S1043" t="s">
        <v>42784</v>
      </c>
      <c r="T1043" t="s">
        <v>44432</v>
      </c>
      <c r="U1043" t="s">
        <v>45762</v>
      </c>
      <c r="V1043" t="s">
        <v>56454</v>
      </c>
      <c r="W1043" t="s">
        <v>39169</v>
      </c>
      <c r="X1043" t="s">
        <v>42674</v>
      </c>
    </row>
    <row r="1044" spans="1:24">
      <c r="A1044">
        <f>HYPERLINK("https://www.philgeps.gov.ph/GEPSNONPILOT/Tender/SplashBidNoticeAbstractUI.aspx?menuIndex=3&amp;refID=7193058&amp;Result=3","7193058")</f>
        <v>0</v>
      </c>
      <c r="B1044" t="s">
        <v>404</v>
      </c>
      <c r="C1044" t="s">
        <v>4529</v>
      </c>
      <c r="D1044" t="s">
        <v>17180</v>
      </c>
      <c r="E1044" t="s">
        <v>18185</v>
      </c>
      <c r="F1044" t="s">
        <v>29372</v>
      </c>
      <c r="G1044" t="s">
        <v>29380</v>
      </c>
      <c r="H1044" t="s">
        <v>11048</v>
      </c>
      <c r="I1044" t="s">
        <v>10408</v>
      </c>
      <c r="J1044" t="s">
        <v>30323</v>
      </c>
      <c r="K1044" t="s">
        <v>38496</v>
      </c>
      <c r="L1044" t="s">
        <v>404</v>
      </c>
      <c r="M1044" t="s">
        <v>39168</v>
      </c>
      <c r="N1044" t="s">
        <v>42669</v>
      </c>
      <c r="O1044" t="s">
        <v>42670</v>
      </c>
      <c r="P1044">
        <v>0</v>
      </c>
      <c r="Q1044">
        <v>8</v>
      </c>
      <c r="R1044" t="s">
        <v>42673</v>
      </c>
      <c r="S1044" t="s">
        <v>42784</v>
      </c>
      <c r="T1044" t="s">
        <v>44502</v>
      </c>
      <c r="U1044" t="s">
        <v>45763</v>
      </c>
      <c r="W1044" t="s">
        <v>39168</v>
      </c>
      <c r="X1044" t="s">
        <v>42674</v>
      </c>
    </row>
    <row r="1045" spans="1:24">
      <c r="A1045">
        <f>HYPERLINK("https://www.philgeps.gov.ph/GEPSNONPILOT/Tender/SplashBidNoticeAbstractUI.aspx?menuIndex=3&amp;refID=7193083&amp;Result=3","7193083")</f>
        <v>0</v>
      </c>
      <c r="B1045" t="s">
        <v>404</v>
      </c>
      <c r="C1045" t="s">
        <v>4530</v>
      </c>
      <c r="D1045" t="s">
        <v>17180</v>
      </c>
      <c r="E1045" t="s">
        <v>18185</v>
      </c>
      <c r="F1045" t="s">
        <v>29372</v>
      </c>
      <c r="G1045" t="s">
        <v>29380</v>
      </c>
      <c r="H1045" t="s">
        <v>29389</v>
      </c>
      <c r="I1045" t="s">
        <v>10408</v>
      </c>
      <c r="J1045" t="s">
        <v>30324</v>
      </c>
      <c r="K1045" t="s">
        <v>38522</v>
      </c>
      <c r="L1045" t="s">
        <v>404</v>
      </c>
      <c r="M1045" t="s">
        <v>39168</v>
      </c>
      <c r="N1045" t="s">
        <v>42669</v>
      </c>
      <c r="O1045" t="s">
        <v>42670</v>
      </c>
      <c r="P1045">
        <v>0</v>
      </c>
      <c r="Q1045">
        <v>17</v>
      </c>
      <c r="R1045" t="s">
        <v>42673</v>
      </c>
      <c r="S1045" t="s">
        <v>42784</v>
      </c>
      <c r="T1045" t="s">
        <v>44502</v>
      </c>
      <c r="U1045" t="s">
        <v>45764</v>
      </c>
      <c r="W1045" t="s">
        <v>39168</v>
      </c>
      <c r="X1045" t="s">
        <v>42674</v>
      </c>
    </row>
    <row r="1046" spans="1:24">
      <c r="A1046">
        <f>HYPERLINK("https://www.philgeps.gov.ph/GEPSNONPILOT/Tender/SplashBidNoticeAbstractUI.aspx?menuIndex=3&amp;refID=7193054&amp;Result=3","7193054")</f>
        <v>0</v>
      </c>
      <c r="B1046" t="s">
        <v>404</v>
      </c>
      <c r="C1046" t="s">
        <v>4531</v>
      </c>
      <c r="D1046" t="s">
        <v>17180</v>
      </c>
      <c r="E1046" t="s">
        <v>18191</v>
      </c>
      <c r="F1046" t="s">
        <v>29372</v>
      </c>
      <c r="G1046" t="s">
        <v>29380</v>
      </c>
      <c r="H1046" t="s">
        <v>29389</v>
      </c>
      <c r="I1046" t="s">
        <v>10408</v>
      </c>
      <c r="J1046" t="s">
        <v>30325</v>
      </c>
      <c r="K1046" t="s">
        <v>38496</v>
      </c>
      <c r="L1046" t="s">
        <v>404</v>
      </c>
      <c r="M1046" t="s">
        <v>39168</v>
      </c>
      <c r="N1046" t="s">
        <v>42669</v>
      </c>
      <c r="O1046" t="s">
        <v>42670</v>
      </c>
      <c r="P1046">
        <v>0</v>
      </c>
      <c r="Q1046">
        <v>9</v>
      </c>
      <c r="R1046" t="s">
        <v>42673</v>
      </c>
      <c r="S1046" t="s">
        <v>42784</v>
      </c>
      <c r="T1046" t="s">
        <v>44502</v>
      </c>
      <c r="U1046" t="s">
        <v>45765</v>
      </c>
      <c r="W1046" t="s">
        <v>39168</v>
      </c>
      <c r="X1046" t="s">
        <v>42674</v>
      </c>
    </row>
    <row r="1047" spans="1:24">
      <c r="A1047">
        <f>HYPERLINK("https://www.philgeps.gov.ph/GEPSNONPILOT/Tender/SplashBidNoticeAbstractUI.aspx?menuIndex=3&amp;refID=7193078&amp;Result=3","7193078")</f>
        <v>0</v>
      </c>
      <c r="B1047" t="s">
        <v>406</v>
      </c>
      <c r="C1047" t="s">
        <v>4524</v>
      </c>
      <c r="D1047" t="s">
        <v>17162</v>
      </c>
      <c r="E1047" t="s">
        <v>18192</v>
      </c>
      <c r="F1047" t="s">
        <v>29372</v>
      </c>
      <c r="G1047" t="s">
        <v>29383</v>
      </c>
      <c r="H1047" t="s">
        <v>11048</v>
      </c>
      <c r="I1047" t="s">
        <v>4487</v>
      </c>
      <c r="J1047" t="s">
        <v>30318</v>
      </c>
      <c r="K1047" t="s">
        <v>38491</v>
      </c>
      <c r="M1047" t="s">
        <v>39170</v>
      </c>
      <c r="N1047" t="s">
        <v>42669</v>
      </c>
      <c r="O1047" t="s">
        <v>42670</v>
      </c>
      <c r="P1047">
        <v>0</v>
      </c>
      <c r="Q1047">
        <v>2</v>
      </c>
      <c r="R1047" t="s">
        <v>42673</v>
      </c>
      <c r="S1047" t="s">
        <v>42784</v>
      </c>
      <c r="T1047" t="s">
        <v>44430</v>
      </c>
      <c r="U1047" t="s">
        <v>45766</v>
      </c>
      <c r="W1047" t="s">
        <v>39170</v>
      </c>
      <c r="X1047" t="s">
        <v>42674</v>
      </c>
    </row>
    <row r="1048" spans="1:24">
      <c r="A1048">
        <f>HYPERLINK("https://www.philgeps.gov.ph/GEPSNONPILOT/Tender/SplashBidNoticeAbstractUI.aspx?menuIndex=3&amp;refID=7193107&amp;Result=3","7193107")</f>
        <v>0</v>
      </c>
      <c r="B1048" t="s">
        <v>407</v>
      </c>
      <c r="C1048" t="s">
        <v>4532</v>
      </c>
      <c r="D1048" t="s">
        <v>17182</v>
      </c>
      <c r="E1048" t="s">
        <v>18193</v>
      </c>
      <c r="F1048" t="s">
        <v>29372</v>
      </c>
      <c r="G1048" t="s">
        <v>29380</v>
      </c>
      <c r="H1048" t="s">
        <v>11048</v>
      </c>
      <c r="I1048" t="s">
        <v>9642</v>
      </c>
      <c r="J1048" t="s">
        <v>29590</v>
      </c>
      <c r="K1048" t="s">
        <v>38491</v>
      </c>
      <c r="M1048" t="s">
        <v>39171</v>
      </c>
      <c r="N1048" t="s">
        <v>42669</v>
      </c>
      <c r="O1048" t="s">
        <v>42670</v>
      </c>
      <c r="P1048">
        <v>0</v>
      </c>
      <c r="Q1048">
        <v>4</v>
      </c>
      <c r="R1048" t="s">
        <v>42673</v>
      </c>
      <c r="S1048" t="s">
        <v>42784</v>
      </c>
      <c r="T1048" t="s">
        <v>44357</v>
      </c>
      <c r="U1048" t="s">
        <v>45767</v>
      </c>
      <c r="W1048" t="s">
        <v>39171</v>
      </c>
      <c r="X1048" t="s">
        <v>42674</v>
      </c>
    </row>
    <row r="1049" spans="1:24">
      <c r="A1049">
        <f>HYPERLINK("https://www.philgeps.gov.ph/GEPSNONPILOT/Tender/SplashBidNoticeAbstractUI.aspx?menuIndex=3&amp;refID=7193122&amp;Result=3","7193122")</f>
        <v>0</v>
      </c>
      <c r="B1049" t="s">
        <v>408</v>
      </c>
      <c r="C1049" t="s">
        <v>4533</v>
      </c>
      <c r="D1049" t="s">
        <v>17199</v>
      </c>
      <c r="E1049" t="s">
        <v>18194</v>
      </c>
      <c r="F1049" t="s">
        <v>29372</v>
      </c>
      <c r="G1049" t="s">
        <v>29382</v>
      </c>
      <c r="H1049" t="s">
        <v>11048</v>
      </c>
      <c r="I1049" t="s">
        <v>5383</v>
      </c>
      <c r="J1049" t="s">
        <v>30326</v>
      </c>
      <c r="K1049" t="s">
        <v>38490</v>
      </c>
      <c r="M1049" t="s">
        <v>39172</v>
      </c>
      <c r="N1049" t="s">
        <v>42669</v>
      </c>
      <c r="O1049" t="s">
        <v>42670</v>
      </c>
      <c r="P1049">
        <v>0</v>
      </c>
      <c r="Q1049">
        <v>0</v>
      </c>
      <c r="R1049" t="s">
        <v>42673</v>
      </c>
      <c r="S1049" t="s">
        <v>42784</v>
      </c>
      <c r="T1049" t="s">
        <v>44432</v>
      </c>
      <c r="U1049" t="s">
        <v>45768</v>
      </c>
      <c r="V1049" t="s">
        <v>56455</v>
      </c>
      <c r="W1049" t="s">
        <v>39172</v>
      </c>
      <c r="X1049" t="s">
        <v>42674</v>
      </c>
    </row>
    <row r="1050" spans="1:24">
      <c r="A1050">
        <f>HYPERLINK("https://www.philgeps.gov.ph/GEPSNONPILOT/Tender/SplashBidNoticeAbstractUI.aspx?menuIndex=3&amp;refID=7193077&amp;Result=3","7193077")</f>
        <v>0</v>
      </c>
      <c r="B1050" t="s">
        <v>409</v>
      </c>
      <c r="C1050" t="s">
        <v>4534</v>
      </c>
      <c r="D1050" t="s">
        <v>17189</v>
      </c>
      <c r="E1050" t="s">
        <v>18195</v>
      </c>
      <c r="F1050" t="s">
        <v>29372</v>
      </c>
      <c r="G1050" t="s">
        <v>29383</v>
      </c>
      <c r="H1050" t="s">
        <v>11048</v>
      </c>
      <c r="I1050" t="s">
        <v>29451</v>
      </c>
      <c r="J1050" t="s">
        <v>30024</v>
      </c>
      <c r="K1050" t="s">
        <v>38491</v>
      </c>
      <c r="M1050" t="s">
        <v>39173</v>
      </c>
      <c r="N1050" t="s">
        <v>42669</v>
      </c>
      <c r="O1050" t="s">
        <v>42670</v>
      </c>
      <c r="P1050">
        <v>0</v>
      </c>
      <c r="Q1050">
        <v>4</v>
      </c>
      <c r="R1050" t="s">
        <v>42673</v>
      </c>
      <c r="S1050" t="s">
        <v>42784</v>
      </c>
      <c r="T1050" t="s">
        <v>44429</v>
      </c>
      <c r="U1050" t="s">
        <v>45769</v>
      </c>
      <c r="W1050" t="s">
        <v>39173</v>
      </c>
      <c r="X1050" t="s">
        <v>42674</v>
      </c>
    </row>
    <row r="1051" spans="1:24">
      <c r="A1051">
        <f>HYPERLINK("https://www.philgeps.gov.ph/GEPSNONPILOT/Tender/SplashBidNoticeAbstractUI.aspx?menuIndex=3&amp;refID=7193119&amp;Result=3","7193119")</f>
        <v>0</v>
      </c>
      <c r="B1051" t="s">
        <v>410</v>
      </c>
      <c r="C1051" t="s">
        <v>4535</v>
      </c>
      <c r="D1051" t="s">
        <v>17207</v>
      </c>
      <c r="E1051" t="s">
        <v>18196</v>
      </c>
      <c r="F1051" t="s">
        <v>29372</v>
      </c>
      <c r="G1051" t="s">
        <v>29380</v>
      </c>
      <c r="H1051" t="s">
        <v>11048</v>
      </c>
      <c r="I1051" t="s">
        <v>4487</v>
      </c>
      <c r="J1051" t="s">
        <v>30327</v>
      </c>
      <c r="K1051" t="s">
        <v>38518</v>
      </c>
      <c r="M1051" t="s">
        <v>39174</v>
      </c>
      <c r="N1051" t="s">
        <v>42669</v>
      </c>
      <c r="O1051" t="s">
        <v>42670</v>
      </c>
      <c r="P1051">
        <v>0</v>
      </c>
      <c r="Q1051">
        <v>2</v>
      </c>
      <c r="R1051" t="s">
        <v>42673</v>
      </c>
      <c r="S1051" t="s">
        <v>42784</v>
      </c>
      <c r="T1051" t="s">
        <v>44503</v>
      </c>
      <c r="U1051" t="s">
        <v>45770</v>
      </c>
      <c r="W1051" t="s">
        <v>39174</v>
      </c>
      <c r="X1051" t="s">
        <v>42674</v>
      </c>
    </row>
    <row r="1052" spans="1:24">
      <c r="A1052">
        <f>HYPERLINK("https://www.philgeps.gov.ph/GEPSNONPILOT/Tender/SplashBidNoticeAbstractUI.aspx?menuIndex=3&amp;refID=7193116&amp;Result=3","7193116")</f>
        <v>0</v>
      </c>
      <c r="B1052" t="s">
        <v>255</v>
      </c>
      <c r="C1052" t="s">
        <v>4536</v>
      </c>
      <c r="E1052" t="s">
        <v>18197</v>
      </c>
      <c r="F1052" t="s">
        <v>29372</v>
      </c>
      <c r="G1052" t="s">
        <v>29379</v>
      </c>
      <c r="H1052" t="s">
        <v>11048</v>
      </c>
      <c r="I1052" t="s">
        <v>29431</v>
      </c>
      <c r="J1052" t="s">
        <v>30054</v>
      </c>
      <c r="K1052" t="s">
        <v>38490</v>
      </c>
      <c r="M1052" t="s">
        <v>39014</v>
      </c>
      <c r="N1052" t="s">
        <v>42669</v>
      </c>
      <c r="O1052" t="s">
        <v>42670</v>
      </c>
      <c r="P1052">
        <v>0</v>
      </c>
      <c r="Q1052">
        <v>0</v>
      </c>
      <c r="R1052" t="s">
        <v>42673</v>
      </c>
      <c r="S1052" t="s">
        <v>42784</v>
      </c>
      <c r="T1052" t="s">
        <v>44489</v>
      </c>
      <c r="U1052" t="s">
        <v>45771</v>
      </c>
      <c r="W1052" t="s">
        <v>39014</v>
      </c>
      <c r="X1052" t="s">
        <v>42674</v>
      </c>
    </row>
    <row r="1053" spans="1:24">
      <c r="A1053">
        <f>HYPERLINK("https://www.philgeps.gov.ph/GEPSNONPILOT/Tender/SplashBidNoticeAbstractUI.aspx?menuIndex=3&amp;refID=7193088&amp;Result=3","7193088")</f>
        <v>0</v>
      </c>
      <c r="B1053" t="s">
        <v>404</v>
      </c>
      <c r="C1053" t="s">
        <v>4537</v>
      </c>
      <c r="D1053" t="s">
        <v>17180</v>
      </c>
      <c r="E1053" t="s">
        <v>18185</v>
      </c>
      <c r="F1053" t="s">
        <v>29372</v>
      </c>
      <c r="G1053" t="s">
        <v>29380</v>
      </c>
      <c r="H1053" t="s">
        <v>29389</v>
      </c>
      <c r="I1053" t="s">
        <v>10408</v>
      </c>
      <c r="J1053" t="s">
        <v>30328</v>
      </c>
      <c r="K1053" t="s">
        <v>38522</v>
      </c>
      <c r="L1053" t="s">
        <v>404</v>
      </c>
      <c r="M1053" t="s">
        <v>39168</v>
      </c>
      <c r="N1053" t="s">
        <v>42669</v>
      </c>
      <c r="O1053" t="s">
        <v>42670</v>
      </c>
      <c r="P1053">
        <v>0</v>
      </c>
      <c r="Q1053">
        <v>19</v>
      </c>
      <c r="R1053" t="s">
        <v>42673</v>
      </c>
      <c r="S1053" t="s">
        <v>42784</v>
      </c>
      <c r="T1053" t="s">
        <v>44502</v>
      </c>
      <c r="U1053" t="s">
        <v>45772</v>
      </c>
      <c r="W1053" t="s">
        <v>39168</v>
      </c>
      <c r="X1053" t="s">
        <v>42674</v>
      </c>
    </row>
    <row r="1054" spans="1:24">
      <c r="A1054">
        <f>HYPERLINK("https://www.philgeps.gov.ph/GEPSNONPILOT/Tender/SplashBidNoticeAbstractUI.aspx?menuIndex=3&amp;refID=7193115&amp;Result=3","7193115")</f>
        <v>0</v>
      </c>
      <c r="B1054" t="s">
        <v>410</v>
      </c>
      <c r="C1054" t="s">
        <v>4538</v>
      </c>
      <c r="D1054" t="s">
        <v>17207</v>
      </c>
      <c r="E1054" t="s">
        <v>18198</v>
      </c>
      <c r="F1054" t="s">
        <v>29372</v>
      </c>
      <c r="G1054" t="s">
        <v>29380</v>
      </c>
      <c r="H1054" t="s">
        <v>11048</v>
      </c>
      <c r="I1054" t="s">
        <v>3839</v>
      </c>
      <c r="J1054" t="s">
        <v>30329</v>
      </c>
      <c r="K1054" t="s">
        <v>38518</v>
      </c>
      <c r="M1054" t="s">
        <v>39174</v>
      </c>
      <c r="N1054" t="s">
        <v>42669</v>
      </c>
      <c r="O1054" t="s">
        <v>42670</v>
      </c>
      <c r="P1054">
        <v>0</v>
      </c>
      <c r="Q1054">
        <v>3</v>
      </c>
      <c r="R1054" t="s">
        <v>42673</v>
      </c>
      <c r="S1054" t="s">
        <v>42784</v>
      </c>
      <c r="T1054" t="s">
        <v>44503</v>
      </c>
      <c r="U1054" t="s">
        <v>45773</v>
      </c>
      <c r="W1054" t="s">
        <v>39174</v>
      </c>
      <c r="X1054" t="s">
        <v>42674</v>
      </c>
    </row>
    <row r="1055" spans="1:24">
      <c r="A1055">
        <f>HYPERLINK("https://www.philgeps.gov.ph/GEPSNONPILOT/Tender/SplashBidNoticeAbstractUI.aspx?menuIndex=3&amp;refID=7192251&amp;Result=3","7192251")</f>
        <v>0</v>
      </c>
      <c r="B1055" t="s">
        <v>378</v>
      </c>
      <c r="C1055" t="s">
        <v>4539</v>
      </c>
      <c r="D1055" t="s">
        <v>17151</v>
      </c>
      <c r="E1055" t="s">
        <v>18199</v>
      </c>
      <c r="F1055" t="s">
        <v>29372</v>
      </c>
      <c r="G1055" t="s">
        <v>29379</v>
      </c>
      <c r="H1055" t="s">
        <v>11048</v>
      </c>
      <c r="I1055" t="s">
        <v>3629</v>
      </c>
      <c r="J1055" t="s">
        <v>30330</v>
      </c>
      <c r="K1055" t="s">
        <v>38490</v>
      </c>
      <c r="M1055" t="s">
        <v>39140</v>
      </c>
      <c r="N1055" t="s">
        <v>42669</v>
      </c>
      <c r="O1055" t="s">
        <v>42670</v>
      </c>
      <c r="P1055">
        <v>0</v>
      </c>
      <c r="Q1055">
        <v>0</v>
      </c>
      <c r="R1055" t="s">
        <v>42673</v>
      </c>
      <c r="S1055" t="s">
        <v>42784</v>
      </c>
      <c r="T1055" t="s">
        <v>44493</v>
      </c>
      <c r="U1055" t="s">
        <v>45774</v>
      </c>
      <c r="W1055" t="s">
        <v>39140</v>
      </c>
      <c r="X1055" t="s">
        <v>42676</v>
      </c>
    </row>
    <row r="1056" spans="1:24">
      <c r="A1056">
        <f>HYPERLINK("https://www.philgeps.gov.ph/GEPSNONPILOT/Tender/SplashBidNoticeAbstractUI.aspx?menuIndex=3&amp;refID=7193114&amp;Result=3","7193114")</f>
        <v>0</v>
      </c>
      <c r="B1056" t="s">
        <v>411</v>
      </c>
      <c r="C1056" t="s">
        <v>4540</v>
      </c>
      <c r="D1056" t="s">
        <v>17160</v>
      </c>
      <c r="E1056" t="s">
        <v>4540</v>
      </c>
      <c r="F1056" t="s">
        <v>29372</v>
      </c>
      <c r="G1056" t="s">
        <v>29380</v>
      </c>
      <c r="H1056" t="s">
        <v>29389</v>
      </c>
      <c r="I1056" t="s">
        <v>10408</v>
      </c>
      <c r="J1056" t="s">
        <v>29823</v>
      </c>
      <c r="K1056" t="s">
        <v>38491</v>
      </c>
      <c r="M1056" t="s">
        <v>39175</v>
      </c>
      <c r="N1056" t="s">
        <v>42669</v>
      </c>
      <c r="O1056" t="s">
        <v>42670</v>
      </c>
      <c r="P1056">
        <v>0</v>
      </c>
      <c r="Q1056">
        <v>0</v>
      </c>
      <c r="R1056" t="s">
        <v>42673</v>
      </c>
      <c r="S1056" t="s">
        <v>42784</v>
      </c>
      <c r="T1056" t="s">
        <v>44356</v>
      </c>
      <c r="U1056" t="s">
        <v>45775</v>
      </c>
      <c r="W1056" t="s">
        <v>39175</v>
      </c>
      <c r="X1056" t="s">
        <v>42674</v>
      </c>
    </row>
    <row r="1057" spans="1:24">
      <c r="A1057">
        <f>HYPERLINK("https://www.philgeps.gov.ph/GEPSNONPILOT/Tender/SplashBidNoticeAbstractUI.aspx?menuIndex=3&amp;refID=7193111&amp;Result=3","7193111")</f>
        <v>0</v>
      </c>
      <c r="B1057" t="s">
        <v>412</v>
      </c>
      <c r="C1057" t="s">
        <v>4541</v>
      </c>
      <c r="D1057" t="s">
        <v>17174</v>
      </c>
      <c r="E1057" t="s">
        <v>18200</v>
      </c>
      <c r="F1057" t="s">
        <v>29372</v>
      </c>
      <c r="G1057" t="s">
        <v>29379</v>
      </c>
      <c r="H1057" t="s">
        <v>11048</v>
      </c>
      <c r="I1057" t="s">
        <v>29407</v>
      </c>
      <c r="J1057" t="s">
        <v>30331</v>
      </c>
      <c r="K1057" t="s">
        <v>38510</v>
      </c>
      <c r="M1057" t="s">
        <v>39176</v>
      </c>
      <c r="N1057" t="s">
        <v>42669</v>
      </c>
      <c r="O1057" t="s">
        <v>42670</v>
      </c>
      <c r="P1057">
        <v>0</v>
      </c>
      <c r="Q1057">
        <v>1</v>
      </c>
      <c r="R1057" t="s">
        <v>42673</v>
      </c>
      <c r="S1057" t="s">
        <v>42784</v>
      </c>
      <c r="T1057" t="s">
        <v>44451</v>
      </c>
      <c r="U1057" t="s">
        <v>45776</v>
      </c>
      <c r="W1057" t="s">
        <v>39176</v>
      </c>
      <c r="X1057" t="s">
        <v>42674</v>
      </c>
    </row>
    <row r="1058" spans="1:24">
      <c r="A1058">
        <f>HYPERLINK("https://www.philgeps.gov.ph/GEPSNONPILOT/Tender/SplashBidNoticeAbstractUI.aspx?menuIndex=3&amp;refID=7193108&amp;Result=3","7193108")</f>
        <v>0</v>
      </c>
      <c r="B1058" t="s">
        <v>255</v>
      </c>
      <c r="C1058" t="s">
        <v>4542</v>
      </c>
      <c r="E1058" t="s">
        <v>18201</v>
      </c>
      <c r="F1058" t="s">
        <v>29372</v>
      </c>
      <c r="G1058" t="s">
        <v>29379</v>
      </c>
      <c r="H1058" t="s">
        <v>11048</v>
      </c>
      <c r="I1058" t="s">
        <v>29458</v>
      </c>
      <c r="J1058" t="s">
        <v>30332</v>
      </c>
      <c r="K1058" t="s">
        <v>38490</v>
      </c>
      <c r="M1058" t="s">
        <v>39014</v>
      </c>
      <c r="N1058" t="s">
        <v>42669</v>
      </c>
      <c r="O1058" t="s">
        <v>42670</v>
      </c>
      <c r="P1058">
        <v>0</v>
      </c>
      <c r="Q1058">
        <v>1</v>
      </c>
      <c r="R1058" t="s">
        <v>42673</v>
      </c>
      <c r="S1058" t="s">
        <v>42784</v>
      </c>
      <c r="T1058" t="s">
        <v>44489</v>
      </c>
      <c r="U1058" t="s">
        <v>45771</v>
      </c>
      <c r="W1058" t="s">
        <v>39014</v>
      </c>
      <c r="X1058" t="s">
        <v>42674</v>
      </c>
    </row>
    <row r="1059" spans="1:24">
      <c r="A1059">
        <f>HYPERLINK("https://www.philgeps.gov.ph/GEPSNONPILOT/Tender/SplashBidNoticeAbstractUI.aspx?menuIndex=3&amp;refID=7193118&amp;Result=3","7193118")</f>
        <v>0</v>
      </c>
      <c r="B1059" t="s">
        <v>255</v>
      </c>
      <c r="C1059" t="s">
        <v>4543</v>
      </c>
      <c r="E1059" t="s">
        <v>18202</v>
      </c>
      <c r="F1059" t="s">
        <v>29372</v>
      </c>
      <c r="G1059" t="s">
        <v>29379</v>
      </c>
      <c r="H1059" t="s">
        <v>11048</v>
      </c>
      <c r="I1059" t="s">
        <v>29433</v>
      </c>
      <c r="J1059" t="s">
        <v>30333</v>
      </c>
      <c r="K1059" t="s">
        <v>38490</v>
      </c>
      <c r="M1059" t="s">
        <v>39014</v>
      </c>
      <c r="N1059" t="s">
        <v>42669</v>
      </c>
      <c r="O1059" t="s">
        <v>42670</v>
      </c>
      <c r="P1059">
        <v>0</v>
      </c>
      <c r="Q1059">
        <v>4</v>
      </c>
      <c r="R1059" t="s">
        <v>42673</v>
      </c>
      <c r="S1059" t="s">
        <v>42784</v>
      </c>
      <c r="T1059" t="s">
        <v>44489</v>
      </c>
      <c r="U1059" t="s">
        <v>45771</v>
      </c>
      <c r="W1059" t="s">
        <v>39014</v>
      </c>
      <c r="X1059" t="s">
        <v>42674</v>
      </c>
    </row>
    <row r="1060" spans="1:24">
      <c r="A1060">
        <f>HYPERLINK("https://www.philgeps.gov.ph/GEPSNONPILOT/Tender/SplashBidNoticeAbstractUI.aspx?menuIndex=3&amp;refID=7193106&amp;Result=3","7193106")</f>
        <v>0</v>
      </c>
      <c r="B1060" t="s">
        <v>412</v>
      </c>
      <c r="C1060" t="s">
        <v>4544</v>
      </c>
      <c r="D1060" t="s">
        <v>17174</v>
      </c>
      <c r="E1060" t="s">
        <v>18203</v>
      </c>
      <c r="F1060" t="s">
        <v>29372</v>
      </c>
      <c r="G1060" t="s">
        <v>29379</v>
      </c>
      <c r="H1060" t="s">
        <v>11048</v>
      </c>
      <c r="I1060" t="s">
        <v>29407</v>
      </c>
      <c r="J1060" t="s">
        <v>30334</v>
      </c>
      <c r="K1060" t="s">
        <v>38510</v>
      </c>
      <c r="M1060" t="s">
        <v>39176</v>
      </c>
      <c r="N1060" t="s">
        <v>42669</v>
      </c>
      <c r="O1060" t="s">
        <v>42670</v>
      </c>
      <c r="P1060">
        <v>0</v>
      </c>
      <c r="Q1060">
        <v>21</v>
      </c>
      <c r="R1060" t="s">
        <v>42673</v>
      </c>
      <c r="S1060" t="s">
        <v>42784</v>
      </c>
      <c r="T1060" t="s">
        <v>44451</v>
      </c>
      <c r="U1060" t="s">
        <v>45777</v>
      </c>
      <c r="W1060" t="s">
        <v>39176</v>
      </c>
      <c r="X1060" t="s">
        <v>42674</v>
      </c>
    </row>
    <row r="1061" spans="1:24">
      <c r="A1061">
        <f>HYPERLINK("https://www.philgeps.gov.ph/GEPSNONPILOT/Tender/SplashBidNoticeAbstractUI.aspx?menuIndex=3&amp;refID=7192589&amp;Result=3","7192589")</f>
        <v>0</v>
      </c>
      <c r="B1061" t="s">
        <v>413</v>
      </c>
      <c r="C1061" t="s">
        <v>4545</v>
      </c>
      <c r="D1061" t="s">
        <v>17214</v>
      </c>
      <c r="E1061" t="s">
        <v>18204</v>
      </c>
      <c r="F1061" t="s">
        <v>29372</v>
      </c>
      <c r="G1061" t="s">
        <v>29380</v>
      </c>
      <c r="H1061" t="s">
        <v>11048</v>
      </c>
      <c r="I1061" t="s">
        <v>29436</v>
      </c>
      <c r="J1061" t="s">
        <v>30335</v>
      </c>
      <c r="K1061" t="s">
        <v>38495</v>
      </c>
      <c r="M1061" t="s">
        <v>39177</v>
      </c>
      <c r="N1061" t="s">
        <v>42669</v>
      </c>
      <c r="O1061" t="s">
        <v>42670</v>
      </c>
      <c r="P1061">
        <v>0</v>
      </c>
      <c r="Q1061">
        <v>10</v>
      </c>
      <c r="R1061" t="s">
        <v>42673</v>
      </c>
      <c r="S1061" t="s">
        <v>42784</v>
      </c>
      <c r="T1061" t="s">
        <v>44351</v>
      </c>
      <c r="U1061" t="s">
        <v>45778</v>
      </c>
      <c r="V1061" t="s">
        <v>56456</v>
      </c>
      <c r="W1061" t="s">
        <v>39177</v>
      </c>
      <c r="X1061" t="s">
        <v>42676</v>
      </c>
    </row>
    <row r="1062" spans="1:24">
      <c r="A1062">
        <f>HYPERLINK("https://www.philgeps.gov.ph/GEPSNONPILOT/Tender/SplashBidNoticeAbstractUI.aspx?menuIndex=3&amp;refID=7193103&amp;Result=3","7193103")</f>
        <v>0</v>
      </c>
      <c r="B1062" t="s">
        <v>410</v>
      </c>
      <c r="C1062" t="s">
        <v>4546</v>
      </c>
      <c r="D1062" t="s">
        <v>17207</v>
      </c>
      <c r="E1062" t="s">
        <v>18205</v>
      </c>
      <c r="F1062" t="s">
        <v>29372</v>
      </c>
      <c r="G1062" t="s">
        <v>29380</v>
      </c>
      <c r="H1062" t="s">
        <v>11048</v>
      </c>
      <c r="I1062" t="s">
        <v>4487</v>
      </c>
      <c r="J1062" t="s">
        <v>30336</v>
      </c>
      <c r="K1062" t="s">
        <v>38488</v>
      </c>
      <c r="M1062" t="s">
        <v>39174</v>
      </c>
      <c r="N1062" t="s">
        <v>42669</v>
      </c>
      <c r="O1062" t="s">
        <v>42670</v>
      </c>
      <c r="P1062">
        <v>0</v>
      </c>
      <c r="Q1062">
        <v>3</v>
      </c>
      <c r="R1062" t="s">
        <v>42673</v>
      </c>
      <c r="S1062" t="s">
        <v>42784</v>
      </c>
      <c r="T1062" t="s">
        <v>44503</v>
      </c>
      <c r="U1062" t="s">
        <v>45779</v>
      </c>
      <c r="W1062" t="s">
        <v>39174</v>
      </c>
      <c r="X1062" t="s">
        <v>42674</v>
      </c>
    </row>
    <row r="1063" spans="1:24">
      <c r="A1063">
        <f>HYPERLINK("https://www.philgeps.gov.ph/GEPSNONPILOT/Tender/SplashBidNoticeAbstractUI.aspx?menuIndex=3&amp;refID=7193102&amp;Result=3","7193102")</f>
        <v>0</v>
      </c>
      <c r="B1063" t="s">
        <v>414</v>
      </c>
      <c r="C1063" t="s">
        <v>4547</v>
      </c>
      <c r="D1063" t="s">
        <v>17172</v>
      </c>
      <c r="E1063" t="s">
        <v>18206</v>
      </c>
      <c r="F1063" t="s">
        <v>29373</v>
      </c>
      <c r="G1063" t="s">
        <v>29380</v>
      </c>
      <c r="H1063" t="s">
        <v>29389</v>
      </c>
      <c r="I1063" t="s">
        <v>10408</v>
      </c>
      <c r="J1063" t="s">
        <v>30337</v>
      </c>
      <c r="K1063" t="s">
        <v>38566</v>
      </c>
      <c r="M1063" t="s">
        <v>39178</v>
      </c>
      <c r="N1063" t="s">
        <v>42669</v>
      </c>
      <c r="O1063" t="s">
        <v>42670</v>
      </c>
      <c r="P1063">
        <v>0</v>
      </c>
      <c r="Q1063">
        <v>2</v>
      </c>
      <c r="R1063" t="s">
        <v>42673</v>
      </c>
      <c r="S1063" t="s">
        <v>42784</v>
      </c>
      <c r="T1063" t="s">
        <v>44504</v>
      </c>
      <c r="U1063" t="s">
        <v>45780</v>
      </c>
      <c r="V1063" t="s">
        <v>56457</v>
      </c>
      <c r="W1063" t="s">
        <v>39178</v>
      </c>
      <c r="X1063" t="s">
        <v>42674</v>
      </c>
    </row>
    <row r="1064" spans="1:24">
      <c r="A1064">
        <f>HYPERLINK("https://www.philgeps.gov.ph/GEPSNONPILOT/Tender/SplashBidNoticeAbstractUI.aspx?menuIndex=3&amp;refID=7193098&amp;Result=3","7193098")</f>
        <v>0</v>
      </c>
      <c r="B1064" t="s">
        <v>415</v>
      </c>
      <c r="C1064" t="s">
        <v>4548</v>
      </c>
      <c r="D1064" t="s">
        <v>17202</v>
      </c>
      <c r="E1064" t="s">
        <v>18207</v>
      </c>
      <c r="F1064" t="s">
        <v>29372</v>
      </c>
      <c r="G1064" t="s">
        <v>29380</v>
      </c>
      <c r="H1064" t="s">
        <v>11048</v>
      </c>
      <c r="I1064" t="s">
        <v>4709</v>
      </c>
      <c r="J1064" t="s">
        <v>29526</v>
      </c>
      <c r="K1064" t="s">
        <v>38488</v>
      </c>
      <c r="M1064" t="s">
        <v>39179</v>
      </c>
      <c r="N1064" t="s">
        <v>42669</v>
      </c>
      <c r="O1064" t="s">
        <v>42670</v>
      </c>
      <c r="P1064">
        <v>0</v>
      </c>
      <c r="Q1064">
        <v>0</v>
      </c>
      <c r="R1064" t="s">
        <v>42673</v>
      </c>
      <c r="S1064" t="s">
        <v>42784</v>
      </c>
      <c r="T1064" t="s">
        <v>44437</v>
      </c>
      <c r="U1064" t="s">
        <v>45781</v>
      </c>
      <c r="W1064" t="s">
        <v>39179</v>
      </c>
      <c r="X1064" t="s">
        <v>42674</v>
      </c>
    </row>
    <row r="1065" spans="1:24">
      <c r="A1065">
        <f>HYPERLINK("https://www.philgeps.gov.ph/GEPSNONPILOT/Tender/SplashBidNoticeAbstractUI.aspx?menuIndex=3&amp;refID=7193095&amp;Result=3","7193095")</f>
        <v>0</v>
      </c>
      <c r="B1065" t="s">
        <v>415</v>
      </c>
      <c r="C1065" t="s">
        <v>4549</v>
      </c>
      <c r="D1065" t="s">
        <v>17202</v>
      </c>
      <c r="E1065" t="s">
        <v>18208</v>
      </c>
      <c r="F1065" t="s">
        <v>29372</v>
      </c>
      <c r="G1065" t="s">
        <v>29380</v>
      </c>
      <c r="H1065" t="s">
        <v>11048</v>
      </c>
      <c r="I1065" t="s">
        <v>4709</v>
      </c>
      <c r="J1065" t="s">
        <v>29590</v>
      </c>
      <c r="K1065" t="s">
        <v>38488</v>
      </c>
      <c r="M1065" t="s">
        <v>39179</v>
      </c>
      <c r="N1065" t="s">
        <v>42669</v>
      </c>
      <c r="O1065" t="s">
        <v>42670</v>
      </c>
      <c r="P1065">
        <v>0</v>
      </c>
      <c r="Q1065">
        <v>0</v>
      </c>
      <c r="R1065" t="s">
        <v>42673</v>
      </c>
      <c r="S1065" t="s">
        <v>42784</v>
      </c>
      <c r="T1065" t="s">
        <v>44437</v>
      </c>
      <c r="U1065" t="s">
        <v>45782</v>
      </c>
      <c r="W1065" t="s">
        <v>39179</v>
      </c>
      <c r="X1065" t="s">
        <v>42674</v>
      </c>
    </row>
    <row r="1066" spans="1:24">
      <c r="A1066">
        <f>HYPERLINK("https://www.philgeps.gov.ph/GEPSNONPILOT/Tender/SplashBidNoticeAbstractUI.aspx?menuIndex=3&amp;refID=7193094&amp;Result=3","7193094")</f>
        <v>0</v>
      </c>
      <c r="B1066" t="s">
        <v>416</v>
      </c>
      <c r="C1066" t="s">
        <v>4550</v>
      </c>
      <c r="D1066" t="s">
        <v>17141</v>
      </c>
      <c r="E1066" t="s">
        <v>18209</v>
      </c>
      <c r="F1066" t="s">
        <v>29372</v>
      </c>
      <c r="G1066" t="s">
        <v>29385</v>
      </c>
      <c r="H1066" t="s">
        <v>29389</v>
      </c>
      <c r="I1066" t="s">
        <v>10408</v>
      </c>
      <c r="J1066" t="s">
        <v>30244</v>
      </c>
      <c r="K1066" t="s">
        <v>38485</v>
      </c>
      <c r="M1066" t="s">
        <v>39180</v>
      </c>
      <c r="N1066" t="s">
        <v>42669</v>
      </c>
      <c r="O1066" t="s">
        <v>42670</v>
      </c>
      <c r="P1066">
        <v>0</v>
      </c>
      <c r="Q1066">
        <v>1</v>
      </c>
      <c r="R1066" t="s">
        <v>42673</v>
      </c>
      <c r="S1066" t="s">
        <v>42784</v>
      </c>
      <c r="T1066" t="s">
        <v>44441</v>
      </c>
      <c r="U1066" t="s">
        <v>45783</v>
      </c>
      <c r="V1066" t="s">
        <v>56458</v>
      </c>
      <c r="W1066" t="s">
        <v>39180</v>
      </c>
      <c r="X1066" t="s">
        <v>42674</v>
      </c>
    </row>
    <row r="1067" spans="1:24">
      <c r="A1067">
        <f>HYPERLINK("https://www.philgeps.gov.ph/GEPSNONPILOT/Tender/SplashBidNoticeAbstractUI.aspx?menuIndex=3&amp;refID=7193091&amp;Result=3","7193091")</f>
        <v>0</v>
      </c>
      <c r="B1067" t="s">
        <v>417</v>
      </c>
      <c r="C1067" t="s">
        <v>4551</v>
      </c>
      <c r="D1067" t="s">
        <v>17161</v>
      </c>
      <c r="E1067" t="s">
        <v>17493</v>
      </c>
      <c r="F1067" t="s">
        <v>29372</v>
      </c>
      <c r="G1067" t="s">
        <v>29383</v>
      </c>
      <c r="H1067" t="s">
        <v>11048</v>
      </c>
      <c r="I1067" t="s">
        <v>3952</v>
      </c>
      <c r="J1067" t="s">
        <v>30338</v>
      </c>
      <c r="K1067" t="s">
        <v>38528</v>
      </c>
      <c r="M1067" t="s">
        <v>39181</v>
      </c>
      <c r="N1067" t="s">
        <v>42669</v>
      </c>
      <c r="O1067" t="s">
        <v>42670</v>
      </c>
      <c r="P1067">
        <v>0</v>
      </c>
      <c r="Q1067">
        <v>2</v>
      </c>
      <c r="R1067" t="s">
        <v>42673</v>
      </c>
      <c r="S1067" t="s">
        <v>42784</v>
      </c>
      <c r="T1067" t="s">
        <v>44401</v>
      </c>
      <c r="U1067" t="s">
        <v>45784</v>
      </c>
      <c r="W1067" t="s">
        <v>39181</v>
      </c>
      <c r="X1067" t="s">
        <v>42674</v>
      </c>
    </row>
    <row r="1068" spans="1:24">
      <c r="A1068">
        <f>HYPERLINK("https://www.philgeps.gov.ph/GEPSNONPILOT/Tender/SplashBidNoticeAbstractUI.aspx?menuIndex=3&amp;refID=7193053&amp;Result=3","7193053")</f>
        <v>0</v>
      </c>
      <c r="B1068" t="s">
        <v>418</v>
      </c>
      <c r="C1068" t="s">
        <v>4552</v>
      </c>
      <c r="D1068" t="s">
        <v>17193</v>
      </c>
      <c r="E1068" t="s">
        <v>18210</v>
      </c>
      <c r="F1068" t="s">
        <v>29372</v>
      </c>
      <c r="G1068" t="s">
        <v>29379</v>
      </c>
      <c r="H1068" t="s">
        <v>29389</v>
      </c>
      <c r="I1068" t="s">
        <v>10408</v>
      </c>
      <c r="J1068" t="s">
        <v>30339</v>
      </c>
      <c r="K1068" t="s">
        <v>38551</v>
      </c>
      <c r="M1068" t="s">
        <v>39182</v>
      </c>
      <c r="N1068" t="s">
        <v>42669</v>
      </c>
      <c r="O1068" t="s">
        <v>42670</v>
      </c>
      <c r="P1068">
        <v>0</v>
      </c>
      <c r="Q1068">
        <v>1</v>
      </c>
      <c r="R1068" t="s">
        <v>42673</v>
      </c>
      <c r="S1068" t="s">
        <v>42784</v>
      </c>
      <c r="T1068" t="s">
        <v>44382</v>
      </c>
      <c r="U1068" t="s">
        <v>45785</v>
      </c>
      <c r="W1068" t="s">
        <v>39182</v>
      </c>
      <c r="X1068" t="s">
        <v>42674</v>
      </c>
    </row>
    <row r="1069" spans="1:24">
      <c r="A1069">
        <f>HYPERLINK("https://www.philgeps.gov.ph/GEPSNONPILOT/Tender/SplashBidNoticeAbstractUI.aspx?menuIndex=3&amp;refID=7193048&amp;Result=3","7193048")</f>
        <v>0</v>
      </c>
      <c r="B1069" t="s">
        <v>419</v>
      </c>
      <c r="C1069" t="s">
        <v>4553</v>
      </c>
      <c r="D1069" t="s">
        <v>17153</v>
      </c>
      <c r="E1069" t="s">
        <v>18211</v>
      </c>
      <c r="F1069" t="s">
        <v>29372</v>
      </c>
      <c r="G1069" t="s">
        <v>29379</v>
      </c>
      <c r="H1069" t="s">
        <v>11048</v>
      </c>
      <c r="I1069" t="s">
        <v>3670</v>
      </c>
      <c r="J1069" t="s">
        <v>30340</v>
      </c>
      <c r="K1069" t="s">
        <v>38488</v>
      </c>
      <c r="M1069" t="s">
        <v>39183</v>
      </c>
      <c r="N1069" t="s">
        <v>42669</v>
      </c>
      <c r="O1069" t="s">
        <v>42670</v>
      </c>
      <c r="P1069">
        <v>0</v>
      </c>
      <c r="Q1069">
        <v>0</v>
      </c>
      <c r="R1069" t="s">
        <v>42673</v>
      </c>
      <c r="S1069" t="s">
        <v>42784</v>
      </c>
      <c r="T1069" t="s">
        <v>44448</v>
      </c>
      <c r="U1069" t="s">
        <v>45786</v>
      </c>
      <c r="V1069" t="s">
        <v>56459</v>
      </c>
      <c r="W1069" t="s">
        <v>39183</v>
      </c>
      <c r="X1069" t="s">
        <v>42676</v>
      </c>
    </row>
    <row r="1070" spans="1:24">
      <c r="A1070">
        <f>HYPERLINK("https://www.philgeps.gov.ph/GEPSNONPILOT/Tender/SplashBidNoticeAbstractUI.aspx?menuIndex=3&amp;refID=7193041&amp;Result=3","7193041")</f>
        <v>0</v>
      </c>
      <c r="B1070" t="s">
        <v>420</v>
      </c>
      <c r="C1070" t="s">
        <v>4554</v>
      </c>
      <c r="D1070" t="s">
        <v>17145</v>
      </c>
      <c r="E1070" t="s">
        <v>18212</v>
      </c>
      <c r="F1070" t="s">
        <v>29372</v>
      </c>
      <c r="G1070" t="s">
        <v>29380</v>
      </c>
      <c r="H1070" t="s">
        <v>11048</v>
      </c>
      <c r="I1070" t="s">
        <v>29417</v>
      </c>
      <c r="J1070" t="s">
        <v>30341</v>
      </c>
      <c r="K1070" t="s">
        <v>38510</v>
      </c>
      <c r="M1070" t="s">
        <v>39184</v>
      </c>
      <c r="N1070" t="s">
        <v>42669</v>
      </c>
      <c r="O1070" t="s">
        <v>42670</v>
      </c>
      <c r="P1070">
        <v>0</v>
      </c>
      <c r="Q1070">
        <v>0</v>
      </c>
      <c r="R1070" t="s">
        <v>42673</v>
      </c>
      <c r="S1070" t="s">
        <v>42784</v>
      </c>
      <c r="T1070" t="s">
        <v>44357</v>
      </c>
      <c r="U1070" t="s">
        <v>45787</v>
      </c>
      <c r="V1070" t="s">
        <v>56460</v>
      </c>
      <c r="W1070" t="s">
        <v>39184</v>
      </c>
      <c r="X1070" t="s">
        <v>42676</v>
      </c>
    </row>
    <row r="1071" spans="1:24">
      <c r="A1071">
        <f>HYPERLINK("https://www.philgeps.gov.ph/GEPSNONPILOT/Tender/SplashBidNoticeAbstractUI.aspx?menuIndex=3&amp;refID=7192738&amp;Result=3","7192738")</f>
        <v>0</v>
      </c>
      <c r="B1071" t="s">
        <v>395</v>
      </c>
      <c r="C1071" t="s">
        <v>4555</v>
      </c>
      <c r="D1071" t="s">
        <v>17141</v>
      </c>
      <c r="E1071" t="s">
        <v>18213</v>
      </c>
      <c r="F1071" t="s">
        <v>29372</v>
      </c>
      <c r="G1071" t="s">
        <v>29379</v>
      </c>
      <c r="H1071" t="s">
        <v>11048</v>
      </c>
      <c r="I1071" t="s">
        <v>3670</v>
      </c>
      <c r="J1071" t="s">
        <v>30342</v>
      </c>
      <c r="K1071" t="s">
        <v>38491</v>
      </c>
      <c r="M1071" t="s">
        <v>39158</v>
      </c>
      <c r="N1071" t="s">
        <v>42669</v>
      </c>
      <c r="O1071" t="s">
        <v>42670</v>
      </c>
      <c r="P1071">
        <v>0</v>
      </c>
      <c r="Q1071">
        <v>0</v>
      </c>
      <c r="R1071" t="s">
        <v>42673</v>
      </c>
      <c r="S1071" t="s">
        <v>42784</v>
      </c>
      <c r="T1071" t="s">
        <v>44470</v>
      </c>
      <c r="U1071" t="s">
        <v>45788</v>
      </c>
      <c r="W1071" t="s">
        <v>39158</v>
      </c>
      <c r="X1071" t="s">
        <v>42676</v>
      </c>
    </row>
    <row r="1072" spans="1:24">
      <c r="A1072">
        <f>HYPERLINK("https://www.philgeps.gov.ph/GEPSNONPILOT/Tender/SplashBidNoticeAbstractUI.aspx?menuIndex=3&amp;refID=7193159&amp;Result=3","7193159")</f>
        <v>0</v>
      </c>
      <c r="B1072" t="s">
        <v>421</v>
      </c>
      <c r="C1072" t="s">
        <v>4556</v>
      </c>
      <c r="D1072" t="s">
        <v>17165</v>
      </c>
      <c r="E1072" t="s">
        <v>18214</v>
      </c>
      <c r="F1072" t="s">
        <v>29372</v>
      </c>
      <c r="G1072" t="s">
        <v>29379</v>
      </c>
      <c r="H1072" t="s">
        <v>11048</v>
      </c>
      <c r="I1072" t="s">
        <v>8208</v>
      </c>
      <c r="J1072" t="s">
        <v>30343</v>
      </c>
      <c r="K1072" t="s">
        <v>38488</v>
      </c>
      <c r="M1072" t="s">
        <v>39185</v>
      </c>
      <c r="N1072" t="s">
        <v>42669</v>
      </c>
      <c r="O1072" t="s">
        <v>42670</v>
      </c>
      <c r="P1072">
        <v>0</v>
      </c>
      <c r="Q1072">
        <v>1</v>
      </c>
      <c r="R1072" t="s">
        <v>42673</v>
      </c>
      <c r="S1072" t="s">
        <v>42784</v>
      </c>
      <c r="T1072" t="s">
        <v>44451</v>
      </c>
      <c r="U1072" t="s">
        <v>45789</v>
      </c>
      <c r="W1072" t="s">
        <v>39185</v>
      </c>
      <c r="X1072" t="s">
        <v>42674</v>
      </c>
    </row>
    <row r="1073" spans="1:24">
      <c r="A1073">
        <f>HYPERLINK("https://www.philgeps.gov.ph/GEPSNONPILOT/Tender/SplashBidNoticeAbstractUI.aspx?menuIndex=3&amp;refID=7193158&amp;Result=3","7193158")</f>
        <v>0</v>
      </c>
      <c r="B1073" t="s">
        <v>422</v>
      </c>
      <c r="C1073" t="s">
        <v>4557</v>
      </c>
      <c r="E1073" t="s">
        <v>18215</v>
      </c>
      <c r="F1073" t="s">
        <v>29372</v>
      </c>
      <c r="G1073" t="s">
        <v>29380</v>
      </c>
      <c r="H1073" t="s">
        <v>11048</v>
      </c>
      <c r="I1073" t="s">
        <v>5383</v>
      </c>
      <c r="J1073" t="s">
        <v>30344</v>
      </c>
      <c r="K1073" t="s">
        <v>38490</v>
      </c>
      <c r="M1073" t="s">
        <v>39186</v>
      </c>
      <c r="N1073" t="s">
        <v>42669</v>
      </c>
      <c r="O1073" t="s">
        <v>42670</v>
      </c>
      <c r="P1073">
        <v>0</v>
      </c>
      <c r="Q1073">
        <v>0</v>
      </c>
      <c r="R1073" t="s">
        <v>42673</v>
      </c>
      <c r="S1073" t="s">
        <v>42784</v>
      </c>
      <c r="T1073" t="s">
        <v>44379</v>
      </c>
      <c r="U1073" t="s">
        <v>45790</v>
      </c>
      <c r="W1073" t="s">
        <v>39186</v>
      </c>
      <c r="X1073" t="s">
        <v>42674</v>
      </c>
    </row>
    <row r="1074" spans="1:24">
      <c r="A1074">
        <f>HYPERLINK("https://www.philgeps.gov.ph/GEPSNONPILOT/Tender/SplashBidNoticeAbstractUI.aspx?menuIndex=3&amp;refID=7193156&amp;Result=3","7193156")</f>
        <v>0</v>
      </c>
      <c r="B1074" t="s">
        <v>255</v>
      </c>
      <c r="C1074" t="s">
        <v>4558</v>
      </c>
      <c r="E1074" t="s">
        <v>18216</v>
      </c>
      <c r="F1074" t="s">
        <v>29372</v>
      </c>
      <c r="G1074" t="s">
        <v>29379</v>
      </c>
      <c r="H1074" t="s">
        <v>11048</v>
      </c>
      <c r="I1074" t="s">
        <v>29433</v>
      </c>
      <c r="J1074" t="s">
        <v>30145</v>
      </c>
      <c r="K1074" t="s">
        <v>38490</v>
      </c>
      <c r="M1074" t="s">
        <v>39014</v>
      </c>
      <c r="N1074" t="s">
        <v>42669</v>
      </c>
      <c r="O1074" t="s">
        <v>42670</v>
      </c>
      <c r="P1074">
        <v>0</v>
      </c>
      <c r="Q1074">
        <v>6</v>
      </c>
      <c r="R1074" t="s">
        <v>42673</v>
      </c>
      <c r="S1074" t="s">
        <v>42784</v>
      </c>
      <c r="T1074" t="s">
        <v>44489</v>
      </c>
      <c r="U1074" t="s">
        <v>45771</v>
      </c>
      <c r="W1074" t="s">
        <v>39014</v>
      </c>
      <c r="X1074" t="s">
        <v>42674</v>
      </c>
    </row>
    <row r="1075" spans="1:24">
      <c r="A1075">
        <f>HYPERLINK("https://www.philgeps.gov.ph/GEPSNONPILOT/Tender/SplashBidNoticeAbstractUI.aspx?menuIndex=3&amp;refID=7193112&amp;Result=3","7193112")</f>
        <v>0</v>
      </c>
      <c r="B1075" t="s">
        <v>423</v>
      </c>
      <c r="C1075" t="s">
        <v>4559</v>
      </c>
      <c r="E1075" t="s">
        <v>18217</v>
      </c>
      <c r="F1075" t="s">
        <v>29372</v>
      </c>
      <c r="G1075" t="s">
        <v>29379</v>
      </c>
      <c r="H1075" t="s">
        <v>11048</v>
      </c>
      <c r="I1075" t="s">
        <v>5383</v>
      </c>
      <c r="J1075" t="s">
        <v>30345</v>
      </c>
      <c r="K1075" t="s">
        <v>38518</v>
      </c>
      <c r="M1075" t="s">
        <v>39187</v>
      </c>
      <c r="N1075" t="s">
        <v>42669</v>
      </c>
      <c r="O1075" t="s">
        <v>42670</v>
      </c>
      <c r="P1075">
        <v>0</v>
      </c>
      <c r="Q1075">
        <v>1</v>
      </c>
      <c r="R1075" t="s">
        <v>42673</v>
      </c>
      <c r="S1075" t="s">
        <v>42784</v>
      </c>
      <c r="T1075" t="s">
        <v>44430</v>
      </c>
      <c r="U1075" t="s">
        <v>45791</v>
      </c>
      <c r="W1075" t="s">
        <v>39187</v>
      </c>
      <c r="X1075" t="s">
        <v>42674</v>
      </c>
    </row>
    <row r="1076" spans="1:24">
      <c r="A1076">
        <f>HYPERLINK("https://www.philgeps.gov.ph/GEPSNONPILOT/Tender/SplashBidNoticeAbstractUI.aspx?menuIndex=3&amp;refID=7193043&amp;Result=3","7193043")</f>
        <v>0</v>
      </c>
      <c r="B1076" t="s">
        <v>404</v>
      </c>
      <c r="C1076" t="s">
        <v>3816</v>
      </c>
      <c r="D1076" t="s">
        <v>17180</v>
      </c>
      <c r="E1076" t="s">
        <v>18191</v>
      </c>
      <c r="F1076" t="s">
        <v>29372</v>
      </c>
      <c r="G1076" t="s">
        <v>29380</v>
      </c>
      <c r="H1076" t="s">
        <v>11048</v>
      </c>
      <c r="I1076" t="s">
        <v>5383</v>
      </c>
      <c r="J1076" t="s">
        <v>29729</v>
      </c>
      <c r="K1076" t="s">
        <v>38485</v>
      </c>
      <c r="L1076" t="s">
        <v>404</v>
      </c>
      <c r="M1076" t="s">
        <v>39168</v>
      </c>
      <c r="N1076" t="s">
        <v>42669</v>
      </c>
      <c r="O1076" t="s">
        <v>42670</v>
      </c>
      <c r="P1076">
        <v>0</v>
      </c>
      <c r="Q1076">
        <v>2</v>
      </c>
      <c r="R1076" t="s">
        <v>42673</v>
      </c>
      <c r="S1076" t="s">
        <v>42784</v>
      </c>
      <c r="T1076" t="s">
        <v>44502</v>
      </c>
      <c r="U1076" t="s">
        <v>45792</v>
      </c>
      <c r="W1076" t="s">
        <v>39168</v>
      </c>
      <c r="X1076" t="s">
        <v>42676</v>
      </c>
    </row>
    <row r="1077" spans="1:24">
      <c r="A1077">
        <f>HYPERLINK("https://www.philgeps.gov.ph/GEPSNONPILOT/Tender/SplashBidNoticeAbstractUI.aspx?menuIndex=3&amp;refID=7193152&amp;Result=3","7193152")</f>
        <v>0</v>
      </c>
      <c r="B1077" t="s">
        <v>424</v>
      </c>
      <c r="C1077" t="s">
        <v>4560</v>
      </c>
      <c r="D1077" t="s">
        <v>17169</v>
      </c>
      <c r="E1077" t="s">
        <v>18218</v>
      </c>
      <c r="F1077" t="s">
        <v>29372</v>
      </c>
      <c r="G1077" t="s">
        <v>29380</v>
      </c>
      <c r="H1077" t="s">
        <v>29389</v>
      </c>
      <c r="I1077" t="s">
        <v>10408</v>
      </c>
      <c r="J1077" t="s">
        <v>29619</v>
      </c>
      <c r="K1077" t="s">
        <v>38485</v>
      </c>
      <c r="M1077" t="s">
        <v>39188</v>
      </c>
      <c r="N1077" t="s">
        <v>42669</v>
      </c>
      <c r="O1077" t="s">
        <v>42670</v>
      </c>
      <c r="P1077">
        <v>0</v>
      </c>
      <c r="Q1077">
        <v>2</v>
      </c>
      <c r="R1077" t="s">
        <v>42673</v>
      </c>
      <c r="S1077" t="s">
        <v>42784</v>
      </c>
      <c r="T1077" t="s">
        <v>44490</v>
      </c>
      <c r="U1077" t="s">
        <v>45793</v>
      </c>
      <c r="W1077" t="s">
        <v>39188</v>
      </c>
      <c r="X1077" t="s">
        <v>42674</v>
      </c>
    </row>
    <row r="1078" spans="1:24">
      <c r="A1078">
        <f>HYPERLINK("https://www.philgeps.gov.ph/GEPSNONPILOT/Tender/SplashBidNoticeAbstractUI.aspx?menuIndex=3&amp;refID=7193155&amp;Result=3","7193155")</f>
        <v>0</v>
      </c>
      <c r="B1078" t="s">
        <v>421</v>
      </c>
      <c r="C1078" t="s">
        <v>4561</v>
      </c>
      <c r="D1078" t="s">
        <v>17213</v>
      </c>
      <c r="E1078" t="s">
        <v>18219</v>
      </c>
      <c r="F1078" t="s">
        <v>29372</v>
      </c>
      <c r="G1078" t="s">
        <v>29379</v>
      </c>
      <c r="H1078" t="s">
        <v>11048</v>
      </c>
      <c r="I1078" t="s">
        <v>8208</v>
      </c>
      <c r="J1078" t="s">
        <v>30346</v>
      </c>
      <c r="K1078" t="s">
        <v>38488</v>
      </c>
      <c r="M1078" t="s">
        <v>39185</v>
      </c>
      <c r="N1078" t="s">
        <v>42669</v>
      </c>
      <c r="O1078" t="s">
        <v>42670</v>
      </c>
      <c r="P1078">
        <v>0</v>
      </c>
      <c r="Q1078">
        <v>1</v>
      </c>
      <c r="R1078" t="s">
        <v>42673</v>
      </c>
      <c r="S1078" t="s">
        <v>42784</v>
      </c>
      <c r="T1078" t="s">
        <v>44429</v>
      </c>
      <c r="U1078" t="s">
        <v>45794</v>
      </c>
      <c r="W1078" t="s">
        <v>39185</v>
      </c>
      <c r="X1078" t="s">
        <v>42674</v>
      </c>
    </row>
    <row r="1079" spans="1:24">
      <c r="A1079">
        <f>HYPERLINK("https://www.philgeps.gov.ph/GEPSNONPILOT/Tender/SplashBidNoticeAbstractUI.aspx?menuIndex=3&amp;refID=7193153&amp;Result=3","7193153")</f>
        <v>0</v>
      </c>
      <c r="B1079" t="s">
        <v>422</v>
      </c>
      <c r="C1079" t="s">
        <v>4562</v>
      </c>
      <c r="E1079" t="s">
        <v>18220</v>
      </c>
      <c r="F1079" t="s">
        <v>29372</v>
      </c>
      <c r="G1079" t="s">
        <v>29380</v>
      </c>
      <c r="H1079" t="s">
        <v>11048</v>
      </c>
      <c r="I1079" t="s">
        <v>4486</v>
      </c>
      <c r="J1079" t="s">
        <v>30347</v>
      </c>
      <c r="K1079" t="s">
        <v>38490</v>
      </c>
      <c r="M1079" t="s">
        <v>39186</v>
      </c>
      <c r="N1079" t="s">
        <v>42669</v>
      </c>
      <c r="O1079" t="s">
        <v>42670</v>
      </c>
      <c r="P1079">
        <v>0</v>
      </c>
      <c r="Q1079">
        <v>6</v>
      </c>
      <c r="R1079" t="s">
        <v>42673</v>
      </c>
      <c r="S1079" t="s">
        <v>42784</v>
      </c>
      <c r="T1079" t="s">
        <v>44379</v>
      </c>
      <c r="U1079" t="s">
        <v>45795</v>
      </c>
      <c r="W1079" t="s">
        <v>39186</v>
      </c>
      <c r="X1079" t="s">
        <v>42674</v>
      </c>
    </row>
    <row r="1080" spans="1:24">
      <c r="A1080">
        <f>HYPERLINK("https://www.philgeps.gov.ph/GEPSNONPILOT/Tender/SplashBidNoticeAbstractUI.aspx?menuIndex=3&amp;refID=7193147&amp;Result=3","7193147")</f>
        <v>0</v>
      </c>
      <c r="B1080" t="s">
        <v>255</v>
      </c>
      <c r="C1080" t="s">
        <v>4563</v>
      </c>
      <c r="E1080" t="s">
        <v>18221</v>
      </c>
      <c r="F1080" t="s">
        <v>29372</v>
      </c>
      <c r="G1080" t="s">
        <v>29379</v>
      </c>
      <c r="H1080" t="s">
        <v>11048</v>
      </c>
      <c r="I1080" t="s">
        <v>29433</v>
      </c>
      <c r="J1080" t="s">
        <v>29988</v>
      </c>
      <c r="K1080" t="s">
        <v>38490</v>
      </c>
      <c r="M1080" t="s">
        <v>39014</v>
      </c>
      <c r="N1080" t="s">
        <v>42669</v>
      </c>
      <c r="O1080" t="s">
        <v>42670</v>
      </c>
      <c r="P1080">
        <v>0</v>
      </c>
      <c r="Q1080">
        <v>14</v>
      </c>
      <c r="R1080" t="s">
        <v>42673</v>
      </c>
      <c r="S1080" t="s">
        <v>42784</v>
      </c>
      <c r="T1080" t="s">
        <v>44489</v>
      </c>
      <c r="U1080" t="s">
        <v>45771</v>
      </c>
      <c r="W1080" t="s">
        <v>39014</v>
      </c>
      <c r="X1080" t="s">
        <v>42674</v>
      </c>
    </row>
    <row r="1081" spans="1:24">
      <c r="A1081">
        <f>HYPERLINK("https://www.philgeps.gov.ph/GEPSNONPILOT/Tender/SplashBidNoticeAbstractUI.aspx?menuIndex=3&amp;refID=7193142&amp;Result=3","7193142")</f>
        <v>0</v>
      </c>
      <c r="B1081" t="s">
        <v>422</v>
      </c>
      <c r="C1081" t="s">
        <v>3695</v>
      </c>
      <c r="E1081" t="s">
        <v>18222</v>
      </c>
      <c r="F1081" t="s">
        <v>29372</v>
      </c>
      <c r="G1081" t="s">
        <v>29380</v>
      </c>
      <c r="H1081" t="s">
        <v>11048</v>
      </c>
      <c r="I1081" t="s">
        <v>3695</v>
      </c>
      <c r="J1081" t="s">
        <v>30348</v>
      </c>
      <c r="K1081" t="s">
        <v>38490</v>
      </c>
      <c r="M1081" t="s">
        <v>39186</v>
      </c>
      <c r="N1081" t="s">
        <v>42669</v>
      </c>
      <c r="O1081" t="s">
        <v>42670</v>
      </c>
      <c r="P1081">
        <v>0</v>
      </c>
      <c r="Q1081">
        <v>7</v>
      </c>
      <c r="R1081" t="s">
        <v>42673</v>
      </c>
      <c r="S1081" t="s">
        <v>42784</v>
      </c>
      <c r="T1081" t="s">
        <v>44379</v>
      </c>
      <c r="U1081" t="s">
        <v>45796</v>
      </c>
      <c r="W1081" t="s">
        <v>39186</v>
      </c>
      <c r="X1081" t="s">
        <v>42674</v>
      </c>
    </row>
    <row r="1082" spans="1:24">
      <c r="A1082">
        <f>HYPERLINK("https://www.philgeps.gov.ph/GEPSNONPILOT/Tender/SplashBidNoticeAbstractUI.aspx?menuIndex=3&amp;refID=7193110&amp;Result=3","7193110")</f>
        <v>0</v>
      </c>
      <c r="B1082" t="s">
        <v>323</v>
      </c>
      <c r="C1082" t="s">
        <v>4564</v>
      </c>
      <c r="D1082" t="s">
        <v>17143</v>
      </c>
      <c r="E1082" t="s">
        <v>18223</v>
      </c>
      <c r="F1082" t="s">
        <v>29372</v>
      </c>
      <c r="G1082" t="s">
        <v>29379</v>
      </c>
      <c r="H1082" t="s">
        <v>11048</v>
      </c>
      <c r="I1082" t="s">
        <v>4709</v>
      </c>
      <c r="J1082" t="s">
        <v>30349</v>
      </c>
      <c r="K1082" t="s">
        <v>38485</v>
      </c>
      <c r="M1082" t="s">
        <v>39082</v>
      </c>
      <c r="N1082" t="s">
        <v>42669</v>
      </c>
      <c r="O1082" t="s">
        <v>42670</v>
      </c>
      <c r="P1082">
        <v>0</v>
      </c>
      <c r="Q1082">
        <v>0</v>
      </c>
      <c r="R1082" t="s">
        <v>42673</v>
      </c>
      <c r="S1082" t="s">
        <v>42784</v>
      </c>
      <c r="T1082" t="s">
        <v>44491</v>
      </c>
      <c r="U1082" t="s">
        <v>45797</v>
      </c>
      <c r="V1082" t="s">
        <v>56461</v>
      </c>
      <c r="W1082" t="s">
        <v>39082</v>
      </c>
      <c r="X1082" t="s">
        <v>42674</v>
      </c>
    </row>
    <row r="1083" spans="1:24">
      <c r="A1083">
        <f>HYPERLINK("https://www.philgeps.gov.ph/GEPSNONPILOT/Tender/SplashBidNoticeAbstractUI.aspx?menuIndex=3&amp;refID=7193148&amp;Result=3","7193148")</f>
        <v>0</v>
      </c>
      <c r="B1083" t="s">
        <v>422</v>
      </c>
      <c r="C1083" t="s">
        <v>4565</v>
      </c>
      <c r="E1083" t="s">
        <v>18224</v>
      </c>
      <c r="F1083" t="s">
        <v>29372</v>
      </c>
      <c r="G1083" t="s">
        <v>29380</v>
      </c>
      <c r="H1083" t="s">
        <v>11048</v>
      </c>
      <c r="I1083" t="s">
        <v>29400</v>
      </c>
      <c r="J1083" t="s">
        <v>30350</v>
      </c>
      <c r="K1083" t="s">
        <v>38490</v>
      </c>
      <c r="M1083" t="s">
        <v>39186</v>
      </c>
      <c r="N1083" t="s">
        <v>42669</v>
      </c>
      <c r="O1083" t="s">
        <v>42670</v>
      </c>
      <c r="P1083">
        <v>0</v>
      </c>
      <c r="Q1083">
        <v>25</v>
      </c>
      <c r="R1083" t="s">
        <v>42673</v>
      </c>
      <c r="S1083" t="s">
        <v>42784</v>
      </c>
      <c r="T1083" t="s">
        <v>44379</v>
      </c>
      <c r="U1083" t="s">
        <v>45798</v>
      </c>
      <c r="W1083" t="s">
        <v>39186</v>
      </c>
      <c r="X1083" t="s">
        <v>42674</v>
      </c>
    </row>
    <row r="1084" spans="1:24">
      <c r="A1084">
        <f>HYPERLINK("https://www.philgeps.gov.ph/GEPSNONPILOT/Tender/SplashBidNoticeAbstractUI.aspx?menuIndex=3&amp;refID=7193154&amp;Result=3","7193154")</f>
        <v>0</v>
      </c>
      <c r="B1084" t="s">
        <v>323</v>
      </c>
      <c r="C1084" t="s">
        <v>4566</v>
      </c>
      <c r="D1084" t="s">
        <v>17143</v>
      </c>
      <c r="E1084" t="s">
        <v>18225</v>
      </c>
      <c r="F1084" t="s">
        <v>29372</v>
      </c>
      <c r="G1084" t="s">
        <v>29380</v>
      </c>
      <c r="H1084" t="s">
        <v>11048</v>
      </c>
      <c r="I1084" t="s">
        <v>8208</v>
      </c>
      <c r="J1084" t="s">
        <v>29708</v>
      </c>
      <c r="K1084" t="s">
        <v>38485</v>
      </c>
      <c r="M1084" t="s">
        <v>39082</v>
      </c>
      <c r="N1084" t="s">
        <v>42669</v>
      </c>
      <c r="O1084" t="s">
        <v>42670</v>
      </c>
      <c r="P1084">
        <v>0</v>
      </c>
      <c r="Q1084">
        <v>0</v>
      </c>
      <c r="R1084" t="s">
        <v>42673</v>
      </c>
      <c r="S1084" t="s">
        <v>42784</v>
      </c>
      <c r="T1084" t="s">
        <v>44357</v>
      </c>
      <c r="U1084" t="s">
        <v>45799</v>
      </c>
      <c r="V1084" t="s">
        <v>56462</v>
      </c>
      <c r="W1084" t="s">
        <v>39082</v>
      </c>
      <c r="X1084" t="s">
        <v>42674</v>
      </c>
    </row>
    <row r="1085" spans="1:24">
      <c r="A1085">
        <f>HYPERLINK("https://www.philgeps.gov.ph/GEPSNONPILOT/Tender/SplashBidNoticeAbstractUI.aspx?menuIndex=3&amp;refID=7193133&amp;Result=3","7193133")</f>
        <v>0</v>
      </c>
      <c r="B1085" t="s">
        <v>255</v>
      </c>
      <c r="C1085" t="s">
        <v>4567</v>
      </c>
      <c r="E1085" t="s">
        <v>18226</v>
      </c>
      <c r="F1085" t="s">
        <v>29372</v>
      </c>
      <c r="G1085" t="s">
        <v>29379</v>
      </c>
      <c r="H1085" t="s">
        <v>11048</v>
      </c>
      <c r="I1085" t="s">
        <v>29433</v>
      </c>
      <c r="J1085" t="s">
        <v>30024</v>
      </c>
      <c r="K1085" t="s">
        <v>38490</v>
      </c>
      <c r="M1085" t="s">
        <v>39014</v>
      </c>
      <c r="N1085" t="s">
        <v>42669</v>
      </c>
      <c r="O1085" t="s">
        <v>42670</v>
      </c>
      <c r="P1085">
        <v>0</v>
      </c>
      <c r="Q1085">
        <v>6</v>
      </c>
      <c r="R1085" t="s">
        <v>42673</v>
      </c>
      <c r="S1085" t="s">
        <v>42784</v>
      </c>
      <c r="T1085" t="s">
        <v>44489</v>
      </c>
      <c r="U1085" t="s">
        <v>45771</v>
      </c>
      <c r="W1085" t="s">
        <v>39014</v>
      </c>
      <c r="X1085" t="s">
        <v>42674</v>
      </c>
    </row>
    <row r="1086" spans="1:24">
      <c r="A1086">
        <f>HYPERLINK("https://www.philgeps.gov.ph/GEPSNONPILOT/Tender/SplashBidNoticeAbstractUI.aspx?menuIndex=3&amp;refID=7193132&amp;Result=3","7193132")</f>
        <v>0</v>
      </c>
      <c r="B1086" t="s">
        <v>323</v>
      </c>
      <c r="C1086" t="s">
        <v>4568</v>
      </c>
      <c r="D1086" t="s">
        <v>17143</v>
      </c>
      <c r="E1086" t="s">
        <v>18227</v>
      </c>
      <c r="F1086" t="s">
        <v>29372</v>
      </c>
      <c r="G1086" t="s">
        <v>29379</v>
      </c>
      <c r="H1086" t="s">
        <v>11048</v>
      </c>
      <c r="I1086" t="s">
        <v>29462</v>
      </c>
      <c r="J1086" t="s">
        <v>29571</v>
      </c>
      <c r="K1086" t="s">
        <v>38485</v>
      </c>
      <c r="M1086" t="s">
        <v>39082</v>
      </c>
      <c r="N1086" t="s">
        <v>42669</v>
      </c>
      <c r="O1086" t="s">
        <v>42670</v>
      </c>
      <c r="P1086">
        <v>0</v>
      </c>
      <c r="Q1086">
        <v>0</v>
      </c>
      <c r="R1086" t="s">
        <v>42673</v>
      </c>
      <c r="S1086" t="s">
        <v>42784</v>
      </c>
      <c r="T1086" t="s">
        <v>44491</v>
      </c>
      <c r="U1086" t="s">
        <v>45800</v>
      </c>
      <c r="V1086" t="s">
        <v>56463</v>
      </c>
      <c r="W1086" t="s">
        <v>39082</v>
      </c>
      <c r="X1086" t="s">
        <v>42674</v>
      </c>
    </row>
    <row r="1087" spans="1:24">
      <c r="A1087">
        <f>HYPERLINK("https://www.philgeps.gov.ph/GEPSNONPILOT/Tender/SplashBidNoticeAbstractUI.aspx?menuIndex=3&amp;refID=7193145&amp;Result=3","7193145")</f>
        <v>0</v>
      </c>
      <c r="B1087" t="s">
        <v>323</v>
      </c>
      <c r="C1087" t="s">
        <v>4569</v>
      </c>
      <c r="D1087" t="s">
        <v>17143</v>
      </c>
      <c r="E1087" t="s">
        <v>18228</v>
      </c>
      <c r="F1087" t="s">
        <v>29372</v>
      </c>
      <c r="G1087" t="s">
        <v>29380</v>
      </c>
      <c r="H1087" t="s">
        <v>11048</v>
      </c>
      <c r="I1087" t="s">
        <v>29393</v>
      </c>
      <c r="J1087" t="s">
        <v>30351</v>
      </c>
      <c r="K1087" t="s">
        <v>38485</v>
      </c>
      <c r="M1087" t="s">
        <v>39082</v>
      </c>
      <c r="N1087" t="s">
        <v>42669</v>
      </c>
      <c r="O1087" t="s">
        <v>42670</v>
      </c>
      <c r="P1087">
        <v>0</v>
      </c>
      <c r="Q1087">
        <v>0</v>
      </c>
      <c r="R1087" t="s">
        <v>42673</v>
      </c>
      <c r="S1087" t="s">
        <v>42784</v>
      </c>
      <c r="T1087" t="s">
        <v>44357</v>
      </c>
      <c r="U1087" t="s">
        <v>45801</v>
      </c>
      <c r="V1087" t="s">
        <v>56464</v>
      </c>
      <c r="W1087" t="s">
        <v>39082</v>
      </c>
      <c r="X1087" t="s">
        <v>42674</v>
      </c>
    </row>
    <row r="1088" spans="1:24">
      <c r="A1088">
        <f>HYPERLINK("https://www.philgeps.gov.ph/GEPSNONPILOT/Tender/SplashBidNoticeAbstractUI.aspx?menuIndex=3&amp;refID=7193140&amp;Result=3","7193140")</f>
        <v>0</v>
      </c>
      <c r="B1088" t="s">
        <v>425</v>
      </c>
      <c r="C1088" t="s">
        <v>4570</v>
      </c>
      <c r="D1088" t="s">
        <v>17171</v>
      </c>
      <c r="E1088" t="s">
        <v>18229</v>
      </c>
      <c r="F1088" t="s">
        <v>29372</v>
      </c>
      <c r="G1088" t="s">
        <v>29379</v>
      </c>
      <c r="H1088" t="s">
        <v>11048</v>
      </c>
      <c r="I1088" t="s">
        <v>4709</v>
      </c>
      <c r="J1088" t="s">
        <v>30352</v>
      </c>
      <c r="K1088" t="s">
        <v>38488</v>
      </c>
      <c r="M1088" t="s">
        <v>39189</v>
      </c>
      <c r="N1088" t="s">
        <v>42669</v>
      </c>
      <c r="O1088" t="s">
        <v>42670</v>
      </c>
      <c r="P1088">
        <v>0</v>
      </c>
      <c r="Q1088">
        <v>0</v>
      </c>
      <c r="R1088" t="s">
        <v>42673</v>
      </c>
      <c r="S1088" t="s">
        <v>42784</v>
      </c>
      <c r="T1088" t="s">
        <v>44414</v>
      </c>
      <c r="U1088" t="s">
        <v>45802</v>
      </c>
      <c r="W1088" t="s">
        <v>58013</v>
      </c>
      <c r="X1088" t="s">
        <v>42674</v>
      </c>
    </row>
    <row r="1089" spans="1:24">
      <c r="A1089">
        <f>HYPERLINK("https://www.philgeps.gov.ph/GEPSNONPILOT/Tender/SplashBidNoticeAbstractUI.aspx?menuIndex=3&amp;refID=7193126&amp;Result=3","7193126")</f>
        <v>0</v>
      </c>
      <c r="B1089" t="s">
        <v>426</v>
      </c>
      <c r="C1089" t="s">
        <v>4571</v>
      </c>
      <c r="D1089" t="s">
        <v>17180</v>
      </c>
      <c r="E1089" t="s">
        <v>18230</v>
      </c>
      <c r="F1089" t="s">
        <v>29372</v>
      </c>
      <c r="G1089" t="s">
        <v>29383</v>
      </c>
      <c r="H1089" t="s">
        <v>11048</v>
      </c>
      <c r="I1089" t="s">
        <v>29434</v>
      </c>
      <c r="J1089" t="s">
        <v>30353</v>
      </c>
      <c r="K1089" t="s">
        <v>38490</v>
      </c>
      <c r="M1089" t="s">
        <v>39190</v>
      </c>
      <c r="N1089" t="s">
        <v>42669</v>
      </c>
      <c r="O1089" t="s">
        <v>42670</v>
      </c>
      <c r="P1089">
        <v>0</v>
      </c>
      <c r="Q1089">
        <v>0</v>
      </c>
      <c r="R1089" t="s">
        <v>42673</v>
      </c>
      <c r="S1089" t="s">
        <v>42784</v>
      </c>
      <c r="T1089" t="s">
        <v>44432</v>
      </c>
      <c r="U1089" t="s">
        <v>45803</v>
      </c>
      <c r="W1089" t="s">
        <v>39190</v>
      </c>
      <c r="X1089" t="s">
        <v>42674</v>
      </c>
    </row>
    <row r="1090" spans="1:24">
      <c r="A1090">
        <f>HYPERLINK("https://www.philgeps.gov.ph/GEPSNONPILOT/Tender/SplashBidNoticeAbstractUI.aspx?menuIndex=3&amp;refID=7193139&amp;Result=3","7193139")</f>
        <v>0</v>
      </c>
      <c r="B1090" t="s">
        <v>425</v>
      </c>
      <c r="C1090" t="s">
        <v>4572</v>
      </c>
      <c r="D1090" t="s">
        <v>17171</v>
      </c>
      <c r="E1090" t="s">
        <v>18231</v>
      </c>
      <c r="F1090" t="s">
        <v>29372</v>
      </c>
      <c r="G1090" t="s">
        <v>29379</v>
      </c>
      <c r="H1090" t="s">
        <v>11048</v>
      </c>
      <c r="I1090" t="s">
        <v>29398</v>
      </c>
      <c r="J1090" t="s">
        <v>30354</v>
      </c>
      <c r="K1090" t="s">
        <v>38488</v>
      </c>
      <c r="M1090" t="s">
        <v>39189</v>
      </c>
      <c r="N1090" t="s">
        <v>42669</v>
      </c>
      <c r="O1090" t="s">
        <v>42670</v>
      </c>
      <c r="P1090">
        <v>0</v>
      </c>
      <c r="Q1090">
        <v>6</v>
      </c>
      <c r="R1090" t="s">
        <v>42673</v>
      </c>
      <c r="S1090" t="s">
        <v>42784</v>
      </c>
      <c r="T1090" t="s">
        <v>44414</v>
      </c>
      <c r="U1090" t="s">
        <v>45802</v>
      </c>
      <c r="W1090" t="s">
        <v>58013</v>
      </c>
      <c r="X1090" t="s">
        <v>42674</v>
      </c>
    </row>
    <row r="1091" spans="1:24">
      <c r="A1091">
        <f>HYPERLINK("https://www.philgeps.gov.ph/GEPSNONPILOT/Tender/SplashBidNoticeAbstractUI.aspx?menuIndex=3&amp;refID=7193165&amp;Result=3","7193165")</f>
        <v>0</v>
      </c>
      <c r="B1091" t="s">
        <v>422</v>
      </c>
      <c r="C1091" t="s">
        <v>4573</v>
      </c>
      <c r="E1091" t="s">
        <v>18232</v>
      </c>
      <c r="F1091" t="s">
        <v>29372</v>
      </c>
      <c r="G1091" t="s">
        <v>29380</v>
      </c>
      <c r="H1091" t="s">
        <v>11048</v>
      </c>
      <c r="I1091" t="s">
        <v>29437</v>
      </c>
      <c r="J1091" t="s">
        <v>30355</v>
      </c>
      <c r="K1091" t="s">
        <v>38490</v>
      </c>
      <c r="M1091" t="s">
        <v>39186</v>
      </c>
      <c r="N1091" t="s">
        <v>42669</v>
      </c>
      <c r="O1091" t="s">
        <v>42670</v>
      </c>
      <c r="P1091">
        <v>0</v>
      </c>
      <c r="Q1091">
        <v>1</v>
      </c>
      <c r="R1091" t="s">
        <v>42673</v>
      </c>
      <c r="S1091" t="s">
        <v>42784</v>
      </c>
      <c r="T1091" t="s">
        <v>44487</v>
      </c>
      <c r="U1091" t="s">
        <v>45804</v>
      </c>
      <c r="W1091" t="s">
        <v>39186</v>
      </c>
      <c r="X1091" t="s">
        <v>42674</v>
      </c>
    </row>
    <row r="1092" spans="1:24">
      <c r="A1092">
        <f>HYPERLINK("https://www.philgeps.gov.ph/GEPSNONPILOT/Tender/SplashBidNoticeAbstractUI.aspx?menuIndex=3&amp;refID=7193197&amp;Result=3","7193197")</f>
        <v>0</v>
      </c>
      <c r="B1092" t="s">
        <v>422</v>
      </c>
      <c r="C1092" t="s">
        <v>4574</v>
      </c>
      <c r="E1092" t="s">
        <v>18233</v>
      </c>
      <c r="F1092" t="s">
        <v>29372</v>
      </c>
      <c r="G1092" t="s">
        <v>29380</v>
      </c>
      <c r="H1092" t="s">
        <v>11048</v>
      </c>
      <c r="I1092" t="s">
        <v>29395</v>
      </c>
      <c r="J1092" t="s">
        <v>30141</v>
      </c>
      <c r="K1092" t="s">
        <v>38490</v>
      </c>
      <c r="M1092" t="s">
        <v>39186</v>
      </c>
      <c r="N1092" t="s">
        <v>42669</v>
      </c>
      <c r="O1092" t="s">
        <v>42670</v>
      </c>
      <c r="P1092">
        <v>0</v>
      </c>
      <c r="Q1092">
        <v>0</v>
      </c>
      <c r="R1092" t="s">
        <v>42673</v>
      </c>
      <c r="S1092" t="s">
        <v>42784</v>
      </c>
      <c r="T1092" t="s">
        <v>44379</v>
      </c>
      <c r="U1092" t="s">
        <v>45805</v>
      </c>
      <c r="W1092" t="s">
        <v>39186</v>
      </c>
      <c r="X1092" t="s">
        <v>42674</v>
      </c>
    </row>
    <row r="1093" spans="1:24">
      <c r="A1093">
        <f>HYPERLINK("https://www.philgeps.gov.ph/GEPSNONPILOT/Tender/SplashBidNoticeAbstractUI.aspx?menuIndex=3&amp;refID=7193194&amp;Result=3","7193194")</f>
        <v>0</v>
      </c>
      <c r="B1093" t="s">
        <v>421</v>
      </c>
      <c r="C1093" t="s">
        <v>4575</v>
      </c>
      <c r="D1093" t="s">
        <v>17213</v>
      </c>
      <c r="E1093" t="s">
        <v>18234</v>
      </c>
      <c r="F1093" t="s">
        <v>29372</v>
      </c>
      <c r="G1093" t="s">
        <v>29379</v>
      </c>
      <c r="H1093" t="s">
        <v>11048</v>
      </c>
      <c r="I1093" t="s">
        <v>8208</v>
      </c>
      <c r="J1093" t="s">
        <v>30356</v>
      </c>
      <c r="K1093" t="s">
        <v>38488</v>
      </c>
      <c r="M1093" t="s">
        <v>39185</v>
      </c>
      <c r="N1093" t="s">
        <v>42669</v>
      </c>
      <c r="O1093" t="s">
        <v>42670</v>
      </c>
      <c r="P1093">
        <v>0</v>
      </c>
      <c r="Q1093">
        <v>0</v>
      </c>
      <c r="R1093" t="s">
        <v>42673</v>
      </c>
      <c r="S1093" t="s">
        <v>42784</v>
      </c>
      <c r="T1093" t="s">
        <v>44451</v>
      </c>
      <c r="U1093" t="s">
        <v>45794</v>
      </c>
      <c r="W1093" t="s">
        <v>39185</v>
      </c>
      <c r="X1093" t="s">
        <v>42674</v>
      </c>
    </row>
    <row r="1094" spans="1:24">
      <c r="A1094">
        <f>HYPERLINK("https://www.philgeps.gov.ph/GEPSNONPILOT/Tender/SplashBidNoticeAbstractUI.aspx?menuIndex=3&amp;refID=7193189&amp;Result=3","7193189")</f>
        <v>0</v>
      </c>
      <c r="B1094" t="s">
        <v>427</v>
      </c>
      <c r="C1094" t="s">
        <v>4576</v>
      </c>
      <c r="D1094" t="s">
        <v>17167</v>
      </c>
      <c r="E1094" t="s">
        <v>18235</v>
      </c>
      <c r="F1094" t="s">
        <v>29372</v>
      </c>
      <c r="G1094" t="s">
        <v>29380</v>
      </c>
      <c r="H1094" t="s">
        <v>29389</v>
      </c>
      <c r="I1094" t="s">
        <v>10408</v>
      </c>
      <c r="J1094" t="s">
        <v>30357</v>
      </c>
      <c r="K1094" t="s">
        <v>38523</v>
      </c>
      <c r="M1094" t="s">
        <v>39191</v>
      </c>
      <c r="N1094" t="s">
        <v>42669</v>
      </c>
      <c r="O1094" t="s">
        <v>42670</v>
      </c>
      <c r="P1094">
        <v>0</v>
      </c>
      <c r="Q1094">
        <v>0</v>
      </c>
      <c r="R1094" t="s">
        <v>42673</v>
      </c>
      <c r="S1094" t="s">
        <v>42784</v>
      </c>
      <c r="T1094" t="s">
        <v>44505</v>
      </c>
      <c r="U1094" t="s">
        <v>45806</v>
      </c>
      <c r="W1094" t="s">
        <v>39191</v>
      </c>
      <c r="X1094" t="s">
        <v>42674</v>
      </c>
    </row>
    <row r="1095" spans="1:24">
      <c r="A1095">
        <f>HYPERLINK("https://www.philgeps.gov.ph/GEPSNONPILOT/Tender/SplashBidNoticeAbstractUI.aspx?menuIndex=3&amp;refID=7193125&amp;Result=3","7193125")</f>
        <v>0</v>
      </c>
      <c r="B1095" t="s">
        <v>428</v>
      </c>
      <c r="C1095" t="s">
        <v>4577</v>
      </c>
      <c r="E1095" t="s">
        <v>18236</v>
      </c>
      <c r="F1095" t="s">
        <v>29372</v>
      </c>
      <c r="G1095" t="s">
        <v>29379</v>
      </c>
      <c r="H1095" t="s">
        <v>11048</v>
      </c>
      <c r="I1095" t="s">
        <v>8208</v>
      </c>
      <c r="J1095" t="s">
        <v>30358</v>
      </c>
      <c r="K1095" t="s">
        <v>38490</v>
      </c>
      <c r="M1095" t="s">
        <v>39192</v>
      </c>
      <c r="N1095" t="s">
        <v>42669</v>
      </c>
      <c r="O1095" t="s">
        <v>42670</v>
      </c>
      <c r="P1095">
        <v>0</v>
      </c>
      <c r="Q1095">
        <v>4</v>
      </c>
      <c r="R1095" t="s">
        <v>42673</v>
      </c>
      <c r="S1095" t="s">
        <v>42784</v>
      </c>
      <c r="T1095" t="s">
        <v>44488</v>
      </c>
      <c r="U1095" t="s">
        <v>45807</v>
      </c>
      <c r="W1095" t="s">
        <v>39192</v>
      </c>
      <c r="X1095" t="s">
        <v>42674</v>
      </c>
    </row>
    <row r="1096" spans="1:24">
      <c r="A1096">
        <f>HYPERLINK("https://www.philgeps.gov.ph/GEPSNONPILOT/Tender/SplashBidNoticeAbstractUI.aspx?menuIndex=3&amp;refID=7193120&amp;Result=3","7193120")</f>
        <v>0</v>
      </c>
      <c r="B1096" t="s">
        <v>323</v>
      </c>
      <c r="C1096" t="s">
        <v>4578</v>
      </c>
      <c r="D1096" t="s">
        <v>17143</v>
      </c>
      <c r="E1096" t="s">
        <v>18237</v>
      </c>
      <c r="F1096" t="s">
        <v>29372</v>
      </c>
      <c r="G1096" t="s">
        <v>29379</v>
      </c>
      <c r="H1096" t="s">
        <v>11048</v>
      </c>
      <c r="I1096" t="s">
        <v>29403</v>
      </c>
      <c r="J1096" t="s">
        <v>30359</v>
      </c>
      <c r="K1096" t="s">
        <v>38485</v>
      </c>
      <c r="M1096" t="s">
        <v>39082</v>
      </c>
      <c r="N1096" t="s">
        <v>42669</v>
      </c>
      <c r="O1096" t="s">
        <v>42670</v>
      </c>
      <c r="P1096">
        <v>0</v>
      </c>
      <c r="Q1096">
        <v>0</v>
      </c>
      <c r="R1096" t="s">
        <v>42673</v>
      </c>
      <c r="S1096" t="s">
        <v>42784</v>
      </c>
      <c r="T1096" t="s">
        <v>44491</v>
      </c>
      <c r="U1096" t="s">
        <v>45808</v>
      </c>
      <c r="V1096" t="s">
        <v>56465</v>
      </c>
      <c r="W1096" t="s">
        <v>39082</v>
      </c>
      <c r="X1096" t="s">
        <v>42674</v>
      </c>
    </row>
    <row r="1097" spans="1:24">
      <c r="A1097">
        <f>HYPERLINK("https://www.philgeps.gov.ph/GEPSNONPILOT/Tender/SplashBidNoticeAbstractUI.aspx?menuIndex=3&amp;refID=7193187&amp;Result=3","7193187")</f>
        <v>0</v>
      </c>
      <c r="B1097" t="s">
        <v>429</v>
      </c>
      <c r="C1097" t="s">
        <v>4579</v>
      </c>
      <c r="D1097" t="s">
        <v>17215</v>
      </c>
      <c r="E1097" t="s">
        <v>17347</v>
      </c>
      <c r="F1097" t="s">
        <v>29372</v>
      </c>
      <c r="G1097" t="s">
        <v>29380</v>
      </c>
      <c r="H1097" t="s">
        <v>29389</v>
      </c>
      <c r="I1097" t="s">
        <v>10408</v>
      </c>
      <c r="J1097" t="s">
        <v>29555</v>
      </c>
      <c r="K1097" t="s">
        <v>38485</v>
      </c>
      <c r="M1097" t="s">
        <v>39193</v>
      </c>
      <c r="N1097" t="s">
        <v>42669</v>
      </c>
      <c r="O1097" t="s">
        <v>42670</v>
      </c>
      <c r="P1097">
        <v>0</v>
      </c>
      <c r="Q1097">
        <v>0</v>
      </c>
      <c r="R1097" t="s">
        <v>42673</v>
      </c>
      <c r="S1097" t="s">
        <v>42784</v>
      </c>
      <c r="T1097" t="s">
        <v>44506</v>
      </c>
      <c r="U1097" t="s">
        <v>45809</v>
      </c>
      <c r="V1097" t="s">
        <v>56466</v>
      </c>
      <c r="W1097" t="s">
        <v>39193</v>
      </c>
      <c r="X1097" t="s">
        <v>42674</v>
      </c>
    </row>
    <row r="1098" spans="1:24">
      <c r="A1098">
        <f>HYPERLINK("https://www.philgeps.gov.ph/GEPSNONPILOT/Tender/SplashBidNoticeAbstractUI.aspx?menuIndex=3&amp;refID=7193180&amp;Result=3","7193180")</f>
        <v>0</v>
      </c>
      <c r="B1098" t="s">
        <v>430</v>
      </c>
      <c r="C1098" t="s">
        <v>4580</v>
      </c>
      <c r="D1098" t="s">
        <v>17168</v>
      </c>
      <c r="E1098" t="s">
        <v>18238</v>
      </c>
      <c r="F1098" t="s">
        <v>29372</v>
      </c>
      <c r="G1098" t="s">
        <v>29380</v>
      </c>
      <c r="H1098" t="s">
        <v>29389</v>
      </c>
      <c r="I1098" t="s">
        <v>10408</v>
      </c>
      <c r="J1098" t="s">
        <v>30360</v>
      </c>
      <c r="K1098" t="s">
        <v>38485</v>
      </c>
      <c r="M1098" t="s">
        <v>39194</v>
      </c>
      <c r="N1098" t="s">
        <v>42669</v>
      </c>
      <c r="O1098" t="s">
        <v>42670</v>
      </c>
      <c r="P1098">
        <v>0</v>
      </c>
      <c r="Q1098">
        <v>0</v>
      </c>
      <c r="R1098" t="s">
        <v>42673</v>
      </c>
      <c r="S1098" t="s">
        <v>42784</v>
      </c>
      <c r="T1098" t="s">
        <v>44437</v>
      </c>
      <c r="U1098" t="s">
        <v>45810</v>
      </c>
      <c r="W1098" t="s">
        <v>40337</v>
      </c>
      <c r="X1098" t="s">
        <v>42674</v>
      </c>
    </row>
    <row r="1099" spans="1:24">
      <c r="A1099">
        <f>HYPERLINK("https://www.philgeps.gov.ph/GEPSNONPILOT/Tender/SplashBidNoticeAbstractUI.aspx?menuIndex=3&amp;refID=7193195&amp;Result=3","7193195")</f>
        <v>0</v>
      </c>
      <c r="B1099" t="s">
        <v>422</v>
      </c>
      <c r="C1099" t="s">
        <v>4581</v>
      </c>
      <c r="E1099" t="s">
        <v>18239</v>
      </c>
      <c r="F1099" t="s">
        <v>29372</v>
      </c>
      <c r="G1099" t="s">
        <v>29380</v>
      </c>
      <c r="H1099" t="s">
        <v>11048</v>
      </c>
      <c r="I1099" t="s">
        <v>4487</v>
      </c>
      <c r="J1099" t="s">
        <v>29526</v>
      </c>
      <c r="K1099" t="s">
        <v>38490</v>
      </c>
      <c r="M1099" t="s">
        <v>39186</v>
      </c>
      <c r="N1099" t="s">
        <v>42669</v>
      </c>
      <c r="O1099" t="s">
        <v>42670</v>
      </c>
      <c r="P1099">
        <v>0</v>
      </c>
      <c r="Q1099">
        <v>2</v>
      </c>
      <c r="R1099" t="s">
        <v>42673</v>
      </c>
      <c r="S1099" t="s">
        <v>42784</v>
      </c>
      <c r="T1099" t="s">
        <v>44379</v>
      </c>
      <c r="U1099" t="s">
        <v>45811</v>
      </c>
      <c r="W1099" t="s">
        <v>39186</v>
      </c>
      <c r="X1099" t="s">
        <v>42674</v>
      </c>
    </row>
    <row r="1100" spans="1:24">
      <c r="A1100">
        <f>HYPERLINK("https://www.philgeps.gov.ph/GEPSNONPILOT/Tender/SplashBidNoticeAbstractUI.aspx?menuIndex=3&amp;refID=7193179&amp;Result=3","7193179")</f>
        <v>0</v>
      </c>
      <c r="B1100" t="s">
        <v>422</v>
      </c>
      <c r="C1100" t="s">
        <v>4582</v>
      </c>
      <c r="E1100" t="s">
        <v>18240</v>
      </c>
      <c r="F1100" t="s">
        <v>29372</v>
      </c>
      <c r="G1100" t="s">
        <v>29380</v>
      </c>
      <c r="H1100" t="s">
        <v>11048</v>
      </c>
      <c r="I1100" t="s">
        <v>3695</v>
      </c>
      <c r="J1100" t="s">
        <v>30361</v>
      </c>
      <c r="K1100" t="s">
        <v>38490</v>
      </c>
      <c r="M1100" t="s">
        <v>39186</v>
      </c>
      <c r="N1100" t="s">
        <v>42669</v>
      </c>
      <c r="O1100" t="s">
        <v>42670</v>
      </c>
      <c r="P1100">
        <v>0</v>
      </c>
      <c r="Q1100">
        <v>3</v>
      </c>
      <c r="R1100" t="s">
        <v>42673</v>
      </c>
      <c r="S1100" t="s">
        <v>42784</v>
      </c>
      <c r="T1100" t="s">
        <v>44379</v>
      </c>
      <c r="U1100" t="s">
        <v>45812</v>
      </c>
      <c r="W1100" t="s">
        <v>39186</v>
      </c>
      <c r="X1100" t="s">
        <v>42674</v>
      </c>
    </row>
    <row r="1101" spans="1:24">
      <c r="A1101">
        <f>HYPERLINK("https://www.philgeps.gov.ph/GEPSNONPILOT/Tender/SplashBidNoticeAbstractUI.aspx?menuIndex=3&amp;refID=7193128&amp;Result=3","7193128")</f>
        <v>0</v>
      </c>
      <c r="B1101" t="s">
        <v>425</v>
      </c>
      <c r="C1101" t="s">
        <v>4583</v>
      </c>
      <c r="D1101" t="s">
        <v>17171</v>
      </c>
      <c r="E1101" t="s">
        <v>18241</v>
      </c>
      <c r="F1101" t="s">
        <v>29372</v>
      </c>
      <c r="G1101" t="s">
        <v>29379</v>
      </c>
      <c r="H1101" t="s">
        <v>11048</v>
      </c>
      <c r="I1101" t="s">
        <v>29398</v>
      </c>
      <c r="J1101" t="s">
        <v>29700</v>
      </c>
      <c r="K1101" t="s">
        <v>38488</v>
      </c>
      <c r="M1101" t="s">
        <v>39189</v>
      </c>
      <c r="N1101" t="s">
        <v>42669</v>
      </c>
      <c r="O1101" t="s">
        <v>42670</v>
      </c>
      <c r="P1101">
        <v>0</v>
      </c>
      <c r="Q1101">
        <v>6</v>
      </c>
      <c r="R1101" t="s">
        <v>42673</v>
      </c>
      <c r="S1101" t="s">
        <v>42784</v>
      </c>
      <c r="T1101" t="s">
        <v>44414</v>
      </c>
      <c r="U1101" t="s">
        <v>45802</v>
      </c>
      <c r="W1101" t="s">
        <v>58013</v>
      </c>
      <c r="X1101" t="s">
        <v>42674</v>
      </c>
    </row>
    <row r="1102" spans="1:24">
      <c r="A1102">
        <f>HYPERLINK("https://www.philgeps.gov.ph/GEPSNONPILOT/Tender/SplashBidNoticeAbstractUI.aspx?menuIndex=3&amp;refID=7193188&amp;Result=3","7193188")</f>
        <v>0</v>
      </c>
      <c r="B1102" t="s">
        <v>422</v>
      </c>
      <c r="C1102" t="s">
        <v>4584</v>
      </c>
      <c r="E1102" t="s">
        <v>18242</v>
      </c>
      <c r="F1102" t="s">
        <v>29372</v>
      </c>
      <c r="G1102" t="s">
        <v>29380</v>
      </c>
      <c r="H1102" t="s">
        <v>11048</v>
      </c>
      <c r="I1102" t="s">
        <v>8614</v>
      </c>
      <c r="J1102" t="s">
        <v>30302</v>
      </c>
      <c r="K1102" t="s">
        <v>38490</v>
      </c>
      <c r="M1102" t="s">
        <v>39186</v>
      </c>
      <c r="N1102" t="s">
        <v>42669</v>
      </c>
      <c r="O1102" t="s">
        <v>42670</v>
      </c>
      <c r="P1102">
        <v>0</v>
      </c>
      <c r="Q1102">
        <v>2</v>
      </c>
      <c r="R1102" t="s">
        <v>42673</v>
      </c>
      <c r="S1102" t="s">
        <v>42784</v>
      </c>
      <c r="T1102" t="s">
        <v>44379</v>
      </c>
      <c r="U1102" t="s">
        <v>45813</v>
      </c>
      <c r="W1102" t="s">
        <v>39186</v>
      </c>
      <c r="X1102" t="s">
        <v>42674</v>
      </c>
    </row>
    <row r="1103" spans="1:24">
      <c r="A1103">
        <f>HYPERLINK("https://www.philgeps.gov.ph/GEPSNONPILOT/Tender/SplashBidNoticeAbstractUI.aspx?menuIndex=3&amp;refID=7193174&amp;Result=3","7193174")</f>
        <v>0</v>
      </c>
      <c r="B1103" t="s">
        <v>421</v>
      </c>
      <c r="C1103" t="s">
        <v>4585</v>
      </c>
      <c r="D1103" t="s">
        <v>17181</v>
      </c>
      <c r="E1103" t="s">
        <v>18243</v>
      </c>
      <c r="F1103" t="s">
        <v>29372</v>
      </c>
      <c r="G1103" t="s">
        <v>29379</v>
      </c>
      <c r="H1103" t="s">
        <v>11048</v>
      </c>
      <c r="I1103" t="s">
        <v>8208</v>
      </c>
      <c r="J1103" t="s">
        <v>30362</v>
      </c>
      <c r="K1103" t="s">
        <v>38488</v>
      </c>
      <c r="M1103" t="s">
        <v>39185</v>
      </c>
      <c r="N1103" t="s">
        <v>42669</v>
      </c>
      <c r="O1103" t="s">
        <v>42670</v>
      </c>
      <c r="P1103">
        <v>0</v>
      </c>
      <c r="Q1103">
        <v>0</v>
      </c>
      <c r="R1103" t="s">
        <v>42673</v>
      </c>
      <c r="S1103" t="s">
        <v>42784</v>
      </c>
      <c r="T1103" t="s">
        <v>44451</v>
      </c>
      <c r="U1103" t="s">
        <v>45789</v>
      </c>
      <c r="W1103" t="s">
        <v>39185</v>
      </c>
      <c r="X1103" t="s">
        <v>42674</v>
      </c>
    </row>
    <row r="1104" spans="1:24">
      <c r="A1104">
        <f>HYPERLINK("https://www.philgeps.gov.ph/GEPSNONPILOT/Tender/SplashBidNoticeAbstractUI.aspx?menuIndex=3&amp;refID=7193172&amp;Result=3","7193172")</f>
        <v>0</v>
      </c>
      <c r="B1104" t="s">
        <v>255</v>
      </c>
      <c r="C1104" t="s">
        <v>4586</v>
      </c>
      <c r="E1104" t="s">
        <v>18244</v>
      </c>
      <c r="F1104" t="s">
        <v>29372</v>
      </c>
      <c r="G1104" t="s">
        <v>29379</v>
      </c>
      <c r="H1104" t="s">
        <v>11048</v>
      </c>
      <c r="I1104" t="s">
        <v>29463</v>
      </c>
      <c r="J1104" t="s">
        <v>30363</v>
      </c>
      <c r="K1104" t="s">
        <v>38490</v>
      </c>
      <c r="M1104" t="s">
        <v>39014</v>
      </c>
      <c r="N1104" t="s">
        <v>42669</v>
      </c>
      <c r="O1104" t="s">
        <v>42670</v>
      </c>
      <c r="P1104">
        <v>0</v>
      </c>
      <c r="Q1104">
        <v>3</v>
      </c>
      <c r="R1104" t="s">
        <v>42673</v>
      </c>
      <c r="S1104" t="s">
        <v>42784</v>
      </c>
      <c r="T1104" t="s">
        <v>44489</v>
      </c>
      <c r="U1104" t="s">
        <v>45771</v>
      </c>
      <c r="W1104" t="s">
        <v>39014</v>
      </c>
      <c r="X1104" t="s">
        <v>42674</v>
      </c>
    </row>
    <row r="1105" spans="1:24">
      <c r="A1105">
        <f>HYPERLINK("https://www.philgeps.gov.ph/GEPSNONPILOT/Tender/SplashBidNoticeAbstractUI.aspx?menuIndex=3&amp;refID=7193135&amp;Result=3","7193135")</f>
        <v>0</v>
      </c>
      <c r="B1105" t="s">
        <v>255</v>
      </c>
      <c r="C1105" t="s">
        <v>4587</v>
      </c>
      <c r="E1105" t="s">
        <v>18245</v>
      </c>
      <c r="F1105" t="s">
        <v>29372</v>
      </c>
      <c r="G1105" t="s">
        <v>29379</v>
      </c>
      <c r="H1105" t="s">
        <v>11048</v>
      </c>
      <c r="I1105" t="s">
        <v>29433</v>
      </c>
      <c r="J1105" t="s">
        <v>30364</v>
      </c>
      <c r="K1105" t="s">
        <v>38490</v>
      </c>
      <c r="M1105" t="s">
        <v>39014</v>
      </c>
      <c r="N1105" t="s">
        <v>42669</v>
      </c>
      <c r="O1105" t="s">
        <v>42670</v>
      </c>
      <c r="P1105">
        <v>0</v>
      </c>
      <c r="Q1105">
        <v>4</v>
      </c>
      <c r="R1105" t="s">
        <v>42673</v>
      </c>
      <c r="S1105" t="s">
        <v>42784</v>
      </c>
      <c r="T1105" t="s">
        <v>44489</v>
      </c>
      <c r="U1105" t="s">
        <v>45771</v>
      </c>
      <c r="W1105" t="s">
        <v>39014</v>
      </c>
      <c r="X1105" t="s">
        <v>42674</v>
      </c>
    </row>
    <row r="1106" spans="1:24">
      <c r="A1106">
        <f>HYPERLINK("https://www.philgeps.gov.ph/GEPSNONPILOT/Tender/SplashBidNoticeAbstractUI.aspx?menuIndex=3&amp;refID=7193220&amp;Result=3","7193220")</f>
        <v>0</v>
      </c>
      <c r="B1106" t="s">
        <v>422</v>
      </c>
      <c r="C1106" t="s">
        <v>4588</v>
      </c>
      <c r="E1106" t="s">
        <v>4588</v>
      </c>
      <c r="F1106" t="s">
        <v>29372</v>
      </c>
      <c r="G1106" t="s">
        <v>29380</v>
      </c>
      <c r="H1106" t="s">
        <v>11048</v>
      </c>
      <c r="I1106" t="s">
        <v>29407</v>
      </c>
      <c r="J1106" t="s">
        <v>29604</v>
      </c>
      <c r="K1106" t="s">
        <v>38490</v>
      </c>
      <c r="M1106" t="s">
        <v>39186</v>
      </c>
      <c r="N1106" t="s">
        <v>42669</v>
      </c>
      <c r="O1106" t="s">
        <v>42670</v>
      </c>
      <c r="P1106">
        <v>0</v>
      </c>
      <c r="Q1106">
        <v>4</v>
      </c>
      <c r="R1106" t="s">
        <v>42673</v>
      </c>
      <c r="S1106" t="s">
        <v>42784</v>
      </c>
      <c r="T1106" t="s">
        <v>44379</v>
      </c>
      <c r="U1106" t="s">
        <v>45814</v>
      </c>
      <c r="W1106" t="s">
        <v>39186</v>
      </c>
      <c r="X1106" t="s">
        <v>42674</v>
      </c>
    </row>
    <row r="1107" spans="1:24">
      <c r="A1107">
        <f>HYPERLINK("https://www.philgeps.gov.ph/GEPSNONPILOT/Tender/SplashBidNoticeAbstractUI.aspx?menuIndex=3&amp;refID=7193226&amp;Result=3","7193226")</f>
        <v>0</v>
      </c>
      <c r="B1107" t="s">
        <v>431</v>
      </c>
      <c r="C1107" t="s">
        <v>4589</v>
      </c>
      <c r="D1107" t="s">
        <v>17141</v>
      </c>
      <c r="E1107" t="s">
        <v>18035</v>
      </c>
      <c r="F1107" t="s">
        <v>29375</v>
      </c>
      <c r="G1107" t="s">
        <v>29380</v>
      </c>
      <c r="H1107" t="s">
        <v>11048</v>
      </c>
      <c r="I1107" t="s">
        <v>29464</v>
      </c>
      <c r="J1107" t="s">
        <v>29543</v>
      </c>
      <c r="K1107" t="s">
        <v>38491</v>
      </c>
      <c r="M1107" t="s">
        <v>39195</v>
      </c>
      <c r="N1107" t="s">
        <v>42669</v>
      </c>
      <c r="O1107" t="s">
        <v>42670</v>
      </c>
      <c r="P1107">
        <v>0</v>
      </c>
      <c r="Q1107">
        <v>4</v>
      </c>
      <c r="R1107" t="s">
        <v>42673</v>
      </c>
      <c r="S1107" t="s">
        <v>42784</v>
      </c>
      <c r="T1107" t="s">
        <v>44507</v>
      </c>
      <c r="U1107" t="s">
        <v>45815</v>
      </c>
      <c r="W1107" t="s">
        <v>39195</v>
      </c>
      <c r="X1107" t="s">
        <v>42674</v>
      </c>
    </row>
    <row r="1108" spans="1:24">
      <c r="A1108">
        <f>HYPERLINK("https://www.philgeps.gov.ph/GEPSNONPILOT/Tender/SplashBidNoticeAbstractUI.aspx?menuIndex=3&amp;refID=7193224&amp;Result=3","7193224")</f>
        <v>0</v>
      </c>
      <c r="B1108" t="s">
        <v>432</v>
      </c>
      <c r="C1108" t="s">
        <v>4590</v>
      </c>
      <c r="D1108" t="s">
        <v>17188</v>
      </c>
      <c r="E1108" t="s">
        <v>18246</v>
      </c>
      <c r="F1108" t="s">
        <v>29373</v>
      </c>
      <c r="G1108" t="s">
        <v>29380</v>
      </c>
      <c r="H1108" t="s">
        <v>11048</v>
      </c>
      <c r="I1108" t="s">
        <v>29423</v>
      </c>
      <c r="J1108" t="s">
        <v>29625</v>
      </c>
      <c r="K1108" t="s">
        <v>38490</v>
      </c>
      <c r="M1108" t="s">
        <v>39196</v>
      </c>
      <c r="N1108" t="s">
        <v>42669</v>
      </c>
      <c r="O1108" t="s">
        <v>42670</v>
      </c>
      <c r="P1108">
        <v>0</v>
      </c>
      <c r="Q1108">
        <v>0</v>
      </c>
      <c r="R1108" t="s">
        <v>42673</v>
      </c>
      <c r="S1108" t="s">
        <v>42784</v>
      </c>
      <c r="T1108" t="s">
        <v>44390</v>
      </c>
      <c r="U1108" t="s">
        <v>45816</v>
      </c>
      <c r="W1108" t="s">
        <v>39196</v>
      </c>
      <c r="X1108" t="s">
        <v>42674</v>
      </c>
    </row>
    <row r="1109" spans="1:24">
      <c r="A1109">
        <f>HYPERLINK("https://www.philgeps.gov.ph/GEPSNONPILOT/Tender/SplashBidNoticeAbstractUI.aspx?menuIndex=3&amp;refID=7193222&amp;Result=3","7193222")</f>
        <v>0</v>
      </c>
      <c r="B1109" t="s">
        <v>421</v>
      </c>
      <c r="C1109" t="s">
        <v>4591</v>
      </c>
      <c r="D1109" t="s">
        <v>17165</v>
      </c>
      <c r="E1109" t="s">
        <v>18247</v>
      </c>
      <c r="F1109" t="s">
        <v>29372</v>
      </c>
      <c r="G1109" t="s">
        <v>29379</v>
      </c>
      <c r="H1109" t="s">
        <v>11048</v>
      </c>
      <c r="I1109" t="s">
        <v>8208</v>
      </c>
      <c r="J1109" t="s">
        <v>30365</v>
      </c>
      <c r="K1109" t="s">
        <v>38488</v>
      </c>
      <c r="M1109" t="s">
        <v>39185</v>
      </c>
      <c r="N1109" t="s">
        <v>42669</v>
      </c>
      <c r="O1109" t="s">
        <v>42670</v>
      </c>
      <c r="P1109">
        <v>0</v>
      </c>
      <c r="Q1109">
        <v>0</v>
      </c>
      <c r="R1109" t="s">
        <v>42673</v>
      </c>
      <c r="S1109" t="s">
        <v>42784</v>
      </c>
      <c r="T1109" t="s">
        <v>44451</v>
      </c>
      <c r="U1109" t="s">
        <v>45794</v>
      </c>
      <c r="W1109" t="s">
        <v>39185</v>
      </c>
      <c r="X1109" t="s">
        <v>42674</v>
      </c>
    </row>
    <row r="1110" spans="1:24">
      <c r="A1110">
        <f>HYPERLINK("https://www.philgeps.gov.ph/GEPSNONPILOT/Tender/SplashBidNoticeAbstractUI.aspx?menuIndex=3&amp;refID=7193217&amp;Result=3","7193217")</f>
        <v>0</v>
      </c>
      <c r="B1110" t="s">
        <v>433</v>
      </c>
      <c r="C1110" t="s">
        <v>4592</v>
      </c>
      <c r="D1110" t="s">
        <v>17188</v>
      </c>
      <c r="E1110" t="s">
        <v>18248</v>
      </c>
      <c r="F1110" t="s">
        <v>29372</v>
      </c>
      <c r="G1110" t="s">
        <v>29379</v>
      </c>
      <c r="H1110" t="s">
        <v>11048</v>
      </c>
      <c r="I1110" t="s">
        <v>29398</v>
      </c>
      <c r="J1110" t="s">
        <v>30366</v>
      </c>
      <c r="K1110" t="s">
        <v>38485</v>
      </c>
      <c r="M1110" t="s">
        <v>39197</v>
      </c>
      <c r="N1110" t="s">
        <v>42669</v>
      </c>
      <c r="O1110" t="s">
        <v>42670</v>
      </c>
      <c r="P1110">
        <v>0</v>
      </c>
      <c r="Q1110">
        <v>4</v>
      </c>
      <c r="R1110" t="s">
        <v>42673</v>
      </c>
      <c r="S1110" t="s">
        <v>42784</v>
      </c>
      <c r="T1110" t="s">
        <v>44508</v>
      </c>
      <c r="U1110" t="s">
        <v>45817</v>
      </c>
      <c r="W1110" t="s">
        <v>39197</v>
      </c>
      <c r="X1110" t="s">
        <v>42674</v>
      </c>
    </row>
    <row r="1111" spans="1:24">
      <c r="A1111">
        <f>HYPERLINK("https://www.philgeps.gov.ph/GEPSNONPILOT/Tender/SplashBidNoticeAbstractUI.aspx?menuIndex=3&amp;refID=7193216&amp;Result=3","7193216")</f>
        <v>0</v>
      </c>
      <c r="B1111" t="s">
        <v>367</v>
      </c>
      <c r="C1111" t="s">
        <v>4593</v>
      </c>
      <c r="D1111" t="s">
        <v>17141</v>
      </c>
      <c r="E1111" t="s">
        <v>18249</v>
      </c>
      <c r="F1111" t="s">
        <v>29372</v>
      </c>
      <c r="G1111" t="s">
        <v>29379</v>
      </c>
      <c r="H1111" t="s">
        <v>29390</v>
      </c>
      <c r="I1111" t="s">
        <v>29433</v>
      </c>
      <c r="J1111" t="s">
        <v>30367</v>
      </c>
      <c r="K1111" t="s">
        <v>38488</v>
      </c>
      <c r="M1111" t="s">
        <v>39127</v>
      </c>
      <c r="N1111" t="s">
        <v>42669</v>
      </c>
      <c r="O1111" t="s">
        <v>42670</v>
      </c>
      <c r="P1111">
        <v>0</v>
      </c>
      <c r="Q1111">
        <v>1</v>
      </c>
      <c r="R1111" t="s">
        <v>42673</v>
      </c>
      <c r="S1111" t="s">
        <v>42784</v>
      </c>
      <c r="T1111" t="s">
        <v>44481</v>
      </c>
      <c r="U1111" t="s">
        <v>45818</v>
      </c>
      <c r="V1111" t="s">
        <v>56467</v>
      </c>
      <c r="W1111" t="s">
        <v>58014</v>
      </c>
      <c r="X1111" t="s">
        <v>42674</v>
      </c>
    </row>
    <row r="1112" spans="1:24">
      <c r="A1112">
        <f>HYPERLINK("https://www.philgeps.gov.ph/GEPSNONPILOT/Tender/SplashBidNoticeAbstractUI.aspx?menuIndex=3&amp;refID=7193182&amp;Result=3","7193182")</f>
        <v>0</v>
      </c>
      <c r="B1112" t="s">
        <v>422</v>
      </c>
      <c r="C1112" t="s">
        <v>4594</v>
      </c>
      <c r="E1112" t="s">
        <v>18250</v>
      </c>
      <c r="F1112" t="s">
        <v>29372</v>
      </c>
      <c r="G1112" t="s">
        <v>29380</v>
      </c>
      <c r="H1112" t="s">
        <v>11048</v>
      </c>
      <c r="I1112" t="s">
        <v>29407</v>
      </c>
      <c r="J1112" t="s">
        <v>30368</v>
      </c>
      <c r="K1112" t="s">
        <v>38490</v>
      </c>
      <c r="M1112" t="s">
        <v>39186</v>
      </c>
      <c r="N1112" t="s">
        <v>42669</v>
      </c>
      <c r="O1112" t="s">
        <v>42670</v>
      </c>
      <c r="P1112">
        <v>0</v>
      </c>
      <c r="Q1112">
        <v>12</v>
      </c>
      <c r="R1112" t="s">
        <v>42673</v>
      </c>
      <c r="S1112" t="s">
        <v>42784</v>
      </c>
      <c r="T1112" t="s">
        <v>44379</v>
      </c>
      <c r="U1112" t="s">
        <v>45819</v>
      </c>
      <c r="W1112" t="s">
        <v>39186</v>
      </c>
      <c r="X1112" t="s">
        <v>42674</v>
      </c>
    </row>
    <row r="1113" spans="1:24">
      <c r="A1113">
        <f>HYPERLINK("https://www.philgeps.gov.ph/GEPSNONPILOT/Tender/SplashBidNoticeAbstractUI.aspx?menuIndex=3&amp;refID=7193215&amp;Result=3","7193215")</f>
        <v>0</v>
      </c>
      <c r="B1113" t="s">
        <v>394</v>
      </c>
      <c r="C1113" t="s">
        <v>4595</v>
      </c>
      <c r="D1113" t="s">
        <v>17170</v>
      </c>
      <c r="E1113" t="s">
        <v>18251</v>
      </c>
      <c r="F1113" t="s">
        <v>29372</v>
      </c>
      <c r="G1113" t="s">
        <v>29380</v>
      </c>
      <c r="H1113" t="s">
        <v>11048</v>
      </c>
      <c r="I1113" t="s">
        <v>3952</v>
      </c>
      <c r="J1113" t="s">
        <v>30369</v>
      </c>
      <c r="K1113" t="s">
        <v>38496</v>
      </c>
      <c r="M1113" t="s">
        <v>39157</v>
      </c>
      <c r="N1113" t="s">
        <v>42669</v>
      </c>
      <c r="O1113" t="s">
        <v>42670</v>
      </c>
      <c r="P1113">
        <v>0</v>
      </c>
      <c r="Q1113">
        <v>1</v>
      </c>
      <c r="R1113" t="s">
        <v>42673</v>
      </c>
      <c r="S1113" t="s">
        <v>42784</v>
      </c>
      <c r="T1113" t="s">
        <v>44395</v>
      </c>
      <c r="U1113" t="s">
        <v>45820</v>
      </c>
      <c r="W1113" t="s">
        <v>39157</v>
      </c>
      <c r="X1113" t="s">
        <v>42674</v>
      </c>
    </row>
    <row r="1114" spans="1:24">
      <c r="A1114">
        <f>HYPERLINK("https://www.philgeps.gov.ph/GEPSNONPILOT/Tender/SplashBidNoticeAbstractUI.aspx?menuIndex=3&amp;refID=7193214&amp;Result=3","7193214")</f>
        <v>0</v>
      </c>
      <c r="B1114" t="s">
        <v>434</v>
      </c>
      <c r="C1114" t="s">
        <v>4596</v>
      </c>
      <c r="D1114" t="s">
        <v>17168</v>
      </c>
      <c r="E1114" t="s">
        <v>17477</v>
      </c>
      <c r="F1114" t="s">
        <v>29372</v>
      </c>
      <c r="G1114" t="s">
        <v>29380</v>
      </c>
      <c r="H1114" t="s">
        <v>11048</v>
      </c>
      <c r="I1114" t="s">
        <v>4709</v>
      </c>
      <c r="J1114" t="s">
        <v>30370</v>
      </c>
      <c r="K1114" t="s">
        <v>38510</v>
      </c>
      <c r="M1114" t="s">
        <v>39198</v>
      </c>
      <c r="N1114" t="s">
        <v>42669</v>
      </c>
      <c r="O1114" t="s">
        <v>42670</v>
      </c>
      <c r="P1114">
        <v>0</v>
      </c>
      <c r="Q1114">
        <v>0</v>
      </c>
      <c r="R1114" t="s">
        <v>42673</v>
      </c>
      <c r="S1114" t="s">
        <v>42784</v>
      </c>
      <c r="T1114" t="s">
        <v>44426</v>
      </c>
      <c r="U1114" t="s">
        <v>45821</v>
      </c>
      <c r="W1114" t="s">
        <v>39198</v>
      </c>
      <c r="X1114" t="s">
        <v>42674</v>
      </c>
    </row>
    <row r="1115" spans="1:24">
      <c r="A1115">
        <f>HYPERLINK("https://www.philgeps.gov.ph/GEPSNONPILOT/Tender/SplashBidNoticeAbstractUI.aspx?menuIndex=3&amp;refID=7193225&amp;Result=3","7193225")</f>
        <v>0</v>
      </c>
      <c r="B1115" t="s">
        <v>435</v>
      </c>
      <c r="C1115" t="s">
        <v>4597</v>
      </c>
      <c r="D1115" t="s">
        <v>17179</v>
      </c>
      <c r="E1115" t="s">
        <v>18252</v>
      </c>
      <c r="F1115" t="s">
        <v>29373</v>
      </c>
      <c r="G1115" t="s">
        <v>29379</v>
      </c>
      <c r="H1115" t="s">
        <v>11048</v>
      </c>
      <c r="I1115" t="s">
        <v>4709</v>
      </c>
      <c r="J1115" t="s">
        <v>29526</v>
      </c>
      <c r="K1115" t="s">
        <v>38491</v>
      </c>
      <c r="M1115" t="s">
        <v>39199</v>
      </c>
      <c r="N1115" t="s">
        <v>42669</v>
      </c>
      <c r="O1115" t="s">
        <v>42670</v>
      </c>
      <c r="P1115">
        <v>0</v>
      </c>
      <c r="Q1115">
        <v>1</v>
      </c>
      <c r="R1115" t="s">
        <v>42673</v>
      </c>
      <c r="S1115" t="s">
        <v>42784</v>
      </c>
      <c r="T1115" t="s">
        <v>44509</v>
      </c>
      <c r="U1115" t="s">
        <v>45822</v>
      </c>
      <c r="V1115" t="s">
        <v>56468</v>
      </c>
      <c r="W1115" t="s">
        <v>39199</v>
      </c>
      <c r="X1115" t="s">
        <v>42674</v>
      </c>
    </row>
    <row r="1116" spans="1:24">
      <c r="A1116">
        <f>HYPERLINK("https://www.philgeps.gov.ph/GEPSNONPILOT/Tender/SplashBidNoticeAbstractUI.aspx?menuIndex=3&amp;refID=7193210&amp;Result=3","7193210")</f>
        <v>0</v>
      </c>
      <c r="B1116" t="s">
        <v>436</v>
      </c>
      <c r="C1116" t="s">
        <v>4598</v>
      </c>
      <c r="D1116" t="s">
        <v>17169</v>
      </c>
      <c r="E1116" t="s">
        <v>18218</v>
      </c>
      <c r="F1116" t="s">
        <v>29372</v>
      </c>
      <c r="G1116" t="s">
        <v>29380</v>
      </c>
      <c r="H1116" t="s">
        <v>29389</v>
      </c>
      <c r="I1116" t="s">
        <v>10408</v>
      </c>
      <c r="J1116" t="s">
        <v>29549</v>
      </c>
      <c r="K1116" t="s">
        <v>38485</v>
      </c>
      <c r="M1116" t="s">
        <v>39200</v>
      </c>
      <c r="N1116" t="s">
        <v>42669</v>
      </c>
      <c r="O1116" t="s">
        <v>42670</v>
      </c>
      <c r="P1116">
        <v>0</v>
      </c>
      <c r="Q1116">
        <v>2</v>
      </c>
      <c r="R1116" t="s">
        <v>42673</v>
      </c>
      <c r="S1116" t="s">
        <v>42784</v>
      </c>
      <c r="T1116" t="s">
        <v>44510</v>
      </c>
      <c r="U1116" t="s">
        <v>45823</v>
      </c>
      <c r="W1116" t="s">
        <v>39200</v>
      </c>
      <c r="X1116" t="s">
        <v>42674</v>
      </c>
    </row>
    <row r="1117" spans="1:24">
      <c r="A1117">
        <f>HYPERLINK("https://www.philgeps.gov.ph/GEPSNONPILOT/Tender/SplashBidNoticeAbstractUI.aspx?menuIndex=3&amp;refID=7193178&amp;Result=3","7193178")</f>
        <v>0</v>
      </c>
      <c r="B1117" t="s">
        <v>233</v>
      </c>
      <c r="C1117" t="s">
        <v>4599</v>
      </c>
      <c r="D1117" t="s">
        <v>17203</v>
      </c>
      <c r="E1117" t="s">
        <v>18253</v>
      </c>
      <c r="F1117" t="s">
        <v>29372</v>
      </c>
      <c r="G1117" t="s">
        <v>29380</v>
      </c>
      <c r="H1117" t="s">
        <v>11048</v>
      </c>
      <c r="I1117" t="s">
        <v>4709</v>
      </c>
      <c r="J1117" t="s">
        <v>30371</v>
      </c>
      <c r="K1117" t="s">
        <v>38488</v>
      </c>
      <c r="M1117" t="s">
        <v>38992</v>
      </c>
      <c r="N1117" t="s">
        <v>42669</v>
      </c>
      <c r="O1117" t="s">
        <v>42670</v>
      </c>
      <c r="P1117">
        <v>0</v>
      </c>
      <c r="Q1117">
        <v>0</v>
      </c>
      <c r="R1117" t="s">
        <v>42673</v>
      </c>
      <c r="S1117" t="s">
        <v>42784</v>
      </c>
      <c r="T1117" t="s">
        <v>44373</v>
      </c>
      <c r="U1117" t="s">
        <v>45824</v>
      </c>
      <c r="W1117" t="s">
        <v>38992</v>
      </c>
      <c r="X1117" t="s">
        <v>42674</v>
      </c>
    </row>
    <row r="1118" spans="1:24">
      <c r="A1118">
        <f>HYPERLINK("https://www.philgeps.gov.ph/GEPSNONPILOT/Tender/SplashBidNoticeAbstractUI.aspx?menuIndex=3&amp;refID=7193208&amp;Result=3","7193208")</f>
        <v>0</v>
      </c>
      <c r="B1118" t="s">
        <v>437</v>
      </c>
      <c r="C1118" t="s">
        <v>4600</v>
      </c>
      <c r="D1118" t="s">
        <v>17142</v>
      </c>
      <c r="E1118" t="s">
        <v>18254</v>
      </c>
      <c r="F1118" t="s">
        <v>29372</v>
      </c>
      <c r="G1118" t="s">
        <v>29382</v>
      </c>
      <c r="H1118" t="s">
        <v>11048</v>
      </c>
      <c r="I1118" t="s">
        <v>4487</v>
      </c>
      <c r="J1118" t="s">
        <v>30372</v>
      </c>
      <c r="K1118" t="s">
        <v>38489</v>
      </c>
      <c r="L1118" t="s">
        <v>437</v>
      </c>
      <c r="M1118" t="s">
        <v>39201</v>
      </c>
      <c r="N1118" t="s">
        <v>42669</v>
      </c>
      <c r="O1118" t="s">
        <v>42670</v>
      </c>
      <c r="P1118">
        <v>0</v>
      </c>
      <c r="Q1118">
        <v>6</v>
      </c>
      <c r="R1118" t="s">
        <v>42673</v>
      </c>
      <c r="S1118" t="s">
        <v>42784</v>
      </c>
      <c r="T1118" t="s">
        <v>44451</v>
      </c>
      <c r="U1118" t="s">
        <v>45825</v>
      </c>
      <c r="W1118" t="s">
        <v>39201</v>
      </c>
      <c r="X1118" t="s">
        <v>42674</v>
      </c>
    </row>
    <row r="1119" spans="1:24">
      <c r="A1119">
        <f>HYPERLINK("https://www.philgeps.gov.ph/GEPSNONPILOT/Tender/SplashBidNoticeAbstractUI.aspx?menuIndex=3&amp;refID=7193203&amp;Result=3","7193203")</f>
        <v>0</v>
      </c>
      <c r="B1119" t="s">
        <v>438</v>
      </c>
      <c r="C1119" t="s">
        <v>4601</v>
      </c>
      <c r="E1119" t="s">
        <v>18255</v>
      </c>
      <c r="F1119" t="s">
        <v>29372</v>
      </c>
      <c r="G1119" t="s">
        <v>29380</v>
      </c>
      <c r="H1119" t="s">
        <v>11048</v>
      </c>
      <c r="I1119" t="s">
        <v>4709</v>
      </c>
      <c r="J1119" t="s">
        <v>30373</v>
      </c>
      <c r="K1119" t="s">
        <v>38488</v>
      </c>
      <c r="M1119" t="s">
        <v>39202</v>
      </c>
      <c r="N1119" t="s">
        <v>42669</v>
      </c>
      <c r="O1119" t="s">
        <v>42670</v>
      </c>
      <c r="P1119">
        <v>0</v>
      </c>
      <c r="Q1119">
        <v>0</v>
      </c>
      <c r="R1119" t="s">
        <v>42673</v>
      </c>
      <c r="S1119" t="s">
        <v>42784</v>
      </c>
      <c r="T1119" t="s">
        <v>44354</v>
      </c>
      <c r="U1119" t="s">
        <v>45826</v>
      </c>
      <c r="W1119" t="s">
        <v>39202</v>
      </c>
      <c r="X1119" t="s">
        <v>42674</v>
      </c>
    </row>
    <row r="1120" spans="1:24">
      <c r="A1120">
        <f>HYPERLINK("https://www.philgeps.gov.ph/GEPSNONPILOT/Tender/SplashBidNoticeAbstractUI.aspx?menuIndex=3&amp;refID=7193202&amp;Result=3","7193202")</f>
        <v>0</v>
      </c>
      <c r="B1120" t="s">
        <v>439</v>
      </c>
      <c r="C1120" t="s">
        <v>4013</v>
      </c>
      <c r="D1120" t="s">
        <v>17197</v>
      </c>
      <c r="E1120" t="s">
        <v>17606</v>
      </c>
      <c r="F1120" t="s">
        <v>29372</v>
      </c>
      <c r="G1120" t="s">
        <v>29383</v>
      </c>
      <c r="H1120" t="s">
        <v>11048</v>
      </c>
      <c r="I1120" t="s">
        <v>3670</v>
      </c>
      <c r="J1120" t="s">
        <v>29746</v>
      </c>
      <c r="K1120" t="s">
        <v>38534</v>
      </c>
      <c r="M1120" t="s">
        <v>39203</v>
      </c>
      <c r="N1120" t="s">
        <v>42669</v>
      </c>
      <c r="O1120" t="s">
        <v>42670</v>
      </c>
      <c r="P1120">
        <v>0</v>
      </c>
      <c r="Q1120">
        <v>1</v>
      </c>
      <c r="R1120" t="s">
        <v>42673</v>
      </c>
      <c r="S1120" t="s">
        <v>42784</v>
      </c>
      <c r="T1120" t="s">
        <v>44454</v>
      </c>
      <c r="U1120" t="s">
        <v>45827</v>
      </c>
      <c r="V1120" t="s">
        <v>56382</v>
      </c>
      <c r="W1120" t="s">
        <v>39203</v>
      </c>
      <c r="X1120" t="s">
        <v>42674</v>
      </c>
    </row>
    <row r="1121" spans="1:24">
      <c r="A1121">
        <f>HYPERLINK("https://www.philgeps.gov.ph/GEPSNONPILOT/Tender/SplashBidNoticeAbstractUI.aspx?menuIndex=3&amp;refID=7193213&amp;Result=3","7193213")</f>
        <v>0</v>
      </c>
      <c r="B1121" t="s">
        <v>421</v>
      </c>
      <c r="C1121" t="s">
        <v>4602</v>
      </c>
      <c r="D1121" t="s">
        <v>17216</v>
      </c>
      <c r="E1121" t="s">
        <v>18256</v>
      </c>
      <c r="F1121" t="s">
        <v>29372</v>
      </c>
      <c r="G1121" t="s">
        <v>29379</v>
      </c>
      <c r="H1121" t="s">
        <v>11048</v>
      </c>
      <c r="I1121" t="s">
        <v>8208</v>
      </c>
      <c r="J1121" t="s">
        <v>30374</v>
      </c>
      <c r="K1121" t="s">
        <v>38488</v>
      </c>
      <c r="M1121" t="s">
        <v>39185</v>
      </c>
      <c r="N1121" t="s">
        <v>42669</v>
      </c>
      <c r="O1121" t="s">
        <v>42670</v>
      </c>
      <c r="P1121">
        <v>0</v>
      </c>
      <c r="Q1121">
        <v>0</v>
      </c>
      <c r="R1121" t="s">
        <v>42673</v>
      </c>
      <c r="S1121" t="s">
        <v>42784</v>
      </c>
      <c r="T1121" t="s">
        <v>44451</v>
      </c>
      <c r="U1121" t="s">
        <v>45794</v>
      </c>
      <c r="W1121" t="s">
        <v>39185</v>
      </c>
      <c r="X1121" t="s">
        <v>42674</v>
      </c>
    </row>
    <row r="1122" spans="1:24">
      <c r="A1122">
        <f>HYPERLINK("https://www.philgeps.gov.ph/GEPSNONPILOT/Tender/SplashBidNoticeAbstractUI.aspx?menuIndex=3&amp;refID=7193200&amp;Result=3","7193200")</f>
        <v>0</v>
      </c>
      <c r="B1122" t="s">
        <v>440</v>
      </c>
      <c r="C1122" t="s">
        <v>4603</v>
      </c>
      <c r="D1122" t="s">
        <v>17141</v>
      </c>
      <c r="E1122" t="s">
        <v>18257</v>
      </c>
      <c r="F1122" t="s">
        <v>29372</v>
      </c>
      <c r="G1122" t="s">
        <v>29379</v>
      </c>
      <c r="H1122" t="s">
        <v>11048</v>
      </c>
      <c r="I1122" t="s">
        <v>29465</v>
      </c>
      <c r="J1122" t="s">
        <v>29721</v>
      </c>
      <c r="K1122" t="s">
        <v>38490</v>
      </c>
      <c r="M1122" t="s">
        <v>39204</v>
      </c>
      <c r="N1122" t="s">
        <v>42669</v>
      </c>
      <c r="O1122" t="s">
        <v>42670</v>
      </c>
      <c r="P1122">
        <v>0</v>
      </c>
      <c r="Q1122">
        <v>7</v>
      </c>
      <c r="R1122" t="s">
        <v>42673</v>
      </c>
      <c r="S1122" t="s">
        <v>42784</v>
      </c>
      <c r="T1122" t="s">
        <v>44511</v>
      </c>
      <c r="U1122" t="s">
        <v>45828</v>
      </c>
      <c r="W1122" t="s">
        <v>39204</v>
      </c>
      <c r="X1122" t="s">
        <v>42674</v>
      </c>
    </row>
    <row r="1123" spans="1:24">
      <c r="A1123">
        <f>HYPERLINK("https://www.philgeps.gov.ph/GEPSNONPILOT/Tender/SplashBidNoticeAbstractUI.aspx?menuIndex=3&amp;refID=7193206&amp;Result=3","7193206")</f>
        <v>0</v>
      </c>
      <c r="B1123" t="s">
        <v>427</v>
      </c>
      <c r="C1123" t="s">
        <v>4604</v>
      </c>
      <c r="D1123" t="s">
        <v>17167</v>
      </c>
      <c r="E1123" t="s">
        <v>18258</v>
      </c>
      <c r="F1123" t="s">
        <v>29372</v>
      </c>
      <c r="G1123" t="s">
        <v>29379</v>
      </c>
      <c r="H1123" t="s">
        <v>11048</v>
      </c>
      <c r="I1123" t="s">
        <v>29395</v>
      </c>
      <c r="J1123" t="s">
        <v>30375</v>
      </c>
      <c r="K1123" t="s">
        <v>38488</v>
      </c>
      <c r="M1123" t="s">
        <v>39191</v>
      </c>
      <c r="N1123" t="s">
        <v>42669</v>
      </c>
      <c r="O1123" t="s">
        <v>42670</v>
      </c>
      <c r="P1123">
        <v>0</v>
      </c>
      <c r="Q1123">
        <v>0</v>
      </c>
      <c r="R1123" t="s">
        <v>42673</v>
      </c>
      <c r="S1123" t="s">
        <v>42784</v>
      </c>
      <c r="T1123" t="s">
        <v>44371</v>
      </c>
      <c r="U1123" t="s">
        <v>45829</v>
      </c>
      <c r="W1123" t="s">
        <v>39191</v>
      </c>
      <c r="X1123" t="s">
        <v>42674</v>
      </c>
    </row>
    <row r="1124" spans="1:24">
      <c r="A1124">
        <f>HYPERLINK("https://www.philgeps.gov.ph/GEPSNONPILOT/Tender/SplashBidNoticeAbstractUI.aspx?menuIndex=3&amp;refID=7193170&amp;Result=3","7193170")</f>
        <v>0</v>
      </c>
      <c r="B1124" t="s">
        <v>233</v>
      </c>
      <c r="C1124" t="s">
        <v>4605</v>
      </c>
      <c r="D1124" t="s">
        <v>17203</v>
      </c>
      <c r="E1124" t="s">
        <v>18259</v>
      </c>
      <c r="F1124" t="s">
        <v>29372</v>
      </c>
      <c r="G1124" t="s">
        <v>29380</v>
      </c>
      <c r="H1124" t="s">
        <v>29389</v>
      </c>
      <c r="I1124" t="s">
        <v>10408</v>
      </c>
      <c r="J1124" t="s">
        <v>30376</v>
      </c>
      <c r="K1124" t="s">
        <v>38555</v>
      </c>
      <c r="M1124" t="s">
        <v>38992</v>
      </c>
      <c r="N1124" t="s">
        <v>42669</v>
      </c>
      <c r="O1124" t="s">
        <v>42670</v>
      </c>
      <c r="P1124">
        <v>0</v>
      </c>
      <c r="Q1124">
        <v>0</v>
      </c>
      <c r="R1124" t="s">
        <v>42673</v>
      </c>
      <c r="S1124" t="s">
        <v>42784</v>
      </c>
      <c r="T1124" t="s">
        <v>44373</v>
      </c>
      <c r="U1124" t="s">
        <v>45830</v>
      </c>
      <c r="W1124" t="s">
        <v>38992</v>
      </c>
      <c r="X1124" t="s">
        <v>42674</v>
      </c>
    </row>
    <row r="1125" spans="1:24">
      <c r="A1125">
        <f>HYPERLINK("https://www.philgeps.gov.ph/GEPSNONPILOT/Tender/SplashBidNoticeAbstractUI.aspx?menuIndex=3&amp;refID=7193169&amp;Result=3","7193169")</f>
        <v>0</v>
      </c>
      <c r="B1125" t="s">
        <v>441</v>
      </c>
      <c r="C1125" t="s">
        <v>4606</v>
      </c>
      <c r="D1125" t="s">
        <v>17158</v>
      </c>
      <c r="E1125" t="s">
        <v>17550</v>
      </c>
      <c r="F1125" t="s">
        <v>29372</v>
      </c>
      <c r="G1125" t="s">
        <v>29380</v>
      </c>
      <c r="H1125" t="s">
        <v>29389</v>
      </c>
      <c r="I1125" t="s">
        <v>4709</v>
      </c>
      <c r="J1125" t="s">
        <v>30377</v>
      </c>
      <c r="K1125" t="s">
        <v>38488</v>
      </c>
      <c r="M1125" t="s">
        <v>39205</v>
      </c>
      <c r="N1125" t="s">
        <v>42669</v>
      </c>
      <c r="O1125" t="s">
        <v>42670</v>
      </c>
      <c r="P1125">
        <v>0</v>
      </c>
      <c r="Q1125">
        <v>0</v>
      </c>
      <c r="R1125" t="s">
        <v>42673</v>
      </c>
      <c r="S1125" t="s">
        <v>42784</v>
      </c>
      <c r="T1125" t="s">
        <v>44412</v>
      </c>
      <c r="U1125" t="s">
        <v>45831</v>
      </c>
      <c r="V1125" t="s">
        <v>56469</v>
      </c>
      <c r="W1125" t="s">
        <v>39205</v>
      </c>
      <c r="X1125" t="s">
        <v>42674</v>
      </c>
    </row>
    <row r="1126" spans="1:24">
      <c r="A1126">
        <f>HYPERLINK("https://www.philgeps.gov.ph/GEPSNONPILOT/Tender/SplashBidNoticeAbstractUI.aspx?menuIndex=3&amp;refID=7193221&amp;Result=3","7193221")</f>
        <v>0</v>
      </c>
      <c r="B1126" t="s">
        <v>394</v>
      </c>
      <c r="C1126" t="s">
        <v>4607</v>
      </c>
      <c r="D1126" t="s">
        <v>17170</v>
      </c>
      <c r="E1126" t="s">
        <v>18260</v>
      </c>
      <c r="F1126" t="s">
        <v>29372</v>
      </c>
      <c r="G1126" t="s">
        <v>29380</v>
      </c>
      <c r="H1126" t="s">
        <v>11048</v>
      </c>
      <c r="I1126" t="s">
        <v>29425</v>
      </c>
      <c r="J1126" t="s">
        <v>30378</v>
      </c>
      <c r="K1126" t="s">
        <v>38496</v>
      </c>
      <c r="M1126" t="s">
        <v>39157</v>
      </c>
      <c r="N1126" t="s">
        <v>42669</v>
      </c>
      <c r="O1126" t="s">
        <v>42670</v>
      </c>
      <c r="P1126">
        <v>0</v>
      </c>
      <c r="Q1126">
        <v>4</v>
      </c>
      <c r="R1126" t="s">
        <v>42673</v>
      </c>
      <c r="S1126" t="s">
        <v>42784</v>
      </c>
      <c r="T1126" t="s">
        <v>44395</v>
      </c>
      <c r="U1126" t="s">
        <v>45750</v>
      </c>
      <c r="W1126" t="s">
        <v>39157</v>
      </c>
      <c r="X1126" t="s">
        <v>42674</v>
      </c>
    </row>
    <row r="1127" spans="1:24">
      <c r="A1127">
        <f>HYPERLINK("https://www.philgeps.gov.ph/GEPSNONPILOT/Tender/SplashBidNoticeAbstractUI.aspx?menuIndex=3&amp;refID=7193211&amp;Result=3","7193211")</f>
        <v>0</v>
      </c>
      <c r="B1127" t="s">
        <v>438</v>
      </c>
      <c r="C1127" t="s">
        <v>4608</v>
      </c>
      <c r="E1127" t="s">
        <v>18032</v>
      </c>
      <c r="F1127" t="s">
        <v>29372</v>
      </c>
      <c r="G1127" t="s">
        <v>29380</v>
      </c>
      <c r="H1127" t="s">
        <v>11048</v>
      </c>
      <c r="I1127" t="s">
        <v>4709</v>
      </c>
      <c r="J1127" t="s">
        <v>30379</v>
      </c>
      <c r="K1127" t="s">
        <v>38488</v>
      </c>
      <c r="M1127" t="s">
        <v>39202</v>
      </c>
      <c r="N1127" t="s">
        <v>42669</v>
      </c>
      <c r="O1127" t="s">
        <v>42670</v>
      </c>
      <c r="P1127">
        <v>0</v>
      </c>
      <c r="Q1127">
        <v>0</v>
      </c>
      <c r="R1127" t="s">
        <v>42673</v>
      </c>
      <c r="S1127" t="s">
        <v>42784</v>
      </c>
      <c r="T1127" t="s">
        <v>44354</v>
      </c>
      <c r="U1127" t="s">
        <v>45832</v>
      </c>
      <c r="W1127" t="s">
        <v>39202</v>
      </c>
      <c r="X1127" t="s">
        <v>42674</v>
      </c>
    </row>
    <row r="1128" spans="1:24">
      <c r="A1128">
        <f>HYPERLINK("https://www.philgeps.gov.ph/GEPSNONPILOT/Tender/SplashBidNoticeAbstractUI.aspx?menuIndex=3&amp;refID=7193201&amp;Result=3","7193201")</f>
        <v>0</v>
      </c>
      <c r="B1128" t="s">
        <v>394</v>
      </c>
      <c r="C1128" t="s">
        <v>4609</v>
      </c>
      <c r="D1128" t="s">
        <v>17170</v>
      </c>
      <c r="E1128" t="s">
        <v>18261</v>
      </c>
      <c r="F1128" t="s">
        <v>29372</v>
      </c>
      <c r="G1128" t="s">
        <v>29380</v>
      </c>
      <c r="H1128" t="s">
        <v>11048</v>
      </c>
      <c r="I1128" t="s">
        <v>3952</v>
      </c>
      <c r="J1128" t="s">
        <v>30380</v>
      </c>
      <c r="K1128" t="s">
        <v>38496</v>
      </c>
      <c r="M1128" t="s">
        <v>39157</v>
      </c>
      <c r="N1128" t="s">
        <v>42669</v>
      </c>
      <c r="O1128" t="s">
        <v>42670</v>
      </c>
      <c r="P1128">
        <v>0</v>
      </c>
      <c r="Q1128">
        <v>1</v>
      </c>
      <c r="R1128" t="s">
        <v>42673</v>
      </c>
      <c r="S1128" t="s">
        <v>42784</v>
      </c>
      <c r="T1128" t="s">
        <v>44395</v>
      </c>
      <c r="U1128" t="s">
        <v>45750</v>
      </c>
      <c r="W1128" t="s">
        <v>39157</v>
      </c>
      <c r="X1128" t="s">
        <v>42674</v>
      </c>
    </row>
    <row r="1129" spans="1:24">
      <c r="A1129">
        <f>HYPERLINK("https://www.philgeps.gov.ph/GEPSNONPILOT/Tender/SplashBidNoticeAbstractUI.aspx?menuIndex=3&amp;refID=7193162&amp;Result=3","7193162")</f>
        <v>0</v>
      </c>
      <c r="B1129" t="s">
        <v>422</v>
      </c>
      <c r="C1129" t="s">
        <v>4610</v>
      </c>
      <c r="E1129" t="s">
        <v>18262</v>
      </c>
      <c r="F1129" t="s">
        <v>29372</v>
      </c>
      <c r="G1129" t="s">
        <v>29380</v>
      </c>
      <c r="H1129" t="s">
        <v>11048</v>
      </c>
      <c r="I1129" t="s">
        <v>29437</v>
      </c>
      <c r="J1129" t="s">
        <v>30381</v>
      </c>
      <c r="K1129" t="s">
        <v>38490</v>
      </c>
      <c r="M1129" t="s">
        <v>39186</v>
      </c>
      <c r="N1129" t="s">
        <v>42669</v>
      </c>
      <c r="O1129" t="s">
        <v>42670</v>
      </c>
      <c r="P1129">
        <v>0</v>
      </c>
      <c r="Q1129">
        <v>1</v>
      </c>
      <c r="R1129" t="s">
        <v>42673</v>
      </c>
      <c r="S1129" t="s">
        <v>42784</v>
      </c>
      <c r="T1129" t="s">
        <v>44379</v>
      </c>
      <c r="U1129" t="s">
        <v>45833</v>
      </c>
      <c r="W1129" t="s">
        <v>39186</v>
      </c>
      <c r="X1129" t="s">
        <v>42674</v>
      </c>
    </row>
    <row r="1130" spans="1:24">
      <c r="A1130">
        <f>HYPERLINK("https://www.philgeps.gov.ph/GEPSNONPILOT/Tender/SplashBidNoticeAbstractUI.aspx?menuIndex=3&amp;refID=7193181&amp;Result=3","7193181")</f>
        <v>0</v>
      </c>
      <c r="B1130" t="s">
        <v>421</v>
      </c>
      <c r="C1130" t="s">
        <v>4611</v>
      </c>
      <c r="D1130" t="s">
        <v>17216</v>
      </c>
      <c r="E1130" t="s">
        <v>18263</v>
      </c>
      <c r="F1130" t="s">
        <v>29372</v>
      </c>
      <c r="G1130" t="s">
        <v>29379</v>
      </c>
      <c r="H1130" t="s">
        <v>11048</v>
      </c>
      <c r="I1130" t="s">
        <v>8208</v>
      </c>
      <c r="J1130" t="s">
        <v>30382</v>
      </c>
      <c r="K1130" t="s">
        <v>38488</v>
      </c>
      <c r="M1130" t="s">
        <v>39185</v>
      </c>
      <c r="N1130" t="s">
        <v>42669</v>
      </c>
      <c r="O1130" t="s">
        <v>42670</v>
      </c>
      <c r="P1130">
        <v>0</v>
      </c>
      <c r="Q1130">
        <v>0</v>
      </c>
      <c r="R1130" t="s">
        <v>42673</v>
      </c>
      <c r="S1130" t="s">
        <v>42784</v>
      </c>
      <c r="T1130" t="s">
        <v>44451</v>
      </c>
      <c r="U1130" t="s">
        <v>45794</v>
      </c>
      <c r="W1130" t="s">
        <v>39185</v>
      </c>
      <c r="X1130" t="s">
        <v>42674</v>
      </c>
    </row>
    <row r="1131" spans="1:24">
      <c r="A1131">
        <f>HYPERLINK("https://www.philgeps.gov.ph/GEPSNONPILOT/Tender/SplashBidNoticeAbstractUI.aspx?menuIndex=3&amp;refID=7193033&amp;Result=3","7193033")</f>
        <v>0</v>
      </c>
      <c r="B1131" t="s">
        <v>442</v>
      </c>
      <c r="C1131" t="s">
        <v>4612</v>
      </c>
      <c r="D1131" t="s">
        <v>17170</v>
      </c>
      <c r="E1131" t="s">
        <v>18264</v>
      </c>
      <c r="F1131" t="s">
        <v>29372</v>
      </c>
      <c r="G1131" t="s">
        <v>29379</v>
      </c>
      <c r="H1131" t="s">
        <v>29389</v>
      </c>
      <c r="I1131" t="s">
        <v>10408</v>
      </c>
      <c r="J1131" t="s">
        <v>29590</v>
      </c>
      <c r="K1131" t="s">
        <v>38495</v>
      </c>
      <c r="M1131" t="s">
        <v>39206</v>
      </c>
      <c r="N1131" t="s">
        <v>42669</v>
      </c>
      <c r="O1131" t="s">
        <v>42670</v>
      </c>
      <c r="P1131">
        <v>0</v>
      </c>
      <c r="Q1131">
        <v>3</v>
      </c>
      <c r="R1131" t="s">
        <v>42673</v>
      </c>
      <c r="S1131" t="s">
        <v>42784</v>
      </c>
      <c r="T1131" t="s">
        <v>44491</v>
      </c>
      <c r="U1131" t="s">
        <v>45834</v>
      </c>
      <c r="W1131" t="s">
        <v>39206</v>
      </c>
      <c r="X1131" t="s">
        <v>42676</v>
      </c>
    </row>
    <row r="1132" spans="1:24">
      <c r="A1132">
        <f>HYPERLINK("https://www.philgeps.gov.ph/GEPSNONPILOT/Tender/SplashBidNoticeAbstractUI.aspx?menuIndex=3&amp;refID=7192934&amp;Result=3","7192934")</f>
        <v>0</v>
      </c>
      <c r="B1132" t="s">
        <v>443</v>
      </c>
      <c r="C1132" t="s">
        <v>4613</v>
      </c>
      <c r="D1132" t="s">
        <v>17161</v>
      </c>
      <c r="E1132" t="s">
        <v>18265</v>
      </c>
      <c r="F1132" t="s">
        <v>29372</v>
      </c>
      <c r="G1132" t="s">
        <v>29379</v>
      </c>
      <c r="H1132" t="s">
        <v>29390</v>
      </c>
      <c r="I1132" t="s">
        <v>29396</v>
      </c>
      <c r="J1132" t="s">
        <v>30383</v>
      </c>
      <c r="K1132" t="s">
        <v>38567</v>
      </c>
      <c r="M1132" t="s">
        <v>39207</v>
      </c>
      <c r="N1132" t="s">
        <v>42669</v>
      </c>
      <c r="O1132" t="s">
        <v>42670</v>
      </c>
      <c r="P1132">
        <v>0</v>
      </c>
      <c r="Q1132">
        <v>0</v>
      </c>
      <c r="R1132" t="s">
        <v>42673</v>
      </c>
      <c r="S1132" t="s">
        <v>42784</v>
      </c>
      <c r="T1132" t="s">
        <v>44417</v>
      </c>
      <c r="U1132" t="s">
        <v>45835</v>
      </c>
      <c r="W1132" t="s">
        <v>40136</v>
      </c>
      <c r="X1132" t="s">
        <v>42676</v>
      </c>
    </row>
    <row r="1133" spans="1:24">
      <c r="A1133">
        <f>HYPERLINK("https://www.philgeps.gov.ph/GEPSNONPILOT/Tender/SplashBidNoticeAbstractUI.aspx?menuIndex=3&amp;refID=7193166&amp;Result=3","7193166")</f>
        <v>0</v>
      </c>
      <c r="B1133" t="s">
        <v>421</v>
      </c>
      <c r="C1133" t="s">
        <v>4585</v>
      </c>
      <c r="D1133" t="s">
        <v>17181</v>
      </c>
      <c r="E1133" t="s">
        <v>18266</v>
      </c>
      <c r="F1133" t="s">
        <v>29372</v>
      </c>
      <c r="G1133" t="s">
        <v>29379</v>
      </c>
      <c r="H1133" t="s">
        <v>11048</v>
      </c>
      <c r="I1133" t="s">
        <v>8208</v>
      </c>
      <c r="J1133" t="s">
        <v>30343</v>
      </c>
      <c r="K1133" t="s">
        <v>38488</v>
      </c>
      <c r="M1133" t="s">
        <v>39185</v>
      </c>
      <c r="N1133" t="s">
        <v>42669</v>
      </c>
      <c r="O1133" t="s">
        <v>42670</v>
      </c>
      <c r="P1133">
        <v>0</v>
      </c>
      <c r="Q1133">
        <v>0</v>
      </c>
      <c r="R1133" t="s">
        <v>42673</v>
      </c>
      <c r="S1133" t="s">
        <v>42784</v>
      </c>
      <c r="T1133" t="s">
        <v>44451</v>
      </c>
      <c r="U1133" t="s">
        <v>45836</v>
      </c>
      <c r="W1133" t="s">
        <v>39185</v>
      </c>
      <c r="X1133" t="s">
        <v>42674</v>
      </c>
    </row>
    <row r="1134" spans="1:24">
      <c r="A1134">
        <f>HYPERLINK("https://www.philgeps.gov.ph/GEPSNONPILOT/Tender/SplashBidNoticeAbstractUI.aspx?menuIndex=3&amp;refID=7193250&amp;Result=3","7193250")</f>
        <v>0</v>
      </c>
      <c r="B1134" t="s">
        <v>444</v>
      </c>
      <c r="C1134" t="s">
        <v>4614</v>
      </c>
      <c r="D1134" t="s">
        <v>17199</v>
      </c>
      <c r="E1134" t="s">
        <v>18267</v>
      </c>
      <c r="F1134" t="s">
        <v>29372</v>
      </c>
      <c r="G1134" t="s">
        <v>29383</v>
      </c>
      <c r="H1134" t="s">
        <v>11048</v>
      </c>
      <c r="I1134" t="s">
        <v>8614</v>
      </c>
      <c r="J1134" t="s">
        <v>29571</v>
      </c>
      <c r="K1134" t="s">
        <v>38485</v>
      </c>
      <c r="M1134" t="s">
        <v>39208</v>
      </c>
      <c r="N1134" t="s">
        <v>42669</v>
      </c>
      <c r="O1134" t="s">
        <v>42670</v>
      </c>
      <c r="P1134">
        <v>0</v>
      </c>
      <c r="Q1134">
        <v>3</v>
      </c>
      <c r="R1134" t="s">
        <v>42673</v>
      </c>
      <c r="S1134" t="s">
        <v>42784</v>
      </c>
      <c r="T1134" t="s">
        <v>44382</v>
      </c>
      <c r="U1134" t="s">
        <v>45837</v>
      </c>
      <c r="W1134" t="s">
        <v>39208</v>
      </c>
      <c r="X1134" t="s">
        <v>42674</v>
      </c>
    </row>
    <row r="1135" spans="1:24">
      <c r="A1135">
        <f>HYPERLINK("https://www.philgeps.gov.ph/GEPSNONPILOT/Tender/SplashBidNoticeAbstractUI.aspx?menuIndex=3&amp;refID=7193248&amp;Result=3","7193248")</f>
        <v>0</v>
      </c>
      <c r="B1135" t="s">
        <v>445</v>
      </c>
      <c r="C1135" t="s">
        <v>4615</v>
      </c>
      <c r="D1135" t="s">
        <v>17194</v>
      </c>
      <c r="E1135" t="s">
        <v>18268</v>
      </c>
      <c r="F1135" t="s">
        <v>29373</v>
      </c>
      <c r="G1135" t="s">
        <v>29379</v>
      </c>
      <c r="H1135" t="s">
        <v>11048</v>
      </c>
      <c r="I1135" t="s">
        <v>29403</v>
      </c>
      <c r="J1135" t="s">
        <v>30384</v>
      </c>
      <c r="K1135" t="s">
        <v>38491</v>
      </c>
      <c r="M1135" t="s">
        <v>39209</v>
      </c>
      <c r="N1135" t="s">
        <v>42669</v>
      </c>
      <c r="O1135" t="s">
        <v>42670</v>
      </c>
      <c r="P1135">
        <v>0</v>
      </c>
      <c r="Q1135">
        <v>0</v>
      </c>
      <c r="R1135" t="s">
        <v>42673</v>
      </c>
      <c r="S1135" t="s">
        <v>42784</v>
      </c>
      <c r="T1135" t="s">
        <v>44437</v>
      </c>
      <c r="U1135" t="s">
        <v>45838</v>
      </c>
      <c r="V1135" t="s">
        <v>56470</v>
      </c>
      <c r="W1135" t="s">
        <v>58015</v>
      </c>
      <c r="X1135" t="s">
        <v>42674</v>
      </c>
    </row>
    <row r="1136" spans="1:24">
      <c r="A1136">
        <f>HYPERLINK("https://www.philgeps.gov.ph/GEPSNONPILOT/Tender/SplashBidNoticeAbstractUI.aspx?menuIndex=3&amp;refID=7193164&amp;Result=3","7193164")</f>
        <v>0</v>
      </c>
      <c r="B1136" t="s">
        <v>422</v>
      </c>
      <c r="C1136" t="s">
        <v>4616</v>
      </c>
      <c r="E1136" t="s">
        <v>18269</v>
      </c>
      <c r="F1136" t="s">
        <v>29372</v>
      </c>
      <c r="G1136" t="s">
        <v>29380</v>
      </c>
      <c r="H1136" t="s">
        <v>11048</v>
      </c>
      <c r="I1136" t="s">
        <v>29437</v>
      </c>
      <c r="J1136" t="s">
        <v>29619</v>
      </c>
      <c r="K1136" t="s">
        <v>38490</v>
      </c>
      <c r="M1136" t="s">
        <v>39186</v>
      </c>
      <c r="N1136" t="s">
        <v>42669</v>
      </c>
      <c r="O1136" t="s">
        <v>42670</v>
      </c>
      <c r="P1136">
        <v>0</v>
      </c>
      <c r="Q1136">
        <v>1</v>
      </c>
      <c r="R1136" t="s">
        <v>42673</v>
      </c>
      <c r="S1136" t="s">
        <v>42784</v>
      </c>
      <c r="T1136" t="s">
        <v>44379</v>
      </c>
      <c r="U1136" t="s">
        <v>45839</v>
      </c>
      <c r="W1136" t="s">
        <v>39186</v>
      </c>
      <c r="X1136" t="s">
        <v>42674</v>
      </c>
    </row>
    <row r="1137" spans="1:24">
      <c r="A1137">
        <f>HYPERLINK("https://www.philgeps.gov.ph/GEPSNONPILOT/Tender/SplashBidNoticeAbstractUI.aspx?menuIndex=3&amp;refID=7193246&amp;Result=3","7193246")</f>
        <v>0</v>
      </c>
      <c r="B1137" t="s">
        <v>446</v>
      </c>
      <c r="C1137" t="s">
        <v>4617</v>
      </c>
      <c r="D1137" t="s">
        <v>17189</v>
      </c>
      <c r="E1137" t="s">
        <v>18270</v>
      </c>
      <c r="F1137" t="s">
        <v>29373</v>
      </c>
      <c r="G1137" t="s">
        <v>29383</v>
      </c>
      <c r="H1137" t="s">
        <v>11048</v>
      </c>
      <c r="I1137" t="s">
        <v>29412</v>
      </c>
      <c r="J1137" t="s">
        <v>30385</v>
      </c>
      <c r="K1137" t="s">
        <v>38490</v>
      </c>
      <c r="M1137" t="s">
        <v>39210</v>
      </c>
      <c r="N1137" t="s">
        <v>42669</v>
      </c>
      <c r="O1137" t="s">
        <v>42670</v>
      </c>
      <c r="P1137">
        <v>0</v>
      </c>
      <c r="Q1137">
        <v>2</v>
      </c>
      <c r="R1137" t="s">
        <v>42673</v>
      </c>
      <c r="S1137" t="s">
        <v>42784</v>
      </c>
      <c r="T1137" t="s">
        <v>44429</v>
      </c>
      <c r="U1137" t="s">
        <v>45840</v>
      </c>
      <c r="W1137" t="s">
        <v>39210</v>
      </c>
      <c r="X1137" t="s">
        <v>42674</v>
      </c>
    </row>
    <row r="1138" spans="1:24">
      <c r="A1138">
        <f>HYPERLINK("https://www.philgeps.gov.ph/GEPSNONPILOT/Tender/SplashBidNoticeAbstractUI.aspx?menuIndex=3&amp;refID=7193163&amp;Result=3","7193163")</f>
        <v>0</v>
      </c>
      <c r="B1138" t="s">
        <v>233</v>
      </c>
      <c r="C1138" t="s">
        <v>4618</v>
      </c>
      <c r="D1138" t="s">
        <v>17203</v>
      </c>
      <c r="E1138" t="s">
        <v>18271</v>
      </c>
      <c r="F1138" t="s">
        <v>29372</v>
      </c>
      <c r="G1138" t="s">
        <v>29380</v>
      </c>
      <c r="H1138" t="s">
        <v>29389</v>
      </c>
      <c r="I1138" t="s">
        <v>10408</v>
      </c>
      <c r="J1138" t="s">
        <v>29988</v>
      </c>
      <c r="K1138" t="s">
        <v>38568</v>
      </c>
      <c r="M1138" t="s">
        <v>38992</v>
      </c>
      <c r="N1138" t="s">
        <v>42669</v>
      </c>
      <c r="O1138" t="s">
        <v>42670</v>
      </c>
      <c r="P1138">
        <v>0</v>
      </c>
      <c r="Q1138">
        <v>0</v>
      </c>
      <c r="R1138" t="s">
        <v>42673</v>
      </c>
      <c r="S1138" t="s">
        <v>42784</v>
      </c>
      <c r="T1138" t="s">
        <v>44373</v>
      </c>
      <c r="U1138" t="s">
        <v>45841</v>
      </c>
      <c r="W1138" t="s">
        <v>38992</v>
      </c>
      <c r="X1138" t="s">
        <v>42674</v>
      </c>
    </row>
    <row r="1139" spans="1:24">
      <c r="A1139">
        <f>HYPERLINK("https://www.philgeps.gov.ph/GEPSNONPILOT/Tender/SplashBidNoticeAbstractUI.aspx?menuIndex=3&amp;refID=7193243&amp;Result=3","7193243")</f>
        <v>0</v>
      </c>
      <c r="B1139" t="s">
        <v>444</v>
      </c>
      <c r="C1139" t="s">
        <v>4619</v>
      </c>
      <c r="D1139" t="s">
        <v>17199</v>
      </c>
      <c r="E1139" t="s">
        <v>18272</v>
      </c>
      <c r="F1139" t="s">
        <v>29372</v>
      </c>
      <c r="G1139" t="s">
        <v>29383</v>
      </c>
      <c r="H1139" t="s">
        <v>11048</v>
      </c>
      <c r="I1139" t="s">
        <v>29415</v>
      </c>
      <c r="J1139" t="s">
        <v>30386</v>
      </c>
      <c r="K1139" t="s">
        <v>38487</v>
      </c>
      <c r="M1139" t="s">
        <v>39208</v>
      </c>
      <c r="N1139" t="s">
        <v>42669</v>
      </c>
      <c r="O1139" t="s">
        <v>42670</v>
      </c>
      <c r="P1139">
        <v>0</v>
      </c>
      <c r="Q1139">
        <v>1</v>
      </c>
      <c r="R1139" t="s">
        <v>42673</v>
      </c>
      <c r="S1139" t="s">
        <v>42784</v>
      </c>
      <c r="T1139" t="s">
        <v>44382</v>
      </c>
      <c r="U1139" t="s">
        <v>45837</v>
      </c>
      <c r="W1139" t="s">
        <v>39208</v>
      </c>
      <c r="X1139" t="s">
        <v>42674</v>
      </c>
    </row>
    <row r="1140" spans="1:24">
      <c r="A1140">
        <f>HYPERLINK("https://www.philgeps.gov.ph/GEPSNONPILOT/Tender/SplashBidNoticeAbstractUI.aspx?menuIndex=3&amp;refID=7193241&amp;Result=3","7193241")</f>
        <v>0</v>
      </c>
      <c r="B1140" t="s">
        <v>445</v>
      </c>
      <c r="C1140" t="s">
        <v>4620</v>
      </c>
      <c r="D1140" t="s">
        <v>17194</v>
      </c>
      <c r="E1140" t="s">
        <v>18273</v>
      </c>
      <c r="F1140" t="s">
        <v>29373</v>
      </c>
      <c r="G1140" t="s">
        <v>29379</v>
      </c>
      <c r="H1140" t="s">
        <v>11048</v>
      </c>
      <c r="I1140" t="s">
        <v>29426</v>
      </c>
      <c r="J1140" t="s">
        <v>29799</v>
      </c>
      <c r="K1140" t="s">
        <v>38491</v>
      </c>
      <c r="M1140" t="s">
        <v>39209</v>
      </c>
      <c r="N1140" t="s">
        <v>42669</v>
      </c>
      <c r="O1140" t="s">
        <v>42670</v>
      </c>
      <c r="P1140">
        <v>0</v>
      </c>
      <c r="Q1140">
        <v>0</v>
      </c>
      <c r="R1140" t="s">
        <v>42673</v>
      </c>
      <c r="S1140" t="s">
        <v>42784</v>
      </c>
      <c r="T1140" t="s">
        <v>44437</v>
      </c>
      <c r="U1140" t="s">
        <v>45838</v>
      </c>
      <c r="V1140" t="s">
        <v>56470</v>
      </c>
      <c r="W1140" t="s">
        <v>58015</v>
      </c>
      <c r="X1140" t="s">
        <v>42674</v>
      </c>
    </row>
    <row r="1141" spans="1:24">
      <c r="A1141">
        <f>HYPERLINK("https://www.philgeps.gov.ph/GEPSNONPILOT/Tender/SplashBidNoticeAbstractUI.aspx?menuIndex=3&amp;refID=7193240&amp;Result=3","7193240")</f>
        <v>0</v>
      </c>
      <c r="B1141" t="s">
        <v>394</v>
      </c>
      <c r="C1141" t="s">
        <v>4621</v>
      </c>
      <c r="D1141" t="s">
        <v>17170</v>
      </c>
      <c r="E1141" t="s">
        <v>18274</v>
      </c>
      <c r="F1141" t="s">
        <v>29372</v>
      </c>
      <c r="G1141" t="s">
        <v>29380</v>
      </c>
      <c r="H1141" t="s">
        <v>11048</v>
      </c>
      <c r="I1141" t="s">
        <v>29425</v>
      </c>
      <c r="J1141" t="s">
        <v>30032</v>
      </c>
      <c r="K1141" t="s">
        <v>38496</v>
      </c>
      <c r="M1141" t="s">
        <v>39157</v>
      </c>
      <c r="N1141" t="s">
        <v>42669</v>
      </c>
      <c r="O1141" t="s">
        <v>42670</v>
      </c>
      <c r="P1141">
        <v>0</v>
      </c>
      <c r="Q1141">
        <v>2</v>
      </c>
      <c r="R1141" t="s">
        <v>42673</v>
      </c>
      <c r="S1141" t="s">
        <v>42784</v>
      </c>
      <c r="T1141" t="s">
        <v>44395</v>
      </c>
      <c r="U1141" t="s">
        <v>45842</v>
      </c>
      <c r="W1141" t="s">
        <v>39157</v>
      </c>
      <c r="X1141" t="s">
        <v>42674</v>
      </c>
    </row>
    <row r="1142" spans="1:24">
      <c r="A1142">
        <f>HYPERLINK("https://www.philgeps.gov.ph/GEPSNONPILOT/Tender/SplashBidNoticeAbstractUI.aspx?menuIndex=3&amp;refID=7193247&amp;Result=3","7193247")</f>
        <v>0</v>
      </c>
      <c r="B1142" t="s">
        <v>447</v>
      </c>
      <c r="C1142" t="s">
        <v>4622</v>
      </c>
      <c r="D1142" t="s">
        <v>17204</v>
      </c>
      <c r="E1142" t="s">
        <v>18275</v>
      </c>
      <c r="F1142" t="s">
        <v>29372</v>
      </c>
      <c r="G1142" t="s">
        <v>29381</v>
      </c>
      <c r="H1142" t="s">
        <v>11048</v>
      </c>
      <c r="I1142" t="s">
        <v>4709</v>
      </c>
      <c r="J1142" t="s">
        <v>29929</v>
      </c>
      <c r="K1142" t="s">
        <v>38490</v>
      </c>
      <c r="M1142" t="s">
        <v>39211</v>
      </c>
      <c r="N1142" t="s">
        <v>42669</v>
      </c>
      <c r="O1142" t="s">
        <v>42670</v>
      </c>
      <c r="P1142">
        <v>0</v>
      </c>
      <c r="Q1142">
        <v>0</v>
      </c>
      <c r="R1142" t="s">
        <v>42673</v>
      </c>
      <c r="S1142" t="s">
        <v>42784</v>
      </c>
      <c r="T1142" t="s">
        <v>44512</v>
      </c>
      <c r="U1142" t="s">
        <v>45843</v>
      </c>
      <c r="W1142" t="s">
        <v>39211</v>
      </c>
      <c r="X1142" t="s">
        <v>42674</v>
      </c>
    </row>
    <row r="1143" spans="1:24">
      <c r="A1143">
        <f>HYPERLINK("https://www.philgeps.gov.ph/GEPSNONPILOT/Tender/SplashBidNoticeAbstractUI.aspx?menuIndex=3&amp;refID=7193238&amp;Result=3","7193238")</f>
        <v>0</v>
      </c>
      <c r="B1143" t="s">
        <v>431</v>
      </c>
      <c r="C1143" t="s">
        <v>4623</v>
      </c>
      <c r="D1143" t="s">
        <v>17141</v>
      </c>
      <c r="E1143" t="s">
        <v>18035</v>
      </c>
      <c r="F1143" t="s">
        <v>29375</v>
      </c>
      <c r="G1143" t="s">
        <v>29380</v>
      </c>
      <c r="H1143" t="s">
        <v>11048</v>
      </c>
      <c r="I1143" t="s">
        <v>29400</v>
      </c>
      <c r="J1143" t="s">
        <v>29555</v>
      </c>
      <c r="K1143" t="s">
        <v>38491</v>
      </c>
      <c r="M1143" t="s">
        <v>39195</v>
      </c>
      <c r="N1143" t="s">
        <v>42669</v>
      </c>
      <c r="O1143" t="s">
        <v>42670</v>
      </c>
      <c r="P1143">
        <v>0</v>
      </c>
      <c r="Q1143">
        <v>1</v>
      </c>
      <c r="R1143" t="s">
        <v>42673</v>
      </c>
      <c r="S1143" t="s">
        <v>42784</v>
      </c>
      <c r="T1143" t="s">
        <v>44507</v>
      </c>
      <c r="U1143" t="s">
        <v>45844</v>
      </c>
      <c r="W1143" t="s">
        <v>39195</v>
      </c>
      <c r="X1143" t="s">
        <v>42674</v>
      </c>
    </row>
    <row r="1144" spans="1:24">
      <c r="A1144">
        <f>HYPERLINK("https://www.philgeps.gov.ph/GEPSNONPILOT/Tender/SplashBidNoticeAbstractUI.aspx?menuIndex=3&amp;refID=7193237&amp;Result=3","7193237")</f>
        <v>0</v>
      </c>
      <c r="B1144" t="s">
        <v>421</v>
      </c>
      <c r="C1144" t="s">
        <v>4624</v>
      </c>
      <c r="D1144" t="s">
        <v>17213</v>
      </c>
      <c r="E1144" t="s">
        <v>18276</v>
      </c>
      <c r="F1144" t="s">
        <v>29372</v>
      </c>
      <c r="G1144" t="s">
        <v>29379</v>
      </c>
      <c r="H1144" t="s">
        <v>11048</v>
      </c>
      <c r="I1144" t="s">
        <v>8208</v>
      </c>
      <c r="J1144" t="s">
        <v>30382</v>
      </c>
      <c r="K1144" t="s">
        <v>38488</v>
      </c>
      <c r="M1144" t="s">
        <v>39185</v>
      </c>
      <c r="N1144" t="s">
        <v>42669</v>
      </c>
      <c r="O1144" t="s">
        <v>42670</v>
      </c>
      <c r="P1144">
        <v>0</v>
      </c>
      <c r="Q1144">
        <v>0</v>
      </c>
      <c r="R1144" t="s">
        <v>42673</v>
      </c>
      <c r="S1144" t="s">
        <v>42784</v>
      </c>
      <c r="T1144" t="s">
        <v>44451</v>
      </c>
      <c r="U1144" t="s">
        <v>45794</v>
      </c>
      <c r="W1144" t="s">
        <v>39185</v>
      </c>
      <c r="X1144" t="s">
        <v>42674</v>
      </c>
    </row>
    <row r="1145" spans="1:24">
      <c r="A1145">
        <f>HYPERLINK("https://www.philgeps.gov.ph/GEPSNONPILOT/Tender/SplashBidNoticeAbstractUI.aspx?menuIndex=3&amp;refID=7193150&amp;Result=3","7193150")</f>
        <v>0</v>
      </c>
      <c r="B1145" t="s">
        <v>422</v>
      </c>
      <c r="C1145" t="s">
        <v>4356</v>
      </c>
      <c r="E1145" t="s">
        <v>18277</v>
      </c>
      <c r="F1145" t="s">
        <v>29372</v>
      </c>
      <c r="G1145" t="s">
        <v>29380</v>
      </c>
      <c r="H1145" t="s">
        <v>11048</v>
      </c>
      <c r="I1145" t="s">
        <v>29407</v>
      </c>
      <c r="J1145" t="s">
        <v>30387</v>
      </c>
      <c r="K1145" t="s">
        <v>38490</v>
      </c>
      <c r="M1145" t="s">
        <v>39186</v>
      </c>
      <c r="N1145" t="s">
        <v>42669</v>
      </c>
      <c r="O1145" t="s">
        <v>42670</v>
      </c>
      <c r="P1145">
        <v>0</v>
      </c>
      <c r="Q1145">
        <v>20</v>
      </c>
      <c r="R1145" t="s">
        <v>42673</v>
      </c>
      <c r="S1145" t="s">
        <v>42784</v>
      </c>
      <c r="T1145" t="s">
        <v>44379</v>
      </c>
      <c r="U1145" t="s">
        <v>45845</v>
      </c>
      <c r="W1145" t="s">
        <v>39186</v>
      </c>
      <c r="X1145" t="s">
        <v>42674</v>
      </c>
    </row>
    <row r="1146" spans="1:24">
      <c r="A1146">
        <f>HYPERLINK("https://www.philgeps.gov.ph/GEPSNONPILOT/Tender/SplashBidNoticeAbstractUI.aspx?menuIndex=3&amp;refID=7193249&amp;Result=3","7193249")</f>
        <v>0</v>
      </c>
      <c r="B1146" t="s">
        <v>394</v>
      </c>
      <c r="C1146" t="s">
        <v>4625</v>
      </c>
      <c r="D1146" t="s">
        <v>17170</v>
      </c>
      <c r="E1146" t="s">
        <v>18278</v>
      </c>
      <c r="F1146" t="s">
        <v>29372</v>
      </c>
      <c r="G1146" t="s">
        <v>29380</v>
      </c>
      <c r="H1146" t="s">
        <v>11048</v>
      </c>
      <c r="I1146" t="s">
        <v>3952</v>
      </c>
      <c r="J1146" t="s">
        <v>30223</v>
      </c>
      <c r="K1146" t="s">
        <v>38496</v>
      </c>
      <c r="M1146" t="s">
        <v>39157</v>
      </c>
      <c r="N1146" t="s">
        <v>42669</v>
      </c>
      <c r="O1146" t="s">
        <v>42670</v>
      </c>
      <c r="P1146">
        <v>0</v>
      </c>
      <c r="Q1146">
        <v>6</v>
      </c>
      <c r="R1146" t="s">
        <v>42673</v>
      </c>
      <c r="S1146" t="s">
        <v>42784</v>
      </c>
      <c r="T1146" t="s">
        <v>44395</v>
      </c>
      <c r="U1146" t="s">
        <v>45846</v>
      </c>
      <c r="W1146" t="s">
        <v>39157</v>
      </c>
      <c r="X1146" t="s">
        <v>42674</v>
      </c>
    </row>
    <row r="1147" spans="1:24">
      <c r="A1147">
        <f>HYPERLINK("https://www.philgeps.gov.ph/GEPSNONPILOT/Tender/SplashBidNoticeAbstractUI.aspx?menuIndex=3&amp;refID=7193239&amp;Result=3","7193239")</f>
        <v>0</v>
      </c>
      <c r="B1147" t="s">
        <v>444</v>
      </c>
      <c r="C1147" t="s">
        <v>4626</v>
      </c>
      <c r="D1147" t="s">
        <v>17199</v>
      </c>
      <c r="E1147" t="s">
        <v>18279</v>
      </c>
      <c r="F1147" t="s">
        <v>29372</v>
      </c>
      <c r="G1147" t="s">
        <v>29383</v>
      </c>
      <c r="H1147" t="s">
        <v>11048</v>
      </c>
      <c r="I1147" t="s">
        <v>29398</v>
      </c>
      <c r="J1147" t="s">
        <v>29929</v>
      </c>
      <c r="K1147" t="s">
        <v>38487</v>
      </c>
      <c r="M1147" t="s">
        <v>39208</v>
      </c>
      <c r="N1147" t="s">
        <v>42669</v>
      </c>
      <c r="O1147" t="s">
        <v>42670</v>
      </c>
      <c r="P1147">
        <v>0</v>
      </c>
      <c r="Q1147">
        <v>2</v>
      </c>
      <c r="R1147" t="s">
        <v>42673</v>
      </c>
      <c r="S1147" t="s">
        <v>42784</v>
      </c>
      <c r="T1147" t="s">
        <v>44382</v>
      </c>
      <c r="U1147" t="s">
        <v>45837</v>
      </c>
      <c r="W1147" t="s">
        <v>39208</v>
      </c>
      <c r="X1147" t="s">
        <v>42674</v>
      </c>
    </row>
    <row r="1148" spans="1:24">
      <c r="A1148">
        <f>HYPERLINK("https://www.philgeps.gov.ph/GEPSNONPILOT/Tender/SplashBidNoticeAbstractUI.aspx?menuIndex=3&amp;refID=7193233&amp;Result=3","7193233")</f>
        <v>0</v>
      </c>
      <c r="B1148" t="s">
        <v>431</v>
      </c>
      <c r="C1148" t="s">
        <v>4627</v>
      </c>
      <c r="D1148" t="s">
        <v>17141</v>
      </c>
      <c r="E1148" t="s">
        <v>18035</v>
      </c>
      <c r="F1148" t="s">
        <v>29375</v>
      </c>
      <c r="G1148" t="s">
        <v>29380</v>
      </c>
      <c r="H1148" t="s">
        <v>11048</v>
      </c>
      <c r="I1148" t="s">
        <v>29417</v>
      </c>
      <c r="J1148" t="s">
        <v>29543</v>
      </c>
      <c r="K1148" t="s">
        <v>38491</v>
      </c>
      <c r="M1148" t="s">
        <v>39195</v>
      </c>
      <c r="N1148" t="s">
        <v>42669</v>
      </c>
      <c r="O1148" t="s">
        <v>42670</v>
      </c>
      <c r="P1148">
        <v>0</v>
      </c>
      <c r="Q1148">
        <v>7</v>
      </c>
      <c r="R1148" t="s">
        <v>42673</v>
      </c>
      <c r="S1148" t="s">
        <v>42784</v>
      </c>
      <c r="T1148" t="s">
        <v>44507</v>
      </c>
      <c r="U1148" t="s">
        <v>45847</v>
      </c>
      <c r="W1148" t="s">
        <v>39195</v>
      </c>
      <c r="X1148" t="s">
        <v>42674</v>
      </c>
    </row>
    <row r="1149" spans="1:24">
      <c r="A1149">
        <f>HYPERLINK("https://www.philgeps.gov.ph/GEPSNONPILOT/Tender/SplashBidNoticeAbstractUI.aspx?menuIndex=3&amp;refID=7193232&amp;Result=3","7193232")</f>
        <v>0</v>
      </c>
      <c r="B1149" t="s">
        <v>445</v>
      </c>
      <c r="C1149" t="s">
        <v>4628</v>
      </c>
      <c r="D1149" t="s">
        <v>17194</v>
      </c>
      <c r="E1149" t="s">
        <v>18280</v>
      </c>
      <c r="F1149" t="s">
        <v>29373</v>
      </c>
      <c r="G1149" t="s">
        <v>29379</v>
      </c>
      <c r="H1149" t="s">
        <v>11048</v>
      </c>
      <c r="I1149" t="s">
        <v>4709</v>
      </c>
      <c r="J1149" t="s">
        <v>30388</v>
      </c>
      <c r="K1149" t="s">
        <v>38491</v>
      </c>
      <c r="M1149" t="s">
        <v>39209</v>
      </c>
      <c r="N1149" t="s">
        <v>42669</v>
      </c>
      <c r="O1149" t="s">
        <v>42670</v>
      </c>
      <c r="P1149">
        <v>0</v>
      </c>
      <c r="Q1149">
        <v>0</v>
      </c>
      <c r="R1149" t="s">
        <v>42673</v>
      </c>
      <c r="S1149" t="s">
        <v>42784</v>
      </c>
      <c r="T1149" t="s">
        <v>44437</v>
      </c>
      <c r="U1149" t="s">
        <v>45838</v>
      </c>
      <c r="V1149" t="s">
        <v>56470</v>
      </c>
      <c r="W1149" t="s">
        <v>58015</v>
      </c>
      <c r="X1149" t="s">
        <v>42674</v>
      </c>
    </row>
    <row r="1150" spans="1:24">
      <c r="A1150">
        <f>HYPERLINK("https://www.philgeps.gov.ph/GEPSNONPILOT/Tender/SplashBidNoticeAbstractUI.aspx?menuIndex=3&amp;refID=7193245&amp;Result=3","7193245")</f>
        <v>0</v>
      </c>
      <c r="B1150" t="s">
        <v>444</v>
      </c>
      <c r="C1150" t="s">
        <v>4629</v>
      </c>
      <c r="D1150" t="s">
        <v>17199</v>
      </c>
      <c r="E1150" t="s">
        <v>18281</v>
      </c>
      <c r="F1150" t="s">
        <v>29372</v>
      </c>
      <c r="G1150" t="s">
        <v>29383</v>
      </c>
      <c r="H1150" t="s">
        <v>11048</v>
      </c>
      <c r="I1150" t="s">
        <v>8614</v>
      </c>
      <c r="J1150" t="s">
        <v>30389</v>
      </c>
      <c r="K1150" t="s">
        <v>38487</v>
      </c>
      <c r="M1150" t="s">
        <v>39208</v>
      </c>
      <c r="N1150" t="s">
        <v>42669</v>
      </c>
      <c r="O1150" t="s">
        <v>42670</v>
      </c>
      <c r="P1150">
        <v>0</v>
      </c>
      <c r="Q1150">
        <v>3</v>
      </c>
      <c r="R1150" t="s">
        <v>42673</v>
      </c>
      <c r="S1150" t="s">
        <v>42784</v>
      </c>
      <c r="T1150" t="s">
        <v>44382</v>
      </c>
      <c r="U1150" t="s">
        <v>45837</v>
      </c>
      <c r="W1150" t="s">
        <v>39208</v>
      </c>
      <c r="X1150" t="s">
        <v>42674</v>
      </c>
    </row>
    <row r="1151" spans="1:24">
      <c r="A1151">
        <f>HYPERLINK("https://www.philgeps.gov.ph/GEPSNONPILOT/Tender/SplashBidNoticeAbstractUI.aspx?menuIndex=3&amp;refID=7193231&amp;Result=3","7193231")</f>
        <v>0</v>
      </c>
      <c r="B1151" t="s">
        <v>394</v>
      </c>
      <c r="C1151" t="s">
        <v>4630</v>
      </c>
      <c r="D1151" t="s">
        <v>17170</v>
      </c>
      <c r="E1151" t="s">
        <v>18282</v>
      </c>
      <c r="F1151" t="s">
        <v>29372</v>
      </c>
      <c r="G1151" t="s">
        <v>29380</v>
      </c>
      <c r="H1151" t="s">
        <v>11048</v>
      </c>
      <c r="I1151" t="s">
        <v>29425</v>
      </c>
      <c r="J1151" t="s">
        <v>30390</v>
      </c>
      <c r="K1151" t="s">
        <v>38496</v>
      </c>
      <c r="M1151" t="s">
        <v>39157</v>
      </c>
      <c r="N1151" t="s">
        <v>42669</v>
      </c>
      <c r="O1151" t="s">
        <v>42670</v>
      </c>
      <c r="P1151">
        <v>0</v>
      </c>
      <c r="Q1151">
        <v>4</v>
      </c>
      <c r="R1151" t="s">
        <v>42673</v>
      </c>
      <c r="S1151" t="s">
        <v>42784</v>
      </c>
      <c r="T1151" t="s">
        <v>44395</v>
      </c>
      <c r="U1151" t="s">
        <v>45842</v>
      </c>
      <c r="W1151" t="s">
        <v>39157</v>
      </c>
      <c r="X1151" t="s">
        <v>42674</v>
      </c>
    </row>
    <row r="1152" spans="1:24">
      <c r="A1152">
        <f>HYPERLINK("https://www.philgeps.gov.ph/GEPSNONPILOT/Tender/SplashBidNoticeAbstractUI.aspx?menuIndex=3&amp;refID=7193229&amp;Result=3","7193229")</f>
        <v>0</v>
      </c>
      <c r="B1152" t="s">
        <v>431</v>
      </c>
      <c r="C1152" t="s">
        <v>4631</v>
      </c>
      <c r="D1152" t="s">
        <v>17141</v>
      </c>
      <c r="E1152" t="s">
        <v>18035</v>
      </c>
      <c r="F1152" t="s">
        <v>29375</v>
      </c>
      <c r="G1152" t="s">
        <v>29380</v>
      </c>
      <c r="H1152" t="s">
        <v>11048</v>
      </c>
      <c r="I1152" t="s">
        <v>29417</v>
      </c>
      <c r="J1152" t="s">
        <v>29543</v>
      </c>
      <c r="K1152" t="s">
        <v>38491</v>
      </c>
      <c r="M1152" t="s">
        <v>39195</v>
      </c>
      <c r="N1152" t="s">
        <v>42669</v>
      </c>
      <c r="O1152" t="s">
        <v>42670</v>
      </c>
      <c r="P1152">
        <v>0</v>
      </c>
      <c r="Q1152">
        <v>2</v>
      </c>
      <c r="R1152" t="s">
        <v>42673</v>
      </c>
      <c r="S1152" t="s">
        <v>42784</v>
      </c>
      <c r="T1152" t="s">
        <v>44507</v>
      </c>
      <c r="U1152" t="s">
        <v>45848</v>
      </c>
      <c r="W1152" t="s">
        <v>39195</v>
      </c>
      <c r="X1152" t="s">
        <v>42674</v>
      </c>
    </row>
    <row r="1153" spans="1:24">
      <c r="A1153">
        <f>HYPERLINK("https://www.philgeps.gov.ph/GEPSNONPILOT/Tender/SplashBidNoticeAbstractUI.aspx?menuIndex=3&amp;refID=7193227&amp;Result=3","7193227")</f>
        <v>0</v>
      </c>
      <c r="B1153" t="s">
        <v>445</v>
      </c>
      <c r="C1153" t="s">
        <v>4632</v>
      </c>
      <c r="D1153" t="s">
        <v>17194</v>
      </c>
      <c r="E1153" t="s">
        <v>18283</v>
      </c>
      <c r="F1153" t="s">
        <v>29373</v>
      </c>
      <c r="G1153" t="s">
        <v>29379</v>
      </c>
      <c r="H1153" t="s">
        <v>11048</v>
      </c>
      <c r="I1153" t="s">
        <v>29406</v>
      </c>
      <c r="J1153" t="s">
        <v>30391</v>
      </c>
      <c r="K1153" t="s">
        <v>38491</v>
      </c>
      <c r="M1153" t="s">
        <v>39209</v>
      </c>
      <c r="N1153" t="s">
        <v>42669</v>
      </c>
      <c r="O1153" t="s">
        <v>42670</v>
      </c>
      <c r="P1153">
        <v>0</v>
      </c>
      <c r="Q1153">
        <v>2</v>
      </c>
      <c r="R1153" t="s">
        <v>42673</v>
      </c>
      <c r="S1153" t="s">
        <v>42784</v>
      </c>
      <c r="T1153" t="s">
        <v>44437</v>
      </c>
      <c r="U1153" t="s">
        <v>45838</v>
      </c>
      <c r="V1153" t="s">
        <v>56470</v>
      </c>
      <c r="W1153" t="s">
        <v>58015</v>
      </c>
      <c r="X1153" t="s">
        <v>42674</v>
      </c>
    </row>
    <row r="1154" spans="1:24">
      <c r="A1154">
        <f>HYPERLINK("https://www.philgeps.gov.ph/GEPSNONPILOT/Tender/SplashBidNoticeAbstractUI.aspx?menuIndex=3&amp;refID=7192912&amp;Result=3","7192912")</f>
        <v>0</v>
      </c>
      <c r="B1154" t="s">
        <v>448</v>
      </c>
      <c r="C1154" t="s">
        <v>4633</v>
      </c>
      <c r="D1154" t="s">
        <v>17163</v>
      </c>
      <c r="E1154" t="s">
        <v>18284</v>
      </c>
      <c r="F1154" t="s">
        <v>29372</v>
      </c>
      <c r="G1154" t="s">
        <v>29383</v>
      </c>
      <c r="H1154" t="s">
        <v>11048</v>
      </c>
      <c r="I1154" t="s">
        <v>29409</v>
      </c>
      <c r="J1154" t="s">
        <v>30392</v>
      </c>
      <c r="K1154" t="s">
        <v>38510</v>
      </c>
      <c r="M1154" t="s">
        <v>39212</v>
      </c>
      <c r="N1154" t="s">
        <v>42669</v>
      </c>
      <c r="O1154" t="s">
        <v>42670</v>
      </c>
      <c r="P1154">
        <v>0</v>
      </c>
      <c r="Q1154">
        <v>1</v>
      </c>
      <c r="R1154" t="s">
        <v>42673</v>
      </c>
      <c r="S1154" t="s">
        <v>42784</v>
      </c>
      <c r="T1154" t="s">
        <v>44513</v>
      </c>
      <c r="U1154" t="s">
        <v>45849</v>
      </c>
      <c r="W1154" t="s">
        <v>39212</v>
      </c>
      <c r="X1154" t="s">
        <v>42676</v>
      </c>
    </row>
    <row r="1155" spans="1:24">
      <c r="A1155">
        <f>HYPERLINK("https://www.philgeps.gov.ph/GEPSNONPILOT/Tender/SplashBidNoticeAbstractUI.aspx?menuIndex=3&amp;refID=7192864&amp;Result=3","7192864")</f>
        <v>0</v>
      </c>
      <c r="B1155" t="s">
        <v>449</v>
      </c>
      <c r="C1155" t="s">
        <v>3942</v>
      </c>
      <c r="D1155" t="s">
        <v>17142</v>
      </c>
      <c r="E1155" t="s">
        <v>18285</v>
      </c>
      <c r="F1155" t="s">
        <v>29372</v>
      </c>
      <c r="G1155" t="s">
        <v>29382</v>
      </c>
      <c r="H1155" t="s">
        <v>11048</v>
      </c>
      <c r="I1155" t="s">
        <v>5383</v>
      </c>
      <c r="J1155" t="s">
        <v>29692</v>
      </c>
      <c r="K1155" t="s">
        <v>38528</v>
      </c>
      <c r="M1155" t="s">
        <v>39213</v>
      </c>
      <c r="N1155" t="s">
        <v>42669</v>
      </c>
      <c r="O1155" t="s">
        <v>42670</v>
      </c>
      <c r="P1155">
        <v>0</v>
      </c>
      <c r="Q1155">
        <v>1</v>
      </c>
      <c r="R1155" t="s">
        <v>42673</v>
      </c>
      <c r="S1155" t="s">
        <v>42784</v>
      </c>
      <c r="T1155" t="s">
        <v>44378</v>
      </c>
      <c r="U1155" t="s">
        <v>45850</v>
      </c>
      <c r="W1155" t="s">
        <v>39213</v>
      </c>
      <c r="X1155" t="s">
        <v>42676</v>
      </c>
    </row>
    <row r="1156" spans="1:24">
      <c r="A1156">
        <f>HYPERLINK("https://www.philgeps.gov.ph/GEPSNONPILOT/Tender/SplashBidNoticeAbstractUI.aspx?menuIndex=3&amp;refID=7192141&amp;Result=3","7192141")</f>
        <v>0</v>
      </c>
      <c r="B1156" t="s">
        <v>255</v>
      </c>
      <c r="C1156" t="s">
        <v>4634</v>
      </c>
      <c r="E1156" t="s">
        <v>18286</v>
      </c>
      <c r="F1156" t="s">
        <v>29372</v>
      </c>
      <c r="G1156" t="s">
        <v>29379</v>
      </c>
      <c r="H1156" t="s">
        <v>11048</v>
      </c>
      <c r="I1156" t="s">
        <v>29458</v>
      </c>
      <c r="J1156" t="s">
        <v>29675</v>
      </c>
      <c r="K1156" t="s">
        <v>38490</v>
      </c>
      <c r="M1156" t="s">
        <v>39014</v>
      </c>
      <c r="N1156" t="s">
        <v>42669</v>
      </c>
      <c r="O1156" t="s">
        <v>42670</v>
      </c>
      <c r="P1156">
        <v>0</v>
      </c>
      <c r="Q1156">
        <v>1</v>
      </c>
      <c r="R1156" t="s">
        <v>42673</v>
      </c>
      <c r="S1156" t="s">
        <v>42784</v>
      </c>
      <c r="T1156" t="s">
        <v>44432</v>
      </c>
      <c r="U1156" t="s">
        <v>45771</v>
      </c>
      <c r="W1156" t="s">
        <v>39014</v>
      </c>
      <c r="X1156" t="s">
        <v>42676</v>
      </c>
    </row>
    <row r="1157" spans="1:24">
      <c r="A1157">
        <f>HYPERLINK("https://www.philgeps.gov.ph/GEPSNONPILOT/Tender/SplashBidNoticeAbstractUI.aspx?menuIndex=3&amp;refID=7193230&amp;Result=3","7193230")</f>
        <v>0</v>
      </c>
      <c r="B1157" t="s">
        <v>450</v>
      </c>
      <c r="C1157" t="s">
        <v>4635</v>
      </c>
      <c r="D1157" t="s">
        <v>17170</v>
      </c>
      <c r="E1157" t="s">
        <v>17947</v>
      </c>
      <c r="F1157" t="s">
        <v>29372</v>
      </c>
      <c r="G1157" t="s">
        <v>29380</v>
      </c>
      <c r="H1157" t="s">
        <v>29389</v>
      </c>
      <c r="I1157" t="s">
        <v>10408</v>
      </c>
      <c r="J1157" t="s">
        <v>30393</v>
      </c>
      <c r="K1157" t="s">
        <v>38490</v>
      </c>
      <c r="M1157" t="s">
        <v>39214</v>
      </c>
      <c r="N1157" t="s">
        <v>42669</v>
      </c>
      <c r="O1157" t="s">
        <v>42670</v>
      </c>
      <c r="P1157">
        <v>0</v>
      </c>
      <c r="Q1157">
        <v>0</v>
      </c>
      <c r="R1157" t="s">
        <v>42673</v>
      </c>
      <c r="S1157" t="s">
        <v>42784</v>
      </c>
      <c r="T1157" t="s">
        <v>44514</v>
      </c>
      <c r="U1157" t="s">
        <v>45851</v>
      </c>
      <c r="W1157" t="s">
        <v>39214</v>
      </c>
      <c r="X1157" t="s">
        <v>42674</v>
      </c>
    </row>
    <row r="1158" spans="1:24">
      <c r="A1158">
        <f>HYPERLINK("https://www.philgeps.gov.ph/GEPSNONPILOT/Tender/SplashBidNoticeAbstractUI.aspx?menuIndex=3&amp;refID=7193234&amp;Result=3","7193234")</f>
        <v>0</v>
      </c>
      <c r="B1158" t="s">
        <v>451</v>
      </c>
      <c r="C1158" t="s">
        <v>4636</v>
      </c>
      <c r="E1158" t="s">
        <v>17534</v>
      </c>
      <c r="F1158" t="s">
        <v>29372</v>
      </c>
      <c r="G1158" t="s">
        <v>29380</v>
      </c>
      <c r="H1158" t="s">
        <v>29389</v>
      </c>
      <c r="I1158" t="s">
        <v>10408</v>
      </c>
      <c r="J1158" t="s">
        <v>30394</v>
      </c>
      <c r="K1158" t="s">
        <v>38540</v>
      </c>
      <c r="M1158" t="s">
        <v>39215</v>
      </c>
      <c r="N1158" t="s">
        <v>42669</v>
      </c>
      <c r="O1158" t="s">
        <v>42670</v>
      </c>
      <c r="P1158">
        <v>0</v>
      </c>
      <c r="Q1158">
        <v>6</v>
      </c>
      <c r="R1158" t="s">
        <v>42673</v>
      </c>
      <c r="S1158" t="s">
        <v>42784</v>
      </c>
      <c r="T1158" t="s">
        <v>44402</v>
      </c>
      <c r="U1158" t="s">
        <v>45852</v>
      </c>
      <c r="W1158" t="s">
        <v>39215</v>
      </c>
      <c r="X1158" t="s">
        <v>42674</v>
      </c>
    </row>
    <row r="1159" spans="1:24">
      <c r="A1159">
        <f>HYPERLINK("https://www.philgeps.gov.ph/GEPSNONPILOT/Tender/SplashBidNoticeAbstractUI.aspx?menuIndex=3&amp;refID=7192157&amp;Result=3","7192157")</f>
        <v>0</v>
      </c>
      <c r="B1159" t="s">
        <v>378</v>
      </c>
      <c r="C1159" t="s">
        <v>4637</v>
      </c>
      <c r="D1159" t="s">
        <v>17151</v>
      </c>
      <c r="E1159" t="s">
        <v>18287</v>
      </c>
      <c r="F1159" t="s">
        <v>29372</v>
      </c>
      <c r="G1159" t="s">
        <v>29379</v>
      </c>
      <c r="H1159" t="s">
        <v>11048</v>
      </c>
      <c r="I1159" t="s">
        <v>9469</v>
      </c>
      <c r="J1159" t="s">
        <v>29543</v>
      </c>
      <c r="K1159" t="s">
        <v>38490</v>
      </c>
      <c r="M1159" t="s">
        <v>39140</v>
      </c>
      <c r="N1159" t="s">
        <v>42669</v>
      </c>
      <c r="O1159" t="s">
        <v>42670</v>
      </c>
      <c r="P1159">
        <v>0</v>
      </c>
      <c r="Q1159">
        <v>3</v>
      </c>
      <c r="R1159" t="s">
        <v>42673</v>
      </c>
      <c r="S1159" t="s">
        <v>42784</v>
      </c>
      <c r="T1159" t="s">
        <v>44493</v>
      </c>
      <c r="U1159" t="s">
        <v>45853</v>
      </c>
      <c r="W1159" t="s">
        <v>39140</v>
      </c>
      <c r="X1159" t="s">
        <v>42676</v>
      </c>
    </row>
    <row r="1160" spans="1:24">
      <c r="A1160">
        <f>HYPERLINK("https://www.philgeps.gov.ph/GEPSNONPILOT/Tender/SplashBidNoticeAbstractUI.aspx?menuIndex=3&amp;refID=7193235&amp;Result=3","7193235")</f>
        <v>0</v>
      </c>
      <c r="B1160" t="s">
        <v>452</v>
      </c>
      <c r="C1160" t="s">
        <v>4638</v>
      </c>
      <c r="E1160" t="s">
        <v>18288</v>
      </c>
      <c r="F1160" t="s">
        <v>29372</v>
      </c>
      <c r="G1160" t="s">
        <v>29380</v>
      </c>
      <c r="H1160" t="s">
        <v>29389</v>
      </c>
      <c r="I1160" t="s">
        <v>4709</v>
      </c>
      <c r="J1160" t="s">
        <v>29555</v>
      </c>
      <c r="K1160" t="s">
        <v>38490</v>
      </c>
      <c r="M1160" t="s">
        <v>39216</v>
      </c>
      <c r="N1160" t="s">
        <v>42669</v>
      </c>
      <c r="O1160" t="s">
        <v>42670</v>
      </c>
      <c r="P1160">
        <v>0</v>
      </c>
      <c r="Q1160">
        <v>0</v>
      </c>
      <c r="R1160" t="s">
        <v>42673</v>
      </c>
      <c r="S1160" t="s">
        <v>42784</v>
      </c>
      <c r="T1160" t="s">
        <v>44515</v>
      </c>
      <c r="U1160" t="s">
        <v>45854</v>
      </c>
      <c r="W1160" t="s">
        <v>39216</v>
      </c>
      <c r="X1160" t="s">
        <v>42674</v>
      </c>
    </row>
    <row r="1161" spans="1:24">
      <c r="A1161">
        <f>HYPERLINK("https://www.philgeps.gov.ph/GEPSNONPILOT/Tender/SplashBidNoticeAbstractUI.aspx?menuIndex=3&amp;refID=7193199&amp;Result=3","7193199")</f>
        <v>0</v>
      </c>
      <c r="B1161" t="s">
        <v>422</v>
      </c>
      <c r="C1161" t="s">
        <v>4639</v>
      </c>
      <c r="E1161" t="s">
        <v>18289</v>
      </c>
      <c r="F1161" t="s">
        <v>29372</v>
      </c>
      <c r="G1161" t="s">
        <v>29380</v>
      </c>
      <c r="H1161" t="s">
        <v>11048</v>
      </c>
      <c r="I1161" t="s">
        <v>3695</v>
      </c>
      <c r="J1161" t="s">
        <v>30395</v>
      </c>
      <c r="K1161" t="s">
        <v>38490</v>
      </c>
      <c r="M1161" t="s">
        <v>39186</v>
      </c>
      <c r="N1161" t="s">
        <v>42669</v>
      </c>
      <c r="O1161" t="s">
        <v>42670</v>
      </c>
      <c r="P1161">
        <v>0</v>
      </c>
      <c r="Q1161">
        <v>2</v>
      </c>
      <c r="R1161" t="s">
        <v>42673</v>
      </c>
      <c r="S1161" t="s">
        <v>42784</v>
      </c>
      <c r="T1161" t="s">
        <v>44379</v>
      </c>
      <c r="U1161" t="s">
        <v>45855</v>
      </c>
      <c r="W1161" t="s">
        <v>39186</v>
      </c>
      <c r="X1161" t="s">
        <v>42674</v>
      </c>
    </row>
    <row r="1162" spans="1:24">
      <c r="A1162">
        <f>HYPERLINK("https://www.philgeps.gov.ph/GEPSNONPILOT/Tender/SplashBidNoticeAbstractUI.aspx?menuIndex=3&amp;refID=7193268&amp;Result=3","7193268")</f>
        <v>0</v>
      </c>
      <c r="B1162" t="s">
        <v>453</v>
      </c>
      <c r="C1162" t="s">
        <v>4640</v>
      </c>
      <c r="D1162" t="s">
        <v>17173</v>
      </c>
      <c r="E1162" t="s">
        <v>18290</v>
      </c>
      <c r="F1162" t="s">
        <v>29372</v>
      </c>
      <c r="G1162" t="s">
        <v>29380</v>
      </c>
      <c r="H1162" t="s">
        <v>11048</v>
      </c>
      <c r="I1162" t="s">
        <v>3695</v>
      </c>
      <c r="J1162" t="s">
        <v>30396</v>
      </c>
      <c r="K1162" t="s">
        <v>38485</v>
      </c>
      <c r="M1162" t="s">
        <v>39217</v>
      </c>
      <c r="N1162" t="s">
        <v>42669</v>
      </c>
      <c r="O1162" t="s">
        <v>42670</v>
      </c>
      <c r="P1162">
        <v>0</v>
      </c>
      <c r="Q1162">
        <v>1</v>
      </c>
      <c r="R1162" t="s">
        <v>42673</v>
      </c>
      <c r="S1162" t="s">
        <v>42784</v>
      </c>
      <c r="T1162" t="s">
        <v>44413</v>
      </c>
      <c r="U1162" t="s">
        <v>45856</v>
      </c>
      <c r="W1162" t="s">
        <v>39217</v>
      </c>
      <c r="X1162" t="s">
        <v>42674</v>
      </c>
    </row>
    <row r="1163" spans="1:24">
      <c r="A1163">
        <f>HYPERLINK("https://www.philgeps.gov.ph/GEPSNONPILOT/Tender/SplashBidNoticeAbstractUI.aspx?menuIndex=3&amp;refID=7193267&amp;Result=3","7193267")</f>
        <v>0</v>
      </c>
      <c r="B1163" t="s">
        <v>447</v>
      </c>
      <c r="C1163" t="s">
        <v>4641</v>
      </c>
      <c r="D1163" t="s">
        <v>17204</v>
      </c>
      <c r="E1163" t="s">
        <v>18291</v>
      </c>
      <c r="F1163" t="s">
        <v>29372</v>
      </c>
      <c r="G1163" t="s">
        <v>29380</v>
      </c>
      <c r="H1163" t="s">
        <v>11048</v>
      </c>
      <c r="I1163" t="s">
        <v>4709</v>
      </c>
      <c r="J1163" t="s">
        <v>30397</v>
      </c>
      <c r="K1163" t="s">
        <v>38490</v>
      </c>
      <c r="M1163" t="s">
        <v>39211</v>
      </c>
      <c r="N1163" t="s">
        <v>42669</v>
      </c>
      <c r="O1163" t="s">
        <v>42670</v>
      </c>
      <c r="P1163">
        <v>0</v>
      </c>
      <c r="Q1163">
        <v>0</v>
      </c>
      <c r="R1163" t="s">
        <v>42673</v>
      </c>
      <c r="S1163" t="s">
        <v>42784</v>
      </c>
      <c r="T1163" t="s">
        <v>44466</v>
      </c>
      <c r="U1163" t="s">
        <v>45857</v>
      </c>
      <c r="W1163" t="s">
        <v>39211</v>
      </c>
      <c r="X1163" t="s">
        <v>42674</v>
      </c>
    </row>
    <row r="1164" spans="1:24">
      <c r="A1164">
        <f>HYPERLINK("https://www.philgeps.gov.ph/GEPSNONPILOT/Tender/SplashBidNoticeAbstractUI.aspx?menuIndex=3&amp;refID=7193252&amp;Result=3","7193252")</f>
        <v>0</v>
      </c>
      <c r="B1164" t="s">
        <v>421</v>
      </c>
      <c r="C1164" t="s">
        <v>4642</v>
      </c>
      <c r="D1164" t="s">
        <v>17213</v>
      </c>
      <c r="E1164" t="s">
        <v>18292</v>
      </c>
      <c r="F1164" t="s">
        <v>29372</v>
      </c>
      <c r="G1164" t="s">
        <v>29379</v>
      </c>
      <c r="H1164" t="s">
        <v>11048</v>
      </c>
      <c r="I1164" t="s">
        <v>8208</v>
      </c>
      <c r="J1164" t="s">
        <v>30343</v>
      </c>
      <c r="K1164" t="s">
        <v>38488</v>
      </c>
      <c r="M1164" t="s">
        <v>39185</v>
      </c>
      <c r="N1164" t="s">
        <v>42669</v>
      </c>
      <c r="O1164" t="s">
        <v>42670</v>
      </c>
      <c r="P1164">
        <v>0</v>
      </c>
      <c r="Q1164">
        <v>0</v>
      </c>
      <c r="R1164" t="s">
        <v>42673</v>
      </c>
      <c r="S1164" t="s">
        <v>42784</v>
      </c>
      <c r="T1164" t="s">
        <v>44451</v>
      </c>
      <c r="U1164" t="s">
        <v>45794</v>
      </c>
      <c r="W1164" t="s">
        <v>39185</v>
      </c>
      <c r="X1164" t="s">
        <v>42674</v>
      </c>
    </row>
    <row r="1165" spans="1:24">
      <c r="A1165">
        <f>HYPERLINK("https://www.philgeps.gov.ph/GEPSNONPILOT/Tender/SplashBidNoticeAbstractUI.aspx?menuIndex=3&amp;refID=7193264&amp;Result=3","7193264")</f>
        <v>0</v>
      </c>
      <c r="B1165" t="s">
        <v>454</v>
      </c>
      <c r="C1165" t="s">
        <v>4643</v>
      </c>
      <c r="E1165" t="s">
        <v>18293</v>
      </c>
      <c r="F1165" t="s">
        <v>29372</v>
      </c>
      <c r="G1165" t="s">
        <v>29379</v>
      </c>
      <c r="H1165" t="s">
        <v>11048</v>
      </c>
      <c r="I1165" t="s">
        <v>29442</v>
      </c>
      <c r="J1165" t="s">
        <v>29664</v>
      </c>
      <c r="K1165" t="s">
        <v>38490</v>
      </c>
      <c r="M1165" t="s">
        <v>39218</v>
      </c>
      <c r="N1165" t="s">
        <v>42669</v>
      </c>
      <c r="O1165" t="s">
        <v>42670</v>
      </c>
      <c r="P1165">
        <v>0</v>
      </c>
      <c r="Q1165">
        <v>1</v>
      </c>
      <c r="R1165" t="s">
        <v>42673</v>
      </c>
      <c r="S1165" t="s">
        <v>42784</v>
      </c>
      <c r="T1165" t="s">
        <v>44451</v>
      </c>
      <c r="U1165" t="s">
        <v>45858</v>
      </c>
      <c r="W1165" t="s">
        <v>39218</v>
      </c>
      <c r="X1165" t="s">
        <v>42674</v>
      </c>
    </row>
    <row r="1166" spans="1:24">
      <c r="A1166">
        <f>HYPERLINK("https://www.philgeps.gov.ph/GEPSNONPILOT/Tender/SplashBidNoticeAbstractUI.aspx?menuIndex=3&amp;refID=7193263&amp;Result=3","7193263")</f>
        <v>0</v>
      </c>
      <c r="B1166" t="s">
        <v>444</v>
      </c>
      <c r="C1166" t="s">
        <v>4644</v>
      </c>
      <c r="D1166" t="s">
        <v>17199</v>
      </c>
      <c r="E1166" t="s">
        <v>18294</v>
      </c>
      <c r="F1166" t="s">
        <v>29372</v>
      </c>
      <c r="G1166" t="s">
        <v>29379</v>
      </c>
      <c r="H1166" t="s">
        <v>11048</v>
      </c>
      <c r="I1166" t="s">
        <v>29433</v>
      </c>
      <c r="J1166" t="s">
        <v>30398</v>
      </c>
      <c r="K1166" t="s">
        <v>38485</v>
      </c>
      <c r="M1166" t="s">
        <v>39208</v>
      </c>
      <c r="N1166" t="s">
        <v>42669</v>
      </c>
      <c r="O1166" t="s">
        <v>42670</v>
      </c>
      <c r="P1166">
        <v>0</v>
      </c>
      <c r="Q1166">
        <v>12</v>
      </c>
      <c r="R1166" t="s">
        <v>42673</v>
      </c>
      <c r="S1166" t="s">
        <v>42784</v>
      </c>
      <c r="T1166" t="s">
        <v>44512</v>
      </c>
      <c r="U1166" t="s">
        <v>45837</v>
      </c>
      <c r="W1166" t="s">
        <v>39208</v>
      </c>
      <c r="X1166" t="s">
        <v>42674</v>
      </c>
    </row>
    <row r="1167" spans="1:24">
      <c r="A1167">
        <f>HYPERLINK("https://www.philgeps.gov.ph/GEPSNONPILOT/Tender/SplashBidNoticeAbstractUI.aspx?menuIndex=3&amp;refID=7193262&amp;Result=3","7193262")</f>
        <v>0</v>
      </c>
      <c r="B1167" t="s">
        <v>431</v>
      </c>
      <c r="C1167" t="s">
        <v>4645</v>
      </c>
      <c r="D1167" t="s">
        <v>17141</v>
      </c>
      <c r="E1167" t="s">
        <v>18035</v>
      </c>
      <c r="F1167" t="s">
        <v>29375</v>
      </c>
      <c r="G1167" t="s">
        <v>29380</v>
      </c>
      <c r="H1167" t="s">
        <v>11048</v>
      </c>
      <c r="I1167" t="s">
        <v>5383</v>
      </c>
      <c r="J1167" t="s">
        <v>29529</v>
      </c>
      <c r="K1167" t="s">
        <v>38491</v>
      </c>
      <c r="M1167" t="s">
        <v>39195</v>
      </c>
      <c r="N1167" t="s">
        <v>42669</v>
      </c>
      <c r="O1167" t="s">
        <v>42670</v>
      </c>
      <c r="P1167">
        <v>0</v>
      </c>
      <c r="Q1167">
        <v>1</v>
      </c>
      <c r="R1167" t="s">
        <v>42673</v>
      </c>
      <c r="S1167" t="s">
        <v>42784</v>
      </c>
      <c r="T1167" t="s">
        <v>44507</v>
      </c>
      <c r="U1167" t="s">
        <v>45859</v>
      </c>
      <c r="W1167" t="s">
        <v>39195</v>
      </c>
      <c r="X1167" t="s">
        <v>42674</v>
      </c>
    </row>
    <row r="1168" spans="1:24">
      <c r="A1168">
        <f>HYPERLINK("https://www.philgeps.gov.ph/GEPSNONPILOT/Tender/SplashBidNoticeAbstractUI.aspx?menuIndex=3&amp;refID=7193253&amp;Result=3","7193253")</f>
        <v>0</v>
      </c>
      <c r="B1168" t="s">
        <v>444</v>
      </c>
      <c r="C1168" t="s">
        <v>4646</v>
      </c>
      <c r="D1168" t="s">
        <v>17199</v>
      </c>
      <c r="E1168" t="s">
        <v>18295</v>
      </c>
      <c r="F1168" t="s">
        <v>29372</v>
      </c>
      <c r="G1168" t="s">
        <v>29383</v>
      </c>
      <c r="H1168" t="s">
        <v>11048</v>
      </c>
      <c r="I1168" t="s">
        <v>3839</v>
      </c>
      <c r="J1168" t="s">
        <v>30399</v>
      </c>
      <c r="K1168" t="s">
        <v>38490</v>
      </c>
      <c r="M1168" t="s">
        <v>39208</v>
      </c>
      <c r="N1168" t="s">
        <v>42669</v>
      </c>
      <c r="O1168" t="s">
        <v>42670</v>
      </c>
      <c r="P1168">
        <v>0</v>
      </c>
      <c r="Q1168">
        <v>0</v>
      </c>
      <c r="R1168" t="s">
        <v>42673</v>
      </c>
      <c r="S1168" t="s">
        <v>42784</v>
      </c>
      <c r="T1168" t="s">
        <v>44382</v>
      </c>
      <c r="U1168" t="s">
        <v>45837</v>
      </c>
      <c r="W1168" t="s">
        <v>39208</v>
      </c>
      <c r="X1168" t="s">
        <v>42674</v>
      </c>
    </row>
    <row r="1169" spans="1:24">
      <c r="A1169">
        <f>HYPERLINK("https://www.philgeps.gov.ph/GEPSNONPILOT/Tender/SplashBidNoticeAbstractUI.aspx?menuIndex=3&amp;refID=7193261&amp;Result=3","7193261")</f>
        <v>0</v>
      </c>
      <c r="B1169" t="s">
        <v>431</v>
      </c>
      <c r="C1169" t="s">
        <v>4647</v>
      </c>
      <c r="D1169" t="s">
        <v>17141</v>
      </c>
      <c r="E1169" t="s">
        <v>18035</v>
      </c>
      <c r="F1169" t="s">
        <v>29375</v>
      </c>
      <c r="G1169" t="s">
        <v>29380</v>
      </c>
      <c r="H1169" t="s">
        <v>11048</v>
      </c>
      <c r="I1169" t="s">
        <v>29453</v>
      </c>
      <c r="J1169" t="s">
        <v>29587</v>
      </c>
      <c r="K1169" t="s">
        <v>38491</v>
      </c>
      <c r="M1169" t="s">
        <v>39195</v>
      </c>
      <c r="N1169" t="s">
        <v>42669</v>
      </c>
      <c r="O1169" t="s">
        <v>42670</v>
      </c>
      <c r="P1169">
        <v>0</v>
      </c>
      <c r="Q1169">
        <v>0</v>
      </c>
      <c r="R1169" t="s">
        <v>42673</v>
      </c>
      <c r="S1169" t="s">
        <v>42784</v>
      </c>
      <c r="T1169" t="s">
        <v>44507</v>
      </c>
      <c r="U1169" t="s">
        <v>45860</v>
      </c>
      <c r="W1169" t="s">
        <v>39195</v>
      </c>
      <c r="X1169" t="s">
        <v>42674</v>
      </c>
    </row>
    <row r="1170" spans="1:24">
      <c r="A1170">
        <f>HYPERLINK("https://www.philgeps.gov.ph/GEPSNONPILOT/Tender/SplashBidNoticeAbstractUI.aspx?menuIndex=3&amp;refID=7193259&amp;Result=3","7193259")</f>
        <v>0</v>
      </c>
      <c r="B1170" t="s">
        <v>421</v>
      </c>
      <c r="C1170" t="s">
        <v>4648</v>
      </c>
      <c r="D1170" t="s">
        <v>17213</v>
      </c>
      <c r="E1170" t="s">
        <v>18296</v>
      </c>
      <c r="F1170" t="s">
        <v>29372</v>
      </c>
      <c r="G1170" t="s">
        <v>29379</v>
      </c>
      <c r="H1170" t="s">
        <v>11048</v>
      </c>
      <c r="I1170" t="s">
        <v>8208</v>
      </c>
      <c r="J1170" t="s">
        <v>30400</v>
      </c>
      <c r="K1170" t="s">
        <v>38488</v>
      </c>
      <c r="M1170" t="s">
        <v>39185</v>
      </c>
      <c r="N1170" t="s">
        <v>42669</v>
      </c>
      <c r="O1170" t="s">
        <v>42670</v>
      </c>
      <c r="P1170">
        <v>0</v>
      </c>
      <c r="Q1170">
        <v>0</v>
      </c>
      <c r="R1170" t="s">
        <v>42673</v>
      </c>
      <c r="S1170" t="s">
        <v>42784</v>
      </c>
      <c r="T1170" t="s">
        <v>44451</v>
      </c>
      <c r="U1170" t="s">
        <v>45794</v>
      </c>
      <c r="W1170" t="s">
        <v>39185</v>
      </c>
      <c r="X1170" t="s">
        <v>42674</v>
      </c>
    </row>
    <row r="1171" spans="1:24">
      <c r="A1171">
        <f>HYPERLINK("https://www.philgeps.gov.ph/GEPSNONPILOT/Tender/SplashBidNoticeAbstractUI.aspx?menuIndex=3&amp;refID=7193280&amp;Result=3","7193280")</f>
        <v>0</v>
      </c>
      <c r="B1171" t="s">
        <v>431</v>
      </c>
      <c r="C1171" t="s">
        <v>4649</v>
      </c>
      <c r="D1171" t="s">
        <v>17141</v>
      </c>
      <c r="E1171" t="s">
        <v>18035</v>
      </c>
      <c r="F1171" t="s">
        <v>29375</v>
      </c>
      <c r="G1171" t="s">
        <v>29380</v>
      </c>
      <c r="H1171" t="s">
        <v>11048</v>
      </c>
      <c r="I1171" t="s">
        <v>29466</v>
      </c>
      <c r="J1171" t="s">
        <v>30401</v>
      </c>
      <c r="K1171" t="s">
        <v>38491</v>
      </c>
      <c r="M1171" t="s">
        <v>39195</v>
      </c>
      <c r="N1171" t="s">
        <v>42669</v>
      </c>
      <c r="O1171" t="s">
        <v>42670</v>
      </c>
      <c r="P1171">
        <v>0</v>
      </c>
      <c r="Q1171">
        <v>1</v>
      </c>
      <c r="R1171" t="s">
        <v>42673</v>
      </c>
      <c r="S1171" t="s">
        <v>42784</v>
      </c>
      <c r="T1171" t="s">
        <v>44507</v>
      </c>
      <c r="U1171" t="s">
        <v>45861</v>
      </c>
      <c r="W1171" t="s">
        <v>39195</v>
      </c>
      <c r="X1171" t="s">
        <v>42674</v>
      </c>
    </row>
    <row r="1172" spans="1:24">
      <c r="A1172">
        <f>HYPERLINK("https://www.philgeps.gov.ph/GEPSNONPILOT/Tender/SplashBidNoticeAbstractUI.aspx?menuIndex=3&amp;refID=7193278&amp;Result=3","7193278")</f>
        <v>0</v>
      </c>
      <c r="B1172" t="s">
        <v>455</v>
      </c>
      <c r="C1172" t="s">
        <v>4650</v>
      </c>
      <c r="D1172" t="s">
        <v>17157</v>
      </c>
      <c r="E1172" t="s">
        <v>18297</v>
      </c>
      <c r="F1172" t="s">
        <v>29372</v>
      </c>
      <c r="G1172" t="s">
        <v>29383</v>
      </c>
      <c r="H1172" t="s">
        <v>11048</v>
      </c>
      <c r="I1172" t="s">
        <v>3670</v>
      </c>
      <c r="J1172" t="s">
        <v>30224</v>
      </c>
      <c r="K1172" t="s">
        <v>38510</v>
      </c>
      <c r="M1172" t="s">
        <v>39219</v>
      </c>
      <c r="N1172" t="s">
        <v>42669</v>
      </c>
      <c r="O1172" t="s">
        <v>42670</v>
      </c>
      <c r="P1172">
        <v>0</v>
      </c>
      <c r="Q1172">
        <v>0</v>
      </c>
      <c r="R1172" t="s">
        <v>42673</v>
      </c>
      <c r="S1172" t="s">
        <v>42784</v>
      </c>
      <c r="T1172" t="s">
        <v>44387</v>
      </c>
      <c r="U1172" t="s">
        <v>45862</v>
      </c>
      <c r="W1172" t="s">
        <v>39219</v>
      </c>
      <c r="X1172" t="s">
        <v>42674</v>
      </c>
    </row>
    <row r="1173" spans="1:24">
      <c r="A1173">
        <f>HYPERLINK("https://www.philgeps.gov.ph/GEPSNONPILOT/Tender/SplashBidNoticeAbstractUI.aspx?menuIndex=3&amp;refID=7193273&amp;Result=3","7193273")</f>
        <v>0</v>
      </c>
      <c r="B1173" t="s">
        <v>454</v>
      </c>
      <c r="C1173" t="s">
        <v>4643</v>
      </c>
      <c r="E1173" t="s">
        <v>18298</v>
      </c>
      <c r="F1173" t="s">
        <v>29372</v>
      </c>
      <c r="G1173" t="s">
        <v>29379</v>
      </c>
      <c r="H1173" t="s">
        <v>11048</v>
      </c>
      <c r="I1173" t="s">
        <v>29442</v>
      </c>
      <c r="J1173" t="s">
        <v>30225</v>
      </c>
      <c r="K1173" t="s">
        <v>38490</v>
      </c>
      <c r="M1173" t="s">
        <v>39218</v>
      </c>
      <c r="N1173" t="s">
        <v>42669</v>
      </c>
      <c r="O1173" t="s">
        <v>42670</v>
      </c>
      <c r="P1173">
        <v>0</v>
      </c>
      <c r="Q1173">
        <v>0</v>
      </c>
      <c r="R1173" t="s">
        <v>42673</v>
      </c>
      <c r="S1173" t="s">
        <v>42784</v>
      </c>
      <c r="T1173" t="s">
        <v>44451</v>
      </c>
      <c r="U1173" t="s">
        <v>45863</v>
      </c>
      <c r="W1173" t="s">
        <v>39218</v>
      </c>
      <c r="X1173" t="s">
        <v>42674</v>
      </c>
    </row>
    <row r="1174" spans="1:24">
      <c r="A1174">
        <f>HYPERLINK("https://www.philgeps.gov.ph/GEPSNONPILOT/Tender/SplashBidNoticeAbstractUI.aspx?menuIndex=3&amp;refID=7193277&amp;Result=3","7193277")</f>
        <v>0</v>
      </c>
      <c r="B1174" t="s">
        <v>431</v>
      </c>
      <c r="C1174" t="s">
        <v>3942</v>
      </c>
      <c r="D1174" t="s">
        <v>17141</v>
      </c>
      <c r="E1174" t="s">
        <v>18035</v>
      </c>
      <c r="F1174" t="s">
        <v>29375</v>
      </c>
      <c r="G1174" t="s">
        <v>29380</v>
      </c>
      <c r="H1174" t="s">
        <v>11048</v>
      </c>
      <c r="I1174" t="s">
        <v>5383</v>
      </c>
      <c r="J1174" t="s">
        <v>30402</v>
      </c>
      <c r="K1174" t="s">
        <v>38491</v>
      </c>
      <c r="M1174" t="s">
        <v>39195</v>
      </c>
      <c r="N1174" t="s">
        <v>42669</v>
      </c>
      <c r="O1174" t="s">
        <v>42670</v>
      </c>
      <c r="P1174">
        <v>0</v>
      </c>
      <c r="Q1174">
        <v>2</v>
      </c>
      <c r="R1174" t="s">
        <v>42673</v>
      </c>
      <c r="S1174" t="s">
        <v>42784</v>
      </c>
      <c r="T1174" t="s">
        <v>44507</v>
      </c>
      <c r="U1174" t="s">
        <v>45864</v>
      </c>
      <c r="W1174" t="s">
        <v>39195</v>
      </c>
      <c r="X1174" t="s">
        <v>42674</v>
      </c>
    </row>
    <row r="1175" spans="1:24">
      <c r="A1175">
        <f>HYPERLINK("https://www.philgeps.gov.ph/GEPSNONPILOT/Tender/SplashBidNoticeAbstractUI.aspx?menuIndex=3&amp;refID=7193258&amp;Result=3","7193258")</f>
        <v>0</v>
      </c>
      <c r="B1175" t="s">
        <v>444</v>
      </c>
      <c r="C1175" t="s">
        <v>4651</v>
      </c>
      <c r="D1175" t="s">
        <v>17199</v>
      </c>
      <c r="E1175" t="s">
        <v>18299</v>
      </c>
      <c r="F1175" t="s">
        <v>29372</v>
      </c>
      <c r="G1175" t="s">
        <v>29383</v>
      </c>
      <c r="H1175" t="s">
        <v>11048</v>
      </c>
      <c r="I1175" t="s">
        <v>3695</v>
      </c>
      <c r="J1175" t="s">
        <v>29799</v>
      </c>
      <c r="K1175" t="s">
        <v>38485</v>
      </c>
      <c r="M1175" t="s">
        <v>39208</v>
      </c>
      <c r="N1175" t="s">
        <v>42669</v>
      </c>
      <c r="O1175" t="s">
        <v>42670</v>
      </c>
      <c r="P1175">
        <v>0</v>
      </c>
      <c r="Q1175">
        <v>2</v>
      </c>
      <c r="R1175" t="s">
        <v>42673</v>
      </c>
      <c r="S1175" t="s">
        <v>42784</v>
      </c>
      <c r="T1175" t="s">
        <v>44512</v>
      </c>
      <c r="U1175" t="s">
        <v>45837</v>
      </c>
      <c r="W1175" t="s">
        <v>39208</v>
      </c>
      <c r="X1175" t="s">
        <v>42674</v>
      </c>
    </row>
    <row r="1176" spans="1:24">
      <c r="A1176">
        <f>HYPERLINK("https://www.philgeps.gov.ph/GEPSNONPILOT/Tender/SplashBidNoticeAbstractUI.aspx?menuIndex=3&amp;refID=7193282&amp;Result=3","7193282")</f>
        <v>0</v>
      </c>
      <c r="B1176" t="s">
        <v>454</v>
      </c>
      <c r="C1176" t="s">
        <v>4652</v>
      </c>
      <c r="E1176" t="s">
        <v>18300</v>
      </c>
      <c r="F1176" t="s">
        <v>29372</v>
      </c>
      <c r="G1176" t="s">
        <v>29379</v>
      </c>
      <c r="H1176" t="s">
        <v>11048</v>
      </c>
      <c r="I1176" t="s">
        <v>4487</v>
      </c>
      <c r="J1176" t="s">
        <v>30403</v>
      </c>
      <c r="K1176" t="s">
        <v>38490</v>
      </c>
      <c r="M1176" t="s">
        <v>39218</v>
      </c>
      <c r="N1176" t="s">
        <v>42669</v>
      </c>
      <c r="O1176" t="s">
        <v>42670</v>
      </c>
      <c r="P1176">
        <v>0</v>
      </c>
      <c r="Q1176">
        <v>0</v>
      </c>
      <c r="R1176" t="s">
        <v>42673</v>
      </c>
      <c r="S1176" t="s">
        <v>42784</v>
      </c>
      <c r="T1176" t="s">
        <v>44451</v>
      </c>
      <c r="U1176" t="s">
        <v>45865</v>
      </c>
      <c r="W1176" t="s">
        <v>39218</v>
      </c>
      <c r="X1176" t="s">
        <v>42674</v>
      </c>
    </row>
    <row r="1177" spans="1:24">
      <c r="A1177">
        <f>HYPERLINK("https://www.philgeps.gov.ph/GEPSNONPILOT/Tender/SplashBidNoticeAbstractUI.aspx?menuIndex=3&amp;refID=7193281&amp;Result=3","7193281")</f>
        <v>0</v>
      </c>
      <c r="B1177" t="s">
        <v>455</v>
      </c>
      <c r="C1177" t="s">
        <v>4653</v>
      </c>
      <c r="D1177" t="s">
        <v>17157</v>
      </c>
      <c r="E1177" t="s">
        <v>18301</v>
      </c>
      <c r="F1177" t="s">
        <v>29372</v>
      </c>
      <c r="G1177" t="s">
        <v>29383</v>
      </c>
      <c r="H1177" t="s">
        <v>11048</v>
      </c>
      <c r="I1177" t="s">
        <v>8614</v>
      </c>
      <c r="J1177" t="s">
        <v>29680</v>
      </c>
      <c r="K1177" t="s">
        <v>38510</v>
      </c>
      <c r="M1177" t="s">
        <v>39219</v>
      </c>
      <c r="N1177" t="s">
        <v>42669</v>
      </c>
      <c r="O1177" t="s">
        <v>42670</v>
      </c>
      <c r="P1177">
        <v>0</v>
      </c>
      <c r="Q1177">
        <v>1</v>
      </c>
      <c r="R1177" t="s">
        <v>42673</v>
      </c>
      <c r="S1177" t="s">
        <v>42784</v>
      </c>
      <c r="T1177" t="s">
        <v>44387</v>
      </c>
      <c r="U1177" t="s">
        <v>45862</v>
      </c>
      <c r="W1177" t="s">
        <v>39219</v>
      </c>
      <c r="X1177" t="s">
        <v>42674</v>
      </c>
    </row>
    <row r="1178" spans="1:24">
      <c r="A1178">
        <f>HYPERLINK("https://www.philgeps.gov.ph/GEPSNONPILOT/Tender/SplashBidNoticeAbstractUI.aspx?menuIndex=3&amp;refID=7193274&amp;Result=3","7193274")</f>
        <v>0</v>
      </c>
      <c r="B1178" t="s">
        <v>455</v>
      </c>
      <c r="C1178" t="s">
        <v>4654</v>
      </c>
      <c r="D1178" t="s">
        <v>17157</v>
      </c>
      <c r="E1178" t="s">
        <v>18302</v>
      </c>
      <c r="F1178" t="s">
        <v>29372</v>
      </c>
      <c r="G1178" t="s">
        <v>29383</v>
      </c>
      <c r="H1178" t="s">
        <v>11048</v>
      </c>
      <c r="I1178" t="s">
        <v>29407</v>
      </c>
      <c r="J1178" t="s">
        <v>29752</v>
      </c>
      <c r="K1178" t="s">
        <v>38510</v>
      </c>
      <c r="M1178" t="s">
        <v>39219</v>
      </c>
      <c r="N1178" t="s">
        <v>42669</v>
      </c>
      <c r="O1178" t="s">
        <v>42670</v>
      </c>
      <c r="P1178">
        <v>0</v>
      </c>
      <c r="Q1178">
        <v>9</v>
      </c>
      <c r="R1178" t="s">
        <v>42673</v>
      </c>
      <c r="S1178" t="s">
        <v>42784</v>
      </c>
      <c r="T1178" t="s">
        <v>44387</v>
      </c>
      <c r="U1178" t="s">
        <v>45862</v>
      </c>
      <c r="W1178" t="s">
        <v>39219</v>
      </c>
      <c r="X1178" t="s">
        <v>42674</v>
      </c>
    </row>
    <row r="1179" spans="1:24">
      <c r="A1179">
        <f>HYPERLINK("https://www.philgeps.gov.ph/GEPSNONPILOT/Tender/SplashBidNoticeAbstractUI.aspx?menuIndex=3&amp;refID=7193297&amp;Result=3","7193297")</f>
        <v>0</v>
      </c>
      <c r="B1179" t="s">
        <v>456</v>
      </c>
      <c r="C1179" t="s">
        <v>4655</v>
      </c>
      <c r="D1179" t="s">
        <v>17141</v>
      </c>
      <c r="E1179" t="s">
        <v>18303</v>
      </c>
      <c r="F1179" t="s">
        <v>29372</v>
      </c>
      <c r="G1179" t="s">
        <v>29379</v>
      </c>
      <c r="H1179" t="s">
        <v>11048</v>
      </c>
      <c r="I1179" t="s">
        <v>4709</v>
      </c>
      <c r="J1179" t="s">
        <v>30404</v>
      </c>
      <c r="K1179" t="s">
        <v>38489</v>
      </c>
      <c r="M1179" t="s">
        <v>39220</v>
      </c>
      <c r="N1179" t="s">
        <v>42669</v>
      </c>
      <c r="O1179" t="s">
        <v>42670</v>
      </c>
      <c r="P1179">
        <v>0</v>
      </c>
      <c r="Q1179">
        <v>1</v>
      </c>
      <c r="R1179" t="s">
        <v>42673</v>
      </c>
      <c r="S1179" t="s">
        <v>42784</v>
      </c>
      <c r="T1179" t="s">
        <v>44451</v>
      </c>
      <c r="U1179" t="s">
        <v>45866</v>
      </c>
      <c r="W1179" t="s">
        <v>39220</v>
      </c>
      <c r="X1179" t="s">
        <v>42674</v>
      </c>
    </row>
    <row r="1180" spans="1:24">
      <c r="A1180">
        <f>HYPERLINK("https://www.philgeps.gov.ph/GEPSNONPILOT/Tender/SplashBidNoticeAbstractUI.aspx?menuIndex=3&amp;refID=7193296&amp;Result=3","7193296")</f>
        <v>0</v>
      </c>
      <c r="B1180" t="s">
        <v>457</v>
      </c>
      <c r="C1180" t="s">
        <v>4656</v>
      </c>
      <c r="E1180" t="s">
        <v>18304</v>
      </c>
      <c r="F1180" t="s">
        <v>29372</v>
      </c>
      <c r="G1180" t="s">
        <v>29379</v>
      </c>
      <c r="H1180" t="s">
        <v>11048</v>
      </c>
      <c r="I1180" t="s">
        <v>29437</v>
      </c>
      <c r="J1180" t="s">
        <v>30405</v>
      </c>
      <c r="K1180" t="s">
        <v>38490</v>
      </c>
      <c r="M1180" t="s">
        <v>39221</v>
      </c>
      <c r="N1180" t="s">
        <v>42669</v>
      </c>
      <c r="O1180" t="s">
        <v>42670</v>
      </c>
      <c r="P1180">
        <v>0</v>
      </c>
      <c r="Q1180">
        <v>8</v>
      </c>
      <c r="R1180" t="s">
        <v>42673</v>
      </c>
      <c r="S1180" t="s">
        <v>42784</v>
      </c>
      <c r="T1180" t="s">
        <v>44454</v>
      </c>
      <c r="U1180" t="s">
        <v>45867</v>
      </c>
      <c r="W1180" t="s">
        <v>39221</v>
      </c>
      <c r="X1180" t="s">
        <v>42674</v>
      </c>
    </row>
    <row r="1181" spans="1:24">
      <c r="A1181">
        <f>HYPERLINK("https://www.philgeps.gov.ph/GEPSNONPILOT/Tender/SplashBidNoticeAbstractUI.aspx?menuIndex=3&amp;refID=7193294&amp;Result=3","7193294")</f>
        <v>0</v>
      </c>
      <c r="B1181" t="s">
        <v>367</v>
      </c>
      <c r="C1181" t="s">
        <v>4657</v>
      </c>
      <c r="D1181" t="s">
        <v>17141</v>
      </c>
      <c r="E1181" t="s">
        <v>18305</v>
      </c>
      <c r="F1181" t="s">
        <v>29372</v>
      </c>
      <c r="G1181" t="s">
        <v>29383</v>
      </c>
      <c r="H1181" t="s">
        <v>11048</v>
      </c>
      <c r="I1181" t="s">
        <v>29433</v>
      </c>
      <c r="J1181" t="s">
        <v>30406</v>
      </c>
      <c r="K1181" t="s">
        <v>38488</v>
      </c>
      <c r="M1181" t="s">
        <v>39127</v>
      </c>
      <c r="N1181" t="s">
        <v>42669</v>
      </c>
      <c r="O1181" t="s">
        <v>42670</v>
      </c>
      <c r="P1181">
        <v>0</v>
      </c>
      <c r="Q1181">
        <v>1</v>
      </c>
      <c r="R1181" t="s">
        <v>42673</v>
      </c>
      <c r="S1181" t="s">
        <v>42784</v>
      </c>
      <c r="T1181" t="s">
        <v>44481</v>
      </c>
      <c r="U1181" t="s">
        <v>45868</v>
      </c>
      <c r="V1181" t="s">
        <v>56467</v>
      </c>
      <c r="W1181" t="s">
        <v>58014</v>
      </c>
      <c r="X1181" t="s">
        <v>42674</v>
      </c>
    </row>
    <row r="1182" spans="1:24">
      <c r="A1182">
        <f>HYPERLINK("https://www.philgeps.gov.ph/GEPSNONPILOT/Tender/SplashBidNoticeAbstractUI.aspx?menuIndex=3&amp;refID=7193292&amp;Result=3","7193292")</f>
        <v>0</v>
      </c>
      <c r="B1182" t="s">
        <v>455</v>
      </c>
      <c r="C1182" t="s">
        <v>4658</v>
      </c>
      <c r="D1182" t="s">
        <v>17157</v>
      </c>
      <c r="E1182" t="s">
        <v>18306</v>
      </c>
      <c r="F1182" t="s">
        <v>29372</v>
      </c>
      <c r="G1182" t="s">
        <v>29383</v>
      </c>
      <c r="H1182" t="s">
        <v>11048</v>
      </c>
      <c r="I1182" t="s">
        <v>5383</v>
      </c>
      <c r="J1182" t="s">
        <v>30407</v>
      </c>
      <c r="K1182" t="s">
        <v>38510</v>
      </c>
      <c r="M1182" t="s">
        <v>39219</v>
      </c>
      <c r="N1182" t="s">
        <v>42669</v>
      </c>
      <c r="O1182" t="s">
        <v>42670</v>
      </c>
      <c r="P1182">
        <v>0</v>
      </c>
      <c r="Q1182">
        <v>0</v>
      </c>
      <c r="R1182" t="s">
        <v>42673</v>
      </c>
      <c r="S1182" t="s">
        <v>42784</v>
      </c>
      <c r="T1182" t="s">
        <v>44387</v>
      </c>
      <c r="U1182" t="s">
        <v>45862</v>
      </c>
      <c r="W1182" t="s">
        <v>39219</v>
      </c>
      <c r="X1182" t="s">
        <v>42674</v>
      </c>
    </row>
    <row r="1183" spans="1:24">
      <c r="A1183">
        <f>HYPERLINK("https://www.philgeps.gov.ph/GEPSNONPILOT/Tender/SplashBidNoticeAbstractUI.aspx?menuIndex=3&amp;refID=7193298&amp;Result=3","7193298")</f>
        <v>0</v>
      </c>
      <c r="B1183" t="s">
        <v>455</v>
      </c>
      <c r="C1183" t="s">
        <v>4659</v>
      </c>
      <c r="D1183" t="s">
        <v>17157</v>
      </c>
      <c r="E1183" t="s">
        <v>18307</v>
      </c>
      <c r="F1183" t="s">
        <v>29372</v>
      </c>
      <c r="G1183" t="s">
        <v>29383</v>
      </c>
      <c r="H1183" t="s">
        <v>11048</v>
      </c>
      <c r="I1183" t="s">
        <v>3839</v>
      </c>
      <c r="J1183" t="s">
        <v>30010</v>
      </c>
      <c r="K1183" t="s">
        <v>38510</v>
      </c>
      <c r="M1183" t="s">
        <v>39219</v>
      </c>
      <c r="N1183" t="s">
        <v>42669</v>
      </c>
      <c r="O1183" t="s">
        <v>42670</v>
      </c>
      <c r="P1183">
        <v>0</v>
      </c>
      <c r="Q1183">
        <v>1</v>
      </c>
      <c r="R1183" t="s">
        <v>42673</v>
      </c>
      <c r="S1183" t="s">
        <v>42784</v>
      </c>
      <c r="T1183" t="s">
        <v>44387</v>
      </c>
      <c r="U1183" t="s">
        <v>45862</v>
      </c>
      <c r="W1183" t="s">
        <v>39219</v>
      </c>
      <c r="X1183" t="s">
        <v>42674</v>
      </c>
    </row>
    <row r="1184" spans="1:24">
      <c r="A1184">
        <f>HYPERLINK("https://www.philgeps.gov.ph/GEPSNONPILOT/Tender/SplashBidNoticeAbstractUI.aspx?menuIndex=3&amp;refID=7193275&amp;Result=3","7193275")</f>
        <v>0</v>
      </c>
      <c r="B1184" t="s">
        <v>455</v>
      </c>
      <c r="C1184" t="s">
        <v>4660</v>
      </c>
      <c r="D1184" t="s">
        <v>17157</v>
      </c>
      <c r="E1184" t="s">
        <v>18308</v>
      </c>
      <c r="F1184" t="s">
        <v>29372</v>
      </c>
      <c r="G1184" t="s">
        <v>29383</v>
      </c>
      <c r="H1184" t="s">
        <v>11048</v>
      </c>
      <c r="I1184" t="s">
        <v>3839</v>
      </c>
      <c r="J1184" t="s">
        <v>30408</v>
      </c>
      <c r="K1184" t="s">
        <v>38518</v>
      </c>
      <c r="M1184" t="s">
        <v>39219</v>
      </c>
      <c r="N1184" t="s">
        <v>42669</v>
      </c>
      <c r="O1184" t="s">
        <v>42670</v>
      </c>
      <c r="P1184">
        <v>0</v>
      </c>
      <c r="Q1184">
        <v>1</v>
      </c>
      <c r="R1184" t="s">
        <v>42673</v>
      </c>
      <c r="S1184" t="s">
        <v>42784</v>
      </c>
      <c r="T1184" t="s">
        <v>44387</v>
      </c>
      <c r="U1184" t="s">
        <v>45862</v>
      </c>
      <c r="W1184" t="s">
        <v>39219</v>
      </c>
      <c r="X1184" t="s">
        <v>42674</v>
      </c>
    </row>
    <row r="1185" spans="1:24">
      <c r="A1185">
        <f>HYPERLINK("https://www.philgeps.gov.ph/GEPSNONPILOT/Tender/SplashBidNoticeAbstractUI.aspx?menuIndex=3&amp;refID=7193295&amp;Result=3","7193295")</f>
        <v>0</v>
      </c>
      <c r="B1185" t="s">
        <v>455</v>
      </c>
      <c r="C1185" t="s">
        <v>4661</v>
      </c>
      <c r="D1185" t="s">
        <v>17157</v>
      </c>
      <c r="E1185" t="s">
        <v>18309</v>
      </c>
      <c r="F1185" t="s">
        <v>29372</v>
      </c>
      <c r="G1185" t="s">
        <v>29383</v>
      </c>
      <c r="H1185" t="s">
        <v>11048</v>
      </c>
      <c r="I1185" t="s">
        <v>8614</v>
      </c>
      <c r="J1185" t="s">
        <v>29980</v>
      </c>
      <c r="K1185" t="s">
        <v>38510</v>
      </c>
      <c r="M1185" t="s">
        <v>39219</v>
      </c>
      <c r="N1185" t="s">
        <v>42669</v>
      </c>
      <c r="O1185" t="s">
        <v>42670</v>
      </c>
      <c r="P1185">
        <v>0</v>
      </c>
      <c r="Q1185">
        <v>0</v>
      </c>
      <c r="R1185" t="s">
        <v>42673</v>
      </c>
      <c r="S1185" t="s">
        <v>42784</v>
      </c>
      <c r="T1185" t="s">
        <v>44387</v>
      </c>
      <c r="U1185" t="s">
        <v>45862</v>
      </c>
      <c r="W1185" t="s">
        <v>39219</v>
      </c>
      <c r="X1185" t="s">
        <v>42674</v>
      </c>
    </row>
    <row r="1186" spans="1:24">
      <c r="A1186">
        <f>HYPERLINK("https://www.philgeps.gov.ph/GEPSNONPILOT/Tender/SplashBidNoticeAbstractUI.aspx?menuIndex=3&amp;refID=7193310&amp;Result=3","7193310")</f>
        <v>0</v>
      </c>
      <c r="B1186" t="s">
        <v>458</v>
      </c>
      <c r="C1186" t="s">
        <v>4662</v>
      </c>
      <c r="D1186" t="s">
        <v>17142</v>
      </c>
      <c r="E1186" t="s">
        <v>18310</v>
      </c>
      <c r="F1186" t="s">
        <v>29372</v>
      </c>
      <c r="G1186" t="s">
        <v>29379</v>
      </c>
      <c r="H1186" t="s">
        <v>11048</v>
      </c>
      <c r="I1186" t="s">
        <v>5383</v>
      </c>
      <c r="J1186" t="s">
        <v>30409</v>
      </c>
      <c r="K1186" t="s">
        <v>38490</v>
      </c>
      <c r="M1186" t="s">
        <v>39222</v>
      </c>
      <c r="N1186" t="s">
        <v>42669</v>
      </c>
      <c r="O1186" t="s">
        <v>42670</v>
      </c>
      <c r="P1186">
        <v>0</v>
      </c>
      <c r="Q1186">
        <v>4</v>
      </c>
      <c r="R1186" t="s">
        <v>42673</v>
      </c>
      <c r="S1186" t="s">
        <v>42784</v>
      </c>
      <c r="T1186" t="s">
        <v>44429</v>
      </c>
      <c r="U1186" t="s">
        <v>45869</v>
      </c>
      <c r="W1186" t="s">
        <v>39222</v>
      </c>
      <c r="X1186" t="s">
        <v>42674</v>
      </c>
    </row>
    <row r="1187" spans="1:24">
      <c r="A1187">
        <f>HYPERLINK("https://www.philgeps.gov.ph/GEPSNONPILOT/Tender/SplashBidNoticeAbstractUI.aspx?menuIndex=3&amp;refID=7193309&amp;Result=3","7193309")</f>
        <v>0</v>
      </c>
      <c r="B1187" t="s">
        <v>455</v>
      </c>
      <c r="C1187" t="s">
        <v>4663</v>
      </c>
      <c r="D1187" t="s">
        <v>17157</v>
      </c>
      <c r="E1187" t="s">
        <v>18311</v>
      </c>
      <c r="F1187" t="s">
        <v>29372</v>
      </c>
      <c r="G1187" t="s">
        <v>29380</v>
      </c>
      <c r="H1187" t="s">
        <v>11048</v>
      </c>
      <c r="I1187" t="s">
        <v>9469</v>
      </c>
      <c r="J1187" t="s">
        <v>30410</v>
      </c>
      <c r="K1187" t="s">
        <v>38515</v>
      </c>
      <c r="M1187" t="s">
        <v>39219</v>
      </c>
      <c r="N1187" t="s">
        <v>42669</v>
      </c>
      <c r="O1187" t="s">
        <v>42670</v>
      </c>
      <c r="P1187">
        <v>0</v>
      </c>
      <c r="Q1187">
        <v>8</v>
      </c>
      <c r="R1187" t="s">
        <v>42673</v>
      </c>
      <c r="S1187" t="s">
        <v>42784</v>
      </c>
      <c r="T1187" t="s">
        <v>44504</v>
      </c>
      <c r="U1187" t="s">
        <v>45870</v>
      </c>
      <c r="V1187" t="s">
        <v>56471</v>
      </c>
      <c r="W1187" t="s">
        <v>39219</v>
      </c>
      <c r="X1187" t="s">
        <v>42674</v>
      </c>
    </row>
    <row r="1188" spans="1:24">
      <c r="A1188">
        <f>HYPERLINK("https://www.philgeps.gov.ph/GEPSNONPILOT/Tender/SplashBidNoticeAbstractUI.aspx?menuIndex=3&amp;refID=7193266&amp;Result=3","7193266")</f>
        <v>0</v>
      </c>
      <c r="B1188" t="s">
        <v>455</v>
      </c>
      <c r="C1188" t="s">
        <v>4664</v>
      </c>
      <c r="E1188" t="s">
        <v>18312</v>
      </c>
      <c r="F1188" t="s">
        <v>29372</v>
      </c>
      <c r="G1188" t="s">
        <v>29383</v>
      </c>
      <c r="H1188" t="s">
        <v>11048</v>
      </c>
      <c r="I1188" t="s">
        <v>5383</v>
      </c>
      <c r="J1188" t="s">
        <v>30411</v>
      </c>
      <c r="K1188" t="s">
        <v>38518</v>
      </c>
      <c r="M1188" t="s">
        <v>39219</v>
      </c>
      <c r="N1188" t="s">
        <v>42669</v>
      </c>
      <c r="O1188" t="s">
        <v>42670</v>
      </c>
      <c r="P1188">
        <v>0</v>
      </c>
      <c r="Q1188">
        <v>1</v>
      </c>
      <c r="R1188" t="s">
        <v>42673</v>
      </c>
      <c r="S1188" t="s">
        <v>42784</v>
      </c>
      <c r="T1188" t="s">
        <v>44387</v>
      </c>
      <c r="U1188" t="s">
        <v>45862</v>
      </c>
      <c r="W1188" t="s">
        <v>39219</v>
      </c>
      <c r="X1188" t="s">
        <v>42674</v>
      </c>
    </row>
    <row r="1189" spans="1:24">
      <c r="A1189">
        <f>HYPERLINK("https://www.philgeps.gov.ph/GEPSNONPILOT/Tender/SplashBidNoticeAbstractUI.aspx?menuIndex=3&amp;refID=7193307&amp;Result=3","7193307")</f>
        <v>0</v>
      </c>
      <c r="B1189" t="s">
        <v>34</v>
      </c>
      <c r="C1189" t="s">
        <v>4665</v>
      </c>
      <c r="D1189" t="s">
        <v>17148</v>
      </c>
      <c r="E1189" t="s">
        <v>18313</v>
      </c>
      <c r="F1189" t="s">
        <v>29372</v>
      </c>
      <c r="G1189" t="s">
        <v>29379</v>
      </c>
      <c r="H1189" t="s">
        <v>11048</v>
      </c>
      <c r="I1189" t="s">
        <v>4709</v>
      </c>
      <c r="J1189" t="s">
        <v>29609</v>
      </c>
      <c r="K1189" t="s">
        <v>38522</v>
      </c>
      <c r="M1189" t="s">
        <v>38787</v>
      </c>
      <c r="N1189" t="s">
        <v>42669</v>
      </c>
      <c r="O1189" t="s">
        <v>42670</v>
      </c>
      <c r="P1189">
        <v>0</v>
      </c>
      <c r="Q1189">
        <v>1</v>
      </c>
      <c r="R1189" t="s">
        <v>42673</v>
      </c>
      <c r="S1189" t="s">
        <v>42784</v>
      </c>
      <c r="T1189" t="s">
        <v>44454</v>
      </c>
      <c r="U1189" t="s">
        <v>45871</v>
      </c>
      <c r="W1189" t="s">
        <v>38787</v>
      </c>
      <c r="X1189" t="s">
        <v>42674</v>
      </c>
    </row>
    <row r="1190" spans="1:24">
      <c r="A1190">
        <f>HYPERLINK("https://www.philgeps.gov.ph/GEPSNONPILOT/Tender/SplashBidNoticeAbstractUI.aspx?menuIndex=3&amp;refID=7193304&amp;Result=3","7193304")</f>
        <v>0</v>
      </c>
      <c r="B1190" t="s">
        <v>459</v>
      </c>
      <c r="C1190" t="s">
        <v>4666</v>
      </c>
      <c r="D1190" t="s">
        <v>17193</v>
      </c>
      <c r="E1190" t="s">
        <v>18314</v>
      </c>
      <c r="F1190" t="s">
        <v>29372</v>
      </c>
      <c r="G1190" t="s">
        <v>29379</v>
      </c>
      <c r="H1190" t="s">
        <v>29391</v>
      </c>
      <c r="I1190" t="s">
        <v>29447</v>
      </c>
      <c r="J1190" t="s">
        <v>30412</v>
      </c>
      <c r="K1190" t="s">
        <v>38567</v>
      </c>
      <c r="M1190" t="s">
        <v>39223</v>
      </c>
      <c r="N1190" t="s">
        <v>42669</v>
      </c>
      <c r="O1190" t="s">
        <v>42670</v>
      </c>
      <c r="P1190">
        <v>0</v>
      </c>
      <c r="Q1190">
        <v>0</v>
      </c>
      <c r="R1190" t="s">
        <v>42673</v>
      </c>
      <c r="S1190" t="s">
        <v>42784</v>
      </c>
      <c r="T1190" t="s">
        <v>44512</v>
      </c>
      <c r="U1190" t="s">
        <v>45872</v>
      </c>
      <c r="W1190" t="s">
        <v>39223</v>
      </c>
      <c r="X1190" t="s">
        <v>42674</v>
      </c>
    </row>
    <row r="1191" spans="1:24">
      <c r="A1191">
        <f>HYPERLINK("https://www.philgeps.gov.ph/GEPSNONPILOT/Tender/SplashBidNoticeAbstractUI.aspx?menuIndex=3&amp;refID=7193290&amp;Result=3","7193290")</f>
        <v>0</v>
      </c>
      <c r="B1191" t="s">
        <v>431</v>
      </c>
      <c r="C1191" t="s">
        <v>4667</v>
      </c>
      <c r="D1191" t="s">
        <v>17141</v>
      </c>
      <c r="E1191" t="s">
        <v>18035</v>
      </c>
      <c r="F1191" t="s">
        <v>29375</v>
      </c>
      <c r="G1191" t="s">
        <v>29380</v>
      </c>
      <c r="H1191" t="s">
        <v>11048</v>
      </c>
      <c r="I1191" t="s">
        <v>29400</v>
      </c>
      <c r="J1191" t="s">
        <v>29526</v>
      </c>
      <c r="K1191" t="s">
        <v>38491</v>
      </c>
      <c r="M1191" t="s">
        <v>39195</v>
      </c>
      <c r="N1191" t="s">
        <v>42669</v>
      </c>
      <c r="O1191" t="s">
        <v>42670</v>
      </c>
      <c r="P1191">
        <v>0</v>
      </c>
      <c r="Q1191">
        <v>1</v>
      </c>
      <c r="R1191" t="s">
        <v>42673</v>
      </c>
      <c r="S1191" t="s">
        <v>42784</v>
      </c>
      <c r="T1191" t="s">
        <v>44507</v>
      </c>
      <c r="U1191" t="s">
        <v>45873</v>
      </c>
      <c r="W1191" t="s">
        <v>39195</v>
      </c>
      <c r="X1191" t="s">
        <v>42674</v>
      </c>
    </row>
    <row r="1192" spans="1:24">
      <c r="A1192">
        <f>HYPERLINK("https://www.philgeps.gov.ph/GEPSNONPILOT/Tender/SplashBidNoticeAbstractUI.aspx?menuIndex=3&amp;refID=7193288&amp;Result=3","7193288")</f>
        <v>0</v>
      </c>
      <c r="B1192" t="s">
        <v>455</v>
      </c>
      <c r="C1192" t="s">
        <v>4668</v>
      </c>
      <c r="D1192" t="s">
        <v>17157</v>
      </c>
      <c r="E1192" t="s">
        <v>18315</v>
      </c>
      <c r="F1192" t="s">
        <v>29372</v>
      </c>
      <c r="G1192" t="s">
        <v>29383</v>
      </c>
      <c r="H1192" t="s">
        <v>11048</v>
      </c>
      <c r="I1192" t="s">
        <v>8614</v>
      </c>
      <c r="J1192" t="s">
        <v>29934</v>
      </c>
      <c r="K1192" t="s">
        <v>38518</v>
      </c>
      <c r="M1192" t="s">
        <v>39219</v>
      </c>
      <c r="N1192" t="s">
        <v>42669</v>
      </c>
      <c r="O1192" t="s">
        <v>42670</v>
      </c>
      <c r="P1192">
        <v>0</v>
      </c>
      <c r="Q1192">
        <v>0</v>
      </c>
      <c r="R1192" t="s">
        <v>42673</v>
      </c>
      <c r="S1192" t="s">
        <v>42784</v>
      </c>
      <c r="T1192" t="s">
        <v>44387</v>
      </c>
      <c r="U1192" t="s">
        <v>45862</v>
      </c>
      <c r="W1192" t="s">
        <v>39219</v>
      </c>
      <c r="X1192" t="s">
        <v>42674</v>
      </c>
    </row>
    <row r="1193" spans="1:24">
      <c r="A1193">
        <f>HYPERLINK("https://www.philgeps.gov.ph/GEPSNONPILOT/Tender/SplashBidNoticeAbstractUI.aspx?menuIndex=3&amp;refID=7193284&amp;Result=3","7193284")</f>
        <v>0</v>
      </c>
      <c r="B1193" t="s">
        <v>455</v>
      </c>
      <c r="C1193" t="s">
        <v>4669</v>
      </c>
      <c r="D1193" t="s">
        <v>17157</v>
      </c>
      <c r="E1193" t="s">
        <v>18316</v>
      </c>
      <c r="F1193" t="s">
        <v>29372</v>
      </c>
      <c r="G1193" t="s">
        <v>29383</v>
      </c>
      <c r="H1193" t="s">
        <v>11048</v>
      </c>
      <c r="I1193" t="s">
        <v>14920</v>
      </c>
      <c r="J1193" t="s">
        <v>30413</v>
      </c>
      <c r="K1193" t="s">
        <v>38518</v>
      </c>
      <c r="M1193" t="s">
        <v>39219</v>
      </c>
      <c r="N1193" t="s">
        <v>42669</v>
      </c>
      <c r="O1193" t="s">
        <v>42670</v>
      </c>
      <c r="P1193">
        <v>0</v>
      </c>
      <c r="Q1193">
        <v>1</v>
      </c>
      <c r="R1193" t="s">
        <v>42673</v>
      </c>
      <c r="S1193" t="s">
        <v>42784</v>
      </c>
      <c r="T1193" t="s">
        <v>44387</v>
      </c>
      <c r="U1193" t="s">
        <v>45862</v>
      </c>
      <c r="W1193" t="s">
        <v>39219</v>
      </c>
      <c r="X1193" t="s">
        <v>42674</v>
      </c>
    </row>
    <row r="1194" spans="1:24">
      <c r="A1194">
        <f>HYPERLINK("https://www.philgeps.gov.ph/GEPSNONPILOT/Tender/SplashBidNoticeAbstractUI.aspx?menuIndex=3&amp;refID=7193300&amp;Result=3","7193300")</f>
        <v>0</v>
      </c>
      <c r="B1194" t="s">
        <v>455</v>
      </c>
      <c r="C1194" t="s">
        <v>4670</v>
      </c>
      <c r="D1194" t="s">
        <v>17157</v>
      </c>
      <c r="E1194" t="s">
        <v>18317</v>
      </c>
      <c r="F1194" t="s">
        <v>29372</v>
      </c>
      <c r="G1194" t="s">
        <v>29383</v>
      </c>
      <c r="H1194" t="s">
        <v>11048</v>
      </c>
      <c r="I1194" t="s">
        <v>3839</v>
      </c>
      <c r="J1194" t="s">
        <v>29642</v>
      </c>
      <c r="K1194" t="s">
        <v>38510</v>
      </c>
      <c r="M1194" t="s">
        <v>39219</v>
      </c>
      <c r="N1194" t="s">
        <v>42669</v>
      </c>
      <c r="O1194" t="s">
        <v>42670</v>
      </c>
      <c r="P1194">
        <v>0</v>
      </c>
      <c r="Q1194">
        <v>0</v>
      </c>
      <c r="R1194" t="s">
        <v>42673</v>
      </c>
      <c r="S1194" t="s">
        <v>42784</v>
      </c>
      <c r="T1194" t="s">
        <v>44387</v>
      </c>
      <c r="U1194" t="s">
        <v>45862</v>
      </c>
      <c r="W1194" t="s">
        <v>39219</v>
      </c>
      <c r="X1194" t="s">
        <v>42674</v>
      </c>
    </row>
    <row r="1195" spans="1:24">
      <c r="A1195">
        <f>HYPERLINK("https://www.philgeps.gov.ph/GEPSNONPILOT/Tender/SplashBidNoticeAbstractUI.aspx?menuIndex=3&amp;refID=7193289&amp;Result=3","7193289")</f>
        <v>0</v>
      </c>
      <c r="B1195" t="s">
        <v>455</v>
      </c>
      <c r="C1195" t="s">
        <v>4671</v>
      </c>
      <c r="D1195" t="s">
        <v>17157</v>
      </c>
      <c r="E1195" t="s">
        <v>18318</v>
      </c>
      <c r="F1195" t="s">
        <v>29372</v>
      </c>
      <c r="G1195" t="s">
        <v>29383</v>
      </c>
      <c r="H1195" t="s">
        <v>11048</v>
      </c>
      <c r="I1195" t="s">
        <v>29464</v>
      </c>
      <c r="J1195" t="s">
        <v>30414</v>
      </c>
      <c r="K1195" t="s">
        <v>38510</v>
      </c>
      <c r="M1195" t="s">
        <v>39219</v>
      </c>
      <c r="N1195" t="s">
        <v>42669</v>
      </c>
      <c r="O1195" t="s">
        <v>42670</v>
      </c>
      <c r="P1195">
        <v>0</v>
      </c>
      <c r="Q1195">
        <v>0</v>
      </c>
      <c r="R1195" t="s">
        <v>42673</v>
      </c>
      <c r="S1195" t="s">
        <v>42784</v>
      </c>
      <c r="T1195" t="s">
        <v>44387</v>
      </c>
      <c r="U1195" t="s">
        <v>45862</v>
      </c>
      <c r="W1195" t="s">
        <v>39219</v>
      </c>
      <c r="X1195" t="s">
        <v>42674</v>
      </c>
    </row>
    <row r="1196" spans="1:24">
      <c r="A1196">
        <f>HYPERLINK("https://www.philgeps.gov.ph/GEPSNONPILOT/Tender/SplashBidNoticeAbstractUI.aspx?menuIndex=3&amp;refID=7193287&amp;Result=3","7193287")</f>
        <v>0</v>
      </c>
      <c r="B1196" t="s">
        <v>431</v>
      </c>
      <c r="C1196" t="s">
        <v>4645</v>
      </c>
      <c r="D1196" t="s">
        <v>17141</v>
      </c>
      <c r="E1196" t="s">
        <v>18035</v>
      </c>
      <c r="F1196" t="s">
        <v>29375</v>
      </c>
      <c r="G1196" t="s">
        <v>29380</v>
      </c>
      <c r="H1196" t="s">
        <v>11048</v>
      </c>
      <c r="I1196" t="s">
        <v>4487</v>
      </c>
      <c r="J1196" t="s">
        <v>30415</v>
      </c>
      <c r="K1196" t="s">
        <v>38491</v>
      </c>
      <c r="M1196" t="s">
        <v>39195</v>
      </c>
      <c r="N1196" t="s">
        <v>42669</v>
      </c>
      <c r="O1196" t="s">
        <v>42670</v>
      </c>
      <c r="P1196">
        <v>0</v>
      </c>
      <c r="Q1196">
        <v>3</v>
      </c>
      <c r="R1196" t="s">
        <v>42673</v>
      </c>
      <c r="S1196" t="s">
        <v>42784</v>
      </c>
      <c r="T1196" t="s">
        <v>44507</v>
      </c>
      <c r="U1196" t="s">
        <v>45859</v>
      </c>
      <c r="W1196" t="s">
        <v>39195</v>
      </c>
      <c r="X1196" t="s">
        <v>42674</v>
      </c>
    </row>
    <row r="1197" spans="1:24">
      <c r="A1197">
        <f>HYPERLINK("https://www.philgeps.gov.ph/GEPSNONPILOT/Tender/SplashBidNoticeAbstractUI.aspx?menuIndex=3&amp;refID=7193256&amp;Result=3","7193256")</f>
        <v>0</v>
      </c>
      <c r="B1197" t="s">
        <v>431</v>
      </c>
      <c r="C1197" t="s">
        <v>4672</v>
      </c>
      <c r="D1197" t="s">
        <v>17141</v>
      </c>
      <c r="E1197" t="s">
        <v>18035</v>
      </c>
      <c r="F1197" t="s">
        <v>29375</v>
      </c>
      <c r="G1197" t="s">
        <v>29380</v>
      </c>
      <c r="H1197" t="s">
        <v>11048</v>
      </c>
      <c r="I1197" t="s">
        <v>29400</v>
      </c>
      <c r="J1197" t="s">
        <v>29526</v>
      </c>
      <c r="K1197" t="s">
        <v>38491</v>
      </c>
      <c r="M1197" t="s">
        <v>39195</v>
      </c>
      <c r="N1197" t="s">
        <v>42669</v>
      </c>
      <c r="O1197" t="s">
        <v>42670</v>
      </c>
      <c r="P1197">
        <v>0</v>
      </c>
      <c r="Q1197">
        <v>1</v>
      </c>
      <c r="R1197" t="s">
        <v>42673</v>
      </c>
      <c r="S1197" t="s">
        <v>42784</v>
      </c>
      <c r="T1197" t="s">
        <v>44507</v>
      </c>
      <c r="U1197" t="s">
        <v>45874</v>
      </c>
      <c r="W1197" t="s">
        <v>39195</v>
      </c>
      <c r="X1197" t="s">
        <v>42674</v>
      </c>
    </row>
    <row r="1198" spans="1:24">
      <c r="A1198">
        <f>HYPERLINK("https://www.philgeps.gov.ph/GEPSNONPILOT/Tender/SplashBidNoticeAbstractUI.aspx?menuIndex=3&amp;refID=7193326&amp;Result=3","7193326")</f>
        <v>0</v>
      </c>
      <c r="B1198" t="s">
        <v>450</v>
      </c>
      <c r="C1198" t="s">
        <v>4673</v>
      </c>
      <c r="D1198" t="s">
        <v>17170</v>
      </c>
      <c r="E1198" t="s">
        <v>18255</v>
      </c>
      <c r="F1198" t="s">
        <v>29372</v>
      </c>
      <c r="G1198" t="s">
        <v>29380</v>
      </c>
      <c r="H1198" t="s">
        <v>29389</v>
      </c>
      <c r="I1198" t="s">
        <v>10408</v>
      </c>
      <c r="J1198" t="s">
        <v>30416</v>
      </c>
      <c r="K1198" t="s">
        <v>38490</v>
      </c>
      <c r="M1198" t="s">
        <v>39214</v>
      </c>
      <c r="N1198" t="s">
        <v>42669</v>
      </c>
      <c r="O1198" t="s">
        <v>42670</v>
      </c>
      <c r="P1198">
        <v>0</v>
      </c>
      <c r="Q1198">
        <v>0</v>
      </c>
      <c r="R1198" t="s">
        <v>42673</v>
      </c>
      <c r="S1198" t="s">
        <v>42784</v>
      </c>
      <c r="T1198" t="s">
        <v>44514</v>
      </c>
      <c r="U1198" t="s">
        <v>45875</v>
      </c>
      <c r="W1198" t="s">
        <v>39214</v>
      </c>
      <c r="X1198" t="s">
        <v>42674</v>
      </c>
    </row>
    <row r="1199" spans="1:24">
      <c r="A1199">
        <f>HYPERLINK("https://www.philgeps.gov.ph/GEPSNONPILOT/Tender/SplashBidNoticeAbstractUI.aspx?menuIndex=3&amp;refID=7193270&amp;Result=3","7193270")</f>
        <v>0</v>
      </c>
      <c r="B1199" t="s">
        <v>455</v>
      </c>
      <c r="C1199" t="s">
        <v>4674</v>
      </c>
      <c r="D1199" t="s">
        <v>17157</v>
      </c>
      <c r="E1199" t="s">
        <v>18319</v>
      </c>
      <c r="F1199" t="s">
        <v>29372</v>
      </c>
      <c r="G1199" t="s">
        <v>29383</v>
      </c>
      <c r="H1199" t="s">
        <v>11048</v>
      </c>
      <c r="I1199" t="s">
        <v>8614</v>
      </c>
      <c r="J1199" t="s">
        <v>30417</v>
      </c>
      <c r="K1199" t="s">
        <v>38518</v>
      </c>
      <c r="M1199" t="s">
        <v>39219</v>
      </c>
      <c r="N1199" t="s">
        <v>42669</v>
      </c>
      <c r="O1199" t="s">
        <v>42670</v>
      </c>
      <c r="P1199">
        <v>0</v>
      </c>
      <c r="Q1199">
        <v>1</v>
      </c>
      <c r="R1199" t="s">
        <v>42673</v>
      </c>
      <c r="S1199" t="s">
        <v>42784</v>
      </c>
      <c r="T1199" t="s">
        <v>44387</v>
      </c>
      <c r="U1199" t="s">
        <v>45862</v>
      </c>
      <c r="W1199" t="s">
        <v>39219</v>
      </c>
      <c r="X1199" t="s">
        <v>42674</v>
      </c>
    </row>
    <row r="1200" spans="1:24">
      <c r="A1200">
        <f>HYPERLINK("https://www.philgeps.gov.ph/GEPSNONPILOT/Tender/SplashBidNoticeAbstractUI.aspx?menuIndex=3&amp;refID=7193283&amp;Result=3","7193283")</f>
        <v>0</v>
      </c>
      <c r="B1200" t="s">
        <v>431</v>
      </c>
      <c r="C1200" t="s">
        <v>4675</v>
      </c>
      <c r="D1200" t="s">
        <v>17141</v>
      </c>
      <c r="E1200" t="s">
        <v>18035</v>
      </c>
      <c r="F1200" t="s">
        <v>29375</v>
      </c>
      <c r="G1200" t="s">
        <v>29380</v>
      </c>
      <c r="H1200" t="s">
        <v>11048</v>
      </c>
      <c r="I1200" t="s">
        <v>29453</v>
      </c>
      <c r="J1200" t="s">
        <v>30418</v>
      </c>
      <c r="K1200" t="s">
        <v>38491</v>
      </c>
      <c r="M1200" t="s">
        <v>39195</v>
      </c>
      <c r="N1200" t="s">
        <v>42669</v>
      </c>
      <c r="O1200" t="s">
        <v>42670</v>
      </c>
      <c r="P1200">
        <v>0</v>
      </c>
      <c r="Q1200">
        <v>0</v>
      </c>
      <c r="R1200" t="s">
        <v>42673</v>
      </c>
      <c r="S1200" t="s">
        <v>42784</v>
      </c>
      <c r="T1200" t="s">
        <v>44507</v>
      </c>
      <c r="U1200" t="s">
        <v>45876</v>
      </c>
      <c r="W1200" t="s">
        <v>39195</v>
      </c>
      <c r="X1200" t="s">
        <v>42674</v>
      </c>
    </row>
    <row r="1201" spans="1:24">
      <c r="A1201">
        <f>HYPERLINK("https://www.philgeps.gov.ph/GEPSNONPILOT/Tender/SplashBidNoticeAbstractUI.aspx?menuIndex=3&amp;refID=7193324&amp;Result=3","7193324")</f>
        <v>0</v>
      </c>
      <c r="B1201" t="s">
        <v>460</v>
      </c>
      <c r="C1201" t="s">
        <v>4676</v>
      </c>
      <c r="D1201" t="s">
        <v>17197</v>
      </c>
      <c r="E1201" t="s">
        <v>18320</v>
      </c>
      <c r="F1201" t="s">
        <v>29372</v>
      </c>
      <c r="G1201" t="s">
        <v>29383</v>
      </c>
      <c r="H1201" t="s">
        <v>11048</v>
      </c>
      <c r="I1201" t="s">
        <v>29412</v>
      </c>
      <c r="J1201" t="s">
        <v>30419</v>
      </c>
      <c r="K1201" t="s">
        <v>38569</v>
      </c>
      <c r="M1201" t="s">
        <v>39224</v>
      </c>
      <c r="N1201" t="s">
        <v>42669</v>
      </c>
      <c r="O1201" t="s">
        <v>42670</v>
      </c>
      <c r="P1201">
        <v>0</v>
      </c>
      <c r="Q1201">
        <v>0</v>
      </c>
      <c r="R1201" t="s">
        <v>42673</v>
      </c>
      <c r="S1201" t="s">
        <v>42784</v>
      </c>
      <c r="T1201" t="s">
        <v>44441</v>
      </c>
      <c r="U1201" t="s">
        <v>45877</v>
      </c>
      <c r="W1201" t="s">
        <v>39224</v>
      </c>
      <c r="X1201" t="s">
        <v>42674</v>
      </c>
    </row>
    <row r="1202" spans="1:24">
      <c r="A1202">
        <f>HYPERLINK("https://www.philgeps.gov.ph/GEPSNONPILOT/Tender/SplashBidNoticeAbstractUI.aspx?menuIndex=3&amp;refID=7193325&amp;Result=3","7193325")</f>
        <v>0</v>
      </c>
      <c r="B1202" t="s">
        <v>233</v>
      </c>
      <c r="C1202" t="s">
        <v>4677</v>
      </c>
      <c r="D1202" t="s">
        <v>17203</v>
      </c>
      <c r="E1202" t="s">
        <v>18321</v>
      </c>
      <c r="F1202" t="s">
        <v>29372</v>
      </c>
      <c r="G1202" t="s">
        <v>29380</v>
      </c>
      <c r="H1202" t="s">
        <v>11048</v>
      </c>
      <c r="I1202" t="s">
        <v>4709</v>
      </c>
      <c r="J1202" t="s">
        <v>30420</v>
      </c>
      <c r="K1202" t="s">
        <v>38488</v>
      </c>
      <c r="M1202" t="s">
        <v>38992</v>
      </c>
      <c r="N1202" t="s">
        <v>42669</v>
      </c>
      <c r="O1202" t="s">
        <v>42670</v>
      </c>
      <c r="P1202">
        <v>0</v>
      </c>
      <c r="Q1202">
        <v>0</v>
      </c>
      <c r="R1202" t="s">
        <v>42673</v>
      </c>
      <c r="S1202" t="s">
        <v>42784</v>
      </c>
      <c r="T1202" t="s">
        <v>44373</v>
      </c>
      <c r="U1202" t="s">
        <v>45878</v>
      </c>
      <c r="W1202" t="s">
        <v>38992</v>
      </c>
      <c r="X1202" t="s">
        <v>42674</v>
      </c>
    </row>
    <row r="1203" spans="1:24">
      <c r="A1203">
        <f>HYPERLINK("https://www.philgeps.gov.ph/GEPSNONPILOT/Tender/SplashBidNoticeAbstractUI.aspx?menuIndex=3&amp;refID=7193314&amp;Result=3","7193314")</f>
        <v>0</v>
      </c>
      <c r="B1203" t="s">
        <v>394</v>
      </c>
      <c r="C1203" t="s">
        <v>4678</v>
      </c>
      <c r="D1203" t="s">
        <v>17170</v>
      </c>
      <c r="E1203" t="s">
        <v>18322</v>
      </c>
      <c r="F1203" t="s">
        <v>29372</v>
      </c>
      <c r="G1203" t="s">
        <v>29380</v>
      </c>
      <c r="H1203" t="s">
        <v>11048</v>
      </c>
      <c r="I1203" t="s">
        <v>3952</v>
      </c>
      <c r="J1203" t="s">
        <v>30421</v>
      </c>
      <c r="K1203" t="s">
        <v>38496</v>
      </c>
      <c r="M1203" t="s">
        <v>39157</v>
      </c>
      <c r="N1203" t="s">
        <v>42669</v>
      </c>
      <c r="O1203" t="s">
        <v>42670</v>
      </c>
      <c r="P1203">
        <v>0</v>
      </c>
      <c r="Q1203">
        <v>2</v>
      </c>
      <c r="R1203" t="s">
        <v>42673</v>
      </c>
      <c r="S1203" t="s">
        <v>42784</v>
      </c>
      <c r="T1203" t="s">
        <v>44395</v>
      </c>
      <c r="U1203" t="s">
        <v>45846</v>
      </c>
      <c r="W1203" t="s">
        <v>39157</v>
      </c>
      <c r="X1203" t="s">
        <v>42674</v>
      </c>
    </row>
    <row r="1204" spans="1:24">
      <c r="A1204">
        <f>HYPERLINK("https://www.philgeps.gov.ph/GEPSNONPILOT/Tender/SplashBidNoticeAbstractUI.aspx?menuIndex=3&amp;refID=7193254&amp;Result=3","7193254")</f>
        <v>0</v>
      </c>
      <c r="B1204" t="s">
        <v>431</v>
      </c>
      <c r="C1204" t="s">
        <v>4679</v>
      </c>
      <c r="D1204" t="s">
        <v>17141</v>
      </c>
      <c r="E1204" t="s">
        <v>18035</v>
      </c>
      <c r="F1204" t="s">
        <v>29375</v>
      </c>
      <c r="G1204" t="s">
        <v>29380</v>
      </c>
      <c r="H1204" t="s">
        <v>11048</v>
      </c>
      <c r="I1204" t="s">
        <v>29400</v>
      </c>
      <c r="J1204" t="s">
        <v>29619</v>
      </c>
      <c r="K1204" t="s">
        <v>38491</v>
      </c>
      <c r="M1204" t="s">
        <v>39195</v>
      </c>
      <c r="N1204" t="s">
        <v>42669</v>
      </c>
      <c r="O1204" t="s">
        <v>42670</v>
      </c>
      <c r="P1204">
        <v>0</v>
      </c>
      <c r="Q1204">
        <v>1</v>
      </c>
      <c r="R1204" t="s">
        <v>42673</v>
      </c>
      <c r="S1204" t="s">
        <v>42784</v>
      </c>
      <c r="T1204" t="s">
        <v>44507</v>
      </c>
      <c r="U1204" t="s">
        <v>45879</v>
      </c>
      <c r="W1204" t="s">
        <v>39195</v>
      </c>
      <c r="X1204" t="s">
        <v>42674</v>
      </c>
    </row>
    <row r="1205" spans="1:24">
      <c r="A1205">
        <f>HYPERLINK("https://www.philgeps.gov.ph/GEPSNONPILOT/Tender/SplashBidNoticeAbstractUI.aspx?menuIndex=3&amp;refID=7193335&amp;Result=3","7193335")</f>
        <v>0</v>
      </c>
      <c r="B1205" t="s">
        <v>461</v>
      </c>
      <c r="C1205" t="s">
        <v>4680</v>
      </c>
      <c r="D1205" t="s">
        <v>17166</v>
      </c>
      <c r="E1205" t="s">
        <v>18323</v>
      </c>
      <c r="F1205" t="s">
        <v>29373</v>
      </c>
      <c r="G1205" t="s">
        <v>29380</v>
      </c>
      <c r="H1205" t="s">
        <v>29389</v>
      </c>
      <c r="I1205" t="s">
        <v>10408</v>
      </c>
      <c r="J1205" t="s">
        <v>30422</v>
      </c>
      <c r="K1205" t="s">
        <v>38485</v>
      </c>
      <c r="M1205" t="s">
        <v>39225</v>
      </c>
      <c r="N1205" t="s">
        <v>42669</v>
      </c>
      <c r="O1205" t="s">
        <v>42670</v>
      </c>
      <c r="P1205">
        <v>0</v>
      </c>
      <c r="Q1205">
        <v>1</v>
      </c>
      <c r="R1205" t="s">
        <v>42673</v>
      </c>
      <c r="S1205" t="s">
        <v>42784</v>
      </c>
      <c r="T1205" t="s">
        <v>44516</v>
      </c>
      <c r="U1205" t="s">
        <v>45880</v>
      </c>
      <c r="W1205" t="s">
        <v>39225</v>
      </c>
      <c r="X1205" t="s">
        <v>42674</v>
      </c>
    </row>
    <row r="1206" spans="1:24">
      <c r="A1206">
        <f>HYPERLINK("https://www.philgeps.gov.ph/GEPSNONPILOT/Tender/SplashBidNoticeAbstractUI.aspx?menuIndex=3&amp;refID=7193330&amp;Result=3","7193330")</f>
        <v>0</v>
      </c>
      <c r="B1206" t="s">
        <v>448</v>
      </c>
      <c r="C1206" t="s">
        <v>4681</v>
      </c>
      <c r="D1206" t="s">
        <v>17163</v>
      </c>
      <c r="E1206" t="s">
        <v>18284</v>
      </c>
      <c r="F1206" t="s">
        <v>29372</v>
      </c>
      <c r="G1206" t="s">
        <v>29383</v>
      </c>
      <c r="H1206" t="s">
        <v>11048</v>
      </c>
      <c r="I1206" t="s">
        <v>29409</v>
      </c>
      <c r="J1206" t="s">
        <v>30423</v>
      </c>
      <c r="K1206" t="s">
        <v>38510</v>
      </c>
      <c r="M1206" t="s">
        <v>39212</v>
      </c>
      <c r="N1206" t="s">
        <v>42669</v>
      </c>
      <c r="O1206" t="s">
        <v>42670</v>
      </c>
      <c r="P1206">
        <v>0</v>
      </c>
      <c r="Q1206">
        <v>0</v>
      </c>
      <c r="R1206" t="s">
        <v>42673</v>
      </c>
      <c r="S1206" t="s">
        <v>42784</v>
      </c>
      <c r="T1206" t="s">
        <v>44513</v>
      </c>
      <c r="U1206" t="s">
        <v>45881</v>
      </c>
      <c r="W1206" t="s">
        <v>39212</v>
      </c>
      <c r="X1206" t="s">
        <v>42674</v>
      </c>
    </row>
    <row r="1207" spans="1:24">
      <c r="A1207">
        <f>HYPERLINK("https://www.philgeps.gov.ph/GEPSNONPILOT/Tender/SplashBidNoticeAbstractUI.aspx?menuIndex=3&amp;refID=7193291&amp;Result=3","7193291")</f>
        <v>0</v>
      </c>
      <c r="B1207" t="s">
        <v>462</v>
      </c>
      <c r="C1207" t="s">
        <v>4682</v>
      </c>
      <c r="D1207" t="s">
        <v>17180</v>
      </c>
      <c r="E1207" t="s">
        <v>18324</v>
      </c>
      <c r="F1207" t="s">
        <v>29372</v>
      </c>
      <c r="G1207" t="s">
        <v>29379</v>
      </c>
      <c r="H1207" t="s">
        <v>11048</v>
      </c>
      <c r="I1207" t="s">
        <v>5383</v>
      </c>
      <c r="J1207" t="s">
        <v>30424</v>
      </c>
      <c r="K1207" t="s">
        <v>38485</v>
      </c>
      <c r="M1207" t="s">
        <v>39226</v>
      </c>
      <c r="N1207" t="s">
        <v>42669</v>
      </c>
      <c r="O1207" t="s">
        <v>42670</v>
      </c>
      <c r="P1207">
        <v>0</v>
      </c>
      <c r="Q1207">
        <v>3</v>
      </c>
      <c r="R1207" t="s">
        <v>42673</v>
      </c>
      <c r="S1207" t="s">
        <v>42784</v>
      </c>
      <c r="T1207" t="s">
        <v>44488</v>
      </c>
      <c r="U1207" t="s">
        <v>45882</v>
      </c>
      <c r="W1207" t="s">
        <v>39226</v>
      </c>
      <c r="X1207" t="s">
        <v>42674</v>
      </c>
    </row>
    <row r="1208" spans="1:24">
      <c r="A1208">
        <f>HYPERLINK("https://www.philgeps.gov.ph/GEPSNONPILOT/Tender/SplashBidNoticeAbstractUI.aspx?menuIndex=3&amp;refID=7193323&amp;Result=3","7193323")</f>
        <v>0</v>
      </c>
      <c r="B1208" t="s">
        <v>458</v>
      </c>
      <c r="C1208" t="s">
        <v>3839</v>
      </c>
      <c r="D1208" t="s">
        <v>17142</v>
      </c>
      <c r="E1208" t="s">
        <v>18325</v>
      </c>
      <c r="F1208" t="s">
        <v>29372</v>
      </c>
      <c r="G1208" t="s">
        <v>29379</v>
      </c>
      <c r="H1208" t="s">
        <v>11048</v>
      </c>
      <c r="I1208" t="s">
        <v>3839</v>
      </c>
      <c r="J1208" t="s">
        <v>30175</v>
      </c>
      <c r="K1208" t="s">
        <v>38490</v>
      </c>
      <c r="M1208" t="s">
        <v>39222</v>
      </c>
      <c r="N1208" t="s">
        <v>42669</v>
      </c>
      <c r="O1208" t="s">
        <v>42670</v>
      </c>
      <c r="P1208">
        <v>0</v>
      </c>
      <c r="Q1208">
        <v>2</v>
      </c>
      <c r="R1208" t="s">
        <v>42673</v>
      </c>
      <c r="S1208" t="s">
        <v>42784</v>
      </c>
      <c r="T1208" t="s">
        <v>44429</v>
      </c>
      <c r="U1208" t="s">
        <v>45883</v>
      </c>
      <c r="W1208" t="s">
        <v>39222</v>
      </c>
      <c r="X1208" t="s">
        <v>42674</v>
      </c>
    </row>
    <row r="1209" spans="1:24">
      <c r="A1209">
        <f>HYPERLINK("https://www.philgeps.gov.ph/GEPSNONPILOT/Tender/SplashBidNoticeAbstractUI.aspx?menuIndex=3&amp;refID=7193322&amp;Result=3","7193322")</f>
        <v>0</v>
      </c>
      <c r="B1209" t="s">
        <v>394</v>
      </c>
      <c r="C1209" t="s">
        <v>4683</v>
      </c>
      <c r="D1209" t="s">
        <v>17170</v>
      </c>
      <c r="E1209" t="s">
        <v>18326</v>
      </c>
      <c r="F1209" t="s">
        <v>29372</v>
      </c>
      <c r="G1209" t="s">
        <v>29380</v>
      </c>
      <c r="H1209" t="s">
        <v>11048</v>
      </c>
      <c r="I1209" t="s">
        <v>3952</v>
      </c>
      <c r="J1209" t="s">
        <v>30425</v>
      </c>
      <c r="K1209" t="s">
        <v>38496</v>
      </c>
      <c r="M1209" t="s">
        <v>39157</v>
      </c>
      <c r="N1209" t="s">
        <v>42669</v>
      </c>
      <c r="O1209" t="s">
        <v>42670</v>
      </c>
      <c r="P1209">
        <v>0</v>
      </c>
      <c r="Q1209">
        <v>1</v>
      </c>
      <c r="R1209" t="s">
        <v>42673</v>
      </c>
      <c r="S1209" t="s">
        <v>42784</v>
      </c>
      <c r="T1209" t="s">
        <v>44395</v>
      </c>
      <c r="U1209" t="s">
        <v>45846</v>
      </c>
      <c r="W1209" t="s">
        <v>39157</v>
      </c>
      <c r="X1209" t="s">
        <v>42674</v>
      </c>
    </row>
    <row r="1210" spans="1:24">
      <c r="A1210">
        <f>HYPERLINK("https://www.philgeps.gov.ph/GEPSNONPILOT/Tender/SplashBidNoticeAbstractUI.aspx?menuIndex=3&amp;refID=7193321&amp;Result=3","7193321")</f>
        <v>0</v>
      </c>
      <c r="B1210" t="s">
        <v>463</v>
      </c>
      <c r="C1210" t="s">
        <v>4684</v>
      </c>
      <c r="D1210" t="s">
        <v>17203</v>
      </c>
      <c r="E1210" t="s">
        <v>18327</v>
      </c>
      <c r="F1210" t="s">
        <v>29372</v>
      </c>
      <c r="G1210" t="s">
        <v>29382</v>
      </c>
      <c r="H1210" t="s">
        <v>11048</v>
      </c>
      <c r="I1210" t="s">
        <v>5383</v>
      </c>
      <c r="J1210" t="s">
        <v>29708</v>
      </c>
      <c r="K1210" t="s">
        <v>38491</v>
      </c>
      <c r="M1210" t="s">
        <v>39227</v>
      </c>
      <c r="N1210" t="s">
        <v>42669</v>
      </c>
      <c r="O1210" t="s">
        <v>42670</v>
      </c>
      <c r="P1210">
        <v>0</v>
      </c>
      <c r="Q1210">
        <v>1</v>
      </c>
      <c r="R1210" t="s">
        <v>42673</v>
      </c>
      <c r="S1210" t="s">
        <v>42784</v>
      </c>
      <c r="T1210" t="s">
        <v>44417</v>
      </c>
      <c r="U1210" t="s">
        <v>45884</v>
      </c>
      <c r="W1210" t="s">
        <v>39227</v>
      </c>
      <c r="X1210" t="s">
        <v>42674</v>
      </c>
    </row>
    <row r="1211" spans="1:24">
      <c r="A1211">
        <f>HYPERLINK("https://www.philgeps.gov.ph/GEPSNONPILOT/Tender/SplashBidNoticeAbstractUI.aspx?menuIndex=3&amp;refID=7193320&amp;Result=3","7193320")</f>
        <v>0</v>
      </c>
      <c r="B1211" t="s">
        <v>464</v>
      </c>
      <c r="C1211" t="s">
        <v>3670</v>
      </c>
      <c r="D1211" t="s">
        <v>17160</v>
      </c>
      <c r="E1211" t="s">
        <v>18328</v>
      </c>
      <c r="F1211" t="s">
        <v>29372</v>
      </c>
      <c r="G1211" t="s">
        <v>29380</v>
      </c>
      <c r="H1211" t="s">
        <v>11048</v>
      </c>
      <c r="I1211" t="s">
        <v>3670</v>
      </c>
      <c r="J1211" t="s">
        <v>29708</v>
      </c>
      <c r="K1211" t="s">
        <v>38491</v>
      </c>
      <c r="M1211" t="s">
        <v>39228</v>
      </c>
      <c r="N1211" t="s">
        <v>42669</v>
      </c>
      <c r="O1211" t="s">
        <v>42670</v>
      </c>
      <c r="P1211">
        <v>0</v>
      </c>
      <c r="Q1211">
        <v>2</v>
      </c>
      <c r="R1211" t="s">
        <v>42673</v>
      </c>
      <c r="S1211" t="s">
        <v>42784</v>
      </c>
      <c r="T1211" t="s">
        <v>44389</v>
      </c>
      <c r="U1211" t="s">
        <v>45885</v>
      </c>
      <c r="W1211" t="s">
        <v>39228</v>
      </c>
      <c r="X1211" t="s">
        <v>42674</v>
      </c>
    </row>
    <row r="1212" spans="1:24">
      <c r="A1212">
        <f>HYPERLINK("https://www.philgeps.gov.ph/GEPSNONPILOT/Tender/SplashBidNoticeAbstractUI.aspx?menuIndex=3&amp;refID=7193332&amp;Result=3","7193332")</f>
        <v>0</v>
      </c>
      <c r="B1212" t="s">
        <v>458</v>
      </c>
      <c r="C1212" t="s">
        <v>3670</v>
      </c>
      <c r="D1212" t="s">
        <v>17142</v>
      </c>
      <c r="E1212" t="s">
        <v>18329</v>
      </c>
      <c r="F1212" t="s">
        <v>29372</v>
      </c>
      <c r="G1212" t="s">
        <v>29379</v>
      </c>
      <c r="H1212" t="s">
        <v>11048</v>
      </c>
      <c r="I1212" t="s">
        <v>3670</v>
      </c>
      <c r="J1212" t="s">
        <v>30426</v>
      </c>
      <c r="K1212" t="s">
        <v>38490</v>
      </c>
      <c r="M1212" t="s">
        <v>39222</v>
      </c>
      <c r="N1212" t="s">
        <v>42669</v>
      </c>
      <c r="O1212" t="s">
        <v>42670</v>
      </c>
      <c r="P1212">
        <v>0</v>
      </c>
      <c r="Q1212">
        <v>1</v>
      </c>
      <c r="R1212" t="s">
        <v>42673</v>
      </c>
      <c r="S1212" t="s">
        <v>42784</v>
      </c>
      <c r="T1212" t="s">
        <v>44429</v>
      </c>
      <c r="U1212" t="s">
        <v>45886</v>
      </c>
      <c r="W1212" t="s">
        <v>39222</v>
      </c>
      <c r="X1212" t="s">
        <v>42674</v>
      </c>
    </row>
    <row r="1213" spans="1:24">
      <c r="A1213">
        <f>HYPERLINK("https://www.philgeps.gov.ph/GEPSNONPILOT/Tender/SplashBidNoticeAbstractUI.aspx?menuIndex=3&amp;refID=7193329&amp;Result=3","7193329")</f>
        <v>0</v>
      </c>
      <c r="B1213" t="s">
        <v>458</v>
      </c>
      <c r="C1213" t="s">
        <v>3670</v>
      </c>
      <c r="D1213" t="s">
        <v>17142</v>
      </c>
      <c r="E1213" t="s">
        <v>18330</v>
      </c>
      <c r="F1213" t="s">
        <v>29372</v>
      </c>
      <c r="G1213" t="s">
        <v>29379</v>
      </c>
      <c r="H1213" t="s">
        <v>11048</v>
      </c>
      <c r="I1213" t="s">
        <v>3670</v>
      </c>
      <c r="J1213" t="s">
        <v>30427</v>
      </c>
      <c r="K1213" t="s">
        <v>38490</v>
      </c>
      <c r="M1213" t="s">
        <v>39222</v>
      </c>
      <c r="N1213" t="s">
        <v>42669</v>
      </c>
      <c r="O1213" t="s">
        <v>42670</v>
      </c>
      <c r="P1213">
        <v>0</v>
      </c>
      <c r="Q1213">
        <v>1</v>
      </c>
      <c r="R1213" t="s">
        <v>42673</v>
      </c>
      <c r="S1213" t="s">
        <v>42784</v>
      </c>
      <c r="T1213" t="s">
        <v>44429</v>
      </c>
      <c r="U1213" t="s">
        <v>45887</v>
      </c>
      <c r="W1213" t="s">
        <v>39222</v>
      </c>
      <c r="X1213" t="s">
        <v>42674</v>
      </c>
    </row>
    <row r="1214" spans="1:24">
      <c r="A1214">
        <f>HYPERLINK("https://www.philgeps.gov.ph/GEPSNONPILOT/Tender/SplashBidNoticeAbstractUI.aspx?menuIndex=3&amp;refID=7193338&amp;Result=3","7193338")</f>
        <v>0</v>
      </c>
      <c r="B1214" t="s">
        <v>394</v>
      </c>
      <c r="C1214" t="s">
        <v>4685</v>
      </c>
      <c r="D1214" t="s">
        <v>17170</v>
      </c>
      <c r="E1214" t="s">
        <v>18331</v>
      </c>
      <c r="F1214" t="s">
        <v>29372</v>
      </c>
      <c r="G1214" t="s">
        <v>29380</v>
      </c>
      <c r="H1214" t="s">
        <v>11048</v>
      </c>
      <c r="I1214" t="s">
        <v>29425</v>
      </c>
      <c r="J1214" t="s">
        <v>30428</v>
      </c>
      <c r="K1214" t="s">
        <v>38496</v>
      </c>
      <c r="M1214" t="s">
        <v>39157</v>
      </c>
      <c r="N1214" t="s">
        <v>42669</v>
      </c>
      <c r="O1214" t="s">
        <v>42670</v>
      </c>
      <c r="P1214">
        <v>0</v>
      </c>
      <c r="Q1214">
        <v>3</v>
      </c>
      <c r="R1214" t="s">
        <v>42673</v>
      </c>
      <c r="S1214" t="s">
        <v>42784</v>
      </c>
      <c r="T1214" t="s">
        <v>44395</v>
      </c>
      <c r="U1214" t="s">
        <v>45842</v>
      </c>
      <c r="W1214" t="s">
        <v>39157</v>
      </c>
      <c r="X1214" t="s">
        <v>42674</v>
      </c>
    </row>
    <row r="1215" spans="1:24">
      <c r="A1215">
        <f>HYPERLINK("https://www.philgeps.gov.ph/GEPSNONPILOT/Tender/SplashBidNoticeAbstractUI.aspx?menuIndex=3&amp;refID=7193336&amp;Result=3","7193336")</f>
        <v>0</v>
      </c>
      <c r="B1215" t="s">
        <v>394</v>
      </c>
      <c r="C1215" t="s">
        <v>4686</v>
      </c>
      <c r="D1215" t="s">
        <v>17170</v>
      </c>
      <c r="E1215" t="s">
        <v>18332</v>
      </c>
      <c r="F1215" t="s">
        <v>29372</v>
      </c>
      <c r="G1215" t="s">
        <v>29380</v>
      </c>
      <c r="H1215" t="s">
        <v>11048</v>
      </c>
      <c r="I1215" t="s">
        <v>29425</v>
      </c>
      <c r="J1215" t="s">
        <v>30429</v>
      </c>
      <c r="K1215" t="s">
        <v>38496</v>
      </c>
      <c r="M1215" t="s">
        <v>39157</v>
      </c>
      <c r="N1215" t="s">
        <v>42669</v>
      </c>
      <c r="O1215" t="s">
        <v>42670</v>
      </c>
      <c r="P1215">
        <v>0</v>
      </c>
      <c r="Q1215">
        <v>3</v>
      </c>
      <c r="R1215" t="s">
        <v>42673</v>
      </c>
      <c r="S1215" t="s">
        <v>42784</v>
      </c>
      <c r="T1215" t="s">
        <v>44395</v>
      </c>
      <c r="U1215" t="s">
        <v>45842</v>
      </c>
      <c r="W1215" t="s">
        <v>39157</v>
      </c>
      <c r="X1215" t="s">
        <v>42674</v>
      </c>
    </row>
    <row r="1216" spans="1:24">
      <c r="A1216">
        <f>HYPERLINK("https://www.philgeps.gov.ph/GEPSNONPILOT/Tender/SplashBidNoticeAbstractUI.aspx?menuIndex=3&amp;refID=7193365&amp;Result=3","7193365")</f>
        <v>0</v>
      </c>
      <c r="B1216" t="s">
        <v>465</v>
      </c>
      <c r="C1216" t="s">
        <v>4687</v>
      </c>
      <c r="D1216" t="s">
        <v>17168</v>
      </c>
      <c r="E1216" t="s">
        <v>18333</v>
      </c>
      <c r="F1216" t="s">
        <v>29372</v>
      </c>
      <c r="G1216" t="s">
        <v>29379</v>
      </c>
      <c r="H1216" t="s">
        <v>11048</v>
      </c>
      <c r="I1216" t="s">
        <v>3670</v>
      </c>
      <c r="J1216" t="s">
        <v>29555</v>
      </c>
      <c r="K1216" t="s">
        <v>38490</v>
      </c>
      <c r="M1216" t="s">
        <v>39229</v>
      </c>
      <c r="N1216" t="s">
        <v>42669</v>
      </c>
      <c r="O1216" t="s">
        <v>42670</v>
      </c>
      <c r="P1216">
        <v>0</v>
      </c>
      <c r="Q1216">
        <v>0</v>
      </c>
      <c r="R1216" t="s">
        <v>42673</v>
      </c>
      <c r="S1216" t="s">
        <v>42784</v>
      </c>
      <c r="T1216" t="s">
        <v>44387</v>
      </c>
      <c r="U1216" t="s">
        <v>45888</v>
      </c>
      <c r="W1216" t="s">
        <v>39229</v>
      </c>
      <c r="X1216" t="s">
        <v>42674</v>
      </c>
    </row>
    <row r="1217" spans="1:24">
      <c r="A1217">
        <f>HYPERLINK("https://www.philgeps.gov.ph/GEPSNONPILOT/Tender/SplashBidNoticeAbstractUI.aspx?menuIndex=3&amp;refID=7193319&amp;Result=3","7193319")</f>
        <v>0</v>
      </c>
      <c r="B1217" t="s">
        <v>458</v>
      </c>
      <c r="C1217" t="s">
        <v>4688</v>
      </c>
      <c r="D1217" t="s">
        <v>17142</v>
      </c>
      <c r="E1217" t="s">
        <v>18334</v>
      </c>
      <c r="F1217" t="s">
        <v>29372</v>
      </c>
      <c r="G1217" t="s">
        <v>29379</v>
      </c>
      <c r="H1217" t="s">
        <v>11048</v>
      </c>
      <c r="I1217" t="s">
        <v>29403</v>
      </c>
      <c r="J1217" t="s">
        <v>30430</v>
      </c>
      <c r="K1217" t="s">
        <v>38490</v>
      </c>
      <c r="M1217" t="s">
        <v>39222</v>
      </c>
      <c r="N1217" t="s">
        <v>42669</v>
      </c>
      <c r="O1217" t="s">
        <v>42670</v>
      </c>
      <c r="P1217">
        <v>0</v>
      </c>
      <c r="Q1217">
        <v>0</v>
      </c>
      <c r="R1217" t="s">
        <v>42673</v>
      </c>
      <c r="S1217" t="s">
        <v>42784</v>
      </c>
      <c r="T1217" t="s">
        <v>44429</v>
      </c>
      <c r="U1217" t="s">
        <v>45889</v>
      </c>
      <c r="W1217" t="s">
        <v>39222</v>
      </c>
      <c r="X1217" t="s">
        <v>42674</v>
      </c>
    </row>
    <row r="1218" spans="1:24">
      <c r="A1218">
        <f>HYPERLINK("https://www.philgeps.gov.ph/GEPSNONPILOT/Tender/SplashBidNoticeAbstractUI.aspx?menuIndex=3&amp;refID=7193317&amp;Result=3","7193317")</f>
        <v>0</v>
      </c>
      <c r="B1218" t="s">
        <v>455</v>
      </c>
      <c r="C1218" t="s">
        <v>4689</v>
      </c>
      <c r="D1218" t="s">
        <v>17157</v>
      </c>
      <c r="E1218" t="s">
        <v>18335</v>
      </c>
      <c r="F1218" t="s">
        <v>29372</v>
      </c>
      <c r="G1218" t="s">
        <v>29380</v>
      </c>
      <c r="H1218" t="s">
        <v>11048</v>
      </c>
      <c r="I1218" t="s">
        <v>6417</v>
      </c>
      <c r="J1218" t="s">
        <v>30431</v>
      </c>
      <c r="K1218" t="s">
        <v>38515</v>
      </c>
      <c r="M1218" t="s">
        <v>39219</v>
      </c>
      <c r="N1218" t="s">
        <v>42669</v>
      </c>
      <c r="O1218" t="s">
        <v>42670</v>
      </c>
      <c r="P1218">
        <v>0</v>
      </c>
      <c r="Q1218">
        <v>2</v>
      </c>
      <c r="R1218" t="s">
        <v>42673</v>
      </c>
      <c r="S1218" t="s">
        <v>42784</v>
      </c>
      <c r="T1218" t="s">
        <v>44504</v>
      </c>
      <c r="U1218" t="s">
        <v>45870</v>
      </c>
      <c r="V1218" t="s">
        <v>56471</v>
      </c>
      <c r="W1218" t="s">
        <v>39219</v>
      </c>
      <c r="X1218" t="s">
        <v>42674</v>
      </c>
    </row>
    <row r="1219" spans="1:24">
      <c r="A1219">
        <f>HYPERLINK("https://www.philgeps.gov.ph/GEPSNONPILOT/Tender/SplashBidNoticeAbstractUI.aspx?menuIndex=3&amp;refID=7193360&amp;Result=3","7193360")</f>
        <v>0</v>
      </c>
      <c r="B1219" t="s">
        <v>466</v>
      </c>
      <c r="C1219" t="s">
        <v>4690</v>
      </c>
      <c r="D1219" t="s">
        <v>17188</v>
      </c>
      <c r="E1219" t="s">
        <v>18336</v>
      </c>
      <c r="F1219" t="s">
        <v>29372</v>
      </c>
      <c r="G1219" t="s">
        <v>29380</v>
      </c>
      <c r="H1219" t="s">
        <v>11048</v>
      </c>
      <c r="I1219" t="s">
        <v>29404</v>
      </c>
      <c r="J1219" t="s">
        <v>30432</v>
      </c>
      <c r="K1219" t="s">
        <v>38490</v>
      </c>
      <c r="M1219" t="s">
        <v>39230</v>
      </c>
      <c r="N1219" t="s">
        <v>42669</v>
      </c>
      <c r="O1219" t="s">
        <v>42670</v>
      </c>
      <c r="P1219">
        <v>0</v>
      </c>
      <c r="Q1219">
        <v>0</v>
      </c>
      <c r="R1219" t="s">
        <v>42673</v>
      </c>
      <c r="S1219" t="s">
        <v>42784</v>
      </c>
      <c r="T1219" t="s">
        <v>44426</v>
      </c>
      <c r="U1219" t="s">
        <v>45890</v>
      </c>
      <c r="W1219" t="s">
        <v>39230</v>
      </c>
      <c r="X1219" t="s">
        <v>42674</v>
      </c>
    </row>
    <row r="1220" spans="1:24">
      <c r="A1220">
        <f>HYPERLINK("https://www.philgeps.gov.ph/GEPSNONPILOT/Tender/SplashBidNoticeAbstractUI.aspx?menuIndex=3&amp;refID=7193359&amp;Result=3","7193359")</f>
        <v>0</v>
      </c>
      <c r="B1220" t="s">
        <v>459</v>
      </c>
      <c r="C1220" t="s">
        <v>4691</v>
      </c>
      <c r="D1220" t="s">
        <v>17193</v>
      </c>
      <c r="E1220" t="s">
        <v>18337</v>
      </c>
      <c r="F1220" t="s">
        <v>29372</v>
      </c>
      <c r="G1220" t="s">
        <v>29386</v>
      </c>
      <c r="H1220" t="s">
        <v>29391</v>
      </c>
      <c r="I1220" t="s">
        <v>29391</v>
      </c>
      <c r="J1220" t="s">
        <v>30161</v>
      </c>
      <c r="K1220" t="s">
        <v>38570</v>
      </c>
      <c r="M1220" t="s">
        <v>39223</v>
      </c>
      <c r="N1220" t="s">
        <v>42669</v>
      </c>
      <c r="O1220" t="s">
        <v>42670</v>
      </c>
      <c r="P1220">
        <v>0</v>
      </c>
      <c r="Q1220">
        <v>0</v>
      </c>
      <c r="R1220" t="s">
        <v>42673</v>
      </c>
      <c r="S1220" t="s">
        <v>42784</v>
      </c>
      <c r="T1220" t="s">
        <v>44517</v>
      </c>
      <c r="U1220" t="s">
        <v>45891</v>
      </c>
      <c r="W1220" t="s">
        <v>39223</v>
      </c>
      <c r="X1220" t="s">
        <v>42674</v>
      </c>
    </row>
    <row r="1221" spans="1:24">
      <c r="A1221">
        <f>HYPERLINK("https://www.philgeps.gov.ph/GEPSNONPILOT/Tender/SplashBidNoticeAbstractUI.aspx?menuIndex=3&amp;refID=7193361&amp;Result=3","7193361")</f>
        <v>0</v>
      </c>
      <c r="B1221" t="s">
        <v>252</v>
      </c>
      <c r="C1221" t="s">
        <v>4692</v>
      </c>
      <c r="D1221" t="s">
        <v>17160</v>
      </c>
      <c r="E1221" t="s">
        <v>18338</v>
      </c>
      <c r="F1221" t="s">
        <v>29372</v>
      </c>
      <c r="G1221" t="s">
        <v>29379</v>
      </c>
      <c r="H1221" t="s">
        <v>11048</v>
      </c>
      <c r="I1221" t="s">
        <v>29467</v>
      </c>
      <c r="J1221" t="s">
        <v>29529</v>
      </c>
      <c r="K1221" t="s">
        <v>38534</v>
      </c>
      <c r="M1221" t="s">
        <v>39011</v>
      </c>
      <c r="N1221" t="s">
        <v>42669</v>
      </c>
      <c r="O1221" t="s">
        <v>42670</v>
      </c>
      <c r="P1221">
        <v>0</v>
      </c>
      <c r="Q1221">
        <v>5</v>
      </c>
      <c r="R1221" t="s">
        <v>42673</v>
      </c>
      <c r="S1221" t="s">
        <v>42784</v>
      </c>
      <c r="T1221" t="s">
        <v>44417</v>
      </c>
      <c r="U1221" t="s">
        <v>45892</v>
      </c>
      <c r="W1221" t="s">
        <v>39011</v>
      </c>
      <c r="X1221" t="s">
        <v>42674</v>
      </c>
    </row>
    <row r="1222" spans="1:24">
      <c r="A1222">
        <f>HYPERLINK("https://www.philgeps.gov.ph/GEPSNONPILOT/Tender/SplashBidNoticeAbstractUI.aspx?menuIndex=3&amp;refID=7193358&amp;Result=3","7193358")</f>
        <v>0</v>
      </c>
      <c r="B1222" t="s">
        <v>394</v>
      </c>
      <c r="C1222" t="s">
        <v>4693</v>
      </c>
      <c r="D1222" t="s">
        <v>17170</v>
      </c>
      <c r="E1222" t="s">
        <v>18339</v>
      </c>
      <c r="F1222" t="s">
        <v>29372</v>
      </c>
      <c r="G1222" t="s">
        <v>29380</v>
      </c>
      <c r="H1222" t="s">
        <v>11048</v>
      </c>
      <c r="I1222" t="s">
        <v>3952</v>
      </c>
      <c r="J1222" t="s">
        <v>30433</v>
      </c>
      <c r="K1222" t="s">
        <v>38496</v>
      </c>
      <c r="M1222" t="s">
        <v>39157</v>
      </c>
      <c r="N1222" t="s">
        <v>42669</v>
      </c>
      <c r="O1222" t="s">
        <v>42670</v>
      </c>
      <c r="P1222">
        <v>0</v>
      </c>
      <c r="Q1222">
        <v>2</v>
      </c>
      <c r="R1222" t="s">
        <v>42673</v>
      </c>
      <c r="S1222" t="s">
        <v>42784</v>
      </c>
      <c r="T1222" t="s">
        <v>44395</v>
      </c>
      <c r="U1222" t="s">
        <v>45893</v>
      </c>
      <c r="W1222" t="s">
        <v>39157</v>
      </c>
      <c r="X1222" t="s">
        <v>42674</v>
      </c>
    </row>
    <row r="1223" spans="1:24">
      <c r="A1223">
        <f>HYPERLINK("https://www.philgeps.gov.ph/GEPSNONPILOT/Tender/SplashBidNoticeAbstractUI.aspx?menuIndex=3&amp;refID=7193356&amp;Result=3","7193356")</f>
        <v>0</v>
      </c>
      <c r="B1223" t="s">
        <v>252</v>
      </c>
      <c r="C1223" t="s">
        <v>4694</v>
      </c>
      <c r="D1223" t="s">
        <v>17160</v>
      </c>
      <c r="E1223" t="s">
        <v>18340</v>
      </c>
      <c r="F1223" t="s">
        <v>29372</v>
      </c>
      <c r="G1223" t="s">
        <v>29379</v>
      </c>
      <c r="H1223" t="s">
        <v>11048</v>
      </c>
      <c r="I1223" t="s">
        <v>3839</v>
      </c>
      <c r="J1223" t="s">
        <v>30434</v>
      </c>
      <c r="K1223" t="s">
        <v>38534</v>
      </c>
      <c r="M1223" t="s">
        <v>39011</v>
      </c>
      <c r="N1223" t="s">
        <v>42669</v>
      </c>
      <c r="O1223" t="s">
        <v>42670</v>
      </c>
      <c r="P1223">
        <v>0</v>
      </c>
      <c r="Q1223">
        <v>1</v>
      </c>
      <c r="R1223" t="s">
        <v>42673</v>
      </c>
      <c r="S1223" t="s">
        <v>42784</v>
      </c>
      <c r="T1223" t="s">
        <v>44417</v>
      </c>
      <c r="U1223" t="s">
        <v>45401</v>
      </c>
      <c r="W1223" t="s">
        <v>39011</v>
      </c>
      <c r="X1223" t="s">
        <v>42674</v>
      </c>
    </row>
    <row r="1224" spans="1:24">
      <c r="A1224">
        <f>HYPERLINK("https://www.philgeps.gov.ph/GEPSNONPILOT/Tender/SplashBidNoticeAbstractUI.aspx?menuIndex=3&amp;refID=7193355&amp;Result=3","7193355")</f>
        <v>0</v>
      </c>
      <c r="B1224" t="s">
        <v>252</v>
      </c>
      <c r="C1224" t="s">
        <v>4695</v>
      </c>
      <c r="D1224" t="s">
        <v>17160</v>
      </c>
      <c r="E1224" t="s">
        <v>18341</v>
      </c>
      <c r="F1224" t="s">
        <v>29372</v>
      </c>
      <c r="G1224" t="s">
        <v>29379</v>
      </c>
      <c r="H1224" t="s">
        <v>11048</v>
      </c>
      <c r="I1224" t="s">
        <v>29468</v>
      </c>
      <c r="J1224" t="s">
        <v>29824</v>
      </c>
      <c r="K1224" t="s">
        <v>38534</v>
      </c>
      <c r="M1224" t="s">
        <v>39011</v>
      </c>
      <c r="N1224" t="s">
        <v>42669</v>
      </c>
      <c r="O1224" t="s">
        <v>42670</v>
      </c>
      <c r="P1224">
        <v>0</v>
      </c>
      <c r="Q1224">
        <v>2</v>
      </c>
      <c r="R1224" t="s">
        <v>42673</v>
      </c>
      <c r="S1224" t="s">
        <v>42784</v>
      </c>
      <c r="T1224" t="s">
        <v>44417</v>
      </c>
      <c r="U1224" t="s">
        <v>45892</v>
      </c>
      <c r="W1224" t="s">
        <v>39011</v>
      </c>
      <c r="X1224" t="s">
        <v>42674</v>
      </c>
    </row>
    <row r="1225" spans="1:24">
      <c r="A1225">
        <f>HYPERLINK("https://www.philgeps.gov.ph/GEPSNONPILOT/Tender/SplashBidNoticeAbstractUI.aspx?menuIndex=3&amp;refID=7193362&amp;Result=3","7193362")</f>
        <v>0</v>
      </c>
      <c r="B1225" t="s">
        <v>233</v>
      </c>
      <c r="C1225" t="s">
        <v>4696</v>
      </c>
      <c r="D1225" t="s">
        <v>17203</v>
      </c>
      <c r="E1225" t="s">
        <v>18342</v>
      </c>
      <c r="F1225" t="s">
        <v>29372</v>
      </c>
      <c r="G1225" t="s">
        <v>29380</v>
      </c>
      <c r="H1225" t="s">
        <v>11048</v>
      </c>
      <c r="I1225" t="s">
        <v>4486</v>
      </c>
      <c r="J1225" t="s">
        <v>30435</v>
      </c>
      <c r="K1225" t="s">
        <v>38488</v>
      </c>
      <c r="M1225" t="s">
        <v>38992</v>
      </c>
      <c r="N1225" t="s">
        <v>42669</v>
      </c>
      <c r="O1225" t="s">
        <v>42670</v>
      </c>
      <c r="P1225">
        <v>0</v>
      </c>
      <c r="Q1225">
        <v>0</v>
      </c>
      <c r="R1225" t="s">
        <v>42673</v>
      </c>
      <c r="S1225" t="s">
        <v>42784</v>
      </c>
      <c r="T1225" t="s">
        <v>44373</v>
      </c>
      <c r="U1225" t="s">
        <v>45894</v>
      </c>
      <c r="W1225" t="s">
        <v>38992</v>
      </c>
      <c r="X1225" t="s">
        <v>42674</v>
      </c>
    </row>
    <row r="1226" spans="1:24">
      <c r="A1226">
        <f>HYPERLINK("https://www.philgeps.gov.ph/GEPSNONPILOT/Tender/SplashBidNoticeAbstractUI.aspx?menuIndex=3&amp;refID=7193339&amp;Result=3","7193339")</f>
        <v>0</v>
      </c>
      <c r="B1226" t="s">
        <v>463</v>
      </c>
      <c r="C1226" t="s">
        <v>4697</v>
      </c>
      <c r="D1226" t="s">
        <v>17203</v>
      </c>
      <c r="E1226" t="s">
        <v>18343</v>
      </c>
      <c r="F1226" t="s">
        <v>29372</v>
      </c>
      <c r="G1226" t="s">
        <v>29382</v>
      </c>
      <c r="H1226" t="s">
        <v>11048</v>
      </c>
      <c r="I1226" t="s">
        <v>4487</v>
      </c>
      <c r="J1226" t="s">
        <v>30436</v>
      </c>
      <c r="K1226" t="s">
        <v>38491</v>
      </c>
      <c r="M1226" t="s">
        <v>39227</v>
      </c>
      <c r="N1226" t="s">
        <v>42669</v>
      </c>
      <c r="O1226" t="s">
        <v>42670</v>
      </c>
      <c r="P1226">
        <v>0</v>
      </c>
      <c r="Q1226">
        <v>1</v>
      </c>
      <c r="R1226" t="s">
        <v>42673</v>
      </c>
      <c r="S1226" t="s">
        <v>42784</v>
      </c>
      <c r="T1226" t="s">
        <v>44417</v>
      </c>
      <c r="U1226" t="s">
        <v>45895</v>
      </c>
      <c r="W1226" t="s">
        <v>39227</v>
      </c>
      <c r="X1226" t="s">
        <v>42674</v>
      </c>
    </row>
    <row r="1227" spans="1:24">
      <c r="A1227">
        <f>HYPERLINK("https://www.philgeps.gov.ph/GEPSNONPILOT/Tender/SplashBidNoticeAbstractUI.aspx?menuIndex=3&amp;refID=7193350&amp;Result=3","7193350")</f>
        <v>0</v>
      </c>
      <c r="B1227" t="s">
        <v>394</v>
      </c>
      <c r="C1227" t="s">
        <v>4698</v>
      </c>
      <c r="D1227" t="s">
        <v>17170</v>
      </c>
      <c r="E1227" t="s">
        <v>18344</v>
      </c>
      <c r="F1227" t="s">
        <v>29372</v>
      </c>
      <c r="G1227" t="s">
        <v>29380</v>
      </c>
      <c r="H1227" t="s">
        <v>11048</v>
      </c>
      <c r="I1227" t="s">
        <v>3952</v>
      </c>
      <c r="J1227" t="s">
        <v>30437</v>
      </c>
      <c r="K1227" t="s">
        <v>38496</v>
      </c>
      <c r="M1227" t="s">
        <v>39157</v>
      </c>
      <c r="N1227" t="s">
        <v>42669</v>
      </c>
      <c r="O1227" t="s">
        <v>42670</v>
      </c>
      <c r="P1227">
        <v>0</v>
      </c>
      <c r="Q1227">
        <v>2</v>
      </c>
      <c r="R1227" t="s">
        <v>42673</v>
      </c>
      <c r="S1227" t="s">
        <v>42784</v>
      </c>
      <c r="T1227" t="s">
        <v>44395</v>
      </c>
      <c r="U1227" t="s">
        <v>45893</v>
      </c>
      <c r="W1227" t="s">
        <v>39157</v>
      </c>
      <c r="X1227" t="s">
        <v>42674</v>
      </c>
    </row>
    <row r="1228" spans="1:24">
      <c r="A1228">
        <f>HYPERLINK("https://www.philgeps.gov.ph/GEPSNONPILOT/Tender/SplashBidNoticeAbstractUI.aspx?menuIndex=3&amp;refID=7193349&amp;Result=3","7193349")</f>
        <v>0</v>
      </c>
      <c r="B1228" t="s">
        <v>467</v>
      </c>
      <c r="C1228" t="s">
        <v>4699</v>
      </c>
      <c r="E1228" t="s">
        <v>18345</v>
      </c>
      <c r="F1228" t="s">
        <v>29372</v>
      </c>
      <c r="G1228" t="s">
        <v>29379</v>
      </c>
      <c r="H1228" t="s">
        <v>11048</v>
      </c>
      <c r="I1228" t="s">
        <v>29396</v>
      </c>
      <c r="J1228" t="s">
        <v>30438</v>
      </c>
      <c r="K1228" t="s">
        <v>38521</v>
      </c>
      <c r="M1228" t="s">
        <v>39231</v>
      </c>
      <c r="N1228" t="s">
        <v>42669</v>
      </c>
      <c r="O1228" t="s">
        <v>42670</v>
      </c>
      <c r="P1228">
        <v>0</v>
      </c>
      <c r="Q1228">
        <v>0</v>
      </c>
      <c r="R1228" t="s">
        <v>42673</v>
      </c>
      <c r="S1228" t="s">
        <v>42784</v>
      </c>
      <c r="T1228" t="s">
        <v>44430</v>
      </c>
      <c r="U1228" t="s">
        <v>45896</v>
      </c>
      <c r="W1228" t="s">
        <v>39231</v>
      </c>
      <c r="X1228" t="s">
        <v>42674</v>
      </c>
    </row>
    <row r="1229" spans="1:24">
      <c r="A1229">
        <f>HYPERLINK("https://www.philgeps.gov.ph/GEPSNONPILOT/Tender/SplashBidNoticeAbstractUI.aspx?menuIndex=3&amp;refID=7193357&amp;Result=3","7193357")</f>
        <v>0</v>
      </c>
      <c r="B1229" t="s">
        <v>468</v>
      </c>
      <c r="C1229" t="s">
        <v>4700</v>
      </c>
      <c r="D1229" t="s">
        <v>17141</v>
      </c>
      <c r="E1229" t="s">
        <v>18346</v>
      </c>
      <c r="F1229" t="s">
        <v>29372</v>
      </c>
      <c r="G1229" t="s">
        <v>29379</v>
      </c>
      <c r="H1229" t="s">
        <v>11048</v>
      </c>
      <c r="I1229" t="s">
        <v>8614</v>
      </c>
      <c r="J1229" t="s">
        <v>30439</v>
      </c>
      <c r="K1229" t="s">
        <v>38488</v>
      </c>
      <c r="M1229" t="s">
        <v>39232</v>
      </c>
      <c r="N1229" t="s">
        <v>42669</v>
      </c>
      <c r="O1229" t="s">
        <v>42670</v>
      </c>
      <c r="P1229">
        <v>0</v>
      </c>
      <c r="Q1229">
        <v>5</v>
      </c>
      <c r="R1229" t="s">
        <v>42673</v>
      </c>
      <c r="S1229" t="s">
        <v>42784</v>
      </c>
      <c r="T1229" t="s">
        <v>44432</v>
      </c>
      <c r="U1229" t="s">
        <v>45897</v>
      </c>
      <c r="W1229" t="s">
        <v>39232</v>
      </c>
      <c r="X1229" t="s">
        <v>42674</v>
      </c>
    </row>
    <row r="1230" spans="1:24">
      <c r="A1230">
        <f>HYPERLINK("https://www.philgeps.gov.ph/GEPSNONPILOT/Tender/SplashBidNoticeAbstractUI.aspx?menuIndex=3&amp;refID=7193351&amp;Result=3","7193351")</f>
        <v>0</v>
      </c>
      <c r="B1230" t="s">
        <v>252</v>
      </c>
      <c r="C1230" t="s">
        <v>4694</v>
      </c>
      <c r="D1230" t="s">
        <v>17160</v>
      </c>
      <c r="E1230" t="s">
        <v>18341</v>
      </c>
      <c r="F1230" t="s">
        <v>29372</v>
      </c>
      <c r="G1230" t="s">
        <v>29379</v>
      </c>
      <c r="H1230" t="s">
        <v>11048</v>
      </c>
      <c r="I1230" t="s">
        <v>3839</v>
      </c>
      <c r="J1230" t="s">
        <v>30440</v>
      </c>
      <c r="K1230" t="s">
        <v>38534</v>
      </c>
      <c r="M1230" t="s">
        <v>39011</v>
      </c>
      <c r="N1230" t="s">
        <v>42669</v>
      </c>
      <c r="O1230" t="s">
        <v>42670</v>
      </c>
      <c r="P1230">
        <v>0</v>
      </c>
      <c r="Q1230">
        <v>1</v>
      </c>
      <c r="R1230" t="s">
        <v>42673</v>
      </c>
      <c r="S1230" t="s">
        <v>42784</v>
      </c>
      <c r="T1230" t="s">
        <v>44417</v>
      </c>
      <c r="U1230" t="s">
        <v>45401</v>
      </c>
      <c r="W1230" t="s">
        <v>39011</v>
      </c>
      <c r="X1230" t="s">
        <v>42674</v>
      </c>
    </row>
    <row r="1231" spans="1:24">
      <c r="A1231">
        <f>HYPERLINK("https://www.philgeps.gov.ph/GEPSNONPILOT/Tender/SplashBidNoticeAbstractUI.aspx?menuIndex=3&amp;refID=7193316&amp;Result=3","7193316")</f>
        <v>0</v>
      </c>
      <c r="B1231" t="s">
        <v>458</v>
      </c>
      <c r="C1231" t="s">
        <v>3670</v>
      </c>
      <c r="D1231" t="s">
        <v>17142</v>
      </c>
      <c r="E1231" t="s">
        <v>18347</v>
      </c>
      <c r="F1231" t="s">
        <v>29372</v>
      </c>
      <c r="G1231" t="s">
        <v>29379</v>
      </c>
      <c r="H1231" t="s">
        <v>11048</v>
      </c>
      <c r="I1231" t="s">
        <v>3670</v>
      </c>
      <c r="J1231" t="s">
        <v>30441</v>
      </c>
      <c r="K1231" t="s">
        <v>38490</v>
      </c>
      <c r="M1231" t="s">
        <v>39222</v>
      </c>
      <c r="N1231" t="s">
        <v>42669</v>
      </c>
      <c r="O1231" t="s">
        <v>42670</v>
      </c>
      <c r="P1231">
        <v>0</v>
      </c>
      <c r="Q1231">
        <v>0</v>
      </c>
      <c r="R1231" t="s">
        <v>42673</v>
      </c>
      <c r="S1231" t="s">
        <v>42784</v>
      </c>
      <c r="T1231" t="s">
        <v>44429</v>
      </c>
      <c r="U1231" t="s">
        <v>45898</v>
      </c>
      <c r="W1231" t="s">
        <v>39222</v>
      </c>
      <c r="X1231" t="s">
        <v>42674</v>
      </c>
    </row>
    <row r="1232" spans="1:24">
      <c r="A1232">
        <f>HYPERLINK("https://www.philgeps.gov.ph/GEPSNONPILOT/Tender/SplashBidNoticeAbstractUI.aspx?menuIndex=3&amp;refID=7193344&amp;Result=3","7193344")</f>
        <v>0</v>
      </c>
      <c r="B1232" t="s">
        <v>469</v>
      </c>
      <c r="C1232" t="s">
        <v>4701</v>
      </c>
      <c r="D1232" t="s">
        <v>17170</v>
      </c>
      <c r="E1232" t="s">
        <v>18348</v>
      </c>
      <c r="F1232" t="s">
        <v>29372</v>
      </c>
      <c r="G1232" t="s">
        <v>29379</v>
      </c>
      <c r="H1232" t="s">
        <v>11048</v>
      </c>
      <c r="I1232" t="s">
        <v>29460</v>
      </c>
      <c r="J1232" t="s">
        <v>30442</v>
      </c>
      <c r="K1232" t="s">
        <v>38485</v>
      </c>
      <c r="M1232" t="s">
        <v>39233</v>
      </c>
      <c r="N1232" t="s">
        <v>42669</v>
      </c>
      <c r="O1232" t="s">
        <v>42670</v>
      </c>
      <c r="P1232">
        <v>0</v>
      </c>
      <c r="Q1232">
        <v>1</v>
      </c>
      <c r="R1232" t="s">
        <v>42673</v>
      </c>
      <c r="S1232" t="s">
        <v>42784</v>
      </c>
      <c r="T1232" t="s">
        <v>44432</v>
      </c>
      <c r="U1232" t="s">
        <v>45899</v>
      </c>
      <c r="W1232" t="s">
        <v>39233</v>
      </c>
      <c r="X1232" t="s">
        <v>42674</v>
      </c>
    </row>
    <row r="1233" spans="1:24">
      <c r="A1233">
        <f>HYPERLINK("https://www.philgeps.gov.ph/GEPSNONPILOT/Tender/SplashBidNoticeAbstractUI.aspx?menuIndex=3&amp;refID=7193343&amp;Result=3","7193343")</f>
        <v>0</v>
      </c>
      <c r="B1233" t="s">
        <v>470</v>
      </c>
      <c r="C1233" t="s">
        <v>4702</v>
      </c>
      <c r="D1233" t="s">
        <v>17174</v>
      </c>
      <c r="E1233" t="s">
        <v>18349</v>
      </c>
      <c r="F1233" t="s">
        <v>29372</v>
      </c>
      <c r="G1233" t="s">
        <v>29380</v>
      </c>
      <c r="H1233" t="s">
        <v>11048</v>
      </c>
      <c r="I1233" t="s">
        <v>4709</v>
      </c>
      <c r="J1233" t="s">
        <v>30443</v>
      </c>
      <c r="K1233" t="s">
        <v>38488</v>
      </c>
      <c r="M1233" t="s">
        <v>39234</v>
      </c>
      <c r="N1233" t="s">
        <v>42669</v>
      </c>
      <c r="O1233" t="s">
        <v>42670</v>
      </c>
      <c r="P1233">
        <v>0</v>
      </c>
      <c r="Q1233">
        <v>0</v>
      </c>
      <c r="R1233" t="s">
        <v>42673</v>
      </c>
      <c r="S1233" t="s">
        <v>42784</v>
      </c>
      <c r="T1233" t="s">
        <v>44510</v>
      </c>
      <c r="U1233" t="s">
        <v>45900</v>
      </c>
      <c r="W1233" t="s">
        <v>39234</v>
      </c>
      <c r="X1233" t="s">
        <v>42674</v>
      </c>
    </row>
    <row r="1234" spans="1:24">
      <c r="A1234">
        <f>HYPERLINK("https://www.philgeps.gov.ph/GEPSNONPILOT/Tender/SplashBidNoticeAbstractUI.aspx?menuIndex=3&amp;refID=7193348&amp;Result=3","7193348")</f>
        <v>0</v>
      </c>
      <c r="B1234" t="s">
        <v>252</v>
      </c>
      <c r="C1234" t="s">
        <v>4703</v>
      </c>
      <c r="D1234" t="s">
        <v>17160</v>
      </c>
      <c r="E1234" t="s">
        <v>18350</v>
      </c>
      <c r="F1234" t="s">
        <v>29372</v>
      </c>
      <c r="G1234" t="s">
        <v>29379</v>
      </c>
      <c r="H1234" t="s">
        <v>11048</v>
      </c>
      <c r="I1234" t="s">
        <v>3839</v>
      </c>
      <c r="J1234" t="s">
        <v>29555</v>
      </c>
      <c r="K1234" t="s">
        <v>38534</v>
      </c>
      <c r="M1234" t="s">
        <v>39011</v>
      </c>
      <c r="N1234" t="s">
        <v>42669</v>
      </c>
      <c r="O1234" t="s">
        <v>42670</v>
      </c>
      <c r="P1234">
        <v>0</v>
      </c>
      <c r="Q1234">
        <v>0</v>
      </c>
      <c r="R1234" t="s">
        <v>42673</v>
      </c>
      <c r="S1234" t="s">
        <v>42784</v>
      </c>
      <c r="T1234" t="s">
        <v>44417</v>
      </c>
      <c r="U1234" t="s">
        <v>45892</v>
      </c>
      <c r="W1234" t="s">
        <v>39011</v>
      </c>
      <c r="X1234" t="s">
        <v>42674</v>
      </c>
    </row>
    <row r="1235" spans="1:24">
      <c r="A1235">
        <f>HYPERLINK("https://www.philgeps.gov.ph/GEPSNONPILOT/Tender/SplashBidNoticeAbstractUI.aspx?menuIndex=3&amp;refID=7193342&amp;Result=3","7193342")</f>
        <v>0</v>
      </c>
      <c r="B1235" t="s">
        <v>252</v>
      </c>
      <c r="C1235" t="s">
        <v>4704</v>
      </c>
      <c r="D1235" t="s">
        <v>17160</v>
      </c>
      <c r="E1235" t="s">
        <v>18351</v>
      </c>
      <c r="F1235" t="s">
        <v>29372</v>
      </c>
      <c r="G1235" t="s">
        <v>29379</v>
      </c>
      <c r="H1235" t="s">
        <v>11048</v>
      </c>
      <c r="I1235" t="s">
        <v>29407</v>
      </c>
      <c r="J1235" t="s">
        <v>30444</v>
      </c>
      <c r="K1235" t="s">
        <v>38534</v>
      </c>
      <c r="M1235" t="s">
        <v>39011</v>
      </c>
      <c r="N1235" t="s">
        <v>42669</v>
      </c>
      <c r="O1235" t="s">
        <v>42670</v>
      </c>
      <c r="P1235">
        <v>0</v>
      </c>
      <c r="Q1235">
        <v>4</v>
      </c>
      <c r="R1235" t="s">
        <v>42673</v>
      </c>
      <c r="S1235" t="s">
        <v>42784</v>
      </c>
      <c r="T1235" t="s">
        <v>44417</v>
      </c>
      <c r="U1235" t="s">
        <v>45892</v>
      </c>
      <c r="W1235" t="s">
        <v>39011</v>
      </c>
      <c r="X1235" t="s">
        <v>42674</v>
      </c>
    </row>
    <row r="1236" spans="1:24">
      <c r="A1236">
        <f>HYPERLINK("https://www.philgeps.gov.ph/GEPSNONPILOT/Tender/SplashBidNoticeAbstractUI.aspx?menuIndex=3&amp;refID=7193347&amp;Result=3","7193347")</f>
        <v>0</v>
      </c>
      <c r="B1236" t="s">
        <v>255</v>
      </c>
      <c r="C1236" t="s">
        <v>4705</v>
      </c>
      <c r="E1236" t="s">
        <v>18352</v>
      </c>
      <c r="F1236" t="s">
        <v>29372</v>
      </c>
      <c r="G1236" t="s">
        <v>29379</v>
      </c>
      <c r="H1236" t="s">
        <v>11048</v>
      </c>
      <c r="I1236" t="s">
        <v>29433</v>
      </c>
      <c r="J1236" t="s">
        <v>30445</v>
      </c>
      <c r="K1236" t="s">
        <v>38490</v>
      </c>
      <c r="M1236" t="s">
        <v>39014</v>
      </c>
      <c r="N1236" t="s">
        <v>42669</v>
      </c>
      <c r="O1236" t="s">
        <v>42670</v>
      </c>
      <c r="P1236">
        <v>0</v>
      </c>
      <c r="Q1236">
        <v>3</v>
      </c>
      <c r="R1236" t="s">
        <v>42673</v>
      </c>
      <c r="S1236" t="s">
        <v>42784</v>
      </c>
      <c r="T1236" t="s">
        <v>44489</v>
      </c>
      <c r="U1236" t="s">
        <v>45771</v>
      </c>
      <c r="W1236" t="s">
        <v>39014</v>
      </c>
      <c r="X1236" t="s">
        <v>42674</v>
      </c>
    </row>
    <row r="1237" spans="1:24">
      <c r="A1237">
        <f>HYPERLINK("https://www.philgeps.gov.ph/GEPSNONPILOT/Tender/SplashBidNoticeAbstractUI.aspx?menuIndex=3&amp;refID=7193340&amp;Result=3","7193340")</f>
        <v>0</v>
      </c>
      <c r="B1237" t="s">
        <v>255</v>
      </c>
      <c r="C1237" t="s">
        <v>4706</v>
      </c>
      <c r="E1237" t="s">
        <v>18353</v>
      </c>
      <c r="F1237" t="s">
        <v>29372</v>
      </c>
      <c r="G1237" t="s">
        <v>29379</v>
      </c>
      <c r="H1237" t="s">
        <v>11048</v>
      </c>
      <c r="I1237" t="s">
        <v>29433</v>
      </c>
      <c r="J1237" t="s">
        <v>30446</v>
      </c>
      <c r="K1237" t="s">
        <v>38490</v>
      </c>
      <c r="M1237" t="s">
        <v>39014</v>
      </c>
      <c r="N1237" t="s">
        <v>42669</v>
      </c>
      <c r="O1237" t="s">
        <v>42670</v>
      </c>
      <c r="P1237">
        <v>0</v>
      </c>
      <c r="Q1237">
        <v>4</v>
      </c>
      <c r="R1237" t="s">
        <v>42673</v>
      </c>
      <c r="S1237" t="s">
        <v>42784</v>
      </c>
      <c r="T1237" t="s">
        <v>44489</v>
      </c>
      <c r="U1237" t="s">
        <v>45771</v>
      </c>
      <c r="W1237" t="s">
        <v>39014</v>
      </c>
      <c r="X1237" t="s">
        <v>42674</v>
      </c>
    </row>
    <row r="1238" spans="1:24">
      <c r="A1238">
        <f>HYPERLINK("https://www.philgeps.gov.ph/GEPSNONPILOT/Tender/SplashBidNoticeAbstractUI.aspx?menuIndex=3&amp;refID=7193345&amp;Result=3","7193345")</f>
        <v>0</v>
      </c>
      <c r="B1238" t="s">
        <v>394</v>
      </c>
      <c r="C1238" t="s">
        <v>4707</v>
      </c>
      <c r="D1238" t="s">
        <v>17170</v>
      </c>
      <c r="E1238" t="s">
        <v>18354</v>
      </c>
      <c r="F1238" t="s">
        <v>29372</v>
      </c>
      <c r="G1238" t="s">
        <v>29380</v>
      </c>
      <c r="H1238" t="s">
        <v>11048</v>
      </c>
      <c r="I1238" t="s">
        <v>29425</v>
      </c>
      <c r="J1238" t="s">
        <v>30447</v>
      </c>
      <c r="K1238" t="s">
        <v>38496</v>
      </c>
      <c r="M1238" t="s">
        <v>39157</v>
      </c>
      <c r="N1238" t="s">
        <v>42669</v>
      </c>
      <c r="O1238" t="s">
        <v>42670</v>
      </c>
      <c r="P1238">
        <v>0</v>
      </c>
      <c r="Q1238">
        <v>3</v>
      </c>
      <c r="R1238" t="s">
        <v>42673</v>
      </c>
      <c r="S1238" t="s">
        <v>42784</v>
      </c>
      <c r="T1238" t="s">
        <v>44395</v>
      </c>
      <c r="U1238" t="s">
        <v>45846</v>
      </c>
      <c r="W1238" t="s">
        <v>39157</v>
      </c>
      <c r="X1238" t="s">
        <v>42674</v>
      </c>
    </row>
    <row r="1239" spans="1:24">
      <c r="A1239">
        <f>HYPERLINK("https://www.philgeps.gov.ph/GEPSNONPILOT/Tender/SplashBidNoticeAbstractUI.aspx?menuIndex=3&amp;refID=7193341&amp;Result=3","7193341")</f>
        <v>0</v>
      </c>
      <c r="B1239" t="s">
        <v>233</v>
      </c>
      <c r="C1239" t="s">
        <v>4708</v>
      </c>
      <c r="D1239" t="s">
        <v>17203</v>
      </c>
      <c r="E1239" t="s">
        <v>18355</v>
      </c>
      <c r="F1239" t="s">
        <v>29372</v>
      </c>
      <c r="G1239" t="s">
        <v>29380</v>
      </c>
      <c r="H1239" t="s">
        <v>11048</v>
      </c>
      <c r="I1239" t="s">
        <v>3670</v>
      </c>
      <c r="J1239" t="s">
        <v>30448</v>
      </c>
      <c r="K1239" t="s">
        <v>38488</v>
      </c>
      <c r="M1239" t="s">
        <v>38992</v>
      </c>
      <c r="N1239" t="s">
        <v>42669</v>
      </c>
      <c r="O1239" t="s">
        <v>42670</v>
      </c>
      <c r="P1239">
        <v>0</v>
      </c>
      <c r="Q1239">
        <v>0</v>
      </c>
      <c r="R1239" t="s">
        <v>42673</v>
      </c>
      <c r="S1239" t="s">
        <v>42784</v>
      </c>
      <c r="T1239" t="s">
        <v>44373</v>
      </c>
      <c r="U1239" t="s">
        <v>45901</v>
      </c>
      <c r="W1239" t="s">
        <v>38992</v>
      </c>
      <c r="X1239" t="s">
        <v>42674</v>
      </c>
    </row>
    <row r="1240" spans="1:24">
      <c r="A1240">
        <f>HYPERLINK("https://www.philgeps.gov.ph/GEPSNONPILOT/Tender/SplashBidNoticeAbstractUI.aspx?menuIndex=3&amp;refID=7193328&amp;Result=3","7193328")</f>
        <v>0</v>
      </c>
      <c r="B1240" t="s">
        <v>464</v>
      </c>
      <c r="C1240" t="s">
        <v>4709</v>
      </c>
      <c r="D1240" t="s">
        <v>17160</v>
      </c>
      <c r="E1240" t="s">
        <v>18356</v>
      </c>
      <c r="F1240" t="s">
        <v>29372</v>
      </c>
      <c r="G1240" t="s">
        <v>29380</v>
      </c>
      <c r="H1240" t="s">
        <v>11048</v>
      </c>
      <c r="I1240" t="s">
        <v>4709</v>
      </c>
      <c r="J1240" t="s">
        <v>29555</v>
      </c>
      <c r="K1240" t="s">
        <v>38491</v>
      </c>
      <c r="M1240" t="s">
        <v>39228</v>
      </c>
      <c r="N1240" t="s">
        <v>42669</v>
      </c>
      <c r="O1240" t="s">
        <v>42670</v>
      </c>
      <c r="P1240">
        <v>0</v>
      </c>
      <c r="Q1240">
        <v>2</v>
      </c>
      <c r="R1240" t="s">
        <v>42673</v>
      </c>
      <c r="S1240" t="s">
        <v>42784</v>
      </c>
      <c r="T1240" t="s">
        <v>44389</v>
      </c>
      <c r="U1240" t="s">
        <v>45902</v>
      </c>
      <c r="W1240" t="s">
        <v>39228</v>
      </c>
      <c r="X1240" t="s">
        <v>42674</v>
      </c>
    </row>
    <row r="1241" spans="1:24">
      <c r="A1241">
        <f>HYPERLINK("https://www.philgeps.gov.ph/GEPSNONPILOT/Tender/SplashBidNoticeAbstractUI.aspx?menuIndex=3&amp;refID=7193374&amp;Result=3","7193374")</f>
        <v>0</v>
      </c>
      <c r="B1241" t="s">
        <v>465</v>
      </c>
      <c r="C1241" t="s">
        <v>4710</v>
      </c>
      <c r="E1241" t="s">
        <v>18357</v>
      </c>
      <c r="F1241" t="s">
        <v>29372</v>
      </c>
      <c r="G1241" t="s">
        <v>29379</v>
      </c>
      <c r="H1241" t="s">
        <v>11048</v>
      </c>
      <c r="I1241" t="s">
        <v>14920</v>
      </c>
      <c r="J1241" t="s">
        <v>30434</v>
      </c>
      <c r="K1241" t="s">
        <v>38490</v>
      </c>
      <c r="M1241" t="s">
        <v>39229</v>
      </c>
      <c r="N1241" t="s">
        <v>42669</v>
      </c>
      <c r="O1241" t="s">
        <v>42670</v>
      </c>
      <c r="P1241">
        <v>0</v>
      </c>
      <c r="Q1241">
        <v>1</v>
      </c>
      <c r="R1241" t="s">
        <v>42673</v>
      </c>
      <c r="S1241" t="s">
        <v>42784</v>
      </c>
      <c r="T1241" t="s">
        <v>44387</v>
      </c>
      <c r="U1241" t="s">
        <v>45888</v>
      </c>
      <c r="W1241" t="s">
        <v>39229</v>
      </c>
      <c r="X1241" t="s">
        <v>42674</v>
      </c>
    </row>
    <row r="1242" spans="1:24">
      <c r="A1242">
        <f>HYPERLINK("https://www.philgeps.gov.ph/GEPSNONPILOT/Tender/SplashBidNoticeAbstractUI.aspx?menuIndex=3&amp;refID=7193318&amp;Result=3","7193318")</f>
        <v>0</v>
      </c>
      <c r="B1242" t="s">
        <v>455</v>
      </c>
      <c r="C1242" t="s">
        <v>4711</v>
      </c>
      <c r="D1242" t="s">
        <v>17157</v>
      </c>
      <c r="E1242" t="s">
        <v>18358</v>
      </c>
      <c r="F1242" t="s">
        <v>29372</v>
      </c>
      <c r="G1242" t="s">
        <v>29380</v>
      </c>
      <c r="H1242" t="s">
        <v>11048</v>
      </c>
      <c r="I1242" t="s">
        <v>3670</v>
      </c>
      <c r="J1242" t="s">
        <v>30449</v>
      </c>
      <c r="K1242" t="s">
        <v>38515</v>
      </c>
      <c r="M1242" t="s">
        <v>39219</v>
      </c>
      <c r="N1242" t="s">
        <v>42669</v>
      </c>
      <c r="O1242" t="s">
        <v>42670</v>
      </c>
      <c r="P1242">
        <v>0</v>
      </c>
      <c r="Q1242">
        <v>2</v>
      </c>
      <c r="R1242" t="s">
        <v>42673</v>
      </c>
      <c r="S1242" t="s">
        <v>42784</v>
      </c>
      <c r="T1242" t="s">
        <v>44504</v>
      </c>
      <c r="U1242" t="s">
        <v>45870</v>
      </c>
      <c r="V1242" t="s">
        <v>56472</v>
      </c>
      <c r="W1242" t="s">
        <v>39219</v>
      </c>
      <c r="X1242" t="s">
        <v>42674</v>
      </c>
    </row>
    <row r="1243" spans="1:24">
      <c r="A1243">
        <f>HYPERLINK("https://www.philgeps.gov.ph/GEPSNONPILOT/Tender/SplashBidNoticeAbstractUI.aspx?menuIndex=3&amp;refID=7193372&amp;Result=3","7193372")</f>
        <v>0</v>
      </c>
      <c r="B1243" t="s">
        <v>465</v>
      </c>
      <c r="C1243" t="s">
        <v>4712</v>
      </c>
      <c r="D1243" t="s">
        <v>17168</v>
      </c>
      <c r="E1243" t="s">
        <v>18359</v>
      </c>
      <c r="F1243" t="s">
        <v>29372</v>
      </c>
      <c r="G1243" t="s">
        <v>29379</v>
      </c>
      <c r="H1243" t="s">
        <v>11048</v>
      </c>
      <c r="I1243" t="s">
        <v>3670</v>
      </c>
      <c r="J1243" t="s">
        <v>29532</v>
      </c>
      <c r="K1243" t="s">
        <v>38490</v>
      </c>
      <c r="M1243" t="s">
        <v>39229</v>
      </c>
      <c r="N1243" t="s">
        <v>42669</v>
      </c>
      <c r="O1243" t="s">
        <v>42670</v>
      </c>
      <c r="P1243">
        <v>0</v>
      </c>
      <c r="Q1243">
        <v>0</v>
      </c>
      <c r="R1243" t="s">
        <v>42673</v>
      </c>
      <c r="S1243" t="s">
        <v>42784</v>
      </c>
      <c r="T1243" t="s">
        <v>44387</v>
      </c>
      <c r="U1243" t="s">
        <v>45888</v>
      </c>
      <c r="W1243" t="s">
        <v>39229</v>
      </c>
      <c r="X1243" t="s">
        <v>42674</v>
      </c>
    </row>
    <row r="1244" spans="1:24">
      <c r="A1244">
        <f>HYPERLINK("https://www.philgeps.gov.ph/GEPSNONPILOT/Tender/SplashBidNoticeAbstractUI.aspx?menuIndex=3&amp;refID=7193369&amp;Result=3","7193369")</f>
        <v>0</v>
      </c>
      <c r="B1244" t="s">
        <v>252</v>
      </c>
      <c r="C1244" t="s">
        <v>4713</v>
      </c>
      <c r="D1244" t="s">
        <v>17160</v>
      </c>
      <c r="E1244" t="s">
        <v>18360</v>
      </c>
      <c r="F1244" t="s">
        <v>29372</v>
      </c>
      <c r="G1244" t="s">
        <v>29379</v>
      </c>
      <c r="H1244" t="s">
        <v>11048</v>
      </c>
      <c r="I1244" t="s">
        <v>29407</v>
      </c>
      <c r="J1244" t="s">
        <v>29555</v>
      </c>
      <c r="K1244" t="s">
        <v>38534</v>
      </c>
      <c r="M1244" t="s">
        <v>39011</v>
      </c>
      <c r="N1244" t="s">
        <v>42669</v>
      </c>
      <c r="O1244" t="s">
        <v>42670</v>
      </c>
      <c r="P1244">
        <v>0</v>
      </c>
      <c r="Q1244">
        <v>5</v>
      </c>
      <c r="R1244" t="s">
        <v>42673</v>
      </c>
      <c r="S1244" t="s">
        <v>42784</v>
      </c>
      <c r="T1244" t="s">
        <v>44417</v>
      </c>
      <c r="U1244" t="s">
        <v>45892</v>
      </c>
      <c r="W1244" t="s">
        <v>39011</v>
      </c>
      <c r="X1244" t="s">
        <v>42674</v>
      </c>
    </row>
    <row r="1245" spans="1:24">
      <c r="A1245">
        <f>HYPERLINK("https://www.philgeps.gov.ph/GEPSNONPILOT/Tender/SplashBidNoticeAbstractUI.aspx?menuIndex=3&amp;refID=7193367&amp;Result=3","7193367")</f>
        <v>0</v>
      </c>
      <c r="B1245" t="s">
        <v>394</v>
      </c>
      <c r="C1245" t="s">
        <v>4714</v>
      </c>
      <c r="D1245" t="s">
        <v>17170</v>
      </c>
      <c r="E1245" t="s">
        <v>18361</v>
      </c>
      <c r="F1245" t="s">
        <v>29372</v>
      </c>
      <c r="G1245" t="s">
        <v>29380</v>
      </c>
      <c r="H1245" t="s">
        <v>11048</v>
      </c>
      <c r="I1245" t="s">
        <v>29425</v>
      </c>
      <c r="J1245" t="s">
        <v>30450</v>
      </c>
      <c r="K1245" t="s">
        <v>38496</v>
      </c>
      <c r="M1245" t="s">
        <v>39157</v>
      </c>
      <c r="N1245" t="s">
        <v>42669</v>
      </c>
      <c r="O1245" t="s">
        <v>42670</v>
      </c>
      <c r="P1245">
        <v>0</v>
      </c>
      <c r="Q1245">
        <v>3</v>
      </c>
      <c r="R1245" t="s">
        <v>42673</v>
      </c>
      <c r="S1245" t="s">
        <v>42784</v>
      </c>
      <c r="T1245" t="s">
        <v>44395</v>
      </c>
      <c r="U1245" t="s">
        <v>45842</v>
      </c>
      <c r="W1245" t="s">
        <v>39157</v>
      </c>
      <c r="X1245" t="s">
        <v>42674</v>
      </c>
    </row>
    <row r="1246" spans="1:24">
      <c r="A1246">
        <f>HYPERLINK("https://www.philgeps.gov.ph/GEPSNONPILOT/Tender/SplashBidNoticeAbstractUI.aspx?menuIndex=3&amp;refID=7193366&amp;Result=3","7193366")</f>
        <v>0</v>
      </c>
      <c r="B1246" t="s">
        <v>465</v>
      </c>
      <c r="C1246" t="s">
        <v>4715</v>
      </c>
      <c r="D1246" t="s">
        <v>17168</v>
      </c>
      <c r="E1246" t="s">
        <v>18362</v>
      </c>
      <c r="F1246" t="s">
        <v>29372</v>
      </c>
      <c r="G1246" t="s">
        <v>29379</v>
      </c>
      <c r="H1246" t="s">
        <v>11048</v>
      </c>
      <c r="I1246" t="s">
        <v>29407</v>
      </c>
      <c r="J1246" t="s">
        <v>30451</v>
      </c>
      <c r="K1246" t="s">
        <v>38490</v>
      </c>
      <c r="M1246" t="s">
        <v>39229</v>
      </c>
      <c r="N1246" t="s">
        <v>42669</v>
      </c>
      <c r="O1246" t="s">
        <v>42670</v>
      </c>
      <c r="P1246">
        <v>0</v>
      </c>
      <c r="Q1246">
        <v>4</v>
      </c>
      <c r="R1246" t="s">
        <v>42673</v>
      </c>
      <c r="S1246" t="s">
        <v>42784</v>
      </c>
      <c r="T1246" t="s">
        <v>44387</v>
      </c>
      <c r="U1246" t="s">
        <v>45888</v>
      </c>
      <c r="W1246" t="s">
        <v>39229</v>
      </c>
      <c r="X1246" t="s">
        <v>42674</v>
      </c>
    </row>
    <row r="1247" spans="1:24">
      <c r="A1247">
        <f>HYPERLINK("https://www.philgeps.gov.ph/GEPSNONPILOT/Tender/SplashBidNoticeAbstractUI.aspx?menuIndex=3&amp;refID=7193393&amp;Result=3","7193393")</f>
        <v>0</v>
      </c>
      <c r="B1247" t="s">
        <v>471</v>
      </c>
      <c r="C1247" t="s">
        <v>4716</v>
      </c>
      <c r="D1247" t="s">
        <v>17150</v>
      </c>
      <c r="E1247" t="s">
        <v>18363</v>
      </c>
      <c r="F1247" t="s">
        <v>29372</v>
      </c>
      <c r="G1247" t="s">
        <v>29380</v>
      </c>
      <c r="H1247" t="s">
        <v>11048</v>
      </c>
      <c r="I1247" t="s">
        <v>4709</v>
      </c>
      <c r="J1247" t="s">
        <v>30452</v>
      </c>
      <c r="K1247" t="s">
        <v>38485</v>
      </c>
      <c r="M1247" t="s">
        <v>39235</v>
      </c>
      <c r="N1247" t="s">
        <v>42669</v>
      </c>
      <c r="O1247" t="s">
        <v>42670</v>
      </c>
      <c r="P1247">
        <v>0</v>
      </c>
      <c r="Q1247">
        <v>0</v>
      </c>
      <c r="R1247" t="s">
        <v>42673</v>
      </c>
      <c r="S1247" t="s">
        <v>42784</v>
      </c>
      <c r="T1247" t="s">
        <v>44467</v>
      </c>
      <c r="U1247" t="s">
        <v>45903</v>
      </c>
      <c r="W1247" t="s">
        <v>39235</v>
      </c>
      <c r="X1247" t="s">
        <v>42674</v>
      </c>
    </row>
    <row r="1248" spans="1:24">
      <c r="A1248">
        <f>HYPERLINK("https://www.philgeps.gov.ph/GEPSNONPILOT/Tender/SplashBidNoticeAbstractUI.aspx?menuIndex=3&amp;refID=7193377&amp;Result=3","7193377")</f>
        <v>0</v>
      </c>
      <c r="B1248" t="s">
        <v>394</v>
      </c>
      <c r="C1248" t="s">
        <v>4717</v>
      </c>
      <c r="D1248" t="s">
        <v>17170</v>
      </c>
      <c r="E1248" t="s">
        <v>18364</v>
      </c>
      <c r="F1248" t="s">
        <v>29372</v>
      </c>
      <c r="G1248" t="s">
        <v>29380</v>
      </c>
      <c r="H1248" t="s">
        <v>11048</v>
      </c>
      <c r="I1248" t="s">
        <v>29425</v>
      </c>
      <c r="J1248" t="s">
        <v>30453</v>
      </c>
      <c r="K1248" t="s">
        <v>38496</v>
      </c>
      <c r="M1248" t="s">
        <v>39157</v>
      </c>
      <c r="N1248" t="s">
        <v>42669</v>
      </c>
      <c r="O1248" t="s">
        <v>42670</v>
      </c>
      <c r="P1248">
        <v>0</v>
      </c>
      <c r="Q1248">
        <v>2</v>
      </c>
      <c r="R1248" t="s">
        <v>42673</v>
      </c>
      <c r="S1248" t="s">
        <v>42784</v>
      </c>
      <c r="T1248" t="s">
        <v>44395</v>
      </c>
      <c r="U1248" t="s">
        <v>45846</v>
      </c>
      <c r="W1248" t="s">
        <v>39157</v>
      </c>
      <c r="X1248" t="s">
        <v>42674</v>
      </c>
    </row>
    <row r="1249" spans="1:24">
      <c r="A1249">
        <f>HYPERLINK("https://www.philgeps.gov.ph/GEPSNONPILOT/Tender/SplashBidNoticeAbstractUI.aspx?menuIndex=3&amp;refID=7193370&amp;Result=3","7193370")</f>
        <v>0</v>
      </c>
      <c r="B1249" t="s">
        <v>471</v>
      </c>
      <c r="C1249" t="s">
        <v>4718</v>
      </c>
      <c r="D1249" t="s">
        <v>17150</v>
      </c>
      <c r="E1249" t="s">
        <v>18365</v>
      </c>
      <c r="F1249" t="s">
        <v>29372</v>
      </c>
      <c r="G1249" t="s">
        <v>29380</v>
      </c>
      <c r="H1249" t="s">
        <v>11048</v>
      </c>
      <c r="I1249" t="s">
        <v>4709</v>
      </c>
      <c r="J1249" t="s">
        <v>30454</v>
      </c>
      <c r="K1249" t="s">
        <v>38485</v>
      </c>
      <c r="M1249" t="s">
        <v>39235</v>
      </c>
      <c r="N1249" t="s">
        <v>42669</v>
      </c>
      <c r="O1249" t="s">
        <v>42670</v>
      </c>
      <c r="P1249">
        <v>0</v>
      </c>
      <c r="Q1249">
        <v>0</v>
      </c>
      <c r="R1249" t="s">
        <v>42673</v>
      </c>
      <c r="S1249" t="s">
        <v>42784</v>
      </c>
      <c r="T1249" t="s">
        <v>44467</v>
      </c>
      <c r="U1249" t="s">
        <v>45904</v>
      </c>
      <c r="W1249" t="s">
        <v>39235</v>
      </c>
      <c r="X1249" t="s">
        <v>42674</v>
      </c>
    </row>
    <row r="1250" spans="1:24">
      <c r="A1250">
        <f>HYPERLINK("https://www.philgeps.gov.ph/GEPSNONPILOT/Tender/SplashBidNoticeAbstractUI.aspx?menuIndex=3&amp;refID=7193392&amp;Result=3","7193392")</f>
        <v>0</v>
      </c>
      <c r="B1250" t="s">
        <v>421</v>
      </c>
      <c r="C1250" t="s">
        <v>4719</v>
      </c>
      <c r="D1250" t="s">
        <v>17216</v>
      </c>
      <c r="E1250" t="s">
        <v>18366</v>
      </c>
      <c r="F1250" t="s">
        <v>29372</v>
      </c>
      <c r="G1250" t="s">
        <v>29379</v>
      </c>
      <c r="H1250" t="s">
        <v>11048</v>
      </c>
      <c r="I1250" t="s">
        <v>8208</v>
      </c>
      <c r="J1250" t="s">
        <v>30455</v>
      </c>
      <c r="K1250" t="s">
        <v>38488</v>
      </c>
      <c r="M1250" t="s">
        <v>39185</v>
      </c>
      <c r="N1250" t="s">
        <v>42669</v>
      </c>
      <c r="O1250" t="s">
        <v>42670</v>
      </c>
      <c r="P1250">
        <v>0</v>
      </c>
      <c r="Q1250">
        <v>0</v>
      </c>
      <c r="R1250" t="s">
        <v>42673</v>
      </c>
      <c r="S1250" t="s">
        <v>42784</v>
      </c>
      <c r="T1250" t="s">
        <v>44451</v>
      </c>
      <c r="U1250" t="s">
        <v>45794</v>
      </c>
      <c r="W1250" t="s">
        <v>39185</v>
      </c>
      <c r="X1250" t="s">
        <v>42674</v>
      </c>
    </row>
    <row r="1251" spans="1:24">
      <c r="A1251">
        <f>HYPERLINK("https://www.philgeps.gov.ph/GEPSNONPILOT/Tender/SplashBidNoticeAbstractUI.aspx?menuIndex=3&amp;refID=7193389&amp;Result=3","7193389")</f>
        <v>0</v>
      </c>
      <c r="B1251" t="s">
        <v>421</v>
      </c>
      <c r="C1251" t="s">
        <v>4720</v>
      </c>
      <c r="D1251" t="s">
        <v>17213</v>
      </c>
      <c r="E1251" t="s">
        <v>18367</v>
      </c>
      <c r="F1251" t="s">
        <v>29372</v>
      </c>
      <c r="G1251" t="s">
        <v>29379</v>
      </c>
      <c r="H1251" t="s">
        <v>11048</v>
      </c>
      <c r="I1251" t="s">
        <v>8208</v>
      </c>
      <c r="J1251" t="s">
        <v>30365</v>
      </c>
      <c r="K1251" t="s">
        <v>38488</v>
      </c>
      <c r="M1251" t="s">
        <v>39185</v>
      </c>
      <c r="N1251" t="s">
        <v>42669</v>
      </c>
      <c r="O1251" t="s">
        <v>42670</v>
      </c>
      <c r="P1251">
        <v>0</v>
      </c>
      <c r="Q1251">
        <v>0</v>
      </c>
      <c r="R1251" t="s">
        <v>42673</v>
      </c>
      <c r="S1251" t="s">
        <v>42784</v>
      </c>
      <c r="T1251" t="s">
        <v>44451</v>
      </c>
      <c r="U1251" t="s">
        <v>45794</v>
      </c>
      <c r="W1251" t="s">
        <v>39185</v>
      </c>
      <c r="X1251" t="s">
        <v>42674</v>
      </c>
    </row>
    <row r="1252" spans="1:24">
      <c r="A1252">
        <f>HYPERLINK("https://www.philgeps.gov.ph/GEPSNONPILOT/Tender/SplashBidNoticeAbstractUI.aspx?menuIndex=3&amp;refID=7193379&amp;Result=3","7193379")</f>
        <v>0</v>
      </c>
      <c r="B1252" t="s">
        <v>252</v>
      </c>
      <c r="C1252" t="s">
        <v>4721</v>
      </c>
      <c r="D1252" t="s">
        <v>17160</v>
      </c>
      <c r="E1252" t="s">
        <v>18368</v>
      </c>
      <c r="F1252" t="s">
        <v>29372</v>
      </c>
      <c r="G1252" t="s">
        <v>29379</v>
      </c>
      <c r="H1252" t="s">
        <v>11048</v>
      </c>
      <c r="I1252" t="s">
        <v>3839</v>
      </c>
      <c r="J1252" t="s">
        <v>29820</v>
      </c>
      <c r="K1252" t="s">
        <v>38534</v>
      </c>
      <c r="M1252" t="s">
        <v>39011</v>
      </c>
      <c r="N1252" t="s">
        <v>42669</v>
      </c>
      <c r="O1252" t="s">
        <v>42670</v>
      </c>
      <c r="P1252">
        <v>0</v>
      </c>
      <c r="Q1252">
        <v>3</v>
      </c>
      <c r="R1252" t="s">
        <v>42673</v>
      </c>
      <c r="S1252" t="s">
        <v>42784</v>
      </c>
      <c r="T1252" t="s">
        <v>44417</v>
      </c>
      <c r="U1252" t="s">
        <v>45401</v>
      </c>
      <c r="W1252" t="s">
        <v>39011</v>
      </c>
      <c r="X1252" t="s">
        <v>42674</v>
      </c>
    </row>
    <row r="1253" spans="1:24">
      <c r="A1253">
        <f>HYPERLINK("https://www.philgeps.gov.ph/GEPSNONPILOT/Tender/SplashBidNoticeAbstractUI.aspx?menuIndex=3&amp;refID=7193384&amp;Result=3","7193384")</f>
        <v>0</v>
      </c>
      <c r="B1253" t="s">
        <v>472</v>
      </c>
      <c r="C1253" t="s">
        <v>4722</v>
      </c>
      <c r="D1253" t="s">
        <v>17167</v>
      </c>
      <c r="E1253" t="s">
        <v>18369</v>
      </c>
      <c r="F1253" t="s">
        <v>29372</v>
      </c>
      <c r="G1253" t="s">
        <v>29380</v>
      </c>
      <c r="H1253" t="s">
        <v>11048</v>
      </c>
      <c r="I1253" t="s">
        <v>3670</v>
      </c>
      <c r="J1253" t="s">
        <v>30456</v>
      </c>
      <c r="K1253" t="s">
        <v>38489</v>
      </c>
      <c r="M1253" t="s">
        <v>39236</v>
      </c>
      <c r="N1253" t="s">
        <v>42669</v>
      </c>
      <c r="O1253" t="s">
        <v>42670</v>
      </c>
      <c r="P1253">
        <v>0</v>
      </c>
      <c r="Q1253">
        <v>1</v>
      </c>
      <c r="R1253" t="s">
        <v>42673</v>
      </c>
      <c r="S1253" t="s">
        <v>42784</v>
      </c>
      <c r="T1253" t="s">
        <v>44518</v>
      </c>
      <c r="U1253" t="s">
        <v>45905</v>
      </c>
      <c r="W1253" t="s">
        <v>39236</v>
      </c>
      <c r="X1253" t="s">
        <v>42674</v>
      </c>
    </row>
    <row r="1254" spans="1:24">
      <c r="A1254">
        <f>HYPERLINK("https://www.philgeps.gov.ph/GEPSNONPILOT/Tender/SplashBidNoticeAbstractUI.aspx?menuIndex=3&amp;refID=7193383&amp;Result=3","7193383")</f>
        <v>0</v>
      </c>
      <c r="B1254" t="s">
        <v>421</v>
      </c>
      <c r="C1254" t="s">
        <v>4723</v>
      </c>
      <c r="D1254" t="s">
        <v>17181</v>
      </c>
      <c r="E1254" t="s">
        <v>18370</v>
      </c>
      <c r="F1254" t="s">
        <v>29372</v>
      </c>
      <c r="G1254" t="s">
        <v>29379</v>
      </c>
      <c r="H1254" t="s">
        <v>11048</v>
      </c>
      <c r="I1254" t="s">
        <v>8208</v>
      </c>
      <c r="J1254" t="s">
        <v>30457</v>
      </c>
      <c r="K1254" t="s">
        <v>38488</v>
      </c>
      <c r="M1254" t="s">
        <v>39185</v>
      </c>
      <c r="N1254" t="s">
        <v>42669</v>
      </c>
      <c r="O1254" t="s">
        <v>42670</v>
      </c>
      <c r="P1254">
        <v>0</v>
      </c>
      <c r="Q1254">
        <v>0</v>
      </c>
      <c r="R1254" t="s">
        <v>42673</v>
      </c>
      <c r="S1254" t="s">
        <v>42784</v>
      </c>
      <c r="T1254" t="s">
        <v>44451</v>
      </c>
      <c r="U1254" t="s">
        <v>45794</v>
      </c>
      <c r="W1254" t="s">
        <v>39185</v>
      </c>
      <c r="X1254" t="s">
        <v>42674</v>
      </c>
    </row>
    <row r="1255" spans="1:24">
      <c r="A1255">
        <f>HYPERLINK("https://www.philgeps.gov.ph/GEPSNONPILOT/Tender/SplashBidNoticeAbstractUI.aspx?menuIndex=3&amp;refID=7193382&amp;Result=3","7193382")</f>
        <v>0</v>
      </c>
      <c r="B1255" t="s">
        <v>394</v>
      </c>
      <c r="C1255" t="s">
        <v>4724</v>
      </c>
      <c r="D1255" t="s">
        <v>17170</v>
      </c>
      <c r="E1255" t="s">
        <v>18371</v>
      </c>
      <c r="F1255" t="s">
        <v>29372</v>
      </c>
      <c r="G1255" t="s">
        <v>29380</v>
      </c>
      <c r="H1255" t="s">
        <v>11048</v>
      </c>
      <c r="I1255" t="s">
        <v>29425</v>
      </c>
      <c r="J1255" t="s">
        <v>30458</v>
      </c>
      <c r="K1255" t="s">
        <v>38496</v>
      </c>
      <c r="M1255" t="s">
        <v>39157</v>
      </c>
      <c r="N1255" t="s">
        <v>42669</v>
      </c>
      <c r="O1255" t="s">
        <v>42670</v>
      </c>
      <c r="P1255">
        <v>0</v>
      </c>
      <c r="Q1255">
        <v>2</v>
      </c>
      <c r="R1255" t="s">
        <v>42673</v>
      </c>
      <c r="S1255" t="s">
        <v>42784</v>
      </c>
      <c r="T1255" t="s">
        <v>44395</v>
      </c>
      <c r="U1255" t="s">
        <v>45893</v>
      </c>
      <c r="W1255" t="s">
        <v>39157</v>
      </c>
      <c r="X1255" t="s">
        <v>42674</v>
      </c>
    </row>
    <row r="1256" spans="1:24">
      <c r="A1256">
        <f>HYPERLINK("https://www.philgeps.gov.ph/GEPSNONPILOT/Tender/SplashBidNoticeAbstractUI.aspx?menuIndex=3&amp;refID=7193394&amp;Result=3","7193394")</f>
        <v>0</v>
      </c>
      <c r="B1256" t="s">
        <v>473</v>
      </c>
      <c r="C1256" t="s">
        <v>4725</v>
      </c>
      <c r="D1256" t="s">
        <v>17141</v>
      </c>
      <c r="E1256" t="s">
        <v>18372</v>
      </c>
      <c r="F1256" t="s">
        <v>29372</v>
      </c>
      <c r="G1256" t="s">
        <v>29383</v>
      </c>
      <c r="H1256" t="s">
        <v>11048</v>
      </c>
      <c r="I1256" t="s">
        <v>5383</v>
      </c>
      <c r="J1256" t="s">
        <v>30459</v>
      </c>
      <c r="K1256" t="s">
        <v>38488</v>
      </c>
      <c r="M1256" t="s">
        <v>39237</v>
      </c>
      <c r="N1256" t="s">
        <v>42669</v>
      </c>
      <c r="O1256" t="s">
        <v>42670</v>
      </c>
      <c r="P1256">
        <v>0</v>
      </c>
      <c r="Q1256">
        <v>12</v>
      </c>
      <c r="R1256" t="s">
        <v>42673</v>
      </c>
      <c r="S1256" t="s">
        <v>42784</v>
      </c>
      <c r="T1256" t="s">
        <v>44512</v>
      </c>
      <c r="U1256" t="s">
        <v>45906</v>
      </c>
      <c r="V1256" t="s">
        <v>56473</v>
      </c>
      <c r="W1256" t="s">
        <v>39237</v>
      </c>
      <c r="X1256" t="s">
        <v>42674</v>
      </c>
    </row>
    <row r="1257" spans="1:24">
      <c r="A1257">
        <f>HYPERLINK("https://www.philgeps.gov.ph/GEPSNONPILOT/Tender/SplashBidNoticeAbstractUI.aspx?menuIndex=3&amp;refID=7193413&amp;Result=3","7193413")</f>
        <v>0</v>
      </c>
      <c r="B1257" t="s">
        <v>255</v>
      </c>
      <c r="C1257" t="s">
        <v>4726</v>
      </c>
      <c r="E1257" t="s">
        <v>18373</v>
      </c>
      <c r="F1257" t="s">
        <v>29372</v>
      </c>
      <c r="G1257" t="s">
        <v>29379</v>
      </c>
      <c r="H1257" t="s">
        <v>11048</v>
      </c>
      <c r="I1257" t="s">
        <v>29411</v>
      </c>
      <c r="J1257" t="s">
        <v>30460</v>
      </c>
      <c r="K1257" t="s">
        <v>38490</v>
      </c>
      <c r="M1257" t="s">
        <v>39014</v>
      </c>
      <c r="N1257" t="s">
        <v>42669</v>
      </c>
      <c r="O1257" t="s">
        <v>42670</v>
      </c>
      <c r="P1257">
        <v>0</v>
      </c>
      <c r="Q1257">
        <v>1</v>
      </c>
      <c r="R1257" t="s">
        <v>42673</v>
      </c>
      <c r="S1257" t="s">
        <v>42784</v>
      </c>
      <c r="T1257" t="s">
        <v>44469</v>
      </c>
      <c r="U1257" t="s">
        <v>45771</v>
      </c>
      <c r="W1257" t="s">
        <v>39014</v>
      </c>
      <c r="X1257" t="s">
        <v>42674</v>
      </c>
    </row>
    <row r="1258" spans="1:24">
      <c r="A1258">
        <f>HYPERLINK("https://www.philgeps.gov.ph/GEPSNONPILOT/Tender/SplashBidNoticeAbstractUI.aspx?menuIndex=3&amp;refID=7193411&amp;Result=3","7193411")</f>
        <v>0</v>
      </c>
      <c r="B1258" t="s">
        <v>421</v>
      </c>
      <c r="C1258" t="s">
        <v>4727</v>
      </c>
      <c r="D1258" t="s">
        <v>17181</v>
      </c>
      <c r="E1258" t="s">
        <v>18374</v>
      </c>
      <c r="F1258" t="s">
        <v>29372</v>
      </c>
      <c r="G1258" t="s">
        <v>29379</v>
      </c>
      <c r="H1258" t="s">
        <v>11048</v>
      </c>
      <c r="I1258" t="s">
        <v>8208</v>
      </c>
      <c r="J1258" t="s">
        <v>30461</v>
      </c>
      <c r="K1258" t="s">
        <v>38488</v>
      </c>
      <c r="M1258" t="s">
        <v>39185</v>
      </c>
      <c r="N1258" t="s">
        <v>42669</v>
      </c>
      <c r="O1258" t="s">
        <v>42670</v>
      </c>
      <c r="P1258">
        <v>0</v>
      </c>
      <c r="Q1258">
        <v>0</v>
      </c>
      <c r="R1258" t="s">
        <v>42673</v>
      </c>
      <c r="S1258" t="s">
        <v>42784</v>
      </c>
      <c r="T1258" t="s">
        <v>44451</v>
      </c>
      <c r="U1258" t="s">
        <v>45794</v>
      </c>
      <c r="W1258" t="s">
        <v>39185</v>
      </c>
      <c r="X1258" t="s">
        <v>42674</v>
      </c>
    </row>
    <row r="1259" spans="1:24">
      <c r="A1259">
        <f>HYPERLINK("https://www.philgeps.gov.ph/GEPSNONPILOT/Tender/SplashBidNoticeAbstractUI.aspx?menuIndex=3&amp;refID=7193406&amp;Result=3","7193406")</f>
        <v>0</v>
      </c>
      <c r="B1259" t="s">
        <v>474</v>
      </c>
      <c r="C1259" t="s">
        <v>4728</v>
      </c>
      <c r="D1259" t="s">
        <v>17150</v>
      </c>
      <c r="E1259" t="s">
        <v>18375</v>
      </c>
      <c r="F1259" t="s">
        <v>29372</v>
      </c>
      <c r="G1259" t="s">
        <v>29380</v>
      </c>
      <c r="H1259" t="s">
        <v>11048</v>
      </c>
      <c r="I1259" t="s">
        <v>4709</v>
      </c>
      <c r="J1259" t="s">
        <v>30462</v>
      </c>
      <c r="K1259" t="s">
        <v>38485</v>
      </c>
      <c r="M1259" t="s">
        <v>39238</v>
      </c>
      <c r="N1259" t="s">
        <v>42669</v>
      </c>
      <c r="O1259" t="s">
        <v>42670</v>
      </c>
      <c r="P1259">
        <v>0</v>
      </c>
      <c r="Q1259">
        <v>0</v>
      </c>
      <c r="R1259" t="s">
        <v>42673</v>
      </c>
      <c r="S1259" t="s">
        <v>42784</v>
      </c>
      <c r="T1259" t="s">
        <v>44467</v>
      </c>
      <c r="U1259" t="s">
        <v>45907</v>
      </c>
      <c r="W1259" t="s">
        <v>39238</v>
      </c>
      <c r="X1259" t="s">
        <v>42674</v>
      </c>
    </row>
    <row r="1260" spans="1:24">
      <c r="A1260">
        <f>HYPERLINK("https://www.philgeps.gov.ph/GEPSNONPILOT/Tender/SplashBidNoticeAbstractUI.aspx?menuIndex=3&amp;refID=7193405&amp;Result=3","7193405")</f>
        <v>0</v>
      </c>
      <c r="B1260" t="s">
        <v>421</v>
      </c>
      <c r="C1260" t="s">
        <v>4729</v>
      </c>
      <c r="D1260" t="s">
        <v>17213</v>
      </c>
      <c r="E1260" t="s">
        <v>18376</v>
      </c>
      <c r="F1260" t="s">
        <v>29372</v>
      </c>
      <c r="G1260" t="s">
        <v>29379</v>
      </c>
      <c r="H1260" t="s">
        <v>11048</v>
      </c>
      <c r="I1260" t="s">
        <v>8208</v>
      </c>
      <c r="J1260" t="s">
        <v>30463</v>
      </c>
      <c r="K1260" t="s">
        <v>38488</v>
      </c>
      <c r="M1260" t="s">
        <v>39185</v>
      </c>
      <c r="N1260" t="s">
        <v>42669</v>
      </c>
      <c r="O1260" t="s">
        <v>42670</v>
      </c>
      <c r="P1260">
        <v>0</v>
      </c>
      <c r="Q1260">
        <v>0</v>
      </c>
      <c r="R1260" t="s">
        <v>42673</v>
      </c>
      <c r="S1260" t="s">
        <v>42784</v>
      </c>
      <c r="T1260" t="s">
        <v>44451</v>
      </c>
      <c r="U1260" t="s">
        <v>45794</v>
      </c>
      <c r="W1260" t="s">
        <v>39185</v>
      </c>
      <c r="X1260" t="s">
        <v>42674</v>
      </c>
    </row>
    <row r="1261" spans="1:24">
      <c r="A1261">
        <f>HYPERLINK("https://www.philgeps.gov.ph/GEPSNONPILOT/Tender/SplashBidNoticeAbstractUI.aspx?menuIndex=3&amp;refID=7193404&amp;Result=3","7193404")</f>
        <v>0</v>
      </c>
      <c r="B1261" t="s">
        <v>430</v>
      </c>
      <c r="C1261" t="s">
        <v>4730</v>
      </c>
      <c r="D1261" t="s">
        <v>17168</v>
      </c>
      <c r="E1261" t="s">
        <v>18377</v>
      </c>
      <c r="F1261" t="s">
        <v>29372</v>
      </c>
      <c r="G1261" t="s">
        <v>29380</v>
      </c>
      <c r="H1261" t="s">
        <v>11048</v>
      </c>
      <c r="I1261" t="s">
        <v>4709</v>
      </c>
      <c r="J1261" t="s">
        <v>30464</v>
      </c>
      <c r="K1261" t="s">
        <v>38485</v>
      </c>
      <c r="M1261" t="s">
        <v>39239</v>
      </c>
      <c r="N1261" t="s">
        <v>42669</v>
      </c>
      <c r="O1261" t="s">
        <v>42670</v>
      </c>
      <c r="P1261">
        <v>0</v>
      </c>
      <c r="Q1261">
        <v>0</v>
      </c>
      <c r="R1261" t="s">
        <v>42673</v>
      </c>
      <c r="S1261" t="s">
        <v>42784</v>
      </c>
      <c r="T1261" t="s">
        <v>44437</v>
      </c>
      <c r="U1261" t="s">
        <v>45908</v>
      </c>
      <c r="W1261" t="s">
        <v>40337</v>
      </c>
      <c r="X1261" t="s">
        <v>42674</v>
      </c>
    </row>
    <row r="1262" spans="1:24">
      <c r="A1262">
        <f>HYPERLINK("https://www.philgeps.gov.ph/GEPSNONPILOT/Tender/SplashBidNoticeAbstractUI.aspx?menuIndex=3&amp;refID=7193400&amp;Result=3","7193400")</f>
        <v>0</v>
      </c>
      <c r="B1262" t="s">
        <v>421</v>
      </c>
      <c r="C1262" t="s">
        <v>4731</v>
      </c>
      <c r="D1262" t="s">
        <v>17213</v>
      </c>
      <c r="E1262" t="s">
        <v>18378</v>
      </c>
      <c r="F1262" t="s">
        <v>29372</v>
      </c>
      <c r="G1262" t="s">
        <v>29379</v>
      </c>
      <c r="H1262" t="s">
        <v>11048</v>
      </c>
      <c r="I1262" t="s">
        <v>8208</v>
      </c>
      <c r="J1262" t="s">
        <v>29650</v>
      </c>
      <c r="K1262" t="s">
        <v>38488</v>
      </c>
      <c r="M1262" t="s">
        <v>39185</v>
      </c>
      <c r="N1262" t="s">
        <v>42669</v>
      </c>
      <c r="O1262" t="s">
        <v>42670</v>
      </c>
      <c r="P1262">
        <v>0</v>
      </c>
      <c r="Q1262">
        <v>0</v>
      </c>
      <c r="R1262" t="s">
        <v>42673</v>
      </c>
      <c r="S1262" t="s">
        <v>42784</v>
      </c>
      <c r="T1262" t="s">
        <v>44451</v>
      </c>
      <c r="U1262" t="s">
        <v>45794</v>
      </c>
      <c r="W1262" t="s">
        <v>39185</v>
      </c>
      <c r="X1262" t="s">
        <v>42674</v>
      </c>
    </row>
    <row r="1263" spans="1:24">
      <c r="A1263">
        <f>HYPERLINK("https://www.philgeps.gov.ph/GEPSNONPILOT/Tender/SplashBidNoticeAbstractUI.aspx?menuIndex=3&amp;refID=7193398&amp;Result=3","7193398")</f>
        <v>0</v>
      </c>
      <c r="B1263" t="s">
        <v>233</v>
      </c>
      <c r="C1263" t="s">
        <v>4732</v>
      </c>
      <c r="D1263" t="s">
        <v>17203</v>
      </c>
      <c r="E1263" t="s">
        <v>18379</v>
      </c>
      <c r="F1263" t="s">
        <v>29372</v>
      </c>
      <c r="G1263" t="s">
        <v>29380</v>
      </c>
      <c r="H1263" t="s">
        <v>29389</v>
      </c>
      <c r="I1263" t="s">
        <v>10408</v>
      </c>
      <c r="J1263" t="s">
        <v>30465</v>
      </c>
      <c r="K1263" t="s">
        <v>38571</v>
      </c>
      <c r="M1263" t="s">
        <v>38992</v>
      </c>
      <c r="N1263" t="s">
        <v>42669</v>
      </c>
      <c r="O1263" t="s">
        <v>42670</v>
      </c>
      <c r="P1263">
        <v>0</v>
      </c>
      <c r="Q1263">
        <v>0</v>
      </c>
      <c r="R1263" t="s">
        <v>42673</v>
      </c>
      <c r="S1263" t="s">
        <v>42784</v>
      </c>
      <c r="T1263" t="s">
        <v>44373</v>
      </c>
      <c r="U1263" t="s">
        <v>45909</v>
      </c>
      <c r="W1263" t="s">
        <v>38992</v>
      </c>
      <c r="X1263" t="s">
        <v>42674</v>
      </c>
    </row>
    <row r="1264" spans="1:24">
      <c r="A1264">
        <f>HYPERLINK("https://www.philgeps.gov.ph/GEPSNONPILOT/Tender/SplashBidNoticeAbstractUI.aspx?menuIndex=3&amp;refID=7193385&amp;Result=3","7193385")</f>
        <v>0</v>
      </c>
      <c r="B1264" t="s">
        <v>252</v>
      </c>
      <c r="C1264" t="s">
        <v>4733</v>
      </c>
      <c r="D1264" t="s">
        <v>17160</v>
      </c>
      <c r="E1264" t="s">
        <v>18380</v>
      </c>
      <c r="F1264" t="s">
        <v>29372</v>
      </c>
      <c r="G1264" t="s">
        <v>29379</v>
      </c>
      <c r="H1264" t="s">
        <v>11048</v>
      </c>
      <c r="I1264" t="s">
        <v>29407</v>
      </c>
      <c r="J1264" t="s">
        <v>30466</v>
      </c>
      <c r="K1264" t="s">
        <v>38534</v>
      </c>
      <c r="M1264" t="s">
        <v>39011</v>
      </c>
      <c r="N1264" t="s">
        <v>42669</v>
      </c>
      <c r="O1264" t="s">
        <v>42670</v>
      </c>
      <c r="P1264">
        <v>0</v>
      </c>
      <c r="Q1264">
        <v>6</v>
      </c>
      <c r="R1264" t="s">
        <v>42673</v>
      </c>
      <c r="S1264" t="s">
        <v>42784</v>
      </c>
      <c r="T1264" t="s">
        <v>44417</v>
      </c>
      <c r="U1264" t="s">
        <v>45910</v>
      </c>
      <c r="W1264" t="s">
        <v>39011</v>
      </c>
      <c r="X1264" t="s">
        <v>42674</v>
      </c>
    </row>
    <row r="1265" spans="1:24">
      <c r="A1265">
        <f>HYPERLINK("https://www.philgeps.gov.ph/GEPSNONPILOT/Tender/SplashBidNoticeAbstractUI.aspx?menuIndex=3&amp;refID=7193429&amp;Result=3","7193429")</f>
        <v>0</v>
      </c>
      <c r="B1265" t="s">
        <v>475</v>
      </c>
      <c r="C1265" t="s">
        <v>4734</v>
      </c>
      <c r="E1265" t="s">
        <v>18381</v>
      </c>
      <c r="F1265" t="s">
        <v>29372</v>
      </c>
      <c r="G1265" t="s">
        <v>29379</v>
      </c>
      <c r="H1265" t="s">
        <v>11048</v>
      </c>
      <c r="I1265" t="s">
        <v>29412</v>
      </c>
      <c r="J1265" t="s">
        <v>30467</v>
      </c>
      <c r="K1265" t="s">
        <v>38490</v>
      </c>
      <c r="M1265" t="s">
        <v>39240</v>
      </c>
      <c r="N1265" t="s">
        <v>42669</v>
      </c>
      <c r="O1265" t="s">
        <v>42670</v>
      </c>
      <c r="P1265">
        <v>0</v>
      </c>
      <c r="Q1265">
        <v>2</v>
      </c>
      <c r="R1265" t="s">
        <v>42673</v>
      </c>
      <c r="S1265" t="s">
        <v>42784</v>
      </c>
      <c r="T1265" t="s">
        <v>44491</v>
      </c>
      <c r="U1265" t="s">
        <v>45911</v>
      </c>
      <c r="W1265" t="s">
        <v>39240</v>
      </c>
      <c r="X1265" t="s">
        <v>42674</v>
      </c>
    </row>
    <row r="1266" spans="1:24">
      <c r="A1266">
        <f>HYPERLINK("https://www.philgeps.gov.ph/GEPSNONPILOT/Tender/SplashBidNoticeAbstractUI.aspx?menuIndex=3&amp;refID=7193427&amp;Result=3","7193427")</f>
        <v>0</v>
      </c>
      <c r="B1266" t="s">
        <v>468</v>
      </c>
      <c r="C1266" t="s">
        <v>4735</v>
      </c>
      <c r="D1266" t="s">
        <v>17141</v>
      </c>
      <c r="E1266" t="s">
        <v>18382</v>
      </c>
      <c r="F1266" t="s">
        <v>29372</v>
      </c>
      <c r="G1266" t="s">
        <v>29379</v>
      </c>
      <c r="H1266" t="s">
        <v>11048</v>
      </c>
      <c r="I1266" t="s">
        <v>9642</v>
      </c>
      <c r="J1266" t="s">
        <v>30468</v>
      </c>
      <c r="K1266" t="s">
        <v>38510</v>
      </c>
      <c r="M1266" t="s">
        <v>39232</v>
      </c>
      <c r="N1266" t="s">
        <v>42669</v>
      </c>
      <c r="O1266" t="s">
        <v>42670</v>
      </c>
      <c r="P1266">
        <v>0</v>
      </c>
      <c r="Q1266">
        <v>2</v>
      </c>
      <c r="R1266" t="s">
        <v>42673</v>
      </c>
      <c r="S1266" t="s">
        <v>42784</v>
      </c>
      <c r="T1266" t="s">
        <v>44432</v>
      </c>
      <c r="U1266" t="s">
        <v>45912</v>
      </c>
      <c r="W1266" t="s">
        <v>39232</v>
      </c>
      <c r="X1266" t="s">
        <v>42674</v>
      </c>
    </row>
    <row r="1267" spans="1:24">
      <c r="A1267">
        <f>HYPERLINK("https://www.philgeps.gov.ph/GEPSNONPILOT/Tender/SplashBidNoticeAbstractUI.aspx?menuIndex=3&amp;refID=7193380&amp;Result=3","7193380")</f>
        <v>0</v>
      </c>
      <c r="B1267" t="s">
        <v>471</v>
      </c>
      <c r="C1267" t="s">
        <v>4718</v>
      </c>
      <c r="D1267" t="s">
        <v>17150</v>
      </c>
      <c r="E1267" t="s">
        <v>18383</v>
      </c>
      <c r="F1267" t="s">
        <v>29372</v>
      </c>
      <c r="G1267" t="s">
        <v>29380</v>
      </c>
      <c r="H1267" t="s">
        <v>11048</v>
      </c>
      <c r="I1267" t="s">
        <v>4709</v>
      </c>
      <c r="J1267" t="s">
        <v>30469</v>
      </c>
      <c r="K1267" t="s">
        <v>38485</v>
      </c>
      <c r="M1267" t="s">
        <v>39235</v>
      </c>
      <c r="N1267" t="s">
        <v>42669</v>
      </c>
      <c r="O1267" t="s">
        <v>42670</v>
      </c>
      <c r="P1267">
        <v>0</v>
      </c>
      <c r="Q1267">
        <v>0</v>
      </c>
      <c r="R1267" t="s">
        <v>42673</v>
      </c>
      <c r="S1267" t="s">
        <v>42784</v>
      </c>
      <c r="T1267" t="s">
        <v>44467</v>
      </c>
      <c r="U1267" t="s">
        <v>45913</v>
      </c>
      <c r="W1267" t="s">
        <v>39235</v>
      </c>
      <c r="X1267" t="s">
        <v>42674</v>
      </c>
    </row>
    <row r="1268" spans="1:24">
      <c r="A1268">
        <f>HYPERLINK("https://www.philgeps.gov.ph/GEPSNONPILOT/Tender/SplashBidNoticeAbstractUI.aspx?menuIndex=3&amp;refID=7193402&amp;Result=3","7193402")</f>
        <v>0</v>
      </c>
      <c r="B1268" t="s">
        <v>476</v>
      </c>
      <c r="C1268" t="s">
        <v>4736</v>
      </c>
      <c r="D1268" t="s">
        <v>17153</v>
      </c>
      <c r="E1268" t="s">
        <v>17533</v>
      </c>
      <c r="F1268" t="s">
        <v>29372</v>
      </c>
      <c r="G1268" t="s">
        <v>29380</v>
      </c>
      <c r="H1268" t="s">
        <v>11048</v>
      </c>
      <c r="I1268" t="s">
        <v>4709</v>
      </c>
      <c r="J1268" t="s">
        <v>30470</v>
      </c>
      <c r="K1268" t="s">
        <v>38488</v>
      </c>
      <c r="M1268" t="s">
        <v>39241</v>
      </c>
      <c r="N1268" t="s">
        <v>42669</v>
      </c>
      <c r="O1268" t="s">
        <v>42670</v>
      </c>
      <c r="P1268">
        <v>0</v>
      </c>
      <c r="Q1268">
        <v>0</v>
      </c>
      <c r="R1268" t="s">
        <v>42673</v>
      </c>
      <c r="S1268" t="s">
        <v>42784</v>
      </c>
      <c r="T1268" t="s">
        <v>44409</v>
      </c>
      <c r="U1268" t="s">
        <v>45914</v>
      </c>
      <c r="W1268" t="s">
        <v>39241</v>
      </c>
      <c r="X1268" t="s">
        <v>42674</v>
      </c>
    </row>
    <row r="1269" spans="1:24">
      <c r="A1269">
        <f>HYPERLINK("https://www.philgeps.gov.ph/GEPSNONPILOT/Tender/SplashBidNoticeAbstractUI.aspx?menuIndex=3&amp;refID=7193420&amp;Result=3","7193420")</f>
        <v>0</v>
      </c>
      <c r="B1269" t="s">
        <v>403</v>
      </c>
      <c r="C1269" t="s">
        <v>4737</v>
      </c>
      <c r="D1269" t="s">
        <v>17188</v>
      </c>
      <c r="E1269" t="s">
        <v>18384</v>
      </c>
      <c r="F1269" t="s">
        <v>29372</v>
      </c>
      <c r="G1269" t="s">
        <v>29379</v>
      </c>
      <c r="H1269" t="s">
        <v>11048</v>
      </c>
      <c r="I1269" t="s">
        <v>5383</v>
      </c>
      <c r="J1269" t="s">
        <v>30471</v>
      </c>
      <c r="K1269" t="s">
        <v>38491</v>
      </c>
      <c r="M1269" t="s">
        <v>39167</v>
      </c>
      <c r="N1269" t="s">
        <v>42669</v>
      </c>
      <c r="O1269" t="s">
        <v>42670</v>
      </c>
      <c r="P1269">
        <v>0</v>
      </c>
      <c r="Q1269">
        <v>5</v>
      </c>
      <c r="R1269" t="s">
        <v>42673</v>
      </c>
      <c r="S1269" t="s">
        <v>42784</v>
      </c>
      <c r="T1269" t="s">
        <v>44488</v>
      </c>
      <c r="U1269" t="s">
        <v>45754</v>
      </c>
      <c r="W1269" t="s">
        <v>39167</v>
      </c>
      <c r="X1269" t="s">
        <v>42674</v>
      </c>
    </row>
    <row r="1270" spans="1:24">
      <c r="A1270">
        <f>HYPERLINK("https://www.philgeps.gov.ph/GEPSNONPILOT/Tender/SplashBidNoticeAbstractUI.aspx?menuIndex=3&amp;refID=7193391&amp;Result=3","7193391")</f>
        <v>0</v>
      </c>
      <c r="B1270" t="s">
        <v>477</v>
      </c>
      <c r="C1270" t="s">
        <v>4738</v>
      </c>
      <c r="D1270" t="s">
        <v>17170</v>
      </c>
      <c r="E1270" t="s">
        <v>18385</v>
      </c>
      <c r="F1270" t="s">
        <v>29372</v>
      </c>
      <c r="G1270" t="s">
        <v>29381</v>
      </c>
      <c r="H1270" t="s">
        <v>11048</v>
      </c>
      <c r="I1270" t="s">
        <v>10408</v>
      </c>
      <c r="J1270" t="s">
        <v>30472</v>
      </c>
      <c r="K1270" t="s">
        <v>38490</v>
      </c>
      <c r="M1270" t="s">
        <v>39242</v>
      </c>
      <c r="N1270" t="s">
        <v>42669</v>
      </c>
      <c r="O1270" t="s">
        <v>42670</v>
      </c>
      <c r="P1270">
        <v>0</v>
      </c>
      <c r="Q1270">
        <v>0</v>
      </c>
      <c r="R1270" t="s">
        <v>42673</v>
      </c>
      <c r="S1270" t="s">
        <v>42784</v>
      </c>
      <c r="T1270" t="s">
        <v>44519</v>
      </c>
      <c r="U1270" t="s">
        <v>45915</v>
      </c>
      <c r="W1270" t="s">
        <v>39242</v>
      </c>
      <c r="X1270" t="s">
        <v>42674</v>
      </c>
    </row>
    <row r="1271" spans="1:24">
      <c r="A1271">
        <f>HYPERLINK("https://www.philgeps.gov.ph/GEPSNONPILOT/Tender/SplashBidNoticeAbstractUI.aspx?menuIndex=3&amp;refID=7193388&amp;Result=3","7193388")</f>
        <v>0</v>
      </c>
      <c r="B1271" t="s">
        <v>252</v>
      </c>
      <c r="C1271" t="s">
        <v>4739</v>
      </c>
      <c r="D1271" t="s">
        <v>17160</v>
      </c>
      <c r="E1271" t="s">
        <v>18386</v>
      </c>
      <c r="F1271" t="s">
        <v>29372</v>
      </c>
      <c r="G1271" t="s">
        <v>29379</v>
      </c>
      <c r="H1271" t="s">
        <v>11048</v>
      </c>
      <c r="I1271" t="s">
        <v>29393</v>
      </c>
      <c r="J1271" t="s">
        <v>29694</v>
      </c>
      <c r="K1271" t="s">
        <v>38485</v>
      </c>
      <c r="M1271" t="s">
        <v>39011</v>
      </c>
      <c r="N1271" t="s">
        <v>42669</v>
      </c>
      <c r="O1271" t="s">
        <v>42670</v>
      </c>
      <c r="P1271">
        <v>0</v>
      </c>
      <c r="Q1271">
        <v>1</v>
      </c>
      <c r="R1271" t="s">
        <v>42673</v>
      </c>
      <c r="S1271" t="s">
        <v>42784</v>
      </c>
      <c r="T1271" t="s">
        <v>44417</v>
      </c>
      <c r="U1271" t="s">
        <v>45892</v>
      </c>
      <c r="W1271" t="s">
        <v>39011</v>
      </c>
      <c r="X1271" t="s">
        <v>42674</v>
      </c>
    </row>
    <row r="1272" spans="1:24">
      <c r="A1272">
        <f>HYPERLINK("https://www.philgeps.gov.ph/GEPSNONPILOT/Tender/SplashBidNoticeAbstractUI.aspx?menuIndex=3&amp;refID=7193417&amp;Result=3","7193417")</f>
        <v>0</v>
      </c>
      <c r="B1272" t="s">
        <v>421</v>
      </c>
      <c r="C1272" t="s">
        <v>4740</v>
      </c>
      <c r="D1272" t="s">
        <v>17181</v>
      </c>
      <c r="E1272" t="s">
        <v>18387</v>
      </c>
      <c r="F1272" t="s">
        <v>29372</v>
      </c>
      <c r="G1272" t="s">
        <v>29379</v>
      </c>
      <c r="H1272" t="s">
        <v>11048</v>
      </c>
      <c r="I1272" t="s">
        <v>8208</v>
      </c>
      <c r="J1272" t="s">
        <v>29650</v>
      </c>
      <c r="K1272" t="s">
        <v>38488</v>
      </c>
      <c r="M1272" t="s">
        <v>39185</v>
      </c>
      <c r="N1272" t="s">
        <v>42669</v>
      </c>
      <c r="O1272" t="s">
        <v>42670</v>
      </c>
      <c r="P1272">
        <v>0</v>
      </c>
      <c r="Q1272">
        <v>0</v>
      </c>
      <c r="R1272" t="s">
        <v>42673</v>
      </c>
      <c r="S1272" t="s">
        <v>42784</v>
      </c>
      <c r="T1272" t="s">
        <v>44451</v>
      </c>
      <c r="U1272" t="s">
        <v>45794</v>
      </c>
      <c r="W1272" t="s">
        <v>39185</v>
      </c>
      <c r="X1272" t="s">
        <v>42674</v>
      </c>
    </row>
    <row r="1273" spans="1:24">
      <c r="A1273">
        <f>HYPERLINK("https://www.philgeps.gov.ph/GEPSNONPILOT/Tender/SplashBidNoticeAbstractUI.aspx?menuIndex=3&amp;refID=7193414&amp;Result=3","7193414")</f>
        <v>0</v>
      </c>
      <c r="B1273" t="s">
        <v>403</v>
      </c>
      <c r="C1273" t="s">
        <v>4741</v>
      </c>
      <c r="D1273" t="s">
        <v>17188</v>
      </c>
      <c r="E1273" t="s">
        <v>18388</v>
      </c>
      <c r="F1273" t="s">
        <v>29372</v>
      </c>
      <c r="G1273" t="s">
        <v>29379</v>
      </c>
      <c r="H1273" t="s">
        <v>11048</v>
      </c>
      <c r="I1273" t="s">
        <v>5383</v>
      </c>
      <c r="J1273" t="s">
        <v>30473</v>
      </c>
      <c r="K1273" t="s">
        <v>38491</v>
      </c>
      <c r="M1273" t="s">
        <v>39167</v>
      </c>
      <c r="N1273" t="s">
        <v>42669</v>
      </c>
      <c r="O1273" t="s">
        <v>42670</v>
      </c>
      <c r="P1273">
        <v>0</v>
      </c>
      <c r="Q1273">
        <v>6</v>
      </c>
      <c r="R1273" t="s">
        <v>42673</v>
      </c>
      <c r="S1273" t="s">
        <v>42784</v>
      </c>
      <c r="T1273" t="s">
        <v>44488</v>
      </c>
      <c r="U1273" t="s">
        <v>45754</v>
      </c>
      <c r="W1273" t="s">
        <v>39167</v>
      </c>
      <c r="X1273" t="s">
        <v>42674</v>
      </c>
    </row>
    <row r="1274" spans="1:24">
      <c r="A1274">
        <f>HYPERLINK("https://www.philgeps.gov.ph/GEPSNONPILOT/Tender/SplashBidNoticeAbstractUI.aspx?menuIndex=3&amp;refID=7193424&amp;Result=3","7193424")</f>
        <v>0</v>
      </c>
      <c r="B1274" t="s">
        <v>421</v>
      </c>
      <c r="C1274" t="s">
        <v>4742</v>
      </c>
      <c r="D1274" t="s">
        <v>17213</v>
      </c>
      <c r="E1274" t="s">
        <v>18389</v>
      </c>
      <c r="F1274" t="s">
        <v>29372</v>
      </c>
      <c r="G1274" t="s">
        <v>29379</v>
      </c>
      <c r="H1274" t="s">
        <v>11048</v>
      </c>
      <c r="I1274" t="s">
        <v>8208</v>
      </c>
      <c r="J1274" t="s">
        <v>30365</v>
      </c>
      <c r="K1274" t="s">
        <v>38488</v>
      </c>
      <c r="M1274" t="s">
        <v>39185</v>
      </c>
      <c r="N1274" t="s">
        <v>42669</v>
      </c>
      <c r="O1274" t="s">
        <v>42670</v>
      </c>
      <c r="P1274">
        <v>0</v>
      </c>
      <c r="Q1274">
        <v>1</v>
      </c>
      <c r="R1274" t="s">
        <v>42673</v>
      </c>
      <c r="S1274" t="s">
        <v>42784</v>
      </c>
      <c r="T1274" t="s">
        <v>44451</v>
      </c>
      <c r="U1274" t="s">
        <v>45794</v>
      </c>
      <c r="W1274" t="s">
        <v>39185</v>
      </c>
      <c r="X1274" t="s">
        <v>42674</v>
      </c>
    </row>
    <row r="1275" spans="1:24">
      <c r="A1275">
        <f>HYPERLINK("https://www.philgeps.gov.ph/GEPSNONPILOT/Tender/SplashBidNoticeAbstractUI.aspx?menuIndex=3&amp;refID=7193397&amp;Result=3","7193397")</f>
        <v>0</v>
      </c>
      <c r="B1275" t="s">
        <v>478</v>
      </c>
      <c r="C1275" t="s">
        <v>4743</v>
      </c>
      <c r="D1275" t="s">
        <v>17177</v>
      </c>
      <c r="E1275" t="s">
        <v>18390</v>
      </c>
      <c r="F1275" t="s">
        <v>29372</v>
      </c>
      <c r="G1275" t="s">
        <v>29380</v>
      </c>
      <c r="H1275" t="s">
        <v>29389</v>
      </c>
      <c r="I1275" t="s">
        <v>10408</v>
      </c>
      <c r="J1275" t="s">
        <v>30113</v>
      </c>
      <c r="K1275" t="s">
        <v>38518</v>
      </c>
      <c r="M1275" t="s">
        <v>39243</v>
      </c>
      <c r="N1275" t="s">
        <v>42669</v>
      </c>
      <c r="O1275" t="s">
        <v>42670</v>
      </c>
      <c r="P1275">
        <v>0</v>
      </c>
      <c r="Q1275">
        <v>0</v>
      </c>
      <c r="R1275" t="s">
        <v>42673</v>
      </c>
      <c r="S1275" t="s">
        <v>42784</v>
      </c>
      <c r="T1275" t="s">
        <v>44520</v>
      </c>
      <c r="U1275" t="s">
        <v>45916</v>
      </c>
      <c r="W1275" t="s">
        <v>39243</v>
      </c>
      <c r="X1275" t="s">
        <v>42674</v>
      </c>
    </row>
    <row r="1276" spans="1:24">
      <c r="A1276">
        <f>HYPERLINK("https://www.philgeps.gov.ph/GEPSNONPILOT/Tender/SplashBidNoticeAbstractUI.aspx?menuIndex=3&amp;refID=7193395&amp;Result=3","7193395")</f>
        <v>0</v>
      </c>
      <c r="B1276" t="s">
        <v>421</v>
      </c>
      <c r="C1276" t="s">
        <v>4744</v>
      </c>
      <c r="D1276" t="s">
        <v>17165</v>
      </c>
      <c r="E1276" t="s">
        <v>18391</v>
      </c>
      <c r="F1276" t="s">
        <v>29372</v>
      </c>
      <c r="G1276" t="s">
        <v>29379</v>
      </c>
      <c r="H1276" t="s">
        <v>11048</v>
      </c>
      <c r="I1276" t="s">
        <v>8208</v>
      </c>
      <c r="J1276" t="s">
        <v>30365</v>
      </c>
      <c r="K1276" t="s">
        <v>38488</v>
      </c>
      <c r="M1276" t="s">
        <v>39185</v>
      </c>
      <c r="N1276" t="s">
        <v>42669</v>
      </c>
      <c r="O1276" t="s">
        <v>42670</v>
      </c>
      <c r="P1276">
        <v>0</v>
      </c>
      <c r="Q1276">
        <v>0</v>
      </c>
      <c r="R1276" t="s">
        <v>42673</v>
      </c>
      <c r="S1276" t="s">
        <v>42784</v>
      </c>
      <c r="T1276" t="s">
        <v>44451</v>
      </c>
      <c r="U1276" t="s">
        <v>45794</v>
      </c>
      <c r="W1276" t="s">
        <v>39185</v>
      </c>
      <c r="X1276" t="s">
        <v>42674</v>
      </c>
    </row>
    <row r="1277" spans="1:24">
      <c r="A1277">
        <f>HYPERLINK("https://www.philgeps.gov.ph/GEPSNONPILOT/Tender/SplashBidNoticeAbstractUI.aspx?menuIndex=3&amp;refID=7193472&amp;Result=3","7193472")</f>
        <v>0</v>
      </c>
      <c r="B1277" t="s">
        <v>479</v>
      </c>
      <c r="C1277" t="s">
        <v>4745</v>
      </c>
      <c r="D1277" t="s">
        <v>17141</v>
      </c>
      <c r="E1277" t="s">
        <v>18392</v>
      </c>
      <c r="F1277" t="s">
        <v>29372</v>
      </c>
      <c r="G1277" t="s">
        <v>29380</v>
      </c>
      <c r="H1277" t="s">
        <v>11048</v>
      </c>
      <c r="I1277" t="s">
        <v>29409</v>
      </c>
      <c r="J1277" t="s">
        <v>30474</v>
      </c>
      <c r="K1277" t="s">
        <v>38487</v>
      </c>
      <c r="M1277" t="s">
        <v>39244</v>
      </c>
      <c r="N1277" t="s">
        <v>42669</v>
      </c>
      <c r="O1277" t="s">
        <v>42670</v>
      </c>
      <c r="P1277">
        <v>0</v>
      </c>
      <c r="Q1277">
        <v>14</v>
      </c>
      <c r="R1277" t="s">
        <v>42673</v>
      </c>
      <c r="S1277" t="s">
        <v>42784</v>
      </c>
      <c r="T1277" t="s">
        <v>44521</v>
      </c>
      <c r="U1277" t="s">
        <v>45917</v>
      </c>
      <c r="W1277" t="s">
        <v>40069</v>
      </c>
      <c r="X1277" t="s">
        <v>42674</v>
      </c>
    </row>
    <row r="1278" spans="1:24">
      <c r="A1278">
        <f>HYPERLINK("https://www.philgeps.gov.ph/GEPSNONPILOT/Tender/SplashBidNoticeAbstractUI.aspx?menuIndex=3&amp;refID=7193469&amp;Result=3","7193469")</f>
        <v>0</v>
      </c>
      <c r="B1278" t="s">
        <v>403</v>
      </c>
      <c r="C1278" t="s">
        <v>4746</v>
      </c>
      <c r="D1278" t="s">
        <v>17188</v>
      </c>
      <c r="E1278" t="s">
        <v>18393</v>
      </c>
      <c r="F1278" t="s">
        <v>29372</v>
      </c>
      <c r="G1278" t="s">
        <v>29379</v>
      </c>
      <c r="H1278" t="s">
        <v>11048</v>
      </c>
      <c r="I1278" t="s">
        <v>5383</v>
      </c>
      <c r="J1278" t="s">
        <v>30475</v>
      </c>
      <c r="K1278" t="s">
        <v>38491</v>
      </c>
      <c r="M1278" t="s">
        <v>39167</v>
      </c>
      <c r="N1278" t="s">
        <v>42669</v>
      </c>
      <c r="O1278" t="s">
        <v>42670</v>
      </c>
      <c r="P1278">
        <v>0</v>
      </c>
      <c r="Q1278">
        <v>5</v>
      </c>
      <c r="R1278" t="s">
        <v>42673</v>
      </c>
      <c r="S1278" t="s">
        <v>42784</v>
      </c>
      <c r="T1278" t="s">
        <v>44488</v>
      </c>
      <c r="U1278" t="s">
        <v>45754</v>
      </c>
      <c r="W1278" t="s">
        <v>39167</v>
      </c>
      <c r="X1278" t="s">
        <v>42674</v>
      </c>
    </row>
    <row r="1279" spans="1:24">
      <c r="A1279">
        <f>HYPERLINK("https://www.philgeps.gov.ph/GEPSNONPILOT/Tender/SplashBidNoticeAbstractUI.aspx?menuIndex=3&amp;refID=7193415&amp;Result=3","7193415")</f>
        <v>0</v>
      </c>
      <c r="B1279" t="s">
        <v>476</v>
      </c>
      <c r="C1279" t="s">
        <v>4747</v>
      </c>
      <c r="D1279" t="s">
        <v>17153</v>
      </c>
      <c r="E1279" t="s">
        <v>17540</v>
      </c>
      <c r="F1279" t="s">
        <v>29372</v>
      </c>
      <c r="G1279" t="s">
        <v>29380</v>
      </c>
      <c r="H1279" t="s">
        <v>11048</v>
      </c>
      <c r="I1279" t="s">
        <v>4709</v>
      </c>
      <c r="J1279" t="s">
        <v>30476</v>
      </c>
      <c r="K1279" t="s">
        <v>38488</v>
      </c>
      <c r="M1279" t="s">
        <v>39241</v>
      </c>
      <c r="N1279" t="s">
        <v>42669</v>
      </c>
      <c r="O1279" t="s">
        <v>42670</v>
      </c>
      <c r="P1279">
        <v>0</v>
      </c>
      <c r="Q1279">
        <v>0</v>
      </c>
      <c r="R1279" t="s">
        <v>42673</v>
      </c>
      <c r="S1279" t="s">
        <v>42784</v>
      </c>
      <c r="T1279" t="s">
        <v>44409</v>
      </c>
      <c r="U1279" t="s">
        <v>45914</v>
      </c>
      <c r="W1279" t="s">
        <v>39241</v>
      </c>
      <c r="X1279" t="s">
        <v>42674</v>
      </c>
    </row>
    <row r="1280" spans="1:24">
      <c r="A1280">
        <f>HYPERLINK("https://www.philgeps.gov.ph/GEPSNONPILOT/Tender/SplashBidNoticeAbstractUI.aspx?menuIndex=3&amp;refID=7193423&amp;Result=3","7193423")</f>
        <v>0</v>
      </c>
      <c r="B1280" t="s">
        <v>480</v>
      </c>
      <c r="C1280" t="s">
        <v>4748</v>
      </c>
      <c r="D1280" t="s">
        <v>17150</v>
      </c>
      <c r="E1280" t="s">
        <v>18365</v>
      </c>
      <c r="F1280" t="s">
        <v>29372</v>
      </c>
      <c r="G1280" t="s">
        <v>29380</v>
      </c>
      <c r="H1280" t="s">
        <v>11048</v>
      </c>
      <c r="I1280" t="s">
        <v>4709</v>
      </c>
      <c r="J1280" t="s">
        <v>30477</v>
      </c>
      <c r="K1280" t="s">
        <v>38485</v>
      </c>
      <c r="M1280" t="s">
        <v>39245</v>
      </c>
      <c r="N1280" t="s">
        <v>42669</v>
      </c>
      <c r="O1280" t="s">
        <v>42670</v>
      </c>
      <c r="P1280">
        <v>0</v>
      </c>
      <c r="Q1280">
        <v>0</v>
      </c>
      <c r="R1280" t="s">
        <v>42673</v>
      </c>
      <c r="S1280" t="s">
        <v>42784</v>
      </c>
      <c r="T1280" t="s">
        <v>44467</v>
      </c>
      <c r="U1280" t="s">
        <v>45918</v>
      </c>
      <c r="W1280" t="s">
        <v>39245</v>
      </c>
      <c r="X1280" t="s">
        <v>42674</v>
      </c>
    </row>
    <row r="1281" spans="1:24">
      <c r="A1281">
        <f>HYPERLINK("https://www.philgeps.gov.ph/GEPSNONPILOT/Tender/SplashBidNoticeAbstractUI.aspx?menuIndex=3&amp;refID=7193465&amp;Result=3","7193465")</f>
        <v>0</v>
      </c>
      <c r="B1281" t="s">
        <v>421</v>
      </c>
      <c r="C1281" t="s">
        <v>4749</v>
      </c>
      <c r="D1281" t="s">
        <v>17165</v>
      </c>
      <c r="E1281" t="s">
        <v>18394</v>
      </c>
      <c r="F1281" t="s">
        <v>29372</v>
      </c>
      <c r="G1281" t="s">
        <v>29379</v>
      </c>
      <c r="H1281" t="s">
        <v>11048</v>
      </c>
      <c r="I1281" t="s">
        <v>8208</v>
      </c>
      <c r="J1281" t="s">
        <v>29650</v>
      </c>
      <c r="K1281" t="s">
        <v>38488</v>
      </c>
      <c r="M1281" t="s">
        <v>39185</v>
      </c>
      <c r="N1281" t="s">
        <v>42669</v>
      </c>
      <c r="O1281" t="s">
        <v>42670</v>
      </c>
      <c r="P1281">
        <v>0</v>
      </c>
      <c r="Q1281">
        <v>1</v>
      </c>
      <c r="R1281" t="s">
        <v>42673</v>
      </c>
      <c r="S1281" t="s">
        <v>42784</v>
      </c>
      <c r="T1281" t="s">
        <v>44451</v>
      </c>
      <c r="U1281" t="s">
        <v>45794</v>
      </c>
      <c r="W1281" t="s">
        <v>39185</v>
      </c>
      <c r="X1281" t="s">
        <v>42674</v>
      </c>
    </row>
    <row r="1282" spans="1:24">
      <c r="A1282">
        <f>HYPERLINK("https://www.philgeps.gov.ph/GEPSNONPILOT/Tender/SplashBidNoticeAbstractUI.aspx?menuIndex=3&amp;refID=7193425&amp;Result=3","7193425")</f>
        <v>0</v>
      </c>
      <c r="B1282" t="s">
        <v>403</v>
      </c>
      <c r="C1282" t="s">
        <v>4750</v>
      </c>
      <c r="D1282" t="s">
        <v>17188</v>
      </c>
      <c r="E1282" t="s">
        <v>18395</v>
      </c>
      <c r="F1282" t="s">
        <v>29372</v>
      </c>
      <c r="G1282" t="s">
        <v>29379</v>
      </c>
      <c r="H1282" t="s">
        <v>11048</v>
      </c>
      <c r="I1282" t="s">
        <v>5383</v>
      </c>
      <c r="J1282" t="s">
        <v>30478</v>
      </c>
      <c r="K1282" t="s">
        <v>38491</v>
      </c>
      <c r="M1282" t="s">
        <v>39167</v>
      </c>
      <c r="N1282" t="s">
        <v>42669</v>
      </c>
      <c r="O1282" t="s">
        <v>42670</v>
      </c>
      <c r="P1282">
        <v>0</v>
      </c>
      <c r="Q1282">
        <v>5</v>
      </c>
      <c r="R1282" t="s">
        <v>42673</v>
      </c>
      <c r="S1282" t="s">
        <v>42784</v>
      </c>
      <c r="T1282" t="s">
        <v>44488</v>
      </c>
      <c r="U1282" t="s">
        <v>45754</v>
      </c>
      <c r="W1282" t="s">
        <v>39167</v>
      </c>
      <c r="X1282" t="s">
        <v>42674</v>
      </c>
    </row>
    <row r="1283" spans="1:24">
      <c r="A1283">
        <f>HYPERLINK("https://www.philgeps.gov.ph/GEPSNONPILOT/Tender/SplashBidNoticeAbstractUI.aspx?menuIndex=3&amp;refID=7193457&amp;Result=3","7193457")</f>
        <v>0</v>
      </c>
      <c r="B1283" t="s">
        <v>421</v>
      </c>
      <c r="C1283" t="s">
        <v>4751</v>
      </c>
      <c r="D1283" t="s">
        <v>17181</v>
      </c>
      <c r="E1283" t="s">
        <v>18396</v>
      </c>
      <c r="F1283" t="s">
        <v>29372</v>
      </c>
      <c r="G1283" t="s">
        <v>29379</v>
      </c>
      <c r="H1283" t="s">
        <v>11048</v>
      </c>
      <c r="I1283" t="s">
        <v>8208</v>
      </c>
      <c r="J1283" t="s">
        <v>30479</v>
      </c>
      <c r="K1283" t="s">
        <v>38488</v>
      </c>
      <c r="M1283" t="s">
        <v>39185</v>
      </c>
      <c r="N1283" t="s">
        <v>42669</v>
      </c>
      <c r="O1283" t="s">
        <v>42670</v>
      </c>
      <c r="P1283">
        <v>0</v>
      </c>
      <c r="Q1283">
        <v>0</v>
      </c>
      <c r="R1283" t="s">
        <v>42673</v>
      </c>
      <c r="S1283" t="s">
        <v>42784</v>
      </c>
      <c r="T1283" t="s">
        <v>44451</v>
      </c>
      <c r="U1283" t="s">
        <v>45794</v>
      </c>
      <c r="W1283" t="s">
        <v>39185</v>
      </c>
      <c r="X1283" t="s">
        <v>42674</v>
      </c>
    </row>
    <row r="1284" spans="1:24">
      <c r="A1284">
        <f>HYPERLINK("https://www.philgeps.gov.ph/GEPSNONPILOT/Tender/SplashBidNoticeAbstractUI.aspx?menuIndex=3&amp;refID=7193373&amp;Result=3","7193373")</f>
        <v>0</v>
      </c>
      <c r="B1284" t="s">
        <v>394</v>
      </c>
      <c r="C1284" t="s">
        <v>4752</v>
      </c>
      <c r="D1284" t="s">
        <v>17170</v>
      </c>
      <c r="E1284" t="s">
        <v>18397</v>
      </c>
      <c r="F1284" t="s">
        <v>29372</v>
      </c>
      <c r="G1284" t="s">
        <v>29380</v>
      </c>
      <c r="H1284" t="s">
        <v>11048</v>
      </c>
      <c r="I1284" t="s">
        <v>29425</v>
      </c>
      <c r="J1284" t="s">
        <v>30480</v>
      </c>
      <c r="K1284" t="s">
        <v>38496</v>
      </c>
      <c r="M1284" t="s">
        <v>39157</v>
      </c>
      <c r="N1284" t="s">
        <v>42669</v>
      </c>
      <c r="O1284" t="s">
        <v>42670</v>
      </c>
      <c r="P1284">
        <v>0</v>
      </c>
      <c r="Q1284">
        <v>4</v>
      </c>
      <c r="R1284" t="s">
        <v>42673</v>
      </c>
      <c r="S1284" t="s">
        <v>42784</v>
      </c>
      <c r="T1284" t="s">
        <v>44395</v>
      </c>
      <c r="U1284" t="s">
        <v>45846</v>
      </c>
      <c r="W1284" t="s">
        <v>39157</v>
      </c>
      <c r="X1284" t="s">
        <v>42674</v>
      </c>
    </row>
    <row r="1285" spans="1:24">
      <c r="A1285">
        <f>HYPERLINK("https://www.philgeps.gov.ph/GEPSNONPILOT/Tender/SplashBidNoticeAbstractUI.aspx?menuIndex=3&amp;refID=7193456&amp;Result=3","7193456")</f>
        <v>0</v>
      </c>
      <c r="B1285" t="s">
        <v>481</v>
      </c>
      <c r="C1285" t="s">
        <v>4753</v>
      </c>
      <c r="D1285" t="s">
        <v>17180</v>
      </c>
      <c r="E1285" t="s">
        <v>18398</v>
      </c>
      <c r="F1285" t="s">
        <v>29372</v>
      </c>
      <c r="G1285" t="s">
        <v>29380</v>
      </c>
      <c r="H1285" t="s">
        <v>11048</v>
      </c>
      <c r="I1285" t="s">
        <v>9469</v>
      </c>
      <c r="J1285" t="s">
        <v>29724</v>
      </c>
      <c r="K1285" t="s">
        <v>38488</v>
      </c>
      <c r="M1285" t="s">
        <v>39246</v>
      </c>
      <c r="N1285" t="s">
        <v>42669</v>
      </c>
      <c r="O1285" t="s">
        <v>42670</v>
      </c>
      <c r="P1285">
        <v>0</v>
      </c>
      <c r="Q1285">
        <v>7</v>
      </c>
      <c r="R1285" t="s">
        <v>42673</v>
      </c>
      <c r="S1285" t="s">
        <v>42784</v>
      </c>
      <c r="T1285" t="s">
        <v>44356</v>
      </c>
      <c r="U1285" t="s">
        <v>45919</v>
      </c>
      <c r="W1285" t="s">
        <v>39246</v>
      </c>
      <c r="X1285" t="s">
        <v>42674</v>
      </c>
    </row>
    <row r="1286" spans="1:24">
      <c r="A1286">
        <f>HYPERLINK("https://www.philgeps.gov.ph/GEPSNONPILOT/Tender/SplashBidNoticeAbstractUI.aspx?menuIndex=3&amp;refID=7193445&amp;Result=3","7193445")</f>
        <v>0</v>
      </c>
      <c r="B1286" t="s">
        <v>482</v>
      </c>
      <c r="C1286" t="s">
        <v>4754</v>
      </c>
      <c r="E1286" t="s">
        <v>18399</v>
      </c>
      <c r="F1286" t="s">
        <v>29372</v>
      </c>
      <c r="G1286" t="s">
        <v>29383</v>
      </c>
      <c r="H1286" t="s">
        <v>11048</v>
      </c>
      <c r="I1286" t="s">
        <v>3839</v>
      </c>
      <c r="J1286" t="s">
        <v>30481</v>
      </c>
      <c r="K1286" t="s">
        <v>38490</v>
      </c>
      <c r="M1286" t="s">
        <v>39247</v>
      </c>
      <c r="N1286" t="s">
        <v>42669</v>
      </c>
      <c r="O1286" t="s">
        <v>42670</v>
      </c>
      <c r="P1286">
        <v>0</v>
      </c>
      <c r="Q1286">
        <v>2</v>
      </c>
      <c r="R1286" t="s">
        <v>42673</v>
      </c>
      <c r="S1286" t="s">
        <v>42784</v>
      </c>
      <c r="T1286" t="s">
        <v>44429</v>
      </c>
      <c r="U1286" t="s">
        <v>45920</v>
      </c>
      <c r="W1286" t="s">
        <v>39247</v>
      </c>
      <c r="X1286" t="s">
        <v>42674</v>
      </c>
    </row>
    <row r="1287" spans="1:24">
      <c r="A1287">
        <f>HYPERLINK("https://www.philgeps.gov.ph/GEPSNONPILOT/Tender/SplashBidNoticeAbstractUI.aspx?menuIndex=3&amp;refID=7193466&amp;Result=3","7193466")</f>
        <v>0</v>
      </c>
      <c r="B1287" t="s">
        <v>403</v>
      </c>
      <c r="C1287" t="s">
        <v>4755</v>
      </c>
      <c r="D1287" t="s">
        <v>17217</v>
      </c>
      <c r="E1287" t="s">
        <v>18400</v>
      </c>
      <c r="F1287" t="s">
        <v>29372</v>
      </c>
      <c r="G1287" t="s">
        <v>29379</v>
      </c>
      <c r="H1287" t="s">
        <v>11048</v>
      </c>
      <c r="I1287" t="s">
        <v>5383</v>
      </c>
      <c r="J1287" t="s">
        <v>30482</v>
      </c>
      <c r="K1287" t="s">
        <v>38491</v>
      </c>
      <c r="M1287" t="s">
        <v>39167</v>
      </c>
      <c r="N1287" t="s">
        <v>42669</v>
      </c>
      <c r="O1287" t="s">
        <v>42670</v>
      </c>
      <c r="P1287">
        <v>0</v>
      </c>
      <c r="Q1287">
        <v>4</v>
      </c>
      <c r="R1287" t="s">
        <v>42673</v>
      </c>
      <c r="S1287" t="s">
        <v>42784</v>
      </c>
      <c r="T1287" t="s">
        <v>44488</v>
      </c>
      <c r="U1287" t="s">
        <v>45754</v>
      </c>
      <c r="W1287" t="s">
        <v>39167</v>
      </c>
      <c r="X1287" t="s">
        <v>42674</v>
      </c>
    </row>
    <row r="1288" spans="1:24">
      <c r="A1288">
        <f>HYPERLINK("https://www.philgeps.gov.ph/GEPSNONPILOT/Tender/SplashBidNoticeAbstractUI.aspx?menuIndex=3&amp;refID=7193462&amp;Result=3","7193462")</f>
        <v>0</v>
      </c>
      <c r="B1288" t="s">
        <v>483</v>
      </c>
      <c r="C1288" t="s">
        <v>4756</v>
      </c>
      <c r="D1288" t="s">
        <v>17188</v>
      </c>
      <c r="E1288" t="s">
        <v>18401</v>
      </c>
      <c r="F1288" t="s">
        <v>29372</v>
      </c>
      <c r="G1288" t="s">
        <v>29380</v>
      </c>
      <c r="H1288" t="s">
        <v>29389</v>
      </c>
      <c r="I1288" t="s">
        <v>10408</v>
      </c>
      <c r="J1288" t="s">
        <v>30483</v>
      </c>
      <c r="K1288" t="s">
        <v>38496</v>
      </c>
      <c r="M1288" t="s">
        <v>39248</v>
      </c>
      <c r="N1288" t="s">
        <v>42669</v>
      </c>
      <c r="O1288" t="s">
        <v>42670</v>
      </c>
      <c r="P1288">
        <v>0</v>
      </c>
      <c r="Q1288">
        <v>0</v>
      </c>
      <c r="R1288" t="s">
        <v>42673</v>
      </c>
      <c r="S1288" t="s">
        <v>42784</v>
      </c>
      <c r="T1288" t="s">
        <v>44409</v>
      </c>
      <c r="U1288" t="s">
        <v>45921</v>
      </c>
      <c r="W1288" t="s">
        <v>39248</v>
      </c>
      <c r="X1288" t="s">
        <v>42674</v>
      </c>
    </row>
    <row r="1289" spans="1:24">
      <c r="A1289">
        <f>HYPERLINK("https://www.philgeps.gov.ph/GEPSNONPILOT/Tender/SplashBidNoticeAbstractUI.aspx?menuIndex=3&amp;refID=7193376&amp;Result=3","7193376")</f>
        <v>0</v>
      </c>
      <c r="B1289" t="s">
        <v>465</v>
      </c>
      <c r="C1289" t="s">
        <v>4757</v>
      </c>
      <c r="E1289" t="s">
        <v>18402</v>
      </c>
      <c r="F1289" t="s">
        <v>29372</v>
      </c>
      <c r="G1289" t="s">
        <v>29379</v>
      </c>
      <c r="H1289" t="s">
        <v>11048</v>
      </c>
      <c r="I1289" t="s">
        <v>10408</v>
      </c>
      <c r="J1289" t="s">
        <v>29799</v>
      </c>
      <c r="K1289" t="s">
        <v>38490</v>
      </c>
      <c r="M1289" t="s">
        <v>39229</v>
      </c>
      <c r="N1289" t="s">
        <v>42669</v>
      </c>
      <c r="O1289" t="s">
        <v>42670</v>
      </c>
      <c r="P1289">
        <v>0</v>
      </c>
      <c r="Q1289">
        <v>0</v>
      </c>
      <c r="R1289" t="s">
        <v>42673</v>
      </c>
      <c r="S1289" t="s">
        <v>42784</v>
      </c>
      <c r="T1289" t="s">
        <v>44387</v>
      </c>
      <c r="U1289" t="s">
        <v>45888</v>
      </c>
      <c r="W1289" t="s">
        <v>39229</v>
      </c>
      <c r="X1289" t="s">
        <v>42674</v>
      </c>
    </row>
    <row r="1290" spans="1:24">
      <c r="A1290">
        <f>HYPERLINK("https://www.philgeps.gov.ph/GEPSNONPILOT/Tender/SplashBidNoticeAbstractUI.aspx?menuIndex=3&amp;refID=7193452&amp;Result=3","7193452")</f>
        <v>0</v>
      </c>
      <c r="B1290" t="s">
        <v>403</v>
      </c>
      <c r="C1290" t="s">
        <v>4758</v>
      </c>
      <c r="D1290" t="s">
        <v>17188</v>
      </c>
      <c r="E1290" t="s">
        <v>18403</v>
      </c>
      <c r="F1290" t="s">
        <v>29372</v>
      </c>
      <c r="G1290" t="s">
        <v>29379</v>
      </c>
      <c r="H1290" t="s">
        <v>11048</v>
      </c>
      <c r="I1290" t="s">
        <v>5383</v>
      </c>
      <c r="J1290" t="s">
        <v>30484</v>
      </c>
      <c r="K1290" t="s">
        <v>38491</v>
      </c>
      <c r="M1290" t="s">
        <v>39167</v>
      </c>
      <c r="N1290" t="s">
        <v>42669</v>
      </c>
      <c r="O1290" t="s">
        <v>42670</v>
      </c>
      <c r="P1290">
        <v>0</v>
      </c>
      <c r="Q1290">
        <v>4</v>
      </c>
      <c r="R1290" t="s">
        <v>42673</v>
      </c>
      <c r="S1290" t="s">
        <v>42784</v>
      </c>
      <c r="T1290" t="s">
        <v>44488</v>
      </c>
      <c r="U1290" t="s">
        <v>45922</v>
      </c>
      <c r="W1290" t="s">
        <v>39167</v>
      </c>
      <c r="X1290" t="s">
        <v>42674</v>
      </c>
    </row>
    <row r="1291" spans="1:24">
      <c r="A1291">
        <f>HYPERLINK("https://www.philgeps.gov.ph/GEPSNONPILOT/Tender/SplashBidNoticeAbstractUI.aspx?menuIndex=3&amp;refID=7193441&amp;Result=3","7193441")</f>
        <v>0</v>
      </c>
      <c r="B1291" t="s">
        <v>403</v>
      </c>
      <c r="C1291" t="s">
        <v>4759</v>
      </c>
      <c r="D1291" t="s">
        <v>17188</v>
      </c>
      <c r="E1291" t="s">
        <v>18404</v>
      </c>
      <c r="F1291" t="s">
        <v>29372</v>
      </c>
      <c r="G1291" t="s">
        <v>29379</v>
      </c>
      <c r="H1291" t="s">
        <v>11048</v>
      </c>
      <c r="I1291" t="s">
        <v>5383</v>
      </c>
      <c r="J1291" t="s">
        <v>30485</v>
      </c>
      <c r="K1291" t="s">
        <v>38491</v>
      </c>
      <c r="M1291" t="s">
        <v>39167</v>
      </c>
      <c r="N1291" t="s">
        <v>42669</v>
      </c>
      <c r="O1291" t="s">
        <v>42670</v>
      </c>
      <c r="P1291">
        <v>0</v>
      </c>
      <c r="Q1291">
        <v>4</v>
      </c>
      <c r="R1291" t="s">
        <v>42673</v>
      </c>
      <c r="S1291" t="s">
        <v>42784</v>
      </c>
      <c r="T1291" t="s">
        <v>44488</v>
      </c>
      <c r="U1291" t="s">
        <v>45754</v>
      </c>
      <c r="W1291" t="s">
        <v>39167</v>
      </c>
      <c r="X1291" t="s">
        <v>42674</v>
      </c>
    </row>
    <row r="1292" spans="1:24">
      <c r="A1292">
        <f>HYPERLINK("https://www.philgeps.gov.ph/GEPSNONPILOT/Tender/SplashBidNoticeAbstractUI.aspx?menuIndex=3&amp;refID=7193448&amp;Result=3","7193448")</f>
        <v>0</v>
      </c>
      <c r="B1292" t="s">
        <v>484</v>
      </c>
      <c r="C1292" t="s">
        <v>4760</v>
      </c>
      <c r="D1292" t="s">
        <v>17150</v>
      </c>
      <c r="E1292" t="s">
        <v>18365</v>
      </c>
      <c r="F1292" t="s">
        <v>29372</v>
      </c>
      <c r="G1292" t="s">
        <v>29380</v>
      </c>
      <c r="H1292" t="s">
        <v>11048</v>
      </c>
      <c r="I1292" t="s">
        <v>29398</v>
      </c>
      <c r="J1292" t="s">
        <v>30486</v>
      </c>
      <c r="K1292" t="s">
        <v>38485</v>
      </c>
      <c r="M1292" t="s">
        <v>39249</v>
      </c>
      <c r="N1292" t="s">
        <v>42669</v>
      </c>
      <c r="O1292" t="s">
        <v>42670</v>
      </c>
      <c r="P1292">
        <v>0</v>
      </c>
      <c r="Q1292">
        <v>0</v>
      </c>
      <c r="R1292" t="s">
        <v>42673</v>
      </c>
      <c r="S1292" t="s">
        <v>42784</v>
      </c>
      <c r="T1292" t="s">
        <v>44467</v>
      </c>
      <c r="U1292" t="s">
        <v>45923</v>
      </c>
      <c r="W1292" t="s">
        <v>39249</v>
      </c>
      <c r="X1292" t="s">
        <v>42674</v>
      </c>
    </row>
    <row r="1293" spans="1:24">
      <c r="A1293">
        <f>HYPERLINK("https://www.philgeps.gov.ph/GEPSNONPILOT/Tender/SplashBidNoticeAbstractUI.aspx?menuIndex=3&amp;refID=7193435&amp;Result=3","7193435")</f>
        <v>0</v>
      </c>
      <c r="B1293" t="s">
        <v>421</v>
      </c>
      <c r="C1293" t="s">
        <v>4761</v>
      </c>
      <c r="D1293" t="s">
        <v>17165</v>
      </c>
      <c r="E1293" t="s">
        <v>18405</v>
      </c>
      <c r="F1293" t="s">
        <v>29372</v>
      </c>
      <c r="G1293" t="s">
        <v>29379</v>
      </c>
      <c r="H1293" t="s">
        <v>11048</v>
      </c>
      <c r="I1293" t="s">
        <v>8208</v>
      </c>
      <c r="J1293" t="s">
        <v>30487</v>
      </c>
      <c r="K1293" t="s">
        <v>38488</v>
      </c>
      <c r="M1293" t="s">
        <v>39185</v>
      </c>
      <c r="N1293" t="s">
        <v>42669</v>
      </c>
      <c r="O1293" t="s">
        <v>42670</v>
      </c>
      <c r="P1293">
        <v>0</v>
      </c>
      <c r="Q1293">
        <v>0</v>
      </c>
      <c r="R1293" t="s">
        <v>42673</v>
      </c>
      <c r="S1293" t="s">
        <v>42784</v>
      </c>
      <c r="T1293" t="s">
        <v>44451</v>
      </c>
      <c r="U1293" t="s">
        <v>45794</v>
      </c>
      <c r="W1293" t="s">
        <v>39185</v>
      </c>
      <c r="X1293" t="s">
        <v>42674</v>
      </c>
    </row>
    <row r="1294" spans="1:24">
      <c r="A1294">
        <f>HYPERLINK("https://www.philgeps.gov.ph/GEPSNONPILOT/Tender/SplashBidNoticeAbstractUI.aspx?menuIndex=3&amp;refID=7193433&amp;Result=3","7193433")</f>
        <v>0</v>
      </c>
      <c r="B1294" t="s">
        <v>403</v>
      </c>
      <c r="C1294" t="s">
        <v>4762</v>
      </c>
      <c r="D1294" t="s">
        <v>17188</v>
      </c>
      <c r="E1294" t="s">
        <v>18403</v>
      </c>
      <c r="F1294" t="s">
        <v>29372</v>
      </c>
      <c r="G1294" t="s">
        <v>29379</v>
      </c>
      <c r="H1294" t="s">
        <v>11048</v>
      </c>
      <c r="I1294" t="s">
        <v>5383</v>
      </c>
      <c r="J1294" t="s">
        <v>30488</v>
      </c>
      <c r="K1294" t="s">
        <v>38491</v>
      </c>
      <c r="M1294" t="s">
        <v>39167</v>
      </c>
      <c r="N1294" t="s">
        <v>42669</v>
      </c>
      <c r="O1294" t="s">
        <v>42670</v>
      </c>
      <c r="P1294">
        <v>0</v>
      </c>
      <c r="Q1294">
        <v>5</v>
      </c>
      <c r="R1294" t="s">
        <v>42673</v>
      </c>
      <c r="S1294" t="s">
        <v>42784</v>
      </c>
      <c r="T1294" t="s">
        <v>44488</v>
      </c>
      <c r="U1294" t="s">
        <v>45754</v>
      </c>
      <c r="W1294" t="s">
        <v>39167</v>
      </c>
      <c r="X1294" t="s">
        <v>42674</v>
      </c>
    </row>
    <row r="1295" spans="1:24">
      <c r="A1295">
        <f>HYPERLINK("https://www.philgeps.gov.ph/GEPSNONPILOT/Tender/SplashBidNoticeAbstractUI.aspx?menuIndex=3&amp;refID=7193443&amp;Result=3","7193443")</f>
        <v>0</v>
      </c>
      <c r="B1295" t="s">
        <v>485</v>
      </c>
      <c r="C1295" t="s">
        <v>4763</v>
      </c>
      <c r="D1295" t="s">
        <v>17175</v>
      </c>
      <c r="E1295" t="s">
        <v>18406</v>
      </c>
      <c r="F1295" t="s">
        <v>29372</v>
      </c>
      <c r="G1295" t="s">
        <v>29379</v>
      </c>
      <c r="H1295" t="s">
        <v>11048</v>
      </c>
      <c r="I1295" t="s">
        <v>3860</v>
      </c>
      <c r="J1295" t="s">
        <v>30489</v>
      </c>
      <c r="K1295" t="s">
        <v>38490</v>
      </c>
      <c r="M1295" t="s">
        <v>39250</v>
      </c>
      <c r="N1295" t="s">
        <v>42669</v>
      </c>
      <c r="O1295" t="s">
        <v>42670</v>
      </c>
      <c r="P1295">
        <v>0</v>
      </c>
      <c r="Q1295">
        <v>0</v>
      </c>
      <c r="R1295" t="s">
        <v>42673</v>
      </c>
      <c r="S1295" t="s">
        <v>42784</v>
      </c>
      <c r="T1295" t="s">
        <v>44432</v>
      </c>
      <c r="U1295" t="s">
        <v>45924</v>
      </c>
      <c r="W1295" t="s">
        <v>39250</v>
      </c>
      <c r="X1295" t="s">
        <v>42674</v>
      </c>
    </row>
    <row r="1296" spans="1:24">
      <c r="A1296">
        <f>HYPERLINK("https://www.philgeps.gov.ph/GEPSNONPILOT/Tender/SplashBidNoticeAbstractUI.aspx?menuIndex=3&amp;refID=7193503&amp;Result=3","7193503")</f>
        <v>0</v>
      </c>
      <c r="B1296" t="s">
        <v>421</v>
      </c>
      <c r="C1296" t="s">
        <v>4764</v>
      </c>
      <c r="D1296" t="s">
        <v>17165</v>
      </c>
      <c r="E1296" t="s">
        <v>18407</v>
      </c>
      <c r="F1296" t="s">
        <v>29372</v>
      </c>
      <c r="G1296" t="s">
        <v>29379</v>
      </c>
      <c r="H1296" t="s">
        <v>11048</v>
      </c>
      <c r="I1296" t="s">
        <v>8208</v>
      </c>
      <c r="J1296" t="s">
        <v>30382</v>
      </c>
      <c r="K1296" t="s">
        <v>38488</v>
      </c>
      <c r="M1296" t="s">
        <v>39185</v>
      </c>
      <c r="N1296" t="s">
        <v>42669</v>
      </c>
      <c r="O1296" t="s">
        <v>42670</v>
      </c>
      <c r="P1296">
        <v>0</v>
      </c>
      <c r="Q1296">
        <v>0</v>
      </c>
      <c r="R1296" t="s">
        <v>42673</v>
      </c>
      <c r="S1296" t="s">
        <v>42784</v>
      </c>
      <c r="T1296" t="s">
        <v>44451</v>
      </c>
      <c r="U1296" t="s">
        <v>45794</v>
      </c>
      <c r="W1296" t="s">
        <v>39185</v>
      </c>
      <c r="X1296" t="s">
        <v>42674</v>
      </c>
    </row>
    <row r="1297" spans="1:24">
      <c r="A1297">
        <f>HYPERLINK("https://www.philgeps.gov.ph/GEPSNONPILOT/Tender/SplashBidNoticeAbstractUI.aspx?menuIndex=3&amp;refID=7193438&amp;Result=3","7193438")</f>
        <v>0</v>
      </c>
      <c r="B1297" t="s">
        <v>168</v>
      </c>
      <c r="C1297" t="s">
        <v>4765</v>
      </c>
      <c r="E1297" t="s">
        <v>18408</v>
      </c>
      <c r="F1297" t="s">
        <v>29372</v>
      </c>
      <c r="G1297" t="s">
        <v>29379</v>
      </c>
      <c r="H1297" t="s">
        <v>11048</v>
      </c>
      <c r="I1297" t="s">
        <v>29424</v>
      </c>
      <c r="J1297" t="s">
        <v>29549</v>
      </c>
      <c r="K1297" t="s">
        <v>38485</v>
      </c>
      <c r="M1297" t="s">
        <v>38925</v>
      </c>
      <c r="N1297" t="s">
        <v>42669</v>
      </c>
      <c r="O1297" t="s">
        <v>42670</v>
      </c>
      <c r="P1297">
        <v>0</v>
      </c>
      <c r="Q1297">
        <v>1</v>
      </c>
      <c r="R1297" t="s">
        <v>42673</v>
      </c>
      <c r="S1297" t="s">
        <v>42784</v>
      </c>
      <c r="T1297" t="s">
        <v>44425</v>
      </c>
      <c r="U1297" t="s">
        <v>45925</v>
      </c>
      <c r="W1297" t="s">
        <v>38925</v>
      </c>
      <c r="X1297" t="s">
        <v>42674</v>
      </c>
    </row>
    <row r="1298" spans="1:24">
      <c r="A1298">
        <f>HYPERLINK("https://www.philgeps.gov.ph/GEPSNONPILOT/Tender/SplashBidNoticeAbstractUI.aspx?menuIndex=3&amp;refID=7193502&amp;Result=3","7193502")</f>
        <v>0</v>
      </c>
      <c r="B1298" t="s">
        <v>367</v>
      </c>
      <c r="C1298" t="s">
        <v>4766</v>
      </c>
      <c r="D1298" t="s">
        <v>17141</v>
      </c>
      <c r="E1298" t="s">
        <v>18409</v>
      </c>
      <c r="F1298" t="s">
        <v>29372</v>
      </c>
      <c r="G1298" t="s">
        <v>29383</v>
      </c>
      <c r="H1298" t="s">
        <v>11048</v>
      </c>
      <c r="I1298" t="s">
        <v>29433</v>
      </c>
      <c r="J1298" t="s">
        <v>30242</v>
      </c>
      <c r="K1298" t="s">
        <v>38488</v>
      </c>
      <c r="M1298" t="s">
        <v>39127</v>
      </c>
      <c r="N1298" t="s">
        <v>42669</v>
      </c>
      <c r="O1298" t="s">
        <v>42670</v>
      </c>
      <c r="P1298">
        <v>0</v>
      </c>
      <c r="Q1298">
        <v>4</v>
      </c>
      <c r="R1298" t="s">
        <v>42673</v>
      </c>
      <c r="S1298" t="s">
        <v>42784</v>
      </c>
      <c r="T1298" t="s">
        <v>44481</v>
      </c>
      <c r="U1298" t="s">
        <v>45926</v>
      </c>
      <c r="V1298" t="s">
        <v>56467</v>
      </c>
      <c r="W1298" t="s">
        <v>58014</v>
      </c>
      <c r="X1298" t="s">
        <v>42674</v>
      </c>
    </row>
    <row r="1299" spans="1:24">
      <c r="A1299">
        <f>HYPERLINK("https://www.philgeps.gov.ph/GEPSNONPILOT/Tender/SplashBidNoticeAbstractUI.aspx?menuIndex=3&amp;refID=7193499&amp;Result=3","7193499")</f>
        <v>0</v>
      </c>
      <c r="B1299" t="s">
        <v>421</v>
      </c>
      <c r="C1299" t="s">
        <v>4767</v>
      </c>
      <c r="D1299" t="s">
        <v>17165</v>
      </c>
      <c r="E1299" t="s">
        <v>18410</v>
      </c>
      <c r="F1299" t="s">
        <v>29372</v>
      </c>
      <c r="G1299" t="s">
        <v>29379</v>
      </c>
      <c r="H1299" t="s">
        <v>11048</v>
      </c>
      <c r="I1299" t="s">
        <v>8208</v>
      </c>
      <c r="J1299" t="s">
        <v>30490</v>
      </c>
      <c r="K1299" t="s">
        <v>38488</v>
      </c>
      <c r="M1299" t="s">
        <v>39185</v>
      </c>
      <c r="N1299" t="s">
        <v>42669</v>
      </c>
      <c r="O1299" t="s">
        <v>42670</v>
      </c>
      <c r="P1299">
        <v>0</v>
      </c>
      <c r="Q1299">
        <v>0</v>
      </c>
      <c r="R1299" t="s">
        <v>42673</v>
      </c>
      <c r="S1299" t="s">
        <v>42784</v>
      </c>
      <c r="T1299" t="s">
        <v>44451</v>
      </c>
      <c r="U1299" t="s">
        <v>45794</v>
      </c>
      <c r="W1299" t="s">
        <v>39185</v>
      </c>
      <c r="X1299" t="s">
        <v>42674</v>
      </c>
    </row>
    <row r="1300" spans="1:24">
      <c r="A1300">
        <f>HYPERLINK("https://www.philgeps.gov.ph/GEPSNONPILOT/Tender/SplashBidNoticeAbstractUI.aspx?menuIndex=3&amp;refID=7193442&amp;Result=3","7193442")</f>
        <v>0</v>
      </c>
      <c r="B1300" t="s">
        <v>421</v>
      </c>
      <c r="C1300" t="s">
        <v>4768</v>
      </c>
      <c r="D1300" t="s">
        <v>17181</v>
      </c>
      <c r="E1300" t="s">
        <v>18411</v>
      </c>
      <c r="F1300" t="s">
        <v>29372</v>
      </c>
      <c r="G1300" t="s">
        <v>29379</v>
      </c>
      <c r="H1300" t="s">
        <v>11048</v>
      </c>
      <c r="I1300" t="s">
        <v>8208</v>
      </c>
      <c r="J1300" t="s">
        <v>30491</v>
      </c>
      <c r="K1300" t="s">
        <v>38488</v>
      </c>
      <c r="M1300" t="s">
        <v>39185</v>
      </c>
      <c r="N1300" t="s">
        <v>42669</v>
      </c>
      <c r="O1300" t="s">
        <v>42670</v>
      </c>
      <c r="P1300">
        <v>0</v>
      </c>
      <c r="Q1300">
        <v>0</v>
      </c>
      <c r="R1300" t="s">
        <v>42673</v>
      </c>
      <c r="S1300" t="s">
        <v>42784</v>
      </c>
      <c r="T1300" t="s">
        <v>44451</v>
      </c>
      <c r="U1300" t="s">
        <v>45794</v>
      </c>
      <c r="W1300" t="s">
        <v>39185</v>
      </c>
      <c r="X1300" t="s">
        <v>42674</v>
      </c>
    </row>
    <row r="1301" spans="1:24">
      <c r="A1301">
        <f>HYPERLINK("https://www.philgeps.gov.ph/GEPSNONPILOT/Tender/SplashBidNoticeAbstractUI.aspx?menuIndex=3&amp;refID=7193495&amp;Result=3","7193495")</f>
        <v>0</v>
      </c>
      <c r="B1301" t="s">
        <v>421</v>
      </c>
      <c r="C1301" t="s">
        <v>4648</v>
      </c>
      <c r="D1301" t="s">
        <v>17213</v>
      </c>
      <c r="E1301" t="s">
        <v>18412</v>
      </c>
      <c r="F1301" t="s">
        <v>29372</v>
      </c>
      <c r="G1301" t="s">
        <v>29379</v>
      </c>
      <c r="H1301" t="s">
        <v>11048</v>
      </c>
      <c r="I1301" t="s">
        <v>8208</v>
      </c>
      <c r="J1301" t="s">
        <v>30492</v>
      </c>
      <c r="K1301" t="s">
        <v>38488</v>
      </c>
      <c r="M1301" t="s">
        <v>39185</v>
      </c>
      <c r="N1301" t="s">
        <v>42669</v>
      </c>
      <c r="O1301" t="s">
        <v>42670</v>
      </c>
      <c r="P1301">
        <v>0</v>
      </c>
      <c r="Q1301">
        <v>0</v>
      </c>
      <c r="R1301" t="s">
        <v>42673</v>
      </c>
      <c r="S1301" t="s">
        <v>42784</v>
      </c>
      <c r="T1301" t="s">
        <v>44451</v>
      </c>
      <c r="U1301" t="s">
        <v>45794</v>
      </c>
      <c r="W1301" t="s">
        <v>39185</v>
      </c>
      <c r="X1301" t="s">
        <v>42674</v>
      </c>
    </row>
    <row r="1302" spans="1:24">
      <c r="A1302">
        <f>HYPERLINK("https://www.philgeps.gov.ph/GEPSNONPILOT/Tender/SplashBidNoticeAbstractUI.aspx?menuIndex=3&amp;refID=7193430&amp;Result=3","7193430")</f>
        <v>0</v>
      </c>
      <c r="B1302" t="s">
        <v>233</v>
      </c>
      <c r="C1302" t="s">
        <v>4769</v>
      </c>
      <c r="D1302" t="s">
        <v>17203</v>
      </c>
      <c r="E1302" t="s">
        <v>18413</v>
      </c>
      <c r="F1302" t="s">
        <v>29372</v>
      </c>
      <c r="G1302" t="s">
        <v>29380</v>
      </c>
      <c r="H1302" t="s">
        <v>29389</v>
      </c>
      <c r="I1302" t="s">
        <v>10408</v>
      </c>
      <c r="J1302" t="s">
        <v>30493</v>
      </c>
      <c r="K1302" t="s">
        <v>38572</v>
      </c>
      <c r="M1302" t="s">
        <v>38992</v>
      </c>
      <c r="N1302" t="s">
        <v>42669</v>
      </c>
      <c r="O1302" t="s">
        <v>42670</v>
      </c>
      <c r="P1302">
        <v>0</v>
      </c>
      <c r="Q1302">
        <v>0</v>
      </c>
      <c r="R1302" t="s">
        <v>42673</v>
      </c>
      <c r="S1302" t="s">
        <v>42784</v>
      </c>
      <c r="T1302" t="s">
        <v>44373</v>
      </c>
      <c r="U1302" t="s">
        <v>45927</v>
      </c>
      <c r="W1302" t="s">
        <v>38992</v>
      </c>
      <c r="X1302" t="s">
        <v>42674</v>
      </c>
    </row>
    <row r="1303" spans="1:24">
      <c r="A1303">
        <f>HYPERLINK("https://www.philgeps.gov.ph/GEPSNONPILOT/Tender/SplashBidNoticeAbstractUI.aspx?menuIndex=3&amp;refID=7193494&amp;Result=3","7193494")</f>
        <v>0</v>
      </c>
      <c r="B1303" t="s">
        <v>367</v>
      </c>
      <c r="C1303" t="s">
        <v>4770</v>
      </c>
      <c r="D1303" t="s">
        <v>17141</v>
      </c>
      <c r="E1303" t="s">
        <v>18414</v>
      </c>
      <c r="F1303" t="s">
        <v>29372</v>
      </c>
      <c r="G1303" t="s">
        <v>29383</v>
      </c>
      <c r="H1303" t="s">
        <v>11048</v>
      </c>
      <c r="I1303" t="s">
        <v>29433</v>
      </c>
      <c r="J1303" t="s">
        <v>29587</v>
      </c>
      <c r="K1303" t="s">
        <v>38488</v>
      </c>
      <c r="M1303" t="s">
        <v>39127</v>
      </c>
      <c r="N1303" t="s">
        <v>42669</v>
      </c>
      <c r="O1303" t="s">
        <v>42670</v>
      </c>
      <c r="P1303">
        <v>0</v>
      </c>
      <c r="Q1303">
        <v>17</v>
      </c>
      <c r="R1303" t="s">
        <v>42673</v>
      </c>
      <c r="S1303" t="s">
        <v>42784</v>
      </c>
      <c r="T1303" t="s">
        <v>44481</v>
      </c>
      <c r="U1303" t="s">
        <v>45928</v>
      </c>
      <c r="V1303" t="s">
        <v>56467</v>
      </c>
      <c r="W1303" t="s">
        <v>58014</v>
      </c>
      <c r="X1303" t="s">
        <v>42674</v>
      </c>
    </row>
    <row r="1304" spans="1:24">
      <c r="A1304">
        <f>HYPERLINK("https://www.philgeps.gov.ph/GEPSNONPILOT/Tender/SplashBidNoticeAbstractUI.aspx?menuIndex=3&amp;refID=7193436&amp;Result=3","7193436")</f>
        <v>0</v>
      </c>
      <c r="B1304" t="s">
        <v>484</v>
      </c>
      <c r="C1304" t="s">
        <v>4771</v>
      </c>
      <c r="D1304" t="s">
        <v>17150</v>
      </c>
      <c r="E1304" t="s">
        <v>18375</v>
      </c>
      <c r="F1304" t="s">
        <v>29372</v>
      </c>
      <c r="G1304" t="s">
        <v>29380</v>
      </c>
      <c r="H1304" t="s">
        <v>11048</v>
      </c>
      <c r="I1304" t="s">
        <v>4709</v>
      </c>
      <c r="J1304" t="s">
        <v>30494</v>
      </c>
      <c r="K1304" t="s">
        <v>38485</v>
      </c>
      <c r="M1304" t="s">
        <v>39249</v>
      </c>
      <c r="N1304" t="s">
        <v>42669</v>
      </c>
      <c r="O1304" t="s">
        <v>42670</v>
      </c>
      <c r="P1304">
        <v>0</v>
      </c>
      <c r="Q1304">
        <v>0</v>
      </c>
      <c r="R1304" t="s">
        <v>42673</v>
      </c>
      <c r="S1304" t="s">
        <v>42784</v>
      </c>
      <c r="T1304" t="s">
        <v>44467</v>
      </c>
      <c r="U1304" t="s">
        <v>45929</v>
      </c>
      <c r="W1304" t="s">
        <v>39249</v>
      </c>
      <c r="X1304" t="s">
        <v>42674</v>
      </c>
    </row>
    <row r="1305" spans="1:24">
      <c r="A1305">
        <f>HYPERLINK("https://www.philgeps.gov.ph/GEPSNONPILOT/Tender/SplashBidNoticeAbstractUI.aspx?menuIndex=3&amp;refID=7193490&amp;Result=3","7193490")</f>
        <v>0</v>
      </c>
      <c r="B1305" t="s">
        <v>486</v>
      </c>
      <c r="C1305" t="s">
        <v>4772</v>
      </c>
      <c r="D1305" t="s">
        <v>17141</v>
      </c>
      <c r="E1305" t="s">
        <v>18415</v>
      </c>
      <c r="F1305" t="s">
        <v>29372</v>
      </c>
      <c r="G1305" t="s">
        <v>29382</v>
      </c>
      <c r="H1305" t="s">
        <v>29390</v>
      </c>
      <c r="I1305" t="s">
        <v>3839</v>
      </c>
      <c r="J1305" t="s">
        <v>30495</v>
      </c>
      <c r="K1305" t="s">
        <v>38510</v>
      </c>
      <c r="M1305" t="s">
        <v>39251</v>
      </c>
      <c r="N1305" t="s">
        <v>42669</v>
      </c>
      <c r="O1305" t="s">
        <v>42670</v>
      </c>
      <c r="P1305">
        <v>0</v>
      </c>
      <c r="Q1305">
        <v>4</v>
      </c>
      <c r="R1305" t="s">
        <v>42673</v>
      </c>
      <c r="S1305" t="s">
        <v>42784</v>
      </c>
      <c r="T1305" t="s">
        <v>44512</v>
      </c>
      <c r="U1305" t="s">
        <v>45930</v>
      </c>
      <c r="W1305" t="s">
        <v>39251</v>
      </c>
      <c r="X1305" t="s">
        <v>42674</v>
      </c>
    </row>
    <row r="1306" spans="1:24">
      <c r="A1306">
        <f>HYPERLINK("https://www.philgeps.gov.ph/GEPSNONPILOT/Tender/SplashBidNoticeAbstractUI.aspx?menuIndex=3&amp;refID=7193487&amp;Result=3","7193487")</f>
        <v>0</v>
      </c>
      <c r="B1306" t="s">
        <v>421</v>
      </c>
      <c r="C1306" t="s">
        <v>4773</v>
      </c>
      <c r="D1306" t="s">
        <v>17181</v>
      </c>
      <c r="E1306" t="s">
        <v>18416</v>
      </c>
      <c r="F1306" t="s">
        <v>29372</v>
      </c>
      <c r="G1306" t="s">
        <v>29379</v>
      </c>
      <c r="H1306" t="s">
        <v>11048</v>
      </c>
      <c r="I1306" t="s">
        <v>8208</v>
      </c>
      <c r="J1306" t="s">
        <v>30382</v>
      </c>
      <c r="K1306" t="s">
        <v>38488</v>
      </c>
      <c r="M1306" t="s">
        <v>39185</v>
      </c>
      <c r="N1306" t="s">
        <v>42669</v>
      </c>
      <c r="O1306" t="s">
        <v>42670</v>
      </c>
      <c r="P1306">
        <v>0</v>
      </c>
      <c r="Q1306">
        <v>0</v>
      </c>
      <c r="R1306" t="s">
        <v>42673</v>
      </c>
      <c r="S1306" t="s">
        <v>42784</v>
      </c>
      <c r="T1306" t="s">
        <v>44451</v>
      </c>
      <c r="U1306" t="s">
        <v>45794</v>
      </c>
      <c r="W1306" t="s">
        <v>39185</v>
      </c>
      <c r="X1306" t="s">
        <v>42674</v>
      </c>
    </row>
    <row r="1307" spans="1:24">
      <c r="A1307">
        <f>HYPERLINK("https://www.philgeps.gov.ph/GEPSNONPILOT/Tender/SplashBidNoticeAbstractUI.aspx?menuIndex=3&amp;refID=7193498&amp;Result=3","7193498")</f>
        <v>0</v>
      </c>
      <c r="B1307" t="s">
        <v>487</v>
      </c>
      <c r="C1307" t="s">
        <v>4774</v>
      </c>
      <c r="D1307" t="s">
        <v>17141</v>
      </c>
      <c r="E1307" t="s">
        <v>18417</v>
      </c>
      <c r="F1307" t="s">
        <v>29372</v>
      </c>
      <c r="G1307" t="s">
        <v>29382</v>
      </c>
      <c r="H1307" t="s">
        <v>11048</v>
      </c>
      <c r="I1307" t="s">
        <v>29469</v>
      </c>
      <c r="J1307" t="s">
        <v>30496</v>
      </c>
      <c r="K1307" t="s">
        <v>38490</v>
      </c>
      <c r="M1307" t="s">
        <v>39252</v>
      </c>
      <c r="N1307" t="s">
        <v>42669</v>
      </c>
      <c r="O1307" t="s">
        <v>42670</v>
      </c>
      <c r="P1307">
        <v>0</v>
      </c>
      <c r="Q1307">
        <v>2</v>
      </c>
      <c r="R1307" t="s">
        <v>42673</v>
      </c>
      <c r="S1307" t="s">
        <v>42784</v>
      </c>
      <c r="T1307" t="s">
        <v>44468</v>
      </c>
      <c r="U1307" t="s">
        <v>45931</v>
      </c>
      <c r="W1307" t="s">
        <v>39252</v>
      </c>
      <c r="X1307" t="s">
        <v>42674</v>
      </c>
    </row>
    <row r="1308" spans="1:24">
      <c r="A1308">
        <f>HYPERLINK("https://www.philgeps.gov.ph/GEPSNONPILOT/Tender/SplashBidNoticeAbstractUI.aspx?menuIndex=3&amp;refID=7193485&amp;Result=3","7193485")</f>
        <v>0</v>
      </c>
      <c r="B1308" t="s">
        <v>486</v>
      </c>
      <c r="C1308" t="s">
        <v>4775</v>
      </c>
      <c r="D1308" t="s">
        <v>17141</v>
      </c>
      <c r="E1308" t="s">
        <v>18418</v>
      </c>
      <c r="F1308" t="s">
        <v>29372</v>
      </c>
      <c r="G1308" t="s">
        <v>29379</v>
      </c>
      <c r="H1308" t="s">
        <v>29390</v>
      </c>
      <c r="I1308" t="s">
        <v>29407</v>
      </c>
      <c r="J1308" t="s">
        <v>30497</v>
      </c>
      <c r="K1308" t="s">
        <v>38510</v>
      </c>
      <c r="M1308" t="s">
        <v>39251</v>
      </c>
      <c r="N1308" t="s">
        <v>42669</v>
      </c>
      <c r="O1308" t="s">
        <v>42670</v>
      </c>
      <c r="P1308">
        <v>0</v>
      </c>
      <c r="Q1308">
        <v>18</v>
      </c>
      <c r="R1308" t="s">
        <v>42673</v>
      </c>
      <c r="S1308" t="s">
        <v>42784</v>
      </c>
      <c r="T1308" t="s">
        <v>44512</v>
      </c>
      <c r="U1308" t="s">
        <v>45930</v>
      </c>
      <c r="W1308" t="s">
        <v>39251</v>
      </c>
      <c r="X1308" t="s">
        <v>42674</v>
      </c>
    </row>
    <row r="1309" spans="1:24">
      <c r="A1309">
        <f>HYPERLINK("https://www.philgeps.gov.ph/GEPSNONPILOT/Tender/SplashBidNoticeAbstractUI.aspx?menuIndex=3&amp;refID=7193493&amp;Result=3","7193493")</f>
        <v>0</v>
      </c>
      <c r="B1309" t="s">
        <v>421</v>
      </c>
      <c r="C1309" t="s">
        <v>4776</v>
      </c>
      <c r="D1309" t="s">
        <v>17181</v>
      </c>
      <c r="E1309" t="s">
        <v>18419</v>
      </c>
      <c r="F1309" t="s">
        <v>29372</v>
      </c>
      <c r="G1309" t="s">
        <v>29379</v>
      </c>
      <c r="H1309" t="s">
        <v>11048</v>
      </c>
      <c r="I1309" t="s">
        <v>8208</v>
      </c>
      <c r="J1309" t="s">
        <v>30382</v>
      </c>
      <c r="K1309" t="s">
        <v>38488</v>
      </c>
      <c r="M1309" t="s">
        <v>39185</v>
      </c>
      <c r="N1309" t="s">
        <v>42669</v>
      </c>
      <c r="O1309" t="s">
        <v>42670</v>
      </c>
      <c r="P1309">
        <v>0</v>
      </c>
      <c r="Q1309">
        <v>0</v>
      </c>
      <c r="R1309" t="s">
        <v>42673</v>
      </c>
      <c r="S1309" t="s">
        <v>42784</v>
      </c>
      <c r="T1309" t="s">
        <v>44451</v>
      </c>
      <c r="U1309" t="s">
        <v>45794</v>
      </c>
      <c r="W1309" t="s">
        <v>39185</v>
      </c>
      <c r="X1309" t="s">
        <v>42674</v>
      </c>
    </row>
    <row r="1310" spans="1:24">
      <c r="A1310">
        <f>HYPERLINK("https://www.philgeps.gov.ph/GEPSNONPILOT/Tender/SplashBidNoticeAbstractUI.aspx?menuIndex=3&amp;refID=7193483&amp;Result=3","7193483")</f>
        <v>0</v>
      </c>
      <c r="B1310" t="s">
        <v>488</v>
      </c>
      <c r="C1310" t="s">
        <v>4777</v>
      </c>
      <c r="D1310" t="s">
        <v>17163</v>
      </c>
      <c r="E1310" t="s">
        <v>18420</v>
      </c>
      <c r="F1310" t="s">
        <v>29372</v>
      </c>
      <c r="G1310" t="s">
        <v>29379</v>
      </c>
      <c r="H1310" t="s">
        <v>29390</v>
      </c>
      <c r="I1310" t="s">
        <v>5383</v>
      </c>
      <c r="J1310" t="s">
        <v>29929</v>
      </c>
      <c r="K1310" t="s">
        <v>38488</v>
      </c>
      <c r="M1310" t="s">
        <v>39253</v>
      </c>
      <c r="N1310" t="s">
        <v>42669</v>
      </c>
      <c r="O1310" t="s">
        <v>42670</v>
      </c>
      <c r="P1310">
        <v>0</v>
      </c>
      <c r="Q1310">
        <v>4</v>
      </c>
      <c r="R1310" t="s">
        <v>42673</v>
      </c>
      <c r="S1310" t="s">
        <v>42784</v>
      </c>
      <c r="T1310" t="s">
        <v>44451</v>
      </c>
      <c r="U1310" t="s">
        <v>45932</v>
      </c>
      <c r="W1310" t="s">
        <v>39253</v>
      </c>
      <c r="X1310" t="s">
        <v>42674</v>
      </c>
    </row>
    <row r="1311" spans="1:24">
      <c r="A1311">
        <f>HYPERLINK("https://www.philgeps.gov.ph/GEPSNONPILOT/Tender/SplashBidNoticeAbstractUI.aspx?menuIndex=3&amp;refID=7193482&amp;Result=3","7193482")</f>
        <v>0</v>
      </c>
      <c r="B1311" t="s">
        <v>421</v>
      </c>
      <c r="C1311" t="s">
        <v>4778</v>
      </c>
      <c r="D1311" t="s">
        <v>17213</v>
      </c>
      <c r="E1311" t="s">
        <v>18421</v>
      </c>
      <c r="F1311" t="s">
        <v>29372</v>
      </c>
      <c r="G1311" t="s">
        <v>29379</v>
      </c>
      <c r="H1311" t="s">
        <v>11048</v>
      </c>
      <c r="I1311" t="s">
        <v>8208</v>
      </c>
      <c r="J1311" t="s">
        <v>30498</v>
      </c>
      <c r="K1311" t="s">
        <v>38488</v>
      </c>
      <c r="M1311" t="s">
        <v>39185</v>
      </c>
      <c r="N1311" t="s">
        <v>42669</v>
      </c>
      <c r="O1311" t="s">
        <v>42670</v>
      </c>
      <c r="P1311">
        <v>0</v>
      </c>
      <c r="Q1311">
        <v>0</v>
      </c>
      <c r="R1311" t="s">
        <v>42673</v>
      </c>
      <c r="S1311" t="s">
        <v>42784</v>
      </c>
      <c r="T1311" t="s">
        <v>44451</v>
      </c>
      <c r="U1311" t="s">
        <v>45794</v>
      </c>
      <c r="W1311" t="s">
        <v>39185</v>
      </c>
      <c r="X1311" t="s">
        <v>42674</v>
      </c>
    </row>
    <row r="1312" spans="1:24">
      <c r="A1312">
        <f>HYPERLINK("https://www.philgeps.gov.ph/GEPSNONPILOT/Tender/SplashBidNoticeAbstractUI.aspx?menuIndex=3&amp;refID=7193476&amp;Result=3","7193476")</f>
        <v>0</v>
      </c>
      <c r="B1312" t="s">
        <v>421</v>
      </c>
      <c r="C1312" t="s">
        <v>4779</v>
      </c>
      <c r="D1312" t="s">
        <v>17216</v>
      </c>
      <c r="E1312" t="s">
        <v>18422</v>
      </c>
      <c r="F1312" t="s">
        <v>29372</v>
      </c>
      <c r="G1312" t="s">
        <v>29379</v>
      </c>
      <c r="H1312" t="s">
        <v>11048</v>
      </c>
      <c r="I1312" t="s">
        <v>8208</v>
      </c>
      <c r="J1312" t="s">
        <v>30343</v>
      </c>
      <c r="K1312" t="s">
        <v>38488</v>
      </c>
      <c r="M1312" t="s">
        <v>39185</v>
      </c>
      <c r="N1312" t="s">
        <v>42669</v>
      </c>
      <c r="O1312" t="s">
        <v>42670</v>
      </c>
      <c r="P1312">
        <v>0</v>
      </c>
      <c r="Q1312">
        <v>0</v>
      </c>
      <c r="R1312" t="s">
        <v>42673</v>
      </c>
      <c r="S1312" t="s">
        <v>42784</v>
      </c>
      <c r="T1312" t="s">
        <v>44451</v>
      </c>
      <c r="U1312" t="s">
        <v>45794</v>
      </c>
      <c r="W1312" t="s">
        <v>39185</v>
      </c>
      <c r="X1312" t="s">
        <v>42674</v>
      </c>
    </row>
    <row r="1313" spans="1:24">
      <c r="A1313">
        <f>HYPERLINK("https://www.philgeps.gov.ph/GEPSNONPILOT/Tender/SplashBidNoticeAbstractUI.aspx?menuIndex=3&amp;refID=7193489&amp;Result=3","7193489")</f>
        <v>0</v>
      </c>
      <c r="B1313" t="s">
        <v>421</v>
      </c>
      <c r="C1313" t="s">
        <v>4780</v>
      </c>
      <c r="D1313" t="s">
        <v>17213</v>
      </c>
      <c r="E1313" t="s">
        <v>18423</v>
      </c>
      <c r="F1313" t="s">
        <v>29372</v>
      </c>
      <c r="G1313" t="s">
        <v>29379</v>
      </c>
      <c r="H1313" t="s">
        <v>11048</v>
      </c>
      <c r="I1313" t="s">
        <v>8208</v>
      </c>
      <c r="J1313" t="s">
        <v>30382</v>
      </c>
      <c r="K1313" t="s">
        <v>38488</v>
      </c>
      <c r="M1313" t="s">
        <v>39185</v>
      </c>
      <c r="N1313" t="s">
        <v>42669</v>
      </c>
      <c r="O1313" t="s">
        <v>42670</v>
      </c>
      <c r="P1313">
        <v>0</v>
      </c>
      <c r="Q1313">
        <v>0</v>
      </c>
      <c r="R1313" t="s">
        <v>42673</v>
      </c>
      <c r="S1313" t="s">
        <v>42784</v>
      </c>
      <c r="T1313" t="s">
        <v>44451</v>
      </c>
      <c r="U1313" t="s">
        <v>45794</v>
      </c>
      <c r="W1313" t="s">
        <v>39185</v>
      </c>
      <c r="X1313" t="s">
        <v>42674</v>
      </c>
    </row>
    <row r="1314" spans="1:24">
      <c r="A1314">
        <f>HYPERLINK("https://www.philgeps.gov.ph/GEPSNONPILOT/Tender/SplashBidNoticeAbstractUI.aspx?menuIndex=3&amp;refID=7193484&amp;Result=3","7193484")</f>
        <v>0</v>
      </c>
      <c r="B1314" t="s">
        <v>489</v>
      </c>
      <c r="C1314" t="s">
        <v>4781</v>
      </c>
      <c r="D1314" t="s">
        <v>17197</v>
      </c>
      <c r="E1314" t="s">
        <v>17606</v>
      </c>
      <c r="F1314" t="s">
        <v>29372</v>
      </c>
      <c r="G1314" t="s">
        <v>29383</v>
      </c>
      <c r="H1314" t="s">
        <v>11048</v>
      </c>
      <c r="I1314" t="s">
        <v>3670</v>
      </c>
      <c r="J1314" t="s">
        <v>30499</v>
      </c>
      <c r="K1314" t="s">
        <v>38534</v>
      </c>
      <c r="M1314" t="s">
        <v>39254</v>
      </c>
      <c r="N1314" t="s">
        <v>42669</v>
      </c>
      <c r="O1314" t="s">
        <v>42670</v>
      </c>
      <c r="P1314">
        <v>0</v>
      </c>
      <c r="Q1314">
        <v>0</v>
      </c>
      <c r="R1314" t="s">
        <v>42673</v>
      </c>
      <c r="S1314" t="s">
        <v>42784</v>
      </c>
      <c r="T1314" t="s">
        <v>44454</v>
      </c>
      <c r="U1314" t="s">
        <v>45933</v>
      </c>
      <c r="V1314" t="s">
        <v>56382</v>
      </c>
      <c r="W1314" t="s">
        <v>39254</v>
      </c>
      <c r="X1314" t="s">
        <v>42674</v>
      </c>
    </row>
    <row r="1315" spans="1:24">
      <c r="A1315">
        <f>HYPERLINK("https://www.philgeps.gov.ph/GEPSNONPILOT/Tender/SplashBidNoticeAbstractUI.aspx?menuIndex=3&amp;refID=7193447&amp;Result=3","7193447")</f>
        <v>0</v>
      </c>
      <c r="B1315" t="s">
        <v>421</v>
      </c>
      <c r="C1315" t="s">
        <v>4782</v>
      </c>
      <c r="D1315" t="s">
        <v>17213</v>
      </c>
      <c r="E1315" t="s">
        <v>18424</v>
      </c>
      <c r="F1315" t="s">
        <v>29372</v>
      </c>
      <c r="G1315" t="s">
        <v>29379</v>
      </c>
      <c r="H1315" t="s">
        <v>11048</v>
      </c>
      <c r="I1315" t="s">
        <v>8208</v>
      </c>
      <c r="J1315" t="s">
        <v>30382</v>
      </c>
      <c r="K1315" t="s">
        <v>38488</v>
      </c>
      <c r="M1315" t="s">
        <v>39185</v>
      </c>
      <c r="N1315" t="s">
        <v>42669</v>
      </c>
      <c r="O1315" t="s">
        <v>42670</v>
      </c>
      <c r="P1315">
        <v>0</v>
      </c>
      <c r="Q1315">
        <v>0</v>
      </c>
      <c r="R1315" t="s">
        <v>42673</v>
      </c>
      <c r="S1315" t="s">
        <v>42784</v>
      </c>
      <c r="T1315" t="s">
        <v>44451</v>
      </c>
      <c r="U1315" t="s">
        <v>45794</v>
      </c>
      <c r="W1315" t="s">
        <v>39185</v>
      </c>
      <c r="X1315" t="s">
        <v>42674</v>
      </c>
    </row>
    <row r="1316" spans="1:24">
      <c r="A1316">
        <f>HYPERLINK("https://www.philgeps.gov.ph/GEPSNONPILOT/Tender/SplashBidNoticeAbstractUI.aspx?menuIndex=3&amp;refID=7193477&amp;Result=3","7193477")</f>
        <v>0</v>
      </c>
      <c r="B1316" t="s">
        <v>486</v>
      </c>
      <c r="C1316" t="s">
        <v>4783</v>
      </c>
      <c r="D1316" t="s">
        <v>17154</v>
      </c>
      <c r="E1316" t="s">
        <v>18425</v>
      </c>
      <c r="F1316" t="s">
        <v>29372</v>
      </c>
      <c r="G1316" t="s">
        <v>29379</v>
      </c>
      <c r="H1316" t="s">
        <v>29390</v>
      </c>
      <c r="I1316" t="s">
        <v>3670</v>
      </c>
      <c r="J1316" t="s">
        <v>30500</v>
      </c>
      <c r="K1316" t="s">
        <v>38510</v>
      </c>
      <c r="M1316" t="s">
        <v>39251</v>
      </c>
      <c r="N1316" t="s">
        <v>42669</v>
      </c>
      <c r="O1316" t="s">
        <v>42670</v>
      </c>
      <c r="P1316">
        <v>0</v>
      </c>
      <c r="Q1316">
        <v>7</v>
      </c>
      <c r="R1316" t="s">
        <v>42673</v>
      </c>
      <c r="S1316" t="s">
        <v>42784</v>
      </c>
      <c r="T1316" t="s">
        <v>44522</v>
      </c>
      <c r="U1316" t="s">
        <v>45930</v>
      </c>
      <c r="W1316" t="s">
        <v>39251</v>
      </c>
      <c r="X1316" t="s">
        <v>42674</v>
      </c>
    </row>
    <row r="1317" spans="1:24">
      <c r="A1317">
        <f>HYPERLINK("https://www.philgeps.gov.ph/GEPSNONPILOT/Tender/SplashBidNoticeAbstractUI.aspx?menuIndex=3&amp;refID=7193520&amp;Result=3","7193520")</f>
        <v>0</v>
      </c>
      <c r="B1317" t="s">
        <v>490</v>
      </c>
      <c r="C1317" t="s">
        <v>4784</v>
      </c>
      <c r="D1317" t="s">
        <v>17197</v>
      </c>
      <c r="E1317" t="s">
        <v>18426</v>
      </c>
      <c r="F1317" t="s">
        <v>29372</v>
      </c>
      <c r="G1317" t="s">
        <v>29380</v>
      </c>
      <c r="H1317" t="s">
        <v>29389</v>
      </c>
      <c r="I1317" t="s">
        <v>10408</v>
      </c>
      <c r="J1317" t="s">
        <v>30501</v>
      </c>
      <c r="K1317" t="s">
        <v>38573</v>
      </c>
      <c r="M1317" t="s">
        <v>39255</v>
      </c>
      <c r="N1317" t="s">
        <v>42669</v>
      </c>
      <c r="O1317" t="s">
        <v>42670</v>
      </c>
      <c r="P1317">
        <v>0</v>
      </c>
      <c r="Q1317">
        <v>0</v>
      </c>
      <c r="R1317" t="s">
        <v>42673</v>
      </c>
      <c r="S1317" t="s">
        <v>42784</v>
      </c>
      <c r="T1317" t="s">
        <v>44523</v>
      </c>
      <c r="U1317" t="s">
        <v>45934</v>
      </c>
      <c r="W1317" t="s">
        <v>39255</v>
      </c>
      <c r="X1317" t="s">
        <v>42674</v>
      </c>
    </row>
    <row r="1318" spans="1:24">
      <c r="A1318">
        <f>HYPERLINK("https://www.philgeps.gov.ph/GEPSNONPILOT/Tender/SplashBidNoticeAbstractUI.aspx?menuIndex=3&amp;refID=7193536&amp;Result=3","7193536")</f>
        <v>0</v>
      </c>
      <c r="B1318" t="s">
        <v>255</v>
      </c>
      <c r="C1318" t="s">
        <v>4785</v>
      </c>
      <c r="E1318" t="s">
        <v>18427</v>
      </c>
      <c r="F1318" t="s">
        <v>29372</v>
      </c>
      <c r="G1318" t="s">
        <v>29382</v>
      </c>
      <c r="H1318" t="s">
        <v>11048</v>
      </c>
      <c r="I1318" t="s">
        <v>5383</v>
      </c>
      <c r="J1318" t="s">
        <v>29675</v>
      </c>
      <c r="K1318" t="s">
        <v>38490</v>
      </c>
      <c r="M1318" t="s">
        <v>39014</v>
      </c>
      <c r="N1318" t="s">
        <v>42669</v>
      </c>
      <c r="O1318" t="s">
        <v>42670</v>
      </c>
      <c r="P1318">
        <v>0</v>
      </c>
      <c r="Q1318">
        <v>4</v>
      </c>
      <c r="R1318" t="s">
        <v>42673</v>
      </c>
      <c r="S1318" t="s">
        <v>42784</v>
      </c>
      <c r="T1318" t="s">
        <v>44489</v>
      </c>
      <c r="U1318" t="s">
        <v>45771</v>
      </c>
      <c r="W1318" t="s">
        <v>39014</v>
      </c>
      <c r="X1318" t="s">
        <v>42674</v>
      </c>
    </row>
    <row r="1319" spans="1:24">
      <c r="A1319">
        <f>HYPERLINK("https://www.philgeps.gov.ph/GEPSNONPILOT/Tender/SplashBidNoticeAbstractUI.aspx?menuIndex=3&amp;refID=7193475&amp;Result=3","7193475")</f>
        <v>0</v>
      </c>
      <c r="B1319" t="s">
        <v>491</v>
      </c>
      <c r="C1319" t="s">
        <v>4786</v>
      </c>
      <c r="D1319" t="s">
        <v>17188</v>
      </c>
      <c r="E1319" t="s">
        <v>18428</v>
      </c>
      <c r="F1319" t="s">
        <v>29372</v>
      </c>
      <c r="G1319" t="s">
        <v>29379</v>
      </c>
      <c r="H1319" t="s">
        <v>11048</v>
      </c>
      <c r="I1319" t="s">
        <v>8614</v>
      </c>
      <c r="J1319" t="s">
        <v>30406</v>
      </c>
      <c r="K1319" t="s">
        <v>38528</v>
      </c>
      <c r="M1319" t="s">
        <v>39256</v>
      </c>
      <c r="N1319" t="s">
        <v>42669</v>
      </c>
      <c r="O1319" t="s">
        <v>42670</v>
      </c>
      <c r="P1319">
        <v>0</v>
      </c>
      <c r="Q1319">
        <v>0</v>
      </c>
      <c r="R1319" t="s">
        <v>42673</v>
      </c>
      <c r="S1319" t="s">
        <v>42784</v>
      </c>
      <c r="T1319" t="s">
        <v>44524</v>
      </c>
      <c r="U1319" t="s">
        <v>45935</v>
      </c>
      <c r="W1319" t="s">
        <v>39256</v>
      </c>
      <c r="X1319" t="s">
        <v>42674</v>
      </c>
    </row>
    <row r="1320" spans="1:24">
      <c r="A1320">
        <f>HYPERLINK("https://www.philgeps.gov.ph/GEPSNONPILOT/Tender/SplashBidNoticeAbstractUI.aspx?menuIndex=3&amp;refID=7193533&amp;Result=3","7193533")</f>
        <v>0</v>
      </c>
      <c r="B1320" t="s">
        <v>421</v>
      </c>
      <c r="C1320" t="s">
        <v>4787</v>
      </c>
      <c r="D1320" t="s">
        <v>17181</v>
      </c>
      <c r="E1320" t="s">
        <v>18429</v>
      </c>
      <c r="F1320" t="s">
        <v>29372</v>
      </c>
      <c r="G1320" t="s">
        <v>29379</v>
      </c>
      <c r="H1320" t="s">
        <v>11048</v>
      </c>
      <c r="I1320" t="s">
        <v>8208</v>
      </c>
      <c r="J1320" t="s">
        <v>30343</v>
      </c>
      <c r="K1320" t="s">
        <v>38488</v>
      </c>
      <c r="M1320" t="s">
        <v>39185</v>
      </c>
      <c r="N1320" t="s">
        <v>42669</v>
      </c>
      <c r="O1320" t="s">
        <v>42670</v>
      </c>
      <c r="P1320">
        <v>0</v>
      </c>
      <c r="Q1320">
        <v>0</v>
      </c>
      <c r="R1320" t="s">
        <v>42673</v>
      </c>
      <c r="S1320" t="s">
        <v>42784</v>
      </c>
      <c r="T1320" t="s">
        <v>44451</v>
      </c>
      <c r="U1320" t="s">
        <v>45794</v>
      </c>
      <c r="W1320" t="s">
        <v>39185</v>
      </c>
      <c r="X1320" t="s">
        <v>42674</v>
      </c>
    </row>
    <row r="1321" spans="1:24">
      <c r="A1321">
        <f>HYPERLINK("https://www.philgeps.gov.ph/GEPSNONPILOT/Tender/SplashBidNoticeAbstractUI.aspx?menuIndex=3&amp;refID=7193473&amp;Result=3","7193473")</f>
        <v>0</v>
      </c>
      <c r="B1321" t="s">
        <v>485</v>
      </c>
      <c r="C1321" t="s">
        <v>4788</v>
      </c>
      <c r="D1321" t="s">
        <v>17175</v>
      </c>
      <c r="E1321" t="s">
        <v>18430</v>
      </c>
      <c r="F1321" t="s">
        <v>29372</v>
      </c>
      <c r="G1321" t="s">
        <v>29379</v>
      </c>
      <c r="H1321" t="s">
        <v>11048</v>
      </c>
      <c r="I1321" t="s">
        <v>29407</v>
      </c>
      <c r="J1321" t="s">
        <v>30502</v>
      </c>
      <c r="K1321" t="s">
        <v>38490</v>
      </c>
      <c r="M1321" t="s">
        <v>39250</v>
      </c>
      <c r="N1321" t="s">
        <v>42669</v>
      </c>
      <c r="O1321" t="s">
        <v>42670</v>
      </c>
      <c r="P1321">
        <v>0</v>
      </c>
      <c r="Q1321">
        <v>2</v>
      </c>
      <c r="R1321" t="s">
        <v>42673</v>
      </c>
      <c r="S1321" t="s">
        <v>42784</v>
      </c>
      <c r="T1321" t="s">
        <v>44432</v>
      </c>
      <c r="U1321" t="s">
        <v>45936</v>
      </c>
      <c r="W1321" t="s">
        <v>39250</v>
      </c>
      <c r="X1321" t="s">
        <v>42674</v>
      </c>
    </row>
    <row r="1322" spans="1:24">
      <c r="A1322">
        <f>HYPERLINK("https://www.philgeps.gov.ph/GEPSNONPILOT/Tender/SplashBidNoticeAbstractUI.aspx?menuIndex=3&amp;refID=7193530&amp;Result=3","7193530")</f>
        <v>0</v>
      </c>
      <c r="B1322" t="s">
        <v>492</v>
      </c>
      <c r="C1322" t="s">
        <v>4789</v>
      </c>
      <c r="D1322" t="s">
        <v>17188</v>
      </c>
      <c r="E1322" t="s">
        <v>18431</v>
      </c>
      <c r="F1322" t="s">
        <v>29372</v>
      </c>
      <c r="G1322" t="s">
        <v>29380</v>
      </c>
      <c r="H1322" t="s">
        <v>29389</v>
      </c>
      <c r="I1322" t="s">
        <v>10408</v>
      </c>
      <c r="J1322" t="s">
        <v>30503</v>
      </c>
      <c r="K1322" t="s">
        <v>38496</v>
      </c>
      <c r="M1322" t="s">
        <v>39257</v>
      </c>
      <c r="N1322" t="s">
        <v>42669</v>
      </c>
      <c r="O1322" t="s">
        <v>42670</v>
      </c>
      <c r="P1322">
        <v>0</v>
      </c>
      <c r="Q1322">
        <v>0</v>
      </c>
      <c r="R1322" t="s">
        <v>42673</v>
      </c>
      <c r="S1322" t="s">
        <v>42784</v>
      </c>
      <c r="T1322" t="s">
        <v>44409</v>
      </c>
      <c r="U1322" t="s">
        <v>45937</v>
      </c>
      <c r="W1322" t="s">
        <v>39257</v>
      </c>
      <c r="X1322" t="s">
        <v>42674</v>
      </c>
    </row>
    <row r="1323" spans="1:24">
      <c r="A1323">
        <f>HYPERLINK("https://www.philgeps.gov.ph/GEPSNONPILOT/Tender/SplashBidNoticeAbstractUI.aspx?menuIndex=3&amp;refID=7193504&amp;Result=3","7193504")</f>
        <v>0</v>
      </c>
      <c r="B1323" t="s">
        <v>34</v>
      </c>
      <c r="C1323" t="s">
        <v>4790</v>
      </c>
      <c r="D1323" t="s">
        <v>17148</v>
      </c>
      <c r="E1323" t="s">
        <v>18432</v>
      </c>
      <c r="F1323" t="s">
        <v>29372</v>
      </c>
      <c r="G1323" t="s">
        <v>29379</v>
      </c>
      <c r="H1323" t="s">
        <v>11048</v>
      </c>
      <c r="I1323" t="s">
        <v>4709</v>
      </c>
      <c r="J1323" t="s">
        <v>30504</v>
      </c>
      <c r="K1323" t="s">
        <v>38485</v>
      </c>
      <c r="M1323" t="s">
        <v>38787</v>
      </c>
      <c r="N1323" t="s">
        <v>42669</v>
      </c>
      <c r="O1323" t="s">
        <v>42670</v>
      </c>
      <c r="P1323">
        <v>0</v>
      </c>
      <c r="Q1323">
        <v>0</v>
      </c>
      <c r="R1323" t="s">
        <v>42673</v>
      </c>
      <c r="S1323" t="s">
        <v>42784</v>
      </c>
      <c r="T1323" t="s">
        <v>44522</v>
      </c>
      <c r="U1323" t="s">
        <v>45938</v>
      </c>
      <c r="W1323" t="s">
        <v>38787</v>
      </c>
      <c r="X1323" t="s">
        <v>42674</v>
      </c>
    </row>
    <row r="1324" spans="1:24">
      <c r="A1324">
        <f>HYPERLINK("https://www.philgeps.gov.ph/GEPSNONPILOT/Tender/SplashBidNoticeAbstractUI.aspx?menuIndex=3&amp;refID=7193528&amp;Result=3","7193528")</f>
        <v>0</v>
      </c>
      <c r="B1324" t="s">
        <v>421</v>
      </c>
      <c r="C1324" t="s">
        <v>4791</v>
      </c>
      <c r="D1324" t="s">
        <v>17181</v>
      </c>
      <c r="E1324" t="s">
        <v>18433</v>
      </c>
      <c r="F1324" t="s">
        <v>29372</v>
      </c>
      <c r="G1324" t="s">
        <v>29379</v>
      </c>
      <c r="H1324" t="s">
        <v>11048</v>
      </c>
      <c r="I1324" t="s">
        <v>8208</v>
      </c>
      <c r="J1324" t="s">
        <v>30505</v>
      </c>
      <c r="K1324" t="s">
        <v>38488</v>
      </c>
      <c r="M1324" t="s">
        <v>39185</v>
      </c>
      <c r="N1324" t="s">
        <v>42669</v>
      </c>
      <c r="O1324" t="s">
        <v>42670</v>
      </c>
      <c r="P1324">
        <v>0</v>
      </c>
      <c r="Q1324">
        <v>0</v>
      </c>
      <c r="R1324" t="s">
        <v>42673</v>
      </c>
      <c r="S1324" t="s">
        <v>42784</v>
      </c>
      <c r="T1324" t="s">
        <v>44451</v>
      </c>
      <c r="U1324" t="s">
        <v>45794</v>
      </c>
      <c r="W1324" t="s">
        <v>39185</v>
      </c>
      <c r="X1324" t="s">
        <v>42674</v>
      </c>
    </row>
    <row r="1325" spans="1:24">
      <c r="A1325">
        <f>HYPERLINK("https://www.philgeps.gov.ph/GEPSNONPILOT/Tender/SplashBidNoticeAbstractUI.aspx?menuIndex=3&amp;refID=7193527&amp;Result=3","7193527")</f>
        <v>0</v>
      </c>
      <c r="B1325" t="s">
        <v>421</v>
      </c>
      <c r="C1325" t="s">
        <v>4720</v>
      </c>
      <c r="D1325" t="s">
        <v>17213</v>
      </c>
      <c r="E1325" t="s">
        <v>18434</v>
      </c>
      <c r="F1325" t="s">
        <v>29372</v>
      </c>
      <c r="G1325" t="s">
        <v>29379</v>
      </c>
      <c r="H1325" t="s">
        <v>11048</v>
      </c>
      <c r="I1325" t="s">
        <v>8208</v>
      </c>
      <c r="J1325" t="s">
        <v>29691</v>
      </c>
      <c r="K1325" t="s">
        <v>38488</v>
      </c>
      <c r="M1325" t="s">
        <v>39185</v>
      </c>
      <c r="N1325" t="s">
        <v>42669</v>
      </c>
      <c r="O1325" t="s">
        <v>42670</v>
      </c>
      <c r="P1325">
        <v>0</v>
      </c>
      <c r="Q1325">
        <v>0</v>
      </c>
      <c r="R1325" t="s">
        <v>42673</v>
      </c>
      <c r="S1325" t="s">
        <v>42784</v>
      </c>
      <c r="T1325" t="s">
        <v>44451</v>
      </c>
      <c r="U1325" t="s">
        <v>45794</v>
      </c>
      <c r="W1325" t="s">
        <v>39185</v>
      </c>
      <c r="X1325" t="s">
        <v>42674</v>
      </c>
    </row>
    <row r="1326" spans="1:24">
      <c r="A1326">
        <f>HYPERLINK("https://www.philgeps.gov.ph/GEPSNONPILOT/Tender/SplashBidNoticeAbstractUI.aspx?menuIndex=3&amp;refID=7193486&amp;Result=3","7193486")</f>
        <v>0</v>
      </c>
      <c r="B1326" t="s">
        <v>367</v>
      </c>
      <c r="C1326" t="s">
        <v>4792</v>
      </c>
      <c r="D1326" t="s">
        <v>17141</v>
      </c>
      <c r="E1326" t="s">
        <v>18435</v>
      </c>
      <c r="F1326" t="s">
        <v>29372</v>
      </c>
      <c r="G1326" t="s">
        <v>29379</v>
      </c>
      <c r="H1326" t="s">
        <v>29390</v>
      </c>
      <c r="I1326" t="s">
        <v>29433</v>
      </c>
      <c r="J1326" t="s">
        <v>30506</v>
      </c>
      <c r="K1326" t="s">
        <v>38488</v>
      </c>
      <c r="M1326" t="s">
        <v>39127</v>
      </c>
      <c r="N1326" t="s">
        <v>42669</v>
      </c>
      <c r="O1326" t="s">
        <v>42670</v>
      </c>
      <c r="P1326">
        <v>0</v>
      </c>
      <c r="Q1326">
        <v>3</v>
      </c>
      <c r="R1326" t="s">
        <v>42673</v>
      </c>
      <c r="S1326" t="s">
        <v>42784</v>
      </c>
      <c r="T1326" t="s">
        <v>44481</v>
      </c>
      <c r="U1326" t="s">
        <v>45939</v>
      </c>
      <c r="V1326" t="s">
        <v>56467</v>
      </c>
      <c r="W1326" t="s">
        <v>58014</v>
      </c>
      <c r="X1326" t="s">
        <v>42674</v>
      </c>
    </row>
    <row r="1327" spans="1:24">
      <c r="A1327">
        <f>HYPERLINK("https://www.philgeps.gov.ph/GEPSNONPILOT/Tender/SplashBidNoticeAbstractUI.aspx?menuIndex=3&amp;refID=7193523&amp;Result=3","7193523")</f>
        <v>0</v>
      </c>
      <c r="B1327" t="s">
        <v>255</v>
      </c>
      <c r="C1327" t="s">
        <v>4793</v>
      </c>
      <c r="E1327" t="s">
        <v>18436</v>
      </c>
      <c r="F1327" t="s">
        <v>29372</v>
      </c>
      <c r="G1327" t="s">
        <v>29379</v>
      </c>
      <c r="H1327" t="s">
        <v>11048</v>
      </c>
      <c r="I1327" t="s">
        <v>29458</v>
      </c>
      <c r="J1327" t="s">
        <v>30145</v>
      </c>
      <c r="K1327" t="s">
        <v>38490</v>
      </c>
      <c r="M1327" t="s">
        <v>39014</v>
      </c>
      <c r="N1327" t="s">
        <v>42669</v>
      </c>
      <c r="O1327" t="s">
        <v>42670</v>
      </c>
      <c r="P1327">
        <v>0</v>
      </c>
      <c r="Q1327">
        <v>1</v>
      </c>
      <c r="R1327" t="s">
        <v>42673</v>
      </c>
      <c r="S1327" t="s">
        <v>42784</v>
      </c>
      <c r="T1327" t="s">
        <v>44489</v>
      </c>
      <c r="U1327" t="s">
        <v>45771</v>
      </c>
      <c r="W1327" t="s">
        <v>39014</v>
      </c>
      <c r="X1327" t="s">
        <v>42674</v>
      </c>
    </row>
    <row r="1328" spans="1:24">
      <c r="A1328">
        <f>HYPERLINK("https://www.philgeps.gov.ph/GEPSNONPILOT/Tender/SplashBidNoticeAbstractUI.aspx?menuIndex=3&amp;refID=7193521&amp;Result=3","7193521")</f>
        <v>0</v>
      </c>
      <c r="B1328" t="s">
        <v>367</v>
      </c>
      <c r="C1328" t="s">
        <v>4794</v>
      </c>
      <c r="D1328" t="s">
        <v>17141</v>
      </c>
      <c r="E1328" t="s">
        <v>18437</v>
      </c>
      <c r="F1328" t="s">
        <v>29372</v>
      </c>
      <c r="G1328" t="s">
        <v>29379</v>
      </c>
      <c r="H1328" t="s">
        <v>29390</v>
      </c>
      <c r="I1328" t="s">
        <v>29433</v>
      </c>
      <c r="J1328" t="s">
        <v>30507</v>
      </c>
      <c r="K1328" t="s">
        <v>38488</v>
      </c>
      <c r="M1328" t="s">
        <v>39127</v>
      </c>
      <c r="N1328" t="s">
        <v>42669</v>
      </c>
      <c r="O1328" t="s">
        <v>42670</v>
      </c>
      <c r="P1328">
        <v>0</v>
      </c>
      <c r="Q1328">
        <v>1</v>
      </c>
      <c r="R1328" t="s">
        <v>42673</v>
      </c>
      <c r="S1328" t="s">
        <v>42784</v>
      </c>
      <c r="T1328" t="s">
        <v>44481</v>
      </c>
      <c r="U1328" t="s">
        <v>45940</v>
      </c>
      <c r="V1328" t="s">
        <v>56467</v>
      </c>
      <c r="W1328" t="s">
        <v>58014</v>
      </c>
      <c r="X1328" t="s">
        <v>42674</v>
      </c>
    </row>
    <row r="1329" spans="1:24">
      <c r="A1329">
        <f>HYPERLINK("https://www.philgeps.gov.ph/GEPSNONPILOT/Tender/SplashBidNoticeAbstractUI.aspx?menuIndex=3&amp;refID=7193491&amp;Result=3","7193491")</f>
        <v>0</v>
      </c>
      <c r="B1329" t="s">
        <v>421</v>
      </c>
      <c r="C1329" t="s">
        <v>4795</v>
      </c>
      <c r="D1329" t="s">
        <v>17165</v>
      </c>
      <c r="E1329" t="s">
        <v>18438</v>
      </c>
      <c r="F1329" t="s">
        <v>29372</v>
      </c>
      <c r="G1329" t="s">
        <v>29379</v>
      </c>
      <c r="H1329" t="s">
        <v>11048</v>
      </c>
      <c r="I1329" t="s">
        <v>8208</v>
      </c>
      <c r="J1329" t="s">
        <v>30508</v>
      </c>
      <c r="K1329" t="s">
        <v>38488</v>
      </c>
      <c r="M1329" t="s">
        <v>39185</v>
      </c>
      <c r="N1329" t="s">
        <v>42669</v>
      </c>
      <c r="O1329" t="s">
        <v>42670</v>
      </c>
      <c r="P1329">
        <v>0</v>
      </c>
      <c r="Q1329">
        <v>0</v>
      </c>
      <c r="R1329" t="s">
        <v>42673</v>
      </c>
      <c r="S1329" t="s">
        <v>42784</v>
      </c>
      <c r="T1329" t="s">
        <v>44451</v>
      </c>
      <c r="U1329" t="s">
        <v>45794</v>
      </c>
      <c r="W1329" t="s">
        <v>39185</v>
      </c>
      <c r="X1329" t="s">
        <v>42674</v>
      </c>
    </row>
    <row r="1330" spans="1:24">
      <c r="A1330">
        <f>HYPERLINK("https://www.philgeps.gov.ph/GEPSNONPILOT/Tender/SplashBidNoticeAbstractUI.aspx?menuIndex=3&amp;refID=7193519&amp;Result=3","7193519")</f>
        <v>0</v>
      </c>
      <c r="B1330" t="s">
        <v>421</v>
      </c>
      <c r="C1330" t="s">
        <v>4796</v>
      </c>
      <c r="D1330" t="s">
        <v>17181</v>
      </c>
      <c r="E1330" t="s">
        <v>18439</v>
      </c>
      <c r="F1330" t="s">
        <v>29372</v>
      </c>
      <c r="G1330" t="s">
        <v>29379</v>
      </c>
      <c r="H1330" t="s">
        <v>11048</v>
      </c>
      <c r="I1330" t="s">
        <v>8208</v>
      </c>
      <c r="J1330" t="s">
        <v>30382</v>
      </c>
      <c r="K1330" t="s">
        <v>38488</v>
      </c>
      <c r="M1330" t="s">
        <v>39185</v>
      </c>
      <c r="N1330" t="s">
        <v>42669</v>
      </c>
      <c r="O1330" t="s">
        <v>42670</v>
      </c>
      <c r="P1330">
        <v>0</v>
      </c>
      <c r="Q1330">
        <v>0</v>
      </c>
      <c r="R1330" t="s">
        <v>42673</v>
      </c>
      <c r="S1330" t="s">
        <v>42784</v>
      </c>
      <c r="T1330" t="s">
        <v>44451</v>
      </c>
      <c r="U1330" t="s">
        <v>45794</v>
      </c>
      <c r="W1330" t="s">
        <v>39185</v>
      </c>
      <c r="X1330" t="s">
        <v>42674</v>
      </c>
    </row>
    <row r="1331" spans="1:24">
      <c r="A1331">
        <f>HYPERLINK("https://www.philgeps.gov.ph/GEPSNONPILOT/Tender/SplashBidNoticeAbstractUI.aspx?menuIndex=3&amp;refID=7193517&amp;Result=3","7193517")</f>
        <v>0</v>
      </c>
      <c r="B1331" t="s">
        <v>421</v>
      </c>
      <c r="C1331" t="s">
        <v>4797</v>
      </c>
      <c r="D1331" t="s">
        <v>17181</v>
      </c>
      <c r="E1331" t="s">
        <v>18440</v>
      </c>
      <c r="F1331" t="s">
        <v>29372</v>
      </c>
      <c r="G1331" t="s">
        <v>29379</v>
      </c>
      <c r="H1331" t="s">
        <v>11048</v>
      </c>
      <c r="I1331" t="s">
        <v>8208</v>
      </c>
      <c r="J1331" t="s">
        <v>30509</v>
      </c>
      <c r="K1331" t="s">
        <v>38488</v>
      </c>
      <c r="M1331" t="s">
        <v>39185</v>
      </c>
      <c r="N1331" t="s">
        <v>42669</v>
      </c>
      <c r="O1331" t="s">
        <v>42670</v>
      </c>
      <c r="P1331">
        <v>0</v>
      </c>
      <c r="Q1331">
        <v>0</v>
      </c>
      <c r="R1331" t="s">
        <v>42673</v>
      </c>
      <c r="S1331" t="s">
        <v>42784</v>
      </c>
      <c r="T1331" t="s">
        <v>44451</v>
      </c>
      <c r="U1331" t="s">
        <v>45794</v>
      </c>
      <c r="W1331" t="s">
        <v>39185</v>
      </c>
      <c r="X1331" t="s">
        <v>42674</v>
      </c>
    </row>
    <row r="1332" spans="1:24">
      <c r="A1332">
        <f>HYPERLINK("https://www.philgeps.gov.ph/GEPSNONPILOT/Tender/SplashBidNoticeAbstractUI.aspx?menuIndex=3&amp;refID=7193516&amp;Result=3","7193516")</f>
        <v>0</v>
      </c>
      <c r="B1332" t="s">
        <v>493</v>
      </c>
      <c r="C1332" t="s">
        <v>4798</v>
      </c>
      <c r="D1332" t="s">
        <v>17185</v>
      </c>
      <c r="E1332" t="s">
        <v>18441</v>
      </c>
      <c r="F1332" t="s">
        <v>29376</v>
      </c>
      <c r="G1332" t="s">
        <v>29380</v>
      </c>
      <c r="H1332" t="s">
        <v>29389</v>
      </c>
      <c r="I1332" t="s">
        <v>10408</v>
      </c>
      <c r="J1332" t="s">
        <v>30510</v>
      </c>
      <c r="K1332" t="s">
        <v>38485</v>
      </c>
      <c r="M1332" t="s">
        <v>39258</v>
      </c>
      <c r="N1332" t="s">
        <v>42669</v>
      </c>
      <c r="O1332" t="s">
        <v>42670</v>
      </c>
      <c r="P1332">
        <v>0</v>
      </c>
      <c r="Q1332">
        <v>0</v>
      </c>
      <c r="R1332" t="s">
        <v>42673</v>
      </c>
      <c r="S1332" t="s">
        <v>42784</v>
      </c>
      <c r="T1332" t="s">
        <v>44452</v>
      </c>
      <c r="U1332" t="s">
        <v>45941</v>
      </c>
      <c r="W1332" t="s">
        <v>39258</v>
      </c>
      <c r="X1332" t="s">
        <v>42674</v>
      </c>
    </row>
    <row r="1333" spans="1:24">
      <c r="A1333">
        <f>HYPERLINK("https://www.philgeps.gov.ph/GEPSNONPILOT/Tender/SplashBidNoticeAbstractUI.aspx?menuIndex=3&amp;refID=7193511&amp;Result=3","7193511")</f>
        <v>0</v>
      </c>
      <c r="B1333" t="s">
        <v>494</v>
      </c>
      <c r="C1333" t="s">
        <v>4799</v>
      </c>
      <c r="D1333" t="s">
        <v>17182</v>
      </c>
      <c r="E1333" t="s">
        <v>18442</v>
      </c>
      <c r="F1333" t="s">
        <v>29372</v>
      </c>
      <c r="G1333" t="s">
        <v>29383</v>
      </c>
      <c r="H1333" t="s">
        <v>11048</v>
      </c>
      <c r="I1333" t="s">
        <v>4487</v>
      </c>
      <c r="J1333" t="s">
        <v>30511</v>
      </c>
      <c r="K1333" t="s">
        <v>38489</v>
      </c>
      <c r="M1333" t="s">
        <v>39259</v>
      </c>
      <c r="N1333" t="s">
        <v>42669</v>
      </c>
      <c r="O1333" t="s">
        <v>42670</v>
      </c>
      <c r="P1333">
        <v>0</v>
      </c>
      <c r="Q1333">
        <v>2</v>
      </c>
      <c r="R1333" t="s">
        <v>42673</v>
      </c>
      <c r="S1333" t="s">
        <v>42784</v>
      </c>
      <c r="T1333" t="s">
        <v>44378</v>
      </c>
      <c r="U1333" t="s">
        <v>45942</v>
      </c>
      <c r="W1333" t="s">
        <v>39259</v>
      </c>
      <c r="X1333" t="s">
        <v>42674</v>
      </c>
    </row>
    <row r="1334" spans="1:24">
      <c r="A1334">
        <f>HYPERLINK("https://www.philgeps.gov.ph/GEPSNONPILOT/Tender/SplashBidNoticeAbstractUI.aspx?menuIndex=3&amp;refID=7193529&amp;Result=3","7193529")</f>
        <v>0</v>
      </c>
      <c r="B1334" t="s">
        <v>255</v>
      </c>
      <c r="C1334" t="s">
        <v>4800</v>
      </c>
      <c r="E1334" t="s">
        <v>18443</v>
      </c>
      <c r="F1334" t="s">
        <v>29372</v>
      </c>
      <c r="G1334" t="s">
        <v>29379</v>
      </c>
      <c r="H1334" t="s">
        <v>11048</v>
      </c>
      <c r="I1334" t="s">
        <v>29433</v>
      </c>
      <c r="J1334" t="s">
        <v>30145</v>
      </c>
      <c r="K1334" t="s">
        <v>38490</v>
      </c>
      <c r="M1334" t="s">
        <v>39014</v>
      </c>
      <c r="N1334" t="s">
        <v>42669</v>
      </c>
      <c r="O1334" t="s">
        <v>42670</v>
      </c>
      <c r="P1334">
        <v>0</v>
      </c>
      <c r="Q1334">
        <v>3</v>
      </c>
      <c r="R1334" t="s">
        <v>42673</v>
      </c>
      <c r="S1334" t="s">
        <v>42784</v>
      </c>
      <c r="T1334" t="s">
        <v>44489</v>
      </c>
      <c r="U1334" t="s">
        <v>45771</v>
      </c>
      <c r="W1334" t="s">
        <v>39014</v>
      </c>
      <c r="X1334" t="s">
        <v>42674</v>
      </c>
    </row>
    <row r="1335" spans="1:24">
      <c r="A1335">
        <f>HYPERLINK("https://www.philgeps.gov.ph/GEPSNONPILOT/Tender/SplashBidNoticeAbstractUI.aspx?menuIndex=3&amp;refID=7193510&amp;Result=3","7193510")</f>
        <v>0</v>
      </c>
      <c r="B1335" t="s">
        <v>367</v>
      </c>
      <c r="C1335" t="s">
        <v>4801</v>
      </c>
      <c r="D1335" t="s">
        <v>17141</v>
      </c>
      <c r="E1335" t="s">
        <v>18444</v>
      </c>
      <c r="F1335" t="s">
        <v>29372</v>
      </c>
      <c r="G1335" t="s">
        <v>29379</v>
      </c>
      <c r="H1335" t="s">
        <v>29390</v>
      </c>
      <c r="I1335" t="s">
        <v>29433</v>
      </c>
      <c r="J1335" t="s">
        <v>30512</v>
      </c>
      <c r="K1335" t="s">
        <v>38488</v>
      </c>
      <c r="M1335" t="s">
        <v>39127</v>
      </c>
      <c r="N1335" t="s">
        <v>42669</v>
      </c>
      <c r="O1335" t="s">
        <v>42670</v>
      </c>
      <c r="P1335">
        <v>0</v>
      </c>
      <c r="Q1335">
        <v>2</v>
      </c>
      <c r="R1335" t="s">
        <v>42673</v>
      </c>
      <c r="S1335" t="s">
        <v>42784</v>
      </c>
      <c r="T1335" t="s">
        <v>44481</v>
      </c>
      <c r="U1335" t="s">
        <v>45943</v>
      </c>
      <c r="V1335" t="s">
        <v>56467</v>
      </c>
      <c r="W1335" t="s">
        <v>58014</v>
      </c>
      <c r="X1335" t="s">
        <v>42674</v>
      </c>
    </row>
    <row r="1336" spans="1:24">
      <c r="A1336">
        <f>HYPERLINK("https://www.philgeps.gov.ph/GEPSNONPILOT/Tender/SplashBidNoticeAbstractUI.aspx?menuIndex=3&amp;refID=7193505&amp;Result=3","7193505")</f>
        <v>0</v>
      </c>
      <c r="B1336" t="s">
        <v>421</v>
      </c>
      <c r="C1336" t="s">
        <v>4802</v>
      </c>
      <c r="D1336" t="s">
        <v>17216</v>
      </c>
      <c r="E1336" t="s">
        <v>18445</v>
      </c>
      <c r="F1336" t="s">
        <v>29372</v>
      </c>
      <c r="G1336" t="s">
        <v>29379</v>
      </c>
      <c r="H1336" t="s">
        <v>11048</v>
      </c>
      <c r="I1336" t="s">
        <v>8208</v>
      </c>
      <c r="J1336" t="s">
        <v>29650</v>
      </c>
      <c r="K1336" t="s">
        <v>38488</v>
      </c>
      <c r="M1336" t="s">
        <v>39185</v>
      </c>
      <c r="N1336" t="s">
        <v>42669</v>
      </c>
      <c r="O1336" t="s">
        <v>42670</v>
      </c>
      <c r="P1336">
        <v>0</v>
      </c>
      <c r="Q1336">
        <v>0</v>
      </c>
      <c r="R1336" t="s">
        <v>42673</v>
      </c>
      <c r="S1336" t="s">
        <v>42784</v>
      </c>
      <c r="T1336" t="s">
        <v>44451</v>
      </c>
      <c r="U1336" t="s">
        <v>45794</v>
      </c>
      <c r="W1336" t="s">
        <v>39185</v>
      </c>
      <c r="X1336" t="s">
        <v>42674</v>
      </c>
    </row>
    <row r="1337" spans="1:24">
      <c r="A1337">
        <f>HYPERLINK("https://www.philgeps.gov.ph/GEPSNONPILOT/Tender/SplashBidNoticeAbstractUI.aspx?menuIndex=3&amp;refID=7193515&amp;Result=3","7193515")</f>
        <v>0</v>
      </c>
      <c r="B1337" t="s">
        <v>492</v>
      </c>
      <c r="C1337" t="s">
        <v>4803</v>
      </c>
      <c r="D1337" t="s">
        <v>17188</v>
      </c>
      <c r="E1337" t="s">
        <v>18446</v>
      </c>
      <c r="F1337" t="s">
        <v>29372</v>
      </c>
      <c r="G1337" t="s">
        <v>29380</v>
      </c>
      <c r="H1337" t="s">
        <v>29389</v>
      </c>
      <c r="I1337" t="s">
        <v>10408</v>
      </c>
      <c r="J1337" t="s">
        <v>30513</v>
      </c>
      <c r="K1337" t="s">
        <v>38496</v>
      </c>
      <c r="M1337" t="s">
        <v>39257</v>
      </c>
      <c r="N1337" t="s">
        <v>42669</v>
      </c>
      <c r="O1337" t="s">
        <v>42670</v>
      </c>
      <c r="P1337">
        <v>0</v>
      </c>
      <c r="Q1337">
        <v>0</v>
      </c>
      <c r="R1337" t="s">
        <v>42673</v>
      </c>
      <c r="S1337" t="s">
        <v>42784</v>
      </c>
      <c r="T1337" t="s">
        <v>44409</v>
      </c>
      <c r="U1337" t="s">
        <v>45944</v>
      </c>
      <c r="W1337" t="s">
        <v>39257</v>
      </c>
      <c r="X1337" t="s">
        <v>42674</v>
      </c>
    </row>
    <row r="1338" spans="1:24">
      <c r="A1338">
        <f>HYPERLINK("https://www.philgeps.gov.ph/GEPSNONPILOT/Tender/SplashBidNoticeAbstractUI.aspx?menuIndex=3&amp;refID=7193458&amp;Result=3","7193458")</f>
        <v>0</v>
      </c>
      <c r="B1338" t="s">
        <v>403</v>
      </c>
      <c r="C1338" t="s">
        <v>4804</v>
      </c>
      <c r="D1338" t="s">
        <v>17188</v>
      </c>
      <c r="E1338" t="s">
        <v>18447</v>
      </c>
      <c r="F1338" t="s">
        <v>29372</v>
      </c>
      <c r="G1338" t="s">
        <v>29379</v>
      </c>
      <c r="H1338" t="s">
        <v>11048</v>
      </c>
      <c r="I1338" t="s">
        <v>5383</v>
      </c>
      <c r="J1338" t="s">
        <v>30514</v>
      </c>
      <c r="K1338" t="s">
        <v>38491</v>
      </c>
      <c r="M1338" t="s">
        <v>39167</v>
      </c>
      <c r="N1338" t="s">
        <v>42669</v>
      </c>
      <c r="O1338" t="s">
        <v>42670</v>
      </c>
      <c r="P1338">
        <v>0</v>
      </c>
      <c r="Q1338">
        <v>4</v>
      </c>
      <c r="R1338" t="s">
        <v>42673</v>
      </c>
      <c r="S1338" t="s">
        <v>42784</v>
      </c>
      <c r="T1338" t="s">
        <v>44488</v>
      </c>
      <c r="U1338" t="s">
        <v>45754</v>
      </c>
      <c r="W1338" t="s">
        <v>39167</v>
      </c>
      <c r="X1338" t="s">
        <v>42674</v>
      </c>
    </row>
    <row r="1339" spans="1:24">
      <c r="A1339">
        <f>HYPERLINK("https://www.philgeps.gov.ph/GEPSNONPILOT/Tender/SplashBidNoticeAbstractUI.aspx?menuIndex=3&amp;refID=7193557&amp;Result=3","7193557")</f>
        <v>0</v>
      </c>
      <c r="B1339" t="s">
        <v>495</v>
      </c>
      <c r="C1339" t="s">
        <v>4805</v>
      </c>
      <c r="D1339" t="s">
        <v>17181</v>
      </c>
      <c r="E1339" t="s">
        <v>18448</v>
      </c>
      <c r="F1339" t="s">
        <v>29372</v>
      </c>
      <c r="G1339" t="s">
        <v>29379</v>
      </c>
      <c r="H1339" t="s">
        <v>11048</v>
      </c>
      <c r="I1339" t="s">
        <v>3629</v>
      </c>
      <c r="J1339" t="s">
        <v>30515</v>
      </c>
      <c r="K1339" t="s">
        <v>38488</v>
      </c>
      <c r="M1339" t="s">
        <v>39260</v>
      </c>
      <c r="N1339" t="s">
        <v>42669</v>
      </c>
      <c r="O1339" t="s">
        <v>42670</v>
      </c>
      <c r="P1339">
        <v>0</v>
      </c>
      <c r="Q1339">
        <v>0</v>
      </c>
      <c r="R1339" t="s">
        <v>42673</v>
      </c>
      <c r="S1339" t="s">
        <v>42784</v>
      </c>
      <c r="T1339" t="s">
        <v>44525</v>
      </c>
      <c r="U1339" t="s">
        <v>45945</v>
      </c>
      <c r="W1339" t="s">
        <v>39260</v>
      </c>
      <c r="X1339" t="s">
        <v>42674</v>
      </c>
    </row>
    <row r="1340" spans="1:24">
      <c r="A1340">
        <f>HYPERLINK("https://www.philgeps.gov.ph/GEPSNONPILOT/Tender/SplashBidNoticeAbstractUI.aspx?menuIndex=3&amp;refID=7193531&amp;Result=3","7193531")</f>
        <v>0</v>
      </c>
      <c r="B1340" t="s">
        <v>367</v>
      </c>
      <c r="C1340" t="s">
        <v>4806</v>
      </c>
      <c r="D1340" t="s">
        <v>17141</v>
      </c>
      <c r="E1340" t="s">
        <v>18449</v>
      </c>
      <c r="F1340" t="s">
        <v>29372</v>
      </c>
      <c r="G1340" t="s">
        <v>29379</v>
      </c>
      <c r="H1340" t="s">
        <v>29390</v>
      </c>
      <c r="I1340" t="s">
        <v>29433</v>
      </c>
      <c r="J1340" t="s">
        <v>30516</v>
      </c>
      <c r="K1340" t="s">
        <v>38488</v>
      </c>
      <c r="M1340" t="s">
        <v>39127</v>
      </c>
      <c r="N1340" t="s">
        <v>42669</v>
      </c>
      <c r="O1340" t="s">
        <v>42670</v>
      </c>
      <c r="P1340">
        <v>0</v>
      </c>
      <c r="Q1340">
        <v>2</v>
      </c>
      <c r="R1340" t="s">
        <v>42673</v>
      </c>
      <c r="S1340" t="s">
        <v>42784</v>
      </c>
      <c r="T1340" t="s">
        <v>44481</v>
      </c>
      <c r="U1340" t="s">
        <v>45946</v>
      </c>
      <c r="V1340" t="s">
        <v>56467</v>
      </c>
      <c r="W1340" t="s">
        <v>58014</v>
      </c>
      <c r="X1340" t="s">
        <v>42674</v>
      </c>
    </row>
    <row r="1341" spans="1:24">
      <c r="A1341">
        <f>HYPERLINK("https://www.philgeps.gov.ph/GEPSNONPILOT/Tender/SplashBidNoticeAbstractUI.aspx?menuIndex=3&amp;refID=7193513&amp;Result=3","7193513")</f>
        <v>0</v>
      </c>
      <c r="B1341" t="s">
        <v>255</v>
      </c>
      <c r="C1341" t="s">
        <v>4807</v>
      </c>
      <c r="E1341" t="s">
        <v>18450</v>
      </c>
      <c r="F1341" t="s">
        <v>29372</v>
      </c>
      <c r="G1341" t="s">
        <v>29379</v>
      </c>
      <c r="H1341" t="s">
        <v>11048</v>
      </c>
      <c r="I1341" t="s">
        <v>29433</v>
      </c>
      <c r="J1341" t="s">
        <v>30517</v>
      </c>
      <c r="K1341" t="s">
        <v>38490</v>
      </c>
      <c r="M1341" t="s">
        <v>39014</v>
      </c>
      <c r="N1341" t="s">
        <v>42669</v>
      </c>
      <c r="O1341" t="s">
        <v>42670</v>
      </c>
      <c r="P1341">
        <v>0</v>
      </c>
      <c r="Q1341">
        <v>2</v>
      </c>
      <c r="R1341" t="s">
        <v>42673</v>
      </c>
      <c r="S1341" t="s">
        <v>42784</v>
      </c>
      <c r="T1341" t="s">
        <v>44489</v>
      </c>
      <c r="U1341" t="s">
        <v>45771</v>
      </c>
      <c r="W1341" t="s">
        <v>39014</v>
      </c>
      <c r="X1341" t="s">
        <v>42674</v>
      </c>
    </row>
    <row r="1342" spans="1:24">
      <c r="A1342">
        <f>HYPERLINK("https://www.philgeps.gov.ph/GEPSNONPILOT/Tender/SplashBidNoticeAbstractUI.aspx?menuIndex=3&amp;refID=7193555&amp;Result=3","7193555")</f>
        <v>0</v>
      </c>
      <c r="B1342" t="s">
        <v>421</v>
      </c>
      <c r="C1342" t="s">
        <v>4808</v>
      </c>
      <c r="D1342" t="s">
        <v>17181</v>
      </c>
      <c r="E1342" t="s">
        <v>18451</v>
      </c>
      <c r="F1342" t="s">
        <v>29372</v>
      </c>
      <c r="G1342" t="s">
        <v>29379</v>
      </c>
      <c r="H1342" t="s">
        <v>11048</v>
      </c>
      <c r="I1342" t="s">
        <v>8208</v>
      </c>
      <c r="J1342" t="s">
        <v>30518</v>
      </c>
      <c r="K1342" t="s">
        <v>38488</v>
      </c>
      <c r="M1342" t="s">
        <v>39185</v>
      </c>
      <c r="N1342" t="s">
        <v>42669</v>
      </c>
      <c r="O1342" t="s">
        <v>42670</v>
      </c>
      <c r="P1342">
        <v>0</v>
      </c>
      <c r="Q1342">
        <v>0</v>
      </c>
      <c r="R1342" t="s">
        <v>42673</v>
      </c>
      <c r="S1342" t="s">
        <v>42784</v>
      </c>
      <c r="T1342" t="s">
        <v>44451</v>
      </c>
      <c r="U1342" t="s">
        <v>45794</v>
      </c>
      <c r="W1342" t="s">
        <v>39185</v>
      </c>
      <c r="X1342" t="s">
        <v>42674</v>
      </c>
    </row>
    <row r="1343" spans="1:24">
      <c r="A1343">
        <f>HYPERLINK("https://www.philgeps.gov.ph/GEPSNONPILOT/Tender/SplashBidNoticeAbstractUI.aspx?menuIndex=3&amp;refID=7193553&amp;Result=3","7193553")</f>
        <v>0</v>
      </c>
      <c r="B1343" t="s">
        <v>421</v>
      </c>
      <c r="C1343" t="s">
        <v>4809</v>
      </c>
      <c r="D1343" t="s">
        <v>17216</v>
      </c>
      <c r="E1343" t="s">
        <v>18452</v>
      </c>
      <c r="F1343" t="s">
        <v>29372</v>
      </c>
      <c r="G1343" t="s">
        <v>29379</v>
      </c>
      <c r="H1343" t="s">
        <v>11048</v>
      </c>
      <c r="I1343" t="s">
        <v>8208</v>
      </c>
      <c r="J1343" t="s">
        <v>30519</v>
      </c>
      <c r="K1343" t="s">
        <v>38488</v>
      </c>
      <c r="M1343" t="s">
        <v>39185</v>
      </c>
      <c r="N1343" t="s">
        <v>42669</v>
      </c>
      <c r="O1343" t="s">
        <v>42670</v>
      </c>
      <c r="P1343">
        <v>0</v>
      </c>
      <c r="Q1343">
        <v>0</v>
      </c>
      <c r="R1343" t="s">
        <v>42673</v>
      </c>
      <c r="S1343" t="s">
        <v>42784</v>
      </c>
      <c r="T1343" t="s">
        <v>44451</v>
      </c>
      <c r="U1343" t="s">
        <v>45794</v>
      </c>
      <c r="W1343" t="s">
        <v>39185</v>
      </c>
      <c r="X1343" t="s">
        <v>42674</v>
      </c>
    </row>
    <row r="1344" spans="1:24">
      <c r="A1344">
        <f>HYPERLINK("https://www.philgeps.gov.ph/GEPSNONPILOT/Tender/SplashBidNoticeAbstractUI.aspx?menuIndex=3&amp;refID=7193542&amp;Result=3","7193542")</f>
        <v>0</v>
      </c>
      <c r="B1344" t="s">
        <v>421</v>
      </c>
      <c r="C1344" t="s">
        <v>4810</v>
      </c>
      <c r="D1344" t="s">
        <v>17216</v>
      </c>
      <c r="E1344" t="s">
        <v>18453</v>
      </c>
      <c r="F1344" t="s">
        <v>29372</v>
      </c>
      <c r="G1344" t="s">
        <v>29379</v>
      </c>
      <c r="H1344" t="s">
        <v>11048</v>
      </c>
      <c r="I1344" t="s">
        <v>8208</v>
      </c>
      <c r="J1344" t="s">
        <v>30520</v>
      </c>
      <c r="K1344" t="s">
        <v>38488</v>
      </c>
      <c r="M1344" t="s">
        <v>39185</v>
      </c>
      <c r="N1344" t="s">
        <v>42669</v>
      </c>
      <c r="O1344" t="s">
        <v>42670</v>
      </c>
      <c r="P1344">
        <v>0</v>
      </c>
      <c r="Q1344">
        <v>1</v>
      </c>
      <c r="R1344" t="s">
        <v>42673</v>
      </c>
      <c r="S1344" t="s">
        <v>42784</v>
      </c>
      <c r="T1344" t="s">
        <v>44451</v>
      </c>
      <c r="U1344" t="s">
        <v>45794</v>
      </c>
      <c r="W1344" t="s">
        <v>39185</v>
      </c>
      <c r="X1344" t="s">
        <v>42674</v>
      </c>
    </row>
    <row r="1345" spans="1:24">
      <c r="A1345">
        <f>HYPERLINK("https://www.philgeps.gov.ph/GEPSNONPILOT/Tender/SplashBidNoticeAbstractUI.aspx?menuIndex=3&amp;refID=7193550&amp;Result=3","7193550")</f>
        <v>0</v>
      </c>
      <c r="B1345" t="s">
        <v>421</v>
      </c>
      <c r="C1345" t="s">
        <v>4811</v>
      </c>
      <c r="D1345" t="s">
        <v>17216</v>
      </c>
      <c r="E1345" t="s">
        <v>18454</v>
      </c>
      <c r="F1345" t="s">
        <v>29372</v>
      </c>
      <c r="G1345" t="s">
        <v>29379</v>
      </c>
      <c r="H1345" t="s">
        <v>11048</v>
      </c>
      <c r="I1345" t="s">
        <v>8208</v>
      </c>
      <c r="J1345" t="s">
        <v>30365</v>
      </c>
      <c r="K1345" t="s">
        <v>38488</v>
      </c>
      <c r="M1345" t="s">
        <v>39185</v>
      </c>
      <c r="N1345" t="s">
        <v>42669</v>
      </c>
      <c r="O1345" t="s">
        <v>42670</v>
      </c>
      <c r="P1345">
        <v>0</v>
      </c>
      <c r="Q1345">
        <v>0</v>
      </c>
      <c r="R1345" t="s">
        <v>42673</v>
      </c>
      <c r="S1345" t="s">
        <v>42784</v>
      </c>
      <c r="T1345" t="s">
        <v>44451</v>
      </c>
      <c r="U1345" t="s">
        <v>45794</v>
      </c>
      <c r="W1345" t="s">
        <v>39185</v>
      </c>
      <c r="X1345" t="s">
        <v>42674</v>
      </c>
    </row>
    <row r="1346" spans="1:24">
      <c r="A1346">
        <f>HYPERLINK("https://www.philgeps.gov.ph/GEPSNONPILOT/Tender/SplashBidNoticeAbstractUI.aspx?menuIndex=3&amp;refID=7193514&amp;Result=3","7193514")</f>
        <v>0</v>
      </c>
      <c r="B1346" t="s">
        <v>216</v>
      </c>
      <c r="C1346" t="s">
        <v>4812</v>
      </c>
      <c r="D1346" t="s">
        <v>17183</v>
      </c>
      <c r="E1346" t="s">
        <v>18455</v>
      </c>
      <c r="F1346" t="s">
        <v>29372</v>
      </c>
      <c r="G1346" t="s">
        <v>29380</v>
      </c>
      <c r="H1346" t="s">
        <v>11048</v>
      </c>
      <c r="I1346" t="s">
        <v>8614</v>
      </c>
      <c r="J1346" t="s">
        <v>30521</v>
      </c>
      <c r="K1346" t="s">
        <v>38485</v>
      </c>
      <c r="M1346" t="s">
        <v>38974</v>
      </c>
      <c r="N1346" t="s">
        <v>42669</v>
      </c>
      <c r="O1346" t="s">
        <v>42670</v>
      </c>
      <c r="P1346">
        <v>0</v>
      </c>
      <c r="Q1346">
        <v>3</v>
      </c>
      <c r="R1346" t="s">
        <v>42673</v>
      </c>
      <c r="S1346" t="s">
        <v>42784</v>
      </c>
      <c r="T1346" t="s">
        <v>44374</v>
      </c>
      <c r="U1346" t="s">
        <v>45947</v>
      </c>
      <c r="W1346" t="s">
        <v>38974</v>
      </c>
      <c r="X1346" t="s">
        <v>42674</v>
      </c>
    </row>
    <row r="1347" spans="1:24">
      <c r="A1347">
        <f>HYPERLINK("https://www.philgeps.gov.ph/GEPSNONPILOT/Tender/SplashBidNoticeAbstractUI.aspx?menuIndex=3&amp;refID=7193547&amp;Result=3","7193547")</f>
        <v>0</v>
      </c>
      <c r="B1347" t="s">
        <v>367</v>
      </c>
      <c r="C1347" t="s">
        <v>4813</v>
      </c>
      <c r="D1347" t="s">
        <v>17141</v>
      </c>
      <c r="E1347" t="s">
        <v>18456</v>
      </c>
      <c r="F1347" t="s">
        <v>29372</v>
      </c>
      <c r="G1347" t="s">
        <v>29383</v>
      </c>
      <c r="H1347" t="s">
        <v>11048</v>
      </c>
      <c r="I1347" t="s">
        <v>29433</v>
      </c>
      <c r="J1347" t="s">
        <v>29694</v>
      </c>
      <c r="K1347" t="s">
        <v>38488</v>
      </c>
      <c r="M1347" t="s">
        <v>39127</v>
      </c>
      <c r="N1347" t="s">
        <v>42669</v>
      </c>
      <c r="O1347" t="s">
        <v>42670</v>
      </c>
      <c r="P1347">
        <v>0</v>
      </c>
      <c r="Q1347">
        <v>3</v>
      </c>
      <c r="R1347" t="s">
        <v>42673</v>
      </c>
      <c r="S1347" t="s">
        <v>42784</v>
      </c>
      <c r="T1347" t="s">
        <v>44481</v>
      </c>
      <c r="U1347" t="s">
        <v>45948</v>
      </c>
      <c r="V1347" t="s">
        <v>56467</v>
      </c>
      <c r="W1347" t="s">
        <v>58014</v>
      </c>
      <c r="X1347" t="s">
        <v>42674</v>
      </c>
    </row>
    <row r="1348" spans="1:24">
      <c r="A1348">
        <f>HYPERLINK("https://www.philgeps.gov.ph/GEPSNONPILOT/Tender/SplashBidNoticeAbstractUI.aspx?menuIndex=3&amp;refID=7193539&amp;Result=3","7193539")</f>
        <v>0</v>
      </c>
      <c r="B1348" t="s">
        <v>421</v>
      </c>
      <c r="C1348" t="s">
        <v>4720</v>
      </c>
      <c r="D1348" t="s">
        <v>17213</v>
      </c>
      <c r="E1348" t="s">
        <v>18457</v>
      </c>
      <c r="F1348" t="s">
        <v>29372</v>
      </c>
      <c r="G1348" t="s">
        <v>29379</v>
      </c>
      <c r="H1348" t="s">
        <v>11048</v>
      </c>
      <c r="I1348" t="s">
        <v>8208</v>
      </c>
      <c r="J1348" t="s">
        <v>30522</v>
      </c>
      <c r="K1348" t="s">
        <v>38488</v>
      </c>
      <c r="M1348" t="s">
        <v>39185</v>
      </c>
      <c r="N1348" t="s">
        <v>42669</v>
      </c>
      <c r="O1348" t="s">
        <v>42670</v>
      </c>
      <c r="P1348">
        <v>0</v>
      </c>
      <c r="Q1348">
        <v>0</v>
      </c>
      <c r="R1348" t="s">
        <v>42673</v>
      </c>
      <c r="S1348" t="s">
        <v>42784</v>
      </c>
      <c r="T1348" t="s">
        <v>44451</v>
      </c>
      <c r="U1348" t="s">
        <v>45794</v>
      </c>
      <c r="W1348" t="s">
        <v>39185</v>
      </c>
      <c r="X1348" t="s">
        <v>42674</v>
      </c>
    </row>
    <row r="1349" spans="1:24">
      <c r="A1349">
        <f>HYPERLINK("https://www.philgeps.gov.ph/GEPSNONPILOT/Tender/SplashBidNoticeAbstractUI.aspx?menuIndex=3&amp;refID=7193552&amp;Result=3","7193552")</f>
        <v>0</v>
      </c>
      <c r="B1349" t="s">
        <v>255</v>
      </c>
      <c r="C1349" t="s">
        <v>4814</v>
      </c>
      <c r="E1349" t="s">
        <v>18458</v>
      </c>
      <c r="F1349" t="s">
        <v>29372</v>
      </c>
      <c r="G1349" t="s">
        <v>29379</v>
      </c>
      <c r="H1349" t="s">
        <v>11048</v>
      </c>
      <c r="I1349" t="s">
        <v>29433</v>
      </c>
      <c r="J1349" t="s">
        <v>30523</v>
      </c>
      <c r="K1349" t="s">
        <v>38490</v>
      </c>
      <c r="M1349" t="s">
        <v>39014</v>
      </c>
      <c r="N1349" t="s">
        <v>42669</v>
      </c>
      <c r="O1349" t="s">
        <v>42670</v>
      </c>
      <c r="P1349">
        <v>0</v>
      </c>
      <c r="Q1349">
        <v>1</v>
      </c>
      <c r="R1349" t="s">
        <v>42673</v>
      </c>
      <c r="S1349" t="s">
        <v>42784</v>
      </c>
      <c r="T1349" t="s">
        <v>44489</v>
      </c>
      <c r="U1349" t="s">
        <v>45771</v>
      </c>
      <c r="W1349" t="s">
        <v>39014</v>
      </c>
      <c r="X1349" t="s">
        <v>42674</v>
      </c>
    </row>
    <row r="1350" spans="1:24">
      <c r="A1350">
        <f>HYPERLINK("https://www.philgeps.gov.ph/GEPSNONPILOT/Tender/SplashBidNoticeAbstractUI.aspx?menuIndex=3&amp;refID=7193560&amp;Result=3","7193560")</f>
        <v>0</v>
      </c>
      <c r="B1350" t="s">
        <v>255</v>
      </c>
      <c r="C1350" t="s">
        <v>4815</v>
      </c>
      <c r="E1350" t="s">
        <v>18459</v>
      </c>
      <c r="F1350" t="s">
        <v>29372</v>
      </c>
      <c r="G1350" t="s">
        <v>29382</v>
      </c>
      <c r="H1350" t="s">
        <v>11048</v>
      </c>
      <c r="I1350" t="s">
        <v>5383</v>
      </c>
      <c r="J1350" t="s">
        <v>30524</v>
      </c>
      <c r="K1350" t="s">
        <v>38490</v>
      </c>
      <c r="M1350" t="s">
        <v>39014</v>
      </c>
      <c r="N1350" t="s">
        <v>42669</v>
      </c>
      <c r="O1350" t="s">
        <v>42670</v>
      </c>
      <c r="P1350">
        <v>0</v>
      </c>
      <c r="Q1350">
        <v>4</v>
      </c>
      <c r="R1350" t="s">
        <v>42673</v>
      </c>
      <c r="S1350" t="s">
        <v>42784</v>
      </c>
      <c r="T1350" t="s">
        <v>44489</v>
      </c>
      <c r="U1350" t="s">
        <v>45771</v>
      </c>
      <c r="W1350" t="s">
        <v>39014</v>
      </c>
      <c r="X1350" t="s">
        <v>42674</v>
      </c>
    </row>
    <row r="1351" spans="1:24">
      <c r="A1351">
        <f>HYPERLINK("https://www.philgeps.gov.ph/GEPSNONPILOT/Tender/SplashBidNoticeAbstractUI.aspx?menuIndex=3&amp;refID=7193558&amp;Result=3","7193558")</f>
        <v>0</v>
      </c>
      <c r="B1351" t="s">
        <v>496</v>
      </c>
      <c r="C1351" t="s">
        <v>4816</v>
      </c>
      <c r="D1351" t="s">
        <v>17188</v>
      </c>
      <c r="E1351" t="s">
        <v>18460</v>
      </c>
      <c r="F1351" t="s">
        <v>29372</v>
      </c>
      <c r="G1351" t="s">
        <v>29380</v>
      </c>
      <c r="H1351" t="s">
        <v>29389</v>
      </c>
      <c r="I1351" t="s">
        <v>10408</v>
      </c>
      <c r="J1351" t="s">
        <v>29708</v>
      </c>
      <c r="K1351" t="s">
        <v>38485</v>
      </c>
      <c r="M1351" t="s">
        <v>39261</v>
      </c>
      <c r="N1351" t="s">
        <v>42669</v>
      </c>
      <c r="O1351" t="s">
        <v>42670</v>
      </c>
      <c r="P1351">
        <v>0</v>
      </c>
      <c r="Q1351">
        <v>1</v>
      </c>
      <c r="R1351" t="s">
        <v>42673</v>
      </c>
      <c r="S1351" t="s">
        <v>42784</v>
      </c>
      <c r="T1351" t="s">
        <v>44409</v>
      </c>
      <c r="U1351" t="s">
        <v>45949</v>
      </c>
      <c r="W1351" t="s">
        <v>39261</v>
      </c>
      <c r="X1351" t="s">
        <v>42674</v>
      </c>
    </row>
    <row r="1352" spans="1:24">
      <c r="A1352">
        <f>HYPERLINK("https://www.philgeps.gov.ph/GEPSNONPILOT/Tender/SplashBidNoticeAbstractUI.aspx?menuIndex=3&amp;refID=7193554&amp;Result=3","7193554")</f>
        <v>0</v>
      </c>
      <c r="B1352" t="s">
        <v>367</v>
      </c>
      <c r="C1352" t="s">
        <v>4813</v>
      </c>
      <c r="D1352" t="s">
        <v>17141</v>
      </c>
      <c r="E1352" t="s">
        <v>18461</v>
      </c>
      <c r="F1352" t="s">
        <v>29372</v>
      </c>
      <c r="G1352" t="s">
        <v>29383</v>
      </c>
      <c r="H1352" t="s">
        <v>11048</v>
      </c>
      <c r="I1352" t="s">
        <v>29433</v>
      </c>
      <c r="J1352" t="s">
        <v>30525</v>
      </c>
      <c r="K1352" t="s">
        <v>38488</v>
      </c>
      <c r="M1352" t="s">
        <v>39127</v>
      </c>
      <c r="N1352" t="s">
        <v>42669</v>
      </c>
      <c r="O1352" t="s">
        <v>42670</v>
      </c>
      <c r="P1352">
        <v>0</v>
      </c>
      <c r="Q1352">
        <v>2</v>
      </c>
      <c r="R1352" t="s">
        <v>42673</v>
      </c>
      <c r="S1352" t="s">
        <v>42784</v>
      </c>
      <c r="T1352" t="s">
        <v>44481</v>
      </c>
      <c r="U1352" t="s">
        <v>45950</v>
      </c>
      <c r="V1352" t="s">
        <v>56467</v>
      </c>
      <c r="W1352" t="s">
        <v>58014</v>
      </c>
      <c r="X1352" t="s">
        <v>42674</v>
      </c>
    </row>
    <row r="1353" spans="1:24">
      <c r="A1353">
        <f>HYPERLINK("https://www.philgeps.gov.ph/GEPSNONPILOT/Tender/SplashBidNoticeAbstractUI.aspx?menuIndex=3&amp;refID=7193541&amp;Result=3","7193541")</f>
        <v>0</v>
      </c>
      <c r="B1353" t="s">
        <v>497</v>
      </c>
      <c r="C1353" t="s">
        <v>4817</v>
      </c>
      <c r="D1353" t="s">
        <v>17142</v>
      </c>
      <c r="E1353" t="s">
        <v>18462</v>
      </c>
      <c r="F1353" t="s">
        <v>29372</v>
      </c>
      <c r="G1353" t="s">
        <v>29379</v>
      </c>
      <c r="H1353" t="s">
        <v>11048</v>
      </c>
      <c r="I1353" t="s">
        <v>3860</v>
      </c>
      <c r="J1353" t="s">
        <v>30526</v>
      </c>
      <c r="K1353" t="s">
        <v>38510</v>
      </c>
      <c r="M1353" t="s">
        <v>39262</v>
      </c>
      <c r="N1353" t="s">
        <v>42669</v>
      </c>
      <c r="O1353" t="s">
        <v>42670</v>
      </c>
      <c r="P1353">
        <v>0</v>
      </c>
      <c r="Q1353">
        <v>2</v>
      </c>
      <c r="R1353" t="s">
        <v>42673</v>
      </c>
      <c r="S1353" t="s">
        <v>42784</v>
      </c>
      <c r="T1353" t="s">
        <v>44493</v>
      </c>
      <c r="U1353" t="s">
        <v>45951</v>
      </c>
      <c r="V1353" t="s">
        <v>56474</v>
      </c>
      <c r="W1353" t="s">
        <v>39262</v>
      </c>
      <c r="X1353" t="s">
        <v>42674</v>
      </c>
    </row>
    <row r="1354" spans="1:24">
      <c r="A1354">
        <f>HYPERLINK("https://www.philgeps.gov.ph/GEPSNONPILOT/Tender/SplashBidNoticeAbstractUI.aspx?menuIndex=3&amp;refID=7193544&amp;Result=3","7193544")</f>
        <v>0</v>
      </c>
      <c r="B1354" t="s">
        <v>498</v>
      </c>
      <c r="C1354" t="s">
        <v>4818</v>
      </c>
      <c r="D1354" t="s">
        <v>17141</v>
      </c>
      <c r="E1354" t="s">
        <v>18463</v>
      </c>
      <c r="F1354" t="s">
        <v>29372</v>
      </c>
      <c r="G1354" t="s">
        <v>29379</v>
      </c>
      <c r="H1354" t="s">
        <v>11048</v>
      </c>
      <c r="I1354" t="s">
        <v>4709</v>
      </c>
      <c r="J1354" t="s">
        <v>29708</v>
      </c>
      <c r="K1354" t="s">
        <v>38489</v>
      </c>
      <c r="M1354" t="s">
        <v>39263</v>
      </c>
      <c r="N1354" t="s">
        <v>42669</v>
      </c>
      <c r="O1354" t="s">
        <v>42670</v>
      </c>
      <c r="P1354">
        <v>0</v>
      </c>
      <c r="Q1354">
        <v>2</v>
      </c>
      <c r="R1354" t="s">
        <v>42673</v>
      </c>
      <c r="S1354" t="s">
        <v>42784</v>
      </c>
      <c r="T1354" t="s">
        <v>44432</v>
      </c>
      <c r="U1354" t="s">
        <v>45952</v>
      </c>
      <c r="W1354" t="s">
        <v>39263</v>
      </c>
      <c r="X1354" t="s">
        <v>42674</v>
      </c>
    </row>
    <row r="1355" spans="1:24">
      <c r="A1355">
        <f>HYPERLINK("https://www.philgeps.gov.ph/GEPSNONPILOT/Tender/SplashBidNoticeAbstractUI.aspx?menuIndex=3&amp;refID=7193551&amp;Result=3","7193551")</f>
        <v>0</v>
      </c>
      <c r="B1355" t="s">
        <v>495</v>
      </c>
      <c r="C1355" t="s">
        <v>4819</v>
      </c>
      <c r="D1355" t="s">
        <v>17181</v>
      </c>
      <c r="E1355" t="s">
        <v>18464</v>
      </c>
      <c r="F1355" t="s">
        <v>29372</v>
      </c>
      <c r="G1355" t="s">
        <v>29379</v>
      </c>
      <c r="H1355" t="s">
        <v>11048</v>
      </c>
      <c r="I1355" t="s">
        <v>8208</v>
      </c>
      <c r="J1355" t="s">
        <v>30408</v>
      </c>
      <c r="K1355" t="s">
        <v>38513</v>
      </c>
      <c r="M1355" t="s">
        <v>39260</v>
      </c>
      <c r="N1355" t="s">
        <v>42669</v>
      </c>
      <c r="O1355" t="s">
        <v>42670</v>
      </c>
      <c r="Q1355">
        <v>0</v>
      </c>
      <c r="R1355" t="s">
        <v>42673</v>
      </c>
      <c r="S1355" t="s">
        <v>42786</v>
      </c>
      <c r="T1355" t="s">
        <v>44525</v>
      </c>
      <c r="U1355" t="s">
        <v>45953</v>
      </c>
      <c r="W1355" t="s">
        <v>39260</v>
      </c>
      <c r="X1355" t="s">
        <v>42674</v>
      </c>
    </row>
    <row r="1356" spans="1:24">
      <c r="A1356">
        <f>HYPERLINK("https://www.philgeps.gov.ph/GEPSNONPILOT/Tender/SplashBidNoticeAbstractUI.aspx?menuIndex=3&amp;refID=7193565&amp;Result=3","7193565")</f>
        <v>0</v>
      </c>
      <c r="B1356" t="s">
        <v>367</v>
      </c>
      <c r="C1356" t="s">
        <v>4820</v>
      </c>
      <c r="D1356" t="s">
        <v>17141</v>
      </c>
      <c r="E1356" t="s">
        <v>18465</v>
      </c>
      <c r="F1356" t="s">
        <v>29372</v>
      </c>
      <c r="G1356" t="s">
        <v>29383</v>
      </c>
      <c r="H1356" t="s">
        <v>11048</v>
      </c>
      <c r="I1356" t="s">
        <v>29433</v>
      </c>
      <c r="J1356" t="s">
        <v>30297</v>
      </c>
      <c r="K1356" t="s">
        <v>38488</v>
      </c>
      <c r="M1356" t="s">
        <v>39127</v>
      </c>
      <c r="N1356" t="s">
        <v>42669</v>
      </c>
      <c r="O1356" t="s">
        <v>42670</v>
      </c>
      <c r="P1356">
        <v>0</v>
      </c>
      <c r="Q1356">
        <v>5</v>
      </c>
      <c r="R1356" t="s">
        <v>42673</v>
      </c>
      <c r="S1356" t="s">
        <v>42784</v>
      </c>
      <c r="T1356" t="s">
        <v>44481</v>
      </c>
      <c r="U1356" t="s">
        <v>45954</v>
      </c>
      <c r="V1356" t="s">
        <v>56467</v>
      </c>
      <c r="W1356" t="s">
        <v>58014</v>
      </c>
      <c r="X1356" t="s">
        <v>42674</v>
      </c>
    </row>
    <row r="1357" spans="1:24">
      <c r="A1357">
        <f>HYPERLINK("https://www.philgeps.gov.ph/GEPSNONPILOT/Tender/SplashBidNoticeAbstractUI.aspx?menuIndex=3&amp;refID=7193559&amp;Result=3","7193559")</f>
        <v>0</v>
      </c>
      <c r="B1357" t="s">
        <v>367</v>
      </c>
      <c r="C1357" t="s">
        <v>4821</v>
      </c>
      <c r="D1357" t="s">
        <v>17141</v>
      </c>
      <c r="E1357" t="s">
        <v>18466</v>
      </c>
      <c r="F1357" t="s">
        <v>29372</v>
      </c>
      <c r="G1357" t="s">
        <v>29383</v>
      </c>
      <c r="H1357" t="s">
        <v>11048</v>
      </c>
      <c r="I1357" t="s">
        <v>29409</v>
      </c>
      <c r="J1357" t="s">
        <v>29526</v>
      </c>
      <c r="K1357" t="s">
        <v>38488</v>
      </c>
      <c r="M1357" t="s">
        <v>39127</v>
      </c>
      <c r="N1357" t="s">
        <v>42669</v>
      </c>
      <c r="O1357" t="s">
        <v>42670</v>
      </c>
      <c r="P1357">
        <v>0</v>
      </c>
      <c r="Q1357">
        <v>21</v>
      </c>
      <c r="R1357" t="s">
        <v>42673</v>
      </c>
      <c r="S1357" t="s">
        <v>42784</v>
      </c>
      <c r="T1357" t="s">
        <v>44491</v>
      </c>
      <c r="U1357" t="s">
        <v>45955</v>
      </c>
      <c r="W1357" t="s">
        <v>39127</v>
      </c>
      <c r="X1357" t="s">
        <v>42674</v>
      </c>
    </row>
    <row r="1358" spans="1:24">
      <c r="A1358">
        <f>HYPERLINK("https://www.philgeps.gov.ph/GEPSNONPILOT/Tender/SplashBidNoticeAbstractUI.aspx?menuIndex=3&amp;refID=7193546&amp;Result=3","7193546")</f>
        <v>0</v>
      </c>
      <c r="B1358" t="s">
        <v>421</v>
      </c>
      <c r="C1358" t="s">
        <v>4822</v>
      </c>
      <c r="D1358" t="s">
        <v>17165</v>
      </c>
      <c r="E1358" t="s">
        <v>18467</v>
      </c>
      <c r="F1358" t="s">
        <v>29372</v>
      </c>
      <c r="G1358" t="s">
        <v>29379</v>
      </c>
      <c r="H1358" t="s">
        <v>11048</v>
      </c>
      <c r="I1358" t="s">
        <v>8208</v>
      </c>
      <c r="J1358" t="s">
        <v>30382</v>
      </c>
      <c r="K1358" t="s">
        <v>38488</v>
      </c>
      <c r="M1358" t="s">
        <v>39185</v>
      </c>
      <c r="N1358" t="s">
        <v>42669</v>
      </c>
      <c r="O1358" t="s">
        <v>42670</v>
      </c>
      <c r="P1358">
        <v>0</v>
      </c>
      <c r="Q1358">
        <v>0</v>
      </c>
      <c r="R1358" t="s">
        <v>42673</v>
      </c>
      <c r="S1358" t="s">
        <v>42784</v>
      </c>
      <c r="T1358" t="s">
        <v>44451</v>
      </c>
      <c r="U1358" t="s">
        <v>45794</v>
      </c>
      <c r="W1358" t="s">
        <v>39185</v>
      </c>
      <c r="X1358" t="s">
        <v>42674</v>
      </c>
    </row>
    <row r="1359" spans="1:24">
      <c r="A1359">
        <f>HYPERLINK("https://www.philgeps.gov.ph/GEPSNONPILOT/Tender/SplashBidNoticeAbstractUI.aspx?menuIndex=3&amp;refID=7193562&amp;Result=3","7193562")</f>
        <v>0</v>
      </c>
      <c r="B1359" t="s">
        <v>499</v>
      </c>
      <c r="C1359" t="s">
        <v>4823</v>
      </c>
      <c r="E1359" t="s">
        <v>18468</v>
      </c>
      <c r="F1359" t="s">
        <v>29372</v>
      </c>
      <c r="G1359" t="s">
        <v>29380</v>
      </c>
      <c r="H1359" t="s">
        <v>11048</v>
      </c>
      <c r="I1359" t="s">
        <v>29407</v>
      </c>
      <c r="J1359" t="s">
        <v>30527</v>
      </c>
      <c r="K1359" t="s">
        <v>38490</v>
      </c>
      <c r="M1359" t="s">
        <v>39264</v>
      </c>
      <c r="N1359" t="s">
        <v>42669</v>
      </c>
      <c r="O1359" t="s">
        <v>42670</v>
      </c>
      <c r="P1359">
        <v>0</v>
      </c>
      <c r="Q1359">
        <v>16</v>
      </c>
      <c r="R1359" t="s">
        <v>42673</v>
      </c>
      <c r="S1359" t="s">
        <v>42784</v>
      </c>
      <c r="T1359" t="s">
        <v>44475</v>
      </c>
      <c r="U1359" t="s">
        <v>45956</v>
      </c>
      <c r="V1359" t="s">
        <v>56475</v>
      </c>
      <c r="W1359" t="s">
        <v>39264</v>
      </c>
      <c r="X1359" t="s">
        <v>42674</v>
      </c>
    </row>
    <row r="1360" spans="1:24">
      <c r="A1360">
        <f>HYPERLINK("https://www.philgeps.gov.ph/GEPSNONPILOT/Tender/SplashBidNoticeAbstractUI.aspx?menuIndex=3&amp;refID=7193545&amp;Result=3","7193545")</f>
        <v>0</v>
      </c>
      <c r="B1360" t="s">
        <v>500</v>
      </c>
      <c r="C1360" t="s">
        <v>4824</v>
      </c>
      <c r="D1360" t="s">
        <v>17174</v>
      </c>
      <c r="E1360" t="s">
        <v>18469</v>
      </c>
      <c r="F1360" t="s">
        <v>29372</v>
      </c>
      <c r="G1360" t="s">
        <v>29380</v>
      </c>
      <c r="H1360" t="s">
        <v>11048</v>
      </c>
      <c r="I1360" t="s">
        <v>4709</v>
      </c>
      <c r="J1360" t="s">
        <v>30440</v>
      </c>
      <c r="K1360" t="s">
        <v>38491</v>
      </c>
      <c r="M1360" t="s">
        <v>39265</v>
      </c>
      <c r="N1360" t="s">
        <v>42669</v>
      </c>
      <c r="O1360" t="s">
        <v>42670</v>
      </c>
      <c r="P1360">
        <v>0</v>
      </c>
      <c r="Q1360">
        <v>0</v>
      </c>
      <c r="R1360" t="s">
        <v>42673</v>
      </c>
      <c r="S1360" t="s">
        <v>42784</v>
      </c>
      <c r="T1360" t="s">
        <v>44398</v>
      </c>
      <c r="U1360" t="s">
        <v>45957</v>
      </c>
      <c r="W1360" t="s">
        <v>39265</v>
      </c>
      <c r="X1360" t="s">
        <v>42674</v>
      </c>
    </row>
    <row r="1361" spans="1:24">
      <c r="A1361">
        <f>HYPERLINK("https://www.philgeps.gov.ph/GEPSNONPILOT/Tender/SplashBidNoticeAbstractUI.aspx?menuIndex=3&amp;refID=7193561&amp;Result=3","7193561")</f>
        <v>0</v>
      </c>
      <c r="B1361" t="s">
        <v>499</v>
      </c>
      <c r="C1361" t="s">
        <v>4825</v>
      </c>
      <c r="E1361" t="s">
        <v>18470</v>
      </c>
      <c r="F1361" t="s">
        <v>29372</v>
      </c>
      <c r="G1361" t="s">
        <v>29380</v>
      </c>
      <c r="H1361" t="s">
        <v>11048</v>
      </c>
      <c r="I1361" t="s">
        <v>3695</v>
      </c>
      <c r="J1361" t="s">
        <v>30528</v>
      </c>
      <c r="K1361" t="s">
        <v>38490</v>
      </c>
      <c r="M1361" t="s">
        <v>39264</v>
      </c>
      <c r="N1361" t="s">
        <v>42669</v>
      </c>
      <c r="O1361" t="s">
        <v>42670</v>
      </c>
      <c r="P1361">
        <v>0</v>
      </c>
      <c r="Q1361">
        <v>5</v>
      </c>
      <c r="R1361" t="s">
        <v>42673</v>
      </c>
      <c r="S1361" t="s">
        <v>42784</v>
      </c>
      <c r="T1361" t="s">
        <v>44475</v>
      </c>
      <c r="U1361" t="s">
        <v>45956</v>
      </c>
      <c r="V1361" t="s">
        <v>56476</v>
      </c>
      <c r="W1361" t="s">
        <v>39264</v>
      </c>
      <c r="X1361" t="s">
        <v>42674</v>
      </c>
    </row>
    <row r="1362" spans="1:24">
      <c r="A1362">
        <f>HYPERLINK("https://www.philgeps.gov.ph/GEPSNONPILOT/Tender/SplashBidNoticeAbstractUI.aspx?menuIndex=3&amp;refID=7193576&amp;Result=3","7193576")</f>
        <v>0</v>
      </c>
      <c r="B1362" t="s">
        <v>501</v>
      </c>
      <c r="C1362" t="s">
        <v>4826</v>
      </c>
      <c r="D1362" t="s">
        <v>17206</v>
      </c>
      <c r="E1362" t="s">
        <v>18471</v>
      </c>
      <c r="F1362" t="s">
        <v>29372</v>
      </c>
      <c r="G1362" t="s">
        <v>29379</v>
      </c>
      <c r="H1362" t="s">
        <v>11048</v>
      </c>
      <c r="I1362" t="s">
        <v>3952</v>
      </c>
      <c r="J1362" t="s">
        <v>30529</v>
      </c>
      <c r="K1362" t="s">
        <v>38528</v>
      </c>
      <c r="M1362" t="s">
        <v>39266</v>
      </c>
      <c r="N1362" t="s">
        <v>42669</v>
      </c>
      <c r="O1362" t="s">
        <v>42670</v>
      </c>
      <c r="P1362">
        <v>0</v>
      </c>
      <c r="Q1362">
        <v>0</v>
      </c>
      <c r="R1362" t="s">
        <v>42673</v>
      </c>
      <c r="S1362" t="s">
        <v>42784</v>
      </c>
      <c r="T1362" t="s">
        <v>44451</v>
      </c>
      <c r="U1362" t="s">
        <v>45958</v>
      </c>
      <c r="V1362" t="s">
        <v>45794</v>
      </c>
      <c r="W1362" t="s">
        <v>39266</v>
      </c>
      <c r="X1362" t="s">
        <v>42674</v>
      </c>
    </row>
    <row r="1363" spans="1:24">
      <c r="A1363">
        <f>HYPERLINK("https://www.philgeps.gov.ph/GEPSNONPILOT/Tender/SplashBidNoticeAbstractUI.aspx?menuIndex=3&amp;refID=7193601&amp;Result=3","7193601")</f>
        <v>0</v>
      </c>
      <c r="B1363" t="s">
        <v>502</v>
      </c>
      <c r="C1363" t="s">
        <v>4827</v>
      </c>
      <c r="D1363" t="s">
        <v>17141</v>
      </c>
      <c r="E1363" t="s">
        <v>18472</v>
      </c>
      <c r="F1363" t="s">
        <v>29372</v>
      </c>
      <c r="G1363" t="s">
        <v>29380</v>
      </c>
      <c r="H1363" t="s">
        <v>11048</v>
      </c>
      <c r="I1363" t="s">
        <v>3670</v>
      </c>
      <c r="J1363" t="s">
        <v>29526</v>
      </c>
      <c r="K1363" t="s">
        <v>38510</v>
      </c>
      <c r="M1363" t="s">
        <v>39267</v>
      </c>
      <c r="N1363" t="s">
        <v>42669</v>
      </c>
      <c r="O1363" t="s">
        <v>42670</v>
      </c>
      <c r="P1363">
        <v>0</v>
      </c>
      <c r="Q1363">
        <v>2</v>
      </c>
      <c r="R1363" t="s">
        <v>42673</v>
      </c>
      <c r="S1363" t="s">
        <v>42784</v>
      </c>
      <c r="T1363" t="s">
        <v>44409</v>
      </c>
      <c r="U1363" t="s">
        <v>45959</v>
      </c>
      <c r="W1363" t="s">
        <v>39267</v>
      </c>
      <c r="X1363" t="s">
        <v>42674</v>
      </c>
    </row>
    <row r="1364" spans="1:24">
      <c r="A1364">
        <f>HYPERLINK("https://www.philgeps.gov.ph/GEPSNONPILOT/Tender/SplashBidNoticeAbstractUI.aspx?menuIndex=3&amp;refID=7193593&amp;Result=3","7193593")</f>
        <v>0</v>
      </c>
      <c r="B1364" t="s">
        <v>503</v>
      </c>
      <c r="C1364" t="s">
        <v>4828</v>
      </c>
      <c r="D1364" t="s">
        <v>17156</v>
      </c>
      <c r="E1364" t="s">
        <v>18473</v>
      </c>
      <c r="F1364" t="s">
        <v>29372</v>
      </c>
      <c r="G1364" t="s">
        <v>29380</v>
      </c>
      <c r="H1364" t="s">
        <v>11048</v>
      </c>
      <c r="I1364" t="s">
        <v>29394</v>
      </c>
      <c r="J1364" t="s">
        <v>30530</v>
      </c>
      <c r="K1364" t="s">
        <v>38485</v>
      </c>
      <c r="M1364" t="s">
        <v>39268</v>
      </c>
      <c r="N1364" t="s">
        <v>42669</v>
      </c>
      <c r="O1364" t="s">
        <v>42670</v>
      </c>
      <c r="P1364">
        <v>0</v>
      </c>
      <c r="Q1364">
        <v>2</v>
      </c>
      <c r="R1364" t="s">
        <v>42673</v>
      </c>
      <c r="S1364" t="s">
        <v>42784</v>
      </c>
      <c r="T1364" t="s">
        <v>44415</v>
      </c>
      <c r="U1364" t="s">
        <v>45960</v>
      </c>
      <c r="W1364" t="s">
        <v>39268</v>
      </c>
      <c r="X1364" t="s">
        <v>42674</v>
      </c>
    </row>
    <row r="1365" spans="1:24">
      <c r="A1365">
        <f>HYPERLINK("https://www.philgeps.gov.ph/GEPSNONPILOT/Tender/SplashBidNoticeAbstractUI.aspx?menuIndex=3&amp;refID=7193564&amp;Result=3","7193564")</f>
        <v>0</v>
      </c>
      <c r="B1365" t="s">
        <v>504</v>
      </c>
      <c r="C1365" t="s">
        <v>4829</v>
      </c>
      <c r="D1365" t="s">
        <v>17205</v>
      </c>
      <c r="E1365" t="s">
        <v>18474</v>
      </c>
      <c r="F1365" t="s">
        <v>29372</v>
      </c>
      <c r="G1365" t="s">
        <v>29380</v>
      </c>
      <c r="H1365" t="s">
        <v>11048</v>
      </c>
      <c r="I1365" t="s">
        <v>3839</v>
      </c>
      <c r="J1365" t="s">
        <v>29604</v>
      </c>
      <c r="K1365" t="s">
        <v>38489</v>
      </c>
      <c r="M1365" t="s">
        <v>39269</v>
      </c>
      <c r="N1365" t="s">
        <v>42669</v>
      </c>
      <c r="O1365" t="s">
        <v>42670</v>
      </c>
      <c r="P1365">
        <v>0</v>
      </c>
      <c r="Q1365">
        <v>2</v>
      </c>
      <c r="R1365" t="s">
        <v>42673</v>
      </c>
      <c r="S1365" t="s">
        <v>42784</v>
      </c>
      <c r="T1365" t="s">
        <v>44466</v>
      </c>
      <c r="U1365" t="s">
        <v>45961</v>
      </c>
      <c r="V1365" t="s">
        <v>56460</v>
      </c>
      <c r="W1365" t="s">
        <v>39269</v>
      </c>
      <c r="X1365" t="s">
        <v>42674</v>
      </c>
    </row>
    <row r="1366" spans="1:24">
      <c r="A1366">
        <f>HYPERLINK("https://www.philgeps.gov.ph/GEPSNONPILOT/Tender/SplashBidNoticeAbstractUI.aspx?menuIndex=3&amp;refID=7193537&amp;Result=3","7193537")</f>
        <v>0</v>
      </c>
      <c r="B1366" t="s">
        <v>505</v>
      </c>
      <c r="C1366" t="s">
        <v>4771</v>
      </c>
      <c r="D1366" t="s">
        <v>17150</v>
      </c>
      <c r="E1366" t="s">
        <v>18475</v>
      </c>
      <c r="F1366" t="s">
        <v>29372</v>
      </c>
      <c r="G1366" t="s">
        <v>29380</v>
      </c>
      <c r="H1366" t="s">
        <v>11048</v>
      </c>
      <c r="I1366" t="s">
        <v>4709</v>
      </c>
      <c r="J1366" t="s">
        <v>30531</v>
      </c>
      <c r="K1366" t="s">
        <v>38485</v>
      </c>
      <c r="M1366" t="s">
        <v>39270</v>
      </c>
      <c r="N1366" t="s">
        <v>42669</v>
      </c>
      <c r="O1366" t="s">
        <v>42670</v>
      </c>
      <c r="P1366">
        <v>0</v>
      </c>
      <c r="Q1366">
        <v>0</v>
      </c>
      <c r="R1366" t="s">
        <v>42673</v>
      </c>
      <c r="S1366" t="s">
        <v>42784</v>
      </c>
      <c r="T1366" t="s">
        <v>44389</v>
      </c>
      <c r="U1366" t="s">
        <v>45962</v>
      </c>
      <c r="W1366" t="s">
        <v>39270</v>
      </c>
      <c r="X1366" t="s">
        <v>42674</v>
      </c>
    </row>
    <row r="1367" spans="1:24">
      <c r="A1367">
        <f>HYPERLINK("https://www.philgeps.gov.ph/GEPSNONPILOT/Tender/SplashBidNoticeAbstractUI.aspx?menuIndex=3&amp;refID=7193586&amp;Result=3","7193586")</f>
        <v>0</v>
      </c>
      <c r="B1367" t="s">
        <v>255</v>
      </c>
      <c r="C1367" t="s">
        <v>4830</v>
      </c>
      <c r="E1367" t="s">
        <v>18476</v>
      </c>
      <c r="F1367" t="s">
        <v>29372</v>
      </c>
      <c r="G1367" t="s">
        <v>29379</v>
      </c>
      <c r="H1367" t="s">
        <v>11048</v>
      </c>
      <c r="I1367" t="s">
        <v>29426</v>
      </c>
      <c r="J1367" t="s">
        <v>29549</v>
      </c>
      <c r="K1367" t="s">
        <v>38490</v>
      </c>
      <c r="M1367" t="s">
        <v>39014</v>
      </c>
      <c r="N1367" t="s">
        <v>42669</v>
      </c>
      <c r="O1367" t="s">
        <v>42670</v>
      </c>
      <c r="P1367">
        <v>0</v>
      </c>
      <c r="Q1367">
        <v>7</v>
      </c>
      <c r="R1367" t="s">
        <v>42673</v>
      </c>
      <c r="S1367" t="s">
        <v>42784</v>
      </c>
      <c r="T1367" t="s">
        <v>44489</v>
      </c>
      <c r="U1367" t="s">
        <v>45771</v>
      </c>
      <c r="W1367" t="s">
        <v>39014</v>
      </c>
      <c r="X1367" t="s">
        <v>42674</v>
      </c>
    </row>
    <row r="1368" spans="1:24">
      <c r="A1368">
        <f>HYPERLINK("https://www.philgeps.gov.ph/GEPSNONPILOT/Tender/SplashBidNoticeAbstractUI.aspx?menuIndex=3&amp;refID=7193575&amp;Result=3","7193575")</f>
        <v>0</v>
      </c>
      <c r="B1368" t="s">
        <v>506</v>
      </c>
      <c r="C1368" t="s">
        <v>4831</v>
      </c>
      <c r="D1368" t="s">
        <v>17169</v>
      </c>
      <c r="E1368" t="s">
        <v>18477</v>
      </c>
      <c r="F1368" t="s">
        <v>29372</v>
      </c>
      <c r="G1368" t="s">
        <v>29383</v>
      </c>
      <c r="H1368" t="s">
        <v>11048</v>
      </c>
      <c r="I1368" t="s">
        <v>3839</v>
      </c>
      <c r="J1368" t="s">
        <v>30532</v>
      </c>
      <c r="K1368" t="s">
        <v>38491</v>
      </c>
      <c r="M1368" t="s">
        <v>39271</v>
      </c>
      <c r="N1368" t="s">
        <v>42669</v>
      </c>
      <c r="O1368" t="s">
        <v>42670</v>
      </c>
      <c r="P1368">
        <v>0</v>
      </c>
      <c r="Q1368">
        <v>0</v>
      </c>
      <c r="R1368" t="s">
        <v>42673</v>
      </c>
      <c r="S1368" t="s">
        <v>42784</v>
      </c>
      <c r="T1368" t="s">
        <v>44430</v>
      </c>
      <c r="U1368" t="s">
        <v>45963</v>
      </c>
      <c r="W1368" t="s">
        <v>39271</v>
      </c>
      <c r="X1368" t="s">
        <v>42674</v>
      </c>
    </row>
    <row r="1369" spans="1:24">
      <c r="A1369">
        <f>HYPERLINK("https://www.philgeps.gov.ph/GEPSNONPILOT/Tender/SplashBidNoticeAbstractUI.aspx?menuIndex=3&amp;refID=7193580&amp;Result=3","7193580")</f>
        <v>0</v>
      </c>
      <c r="B1369" t="s">
        <v>255</v>
      </c>
      <c r="C1369" t="s">
        <v>4832</v>
      </c>
      <c r="E1369" t="s">
        <v>18478</v>
      </c>
      <c r="F1369" t="s">
        <v>29372</v>
      </c>
      <c r="G1369" t="s">
        <v>29379</v>
      </c>
      <c r="H1369" t="s">
        <v>11048</v>
      </c>
      <c r="I1369" t="s">
        <v>29431</v>
      </c>
      <c r="J1369" t="s">
        <v>29685</v>
      </c>
      <c r="K1369" t="s">
        <v>38490</v>
      </c>
      <c r="M1369" t="s">
        <v>39014</v>
      </c>
      <c r="N1369" t="s">
        <v>42669</v>
      </c>
      <c r="O1369" t="s">
        <v>42670</v>
      </c>
      <c r="P1369">
        <v>0</v>
      </c>
      <c r="Q1369">
        <v>0</v>
      </c>
      <c r="R1369" t="s">
        <v>42673</v>
      </c>
      <c r="S1369" t="s">
        <v>42784</v>
      </c>
      <c r="T1369" t="s">
        <v>44489</v>
      </c>
      <c r="U1369" t="s">
        <v>45771</v>
      </c>
      <c r="W1369" t="s">
        <v>39014</v>
      </c>
      <c r="X1369" t="s">
        <v>42674</v>
      </c>
    </row>
    <row r="1370" spans="1:24">
      <c r="A1370">
        <f>HYPERLINK("https://www.philgeps.gov.ph/GEPSNONPILOT/Tender/SplashBidNoticeAbstractUI.aspx?menuIndex=3&amp;refID=7193573&amp;Result=3","7193573")</f>
        <v>0</v>
      </c>
      <c r="B1370" t="s">
        <v>507</v>
      </c>
      <c r="C1370" t="s">
        <v>4833</v>
      </c>
      <c r="D1370" t="s">
        <v>17182</v>
      </c>
      <c r="E1370" t="s">
        <v>18479</v>
      </c>
      <c r="F1370" t="s">
        <v>29372</v>
      </c>
      <c r="G1370" t="s">
        <v>29379</v>
      </c>
      <c r="H1370" t="s">
        <v>11048</v>
      </c>
      <c r="I1370" t="s">
        <v>3952</v>
      </c>
      <c r="J1370" t="s">
        <v>30533</v>
      </c>
      <c r="K1370" t="s">
        <v>38528</v>
      </c>
      <c r="M1370" t="s">
        <v>39272</v>
      </c>
      <c r="N1370" t="s">
        <v>42669</v>
      </c>
      <c r="O1370" t="s">
        <v>42670</v>
      </c>
      <c r="P1370">
        <v>0</v>
      </c>
      <c r="Q1370">
        <v>2</v>
      </c>
      <c r="R1370" t="s">
        <v>42673</v>
      </c>
      <c r="S1370" t="s">
        <v>42784</v>
      </c>
      <c r="T1370" t="s">
        <v>44432</v>
      </c>
      <c r="U1370" t="s">
        <v>45964</v>
      </c>
      <c r="V1370" t="s">
        <v>56477</v>
      </c>
      <c r="W1370" t="s">
        <v>39272</v>
      </c>
      <c r="X1370" t="s">
        <v>42674</v>
      </c>
    </row>
    <row r="1371" spans="1:24">
      <c r="A1371">
        <f>HYPERLINK("https://www.philgeps.gov.ph/GEPSNONPILOT/Tender/SplashBidNoticeAbstractUI.aspx?menuIndex=3&amp;refID=7193595&amp;Result=3","7193595")</f>
        <v>0</v>
      </c>
      <c r="B1371" t="s">
        <v>508</v>
      </c>
      <c r="C1371" t="s">
        <v>4834</v>
      </c>
      <c r="E1371" t="s">
        <v>18480</v>
      </c>
      <c r="F1371" t="s">
        <v>29372</v>
      </c>
      <c r="G1371" t="s">
        <v>29379</v>
      </c>
      <c r="H1371" t="s">
        <v>11048</v>
      </c>
      <c r="I1371" t="s">
        <v>29409</v>
      </c>
      <c r="J1371" t="s">
        <v>29746</v>
      </c>
      <c r="K1371" t="s">
        <v>38490</v>
      </c>
      <c r="M1371" t="s">
        <v>39273</v>
      </c>
      <c r="N1371" t="s">
        <v>42669</v>
      </c>
      <c r="O1371" t="s">
        <v>42670</v>
      </c>
      <c r="P1371">
        <v>0</v>
      </c>
      <c r="Q1371">
        <v>4</v>
      </c>
      <c r="R1371" t="s">
        <v>42673</v>
      </c>
      <c r="S1371" t="s">
        <v>42784</v>
      </c>
      <c r="T1371" t="s">
        <v>44488</v>
      </c>
      <c r="U1371" t="s">
        <v>45965</v>
      </c>
      <c r="V1371" t="s">
        <v>56478</v>
      </c>
      <c r="W1371" t="s">
        <v>39273</v>
      </c>
      <c r="X1371" t="s">
        <v>42674</v>
      </c>
    </row>
    <row r="1372" spans="1:24">
      <c r="A1372">
        <f>HYPERLINK("https://www.philgeps.gov.ph/GEPSNONPILOT/Tender/SplashBidNoticeAbstractUI.aspx?menuIndex=3&amp;refID=7193591&amp;Result=3","7193591")</f>
        <v>0</v>
      </c>
      <c r="B1372" t="s">
        <v>503</v>
      </c>
      <c r="C1372" t="s">
        <v>4835</v>
      </c>
      <c r="D1372" t="s">
        <v>17156</v>
      </c>
      <c r="E1372" t="s">
        <v>18481</v>
      </c>
      <c r="F1372" t="s">
        <v>29372</v>
      </c>
      <c r="G1372" t="s">
        <v>29380</v>
      </c>
      <c r="H1372" t="s">
        <v>11048</v>
      </c>
      <c r="I1372" t="s">
        <v>29428</v>
      </c>
      <c r="J1372" t="s">
        <v>30534</v>
      </c>
      <c r="K1372" t="s">
        <v>38487</v>
      </c>
      <c r="M1372" t="s">
        <v>39268</v>
      </c>
      <c r="N1372" t="s">
        <v>42669</v>
      </c>
      <c r="O1372" t="s">
        <v>42670</v>
      </c>
      <c r="P1372">
        <v>0</v>
      </c>
      <c r="Q1372">
        <v>0</v>
      </c>
      <c r="R1372" t="s">
        <v>42673</v>
      </c>
      <c r="S1372" t="s">
        <v>42784</v>
      </c>
      <c r="T1372" t="s">
        <v>44415</v>
      </c>
      <c r="U1372" t="s">
        <v>45966</v>
      </c>
      <c r="W1372" t="s">
        <v>39268</v>
      </c>
      <c r="X1372" t="s">
        <v>42674</v>
      </c>
    </row>
    <row r="1373" spans="1:24">
      <c r="A1373">
        <f>HYPERLINK("https://www.philgeps.gov.ph/GEPSNONPILOT/Tender/SplashBidNoticeAbstractUI.aspx?menuIndex=3&amp;refID=7193571&amp;Result=3","7193571")</f>
        <v>0</v>
      </c>
      <c r="B1373" t="s">
        <v>499</v>
      </c>
      <c r="C1373" t="s">
        <v>4836</v>
      </c>
      <c r="E1373" t="s">
        <v>18482</v>
      </c>
      <c r="F1373" t="s">
        <v>29372</v>
      </c>
      <c r="G1373" t="s">
        <v>29380</v>
      </c>
      <c r="H1373" t="s">
        <v>11048</v>
      </c>
      <c r="I1373" t="s">
        <v>5383</v>
      </c>
      <c r="J1373" t="s">
        <v>30535</v>
      </c>
      <c r="K1373" t="s">
        <v>38490</v>
      </c>
      <c r="M1373" t="s">
        <v>39264</v>
      </c>
      <c r="N1373" t="s">
        <v>42669</v>
      </c>
      <c r="O1373" t="s">
        <v>42670</v>
      </c>
      <c r="P1373">
        <v>0</v>
      </c>
      <c r="Q1373">
        <v>3</v>
      </c>
      <c r="R1373" t="s">
        <v>42673</v>
      </c>
      <c r="S1373" t="s">
        <v>42784</v>
      </c>
      <c r="T1373" t="s">
        <v>44475</v>
      </c>
      <c r="U1373" t="s">
        <v>45956</v>
      </c>
      <c r="V1373" t="s">
        <v>56479</v>
      </c>
      <c r="W1373" t="s">
        <v>39264</v>
      </c>
      <c r="X1373" t="s">
        <v>42674</v>
      </c>
    </row>
    <row r="1374" spans="1:24">
      <c r="A1374">
        <f>HYPERLINK("https://www.philgeps.gov.ph/GEPSNONPILOT/Tender/SplashBidNoticeAbstractUI.aspx?menuIndex=3&amp;refID=7193568&amp;Result=3","7193568")</f>
        <v>0</v>
      </c>
      <c r="B1374" t="s">
        <v>499</v>
      </c>
      <c r="C1374" t="s">
        <v>4837</v>
      </c>
      <c r="E1374" t="s">
        <v>18483</v>
      </c>
      <c r="F1374" t="s">
        <v>29372</v>
      </c>
      <c r="G1374" t="s">
        <v>29380</v>
      </c>
      <c r="H1374" t="s">
        <v>11048</v>
      </c>
      <c r="I1374" t="s">
        <v>5383</v>
      </c>
      <c r="J1374" t="s">
        <v>30536</v>
      </c>
      <c r="K1374" t="s">
        <v>38490</v>
      </c>
      <c r="M1374" t="s">
        <v>39264</v>
      </c>
      <c r="N1374" t="s">
        <v>42669</v>
      </c>
      <c r="O1374" t="s">
        <v>42670</v>
      </c>
      <c r="P1374">
        <v>0</v>
      </c>
      <c r="Q1374">
        <v>1</v>
      </c>
      <c r="R1374" t="s">
        <v>42673</v>
      </c>
      <c r="S1374" t="s">
        <v>42784</v>
      </c>
      <c r="T1374" t="s">
        <v>44475</v>
      </c>
      <c r="U1374" t="s">
        <v>45956</v>
      </c>
      <c r="V1374" t="s">
        <v>56480</v>
      </c>
      <c r="W1374" t="s">
        <v>39264</v>
      </c>
      <c r="X1374" t="s">
        <v>42674</v>
      </c>
    </row>
    <row r="1375" spans="1:24">
      <c r="A1375">
        <f>HYPERLINK("https://www.philgeps.gov.ph/GEPSNONPILOT/Tender/SplashBidNoticeAbstractUI.aspx?menuIndex=3&amp;refID=7193567&amp;Result=3","7193567")</f>
        <v>0</v>
      </c>
      <c r="B1375" t="s">
        <v>509</v>
      </c>
      <c r="C1375" t="s">
        <v>4838</v>
      </c>
      <c r="D1375" t="s">
        <v>17150</v>
      </c>
      <c r="E1375" t="s">
        <v>18383</v>
      </c>
      <c r="F1375" t="s">
        <v>29372</v>
      </c>
      <c r="G1375" t="s">
        <v>29380</v>
      </c>
      <c r="H1375" t="s">
        <v>11048</v>
      </c>
      <c r="I1375" t="s">
        <v>4709</v>
      </c>
      <c r="J1375" t="s">
        <v>30537</v>
      </c>
      <c r="K1375" t="s">
        <v>38485</v>
      </c>
      <c r="M1375" t="s">
        <v>39274</v>
      </c>
      <c r="N1375" t="s">
        <v>42669</v>
      </c>
      <c r="O1375" t="s">
        <v>42670</v>
      </c>
      <c r="P1375">
        <v>0</v>
      </c>
      <c r="Q1375">
        <v>0</v>
      </c>
      <c r="R1375" t="s">
        <v>42673</v>
      </c>
      <c r="S1375" t="s">
        <v>42784</v>
      </c>
      <c r="T1375" t="s">
        <v>44467</v>
      </c>
      <c r="U1375" t="s">
        <v>45967</v>
      </c>
      <c r="W1375" t="s">
        <v>39274</v>
      </c>
      <c r="X1375" t="s">
        <v>42674</v>
      </c>
    </row>
    <row r="1376" spans="1:24">
      <c r="A1376">
        <f>HYPERLINK("https://www.philgeps.gov.ph/GEPSNONPILOT/Tender/SplashBidNoticeAbstractUI.aspx?menuIndex=3&amp;refID=7193574&amp;Result=3","7193574")</f>
        <v>0</v>
      </c>
      <c r="B1376" t="s">
        <v>510</v>
      </c>
      <c r="C1376" t="s">
        <v>4839</v>
      </c>
      <c r="D1376" t="s">
        <v>17175</v>
      </c>
      <c r="E1376" t="s">
        <v>7924</v>
      </c>
      <c r="F1376" t="s">
        <v>29372</v>
      </c>
      <c r="G1376" t="s">
        <v>29379</v>
      </c>
      <c r="H1376" t="s">
        <v>11048</v>
      </c>
      <c r="I1376" t="s">
        <v>29415</v>
      </c>
      <c r="J1376" t="s">
        <v>30538</v>
      </c>
      <c r="K1376" t="s">
        <v>38490</v>
      </c>
      <c r="M1376" t="s">
        <v>39275</v>
      </c>
      <c r="N1376" t="s">
        <v>42669</v>
      </c>
      <c r="O1376" t="s">
        <v>42670</v>
      </c>
      <c r="P1376">
        <v>0</v>
      </c>
      <c r="Q1376">
        <v>2</v>
      </c>
      <c r="R1376" t="s">
        <v>42673</v>
      </c>
      <c r="S1376" t="s">
        <v>42784</v>
      </c>
      <c r="T1376" t="s">
        <v>44386</v>
      </c>
      <c r="U1376" t="s">
        <v>45968</v>
      </c>
      <c r="W1376" t="s">
        <v>39275</v>
      </c>
      <c r="X1376" t="s">
        <v>42674</v>
      </c>
    </row>
    <row r="1377" spans="1:24">
      <c r="A1377">
        <f>HYPERLINK("https://www.philgeps.gov.ph/GEPSNONPILOT/Tender/SplashBidNoticeAbstractUI.aspx?menuIndex=3&amp;refID=7193569&amp;Result=3","7193569")</f>
        <v>0</v>
      </c>
      <c r="B1377" t="s">
        <v>507</v>
      </c>
      <c r="C1377" t="s">
        <v>4840</v>
      </c>
      <c r="D1377" t="s">
        <v>17182</v>
      </c>
      <c r="E1377" t="s">
        <v>18484</v>
      </c>
      <c r="F1377" t="s">
        <v>29372</v>
      </c>
      <c r="G1377" t="s">
        <v>29379</v>
      </c>
      <c r="H1377" t="s">
        <v>11048</v>
      </c>
      <c r="I1377" t="s">
        <v>3670</v>
      </c>
      <c r="J1377" t="s">
        <v>29922</v>
      </c>
      <c r="K1377" t="s">
        <v>38528</v>
      </c>
      <c r="M1377" t="s">
        <v>39272</v>
      </c>
      <c r="N1377" t="s">
        <v>42669</v>
      </c>
      <c r="O1377" t="s">
        <v>42670</v>
      </c>
      <c r="P1377">
        <v>0</v>
      </c>
      <c r="Q1377">
        <v>0</v>
      </c>
      <c r="R1377" t="s">
        <v>42673</v>
      </c>
      <c r="S1377" t="s">
        <v>42784</v>
      </c>
      <c r="T1377" t="s">
        <v>44432</v>
      </c>
      <c r="U1377" t="s">
        <v>45969</v>
      </c>
      <c r="V1377" t="s">
        <v>56481</v>
      </c>
      <c r="W1377" t="s">
        <v>39272</v>
      </c>
      <c r="X1377" t="s">
        <v>42674</v>
      </c>
    </row>
    <row r="1378" spans="1:24">
      <c r="A1378">
        <f>HYPERLINK("https://www.philgeps.gov.ph/GEPSNONPILOT/Tender/SplashBidNoticeAbstractUI.aspx?menuIndex=3&amp;refID=7193543&amp;Result=3","7193543")</f>
        <v>0</v>
      </c>
      <c r="B1378" t="s">
        <v>255</v>
      </c>
      <c r="C1378" t="s">
        <v>4841</v>
      </c>
      <c r="E1378" t="s">
        <v>18485</v>
      </c>
      <c r="F1378" t="s">
        <v>29372</v>
      </c>
      <c r="G1378" t="s">
        <v>29379</v>
      </c>
      <c r="H1378" t="s">
        <v>11048</v>
      </c>
      <c r="I1378" t="s">
        <v>29458</v>
      </c>
      <c r="J1378" t="s">
        <v>30539</v>
      </c>
      <c r="K1378" t="s">
        <v>38490</v>
      </c>
      <c r="M1378" t="s">
        <v>39014</v>
      </c>
      <c r="N1378" t="s">
        <v>42669</v>
      </c>
      <c r="O1378" t="s">
        <v>42670</v>
      </c>
      <c r="P1378">
        <v>0</v>
      </c>
      <c r="Q1378">
        <v>1</v>
      </c>
      <c r="R1378" t="s">
        <v>42673</v>
      </c>
      <c r="S1378" t="s">
        <v>42784</v>
      </c>
      <c r="T1378" t="s">
        <v>44489</v>
      </c>
      <c r="U1378" t="s">
        <v>45771</v>
      </c>
      <c r="W1378" t="s">
        <v>39014</v>
      </c>
      <c r="X1378" t="s">
        <v>42674</v>
      </c>
    </row>
    <row r="1379" spans="1:24">
      <c r="A1379">
        <f>HYPERLINK("https://www.philgeps.gov.ph/GEPSNONPILOT/Tender/SplashBidNoticeAbstractUI.aspx?menuIndex=3&amp;refID=7193605&amp;Result=3","7193605")</f>
        <v>0</v>
      </c>
      <c r="B1379" t="s">
        <v>508</v>
      </c>
      <c r="C1379" t="s">
        <v>4842</v>
      </c>
      <c r="E1379" t="s">
        <v>18486</v>
      </c>
      <c r="F1379" t="s">
        <v>29372</v>
      </c>
      <c r="G1379" t="s">
        <v>29379</v>
      </c>
      <c r="H1379" t="s">
        <v>11048</v>
      </c>
      <c r="I1379" t="s">
        <v>29437</v>
      </c>
      <c r="J1379" t="s">
        <v>30540</v>
      </c>
      <c r="K1379" t="s">
        <v>38490</v>
      </c>
      <c r="M1379" t="s">
        <v>39273</v>
      </c>
      <c r="N1379" t="s">
        <v>42669</v>
      </c>
      <c r="O1379" t="s">
        <v>42670</v>
      </c>
      <c r="P1379">
        <v>0</v>
      </c>
      <c r="Q1379">
        <v>1</v>
      </c>
      <c r="R1379" t="s">
        <v>42673</v>
      </c>
      <c r="S1379" t="s">
        <v>42784</v>
      </c>
      <c r="T1379" t="s">
        <v>44488</v>
      </c>
      <c r="U1379" t="s">
        <v>45965</v>
      </c>
      <c r="V1379" t="s">
        <v>56478</v>
      </c>
      <c r="W1379" t="s">
        <v>39273</v>
      </c>
      <c r="X1379" t="s">
        <v>42674</v>
      </c>
    </row>
    <row r="1380" spans="1:24">
      <c r="A1380">
        <f>HYPERLINK("https://www.philgeps.gov.ph/GEPSNONPILOT/Tender/SplashBidNoticeAbstractUI.aspx?menuIndex=3&amp;refID=7193604&amp;Result=3","7193604")</f>
        <v>0</v>
      </c>
      <c r="B1380" t="s">
        <v>487</v>
      </c>
      <c r="C1380" t="s">
        <v>4843</v>
      </c>
      <c r="D1380" t="s">
        <v>17214</v>
      </c>
      <c r="E1380" t="s">
        <v>18487</v>
      </c>
      <c r="F1380" t="s">
        <v>29372</v>
      </c>
      <c r="G1380" t="s">
        <v>29379</v>
      </c>
      <c r="H1380" t="s">
        <v>11048</v>
      </c>
      <c r="I1380" t="s">
        <v>29470</v>
      </c>
      <c r="J1380" t="s">
        <v>29555</v>
      </c>
      <c r="K1380" t="s">
        <v>38490</v>
      </c>
      <c r="M1380" t="s">
        <v>39276</v>
      </c>
      <c r="N1380" t="s">
        <v>42669</v>
      </c>
      <c r="O1380" t="s">
        <v>42670</v>
      </c>
      <c r="P1380">
        <v>0</v>
      </c>
      <c r="Q1380">
        <v>1</v>
      </c>
      <c r="R1380" t="s">
        <v>42673</v>
      </c>
      <c r="S1380" t="s">
        <v>42784</v>
      </c>
      <c r="T1380" t="s">
        <v>44526</v>
      </c>
      <c r="U1380" t="s">
        <v>45970</v>
      </c>
      <c r="V1380" t="s">
        <v>56482</v>
      </c>
      <c r="W1380" t="s">
        <v>39276</v>
      </c>
      <c r="X1380" t="s">
        <v>42674</v>
      </c>
    </row>
    <row r="1381" spans="1:24">
      <c r="A1381">
        <f>HYPERLINK("https://www.philgeps.gov.ph/GEPSNONPILOT/Tender/SplashBidNoticeAbstractUI.aspx?menuIndex=3&amp;refID=7193572&amp;Result=3","7193572")</f>
        <v>0</v>
      </c>
      <c r="B1381" t="s">
        <v>367</v>
      </c>
      <c r="C1381" t="s">
        <v>4844</v>
      </c>
      <c r="D1381" t="s">
        <v>17141</v>
      </c>
      <c r="E1381" t="s">
        <v>18488</v>
      </c>
      <c r="F1381" t="s">
        <v>29372</v>
      </c>
      <c r="G1381" t="s">
        <v>29383</v>
      </c>
      <c r="H1381" t="s">
        <v>11048</v>
      </c>
      <c r="I1381" t="s">
        <v>29433</v>
      </c>
      <c r="J1381" t="s">
        <v>29625</v>
      </c>
      <c r="K1381" t="s">
        <v>38488</v>
      </c>
      <c r="M1381" t="s">
        <v>39127</v>
      </c>
      <c r="N1381" t="s">
        <v>42669</v>
      </c>
      <c r="O1381" t="s">
        <v>42670</v>
      </c>
      <c r="P1381">
        <v>0</v>
      </c>
      <c r="Q1381">
        <v>2</v>
      </c>
      <c r="R1381" t="s">
        <v>42673</v>
      </c>
      <c r="S1381" t="s">
        <v>42784</v>
      </c>
      <c r="T1381" t="s">
        <v>44481</v>
      </c>
      <c r="U1381" t="s">
        <v>45971</v>
      </c>
      <c r="V1381" t="s">
        <v>56467</v>
      </c>
      <c r="W1381" t="s">
        <v>58014</v>
      </c>
      <c r="X1381" t="s">
        <v>42674</v>
      </c>
    </row>
    <row r="1382" spans="1:24">
      <c r="A1382">
        <f>HYPERLINK("https://www.philgeps.gov.ph/GEPSNONPILOT/Tender/SplashBidNoticeAbstractUI.aspx?menuIndex=3&amp;refID=7193584&amp;Result=3","7193584")</f>
        <v>0</v>
      </c>
      <c r="B1382" t="s">
        <v>119</v>
      </c>
      <c r="C1382" t="s">
        <v>4845</v>
      </c>
      <c r="D1382" t="s">
        <v>17141</v>
      </c>
      <c r="E1382" t="s">
        <v>18489</v>
      </c>
      <c r="F1382" t="s">
        <v>29372</v>
      </c>
      <c r="G1382" t="s">
        <v>29379</v>
      </c>
      <c r="H1382" t="s">
        <v>11048</v>
      </c>
      <c r="I1382" t="s">
        <v>29411</v>
      </c>
      <c r="J1382" t="s">
        <v>30541</v>
      </c>
      <c r="K1382" t="s">
        <v>38485</v>
      </c>
      <c r="M1382" t="s">
        <v>39277</v>
      </c>
      <c r="N1382" t="s">
        <v>42669</v>
      </c>
      <c r="O1382" t="s">
        <v>42670</v>
      </c>
      <c r="P1382">
        <v>0</v>
      </c>
      <c r="Q1382">
        <v>7</v>
      </c>
      <c r="R1382" t="s">
        <v>42673</v>
      </c>
      <c r="S1382" t="s">
        <v>42784</v>
      </c>
      <c r="T1382" t="s">
        <v>44414</v>
      </c>
      <c r="U1382" t="s">
        <v>45972</v>
      </c>
      <c r="W1382" t="s">
        <v>39277</v>
      </c>
      <c r="X1382" t="s">
        <v>42674</v>
      </c>
    </row>
    <row r="1383" spans="1:24">
      <c r="A1383">
        <f>HYPERLINK("https://www.philgeps.gov.ph/GEPSNONPILOT/Tender/SplashBidNoticeAbstractUI.aspx?menuIndex=3&amp;refID=7193649&amp;Result=3","7193649")</f>
        <v>0</v>
      </c>
      <c r="B1383" t="s">
        <v>511</v>
      </c>
      <c r="C1383" t="s">
        <v>4846</v>
      </c>
      <c r="D1383" t="s">
        <v>17163</v>
      </c>
      <c r="E1383" t="s">
        <v>18490</v>
      </c>
      <c r="F1383" t="s">
        <v>29372</v>
      </c>
      <c r="G1383" t="s">
        <v>29383</v>
      </c>
      <c r="H1383" t="s">
        <v>11048</v>
      </c>
      <c r="I1383" t="s">
        <v>3695</v>
      </c>
      <c r="J1383" t="s">
        <v>30542</v>
      </c>
      <c r="K1383" t="s">
        <v>38490</v>
      </c>
      <c r="M1383" t="s">
        <v>39278</v>
      </c>
      <c r="N1383" t="s">
        <v>42669</v>
      </c>
      <c r="O1383" t="s">
        <v>42670</v>
      </c>
      <c r="P1383">
        <v>0</v>
      </c>
      <c r="Q1383">
        <v>14</v>
      </c>
      <c r="R1383" t="s">
        <v>42673</v>
      </c>
      <c r="S1383" t="s">
        <v>42784</v>
      </c>
      <c r="T1383" t="s">
        <v>44356</v>
      </c>
      <c r="U1383" t="s">
        <v>45973</v>
      </c>
      <c r="V1383" t="s">
        <v>56483</v>
      </c>
      <c r="W1383" t="s">
        <v>39278</v>
      </c>
      <c r="X1383" t="s">
        <v>42674</v>
      </c>
    </row>
    <row r="1384" spans="1:24">
      <c r="A1384">
        <f>HYPERLINK("https://www.philgeps.gov.ph/GEPSNONPILOT/Tender/SplashBidNoticeAbstractUI.aspx?menuIndex=3&amp;refID=7193643&amp;Result=3","7193643")</f>
        <v>0</v>
      </c>
      <c r="B1384" t="s">
        <v>512</v>
      </c>
      <c r="C1384" t="s">
        <v>4847</v>
      </c>
      <c r="D1384" t="s">
        <v>17193</v>
      </c>
      <c r="E1384" t="s">
        <v>18491</v>
      </c>
      <c r="F1384" t="s">
        <v>29372</v>
      </c>
      <c r="G1384" t="s">
        <v>29379</v>
      </c>
      <c r="H1384" t="s">
        <v>11048</v>
      </c>
      <c r="I1384" t="s">
        <v>29434</v>
      </c>
      <c r="J1384" t="s">
        <v>30543</v>
      </c>
      <c r="K1384" t="s">
        <v>38488</v>
      </c>
      <c r="M1384" t="s">
        <v>39279</v>
      </c>
      <c r="N1384" t="s">
        <v>42669</v>
      </c>
      <c r="O1384" t="s">
        <v>42670</v>
      </c>
      <c r="P1384">
        <v>0</v>
      </c>
      <c r="Q1384">
        <v>0</v>
      </c>
      <c r="R1384" t="s">
        <v>42673</v>
      </c>
      <c r="S1384" t="s">
        <v>42784</v>
      </c>
      <c r="T1384" t="s">
        <v>44394</v>
      </c>
      <c r="U1384" t="s">
        <v>45974</v>
      </c>
      <c r="W1384" t="s">
        <v>39279</v>
      </c>
      <c r="X1384" t="s">
        <v>42674</v>
      </c>
    </row>
    <row r="1385" spans="1:24">
      <c r="A1385">
        <f>HYPERLINK("https://www.philgeps.gov.ph/GEPSNONPILOT/Tender/SplashBidNoticeAbstractUI.aspx?menuIndex=3&amp;refID=7193642&amp;Result=3","7193642")</f>
        <v>0</v>
      </c>
      <c r="B1385" t="s">
        <v>513</v>
      </c>
      <c r="C1385" t="s">
        <v>4848</v>
      </c>
      <c r="D1385" t="s">
        <v>17191</v>
      </c>
      <c r="E1385" t="s">
        <v>18492</v>
      </c>
      <c r="F1385" t="s">
        <v>29372</v>
      </c>
      <c r="G1385" t="s">
        <v>29383</v>
      </c>
      <c r="H1385" t="s">
        <v>11048</v>
      </c>
      <c r="I1385" t="s">
        <v>4709</v>
      </c>
      <c r="J1385" t="s">
        <v>30544</v>
      </c>
      <c r="K1385" t="s">
        <v>38518</v>
      </c>
      <c r="L1385" t="s">
        <v>513</v>
      </c>
      <c r="M1385" t="s">
        <v>39280</v>
      </c>
      <c r="N1385" t="s">
        <v>42669</v>
      </c>
      <c r="O1385" t="s">
        <v>42670</v>
      </c>
      <c r="P1385">
        <v>0</v>
      </c>
      <c r="Q1385">
        <v>0</v>
      </c>
      <c r="R1385" t="s">
        <v>42673</v>
      </c>
      <c r="S1385" t="s">
        <v>42784</v>
      </c>
      <c r="T1385" t="s">
        <v>44432</v>
      </c>
      <c r="U1385" t="s">
        <v>45975</v>
      </c>
      <c r="W1385" t="s">
        <v>39280</v>
      </c>
      <c r="X1385" t="s">
        <v>42674</v>
      </c>
    </row>
    <row r="1386" spans="1:24">
      <c r="A1386">
        <f>HYPERLINK("https://www.philgeps.gov.ph/GEPSNONPILOT/Tender/SplashBidNoticeAbstractUI.aspx?menuIndex=3&amp;refID=7193661&amp;Result=3","7193661")</f>
        <v>0</v>
      </c>
      <c r="B1386" t="s">
        <v>514</v>
      </c>
      <c r="C1386" t="s">
        <v>4849</v>
      </c>
      <c r="D1386" t="s">
        <v>17177</v>
      </c>
      <c r="E1386" t="s">
        <v>18493</v>
      </c>
      <c r="F1386" t="s">
        <v>29372</v>
      </c>
      <c r="G1386" t="s">
        <v>29385</v>
      </c>
      <c r="H1386" t="s">
        <v>29389</v>
      </c>
      <c r="I1386" t="s">
        <v>4709</v>
      </c>
      <c r="J1386" t="s">
        <v>29708</v>
      </c>
      <c r="K1386" t="s">
        <v>38485</v>
      </c>
      <c r="M1386" t="s">
        <v>39281</v>
      </c>
      <c r="N1386" t="s">
        <v>42669</v>
      </c>
      <c r="O1386" t="s">
        <v>42670</v>
      </c>
      <c r="P1386">
        <v>0</v>
      </c>
      <c r="Q1386">
        <v>0</v>
      </c>
      <c r="R1386" t="s">
        <v>42673</v>
      </c>
      <c r="S1386" t="s">
        <v>42784</v>
      </c>
      <c r="T1386" t="s">
        <v>44527</v>
      </c>
      <c r="U1386" t="s">
        <v>45976</v>
      </c>
      <c r="V1386" t="s">
        <v>56484</v>
      </c>
      <c r="W1386" t="s">
        <v>39281</v>
      </c>
      <c r="X1386" t="s">
        <v>42674</v>
      </c>
    </row>
    <row r="1387" spans="1:24">
      <c r="A1387">
        <f>HYPERLINK("https://www.philgeps.gov.ph/GEPSNONPILOT/Tender/SplashBidNoticeAbstractUI.aspx?menuIndex=3&amp;refID=7193611&amp;Result=3","7193611")</f>
        <v>0</v>
      </c>
      <c r="B1387" t="s">
        <v>487</v>
      </c>
      <c r="C1387" t="s">
        <v>4850</v>
      </c>
      <c r="D1387" t="s">
        <v>17141</v>
      </c>
      <c r="E1387" t="s">
        <v>18494</v>
      </c>
      <c r="F1387" t="s">
        <v>29372</v>
      </c>
      <c r="G1387" t="s">
        <v>29379</v>
      </c>
      <c r="H1387" t="s">
        <v>29391</v>
      </c>
      <c r="I1387" t="s">
        <v>29391</v>
      </c>
      <c r="J1387" t="s">
        <v>29708</v>
      </c>
      <c r="K1387" t="s">
        <v>38490</v>
      </c>
      <c r="M1387" t="s">
        <v>39276</v>
      </c>
      <c r="N1387" t="s">
        <v>42669</v>
      </c>
      <c r="O1387" t="s">
        <v>42670</v>
      </c>
      <c r="P1387">
        <v>0</v>
      </c>
      <c r="Q1387">
        <v>0</v>
      </c>
      <c r="R1387" t="s">
        <v>42673</v>
      </c>
      <c r="S1387" t="s">
        <v>42784</v>
      </c>
      <c r="T1387" t="s">
        <v>44526</v>
      </c>
      <c r="U1387" t="s">
        <v>45977</v>
      </c>
      <c r="V1387" t="s">
        <v>56485</v>
      </c>
      <c r="W1387" t="s">
        <v>39276</v>
      </c>
      <c r="X1387" t="s">
        <v>42674</v>
      </c>
    </row>
    <row r="1388" spans="1:24">
      <c r="A1388">
        <f>HYPERLINK("https://www.philgeps.gov.ph/GEPSNONPILOT/Tender/SplashBidNoticeAbstractUI.aspx?menuIndex=3&amp;refID=7193652&amp;Result=3","7193652")</f>
        <v>0</v>
      </c>
      <c r="B1388" t="s">
        <v>515</v>
      </c>
      <c r="C1388" t="s">
        <v>4851</v>
      </c>
      <c r="D1388" t="s">
        <v>17141</v>
      </c>
      <c r="E1388" t="s">
        <v>18495</v>
      </c>
      <c r="F1388" t="s">
        <v>29372</v>
      </c>
      <c r="G1388" t="s">
        <v>29380</v>
      </c>
      <c r="H1388" t="s">
        <v>11048</v>
      </c>
      <c r="I1388" t="s">
        <v>3860</v>
      </c>
      <c r="J1388" t="s">
        <v>30545</v>
      </c>
      <c r="K1388" t="s">
        <v>38510</v>
      </c>
      <c r="M1388" t="s">
        <v>39282</v>
      </c>
      <c r="N1388" t="s">
        <v>42669</v>
      </c>
      <c r="O1388" t="s">
        <v>42670</v>
      </c>
      <c r="P1388">
        <v>0</v>
      </c>
      <c r="Q1388">
        <v>1</v>
      </c>
      <c r="R1388" t="s">
        <v>42673</v>
      </c>
      <c r="S1388" t="s">
        <v>42784</v>
      </c>
      <c r="T1388" t="s">
        <v>44453</v>
      </c>
      <c r="U1388" t="s">
        <v>45978</v>
      </c>
      <c r="W1388" t="s">
        <v>39282</v>
      </c>
      <c r="X1388" t="s">
        <v>42674</v>
      </c>
    </row>
    <row r="1389" spans="1:24">
      <c r="A1389">
        <f>HYPERLINK("https://www.philgeps.gov.ph/GEPSNONPILOT/Tender/SplashBidNoticeAbstractUI.aspx?menuIndex=3&amp;refID=7193657&amp;Result=3","7193657")</f>
        <v>0</v>
      </c>
      <c r="B1389" t="s">
        <v>516</v>
      </c>
      <c r="C1389" t="s">
        <v>4852</v>
      </c>
      <c r="D1389" t="s">
        <v>17141</v>
      </c>
      <c r="E1389" t="s">
        <v>18496</v>
      </c>
      <c r="F1389" t="s">
        <v>29372</v>
      </c>
      <c r="G1389" t="s">
        <v>29379</v>
      </c>
      <c r="H1389" t="s">
        <v>11048</v>
      </c>
      <c r="I1389" t="s">
        <v>29409</v>
      </c>
      <c r="J1389" t="s">
        <v>30546</v>
      </c>
      <c r="K1389" t="s">
        <v>38538</v>
      </c>
      <c r="M1389" t="s">
        <v>39283</v>
      </c>
      <c r="N1389" t="s">
        <v>42669</v>
      </c>
      <c r="O1389" t="s">
        <v>42670</v>
      </c>
      <c r="P1389">
        <v>0</v>
      </c>
      <c r="Q1389">
        <v>6</v>
      </c>
      <c r="R1389" t="s">
        <v>42673</v>
      </c>
      <c r="S1389" t="s">
        <v>42784</v>
      </c>
      <c r="T1389" t="s">
        <v>44371</v>
      </c>
      <c r="U1389" t="s">
        <v>45979</v>
      </c>
      <c r="V1389" t="s">
        <v>56486</v>
      </c>
      <c r="W1389" t="s">
        <v>58016</v>
      </c>
      <c r="X1389" t="s">
        <v>42674</v>
      </c>
    </row>
    <row r="1390" spans="1:24">
      <c r="A1390">
        <f>HYPERLINK("https://www.philgeps.gov.ph/GEPSNONPILOT/Tender/SplashBidNoticeAbstractUI.aspx?menuIndex=3&amp;refID=7193637&amp;Result=3","7193637")</f>
        <v>0</v>
      </c>
      <c r="B1390" t="s">
        <v>513</v>
      </c>
      <c r="C1390" t="s">
        <v>4853</v>
      </c>
      <c r="D1390" t="s">
        <v>17191</v>
      </c>
      <c r="E1390" t="s">
        <v>18497</v>
      </c>
      <c r="F1390" t="s">
        <v>29372</v>
      </c>
      <c r="G1390" t="s">
        <v>29383</v>
      </c>
      <c r="H1390" t="s">
        <v>11048</v>
      </c>
      <c r="I1390" t="s">
        <v>4709</v>
      </c>
      <c r="J1390" t="s">
        <v>30547</v>
      </c>
      <c r="K1390" t="s">
        <v>38518</v>
      </c>
      <c r="L1390" t="s">
        <v>513</v>
      </c>
      <c r="M1390" t="s">
        <v>39280</v>
      </c>
      <c r="N1390" t="s">
        <v>42669</v>
      </c>
      <c r="O1390" t="s">
        <v>42670</v>
      </c>
      <c r="Q1390">
        <v>0</v>
      </c>
      <c r="R1390" t="s">
        <v>42673</v>
      </c>
      <c r="S1390" t="s">
        <v>42787</v>
      </c>
      <c r="T1390" t="s">
        <v>44432</v>
      </c>
      <c r="U1390" t="s">
        <v>45980</v>
      </c>
      <c r="W1390" t="s">
        <v>39280</v>
      </c>
      <c r="X1390" t="s">
        <v>42674</v>
      </c>
    </row>
    <row r="1391" spans="1:24">
      <c r="A1391">
        <f>HYPERLINK("https://www.philgeps.gov.ph/GEPSNONPILOT/Tender/SplashBidNoticeAbstractUI.aspx?menuIndex=3&amp;refID=7193645&amp;Result=3","7193645")</f>
        <v>0</v>
      </c>
      <c r="B1391" t="s">
        <v>517</v>
      </c>
      <c r="C1391" t="s">
        <v>4854</v>
      </c>
      <c r="E1391" t="s">
        <v>18498</v>
      </c>
      <c r="F1391" t="s">
        <v>29372</v>
      </c>
      <c r="G1391" t="s">
        <v>29380</v>
      </c>
      <c r="H1391" t="s">
        <v>29389</v>
      </c>
      <c r="I1391" t="s">
        <v>10408</v>
      </c>
      <c r="J1391" t="s">
        <v>29590</v>
      </c>
      <c r="K1391" t="s">
        <v>38574</v>
      </c>
      <c r="M1391" t="s">
        <v>39284</v>
      </c>
      <c r="N1391" t="s">
        <v>42669</v>
      </c>
      <c r="O1391" t="s">
        <v>42670</v>
      </c>
      <c r="P1391">
        <v>0</v>
      </c>
      <c r="Q1391">
        <v>1</v>
      </c>
      <c r="R1391" t="s">
        <v>42673</v>
      </c>
      <c r="S1391" t="s">
        <v>42784</v>
      </c>
      <c r="T1391" t="s">
        <v>44412</v>
      </c>
      <c r="U1391" t="s">
        <v>45981</v>
      </c>
      <c r="W1391" t="s">
        <v>39284</v>
      </c>
      <c r="X1391" t="s">
        <v>42674</v>
      </c>
    </row>
    <row r="1392" spans="1:24">
      <c r="A1392">
        <f>HYPERLINK("https://www.philgeps.gov.ph/GEPSNONPILOT/Tender/SplashBidNoticeAbstractUI.aspx?menuIndex=3&amp;refID=7193624&amp;Result=3","7193624")</f>
        <v>0</v>
      </c>
      <c r="B1392" t="s">
        <v>262</v>
      </c>
      <c r="C1392" t="s">
        <v>4855</v>
      </c>
      <c r="D1392" t="s">
        <v>17153</v>
      </c>
      <c r="E1392" t="s">
        <v>18499</v>
      </c>
      <c r="F1392" t="s">
        <v>29372</v>
      </c>
      <c r="G1392" t="s">
        <v>29380</v>
      </c>
      <c r="H1392" t="s">
        <v>11048</v>
      </c>
      <c r="I1392" t="s">
        <v>29461</v>
      </c>
      <c r="J1392" t="s">
        <v>30548</v>
      </c>
      <c r="K1392" t="s">
        <v>38485</v>
      </c>
      <c r="M1392" t="s">
        <v>39021</v>
      </c>
      <c r="N1392" t="s">
        <v>42669</v>
      </c>
      <c r="O1392" t="s">
        <v>42670</v>
      </c>
      <c r="P1392">
        <v>0</v>
      </c>
      <c r="Q1392">
        <v>0</v>
      </c>
      <c r="R1392" t="s">
        <v>42673</v>
      </c>
      <c r="S1392" t="s">
        <v>42784</v>
      </c>
      <c r="T1392" t="s">
        <v>44356</v>
      </c>
      <c r="U1392" t="s">
        <v>45982</v>
      </c>
      <c r="V1392" t="s">
        <v>56410</v>
      </c>
      <c r="W1392" t="s">
        <v>39021</v>
      </c>
      <c r="X1392" t="s">
        <v>42674</v>
      </c>
    </row>
    <row r="1393" spans="1:24">
      <c r="A1393">
        <f>HYPERLINK("https://www.philgeps.gov.ph/GEPSNONPILOT/Tender/SplashBidNoticeAbstractUI.aspx?menuIndex=3&amp;refID=7193619&amp;Result=3","7193619")</f>
        <v>0</v>
      </c>
      <c r="B1393" t="s">
        <v>367</v>
      </c>
      <c r="C1393" t="s">
        <v>4856</v>
      </c>
      <c r="D1393" t="s">
        <v>17141</v>
      </c>
      <c r="E1393" t="s">
        <v>18500</v>
      </c>
      <c r="F1393" t="s">
        <v>29372</v>
      </c>
      <c r="G1393" t="s">
        <v>29383</v>
      </c>
      <c r="H1393" t="s">
        <v>11048</v>
      </c>
      <c r="I1393" t="s">
        <v>29433</v>
      </c>
      <c r="J1393" t="s">
        <v>29555</v>
      </c>
      <c r="K1393" t="s">
        <v>38488</v>
      </c>
      <c r="M1393" t="s">
        <v>39127</v>
      </c>
      <c r="N1393" t="s">
        <v>42669</v>
      </c>
      <c r="O1393" t="s">
        <v>42670</v>
      </c>
      <c r="P1393">
        <v>0</v>
      </c>
      <c r="Q1393">
        <v>5</v>
      </c>
      <c r="R1393" t="s">
        <v>42673</v>
      </c>
      <c r="S1393" t="s">
        <v>42784</v>
      </c>
      <c r="T1393" t="s">
        <v>44481</v>
      </c>
      <c r="U1393" t="s">
        <v>45983</v>
      </c>
      <c r="V1393" t="s">
        <v>56467</v>
      </c>
      <c r="W1393" t="s">
        <v>58014</v>
      </c>
      <c r="X1393" t="s">
        <v>42674</v>
      </c>
    </row>
    <row r="1394" spans="1:24">
      <c r="A1394">
        <f>HYPERLINK("https://www.philgeps.gov.ph/GEPSNONPILOT/Tender/SplashBidNoticeAbstractUI.aspx?menuIndex=3&amp;refID=7193656&amp;Result=3","7193656")</f>
        <v>0</v>
      </c>
      <c r="B1394" t="s">
        <v>512</v>
      </c>
      <c r="C1394" t="s">
        <v>4857</v>
      </c>
      <c r="D1394" t="s">
        <v>17193</v>
      </c>
      <c r="E1394" t="s">
        <v>18501</v>
      </c>
      <c r="F1394" t="s">
        <v>29372</v>
      </c>
      <c r="G1394" t="s">
        <v>29379</v>
      </c>
      <c r="H1394" t="s">
        <v>11048</v>
      </c>
      <c r="I1394" t="s">
        <v>29434</v>
      </c>
      <c r="J1394" t="s">
        <v>30549</v>
      </c>
      <c r="K1394" t="s">
        <v>38488</v>
      </c>
      <c r="M1394" t="s">
        <v>39279</v>
      </c>
      <c r="N1394" t="s">
        <v>42669</v>
      </c>
      <c r="O1394" t="s">
        <v>42670</v>
      </c>
      <c r="P1394">
        <v>0</v>
      </c>
      <c r="Q1394">
        <v>0</v>
      </c>
      <c r="R1394" t="s">
        <v>42673</v>
      </c>
      <c r="S1394" t="s">
        <v>42784</v>
      </c>
      <c r="T1394" t="s">
        <v>44480</v>
      </c>
      <c r="U1394" t="s">
        <v>45984</v>
      </c>
      <c r="W1394" t="s">
        <v>39279</v>
      </c>
      <c r="X1394" t="s">
        <v>42674</v>
      </c>
    </row>
    <row r="1395" spans="1:24">
      <c r="A1395">
        <f>HYPERLINK("https://www.philgeps.gov.ph/GEPSNONPILOT/Tender/SplashBidNoticeAbstractUI.aspx?menuIndex=3&amp;refID=7193612&amp;Result=3","7193612")</f>
        <v>0</v>
      </c>
      <c r="B1395" t="s">
        <v>518</v>
      </c>
      <c r="C1395" t="s">
        <v>4013</v>
      </c>
      <c r="D1395" t="s">
        <v>17197</v>
      </c>
      <c r="E1395" t="s">
        <v>18502</v>
      </c>
      <c r="F1395" t="s">
        <v>29372</v>
      </c>
      <c r="G1395" t="s">
        <v>29383</v>
      </c>
      <c r="H1395" t="s">
        <v>11048</v>
      </c>
      <c r="I1395" t="s">
        <v>3670</v>
      </c>
      <c r="J1395" t="s">
        <v>30550</v>
      </c>
      <c r="K1395" t="s">
        <v>38534</v>
      </c>
      <c r="M1395" t="s">
        <v>39285</v>
      </c>
      <c r="N1395" t="s">
        <v>42669</v>
      </c>
      <c r="O1395" t="s">
        <v>42670</v>
      </c>
      <c r="P1395">
        <v>0</v>
      </c>
      <c r="Q1395">
        <v>1</v>
      </c>
      <c r="R1395" t="s">
        <v>42673</v>
      </c>
      <c r="S1395" t="s">
        <v>42784</v>
      </c>
      <c r="T1395" t="s">
        <v>44432</v>
      </c>
      <c r="U1395" t="s">
        <v>45985</v>
      </c>
      <c r="V1395" t="s">
        <v>56382</v>
      </c>
      <c r="W1395" t="s">
        <v>39285</v>
      </c>
      <c r="X1395" t="s">
        <v>42674</v>
      </c>
    </row>
    <row r="1396" spans="1:24">
      <c r="A1396">
        <f>HYPERLINK("https://www.philgeps.gov.ph/GEPSNONPILOT/Tender/SplashBidNoticeAbstractUI.aspx?menuIndex=3&amp;refID=7193662&amp;Result=3","7193662")</f>
        <v>0</v>
      </c>
      <c r="B1396" t="s">
        <v>513</v>
      </c>
      <c r="C1396" t="s">
        <v>4858</v>
      </c>
      <c r="D1396" t="s">
        <v>17191</v>
      </c>
      <c r="E1396" t="s">
        <v>18503</v>
      </c>
      <c r="F1396" t="s">
        <v>29372</v>
      </c>
      <c r="G1396" t="s">
        <v>29383</v>
      </c>
      <c r="H1396" t="s">
        <v>11048</v>
      </c>
      <c r="I1396" t="s">
        <v>29441</v>
      </c>
      <c r="J1396" t="s">
        <v>30551</v>
      </c>
      <c r="K1396" t="s">
        <v>38518</v>
      </c>
      <c r="L1396" t="s">
        <v>513</v>
      </c>
      <c r="M1396" t="s">
        <v>39280</v>
      </c>
      <c r="N1396" t="s">
        <v>42669</v>
      </c>
      <c r="O1396" t="s">
        <v>42670</v>
      </c>
      <c r="P1396">
        <v>0</v>
      </c>
      <c r="Q1396">
        <v>1</v>
      </c>
      <c r="R1396" t="s">
        <v>42673</v>
      </c>
      <c r="S1396" t="s">
        <v>42784</v>
      </c>
      <c r="T1396" t="s">
        <v>44432</v>
      </c>
      <c r="U1396" t="s">
        <v>45986</v>
      </c>
      <c r="W1396" t="s">
        <v>39280</v>
      </c>
      <c r="X1396" t="s">
        <v>42674</v>
      </c>
    </row>
    <row r="1397" spans="1:24">
      <c r="A1397">
        <f>HYPERLINK("https://www.philgeps.gov.ph/GEPSNONPILOT/Tender/SplashBidNoticeAbstractUI.aspx?menuIndex=3&amp;refID=7193634&amp;Result=3","7193634")</f>
        <v>0</v>
      </c>
      <c r="B1397" t="s">
        <v>519</v>
      </c>
      <c r="C1397" t="s">
        <v>4859</v>
      </c>
      <c r="D1397" t="s">
        <v>17189</v>
      </c>
      <c r="E1397" t="s">
        <v>18504</v>
      </c>
      <c r="F1397" t="s">
        <v>29372</v>
      </c>
      <c r="G1397" t="s">
        <v>29383</v>
      </c>
      <c r="H1397" t="s">
        <v>11048</v>
      </c>
      <c r="I1397" t="s">
        <v>3670</v>
      </c>
      <c r="J1397" t="s">
        <v>30552</v>
      </c>
      <c r="K1397" t="s">
        <v>38490</v>
      </c>
      <c r="M1397" t="s">
        <v>39286</v>
      </c>
      <c r="N1397" t="s">
        <v>42669</v>
      </c>
      <c r="O1397" t="s">
        <v>42670</v>
      </c>
      <c r="P1397">
        <v>0</v>
      </c>
      <c r="Q1397">
        <v>1</v>
      </c>
      <c r="R1397" t="s">
        <v>42673</v>
      </c>
      <c r="S1397" t="s">
        <v>42784</v>
      </c>
      <c r="T1397" t="s">
        <v>44356</v>
      </c>
      <c r="U1397" t="s">
        <v>45987</v>
      </c>
      <c r="W1397" t="s">
        <v>39286</v>
      </c>
      <c r="X1397" t="s">
        <v>42674</v>
      </c>
    </row>
    <row r="1398" spans="1:24">
      <c r="A1398">
        <f>HYPERLINK("https://www.philgeps.gov.ph/GEPSNONPILOT/Tender/SplashBidNoticeAbstractUI.aspx?menuIndex=3&amp;refID=7193696&amp;Result=3","7193696")</f>
        <v>0</v>
      </c>
      <c r="B1398" t="s">
        <v>502</v>
      </c>
      <c r="C1398" t="s">
        <v>4860</v>
      </c>
      <c r="D1398" t="s">
        <v>17141</v>
      </c>
      <c r="E1398" t="s">
        <v>18505</v>
      </c>
      <c r="F1398" t="s">
        <v>29372</v>
      </c>
      <c r="G1398" t="s">
        <v>29380</v>
      </c>
      <c r="H1398" t="s">
        <v>11048</v>
      </c>
      <c r="I1398" t="s">
        <v>3670</v>
      </c>
      <c r="J1398" t="s">
        <v>30412</v>
      </c>
      <c r="K1398" t="s">
        <v>38510</v>
      </c>
      <c r="M1398" t="s">
        <v>39267</v>
      </c>
      <c r="N1398" t="s">
        <v>42669</v>
      </c>
      <c r="O1398" t="s">
        <v>42670</v>
      </c>
      <c r="P1398">
        <v>0</v>
      </c>
      <c r="Q1398">
        <v>1</v>
      </c>
      <c r="R1398" t="s">
        <v>42673</v>
      </c>
      <c r="S1398" t="s">
        <v>42784</v>
      </c>
      <c r="T1398" t="s">
        <v>44393</v>
      </c>
      <c r="U1398" t="s">
        <v>45988</v>
      </c>
      <c r="W1398" t="s">
        <v>39267</v>
      </c>
      <c r="X1398" t="s">
        <v>42674</v>
      </c>
    </row>
    <row r="1399" spans="1:24">
      <c r="A1399">
        <f>HYPERLINK("https://www.philgeps.gov.ph/GEPSNONPILOT/Tender/SplashBidNoticeAbstractUI.aspx?menuIndex=3&amp;refID=7193623&amp;Result=3","7193623")</f>
        <v>0</v>
      </c>
      <c r="B1399" t="s">
        <v>502</v>
      </c>
      <c r="C1399" t="s">
        <v>4861</v>
      </c>
      <c r="D1399" t="s">
        <v>17141</v>
      </c>
      <c r="E1399" t="s">
        <v>18506</v>
      </c>
      <c r="F1399" t="s">
        <v>29372</v>
      </c>
      <c r="G1399" t="s">
        <v>29380</v>
      </c>
      <c r="H1399" t="s">
        <v>11048</v>
      </c>
      <c r="I1399" t="s">
        <v>3670</v>
      </c>
      <c r="J1399" t="s">
        <v>30412</v>
      </c>
      <c r="K1399" t="s">
        <v>38510</v>
      </c>
      <c r="M1399" t="s">
        <v>39267</v>
      </c>
      <c r="N1399" t="s">
        <v>42669</v>
      </c>
      <c r="O1399" t="s">
        <v>42670</v>
      </c>
      <c r="P1399">
        <v>0</v>
      </c>
      <c r="Q1399">
        <v>2</v>
      </c>
      <c r="R1399" t="s">
        <v>42673</v>
      </c>
      <c r="S1399" t="s">
        <v>42784</v>
      </c>
      <c r="T1399" t="s">
        <v>44467</v>
      </c>
      <c r="U1399" t="s">
        <v>45989</v>
      </c>
      <c r="W1399" t="s">
        <v>39267</v>
      </c>
      <c r="X1399" t="s">
        <v>42674</v>
      </c>
    </row>
    <row r="1400" spans="1:24">
      <c r="A1400">
        <f>HYPERLINK("https://www.philgeps.gov.ph/GEPSNONPILOT/Tender/SplashBidNoticeAbstractUI.aspx?menuIndex=3&amp;refID=7193695&amp;Result=3","7193695")</f>
        <v>0</v>
      </c>
      <c r="B1400" t="s">
        <v>369</v>
      </c>
      <c r="C1400" t="s">
        <v>4862</v>
      </c>
      <c r="D1400" t="s">
        <v>17141</v>
      </c>
      <c r="E1400" t="s">
        <v>18507</v>
      </c>
      <c r="F1400" t="s">
        <v>29372</v>
      </c>
      <c r="G1400" t="s">
        <v>29379</v>
      </c>
      <c r="H1400" t="s">
        <v>11048</v>
      </c>
      <c r="I1400" t="s">
        <v>3839</v>
      </c>
      <c r="J1400" t="s">
        <v>30553</v>
      </c>
      <c r="K1400" t="s">
        <v>38491</v>
      </c>
      <c r="M1400" t="s">
        <v>39129</v>
      </c>
      <c r="N1400" t="s">
        <v>42669</v>
      </c>
      <c r="O1400" t="s">
        <v>42670</v>
      </c>
      <c r="P1400">
        <v>0</v>
      </c>
      <c r="Q1400">
        <v>5</v>
      </c>
      <c r="R1400" t="s">
        <v>42673</v>
      </c>
      <c r="S1400" t="s">
        <v>42784</v>
      </c>
      <c r="T1400" t="s">
        <v>44512</v>
      </c>
      <c r="U1400" t="s">
        <v>45990</v>
      </c>
      <c r="W1400" t="s">
        <v>39129</v>
      </c>
      <c r="X1400" t="s">
        <v>42674</v>
      </c>
    </row>
    <row r="1401" spans="1:24">
      <c r="A1401">
        <f>HYPERLINK("https://www.philgeps.gov.ph/GEPSNONPILOT/Tender/SplashBidNoticeAbstractUI.aspx?menuIndex=3&amp;refID=7193690&amp;Result=3","7193690")</f>
        <v>0</v>
      </c>
      <c r="B1401" t="s">
        <v>520</v>
      </c>
      <c r="C1401" t="s">
        <v>4863</v>
      </c>
      <c r="D1401" t="s">
        <v>17160</v>
      </c>
      <c r="E1401" t="s">
        <v>18508</v>
      </c>
      <c r="F1401" t="s">
        <v>29372</v>
      </c>
      <c r="G1401" t="s">
        <v>29380</v>
      </c>
      <c r="H1401" t="s">
        <v>11048</v>
      </c>
      <c r="I1401" t="s">
        <v>3860</v>
      </c>
      <c r="J1401" t="s">
        <v>29526</v>
      </c>
      <c r="K1401" t="s">
        <v>38491</v>
      </c>
      <c r="M1401" t="s">
        <v>39287</v>
      </c>
      <c r="N1401" t="s">
        <v>42669</v>
      </c>
      <c r="O1401" t="s">
        <v>42670</v>
      </c>
      <c r="P1401">
        <v>0</v>
      </c>
      <c r="Q1401">
        <v>1</v>
      </c>
      <c r="R1401" t="s">
        <v>42673</v>
      </c>
      <c r="S1401" t="s">
        <v>42784</v>
      </c>
      <c r="T1401" t="s">
        <v>44389</v>
      </c>
      <c r="U1401" t="s">
        <v>45991</v>
      </c>
      <c r="W1401" t="s">
        <v>39287</v>
      </c>
      <c r="X1401" t="s">
        <v>42674</v>
      </c>
    </row>
    <row r="1402" spans="1:24">
      <c r="A1402">
        <f>HYPERLINK("https://www.philgeps.gov.ph/GEPSNONPILOT/Tender/SplashBidNoticeAbstractUI.aspx?menuIndex=3&amp;refID=7193654&amp;Result=3","7193654")</f>
        <v>0</v>
      </c>
      <c r="B1402" t="s">
        <v>513</v>
      </c>
      <c r="C1402" t="s">
        <v>4864</v>
      </c>
      <c r="D1402" t="s">
        <v>17191</v>
      </c>
      <c r="E1402" t="s">
        <v>18509</v>
      </c>
      <c r="F1402" t="s">
        <v>29372</v>
      </c>
      <c r="G1402" t="s">
        <v>29383</v>
      </c>
      <c r="H1402" t="s">
        <v>11048</v>
      </c>
      <c r="I1402" t="s">
        <v>8614</v>
      </c>
      <c r="J1402" t="s">
        <v>29736</v>
      </c>
      <c r="K1402" t="s">
        <v>38518</v>
      </c>
      <c r="L1402" t="s">
        <v>513</v>
      </c>
      <c r="M1402" t="s">
        <v>39280</v>
      </c>
      <c r="N1402" t="s">
        <v>42669</v>
      </c>
      <c r="O1402" t="s">
        <v>42670</v>
      </c>
      <c r="P1402">
        <v>0</v>
      </c>
      <c r="Q1402">
        <v>3</v>
      </c>
      <c r="R1402" t="s">
        <v>42673</v>
      </c>
      <c r="S1402" t="s">
        <v>42784</v>
      </c>
      <c r="T1402" t="s">
        <v>44432</v>
      </c>
      <c r="U1402" t="s">
        <v>45992</v>
      </c>
      <c r="W1402" t="s">
        <v>39280</v>
      </c>
      <c r="X1402" t="s">
        <v>42674</v>
      </c>
    </row>
    <row r="1403" spans="1:24">
      <c r="A1403">
        <f>HYPERLINK("https://www.philgeps.gov.ph/GEPSNONPILOT/Tender/SplashBidNoticeAbstractUI.aspx?menuIndex=3&amp;refID=7193659&amp;Result=3","7193659")</f>
        <v>0</v>
      </c>
      <c r="B1403" t="s">
        <v>515</v>
      </c>
      <c r="C1403" t="s">
        <v>4865</v>
      </c>
      <c r="D1403" t="s">
        <v>17141</v>
      </c>
      <c r="E1403" t="s">
        <v>18495</v>
      </c>
      <c r="F1403" t="s">
        <v>29372</v>
      </c>
      <c r="G1403" t="s">
        <v>29380</v>
      </c>
      <c r="H1403" t="s">
        <v>11048</v>
      </c>
      <c r="I1403" t="s">
        <v>29409</v>
      </c>
      <c r="J1403" t="s">
        <v>29708</v>
      </c>
      <c r="K1403" t="s">
        <v>38510</v>
      </c>
      <c r="M1403" t="s">
        <v>39282</v>
      </c>
      <c r="N1403" t="s">
        <v>42669</v>
      </c>
      <c r="O1403" t="s">
        <v>42670</v>
      </c>
      <c r="P1403">
        <v>0</v>
      </c>
      <c r="Q1403">
        <v>4</v>
      </c>
      <c r="R1403" t="s">
        <v>42673</v>
      </c>
      <c r="S1403" t="s">
        <v>42784</v>
      </c>
      <c r="T1403" t="s">
        <v>44453</v>
      </c>
      <c r="U1403" t="s">
        <v>45978</v>
      </c>
      <c r="W1403" t="s">
        <v>39282</v>
      </c>
      <c r="X1403" t="s">
        <v>42674</v>
      </c>
    </row>
    <row r="1404" spans="1:24">
      <c r="A1404">
        <f>HYPERLINK("https://www.philgeps.gov.ph/GEPSNONPILOT/Tender/SplashBidNoticeAbstractUI.aspx?menuIndex=3&amp;refID=7193703&amp;Result=3","7193703")</f>
        <v>0</v>
      </c>
      <c r="B1404" t="s">
        <v>521</v>
      </c>
      <c r="C1404" t="s">
        <v>4866</v>
      </c>
      <c r="D1404" t="s">
        <v>17189</v>
      </c>
      <c r="E1404" t="s">
        <v>17994</v>
      </c>
      <c r="F1404" t="s">
        <v>29372</v>
      </c>
      <c r="G1404" t="s">
        <v>29383</v>
      </c>
      <c r="H1404" t="s">
        <v>11048</v>
      </c>
      <c r="I1404" t="s">
        <v>4487</v>
      </c>
      <c r="J1404" t="s">
        <v>30554</v>
      </c>
      <c r="K1404" t="s">
        <v>38528</v>
      </c>
      <c r="M1404" t="s">
        <v>39288</v>
      </c>
      <c r="N1404" t="s">
        <v>42669</v>
      </c>
      <c r="O1404" t="s">
        <v>42670</v>
      </c>
      <c r="P1404">
        <v>0</v>
      </c>
      <c r="Q1404">
        <v>1</v>
      </c>
      <c r="R1404" t="s">
        <v>42673</v>
      </c>
      <c r="S1404" t="s">
        <v>42784</v>
      </c>
      <c r="T1404" t="s">
        <v>44429</v>
      </c>
      <c r="U1404" t="s">
        <v>45993</v>
      </c>
      <c r="W1404" t="s">
        <v>39288</v>
      </c>
      <c r="X1404" t="s">
        <v>42674</v>
      </c>
    </row>
    <row r="1405" spans="1:24">
      <c r="A1405">
        <f>HYPERLINK("https://www.philgeps.gov.ph/GEPSNONPILOT/Tender/SplashBidNoticeAbstractUI.aspx?menuIndex=3&amp;refID=7193701&amp;Result=3","7193701")</f>
        <v>0</v>
      </c>
      <c r="B1405" t="s">
        <v>369</v>
      </c>
      <c r="C1405" t="s">
        <v>4867</v>
      </c>
      <c r="D1405" t="s">
        <v>17141</v>
      </c>
      <c r="E1405" t="s">
        <v>18510</v>
      </c>
      <c r="F1405" t="s">
        <v>29372</v>
      </c>
      <c r="G1405" t="s">
        <v>29379</v>
      </c>
      <c r="H1405" t="s">
        <v>11048</v>
      </c>
      <c r="I1405" t="s">
        <v>29410</v>
      </c>
      <c r="J1405" t="s">
        <v>30555</v>
      </c>
      <c r="K1405" t="s">
        <v>38491</v>
      </c>
      <c r="M1405" t="s">
        <v>39129</v>
      </c>
      <c r="N1405" t="s">
        <v>42669</v>
      </c>
      <c r="O1405" t="s">
        <v>42670</v>
      </c>
      <c r="P1405">
        <v>0</v>
      </c>
      <c r="Q1405">
        <v>6</v>
      </c>
      <c r="R1405" t="s">
        <v>42673</v>
      </c>
      <c r="S1405" t="s">
        <v>42784</v>
      </c>
      <c r="T1405" t="s">
        <v>44512</v>
      </c>
      <c r="U1405" t="s">
        <v>45994</v>
      </c>
      <c r="W1405" t="s">
        <v>39129</v>
      </c>
      <c r="X1405" t="s">
        <v>42674</v>
      </c>
    </row>
    <row r="1406" spans="1:24">
      <c r="A1406">
        <f>HYPERLINK("https://www.philgeps.gov.ph/GEPSNONPILOT/Tender/SplashBidNoticeAbstractUI.aspx?menuIndex=3&amp;refID=7193663&amp;Result=3","7193663")</f>
        <v>0</v>
      </c>
      <c r="B1406" t="s">
        <v>515</v>
      </c>
      <c r="C1406" t="s">
        <v>4868</v>
      </c>
      <c r="D1406" t="s">
        <v>17141</v>
      </c>
      <c r="E1406" t="s">
        <v>18495</v>
      </c>
      <c r="F1406" t="s">
        <v>29372</v>
      </c>
      <c r="G1406" t="s">
        <v>29380</v>
      </c>
      <c r="H1406" t="s">
        <v>11048</v>
      </c>
      <c r="I1406" t="s">
        <v>5383</v>
      </c>
      <c r="J1406" t="s">
        <v>30556</v>
      </c>
      <c r="K1406" t="s">
        <v>38510</v>
      </c>
      <c r="M1406" t="s">
        <v>39282</v>
      </c>
      <c r="N1406" t="s">
        <v>42669</v>
      </c>
      <c r="O1406" t="s">
        <v>42670</v>
      </c>
      <c r="P1406">
        <v>0</v>
      </c>
      <c r="Q1406">
        <v>0</v>
      </c>
      <c r="R1406" t="s">
        <v>42673</v>
      </c>
      <c r="S1406" t="s">
        <v>42784</v>
      </c>
      <c r="T1406" t="s">
        <v>44453</v>
      </c>
      <c r="U1406" t="s">
        <v>45978</v>
      </c>
      <c r="W1406" t="s">
        <v>39282</v>
      </c>
      <c r="X1406" t="s">
        <v>42674</v>
      </c>
    </row>
    <row r="1407" spans="1:24">
      <c r="A1407">
        <f>HYPERLINK("https://www.philgeps.gov.ph/GEPSNONPILOT/Tender/SplashBidNoticeAbstractUI.aspx?menuIndex=3&amp;refID=7193687&amp;Result=3","7193687")</f>
        <v>0</v>
      </c>
      <c r="B1407" t="s">
        <v>515</v>
      </c>
      <c r="C1407" t="s">
        <v>4869</v>
      </c>
      <c r="D1407" t="s">
        <v>17141</v>
      </c>
      <c r="E1407" t="s">
        <v>18495</v>
      </c>
      <c r="F1407" t="s">
        <v>29372</v>
      </c>
      <c r="G1407" t="s">
        <v>29380</v>
      </c>
      <c r="H1407" t="s">
        <v>11048</v>
      </c>
      <c r="I1407" t="s">
        <v>3860</v>
      </c>
      <c r="J1407" t="s">
        <v>30557</v>
      </c>
      <c r="K1407" t="s">
        <v>38510</v>
      </c>
      <c r="M1407" t="s">
        <v>39282</v>
      </c>
      <c r="N1407" t="s">
        <v>42669</v>
      </c>
      <c r="O1407" t="s">
        <v>42670</v>
      </c>
      <c r="P1407">
        <v>0</v>
      </c>
      <c r="Q1407">
        <v>0</v>
      </c>
      <c r="R1407" t="s">
        <v>42673</v>
      </c>
      <c r="S1407" t="s">
        <v>42784</v>
      </c>
      <c r="T1407" t="s">
        <v>44453</v>
      </c>
      <c r="U1407" t="s">
        <v>45978</v>
      </c>
      <c r="W1407" t="s">
        <v>39282</v>
      </c>
      <c r="X1407" t="s">
        <v>42674</v>
      </c>
    </row>
    <row r="1408" spans="1:24">
      <c r="A1408">
        <f>HYPERLINK("https://www.philgeps.gov.ph/GEPSNONPILOT/Tender/SplashBidNoticeAbstractUI.aspx?menuIndex=3&amp;refID=7193698&amp;Result=3","7193698")</f>
        <v>0</v>
      </c>
      <c r="B1408" t="s">
        <v>515</v>
      </c>
      <c r="C1408" t="s">
        <v>4870</v>
      </c>
      <c r="D1408" t="s">
        <v>17141</v>
      </c>
      <c r="E1408" t="s">
        <v>18495</v>
      </c>
      <c r="F1408" t="s">
        <v>29372</v>
      </c>
      <c r="G1408" t="s">
        <v>29380</v>
      </c>
      <c r="H1408" t="s">
        <v>11048</v>
      </c>
      <c r="I1408" t="s">
        <v>3860</v>
      </c>
      <c r="J1408" t="s">
        <v>30558</v>
      </c>
      <c r="K1408" t="s">
        <v>38510</v>
      </c>
      <c r="M1408" t="s">
        <v>39282</v>
      </c>
      <c r="N1408" t="s">
        <v>42669</v>
      </c>
      <c r="O1408" t="s">
        <v>42670</v>
      </c>
      <c r="P1408">
        <v>0</v>
      </c>
      <c r="Q1408">
        <v>0</v>
      </c>
      <c r="R1408" t="s">
        <v>42673</v>
      </c>
      <c r="S1408" t="s">
        <v>42784</v>
      </c>
      <c r="T1408" t="s">
        <v>44453</v>
      </c>
      <c r="U1408" t="s">
        <v>45978</v>
      </c>
      <c r="W1408" t="s">
        <v>39282</v>
      </c>
      <c r="X1408" t="s">
        <v>42674</v>
      </c>
    </row>
    <row r="1409" spans="1:24">
      <c r="A1409">
        <f>HYPERLINK("https://www.philgeps.gov.ph/GEPSNONPILOT/Tender/SplashBidNoticeAbstractUI.aspx?menuIndex=3&amp;refID=7193683&amp;Result=3","7193683")</f>
        <v>0</v>
      </c>
      <c r="B1409" t="s">
        <v>515</v>
      </c>
      <c r="C1409" t="s">
        <v>4871</v>
      </c>
      <c r="D1409" t="s">
        <v>17141</v>
      </c>
      <c r="E1409" t="s">
        <v>18495</v>
      </c>
      <c r="F1409" t="s">
        <v>29372</v>
      </c>
      <c r="G1409" t="s">
        <v>29380</v>
      </c>
      <c r="H1409" t="s">
        <v>11048</v>
      </c>
      <c r="I1409" t="s">
        <v>5383</v>
      </c>
      <c r="J1409" t="s">
        <v>30559</v>
      </c>
      <c r="K1409" t="s">
        <v>38510</v>
      </c>
      <c r="M1409" t="s">
        <v>39282</v>
      </c>
      <c r="N1409" t="s">
        <v>42669</v>
      </c>
      <c r="O1409" t="s">
        <v>42670</v>
      </c>
      <c r="P1409">
        <v>0</v>
      </c>
      <c r="Q1409">
        <v>0</v>
      </c>
      <c r="R1409" t="s">
        <v>42673</v>
      </c>
      <c r="S1409" t="s">
        <v>42784</v>
      </c>
      <c r="T1409" t="s">
        <v>44453</v>
      </c>
      <c r="U1409" t="s">
        <v>45978</v>
      </c>
      <c r="W1409" t="s">
        <v>39282</v>
      </c>
      <c r="X1409" t="s">
        <v>42674</v>
      </c>
    </row>
    <row r="1410" spans="1:24">
      <c r="A1410">
        <f>HYPERLINK("https://www.philgeps.gov.ph/GEPSNONPILOT/Tender/SplashBidNoticeAbstractUI.aspx?menuIndex=3&amp;refID=7193678&amp;Result=3","7193678")</f>
        <v>0</v>
      </c>
      <c r="B1410" t="s">
        <v>522</v>
      </c>
      <c r="C1410" t="s">
        <v>4872</v>
      </c>
      <c r="D1410" t="s">
        <v>17168</v>
      </c>
      <c r="E1410" t="s">
        <v>17399</v>
      </c>
      <c r="F1410" t="s">
        <v>29372</v>
      </c>
      <c r="G1410" t="s">
        <v>29380</v>
      </c>
      <c r="H1410" t="s">
        <v>11048</v>
      </c>
      <c r="I1410" t="s">
        <v>10408</v>
      </c>
      <c r="J1410" t="s">
        <v>30560</v>
      </c>
      <c r="K1410" t="s">
        <v>38490</v>
      </c>
      <c r="M1410" t="s">
        <v>39289</v>
      </c>
      <c r="N1410" t="s">
        <v>42669</v>
      </c>
      <c r="O1410" t="s">
        <v>42670</v>
      </c>
      <c r="P1410">
        <v>0</v>
      </c>
      <c r="Q1410">
        <v>0</v>
      </c>
      <c r="R1410" t="s">
        <v>42673</v>
      </c>
      <c r="S1410" t="s">
        <v>42784</v>
      </c>
      <c r="T1410" t="s">
        <v>44357</v>
      </c>
      <c r="U1410" t="s">
        <v>45995</v>
      </c>
      <c r="W1410" t="s">
        <v>39289</v>
      </c>
      <c r="X1410" t="s">
        <v>42674</v>
      </c>
    </row>
    <row r="1411" spans="1:24">
      <c r="A1411">
        <f>HYPERLINK("https://www.philgeps.gov.ph/GEPSNONPILOT/Tender/SplashBidNoticeAbstractUI.aspx?menuIndex=3&amp;refID=7193674&amp;Result=3","7193674")</f>
        <v>0</v>
      </c>
      <c r="B1411" t="s">
        <v>515</v>
      </c>
      <c r="C1411" t="s">
        <v>4873</v>
      </c>
      <c r="D1411" t="s">
        <v>17141</v>
      </c>
      <c r="E1411" t="s">
        <v>18495</v>
      </c>
      <c r="F1411" t="s">
        <v>29372</v>
      </c>
      <c r="G1411" t="s">
        <v>29380</v>
      </c>
      <c r="H1411" t="s">
        <v>11048</v>
      </c>
      <c r="I1411" t="s">
        <v>5383</v>
      </c>
      <c r="J1411" t="s">
        <v>30561</v>
      </c>
      <c r="K1411" t="s">
        <v>38510</v>
      </c>
      <c r="M1411" t="s">
        <v>39282</v>
      </c>
      <c r="N1411" t="s">
        <v>42669</v>
      </c>
      <c r="O1411" t="s">
        <v>42670</v>
      </c>
      <c r="P1411">
        <v>0</v>
      </c>
      <c r="Q1411">
        <v>0</v>
      </c>
      <c r="R1411" t="s">
        <v>42673</v>
      </c>
      <c r="S1411" t="s">
        <v>42784</v>
      </c>
      <c r="T1411" t="s">
        <v>44453</v>
      </c>
      <c r="U1411" t="s">
        <v>45978</v>
      </c>
      <c r="W1411" t="s">
        <v>39282</v>
      </c>
      <c r="X1411" t="s">
        <v>42674</v>
      </c>
    </row>
    <row r="1412" spans="1:24">
      <c r="A1412">
        <f>HYPERLINK("https://www.philgeps.gov.ph/GEPSNONPILOT/Tender/SplashBidNoticeAbstractUI.aspx?menuIndex=3&amp;refID=7193702&amp;Result=3","7193702")</f>
        <v>0</v>
      </c>
      <c r="B1412" t="s">
        <v>515</v>
      </c>
      <c r="C1412" t="s">
        <v>4874</v>
      </c>
      <c r="D1412" t="s">
        <v>17141</v>
      </c>
      <c r="E1412" t="s">
        <v>18495</v>
      </c>
      <c r="F1412" t="s">
        <v>29372</v>
      </c>
      <c r="G1412" t="s">
        <v>29380</v>
      </c>
      <c r="H1412" t="s">
        <v>11048</v>
      </c>
      <c r="I1412" t="s">
        <v>29409</v>
      </c>
      <c r="J1412" t="s">
        <v>30100</v>
      </c>
      <c r="K1412" t="s">
        <v>38510</v>
      </c>
      <c r="M1412" t="s">
        <v>39282</v>
      </c>
      <c r="N1412" t="s">
        <v>42669</v>
      </c>
      <c r="O1412" t="s">
        <v>42670</v>
      </c>
      <c r="P1412">
        <v>0</v>
      </c>
      <c r="Q1412">
        <v>0</v>
      </c>
      <c r="R1412" t="s">
        <v>42673</v>
      </c>
      <c r="S1412" t="s">
        <v>42784</v>
      </c>
      <c r="T1412" t="s">
        <v>44453</v>
      </c>
      <c r="U1412" t="s">
        <v>45978</v>
      </c>
      <c r="W1412" t="s">
        <v>39282</v>
      </c>
      <c r="X1412" t="s">
        <v>42674</v>
      </c>
    </row>
    <row r="1413" spans="1:24">
      <c r="A1413">
        <f>HYPERLINK("https://www.philgeps.gov.ph/GEPSNONPILOT/Tender/SplashBidNoticeAbstractUI.aspx?menuIndex=3&amp;refID=7193566&amp;Result=3","7193566")</f>
        <v>0</v>
      </c>
      <c r="B1413" t="s">
        <v>499</v>
      </c>
      <c r="C1413" t="s">
        <v>4875</v>
      </c>
      <c r="E1413" t="s">
        <v>18511</v>
      </c>
      <c r="F1413" t="s">
        <v>29372</v>
      </c>
      <c r="G1413" t="s">
        <v>29380</v>
      </c>
      <c r="H1413" t="s">
        <v>11048</v>
      </c>
      <c r="I1413" t="s">
        <v>29407</v>
      </c>
      <c r="J1413" t="s">
        <v>30562</v>
      </c>
      <c r="K1413" t="s">
        <v>38490</v>
      </c>
      <c r="M1413" t="s">
        <v>39264</v>
      </c>
      <c r="N1413" t="s">
        <v>42669</v>
      </c>
      <c r="O1413" t="s">
        <v>42670</v>
      </c>
      <c r="P1413">
        <v>0</v>
      </c>
      <c r="Q1413">
        <v>4</v>
      </c>
      <c r="R1413" t="s">
        <v>42673</v>
      </c>
      <c r="S1413" t="s">
        <v>42784</v>
      </c>
      <c r="T1413" t="s">
        <v>44475</v>
      </c>
      <c r="U1413" t="s">
        <v>45956</v>
      </c>
      <c r="V1413" t="s">
        <v>56487</v>
      </c>
      <c r="W1413" t="s">
        <v>39264</v>
      </c>
      <c r="X1413" t="s">
        <v>42674</v>
      </c>
    </row>
    <row r="1414" spans="1:24">
      <c r="A1414">
        <f>HYPERLINK("https://www.philgeps.gov.ph/GEPSNONPILOT/Tender/SplashBidNoticeAbstractUI.aspx?menuIndex=3&amp;refID=7193699&amp;Result=3","7193699")</f>
        <v>0</v>
      </c>
      <c r="B1414" t="s">
        <v>523</v>
      </c>
      <c r="C1414" t="s">
        <v>4876</v>
      </c>
      <c r="D1414" t="s">
        <v>17166</v>
      </c>
      <c r="E1414" t="s">
        <v>18512</v>
      </c>
      <c r="F1414" t="s">
        <v>29372</v>
      </c>
      <c r="G1414" t="s">
        <v>29383</v>
      </c>
      <c r="H1414" t="s">
        <v>11048</v>
      </c>
      <c r="I1414" t="s">
        <v>3839</v>
      </c>
      <c r="J1414" t="s">
        <v>30563</v>
      </c>
      <c r="K1414" t="s">
        <v>38488</v>
      </c>
      <c r="M1414" t="s">
        <v>39290</v>
      </c>
      <c r="N1414" t="s">
        <v>42669</v>
      </c>
      <c r="O1414" t="s">
        <v>42670</v>
      </c>
      <c r="P1414">
        <v>0</v>
      </c>
      <c r="Q1414">
        <v>1</v>
      </c>
      <c r="R1414" t="s">
        <v>42673</v>
      </c>
      <c r="S1414" t="s">
        <v>42784</v>
      </c>
      <c r="T1414" t="s">
        <v>44441</v>
      </c>
      <c r="U1414" t="s">
        <v>45996</v>
      </c>
      <c r="W1414" t="s">
        <v>39290</v>
      </c>
      <c r="X1414" t="s">
        <v>42674</v>
      </c>
    </row>
    <row r="1415" spans="1:24">
      <c r="A1415">
        <f>HYPERLINK("https://www.philgeps.gov.ph/GEPSNONPILOT/Tender/SplashBidNoticeAbstractUI.aspx?menuIndex=3&amp;refID=7193689&amp;Result=3","7193689")</f>
        <v>0</v>
      </c>
      <c r="B1415" t="s">
        <v>515</v>
      </c>
      <c r="C1415" t="s">
        <v>4877</v>
      </c>
      <c r="D1415" t="s">
        <v>17141</v>
      </c>
      <c r="E1415" t="s">
        <v>18495</v>
      </c>
      <c r="F1415" t="s">
        <v>29372</v>
      </c>
      <c r="G1415" t="s">
        <v>29380</v>
      </c>
      <c r="H1415" t="s">
        <v>11048</v>
      </c>
      <c r="I1415" t="s">
        <v>29409</v>
      </c>
      <c r="J1415" t="s">
        <v>30564</v>
      </c>
      <c r="K1415" t="s">
        <v>38510</v>
      </c>
      <c r="M1415" t="s">
        <v>39282</v>
      </c>
      <c r="N1415" t="s">
        <v>42669</v>
      </c>
      <c r="O1415" t="s">
        <v>42670</v>
      </c>
      <c r="P1415">
        <v>0</v>
      </c>
      <c r="Q1415">
        <v>2</v>
      </c>
      <c r="R1415" t="s">
        <v>42673</v>
      </c>
      <c r="S1415" t="s">
        <v>42784</v>
      </c>
      <c r="T1415" t="s">
        <v>44453</v>
      </c>
      <c r="U1415" t="s">
        <v>45978</v>
      </c>
      <c r="W1415" t="s">
        <v>39282</v>
      </c>
      <c r="X1415" t="s">
        <v>42674</v>
      </c>
    </row>
    <row r="1416" spans="1:24">
      <c r="A1416">
        <f>HYPERLINK("https://www.philgeps.gov.ph/GEPSNONPILOT/Tender/SplashBidNoticeAbstractUI.aspx?menuIndex=3&amp;refID=7193706&amp;Result=3","7193706")</f>
        <v>0</v>
      </c>
      <c r="B1416" t="s">
        <v>524</v>
      </c>
      <c r="C1416" t="s">
        <v>4878</v>
      </c>
      <c r="D1416" t="s">
        <v>17184</v>
      </c>
      <c r="E1416" t="s">
        <v>18513</v>
      </c>
      <c r="F1416" t="s">
        <v>29372</v>
      </c>
      <c r="G1416" t="s">
        <v>29383</v>
      </c>
      <c r="H1416" t="s">
        <v>11048</v>
      </c>
      <c r="I1416" t="s">
        <v>29393</v>
      </c>
      <c r="J1416" t="s">
        <v>30565</v>
      </c>
      <c r="K1416" t="s">
        <v>38538</v>
      </c>
      <c r="M1416" t="s">
        <v>39291</v>
      </c>
      <c r="N1416" t="s">
        <v>42669</v>
      </c>
      <c r="O1416" t="s">
        <v>42670</v>
      </c>
      <c r="P1416">
        <v>0</v>
      </c>
      <c r="Q1416">
        <v>0</v>
      </c>
      <c r="R1416" t="s">
        <v>42673</v>
      </c>
      <c r="S1416" t="s">
        <v>42784</v>
      </c>
      <c r="T1416" t="s">
        <v>44371</v>
      </c>
      <c r="U1416" t="s">
        <v>45997</v>
      </c>
      <c r="W1416" t="s">
        <v>39291</v>
      </c>
      <c r="X1416" t="s">
        <v>42674</v>
      </c>
    </row>
    <row r="1417" spans="1:24">
      <c r="A1417">
        <f>HYPERLINK("https://www.philgeps.gov.ph/GEPSNONPILOT/Tender/SplashBidNoticeAbstractUI.aspx?menuIndex=3&amp;refID=7193719&amp;Result=3","7193719")</f>
        <v>0</v>
      </c>
      <c r="B1417" t="s">
        <v>255</v>
      </c>
      <c r="C1417" t="s">
        <v>4879</v>
      </c>
      <c r="E1417" t="s">
        <v>18514</v>
      </c>
      <c r="F1417" t="s">
        <v>29372</v>
      </c>
      <c r="G1417" t="s">
        <v>29379</v>
      </c>
      <c r="H1417" t="s">
        <v>11048</v>
      </c>
      <c r="I1417" t="s">
        <v>3597</v>
      </c>
      <c r="J1417" t="s">
        <v>29679</v>
      </c>
      <c r="K1417" t="s">
        <v>38490</v>
      </c>
      <c r="M1417" t="s">
        <v>39014</v>
      </c>
      <c r="N1417" t="s">
        <v>42669</v>
      </c>
      <c r="O1417" t="s">
        <v>42670</v>
      </c>
      <c r="P1417">
        <v>0</v>
      </c>
      <c r="Q1417">
        <v>2</v>
      </c>
      <c r="R1417" t="s">
        <v>42673</v>
      </c>
      <c r="S1417" t="s">
        <v>42784</v>
      </c>
      <c r="T1417" t="s">
        <v>44489</v>
      </c>
      <c r="U1417" t="s">
        <v>45771</v>
      </c>
      <c r="W1417" t="s">
        <v>39014</v>
      </c>
      <c r="X1417" t="s">
        <v>42674</v>
      </c>
    </row>
    <row r="1418" spans="1:24">
      <c r="A1418">
        <f>HYPERLINK("https://www.philgeps.gov.ph/GEPSNONPILOT/Tender/SplashBidNoticeAbstractUI.aspx?menuIndex=3&amp;refID=7193672&amp;Result=3","7193672")</f>
        <v>0</v>
      </c>
      <c r="B1418" t="s">
        <v>515</v>
      </c>
      <c r="C1418" t="s">
        <v>4880</v>
      </c>
      <c r="D1418" t="s">
        <v>17141</v>
      </c>
      <c r="E1418" t="s">
        <v>18495</v>
      </c>
      <c r="F1418" t="s">
        <v>29372</v>
      </c>
      <c r="G1418" t="s">
        <v>29380</v>
      </c>
      <c r="H1418" t="s">
        <v>11048</v>
      </c>
      <c r="I1418" t="s">
        <v>14920</v>
      </c>
      <c r="J1418" t="s">
        <v>30566</v>
      </c>
      <c r="K1418" t="s">
        <v>38510</v>
      </c>
      <c r="M1418" t="s">
        <v>39282</v>
      </c>
      <c r="N1418" t="s">
        <v>42669</v>
      </c>
      <c r="O1418" t="s">
        <v>42670</v>
      </c>
      <c r="P1418">
        <v>0</v>
      </c>
      <c r="Q1418">
        <v>0</v>
      </c>
      <c r="R1418" t="s">
        <v>42673</v>
      </c>
      <c r="S1418" t="s">
        <v>42784</v>
      </c>
      <c r="T1418" t="s">
        <v>44453</v>
      </c>
      <c r="U1418" t="s">
        <v>45978</v>
      </c>
      <c r="W1418" t="s">
        <v>39282</v>
      </c>
      <c r="X1418" t="s">
        <v>42674</v>
      </c>
    </row>
    <row r="1419" spans="1:24">
      <c r="A1419">
        <f>HYPERLINK("https://www.philgeps.gov.ph/GEPSNONPILOT/Tender/SplashBidNoticeAbstractUI.aspx?menuIndex=3&amp;refID=7193677&amp;Result=3","7193677")</f>
        <v>0</v>
      </c>
      <c r="B1419" t="s">
        <v>515</v>
      </c>
      <c r="C1419" t="s">
        <v>4881</v>
      </c>
      <c r="D1419" t="s">
        <v>17141</v>
      </c>
      <c r="E1419" t="s">
        <v>18495</v>
      </c>
      <c r="F1419" t="s">
        <v>29372</v>
      </c>
      <c r="G1419" t="s">
        <v>29380</v>
      </c>
      <c r="H1419" t="s">
        <v>11048</v>
      </c>
      <c r="I1419" t="s">
        <v>14920</v>
      </c>
      <c r="J1419" t="s">
        <v>30567</v>
      </c>
      <c r="K1419" t="s">
        <v>38510</v>
      </c>
      <c r="M1419" t="s">
        <v>39282</v>
      </c>
      <c r="N1419" t="s">
        <v>42669</v>
      </c>
      <c r="O1419" t="s">
        <v>42670</v>
      </c>
      <c r="P1419">
        <v>0</v>
      </c>
      <c r="Q1419">
        <v>0</v>
      </c>
      <c r="R1419" t="s">
        <v>42673</v>
      </c>
      <c r="S1419" t="s">
        <v>42784</v>
      </c>
      <c r="T1419" t="s">
        <v>44453</v>
      </c>
      <c r="U1419" t="s">
        <v>45978</v>
      </c>
      <c r="W1419" t="s">
        <v>39282</v>
      </c>
      <c r="X1419" t="s">
        <v>42674</v>
      </c>
    </row>
    <row r="1420" spans="1:24">
      <c r="A1420">
        <f>HYPERLINK("https://www.philgeps.gov.ph/GEPSNONPILOT/Tender/SplashBidNoticeAbstractUI.aspx?menuIndex=3&amp;refID=7193717&amp;Result=3","7193717")</f>
        <v>0</v>
      </c>
      <c r="B1420" t="s">
        <v>515</v>
      </c>
      <c r="C1420" t="s">
        <v>4882</v>
      </c>
      <c r="D1420" t="s">
        <v>17141</v>
      </c>
      <c r="E1420" t="s">
        <v>18495</v>
      </c>
      <c r="F1420" t="s">
        <v>29372</v>
      </c>
      <c r="G1420" t="s">
        <v>29380</v>
      </c>
      <c r="H1420" t="s">
        <v>11048</v>
      </c>
      <c r="I1420" t="s">
        <v>3860</v>
      </c>
      <c r="J1420" t="s">
        <v>30568</v>
      </c>
      <c r="K1420" t="s">
        <v>38510</v>
      </c>
      <c r="M1420" t="s">
        <v>39282</v>
      </c>
      <c r="N1420" t="s">
        <v>42669</v>
      </c>
      <c r="O1420" t="s">
        <v>42670</v>
      </c>
      <c r="P1420">
        <v>0</v>
      </c>
      <c r="Q1420">
        <v>0</v>
      </c>
      <c r="R1420" t="s">
        <v>42673</v>
      </c>
      <c r="S1420" t="s">
        <v>42784</v>
      </c>
      <c r="T1420" t="s">
        <v>44453</v>
      </c>
      <c r="U1420" t="s">
        <v>45978</v>
      </c>
      <c r="W1420" t="s">
        <v>39282</v>
      </c>
      <c r="X1420" t="s">
        <v>42674</v>
      </c>
    </row>
    <row r="1421" spans="1:24">
      <c r="A1421">
        <f>HYPERLINK("https://www.philgeps.gov.ph/GEPSNONPILOT/Tender/SplashBidNoticeAbstractUI.aspx?menuIndex=3&amp;refID=7193716&amp;Result=3","7193716")</f>
        <v>0</v>
      </c>
      <c r="B1421" t="s">
        <v>369</v>
      </c>
      <c r="C1421" t="s">
        <v>4883</v>
      </c>
      <c r="D1421" t="s">
        <v>17141</v>
      </c>
      <c r="E1421" t="s">
        <v>18515</v>
      </c>
      <c r="F1421" t="s">
        <v>29372</v>
      </c>
      <c r="G1421" t="s">
        <v>29379</v>
      </c>
      <c r="H1421" t="s">
        <v>11048</v>
      </c>
      <c r="I1421" t="s">
        <v>3839</v>
      </c>
      <c r="J1421" t="s">
        <v>30569</v>
      </c>
      <c r="K1421" t="s">
        <v>38491</v>
      </c>
      <c r="M1421" t="s">
        <v>39129</v>
      </c>
      <c r="N1421" t="s">
        <v>42669</v>
      </c>
      <c r="O1421" t="s">
        <v>42670</v>
      </c>
      <c r="P1421">
        <v>0</v>
      </c>
      <c r="Q1421">
        <v>3</v>
      </c>
      <c r="R1421" t="s">
        <v>42673</v>
      </c>
      <c r="S1421" t="s">
        <v>42784</v>
      </c>
      <c r="T1421" t="s">
        <v>44512</v>
      </c>
      <c r="U1421" t="s">
        <v>45998</v>
      </c>
      <c r="W1421" t="s">
        <v>39129</v>
      </c>
      <c r="X1421" t="s">
        <v>42674</v>
      </c>
    </row>
    <row r="1422" spans="1:24">
      <c r="A1422">
        <f>HYPERLINK("https://www.philgeps.gov.ph/GEPSNONPILOT/Tender/SplashBidNoticeAbstractUI.aspx?menuIndex=3&amp;refID=7193728&amp;Result=3","7193728")</f>
        <v>0</v>
      </c>
      <c r="B1422" t="s">
        <v>235</v>
      </c>
      <c r="C1422" t="s">
        <v>4884</v>
      </c>
      <c r="D1422" t="s">
        <v>17185</v>
      </c>
      <c r="E1422" t="s">
        <v>17773</v>
      </c>
      <c r="F1422" t="s">
        <v>29372</v>
      </c>
      <c r="G1422" t="s">
        <v>29383</v>
      </c>
      <c r="H1422" t="s">
        <v>11048</v>
      </c>
      <c r="I1422" t="s">
        <v>29406</v>
      </c>
      <c r="J1422" t="s">
        <v>30570</v>
      </c>
      <c r="K1422" t="s">
        <v>38510</v>
      </c>
      <c r="M1422" t="s">
        <v>38994</v>
      </c>
      <c r="N1422" t="s">
        <v>42669</v>
      </c>
      <c r="O1422" t="s">
        <v>42670</v>
      </c>
      <c r="P1422">
        <v>0</v>
      </c>
      <c r="Q1422">
        <v>0</v>
      </c>
      <c r="R1422" t="s">
        <v>42673</v>
      </c>
      <c r="S1422" t="s">
        <v>42784</v>
      </c>
      <c r="T1422" t="s">
        <v>44387</v>
      </c>
      <c r="U1422" t="s">
        <v>45999</v>
      </c>
      <c r="W1422" t="s">
        <v>38994</v>
      </c>
      <c r="X1422" t="s">
        <v>42674</v>
      </c>
    </row>
    <row r="1423" spans="1:24">
      <c r="A1423">
        <f>HYPERLINK("https://www.philgeps.gov.ph/GEPSNONPILOT/Tender/SplashBidNoticeAbstractUI.aspx?menuIndex=3&amp;refID=7193675&amp;Result=3","7193675")</f>
        <v>0</v>
      </c>
      <c r="B1423" t="s">
        <v>525</v>
      </c>
      <c r="C1423" t="s">
        <v>4885</v>
      </c>
      <c r="D1423" t="s">
        <v>17157</v>
      </c>
      <c r="E1423" t="s">
        <v>18516</v>
      </c>
      <c r="F1423" t="s">
        <v>29372</v>
      </c>
      <c r="G1423" t="s">
        <v>29380</v>
      </c>
      <c r="H1423" t="s">
        <v>11048</v>
      </c>
      <c r="I1423" t="s">
        <v>29433</v>
      </c>
      <c r="J1423" t="s">
        <v>30571</v>
      </c>
      <c r="K1423" t="s">
        <v>38490</v>
      </c>
      <c r="M1423" t="s">
        <v>39292</v>
      </c>
      <c r="N1423" t="s">
        <v>42669</v>
      </c>
      <c r="O1423" t="s">
        <v>42670</v>
      </c>
      <c r="P1423">
        <v>0</v>
      </c>
      <c r="Q1423">
        <v>11</v>
      </c>
      <c r="R1423" t="s">
        <v>42673</v>
      </c>
      <c r="S1423" t="s">
        <v>42784</v>
      </c>
      <c r="T1423" t="s">
        <v>44363</v>
      </c>
      <c r="U1423" t="s">
        <v>46000</v>
      </c>
      <c r="W1423" t="s">
        <v>39292</v>
      </c>
      <c r="X1423" t="s">
        <v>42674</v>
      </c>
    </row>
    <row r="1424" spans="1:24">
      <c r="A1424">
        <f>HYPERLINK("https://www.philgeps.gov.ph/GEPSNONPILOT/Tender/SplashBidNoticeAbstractUI.aspx?menuIndex=3&amp;refID=7193726&amp;Result=3","7193726")</f>
        <v>0</v>
      </c>
      <c r="B1424" t="s">
        <v>524</v>
      </c>
      <c r="C1424" t="s">
        <v>4886</v>
      </c>
      <c r="D1424" t="s">
        <v>17184</v>
      </c>
      <c r="E1424" t="s">
        <v>18517</v>
      </c>
      <c r="F1424" t="s">
        <v>29372</v>
      </c>
      <c r="G1424" t="s">
        <v>29383</v>
      </c>
      <c r="H1424" t="s">
        <v>11048</v>
      </c>
      <c r="I1424" t="s">
        <v>4709</v>
      </c>
      <c r="J1424" t="s">
        <v>30572</v>
      </c>
      <c r="K1424" t="s">
        <v>38538</v>
      </c>
      <c r="M1424" t="s">
        <v>39291</v>
      </c>
      <c r="N1424" t="s">
        <v>42669</v>
      </c>
      <c r="O1424" t="s">
        <v>42670</v>
      </c>
      <c r="P1424">
        <v>0</v>
      </c>
      <c r="Q1424">
        <v>0</v>
      </c>
      <c r="R1424" t="s">
        <v>42673</v>
      </c>
      <c r="S1424" t="s">
        <v>42784</v>
      </c>
      <c r="T1424" t="s">
        <v>44371</v>
      </c>
      <c r="U1424" t="s">
        <v>45997</v>
      </c>
      <c r="W1424" t="s">
        <v>39291</v>
      </c>
      <c r="X1424" t="s">
        <v>42674</v>
      </c>
    </row>
    <row r="1425" spans="1:24">
      <c r="A1425">
        <f>HYPERLINK("https://www.philgeps.gov.ph/GEPSNONPILOT/Tender/SplashBidNoticeAbstractUI.aspx?menuIndex=3&amp;refID=7193730&amp;Result=3","7193730")</f>
        <v>0</v>
      </c>
      <c r="B1425" t="s">
        <v>255</v>
      </c>
      <c r="C1425" t="s">
        <v>4887</v>
      </c>
      <c r="E1425" t="s">
        <v>18518</v>
      </c>
      <c r="F1425" t="s">
        <v>29372</v>
      </c>
      <c r="G1425" t="s">
        <v>29379</v>
      </c>
      <c r="H1425" t="s">
        <v>11048</v>
      </c>
      <c r="I1425" t="s">
        <v>29433</v>
      </c>
      <c r="J1425" t="s">
        <v>29675</v>
      </c>
      <c r="K1425" t="s">
        <v>38490</v>
      </c>
      <c r="M1425" t="s">
        <v>39014</v>
      </c>
      <c r="N1425" t="s">
        <v>42669</v>
      </c>
      <c r="O1425" t="s">
        <v>42670</v>
      </c>
      <c r="P1425">
        <v>0</v>
      </c>
      <c r="Q1425">
        <v>1</v>
      </c>
      <c r="R1425" t="s">
        <v>42673</v>
      </c>
      <c r="S1425" t="s">
        <v>42784</v>
      </c>
      <c r="T1425" t="s">
        <v>44489</v>
      </c>
      <c r="U1425" t="s">
        <v>45771</v>
      </c>
      <c r="W1425" t="s">
        <v>39014</v>
      </c>
      <c r="X1425" t="s">
        <v>42674</v>
      </c>
    </row>
    <row r="1426" spans="1:24">
      <c r="A1426">
        <f>HYPERLINK("https://www.philgeps.gov.ph/GEPSNONPILOT/Tender/SplashBidNoticeAbstractUI.aspx?menuIndex=3&amp;refID=7193724&amp;Result=3","7193724")</f>
        <v>0</v>
      </c>
      <c r="B1426" t="s">
        <v>235</v>
      </c>
      <c r="C1426" t="s">
        <v>4888</v>
      </c>
      <c r="D1426" t="s">
        <v>17185</v>
      </c>
      <c r="E1426" t="s">
        <v>17773</v>
      </c>
      <c r="F1426" t="s">
        <v>29372</v>
      </c>
      <c r="G1426" t="s">
        <v>29383</v>
      </c>
      <c r="H1426" t="s">
        <v>11048</v>
      </c>
      <c r="I1426" t="s">
        <v>8614</v>
      </c>
      <c r="J1426" t="s">
        <v>30573</v>
      </c>
      <c r="K1426" t="s">
        <v>38510</v>
      </c>
      <c r="M1426" t="s">
        <v>38994</v>
      </c>
      <c r="N1426" t="s">
        <v>42669</v>
      </c>
      <c r="O1426" t="s">
        <v>42670</v>
      </c>
      <c r="P1426">
        <v>0</v>
      </c>
      <c r="Q1426">
        <v>1</v>
      </c>
      <c r="R1426" t="s">
        <v>42673</v>
      </c>
      <c r="S1426" t="s">
        <v>42784</v>
      </c>
      <c r="T1426" t="s">
        <v>44387</v>
      </c>
      <c r="U1426" t="s">
        <v>46001</v>
      </c>
      <c r="W1426" t="s">
        <v>38994</v>
      </c>
      <c r="X1426" t="s">
        <v>42674</v>
      </c>
    </row>
    <row r="1427" spans="1:24">
      <c r="A1427">
        <f>HYPERLINK("https://www.philgeps.gov.ph/GEPSNONPILOT/Tender/SplashBidNoticeAbstractUI.aspx?menuIndex=3&amp;refID=7193727&amp;Result=3","7193727")</f>
        <v>0</v>
      </c>
      <c r="B1427" t="s">
        <v>526</v>
      </c>
      <c r="C1427" t="s">
        <v>4889</v>
      </c>
      <c r="D1427" t="s">
        <v>17161</v>
      </c>
      <c r="E1427" t="s">
        <v>18519</v>
      </c>
      <c r="F1427" t="s">
        <v>29372</v>
      </c>
      <c r="G1427" t="s">
        <v>29380</v>
      </c>
      <c r="H1427" t="s">
        <v>11048</v>
      </c>
      <c r="I1427" t="s">
        <v>4709</v>
      </c>
      <c r="J1427" t="s">
        <v>30574</v>
      </c>
      <c r="K1427" t="s">
        <v>38510</v>
      </c>
      <c r="M1427" t="s">
        <v>39293</v>
      </c>
      <c r="N1427" t="s">
        <v>42669</v>
      </c>
      <c r="O1427" t="s">
        <v>42670</v>
      </c>
      <c r="P1427">
        <v>0</v>
      </c>
      <c r="Q1427">
        <v>0</v>
      </c>
      <c r="R1427" t="s">
        <v>42673</v>
      </c>
      <c r="S1427" t="s">
        <v>42784</v>
      </c>
      <c r="T1427" t="s">
        <v>44398</v>
      </c>
      <c r="U1427" t="s">
        <v>46002</v>
      </c>
      <c r="W1427" t="s">
        <v>39293</v>
      </c>
      <c r="X1427" t="s">
        <v>42674</v>
      </c>
    </row>
    <row r="1428" spans="1:24">
      <c r="A1428">
        <f>HYPERLINK("https://www.philgeps.gov.ph/GEPSNONPILOT/Tender/SplashBidNoticeAbstractUI.aspx?menuIndex=3&amp;refID=7193630&amp;Result=3","7193630")</f>
        <v>0</v>
      </c>
      <c r="B1428" t="s">
        <v>515</v>
      </c>
      <c r="C1428" t="s">
        <v>4890</v>
      </c>
      <c r="D1428" t="s">
        <v>17141</v>
      </c>
      <c r="E1428" t="s">
        <v>18495</v>
      </c>
      <c r="F1428" t="s">
        <v>29372</v>
      </c>
      <c r="G1428" t="s">
        <v>29380</v>
      </c>
      <c r="H1428" t="s">
        <v>11048</v>
      </c>
      <c r="I1428" t="s">
        <v>5383</v>
      </c>
      <c r="J1428" t="s">
        <v>29619</v>
      </c>
      <c r="K1428" t="s">
        <v>38510</v>
      </c>
      <c r="M1428" t="s">
        <v>39282</v>
      </c>
      <c r="N1428" t="s">
        <v>42669</v>
      </c>
      <c r="O1428" t="s">
        <v>42670</v>
      </c>
      <c r="P1428">
        <v>0</v>
      </c>
      <c r="Q1428">
        <v>0</v>
      </c>
      <c r="R1428" t="s">
        <v>42673</v>
      </c>
      <c r="S1428" t="s">
        <v>42784</v>
      </c>
      <c r="T1428" t="s">
        <v>44453</v>
      </c>
      <c r="U1428" t="s">
        <v>45978</v>
      </c>
      <c r="W1428" t="s">
        <v>39282</v>
      </c>
      <c r="X1428" t="s">
        <v>42674</v>
      </c>
    </row>
    <row r="1429" spans="1:24">
      <c r="A1429">
        <f>HYPERLINK("https://www.philgeps.gov.ph/GEPSNONPILOT/Tender/SplashBidNoticeAbstractUI.aspx?menuIndex=3&amp;refID=7193720&amp;Result=3","7193720")</f>
        <v>0</v>
      </c>
      <c r="B1429" t="s">
        <v>235</v>
      </c>
      <c r="C1429" t="s">
        <v>4891</v>
      </c>
      <c r="D1429" t="s">
        <v>17185</v>
      </c>
      <c r="E1429" t="s">
        <v>17773</v>
      </c>
      <c r="F1429" t="s">
        <v>29372</v>
      </c>
      <c r="G1429" t="s">
        <v>29383</v>
      </c>
      <c r="H1429" t="s">
        <v>11048</v>
      </c>
      <c r="I1429" t="s">
        <v>29400</v>
      </c>
      <c r="J1429" t="s">
        <v>30563</v>
      </c>
      <c r="K1429" t="s">
        <v>38510</v>
      </c>
      <c r="M1429" t="s">
        <v>38994</v>
      </c>
      <c r="N1429" t="s">
        <v>42669</v>
      </c>
      <c r="O1429" t="s">
        <v>42670</v>
      </c>
      <c r="P1429">
        <v>0</v>
      </c>
      <c r="Q1429">
        <v>4</v>
      </c>
      <c r="R1429" t="s">
        <v>42673</v>
      </c>
      <c r="S1429" t="s">
        <v>42784</v>
      </c>
      <c r="T1429" t="s">
        <v>44387</v>
      </c>
      <c r="U1429" t="s">
        <v>46003</v>
      </c>
      <c r="W1429" t="s">
        <v>38994</v>
      </c>
      <c r="X1429" t="s">
        <v>42674</v>
      </c>
    </row>
    <row r="1430" spans="1:24">
      <c r="A1430">
        <f>HYPERLINK("https://www.philgeps.gov.ph/GEPSNONPILOT/Tender/SplashBidNoticeAbstractUI.aspx?menuIndex=3&amp;refID=7193715&amp;Result=3","7193715")</f>
        <v>0</v>
      </c>
      <c r="B1430" t="s">
        <v>235</v>
      </c>
      <c r="C1430" t="s">
        <v>4892</v>
      </c>
      <c r="D1430" t="s">
        <v>17185</v>
      </c>
      <c r="E1430" t="s">
        <v>17773</v>
      </c>
      <c r="F1430" t="s">
        <v>29372</v>
      </c>
      <c r="G1430" t="s">
        <v>29383</v>
      </c>
      <c r="H1430" t="s">
        <v>11048</v>
      </c>
      <c r="I1430" t="s">
        <v>29432</v>
      </c>
      <c r="J1430" t="s">
        <v>29929</v>
      </c>
      <c r="K1430" t="s">
        <v>38510</v>
      </c>
      <c r="M1430" t="s">
        <v>38994</v>
      </c>
      <c r="N1430" t="s">
        <v>42669</v>
      </c>
      <c r="O1430" t="s">
        <v>42670</v>
      </c>
      <c r="P1430">
        <v>0</v>
      </c>
      <c r="Q1430">
        <v>1</v>
      </c>
      <c r="R1430" t="s">
        <v>42673</v>
      </c>
      <c r="S1430" t="s">
        <v>42784</v>
      </c>
      <c r="T1430" t="s">
        <v>44387</v>
      </c>
      <c r="U1430" t="s">
        <v>46004</v>
      </c>
      <c r="W1430" t="s">
        <v>38994</v>
      </c>
      <c r="X1430" t="s">
        <v>42674</v>
      </c>
    </row>
    <row r="1431" spans="1:24">
      <c r="A1431">
        <f>HYPERLINK("https://www.philgeps.gov.ph/GEPSNONPILOT/Tender/SplashBidNoticeAbstractUI.aspx?menuIndex=3&amp;refID=7193714&amp;Result=3","7193714")</f>
        <v>0</v>
      </c>
      <c r="B1431" t="s">
        <v>524</v>
      </c>
      <c r="C1431" t="s">
        <v>4893</v>
      </c>
      <c r="D1431" t="s">
        <v>17184</v>
      </c>
      <c r="E1431" t="s">
        <v>18520</v>
      </c>
      <c r="F1431" t="s">
        <v>29372</v>
      </c>
      <c r="G1431" t="s">
        <v>29383</v>
      </c>
      <c r="H1431" t="s">
        <v>11048</v>
      </c>
      <c r="I1431" t="s">
        <v>4709</v>
      </c>
      <c r="J1431" t="s">
        <v>30575</v>
      </c>
      <c r="K1431" t="s">
        <v>38538</v>
      </c>
      <c r="M1431" t="s">
        <v>39291</v>
      </c>
      <c r="N1431" t="s">
        <v>42669</v>
      </c>
      <c r="O1431" t="s">
        <v>42670</v>
      </c>
      <c r="P1431">
        <v>0</v>
      </c>
      <c r="Q1431">
        <v>0</v>
      </c>
      <c r="R1431" t="s">
        <v>42673</v>
      </c>
      <c r="S1431" t="s">
        <v>42784</v>
      </c>
      <c r="T1431" t="s">
        <v>44371</v>
      </c>
      <c r="U1431" t="s">
        <v>45997</v>
      </c>
      <c r="W1431" t="s">
        <v>39291</v>
      </c>
      <c r="X1431" t="s">
        <v>42674</v>
      </c>
    </row>
    <row r="1432" spans="1:24">
      <c r="A1432">
        <f>HYPERLINK("https://www.philgeps.gov.ph/GEPSNONPILOT/Tender/SplashBidNoticeAbstractUI.aspx?menuIndex=3&amp;refID=7193671&amp;Result=3","7193671")</f>
        <v>0</v>
      </c>
      <c r="B1432" t="s">
        <v>516</v>
      </c>
      <c r="C1432" t="s">
        <v>4894</v>
      </c>
      <c r="D1432" t="s">
        <v>17141</v>
      </c>
      <c r="E1432" t="s">
        <v>18521</v>
      </c>
      <c r="F1432" t="s">
        <v>29372</v>
      </c>
      <c r="G1432" t="s">
        <v>29379</v>
      </c>
      <c r="H1432" t="s">
        <v>11048</v>
      </c>
      <c r="I1432" t="s">
        <v>29409</v>
      </c>
      <c r="J1432" t="s">
        <v>30576</v>
      </c>
      <c r="K1432" t="s">
        <v>38538</v>
      </c>
      <c r="M1432" t="s">
        <v>39283</v>
      </c>
      <c r="N1432" t="s">
        <v>42669</v>
      </c>
      <c r="O1432" t="s">
        <v>42670</v>
      </c>
      <c r="P1432">
        <v>0</v>
      </c>
      <c r="Q1432">
        <v>6</v>
      </c>
      <c r="R1432" t="s">
        <v>42673</v>
      </c>
      <c r="S1432" t="s">
        <v>42784</v>
      </c>
      <c r="T1432" t="s">
        <v>44399</v>
      </c>
      <c r="U1432" t="s">
        <v>45979</v>
      </c>
      <c r="V1432" t="s">
        <v>56486</v>
      </c>
      <c r="W1432" t="s">
        <v>58016</v>
      </c>
      <c r="X1432" t="s">
        <v>42674</v>
      </c>
    </row>
    <row r="1433" spans="1:24">
      <c r="A1433">
        <f>HYPERLINK("https://www.philgeps.gov.ph/GEPSNONPILOT/Tender/SplashBidNoticeAbstractUI.aspx?menuIndex=3&amp;refID=7193711&amp;Result=3","7193711")</f>
        <v>0</v>
      </c>
      <c r="B1433" t="s">
        <v>527</v>
      </c>
      <c r="C1433" t="s">
        <v>4895</v>
      </c>
      <c r="D1433" t="s">
        <v>17145</v>
      </c>
      <c r="E1433" t="s">
        <v>17831</v>
      </c>
      <c r="F1433" t="s">
        <v>29372</v>
      </c>
      <c r="G1433" t="s">
        <v>29380</v>
      </c>
      <c r="H1433" t="s">
        <v>11048</v>
      </c>
      <c r="I1433" t="s">
        <v>29417</v>
      </c>
      <c r="J1433" t="s">
        <v>29822</v>
      </c>
      <c r="K1433" t="s">
        <v>38485</v>
      </c>
      <c r="M1433" t="s">
        <v>39294</v>
      </c>
      <c r="N1433" t="s">
        <v>42669</v>
      </c>
      <c r="O1433" t="s">
        <v>42670</v>
      </c>
      <c r="P1433">
        <v>0</v>
      </c>
      <c r="Q1433">
        <v>1</v>
      </c>
      <c r="R1433" t="s">
        <v>42673</v>
      </c>
      <c r="S1433" t="s">
        <v>42784</v>
      </c>
      <c r="T1433" t="s">
        <v>44528</v>
      </c>
      <c r="U1433" t="s">
        <v>46005</v>
      </c>
      <c r="W1433" t="s">
        <v>39294</v>
      </c>
      <c r="X1433" t="s">
        <v>42674</v>
      </c>
    </row>
    <row r="1434" spans="1:24">
      <c r="A1434">
        <f>HYPERLINK("https://www.philgeps.gov.ph/GEPSNONPILOT/Tender/SplashBidNoticeAbstractUI.aspx?menuIndex=3&amp;refID=7193710&amp;Result=3","7193710")</f>
        <v>0</v>
      </c>
      <c r="B1434" t="s">
        <v>369</v>
      </c>
      <c r="C1434" t="s">
        <v>4896</v>
      </c>
      <c r="D1434" t="s">
        <v>17141</v>
      </c>
      <c r="E1434" t="s">
        <v>18515</v>
      </c>
      <c r="F1434" t="s">
        <v>29372</v>
      </c>
      <c r="G1434" t="s">
        <v>29382</v>
      </c>
      <c r="H1434" t="s">
        <v>11048</v>
      </c>
      <c r="I1434" t="s">
        <v>4487</v>
      </c>
      <c r="J1434" t="s">
        <v>30577</v>
      </c>
      <c r="K1434" t="s">
        <v>38491</v>
      </c>
      <c r="M1434" t="s">
        <v>39129</v>
      </c>
      <c r="N1434" t="s">
        <v>42669</v>
      </c>
      <c r="O1434" t="s">
        <v>42670</v>
      </c>
      <c r="P1434">
        <v>0</v>
      </c>
      <c r="Q1434">
        <v>9</v>
      </c>
      <c r="R1434" t="s">
        <v>42673</v>
      </c>
      <c r="S1434" t="s">
        <v>42784</v>
      </c>
      <c r="T1434" t="s">
        <v>44512</v>
      </c>
      <c r="U1434" t="s">
        <v>46006</v>
      </c>
      <c r="W1434" t="s">
        <v>39129</v>
      </c>
      <c r="X1434" t="s">
        <v>42674</v>
      </c>
    </row>
    <row r="1435" spans="1:24">
      <c r="A1435">
        <f>HYPERLINK("https://www.philgeps.gov.ph/GEPSNONPILOT/Tender/SplashBidNoticeAbstractUI.aspx?menuIndex=3&amp;refID=7193707&amp;Result=3","7193707")</f>
        <v>0</v>
      </c>
      <c r="B1435" t="s">
        <v>255</v>
      </c>
      <c r="C1435" t="s">
        <v>4897</v>
      </c>
      <c r="E1435" t="s">
        <v>18522</v>
      </c>
      <c r="F1435" t="s">
        <v>29372</v>
      </c>
      <c r="G1435" t="s">
        <v>29382</v>
      </c>
      <c r="H1435" t="s">
        <v>11048</v>
      </c>
      <c r="I1435" t="s">
        <v>3839</v>
      </c>
      <c r="J1435" t="s">
        <v>29922</v>
      </c>
      <c r="K1435" t="s">
        <v>38490</v>
      </c>
      <c r="M1435" t="s">
        <v>39014</v>
      </c>
      <c r="N1435" t="s">
        <v>42669</v>
      </c>
      <c r="O1435" t="s">
        <v>42670</v>
      </c>
      <c r="P1435">
        <v>0</v>
      </c>
      <c r="Q1435">
        <v>3</v>
      </c>
      <c r="R1435" t="s">
        <v>42673</v>
      </c>
      <c r="S1435" t="s">
        <v>42784</v>
      </c>
      <c r="T1435" t="s">
        <v>44489</v>
      </c>
      <c r="U1435" t="s">
        <v>45771</v>
      </c>
      <c r="W1435" t="s">
        <v>39014</v>
      </c>
      <c r="X1435" t="s">
        <v>42674</v>
      </c>
    </row>
    <row r="1436" spans="1:24">
      <c r="A1436">
        <f>HYPERLINK("https://www.philgeps.gov.ph/GEPSNONPILOT/Tender/SplashBidNoticeAbstractUI.aspx?menuIndex=3&amp;refID=7193761&amp;Result=3","7193761")</f>
        <v>0</v>
      </c>
      <c r="B1436" t="s">
        <v>528</v>
      </c>
      <c r="C1436" t="s">
        <v>4898</v>
      </c>
      <c r="D1436" t="s">
        <v>17199</v>
      </c>
      <c r="E1436" t="s">
        <v>18523</v>
      </c>
      <c r="F1436" t="s">
        <v>29372</v>
      </c>
      <c r="G1436" t="s">
        <v>29379</v>
      </c>
      <c r="H1436" t="s">
        <v>11048</v>
      </c>
      <c r="I1436" t="s">
        <v>3670</v>
      </c>
      <c r="J1436" t="s">
        <v>30578</v>
      </c>
      <c r="K1436" t="s">
        <v>38490</v>
      </c>
      <c r="M1436" t="s">
        <v>39295</v>
      </c>
      <c r="N1436" t="s">
        <v>42669</v>
      </c>
      <c r="O1436" t="s">
        <v>42670</v>
      </c>
      <c r="P1436">
        <v>0</v>
      </c>
      <c r="Q1436">
        <v>0</v>
      </c>
      <c r="R1436" t="s">
        <v>42673</v>
      </c>
      <c r="S1436" t="s">
        <v>42784</v>
      </c>
      <c r="T1436" t="s">
        <v>44469</v>
      </c>
      <c r="U1436" t="s">
        <v>46007</v>
      </c>
      <c r="W1436" t="s">
        <v>39295</v>
      </c>
      <c r="X1436" t="s">
        <v>42674</v>
      </c>
    </row>
    <row r="1437" spans="1:24">
      <c r="A1437">
        <f>HYPERLINK("https://www.philgeps.gov.ph/GEPSNONPILOT/Tender/SplashBidNoticeAbstractUI.aspx?menuIndex=3&amp;refID=7193729&amp;Result=3","7193729")</f>
        <v>0</v>
      </c>
      <c r="B1437" t="s">
        <v>235</v>
      </c>
      <c r="C1437" t="s">
        <v>4899</v>
      </c>
      <c r="D1437" t="s">
        <v>17185</v>
      </c>
      <c r="E1437" t="s">
        <v>17773</v>
      </c>
      <c r="F1437" t="s">
        <v>29372</v>
      </c>
      <c r="G1437" t="s">
        <v>29383</v>
      </c>
      <c r="H1437" t="s">
        <v>11048</v>
      </c>
      <c r="I1437" t="s">
        <v>3629</v>
      </c>
      <c r="J1437" t="s">
        <v>30579</v>
      </c>
      <c r="K1437" t="s">
        <v>38510</v>
      </c>
      <c r="M1437" t="s">
        <v>38994</v>
      </c>
      <c r="N1437" t="s">
        <v>42669</v>
      </c>
      <c r="O1437" t="s">
        <v>42670</v>
      </c>
      <c r="P1437">
        <v>0</v>
      </c>
      <c r="Q1437">
        <v>0</v>
      </c>
      <c r="R1437" t="s">
        <v>42673</v>
      </c>
      <c r="S1437" t="s">
        <v>42784</v>
      </c>
      <c r="T1437" t="s">
        <v>44387</v>
      </c>
      <c r="U1437" t="s">
        <v>46008</v>
      </c>
      <c r="W1437" t="s">
        <v>38994</v>
      </c>
      <c r="X1437" t="s">
        <v>42674</v>
      </c>
    </row>
    <row r="1438" spans="1:24">
      <c r="A1438">
        <f>HYPERLINK("https://www.philgeps.gov.ph/GEPSNONPILOT/Tender/SplashBidNoticeAbstractUI.aspx?menuIndex=3&amp;refID=7193709&amp;Result=3","7193709")</f>
        <v>0</v>
      </c>
      <c r="B1438" t="s">
        <v>515</v>
      </c>
      <c r="C1438" t="s">
        <v>4900</v>
      </c>
      <c r="D1438" t="s">
        <v>17141</v>
      </c>
      <c r="E1438" t="s">
        <v>18495</v>
      </c>
      <c r="F1438" t="s">
        <v>29372</v>
      </c>
      <c r="G1438" t="s">
        <v>29380</v>
      </c>
      <c r="H1438" t="s">
        <v>11048</v>
      </c>
      <c r="I1438" t="s">
        <v>5383</v>
      </c>
      <c r="J1438" t="s">
        <v>30580</v>
      </c>
      <c r="K1438" t="s">
        <v>38510</v>
      </c>
      <c r="M1438" t="s">
        <v>39282</v>
      </c>
      <c r="N1438" t="s">
        <v>42669</v>
      </c>
      <c r="O1438" t="s">
        <v>42670</v>
      </c>
      <c r="P1438">
        <v>0</v>
      </c>
      <c r="Q1438">
        <v>0</v>
      </c>
      <c r="R1438" t="s">
        <v>42673</v>
      </c>
      <c r="S1438" t="s">
        <v>42784</v>
      </c>
      <c r="T1438" t="s">
        <v>44453</v>
      </c>
      <c r="U1438" t="s">
        <v>45978</v>
      </c>
      <c r="W1438" t="s">
        <v>39282</v>
      </c>
      <c r="X1438" t="s">
        <v>42674</v>
      </c>
    </row>
    <row r="1439" spans="1:24">
      <c r="A1439">
        <f>HYPERLINK("https://www.philgeps.gov.ph/GEPSNONPILOT/Tender/SplashBidNoticeAbstractUI.aspx?menuIndex=3&amp;refID=7193760&amp;Result=3","7193760")</f>
        <v>0</v>
      </c>
      <c r="B1439" t="s">
        <v>528</v>
      </c>
      <c r="C1439" t="s">
        <v>4901</v>
      </c>
      <c r="D1439" t="s">
        <v>17199</v>
      </c>
      <c r="E1439" t="s">
        <v>18524</v>
      </c>
      <c r="F1439" t="s">
        <v>29372</v>
      </c>
      <c r="G1439" t="s">
        <v>29379</v>
      </c>
      <c r="H1439" t="s">
        <v>11048</v>
      </c>
      <c r="I1439" t="s">
        <v>3670</v>
      </c>
      <c r="J1439" t="s">
        <v>29823</v>
      </c>
      <c r="K1439" t="s">
        <v>38490</v>
      </c>
      <c r="M1439" t="s">
        <v>39295</v>
      </c>
      <c r="N1439" t="s">
        <v>42669</v>
      </c>
      <c r="O1439" t="s">
        <v>42670</v>
      </c>
      <c r="P1439">
        <v>0</v>
      </c>
      <c r="Q1439">
        <v>0</v>
      </c>
      <c r="R1439" t="s">
        <v>42673</v>
      </c>
      <c r="S1439" t="s">
        <v>42784</v>
      </c>
      <c r="T1439" t="s">
        <v>44469</v>
      </c>
      <c r="U1439" t="s">
        <v>46009</v>
      </c>
      <c r="W1439" t="s">
        <v>39295</v>
      </c>
      <c r="X1439" t="s">
        <v>42674</v>
      </c>
    </row>
    <row r="1440" spans="1:24">
      <c r="A1440">
        <f>HYPERLINK("https://www.philgeps.gov.ph/GEPSNONPILOT/Tender/SplashBidNoticeAbstractUI.aspx?menuIndex=3&amp;refID=7193754&amp;Result=3","7193754")</f>
        <v>0</v>
      </c>
      <c r="B1440" t="s">
        <v>529</v>
      </c>
      <c r="C1440" t="s">
        <v>4902</v>
      </c>
      <c r="D1440" t="s">
        <v>17147</v>
      </c>
      <c r="E1440" t="s">
        <v>18525</v>
      </c>
      <c r="F1440" t="s">
        <v>29372</v>
      </c>
      <c r="G1440" t="s">
        <v>29379</v>
      </c>
      <c r="H1440" t="s">
        <v>11048</v>
      </c>
      <c r="I1440" t="s">
        <v>29405</v>
      </c>
      <c r="J1440" t="s">
        <v>30108</v>
      </c>
      <c r="K1440" t="s">
        <v>38510</v>
      </c>
      <c r="M1440" t="s">
        <v>39296</v>
      </c>
      <c r="N1440" t="s">
        <v>42669</v>
      </c>
      <c r="O1440" t="s">
        <v>42670</v>
      </c>
      <c r="P1440">
        <v>0</v>
      </c>
      <c r="Q1440">
        <v>1</v>
      </c>
      <c r="R1440" t="s">
        <v>42673</v>
      </c>
      <c r="S1440" t="s">
        <v>42784</v>
      </c>
      <c r="T1440" t="s">
        <v>44401</v>
      </c>
      <c r="U1440" t="s">
        <v>46010</v>
      </c>
      <c r="W1440" t="s">
        <v>39296</v>
      </c>
      <c r="X1440" t="s">
        <v>42674</v>
      </c>
    </row>
    <row r="1441" spans="1:24">
      <c r="A1441">
        <f>HYPERLINK("https://www.philgeps.gov.ph/GEPSNONPILOT/Tender/SplashBidNoticeAbstractUI.aspx?menuIndex=3&amp;refID=7193713&amp;Result=3","7193713")</f>
        <v>0</v>
      </c>
      <c r="B1441" t="s">
        <v>515</v>
      </c>
      <c r="C1441" t="s">
        <v>4903</v>
      </c>
      <c r="D1441" t="s">
        <v>17141</v>
      </c>
      <c r="E1441" t="s">
        <v>18495</v>
      </c>
      <c r="F1441" t="s">
        <v>29372</v>
      </c>
      <c r="G1441" t="s">
        <v>29380</v>
      </c>
      <c r="H1441" t="s">
        <v>11048</v>
      </c>
      <c r="I1441" t="s">
        <v>14920</v>
      </c>
      <c r="J1441" t="s">
        <v>30581</v>
      </c>
      <c r="K1441" t="s">
        <v>38510</v>
      </c>
      <c r="M1441" t="s">
        <v>39282</v>
      </c>
      <c r="N1441" t="s">
        <v>42669</v>
      </c>
      <c r="O1441" t="s">
        <v>42670</v>
      </c>
      <c r="P1441">
        <v>0</v>
      </c>
      <c r="Q1441">
        <v>0</v>
      </c>
      <c r="R1441" t="s">
        <v>42673</v>
      </c>
      <c r="S1441" t="s">
        <v>42784</v>
      </c>
      <c r="T1441" t="s">
        <v>44453</v>
      </c>
      <c r="U1441" t="s">
        <v>45978</v>
      </c>
      <c r="W1441" t="s">
        <v>39282</v>
      </c>
      <c r="X1441" t="s">
        <v>42674</v>
      </c>
    </row>
    <row r="1442" spans="1:24">
      <c r="A1442">
        <f>HYPERLINK("https://www.philgeps.gov.ph/GEPSNONPILOT/Tender/SplashBidNoticeAbstractUI.aspx?menuIndex=3&amp;refID=7193753&amp;Result=3","7193753")</f>
        <v>0</v>
      </c>
      <c r="B1442" t="s">
        <v>530</v>
      </c>
      <c r="C1442" t="s">
        <v>4904</v>
      </c>
      <c r="D1442" t="s">
        <v>17201</v>
      </c>
      <c r="E1442" t="s">
        <v>18526</v>
      </c>
      <c r="F1442" t="s">
        <v>29372</v>
      </c>
      <c r="G1442" t="s">
        <v>29380</v>
      </c>
      <c r="H1442" t="s">
        <v>11048</v>
      </c>
      <c r="I1442" t="s">
        <v>4487</v>
      </c>
      <c r="J1442" t="s">
        <v>30582</v>
      </c>
      <c r="K1442" t="s">
        <v>38485</v>
      </c>
      <c r="M1442" t="s">
        <v>39297</v>
      </c>
      <c r="N1442" t="s">
        <v>42669</v>
      </c>
      <c r="O1442" t="s">
        <v>42670</v>
      </c>
      <c r="P1442">
        <v>0</v>
      </c>
      <c r="Q1442">
        <v>2</v>
      </c>
      <c r="R1442" t="s">
        <v>42673</v>
      </c>
      <c r="S1442" t="s">
        <v>42784</v>
      </c>
      <c r="T1442" t="s">
        <v>44354</v>
      </c>
      <c r="U1442" t="s">
        <v>46011</v>
      </c>
      <c r="W1442" t="s">
        <v>39297</v>
      </c>
      <c r="X1442" t="s">
        <v>42674</v>
      </c>
    </row>
    <row r="1443" spans="1:24">
      <c r="A1443">
        <f>HYPERLINK("https://www.philgeps.gov.ph/GEPSNONPILOT/Tender/SplashBidNoticeAbstractUI.aspx?menuIndex=3&amp;refID=7193759&amp;Result=3","7193759")</f>
        <v>0</v>
      </c>
      <c r="B1443" t="s">
        <v>528</v>
      </c>
      <c r="C1443" t="s">
        <v>4905</v>
      </c>
      <c r="D1443" t="s">
        <v>17199</v>
      </c>
      <c r="E1443" t="s">
        <v>18527</v>
      </c>
      <c r="F1443" t="s">
        <v>29372</v>
      </c>
      <c r="G1443" t="s">
        <v>29379</v>
      </c>
      <c r="H1443" t="s">
        <v>11048</v>
      </c>
      <c r="I1443" t="s">
        <v>3670</v>
      </c>
      <c r="J1443" t="s">
        <v>30583</v>
      </c>
      <c r="K1443" t="s">
        <v>38490</v>
      </c>
      <c r="M1443" t="s">
        <v>39295</v>
      </c>
      <c r="N1443" t="s">
        <v>42669</v>
      </c>
      <c r="O1443" t="s">
        <v>42670</v>
      </c>
      <c r="P1443">
        <v>0</v>
      </c>
      <c r="Q1443">
        <v>0</v>
      </c>
      <c r="R1443" t="s">
        <v>42673</v>
      </c>
      <c r="S1443" t="s">
        <v>42784</v>
      </c>
      <c r="T1443" t="s">
        <v>44469</v>
      </c>
      <c r="U1443" t="s">
        <v>46012</v>
      </c>
      <c r="W1443" t="s">
        <v>39295</v>
      </c>
      <c r="X1443" t="s">
        <v>42674</v>
      </c>
    </row>
    <row r="1444" spans="1:24">
      <c r="A1444">
        <f>HYPERLINK("https://www.philgeps.gov.ph/GEPSNONPILOT/Tender/SplashBidNoticeAbstractUI.aspx?menuIndex=3&amp;refID=7193749&amp;Result=3","7193749")</f>
        <v>0</v>
      </c>
      <c r="B1444" t="s">
        <v>231</v>
      </c>
      <c r="C1444" t="s">
        <v>4906</v>
      </c>
      <c r="D1444" t="s">
        <v>17166</v>
      </c>
      <c r="E1444" t="s">
        <v>18528</v>
      </c>
      <c r="F1444" t="s">
        <v>29372</v>
      </c>
      <c r="G1444" t="s">
        <v>29380</v>
      </c>
      <c r="H1444" t="s">
        <v>11048</v>
      </c>
      <c r="I1444" t="s">
        <v>4709</v>
      </c>
      <c r="J1444" t="s">
        <v>30584</v>
      </c>
      <c r="K1444" t="s">
        <v>38485</v>
      </c>
      <c r="M1444" t="s">
        <v>38990</v>
      </c>
      <c r="N1444" t="s">
        <v>42669</v>
      </c>
      <c r="O1444" t="s">
        <v>42670</v>
      </c>
      <c r="P1444">
        <v>0</v>
      </c>
      <c r="Q1444">
        <v>7</v>
      </c>
      <c r="R1444" t="s">
        <v>42673</v>
      </c>
      <c r="S1444" t="s">
        <v>42784</v>
      </c>
      <c r="T1444" t="s">
        <v>44413</v>
      </c>
      <c r="U1444" t="s">
        <v>46013</v>
      </c>
      <c r="W1444" t="s">
        <v>38990</v>
      </c>
      <c r="X1444" t="s">
        <v>42674</v>
      </c>
    </row>
    <row r="1445" spans="1:24">
      <c r="A1445">
        <f>HYPERLINK("https://www.philgeps.gov.ph/GEPSNONPILOT/Tender/SplashBidNoticeAbstractUI.aspx?menuIndex=3&amp;refID=7193748&amp;Result=3","7193748")</f>
        <v>0</v>
      </c>
      <c r="B1445" t="s">
        <v>529</v>
      </c>
      <c r="C1445" t="s">
        <v>4907</v>
      </c>
      <c r="D1445" t="s">
        <v>17147</v>
      </c>
      <c r="E1445" t="s">
        <v>18529</v>
      </c>
      <c r="F1445" t="s">
        <v>29372</v>
      </c>
      <c r="G1445" t="s">
        <v>29379</v>
      </c>
      <c r="H1445" t="s">
        <v>11048</v>
      </c>
      <c r="I1445" t="s">
        <v>29458</v>
      </c>
      <c r="J1445" t="s">
        <v>30585</v>
      </c>
      <c r="K1445" t="s">
        <v>38510</v>
      </c>
      <c r="M1445" t="s">
        <v>39296</v>
      </c>
      <c r="N1445" t="s">
        <v>42669</v>
      </c>
      <c r="O1445" t="s">
        <v>42670</v>
      </c>
      <c r="P1445">
        <v>0</v>
      </c>
      <c r="Q1445">
        <v>0</v>
      </c>
      <c r="R1445" t="s">
        <v>42673</v>
      </c>
      <c r="S1445" t="s">
        <v>42784</v>
      </c>
      <c r="T1445" t="s">
        <v>44401</v>
      </c>
      <c r="U1445" t="s">
        <v>46014</v>
      </c>
      <c r="W1445" t="s">
        <v>39296</v>
      </c>
      <c r="X1445" t="s">
        <v>42674</v>
      </c>
    </row>
    <row r="1446" spans="1:24">
      <c r="A1446">
        <f>HYPERLINK("https://www.philgeps.gov.ph/GEPSNONPILOT/Tender/SplashBidNoticeAbstractUI.aspx?menuIndex=3&amp;refID=7193723&amp;Result=3","7193723")</f>
        <v>0</v>
      </c>
      <c r="B1446" t="s">
        <v>255</v>
      </c>
      <c r="C1446" t="s">
        <v>4908</v>
      </c>
      <c r="E1446" t="s">
        <v>18530</v>
      </c>
      <c r="F1446" t="s">
        <v>29372</v>
      </c>
      <c r="G1446" t="s">
        <v>29379</v>
      </c>
      <c r="H1446" t="s">
        <v>11048</v>
      </c>
      <c r="I1446" t="s">
        <v>29458</v>
      </c>
      <c r="J1446" t="s">
        <v>30586</v>
      </c>
      <c r="K1446" t="s">
        <v>38490</v>
      </c>
      <c r="M1446" t="s">
        <v>39014</v>
      </c>
      <c r="N1446" t="s">
        <v>42669</v>
      </c>
      <c r="O1446" t="s">
        <v>42670</v>
      </c>
      <c r="P1446">
        <v>0</v>
      </c>
      <c r="Q1446">
        <v>1</v>
      </c>
      <c r="R1446" t="s">
        <v>42673</v>
      </c>
      <c r="S1446" t="s">
        <v>42784</v>
      </c>
      <c r="T1446" t="s">
        <v>44489</v>
      </c>
      <c r="U1446" t="s">
        <v>45771</v>
      </c>
      <c r="W1446" t="s">
        <v>39014</v>
      </c>
      <c r="X1446" t="s">
        <v>42674</v>
      </c>
    </row>
    <row r="1447" spans="1:24">
      <c r="A1447">
        <f>HYPERLINK("https://www.philgeps.gov.ph/GEPSNONPILOT/Tender/SplashBidNoticeAbstractUI.aspx?menuIndex=3&amp;refID=7193742&amp;Result=3","7193742")</f>
        <v>0</v>
      </c>
      <c r="B1447" t="s">
        <v>531</v>
      </c>
      <c r="C1447" t="s">
        <v>4909</v>
      </c>
      <c r="D1447" t="s">
        <v>17171</v>
      </c>
      <c r="E1447" t="s">
        <v>18531</v>
      </c>
      <c r="F1447" t="s">
        <v>29372</v>
      </c>
      <c r="G1447" t="s">
        <v>29383</v>
      </c>
      <c r="H1447" t="s">
        <v>11048</v>
      </c>
      <c r="I1447" t="s">
        <v>4487</v>
      </c>
      <c r="J1447" t="s">
        <v>30587</v>
      </c>
      <c r="K1447" t="s">
        <v>38489</v>
      </c>
      <c r="M1447" t="s">
        <v>39298</v>
      </c>
      <c r="N1447" t="s">
        <v>42669</v>
      </c>
      <c r="O1447" t="s">
        <v>42670</v>
      </c>
      <c r="P1447">
        <v>0</v>
      </c>
      <c r="Q1447">
        <v>4</v>
      </c>
      <c r="R1447" t="s">
        <v>42673</v>
      </c>
      <c r="S1447" t="s">
        <v>42784</v>
      </c>
      <c r="T1447" t="s">
        <v>44451</v>
      </c>
      <c r="U1447" t="s">
        <v>46015</v>
      </c>
      <c r="W1447" t="s">
        <v>39298</v>
      </c>
      <c r="X1447" t="s">
        <v>42674</v>
      </c>
    </row>
    <row r="1448" spans="1:24">
      <c r="A1448">
        <f>HYPERLINK("https://www.philgeps.gov.ph/GEPSNONPILOT/Tender/SplashBidNoticeAbstractUI.aspx?menuIndex=3&amp;refID=7193741&amp;Result=3","7193741")</f>
        <v>0</v>
      </c>
      <c r="B1448" t="s">
        <v>529</v>
      </c>
      <c r="C1448" t="s">
        <v>4910</v>
      </c>
      <c r="E1448" t="s">
        <v>18532</v>
      </c>
      <c r="F1448" t="s">
        <v>29372</v>
      </c>
      <c r="G1448" t="s">
        <v>29379</v>
      </c>
      <c r="H1448" t="s">
        <v>11048</v>
      </c>
      <c r="I1448" t="s">
        <v>9469</v>
      </c>
      <c r="J1448" t="s">
        <v>30588</v>
      </c>
      <c r="K1448" t="s">
        <v>38510</v>
      </c>
      <c r="M1448" t="s">
        <v>39296</v>
      </c>
      <c r="N1448" t="s">
        <v>42669</v>
      </c>
      <c r="O1448" t="s">
        <v>42670</v>
      </c>
      <c r="P1448">
        <v>0</v>
      </c>
      <c r="Q1448">
        <v>1</v>
      </c>
      <c r="R1448" t="s">
        <v>42673</v>
      </c>
      <c r="S1448" t="s">
        <v>42784</v>
      </c>
      <c r="T1448" t="s">
        <v>44401</v>
      </c>
      <c r="U1448" t="s">
        <v>46016</v>
      </c>
      <c r="W1448" t="s">
        <v>39296</v>
      </c>
      <c r="X1448" t="s">
        <v>42674</v>
      </c>
    </row>
    <row r="1449" spans="1:24">
      <c r="A1449">
        <f>HYPERLINK("https://www.philgeps.gov.ph/GEPSNONPILOT/Tender/SplashBidNoticeAbstractUI.aspx?menuIndex=3&amp;refID=7193739&amp;Result=3","7193739")</f>
        <v>0</v>
      </c>
      <c r="B1449" t="s">
        <v>532</v>
      </c>
      <c r="C1449" t="s">
        <v>4911</v>
      </c>
      <c r="D1449" t="s">
        <v>17141</v>
      </c>
      <c r="E1449" t="s">
        <v>18533</v>
      </c>
      <c r="F1449" t="s">
        <v>29372</v>
      </c>
      <c r="G1449" t="s">
        <v>29380</v>
      </c>
      <c r="H1449" t="s">
        <v>29389</v>
      </c>
      <c r="I1449" t="s">
        <v>10408</v>
      </c>
      <c r="J1449" t="s">
        <v>30589</v>
      </c>
      <c r="K1449" t="s">
        <v>38495</v>
      </c>
      <c r="M1449" t="s">
        <v>39299</v>
      </c>
      <c r="N1449" t="s">
        <v>42669</v>
      </c>
      <c r="O1449" t="s">
        <v>42670</v>
      </c>
      <c r="P1449">
        <v>0</v>
      </c>
      <c r="Q1449">
        <v>23</v>
      </c>
      <c r="R1449" t="s">
        <v>42673</v>
      </c>
      <c r="S1449" t="s">
        <v>42784</v>
      </c>
      <c r="T1449" t="s">
        <v>44460</v>
      </c>
      <c r="U1449" t="s">
        <v>46017</v>
      </c>
      <c r="W1449" t="s">
        <v>39299</v>
      </c>
      <c r="X1449" t="s">
        <v>42674</v>
      </c>
    </row>
    <row r="1450" spans="1:24">
      <c r="A1450">
        <f>HYPERLINK("https://www.philgeps.gov.ph/GEPSNONPILOT/Tender/SplashBidNoticeAbstractUI.aspx?menuIndex=3&amp;refID=7193750&amp;Result=3","7193750")</f>
        <v>0</v>
      </c>
      <c r="B1450" t="s">
        <v>533</v>
      </c>
      <c r="C1450" t="s">
        <v>4912</v>
      </c>
      <c r="E1450" t="s">
        <v>18534</v>
      </c>
      <c r="F1450" t="s">
        <v>29372</v>
      </c>
      <c r="G1450" t="s">
        <v>29380</v>
      </c>
      <c r="H1450" t="s">
        <v>11048</v>
      </c>
      <c r="I1450" t="s">
        <v>29433</v>
      </c>
      <c r="J1450" t="s">
        <v>30590</v>
      </c>
      <c r="K1450" t="s">
        <v>38490</v>
      </c>
      <c r="M1450" t="s">
        <v>39300</v>
      </c>
      <c r="N1450" t="s">
        <v>42669</v>
      </c>
      <c r="O1450" t="s">
        <v>42670</v>
      </c>
      <c r="P1450">
        <v>0</v>
      </c>
      <c r="Q1450">
        <v>5</v>
      </c>
      <c r="R1450" t="s">
        <v>42673</v>
      </c>
      <c r="S1450" t="s">
        <v>42784</v>
      </c>
      <c r="T1450" t="s">
        <v>44415</v>
      </c>
      <c r="U1450" t="s">
        <v>46018</v>
      </c>
      <c r="W1450" t="s">
        <v>39300</v>
      </c>
      <c r="X1450" t="s">
        <v>42674</v>
      </c>
    </row>
    <row r="1451" spans="1:24">
      <c r="A1451">
        <f>HYPERLINK("https://www.philgeps.gov.ph/GEPSNONPILOT/Tender/SplashBidNoticeAbstractUI.aspx?menuIndex=3&amp;refID=7193737&amp;Result=3","7193737")</f>
        <v>0</v>
      </c>
      <c r="B1451" t="s">
        <v>255</v>
      </c>
      <c r="C1451" t="s">
        <v>4913</v>
      </c>
      <c r="E1451" t="s">
        <v>18535</v>
      </c>
      <c r="F1451" t="s">
        <v>29372</v>
      </c>
      <c r="G1451" t="s">
        <v>29382</v>
      </c>
      <c r="H1451" t="s">
        <v>11048</v>
      </c>
      <c r="I1451" t="s">
        <v>5383</v>
      </c>
      <c r="J1451" t="s">
        <v>29692</v>
      </c>
      <c r="K1451" t="s">
        <v>38490</v>
      </c>
      <c r="M1451" t="s">
        <v>39014</v>
      </c>
      <c r="N1451" t="s">
        <v>42669</v>
      </c>
      <c r="O1451" t="s">
        <v>42670</v>
      </c>
      <c r="P1451">
        <v>0</v>
      </c>
      <c r="Q1451">
        <v>2</v>
      </c>
      <c r="R1451" t="s">
        <v>42673</v>
      </c>
      <c r="S1451" t="s">
        <v>42784</v>
      </c>
      <c r="T1451" t="s">
        <v>44489</v>
      </c>
      <c r="U1451" t="s">
        <v>45771</v>
      </c>
      <c r="W1451" t="s">
        <v>39014</v>
      </c>
      <c r="X1451" t="s">
        <v>42674</v>
      </c>
    </row>
    <row r="1452" spans="1:24">
      <c r="A1452">
        <f>HYPERLINK("https://www.philgeps.gov.ph/GEPSNONPILOT/Tender/SplashBidNoticeAbstractUI.aspx?menuIndex=3&amp;refID=7193757&amp;Result=3","7193757")</f>
        <v>0</v>
      </c>
      <c r="B1452" t="s">
        <v>534</v>
      </c>
      <c r="C1452" t="s">
        <v>4914</v>
      </c>
      <c r="D1452" t="s">
        <v>17195</v>
      </c>
      <c r="E1452" t="s">
        <v>18536</v>
      </c>
      <c r="F1452" t="s">
        <v>29372</v>
      </c>
      <c r="G1452" t="s">
        <v>29379</v>
      </c>
      <c r="H1452" t="s">
        <v>11048</v>
      </c>
      <c r="I1452" t="s">
        <v>4487</v>
      </c>
      <c r="J1452" t="s">
        <v>30591</v>
      </c>
      <c r="K1452" t="s">
        <v>38490</v>
      </c>
      <c r="M1452" t="s">
        <v>39301</v>
      </c>
      <c r="N1452" t="s">
        <v>42669</v>
      </c>
      <c r="O1452" t="s">
        <v>42670</v>
      </c>
      <c r="P1452">
        <v>0</v>
      </c>
      <c r="Q1452">
        <v>0</v>
      </c>
      <c r="R1452" t="s">
        <v>42673</v>
      </c>
      <c r="S1452" t="s">
        <v>42784</v>
      </c>
      <c r="T1452" t="s">
        <v>44454</v>
      </c>
      <c r="U1452" t="s">
        <v>46019</v>
      </c>
      <c r="W1452" t="s">
        <v>39301</v>
      </c>
      <c r="X1452" t="s">
        <v>42674</v>
      </c>
    </row>
    <row r="1453" spans="1:24">
      <c r="A1453">
        <f>HYPERLINK("https://www.philgeps.gov.ph/GEPSNONPILOT/Tender/SplashBidNoticeAbstractUI.aspx?menuIndex=3&amp;refID=7193744&amp;Result=3","7193744")</f>
        <v>0</v>
      </c>
      <c r="B1453" t="s">
        <v>119</v>
      </c>
      <c r="C1453" t="s">
        <v>4915</v>
      </c>
      <c r="D1453" t="s">
        <v>17141</v>
      </c>
      <c r="E1453" t="s">
        <v>18537</v>
      </c>
      <c r="F1453" t="s">
        <v>29372</v>
      </c>
      <c r="G1453" t="s">
        <v>29379</v>
      </c>
      <c r="H1453" t="s">
        <v>11048</v>
      </c>
      <c r="I1453" t="s">
        <v>29419</v>
      </c>
      <c r="J1453" t="s">
        <v>30302</v>
      </c>
      <c r="K1453" t="s">
        <v>38525</v>
      </c>
      <c r="M1453" t="s">
        <v>39302</v>
      </c>
      <c r="N1453" t="s">
        <v>42669</v>
      </c>
      <c r="O1453" t="s">
        <v>42670</v>
      </c>
      <c r="P1453">
        <v>0</v>
      </c>
      <c r="Q1453">
        <v>2</v>
      </c>
      <c r="R1453" t="s">
        <v>42673</v>
      </c>
      <c r="S1453" t="s">
        <v>42784</v>
      </c>
      <c r="T1453" t="s">
        <v>44397</v>
      </c>
      <c r="U1453" t="s">
        <v>46020</v>
      </c>
      <c r="W1453" t="s">
        <v>39302</v>
      </c>
      <c r="X1453" t="s">
        <v>42674</v>
      </c>
    </row>
    <row r="1454" spans="1:24">
      <c r="A1454">
        <f>HYPERLINK("https://www.philgeps.gov.ph/GEPSNONPILOT/Tender/SplashBidNoticeAbstractUI.aspx?menuIndex=3&amp;refID=7168911&amp;Result=3","7168911")</f>
        <v>0</v>
      </c>
      <c r="B1454" t="s">
        <v>535</v>
      </c>
      <c r="C1454" t="s">
        <v>4916</v>
      </c>
      <c r="E1454" t="s">
        <v>18538</v>
      </c>
      <c r="F1454" t="s">
        <v>29372</v>
      </c>
      <c r="G1454" t="s">
        <v>29383</v>
      </c>
      <c r="H1454" t="s">
        <v>11048</v>
      </c>
      <c r="I1454" t="s">
        <v>4487</v>
      </c>
      <c r="J1454" t="s">
        <v>30592</v>
      </c>
      <c r="K1454" t="s">
        <v>38490</v>
      </c>
      <c r="M1454" t="s">
        <v>39303</v>
      </c>
      <c r="N1454" t="s">
        <v>42669</v>
      </c>
      <c r="O1454" t="s">
        <v>42670</v>
      </c>
      <c r="P1454">
        <v>0</v>
      </c>
      <c r="Q1454">
        <v>0</v>
      </c>
      <c r="R1454" t="s">
        <v>42674</v>
      </c>
      <c r="S1454" t="s">
        <v>42788</v>
      </c>
      <c r="T1454" t="s">
        <v>44432</v>
      </c>
      <c r="U1454" t="s">
        <v>46021</v>
      </c>
      <c r="W1454" t="s">
        <v>39303</v>
      </c>
      <c r="X1454" t="s">
        <v>42685</v>
      </c>
    </row>
    <row r="1455" spans="1:24">
      <c r="A1455">
        <f>HYPERLINK("https://www.philgeps.gov.ph/GEPSNONPILOT/Tender/SplashBidNoticeAbstractUI.aspx?menuIndex=3&amp;refID=7168902&amp;Result=3","7168902")</f>
        <v>0</v>
      </c>
      <c r="B1455" t="s">
        <v>535</v>
      </c>
      <c r="C1455" t="s">
        <v>4917</v>
      </c>
      <c r="E1455" t="s">
        <v>18539</v>
      </c>
      <c r="F1455" t="s">
        <v>29372</v>
      </c>
      <c r="G1455" t="s">
        <v>29379</v>
      </c>
      <c r="H1455" t="s">
        <v>11048</v>
      </c>
      <c r="I1455" t="s">
        <v>29406</v>
      </c>
      <c r="J1455" t="s">
        <v>30593</v>
      </c>
      <c r="K1455" t="s">
        <v>38490</v>
      </c>
      <c r="M1455" t="s">
        <v>39303</v>
      </c>
      <c r="N1455" t="s">
        <v>42669</v>
      </c>
      <c r="O1455" t="s">
        <v>42670</v>
      </c>
      <c r="P1455">
        <v>0</v>
      </c>
      <c r="Q1455">
        <v>4</v>
      </c>
      <c r="R1455" t="s">
        <v>42674</v>
      </c>
      <c r="S1455" t="s">
        <v>42788</v>
      </c>
      <c r="T1455" t="s">
        <v>44432</v>
      </c>
      <c r="U1455" t="s">
        <v>46021</v>
      </c>
      <c r="W1455" t="s">
        <v>39303</v>
      </c>
      <c r="X1455" t="s">
        <v>42685</v>
      </c>
    </row>
    <row r="1456" spans="1:24">
      <c r="A1456">
        <f>HYPERLINK("https://www.philgeps.gov.ph/GEPSNONPILOT/Tender/SplashBidNoticeAbstractUI.aspx?menuIndex=3&amp;refID=7168878&amp;Result=3","7168878")</f>
        <v>0</v>
      </c>
      <c r="B1456" t="s">
        <v>535</v>
      </c>
      <c r="C1456" t="s">
        <v>4918</v>
      </c>
      <c r="E1456" t="s">
        <v>18540</v>
      </c>
      <c r="F1456" t="s">
        <v>29372</v>
      </c>
      <c r="G1456" t="s">
        <v>29379</v>
      </c>
      <c r="H1456" t="s">
        <v>11048</v>
      </c>
      <c r="I1456" t="s">
        <v>9642</v>
      </c>
      <c r="J1456" t="s">
        <v>29708</v>
      </c>
      <c r="K1456" t="s">
        <v>38490</v>
      </c>
      <c r="M1456" t="s">
        <v>39303</v>
      </c>
      <c r="N1456" t="s">
        <v>42669</v>
      </c>
      <c r="O1456" t="s">
        <v>42670</v>
      </c>
      <c r="P1456">
        <v>0</v>
      </c>
      <c r="Q1456">
        <v>0</v>
      </c>
      <c r="R1456" t="s">
        <v>42674</v>
      </c>
      <c r="S1456" t="s">
        <v>42788</v>
      </c>
      <c r="T1456" t="s">
        <v>44432</v>
      </c>
      <c r="U1456" t="s">
        <v>46021</v>
      </c>
      <c r="W1456" t="s">
        <v>39303</v>
      </c>
      <c r="X1456" t="s">
        <v>42685</v>
      </c>
    </row>
    <row r="1457" spans="1:24">
      <c r="A1457">
        <f>HYPERLINK("https://www.philgeps.gov.ph/GEPSNONPILOT/Tender/SplashBidNoticeAbstractUI.aspx?menuIndex=3&amp;refID=7165737&amp;Result=3","7165737")</f>
        <v>0</v>
      </c>
      <c r="B1457" t="s">
        <v>536</v>
      </c>
      <c r="C1457" t="s">
        <v>4919</v>
      </c>
      <c r="E1457" t="s">
        <v>18541</v>
      </c>
      <c r="F1457" t="s">
        <v>29372</v>
      </c>
      <c r="G1457" t="s">
        <v>29380</v>
      </c>
      <c r="H1457" t="s">
        <v>29389</v>
      </c>
      <c r="I1457" t="s">
        <v>10408</v>
      </c>
      <c r="J1457" t="s">
        <v>30594</v>
      </c>
      <c r="K1457" t="s">
        <v>38490</v>
      </c>
      <c r="M1457" t="s">
        <v>39304</v>
      </c>
      <c r="N1457" t="s">
        <v>42669</v>
      </c>
      <c r="O1457" t="s">
        <v>42670</v>
      </c>
      <c r="P1457">
        <v>0</v>
      </c>
      <c r="Q1457">
        <v>0</v>
      </c>
      <c r="R1457" t="s">
        <v>42674</v>
      </c>
      <c r="S1457" t="s">
        <v>42788</v>
      </c>
      <c r="T1457" t="s">
        <v>44529</v>
      </c>
      <c r="U1457" t="s">
        <v>46022</v>
      </c>
      <c r="W1457" t="s">
        <v>39304</v>
      </c>
      <c r="X1457" t="s">
        <v>42686</v>
      </c>
    </row>
    <row r="1458" spans="1:24">
      <c r="A1458">
        <f>HYPERLINK("https://www.philgeps.gov.ph/GEPSNONPILOT/Tender/SplashBidNoticeAbstractUI.aspx?menuIndex=3&amp;refID=7193670&amp;Result=3","7193670")</f>
        <v>0</v>
      </c>
      <c r="B1458" t="s">
        <v>515</v>
      </c>
      <c r="C1458" t="s">
        <v>4920</v>
      </c>
      <c r="D1458" t="s">
        <v>17141</v>
      </c>
      <c r="E1458" t="s">
        <v>18495</v>
      </c>
      <c r="F1458" t="s">
        <v>29372</v>
      </c>
      <c r="G1458" t="s">
        <v>29380</v>
      </c>
      <c r="H1458" t="s">
        <v>11048</v>
      </c>
      <c r="I1458" t="s">
        <v>3860</v>
      </c>
      <c r="J1458" t="s">
        <v>30595</v>
      </c>
      <c r="K1458" t="s">
        <v>38510</v>
      </c>
      <c r="M1458" t="s">
        <v>39282</v>
      </c>
      <c r="N1458" t="s">
        <v>42669</v>
      </c>
      <c r="O1458" t="s">
        <v>42670</v>
      </c>
      <c r="P1458">
        <v>0</v>
      </c>
      <c r="Q1458">
        <v>0</v>
      </c>
      <c r="R1458" t="s">
        <v>42673</v>
      </c>
      <c r="S1458" t="s">
        <v>42784</v>
      </c>
      <c r="T1458" t="s">
        <v>44453</v>
      </c>
      <c r="U1458" t="s">
        <v>45978</v>
      </c>
      <c r="W1458" t="s">
        <v>39282</v>
      </c>
      <c r="X1458" t="s">
        <v>42674</v>
      </c>
    </row>
    <row r="1459" spans="1:24">
      <c r="A1459">
        <f>HYPERLINK("https://www.philgeps.gov.ph/GEPSNONPILOT/Tender/SplashBidNoticeAbstractUI.aspx?menuIndex=3&amp;refID=7157055&amp;Result=3","7157055")</f>
        <v>0</v>
      </c>
      <c r="B1459" t="s">
        <v>537</v>
      </c>
      <c r="C1459" t="s">
        <v>4921</v>
      </c>
      <c r="D1459" t="s">
        <v>17171</v>
      </c>
      <c r="E1459" t="s">
        <v>18542</v>
      </c>
      <c r="F1459" t="s">
        <v>29372</v>
      </c>
      <c r="G1459" t="s">
        <v>29383</v>
      </c>
      <c r="H1459" t="s">
        <v>11048</v>
      </c>
      <c r="I1459" t="s">
        <v>29426</v>
      </c>
      <c r="J1459" t="s">
        <v>30596</v>
      </c>
      <c r="K1459" t="s">
        <v>38510</v>
      </c>
      <c r="M1459" t="s">
        <v>39305</v>
      </c>
      <c r="N1459" t="s">
        <v>42669</v>
      </c>
      <c r="O1459" t="s">
        <v>42670</v>
      </c>
      <c r="P1459">
        <v>0</v>
      </c>
      <c r="Q1459">
        <v>2</v>
      </c>
      <c r="R1459" t="s">
        <v>42674</v>
      </c>
      <c r="S1459" t="s">
        <v>42788</v>
      </c>
      <c r="T1459" t="s">
        <v>44394</v>
      </c>
      <c r="U1459" t="s">
        <v>46023</v>
      </c>
      <c r="V1459" t="s">
        <v>56488</v>
      </c>
      <c r="W1459" t="s">
        <v>39305</v>
      </c>
      <c r="X1459" t="s">
        <v>42691</v>
      </c>
    </row>
    <row r="1460" spans="1:24">
      <c r="A1460">
        <f>HYPERLINK("https://www.philgeps.gov.ph/GEPSNONPILOT/Tender/SplashBidNoticeAbstractUI.aspx?menuIndex=3&amp;refID=7156886&amp;Result=3","7156886")</f>
        <v>0</v>
      </c>
      <c r="B1460" t="s">
        <v>538</v>
      </c>
      <c r="C1460" t="s">
        <v>4922</v>
      </c>
      <c r="D1460" t="s">
        <v>17172</v>
      </c>
      <c r="E1460" t="s">
        <v>18543</v>
      </c>
      <c r="F1460" t="s">
        <v>29372</v>
      </c>
      <c r="G1460" t="s">
        <v>29383</v>
      </c>
      <c r="H1460" t="s">
        <v>11048</v>
      </c>
      <c r="I1460" t="s">
        <v>29407</v>
      </c>
      <c r="J1460" t="s">
        <v>30597</v>
      </c>
      <c r="K1460" t="s">
        <v>38490</v>
      </c>
      <c r="M1460" t="s">
        <v>39306</v>
      </c>
      <c r="N1460" t="s">
        <v>42669</v>
      </c>
      <c r="O1460" t="s">
        <v>42670</v>
      </c>
      <c r="P1460">
        <v>0</v>
      </c>
      <c r="Q1460">
        <v>5</v>
      </c>
      <c r="R1460" t="s">
        <v>42674</v>
      </c>
      <c r="S1460" t="s">
        <v>42788</v>
      </c>
      <c r="T1460" t="s">
        <v>44508</v>
      </c>
      <c r="U1460" t="s">
        <v>46024</v>
      </c>
      <c r="V1460" t="s">
        <v>56489</v>
      </c>
      <c r="W1460" t="s">
        <v>39306</v>
      </c>
      <c r="X1460" t="s">
        <v>42691</v>
      </c>
    </row>
    <row r="1461" spans="1:24">
      <c r="A1461">
        <f>HYPERLINK("https://www.philgeps.gov.ph/GEPSNONPILOT/Tender/SplashBidNoticeAbstractUI.aspx?menuIndex=3&amp;refID=7193725&amp;Result=3","7193725")</f>
        <v>0</v>
      </c>
      <c r="B1461" t="s">
        <v>255</v>
      </c>
      <c r="C1461" t="s">
        <v>4923</v>
      </c>
      <c r="E1461" t="s">
        <v>18544</v>
      </c>
      <c r="F1461" t="s">
        <v>29372</v>
      </c>
      <c r="G1461" t="s">
        <v>29379</v>
      </c>
      <c r="H1461" t="s">
        <v>11048</v>
      </c>
      <c r="I1461" t="s">
        <v>29433</v>
      </c>
      <c r="J1461" t="s">
        <v>29797</v>
      </c>
      <c r="K1461" t="s">
        <v>38490</v>
      </c>
      <c r="M1461" t="s">
        <v>39014</v>
      </c>
      <c r="N1461" t="s">
        <v>42669</v>
      </c>
      <c r="O1461" t="s">
        <v>42670</v>
      </c>
      <c r="P1461">
        <v>0</v>
      </c>
      <c r="Q1461">
        <v>7</v>
      </c>
      <c r="R1461" t="s">
        <v>42673</v>
      </c>
      <c r="S1461" t="s">
        <v>42784</v>
      </c>
      <c r="T1461" t="s">
        <v>44489</v>
      </c>
      <c r="U1461" t="s">
        <v>45771</v>
      </c>
      <c r="W1461" t="s">
        <v>39014</v>
      </c>
      <c r="X1461" t="s">
        <v>42674</v>
      </c>
    </row>
    <row r="1462" spans="1:24">
      <c r="A1462">
        <f>HYPERLINK("https://www.philgeps.gov.ph/GEPSNONPILOT/Tender/SplashBidNoticeAbstractUI.aspx?menuIndex=3&amp;refID=7148752&amp;Result=3","7148752")</f>
        <v>0</v>
      </c>
      <c r="B1462" t="s">
        <v>539</v>
      </c>
      <c r="C1462" t="s">
        <v>4924</v>
      </c>
      <c r="D1462" t="s">
        <v>17141</v>
      </c>
      <c r="E1462" t="s">
        <v>18545</v>
      </c>
      <c r="F1462" t="s">
        <v>29372</v>
      </c>
      <c r="G1462" t="s">
        <v>29380</v>
      </c>
      <c r="H1462" t="s">
        <v>29390</v>
      </c>
      <c r="I1462" t="s">
        <v>29471</v>
      </c>
      <c r="J1462" t="s">
        <v>30598</v>
      </c>
      <c r="K1462" t="s">
        <v>38570</v>
      </c>
      <c r="M1462" t="s">
        <v>39307</v>
      </c>
      <c r="N1462" t="s">
        <v>42669</v>
      </c>
      <c r="O1462" t="s">
        <v>42670</v>
      </c>
      <c r="P1462">
        <v>0</v>
      </c>
      <c r="Q1462">
        <v>3</v>
      </c>
      <c r="R1462" t="s">
        <v>42674</v>
      </c>
      <c r="S1462" t="s">
        <v>42788</v>
      </c>
      <c r="T1462" t="s">
        <v>44402</v>
      </c>
      <c r="U1462" t="s">
        <v>46025</v>
      </c>
      <c r="W1462" t="s">
        <v>39307</v>
      </c>
      <c r="X1462" t="s">
        <v>42695</v>
      </c>
    </row>
    <row r="1463" spans="1:24">
      <c r="A1463">
        <f>HYPERLINK("https://www.philgeps.gov.ph/GEPSNONPILOT/Tender/SplashBidNoticeAbstractUI.aspx?menuIndex=3&amp;refID=7142091&amp;Result=3","7142091")</f>
        <v>0</v>
      </c>
      <c r="B1463" t="s">
        <v>540</v>
      </c>
      <c r="C1463" t="s">
        <v>4925</v>
      </c>
      <c r="D1463" t="s">
        <v>17192</v>
      </c>
      <c r="E1463" t="s">
        <v>18546</v>
      </c>
      <c r="F1463" t="s">
        <v>29372</v>
      </c>
      <c r="G1463" t="s">
        <v>29379</v>
      </c>
      <c r="H1463" t="s">
        <v>11048</v>
      </c>
      <c r="I1463" t="s">
        <v>3629</v>
      </c>
      <c r="J1463" t="s">
        <v>30599</v>
      </c>
      <c r="K1463" t="s">
        <v>38485</v>
      </c>
      <c r="M1463" t="s">
        <v>39308</v>
      </c>
      <c r="N1463" t="s">
        <v>42669</v>
      </c>
      <c r="O1463" t="s">
        <v>42670</v>
      </c>
      <c r="P1463">
        <v>0</v>
      </c>
      <c r="Q1463">
        <v>2</v>
      </c>
      <c r="R1463" t="s">
        <v>42674</v>
      </c>
      <c r="S1463" t="s">
        <v>42788</v>
      </c>
      <c r="T1463" t="s">
        <v>44469</v>
      </c>
      <c r="U1463" t="s">
        <v>46026</v>
      </c>
      <c r="W1463" t="s">
        <v>39308</v>
      </c>
      <c r="X1463" t="s">
        <v>42698</v>
      </c>
    </row>
    <row r="1464" spans="1:24">
      <c r="A1464">
        <f>HYPERLINK("https://www.philgeps.gov.ph/GEPSNONPILOT/Tender/SplashBidNoticeAbstractUI.aspx?menuIndex=3&amp;refID=7131859&amp;Result=3","7131859")</f>
        <v>0</v>
      </c>
      <c r="B1464" t="s">
        <v>541</v>
      </c>
      <c r="C1464" t="s">
        <v>4926</v>
      </c>
      <c r="D1464" t="s">
        <v>17205</v>
      </c>
      <c r="E1464" t="s">
        <v>18290</v>
      </c>
      <c r="F1464" t="s">
        <v>29372</v>
      </c>
      <c r="G1464" t="s">
        <v>29380</v>
      </c>
      <c r="H1464" t="s">
        <v>11048</v>
      </c>
      <c r="I1464" t="s">
        <v>4709</v>
      </c>
      <c r="J1464" t="s">
        <v>30600</v>
      </c>
      <c r="K1464" t="s">
        <v>38491</v>
      </c>
      <c r="M1464" t="s">
        <v>39309</v>
      </c>
      <c r="N1464" t="s">
        <v>42669</v>
      </c>
      <c r="O1464" t="s">
        <v>42670</v>
      </c>
      <c r="P1464">
        <v>0</v>
      </c>
      <c r="Q1464">
        <v>0</v>
      </c>
      <c r="R1464" t="s">
        <v>42674</v>
      </c>
      <c r="S1464" t="s">
        <v>42788</v>
      </c>
      <c r="T1464" t="s">
        <v>44530</v>
      </c>
      <c r="U1464" t="s">
        <v>46027</v>
      </c>
      <c r="V1464" t="s">
        <v>56490</v>
      </c>
      <c r="W1464" t="s">
        <v>39309</v>
      </c>
      <c r="X1464" t="s">
        <v>42703</v>
      </c>
    </row>
    <row r="1465" spans="1:24">
      <c r="A1465">
        <f>HYPERLINK("https://www.philgeps.gov.ph/GEPSNONPILOT/Tender/SplashBidNoticeAbstractUI.aspx?menuIndex=3&amp;refID=7122707-2&amp;Result=3","7122707-2")</f>
        <v>0</v>
      </c>
      <c r="B1465" t="s">
        <v>542</v>
      </c>
      <c r="C1465" t="s">
        <v>4927</v>
      </c>
      <c r="E1465" t="s">
        <v>18547</v>
      </c>
      <c r="F1465" t="s">
        <v>29372</v>
      </c>
      <c r="G1465" t="s">
        <v>29380</v>
      </c>
      <c r="H1465" t="s">
        <v>29391</v>
      </c>
      <c r="I1465" t="s">
        <v>29391</v>
      </c>
      <c r="J1465" t="s">
        <v>30601</v>
      </c>
      <c r="K1465" t="s">
        <v>38506</v>
      </c>
      <c r="M1465" t="s">
        <v>39310</v>
      </c>
      <c r="N1465" t="s">
        <v>42669</v>
      </c>
      <c r="O1465" t="s">
        <v>42670</v>
      </c>
      <c r="P1465">
        <v>0</v>
      </c>
      <c r="Q1465">
        <v>0</v>
      </c>
      <c r="R1465" t="s">
        <v>42674</v>
      </c>
      <c r="S1465" t="s">
        <v>42788</v>
      </c>
      <c r="T1465" t="s">
        <v>44531</v>
      </c>
      <c r="U1465" t="s">
        <v>46028</v>
      </c>
      <c r="V1465" t="s">
        <v>56491</v>
      </c>
      <c r="W1465" t="s">
        <v>39310</v>
      </c>
      <c r="X1465" t="s">
        <v>42676</v>
      </c>
    </row>
    <row r="1466" spans="1:24">
      <c r="A1466">
        <f>HYPERLINK("https://www.philgeps.gov.ph/GEPSNONPILOT/Tender/SplashBidNoticeAbstractUI.aspx?menuIndex=3&amp;refID=7164458&amp;Result=3","7164458")</f>
        <v>0</v>
      </c>
      <c r="B1466" t="s">
        <v>543</v>
      </c>
      <c r="C1466" t="s">
        <v>4928</v>
      </c>
      <c r="D1466" t="s">
        <v>17169</v>
      </c>
      <c r="E1466" t="s">
        <v>18548</v>
      </c>
      <c r="F1466" t="s">
        <v>29373</v>
      </c>
      <c r="G1466" t="s">
        <v>29383</v>
      </c>
      <c r="H1466" t="s">
        <v>11048</v>
      </c>
      <c r="I1466" t="s">
        <v>29409</v>
      </c>
      <c r="J1466" t="s">
        <v>30602</v>
      </c>
      <c r="K1466" t="s">
        <v>38491</v>
      </c>
      <c r="M1466" t="s">
        <v>39311</v>
      </c>
      <c r="N1466" t="s">
        <v>42669</v>
      </c>
      <c r="O1466" t="s">
        <v>42670</v>
      </c>
      <c r="P1466">
        <v>0</v>
      </c>
      <c r="Q1466">
        <v>3</v>
      </c>
      <c r="R1466" t="s">
        <v>42674</v>
      </c>
      <c r="S1466" t="s">
        <v>42788</v>
      </c>
      <c r="T1466" t="s">
        <v>44489</v>
      </c>
      <c r="U1466" t="s">
        <v>46029</v>
      </c>
      <c r="V1466" t="s">
        <v>56492</v>
      </c>
      <c r="W1466" t="s">
        <v>39311</v>
      </c>
      <c r="X1466" t="s">
        <v>42688</v>
      </c>
    </row>
    <row r="1467" spans="1:24">
      <c r="A1467">
        <f>HYPERLINK("https://www.philgeps.gov.ph/GEPSNONPILOT/Tender/SplashBidNoticeAbstractUI.aspx?menuIndex=3&amp;refID=7081649&amp;Result=3","7081649")</f>
        <v>0</v>
      </c>
      <c r="B1467" t="s">
        <v>544</v>
      </c>
      <c r="C1467" t="s">
        <v>4929</v>
      </c>
      <c r="D1467" t="s">
        <v>17218</v>
      </c>
      <c r="E1467" t="s">
        <v>18549</v>
      </c>
      <c r="F1467" t="s">
        <v>29372</v>
      </c>
      <c r="G1467" t="s">
        <v>29379</v>
      </c>
      <c r="H1467" t="s">
        <v>11048</v>
      </c>
      <c r="I1467" t="s">
        <v>29437</v>
      </c>
      <c r="J1467" t="s">
        <v>29526</v>
      </c>
      <c r="K1467" t="s">
        <v>38490</v>
      </c>
      <c r="M1467" t="s">
        <v>39312</v>
      </c>
      <c r="N1467" t="s">
        <v>42669</v>
      </c>
      <c r="O1467" t="s">
        <v>42670</v>
      </c>
      <c r="P1467">
        <v>0</v>
      </c>
      <c r="Q1467">
        <v>0</v>
      </c>
      <c r="R1467" t="s">
        <v>42674</v>
      </c>
      <c r="S1467" t="s">
        <v>42788</v>
      </c>
      <c r="T1467" t="s">
        <v>44532</v>
      </c>
      <c r="U1467" t="s">
        <v>46030</v>
      </c>
      <c r="W1467" t="s">
        <v>39312</v>
      </c>
      <c r="X1467" t="s">
        <v>42718</v>
      </c>
    </row>
    <row r="1468" spans="1:24">
      <c r="A1468">
        <f>HYPERLINK("https://www.philgeps.gov.ph/GEPSNONPILOT/Tender/SplashBidNoticeAbstractUI.aspx?menuIndex=3&amp;refID=7081639&amp;Result=3","7081639")</f>
        <v>0</v>
      </c>
      <c r="B1468" t="s">
        <v>544</v>
      </c>
      <c r="C1468" t="s">
        <v>4930</v>
      </c>
      <c r="D1468" t="s">
        <v>17219</v>
      </c>
      <c r="E1468" t="s">
        <v>18550</v>
      </c>
      <c r="F1468" t="s">
        <v>29372</v>
      </c>
      <c r="G1468" t="s">
        <v>29379</v>
      </c>
      <c r="H1468" t="s">
        <v>11048</v>
      </c>
      <c r="I1468" t="s">
        <v>29437</v>
      </c>
      <c r="J1468" t="s">
        <v>29644</v>
      </c>
      <c r="K1468" t="s">
        <v>38490</v>
      </c>
      <c r="M1468" t="s">
        <v>39312</v>
      </c>
      <c r="N1468" t="s">
        <v>42669</v>
      </c>
      <c r="O1468" t="s">
        <v>42670</v>
      </c>
      <c r="P1468">
        <v>0</v>
      </c>
      <c r="Q1468">
        <v>0</v>
      </c>
      <c r="R1468" t="s">
        <v>42674</v>
      </c>
      <c r="S1468" t="s">
        <v>42788</v>
      </c>
      <c r="T1468" t="s">
        <v>44532</v>
      </c>
      <c r="U1468" t="s">
        <v>46031</v>
      </c>
      <c r="W1468" t="s">
        <v>39312</v>
      </c>
      <c r="X1468" t="s">
        <v>42718</v>
      </c>
    </row>
    <row r="1469" spans="1:24">
      <c r="A1469">
        <f>HYPERLINK("https://www.philgeps.gov.ph/GEPSNONPILOT/Tender/SplashBidNoticeAbstractUI.aspx?menuIndex=3&amp;refID=7122844&amp;Result=3","7122844")</f>
        <v>0</v>
      </c>
      <c r="B1469" t="s">
        <v>538</v>
      </c>
      <c r="C1469" t="s">
        <v>4931</v>
      </c>
      <c r="D1469" t="s">
        <v>17172</v>
      </c>
      <c r="E1469" t="s">
        <v>18551</v>
      </c>
      <c r="F1469" t="s">
        <v>29372</v>
      </c>
      <c r="G1469" t="s">
        <v>29383</v>
      </c>
      <c r="H1469" t="s">
        <v>11048</v>
      </c>
      <c r="I1469" t="s">
        <v>5383</v>
      </c>
      <c r="J1469" t="s">
        <v>30603</v>
      </c>
      <c r="K1469" t="s">
        <v>38490</v>
      </c>
      <c r="M1469" t="s">
        <v>39306</v>
      </c>
      <c r="N1469" t="s">
        <v>42669</v>
      </c>
      <c r="O1469" t="s">
        <v>42670</v>
      </c>
      <c r="P1469">
        <v>0</v>
      </c>
      <c r="Q1469">
        <v>4</v>
      </c>
      <c r="R1469" t="s">
        <v>42674</v>
      </c>
      <c r="S1469" t="s">
        <v>42788</v>
      </c>
      <c r="T1469" t="s">
        <v>44508</v>
      </c>
      <c r="U1469" t="s">
        <v>46032</v>
      </c>
      <c r="V1469" t="s">
        <v>56493</v>
      </c>
      <c r="W1469" t="s">
        <v>39306</v>
      </c>
      <c r="X1469" t="s">
        <v>42706</v>
      </c>
    </row>
    <row r="1470" spans="1:24">
      <c r="A1470">
        <f>HYPERLINK("https://www.philgeps.gov.ph/GEPSNONPILOT/Tender/SplashBidNoticeAbstractUI.aspx?menuIndex=3&amp;refID=7081626&amp;Result=3","7081626")</f>
        <v>0</v>
      </c>
      <c r="B1470" t="s">
        <v>544</v>
      </c>
      <c r="C1470" t="s">
        <v>4932</v>
      </c>
      <c r="D1470" t="s">
        <v>17184</v>
      </c>
      <c r="E1470" t="s">
        <v>18552</v>
      </c>
      <c r="F1470" t="s">
        <v>29372</v>
      </c>
      <c r="G1470" t="s">
        <v>29379</v>
      </c>
      <c r="H1470" t="s">
        <v>11048</v>
      </c>
      <c r="I1470" t="s">
        <v>29437</v>
      </c>
      <c r="J1470" t="s">
        <v>29644</v>
      </c>
      <c r="K1470" t="s">
        <v>38490</v>
      </c>
      <c r="M1470" t="s">
        <v>39312</v>
      </c>
      <c r="N1470" t="s">
        <v>42669</v>
      </c>
      <c r="O1470" t="s">
        <v>42670</v>
      </c>
      <c r="P1470">
        <v>0</v>
      </c>
      <c r="Q1470">
        <v>0</v>
      </c>
      <c r="R1470" t="s">
        <v>42674</v>
      </c>
      <c r="S1470" t="s">
        <v>42788</v>
      </c>
      <c r="T1470" t="s">
        <v>44532</v>
      </c>
      <c r="U1470" t="s">
        <v>46033</v>
      </c>
      <c r="W1470" t="s">
        <v>39312</v>
      </c>
      <c r="X1470" t="s">
        <v>42718</v>
      </c>
    </row>
    <row r="1471" spans="1:24">
      <c r="A1471">
        <f>HYPERLINK("https://www.philgeps.gov.ph/GEPSNONPILOT/Tender/SplashBidNoticeAbstractUI.aspx?menuIndex=3&amp;refID=7029732-2&amp;Result=3","7029732-2")</f>
        <v>0</v>
      </c>
      <c r="B1471" t="s">
        <v>542</v>
      </c>
      <c r="C1471" t="s">
        <v>4933</v>
      </c>
      <c r="E1471" t="s">
        <v>18553</v>
      </c>
      <c r="F1471" t="s">
        <v>29372</v>
      </c>
      <c r="G1471" t="s">
        <v>29380</v>
      </c>
      <c r="H1471" t="s">
        <v>29391</v>
      </c>
      <c r="I1471" t="s">
        <v>29391</v>
      </c>
      <c r="J1471" t="s">
        <v>30604</v>
      </c>
      <c r="K1471" t="s">
        <v>38575</v>
      </c>
      <c r="M1471" t="s">
        <v>39310</v>
      </c>
      <c r="N1471" t="s">
        <v>42669</v>
      </c>
      <c r="O1471" t="s">
        <v>42670</v>
      </c>
      <c r="P1471">
        <v>0</v>
      </c>
      <c r="Q1471">
        <v>2</v>
      </c>
      <c r="R1471" t="s">
        <v>42674</v>
      </c>
      <c r="S1471" t="s">
        <v>42788</v>
      </c>
      <c r="T1471" t="s">
        <v>44531</v>
      </c>
      <c r="U1471" t="s">
        <v>46028</v>
      </c>
      <c r="V1471" t="s">
        <v>56494</v>
      </c>
      <c r="W1471" t="s">
        <v>39310</v>
      </c>
      <c r="X1471" t="s">
        <v>42676</v>
      </c>
    </row>
    <row r="1472" spans="1:24">
      <c r="A1472">
        <f>HYPERLINK("https://www.philgeps.gov.ph/GEPSNONPILOT/Tender/SplashBidNoticeAbstractUI.aspx?menuIndex=3&amp;refID=7193733&amp;Result=3","7193733")</f>
        <v>0</v>
      </c>
      <c r="B1472" t="s">
        <v>235</v>
      </c>
      <c r="C1472" t="s">
        <v>4934</v>
      </c>
      <c r="D1472" t="s">
        <v>17185</v>
      </c>
      <c r="E1472" t="s">
        <v>17773</v>
      </c>
      <c r="F1472" t="s">
        <v>29372</v>
      </c>
      <c r="G1472" t="s">
        <v>29383</v>
      </c>
      <c r="H1472" t="s">
        <v>11048</v>
      </c>
      <c r="I1472" t="s">
        <v>3695</v>
      </c>
      <c r="J1472" t="s">
        <v>30605</v>
      </c>
      <c r="K1472" t="s">
        <v>38510</v>
      </c>
      <c r="M1472" t="s">
        <v>38994</v>
      </c>
      <c r="N1472" t="s">
        <v>42669</v>
      </c>
      <c r="O1472" t="s">
        <v>42670</v>
      </c>
      <c r="P1472">
        <v>0</v>
      </c>
      <c r="Q1472">
        <v>1</v>
      </c>
      <c r="R1472" t="s">
        <v>42673</v>
      </c>
      <c r="S1472" t="s">
        <v>42784</v>
      </c>
      <c r="T1472" t="s">
        <v>44387</v>
      </c>
      <c r="U1472" t="s">
        <v>46034</v>
      </c>
      <c r="W1472" t="s">
        <v>38994</v>
      </c>
      <c r="X1472" t="s">
        <v>42674</v>
      </c>
    </row>
    <row r="1473" spans="1:24">
      <c r="A1473">
        <f>HYPERLINK("https://www.philgeps.gov.ph/GEPSNONPILOT/Tender/SplashBidNoticeAbstractUI.aspx?menuIndex=3&amp;refID=7193732&amp;Result=3","7193732")</f>
        <v>0</v>
      </c>
      <c r="B1473" t="s">
        <v>524</v>
      </c>
      <c r="C1473" t="s">
        <v>4935</v>
      </c>
      <c r="D1473" t="s">
        <v>17184</v>
      </c>
      <c r="E1473" t="s">
        <v>18554</v>
      </c>
      <c r="F1473" t="s">
        <v>29372</v>
      </c>
      <c r="G1473" t="s">
        <v>29383</v>
      </c>
      <c r="H1473" t="s">
        <v>11048</v>
      </c>
      <c r="I1473" t="s">
        <v>4709</v>
      </c>
      <c r="J1473" t="s">
        <v>30606</v>
      </c>
      <c r="K1473" t="s">
        <v>38538</v>
      </c>
      <c r="M1473" t="s">
        <v>39291</v>
      </c>
      <c r="N1473" t="s">
        <v>42669</v>
      </c>
      <c r="O1473" t="s">
        <v>42670</v>
      </c>
      <c r="P1473">
        <v>0</v>
      </c>
      <c r="Q1473">
        <v>0</v>
      </c>
      <c r="R1473" t="s">
        <v>42673</v>
      </c>
      <c r="S1473" t="s">
        <v>42784</v>
      </c>
      <c r="T1473" t="s">
        <v>44371</v>
      </c>
      <c r="U1473" t="s">
        <v>45997</v>
      </c>
      <c r="W1473" t="s">
        <v>39291</v>
      </c>
      <c r="X1473" t="s">
        <v>42674</v>
      </c>
    </row>
    <row r="1474" spans="1:24">
      <c r="A1474">
        <f>HYPERLINK("https://www.philgeps.gov.ph/GEPSNONPILOT/Tender/SplashBidNoticeAbstractUI.aspx?menuIndex=3&amp;refID=7122850-2&amp;Result=3","7122850-2")</f>
        <v>0</v>
      </c>
      <c r="B1474" t="s">
        <v>542</v>
      </c>
      <c r="C1474" t="s">
        <v>4936</v>
      </c>
      <c r="D1474" t="s">
        <v>17141</v>
      </c>
      <c r="E1474" t="s">
        <v>18555</v>
      </c>
      <c r="F1474" t="s">
        <v>29372</v>
      </c>
      <c r="G1474" t="s">
        <v>29380</v>
      </c>
      <c r="H1474" t="s">
        <v>29391</v>
      </c>
      <c r="I1474" t="s">
        <v>29391</v>
      </c>
      <c r="J1474" t="s">
        <v>30607</v>
      </c>
      <c r="K1474" t="s">
        <v>38506</v>
      </c>
      <c r="M1474" t="s">
        <v>39310</v>
      </c>
      <c r="N1474" t="s">
        <v>42669</v>
      </c>
      <c r="O1474" t="s">
        <v>42670</v>
      </c>
      <c r="P1474">
        <v>0</v>
      </c>
      <c r="Q1474">
        <v>0</v>
      </c>
      <c r="R1474" t="s">
        <v>42674</v>
      </c>
      <c r="S1474" t="s">
        <v>42788</v>
      </c>
      <c r="T1474" t="s">
        <v>44531</v>
      </c>
      <c r="U1474" t="s">
        <v>46035</v>
      </c>
      <c r="W1474" t="s">
        <v>39310</v>
      </c>
      <c r="X1474" t="s">
        <v>42676</v>
      </c>
    </row>
    <row r="1475" spans="1:24">
      <c r="A1475">
        <f>HYPERLINK("https://www.philgeps.gov.ph/GEPSNONPILOT/Tender/SplashBidNoticeAbstractUI.aspx?menuIndex=3&amp;refID=7184021&amp;Result=3","7184021")</f>
        <v>0</v>
      </c>
      <c r="B1475" t="s">
        <v>545</v>
      </c>
      <c r="C1475" t="s">
        <v>4937</v>
      </c>
      <c r="D1475" t="s">
        <v>17156</v>
      </c>
      <c r="E1475" t="s">
        <v>18556</v>
      </c>
      <c r="F1475" t="s">
        <v>29372</v>
      </c>
      <c r="G1475" t="s">
        <v>29380</v>
      </c>
      <c r="H1475" t="s">
        <v>11048</v>
      </c>
      <c r="I1475" t="s">
        <v>29395</v>
      </c>
      <c r="J1475" t="s">
        <v>30036</v>
      </c>
      <c r="K1475" t="s">
        <v>38491</v>
      </c>
      <c r="M1475" t="s">
        <v>39313</v>
      </c>
      <c r="N1475" t="s">
        <v>42669</v>
      </c>
      <c r="O1475" t="s">
        <v>42670</v>
      </c>
      <c r="P1475">
        <v>0</v>
      </c>
      <c r="Q1475">
        <v>0</v>
      </c>
      <c r="R1475" t="s">
        <v>42674</v>
      </c>
      <c r="S1475" t="s">
        <v>42788</v>
      </c>
      <c r="T1475" t="s">
        <v>44398</v>
      </c>
      <c r="U1475" t="s">
        <v>46036</v>
      </c>
      <c r="W1475" t="s">
        <v>39313</v>
      </c>
      <c r="X1475" t="s">
        <v>42678</v>
      </c>
    </row>
    <row r="1476" spans="1:24">
      <c r="A1476">
        <f>HYPERLINK("https://www.philgeps.gov.ph/GEPSNONPILOT/Tender/SplashBidNoticeAbstractUI.aspx?menuIndex=3&amp;refID=7093942-2&amp;Result=3","7093942-2")</f>
        <v>0</v>
      </c>
      <c r="B1476" t="s">
        <v>542</v>
      </c>
      <c r="C1476" t="s">
        <v>4938</v>
      </c>
      <c r="D1476" t="s">
        <v>17141</v>
      </c>
      <c r="E1476" t="s">
        <v>18557</v>
      </c>
      <c r="F1476" t="s">
        <v>29372</v>
      </c>
      <c r="G1476" t="s">
        <v>29380</v>
      </c>
      <c r="H1476" t="s">
        <v>29391</v>
      </c>
      <c r="I1476" t="s">
        <v>29391</v>
      </c>
      <c r="J1476" t="s">
        <v>30608</v>
      </c>
      <c r="K1476" t="s">
        <v>38576</v>
      </c>
      <c r="M1476" t="s">
        <v>39310</v>
      </c>
      <c r="N1476" t="s">
        <v>42669</v>
      </c>
      <c r="O1476" t="s">
        <v>42670</v>
      </c>
      <c r="P1476">
        <v>0</v>
      </c>
      <c r="Q1476">
        <v>0</v>
      </c>
      <c r="R1476" t="s">
        <v>42674</v>
      </c>
      <c r="S1476" t="s">
        <v>42788</v>
      </c>
      <c r="T1476" t="s">
        <v>44531</v>
      </c>
      <c r="U1476" t="s">
        <v>46037</v>
      </c>
      <c r="W1476" t="s">
        <v>39310</v>
      </c>
      <c r="X1476" t="s">
        <v>42676</v>
      </c>
    </row>
    <row r="1477" spans="1:24">
      <c r="A1477">
        <f>HYPERLINK("https://www.philgeps.gov.ph/GEPSNONPILOT/Tender/SplashBidNoticeAbstractUI.aspx?menuIndex=3&amp;refID=7093112-2&amp;Result=3","7093112-2")</f>
        <v>0</v>
      </c>
      <c r="B1477" t="s">
        <v>542</v>
      </c>
      <c r="C1477" t="s">
        <v>4939</v>
      </c>
      <c r="D1477" t="s">
        <v>17141</v>
      </c>
      <c r="E1477" t="s">
        <v>18558</v>
      </c>
      <c r="F1477" t="s">
        <v>29372</v>
      </c>
      <c r="G1477" t="s">
        <v>29380</v>
      </c>
      <c r="H1477" t="s">
        <v>29391</v>
      </c>
      <c r="I1477" t="s">
        <v>29391</v>
      </c>
      <c r="J1477" t="s">
        <v>30609</v>
      </c>
      <c r="K1477" t="s">
        <v>38576</v>
      </c>
      <c r="M1477" t="s">
        <v>39310</v>
      </c>
      <c r="N1477" t="s">
        <v>42669</v>
      </c>
      <c r="O1477" t="s">
        <v>42670</v>
      </c>
      <c r="P1477">
        <v>0</v>
      </c>
      <c r="Q1477">
        <v>0</v>
      </c>
      <c r="R1477" t="s">
        <v>42674</v>
      </c>
      <c r="S1477" t="s">
        <v>42788</v>
      </c>
      <c r="T1477" t="s">
        <v>44531</v>
      </c>
      <c r="U1477" t="s">
        <v>46035</v>
      </c>
      <c r="W1477" t="s">
        <v>39310</v>
      </c>
      <c r="X1477" t="s">
        <v>42676</v>
      </c>
    </row>
    <row r="1478" spans="1:24">
      <c r="A1478">
        <f>HYPERLINK("https://www.philgeps.gov.ph/GEPSNONPILOT/Tender/SplashBidNoticeAbstractUI.aspx?menuIndex=3&amp;refID=7183234&amp;Result=3","7183234")</f>
        <v>0</v>
      </c>
      <c r="B1478" t="s">
        <v>126</v>
      </c>
      <c r="C1478" t="s">
        <v>4940</v>
      </c>
      <c r="D1478" t="s">
        <v>17177</v>
      </c>
      <c r="E1478" t="s">
        <v>18559</v>
      </c>
      <c r="F1478" t="s">
        <v>29372</v>
      </c>
      <c r="G1478" t="s">
        <v>29380</v>
      </c>
      <c r="H1478" t="s">
        <v>11048</v>
      </c>
      <c r="I1478" t="s">
        <v>29452</v>
      </c>
      <c r="J1478" t="s">
        <v>30610</v>
      </c>
      <c r="K1478" t="s">
        <v>38488</v>
      </c>
      <c r="M1478" t="s">
        <v>39314</v>
      </c>
      <c r="N1478" t="s">
        <v>42669</v>
      </c>
      <c r="O1478" t="s">
        <v>42670</v>
      </c>
      <c r="P1478">
        <v>0</v>
      </c>
      <c r="Q1478">
        <v>0</v>
      </c>
      <c r="R1478" t="s">
        <v>42674</v>
      </c>
      <c r="S1478" t="s">
        <v>42788</v>
      </c>
      <c r="T1478" t="s">
        <v>44533</v>
      </c>
      <c r="U1478" t="s">
        <v>46038</v>
      </c>
      <c r="V1478" t="s">
        <v>56495</v>
      </c>
      <c r="W1478" t="s">
        <v>39314</v>
      </c>
      <c r="X1478" t="s">
        <v>42679</v>
      </c>
    </row>
    <row r="1479" spans="1:24">
      <c r="A1479">
        <f>HYPERLINK("https://www.philgeps.gov.ph/GEPSNONPILOT/Tender/SplashBidNoticeAbstractUI.aspx?menuIndex=3&amp;refID=7183216&amp;Result=3","7183216")</f>
        <v>0</v>
      </c>
      <c r="B1479" t="s">
        <v>126</v>
      </c>
      <c r="C1479" t="s">
        <v>4941</v>
      </c>
      <c r="D1479" t="s">
        <v>17177</v>
      </c>
      <c r="E1479" t="s">
        <v>18560</v>
      </c>
      <c r="F1479" t="s">
        <v>29372</v>
      </c>
      <c r="G1479" t="s">
        <v>29380</v>
      </c>
      <c r="H1479" t="s">
        <v>11048</v>
      </c>
      <c r="I1479" t="s">
        <v>4709</v>
      </c>
      <c r="J1479" t="s">
        <v>30611</v>
      </c>
      <c r="K1479" t="s">
        <v>38488</v>
      </c>
      <c r="M1479" t="s">
        <v>39314</v>
      </c>
      <c r="N1479" t="s">
        <v>42669</v>
      </c>
      <c r="O1479" t="s">
        <v>42670</v>
      </c>
      <c r="P1479">
        <v>0</v>
      </c>
      <c r="Q1479">
        <v>1</v>
      </c>
      <c r="R1479" t="s">
        <v>42674</v>
      </c>
      <c r="S1479" t="s">
        <v>42788</v>
      </c>
      <c r="T1479" t="s">
        <v>44533</v>
      </c>
      <c r="U1479" t="s">
        <v>46038</v>
      </c>
      <c r="V1479" t="s">
        <v>56495</v>
      </c>
      <c r="W1479" t="s">
        <v>39314</v>
      </c>
      <c r="X1479" t="s">
        <v>42679</v>
      </c>
    </row>
    <row r="1480" spans="1:24">
      <c r="A1480">
        <f>HYPERLINK("https://www.philgeps.gov.ph/GEPSNONPILOT/Tender/SplashBidNoticeAbstractUI.aspx?menuIndex=3&amp;refID=7182444&amp;Result=3","7182444")</f>
        <v>0</v>
      </c>
      <c r="B1480" t="s">
        <v>546</v>
      </c>
      <c r="C1480" t="s">
        <v>4942</v>
      </c>
      <c r="D1480" t="s">
        <v>17198</v>
      </c>
      <c r="E1480" t="s">
        <v>18561</v>
      </c>
      <c r="F1480" t="s">
        <v>29372</v>
      </c>
      <c r="G1480" t="s">
        <v>29380</v>
      </c>
      <c r="H1480" t="s">
        <v>29389</v>
      </c>
      <c r="I1480" t="s">
        <v>10408</v>
      </c>
      <c r="J1480" t="s">
        <v>30612</v>
      </c>
      <c r="K1480" t="s">
        <v>38518</v>
      </c>
      <c r="M1480" t="s">
        <v>39315</v>
      </c>
      <c r="N1480" t="s">
        <v>42669</v>
      </c>
      <c r="O1480" t="s">
        <v>42670</v>
      </c>
      <c r="P1480">
        <v>0</v>
      </c>
      <c r="Q1480">
        <v>0</v>
      </c>
      <c r="R1480" t="s">
        <v>42674</v>
      </c>
      <c r="S1480" t="s">
        <v>42788</v>
      </c>
      <c r="T1480" t="s">
        <v>44439</v>
      </c>
      <c r="U1480" t="s">
        <v>46039</v>
      </c>
      <c r="W1480" t="s">
        <v>39315</v>
      </c>
      <c r="X1480" t="s">
        <v>42679</v>
      </c>
    </row>
    <row r="1481" spans="1:24">
      <c r="A1481">
        <f>HYPERLINK("https://www.philgeps.gov.ph/GEPSNONPILOT/Tender/SplashBidNoticeAbstractUI.aspx?menuIndex=3&amp;refID=7183866&amp;Result=3","7183866")</f>
        <v>0</v>
      </c>
      <c r="B1481" t="s">
        <v>52</v>
      </c>
      <c r="C1481" t="s">
        <v>4943</v>
      </c>
      <c r="D1481" t="s">
        <v>17164</v>
      </c>
      <c r="E1481" t="s">
        <v>18562</v>
      </c>
      <c r="F1481" t="s">
        <v>29372</v>
      </c>
      <c r="G1481" t="s">
        <v>29380</v>
      </c>
      <c r="H1481" t="s">
        <v>11048</v>
      </c>
      <c r="I1481" t="s">
        <v>14920</v>
      </c>
      <c r="J1481" t="s">
        <v>30613</v>
      </c>
      <c r="K1481" t="s">
        <v>38511</v>
      </c>
      <c r="L1481" t="s">
        <v>52</v>
      </c>
      <c r="M1481" t="s">
        <v>38921</v>
      </c>
      <c r="N1481" t="s">
        <v>42669</v>
      </c>
      <c r="O1481" t="s">
        <v>42670</v>
      </c>
      <c r="P1481">
        <v>0</v>
      </c>
      <c r="Q1481">
        <v>2</v>
      </c>
      <c r="R1481" t="s">
        <v>42674</v>
      </c>
      <c r="S1481" t="s">
        <v>42788</v>
      </c>
      <c r="T1481" t="s">
        <v>44413</v>
      </c>
      <c r="U1481" t="s">
        <v>46040</v>
      </c>
      <c r="W1481" t="s">
        <v>38921</v>
      </c>
      <c r="X1481" t="s">
        <v>42678</v>
      </c>
    </row>
    <row r="1482" spans="1:24">
      <c r="A1482">
        <f>HYPERLINK("https://www.philgeps.gov.ph/GEPSNONPILOT/Tender/SplashBidNoticeAbstractUI.aspx?menuIndex=3&amp;refID=7193734&amp;Result=3","7193734")</f>
        <v>0</v>
      </c>
      <c r="B1482" t="s">
        <v>255</v>
      </c>
      <c r="C1482" t="s">
        <v>4944</v>
      </c>
      <c r="E1482" t="s">
        <v>18563</v>
      </c>
      <c r="F1482" t="s">
        <v>29372</v>
      </c>
      <c r="G1482" t="s">
        <v>29379</v>
      </c>
      <c r="H1482" t="s">
        <v>11048</v>
      </c>
      <c r="I1482" t="s">
        <v>29433</v>
      </c>
      <c r="J1482" t="s">
        <v>29799</v>
      </c>
      <c r="K1482" t="s">
        <v>38490</v>
      </c>
      <c r="M1482" t="s">
        <v>39014</v>
      </c>
      <c r="N1482" t="s">
        <v>42669</v>
      </c>
      <c r="O1482" t="s">
        <v>42670</v>
      </c>
      <c r="P1482">
        <v>0</v>
      </c>
      <c r="Q1482">
        <v>3</v>
      </c>
      <c r="R1482" t="s">
        <v>42673</v>
      </c>
      <c r="S1482" t="s">
        <v>42784</v>
      </c>
      <c r="T1482" t="s">
        <v>44489</v>
      </c>
      <c r="U1482" t="s">
        <v>45771</v>
      </c>
      <c r="W1482" t="s">
        <v>39014</v>
      </c>
      <c r="X1482" t="s">
        <v>42674</v>
      </c>
    </row>
    <row r="1483" spans="1:24">
      <c r="A1483">
        <f>HYPERLINK("https://www.philgeps.gov.ph/GEPSNONPILOT/Tender/SplashBidNoticeAbstractUI.aspx?menuIndex=3&amp;refID=7182364&amp;Result=3","7182364")</f>
        <v>0</v>
      </c>
      <c r="B1483" t="s">
        <v>546</v>
      </c>
      <c r="C1483" t="s">
        <v>4945</v>
      </c>
      <c r="D1483" t="s">
        <v>17198</v>
      </c>
      <c r="E1483" t="s">
        <v>18564</v>
      </c>
      <c r="F1483" t="s">
        <v>29372</v>
      </c>
      <c r="G1483" t="s">
        <v>29380</v>
      </c>
      <c r="H1483" t="s">
        <v>29389</v>
      </c>
      <c r="I1483" t="s">
        <v>29417</v>
      </c>
      <c r="J1483" t="s">
        <v>30614</v>
      </c>
      <c r="K1483" t="s">
        <v>38518</v>
      </c>
      <c r="M1483" t="s">
        <v>39315</v>
      </c>
      <c r="N1483" t="s">
        <v>42669</v>
      </c>
      <c r="O1483" t="s">
        <v>42670</v>
      </c>
      <c r="P1483">
        <v>0</v>
      </c>
      <c r="Q1483">
        <v>0</v>
      </c>
      <c r="R1483" t="s">
        <v>42674</v>
      </c>
      <c r="S1483" t="s">
        <v>42788</v>
      </c>
      <c r="T1483" t="s">
        <v>44439</v>
      </c>
      <c r="U1483" t="s">
        <v>46039</v>
      </c>
      <c r="W1483" t="s">
        <v>39315</v>
      </c>
      <c r="X1483" t="s">
        <v>42679</v>
      </c>
    </row>
    <row r="1484" spans="1:24">
      <c r="A1484">
        <f>HYPERLINK("https://www.philgeps.gov.ph/GEPSNONPILOT/Tender/SplashBidNoticeAbstractUI.aspx?menuIndex=3&amp;refID=7179740&amp;Result=3","7179740")</f>
        <v>0</v>
      </c>
      <c r="B1484" t="s">
        <v>547</v>
      </c>
      <c r="C1484" t="s">
        <v>4946</v>
      </c>
      <c r="D1484" t="s">
        <v>17170</v>
      </c>
      <c r="E1484" t="s">
        <v>18565</v>
      </c>
      <c r="F1484" t="s">
        <v>29372</v>
      </c>
      <c r="G1484" t="s">
        <v>29380</v>
      </c>
      <c r="H1484" t="s">
        <v>11048</v>
      </c>
      <c r="I1484" t="s">
        <v>29394</v>
      </c>
      <c r="J1484" t="s">
        <v>30615</v>
      </c>
      <c r="K1484" t="s">
        <v>38485</v>
      </c>
      <c r="M1484" t="s">
        <v>39316</v>
      </c>
      <c r="N1484" t="s">
        <v>42669</v>
      </c>
      <c r="O1484" t="s">
        <v>42670</v>
      </c>
      <c r="P1484">
        <v>0</v>
      </c>
      <c r="Q1484">
        <v>0</v>
      </c>
      <c r="R1484" t="s">
        <v>42674</v>
      </c>
      <c r="S1484" t="s">
        <v>42788</v>
      </c>
      <c r="T1484" t="s">
        <v>44487</v>
      </c>
      <c r="U1484" t="s">
        <v>46041</v>
      </c>
      <c r="W1484" t="s">
        <v>58017</v>
      </c>
      <c r="X1484" t="s">
        <v>42682</v>
      </c>
    </row>
    <row r="1485" spans="1:24">
      <c r="A1485">
        <f>HYPERLINK("https://www.philgeps.gov.ph/GEPSNONPILOT/Tender/SplashBidNoticeAbstractUI.aspx?menuIndex=3&amp;refID=7168887&amp;Result=3","7168887")</f>
        <v>0</v>
      </c>
      <c r="B1485" t="s">
        <v>535</v>
      </c>
      <c r="C1485" t="s">
        <v>4947</v>
      </c>
      <c r="E1485" t="s">
        <v>18566</v>
      </c>
      <c r="F1485" t="s">
        <v>29372</v>
      </c>
      <c r="G1485" t="s">
        <v>29379</v>
      </c>
      <c r="H1485" t="s">
        <v>11048</v>
      </c>
      <c r="I1485" t="s">
        <v>4487</v>
      </c>
      <c r="J1485" t="s">
        <v>30616</v>
      </c>
      <c r="K1485" t="s">
        <v>38490</v>
      </c>
      <c r="M1485" t="s">
        <v>39303</v>
      </c>
      <c r="N1485" t="s">
        <v>42669</v>
      </c>
      <c r="O1485" t="s">
        <v>42670</v>
      </c>
      <c r="P1485">
        <v>0</v>
      </c>
      <c r="Q1485">
        <v>3</v>
      </c>
      <c r="R1485" t="s">
        <v>42674</v>
      </c>
      <c r="S1485" t="s">
        <v>42788</v>
      </c>
      <c r="T1485" t="s">
        <v>44432</v>
      </c>
      <c r="U1485" t="s">
        <v>46021</v>
      </c>
      <c r="W1485" t="s">
        <v>39303</v>
      </c>
      <c r="X1485" t="s">
        <v>42685</v>
      </c>
    </row>
    <row r="1486" spans="1:24">
      <c r="A1486">
        <f>HYPERLINK("https://www.philgeps.gov.ph/GEPSNONPILOT/Tender/SplashBidNoticeAbstractUI.aspx?menuIndex=3&amp;refID=7182363&amp;Result=3","7182363")</f>
        <v>0</v>
      </c>
      <c r="B1486" t="s">
        <v>548</v>
      </c>
      <c r="C1486" t="s">
        <v>4948</v>
      </c>
      <c r="D1486" t="s">
        <v>17205</v>
      </c>
      <c r="E1486" t="s">
        <v>18567</v>
      </c>
      <c r="F1486" t="s">
        <v>29373</v>
      </c>
      <c r="G1486" t="s">
        <v>29380</v>
      </c>
      <c r="H1486" t="s">
        <v>11048</v>
      </c>
      <c r="I1486" t="s">
        <v>29413</v>
      </c>
      <c r="J1486" t="s">
        <v>29526</v>
      </c>
      <c r="K1486" t="s">
        <v>38488</v>
      </c>
      <c r="M1486" t="s">
        <v>39317</v>
      </c>
      <c r="N1486" t="s">
        <v>42669</v>
      </c>
      <c r="O1486" t="s">
        <v>42670</v>
      </c>
      <c r="P1486">
        <v>0</v>
      </c>
      <c r="Q1486">
        <v>2</v>
      </c>
      <c r="R1486" t="s">
        <v>42674</v>
      </c>
      <c r="S1486" t="s">
        <v>42788</v>
      </c>
      <c r="T1486" t="s">
        <v>44513</v>
      </c>
      <c r="U1486" t="s">
        <v>46042</v>
      </c>
      <c r="W1486" t="s">
        <v>39317</v>
      </c>
      <c r="X1486" t="s">
        <v>42679</v>
      </c>
    </row>
    <row r="1487" spans="1:24">
      <c r="A1487">
        <f>HYPERLINK("https://www.philgeps.gov.ph/GEPSNONPILOT/Tender/SplashBidNoticeAbstractUI.aspx?menuIndex=3&amp;refID=7178564&amp;Result=3","7178564")</f>
        <v>0</v>
      </c>
      <c r="B1487" t="s">
        <v>549</v>
      </c>
      <c r="C1487" t="s">
        <v>4949</v>
      </c>
      <c r="D1487" t="s">
        <v>17205</v>
      </c>
      <c r="E1487" t="s">
        <v>18568</v>
      </c>
      <c r="F1487" t="s">
        <v>29372</v>
      </c>
      <c r="G1487" t="s">
        <v>29379</v>
      </c>
      <c r="H1487" t="s">
        <v>29389</v>
      </c>
      <c r="I1487" t="s">
        <v>10408</v>
      </c>
      <c r="J1487" t="s">
        <v>29555</v>
      </c>
      <c r="K1487" t="s">
        <v>38485</v>
      </c>
      <c r="M1487" t="s">
        <v>39318</v>
      </c>
      <c r="N1487" t="s">
        <v>42669</v>
      </c>
      <c r="O1487" t="s">
        <v>42670</v>
      </c>
      <c r="P1487">
        <v>0</v>
      </c>
      <c r="Q1487">
        <v>1</v>
      </c>
      <c r="R1487" t="s">
        <v>42674</v>
      </c>
      <c r="S1487" t="s">
        <v>42788</v>
      </c>
      <c r="T1487" t="s">
        <v>44389</v>
      </c>
      <c r="U1487" t="s">
        <v>46043</v>
      </c>
      <c r="W1487" t="s">
        <v>39318</v>
      </c>
      <c r="X1487" t="s">
        <v>42682</v>
      </c>
    </row>
    <row r="1488" spans="1:24">
      <c r="A1488">
        <f>HYPERLINK("https://www.philgeps.gov.ph/GEPSNONPILOT/Tender/SplashBidNoticeAbstractUI.aspx?menuIndex=3&amp;refID=7182399&amp;Result=3","7182399")</f>
        <v>0</v>
      </c>
      <c r="B1488" t="s">
        <v>217</v>
      </c>
      <c r="C1488" t="s">
        <v>4950</v>
      </c>
      <c r="D1488" t="s">
        <v>17166</v>
      </c>
      <c r="E1488" t="s">
        <v>17399</v>
      </c>
      <c r="F1488" t="s">
        <v>29373</v>
      </c>
      <c r="G1488" t="s">
        <v>29380</v>
      </c>
      <c r="H1488" t="s">
        <v>29389</v>
      </c>
      <c r="I1488" t="s">
        <v>10408</v>
      </c>
      <c r="J1488" t="s">
        <v>30617</v>
      </c>
      <c r="K1488" t="s">
        <v>38517</v>
      </c>
      <c r="M1488" t="s">
        <v>38975</v>
      </c>
      <c r="N1488" t="s">
        <v>42669</v>
      </c>
      <c r="O1488" t="s">
        <v>42670</v>
      </c>
      <c r="P1488">
        <v>0</v>
      </c>
      <c r="Q1488">
        <v>0</v>
      </c>
      <c r="R1488" t="s">
        <v>42674</v>
      </c>
      <c r="S1488" t="s">
        <v>42788</v>
      </c>
      <c r="T1488" t="s">
        <v>44510</v>
      </c>
      <c r="U1488" t="s">
        <v>46044</v>
      </c>
      <c r="V1488" t="s">
        <v>56496</v>
      </c>
      <c r="W1488" t="s">
        <v>38975</v>
      </c>
      <c r="X1488" t="s">
        <v>42679</v>
      </c>
    </row>
    <row r="1489" spans="1:24">
      <c r="A1489">
        <f>HYPERLINK("https://www.philgeps.gov.ph/GEPSNONPILOT/Tender/SplashBidNoticeAbstractUI.aspx?menuIndex=3&amp;refID=7177231&amp;Result=3","7177231")</f>
        <v>0</v>
      </c>
      <c r="B1489" t="s">
        <v>25</v>
      </c>
      <c r="C1489" t="s">
        <v>4951</v>
      </c>
      <c r="D1489" t="s">
        <v>17142</v>
      </c>
      <c r="E1489" t="s">
        <v>4951</v>
      </c>
      <c r="F1489" t="s">
        <v>29372</v>
      </c>
      <c r="G1489" t="s">
        <v>29379</v>
      </c>
      <c r="H1489" t="s">
        <v>11048</v>
      </c>
      <c r="I1489" t="s">
        <v>3670</v>
      </c>
      <c r="J1489" t="s">
        <v>29525</v>
      </c>
      <c r="K1489" t="s">
        <v>38485</v>
      </c>
      <c r="M1489" t="s">
        <v>38778</v>
      </c>
      <c r="N1489" t="s">
        <v>42669</v>
      </c>
      <c r="O1489" t="s">
        <v>42670</v>
      </c>
      <c r="P1489">
        <v>0</v>
      </c>
      <c r="Q1489">
        <v>0</v>
      </c>
      <c r="R1489" t="s">
        <v>42674</v>
      </c>
      <c r="S1489" t="s">
        <v>42788</v>
      </c>
      <c r="T1489" t="s">
        <v>44385</v>
      </c>
      <c r="U1489" t="s">
        <v>46045</v>
      </c>
      <c r="W1489" t="s">
        <v>38778</v>
      </c>
      <c r="X1489" t="s">
        <v>42683</v>
      </c>
    </row>
    <row r="1490" spans="1:24">
      <c r="A1490">
        <f>HYPERLINK("https://www.philgeps.gov.ph/GEPSNONPILOT/Tender/SplashBidNoticeAbstractUI.aspx?menuIndex=3&amp;refID=7179700&amp;Result=3","7179700")</f>
        <v>0</v>
      </c>
      <c r="B1490" t="s">
        <v>547</v>
      </c>
      <c r="C1490" t="s">
        <v>4952</v>
      </c>
      <c r="D1490" t="s">
        <v>17170</v>
      </c>
      <c r="E1490" t="s">
        <v>18569</v>
      </c>
      <c r="F1490" t="s">
        <v>29372</v>
      </c>
      <c r="G1490" t="s">
        <v>29380</v>
      </c>
      <c r="H1490" t="s">
        <v>11048</v>
      </c>
      <c r="I1490" t="s">
        <v>29428</v>
      </c>
      <c r="J1490" t="s">
        <v>29734</v>
      </c>
      <c r="K1490" t="s">
        <v>38485</v>
      </c>
      <c r="M1490" t="s">
        <v>39316</v>
      </c>
      <c r="N1490" t="s">
        <v>42669</v>
      </c>
      <c r="O1490" t="s">
        <v>42670</v>
      </c>
      <c r="P1490">
        <v>0</v>
      </c>
      <c r="Q1490">
        <v>0</v>
      </c>
      <c r="R1490" t="s">
        <v>42674</v>
      </c>
      <c r="S1490" t="s">
        <v>42788</v>
      </c>
      <c r="T1490" t="s">
        <v>44363</v>
      </c>
      <c r="U1490" t="s">
        <v>46046</v>
      </c>
      <c r="W1490" t="s">
        <v>58017</v>
      </c>
      <c r="X1490" t="s">
        <v>42682</v>
      </c>
    </row>
    <row r="1491" spans="1:24">
      <c r="A1491">
        <f>HYPERLINK("https://www.philgeps.gov.ph/GEPSNONPILOT/Tender/SplashBidNoticeAbstractUI.aspx?menuIndex=3&amp;refID=7179717&amp;Result=3","7179717")</f>
        <v>0</v>
      </c>
      <c r="B1491" t="s">
        <v>547</v>
      </c>
      <c r="C1491" t="s">
        <v>4953</v>
      </c>
      <c r="D1491" t="s">
        <v>17170</v>
      </c>
      <c r="E1491" t="s">
        <v>18570</v>
      </c>
      <c r="F1491" t="s">
        <v>29372</v>
      </c>
      <c r="G1491" t="s">
        <v>29380</v>
      </c>
      <c r="H1491" t="s">
        <v>11048</v>
      </c>
      <c r="I1491" t="s">
        <v>29458</v>
      </c>
      <c r="J1491" t="s">
        <v>30618</v>
      </c>
      <c r="K1491" t="s">
        <v>38485</v>
      </c>
      <c r="M1491" t="s">
        <v>39316</v>
      </c>
      <c r="N1491" t="s">
        <v>42669</v>
      </c>
      <c r="O1491" t="s">
        <v>42670</v>
      </c>
      <c r="P1491">
        <v>0</v>
      </c>
      <c r="Q1491">
        <v>1</v>
      </c>
      <c r="R1491" t="s">
        <v>42674</v>
      </c>
      <c r="S1491" t="s">
        <v>42788</v>
      </c>
      <c r="T1491" t="s">
        <v>44363</v>
      </c>
      <c r="U1491" t="s">
        <v>46047</v>
      </c>
      <c r="W1491" t="s">
        <v>58017</v>
      </c>
      <c r="X1491" t="s">
        <v>42682</v>
      </c>
    </row>
    <row r="1492" spans="1:24">
      <c r="A1492">
        <f>HYPERLINK("https://www.philgeps.gov.ph/GEPSNONPILOT/Tender/SplashBidNoticeAbstractUI.aspx?menuIndex=3&amp;refID=7171254&amp;Result=3","7171254")</f>
        <v>0</v>
      </c>
      <c r="B1492" t="s">
        <v>550</v>
      </c>
      <c r="C1492" t="s">
        <v>4954</v>
      </c>
      <c r="D1492" t="s">
        <v>17141</v>
      </c>
      <c r="E1492" t="s">
        <v>18571</v>
      </c>
      <c r="F1492" t="s">
        <v>29372</v>
      </c>
      <c r="G1492" t="s">
        <v>29380</v>
      </c>
      <c r="H1492" t="s">
        <v>11048</v>
      </c>
      <c r="I1492" t="s">
        <v>3670</v>
      </c>
      <c r="J1492" t="s">
        <v>30619</v>
      </c>
      <c r="K1492" t="s">
        <v>38495</v>
      </c>
      <c r="M1492" t="s">
        <v>39319</v>
      </c>
      <c r="N1492" t="s">
        <v>42669</v>
      </c>
      <c r="O1492" t="s">
        <v>42670</v>
      </c>
      <c r="P1492">
        <v>0</v>
      </c>
      <c r="Q1492">
        <v>2</v>
      </c>
      <c r="R1492" t="s">
        <v>42674</v>
      </c>
      <c r="S1492" t="s">
        <v>42788</v>
      </c>
      <c r="T1492" t="s">
        <v>44457</v>
      </c>
      <c r="U1492" t="s">
        <v>46048</v>
      </c>
      <c r="V1492" t="s">
        <v>56497</v>
      </c>
      <c r="W1492" t="s">
        <v>39319</v>
      </c>
      <c r="X1492" t="s">
        <v>42684</v>
      </c>
    </row>
    <row r="1493" spans="1:24">
      <c r="A1493">
        <f>HYPERLINK("https://www.philgeps.gov.ph/GEPSNONPILOT/Tender/SplashBidNoticeAbstractUI.aspx?menuIndex=3&amp;refID=7176253&amp;Result=3","7176253")</f>
        <v>0</v>
      </c>
      <c r="B1493" t="s">
        <v>551</v>
      </c>
      <c r="C1493" t="s">
        <v>4955</v>
      </c>
      <c r="D1493" t="s">
        <v>17153</v>
      </c>
      <c r="E1493" t="s">
        <v>18572</v>
      </c>
      <c r="F1493" t="s">
        <v>29372</v>
      </c>
      <c r="G1493" t="s">
        <v>29379</v>
      </c>
      <c r="H1493" t="s">
        <v>11048</v>
      </c>
      <c r="I1493" t="s">
        <v>29398</v>
      </c>
      <c r="J1493" t="s">
        <v>30620</v>
      </c>
      <c r="K1493" t="s">
        <v>38487</v>
      </c>
      <c r="M1493" t="s">
        <v>39320</v>
      </c>
      <c r="N1493" t="s">
        <v>42669</v>
      </c>
      <c r="O1493" t="s">
        <v>42670</v>
      </c>
      <c r="P1493">
        <v>0</v>
      </c>
      <c r="Q1493">
        <v>3</v>
      </c>
      <c r="R1493" t="s">
        <v>42674</v>
      </c>
      <c r="S1493" t="s">
        <v>42788</v>
      </c>
      <c r="T1493" t="s">
        <v>44491</v>
      </c>
      <c r="U1493" t="s">
        <v>46049</v>
      </c>
      <c r="V1493" t="s">
        <v>56498</v>
      </c>
      <c r="W1493" t="s">
        <v>39320</v>
      </c>
      <c r="X1493" t="s">
        <v>42683</v>
      </c>
    </row>
    <row r="1494" spans="1:24">
      <c r="A1494">
        <f>HYPERLINK("https://www.philgeps.gov.ph/GEPSNONPILOT/Tender/SplashBidNoticeAbstractUI.aspx?menuIndex=3&amp;refID=7168923&amp;Result=3","7168923")</f>
        <v>0</v>
      </c>
      <c r="B1494" t="s">
        <v>535</v>
      </c>
      <c r="C1494" t="s">
        <v>4956</v>
      </c>
      <c r="E1494" t="s">
        <v>18573</v>
      </c>
      <c r="F1494" t="s">
        <v>29372</v>
      </c>
      <c r="G1494" t="s">
        <v>29383</v>
      </c>
      <c r="H1494" t="s">
        <v>11048</v>
      </c>
      <c r="I1494" t="s">
        <v>4487</v>
      </c>
      <c r="J1494" t="s">
        <v>30621</v>
      </c>
      <c r="K1494" t="s">
        <v>38490</v>
      </c>
      <c r="M1494" t="s">
        <v>39303</v>
      </c>
      <c r="N1494" t="s">
        <v>42669</v>
      </c>
      <c r="O1494" t="s">
        <v>42670</v>
      </c>
      <c r="P1494">
        <v>0</v>
      </c>
      <c r="Q1494">
        <v>2</v>
      </c>
      <c r="R1494" t="s">
        <v>42674</v>
      </c>
      <c r="S1494" t="s">
        <v>42788</v>
      </c>
      <c r="T1494" t="s">
        <v>44432</v>
      </c>
      <c r="U1494" t="s">
        <v>46021</v>
      </c>
      <c r="W1494" t="s">
        <v>39303</v>
      </c>
      <c r="X1494" t="s">
        <v>42685</v>
      </c>
    </row>
    <row r="1495" spans="1:24">
      <c r="A1495">
        <f>HYPERLINK("https://www.philgeps.gov.ph/GEPSNONPILOT/Tender/SplashBidNoticeAbstractUI.aspx?menuIndex=3&amp;refID=7193731&amp;Result=3","7193731")</f>
        <v>0</v>
      </c>
      <c r="B1495" t="s">
        <v>552</v>
      </c>
      <c r="C1495" t="s">
        <v>4957</v>
      </c>
      <c r="D1495" t="s">
        <v>17192</v>
      </c>
      <c r="E1495" t="s">
        <v>17347</v>
      </c>
      <c r="F1495" t="s">
        <v>29372</v>
      </c>
      <c r="G1495" t="s">
        <v>29380</v>
      </c>
      <c r="H1495" t="s">
        <v>29389</v>
      </c>
      <c r="I1495" t="s">
        <v>10408</v>
      </c>
      <c r="J1495" t="s">
        <v>29555</v>
      </c>
      <c r="K1495" t="s">
        <v>38488</v>
      </c>
      <c r="M1495" t="s">
        <v>39321</v>
      </c>
      <c r="N1495" t="s">
        <v>42669</v>
      </c>
      <c r="O1495" t="s">
        <v>42670</v>
      </c>
      <c r="P1495">
        <v>0</v>
      </c>
      <c r="Q1495">
        <v>0</v>
      </c>
      <c r="R1495" t="s">
        <v>42673</v>
      </c>
      <c r="S1495" t="s">
        <v>42784</v>
      </c>
      <c r="T1495" t="s">
        <v>44389</v>
      </c>
      <c r="U1495" t="s">
        <v>46050</v>
      </c>
      <c r="W1495" t="s">
        <v>39321</v>
      </c>
      <c r="X1495" t="s">
        <v>42674</v>
      </c>
    </row>
    <row r="1496" spans="1:24">
      <c r="A1496">
        <f>HYPERLINK("https://www.philgeps.gov.ph/GEPSNONPILOT/Tender/SplashBidNoticeAbstractUI.aspx?menuIndex=3&amp;refID=7173478&amp;Result=3","7173478")</f>
        <v>0</v>
      </c>
      <c r="B1496" t="s">
        <v>553</v>
      </c>
      <c r="C1496" t="s">
        <v>4958</v>
      </c>
      <c r="D1496" t="s">
        <v>17179</v>
      </c>
      <c r="E1496" t="s">
        <v>18574</v>
      </c>
      <c r="F1496" t="s">
        <v>29372</v>
      </c>
      <c r="G1496" t="s">
        <v>29380</v>
      </c>
      <c r="H1496" t="s">
        <v>11048</v>
      </c>
      <c r="I1496" t="s">
        <v>4709</v>
      </c>
      <c r="J1496" t="s">
        <v>30622</v>
      </c>
      <c r="K1496" t="s">
        <v>38488</v>
      </c>
      <c r="M1496" t="s">
        <v>39322</v>
      </c>
      <c r="N1496" t="s">
        <v>42669</v>
      </c>
      <c r="O1496" t="s">
        <v>42670</v>
      </c>
      <c r="P1496">
        <v>0</v>
      </c>
      <c r="Q1496">
        <v>1</v>
      </c>
      <c r="R1496" t="s">
        <v>42674</v>
      </c>
      <c r="S1496" t="s">
        <v>42788</v>
      </c>
      <c r="T1496" t="s">
        <v>44419</v>
      </c>
      <c r="U1496" t="s">
        <v>46051</v>
      </c>
      <c r="W1496" t="s">
        <v>39322</v>
      </c>
      <c r="X1496" t="s">
        <v>42684</v>
      </c>
    </row>
    <row r="1497" spans="1:24">
      <c r="A1497">
        <f>HYPERLINK("https://www.philgeps.gov.ph/GEPSNONPILOT/Tender/SplashBidNoticeAbstractUI.aspx?menuIndex=3&amp;refID=7175264&amp;Result=3","7175264")</f>
        <v>0</v>
      </c>
      <c r="B1497" t="s">
        <v>554</v>
      </c>
      <c r="C1497" t="s">
        <v>4959</v>
      </c>
      <c r="D1497" t="s">
        <v>17170</v>
      </c>
      <c r="E1497" t="s">
        <v>18575</v>
      </c>
      <c r="F1497" t="s">
        <v>29372</v>
      </c>
      <c r="G1497" t="s">
        <v>29379</v>
      </c>
      <c r="H1497" t="s">
        <v>11048</v>
      </c>
      <c r="I1497" t="s">
        <v>29419</v>
      </c>
      <c r="J1497" t="s">
        <v>30623</v>
      </c>
      <c r="K1497" t="s">
        <v>38538</v>
      </c>
      <c r="M1497" t="s">
        <v>39323</v>
      </c>
      <c r="N1497" t="s">
        <v>42669</v>
      </c>
      <c r="O1497" t="s">
        <v>42670</v>
      </c>
      <c r="P1497">
        <v>0</v>
      </c>
      <c r="Q1497">
        <v>1</v>
      </c>
      <c r="R1497" t="s">
        <v>42674</v>
      </c>
      <c r="S1497" t="s">
        <v>42788</v>
      </c>
      <c r="T1497" t="s">
        <v>44512</v>
      </c>
      <c r="U1497" t="s">
        <v>46052</v>
      </c>
      <c r="W1497" t="s">
        <v>39323</v>
      </c>
      <c r="X1497" t="s">
        <v>42683</v>
      </c>
    </row>
    <row r="1498" spans="1:24">
      <c r="A1498">
        <f>HYPERLINK("https://www.philgeps.gov.ph/GEPSNONPILOT/Tender/SplashBidNoticeAbstractUI.aspx?menuIndex=3&amp;refID=7183121&amp;Result=3","7183121")</f>
        <v>0</v>
      </c>
      <c r="B1498" t="s">
        <v>555</v>
      </c>
      <c r="C1498" t="s">
        <v>4960</v>
      </c>
      <c r="D1498" t="s">
        <v>17151</v>
      </c>
      <c r="E1498" t="s">
        <v>18576</v>
      </c>
      <c r="F1498" t="s">
        <v>29372</v>
      </c>
      <c r="G1498" t="s">
        <v>29380</v>
      </c>
      <c r="H1498" t="s">
        <v>11048</v>
      </c>
      <c r="I1498" t="s">
        <v>4709</v>
      </c>
      <c r="J1498" t="s">
        <v>30624</v>
      </c>
      <c r="K1498" t="s">
        <v>38485</v>
      </c>
      <c r="M1498" t="s">
        <v>39324</v>
      </c>
      <c r="N1498" t="s">
        <v>42669</v>
      </c>
      <c r="O1498" t="s">
        <v>42670</v>
      </c>
      <c r="P1498">
        <v>0</v>
      </c>
      <c r="Q1498">
        <v>0</v>
      </c>
      <c r="R1498" t="s">
        <v>42674</v>
      </c>
      <c r="S1498" t="s">
        <v>42788</v>
      </c>
      <c r="T1498" t="s">
        <v>44396</v>
      </c>
      <c r="U1498" t="s">
        <v>46053</v>
      </c>
      <c r="V1498" t="s">
        <v>56499</v>
      </c>
      <c r="W1498" t="s">
        <v>39324</v>
      </c>
      <c r="X1498" t="s">
        <v>42679</v>
      </c>
    </row>
    <row r="1499" spans="1:24">
      <c r="A1499">
        <f>HYPERLINK("https://www.philgeps.gov.ph/GEPSNONPILOT/Tender/SplashBidNoticeAbstractUI.aspx?menuIndex=3&amp;refID=7168920&amp;Result=3","7168920")</f>
        <v>0</v>
      </c>
      <c r="B1499" t="s">
        <v>535</v>
      </c>
      <c r="C1499" t="s">
        <v>4961</v>
      </c>
      <c r="E1499" t="s">
        <v>18577</v>
      </c>
      <c r="F1499" t="s">
        <v>29372</v>
      </c>
      <c r="G1499" t="s">
        <v>29383</v>
      </c>
      <c r="H1499" t="s">
        <v>11048</v>
      </c>
      <c r="I1499" t="s">
        <v>4487</v>
      </c>
      <c r="J1499" t="s">
        <v>30088</v>
      </c>
      <c r="K1499" t="s">
        <v>38490</v>
      </c>
      <c r="M1499" t="s">
        <v>39303</v>
      </c>
      <c r="N1499" t="s">
        <v>42669</v>
      </c>
      <c r="O1499" t="s">
        <v>42670</v>
      </c>
      <c r="P1499">
        <v>0</v>
      </c>
      <c r="Q1499">
        <v>5</v>
      </c>
      <c r="R1499" t="s">
        <v>42674</v>
      </c>
      <c r="S1499" t="s">
        <v>42788</v>
      </c>
      <c r="T1499" t="s">
        <v>44432</v>
      </c>
      <c r="U1499" t="s">
        <v>46021</v>
      </c>
      <c r="W1499" t="s">
        <v>39303</v>
      </c>
      <c r="X1499" t="s">
        <v>42685</v>
      </c>
    </row>
    <row r="1500" spans="1:24">
      <c r="A1500">
        <f>HYPERLINK("https://www.philgeps.gov.ph/GEPSNONPILOT/Tender/SplashBidNoticeAbstractUI.aspx?menuIndex=3&amp;refID=7193746&amp;Result=3","7193746")</f>
        <v>0</v>
      </c>
      <c r="B1500" t="s">
        <v>556</v>
      </c>
      <c r="C1500" t="s">
        <v>4962</v>
      </c>
      <c r="D1500" t="s">
        <v>17177</v>
      </c>
      <c r="E1500" t="s">
        <v>18578</v>
      </c>
      <c r="F1500" t="s">
        <v>29372</v>
      </c>
      <c r="G1500" t="s">
        <v>29379</v>
      </c>
      <c r="H1500" t="s">
        <v>11048</v>
      </c>
      <c r="I1500" t="s">
        <v>4486</v>
      </c>
      <c r="J1500" t="s">
        <v>30625</v>
      </c>
      <c r="K1500" t="s">
        <v>38503</v>
      </c>
      <c r="M1500" t="s">
        <v>39325</v>
      </c>
      <c r="N1500" t="s">
        <v>42669</v>
      </c>
      <c r="O1500" t="s">
        <v>42670</v>
      </c>
      <c r="P1500">
        <v>0</v>
      </c>
      <c r="Q1500">
        <v>6</v>
      </c>
      <c r="R1500" t="s">
        <v>42673</v>
      </c>
      <c r="S1500" t="s">
        <v>42784</v>
      </c>
      <c r="T1500" t="s">
        <v>44432</v>
      </c>
      <c r="U1500" t="s">
        <v>46054</v>
      </c>
      <c r="W1500" t="s">
        <v>39325</v>
      </c>
      <c r="X1500" t="s">
        <v>42674</v>
      </c>
    </row>
    <row r="1501" spans="1:24">
      <c r="A1501">
        <f>HYPERLINK("https://www.philgeps.gov.ph/GEPSNONPILOT/Tender/SplashBidNoticeAbstractUI.aspx?menuIndex=3&amp;refID=7193740&amp;Result=3","7193740")</f>
        <v>0</v>
      </c>
      <c r="B1501" t="s">
        <v>533</v>
      </c>
      <c r="C1501" t="s">
        <v>4963</v>
      </c>
      <c r="E1501" t="s">
        <v>18579</v>
      </c>
      <c r="F1501" t="s">
        <v>29372</v>
      </c>
      <c r="G1501" t="s">
        <v>29380</v>
      </c>
      <c r="H1501" t="s">
        <v>11048</v>
      </c>
      <c r="I1501" t="s">
        <v>29428</v>
      </c>
      <c r="J1501" t="s">
        <v>29590</v>
      </c>
      <c r="K1501" t="s">
        <v>38490</v>
      </c>
      <c r="M1501" t="s">
        <v>39300</v>
      </c>
      <c r="N1501" t="s">
        <v>42669</v>
      </c>
      <c r="O1501" t="s">
        <v>42670</v>
      </c>
      <c r="P1501">
        <v>0</v>
      </c>
      <c r="Q1501">
        <v>2</v>
      </c>
      <c r="R1501" t="s">
        <v>42673</v>
      </c>
      <c r="S1501" t="s">
        <v>42784</v>
      </c>
      <c r="T1501" t="s">
        <v>44415</v>
      </c>
      <c r="U1501" t="s">
        <v>46055</v>
      </c>
      <c r="W1501" t="s">
        <v>39300</v>
      </c>
      <c r="X1501" t="s">
        <v>42674</v>
      </c>
    </row>
    <row r="1502" spans="1:24">
      <c r="A1502">
        <f>HYPERLINK("https://www.philgeps.gov.ph/GEPSNONPILOT/Tender/SplashBidNoticeAbstractUI.aspx?menuIndex=3&amp;refID=7184291&amp;Result=3","7184291")</f>
        <v>0</v>
      </c>
      <c r="B1502" t="s">
        <v>557</v>
      </c>
      <c r="C1502" t="s">
        <v>4964</v>
      </c>
      <c r="D1502" t="s">
        <v>17200</v>
      </c>
      <c r="E1502" t="s">
        <v>18580</v>
      </c>
      <c r="F1502" t="s">
        <v>29372</v>
      </c>
      <c r="G1502" t="s">
        <v>29387</v>
      </c>
      <c r="H1502" t="s">
        <v>11048</v>
      </c>
      <c r="I1502" t="s">
        <v>29424</v>
      </c>
      <c r="J1502" t="s">
        <v>30626</v>
      </c>
      <c r="K1502" t="s">
        <v>38491</v>
      </c>
      <c r="M1502" t="s">
        <v>39326</v>
      </c>
      <c r="N1502" t="s">
        <v>42669</v>
      </c>
      <c r="O1502" t="s">
        <v>42670</v>
      </c>
      <c r="Q1502">
        <v>6</v>
      </c>
      <c r="R1502" t="s">
        <v>42674</v>
      </c>
      <c r="S1502" t="s">
        <v>42789</v>
      </c>
      <c r="T1502" t="s">
        <v>44389</v>
      </c>
      <c r="U1502" t="s">
        <v>46056</v>
      </c>
      <c r="W1502" t="s">
        <v>39326</v>
      </c>
      <c r="X1502" t="s">
        <v>42678</v>
      </c>
    </row>
    <row r="1503" spans="1:24">
      <c r="A1503">
        <f>HYPERLINK("https://www.philgeps.gov.ph/GEPSNONPILOT/Tender/SplashBidNoticeAbstractUI.aspx?menuIndex=3&amp;refID=7184591&amp;Result=3","7184591")</f>
        <v>0</v>
      </c>
      <c r="B1503" t="s">
        <v>558</v>
      </c>
      <c r="C1503" t="s">
        <v>4965</v>
      </c>
      <c r="D1503" t="s">
        <v>17157</v>
      </c>
      <c r="E1503" t="s">
        <v>18581</v>
      </c>
      <c r="F1503" t="s">
        <v>29372</v>
      </c>
      <c r="G1503" t="s">
        <v>29380</v>
      </c>
      <c r="H1503" t="s">
        <v>29390</v>
      </c>
      <c r="I1503" t="s">
        <v>9469</v>
      </c>
      <c r="J1503" t="s">
        <v>30627</v>
      </c>
      <c r="K1503" t="s">
        <v>38496</v>
      </c>
      <c r="M1503" t="s">
        <v>39327</v>
      </c>
      <c r="N1503" t="s">
        <v>42669</v>
      </c>
      <c r="O1503" t="s">
        <v>42670</v>
      </c>
      <c r="P1503">
        <v>0</v>
      </c>
      <c r="Q1503">
        <v>0</v>
      </c>
      <c r="R1503" t="s">
        <v>42674</v>
      </c>
      <c r="S1503" t="s">
        <v>42788</v>
      </c>
      <c r="T1503" t="s">
        <v>44480</v>
      </c>
      <c r="U1503" t="s">
        <v>46057</v>
      </c>
      <c r="W1503" t="s">
        <v>39327</v>
      </c>
      <c r="X1503" t="s">
        <v>42678</v>
      </c>
    </row>
    <row r="1504" spans="1:24">
      <c r="A1504">
        <f>HYPERLINK("https://www.philgeps.gov.ph/GEPSNONPILOT/Tender/SplashBidNoticeAbstractUI.aspx?menuIndex=3&amp;refID=7184969&amp;Result=3","7184969")</f>
        <v>0</v>
      </c>
      <c r="B1504" t="s">
        <v>126</v>
      </c>
      <c r="C1504" t="s">
        <v>4966</v>
      </c>
      <c r="D1504" t="s">
        <v>17177</v>
      </c>
      <c r="E1504" t="s">
        <v>18582</v>
      </c>
      <c r="F1504" t="s">
        <v>29372</v>
      </c>
      <c r="G1504" t="s">
        <v>29380</v>
      </c>
      <c r="H1504" t="s">
        <v>11048</v>
      </c>
      <c r="I1504" t="s">
        <v>29458</v>
      </c>
      <c r="J1504" t="s">
        <v>30628</v>
      </c>
      <c r="K1504" t="s">
        <v>38488</v>
      </c>
      <c r="M1504" t="s">
        <v>39314</v>
      </c>
      <c r="N1504" t="s">
        <v>42669</v>
      </c>
      <c r="O1504" t="s">
        <v>42670</v>
      </c>
      <c r="P1504">
        <v>0</v>
      </c>
      <c r="Q1504">
        <v>2</v>
      </c>
      <c r="R1504" t="s">
        <v>42674</v>
      </c>
      <c r="S1504" t="s">
        <v>42788</v>
      </c>
      <c r="T1504" t="s">
        <v>44533</v>
      </c>
      <c r="U1504" t="s">
        <v>46038</v>
      </c>
      <c r="V1504" t="s">
        <v>56500</v>
      </c>
      <c r="W1504" t="s">
        <v>39314</v>
      </c>
      <c r="X1504" t="s">
        <v>42678</v>
      </c>
    </row>
    <row r="1505" spans="1:24">
      <c r="A1505">
        <f>HYPERLINK("https://www.philgeps.gov.ph/GEPSNONPILOT/Tender/SplashBidNoticeAbstractUI.aspx?menuIndex=3&amp;refID=7184542&amp;Result=3","7184542")</f>
        <v>0</v>
      </c>
      <c r="B1505" t="s">
        <v>559</v>
      </c>
      <c r="C1505" t="s">
        <v>4967</v>
      </c>
      <c r="D1505" t="s">
        <v>17198</v>
      </c>
      <c r="E1505" t="s">
        <v>18583</v>
      </c>
      <c r="F1505" t="s">
        <v>29372</v>
      </c>
      <c r="G1505" t="s">
        <v>29380</v>
      </c>
      <c r="H1505" t="s">
        <v>11048</v>
      </c>
      <c r="I1505" t="s">
        <v>4709</v>
      </c>
      <c r="J1505" t="s">
        <v>30629</v>
      </c>
      <c r="K1505" t="s">
        <v>38488</v>
      </c>
      <c r="M1505" t="s">
        <v>39328</v>
      </c>
      <c r="N1505" t="s">
        <v>42669</v>
      </c>
      <c r="O1505" t="s">
        <v>42670</v>
      </c>
      <c r="P1505">
        <v>0</v>
      </c>
      <c r="Q1505">
        <v>0</v>
      </c>
      <c r="R1505" t="s">
        <v>42674</v>
      </c>
      <c r="S1505" t="s">
        <v>42788</v>
      </c>
      <c r="T1505" t="s">
        <v>44439</v>
      </c>
      <c r="U1505" t="s">
        <v>46058</v>
      </c>
      <c r="W1505" t="s">
        <v>39328</v>
      </c>
      <c r="X1505" t="s">
        <v>42678</v>
      </c>
    </row>
    <row r="1506" spans="1:24">
      <c r="A1506">
        <f>HYPERLINK("https://www.philgeps.gov.ph/GEPSNONPILOT/Tender/SplashBidNoticeAbstractUI.aspx?menuIndex=3&amp;refID=7184484&amp;Result=3","7184484")</f>
        <v>0</v>
      </c>
      <c r="B1506" t="s">
        <v>560</v>
      </c>
      <c r="C1506" t="s">
        <v>4968</v>
      </c>
      <c r="D1506" t="s">
        <v>17180</v>
      </c>
      <c r="E1506" t="s">
        <v>18584</v>
      </c>
      <c r="F1506" t="s">
        <v>29372</v>
      </c>
      <c r="G1506" t="s">
        <v>29379</v>
      </c>
      <c r="H1506" t="s">
        <v>11048</v>
      </c>
      <c r="I1506" t="s">
        <v>3839</v>
      </c>
      <c r="J1506" t="s">
        <v>30630</v>
      </c>
      <c r="K1506" t="s">
        <v>38510</v>
      </c>
      <c r="M1506" t="s">
        <v>39329</v>
      </c>
      <c r="N1506" t="s">
        <v>42669</v>
      </c>
      <c r="O1506" t="s">
        <v>42670</v>
      </c>
      <c r="P1506">
        <v>0</v>
      </c>
      <c r="Q1506">
        <v>6</v>
      </c>
      <c r="R1506" t="s">
        <v>42674</v>
      </c>
      <c r="S1506" t="s">
        <v>42788</v>
      </c>
      <c r="T1506" t="s">
        <v>44488</v>
      </c>
      <c r="U1506" t="s">
        <v>46059</v>
      </c>
      <c r="W1506" t="s">
        <v>39329</v>
      </c>
      <c r="X1506" t="s">
        <v>42678</v>
      </c>
    </row>
    <row r="1507" spans="1:24">
      <c r="A1507">
        <f>HYPERLINK("https://www.philgeps.gov.ph/GEPSNONPILOT/Tender/SplashBidNoticeAbstractUI.aspx?menuIndex=3&amp;refID=7184802&amp;Result=3","7184802")</f>
        <v>0</v>
      </c>
      <c r="B1507" t="s">
        <v>561</v>
      </c>
      <c r="C1507" t="s">
        <v>4969</v>
      </c>
      <c r="D1507" t="s">
        <v>17175</v>
      </c>
      <c r="E1507" t="s">
        <v>17477</v>
      </c>
      <c r="F1507" t="s">
        <v>29372</v>
      </c>
      <c r="G1507" t="s">
        <v>29380</v>
      </c>
      <c r="H1507" t="s">
        <v>11048</v>
      </c>
      <c r="I1507" t="s">
        <v>29408</v>
      </c>
      <c r="J1507" t="s">
        <v>30631</v>
      </c>
      <c r="K1507" t="s">
        <v>38485</v>
      </c>
      <c r="M1507" t="s">
        <v>39330</v>
      </c>
      <c r="N1507" t="s">
        <v>42669</v>
      </c>
      <c r="O1507" t="s">
        <v>42670</v>
      </c>
      <c r="P1507">
        <v>0</v>
      </c>
      <c r="Q1507">
        <v>2</v>
      </c>
      <c r="R1507" t="s">
        <v>42674</v>
      </c>
      <c r="S1507" t="s">
        <v>42788</v>
      </c>
      <c r="T1507" t="s">
        <v>44534</v>
      </c>
      <c r="U1507" t="s">
        <v>46060</v>
      </c>
      <c r="W1507" t="s">
        <v>39330</v>
      </c>
      <c r="X1507" t="s">
        <v>42678</v>
      </c>
    </row>
    <row r="1508" spans="1:24">
      <c r="A1508">
        <f>HYPERLINK("https://www.philgeps.gov.ph/GEPSNONPILOT/Tender/SplashBidNoticeAbstractUI.aspx?menuIndex=3&amp;refID=7184444&amp;Result=3","7184444")</f>
        <v>0</v>
      </c>
      <c r="B1508" t="s">
        <v>560</v>
      </c>
      <c r="C1508" t="s">
        <v>4970</v>
      </c>
      <c r="D1508" t="s">
        <v>17180</v>
      </c>
      <c r="E1508" t="s">
        <v>18585</v>
      </c>
      <c r="F1508" t="s">
        <v>29372</v>
      </c>
      <c r="G1508" t="s">
        <v>29379</v>
      </c>
      <c r="H1508" t="s">
        <v>11048</v>
      </c>
      <c r="I1508" t="s">
        <v>29399</v>
      </c>
      <c r="J1508" t="s">
        <v>30632</v>
      </c>
      <c r="K1508" t="s">
        <v>38510</v>
      </c>
      <c r="M1508" t="s">
        <v>39329</v>
      </c>
      <c r="N1508" t="s">
        <v>42669</v>
      </c>
      <c r="O1508" t="s">
        <v>42670</v>
      </c>
      <c r="P1508">
        <v>0</v>
      </c>
      <c r="Q1508">
        <v>1</v>
      </c>
      <c r="R1508" t="s">
        <v>42674</v>
      </c>
      <c r="S1508" t="s">
        <v>42788</v>
      </c>
      <c r="T1508" t="s">
        <v>44488</v>
      </c>
      <c r="U1508" t="s">
        <v>46059</v>
      </c>
      <c r="W1508" t="s">
        <v>39329</v>
      </c>
      <c r="X1508" t="s">
        <v>42678</v>
      </c>
    </row>
    <row r="1509" spans="1:24">
      <c r="A1509">
        <f>HYPERLINK("https://www.philgeps.gov.ph/GEPSNONPILOT/Tender/SplashBidNoticeAbstractUI.aspx?menuIndex=3&amp;refID=7184428&amp;Result=3","7184428")</f>
        <v>0</v>
      </c>
      <c r="B1509" t="s">
        <v>559</v>
      </c>
      <c r="C1509" t="s">
        <v>4971</v>
      </c>
      <c r="D1509" t="s">
        <v>17198</v>
      </c>
      <c r="E1509" t="s">
        <v>18586</v>
      </c>
      <c r="F1509" t="s">
        <v>29372</v>
      </c>
      <c r="G1509" t="s">
        <v>29380</v>
      </c>
      <c r="H1509" t="s">
        <v>11048</v>
      </c>
      <c r="I1509" t="s">
        <v>4709</v>
      </c>
      <c r="J1509" t="s">
        <v>30633</v>
      </c>
      <c r="K1509" t="s">
        <v>38488</v>
      </c>
      <c r="M1509" t="s">
        <v>39328</v>
      </c>
      <c r="N1509" t="s">
        <v>42669</v>
      </c>
      <c r="O1509" t="s">
        <v>42670</v>
      </c>
      <c r="P1509">
        <v>0</v>
      </c>
      <c r="Q1509">
        <v>0</v>
      </c>
      <c r="R1509" t="s">
        <v>42674</v>
      </c>
      <c r="S1509" t="s">
        <v>42788</v>
      </c>
      <c r="T1509" t="s">
        <v>44439</v>
      </c>
      <c r="U1509" t="s">
        <v>46058</v>
      </c>
      <c r="W1509" t="s">
        <v>39328</v>
      </c>
      <c r="X1509" t="s">
        <v>42678</v>
      </c>
    </row>
    <row r="1510" spans="1:24">
      <c r="A1510">
        <f>HYPERLINK("https://www.philgeps.gov.ph/GEPSNONPILOT/Tender/SplashBidNoticeAbstractUI.aspx?menuIndex=3&amp;refID=7187069&amp;Result=3","7187069")</f>
        <v>0</v>
      </c>
      <c r="B1510" t="s">
        <v>562</v>
      </c>
      <c r="C1510" t="s">
        <v>4972</v>
      </c>
      <c r="D1510" t="s">
        <v>17141</v>
      </c>
      <c r="E1510" t="s">
        <v>18587</v>
      </c>
      <c r="F1510" t="s">
        <v>29372</v>
      </c>
      <c r="G1510" t="s">
        <v>29379</v>
      </c>
      <c r="H1510" t="s">
        <v>11048</v>
      </c>
      <c r="I1510" t="s">
        <v>3670</v>
      </c>
      <c r="J1510" t="s">
        <v>30634</v>
      </c>
      <c r="K1510" t="s">
        <v>38491</v>
      </c>
      <c r="M1510" t="s">
        <v>39331</v>
      </c>
      <c r="N1510" t="s">
        <v>42669</v>
      </c>
      <c r="O1510" t="s">
        <v>42670</v>
      </c>
      <c r="P1510">
        <v>0</v>
      </c>
      <c r="Q1510">
        <v>3</v>
      </c>
      <c r="R1510" t="s">
        <v>42674</v>
      </c>
      <c r="S1510" t="s">
        <v>42788</v>
      </c>
      <c r="T1510" t="s">
        <v>44489</v>
      </c>
      <c r="U1510" t="s">
        <v>46061</v>
      </c>
      <c r="W1510" t="s">
        <v>39331</v>
      </c>
      <c r="X1510" t="s">
        <v>42677</v>
      </c>
    </row>
    <row r="1511" spans="1:24">
      <c r="A1511">
        <f>HYPERLINK("https://www.philgeps.gov.ph/GEPSNONPILOT/Tender/SplashBidNoticeAbstractUI.aspx?menuIndex=3&amp;refID=7184532&amp;Result=3","7184532")</f>
        <v>0</v>
      </c>
      <c r="B1511" t="s">
        <v>547</v>
      </c>
      <c r="C1511" t="s">
        <v>4973</v>
      </c>
      <c r="D1511" t="s">
        <v>17170</v>
      </c>
      <c r="E1511" t="s">
        <v>18588</v>
      </c>
      <c r="F1511" t="s">
        <v>29372</v>
      </c>
      <c r="G1511" t="s">
        <v>29380</v>
      </c>
      <c r="H1511" t="s">
        <v>11048</v>
      </c>
      <c r="I1511" t="s">
        <v>29394</v>
      </c>
      <c r="J1511" t="s">
        <v>30635</v>
      </c>
      <c r="K1511" t="s">
        <v>38485</v>
      </c>
      <c r="M1511" t="s">
        <v>39316</v>
      </c>
      <c r="N1511" t="s">
        <v>42669</v>
      </c>
      <c r="O1511" t="s">
        <v>42670</v>
      </c>
      <c r="P1511">
        <v>0</v>
      </c>
      <c r="Q1511">
        <v>0</v>
      </c>
      <c r="R1511" t="s">
        <v>42674</v>
      </c>
      <c r="S1511" t="s">
        <v>42788</v>
      </c>
      <c r="T1511" t="s">
        <v>44363</v>
      </c>
      <c r="U1511" t="s">
        <v>46062</v>
      </c>
      <c r="W1511" t="s">
        <v>58017</v>
      </c>
      <c r="X1511" t="s">
        <v>42678</v>
      </c>
    </row>
    <row r="1512" spans="1:24">
      <c r="A1512">
        <f>HYPERLINK("https://www.philgeps.gov.ph/GEPSNONPILOT/Tender/SplashBidNoticeAbstractUI.aspx?menuIndex=3&amp;refID=7186449&amp;Result=3","7186449")</f>
        <v>0</v>
      </c>
      <c r="B1512" t="s">
        <v>563</v>
      </c>
      <c r="C1512" t="s">
        <v>4974</v>
      </c>
      <c r="D1512" t="s">
        <v>17141</v>
      </c>
      <c r="E1512" t="s">
        <v>18589</v>
      </c>
      <c r="F1512" t="s">
        <v>29372</v>
      </c>
      <c r="G1512" t="s">
        <v>29388</v>
      </c>
      <c r="H1512" t="s">
        <v>11048</v>
      </c>
      <c r="I1512" t="s">
        <v>4487</v>
      </c>
      <c r="J1512" t="s">
        <v>30636</v>
      </c>
      <c r="K1512" t="s">
        <v>38490</v>
      </c>
      <c r="M1512" t="s">
        <v>39332</v>
      </c>
      <c r="N1512" t="s">
        <v>42669</v>
      </c>
      <c r="O1512" t="s">
        <v>42670</v>
      </c>
      <c r="P1512">
        <v>0</v>
      </c>
      <c r="Q1512">
        <v>0</v>
      </c>
      <c r="R1512" t="s">
        <v>42674</v>
      </c>
      <c r="S1512" t="s">
        <v>42788</v>
      </c>
      <c r="T1512" t="s">
        <v>44469</v>
      </c>
      <c r="U1512" t="s">
        <v>46063</v>
      </c>
      <c r="W1512" t="s">
        <v>39332</v>
      </c>
      <c r="X1512" t="s">
        <v>42678</v>
      </c>
    </row>
    <row r="1513" spans="1:24">
      <c r="A1513">
        <f>HYPERLINK("https://www.philgeps.gov.ph/GEPSNONPILOT/Tender/SplashBidNoticeAbstractUI.aspx?menuIndex=3&amp;refID=7184269&amp;Result=3","7184269")</f>
        <v>0</v>
      </c>
      <c r="B1513" t="s">
        <v>561</v>
      </c>
      <c r="C1513" t="s">
        <v>4975</v>
      </c>
      <c r="D1513" t="s">
        <v>17175</v>
      </c>
      <c r="E1513" t="s">
        <v>18590</v>
      </c>
      <c r="F1513" t="s">
        <v>29372</v>
      </c>
      <c r="G1513" t="s">
        <v>29380</v>
      </c>
      <c r="H1513" t="s">
        <v>11048</v>
      </c>
      <c r="I1513" t="s">
        <v>29393</v>
      </c>
      <c r="J1513" t="s">
        <v>29822</v>
      </c>
      <c r="K1513" t="s">
        <v>38485</v>
      </c>
      <c r="M1513" t="s">
        <v>39330</v>
      </c>
      <c r="N1513" t="s">
        <v>42669</v>
      </c>
      <c r="O1513" t="s">
        <v>42670</v>
      </c>
      <c r="P1513">
        <v>0</v>
      </c>
      <c r="Q1513">
        <v>0</v>
      </c>
      <c r="R1513" t="s">
        <v>42674</v>
      </c>
      <c r="S1513" t="s">
        <v>42788</v>
      </c>
      <c r="T1513" t="s">
        <v>44534</v>
      </c>
      <c r="U1513" t="s">
        <v>46064</v>
      </c>
      <c r="W1513" t="s">
        <v>39330</v>
      </c>
      <c r="X1513" t="s">
        <v>42678</v>
      </c>
    </row>
    <row r="1514" spans="1:24">
      <c r="A1514">
        <f>HYPERLINK("https://www.philgeps.gov.ph/GEPSNONPILOT/Tender/SplashBidNoticeAbstractUI.aspx?menuIndex=3&amp;refID=7185391&amp;Result=3","7185391")</f>
        <v>0</v>
      </c>
      <c r="B1514" t="s">
        <v>555</v>
      </c>
      <c r="C1514" t="s">
        <v>4976</v>
      </c>
      <c r="D1514" t="s">
        <v>17151</v>
      </c>
      <c r="E1514" t="s">
        <v>18591</v>
      </c>
      <c r="F1514" t="s">
        <v>29372</v>
      </c>
      <c r="G1514" t="s">
        <v>29380</v>
      </c>
      <c r="H1514" t="s">
        <v>29389</v>
      </c>
      <c r="I1514" t="s">
        <v>10408</v>
      </c>
      <c r="J1514" t="s">
        <v>29721</v>
      </c>
      <c r="K1514" t="s">
        <v>38495</v>
      </c>
      <c r="M1514" t="s">
        <v>39324</v>
      </c>
      <c r="N1514" t="s">
        <v>42669</v>
      </c>
      <c r="O1514" t="s">
        <v>42670</v>
      </c>
      <c r="P1514">
        <v>0</v>
      </c>
      <c r="Q1514">
        <v>3</v>
      </c>
      <c r="R1514" t="s">
        <v>42674</v>
      </c>
      <c r="S1514" t="s">
        <v>42788</v>
      </c>
      <c r="T1514" t="s">
        <v>44396</v>
      </c>
      <c r="U1514" t="s">
        <v>46065</v>
      </c>
      <c r="V1514" t="s">
        <v>56499</v>
      </c>
      <c r="W1514" t="s">
        <v>39324</v>
      </c>
      <c r="X1514" t="s">
        <v>42678</v>
      </c>
    </row>
    <row r="1515" spans="1:24">
      <c r="A1515">
        <f>HYPERLINK("https://www.philgeps.gov.ph/GEPSNONPILOT/Tender/SplashBidNoticeAbstractUI.aspx?menuIndex=3&amp;refID=7185025&amp;Result=3","7185025")</f>
        <v>0</v>
      </c>
      <c r="B1515" t="s">
        <v>564</v>
      </c>
      <c r="C1515" t="s">
        <v>4977</v>
      </c>
      <c r="D1515" t="s">
        <v>17198</v>
      </c>
      <c r="E1515" t="s">
        <v>18592</v>
      </c>
      <c r="F1515" t="s">
        <v>29372</v>
      </c>
      <c r="G1515" t="s">
        <v>29380</v>
      </c>
      <c r="H1515" t="s">
        <v>11048</v>
      </c>
      <c r="I1515" t="s">
        <v>4709</v>
      </c>
      <c r="J1515" t="s">
        <v>30637</v>
      </c>
      <c r="K1515" t="s">
        <v>38488</v>
      </c>
      <c r="M1515" t="s">
        <v>39333</v>
      </c>
      <c r="N1515" t="s">
        <v>42669</v>
      </c>
      <c r="O1515" t="s">
        <v>42670</v>
      </c>
      <c r="P1515">
        <v>0</v>
      </c>
      <c r="Q1515">
        <v>0</v>
      </c>
      <c r="R1515" t="s">
        <v>42674</v>
      </c>
      <c r="S1515" t="s">
        <v>42788</v>
      </c>
      <c r="T1515" t="s">
        <v>44439</v>
      </c>
      <c r="U1515" t="s">
        <v>46058</v>
      </c>
      <c r="W1515" t="s">
        <v>39333</v>
      </c>
      <c r="X1515" t="s">
        <v>42678</v>
      </c>
    </row>
    <row r="1516" spans="1:24">
      <c r="A1516">
        <f>HYPERLINK("https://www.philgeps.gov.ph/GEPSNONPILOT/Tender/SplashBidNoticeAbstractUI.aspx?menuIndex=3&amp;refID=7184605&amp;Result=3","7184605")</f>
        <v>0</v>
      </c>
      <c r="B1516" t="s">
        <v>559</v>
      </c>
      <c r="C1516" t="s">
        <v>4978</v>
      </c>
      <c r="D1516" t="s">
        <v>17198</v>
      </c>
      <c r="E1516" t="s">
        <v>18593</v>
      </c>
      <c r="F1516" t="s">
        <v>29372</v>
      </c>
      <c r="G1516" t="s">
        <v>29380</v>
      </c>
      <c r="H1516" t="s">
        <v>11048</v>
      </c>
      <c r="I1516" t="s">
        <v>9469</v>
      </c>
      <c r="J1516" t="s">
        <v>30638</v>
      </c>
      <c r="K1516" t="s">
        <v>38488</v>
      </c>
      <c r="M1516" t="s">
        <v>39328</v>
      </c>
      <c r="N1516" t="s">
        <v>42669</v>
      </c>
      <c r="O1516" t="s">
        <v>42670</v>
      </c>
      <c r="P1516">
        <v>0</v>
      </c>
      <c r="Q1516">
        <v>0</v>
      </c>
      <c r="R1516" t="s">
        <v>42674</v>
      </c>
      <c r="S1516" t="s">
        <v>42788</v>
      </c>
      <c r="T1516" t="s">
        <v>44439</v>
      </c>
      <c r="U1516" t="s">
        <v>46058</v>
      </c>
      <c r="W1516" t="s">
        <v>39328</v>
      </c>
      <c r="X1516" t="s">
        <v>42678</v>
      </c>
    </row>
    <row r="1517" spans="1:24">
      <c r="A1517">
        <f>HYPERLINK("https://www.philgeps.gov.ph/GEPSNONPILOT/Tender/SplashBidNoticeAbstractUI.aspx?menuIndex=3&amp;refID=7184403&amp;Result=3","7184403")</f>
        <v>0</v>
      </c>
      <c r="B1517" t="s">
        <v>560</v>
      </c>
      <c r="C1517" t="s">
        <v>4979</v>
      </c>
      <c r="D1517" t="s">
        <v>17180</v>
      </c>
      <c r="E1517" t="s">
        <v>18594</v>
      </c>
      <c r="F1517" t="s">
        <v>29372</v>
      </c>
      <c r="G1517" t="s">
        <v>29379</v>
      </c>
      <c r="H1517" t="s">
        <v>11048</v>
      </c>
      <c r="I1517" t="s">
        <v>29399</v>
      </c>
      <c r="J1517" t="s">
        <v>30639</v>
      </c>
      <c r="K1517" t="s">
        <v>38510</v>
      </c>
      <c r="M1517" t="s">
        <v>39329</v>
      </c>
      <c r="N1517" t="s">
        <v>42669</v>
      </c>
      <c r="O1517" t="s">
        <v>42670</v>
      </c>
      <c r="P1517">
        <v>0</v>
      </c>
      <c r="Q1517">
        <v>3</v>
      </c>
      <c r="R1517" t="s">
        <v>42674</v>
      </c>
      <c r="S1517" t="s">
        <v>42788</v>
      </c>
      <c r="T1517" t="s">
        <v>44488</v>
      </c>
      <c r="U1517" t="s">
        <v>46059</v>
      </c>
      <c r="W1517" t="s">
        <v>39329</v>
      </c>
      <c r="X1517" t="s">
        <v>42678</v>
      </c>
    </row>
    <row r="1518" spans="1:24">
      <c r="A1518">
        <f>HYPERLINK("https://www.philgeps.gov.ph/GEPSNONPILOT/Tender/SplashBidNoticeAbstractUI.aspx?menuIndex=3&amp;refID=7187189&amp;Result=3","7187189")</f>
        <v>0</v>
      </c>
      <c r="B1518" t="s">
        <v>565</v>
      </c>
      <c r="C1518" t="s">
        <v>4980</v>
      </c>
      <c r="D1518" t="s">
        <v>17189</v>
      </c>
      <c r="E1518" t="s">
        <v>18595</v>
      </c>
      <c r="F1518" t="s">
        <v>29372</v>
      </c>
      <c r="G1518" t="s">
        <v>29379</v>
      </c>
      <c r="H1518" t="s">
        <v>11048</v>
      </c>
      <c r="I1518" t="s">
        <v>4487</v>
      </c>
      <c r="J1518" t="s">
        <v>29625</v>
      </c>
      <c r="K1518" t="s">
        <v>38528</v>
      </c>
      <c r="L1518" t="s">
        <v>565</v>
      </c>
      <c r="M1518" t="s">
        <v>39334</v>
      </c>
      <c r="N1518" t="s">
        <v>42669</v>
      </c>
      <c r="O1518" t="s">
        <v>42670</v>
      </c>
      <c r="P1518">
        <v>0</v>
      </c>
      <c r="Q1518">
        <v>0</v>
      </c>
      <c r="R1518" t="s">
        <v>42674</v>
      </c>
      <c r="S1518" t="s">
        <v>42788</v>
      </c>
      <c r="T1518" t="s">
        <v>44535</v>
      </c>
      <c r="U1518" t="s">
        <v>46066</v>
      </c>
      <c r="W1518" t="s">
        <v>39334</v>
      </c>
      <c r="X1518" t="s">
        <v>42677</v>
      </c>
    </row>
    <row r="1519" spans="1:24">
      <c r="A1519">
        <f>HYPERLINK("https://www.philgeps.gov.ph/GEPSNONPILOT/Tender/SplashBidNoticeAbstractUI.aspx?menuIndex=3&amp;refID=7185240&amp;Result=3","7185240")</f>
        <v>0</v>
      </c>
      <c r="B1519" t="s">
        <v>566</v>
      </c>
      <c r="C1519" t="s">
        <v>4981</v>
      </c>
      <c r="E1519" t="s">
        <v>18596</v>
      </c>
      <c r="F1519" t="s">
        <v>29372</v>
      </c>
      <c r="G1519" t="s">
        <v>29380</v>
      </c>
      <c r="H1519" t="s">
        <v>11048</v>
      </c>
      <c r="I1519" t="s">
        <v>29400</v>
      </c>
      <c r="J1519" t="s">
        <v>30640</v>
      </c>
      <c r="K1519" t="s">
        <v>38490</v>
      </c>
      <c r="M1519" t="s">
        <v>39335</v>
      </c>
      <c r="N1519" t="s">
        <v>42669</v>
      </c>
      <c r="O1519" t="s">
        <v>42670</v>
      </c>
      <c r="P1519">
        <v>0</v>
      </c>
      <c r="Q1519">
        <v>8</v>
      </c>
      <c r="R1519" t="s">
        <v>42674</v>
      </c>
      <c r="S1519" t="s">
        <v>42788</v>
      </c>
      <c r="T1519" t="s">
        <v>44536</v>
      </c>
      <c r="U1519" t="s">
        <v>46067</v>
      </c>
      <c r="W1519" t="s">
        <v>39335</v>
      </c>
      <c r="X1519" t="s">
        <v>42678</v>
      </c>
    </row>
    <row r="1520" spans="1:24">
      <c r="A1520">
        <f>HYPERLINK("https://www.philgeps.gov.ph/GEPSNONPILOT/Tender/SplashBidNoticeAbstractUI.aspx?menuIndex=3&amp;refID=7187715&amp;Result=3","7187715")</f>
        <v>0</v>
      </c>
      <c r="B1520" t="s">
        <v>567</v>
      </c>
      <c r="C1520" t="s">
        <v>4982</v>
      </c>
      <c r="D1520" t="s">
        <v>17146</v>
      </c>
      <c r="E1520" t="s">
        <v>18597</v>
      </c>
      <c r="F1520" t="s">
        <v>29372</v>
      </c>
      <c r="G1520" t="s">
        <v>29380</v>
      </c>
      <c r="H1520" t="s">
        <v>29389</v>
      </c>
      <c r="I1520" t="s">
        <v>10408</v>
      </c>
      <c r="J1520" t="s">
        <v>30641</v>
      </c>
      <c r="K1520" t="s">
        <v>38490</v>
      </c>
      <c r="M1520" t="s">
        <v>39336</v>
      </c>
      <c r="N1520" t="s">
        <v>42669</v>
      </c>
      <c r="O1520" t="s">
        <v>42670</v>
      </c>
      <c r="P1520">
        <v>0</v>
      </c>
      <c r="Q1520">
        <v>0</v>
      </c>
      <c r="R1520" t="s">
        <v>42674</v>
      </c>
      <c r="S1520" t="s">
        <v>42788</v>
      </c>
      <c r="T1520" t="s">
        <v>44430</v>
      </c>
      <c r="U1520" t="s">
        <v>46068</v>
      </c>
      <c r="W1520" t="s">
        <v>39336</v>
      </c>
      <c r="X1520" t="s">
        <v>42677</v>
      </c>
    </row>
    <row r="1521" spans="1:24">
      <c r="A1521">
        <f>HYPERLINK("https://www.philgeps.gov.ph/GEPSNONPILOT/Tender/SplashBidNoticeAbstractUI.aspx?menuIndex=3&amp;refID=7187641&amp;Result=3","7187641")</f>
        <v>0</v>
      </c>
      <c r="B1521" t="s">
        <v>568</v>
      </c>
      <c r="C1521" t="s">
        <v>4983</v>
      </c>
      <c r="D1521" t="s">
        <v>17168</v>
      </c>
      <c r="E1521" t="s">
        <v>18598</v>
      </c>
      <c r="F1521" t="s">
        <v>29372</v>
      </c>
      <c r="G1521" t="s">
        <v>29380</v>
      </c>
      <c r="H1521" t="s">
        <v>11048</v>
      </c>
      <c r="I1521" t="s">
        <v>4709</v>
      </c>
      <c r="J1521" t="s">
        <v>30642</v>
      </c>
      <c r="K1521" t="s">
        <v>38488</v>
      </c>
      <c r="M1521" t="s">
        <v>39337</v>
      </c>
      <c r="N1521" t="s">
        <v>42669</v>
      </c>
      <c r="O1521" t="s">
        <v>42670</v>
      </c>
      <c r="P1521">
        <v>0</v>
      </c>
      <c r="Q1521">
        <v>0</v>
      </c>
      <c r="R1521" t="s">
        <v>42674</v>
      </c>
      <c r="S1521" t="s">
        <v>42788</v>
      </c>
      <c r="T1521" t="s">
        <v>44430</v>
      </c>
      <c r="U1521" t="s">
        <v>46069</v>
      </c>
      <c r="V1521" t="s">
        <v>56501</v>
      </c>
      <c r="W1521" t="s">
        <v>39337</v>
      </c>
      <c r="X1521" t="s">
        <v>42677</v>
      </c>
    </row>
    <row r="1522" spans="1:24">
      <c r="A1522">
        <f>HYPERLINK("https://www.philgeps.gov.ph/GEPSNONPILOT/Tender/SplashBidNoticeAbstractUI.aspx?menuIndex=3&amp;refID=7187487&amp;Result=3","7187487")</f>
        <v>0</v>
      </c>
      <c r="B1522" t="s">
        <v>569</v>
      </c>
      <c r="C1522" t="s">
        <v>4984</v>
      </c>
      <c r="D1522" t="s">
        <v>17149</v>
      </c>
      <c r="E1522" t="s">
        <v>18599</v>
      </c>
      <c r="F1522" t="s">
        <v>29372</v>
      </c>
      <c r="G1522" t="s">
        <v>29380</v>
      </c>
      <c r="H1522" t="s">
        <v>11048</v>
      </c>
      <c r="I1522" t="s">
        <v>29452</v>
      </c>
      <c r="J1522" t="s">
        <v>30012</v>
      </c>
      <c r="K1522" t="s">
        <v>38553</v>
      </c>
      <c r="M1522" t="s">
        <v>39338</v>
      </c>
      <c r="N1522" t="s">
        <v>42669</v>
      </c>
      <c r="O1522" t="s">
        <v>42670</v>
      </c>
      <c r="P1522">
        <v>0</v>
      </c>
      <c r="Q1522">
        <v>2</v>
      </c>
      <c r="R1522" t="s">
        <v>42674</v>
      </c>
      <c r="S1522" t="s">
        <v>42788</v>
      </c>
      <c r="T1522" t="s">
        <v>44374</v>
      </c>
      <c r="U1522" t="s">
        <v>46070</v>
      </c>
      <c r="W1522" t="s">
        <v>39338</v>
      </c>
      <c r="X1522" t="s">
        <v>42677</v>
      </c>
    </row>
    <row r="1523" spans="1:24">
      <c r="A1523">
        <f>HYPERLINK("https://www.philgeps.gov.ph/GEPSNONPILOT/Tender/SplashBidNoticeAbstractUI.aspx?menuIndex=3&amp;refID=7184834&amp;Result=3","7184834")</f>
        <v>0</v>
      </c>
      <c r="B1523" t="s">
        <v>126</v>
      </c>
      <c r="C1523" t="s">
        <v>4985</v>
      </c>
      <c r="D1523" t="s">
        <v>17177</v>
      </c>
      <c r="E1523" t="s">
        <v>18600</v>
      </c>
      <c r="F1523" t="s">
        <v>29372</v>
      </c>
      <c r="G1523" t="s">
        <v>29380</v>
      </c>
      <c r="H1523" t="s">
        <v>11048</v>
      </c>
      <c r="I1523" t="s">
        <v>4709</v>
      </c>
      <c r="J1523" t="s">
        <v>30643</v>
      </c>
      <c r="K1523" t="s">
        <v>38488</v>
      </c>
      <c r="M1523" t="s">
        <v>39314</v>
      </c>
      <c r="N1523" t="s">
        <v>42669</v>
      </c>
      <c r="O1523" t="s">
        <v>42670</v>
      </c>
      <c r="P1523">
        <v>0</v>
      </c>
      <c r="Q1523">
        <v>1</v>
      </c>
      <c r="R1523" t="s">
        <v>42674</v>
      </c>
      <c r="S1523" t="s">
        <v>42788</v>
      </c>
      <c r="T1523" t="s">
        <v>44533</v>
      </c>
      <c r="U1523" t="s">
        <v>46038</v>
      </c>
      <c r="V1523" t="s">
        <v>56495</v>
      </c>
      <c r="W1523" t="s">
        <v>39314</v>
      </c>
      <c r="X1523" t="s">
        <v>42678</v>
      </c>
    </row>
    <row r="1524" spans="1:24">
      <c r="A1524">
        <f>HYPERLINK("https://www.philgeps.gov.ph/GEPSNONPILOT/Tender/SplashBidNoticeAbstractUI.aspx?menuIndex=3&amp;refID=7187479&amp;Result=3","7187479")</f>
        <v>0</v>
      </c>
      <c r="B1524" t="s">
        <v>544</v>
      </c>
      <c r="C1524" t="s">
        <v>4986</v>
      </c>
      <c r="D1524" t="s">
        <v>17153</v>
      </c>
      <c r="E1524" t="s">
        <v>18601</v>
      </c>
      <c r="F1524" t="s">
        <v>29372</v>
      </c>
      <c r="G1524" t="s">
        <v>29383</v>
      </c>
      <c r="H1524" t="s">
        <v>11048</v>
      </c>
      <c r="I1524" t="s">
        <v>29472</v>
      </c>
      <c r="J1524" t="s">
        <v>29988</v>
      </c>
      <c r="K1524" t="s">
        <v>38490</v>
      </c>
      <c r="M1524" t="s">
        <v>39312</v>
      </c>
      <c r="N1524" t="s">
        <v>42669</v>
      </c>
      <c r="O1524" t="s">
        <v>42670</v>
      </c>
      <c r="P1524">
        <v>0</v>
      </c>
      <c r="Q1524">
        <v>4</v>
      </c>
      <c r="R1524" t="s">
        <v>42674</v>
      </c>
      <c r="S1524" t="s">
        <v>42788</v>
      </c>
      <c r="T1524" t="s">
        <v>44386</v>
      </c>
      <c r="U1524" t="s">
        <v>46071</v>
      </c>
      <c r="W1524" t="s">
        <v>39312</v>
      </c>
      <c r="X1524" t="s">
        <v>42677</v>
      </c>
    </row>
    <row r="1525" spans="1:24">
      <c r="A1525">
        <f>HYPERLINK("https://www.philgeps.gov.ph/GEPSNONPILOT/Tender/SplashBidNoticeAbstractUI.aspx?menuIndex=3&amp;refID=7187190&amp;Result=3","7187190")</f>
        <v>0</v>
      </c>
      <c r="B1525" t="s">
        <v>570</v>
      </c>
      <c r="C1525" t="s">
        <v>4987</v>
      </c>
      <c r="D1525" t="s">
        <v>17205</v>
      </c>
      <c r="E1525" t="s">
        <v>18026</v>
      </c>
      <c r="F1525" t="s">
        <v>29372</v>
      </c>
      <c r="G1525" t="s">
        <v>29383</v>
      </c>
      <c r="H1525" t="s">
        <v>29390</v>
      </c>
      <c r="I1525" t="s">
        <v>5383</v>
      </c>
      <c r="J1525" t="s">
        <v>29685</v>
      </c>
      <c r="K1525" t="s">
        <v>38510</v>
      </c>
      <c r="L1525" t="s">
        <v>570</v>
      </c>
      <c r="M1525" t="s">
        <v>39339</v>
      </c>
      <c r="N1525" t="s">
        <v>42669</v>
      </c>
      <c r="O1525" t="s">
        <v>42670</v>
      </c>
      <c r="P1525">
        <v>0</v>
      </c>
      <c r="Q1525">
        <v>0</v>
      </c>
      <c r="R1525" t="s">
        <v>42674</v>
      </c>
      <c r="S1525" t="s">
        <v>42788</v>
      </c>
      <c r="T1525" t="s">
        <v>44537</v>
      </c>
      <c r="U1525" t="s">
        <v>46072</v>
      </c>
      <c r="W1525" t="s">
        <v>39339</v>
      </c>
      <c r="X1525" t="s">
        <v>42677</v>
      </c>
    </row>
    <row r="1526" spans="1:24">
      <c r="A1526">
        <f>HYPERLINK("https://www.philgeps.gov.ph/GEPSNONPILOT/Tender/SplashBidNoticeAbstractUI.aspx?menuIndex=3&amp;refID=7187674&amp;Result=3","7187674")</f>
        <v>0</v>
      </c>
      <c r="B1526" t="s">
        <v>571</v>
      </c>
      <c r="C1526" t="s">
        <v>4988</v>
      </c>
      <c r="D1526" t="s">
        <v>17187</v>
      </c>
      <c r="E1526" t="s">
        <v>17533</v>
      </c>
      <c r="F1526" t="s">
        <v>29372</v>
      </c>
      <c r="G1526" t="s">
        <v>29379</v>
      </c>
      <c r="H1526" t="s">
        <v>11048</v>
      </c>
      <c r="I1526" t="s">
        <v>5383</v>
      </c>
      <c r="J1526" t="s">
        <v>30107</v>
      </c>
      <c r="K1526" t="s">
        <v>38485</v>
      </c>
      <c r="M1526" t="s">
        <v>39340</v>
      </c>
      <c r="N1526" t="s">
        <v>42669</v>
      </c>
      <c r="O1526" t="s">
        <v>42670</v>
      </c>
      <c r="P1526">
        <v>0</v>
      </c>
      <c r="Q1526">
        <v>3</v>
      </c>
      <c r="R1526" t="s">
        <v>42674</v>
      </c>
      <c r="S1526" t="s">
        <v>42788</v>
      </c>
      <c r="T1526" t="s">
        <v>44530</v>
      </c>
      <c r="U1526" t="s">
        <v>46073</v>
      </c>
      <c r="W1526" t="s">
        <v>39340</v>
      </c>
      <c r="X1526" t="s">
        <v>42677</v>
      </c>
    </row>
    <row r="1527" spans="1:24">
      <c r="A1527">
        <f>HYPERLINK("https://www.philgeps.gov.ph/GEPSNONPILOT/Tender/SplashBidNoticeAbstractUI.aspx?menuIndex=3&amp;refID=7187535&amp;Result=3","7187535")</f>
        <v>0</v>
      </c>
      <c r="B1527" t="s">
        <v>569</v>
      </c>
      <c r="C1527" t="s">
        <v>4989</v>
      </c>
      <c r="D1527" t="s">
        <v>17149</v>
      </c>
      <c r="E1527" t="s">
        <v>18602</v>
      </c>
      <c r="F1527" t="s">
        <v>29372</v>
      </c>
      <c r="G1527" t="s">
        <v>29380</v>
      </c>
      <c r="H1527" t="s">
        <v>29389</v>
      </c>
      <c r="I1527" t="s">
        <v>10408</v>
      </c>
      <c r="J1527" t="s">
        <v>30644</v>
      </c>
      <c r="K1527" t="s">
        <v>38553</v>
      </c>
      <c r="M1527" t="s">
        <v>39338</v>
      </c>
      <c r="N1527" t="s">
        <v>42669</v>
      </c>
      <c r="O1527" t="s">
        <v>42670</v>
      </c>
      <c r="P1527">
        <v>0</v>
      </c>
      <c r="Q1527">
        <v>0</v>
      </c>
      <c r="R1527" t="s">
        <v>42674</v>
      </c>
      <c r="S1527" t="s">
        <v>42788</v>
      </c>
      <c r="T1527" t="s">
        <v>44374</v>
      </c>
      <c r="U1527" t="s">
        <v>46074</v>
      </c>
      <c r="W1527" t="s">
        <v>39338</v>
      </c>
      <c r="X1527" t="s">
        <v>42677</v>
      </c>
    </row>
    <row r="1528" spans="1:24">
      <c r="A1528">
        <f>HYPERLINK("https://www.philgeps.gov.ph/GEPSNONPILOT/Tender/SplashBidNoticeAbstractUI.aspx?menuIndex=3&amp;refID=7184774&amp;Result=3","7184774")</f>
        <v>0</v>
      </c>
      <c r="B1528" t="s">
        <v>561</v>
      </c>
      <c r="C1528" t="s">
        <v>4990</v>
      </c>
      <c r="D1528" t="s">
        <v>17175</v>
      </c>
      <c r="E1528" t="s">
        <v>17493</v>
      </c>
      <c r="F1528" t="s">
        <v>29372</v>
      </c>
      <c r="G1528" t="s">
        <v>29380</v>
      </c>
      <c r="H1528" t="s">
        <v>11048</v>
      </c>
      <c r="I1528" t="s">
        <v>29393</v>
      </c>
      <c r="J1528" t="s">
        <v>29555</v>
      </c>
      <c r="K1528" t="s">
        <v>38485</v>
      </c>
      <c r="M1528" t="s">
        <v>39330</v>
      </c>
      <c r="N1528" t="s">
        <v>42669</v>
      </c>
      <c r="O1528" t="s">
        <v>42670</v>
      </c>
      <c r="P1528">
        <v>0</v>
      </c>
      <c r="Q1528">
        <v>0</v>
      </c>
      <c r="R1528" t="s">
        <v>42674</v>
      </c>
      <c r="S1528" t="s">
        <v>42788</v>
      </c>
      <c r="T1528" t="s">
        <v>44534</v>
      </c>
      <c r="U1528" t="s">
        <v>46064</v>
      </c>
      <c r="W1528" t="s">
        <v>39330</v>
      </c>
      <c r="X1528" t="s">
        <v>42678</v>
      </c>
    </row>
    <row r="1529" spans="1:24">
      <c r="A1529">
        <f>HYPERLINK("https://www.philgeps.gov.ph/GEPSNONPILOT/Tender/SplashBidNoticeAbstractUI.aspx?menuIndex=3&amp;refID=7188130&amp;Result=3","7188130")</f>
        <v>0</v>
      </c>
      <c r="B1529" t="s">
        <v>572</v>
      </c>
      <c r="C1529" t="s">
        <v>4991</v>
      </c>
      <c r="D1529" t="s">
        <v>17165</v>
      </c>
      <c r="E1529" t="s">
        <v>18603</v>
      </c>
      <c r="F1529" t="s">
        <v>29372</v>
      </c>
      <c r="G1529" t="s">
        <v>29380</v>
      </c>
      <c r="H1529" t="s">
        <v>11048</v>
      </c>
      <c r="I1529" t="s">
        <v>29395</v>
      </c>
      <c r="J1529" t="s">
        <v>29764</v>
      </c>
      <c r="K1529" t="s">
        <v>38485</v>
      </c>
      <c r="M1529" t="s">
        <v>39341</v>
      </c>
      <c r="N1529" t="s">
        <v>42669</v>
      </c>
      <c r="O1529" t="s">
        <v>42670</v>
      </c>
      <c r="P1529">
        <v>0</v>
      </c>
      <c r="Q1529">
        <v>2</v>
      </c>
      <c r="R1529" t="s">
        <v>42674</v>
      </c>
      <c r="S1529" t="s">
        <v>42788</v>
      </c>
      <c r="T1529" t="s">
        <v>44375</v>
      </c>
      <c r="U1529" t="s">
        <v>46075</v>
      </c>
      <c r="W1529" t="s">
        <v>39341</v>
      </c>
      <c r="X1529" t="s">
        <v>42677</v>
      </c>
    </row>
    <row r="1530" spans="1:24">
      <c r="A1530">
        <f>HYPERLINK("https://www.philgeps.gov.ph/GEPSNONPILOT/Tender/SplashBidNoticeAbstractUI.aspx?menuIndex=3&amp;refID=7185217&amp;Result=3","7185217")</f>
        <v>0</v>
      </c>
      <c r="B1530" t="s">
        <v>547</v>
      </c>
      <c r="C1530" t="s">
        <v>4992</v>
      </c>
      <c r="D1530" t="s">
        <v>17174</v>
      </c>
      <c r="E1530" t="s">
        <v>18604</v>
      </c>
      <c r="F1530" t="s">
        <v>29372</v>
      </c>
      <c r="G1530" t="s">
        <v>29381</v>
      </c>
      <c r="H1530" t="s">
        <v>11048</v>
      </c>
      <c r="I1530" t="s">
        <v>29404</v>
      </c>
      <c r="J1530" t="s">
        <v>30645</v>
      </c>
      <c r="K1530" t="s">
        <v>38496</v>
      </c>
      <c r="M1530" t="s">
        <v>39316</v>
      </c>
      <c r="N1530" t="s">
        <v>42669</v>
      </c>
      <c r="O1530" t="s">
        <v>42670</v>
      </c>
      <c r="P1530">
        <v>0</v>
      </c>
      <c r="Q1530">
        <v>1</v>
      </c>
      <c r="R1530" t="s">
        <v>42674</v>
      </c>
      <c r="S1530" t="s">
        <v>42788</v>
      </c>
      <c r="T1530" t="s">
        <v>44363</v>
      </c>
      <c r="U1530" t="s">
        <v>46076</v>
      </c>
      <c r="W1530" t="s">
        <v>58017</v>
      </c>
      <c r="X1530" t="s">
        <v>42678</v>
      </c>
    </row>
    <row r="1531" spans="1:24">
      <c r="A1531">
        <f>HYPERLINK("https://www.philgeps.gov.ph/GEPSNONPILOT/Tender/SplashBidNoticeAbstractUI.aspx?menuIndex=3&amp;refID=7188103&amp;Result=3","7188103")</f>
        <v>0</v>
      </c>
      <c r="B1531" t="s">
        <v>572</v>
      </c>
      <c r="C1531" t="s">
        <v>4993</v>
      </c>
      <c r="D1531" t="s">
        <v>17165</v>
      </c>
      <c r="E1531" t="s">
        <v>18605</v>
      </c>
      <c r="F1531" t="s">
        <v>29372</v>
      </c>
      <c r="G1531" t="s">
        <v>29380</v>
      </c>
      <c r="H1531" t="s">
        <v>11048</v>
      </c>
      <c r="I1531" t="s">
        <v>29395</v>
      </c>
      <c r="J1531" t="s">
        <v>30646</v>
      </c>
      <c r="K1531" t="s">
        <v>38485</v>
      </c>
      <c r="M1531" t="s">
        <v>39341</v>
      </c>
      <c r="N1531" t="s">
        <v>42669</v>
      </c>
      <c r="O1531" t="s">
        <v>42670</v>
      </c>
      <c r="P1531">
        <v>0</v>
      </c>
      <c r="Q1531">
        <v>1</v>
      </c>
      <c r="R1531" t="s">
        <v>42674</v>
      </c>
      <c r="S1531" t="s">
        <v>42788</v>
      </c>
      <c r="T1531" t="s">
        <v>44375</v>
      </c>
      <c r="U1531" t="s">
        <v>46077</v>
      </c>
      <c r="W1531" t="s">
        <v>39341</v>
      </c>
      <c r="X1531" t="s">
        <v>42677</v>
      </c>
    </row>
    <row r="1532" spans="1:24">
      <c r="A1532">
        <f>HYPERLINK("https://www.philgeps.gov.ph/GEPSNONPILOT/Tender/SplashBidNoticeAbstractUI.aspx?menuIndex=3&amp;refID=7188093&amp;Result=3","7188093")</f>
        <v>0</v>
      </c>
      <c r="B1532" t="s">
        <v>573</v>
      </c>
      <c r="C1532" t="s">
        <v>4994</v>
      </c>
      <c r="D1532" t="s">
        <v>17171</v>
      </c>
      <c r="E1532" t="s">
        <v>18606</v>
      </c>
      <c r="F1532" t="s">
        <v>29372</v>
      </c>
      <c r="G1532" t="s">
        <v>29380</v>
      </c>
      <c r="H1532" t="s">
        <v>11048</v>
      </c>
      <c r="I1532" t="s">
        <v>5383</v>
      </c>
      <c r="J1532" t="s">
        <v>30647</v>
      </c>
      <c r="K1532" t="s">
        <v>38490</v>
      </c>
      <c r="M1532" t="s">
        <v>39342</v>
      </c>
      <c r="N1532" t="s">
        <v>42669</v>
      </c>
      <c r="O1532" t="s">
        <v>42670</v>
      </c>
      <c r="P1532">
        <v>0</v>
      </c>
      <c r="Q1532">
        <v>4</v>
      </c>
      <c r="R1532" t="s">
        <v>42674</v>
      </c>
      <c r="S1532" t="s">
        <v>42788</v>
      </c>
      <c r="T1532" t="s">
        <v>44480</v>
      </c>
      <c r="U1532" t="s">
        <v>46078</v>
      </c>
      <c r="W1532" t="s">
        <v>39342</v>
      </c>
      <c r="X1532" t="s">
        <v>42677</v>
      </c>
    </row>
    <row r="1533" spans="1:24">
      <c r="A1533">
        <f>HYPERLINK("https://www.philgeps.gov.ph/GEPSNONPILOT/Tender/SplashBidNoticeAbstractUI.aspx?menuIndex=3&amp;refID=7187245&amp;Result=3","7187245")</f>
        <v>0</v>
      </c>
      <c r="B1533" t="s">
        <v>569</v>
      </c>
      <c r="C1533" t="s">
        <v>4995</v>
      </c>
      <c r="D1533" t="s">
        <v>17149</v>
      </c>
      <c r="E1533" t="s">
        <v>18607</v>
      </c>
      <c r="F1533" t="s">
        <v>29372</v>
      </c>
      <c r="G1533" t="s">
        <v>29380</v>
      </c>
      <c r="H1533" t="s">
        <v>29389</v>
      </c>
      <c r="I1533" t="s">
        <v>10408</v>
      </c>
      <c r="J1533" t="s">
        <v>30648</v>
      </c>
      <c r="K1533" t="s">
        <v>38553</v>
      </c>
      <c r="M1533" t="s">
        <v>39338</v>
      </c>
      <c r="N1533" t="s">
        <v>42669</v>
      </c>
      <c r="O1533" t="s">
        <v>42670</v>
      </c>
      <c r="P1533">
        <v>0</v>
      </c>
      <c r="Q1533">
        <v>0</v>
      </c>
      <c r="R1533" t="s">
        <v>42674</v>
      </c>
      <c r="S1533" t="s">
        <v>42788</v>
      </c>
      <c r="T1533" t="s">
        <v>44374</v>
      </c>
      <c r="U1533" t="s">
        <v>46079</v>
      </c>
      <c r="W1533" t="s">
        <v>39338</v>
      </c>
      <c r="X1533" t="s">
        <v>42677</v>
      </c>
    </row>
    <row r="1534" spans="1:24">
      <c r="A1534">
        <f>HYPERLINK("https://www.philgeps.gov.ph/GEPSNONPILOT/Tender/SplashBidNoticeAbstractUI.aspx?menuIndex=3&amp;refID=7187822&amp;Result=3","7187822")</f>
        <v>0</v>
      </c>
      <c r="B1534" t="s">
        <v>573</v>
      </c>
      <c r="C1534" t="s">
        <v>4996</v>
      </c>
      <c r="D1534" t="s">
        <v>17171</v>
      </c>
      <c r="E1534" t="s">
        <v>18608</v>
      </c>
      <c r="F1534" t="s">
        <v>29372</v>
      </c>
      <c r="G1534" t="s">
        <v>29380</v>
      </c>
      <c r="H1534" t="s">
        <v>29389</v>
      </c>
      <c r="I1534" t="s">
        <v>10408</v>
      </c>
      <c r="J1534" t="s">
        <v>30056</v>
      </c>
      <c r="K1534" t="s">
        <v>38490</v>
      </c>
      <c r="M1534" t="s">
        <v>39342</v>
      </c>
      <c r="N1534" t="s">
        <v>42669</v>
      </c>
      <c r="O1534" t="s">
        <v>42670</v>
      </c>
      <c r="P1534">
        <v>0</v>
      </c>
      <c r="Q1534">
        <v>0</v>
      </c>
      <c r="R1534" t="s">
        <v>42674</v>
      </c>
      <c r="S1534" t="s">
        <v>42788</v>
      </c>
      <c r="T1534" t="s">
        <v>44446</v>
      </c>
      <c r="U1534" t="s">
        <v>46078</v>
      </c>
      <c r="W1534" t="s">
        <v>39342</v>
      </c>
      <c r="X1534" t="s">
        <v>42677</v>
      </c>
    </row>
    <row r="1535" spans="1:24">
      <c r="A1535">
        <f>HYPERLINK("https://www.philgeps.gov.ph/GEPSNONPILOT/Tender/SplashBidNoticeAbstractUI.aspx?menuIndex=3&amp;refID=7187778&amp;Result=3","7187778")</f>
        <v>0</v>
      </c>
      <c r="B1535" t="s">
        <v>574</v>
      </c>
      <c r="C1535" t="s">
        <v>4997</v>
      </c>
      <c r="D1535" t="s">
        <v>17220</v>
      </c>
      <c r="E1535" t="s">
        <v>18609</v>
      </c>
      <c r="F1535" t="s">
        <v>29372</v>
      </c>
      <c r="G1535" t="s">
        <v>29379</v>
      </c>
      <c r="H1535" t="s">
        <v>11048</v>
      </c>
      <c r="I1535" t="s">
        <v>7828</v>
      </c>
      <c r="J1535" t="s">
        <v>30649</v>
      </c>
      <c r="K1535" t="s">
        <v>38485</v>
      </c>
      <c r="M1535" t="s">
        <v>39343</v>
      </c>
      <c r="N1535" t="s">
        <v>42669</v>
      </c>
      <c r="O1535" t="s">
        <v>42670</v>
      </c>
      <c r="P1535">
        <v>0</v>
      </c>
      <c r="Q1535">
        <v>5</v>
      </c>
      <c r="R1535" t="s">
        <v>42674</v>
      </c>
      <c r="S1535" t="s">
        <v>42788</v>
      </c>
      <c r="T1535" t="s">
        <v>44432</v>
      </c>
      <c r="U1535" t="s">
        <v>46080</v>
      </c>
      <c r="W1535" t="s">
        <v>39343</v>
      </c>
      <c r="X1535" t="s">
        <v>42677</v>
      </c>
    </row>
    <row r="1536" spans="1:24">
      <c r="A1536">
        <f>HYPERLINK("https://www.philgeps.gov.ph/GEPSNONPILOT/Tender/SplashBidNoticeAbstractUI.aspx?menuIndex=3&amp;refID=7187741&amp;Result=3","7187741")</f>
        <v>0</v>
      </c>
      <c r="B1536" t="s">
        <v>573</v>
      </c>
      <c r="C1536" t="s">
        <v>4998</v>
      </c>
      <c r="D1536" t="s">
        <v>17171</v>
      </c>
      <c r="E1536" t="s">
        <v>18610</v>
      </c>
      <c r="F1536" t="s">
        <v>29372</v>
      </c>
      <c r="G1536" t="s">
        <v>29380</v>
      </c>
      <c r="H1536" t="s">
        <v>11048</v>
      </c>
      <c r="I1536" t="s">
        <v>4709</v>
      </c>
      <c r="J1536" t="s">
        <v>30650</v>
      </c>
      <c r="K1536" t="s">
        <v>38490</v>
      </c>
      <c r="M1536" t="s">
        <v>39342</v>
      </c>
      <c r="N1536" t="s">
        <v>42669</v>
      </c>
      <c r="O1536" t="s">
        <v>42670</v>
      </c>
      <c r="P1536">
        <v>0</v>
      </c>
      <c r="Q1536">
        <v>0</v>
      </c>
      <c r="R1536" t="s">
        <v>42674</v>
      </c>
      <c r="S1536" t="s">
        <v>42788</v>
      </c>
      <c r="T1536" t="s">
        <v>44480</v>
      </c>
      <c r="U1536" t="s">
        <v>46078</v>
      </c>
      <c r="W1536" t="s">
        <v>39342</v>
      </c>
      <c r="X1536" t="s">
        <v>42677</v>
      </c>
    </row>
    <row r="1537" spans="1:24">
      <c r="A1537">
        <f>HYPERLINK("https://www.philgeps.gov.ph/GEPSNONPILOT/Tender/SplashBidNoticeAbstractUI.aspx?menuIndex=3&amp;refID=7187640&amp;Result=3","7187640")</f>
        <v>0</v>
      </c>
      <c r="B1537" t="s">
        <v>575</v>
      </c>
      <c r="C1537" t="s">
        <v>4999</v>
      </c>
      <c r="D1537" t="s">
        <v>17169</v>
      </c>
      <c r="E1537" t="s">
        <v>18049</v>
      </c>
      <c r="F1537" t="s">
        <v>29372</v>
      </c>
      <c r="G1537" t="s">
        <v>29380</v>
      </c>
      <c r="H1537" t="s">
        <v>11048</v>
      </c>
      <c r="I1537" t="s">
        <v>3670</v>
      </c>
      <c r="J1537" t="s">
        <v>29799</v>
      </c>
      <c r="K1537" t="s">
        <v>38490</v>
      </c>
      <c r="M1537" t="s">
        <v>39344</v>
      </c>
      <c r="N1537" t="s">
        <v>42669</v>
      </c>
      <c r="O1537" t="s">
        <v>42670</v>
      </c>
      <c r="P1537">
        <v>0</v>
      </c>
      <c r="Q1537">
        <v>0</v>
      </c>
      <c r="R1537" t="s">
        <v>42674</v>
      </c>
      <c r="S1537" t="s">
        <v>42788</v>
      </c>
      <c r="T1537" t="s">
        <v>44525</v>
      </c>
      <c r="U1537" t="s">
        <v>46081</v>
      </c>
      <c r="W1537" t="s">
        <v>39344</v>
      </c>
      <c r="X1537" t="s">
        <v>42677</v>
      </c>
    </row>
    <row r="1538" spans="1:24">
      <c r="A1538">
        <f>HYPERLINK("https://www.philgeps.gov.ph/GEPSNONPILOT/Tender/SplashBidNoticeAbstractUI.aspx?menuIndex=3&amp;refID=7188078&amp;Result=3","7188078")</f>
        <v>0</v>
      </c>
      <c r="B1538" t="s">
        <v>573</v>
      </c>
      <c r="C1538" t="s">
        <v>5000</v>
      </c>
      <c r="D1538" t="s">
        <v>17171</v>
      </c>
      <c r="E1538" t="s">
        <v>18611</v>
      </c>
      <c r="F1538" t="s">
        <v>29372</v>
      </c>
      <c r="G1538" t="s">
        <v>29380</v>
      </c>
      <c r="H1538" t="s">
        <v>11048</v>
      </c>
      <c r="I1538" t="s">
        <v>29411</v>
      </c>
      <c r="J1538" t="s">
        <v>30651</v>
      </c>
      <c r="K1538" t="s">
        <v>38490</v>
      </c>
      <c r="M1538" t="s">
        <v>39342</v>
      </c>
      <c r="N1538" t="s">
        <v>42669</v>
      </c>
      <c r="O1538" t="s">
        <v>42670</v>
      </c>
      <c r="P1538">
        <v>0</v>
      </c>
      <c r="Q1538">
        <v>1</v>
      </c>
      <c r="R1538" t="s">
        <v>42674</v>
      </c>
      <c r="S1538" t="s">
        <v>42788</v>
      </c>
      <c r="T1538" t="s">
        <v>44446</v>
      </c>
      <c r="U1538" t="s">
        <v>46078</v>
      </c>
      <c r="W1538" t="s">
        <v>39342</v>
      </c>
      <c r="X1538" t="s">
        <v>42677</v>
      </c>
    </row>
    <row r="1539" spans="1:24">
      <c r="A1539">
        <f>HYPERLINK("https://www.philgeps.gov.ph/GEPSNONPILOT/Tender/SplashBidNoticeAbstractUI.aspx?menuIndex=3&amp;refID=7188168&amp;Result=3","7188168")</f>
        <v>0</v>
      </c>
      <c r="B1539" t="s">
        <v>537</v>
      </c>
      <c r="C1539" t="s">
        <v>5001</v>
      </c>
      <c r="D1539" t="s">
        <v>17168</v>
      </c>
      <c r="E1539" t="s">
        <v>18612</v>
      </c>
      <c r="F1539" t="s">
        <v>29372</v>
      </c>
      <c r="G1539" t="s">
        <v>29383</v>
      </c>
      <c r="H1539" t="s">
        <v>11048</v>
      </c>
      <c r="I1539" t="s">
        <v>29464</v>
      </c>
      <c r="J1539" t="s">
        <v>29555</v>
      </c>
      <c r="K1539" t="s">
        <v>38510</v>
      </c>
      <c r="M1539" t="s">
        <v>39305</v>
      </c>
      <c r="N1539" t="s">
        <v>42669</v>
      </c>
      <c r="O1539" t="s">
        <v>42670</v>
      </c>
      <c r="P1539">
        <v>0</v>
      </c>
      <c r="Q1539">
        <v>2</v>
      </c>
      <c r="R1539" t="s">
        <v>42674</v>
      </c>
      <c r="S1539" t="s">
        <v>42788</v>
      </c>
      <c r="T1539" t="s">
        <v>44394</v>
      </c>
      <c r="U1539" t="s">
        <v>46082</v>
      </c>
      <c r="W1539" t="s">
        <v>39305</v>
      </c>
      <c r="X1539" t="s">
        <v>42677</v>
      </c>
    </row>
    <row r="1540" spans="1:24">
      <c r="A1540">
        <f>HYPERLINK("https://www.philgeps.gov.ph/GEPSNONPILOT/Tender/SplashBidNoticeAbstractUI.aspx?menuIndex=3&amp;refID=7187447&amp;Result=3","7187447")</f>
        <v>0</v>
      </c>
      <c r="B1540" t="s">
        <v>573</v>
      </c>
      <c r="C1540" t="s">
        <v>5002</v>
      </c>
      <c r="D1540" t="s">
        <v>17171</v>
      </c>
      <c r="E1540" t="s">
        <v>18613</v>
      </c>
      <c r="F1540" t="s">
        <v>29372</v>
      </c>
      <c r="G1540" t="s">
        <v>29380</v>
      </c>
      <c r="H1540" t="s">
        <v>11048</v>
      </c>
      <c r="I1540" t="s">
        <v>8614</v>
      </c>
      <c r="J1540" t="s">
        <v>29980</v>
      </c>
      <c r="K1540" t="s">
        <v>38490</v>
      </c>
      <c r="M1540" t="s">
        <v>39342</v>
      </c>
      <c r="N1540" t="s">
        <v>42669</v>
      </c>
      <c r="O1540" t="s">
        <v>42670</v>
      </c>
      <c r="P1540">
        <v>0</v>
      </c>
      <c r="Q1540">
        <v>1</v>
      </c>
      <c r="R1540" t="s">
        <v>42674</v>
      </c>
      <c r="S1540" t="s">
        <v>42788</v>
      </c>
      <c r="T1540" t="s">
        <v>44480</v>
      </c>
      <c r="U1540" t="s">
        <v>46078</v>
      </c>
      <c r="W1540" t="s">
        <v>39342</v>
      </c>
      <c r="X1540" t="s">
        <v>42677</v>
      </c>
    </row>
    <row r="1541" spans="1:24">
      <c r="A1541">
        <f>HYPERLINK("https://www.philgeps.gov.ph/GEPSNONPILOT/Tender/SplashBidNoticeAbstractUI.aspx?menuIndex=3&amp;refID=7188180&amp;Result=3","7188180")</f>
        <v>0</v>
      </c>
      <c r="B1541" t="s">
        <v>576</v>
      </c>
      <c r="C1541" t="s">
        <v>5003</v>
      </c>
      <c r="E1541" t="s">
        <v>18614</v>
      </c>
      <c r="F1541" t="s">
        <v>29372</v>
      </c>
      <c r="G1541" t="s">
        <v>29380</v>
      </c>
      <c r="H1541" t="s">
        <v>11048</v>
      </c>
      <c r="I1541" t="s">
        <v>29441</v>
      </c>
      <c r="J1541" t="s">
        <v>30652</v>
      </c>
      <c r="K1541" t="s">
        <v>38496</v>
      </c>
      <c r="M1541" t="s">
        <v>39345</v>
      </c>
      <c r="N1541" t="s">
        <v>42669</v>
      </c>
      <c r="O1541" t="s">
        <v>42670</v>
      </c>
      <c r="P1541">
        <v>0</v>
      </c>
      <c r="Q1541">
        <v>1</v>
      </c>
      <c r="R1541" t="s">
        <v>42674</v>
      </c>
      <c r="S1541" t="s">
        <v>42788</v>
      </c>
      <c r="T1541" t="s">
        <v>44538</v>
      </c>
      <c r="U1541" t="s">
        <v>46083</v>
      </c>
      <c r="W1541" t="s">
        <v>39345</v>
      </c>
      <c r="X1541" t="s">
        <v>42677</v>
      </c>
    </row>
    <row r="1542" spans="1:24">
      <c r="A1542">
        <f>HYPERLINK("https://www.philgeps.gov.ph/GEPSNONPILOT/Tender/SplashBidNoticeAbstractUI.aspx?menuIndex=3&amp;refID=7188505&amp;Result=3","7188505")</f>
        <v>0</v>
      </c>
      <c r="B1542" t="s">
        <v>577</v>
      </c>
      <c r="C1542" t="s">
        <v>5004</v>
      </c>
      <c r="D1542" t="s">
        <v>17164</v>
      </c>
      <c r="E1542" t="s">
        <v>18615</v>
      </c>
      <c r="F1542" t="s">
        <v>29372</v>
      </c>
      <c r="G1542" t="s">
        <v>29380</v>
      </c>
      <c r="H1542" t="s">
        <v>29389</v>
      </c>
      <c r="I1542" t="s">
        <v>10408</v>
      </c>
      <c r="J1542" t="s">
        <v>30653</v>
      </c>
      <c r="K1542" t="s">
        <v>38577</v>
      </c>
      <c r="L1542" t="s">
        <v>577</v>
      </c>
      <c r="M1542" t="s">
        <v>39346</v>
      </c>
      <c r="N1542" t="s">
        <v>42669</v>
      </c>
      <c r="O1542" t="s">
        <v>42670</v>
      </c>
      <c r="P1542">
        <v>0</v>
      </c>
      <c r="Q1542">
        <v>0</v>
      </c>
      <c r="R1542" t="s">
        <v>42674</v>
      </c>
      <c r="S1542" t="s">
        <v>42788</v>
      </c>
      <c r="T1542" t="s">
        <v>44539</v>
      </c>
      <c r="U1542" t="s">
        <v>46084</v>
      </c>
      <c r="V1542" t="s">
        <v>56502</v>
      </c>
      <c r="W1542" t="s">
        <v>39346</v>
      </c>
      <c r="X1542" t="s">
        <v>42677</v>
      </c>
    </row>
    <row r="1543" spans="1:24">
      <c r="A1543">
        <f>HYPERLINK("https://www.philgeps.gov.ph/GEPSNONPILOT/Tender/SplashBidNoticeAbstractUI.aspx?menuIndex=3&amp;refID=7187435&amp;Result=3","7187435")</f>
        <v>0</v>
      </c>
      <c r="B1543" t="s">
        <v>569</v>
      </c>
      <c r="C1543" t="s">
        <v>5005</v>
      </c>
      <c r="D1543" t="s">
        <v>17149</v>
      </c>
      <c r="E1543" t="s">
        <v>18616</v>
      </c>
      <c r="F1543" t="s">
        <v>29372</v>
      </c>
      <c r="G1543" t="s">
        <v>29380</v>
      </c>
      <c r="H1543" t="s">
        <v>29389</v>
      </c>
      <c r="I1543" t="s">
        <v>10408</v>
      </c>
      <c r="J1543" t="s">
        <v>30654</v>
      </c>
      <c r="K1543" t="s">
        <v>38553</v>
      </c>
      <c r="M1543" t="s">
        <v>39338</v>
      </c>
      <c r="N1543" t="s">
        <v>42669</v>
      </c>
      <c r="O1543" t="s">
        <v>42670</v>
      </c>
      <c r="P1543">
        <v>0</v>
      </c>
      <c r="Q1543">
        <v>0</v>
      </c>
      <c r="R1543" t="s">
        <v>42674</v>
      </c>
      <c r="S1543" t="s">
        <v>42788</v>
      </c>
      <c r="T1543" t="s">
        <v>44374</v>
      </c>
      <c r="U1543" t="s">
        <v>46085</v>
      </c>
      <c r="W1543" t="s">
        <v>39338</v>
      </c>
      <c r="X1543" t="s">
        <v>42677</v>
      </c>
    </row>
    <row r="1544" spans="1:24">
      <c r="A1544">
        <f>HYPERLINK("https://www.philgeps.gov.ph/GEPSNONPILOT/Tender/SplashBidNoticeAbstractUI.aspx?menuIndex=3&amp;refID=7188474&amp;Result=3","7188474")</f>
        <v>0</v>
      </c>
      <c r="B1544" t="s">
        <v>577</v>
      </c>
      <c r="C1544" t="s">
        <v>5006</v>
      </c>
      <c r="D1544" t="s">
        <v>17164</v>
      </c>
      <c r="E1544" t="s">
        <v>18617</v>
      </c>
      <c r="F1544" t="s">
        <v>29372</v>
      </c>
      <c r="G1544" t="s">
        <v>29380</v>
      </c>
      <c r="H1544" t="s">
        <v>29389</v>
      </c>
      <c r="I1544" t="s">
        <v>10408</v>
      </c>
      <c r="J1544" t="s">
        <v>30655</v>
      </c>
      <c r="K1544" t="s">
        <v>38494</v>
      </c>
      <c r="L1544" t="s">
        <v>577</v>
      </c>
      <c r="M1544" t="s">
        <v>39346</v>
      </c>
      <c r="N1544" t="s">
        <v>42669</v>
      </c>
      <c r="O1544" t="s">
        <v>42670</v>
      </c>
      <c r="P1544">
        <v>0</v>
      </c>
      <c r="Q1544">
        <v>0</v>
      </c>
      <c r="R1544" t="s">
        <v>42674</v>
      </c>
      <c r="S1544" t="s">
        <v>42788</v>
      </c>
      <c r="T1544" t="s">
        <v>44539</v>
      </c>
      <c r="U1544" t="s">
        <v>46086</v>
      </c>
      <c r="V1544" t="s">
        <v>56502</v>
      </c>
      <c r="W1544" t="s">
        <v>39346</v>
      </c>
      <c r="X1544" t="s">
        <v>42677</v>
      </c>
    </row>
    <row r="1545" spans="1:24">
      <c r="A1545">
        <f>HYPERLINK("https://www.philgeps.gov.ph/GEPSNONPILOT/Tender/SplashBidNoticeAbstractUI.aspx?menuIndex=3&amp;refID=7188405&amp;Result=3","7188405")</f>
        <v>0</v>
      </c>
      <c r="B1545" t="s">
        <v>578</v>
      </c>
      <c r="C1545" t="s">
        <v>5007</v>
      </c>
      <c r="D1545" t="s">
        <v>17141</v>
      </c>
      <c r="E1545" t="s">
        <v>18618</v>
      </c>
      <c r="F1545" t="s">
        <v>29372</v>
      </c>
      <c r="G1545" t="s">
        <v>29379</v>
      </c>
      <c r="H1545" t="s">
        <v>29389</v>
      </c>
      <c r="I1545" t="s">
        <v>10408</v>
      </c>
      <c r="J1545" t="s">
        <v>29824</v>
      </c>
      <c r="K1545" t="s">
        <v>38551</v>
      </c>
      <c r="M1545" t="s">
        <v>39347</v>
      </c>
      <c r="N1545" t="s">
        <v>42669</v>
      </c>
      <c r="O1545" t="s">
        <v>42670</v>
      </c>
      <c r="P1545">
        <v>0</v>
      </c>
      <c r="Q1545">
        <v>3</v>
      </c>
      <c r="R1545" t="s">
        <v>42674</v>
      </c>
      <c r="S1545" t="s">
        <v>42788</v>
      </c>
      <c r="T1545" t="s">
        <v>44530</v>
      </c>
      <c r="U1545" t="s">
        <v>46087</v>
      </c>
      <c r="V1545" t="s">
        <v>56503</v>
      </c>
      <c r="W1545" t="s">
        <v>39347</v>
      </c>
      <c r="X1545" t="s">
        <v>42677</v>
      </c>
    </row>
    <row r="1546" spans="1:24">
      <c r="A1546">
        <f>HYPERLINK("https://www.philgeps.gov.ph/GEPSNONPILOT/Tender/SplashBidNoticeAbstractUI.aspx?menuIndex=3&amp;refID=7188599&amp;Result=3","7188599")</f>
        <v>0</v>
      </c>
      <c r="B1546" t="s">
        <v>579</v>
      </c>
      <c r="C1546" t="s">
        <v>5008</v>
      </c>
      <c r="D1546" t="s">
        <v>17141</v>
      </c>
      <c r="E1546" t="s">
        <v>18619</v>
      </c>
      <c r="F1546" t="s">
        <v>29373</v>
      </c>
      <c r="G1546" t="s">
        <v>29380</v>
      </c>
      <c r="H1546" t="s">
        <v>11048</v>
      </c>
      <c r="I1546" t="s">
        <v>29473</v>
      </c>
      <c r="J1546" t="s">
        <v>29708</v>
      </c>
      <c r="K1546" t="s">
        <v>38485</v>
      </c>
      <c r="M1546" t="s">
        <v>39348</v>
      </c>
      <c r="N1546" t="s">
        <v>42669</v>
      </c>
      <c r="O1546" t="s">
        <v>42670</v>
      </c>
      <c r="P1546">
        <v>0</v>
      </c>
      <c r="Q1546">
        <v>0</v>
      </c>
      <c r="R1546" t="s">
        <v>42674</v>
      </c>
      <c r="S1546" t="s">
        <v>42788</v>
      </c>
      <c r="T1546" t="s">
        <v>44446</v>
      </c>
      <c r="U1546" t="s">
        <v>46088</v>
      </c>
      <c r="V1546" t="s">
        <v>56504</v>
      </c>
      <c r="W1546" t="s">
        <v>39348</v>
      </c>
      <c r="X1546" t="s">
        <v>42677</v>
      </c>
    </row>
    <row r="1547" spans="1:24">
      <c r="A1547">
        <f>HYPERLINK("https://www.philgeps.gov.ph/GEPSNONPILOT/Tender/SplashBidNoticeAbstractUI.aspx?menuIndex=3&amp;refID=7188441&amp;Result=3","7188441")</f>
        <v>0</v>
      </c>
      <c r="B1547" t="s">
        <v>537</v>
      </c>
      <c r="C1547" t="s">
        <v>5009</v>
      </c>
      <c r="D1547" t="s">
        <v>17168</v>
      </c>
      <c r="E1547" t="s">
        <v>18620</v>
      </c>
      <c r="F1547" t="s">
        <v>29372</v>
      </c>
      <c r="G1547" t="s">
        <v>29383</v>
      </c>
      <c r="H1547" t="s">
        <v>11048</v>
      </c>
      <c r="I1547" t="s">
        <v>29397</v>
      </c>
      <c r="J1547" t="s">
        <v>29980</v>
      </c>
      <c r="K1547" t="s">
        <v>38510</v>
      </c>
      <c r="M1547" t="s">
        <v>39305</v>
      </c>
      <c r="N1547" t="s">
        <v>42669</v>
      </c>
      <c r="O1547" t="s">
        <v>42670</v>
      </c>
      <c r="P1547">
        <v>0</v>
      </c>
      <c r="Q1547">
        <v>2</v>
      </c>
      <c r="R1547" t="s">
        <v>42674</v>
      </c>
      <c r="S1547" t="s">
        <v>42788</v>
      </c>
      <c r="T1547" t="s">
        <v>44394</v>
      </c>
      <c r="U1547" t="s">
        <v>46089</v>
      </c>
      <c r="W1547" t="s">
        <v>39305</v>
      </c>
      <c r="X1547" t="s">
        <v>42677</v>
      </c>
    </row>
    <row r="1548" spans="1:24">
      <c r="A1548">
        <f>HYPERLINK("https://www.philgeps.gov.ph/GEPSNONPILOT/Tender/SplashBidNoticeAbstractUI.aspx?menuIndex=3&amp;refID=7188561&amp;Result=3","7188561")</f>
        <v>0</v>
      </c>
      <c r="B1548" t="s">
        <v>580</v>
      </c>
      <c r="C1548" t="s">
        <v>5010</v>
      </c>
      <c r="E1548" t="s">
        <v>18621</v>
      </c>
      <c r="F1548" t="s">
        <v>29372</v>
      </c>
      <c r="G1548" t="s">
        <v>29380</v>
      </c>
      <c r="H1548" t="s">
        <v>29390</v>
      </c>
      <c r="I1548" t="s">
        <v>29453</v>
      </c>
      <c r="J1548" t="s">
        <v>30656</v>
      </c>
      <c r="K1548" t="s">
        <v>38496</v>
      </c>
      <c r="M1548" t="s">
        <v>39349</v>
      </c>
      <c r="N1548" t="s">
        <v>42669</v>
      </c>
      <c r="O1548" t="s">
        <v>42670</v>
      </c>
      <c r="P1548">
        <v>0</v>
      </c>
      <c r="Q1548">
        <v>1</v>
      </c>
      <c r="R1548" t="s">
        <v>42674</v>
      </c>
      <c r="S1548" t="s">
        <v>42788</v>
      </c>
      <c r="T1548" t="s">
        <v>44501</v>
      </c>
      <c r="U1548" t="s">
        <v>46090</v>
      </c>
      <c r="W1548" t="s">
        <v>39349</v>
      </c>
      <c r="X1548" t="s">
        <v>42677</v>
      </c>
    </row>
    <row r="1549" spans="1:24">
      <c r="A1549">
        <f>HYPERLINK("https://www.philgeps.gov.ph/GEPSNONPILOT/Tender/SplashBidNoticeAbstractUI.aspx?menuIndex=3&amp;refID=7188186&amp;Result=3","7188186")</f>
        <v>0</v>
      </c>
      <c r="B1549" t="s">
        <v>537</v>
      </c>
      <c r="C1549" t="s">
        <v>5011</v>
      </c>
      <c r="D1549" t="s">
        <v>17168</v>
      </c>
      <c r="E1549" t="s">
        <v>18622</v>
      </c>
      <c r="F1549" t="s">
        <v>29372</v>
      </c>
      <c r="G1549" t="s">
        <v>29383</v>
      </c>
      <c r="H1549" t="s">
        <v>11048</v>
      </c>
      <c r="I1549" t="s">
        <v>29410</v>
      </c>
      <c r="J1549" t="s">
        <v>30657</v>
      </c>
      <c r="K1549" t="s">
        <v>38510</v>
      </c>
      <c r="M1549" t="s">
        <v>39305</v>
      </c>
      <c r="N1549" t="s">
        <v>42669</v>
      </c>
      <c r="O1549" t="s">
        <v>42670</v>
      </c>
      <c r="P1549">
        <v>0</v>
      </c>
      <c r="Q1549">
        <v>0</v>
      </c>
      <c r="R1549" t="s">
        <v>42674</v>
      </c>
      <c r="S1549" t="s">
        <v>42788</v>
      </c>
      <c r="T1549" t="s">
        <v>44394</v>
      </c>
      <c r="U1549" t="s">
        <v>46091</v>
      </c>
      <c r="W1549" t="s">
        <v>39305</v>
      </c>
      <c r="X1549" t="s">
        <v>42677</v>
      </c>
    </row>
    <row r="1550" spans="1:24">
      <c r="A1550">
        <f>HYPERLINK("https://www.philgeps.gov.ph/GEPSNONPILOT/Tender/SplashBidNoticeAbstractUI.aspx?menuIndex=3&amp;refID=7188792&amp;Result=3","7188792")</f>
        <v>0</v>
      </c>
      <c r="B1550" t="s">
        <v>54</v>
      </c>
      <c r="C1550" t="s">
        <v>5012</v>
      </c>
      <c r="D1550" t="s">
        <v>17162</v>
      </c>
      <c r="E1550" t="s">
        <v>18623</v>
      </c>
      <c r="F1550" t="s">
        <v>29372</v>
      </c>
      <c r="G1550" t="s">
        <v>29380</v>
      </c>
      <c r="H1550" t="s">
        <v>11048</v>
      </c>
      <c r="I1550" t="s">
        <v>3629</v>
      </c>
      <c r="J1550" t="s">
        <v>30658</v>
      </c>
      <c r="K1550" t="s">
        <v>38510</v>
      </c>
      <c r="M1550" t="s">
        <v>38807</v>
      </c>
      <c r="N1550" t="s">
        <v>42669</v>
      </c>
      <c r="O1550" t="s">
        <v>42670</v>
      </c>
      <c r="P1550">
        <v>0</v>
      </c>
      <c r="Q1550">
        <v>1</v>
      </c>
      <c r="R1550" t="s">
        <v>42674</v>
      </c>
      <c r="S1550" t="s">
        <v>42788</v>
      </c>
      <c r="T1550" t="s">
        <v>44470</v>
      </c>
      <c r="U1550" t="s">
        <v>46092</v>
      </c>
      <c r="W1550" t="s">
        <v>38807</v>
      </c>
      <c r="X1550" t="s">
        <v>42677</v>
      </c>
    </row>
    <row r="1551" spans="1:24">
      <c r="A1551">
        <f>HYPERLINK("https://www.philgeps.gov.ph/GEPSNONPILOT/Tender/SplashBidNoticeAbstractUI.aspx?menuIndex=3&amp;refID=7188843&amp;Result=3","7188843")</f>
        <v>0</v>
      </c>
      <c r="B1551" t="s">
        <v>581</v>
      </c>
      <c r="C1551" t="s">
        <v>5013</v>
      </c>
      <c r="D1551" t="s">
        <v>17205</v>
      </c>
      <c r="E1551" t="s">
        <v>18624</v>
      </c>
      <c r="F1551" t="s">
        <v>29372</v>
      </c>
      <c r="G1551" t="s">
        <v>29380</v>
      </c>
      <c r="H1551" t="s">
        <v>29389</v>
      </c>
      <c r="I1551" t="s">
        <v>10408</v>
      </c>
      <c r="J1551" t="s">
        <v>30659</v>
      </c>
      <c r="K1551" t="s">
        <v>38502</v>
      </c>
      <c r="M1551" t="s">
        <v>39350</v>
      </c>
      <c r="N1551" t="s">
        <v>42669</v>
      </c>
      <c r="O1551" t="s">
        <v>42670</v>
      </c>
      <c r="P1551">
        <v>0</v>
      </c>
      <c r="Q1551">
        <v>3</v>
      </c>
      <c r="R1551" t="s">
        <v>42674</v>
      </c>
      <c r="S1551" t="s">
        <v>42788</v>
      </c>
      <c r="T1551" t="s">
        <v>44503</v>
      </c>
      <c r="U1551" t="s">
        <v>46093</v>
      </c>
      <c r="W1551" t="s">
        <v>39350</v>
      </c>
      <c r="X1551" t="s">
        <v>42677</v>
      </c>
    </row>
    <row r="1552" spans="1:24">
      <c r="A1552">
        <f>HYPERLINK("https://www.philgeps.gov.ph/GEPSNONPILOT/Tender/SplashBidNoticeAbstractUI.aspx?menuIndex=3&amp;refID=7188784&amp;Result=3","7188784")</f>
        <v>0</v>
      </c>
      <c r="B1552" t="s">
        <v>580</v>
      </c>
      <c r="C1552" t="s">
        <v>5014</v>
      </c>
      <c r="D1552" t="s">
        <v>17205</v>
      </c>
      <c r="E1552" t="s">
        <v>18625</v>
      </c>
      <c r="F1552" t="s">
        <v>29372</v>
      </c>
      <c r="G1552" t="s">
        <v>29380</v>
      </c>
      <c r="H1552" t="s">
        <v>11048</v>
      </c>
      <c r="I1552" t="s">
        <v>29434</v>
      </c>
      <c r="J1552" t="s">
        <v>30412</v>
      </c>
      <c r="K1552" t="s">
        <v>38495</v>
      </c>
      <c r="M1552" t="s">
        <v>39349</v>
      </c>
      <c r="N1552" t="s">
        <v>42669</v>
      </c>
      <c r="O1552" t="s">
        <v>42670</v>
      </c>
      <c r="P1552">
        <v>0</v>
      </c>
      <c r="Q1552">
        <v>0</v>
      </c>
      <c r="R1552" t="s">
        <v>42674</v>
      </c>
      <c r="S1552" t="s">
        <v>42788</v>
      </c>
      <c r="T1552" t="s">
        <v>44355</v>
      </c>
      <c r="U1552" t="s">
        <v>46094</v>
      </c>
      <c r="W1552" t="s">
        <v>39349</v>
      </c>
      <c r="X1552" t="s">
        <v>42677</v>
      </c>
    </row>
    <row r="1553" spans="1:24">
      <c r="A1553">
        <f>HYPERLINK("https://www.philgeps.gov.ph/GEPSNONPILOT/Tender/SplashBidNoticeAbstractUI.aspx?menuIndex=3&amp;refID=7188771&amp;Result=3","7188771")</f>
        <v>0</v>
      </c>
      <c r="B1553" t="s">
        <v>582</v>
      </c>
      <c r="C1553" t="s">
        <v>5015</v>
      </c>
      <c r="D1553" t="s">
        <v>17145</v>
      </c>
      <c r="E1553" t="s">
        <v>18626</v>
      </c>
      <c r="F1553" t="s">
        <v>29372</v>
      </c>
      <c r="G1553" t="s">
        <v>29380</v>
      </c>
      <c r="H1553" t="s">
        <v>11048</v>
      </c>
      <c r="I1553" t="s">
        <v>29419</v>
      </c>
      <c r="J1553" t="s">
        <v>30660</v>
      </c>
      <c r="K1553" t="s">
        <v>38488</v>
      </c>
      <c r="M1553" t="s">
        <v>39351</v>
      </c>
      <c r="N1553" t="s">
        <v>42669</v>
      </c>
      <c r="O1553" t="s">
        <v>42670</v>
      </c>
      <c r="P1553">
        <v>0</v>
      </c>
      <c r="Q1553">
        <v>0</v>
      </c>
      <c r="R1553" t="s">
        <v>42674</v>
      </c>
      <c r="S1553" t="s">
        <v>42788</v>
      </c>
      <c r="T1553" t="s">
        <v>44504</v>
      </c>
      <c r="U1553" t="s">
        <v>46095</v>
      </c>
      <c r="W1553" t="s">
        <v>39351</v>
      </c>
      <c r="X1553" t="s">
        <v>42677</v>
      </c>
    </row>
    <row r="1554" spans="1:24">
      <c r="A1554">
        <f>HYPERLINK("https://www.philgeps.gov.ph/GEPSNONPILOT/Tender/SplashBidNoticeAbstractUI.aspx?menuIndex=3&amp;refID=7188643&amp;Result=3","7188643")</f>
        <v>0</v>
      </c>
      <c r="B1554" t="s">
        <v>577</v>
      </c>
      <c r="C1554" t="s">
        <v>5016</v>
      </c>
      <c r="D1554" t="s">
        <v>17164</v>
      </c>
      <c r="E1554" t="s">
        <v>18627</v>
      </c>
      <c r="F1554" t="s">
        <v>29372</v>
      </c>
      <c r="G1554" t="s">
        <v>29380</v>
      </c>
      <c r="H1554" t="s">
        <v>29389</v>
      </c>
      <c r="I1554" t="s">
        <v>10408</v>
      </c>
      <c r="J1554" t="s">
        <v>30661</v>
      </c>
      <c r="K1554" t="s">
        <v>38578</v>
      </c>
      <c r="L1554" t="s">
        <v>577</v>
      </c>
      <c r="M1554" t="s">
        <v>39346</v>
      </c>
      <c r="N1554" t="s">
        <v>42669</v>
      </c>
      <c r="O1554" t="s">
        <v>42670</v>
      </c>
      <c r="P1554">
        <v>0</v>
      </c>
      <c r="Q1554">
        <v>2</v>
      </c>
      <c r="R1554" t="s">
        <v>42674</v>
      </c>
      <c r="S1554" t="s">
        <v>42788</v>
      </c>
      <c r="T1554" t="s">
        <v>44539</v>
      </c>
      <c r="U1554" t="s">
        <v>46096</v>
      </c>
      <c r="V1554" t="s">
        <v>56502</v>
      </c>
      <c r="W1554" t="s">
        <v>39346</v>
      </c>
      <c r="X1554" t="s">
        <v>42677</v>
      </c>
    </row>
    <row r="1555" spans="1:24">
      <c r="A1555">
        <f>HYPERLINK("https://www.philgeps.gov.ph/GEPSNONPILOT/Tender/SplashBidNoticeAbstractUI.aspx?menuIndex=3&amp;refID=7188934&amp;Result=3","7188934")</f>
        <v>0</v>
      </c>
      <c r="B1555" t="s">
        <v>54</v>
      </c>
      <c r="C1555" t="s">
        <v>5017</v>
      </c>
      <c r="D1555" t="s">
        <v>17162</v>
      </c>
      <c r="E1555" t="s">
        <v>18628</v>
      </c>
      <c r="F1555" t="s">
        <v>29372</v>
      </c>
      <c r="G1555" t="s">
        <v>29380</v>
      </c>
      <c r="H1555" t="s">
        <v>11048</v>
      </c>
      <c r="I1555" t="s">
        <v>29409</v>
      </c>
      <c r="J1555" t="s">
        <v>30662</v>
      </c>
      <c r="K1555" t="s">
        <v>38510</v>
      </c>
      <c r="M1555" t="s">
        <v>38807</v>
      </c>
      <c r="N1555" t="s">
        <v>42669</v>
      </c>
      <c r="O1555" t="s">
        <v>42670</v>
      </c>
      <c r="P1555">
        <v>0</v>
      </c>
      <c r="Q1555">
        <v>7</v>
      </c>
      <c r="R1555" t="s">
        <v>42674</v>
      </c>
      <c r="S1555" t="s">
        <v>42788</v>
      </c>
      <c r="T1555" t="s">
        <v>44470</v>
      </c>
      <c r="U1555" t="s">
        <v>46097</v>
      </c>
      <c r="W1555" t="s">
        <v>38807</v>
      </c>
      <c r="X1555" t="s">
        <v>42677</v>
      </c>
    </row>
    <row r="1556" spans="1:24">
      <c r="A1556">
        <f>HYPERLINK("https://www.philgeps.gov.ph/GEPSNONPILOT/Tender/SplashBidNoticeAbstractUI.aspx?menuIndex=3&amp;refID=7188901&amp;Result=3","7188901")</f>
        <v>0</v>
      </c>
      <c r="B1556" t="s">
        <v>54</v>
      </c>
      <c r="C1556" t="s">
        <v>5018</v>
      </c>
      <c r="D1556" t="s">
        <v>17162</v>
      </c>
      <c r="E1556" t="s">
        <v>18629</v>
      </c>
      <c r="F1556" t="s">
        <v>29372</v>
      </c>
      <c r="G1556" t="s">
        <v>29380</v>
      </c>
      <c r="H1556" t="s">
        <v>11048</v>
      </c>
      <c r="I1556" t="s">
        <v>3839</v>
      </c>
      <c r="J1556" t="s">
        <v>30663</v>
      </c>
      <c r="K1556" t="s">
        <v>38510</v>
      </c>
      <c r="M1556" t="s">
        <v>38807</v>
      </c>
      <c r="N1556" t="s">
        <v>42669</v>
      </c>
      <c r="O1556" t="s">
        <v>42670</v>
      </c>
      <c r="P1556">
        <v>0</v>
      </c>
      <c r="Q1556">
        <v>2</v>
      </c>
      <c r="R1556" t="s">
        <v>42674</v>
      </c>
      <c r="S1556" t="s">
        <v>42788</v>
      </c>
      <c r="T1556" t="s">
        <v>44470</v>
      </c>
      <c r="U1556" t="s">
        <v>46098</v>
      </c>
      <c r="W1556" t="s">
        <v>38807</v>
      </c>
      <c r="X1556" t="s">
        <v>42677</v>
      </c>
    </row>
    <row r="1557" spans="1:24">
      <c r="A1557">
        <f>HYPERLINK("https://www.philgeps.gov.ph/GEPSNONPILOT/Tender/SplashBidNoticeAbstractUI.aspx?menuIndex=3&amp;refID=7188697&amp;Result=3","7188697")</f>
        <v>0</v>
      </c>
      <c r="B1557" t="s">
        <v>54</v>
      </c>
      <c r="C1557" t="s">
        <v>5019</v>
      </c>
      <c r="D1557" t="s">
        <v>17162</v>
      </c>
      <c r="E1557" t="s">
        <v>18630</v>
      </c>
      <c r="F1557" t="s">
        <v>29372</v>
      </c>
      <c r="G1557" t="s">
        <v>29380</v>
      </c>
      <c r="H1557" t="s">
        <v>11048</v>
      </c>
      <c r="I1557" t="s">
        <v>3629</v>
      </c>
      <c r="J1557" t="s">
        <v>29613</v>
      </c>
      <c r="K1557" t="s">
        <v>38510</v>
      </c>
      <c r="M1557" t="s">
        <v>38807</v>
      </c>
      <c r="N1557" t="s">
        <v>42669</v>
      </c>
      <c r="O1557" t="s">
        <v>42670</v>
      </c>
      <c r="P1557">
        <v>0</v>
      </c>
      <c r="Q1557">
        <v>1</v>
      </c>
      <c r="R1557" t="s">
        <v>42674</v>
      </c>
      <c r="S1557" t="s">
        <v>42788</v>
      </c>
      <c r="T1557" t="s">
        <v>44470</v>
      </c>
      <c r="U1557" t="s">
        <v>46099</v>
      </c>
      <c r="W1557" t="s">
        <v>38807</v>
      </c>
      <c r="X1557" t="s">
        <v>42677</v>
      </c>
    </row>
    <row r="1558" spans="1:24">
      <c r="A1558">
        <f>HYPERLINK("https://www.philgeps.gov.ph/GEPSNONPILOT/Tender/SplashBidNoticeAbstractUI.aspx?menuIndex=3&amp;refID=7188871&amp;Result=3","7188871")</f>
        <v>0</v>
      </c>
      <c r="B1558" t="s">
        <v>573</v>
      </c>
      <c r="C1558" t="s">
        <v>5020</v>
      </c>
      <c r="D1558" t="s">
        <v>17171</v>
      </c>
      <c r="E1558" t="s">
        <v>18631</v>
      </c>
      <c r="F1558" t="s">
        <v>29372</v>
      </c>
      <c r="G1558" t="s">
        <v>29380</v>
      </c>
      <c r="H1558" t="s">
        <v>11048</v>
      </c>
      <c r="I1558" t="s">
        <v>29414</v>
      </c>
      <c r="J1558" t="s">
        <v>29829</v>
      </c>
      <c r="K1558" t="s">
        <v>38490</v>
      </c>
      <c r="M1558" t="s">
        <v>39342</v>
      </c>
      <c r="N1558" t="s">
        <v>42669</v>
      </c>
      <c r="O1558" t="s">
        <v>42670</v>
      </c>
      <c r="P1558">
        <v>0</v>
      </c>
      <c r="Q1558">
        <v>14</v>
      </c>
      <c r="R1558" t="s">
        <v>42674</v>
      </c>
      <c r="S1558" t="s">
        <v>42788</v>
      </c>
      <c r="T1558" t="s">
        <v>44446</v>
      </c>
      <c r="U1558" t="s">
        <v>46078</v>
      </c>
      <c r="W1558" t="s">
        <v>39342</v>
      </c>
      <c r="X1558" t="s">
        <v>42677</v>
      </c>
    </row>
    <row r="1559" spans="1:24">
      <c r="A1559">
        <f>HYPERLINK("https://www.philgeps.gov.ph/GEPSNONPILOT/Tender/SplashBidNoticeAbstractUI.aspx?menuIndex=3&amp;refID=7189633&amp;Result=3","7189633")</f>
        <v>0</v>
      </c>
      <c r="B1559" t="s">
        <v>583</v>
      </c>
      <c r="C1559" t="s">
        <v>5021</v>
      </c>
      <c r="D1559" t="s">
        <v>17205</v>
      </c>
      <c r="E1559" t="s">
        <v>18632</v>
      </c>
      <c r="F1559" t="s">
        <v>29372</v>
      </c>
      <c r="G1559" t="s">
        <v>29380</v>
      </c>
      <c r="H1559" t="s">
        <v>11048</v>
      </c>
      <c r="I1559" t="s">
        <v>3839</v>
      </c>
      <c r="J1559" t="s">
        <v>29988</v>
      </c>
      <c r="K1559" t="s">
        <v>38485</v>
      </c>
      <c r="M1559" t="s">
        <v>39352</v>
      </c>
      <c r="N1559" t="s">
        <v>42669</v>
      </c>
      <c r="O1559" t="s">
        <v>42670</v>
      </c>
      <c r="P1559">
        <v>0</v>
      </c>
      <c r="Q1559">
        <v>2</v>
      </c>
      <c r="R1559" t="s">
        <v>42674</v>
      </c>
      <c r="S1559" t="s">
        <v>42788</v>
      </c>
      <c r="T1559" t="s">
        <v>44379</v>
      </c>
      <c r="U1559" t="s">
        <v>46100</v>
      </c>
      <c r="W1559" t="s">
        <v>39352</v>
      </c>
      <c r="X1559" t="s">
        <v>42677</v>
      </c>
    </row>
    <row r="1560" spans="1:24">
      <c r="A1560">
        <f>HYPERLINK("https://www.philgeps.gov.ph/GEPSNONPILOT/Tender/SplashBidNoticeAbstractUI.aspx?menuIndex=3&amp;refID=7188380&amp;Result=3","7188380")</f>
        <v>0</v>
      </c>
      <c r="B1560" t="s">
        <v>577</v>
      </c>
      <c r="C1560" t="s">
        <v>5022</v>
      </c>
      <c r="D1560" t="s">
        <v>17164</v>
      </c>
      <c r="E1560" t="s">
        <v>18633</v>
      </c>
      <c r="F1560" t="s">
        <v>29372</v>
      </c>
      <c r="G1560" t="s">
        <v>29380</v>
      </c>
      <c r="H1560" t="s">
        <v>29389</v>
      </c>
      <c r="I1560" t="s">
        <v>10408</v>
      </c>
      <c r="J1560" t="s">
        <v>30664</v>
      </c>
      <c r="K1560" t="s">
        <v>38579</v>
      </c>
      <c r="L1560" t="s">
        <v>577</v>
      </c>
      <c r="M1560" t="s">
        <v>39346</v>
      </c>
      <c r="N1560" t="s">
        <v>42669</v>
      </c>
      <c r="O1560" t="s">
        <v>42670</v>
      </c>
      <c r="P1560">
        <v>0</v>
      </c>
      <c r="Q1560">
        <v>1</v>
      </c>
      <c r="R1560" t="s">
        <v>42674</v>
      </c>
      <c r="S1560" t="s">
        <v>42788</v>
      </c>
      <c r="T1560" t="s">
        <v>44539</v>
      </c>
      <c r="U1560" t="s">
        <v>46101</v>
      </c>
      <c r="V1560" t="s">
        <v>56502</v>
      </c>
      <c r="W1560" t="s">
        <v>39346</v>
      </c>
      <c r="X1560" t="s">
        <v>42677</v>
      </c>
    </row>
    <row r="1561" spans="1:24">
      <c r="A1561">
        <f>HYPERLINK("https://www.philgeps.gov.ph/GEPSNONPILOT/Tender/SplashBidNoticeAbstractUI.aspx?menuIndex=3&amp;refID=7188737&amp;Result=3","7188737")</f>
        <v>0</v>
      </c>
      <c r="B1561" t="s">
        <v>584</v>
      </c>
      <c r="C1561" t="s">
        <v>5023</v>
      </c>
      <c r="D1561" t="s">
        <v>17189</v>
      </c>
      <c r="E1561" t="s">
        <v>18634</v>
      </c>
      <c r="F1561" t="s">
        <v>29375</v>
      </c>
      <c r="G1561" t="s">
        <v>29383</v>
      </c>
      <c r="H1561" t="s">
        <v>11048</v>
      </c>
      <c r="I1561" t="s">
        <v>5383</v>
      </c>
      <c r="J1561" t="s">
        <v>30665</v>
      </c>
      <c r="K1561" t="s">
        <v>38511</v>
      </c>
      <c r="M1561" t="s">
        <v>39353</v>
      </c>
      <c r="N1561" t="s">
        <v>42669</v>
      </c>
      <c r="O1561" t="s">
        <v>42670</v>
      </c>
      <c r="P1561">
        <v>0</v>
      </c>
      <c r="Q1561">
        <v>0</v>
      </c>
      <c r="R1561" t="s">
        <v>42674</v>
      </c>
      <c r="S1561" t="s">
        <v>42788</v>
      </c>
      <c r="T1561" t="s">
        <v>44540</v>
      </c>
      <c r="U1561" t="s">
        <v>46102</v>
      </c>
      <c r="W1561" t="s">
        <v>39353</v>
      </c>
      <c r="X1561" t="s">
        <v>42677</v>
      </c>
    </row>
    <row r="1562" spans="1:24">
      <c r="A1562">
        <f>HYPERLINK("https://www.philgeps.gov.ph/GEPSNONPILOT/Tender/SplashBidNoticeAbstractUI.aspx?menuIndex=3&amp;refID=7189659&amp;Result=3","7189659")</f>
        <v>0</v>
      </c>
      <c r="B1562" t="s">
        <v>126</v>
      </c>
      <c r="C1562" t="s">
        <v>5024</v>
      </c>
      <c r="D1562" t="s">
        <v>17177</v>
      </c>
      <c r="E1562" t="s">
        <v>18635</v>
      </c>
      <c r="F1562" t="s">
        <v>29372</v>
      </c>
      <c r="G1562" t="s">
        <v>29380</v>
      </c>
      <c r="H1562" t="s">
        <v>11048</v>
      </c>
      <c r="I1562" t="s">
        <v>4709</v>
      </c>
      <c r="J1562" t="s">
        <v>30666</v>
      </c>
      <c r="K1562" t="s">
        <v>38488</v>
      </c>
      <c r="M1562" t="s">
        <v>39314</v>
      </c>
      <c r="N1562" t="s">
        <v>42669</v>
      </c>
      <c r="O1562" t="s">
        <v>42670</v>
      </c>
      <c r="P1562">
        <v>0</v>
      </c>
      <c r="Q1562">
        <v>1</v>
      </c>
      <c r="R1562" t="s">
        <v>42674</v>
      </c>
      <c r="S1562" t="s">
        <v>42788</v>
      </c>
      <c r="T1562" t="s">
        <v>44533</v>
      </c>
      <c r="U1562" t="s">
        <v>46038</v>
      </c>
      <c r="V1562" t="s">
        <v>56500</v>
      </c>
      <c r="W1562" t="s">
        <v>39314</v>
      </c>
      <c r="X1562" t="s">
        <v>42677</v>
      </c>
    </row>
    <row r="1563" spans="1:24">
      <c r="A1563">
        <f>HYPERLINK("https://www.philgeps.gov.ph/GEPSNONPILOT/Tender/SplashBidNoticeAbstractUI.aspx?menuIndex=3&amp;refID=7189589&amp;Result=3","7189589")</f>
        <v>0</v>
      </c>
      <c r="B1563" t="s">
        <v>583</v>
      </c>
      <c r="C1563" t="s">
        <v>5025</v>
      </c>
      <c r="D1563" t="s">
        <v>17205</v>
      </c>
      <c r="E1563" t="s">
        <v>18636</v>
      </c>
      <c r="F1563" t="s">
        <v>29372</v>
      </c>
      <c r="G1563" t="s">
        <v>29380</v>
      </c>
      <c r="H1563" t="s">
        <v>11048</v>
      </c>
      <c r="I1563" t="s">
        <v>29415</v>
      </c>
      <c r="J1563" t="s">
        <v>29937</v>
      </c>
      <c r="K1563" t="s">
        <v>38487</v>
      </c>
      <c r="M1563" t="s">
        <v>39352</v>
      </c>
      <c r="N1563" t="s">
        <v>42669</v>
      </c>
      <c r="O1563" t="s">
        <v>42670</v>
      </c>
      <c r="P1563">
        <v>0</v>
      </c>
      <c r="Q1563">
        <v>5</v>
      </c>
      <c r="R1563" t="s">
        <v>42674</v>
      </c>
      <c r="S1563" t="s">
        <v>42788</v>
      </c>
      <c r="T1563" t="s">
        <v>44379</v>
      </c>
      <c r="U1563" t="s">
        <v>46103</v>
      </c>
      <c r="W1563" t="s">
        <v>39352</v>
      </c>
      <c r="X1563" t="s">
        <v>42677</v>
      </c>
    </row>
    <row r="1564" spans="1:24">
      <c r="A1564">
        <f>HYPERLINK("https://www.philgeps.gov.ph/GEPSNONPILOT/Tender/SplashBidNoticeAbstractUI.aspx?menuIndex=3&amp;refID=7189478&amp;Result=3","7189478")</f>
        <v>0</v>
      </c>
      <c r="B1564" t="s">
        <v>585</v>
      </c>
      <c r="C1564" t="s">
        <v>5026</v>
      </c>
      <c r="D1564" t="s">
        <v>17189</v>
      </c>
      <c r="E1564" t="s">
        <v>17533</v>
      </c>
      <c r="F1564" t="s">
        <v>29372</v>
      </c>
      <c r="G1564" t="s">
        <v>29380</v>
      </c>
      <c r="H1564" t="s">
        <v>11048</v>
      </c>
      <c r="I1564" t="s">
        <v>29398</v>
      </c>
      <c r="J1564" t="s">
        <v>30667</v>
      </c>
      <c r="K1564" t="s">
        <v>38489</v>
      </c>
      <c r="M1564" t="s">
        <v>39354</v>
      </c>
      <c r="N1564" t="s">
        <v>42669</v>
      </c>
      <c r="O1564" t="s">
        <v>42670</v>
      </c>
      <c r="P1564">
        <v>0</v>
      </c>
      <c r="Q1564">
        <v>0</v>
      </c>
      <c r="R1564" t="s">
        <v>42674</v>
      </c>
      <c r="S1564" t="s">
        <v>42788</v>
      </c>
      <c r="T1564" t="s">
        <v>44541</v>
      </c>
      <c r="U1564" t="s">
        <v>46104</v>
      </c>
      <c r="V1564" t="s">
        <v>56505</v>
      </c>
      <c r="W1564" t="s">
        <v>39354</v>
      </c>
      <c r="X1564" t="s">
        <v>42677</v>
      </c>
    </row>
    <row r="1565" spans="1:24">
      <c r="A1565">
        <f>HYPERLINK("https://www.philgeps.gov.ph/GEPSNONPILOT/Tender/SplashBidNoticeAbstractUI.aspx?menuIndex=3&amp;refID=7189334&amp;Result=3","7189334")</f>
        <v>0</v>
      </c>
      <c r="B1565" t="s">
        <v>586</v>
      </c>
      <c r="C1565" t="s">
        <v>5027</v>
      </c>
      <c r="D1565" t="s">
        <v>17161</v>
      </c>
      <c r="E1565" t="s">
        <v>18637</v>
      </c>
      <c r="F1565" t="s">
        <v>29372</v>
      </c>
      <c r="G1565" t="s">
        <v>29380</v>
      </c>
      <c r="H1565" t="s">
        <v>11048</v>
      </c>
      <c r="I1565" t="s">
        <v>29407</v>
      </c>
      <c r="J1565" t="s">
        <v>30668</v>
      </c>
      <c r="K1565" t="s">
        <v>38490</v>
      </c>
      <c r="M1565" t="s">
        <v>39355</v>
      </c>
      <c r="N1565" t="s">
        <v>42669</v>
      </c>
      <c r="O1565" t="s">
        <v>42670</v>
      </c>
      <c r="P1565">
        <v>0</v>
      </c>
      <c r="Q1565">
        <v>4</v>
      </c>
      <c r="R1565" t="s">
        <v>42674</v>
      </c>
      <c r="S1565" t="s">
        <v>42788</v>
      </c>
      <c r="T1565" t="s">
        <v>44358</v>
      </c>
      <c r="U1565" t="s">
        <v>46105</v>
      </c>
      <c r="W1565" t="s">
        <v>39355</v>
      </c>
      <c r="X1565" t="s">
        <v>42677</v>
      </c>
    </row>
    <row r="1566" spans="1:24">
      <c r="A1566">
        <f>HYPERLINK("https://www.philgeps.gov.ph/GEPSNONPILOT/Tender/SplashBidNoticeAbstractUI.aspx?menuIndex=3&amp;refID=7189330&amp;Result=3","7189330")</f>
        <v>0</v>
      </c>
      <c r="B1566" t="s">
        <v>587</v>
      </c>
      <c r="C1566" t="s">
        <v>5028</v>
      </c>
      <c r="D1566" t="s">
        <v>17161</v>
      </c>
      <c r="E1566" t="s">
        <v>18638</v>
      </c>
      <c r="F1566" t="s">
        <v>29372</v>
      </c>
      <c r="G1566" t="s">
        <v>29381</v>
      </c>
      <c r="H1566" t="s">
        <v>11048</v>
      </c>
      <c r="I1566" t="s">
        <v>3839</v>
      </c>
      <c r="J1566" t="s">
        <v>30669</v>
      </c>
      <c r="K1566" t="s">
        <v>38488</v>
      </c>
      <c r="M1566" t="s">
        <v>39356</v>
      </c>
      <c r="N1566" t="s">
        <v>42669</v>
      </c>
      <c r="O1566" t="s">
        <v>42670</v>
      </c>
      <c r="P1566">
        <v>0</v>
      </c>
      <c r="Q1566">
        <v>0</v>
      </c>
      <c r="R1566" t="s">
        <v>42674</v>
      </c>
      <c r="S1566" t="s">
        <v>42788</v>
      </c>
      <c r="T1566" t="s">
        <v>44468</v>
      </c>
      <c r="U1566" t="s">
        <v>46106</v>
      </c>
      <c r="W1566" t="s">
        <v>39356</v>
      </c>
      <c r="X1566" t="s">
        <v>42677</v>
      </c>
    </row>
    <row r="1567" spans="1:24">
      <c r="A1567">
        <f>HYPERLINK("https://www.philgeps.gov.ph/GEPSNONPILOT/Tender/SplashBidNoticeAbstractUI.aspx?menuIndex=3&amp;refID=7189676&amp;Result=3","7189676")</f>
        <v>0</v>
      </c>
      <c r="B1567" t="s">
        <v>588</v>
      </c>
      <c r="C1567" t="s">
        <v>5029</v>
      </c>
      <c r="D1567" t="s">
        <v>17196</v>
      </c>
      <c r="E1567" t="s">
        <v>18639</v>
      </c>
      <c r="F1567" t="s">
        <v>29372</v>
      </c>
      <c r="G1567" t="s">
        <v>29380</v>
      </c>
      <c r="H1567" t="s">
        <v>29389</v>
      </c>
      <c r="I1567" t="s">
        <v>10408</v>
      </c>
      <c r="J1567" t="s">
        <v>30117</v>
      </c>
      <c r="K1567" t="s">
        <v>38563</v>
      </c>
      <c r="M1567" t="s">
        <v>39357</v>
      </c>
      <c r="N1567" t="s">
        <v>42669</v>
      </c>
      <c r="O1567" t="s">
        <v>42670</v>
      </c>
      <c r="P1567">
        <v>0</v>
      </c>
      <c r="Q1567">
        <v>3</v>
      </c>
      <c r="R1567" t="s">
        <v>42674</v>
      </c>
      <c r="S1567" t="s">
        <v>42788</v>
      </c>
      <c r="T1567" t="s">
        <v>44405</v>
      </c>
      <c r="U1567" t="s">
        <v>46107</v>
      </c>
      <c r="W1567" t="s">
        <v>39357</v>
      </c>
      <c r="X1567" t="s">
        <v>42677</v>
      </c>
    </row>
    <row r="1568" spans="1:24">
      <c r="A1568">
        <f>HYPERLINK("https://www.philgeps.gov.ph/GEPSNONPILOT/Tender/SplashBidNoticeAbstractUI.aspx?menuIndex=3&amp;refID=7189242&amp;Result=3","7189242")</f>
        <v>0</v>
      </c>
      <c r="B1568" t="s">
        <v>589</v>
      </c>
      <c r="C1568" t="s">
        <v>5030</v>
      </c>
      <c r="D1568" t="s">
        <v>17168</v>
      </c>
      <c r="E1568" t="s">
        <v>18640</v>
      </c>
      <c r="F1568" t="s">
        <v>29372</v>
      </c>
      <c r="G1568" t="s">
        <v>29380</v>
      </c>
      <c r="H1568" t="s">
        <v>11048</v>
      </c>
      <c r="I1568" t="s">
        <v>6417</v>
      </c>
      <c r="J1568" t="s">
        <v>30670</v>
      </c>
      <c r="K1568" t="s">
        <v>38538</v>
      </c>
      <c r="M1568" t="s">
        <v>39358</v>
      </c>
      <c r="N1568" t="s">
        <v>42669</v>
      </c>
      <c r="O1568" t="s">
        <v>42670</v>
      </c>
      <c r="P1568">
        <v>0</v>
      </c>
      <c r="Q1568">
        <v>0</v>
      </c>
      <c r="R1568" t="s">
        <v>42674</v>
      </c>
      <c r="S1568" t="s">
        <v>42788</v>
      </c>
      <c r="T1568" t="s">
        <v>44460</v>
      </c>
      <c r="U1568" t="s">
        <v>46108</v>
      </c>
      <c r="V1568" t="s">
        <v>56460</v>
      </c>
      <c r="W1568" t="s">
        <v>39358</v>
      </c>
      <c r="X1568" t="s">
        <v>42677</v>
      </c>
    </row>
    <row r="1569" spans="1:24">
      <c r="A1569">
        <f>HYPERLINK("https://www.philgeps.gov.ph/GEPSNONPILOT/Tender/SplashBidNoticeAbstractUI.aspx?menuIndex=3&amp;refID=7189207&amp;Result=3","7189207")</f>
        <v>0</v>
      </c>
      <c r="B1569" t="s">
        <v>539</v>
      </c>
      <c r="C1569" t="s">
        <v>5031</v>
      </c>
      <c r="D1569" t="s">
        <v>17141</v>
      </c>
      <c r="E1569" t="s">
        <v>18641</v>
      </c>
      <c r="F1569" t="s">
        <v>29372</v>
      </c>
      <c r="G1569" t="s">
        <v>29379</v>
      </c>
      <c r="H1569" t="s">
        <v>29390</v>
      </c>
      <c r="I1569" t="s">
        <v>29396</v>
      </c>
      <c r="J1569" t="s">
        <v>30671</v>
      </c>
      <c r="K1569" t="s">
        <v>38580</v>
      </c>
      <c r="M1569" t="s">
        <v>39359</v>
      </c>
      <c r="N1569" t="s">
        <v>42669</v>
      </c>
      <c r="O1569" t="s">
        <v>42670</v>
      </c>
      <c r="P1569">
        <v>0</v>
      </c>
      <c r="Q1569">
        <v>3</v>
      </c>
      <c r="R1569" t="s">
        <v>42674</v>
      </c>
      <c r="S1569" t="s">
        <v>42788</v>
      </c>
      <c r="T1569" t="s">
        <v>44491</v>
      </c>
      <c r="U1569" t="s">
        <v>46109</v>
      </c>
      <c r="V1569" t="s">
        <v>56506</v>
      </c>
      <c r="W1569" t="s">
        <v>39359</v>
      </c>
      <c r="X1569" t="s">
        <v>42677</v>
      </c>
    </row>
    <row r="1570" spans="1:24">
      <c r="A1570">
        <f>HYPERLINK("https://www.philgeps.gov.ph/GEPSNONPILOT/Tender/SplashBidNoticeAbstractUI.aspx?menuIndex=3&amp;refID=7189670&amp;Result=3","7189670")</f>
        <v>0</v>
      </c>
      <c r="B1570" t="s">
        <v>126</v>
      </c>
      <c r="C1570" t="s">
        <v>5032</v>
      </c>
      <c r="D1570" t="s">
        <v>17177</v>
      </c>
      <c r="E1570" t="s">
        <v>18642</v>
      </c>
      <c r="F1570" t="s">
        <v>29372</v>
      </c>
      <c r="G1570" t="s">
        <v>29380</v>
      </c>
      <c r="H1570" t="s">
        <v>11048</v>
      </c>
      <c r="I1570" t="s">
        <v>3839</v>
      </c>
      <c r="J1570" t="s">
        <v>30672</v>
      </c>
      <c r="K1570" t="s">
        <v>38488</v>
      </c>
      <c r="M1570" t="s">
        <v>39314</v>
      </c>
      <c r="N1570" t="s">
        <v>42669</v>
      </c>
      <c r="O1570" t="s">
        <v>42670</v>
      </c>
      <c r="P1570">
        <v>0</v>
      </c>
      <c r="Q1570">
        <v>2</v>
      </c>
      <c r="R1570" t="s">
        <v>42674</v>
      </c>
      <c r="S1570" t="s">
        <v>42788</v>
      </c>
      <c r="T1570" t="s">
        <v>44533</v>
      </c>
      <c r="U1570" t="s">
        <v>46038</v>
      </c>
      <c r="V1570" t="s">
        <v>56495</v>
      </c>
      <c r="W1570" t="s">
        <v>39314</v>
      </c>
      <c r="X1570" t="s">
        <v>42677</v>
      </c>
    </row>
    <row r="1571" spans="1:24">
      <c r="A1571">
        <f>HYPERLINK("https://www.philgeps.gov.ph/GEPSNONPILOT/Tender/SplashBidNoticeAbstractUI.aspx?menuIndex=3&amp;refID=7190043&amp;Result=3","7190043")</f>
        <v>0</v>
      </c>
      <c r="B1571" t="s">
        <v>590</v>
      </c>
      <c r="C1571" t="s">
        <v>4662</v>
      </c>
      <c r="D1571" t="s">
        <v>17171</v>
      </c>
      <c r="E1571" t="s">
        <v>18643</v>
      </c>
      <c r="F1571" t="s">
        <v>29372</v>
      </c>
      <c r="G1571" t="s">
        <v>29379</v>
      </c>
      <c r="H1571" t="s">
        <v>11048</v>
      </c>
      <c r="I1571" t="s">
        <v>29412</v>
      </c>
      <c r="J1571" t="s">
        <v>30673</v>
      </c>
      <c r="K1571" t="s">
        <v>38510</v>
      </c>
      <c r="M1571" t="s">
        <v>39360</v>
      </c>
      <c r="N1571" t="s">
        <v>42669</v>
      </c>
      <c r="O1571" t="s">
        <v>42670</v>
      </c>
      <c r="P1571">
        <v>0</v>
      </c>
      <c r="Q1571">
        <v>0</v>
      </c>
      <c r="R1571" t="s">
        <v>42674</v>
      </c>
      <c r="S1571" t="s">
        <v>42788</v>
      </c>
      <c r="T1571" t="s">
        <v>44389</v>
      </c>
      <c r="U1571" t="s">
        <v>46110</v>
      </c>
      <c r="W1571" t="s">
        <v>39360</v>
      </c>
      <c r="X1571" t="s">
        <v>42676</v>
      </c>
    </row>
    <row r="1572" spans="1:24">
      <c r="A1572">
        <f>HYPERLINK("https://www.philgeps.gov.ph/GEPSNONPILOT/Tender/SplashBidNoticeAbstractUI.aspx?menuIndex=3&amp;refID=7189443&amp;Result=3","7189443")</f>
        <v>0</v>
      </c>
      <c r="B1572" t="s">
        <v>591</v>
      </c>
      <c r="C1572" t="s">
        <v>5033</v>
      </c>
      <c r="D1572" t="s">
        <v>17169</v>
      </c>
      <c r="E1572" t="s">
        <v>18644</v>
      </c>
      <c r="F1572" t="s">
        <v>29372</v>
      </c>
      <c r="G1572" t="s">
        <v>29380</v>
      </c>
      <c r="H1572" t="s">
        <v>29389</v>
      </c>
      <c r="I1572" t="s">
        <v>3839</v>
      </c>
      <c r="J1572" t="s">
        <v>30674</v>
      </c>
      <c r="K1572" t="s">
        <v>38488</v>
      </c>
      <c r="M1572" t="s">
        <v>39361</v>
      </c>
      <c r="N1572" t="s">
        <v>42669</v>
      </c>
      <c r="O1572" t="s">
        <v>42670</v>
      </c>
      <c r="P1572">
        <v>0</v>
      </c>
      <c r="Q1572">
        <v>0</v>
      </c>
      <c r="R1572" t="s">
        <v>42674</v>
      </c>
      <c r="S1572" t="s">
        <v>42788</v>
      </c>
      <c r="T1572" t="s">
        <v>44430</v>
      </c>
      <c r="U1572" t="s">
        <v>46111</v>
      </c>
      <c r="W1572" t="s">
        <v>39361</v>
      </c>
      <c r="X1572" t="s">
        <v>42677</v>
      </c>
    </row>
    <row r="1573" spans="1:24">
      <c r="A1573">
        <f>HYPERLINK("https://www.philgeps.gov.ph/GEPSNONPILOT/Tender/SplashBidNoticeAbstractUI.aspx?menuIndex=3&amp;refID=7190050&amp;Result=3","7190050")</f>
        <v>0</v>
      </c>
      <c r="B1573" t="s">
        <v>592</v>
      </c>
      <c r="C1573" t="s">
        <v>5034</v>
      </c>
      <c r="D1573" t="s">
        <v>17160</v>
      </c>
      <c r="E1573" t="s">
        <v>18645</v>
      </c>
      <c r="F1573" t="s">
        <v>29372</v>
      </c>
      <c r="G1573" t="s">
        <v>29380</v>
      </c>
      <c r="H1573" t="s">
        <v>11048</v>
      </c>
      <c r="I1573" t="s">
        <v>29441</v>
      </c>
      <c r="J1573" t="s">
        <v>30434</v>
      </c>
      <c r="K1573" t="s">
        <v>38491</v>
      </c>
      <c r="M1573" t="s">
        <v>39362</v>
      </c>
      <c r="N1573" t="s">
        <v>42669</v>
      </c>
      <c r="O1573" t="s">
        <v>42670</v>
      </c>
      <c r="P1573">
        <v>0</v>
      </c>
      <c r="Q1573">
        <v>0</v>
      </c>
      <c r="R1573" t="s">
        <v>42674</v>
      </c>
      <c r="S1573" t="s">
        <v>42788</v>
      </c>
      <c r="T1573" t="s">
        <v>44430</v>
      </c>
      <c r="U1573" t="s">
        <v>46112</v>
      </c>
      <c r="W1573" t="s">
        <v>39362</v>
      </c>
      <c r="X1573" t="s">
        <v>42676</v>
      </c>
    </row>
    <row r="1574" spans="1:24">
      <c r="A1574">
        <f>HYPERLINK("https://www.philgeps.gov.ph/GEPSNONPILOT/Tender/SplashBidNoticeAbstractUI.aspx?menuIndex=3&amp;refID=7189144&amp;Result=3","7189144")</f>
        <v>0</v>
      </c>
      <c r="B1574" t="s">
        <v>547</v>
      </c>
      <c r="C1574" t="s">
        <v>5035</v>
      </c>
      <c r="E1574" t="s">
        <v>18646</v>
      </c>
      <c r="F1574" t="s">
        <v>29372</v>
      </c>
      <c r="G1574" t="s">
        <v>29382</v>
      </c>
      <c r="H1574" t="s">
        <v>11048</v>
      </c>
      <c r="I1574" t="s">
        <v>5383</v>
      </c>
      <c r="J1574" t="s">
        <v>30675</v>
      </c>
      <c r="K1574" t="s">
        <v>38485</v>
      </c>
      <c r="M1574" t="s">
        <v>39363</v>
      </c>
      <c r="N1574" t="s">
        <v>42669</v>
      </c>
      <c r="O1574" t="s">
        <v>42670</v>
      </c>
      <c r="P1574">
        <v>0</v>
      </c>
      <c r="Q1574">
        <v>0</v>
      </c>
      <c r="R1574" t="s">
        <v>42674</v>
      </c>
      <c r="S1574" t="s">
        <v>42788</v>
      </c>
      <c r="T1574" t="s">
        <v>44509</v>
      </c>
      <c r="U1574" t="s">
        <v>46113</v>
      </c>
      <c r="W1574" t="s">
        <v>58018</v>
      </c>
      <c r="X1574" t="s">
        <v>42677</v>
      </c>
    </row>
    <row r="1575" spans="1:24">
      <c r="A1575">
        <f>HYPERLINK("https://www.philgeps.gov.ph/GEPSNONPILOT/Tender/SplashBidNoticeAbstractUI.aspx?menuIndex=3&amp;refID=7190047&amp;Result=3","7190047")</f>
        <v>0</v>
      </c>
      <c r="B1575" t="s">
        <v>310</v>
      </c>
      <c r="C1575" t="s">
        <v>5036</v>
      </c>
      <c r="D1575" t="s">
        <v>17205</v>
      </c>
      <c r="E1575" t="s">
        <v>17404</v>
      </c>
      <c r="F1575" t="s">
        <v>29372</v>
      </c>
      <c r="G1575" t="s">
        <v>29380</v>
      </c>
      <c r="H1575" t="s">
        <v>11048</v>
      </c>
      <c r="I1575" t="s">
        <v>4709</v>
      </c>
      <c r="J1575" t="s">
        <v>30676</v>
      </c>
      <c r="K1575" t="s">
        <v>38491</v>
      </c>
      <c r="M1575" t="s">
        <v>39069</v>
      </c>
      <c r="N1575" t="s">
        <v>42669</v>
      </c>
      <c r="O1575" t="s">
        <v>42670</v>
      </c>
      <c r="P1575">
        <v>0</v>
      </c>
      <c r="Q1575">
        <v>0</v>
      </c>
      <c r="R1575" t="s">
        <v>42674</v>
      </c>
      <c r="S1575" t="s">
        <v>42788</v>
      </c>
      <c r="T1575" t="s">
        <v>44456</v>
      </c>
      <c r="U1575" t="s">
        <v>46114</v>
      </c>
      <c r="W1575" t="s">
        <v>39069</v>
      </c>
      <c r="X1575" t="s">
        <v>42676</v>
      </c>
    </row>
    <row r="1576" spans="1:24">
      <c r="A1576">
        <f>HYPERLINK("https://www.philgeps.gov.ph/GEPSNONPILOT/Tender/SplashBidNoticeAbstractUI.aspx?menuIndex=3&amp;refID=7188605&amp;Result=3","7188605")</f>
        <v>0</v>
      </c>
      <c r="B1576" t="s">
        <v>577</v>
      </c>
      <c r="C1576" t="s">
        <v>5037</v>
      </c>
      <c r="D1576" t="s">
        <v>17164</v>
      </c>
      <c r="E1576" t="s">
        <v>18647</v>
      </c>
      <c r="F1576" t="s">
        <v>29372</v>
      </c>
      <c r="G1576" t="s">
        <v>29380</v>
      </c>
      <c r="H1576" t="s">
        <v>29389</v>
      </c>
      <c r="I1576" t="s">
        <v>10408</v>
      </c>
      <c r="J1576" t="s">
        <v>30677</v>
      </c>
      <c r="K1576" t="s">
        <v>38485</v>
      </c>
      <c r="L1576" t="s">
        <v>577</v>
      </c>
      <c r="M1576" t="s">
        <v>39346</v>
      </c>
      <c r="N1576" t="s">
        <v>42669</v>
      </c>
      <c r="O1576" t="s">
        <v>42670</v>
      </c>
      <c r="P1576">
        <v>0</v>
      </c>
      <c r="Q1576">
        <v>0</v>
      </c>
      <c r="R1576" t="s">
        <v>42674</v>
      </c>
      <c r="S1576" t="s">
        <v>42788</v>
      </c>
      <c r="T1576" t="s">
        <v>44539</v>
      </c>
      <c r="U1576" t="s">
        <v>46115</v>
      </c>
      <c r="V1576" t="s">
        <v>56502</v>
      </c>
      <c r="W1576" t="s">
        <v>39346</v>
      </c>
      <c r="X1576" t="s">
        <v>42677</v>
      </c>
    </row>
    <row r="1577" spans="1:24">
      <c r="A1577">
        <f>HYPERLINK("https://www.philgeps.gov.ph/GEPSNONPILOT/Tender/SplashBidNoticeAbstractUI.aspx?menuIndex=3&amp;refID=7190046&amp;Result=3","7190046")</f>
        <v>0</v>
      </c>
      <c r="B1577" t="s">
        <v>592</v>
      </c>
      <c r="C1577" t="s">
        <v>5038</v>
      </c>
      <c r="E1577" t="s">
        <v>18645</v>
      </c>
      <c r="F1577" t="s">
        <v>29372</v>
      </c>
      <c r="G1577" t="s">
        <v>29380</v>
      </c>
      <c r="H1577" t="s">
        <v>29389</v>
      </c>
      <c r="I1577" t="s">
        <v>4709</v>
      </c>
      <c r="J1577" t="s">
        <v>30678</v>
      </c>
      <c r="K1577" t="s">
        <v>38491</v>
      </c>
      <c r="M1577" t="s">
        <v>39362</v>
      </c>
      <c r="N1577" t="s">
        <v>42669</v>
      </c>
      <c r="O1577" t="s">
        <v>42670</v>
      </c>
      <c r="P1577">
        <v>0</v>
      </c>
      <c r="Q1577">
        <v>0</v>
      </c>
      <c r="R1577" t="s">
        <v>42674</v>
      </c>
      <c r="S1577" t="s">
        <v>42788</v>
      </c>
      <c r="T1577" t="s">
        <v>44430</v>
      </c>
      <c r="U1577" t="s">
        <v>46116</v>
      </c>
      <c r="W1577" t="s">
        <v>39362</v>
      </c>
      <c r="X1577" t="s">
        <v>42676</v>
      </c>
    </row>
    <row r="1578" spans="1:24">
      <c r="A1578">
        <f>HYPERLINK("https://www.philgeps.gov.ph/GEPSNONPILOT/Tender/SplashBidNoticeAbstractUI.aspx?menuIndex=3&amp;refID=7190039&amp;Result=3","7190039")</f>
        <v>0</v>
      </c>
      <c r="B1578" t="s">
        <v>565</v>
      </c>
      <c r="C1578" t="s">
        <v>5039</v>
      </c>
      <c r="D1578" t="s">
        <v>17189</v>
      </c>
      <c r="E1578" t="s">
        <v>17344</v>
      </c>
      <c r="F1578" t="s">
        <v>29372</v>
      </c>
      <c r="G1578" t="s">
        <v>29379</v>
      </c>
      <c r="H1578" t="s">
        <v>11048</v>
      </c>
      <c r="I1578" t="s">
        <v>29412</v>
      </c>
      <c r="J1578" t="s">
        <v>29590</v>
      </c>
      <c r="K1578" t="s">
        <v>38528</v>
      </c>
      <c r="L1578" t="s">
        <v>565</v>
      </c>
      <c r="M1578" t="s">
        <v>39334</v>
      </c>
      <c r="N1578" t="s">
        <v>42669</v>
      </c>
      <c r="O1578" t="s">
        <v>42670</v>
      </c>
      <c r="P1578">
        <v>0</v>
      </c>
      <c r="Q1578">
        <v>0</v>
      </c>
      <c r="R1578" t="s">
        <v>42674</v>
      </c>
      <c r="S1578" t="s">
        <v>42788</v>
      </c>
      <c r="T1578" t="s">
        <v>44512</v>
      </c>
      <c r="U1578" t="s">
        <v>46117</v>
      </c>
      <c r="W1578" t="s">
        <v>39334</v>
      </c>
      <c r="X1578" t="s">
        <v>42676</v>
      </c>
    </row>
    <row r="1579" spans="1:24">
      <c r="A1579">
        <f>HYPERLINK("https://www.philgeps.gov.ph/GEPSNONPILOT/Tender/SplashBidNoticeAbstractUI.aspx?menuIndex=3&amp;refID=7189235&amp;Result=3","7189235")</f>
        <v>0</v>
      </c>
      <c r="B1579" t="s">
        <v>593</v>
      </c>
      <c r="C1579" t="s">
        <v>5040</v>
      </c>
      <c r="D1579" t="s">
        <v>17188</v>
      </c>
      <c r="E1579" t="s">
        <v>18648</v>
      </c>
      <c r="F1579" t="s">
        <v>29372</v>
      </c>
      <c r="G1579" t="s">
        <v>29383</v>
      </c>
      <c r="H1579" t="s">
        <v>11048</v>
      </c>
      <c r="I1579" t="s">
        <v>6417</v>
      </c>
      <c r="J1579" t="s">
        <v>30679</v>
      </c>
      <c r="K1579" t="s">
        <v>38491</v>
      </c>
      <c r="M1579" t="s">
        <v>39364</v>
      </c>
      <c r="N1579" t="s">
        <v>42669</v>
      </c>
      <c r="O1579" t="s">
        <v>42670</v>
      </c>
      <c r="P1579">
        <v>0</v>
      </c>
      <c r="Q1579">
        <v>1</v>
      </c>
      <c r="R1579" t="s">
        <v>42674</v>
      </c>
      <c r="S1579" t="s">
        <v>42788</v>
      </c>
      <c r="T1579" t="s">
        <v>44425</v>
      </c>
      <c r="U1579" t="s">
        <v>46118</v>
      </c>
      <c r="V1579" t="s">
        <v>56507</v>
      </c>
      <c r="W1579" t="s">
        <v>39364</v>
      </c>
      <c r="X1579" t="s">
        <v>42677</v>
      </c>
    </row>
    <row r="1580" spans="1:24">
      <c r="A1580">
        <f>HYPERLINK("https://www.philgeps.gov.ph/GEPSNONPILOT/Tender/SplashBidNoticeAbstractUI.aspx?menuIndex=3&amp;refID=7188573&amp;Result=3","7188573")</f>
        <v>0</v>
      </c>
      <c r="B1580" t="s">
        <v>54</v>
      </c>
      <c r="C1580" t="s">
        <v>5041</v>
      </c>
      <c r="D1580" t="s">
        <v>17162</v>
      </c>
      <c r="E1580" t="s">
        <v>18649</v>
      </c>
      <c r="F1580" t="s">
        <v>29372</v>
      </c>
      <c r="G1580" t="s">
        <v>29380</v>
      </c>
      <c r="H1580" t="s">
        <v>11048</v>
      </c>
      <c r="I1580" t="s">
        <v>4709</v>
      </c>
      <c r="J1580" t="s">
        <v>30680</v>
      </c>
      <c r="K1580" t="s">
        <v>38510</v>
      </c>
      <c r="M1580" t="s">
        <v>38807</v>
      </c>
      <c r="N1580" t="s">
        <v>42669</v>
      </c>
      <c r="O1580" t="s">
        <v>42670</v>
      </c>
      <c r="P1580">
        <v>0</v>
      </c>
      <c r="Q1580">
        <v>2</v>
      </c>
      <c r="R1580" t="s">
        <v>42674</v>
      </c>
      <c r="S1580" t="s">
        <v>42788</v>
      </c>
      <c r="T1580" t="s">
        <v>44470</v>
      </c>
      <c r="U1580" t="s">
        <v>46119</v>
      </c>
      <c r="W1580" t="s">
        <v>38807</v>
      </c>
      <c r="X1580" t="s">
        <v>42677</v>
      </c>
    </row>
    <row r="1581" spans="1:24">
      <c r="A1581">
        <f>HYPERLINK("https://www.philgeps.gov.ph/GEPSNONPILOT/Tender/SplashBidNoticeAbstractUI.aspx?menuIndex=3&amp;refID=7190033&amp;Result=3","7190033")</f>
        <v>0</v>
      </c>
      <c r="B1581" t="s">
        <v>594</v>
      </c>
      <c r="C1581" t="s">
        <v>5042</v>
      </c>
      <c r="E1581" t="s">
        <v>18650</v>
      </c>
      <c r="F1581" t="s">
        <v>29372</v>
      </c>
      <c r="G1581" t="s">
        <v>29379</v>
      </c>
      <c r="H1581" t="s">
        <v>11048</v>
      </c>
      <c r="I1581" t="s">
        <v>3670</v>
      </c>
      <c r="J1581" t="s">
        <v>29595</v>
      </c>
      <c r="K1581" t="s">
        <v>38490</v>
      </c>
      <c r="M1581" t="s">
        <v>39365</v>
      </c>
      <c r="N1581" t="s">
        <v>42669</v>
      </c>
      <c r="O1581" t="s">
        <v>42670</v>
      </c>
      <c r="P1581">
        <v>0</v>
      </c>
      <c r="Q1581">
        <v>1</v>
      </c>
      <c r="R1581" t="s">
        <v>42674</v>
      </c>
      <c r="S1581" t="s">
        <v>42788</v>
      </c>
      <c r="T1581" t="s">
        <v>44525</v>
      </c>
      <c r="U1581" t="s">
        <v>46120</v>
      </c>
      <c r="V1581" t="s">
        <v>56508</v>
      </c>
      <c r="W1581" t="s">
        <v>39365</v>
      </c>
      <c r="X1581" t="s">
        <v>42677</v>
      </c>
    </row>
    <row r="1582" spans="1:24">
      <c r="A1582">
        <f>HYPERLINK("https://www.philgeps.gov.ph/GEPSNONPILOT/Tender/SplashBidNoticeAbstractUI.aspx?menuIndex=3&amp;refID=7190027&amp;Result=3","7190027")</f>
        <v>0</v>
      </c>
      <c r="B1582" t="s">
        <v>594</v>
      </c>
      <c r="C1582" t="s">
        <v>5043</v>
      </c>
      <c r="E1582" t="s">
        <v>18651</v>
      </c>
      <c r="F1582" t="s">
        <v>29372</v>
      </c>
      <c r="G1582" t="s">
        <v>29379</v>
      </c>
      <c r="H1582" t="s">
        <v>11048</v>
      </c>
      <c r="I1582" t="s">
        <v>3670</v>
      </c>
      <c r="J1582" t="s">
        <v>30352</v>
      </c>
      <c r="K1582" t="s">
        <v>38490</v>
      </c>
      <c r="M1582" t="s">
        <v>39365</v>
      </c>
      <c r="N1582" t="s">
        <v>42669</v>
      </c>
      <c r="O1582" t="s">
        <v>42670</v>
      </c>
      <c r="P1582">
        <v>0</v>
      </c>
      <c r="Q1582">
        <v>1</v>
      </c>
      <c r="R1582" t="s">
        <v>42674</v>
      </c>
      <c r="S1582" t="s">
        <v>42788</v>
      </c>
      <c r="T1582" t="s">
        <v>44525</v>
      </c>
      <c r="U1582" t="s">
        <v>46121</v>
      </c>
      <c r="V1582" t="s">
        <v>56508</v>
      </c>
      <c r="W1582" t="s">
        <v>39365</v>
      </c>
      <c r="X1582" t="s">
        <v>42677</v>
      </c>
    </row>
    <row r="1583" spans="1:24">
      <c r="A1583">
        <f>HYPERLINK("https://www.philgeps.gov.ph/GEPSNONPILOT/Tender/SplashBidNoticeAbstractUI.aspx?menuIndex=3&amp;refID=7190023&amp;Result=3","7190023")</f>
        <v>0</v>
      </c>
      <c r="B1583" t="s">
        <v>594</v>
      </c>
      <c r="C1583" t="s">
        <v>5044</v>
      </c>
      <c r="E1583" t="s">
        <v>18652</v>
      </c>
      <c r="F1583" t="s">
        <v>29372</v>
      </c>
      <c r="G1583" t="s">
        <v>29379</v>
      </c>
      <c r="H1583" t="s">
        <v>11048</v>
      </c>
      <c r="I1583" t="s">
        <v>3670</v>
      </c>
      <c r="J1583" t="s">
        <v>30406</v>
      </c>
      <c r="K1583" t="s">
        <v>38490</v>
      </c>
      <c r="M1583" t="s">
        <v>39365</v>
      </c>
      <c r="N1583" t="s">
        <v>42669</v>
      </c>
      <c r="O1583" t="s">
        <v>42670</v>
      </c>
      <c r="P1583">
        <v>0</v>
      </c>
      <c r="Q1583">
        <v>1</v>
      </c>
      <c r="R1583" t="s">
        <v>42674</v>
      </c>
      <c r="S1583" t="s">
        <v>42788</v>
      </c>
      <c r="T1583" t="s">
        <v>44525</v>
      </c>
      <c r="U1583" t="s">
        <v>46122</v>
      </c>
      <c r="V1583" t="s">
        <v>56508</v>
      </c>
      <c r="W1583" t="s">
        <v>39365</v>
      </c>
      <c r="X1583" t="s">
        <v>42677</v>
      </c>
    </row>
    <row r="1584" spans="1:24">
      <c r="A1584">
        <f>HYPERLINK("https://www.philgeps.gov.ph/GEPSNONPILOT/Tender/SplashBidNoticeAbstractUI.aspx?menuIndex=3&amp;refID=7190016&amp;Result=3","7190016")</f>
        <v>0</v>
      </c>
      <c r="B1584" t="s">
        <v>594</v>
      </c>
      <c r="C1584" t="s">
        <v>5045</v>
      </c>
      <c r="D1584" t="s">
        <v>17163</v>
      </c>
      <c r="E1584" t="s">
        <v>18653</v>
      </c>
      <c r="F1584" t="s">
        <v>29372</v>
      </c>
      <c r="G1584" t="s">
        <v>29383</v>
      </c>
      <c r="H1584" t="s">
        <v>11048</v>
      </c>
      <c r="I1584" t="s">
        <v>3629</v>
      </c>
      <c r="J1584" t="s">
        <v>30681</v>
      </c>
      <c r="K1584" t="s">
        <v>38490</v>
      </c>
      <c r="M1584" t="s">
        <v>39365</v>
      </c>
      <c r="N1584" t="s">
        <v>42669</v>
      </c>
      <c r="O1584" t="s">
        <v>42670</v>
      </c>
      <c r="P1584">
        <v>0</v>
      </c>
      <c r="Q1584">
        <v>0</v>
      </c>
      <c r="R1584" t="s">
        <v>42674</v>
      </c>
      <c r="S1584" t="s">
        <v>42788</v>
      </c>
      <c r="T1584" t="s">
        <v>44525</v>
      </c>
      <c r="U1584" t="s">
        <v>46123</v>
      </c>
      <c r="V1584" t="s">
        <v>56508</v>
      </c>
      <c r="W1584" t="s">
        <v>39365</v>
      </c>
      <c r="X1584" t="s">
        <v>42677</v>
      </c>
    </row>
    <row r="1585" spans="1:24">
      <c r="A1585">
        <f>HYPERLINK("https://www.philgeps.gov.ph/GEPSNONPILOT/Tender/SplashBidNoticeAbstractUI.aspx?menuIndex=3&amp;refID=7189982&amp;Result=3","7189982")</f>
        <v>0</v>
      </c>
      <c r="B1585" t="s">
        <v>565</v>
      </c>
      <c r="C1585" t="s">
        <v>5046</v>
      </c>
      <c r="D1585" t="s">
        <v>17189</v>
      </c>
      <c r="E1585" t="s">
        <v>18595</v>
      </c>
      <c r="F1585" t="s">
        <v>29372</v>
      </c>
      <c r="G1585" t="s">
        <v>29382</v>
      </c>
      <c r="H1585" t="s">
        <v>11048</v>
      </c>
      <c r="I1585" t="s">
        <v>29412</v>
      </c>
      <c r="J1585" t="s">
        <v>29590</v>
      </c>
      <c r="K1585" t="s">
        <v>38528</v>
      </c>
      <c r="L1585" t="s">
        <v>565</v>
      </c>
      <c r="M1585" t="s">
        <v>39334</v>
      </c>
      <c r="N1585" t="s">
        <v>42669</v>
      </c>
      <c r="O1585" t="s">
        <v>42670</v>
      </c>
      <c r="P1585">
        <v>0</v>
      </c>
      <c r="Q1585">
        <v>1</v>
      </c>
      <c r="R1585" t="s">
        <v>42674</v>
      </c>
      <c r="S1585" t="s">
        <v>42788</v>
      </c>
      <c r="T1585" t="s">
        <v>44454</v>
      </c>
      <c r="U1585" t="s">
        <v>46124</v>
      </c>
      <c r="W1585" t="s">
        <v>39334</v>
      </c>
      <c r="X1585" t="s">
        <v>42677</v>
      </c>
    </row>
    <row r="1586" spans="1:24">
      <c r="A1586">
        <f>HYPERLINK("https://www.philgeps.gov.ph/GEPSNONPILOT/Tender/SplashBidNoticeAbstractUI.aspx?menuIndex=3&amp;refID=7189913&amp;Result=3","7189913")</f>
        <v>0</v>
      </c>
      <c r="B1586" t="s">
        <v>595</v>
      </c>
      <c r="C1586" t="s">
        <v>5047</v>
      </c>
      <c r="D1586" t="s">
        <v>17169</v>
      </c>
      <c r="E1586" t="s">
        <v>18654</v>
      </c>
      <c r="F1586" t="s">
        <v>29372</v>
      </c>
      <c r="G1586" t="s">
        <v>29380</v>
      </c>
      <c r="H1586" t="s">
        <v>29389</v>
      </c>
      <c r="I1586" t="s">
        <v>10408</v>
      </c>
      <c r="J1586" t="s">
        <v>30682</v>
      </c>
      <c r="K1586" t="s">
        <v>38485</v>
      </c>
      <c r="M1586" t="s">
        <v>39366</v>
      </c>
      <c r="N1586" t="s">
        <v>42669</v>
      </c>
      <c r="O1586" t="s">
        <v>42670</v>
      </c>
      <c r="P1586">
        <v>0</v>
      </c>
      <c r="Q1586">
        <v>0</v>
      </c>
      <c r="R1586" t="s">
        <v>42674</v>
      </c>
      <c r="S1586" t="s">
        <v>42788</v>
      </c>
      <c r="T1586" t="s">
        <v>44374</v>
      </c>
      <c r="U1586" t="s">
        <v>46125</v>
      </c>
      <c r="W1586" t="s">
        <v>39366</v>
      </c>
      <c r="X1586" t="s">
        <v>42677</v>
      </c>
    </row>
    <row r="1587" spans="1:24">
      <c r="A1587">
        <f>HYPERLINK("https://www.philgeps.gov.ph/GEPSNONPILOT/Tender/SplashBidNoticeAbstractUI.aspx?menuIndex=3&amp;refID=7190037&amp;Result=3","7190037")</f>
        <v>0</v>
      </c>
      <c r="B1587" t="s">
        <v>255</v>
      </c>
      <c r="C1587" t="s">
        <v>5048</v>
      </c>
      <c r="E1587" t="s">
        <v>18655</v>
      </c>
      <c r="F1587" t="s">
        <v>29372</v>
      </c>
      <c r="G1587" t="s">
        <v>29382</v>
      </c>
      <c r="H1587" t="s">
        <v>11048</v>
      </c>
      <c r="I1587" t="s">
        <v>5383</v>
      </c>
      <c r="J1587" t="s">
        <v>30683</v>
      </c>
      <c r="K1587" t="s">
        <v>38490</v>
      </c>
      <c r="M1587" t="s">
        <v>39014</v>
      </c>
      <c r="N1587" t="s">
        <v>42669</v>
      </c>
      <c r="O1587" t="s">
        <v>42670</v>
      </c>
      <c r="P1587">
        <v>0</v>
      </c>
      <c r="Q1587">
        <v>3</v>
      </c>
      <c r="R1587" t="s">
        <v>42674</v>
      </c>
      <c r="S1587" t="s">
        <v>42788</v>
      </c>
      <c r="T1587" t="s">
        <v>44489</v>
      </c>
      <c r="U1587" t="s">
        <v>46126</v>
      </c>
      <c r="W1587" t="s">
        <v>39014</v>
      </c>
      <c r="X1587" t="s">
        <v>42676</v>
      </c>
    </row>
    <row r="1588" spans="1:24">
      <c r="A1588">
        <f>HYPERLINK("https://www.philgeps.gov.ph/GEPSNONPILOT/Tender/SplashBidNoticeAbstractUI.aspx?menuIndex=3&amp;refID=7189838&amp;Result=3","7189838")</f>
        <v>0</v>
      </c>
      <c r="B1588" t="s">
        <v>596</v>
      </c>
      <c r="C1588" t="s">
        <v>5049</v>
      </c>
      <c r="D1588" t="s">
        <v>17158</v>
      </c>
      <c r="E1588" t="s">
        <v>18656</v>
      </c>
      <c r="F1588" t="s">
        <v>29372</v>
      </c>
      <c r="G1588" t="s">
        <v>29380</v>
      </c>
      <c r="H1588" t="s">
        <v>29389</v>
      </c>
      <c r="I1588" t="s">
        <v>4709</v>
      </c>
      <c r="J1588" t="s">
        <v>30684</v>
      </c>
      <c r="K1588" t="s">
        <v>38488</v>
      </c>
      <c r="M1588" t="s">
        <v>39367</v>
      </c>
      <c r="N1588" t="s">
        <v>42669</v>
      </c>
      <c r="O1588" t="s">
        <v>42670</v>
      </c>
      <c r="P1588">
        <v>0</v>
      </c>
      <c r="Q1588">
        <v>0</v>
      </c>
      <c r="R1588" t="s">
        <v>42674</v>
      </c>
      <c r="S1588" t="s">
        <v>42788</v>
      </c>
      <c r="T1588" t="s">
        <v>44525</v>
      </c>
      <c r="U1588" t="s">
        <v>46127</v>
      </c>
      <c r="V1588" t="s">
        <v>56469</v>
      </c>
      <c r="W1588" t="s">
        <v>39367</v>
      </c>
      <c r="X1588" t="s">
        <v>42677</v>
      </c>
    </row>
    <row r="1589" spans="1:24">
      <c r="A1589">
        <f>HYPERLINK("https://www.philgeps.gov.ph/GEPSNONPILOT/Tender/SplashBidNoticeAbstractUI.aspx?menuIndex=3&amp;refID=7188566&amp;Result=3","7188566")</f>
        <v>0</v>
      </c>
      <c r="B1589" t="s">
        <v>577</v>
      </c>
      <c r="C1589" t="s">
        <v>5050</v>
      </c>
      <c r="D1589" t="s">
        <v>17164</v>
      </c>
      <c r="E1589" t="s">
        <v>18657</v>
      </c>
      <c r="F1589" t="s">
        <v>29372</v>
      </c>
      <c r="G1589" t="s">
        <v>29380</v>
      </c>
      <c r="H1589" t="s">
        <v>29389</v>
      </c>
      <c r="I1589" t="s">
        <v>10408</v>
      </c>
      <c r="J1589" t="s">
        <v>30685</v>
      </c>
      <c r="K1589" t="s">
        <v>38500</v>
      </c>
      <c r="L1589" t="s">
        <v>577</v>
      </c>
      <c r="M1589" t="s">
        <v>39346</v>
      </c>
      <c r="N1589" t="s">
        <v>42669</v>
      </c>
      <c r="O1589" t="s">
        <v>42670</v>
      </c>
      <c r="P1589">
        <v>0</v>
      </c>
      <c r="Q1589">
        <v>0</v>
      </c>
      <c r="R1589" t="s">
        <v>42674</v>
      </c>
      <c r="S1589" t="s">
        <v>42788</v>
      </c>
      <c r="T1589" t="s">
        <v>44539</v>
      </c>
      <c r="U1589" t="s">
        <v>46128</v>
      </c>
      <c r="V1589" t="s">
        <v>56502</v>
      </c>
      <c r="W1589" t="s">
        <v>39346</v>
      </c>
      <c r="X1589" t="s">
        <v>42677</v>
      </c>
    </row>
    <row r="1590" spans="1:24">
      <c r="A1590">
        <f>HYPERLINK("https://www.philgeps.gov.ph/GEPSNONPILOT/Tender/SplashBidNoticeAbstractUI.aspx?menuIndex=3&amp;refID=7190029&amp;Result=3","7190029")</f>
        <v>0</v>
      </c>
      <c r="B1590" t="s">
        <v>597</v>
      </c>
      <c r="C1590" t="s">
        <v>5051</v>
      </c>
      <c r="D1590" t="s">
        <v>17179</v>
      </c>
      <c r="E1590" t="s">
        <v>18658</v>
      </c>
      <c r="F1590" t="s">
        <v>29372</v>
      </c>
      <c r="G1590" t="s">
        <v>29380</v>
      </c>
      <c r="H1590" t="s">
        <v>29389</v>
      </c>
      <c r="I1590" t="s">
        <v>10408</v>
      </c>
      <c r="J1590" t="s">
        <v>29924</v>
      </c>
      <c r="K1590" t="s">
        <v>38522</v>
      </c>
      <c r="M1590" t="s">
        <v>39368</v>
      </c>
      <c r="N1590" t="s">
        <v>42669</v>
      </c>
      <c r="O1590" t="s">
        <v>42670</v>
      </c>
      <c r="P1590">
        <v>0</v>
      </c>
      <c r="Q1590">
        <v>2</v>
      </c>
      <c r="R1590" t="s">
        <v>42674</v>
      </c>
      <c r="S1590" t="s">
        <v>42788</v>
      </c>
      <c r="T1590" t="s">
        <v>44542</v>
      </c>
      <c r="U1590" t="s">
        <v>46129</v>
      </c>
      <c r="W1590" t="s">
        <v>39368</v>
      </c>
      <c r="X1590" t="s">
        <v>42677</v>
      </c>
    </row>
    <row r="1591" spans="1:24">
      <c r="A1591">
        <f>HYPERLINK("https://www.philgeps.gov.ph/GEPSNONPILOT/Tender/SplashBidNoticeAbstractUI.aspx?menuIndex=3&amp;refID=7190048&amp;Result=3","7190048")</f>
        <v>0</v>
      </c>
      <c r="B1591" t="s">
        <v>590</v>
      </c>
      <c r="C1591" t="s">
        <v>5052</v>
      </c>
      <c r="D1591" t="s">
        <v>17171</v>
      </c>
      <c r="E1591" t="s">
        <v>18643</v>
      </c>
      <c r="F1591" t="s">
        <v>29372</v>
      </c>
      <c r="G1591" t="s">
        <v>29379</v>
      </c>
      <c r="H1591" t="s">
        <v>11048</v>
      </c>
      <c r="I1591" t="s">
        <v>29412</v>
      </c>
      <c r="J1591" t="s">
        <v>30686</v>
      </c>
      <c r="K1591" t="s">
        <v>38510</v>
      </c>
      <c r="M1591" t="s">
        <v>39360</v>
      </c>
      <c r="N1591" t="s">
        <v>42669</v>
      </c>
      <c r="O1591" t="s">
        <v>42670</v>
      </c>
      <c r="P1591">
        <v>0</v>
      </c>
      <c r="Q1591">
        <v>1</v>
      </c>
      <c r="R1591" t="s">
        <v>42674</v>
      </c>
      <c r="S1591" t="s">
        <v>42788</v>
      </c>
      <c r="T1591" t="s">
        <v>44389</v>
      </c>
      <c r="U1591" t="s">
        <v>46130</v>
      </c>
      <c r="W1591" t="s">
        <v>39360</v>
      </c>
      <c r="X1591" t="s">
        <v>42676</v>
      </c>
    </row>
    <row r="1592" spans="1:24">
      <c r="A1592">
        <f>HYPERLINK("https://www.philgeps.gov.ph/GEPSNONPILOT/Tender/SplashBidNoticeAbstractUI.aspx?menuIndex=3&amp;refID=7188551&amp;Result=3","7188551")</f>
        <v>0</v>
      </c>
      <c r="B1592" t="s">
        <v>579</v>
      </c>
      <c r="C1592" t="s">
        <v>5053</v>
      </c>
      <c r="D1592" t="s">
        <v>17141</v>
      </c>
      <c r="E1592" t="s">
        <v>18659</v>
      </c>
      <c r="F1592" t="s">
        <v>29373</v>
      </c>
      <c r="G1592" t="s">
        <v>29380</v>
      </c>
      <c r="H1592" t="s">
        <v>11048</v>
      </c>
      <c r="I1592" t="s">
        <v>29473</v>
      </c>
      <c r="J1592" t="s">
        <v>29708</v>
      </c>
      <c r="K1592" t="s">
        <v>38485</v>
      </c>
      <c r="M1592" t="s">
        <v>39348</v>
      </c>
      <c r="N1592" t="s">
        <v>42669</v>
      </c>
      <c r="O1592" t="s">
        <v>42670</v>
      </c>
      <c r="P1592">
        <v>0</v>
      </c>
      <c r="Q1592">
        <v>0</v>
      </c>
      <c r="R1592" t="s">
        <v>42674</v>
      </c>
      <c r="S1592" t="s">
        <v>42788</v>
      </c>
      <c r="T1592" t="s">
        <v>44474</v>
      </c>
      <c r="U1592" t="s">
        <v>46131</v>
      </c>
      <c r="V1592" t="s">
        <v>56504</v>
      </c>
      <c r="W1592" t="s">
        <v>39348</v>
      </c>
      <c r="X1592" t="s">
        <v>42677</v>
      </c>
    </row>
    <row r="1593" spans="1:24">
      <c r="A1593">
        <f>HYPERLINK("https://www.philgeps.gov.ph/GEPSNONPILOT/Tender/SplashBidNoticeAbstractUI.aspx?menuIndex=3&amp;refID=7189065&amp;Result=3","7189065")</f>
        <v>0</v>
      </c>
      <c r="B1593" t="s">
        <v>598</v>
      </c>
      <c r="C1593" t="s">
        <v>5054</v>
      </c>
      <c r="D1593" t="s">
        <v>17189</v>
      </c>
      <c r="E1593" t="s">
        <v>18660</v>
      </c>
      <c r="F1593" t="s">
        <v>29373</v>
      </c>
      <c r="G1593" t="s">
        <v>29380</v>
      </c>
      <c r="H1593" t="s">
        <v>11048</v>
      </c>
      <c r="I1593" t="s">
        <v>4709</v>
      </c>
      <c r="J1593" t="s">
        <v>30687</v>
      </c>
      <c r="K1593" t="s">
        <v>38510</v>
      </c>
      <c r="M1593" t="s">
        <v>39369</v>
      </c>
      <c r="N1593" t="s">
        <v>42669</v>
      </c>
      <c r="O1593" t="s">
        <v>42670</v>
      </c>
      <c r="P1593">
        <v>0</v>
      </c>
      <c r="Q1593">
        <v>0</v>
      </c>
      <c r="R1593" t="s">
        <v>42674</v>
      </c>
      <c r="S1593" t="s">
        <v>42788</v>
      </c>
      <c r="T1593" t="s">
        <v>44503</v>
      </c>
      <c r="U1593" t="s">
        <v>46132</v>
      </c>
      <c r="W1593" t="s">
        <v>39369</v>
      </c>
      <c r="X1593" t="s">
        <v>42677</v>
      </c>
    </row>
    <row r="1594" spans="1:24">
      <c r="A1594">
        <f>HYPERLINK("https://www.philgeps.gov.ph/GEPSNONPILOT/Tender/SplashBidNoticeAbstractUI.aspx?menuIndex=3&amp;refID=7189863&amp;Result=3","7189863")</f>
        <v>0</v>
      </c>
      <c r="B1594" t="s">
        <v>599</v>
      </c>
      <c r="C1594" t="s">
        <v>5055</v>
      </c>
      <c r="D1594" t="s">
        <v>17189</v>
      </c>
      <c r="E1594" t="s">
        <v>18661</v>
      </c>
      <c r="F1594" t="s">
        <v>29372</v>
      </c>
      <c r="G1594" t="s">
        <v>29379</v>
      </c>
      <c r="H1594" t="s">
        <v>11048</v>
      </c>
      <c r="I1594" t="s">
        <v>5383</v>
      </c>
      <c r="J1594" t="s">
        <v>30688</v>
      </c>
      <c r="K1594" t="s">
        <v>38489</v>
      </c>
      <c r="M1594" t="s">
        <v>39370</v>
      </c>
      <c r="N1594" t="s">
        <v>42669</v>
      </c>
      <c r="O1594" t="s">
        <v>42670</v>
      </c>
      <c r="P1594">
        <v>0</v>
      </c>
      <c r="Q1594">
        <v>3</v>
      </c>
      <c r="R1594" t="s">
        <v>42674</v>
      </c>
      <c r="S1594" t="s">
        <v>42788</v>
      </c>
      <c r="T1594" t="s">
        <v>44496</v>
      </c>
      <c r="U1594" t="s">
        <v>45720</v>
      </c>
      <c r="W1594" t="s">
        <v>39370</v>
      </c>
      <c r="X1594" t="s">
        <v>42677</v>
      </c>
    </row>
    <row r="1595" spans="1:24">
      <c r="A1595">
        <f>HYPERLINK("https://www.philgeps.gov.ph/GEPSNONPILOT/Tender/SplashBidNoticeAbstractUI.aspx?menuIndex=3&amp;refID=7189056&amp;Result=3","7189056")</f>
        <v>0</v>
      </c>
      <c r="B1595" t="s">
        <v>589</v>
      </c>
      <c r="C1595" t="s">
        <v>5056</v>
      </c>
      <c r="D1595" t="s">
        <v>17168</v>
      </c>
      <c r="E1595" t="s">
        <v>18662</v>
      </c>
      <c r="F1595" t="s">
        <v>29372</v>
      </c>
      <c r="G1595" t="s">
        <v>29380</v>
      </c>
      <c r="H1595" t="s">
        <v>11048</v>
      </c>
      <c r="I1595" t="s">
        <v>3839</v>
      </c>
      <c r="J1595" t="s">
        <v>30689</v>
      </c>
      <c r="K1595" t="s">
        <v>38538</v>
      </c>
      <c r="M1595" t="s">
        <v>39358</v>
      </c>
      <c r="N1595" t="s">
        <v>42669</v>
      </c>
      <c r="O1595" t="s">
        <v>42670</v>
      </c>
      <c r="P1595">
        <v>0</v>
      </c>
      <c r="Q1595">
        <v>0</v>
      </c>
      <c r="R1595" t="s">
        <v>42674</v>
      </c>
      <c r="S1595" t="s">
        <v>42788</v>
      </c>
      <c r="T1595" t="s">
        <v>44460</v>
      </c>
      <c r="U1595" t="s">
        <v>46133</v>
      </c>
      <c r="V1595" t="s">
        <v>56460</v>
      </c>
      <c r="W1595" t="s">
        <v>39358</v>
      </c>
      <c r="X1595" t="s">
        <v>42677</v>
      </c>
    </row>
    <row r="1596" spans="1:24">
      <c r="A1596">
        <f>HYPERLINK("https://www.philgeps.gov.ph/GEPSNONPILOT/Tender/SplashBidNoticeAbstractUI.aspx?menuIndex=3&amp;refID=7189000&amp;Result=3","7189000")</f>
        <v>0</v>
      </c>
      <c r="B1596" t="s">
        <v>580</v>
      </c>
      <c r="C1596" t="s">
        <v>5057</v>
      </c>
      <c r="D1596" t="s">
        <v>17148</v>
      </c>
      <c r="E1596" t="s">
        <v>18663</v>
      </c>
      <c r="F1596" t="s">
        <v>29372</v>
      </c>
      <c r="G1596" t="s">
        <v>29380</v>
      </c>
      <c r="H1596" t="s">
        <v>29390</v>
      </c>
      <c r="I1596" t="s">
        <v>29453</v>
      </c>
      <c r="J1596" t="s">
        <v>30690</v>
      </c>
      <c r="K1596" t="s">
        <v>38487</v>
      </c>
      <c r="M1596" t="s">
        <v>39349</v>
      </c>
      <c r="N1596" t="s">
        <v>42669</v>
      </c>
      <c r="O1596" t="s">
        <v>42670</v>
      </c>
      <c r="P1596">
        <v>0</v>
      </c>
      <c r="Q1596">
        <v>0</v>
      </c>
      <c r="R1596" t="s">
        <v>42674</v>
      </c>
      <c r="S1596" t="s">
        <v>42788</v>
      </c>
      <c r="T1596" t="s">
        <v>44501</v>
      </c>
      <c r="U1596" t="s">
        <v>46134</v>
      </c>
      <c r="W1596" t="s">
        <v>39349</v>
      </c>
      <c r="X1596" t="s">
        <v>42677</v>
      </c>
    </row>
    <row r="1597" spans="1:24">
      <c r="A1597">
        <f>HYPERLINK("https://www.philgeps.gov.ph/GEPSNONPILOT/Tender/SplashBidNoticeAbstractUI.aspx?menuIndex=3&amp;refID=7189819&amp;Result=3","7189819")</f>
        <v>0</v>
      </c>
      <c r="B1597" t="s">
        <v>600</v>
      </c>
      <c r="C1597" t="s">
        <v>5058</v>
      </c>
      <c r="E1597" t="s">
        <v>17428</v>
      </c>
      <c r="F1597" t="s">
        <v>29372</v>
      </c>
      <c r="G1597" t="s">
        <v>29379</v>
      </c>
      <c r="H1597" t="s">
        <v>11048</v>
      </c>
      <c r="I1597" t="s">
        <v>29409</v>
      </c>
      <c r="J1597" t="s">
        <v>30691</v>
      </c>
      <c r="K1597" t="s">
        <v>38490</v>
      </c>
      <c r="M1597" t="s">
        <v>39371</v>
      </c>
      <c r="N1597" t="s">
        <v>42669</v>
      </c>
      <c r="O1597" t="s">
        <v>42670</v>
      </c>
      <c r="P1597">
        <v>0</v>
      </c>
      <c r="Q1597">
        <v>3</v>
      </c>
      <c r="R1597" t="s">
        <v>42674</v>
      </c>
      <c r="S1597" t="s">
        <v>42788</v>
      </c>
      <c r="T1597" t="s">
        <v>44394</v>
      </c>
      <c r="U1597" t="s">
        <v>46135</v>
      </c>
      <c r="W1597" t="s">
        <v>39371</v>
      </c>
      <c r="X1597" t="s">
        <v>42677</v>
      </c>
    </row>
    <row r="1598" spans="1:24">
      <c r="A1598">
        <f>HYPERLINK("https://www.philgeps.gov.ph/GEPSNONPILOT/Tender/SplashBidNoticeAbstractUI.aspx?menuIndex=3&amp;refID=7189718&amp;Result=3","7189718")</f>
        <v>0</v>
      </c>
      <c r="B1598" t="s">
        <v>601</v>
      </c>
      <c r="C1598" t="s">
        <v>5059</v>
      </c>
      <c r="D1598" t="s">
        <v>17166</v>
      </c>
      <c r="E1598" t="s">
        <v>17344</v>
      </c>
      <c r="F1598" t="s">
        <v>29372</v>
      </c>
      <c r="G1598" t="s">
        <v>29380</v>
      </c>
      <c r="H1598" t="s">
        <v>29389</v>
      </c>
      <c r="I1598" t="s">
        <v>10408</v>
      </c>
      <c r="J1598" t="s">
        <v>30692</v>
      </c>
      <c r="K1598" t="s">
        <v>38564</v>
      </c>
      <c r="M1598" t="s">
        <v>39372</v>
      </c>
      <c r="N1598" t="s">
        <v>42669</v>
      </c>
      <c r="O1598" t="s">
        <v>42670</v>
      </c>
      <c r="P1598">
        <v>0</v>
      </c>
      <c r="Q1598">
        <v>8</v>
      </c>
      <c r="R1598" t="s">
        <v>42674</v>
      </c>
      <c r="S1598" t="s">
        <v>42788</v>
      </c>
      <c r="T1598" t="s">
        <v>44363</v>
      </c>
      <c r="U1598" t="s">
        <v>46136</v>
      </c>
      <c r="W1598" t="s">
        <v>39372</v>
      </c>
      <c r="X1598" t="s">
        <v>42677</v>
      </c>
    </row>
    <row r="1599" spans="1:24">
      <c r="A1599">
        <f>HYPERLINK("https://www.philgeps.gov.ph/GEPSNONPILOT/Tender/SplashBidNoticeAbstractUI.aspx?menuIndex=3&amp;refID=7189014&amp;Result=3","7189014")</f>
        <v>0</v>
      </c>
      <c r="B1599" t="s">
        <v>54</v>
      </c>
      <c r="C1599" t="s">
        <v>5060</v>
      </c>
      <c r="D1599" t="s">
        <v>17162</v>
      </c>
      <c r="E1599" t="s">
        <v>18664</v>
      </c>
      <c r="F1599" t="s">
        <v>29372</v>
      </c>
      <c r="G1599" t="s">
        <v>29380</v>
      </c>
      <c r="H1599" t="s">
        <v>11048</v>
      </c>
      <c r="I1599" t="s">
        <v>4709</v>
      </c>
      <c r="J1599" t="s">
        <v>30693</v>
      </c>
      <c r="K1599" t="s">
        <v>38510</v>
      </c>
      <c r="M1599" t="s">
        <v>38807</v>
      </c>
      <c r="N1599" t="s">
        <v>42669</v>
      </c>
      <c r="O1599" t="s">
        <v>42670</v>
      </c>
      <c r="P1599">
        <v>0</v>
      </c>
      <c r="Q1599">
        <v>0</v>
      </c>
      <c r="R1599" t="s">
        <v>42674</v>
      </c>
      <c r="S1599" t="s">
        <v>42788</v>
      </c>
      <c r="T1599" t="s">
        <v>44470</v>
      </c>
      <c r="U1599" t="s">
        <v>46137</v>
      </c>
      <c r="W1599" t="s">
        <v>38807</v>
      </c>
      <c r="X1599" t="s">
        <v>42677</v>
      </c>
    </row>
    <row r="1600" spans="1:24">
      <c r="A1600">
        <f>HYPERLINK("https://www.philgeps.gov.ph/GEPSNONPILOT/Tender/SplashBidNoticeAbstractUI.aspx?menuIndex=3&amp;refID=7189734&amp;Result=3","7189734")</f>
        <v>0</v>
      </c>
      <c r="B1600" t="s">
        <v>602</v>
      </c>
      <c r="C1600" t="s">
        <v>4662</v>
      </c>
      <c r="D1600" t="s">
        <v>17189</v>
      </c>
      <c r="E1600" t="s">
        <v>18665</v>
      </c>
      <c r="F1600" t="s">
        <v>29375</v>
      </c>
      <c r="G1600" t="s">
        <v>29383</v>
      </c>
      <c r="H1600" t="s">
        <v>11048</v>
      </c>
      <c r="I1600" t="s">
        <v>5383</v>
      </c>
      <c r="J1600" t="s">
        <v>30694</v>
      </c>
      <c r="K1600" t="s">
        <v>38528</v>
      </c>
      <c r="M1600" t="s">
        <v>39373</v>
      </c>
      <c r="N1600" t="s">
        <v>42669</v>
      </c>
      <c r="O1600" t="s">
        <v>42670</v>
      </c>
      <c r="P1600">
        <v>0</v>
      </c>
      <c r="Q1600">
        <v>1</v>
      </c>
      <c r="R1600" t="s">
        <v>42674</v>
      </c>
      <c r="S1600" t="s">
        <v>42788</v>
      </c>
      <c r="T1600" t="s">
        <v>44534</v>
      </c>
      <c r="U1600" t="s">
        <v>46138</v>
      </c>
      <c r="W1600" t="s">
        <v>39373</v>
      </c>
      <c r="X1600" t="s">
        <v>42677</v>
      </c>
    </row>
    <row r="1601" spans="1:24">
      <c r="A1601">
        <f>HYPERLINK("https://www.philgeps.gov.ph/GEPSNONPILOT/Tender/SplashBidNoticeAbstractUI.aspx?menuIndex=3&amp;refID=7190052&amp;Result=3","7190052")</f>
        <v>0</v>
      </c>
      <c r="B1601" t="s">
        <v>603</v>
      </c>
      <c r="C1601" t="s">
        <v>5061</v>
      </c>
      <c r="D1601" t="s">
        <v>17160</v>
      </c>
      <c r="E1601" t="s">
        <v>18645</v>
      </c>
      <c r="F1601" t="s">
        <v>29372</v>
      </c>
      <c r="G1601" t="s">
        <v>29380</v>
      </c>
      <c r="H1601" t="s">
        <v>11048</v>
      </c>
      <c r="I1601" t="s">
        <v>29406</v>
      </c>
      <c r="J1601" t="s">
        <v>30695</v>
      </c>
      <c r="K1601" t="s">
        <v>38491</v>
      </c>
      <c r="M1601" t="s">
        <v>39374</v>
      </c>
      <c r="N1601" t="s">
        <v>42669</v>
      </c>
      <c r="O1601" t="s">
        <v>42670</v>
      </c>
      <c r="P1601">
        <v>0</v>
      </c>
      <c r="Q1601">
        <v>0</v>
      </c>
      <c r="R1601" t="s">
        <v>42674</v>
      </c>
      <c r="S1601" t="s">
        <v>42788</v>
      </c>
      <c r="T1601" t="s">
        <v>44430</v>
      </c>
      <c r="U1601" t="s">
        <v>46139</v>
      </c>
      <c r="W1601" t="s">
        <v>39374</v>
      </c>
      <c r="X1601" t="s">
        <v>42676</v>
      </c>
    </row>
    <row r="1602" spans="1:24">
      <c r="A1602">
        <f>HYPERLINK("https://www.philgeps.gov.ph/GEPSNONPILOT/Tender/SplashBidNoticeAbstractUI.aspx?menuIndex=3&amp;refID=7190076&amp;Result=3","7190076")</f>
        <v>0</v>
      </c>
      <c r="B1602" t="s">
        <v>604</v>
      </c>
      <c r="C1602" t="s">
        <v>4147</v>
      </c>
      <c r="D1602" t="s">
        <v>17158</v>
      </c>
      <c r="E1602" t="s">
        <v>17648</v>
      </c>
      <c r="F1602" t="s">
        <v>29372</v>
      </c>
      <c r="G1602" t="s">
        <v>29383</v>
      </c>
      <c r="H1602" t="s">
        <v>11048</v>
      </c>
      <c r="I1602" t="s">
        <v>3839</v>
      </c>
      <c r="J1602" t="s">
        <v>30445</v>
      </c>
      <c r="K1602" t="s">
        <v>38489</v>
      </c>
      <c r="M1602" t="s">
        <v>39375</v>
      </c>
      <c r="N1602" t="s">
        <v>42669</v>
      </c>
      <c r="O1602" t="s">
        <v>42670</v>
      </c>
      <c r="P1602">
        <v>0</v>
      </c>
      <c r="Q1602">
        <v>0</v>
      </c>
      <c r="R1602" t="s">
        <v>42674</v>
      </c>
      <c r="S1602" t="s">
        <v>42788</v>
      </c>
      <c r="T1602" t="s">
        <v>44432</v>
      </c>
      <c r="U1602" t="s">
        <v>46140</v>
      </c>
      <c r="W1602" t="s">
        <v>39375</v>
      </c>
      <c r="X1602" t="s">
        <v>42676</v>
      </c>
    </row>
    <row r="1603" spans="1:24">
      <c r="A1603">
        <f>HYPERLINK("https://www.philgeps.gov.ph/GEPSNONPILOT/Tender/SplashBidNoticeAbstractUI.aspx?menuIndex=3&amp;refID=7190069&amp;Result=3","7190069")</f>
        <v>0</v>
      </c>
      <c r="B1603" t="s">
        <v>605</v>
      </c>
      <c r="C1603" t="s">
        <v>5062</v>
      </c>
      <c r="D1603" t="s">
        <v>17177</v>
      </c>
      <c r="E1603" t="s">
        <v>18666</v>
      </c>
      <c r="F1603" t="s">
        <v>29372</v>
      </c>
      <c r="G1603" t="s">
        <v>29382</v>
      </c>
      <c r="H1603" t="s">
        <v>11048</v>
      </c>
      <c r="I1603" t="s">
        <v>3952</v>
      </c>
      <c r="J1603" t="s">
        <v>29685</v>
      </c>
      <c r="K1603" t="s">
        <v>38510</v>
      </c>
      <c r="M1603" t="s">
        <v>39376</v>
      </c>
      <c r="N1603" t="s">
        <v>42669</v>
      </c>
      <c r="O1603" t="s">
        <v>42670</v>
      </c>
      <c r="P1603">
        <v>0</v>
      </c>
      <c r="Q1603">
        <v>0</v>
      </c>
      <c r="R1603" t="s">
        <v>42674</v>
      </c>
      <c r="S1603" t="s">
        <v>42788</v>
      </c>
      <c r="T1603" t="s">
        <v>44493</v>
      </c>
      <c r="U1603" t="s">
        <v>46141</v>
      </c>
      <c r="W1603" t="s">
        <v>39376</v>
      </c>
      <c r="X1603" t="s">
        <v>42676</v>
      </c>
    </row>
    <row r="1604" spans="1:24">
      <c r="A1604">
        <f>HYPERLINK("https://www.philgeps.gov.ph/GEPSNONPILOT/Tender/SplashBidNoticeAbstractUI.aspx?menuIndex=3&amp;refID=7190064&amp;Result=3","7190064")</f>
        <v>0</v>
      </c>
      <c r="B1604" t="s">
        <v>606</v>
      </c>
      <c r="C1604" t="s">
        <v>5063</v>
      </c>
      <c r="D1604" t="s">
        <v>17170</v>
      </c>
      <c r="E1604" t="s">
        <v>18667</v>
      </c>
      <c r="F1604" t="s">
        <v>29372</v>
      </c>
      <c r="G1604" t="s">
        <v>29379</v>
      </c>
      <c r="H1604" t="s">
        <v>29390</v>
      </c>
      <c r="I1604" t="s">
        <v>29408</v>
      </c>
      <c r="J1604" t="s">
        <v>30224</v>
      </c>
      <c r="K1604" t="s">
        <v>38485</v>
      </c>
      <c r="M1604" t="s">
        <v>39377</v>
      </c>
      <c r="N1604" t="s">
        <v>42669</v>
      </c>
      <c r="O1604" t="s">
        <v>42670</v>
      </c>
      <c r="P1604">
        <v>0</v>
      </c>
      <c r="Q1604">
        <v>0</v>
      </c>
      <c r="R1604" t="s">
        <v>42674</v>
      </c>
      <c r="S1604" t="s">
        <v>42788</v>
      </c>
      <c r="T1604" t="s">
        <v>44481</v>
      </c>
      <c r="U1604" t="s">
        <v>46142</v>
      </c>
      <c r="W1604" t="s">
        <v>39377</v>
      </c>
      <c r="X1604" t="s">
        <v>42676</v>
      </c>
    </row>
    <row r="1605" spans="1:24">
      <c r="A1605">
        <f>HYPERLINK("https://www.philgeps.gov.ph/GEPSNONPILOT/Tender/SplashBidNoticeAbstractUI.aspx?menuIndex=3&amp;refID=7190035&amp;Result=3","7190035")</f>
        <v>0</v>
      </c>
      <c r="B1605" t="s">
        <v>594</v>
      </c>
      <c r="C1605" t="s">
        <v>5064</v>
      </c>
      <c r="E1605" t="s">
        <v>18668</v>
      </c>
      <c r="F1605" t="s">
        <v>29372</v>
      </c>
      <c r="G1605" t="s">
        <v>29383</v>
      </c>
      <c r="H1605" t="s">
        <v>11048</v>
      </c>
      <c r="I1605" t="s">
        <v>4709</v>
      </c>
      <c r="J1605" t="s">
        <v>30696</v>
      </c>
      <c r="K1605" t="s">
        <v>38490</v>
      </c>
      <c r="M1605" t="s">
        <v>39365</v>
      </c>
      <c r="N1605" t="s">
        <v>42669</v>
      </c>
      <c r="O1605" t="s">
        <v>42670</v>
      </c>
      <c r="P1605">
        <v>0</v>
      </c>
      <c r="Q1605">
        <v>1</v>
      </c>
      <c r="R1605" t="s">
        <v>42674</v>
      </c>
      <c r="S1605" t="s">
        <v>42788</v>
      </c>
      <c r="T1605" t="s">
        <v>44525</v>
      </c>
      <c r="U1605" t="s">
        <v>46143</v>
      </c>
      <c r="V1605" t="s">
        <v>56508</v>
      </c>
      <c r="W1605" t="s">
        <v>39365</v>
      </c>
      <c r="X1605" t="s">
        <v>42677</v>
      </c>
    </row>
    <row r="1606" spans="1:24">
      <c r="A1606">
        <f>HYPERLINK("https://www.philgeps.gov.ph/GEPSNONPILOT/Tender/SplashBidNoticeAbstractUI.aspx?menuIndex=3&amp;refID=7190061&amp;Result=3","7190061")</f>
        <v>0</v>
      </c>
      <c r="B1606" t="s">
        <v>607</v>
      </c>
      <c r="C1606" t="s">
        <v>5065</v>
      </c>
      <c r="D1606" t="s">
        <v>17205</v>
      </c>
      <c r="E1606" t="s">
        <v>17399</v>
      </c>
      <c r="F1606" t="s">
        <v>29372</v>
      </c>
      <c r="G1606" t="s">
        <v>29385</v>
      </c>
      <c r="H1606" t="s">
        <v>29390</v>
      </c>
      <c r="I1606" t="s">
        <v>3839</v>
      </c>
      <c r="J1606" t="s">
        <v>29526</v>
      </c>
      <c r="K1606" t="s">
        <v>38489</v>
      </c>
      <c r="M1606" t="s">
        <v>39378</v>
      </c>
      <c r="N1606" t="s">
        <v>42669</v>
      </c>
      <c r="O1606" t="s">
        <v>42670</v>
      </c>
      <c r="P1606">
        <v>0</v>
      </c>
      <c r="Q1606">
        <v>2</v>
      </c>
      <c r="R1606" t="s">
        <v>42674</v>
      </c>
      <c r="S1606" t="s">
        <v>42788</v>
      </c>
      <c r="T1606" t="s">
        <v>44468</v>
      </c>
      <c r="U1606" t="s">
        <v>46144</v>
      </c>
      <c r="W1606" t="s">
        <v>39378</v>
      </c>
      <c r="X1606" t="s">
        <v>42676</v>
      </c>
    </row>
    <row r="1607" spans="1:24">
      <c r="A1607">
        <f>HYPERLINK("https://www.philgeps.gov.ph/GEPSNONPILOT/Tender/SplashBidNoticeAbstractUI.aspx?menuIndex=3&amp;refID=7190063&amp;Result=3","7190063")</f>
        <v>0</v>
      </c>
      <c r="B1607" t="s">
        <v>255</v>
      </c>
      <c r="C1607" t="s">
        <v>5066</v>
      </c>
      <c r="E1607" t="s">
        <v>18669</v>
      </c>
      <c r="F1607" t="s">
        <v>29372</v>
      </c>
      <c r="G1607" t="s">
        <v>29382</v>
      </c>
      <c r="H1607" t="s">
        <v>11048</v>
      </c>
      <c r="I1607" t="s">
        <v>5383</v>
      </c>
      <c r="J1607" t="s">
        <v>29600</v>
      </c>
      <c r="K1607" t="s">
        <v>38490</v>
      </c>
      <c r="M1607" t="s">
        <v>39014</v>
      </c>
      <c r="N1607" t="s">
        <v>42669</v>
      </c>
      <c r="O1607" t="s">
        <v>42670</v>
      </c>
      <c r="P1607">
        <v>0</v>
      </c>
      <c r="Q1607">
        <v>3</v>
      </c>
      <c r="R1607" t="s">
        <v>42674</v>
      </c>
      <c r="S1607" t="s">
        <v>42788</v>
      </c>
      <c r="T1607" t="s">
        <v>44489</v>
      </c>
      <c r="U1607" t="s">
        <v>46126</v>
      </c>
      <c r="W1607" t="s">
        <v>39014</v>
      </c>
      <c r="X1607" t="s">
        <v>42676</v>
      </c>
    </row>
    <row r="1608" spans="1:24">
      <c r="A1608">
        <f>HYPERLINK("https://www.philgeps.gov.ph/GEPSNONPILOT/Tender/SplashBidNoticeAbstractUI.aspx?menuIndex=3&amp;refID=7190059&amp;Result=3","7190059")</f>
        <v>0</v>
      </c>
      <c r="B1608" t="s">
        <v>255</v>
      </c>
      <c r="C1608" t="s">
        <v>5067</v>
      </c>
      <c r="E1608" t="s">
        <v>18670</v>
      </c>
      <c r="F1608" t="s">
        <v>29372</v>
      </c>
      <c r="G1608" t="s">
        <v>29379</v>
      </c>
      <c r="H1608" t="s">
        <v>11048</v>
      </c>
      <c r="I1608" t="s">
        <v>29458</v>
      </c>
      <c r="J1608" t="s">
        <v>30697</v>
      </c>
      <c r="K1608" t="s">
        <v>38490</v>
      </c>
      <c r="M1608" t="s">
        <v>39014</v>
      </c>
      <c r="N1608" t="s">
        <v>42669</v>
      </c>
      <c r="O1608" t="s">
        <v>42670</v>
      </c>
      <c r="P1608">
        <v>0</v>
      </c>
      <c r="Q1608">
        <v>1</v>
      </c>
      <c r="R1608" t="s">
        <v>42674</v>
      </c>
      <c r="S1608" t="s">
        <v>42788</v>
      </c>
      <c r="T1608" t="s">
        <v>44489</v>
      </c>
      <c r="U1608" t="s">
        <v>46126</v>
      </c>
      <c r="W1608" t="s">
        <v>39014</v>
      </c>
      <c r="X1608" t="s">
        <v>42676</v>
      </c>
    </row>
    <row r="1609" spans="1:24">
      <c r="A1609">
        <f>HYPERLINK("https://www.philgeps.gov.ph/GEPSNONPILOT/Tender/SplashBidNoticeAbstractUI.aspx?menuIndex=3&amp;refID=7190053&amp;Result=3","7190053")</f>
        <v>0</v>
      </c>
      <c r="B1609" t="s">
        <v>608</v>
      </c>
      <c r="C1609" t="s">
        <v>5068</v>
      </c>
      <c r="D1609" t="s">
        <v>17189</v>
      </c>
      <c r="E1609" t="s">
        <v>18671</v>
      </c>
      <c r="F1609" t="s">
        <v>29372</v>
      </c>
      <c r="G1609" t="s">
        <v>29379</v>
      </c>
      <c r="H1609" t="s">
        <v>11048</v>
      </c>
      <c r="I1609" t="s">
        <v>4487</v>
      </c>
      <c r="J1609" t="s">
        <v>30698</v>
      </c>
      <c r="K1609" t="s">
        <v>38485</v>
      </c>
      <c r="M1609" t="s">
        <v>39379</v>
      </c>
      <c r="N1609" t="s">
        <v>42669</v>
      </c>
      <c r="O1609" t="s">
        <v>42670</v>
      </c>
      <c r="P1609">
        <v>0</v>
      </c>
      <c r="Q1609">
        <v>8</v>
      </c>
      <c r="R1609" t="s">
        <v>42674</v>
      </c>
      <c r="S1609" t="s">
        <v>42788</v>
      </c>
      <c r="T1609" t="s">
        <v>44371</v>
      </c>
      <c r="U1609" t="s">
        <v>46145</v>
      </c>
      <c r="W1609" t="s">
        <v>39379</v>
      </c>
      <c r="X1609" t="s">
        <v>42676</v>
      </c>
    </row>
    <row r="1610" spans="1:24">
      <c r="A1610">
        <f>HYPERLINK("https://www.philgeps.gov.ph/GEPSNONPILOT/Tender/SplashBidNoticeAbstractUI.aspx?menuIndex=3&amp;refID=7190062&amp;Result=3","7190062")</f>
        <v>0</v>
      </c>
      <c r="B1610" t="s">
        <v>609</v>
      </c>
      <c r="C1610" t="s">
        <v>4274</v>
      </c>
      <c r="D1610" t="s">
        <v>17174</v>
      </c>
      <c r="E1610" t="s">
        <v>17755</v>
      </c>
      <c r="F1610" t="s">
        <v>29372</v>
      </c>
      <c r="G1610" t="s">
        <v>29380</v>
      </c>
      <c r="H1610" t="s">
        <v>11048</v>
      </c>
      <c r="I1610" t="s">
        <v>4709</v>
      </c>
      <c r="J1610" t="s">
        <v>30699</v>
      </c>
      <c r="K1610" t="s">
        <v>38491</v>
      </c>
      <c r="L1610" t="s">
        <v>609</v>
      </c>
      <c r="M1610" t="s">
        <v>39380</v>
      </c>
      <c r="N1610" t="s">
        <v>42669</v>
      </c>
      <c r="O1610" t="s">
        <v>42670</v>
      </c>
      <c r="P1610">
        <v>0</v>
      </c>
      <c r="Q1610">
        <v>0</v>
      </c>
      <c r="R1610" t="s">
        <v>42674</v>
      </c>
      <c r="S1610" t="s">
        <v>42788</v>
      </c>
      <c r="T1610" t="s">
        <v>44525</v>
      </c>
      <c r="U1610" t="s">
        <v>46146</v>
      </c>
      <c r="W1610" t="s">
        <v>39380</v>
      </c>
      <c r="X1610" t="s">
        <v>42676</v>
      </c>
    </row>
    <row r="1611" spans="1:24">
      <c r="A1611">
        <f>HYPERLINK("https://www.philgeps.gov.ph/GEPSNONPILOT/Tender/SplashBidNoticeAbstractUI.aspx?menuIndex=3&amp;refID=7190060&amp;Result=3","7190060")</f>
        <v>0</v>
      </c>
      <c r="B1611" t="s">
        <v>610</v>
      </c>
      <c r="C1611" t="s">
        <v>5069</v>
      </c>
      <c r="E1611" t="s">
        <v>18672</v>
      </c>
      <c r="F1611" t="s">
        <v>29372</v>
      </c>
      <c r="G1611" t="s">
        <v>29380</v>
      </c>
      <c r="H1611" t="s">
        <v>11048</v>
      </c>
      <c r="I1611" t="s">
        <v>10408</v>
      </c>
      <c r="J1611" t="s">
        <v>30700</v>
      </c>
      <c r="K1611" t="s">
        <v>38490</v>
      </c>
      <c r="M1611" t="s">
        <v>39381</v>
      </c>
      <c r="N1611" t="s">
        <v>42669</v>
      </c>
      <c r="O1611" t="s">
        <v>42670</v>
      </c>
      <c r="P1611">
        <v>0</v>
      </c>
      <c r="Q1611">
        <v>0</v>
      </c>
      <c r="R1611" t="s">
        <v>42674</v>
      </c>
      <c r="S1611" t="s">
        <v>42788</v>
      </c>
      <c r="T1611" t="s">
        <v>44527</v>
      </c>
      <c r="U1611" t="s">
        <v>45566</v>
      </c>
      <c r="V1611" t="s">
        <v>56509</v>
      </c>
      <c r="W1611" t="s">
        <v>39381</v>
      </c>
      <c r="X1611" t="s">
        <v>42676</v>
      </c>
    </row>
    <row r="1612" spans="1:24">
      <c r="A1612">
        <f>HYPERLINK("https://www.philgeps.gov.ph/GEPSNONPILOT/Tender/SplashBidNoticeAbstractUI.aspx?menuIndex=3&amp;refID=7190083&amp;Result=3","7190083")</f>
        <v>0</v>
      </c>
      <c r="B1612" t="s">
        <v>611</v>
      </c>
      <c r="C1612" t="s">
        <v>5070</v>
      </c>
      <c r="D1612" t="s">
        <v>17202</v>
      </c>
      <c r="E1612" t="s">
        <v>18673</v>
      </c>
      <c r="F1612" t="s">
        <v>29372</v>
      </c>
      <c r="G1612" t="s">
        <v>29380</v>
      </c>
      <c r="H1612" t="s">
        <v>11048</v>
      </c>
      <c r="I1612" t="s">
        <v>4709</v>
      </c>
      <c r="J1612" t="s">
        <v>30701</v>
      </c>
      <c r="K1612" t="s">
        <v>38489</v>
      </c>
      <c r="M1612" t="s">
        <v>39382</v>
      </c>
      <c r="N1612" t="s">
        <v>42669</v>
      </c>
      <c r="O1612" t="s">
        <v>42670</v>
      </c>
      <c r="P1612">
        <v>0</v>
      </c>
      <c r="Q1612">
        <v>0</v>
      </c>
      <c r="R1612" t="s">
        <v>42674</v>
      </c>
      <c r="S1612" t="s">
        <v>42788</v>
      </c>
      <c r="T1612" t="s">
        <v>44480</v>
      </c>
      <c r="U1612" t="s">
        <v>46147</v>
      </c>
      <c r="W1612" t="s">
        <v>39382</v>
      </c>
      <c r="X1612" t="s">
        <v>42676</v>
      </c>
    </row>
    <row r="1613" spans="1:24">
      <c r="A1613">
        <f>HYPERLINK("https://www.philgeps.gov.ph/GEPSNONPILOT/Tender/SplashBidNoticeAbstractUI.aspx?menuIndex=3&amp;refID=7190082&amp;Result=3","7190082")</f>
        <v>0</v>
      </c>
      <c r="B1613" t="s">
        <v>243</v>
      </c>
      <c r="C1613" t="s">
        <v>5071</v>
      </c>
      <c r="D1613" t="s">
        <v>17145</v>
      </c>
      <c r="E1613" t="s">
        <v>18674</v>
      </c>
      <c r="F1613" t="s">
        <v>29372</v>
      </c>
      <c r="G1613" t="s">
        <v>29383</v>
      </c>
      <c r="H1613" t="s">
        <v>11048</v>
      </c>
      <c r="I1613" t="s">
        <v>29407</v>
      </c>
      <c r="J1613" t="s">
        <v>30702</v>
      </c>
      <c r="K1613" t="s">
        <v>38489</v>
      </c>
      <c r="M1613" t="s">
        <v>39002</v>
      </c>
      <c r="N1613" t="s">
        <v>42669</v>
      </c>
      <c r="O1613" t="s">
        <v>42670</v>
      </c>
      <c r="P1613">
        <v>0</v>
      </c>
      <c r="Q1613">
        <v>2</v>
      </c>
      <c r="R1613" t="s">
        <v>42674</v>
      </c>
      <c r="S1613" t="s">
        <v>42788</v>
      </c>
      <c r="T1613" t="s">
        <v>44488</v>
      </c>
      <c r="U1613" t="s">
        <v>46148</v>
      </c>
      <c r="W1613" t="s">
        <v>39002</v>
      </c>
      <c r="X1613" t="s">
        <v>42676</v>
      </c>
    </row>
    <row r="1614" spans="1:24">
      <c r="A1614">
        <f>HYPERLINK("https://www.philgeps.gov.ph/GEPSNONPILOT/Tender/SplashBidNoticeAbstractUI.aspx?menuIndex=3&amp;refID=7190075&amp;Result=3","7190075")</f>
        <v>0</v>
      </c>
      <c r="B1614" t="s">
        <v>605</v>
      </c>
      <c r="C1614" t="s">
        <v>5072</v>
      </c>
      <c r="D1614" t="s">
        <v>17177</v>
      </c>
      <c r="E1614" t="s">
        <v>18675</v>
      </c>
      <c r="F1614" t="s">
        <v>29372</v>
      </c>
      <c r="G1614" t="s">
        <v>29385</v>
      </c>
      <c r="H1614" t="s">
        <v>11048</v>
      </c>
      <c r="I1614" t="s">
        <v>3839</v>
      </c>
      <c r="J1614" t="s">
        <v>30703</v>
      </c>
      <c r="K1614" t="s">
        <v>38510</v>
      </c>
      <c r="M1614" t="s">
        <v>39376</v>
      </c>
      <c r="N1614" t="s">
        <v>42669</v>
      </c>
      <c r="O1614" t="s">
        <v>42670</v>
      </c>
      <c r="P1614">
        <v>0</v>
      </c>
      <c r="Q1614">
        <v>0</v>
      </c>
      <c r="R1614" t="s">
        <v>42674</v>
      </c>
      <c r="S1614" t="s">
        <v>42788</v>
      </c>
      <c r="T1614" t="s">
        <v>44493</v>
      </c>
      <c r="U1614" t="s">
        <v>46141</v>
      </c>
      <c r="W1614" t="s">
        <v>39376</v>
      </c>
      <c r="X1614" t="s">
        <v>42676</v>
      </c>
    </row>
    <row r="1615" spans="1:24">
      <c r="A1615">
        <f>HYPERLINK("https://www.philgeps.gov.ph/GEPSNONPILOT/Tender/SplashBidNoticeAbstractUI.aspx?menuIndex=3&amp;refID=7190057&amp;Result=3","7190057")</f>
        <v>0</v>
      </c>
      <c r="B1615" t="s">
        <v>612</v>
      </c>
      <c r="C1615" t="s">
        <v>5073</v>
      </c>
      <c r="D1615" t="s">
        <v>17205</v>
      </c>
      <c r="E1615" t="s">
        <v>17965</v>
      </c>
      <c r="F1615" t="s">
        <v>29372</v>
      </c>
      <c r="G1615" t="s">
        <v>29380</v>
      </c>
      <c r="H1615" t="s">
        <v>11048</v>
      </c>
      <c r="I1615" t="s">
        <v>4709</v>
      </c>
      <c r="J1615" t="s">
        <v>30704</v>
      </c>
      <c r="K1615" t="s">
        <v>38491</v>
      </c>
      <c r="M1615" t="s">
        <v>39383</v>
      </c>
      <c r="N1615" t="s">
        <v>42669</v>
      </c>
      <c r="O1615" t="s">
        <v>42670</v>
      </c>
      <c r="P1615">
        <v>0</v>
      </c>
      <c r="Q1615">
        <v>1</v>
      </c>
      <c r="R1615" t="s">
        <v>42674</v>
      </c>
      <c r="S1615" t="s">
        <v>42788</v>
      </c>
      <c r="T1615" t="s">
        <v>44456</v>
      </c>
      <c r="U1615" t="s">
        <v>46149</v>
      </c>
      <c r="W1615" t="s">
        <v>39383</v>
      </c>
      <c r="X1615" t="s">
        <v>42676</v>
      </c>
    </row>
    <row r="1616" spans="1:24">
      <c r="A1616">
        <f>HYPERLINK("https://www.philgeps.gov.ph/GEPSNONPILOT/Tender/SplashBidNoticeAbstractUI.aspx?menuIndex=3&amp;refID=7190088&amp;Result=3","7190088")</f>
        <v>0</v>
      </c>
      <c r="B1616" t="s">
        <v>613</v>
      </c>
      <c r="C1616" t="s">
        <v>5074</v>
      </c>
      <c r="D1616" t="s">
        <v>17205</v>
      </c>
      <c r="E1616" t="s">
        <v>18676</v>
      </c>
      <c r="F1616" t="s">
        <v>29372</v>
      </c>
      <c r="G1616" t="s">
        <v>29379</v>
      </c>
      <c r="H1616" t="s">
        <v>11048</v>
      </c>
      <c r="I1616" t="s">
        <v>3695</v>
      </c>
      <c r="J1616" t="s">
        <v>30705</v>
      </c>
      <c r="K1616" t="s">
        <v>38490</v>
      </c>
      <c r="M1616" t="s">
        <v>39384</v>
      </c>
      <c r="N1616" t="s">
        <v>42669</v>
      </c>
      <c r="O1616" t="s">
        <v>42670</v>
      </c>
      <c r="P1616">
        <v>0</v>
      </c>
      <c r="Q1616">
        <v>4</v>
      </c>
      <c r="R1616" t="s">
        <v>42674</v>
      </c>
      <c r="S1616" t="s">
        <v>42788</v>
      </c>
      <c r="T1616" t="s">
        <v>44417</v>
      </c>
      <c r="U1616" t="s">
        <v>46150</v>
      </c>
      <c r="V1616" t="s">
        <v>56510</v>
      </c>
      <c r="W1616" t="s">
        <v>39384</v>
      </c>
      <c r="X1616" t="s">
        <v>42676</v>
      </c>
    </row>
    <row r="1617" spans="1:24">
      <c r="A1617">
        <f>HYPERLINK("https://www.philgeps.gov.ph/GEPSNONPILOT/Tender/SplashBidNoticeAbstractUI.aspx?menuIndex=3&amp;refID=7190101&amp;Result=3","7190101")</f>
        <v>0</v>
      </c>
      <c r="B1617" t="s">
        <v>613</v>
      </c>
      <c r="C1617" t="s">
        <v>5075</v>
      </c>
      <c r="D1617" t="s">
        <v>17205</v>
      </c>
      <c r="E1617" t="s">
        <v>18677</v>
      </c>
      <c r="F1617" t="s">
        <v>29372</v>
      </c>
      <c r="G1617" t="s">
        <v>29379</v>
      </c>
      <c r="H1617" t="s">
        <v>11048</v>
      </c>
      <c r="I1617" t="s">
        <v>29407</v>
      </c>
      <c r="J1617" t="s">
        <v>30706</v>
      </c>
      <c r="K1617" t="s">
        <v>38490</v>
      </c>
      <c r="M1617" t="s">
        <v>39384</v>
      </c>
      <c r="N1617" t="s">
        <v>42669</v>
      </c>
      <c r="O1617" t="s">
        <v>42670</v>
      </c>
      <c r="P1617">
        <v>0</v>
      </c>
      <c r="Q1617">
        <v>3</v>
      </c>
      <c r="R1617" t="s">
        <v>42674</v>
      </c>
      <c r="S1617" t="s">
        <v>42788</v>
      </c>
      <c r="T1617" t="s">
        <v>44417</v>
      </c>
      <c r="U1617" t="s">
        <v>46150</v>
      </c>
      <c r="V1617" t="s">
        <v>56511</v>
      </c>
      <c r="W1617" t="s">
        <v>39384</v>
      </c>
      <c r="X1617" t="s">
        <v>42676</v>
      </c>
    </row>
    <row r="1618" spans="1:24">
      <c r="A1618">
        <f>HYPERLINK("https://www.philgeps.gov.ph/GEPSNONPILOT/Tender/SplashBidNoticeAbstractUI.aspx?menuIndex=3&amp;refID=7190094&amp;Result=3","7190094")</f>
        <v>0</v>
      </c>
      <c r="B1618" t="s">
        <v>605</v>
      </c>
      <c r="C1618" t="s">
        <v>5076</v>
      </c>
      <c r="D1618" t="s">
        <v>17177</v>
      </c>
      <c r="E1618" t="s">
        <v>18678</v>
      </c>
      <c r="F1618" t="s">
        <v>29372</v>
      </c>
      <c r="G1618" t="s">
        <v>29382</v>
      </c>
      <c r="H1618" t="s">
        <v>11048</v>
      </c>
      <c r="I1618" t="s">
        <v>3839</v>
      </c>
      <c r="J1618" t="s">
        <v>30707</v>
      </c>
      <c r="K1618" t="s">
        <v>38510</v>
      </c>
      <c r="M1618" t="s">
        <v>39376</v>
      </c>
      <c r="N1618" t="s">
        <v>42669</v>
      </c>
      <c r="O1618" t="s">
        <v>42670</v>
      </c>
      <c r="P1618">
        <v>0</v>
      </c>
      <c r="Q1618">
        <v>0</v>
      </c>
      <c r="R1618" t="s">
        <v>42674</v>
      </c>
      <c r="S1618" t="s">
        <v>42788</v>
      </c>
      <c r="T1618" t="s">
        <v>44493</v>
      </c>
      <c r="U1618" t="s">
        <v>46141</v>
      </c>
      <c r="W1618" t="s">
        <v>39376</v>
      </c>
      <c r="X1618" t="s">
        <v>42676</v>
      </c>
    </row>
    <row r="1619" spans="1:24">
      <c r="A1619">
        <f>HYPERLINK("https://www.philgeps.gov.ph/GEPSNONPILOT/Tender/SplashBidNoticeAbstractUI.aspx?menuIndex=3&amp;refID=7190084&amp;Result=3","7190084")</f>
        <v>0</v>
      </c>
      <c r="B1619" t="s">
        <v>605</v>
      </c>
      <c r="C1619" t="s">
        <v>5077</v>
      </c>
      <c r="D1619" t="s">
        <v>17177</v>
      </c>
      <c r="E1619" t="s">
        <v>18679</v>
      </c>
      <c r="F1619" t="s">
        <v>29372</v>
      </c>
      <c r="G1619" t="s">
        <v>29382</v>
      </c>
      <c r="H1619" t="s">
        <v>11048</v>
      </c>
      <c r="I1619" t="s">
        <v>3839</v>
      </c>
      <c r="J1619" t="s">
        <v>29685</v>
      </c>
      <c r="K1619" t="s">
        <v>38510</v>
      </c>
      <c r="M1619" t="s">
        <v>39376</v>
      </c>
      <c r="N1619" t="s">
        <v>42669</v>
      </c>
      <c r="O1619" t="s">
        <v>42670</v>
      </c>
      <c r="P1619">
        <v>0</v>
      </c>
      <c r="Q1619">
        <v>0</v>
      </c>
      <c r="R1619" t="s">
        <v>42674</v>
      </c>
      <c r="S1619" t="s">
        <v>42788</v>
      </c>
      <c r="T1619" t="s">
        <v>44493</v>
      </c>
      <c r="U1619" t="s">
        <v>46141</v>
      </c>
      <c r="W1619" t="s">
        <v>39376</v>
      </c>
      <c r="X1619" t="s">
        <v>42676</v>
      </c>
    </row>
    <row r="1620" spans="1:24">
      <c r="A1620">
        <f>HYPERLINK("https://www.philgeps.gov.ph/GEPSNONPILOT/Tender/SplashBidNoticeAbstractUI.aspx?menuIndex=3&amp;refID=7190123&amp;Result=3","7190123")</f>
        <v>0</v>
      </c>
      <c r="B1620" t="s">
        <v>614</v>
      </c>
      <c r="C1620" t="s">
        <v>5078</v>
      </c>
      <c r="D1620" t="s">
        <v>17202</v>
      </c>
      <c r="E1620" t="s">
        <v>18680</v>
      </c>
      <c r="F1620" t="s">
        <v>29372</v>
      </c>
      <c r="G1620" t="s">
        <v>29383</v>
      </c>
      <c r="H1620" t="s">
        <v>29389</v>
      </c>
      <c r="I1620" t="s">
        <v>29396</v>
      </c>
      <c r="J1620" t="s">
        <v>29625</v>
      </c>
      <c r="K1620" t="s">
        <v>38491</v>
      </c>
      <c r="M1620" t="s">
        <v>39385</v>
      </c>
      <c r="N1620" t="s">
        <v>42669</v>
      </c>
      <c r="O1620" t="s">
        <v>42670</v>
      </c>
      <c r="P1620">
        <v>0</v>
      </c>
      <c r="Q1620">
        <v>1</v>
      </c>
      <c r="R1620" t="s">
        <v>42674</v>
      </c>
      <c r="S1620" t="s">
        <v>42788</v>
      </c>
      <c r="T1620" t="s">
        <v>44432</v>
      </c>
      <c r="U1620" t="s">
        <v>46151</v>
      </c>
      <c r="W1620" t="s">
        <v>39385</v>
      </c>
      <c r="X1620" t="s">
        <v>42676</v>
      </c>
    </row>
    <row r="1621" spans="1:24">
      <c r="A1621">
        <f>HYPERLINK("https://www.philgeps.gov.ph/GEPSNONPILOT/Tender/SplashBidNoticeAbstractUI.aspx?menuIndex=3&amp;refID=7190137&amp;Result=3","7190137")</f>
        <v>0</v>
      </c>
      <c r="B1621" t="s">
        <v>615</v>
      </c>
      <c r="C1621" t="s">
        <v>5079</v>
      </c>
      <c r="D1621" t="s">
        <v>17202</v>
      </c>
      <c r="E1621" t="s">
        <v>18681</v>
      </c>
      <c r="F1621" t="s">
        <v>29372</v>
      </c>
      <c r="G1621" t="s">
        <v>29382</v>
      </c>
      <c r="H1621" t="s">
        <v>11048</v>
      </c>
      <c r="I1621" t="s">
        <v>5383</v>
      </c>
      <c r="J1621" t="s">
        <v>30708</v>
      </c>
      <c r="K1621" t="s">
        <v>38528</v>
      </c>
      <c r="M1621" t="s">
        <v>39386</v>
      </c>
      <c r="N1621" t="s">
        <v>42669</v>
      </c>
      <c r="O1621" t="s">
        <v>42670</v>
      </c>
      <c r="P1621">
        <v>0</v>
      </c>
      <c r="Q1621">
        <v>0</v>
      </c>
      <c r="R1621" t="s">
        <v>42674</v>
      </c>
      <c r="S1621" t="s">
        <v>42788</v>
      </c>
      <c r="T1621" t="s">
        <v>44469</v>
      </c>
      <c r="U1621" t="s">
        <v>46152</v>
      </c>
      <c r="W1621" t="s">
        <v>39386</v>
      </c>
      <c r="X1621" t="s">
        <v>42676</v>
      </c>
    </row>
    <row r="1622" spans="1:24">
      <c r="A1622">
        <f>HYPERLINK("https://www.philgeps.gov.ph/GEPSNONPILOT/Tender/SplashBidNoticeAbstractUI.aspx?menuIndex=3&amp;refID=7190100&amp;Result=3","7190100")</f>
        <v>0</v>
      </c>
      <c r="B1622" t="s">
        <v>616</v>
      </c>
      <c r="C1622" t="s">
        <v>5080</v>
      </c>
      <c r="D1622" t="s">
        <v>17204</v>
      </c>
      <c r="E1622" t="s">
        <v>18682</v>
      </c>
      <c r="F1622" t="s">
        <v>29372</v>
      </c>
      <c r="G1622" t="s">
        <v>29379</v>
      </c>
      <c r="H1622" t="s">
        <v>11048</v>
      </c>
      <c r="I1622" t="s">
        <v>29425</v>
      </c>
      <c r="J1622" t="s">
        <v>30709</v>
      </c>
      <c r="K1622" t="s">
        <v>38488</v>
      </c>
      <c r="M1622" t="s">
        <v>39387</v>
      </c>
      <c r="N1622" t="s">
        <v>42669</v>
      </c>
      <c r="O1622" t="s">
        <v>42670</v>
      </c>
      <c r="P1622">
        <v>0</v>
      </c>
      <c r="Q1622">
        <v>1</v>
      </c>
      <c r="R1622" t="s">
        <v>42674</v>
      </c>
      <c r="S1622" t="s">
        <v>42788</v>
      </c>
      <c r="T1622" t="s">
        <v>44429</v>
      </c>
      <c r="U1622" t="s">
        <v>46153</v>
      </c>
      <c r="V1622" t="s">
        <v>56512</v>
      </c>
      <c r="W1622" t="s">
        <v>39387</v>
      </c>
      <c r="X1622" t="s">
        <v>42676</v>
      </c>
    </row>
    <row r="1623" spans="1:24">
      <c r="A1623">
        <f>HYPERLINK("https://www.philgeps.gov.ph/GEPSNONPILOT/Tender/SplashBidNoticeAbstractUI.aspx?menuIndex=3&amp;refID=7190124&amp;Result=3","7190124")</f>
        <v>0</v>
      </c>
      <c r="B1623" t="s">
        <v>617</v>
      </c>
      <c r="C1623" t="s">
        <v>5081</v>
      </c>
      <c r="D1623" t="s">
        <v>17215</v>
      </c>
      <c r="E1623" t="s">
        <v>18683</v>
      </c>
      <c r="F1623" t="s">
        <v>29372</v>
      </c>
      <c r="G1623" t="s">
        <v>29380</v>
      </c>
      <c r="H1623" t="s">
        <v>11048</v>
      </c>
      <c r="I1623" t="s">
        <v>29394</v>
      </c>
      <c r="J1623" t="s">
        <v>30169</v>
      </c>
      <c r="K1623" t="s">
        <v>38485</v>
      </c>
      <c r="M1623" t="s">
        <v>39388</v>
      </c>
      <c r="N1623" t="s">
        <v>42669</v>
      </c>
      <c r="O1623" t="s">
        <v>42670</v>
      </c>
      <c r="P1623">
        <v>0</v>
      </c>
      <c r="Q1623">
        <v>1</v>
      </c>
      <c r="R1623" t="s">
        <v>42674</v>
      </c>
      <c r="S1623" t="s">
        <v>42788</v>
      </c>
      <c r="T1623" t="s">
        <v>44543</v>
      </c>
      <c r="U1623" t="s">
        <v>46154</v>
      </c>
      <c r="V1623" t="s">
        <v>56513</v>
      </c>
      <c r="W1623" t="s">
        <v>39388</v>
      </c>
      <c r="X1623" t="s">
        <v>42676</v>
      </c>
    </row>
    <row r="1624" spans="1:24">
      <c r="A1624">
        <f>HYPERLINK("https://www.philgeps.gov.ph/GEPSNONPILOT/Tender/SplashBidNoticeAbstractUI.aspx?menuIndex=3&amp;refID=7190128&amp;Result=3","7190128")</f>
        <v>0</v>
      </c>
      <c r="B1624" t="s">
        <v>618</v>
      </c>
      <c r="C1624" t="s">
        <v>5082</v>
      </c>
      <c r="D1624" t="s">
        <v>17183</v>
      </c>
      <c r="E1624" t="s">
        <v>18684</v>
      </c>
      <c r="F1624" t="s">
        <v>29372</v>
      </c>
      <c r="G1624" t="s">
        <v>29380</v>
      </c>
      <c r="H1624" t="s">
        <v>11048</v>
      </c>
      <c r="I1624" t="s">
        <v>3839</v>
      </c>
      <c r="J1624" t="s">
        <v>30710</v>
      </c>
      <c r="K1624" t="s">
        <v>38490</v>
      </c>
      <c r="M1624" t="s">
        <v>39389</v>
      </c>
      <c r="N1624" t="s">
        <v>42669</v>
      </c>
      <c r="O1624" t="s">
        <v>42670</v>
      </c>
      <c r="P1624">
        <v>0</v>
      </c>
      <c r="Q1624">
        <v>3</v>
      </c>
      <c r="R1624" t="s">
        <v>42674</v>
      </c>
      <c r="S1624" t="s">
        <v>42788</v>
      </c>
      <c r="T1624" t="s">
        <v>44525</v>
      </c>
      <c r="U1624" t="s">
        <v>46155</v>
      </c>
      <c r="W1624" t="s">
        <v>39389</v>
      </c>
      <c r="X1624" t="s">
        <v>42676</v>
      </c>
    </row>
    <row r="1625" spans="1:24">
      <c r="A1625">
        <f>HYPERLINK("https://www.philgeps.gov.ph/GEPSNONPILOT/Tender/SplashBidNoticeAbstractUI.aspx?menuIndex=3&amp;refID=7190130&amp;Result=3","7190130")</f>
        <v>0</v>
      </c>
      <c r="B1625" t="s">
        <v>619</v>
      </c>
      <c r="C1625" t="s">
        <v>5083</v>
      </c>
      <c r="E1625" t="s">
        <v>18685</v>
      </c>
      <c r="F1625" t="s">
        <v>29372</v>
      </c>
      <c r="G1625" t="s">
        <v>29380</v>
      </c>
      <c r="H1625" t="s">
        <v>29389</v>
      </c>
      <c r="I1625" t="s">
        <v>29408</v>
      </c>
      <c r="J1625" t="s">
        <v>30711</v>
      </c>
      <c r="K1625" t="s">
        <v>38564</v>
      </c>
      <c r="M1625" t="s">
        <v>39390</v>
      </c>
      <c r="N1625" t="s">
        <v>42669</v>
      </c>
      <c r="O1625" t="s">
        <v>42670</v>
      </c>
      <c r="P1625">
        <v>0</v>
      </c>
      <c r="Q1625">
        <v>0</v>
      </c>
      <c r="R1625" t="s">
        <v>42674</v>
      </c>
      <c r="S1625" t="s">
        <v>42788</v>
      </c>
      <c r="T1625" t="s">
        <v>44379</v>
      </c>
      <c r="U1625" t="s">
        <v>46156</v>
      </c>
      <c r="W1625" t="s">
        <v>39390</v>
      </c>
      <c r="X1625" t="s">
        <v>42676</v>
      </c>
    </row>
    <row r="1626" spans="1:24">
      <c r="A1626">
        <f>HYPERLINK("https://www.philgeps.gov.ph/GEPSNONPILOT/Tender/SplashBidNoticeAbstractUI.aspx?menuIndex=3&amp;refID=7190127&amp;Result=3","7190127")</f>
        <v>0</v>
      </c>
      <c r="B1626" t="s">
        <v>620</v>
      </c>
      <c r="C1626" t="s">
        <v>5084</v>
      </c>
      <c r="D1626" t="s">
        <v>17189</v>
      </c>
      <c r="E1626" t="s">
        <v>18686</v>
      </c>
      <c r="F1626" t="s">
        <v>29372</v>
      </c>
      <c r="G1626" t="s">
        <v>29380</v>
      </c>
      <c r="H1626" t="s">
        <v>11048</v>
      </c>
      <c r="I1626" t="s">
        <v>4709</v>
      </c>
      <c r="J1626" t="s">
        <v>29657</v>
      </c>
      <c r="K1626" t="s">
        <v>38488</v>
      </c>
      <c r="M1626" t="s">
        <v>39391</v>
      </c>
      <c r="N1626" t="s">
        <v>42669</v>
      </c>
      <c r="O1626" t="s">
        <v>42670</v>
      </c>
      <c r="P1626">
        <v>0</v>
      </c>
      <c r="Q1626">
        <v>0</v>
      </c>
      <c r="R1626" t="s">
        <v>42674</v>
      </c>
      <c r="S1626" t="s">
        <v>42788</v>
      </c>
      <c r="T1626" t="s">
        <v>44527</v>
      </c>
      <c r="U1626" t="s">
        <v>46157</v>
      </c>
      <c r="W1626" t="s">
        <v>39391</v>
      </c>
      <c r="X1626" t="s">
        <v>42676</v>
      </c>
    </row>
    <row r="1627" spans="1:24">
      <c r="A1627">
        <f>HYPERLINK("https://www.philgeps.gov.ph/GEPSNONPILOT/Tender/SplashBidNoticeAbstractUI.aspx?menuIndex=3&amp;refID=7190115&amp;Result=3","7190115")</f>
        <v>0</v>
      </c>
      <c r="B1627" t="s">
        <v>613</v>
      </c>
      <c r="C1627" t="s">
        <v>5085</v>
      </c>
      <c r="D1627" t="s">
        <v>17205</v>
      </c>
      <c r="E1627" t="s">
        <v>18687</v>
      </c>
      <c r="F1627" t="s">
        <v>29372</v>
      </c>
      <c r="G1627" t="s">
        <v>29379</v>
      </c>
      <c r="H1627" t="s">
        <v>11048</v>
      </c>
      <c r="I1627" t="s">
        <v>29400</v>
      </c>
      <c r="J1627" t="s">
        <v>29823</v>
      </c>
      <c r="K1627" t="s">
        <v>38490</v>
      </c>
      <c r="M1627" t="s">
        <v>39384</v>
      </c>
      <c r="N1627" t="s">
        <v>42669</v>
      </c>
      <c r="O1627" t="s">
        <v>42670</v>
      </c>
      <c r="P1627">
        <v>0</v>
      </c>
      <c r="Q1627">
        <v>7</v>
      </c>
      <c r="R1627" t="s">
        <v>42674</v>
      </c>
      <c r="S1627" t="s">
        <v>42788</v>
      </c>
      <c r="T1627" t="s">
        <v>44417</v>
      </c>
      <c r="U1627" t="s">
        <v>46150</v>
      </c>
      <c r="V1627" t="s">
        <v>56514</v>
      </c>
      <c r="W1627" t="s">
        <v>39384</v>
      </c>
      <c r="X1627" t="s">
        <v>42676</v>
      </c>
    </row>
    <row r="1628" spans="1:24">
      <c r="A1628">
        <f>HYPERLINK("https://www.philgeps.gov.ph/GEPSNONPILOT/Tender/SplashBidNoticeAbstractUI.aspx?menuIndex=3&amp;refID=7190056&amp;Result=3","7190056")</f>
        <v>0</v>
      </c>
      <c r="B1628" t="s">
        <v>621</v>
      </c>
      <c r="C1628" t="s">
        <v>5086</v>
      </c>
      <c r="D1628" t="s">
        <v>17175</v>
      </c>
      <c r="E1628" t="s">
        <v>5086</v>
      </c>
      <c r="F1628" t="s">
        <v>29372</v>
      </c>
      <c r="G1628" t="s">
        <v>29380</v>
      </c>
      <c r="H1628" t="s">
        <v>11048</v>
      </c>
      <c r="I1628" t="s">
        <v>29398</v>
      </c>
      <c r="J1628" t="s">
        <v>30712</v>
      </c>
      <c r="K1628" t="s">
        <v>38510</v>
      </c>
      <c r="M1628" t="s">
        <v>39392</v>
      </c>
      <c r="N1628" t="s">
        <v>42669</v>
      </c>
      <c r="O1628" t="s">
        <v>42670</v>
      </c>
      <c r="P1628">
        <v>0</v>
      </c>
      <c r="Q1628">
        <v>0</v>
      </c>
      <c r="R1628" t="s">
        <v>42674</v>
      </c>
      <c r="S1628" t="s">
        <v>42788</v>
      </c>
      <c r="T1628" t="s">
        <v>44430</v>
      </c>
      <c r="U1628" t="s">
        <v>46158</v>
      </c>
      <c r="V1628" t="s">
        <v>56515</v>
      </c>
      <c r="W1628" t="s">
        <v>39392</v>
      </c>
      <c r="X1628" t="s">
        <v>42676</v>
      </c>
    </row>
    <row r="1629" spans="1:24">
      <c r="A1629">
        <f>HYPERLINK("https://www.philgeps.gov.ph/GEPSNONPILOT/Tender/SplashBidNoticeAbstractUI.aspx?menuIndex=3&amp;refID=7190114&amp;Result=3","7190114")</f>
        <v>0</v>
      </c>
      <c r="B1629" t="s">
        <v>622</v>
      </c>
      <c r="C1629" t="s">
        <v>5087</v>
      </c>
      <c r="D1629" t="s">
        <v>17147</v>
      </c>
      <c r="E1629" t="s">
        <v>18688</v>
      </c>
      <c r="F1629" t="s">
        <v>29372</v>
      </c>
      <c r="G1629" t="s">
        <v>29379</v>
      </c>
      <c r="H1629" t="s">
        <v>11048</v>
      </c>
      <c r="I1629" t="s">
        <v>14920</v>
      </c>
      <c r="J1629" t="s">
        <v>30713</v>
      </c>
      <c r="K1629" t="s">
        <v>38528</v>
      </c>
      <c r="M1629" t="s">
        <v>39393</v>
      </c>
      <c r="N1629" t="s">
        <v>42669</v>
      </c>
      <c r="O1629" t="s">
        <v>42670</v>
      </c>
      <c r="P1629">
        <v>0</v>
      </c>
      <c r="Q1629">
        <v>0</v>
      </c>
      <c r="R1629" t="s">
        <v>42674</v>
      </c>
      <c r="S1629" t="s">
        <v>42788</v>
      </c>
      <c r="T1629" t="s">
        <v>44493</v>
      </c>
      <c r="U1629" t="s">
        <v>46159</v>
      </c>
      <c r="V1629" t="s">
        <v>56516</v>
      </c>
      <c r="W1629" t="s">
        <v>39393</v>
      </c>
      <c r="X1629" t="s">
        <v>42676</v>
      </c>
    </row>
    <row r="1630" spans="1:24">
      <c r="A1630">
        <f>HYPERLINK("https://www.philgeps.gov.ph/GEPSNONPILOT/Tender/SplashBidNoticeAbstractUI.aspx?menuIndex=3&amp;refID=7190108&amp;Result=3","7190108")</f>
        <v>0</v>
      </c>
      <c r="B1630" t="s">
        <v>623</v>
      </c>
      <c r="C1630" t="s">
        <v>5088</v>
      </c>
      <c r="D1630" t="s">
        <v>17163</v>
      </c>
      <c r="E1630" t="s">
        <v>18689</v>
      </c>
      <c r="F1630" t="s">
        <v>29372</v>
      </c>
      <c r="G1630" t="s">
        <v>29379</v>
      </c>
      <c r="H1630" t="s">
        <v>29390</v>
      </c>
      <c r="I1630" t="s">
        <v>29464</v>
      </c>
      <c r="J1630" t="s">
        <v>29929</v>
      </c>
      <c r="K1630" t="s">
        <v>38495</v>
      </c>
      <c r="M1630" t="s">
        <v>39394</v>
      </c>
      <c r="N1630" t="s">
        <v>42669</v>
      </c>
      <c r="O1630" t="s">
        <v>42670</v>
      </c>
      <c r="P1630">
        <v>0</v>
      </c>
      <c r="Q1630">
        <v>4</v>
      </c>
      <c r="R1630" t="s">
        <v>42674</v>
      </c>
      <c r="S1630" t="s">
        <v>42788</v>
      </c>
      <c r="T1630" t="s">
        <v>44356</v>
      </c>
      <c r="U1630" t="s">
        <v>46160</v>
      </c>
      <c r="W1630" t="s">
        <v>39394</v>
      </c>
      <c r="X1630" t="s">
        <v>42676</v>
      </c>
    </row>
    <row r="1631" spans="1:24">
      <c r="A1631">
        <f>HYPERLINK("https://www.philgeps.gov.ph/GEPSNONPILOT/Tender/SplashBidNoticeAbstractUI.aspx?menuIndex=3&amp;refID=7190122&amp;Result=3","7190122")</f>
        <v>0</v>
      </c>
      <c r="B1631" t="s">
        <v>618</v>
      </c>
      <c r="C1631" t="s">
        <v>5089</v>
      </c>
      <c r="D1631" t="s">
        <v>17183</v>
      </c>
      <c r="E1631" t="s">
        <v>18690</v>
      </c>
      <c r="F1631" t="s">
        <v>29372</v>
      </c>
      <c r="G1631" t="s">
        <v>29380</v>
      </c>
      <c r="H1631" t="s">
        <v>11048</v>
      </c>
      <c r="I1631" t="s">
        <v>8614</v>
      </c>
      <c r="J1631" t="s">
        <v>30714</v>
      </c>
      <c r="K1631" t="s">
        <v>38490</v>
      </c>
      <c r="M1631" t="s">
        <v>39389</v>
      </c>
      <c r="N1631" t="s">
        <v>42669</v>
      </c>
      <c r="O1631" t="s">
        <v>42670</v>
      </c>
      <c r="P1631">
        <v>0</v>
      </c>
      <c r="Q1631">
        <v>2</v>
      </c>
      <c r="R1631" t="s">
        <v>42674</v>
      </c>
      <c r="S1631" t="s">
        <v>42788</v>
      </c>
      <c r="T1631" t="s">
        <v>44525</v>
      </c>
      <c r="U1631" t="s">
        <v>46161</v>
      </c>
      <c r="W1631" t="s">
        <v>39389</v>
      </c>
      <c r="X1631" t="s">
        <v>42676</v>
      </c>
    </row>
    <row r="1632" spans="1:24">
      <c r="A1632">
        <f>HYPERLINK("https://www.philgeps.gov.ph/GEPSNONPILOT/Tender/SplashBidNoticeAbstractUI.aspx?menuIndex=3&amp;refID=7190136&amp;Result=3","7190136")</f>
        <v>0</v>
      </c>
      <c r="B1632" t="s">
        <v>624</v>
      </c>
      <c r="C1632" t="s">
        <v>5090</v>
      </c>
      <c r="D1632" t="s">
        <v>17141</v>
      </c>
      <c r="E1632" t="s">
        <v>18691</v>
      </c>
      <c r="F1632" t="s">
        <v>29372</v>
      </c>
      <c r="G1632" t="s">
        <v>29379</v>
      </c>
      <c r="H1632" t="s">
        <v>11048</v>
      </c>
      <c r="I1632" t="s">
        <v>29433</v>
      </c>
      <c r="J1632" t="s">
        <v>29703</v>
      </c>
      <c r="K1632" t="s">
        <v>38487</v>
      </c>
      <c r="M1632" t="s">
        <v>39395</v>
      </c>
      <c r="N1632" t="s">
        <v>42669</v>
      </c>
      <c r="O1632" t="s">
        <v>42670</v>
      </c>
      <c r="P1632">
        <v>0</v>
      </c>
      <c r="Q1632">
        <v>4</v>
      </c>
      <c r="R1632" t="s">
        <v>42674</v>
      </c>
      <c r="S1632" t="s">
        <v>42788</v>
      </c>
      <c r="T1632" t="s">
        <v>44530</v>
      </c>
      <c r="U1632" t="s">
        <v>46162</v>
      </c>
      <c r="W1632" t="s">
        <v>39395</v>
      </c>
      <c r="X1632" t="s">
        <v>42676</v>
      </c>
    </row>
    <row r="1633" spans="1:24">
      <c r="A1633">
        <f>HYPERLINK("https://www.philgeps.gov.ph/GEPSNONPILOT/Tender/SplashBidNoticeAbstractUI.aspx?menuIndex=3&amp;refID=7190140&amp;Result=3","7190140")</f>
        <v>0</v>
      </c>
      <c r="B1633" t="s">
        <v>554</v>
      </c>
      <c r="C1633" t="s">
        <v>5091</v>
      </c>
      <c r="D1633" t="s">
        <v>17170</v>
      </c>
      <c r="E1633" t="s">
        <v>18692</v>
      </c>
      <c r="F1633" t="s">
        <v>29372</v>
      </c>
      <c r="G1633" t="s">
        <v>29379</v>
      </c>
      <c r="H1633" t="s">
        <v>11048</v>
      </c>
      <c r="I1633" t="s">
        <v>29403</v>
      </c>
      <c r="J1633" t="s">
        <v>30715</v>
      </c>
      <c r="K1633" t="s">
        <v>38538</v>
      </c>
      <c r="M1633" t="s">
        <v>39323</v>
      </c>
      <c r="N1633" t="s">
        <v>42669</v>
      </c>
      <c r="O1633" t="s">
        <v>42670</v>
      </c>
      <c r="P1633">
        <v>0</v>
      </c>
      <c r="Q1633">
        <v>0</v>
      </c>
      <c r="R1633" t="s">
        <v>42674</v>
      </c>
      <c r="S1633" t="s">
        <v>42788</v>
      </c>
      <c r="T1633" t="s">
        <v>44512</v>
      </c>
      <c r="U1633" t="s">
        <v>46163</v>
      </c>
      <c r="W1633" t="s">
        <v>39323</v>
      </c>
      <c r="X1633" t="s">
        <v>42676</v>
      </c>
    </row>
    <row r="1634" spans="1:24">
      <c r="A1634">
        <f>HYPERLINK("https://www.philgeps.gov.ph/GEPSNONPILOT/Tender/SplashBidNoticeAbstractUI.aspx?menuIndex=3&amp;refID=7190167&amp;Result=3","7190167")</f>
        <v>0</v>
      </c>
      <c r="B1634" t="s">
        <v>625</v>
      </c>
      <c r="C1634" t="s">
        <v>5092</v>
      </c>
      <c r="D1634" t="s">
        <v>17189</v>
      </c>
      <c r="E1634" t="s">
        <v>17448</v>
      </c>
      <c r="F1634" t="s">
        <v>29372</v>
      </c>
      <c r="G1634" t="s">
        <v>29380</v>
      </c>
      <c r="H1634" t="s">
        <v>29389</v>
      </c>
      <c r="I1634" t="s">
        <v>29418</v>
      </c>
      <c r="J1634" t="s">
        <v>30716</v>
      </c>
      <c r="K1634" t="s">
        <v>38488</v>
      </c>
      <c r="M1634" t="s">
        <v>39396</v>
      </c>
      <c r="N1634" t="s">
        <v>42669</v>
      </c>
      <c r="O1634" t="s">
        <v>42670</v>
      </c>
      <c r="P1634">
        <v>0</v>
      </c>
      <c r="Q1634">
        <v>0</v>
      </c>
      <c r="R1634" t="s">
        <v>42674</v>
      </c>
      <c r="S1634" t="s">
        <v>42788</v>
      </c>
      <c r="T1634" t="s">
        <v>44503</v>
      </c>
      <c r="U1634" t="s">
        <v>46164</v>
      </c>
      <c r="W1634" t="s">
        <v>39396</v>
      </c>
      <c r="X1634" t="s">
        <v>42676</v>
      </c>
    </row>
    <row r="1635" spans="1:24">
      <c r="A1635">
        <f>HYPERLINK("https://www.philgeps.gov.ph/GEPSNONPILOT/Tender/SplashBidNoticeAbstractUI.aspx?menuIndex=3&amp;refID=7190113&amp;Result=3","7190113")</f>
        <v>0</v>
      </c>
      <c r="B1635" t="s">
        <v>626</v>
      </c>
      <c r="C1635" t="s">
        <v>5093</v>
      </c>
      <c r="D1635" t="s">
        <v>17174</v>
      </c>
      <c r="E1635" t="s">
        <v>17994</v>
      </c>
      <c r="F1635" t="s">
        <v>29372</v>
      </c>
      <c r="G1635" t="s">
        <v>29380</v>
      </c>
      <c r="H1635" t="s">
        <v>11048</v>
      </c>
      <c r="I1635" t="s">
        <v>4709</v>
      </c>
      <c r="J1635" t="s">
        <v>30717</v>
      </c>
      <c r="K1635" t="s">
        <v>38491</v>
      </c>
      <c r="L1635" t="s">
        <v>626</v>
      </c>
      <c r="M1635" t="s">
        <v>39397</v>
      </c>
      <c r="N1635" t="s">
        <v>42669</v>
      </c>
      <c r="O1635" t="s">
        <v>42670</v>
      </c>
      <c r="P1635">
        <v>0</v>
      </c>
      <c r="Q1635">
        <v>0</v>
      </c>
      <c r="R1635" t="s">
        <v>42674</v>
      </c>
      <c r="S1635" t="s">
        <v>42788</v>
      </c>
      <c r="T1635" t="s">
        <v>44530</v>
      </c>
      <c r="U1635" t="s">
        <v>46165</v>
      </c>
      <c r="W1635" t="s">
        <v>39397</v>
      </c>
      <c r="X1635" t="s">
        <v>42676</v>
      </c>
    </row>
    <row r="1636" spans="1:24">
      <c r="A1636">
        <f>HYPERLINK("https://www.philgeps.gov.ph/GEPSNONPILOT/Tender/SplashBidNoticeAbstractUI.aspx?menuIndex=3&amp;refID=7190072&amp;Result=3","7190072")</f>
        <v>0</v>
      </c>
      <c r="B1636" t="s">
        <v>369</v>
      </c>
      <c r="C1636" t="s">
        <v>5094</v>
      </c>
      <c r="D1636" t="s">
        <v>17141</v>
      </c>
      <c r="E1636" t="s">
        <v>18693</v>
      </c>
      <c r="F1636" t="s">
        <v>29372</v>
      </c>
      <c r="G1636" t="s">
        <v>29379</v>
      </c>
      <c r="H1636" t="s">
        <v>11048</v>
      </c>
      <c r="I1636" t="s">
        <v>4709</v>
      </c>
      <c r="J1636" t="s">
        <v>30718</v>
      </c>
      <c r="K1636" t="s">
        <v>38491</v>
      </c>
      <c r="M1636" t="s">
        <v>39398</v>
      </c>
      <c r="N1636" t="s">
        <v>42669</v>
      </c>
      <c r="O1636" t="s">
        <v>42670</v>
      </c>
      <c r="P1636">
        <v>0</v>
      </c>
      <c r="Q1636">
        <v>0</v>
      </c>
      <c r="R1636" t="s">
        <v>42674</v>
      </c>
      <c r="S1636" t="s">
        <v>42788</v>
      </c>
      <c r="T1636" t="s">
        <v>44371</v>
      </c>
      <c r="U1636" t="s">
        <v>46166</v>
      </c>
      <c r="W1636" t="s">
        <v>39398</v>
      </c>
      <c r="X1636" t="s">
        <v>42676</v>
      </c>
    </row>
    <row r="1637" spans="1:24">
      <c r="A1637">
        <f>HYPERLINK("https://www.philgeps.gov.ph/GEPSNONPILOT/Tender/SplashBidNoticeAbstractUI.aspx?menuIndex=3&amp;refID=7190179&amp;Result=3","7190179")</f>
        <v>0</v>
      </c>
      <c r="B1637" t="s">
        <v>547</v>
      </c>
      <c r="C1637" t="s">
        <v>5095</v>
      </c>
      <c r="D1637" t="s">
        <v>17170</v>
      </c>
      <c r="E1637" t="s">
        <v>18694</v>
      </c>
      <c r="F1637" t="s">
        <v>29372</v>
      </c>
      <c r="G1637" t="s">
        <v>29379</v>
      </c>
      <c r="H1637" t="s">
        <v>11048</v>
      </c>
      <c r="I1637" t="s">
        <v>3670</v>
      </c>
      <c r="J1637" t="s">
        <v>30719</v>
      </c>
      <c r="K1637" t="s">
        <v>38485</v>
      </c>
      <c r="M1637" t="s">
        <v>39363</v>
      </c>
      <c r="N1637" t="s">
        <v>42669</v>
      </c>
      <c r="O1637" t="s">
        <v>42670</v>
      </c>
      <c r="P1637">
        <v>0</v>
      </c>
      <c r="Q1637">
        <v>0</v>
      </c>
      <c r="R1637" t="s">
        <v>42674</v>
      </c>
      <c r="S1637" t="s">
        <v>42788</v>
      </c>
      <c r="T1637" t="s">
        <v>44509</v>
      </c>
      <c r="U1637" t="s">
        <v>46167</v>
      </c>
      <c r="W1637" t="s">
        <v>58018</v>
      </c>
      <c r="X1637" t="s">
        <v>42676</v>
      </c>
    </row>
    <row r="1638" spans="1:24">
      <c r="A1638">
        <f>HYPERLINK("https://www.philgeps.gov.ph/GEPSNONPILOT/Tender/SplashBidNoticeAbstractUI.aspx?menuIndex=3&amp;refID=7190176&amp;Result=3","7190176")</f>
        <v>0</v>
      </c>
      <c r="B1638" t="s">
        <v>134</v>
      </c>
      <c r="C1638" t="s">
        <v>5096</v>
      </c>
      <c r="D1638" t="s">
        <v>17177</v>
      </c>
      <c r="E1638" t="s">
        <v>18695</v>
      </c>
      <c r="F1638" t="s">
        <v>29372</v>
      </c>
      <c r="G1638" t="s">
        <v>29380</v>
      </c>
      <c r="H1638" t="s">
        <v>11048</v>
      </c>
      <c r="I1638" t="s">
        <v>29415</v>
      </c>
      <c r="J1638" t="s">
        <v>30720</v>
      </c>
      <c r="K1638" t="s">
        <v>38496</v>
      </c>
      <c r="M1638" t="s">
        <v>38889</v>
      </c>
      <c r="N1638" t="s">
        <v>42669</v>
      </c>
      <c r="O1638" t="s">
        <v>42670</v>
      </c>
      <c r="P1638">
        <v>0</v>
      </c>
      <c r="Q1638">
        <v>0</v>
      </c>
      <c r="R1638" t="s">
        <v>42674</v>
      </c>
      <c r="S1638" t="s">
        <v>42788</v>
      </c>
      <c r="T1638" t="s">
        <v>44544</v>
      </c>
      <c r="U1638" t="s">
        <v>46168</v>
      </c>
      <c r="V1638" t="s">
        <v>56517</v>
      </c>
      <c r="W1638" t="s">
        <v>38889</v>
      </c>
      <c r="X1638" t="s">
        <v>42676</v>
      </c>
    </row>
    <row r="1639" spans="1:24">
      <c r="A1639">
        <f>HYPERLINK("https://www.philgeps.gov.ph/GEPSNONPILOT/Tender/SplashBidNoticeAbstractUI.aspx?menuIndex=3&amp;refID=7190170&amp;Result=3","7190170")</f>
        <v>0</v>
      </c>
      <c r="B1639" t="s">
        <v>617</v>
      </c>
      <c r="C1639" t="s">
        <v>5097</v>
      </c>
      <c r="D1639" t="s">
        <v>17215</v>
      </c>
      <c r="E1639" t="s">
        <v>18696</v>
      </c>
      <c r="F1639" t="s">
        <v>29372</v>
      </c>
      <c r="G1639" t="s">
        <v>29381</v>
      </c>
      <c r="H1639" t="s">
        <v>11048</v>
      </c>
      <c r="I1639" t="s">
        <v>5383</v>
      </c>
      <c r="J1639" t="s">
        <v>30412</v>
      </c>
      <c r="K1639" t="s">
        <v>38518</v>
      </c>
      <c r="M1639" t="s">
        <v>39388</v>
      </c>
      <c r="N1639" t="s">
        <v>42669</v>
      </c>
      <c r="O1639" t="s">
        <v>42670</v>
      </c>
      <c r="P1639">
        <v>0</v>
      </c>
      <c r="Q1639">
        <v>0</v>
      </c>
      <c r="R1639" t="s">
        <v>42674</v>
      </c>
      <c r="S1639" t="s">
        <v>42788</v>
      </c>
      <c r="T1639" t="s">
        <v>44412</v>
      </c>
      <c r="U1639" t="s">
        <v>46169</v>
      </c>
      <c r="V1639" t="s">
        <v>56518</v>
      </c>
      <c r="W1639" t="s">
        <v>39388</v>
      </c>
      <c r="X1639" t="s">
        <v>42676</v>
      </c>
    </row>
    <row r="1640" spans="1:24">
      <c r="A1640">
        <f>HYPERLINK("https://www.philgeps.gov.ph/GEPSNONPILOT/Tender/SplashBidNoticeAbstractUI.aspx?menuIndex=3&amp;refID=7190169&amp;Result=3","7190169")</f>
        <v>0</v>
      </c>
      <c r="B1640" t="s">
        <v>618</v>
      </c>
      <c r="C1640" t="s">
        <v>5098</v>
      </c>
      <c r="D1640" t="s">
        <v>17183</v>
      </c>
      <c r="E1640" t="s">
        <v>18697</v>
      </c>
      <c r="F1640" t="s">
        <v>29372</v>
      </c>
      <c r="G1640" t="s">
        <v>29380</v>
      </c>
      <c r="H1640" t="s">
        <v>11048</v>
      </c>
      <c r="I1640" t="s">
        <v>29447</v>
      </c>
      <c r="J1640" t="s">
        <v>30721</v>
      </c>
      <c r="K1640" t="s">
        <v>38490</v>
      </c>
      <c r="M1640" t="s">
        <v>39389</v>
      </c>
      <c r="N1640" t="s">
        <v>42669</v>
      </c>
      <c r="O1640" t="s">
        <v>42670</v>
      </c>
      <c r="P1640">
        <v>0</v>
      </c>
      <c r="Q1640">
        <v>4</v>
      </c>
      <c r="R1640" t="s">
        <v>42674</v>
      </c>
      <c r="S1640" t="s">
        <v>42788</v>
      </c>
      <c r="T1640" t="s">
        <v>44525</v>
      </c>
      <c r="U1640" t="s">
        <v>46170</v>
      </c>
      <c r="W1640" t="s">
        <v>39389</v>
      </c>
      <c r="X1640" t="s">
        <v>42676</v>
      </c>
    </row>
    <row r="1641" spans="1:24">
      <c r="A1641">
        <f>HYPERLINK("https://www.philgeps.gov.ph/GEPSNONPILOT/Tender/SplashBidNoticeAbstractUI.aspx?menuIndex=3&amp;refID=7190168&amp;Result=3","7190168")</f>
        <v>0</v>
      </c>
      <c r="B1641" t="s">
        <v>627</v>
      </c>
      <c r="C1641" t="s">
        <v>5099</v>
      </c>
      <c r="D1641" t="s">
        <v>17196</v>
      </c>
      <c r="E1641" t="s">
        <v>18698</v>
      </c>
      <c r="F1641" t="s">
        <v>29372</v>
      </c>
      <c r="G1641" t="s">
        <v>29379</v>
      </c>
      <c r="H1641" t="s">
        <v>11048</v>
      </c>
      <c r="I1641" t="s">
        <v>29403</v>
      </c>
      <c r="J1641" t="s">
        <v>30722</v>
      </c>
      <c r="K1641" t="s">
        <v>38491</v>
      </c>
      <c r="M1641" t="s">
        <v>39399</v>
      </c>
      <c r="N1641" t="s">
        <v>42669</v>
      </c>
      <c r="O1641" t="s">
        <v>42670</v>
      </c>
      <c r="P1641">
        <v>0</v>
      </c>
      <c r="Q1641">
        <v>1</v>
      </c>
      <c r="R1641" t="s">
        <v>42674</v>
      </c>
      <c r="S1641" t="s">
        <v>42788</v>
      </c>
      <c r="T1641" t="s">
        <v>44401</v>
      </c>
      <c r="U1641" t="s">
        <v>46171</v>
      </c>
      <c r="W1641" t="s">
        <v>39399</v>
      </c>
      <c r="X1641" t="s">
        <v>42676</v>
      </c>
    </row>
    <row r="1642" spans="1:24">
      <c r="A1642">
        <f>HYPERLINK("https://www.philgeps.gov.ph/GEPSNONPILOT/Tender/SplashBidNoticeAbstractUI.aspx?menuIndex=3&amp;refID=7190165&amp;Result=3","7190165")</f>
        <v>0</v>
      </c>
      <c r="B1642" t="s">
        <v>591</v>
      </c>
      <c r="C1642" t="s">
        <v>5100</v>
      </c>
      <c r="D1642" t="s">
        <v>17169</v>
      </c>
      <c r="E1642" t="s">
        <v>18699</v>
      </c>
      <c r="F1642" t="s">
        <v>29372</v>
      </c>
      <c r="G1642" t="s">
        <v>29380</v>
      </c>
      <c r="H1642" t="s">
        <v>29389</v>
      </c>
      <c r="I1642" t="s">
        <v>10408</v>
      </c>
      <c r="J1642" t="s">
        <v>30083</v>
      </c>
      <c r="K1642" t="s">
        <v>38518</v>
      </c>
      <c r="M1642" t="s">
        <v>39361</v>
      </c>
      <c r="N1642" t="s">
        <v>42669</v>
      </c>
      <c r="O1642" t="s">
        <v>42670</v>
      </c>
      <c r="P1642">
        <v>0</v>
      </c>
      <c r="Q1642">
        <v>0</v>
      </c>
      <c r="R1642" t="s">
        <v>42674</v>
      </c>
      <c r="S1642" t="s">
        <v>42788</v>
      </c>
      <c r="T1642" t="s">
        <v>44430</v>
      </c>
      <c r="U1642" t="s">
        <v>46111</v>
      </c>
      <c r="W1642" t="s">
        <v>39361</v>
      </c>
      <c r="X1642" t="s">
        <v>42676</v>
      </c>
    </row>
    <row r="1643" spans="1:24">
      <c r="A1643">
        <f>HYPERLINK("https://www.philgeps.gov.ph/GEPSNONPILOT/Tender/SplashBidNoticeAbstractUI.aspx?menuIndex=3&amp;refID=7190074&amp;Result=3","7190074")</f>
        <v>0</v>
      </c>
      <c r="B1643" t="s">
        <v>628</v>
      </c>
      <c r="C1643" t="s">
        <v>5101</v>
      </c>
      <c r="D1643" t="s">
        <v>17183</v>
      </c>
      <c r="E1643" t="s">
        <v>18589</v>
      </c>
      <c r="F1643" t="s">
        <v>29372</v>
      </c>
      <c r="G1643" t="s">
        <v>29380</v>
      </c>
      <c r="H1643" t="s">
        <v>11048</v>
      </c>
      <c r="I1643" t="s">
        <v>4487</v>
      </c>
      <c r="J1643" t="s">
        <v>30723</v>
      </c>
      <c r="K1643" t="s">
        <v>38485</v>
      </c>
      <c r="M1643" t="s">
        <v>39400</v>
      </c>
      <c r="N1643" t="s">
        <v>42669</v>
      </c>
      <c r="O1643" t="s">
        <v>42670</v>
      </c>
      <c r="P1643">
        <v>0</v>
      </c>
      <c r="Q1643">
        <v>0</v>
      </c>
      <c r="R1643" t="s">
        <v>42674</v>
      </c>
      <c r="S1643" t="s">
        <v>42788</v>
      </c>
      <c r="T1643" t="s">
        <v>44545</v>
      </c>
      <c r="U1643" t="s">
        <v>46172</v>
      </c>
      <c r="W1643" t="s">
        <v>39400</v>
      </c>
      <c r="X1643" t="s">
        <v>42676</v>
      </c>
    </row>
    <row r="1644" spans="1:24">
      <c r="A1644">
        <f>HYPERLINK("https://www.philgeps.gov.ph/GEPSNONPILOT/Tender/SplashBidNoticeAbstractUI.aspx?menuIndex=3&amp;refID=7190157&amp;Result=3","7190157")</f>
        <v>0</v>
      </c>
      <c r="B1644" t="s">
        <v>336</v>
      </c>
      <c r="C1644" t="s">
        <v>5102</v>
      </c>
      <c r="E1644" t="s">
        <v>18700</v>
      </c>
      <c r="F1644" t="s">
        <v>29372</v>
      </c>
      <c r="G1644" t="s">
        <v>29379</v>
      </c>
      <c r="H1644" t="s">
        <v>11048</v>
      </c>
      <c r="I1644" t="s">
        <v>4487</v>
      </c>
      <c r="J1644" t="s">
        <v>30724</v>
      </c>
      <c r="K1644" t="s">
        <v>38488</v>
      </c>
      <c r="M1644" t="s">
        <v>39401</v>
      </c>
      <c r="N1644" t="s">
        <v>42669</v>
      </c>
      <c r="O1644" t="s">
        <v>42670</v>
      </c>
      <c r="P1644">
        <v>0</v>
      </c>
      <c r="Q1644">
        <v>4</v>
      </c>
      <c r="R1644" t="s">
        <v>42674</v>
      </c>
      <c r="S1644" t="s">
        <v>42788</v>
      </c>
      <c r="T1644" t="s">
        <v>44417</v>
      </c>
      <c r="U1644" t="s">
        <v>46173</v>
      </c>
      <c r="V1644" t="s">
        <v>56519</v>
      </c>
      <c r="W1644" t="s">
        <v>39401</v>
      </c>
      <c r="X1644" t="s">
        <v>42676</v>
      </c>
    </row>
    <row r="1645" spans="1:24">
      <c r="A1645">
        <f>HYPERLINK("https://www.philgeps.gov.ph/GEPSNONPILOT/Tender/SplashBidNoticeAbstractUI.aspx?menuIndex=3&amp;refID=7190171&amp;Result=3","7190171")</f>
        <v>0</v>
      </c>
      <c r="B1645" t="s">
        <v>629</v>
      </c>
      <c r="C1645" t="s">
        <v>3982</v>
      </c>
      <c r="D1645" t="s">
        <v>17161</v>
      </c>
      <c r="E1645" t="s">
        <v>18701</v>
      </c>
      <c r="F1645" t="s">
        <v>29372</v>
      </c>
      <c r="G1645" t="s">
        <v>29379</v>
      </c>
      <c r="H1645" t="s">
        <v>11048</v>
      </c>
      <c r="I1645" t="s">
        <v>4487</v>
      </c>
      <c r="J1645" t="s">
        <v>30725</v>
      </c>
      <c r="K1645" t="s">
        <v>38524</v>
      </c>
      <c r="M1645" t="s">
        <v>39402</v>
      </c>
      <c r="N1645" t="s">
        <v>42669</v>
      </c>
      <c r="O1645" t="s">
        <v>42670</v>
      </c>
      <c r="P1645">
        <v>0</v>
      </c>
      <c r="Q1645">
        <v>1</v>
      </c>
      <c r="R1645" t="s">
        <v>42674</v>
      </c>
      <c r="S1645" t="s">
        <v>42788</v>
      </c>
      <c r="T1645" t="s">
        <v>44425</v>
      </c>
      <c r="U1645" t="s">
        <v>46174</v>
      </c>
      <c r="W1645" t="s">
        <v>39402</v>
      </c>
      <c r="X1645" t="s">
        <v>42676</v>
      </c>
    </row>
    <row r="1646" spans="1:24">
      <c r="A1646">
        <f>HYPERLINK("https://www.philgeps.gov.ph/GEPSNONPILOT/Tender/SplashBidNoticeAbstractUI.aspx?menuIndex=3&amp;refID=7190156&amp;Result=3","7190156")</f>
        <v>0</v>
      </c>
      <c r="B1646" t="s">
        <v>630</v>
      </c>
      <c r="C1646" t="s">
        <v>5103</v>
      </c>
      <c r="E1646" t="s">
        <v>18702</v>
      </c>
      <c r="F1646" t="s">
        <v>29372</v>
      </c>
      <c r="G1646" t="s">
        <v>29379</v>
      </c>
      <c r="H1646" t="s">
        <v>11048</v>
      </c>
      <c r="I1646" t="s">
        <v>5383</v>
      </c>
      <c r="J1646" t="s">
        <v>30100</v>
      </c>
      <c r="K1646" t="s">
        <v>38488</v>
      </c>
      <c r="M1646" t="s">
        <v>39403</v>
      </c>
      <c r="N1646" t="s">
        <v>42669</v>
      </c>
      <c r="O1646" t="s">
        <v>42670</v>
      </c>
      <c r="P1646">
        <v>0</v>
      </c>
      <c r="Q1646">
        <v>4</v>
      </c>
      <c r="R1646" t="s">
        <v>42674</v>
      </c>
      <c r="S1646" t="s">
        <v>42788</v>
      </c>
      <c r="T1646" t="s">
        <v>44496</v>
      </c>
      <c r="U1646" t="s">
        <v>46175</v>
      </c>
      <c r="W1646" t="s">
        <v>39403</v>
      </c>
      <c r="X1646" t="s">
        <v>42676</v>
      </c>
    </row>
    <row r="1647" spans="1:24">
      <c r="A1647">
        <f>HYPERLINK("https://www.philgeps.gov.ph/GEPSNONPILOT/Tender/SplashBidNoticeAbstractUI.aspx?menuIndex=3&amp;refID=7190164&amp;Result=3","7190164")</f>
        <v>0</v>
      </c>
      <c r="B1647" t="s">
        <v>631</v>
      </c>
      <c r="C1647" t="s">
        <v>5104</v>
      </c>
      <c r="D1647" t="s">
        <v>17174</v>
      </c>
      <c r="E1647" t="s">
        <v>18703</v>
      </c>
      <c r="F1647" t="s">
        <v>29372</v>
      </c>
      <c r="G1647" t="s">
        <v>29380</v>
      </c>
      <c r="H1647" t="s">
        <v>11048</v>
      </c>
      <c r="I1647" t="s">
        <v>29392</v>
      </c>
      <c r="J1647" t="s">
        <v>29587</v>
      </c>
      <c r="K1647" t="s">
        <v>38490</v>
      </c>
      <c r="M1647" t="s">
        <v>39404</v>
      </c>
      <c r="N1647" t="s">
        <v>42669</v>
      </c>
      <c r="O1647" t="s">
        <v>42670</v>
      </c>
      <c r="P1647">
        <v>0</v>
      </c>
      <c r="Q1647">
        <v>0</v>
      </c>
      <c r="R1647" t="s">
        <v>42674</v>
      </c>
      <c r="S1647" t="s">
        <v>42788</v>
      </c>
      <c r="T1647" t="s">
        <v>44375</v>
      </c>
      <c r="U1647" t="s">
        <v>46176</v>
      </c>
      <c r="W1647" t="s">
        <v>39404</v>
      </c>
      <c r="X1647" t="s">
        <v>42676</v>
      </c>
    </row>
    <row r="1648" spans="1:24">
      <c r="A1648">
        <f>HYPERLINK("https://www.philgeps.gov.ph/GEPSNONPILOT/Tender/SplashBidNoticeAbstractUI.aspx?menuIndex=3&amp;refID=7190147&amp;Result=3","7190147")</f>
        <v>0</v>
      </c>
      <c r="B1648" t="s">
        <v>620</v>
      </c>
      <c r="C1648" t="s">
        <v>5105</v>
      </c>
      <c r="D1648" t="s">
        <v>17189</v>
      </c>
      <c r="E1648" t="s">
        <v>18704</v>
      </c>
      <c r="F1648" t="s">
        <v>29372</v>
      </c>
      <c r="G1648" t="s">
        <v>29380</v>
      </c>
      <c r="H1648" t="s">
        <v>11048</v>
      </c>
      <c r="I1648" t="s">
        <v>4709</v>
      </c>
      <c r="J1648" t="s">
        <v>30430</v>
      </c>
      <c r="K1648" t="s">
        <v>38488</v>
      </c>
      <c r="M1648" t="s">
        <v>39391</v>
      </c>
      <c r="N1648" t="s">
        <v>42669</v>
      </c>
      <c r="O1648" t="s">
        <v>42670</v>
      </c>
      <c r="P1648">
        <v>0</v>
      </c>
      <c r="Q1648">
        <v>0</v>
      </c>
      <c r="R1648" t="s">
        <v>42674</v>
      </c>
      <c r="S1648" t="s">
        <v>42788</v>
      </c>
      <c r="T1648" t="s">
        <v>44527</v>
      </c>
      <c r="U1648" t="s">
        <v>46177</v>
      </c>
      <c r="W1648" t="s">
        <v>39391</v>
      </c>
      <c r="X1648" t="s">
        <v>42676</v>
      </c>
    </row>
    <row r="1649" spans="1:24">
      <c r="A1649">
        <f>HYPERLINK("https://www.philgeps.gov.ph/GEPSNONPILOT/Tender/SplashBidNoticeAbstractUI.aspx?menuIndex=3&amp;refID=7190145&amp;Result=3","7190145")</f>
        <v>0</v>
      </c>
      <c r="B1649" t="s">
        <v>618</v>
      </c>
      <c r="C1649" t="s">
        <v>5106</v>
      </c>
      <c r="D1649" t="s">
        <v>17183</v>
      </c>
      <c r="E1649" t="s">
        <v>18705</v>
      </c>
      <c r="F1649" t="s">
        <v>29372</v>
      </c>
      <c r="G1649" t="s">
        <v>29380</v>
      </c>
      <c r="H1649" t="s">
        <v>11048</v>
      </c>
      <c r="I1649" t="s">
        <v>4486</v>
      </c>
      <c r="J1649" t="s">
        <v>30726</v>
      </c>
      <c r="K1649" t="s">
        <v>38490</v>
      </c>
      <c r="M1649" t="s">
        <v>39389</v>
      </c>
      <c r="N1649" t="s">
        <v>42669</v>
      </c>
      <c r="O1649" t="s">
        <v>42670</v>
      </c>
      <c r="P1649">
        <v>0</v>
      </c>
      <c r="Q1649">
        <v>2</v>
      </c>
      <c r="R1649" t="s">
        <v>42674</v>
      </c>
      <c r="S1649" t="s">
        <v>42788</v>
      </c>
      <c r="T1649" t="s">
        <v>44525</v>
      </c>
      <c r="U1649" t="s">
        <v>46178</v>
      </c>
      <c r="W1649" t="s">
        <v>39389</v>
      </c>
      <c r="X1649" t="s">
        <v>42676</v>
      </c>
    </row>
    <row r="1650" spans="1:24">
      <c r="A1650">
        <f>HYPERLINK("https://www.philgeps.gov.ph/GEPSNONPILOT/Tender/SplashBidNoticeAbstractUI.aspx?menuIndex=3&amp;refID=7190142&amp;Result=3","7190142")</f>
        <v>0</v>
      </c>
      <c r="B1650" t="s">
        <v>632</v>
      </c>
      <c r="C1650" t="s">
        <v>5107</v>
      </c>
      <c r="D1650" t="s">
        <v>17192</v>
      </c>
      <c r="E1650" t="s">
        <v>18706</v>
      </c>
      <c r="F1650" t="s">
        <v>29372</v>
      </c>
      <c r="G1650" t="s">
        <v>29379</v>
      </c>
      <c r="H1650" t="s">
        <v>11048</v>
      </c>
      <c r="I1650" t="s">
        <v>29432</v>
      </c>
      <c r="J1650" t="s">
        <v>30010</v>
      </c>
      <c r="K1650" t="s">
        <v>38510</v>
      </c>
      <c r="M1650" t="s">
        <v>39405</v>
      </c>
      <c r="N1650" t="s">
        <v>42669</v>
      </c>
      <c r="O1650" t="s">
        <v>42670</v>
      </c>
      <c r="P1650">
        <v>0</v>
      </c>
      <c r="Q1650">
        <v>1</v>
      </c>
      <c r="R1650" t="s">
        <v>42674</v>
      </c>
      <c r="S1650" t="s">
        <v>42788</v>
      </c>
      <c r="T1650" t="s">
        <v>44451</v>
      </c>
      <c r="U1650" t="s">
        <v>46179</v>
      </c>
      <c r="W1650" t="s">
        <v>39405</v>
      </c>
      <c r="X1650" t="s">
        <v>42676</v>
      </c>
    </row>
    <row r="1651" spans="1:24">
      <c r="A1651">
        <f>HYPERLINK("https://www.philgeps.gov.ph/GEPSNONPILOT/Tender/SplashBidNoticeAbstractUI.aspx?menuIndex=3&amp;refID=7190150&amp;Result=3","7190150")</f>
        <v>0</v>
      </c>
      <c r="B1651" t="s">
        <v>633</v>
      </c>
      <c r="C1651" t="s">
        <v>5108</v>
      </c>
      <c r="D1651" t="s">
        <v>17189</v>
      </c>
      <c r="E1651" t="s">
        <v>18707</v>
      </c>
      <c r="F1651" t="s">
        <v>29372</v>
      </c>
      <c r="G1651" t="s">
        <v>29379</v>
      </c>
      <c r="H1651" t="s">
        <v>11048</v>
      </c>
      <c r="I1651" t="s">
        <v>4486</v>
      </c>
      <c r="J1651" t="s">
        <v>30727</v>
      </c>
      <c r="K1651" t="s">
        <v>38518</v>
      </c>
      <c r="M1651" t="s">
        <v>39406</v>
      </c>
      <c r="N1651" t="s">
        <v>42669</v>
      </c>
      <c r="O1651" t="s">
        <v>42670</v>
      </c>
      <c r="P1651">
        <v>0</v>
      </c>
      <c r="Q1651">
        <v>1</v>
      </c>
      <c r="R1651" t="s">
        <v>42674</v>
      </c>
      <c r="S1651" t="s">
        <v>42788</v>
      </c>
      <c r="T1651" t="s">
        <v>44491</v>
      </c>
      <c r="U1651" t="s">
        <v>46180</v>
      </c>
      <c r="W1651" t="s">
        <v>39406</v>
      </c>
      <c r="X1651" t="s">
        <v>42676</v>
      </c>
    </row>
    <row r="1652" spans="1:24">
      <c r="A1652">
        <f>HYPERLINK("https://www.philgeps.gov.ph/GEPSNONPILOT/Tender/SplashBidNoticeAbstractUI.aspx?menuIndex=3&amp;refID=7190138&amp;Result=3","7190138")</f>
        <v>0</v>
      </c>
      <c r="B1652" t="s">
        <v>634</v>
      </c>
      <c r="C1652" t="s">
        <v>5109</v>
      </c>
      <c r="D1652" t="s">
        <v>17193</v>
      </c>
      <c r="E1652" t="s">
        <v>18708</v>
      </c>
      <c r="F1652" t="s">
        <v>29372</v>
      </c>
      <c r="G1652" t="s">
        <v>29379</v>
      </c>
      <c r="H1652" t="s">
        <v>29390</v>
      </c>
      <c r="I1652" t="s">
        <v>29433</v>
      </c>
      <c r="J1652" t="s">
        <v>29820</v>
      </c>
      <c r="K1652" t="s">
        <v>38485</v>
      </c>
      <c r="M1652" t="s">
        <v>39407</v>
      </c>
      <c r="N1652" t="s">
        <v>42669</v>
      </c>
      <c r="O1652" t="s">
        <v>42670</v>
      </c>
      <c r="P1652">
        <v>0</v>
      </c>
      <c r="Q1652">
        <v>2</v>
      </c>
      <c r="R1652" t="s">
        <v>42674</v>
      </c>
      <c r="S1652" t="s">
        <v>42788</v>
      </c>
      <c r="T1652" t="s">
        <v>44382</v>
      </c>
      <c r="U1652" t="s">
        <v>46181</v>
      </c>
      <c r="W1652" t="s">
        <v>39407</v>
      </c>
      <c r="X1652" t="s">
        <v>42676</v>
      </c>
    </row>
    <row r="1653" spans="1:24">
      <c r="A1653">
        <f>HYPERLINK("https://www.philgeps.gov.ph/GEPSNONPILOT/Tender/SplashBidNoticeAbstractUI.aspx?menuIndex=3&amp;refID=7190104&amp;Result=3","7190104")</f>
        <v>0</v>
      </c>
      <c r="B1653" t="s">
        <v>605</v>
      </c>
      <c r="C1653" t="s">
        <v>5110</v>
      </c>
      <c r="D1653" t="s">
        <v>17177</v>
      </c>
      <c r="E1653" t="s">
        <v>18709</v>
      </c>
      <c r="F1653" t="s">
        <v>29372</v>
      </c>
      <c r="G1653" t="s">
        <v>29382</v>
      </c>
      <c r="H1653" t="s">
        <v>11048</v>
      </c>
      <c r="I1653" t="s">
        <v>5383</v>
      </c>
      <c r="J1653" t="s">
        <v>30135</v>
      </c>
      <c r="K1653" t="s">
        <v>38510</v>
      </c>
      <c r="M1653" t="s">
        <v>39376</v>
      </c>
      <c r="N1653" t="s">
        <v>42669</v>
      </c>
      <c r="O1653" t="s">
        <v>42670</v>
      </c>
      <c r="P1653">
        <v>0</v>
      </c>
      <c r="Q1653">
        <v>0</v>
      </c>
      <c r="R1653" t="s">
        <v>42674</v>
      </c>
      <c r="S1653" t="s">
        <v>42788</v>
      </c>
      <c r="T1653" t="s">
        <v>44451</v>
      </c>
      <c r="U1653" t="s">
        <v>46141</v>
      </c>
      <c r="W1653" t="s">
        <v>39376</v>
      </c>
      <c r="X1653" t="s">
        <v>42676</v>
      </c>
    </row>
    <row r="1654" spans="1:24">
      <c r="A1654">
        <f>HYPERLINK("https://www.philgeps.gov.ph/GEPSNONPILOT/Tender/SplashBidNoticeAbstractUI.aspx?menuIndex=3&amp;refID=7190160&amp;Result=3","7190160")</f>
        <v>0</v>
      </c>
      <c r="B1654" t="s">
        <v>618</v>
      </c>
      <c r="C1654" t="s">
        <v>5111</v>
      </c>
      <c r="D1654" t="s">
        <v>17183</v>
      </c>
      <c r="E1654" t="s">
        <v>18710</v>
      </c>
      <c r="F1654" t="s">
        <v>29372</v>
      </c>
      <c r="G1654" t="s">
        <v>29380</v>
      </c>
      <c r="H1654" t="s">
        <v>11048</v>
      </c>
      <c r="I1654" t="s">
        <v>29404</v>
      </c>
      <c r="J1654" t="s">
        <v>30728</v>
      </c>
      <c r="K1654" t="s">
        <v>38490</v>
      </c>
      <c r="M1654" t="s">
        <v>39389</v>
      </c>
      <c r="N1654" t="s">
        <v>42669</v>
      </c>
      <c r="O1654" t="s">
        <v>42670</v>
      </c>
      <c r="P1654">
        <v>0</v>
      </c>
      <c r="Q1654">
        <v>1</v>
      </c>
      <c r="R1654" t="s">
        <v>42674</v>
      </c>
      <c r="S1654" t="s">
        <v>42788</v>
      </c>
      <c r="T1654" t="s">
        <v>44525</v>
      </c>
      <c r="U1654" t="s">
        <v>46182</v>
      </c>
      <c r="W1654" t="s">
        <v>39389</v>
      </c>
      <c r="X1654" t="s">
        <v>42676</v>
      </c>
    </row>
    <row r="1655" spans="1:24">
      <c r="A1655">
        <f>HYPERLINK("https://www.philgeps.gov.ph/GEPSNONPILOT/Tender/SplashBidNoticeAbstractUI.aspx?menuIndex=3&amp;refID=7190144&amp;Result=3","7190144")</f>
        <v>0</v>
      </c>
      <c r="B1655" t="s">
        <v>599</v>
      </c>
      <c r="C1655" t="s">
        <v>5112</v>
      </c>
      <c r="D1655" t="s">
        <v>17189</v>
      </c>
      <c r="E1655" t="s">
        <v>5112</v>
      </c>
      <c r="F1655" t="s">
        <v>29372</v>
      </c>
      <c r="G1655" t="s">
        <v>29379</v>
      </c>
      <c r="H1655" t="s">
        <v>11048</v>
      </c>
      <c r="I1655" t="s">
        <v>5383</v>
      </c>
      <c r="J1655" t="s">
        <v>30729</v>
      </c>
      <c r="K1655" t="s">
        <v>38489</v>
      </c>
      <c r="M1655" t="s">
        <v>39370</v>
      </c>
      <c r="N1655" t="s">
        <v>42669</v>
      </c>
      <c r="O1655" t="s">
        <v>42670</v>
      </c>
      <c r="P1655">
        <v>0</v>
      </c>
      <c r="Q1655">
        <v>2</v>
      </c>
      <c r="R1655" t="s">
        <v>42674</v>
      </c>
      <c r="S1655" t="s">
        <v>42788</v>
      </c>
      <c r="T1655" t="s">
        <v>44496</v>
      </c>
      <c r="U1655" t="s">
        <v>45720</v>
      </c>
      <c r="W1655" t="s">
        <v>39370</v>
      </c>
      <c r="X1655" t="s">
        <v>42676</v>
      </c>
    </row>
    <row r="1656" spans="1:24">
      <c r="A1656">
        <f>HYPERLINK("https://www.philgeps.gov.ph/GEPSNONPILOT/Tender/SplashBidNoticeAbstractUI.aspx?menuIndex=3&amp;refID=7190155&amp;Result=3","7190155")</f>
        <v>0</v>
      </c>
      <c r="B1656" t="s">
        <v>622</v>
      </c>
      <c r="C1656" t="s">
        <v>5113</v>
      </c>
      <c r="D1656" t="s">
        <v>17147</v>
      </c>
      <c r="E1656" t="s">
        <v>18711</v>
      </c>
      <c r="F1656" t="s">
        <v>29372</v>
      </c>
      <c r="G1656" t="s">
        <v>29379</v>
      </c>
      <c r="H1656" t="s">
        <v>11048</v>
      </c>
      <c r="I1656" t="s">
        <v>4486</v>
      </c>
      <c r="J1656" t="s">
        <v>30730</v>
      </c>
      <c r="K1656" t="s">
        <v>38528</v>
      </c>
      <c r="M1656" t="s">
        <v>39393</v>
      </c>
      <c r="N1656" t="s">
        <v>42669</v>
      </c>
      <c r="O1656" t="s">
        <v>42670</v>
      </c>
      <c r="P1656">
        <v>0</v>
      </c>
      <c r="Q1656">
        <v>1</v>
      </c>
      <c r="R1656" t="s">
        <v>42674</v>
      </c>
      <c r="S1656" t="s">
        <v>42788</v>
      </c>
      <c r="T1656" t="s">
        <v>44493</v>
      </c>
      <c r="U1656" t="s">
        <v>46183</v>
      </c>
      <c r="V1656" t="s">
        <v>56516</v>
      </c>
      <c r="W1656" t="s">
        <v>39393</v>
      </c>
      <c r="X1656" t="s">
        <v>42676</v>
      </c>
    </row>
    <row r="1657" spans="1:24">
      <c r="A1657">
        <f>HYPERLINK("https://www.philgeps.gov.ph/GEPSNONPILOT/Tender/SplashBidNoticeAbstractUI.aspx?menuIndex=3&amp;refID=7190228&amp;Result=3","7190228")</f>
        <v>0</v>
      </c>
      <c r="B1657" t="s">
        <v>635</v>
      </c>
      <c r="C1657" t="s">
        <v>5114</v>
      </c>
      <c r="D1657" t="s">
        <v>17141</v>
      </c>
      <c r="E1657" t="s">
        <v>18712</v>
      </c>
      <c r="F1657" t="s">
        <v>29372</v>
      </c>
      <c r="G1657" t="s">
        <v>29379</v>
      </c>
      <c r="H1657" t="s">
        <v>29389</v>
      </c>
      <c r="I1657" t="s">
        <v>29429</v>
      </c>
      <c r="J1657" t="s">
        <v>30731</v>
      </c>
      <c r="K1657" t="s">
        <v>38488</v>
      </c>
      <c r="M1657" t="s">
        <v>39408</v>
      </c>
      <c r="N1657" t="s">
        <v>42669</v>
      </c>
      <c r="O1657" t="s">
        <v>42670</v>
      </c>
      <c r="P1657">
        <v>0</v>
      </c>
      <c r="Q1657">
        <v>1</v>
      </c>
      <c r="R1657" t="s">
        <v>42674</v>
      </c>
      <c r="S1657" t="s">
        <v>42788</v>
      </c>
      <c r="T1657" t="s">
        <v>44432</v>
      </c>
      <c r="U1657" t="s">
        <v>46184</v>
      </c>
      <c r="V1657" t="s">
        <v>56520</v>
      </c>
      <c r="W1657" t="s">
        <v>39408</v>
      </c>
      <c r="X1657" t="s">
        <v>42676</v>
      </c>
    </row>
    <row r="1658" spans="1:24">
      <c r="A1658">
        <f>HYPERLINK("https://www.philgeps.gov.ph/GEPSNONPILOT/Tender/SplashBidNoticeAbstractUI.aspx?menuIndex=3&amp;refID=7190226&amp;Result=3","7190226")</f>
        <v>0</v>
      </c>
      <c r="B1658" t="s">
        <v>618</v>
      </c>
      <c r="C1658" t="s">
        <v>5115</v>
      </c>
      <c r="D1658" t="s">
        <v>17183</v>
      </c>
      <c r="E1658" t="s">
        <v>18713</v>
      </c>
      <c r="F1658" t="s">
        <v>29372</v>
      </c>
      <c r="G1658" t="s">
        <v>29380</v>
      </c>
      <c r="H1658" t="s">
        <v>11048</v>
      </c>
      <c r="I1658" t="s">
        <v>29440</v>
      </c>
      <c r="J1658" t="s">
        <v>29694</v>
      </c>
      <c r="K1658" t="s">
        <v>38490</v>
      </c>
      <c r="M1658" t="s">
        <v>39389</v>
      </c>
      <c r="N1658" t="s">
        <v>42669</v>
      </c>
      <c r="O1658" t="s">
        <v>42670</v>
      </c>
      <c r="P1658">
        <v>0</v>
      </c>
      <c r="Q1658">
        <v>0</v>
      </c>
      <c r="R1658" t="s">
        <v>42674</v>
      </c>
      <c r="S1658" t="s">
        <v>42788</v>
      </c>
      <c r="T1658" t="s">
        <v>44525</v>
      </c>
      <c r="U1658" t="s">
        <v>46185</v>
      </c>
      <c r="W1658" t="s">
        <v>39389</v>
      </c>
      <c r="X1658" t="s">
        <v>42676</v>
      </c>
    </row>
    <row r="1659" spans="1:24">
      <c r="A1659">
        <f>HYPERLINK("https://www.philgeps.gov.ph/GEPSNONPILOT/Tender/SplashBidNoticeAbstractUI.aspx?menuIndex=3&amp;refID=7190107&amp;Result=3","7190107")</f>
        <v>0</v>
      </c>
      <c r="B1659" t="s">
        <v>636</v>
      </c>
      <c r="C1659" t="s">
        <v>5116</v>
      </c>
      <c r="D1659" t="s">
        <v>17169</v>
      </c>
      <c r="E1659" t="s">
        <v>18714</v>
      </c>
      <c r="F1659" t="s">
        <v>29372</v>
      </c>
      <c r="G1659" t="s">
        <v>29379</v>
      </c>
      <c r="H1659" t="s">
        <v>11048</v>
      </c>
      <c r="I1659" t="s">
        <v>14920</v>
      </c>
      <c r="J1659" t="s">
        <v>30732</v>
      </c>
      <c r="K1659" t="s">
        <v>38528</v>
      </c>
      <c r="M1659" t="s">
        <v>39409</v>
      </c>
      <c r="N1659" t="s">
        <v>42669</v>
      </c>
      <c r="O1659" t="s">
        <v>42670</v>
      </c>
      <c r="P1659">
        <v>0</v>
      </c>
      <c r="Q1659">
        <v>2</v>
      </c>
      <c r="R1659" t="s">
        <v>42674</v>
      </c>
      <c r="S1659" t="s">
        <v>42788</v>
      </c>
      <c r="T1659" t="s">
        <v>44429</v>
      </c>
      <c r="U1659" t="s">
        <v>46186</v>
      </c>
      <c r="V1659" t="s">
        <v>56521</v>
      </c>
      <c r="W1659" t="s">
        <v>39409</v>
      </c>
      <c r="X1659" t="s">
        <v>42676</v>
      </c>
    </row>
    <row r="1660" spans="1:24">
      <c r="A1660">
        <f>HYPERLINK("https://www.philgeps.gov.ph/GEPSNONPILOT/Tender/SplashBidNoticeAbstractUI.aspx?menuIndex=3&amp;refID=7190102&amp;Result=3","7190102")</f>
        <v>0</v>
      </c>
      <c r="B1660" t="s">
        <v>624</v>
      </c>
      <c r="C1660" t="s">
        <v>5117</v>
      </c>
      <c r="D1660" t="s">
        <v>17141</v>
      </c>
      <c r="E1660" t="s">
        <v>18715</v>
      </c>
      <c r="F1660" t="s">
        <v>29372</v>
      </c>
      <c r="G1660" t="s">
        <v>29379</v>
      </c>
      <c r="H1660" t="s">
        <v>11048</v>
      </c>
      <c r="I1660" t="s">
        <v>29474</v>
      </c>
      <c r="J1660" t="s">
        <v>29526</v>
      </c>
      <c r="K1660" t="s">
        <v>38487</v>
      </c>
      <c r="M1660" t="s">
        <v>39395</v>
      </c>
      <c r="N1660" t="s">
        <v>42669</v>
      </c>
      <c r="O1660" t="s">
        <v>42670</v>
      </c>
      <c r="P1660">
        <v>0</v>
      </c>
      <c r="Q1660">
        <v>1</v>
      </c>
      <c r="R1660" t="s">
        <v>42674</v>
      </c>
      <c r="S1660" t="s">
        <v>42788</v>
      </c>
      <c r="T1660" t="s">
        <v>44530</v>
      </c>
      <c r="U1660" t="s">
        <v>46162</v>
      </c>
      <c r="W1660" t="s">
        <v>39395</v>
      </c>
      <c r="X1660" t="s">
        <v>42676</v>
      </c>
    </row>
    <row r="1661" spans="1:24">
      <c r="A1661">
        <f>HYPERLINK("https://www.philgeps.gov.ph/GEPSNONPILOT/Tender/SplashBidNoticeAbstractUI.aspx?menuIndex=3&amp;refID=7190218&amp;Result=3","7190218")</f>
        <v>0</v>
      </c>
      <c r="B1661" t="s">
        <v>637</v>
      </c>
      <c r="C1661" t="s">
        <v>5118</v>
      </c>
      <c r="D1661" t="s">
        <v>17158</v>
      </c>
      <c r="E1661" t="s">
        <v>18716</v>
      </c>
      <c r="F1661" t="s">
        <v>29372</v>
      </c>
      <c r="G1661" t="s">
        <v>29380</v>
      </c>
      <c r="H1661" t="s">
        <v>11048</v>
      </c>
      <c r="I1661" t="s">
        <v>4709</v>
      </c>
      <c r="J1661" t="s">
        <v>30733</v>
      </c>
      <c r="K1661" t="s">
        <v>38488</v>
      </c>
      <c r="M1661" t="s">
        <v>39410</v>
      </c>
      <c r="N1661" t="s">
        <v>42669</v>
      </c>
      <c r="O1661" t="s">
        <v>42670</v>
      </c>
      <c r="P1661">
        <v>0</v>
      </c>
      <c r="Q1661">
        <v>0</v>
      </c>
      <c r="R1661" t="s">
        <v>42674</v>
      </c>
      <c r="S1661" t="s">
        <v>42788</v>
      </c>
      <c r="T1661" t="s">
        <v>44546</v>
      </c>
      <c r="U1661" t="s">
        <v>46187</v>
      </c>
      <c r="W1661" t="s">
        <v>39410</v>
      </c>
      <c r="X1661" t="s">
        <v>42676</v>
      </c>
    </row>
    <row r="1662" spans="1:24">
      <c r="A1662">
        <f>HYPERLINK("https://www.philgeps.gov.ph/GEPSNONPILOT/Tender/SplashBidNoticeAbstractUI.aspx?menuIndex=3&amp;refID=7190106&amp;Result=3","7190106")</f>
        <v>0</v>
      </c>
      <c r="B1662" t="s">
        <v>638</v>
      </c>
      <c r="C1662" t="s">
        <v>5119</v>
      </c>
      <c r="D1662" t="s">
        <v>17141</v>
      </c>
      <c r="E1662" t="s">
        <v>18717</v>
      </c>
      <c r="F1662" t="s">
        <v>29372</v>
      </c>
      <c r="G1662" t="s">
        <v>29383</v>
      </c>
      <c r="H1662" t="s">
        <v>11048</v>
      </c>
      <c r="I1662" t="s">
        <v>29426</v>
      </c>
      <c r="J1662" t="s">
        <v>30734</v>
      </c>
      <c r="K1662" t="s">
        <v>38488</v>
      </c>
      <c r="M1662" t="s">
        <v>39411</v>
      </c>
      <c r="N1662" t="s">
        <v>42669</v>
      </c>
      <c r="O1662" t="s">
        <v>42670</v>
      </c>
      <c r="P1662">
        <v>0</v>
      </c>
      <c r="Q1662">
        <v>8</v>
      </c>
      <c r="R1662" t="s">
        <v>42674</v>
      </c>
      <c r="S1662" t="s">
        <v>42788</v>
      </c>
      <c r="T1662" t="s">
        <v>44543</v>
      </c>
      <c r="U1662" t="s">
        <v>46188</v>
      </c>
      <c r="W1662" t="s">
        <v>39411</v>
      </c>
      <c r="X1662" t="s">
        <v>42676</v>
      </c>
    </row>
    <row r="1663" spans="1:24">
      <c r="A1663">
        <f>HYPERLINK("https://www.philgeps.gov.ph/GEPSNONPILOT/Tender/SplashBidNoticeAbstractUI.aspx?menuIndex=3&amp;refID=7190117&amp;Result=3","7190117")</f>
        <v>0</v>
      </c>
      <c r="B1663" t="s">
        <v>547</v>
      </c>
      <c r="C1663" t="s">
        <v>5120</v>
      </c>
      <c r="E1663" t="s">
        <v>18718</v>
      </c>
      <c r="F1663" t="s">
        <v>29372</v>
      </c>
      <c r="G1663" t="s">
        <v>29379</v>
      </c>
      <c r="H1663" t="s">
        <v>11048</v>
      </c>
      <c r="I1663" t="s">
        <v>29428</v>
      </c>
      <c r="J1663" t="s">
        <v>30735</v>
      </c>
      <c r="K1663" t="s">
        <v>38485</v>
      </c>
      <c r="M1663" t="s">
        <v>39363</v>
      </c>
      <c r="N1663" t="s">
        <v>42669</v>
      </c>
      <c r="O1663" t="s">
        <v>42670</v>
      </c>
      <c r="P1663">
        <v>0</v>
      </c>
      <c r="Q1663">
        <v>0</v>
      </c>
      <c r="R1663" t="s">
        <v>42674</v>
      </c>
      <c r="S1663" t="s">
        <v>42788</v>
      </c>
      <c r="T1663" t="s">
        <v>44509</v>
      </c>
      <c r="U1663" t="s">
        <v>46189</v>
      </c>
      <c r="W1663" t="s">
        <v>58018</v>
      </c>
      <c r="X1663" t="s">
        <v>42676</v>
      </c>
    </row>
    <row r="1664" spans="1:24">
      <c r="A1664">
        <f>HYPERLINK("https://www.philgeps.gov.ph/GEPSNONPILOT/Tender/SplashBidNoticeAbstractUI.aspx?menuIndex=3&amp;refID=7190221&amp;Result=3","7190221")</f>
        <v>0</v>
      </c>
      <c r="B1664" t="s">
        <v>621</v>
      </c>
      <c r="C1664" t="s">
        <v>4975</v>
      </c>
      <c r="D1664" t="s">
        <v>17175</v>
      </c>
      <c r="E1664" t="s">
        <v>18719</v>
      </c>
      <c r="F1664" t="s">
        <v>29372</v>
      </c>
      <c r="G1664" t="s">
        <v>29380</v>
      </c>
      <c r="H1664" t="s">
        <v>11048</v>
      </c>
      <c r="I1664" t="s">
        <v>29393</v>
      </c>
      <c r="J1664" t="s">
        <v>29708</v>
      </c>
      <c r="K1664" t="s">
        <v>38510</v>
      </c>
      <c r="M1664" t="s">
        <v>39392</v>
      </c>
      <c r="N1664" t="s">
        <v>42669</v>
      </c>
      <c r="O1664" t="s">
        <v>42670</v>
      </c>
      <c r="P1664">
        <v>0</v>
      </c>
      <c r="Q1664">
        <v>0</v>
      </c>
      <c r="R1664" t="s">
        <v>42674</v>
      </c>
      <c r="S1664" t="s">
        <v>42788</v>
      </c>
      <c r="T1664" t="s">
        <v>44430</v>
      </c>
      <c r="U1664" t="s">
        <v>46190</v>
      </c>
      <c r="V1664" t="s">
        <v>56522</v>
      </c>
      <c r="W1664" t="s">
        <v>39392</v>
      </c>
      <c r="X1664" t="s">
        <v>42676</v>
      </c>
    </row>
    <row r="1665" spans="1:24">
      <c r="A1665">
        <f>HYPERLINK("https://www.philgeps.gov.ph/GEPSNONPILOT/Tender/SplashBidNoticeAbstractUI.aspx?menuIndex=3&amp;refID=7190215&amp;Result=3","7190215")</f>
        <v>0</v>
      </c>
      <c r="B1665" t="s">
        <v>336</v>
      </c>
      <c r="C1665" t="s">
        <v>5121</v>
      </c>
      <c r="E1665" t="s">
        <v>18720</v>
      </c>
      <c r="F1665" t="s">
        <v>29372</v>
      </c>
      <c r="G1665" t="s">
        <v>29379</v>
      </c>
      <c r="H1665" t="s">
        <v>11048</v>
      </c>
      <c r="I1665" t="s">
        <v>29428</v>
      </c>
      <c r="J1665" t="s">
        <v>30736</v>
      </c>
      <c r="K1665" t="s">
        <v>38488</v>
      </c>
      <c r="M1665" t="s">
        <v>39401</v>
      </c>
      <c r="N1665" t="s">
        <v>42669</v>
      </c>
      <c r="O1665" t="s">
        <v>42670</v>
      </c>
      <c r="P1665">
        <v>0</v>
      </c>
      <c r="Q1665">
        <v>2</v>
      </c>
      <c r="R1665" t="s">
        <v>42674</v>
      </c>
      <c r="S1665" t="s">
        <v>42788</v>
      </c>
      <c r="T1665" t="s">
        <v>44417</v>
      </c>
      <c r="U1665" t="s">
        <v>46191</v>
      </c>
      <c r="V1665" t="s">
        <v>56523</v>
      </c>
      <c r="W1665" t="s">
        <v>39401</v>
      </c>
      <c r="X1665" t="s">
        <v>42676</v>
      </c>
    </row>
    <row r="1666" spans="1:24">
      <c r="A1666">
        <f>HYPERLINK("https://www.philgeps.gov.ph/GEPSNONPILOT/Tender/SplashBidNoticeAbstractUI.aspx?menuIndex=3&amp;refID=7190208&amp;Result=3","7190208")</f>
        <v>0</v>
      </c>
      <c r="B1666" t="s">
        <v>639</v>
      </c>
      <c r="C1666" t="s">
        <v>5122</v>
      </c>
      <c r="D1666" t="s">
        <v>17194</v>
      </c>
      <c r="E1666" t="s">
        <v>17344</v>
      </c>
      <c r="F1666" t="s">
        <v>29372</v>
      </c>
      <c r="G1666" t="s">
        <v>29380</v>
      </c>
      <c r="H1666" t="s">
        <v>11048</v>
      </c>
      <c r="I1666" t="s">
        <v>29435</v>
      </c>
      <c r="J1666" t="s">
        <v>30737</v>
      </c>
      <c r="K1666" t="s">
        <v>38491</v>
      </c>
      <c r="M1666" t="s">
        <v>39412</v>
      </c>
      <c r="N1666" t="s">
        <v>42669</v>
      </c>
      <c r="O1666" t="s">
        <v>42670</v>
      </c>
      <c r="P1666">
        <v>0</v>
      </c>
      <c r="Q1666">
        <v>0</v>
      </c>
      <c r="R1666" t="s">
        <v>42674</v>
      </c>
      <c r="S1666" t="s">
        <v>42788</v>
      </c>
      <c r="T1666" t="s">
        <v>44472</v>
      </c>
      <c r="U1666" t="s">
        <v>46192</v>
      </c>
      <c r="V1666" t="s">
        <v>56524</v>
      </c>
      <c r="W1666" t="s">
        <v>39412</v>
      </c>
      <c r="X1666" t="s">
        <v>42676</v>
      </c>
    </row>
    <row r="1667" spans="1:24">
      <c r="A1667">
        <f>HYPERLINK("https://www.philgeps.gov.ph/GEPSNONPILOT/Tender/SplashBidNoticeAbstractUI.aspx?menuIndex=3&amp;refID=7190207&amp;Result=3","7190207")</f>
        <v>0</v>
      </c>
      <c r="B1667" t="s">
        <v>591</v>
      </c>
      <c r="C1667" t="s">
        <v>5123</v>
      </c>
      <c r="D1667" t="s">
        <v>17169</v>
      </c>
      <c r="E1667" t="s">
        <v>18721</v>
      </c>
      <c r="F1667" t="s">
        <v>29372</v>
      </c>
      <c r="G1667" t="s">
        <v>29380</v>
      </c>
      <c r="H1667" t="s">
        <v>29389</v>
      </c>
      <c r="I1667" t="s">
        <v>10408</v>
      </c>
      <c r="J1667" t="s">
        <v>29625</v>
      </c>
      <c r="K1667" t="s">
        <v>38488</v>
      </c>
      <c r="M1667" t="s">
        <v>39361</v>
      </c>
      <c r="N1667" t="s">
        <v>42669</v>
      </c>
      <c r="O1667" t="s">
        <v>42670</v>
      </c>
      <c r="P1667">
        <v>0</v>
      </c>
      <c r="Q1667">
        <v>0</v>
      </c>
      <c r="R1667" t="s">
        <v>42674</v>
      </c>
      <c r="S1667" t="s">
        <v>42788</v>
      </c>
      <c r="T1667" t="s">
        <v>44430</v>
      </c>
      <c r="U1667" t="s">
        <v>46111</v>
      </c>
      <c r="W1667" t="s">
        <v>39361</v>
      </c>
      <c r="X1667" t="s">
        <v>42676</v>
      </c>
    </row>
    <row r="1668" spans="1:24">
      <c r="A1668">
        <f>HYPERLINK("https://www.philgeps.gov.ph/GEPSNONPILOT/Tender/SplashBidNoticeAbstractUI.aspx?menuIndex=3&amp;refID=7190224&amp;Result=3","7190224")</f>
        <v>0</v>
      </c>
      <c r="B1668" t="s">
        <v>640</v>
      </c>
      <c r="C1668" t="s">
        <v>5124</v>
      </c>
      <c r="D1668" t="s">
        <v>17176</v>
      </c>
      <c r="E1668" t="s">
        <v>17972</v>
      </c>
      <c r="F1668" t="s">
        <v>29372</v>
      </c>
      <c r="G1668" t="s">
        <v>29380</v>
      </c>
      <c r="H1668" t="s">
        <v>29389</v>
      </c>
      <c r="I1668" t="s">
        <v>10408</v>
      </c>
      <c r="J1668" t="s">
        <v>29680</v>
      </c>
      <c r="K1668" t="s">
        <v>38488</v>
      </c>
      <c r="M1668" t="s">
        <v>39413</v>
      </c>
      <c r="N1668" t="s">
        <v>42669</v>
      </c>
      <c r="O1668" t="s">
        <v>42670</v>
      </c>
      <c r="P1668">
        <v>0</v>
      </c>
      <c r="Q1668">
        <v>0</v>
      </c>
      <c r="R1668" t="s">
        <v>42674</v>
      </c>
      <c r="S1668" t="s">
        <v>42788</v>
      </c>
      <c r="T1668" t="s">
        <v>44430</v>
      </c>
      <c r="U1668" t="s">
        <v>46193</v>
      </c>
      <c r="W1668" t="s">
        <v>39413</v>
      </c>
      <c r="X1668" t="s">
        <v>42676</v>
      </c>
    </row>
    <row r="1669" spans="1:24">
      <c r="A1669">
        <f>HYPERLINK("https://www.philgeps.gov.ph/GEPSNONPILOT/Tender/SplashBidNoticeAbstractUI.aspx?menuIndex=3&amp;refID=7190200&amp;Result=3","7190200")</f>
        <v>0</v>
      </c>
      <c r="B1669" t="s">
        <v>625</v>
      </c>
      <c r="C1669" t="s">
        <v>5125</v>
      </c>
      <c r="D1669" t="s">
        <v>17189</v>
      </c>
      <c r="E1669" t="s">
        <v>17534</v>
      </c>
      <c r="F1669" t="s">
        <v>29372</v>
      </c>
      <c r="G1669" t="s">
        <v>29380</v>
      </c>
      <c r="H1669" t="s">
        <v>29389</v>
      </c>
      <c r="I1669" t="s">
        <v>29417</v>
      </c>
      <c r="J1669" t="s">
        <v>30738</v>
      </c>
      <c r="K1669" t="s">
        <v>38496</v>
      </c>
      <c r="M1669" t="s">
        <v>39396</v>
      </c>
      <c r="N1669" t="s">
        <v>42669</v>
      </c>
      <c r="O1669" t="s">
        <v>42670</v>
      </c>
      <c r="P1669">
        <v>0</v>
      </c>
      <c r="Q1669">
        <v>0</v>
      </c>
      <c r="R1669" t="s">
        <v>42674</v>
      </c>
      <c r="S1669" t="s">
        <v>42788</v>
      </c>
      <c r="T1669" t="s">
        <v>44503</v>
      </c>
      <c r="U1669" t="s">
        <v>46194</v>
      </c>
      <c r="W1669" t="s">
        <v>39396</v>
      </c>
      <c r="X1669" t="s">
        <v>42676</v>
      </c>
    </row>
    <row r="1670" spans="1:24">
      <c r="A1670">
        <f>HYPERLINK("https://www.philgeps.gov.ph/GEPSNONPILOT/Tender/SplashBidNoticeAbstractUI.aspx?menuIndex=3&amp;refID=7190198&amp;Result=3","7190198")</f>
        <v>0</v>
      </c>
      <c r="B1670" t="s">
        <v>618</v>
      </c>
      <c r="C1670" t="s">
        <v>5126</v>
      </c>
      <c r="D1670" t="s">
        <v>17183</v>
      </c>
      <c r="E1670" t="s">
        <v>18722</v>
      </c>
      <c r="F1670" t="s">
        <v>29372</v>
      </c>
      <c r="G1670" t="s">
        <v>29380</v>
      </c>
      <c r="H1670" t="s">
        <v>11048</v>
      </c>
      <c r="I1670" t="s">
        <v>29412</v>
      </c>
      <c r="J1670" t="s">
        <v>30739</v>
      </c>
      <c r="K1670" t="s">
        <v>38490</v>
      </c>
      <c r="M1670" t="s">
        <v>39389</v>
      </c>
      <c r="N1670" t="s">
        <v>42669</v>
      </c>
      <c r="O1670" t="s">
        <v>42670</v>
      </c>
      <c r="P1670">
        <v>0</v>
      </c>
      <c r="Q1670">
        <v>3</v>
      </c>
      <c r="R1670" t="s">
        <v>42674</v>
      </c>
      <c r="S1670" t="s">
        <v>42788</v>
      </c>
      <c r="T1670" t="s">
        <v>44525</v>
      </c>
      <c r="U1670" t="s">
        <v>46195</v>
      </c>
      <c r="W1670" t="s">
        <v>39389</v>
      </c>
      <c r="X1670" t="s">
        <v>42676</v>
      </c>
    </row>
    <row r="1671" spans="1:24">
      <c r="A1671">
        <f>HYPERLINK("https://www.philgeps.gov.ph/GEPSNONPILOT/Tender/SplashBidNoticeAbstractUI.aspx?menuIndex=3&amp;refID=7190197&amp;Result=3","7190197")</f>
        <v>0</v>
      </c>
      <c r="B1671" t="s">
        <v>641</v>
      </c>
      <c r="C1671" t="s">
        <v>5127</v>
      </c>
      <c r="D1671" t="s">
        <v>17142</v>
      </c>
      <c r="E1671" t="s">
        <v>18723</v>
      </c>
      <c r="F1671" t="s">
        <v>29372</v>
      </c>
      <c r="G1671" t="s">
        <v>29380</v>
      </c>
      <c r="H1671" t="s">
        <v>29389</v>
      </c>
      <c r="I1671" t="s">
        <v>10408</v>
      </c>
      <c r="J1671" t="s">
        <v>30412</v>
      </c>
      <c r="K1671" t="s">
        <v>38581</v>
      </c>
      <c r="M1671" t="s">
        <v>39414</v>
      </c>
      <c r="N1671" t="s">
        <v>42669</v>
      </c>
      <c r="O1671" t="s">
        <v>42670</v>
      </c>
      <c r="P1671">
        <v>0</v>
      </c>
      <c r="Q1671">
        <v>0</v>
      </c>
      <c r="R1671" t="s">
        <v>42674</v>
      </c>
      <c r="S1671" t="s">
        <v>42788</v>
      </c>
      <c r="T1671" t="s">
        <v>44456</v>
      </c>
      <c r="U1671" t="s">
        <v>46196</v>
      </c>
      <c r="W1671" t="s">
        <v>39414</v>
      </c>
      <c r="X1671" t="s">
        <v>42676</v>
      </c>
    </row>
    <row r="1672" spans="1:24">
      <c r="A1672">
        <f>HYPERLINK("https://www.philgeps.gov.ph/GEPSNONPILOT/Tender/SplashBidNoticeAbstractUI.aspx?menuIndex=3&amp;refID=7190191&amp;Result=3","7190191")</f>
        <v>0</v>
      </c>
      <c r="B1672" t="s">
        <v>642</v>
      </c>
      <c r="C1672" t="s">
        <v>5128</v>
      </c>
      <c r="D1672" t="s">
        <v>17161</v>
      </c>
      <c r="E1672" t="s">
        <v>18724</v>
      </c>
      <c r="F1672" t="s">
        <v>29373</v>
      </c>
      <c r="G1672" t="s">
        <v>29381</v>
      </c>
      <c r="H1672" t="s">
        <v>11048</v>
      </c>
      <c r="I1672" t="s">
        <v>3952</v>
      </c>
      <c r="J1672" t="s">
        <v>30127</v>
      </c>
      <c r="K1672" t="s">
        <v>38518</v>
      </c>
      <c r="M1672" t="s">
        <v>39415</v>
      </c>
      <c r="N1672" t="s">
        <v>42669</v>
      </c>
      <c r="O1672" t="s">
        <v>42670</v>
      </c>
      <c r="P1672">
        <v>0</v>
      </c>
      <c r="Q1672">
        <v>2</v>
      </c>
      <c r="R1672" t="s">
        <v>42674</v>
      </c>
      <c r="S1672" t="s">
        <v>42788</v>
      </c>
      <c r="T1672" t="s">
        <v>44510</v>
      </c>
      <c r="U1672" t="s">
        <v>46197</v>
      </c>
      <c r="W1672" t="s">
        <v>39415</v>
      </c>
      <c r="X1672" t="s">
        <v>42676</v>
      </c>
    </row>
    <row r="1673" spans="1:24">
      <c r="A1673">
        <f>HYPERLINK("https://www.philgeps.gov.ph/GEPSNONPILOT/Tender/SplashBidNoticeAbstractUI.aspx?menuIndex=3&amp;refID=7190187&amp;Result=3","7190187")</f>
        <v>0</v>
      </c>
      <c r="B1673" t="s">
        <v>643</v>
      </c>
      <c r="C1673" t="s">
        <v>5129</v>
      </c>
      <c r="D1673" t="s">
        <v>17169</v>
      </c>
      <c r="E1673" t="s">
        <v>18725</v>
      </c>
      <c r="F1673" t="s">
        <v>29372</v>
      </c>
      <c r="G1673" t="s">
        <v>29380</v>
      </c>
      <c r="H1673" t="s">
        <v>11048</v>
      </c>
      <c r="I1673" t="s">
        <v>9469</v>
      </c>
      <c r="J1673" t="s">
        <v>29801</v>
      </c>
      <c r="K1673" t="s">
        <v>38488</v>
      </c>
      <c r="L1673" t="s">
        <v>643</v>
      </c>
      <c r="M1673" t="s">
        <v>39416</v>
      </c>
      <c r="N1673" t="s">
        <v>42669</v>
      </c>
      <c r="O1673" t="s">
        <v>42670</v>
      </c>
      <c r="P1673">
        <v>0</v>
      </c>
      <c r="Q1673">
        <v>2</v>
      </c>
      <c r="R1673" t="s">
        <v>42674</v>
      </c>
      <c r="S1673" t="s">
        <v>42788</v>
      </c>
      <c r="T1673" t="s">
        <v>44430</v>
      </c>
      <c r="U1673" t="s">
        <v>46198</v>
      </c>
      <c r="W1673" t="s">
        <v>39416</v>
      </c>
      <c r="X1673" t="s">
        <v>42676</v>
      </c>
    </row>
    <row r="1674" spans="1:24">
      <c r="A1674">
        <f>HYPERLINK("https://www.philgeps.gov.ph/GEPSNONPILOT/Tender/SplashBidNoticeAbstractUI.aspx?menuIndex=3&amp;refID=7190185&amp;Result=3","7190185")</f>
        <v>0</v>
      </c>
      <c r="B1674" t="s">
        <v>644</v>
      </c>
      <c r="C1674" t="s">
        <v>5130</v>
      </c>
      <c r="D1674" t="s">
        <v>17197</v>
      </c>
      <c r="E1674" t="s">
        <v>18726</v>
      </c>
      <c r="F1674" t="s">
        <v>29372</v>
      </c>
      <c r="G1674" t="s">
        <v>29380</v>
      </c>
      <c r="H1674" t="s">
        <v>29389</v>
      </c>
      <c r="I1674" t="s">
        <v>10408</v>
      </c>
      <c r="J1674" t="s">
        <v>29543</v>
      </c>
      <c r="K1674" t="s">
        <v>38496</v>
      </c>
      <c r="M1674" t="s">
        <v>39417</v>
      </c>
      <c r="N1674" t="s">
        <v>42669</v>
      </c>
      <c r="O1674" t="s">
        <v>42670</v>
      </c>
      <c r="P1674">
        <v>0</v>
      </c>
      <c r="Q1674">
        <v>0</v>
      </c>
      <c r="R1674" t="s">
        <v>42674</v>
      </c>
      <c r="S1674" t="s">
        <v>42788</v>
      </c>
      <c r="T1674" t="s">
        <v>44541</v>
      </c>
      <c r="U1674" t="s">
        <v>46199</v>
      </c>
      <c r="W1674" t="s">
        <v>39417</v>
      </c>
      <c r="X1674" t="s">
        <v>42676</v>
      </c>
    </row>
    <row r="1675" spans="1:24">
      <c r="A1675">
        <f>HYPERLINK("https://www.philgeps.gov.ph/GEPSNONPILOT/Tender/SplashBidNoticeAbstractUI.aspx?menuIndex=3&amp;refID=7190264&amp;Result=3","7190264")</f>
        <v>0</v>
      </c>
      <c r="B1675" t="s">
        <v>645</v>
      </c>
      <c r="C1675" t="s">
        <v>5131</v>
      </c>
      <c r="D1675" t="s">
        <v>17193</v>
      </c>
      <c r="E1675" t="s">
        <v>17428</v>
      </c>
      <c r="F1675" t="s">
        <v>29372</v>
      </c>
      <c r="G1675" t="s">
        <v>29379</v>
      </c>
      <c r="H1675" t="s">
        <v>11048</v>
      </c>
      <c r="I1675" t="s">
        <v>3839</v>
      </c>
      <c r="J1675" t="s">
        <v>30740</v>
      </c>
      <c r="K1675" t="s">
        <v>38490</v>
      </c>
      <c r="M1675" t="s">
        <v>39418</v>
      </c>
      <c r="N1675" t="s">
        <v>42669</v>
      </c>
      <c r="O1675" t="s">
        <v>42670</v>
      </c>
      <c r="P1675">
        <v>0</v>
      </c>
      <c r="Q1675">
        <v>3</v>
      </c>
      <c r="R1675" t="s">
        <v>42674</v>
      </c>
      <c r="S1675" t="s">
        <v>42788</v>
      </c>
      <c r="T1675" t="s">
        <v>44488</v>
      </c>
      <c r="U1675" t="s">
        <v>46200</v>
      </c>
      <c r="W1675" t="s">
        <v>39418</v>
      </c>
      <c r="X1675" t="s">
        <v>42676</v>
      </c>
    </row>
    <row r="1676" spans="1:24">
      <c r="A1676">
        <f>HYPERLINK("https://www.philgeps.gov.ph/GEPSNONPILOT/Tender/SplashBidNoticeAbstractUI.aspx?menuIndex=3&amp;refID=7190271&amp;Result=3","7190271")</f>
        <v>0</v>
      </c>
      <c r="B1676" t="s">
        <v>646</v>
      </c>
      <c r="C1676" t="s">
        <v>3816</v>
      </c>
      <c r="D1676" t="s">
        <v>17164</v>
      </c>
      <c r="E1676" t="s">
        <v>18727</v>
      </c>
      <c r="F1676" t="s">
        <v>29372</v>
      </c>
      <c r="G1676" t="s">
        <v>29382</v>
      </c>
      <c r="H1676" t="s">
        <v>11048</v>
      </c>
      <c r="I1676" t="s">
        <v>4487</v>
      </c>
      <c r="J1676" t="s">
        <v>30741</v>
      </c>
      <c r="K1676" t="s">
        <v>38491</v>
      </c>
      <c r="M1676" t="s">
        <v>39419</v>
      </c>
      <c r="N1676" t="s">
        <v>42669</v>
      </c>
      <c r="O1676" t="s">
        <v>42670</v>
      </c>
      <c r="P1676">
        <v>0</v>
      </c>
      <c r="Q1676">
        <v>2</v>
      </c>
      <c r="R1676" t="s">
        <v>42674</v>
      </c>
      <c r="S1676" t="s">
        <v>42788</v>
      </c>
      <c r="T1676" t="s">
        <v>44488</v>
      </c>
      <c r="U1676" t="s">
        <v>46201</v>
      </c>
      <c r="W1676" t="s">
        <v>39419</v>
      </c>
      <c r="X1676" t="s">
        <v>42676</v>
      </c>
    </row>
    <row r="1677" spans="1:24">
      <c r="A1677">
        <f>HYPERLINK("https://www.philgeps.gov.ph/GEPSNONPILOT/Tender/SplashBidNoticeAbstractUI.aspx?menuIndex=3&amp;refID=7190269&amp;Result=3","7190269")</f>
        <v>0</v>
      </c>
      <c r="B1677" t="s">
        <v>642</v>
      </c>
      <c r="C1677" t="s">
        <v>5132</v>
      </c>
      <c r="D1677" t="s">
        <v>17161</v>
      </c>
      <c r="E1677" t="s">
        <v>18728</v>
      </c>
      <c r="F1677" t="s">
        <v>29373</v>
      </c>
      <c r="G1677" t="s">
        <v>29381</v>
      </c>
      <c r="H1677" t="s">
        <v>11048</v>
      </c>
      <c r="I1677" t="s">
        <v>29426</v>
      </c>
      <c r="J1677" t="s">
        <v>30742</v>
      </c>
      <c r="K1677" t="s">
        <v>38518</v>
      </c>
      <c r="M1677" t="s">
        <v>39415</v>
      </c>
      <c r="N1677" t="s">
        <v>42669</v>
      </c>
      <c r="O1677" t="s">
        <v>42670</v>
      </c>
      <c r="Q1677">
        <v>1</v>
      </c>
      <c r="R1677" t="s">
        <v>42674</v>
      </c>
      <c r="S1677" t="s">
        <v>42790</v>
      </c>
      <c r="T1677" t="s">
        <v>44547</v>
      </c>
      <c r="U1677" t="s">
        <v>46202</v>
      </c>
      <c r="W1677" t="s">
        <v>39415</v>
      </c>
      <c r="X1677" t="s">
        <v>42676</v>
      </c>
    </row>
    <row r="1678" spans="1:24">
      <c r="A1678">
        <f>HYPERLINK("https://www.philgeps.gov.ph/GEPSNONPILOT/Tender/SplashBidNoticeAbstractUI.aspx?menuIndex=3&amp;refID=7190085&amp;Result=3","7190085")</f>
        <v>0</v>
      </c>
      <c r="B1678" t="s">
        <v>130</v>
      </c>
      <c r="C1678" t="s">
        <v>5133</v>
      </c>
      <c r="D1678" t="s">
        <v>17185</v>
      </c>
      <c r="E1678" t="s">
        <v>18729</v>
      </c>
      <c r="F1678" t="s">
        <v>29372</v>
      </c>
      <c r="G1678" t="s">
        <v>29379</v>
      </c>
      <c r="H1678" t="s">
        <v>11048</v>
      </c>
      <c r="I1678" t="s">
        <v>29394</v>
      </c>
      <c r="J1678" t="s">
        <v>30743</v>
      </c>
      <c r="K1678" t="s">
        <v>38489</v>
      </c>
      <c r="M1678" t="s">
        <v>39420</v>
      </c>
      <c r="N1678" t="s">
        <v>42669</v>
      </c>
      <c r="O1678" t="s">
        <v>42670</v>
      </c>
      <c r="P1678">
        <v>0</v>
      </c>
      <c r="Q1678">
        <v>5</v>
      </c>
      <c r="R1678" t="s">
        <v>42674</v>
      </c>
      <c r="S1678" t="s">
        <v>42788</v>
      </c>
      <c r="T1678" t="s">
        <v>44548</v>
      </c>
      <c r="U1678" t="s">
        <v>46203</v>
      </c>
      <c r="W1678" t="s">
        <v>39420</v>
      </c>
      <c r="X1678" t="s">
        <v>42676</v>
      </c>
    </row>
    <row r="1679" spans="1:24">
      <c r="A1679">
        <f>HYPERLINK("https://www.philgeps.gov.ph/GEPSNONPILOT/Tender/SplashBidNoticeAbstractUI.aspx?menuIndex=3&amp;refID=7190216&amp;Result=3","7190216")</f>
        <v>0</v>
      </c>
      <c r="B1679" t="s">
        <v>645</v>
      </c>
      <c r="C1679" t="s">
        <v>4557</v>
      </c>
      <c r="D1679" t="s">
        <v>17193</v>
      </c>
      <c r="E1679" t="s">
        <v>18602</v>
      </c>
      <c r="F1679" t="s">
        <v>29372</v>
      </c>
      <c r="G1679" t="s">
        <v>29379</v>
      </c>
      <c r="H1679" t="s">
        <v>11048</v>
      </c>
      <c r="I1679" t="s">
        <v>5383</v>
      </c>
      <c r="J1679" t="s">
        <v>30744</v>
      </c>
      <c r="K1679" t="s">
        <v>38528</v>
      </c>
      <c r="M1679" t="s">
        <v>39418</v>
      </c>
      <c r="N1679" t="s">
        <v>42669</v>
      </c>
      <c r="O1679" t="s">
        <v>42670</v>
      </c>
      <c r="P1679">
        <v>0</v>
      </c>
      <c r="Q1679">
        <v>6</v>
      </c>
      <c r="R1679" t="s">
        <v>42674</v>
      </c>
      <c r="S1679" t="s">
        <v>42788</v>
      </c>
      <c r="T1679" t="s">
        <v>44488</v>
      </c>
      <c r="U1679" t="s">
        <v>46204</v>
      </c>
      <c r="W1679" t="s">
        <v>39418</v>
      </c>
      <c r="X1679" t="s">
        <v>42676</v>
      </c>
    </row>
    <row r="1680" spans="1:24">
      <c r="A1680">
        <f>HYPERLINK("https://www.philgeps.gov.ph/GEPSNONPILOT/Tender/SplashBidNoticeAbstractUI.aspx?menuIndex=3&amp;refID=7190263&amp;Result=3","7190263")</f>
        <v>0</v>
      </c>
      <c r="B1680" t="s">
        <v>647</v>
      </c>
      <c r="C1680" t="s">
        <v>5134</v>
      </c>
      <c r="E1680" t="s">
        <v>18730</v>
      </c>
      <c r="F1680" t="s">
        <v>29375</v>
      </c>
      <c r="G1680" t="s">
        <v>29383</v>
      </c>
      <c r="H1680" t="s">
        <v>11048</v>
      </c>
      <c r="I1680" t="s">
        <v>3670</v>
      </c>
      <c r="J1680" t="s">
        <v>30745</v>
      </c>
      <c r="K1680" t="s">
        <v>38490</v>
      </c>
      <c r="M1680" t="s">
        <v>39421</v>
      </c>
      <c r="N1680" t="s">
        <v>42669</v>
      </c>
      <c r="O1680" t="s">
        <v>42670</v>
      </c>
      <c r="P1680">
        <v>0</v>
      </c>
      <c r="Q1680">
        <v>0</v>
      </c>
      <c r="R1680" t="s">
        <v>42674</v>
      </c>
      <c r="S1680" t="s">
        <v>42788</v>
      </c>
      <c r="T1680" t="s">
        <v>44549</v>
      </c>
      <c r="U1680" t="s">
        <v>46205</v>
      </c>
      <c r="W1680" t="s">
        <v>39421</v>
      </c>
      <c r="X1680" t="s">
        <v>42676</v>
      </c>
    </row>
    <row r="1681" spans="1:24">
      <c r="A1681">
        <f>HYPERLINK("https://www.philgeps.gov.ph/GEPSNONPILOT/Tender/SplashBidNoticeAbstractUI.aspx?menuIndex=3&amp;refID=7190211&amp;Result=3","7190211")</f>
        <v>0</v>
      </c>
      <c r="B1681" t="s">
        <v>618</v>
      </c>
      <c r="C1681" t="s">
        <v>5135</v>
      </c>
      <c r="D1681" t="s">
        <v>17183</v>
      </c>
      <c r="E1681" t="s">
        <v>18731</v>
      </c>
      <c r="F1681" t="s">
        <v>29372</v>
      </c>
      <c r="G1681" t="s">
        <v>29380</v>
      </c>
      <c r="H1681" t="s">
        <v>11048</v>
      </c>
      <c r="I1681" t="s">
        <v>29395</v>
      </c>
      <c r="J1681" t="s">
        <v>30746</v>
      </c>
      <c r="K1681" t="s">
        <v>38490</v>
      </c>
      <c r="M1681" t="s">
        <v>39389</v>
      </c>
      <c r="N1681" t="s">
        <v>42669</v>
      </c>
      <c r="O1681" t="s">
        <v>42670</v>
      </c>
      <c r="P1681">
        <v>0</v>
      </c>
      <c r="Q1681">
        <v>2</v>
      </c>
      <c r="R1681" t="s">
        <v>42674</v>
      </c>
      <c r="S1681" t="s">
        <v>42788</v>
      </c>
      <c r="T1681" t="s">
        <v>44525</v>
      </c>
      <c r="U1681" t="s">
        <v>46206</v>
      </c>
      <c r="W1681" t="s">
        <v>39389</v>
      </c>
      <c r="X1681" t="s">
        <v>42676</v>
      </c>
    </row>
    <row r="1682" spans="1:24">
      <c r="A1682">
        <f>HYPERLINK("https://www.philgeps.gov.ph/GEPSNONPILOT/Tender/SplashBidNoticeAbstractUI.aspx?menuIndex=3&amp;refID=7190258&amp;Result=3","7190258")</f>
        <v>0</v>
      </c>
      <c r="B1682" t="s">
        <v>336</v>
      </c>
      <c r="C1682" t="s">
        <v>5136</v>
      </c>
      <c r="D1682" t="s">
        <v>17154</v>
      </c>
      <c r="E1682" t="s">
        <v>18732</v>
      </c>
      <c r="F1682" t="s">
        <v>29372</v>
      </c>
      <c r="G1682" t="s">
        <v>29379</v>
      </c>
      <c r="H1682" t="s">
        <v>11048</v>
      </c>
      <c r="I1682" t="s">
        <v>29415</v>
      </c>
      <c r="J1682" t="s">
        <v>30747</v>
      </c>
      <c r="K1682" t="s">
        <v>38488</v>
      </c>
      <c r="M1682" t="s">
        <v>39401</v>
      </c>
      <c r="N1682" t="s">
        <v>42669</v>
      </c>
      <c r="O1682" t="s">
        <v>42670</v>
      </c>
      <c r="P1682">
        <v>0</v>
      </c>
      <c r="Q1682">
        <v>1</v>
      </c>
      <c r="R1682" t="s">
        <v>42674</v>
      </c>
      <c r="S1682" t="s">
        <v>42788</v>
      </c>
      <c r="T1682" t="s">
        <v>44417</v>
      </c>
      <c r="U1682" t="s">
        <v>46207</v>
      </c>
      <c r="V1682" t="s">
        <v>56525</v>
      </c>
      <c r="W1682" t="s">
        <v>39401</v>
      </c>
      <c r="X1682" t="s">
        <v>42676</v>
      </c>
    </row>
    <row r="1683" spans="1:24">
      <c r="A1683">
        <f>HYPERLINK("https://www.philgeps.gov.ph/GEPSNONPILOT/Tender/SplashBidNoticeAbstractUI.aspx?menuIndex=3&amp;refID=7190203&amp;Result=3","7190203")</f>
        <v>0</v>
      </c>
      <c r="B1683" t="s">
        <v>648</v>
      </c>
      <c r="C1683" t="s">
        <v>5137</v>
      </c>
      <c r="D1683" t="s">
        <v>17178</v>
      </c>
      <c r="E1683" t="s">
        <v>18733</v>
      </c>
      <c r="F1683" t="s">
        <v>29372</v>
      </c>
      <c r="G1683" t="s">
        <v>29380</v>
      </c>
      <c r="H1683" t="s">
        <v>11048</v>
      </c>
      <c r="I1683" t="s">
        <v>3952</v>
      </c>
      <c r="J1683" t="s">
        <v>30748</v>
      </c>
      <c r="K1683" t="s">
        <v>38485</v>
      </c>
      <c r="M1683" t="s">
        <v>39422</v>
      </c>
      <c r="N1683" t="s">
        <v>42669</v>
      </c>
      <c r="O1683" t="s">
        <v>42670</v>
      </c>
      <c r="P1683">
        <v>0</v>
      </c>
      <c r="Q1683">
        <v>0</v>
      </c>
      <c r="R1683" t="s">
        <v>42674</v>
      </c>
      <c r="S1683" t="s">
        <v>42788</v>
      </c>
      <c r="T1683" t="s">
        <v>44525</v>
      </c>
      <c r="U1683" t="s">
        <v>46208</v>
      </c>
      <c r="W1683" t="s">
        <v>39422</v>
      </c>
      <c r="X1683" t="s">
        <v>42676</v>
      </c>
    </row>
    <row r="1684" spans="1:24">
      <c r="A1684">
        <f>HYPERLINK("https://www.philgeps.gov.ph/GEPSNONPILOT/Tender/SplashBidNoticeAbstractUI.aspx?menuIndex=3&amp;refID=7190252&amp;Result=3","7190252")</f>
        <v>0</v>
      </c>
      <c r="B1684" t="s">
        <v>645</v>
      </c>
      <c r="C1684" t="s">
        <v>5138</v>
      </c>
      <c r="D1684" t="s">
        <v>17193</v>
      </c>
      <c r="E1684" t="s">
        <v>18734</v>
      </c>
      <c r="F1684" t="s">
        <v>29372</v>
      </c>
      <c r="G1684" t="s">
        <v>29379</v>
      </c>
      <c r="H1684" t="s">
        <v>11048</v>
      </c>
      <c r="I1684" t="s">
        <v>4235</v>
      </c>
      <c r="J1684" t="s">
        <v>30749</v>
      </c>
      <c r="K1684" t="s">
        <v>38528</v>
      </c>
      <c r="M1684" t="s">
        <v>39418</v>
      </c>
      <c r="N1684" t="s">
        <v>42669</v>
      </c>
      <c r="O1684" t="s">
        <v>42670</v>
      </c>
      <c r="P1684">
        <v>0</v>
      </c>
      <c r="Q1684">
        <v>4</v>
      </c>
      <c r="R1684" t="s">
        <v>42674</v>
      </c>
      <c r="S1684" t="s">
        <v>42788</v>
      </c>
      <c r="T1684" t="s">
        <v>44488</v>
      </c>
      <c r="U1684" t="s">
        <v>46209</v>
      </c>
      <c r="W1684" t="s">
        <v>39418</v>
      </c>
      <c r="X1684" t="s">
        <v>42676</v>
      </c>
    </row>
    <row r="1685" spans="1:24">
      <c r="A1685">
        <f>HYPERLINK("https://www.philgeps.gov.ph/GEPSNONPILOT/Tender/SplashBidNoticeAbstractUI.aspx?menuIndex=3&amp;refID=7190262&amp;Result=3","7190262")</f>
        <v>0</v>
      </c>
      <c r="B1685" t="s">
        <v>649</v>
      </c>
      <c r="C1685" t="s">
        <v>5139</v>
      </c>
      <c r="D1685" t="s">
        <v>17162</v>
      </c>
      <c r="E1685" t="s">
        <v>18735</v>
      </c>
      <c r="F1685" t="s">
        <v>29372</v>
      </c>
      <c r="G1685" t="s">
        <v>29380</v>
      </c>
      <c r="H1685" t="s">
        <v>11048</v>
      </c>
      <c r="I1685" t="s">
        <v>4487</v>
      </c>
      <c r="J1685" t="s">
        <v>30750</v>
      </c>
      <c r="K1685" t="s">
        <v>38510</v>
      </c>
      <c r="M1685" t="s">
        <v>39423</v>
      </c>
      <c r="N1685" t="s">
        <v>42669</v>
      </c>
      <c r="O1685" t="s">
        <v>42670</v>
      </c>
      <c r="P1685">
        <v>0</v>
      </c>
      <c r="Q1685">
        <v>5</v>
      </c>
      <c r="R1685" t="s">
        <v>42674</v>
      </c>
      <c r="S1685" t="s">
        <v>42788</v>
      </c>
      <c r="T1685" t="s">
        <v>44550</v>
      </c>
      <c r="U1685" t="s">
        <v>46210</v>
      </c>
      <c r="W1685" t="s">
        <v>39423</v>
      </c>
      <c r="X1685" t="s">
        <v>42676</v>
      </c>
    </row>
    <row r="1686" spans="1:24">
      <c r="A1686">
        <f>HYPERLINK("https://www.philgeps.gov.ph/GEPSNONPILOT/Tender/SplashBidNoticeAbstractUI.aspx?menuIndex=3&amp;refID=7190250&amp;Result=3","7190250")</f>
        <v>0</v>
      </c>
      <c r="B1686" t="s">
        <v>134</v>
      </c>
      <c r="C1686" t="s">
        <v>5140</v>
      </c>
      <c r="D1686" t="s">
        <v>17177</v>
      </c>
      <c r="E1686" t="s">
        <v>18736</v>
      </c>
      <c r="F1686" t="s">
        <v>29372</v>
      </c>
      <c r="G1686" t="s">
        <v>29380</v>
      </c>
      <c r="H1686" t="s">
        <v>11048</v>
      </c>
      <c r="I1686" t="s">
        <v>9469</v>
      </c>
      <c r="J1686" t="s">
        <v>30751</v>
      </c>
      <c r="K1686" t="s">
        <v>38487</v>
      </c>
      <c r="M1686" t="s">
        <v>38889</v>
      </c>
      <c r="N1686" t="s">
        <v>42669</v>
      </c>
      <c r="O1686" t="s">
        <v>42670</v>
      </c>
      <c r="Q1686">
        <v>4</v>
      </c>
      <c r="R1686" t="s">
        <v>42674</v>
      </c>
      <c r="S1686" t="s">
        <v>42791</v>
      </c>
      <c r="T1686" t="s">
        <v>44544</v>
      </c>
      <c r="U1686" t="s">
        <v>46211</v>
      </c>
      <c r="V1686" t="s">
        <v>56517</v>
      </c>
      <c r="W1686" t="s">
        <v>38889</v>
      </c>
      <c r="X1686" t="s">
        <v>42676</v>
      </c>
    </row>
    <row r="1687" spans="1:24">
      <c r="A1687">
        <f>HYPERLINK("https://www.philgeps.gov.ph/GEPSNONPILOT/Tender/SplashBidNoticeAbstractUI.aspx?menuIndex=3&amp;refID=7190266&amp;Result=3","7190266")</f>
        <v>0</v>
      </c>
      <c r="B1687" t="s">
        <v>613</v>
      </c>
      <c r="C1687" t="s">
        <v>5141</v>
      </c>
      <c r="D1687" t="s">
        <v>17205</v>
      </c>
      <c r="E1687" t="s">
        <v>18737</v>
      </c>
      <c r="F1687" t="s">
        <v>29372</v>
      </c>
      <c r="G1687" t="s">
        <v>29379</v>
      </c>
      <c r="H1687" t="s">
        <v>11048</v>
      </c>
      <c r="I1687" t="s">
        <v>29400</v>
      </c>
      <c r="J1687" t="s">
        <v>30752</v>
      </c>
      <c r="K1687" t="s">
        <v>38490</v>
      </c>
      <c r="M1687" t="s">
        <v>39384</v>
      </c>
      <c r="N1687" t="s">
        <v>42669</v>
      </c>
      <c r="O1687" t="s">
        <v>42670</v>
      </c>
      <c r="P1687">
        <v>0</v>
      </c>
      <c r="Q1687">
        <v>1</v>
      </c>
      <c r="R1687" t="s">
        <v>42674</v>
      </c>
      <c r="S1687" t="s">
        <v>42788</v>
      </c>
      <c r="T1687" t="s">
        <v>44417</v>
      </c>
      <c r="U1687" t="s">
        <v>46150</v>
      </c>
      <c r="V1687" t="s">
        <v>56514</v>
      </c>
      <c r="W1687" t="s">
        <v>39384</v>
      </c>
      <c r="X1687" t="s">
        <v>42676</v>
      </c>
    </row>
    <row r="1688" spans="1:24">
      <c r="A1688">
        <f>HYPERLINK("https://www.philgeps.gov.ph/GEPSNONPILOT/Tender/SplashBidNoticeAbstractUI.aspx?menuIndex=3&amp;refID=7190247&amp;Result=3","7190247")</f>
        <v>0</v>
      </c>
      <c r="B1688" t="s">
        <v>650</v>
      </c>
      <c r="C1688" t="s">
        <v>5142</v>
      </c>
      <c r="D1688" t="s">
        <v>17144</v>
      </c>
      <c r="E1688" t="s">
        <v>18738</v>
      </c>
      <c r="F1688" t="s">
        <v>29372</v>
      </c>
      <c r="G1688" t="s">
        <v>29379</v>
      </c>
      <c r="H1688" t="s">
        <v>11048</v>
      </c>
      <c r="I1688" t="s">
        <v>10408</v>
      </c>
      <c r="J1688" t="s">
        <v>30753</v>
      </c>
      <c r="K1688" t="s">
        <v>38510</v>
      </c>
      <c r="M1688" t="s">
        <v>39424</v>
      </c>
      <c r="N1688" t="s">
        <v>42669</v>
      </c>
      <c r="O1688" t="s">
        <v>42670</v>
      </c>
      <c r="P1688">
        <v>0</v>
      </c>
      <c r="Q1688">
        <v>0</v>
      </c>
      <c r="R1688" t="s">
        <v>42674</v>
      </c>
      <c r="S1688" t="s">
        <v>42788</v>
      </c>
      <c r="T1688" t="s">
        <v>44454</v>
      </c>
      <c r="U1688" t="s">
        <v>46212</v>
      </c>
      <c r="V1688" t="s">
        <v>56526</v>
      </c>
      <c r="W1688" t="s">
        <v>39424</v>
      </c>
      <c r="X1688" t="s">
        <v>42676</v>
      </c>
    </row>
    <row r="1689" spans="1:24">
      <c r="A1689">
        <f>HYPERLINK("https://www.philgeps.gov.ph/GEPSNONPILOT/Tender/SplashBidNoticeAbstractUI.aspx?menuIndex=3&amp;refID=7190246&amp;Result=3","7190246")</f>
        <v>0</v>
      </c>
      <c r="B1689" t="s">
        <v>651</v>
      </c>
      <c r="C1689" t="s">
        <v>5143</v>
      </c>
      <c r="D1689" t="s">
        <v>17180</v>
      </c>
      <c r="E1689" t="s">
        <v>18739</v>
      </c>
      <c r="F1689" t="s">
        <v>29372</v>
      </c>
      <c r="G1689" t="s">
        <v>29380</v>
      </c>
      <c r="H1689" t="s">
        <v>29389</v>
      </c>
      <c r="I1689" t="s">
        <v>10408</v>
      </c>
      <c r="J1689" t="s">
        <v>30754</v>
      </c>
      <c r="K1689" t="s">
        <v>38495</v>
      </c>
      <c r="M1689" t="s">
        <v>39425</v>
      </c>
      <c r="N1689" t="s">
        <v>42669</v>
      </c>
      <c r="O1689" t="s">
        <v>42670</v>
      </c>
      <c r="P1689">
        <v>0</v>
      </c>
      <c r="Q1689">
        <v>2</v>
      </c>
      <c r="R1689" t="s">
        <v>42674</v>
      </c>
      <c r="S1689" t="s">
        <v>42788</v>
      </c>
      <c r="T1689" t="s">
        <v>44539</v>
      </c>
      <c r="U1689" t="s">
        <v>46213</v>
      </c>
      <c r="W1689" t="s">
        <v>39425</v>
      </c>
      <c r="X1689" t="s">
        <v>42676</v>
      </c>
    </row>
    <row r="1690" spans="1:24">
      <c r="A1690">
        <f>HYPERLINK("https://www.philgeps.gov.ph/GEPSNONPILOT/Tender/SplashBidNoticeAbstractUI.aspx?menuIndex=3&amp;refID=7190243&amp;Result=3","7190243")</f>
        <v>0</v>
      </c>
      <c r="B1690" t="s">
        <v>652</v>
      </c>
      <c r="C1690" t="s">
        <v>5144</v>
      </c>
      <c r="D1690" t="s">
        <v>17169</v>
      </c>
      <c r="E1690" t="s">
        <v>18740</v>
      </c>
      <c r="F1690" t="s">
        <v>29372</v>
      </c>
      <c r="G1690" t="s">
        <v>29379</v>
      </c>
      <c r="H1690" t="s">
        <v>11048</v>
      </c>
      <c r="I1690" t="s">
        <v>29412</v>
      </c>
      <c r="J1690" t="s">
        <v>30038</v>
      </c>
      <c r="K1690" t="s">
        <v>38490</v>
      </c>
      <c r="M1690" t="s">
        <v>39426</v>
      </c>
      <c r="N1690" t="s">
        <v>42669</v>
      </c>
      <c r="O1690" t="s">
        <v>42670</v>
      </c>
      <c r="P1690">
        <v>0</v>
      </c>
      <c r="Q1690">
        <v>2</v>
      </c>
      <c r="R1690" t="s">
        <v>42674</v>
      </c>
      <c r="S1690" t="s">
        <v>42788</v>
      </c>
      <c r="T1690" t="s">
        <v>44451</v>
      </c>
      <c r="U1690" t="s">
        <v>46214</v>
      </c>
      <c r="W1690" t="s">
        <v>39426</v>
      </c>
      <c r="X1690" t="s">
        <v>42676</v>
      </c>
    </row>
    <row r="1691" spans="1:24">
      <c r="A1691">
        <f>HYPERLINK("https://www.philgeps.gov.ph/GEPSNONPILOT/Tender/SplashBidNoticeAbstractUI.aspx?menuIndex=3&amp;refID=7190219&amp;Result=3","7190219")</f>
        <v>0</v>
      </c>
      <c r="B1691" t="s">
        <v>653</v>
      </c>
      <c r="C1691" t="s">
        <v>5145</v>
      </c>
      <c r="D1691" t="s">
        <v>17183</v>
      </c>
      <c r="E1691" t="s">
        <v>18741</v>
      </c>
      <c r="F1691" t="s">
        <v>29372</v>
      </c>
      <c r="G1691" t="s">
        <v>29379</v>
      </c>
      <c r="H1691" t="s">
        <v>11048</v>
      </c>
      <c r="I1691" t="s">
        <v>4487</v>
      </c>
      <c r="J1691" t="s">
        <v>30142</v>
      </c>
      <c r="K1691" t="s">
        <v>38534</v>
      </c>
      <c r="M1691" t="s">
        <v>39427</v>
      </c>
      <c r="N1691" t="s">
        <v>42669</v>
      </c>
      <c r="O1691" t="s">
        <v>42670</v>
      </c>
      <c r="P1691">
        <v>0</v>
      </c>
      <c r="Q1691">
        <v>1</v>
      </c>
      <c r="R1691" t="s">
        <v>42674</v>
      </c>
      <c r="S1691" t="s">
        <v>42788</v>
      </c>
      <c r="T1691" t="s">
        <v>44451</v>
      </c>
      <c r="U1691" t="s">
        <v>46215</v>
      </c>
      <c r="W1691" t="s">
        <v>39427</v>
      </c>
      <c r="X1691" t="s">
        <v>42676</v>
      </c>
    </row>
    <row r="1692" spans="1:24">
      <c r="A1692">
        <f>HYPERLINK("https://www.philgeps.gov.ph/GEPSNONPILOT/Tender/SplashBidNoticeAbstractUI.aspx?menuIndex=3&amp;refID=7190212&amp;Result=3","7190212")</f>
        <v>0</v>
      </c>
      <c r="B1692" t="s">
        <v>647</v>
      </c>
      <c r="C1692" t="s">
        <v>5146</v>
      </c>
      <c r="E1692" t="s">
        <v>18742</v>
      </c>
      <c r="F1692" t="s">
        <v>29375</v>
      </c>
      <c r="G1692" t="s">
        <v>29383</v>
      </c>
      <c r="H1692" t="s">
        <v>11048</v>
      </c>
      <c r="I1692" t="s">
        <v>3670</v>
      </c>
      <c r="J1692" t="s">
        <v>30755</v>
      </c>
      <c r="K1692" t="s">
        <v>38490</v>
      </c>
      <c r="M1692" t="s">
        <v>39421</v>
      </c>
      <c r="N1692" t="s">
        <v>42669</v>
      </c>
      <c r="O1692" t="s">
        <v>42670</v>
      </c>
      <c r="P1692">
        <v>0</v>
      </c>
      <c r="Q1692">
        <v>1</v>
      </c>
      <c r="R1692" t="s">
        <v>42674</v>
      </c>
      <c r="S1692" t="s">
        <v>42788</v>
      </c>
      <c r="T1692" t="s">
        <v>44549</v>
      </c>
      <c r="U1692" t="s">
        <v>46216</v>
      </c>
      <c r="W1692" t="s">
        <v>39421</v>
      </c>
      <c r="X1692" t="s">
        <v>42676</v>
      </c>
    </row>
    <row r="1693" spans="1:24">
      <c r="A1693">
        <f>HYPERLINK("https://www.philgeps.gov.ph/GEPSNONPILOT/Tender/SplashBidNoticeAbstractUI.aspx?menuIndex=3&amp;refID=7190240&amp;Result=3","7190240")</f>
        <v>0</v>
      </c>
      <c r="B1693" t="s">
        <v>654</v>
      </c>
      <c r="C1693" t="s">
        <v>5147</v>
      </c>
      <c r="D1693" t="s">
        <v>17170</v>
      </c>
      <c r="E1693" t="s">
        <v>18743</v>
      </c>
      <c r="F1693" t="s">
        <v>29372</v>
      </c>
      <c r="G1693" t="s">
        <v>29380</v>
      </c>
      <c r="H1693" t="s">
        <v>29389</v>
      </c>
      <c r="I1693" t="s">
        <v>10408</v>
      </c>
      <c r="J1693" t="s">
        <v>30756</v>
      </c>
      <c r="K1693" t="s">
        <v>38515</v>
      </c>
      <c r="M1693" t="s">
        <v>39428</v>
      </c>
      <c r="N1693" t="s">
        <v>42669</v>
      </c>
      <c r="O1693" t="s">
        <v>42670</v>
      </c>
      <c r="P1693">
        <v>0</v>
      </c>
      <c r="Q1693">
        <v>0</v>
      </c>
      <c r="R1693" t="s">
        <v>42674</v>
      </c>
      <c r="S1693" t="s">
        <v>42788</v>
      </c>
      <c r="T1693" t="s">
        <v>44476</v>
      </c>
      <c r="U1693" t="s">
        <v>46217</v>
      </c>
      <c r="V1693" t="s">
        <v>56527</v>
      </c>
      <c r="W1693" t="s">
        <v>39428</v>
      </c>
      <c r="X1693" t="s">
        <v>42676</v>
      </c>
    </row>
    <row r="1694" spans="1:24">
      <c r="A1694">
        <f>HYPERLINK("https://www.philgeps.gov.ph/GEPSNONPILOT/Tender/SplashBidNoticeAbstractUI.aspx?menuIndex=3&amp;refID=7190261&amp;Result=3","7190261")</f>
        <v>0</v>
      </c>
      <c r="B1694" t="s">
        <v>655</v>
      </c>
      <c r="C1694" t="s">
        <v>5148</v>
      </c>
      <c r="D1694" t="s">
        <v>17141</v>
      </c>
      <c r="E1694" t="s">
        <v>17648</v>
      </c>
      <c r="F1694" t="s">
        <v>29372</v>
      </c>
      <c r="G1694" t="s">
        <v>29380</v>
      </c>
      <c r="H1694" t="s">
        <v>29390</v>
      </c>
      <c r="I1694" t="s">
        <v>29413</v>
      </c>
      <c r="J1694" t="s">
        <v>29549</v>
      </c>
      <c r="K1694" t="s">
        <v>38491</v>
      </c>
      <c r="M1694" t="s">
        <v>39429</v>
      </c>
      <c r="N1694" t="s">
        <v>42669</v>
      </c>
      <c r="O1694" t="s">
        <v>42670</v>
      </c>
      <c r="P1694">
        <v>0</v>
      </c>
      <c r="Q1694">
        <v>2</v>
      </c>
      <c r="R1694" t="s">
        <v>42674</v>
      </c>
      <c r="S1694" t="s">
        <v>42788</v>
      </c>
      <c r="T1694" t="s">
        <v>44456</v>
      </c>
      <c r="U1694" t="s">
        <v>46218</v>
      </c>
      <c r="W1694" t="s">
        <v>39429</v>
      </c>
      <c r="X1694" t="s">
        <v>42676</v>
      </c>
    </row>
    <row r="1695" spans="1:24">
      <c r="A1695">
        <f>HYPERLINK("https://www.philgeps.gov.ph/GEPSNONPILOT/Tender/SplashBidNoticeAbstractUI.aspx?menuIndex=3&amp;refID=7190236&amp;Result=3","7190236")</f>
        <v>0</v>
      </c>
      <c r="B1695" t="s">
        <v>583</v>
      </c>
      <c r="C1695" t="s">
        <v>5149</v>
      </c>
      <c r="D1695" t="s">
        <v>17205</v>
      </c>
      <c r="E1695" t="s">
        <v>18744</v>
      </c>
      <c r="F1695" t="s">
        <v>29372</v>
      </c>
      <c r="G1695" t="s">
        <v>29379</v>
      </c>
      <c r="H1695" t="s">
        <v>11048</v>
      </c>
      <c r="I1695" t="s">
        <v>29464</v>
      </c>
      <c r="J1695" t="s">
        <v>30757</v>
      </c>
      <c r="K1695" t="s">
        <v>38485</v>
      </c>
      <c r="M1695" t="s">
        <v>39430</v>
      </c>
      <c r="N1695" t="s">
        <v>42669</v>
      </c>
      <c r="O1695" t="s">
        <v>42670</v>
      </c>
      <c r="P1695">
        <v>0</v>
      </c>
      <c r="Q1695">
        <v>0</v>
      </c>
      <c r="R1695" t="s">
        <v>42674</v>
      </c>
      <c r="S1695" t="s">
        <v>42788</v>
      </c>
      <c r="T1695" t="s">
        <v>44422</v>
      </c>
      <c r="U1695" t="s">
        <v>46219</v>
      </c>
      <c r="W1695" t="s">
        <v>39430</v>
      </c>
      <c r="X1695" t="s">
        <v>42676</v>
      </c>
    </row>
    <row r="1696" spans="1:24">
      <c r="A1696">
        <f>HYPERLINK("https://www.philgeps.gov.ph/GEPSNONPILOT/Tender/SplashBidNoticeAbstractUI.aspx?menuIndex=3&amp;refID=7190251&amp;Result=3","7190251")</f>
        <v>0</v>
      </c>
      <c r="B1696" t="s">
        <v>656</v>
      </c>
      <c r="C1696" t="s">
        <v>5150</v>
      </c>
      <c r="D1696" t="s">
        <v>17177</v>
      </c>
      <c r="E1696" t="s">
        <v>18745</v>
      </c>
      <c r="F1696" t="s">
        <v>29372</v>
      </c>
      <c r="G1696" t="s">
        <v>29382</v>
      </c>
      <c r="H1696" t="s">
        <v>11048</v>
      </c>
      <c r="I1696" t="s">
        <v>3839</v>
      </c>
      <c r="J1696" t="s">
        <v>29679</v>
      </c>
      <c r="K1696" t="s">
        <v>38510</v>
      </c>
      <c r="M1696" t="s">
        <v>39431</v>
      </c>
      <c r="N1696" t="s">
        <v>42669</v>
      </c>
      <c r="O1696" t="s">
        <v>42670</v>
      </c>
      <c r="P1696">
        <v>0</v>
      </c>
      <c r="Q1696">
        <v>0</v>
      </c>
      <c r="R1696" t="s">
        <v>42674</v>
      </c>
      <c r="S1696" t="s">
        <v>42788</v>
      </c>
      <c r="T1696" t="s">
        <v>44493</v>
      </c>
      <c r="U1696" t="s">
        <v>46220</v>
      </c>
      <c r="W1696" t="s">
        <v>39431</v>
      </c>
      <c r="X1696" t="s">
        <v>42676</v>
      </c>
    </row>
    <row r="1697" spans="1:24">
      <c r="A1697">
        <f>HYPERLINK("https://www.philgeps.gov.ph/GEPSNONPILOT/Tender/SplashBidNoticeAbstractUI.aspx?menuIndex=3&amp;refID=7190239&amp;Result=3","7190239")</f>
        <v>0</v>
      </c>
      <c r="B1697" t="s">
        <v>639</v>
      </c>
      <c r="C1697" t="s">
        <v>5151</v>
      </c>
      <c r="D1697" t="s">
        <v>17194</v>
      </c>
      <c r="E1697" t="s">
        <v>17556</v>
      </c>
      <c r="F1697" t="s">
        <v>29372</v>
      </c>
      <c r="G1697" t="s">
        <v>29380</v>
      </c>
      <c r="H1697" t="s">
        <v>11048</v>
      </c>
      <c r="I1697" t="s">
        <v>29435</v>
      </c>
      <c r="J1697" t="s">
        <v>29922</v>
      </c>
      <c r="K1697" t="s">
        <v>38491</v>
      </c>
      <c r="M1697" t="s">
        <v>39412</v>
      </c>
      <c r="N1697" t="s">
        <v>42669</v>
      </c>
      <c r="O1697" t="s">
        <v>42670</v>
      </c>
      <c r="P1697">
        <v>0</v>
      </c>
      <c r="Q1697">
        <v>0</v>
      </c>
      <c r="R1697" t="s">
        <v>42674</v>
      </c>
      <c r="S1697" t="s">
        <v>42788</v>
      </c>
      <c r="T1697" t="s">
        <v>44472</v>
      </c>
      <c r="U1697" t="s">
        <v>46221</v>
      </c>
      <c r="V1697" t="s">
        <v>56524</v>
      </c>
      <c r="W1697" t="s">
        <v>39412</v>
      </c>
      <c r="X1697" t="s">
        <v>42676</v>
      </c>
    </row>
    <row r="1698" spans="1:24">
      <c r="A1698">
        <f>HYPERLINK("https://www.philgeps.gov.ph/GEPSNONPILOT/Tender/SplashBidNoticeAbstractUI.aspx?menuIndex=3&amp;refID=7190234&amp;Result=3","7190234")</f>
        <v>0</v>
      </c>
      <c r="B1698" t="s">
        <v>336</v>
      </c>
      <c r="C1698" t="s">
        <v>5152</v>
      </c>
      <c r="E1698" t="s">
        <v>18746</v>
      </c>
      <c r="F1698" t="s">
        <v>29372</v>
      </c>
      <c r="G1698" t="s">
        <v>29379</v>
      </c>
      <c r="H1698" t="s">
        <v>11048</v>
      </c>
      <c r="I1698" t="s">
        <v>29428</v>
      </c>
      <c r="J1698" t="s">
        <v>30758</v>
      </c>
      <c r="K1698" t="s">
        <v>38488</v>
      </c>
      <c r="M1698" t="s">
        <v>39401</v>
      </c>
      <c r="N1698" t="s">
        <v>42669</v>
      </c>
      <c r="O1698" t="s">
        <v>42670</v>
      </c>
      <c r="P1698">
        <v>0</v>
      </c>
      <c r="Q1698">
        <v>0</v>
      </c>
      <c r="R1698" t="s">
        <v>42674</v>
      </c>
      <c r="S1698" t="s">
        <v>42788</v>
      </c>
      <c r="T1698" t="s">
        <v>44417</v>
      </c>
      <c r="U1698" t="s">
        <v>46222</v>
      </c>
      <c r="V1698" t="s">
        <v>56525</v>
      </c>
      <c r="W1698" t="s">
        <v>39401</v>
      </c>
      <c r="X1698" t="s">
        <v>42676</v>
      </c>
    </row>
    <row r="1699" spans="1:24">
      <c r="A1699">
        <f>HYPERLINK("https://www.philgeps.gov.ph/GEPSNONPILOT/Tender/SplashBidNoticeAbstractUI.aspx?menuIndex=3&amp;refID=7190182&amp;Result=3","7190182")</f>
        <v>0</v>
      </c>
      <c r="B1699" t="s">
        <v>618</v>
      </c>
      <c r="C1699" t="s">
        <v>5153</v>
      </c>
      <c r="D1699" t="s">
        <v>17183</v>
      </c>
      <c r="E1699" t="s">
        <v>18747</v>
      </c>
      <c r="F1699" t="s">
        <v>29372</v>
      </c>
      <c r="G1699" t="s">
        <v>29380</v>
      </c>
      <c r="H1699" t="s">
        <v>11048</v>
      </c>
      <c r="I1699" t="s">
        <v>29412</v>
      </c>
      <c r="J1699" t="s">
        <v>30759</v>
      </c>
      <c r="K1699" t="s">
        <v>38490</v>
      </c>
      <c r="M1699" t="s">
        <v>39389</v>
      </c>
      <c r="N1699" t="s">
        <v>42669</v>
      </c>
      <c r="O1699" t="s">
        <v>42670</v>
      </c>
      <c r="P1699">
        <v>0</v>
      </c>
      <c r="Q1699">
        <v>3</v>
      </c>
      <c r="R1699" t="s">
        <v>42674</v>
      </c>
      <c r="S1699" t="s">
        <v>42788</v>
      </c>
      <c r="T1699" t="s">
        <v>44525</v>
      </c>
      <c r="U1699" t="s">
        <v>46223</v>
      </c>
      <c r="W1699" t="s">
        <v>39389</v>
      </c>
      <c r="X1699" t="s">
        <v>42676</v>
      </c>
    </row>
    <row r="1700" spans="1:24">
      <c r="A1700">
        <f>HYPERLINK("https://www.philgeps.gov.ph/GEPSNONPILOT/Tender/SplashBidNoticeAbstractUI.aspx?menuIndex=3&amp;refID=7190273&amp;Result=3","7190273")</f>
        <v>0</v>
      </c>
      <c r="B1700" t="s">
        <v>655</v>
      </c>
      <c r="C1700" t="s">
        <v>5154</v>
      </c>
      <c r="D1700" t="s">
        <v>17141</v>
      </c>
      <c r="E1700" t="s">
        <v>17947</v>
      </c>
      <c r="F1700" t="s">
        <v>29372</v>
      </c>
      <c r="G1700" t="s">
        <v>29380</v>
      </c>
      <c r="H1700" t="s">
        <v>29390</v>
      </c>
      <c r="I1700" t="s">
        <v>29419</v>
      </c>
      <c r="J1700" t="s">
        <v>29604</v>
      </c>
      <c r="K1700" t="s">
        <v>38491</v>
      </c>
      <c r="M1700" t="s">
        <v>39429</v>
      </c>
      <c r="N1700" t="s">
        <v>42669</v>
      </c>
      <c r="O1700" t="s">
        <v>42670</v>
      </c>
      <c r="P1700">
        <v>0</v>
      </c>
      <c r="Q1700">
        <v>2</v>
      </c>
      <c r="R1700" t="s">
        <v>42674</v>
      </c>
      <c r="S1700" t="s">
        <v>42788</v>
      </c>
      <c r="T1700" t="s">
        <v>44456</v>
      </c>
      <c r="U1700" t="s">
        <v>46224</v>
      </c>
      <c r="W1700" t="s">
        <v>39429</v>
      </c>
      <c r="X1700" t="s">
        <v>42676</v>
      </c>
    </row>
    <row r="1701" spans="1:24">
      <c r="A1701">
        <f>HYPERLINK("https://www.philgeps.gov.ph/GEPSNONPILOT/Tender/SplashBidNoticeAbstractUI.aspx?menuIndex=3&amp;refID=7190306&amp;Result=3","7190306")</f>
        <v>0</v>
      </c>
      <c r="B1701" t="s">
        <v>160</v>
      </c>
      <c r="C1701" t="s">
        <v>5155</v>
      </c>
      <c r="D1701" t="s">
        <v>17193</v>
      </c>
      <c r="E1701" t="s">
        <v>18748</v>
      </c>
      <c r="F1701" t="s">
        <v>29372</v>
      </c>
      <c r="G1701" t="s">
        <v>29379</v>
      </c>
      <c r="H1701" t="s">
        <v>11048</v>
      </c>
      <c r="I1701" t="s">
        <v>29430</v>
      </c>
      <c r="J1701" t="s">
        <v>29555</v>
      </c>
      <c r="K1701" t="s">
        <v>38488</v>
      </c>
      <c r="M1701" t="s">
        <v>39432</v>
      </c>
      <c r="N1701" t="s">
        <v>42669</v>
      </c>
      <c r="O1701" t="s">
        <v>42670</v>
      </c>
      <c r="P1701">
        <v>0</v>
      </c>
      <c r="Q1701">
        <v>4</v>
      </c>
      <c r="R1701" t="s">
        <v>42674</v>
      </c>
      <c r="S1701" t="s">
        <v>42788</v>
      </c>
      <c r="T1701" t="s">
        <v>44378</v>
      </c>
      <c r="U1701" t="s">
        <v>46225</v>
      </c>
      <c r="W1701" t="s">
        <v>39432</v>
      </c>
      <c r="X1701" t="s">
        <v>42676</v>
      </c>
    </row>
    <row r="1702" spans="1:24">
      <c r="A1702">
        <f>HYPERLINK("https://www.philgeps.gov.ph/GEPSNONPILOT/Tender/SplashBidNoticeAbstractUI.aspx?menuIndex=3&amp;refID=7190312&amp;Result=3","7190312")</f>
        <v>0</v>
      </c>
      <c r="B1702" t="s">
        <v>657</v>
      </c>
      <c r="C1702" t="s">
        <v>5156</v>
      </c>
      <c r="D1702" t="s">
        <v>17210</v>
      </c>
      <c r="E1702" t="s">
        <v>18749</v>
      </c>
      <c r="F1702" t="s">
        <v>29373</v>
      </c>
      <c r="G1702" t="s">
        <v>29380</v>
      </c>
      <c r="H1702" t="s">
        <v>29389</v>
      </c>
      <c r="I1702" t="s">
        <v>10408</v>
      </c>
      <c r="J1702" t="s">
        <v>29829</v>
      </c>
      <c r="K1702" t="s">
        <v>38582</v>
      </c>
      <c r="M1702" t="s">
        <v>39433</v>
      </c>
      <c r="N1702" t="s">
        <v>42669</v>
      </c>
      <c r="O1702" t="s">
        <v>42670</v>
      </c>
      <c r="P1702">
        <v>0</v>
      </c>
      <c r="Q1702">
        <v>0</v>
      </c>
      <c r="R1702" t="s">
        <v>42674</v>
      </c>
      <c r="S1702" t="s">
        <v>42788</v>
      </c>
      <c r="T1702" t="s">
        <v>44551</v>
      </c>
      <c r="U1702" t="s">
        <v>46226</v>
      </c>
      <c r="W1702" t="s">
        <v>39433</v>
      </c>
      <c r="X1702" t="s">
        <v>42676</v>
      </c>
    </row>
    <row r="1703" spans="1:24">
      <c r="A1703">
        <f>HYPERLINK("https://www.philgeps.gov.ph/GEPSNONPILOT/Tender/SplashBidNoticeAbstractUI.aspx?menuIndex=3&amp;refID=7190305&amp;Result=3","7190305")</f>
        <v>0</v>
      </c>
      <c r="B1703" t="s">
        <v>658</v>
      </c>
      <c r="C1703" t="s">
        <v>5157</v>
      </c>
      <c r="D1703" t="s">
        <v>17189</v>
      </c>
      <c r="E1703" t="s">
        <v>18750</v>
      </c>
      <c r="F1703" t="s">
        <v>29372</v>
      </c>
      <c r="G1703" t="s">
        <v>29379</v>
      </c>
      <c r="H1703" t="s">
        <v>11048</v>
      </c>
      <c r="I1703" t="s">
        <v>4487</v>
      </c>
      <c r="J1703" t="s">
        <v>30760</v>
      </c>
      <c r="K1703" t="s">
        <v>38528</v>
      </c>
      <c r="M1703" t="s">
        <v>39434</v>
      </c>
      <c r="N1703" t="s">
        <v>42669</v>
      </c>
      <c r="O1703" t="s">
        <v>42670</v>
      </c>
      <c r="P1703">
        <v>0</v>
      </c>
      <c r="Q1703">
        <v>0</v>
      </c>
      <c r="R1703" t="s">
        <v>42674</v>
      </c>
      <c r="S1703" t="s">
        <v>42788</v>
      </c>
      <c r="T1703" t="s">
        <v>44401</v>
      </c>
      <c r="U1703" t="s">
        <v>46227</v>
      </c>
      <c r="V1703" t="s">
        <v>56528</v>
      </c>
      <c r="W1703" t="s">
        <v>39434</v>
      </c>
      <c r="X1703" t="s">
        <v>42676</v>
      </c>
    </row>
    <row r="1704" spans="1:24">
      <c r="A1704">
        <f>HYPERLINK("https://www.philgeps.gov.ph/GEPSNONPILOT/Tender/SplashBidNoticeAbstractUI.aspx?menuIndex=3&amp;refID=7190277&amp;Result=3","7190277")</f>
        <v>0</v>
      </c>
      <c r="B1704" t="s">
        <v>336</v>
      </c>
      <c r="C1704" t="s">
        <v>5158</v>
      </c>
      <c r="D1704" t="s">
        <v>17169</v>
      </c>
      <c r="E1704" t="s">
        <v>18751</v>
      </c>
      <c r="F1704" t="s">
        <v>29372</v>
      </c>
      <c r="G1704" t="s">
        <v>29379</v>
      </c>
      <c r="H1704" t="s">
        <v>11048</v>
      </c>
      <c r="I1704" t="s">
        <v>3839</v>
      </c>
      <c r="J1704" t="s">
        <v>30761</v>
      </c>
      <c r="K1704" t="s">
        <v>38488</v>
      </c>
      <c r="M1704" t="s">
        <v>39401</v>
      </c>
      <c r="N1704" t="s">
        <v>42669</v>
      </c>
      <c r="O1704" t="s">
        <v>42670</v>
      </c>
      <c r="P1704">
        <v>0</v>
      </c>
      <c r="Q1704">
        <v>3</v>
      </c>
      <c r="R1704" t="s">
        <v>42674</v>
      </c>
      <c r="S1704" t="s">
        <v>42788</v>
      </c>
      <c r="T1704" t="s">
        <v>44417</v>
      </c>
      <c r="U1704" t="s">
        <v>46228</v>
      </c>
      <c r="V1704" t="s">
        <v>56523</v>
      </c>
      <c r="W1704" t="s">
        <v>39401</v>
      </c>
      <c r="X1704" t="s">
        <v>42676</v>
      </c>
    </row>
    <row r="1705" spans="1:24">
      <c r="A1705">
        <f>HYPERLINK("https://www.philgeps.gov.ph/GEPSNONPILOT/Tender/SplashBidNoticeAbstractUI.aspx?menuIndex=3&amp;refID=7190244&amp;Result=3","7190244")</f>
        <v>0</v>
      </c>
      <c r="B1705" t="s">
        <v>659</v>
      </c>
      <c r="C1705" t="s">
        <v>5159</v>
      </c>
      <c r="E1705" t="s">
        <v>17870</v>
      </c>
      <c r="F1705" t="s">
        <v>29372</v>
      </c>
      <c r="G1705" t="s">
        <v>29380</v>
      </c>
      <c r="H1705" t="s">
        <v>29389</v>
      </c>
      <c r="I1705" t="s">
        <v>10408</v>
      </c>
      <c r="J1705" t="s">
        <v>29590</v>
      </c>
      <c r="K1705" t="s">
        <v>38490</v>
      </c>
      <c r="M1705" t="s">
        <v>39435</v>
      </c>
      <c r="N1705" t="s">
        <v>42669</v>
      </c>
      <c r="O1705" t="s">
        <v>42670</v>
      </c>
      <c r="P1705">
        <v>0</v>
      </c>
      <c r="Q1705">
        <v>0</v>
      </c>
      <c r="R1705" t="s">
        <v>42674</v>
      </c>
      <c r="S1705" t="s">
        <v>42788</v>
      </c>
      <c r="T1705" t="s">
        <v>44552</v>
      </c>
      <c r="U1705" t="s">
        <v>46229</v>
      </c>
      <c r="W1705" t="s">
        <v>39435</v>
      </c>
      <c r="X1705" t="s">
        <v>42676</v>
      </c>
    </row>
    <row r="1706" spans="1:24">
      <c r="A1706">
        <f>HYPERLINK("https://www.philgeps.gov.ph/GEPSNONPILOT/Tender/SplashBidNoticeAbstractUI.aspx?menuIndex=3&amp;refID=7190289&amp;Result=3","7190289")</f>
        <v>0</v>
      </c>
      <c r="B1706" t="s">
        <v>660</v>
      </c>
      <c r="C1706" t="s">
        <v>5160</v>
      </c>
      <c r="D1706" t="s">
        <v>17199</v>
      </c>
      <c r="E1706" t="s">
        <v>18752</v>
      </c>
      <c r="F1706" t="s">
        <v>29372</v>
      </c>
      <c r="G1706" t="s">
        <v>29379</v>
      </c>
      <c r="H1706" t="s">
        <v>11048</v>
      </c>
      <c r="I1706" t="s">
        <v>29393</v>
      </c>
      <c r="J1706" t="s">
        <v>30762</v>
      </c>
      <c r="K1706" t="s">
        <v>38490</v>
      </c>
      <c r="M1706" t="s">
        <v>39436</v>
      </c>
      <c r="N1706" t="s">
        <v>42669</v>
      </c>
      <c r="O1706" t="s">
        <v>42670</v>
      </c>
      <c r="P1706">
        <v>0</v>
      </c>
      <c r="Q1706">
        <v>0</v>
      </c>
      <c r="R1706" t="s">
        <v>42674</v>
      </c>
      <c r="S1706" t="s">
        <v>42788</v>
      </c>
      <c r="T1706" t="s">
        <v>44496</v>
      </c>
      <c r="U1706" t="s">
        <v>46230</v>
      </c>
      <c r="W1706" t="s">
        <v>39436</v>
      </c>
      <c r="X1706" t="s">
        <v>42676</v>
      </c>
    </row>
    <row r="1707" spans="1:24">
      <c r="A1707">
        <f>HYPERLINK("https://www.philgeps.gov.ph/GEPSNONPILOT/Tender/SplashBidNoticeAbstractUI.aspx?menuIndex=3&amp;refID=7190292&amp;Result=3","7190292")</f>
        <v>0</v>
      </c>
      <c r="B1707" t="s">
        <v>661</v>
      </c>
      <c r="C1707" t="s">
        <v>5161</v>
      </c>
      <c r="D1707" t="s">
        <v>17171</v>
      </c>
      <c r="E1707" t="s">
        <v>18753</v>
      </c>
      <c r="F1707" t="s">
        <v>29372</v>
      </c>
      <c r="G1707" t="s">
        <v>29380</v>
      </c>
      <c r="H1707" t="s">
        <v>29389</v>
      </c>
      <c r="I1707" t="s">
        <v>29391</v>
      </c>
      <c r="J1707" t="s">
        <v>29680</v>
      </c>
      <c r="K1707" t="s">
        <v>38495</v>
      </c>
      <c r="M1707" t="s">
        <v>39437</v>
      </c>
      <c r="N1707" t="s">
        <v>42669</v>
      </c>
      <c r="O1707" t="s">
        <v>42670</v>
      </c>
      <c r="P1707">
        <v>0</v>
      </c>
      <c r="Q1707">
        <v>0</v>
      </c>
      <c r="R1707" t="s">
        <v>42674</v>
      </c>
      <c r="S1707" t="s">
        <v>42788</v>
      </c>
      <c r="T1707" t="s">
        <v>44551</v>
      </c>
      <c r="U1707" t="s">
        <v>46231</v>
      </c>
      <c r="V1707" t="s">
        <v>56529</v>
      </c>
      <c r="W1707" t="s">
        <v>39437</v>
      </c>
      <c r="X1707" t="s">
        <v>42676</v>
      </c>
    </row>
    <row r="1708" spans="1:24">
      <c r="A1708">
        <f>HYPERLINK("https://www.philgeps.gov.ph/GEPSNONPILOT/Tender/SplashBidNoticeAbstractUI.aspx?menuIndex=3&amp;refID=7190288&amp;Result=3","7190288")</f>
        <v>0</v>
      </c>
      <c r="B1708" t="s">
        <v>547</v>
      </c>
      <c r="C1708" t="s">
        <v>5162</v>
      </c>
      <c r="E1708" t="s">
        <v>18754</v>
      </c>
      <c r="F1708" t="s">
        <v>29372</v>
      </c>
      <c r="G1708" t="s">
        <v>29379</v>
      </c>
      <c r="H1708" t="s">
        <v>11048</v>
      </c>
      <c r="I1708" t="s">
        <v>29415</v>
      </c>
      <c r="J1708" t="s">
        <v>30763</v>
      </c>
      <c r="K1708" t="s">
        <v>38485</v>
      </c>
      <c r="M1708" t="s">
        <v>39363</v>
      </c>
      <c r="N1708" t="s">
        <v>42669</v>
      </c>
      <c r="O1708" t="s">
        <v>42670</v>
      </c>
      <c r="P1708">
        <v>0</v>
      </c>
      <c r="Q1708">
        <v>0</v>
      </c>
      <c r="R1708" t="s">
        <v>42674</v>
      </c>
      <c r="S1708" t="s">
        <v>42788</v>
      </c>
      <c r="T1708" t="s">
        <v>44509</v>
      </c>
      <c r="U1708" t="s">
        <v>46232</v>
      </c>
      <c r="W1708" t="s">
        <v>58018</v>
      </c>
      <c r="X1708" t="s">
        <v>42676</v>
      </c>
    </row>
    <row r="1709" spans="1:24">
      <c r="A1709">
        <f>HYPERLINK("https://www.philgeps.gov.ph/GEPSNONPILOT/Tender/SplashBidNoticeAbstractUI.aspx?menuIndex=3&amp;refID=7190318&amp;Result=3","7190318")</f>
        <v>0</v>
      </c>
      <c r="B1709" t="s">
        <v>662</v>
      </c>
      <c r="C1709" t="s">
        <v>5163</v>
      </c>
      <c r="D1709" t="s">
        <v>17211</v>
      </c>
      <c r="E1709" t="s">
        <v>18755</v>
      </c>
      <c r="F1709" t="s">
        <v>29372</v>
      </c>
      <c r="G1709" t="s">
        <v>29382</v>
      </c>
      <c r="H1709" t="s">
        <v>11048</v>
      </c>
      <c r="I1709" t="s">
        <v>3695</v>
      </c>
      <c r="J1709" t="s">
        <v>30764</v>
      </c>
      <c r="K1709" t="s">
        <v>38487</v>
      </c>
      <c r="M1709" t="s">
        <v>39438</v>
      </c>
      <c r="N1709" t="s">
        <v>42669</v>
      </c>
      <c r="O1709" t="s">
        <v>42670</v>
      </c>
      <c r="P1709">
        <v>0</v>
      </c>
      <c r="Q1709">
        <v>1</v>
      </c>
      <c r="R1709" t="s">
        <v>42674</v>
      </c>
      <c r="S1709" t="s">
        <v>42788</v>
      </c>
      <c r="T1709" t="s">
        <v>44491</v>
      </c>
      <c r="U1709" t="s">
        <v>46233</v>
      </c>
      <c r="W1709" t="s">
        <v>39438</v>
      </c>
      <c r="X1709" t="s">
        <v>42676</v>
      </c>
    </row>
    <row r="1710" spans="1:24">
      <c r="A1710">
        <f>HYPERLINK("https://www.philgeps.gov.ph/GEPSNONPILOT/Tender/SplashBidNoticeAbstractUI.aspx?menuIndex=3&amp;refID=7190315&amp;Result=3","7190315")</f>
        <v>0</v>
      </c>
      <c r="B1710" t="s">
        <v>663</v>
      </c>
      <c r="C1710" t="s">
        <v>5164</v>
      </c>
      <c r="D1710" t="s">
        <v>17189</v>
      </c>
      <c r="E1710" t="s">
        <v>18756</v>
      </c>
      <c r="F1710" t="s">
        <v>29372</v>
      </c>
      <c r="G1710" t="s">
        <v>29380</v>
      </c>
      <c r="H1710" t="s">
        <v>29389</v>
      </c>
      <c r="I1710" t="s">
        <v>10408</v>
      </c>
      <c r="J1710" t="s">
        <v>29774</v>
      </c>
      <c r="K1710" t="s">
        <v>38495</v>
      </c>
      <c r="M1710" t="s">
        <v>39439</v>
      </c>
      <c r="N1710" t="s">
        <v>42669</v>
      </c>
      <c r="O1710" t="s">
        <v>42670</v>
      </c>
      <c r="P1710">
        <v>0</v>
      </c>
      <c r="Q1710">
        <v>0</v>
      </c>
      <c r="R1710" t="s">
        <v>42674</v>
      </c>
      <c r="S1710" t="s">
        <v>42788</v>
      </c>
      <c r="T1710" t="s">
        <v>44478</v>
      </c>
      <c r="U1710" t="s">
        <v>46234</v>
      </c>
      <c r="V1710" t="s">
        <v>56530</v>
      </c>
      <c r="W1710" t="s">
        <v>39439</v>
      </c>
      <c r="X1710" t="s">
        <v>42676</v>
      </c>
    </row>
    <row r="1711" spans="1:24">
      <c r="A1711">
        <f>HYPERLINK("https://www.philgeps.gov.ph/GEPSNONPILOT/Tender/SplashBidNoticeAbstractUI.aspx?menuIndex=3&amp;refID=7190298&amp;Result=3","7190298")</f>
        <v>0</v>
      </c>
      <c r="B1711" t="s">
        <v>664</v>
      </c>
      <c r="C1711" t="s">
        <v>5165</v>
      </c>
      <c r="D1711" t="s">
        <v>17205</v>
      </c>
      <c r="E1711" t="s">
        <v>18757</v>
      </c>
      <c r="F1711" t="s">
        <v>29372</v>
      </c>
      <c r="G1711" t="s">
        <v>29380</v>
      </c>
      <c r="H1711" t="s">
        <v>29389</v>
      </c>
      <c r="I1711" t="s">
        <v>10408</v>
      </c>
      <c r="J1711" t="s">
        <v>30765</v>
      </c>
      <c r="K1711" t="s">
        <v>38495</v>
      </c>
      <c r="M1711" t="s">
        <v>39440</v>
      </c>
      <c r="N1711" t="s">
        <v>42669</v>
      </c>
      <c r="O1711" t="s">
        <v>42670</v>
      </c>
      <c r="P1711">
        <v>0</v>
      </c>
      <c r="Q1711">
        <v>22</v>
      </c>
      <c r="R1711" t="s">
        <v>42674</v>
      </c>
      <c r="S1711" t="s">
        <v>42788</v>
      </c>
      <c r="T1711" t="s">
        <v>44456</v>
      </c>
      <c r="U1711" t="s">
        <v>46235</v>
      </c>
      <c r="W1711" t="s">
        <v>39440</v>
      </c>
      <c r="X1711" t="s">
        <v>42676</v>
      </c>
    </row>
    <row r="1712" spans="1:24">
      <c r="A1712">
        <f>HYPERLINK("https://www.philgeps.gov.ph/GEPSNONPILOT/Tender/SplashBidNoticeAbstractUI.aspx?menuIndex=3&amp;refID=7190286&amp;Result=3","7190286")</f>
        <v>0</v>
      </c>
      <c r="B1712" t="s">
        <v>583</v>
      </c>
      <c r="C1712" t="s">
        <v>5166</v>
      </c>
      <c r="D1712" t="s">
        <v>17205</v>
      </c>
      <c r="E1712" t="s">
        <v>18758</v>
      </c>
      <c r="F1712" t="s">
        <v>29372</v>
      </c>
      <c r="G1712" t="s">
        <v>29379</v>
      </c>
      <c r="H1712" t="s">
        <v>11048</v>
      </c>
      <c r="I1712" t="s">
        <v>3952</v>
      </c>
      <c r="J1712" t="s">
        <v>29786</v>
      </c>
      <c r="K1712" t="s">
        <v>38485</v>
      </c>
      <c r="M1712" t="s">
        <v>39430</v>
      </c>
      <c r="N1712" t="s">
        <v>42669</v>
      </c>
      <c r="O1712" t="s">
        <v>42670</v>
      </c>
      <c r="P1712">
        <v>0</v>
      </c>
      <c r="Q1712">
        <v>3</v>
      </c>
      <c r="R1712" t="s">
        <v>42674</v>
      </c>
      <c r="S1712" t="s">
        <v>42788</v>
      </c>
      <c r="T1712" t="s">
        <v>44422</v>
      </c>
      <c r="U1712" t="s">
        <v>46236</v>
      </c>
      <c r="W1712" t="s">
        <v>39430</v>
      </c>
      <c r="X1712" t="s">
        <v>42676</v>
      </c>
    </row>
    <row r="1713" spans="1:24">
      <c r="A1713">
        <f>HYPERLINK("https://www.philgeps.gov.ph/GEPSNONPILOT/Tender/SplashBidNoticeAbstractUI.aspx?menuIndex=3&amp;refID=7190284&amp;Result=3","7190284")</f>
        <v>0</v>
      </c>
      <c r="B1713" t="s">
        <v>134</v>
      </c>
      <c r="C1713" t="s">
        <v>5167</v>
      </c>
      <c r="D1713" t="s">
        <v>17177</v>
      </c>
      <c r="E1713" t="s">
        <v>18759</v>
      </c>
      <c r="F1713" t="s">
        <v>29372</v>
      </c>
      <c r="G1713" t="s">
        <v>29380</v>
      </c>
      <c r="H1713" t="s">
        <v>29389</v>
      </c>
      <c r="I1713" t="s">
        <v>10408</v>
      </c>
      <c r="J1713" t="s">
        <v>30766</v>
      </c>
      <c r="K1713" t="s">
        <v>38496</v>
      </c>
      <c r="M1713" t="s">
        <v>38889</v>
      </c>
      <c r="N1713" t="s">
        <v>42669</v>
      </c>
      <c r="O1713" t="s">
        <v>42670</v>
      </c>
      <c r="P1713">
        <v>0</v>
      </c>
      <c r="Q1713">
        <v>0</v>
      </c>
      <c r="R1713" t="s">
        <v>42674</v>
      </c>
      <c r="S1713" t="s">
        <v>42788</v>
      </c>
      <c r="T1713" t="s">
        <v>44544</v>
      </c>
      <c r="U1713" t="s">
        <v>46237</v>
      </c>
      <c r="V1713" t="s">
        <v>56517</v>
      </c>
      <c r="W1713" t="s">
        <v>38889</v>
      </c>
      <c r="X1713" t="s">
        <v>42676</v>
      </c>
    </row>
    <row r="1714" spans="1:24">
      <c r="A1714">
        <f>HYPERLINK("https://www.philgeps.gov.ph/GEPSNONPILOT/Tender/SplashBidNoticeAbstractUI.aspx?menuIndex=3&amp;refID=7190291&amp;Result=3","7190291")</f>
        <v>0</v>
      </c>
      <c r="B1714" t="s">
        <v>665</v>
      </c>
      <c r="C1714" t="s">
        <v>5168</v>
      </c>
      <c r="D1714" t="s">
        <v>17163</v>
      </c>
      <c r="E1714" t="s">
        <v>18760</v>
      </c>
      <c r="F1714" t="s">
        <v>29372</v>
      </c>
      <c r="G1714" t="s">
        <v>29382</v>
      </c>
      <c r="H1714" t="s">
        <v>11048</v>
      </c>
      <c r="I1714" t="s">
        <v>29398</v>
      </c>
      <c r="J1714" t="s">
        <v>30767</v>
      </c>
      <c r="K1714" t="s">
        <v>38489</v>
      </c>
      <c r="M1714" t="s">
        <v>39441</v>
      </c>
      <c r="N1714" t="s">
        <v>42669</v>
      </c>
      <c r="O1714" t="s">
        <v>42670</v>
      </c>
      <c r="P1714">
        <v>0</v>
      </c>
      <c r="Q1714">
        <v>14</v>
      </c>
      <c r="R1714" t="s">
        <v>42674</v>
      </c>
      <c r="S1714" t="s">
        <v>42788</v>
      </c>
      <c r="T1714" t="s">
        <v>44488</v>
      </c>
      <c r="U1714" t="s">
        <v>46238</v>
      </c>
      <c r="W1714" t="s">
        <v>39441</v>
      </c>
      <c r="X1714" t="s">
        <v>42676</v>
      </c>
    </row>
    <row r="1715" spans="1:24">
      <c r="A1715">
        <f>HYPERLINK("https://www.philgeps.gov.ph/GEPSNONPILOT/Tender/SplashBidNoticeAbstractUI.aspx?menuIndex=3&amp;refID=7190280&amp;Result=3","7190280")</f>
        <v>0</v>
      </c>
      <c r="B1715" t="s">
        <v>666</v>
      </c>
      <c r="C1715" t="s">
        <v>5169</v>
      </c>
      <c r="D1715" t="s">
        <v>17205</v>
      </c>
      <c r="E1715" t="s">
        <v>18761</v>
      </c>
      <c r="F1715" t="s">
        <v>29372</v>
      </c>
      <c r="G1715" t="s">
        <v>29379</v>
      </c>
      <c r="H1715" t="s">
        <v>11048</v>
      </c>
      <c r="I1715" t="s">
        <v>8208</v>
      </c>
      <c r="J1715" t="s">
        <v>30346</v>
      </c>
      <c r="K1715" t="s">
        <v>38490</v>
      </c>
      <c r="M1715" t="s">
        <v>39442</v>
      </c>
      <c r="N1715" t="s">
        <v>42669</v>
      </c>
      <c r="O1715" t="s">
        <v>42670</v>
      </c>
      <c r="P1715">
        <v>0</v>
      </c>
      <c r="Q1715">
        <v>0</v>
      </c>
      <c r="R1715" t="s">
        <v>42674</v>
      </c>
      <c r="S1715" t="s">
        <v>42788</v>
      </c>
      <c r="T1715" t="s">
        <v>44430</v>
      </c>
      <c r="U1715" t="s">
        <v>46239</v>
      </c>
      <c r="W1715" t="s">
        <v>39442</v>
      </c>
      <c r="X1715" t="s">
        <v>42676</v>
      </c>
    </row>
    <row r="1716" spans="1:24">
      <c r="A1716">
        <f>HYPERLINK("https://www.philgeps.gov.ph/GEPSNONPILOT/Tender/SplashBidNoticeAbstractUI.aspx?menuIndex=3&amp;refID=7190330&amp;Result=3","7190330")</f>
        <v>0</v>
      </c>
      <c r="B1716" t="s">
        <v>667</v>
      </c>
      <c r="C1716" t="s">
        <v>3596</v>
      </c>
      <c r="D1716" t="s">
        <v>17203</v>
      </c>
      <c r="E1716" t="s">
        <v>18762</v>
      </c>
      <c r="F1716" t="s">
        <v>29372</v>
      </c>
      <c r="G1716" t="s">
        <v>29379</v>
      </c>
      <c r="H1716" t="s">
        <v>11048</v>
      </c>
      <c r="I1716" t="s">
        <v>29398</v>
      </c>
      <c r="J1716" t="s">
        <v>30768</v>
      </c>
      <c r="K1716" t="s">
        <v>38490</v>
      </c>
      <c r="M1716" t="s">
        <v>39443</v>
      </c>
      <c r="N1716" t="s">
        <v>42669</v>
      </c>
      <c r="O1716" t="s">
        <v>42670</v>
      </c>
      <c r="P1716">
        <v>0</v>
      </c>
      <c r="Q1716">
        <v>0</v>
      </c>
      <c r="R1716" t="s">
        <v>42674</v>
      </c>
      <c r="S1716" t="s">
        <v>42788</v>
      </c>
      <c r="T1716" t="s">
        <v>44553</v>
      </c>
      <c r="U1716" t="s">
        <v>46240</v>
      </c>
      <c r="W1716" t="s">
        <v>39443</v>
      </c>
      <c r="X1716" t="s">
        <v>42676</v>
      </c>
    </row>
    <row r="1717" spans="1:24">
      <c r="A1717">
        <f>HYPERLINK("https://www.philgeps.gov.ph/GEPSNONPILOT/Tender/SplashBidNoticeAbstractUI.aspx?menuIndex=3&amp;refID=7190245&amp;Result=3","7190245")</f>
        <v>0</v>
      </c>
      <c r="B1717" t="s">
        <v>668</v>
      </c>
      <c r="C1717" t="s">
        <v>5170</v>
      </c>
      <c r="D1717" t="s">
        <v>17172</v>
      </c>
      <c r="E1717" t="s">
        <v>18763</v>
      </c>
      <c r="F1717" t="s">
        <v>29372</v>
      </c>
      <c r="G1717" t="s">
        <v>29379</v>
      </c>
      <c r="H1717" t="s">
        <v>11048</v>
      </c>
      <c r="I1717" t="s">
        <v>29393</v>
      </c>
      <c r="J1717" t="s">
        <v>30769</v>
      </c>
      <c r="K1717" t="s">
        <v>38488</v>
      </c>
      <c r="M1717" t="s">
        <v>39444</v>
      </c>
      <c r="N1717" t="s">
        <v>42669</v>
      </c>
      <c r="O1717" t="s">
        <v>42670</v>
      </c>
      <c r="P1717">
        <v>0</v>
      </c>
      <c r="Q1717">
        <v>0</v>
      </c>
      <c r="R1717" t="s">
        <v>42674</v>
      </c>
      <c r="S1717" t="s">
        <v>42788</v>
      </c>
      <c r="T1717" t="s">
        <v>44554</v>
      </c>
      <c r="U1717" t="s">
        <v>46241</v>
      </c>
      <c r="W1717" t="s">
        <v>39444</v>
      </c>
      <c r="X1717" t="s">
        <v>42676</v>
      </c>
    </row>
    <row r="1718" spans="1:24">
      <c r="A1718">
        <f>HYPERLINK("https://www.philgeps.gov.ph/GEPSNONPILOT/Tender/SplashBidNoticeAbstractUI.aspx?menuIndex=3&amp;refID=7190329&amp;Result=3","7190329")</f>
        <v>0</v>
      </c>
      <c r="B1718" t="s">
        <v>669</v>
      </c>
      <c r="C1718" t="s">
        <v>5171</v>
      </c>
      <c r="D1718" t="s">
        <v>17147</v>
      </c>
      <c r="E1718" t="s">
        <v>18764</v>
      </c>
      <c r="F1718" t="s">
        <v>29372</v>
      </c>
      <c r="G1718" t="s">
        <v>29382</v>
      </c>
      <c r="H1718" t="s">
        <v>11048</v>
      </c>
      <c r="I1718" t="s">
        <v>5383</v>
      </c>
      <c r="J1718" t="s">
        <v>30770</v>
      </c>
      <c r="K1718" t="s">
        <v>38488</v>
      </c>
      <c r="M1718" t="s">
        <v>39445</v>
      </c>
      <c r="N1718" t="s">
        <v>42669</v>
      </c>
      <c r="O1718" t="s">
        <v>42670</v>
      </c>
      <c r="P1718">
        <v>0</v>
      </c>
      <c r="Q1718">
        <v>2</v>
      </c>
      <c r="R1718" t="s">
        <v>42674</v>
      </c>
      <c r="S1718" t="s">
        <v>42788</v>
      </c>
      <c r="T1718" t="s">
        <v>44555</v>
      </c>
      <c r="U1718" t="s">
        <v>46242</v>
      </c>
      <c r="V1718" t="s">
        <v>56531</v>
      </c>
      <c r="W1718" t="s">
        <v>39445</v>
      </c>
      <c r="X1718" t="s">
        <v>42676</v>
      </c>
    </row>
    <row r="1719" spans="1:24">
      <c r="A1719">
        <f>HYPERLINK("https://www.philgeps.gov.ph/GEPSNONPILOT/Tender/SplashBidNoticeAbstractUI.aspx?menuIndex=3&amp;refID=7190279&amp;Result=3","7190279")</f>
        <v>0</v>
      </c>
      <c r="B1719" t="s">
        <v>62</v>
      </c>
      <c r="C1719" t="s">
        <v>5172</v>
      </c>
      <c r="D1719" t="s">
        <v>17167</v>
      </c>
      <c r="E1719" t="s">
        <v>18765</v>
      </c>
      <c r="F1719" t="s">
        <v>29372</v>
      </c>
      <c r="G1719" t="s">
        <v>29380</v>
      </c>
      <c r="H1719" t="s">
        <v>11048</v>
      </c>
      <c r="I1719" t="s">
        <v>29395</v>
      </c>
      <c r="J1719" t="s">
        <v>30771</v>
      </c>
      <c r="K1719" t="s">
        <v>38485</v>
      </c>
      <c r="M1719" t="s">
        <v>38816</v>
      </c>
      <c r="N1719" t="s">
        <v>42669</v>
      </c>
      <c r="O1719" t="s">
        <v>42670</v>
      </c>
      <c r="P1719">
        <v>0</v>
      </c>
      <c r="Q1719">
        <v>0</v>
      </c>
      <c r="R1719" t="s">
        <v>42674</v>
      </c>
      <c r="S1719" t="s">
        <v>42788</v>
      </c>
      <c r="T1719" t="s">
        <v>44556</v>
      </c>
      <c r="U1719" t="s">
        <v>46243</v>
      </c>
      <c r="V1719" t="s">
        <v>56532</v>
      </c>
      <c r="W1719" t="s">
        <v>38816</v>
      </c>
      <c r="X1719" t="s">
        <v>42676</v>
      </c>
    </row>
    <row r="1720" spans="1:24">
      <c r="A1720">
        <f>HYPERLINK("https://www.philgeps.gov.ph/GEPSNONPILOT/Tender/SplashBidNoticeAbstractUI.aspx?menuIndex=3&amp;refID=7190327&amp;Result=3","7190327")</f>
        <v>0</v>
      </c>
      <c r="B1720" t="s">
        <v>660</v>
      </c>
      <c r="C1720" t="s">
        <v>5173</v>
      </c>
      <c r="D1720" t="s">
        <v>17199</v>
      </c>
      <c r="E1720" t="s">
        <v>18766</v>
      </c>
      <c r="F1720" t="s">
        <v>29372</v>
      </c>
      <c r="G1720" t="s">
        <v>29379</v>
      </c>
      <c r="H1720" t="s">
        <v>11048</v>
      </c>
      <c r="I1720" t="s">
        <v>29393</v>
      </c>
      <c r="J1720" t="s">
        <v>30772</v>
      </c>
      <c r="K1720" t="s">
        <v>38490</v>
      </c>
      <c r="M1720" t="s">
        <v>39436</v>
      </c>
      <c r="N1720" t="s">
        <v>42669</v>
      </c>
      <c r="O1720" t="s">
        <v>42670</v>
      </c>
      <c r="P1720">
        <v>0</v>
      </c>
      <c r="Q1720">
        <v>0</v>
      </c>
      <c r="R1720" t="s">
        <v>42674</v>
      </c>
      <c r="S1720" t="s">
        <v>42788</v>
      </c>
      <c r="T1720" t="s">
        <v>44496</v>
      </c>
      <c r="U1720" t="s">
        <v>46244</v>
      </c>
      <c r="W1720" t="s">
        <v>39436</v>
      </c>
      <c r="X1720" t="s">
        <v>42676</v>
      </c>
    </row>
    <row r="1721" spans="1:24">
      <c r="A1721">
        <f>HYPERLINK("https://www.philgeps.gov.ph/GEPSNONPILOT/Tender/SplashBidNoticeAbstractUI.aspx?menuIndex=3&amp;refID=7190319&amp;Result=3","7190319")</f>
        <v>0</v>
      </c>
      <c r="B1721" t="s">
        <v>670</v>
      </c>
      <c r="C1721" t="s">
        <v>5174</v>
      </c>
      <c r="D1721" t="s">
        <v>17166</v>
      </c>
      <c r="E1721" t="s">
        <v>17779</v>
      </c>
      <c r="F1721" t="s">
        <v>29372</v>
      </c>
      <c r="G1721" t="s">
        <v>29380</v>
      </c>
      <c r="H1721" t="s">
        <v>11048</v>
      </c>
      <c r="I1721" t="s">
        <v>3695</v>
      </c>
      <c r="J1721" t="s">
        <v>30773</v>
      </c>
      <c r="K1721" t="s">
        <v>38534</v>
      </c>
      <c r="M1721" t="s">
        <v>39446</v>
      </c>
      <c r="N1721" t="s">
        <v>42669</v>
      </c>
      <c r="O1721" t="s">
        <v>42670</v>
      </c>
      <c r="P1721">
        <v>0</v>
      </c>
      <c r="Q1721">
        <v>0</v>
      </c>
      <c r="R1721" t="s">
        <v>42674</v>
      </c>
      <c r="S1721" t="s">
        <v>42788</v>
      </c>
      <c r="T1721" t="s">
        <v>44436</v>
      </c>
      <c r="U1721" t="s">
        <v>46245</v>
      </c>
      <c r="W1721" t="s">
        <v>39446</v>
      </c>
      <c r="X1721" t="s">
        <v>42676</v>
      </c>
    </row>
    <row r="1722" spans="1:24">
      <c r="A1722">
        <f>HYPERLINK("https://www.philgeps.gov.ph/GEPSNONPILOT/Tender/SplashBidNoticeAbstractUI.aspx?menuIndex=3&amp;refID=7190325&amp;Result=3","7190325")</f>
        <v>0</v>
      </c>
      <c r="B1722" t="s">
        <v>671</v>
      </c>
      <c r="C1722" t="s">
        <v>5175</v>
      </c>
      <c r="E1722" t="s">
        <v>18767</v>
      </c>
      <c r="F1722" t="s">
        <v>29372</v>
      </c>
      <c r="G1722" t="s">
        <v>29379</v>
      </c>
      <c r="H1722" t="s">
        <v>11048</v>
      </c>
      <c r="I1722" t="s">
        <v>8208</v>
      </c>
      <c r="J1722" t="s">
        <v>29526</v>
      </c>
      <c r="K1722" t="s">
        <v>38490</v>
      </c>
      <c r="M1722" t="s">
        <v>39447</v>
      </c>
      <c r="N1722" t="s">
        <v>42669</v>
      </c>
      <c r="O1722" t="s">
        <v>42670</v>
      </c>
      <c r="P1722">
        <v>0</v>
      </c>
      <c r="Q1722">
        <v>2</v>
      </c>
      <c r="R1722" t="s">
        <v>42674</v>
      </c>
      <c r="S1722" t="s">
        <v>42788</v>
      </c>
      <c r="T1722" t="s">
        <v>44387</v>
      </c>
      <c r="U1722" t="s">
        <v>46246</v>
      </c>
      <c r="W1722" t="s">
        <v>39447</v>
      </c>
      <c r="X1722" t="s">
        <v>42676</v>
      </c>
    </row>
    <row r="1723" spans="1:24">
      <c r="A1723">
        <f>HYPERLINK("https://www.philgeps.gov.ph/GEPSNONPILOT/Tender/SplashBidNoticeAbstractUI.aspx?menuIndex=3&amp;refID=7190314&amp;Result=3","7190314")</f>
        <v>0</v>
      </c>
      <c r="B1723" t="s">
        <v>336</v>
      </c>
      <c r="C1723" t="s">
        <v>5176</v>
      </c>
      <c r="E1723" t="s">
        <v>18768</v>
      </c>
      <c r="F1723" t="s">
        <v>29372</v>
      </c>
      <c r="G1723" t="s">
        <v>29379</v>
      </c>
      <c r="H1723" t="s">
        <v>11048</v>
      </c>
      <c r="I1723" t="s">
        <v>3629</v>
      </c>
      <c r="J1723" t="s">
        <v>30175</v>
      </c>
      <c r="K1723" t="s">
        <v>38488</v>
      </c>
      <c r="M1723" t="s">
        <v>39401</v>
      </c>
      <c r="N1723" t="s">
        <v>42669</v>
      </c>
      <c r="O1723" t="s">
        <v>42670</v>
      </c>
      <c r="P1723">
        <v>0</v>
      </c>
      <c r="Q1723">
        <v>5</v>
      </c>
      <c r="R1723" t="s">
        <v>42674</v>
      </c>
      <c r="S1723" t="s">
        <v>42788</v>
      </c>
      <c r="T1723" t="s">
        <v>44417</v>
      </c>
      <c r="U1723" t="s">
        <v>46247</v>
      </c>
      <c r="V1723" t="s">
        <v>56523</v>
      </c>
      <c r="W1723" t="s">
        <v>39401</v>
      </c>
      <c r="X1723" t="s">
        <v>42676</v>
      </c>
    </row>
    <row r="1724" spans="1:24">
      <c r="A1724">
        <f>HYPERLINK("https://www.philgeps.gov.ph/GEPSNONPILOT/Tender/SplashBidNoticeAbstractUI.aspx?menuIndex=3&amp;refID=7190328&amp;Result=3","7190328")</f>
        <v>0</v>
      </c>
      <c r="B1724" t="s">
        <v>336</v>
      </c>
      <c r="C1724" t="s">
        <v>5177</v>
      </c>
      <c r="D1724" t="s">
        <v>17142</v>
      </c>
      <c r="E1724" t="s">
        <v>18769</v>
      </c>
      <c r="F1724" t="s">
        <v>29372</v>
      </c>
      <c r="G1724" t="s">
        <v>29379</v>
      </c>
      <c r="H1724" t="s">
        <v>11048</v>
      </c>
      <c r="I1724" t="s">
        <v>29394</v>
      </c>
      <c r="J1724" t="s">
        <v>30774</v>
      </c>
      <c r="K1724" t="s">
        <v>38488</v>
      </c>
      <c r="M1724" t="s">
        <v>39401</v>
      </c>
      <c r="N1724" t="s">
        <v>42669</v>
      </c>
      <c r="O1724" t="s">
        <v>42670</v>
      </c>
      <c r="P1724">
        <v>0</v>
      </c>
      <c r="Q1724">
        <v>2</v>
      </c>
      <c r="R1724" t="s">
        <v>42674</v>
      </c>
      <c r="S1724" t="s">
        <v>42788</v>
      </c>
      <c r="T1724" t="s">
        <v>44417</v>
      </c>
      <c r="U1724" t="s">
        <v>46248</v>
      </c>
      <c r="V1724" t="s">
        <v>56525</v>
      </c>
      <c r="W1724" t="s">
        <v>39401</v>
      </c>
      <c r="X1724" t="s">
        <v>42676</v>
      </c>
    </row>
    <row r="1725" spans="1:24">
      <c r="A1725">
        <f>HYPERLINK("https://www.philgeps.gov.ph/GEPSNONPILOT/Tender/SplashBidNoticeAbstractUI.aspx?menuIndex=3&amp;refID=7190320&amp;Result=3","7190320")</f>
        <v>0</v>
      </c>
      <c r="B1725" t="s">
        <v>672</v>
      </c>
      <c r="C1725" t="s">
        <v>5178</v>
      </c>
      <c r="D1725" t="s">
        <v>17148</v>
      </c>
      <c r="E1725" t="s">
        <v>18770</v>
      </c>
      <c r="F1725" t="s">
        <v>29372</v>
      </c>
      <c r="G1725" t="s">
        <v>29379</v>
      </c>
      <c r="H1725" t="s">
        <v>29389</v>
      </c>
      <c r="I1725" t="s">
        <v>29429</v>
      </c>
      <c r="J1725" t="s">
        <v>29555</v>
      </c>
      <c r="K1725" t="s">
        <v>38485</v>
      </c>
      <c r="M1725" t="s">
        <v>39448</v>
      </c>
      <c r="N1725" t="s">
        <v>42669</v>
      </c>
      <c r="O1725" t="s">
        <v>42670</v>
      </c>
      <c r="P1725">
        <v>0</v>
      </c>
      <c r="Q1725">
        <v>3</v>
      </c>
      <c r="R1725" t="s">
        <v>42674</v>
      </c>
      <c r="S1725" t="s">
        <v>42788</v>
      </c>
      <c r="T1725" t="s">
        <v>44386</v>
      </c>
      <c r="U1725" t="s">
        <v>46249</v>
      </c>
      <c r="W1725" t="s">
        <v>39448</v>
      </c>
      <c r="X1725" t="s">
        <v>42676</v>
      </c>
    </row>
    <row r="1726" spans="1:24">
      <c r="A1726">
        <f>HYPERLINK("https://www.philgeps.gov.ph/GEPSNONPILOT/Tender/SplashBidNoticeAbstractUI.aspx?menuIndex=3&amp;refID=7190326&amp;Result=3","7190326")</f>
        <v>0</v>
      </c>
      <c r="B1726" t="s">
        <v>673</v>
      </c>
      <c r="C1726" t="s">
        <v>5179</v>
      </c>
      <c r="D1726" t="s">
        <v>17213</v>
      </c>
      <c r="E1726" t="s">
        <v>18771</v>
      </c>
      <c r="F1726" t="s">
        <v>29372</v>
      </c>
      <c r="G1726" t="s">
        <v>29379</v>
      </c>
      <c r="H1726" t="s">
        <v>11048</v>
      </c>
      <c r="I1726" t="s">
        <v>29412</v>
      </c>
      <c r="J1726" t="s">
        <v>30775</v>
      </c>
      <c r="K1726" t="s">
        <v>38491</v>
      </c>
      <c r="M1726" t="s">
        <v>39449</v>
      </c>
      <c r="N1726" t="s">
        <v>42669</v>
      </c>
      <c r="O1726" t="s">
        <v>42670</v>
      </c>
      <c r="P1726">
        <v>0</v>
      </c>
      <c r="Q1726">
        <v>0</v>
      </c>
      <c r="R1726" t="s">
        <v>42674</v>
      </c>
      <c r="S1726" t="s">
        <v>42788</v>
      </c>
      <c r="T1726" t="s">
        <v>44432</v>
      </c>
      <c r="U1726" t="s">
        <v>46250</v>
      </c>
      <c r="W1726" t="s">
        <v>39449</v>
      </c>
      <c r="X1726" t="s">
        <v>42676</v>
      </c>
    </row>
    <row r="1727" spans="1:24">
      <c r="A1727">
        <f>HYPERLINK("https://www.philgeps.gov.ph/GEPSNONPILOT/Tender/SplashBidNoticeAbstractUI.aspx?menuIndex=3&amp;refID=7190350&amp;Result=3","7190350")</f>
        <v>0</v>
      </c>
      <c r="B1727" t="s">
        <v>657</v>
      </c>
      <c r="C1727" t="s">
        <v>5180</v>
      </c>
      <c r="D1727" t="s">
        <v>17210</v>
      </c>
      <c r="E1727" t="s">
        <v>18772</v>
      </c>
      <c r="F1727" t="s">
        <v>29373</v>
      </c>
      <c r="G1727" t="s">
        <v>29380</v>
      </c>
      <c r="H1727" t="s">
        <v>29389</v>
      </c>
      <c r="I1727" t="s">
        <v>10408</v>
      </c>
      <c r="J1727" t="s">
        <v>29829</v>
      </c>
      <c r="K1727" t="s">
        <v>38499</v>
      </c>
      <c r="M1727" t="s">
        <v>39433</v>
      </c>
      <c r="N1727" t="s">
        <v>42669</v>
      </c>
      <c r="O1727" t="s">
        <v>42670</v>
      </c>
      <c r="P1727">
        <v>0</v>
      </c>
      <c r="Q1727">
        <v>0</v>
      </c>
      <c r="R1727" t="s">
        <v>42674</v>
      </c>
      <c r="S1727" t="s">
        <v>42788</v>
      </c>
      <c r="T1727" t="s">
        <v>44557</v>
      </c>
      <c r="U1727" t="s">
        <v>46251</v>
      </c>
      <c r="W1727" t="s">
        <v>39433</v>
      </c>
      <c r="X1727" t="s">
        <v>42676</v>
      </c>
    </row>
    <row r="1728" spans="1:24">
      <c r="A1728">
        <f>HYPERLINK("https://www.philgeps.gov.ph/GEPSNONPILOT/Tender/SplashBidNoticeAbstractUI.aspx?menuIndex=3&amp;refID=7190349&amp;Result=3","7190349")</f>
        <v>0</v>
      </c>
      <c r="B1728" t="s">
        <v>613</v>
      </c>
      <c r="C1728" t="s">
        <v>5181</v>
      </c>
      <c r="D1728" t="s">
        <v>17205</v>
      </c>
      <c r="E1728" t="s">
        <v>18773</v>
      </c>
      <c r="F1728" t="s">
        <v>29372</v>
      </c>
      <c r="G1728" t="s">
        <v>29379</v>
      </c>
      <c r="H1728" t="s">
        <v>11048</v>
      </c>
      <c r="I1728" t="s">
        <v>29400</v>
      </c>
      <c r="J1728" t="s">
        <v>30046</v>
      </c>
      <c r="K1728" t="s">
        <v>38490</v>
      </c>
      <c r="M1728" t="s">
        <v>39384</v>
      </c>
      <c r="N1728" t="s">
        <v>42669</v>
      </c>
      <c r="O1728" t="s">
        <v>42670</v>
      </c>
      <c r="P1728">
        <v>0</v>
      </c>
      <c r="Q1728">
        <v>1</v>
      </c>
      <c r="R1728" t="s">
        <v>42674</v>
      </c>
      <c r="S1728" t="s">
        <v>42788</v>
      </c>
      <c r="T1728" t="s">
        <v>44417</v>
      </c>
      <c r="U1728" t="s">
        <v>46252</v>
      </c>
      <c r="V1728" t="s">
        <v>56514</v>
      </c>
      <c r="W1728" t="s">
        <v>39384</v>
      </c>
      <c r="X1728" t="s">
        <v>42676</v>
      </c>
    </row>
    <row r="1729" spans="1:24">
      <c r="A1729">
        <f>HYPERLINK("https://www.philgeps.gov.ph/GEPSNONPILOT/Tender/SplashBidNoticeAbstractUI.aspx?menuIndex=3&amp;refID=7190321&amp;Result=3","7190321")</f>
        <v>0</v>
      </c>
      <c r="B1729" t="s">
        <v>674</v>
      </c>
      <c r="C1729" t="s">
        <v>5182</v>
      </c>
      <c r="D1729" t="s">
        <v>17164</v>
      </c>
      <c r="E1729" t="s">
        <v>18774</v>
      </c>
      <c r="F1729" t="s">
        <v>29372</v>
      </c>
      <c r="G1729" t="s">
        <v>29380</v>
      </c>
      <c r="H1729" t="s">
        <v>11048</v>
      </c>
      <c r="I1729" t="s">
        <v>6417</v>
      </c>
      <c r="J1729" t="s">
        <v>30776</v>
      </c>
      <c r="K1729" t="s">
        <v>38491</v>
      </c>
      <c r="M1729" t="s">
        <v>39450</v>
      </c>
      <c r="N1729" t="s">
        <v>42669</v>
      </c>
      <c r="O1729" t="s">
        <v>42670</v>
      </c>
      <c r="P1729">
        <v>0</v>
      </c>
      <c r="Q1729">
        <v>4</v>
      </c>
      <c r="R1729" t="s">
        <v>42674</v>
      </c>
      <c r="S1729" t="s">
        <v>42788</v>
      </c>
      <c r="T1729" t="s">
        <v>44530</v>
      </c>
      <c r="U1729" t="s">
        <v>46253</v>
      </c>
      <c r="W1729" t="s">
        <v>39450</v>
      </c>
      <c r="X1729" t="s">
        <v>42676</v>
      </c>
    </row>
    <row r="1730" spans="1:24">
      <c r="A1730">
        <f>HYPERLINK("https://www.philgeps.gov.ph/GEPSNONPILOT/Tender/SplashBidNoticeAbstractUI.aspx?menuIndex=3&amp;refID=7190346&amp;Result=3","7190346")</f>
        <v>0</v>
      </c>
      <c r="B1730" t="s">
        <v>675</v>
      </c>
      <c r="C1730" t="s">
        <v>5183</v>
      </c>
      <c r="D1730" t="s">
        <v>17188</v>
      </c>
      <c r="E1730" t="s">
        <v>18775</v>
      </c>
      <c r="F1730" t="s">
        <v>29372</v>
      </c>
      <c r="G1730" t="s">
        <v>29380</v>
      </c>
      <c r="H1730" t="s">
        <v>11048</v>
      </c>
      <c r="I1730" t="s">
        <v>9469</v>
      </c>
      <c r="J1730" t="s">
        <v>30777</v>
      </c>
      <c r="K1730" t="s">
        <v>38487</v>
      </c>
      <c r="M1730" t="s">
        <v>39451</v>
      </c>
      <c r="N1730" t="s">
        <v>42669</v>
      </c>
      <c r="O1730" t="s">
        <v>42670</v>
      </c>
      <c r="P1730">
        <v>0</v>
      </c>
      <c r="Q1730">
        <v>8</v>
      </c>
      <c r="R1730" t="s">
        <v>42674</v>
      </c>
      <c r="S1730" t="s">
        <v>42788</v>
      </c>
      <c r="T1730" t="s">
        <v>44539</v>
      </c>
      <c r="U1730" t="s">
        <v>46254</v>
      </c>
      <c r="W1730" t="s">
        <v>39451</v>
      </c>
      <c r="X1730" t="s">
        <v>42676</v>
      </c>
    </row>
    <row r="1731" spans="1:24">
      <c r="A1731">
        <f>HYPERLINK("https://www.philgeps.gov.ph/GEPSNONPILOT/Tender/SplashBidNoticeAbstractUI.aspx?menuIndex=3&amp;refID=7190343&amp;Result=3","7190343")</f>
        <v>0</v>
      </c>
      <c r="B1731" t="s">
        <v>660</v>
      </c>
      <c r="C1731" t="s">
        <v>5184</v>
      </c>
      <c r="D1731" t="s">
        <v>17199</v>
      </c>
      <c r="E1731" t="s">
        <v>18776</v>
      </c>
      <c r="F1731" t="s">
        <v>29372</v>
      </c>
      <c r="G1731" t="s">
        <v>29379</v>
      </c>
      <c r="H1731" t="s">
        <v>11048</v>
      </c>
      <c r="I1731" t="s">
        <v>29409</v>
      </c>
      <c r="J1731" t="s">
        <v>29743</v>
      </c>
      <c r="K1731" t="s">
        <v>38490</v>
      </c>
      <c r="M1731" t="s">
        <v>39436</v>
      </c>
      <c r="N1731" t="s">
        <v>42669</v>
      </c>
      <c r="O1731" t="s">
        <v>42670</v>
      </c>
      <c r="P1731">
        <v>0</v>
      </c>
      <c r="Q1731">
        <v>6</v>
      </c>
      <c r="R1731" t="s">
        <v>42674</v>
      </c>
      <c r="S1731" t="s">
        <v>42788</v>
      </c>
      <c r="T1731" t="s">
        <v>44496</v>
      </c>
      <c r="U1731" t="s">
        <v>46255</v>
      </c>
      <c r="W1731" t="s">
        <v>39436</v>
      </c>
      <c r="X1731" t="s">
        <v>42676</v>
      </c>
    </row>
    <row r="1732" spans="1:24">
      <c r="A1732">
        <f>HYPERLINK("https://www.philgeps.gov.ph/GEPSNONPILOT/Tender/SplashBidNoticeAbstractUI.aspx?menuIndex=3&amp;refID=7190337&amp;Result=3","7190337")</f>
        <v>0</v>
      </c>
      <c r="B1732" t="s">
        <v>672</v>
      </c>
      <c r="C1732" t="s">
        <v>5185</v>
      </c>
      <c r="D1732" t="s">
        <v>17148</v>
      </c>
      <c r="E1732" t="s">
        <v>18777</v>
      </c>
      <c r="F1732" t="s">
        <v>29372</v>
      </c>
      <c r="G1732" t="s">
        <v>29379</v>
      </c>
      <c r="H1732" t="s">
        <v>29389</v>
      </c>
      <c r="I1732" t="s">
        <v>29429</v>
      </c>
      <c r="J1732" t="s">
        <v>29922</v>
      </c>
      <c r="K1732" t="s">
        <v>38485</v>
      </c>
      <c r="M1732" t="s">
        <v>39448</v>
      </c>
      <c r="N1732" t="s">
        <v>42669</v>
      </c>
      <c r="O1732" t="s">
        <v>42670</v>
      </c>
      <c r="P1732">
        <v>0</v>
      </c>
      <c r="Q1732">
        <v>2</v>
      </c>
      <c r="R1732" t="s">
        <v>42674</v>
      </c>
      <c r="S1732" t="s">
        <v>42788</v>
      </c>
      <c r="T1732" t="s">
        <v>44386</v>
      </c>
      <c r="U1732" t="s">
        <v>46256</v>
      </c>
      <c r="W1732" t="s">
        <v>39448</v>
      </c>
      <c r="X1732" t="s">
        <v>42676</v>
      </c>
    </row>
    <row r="1733" spans="1:24">
      <c r="A1733">
        <f>HYPERLINK("https://www.philgeps.gov.ph/GEPSNONPILOT/Tender/SplashBidNoticeAbstractUI.aspx?menuIndex=3&amp;refID=7190336&amp;Result=3","7190336")</f>
        <v>0</v>
      </c>
      <c r="B1733" t="s">
        <v>676</v>
      </c>
      <c r="C1733" t="s">
        <v>4969</v>
      </c>
      <c r="D1733" t="s">
        <v>17202</v>
      </c>
      <c r="E1733" t="s">
        <v>18778</v>
      </c>
      <c r="F1733" t="s">
        <v>29372</v>
      </c>
      <c r="G1733" t="s">
        <v>29380</v>
      </c>
      <c r="H1733" t="s">
        <v>29389</v>
      </c>
      <c r="I1733" t="s">
        <v>10408</v>
      </c>
      <c r="J1733" t="s">
        <v>30778</v>
      </c>
      <c r="K1733" t="s">
        <v>38491</v>
      </c>
      <c r="M1733" t="s">
        <v>39452</v>
      </c>
      <c r="N1733" t="s">
        <v>42669</v>
      </c>
      <c r="O1733" t="s">
        <v>42670</v>
      </c>
      <c r="P1733">
        <v>0</v>
      </c>
      <c r="Q1733">
        <v>0</v>
      </c>
      <c r="R1733" t="s">
        <v>42674</v>
      </c>
      <c r="S1733" t="s">
        <v>42788</v>
      </c>
      <c r="T1733" t="s">
        <v>44558</v>
      </c>
      <c r="U1733" t="s">
        <v>46257</v>
      </c>
      <c r="W1733" t="s">
        <v>39452</v>
      </c>
      <c r="X1733" t="s">
        <v>42676</v>
      </c>
    </row>
    <row r="1734" spans="1:24">
      <c r="A1734">
        <f>HYPERLINK("https://www.philgeps.gov.ph/GEPSNONPILOT/Tender/SplashBidNoticeAbstractUI.aspx?menuIndex=3&amp;refID=7190335&amp;Result=3","7190335")</f>
        <v>0</v>
      </c>
      <c r="B1734" t="s">
        <v>134</v>
      </c>
      <c r="C1734" t="s">
        <v>5186</v>
      </c>
      <c r="D1734" t="s">
        <v>17177</v>
      </c>
      <c r="E1734" t="s">
        <v>18779</v>
      </c>
      <c r="F1734" t="s">
        <v>29372</v>
      </c>
      <c r="G1734" t="s">
        <v>29380</v>
      </c>
      <c r="H1734" t="s">
        <v>11048</v>
      </c>
      <c r="I1734" t="s">
        <v>5383</v>
      </c>
      <c r="J1734" t="s">
        <v>30779</v>
      </c>
      <c r="K1734" t="s">
        <v>38487</v>
      </c>
      <c r="M1734" t="s">
        <v>38889</v>
      </c>
      <c r="N1734" t="s">
        <v>42669</v>
      </c>
      <c r="O1734" t="s">
        <v>42670</v>
      </c>
      <c r="P1734">
        <v>0</v>
      </c>
      <c r="Q1734">
        <v>3</v>
      </c>
      <c r="R1734" t="s">
        <v>42674</v>
      </c>
      <c r="S1734" t="s">
        <v>42788</v>
      </c>
      <c r="T1734" t="s">
        <v>44559</v>
      </c>
      <c r="U1734" t="s">
        <v>46258</v>
      </c>
      <c r="V1734" t="s">
        <v>56517</v>
      </c>
      <c r="W1734" t="s">
        <v>38889</v>
      </c>
      <c r="X1734" t="s">
        <v>42676</v>
      </c>
    </row>
    <row r="1735" spans="1:24">
      <c r="A1735">
        <f>HYPERLINK("https://www.philgeps.gov.ph/GEPSNONPILOT/Tender/SplashBidNoticeAbstractUI.aspx?menuIndex=3&amp;refID=7190332&amp;Result=3","7190332")</f>
        <v>0</v>
      </c>
      <c r="B1735" t="s">
        <v>677</v>
      </c>
      <c r="C1735" t="s">
        <v>5187</v>
      </c>
      <c r="D1735" t="s">
        <v>17221</v>
      </c>
      <c r="E1735" t="s">
        <v>18780</v>
      </c>
      <c r="F1735" t="s">
        <v>29372</v>
      </c>
      <c r="G1735" t="s">
        <v>29379</v>
      </c>
      <c r="H1735" t="s">
        <v>11048</v>
      </c>
      <c r="I1735" t="s">
        <v>29393</v>
      </c>
      <c r="J1735" t="s">
        <v>30780</v>
      </c>
      <c r="K1735" t="s">
        <v>38485</v>
      </c>
      <c r="M1735" t="s">
        <v>39453</v>
      </c>
      <c r="N1735" t="s">
        <v>42669</v>
      </c>
      <c r="O1735" t="s">
        <v>42670</v>
      </c>
      <c r="P1735">
        <v>0</v>
      </c>
      <c r="Q1735">
        <v>0</v>
      </c>
      <c r="R1735" t="s">
        <v>42674</v>
      </c>
      <c r="S1735" t="s">
        <v>42788</v>
      </c>
      <c r="T1735" t="s">
        <v>44496</v>
      </c>
      <c r="U1735" t="s">
        <v>46259</v>
      </c>
      <c r="W1735" t="s">
        <v>58019</v>
      </c>
      <c r="X1735" t="s">
        <v>42676</v>
      </c>
    </row>
    <row r="1736" spans="1:24">
      <c r="A1736">
        <f>HYPERLINK("https://www.philgeps.gov.ph/GEPSNONPILOT/Tender/SplashBidNoticeAbstractUI.aspx?menuIndex=3&amp;refID=7190348&amp;Result=3","7190348")</f>
        <v>0</v>
      </c>
      <c r="B1736" t="s">
        <v>678</v>
      </c>
      <c r="C1736" t="s">
        <v>4025</v>
      </c>
      <c r="D1736" t="s">
        <v>17160</v>
      </c>
      <c r="E1736" t="s">
        <v>18781</v>
      </c>
      <c r="F1736" t="s">
        <v>29372</v>
      </c>
      <c r="G1736" t="s">
        <v>29380</v>
      </c>
      <c r="H1736" t="s">
        <v>29390</v>
      </c>
      <c r="I1736" t="s">
        <v>9469</v>
      </c>
      <c r="J1736" t="s">
        <v>29657</v>
      </c>
      <c r="K1736" t="s">
        <v>38510</v>
      </c>
      <c r="M1736" t="s">
        <v>39454</v>
      </c>
      <c r="N1736" t="s">
        <v>42669</v>
      </c>
      <c r="O1736" t="s">
        <v>42670</v>
      </c>
      <c r="P1736">
        <v>0</v>
      </c>
      <c r="Q1736">
        <v>0</v>
      </c>
      <c r="R1736" t="s">
        <v>42674</v>
      </c>
      <c r="S1736" t="s">
        <v>42788</v>
      </c>
      <c r="T1736" t="s">
        <v>44456</v>
      </c>
      <c r="U1736" t="s">
        <v>46260</v>
      </c>
      <c r="W1736" t="s">
        <v>39454</v>
      </c>
      <c r="X1736" t="s">
        <v>42676</v>
      </c>
    </row>
    <row r="1737" spans="1:24">
      <c r="A1737">
        <f>HYPERLINK("https://www.philgeps.gov.ph/GEPSNONPILOT/Tender/SplashBidNoticeAbstractUI.aspx?menuIndex=3&amp;refID=7190375&amp;Result=3","7190375")</f>
        <v>0</v>
      </c>
      <c r="B1737" t="s">
        <v>679</v>
      </c>
      <c r="C1737" t="s">
        <v>5188</v>
      </c>
      <c r="D1737" t="s">
        <v>17175</v>
      </c>
      <c r="E1737" t="s">
        <v>18782</v>
      </c>
      <c r="F1737" t="s">
        <v>29372</v>
      </c>
      <c r="G1737" t="s">
        <v>29380</v>
      </c>
      <c r="H1737" t="s">
        <v>11048</v>
      </c>
      <c r="I1737" t="s">
        <v>4709</v>
      </c>
      <c r="J1737" t="s">
        <v>30781</v>
      </c>
      <c r="K1737" t="s">
        <v>38510</v>
      </c>
      <c r="M1737" t="s">
        <v>39455</v>
      </c>
      <c r="N1737" t="s">
        <v>42669</v>
      </c>
      <c r="O1737" t="s">
        <v>42670</v>
      </c>
      <c r="P1737">
        <v>0</v>
      </c>
      <c r="Q1737">
        <v>0</v>
      </c>
      <c r="R1737" t="s">
        <v>42674</v>
      </c>
      <c r="S1737" t="s">
        <v>42788</v>
      </c>
      <c r="T1737" t="s">
        <v>44361</v>
      </c>
      <c r="U1737" t="s">
        <v>46261</v>
      </c>
      <c r="W1737" t="s">
        <v>39455</v>
      </c>
      <c r="X1737" t="s">
        <v>42676</v>
      </c>
    </row>
    <row r="1738" spans="1:24">
      <c r="A1738">
        <f>HYPERLINK("https://www.philgeps.gov.ph/GEPSNONPILOT/Tender/SplashBidNoticeAbstractUI.aspx?menuIndex=3&amp;refID=7190338&amp;Result=3","7190338")</f>
        <v>0</v>
      </c>
      <c r="B1738" t="s">
        <v>631</v>
      </c>
      <c r="C1738" t="s">
        <v>5189</v>
      </c>
      <c r="D1738" t="s">
        <v>17174</v>
      </c>
      <c r="E1738" t="s">
        <v>18783</v>
      </c>
      <c r="F1738" t="s">
        <v>29372</v>
      </c>
      <c r="G1738" t="s">
        <v>29380</v>
      </c>
      <c r="H1738" t="s">
        <v>29389</v>
      </c>
      <c r="I1738" t="s">
        <v>10408</v>
      </c>
      <c r="J1738" t="s">
        <v>30782</v>
      </c>
      <c r="K1738" t="s">
        <v>38490</v>
      </c>
      <c r="M1738" t="s">
        <v>39404</v>
      </c>
      <c r="N1738" t="s">
        <v>42669</v>
      </c>
      <c r="O1738" t="s">
        <v>42670</v>
      </c>
      <c r="P1738">
        <v>0</v>
      </c>
      <c r="Q1738">
        <v>0</v>
      </c>
      <c r="R1738" t="s">
        <v>42674</v>
      </c>
      <c r="S1738" t="s">
        <v>42788</v>
      </c>
      <c r="T1738" t="s">
        <v>44364</v>
      </c>
      <c r="U1738" t="s">
        <v>46262</v>
      </c>
      <c r="W1738" t="s">
        <v>39404</v>
      </c>
      <c r="X1738" t="s">
        <v>42676</v>
      </c>
    </row>
    <row r="1739" spans="1:24">
      <c r="A1739">
        <f>HYPERLINK("https://www.philgeps.gov.ph/GEPSNONPILOT/Tender/SplashBidNoticeAbstractUI.aspx?menuIndex=3&amp;refID=7190372&amp;Result=3","7190372")</f>
        <v>0</v>
      </c>
      <c r="B1739" t="s">
        <v>655</v>
      </c>
      <c r="C1739" t="s">
        <v>5190</v>
      </c>
      <c r="E1739" t="s">
        <v>18255</v>
      </c>
      <c r="F1739" t="s">
        <v>29372</v>
      </c>
      <c r="G1739" t="s">
        <v>29380</v>
      </c>
      <c r="H1739" t="s">
        <v>29390</v>
      </c>
      <c r="I1739" t="s">
        <v>29417</v>
      </c>
      <c r="J1739" t="s">
        <v>30056</v>
      </c>
      <c r="K1739" t="s">
        <v>38491</v>
      </c>
      <c r="M1739" t="s">
        <v>39429</v>
      </c>
      <c r="N1739" t="s">
        <v>42669</v>
      </c>
      <c r="O1739" t="s">
        <v>42670</v>
      </c>
      <c r="P1739">
        <v>0</v>
      </c>
      <c r="Q1739">
        <v>4</v>
      </c>
      <c r="R1739" t="s">
        <v>42674</v>
      </c>
      <c r="S1739" t="s">
        <v>42788</v>
      </c>
      <c r="T1739" t="s">
        <v>44430</v>
      </c>
      <c r="U1739" t="s">
        <v>46263</v>
      </c>
      <c r="W1739" t="s">
        <v>39429</v>
      </c>
      <c r="X1739" t="s">
        <v>42676</v>
      </c>
    </row>
    <row r="1740" spans="1:24">
      <c r="A1740">
        <f>HYPERLINK("https://www.philgeps.gov.ph/GEPSNONPILOT/Tender/SplashBidNoticeAbstractUI.aspx?menuIndex=3&amp;refID=7190369&amp;Result=3","7190369")</f>
        <v>0</v>
      </c>
      <c r="B1740" t="s">
        <v>336</v>
      </c>
      <c r="C1740" t="s">
        <v>5191</v>
      </c>
      <c r="E1740" t="s">
        <v>18784</v>
      </c>
      <c r="F1740" t="s">
        <v>29372</v>
      </c>
      <c r="G1740" t="s">
        <v>29379</v>
      </c>
      <c r="H1740" t="s">
        <v>11048</v>
      </c>
      <c r="I1740" t="s">
        <v>29433</v>
      </c>
      <c r="J1740" t="s">
        <v>30783</v>
      </c>
      <c r="K1740" t="s">
        <v>38488</v>
      </c>
      <c r="M1740" t="s">
        <v>39401</v>
      </c>
      <c r="N1740" t="s">
        <v>42669</v>
      </c>
      <c r="O1740" t="s">
        <v>42670</v>
      </c>
      <c r="P1740">
        <v>0</v>
      </c>
      <c r="Q1740">
        <v>3</v>
      </c>
      <c r="R1740" t="s">
        <v>42674</v>
      </c>
      <c r="S1740" t="s">
        <v>42788</v>
      </c>
      <c r="T1740" t="s">
        <v>44417</v>
      </c>
      <c r="U1740" t="s">
        <v>46264</v>
      </c>
      <c r="V1740" t="s">
        <v>56525</v>
      </c>
      <c r="W1740" t="s">
        <v>39401</v>
      </c>
      <c r="X1740" t="s">
        <v>42676</v>
      </c>
    </row>
    <row r="1741" spans="1:24">
      <c r="A1741">
        <f>HYPERLINK("https://www.philgeps.gov.ph/GEPSNONPILOT/Tender/SplashBidNoticeAbstractUI.aspx?menuIndex=3&amp;refID=7190351&amp;Result=3","7190351")</f>
        <v>0</v>
      </c>
      <c r="B1741" t="s">
        <v>679</v>
      </c>
      <c r="C1741" t="s">
        <v>5192</v>
      </c>
      <c r="D1741" t="s">
        <v>17175</v>
      </c>
      <c r="E1741" t="s">
        <v>18785</v>
      </c>
      <c r="F1741" t="s">
        <v>29372</v>
      </c>
      <c r="G1741" t="s">
        <v>29380</v>
      </c>
      <c r="H1741" t="s">
        <v>11048</v>
      </c>
      <c r="I1741" t="s">
        <v>4709</v>
      </c>
      <c r="J1741" t="s">
        <v>30784</v>
      </c>
      <c r="K1741" t="s">
        <v>38510</v>
      </c>
      <c r="M1741" t="s">
        <v>39455</v>
      </c>
      <c r="N1741" t="s">
        <v>42669</v>
      </c>
      <c r="O1741" t="s">
        <v>42670</v>
      </c>
      <c r="P1741">
        <v>0</v>
      </c>
      <c r="Q1741">
        <v>0</v>
      </c>
      <c r="R1741" t="s">
        <v>42674</v>
      </c>
      <c r="S1741" t="s">
        <v>42788</v>
      </c>
      <c r="T1741" t="s">
        <v>44361</v>
      </c>
      <c r="U1741" t="s">
        <v>46265</v>
      </c>
      <c r="W1741" t="s">
        <v>39455</v>
      </c>
      <c r="X1741" t="s">
        <v>42676</v>
      </c>
    </row>
    <row r="1742" spans="1:24">
      <c r="A1742">
        <f>HYPERLINK("https://www.philgeps.gov.ph/GEPSNONPILOT/Tender/SplashBidNoticeAbstractUI.aspx?menuIndex=3&amp;refID=7190373&amp;Result=3","7190373")</f>
        <v>0</v>
      </c>
      <c r="B1742" t="s">
        <v>680</v>
      </c>
      <c r="C1742" t="s">
        <v>5193</v>
      </c>
      <c r="D1742" t="s">
        <v>17196</v>
      </c>
      <c r="E1742" t="s">
        <v>18786</v>
      </c>
      <c r="F1742" t="s">
        <v>29372</v>
      </c>
      <c r="G1742" t="s">
        <v>29379</v>
      </c>
      <c r="H1742" t="s">
        <v>11048</v>
      </c>
      <c r="I1742" t="s">
        <v>29457</v>
      </c>
      <c r="J1742" t="s">
        <v>30036</v>
      </c>
      <c r="K1742" t="s">
        <v>38490</v>
      </c>
      <c r="M1742" t="s">
        <v>39456</v>
      </c>
      <c r="N1742" t="s">
        <v>42669</v>
      </c>
      <c r="O1742" t="s">
        <v>42670</v>
      </c>
      <c r="P1742">
        <v>0</v>
      </c>
      <c r="Q1742">
        <v>1</v>
      </c>
      <c r="R1742" t="s">
        <v>42674</v>
      </c>
      <c r="S1742" t="s">
        <v>42788</v>
      </c>
      <c r="T1742" t="s">
        <v>44425</v>
      </c>
      <c r="U1742" t="s">
        <v>46266</v>
      </c>
      <c r="V1742" t="s">
        <v>56533</v>
      </c>
      <c r="W1742" t="s">
        <v>39456</v>
      </c>
      <c r="X1742" t="s">
        <v>42676</v>
      </c>
    </row>
    <row r="1743" spans="1:24">
      <c r="A1743">
        <f>HYPERLINK("https://www.philgeps.gov.ph/GEPSNONPILOT/Tender/SplashBidNoticeAbstractUI.aspx?menuIndex=3&amp;refID=7190394&amp;Result=3","7190394")</f>
        <v>0</v>
      </c>
      <c r="B1743" t="s">
        <v>681</v>
      </c>
      <c r="C1743" t="s">
        <v>5194</v>
      </c>
      <c r="D1743" t="s">
        <v>17160</v>
      </c>
      <c r="E1743" t="s">
        <v>18787</v>
      </c>
      <c r="F1743" t="s">
        <v>29372</v>
      </c>
      <c r="G1743" t="s">
        <v>29380</v>
      </c>
      <c r="H1743" t="s">
        <v>29389</v>
      </c>
      <c r="I1743" t="s">
        <v>10408</v>
      </c>
      <c r="J1743" t="s">
        <v>30785</v>
      </c>
      <c r="K1743" t="s">
        <v>38490</v>
      </c>
      <c r="M1743" t="s">
        <v>39457</v>
      </c>
      <c r="N1743" t="s">
        <v>42669</v>
      </c>
      <c r="O1743" t="s">
        <v>42670</v>
      </c>
      <c r="P1743">
        <v>0</v>
      </c>
      <c r="Q1743">
        <v>1</v>
      </c>
      <c r="R1743" t="s">
        <v>42674</v>
      </c>
      <c r="S1743" t="s">
        <v>42788</v>
      </c>
      <c r="T1743" t="s">
        <v>44439</v>
      </c>
      <c r="U1743" t="s">
        <v>46267</v>
      </c>
      <c r="W1743" t="s">
        <v>39457</v>
      </c>
      <c r="X1743" t="s">
        <v>42676</v>
      </c>
    </row>
    <row r="1744" spans="1:24">
      <c r="A1744">
        <f>HYPERLINK("https://www.philgeps.gov.ph/GEPSNONPILOT/Tender/SplashBidNoticeAbstractUI.aspx?menuIndex=3&amp;refID=7190393&amp;Result=3","7190393")</f>
        <v>0</v>
      </c>
      <c r="B1744" t="s">
        <v>682</v>
      </c>
      <c r="C1744" t="s">
        <v>5195</v>
      </c>
      <c r="D1744" t="s">
        <v>17141</v>
      </c>
      <c r="E1744" t="s">
        <v>17477</v>
      </c>
      <c r="F1744" t="s">
        <v>29372</v>
      </c>
      <c r="G1744" t="s">
        <v>29380</v>
      </c>
      <c r="H1744" t="s">
        <v>29390</v>
      </c>
      <c r="I1744" t="s">
        <v>3670</v>
      </c>
      <c r="J1744" t="s">
        <v>30100</v>
      </c>
      <c r="K1744" t="s">
        <v>38488</v>
      </c>
      <c r="M1744" t="s">
        <v>39458</v>
      </c>
      <c r="N1744" t="s">
        <v>42669</v>
      </c>
      <c r="O1744" t="s">
        <v>42670</v>
      </c>
      <c r="P1744">
        <v>0</v>
      </c>
      <c r="Q1744">
        <v>6</v>
      </c>
      <c r="R1744" t="s">
        <v>42674</v>
      </c>
      <c r="S1744" t="s">
        <v>42788</v>
      </c>
      <c r="T1744" t="s">
        <v>44480</v>
      </c>
      <c r="U1744" t="s">
        <v>46268</v>
      </c>
      <c r="V1744" t="s">
        <v>56534</v>
      </c>
      <c r="W1744" t="s">
        <v>39458</v>
      </c>
      <c r="X1744" t="s">
        <v>42676</v>
      </c>
    </row>
    <row r="1745" spans="1:24">
      <c r="A1745">
        <f>HYPERLINK("https://www.philgeps.gov.ph/GEPSNONPILOT/Tender/SplashBidNoticeAbstractUI.aspx?menuIndex=3&amp;refID=7190384&amp;Result=3","7190384")</f>
        <v>0</v>
      </c>
      <c r="B1745" t="s">
        <v>677</v>
      </c>
      <c r="C1745" t="s">
        <v>5196</v>
      </c>
      <c r="D1745" t="s">
        <v>17221</v>
      </c>
      <c r="E1745" t="s">
        <v>18788</v>
      </c>
      <c r="F1745" t="s">
        <v>29372</v>
      </c>
      <c r="G1745" t="s">
        <v>29379</v>
      </c>
      <c r="H1745" t="s">
        <v>11048</v>
      </c>
      <c r="I1745" t="s">
        <v>29393</v>
      </c>
      <c r="J1745" t="s">
        <v>30780</v>
      </c>
      <c r="K1745" t="s">
        <v>38485</v>
      </c>
      <c r="M1745" t="s">
        <v>39453</v>
      </c>
      <c r="N1745" t="s">
        <v>42669</v>
      </c>
      <c r="O1745" t="s">
        <v>42670</v>
      </c>
      <c r="P1745">
        <v>0</v>
      </c>
      <c r="Q1745">
        <v>0</v>
      </c>
      <c r="R1745" t="s">
        <v>42674</v>
      </c>
      <c r="S1745" t="s">
        <v>42788</v>
      </c>
      <c r="T1745" t="s">
        <v>44496</v>
      </c>
      <c r="U1745" t="s">
        <v>46269</v>
      </c>
      <c r="W1745" t="s">
        <v>58019</v>
      </c>
      <c r="X1745" t="s">
        <v>42676</v>
      </c>
    </row>
    <row r="1746" spans="1:24">
      <c r="A1746">
        <f>HYPERLINK("https://www.philgeps.gov.ph/GEPSNONPILOT/Tender/SplashBidNoticeAbstractUI.aspx?menuIndex=3&amp;refID=7190367&amp;Result=3","7190367")</f>
        <v>0</v>
      </c>
      <c r="B1746" t="s">
        <v>627</v>
      </c>
      <c r="C1746" t="s">
        <v>5197</v>
      </c>
      <c r="D1746" t="s">
        <v>17196</v>
      </c>
      <c r="E1746" t="s">
        <v>18789</v>
      </c>
      <c r="F1746" t="s">
        <v>29372</v>
      </c>
      <c r="G1746" t="s">
        <v>29379</v>
      </c>
      <c r="H1746" t="s">
        <v>11048</v>
      </c>
      <c r="I1746" t="s">
        <v>29458</v>
      </c>
      <c r="J1746" t="s">
        <v>30786</v>
      </c>
      <c r="K1746" t="s">
        <v>38491</v>
      </c>
      <c r="M1746" t="s">
        <v>39399</v>
      </c>
      <c r="N1746" t="s">
        <v>42669</v>
      </c>
      <c r="O1746" t="s">
        <v>42670</v>
      </c>
      <c r="P1746">
        <v>0</v>
      </c>
      <c r="Q1746">
        <v>1</v>
      </c>
      <c r="R1746" t="s">
        <v>42674</v>
      </c>
      <c r="S1746" t="s">
        <v>42788</v>
      </c>
      <c r="T1746" t="s">
        <v>44560</v>
      </c>
      <c r="U1746" t="s">
        <v>46270</v>
      </c>
      <c r="W1746" t="s">
        <v>39399</v>
      </c>
      <c r="X1746" t="s">
        <v>42676</v>
      </c>
    </row>
    <row r="1747" spans="1:24">
      <c r="A1747">
        <f>HYPERLINK("https://www.philgeps.gov.ph/GEPSNONPILOT/Tender/SplashBidNoticeAbstractUI.aspx?menuIndex=3&amp;refID=7190383&amp;Result=3","7190383")</f>
        <v>0</v>
      </c>
      <c r="B1747" t="s">
        <v>613</v>
      </c>
      <c r="C1747" t="s">
        <v>5198</v>
      </c>
      <c r="D1747" t="s">
        <v>17205</v>
      </c>
      <c r="E1747" t="s">
        <v>18790</v>
      </c>
      <c r="F1747" t="s">
        <v>29372</v>
      </c>
      <c r="G1747" t="s">
        <v>29379</v>
      </c>
      <c r="H1747" t="s">
        <v>11048</v>
      </c>
      <c r="I1747" t="s">
        <v>29400</v>
      </c>
      <c r="J1747" t="s">
        <v>30222</v>
      </c>
      <c r="K1747" t="s">
        <v>38490</v>
      </c>
      <c r="M1747" t="s">
        <v>39384</v>
      </c>
      <c r="N1747" t="s">
        <v>42669</v>
      </c>
      <c r="O1747" t="s">
        <v>42670</v>
      </c>
      <c r="P1747">
        <v>0</v>
      </c>
      <c r="Q1747">
        <v>1</v>
      </c>
      <c r="R1747" t="s">
        <v>42674</v>
      </c>
      <c r="S1747" t="s">
        <v>42788</v>
      </c>
      <c r="T1747" t="s">
        <v>44417</v>
      </c>
      <c r="U1747" t="s">
        <v>46252</v>
      </c>
      <c r="V1747" t="s">
        <v>56514</v>
      </c>
      <c r="W1747" t="s">
        <v>39384</v>
      </c>
      <c r="X1747" t="s">
        <v>42676</v>
      </c>
    </row>
    <row r="1748" spans="1:24">
      <c r="A1748">
        <f>HYPERLINK("https://www.philgeps.gov.ph/GEPSNONPILOT/Tender/SplashBidNoticeAbstractUI.aspx?menuIndex=3&amp;refID=7190382&amp;Result=3","7190382")</f>
        <v>0</v>
      </c>
      <c r="B1748" t="s">
        <v>683</v>
      </c>
      <c r="C1748" t="s">
        <v>5199</v>
      </c>
      <c r="D1748" t="s">
        <v>17197</v>
      </c>
      <c r="E1748" t="s">
        <v>18791</v>
      </c>
      <c r="F1748" t="s">
        <v>29372</v>
      </c>
      <c r="G1748" t="s">
        <v>29380</v>
      </c>
      <c r="H1748" t="s">
        <v>11048</v>
      </c>
      <c r="I1748" t="s">
        <v>9469</v>
      </c>
      <c r="J1748" t="s">
        <v>30787</v>
      </c>
      <c r="K1748" t="s">
        <v>38531</v>
      </c>
      <c r="M1748" t="s">
        <v>39459</v>
      </c>
      <c r="N1748" t="s">
        <v>42669</v>
      </c>
      <c r="O1748" t="s">
        <v>42670</v>
      </c>
      <c r="P1748">
        <v>0</v>
      </c>
      <c r="Q1748">
        <v>5</v>
      </c>
      <c r="R1748" t="s">
        <v>42674</v>
      </c>
      <c r="S1748" t="s">
        <v>42788</v>
      </c>
      <c r="T1748" t="s">
        <v>44561</v>
      </c>
      <c r="U1748" t="s">
        <v>46271</v>
      </c>
      <c r="W1748" t="s">
        <v>39459</v>
      </c>
      <c r="X1748" t="s">
        <v>42676</v>
      </c>
    </row>
    <row r="1749" spans="1:24">
      <c r="A1749">
        <f>HYPERLINK("https://www.philgeps.gov.ph/GEPSNONPILOT/Tender/SplashBidNoticeAbstractUI.aspx?menuIndex=3&amp;refID=7190378&amp;Result=3","7190378")</f>
        <v>0</v>
      </c>
      <c r="B1749" t="s">
        <v>660</v>
      </c>
      <c r="C1749" t="s">
        <v>5200</v>
      </c>
      <c r="D1749" t="s">
        <v>17199</v>
      </c>
      <c r="E1749" t="s">
        <v>18792</v>
      </c>
      <c r="F1749" t="s">
        <v>29372</v>
      </c>
      <c r="G1749" t="s">
        <v>29379</v>
      </c>
      <c r="H1749" t="s">
        <v>11048</v>
      </c>
      <c r="I1749" t="s">
        <v>3629</v>
      </c>
      <c r="J1749" t="s">
        <v>30788</v>
      </c>
      <c r="K1749" t="s">
        <v>38490</v>
      </c>
      <c r="M1749" t="s">
        <v>39436</v>
      </c>
      <c r="N1749" t="s">
        <v>42669</v>
      </c>
      <c r="O1749" t="s">
        <v>42670</v>
      </c>
      <c r="P1749">
        <v>0</v>
      </c>
      <c r="Q1749">
        <v>5</v>
      </c>
      <c r="R1749" t="s">
        <v>42674</v>
      </c>
      <c r="S1749" t="s">
        <v>42788</v>
      </c>
      <c r="T1749" t="s">
        <v>44496</v>
      </c>
      <c r="U1749" t="s">
        <v>46272</v>
      </c>
      <c r="W1749" t="s">
        <v>39436</v>
      </c>
      <c r="X1749" t="s">
        <v>42676</v>
      </c>
    </row>
    <row r="1750" spans="1:24">
      <c r="A1750">
        <f>HYPERLINK("https://www.philgeps.gov.ph/GEPSNONPILOT/Tender/SplashBidNoticeAbstractUI.aspx?menuIndex=3&amp;refID=7190366&amp;Result=3","7190366")</f>
        <v>0</v>
      </c>
      <c r="B1750" t="s">
        <v>134</v>
      </c>
      <c r="C1750" t="s">
        <v>5201</v>
      </c>
      <c r="D1750" t="s">
        <v>17177</v>
      </c>
      <c r="E1750" t="s">
        <v>18793</v>
      </c>
      <c r="F1750" t="s">
        <v>29372</v>
      </c>
      <c r="G1750" t="s">
        <v>29380</v>
      </c>
      <c r="H1750" t="s">
        <v>11048</v>
      </c>
      <c r="I1750" t="s">
        <v>29393</v>
      </c>
      <c r="J1750" t="s">
        <v>30244</v>
      </c>
      <c r="K1750" t="s">
        <v>38490</v>
      </c>
      <c r="M1750" t="s">
        <v>38889</v>
      </c>
      <c r="N1750" t="s">
        <v>42669</v>
      </c>
      <c r="O1750" t="s">
        <v>42670</v>
      </c>
      <c r="P1750">
        <v>0</v>
      </c>
      <c r="Q1750">
        <v>0</v>
      </c>
      <c r="R1750" t="s">
        <v>42674</v>
      </c>
      <c r="S1750" t="s">
        <v>42788</v>
      </c>
      <c r="T1750" t="s">
        <v>44544</v>
      </c>
      <c r="U1750" t="s">
        <v>46273</v>
      </c>
      <c r="V1750" t="s">
        <v>56517</v>
      </c>
      <c r="W1750" t="s">
        <v>38889</v>
      </c>
      <c r="X1750" t="s">
        <v>42676</v>
      </c>
    </row>
    <row r="1751" spans="1:24">
      <c r="A1751">
        <f>HYPERLINK("https://www.philgeps.gov.ph/GEPSNONPILOT/Tender/SplashBidNoticeAbstractUI.aspx?menuIndex=3&amp;refID=7190364&amp;Result=3","7190364")</f>
        <v>0</v>
      </c>
      <c r="B1751" t="s">
        <v>667</v>
      </c>
      <c r="C1751" t="s">
        <v>3596</v>
      </c>
      <c r="D1751" t="s">
        <v>17203</v>
      </c>
      <c r="E1751" t="s">
        <v>18794</v>
      </c>
      <c r="F1751" t="s">
        <v>29372</v>
      </c>
      <c r="G1751" t="s">
        <v>29379</v>
      </c>
      <c r="H1751" t="s">
        <v>11048</v>
      </c>
      <c r="I1751" t="s">
        <v>14920</v>
      </c>
      <c r="J1751" t="s">
        <v>30789</v>
      </c>
      <c r="K1751" t="s">
        <v>38490</v>
      </c>
      <c r="M1751" t="s">
        <v>39443</v>
      </c>
      <c r="N1751" t="s">
        <v>42669</v>
      </c>
      <c r="O1751" t="s">
        <v>42670</v>
      </c>
      <c r="P1751">
        <v>0</v>
      </c>
      <c r="Q1751">
        <v>0</v>
      </c>
      <c r="R1751" t="s">
        <v>42674</v>
      </c>
      <c r="S1751" t="s">
        <v>42788</v>
      </c>
      <c r="T1751" t="s">
        <v>44456</v>
      </c>
      <c r="U1751" t="s">
        <v>46274</v>
      </c>
      <c r="W1751" t="s">
        <v>39443</v>
      </c>
      <c r="X1751" t="s">
        <v>42676</v>
      </c>
    </row>
    <row r="1752" spans="1:24">
      <c r="A1752">
        <f>HYPERLINK("https://www.philgeps.gov.ph/GEPSNONPILOT/Tender/SplashBidNoticeAbstractUI.aspx?menuIndex=3&amp;refID=7190363&amp;Result=3","7190363")</f>
        <v>0</v>
      </c>
      <c r="B1752" t="s">
        <v>481</v>
      </c>
      <c r="C1752" t="s">
        <v>5202</v>
      </c>
      <c r="D1752" t="s">
        <v>17180</v>
      </c>
      <c r="E1752" t="s">
        <v>18795</v>
      </c>
      <c r="F1752" t="s">
        <v>29372</v>
      </c>
      <c r="G1752" t="s">
        <v>29379</v>
      </c>
      <c r="H1752" t="s">
        <v>11048</v>
      </c>
      <c r="I1752" t="s">
        <v>3839</v>
      </c>
      <c r="J1752" t="s">
        <v>30790</v>
      </c>
      <c r="K1752" t="s">
        <v>38491</v>
      </c>
      <c r="M1752" t="s">
        <v>39246</v>
      </c>
      <c r="N1752" t="s">
        <v>42669</v>
      </c>
      <c r="O1752" t="s">
        <v>42670</v>
      </c>
      <c r="P1752">
        <v>0</v>
      </c>
      <c r="Q1752">
        <v>2</v>
      </c>
      <c r="R1752" t="s">
        <v>42674</v>
      </c>
      <c r="S1752" t="s">
        <v>42788</v>
      </c>
      <c r="T1752" t="s">
        <v>44451</v>
      </c>
      <c r="U1752" t="s">
        <v>46275</v>
      </c>
      <c r="W1752" t="s">
        <v>39246</v>
      </c>
      <c r="X1752" t="s">
        <v>42676</v>
      </c>
    </row>
    <row r="1753" spans="1:24">
      <c r="A1753">
        <f>HYPERLINK("https://www.philgeps.gov.ph/GEPSNONPILOT/Tender/SplashBidNoticeAbstractUI.aspx?menuIndex=3&amp;refID=7190361&amp;Result=3","7190361")</f>
        <v>0</v>
      </c>
      <c r="B1753" t="s">
        <v>613</v>
      </c>
      <c r="C1753" t="s">
        <v>5203</v>
      </c>
      <c r="D1753" t="s">
        <v>17205</v>
      </c>
      <c r="E1753" t="s">
        <v>18796</v>
      </c>
      <c r="F1753" t="s">
        <v>29372</v>
      </c>
      <c r="G1753" t="s">
        <v>29379</v>
      </c>
      <c r="H1753" t="s">
        <v>11048</v>
      </c>
      <c r="I1753" t="s">
        <v>29400</v>
      </c>
      <c r="J1753" t="s">
        <v>30404</v>
      </c>
      <c r="K1753" t="s">
        <v>38490</v>
      </c>
      <c r="M1753" t="s">
        <v>39384</v>
      </c>
      <c r="N1753" t="s">
        <v>42669</v>
      </c>
      <c r="O1753" t="s">
        <v>42670</v>
      </c>
      <c r="P1753">
        <v>0</v>
      </c>
      <c r="Q1753">
        <v>3</v>
      </c>
      <c r="R1753" t="s">
        <v>42674</v>
      </c>
      <c r="S1753" t="s">
        <v>42788</v>
      </c>
      <c r="T1753" t="s">
        <v>44417</v>
      </c>
      <c r="U1753" t="s">
        <v>46276</v>
      </c>
      <c r="V1753" t="s">
        <v>56514</v>
      </c>
      <c r="W1753" t="s">
        <v>39384</v>
      </c>
      <c r="X1753" t="s">
        <v>42676</v>
      </c>
    </row>
    <row r="1754" spans="1:24">
      <c r="A1754">
        <f>HYPERLINK("https://www.philgeps.gov.ph/GEPSNONPILOT/Tender/SplashBidNoticeAbstractUI.aspx?menuIndex=3&amp;refID=7190356&amp;Result=3","7190356")</f>
        <v>0</v>
      </c>
      <c r="B1754" t="s">
        <v>642</v>
      </c>
      <c r="C1754" t="s">
        <v>5204</v>
      </c>
      <c r="D1754" t="s">
        <v>17161</v>
      </c>
      <c r="E1754" t="s">
        <v>18797</v>
      </c>
      <c r="F1754" t="s">
        <v>29373</v>
      </c>
      <c r="G1754" t="s">
        <v>29381</v>
      </c>
      <c r="H1754" t="s">
        <v>11048</v>
      </c>
      <c r="I1754" t="s">
        <v>9469</v>
      </c>
      <c r="J1754" t="s">
        <v>30232</v>
      </c>
      <c r="K1754" t="s">
        <v>38518</v>
      </c>
      <c r="M1754" t="s">
        <v>39415</v>
      </c>
      <c r="N1754" t="s">
        <v>42669</v>
      </c>
      <c r="O1754" t="s">
        <v>42670</v>
      </c>
      <c r="P1754">
        <v>0</v>
      </c>
      <c r="Q1754">
        <v>0</v>
      </c>
      <c r="R1754" t="s">
        <v>42674</v>
      </c>
      <c r="S1754" t="s">
        <v>42788</v>
      </c>
      <c r="T1754" t="s">
        <v>44490</v>
      </c>
      <c r="U1754" t="s">
        <v>46277</v>
      </c>
      <c r="W1754" t="s">
        <v>39415</v>
      </c>
      <c r="X1754" t="s">
        <v>42676</v>
      </c>
    </row>
    <row r="1755" spans="1:24">
      <c r="A1755">
        <f>HYPERLINK("https://www.philgeps.gov.ph/GEPSNONPILOT/Tender/SplashBidNoticeAbstractUI.aspx?menuIndex=3&amp;refID=7190354&amp;Result=3","7190354")</f>
        <v>0</v>
      </c>
      <c r="B1755" t="s">
        <v>555</v>
      </c>
      <c r="C1755" t="s">
        <v>5205</v>
      </c>
      <c r="D1755" t="s">
        <v>17151</v>
      </c>
      <c r="E1755" t="s">
        <v>18798</v>
      </c>
      <c r="F1755" t="s">
        <v>29372</v>
      </c>
      <c r="G1755" t="s">
        <v>29380</v>
      </c>
      <c r="H1755" t="s">
        <v>11048</v>
      </c>
      <c r="I1755" t="s">
        <v>9469</v>
      </c>
      <c r="J1755" t="s">
        <v>30596</v>
      </c>
      <c r="K1755" t="s">
        <v>38485</v>
      </c>
      <c r="M1755" t="s">
        <v>39324</v>
      </c>
      <c r="N1755" t="s">
        <v>42669</v>
      </c>
      <c r="O1755" t="s">
        <v>42670</v>
      </c>
      <c r="P1755">
        <v>0</v>
      </c>
      <c r="Q1755">
        <v>0</v>
      </c>
      <c r="R1755" t="s">
        <v>42674</v>
      </c>
      <c r="S1755" t="s">
        <v>42788</v>
      </c>
      <c r="T1755" t="s">
        <v>44396</v>
      </c>
      <c r="U1755" t="s">
        <v>46278</v>
      </c>
      <c r="V1755" t="s">
        <v>56499</v>
      </c>
      <c r="W1755" t="s">
        <v>39324</v>
      </c>
      <c r="X1755" t="s">
        <v>42676</v>
      </c>
    </row>
    <row r="1756" spans="1:24">
      <c r="A1756">
        <f>HYPERLINK("https://www.philgeps.gov.ph/GEPSNONPILOT/Tender/SplashBidNoticeAbstractUI.aspx?menuIndex=3&amp;refID=7190395&amp;Result=3","7190395")</f>
        <v>0</v>
      </c>
      <c r="B1756" t="s">
        <v>684</v>
      </c>
      <c r="C1756" t="s">
        <v>5206</v>
      </c>
      <c r="D1756" t="s">
        <v>17197</v>
      </c>
      <c r="E1756" t="s">
        <v>18799</v>
      </c>
      <c r="F1756" t="s">
        <v>29372</v>
      </c>
      <c r="G1756" t="s">
        <v>29379</v>
      </c>
      <c r="H1756" t="s">
        <v>11048</v>
      </c>
      <c r="I1756" t="s">
        <v>8208</v>
      </c>
      <c r="J1756" t="s">
        <v>30408</v>
      </c>
      <c r="K1756" t="s">
        <v>38491</v>
      </c>
      <c r="M1756" t="s">
        <v>39460</v>
      </c>
      <c r="N1756" t="s">
        <v>42669</v>
      </c>
      <c r="O1756" t="s">
        <v>42670</v>
      </c>
      <c r="P1756">
        <v>0</v>
      </c>
      <c r="Q1756">
        <v>0</v>
      </c>
      <c r="R1756" t="s">
        <v>42674</v>
      </c>
      <c r="S1756" t="s">
        <v>42788</v>
      </c>
      <c r="T1756" t="s">
        <v>44425</v>
      </c>
      <c r="U1756" t="s">
        <v>46279</v>
      </c>
      <c r="W1756" t="s">
        <v>39460</v>
      </c>
      <c r="X1756" t="s">
        <v>42676</v>
      </c>
    </row>
    <row r="1757" spans="1:24">
      <c r="A1757">
        <f>HYPERLINK("https://www.philgeps.gov.ph/GEPSNONPILOT/Tender/SplashBidNoticeAbstractUI.aspx?menuIndex=3&amp;refID=7190410&amp;Result=3","7190410")</f>
        <v>0</v>
      </c>
      <c r="B1757" t="s">
        <v>685</v>
      </c>
      <c r="C1757" t="s">
        <v>5207</v>
      </c>
      <c r="D1757" t="s">
        <v>17176</v>
      </c>
      <c r="E1757" t="s">
        <v>18800</v>
      </c>
      <c r="F1757" t="s">
        <v>29372</v>
      </c>
      <c r="G1757" t="s">
        <v>29380</v>
      </c>
      <c r="H1757" t="s">
        <v>29389</v>
      </c>
      <c r="I1757" t="s">
        <v>10408</v>
      </c>
      <c r="J1757" t="s">
        <v>30791</v>
      </c>
      <c r="K1757" t="s">
        <v>38488</v>
      </c>
      <c r="M1757" t="s">
        <v>39461</v>
      </c>
      <c r="N1757" t="s">
        <v>42669</v>
      </c>
      <c r="O1757" t="s">
        <v>42670</v>
      </c>
      <c r="P1757">
        <v>0</v>
      </c>
      <c r="Q1757">
        <v>0</v>
      </c>
      <c r="R1757" t="s">
        <v>42674</v>
      </c>
      <c r="S1757" t="s">
        <v>42788</v>
      </c>
      <c r="T1757" t="s">
        <v>44430</v>
      </c>
      <c r="U1757" t="s">
        <v>46280</v>
      </c>
      <c r="W1757" t="s">
        <v>39461</v>
      </c>
      <c r="X1757" t="s">
        <v>42676</v>
      </c>
    </row>
    <row r="1758" spans="1:24">
      <c r="A1758">
        <f>HYPERLINK("https://www.philgeps.gov.ph/GEPSNONPILOT/Tender/SplashBidNoticeAbstractUI.aspx?menuIndex=3&amp;refID=7190409&amp;Result=3","7190409")</f>
        <v>0</v>
      </c>
      <c r="B1758" t="s">
        <v>682</v>
      </c>
      <c r="C1758" t="s">
        <v>5208</v>
      </c>
      <c r="D1758" t="s">
        <v>17141</v>
      </c>
      <c r="E1758" t="s">
        <v>17493</v>
      </c>
      <c r="F1758" t="s">
        <v>29372</v>
      </c>
      <c r="G1758" t="s">
        <v>29380</v>
      </c>
      <c r="H1758" t="s">
        <v>29390</v>
      </c>
      <c r="I1758" t="s">
        <v>3670</v>
      </c>
      <c r="J1758" t="s">
        <v>29526</v>
      </c>
      <c r="K1758" t="s">
        <v>38491</v>
      </c>
      <c r="M1758" t="s">
        <v>39458</v>
      </c>
      <c r="N1758" t="s">
        <v>42669</v>
      </c>
      <c r="O1758" t="s">
        <v>42670</v>
      </c>
      <c r="P1758">
        <v>0</v>
      </c>
      <c r="Q1758">
        <v>4</v>
      </c>
      <c r="R1758" t="s">
        <v>42674</v>
      </c>
      <c r="S1758" t="s">
        <v>42788</v>
      </c>
      <c r="T1758" t="s">
        <v>44448</v>
      </c>
      <c r="U1758" t="s">
        <v>46268</v>
      </c>
      <c r="V1758" t="s">
        <v>56534</v>
      </c>
      <c r="W1758" t="s">
        <v>39458</v>
      </c>
      <c r="X1758" t="s">
        <v>42676</v>
      </c>
    </row>
    <row r="1759" spans="1:24">
      <c r="A1759">
        <f>HYPERLINK("https://www.philgeps.gov.ph/GEPSNONPILOT/Tender/SplashBidNoticeAbstractUI.aspx?menuIndex=3&amp;refID=7190408&amp;Result=3","7190408")</f>
        <v>0</v>
      </c>
      <c r="B1759" t="s">
        <v>679</v>
      </c>
      <c r="C1759" t="s">
        <v>5209</v>
      </c>
      <c r="D1759" t="s">
        <v>17175</v>
      </c>
      <c r="E1759" t="s">
        <v>18801</v>
      </c>
      <c r="F1759" t="s">
        <v>29372</v>
      </c>
      <c r="G1759" t="s">
        <v>29380</v>
      </c>
      <c r="H1759" t="s">
        <v>11048</v>
      </c>
      <c r="I1759" t="s">
        <v>29402</v>
      </c>
      <c r="J1759" t="s">
        <v>30792</v>
      </c>
      <c r="K1759" t="s">
        <v>38510</v>
      </c>
      <c r="M1759" t="s">
        <v>39455</v>
      </c>
      <c r="N1759" t="s">
        <v>42669</v>
      </c>
      <c r="O1759" t="s">
        <v>42670</v>
      </c>
      <c r="P1759">
        <v>0</v>
      </c>
      <c r="Q1759">
        <v>0</v>
      </c>
      <c r="R1759" t="s">
        <v>42674</v>
      </c>
      <c r="S1759" t="s">
        <v>42788</v>
      </c>
      <c r="T1759" t="s">
        <v>44361</v>
      </c>
      <c r="U1759" t="s">
        <v>46281</v>
      </c>
      <c r="W1759" t="s">
        <v>39455</v>
      </c>
      <c r="X1759" t="s">
        <v>42676</v>
      </c>
    </row>
    <row r="1760" spans="1:24">
      <c r="A1760">
        <f>HYPERLINK("https://www.philgeps.gov.ph/GEPSNONPILOT/Tender/SplashBidNoticeAbstractUI.aspx?menuIndex=3&amp;refID=7190405&amp;Result=3","7190405")</f>
        <v>0</v>
      </c>
      <c r="B1760" t="s">
        <v>660</v>
      </c>
      <c r="C1760" t="s">
        <v>5210</v>
      </c>
      <c r="D1760" t="s">
        <v>17199</v>
      </c>
      <c r="E1760" t="s">
        <v>18802</v>
      </c>
      <c r="F1760" t="s">
        <v>29372</v>
      </c>
      <c r="G1760" t="s">
        <v>29379</v>
      </c>
      <c r="H1760" t="s">
        <v>11048</v>
      </c>
      <c r="I1760" t="s">
        <v>3629</v>
      </c>
      <c r="J1760" t="s">
        <v>30793</v>
      </c>
      <c r="K1760" t="s">
        <v>38490</v>
      </c>
      <c r="M1760" t="s">
        <v>39436</v>
      </c>
      <c r="N1760" t="s">
        <v>42669</v>
      </c>
      <c r="O1760" t="s">
        <v>42670</v>
      </c>
      <c r="P1760">
        <v>0</v>
      </c>
      <c r="Q1760">
        <v>4</v>
      </c>
      <c r="R1760" t="s">
        <v>42674</v>
      </c>
      <c r="S1760" t="s">
        <v>42788</v>
      </c>
      <c r="T1760" t="s">
        <v>44496</v>
      </c>
      <c r="U1760" t="s">
        <v>46282</v>
      </c>
      <c r="W1760" t="s">
        <v>39436</v>
      </c>
      <c r="X1760" t="s">
        <v>42676</v>
      </c>
    </row>
    <row r="1761" spans="1:24">
      <c r="A1761">
        <f>HYPERLINK("https://www.philgeps.gov.ph/GEPSNONPILOT/Tender/SplashBidNoticeAbstractUI.aspx?menuIndex=3&amp;refID=7190404&amp;Result=3","7190404")</f>
        <v>0</v>
      </c>
      <c r="B1761" t="s">
        <v>686</v>
      </c>
      <c r="C1761" t="s">
        <v>5211</v>
      </c>
      <c r="E1761" t="s">
        <v>18803</v>
      </c>
      <c r="F1761" t="s">
        <v>29372</v>
      </c>
      <c r="G1761" t="s">
        <v>29380</v>
      </c>
      <c r="H1761" t="s">
        <v>11048</v>
      </c>
      <c r="I1761" t="s">
        <v>29453</v>
      </c>
      <c r="J1761" t="s">
        <v>29680</v>
      </c>
      <c r="K1761" t="s">
        <v>38488</v>
      </c>
      <c r="M1761" t="s">
        <v>39462</v>
      </c>
      <c r="N1761" t="s">
        <v>42669</v>
      </c>
      <c r="O1761" t="s">
        <v>42670</v>
      </c>
      <c r="P1761">
        <v>0</v>
      </c>
      <c r="Q1761">
        <v>0</v>
      </c>
      <c r="R1761" t="s">
        <v>42674</v>
      </c>
      <c r="S1761" t="s">
        <v>42788</v>
      </c>
      <c r="T1761" t="s">
        <v>44504</v>
      </c>
      <c r="U1761" t="s">
        <v>46283</v>
      </c>
      <c r="W1761" t="s">
        <v>39462</v>
      </c>
      <c r="X1761" t="s">
        <v>42676</v>
      </c>
    </row>
    <row r="1762" spans="1:24">
      <c r="A1762">
        <f>HYPERLINK("https://www.philgeps.gov.ph/GEPSNONPILOT/Tender/SplashBidNoticeAbstractUI.aspx?menuIndex=3&amp;refID=7190422&amp;Result=3","7190422")</f>
        <v>0</v>
      </c>
      <c r="B1762" t="s">
        <v>660</v>
      </c>
      <c r="C1762" t="s">
        <v>5212</v>
      </c>
      <c r="D1762" t="s">
        <v>17199</v>
      </c>
      <c r="E1762" t="s">
        <v>18804</v>
      </c>
      <c r="F1762" t="s">
        <v>29372</v>
      </c>
      <c r="G1762" t="s">
        <v>29379</v>
      </c>
      <c r="H1762" t="s">
        <v>11048</v>
      </c>
      <c r="I1762" t="s">
        <v>29393</v>
      </c>
      <c r="J1762" t="s">
        <v>30794</v>
      </c>
      <c r="K1762" t="s">
        <v>38490</v>
      </c>
      <c r="M1762" t="s">
        <v>39436</v>
      </c>
      <c r="N1762" t="s">
        <v>42669</v>
      </c>
      <c r="O1762" t="s">
        <v>42670</v>
      </c>
      <c r="P1762">
        <v>0</v>
      </c>
      <c r="Q1762">
        <v>0</v>
      </c>
      <c r="R1762" t="s">
        <v>42674</v>
      </c>
      <c r="S1762" t="s">
        <v>42788</v>
      </c>
      <c r="T1762" t="s">
        <v>44496</v>
      </c>
      <c r="U1762" t="s">
        <v>46284</v>
      </c>
      <c r="W1762" t="s">
        <v>39436</v>
      </c>
      <c r="X1762" t="s">
        <v>42676</v>
      </c>
    </row>
    <row r="1763" spans="1:24">
      <c r="A1763">
        <f>HYPERLINK("https://www.philgeps.gov.ph/GEPSNONPILOT/Tender/SplashBidNoticeAbstractUI.aspx?menuIndex=3&amp;refID=7190380&amp;Result=3","7190380")</f>
        <v>0</v>
      </c>
      <c r="B1763" t="s">
        <v>687</v>
      </c>
      <c r="C1763" t="s">
        <v>5213</v>
      </c>
      <c r="D1763" t="s">
        <v>17167</v>
      </c>
      <c r="E1763" t="s">
        <v>18375</v>
      </c>
      <c r="F1763" t="s">
        <v>29372</v>
      </c>
      <c r="G1763" t="s">
        <v>29380</v>
      </c>
      <c r="H1763" t="s">
        <v>11048</v>
      </c>
      <c r="I1763" t="s">
        <v>4709</v>
      </c>
      <c r="J1763" t="s">
        <v>30795</v>
      </c>
      <c r="K1763" t="s">
        <v>38491</v>
      </c>
      <c r="M1763" t="s">
        <v>39463</v>
      </c>
      <c r="N1763" t="s">
        <v>42669</v>
      </c>
      <c r="O1763" t="s">
        <v>42670</v>
      </c>
      <c r="P1763">
        <v>0</v>
      </c>
      <c r="Q1763">
        <v>0</v>
      </c>
      <c r="R1763" t="s">
        <v>42674</v>
      </c>
      <c r="S1763" t="s">
        <v>42788</v>
      </c>
      <c r="T1763" t="s">
        <v>44525</v>
      </c>
      <c r="U1763" t="s">
        <v>46285</v>
      </c>
      <c r="W1763" t="s">
        <v>39463</v>
      </c>
      <c r="X1763" t="s">
        <v>42676</v>
      </c>
    </row>
    <row r="1764" spans="1:24">
      <c r="A1764">
        <f>HYPERLINK("https://www.philgeps.gov.ph/GEPSNONPILOT/Tender/SplashBidNoticeAbstractUI.aspx?menuIndex=3&amp;refID=7190386&amp;Result=3","7190386")</f>
        <v>0</v>
      </c>
      <c r="B1764" t="s">
        <v>481</v>
      </c>
      <c r="C1764" t="s">
        <v>5214</v>
      </c>
      <c r="D1764" t="s">
        <v>17180</v>
      </c>
      <c r="E1764" t="s">
        <v>18805</v>
      </c>
      <c r="F1764" t="s">
        <v>29372</v>
      </c>
      <c r="G1764" t="s">
        <v>29379</v>
      </c>
      <c r="H1764" t="s">
        <v>11048</v>
      </c>
      <c r="I1764" t="s">
        <v>29448</v>
      </c>
      <c r="J1764" t="s">
        <v>30796</v>
      </c>
      <c r="K1764" t="s">
        <v>38491</v>
      </c>
      <c r="M1764" t="s">
        <v>39246</v>
      </c>
      <c r="N1764" t="s">
        <v>42669</v>
      </c>
      <c r="O1764" t="s">
        <v>42670</v>
      </c>
      <c r="P1764">
        <v>0</v>
      </c>
      <c r="Q1764">
        <v>3</v>
      </c>
      <c r="R1764" t="s">
        <v>42674</v>
      </c>
      <c r="S1764" t="s">
        <v>42788</v>
      </c>
      <c r="T1764" t="s">
        <v>44451</v>
      </c>
      <c r="U1764" t="s">
        <v>46286</v>
      </c>
      <c r="W1764" t="s">
        <v>39246</v>
      </c>
      <c r="X1764" t="s">
        <v>42676</v>
      </c>
    </row>
    <row r="1765" spans="1:24">
      <c r="A1765">
        <f>HYPERLINK("https://www.philgeps.gov.ph/GEPSNONPILOT/Tender/SplashBidNoticeAbstractUI.aspx?menuIndex=3&amp;refID=7190416&amp;Result=3","7190416")</f>
        <v>0</v>
      </c>
      <c r="B1765" t="s">
        <v>688</v>
      </c>
      <c r="C1765" t="s">
        <v>5215</v>
      </c>
      <c r="D1765" t="s">
        <v>17183</v>
      </c>
      <c r="E1765" t="s">
        <v>18806</v>
      </c>
      <c r="F1765" t="s">
        <v>29372</v>
      </c>
      <c r="G1765" t="s">
        <v>29379</v>
      </c>
      <c r="H1765" t="s">
        <v>11048</v>
      </c>
      <c r="I1765" t="s">
        <v>29407</v>
      </c>
      <c r="J1765" t="s">
        <v>30797</v>
      </c>
      <c r="K1765" t="s">
        <v>38485</v>
      </c>
      <c r="M1765" t="s">
        <v>39464</v>
      </c>
      <c r="N1765" t="s">
        <v>42669</v>
      </c>
      <c r="O1765" t="s">
        <v>42670</v>
      </c>
      <c r="P1765">
        <v>0</v>
      </c>
      <c r="Q1765">
        <v>4</v>
      </c>
      <c r="R1765" t="s">
        <v>42674</v>
      </c>
      <c r="S1765" t="s">
        <v>42788</v>
      </c>
      <c r="T1765" t="s">
        <v>44451</v>
      </c>
      <c r="U1765" t="s">
        <v>46287</v>
      </c>
      <c r="W1765" t="s">
        <v>39464</v>
      </c>
      <c r="X1765" t="s">
        <v>42676</v>
      </c>
    </row>
    <row r="1766" spans="1:24">
      <c r="A1766">
        <f>HYPERLINK("https://www.philgeps.gov.ph/GEPSNONPILOT/Tender/SplashBidNoticeAbstractUI.aspx?menuIndex=3&amp;refID=7190414&amp;Result=3","7190414")</f>
        <v>0</v>
      </c>
      <c r="B1766" t="s">
        <v>613</v>
      </c>
      <c r="C1766" t="s">
        <v>5216</v>
      </c>
      <c r="D1766" t="s">
        <v>17205</v>
      </c>
      <c r="E1766" t="s">
        <v>18807</v>
      </c>
      <c r="F1766" t="s">
        <v>29372</v>
      </c>
      <c r="G1766" t="s">
        <v>29379</v>
      </c>
      <c r="H1766" t="s">
        <v>11048</v>
      </c>
      <c r="I1766" t="s">
        <v>29400</v>
      </c>
      <c r="J1766" t="s">
        <v>30798</v>
      </c>
      <c r="K1766" t="s">
        <v>38490</v>
      </c>
      <c r="M1766" t="s">
        <v>39384</v>
      </c>
      <c r="N1766" t="s">
        <v>42669</v>
      </c>
      <c r="O1766" t="s">
        <v>42670</v>
      </c>
      <c r="P1766">
        <v>0</v>
      </c>
      <c r="Q1766">
        <v>2</v>
      </c>
      <c r="R1766" t="s">
        <v>42674</v>
      </c>
      <c r="S1766" t="s">
        <v>42788</v>
      </c>
      <c r="T1766" t="s">
        <v>44417</v>
      </c>
      <c r="U1766" t="s">
        <v>46150</v>
      </c>
      <c r="V1766" t="s">
        <v>56514</v>
      </c>
      <c r="W1766" t="s">
        <v>39384</v>
      </c>
      <c r="X1766" t="s">
        <v>42676</v>
      </c>
    </row>
    <row r="1767" spans="1:24">
      <c r="A1767">
        <f>HYPERLINK("https://www.philgeps.gov.ph/GEPSNONPILOT/Tender/SplashBidNoticeAbstractUI.aspx?menuIndex=3&amp;refID=7190412&amp;Result=3","7190412")</f>
        <v>0</v>
      </c>
      <c r="B1767" t="s">
        <v>134</v>
      </c>
      <c r="C1767" t="s">
        <v>5217</v>
      </c>
      <c r="D1767" t="s">
        <v>17177</v>
      </c>
      <c r="E1767" t="s">
        <v>18808</v>
      </c>
      <c r="F1767" t="s">
        <v>29372</v>
      </c>
      <c r="G1767" t="s">
        <v>29380</v>
      </c>
      <c r="H1767" t="s">
        <v>29389</v>
      </c>
      <c r="I1767" t="s">
        <v>10408</v>
      </c>
      <c r="J1767" t="s">
        <v>29543</v>
      </c>
      <c r="K1767" t="s">
        <v>38503</v>
      </c>
      <c r="M1767" t="s">
        <v>38889</v>
      </c>
      <c r="N1767" t="s">
        <v>42669</v>
      </c>
      <c r="O1767" t="s">
        <v>42670</v>
      </c>
      <c r="P1767">
        <v>0</v>
      </c>
      <c r="Q1767">
        <v>0</v>
      </c>
      <c r="R1767" t="s">
        <v>42674</v>
      </c>
      <c r="S1767" t="s">
        <v>42788</v>
      </c>
      <c r="T1767" t="s">
        <v>44544</v>
      </c>
      <c r="U1767" t="s">
        <v>46288</v>
      </c>
      <c r="V1767" t="s">
        <v>56517</v>
      </c>
      <c r="W1767" t="s">
        <v>38889</v>
      </c>
      <c r="X1767" t="s">
        <v>42676</v>
      </c>
    </row>
    <row r="1768" spans="1:24">
      <c r="A1768">
        <f>HYPERLINK("https://www.philgeps.gov.ph/GEPSNONPILOT/Tender/SplashBidNoticeAbstractUI.aspx?menuIndex=3&amp;refID=7190418&amp;Result=3","7190418")</f>
        <v>0</v>
      </c>
      <c r="B1768" t="s">
        <v>667</v>
      </c>
      <c r="C1768" t="s">
        <v>3596</v>
      </c>
      <c r="D1768" t="s">
        <v>17203</v>
      </c>
      <c r="E1768" t="s">
        <v>18809</v>
      </c>
      <c r="F1768" t="s">
        <v>29372</v>
      </c>
      <c r="G1768" t="s">
        <v>29379</v>
      </c>
      <c r="H1768" t="s">
        <v>11048</v>
      </c>
      <c r="I1768" t="s">
        <v>29398</v>
      </c>
      <c r="J1768" t="s">
        <v>29799</v>
      </c>
      <c r="K1768" t="s">
        <v>38490</v>
      </c>
      <c r="M1768" t="s">
        <v>39443</v>
      </c>
      <c r="N1768" t="s">
        <v>42669</v>
      </c>
      <c r="O1768" t="s">
        <v>42670</v>
      </c>
      <c r="P1768">
        <v>0</v>
      </c>
      <c r="Q1768">
        <v>0</v>
      </c>
      <c r="R1768" t="s">
        <v>42674</v>
      </c>
      <c r="S1768" t="s">
        <v>42788</v>
      </c>
      <c r="T1768" t="s">
        <v>44456</v>
      </c>
      <c r="U1768" t="s">
        <v>46289</v>
      </c>
      <c r="W1768" t="s">
        <v>39443</v>
      </c>
      <c r="X1768" t="s">
        <v>42676</v>
      </c>
    </row>
    <row r="1769" spans="1:24">
      <c r="A1769">
        <f>HYPERLINK("https://www.philgeps.gov.ph/GEPSNONPILOT/Tender/SplashBidNoticeAbstractUI.aspx?menuIndex=3&amp;refID=7190411&amp;Result=3","7190411")</f>
        <v>0</v>
      </c>
      <c r="B1769" t="s">
        <v>649</v>
      </c>
      <c r="C1769" t="s">
        <v>5218</v>
      </c>
      <c r="D1769" t="s">
        <v>17162</v>
      </c>
      <c r="E1769" t="s">
        <v>18810</v>
      </c>
      <c r="F1769" t="s">
        <v>29372</v>
      </c>
      <c r="G1769" t="s">
        <v>29380</v>
      </c>
      <c r="H1769" t="s">
        <v>11048</v>
      </c>
      <c r="I1769" t="s">
        <v>4486</v>
      </c>
      <c r="J1769" t="s">
        <v>30799</v>
      </c>
      <c r="K1769" t="s">
        <v>38510</v>
      </c>
      <c r="M1769" t="s">
        <v>39423</v>
      </c>
      <c r="N1769" t="s">
        <v>42669</v>
      </c>
      <c r="O1769" t="s">
        <v>42670</v>
      </c>
      <c r="P1769">
        <v>0</v>
      </c>
      <c r="Q1769">
        <v>4</v>
      </c>
      <c r="R1769" t="s">
        <v>42674</v>
      </c>
      <c r="S1769" t="s">
        <v>42788</v>
      </c>
      <c r="T1769" t="s">
        <v>44550</v>
      </c>
      <c r="U1769" t="s">
        <v>46290</v>
      </c>
      <c r="W1769" t="s">
        <v>39423</v>
      </c>
      <c r="X1769" t="s">
        <v>42676</v>
      </c>
    </row>
    <row r="1770" spans="1:24">
      <c r="A1770">
        <f>HYPERLINK("https://www.philgeps.gov.ph/GEPSNONPILOT/Tender/SplashBidNoticeAbstractUI.aspx?menuIndex=3&amp;refID=7190403&amp;Result=3","7190403")</f>
        <v>0</v>
      </c>
      <c r="B1770" t="s">
        <v>655</v>
      </c>
      <c r="C1770" t="s">
        <v>5219</v>
      </c>
      <c r="D1770" t="s">
        <v>17141</v>
      </c>
      <c r="E1770" t="s">
        <v>18032</v>
      </c>
      <c r="F1770" t="s">
        <v>29372</v>
      </c>
      <c r="G1770" t="s">
        <v>29380</v>
      </c>
      <c r="H1770" t="s">
        <v>29390</v>
      </c>
      <c r="I1770" t="s">
        <v>4709</v>
      </c>
      <c r="J1770" t="s">
        <v>30800</v>
      </c>
      <c r="K1770" t="s">
        <v>38491</v>
      </c>
      <c r="M1770" t="s">
        <v>39429</v>
      </c>
      <c r="N1770" t="s">
        <v>42669</v>
      </c>
      <c r="O1770" t="s">
        <v>42670</v>
      </c>
      <c r="P1770">
        <v>0</v>
      </c>
      <c r="Q1770">
        <v>2</v>
      </c>
      <c r="R1770" t="s">
        <v>42674</v>
      </c>
      <c r="S1770" t="s">
        <v>42788</v>
      </c>
      <c r="T1770" t="s">
        <v>44430</v>
      </c>
      <c r="U1770" t="s">
        <v>46291</v>
      </c>
      <c r="W1770" t="s">
        <v>39429</v>
      </c>
      <c r="X1770" t="s">
        <v>42676</v>
      </c>
    </row>
    <row r="1771" spans="1:24">
      <c r="A1771">
        <f>HYPERLINK("https://www.philgeps.gov.ph/GEPSNONPILOT/Tender/SplashBidNoticeAbstractUI.aspx?menuIndex=3&amp;refID=7190413&amp;Result=3","7190413")</f>
        <v>0</v>
      </c>
      <c r="B1771" t="s">
        <v>689</v>
      </c>
      <c r="C1771" t="s">
        <v>5220</v>
      </c>
      <c r="D1771" t="s">
        <v>17216</v>
      </c>
      <c r="E1771" t="s">
        <v>18811</v>
      </c>
      <c r="F1771" t="s">
        <v>29372</v>
      </c>
      <c r="G1771" t="s">
        <v>29383</v>
      </c>
      <c r="H1771" t="s">
        <v>11048</v>
      </c>
      <c r="I1771" t="s">
        <v>4486</v>
      </c>
      <c r="J1771" t="s">
        <v>30801</v>
      </c>
      <c r="K1771" t="s">
        <v>38488</v>
      </c>
      <c r="M1771" t="s">
        <v>39465</v>
      </c>
      <c r="N1771" t="s">
        <v>42669</v>
      </c>
      <c r="O1771" t="s">
        <v>42670</v>
      </c>
      <c r="P1771">
        <v>0</v>
      </c>
      <c r="Q1771">
        <v>1</v>
      </c>
      <c r="R1771" t="s">
        <v>42674</v>
      </c>
      <c r="S1771" t="s">
        <v>42788</v>
      </c>
      <c r="T1771" t="s">
        <v>44349</v>
      </c>
      <c r="U1771" t="s">
        <v>46292</v>
      </c>
      <c r="W1771" t="s">
        <v>39465</v>
      </c>
      <c r="X1771" t="s">
        <v>42676</v>
      </c>
    </row>
    <row r="1772" spans="1:24">
      <c r="A1772">
        <f>HYPERLINK("https://www.philgeps.gov.ph/GEPSNONPILOT/Tender/SplashBidNoticeAbstractUI.aspx?menuIndex=3&amp;refID=7190419&amp;Result=3","7190419")</f>
        <v>0</v>
      </c>
      <c r="B1772" t="s">
        <v>690</v>
      </c>
      <c r="C1772" t="s">
        <v>5221</v>
      </c>
      <c r="D1772" t="s">
        <v>17177</v>
      </c>
      <c r="E1772" t="s">
        <v>18812</v>
      </c>
      <c r="F1772" t="s">
        <v>29372</v>
      </c>
      <c r="G1772" t="s">
        <v>29379</v>
      </c>
      <c r="H1772" t="s">
        <v>11048</v>
      </c>
      <c r="I1772" t="s">
        <v>29395</v>
      </c>
      <c r="J1772" t="s">
        <v>30802</v>
      </c>
      <c r="K1772" t="s">
        <v>38490</v>
      </c>
      <c r="M1772" t="s">
        <v>39466</v>
      </c>
      <c r="N1772" t="s">
        <v>42669</v>
      </c>
      <c r="O1772" t="s">
        <v>42670</v>
      </c>
      <c r="P1772">
        <v>0</v>
      </c>
      <c r="Q1772">
        <v>1</v>
      </c>
      <c r="R1772" t="s">
        <v>42674</v>
      </c>
      <c r="S1772" t="s">
        <v>42788</v>
      </c>
      <c r="T1772" t="s">
        <v>44525</v>
      </c>
      <c r="U1772" t="s">
        <v>46293</v>
      </c>
      <c r="W1772" t="s">
        <v>39466</v>
      </c>
      <c r="X1772" t="s">
        <v>42676</v>
      </c>
    </row>
    <row r="1773" spans="1:24">
      <c r="A1773">
        <f>HYPERLINK("https://www.philgeps.gov.ph/GEPSNONPILOT/Tender/SplashBidNoticeAbstractUI.aspx?menuIndex=3&amp;refID=7190429&amp;Result=3","7190429")</f>
        <v>0</v>
      </c>
      <c r="B1773" t="s">
        <v>691</v>
      </c>
      <c r="C1773" t="s">
        <v>5222</v>
      </c>
      <c r="D1773" t="s">
        <v>17141</v>
      </c>
      <c r="E1773" t="s">
        <v>18813</v>
      </c>
      <c r="F1773" t="s">
        <v>29375</v>
      </c>
      <c r="G1773" t="s">
        <v>29380</v>
      </c>
      <c r="H1773" t="s">
        <v>11048</v>
      </c>
      <c r="I1773" t="s">
        <v>3670</v>
      </c>
      <c r="J1773" t="s">
        <v>29549</v>
      </c>
      <c r="K1773" t="s">
        <v>38485</v>
      </c>
      <c r="M1773" t="s">
        <v>39467</v>
      </c>
      <c r="N1773" t="s">
        <v>42669</v>
      </c>
      <c r="O1773" t="s">
        <v>42670</v>
      </c>
      <c r="P1773">
        <v>0</v>
      </c>
      <c r="Q1773">
        <v>0</v>
      </c>
      <c r="R1773" t="s">
        <v>42674</v>
      </c>
      <c r="S1773" t="s">
        <v>42788</v>
      </c>
      <c r="T1773" t="s">
        <v>44562</v>
      </c>
      <c r="U1773" t="s">
        <v>46294</v>
      </c>
      <c r="W1773" t="s">
        <v>39467</v>
      </c>
      <c r="X1773" t="s">
        <v>42676</v>
      </c>
    </row>
    <row r="1774" spans="1:24">
      <c r="A1774">
        <f>HYPERLINK("https://www.philgeps.gov.ph/GEPSNONPILOT/Tender/SplashBidNoticeAbstractUI.aspx?menuIndex=3&amp;refID=7190401&amp;Result=3","7190401")</f>
        <v>0</v>
      </c>
      <c r="B1774" t="s">
        <v>692</v>
      </c>
      <c r="C1774" t="s">
        <v>5223</v>
      </c>
      <c r="D1774" t="s">
        <v>17160</v>
      </c>
      <c r="E1774" t="s">
        <v>17547</v>
      </c>
      <c r="F1774" t="s">
        <v>29372</v>
      </c>
      <c r="G1774" t="s">
        <v>29379</v>
      </c>
      <c r="H1774" t="s">
        <v>29389</v>
      </c>
      <c r="I1774" t="s">
        <v>10408</v>
      </c>
      <c r="J1774" t="s">
        <v>30803</v>
      </c>
      <c r="K1774" t="s">
        <v>38490</v>
      </c>
      <c r="M1774" t="s">
        <v>39468</v>
      </c>
      <c r="N1774" t="s">
        <v>42669</v>
      </c>
      <c r="O1774" t="s">
        <v>42670</v>
      </c>
      <c r="P1774">
        <v>0</v>
      </c>
      <c r="Q1774">
        <v>0</v>
      </c>
      <c r="R1774" t="s">
        <v>42674</v>
      </c>
      <c r="S1774" t="s">
        <v>42788</v>
      </c>
      <c r="T1774" t="s">
        <v>44488</v>
      </c>
      <c r="U1774" t="s">
        <v>46295</v>
      </c>
      <c r="W1774" t="s">
        <v>39468</v>
      </c>
      <c r="X1774" t="s">
        <v>42676</v>
      </c>
    </row>
    <row r="1775" spans="1:24">
      <c r="A1775">
        <f>HYPERLINK("https://www.philgeps.gov.ph/GEPSNONPILOT/Tender/SplashBidNoticeAbstractUI.aspx?menuIndex=3&amp;refID=7190400&amp;Result=3","7190400")</f>
        <v>0</v>
      </c>
      <c r="B1775" t="s">
        <v>693</v>
      </c>
      <c r="C1775" t="s">
        <v>5224</v>
      </c>
      <c r="D1775" t="s">
        <v>17161</v>
      </c>
      <c r="E1775" t="s">
        <v>18814</v>
      </c>
      <c r="F1775" t="s">
        <v>29372</v>
      </c>
      <c r="G1775" t="s">
        <v>29383</v>
      </c>
      <c r="H1775" t="s">
        <v>11048</v>
      </c>
      <c r="I1775" t="s">
        <v>29395</v>
      </c>
      <c r="J1775" t="s">
        <v>30804</v>
      </c>
      <c r="K1775" t="s">
        <v>38510</v>
      </c>
      <c r="M1775" t="s">
        <v>39469</v>
      </c>
      <c r="N1775" t="s">
        <v>42669</v>
      </c>
      <c r="O1775" t="s">
        <v>42670</v>
      </c>
      <c r="P1775">
        <v>0</v>
      </c>
      <c r="Q1775">
        <v>0</v>
      </c>
      <c r="R1775" t="s">
        <v>42674</v>
      </c>
      <c r="S1775" t="s">
        <v>42788</v>
      </c>
      <c r="T1775" t="s">
        <v>44417</v>
      </c>
      <c r="U1775" t="s">
        <v>46296</v>
      </c>
      <c r="W1775" t="s">
        <v>39469</v>
      </c>
      <c r="X1775" t="s">
        <v>42676</v>
      </c>
    </row>
    <row r="1776" spans="1:24">
      <c r="A1776">
        <f>HYPERLINK("https://www.philgeps.gov.ph/GEPSNONPILOT/Tender/SplashBidNoticeAbstractUI.aspx?menuIndex=3&amp;refID=7190445&amp;Result=3","7190445")</f>
        <v>0</v>
      </c>
      <c r="B1776" t="s">
        <v>688</v>
      </c>
      <c r="C1776" t="s">
        <v>5225</v>
      </c>
      <c r="D1776" t="s">
        <v>17183</v>
      </c>
      <c r="E1776" t="s">
        <v>18815</v>
      </c>
      <c r="F1776" t="s">
        <v>29372</v>
      </c>
      <c r="G1776" t="s">
        <v>29379</v>
      </c>
      <c r="H1776" t="s">
        <v>11048</v>
      </c>
      <c r="I1776" t="s">
        <v>5383</v>
      </c>
      <c r="J1776" t="s">
        <v>30805</v>
      </c>
      <c r="K1776" t="s">
        <v>38518</v>
      </c>
      <c r="M1776" t="s">
        <v>39464</v>
      </c>
      <c r="N1776" t="s">
        <v>42669</v>
      </c>
      <c r="O1776" t="s">
        <v>42670</v>
      </c>
      <c r="P1776">
        <v>0</v>
      </c>
      <c r="Q1776">
        <v>2</v>
      </c>
      <c r="R1776" t="s">
        <v>42674</v>
      </c>
      <c r="S1776" t="s">
        <v>42788</v>
      </c>
      <c r="T1776" t="s">
        <v>44451</v>
      </c>
      <c r="U1776" t="s">
        <v>46287</v>
      </c>
      <c r="W1776" t="s">
        <v>39464</v>
      </c>
      <c r="X1776" t="s">
        <v>42676</v>
      </c>
    </row>
    <row r="1777" spans="1:24">
      <c r="A1777">
        <f>HYPERLINK("https://www.philgeps.gov.ph/GEPSNONPILOT/Tender/SplashBidNoticeAbstractUI.aspx?menuIndex=3&amp;refID=7190449&amp;Result=3","7190449")</f>
        <v>0</v>
      </c>
      <c r="B1777" t="s">
        <v>694</v>
      </c>
      <c r="C1777" t="s">
        <v>5226</v>
      </c>
      <c r="D1777" t="s">
        <v>17205</v>
      </c>
      <c r="E1777" t="s">
        <v>18816</v>
      </c>
      <c r="F1777" t="s">
        <v>29372</v>
      </c>
      <c r="G1777" t="s">
        <v>29379</v>
      </c>
      <c r="H1777" t="s">
        <v>11048</v>
      </c>
      <c r="I1777" t="s">
        <v>4709</v>
      </c>
      <c r="J1777" t="s">
        <v>30806</v>
      </c>
      <c r="K1777" t="s">
        <v>38488</v>
      </c>
      <c r="M1777" t="s">
        <v>39470</v>
      </c>
      <c r="N1777" t="s">
        <v>42669</v>
      </c>
      <c r="O1777" t="s">
        <v>42670</v>
      </c>
      <c r="P1777">
        <v>0</v>
      </c>
      <c r="Q1777">
        <v>1</v>
      </c>
      <c r="R1777" t="s">
        <v>42674</v>
      </c>
      <c r="S1777" t="s">
        <v>42788</v>
      </c>
      <c r="T1777" t="s">
        <v>44432</v>
      </c>
      <c r="U1777" t="s">
        <v>46297</v>
      </c>
      <c r="W1777" t="s">
        <v>39470</v>
      </c>
      <c r="X1777" t="s">
        <v>42676</v>
      </c>
    </row>
    <row r="1778" spans="1:24">
      <c r="A1778">
        <f>HYPERLINK("https://www.philgeps.gov.ph/GEPSNONPILOT/Tender/SplashBidNoticeAbstractUI.aspx?menuIndex=3&amp;refID=7190323&amp;Result=3","7190323")</f>
        <v>0</v>
      </c>
      <c r="B1778" t="s">
        <v>130</v>
      </c>
      <c r="C1778" t="s">
        <v>5227</v>
      </c>
      <c r="D1778" t="s">
        <v>17185</v>
      </c>
      <c r="E1778" t="s">
        <v>18817</v>
      </c>
      <c r="F1778" t="s">
        <v>29372</v>
      </c>
      <c r="G1778" t="s">
        <v>29379</v>
      </c>
      <c r="H1778" t="s">
        <v>11048</v>
      </c>
      <c r="I1778" t="s">
        <v>4487</v>
      </c>
      <c r="J1778" t="s">
        <v>30807</v>
      </c>
      <c r="K1778" t="s">
        <v>38491</v>
      </c>
      <c r="M1778" t="s">
        <v>39471</v>
      </c>
      <c r="N1778" t="s">
        <v>42669</v>
      </c>
      <c r="O1778" t="s">
        <v>42670</v>
      </c>
      <c r="P1778">
        <v>0</v>
      </c>
      <c r="Q1778">
        <v>2</v>
      </c>
      <c r="R1778" t="s">
        <v>42674</v>
      </c>
      <c r="S1778" t="s">
        <v>42788</v>
      </c>
      <c r="T1778" t="s">
        <v>44493</v>
      </c>
      <c r="U1778" t="s">
        <v>46298</v>
      </c>
      <c r="W1778" t="s">
        <v>39471</v>
      </c>
      <c r="X1778" t="s">
        <v>42676</v>
      </c>
    </row>
    <row r="1779" spans="1:24">
      <c r="A1779">
        <f>HYPERLINK("https://www.philgeps.gov.ph/GEPSNONPILOT/Tender/SplashBidNoticeAbstractUI.aspx?menuIndex=3&amp;refID=7190447&amp;Result=3","7190447")</f>
        <v>0</v>
      </c>
      <c r="B1779" t="s">
        <v>695</v>
      </c>
      <c r="C1779" t="s">
        <v>5228</v>
      </c>
      <c r="D1779" t="s">
        <v>17222</v>
      </c>
      <c r="E1779" t="s">
        <v>18818</v>
      </c>
      <c r="F1779" t="s">
        <v>29372</v>
      </c>
      <c r="G1779" t="s">
        <v>29380</v>
      </c>
      <c r="H1779" t="s">
        <v>29389</v>
      </c>
      <c r="I1779" t="s">
        <v>29453</v>
      </c>
      <c r="J1779" t="s">
        <v>29619</v>
      </c>
      <c r="K1779" t="s">
        <v>38496</v>
      </c>
      <c r="M1779" t="s">
        <v>39472</v>
      </c>
      <c r="N1779" t="s">
        <v>42669</v>
      </c>
      <c r="O1779" t="s">
        <v>42670</v>
      </c>
      <c r="P1779">
        <v>0</v>
      </c>
      <c r="Q1779">
        <v>0</v>
      </c>
      <c r="R1779" t="s">
        <v>42674</v>
      </c>
      <c r="S1779" t="s">
        <v>42788</v>
      </c>
      <c r="T1779" t="s">
        <v>44563</v>
      </c>
      <c r="U1779" t="s">
        <v>46299</v>
      </c>
      <c r="W1779" t="s">
        <v>39472</v>
      </c>
      <c r="X1779" t="s">
        <v>42676</v>
      </c>
    </row>
    <row r="1780" spans="1:24">
      <c r="A1780">
        <f>HYPERLINK("https://www.philgeps.gov.ph/GEPSNONPILOT/Tender/SplashBidNoticeAbstractUI.aspx?menuIndex=3&amp;refID=7190446&amp;Result=3","7190446")</f>
        <v>0</v>
      </c>
      <c r="B1780" t="s">
        <v>655</v>
      </c>
      <c r="C1780" t="s">
        <v>5229</v>
      </c>
      <c r="D1780" t="s">
        <v>17141</v>
      </c>
      <c r="E1780" t="s">
        <v>18038</v>
      </c>
      <c r="F1780" t="s">
        <v>29372</v>
      </c>
      <c r="G1780" t="s">
        <v>29380</v>
      </c>
      <c r="H1780" t="s">
        <v>11048</v>
      </c>
      <c r="I1780" t="s">
        <v>29429</v>
      </c>
      <c r="J1780" t="s">
        <v>29708</v>
      </c>
      <c r="K1780" t="s">
        <v>38491</v>
      </c>
      <c r="M1780" t="s">
        <v>39429</v>
      </c>
      <c r="N1780" t="s">
        <v>42669</v>
      </c>
      <c r="O1780" t="s">
        <v>42670</v>
      </c>
      <c r="P1780">
        <v>0</v>
      </c>
      <c r="Q1780">
        <v>1</v>
      </c>
      <c r="R1780" t="s">
        <v>42674</v>
      </c>
      <c r="S1780" t="s">
        <v>42788</v>
      </c>
      <c r="T1780" t="s">
        <v>44456</v>
      </c>
      <c r="U1780" t="s">
        <v>46300</v>
      </c>
      <c r="W1780" t="s">
        <v>39429</v>
      </c>
      <c r="X1780" t="s">
        <v>42676</v>
      </c>
    </row>
    <row r="1781" spans="1:24">
      <c r="A1781">
        <f>HYPERLINK("https://www.philgeps.gov.ph/GEPSNONPILOT/Tender/SplashBidNoticeAbstractUI.aspx?menuIndex=3&amp;refID=7190444&amp;Result=3","7190444")</f>
        <v>0</v>
      </c>
      <c r="B1781" t="s">
        <v>667</v>
      </c>
      <c r="C1781" t="s">
        <v>3596</v>
      </c>
      <c r="D1781" t="s">
        <v>17203</v>
      </c>
      <c r="E1781" t="s">
        <v>18819</v>
      </c>
      <c r="F1781" t="s">
        <v>29372</v>
      </c>
      <c r="G1781" t="s">
        <v>29379</v>
      </c>
      <c r="H1781" t="s">
        <v>11048</v>
      </c>
      <c r="I1781" t="s">
        <v>8208</v>
      </c>
      <c r="J1781" t="s">
        <v>30808</v>
      </c>
      <c r="K1781" t="s">
        <v>38490</v>
      </c>
      <c r="M1781" t="s">
        <v>39443</v>
      </c>
      <c r="N1781" t="s">
        <v>42669</v>
      </c>
      <c r="O1781" t="s">
        <v>42670</v>
      </c>
      <c r="P1781">
        <v>0</v>
      </c>
      <c r="Q1781">
        <v>0</v>
      </c>
      <c r="R1781" t="s">
        <v>42674</v>
      </c>
      <c r="S1781" t="s">
        <v>42788</v>
      </c>
      <c r="T1781" t="s">
        <v>44456</v>
      </c>
      <c r="U1781" t="s">
        <v>46301</v>
      </c>
      <c r="W1781" t="s">
        <v>39443</v>
      </c>
      <c r="X1781" t="s">
        <v>42676</v>
      </c>
    </row>
    <row r="1782" spans="1:24">
      <c r="A1782">
        <f>HYPERLINK("https://www.philgeps.gov.ph/GEPSNONPILOT/Tender/SplashBidNoticeAbstractUI.aspx?menuIndex=3&amp;refID=7190443&amp;Result=3","7190443")</f>
        <v>0</v>
      </c>
      <c r="B1782" t="s">
        <v>696</v>
      </c>
      <c r="C1782" t="s">
        <v>5230</v>
      </c>
      <c r="D1782" t="s">
        <v>17204</v>
      </c>
      <c r="E1782" t="s">
        <v>18820</v>
      </c>
      <c r="F1782" t="s">
        <v>29372</v>
      </c>
      <c r="G1782" t="s">
        <v>29380</v>
      </c>
      <c r="H1782" t="s">
        <v>29389</v>
      </c>
      <c r="I1782" t="s">
        <v>10408</v>
      </c>
      <c r="J1782" t="s">
        <v>29708</v>
      </c>
      <c r="K1782" t="s">
        <v>38488</v>
      </c>
      <c r="M1782" t="s">
        <v>39473</v>
      </c>
      <c r="N1782" t="s">
        <v>42669</v>
      </c>
      <c r="O1782" t="s">
        <v>42670</v>
      </c>
      <c r="P1782">
        <v>0</v>
      </c>
      <c r="Q1782">
        <v>1</v>
      </c>
      <c r="R1782" t="s">
        <v>42674</v>
      </c>
      <c r="S1782" t="s">
        <v>42788</v>
      </c>
      <c r="T1782" t="s">
        <v>44564</v>
      </c>
      <c r="U1782" t="s">
        <v>46302</v>
      </c>
      <c r="W1782" t="s">
        <v>39473</v>
      </c>
      <c r="X1782" t="s">
        <v>42676</v>
      </c>
    </row>
    <row r="1783" spans="1:24">
      <c r="A1783">
        <f>HYPERLINK("https://www.philgeps.gov.ph/GEPSNONPILOT/Tender/SplashBidNoticeAbstractUI.aspx?menuIndex=3&amp;refID=7190441&amp;Result=3","7190441")</f>
        <v>0</v>
      </c>
      <c r="B1783" t="s">
        <v>697</v>
      </c>
      <c r="C1783" t="s">
        <v>5231</v>
      </c>
      <c r="D1783" t="s">
        <v>17174</v>
      </c>
      <c r="E1783" t="s">
        <v>18821</v>
      </c>
      <c r="F1783" t="s">
        <v>29372</v>
      </c>
      <c r="G1783" t="s">
        <v>29381</v>
      </c>
      <c r="H1783" t="s">
        <v>11048</v>
      </c>
      <c r="I1783" t="s">
        <v>8614</v>
      </c>
      <c r="J1783" t="s">
        <v>30809</v>
      </c>
      <c r="K1783" t="s">
        <v>38488</v>
      </c>
      <c r="M1783" t="s">
        <v>39474</v>
      </c>
      <c r="N1783" t="s">
        <v>42669</v>
      </c>
      <c r="O1783" t="s">
        <v>42670</v>
      </c>
      <c r="P1783">
        <v>0</v>
      </c>
      <c r="Q1783">
        <v>1</v>
      </c>
      <c r="R1783" t="s">
        <v>42674</v>
      </c>
      <c r="S1783" t="s">
        <v>42788</v>
      </c>
      <c r="T1783" t="s">
        <v>44399</v>
      </c>
      <c r="U1783" t="s">
        <v>46303</v>
      </c>
      <c r="W1783" t="s">
        <v>39474</v>
      </c>
      <c r="X1783" t="s">
        <v>42676</v>
      </c>
    </row>
    <row r="1784" spans="1:24">
      <c r="A1784">
        <f>HYPERLINK("https://www.philgeps.gov.ph/GEPSNONPILOT/Tender/SplashBidNoticeAbstractUI.aspx?menuIndex=3&amp;refID=7190440&amp;Result=3","7190440")</f>
        <v>0</v>
      </c>
      <c r="B1784" t="s">
        <v>698</v>
      </c>
      <c r="C1784" t="s">
        <v>5232</v>
      </c>
      <c r="D1784" t="s">
        <v>17179</v>
      </c>
      <c r="E1784" t="s">
        <v>18822</v>
      </c>
      <c r="F1784" t="s">
        <v>29372</v>
      </c>
      <c r="G1784" t="s">
        <v>29380</v>
      </c>
      <c r="H1784" t="s">
        <v>11048</v>
      </c>
      <c r="I1784" t="s">
        <v>29394</v>
      </c>
      <c r="J1784" t="s">
        <v>29929</v>
      </c>
      <c r="K1784" t="s">
        <v>38528</v>
      </c>
      <c r="M1784" t="s">
        <v>39475</v>
      </c>
      <c r="N1784" t="s">
        <v>42669</v>
      </c>
      <c r="O1784" t="s">
        <v>42670</v>
      </c>
      <c r="P1784">
        <v>0</v>
      </c>
      <c r="Q1784">
        <v>0</v>
      </c>
      <c r="R1784" t="s">
        <v>42674</v>
      </c>
      <c r="S1784" t="s">
        <v>42788</v>
      </c>
      <c r="T1784" t="s">
        <v>44565</v>
      </c>
      <c r="U1784" t="s">
        <v>46304</v>
      </c>
      <c r="W1784" t="s">
        <v>39475</v>
      </c>
      <c r="X1784" t="s">
        <v>42676</v>
      </c>
    </row>
    <row r="1785" spans="1:24">
      <c r="A1785">
        <f>HYPERLINK("https://www.philgeps.gov.ph/GEPSNONPILOT/Tender/SplashBidNoticeAbstractUI.aspx?menuIndex=3&amp;refID=7190439&amp;Result=3","7190439")</f>
        <v>0</v>
      </c>
      <c r="B1785" t="s">
        <v>660</v>
      </c>
      <c r="C1785" t="s">
        <v>5233</v>
      </c>
      <c r="D1785" t="s">
        <v>17199</v>
      </c>
      <c r="E1785" t="s">
        <v>5233</v>
      </c>
      <c r="F1785" t="s">
        <v>29372</v>
      </c>
      <c r="G1785" t="s">
        <v>29379</v>
      </c>
      <c r="H1785" t="s">
        <v>11048</v>
      </c>
      <c r="I1785" t="s">
        <v>29403</v>
      </c>
      <c r="J1785" t="s">
        <v>30810</v>
      </c>
      <c r="K1785" t="s">
        <v>38490</v>
      </c>
      <c r="M1785" t="s">
        <v>39436</v>
      </c>
      <c r="N1785" t="s">
        <v>42669</v>
      </c>
      <c r="O1785" t="s">
        <v>42670</v>
      </c>
      <c r="P1785">
        <v>0</v>
      </c>
      <c r="Q1785">
        <v>0</v>
      </c>
      <c r="R1785" t="s">
        <v>42674</v>
      </c>
      <c r="S1785" t="s">
        <v>42788</v>
      </c>
      <c r="T1785" t="s">
        <v>44496</v>
      </c>
      <c r="U1785" t="s">
        <v>46305</v>
      </c>
      <c r="W1785" t="s">
        <v>39436</v>
      </c>
      <c r="X1785" t="s">
        <v>42676</v>
      </c>
    </row>
    <row r="1786" spans="1:24">
      <c r="A1786">
        <f>HYPERLINK("https://www.philgeps.gov.ph/GEPSNONPILOT/Tender/SplashBidNoticeAbstractUI.aspx?menuIndex=3&amp;refID=7190437&amp;Result=3","7190437")</f>
        <v>0</v>
      </c>
      <c r="B1786" t="s">
        <v>566</v>
      </c>
      <c r="C1786" t="s">
        <v>5234</v>
      </c>
      <c r="E1786" t="s">
        <v>18823</v>
      </c>
      <c r="F1786" t="s">
        <v>29372</v>
      </c>
      <c r="G1786" t="s">
        <v>29380</v>
      </c>
      <c r="H1786" t="s">
        <v>11048</v>
      </c>
      <c r="I1786" t="s">
        <v>29414</v>
      </c>
      <c r="J1786" t="s">
        <v>30811</v>
      </c>
      <c r="K1786" t="s">
        <v>38490</v>
      </c>
      <c r="M1786" t="s">
        <v>39476</v>
      </c>
      <c r="N1786" t="s">
        <v>42669</v>
      </c>
      <c r="O1786" t="s">
        <v>42670</v>
      </c>
      <c r="P1786">
        <v>0</v>
      </c>
      <c r="Q1786">
        <v>14</v>
      </c>
      <c r="R1786" t="s">
        <v>42674</v>
      </c>
      <c r="S1786" t="s">
        <v>42788</v>
      </c>
      <c r="T1786" t="s">
        <v>44536</v>
      </c>
      <c r="U1786" t="s">
        <v>46306</v>
      </c>
      <c r="W1786" t="s">
        <v>39476</v>
      </c>
      <c r="X1786" t="s">
        <v>42676</v>
      </c>
    </row>
    <row r="1787" spans="1:24">
      <c r="A1787">
        <f>HYPERLINK("https://www.philgeps.gov.ph/GEPSNONPILOT/Tender/SplashBidNoticeAbstractUI.aspx?menuIndex=3&amp;refID=7190472&amp;Result=3","7190472")</f>
        <v>0</v>
      </c>
      <c r="B1787" t="s">
        <v>699</v>
      </c>
      <c r="C1787" t="s">
        <v>5235</v>
      </c>
      <c r="D1787" t="s">
        <v>17206</v>
      </c>
      <c r="E1787" t="s">
        <v>18824</v>
      </c>
      <c r="F1787" t="s">
        <v>29372</v>
      </c>
      <c r="G1787" t="s">
        <v>29379</v>
      </c>
      <c r="H1787" t="s">
        <v>11048</v>
      </c>
      <c r="I1787" t="s">
        <v>29453</v>
      </c>
      <c r="J1787" t="s">
        <v>30812</v>
      </c>
      <c r="K1787" t="s">
        <v>38491</v>
      </c>
      <c r="M1787" t="s">
        <v>39477</v>
      </c>
      <c r="N1787" t="s">
        <v>42669</v>
      </c>
      <c r="O1787" t="s">
        <v>42670</v>
      </c>
      <c r="P1787">
        <v>0</v>
      </c>
      <c r="Q1787">
        <v>0</v>
      </c>
      <c r="R1787" t="s">
        <v>42674</v>
      </c>
      <c r="S1787" t="s">
        <v>42788</v>
      </c>
      <c r="T1787" t="s">
        <v>44468</v>
      </c>
      <c r="U1787" t="s">
        <v>46307</v>
      </c>
      <c r="V1787" t="s">
        <v>56535</v>
      </c>
      <c r="W1787" t="s">
        <v>39477</v>
      </c>
      <c r="X1787" t="s">
        <v>42676</v>
      </c>
    </row>
    <row r="1788" spans="1:24">
      <c r="A1788">
        <f>HYPERLINK("https://www.philgeps.gov.ph/GEPSNONPILOT/Tender/SplashBidNoticeAbstractUI.aspx?menuIndex=3&amp;refID=7190451&amp;Result=3","7190451")</f>
        <v>0</v>
      </c>
      <c r="B1788" t="s">
        <v>700</v>
      </c>
      <c r="C1788" t="s">
        <v>5236</v>
      </c>
      <c r="D1788" t="s">
        <v>17189</v>
      </c>
      <c r="E1788" t="s">
        <v>17434</v>
      </c>
      <c r="F1788" t="s">
        <v>29373</v>
      </c>
      <c r="G1788" t="s">
        <v>29383</v>
      </c>
      <c r="H1788" t="s">
        <v>29390</v>
      </c>
      <c r="I1788" t="s">
        <v>4487</v>
      </c>
      <c r="J1788" t="s">
        <v>29590</v>
      </c>
      <c r="K1788" t="s">
        <v>38528</v>
      </c>
      <c r="L1788" t="s">
        <v>700</v>
      </c>
      <c r="M1788" t="s">
        <v>39478</v>
      </c>
      <c r="N1788" t="s">
        <v>42669</v>
      </c>
      <c r="O1788" t="s">
        <v>42670</v>
      </c>
      <c r="P1788">
        <v>0</v>
      </c>
      <c r="Q1788">
        <v>3</v>
      </c>
      <c r="R1788" t="s">
        <v>42674</v>
      </c>
      <c r="S1788" t="s">
        <v>42788</v>
      </c>
      <c r="T1788" t="s">
        <v>44429</v>
      </c>
      <c r="U1788" t="s">
        <v>46308</v>
      </c>
      <c r="W1788" t="s">
        <v>39478</v>
      </c>
      <c r="X1788" t="s">
        <v>42676</v>
      </c>
    </row>
    <row r="1789" spans="1:24">
      <c r="A1789">
        <f>HYPERLINK("https://www.philgeps.gov.ph/GEPSNONPILOT/Tender/SplashBidNoticeAbstractUI.aspx?menuIndex=3&amp;refID=7190442&amp;Result=3","7190442")</f>
        <v>0</v>
      </c>
      <c r="B1789" t="s">
        <v>691</v>
      </c>
      <c r="C1789" t="s">
        <v>5237</v>
      </c>
      <c r="D1789" t="s">
        <v>17141</v>
      </c>
      <c r="E1789" t="s">
        <v>18813</v>
      </c>
      <c r="F1789" t="s">
        <v>29375</v>
      </c>
      <c r="G1789" t="s">
        <v>29380</v>
      </c>
      <c r="H1789" t="s">
        <v>11048</v>
      </c>
      <c r="I1789" t="s">
        <v>3670</v>
      </c>
      <c r="J1789" t="s">
        <v>29712</v>
      </c>
      <c r="K1789" t="s">
        <v>38485</v>
      </c>
      <c r="M1789" t="s">
        <v>39467</v>
      </c>
      <c r="N1789" t="s">
        <v>42669</v>
      </c>
      <c r="O1789" t="s">
        <v>42670</v>
      </c>
      <c r="P1789">
        <v>0</v>
      </c>
      <c r="Q1789">
        <v>2</v>
      </c>
      <c r="R1789" t="s">
        <v>42674</v>
      </c>
      <c r="S1789" t="s">
        <v>42788</v>
      </c>
      <c r="T1789" t="s">
        <v>44562</v>
      </c>
      <c r="U1789" t="s">
        <v>46309</v>
      </c>
      <c r="W1789" t="s">
        <v>39467</v>
      </c>
      <c r="X1789" t="s">
        <v>42676</v>
      </c>
    </row>
    <row r="1790" spans="1:24">
      <c r="A1790">
        <f>HYPERLINK("https://www.philgeps.gov.ph/GEPSNONPILOT/Tender/SplashBidNoticeAbstractUI.aspx?menuIndex=3&amp;refID=7190482&amp;Result=3","7190482")</f>
        <v>0</v>
      </c>
      <c r="B1790" t="s">
        <v>660</v>
      </c>
      <c r="C1790" t="s">
        <v>5238</v>
      </c>
      <c r="D1790" t="s">
        <v>17199</v>
      </c>
      <c r="E1790" t="s">
        <v>5238</v>
      </c>
      <c r="F1790" t="s">
        <v>29372</v>
      </c>
      <c r="G1790" t="s">
        <v>29379</v>
      </c>
      <c r="H1790" t="s">
        <v>11048</v>
      </c>
      <c r="I1790" t="s">
        <v>29475</v>
      </c>
      <c r="J1790" t="s">
        <v>30813</v>
      </c>
      <c r="K1790" t="s">
        <v>38490</v>
      </c>
      <c r="M1790" t="s">
        <v>39436</v>
      </c>
      <c r="N1790" t="s">
        <v>42669</v>
      </c>
      <c r="O1790" t="s">
        <v>42670</v>
      </c>
      <c r="P1790">
        <v>0</v>
      </c>
      <c r="Q1790">
        <v>0</v>
      </c>
      <c r="R1790" t="s">
        <v>42674</v>
      </c>
      <c r="S1790" t="s">
        <v>42788</v>
      </c>
      <c r="T1790" t="s">
        <v>44496</v>
      </c>
      <c r="U1790" t="s">
        <v>46310</v>
      </c>
      <c r="W1790" t="s">
        <v>39436</v>
      </c>
      <c r="X1790" t="s">
        <v>42676</v>
      </c>
    </row>
    <row r="1791" spans="1:24">
      <c r="A1791">
        <f>HYPERLINK("https://www.philgeps.gov.ph/GEPSNONPILOT/Tender/SplashBidNoticeAbstractUI.aspx?menuIndex=3&amp;refID=7190481&amp;Result=3","7190481")</f>
        <v>0</v>
      </c>
      <c r="B1791" t="s">
        <v>692</v>
      </c>
      <c r="C1791" t="s">
        <v>5239</v>
      </c>
      <c r="D1791" t="s">
        <v>17160</v>
      </c>
      <c r="E1791" t="s">
        <v>17547</v>
      </c>
      <c r="F1791" t="s">
        <v>29372</v>
      </c>
      <c r="G1791" t="s">
        <v>29379</v>
      </c>
      <c r="H1791" t="s">
        <v>29389</v>
      </c>
      <c r="I1791" t="s">
        <v>10408</v>
      </c>
      <c r="J1791" t="s">
        <v>30814</v>
      </c>
      <c r="K1791" t="s">
        <v>38490</v>
      </c>
      <c r="M1791" t="s">
        <v>39468</v>
      </c>
      <c r="N1791" t="s">
        <v>42669</v>
      </c>
      <c r="O1791" t="s">
        <v>42670</v>
      </c>
      <c r="P1791">
        <v>0</v>
      </c>
      <c r="Q1791">
        <v>0</v>
      </c>
      <c r="R1791" t="s">
        <v>42674</v>
      </c>
      <c r="S1791" t="s">
        <v>42788</v>
      </c>
      <c r="T1791" t="s">
        <v>44488</v>
      </c>
      <c r="U1791" t="s">
        <v>46311</v>
      </c>
      <c r="W1791" t="s">
        <v>39468</v>
      </c>
      <c r="X1791" t="s">
        <v>42676</v>
      </c>
    </row>
    <row r="1792" spans="1:24">
      <c r="A1792">
        <f>HYPERLINK("https://www.philgeps.gov.ph/GEPSNONPILOT/Tender/SplashBidNoticeAbstractUI.aspx?menuIndex=3&amp;refID=7190478&amp;Result=3","7190478")</f>
        <v>0</v>
      </c>
      <c r="B1792" t="s">
        <v>701</v>
      </c>
      <c r="C1792" t="s">
        <v>5240</v>
      </c>
      <c r="D1792" t="s">
        <v>17165</v>
      </c>
      <c r="E1792" t="s">
        <v>18825</v>
      </c>
      <c r="F1792" t="s">
        <v>29372</v>
      </c>
      <c r="G1792" t="s">
        <v>29379</v>
      </c>
      <c r="H1792" t="s">
        <v>11048</v>
      </c>
      <c r="I1792" t="s">
        <v>14920</v>
      </c>
      <c r="J1792" t="s">
        <v>29708</v>
      </c>
      <c r="K1792" t="s">
        <v>38491</v>
      </c>
      <c r="M1792" t="s">
        <v>39479</v>
      </c>
      <c r="N1792" t="s">
        <v>42669</v>
      </c>
      <c r="O1792" t="s">
        <v>42670</v>
      </c>
      <c r="P1792">
        <v>0</v>
      </c>
      <c r="Q1792">
        <v>0</v>
      </c>
      <c r="R1792" t="s">
        <v>42674</v>
      </c>
      <c r="S1792" t="s">
        <v>42788</v>
      </c>
      <c r="T1792" t="s">
        <v>44432</v>
      </c>
      <c r="U1792" t="s">
        <v>46312</v>
      </c>
      <c r="W1792" t="s">
        <v>39479</v>
      </c>
      <c r="X1792" t="s">
        <v>42676</v>
      </c>
    </row>
    <row r="1793" spans="1:24">
      <c r="A1793">
        <f>HYPERLINK("https://www.philgeps.gov.ph/GEPSNONPILOT/Tender/SplashBidNoticeAbstractUI.aspx?menuIndex=3&amp;refID=7190473&amp;Result=3","7190473")</f>
        <v>0</v>
      </c>
      <c r="B1793" t="s">
        <v>702</v>
      </c>
      <c r="C1793" t="s">
        <v>5241</v>
      </c>
      <c r="D1793" t="s">
        <v>17221</v>
      </c>
      <c r="E1793" t="s">
        <v>18826</v>
      </c>
      <c r="F1793" t="s">
        <v>29372</v>
      </c>
      <c r="G1793" t="s">
        <v>29380</v>
      </c>
      <c r="H1793" t="s">
        <v>11048</v>
      </c>
      <c r="I1793" t="s">
        <v>3839</v>
      </c>
      <c r="J1793" t="s">
        <v>30435</v>
      </c>
      <c r="K1793" t="s">
        <v>38491</v>
      </c>
      <c r="M1793" t="s">
        <v>39480</v>
      </c>
      <c r="N1793" t="s">
        <v>42669</v>
      </c>
      <c r="O1793" t="s">
        <v>42670</v>
      </c>
      <c r="Q1793">
        <v>0</v>
      </c>
      <c r="R1793" t="s">
        <v>42674</v>
      </c>
      <c r="S1793" t="s">
        <v>42792</v>
      </c>
      <c r="T1793" t="s">
        <v>44391</v>
      </c>
      <c r="U1793" t="s">
        <v>46313</v>
      </c>
      <c r="V1793" t="s">
        <v>56536</v>
      </c>
      <c r="W1793" t="s">
        <v>39480</v>
      </c>
      <c r="X1793" t="s">
        <v>42676</v>
      </c>
    </row>
    <row r="1794" spans="1:24">
      <c r="A1794">
        <f>HYPERLINK("https://www.philgeps.gov.ph/GEPSNONPILOT/Tender/SplashBidNoticeAbstractUI.aspx?menuIndex=3&amp;refID=7190471&amp;Result=3","7190471")</f>
        <v>0</v>
      </c>
      <c r="B1794" t="s">
        <v>613</v>
      </c>
      <c r="C1794" t="s">
        <v>5242</v>
      </c>
      <c r="D1794" t="s">
        <v>17205</v>
      </c>
      <c r="E1794" t="s">
        <v>18827</v>
      </c>
      <c r="F1794" t="s">
        <v>29372</v>
      </c>
      <c r="G1794" t="s">
        <v>29383</v>
      </c>
      <c r="H1794" t="s">
        <v>11048</v>
      </c>
      <c r="I1794" t="s">
        <v>14920</v>
      </c>
      <c r="J1794" t="s">
        <v>30438</v>
      </c>
      <c r="K1794" t="s">
        <v>38490</v>
      </c>
      <c r="M1794" t="s">
        <v>39384</v>
      </c>
      <c r="N1794" t="s">
        <v>42669</v>
      </c>
      <c r="O1794" t="s">
        <v>42670</v>
      </c>
      <c r="P1794">
        <v>0</v>
      </c>
      <c r="Q1794">
        <v>0</v>
      </c>
      <c r="R1794" t="s">
        <v>42674</v>
      </c>
      <c r="S1794" t="s">
        <v>42788</v>
      </c>
      <c r="T1794" t="s">
        <v>44417</v>
      </c>
      <c r="U1794" t="s">
        <v>46314</v>
      </c>
      <c r="V1794" t="s">
        <v>56514</v>
      </c>
      <c r="W1794" t="s">
        <v>39384</v>
      </c>
      <c r="X1794" t="s">
        <v>42676</v>
      </c>
    </row>
    <row r="1795" spans="1:24">
      <c r="A1795">
        <f>HYPERLINK("https://www.philgeps.gov.ph/GEPSNONPILOT/Tender/SplashBidNoticeAbstractUI.aspx?menuIndex=3&amp;refID=7190470&amp;Result=3","7190470")</f>
        <v>0</v>
      </c>
      <c r="B1795" t="s">
        <v>703</v>
      </c>
      <c r="C1795" t="s">
        <v>5243</v>
      </c>
      <c r="D1795" t="s">
        <v>17161</v>
      </c>
      <c r="E1795" t="s">
        <v>18828</v>
      </c>
      <c r="F1795" t="s">
        <v>29372</v>
      </c>
      <c r="G1795" t="s">
        <v>29380</v>
      </c>
      <c r="H1795" t="s">
        <v>11048</v>
      </c>
      <c r="I1795" t="s">
        <v>9469</v>
      </c>
      <c r="J1795" t="s">
        <v>30815</v>
      </c>
      <c r="K1795" t="s">
        <v>38491</v>
      </c>
      <c r="M1795" t="s">
        <v>39481</v>
      </c>
      <c r="N1795" t="s">
        <v>42669</v>
      </c>
      <c r="O1795" t="s">
        <v>42670</v>
      </c>
      <c r="P1795">
        <v>0</v>
      </c>
      <c r="Q1795">
        <v>4</v>
      </c>
      <c r="R1795" t="s">
        <v>42674</v>
      </c>
      <c r="S1795" t="s">
        <v>42788</v>
      </c>
      <c r="T1795" t="s">
        <v>44360</v>
      </c>
      <c r="U1795" t="s">
        <v>46315</v>
      </c>
      <c r="W1795" t="s">
        <v>39481</v>
      </c>
      <c r="X1795" t="s">
        <v>42676</v>
      </c>
    </row>
    <row r="1796" spans="1:24">
      <c r="A1796">
        <f>HYPERLINK("https://www.philgeps.gov.ph/GEPSNONPILOT/Tender/SplashBidNoticeAbstractUI.aspx?menuIndex=3&amp;refID=7190469&amp;Result=3","7190469")</f>
        <v>0</v>
      </c>
      <c r="B1796" t="s">
        <v>704</v>
      </c>
      <c r="C1796" t="s">
        <v>5244</v>
      </c>
      <c r="D1796" t="s">
        <v>17157</v>
      </c>
      <c r="E1796" t="s">
        <v>18829</v>
      </c>
      <c r="F1796" t="s">
        <v>29372</v>
      </c>
      <c r="G1796" t="s">
        <v>29379</v>
      </c>
      <c r="H1796" t="s">
        <v>11048</v>
      </c>
      <c r="I1796" t="s">
        <v>29393</v>
      </c>
      <c r="J1796" t="s">
        <v>30816</v>
      </c>
      <c r="K1796" t="s">
        <v>38510</v>
      </c>
      <c r="M1796" t="s">
        <v>39482</v>
      </c>
      <c r="N1796" t="s">
        <v>42669</v>
      </c>
      <c r="O1796" t="s">
        <v>42670</v>
      </c>
      <c r="P1796">
        <v>0</v>
      </c>
      <c r="Q1796">
        <v>0</v>
      </c>
      <c r="R1796" t="s">
        <v>42674</v>
      </c>
      <c r="S1796" t="s">
        <v>42788</v>
      </c>
      <c r="T1796" t="s">
        <v>44470</v>
      </c>
      <c r="U1796" t="s">
        <v>46316</v>
      </c>
      <c r="W1796" t="s">
        <v>39482</v>
      </c>
      <c r="X1796" t="s">
        <v>42676</v>
      </c>
    </row>
    <row r="1797" spans="1:24">
      <c r="A1797">
        <f>HYPERLINK("https://www.philgeps.gov.ph/GEPSNONPILOT/Tender/SplashBidNoticeAbstractUI.aspx?menuIndex=3&amp;refID=7190465&amp;Result=3","7190465")</f>
        <v>0</v>
      </c>
      <c r="B1797" t="s">
        <v>705</v>
      </c>
      <c r="C1797" t="s">
        <v>5245</v>
      </c>
      <c r="D1797" t="s">
        <v>17189</v>
      </c>
      <c r="E1797" t="s">
        <v>18830</v>
      </c>
      <c r="F1797" t="s">
        <v>29372</v>
      </c>
      <c r="G1797" t="s">
        <v>29380</v>
      </c>
      <c r="H1797" t="s">
        <v>11048</v>
      </c>
      <c r="I1797" t="s">
        <v>3670</v>
      </c>
      <c r="J1797" t="s">
        <v>30817</v>
      </c>
      <c r="K1797" t="s">
        <v>38491</v>
      </c>
      <c r="M1797" t="s">
        <v>39483</v>
      </c>
      <c r="N1797" t="s">
        <v>42669</v>
      </c>
      <c r="O1797" t="s">
        <v>42670</v>
      </c>
      <c r="P1797">
        <v>0</v>
      </c>
      <c r="Q1797">
        <v>1</v>
      </c>
      <c r="R1797" t="s">
        <v>42674</v>
      </c>
      <c r="S1797" t="s">
        <v>42788</v>
      </c>
      <c r="T1797" t="s">
        <v>44430</v>
      </c>
      <c r="U1797" t="s">
        <v>46317</v>
      </c>
      <c r="W1797" t="s">
        <v>39483</v>
      </c>
      <c r="X1797" t="s">
        <v>42676</v>
      </c>
    </row>
    <row r="1798" spans="1:24">
      <c r="A1798">
        <f>HYPERLINK("https://www.philgeps.gov.ph/GEPSNONPILOT/Tender/SplashBidNoticeAbstractUI.aspx?menuIndex=3&amp;refID=7190477&amp;Result=3","7190477")</f>
        <v>0</v>
      </c>
      <c r="B1798" t="s">
        <v>696</v>
      </c>
      <c r="C1798" t="s">
        <v>5246</v>
      </c>
      <c r="D1798" t="s">
        <v>17204</v>
      </c>
      <c r="E1798" t="s">
        <v>17947</v>
      </c>
      <c r="F1798" t="s">
        <v>29372</v>
      </c>
      <c r="G1798" t="s">
        <v>29380</v>
      </c>
      <c r="H1798" t="s">
        <v>29389</v>
      </c>
      <c r="I1798" t="s">
        <v>10408</v>
      </c>
      <c r="J1798" t="s">
        <v>30818</v>
      </c>
      <c r="K1798" t="s">
        <v>38518</v>
      </c>
      <c r="M1798" t="s">
        <v>39473</v>
      </c>
      <c r="N1798" t="s">
        <v>42669</v>
      </c>
      <c r="O1798" t="s">
        <v>42670</v>
      </c>
      <c r="P1798">
        <v>0</v>
      </c>
      <c r="Q1798">
        <v>1</v>
      </c>
      <c r="R1798" t="s">
        <v>42674</v>
      </c>
      <c r="S1798" t="s">
        <v>42788</v>
      </c>
      <c r="T1798" t="s">
        <v>44564</v>
      </c>
      <c r="U1798" t="s">
        <v>46302</v>
      </c>
      <c r="W1798" t="s">
        <v>39473</v>
      </c>
      <c r="X1798" t="s">
        <v>42676</v>
      </c>
    </row>
    <row r="1799" spans="1:24">
      <c r="A1799">
        <f>HYPERLINK("https://www.philgeps.gov.ph/GEPSNONPILOT/Tender/SplashBidNoticeAbstractUI.aspx?menuIndex=3&amp;refID=7190464&amp;Result=3","7190464")</f>
        <v>0</v>
      </c>
      <c r="B1799" t="s">
        <v>706</v>
      </c>
      <c r="C1799" t="s">
        <v>5247</v>
      </c>
      <c r="D1799" t="s">
        <v>17168</v>
      </c>
      <c r="E1799" t="s">
        <v>18831</v>
      </c>
      <c r="F1799" t="s">
        <v>29372</v>
      </c>
      <c r="G1799" t="s">
        <v>29383</v>
      </c>
      <c r="H1799" t="s">
        <v>11048</v>
      </c>
      <c r="I1799" t="s">
        <v>4487</v>
      </c>
      <c r="J1799" t="s">
        <v>30819</v>
      </c>
      <c r="K1799" t="s">
        <v>38488</v>
      </c>
      <c r="M1799" t="s">
        <v>39484</v>
      </c>
      <c r="N1799" t="s">
        <v>42669</v>
      </c>
      <c r="O1799" t="s">
        <v>42670</v>
      </c>
      <c r="P1799">
        <v>0</v>
      </c>
      <c r="Q1799">
        <v>3</v>
      </c>
      <c r="R1799" t="s">
        <v>42674</v>
      </c>
      <c r="S1799" t="s">
        <v>42788</v>
      </c>
      <c r="T1799" t="s">
        <v>44468</v>
      </c>
      <c r="U1799" t="s">
        <v>46318</v>
      </c>
      <c r="W1799" t="s">
        <v>39484</v>
      </c>
      <c r="X1799" t="s">
        <v>42676</v>
      </c>
    </row>
    <row r="1800" spans="1:24">
      <c r="A1800">
        <f>HYPERLINK("https://www.philgeps.gov.ph/GEPSNONPILOT/Tender/SplashBidNoticeAbstractUI.aspx?menuIndex=3&amp;refID=7190463&amp;Result=3","7190463")</f>
        <v>0</v>
      </c>
      <c r="B1800" t="s">
        <v>589</v>
      </c>
      <c r="C1800" t="s">
        <v>5248</v>
      </c>
      <c r="D1800" t="s">
        <v>17168</v>
      </c>
      <c r="E1800" t="s">
        <v>18832</v>
      </c>
      <c r="F1800" t="s">
        <v>29372</v>
      </c>
      <c r="G1800" t="s">
        <v>29379</v>
      </c>
      <c r="H1800" t="s">
        <v>11048</v>
      </c>
      <c r="I1800" t="s">
        <v>5383</v>
      </c>
      <c r="J1800" t="s">
        <v>30820</v>
      </c>
      <c r="K1800" t="s">
        <v>38538</v>
      </c>
      <c r="M1800" t="s">
        <v>39485</v>
      </c>
      <c r="N1800" t="s">
        <v>42669</v>
      </c>
      <c r="O1800" t="s">
        <v>42670</v>
      </c>
      <c r="P1800">
        <v>0</v>
      </c>
      <c r="Q1800">
        <v>0</v>
      </c>
      <c r="R1800" t="s">
        <v>42674</v>
      </c>
      <c r="S1800" t="s">
        <v>42788</v>
      </c>
      <c r="T1800" t="s">
        <v>44427</v>
      </c>
      <c r="U1800" t="s">
        <v>46319</v>
      </c>
      <c r="W1800" t="s">
        <v>39485</v>
      </c>
      <c r="X1800" t="s">
        <v>42676</v>
      </c>
    </row>
    <row r="1801" spans="1:24">
      <c r="A1801">
        <f>HYPERLINK("https://www.philgeps.gov.ph/GEPSNONPILOT/Tender/SplashBidNoticeAbstractUI.aspx?menuIndex=3&amp;refID=7190462&amp;Result=3","7190462")</f>
        <v>0</v>
      </c>
      <c r="B1801" t="s">
        <v>662</v>
      </c>
      <c r="C1801" t="s">
        <v>5249</v>
      </c>
      <c r="D1801" t="s">
        <v>17211</v>
      </c>
      <c r="E1801" t="s">
        <v>18833</v>
      </c>
      <c r="F1801" t="s">
        <v>29372</v>
      </c>
      <c r="G1801" t="s">
        <v>29382</v>
      </c>
      <c r="H1801" t="s">
        <v>11048</v>
      </c>
      <c r="I1801" t="s">
        <v>29407</v>
      </c>
      <c r="J1801" t="s">
        <v>30821</v>
      </c>
      <c r="K1801" t="s">
        <v>38485</v>
      </c>
      <c r="M1801" t="s">
        <v>39438</v>
      </c>
      <c r="N1801" t="s">
        <v>42669</v>
      </c>
      <c r="O1801" t="s">
        <v>42670</v>
      </c>
      <c r="P1801">
        <v>0</v>
      </c>
      <c r="Q1801">
        <v>2</v>
      </c>
      <c r="R1801" t="s">
        <v>42674</v>
      </c>
      <c r="S1801" t="s">
        <v>42788</v>
      </c>
      <c r="T1801" t="s">
        <v>44491</v>
      </c>
      <c r="U1801" t="s">
        <v>46320</v>
      </c>
      <c r="W1801" t="s">
        <v>39438</v>
      </c>
      <c r="X1801" t="s">
        <v>42676</v>
      </c>
    </row>
    <row r="1802" spans="1:24">
      <c r="A1802">
        <f>HYPERLINK("https://www.philgeps.gov.ph/GEPSNONPILOT/Tender/SplashBidNoticeAbstractUI.aspx?menuIndex=3&amp;refID=7190517&amp;Result=3","7190517")</f>
        <v>0</v>
      </c>
      <c r="B1802" t="s">
        <v>707</v>
      </c>
      <c r="C1802" t="s">
        <v>5250</v>
      </c>
      <c r="D1802" t="s">
        <v>17178</v>
      </c>
      <c r="E1802" t="s">
        <v>5250</v>
      </c>
      <c r="F1802" t="s">
        <v>29372</v>
      </c>
      <c r="G1802" t="s">
        <v>29379</v>
      </c>
      <c r="H1802" t="s">
        <v>29391</v>
      </c>
      <c r="I1802" t="s">
        <v>29396</v>
      </c>
      <c r="J1802" t="s">
        <v>29680</v>
      </c>
      <c r="K1802" t="s">
        <v>38485</v>
      </c>
      <c r="M1802" t="s">
        <v>39486</v>
      </c>
      <c r="N1802" t="s">
        <v>42669</v>
      </c>
      <c r="O1802" t="s">
        <v>42670</v>
      </c>
      <c r="P1802">
        <v>0</v>
      </c>
      <c r="Q1802">
        <v>0</v>
      </c>
      <c r="R1802" t="s">
        <v>42674</v>
      </c>
      <c r="S1802" t="s">
        <v>42788</v>
      </c>
      <c r="T1802" t="s">
        <v>44413</v>
      </c>
      <c r="U1802" t="s">
        <v>46321</v>
      </c>
      <c r="W1802" t="s">
        <v>39486</v>
      </c>
      <c r="X1802" t="s">
        <v>42676</v>
      </c>
    </row>
    <row r="1803" spans="1:24">
      <c r="A1803">
        <f>HYPERLINK("https://www.philgeps.gov.ph/GEPSNONPILOT/Tender/SplashBidNoticeAbstractUI.aspx?menuIndex=3&amp;refID=7190521&amp;Result=3","7190521")</f>
        <v>0</v>
      </c>
      <c r="B1803" t="s">
        <v>708</v>
      </c>
      <c r="C1803" t="s">
        <v>5251</v>
      </c>
      <c r="D1803" t="s">
        <v>17160</v>
      </c>
      <c r="E1803" t="s">
        <v>18834</v>
      </c>
      <c r="F1803" t="s">
        <v>29372</v>
      </c>
      <c r="G1803" t="s">
        <v>29379</v>
      </c>
      <c r="H1803" t="s">
        <v>11048</v>
      </c>
      <c r="I1803" t="s">
        <v>5383</v>
      </c>
      <c r="J1803" t="s">
        <v>29590</v>
      </c>
      <c r="K1803" t="s">
        <v>38488</v>
      </c>
      <c r="M1803" t="s">
        <v>39487</v>
      </c>
      <c r="N1803" t="s">
        <v>42669</v>
      </c>
      <c r="O1803" t="s">
        <v>42670</v>
      </c>
      <c r="P1803">
        <v>0</v>
      </c>
      <c r="Q1803">
        <v>3</v>
      </c>
      <c r="R1803" t="s">
        <v>42674</v>
      </c>
      <c r="S1803" t="s">
        <v>42788</v>
      </c>
      <c r="T1803" t="s">
        <v>44488</v>
      </c>
      <c r="U1803" t="s">
        <v>46322</v>
      </c>
      <c r="W1803" t="s">
        <v>39487</v>
      </c>
      <c r="X1803" t="s">
        <v>42676</v>
      </c>
    </row>
    <row r="1804" spans="1:24">
      <c r="A1804">
        <f>HYPERLINK("https://www.philgeps.gov.ph/GEPSNONPILOT/Tender/SplashBidNoticeAbstractUI.aspx?menuIndex=3&amp;refID=7190520&amp;Result=3","7190520")</f>
        <v>0</v>
      </c>
      <c r="B1804" t="s">
        <v>709</v>
      </c>
      <c r="C1804" t="s">
        <v>5252</v>
      </c>
      <c r="D1804" t="s">
        <v>17151</v>
      </c>
      <c r="E1804" t="s">
        <v>18835</v>
      </c>
      <c r="F1804" t="s">
        <v>29373</v>
      </c>
      <c r="G1804" t="s">
        <v>29379</v>
      </c>
      <c r="H1804" t="s">
        <v>11048</v>
      </c>
      <c r="I1804" t="s">
        <v>29398</v>
      </c>
      <c r="J1804" t="s">
        <v>30822</v>
      </c>
      <c r="K1804" t="s">
        <v>38488</v>
      </c>
      <c r="M1804" t="s">
        <v>39488</v>
      </c>
      <c r="N1804" t="s">
        <v>42669</v>
      </c>
      <c r="O1804" t="s">
        <v>42670</v>
      </c>
      <c r="P1804">
        <v>0</v>
      </c>
      <c r="Q1804">
        <v>10</v>
      </c>
      <c r="R1804" t="s">
        <v>42674</v>
      </c>
      <c r="S1804" t="s">
        <v>42788</v>
      </c>
      <c r="T1804" t="s">
        <v>44456</v>
      </c>
      <c r="U1804" t="s">
        <v>46323</v>
      </c>
      <c r="V1804" t="s">
        <v>56537</v>
      </c>
      <c r="W1804" t="s">
        <v>39488</v>
      </c>
      <c r="X1804" t="s">
        <v>42676</v>
      </c>
    </row>
    <row r="1805" spans="1:24">
      <c r="A1805">
        <f>HYPERLINK("https://www.philgeps.gov.ph/GEPSNONPILOT/Tender/SplashBidNoticeAbstractUI.aspx?menuIndex=3&amp;refID=7190519&amp;Result=3","7190519")</f>
        <v>0</v>
      </c>
      <c r="B1805" t="s">
        <v>679</v>
      </c>
      <c r="C1805" t="s">
        <v>5253</v>
      </c>
      <c r="D1805" t="s">
        <v>17175</v>
      </c>
      <c r="E1805" t="s">
        <v>18836</v>
      </c>
      <c r="F1805" t="s">
        <v>29372</v>
      </c>
      <c r="G1805" t="s">
        <v>29380</v>
      </c>
      <c r="H1805" t="s">
        <v>11048</v>
      </c>
      <c r="I1805" t="s">
        <v>4709</v>
      </c>
      <c r="J1805" t="s">
        <v>30823</v>
      </c>
      <c r="K1805" t="s">
        <v>38510</v>
      </c>
      <c r="M1805" t="s">
        <v>39455</v>
      </c>
      <c r="N1805" t="s">
        <v>42669</v>
      </c>
      <c r="O1805" t="s">
        <v>42670</v>
      </c>
      <c r="P1805">
        <v>0</v>
      </c>
      <c r="Q1805">
        <v>0</v>
      </c>
      <c r="R1805" t="s">
        <v>42674</v>
      </c>
      <c r="S1805" t="s">
        <v>42788</v>
      </c>
      <c r="T1805" t="s">
        <v>44361</v>
      </c>
      <c r="U1805" t="s">
        <v>46324</v>
      </c>
      <c r="W1805" t="s">
        <v>39455</v>
      </c>
      <c r="X1805" t="s">
        <v>42676</v>
      </c>
    </row>
    <row r="1806" spans="1:24">
      <c r="A1806">
        <f>HYPERLINK("https://www.philgeps.gov.ph/GEPSNONPILOT/Tender/SplashBidNoticeAbstractUI.aspx?menuIndex=3&amp;refID=7190514&amp;Result=3","7190514")</f>
        <v>0</v>
      </c>
      <c r="B1806" t="s">
        <v>710</v>
      </c>
      <c r="C1806" t="s">
        <v>5254</v>
      </c>
      <c r="D1806" t="s">
        <v>17176</v>
      </c>
      <c r="E1806" t="s">
        <v>18837</v>
      </c>
      <c r="F1806" t="s">
        <v>29372</v>
      </c>
      <c r="G1806" t="s">
        <v>29381</v>
      </c>
      <c r="H1806" t="s">
        <v>29389</v>
      </c>
      <c r="I1806" t="s">
        <v>10408</v>
      </c>
      <c r="J1806" t="s">
        <v>30824</v>
      </c>
      <c r="K1806" t="s">
        <v>38523</v>
      </c>
      <c r="M1806" t="s">
        <v>39489</v>
      </c>
      <c r="N1806" t="s">
        <v>42669</v>
      </c>
      <c r="O1806" t="s">
        <v>42670</v>
      </c>
      <c r="P1806">
        <v>0</v>
      </c>
      <c r="Q1806">
        <v>1</v>
      </c>
      <c r="R1806" t="s">
        <v>42674</v>
      </c>
      <c r="S1806" t="s">
        <v>42788</v>
      </c>
      <c r="T1806" t="s">
        <v>44382</v>
      </c>
      <c r="U1806" t="s">
        <v>46325</v>
      </c>
      <c r="W1806" t="s">
        <v>39489</v>
      </c>
      <c r="X1806" t="s">
        <v>42676</v>
      </c>
    </row>
    <row r="1807" spans="1:24">
      <c r="A1807">
        <f>HYPERLINK("https://www.philgeps.gov.ph/GEPSNONPILOT/Tender/SplashBidNoticeAbstractUI.aspx?menuIndex=3&amp;refID=7190483&amp;Result=3","7190483")</f>
        <v>0</v>
      </c>
      <c r="B1807" t="s">
        <v>711</v>
      </c>
      <c r="C1807" t="s">
        <v>5255</v>
      </c>
      <c r="D1807" t="s">
        <v>17160</v>
      </c>
      <c r="E1807" t="s">
        <v>18838</v>
      </c>
      <c r="F1807" t="s">
        <v>29372</v>
      </c>
      <c r="G1807" t="s">
        <v>29379</v>
      </c>
      <c r="H1807" t="s">
        <v>11048</v>
      </c>
      <c r="I1807" t="s">
        <v>8208</v>
      </c>
      <c r="J1807" t="s">
        <v>30825</v>
      </c>
      <c r="K1807" t="s">
        <v>38490</v>
      </c>
      <c r="M1807" t="s">
        <v>39490</v>
      </c>
      <c r="N1807" t="s">
        <v>42669</v>
      </c>
      <c r="O1807" t="s">
        <v>42670</v>
      </c>
      <c r="P1807">
        <v>0</v>
      </c>
      <c r="Q1807">
        <v>1</v>
      </c>
      <c r="R1807" t="s">
        <v>42674</v>
      </c>
      <c r="S1807" t="s">
        <v>42788</v>
      </c>
      <c r="T1807" t="s">
        <v>44429</v>
      </c>
      <c r="U1807" t="s">
        <v>46326</v>
      </c>
      <c r="W1807" t="s">
        <v>39490</v>
      </c>
      <c r="X1807" t="s">
        <v>42676</v>
      </c>
    </row>
    <row r="1808" spans="1:24">
      <c r="A1808">
        <f>HYPERLINK("https://www.philgeps.gov.ph/GEPSNONPILOT/Tender/SplashBidNoticeAbstractUI.aspx?menuIndex=3&amp;refID=7190511&amp;Result=3","7190511")</f>
        <v>0</v>
      </c>
      <c r="B1808" t="s">
        <v>712</v>
      </c>
      <c r="C1808" t="s">
        <v>5256</v>
      </c>
      <c r="D1808" t="s">
        <v>17175</v>
      </c>
      <c r="E1808" t="s">
        <v>18839</v>
      </c>
      <c r="F1808" t="s">
        <v>29372</v>
      </c>
      <c r="G1808" t="s">
        <v>29380</v>
      </c>
      <c r="H1808" t="s">
        <v>11048</v>
      </c>
      <c r="I1808" t="s">
        <v>10408</v>
      </c>
      <c r="J1808" t="s">
        <v>30826</v>
      </c>
      <c r="K1808" t="s">
        <v>38510</v>
      </c>
      <c r="M1808" t="s">
        <v>39491</v>
      </c>
      <c r="N1808" t="s">
        <v>42669</v>
      </c>
      <c r="O1808" t="s">
        <v>42670</v>
      </c>
      <c r="P1808">
        <v>0</v>
      </c>
      <c r="Q1808">
        <v>0</v>
      </c>
      <c r="R1808" t="s">
        <v>42674</v>
      </c>
      <c r="S1808" t="s">
        <v>42788</v>
      </c>
      <c r="T1808" t="s">
        <v>44470</v>
      </c>
      <c r="U1808" t="s">
        <v>46327</v>
      </c>
      <c r="V1808" t="s">
        <v>56538</v>
      </c>
      <c r="W1808" t="s">
        <v>39491</v>
      </c>
      <c r="X1808" t="s">
        <v>42676</v>
      </c>
    </row>
    <row r="1809" spans="1:24">
      <c r="A1809">
        <f>HYPERLINK("https://www.philgeps.gov.ph/GEPSNONPILOT/Tender/SplashBidNoticeAbstractUI.aspx?menuIndex=3&amp;refID=7190509&amp;Result=3","7190509")</f>
        <v>0</v>
      </c>
      <c r="B1809" t="s">
        <v>708</v>
      </c>
      <c r="C1809" t="s">
        <v>5257</v>
      </c>
      <c r="D1809" t="s">
        <v>17160</v>
      </c>
      <c r="E1809" t="s">
        <v>18840</v>
      </c>
      <c r="F1809" t="s">
        <v>29372</v>
      </c>
      <c r="G1809" t="s">
        <v>29379</v>
      </c>
      <c r="H1809" t="s">
        <v>11048</v>
      </c>
      <c r="I1809" t="s">
        <v>29407</v>
      </c>
      <c r="J1809" t="s">
        <v>29590</v>
      </c>
      <c r="K1809" t="s">
        <v>38488</v>
      </c>
      <c r="M1809" t="s">
        <v>39487</v>
      </c>
      <c r="N1809" t="s">
        <v>42669</v>
      </c>
      <c r="O1809" t="s">
        <v>42670</v>
      </c>
      <c r="P1809">
        <v>0</v>
      </c>
      <c r="Q1809">
        <v>3</v>
      </c>
      <c r="R1809" t="s">
        <v>42674</v>
      </c>
      <c r="S1809" t="s">
        <v>42788</v>
      </c>
      <c r="T1809" t="s">
        <v>44488</v>
      </c>
      <c r="U1809" t="s">
        <v>46322</v>
      </c>
      <c r="W1809" t="s">
        <v>39487</v>
      </c>
      <c r="X1809" t="s">
        <v>42676</v>
      </c>
    </row>
    <row r="1810" spans="1:24">
      <c r="A1810">
        <f>HYPERLINK("https://www.philgeps.gov.ph/GEPSNONPILOT/Tender/SplashBidNoticeAbstractUI.aspx?menuIndex=3&amp;refID=7190466&amp;Result=3","7190466")</f>
        <v>0</v>
      </c>
      <c r="B1810" t="s">
        <v>681</v>
      </c>
      <c r="C1810" t="s">
        <v>5258</v>
      </c>
      <c r="D1810" t="s">
        <v>17160</v>
      </c>
      <c r="E1810" t="s">
        <v>18841</v>
      </c>
      <c r="F1810" t="s">
        <v>29372</v>
      </c>
      <c r="G1810" t="s">
        <v>29380</v>
      </c>
      <c r="H1810" t="s">
        <v>29389</v>
      </c>
      <c r="I1810" t="s">
        <v>10408</v>
      </c>
      <c r="J1810" t="s">
        <v>30827</v>
      </c>
      <c r="K1810" t="s">
        <v>38490</v>
      </c>
      <c r="M1810" t="s">
        <v>39457</v>
      </c>
      <c r="N1810" t="s">
        <v>42669</v>
      </c>
      <c r="O1810" t="s">
        <v>42670</v>
      </c>
      <c r="P1810">
        <v>0</v>
      </c>
      <c r="Q1810">
        <v>1</v>
      </c>
      <c r="R1810" t="s">
        <v>42674</v>
      </c>
      <c r="S1810" t="s">
        <v>42788</v>
      </c>
      <c r="T1810" t="s">
        <v>44439</v>
      </c>
      <c r="U1810" t="s">
        <v>46328</v>
      </c>
      <c r="W1810" t="s">
        <v>39457</v>
      </c>
      <c r="X1810" t="s">
        <v>42676</v>
      </c>
    </row>
    <row r="1811" spans="1:24">
      <c r="A1811">
        <f>HYPERLINK("https://www.philgeps.gov.ph/GEPSNONPILOT/Tender/SplashBidNoticeAbstractUI.aspx?menuIndex=3&amp;refID=7190275&amp;Result=3","7190275")</f>
        <v>0</v>
      </c>
      <c r="B1811" t="s">
        <v>713</v>
      </c>
      <c r="C1811" t="s">
        <v>5259</v>
      </c>
      <c r="D1811" t="s">
        <v>17178</v>
      </c>
      <c r="E1811" t="s">
        <v>18842</v>
      </c>
      <c r="F1811" t="s">
        <v>29372</v>
      </c>
      <c r="G1811" t="s">
        <v>29380</v>
      </c>
      <c r="H1811" t="s">
        <v>11048</v>
      </c>
      <c r="I1811" t="s">
        <v>10408</v>
      </c>
      <c r="J1811" t="s">
        <v>30828</v>
      </c>
      <c r="K1811" t="s">
        <v>38485</v>
      </c>
      <c r="M1811" t="s">
        <v>39492</v>
      </c>
      <c r="N1811" t="s">
        <v>42669</v>
      </c>
      <c r="O1811" t="s">
        <v>42670</v>
      </c>
      <c r="P1811">
        <v>0</v>
      </c>
      <c r="Q1811">
        <v>0</v>
      </c>
      <c r="R1811" t="s">
        <v>42674</v>
      </c>
      <c r="S1811" t="s">
        <v>42788</v>
      </c>
      <c r="T1811" t="s">
        <v>44525</v>
      </c>
      <c r="U1811" t="s">
        <v>46329</v>
      </c>
      <c r="W1811" t="s">
        <v>39492</v>
      </c>
      <c r="X1811" t="s">
        <v>42676</v>
      </c>
    </row>
    <row r="1812" spans="1:24">
      <c r="A1812">
        <f>HYPERLINK("https://www.philgeps.gov.ph/GEPSNONPILOT/Tender/SplashBidNoticeAbstractUI.aspx?menuIndex=3&amp;refID=7190504&amp;Result=3","7190504")</f>
        <v>0</v>
      </c>
      <c r="B1812" t="s">
        <v>702</v>
      </c>
      <c r="C1812" t="s">
        <v>5260</v>
      </c>
      <c r="D1812" t="s">
        <v>17221</v>
      </c>
      <c r="E1812" t="s">
        <v>18843</v>
      </c>
      <c r="F1812" t="s">
        <v>29372</v>
      </c>
      <c r="G1812" t="s">
        <v>29380</v>
      </c>
      <c r="H1812" t="s">
        <v>11048</v>
      </c>
      <c r="I1812" t="s">
        <v>3670</v>
      </c>
      <c r="J1812" t="s">
        <v>30829</v>
      </c>
      <c r="K1812" t="s">
        <v>38491</v>
      </c>
      <c r="M1812" t="s">
        <v>39480</v>
      </c>
      <c r="N1812" t="s">
        <v>42669</v>
      </c>
      <c r="O1812" t="s">
        <v>42670</v>
      </c>
      <c r="Q1812">
        <v>0</v>
      </c>
      <c r="R1812" t="s">
        <v>42674</v>
      </c>
      <c r="S1812" t="s">
        <v>42793</v>
      </c>
      <c r="T1812" t="s">
        <v>44391</v>
      </c>
      <c r="U1812" t="s">
        <v>46330</v>
      </c>
      <c r="V1812" t="s">
        <v>56539</v>
      </c>
      <c r="W1812" t="s">
        <v>39480</v>
      </c>
      <c r="X1812" t="s">
        <v>42676</v>
      </c>
    </row>
    <row r="1813" spans="1:24">
      <c r="A1813">
        <f>HYPERLINK("https://www.philgeps.gov.ph/GEPSNONPILOT/Tender/SplashBidNoticeAbstractUI.aspx?menuIndex=3&amp;refID=7190512&amp;Result=3","7190512")</f>
        <v>0</v>
      </c>
      <c r="B1813" t="s">
        <v>572</v>
      </c>
      <c r="C1813" t="s">
        <v>5261</v>
      </c>
      <c r="D1813" t="s">
        <v>17165</v>
      </c>
      <c r="E1813" t="s">
        <v>18844</v>
      </c>
      <c r="F1813" t="s">
        <v>29372</v>
      </c>
      <c r="G1813" t="s">
        <v>29380</v>
      </c>
      <c r="H1813" t="s">
        <v>11048</v>
      </c>
      <c r="I1813" t="s">
        <v>29395</v>
      </c>
      <c r="J1813" t="s">
        <v>30830</v>
      </c>
      <c r="K1813" t="s">
        <v>38485</v>
      </c>
      <c r="M1813" t="s">
        <v>39341</v>
      </c>
      <c r="N1813" t="s">
        <v>42669</v>
      </c>
      <c r="O1813" t="s">
        <v>42670</v>
      </c>
      <c r="P1813">
        <v>0</v>
      </c>
      <c r="Q1813">
        <v>0</v>
      </c>
      <c r="R1813" t="s">
        <v>42674</v>
      </c>
      <c r="S1813" t="s">
        <v>42788</v>
      </c>
      <c r="T1813" t="s">
        <v>44375</v>
      </c>
      <c r="U1813" t="s">
        <v>46331</v>
      </c>
      <c r="W1813" t="s">
        <v>39341</v>
      </c>
      <c r="X1813" t="s">
        <v>42676</v>
      </c>
    </row>
    <row r="1814" spans="1:24">
      <c r="A1814">
        <f>HYPERLINK("https://www.philgeps.gov.ph/GEPSNONPILOT/Tender/SplashBidNoticeAbstractUI.aspx?menuIndex=3&amp;refID=7190549&amp;Result=3","7190549")</f>
        <v>0</v>
      </c>
      <c r="B1814" t="s">
        <v>712</v>
      </c>
      <c r="C1814" t="s">
        <v>5256</v>
      </c>
      <c r="D1814" t="s">
        <v>17175</v>
      </c>
      <c r="E1814" t="s">
        <v>18845</v>
      </c>
      <c r="F1814" t="s">
        <v>29372</v>
      </c>
      <c r="G1814" t="s">
        <v>29380</v>
      </c>
      <c r="H1814" t="s">
        <v>29391</v>
      </c>
      <c r="I1814" t="s">
        <v>10408</v>
      </c>
      <c r="J1814" t="s">
        <v>30831</v>
      </c>
      <c r="K1814" t="s">
        <v>38510</v>
      </c>
      <c r="M1814" t="s">
        <v>39491</v>
      </c>
      <c r="N1814" t="s">
        <v>42669</v>
      </c>
      <c r="O1814" t="s">
        <v>42670</v>
      </c>
      <c r="P1814">
        <v>0</v>
      </c>
      <c r="Q1814">
        <v>0</v>
      </c>
      <c r="R1814" t="s">
        <v>42674</v>
      </c>
      <c r="S1814" t="s">
        <v>42788</v>
      </c>
      <c r="T1814" t="s">
        <v>44470</v>
      </c>
      <c r="U1814" t="s">
        <v>46332</v>
      </c>
      <c r="V1814" t="s">
        <v>56538</v>
      </c>
      <c r="W1814" t="s">
        <v>39491</v>
      </c>
      <c r="X1814" t="s">
        <v>42676</v>
      </c>
    </row>
    <row r="1815" spans="1:24">
      <c r="A1815">
        <f>HYPERLINK("https://www.philgeps.gov.ph/GEPSNONPILOT/Tender/SplashBidNoticeAbstractUI.aspx?menuIndex=3&amp;refID=7190506&amp;Result=3","7190506")</f>
        <v>0</v>
      </c>
      <c r="B1815" t="s">
        <v>714</v>
      </c>
      <c r="C1815" t="s">
        <v>5262</v>
      </c>
      <c r="E1815" t="s">
        <v>5262</v>
      </c>
      <c r="F1815" t="s">
        <v>29372</v>
      </c>
      <c r="G1815" t="s">
        <v>29379</v>
      </c>
      <c r="H1815" t="s">
        <v>11048</v>
      </c>
      <c r="I1815" t="s">
        <v>4486</v>
      </c>
      <c r="J1815" t="s">
        <v>30832</v>
      </c>
      <c r="K1815" t="s">
        <v>38490</v>
      </c>
      <c r="M1815" t="s">
        <v>39493</v>
      </c>
      <c r="N1815" t="s">
        <v>42669</v>
      </c>
      <c r="O1815" t="s">
        <v>42670</v>
      </c>
      <c r="P1815">
        <v>0</v>
      </c>
      <c r="Q1815">
        <v>10</v>
      </c>
      <c r="R1815" t="s">
        <v>42674</v>
      </c>
      <c r="S1815" t="s">
        <v>42788</v>
      </c>
      <c r="T1815" t="s">
        <v>44512</v>
      </c>
      <c r="U1815" t="s">
        <v>46333</v>
      </c>
      <c r="V1815" t="s">
        <v>56540</v>
      </c>
      <c r="W1815" t="s">
        <v>58020</v>
      </c>
      <c r="X1815" t="s">
        <v>42676</v>
      </c>
    </row>
    <row r="1816" spans="1:24">
      <c r="A1816">
        <f>HYPERLINK("https://www.philgeps.gov.ph/GEPSNONPILOT/Tender/SplashBidNoticeAbstractUI.aspx?menuIndex=3&amp;refID=7190313&amp;Result=3","7190313")</f>
        <v>0</v>
      </c>
      <c r="B1816" t="s">
        <v>715</v>
      </c>
      <c r="C1816" t="s">
        <v>5263</v>
      </c>
      <c r="D1816" t="s">
        <v>17163</v>
      </c>
      <c r="E1816" t="s">
        <v>18846</v>
      </c>
      <c r="F1816" t="s">
        <v>29372</v>
      </c>
      <c r="G1816" t="s">
        <v>29383</v>
      </c>
      <c r="H1816" t="s">
        <v>11048</v>
      </c>
      <c r="I1816" t="s">
        <v>3839</v>
      </c>
      <c r="J1816" t="s">
        <v>30833</v>
      </c>
      <c r="K1816" t="s">
        <v>38532</v>
      </c>
      <c r="M1816" t="s">
        <v>39494</v>
      </c>
      <c r="N1816" t="s">
        <v>42669</v>
      </c>
      <c r="O1816" t="s">
        <v>42670</v>
      </c>
      <c r="P1816">
        <v>0</v>
      </c>
      <c r="Q1816">
        <v>2</v>
      </c>
      <c r="R1816" t="s">
        <v>42674</v>
      </c>
      <c r="S1816" t="s">
        <v>42788</v>
      </c>
      <c r="T1816" t="s">
        <v>44429</v>
      </c>
      <c r="U1816" t="s">
        <v>46334</v>
      </c>
      <c r="W1816" t="s">
        <v>39494</v>
      </c>
      <c r="X1816" t="s">
        <v>42676</v>
      </c>
    </row>
    <row r="1817" spans="1:24">
      <c r="A1817">
        <f>HYPERLINK("https://www.philgeps.gov.ph/GEPSNONPILOT/Tender/SplashBidNoticeAbstractUI.aspx?menuIndex=3&amp;refID=7190552&amp;Result=3","7190552")</f>
        <v>0</v>
      </c>
      <c r="B1817" t="s">
        <v>716</v>
      </c>
      <c r="C1817" t="s">
        <v>5264</v>
      </c>
      <c r="D1817" t="s">
        <v>17192</v>
      </c>
      <c r="E1817" t="s">
        <v>18847</v>
      </c>
      <c r="F1817" t="s">
        <v>29372</v>
      </c>
      <c r="G1817" t="s">
        <v>29382</v>
      </c>
      <c r="H1817" t="s">
        <v>11048</v>
      </c>
      <c r="I1817" t="s">
        <v>5383</v>
      </c>
      <c r="J1817" t="s">
        <v>30834</v>
      </c>
      <c r="K1817" t="s">
        <v>38490</v>
      </c>
      <c r="M1817" t="s">
        <v>39495</v>
      </c>
      <c r="N1817" t="s">
        <v>42669</v>
      </c>
      <c r="O1817" t="s">
        <v>42670</v>
      </c>
      <c r="P1817">
        <v>0</v>
      </c>
      <c r="Q1817">
        <v>3</v>
      </c>
      <c r="R1817" t="s">
        <v>42674</v>
      </c>
      <c r="S1817" t="s">
        <v>42788</v>
      </c>
      <c r="T1817" t="s">
        <v>44566</v>
      </c>
      <c r="U1817" t="s">
        <v>46335</v>
      </c>
      <c r="W1817" t="s">
        <v>39495</v>
      </c>
      <c r="X1817" t="s">
        <v>42676</v>
      </c>
    </row>
    <row r="1818" spans="1:24">
      <c r="A1818">
        <f>HYPERLINK("https://www.philgeps.gov.ph/GEPSNONPILOT/Tender/SplashBidNoticeAbstractUI.aspx?menuIndex=3&amp;refID=7190551&amp;Result=3","7190551")</f>
        <v>0</v>
      </c>
      <c r="B1818" t="s">
        <v>717</v>
      </c>
      <c r="C1818" t="s">
        <v>5265</v>
      </c>
      <c r="D1818" t="s">
        <v>17171</v>
      </c>
      <c r="E1818" t="s">
        <v>18848</v>
      </c>
      <c r="F1818" t="s">
        <v>29372</v>
      </c>
      <c r="G1818" t="s">
        <v>29379</v>
      </c>
      <c r="H1818" t="s">
        <v>11048</v>
      </c>
      <c r="I1818" t="s">
        <v>4709</v>
      </c>
      <c r="J1818" t="s">
        <v>30334</v>
      </c>
      <c r="K1818" t="s">
        <v>38490</v>
      </c>
      <c r="M1818" t="s">
        <v>39496</v>
      </c>
      <c r="N1818" t="s">
        <v>42669</v>
      </c>
      <c r="O1818" t="s">
        <v>42670</v>
      </c>
      <c r="P1818">
        <v>0</v>
      </c>
      <c r="Q1818">
        <v>0</v>
      </c>
      <c r="R1818" t="s">
        <v>42674</v>
      </c>
      <c r="S1818" t="s">
        <v>42788</v>
      </c>
      <c r="T1818" t="s">
        <v>44391</v>
      </c>
      <c r="U1818" t="s">
        <v>46336</v>
      </c>
      <c r="W1818" t="s">
        <v>39496</v>
      </c>
      <c r="X1818" t="s">
        <v>42676</v>
      </c>
    </row>
    <row r="1819" spans="1:24">
      <c r="A1819">
        <f>HYPERLINK("https://www.philgeps.gov.ph/GEPSNONPILOT/Tender/SplashBidNoticeAbstractUI.aspx?menuIndex=3&amp;refID=7190501&amp;Result=3","7190501")</f>
        <v>0</v>
      </c>
      <c r="B1819" t="s">
        <v>566</v>
      </c>
      <c r="C1819" t="s">
        <v>5266</v>
      </c>
      <c r="E1819" t="s">
        <v>18849</v>
      </c>
      <c r="F1819" t="s">
        <v>29372</v>
      </c>
      <c r="G1819" t="s">
        <v>29380</v>
      </c>
      <c r="H1819" t="s">
        <v>11048</v>
      </c>
      <c r="I1819" t="s">
        <v>29414</v>
      </c>
      <c r="J1819" t="s">
        <v>29728</v>
      </c>
      <c r="K1819" t="s">
        <v>38490</v>
      </c>
      <c r="M1819" t="s">
        <v>39476</v>
      </c>
      <c r="N1819" t="s">
        <v>42669</v>
      </c>
      <c r="O1819" t="s">
        <v>42670</v>
      </c>
      <c r="P1819">
        <v>0</v>
      </c>
      <c r="Q1819">
        <v>14</v>
      </c>
      <c r="R1819" t="s">
        <v>42674</v>
      </c>
      <c r="S1819" t="s">
        <v>42788</v>
      </c>
      <c r="T1819" t="s">
        <v>44536</v>
      </c>
      <c r="U1819" t="s">
        <v>46306</v>
      </c>
      <c r="W1819" t="s">
        <v>39476</v>
      </c>
      <c r="X1819" t="s">
        <v>42676</v>
      </c>
    </row>
    <row r="1820" spans="1:24">
      <c r="A1820">
        <f>HYPERLINK("https://www.philgeps.gov.ph/GEPSNONPILOT/Tender/SplashBidNoticeAbstractUI.aspx?menuIndex=3&amp;refID=7190546&amp;Result=3","7190546")</f>
        <v>0</v>
      </c>
      <c r="B1820" t="s">
        <v>692</v>
      </c>
      <c r="C1820" t="s">
        <v>5267</v>
      </c>
      <c r="D1820" t="s">
        <v>17160</v>
      </c>
      <c r="E1820" t="s">
        <v>17552</v>
      </c>
      <c r="F1820" t="s">
        <v>29372</v>
      </c>
      <c r="G1820" t="s">
        <v>29379</v>
      </c>
      <c r="H1820" t="s">
        <v>29391</v>
      </c>
      <c r="I1820" t="s">
        <v>29396</v>
      </c>
      <c r="J1820" t="s">
        <v>30835</v>
      </c>
      <c r="K1820" t="s">
        <v>38490</v>
      </c>
      <c r="M1820" t="s">
        <v>39468</v>
      </c>
      <c r="N1820" t="s">
        <v>42669</v>
      </c>
      <c r="O1820" t="s">
        <v>42670</v>
      </c>
      <c r="P1820">
        <v>0</v>
      </c>
      <c r="Q1820">
        <v>0</v>
      </c>
      <c r="R1820" t="s">
        <v>42674</v>
      </c>
      <c r="S1820" t="s">
        <v>42788</v>
      </c>
      <c r="T1820" t="s">
        <v>44488</v>
      </c>
      <c r="U1820" t="s">
        <v>46337</v>
      </c>
      <c r="W1820" t="s">
        <v>39468</v>
      </c>
      <c r="X1820" t="s">
        <v>42676</v>
      </c>
    </row>
    <row r="1821" spans="1:24">
      <c r="A1821">
        <f>HYPERLINK("https://www.philgeps.gov.ph/GEPSNONPILOT/Tender/SplashBidNoticeAbstractUI.aspx?menuIndex=3&amp;refID=7190543&amp;Result=3","7190543")</f>
        <v>0</v>
      </c>
      <c r="B1821" t="s">
        <v>708</v>
      </c>
      <c r="C1821" t="s">
        <v>5268</v>
      </c>
      <c r="D1821" t="s">
        <v>17160</v>
      </c>
      <c r="E1821" t="s">
        <v>18850</v>
      </c>
      <c r="F1821" t="s">
        <v>29372</v>
      </c>
      <c r="G1821" t="s">
        <v>29379</v>
      </c>
      <c r="H1821" t="s">
        <v>11048</v>
      </c>
      <c r="I1821" t="s">
        <v>5383</v>
      </c>
      <c r="J1821" t="s">
        <v>30412</v>
      </c>
      <c r="K1821" t="s">
        <v>38488</v>
      </c>
      <c r="M1821" t="s">
        <v>39487</v>
      </c>
      <c r="N1821" t="s">
        <v>42669</v>
      </c>
      <c r="O1821" t="s">
        <v>42670</v>
      </c>
      <c r="P1821">
        <v>0</v>
      </c>
      <c r="Q1821">
        <v>0</v>
      </c>
      <c r="R1821" t="s">
        <v>42674</v>
      </c>
      <c r="S1821" t="s">
        <v>42788</v>
      </c>
      <c r="T1821" t="s">
        <v>44488</v>
      </c>
      <c r="U1821" t="s">
        <v>46322</v>
      </c>
      <c r="W1821" t="s">
        <v>39487</v>
      </c>
      <c r="X1821" t="s">
        <v>42676</v>
      </c>
    </row>
    <row r="1822" spans="1:24">
      <c r="A1822">
        <f>HYPERLINK("https://www.philgeps.gov.ph/GEPSNONPILOT/Tender/SplashBidNoticeAbstractUI.aspx?menuIndex=3&amp;refID=7190550&amp;Result=3","7190550")</f>
        <v>0</v>
      </c>
      <c r="B1822" t="s">
        <v>130</v>
      </c>
      <c r="C1822" t="s">
        <v>5269</v>
      </c>
      <c r="D1822" t="s">
        <v>17185</v>
      </c>
      <c r="E1822" t="s">
        <v>18851</v>
      </c>
      <c r="F1822" t="s">
        <v>29372</v>
      </c>
      <c r="G1822" t="s">
        <v>29379</v>
      </c>
      <c r="H1822" t="s">
        <v>29390</v>
      </c>
      <c r="I1822" t="s">
        <v>3670</v>
      </c>
      <c r="J1822" t="s">
        <v>30836</v>
      </c>
      <c r="K1822" t="s">
        <v>38535</v>
      </c>
      <c r="M1822" t="s">
        <v>39497</v>
      </c>
      <c r="N1822" t="s">
        <v>42669</v>
      </c>
      <c r="O1822" t="s">
        <v>42670</v>
      </c>
      <c r="P1822">
        <v>0</v>
      </c>
      <c r="Q1822">
        <v>1</v>
      </c>
      <c r="R1822" t="s">
        <v>42674</v>
      </c>
      <c r="S1822" t="s">
        <v>42788</v>
      </c>
      <c r="T1822" t="s">
        <v>44427</v>
      </c>
      <c r="U1822" t="s">
        <v>46338</v>
      </c>
      <c r="W1822" t="s">
        <v>39497</v>
      </c>
      <c r="X1822" t="s">
        <v>42676</v>
      </c>
    </row>
    <row r="1823" spans="1:24">
      <c r="A1823">
        <f>HYPERLINK("https://www.philgeps.gov.ph/GEPSNONPILOT/Tender/SplashBidNoticeAbstractUI.aspx?menuIndex=3&amp;refID=7190539&amp;Result=3","7190539")</f>
        <v>0</v>
      </c>
      <c r="B1823" t="s">
        <v>718</v>
      </c>
      <c r="C1823" t="s">
        <v>5270</v>
      </c>
      <c r="D1823" t="s">
        <v>17171</v>
      </c>
      <c r="E1823" t="s">
        <v>18852</v>
      </c>
      <c r="F1823" t="s">
        <v>29372</v>
      </c>
      <c r="G1823" t="s">
        <v>29379</v>
      </c>
      <c r="H1823" t="s">
        <v>11048</v>
      </c>
      <c r="I1823" t="s">
        <v>29399</v>
      </c>
      <c r="J1823" t="s">
        <v>30837</v>
      </c>
      <c r="K1823" t="s">
        <v>38491</v>
      </c>
      <c r="M1823" t="s">
        <v>39498</v>
      </c>
      <c r="N1823" t="s">
        <v>42669</v>
      </c>
      <c r="O1823" t="s">
        <v>42670</v>
      </c>
      <c r="P1823">
        <v>0</v>
      </c>
      <c r="Q1823">
        <v>3</v>
      </c>
      <c r="R1823" t="s">
        <v>42674</v>
      </c>
      <c r="S1823" t="s">
        <v>42788</v>
      </c>
      <c r="T1823" t="s">
        <v>44430</v>
      </c>
      <c r="U1823" t="s">
        <v>46339</v>
      </c>
      <c r="W1823" t="s">
        <v>39498</v>
      </c>
      <c r="X1823" t="s">
        <v>42676</v>
      </c>
    </row>
    <row r="1824" spans="1:24">
      <c r="A1824">
        <f>HYPERLINK("https://www.philgeps.gov.ph/GEPSNONPILOT/Tender/SplashBidNoticeAbstractUI.aspx?menuIndex=3&amp;refID=7190537&amp;Result=3","7190537")</f>
        <v>0</v>
      </c>
      <c r="B1824" t="s">
        <v>719</v>
      </c>
      <c r="C1824" t="s">
        <v>5271</v>
      </c>
      <c r="D1824" t="s">
        <v>17170</v>
      </c>
      <c r="E1824" t="s">
        <v>18853</v>
      </c>
      <c r="F1824" t="s">
        <v>29372</v>
      </c>
      <c r="G1824" t="s">
        <v>29382</v>
      </c>
      <c r="H1824" t="s">
        <v>11048</v>
      </c>
      <c r="I1824" t="s">
        <v>5383</v>
      </c>
      <c r="J1824" t="s">
        <v>30838</v>
      </c>
      <c r="K1824" t="s">
        <v>38510</v>
      </c>
      <c r="M1824" t="s">
        <v>39499</v>
      </c>
      <c r="N1824" t="s">
        <v>42669</v>
      </c>
      <c r="O1824" t="s">
        <v>42670</v>
      </c>
      <c r="P1824">
        <v>0</v>
      </c>
      <c r="Q1824">
        <v>5</v>
      </c>
      <c r="R1824" t="s">
        <v>42674</v>
      </c>
      <c r="S1824" t="s">
        <v>42788</v>
      </c>
      <c r="T1824" t="s">
        <v>44456</v>
      </c>
      <c r="U1824" t="s">
        <v>46340</v>
      </c>
      <c r="W1824" t="s">
        <v>39499</v>
      </c>
      <c r="X1824" t="s">
        <v>42676</v>
      </c>
    </row>
    <row r="1825" spans="1:24">
      <c r="A1825">
        <f>HYPERLINK("https://www.philgeps.gov.ph/GEPSNONPILOT/Tender/SplashBidNoticeAbstractUI.aspx?menuIndex=3&amp;refID=7190536&amp;Result=3","7190536")</f>
        <v>0</v>
      </c>
      <c r="B1825" t="s">
        <v>708</v>
      </c>
      <c r="C1825" t="s">
        <v>5272</v>
      </c>
      <c r="D1825" t="s">
        <v>17160</v>
      </c>
      <c r="E1825" t="s">
        <v>18854</v>
      </c>
      <c r="F1825" t="s">
        <v>29372</v>
      </c>
      <c r="G1825" t="s">
        <v>29379</v>
      </c>
      <c r="H1825" t="s">
        <v>11048</v>
      </c>
      <c r="I1825" t="s">
        <v>5383</v>
      </c>
      <c r="J1825" t="s">
        <v>30412</v>
      </c>
      <c r="K1825" t="s">
        <v>38488</v>
      </c>
      <c r="M1825" t="s">
        <v>39487</v>
      </c>
      <c r="N1825" t="s">
        <v>42669</v>
      </c>
      <c r="O1825" t="s">
        <v>42670</v>
      </c>
      <c r="P1825">
        <v>0</v>
      </c>
      <c r="Q1825">
        <v>1</v>
      </c>
      <c r="R1825" t="s">
        <v>42674</v>
      </c>
      <c r="S1825" t="s">
        <v>42788</v>
      </c>
      <c r="T1825" t="s">
        <v>44488</v>
      </c>
      <c r="U1825" t="s">
        <v>46322</v>
      </c>
      <c r="W1825" t="s">
        <v>39487</v>
      </c>
      <c r="X1825" t="s">
        <v>42676</v>
      </c>
    </row>
    <row r="1826" spans="1:24">
      <c r="A1826">
        <f>HYPERLINK("https://www.philgeps.gov.ph/GEPSNONPILOT/Tender/SplashBidNoticeAbstractUI.aspx?menuIndex=3&amp;refID=7190540&amp;Result=3","7190540")</f>
        <v>0</v>
      </c>
      <c r="B1826" t="s">
        <v>720</v>
      </c>
      <c r="C1826" t="s">
        <v>5273</v>
      </c>
      <c r="D1826" t="s">
        <v>17144</v>
      </c>
      <c r="E1826" t="s">
        <v>18855</v>
      </c>
      <c r="F1826" t="s">
        <v>29372</v>
      </c>
      <c r="G1826" t="s">
        <v>29383</v>
      </c>
      <c r="H1826" t="s">
        <v>11048</v>
      </c>
      <c r="I1826" t="s">
        <v>4487</v>
      </c>
      <c r="J1826" t="s">
        <v>30032</v>
      </c>
      <c r="K1826" t="s">
        <v>38491</v>
      </c>
      <c r="M1826" t="s">
        <v>39500</v>
      </c>
      <c r="N1826" t="s">
        <v>42669</v>
      </c>
      <c r="O1826" t="s">
        <v>42670</v>
      </c>
      <c r="P1826">
        <v>0</v>
      </c>
      <c r="Q1826">
        <v>6</v>
      </c>
      <c r="R1826" t="s">
        <v>42674</v>
      </c>
      <c r="S1826" t="s">
        <v>42788</v>
      </c>
      <c r="T1826" t="s">
        <v>44429</v>
      </c>
      <c r="U1826" t="s">
        <v>46341</v>
      </c>
      <c r="W1826" t="s">
        <v>39500</v>
      </c>
      <c r="X1826" t="s">
        <v>42676</v>
      </c>
    </row>
    <row r="1827" spans="1:24">
      <c r="A1827">
        <f>HYPERLINK("https://www.philgeps.gov.ph/GEPSNONPILOT/Tender/SplashBidNoticeAbstractUI.aspx?menuIndex=3&amp;refID=7190532&amp;Result=3","7190532")</f>
        <v>0</v>
      </c>
      <c r="B1827" t="s">
        <v>721</v>
      </c>
      <c r="C1827" t="s">
        <v>5274</v>
      </c>
      <c r="E1827" t="s">
        <v>18856</v>
      </c>
      <c r="F1827" t="s">
        <v>29372</v>
      </c>
      <c r="G1827" t="s">
        <v>29382</v>
      </c>
      <c r="H1827" t="s">
        <v>11048</v>
      </c>
      <c r="I1827" t="s">
        <v>5383</v>
      </c>
      <c r="J1827" t="s">
        <v>30839</v>
      </c>
      <c r="K1827" t="s">
        <v>38490</v>
      </c>
      <c r="M1827" t="s">
        <v>39501</v>
      </c>
      <c r="N1827" t="s">
        <v>42669</v>
      </c>
      <c r="O1827" t="s">
        <v>42670</v>
      </c>
      <c r="P1827">
        <v>0</v>
      </c>
      <c r="Q1827">
        <v>6</v>
      </c>
      <c r="R1827" t="s">
        <v>42674</v>
      </c>
      <c r="S1827" t="s">
        <v>42788</v>
      </c>
      <c r="T1827" t="s">
        <v>44480</v>
      </c>
      <c r="U1827" t="s">
        <v>46342</v>
      </c>
      <c r="W1827" t="s">
        <v>39501</v>
      </c>
      <c r="X1827" t="s">
        <v>42676</v>
      </c>
    </row>
    <row r="1828" spans="1:24">
      <c r="A1828">
        <f>HYPERLINK("https://www.philgeps.gov.ph/GEPSNONPILOT/Tender/SplashBidNoticeAbstractUI.aspx?menuIndex=3&amp;refID=7190527&amp;Result=3","7190527")</f>
        <v>0</v>
      </c>
      <c r="B1828" t="s">
        <v>722</v>
      </c>
      <c r="C1828" t="s">
        <v>5275</v>
      </c>
      <c r="D1828" t="s">
        <v>17151</v>
      </c>
      <c r="E1828" t="s">
        <v>17347</v>
      </c>
      <c r="F1828" t="s">
        <v>29372</v>
      </c>
      <c r="G1828" t="s">
        <v>29380</v>
      </c>
      <c r="H1828" t="s">
        <v>11048</v>
      </c>
      <c r="I1828" t="s">
        <v>9469</v>
      </c>
      <c r="J1828" t="s">
        <v>29929</v>
      </c>
      <c r="K1828" t="s">
        <v>38490</v>
      </c>
      <c r="M1828" t="s">
        <v>39502</v>
      </c>
      <c r="N1828" t="s">
        <v>42669</v>
      </c>
      <c r="O1828" t="s">
        <v>42670</v>
      </c>
      <c r="P1828">
        <v>0</v>
      </c>
      <c r="Q1828">
        <v>0</v>
      </c>
      <c r="R1828" t="s">
        <v>42674</v>
      </c>
      <c r="S1828" t="s">
        <v>42788</v>
      </c>
      <c r="T1828" t="s">
        <v>44567</v>
      </c>
      <c r="U1828" t="s">
        <v>46343</v>
      </c>
      <c r="W1828" t="s">
        <v>39502</v>
      </c>
      <c r="X1828" t="s">
        <v>42676</v>
      </c>
    </row>
    <row r="1829" spans="1:24">
      <c r="A1829">
        <f>HYPERLINK("https://www.philgeps.gov.ph/GEPSNONPILOT/Tender/SplashBidNoticeAbstractUI.aspx?menuIndex=3&amp;refID=7190499&amp;Result=3","7190499")</f>
        <v>0</v>
      </c>
      <c r="B1829" t="s">
        <v>723</v>
      </c>
      <c r="C1829" t="s">
        <v>5276</v>
      </c>
      <c r="D1829" t="s">
        <v>17157</v>
      </c>
      <c r="E1829" t="s">
        <v>18857</v>
      </c>
      <c r="F1829" t="s">
        <v>29372</v>
      </c>
      <c r="G1829" t="s">
        <v>29380</v>
      </c>
      <c r="H1829" t="s">
        <v>29389</v>
      </c>
      <c r="I1829" t="s">
        <v>10408</v>
      </c>
      <c r="J1829" t="s">
        <v>30840</v>
      </c>
      <c r="K1829" t="s">
        <v>38533</v>
      </c>
      <c r="L1829" t="s">
        <v>723</v>
      </c>
      <c r="M1829" t="s">
        <v>39503</v>
      </c>
      <c r="N1829" t="s">
        <v>42669</v>
      </c>
      <c r="O1829" t="s">
        <v>42670</v>
      </c>
      <c r="P1829">
        <v>0</v>
      </c>
      <c r="Q1829">
        <v>1</v>
      </c>
      <c r="R1829" t="s">
        <v>42674</v>
      </c>
      <c r="S1829" t="s">
        <v>42788</v>
      </c>
      <c r="T1829" t="s">
        <v>44542</v>
      </c>
      <c r="U1829" t="s">
        <v>46344</v>
      </c>
      <c r="V1829" t="s">
        <v>56541</v>
      </c>
      <c r="W1829" t="s">
        <v>39503</v>
      </c>
      <c r="X1829" t="s">
        <v>42676</v>
      </c>
    </row>
    <row r="1830" spans="1:24">
      <c r="A1830">
        <f>HYPERLINK("https://www.philgeps.gov.ph/GEPSNONPILOT/Tender/SplashBidNoticeAbstractUI.aspx?menuIndex=3&amp;refID=7190525&amp;Result=3","7190525")</f>
        <v>0</v>
      </c>
      <c r="B1830" t="s">
        <v>702</v>
      </c>
      <c r="C1830" t="s">
        <v>5277</v>
      </c>
      <c r="D1830" t="s">
        <v>17221</v>
      </c>
      <c r="E1830" t="s">
        <v>18858</v>
      </c>
      <c r="F1830" t="s">
        <v>29372</v>
      </c>
      <c r="G1830" t="s">
        <v>29380</v>
      </c>
      <c r="H1830" t="s">
        <v>11048</v>
      </c>
      <c r="I1830" t="s">
        <v>29395</v>
      </c>
      <c r="J1830" t="s">
        <v>30841</v>
      </c>
      <c r="K1830" t="s">
        <v>38491</v>
      </c>
      <c r="M1830" t="s">
        <v>39480</v>
      </c>
      <c r="N1830" t="s">
        <v>42669</v>
      </c>
      <c r="O1830" t="s">
        <v>42670</v>
      </c>
      <c r="Q1830">
        <v>0</v>
      </c>
      <c r="R1830" t="s">
        <v>42674</v>
      </c>
      <c r="S1830" t="s">
        <v>42794</v>
      </c>
      <c r="T1830" t="s">
        <v>44391</v>
      </c>
      <c r="U1830" t="s">
        <v>46345</v>
      </c>
      <c r="V1830" t="s">
        <v>56542</v>
      </c>
      <c r="W1830" t="s">
        <v>39480</v>
      </c>
      <c r="X1830" t="s">
        <v>42676</v>
      </c>
    </row>
    <row r="1831" spans="1:24">
      <c r="A1831">
        <f>HYPERLINK("https://www.philgeps.gov.ph/GEPSNONPILOT/Tender/SplashBidNoticeAbstractUI.aspx?menuIndex=3&amp;refID=7190524&amp;Result=3","7190524")</f>
        <v>0</v>
      </c>
      <c r="B1831" t="s">
        <v>724</v>
      </c>
      <c r="C1831" t="s">
        <v>5278</v>
      </c>
      <c r="D1831" t="s">
        <v>17205</v>
      </c>
      <c r="E1831" t="s">
        <v>18859</v>
      </c>
      <c r="F1831" t="s">
        <v>29372</v>
      </c>
      <c r="G1831" t="s">
        <v>29380</v>
      </c>
      <c r="H1831" t="s">
        <v>11048</v>
      </c>
      <c r="I1831" t="s">
        <v>4709</v>
      </c>
      <c r="J1831" t="s">
        <v>30842</v>
      </c>
      <c r="K1831" t="s">
        <v>38491</v>
      </c>
      <c r="M1831" t="s">
        <v>39504</v>
      </c>
      <c r="N1831" t="s">
        <v>42669</v>
      </c>
      <c r="O1831" t="s">
        <v>42670</v>
      </c>
      <c r="P1831">
        <v>0</v>
      </c>
      <c r="Q1831">
        <v>0</v>
      </c>
      <c r="R1831" t="s">
        <v>42674</v>
      </c>
      <c r="S1831" t="s">
        <v>42788</v>
      </c>
      <c r="T1831" t="s">
        <v>44540</v>
      </c>
      <c r="U1831" t="s">
        <v>46346</v>
      </c>
      <c r="V1831" t="s">
        <v>56543</v>
      </c>
      <c r="W1831" t="s">
        <v>39504</v>
      </c>
      <c r="X1831" t="s">
        <v>42676</v>
      </c>
    </row>
    <row r="1832" spans="1:24">
      <c r="A1832">
        <f>HYPERLINK("https://www.philgeps.gov.ph/GEPSNONPILOT/Tender/SplashBidNoticeAbstractUI.aspx?menuIndex=3&amp;refID=7190523&amp;Result=3","7190523")</f>
        <v>0</v>
      </c>
      <c r="B1832" t="s">
        <v>717</v>
      </c>
      <c r="C1832" t="s">
        <v>5279</v>
      </c>
      <c r="D1832" t="s">
        <v>17171</v>
      </c>
      <c r="E1832" t="s">
        <v>18860</v>
      </c>
      <c r="F1832" t="s">
        <v>29372</v>
      </c>
      <c r="G1832" t="s">
        <v>29379</v>
      </c>
      <c r="H1832" t="s">
        <v>11048</v>
      </c>
      <c r="I1832" t="s">
        <v>4709</v>
      </c>
      <c r="J1832" t="s">
        <v>30843</v>
      </c>
      <c r="K1832" t="s">
        <v>38490</v>
      </c>
      <c r="M1832" t="s">
        <v>39496</v>
      </c>
      <c r="N1832" t="s">
        <v>42669</v>
      </c>
      <c r="O1832" t="s">
        <v>42670</v>
      </c>
      <c r="P1832">
        <v>0</v>
      </c>
      <c r="Q1832">
        <v>0</v>
      </c>
      <c r="R1832" t="s">
        <v>42674</v>
      </c>
      <c r="S1832" t="s">
        <v>42788</v>
      </c>
      <c r="T1832" t="s">
        <v>44568</v>
      </c>
      <c r="U1832" t="s">
        <v>46336</v>
      </c>
      <c r="W1832" t="s">
        <v>39496</v>
      </c>
      <c r="X1832" t="s">
        <v>42676</v>
      </c>
    </row>
    <row r="1833" spans="1:24">
      <c r="A1833">
        <f>HYPERLINK("https://www.philgeps.gov.ph/GEPSNONPILOT/Tender/SplashBidNoticeAbstractUI.aspx?menuIndex=3&amp;refID=7190522&amp;Result=3","7190522")</f>
        <v>0</v>
      </c>
      <c r="B1833" t="s">
        <v>725</v>
      </c>
      <c r="C1833" t="s">
        <v>5280</v>
      </c>
      <c r="D1833" t="s">
        <v>17166</v>
      </c>
      <c r="E1833" t="s">
        <v>18861</v>
      </c>
      <c r="F1833" t="s">
        <v>29372</v>
      </c>
      <c r="G1833" t="s">
        <v>29380</v>
      </c>
      <c r="H1833" t="s">
        <v>11048</v>
      </c>
      <c r="I1833" t="s">
        <v>3839</v>
      </c>
      <c r="J1833" t="s">
        <v>30844</v>
      </c>
      <c r="K1833" t="s">
        <v>38491</v>
      </c>
      <c r="M1833" t="s">
        <v>39505</v>
      </c>
      <c r="N1833" t="s">
        <v>42669</v>
      </c>
      <c r="O1833" t="s">
        <v>42670</v>
      </c>
      <c r="P1833">
        <v>0</v>
      </c>
      <c r="Q1833">
        <v>1</v>
      </c>
      <c r="R1833" t="s">
        <v>42674</v>
      </c>
      <c r="S1833" t="s">
        <v>42788</v>
      </c>
      <c r="T1833" t="s">
        <v>44569</v>
      </c>
      <c r="U1833" t="s">
        <v>46347</v>
      </c>
      <c r="W1833" t="s">
        <v>39505</v>
      </c>
      <c r="X1833" t="s">
        <v>42676</v>
      </c>
    </row>
    <row r="1834" spans="1:24">
      <c r="A1834">
        <f>HYPERLINK("https://www.philgeps.gov.ph/GEPSNONPILOT/Tender/SplashBidNoticeAbstractUI.aspx?menuIndex=3&amp;refID=7190402&amp;Result=3","7190402")</f>
        <v>0</v>
      </c>
      <c r="B1834" t="s">
        <v>726</v>
      </c>
      <c r="C1834" t="s">
        <v>5281</v>
      </c>
      <c r="D1834" t="s">
        <v>17203</v>
      </c>
      <c r="E1834" t="s">
        <v>18862</v>
      </c>
      <c r="F1834" t="s">
        <v>29372</v>
      </c>
      <c r="G1834" t="s">
        <v>29380</v>
      </c>
      <c r="H1834" t="s">
        <v>29389</v>
      </c>
      <c r="I1834" t="s">
        <v>10408</v>
      </c>
      <c r="J1834" t="s">
        <v>30845</v>
      </c>
      <c r="K1834" t="s">
        <v>38547</v>
      </c>
      <c r="M1834" t="s">
        <v>39506</v>
      </c>
      <c r="N1834" t="s">
        <v>42669</v>
      </c>
      <c r="O1834" t="s">
        <v>42670</v>
      </c>
      <c r="P1834">
        <v>0</v>
      </c>
      <c r="Q1834">
        <v>0</v>
      </c>
      <c r="R1834" t="s">
        <v>42674</v>
      </c>
      <c r="S1834" t="s">
        <v>42788</v>
      </c>
      <c r="T1834" t="s">
        <v>44358</v>
      </c>
      <c r="U1834" t="s">
        <v>46348</v>
      </c>
      <c r="V1834" t="s">
        <v>56544</v>
      </c>
      <c r="W1834" t="s">
        <v>39506</v>
      </c>
      <c r="X1834" t="s">
        <v>42676</v>
      </c>
    </row>
    <row r="1835" spans="1:24">
      <c r="A1835">
        <f>HYPERLINK("https://www.philgeps.gov.ph/GEPSNONPILOT/Tender/SplashBidNoticeAbstractUI.aspx?menuIndex=3&amp;refID=7190526&amp;Result=3","7190526")</f>
        <v>0</v>
      </c>
      <c r="B1835" t="s">
        <v>727</v>
      </c>
      <c r="C1835" t="s">
        <v>5282</v>
      </c>
      <c r="D1835" t="s">
        <v>17172</v>
      </c>
      <c r="E1835" t="s">
        <v>18863</v>
      </c>
      <c r="F1835" t="s">
        <v>29372</v>
      </c>
      <c r="G1835" t="s">
        <v>29379</v>
      </c>
      <c r="H1835" t="s">
        <v>11048</v>
      </c>
      <c r="I1835" t="s">
        <v>5383</v>
      </c>
      <c r="J1835" t="s">
        <v>29799</v>
      </c>
      <c r="K1835" t="s">
        <v>38485</v>
      </c>
      <c r="M1835" t="s">
        <v>39507</v>
      </c>
      <c r="N1835" t="s">
        <v>42669</v>
      </c>
      <c r="O1835" t="s">
        <v>42670</v>
      </c>
      <c r="P1835">
        <v>0</v>
      </c>
      <c r="Q1835">
        <v>4</v>
      </c>
      <c r="R1835" t="s">
        <v>42674</v>
      </c>
      <c r="S1835" t="s">
        <v>42788</v>
      </c>
      <c r="T1835" t="s">
        <v>44417</v>
      </c>
      <c r="U1835" t="s">
        <v>46349</v>
      </c>
      <c r="W1835" t="s">
        <v>39507</v>
      </c>
      <c r="X1835" t="s">
        <v>42676</v>
      </c>
    </row>
    <row r="1836" spans="1:24">
      <c r="A1836">
        <f>HYPERLINK("https://www.philgeps.gov.ph/GEPSNONPILOT/Tender/SplashBidNoticeAbstractUI.aspx?menuIndex=3&amp;refID=7190589&amp;Result=3","7190589")</f>
        <v>0</v>
      </c>
      <c r="B1836" t="s">
        <v>719</v>
      </c>
      <c r="C1836" t="s">
        <v>5283</v>
      </c>
      <c r="D1836" t="s">
        <v>17170</v>
      </c>
      <c r="E1836" t="s">
        <v>18864</v>
      </c>
      <c r="F1836" t="s">
        <v>29372</v>
      </c>
      <c r="G1836" t="s">
        <v>29383</v>
      </c>
      <c r="H1836" t="s">
        <v>11048</v>
      </c>
      <c r="I1836" t="s">
        <v>4486</v>
      </c>
      <c r="J1836" t="s">
        <v>30846</v>
      </c>
      <c r="K1836" t="s">
        <v>38518</v>
      </c>
      <c r="M1836" t="s">
        <v>39499</v>
      </c>
      <c r="N1836" t="s">
        <v>42669</v>
      </c>
      <c r="O1836" t="s">
        <v>42670</v>
      </c>
      <c r="P1836">
        <v>0</v>
      </c>
      <c r="Q1836">
        <v>5</v>
      </c>
      <c r="R1836" t="s">
        <v>42674</v>
      </c>
      <c r="S1836" t="s">
        <v>42788</v>
      </c>
      <c r="T1836" t="s">
        <v>44456</v>
      </c>
      <c r="U1836" t="s">
        <v>46350</v>
      </c>
      <c r="W1836" t="s">
        <v>39499</v>
      </c>
      <c r="X1836" t="s">
        <v>42676</v>
      </c>
    </row>
    <row r="1837" spans="1:24">
      <c r="A1837">
        <f>HYPERLINK("https://www.philgeps.gov.ph/GEPSNONPILOT/Tender/SplashBidNoticeAbstractUI.aspx?menuIndex=3&amp;refID=7190585&amp;Result=3","7190585")</f>
        <v>0</v>
      </c>
      <c r="B1837" t="s">
        <v>728</v>
      </c>
      <c r="C1837" t="s">
        <v>5284</v>
      </c>
      <c r="D1837" t="s">
        <v>17159</v>
      </c>
      <c r="E1837" t="s">
        <v>18865</v>
      </c>
      <c r="F1837" t="s">
        <v>29372</v>
      </c>
      <c r="G1837" t="s">
        <v>29380</v>
      </c>
      <c r="H1837" t="s">
        <v>29389</v>
      </c>
      <c r="I1837" t="s">
        <v>10408</v>
      </c>
      <c r="J1837" t="s">
        <v>30847</v>
      </c>
      <c r="K1837" t="s">
        <v>38564</v>
      </c>
      <c r="M1837" t="s">
        <v>39508</v>
      </c>
      <c r="N1837" t="s">
        <v>42669</v>
      </c>
      <c r="O1837" t="s">
        <v>42670</v>
      </c>
      <c r="P1837">
        <v>0</v>
      </c>
      <c r="Q1837">
        <v>1</v>
      </c>
      <c r="R1837" t="s">
        <v>42674</v>
      </c>
      <c r="S1837" t="s">
        <v>42788</v>
      </c>
      <c r="T1837" t="s">
        <v>44403</v>
      </c>
      <c r="U1837" t="s">
        <v>46351</v>
      </c>
      <c r="W1837" t="s">
        <v>39508</v>
      </c>
      <c r="X1837" t="s">
        <v>42676</v>
      </c>
    </row>
    <row r="1838" spans="1:24">
      <c r="A1838">
        <f>HYPERLINK("https://www.philgeps.gov.ph/GEPSNONPILOT/Tender/SplashBidNoticeAbstractUI.aspx?menuIndex=3&amp;refID=7190541&amp;Result=3","7190541")</f>
        <v>0</v>
      </c>
      <c r="B1838" t="s">
        <v>671</v>
      </c>
      <c r="C1838" t="s">
        <v>5285</v>
      </c>
      <c r="D1838" t="s">
        <v>17223</v>
      </c>
      <c r="E1838" t="s">
        <v>18866</v>
      </c>
      <c r="F1838" t="s">
        <v>29372</v>
      </c>
      <c r="G1838" t="s">
        <v>29379</v>
      </c>
      <c r="H1838" t="s">
        <v>11048</v>
      </c>
      <c r="I1838" t="s">
        <v>29437</v>
      </c>
      <c r="J1838" t="s">
        <v>29799</v>
      </c>
      <c r="K1838" t="s">
        <v>38490</v>
      </c>
      <c r="M1838" t="s">
        <v>39509</v>
      </c>
      <c r="N1838" t="s">
        <v>42669</v>
      </c>
      <c r="O1838" t="s">
        <v>42670</v>
      </c>
      <c r="P1838">
        <v>0</v>
      </c>
      <c r="Q1838">
        <v>1</v>
      </c>
      <c r="R1838" t="s">
        <v>42674</v>
      </c>
      <c r="S1838" t="s">
        <v>42788</v>
      </c>
      <c r="T1838" t="s">
        <v>44427</v>
      </c>
      <c r="U1838" t="s">
        <v>46352</v>
      </c>
      <c r="W1838" t="s">
        <v>39509</v>
      </c>
      <c r="X1838" t="s">
        <v>42676</v>
      </c>
    </row>
    <row r="1839" spans="1:24">
      <c r="A1839">
        <f>HYPERLINK("https://www.philgeps.gov.ph/GEPSNONPILOT/Tender/SplashBidNoticeAbstractUI.aspx?menuIndex=3&amp;refID=7190580&amp;Result=3","7190580")</f>
        <v>0</v>
      </c>
      <c r="B1839" t="s">
        <v>679</v>
      </c>
      <c r="C1839" t="s">
        <v>5286</v>
      </c>
      <c r="D1839" t="s">
        <v>17175</v>
      </c>
      <c r="E1839" t="s">
        <v>18867</v>
      </c>
      <c r="F1839" t="s">
        <v>29372</v>
      </c>
      <c r="G1839" t="s">
        <v>29380</v>
      </c>
      <c r="H1839" t="s">
        <v>11048</v>
      </c>
      <c r="I1839" t="s">
        <v>3839</v>
      </c>
      <c r="J1839" t="s">
        <v>29675</v>
      </c>
      <c r="K1839" t="s">
        <v>38510</v>
      </c>
      <c r="M1839" t="s">
        <v>39455</v>
      </c>
      <c r="N1839" t="s">
        <v>42669</v>
      </c>
      <c r="O1839" t="s">
        <v>42670</v>
      </c>
      <c r="P1839">
        <v>0</v>
      </c>
      <c r="Q1839">
        <v>0</v>
      </c>
      <c r="R1839" t="s">
        <v>42674</v>
      </c>
      <c r="S1839" t="s">
        <v>42788</v>
      </c>
      <c r="T1839" t="s">
        <v>44361</v>
      </c>
      <c r="U1839" t="s">
        <v>46353</v>
      </c>
      <c r="W1839" t="s">
        <v>39455</v>
      </c>
      <c r="X1839" t="s">
        <v>42676</v>
      </c>
    </row>
    <row r="1840" spans="1:24">
      <c r="A1840">
        <f>HYPERLINK("https://www.philgeps.gov.ph/GEPSNONPILOT/Tender/SplashBidNoticeAbstractUI.aspx?menuIndex=3&amp;refID=7190579&amp;Result=3","7190579")</f>
        <v>0</v>
      </c>
      <c r="B1840" t="s">
        <v>729</v>
      </c>
      <c r="C1840" t="s">
        <v>5287</v>
      </c>
      <c r="D1840" t="s">
        <v>17175</v>
      </c>
      <c r="E1840" t="s">
        <v>18868</v>
      </c>
      <c r="F1840" t="s">
        <v>29372</v>
      </c>
      <c r="G1840" t="s">
        <v>29383</v>
      </c>
      <c r="H1840" t="s">
        <v>11048</v>
      </c>
      <c r="I1840" t="s">
        <v>29398</v>
      </c>
      <c r="J1840" t="s">
        <v>30848</v>
      </c>
      <c r="K1840" t="s">
        <v>38485</v>
      </c>
      <c r="M1840" t="s">
        <v>39510</v>
      </c>
      <c r="N1840" t="s">
        <v>42669</v>
      </c>
      <c r="O1840" t="s">
        <v>42670</v>
      </c>
      <c r="P1840">
        <v>0</v>
      </c>
      <c r="Q1840">
        <v>9</v>
      </c>
      <c r="R1840" t="s">
        <v>42674</v>
      </c>
      <c r="S1840" t="s">
        <v>42788</v>
      </c>
      <c r="T1840" t="s">
        <v>44508</v>
      </c>
      <c r="U1840" t="s">
        <v>46354</v>
      </c>
      <c r="V1840" t="s">
        <v>56545</v>
      </c>
      <c r="W1840" t="s">
        <v>39510</v>
      </c>
      <c r="X1840" t="s">
        <v>42676</v>
      </c>
    </row>
    <row r="1841" spans="1:24">
      <c r="A1841">
        <f>HYPERLINK("https://www.philgeps.gov.ph/GEPSNONPILOT/Tender/SplashBidNoticeAbstractUI.aspx?menuIndex=3&amp;refID=7190577&amp;Result=3","7190577")</f>
        <v>0</v>
      </c>
      <c r="B1841" t="s">
        <v>706</v>
      </c>
      <c r="C1841" t="s">
        <v>5288</v>
      </c>
      <c r="D1841" t="s">
        <v>17168</v>
      </c>
      <c r="E1841" t="s">
        <v>18869</v>
      </c>
      <c r="F1841" t="s">
        <v>29372</v>
      </c>
      <c r="G1841" t="s">
        <v>29383</v>
      </c>
      <c r="H1841" t="s">
        <v>11048</v>
      </c>
      <c r="I1841" t="s">
        <v>9642</v>
      </c>
      <c r="J1841" t="s">
        <v>30710</v>
      </c>
      <c r="K1841" t="s">
        <v>38485</v>
      </c>
      <c r="M1841" t="s">
        <v>39484</v>
      </c>
      <c r="N1841" t="s">
        <v>42669</v>
      </c>
      <c r="O1841" t="s">
        <v>42670</v>
      </c>
      <c r="P1841">
        <v>0</v>
      </c>
      <c r="Q1841">
        <v>0</v>
      </c>
      <c r="R1841" t="s">
        <v>42674</v>
      </c>
      <c r="S1841" t="s">
        <v>42788</v>
      </c>
      <c r="T1841" t="s">
        <v>44468</v>
      </c>
      <c r="U1841" t="s">
        <v>46355</v>
      </c>
      <c r="W1841" t="s">
        <v>39484</v>
      </c>
      <c r="X1841" t="s">
        <v>42676</v>
      </c>
    </row>
    <row r="1842" spans="1:24">
      <c r="A1842">
        <f>HYPERLINK("https://www.philgeps.gov.ph/GEPSNONPILOT/Tender/SplashBidNoticeAbstractUI.aspx?menuIndex=3&amp;refID=7190572&amp;Result=3","7190572")</f>
        <v>0</v>
      </c>
      <c r="B1842" t="s">
        <v>681</v>
      </c>
      <c r="C1842" t="s">
        <v>5289</v>
      </c>
      <c r="D1842" t="s">
        <v>17160</v>
      </c>
      <c r="E1842" t="s">
        <v>18870</v>
      </c>
      <c r="F1842" t="s">
        <v>29372</v>
      </c>
      <c r="G1842" t="s">
        <v>29380</v>
      </c>
      <c r="H1842" t="s">
        <v>29389</v>
      </c>
      <c r="I1842" t="s">
        <v>10408</v>
      </c>
      <c r="J1842" t="s">
        <v>30849</v>
      </c>
      <c r="K1842" t="s">
        <v>38490</v>
      </c>
      <c r="M1842" t="s">
        <v>39457</v>
      </c>
      <c r="N1842" t="s">
        <v>42669</v>
      </c>
      <c r="O1842" t="s">
        <v>42670</v>
      </c>
      <c r="P1842">
        <v>0</v>
      </c>
      <c r="Q1842">
        <v>1</v>
      </c>
      <c r="R1842" t="s">
        <v>42674</v>
      </c>
      <c r="S1842" t="s">
        <v>42788</v>
      </c>
      <c r="T1842" t="s">
        <v>44439</v>
      </c>
      <c r="U1842" t="s">
        <v>46356</v>
      </c>
      <c r="W1842" t="s">
        <v>39457</v>
      </c>
      <c r="X1842" t="s">
        <v>42676</v>
      </c>
    </row>
    <row r="1843" spans="1:24">
      <c r="A1843">
        <f>HYPERLINK("https://www.philgeps.gov.ph/GEPSNONPILOT/Tender/SplashBidNoticeAbstractUI.aspx?menuIndex=3&amp;refID=7190570&amp;Result=3","7190570")</f>
        <v>0</v>
      </c>
      <c r="B1843" t="s">
        <v>654</v>
      </c>
      <c r="C1843" t="s">
        <v>5290</v>
      </c>
      <c r="D1843" t="s">
        <v>17170</v>
      </c>
      <c r="E1843" t="s">
        <v>18871</v>
      </c>
      <c r="F1843" t="s">
        <v>29372</v>
      </c>
      <c r="G1843" t="s">
        <v>29380</v>
      </c>
      <c r="H1843" t="s">
        <v>11048</v>
      </c>
      <c r="I1843" t="s">
        <v>4487</v>
      </c>
      <c r="J1843" t="s">
        <v>29729</v>
      </c>
      <c r="K1843" t="s">
        <v>38485</v>
      </c>
      <c r="M1843" t="s">
        <v>39428</v>
      </c>
      <c r="N1843" t="s">
        <v>42669</v>
      </c>
      <c r="O1843" t="s">
        <v>42670</v>
      </c>
      <c r="P1843">
        <v>0</v>
      </c>
      <c r="Q1843">
        <v>4</v>
      </c>
      <c r="R1843" t="s">
        <v>42674</v>
      </c>
      <c r="S1843" t="s">
        <v>42788</v>
      </c>
      <c r="T1843" t="s">
        <v>44439</v>
      </c>
      <c r="U1843" t="s">
        <v>46217</v>
      </c>
      <c r="V1843" t="s">
        <v>56527</v>
      </c>
      <c r="W1843" t="s">
        <v>39428</v>
      </c>
      <c r="X1843" t="s">
        <v>42676</v>
      </c>
    </row>
    <row r="1844" spans="1:24">
      <c r="A1844">
        <f>HYPERLINK("https://www.philgeps.gov.ph/GEPSNONPILOT/Tender/SplashBidNoticeAbstractUI.aspx?menuIndex=3&amp;refID=7190568&amp;Result=3","7190568")</f>
        <v>0</v>
      </c>
      <c r="B1844" t="s">
        <v>730</v>
      </c>
      <c r="C1844" t="s">
        <v>5291</v>
      </c>
      <c r="D1844" t="s">
        <v>17197</v>
      </c>
      <c r="E1844" t="s">
        <v>18872</v>
      </c>
      <c r="F1844" t="s">
        <v>29372</v>
      </c>
      <c r="G1844" t="s">
        <v>29383</v>
      </c>
      <c r="H1844" t="s">
        <v>11048</v>
      </c>
      <c r="I1844" t="s">
        <v>4487</v>
      </c>
      <c r="J1844" t="s">
        <v>30850</v>
      </c>
      <c r="K1844" t="s">
        <v>38488</v>
      </c>
      <c r="M1844" t="s">
        <v>39511</v>
      </c>
      <c r="N1844" t="s">
        <v>42669</v>
      </c>
      <c r="O1844" t="s">
        <v>42670</v>
      </c>
      <c r="P1844">
        <v>0</v>
      </c>
      <c r="Q1844">
        <v>0</v>
      </c>
      <c r="R1844" t="s">
        <v>42674</v>
      </c>
      <c r="S1844" t="s">
        <v>42788</v>
      </c>
      <c r="T1844" t="s">
        <v>44387</v>
      </c>
      <c r="U1844" t="s">
        <v>46357</v>
      </c>
      <c r="W1844" t="s">
        <v>39511</v>
      </c>
      <c r="X1844" t="s">
        <v>42676</v>
      </c>
    </row>
    <row r="1845" spans="1:24">
      <c r="A1845">
        <f>HYPERLINK("https://www.philgeps.gov.ph/GEPSNONPILOT/Tender/SplashBidNoticeAbstractUI.aspx?menuIndex=3&amp;refID=7190567&amp;Result=3","7190567")</f>
        <v>0</v>
      </c>
      <c r="B1845" t="s">
        <v>731</v>
      </c>
      <c r="C1845" t="s">
        <v>5292</v>
      </c>
      <c r="D1845" t="s">
        <v>17141</v>
      </c>
      <c r="E1845" t="s">
        <v>18873</v>
      </c>
      <c r="F1845" t="s">
        <v>29372</v>
      </c>
      <c r="G1845" t="s">
        <v>29379</v>
      </c>
      <c r="H1845" t="s">
        <v>11048</v>
      </c>
      <c r="I1845" t="s">
        <v>29455</v>
      </c>
      <c r="J1845" t="s">
        <v>29736</v>
      </c>
      <c r="K1845" t="s">
        <v>38485</v>
      </c>
      <c r="M1845" t="s">
        <v>39512</v>
      </c>
      <c r="N1845" t="s">
        <v>42669</v>
      </c>
      <c r="O1845" t="s">
        <v>42670</v>
      </c>
      <c r="P1845">
        <v>0</v>
      </c>
      <c r="Q1845">
        <v>7</v>
      </c>
      <c r="R1845" t="s">
        <v>42674</v>
      </c>
      <c r="S1845" t="s">
        <v>42788</v>
      </c>
      <c r="T1845" t="s">
        <v>44481</v>
      </c>
      <c r="U1845" t="s">
        <v>46358</v>
      </c>
      <c r="W1845" t="s">
        <v>39512</v>
      </c>
      <c r="X1845" t="s">
        <v>42676</v>
      </c>
    </row>
    <row r="1846" spans="1:24">
      <c r="A1846">
        <f>HYPERLINK("https://www.philgeps.gov.ph/GEPSNONPILOT/Tender/SplashBidNoticeAbstractUI.aspx?menuIndex=3&amp;refID=7190564&amp;Result=3","7190564")</f>
        <v>0</v>
      </c>
      <c r="B1846" t="s">
        <v>732</v>
      </c>
      <c r="C1846" t="s">
        <v>5293</v>
      </c>
      <c r="D1846" t="s">
        <v>17162</v>
      </c>
      <c r="E1846" t="s">
        <v>18874</v>
      </c>
      <c r="F1846" t="s">
        <v>29372</v>
      </c>
      <c r="G1846" t="s">
        <v>29382</v>
      </c>
      <c r="H1846" t="s">
        <v>11048</v>
      </c>
      <c r="I1846" t="s">
        <v>5383</v>
      </c>
      <c r="J1846" t="s">
        <v>29685</v>
      </c>
      <c r="K1846" t="s">
        <v>38510</v>
      </c>
      <c r="M1846" t="s">
        <v>39513</v>
      </c>
      <c r="N1846" t="s">
        <v>42669</v>
      </c>
      <c r="O1846" t="s">
        <v>42670</v>
      </c>
      <c r="P1846">
        <v>0</v>
      </c>
      <c r="Q1846">
        <v>1</v>
      </c>
      <c r="R1846" t="s">
        <v>42674</v>
      </c>
      <c r="S1846" t="s">
        <v>42788</v>
      </c>
      <c r="T1846" t="s">
        <v>44394</v>
      </c>
      <c r="U1846" t="s">
        <v>46359</v>
      </c>
      <c r="W1846" t="s">
        <v>39513</v>
      </c>
      <c r="X1846" t="s">
        <v>42676</v>
      </c>
    </row>
    <row r="1847" spans="1:24">
      <c r="A1847">
        <f>HYPERLINK("https://www.philgeps.gov.ph/GEPSNONPILOT/Tender/SplashBidNoticeAbstractUI.aspx?menuIndex=3&amp;refID=7190588&amp;Result=3","7190588")</f>
        <v>0</v>
      </c>
      <c r="B1847" t="s">
        <v>733</v>
      </c>
      <c r="C1847" t="s">
        <v>5294</v>
      </c>
      <c r="D1847" t="s">
        <v>17156</v>
      </c>
      <c r="E1847" t="s">
        <v>18875</v>
      </c>
      <c r="F1847" t="s">
        <v>29372</v>
      </c>
      <c r="G1847" t="s">
        <v>29383</v>
      </c>
      <c r="H1847" t="s">
        <v>11048</v>
      </c>
      <c r="I1847" t="s">
        <v>4486</v>
      </c>
      <c r="J1847" t="s">
        <v>30851</v>
      </c>
      <c r="K1847" t="s">
        <v>38485</v>
      </c>
      <c r="M1847" t="s">
        <v>39514</v>
      </c>
      <c r="N1847" t="s">
        <v>42669</v>
      </c>
      <c r="O1847" t="s">
        <v>42670</v>
      </c>
      <c r="P1847">
        <v>0</v>
      </c>
      <c r="Q1847">
        <v>0</v>
      </c>
      <c r="R1847" t="s">
        <v>42674</v>
      </c>
      <c r="S1847" t="s">
        <v>42788</v>
      </c>
      <c r="T1847" t="s">
        <v>44488</v>
      </c>
      <c r="U1847" t="s">
        <v>46360</v>
      </c>
      <c r="V1847" t="s">
        <v>56546</v>
      </c>
      <c r="W1847" t="s">
        <v>58021</v>
      </c>
      <c r="X1847" t="s">
        <v>42676</v>
      </c>
    </row>
    <row r="1848" spans="1:24">
      <c r="A1848">
        <f>HYPERLINK("https://www.philgeps.gov.ph/GEPSNONPILOT/Tender/SplashBidNoticeAbstractUI.aspx?menuIndex=3&amp;refID=7190565&amp;Result=3","7190565")</f>
        <v>0</v>
      </c>
      <c r="B1848" t="s">
        <v>660</v>
      </c>
      <c r="C1848" t="s">
        <v>5295</v>
      </c>
      <c r="D1848" t="s">
        <v>17199</v>
      </c>
      <c r="E1848" t="s">
        <v>5295</v>
      </c>
      <c r="F1848" t="s">
        <v>29372</v>
      </c>
      <c r="G1848" t="s">
        <v>29379</v>
      </c>
      <c r="H1848" t="s">
        <v>11048</v>
      </c>
      <c r="I1848" t="s">
        <v>4709</v>
      </c>
      <c r="J1848" t="s">
        <v>29985</v>
      </c>
      <c r="K1848" t="s">
        <v>38490</v>
      </c>
      <c r="M1848" t="s">
        <v>39436</v>
      </c>
      <c r="N1848" t="s">
        <v>42669</v>
      </c>
      <c r="O1848" t="s">
        <v>42670</v>
      </c>
      <c r="P1848">
        <v>0</v>
      </c>
      <c r="Q1848">
        <v>0</v>
      </c>
      <c r="R1848" t="s">
        <v>42674</v>
      </c>
      <c r="S1848" t="s">
        <v>42788</v>
      </c>
      <c r="T1848" t="s">
        <v>44496</v>
      </c>
      <c r="U1848" t="s">
        <v>46361</v>
      </c>
      <c r="W1848" t="s">
        <v>39436</v>
      </c>
      <c r="X1848" t="s">
        <v>42676</v>
      </c>
    </row>
    <row r="1849" spans="1:24">
      <c r="A1849">
        <f>HYPERLINK("https://www.philgeps.gov.ph/GEPSNONPILOT/Tender/SplashBidNoticeAbstractUI.aspx?menuIndex=3&amp;refID=7190561&amp;Result=3","7190561")</f>
        <v>0</v>
      </c>
      <c r="B1849" t="s">
        <v>149</v>
      </c>
      <c r="C1849" t="s">
        <v>5296</v>
      </c>
      <c r="D1849" t="s">
        <v>17190</v>
      </c>
      <c r="E1849" t="s">
        <v>17541</v>
      </c>
      <c r="F1849" t="s">
        <v>29372</v>
      </c>
      <c r="G1849" t="s">
        <v>29383</v>
      </c>
      <c r="H1849" t="s">
        <v>11048</v>
      </c>
      <c r="I1849" t="s">
        <v>3695</v>
      </c>
      <c r="J1849" t="s">
        <v>30852</v>
      </c>
      <c r="K1849" t="s">
        <v>38490</v>
      </c>
      <c r="M1849" t="s">
        <v>38904</v>
      </c>
      <c r="N1849" t="s">
        <v>42669</v>
      </c>
      <c r="O1849" t="s">
        <v>42670</v>
      </c>
      <c r="P1849">
        <v>0</v>
      </c>
      <c r="Q1849">
        <v>1</v>
      </c>
      <c r="R1849" t="s">
        <v>42674</v>
      </c>
      <c r="S1849" t="s">
        <v>42788</v>
      </c>
      <c r="T1849" t="s">
        <v>44432</v>
      </c>
      <c r="U1849" t="s">
        <v>46362</v>
      </c>
      <c r="V1849" t="s">
        <v>56547</v>
      </c>
      <c r="W1849" t="s">
        <v>38904</v>
      </c>
      <c r="X1849" t="s">
        <v>42676</v>
      </c>
    </row>
    <row r="1850" spans="1:24">
      <c r="A1850">
        <f>HYPERLINK("https://www.philgeps.gov.ph/GEPSNONPILOT/Tender/SplashBidNoticeAbstractUI.aspx?menuIndex=3&amp;refID=7190559&amp;Result=3","7190559")</f>
        <v>0</v>
      </c>
      <c r="B1850" t="s">
        <v>720</v>
      </c>
      <c r="C1850" t="s">
        <v>5297</v>
      </c>
      <c r="D1850" t="s">
        <v>17144</v>
      </c>
      <c r="E1850" t="s">
        <v>18876</v>
      </c>
      <c r="F1850" t="s">
        <v>29372</v>
      </c>
      <c r="G1850" t="s">
        <v>29383</v>
      </c>
      <c r="H1850" t="s">
        <v>11048</v>
      </c>
      <c r="I1850" t="s">
        <v>29432</v>
      </c>
      <c r="J1850" t="s">
        <v>30194</v>
      </c>
      <c r="K1850" t="s">
        <v>38491</v>
      </c>
      <c r="M1850" t="s">
        <v>39500</v>
      </c>
      <c r="N1850" t="s">
        <v>42669</v>
      </c>
      <c r="O1850" t="s">
        <v>42670</v>
      </c>
      <c r="P1850">
        <v>0</v>
      </c>
      <c r="Q1850">
        <v>0</v>
      </c>
      <c r="R1850" t="s">
        <v>42674</v>
      </c>
      <c r="S1850" t="s">
        <v>42788</v>
      </c>
      <c r="T1850" t="s">
        <v>44429</v>
      </c>
      <c r="U1850" t="s">
        <v>46363</v>
      </c>
      <c r="W1850" t="s">
        <v>39500</v>
      </c>
      <c r="X1850" t="s">
        <v>42676</v>
      </c>
    </row>
    <row r="1851" spans="1:24">
      <c r="A1851">
        <f>HYPERLINK("https://www.philgeps.gov.ph/GEPSNONPILOT/Tender/SplashBidNoticeAbstractUI.aspx?menuIndex=3&amp;refID=7190558&amp;Result=3","7190558")</f>
        <v>0</v>
      </c>
      <c r="B1851" t="s">
        <v>734</v>
      </c>
      <c r="C1851" t="s">
        <v>5298</v>
      </c>
      <c r="D1851" t="s">
        <v>17177</v>
      </c>
      <c r="E1851" t="s">
        <v>18877</v>
      </c>
      <c r="F1851" t="s">
        <v>29372</v>
      </c>
      <c r="G1851" t="s">
        <v>29379</v>
      </c>
      <c r="H1851" t="s">
        <v>11048</v>
      </c>
      <c r="I1851" t="s">
        <v>5383</v>
      </c>
      <c r="J1851" t="s">
        <v>30853</v>
      </c>
      <c r="K1851" t="s">
        <v>38485</v>
      </c>
      <c r="M1851" t="s">
        <v>39515</v>
      </c>
      <c r="N1851" t="s">
        <v>42669</v>
      </c>
      <c r="O1851" t="s">
        <v>42670</v>
      </c>
      <c r="P1851">
        <v>0</v>
      </c>
      <c r="Q1851">
        <v>1</v>
      </c>
      <c r="R1851" t="s">
        <v>42674</v>
      </c>
      <c r="S1851" t="s">
        <v>42788</v>
      </c>
      <c r="T1851" t="s">
        <v>44470</v>
      </c>
      <c r="U1851" t="s">
        <v>46364</v>
      </c>
      <c r="W1851" t="s">
        <v>39515</v>
      </c>
      <c r="X1851" t="s">
        <v>42676</v>
      </c>
    </row>
    <row r="1852" spans="1:24">
      <c r="A1852">
        <f>HYPERLINK("https://www.philgeps.gov.ph/GEPSNONPILOT/Tender/SplashBidNoticeAbstractUI.aspx?menuIndex=3&amp;refID=7190562&amp;Result=3","7190562")</f>
        <v>0</v>
      </c>
      <c r="B1852" t="s">
        <v>727</v>
      </c>
      <c r="C1852" t="s">
        <v>5299</v>
      </c>
      <c r="D1852" t="s">
        <v>17172</v>
      </c>
      <c r="E1852" t="s">
        <v>18878</v>
      </c>
      <c r="F1852" t="s">
        <v>29372</v>
      </c>
      <c r="G1852" t="s">
        <v>29379</v>
      </c>
      <c r="H1852" t="s">
        <v>11048</v>
      </c>
      <c r="I1852" t="s">
        <v>5383</v>
      </c>
      <c r="J1852" t="s">
        <v>30854</v>
      </c>
      <c r="K1852" t="s">
        <v>38485</v>
      </c>
      <c r="M1852" t="s">
        <v>39507</v>
      </c>
      <c r="N1852" t="s">
        <v>42669</v>
      </c>
      <c r="O1852" t="s">
        <v>42670</v>
      </c>
      <c r="P1852">
        <v>0</v>
      </c>
      <c r="Q1852">
        <v>4</v>
      </c>
      <c r="R1852" t="s">
        <v>42674</v>
      </c>
      <c r="S1852" t="s">
        <v>42788</v>
      </c>
      <c r="T1852" t="s">
        <v>44417</v>
      </c>
      <c r="U1852" t="s">
        <v>46365</v>
      </c>
      <c r="W1852" t="s">
        <v>39507</v>
      </c>
      <c r="X1852" t="s">
        <v>42676</v>
      </c>
    </row>
    <row r="1853" spans="1:24">
      <c r="A1853">
        <f>HYPERLINK("https://www.philgeps.gov.ph/GEPSNONPILOT/Tender/SplashBidNoticeAbstractUI.aspx?menuIndex=3&amp;refID=7190557&amp;Result=3","7190557")</f>
        <v>0</v>
      </c>
      <c r="B1853" t="s">
        <v>679</v>
      </c>
      <c r="C1853" t="s">
        <v>5300</v>
      </c>
      <c r="D1853" t="s">
        <v>17175</v>
      </c>
      <c r="E1853" t="s">
        <v>18879</v>
      </c>
      <c r="F1853" t="s">
        <v>29372</v>
      </c>
      <c r="G1853" t="s">
        <v>29380</v>
      </c>
      <c r="H1853" t="s">
        <v>11048</v>
      </c>
      <c r="I1853" t="s">
        <v>3839</v>
      </c>
      <c r="J1853" t="s">
        <v>30855</v>
      </c>
      <c r="K1853" t="s">
        <v>38510</v>
      </c>
      <c r="M1853" t="s">
        <v>39455</v>
      </c>
      <c r="N1853" t="s">
        <v>42669</v>
      </c>
      <c r="O1853" t="s">
        <v>42670</v>
      </c>
      <c r="P1853">
        <v>0</v>
      </c>
      <c r="Q1853">
        <v>0</v>
      </c>
      <c r="R1853" t="s">
        <v>42674</v>
      </c>
      <c r="S1853" t="s">
        <v>42788</v>
      </c>
      <c r="T1853" t="s">
        <v>44361</v>
      </c>
      <c r="U1853" t="s">
        <v>46366</v>
      </c>
      <c r="W1853" t="s">
        <v>39455</v>
      </c>
      <c r="X1853" t="s">
        <v>42676</v>
      </c>
    </row>
    <row r="1854" spans="1:24">
      <c r="A1854">
        <f>HYPERLINK("https://www.philgeps.gov.ph/GEPSNONPILOT/Tender/SplashBidNoticeAbstractUI.aspx?menuIndex=3&amp;refID=7190554&amp;Result=3","7190554")</f>
        <v>0</v>
      </c>
      <c r="B1854" t="s">
        <v>708</v>
      </c>
      <c r="C1854" t="s">
        <v>5301</v>
      </c>
      <c r="D1854" t="s">
        <v>17160</v>
      </c>
      <c r="E1854" t="s">
        <v>18880</v>
      </c>
      <c r="F1854" t="s">
        <v>29372</v>
      </c>
      <c r="G1854" t="s">
        <v>29379</v>
      </c>
      <c r="H1854" t="s">
        <v>29390</v>
      </c>
      <c r="I1854" t="s">
        <v>29476</v>
      </c>
      <c r="J1854" t="s">
        <v>29587</v>
      </c>
      <c r="K1854" t="s">
        <v>38488</v>
      </c>
      <c r="M1854" t="s">
        <v>39487</v>
      </c>
      <c r="N1854" t="s">
        <v>42669</v>
      </c>
      <c r="O1854" t="s">
        <v>42670</v>
      </c>
      <c r="P1854">
        <v>0</v>
      </c>
      <c r="Q1854">
        <v>3</v>
      </c>
      <c r="R1854" t="s">
        <v>42674</v>
      </c>
      <c r="S1854" t="s">
        <v>42788</v>
      </c>
      <c r="T1854" t="s">
        <v>44488</v>
      </c>
      <c r="U1854" t="s">
        <v>46322</v>
      </c>
      <c r="W1854" t="s">
        <v>39487</v>
      </c>
      <c r="X1854" t="s">
        <v>42676</v>
      </c>
    </row>
    <row r="1855" spans="1:24">
      <c r="A1855">
        <f>HYPERLINK("https://www.philgeps.gov.ph/GEPSNONPILOT/Tender/SplashBidNoticeAbstractUI.aspx?menuIndex=3&amp;refID=7190494&amp;Result=3","7190494")</f>
        <v>0</v>
      </c>
      <c r="B1855" t="s">
        <v>555</v>
      </c>
      <c r="C1855" t="s">
        <v>5302</v>
      </c>
      <c r="D1855" t="s">
        <v>17151</v>
      </c>
      <c r="E1855" t="s">
        <v>18881</v>
      </c>
      <c r="F1855" t="s">
        <v>29372</v>
      </c>
      <c r="G1855" t="s">
        <v>29380</v>
      </c>
      <c r="H1855" t="s">
        <v>11048</v>
      </c>
      <c r="I1855" t="s">
        <v>4709</v>
      </c>
      <c r="J1855" t="s">
        <v>30856</v>
      </c>
      <c r="K1855" t="s">
        <v>38485</v>
      </c>
      <c r="M1855" t="s">
        <v>39324</v>
      </c>
      <c r="N1855" t="s">
        <v>42669</v>
      </c>
      <c r="O1855" t="s">
        <v>42670</v>
      </c>
      <c r="P1855">
        <v>0</v>
      </c>
      <c r="Q1855">
        <v>0</v>
      </c>
      <c r="R1855" t="s">
        <v>42674</v>
      </c>
      <c r="S1855" t="s">
        <v>42788</v>
      </c>
      <c r="T1855" t="s">
        <v>44396</v>
      </c>
      <c r="U1855" t="s">
        <v>46367</v>
      </c>
      <c r="V1855" t="s">
        <v>56499</v>
      </c>
      <c r="W1855" t="s">
        <v>39324</v>
      </c>
      <c r="X1855" t="s">
        <v>42676</v>
      </c>
    </row>
    <row r="1856" spans="1:24">
      <c r="A1856">
        <f>HYPERLINK("https://www.philgeps.gov.ph/GEPSNONPILOT/Tender/SplashBidNoticeAbstractUI.aspx?menuIndex=3&amp;refID=7190493&amp;Result=3","7190493")</f>
        <v>0</v>
      </c>
      <c r="B1856" t="s">
        <v>735</v>
      </c>
      <c r="C1856" t="s">
        <v>5303</v>
      </c>
      <c r="D1856" t="s">
        <v>17197</v>
      </c>
      <c r="E1856" t="s">
        <v>18425</v>
      </c>
      <c r="F1856" t="s">
        <v>29372</v>
      </c>
      <c r="G1856" t="s">
        <v>29383</v>
      </c>
      <c r="H1856" t="s">
        <v>11048</v>
      </c>
      <c r="I1856" t="s">
        <v>5383</v>
      </c>
      <c r="J1856" t="s">
        <v>30140</v>
      </c>
      <c r="K1856" t="s">
        <v>38488</v>
      </c>
      <c r="M1856" t="s">
        <v>39516</v>
      </c>
      <c r="N1856" t="s">
        <v>42669</v>
      </c>
      <c r="O1856" t="s">
        <v>42670</v>
      </c>
      <c r="P1856">
        <v>0</v>
      </c>
      <c r="Q1856">
        <v>0</v>
      </c>
      <c r="R1856" t="s">
        <v>42674</v>
      </c>
      <c r="S1856" t="s">
        <v>42788</v>
      </c>
      <c r="T1856" t="s">
        <v>44470</v>
      </c>
      <c r="U1856" t="s">
        <v>46368</v>
      </c>
      <c r="W1856" t="s">
        <v>39516</v>
      </c>
      <c r="X1856" t="s">
        <v>42676</v>
      </c>
    </row>
    <row r="1857" spans="1:24">
      <c r="A1857">
        <f>HYPERLINK("https://www.philgeps.gov.ph/GEPSNONPILOT/Tender/SplashBidNoticeAbstractUI.aspx?menuIndex=3&amp;refID=7190491&amp;Result=3","7190491")</f>
        <v>0</v>
      </c>
      <c r="B1857" t="s">
        <v>681</v>
      </c>
      <c r="C1857" t="s">
        <v>5304</v>
      </c>
      <c r="D1857" t="s">
        <v>17160</v>
      </c>
      <c r="E1857" t="s">
        <v>18882</v>
      </c>
      <c r="F1857" t="s">
        <v>29372</v>
      </c>
      <c r="G1857" t="s">
        <v>29380</v>
      </c>
      <c r="H1857" t="s">
        <v>29389</v>
      </c>
      <c r="I1857" t="s">
        <v>10408</v>
      </c>
      <c r="J1857" t="s">
        <v>30857</v>
      </c>
      <c r="K1857" t="s">
        <v>38490</v>
      </c>
      <c r="M1857" t="s">
        <v>39457</v>
      </c>
      <c r="N1857" t="s">
        <v>42669</v>
      </c>
      <c r="O1857" t="s">
        <v>42670</v>
      </c>
      <c r="P1857">
        <v>0</v>
      </c>
      <c r="Q1857">
        <v>1</v>
      </c>
      <c r="R1857" t="s">
        <v>42674</v>
      </c>
      <c r="S1857" t="s">
        <v>42788</v>
      </c>
      <c r="T1857" t="s">
        <v>44439</v>
      </c>
      <c r="U1857" t="s">
        <v>46369</v>
      </c>
      <c r="W1857" t="s">
        <v>39457</v>
      </c>
      <c r="X1857" t="s">
        <v>42676</v>
      </c>
    </row>
    <row r="1858" spans="1:24">
      <c r="A1858">
        <f>HYPERLINK("https://www.philgeps.gov.ph/GEPSNONPILOT/Tender/SplashBidNoticeAbstractUI.aspx?menuIndex=3&amp;refID=7190560&amp;Result=3","7190560")</f>
        <v>0</v>
      </c>
      <c r="B1858" t="s">
        <v>423</v>
      </c>
      <c r="C1858" t="s">
        <v>5305</v>
      </c>
      <c r="D1858" t="s">
        <v>17216</v>
      </c>
      <c r="E1858" t="s">
        <v>18883</v>
      </c>
      <c r="F1858" t="s">
        <v>29372</v>
      </c>
      <c r="G1858" t="s">
        <v>29379</v>
      </c>
      <c r="H1858" t="s">
        <v>11048</v>
      </c>
      <c r="I1858" t="s">
        <v>4709</v>
      </c>
      <c r="J1858" t="s">
        <v>30858</v>
      </c>
      <c r="K1858" t="s">
        <v>38518</v>
      </c>
      <c r="M1858" t="s">
        <v>39187</v>
      </c>
      <c r="N1858" t="s">
        <v>42669</v>
      </c>
      <c r="O1858" t="s">
        <v>42670</v>
      </c>
      <c r="P1858">
        <v>0</v>
      </c>
      <c r="Q1858">
        <v>0</v>
      </c>
      <c r="R1858" t="s">
        <v>42674</v>
      </c>
      <c r="S1858" t="s">
        <v>42788</v>
      </c>
      <c r="T1858" t="s">
        <v>44394</v>
      </c>
      <c r="U1858" t="s">
        <v>46370</v>
      </c>
      <c r="W1858" t="s">
        <v>39187</v>
      </c>
      <c r="X1858" t="s">
        <v>42676</v>
      </c>
    </row>
    <row r="1859" spans="1:24">
      <c r="A1859">
        <f>HYPERLINK("https://www.philgeps.gov.ph/GEPSNONPILOT/Tender/SplashBidNoticeAbstractUI.aspx?menuIndex=3&amp;refID=7190534&amp;Result=3","7190534")</f>
        <v>0</v>
      </c>
      <c r="B1859" t="s">
        <v>681</v>
      </c>
      <c r="C1859" t="s">
        <v>5306</v>
      </c>
      <c r="D1859" t="s">
        <v>17160</v>
      </c>
      <c r="E1859" t="s">
        <v>18884</v>
      </c>
      <c r="F1859" t="s">
        <v>29372</v>
      </c>
      <c r="G1859" t="s">
        <v>29380</v>
      </c>
      <c r="H1859" t="s">
        <v>29389</v>
      </c>
      <c r="I1859" t="s">
        <v>10408</v>
      </c>
      <c r="J1859" t="s">
        <v>30859</v>
      </c>
      <c r="K1859" t="s">
        <v>38490</v>
      </c>
      <c r="M1859" t="s">
        <v>39457</v>
      </c>
      <c r="N1859" t="s">
        <v>42669</v>
      </c>
      <c r="O1859" t="s">
        <v>42670</v>
      </c>
      <c r="P1859">
        <v>0</v>
      </c>
      <c r="Q1859">
        <v>1</v>
      </c>
      <c r="R1859" t="s">
        <v>42674</v>
      </c>
      <c r="S1859" t="s">
        <v>42788</v>
      </c>
      <c r="T1859" t="s">
        <v>44439</v>
      </c>
      <c r="U1859" t="s">
        <v>46371</v>
      </c>
      <c r="W1859" t="s">
        <v>39457</v>
      </c>
      <c r="X1859" t="s">
        <v>42676</v>
      </c>
    </row>
    <row r="1860" spans="1:24">
      <c r="A1860">
        <f>HYPERLINK("https://www.philgeps.gov.ph/GEPSNONPILOT/Tender/SplashBidNoticeAbstractUI.aspx?menuIndex=3&amp;refID=7190498&amp;Result=3","7190498")</f>
        <v>0</v>
      </c>
      <c r="B1860" t="s">
        <v>736</v>
      </c>
      <c r="C1860" t="s">
        <v>5307</v>
      </c>
      <c r="D1860" t="s">
        <v>17170</v>
      </c>
      <c r="E1860" t="s">
        <v>18885</v>
      </c>
      <c r="F1860" t="s">
        <v>29372</v>
      </c>
      <c r="G1860" t="s">
        <v>29380</v>
      </c>
      <c r="H1860" t="s">
        <v>29390</v>
      </c>
      <c r="I1860" t="s">
        <v>29439</v>
      </c>
      <c r="J1860" t="s">
        <v>30860</v>
      </c>
      <c r="K1860" t="s">
        <v>38488</v>
      </c>
      <c r="M1860" t="s">
        <v>39517</v>
      </c>
      <c r="N1860" t="s">
        <v>42669</v>
      </c>
      <c r="O1860" t="s">
        <v>42670</v>
      </c>
      <c r="P1860">
        <v>0</v>
      </c>
      <c r="Q1860">
        <v>0</v>
      </c>
      <c r="R1860" t="s">
        <v>42674</v>
      </c>
      <c r="S1860" t="s">
        <v>42788</v>
      </c>
      <c r="T1860" t="s">
        <v>44530</v>
      </c>
      <c r="U1860" t="s">
        <v>46372</v>
      </c>
      <c r="W1860" t="s">
        <v>39517</v>
      </c>
      <c r="X1860" t="s">
        <v>42676</v>
      </c>
    </row>
    <row r="1861" spans="1:24">
      <c r="A1861">
        <f>HYPERLINK("https://www.philgeps.gov.ph/GEPSNONPILOT/Tender/SplashBidNoticeAbstractUI.aspx?menuIndex=3&amp;refID=7190620&amp;Result=3","7190620")</f>
        <v>0</v>
      </c>
      <c r="B1861" t="s">
        <v>645</v>
      </c>
      <c r="C1861" t="s">
        <v>5308</v>
      </c>
      <c r="D1861" t="s">
        <v>17193</v>
      </c>
      <c r="E1861" t="s">
        <v>18886</v>
      </c>
      <c r="F1861" t="s">
        <v>29372</v>
      </c>
      <c r="G1861" t="s">
        <v>29379</v>
      </c>
      <c r="H1861" t="s">
        <v>11048</v>
      </c>
      <c r="I1861" t="s">
        <v>29400</v>
      </c>
      <c r="J1861" t="s">
        <v>29605</v>
      </c>
      <c r="K1861" t="s">
        <v>38528</v>
      </c>
      <c r="M1861" t="s">
        <v>39418</v>
      </c>
      <c r="N1861" t="s">
        <v>42669</v>
      </c>
      <c r="O1861" t="s">
        <v>42670</v>
      </c>
      <c r="P1861">
        <v>0</v>
      </c>
      <c r="Q1861">
        <v>6</v>
      </c>
      <c r="R1861" t="s">
        <v>42674</v>
      </c>
      <c r="S1861" t="s">
        <v>42788</v>
      </c>
      <c r="T1861" t="s">
        <v>44488</v>
      </c>
      <c r="U1861" t="s">
        <v>46373</v>
      </c>
      <c r="W1861" t="s">
        <v>39418</v>
      </c>
      <c r="X1861" t="s">
        <v>42676</v>
      </c>
    </row>
    <row r="1862" spans="1:24">
      <c r="A1862">
        <f>HYPERLINK("https://www.philgeps.gov.ph/GEPSNONPILOT/Tender/SplashBidNoticeAbstractUI.aspx?menuIndex=3&amp;refID=7190492&amp;Result=3","7190492")</f>
        <v>0</v>
      </c>
      <c r="B1862" t="s">
        <v>719</v>
      </c>
      <c r="C1862" t="s">
        <v>5309</v>
      </c>
      <c r="D1862" t="s">
        <v>17170</v>
      </c>
      <c r="E1862" t="s">
        <v>18887</v>
      </c>
      <c r="F1862" t="s">
        <v>29372</v>
      </c>
      <c r="G1862" t="s">
        <v>29382</v>
      </c>
      <c r="H1862" t="s">
        <v>11048</v>
      </c>
      <c r="I1862" t="s">
        <v>5383</v>
      </c>
      <c r="J1862" t="s">
        <v>30861</v>
      </c>
      <c r="K1862" t="s">
        <v>38510</v>
      </c>
      <c r="M1862" t="s">
        <v>39499</v>
      </c>
      <c r="N1862" t="s">
        <v>42669</v>
      </c>
      <c r="O1862" t="s">
        <v>42670</v>
      </c>
      <c r="P1862">
        <v>0</v>
      </c>
      <c r="Q1862">
        <v>4</v>
      </c>
      <c r="R1862" t="s">
        <v>42674</v>
      </c>
      <c r="S1862" t="s">
        <v>42788</v>
      </c>
      <c r="T1862" t="s">
        <v>44456</v>
      </c>
      <c r="U1862" t="s">
        <v>46374</v>
      </c>
      <c r="W1862" t="s">
        <v>39499</v>
      </c>
      <c r="X1862" t="s">
        <v>42676</v>
      </c>
    </row>
    <row r="1863" spans="1:24">
      <c r="A1863">
        <f>HYPERLINK("https://www.philgeps.gov.ph/GEPSNONPILOT/Tender/SplashBidNoticeAbstractUI.aspx?menuIndex=3&amp;refID=7190553&amp;Result=3","7190553")</f>
        <v>0</v>
      </c>
      <c r="B1863" t="s">
        <v>737</v>
      </c>
      <c r="C1863" t="s">
        <v>5310</v>
      </c>
      <c r="D1863" t="s">
        <v>17200</v>
      </c>
      <c r="E1863" t="s">
        <v>18888</v>
      </c>
      <c r="F1863" t="s">
        <v>29372</v>
      </c>
      <c r="G1863" t="s">
        <v>29380</v>
      </c>
      <c r="H1863" t="s">
        <v>11048</v>
      </c>
      <c r="I1863" t="s">
        <v>29412</v>
      </c>
      <c r="J1863" t="s">
        <v>30862</v>
      </c>
      <c r="K1863" t="s">
        <v>38491</v>
      </c>
      <c r="M1863" t="s">
        <v>39518</v>
      </c>
      <c r="N1863" t="s">
        <v>42669</v>
      </c>
      <c r="O1863" t="s">
        <v>42670</v>
      </c>
      <c r="P1863">
        <v>0</v>
      </c>
      <c r="Q1863">
        <v>2</v>
      </c>
      <c r="R1863" t="s">
        <v>42674</v>
      </c>
      <c r="S1863" t="s">
        <v>42788</v>
      </c>
      <c r="T1863" t="s">
        <v>44430</v>
      </c>
      <c r="U1863" t="s">
        <v>46375</v>
      </c>
      <c r="W1863" t="s">
        <v>39518</v>
      </c>
      <c r="X1863" t="s">
        <v>42676</v>
      </c>
    </row>
    <row r="1864" spans="1:24">
      <c r="A1864">
        <f>HYPERLINK("https://www.philgeps.gov.ph/GEPSNONPILOT/Tender/SplashBidNoticeAbstractUI.aspx?menuIndex=3&amp;refID=7190615&amp;Result=3","7190615")</f>
        <v>0</v>
      </c>
      <c r="B1864" t="s">
        <v>738</v>
      </c>
      <c r="C1864" t="s">
        <v>5311</v>
      </c>
      <c r="E1864" t="s">
        <v>18889</v>
      </c>
      <c r="F1864" t="s">
        <v>29372</v>
      </c>
      <c r="G1864" t="s">
        <v>29379</v>
      </c>
      <c r="H1864" t="s">
        <v>11048</v>
      </c>
      <c r="I1864" t="s">
        <v>3839</v>
      </c>
      <c r="J1864" t="s">
        <v>30863</v>
      </c>
      <c r="K1864" t="s">
        <v>38490</v>
      </c>
      <c r="M1864" t="s">
        <v>39519</v>
      </c>
      <c r="N1864" t="s">
        <v>42669</v>
      </c>
      <c r="O1864" t="s">
        <v>42670</v>
      </c>
      <c r="P1864">
        <v>0</v>
      </c>
      <c r="Q1864">
        <v>0</v>
      </c>
      <c r="R1864" t="s">
        <v>42674</v>
      </c>
      <c r="S1864" t="s">
        <v>42788</v>
      </c>
      <c r="T1864" t="s">
        <v>44468</v>
      </c>
      <c r="U1864" t="s">
        <v>46376</v>
      </c>
      <c r="W1864" t="s">
        <v>39519</v>
      </c>
      <c r="X1864" t="s">
        <v>42676</v>
      </c>
    </row>
    <row r="1865" spans="1:24">
      <c r="A1865">
        <f>HYPERLINK("https://www.philgeps.gov.ph/GEPSNONPILOT/Tender/SplashBidNoticeAbstractUI.aspx?menuIndex=3&amp;refID=7190613&amp;Result=3","7190613")</f>
        <v>0</v>
      </c>
      <c r="B1865" t="s">
        <v>711</v>
      </c>
      <c r="C1865" t="s">
        <v>5312</v>
      </c>
      <c r="D1865" t="s">
        <v>17160</v>
      </c>
      <c r="E1865" t="s">
        <v>18890</v>
      </c>
      <c r="F1865" t="s">
        <v>29372</v>
      </c>
      <c r="G1865" t="s">
        <v>29379</v>
      </c>
      <c r="H1865" t="s">
        <v>11048</v>
      </c>
      <c r="I1865" t="s">
        <v>29404</v>
      </c>
      <c r="J1865" t="s">
        <v>30864</v>
      </c>
      <c r="K1865" t="s">
        <v>38490</v>
      </c>
      <c r="M1865" t="s">
        <v>39490</v>
      </c>
      <c r="N1865" t="s">
        <v>42669</v>
      </c>
      <c r="O1865" t="s">
        <v>42670</v>
      </c>
      <c r="P1865">
        <v>0</v>
      </c>
      <c r="Q1865">
        <v>1</v>
      </c>
      <c r="R1865" t="s">
        <v>42674</v>
      </c>
      <c r="S1865" t="s">
        <v>42788</v>
      </c>
      <c r="T1865" t="s">
        <v>44429</v>
      </c>
      <c r="U1865" t="s">
        <v>46377</v>
      </c>
      <c r="W1865" t="s">
        <v>39490</v>
      </c>
      <c r="X1865" t="s">
        <v>42676</v>
      </c>
    </row>
    <row r="1866" spans="1:24">
      <c r="A1866">
        <f>HYPERLINK("https://www.philgeps.gov.ph/GEPSNONPILOT/Tender/SplashBidNoticeAbstractUI.aspx?menuIndex=3&amp;refID=7190621&amp;Result=3","7190621")</f>
        <v>0</v>
      </c>
      <c r="B1866" t="s">
        <v>739</v>
      </c>
      <c r="C1866" t="s">
        <v>5313</v>
      </c>
      <c r="D1866" t="s">
        <v>17158</v>
      </c>
      <c r="E1866" t="s">
        <v>18891</v>
      </c>
      <c r="F1866" t="s">
        <v>29372</v>
      </c>
      <c r="G1866" t="s">
        <v>29381</v>
      </c>
      <c r="H1866" t="s">
        <v>11048</v>
      </c>
      <c r="I1866" t="s">
        <v>29413</v>
      </c>
      <c r="J1866" t="s">
        <v>30865</v>
      </c>
      <c r="K1866" t="s">
        <v>38487</v>
      </c>
      <c r="M1866" t="s">
        <v>39520</v>
      </c>
      <c r="N1866" t="s">
        <v>42669</v>
      </c>
      <c r="O1866" t="s">
        <v>42670</v>
      </c>
      <c r="P1866">
        <v>0</v>
      </c>
      <c r="Q1866">
        <v>3</v>
      </c>
      <c r="R1866" t="s">
        <v>42674</v>
      </c>
      <c r="S1866" t="s">
        <v>42788</v>
      </c>
      <c r="T1866" t="s">
        <v>44525</v>
      </c>
      <c r="U1866" t="s">
        <v>46378</v>
      </c>
      <c r="W1866" t="s">
        <v>39520</v>
      </c>
      <c r="X1866" t="s">
        <v>42676</v>
      </c>
    </row>
    <row r="1867" spans="1:24">
      <c r="A1867">
        <f>HYPERLINK("https://www.philgeps.gov.ph/GEPSNONPILOT/Tender/SplashBidNoticeAbstractUI.aspx?menuIndex=3&amp;refID=7190611&amp;Result=3","7190611")</f>
        <v>0</v>
      </c>
      <c r="B1867" t="s">
        <v>660</v>
      </c>
      <c r="C1867" t="s">
        <v>5314</v>
      </c>
      <c r="D1867" t="s">
        <v>17199</v>
      </c>
      <c r="E1867" t="s">
        <v>5314</v>
      </c>
      <c r="F1867" t="s">
        <v>29372</v>
      </c>
      <c r="G1867" t="s">
        <v>29379</v>
      </c>
      <c r="H1867" t="s">
        <v>11048</v>
      </c>
      <c r="I1867" t="s">
        <v>29403</v>
      </c>
      <c r="J1867" t="s">
        <v>30866</v>
      </c>
      <c r="K1867" t="s">
        <v>38490</v>
      </c>
      <c r="M1867" t="s">
        <v>39436</v>
      </c>
      <c r="N1867" t="s">
        <v>42669</v>
      </c>
      <c r="O1867" t="s">
        <v>42670</v>
      </c>
      <c r="P1867">
        <v>0</v>
      </c>
      <c r="Q1867">
        <v>0</v>
      </c>
      <c r="R1867" t="s">
        <v>42674</v>
      </c>
      <c r="S1867" t="s">
        <v>42788</v>
      </c>
      <c r="T1867" t="s">
        <v>44496</v>
      </c>
      <c r="U1867" t="s">
        <v>46379</v>
      </c>
      <c r="W1867" t="s">
        <v>39436</v>
      </c>
      <c r="X1867" t="s">
        <v>42676</v>
      </c>
    </row>
    <row r="1868" spans="1:24">
      <c r="A1868">
        <f>HYPERLINK("https://www.philgeps.gov.ph/GEPSNONPILOT/Tender/SplashBidNoticeAbstractUI.aspx?menuIndex=3&amp;refID=7190610&amp;Result=3","7190610")</f>
        <v>0</v>
      </c>
      <c r="B1868" t="s">
        <v>740</v>
      </c>
      <c r="C1868" t="s">
        <v>5315</v>
      </c>
      <c r="D1868" t="s">
        <v>17213</v>
      </c>
      <c r="E1868" t="s">
        <v>18892</v>
      </c>
      <c r="F1868" t="s">
        <v>29372</v>
      </c>
      <c r="G1868" t="s">
        <v>29380</v>
      </c>
      <c r="H1868" t="s">
        <v>29391</v>
      </c>
      <c r="I1868" t="s">
        <v>29391</v>
      </c>
      <c r="J1868" t="s">
        <v>30867</v>
      </c>
      <c r="K1868" t="s">
        <v>38531</v>
      </c>
      <c r="M1868" t="s">
        <v>39521</v>
      </c>
      <c r="N1868" t="s">
        <v>42669</v>
      </c>
      <c r="O1868" t="s">
        <v>42670</v>
      </c>
      <c r="P1868">
        <v>0</v>
      </c>
      <c r="Q1868">
        <v>3</v>
      </c>
      <c r="R1868" t="s">
        <v>42674</v>
      </c>
      <c r="S1868" t="s">
        <v>42788</v>
      </c>
      <c r="T1868" t="s">
        <v>44475</v>
      </c>
      <c r="U1868" t="s">
        <v>46380</v>
      </c>
      <c r="W1868" t="s">
        <v>39521</v>
      </c>
      <c r="X1868" t="s">
        <v>42676</v>
      </c>
    </row>
    <row r="1869" spans="1:24">
      <c r="A1869">
        <f>HYPERLINK("https://www.philgeps.gov.ph/GEPSNONPILOT/Tender/SplashBidNoticeAbstractUI.aspx?menuIndex=3&amp;refID=7190605&amp;Result=3","7190605")</f>
        <v>0</v>
      </c>
      <c r="B1869" t="s">
        <v>741</v>
      </c>
      <c r="C1869" t="s">
        <v>5316</v>
      </c>
      <c r="D1869" t="s">
        <v>17181</v>
      </c>
      <c r="E1869" t="s">
        <v>18893</v>
      </c>
      <c r="F1869" t="s">
        <v>29372</v>
      </c>
      <c r="G1869" t="s">
        <v>29379</v>
      </c>
      <c r="H1869" t="s">
        <v>11048</v>
      </c>
      <c r="I1869" t="s">
        <v>4486</v>
      </c>
      <c r="J1869" t="s">
        <v>30868</v>
      </c>
      <c r="K1869" t="s">
        <v>38485</v>
      </c>
      <c r="M1869" t="s">
        <v>39522</v>
      </c>
      <c r="N1869" t="s">
        <v>42669</v>
      </c>
      <c r="O1869" t="s">
        <v>42670</v>
      </c>
      <c r="P1869">
        <v>0</v>
      </c>
      <c r="Q1869">
        <v>2</v>
      </c>
      <c r="R1869" t="s">
        <v>42674</v>
      </c>
      <c r="S1869" t="s">
        <v>42788</v>
      </c>
      <c r="T1869" t="s">
        <v>44401</v>
      </c>
      <c r="U1869" t="s">
        <v>46381</v>
      </c>
      <c r="W1869" t="s">
        <v>39522</v>
      </c>
      <c r="X1869" t="s">
        <v>42676</v>
      </c>
    </row>
    <row r="1870" spans="1:24">
      <c r="A1870">
        <f>HYPERLINK("https://www.philgeps.gov.ph/GEPSNONPILOT/Tender/SplashBidNoticeAbstractUI.aspx?menuIndex=3&amp;refID=7190604&amp;Result=3","7190604")</f>
        <v>0</v>
      </c>
      <c r="B1870" t="s">
        <v>719</v>
      </c>
      <c r="C1870" t="s">
        <v>5317</v>
      </c>
      <c r="D1870" t="s">
        <v>17170</v>
      </c>
      <c r="E1870" t="s">
        <v>18894</v>
      </c>
      <c r="F1870" t="s">
        <v>29372</v>
      </c>
      <c r="G1870" t="s">
        <v>29383</v>
      </c>
      <c r="H1870" t="s">
        <v>11048</v>
      </c>
      <c r="I1870" t="s">
        <v>29439</v>
      </c>
      <c r="J1870" t="s">
        <v>29922</v>
      </c>
      <c r="K1870" t="s">
        <v>38518</v>
      </c>
      <c r="M1870" t="s">
        <v>39499</v>
      </c>
      <c r="N1870" t="s">
        <v>42669</v>
      </c>
      <c r="O1870" t="s">
        <v>42670</v>
      </c>
      <c r="P1870">
        <v>0</v>
      </c>
      <c r="Q1870">
        <v>0</v>
      </c>
      <c r="R1870" t="s">
        <v>42674</v>
      </c>
      <c r="S1870" t="s">
        <v>42788</v>
      </c>
      <c r="T1870" t="s">
        <v>44456</v>
      </c>
      <c r="U1870" t="s">
        <v>46382</v>
      </c>
      <c r="W1870" t="s">
        <v>39499</v>
      </c>
      <c r="X1870" t="s">
        <v>42676</v>
      </c>
    </row>
    <row r="1871" spans="1:24">
      <c r="A1871">
        <f>HYPERLINK("https://www.philgeps.gov.ph/GEPSNONPILOT/Tender/SplashBidNoticeAbstractUI.aspx?menuIndex=3&amp;refID=7190616&amp;Result=3","7190616")</f>
        <v>0</v>
      </c>
      <c r="B1871" t="s">
        <v>742</v>
      </c>
      <c r="C1871" t="s">
        <v>5318</v>
      </c>
      <c r="D1871" t="s">
        <v>17175</v>
      </c>
      <c r="E1871" t="s">
        <v>18895</v>
      </c>
      <c r="F1871" t="s">
        <v>29372</v>
      </c>
      <c r="G1871" t="s">
        <v>29379</v>
      </c>
      <c r="H1871" t="s">
        <v>11048</v>
      </c>
      <c r="I1871" t="s">
        <v>14920</v>
      </c>
      <c r="J1871" t="s">
        <v>30869</v>
      </c>
      <c r="K1871" t="s">
        <v>38510</v>
      </c>
      <c r="M1871" t="s">
        <v>39523</v>
      </c>
      <c r="N1871" t="s">
        <v>42669</v>
      </c>
      <c r="O1871" t="s">
        <v>42670</v>
      </c>
      <c r="P1871">
        <v>0</v>
      </c>
      <c r="Q1871">
        <v>1</v>
      </c>
      <c r="R1871" t="s">
        <v>42674</v>
      </c>
      <c r="S1871" t="s">
        <v>42788</v>
      </c>
      <c r="T1871" t="s">
        <v>44375</v>
      </c>
      <c r="U1871" t="s">
        <v>46383</v>
      </c>
      <c r="W1871" t="s">
        <v>39523</v>
      </c>
      <c r="X1871" t="s">
        <v>42676</v>
      </c>
    </row>
    <row r="1872" spans="1:24">
      <c r="A1872">
        <f>HYPERLINK("https://www.philgeps.gov.ph/GEPSNONPILOT/Tender/SplashBidNoticeAbstractUI.aspx?menuIndex=3&amp;refID=7190278&amp;Result=3","7190278")</f>
        <v>0</v>
      </c>
      <c r="B1872" t="s">
        <v>743</v>
      </c>
      <c r="C1872" t="s">
        <v>5319</v>
      </c>
      <c r="D1872" t="s">
        <v>17197</v>
      </c>
      <c r="E1872" t="s">
        <v>18896</v>
      </c>
      <c r="F1872" t="s">
        <v>29372</v>
      </c>
      <c r="G1872" t="s">
        <v>29380</v>
      </c>
      <c r="H1872" t="s">
        <v>11048</v>
      </c>
      <c r="I1872" t="s">
        <v>3695</v>
      </c>
      <c r="J1872" t="s">
        <v>29703</v>
      </c>
      <c r="K1872" t="s">
        <v>38518</v>
      </c>
      <c r="M1872" t="s">
        <v>39524</v>
      </c>
      <c r="N1872" t="s">
        <v>42669</v>
      </c>
      <c r="O1872" t="s">
        <v>42670</v>
      </c>
      <c r="P1872">
        <v>0</v>
      </c>
      <c r="Q1872">
        <v>0</v>
      </c>
      <c r="R1872" t="s">
        <v>42674</v>
      </c>
      <c r="S1872" t="s">
        <v>42788</v>
      </c>
      <c r="T1872" t="s">
        <v>44504</v>
      </c>
      <c r="U1872" t="s">
        <v>46384</v>
      </c>
      <c r="W1872" t="s">
        <v>39524</v>
      </c>
      <c r="X1872" t="s">
        <v>42676</v>
      </c>
    </row>
    <row r="1873" spans="1:24">
      <c r="A1873">
        <f>HYPERLINK("https://www.philgeps.gov.ph/GEPSNONPILOT/Tender/SplashBidNoticeAbstractUI.aspx?menuIndex=3&amp;refID=7190614&amp;Result=3","7190614")</f>
        <v>0</v>
      </c>
      <c r="B1873" t="s">
        <v>744</v>
      </c>
      <c r="C1873" t="s">
        <v>4213</v>
      </c>
      <c r="D1873" t="s">
        <v>17157</v>
      </c>
      <c r="E1873" t="s">
        <v>18897</v>
      </c>
      <c r="F1873" t="s">
        <v>29372</v>
      </c>
      <c r="G1873" t="s">
        <v>29380</v>
      </c>
      <c r="H1873" t="s">
        <v>11048</v>
      </c>
      <c r="I1873" t="s">
        <v>3695</v>
      </c>
      <c r="J1873" t="s">
        <v>30870</v>
      </c>
      <c r="K1873" t="s">
        <v>38518</v>
      </c>
      <c r="M1873" t="s">
        <v>39525</v>
      </c>
      <c r="N1873" t="s">
        <v>42669</v>
      </c>
      <c r="O1873" t="s">
        <v>42670</v>
      </c>
      <c r="P1873">
        <v>0</v>
      </c>
      <c r="Q1873">
        <v>3</v>
      </c>
      <c r="R1873" t="s">
        <v>42674</v>
      </c>
      <c r="S1873" t="s">
        <v>42788</v>
      </c>
      <c r="T1873" t="s">
        <v>44355</v>
      </c>
      <c r="U1873" t="s">
        <v>46385</v>
      </c>
      <c r="V1873" t="s">
        <v>56548</v>
      </c>
      <c r="W1873" t="s">
        <v>39525</v>
      </c>
      <c r="X1873" t="s">
        <v>42676</v>
      </c>
    </row>
    <row r="1874" spans="1:24">
      <c r="A1874">
        <f>HYPERLINK("https://www.philgeps.gov.ph/GEPSNONPILOT/Tender/SplashBidNoticeAbstractUI.aspx?menuIndex=3&amp;refID=7190654&amp;Result=3","7190654")</f>
        <v>0</v>
      </c>
      <c r="B1874" t="s">
        <v>741</v>
      </c>
      <c r="C1874" t="s">
        <v>5320</v>
      </c>
      <c r="D1874" t="s">
        <v>17181</v>
      </c>
      <c r="E1874" t="s">
        <v>18898</v>
      </c>
      <c r="F1874" t="s">
        <v>29372</v>
      </c>
      <c r="G1874" t="s">
        <v>29379</v>
      </c>
      <c r="H1874" t="s">
        <v>11048</v>
      </c>
      <c r="I1874" t="s">
        <v>29407</v>
      </c>
      <c r="J1874" t="s">
        <v>29764</v>
      </c>
      <c r="K1874" t="s">
        <v>38485</v>
      </c>
      <c r="M1874" t="s">
        <v>39522</v>
      </c>
      <c r="N1874" t="s">
        <v>42669</v>
      </c>
      <c r="O1874" t="s">
        <v>42670</v>
      </c>
      <c r="P1874">
        <v>0</v>
      </c>
      <c r="Q1874">
        <v>3</v>
      </c>
      <c r="R1874" t="s">
        <v>42674</v>
      </c>
      <c r="S1874" t="s">
        <v>42788</v>
      </c>
      <c r="T1874" t="s">
        <v>44401</v>
      </c>
      <c r="U1874" t="s">
        <v>46381</v>
      </c>
      <c r="W1874" t="s">
        <v>39522</v>
      </c>
      <c r="X1874" t="s">
        <v>42676</v>
      </c>
    </row>
    <row r="1875" spans="1:24">
      <c r="A1875">
        <f>HYPERLINK("https://www.philgeps.gov.ph/GEPSNONPILOT/Tender/SplashBidNoticeAbstractUI.aspx?menuIndex=3&amp;refID=7190650&amp;Result=3","7190650")</f>
        <v>0</v>
      </c>
      <c r="B1875" t="s">
        <v>730</v>
      </c>
      <c r="C1875" t="s">
        <v>5321</v>
      </c>
      <c r="D1875" t="s">
        <v>17197</v>
      </c>
      <c r="E1875" t="s">
        <v>18899</v>
      </c>
      <c r="F1875" t="s">
        <v>29372</v>
      </c>
      <c r="G1875" t="s">
        <v>29383</v>
      </c>
      <c r="H1875" t="s">
        <v>11048</v>
      </c>
      <c r="I1875" t="s">
        <v>4487</v>
      </c>
      <c r="J1875" t="s">
        <v>30871</v>
      </c>
      <c r="K1875" t="s">
        <v>38488</v>
      </c>
      <c r="M1875" t="s">
        <v>39511</v>
      </c>
      <c r="N1875" t="s">
        <v>42669</v>
      </c>
      <c r="O1875" t="s">
        <v>42670</v>
      </c>
      <c r="P1875">
        <v>0</v>
      </c>
      <c r="Q1875">
        <v>0</v>
      </c>
      <c r="R1875" t="s">
        <v>42674</v>
      </c>
      <c r="S1875" t="s">
        <v>42788</v>
      </c>
      <c r="T1875" t="s">
        <v>44387</v>
      </c>
      <c r="U1875" t="s">
        <v>46386</v>
      </c>
      <c r="W1875" t="s">
        <v>39511</v>
      </c>
      <c r="X1875" t="s">
        <v>42676</v>
      </c>
    </row>
    <row r="1876" spans="1:24">
      <c r="A1876">
        <f>HYPERLINK("https://www.philgeps.gov.ph/GEPSNONPILOT/Tender/SplashBidNoticeAbstractUI.aspx?menuIndex=3&amp;refID=7190648&amp;Result=3","7190648")</f>
        <v>0</v>
      </c>
      <c r="B1876" t="s">
        <v>745</v>
      </c>
      <c r="C1876" t="s">
        <v>5322</v>
      </c>
      <c r="D1876" t="s">
        <v>17177</v>
      </c>
      <c r="E1876" t="s">
        <v>18900</v>
      </c>
      <c r="F1876" t="s">
        <v>29372</v>
      </c>
      <c r="G1876" t="s">
        <v>29382</v>
      </c>
      <c r="H1876" t="s">
        <v>11048</v>
      </c>
      <c r="I1876" t="s">
        <v>4487</v>
      </c>
      <c r="J1876" t="s">
        <v>30872</v>
      </c>
      <c r="K1876" t="s">
        <v>38534</v>
      </c>
      <c r="M1876" t="s">
        <v>39526</v>
      </c>
      <c r="N1876" t="s">
        <v>42669</v>
      </c>
      <c r="O1876" t="s">
        <v>42670</v>
      </c>
      <c r="P1876">
        <v>0</v>
      </c>
      <c r="Q1876">
        <v>2</v>
      </c>
      <c r="R1876" t="s">
        <v>42674</v>
      </c>
      <c r="S1876" t="s">
        <v>42788</v>
      </c>
      <c r="T1876" t="s">
        <v>44429</v>
      </c>
      <c r="U1876" t="s">
        <v>46387</v>
      </c>
      <c r="W1876" t="s">
        <v>39526</v>
      </c>
      <c r="X1876" t="s">
        <v>42676</v>
      </c>
    </row>
    <row r="1877" spans="1:24">
      <c r="A1877">
        <f>HYPERLINK("https://www.philgeps.gov.ph/GEPSNONPILOT/Tender/SplashBidNoticeAbstractUI.aspx?menuIndex=3&amp;refID=7190646&amp;Result=3","7190646")</f>
        <v>0</v>
      </c>
      <c r="B1877" t="s">
        <v>130</v>
      </c>
      <c r="C1877" t="s">
        <v>5323</v>
      </c>
      <c r="D1877" t="s">
        <v>17185</v>
      </c>
      <c r="E1877" t="s">
        <v>18901</v>
      </c>
      <c r="F1877" t="s">
        <v>29372</v>
      </c>
      <c r="G1877" t="s">
        <v>29379</v>
      </c>
      <c r="H1877" t="s">
        <v>11048</v>
      </c>
      <c r="I1877" t="s">
        <v>3670</v>
      </c>
      <c r="J1877" t="s">
        <v>30873</v>
      </c>
      <c r="K1877" t="s">
        <v>38528</v>
      </c>
      <c r="M1877" t="s">
        <v>39527</v>
      </c>
      <c r="N1877" t="s">
        <v>42669</v>
      </c>
      <c r="O1877" t="s">
        <v>42670</v>
      </c>
      <c r="P1877">
        <v>0</v>
      </c>
      <c r="Q1877">
        <v>1</v>
      </c>
      <c r="R1877" t="s">
        <v>42674</v>
      </c>
      <c r="S1877" t="s">
        <v>42788</v>
      </c>
      <c r="T1877" t="s">
        <v>44427</v>
      </c>
      <c r="U1877" t="s">
        <v>46388</v>
      </c>
      <c r="W1877" t="s">
        <v>39527</v>
      </c>
      <c r="X1877" t="s">
        <v>42676</v>
      </c>
    </row>
    <row r="1878" spans="1:24">
      <c r="A1878">
        <f>HYPERLINK("https://www.philgeps.gov.ph/GEPSNONPILOT/Tender/SplashBidNoticeAbstractUI.aspx?menuIndex=3&amp;refID=7190607&amp;Result=3","7190607")</f>
        <v>0</v>
      </c>
      <c r="B1878" t="s">
        <v>423</v>
      </c>
      <c r="C1878" t="s">
        <v>5324</v>
      </c>
      <c r="D1878" t="s">
        <v>17216</v>
      </c>
      <c r="E1878" t="s">
        <v>18902</v>
      </c>
      <c r="F1878" t="s">
        <v>29372</v>
      </c>
      <c r="G1878" t="s">
        <v>29379</v>
      </c>
      <c r="H1878" t="s">
        <v>11048</v>
      </c>
      <c r="I1878" t="s">
        <v>29409</v>
      </c>
      <c r="J1878" t="s">
        <v>29555</v>
      </c>
      <c r="K1878" t="s">
        <v>38518</v>
      </c>
      <c r="M1878" t="s">
        <v>39187</v>
      </c>
      <c r="N1878" t="s">
        <v>42669</v>
      </c>
      <c r="O1878" t="s">
        <v>42670</v>
      </c>
      <c r="P1878">
        <v>0</v>
      </c>
      <c r="Q1878">
        <v>5</v>
      </c>
      <c r="R1878" t="s">
        <v>42674</v>
      </c>
      <c r="S1878" t="s">
        <v>42788</v>
      </c>
      <c r="T1878" t="s">
        <v>44394</v>
      </c>
      <c r="U1878" t="s">
        <v>46389</v>
      </c>
      <c r="W1878" t="s">
        <v>39187</v>
      </c>
      <c r="X1878" t="s">
        <v>42676</v>
      </c>
    </row>
    <row r="1879" spans="1:24">
      <c r="A1879">
        <f>HYPERLINK("https://www.philgeps.gov.ph/GEPSNONPILOT/Tender/SplashBidNoticeAbstractUI.aspx?menuIndex=3&amp;refID=7190644&amp;Result=3","7190644")</f>
        <v>0</v>
      </c>
      <c r="B1879" t="s">
        <v>645</v>
      </c>
      <c r="C1879" t="s">
        <v>5325</v>
      </c>
      <c r="D1879" t="s">
        <v>17193</v>
      </c>
      <c r="E1879" t="s">
        <v>18903</v>
      </c>
      <c r="F1879" t="s">
        <v>29372</v>
      </c>
      <c r="G1879" t="s">
        <v>29379</v>
      </c>
      <c r="H1879" t="s">
        <v>11048</v>
      </c>
      <c r="I1879" t="s">
        <v>3839</v>
      </c>
      <c r="J1879" t="s">
        <v>30874</v>
      </c>
      <c r="K1879" t="s">
        <v>38528</v>
      </c>
      <c r="M1879" t="s">
        <v>39418</v>
      </c>
      <c r="N1879" t="s">
        <v>42669</v>
      </c>
      <c r="O1879" t="s">
        <v>42670</v>
      </c>
      <c r="P1879">
        <v>0</v>
      </c>
      <c r="Q1879">
        <v>7</v>
      </c>
      <c r="R1879" t="s">
        <v>42674</v>
      </c>
      <c r="S1879" t="s">
        <v>42788</v>
      </c>
      <c r="T1879" t="s">
        <v>44488</v>
      </c>
      <c r="U1879" t="s">
        <v>46390</v>
      </c>
      <c r="W1879" t="s">
        <v>39418</v>
      </c>
      <c r="X1879" t="s">
        <v>42676</v>
      </c>
    </row>
    <row r="1880" spans="1:24">
      <c r="A1880">
        <f>HYPERLINK("https://www.philgeps.gov.ph/GEPSNONPILOT/Tender/SplashBidNoticeAbstractUI.aspx?menuIndex=3&amp;refID=7190619&amp;Result=3","7190619")</f>
        <v>0</v>
      </c>
      <c r="B1880" t="s">
        <v>746</v>
      </c>
      <c r="C1880" t="s">
        <v>5326</v>
      </c>
      <c r="D1880" t="s">
        <v>17168</v>
      </c>
      <c r="E1880" t="s">
        <v>17401</v>
      </c>
      <c r="F1880" t="s">
        <v>29372</v>
      </c>
      <c r="G1880" t="s">
        <v>29379</v>
      </c>
      <c r="H1880" t="s">
        <v>11048</v>
      </c>
      <c r="I1880" t="s">
        <v>4486</v>
      </c>
      <c r="J1880" t="s">
        <v>30875</v>
      </c>
      <c r="K1880" t="s">
        <v>38485</v>
      </c>
      <c r="M1880" t="s">
        <v>39528</v>
      </c>
      <c r="N1880" t="s">
        <v>42669</v>
      </c>
      <c r="O1880" t="s">
        <v>42670</v>
      </c>
      <c r="P1880">
        <v>0</v>
      </c>
      <c r="Q1880">
        <v>0</v>
      </c>
      <c r="R1880" t="s">
        <v>42674</v>
      </c>
      <c r="S1880" t="s">
        <v>42788</v>
      </c>
      <c r="T1880" t="s">
        <v>44481</v>
      </c>
      <c r="U1880" t="s">
        <v>46391</v>
      </c>
      <c r="W1880" t="s">
        <v>39528</v>
      </c>
      <c r="X1880" t="s">
        <v>42676</v>
      </c>
    </row>
    <row r="1881" spans="1:24">
      <c r="A1881">
        <f>HYPERLINK("https://www.philgeps.gov.ph/GEPSNONPILOT/Tender/SplashBidNoticeAbstractUI.aspx?menuIndex=3&amp;refID=7190642&amp;Result=3","7190642")</f>
        <v>0</v>
      </c>
      <c r="B1881" t="s">
        <v>581</v>
      </c>
      <c r="C1881" t="s">
        <v>5327</v>
      </c>
      <c r="D1881" t="s">
        <v>17205</v>
      </c>
      <c r="E1881" t="s">
        <v>18904</v>
      </c>
      <c r="F1881" t="s">
        <v>29372</v>
      </c>
      <c r="G1881" t="s">
        <v>29380</v>
      </c>
      <c r="H1881" t="s">
        <v>29389</v>
      </c>
      <c r="I1881" t="s">
        <v>10408</v>
      </c>
      <c r="J1881" t="s">
        <v>30876</v>
      </c>
      <c r="K1881" t="s">
        <v>38495</v>
      </c>
      <c r="M1881" t="s">
        <v>39529</v>
      </c>
      <c r="N1881" t="s">
        <v>42669</v>
      </c>
      <c r="O1881" t="s">
        <v>42670</v>
      </c>
      <c r="P1881">
        <v>0</v>
      </c>
      <c r="Q1881">
        <v>3</v>
      </c>
      <c r="R1881" t="s">
        <v>42674</v>
      </c>
      <c r="S1881" t="s">
        <v>42788</v>
      </c>
      <c r="T1881" t="s">
        <v>44503</v>
      </c>
      <c r="U1881" t="s">
        <v>46093</v>
      </c>
      <c r="W1881" t="s">
        <v>39529</v>
      </c>
      <c r="X1881" t="s">
        <v>42676</v>
      </c>
    </row>
    <row r="1882" spans="1:24">
      <c r="A1882">
        <f>HYPERLINK("https://www.philgeps.gov.ph/GEPSNONPILOT/Tender/SplashBidNoticeAbstractUI.aspx?menuIndex=3&amp;refID=7190637&amp;Result=3","7190637")</f>
        <v>0</v>
      </c>
      <c r="B1882" t="s">
        <v>747</v>
      </c>
      <c r="C1882" t="s">
        <v>5328</v>
      </c>
      <c r="E1882" t="s">
        <v>18905</v>
      </c>
      <c r="F1882" t="s">
        <v>29372</v>
      </c>
      <c r="G1882" t="s">
        <v>29383</v>
      </c>
      <c r="H1882" t="s">
        <v>11048</v>
      </c>
      <c r="I1882" t="s">
        <v>29393</v>
      </c>
      <c r="J1882" t="s">
        <v>30877</v>
      </c>
      <c r="K1882" t="s">
        <v>38490</v>
      </c>
      <c r="M1882" t="s">
        <v>39530</v>
      </c>
      <c r="N1882" t="s">
        <v>42669</v>
      </c>
      <c r="O1882" t="s">
        <v>42670</v>
      </c>
      <c r="P1882">
        <v>0</v>
      </c>
      <c r="Q1882">
        <v>0</v>
      </c>
      <c r="R1882" t="s">
        <v>42674</v>
      </c>
      <c r="S1882" t="s">
        <v>42788</v>
      </c>
      <c r="T1882" t="s">
        <v>44570</v>
      </c>
      <c r="U1882" t="s">
        <v>46392</v>
      </c>
      <c r="W1882" t="s">
        <v>39530</v>
      </c>
      <c r="X1882" t="s">
        <v>42676</v>
      </c>
    </row>
    <row r="1883" spans="1:24">
      <c r="A1883">
        <f>HYPERLINK("https://www.philgeps.gov.ph/GEPSNONPILOT/Tender/SplashBidNoticeAbstractUI.aspx?menuIndex=3&amp;refID=7190652&amp;Result=3","7190652")</f>
        <v>0</v>
      </c>
      <c r="B1883" t="s">
        <v>748</v>
      </c>
      <c r="C1883" t="s">
        <v>5329</v>
      </c>
      <c r="D1883" t="s">
        <v>17206</v>
      </c>
      <c r="E1883" t="s">
        <v>18906</v>
      </c>
      <c r="F1883" t="s">
        <v>29372</v>
      </c>
      <c r="G1883" t="s">
        <v>29380</v>
      </c>
      <c r="H1883" t="s">
        <v>29390</v>
      </c>
      <c r="I1883" t="s">
        <v>4709</v>
      </c>
      <c r="J1883" t="s">
        <v>30878</v>
      </c>
      <c r="K1883" t="s">
        <v>38496</v>
      </c>
      <c r="M1883" t="s">
        <v>39531</v>
      </c>
      <c r="N1883" t="s">
        <v>42669</v>
      </c>
      <c r="O1883" t="s">
        <v>42670</v>
      </c>
      <c r="P1883">
        <v>0</v>
      </c>
      <c r="Q1883">
        <v>0</v>
      </c>
      <c r="R1883" t="s">
        <v>42674</v>
      </c>
      <c r="S1883" t="s">
        <v>42788</v>
      </c>
      <c r="T1883" t="s">
        <v>44571</v>
      </c>
      <c r="U1883" t="s">
        <v>46393</v>
      </c>
      <c r="W1883" t="s">
        <v>39531</v>
      </c>
      <c r="X1883" t="s">
        <v>42676</v>
      </c>
    </row>
    <row r="1884" spans="1:24">
      <c r="A1884">
        <f>HYPERLINK("https://www.philgeps.gov.ph/GEPSNONPILOT/Tender/SplashBidNoticeAbstractUI.aspx?menuIndex=3&amp;refID=7190629&amp;Result=3","7190629")</f>
        <v>0</v>
      </c>
      <c r="B1884" t="s">
        <v>749</v>
      </c>
      <c r="C1884" t="s">
        <v>5330</v>
      </c>
      <c r="D1884" t="s">
        <v>17179</v>
      </c>
      <c r="E1884" t="s">
        <v>17540</v>
      </c>
      <c r="F1884" t="s">
        <v>29372</v>
      </c>
      <c r="G1884" t="s">
        <v>29380</v>
      </c>
      <c r="H1884" t="s">
        <v>11048</v>
      </c>
      <c r="I1884" t="s">
        <v>4709</v>
      </c>
      <c r="J1884" t="s">
        <v>30879</v>
      </c>
      <c r="K1884" t="s">
        <v>38488</v>
      </c>
      <c r="M1884" t="s">
        <v>39532</v>
      </c>
      <c r="N1884" t="s">
        <v>42669</v>
      </c>
      <c r="O1884" t="s">
        <v>42670</v>
      </c>
      <c r="P1884">
        <v>0</v>
      </c>
      <c r="Q1884">
        <v>2</v>
      </c>
      <c r="R1884" t="s">
        <v>42674</v>
      </c>
      <c r="S1884" t="s">
        <v>42788</v>
      </c>
      <c r="T1884" t="s">
        <v>44525</v>
      </c>
      <c r="U1884" t="s">
        <v>46394</v>
      </c>
      <c r="W1884" t="s">
        <v>39532</v>
      </c>
      <c r="X1884" t="s">
        <v>42676</v>
      </c>
    </row>
    <row r="1885" spans="1:24">
      <c r="A1885">
        <f>HYPERLINK("https://www.philgeps.gov.ph/GEPSNONPILOT/Tender/SplashBidNoticeAbstractUI.aspx?menuIndex=3&amp;refID=7190628&amp;Result=3","7190628")</f>
        <v>0</v>
      </c>
      <c r="B1885" t="s">
        <v>750</v>
      </c>
      <c r="C1885" t="s">
        <v>5331</v>
      </c>
      <c r="E1885" t="s">
        <v>18907</v>
      </c>
      <c r="F1885" t="s">
        <v>29372</v>
      </c>
      <c r="G1885" t="s">
        <v>29379</v>
      </c>
      <c r="H1885" t="s">
        <v>11048</v>
      </c>
      <c r="I1885" t="s">
        <v>8208</v>
      </c>
      <c r="J1885" t="s">
        <v>30880</v>
      </c>
      <c r="K1885" t="s">
        <v>38490</v>
      </c>
      <c r="M1885" t="s">
        <v>39533</v>
      </c>
      <c r="N1885" t="s">
        <v>42669</v>
      </c>
      <c r="O1885" t="s">
        <v>42670</v>
      </c>
      <c r="P1885">
        <v>0</v>
      </c>
      <c r="Q1885">
        <v>0</v>
      </c>
      <c r="R1885" t="s">
        <v>42674</v>
      </c>
      <c r="S1885" t="s">
        <v>42788</v>
      </c>
      <c r="T1885" t="s">
        <v>44429</v>
      </c>
      <c r="U1885" t="s">
        <v>46395</v>
      </c>
      <c r="W1885" t="s">
        <v>39533</v>
      </c>
      <c r="X1885" t="s">
        <v>42676</v>
      </c>
    </row>
    <row r="1886" spans="1:24">
      <c r="A1886">
        <f>HYPERLINK("https://www.philgeps.gov.ph/GEPSNONPILOT/Tender/SplashBidNoticeAbstractUI.aspx?menuIndex=3&amp;refID=7190647&amp;Result=3","7190647")</f>
        <v>0</v>
      </c>
      <c r="B1886" t="s">
        <v>751</v>
      </c>
      <c r="C1886" t="s">
        <v>5332</v>
      </c>
      <c r="D1886" t="s">
        <v>17193</v>
      </c>
      <c r="E1886" t="s">
        <v>18415</v>
      </c>
      <c r="F1886" t="s">
        <v>29372</v>
      </c>
      <c r="G1886" t="s">
        <v>29380</v>
      </c>
      <c r="H1886" t="s">
        <v>29389</v>
      </c>
      <c r="I1886" t="s">
        <v>4709</v>
      </c>
      <c r="J1886" t="s">
        <v>29543</v>
      </c>
      <c r="K1886" t="s">
        <v>38531</v>
      </c>
      <c r="M1886" t="s">
        <v>39534</v>
      </c>
      <c r="N1886" t="s">
        <v>42669</v>
      </c>
      <c r="O1886" t="s">
        <v>42670</v>
      </c>
      <c r="P1886">
        <v>0</v>
      </c>
      <c r="Q1886">
        <v>2</v>
      </c>
      <c r="R1886" t="s">
        <v>42674</v>
      </c>
      <c r="S1886" t="s">
        <v>42788</v>
      </c>
      <c r="T1886" t="s">
        <v>44468</v>
      </c>
      <c r="U1886" t="s">
        <v>46396</v>
      </c>
      <c r="W1886" t="s">
        <v>39534</v>
      </c>
      <c r="X1886" t="s">
        <v>42676</v>
      </c>
    </row>
    <row r="1887" spans="1:24">
      <c r="A1887">
        <f>HYPERLINK("https://www.philgeps.gov.ph/GEPSNONPILOT/Tender/SplashBidNoticeAbstractUI.aspx?menuIndex=3&amp;refID=7190684&amp;Result=3","7190684")</f>
        <v>0</v>
      </c>
      <c r="B1887" t="s">
        <v>740</v>
      </c>
      <c r="C1887" t="s">
        <v>5333</v>
      </c>
      <c r="D1887" t="s">
        <v>17213</v>
      </c>
      <c r="E1887" t="s">
        <v>18908</v>
      </c>
      <c r="F1887" t="s">
        <v>29372</v>
      </c>
      <c r="G1887" t="s">
        <v>29380</v>
      </c>
      <c r="H1887" t="s">
        <v>29391</v>
      </c>
      <c r="I1887" t="s">
        <v>29391</v>
      </c>
      <c r="J1887" t="s">
        <v>30867</v>
      </c>
      <c r="K1887" t="s">
        <v>38531</v>
      </c>
      <c r="M1887" t="s">
        <v>39521</v>
      </c>
      <c r="N1887" t="s">
        <v>42669</v>
      </c>
      <c r="O1887" t="s">
        <v>42670</v>
      </c>
      <c r="P1887">
        <v>0</v>
      </c>
      <c r="Q1887">
        <v>3</v>
      </c>
      <c r="R1887" t="s">
        <v>42674</v>
      </c>
      <c r="S1887" t="s">
        <v>42788</v>
      </c>
      <c r="T1887" t="s">
        <v>44475</v>
      </c>
      <c r="U1887" t="s">
        <v>46380</v>
      </c>
      <c r="W1887" t="s">
        <v>39521</v>
      </c>
      <c r="X1887" t="s">
        <v>42676</v>
      </c>
    </row>
    <row r="1888" spans="1:24">
      <c r="A1888">
        <f>HYPERLINK("https://www.philgeps.gov.ph/GEPSNONPILOT/Tender/SplashBidNoticeAbstractUI.aspx?menuIndex=3&amp;refID=7190639&amp;Result=3","7190639")</f>
        <v>0</v>
      </c>
      <c r="B1888" t="s">
        <v>752</v>
      </c>
      <c r="C1888" t="s">
        <v>5334</v>
      </c>
      <c r="D1888" t="s">
        <v>17142</v>
      </c>
      <c r="E1888" t="s">
        <v>18909</v>
      </c>
      <c r="F1888" t="s">
        <v>29372</v>
      </c>
      <c r="G1888" t="s">
        <v>29382</v>
      </c>
      <c r="H1888" t="s">
        <v>11048</v>
      </c>
      <c r="I1888" t="s">
        <v>4487</v>
      </c>
      <c r="J1888" t="s">
        <v>30881</v>
      </c>
      <c r="K1888" t="s">
        <v>38534</v>
      </c>
      <c r="M1888" t="s">
        <v>39535</v>
      </c>
      <c r="N1888" t="s">
        <v>42669</v>
      </c>
      <c r="O1888" t="s">
        <v>42670</v>
      </c>
      <c r="P1888">
        <v>0</v>
      </c>
      <c r="Q1888">
        <v>2</v>
      </c>
      <c r="R1888" t="s">
        <v>42674</v>
      </c>
      <c r="S1888" t="s">
        <v>42788</v>
      </c>
      <c r="T1888" t="s">
        <v>44468</v>
      </c>
      <c r="U1888" t="s">
        <v>46397</v>
      </c>
      <c r="W1888" t="s">
        <v>39535</v>
      </c>
      <c r="X1888" t="s">
        <v>42676</v>
      </c>
    </row>
    <row r="1889" spans="1:24">
      <c r="A1889">
        <f>HYPERLINK("https://www.philgeps.gov.ph/GEPSNONPILOT/Tender/SplashBidNoticeAbstractUI.aspx?menuIndex=3&amp;refID=7190690&amp;Result=3","7190690")</f>
        <v>0</v>
      </c>
      <c r="B1889" t="s">
        <v>719</v>
      </c>
      <c r="C1889" t="s">
        <v>5335</v>
      </c>
      <c r="D1889" t="s">
        <v>17170</v>
      </c>
      <c r="E1889" t="s">
        <v>18910</v>
      </c>
      <c r="F1889" t="s">
        <v>29372</v>
      </c>
      <c r="G1889" t="s">
        <v>29383</v>
      </c>
      <c r="H1889" t="s">
        <v>11048</v>
      </c>
      <c r="I1889" t="s">
        <v>3839</v>
      </c>
      <c r="J1889" t="s">
        <v>29915</v>
      </c>
      <c r="K1889" t="s">
        <v>38510</v>
      </c>
      <c r="M1889" t="s">
        <v>39499</v>
      </c>
      <c r="N1889" t="s">
        <v>42669</v>
      </c>
      <c r="O1889" t="s">
        <v>42670</v>
      </c>
      <c r="P1889">
        <v>0</v>
      </c>
      <c r="Q1889">
        <v>5</v>
      </c>
      <c r="R1889" t="s">
        <v>42674</v>
      </c>
      <c r="S1889" t="s">
        <v>42788</v>
      </c>
      <c r="T1889" t="s">
        <v>44430</v>
      </c>
      <c r="U1889" t="s">
        <v>46398</v>
      </c>
      <c r="W1889" t="s">
        <v>39499</v>
      </c>
      <c r="X1889" t="s">
        <v>42676</v>
      </c>
    </row>
    <row r="1890" spans="1:24">
      <c r="A1890">
        <f>HYPERLINK("https://www.philgeps.gov.ph/GEPSNONPILOT/Tender/SplashBidNoticeAbstractUI.aspx?menuIndex=3&amp;refID=7190688&amp;Result=3","7190688")</f>
        <v>0</v>
      </c>
      <c r="B1890" t="s">
        <v>750</v>
      </c>
      <c r="C1890" t="s">
        <v>5336</v>
      </c>
      <c r="D1890" t="s">
        <v>17181</v>
      </c>
      <c r="E1890" t="s">
        <v>18911</v>
      </c>
      <c r="F1890" t="s">
        <v>29372</v>
      </c>
      <c r="G1890" t="s">
        <v>29379</v>
      </c>
      <c r="H1890" t="s">
        <v>11048</v>
      </c>
      <c r="I1890" t="s">
        <v>9642</v>
      </c>
      <c r="J1890" t="s">
        <v>29657</v>
      </c>
      <c r="K1890" t="s">
        <v>38490</v>
      </c>
      <c r="M1890" t="s">
        <v>39533</v>
      </c>
      <c r="N1890" t="s">
        <v>42669</v>
      </c>
      <c r="O1890" t="s">
        <v>42670</v>
      </c>
      <c r="P1890">
        <v>0</v>
      </c>
      <c r="Q1890">
        <v>0</v>
      </c>
      <c r="R1890" t="s">
        <v>42674</v>
      </c>
      <c r="S1890" t="s">
        <v>42788</v>
      </c>
      <c r="T1890" t="s">
        <v>44429</v>
      </c>
      <c r="U1890" t="s">
        <v>46399</v>
      </c>
      <c r="W1890" t="s">
        <v>39533</v>
      </c>
      <c r="X1890" t="s">
        <v>42676</v>
      </c>
    </row>
    <row r="1891" spans="1:24">
      <c r="A1891">
        <f>HYPERLINK("https://www.philgeps.gov.ph/GEPSNONPILOT/Tender/SplashBidNoticeAbstractUI.aspx?menuIndex=3&amp;refID=7190686&amp;Result=3","7190686")</f>
        <v>0</v>
      </c>
      <c r="B1891" t="s">
        <v>753</v>
      </c>
      <c r="C1891" t="s">
        <v>5337</v>
      </c>
      <c r="D1891" t="s">
        <v>17186</v>
      </c>
      <c r="E1891" t="s">
        <v>18912</v>
      </c>
      <c r="F1891" t="s">
        <v>29372</v>
      </c>
      <c r="G1891" t="s">
        <v>29380</v>
      </c>
      <c r="H1891" t="s">
        <v>11048</v>
      </c>
      <c r="I1891" t="s">
        <v>4709</v>
      </c>
      <c r="J1891" t="s">
        <v>30882</v>
      </c>
      <c r="K1891" t="s">
        <v>38491</v>
      </c>
      <c r="M1891" t="s">
        <v>39536</v>
      </c>
      <c r="N1891" t="s">
        <v>42669</v>
      </c>
      <c r="O1891" t="s">
        <v>42670</v>
      </c>
      <c r="P1891">
        <v>0</v>
      </c>
      <c r="Q1891">
        <v>0</v>
      </c>
      <c r="R1891" t="s">
        <v>42674</v>
      </c>
      <c r="S1891" t="s">
        <v>42788</v>
      </c>
      <c r="T1891" t="s">
        <v>44510</v>
      </c>
      <c r="U1891" t="s">
        <v>46400</v>
      </c>
      <c r="W1891" t="s">
        <v>39536</v>
      </c>
      <c r="X1891" t="s">
        <v>42676</v>
      </c>
    </row>
    <row r="1892" spans="1:24">
      <c r="A1892">
        <f>HYPERLINK("https://www.philgeps.gov.ph/GEPSNONPILOT/Tender/SplashBidNoticeAbstractUI.aspx?menuIndex=3&amp;refID=7190627&amp;Result=3","7190627")</f>
        <v>0</v>
      </c>
      <c r="B1892" t="s">
        <v>733</v>
      </c>
      <c r="C1892" t="s">
        <v>5338</v>
      </c>
      <c r="D1892" t="s">
        <v>17156</v>
      </c>
      <c r="E1892" t="s">
        <v>18913</v>
      </c>
      <c r="F1892" t="s">
        <v>29372</v>
      </c>
      <c r="G1892" t="s">
        <v>29383</v>
      </c>
      <c r="H1892" t="s">
        <v>11048</v>
      </c>
      <c r="I1892" t="s">
        <v>5383</v>
      </c>
      <c r="J1892" t="s">
        <v>30883</v>
      </c>
      <c r="K1892" t="s">
        <v>38485</v>
      </c>
      <c r="M1892" t="s">
        <v>39514</v>
      </c>
      <c r="N1892" t="s">
        <v>42669</v>
      </c>
      <c r="O1892" t="s">
        <v>42670</v>
      </c>
      <c r="P1892">
        <v>0</v>
      </c>
      <c r="Q1892">
        <v>0</v>
      </c>
      <c r="R1892" t="s">
        <v>42674</v>
      </c>
      <c r="S1892" t="s">
        <v>42788</v>
      </c>
      <c r="T1892" t="s">
        <v>44488</v>
      </c>
      <c r="U1892" t="s">
        <v>46360</v>
      </c>
      <c r="V1892" t="s">
        <v>56549</v>
      </c>
      <c r="W1892" t="s">
        <v>58021</v>
      </c>
      <c r="X1892" t="s">
        <v>42676</v>
      </c>
    </row>
    <row r="1893" spans="1:24">
      <c r="A1893">
        <f>HYPERLINK("https://www.philgeps.gov.ph/GEPSNONPILOT/Tender/SplashBidNoticeAbstractUI.aspx?menuIndex=3&amp;refID=7190683&amp;Result=3","7190683")</f>
        <v>0</v>
      </c>
      <c r="B1893" t="s">
        <v>660</v>
      </c>
      <c r="C1893" t="s">
        <v>5339</v>
      </c>
      <c r="D1893" t="s">
        <v>17199</v>
      </c>
      <c r="E1893" t="s">
        <v>5339</v>
      </c>
      <c r="F1893" t="s">
        <v>29372</v>
      </c>
      <c r="G1893" t="s">
        <v>29379</v>
      </c>
      <c r="H1893" t="s">
        <v>11048</v>
      </c>
      <c r="I1893" t="s">
        <v>29403</v>
      </c>
      <c r="J1893" t="s">
        <v>30884</v>
      </c>
      <c r="K1893" t="s">
        <v>38490</v>
      </c>
      <c r="M1893" t="s">
        <v>39436</v>
      </c>
      <c r="N1893" t="s">
        <v>42669</v>
      </c>
      <c r="O1893" t="s">
        <v>42670</v>
      </c>
      <c r="P1893">
        <v>0</v>
      </c>
      <c r="Q1893">
        <v>0</v>
      </c>
      <c r="R1893" t="s">
        <v>42674</v>
      </c>
      <c r="S1893" t="s">
        <v>42788</v>
      </c>
      <c r="T1893" t="s">
        <v>44496</v>
      </c>
      <c r="U1893" t="s">
        <v>46401</v>
      </c>
      <c r="W1893" t="s">
        <v>39436</v>
      </c>
      <c r="X1893" t="s">
        <v>42676</v>
      </c>
    </row>
    <row r="1894" spans="1:24">
      <c r="A1894">
        <f>HYPERLINK("https://www.philgeps.gov.ph/GEPSNONPILOT/Tender/SplashBidNoticeAbstractUI.aspx?menuIndex=3&amp;refID=7190681&amp;Result=3","7190681")</f>
        <v>0</v>
      </c>
      <c r="B1894" t="s">
        <v>679</v>
      </c>
      <c r="C1894" t="s">
        <v>5340</v>
      </c>
      <c r="D1894" t="s">
        <v>17175</v>
      </c>
      <c r="E1894" t="s">
        <v>18914</v>
      </c>
      <c r="F1894" t="s">
        <v>29372</v>
      </c>
      <c r="G1894" t="s">
        <v>29381</v>
      </c>
      <c r="H1894" t="s">
        <v>11048</v>
      </c>
      <c r="I1894" t="s">
        <v>5383</v>
      </c>
      <c r="J1894" t="s">
        <v>30885</v>
      </c>
      <c r="K1894" t="s">
        <v>38510</v>
      </c>
      <c r="M1894" t="s">
        <v>39455</v>
      </c>
      <c r="N1894" t="s">
        <v>42669</v>
      </c>
      <c r="O1894" t="s">
        <v>42670</v>
      </c>
      <c r="P1894">
        <v>0</v>
      </c>
      <c r="Q1894">
        <v>0</v>
      </c>
      <c r="R1894" t="s">
        <v>42674</v>
      </c>
      <c r="S1894" t="s">
        <v>42788</v>
      </c>
      <c r="T1894" t="s">
        <v>44560</v>
      </c>
      <c r="U1894" t="s">
        <v>46402</v>
      </c>
      <c r="W1894" t="s">
        <v>39455</v>
      </c>
      <c r="X1894" t="s">
        <v>42676</v>
      </c>
    </row>
    <row r="1895" spans="1:24">
      <c r="A1895">
        <f>HYPERLINK("https://www.philgeps.gov.ph/GEPSNONPILOT/Tender/SplashBidNoticeAbstractUI.aspx?menuIndex=3&amp;refID=7190680&amp;Result=3","7190680")</f>
        <v>0</v>
      </c>
      <c r="B1895" t="s">
        <v>662</v>
      </c>
      <c r="C1895" t="s">
        <v>5341</v>
      </c>
      <c r="D1895" t="s">
        <v>17211</v>
      </c>
      <c r="E1895" t="s">
        <v>18915</v>
      </c>
      <c r="F1895" t="s">
        <v>29372</v>
      </c>
      <c r="G1895" t="s">
        <v>29382</v>
      </c>
      <c r="H1895" t="s">
        <v>11048</v>
      </c>
      <c r="I1895" t="s">
        <v>29395</v>
      </c>
      <c r="J1895" t="s">
        <v>30886</v>
      </c>
      <c r="K1895" t="s">
        <v>38485</v>
      </c>
      <c r="M1895" t="s">
        <v>39438</v>
      </c>
      <c r="N1895" t="s">
        <v>42669</v>
      </c>
      <c r="O1895" t="s">
        <v>42670</v>
      </c>
      <c r="P1895">
        <v>0</v>
      </c>
      <c r="Q1895">
        <v>1</v>
      </c>
      <c r="R1895" t="s">
        <v>42674</v>
      </c>
      <c r="S1895" t="s">
        <v>42788</v>
      </c>
      <c r="T1895" t="s">
        <v>44491</v>
      </c>
      <c r="U1895" t="s">
        <v>46403</v>
      </c>
      <c r="W1895" t="s">
        <v>39438</v>
      </c>
      <c r="X1895" t="s">
        <v>42676</v>
      </c>
    </row>
    <row r="1896" spans="1:24">
      <c r="A1896">
        <f>HYPERLINK("https://www.philgeps.gov.ph/GEPSNONPILOT/Tender/SplashBidNoticeAbstractUI.aspx?menuIndex=3&amp;refID=7190640&amp;Result=3","7190640")</f>
        <v>0</v>
      </c>
      <c r="B1896" t="s">
        <v>754</v>
      </c>
      <c r="C1896" t="s">
        <v>5342</v>
      </c>
      <c r="D1896" t="s">
        <v>17168</v>
      </c>
      <c r="E1896" t="s">
        <v>18916</v>
      </c>
      <c r="F1896" t="s">
        <v>29372</v>
      </c>
      <c r="G1896" t="s">
        <v>29379</v>
      </c>
      <c r="H1896" t="s">
        <v>11048</v>
      </c>
      <c r="I1896" t="s">
        <v>4709</v>
      </c>
      <c r="J1896" t="s">
        <v>30887</v>
      </c>
      <c r="K1896" t="s">
        <v>38510</v>
      </c>
      <c r="M1896" t="s">
        <v>39537</v>
      </c>
      <c r="N1896" t="s">
        <v>42669</v>
      </c>
      <c r="O1896" t="s">
        <v>42670</v>
      </c>
      <c r="P1896">
        <v>0</v>
      </c>
      <c r="Q1896">
        <v>2</v>
      </c>
      <c r="R1896" t="s">
        <v>42674</v>
      </c>
      <c r="S1896" t="s">
        <v>42788</v>
      </c>
      <c r="T1896" t="s">
        <v>44371</v>
      </c>
      <c r="U1896" t="s">
        <v>46404</v>
      </c>
      <c r="W1896" t="s">
        <v>39537</v>
      </c>
      <c r="X1896" t="s">
        <v>42676</v>
      </c>
    </row>
    <row r="1897" spans="1:24">
      <c r="A1897">
        <f>HYPERLINK("https://www.philgeps.gov.ph/GEPSNONPILOT/Tender/SplashBidNoticeAbstractUI.aspx?menuIndex=3&amp;refID=7190679&amp;Result=3","7190679")</f>
        <v>0</v>
      </c>
      <c r="B1897" t="s">
        <v>755</v>
      </c>
      <c r="C1897" t="s">
        <v>5343</v>
      </c>
      <c r="D1897" t="s">
        <v>17174</v>
      </c>
      <c r="E1897" t="s">
        <v>18917</v>
      </c>
      <c r="F1897" t="s">
        <v>29372</v>
      </c>
      <c r="G1897" t="s">
        <v>29381</v>
      </c>
      <c r="H1897" t="s">
        <v>11048</v>
      </c>
      <c r="I1897" t="s">
        <v>3839</v>
      </c>
      <c r="J1897" t="s">
        <v>29780</v>
      </c>
      <c r="K1897" t="s">
        <v>38496</v>
      </c>
      <c r="M1897" t="s">
        <v>39538</v>
      </c>
      <c r="N1897" t="s">
        <v>42669</v>
      </c>
      <c r="O1897" t="s">
        <v>42670</v>
      </c>
      <c r="P1897">
        <v>0</v>
      </c>
      <c r="Q1897">
        <v>3</v>
      </c>
      <c r="R1897" t="s">
        <v>42674</v>
      </c>
      <c r="S1897" t="s">
        <v>42788</v>
      </c>
      <c r="T1897" t="s">
        <v>44456</v>
      </c>
      <c r="U1897" t="s">
        <v>46405</v>
      </c>
      <c r="W1897" t="s">
        <v>39538</v>
      </c>
      <c r="X1897" t="s">
        <v>42676</v>
      </c>
    </row>
    <row r="1898" spans="1:24">
      <c r="A1898">
        <f>HYPERLINK("https://www.philgeps.gov.ph/GEPSNONPILOT/Tender/SplashBidNoticeAbstractUI.aspx?menuIndex=3&amp;refID=7190674&amp;Result=3","7190674")</f>
        <v>0</v>
      </c>
      <c r="B1898" t="s">
        <v>756</v>
      </c>
      <c r="C1898" t="s">
        <v>5344</v>
      </c>
      <c r="D1898" t="s">
        <v>17164</v>
      </c>
      <c r="E1898" t="s">
        <v>18918</v>
      </c>
      <c r="F1898" t="s">
        <v>29372</v>
      </c>
      <c r="G1898" t="s">
        <v>29380</v>
      </c>
      <c r="H1898" t="s">
        <v>29389</v>
      </c>
      <c r="I1898" t="s">
        <v>10408</v>
      </c>
      <c r="J1898" t="s">
        <v>30888</v>
      </c>
      <c r="K1898" t="s">
        <v>38488</v>
      </c>
      <c r="M1898" t="s">
        <v>39539</v>
      </c>
      <c r="N1898" t="s">
        <v>42669</v>
      </c>
      <c r="O1898" t="s">
        <v>42670</v>
      </c>
      <c r="P1898">
        <v>0</v>
      </c>
      <c r="Q1898">
        <v>0</v>
      </c>
      <c r="R1898" t="s">
        <v>42674</v>
      </c>
      <c r="S1898" t="s">
        <v>42788</v>
      </c>
      <c r="T1898" t="s">
        <v>44393</v>
      </c>
      <c r="U1898" t="s">
        <v>46406</v>
      </c>
      <c r="W1898" t="s">
        <v>39539</v>
      </c>
      <c r="X1898" t="s">
        <v>42676</v>
      </c>
    </row>
    <row r="1899" spans="1:24">
      <c r="A1899">
        <f>HYPERLINK("https://www.philgeps.gov.ph/GEPSNONPILOT/Tender/SplashBidNoticeAbstractUI.aspx?menuIndex=3&amp;refID=7190689&amp;Result=3","7190689")</f>
        <v>0</v>
      </c>
      <c r="B1899" t="s">
        <v>730</v>
      </c>
      <c r="C1899" t="s">
        <v>5345</v>
      </c>
      <c r="D1899" t="s">
        <v>17197</v>
      </c>
      <c r="E1899" t="s">
        <v>18919</v>
      </c>
      <c r="F1899" t="s">
        <v>29372</v>
      </c>
      <c r="G1899" t="s">
        <v>29383</v>
      </c>
      <c r="H1899" t="s">
        <v>11048</v>
      </c>
      <c r="I1899" t="s">
        <v>3695</v>
      </c>
      <c r="J1899" t="s">
        <v>30889</v>
      </c>
      <c r="K1899" t="s">
        <v>38488</v>
      </c>
      <c r="M1899" t="s">
        <v>39511</v>
      </c>
      <c r="N1899" t="s">
        <v>42669</v>
      </c>
      <c r="O1899" t="s">
        <v>42670</v>
      </c>
      <c r="P1899">
        <v>0</v>
      </c>
      <c r="Q1899">
        <v>1</v>
      </c>
      <c r="R1899" t="s">
        <v>42674</v>
      </c>
      <c r="S1899" t="s">
        <v>42788</v>
      </c>
      <c r="T1899" t="s">
        <v>44387</v>
      </c>
      <c r="U1899" t="s">
        <v>46407</v>
      </c>
      <c r="W1899" t="s">
        <v>39511</v>
      </c>
      <c r="X1899" t="s">
        <v>42676</v>
      </c>
    </row>
    <row r="1900" spans="1:24">
      <c r="A1900">
        <f>HYPERLINK("https://www.philgeps.gov.ph/GEPSNONPILOT/Tender/SplashBidNoticeAbstractUI.aspx?menuIndex=3&amp;refID=7190645&amp;Result=3","7190645")</f>
        <v>0</v>
      </c>
      <c r="B1900" t="s">
        <v>738</v>
      </c>
      <c r="C1900" t="s">
        <v>5346</v>
      </c>
      <c r="E1900" t="s">
        <v>18920</v>
      </c>
      <c r="F1900" t="s">
        <v>29372</v>
      </c>
      <c r="G1900" t="s">
        <v>29379</v>
      </c>
      <c r="H1900" t="s">
        <v>11048</v>
      </c>
      <c r="I1900" t="s">
        <v>3839</v>
      </c>
      <c r="J1900" t="s">
        <v>30223</v>
      </c>
      <c r="K1900" t="s">
        <v>38490</v>
      </c>
      <c r="M1900" t="s">
        <v>39519</v>
      </c>
      <c r="N1900" t="s">
        <v>42669</v>
      </c>
      <c r="O1900" t="s">
        <v>42670</v>
      </c>
      <c r="P1900">
        <v>0</v>
      </c>
      <c r="Q1900">
        <v>0</v>
      </c>
      <c r="R1900" t="s">
        <v>42674</v>
      </c>
      <c r="S1900" t="s">
        <v>42788</v>
      </c>
      <c r="T1900" t="s">
        <v>44468</v>
      </c>
      <c r="U1900" t="s">
        <v>46408</v>
      </c>
      <c r="W1900" t="s">
        <v>39519</v>
      </c>
      <c r="X1900" t="s">
        <v>42676</v>
      </c>
    </row>
    <row r="1901" spans="1:24">
      <c r="A1901">
        <f>HYPERLINK("https://www.philgeps.gov.ph/GEPSNONPILOT/Tender/SplashBidNoticeAbstractUI.aspx?menuIndex=3&amp;refID=7190669&amp;Result=3","7190669")</f>
        <v>0</v>
      </c>
      <c r="B1901" t="s">
        <v>681</v>
      </c>
      <c r="C1901" t="s">
        <v>5347</v>
      </c>
      <c r="D1901" t="s">
        <v>17160</v>
      </c>
      <c r="E1901" t="s">
        <v>18921</v>
      </c>
      <c r="F1901" t="s">
        <v>29372</v>
      </c>
      <c r="G1901" t="s">
        <v>29380</v>
      </c>
      <c r="H1901" t="s">
        <v>29389</v>
      </c>
      <c r="I1901" t="s">
        <v>10408</v>
      </c>
      <c r="J1901" t="s">
        <v>30890</v>
      </c>
      <c r="K1901" t="s">
        <v>38490</v>
      </c>
      <c r="M1901" t="s">
        <v>39457</v>
      </c>
      <c r="N1901" t="s">
        <v>42669</v>
      </c>
      <c r="O1901" t="s">
        <v>42670</v>
      </c>
      <c r="P1901">
        <v>0</v>
      </c>
      <c r="Q1901">
        <v>1</v>
      </c>
      <c r="R1901" t="s">
        <v>42674</v>
      </c>
      <c r="S1901" t="s">
        <v>42788</v>
      </c>
      <c r="T1901" t="s">
        <v>44439</v>
      </c>
      <c r="U1901" t="s">
        <v>46409</v>
      </c>
      <c r="W1901" t="s">
        <v>39457</v>
      </c>
      <c r="X1901" t="s">
        <v>42676</v>
      </c>
    </row>
    <row r="1902" spans="1:24">
      <c r="A1902">
        <f>HYPERLINK("https://www.philgeps.gov.ph/GEPSNONPILOT/Tender/SplashBidNoticeAbstractUI.aspx?menuIndex=3&amp;refID=7190691&amp;Result=3","7190691")</f>
        <v>0</v>
      </c>
      <c r="B1902" t="s">
        <v>757</v>
      </c>
      <c r="C1902" t="s">
        <v>5348</v>
      </c>
      <c r="D1902" t="s">
        <v>17172</v>
      </c>
      <c r="E1902" t="s">
        <v>18922</v>
      </c>
      <c r="F1902" t="s">
        <v>29372</v>
      </c>
      <c r="G1902" t="s">
        <v>29383</v>
      </c>
      <c r="H1902" t="s">
        <v>11048</v>
      </c>
      <c r="I1902" t="s">
        <v>4486</v>
      </c>
      <c r="J1902" t="s">
        <v>30891</v>
      </c>
      <c r="K1902" t="s">
        <v>38491</v>
      </c>
      <c r="M1902" t="s">
        <v>39540</v>
      </c>
      <c r="N1902" t="s">
        <v>42669</v>
      </c>
      <c r="O1902" t="s">
        <v>42670</v>
      </c>
      <c r="P1902">
        <v>0</v>
      </c>
      <c r="Q1902">
        <v>1</v>
      </c>
      <c r="R1902" t="s">
        <v>42674</v>
      </c>
      <c r="S1902" t="s">
        <v>42788</v>
      </c>
      <c r="T1902" t="s">
        <v>44412</v>
      </c>
      <c r="U1902" t="s">
        <v>46410</v>
      </c>
      <c r="W1902" t="s">
        <v>39540</v>
      </c>
      <c r="X1902" t="s">
        <v>42676</v>
      </c>
    </row>
    <row r="1903" spans="1:24">
      <c r="A1903">
        <f>HYPERLINK("https://www.philgeps.gov.ph/GEPSNONPILOT/Tender/SplashBidNoticeAbstractUI.aspx?menuIndex=3&amp;refID=7190582&amp;Result=3","7190582")</f>
        <v>0</v>
      </c>
      <c r="B1903" t="s">
        <v>758</v>
      </c>
      <c r="C1903" t="s">
        <v>5349</v>
      </c>
      <c r="D1903" t="s">
        <v>17171</v>
      </c>
      <c r="E1903" t="s">
        <v>18923</v>
      </c>
      <c r="F1903" t="s">
        <v>29372</v>
      </c>
      <c r="G1903" t="s">
        <v>29379</v>
      </c>
      <c r="H1903" t="s">
        <v>11048</v>
      </c>
      <c r="I1903" t="s">
        <v>5383</v>
      </c>
      <c r="J1903" t="s">
        <v>30892</v>
      </c>
      <c r="K1903" t="s">
        <v>38489</v>
      </c>
      <c r="M1903" t="s">
        <v>39541</v>
      </c>
      <c r="N1903" t="s">
        <v>42669</v>
      </c>
      <c r="O1903" t="s">
        <v>42670</v>
      </c>
      <c r="P1903">
        <v>0</v>
      </c>
      <c r="Q1903">
        <v>2</v>
      </c>
      <c r="R1903" t="s">
        <v>42674</v>
      </c>
      <c r="S1903" t="s">
        <v>42788</v>
      </c>
      <c r="T1903" t="s">
        <v>44451</v>
      </c>
      <c r="U1903" t="s">
        <v>46411</v>
      </c>
      <c r="W1903" t="s">
        <v>39541</v>
      </c>
      <c r="X1903" t="s">
        <v>42676</v>
      </c>
    </row>
    <row r="1904" spans="1:24">
      <c r="A1904">
        <f>HYPERLINK("https://www.philgeps.gov.ph/GEPSNONPILOT/Tender/SplashBidNoticeAbstractUI.aspx?menuIndex=3&amp;refID=7190678&amp;Result=3","7190678")</f>
        <v>0</v>
      </c>
      <c r="B1904" t="s">
        <v>759</v>
      </c>
      <c r="C1904" t="s">
        <v>5350</v>
      </c>
      <c r="D1904" t="s">
        <v>17171</v>
      </c>
      <c r="E1904" t="s">
        <v>18924</v>
      </c>
      <c r="F1904" t="s">
        <v>29373</v>
      </c>
      <c r="G1904" t="s">
        <v>29379</v>
      </c>
      <c r="H1904" t="s">
        <v>11048</v>
      </c>
      <c r="I1904" t="s">
        <v>4487</v>
      </c>
      <c r="J1904" t="s">
        <v>30893</v>
      </c>
      <c r="K1904" t="s">
        <v>38485</v>
      </c>
      <c r="M1904" t="s">
        <v>39542</v>
      </c>
      <c r="N1904" t="s">
        <v>42669</v>
      </c>
      <c r="O1904" t="s">
        <v>42670</v>
      </c>
      <c r="P1904">
        <v>0</v>
      </c>
      <c r="Q1904">
        <v>3</v>
      </c>
      <c r="R1904" t="s">
        <v>42674</v>
      </c>
      <c r="S1904" t="s">
        <v>42788</v>
      </c>
      <c r="T1904" t="s">
        <v>44468</v>
      </c>
      <c r="U1904" t="s">
        <v>46412</v>
      </c>
      <c r="W1904" t="s">
        <v>39542</v>
      </c>
      <c r="X1904" t="s">
        <v>42676</v>
      </c>
    </row>
    <row r="1905" spans="1:24">
      <c r="A1905">
        <f>HYPERLINK("https://www.philgeps.gov.ph/GEPSNONPILOT/Tender/SplashBidNoticeAbstractUI.aspx?menuIndex=3&amp;refID=7190671&amp;Result=3","7190671")</f>
        <v>0</v>
      </c>
      <c r="B1905" t="s">
        <v>760</v>
      </c>
      <c r="C1905" t="s">
        <v>5351</v>
      </c>
      <c r="D1905" t="s">
        <v>17167</v>
      </c>
      <c r="E1905" t="s">
        <v>18369</v>
      </c>
      <c r="F1905" t="s">
        <v>29372</v>
      </c>
      <c r="G1905" t="s">
        <v>29380</v>
      </c>
      <c r="H1905" t="s">
        <v>11048</v>
      </c>
      <c r="I1905" t="s">
        <v>4709</v>
      </c>
      <c r="J1905" t="s">
        <v>30894</v>
      </c>
      <c r="K1905" t="s">
        <v>38489</v>
      </c>
      <c r="M1905" t="s">
        <v>39543</v>
      </c>
      <c r="N1905" t="s">
        <v>42669</v>
      </c>
      <c r="O1905" t="s">
        <v>42670</v>
      </c>
      <c r="P1905">
        <v>0</v>
      </c>
      <c r="Q1905">
        <v>0</v>
      </c>
      <c r="R1905" t="s">
        <v>42674</v>
      </c>
      <c r="S1905" t="s">
        <v>42788</v>
      </c>
      <c r="T1905" t="s">
        <v>44527</v>
      </c>
      <c r="U1905" t="s">
        <v>46413</v>
      </c>
      <c r="W1905" t="s">
        <v>39543</v>
      </c>
      <c r="X1905" t="s">
        <v>42676</v>
      </c>
    </row>
    <row r="1906" spans="1:24">
      <c r="A1906">
        <f>HYPERLINK("https://www.philgeps.gov.ph/GEPSNONPILOT/Tender/SplashBidNoticeAbstractUI.aspx?menuIndex=3&amp;refID=7190724&amp;Result=3","7190724")</f>
        <v>0</v>
      </c>
      <c r="B1906" t="s">
        <v>754</v>
      </c>
      <c r="C1906" t="s">
        <v>5352</v>
      </c>
      <c r="D1906" t="s">
        <v>17168</v>
      </c>
      <c r="E1906" t="s">
        <v>18925</v>
      </c>
      <c r="F1906" t="s">
        <v>29372</v>
      </c>
      <c r="G1906" t="s">
        <v>29379</v>
      </c>
      <c r="H1906" t="s">
        <v>11048</v>
      </c>
      <c r="I1906" t="s">
        <v>4709</v>
      </c>
      <c r="J1906" t="s">
        <v>30895</v>
      </c>
      <c r="K1906" t="s">
        <v>38510</v>
      </c>
      <c r="M1906" t="s">
        <v>39537</v>
      </c>
      <c r="N1906" t="s">
        <v>42669</v>
      </c>
      <c r="O1906" t="s">
        <v>42670</v>
      </c>
      <c r="P1906">
        <v>0</v>
      </c>
      <c r="Q1906">
        <v>2</v>
      </c>
      <c r="R1906" t="s">
        <v>42674</v>
      </c>
      <c r="S1906" t="s">
        <v>42788</v>
      </c>
      <c r="T1906" t="s">
        <v>44371</v>
      </c>
      <c r="U1906" t="s">
        <v>46404</v>
      </c>
      <c r="W1906" t="s">
        <v>39537</v>
      </c>
      <c r="X1906" t="s">
        <v>42676</v>
      </c>
    </row>
    <row r="1907" spans="1:24">
      <c r="A1907">
        <f>HYPERLINK("https://www.philgeps.gov.ph/GEPSNONPILOT/Tender/SplashBidNoticeAbstractUI.aspx?menuIndex=3&amp;refID=7190718&amp;Result=3","7190718")</f>
        <v>0</v>
      </c>
      <c r="B1907" t="s">
        <v>679</v>
      </c>
      <c r="C1907" t="s">
        <v>5353</v>
      </c>
      <c r="D1907" t="s">
        <v>17175</v>
      </c>
      <c r="E1907" t="s">
        <v>18926</v>
      </c>
      <c r="F1907" t="s">
        <v>29372</v>
      </c>
      <c r="G1907" t="s">
        <v>29381</v>
      </c>
      <c r="H1907" t="s">
        <v>11048</v>
      </c>
      <c r="I1907" t="s">
        <v>3839</v>
      </c>
      <c r="J1907" t="s">
        <v>30024</v>
      </c>
      <c r="K1907" t="s">
        <v>38510</v>
      </c>
      <c r="M1907" t="s">
        <v>39455</v>
      </c>
      <c r="N1907" t="s">
        <v>42669</v>
      </c>
      <c r="O1907" t="s">
        <v>42670</v>
      </c>
      <c r="P1907">
        <v>0</v>
      </c>
      <c r="Q1907">
        <v>0</v>
      </c>
      <c r="R1907" t="s">
        <v>42674</v>
      </c>
      <c r="S1907" t="s">
        <v>42788</v>
      </c>
      <c r="T1907" t="s">
        <v>44560</v>
      </c>
      <c r="U1907" t="s">
        <v>46414</v>
      </c>
      <c r="W1907" t="s">
        <v>39455</v>
      </c>
      <c r="X1907" t="s">
        <v>42676</v>
      </c>
    </row>
    <row r="1908" spans="1:24">
      <c r="A1908">
        <f>HYPERLINK("https://www.philgeps.gov.ph/GEPSNONPILOT/Tender/SplashBidNoticeAbstractUI.aspx?menuIndex=3&amp;refID=7190666&amp;Result=3","7190666")</f>
        <v>0</v>
      </c>
      <c r="B1908" t="s">
        <v>754</v>
      </c>
      <c r="C1908" t="s">
        <v>5354</v>
      </c>
      <c r="D1908" t="s">
        <v>17168</v>
      </c>
      <c r="E1908" t="s">
        <v>18927</v>
      </c>
      <c r="F1908" t="s">
        <v>29372</v>
      </c>
      <c r="G1908" t="s">
        <v>29379</v>
      </c>
      <c r="H1908" t="s">
        <v>11048</v>
      </c>
      <c r="I1908" t="s">
        <v>4709</v>
      </c>
      <c r="J1908" t="s">
        <v>30896</v>
      </c>
      <c r="K1908" t="s">
        <v>38510</v>
      </c>
      <c r="M1908" t="s">
        <v>39537</v>
      </c>
      <c r="N1908" t="s">
        <v>42669</v>
      </c>
      <c r="O1908" t="s">
        <v>42670</v>
      </c>
      <c r="P1908">
        <v>0</v>
      </c>
      <c r="Q1908">
        <v>1</v>
      </c>
      <c r="R1908" t="s">
        <v>42674</v>
      </c>
      <c r="S1908" t="s">
        <v>42788</v>
      </c>
      <c r="T1908" t="s">
        <v>44371</v>
      </c>
      <c r="U1908" t="s">
        <v>46404</v>
      </c>
      <c r="W1908" t="s">
        <v>39537</v>
      </c>
      <c r="X1908" t="s">
        <v>42676</v>
      </c>
    </row>
    <row r="1909" spans="1:24">
      <c r="A1909">
        <f>HYPERLINK("https://www.philgeps.gov.ph/GEPSNONPILOT/Tender/SplashBidNoticeAbstractUI.aspx?menuIndex=3&amp;refID=7190715&amp;Result=3","7190715")</f>
        <v>0</v>
      </c>
      <c r="B1909" t="s">
        <v>756</v>
      </c>
      <c r="C1909" t="s">
        <v>5355</v>
      </c>
      <c r="D1909" t="s">
        <v>17164</v>
      </c>
      <c r="E1909" t="s">
        <v>18928</v>
      </c>
      <c r="F1909" t="s">
        <v>29372</v>
      </c>
      <c r="G1909" t="s">
        <v>29380</v>
      </c>
      <c r="H1909" t="s">
        <v>29389</v>
      </c>
      <c r="I1909" t="s">
        <v>10408</v>
      </c>
      <c r="J1909" t="s">
        <v>30897</v>
      </c>
      <c r="K1909" t="s">
        <v>38488</v>
      </c>
      <c r="M1909" t="s">
        <v>39539</v>
      </c>
      <c r="N1909" t="s">
        <v>42669</v>
      </c>
      <c r="O1909" t="s">
        <v>42670</v>
      </c>
      <c r="P1909">
        <v>0</v>
      </c>
      <c r="Q1909">
        <v>0</v>
      </c>
      <c r="R1909" t="s">
        <v>42674</v>
      </c>
      <c r="S1909" t="s">
        <v>42788</v>
      </c>
      <c r="T1909" t="s">
        <v>44389</v>
      </c>
      <c r="U1909" t="s">
        <v>46415</v>
      </c>
      <c r="W1909" t="s">
        <v>39539</v>
      </c>
      <c r="X1909" t="s">
        <v>42676</v>
      </c>
    </row>
    <row r="1910" spans="1:24">
      <c r="A1910">
        <f>HYPERLINK("https://www.philgeps.gov.ph/GEPSNONPILOT/Tender/SplashBidNoticeAbstractUI.aspx?menuIndex=3&amp;refID=7190714&amp;Result=3","7190714")</f>
        <v>0</v>
      </c>
      <c r="B1910" t="s">
        <v>761</v>
      </c>
      <c r="C1910" t="s">
        <v>5356</v>
      </c>
      <c r="D1910" t="s">
        <v>17183</v>
      </c>
      <c r="E1910" t="s">
        <v>18929</v>
      </c>
      <c r="F1910" t="s">
        <v>29372</v>
      </c>
      <c r="G1910" t="s">
        <v>29379</v>
      </c>
      <c r="H1910" t="s">
        <v>11048</v>
      </c>
      <c r="I1910" t="s">
        <v>29407</v>
      </c>
      <c r="J1910" t="s">
        <v>30898</v>
      </c>
      <c r="K1910" t="s">
        <v>38488</v>
      </c>
      <c r="M1910" t="s">
        <v>39544</v>
      </c>
      <c r="N1910" t="s">
        <v>42669</v>
      </c>
      <c r="O1910" t="s">
        <v>42670</v>
      </c>
      <c r="P1910">
        <v>0</v>
      </c>
      <c r="Q1910">
        <v>4</v>
      </c>
      <c r="R1910" t="s">
        <v>42674</v>
      </c>
      <c r="S1910" t="s">
        <v>42788</v>
      </c>
      <c r="T1910" t="s">
        <v>44399</v>
      </c>
      <c r="U1910" t="s">
        <v>46416</v>
      </c>
      <c r="W1910" t="s">
        <v>39544</v>
      </c>
      <c r="X1910" t="s">
        <v>42676</v>
      </c>
    </row>
    <row r="1911" spans="1:24">
      <c r="A1911">
        <f>HYPERLINK("https://www.philgeps.gov.ph/GEPSNONPILOT/Tender/SplashBidNoticeAbstractUI.aspx?menuIndex=3&amp;refID=7190709&amp;Result=3","7190709")</f>
        <v>0</v>
      </c>
      <c r="B1911" t="s">
        <v>666</v>
      </c>
      <c r="C1911" t="s">
        <v>5357</v>
      </c>
      <c r="D1911" t="s">
        <v>17205</v>
      </c>
      <c r="E1911" t="s">
        <v>18930</v>
      </c>
      <c r="F1911" t="s">
        <v>29372</v>
      </c>
      <c r="G1911" t="s">
        <v>29384</v>
      </c>
      <c r="H1911" t="s">
        <v>29389</v>
      </c>
      <c r="I1911" t="s">
        <v>10408</v>
      </c>
      <c r="J1911" t="s">
        <v>30899</v>
      </c>
      <c r="K1911" t="s">
        <v>38490</v>
      </c>
      <c r="M1911" t="s">
        <v>39442</v>
      </c>
      <c r="N1911" t="s">
        <v>42669</v>
      </c>
      <c r="O1911" t="s">
        <v>42670</v>
      </c>
      <c r="Q1911">
        <v>27</v>
      </c>
      <c r="R1911" t="s">
        <v>42674</v>
      </c>
      <c r="S1911" t="s">
        <v>42795</v>
      </c>
      <c r="T1911" t="s">
        <v>44572</v>
      </c>
      <c r="U1911" t="s">
        <v>46417</v>
      </c>
      <c r="W1911" t="s">
        <v>39442</v>
      </c>
      <c r="X1911" t="s">
        <v>42676</v>
      </c>
    </row>
    <row r="1912" spans="1:24">
      <c r="A1912">
        <f>HYPERLINK("https://www.philgeps.gov.ph/GEPSNONPILOT/Tender/SplashBidNoticeAbstractUI.aspx?menuIndex=3&amp;refID=7190717&amp;Result=3","7190717")</f>
        <v>0</v>
      </c>
      <c r="B1912" t="s">
        <v>762</v>
      </c>
      <c r="C1912" t="s">
        <v>5358</v>
      </c>
      <c r="D1912" t="s">
        <v>17180</v>
      </c>
      <c r="E1912" t="s">
        <v>18931</v>
      </c>
      <c r="F1912" t="s">
        <v>29372</v>
      </c>
      <c r="G1912" t="s">
        <v>29379</v>
      </c>
      <c r="H1912" t="s">
        <v>11048</v>
      </c>
      <c r="I1912" t="s">
        <v>29423</v>
      </c>
      <c r="J1912" t="s">
        <v>30900</v>
      </c>
      <c r="K1912" t="s">
        <v>38485</v>
      </c>
      <c r="M1912" t="s">
        <v>39545</v>
      </c>
      <c r="N1912" t="s">
        <v>42669</v>
      </c>
      <c r="O1912" t="s">
        <v>42670</v>
      </c>
      <c r="Q1912">
        <v>6</v>
      </c>
      <c r="R1912" t="s">
        <v>42674</v>
      </c>
      <c r="S1912" t="s">
        <v>42796</v>
      </c>
      <c r="T1912" t="s">
        <v>44382</v>
      </c>
      <c r="U1912" t="s">
        <v>46418</v>
      </c>
      <c r="W1912" t="s">
        <v>39545</v>
      </c>
      <c r="X1912" t="s">
        <v>42676</v>
      </c>
    </row>
    <row r="1913" spans="1:24">
      <c r="A1913">
        <f>HYPERLINK("https://www.philgeps.gov.ph/GEPSNONPILOT/Tender/SplashBidNoticeAbstractUI.aspx?menuIndex=3&amp;refID=7190707&amp;Result=3","7190707")</f>
        <v>0</v>
      </c>
      <c r="B1913" t="s">
        <v>597</v>
      </c>
      <c r="C1913" t="s">
        <v>5359</v>
      </c>
      <c r="D1913" t="s">
        <v>17179</v>
      </c>
      <c r="E1913" t="s">
        <v>18932</v>
      </c>
      <c r="F1913" t="s">
        <v>29372</v>
      </c>
      <c r="G1913" t="s">
        <v>29380</v>
      </c>
      <c r="H1913" t="s">
        <v>29389</v>
      </c>
      <c r="I1913" t="s">
        <v>10408</v>
      </c>
      <c r="J1913" t="s">
        <v>29788</v>
      </c>
      <c r="K1913" t="s">
        <v>38522</v>
      </c>
      <c r="M1913" t="s">
        <v>39368</v>
      </c>
      <c r="N1913" t="s">
        <v>42669</v>
      </c>
      <c r="O1913" t="s">
        <v>42670</v>
      </c>
      <c r="P1913">
        <v>0</v>
      </c>
      <c r="Q1913">
        <v>1</v>
      </c>
      <c r="R1913" t="s">
        <v>42674</v>
      </c>
      <c r="S1913" t="s">
        <v>42788</v>
      </c>
      <c r="T1913" t="s">
        <v>44542</v>
      </c>
      <c r="U1913" t="s">
        <v>46419</v>
      </c>
      <c r="W1913" t="s">
        <v>39368</v>
      </c>
      <c r="X1913" t="s">
        <v>42676</v>
      </c>
    </row>
    <row r="1914" spans="1:24">
      <c r="A1914">
        <f>HYPERLINK("https://www.philgeps.gov.ph/GEPSNONPILOT/Tender/SplashBidNoticeAbstractUI.aspx?menuIndex=3&amp;refID=7190630&amp;Result=3","7190630")</f>
        <v>0</v>
      </c>
      <c r="B1914" t="s">
        <v>681</v>
      </c>
      <c r="C1914" t="s">
        <v>5360</v>
      </c>
      <c r="D1914" t="s">
        <v>17160</v>
      </c>
      <c r="E1914" t="s">
        <v>18933</v>
      </c>
      <c r="F1914" t="s">
        <v>29372</v>
      </c>
      <c r="G1914" t="s">
        <v>29380</v>
      </c>
      <c r="H1914" t="s">
        <v>29389</v>
      </c>
      <c r="I1914" t="s">
        <v>10408</v>
      </c>
      <c r="J1914" t="s">
        <v>30901</v>
      </c>
      <c r="K1914" t="s">
        <v>38490</v>
      </c>
      <c r="M1914" t="s">
        <v>39457</v>
      </c>
      <c r="N1914" t="s">
        <v>42669</v>
      </c>
      <c r="O1914" t="s">
        <v>42670</v>
      </c>
      <c r="P1914">
        <v>0</v>
      </c>
      <c r="Q1914">
        <v>2</v>
      </c>
      <c r="R1914" t="s">
        <v>42674</v>
      </c>
      <c r="S1914" t="s">
        <v>42788</v>
      </c>
      <c r="T1914" t="s">
        <v>44439</v>
      </c>
      <c r="U1914" t="s">
        <v>46420</v>
      </c>
      <c r="W1914" t="s">
        <v>39457</v>
      </c>
      <c r="X1914" t="s">
        <v>42676</v>
      </c>
    </row>
    <row r="1915" spans="1:24">
      <c r="A1915">
        <f>HYPERLINK("https://www.philgeps.gov.ph/GEPSNONPILOT/Tender/SplashBidNoticeAbstractUI.aspx?menuIndex=3&amp;refID=7190704&amp;Result=3","7190704")</f>
        <v>0</v>
      </c>
      <c r="B1915" t="s">
        <v>748</v>
      </c>
      <c r="C1915" t="s">
        <v>5361</v>
      </c>
      <c r="D1915" t="s">
        <v>17206</v>
      </c>
      <c r="E1915" t="s">
        <v>17344</v>
      </c>
      <c r="F1915" t="s">
        <v>29372</v>
      </c>
      <c r="G1915" t="s">
        <v>29380</v>
      </c>
      <c r="H1915" t="s">
        <v>11048</v>
      </c>
      <c r="I1915" t="s">
        <v>4709</v>
      </c>
      <c r="J1915" t="s">
        <v>30902</v>
      </c>
      <c r="K1915" t="s">
        <v>38485</v>
      </c>
      <c r="M1915" t="s">
        <v>39531</v>
      </c>
      <c r="N1915" t="s">
        <v>42669</v>
      </c>
      <c r="O1915" t="s">
        <v>42670</v>
      </c>
      <c r="P1915">
        <v>0</v>
      </c>
      <c r="Q1915">
        <v>0</v>
      </c>
      <c r="R1915" t="s">
        <v>42674</v>
      </c>
      <c r="S1915" t="s">
        <v>42788</v>
      </c>
      <c r="T1915" t="s">
        <v>44571</v>
      </c>
      <c r="U1915" t="s">
        <v>46421</v>
      </c>
      <c r="W1915" t="s">
        <v>39531</v>
      </c>
      <c r="X1915" t="s">
        <v>42676</v>
      </c>
    </row>
    <row r="1916" spans="1:24">
      <c r="A1916">
        <f>HYPERLINK("https://www.philgeps.gov.ph/GEPSNONPILOT/Tender/SplashBidNoticeAbstractUI.aspx?menuIndex=3&amp;refID=7190727&amp;Result=3","7190727")</f>
        <v>0</v>
      </c>
      <c r="B1916" t="s">
        <v>738</v>
      </c>
      <c r="C1916" t="s">
        <v>5362</v>
      </c>
      <c r="E1916" t="s">
        <v>18934</v>
      </c>
      <c r="F1916" t="s">
        <v>29372</v>
      </c>
      <c r="G1916" t="s">
        <v>29379</v>
      </c>
      <c r="H1916" t="s">
        <v>11048</v>
      </c>
      <c r="I1916" t="s">
        <v>3839</v>
      </c>
      <c r="J1916" t="s">
        <v>30903</v>
      </c>
      <c r="K1916" t="s">
        <v>38490</v>
      </c>
      <c r="M1916" t="s">
        <v>39519</v>
      </c>
      <c r="N1916" t="s">
        <v>42669</v>
      </c>
      <c r="O1916" t="s">
        <v>42670</v>
      </c>
      <c r="P1916">
        <v>0</v>
      </c>
      <c r="Q1916">
        <v>0</v>
      </c>
      <c r="R1916" t="s">
        <v>42674</v>
      </c>
      <c r="S1916" t="s">
        <v>42788</v>
      </c>
      <c r="T1916" t="s">
        <v>44468</v>
      </c>
      <c r="U1916" t="s">
        <v>46422</v>
      </c>
      <c r="W1916" t="s">
        <v>39519</v>
      </c>
      <c r="X1916" t="s">
        <v>42676</v>
      </c>
    </row>
    <row r="1917" spans="1:24">
      <c r="A1917">
        <f>HYPERLINK("https://www.philgeps.gov.ph/GEPSNONPILOT/Tender/SplashBidNoticeAbstractUI.aspx?menuIndex=3&amp;refID=7190712&amp;Result=3","7190712")</f>
        <v>0</v>
      </c>
      <c r="B1917" t="s">
        <v>730</v>
      </c>
      <c r="C1917" t="s">
        <v>5363</v>
      </c>
      <c r="D1917" t="s">
        <v>17197</v>
      </c>
      <c r="E1917" t="s">
        <v>18935</v>
      </c>
      <c r="F1917" t="s">
        <v>29372</v>
      </c>
      <c r="G1917" t="s">
        <v>29383</v>
      </c>
      <c r="H1917" t="s">
        <v>11048</v>
      </c>
      <c r="I1917" t="s">
        <v>29394</v>
      </c>
      <c r="J1917" t="s">
        <v>30904</v>
      </c>
      <c r="K1917" t="s">
        <v>38488</v>
      </c>
      <c r="M1917" t="s">
        <v>39511</v>
      </c>
      <c r="N1917" t="s">
        <v>42669</v>
      </c>
      <c r="O1917" t="s">
        <v>42670</v>
      </c>
      <c r="P1917">
        <v>0</v>
      </c>
      <c r="Q1917">
        <v>3</v>
      </c>
      <c r="R1917" t="s">
        <v>42674</v>
      </c>
      <c r="S1917" t="s">
        <v>42788</v>
      </c>
      <c r="T1917" t="s">
        <v>44387</v>
      </c>
      <c r="U1917" t="s">
        <v>46423</v>
      </c>
      <c r="W1917" t="s">
        <v>39511</v>
      </c>
      <c r="X1917" t="s">
        <v>42676</v>
      </c>
    </row>
    <row r="1918" spans="1:24">
      <c r="A1918">
        <f>HYPERLINK("https://www.philgeps.gov.ph/GEPSNONPILOT/Tender/SplashBidNoticeAbstractUI.aspx?menuIndex=3&amp;refID=7190668&amp;Result=3","7190668")</f>
        <v>0</v>
      </c>
      <c r="B1918" t="s">
        <v>763</v>
      </c>
      <c r="C1918" t="s">
        <v>5364</v>
      </c>
      <c r="D1918" t="s">
        <v>17165</v>
      </c>
      <c r="E1918" t="s">
        <v>18936</v>
      </c>
      <c r="F1918" t="s">
        <v>29372</v>
      </c>
      <c r="G1918" t="s">
        <v>29380</v>
      </c>
      <c r="H1918" t="s">
        <v>11048</v>
      </c>
      <c r="I1918" t="s">
        <v>4709</v>
      </c>
      <c r="J1918" t="s">
        <v>30905</v>
      </c>
      <c r="K1918" t="s">
        <v>38510</v>
      </c>
      <c r="M1918" t="s">
        <v>39546</v>
      </c>
      <c r="N1918" t="s">
        <v>42669</v>
      </c>
      <c r="O1918" t="s">
        <v>42670</v>
      </c>
      <c r="P1918">
        <v>0</v>
      </c>
      <c r="Q1918">
        <v>0</v>
      </c>
      <c r="R1918" t="s">
        <v>42674</v>
      </c>
      <c r="S1918" t="s">
        <v>42788</v>
      </c>
      <c r="T1918" t="s">
        <v>44573</v>
      </c>
      <c r="U1918" t="s">
        <v>46424</v>
      </c>
      <c r="W1918" t="s">
        <v>39546</v>
      </c>
      <c r="X1918" t="s">
        <v>42676</v>
      </c>
    </row>
    <row r="1919" spans="1:24">
      <c r="A1919">
        <f>HYPERLINK("https://www.philgeps.gov.ph/GEPSNONPILOT/Tender/SplashBidNoticeAbstractUI.aspx?menuIndex=3&amp;refID=7190723&amp;Result=3","7190723")</f>
        <v>0</v>
      </c>
      <c r="B1919" t="s">
        <v>764</v>
      </c>
      <c r="C1919" t="s">
        <v>5365</v>
      </c>
      <c r="D1919" t="s">
        <v>17177</v>
      </c>
      <c r="E1919" t="s">
        <v>18937</v>
      </c>
      <c r="F1919" t="s">
        <v>29372</v>
      </c>
      <c r="G1919" t="s">
        <v>29380</v>
      </c>
      <c r="H1919" t="s">
        <v>11048</v>
      </c>
      <c r="I1919" t="s">
        <v>3695</v>
      </c>
      <c r="J1919" t="s">
        <v>30906</v>
      </c>
      <c r="K1919" t="s">
        <v>38488</v>
      </c>
      <c r="M1919" t="s">
        <v>39547</v>
      </c>
      <c r="N1919" t="s">
        <v>42669</v>
      </c>
      <c r="O1919" t="s">
        <v>42670</v>
      </c>
      <c r="P1919">
        <v>0</v>
      </c>
      <c r="Q1919">
        <v>20</v>
      </c>
      <c r="R1919" t="s">
        <v>42674</v>
      </c>
      <c r="S1919" t="s">
        <v>42788</v>
      </c>
      <c r="T1919" t="s">
        <v>44363</v>
      </c>
      <c r="U1919" t="s">
        <v>46425</v>
      </c>
      <c r="W1919" t="s">
        <v>39547</v>
      </c>
      <c r="X1919" t="s">
        <v>42676</v>
      </c>
    </row>
    <row r="1920" spans="1:24">
      <c r="A1920">
        <f>HYPERLINK("https://www.philgeps.gov.ph/GEPSNONPILOT/Tender/SplashBidNoticeAbstractUI.aspx?menuIndex=3&amp;refID=7190761&amp;Result=3","7190761")</f>
        <v>0</v>
      </c>
      <c r="B1920" t="s">
        <v>254</v>
      </c>
      <c r="C1920" t="s">
        <v>4356</v>
      </c>
      <c r="D1920" t="s">
        <v>17142</v>
      </c>
      <c r="E1920" t="s">
        <v>18938</v>
      </c>
      <c r="F1920" t="s">
        <v>29372</v>
      </c>
      <c r="G1920" t="s">
        <v>29382</v>
      </c>
      <c r="H1920" t="s">
        <v>29390</v>
      </c>
      <c r="I1920" t="s">
        <v>29407</v>
      </c>
      <c r="J1920" t="s">
        <v>30135</v>
      </c>
      <c r="K1920" t="s">
        <v>38528</v>
      </c>
      <c r="M1920" t="s">
        <v>39548</v>
      </c>
      <c r="N1920" t="s">
        <v>42669</v>
      </c>
      <c r="O1920" t="s">
        <v>42670</v>
      </c>
      <c r="P1920">
        <v>0</v>
      </c>
      <c r="Q1920">
        <v>3</v>
      </c>
      <c r="R1920" t="s">
        <v>42674</v>
      </c>
      <c r="S1920" t="s">
        <v>42788</v>
      </c>
      <c r="T1920" t="s">
        <v>44451</v>
      </c>
      <c r="U1920" t="s">
        <v>46426</v>
      </c>
      <c r="W1920" t="s">
        <v>39548</v>
      </c>
      <c r="X1920" t="s">
        <v>42676</v>
      </c>
    </row>
    <row r="1921" spans="1:24">
      <c r="A1921">
        <f>HYPERLINK("https://www.philgeps.gov.ph/GEPSNONPILOT/Tender/SplashBidNoticeAbstractUI.aspx?menuIndex=3&amp;refID=7190708&amp;Result=3","7190708")</f>
        <v>0</v>
      </c>
      <c r="B1921" t="s">
        <v>681</v>
      </c>
      <c r="C1921" t="s">
        <v>5366</v>
      </c>
      <c r="D1921" t="s">
        <v>17160</v>
      </c>
      <c r="E1921" t="s">
        <v>18939</v>
      </c>
      <c r="F1921" t="s">
        <v>29372</v>
      </c>
      <c r="G1921" t="s">
        <v>29380</v>
      </c>
      <c r="H1921" t="s">
        <v>29389</v>
      </c>
      <c r="I1921" t="s">
        <v>10408</v>
      </c>
      <c r="J1921" t="s">
        <v>30907</v>
      </c>
      <c r="K1921" t="s">
        <v>38490</v>
      </c>
      <c r="M1921" t="s">
        <v>39457</v>
      </c>
      <c r="N1921" t="s">
        <v>42669</v>
      </c>
      <c r="O1921" t="s">
        <v>42670</v>
      </c>
      <c r="P1921">
        <v>0</v>
      </c>
      <c r="Q1921">
        <v>1</v>
      </c>
      <c r="R1921" t="s">
        <v>42674</v>
      </c>
      <c r="S1921" t="s">
        <v>42788</v>
      </c>
      <c r="T1921" t="s">
        <v>44439</v>
      </c>
      <c r="U1921" t="s">
        <v>46427</v>
      </c>
      <c r="W1921" t="s">
        <v>39457</v>
      </c>
      <c r="X1921" t="s">
        <v>42676</v>
      </c>
    </row>
    <row r="1922" spans="1:24">
      <c r="A1922">
        <f>HYPERLINK("https://www.philgeps.gov.ph/GEPSNONPILOT/Tender/SplashBidNoticeAbstractUI.aspx?menuIndex=3&amp;refID=7190760&amp;Result=3","7190760")</f>
        <v>0</v>
      </c>
      <c r="B1922" t="s">
        <v>413</v>
      </c>
      <c r="C1922" t="s">
        <v>5367</v>
      </c>
      <c r="D1922" t="s">
        <v>17214</v>
      </c>
      <c r="E1922" t="s">
        <v>18940</v>
      </c>
      <c r="F1922" t="s">
        <v>29372</v>
      </c>
      <c r="G1922" t="s">
        <v>29380</v>
      </c>
      <c r="H1922" t="s">
        <v>11048</v>
      </c>
      <c r="I1922" t="s">
        <v>29425</v>
      </c>
      <c r="J1922" t="s">
        <v>30908</v>
      </c>
      <c r="K1922" t="s">
        <v>38496</v>
      </c>
      <c r="M1922" t="s">
        <v>39177</v>
      </c>
      <c r="N1922" t="s">
        <v>42669</v>
      </c>
      <c r="O1922" t="s">
        <v>42670</v>
      </c>
      <c r="P1922">
        <v>0</v>
      </c>
      <c r="Q1922">
        <v>3</v>
      </c>
      <c r="R1922" t="s">
        <v>42674</v>
      </c>
      <c r="S1922" t="s">
        <v>42788</v>
      </c>
      <c r="T1922" t="s">
        <v>44558</v>
      </c>
      <c r="U1922" t="s">
        <v>46428</v>
      </c>
      <c r="V1922" t="s">
        <v>56550</v>
      </c>
      <c r="W1922" t="s">
        <v>39177</v>
      </c>
      <c r="X1922" t="s">
        <v>42676</v>
      </c>
    </row>
    <row r="1923" spans="1:24">
      <c r="A1923">
        <f>HYPERLINK("https://www.philgeps.gov.ph/GEPSNONPILOT/Tender/SplashBidNoticeAbstractUI.aspx?menuIndex=3&amp;refID=7190758&amp;Result=3","7190758")</f>
        <v>0</v>
      </c>
      <c r="B1923" t="s">
        <v>765</v>
      </c>
      <c r="C1923" t="s">
        <v>5368</v>
      </c>
      <c r="D1923" t="s">
        <v>17202</v>
      </c>
      <c r="E1923" t="s">
        <v>18941</v>
      </c>
      <c r="F1923" t="s">
        <v>29372</v>
      </c>
      <c r="G1923" t="s">
        <v>29379</v>
      </c>
      <c r="H1923" t="s">
        <v>11048</v>
      </c>
      <c r="I1923" t="s">
        <v>3695</v>
      </c>
      <c r="J1923" t="s">
        <v>30909</v>
      </c>
      <c r="K1923" t="s">
        <v>38488</v>
      </c>
      <c r="M1923" t="s">
        <v>39549</v>
      </c>
      <c r="N1923" t="s">
        <v>42669</v>
      </c>
      <c r="O1923" t="s">
        <v>42670</v>
      </c>
      <c r="P1923">
        <v>0</v>
      </c>
      <c r="Q1923">
        <v>0</v>
      </c>
      <c r="R1923" t="s">
        <v>42674</v>
      </c>
      <c r="S1923" t="s">
        <v>42788</v>
      </c>
      <c r="T1923" t="s">
        <v>44454</v>
      </c>
      <c r="U1923" t="s">
        <v>46429</v>
      </c>
      <c r="W1923" t="s">
        <v>39549</v>
      </c>
      <c r="X1923" t="s">
        <v>42676</v>
      </c>
    </row>
    <row r="1924" spans="1:24">
      <c r="A1924">
        <f>HYPERLINK("https://www.philgeps.gov.ph/GEPSNONPILOT/Tender/SplashBidNoticeAbstractUI.aspx?menuIndex=3&amp;refID=7190757&amp;Result=3","7190757")</f>
        <v>0</v>
      </c>
      <c r="B1924" t="s">
        <v>748</v>
      </c>
      <c r="C1924" t="s">
        <v>5369</v>
      </c>
      <c r="D1924" t="s">
        <v>17206</v>
      </c>
      <c r="E1924" t="s">
        <v>18906</v>
      </c>
      <c r="F1924" t="s">
        <v>29372</v>
      </c>
      <c r="G1924" t="s">
        <v>29380</v>
      </c>
      <c r="H1924" t="s">
        <v>11048</v>
      </c>
      <c r="I1924" t="s">
        <v>4709</v>
      </c>
      <c r="J1924" t="s">
        <v>30910</v>
      </c>
      <c r="K1924" t="s">
        <v>38488</v>
      </c>
      <c r="M1924" t="s">
        <v>39531</v>
      </c>
      <c r="N1924" t="s">
        <v>42669</v>
      </c>
      <c r="O1924" t="s">
        <v>42670</v>
      </c>
      <c r="P1924">
        <v>0</v>
      </c>
      <c r="Q1924">
        <v>0</v>
      </c>
      <c r="R1924" t="s">
        <v>42674</v>
      </c>
      <c r="S1924" t="s">
        <v>42788</v>
      </c>
      <c r="T1924" t="s">
        <v>44574</v>
      </c>
      <c r="U1924" t="s">
        <v>46430</v>
      </c>
      <c r="W1924" t="s">
        <v>39531</v>
      </c>
      <c r="X1924" t="s">
        <v>42676</v>
      </c>
    </row>
    <row r="1925" spans="1:24">
      <c r="A1925">
        <f>HYPERLINK("https://www.philgeps.gov.ph/GEPSNONPILOT/Tender/SplashBidNoticeAbstractUI.aspx?menuIndex=3&amp;refID=7190756&amp;Result=3","7190756")</f>
        <v>0</v>
      </c>
      <c r="B1925" t="s">
        <v>727</v>
      </c>
      <c r="C1925" t="s">
        <v>5370</v>
      </c>
      <c r="D1925" t="s">
        <v>17172</v>
      </c>
      <c r="E1925" t="s">
        <v>18942</v>
      </c>
      <c r="F1925" t="s">
        <v>29372</v>
      </c>
      <c r="G1925" t="s">
        <v>29379</v>
      </c>
      <c r="H1925" t="s">
        <v>11048</v>
      </c>
      <c r="I1925" t="s">
        <v>29440</v>
      </c>
      <c r="J1925" t="s">
        <v>30107</v>
      </c>
      <c r="K1925" t="s">
        <v>38485</v>
      </c>
      <c r="M1925" t="s">
        <v>39507</v>
      </c>
      <c r="N1925" t="s">
        <v>42669</v>
      </c>
      <c r="O1925" t="s">
        <v>42670</v>
      </c>
      <c r="P1925">
        <v>0</v>
      </c>
      <c r="Q1925">
        <v>2</v>
      </c>
      <c r="R1925" t="s">
        <v>42674</v>
      </c>
      <c r="S1925" t="s">
        <v>42788</v>
      </c>
      <c r="T1925" t="s">
        <v>44417</v>
      </c>
      <c r="U1925" t="s">
        <v>46431</v>
      </c>
      <c r="W1925" t="s">
        <v>39507</v>
      </c>
      <c r="X1925" t="s">
        <v>42676</v>
      </c>
    </row>
    <row r="1926" spans="1:24">
      <c r="A1926">
        <f>HYPERLINK("https://www.philgeps.gov.ph/GEPSNONPILOT/Tender/SplashBidNoticeAbstractUI.aspx?menuIndex=3&amp;refID=7190765&amp;Result=3","7190765")</f>
        <v>0</v>
      </c>
      <c r="B1926" t="s">
        <v>766</v>
      </c>
      <c r="C1926" t="s">
        <v>5371</v>
      </c>
      <c r="E1926" t="s">
        <v>18943</v>
      </c>
      <c r="F1926" t="s">
        <v>29372</v>
      </c>
      <c r="G1926" t="s">
        <v>29379</v>
      </c>
      <c r="H1926" t="s">
        <v>11048</v>
      </c>
      <c r="I1926" t="s">
        <v>29407</v>
      </c>
      <c r="J1926" t="s">
        <v>30911</v>
      </c>
      <c r="K1926" t="s">
        <v>38490</v>
      </c>
      <c r="M1926" t="s">
        <v>39550</v>
      </c>
      <c r="N1926" t="s">
        <v>42669</v>
      </c>
      <c r="O1926" t="s">
        <v>42670</v>
      </c>
      <c r="P1926">
        <v>0</v>
      </c>
      <c r="Q1926">
        <v>2</v>
      </c>
      <c r="R1926" t="s">
        <v>42674</v>
      </c>
      <c r="S1926" t="s">
        <v>42788</v>
      </c>
      <c r="T1926" t="s">
        <v>44451</v>
      </c>
      <c r="U1926" t="s">
        <v>46432</v>
      </c>
      <c r="W1926" t="s">
        <v>39550</v>
      </c>
      <c r="X1926" t="s">
        <v>42676</v>
      </c>
    </row>
    <row r="1927" spans="1:24">
      <c r="A1927">
        <f>HYPERLINK("https://www.philgeps.gov.ph/GEPSNONPILOT/Tender/SplashBidNoticeAbstractUI.aspx?menuIndex=3&amp;refID=7190748&amp;Result=3","7190748")</f>
        <v>0</v>
      </c>
      <c r="B1927" t="s">
        <v>767</v>
      </c>
      <c r="C1927" t="s">
        <v>5372</v>
      </c>
      <c r="D1927" t="s">
        <v>17146</v>
      </c>
      <c r="E1927" t="s">
        <v>18944</v>
      </c>
      <c r="F1927" t="s">
        <v>29372</v>
      </c>
      <c r="G1927" t="s">
        <v>29379</v>
      </c>
      <c r="H1927" t="s">
        <v>11048</v>
      </c>
      <c r="I1927" t="s">
        <v>29470</v>
      </c>
      <c r="J1927" t="s">
        <v>29526</v>
      </c>
      <c r="K1927" t="s">
        <v>38488</v>
      </c>
      <c r="M1927" t="s">
        <v>39551</v>
      </c>
      <c r="N1927" t="s">
        <v>42669</v>
      </c>
      <c r="O1927" t="s">
        <v>42670</v>
      </c>
      <c r="P1927">
        <v>0</v>
      </c>
      <c r="Q1927">
        <v>1</v>
      </c>
      <c r="R1927" t="s">
        <v>42674</v>
      </c>
      <c r="S1927" t="s">
        <v>42788</v>
      </c>
      <c r="T1927" t="s">
        <v>44371</v>
      </c>
      <c r="U1927" t="s">
        <v>46433</v>
      </c>
      <c r="V1927" t="s">
        <v>56551</v>
      </c>
      <c r="W1927" t="s">
        <v>39551</v>
      </c>
      <c r="X1927" t="s">
        <v>42676</v>
      </c>
    </row>
    <row r="1928" spans="1:24">
      <c r="A1928">
        <f>HYPERLINK("https://www.philgeps.gov.ph/GEPSNONPILOT/Tender/SplashBidNoticeAbstractUI.aspx?menuIndex=3&amp;refID=7190747&amp;Result=3","7190747")</f>
        <v>0</v>
      </c>
      <c r="B1928" t="s">
        <v>768</v>
      </c>
      <c r="C1928" t="s">
        <v>5373</v>
      </c>
      <c r="D1928" t="s">
        <v>17170</v>
      </c>
      <c r="E1928" t="s">
        <v>18945</v>
      </c>
      <c r="F1928" t="s">
        <v>29372</v>
      </c>
      <c r="G1928" t="s">
        <v>29379</v>
      </c>
      <c r="H1928" t="s">
        <v>11048</v>
      </c>
      <c r="I1928" t="s">
        <v>29407</v>
      </c>
      <c r="J1928" t="s">
        <v>30912</v>
      </c>
      <c r="K1928" t="s">
        <v>38510</v>
      </c>
      <c r="M1928" t="s">
        <v>39552</v>
      </c>
      <c r="N1928" t="s">
        <v>42669</v>
      </c>
      <c r="O1928" t="s">
        <v>42670</v>
      </c>
      <c r="P1928">
        <v>0</v>
      </c>
      <c r="Q1928">
        <v>4</v>
      </c>
      <c r="R1928" t="s">
        <v>42674</v>
      </c>
      <c r="S1928" t="s">
        <v>42788</v>
      </c>
      <c r="T1928" t="s">
        <v>44468</v>
      </c>
      <c r="U1928" t="s">
        <v>46434</v>
      </c>
      <c r="W1928" t="s">
        <v>39552</v>
      </c>
      <c r="X1928" t="s">
        <v>42676</v>
      </c>
    </row>
    <row r="1929" spans="1:24">
      <c r="A1929">
        <f>HYPERLINK("https://www.philgeps.gov.ph/GEPSNONPILOT/Tender/SplashBidNoticeAbstractUI.aspx?menuIndex=3&amp;refID=7190703&amp;Result=3","7190703")</f>
        <v>0</v>
      </c>
      <c r="B1929" t="s">
        <v>769</v>
      </c>
      <c r="C1929" t="s">
        <v>5374</v>
      </c>
      <c r="D1929" t="s">
        <v>17144</v>
      </c>
      <c r="E1929" t="s">
        <v>18946</v>
      </c>
      <c r="F1929" t="s">
        <v>29372</v>
      </c>
      <c r="G1929" t="s">
        <v>29380</v>
      </c>
      <c r="H1929" t="s">
        <v>11048</v>
      </c>
      <c r="I1929" t="s">
        <v>4709</v>
      </c>
      <c r="J1929" t="s">
        <v>30913</v>
      </c>
      <c r="K1929" t="s">
        <v>38485</v>
      </c>
      <c r="M1929" t="s">
        <v>39553</v>
      </c>
      <c r="N1929" t="s">
        <v>42669</v>
      </c>
      <c r="O1929" t="s">
        <v>42670</v>
      </c>
      <c r="P1929">
        <v>0</v>
      </c>
      <c r="Q1929">
        <v>1</v>
      </c>
      <c r="R1929" t="s">
        <v>42674</v>
      </c>
      <c r="S1929" t="s">
        <v>42788</v>
      </c>
      <c r="T1929" t="s">
        <v>44575</v>
      </c>
      <c r="U1929" t="s">
        <v>46435</v>
      </c>
      <c r="W1929" t="s">
        <v>39553</v>
      </c>
      <c r="X1929" t="s">
        <v>42676</v>
      </c>
    </row>
    <row r="1930" spans="1:24">
      <c r="A1930">
        <f>HYPERLINK("https://www.philgeps.gov.ph/GEPSNONPILOT/Tender/SplashBidNoticeAbstractUI.aspx?menuIndex=3&amp;refID=7190751&amp;Result=3","7190751")</f>
        <v>0</v>
      </c>
      <c r="B1930" t="s">
        <v>130</v>
      </c>
      <c r="C1930" t="s">
        <v>4356</v>
      </c>
      <c r="D1930" t="s">
        <v>17185</v>
      </c>
      <c r="E1930" t="s">
        <v>18947</v>
      </c>
      <c r="F1930" t="s">
        <v>29372</v>
      </c>
      <c r="G1930" t="s">
        <v>29379</v>
      </c>
      <c r="H1930" t="s">
        <v>11048</v>
      </c>
      <c r="I1930" t="s">
        <v>29407</v>
      </c>
      <c r="J1930" t="s">
        <v>30914</v>
      </c>
      <c r="K1930" t="s">
        <v>38528</v>
      </c>
      <c r="M1930" t="s">
        <v>39527</v>
      </c>
      <c r="N1930" t="s">
        <v>42669</v>
      </c>
      <c r="O1930" t="s">
        <v>42670</v>
      </c>
      <c r="P1930">
        <v>0</v>
      </c>
      <c r="Q1930">
        <v>2</v>
      </c>
      <c r="R1930" t="s">
        <v>42674</v>
      </c>
      <c r="S1930" t="s">
        <v>42788</v>
      </c>
      <c r="T1930" t="s">
        <v>44427</v>
      </c>
      <c r="U1930" t="s">
        <v>46436</v>
      </c>
      <c r="W1930" t="s">
        <v>39527</v>
      </c>
      <c r="X1930" t="s">
        <v>42676</v>
      </c>
    </row>
    <row r="1931" spans="1:24">
      <c r="A1931">
        <f>HYPERLINK("https://www.philgeps.gov.ph/GEPSNONPILOT/Tender/SplashBidNoticeAbstractUI.aspx?menuIndex=3&amp;refID=7190743&amp;Result=3","7190743")</f>
        <v>0</v>
      </c>
      <c r="B1931" t="s">
        <v>757</v>
      </c>
      <c r="C1931" t="s">
        <v>5375</v>
      </c>
      <c r="D1931" t="s">
        <v>17172</v>
      </c>
      <c r="E1931" t="s">
        <v>18948</v>
      </c>
      <c r="F1931" t="s">
        <v>29372</v>
      </c>
      <c r="G1931" t="s">
        <v>29383</v>
      </c>
      <c r="H1931" t="s">
        <v>11048</v>
      </c>
      <c r="I1931" t="s">
        <v>29441</v>
      </c>
      <c r="J1931" t="s">
        <v>30915</v>
      </c>
      <c r="K1931" t="s">
        <v>38491</v>
      </c>
      <c r="M1931" t="s">
        <v>39540</v>
      </c>
      <c r="N1931" t="s">
        <v>42669</v>
      </c>
      <c r="O1931" t="s">
        <v>42670</v>
      </c>
      <c r="P1931">
        <v>0</v>
      </c>
      <c r="Q1931">
        <v>0</v>
      </c>
      <c r="R1931" t="s">
        <v>42674</v>
      </c>
      <c r="S1931" t="s">
        <v>42788</v>
      </c>
      <c r="T1931" t="s">
        <v>44412</v>
      </c>
      <c r="U1931" t="s">
        <v>46410</v>
      </c>
      <c r="W1931" t="s">
        <v>39540</v>
      </c>
      <c r="X1931" t="s">
        <v>42676</v>
      </c>
    </row>
    <row r="1932" spans="1:24">
      <c r="A1932">
        <f>HYPERLINK("https://www.philgeps.gov.ph/GEPSNONPILOT/Tender/SplashBidNoticeAbstractUI.aspx?menuIndex=3&amp;refID=7190746&amp;Result=3","7190746")</f>
        <v>0</v>
      </c>
      <c r="B1932" t="s">
        <v>679</v>
      </c>
      <c r="C1932" t="s">
        <v>5376</v>
      </c>
      <c r="D1932" t="s">
        <v>17175</v>
      </c>
      <c r="E1932" t="s">
        <v>18949</v>
      </c>
      <c r="F1932" t="s">
        <v>29372</v>
      </c>
      <c r="G1932" t="s">
        <v>29381</v>
      </c>
      <c r="H1932" t="s">
        <v>11048</v>
      </c>
      <c r="I1932" t="s">
        <v>3839</v>
      </c>
      <c r="J1932" t="s">
        <v>30916</v>
      </c>
      <c r="K1932" t="s">
        <v>38510</v>
      </c>
      <c r="M1932" t="s">
        <v>39455</v>
      </c>
      <c r="N1932" t="s">
        <v>42669</v>
      </c>
      <c r="O1932" t="s">
        <v>42670</v>
      </c>
      <c r="P1932">
        <v>0</v>
      </c>
      <c r="Q1932">
        <v>0</v>
      </c>
      <c r="R1932" t="s">
        <v>42674</v>
      </c>
      <c r="S1932" t="s">
        <v>42788</v>
      </c>
      <c r="T1932" t="s">
        <v>44560</v>
      </c>
      <c r="U1932" t="s">
        <v>46437</v>
      </c>
      <c r="W1932" t="s">
        <v>39455</v>
      </c>
      <c r="X1932" t="s">
        <v>42676</v>
      </c>
    </row>
    <row r="1933" spans="1:24">
      <c r="A1933">
        <f>HYPERLINK("https://www.philgeps.gov.ph/GEPSNONPILOT/Tender/SplashBidNoticeAbstractUI.aspx?menuIndex=3&amp;refID=7190762&amp;Result=3","7190762")</f>
        <v>0</v>
      </c>
      <c r="B1933" t="s">
        <v>681</v>
      </c>
      <c r="C1933" t="s">
        <v>5377</v>
      </c>
      <c r="D1933" t="s">
        <v>17160</v>
      </c>
      <c r="E1933" t="s">
        <v>18950</v>
      </c>
      <c r="F1933" t="s">
        <v>29372</v>
      </c>
      <c r="G1933" t="s">
        <v>29380</v>
      </c>
      <c r="H1933" t="s">
        <v>29389</v>
      </c>
      <c r="I1933" t="s">
        <v>10408</v>
      </c>
      <c r="J1933" t="s">
        <v>30917</v>
      </c>
      <c r="K1933" t="s">
        <v>38490</v>
      </c>
      <c r="M1933" t="s">
        <v>39457</v>
      </c>
      <c r="N1933" t="s">
        <v>42669</v>
      </c>
      <c r="O1933" t="s">
        <v>42670</v>
      </c>
      <c r="P1933">
        <v>0</v>
      </c>
      <c r="Q1933">
        <v>1</v>
      </c>
      <c r="R1933" t="s">
        <v>42674</v>
      </c>
      <c r="S1933" t="s">
        <v>42788</v>
      </c>
      <c r="T1933" t="s">
        <v>44439</v>
      </c>
      <c r="U1933" t="s">
        <v>46438</v>
      </c>
      <c r="W1933" t="s">
        <v>39457</v>
      </c>
      <c r="X1933" t="s">
        <v>42676</v>
      </c>
    </row>
    <row r="1934" spans="1:24">
      <c r="A1934">
        <f>HYPERLINK("https://www.philgeps.gov.ph/GEPSNONPILOT/Tender/SplashBidNoticeAbstractUI.aspx?menuIndex=3&amp;refID=7190802&amp;Result=3","7190802")</f>
        <v>0</v>
      </c>
      <c r="B1934" t="s">
        <v>770</v>
      </c>
      <c r="C1934" t="s">
        <v>5378</v>
      </c>
      <c r="D1934" t="s">
        <v>17189</v>
      </c>
      <c r="E1934" t="s">
        <v>18951</v>
      </c>
      <c r="F1934" t="s">
        <v>29373</v>
      </c>
      <c r="G1934" t="s">
        <v>29379</v>
      </c>
      <c r="H1934" t="s">
        <v>11048</v>
      </c>
      <c r="I1934" t="s">
        <v>5383</v>
      </c>
      <c r="J1934" t="s">
        <v>30918</v>
      </c>
      <c r="K1934" t="s">
        <v>38528</v>
      </c>
      <c r="L1934" t="s">
        <v>770</v>
      </c>
      <c r="M1934" t="s">
        <v>39554</v>
      </c>
      <c r="N1934" t="s">
        <v>42669</v>
      </c>
      <c r="O1934" t="s">
        <v>42670</v>
      </c>
      <c r="P1934">
        <v>0</v>
      </c>
      <c r="Q1934">
        <v>1</v>
      </c>
      <c r="R1934" t="s">
        <v>42674</v>
      </c>
      <c r="S1934" t="s">
        <v>42788</v>
      </c>
      <c r="T1934" t="s">
        <v>44389</v>
      </c>
      <c r="U1934" t="s">
        <v>46439</v>
      </c>
      <c r="W1934" t="s">
        <v>39554</v>
      </c>
      <c r="X1934" t="s">
        <v>42676</v>
      </c>
    </row>
    <row r="1935" spans="1:24">
      <c r="A1935">
        <f>HYPERLINK("https://www.philgeps.gov.ph/GEPSNONPILOT/Tender/SplashBidNoticeAbstractUI.aspx?menuIndex=3&amp;refID=7190800&amp;Result=3","7190800")</f>
        <v>0</v>
      </c>
      <c r="B1935" t="s">
        <v>771</v>
      </c>
      <c r="C1935" t="s">
        <v>5379</v>
      </c>
      <c r="D1935" t="s">
        <v>17141</v>
      </c>
      <c r="E1935" t="s">
        <v>18952</v>
      </c>
      <c r="F1935" t="s">
        <v>29372</v>
      </c>
      <c r="G1935" t="s">
        <v>29379</v>
      </c>
      <c r="H1935" t="s">
        <v>11048</v>
      </c>
      <c r="I1935" t="s">
        <v>9642</v>
      </c>
      <c r="J1935" t="s">
        <v>29799</v>
      </c>
      <c r="K1935" t="s">
        <v>38488</v>
      </c>
      <c r="M1935" t="s">
        <v>39555</v>
      </c>
      <c r="N1935" t="s">
        <v>42669</v>
      </c>
      <c r="O1935" t="s">
        <v>42670</v>
      </c>
      <c r="P1935">
        <v>0</v>
      </c>
      <c r="Q1935">
        <v>6</v>
      </c>
      <c r="R1935" t="s">
        <v>42674</v>
      </c>
      <c r="S1935" t="s">
        <v>42788</v>
      </c>
      <c r="T1935" t="s">
        <v>44424</v>
      </c>
      <c r="U1935" t="s">
        <v>46440</v>
      </c>
      <c r="W1935" t="s">
        <v>39555</v>
      </c>
      <c r="X1935" t="s">
        <v>42676</v>
      </c>
    </row>
    <row r="1936" spans="1:24">
      <c r="A1936">
        <f>HYPERLINK("https://www.philgeps.gov.ph/GEPSNONPILOT/Tender/SplashBidNoticeAbstractUI.aspx?menuIndex=3&amp;refID=7190795&amp;Result=3","7190795")</f>
        <v>0</v>
      </c>
      <c r="B1936" t="s">
        <v>679</v>
      </c>
      <c r="C1936" t="s">
        <v>5380</v>
      </c>
      <c r="D1936" t="s">
        <v>17175</v>
      </c>
      <c r="E1936" t="s">
        <v>18953</v>
      </c>
      <c r="F1936" t="s">
        <v>29372</v>
      </c>
      <c r="G1936" t="s">
        <v>29381</v>
      </c>
      <c r="H1936" t="s">
        <v>11048</v>
      </c>
      <c r="I1936" t="s">
        <v>29452</v>
      </c>
      <c r="J1936" t="s">
        <v>30787</v>
      </c>
      <c r="K1936" t="s">
        <v>38510</v>
      </c>
      <c r="M1936" t="s">
        <v>39455</v>
      </c>
      <c r="N1936" t="s">
        <v>42669</v>
      </c>
      <c r="O1936" t="s">
        <v>42670</v>
      </c>
      <c r="P1936">
        <v>0</v>
      </c>
      <c r="Q1936">
        <v>1</v>
      </c>
      <c r="R1936" t="s">
        <v>42674</v>
      </c>
      <c r="S1936" t="s">
        <v>42788</v>
      </c>
      <c r="T1936" t="s">
        <v>44560</v>
      </c>
      <c r="U1936" t="s">
        <v>46441</v>
      </c>
      <c r="W1936" t="s">
        <v>39455</v>
      </c>
      <c r="X1936" t="s">
        <v>42676</v>
      </c>
    </row>
    <row r="1937" spans="1:24">
      <c r="A1937">
        <f>HYPERLINK("https://www.philgeps.gov.ph/GEPSNONPILOT/Tender/SplashBidNoticeAbstractUI.aspx?menuIndex=3&amp;refID=7190803&amp;Result=3","7190803")</f>
        <v>0</v>
      </c>
      <c r="B1937" t="s">
        <v>772</v>
      </c>
      <c r="C1937" t="s">
        <v>5381</v>
      </c>
      <c r="D1937" t="s">
        <v>17187</v>
      </c>
      <c r="E1937" t="s">
        <v>18954</v>
      </c>
      <c r="F1937" t="s">
        <v>29372</v>
      </c>
      <c r="G1937" t="s">
        <v>29379</v>
      </c>
      <c r="H1937" t="s">
        <v>11048</v>
      </c>
      <c r="I1937" t="s">
        <v>29407</v>
      </c>
      <c r="J1937" t="s">
        <v>30142</v>
      </c>
      <c r="K1937" t="s">
        <v>38491</v>
      </c>
      <c r="M1937" t="s">
        <v>39556</v>
      </c>
      <c r="N1937" t="s">
        <v>42669</v>
      </c>
      <c r="O1937" t="s">
        <v>42670</v>
      </c>
      <c r="P1937">
        <v>0</v>
      </c>
      <c r="Q1937">
        <v>6</v>
      </c>
      <c r="R1937" t="s">
        <v>42674</v>
      </c>
      <c r="S1937" t="s">
        <v>42788</v>
      </c>
      <c r="T1937" t="s">
        <v>44470</v>
      </c>
      <c r="U1937" t="s">
        <v>46442</v>
      </c>
      <c r="W1937" t="s">
        <v>39556</v>
      </c>
      <c r="X1937" t="s">
        <v>42676</v>
      </c>
    </row>
    <row r="1938" spans="1:24">
      <c r="A1938">
        <f>HYPERLINK("https://www.philgeps.gov.ph/GEPSNONPILOT/Tender/SplashBidNoticeAbstractUI.aspx?menuIndex=3&amp;refID=7190759&amp;Result=3","7190759")</f>
        <v>0</v>
      </c>
      <c r="B1938" t="s">
        <v>773</v>
      </c>
      <c r="C1938" t="s">
        <v>5382</v>
      </c>
      <c r="D1938" t="s">
        <v>17205</v>
      </c>
      <c r="E1938" t="s">
        <v>18955</v>
      </c>
      <c r="F1938" t="s">
        <v>29372</v>
      </c>
      <c r="G1938" t="s">
        <v>29380</v>
      </c>
      <c r="H1938" t="s">
        <v>11048</v>
      </c>
      <c r="I1938" t="s">
        <v>29395</v>
      </c>
      <c r="J1938" t="s">
        <v>30919</v>
      </c>
      <c r="K1938" t="s">
        <v>38485</v>
      </c>
      <c r="M1938" t="s">
        <v>39557</v>
      </c>
      <c r="N1938" t="s">
        <v>42669</v>
      </c>
      <c r="O1938" t="s">
        <v>42670</v>
      </c>
      <c r="P1938">
        <v>0</v>
      </c>
      <c r="Q1938">
        <v>0</v>
      </c>
      <c r="R1938" t="s">
        <v>42674</v>
      </c>
      <c r="S1938" t="s">
        <v>42788</v>
      </c>
      <c r="T1938" t="s">
        <v>44456</v>
      </c>
      <c r="U1938" t="s">
        <v>46443</v>
      </c>
      <c r="V1938" t="s">
        <v>56552</v>
      </c>
      <c r="W1938" t="s">
        <v>39557</v>
      </c>
      <c r="X1938" t="s">
        <v>42676</v>
      </c>
    </row>
    <row r="1939" spans="1:24">
      <c r="A1939">
        <f>HYPERLINK("https://www.philgeps.gov.ph/GEPSNONPILOT/Tender/SplashBidNoticeAbstractUI.aspx?menuIndex=3&amp;refID=7190794&amp;Result=3","7190794")</f>
        <v>0</v>
      </c>
      <c r="B1939" t="s">
        <v>774</v>
      </c>
      <c r="C1939" t="s">
        <v>5383</v>
      </c>
      <c r="D1939" t="s">
        <v>17200</v>
      </c>
      <c r="E1939" t="s">
        <v>18956</v>
      </c>
      <c r="F1939" t="s">
        <v>29372</v>
      </c>
      <c r="G1939" t="s">
        <v>29383</v>
      </c>
      <c r="H1939" t="s">
        <v>11048</v>
      </c>
      <c r="I1939" t="s">
        <v>5383</v>
      </c>
      <c r="J1939" t="s">
        <v>30920</v>
      </c>
      <c r="K1939" t="s">
        <v>38491</v>
      </c>
      <c r="M1939" t="s">
        <v>39558</v>
      </c>
      <c r="N1939" t="s">
        <v>42669</v>
      </c>
      <c r="O1939" t="s">
        <v>42670</v>
      </c>
      <c r="P1939">
        <v>0</v>
      </c>
      <c r="Q1939">
        <v>4</v>
      </c>
      <c r="R1939" t="s">
        <v>42674</v>
      </c>
      <c r="S1939" t="s">
        <v>42788</v>
      </c>
      <c r="T1939" t="s">
        <v>44394</v>
      </c>
      <c r="U1939" t="s">
        <v>46444</v>
      </c>
      <c r="W1939" t="s">
        <v>39558</v>
      </c>
      <c r="X1939" t="s">
        <v>42676</v>
      </c>
    </row>
    <row r="1940" spans="1:24">
      <c r="A1940">
        <f>HYPERLINK("https://www.philgeps.gov.ph/GEPSNONPILOT/Tender/SplashBidNoticeAbstractUI.aspx?menuIndex=3&amp;refID=7190790&amp;Result=3","7190790")</f>
        <v>0</v>
      </c>
      <c r="B1940" t="s">
        <v>775</v>
      </c>
      <c r="C1940" t="s">
        <v>5384</v>
      </c>
      <c r="D1940" t="s">
        <v>17181</v>
      </c>
      <c r="E1940" t="s">
        <v>18957</v>
      </c>
      <c r="F1940" t="s">
        <v>29372</v>
      </c>
      <c r="G1940" t="s">
        <v>29380</v>
      </c>
      <c r="H1940" t="s">
        <v>11048</v>
      </c>
      <c r="I1940" t="s">
        <v>4709</v>
      </c>
      <c r="J1940" t="s">
        <v>30921</v>
      </c>
      <c r="K1940" t="s">
        <v>38485</v>
      </c>
      <c r="M1940" t="s">
        <v>39559</v>
      </c>
      <c r="N1940" t="s">
        <v>42669</v>
      </c>
      <c r="O1940" t="s">
        <v>42670</v>
      </c>
      <c r="P1940">
        <v>0</v>
      </c>
      <c r="Q1940">
        <v>0</v>
      </c>
      <c r="R1940" t="s">
        <v>42674</v>
      </c>
      <c r="S1940" t="s">
        <v>42788</v>
      </c>
      <c r="T1940" t="s">
        <v>44527</v>
      </c>
      <c r="U1940" t="s">
        <v>46445</v>
      </c>
      <c r="W1940" t="s">
        <v>39559</v>
      </c>
      <c r="X1940" t="s">
        <v>42676</v>
      </c>
    </row>
    <row r="1941" spans="1:24">
      <c r="A1941">
        <f>HYPERLINK("https://www.philgeps.gov.ph/GEPSNONPILOT/Tender/SplashBidNoticeAbstractUI.aspx?menuIndex=3&amp;refID=7190788&amp;Result=3","7190788")</f>
        <v>0</v>
      </c>
      <c r="B1941" t="s">
        <v>130</v>
      </c>
      <c r="C1941" t="s">
        <v>5385</v>
      </c>
      <c r="D1941" t="s">
        <v>17185</v>
      </c>
      <c r="E1941" t="s">
        <v>18958</v>
      </c>
      <c r="F1941" t="s">
        <v>29372</v>
      </c>
      <c r="G1941" t="s">
        <v>29379</v>
      </c>
      <c r="H1941" t="s">
        <v>11048</v>
      </c>
      <c r="I1941" t="s">
        <v>29403</v>
      </c>
      <c r="J1941" t="s">
        <v>29625</v>
      </c>
      <c r="K1941" t="s">
        <v>38528</v>
      </c>
      <c r="M1941" t="s">
        <v>39527</v>
      </c>
      <c r="N1941" t="s">
        <v>42669</v>
      </c>
      <c r="O1941" t="s">
        <v>42670</v>
      </c>
      <c r="P1941">
        <v>0</v>
      </c>
      <c r="Q1941">
        <v>2</v>
      </c>
      <c r="R1941" t="s">
        <v>42674</v>
      </c>
      <c r="S1941" t="s">
        <v>42788</v>
      </c>
      <c r="T1941" t="s">
        <v>44427</v>
      </c>
      <c r="U1941" t="s">
        <v>46446</v>
      </c>
      <c r="W1941" t="s">
        <v>39527</v>
      </c>
      <c r="X1941" t="s">
        <v>42676</v>
      </c>
    </row>
    <row r="1942" spans="1:24">
      <c r="A1942">
        <f>HYPERLINK("https://www.philgeps.gov.ph/GEPSNONPILOT/Tender/SplashBidNoticeAbstractUI.aspx?menuIndex=3&amp;refID=7190801&amp;Result=3","7190801")</f>
        <v>0</v>
      </c>
      <c r="B1942" t="s">
        <v>757</v>
      </c>
      <c r="C1942" t="s">
        <v>5386</v>
      </c>
      <c r="D1942" t="s">
        <v>17172</v>
      </c>
      <c r="E1942" t="s">
        <v>18959</v>
      </c>
      <c r="F1942" t="s">
        <v>29372</v>
      </c>
      <c r="G1942" t="s">
        <v>29383</v>
      </c>
      <c r="H1942" t="s">
        <v>11048</v>
      </c>
      <c r="I1942" t="s">
        <v>29431</v>
      </c>
      <c r="J1942" t="s">
        <v>30922</v>
      </c>
      <c r="K1942" t="s">
        <v>38491</v>
      </c>
      <c r="M1942" t="s">
        <v>39540</v>
      </c>
      <c r="N1942" t="s">
        <v>42669</v>
      </c>
      <c r="O1942" t="s">
        <v>42670</v>
      </c>
      <c r="P1942">
        <v>0</v>
      </c>
      <c r="Q1942">
        <v>0</v>
      </c>
      <c r="R1942" t="s">
        <v>42674</v>
      </c>
      <c r="S1942" t="s">
        <v>42788</v>
      </c>
      <c r="T1942" t="s">
        <v>44412</v>
      </c>
      <c r="U1942" t="s">
        <v>46410</v>
      </c>
      <c r="W1942" t="s">
        <v>39540</v>
      </c>
      <c r="X1942" t="s">
        <v>42676</v>
      </c>
    </row>
    <row r="1943" spans="1:24">
      <c r="A1943">
        <f>HYPERLINK("https://www.philgeps.gov.ph/GEPSNONPILOT/Tender/SplashBidNoticeAbstractUI.aspx?menuIndex=3&amp;refID=7190786&amp;Result=3","7190786")</f>
        <v>0</v>
      </c>
      <c r="B1943" t="s">
        <v>776</v>
      </c>
      <c r="C1943" t="s">
        <v>5387</v>
      </c>
      <c r="D1943" t="s">
        <v>17169</v>
      </c>
      <c r="E1943" t="s">
        <v>18960</v>
      </c>
      <c r="F1943" t="s">
        <v>29372</v>
      </c>
      <c r="G1943" t="s">
        <v>29380</v>
      </c>
      <c r="H1943" t="s">
        <v>29389</v>
      </c>
      <c r="I1943" t="s">
        <v>10408</v>
      </c>
      <c r="J1943" t="s">
        <v>30923</v>
      </c>
      <c r="K1943" t="s">
        <v>38495</v>
      </c>
      <c r="L1943" t="s">
        <v>776</v>
      </c>
      <c r="M1943" t="s">
        <v>39560</v>
      </c>
      <c r="N1943" t="s">
        <v>42669</v>
      </c>
      <c r="O1943" t="s">
        <v>42670</v>
      </c>
      <c r="P1943">
        <v>0</v>
      </c>
      <c r="Q1943">
        <v>0</v>
      </c>
      <c r="R1943" t="s">
        <v>42674</v>
      </c>
      <c r="S1943" t="s">
        <v>42788</v>
      </c>
      <c r="T1943" t="s">
        <v>44542</v>
      </c>
      <c r="U1943" t="s">
        <v>45288</v>
      </c>
      <c r="W1943" t="s">
        <v>39560</v>
      </c>
      <c r="X1943" t="s">
        <v>42676</v>
      </c>
    </row>
    <row r="1944" spans="1:24">
      <c r="A1944">
        <f>HYPERLINK("https://www.philgeps.gov.ph/GEPSNONPILOT/Tender/SplashBidNoticeAbstractUI.aspx?menuIndex=3&amp;refID=7190785&amp;Result=3","7190785")</f>
        <v>0</v>
      </c>
      <c r="B1944" t="s">
        <v>660</v>
      </c>
      <c r="C1944" t="s">
        <v>5388</v>
      </c>
      <c r="D1944" t="s">
        <v>17199</v>
      </c>
      <c r="E1944" t="s">
        <v>18961</v>
      </c>
      <c r="F1944" t="s">
        <v>29372</v>
      </c>
      <c r="G1944" t="s">
        <v>29379</v>
      </c>
      <c r="H1944" t="s">
        <v>11048</v>
      </c>
      <c r="I1944" t="s">
        <v>4709</v>
      </c>
      <c r="J1944" t="s">
        <v>30924</v>
      </c>
      <c r="K1944" t="s">
        <v>38490</v>
      </c>
      <c r="M1944" t="s">
        <v>39436</v>
      </c>
      <c r="N1944" t="s">
        <v>42669</v>
      </c>
      <c r="O1944" t="s">
        <v>42670</v>
      </c>
      <c r="P1944">
        <v>0</v>
      </c>
      <c r="Q1944">
        <v>2</v>
      </c>
      <c r="R1944" t="s">
        <v>42674</v>
      </c>
      <c r="S1944" t="s">
        <v>42788</v>
      </c>
      <c r="T1944" t="s">
        <v>44496</v>
      </c>
      <c r="U1944" t="s">
        <v>46447</v>
      </c>
      <c r="W1944" t="s">
        <v>39436</v>
      </c>
      <c r="X1944" t="s">
        <v>42676</v>
      </c>
    </row>
    <row r="1945" spans="1:24">
      <c r="A1945">
        <f>HYPERLINK("https://www.philgeps.gov.ph/GEPSNONPILOT/Tender/SplashBidNoticeAbstractUI.aspx?menuIndex=3&amp;refID=7190784&amp;Result=3","7190784")</f>
        <v>0</v>
      </c>
      <c r="B1945" t="s">
        <v>765</v>
      </c>
      <c r="C1945" t="s">
        <v>5389</v>
      </c>
      <c r="D1945" t="s">
        <v>17202</v>
      </c>
      <c r="E1945" t="s">
        <v>18962</v>
      </c>
      <c r="F1945" t="s">
        <v>29372</v>
      </c>
      <c r="G1945" t="s">
        <v>29379</v>
      </c>
      <c r="H1945" t="s">
        <v>11048</v>
      </c>
      <c r="I1945" t="s">
        <v>3670</v>
      </c>
      <c r="J1945" t="s">
        <v>30925</v>
      </c>
      <c r="K1945" t="s">
        <v>38488</v>
      </c>
      <c r="M1945" t="s">
        <v>39549</v>
      </c>
      <c r="N1945" t="s">
        <v>42669</v>
      </c>
      <c r="O1945" t="s">
        <v>42670</v>
      </c>
      <c r="P1945">
        <v>0</v>
      </c>
      <c r="Q1945">
        <v>0</v>
      </c>
      <c r="R1945" t="s">
        <v>42674</v>
      </c>
      <c r="S1945" t="s">
        <v>42788</v>
      </c>
      <c r="T1945" t="s">
        <v>44454</v>
      </c>
      <c r="U1945" t="s">
        <v>46429</v>
      </c>
      <c r="W1945" t="s">
        <v>39549</v>
      </c>
      <c r="X1945" t="s">
        <v>42676</v>
      </c>
    </row>
    <row r="1946" spans="1:24">
      <c r="A1946">
        <f>HYPERLINK("https://www.philgeps.gov.ph/GEPSNONPILOT/Tender/SplashBidNoticeAbstractUI.aspx?menuIndex=3&amp;refID=7190839&amp;Result=3","7190839")</f>
        <v>0</v>
      </c>
      <c r="B1946" t="s">
        <v>777</v>
      </c>
      <c r="C1946" t="s">
        <v>5390</v>
      </c>
      <c r="D1946" t="s">
        <v>17161</v>
      </c>
      <c r="E1946" t="s">
        <v>18963</v>
      </c>
      <c r="F1946" t="s">
        <v>29372</v>
      </c>
      <c r="G1946" t="s">
        <v>29380</v>
      </c>
      <c r="H1946" t="s">
        <v>11048</v>
      </c>
      <c r="I1946" t="s">
        <v>29399</v>
      </c>
      <c r="J1946" t="s">
        <v>29799</v>
      </c>
      <c r="K1946" t="s">
        <v>38490</v>
      </c>
      <c r="M1946" t="s">
        <v>39561</v>
      </c>
      <c r="N1946" t="s">
        <v>42669</v>
      </c>
      <c r="O1946" t="s">
        <v>42670</v>
      </c>
      <c r="P1946">
        <v>0</v>
      </c>
      <c r="Q1946">
        <v>0</v>
      </c>
      <c r="R1946" t="s">
        <v>42674</v>
      </c>
      <c r="S1946" t="s">
        <v>42788</v>
      </c>
      <c r="T1946" t="s">
        <v>44565</v>
      </c>
      <c r="U1946" t="s">
        <v>46448</v>
      </c>
      <c r="W1946" t="s">
        <v>39561</v>
      </c>
      <c r="X1946" t="s">
        <v>42676</v>
      </c>
    </row>
    <row r="1947" spans="1:24">
      <c r="A1947">
        <f>HYPERLINK("https://www.philgeps.gov.ph/GEPSNONPILOT/Tender/SplashBidNoticeAbstractUI.aspx?menuIndex=3&amp;refID=7190837&amp;Result=3","7190837")</f>
        <v>0</v>
      </c>
      <c r="B1947" t="s">
        <v>778</v>
      </c>
      <c r="C1947" t="s">
        <v>5391</v>
      </c>
      <c r="D1947" t="s">
        <v>17172</v>
      </c>
      <c r="E1947" t="s">
        <v>18964</v>
      </c>
      <c r="F1947" t="s">
        <v>29372</v>
      </c>
      <c r="G1947" t="s">
        <v>29380</v>
      </c>
      <c r="H1947" t="s">
        <v>29390</v>
      </c>
      <c r="I1947" t="s">
        <v>29417</v>
      </c>
      <c r="J1947" t="s">
        <v>29619</v>
      </c>
      <c r="K1947" t="s">
        <v>38510</v>
      </c>
      <c r="M1947" t="s">
        <v>39562</v>
      </c>
      <c r="N1947" t="s">
        <v>42669</v>
      </c>
      <c r="O1947" t="s">
        <v>42670</v>
      </c>
      <c r="P1947">
        <v>0</v>
      </c>
      <c r="Q1947">
        <v>0</v>
      </c>
      <c r="R1947" t="s">
        <v>42674</v>
      </c>
      <c r="S1947" t="s">
        <v>42788</v>
      </c>
      <c r="T1947" t="s">
        <v>44368</v>
      </c>
      <c r="U1947" t="s">
        <v>46449</v>
      </c>
      <c r="W1947" t="s">
        <v>39562</v>
      </c>
      <c r="X1947" t="s">
        <v>42676</v>
      </c>
    </row>
    <row r="1948" spans="1:24">
      <c r="A1948">
        <f>HYPERLINK("https://www.philgeps.gov.ph/GEPSNONPILOT/Tender/SplashBidNoticeAbstractUI.aspx?menuIndex=3&amp;refID=7190750&amp;Result=3","7190750")</f>
        <v>0</v>
      </c>
      <c r="B1948" t="s">
        <v>741</v>
      </c>
      <c r="C1948" t="s">
        <v>5392</v>
      </c>
      <c r="D1948" t="s">
        <v>17181</v>
      </c>
      <c r="E1948" t="s">
        <v>18965</v>
      </c>
      <c r="F1948" t="s">
        <v>29372</v>
      </c>
      <c r="G1948" t="s">
        <v>29379</v>
      </c>
      <c r="H1948" t="s">
        <v>11048</v>
      </c>
      <c r="I1948" t="s">
        <v>29415</v>
      </c>
      <c r="J1948" t="s">
        <v>30220</v>
      </c>
      <c r="K1948" t="s">
        <v>38485</v>
      </c>
      <c r="M1948" t="s">
        <v>39522</v>
      </c>
      <c r="N1948" t="s">
        <v>42669</v>
      </c>
      <c r="O1948" t="s">
        <v>42670</v>
      </c>
      <c r="P1948">
        <v>0</v>
      </c>
      <c r="Q1948">
        <v>5</v>
      </c>
      <c r="R1948" t="s">
        <v>42674</v>
      </c>
      <c r="S1948" t="s">
        <v>42788</v>
      </c>
      <c r="T1948" t="s">
        <v>44401</v>
      </c>
      <c r="U1948" t="s">
        <v>46381</v>
      </c>
      <c r="W1948" t="s">
        <v>39522</v>
      </c>
      <c r="X1948" t="s">
        <v>42676</v>
      </c>
    </row>
    <row r="1949" spans="1:24">
      <c r="A1949">
        <f>HYPERLINK("https://www.philgeps.gov.ph/GEPSNONPILOT/Tender/SplashBidNoticeAbstractUI.aspx?menuIndex=3&amp;refID=7190834&amp;Result=3","7190834")</f>
        <v>0</v>
      </c>
      <c r="B1949" t="s">
        <v>779</v>
      </c>
      <c r="C1949" t="s">
        <v>5393</v>
      </c>
      <c r="D1949" t="s">
        <v>17169</v>
      </c>
      <c r="E1949" t="s">
        <v>17344</v>
      </c>
      <c r="F1949" t="s">
        <v>29372</v>
      </c>
      <c r="G1949" t="s">
        <v>29383</v>
      </c>
      <c r="H1949" t="s">
        <v>11048</v>
      </c>
      <c r="I1949" t="s">
        <v>29407</v>
      </c>
      <c r="J1949" t="s">
        <v>30710</v>
      </c>
      <c r="K1949" t="s">
        <v>38528</v>
      </c>
      <c r="M1949" t="s">
        <v>39563</v>
      </c>
      <c r="N1949" t="s">
        <v>42669</v>
      </c>
      <c r="O1949" t="s">
        <v>42670</v>
      </c>
      <c r="P1949">
        <v>0</v>
      </c>
      <c r="Q1949">
        <v>6</v>
      </c>
      <c r="R1949" t="s">
        <v>42674</v>
      </c>
      <c r="S1949" t="s">
        <v>42788</v>
      </c>
      <c r="T1949" t="s">
        <v>44462</v>
      </c>
      <c r="U1949" t="s">
        <v>46450</v>
      </c>
      <c r="V1949" t="s">
        <v>56553</v>
      </c>
      <c r="W1949" t="s">
        <v>39563</v>
      </c>
      <c r="X1949" t="s">
        <v>42676</v>
      </c>
    </row>
    <row r="1950" spans="1:24">
      <c r="A1950">
        <f>HYPERLINK("https://www.philgeps.gov.ph/GEPSNONPILOT/Tender/SplashBidNoticeAbstractUI.aspx?menuIndex=3&amp;refID=7190833&amp;Result=3","7190833")</f>
        <v>0</v>
      </c>
      <c r="B1950" t="s">
        <v>769</v>
      </c>
      <c r="C1950" t="s">
        <v>5394</v>
      </c>
      <c r="D1950" t="s">
        <v>17144</v>
      </c>
      <c r="E1950" t="s">
        <v>18966</v>
      </c>
      <c r="F1950" t="s">
        <v>29372</v>
      </c>
      <c r="G1950" t="s">
        <v>29380</v>
      </c>
      <c r="H1950" t="s">
        <v>11048</v>
      </c>
      <c r="I1950" t="s">
        <v>4709</v>
      </c>
      <c r="J1950" t="s">
        <v>30926</v>
      </c>
      <c r="K1950" t="s">
        <v>38485</v>
      </c>
      <c r="M1950" t="s">
        <v>39553</v>
      </c>
      <c r="N1950" t="s">
        <v>42669</v>
      </c>
      <c r="O1950" t="s">
        <v>42670</v>
      </c>
      <c r="P1950">
        <v>0</v>
      </c>
      <c r="Q1950">
        <v>2</v>
      </c>
      <c r="R1950" t="s">
        <v>42674</v>
      </c>
      <c r="S1950" t="s">
        <v>42788</v>
      </c>
      <c r="T1950" t="s">
        <v>44575</v>
      </c>
      <c r="U1950" t="s">
        <v>46451</v>
      </c>
      <c r="W1950" t="s">
        <v>39553</v>
      </c>
      <c r="X1950" t="s">
        <v>42676</v>
      </c>
    </row>
    <row r="1951" spans="1:24">
      <c r="A1951">
        <f>HYPERLINK("https://www.philgeps.gov.ph/GEPSNONPILOT/Tender/SplashBidNoticeAbstractUI.aspx?menuIndex=3&amp;refID=7190832&amp;Result=3","7190832")</f>
        <v>0</v>
      </c>
      <c r="B1951" t="s">
        <v>780</v>
      </c>
      <c r="C1951" t="s">
        <v>5395</v>
      </c>
      <c r="D1951" t="s">
        <v>17205</v>
      </c>
      <c r="E1951" t="s">
        <v>17714</v>
      </c>
      <c r="F1951" t="s">
        <v>29372</v>
      </c>
      <c r="G1951" t="s">
        <v>29380</v>
      </c>
      <c r="H1951" t="s">
        <v>11048</v>
      </c>
      <c r="I1951" t="s">
        <v>4709</v>
      </c>
      <c r="J1951" t="s">
        <v>30927</v>
      </c>
      <c r="K1951" t="s">
        <v>38485</v>
      </c>
      <c r="M1951" t="s">
        <v>39564</v>
      </c>
      <c r="N1951" t="s">
        <v>42669</v>
      </c>
      <c r="O1951" t="s">
        <v>42670</v>
      </c>
      <c r="P1951">
        <v>0</v>
      </c>
      <c r="Q1951">
        <v>2</v>
      </c>
      <c r="R1951" t="s">
        <v>42674</v>
      </c>
      <c r="S1951" t="s">
        <v>42788</v>
      </c>
      <c r="T1951" t="s">
        <v>44456</v>
      </c>
      <c r="U1951" t="s">
        <v>46452</v>
      </c>
      <c r="W1951" t="s">
        <v>39564</v>
      </c>
      <c r="X1951" t="s">
        <v>42676</v>
      </c>
    </row>
    <row r="1952" spans="1:24">
      <c r="A1952">
        <f>HYPERLINK("https://www.philgeps.gov.ph/GEPSNONPILOT/Tender/SplashBidNoticeAbstractUI.aspx?menuIndex=3&amp;refID=7190812&amp;Result=3","7190812")</f>
        <v>0</v>
      </c>
      <c r="B1952" t="s">
        <v>781</v>
      </c>
      <c r="C1952" t="s">
        <v>5396</v>
      </c>
      <c r="D1952" t="s">
        <v>17163</v>
      </c>
      <c r="E1952" t="s">
        <v>18967</v>
      </c>
      <c r="F1952" t="s">
        <v>29372</v>
      </c>
      <c r="G1952" t="s">
        <v>29379</v>
      </c>
      <c r="H1952" t="s">
        <v>11048</v>
      </c>
      <c r="I1952" t="s">
        <v>29396</v>
      </c>
      <c r="J1952" t="s">
        <v>29525</v>
      </c>
      <c r="K1952" t="s">
        <v>38485</v>
      </c>
      <c r="M1952" t="s">
        <v>39565</v>
      </c>
      <c r="N1952" t="s">
        <v>42669</v>
      </c>
      <c r="O1952" t="s">
        <v>42670</v>
      </c>
      <c r="P1952">
        <v>0</v>
      </c>
      <c r="Q1952">
        <v>1</v>
      </c>
      <c r="R1952" t="s">
        <v>42674</v>
      </c>
      <c r="S1952" t="s">
        <v>42788</v>
      </c>
      <c r="T1952" t="s">
        <v>44394</v>
      </c>
      <c r="U1952" t="s">
        <v>46453</v>
      </c>
      <c r="V1952" t="s">
        <v>56554</v>
      </c>
      <c r="W1952" t="s">
        <v>58022</v>
      </c>
      <c r="X1952" t="s">
        <v>42676</v>
      </c>
    </row>
    <row r="1953" spans="1:24">
      <c r="A1953">
        <f>HYPERLINK("https://www.philgeps.gov.ph/GEPSNONPILOT/Tender/SplashBidNoticeAbstractUI.aspx?menuIndex=3&amp;refID=7190793&amp;Result=3","7190793")</f>
        <v>0</v>
      </c>
      <c r="B1953" t="s">
        <v>782</v>
      </c>
      <c r="C1953" t="s">
        <v>5397</v>
      </c>
      <c r="D1953" t="s">
        <v>17204</v>
      </c>
      <c r="E1953" t="s">
        <v>18968</v>
      </c>
      <c r="F1953" t="s">
        <v>29372</v>
      </c>
      <c r="G1953" t="s">
        <v>29383</v>
      </c>
      <c r="H1953" t="s">
        <v>11048</v>
      </c>
      <c r="I1953" t="s">
        <v>29458</v>
      </c>
      <c r="J1953" t="s">
        <v>30928</v>
      </c>
      <c r="K1953" t="s">
        <v>38485</v>
      </c>
      <c r="M1953" t="s">
        <v>39566</v>
      </c>
      <c r="N1953" t="s">
        <v>42669</v>
      </c>
      <c r="O1953" t="s">
        <v>42670</v>
      </c>
      <c r="P1953">
        <v>0</v>
      </c>
      <c r="Q1953">
        <v>3</v>
      </c>
      <c r="R1953" t="s">
        <v>42674</v>
      </c>
      <c r="S1953" t="s">
        <v>42788</v>
      </c>
      <c r="T1953" t="s">
        <v>44512</v>
      </c>
      <c r="U1953" t="s">
        <v>46454</v>
      </c>
      <c r="W1953" t="s">
        <v>39566</v>
      </c>
      <c r="X1953" t="s">
        <v>42676</v>
      </c>
    </row>
    <row r="1954" spans="1:24">
      <c r="A1954">
        <f>HYPERLINK("https://www.philgeps.gov.ph/GEPSNONPILOT/Tender/SplashBidNoticeAbstractUI.aspx?menuIndex=3&amp;refID=7190827&amp;Result=3","7190827")</f>
        <v>0</v>
      </c>
      <c r="B1954" t="s">
        <v>735</v>
      </c>
      <c r="C1954" t="s">
        <v>5398</v>
      </c>
      <c r="D1954" t="s">
        <v>17197</v>
      </c>
      <c r="E1954" t="s">
        <v>18969</v>
      </c>
      <c r="F1954" t="s">
        <v>29372</v>
      </c>
      <c r="G1954" t="s">
        <v>29383</v>
      </c>
      <c r="H1954" t="s">
        <v>11048</v>
      </c>
      <c r="I1954" t="s">
        <v>5383</v>
      </c>
      <c r="J1954" t="s">
        <v>30802</v>
      </c>
      <c r="K1954" t="s">
        <v>38488</v>
      </c>
      <c r="M1954" t="s">
        <v>39516</v>
      </c>
      <c r="N1954" t="s">
        <v>42669</v>
      </c>
      <c r="O1954" t="s">
        <v>42670</v>
      </c>
      <c r="P1954">
        <v>0</v>
      </c>
      <c r="Q1954">
        <v>0</v>
      </c>
      <c r="R1954" t="s">
        <v>42674</v>
      </c>
      <c r="S1954" t="s">
        <v>42788</v>
      </c>
      <c r="T1954" t="s">
        <v>44530</v>
      </c>
      <c r="U1954" t="s">
        <v>46455</v>
      </c>
      <c r="W1954" t="s">
        <v>39516</v>
      </c>
      <c r="X1954" t="s">
        <v>42676</v>
      </c>
    </row>
    <row r="1955" spans="1:24">
      <c r="A1955">
        <f>HYPERLINK("https://www.philgeps.gov.ph/GEPSNONPILOT/Tender/SplashBidNoticeAbstractUI.aspx?menuIndex=3&amp;refID=7190682&amp;Result=3","7190682")</f>
        <v>0</v>
      </c>
      <c r="B1955" t="s">
        <v>750</v>
      </c>
      <c r="C1955" t="s">
        <v>5399</v>
      </c>
      <c r="D1955" t="s">
        <v>17181</v>
      </c>
      <c r="E1955" t="s">
        <v>18970</v>
      </c>
      <c r="F1955" t="s">
        <v>29372</v>
      </c>
      <c r="G1955" t="s">
        <v>29379</v>
      </c>
      <c r="H1955" t="s">
        <v>11048</v>
      </c>
      <c r="I1955" t="s">
        <v>14920</v>
      </c>
      <c r="J1955" t="s">
        <v>30929</v>
      </c>
      <c r="K1955" t="s">
        <v>38490</v>
      </c>
      <c r="M1955" t="s">
        <v>39533</v>
      </c>
      <c r="N1955" t="s">
        <v>42669</v>
      </c>
      <c r="O1955" t="s">
        <v>42670</v>
      </c>
      <c r="P1955">
        <v>0</v>
      </c>
      <c r="Q1955">
        <v>0</v>
      </c>
      <c r="R1955" t="s">
        <v>42674</v>
      </c>
      <c r="S1955" t="s">
        <v>42788</v>
      </c>
      <c r="T1955" t="s">
        <v>44429</v>
      </c>
      <c r="U1955" t="s">
        <v>46456</v>
      </c>
      <c r="W1955" t="s">
        <v>39533</v>
      </c>
      <c r="X1955" t="s">
        <v>42676</v>
      </c>
    </row>
    <row r="1956" spans="1:24">
      <c r="A1956">
        <f>HYPERLINK("https://www.philgeps.gov.ph/GEPSNONPILOT/Tender/SplashBidNoticeAbstractUI.aspx?menuIndex=3&amp;refID=7190824&amp;Result=3","7190824")</f>
        <v>0</v>
      </c>
      <c r="B1956" t="s">
        <v>660</v>
      </c>
      <c r="C1956" t="s">
        <v>5400</v>
      </c>
      <c r="D1956" t="s">
        <v>17199</v>
      </c>
      <c r="E1956" t="s">
        <v>18971</v>
      </c>
      <c r="F1956" t="s">
        <v>29372</v>
      </c>
      <c r="G1956" t="s">
        <v>29379</v>
      </c>
      <c r="H1956" t="s">
        <v>11048</v>
      </c>
      <c r="I1956" t="s">
        <v>4709</v>
      </c>
      <c r="J1956" t="s">
        <v>30930</v>
      </c>
      <c r="K1956" t="s">
        <v>38490</v>
      </c>
      <c r="M1956" t="s">
        <v>39436</v>
      </c>
      <c r="N1956" t="s">
        <v>42669</v>
      </c>
      <c r="O1956" t="s">
        <v>42670</v>
      </c>
      <c r="P1956">
        <v>0</v>
      </c>
      <c r="Q1956">
        <v>2</v>
      </c>
      <c r="R1956" t="s">
        <v>42674</v>
      </c>
      <c r="S1956" t="s">
        <v>42788</v>
      </c>
      <c r="T1956" t="s">
        <v>44496</v>
      </c>
      <c r="U1956" t="s">
        <v>46457</v>
      </c>
      <c r="W1956" t="s">
        <v>39436</v>
      </c>
      <c r="X1956" t="s">
        <v>42676</v>
      </c>
    </row>
    <row r="1957" spans="1:24">
      <c r="A1957">
        <f>HYPERLINK("https://www.philgeps.gov.ph/GEPSNONPILOT/Tender/SplashBidNoticeAbstractUI.aspx?menuIndex=3&amp;refID=7190822&amp;Result=3","7190822")</f>
        <v>0</v>
      </c>
      <c r="B1957" t="s">
        <v>742</v>
      </c>
      <c r="C1957" t="s">
        <v>5318</v>
      </c>
      <c r="D1957" t="s">
        <v>17175</v>
      </c>
      <c r="E1957" t="s">
        <v>18972</v>
      </c>
      <c r="F1957" t="s">
        <v>29372</v>
      </c>
      <c r="G1957" t="s">
        <v>29379</v>
      </c>
      <c r="H1957" t="s">
        <v>11048</v>
      </c>
      <c r="I1957" t="s">
        <v>14920</v>
      </c>
      <c r="J1957" t="s">
        <v>30931</v>
      </c>
      <c r="K1957" t="s">
        <v>38510</v>
      </c>
      <c r="M1957" t="s">
        <v>39523</v>
      </c>
      <c r="N1957" t="s">
        <v>42669</v>
      </c>
      <c r="O1957" t="s">
        <v>42670</v>
      </c>
      <c r="P1957">
        <v>0</v>
      </c>
      <c r="Q1957">
        <v>1</v>
      </c>
      <c r="R1957" t="s">
        <v>42674</v>
      </c>
      <c r="S1957" t="s">
        <v>42788</v>
      </c>
      <c r="T1957" t="s">
        <v>44375</v>
      </c>
      <c r="U1957" t="s">
        <v>46458</v>
      </c>
      <c r="W1957" t="s">
        <v>39523</v>
      </c>
      <c r="X1957" t="s">
        <v>42676</v>
      </c>
    </row>
    <row r="1958" spans="1:24">
      <c r="A1958">
        <f>HYPERLINK("https://www.philgeps.gov.ph/GEPSNONPILOT/Tender/SplashBidNoticeAbstractUI.aspx?menuIndex=3&amp;refID=7190797&amp;Result=3","7190797")</f>
        <v>0</v>
      </c>
      <c r="B1958" t="s">
        <v>740</v>
      </c>
      <c r="C1958" t="s">
        <v>5401</v>
      </c>
      <c r="D1958" t="s">
        <v>17165</v>
      </c>
      <c r="E1958" t="s">
        <v>18973</v>
      </c>
      <c r="F1958" t="s">
        <v>29372</v>
      </c>
      <c r="G1958" t="s">
        <v>29380</v>
      </c>
      <c r="H1958" t="s">
        <v>29391</v>
      </c>
      <c r="I1958" t="s">
        <v>29391</v>
      </c>
      <c r="J1958" t="s">
        <v>30932</v>
      </c>
      <c r="K1958" t="s">
        <v>38565</v>
      </c>
      <c r="M1958" t="s">
        <v>39521</v>
      </c>
      <c r="N1958" t="s">
        <v>42669</v>
      </c>
      <c r="O1958" t="s">
        <v>42670</v>
      </c>
      <c r="P1958">
        <v>0</v>
      </c>
      <c r="Q1958">
        <v>3</v>
      </c>
      <c r="R1958" t="s">
        <v>42674</v>
      </c>
      <c r="S1958" t="s">
        <v>42788</v>
      </c>
      <c r="T1958" t="s">
        <v>44475</v>
      </c>
      <c r="U1958" t="s">
        <v>46459</v>
      </c>
      <c r="W1958" t="s">
        <v>39521</v>
      </c>
      <c r="X1958" t="s">
        <v>42676</v>
      </c>
    </row>
    <row r="1959" spans="1:24">
      <c r="A1959">
        <f>HYPERLINK("https://www.philgeps.gov.ph/GEPSNONPILOT/Tender/SplashBidNoticeAbstractUI.aspx?menuIndex=3&amp;refID=7190820&amp;Result=3","7190820")</f>
        <v>0</v>
      </c>
      <c r="B1959" t="s">
        <v>783</v>
      </c>
      <c r="C1959" t="s">
        <v>5402</v>
      </c>
      <c r="D1959" t="s">
        <v>17141</v>
      </c>
      <c r="E1959" t="s">
        <v>18974</v>
      </c>
      <c r="F1959" t="s">
        <v>29372</v>
      </c>
      <c r="G1959" t="s">
        <v>29379</v>
      </c>
      <c r="H1959" t="s">
        <v>11048</v>
      </c>
      <c r="I1959" t="s">
        <v>29395</v>
      </c>
      <c r="J1959" t="s">
        <v>29692</v>
      </c>
      <c r="K1959" t="s">
        <v>38491</v>
      </c>
      <c r="M1959" t="s">
        <v>39567</v>
      </c>
      <c r="N1959" t="s">
        <v>42669</v>
      </c>
      <c r="O1959" t="s">
        <v>42670</v>
      </c>
      <c r="P1959">
        <v>0</v>
      </c>
      <c r="Q1959">
        <v>1</v>
      </c>
      <c r="R1959" t="s">
        <v>42674</v>
      </c>
      <c r="S1959" t="s">
        <v>42788</v>
      </c>
      <c r="T1959" t="s">
        <v>44382</v>
      </c>
      <c r="U1959" t="s">
        <v>46460</v>
      </c>
      <c r="V1959" t="s">
        <v>56555</v>
      </c>
      <c r="W1959" t="s">
        <v>39567</v>
      </c>
      <c r="X1959" t="s">
        <v>42676</v>
      </c>
    </row>
    <row r="1960" spans="1:24">
      <c r="A1960">
        <f>HYPERLINK("https://www.philgeps.gov.ph/GEPSNONPILOT/Tender/SplashBidNoticeAbstractUI.aspx?menuIndex=3&amp;refID=7190830&amp;Result=3","7190830")</f>
        <v>0</v>
      </c>
      <c r="B1960" t="s">
        <v>776</v>
      </c>
      <c r="C1960" t="s">
        <v>5403</v>
      </c>
      <c r="D1960" t="s">
        <v>17169</v>
      </c>
      <c r="E1960" t="s">
        <v>18975</v>
      </c>
      <c r="F1960" t="s">
        <v>29372</v>
      </c>
      <c r="G1960" t="s">
        <v>29380</v>
      </c>
      <c r="H1960" t="s">
        <v>29389</v>
      </c>
      <c r="I1960" t="s">
        <v>10408</v>
      </c>
      <c r="J1960" t="s">
        <v>30933</v>
      </c>
      <c r="K1960" t="s">
        <v>38523</v>
      </c>
      <c r="L1960" t="s">
        <v>776</v>
      </c>
      <c r="M1960" t="s">
        <v>39560</v>
      </c>
      <c r="N1960" t="s">
        <v>42669</v>
      </c>
      <c r="O1960" t="s">
        <v>42670</v>
      </c>
      <c r="P1960">
        <v>0</v>
      </c>
      <c r="Q1960">
        <v>1</v>
      </c>
      <c r="R1960" t="s">
        <v>42674</v>
      </c>
      <c r="S1960" t="s">
        <v>42788</v>
      </c>
      <c r="T1960" t="s">
        <v>44542</v>
      </c>
      <c r="U1960" t="s">
        <v>45288</v>
      </c>
      <c r="W1960" t="s">
        <v>39560</v>
      </c>
      <c r="X1960" t="s">
        <v>42676</v>
      </c>
    </row>
    <row r="1961" spans="1:24">
      <c r="A1961">
        <f>HYPERLINK("https://www.philgeps.gov.ph/GEPSNONPILOT/Tender/SplashBidNoticeAbstractUI.aspx?menuIndex=3&amp;refID=7190817&amp;Result=3","7190817")</f>
        <v>0</v>
      </c>
      <c r="B1961" t="s">
        <v>755</v>
      </c>
      <c r="C1961" t="s">
        <v>5404</v>
      </c>
      <c r="D1961" t="s">
        <v>17174</v>
      </c>
      <c r="E1961" t="s">
        <v>18976</v>
      </c>
      <c r="F1961" t="s">
        <v>29372</v>
      </c>
      <c r="G1961" t="s">
        <v>29379</v>
      </c>
      <c r="H1961" t="s">
        <v>11048</v>
      </c>
      <c r="I1961" t="s">
        <v>29394</v>
      </c>
      <c r="J1961" t="s">
        <v>30934</v>
      </c>
      <c r="K1961" t="s">
        <v>38488</v>
      </c>
      <c r="M1961" t="s">
        <v>39538</v>
      </c>
      <c r="N1961" t="s">
        <v>42669</v>
      </c>
      <c r="O1961" t="s">
        <v>42670</v>
      </c>
      <c r="P1961">
        <v>0</v>
      </c>
      <c r="Q1961">
        <v>0</v>
      </c>
      <c r="R1961" t="s">
        <v>42674</v>
      </c>
      <c r="S1961" t="s">
        <v>42788</v>
      </c>
      <c r="T1961" t="s">
        <v>44454</v>
      </c>
      <c r="U1961" t="s">
        <v>46461</v>
      </c>
      <c r="W1961" t="s">
        <v>39538</v>
      </c>
      <c r="X1961" t="s">
        <v>42676</v>
      </c>
    </row>
    <row r="1962" spans="1:24">
      <c r="A1962">
        <f>HYPERLINK("https://www.philgeps.gov.ph/GEPSNONPILOT/Tender/SplashBidNoticeAbstractUI.aspx?menuIndex=3&amp;refID=7190814&amp;Result=3","7190814")</f>
        <v>0</v>
      </c>
      <c r="B1962" t="s">
        <v>784</v>
      </c>
      <c r="C1962" t="s">
        <v>5405</v>
      </c>
      <c r="D1962" t="s">
        <v>17166</v>
      </c>
      <c r="E1962" t="s">
        <v>18977</v>
      </c>
      <c r="F1962" t="s">
        <v>29372</v>
      </c>
      <c r="G1962" t="s">
        <v>29380</v>
      </c>
      <c r="H1962" t="s">
        <v>29389</v>
      </c>
      <c r="I1962" t="s">
        <v>10408</v>
      </c>
      <c r="J1962" t="s">
        <v>30935</v>
      </c>
      <c r="K1962" t="s">
        <v>38490</v>
      </c>
      <c r="M1962" t="s">
        <v>39568</v>
      </c>
      <c r="N1962" t="s">
        <v>42669</v>
      </c>
      <c r="O1962" t="s">
        <v>42670</v>
      </c>
      <c r="P1962">
        <v>0</v>
      </c>
      <c r="Q1962">
        <v>0</v>
      </c>
      <c r="R1962" t="s">
        <v>42674</v>
      </c>
      <c r="S1962" t="s">
        <v>42788</v>
      </c>
      <c r="T1962" t="s">
        <v>44430</v>
      </c>
      <c r="U1962" t="s">
        <v>46462</v>
      </c>
      <c r="W1962" t="s">
        <v>39568</v>
      </c>
      <c r="X1962" t="s">
        <v>42676</v>
      </c>
    </row>
    <row r="1963" spans="1:24">
      <c r="A1963">
        <f>HYPERLINK("https://www.philgeps.gov.ph/GEPSNONPILOT/Tender/SplashBidNoticeAbstractUI.aspx?menuIndex=3&amp;refID=7190808&amp;Result=3","7190808")</f>
        <v>0</v>
      </c>
      <c r="B1963" t="s">
        <v>662</v>
      </c>
      <c r="C1963" t="s">
        <v>5406</v>
      </c>
      <c r="D1963" t="s">
        <v>17211</v>
      </c>
      <c r="E1963" t="s">
        <v>18978</v>
      </c>
      <c r="F1963" t="s">
        <v>29372</v>
      </c>
      <c r="G1963" t="s">
        <v>29382</v>
      </c>
      <c r="H1963" t="s">
        <v>11048</v>
      </c>
      <c r="I1963" t="s">
        <v>3670</v>
      </c>
      <c r="J1963" t="s">
        <v>29650</v>
      </c>
      <c r="K1963" t="s">
        <v>38485</v>
      </c>
      <c r="M1963" t="s">
        <v>39438</v>
      </c>
      <c r="N1963" t="s">
        <v>42669</v>
      </c>
      <c r="O1963" t="s">
        <v>42670</v>
      </c>
      <c r="P1963">
        <v>0</v>
      </c>
      <c r="Q1963">
        <v>1</v>
      </c>
      <c r="R1963" t="s">
        <v>42674</v>
      </c>
      <c r="S1963" t="s">
        <v>42788</v>
      </c>
      <c r="T1963" t="s">
        <v>44491</v>
      </c>
      <c r="U1963" t="s">
        <v>46463</v>
      </c>
      <c r="W1963" t="s">
        <v>39438</v>
      </c>
      <c r="X1963" t="s">
        <v>42676</v>
      </c>
    </row>
    <row r="1964" spans="1:24">
      <c r="A1964">
        <f>HYPERLINK("https://www.philgeps.gov.ph/GEPSNONPILOT/Tender/SplashBidNoticeAbstractUI.aspx?menuIndex=3&amp;refID=7190745&amp;Result=3","7190745")</f>
        <v>0</v>
      </c>
      <c r="B1964" t="s">
        <v>771</v>
      </c>
      <c r="C1964" t="s">
        <v>5407</v>
      </c>
      <c r="D1964" t="s">
        <v>17141</v>
      </c>
      <c r="E1964" t="s">
        <v>18979</v>
      </c>
      <c r="F1964" t="s">
        <v>29372</v>
      </c>
      <c r="G1964" t="s">
        <v>29379</v>
      </c>
      <c r="H1964" t="s">
        <v>11048</v>
      </c>
      <c r="I1964" t="s">
        <v>5383</v>
      </c>
      <c r="J1964" t="s">
        <v>30936</v>
      </c>
      <c r="K1964" t="s">
        <v>38485</v>
      </c>
      <c r="M1964" t="s">
        <v>39555</v>
      </c>
      <c r="N1964" t="s">
        <v>42669</v>
      </c>
      <c r="O1964" t="s">
        <v>42670</v>
      </c>
      <c r="P1964">
        <v>0</v>
      </c>
      <c r="Q1964">
        <v>7</v>
      </c>
      <c r="R1964" t="s">
        <v>42674</v>
      </c>
      <c r="S1964" t="s">
        <v>42788</v>
      </c>
      <c r="T1964" t="s">
        <v>44424</v>
      </c>
      <c r="U1964" t="s">
        <v>46440</v>
      </c>
      <c r="W1964" t="s">
        <v>39555</v>
      </c>
      <c r="X1964" t="s">
        <v>42676</v>
      </c>
    </row>
    <row r="1965" spans="1:24">
      <c r="A1965">
        <f>HYPERLINK("https://www.philgeps.gov.ph/GEPSNONPILOT/Tender/SplashBidNoticeAbstractUI.aspx?menuIndex=3&amp;refID=7190779&amp;Result=3","7190779")</f>
        <v>0</v>
      </c>
      <c r="B1965" t="s">
        <v>771</v>
      </c>
      <c r="C1965" t="s">
        <v>5408</v>
      </c>
      <c r="D1965" t="s">
        <v>17141</v>
      </c>
      <c r="E1965" t="s">
        <v>18980</v>
      </c>
      <c r="F1965" t="s">
        <v>29372</v>
      </c>
      <c r="G1965" t="s">
        <v>29379</v>
      </c>
      <c r="H1965" t="s">
        <v>11048</v>
      </c>
      <c r="I1965" t="s">
        <v>29426</v>
      </c>
      <c r="J1965" t="s">
        <v>29804</v>
      </c>
      <c r="K1965" t="s">
        <v>38488</v>
      </c>
      <c r="M1965" t="s">
        <v>39555</v>
      </c>
      <c r="N1965" t="s">
        <v>42669</v>
      </c>
      <c r="O1965" t="s">
        <v>42670</v>
      </c>
      <c r="P1965">
        <v>0</v>
      </c>
      <c r="Q1965">
        <v>13</v>
      </c>
      <c r="R1965" t="s">
        <v>42674</v>
      </c>
      <c r="S1965" t="s">
        <v>42788</v>
      </c>
      <c r="T1965" t="s">
        <v>44424</v>
      </c>
      <c r="U1965" t="s">
        <v>46440</v>
      </c>
      <c r="W1965" t="s">
        <v>39555</v>
      </c>
      <c r="X1965" t="s">
        <v>42676</v>
      </c>
    </row>
    <row r="1966" spans="1:24">
      <c r="A1966">
        <f>HYPERLINK("https://www.philgeps.gov.ph/GEPSNONPILOT/Tender/SplashBidNoticeAbstractUI.aspx?menuIndex=3&amp;refID=7190819&amp;Result=3","7190819")</f>
        <v>0</v>
      </c>
      <c r="B1966" t="s">
        <v>785</v>
      </c>
      <c r="C1966" t="s">
        <v>5409</v>
      </c>
      <c r="D1966" t="s">
        <v>17171</v>
      </c>
      <c r="E1966" t="s">
        <v>18981</v>
      </c>
      <c r="F1966" t="s">
        <v>29372</v>
      </c>
      <c r="G1966" t="s">
        <v>29379</v>
      </c>
      <c r="H1966" t="s">
        <v>29390</v>
      </c>
      <c r="I1966" t="s">
        <v>29396</v>
      </c>
      <c r="J1966" t="s">
        <v>29767</v>
      </c>
      <c r="K1966" t="s">
        <v>38580</v>
      </c>
      <c r="M1966" t="s">
        <v>39569</v>
      </c>
      <c r="N1966" t="s">
        <v>42669</v>
      </c>
      <c r="O1966" t="s">
        <v>42670</v>
      </c>
      <c r="P1966">
        <v>0</v>
      </c>
      <c r="Q1966">
        <v>0</v>
      </c>
      <c r="R1966" t="s">
        <v>42674</v>
      </c>
      <c r="S1966" t="s">
        <v>42788</v>
      </c>
      <c r="T1966" t="s">
        <v>44525</v>
      </c>
      <c r="U1966" t="s">
        <v>46464</v>
      </c>
      <c r="W1966" t="s">
        <v>39569</v>
      </c>
      <c r="X1966" t="s">
        <v>42676</v>
      </c>
    </row>
    <row r="1967" spans="1:24">
      <c r="A1967">
        <f>HYPERLINK("https://www.philgeps.gov.ph/GEPSNONPILOT/Tender/SplashBidNoticeAbstractUI.aspx?menuIndex=3&amp;refID=7190815&amp;Result=3","7190815")</f>
        <v>0</v>
      </c>
      <c r="B1967" t="s">
        <v>771</v>
      </c>
      <c r="C1967" t="s">
        <v>5410</v>
      </c>
      <c r="D1967" t="s">
        <v>17141</v>
      </c>
      <c r="E1967" t="s">
        <v>18982</v>
      </c>
      <c r="F1967" t="s">
        <v>29372</v>
      </c>
      <c r="G1967" t="s">
        <v>29382</v>
      </c>
      <c r="H1967" t="s">
        <v>11048</v>
      </c>
      <c r="I1967" t="s">
        <v>29411</v>
      </c>
      <c r="J1967" t="s">
        <v>30937</v>
      </c>
      <c r="K1967" t="s">
        <v>38510</v>
      </c>
      <c r="M1967" t="s">
        <v>39555</v>
      </c>
      <c r="N1967" t="s">
        <v>42669</v>
      </c>
      <c r="O1967" t="s">
        <v>42670</v>
      </c>
      <c r="P1967">
        <v>0</v>
      </c>
      <c r="Q1967">
        <v>4</v>
      </c>
      <c r="R1967" t="s">
        <v>42674</v>
      </c>
      <c r="S1967" t="s">
        <v>42788</v>
      </c>
      <c r="T1967" t="s">
        <v>44424</v>
      </c>
      <c r="U1967" t="s">
        <v>46440</v>
      </c>
      <c r="W1967" t="s">
        <v>39555</v>
      </c>
      <c r="X1967" t="s">
        <v>42676</v>
      </c>
    </row>
    <row r="1968" spans="1:24">
      <c r="A1968">
        <f>HYPERLINK("https://www.philgeps.gov.ph/GEPSNONPILOT/Tender/SplashBidNoticeAbstractUI.aspx?menuIndex=3&amp;refID=7190842&amp;Result=3","7190842")</f>
        <v>0</v>
      </c>
      <c r="B1968" t="s">
        <v>786</v>
      </c>
      <c r="C1968" t="s">
        <v>5411</v>
      </c>
      <c r="D1968" t="s">
        <v>17173</v>
      </c>
      <c r="E1968" t="s">
        <v>18983</v>
      </c>
      <c r="F1968" t="s">
        <v>29372</v>
      </c>
      <c r="G1968" t="s">
        <v>29381</v>
      </c>
      <c r="H1968" t="s">
        <v>11048</v>
      </c>
      <c r="I1968" t="s">
        <v>4709</v>
      </c>
      <c r="J1968" t="s">
        <v>30938</v>
      </c>
      <c r="K1968" t="s">
        <v>38496</v>
      </c>
      <c r="M1968" t="s">
        <v>39570</v>
      </c>
      <c r="N1968" t="s">
        <v>42669</v>
      </c>
      <c r="O1968" t="s">
        <v>42670</v>
      </c>
      <c r="P1968">
        <v>0</v>
      </c>
      <c r="Q1968">
        <v>0</v>
      </c>
      <c r="R1968" t="s">
        <v>42674</v>
      </c>
      <c r="S1968" t="s">
        <v>42788</v>
      </c>
      <c r="T1968" t="s">
        <v>44576</v>
      </c>
      <c r="U1968" t="s">
        <v>46465</v>
      </c>
      <c r="V1968" t="s">
        <v>56556</v>
      </c>
      <c r="W1968" t="s">
        <v>39570</v>
      </c>
      <c r="X1968" t="s">
        <v>42676</v>
      </c>
    </row>
    <row r="1969" spans="1:24">
      <c r="A1969">
        <f>HYPERLINK("https://www.philgeps.gov.ph/GEPSNONPILOT/Tender/SplashBidNoticeAbstractUI.aspx?menuIndex=3&amp;refID=7190873&amp;Result=3","7190873")</f>
        <v>0</v>
      </c>
      <c r="B1969" t="s">
        <v>787</v>
      </c>
      <c r="C1969" t="s">
        <v>5412</v>
      </c>
      <c r="D1969" t="s">
        <v>17166</v>
      </c>
      <c r="E1969" t="s">
        <v>18984</v>
      </c>
      <c r="F1969" t="s">
        <v>29372</v>
      </c>
      <c r="G1969" t="s">
        <v>29380</v>
      </c>
      <c r="H1969" t="s">
        <v>11048</v>
      </c>
      <c r="I1969" t="s">
        <v>3839</v>
      </c>
      <c r="J1969" t="s">
        <v>30939</v>
      </c>
      <c r="K1969" t="s">
        <v>38485</v>
      </c>
      <c r="M1969" t="s">
        <v>39571</v>
      </c>
      <c r="N1969" t="s">
        <v>42669</v>
      </c>
      <c r="O1969" t="s">
        <v>42670</v>
      </c>
      <c r="P1969">
        <v>0</v>
      </c>
      <c r="Q1969">
        <v>4</v>
      </c>
      <c r="R1969" t="s">
        <v>42674</v>
      </c>
      <c r="S1969" t="s">
        <v>42788</v>
      </c>
      <c r="T1969" t="s">
        <v>44470</v>
      </c>
      <c r="U1969" t="s">
        <v>46466</v>
      </c>
      <c r="W1969" t="s">
        <v>39571</v>
      </c>
      <c r="X1969" t="s">
        <v>42676</v>
      </c>
    </row>
    <row r="1970" spans="1:24">
      <c r="A1970">
        <f>HYPERLINK("https://www.philgeps.gov.ph/GEPSNONPILOT/Tender/SplashBidNoticeAbstractUI.aspx?menuIndex=3&amp;refID=7190809&amp;Result=3","7190809")</f>
        <v>0</v>
      </c>
      <c r="B1970" t="s">
        <v>788</v>
      </c>
      <c r="C1970" t="s">
        <v>5413</v>
      </c>
      <c r="D1970" t="s">
        <v>17187</v>
      </c>
      <c r="E1970" t="s">
        <v>17965</v>
      </c>
      <c r="F1970" t="s">
        <v>29372</v>
      </c>
      <c r="G1970" t="s">
        <v>29383</v>
      </c>
      <c r="H1970" t="s">
        <v>11048</v>
      </c>
      <c r="I1970" t="s">
        <v>5383</v>
      </c>
      <c r="J1970" t="s">
        <v>30940</v>
      </c>
      <c r="K1970" t="s">
        <v>38491</v>
      </c>
      <c r="M1970" t="s">
        <v>39572</v>
      </c>
      <c r="N1970" t="s">
        <v>42669</v>
      </c>
      <c r="O1970" t="s">
        <v>42670</v>
      </c>
      <c r="P1970">
        <v>0</v>
      </c>
      <c r="Q1970">
        <v>2</v>
      </c>
      <c r="R1970" t="s">
        <v>42674</v>
      </c>
      <c r="S1970" t="s">
        <v>42788</v>
      </c>
      <c r="T1970" t="s">
        <v>44429</v>
      </c>
      <c r="U1970" t="s">
        <v>46467</v>
      </c>
      <c r="V1970" t="s">
        <v>56557</v>
      </c>
      <c r="W1970" t="s">
        <v>39572</v>
      </c>
      <c r="X1970" t="s">
        <v>42676</v>
      </c>
    </row>
    <row r="1971" spans="1:24">
      <c r="A1971">
        <f>HYPERLINK("https://www.philgeps.gov.ph/GEPSNONPILOT/Tender/SplashBidNoticeAbstractUI.aspx?menuIndex=3&amp;refID=7190872&amp;Result=3","7190872")</f>
        <v>0</v>
      </c>
      <c r="B1971" t="s">
        <v>789</v>
      </c>
      <c r="C1971" t="s">
        <v>5414</v>
      </c>
      <c r="D1971" t="s">
        <v>17185</v>
      </c>
      <c r="E1971" t="s">
        <v>18985</v>
      </c>
      <c r="F1971" t="s">
        <v>29372</v>
      </c>
      <c r="G1971" t="s">
        <v>29383</v>
      </c>
      <c r="H1971" t="s">
        <v>11048</v>
      </c>
      <c r="I1971" t="s">
        <v>4709</v>
      </c>
      <c r="J1971" t="s">
        <v>30941</v>
      </c>
      <c r="K1971" t="s">
        <v>38485</v>
      </c>
      <c r="M1971" t="s">
        <v>39573</v>
      </c>
      <c r="N1971" t="s">
        <v>42669</v>
      </c>
      <c r="O1971" t="s">
        <v>42670</v>
      </c>
      <c r="P1971">
        <v>0</v>
      </c>
      <c r="Q1971">
        <v>1</v>
      </c>
      <c r="R1971" t="s">
        <v>42674</v>
      </c>
      <c r="S1971" t="s">
        <v>42788</v>
      </c>
      <c r="T1971" t="s">
        <v>44382</v>
      </c>
      <c r="U1971" t="s">
        <v>46468</v>
      </c>
      <c r="W1971" t="s">
        <v>39573</v>
      </c>
      <c r="X1971" t="s">
        <v>42676</v>
      </c>
    </row>
    <row r="1972" spans="1:24">
      <c r="A1972">
        <f>HYPERLINK("https://www.philgeps.gov.ph/GEPSNONPILOT/Tender/SplashBidNoticeAbstractUI.aspx?menuIndex=3&amp;refID=7190871&amp;Result=3","7190871")</f>
        <v>0</v>
      </c>
      <c r="B1972" t="s">
        <v>743</v>
      </c>
      <c r="C1972" t="s">
        <v>5415</v>
      </c>
      <c r="D1972" t="s">
        <v>17197</v>
      </c>
      <c r="E1972" t="s">
        <v>18986</v>
      </c>
      <c r="F1972" t="s">
        <v>29372</v>
      </c>
      <c r="G1972" t="s">
        <v>29380</v>
      </c>
      <c r="H1972" t="s">
        <v>29389</v>
      </c>
      <c r="I1972" t="s">
        <v>10408</v>
      </c>
      <c r="J1972" t="s">
        <v>30942</v>
      </c>
      <c r="K1972" t="s">
        <v>38564</v>
      </c>
      <c r="M1972" t="s">
        <v>39524</v>
      </c>
      <c r="N1972" t="s">
        <v>42669</v>
      </c>
      <c r="O1972" t="s">
        <v>42670</v>
      </c>
      <c r="P1972">
        <v>0</v>
      </c>
      <c r="Q1972">
        <v>0</v>
      </c>
      <c r="R1972" t="s">
        <v>42674</v>
      </c>
      <c r="S1972" t="s">
        <v>42788</v>
      </c>
      <c r="T1972" t="s">
        <v>44577</v>
      </c>
      <c r="U1972" t="s">
        <v>46469</v>
      </c>
      <c r="W1972" t="s">
        <v>39524</v>
      </c>
      <c r="X1972" t="s">
        <v>42676</v>
      </c>
    </row>
    <row r="1973" spans="1:24">
      <c r="A1973">
        <f>HYPERLINK("https://www.philgeps.gov.ph/GEPSNONPILOT/Tender/SplashBidNoticeAbstractUI.aspx?menuIndex=3&amp;refID=7190867&amp;Result=3","7190867")</f>
        <v>0</v>
      </c>
      <c r="B1973" t="s">
        <v>790</v>
      </c>
      <c r="C1973" t="s">
        <v>5416</v>
      </c>
      <c r="E1973" t="s">
        <v>18987</v>
      </c>
      <c r="F1973" t="s">
        <v>29372</v>
      </c>
      <c r="G1973" t="s">
        <v>29380</v>
      </c>
      <c r="H1973" t="s">
        <v>11048</v>
      </c>
      <c r="I1973" t="s">
        <v>4486</v>
      </c>
      <c r="J1973" t="s">
        <v>30943</v>
      </c>
      <c r="K1973" t="s">
        <v>38490</v>
      </c>
      <c r="M1973" t="s">
        <v>39574</v>
      </c>
      <c r="N1973" t="s">
        <v>42669</v>
      </c>
      <c r="O1973" t="s">
        <v>42670</v>
      </c>
      <c r="P1973">
        <v>0</v>
      </c>
      <c r="Q1973">
        <v>3</v>
      </c>
      <c r="R1973" t="s">
        <v>42674</v>
      </c>
      <c r="S1973" t="s">
        <v>42788</v>
      </c>
      <c r="T1973" t="s">
        <v>44379</v>
      </c>
      <c r="U1973" t="s">
        <v>46470</v>
      </c>
      <c r="W1973" t="s">
        <v>39574</v>
      </c>
      <c r="X1973" t="s">
        <v>42676</v>
      </c>
    </row>
    <row r="1974" spans="1:24">
      <c r="A1974">
        <f>HYPERLINK("https://www.philgeps.gov.ph/GEPSNONPILOT/Tender/SplashBidNoticeAbstractUI.aspx?menuIndex=3&amp;refID=7190866&amp;Result=3","7190866")</f>
        <v>0</v>
      </c>
      <c r="B1974" t="s">
        <v>753</v>
      </c>
      <c r="C1974" t="s">
        <v>5417</v>
      </c>
      <c r="D1974" t="s">
        <v>17186</v>
      </c>
      <c r="E1974" t="s">
        <v>18988</v>
      </c>
      <c r="F1974" t="s">
        <v>29372</v>
      </c>
      <c r="G1974" t="s">
        <v>29380</v>
      </c>
      <c r="H1974" t="s">
        <v>11048</v>
      </c>
      <c r="I1974" t="s">
        <v>4709</v>
      </c>
      <c r="J1974" t="s">
        <v>30944</v>
      </c>
      <c r="K1974" t="s">
        <v>38491</v>
      </c>
      <c r="M1974" t="s">
        <v>39536</v>
      </c>
      <c r="N1974" t="s">
        <v>42669</v>
      </c>
      <c r="O1974" t="s">
        <v>42670</v>
      </c>
      <c r="P1974">
        <v>0</v>
      </c>
      <c r="Q1974">
        <v>0</v>
      </c>
      <c r="R1974" t="s">
        <v>42674</v>
      </c>
      <c r="S1974" t="s">
        <v>42788</v>
      </c>
      <c r="T1974" t="s">
        <v>44547</v>
      </c>
      <c r="U1974" t="s">
        <v>46471</v>
      </c>
      <c r="W1974" t="s">
        <v>39536</v>
      </c>
      <c r="X1974" t="s">
        <v>42676</v>
      </c>
    </row>
    <row r="1975" spans="1:24">
      <c r="A1975">
        <f>HYPERLINK("https://www.philgeps.gov.ph/GEPSNONPILOT/Tender/SplashBidNoticeAbstractUI.aspx?menuIndex=3&amp;refID=7190861&amp;Result=3","7190861")</f>
        <v>0</v>
      </c>
      <c r="B1975" t="s">
        <v>791</v>
      </c>
      <c r="C1975" t="s">
        <v>5418</v>
      </c>
      <c r="D1975" t="s">
        <v>17167</v>
      </c>
      <c r="E1975" t="s">
        <v>18656</v>
      </c>
      <c r="F1975" t="s">
        <v>29372</v>
      </c>
      <c r="G1975" t="s">
        <v>29380</v>
      </c>
      <c r="H1975" t="s">
        <v>11048</v>
      </c>
      <c r="I1975" t="s">
        <v>4709</v>
      </c>
      <c r="J1975" t="s">
        <v>30945</v>
      </c>
      <c r="K1975" t="s">
        <v>38510</v>
      </c>
      <c r="M1975" t="s">
        <v>39575</v>
      </c>
      <c r="N1975" t="s">
        <v>42669</v>
      </c>
      <c r="O1975" t="s">
        <v>42670</v>
      </c>
      <c r="P1975">
        <v>0</v>
      </c>
      <c r="Q1975">
        <v>0</v>
      </c>
      <c r="R1975" t="s">
        <v>42674</v>
      </c>
      <c r="S1975" t="s">
        <v>42788</v>
      </c>
      <c r="T1975" t="s">
        <v>44470</v>
      </c>
      <c r="U1975" t="s">
        <v>46472</v>
      </c>
      <c r="W1975" t="s">
        <v>39575</v>
      </c>
      <c r="X1975" t="s">
        <v>42676</v>
      </c>
    </row>
    <row r="1976" spans="1:24">
      <c r="A1976">
        <f>HYPERLINK("https://www.philgeps.gov.ph/GEPSNONPILOT/Tender/SplashBidNoticeAbstractUI.aspx?menuIndex=3&amp;refID=7190829&amp;Result=3","7190829")</f>
        <v>0</v>
      </c>
      <c r="B1976" t="s">
        <v>681</v>
      </c>
      <c r="C1976" t="s">
        <v>5419</v>
      </c>
      <c r="D1976" t="s">
        <v>17160</v>
      </c>
      <c r="E1976" t="s">
        <v>18989</v>
      </c>
      <c r="F1976" t="s">
        <v>29372</v>
      </c>
      <c r="G1976" t="s">
        <v>29380</v>
      </c>
      <c r="H1976" t="s">
        <v>29389</v>
      </c>
      <c r="I1976" t="s">
        <v>10408</v>
      </c>
      <c r="J1976" t="s">
        <v>30946</v>
      </c>
      <c r="K1976" t="s">
        <v>38490</v>
      </c>
      <c r="M1976" t="s">
        <v>39457</v>
      </c>
      <c r="N1976" t="s">
        <v>42669</v>
      </c>
      <c r="O1976" t="s">
        <v>42670</v>
      </c>
      <c r="P1976">
        <v>0</v>
      </c>
      <c r="Q1976">
        <v>1</v>
      </c>
      <c r="R1976" t="s">
        <v>42674</v>
      </c>
      <c r="S1976" t="s">
        <v>42788</v>
      </c>
      <c r="T1976" t="s">
        <v>44439</v>
      </c>
      <c r="U1976" t="s">
        <v>46473</v>
      </c>
      <c r="W1976" t="s">
        <v>39457</v>
      </c>
      <c r="X1976" t="s">
        <v>42676</v>
      </c>
    </row>
    <row r="1977" spans="1:24">
      <c r="A1977">
        <f>HYPERLINK("https://www.philgeps.gov.ph/GEPSNONPILOT/Tender/SplashBidNoticeAbstractUI.aspx?menuIndex=3&amp;refID=7190860&amp;Result=3","7190860")</f>
        <v>0</v>
      </c>
      <c r="B1977" t="s">
        <v>681</v>
      </c>
      <c r="C1977" t="s">
        <v>5420</v>
      </c>
      <c r="D1977" t="s">
        <v>17160</v>
      </c>
      <c r="E1977" t="s">
        <v>18990</v>
      </c>
      <c r="F1977" t="s">
        <v>29372</v>
      </c>
      <c r="G1977" t="s">
        <v>29380</v>
      </c>
      <c r="H1977" t="s">
        <v>11048</v>
      </c>
      <c r="I1977" t="s">
        <v>4709</v>
      </c>
      <c r="J1977" t="s">
        <v>30947</v>
      </c>
      <c r="K1977" t="s">
        <v>38490</v>
      </c>
      <c r="M1977" t="s">
        <v>39457</v>
      </c>
      <c r="N1977" t="s">
        <v>42669</v>
      </c>
      <c r="O1977" t="s">
        <v>42670</v>
      </c>
      <c r="P1977">
        <v>0</v>
      </c>
      <c r="Q1977">
        <v>1</v>
      </c>
      <c r="R1977" t="s">
        <v>42674</v>
      </c>
      <c r="S1977" t="s">
        <v>42788</v>
      </c>
      <c r="T1977" t="s">
        <v>44439</v>
      </c>
      <c r="U1977" t="s">
        <v>46474</v>
      </c>
      <c r="W1977" t="s">
        <v>39457</v>
      </c>
      <c r="X1977" t="s">
        <v>42676</v>
      </c>
    </row>
    <row r="1978" spans="1:24">
      <c r="A1978">
        <f>HYPERLINK("https://www.philgeps.gov.ph/GEPSNONPILOT/Tender/SplashBidNoticeAbstractUI.aspx?menuIndex=3&amp;refID=7190823&amp;Result=3","7190823")</f>
        <v>0</v>
      </c>
      <c r="B1978" t="s">
        <v>789</v>
      </c>
      <c r="C1978" t="s">
        <v>5421</v>
      </c>
      <c r="D1978" t="s">
        <v>17185</v>
      </c>
      <c r="E1978" t="s">
        <v>18991</v>
      </c>
      <c r="F1978" t="s">
        <v>29372</v>
      </c>
      <c r="G1978" t="s">
        <v>29383</v>
      </c>
      <c r="H1978" t="s">
        <v>11048</v>
      </c>
      <c r="I1978" t="s">
        <v>3629</v>
      </c>
      <c r="J1978" t="s">
        <v>29532</v>
      </c>
      <c r="K1978" t="s">
        <v>38485</v>
      </c>
      <c r="M1978" t="s">
        <v>39573</v>
      </c>
      <c r="N1978" t="s">
        <v>42669</v>
      </c>
      <c r="O1978" t="s">
        <v>42670</v>
      </c>
      <c r="P1978">
        <v>0</v>
      </c>
      <c r="Q1978">
        <v>1</v>
      </c>
      <c r="R1978" t="s">
        <v>42674</v>
      </c>
      <c r="S1978" t="s">
        <v>42788</v>
      </c>
      <c r="T1978" t="s">
        <v>44382</v>
      </c>
      <c r="U1978" t="s">
        <v>46475</v>
      </c>
      <c r="W1978" t="s">
        <v>39573</v>
      </c>
      <c r="X1978" t="s">
        <v>42676</v>
      </c>
    </row>
    <row r="1979" spans="1:24">
      <c r="A1979">
        <f>HYPERLINK("https://www.philgeps.gov.ph/GEPSNONPILOT/Tender/SplashBidNoticeAbstractUI.aspx?menuIndex=3&amp;refID=7190855&amp;Result=3","7190855")</f>
        <v>0</v>
      </c>
      <c r="B1979" t="s">
        <v>766</v>
      </c>
      <c r="C1979" t="s">
        <v>5422</v>
      </c>
      <c r="E1979" t="s">
        <v>18992</v>
      </c>
      <c r="F1979" t="s">
        <v>29372</v>
      </c>
      <c r="G1979" t="s">
        <v>29379</v>
      </c>
      <c r="H1979" t="s">
        <v>11048</v>
      </c>
      <c r="I1979" t="s">
        <v>29411</v>
      </c>
      <c r="J1979" t="s">
        <v>29587</v>
      </c>
      <c r="K1979" t="s">
        <v>38490</v>
      </c>
      <c r="M1979" t="s">
        <v>39550</v>
      </c>
      <c r="N1979" t="s">
        <v>42669</v>
      </c>
      <c r="O1979" t="s">
        <v>42670</v>
      </c>
      <c r="P1979">
        <v>0</v>
      </c>
      <c r="Q1979">
        <v>1</v>
      </c>
      <c r="R1979" t="s">
        <v>42674</v>
      </c>
      <c r="S1979" t="s">
        <v>42788</v>
      </c>
      <c r="T1979" t="s">
        <v>44451</v>
      </c>
      <c r="U1979" t="s">
        <v>46432</v>
      </c>
      <c r="W1979" t="s">
        <v>39550</v>
      </c>
      <c r="X1979" t="s">
        <v>42676</v>
      </c>
    </row>
    <row r="1980" spans="1:24">
      <c r="A1980">
        <f>HYPERLINK("https://www.philgeps.gov.ph/GEPSNONPILOT/Tender/SplashBidNoticeAbstractUI.aspx?menuIndex=3&amp;refID=7190870&amp;Result=3","7190870")</f>
        <v>0</v>
      </c>
      <c r="B1980" t="s">
        <v>792</v>
      </c>
      <c r="C1980" t="s">
        <v>5423</v>
      </c>
      <c r="D1980" t="s">
        <v>17187</v>
      </c>
      <c r="E1980" t="s">
        <v>18993</v>
      </c>
      <c r="F1980" t="s">
        <v>29372</v>
      </c>
      <c r="G1980" t="s">
        <v>29380</v>
      </c>
      <c r="H1980" t="s">
        <v>29389</v>
      </c>
      <c r="I1980" t="s">
        <v>29417</v>
      </c>
      <c r="J1980" t="s">
        <v>30948</v>
      </c>
      <c r="K1980" t="s">
        <v>38496</v>
      </c>
      <c r="M1980" t="s">
        <v>39576</v>
      </c>
      <c r="N1980" t="s">
        <v>42669</v>
      </c>
      <c r="O1980" t="s">
        <v>42670</v>
      </c>
      <c r="P1980">
        <v>0</v>
      </c>
      <c r="Q1980">
        <v>1</v>
      </c>
      <c r="R1980" t="s">
        <v>42674</v>
      </c>
      <c r="S1980" t="s">
        <v>42788</v>
      </c>
      <c r="T1980" t="s">
        <v>44527</v>
      </c>
      <c r="U1980" t="s">
        <v>46476</v>
      </c>
      <c r="V1980" t="s">
        <v>56558</v>
      </c>
      <c r="W1980" t="s">
        <v>39576</v>
      </c>
      <c r="X1980" t="s">
        <v>42676</v>
      </c>
    </row>
    <row r="1981" spans="1:24">
      <c r="A1981">
        <f>HYPERLINK("https://www.philgeps.gov.ph/GEPSNONPILOT/Tender/SplashBidNoticeAbstractUI.aspx?menuIndex=3&amp;refID=7190851&amp;Result=3","7190851")</f>
        <v>0</v>
      </c>
      <c r="B1981" t="s">
        <v>741</v>
      </c>
      <c r="C1981" t="s">
        <v>5424</v>
      </c>
      <c r="D1981" t="s">
        <v>17181</v>
      </c>
      <c r="E1981" t="s">
        <v>18994</v>
      </c>
      <c r="F1981" t="s">
        <v>29372</v>
      </c>
      <c r="G1981" t="s">
        <v>29379</v>
      </c>
      <c r="H1981" t="s">
        <v>11048</v>
      </c>
      <c r="I1981" t="s">
        <v>29399</v>
      </c>
      <c r="J1981" t="s">
        <v>30949</v>
      </c>
      <c r="K1981" t="s">
        <v>38485</v>
      </c>
      <c r="M1981" t="s">
        <v>39522</v>
      </c>
      <c r="N1981" t="s">
        <v>42669</v>
      </c>
      <c r="O1981" t="s">
        <v>42670</v>
      </c>
      <c r="P1981">
        <v>0</v>
      </c>
      <c r="Q1981">
        <v>2</v>
      </c>
      <c r="R1981" t="s">
        <v>42674</v>
      </c>
      <c r="S1981" t="s">
        <v>42788</v>
      </c>
      <c r="T1981" t="s">
        <v>44401</v>
      </c>
      <c r="U1981" t="s">
        <v>46381</v>
      </c>
      <c r="W1981" t="s">
        <v>39522</v>
      </c>
      <c r="X1981" t="s">
        <v>42676</v>
      </c>
    </row>
    <row r="1982" spans="1:24">
      <c r="A1982">
        <f>HYPERLINK("https://www.philgeps.gov.ph/GEPSNONPILOT/Tender/SplashBidNoticeAbstractUI.aspx?menuIndex=3&amp;refID=7190847&amp;Result=3","7190847")</f>
        <v>0</v>
      </c>
      <c r="B1982" t="s">
        <v>791</v>
      </c>
      <c r="C1982" t="s">
        <v>5425</v>
      </c>
      <c r="D1982" t="s">
        <v>17167</v>
      </c>
      <c r="E1982" t="s">
        <v>17550</v>
      </c>
      <c r="F1982" t="s">
        <v>29372</v>
      </c>
      <c r="G1982" t="s">
        <v>29380</v>
      </c>
      <c r="H1982" t="s">
        <v>11048</v>
      </c>
      <c r="I1982" t="s">
        <v>4709</v>
      </c>
      <c r="J1982" t="s">
        <v>30950</v>
      </c>
      <c r="K1982" t="s">
        <v>38510</v>
      </c>
      <c r="M1982" t="s">
        <v>39575</v>
      </c>
      <c r="N1982" t="s">
        <v>42669</v>
      </c>
      <c r="O1982" t="s">
        <v>42670</v>
      </c>
      <c r="P1982">
        <v>0</v>
      </c>
      <c r="Q1982">
        <v>0</v>
      </c>
      <c r="R1982" t="s">
        <v>42674</v>
      </c>
      <c r="S1982" t="s">
        <v>42788</v>
      </c>
      <c r="T1982" t="s">
        <v>44470</v>
      </c>
      <c r="U1982" t="s">
        <v>46477</v>
      </c>
      <c r="W1982" t="s">
        <v>39575</v>
      </c>
      <c r="X1982" t="s">
        <v>42676</v>
      </c>
    </row>
    <row r="1983" spans="1:24">
      <c r="A1983">
        <f>HYPERLINK("https://www.philgeps.gov.ph/GEPSNONPILOT/Tender/SplashBidNoticeAbstractUI.aspx?menuIndex=3&amp;refID=7190857&amp;Result=3","7190857")</f>
        <v>0</v>
      </c>
      <c r="B1983" t="s">
        <v>793</v>
      </c>
      <c r="C1983" t="s">
        <v>5426</v>
      </c>
      <c r="D1983" t="s">
        <v>17174</v>
      </c>
      <c r="E1983" t="s">
        <v>18995</v>
      </c>
      <c r="F1983" t="s">
        <v>29372</v>
      </c>
      <c r="G1983" t="s">
        <v>29380</v>
      </c>
      <c r="H1983" t="s">
        <v>29389</v>
      </c>
      <c r="I1983" t="s">
        <v>10408</v>
      </c>
      <c r="J1983" t="s">
        <v>30951</v>
      </c>
      <c r="K1983" t="s">
        <v>38565</v>
      </c>
      <c r="M1983" t="s">
        <v>39577</v>
      </c>
      <c r="N1983" t="s">
        <v>42669</v>
      </c>
      <c r="O1983" t="s">
        <v>42670</v>
      </c>
      <c r="P1983">
        <v>0</v>
      </c>
      <c r="Q1983">
        <v>0</v>
      </c>
      <c r="R1983" t="s">
        <v>42674</v>
      </c>
      <c r="S1983" t="s">
        <v>42788</v>
      </c>
      <c r="T1983" t="s">
        <v>44450</v>
      </c>
      <c r="U1983" t="s">
        <v>46478</v>
      </c>
      <c r="W1983" t="s">
        <v>39577</v>
      </c>
      <c r="X1983" t="s">
        <v>42676</v>
      </c>
    </row>
    <row r="1984" spans="1:24">
      <c r="A1984">
        <f>HYPERLINK("https://www.philgeps.gov.ph/GEPSNONPILOT/Tender/SplashBidNoticeAbstractUI.aspx?menuIndex=3&amp;refID=7190821&amp;Result=3","7190821")</f>
        <v>0</v>
      </c>
      <c r="B1984" t="s">
        <v>555</v>
      </c>
      <c r="C1984" t="s">
        <v>5427</v>
      </c>
      <c r="D1984" t="s">
        <v>17151</v>
      </c>
      <c r="E1984" t="s">
        <v>18996</v>
      </c>
      <c r="F1984" t="s">
        <v>29372</v>
      </c>
      <c r="G1984" t="s">
        <v>29380</v>
      </c>
      <c r="H1984" t="s">
        <v>11048</v>
      </c>
      <c r="I1984" t="s">
        <v>4709</v>
      </c>
      <c r="J1984" t="s">
        <v>30952</v>
      </c>
      <c r="K1984" t="s">
        <v>38485</v>
      </c>
      <c r="M1984" t="s">
        <v>39324</v>
      </c>
      <c r="N1984" t="s">
        <v>42669</v>
      </c>
      <c r="O1984" t="s">
        <v>42670</v>
      </c>
      <c r="P1984">
        <v>0</v>
      </c>
      <c r="Q1984">
        <v>0</v>
      </c>
      <c r="R1984" t="s">
        <v>42674</v>
      </c>
      <c r="S1984" t="s">
        <v>42788</v>
      </c>
      <c r="T1984" t="s">
        <v>44396</v>
      </c>
      <c r="U1984" t="s">
        <v>46479</v>
      </c>
      <c r="V1984" t="s">
        <v>56559</v>
      </c>
      <c r="W1984" t="s">
        <v>39324</v>
      </c>
      <c r="X1984" t="s">
        <v>42676</v>
      </c>
    </row>
    <row r="1985" spans="1:24">
      <c r="A1985">
        <f>HYPERLINK("https://www.philgeps.gov.ph/GEPSNONPILOT/Tender/SplashBidNoticeAbstractUI.aspx?menuIndex=3&amp;refID=7190856&amp;Result=3","7190856")</f>
        <v>0</v>
      </c>
      <c r="B1985" t="s">
        <v>794</v>
      </c>
      <c r="C1985" t="s">
        <v>5428</v>
      </c>
      <c r="D1985" t="s">
        <v>17193</v>
      </c>
      <c r="E1985" t="s">
        <v>18997</v>
      </c>
      <c r="F1985" t="s">
        <v>29372</v>
      </c>
      <c r="G1985" t="s">
        <v>29379</v>
      </c>
      <c r="H1985" t="s">
        <v>11048</v>
      </c>
      <c r="I1985" t="s">
        <v>8614</v>
      </c>
      <c r="J1985" t="s">
        <v>30953</v>
      </c>
      <c r="K1985" t="s">
        <v>38510</v>
      </c>
      <c r="M1985" t="s">
        <v>39578</v>
      </c>
      <c r="N1985" t="s">
        <v>42669</v>
      </c>
      <c r="O1985" t="s">
        <v>42670</v>
      </c>
      <c r="P1985">
        <v>0</v>
      </c>
      <c r="Q1985">
        <v>1</v>
      </c>
      <c r="R1985" t="s">
        <v>42674</v>
      </c>
      <c r="S1985" t="s">
        <v>42788</v>
      </c>
      <c r="T1985" t="s">
        <v>44401</v>
      </c>
      <c r="U1985" t="s">
        <v>46480</v>
      </c>
      <c r="V1985" t="s">
        <v>56560</v>
      </c>
      <c r="W1985" t="s">
        <v>39578</v>
      </c>
      <c r="X1985" t="s">
        <v>42676</v>
      </c>
    </row>
    <row r="1986" spans="1:24">
      <c r="A1986">
        <f>HYPERLINK("https://www.philgeps.gov.ph/GEPSNONPILOT/Tender/SplashBidNoticeAbstractUI.aspx?menuIndex=3&amp;refID=7190782&amp;Result=3","7190782")</f>
        <v>0</v>
      </c>
      <c r="B1986" t="s">
        <v>735</v>
      </c>
      <c r="C1986" t="s">
        <v>5429</v>
      </c>
      <c r="D1986" t="s">
        <v>17197</v>
      </c>
      <c r="E1986" t="s">
        <v>18415</v>
      </c>
      <c r="F1986" t="s">
        <v>29372</v>
      </c>
      <c r="G1986" t="s">
        <v>29383</v>
      </c>
      <c r="H1986" t="s">
        <v>11048</v>
      </c>
      <c r="I1986" t="s">
        <v>5383</v>
      </c>
      <c r="J1986" t="s">
        <v>29752</v>
      </c>
      <c r="K1986" t="s">
        <v>38488</v>
      </c>
      <c r="M1986" t="s">
        <v>39516</v>
      </c>
      <c r="N1986" t="s">
        <v>42669</v>
      </c>
      <c r="O1986" t="s">
        <v>42670</v>
      </c>
      <c r="P1986">
        <v>0</v>
      </c>
      <c r="Q1986">
        <v>0</v>
      </c>
      <c r="R1986" t="s">
        <v>42674</v>
      </c>
      <c r="S1986" t="s">
        <v>42788</v>
      </c>
      <c r="T1986" t="s">
        <v>44530</v>
      </c>
      <c r="U1986" t="s">
        <v>46481</v>
      </c>
      <c r="W1986" t="s">
        <v>39516</v>
      </c>
      <c r="X1986" t="s">
        <v>42676</v>
      </c>
    </row>
    <row r="1987" spans="1:24">
      <c r="A1987">
        <f>HYPERLINK("https://www.philgeps.gov.ph/GEPSNONPILOT/Tender/SplashBidNoticeAbstractUI.aspx?menuIndex=3&amp;refID=7190843&amp;Result=3","7190843")</f>
        <v>0</v>
      </c>
      <c r="B1987" t="s">
        <v>765</v>
      </c>
      <c r="C1987" t="s">
        <v>5430</v>
      </c>
      <c r="D1987" t="s">
        <v>17202</v>
      </c>
      <c r="E1987" t="s">
        <v>18998</v>
      </c>
      <c r="F1987" t="s">
        <v>29372</v>
      </c>
      <c r="G1987" t="s">
        <v>29379</v>
      </c>
      <c r="H1987" t="s">
        <v>11048</v>
      </c>
      <c r="I1987" t="s">
        <v>3670</v>
      </c>
      <c r="J1987" t="s">
        <v>30954</v>
      </c>
      <c r="K1987" t="s">
        <v>38488</v>
      </c>
      <c r="M1987" t="s">
        <v>39549</v>
      </c>
      <c r="N1987" t="s">
        <v>42669</v>
      </c>
      <c r="O1987" t="s">
        <v>42670</v>
      </c>
      <c r="P1987">
        <v>0</v>
      </c>
      <c r="Q1987">
        <v>0</v>
      </c>
      <c r="R1987" t="s">
        <v>42674</v>
      </c>
      <c r="S1987" t="s">
        <v>42788</v>
      </c>
      <c r="T1987" t="s">
        <v>44454</v>
      </c>
      <c r="U1987" t="s">
        <v>46429</v>
      </c>
      <c r="W1987" t="s">
        <v>39549</v>
      </c>
      <c r="X1987" t="s">
        <v>42676</v>
      </c>
    </row>
    <row r="1988" spans="1:24">
      <c r="A1988">
        <f>HYPERLINK("https://www.philgeps.gov.ph/GEPSNONPILOT/Tender/SplashBidNoticeAbstractUI.aspx?menuIndex=3&amp;refID=7190777&amp;Result=3","7190777")</f>
        <v>0</v>
      </c>
      <c r="B1988" t="s">
        <v>756</v>
      </c>
      <c r="C1988" t="s">
        <v>5431</v>
      </c>
      <c r="D1988" t="s">
        <v>17164</v>
      </c>
      <c r="E1988" t="s">
        <v>18999</v>
      </c>
      <c r="F1988" t="s">
        <v>29372</v>
      </c>
      <c r="G1988" t="s">
        <v>29380</v>
      </c>
      <c r="H1988" t="s">
        <v>29389</v>
      </c>
      <c r="I1988" t="s">
        <v>10408</v>
      </c>
      <c r="J1988" t="s">
        <v>30955</v>
      </c>
      <c r="K1988" t="s">
        <v>38488</v>
      </c>
      <c r="M1988" t="s">
        <v>39539</v>
      </c>
      <c r="N1988" t="s">
        <v>42669</v>
      </c>
      <c r="O1988" t="s">
        <v>42670</v>
      </c>
      <c r="P1988">
        <v>0</v>
      </c>
      <c r="Q1988">
        <v>0</v>
      </c>
      <c r="R1988" t="s">
        <v>42674</v>
      </c>
      <c r="S1988" t="s">
        <v>42788</v>
      </c>
      <c r="T1988" t="s">
        <v>44389</v>
      </c>
      <c r="U1988" t="s">
        <v>46482</v>
      </c>
      <c r="W1988" t="s">
        <v>39539</v>
      </c>
      <c r="X1988" t="s">
        <v>42676</v>
      </c>
    </row>
    <row r="1989" spans="1:24">
      <c r="A1989">
        <f>HYPERLINK("https://www.philgeps.gov.ph/GEPSNONPILOT/Tender/SplashBidNoticeAbstractUI.aspx?menuIndex=3&amp;refID=7190769&amp;Result=3","7190769")</f>
        <v>0</v>
      </c>
      <c r="B1989" t="s">
        <v>679</v>
      </c>
      <c r="C1989" t="s">
        <v>5432</v>
      </c>
      <c r="D1989" t="s">
        <v>17175</v>
      </c>
      <c r="E1989" t="s">
        <v>19000</v>
      </c>
      <c r="F1989" t="s">
        <v>29372</v>
      </c>
      <c r="G1989" t="s">
        <v>29381</v>
      </c>
      <c r="H1989" t="s">
        <v>11048</v>
      </c>
      <c r="I1989" t="s">
        <v>3839</v>
      </c>
      <c r="J1989" t="s">
        <v>30024</v>
      </c>
      <c r="K1989" t="s">
        <v>38510</v>
      </c>
      <c r="M1989" t="s">
        <v>39455</v>
      </c>
      <c r="N1989" t="s">
        <v>42669</v>
      </c>
      <c r="O1989" t="s">
        <v>42670</v>
      </c>
      <c r="P1989">
        <v>0</v>
      </c>
      <c r="Q1989">
        <v>0</v>
      </c>
      <c r="R1989" t="s">
        <v>42674</v>
      </c>
      <c r="S1989" t="s">
        <v>42788</v>
      </c>
      <c r="T1989" t="s">
        <v>44560</v>
      </c>
      <c r="U1989" t="s">
        <v>46483</v>
      </c>
      <c r="W1989" t="s">
        <v>39455</v>
      </c>
      <c r="X1989" t="s">
        <v>42676</v>
      </c>
    </row>
    <row r="1990" spans="1:24">
      <c r="A1990">
        <f>HYPERLINK("https://www.philgeps.gov.ph/GEPSNONPILOT/Tender/SplashBidNoticeAbstractUI.aspx?menuIndex=3&amp;refID=7190766&amp;Result=3","7190766")</f>
        <v>0</v>
      </c>
      <c r="B1990" t="s">
        <v>660</v>
      </c>
      <c r="C1990" t="s">
        <v>5433</v>
      </c>
      <c r="D1990" t="s">
        <v>17185</v>
      </c>
      <c r="E1990" t="s">
        <v>19001</v>
      </c>
      <c r="F1990" t="s">
        <v>29372</v>
      </c>
      <c r="G1990" t="s">
        <v>29382</v>
      </c>
      <c r="H1990" t="s">
        <v>11048</v>
      </c>
      <c r="I1990" t="s">
        <v>4487</v>
      </c>
      <c r="J1990" t="s">
        <v>30956</v>
      </c>
      <c r="K1990" t="s">
        <v>38490</v>
      </c>
      <c r="M1990" t="s">
        <v>39436</v>
      </c>
      <c r="N1990" t="s">
        <v>42669</v>
      </c>
      <c r="O1990" t="s">
        <v>42670</v>
      </c>
      <c r="P1990">
        <v>0</v>
      </c>
      <c r="Q1990">
        <v>4</v>
      </c>
      <c r="R1990" t="s">
        <v>42674</v>
      </c>
      <c r="S1990" t="s">
        <v>42788</v>
      </c>
      <c r="T1990" t="s">
        <v>44496</v>
      </c>
      <c r="U1990" t="s">
        <v>46484</v>
      </c>
      <c r="W1990" t="s">
        <v>39436</v>
      </c>
      <c r="X1990" t="s">
        <v>42676</v>
      </c>
    </row>
    <row r="1991" spans="1:24">
      <c r="A1991">
        <f>HYPERLINK("https://www.philgeps.gov.ph/GEPSNONPILOT/Tender/SplashBidNoticeAbstractUI.aspx?menuIndex=3&amp;refID=7190841&amp;Result=3","7190841")</f>
        <v>0</v>
      </c>
      <c r="B1991" t="s">
        <v>784</v>
      </c>
      <c r="C1991" t="s">
        <v>5434</v>
      </c>
      <c r="D1991" t="s">
        <v>17166</v>
      </c>
      <c r="E1991" t="s">
        <v>19002</v>
      </c>
      <c r="F1991" t="s">
        <v>29372</v>
      </c>
      <c r="G1991" t="s">
        <v>29380</v>
      </c>
      <c r="H1991" t="s">
        <v>11048</v>
      </c>
      <c r="I1991" t="s">
        <v>14920</v>
      </c>
      <c r="J1991" t="s">
        <v>30957</v>
      </c>
      <c r="K1991" t="s">
        <v>38490</v>
      </c>
      <c r="M1991" t="s">
        <v>39568</v>
      </c>
      <c r="N1991" t="s">
        <v>42669</v>
      </c>
      <c r="O1991" t="s">
        <v>42670</v>
      </c>
      <c r="P1991">
        <v>0</v>
      </c>
      <c r="Q1991">
        <v>1</v>
      </c>
      <c r="R1991" t="s">
        <v>42674</v>
      </c>
      <c r="S1991" t="s">
        <v>42788</v>
      </c>
      <c r="T1991" t="s">
        <v>44430</v>
      </c>
      <c r="U1991" t="s">
        <v>46485</v>
      </c>
      <c r="W1991" t="s">
        <v>39568</v>
      </c>
      <c r="X1991" t="s">
        <v>42676</v>
      </c>
    </row>
    <row r="1992" spans="1:24">
      <c r="A1992">
        <f>HYPERLINK("https://www.philgeps.gov.ph/GEPSNONPILOT/Tender/SplashBidNoticeAbstractUI.aspx?menuIndex=3&amp;refID=7190773&amp;Result=3","7190773")</f>
        <v>0</v>
      </c>
      <c r="B1992" t="s">
        <v>730</v>
      </c>
      <c r="C1992" t="s">
        <v>5435</v>
      </c>
      <c r="D1992" t="s">
        <v>17197</v>
      </c>
      <c r="E1992" t="s">
        <v>19003</v>
      </c>
      <c r="F1992" t="s">
        <v>29372</v>
      </c>
      <c r="G1992" t="s">
        <v>29379</v>
      </c>
      <c r="H1992" t="s">
        <v>11048</v>
      </c>
      <c r="I1992" t="s">
        <v>4486</v>
      </c>
      <c r="J1992" t="s">
        <v>30830</v>
      </c>
      <c r="K1992" t="s">
        <v>38488</v>
      </c>
      <c r="M1992" t="s">
        <v>39511</v>
      </c>
      <c r="N1992" t="s">
        <v>42669</v>
      </c>
      <c r="O1992" t="s">
        <v>42670</v>
      </c>
      <c r="P1992">
        <v>0</v>
      </c>
      <c r="Q1992">
        <v>6</v>
      </c>
      <c r="R1992" t="s">
        <v>42674</v>
      </c>
      <c r="S1992" t="s">
        <v>42788</v>
      </c>
      <c r="T1992" t="s">
        <v>44387</v>
      </c>
      <c r="U1992" t="s">
        <v>46486</v>
      </c>
      <c r="W1992" t="s">
        <v>39511</v>
      </c>
      <c r="X1992" t="s">
        <v>42676</v>
      </c>
    </row>
    <row r="1993" spans="1:24">
      <c r="A1993">
        <f>HYPERLINK("https://www.philgeps.gov.ph/GEPSNONPILOT/Tender/SplashBidNoticeAbstractUI.aspx?menuIndex=3&amp;refID=7190897&amp;Result=3","7190897")</f>
        <v>0</v>
      </c>
      <c r="B1993" t="s">
        <v>795</v>
      </c>
      <c r="C1993" t="s">
        <v>5436</v>
      </c>
      <c r="D1993" t="s">
        <v>17167</v>
      </c>
      <c r="E1993" t="s">
        <v>19004</v>
      </c>
      <c r="F1993" t="s">
        <v>29372</v>
      </c>
      <c r="G1993" t="s">
        <v>29382</v>
      </c>
      <c r="H1993" t="s">
        <v>11048</v>
      </c>
      <c r="I1993" t="s">
        <v>3695</v>
      </c>
      <c r="J1993" t="s">
        <v>30958</v>
      </c>
      <c r="K1993" t="s">
        <v>38485</v>
      </c>
      <c r="M1993" t="s">
        <v>39579</v>
      </c>
      <c r="N1993" t="s">
        <v>42669</v>
      </c>
      <c r="O1993" t="s">
        <v>42670</v>
      </c>
      <c r="P1993">
        <v>0</v>
      </c>
      <c r="Q1993">
        <v>0</v>
      </c>
      <c r="R1993" t="s">
        <v>42674</v>
      </c>
      <c r="S1993" t="s">
        <v>42788</v>
      </c>
      <c r="T1993" t="s">
        <v>44493</v>
      </c>
      <c r="U1993" t="s">
        <v>46487</v>
      </c>
      <c r="W1993" t="s">
        <v>39579</v>
      </c>
      <c r="X1993" t="s">
        <v>42676</v>
      </c>
    </row>
    <row r="1994" spans="1:24">
      <c r="A1994">
        <f>HYPERLINK("https://www.philgeps.gov.ph/GEPSNONPILOT/Tender/SplashBidNoticeAbstractUI.aspx?menuIndex=3&amp;refID=7190894&amp;Result=3","7190894")</f>
        <v>0</v>
      </c>
      <c r="B1994" t="s">
        <v>660</v>
      </c>
      <c r="C1994" t="s">
        <v>5437</v>
      </c>
      <c r="D1994" t="s">
        <v>17199</v>
      </c>
      <c r="E1994" t="s">
        <v>19005</v>
      </c>
      <c r="F1994" t="s">
        <v>29372</v>
      </c>
      <c r="G1994" t="s">
        <v>29379</v>
      </c>
      <c r="H1994" t="s">
        <v>11048</v>
      </c>
      <c r="I1994" t="s">
        <v>29407</v>
      </c>
      <c r="J1994" t="s">
        <v>30959</v>
      </c>
      <c r="K1994" t="s">
        <v>38490</v>
      </c>
      <c r="M1994" t="s">
        <v>39436</v>
      </c>
      <c r="N1994" t="s">
        <v>42669</v>
      </c>
      <c r="O1994" t="s">
        <v>42670</v>
      </c>
      <c r="P1994">
        <v>0</v>
      </c>
      <c r="Q1994">
        <v>7</v>
      </c>
      <c r="R1994" t="s">
        <v>42674</v>
      </c>
      <c r="S1994" t="s">
        <v>42788</v>
      </c>
      <c r="T1994" t="s">
        <v>44496</v>
      </c>
      <c r="U1994" t="s">
        <v>46488</v>
      </c>
      <c r="W1994" t="s">
        <v>39436</v>
      </c>
      <c r="X1994" t="s">
        <v>42676</v>
      </c>
    </row>
    <row r="1995" spans="1:24">
      <c r="A1995">
        <f>HYPERLINK("https://www.philgeps.gov.ph/GEPSNONPILOT/Tender/SplashBidNoticeAbstractUI.aspx?menuIndex=3&amp;refID=7190844&amp;Result=3","7190844")</f>
        <v>0</v>
      </c>
      <c r="B1995" t="s">
        <v>368</v>
      </c>
      <c r="C1995" t="s">
        <v>5438</v>
      </c>
      <c r="D1995" t="s">
        <v>17147</v>
      </c>
      <c r="E1995" t="s">
        <v>19006</v>
      </c>
      <c r="F1995" t="s">
        <v>29372</v>
      </c>
      <c r="G1995" t="s">
        <v>29380</v>
      </c>
      <c r="H1995" t="s">
        <v>11048</v>
      </c>
      <c r="I1995" t="s">
        <v>29414</v>
      </c>
      <c r="J1995" t="s">
        <v>30960</v>
      </c>
      <c r="K1995" t="s">
        <v>38496</v>
      </c>
      <c r="M1995" t="s">
        <v>39128</v>
      </c>
      <c r="N1995" t="s">
        <v>42669</v>
      </c>
      <c r="O1995" t="s">
        <v>42670</v>
      </c>
      <c r="P1995">
        <v>0</v>
      </c>
      <c r="Q1995">
        <v>28</v>
      </c>
      <c r="R1995" t="s">
        <v>42674</v>
      </c>
      <c r="S1995" t="s">
        <v>42788</v>
      </c>
      <c r="T1995" t="s">
        <v>44539</v>
      </c>
      <c r="U1995" t="s">
        <v>46489</v>
      </c>
      <c r="V1995" t="s">
        <v>56561</v>
      </c>
      <c r="W1995" t="s">
        <v>39128</v>
      </c>
      <c r="X1995" t="s">
        <v>42676</v>
      </c>
    </row>
    <row r="1996" spans="1:24">
      <c r="A1996">
        <f>HYPERLINK("https://www.philgeps.gov.ph/GEPSNONPILOT/Tender/SplashBidNoticeAbstractUI.aspx?menuIndex=3&amp;refID=7190892&amp;Result=3","7190892")</f>
        <v>0</v>
      </c>
      <c r="B1996" t="s">
        <v>796</v>
      </c>
      <c r="C1996" t="s">
        <v>5439</v>
      </c>
      <c r="D1996" t="s">
        <v>17188</v>
      </c>
      <c r="E1996" t="s">
        <v>19007</v>
      </c>
      <c r="F1996" t="s">
        <v>29372</v>
      </c>
      <c r="G1996" t="s">
        <v>29379</v>
      </c>
      <c r="H1996" t="s">
        <v>11048</v>
      </c>
      <c r="I1996" t="s">
        <v>5383</v>
      </c>
      <c r="J1996" t="s">
        <v>30412</v>
      </c>
      <c r="K1996" t="s">
        <v>38485</v>
      </c>
      <c r="M1996" t="s">
        <v>39580</v>
      </c>
      <c r="N1996" t="s">
        <v>42669</v>
      </c>
      <c r="O1996" t="s">
        <v>42670</v>
      </c>
      <c r="P1996">
        <v>0</v>
      </c>
      <c r="Q1996">
        <v>7</v>
      </c>
      <c r="R1996" t="s">
        <v>42674</v>
      </c>
      <c r="S1996" t="s">
        <v>42788</v>
      </c>
      <c r="T1996" t="s">
        <v>44451</v>
      </c>
      <c r="U1996" t="s">
        <v>46490</v>
      </c>
      <c r="W1996" t="s">
        <v>39580</v>
      </c>
      <c r="X1996" t="s">
        <v>42676</v>
      </c>
    </row>
    <row r="1997" spans="1:24">
      <c r="A1997">
        <f>HYPERLINK("https://www.philgeps.gov.ph/GEPSNONPILOT/Tender/SplashBidNoticeAbstractUI.aspx?menuIndex=3&amp;refID=7190848&amp;Result=3","7190848")</f>
        <v>0</v>
      </c>
      <c r="B1997" t="s">
        <v>782</v>
      </c>
      <c r="C1997" t="s">
        <v>5440</v>
      </c>
      <c r="D1997" t="s">
        <v>17204</v>
      </c>
      <c r="E1997" t="s">
        <v>19008</v>
      </c>
      <c r="F1997" t="s">
        <v>29372</v>
      </c>
      <c r="G1997" t="s">
        <v>29382</v>
      </c>
      <c r="H1997" t="s">
        <v>11048</v>
      </c>
      <c r="I1997" t="s">
        <v>4487</v>
      </c>
      <c r="J1997" t="s">
        <v>30961</v>
      </c>
      <c r="K1997" t="s">
        <v>38485</v>
      </c>
      <c r="M1997" t="s">
        <v>39566</v>
      </c>
      <c r="N1997" t="s">
        <v>42669</v>
      </c>
      <c r="O1997" t="s">
        <v>42670</v>
      </c>
      <c r="P1997">
        <v>0</v>
      </c>
      <c r="Q1997">
        <v>2</v>
      </c>
      <c r="R1997" t="s">
        <v>42674</v>
      </c>
      <c r="S1997" t="s">
        <v>42788</v>
      </c>
      <c r="T1997" t="s">
        <v>44512</v>
      </c>
      <c r="U1997" t="s">
        <v>46454</v>
      </c>
      <c r="W1997" t="s">
        <v>39566</v>
      </c>
      <c r="X1997" t="s">
        <v>42676</v>
      </c>
    </row>
    <row r="1998" spans="1:24">
      <c r="A1998">
        <f>HYPERLINK("https://www.philgeps.gov.ph/GEPSNONPILOT/Tender/SplashBidNoticeAbstractUI.aspx?menuIndex=3&amp;refID=7190778&amp;Result=3","7190778")</f>
        <v>0</v>
      </c>
      <c r="B1998" t="s">
        <v>254</v>
      </c>
      <c r="C1998" t="s">
        <v>5441</v>
      </c>
      <c r="D1998" t="s">
        <v>17142</v>
      </c>
      <c r="E1998" t="s">
        <v>19009</v>
      </c>
      <c r="F1998" t="s">
        <v>29372</v>
      </c>
      <c r="G1998" t="s">
        <v>29382</v>
      </c>
      <c r="H1998" t="s">
        <v>29390</v>
      </c>
      <c r="I1998" t="s">
        <v>9642</v>
      </c>
      <c r="J1998" t="s">
        <v>29685</v>
      </c>
      <c r="K1998" t="s">
        <v>38528</v>
      </c>
      <c r="M1998" t="s">
        <v>39548</v>
      </c>
      <c r="N1998" t="s">
        <v>42669</v>
      </c>
      <c r="O1998" t="s">
        <v>42670</v>
      </c>
      <c r="P1998">
        <v>0</v>
      </c>
      <c r="Q1998">
        <v>2</v>
      </c>
      <c r="R1998" t="s">
        <v>42674</v>
      </c>
      <c r="S1998" t="s">
        <v>42788</v>
      </c>
      <c r="T1998" t="s">
        <v>44451</v>
      </c>
      <c r="U1998" t="s">
        <v>46491</v>
      </c>
      <c r="W1998" t="s">
        <v>39548</v>
      </c>
      <c r="X1998" t="s">
        <v>42676</v>
      </c>
    </row>
    <row r="1999" spans="1:24">
      <c r="A1999">
        <f>HYPERLINK("https://www.philgeps.gov.ph/GEPSNONPILOT/Tender/SplashBidNoticeAbstractUI.aspx?menuIndex=3&amp;refID=7190889&amp;Result=3","7190889")</f>
        <v>0</v>
      </c>
      <c r="B1999" t="s">
        <v>797</v>
      </c>
      <c r="C1999" t="s">
        <v>5442</v>
      </c>
      <c r="D1999" t="s">
        <v>17172</v>
      </c>
      <c r="E1999" t="s">
        <v>18026</v>
      </c>
      <c r="F1999" t="s">
        <v>29372</v>
      </c>
      <c r="G1999" t="s">
        <v>29380</v>
      </c>
      <c r="H1999" t="s">
        <v>11048</v>
      </c>
      <c r="I1999" t="s">
        <v>4709</v>
      </c>
      <c r="J1999" t="s">
        <v>30962</v>
      </c>
      <c r="K1999" t="s">
        <v>38510</v>
      </c>
      <c r="M1999" t="s">
        <v>39581</v>
      </c>
      <c r="N1999" t="s">
        <v>42669</v>
      </c>
      <c r="O1999" t="s">
        <v>42670</v>
      </c>
      <c r="P1999">
        <v>0</v>
      </c>
      <c r="Q1999">
        <v>0</v>
      </c>
      <c r="R1999" t="s">
        <v>42674</v>
      </c>
      <c r="S1999" t="s">
        <v>42788</v>
      </c>
      <c r="T1999" t="s">
        <v>44530</v>
      </c>
      <c r="U1999" t="s">
        <v>46492</v>
      </c>
      <c r="W1999" t="s">
        <v>39581</v>
      </c>
      <c r="X1999" t="s">
        <v>42676</v>
      </c>
    </row>
    <row r="2000" spans="1:24">
      <c r="A2000">
        <f>HYPERLINK("https://www.philgeps.gov.ph/GEPSNONPILOT/Tender/SplashBidNoticeAbstractUI.aspx?menuIndex=3&amp;refID=7190845&amp;Result=3","7190845")</f>
        <v>0</v>
      </c>
      <c r="B2000" t="s">
        <v>660</v>
      </c>
      <c r="C2000" t="s">
        <v>5443</v>
      </c>
      <c r="D2000" t="s">
        <v>17199</v>
      </c>
      <c r="E2000" t="s">
        <v>19010</v>
      </c>
      <c r="F2000" t="s">
        <v>29372</v>
      </c>
      <c r="G2000" t="s">
        <v>29379</v>
      </c>
      <c r="H2000" t="s">
        <v>11048</v>
      </c>
      <c r="I2000" t="s">
        <v>29432</v>
      </c>
      <c r="J2000" t="s">
        <v>30963</v>
      </c>
      <c r="K2000" t="s">
        <v>38490</v>
      </c>
      <c r="M2000" t="s">
        <v>39436</v>
      </c>
      <c r="N2000" t="s">
        <v>42669</v>
      </c>
      <c r="O2000" t="s">
        <v>42670</v>
      </c>
      <c r="P2000">
        <v>0</v>
      </c>
      <c r="Q2000">
        <v>2</v>
      </c>
      <c r="R2000" t="s">
        <v>42674</v>
      </c>
      <c r="S2000" t="s">
        <v>42788</v>
      </c>
      <c r="T2000" t="s">
        <v>44496</v>
      </c>
      <c r="U2000" t="s">
        <v>46493</v>
      </c>
      <c r="W2000" t="s">
        <v>39436</v>
      </c>
      <c r="X2000" t="s">
        <v>42676</v>
      </c>
    </row>
    <row r="2001" spans="1:24">
      <c r="A2001">
        <f>HYPERLINK("https://www.philgeps.gov.ph/GEPSNONPILOT/Tender/SplashBidNoticeAbstractUI.aspx?menuIndex=3&amp;refID=7190887&amp;Result=3","7190887")</f>
        <v>0</v>
      </c>
      <c r="B2001" t="s">
        <v>798</v>
      </c>
      <c r="C2001" t="s">
        <v>5444</v>
      </c>
      <c r="D2001" t="s">
        <v>17188</v>
      </c>
      <c r="E2001" t="s">
        <v>19011</v>
      </c>
      <c r="F2001" t="s">
        <v>29372</v>
      </c>
      <c r="G2001" t="s">
        <v>29379</v>
      </c>
      <c r="H2001" t="s">
        <v>11048</v>
      </c>
      <c r="I2001" t="s">
        <v>8614</v>
      </c>
      <c r="J2001" t="s">
        <v>30964</v>
      </c>
      <c r="K2001" t="s">
        <v>38490</v>
      </c>
      <c r="M2001" t="s">
        <v>39582</v>
      </c>
      <c r="N2001" t="s">
        <v>42669</v>
      </c>
      <c r="O2001" t="s">
        <v>42670</v>
      </c>
      <c r="P2001">
        <v>0</v>
      </c>
      <c r="Q2001">
        <v>7</v>
      </c>
      <c r="R2001" t="s">
        <v>42674</v>
      </c>
      <c r="S2001" t="s">
        <v>42788</v>
      </c>
      <c r="T2001" t="s">
        <v>44512</v>
      </c>
      <c r="U2001" t="s">
        <v>46494</v>
      </c>
      <c r="W2001" t="s">
        <v>39582</v>
      </c>
      <c r="X2001" t="s">
        <v>42676</v>
      </c>
    </row>
    <row r="2002" spans="1:24">
      <c r="A2002">
        <f>HYPERLINK("https://www.philgeps.gov.ph/GEPSNONPILOT/Tender/SplashBidNoticeAbstractUI.aspx?menuIndex=3&amp;refID=7190885&amp;Result=3","7190885")</f>
        <v>0</v>
      </c>
      <c r="B2002" t="s">
        <v>799</v>
      </c>
      <c r="C2002" t="s">
        <v>5445</v>
      </c>
      <c r="D2002" t="s">
        <v>17180</v>
      </c>
      <c r="E2002" t="s">
        <v>19012</v>
      </c>
      <c r="F2002" t="s">
        <v>29372</v>
      </c>
      <c r="G2002" t="s">
        <v>29380</v>
      </c>
      <c r="H2002" t="s">
        <v>11048</v>
      </c>
      <c r="I2002" t="s">
        <v>29398</v>
      </c>
      <c r="J2002" t="s">
        <v>30965</v>
      </c>
      <c r="K2002" t="s">
        <v>38490</v>
      </c>
      <c r="M2002" t="s">
        <v>39583</v>
      </c>
      <c r="N2002" t="s">
        <v>42669</v>
      </c>
      <c r="O2002" t="s">
        <v>42670</v>
      </c>
      <c r="P2002">
        <v>0</v>
      </c>
      <c r="Q2002">
        <v>4</v>
      </c>
      <c r="R2002" t="s">
        <v>42674</v>
      </c>
      <c r="S2002" t="s">
        <v>42788</v>
      </c>
      <c r="T2002" t="s">
        <v>44578</v>
      </c>
      <c r="U2002" t="s">
        <v>46495</v>
      </c>
      <c r="W2002" t="s">
        <v>39583</v>
      </c>
      <c r="X2002" t="s">
        <v>42676</v>
      </c>
    </row>
    <row r="2003" spans="1:24">
      <c r="A2003">
        <f>HYPERLINK("https://www.philgeps.gov.ph/GEPSNONPILOT/Tender/SplashBidNoticeAbstractUI.aspx?menuIndex=3&amp;refID=7190864&amp;Result=3","7190864")</f>
        <v>0</v>
      </c>
      <c r="B2003" t="s">
        <v>800</v>
      </c>
      <c r="C2003" t="s">
        <v>5446</v>
      </c>
      <c r="D2003" t="s">
        <v>17180</v>
      </c>
      <c r="E2003" t="s">
        <v>19013</v>
      </c>
      <c r="F2003" t="s">
        <v>29372</v>
      </c>
      <c r="G2003" t="s">
        <v>29379</v>
      </c>
      <c r="H2003" t="s">
        <v>11048</v>
      </c>
      <c r="I2003" t="s">
        <v>4487</v>
      </c>
      <c r="J2003" t="s">
        <v>30832</v>
      </c>
      <c r="K2003" t="s">
        <v>38485</v>
      </c>
      <c r="M2003" t="s">
        <v>39584</v>
      </c>
      <c r="N2003" t="s">
        <v>42669</v>
      </c>
      <c r="O2003" t="s">
        <v>42670</v>
      </c>
      <c r="P2003">
        <v>0</v>
      </c>
      <c r="Q2003">
        <v>3</v>
      </c>
      <c r="R2003" t="s">
        <v>42674</v>
      </c>
      <c r="S2003" t="s">
        <v>42788</v>
      </c>
      <c r="T2003" t="s">
        <v>44401</v>
      </c>
      <c r="U2003" t="s">
        <v>46496</v>
      </c>
      <c r="W2003" t="s">
        <v>39584</v>
      </c>
      <c r="X2003" t="s">
        <v>42676</v>
      </c>
    </row>
    <row r="2004" spans="1:24">
      <c r="A2004">
        <f>HYPERLINK("https://www.philgeps.gov.ph/GEPSNONPILOT/Tender/SplashBidNoticeAbstractUI.aspx?menuIndex=3&amp;refID=7190891&amp;Result=3","7190891")</f>
        <v>0</v>
      </c>
      <c r="B2004" t="s">
        <v>572</v>
      </c>
      <c r="C2004" t="s">
        <v>5447</v>
      </c>
      <c r="D2004" t="s">
        <v>17165</v>
      </c>
      <c r="E2004" t="s">
        <v>19014</v>
      </c>
      <c r="F2004" t="s">
        <v>29372</v>
      </c>
      <c r="G2004" t="s">
        <v>29380</v>
      </c>
      <c r="H2004" t="s">
        <v>11048</v>
      </c>
      <c r="I2004" t="s">
        <v>29395</v>
      </c>
      <c r="J2004" t="s">
        <v>29587</v>
      </c>
      <c r="K2004" t="s">
        <v>38485</v>
      </c>
      <c r="M2004" t="s">
        <v>39341</v>
      </c>
      <c r="N2004" t="s">
        <v>42669</v>
      </c>
      <c r="O2004" t="s">
        <v>42670</v>
      </c>
      <c r="P2004">
        <v>0</v>
      </c>
      <c r="Q2004">
        <v>0</v>
      </c>
      <c r="R2004" t="s">
        <v>42674</v>
      </c>
      <c r="S2004" t="s">
        <v>42788</v>
      </c>
      <c r="T2004" t="s">
        <v>44375</v>
      </c>
      <c r="U2004" t="s">
        <v>46331</v>
      </c>
      <c r="W2004" t="s">
        <v>39341</v>
      </c>
      <c r="X2004" t="s">
        <v>42676</v>
      </c>
    </row>
    <row r="2005" spans="1:24">
      <c r="A2005">
        <f>HYPERLINK("https://www.philgeps.gov.ph/GEPSNONPILOT/Tender/SplashBidNoticeAbstractUI.aspx?menuIndex=3&amp;refID=7190882&amp;Result=3","7190882")</f>
        <v>0</v>
      </c>
      <c r="B2005" t="s">
        <v>801</v>
      </c>
      <c r="C2005" t="s">
        <v>5448</v>
      </c>
      <c r="D2005" t="s">
        <v>17163</v>
      </c>
      <c r="E2005" t="s">
        <v>19015</v>
      </c>
      <c r="F2005" t="s">
        <v>29372</v>
      </c>
      <c r="G2005" t="s">
        <v>29383</v>
      </c>
      <c r="H2005" t="s">
        <v>11048</v>
      </c>
      <c r="I2005" t="s">
        <v>4487</v>
      </c>
      <c r="J2005" t="s">
        <v>30966</v>
      </c>
      <c r="K2005" t="s">
        <v>38490</v>
      </c>
      <c r="M2005" t="s">
        <v>39585</v>
      </c>
      <c r="N2005" t="s">
        <v>42669</v>
      </c>
      <c r="O2005" t="s">
        <v>42670</v>
      </c>
      <c r="P2005">
        <v>0</v>
      </c>
      <c r="Q2005">
        <v>2</v>
      </c>
      <c r="R2005" t="s">
        <v>42674</v>
      </c>
      <c r="S2005" t="s">
        <v>42788</v>
      </c>
      <c r="T2005" t="s">
        <v>44429</v>
      </c>
      <c r="U2005" t="s">
        <v>46497</v>
      </c>
      <c r="W2005" t="s">
        <v>39585</v>
      </c>
      <c r="X2005" t="s">
        <v>42676</v>
      </c>
    </row>
    <row r="2006" spans="1:24">
      <c r="A2006">
        <f>HYPERLINK("https://www.philgeps.gov.ph/GEPSNONPILOT/Tender/SplashBidNoticeAbstractUI.aspx?menuIndex=3&amp;refID=7190890&amp;Result=3","7190890")</f>
        <v>0</v>
      </c>
      <c r="B2006" t="s">
        <v>782</v>
      </c>
      <c r="C2006" t="s">
        <v>5449</v>
      </c>
      <c r="D2006" t="s">
        <v>17204</v>
      </c>
      <c r="E2006" t="s">
        <v>19016</v>
      </c>
      <c r="F2006" t="s">
        <v>29372</v>
      </c>
      <c r="G2006" t="s">
        <v>29379</v>
      </c>
      <c r="H2006" t="s">
        <v>11048</v>
      </c>
      <c r="I2006" t="s">
        <v>29433</v>
      </c>
      <c r="J2006" t="s">
        <v>29604</v>
      </c>
      <c r="K2006" t="s">
        <v>38485</v>
      </c>
      <c r="M2006" t="s">
        <v>39566</v>
      </c>
      <c r="N2006" t="s">
        <v>42669</v>
      </c>
      <c r="O2006" t="s">
        <v>42670</v>
      </c>
      <c r="P2006">
        <v>0</v>
      </c>
      <c r="Q2006">
        <v>26</v>
      </c>
      <c r="R2006" t="s">
        <v>42674</v>
      </c>
      <c r="S2006" t="s">
        <v>42788</v>
      </c>
      <c r="T2006" t="s">
        <v>44512</v>
      </c>
      <c r="U2006" t="s">
        <v>46454</v>
      </c>
      <c r="W2006" t="s">
        <v>39566</v>
      </c>
      <c r="X2006" t="s">
        <v>42676</v>
      </c>
    </row>
    <row r="2007" spans="1:24">
      <c r="A2007">
        <f>HYPERLINK("https://www.philgeps.gov.ph/GEPSNONPILOT/Tender/SplashBidNoticeAbstractUI.aspx?menuIndex=3&amp;refID=7190886&amp;Result=3","7190886")</f>
        <v>0</v>
      </c>
      <c r="B2007" t="s">
        <v>802</v>
      </c>
      <c r="C2007" t="s">
        <v>5450</v>
      </c>
      <c r="D2007" t="s">
        <v>17169</v>
      </c>
      <c r="E2007" t="s">
        <v>19017</v>
      </c>
      <c r="F2007" t="s">
        <v>29372</v>
      </c>
      <c r="G2007" t="s">
        <v>29379</v>
      </c>
      <c r="H2007" t="s">
        <v>11048</v>
      </c>
      <c r="I2007" t="s">
        <v>4486</v>
      </c>
      <c r="J2007" t="s">
        <v>30967</v>
      </c>
      <c r="K2007" t="s">
        <v>38510</v>
      </c>
      <c r="M2007" t="s">
        <v>39586</v>
      </c>
      <c r="N2007" t="s">
        <v>42669</v>
      </c>
      <c r="O2007" t="s">
        <v>42670</v>
      </c>
      <c r="P2007">
        <v>0</v>
      </c>
      <c r="Q2007">
        <v>5</v>
      </c>
      <c r="R2007" t="s">
        <v>42674</v>
      </c>
      <c r="S2007" t="s">
        <v>42788</v>
      </c>
      <c r="T2007" t="s">
        <v>44493</v>
      </c>
      <c r="U2007" t="s">
        <v>46498</v>
      </c>
      <c r="W2007" t="s">
        <v>39586</v>
      </c>
      <c r="X2007" t="s">
        <v>42676</v>
      </c>
    </row>
    <row r="2008" spans="1:24">
      <c r="A2008">
        <f>HYPERLINK("https://www.philgeps.gov.ph/GEPSNONPILOT/Tender/SplashBidNoticeAbstractUI.aspx?menuIndex=3&amp;refID=7190884&amp;Result=3","7190884")</f>
        <v>0</v>
      </c>
      <c r="B2008" t="s">
        <v>803</v>
      </c>
      <c r="C2008" t="s">
        <v>5451</v>
      </c>
      <c r="D2008" t="s">
        <v>17169</v>
      </c>
      <c r="E2008" t="s">
        <v>19018</v>
      </c>
      <c r="F2008" t="s">
        <v>29372</v>
      </c>
      <c r="G2008" t="s">
        <v>29380</v>
      </c>
      <c r="H2008" t="s">
        <v>29389</v>
      </c>
      <c r="I2008" t="s">
        <v>10408</v>
      </c>
      <c r="J2008" t="s">
        <v>29708</v>
      </c>
      <c r="K2008" t="s">
        <v>38487</v>
      </c>
      <c r="M2008" t="s">
        <v>39587</v>
      </c>
      <c r="N2008" t="s">
        <v>42669</v>
      </c>
      <c r="O2008" t="s">
        <v>42670</v>
      </c>
      <c r="P2008">
        <v>0</v>
      </c>
      <c r="Q2008">
        <v>0</v>
      </c>
      <c r="R2008" t="s">
        <v>42674</v>
      </c>
      <c r="S2008" t="s">
        <v>42788</v>
      </c>
      <c r="T2008" t="s">
        <v>44365</v>
      </c>
      <c r="U2008" t="s">
        <v>46499</v>
      </c>
      <c r="V2008" t="s">
        <v>56562</v>
      </c>
      <c r="W2008" t="s">
        <v>39587</v>
      </c>
      <c r="X2008" t="s">
        <v>42676</v>
      </c>
    </row>
    <row r="2009" spans="1:24">
      <c r="A2009">
        <f>HYPERLINK("https://www.philgeps.gov.ph/GEPSNONPILOT/Tender/SplashBidNoticeAbstractUI.aspx?menuIndex=3&amp;refID=7190875&amp;Result=3","7190875")</f>
        <v>0</v>
      </c>
      <c r="B2009" t="s">
        <v>786</v>
      </c>
      <c r="C2009" t="s">
        <v>5452</v>
      </c>
      <c r="D2009" t="s">
        <v>17173</v>
      </c>
      <c r="E2009" t="s">
        <v>19019</v>
      </c>
      <c r="F2009" t="s">
        <v>29372</v>
      </c>
      <c r="G2009" t="s">
        <v>29380</v>
      </c>
      <c r="H2009" t="s">
        <v>29389</v>
      </c>
      <c r="I2009" t="s">
        <v>10408</v>
      </c>
      <c r="J2009" t="s">
        <v>30968</v>
      </c>
      <c r="K2009" t="s">
        <v>38533</v>
      </c>
      <c r="M2009" t="s">
        <v>39570</v>
      </c>
      <c r="N2009" t="s">
        <v>42669</v>
      </c>
      <c r="O2009" t="s">
        <v>42670</v>
      </c>
      <c r="P2009">
        <v>0</v>
      </c>
      <c r="Q2009">
        <v>0</v>
      </c>
      <c r="R2009" t="s">
        <v>42674</v>
      </c>
      <c r="S2009" t="s">
        <v>42788</v>
      </c>
      <c r="T2009" t="s">
        <v>44576</v>
      </c>
      <c r="U2009" t="s">
        <v>46500</v>
      </c>
      <c r="V2009" t="s">
        <v>56556</v>
      </c>
      <c r="W2009" t="s">
        <v>39570</v>
      </c>
      <c r="X2009" t="s">
        <v>42676</v>
      </c>
    </row>
    <row r="2010" spans="1:24">
      <c r="A2010">
        <f>HYPERLINK("https://www.philgeps.gov.ph/GEPSNONPILOT/Tender/SplashBidNoticeAbstractUI.aspx?menuIndex=3&amp;refID=7190883&amp;Result=3","7190883")</f>
        <v>0</v>
      </c>
      <c r="B2010" t="s">
        <v>766</v>
      </c>
      <c r="C2010" t="s">
        <v>5453</v>
      </c>
      <c r="E2010" t="s">
        <v>19020</v>
      </c>
      <c r="F2010" t="s">
        <v>29372</v>
      </c>
      <c r="G2010" t="s">
        <v>29379</v>
      </c>
      <c r="H2010" t="s">
        <v>11048</v>
      </c>
      <c r="I2010" t="s">
        <v>4486</v>
      </c>
      <c r="J2010" t="s">
        <v>30969</v>
      </c>
      <c r="K2010" t="s">
        <v>38490</v>
      </c>
      <c r="M2010" t="s">
        <v>39550</v>
      </c>
      <c r="N2010" t="s">
        <v>42669</v>
      </c>
      <c r="O2010" t="s">
        <v>42670</v>
      </c>
      <c r="P2010">
        <v>0</v>
      </c>
      <c r="Q2010">
        <v>5</v>
      </c>
      <c r="R2010" t="s">
        <v>42674</v>
      </c>
      <c r="S2010" t="s">
        <v>42788</v>
      </c>
      <c r="T2010" t="s">
        <v>44451</v>
      </c>
      <c r="U2010" t="s">
        <v>46432</v>
      </c>
      <c r="W2010" t="s">
        <v>39550</v>
      </c>
      <c r="X2010" t="s">
        <v>42676</v>
      </c>
    </row>
    <row r="2011" spans="1:24">
      <c r="A2011">
        <f>HYPERLINK("https://www.philgeps.gov.ph/GEPSNONPILOT/Tender/SplashBidNoticeAbstractUI.aspx?menuIndex=3&amp;refID=7190874&amp;Result=3","7190874")</f>
        <v>0</v>
      </c>
      <c r="B2011" t="s">
        <v>791</v>
      </c>
      <c r="C2011" t="s">
        <v>5454</v>
      </c>
      <c r="D2011" t="s">
        <v>17167</v>
      </c>
      <c r="E2011" t="s">
        <v>19021</v>
      </c>
      <c r="F2011" t="s">
        <v>29372</v>
      </c>
      <c r="G2011" t="s">
        <v>29380</v>
      </c>
      <c r="H2011" t="s">
        <v>11048</v>
      </c>
      <c r="I2011" t="s">
        <v>3839</v>
      </c>
      <c r="J2011" t="s">
        <v>30010</v>
      </c>
      <c r="K2011" t="s">
        <v>38510</v>
      </c>
      <c r="M2011" t="s">
        <v>39575</v>
      </c>
      <c r="N2011" t="s">
        <v>42669</v>
      </c>
      <c r="O2011" t="s">
        <v>42670</v>
      </c>
      <c r="P2011">
        <v>0</v>
      </c>
      <c r="Q2011">
        <v>1</v>
      </c>
      <c r="R2011" t="s">
        <v>42674</v>
      </c>
      <c r="S2011" t="s">
        <v>42788</v>
      </c>
      <c r="T2011" t="s">
        <v>44470</v>
      </c>
      <c r="U2011" t="s">
        <v>46501</v>
      </c>
      <c r="W2011" t="s">
        <v>39575</v>
      </c>
      <c r="X2011" t="s">
        <v>42676</v>
      </c>
    </row>
    <row r="2012" spans="1:24">
      <c r="A2012">
        <f>HYPERLINK("https://www.philgeps.gov.ph/GEPSNONPILOT/Tender/SplashBidNoticeAbstractUI.aspx?menuIndex=3&amp;refID=7190881&amp;Result=3","7190881")</f>
        <v>0</v>
      </c>
      <c r="B2012" t="s">
        <v>800</v>
      </c>
      <c r="C2012" t="s">
        <v>4147</v>
      </c>
      <c r="D2012" t="s">
        <v>17180</v>
      </c>
      <c r="E2012" t="s">
        <v>19022</v>
      </c>
      <c r="F2012" t="s">
        <v>29372</v>
      </c>
      <c r="G2012" t="s">
        <v>29379</v>
      </c>
      <c r="H2012" t="s">
        <v>11048</v>
      </c>
      <c r="I2012" t="s">
        <v>5383</v>
      </c>
      <c r="J2012" t="s">
        <v>30970</v>
      </c>
      <c r="K2012" t="s">
        <v>38485</v>
      </c>
      <c r="M2012" t="s">
        <v>39584</v>
      </c>
      <c r="N2012" t="s">
        <v>42669</v>
      </c>
      <c r="O2012" t="s">
        <v>42670</v>
      </c>
      <c r="P2012">
        <v>0</v>
      </c>
      <c r="Q2012">
        <v>0</v>
      </c>
      <c r="R2012" t="s">
        <v>42674</v>
      </c>
      <c r="S2012" t="s">
        <v>42788</v>
      </c>
      <c r="T2012" t="s">
        <v>44488</v>
      </c>
      <c r="U2012" t="s">
        <v>46502</v>
      </c>
      <c r="W2012" t="s">
        <v>39584</v>
      </c>
      <c r="X2012" t="s">
        <v>42676</v>
      </c>
    </row>
    <row r="2013" spans="1:24">
      <c r="A2013">
        <f>HYPERLINK("https://www.philgeps.gov.ph/GEPSNONPILOT/Tender/SplashBidNoticeAbstractUI.aspx?menuIndex=3&amp;refID=7190935&amp;Result=3","7190935")</f>
        <v>0</v>
      </c>
      <c r="B2013" t="s">
        <v>804</v>
      </c>
      <c r="C2013" t="s">
        <v>4557</v>
      </c>
      <c r="D2013" t="s">
        <v>17171</v>
      </c>
      <c r="E2013" t="s">
        <v>19023</v>
      </c>
      <c r="F2013" t="s">
        <v>29372</v>
      </c>
      <c r="G2013" t="s">
        <v>29385</v>
      </c>
      <c r="H2013" t="s">
        <v>11048</v>
      </c>
      <c r="I2013" t="s">
        <v>5383</v>
      </c>
      <c r="J2013" t="s">
        <v>30971</v>
      </c>
      <c r="K2013" t="s">
        <v>38534</v>
      </c>
      <c r="M2013" t="s">
        <v>39588</v>
      </c>
      <c r="N2013" t="s">
        <v>42669</v>
      </c>
      <c r="O2013" t="s">
        <v>42670</v>
      </c>
      <c r="P2013">
        <v>0</v>
      </c>
      <c r="Q2013">
        <v>2</v>
      </c>
      <c r="R2013" t="s">
        <v>42674</v>
      </c>
      <c r="S2013" t="s">
        <v>42788</v>
      </c>
      <c r="T2013" t="s">
        <v>44429</v>
      </c>
      <c r="U2013" t="s">
        <v>46503</v>
      </c>
      <c r="W2013" t="s">
        <v>39588</v>
      </c>
      <c r="X2013" t="s">
        <v>42676</v>
      </c>
    </row>
    <row r="2014" spans="1:24">
      <c r="A2014">
        <f>HYPERLINK("https://www.philgeps.gov.ph/GEPSNONPILOT/Tender/SplashBidNoticeAbstractUI.aspx?menuIndex=3&amp;refID=7190930&amp;Result=3","7190930")</f>
        <v>0</v>
      </c>
      <c r="B2014" t="s">
        <v>119</v>
      </c>
      <c r="C2014" t="s">
        <v>5455</v>
      </c>
      <c r="D2014" t="s">
        <v>17141</v>
      </c>
      <c r="E2014" t="s">
        <v>19024</v>
      </c>
      <c r="F2014" t="s">
        <v>29372</v>
      </c>
      <c r="G2014" t="s">
        <v>29379</v>
      </c>
      <c r="H2014" t="s">
        <v>11048</v>
      </c>
      <c r="I2014" t="s">
        <v>8614</v>
      </c>
      <c r="J2014" t="s">
        <v>30972</v>
      </c>
      <c r="K2014" t="s">
        <v>38487</v>
      </c>
      <c r="M2014" t="s">
        <v>39589</v>
      </c>
      <c r="N2014" t="s">
        <v>42669</v>
      </c>
      <c r="O2014" t="s">
        <v>42670</v>
      </c>
      <c r="P2014">
        <v>0</v>
      </c>
      <c r="Q2014">
        <v>5</v>
      </c>
      <c r="R2014" t="s">
        <v>42674</v>
      </c>
      <c r="S2014" t="s">
        <v>42788</v>
      </c>
      <c r="T2014" t="s">
        <v>44414</v>
      </c>
      <c r="U2014" t="s">
        <v>46504</v>
      </c>
      <c r="W2014" t="s">
        <v>39589</v>
      </c>
      <c r="X2014" t="s">
        <v>42676</v>
      </c>
    </row>
    <row r="2015" spans="1:24">
      <c r="A2015">
        <f>HYPERLINK("https://www.philgeps.gov.ph/GEPSNONPILOT/Tender/SplashBidNoticeAbstractUI.aspx?menuIndex=3&amp;refID=7190926&amp;Result=3","7190926")</f>
        <v>0</v>
      </c>
      <c r="B2015" t="s">
        <v>805</v>
      </c>
      <c r="C2015" t="s">
        <v>5456</v>
      </c>
      <c r="D2015" t="s">
        <v>17186</v>
      </c>
      <c r="E2015" t="s">
        <v>19025</v>
      </c>
      <c r="F2015" t="s">
        <v>29372</v>
      </c>
      <c r="G2015" t="s">
        <v>29379</v>
      </c>
      <c r="H2015" t="s">
        <v>11048</v>
      </c>
      <c r="I2015" t="s">
        <v>29410</v>
      </c>
      <c r="J2015" t="s">
        <v>30331</v>
      </c>
      <c r="K2015" t="s">
        <v>38485</v>
      </c>
      <c r="M2015" t="s">
        <v>39590</v>
      </c>
      <c r="N2015" t="s">
        <v>42669</v>
      </c>
      <c r="O2015" t="s">
        <v>42670</v>
      </c>
      <c r="P2015">
        <v>0</v>
      </c>
      <c r="Q2015">
        <v>5</v>
      </c>
      <c r="R2015" t="s">
        <v>42674</v>
      </c>
      <c r="S2015" t="s">
        <v>42788</v>
      </c>
      <c r="T2015" t="s">
        <v>44394</v>
      </c>
      <c r="U2015" t="s">
        <v>46505</v>
      </c>
      <c r="W2015" t="s">
        <v>39590</v>
      </c>
      <c r="X2015" t="s">
        <v>42676</v>
      </c>
    </row>
    <row r="2016" spans="1:24">
      <c r="A2016">
        <f>HYPERLINK("https://www.philgeps.gov.ph/GEPSNONPILOT/Tender/SplashBidNoticeAbstractUI.aspx?menuIndex=3&amp;refID=7190925&amp;Result=3","7190925")</f>
        <v>0</v>
      </c>
      <c r="B2016" t="s">
        <v>806</v>
      </c>
      <c r="C2016" t="s">
        <v>5457</v>
      </c>
      <c r="D2016" t="s">
        <v>17189</v>
      </c>
      <c r="E2016" t="s">
        <v>19026</v>
      </c>
      <c r="F2016" t="s">
        <v>29372</v>
      </c>
      <c r="G2016" t="s">
        <v>29382</v>
      </c>
      <c r="H2016" t="s">
        <v>11048</v>
      </c>
      <c r="I2016" t="s">
        <v>29412</v>
      </c>
      <c r="J2016" t="s">
        <v>29590</v>
      </c>
      <c r="K2016" t="s">
        <v>38528</v>
      </c>
      <c r="M2016" t="s">
        <v>39591</v>
      </c>
      <c r="N2016" t="s">
        <v>42669</v>
      </c>
      <c r="O2016" t="s">
        <v>42670</v>
      </c>
      <c r="P2016">
        <v>0</v>
      </c>
      <c r="Q2016">
        <v>1</v>
      </c>
      <c r="R2016" t="s">
        <v>42674</v>
      </c>
      <c r="S2016" t="s">
        <v>42788</v>
      </c>
      <c r="T2016" t="s">
        <v>44378</v>
      </c>
      <c r="U2016" t="s">
        <v>46506</v>
      </c>
      <c r="W2016" t="s">
        <v>39591</v>
      </c>
      <c r="X2016" t="s">
        <v>42676</v>
      </c>
    </row>
    <row r="2017" spans="1:24">
      <c r="A2017">
        <f>HYPERLINK("https://www.philgeps.gov.ph/GEPSNONPILOT/Tender/SplashBidNoticeAbstractUI.aspx?menuIndex=3&amp;refID=7190878&amp;Result=3","7190878")</f>
        <v>0</v>
      </c>
      <c r="B2017" t="s">
        <v>776</v>
      </c>
      <c r="C2017" t="s">
        <v>5458</v>
      </c>
      <c r="D2017" t="s">
        <v>17169</v>
      </c>
      <c r="E2017" t="s">
        <v>19027</v>
      </c>
      <c r="F2017" t="s">
        <v>29372</v>
      </c>
      <c r="G2017" t="s">
        <v>29380</v>
      </c>
      <c r="H2017" t="s">
        <v>29389</v>
      </c>
      <c r="I2017" t="s">
        <v>10408</v>
      </c>
      <c r="J2017" t="s">
        <v>30973</v>
      </c>
      <c r="K2017" t="s">
        <v>38533</v>
      </c>
      <c r="L2017" t="s">
        <v>776</v>
      </c>
      <c r="M2017" t="s">
        <v>39560</v>
      </c>
      <c r="N2017" t="s">
        <v>42669</v>
      </c>
      <c r="O2017" t="s">
        <v>42670</v>
      </c>
      <c r="P2017">
        <v>0</v>
      </c>
      <c r="Q2017">
        <v>3</v>
      </c>
      <c r="R2017" t="s">
        <v>42674</v>
      </c>
      <c r="S2017" t="s">
        <v>42788</v>
      </c>
      <c r="T2017" t="s">
        <v>44542</v>
      </c>
      <c r="U2017" t="s">
        <v>46507</v>
      </c>
      <c r="W2017" t="s">
        <v>39560</v>
      </c>
      <c r="X2017" t="s">
        <v>42676</v>
      </c>
    </row>
    <row r="2018" spans="1:24">
      <c r="A2018">
        <f>HYPERLINK("https://www.philgeps.gov.ph/GEPSNONPILOT/Tender/SplashBidNoticeAbstractUI.aspx?menuIndex=3&amp;refID=7190923&amp;Result=3","7190923")</f>
        <v>0</v>
      </c>
      <c r="B2018" t="s">
        <v>807</v>
      </c>
      <c r="C2018" t="s">
        <v>5459</v>
      </c>
      <c r="D2018" t="s">
        <v>17198</v>
      </c>
      <c r="E2018" t="s">
        <v>19028</v>
      </c>
      <c r="F2018" t="s">
        <v>29372</v>
      </c>
      <c r="G2018" t="s">
        <v>29379</v>
      </c>
      <c r="H2018" t="s">
        <v>11048</v>
      </c>
      <c r="I2018" t="s">
        <v>3839</v>
      </c>
      <c r="J2018" t="s">
        <v>30886</v>
      </c>
      <c r="K2018" t="s">
        <v>38488</v>
      </c>
      <c r="M2018" t="s">
        <v>39592</v>
      </c>
      <c r="N2018" t="s">
        <v>42669</v>
      </c>
      <c r="O2018" t="s">
        <v>42670</v>
      </c>
      <c r="P2018">
        <v>0</v>
      </c>
      <c r="Q2018">
        <v>2</v>
      </c>
      <c r="R2018" t="s">
        <v>42674</v>
      </c>
      <c r="S2018" t="s">
        <v>42788</v>
      </c>
      <c r="T2018" t="s">
        <v>44451</v>
      </c>
      <c r="U2018" t="s">
        <v>46508</v>
      </c>
      <c r="W2018" t="s">
        <v>39592</v>
      </c>
      <c r="X2018" t="s">
        <v>42676</v>
      </c>
    </row>
    <row r="2019" spans="1:24">
      <c r="A2019">
        <f>HYPERLINK("https://www.philgeps.gov.ph/GEPSNONPILOT/Tender/SplashBidNoticeAbstractUI.aspx?menuIndex=3&amp;refID=7190933&amp;Result=3","7190933")</f>
        <v>0</v>
      </c>
      <c r="B2019" t="s">
        <v>719</v>
      </c>
      <c r="C2019" t="s">
        <v>5460</v>
      </c>
      <c r="D2019" t="s">
        <v>17170</v>
      </c>
      <c r="E2019" t="s">
        <v>19029</v>
      </c>
      <c r="F2019" t="s">
        <v>29372</v>
      </c>
      <c r="G2019" t="s">
        <v>29379</v>
      </c>
      <c r="H2019" t="s">
        <v>11048</v>
      </c>
      <c r="I2019" t="s">
        <v>5383</v>
      </c>
      <c r="J2019" t="s">
        <v>30974</v>
      </c>
      <c r="K2019" t="s">
        <v>38485</v>
      </c>
      <c r="M2019" t="s">
        <v>39593</v>
      </c>
      <c r="N2019" t="s">
        <v>42669</v>
      </c>
      <c r="O2019" t="s">
        <v>42670</v>
      </c>
      <c r="P2019">
        <v>0</v>
      </c>
      <c r="Q2019">
        <v>6</v>
      </c>
      <c r="R2019" t="s">
        <v>42674</v>
      </c>
      <c r="S2019" t="s">
        <v>42788</v>
      </c>
      <c r="T2019" t="s">
        <v>44493</v>
      </c>
      <c r="U2019" t="s">
        <v>46509</v>
      </c>
      <c r="W2019" t="s">
        <v>39593</v>
      </c>
      <c r="X2019" t="s">
        <v>42676</v>
      </c>
    </row>
    <row r="2020" spans="1:24">
      <c r="A2020">
        <f>HYPERLINK("https://www.philgeps.gov.ph/GEPSNONPILOT/Tender/SplashBidNoticeAbstractUI.aspx?menuIndex=3&amp;refID=7190922&amp;Result=3","7190922")</f>
        <v>0</v>
      </c>
      <c r="B2020" t="s">
        <v>808</v>
      </c>
      <c r="C2020" t="s">
        <v>5461</v>
      </c>
      <c r="E2020" t="s">
        <v>19030</v>
      </c>
      <c r="F2020" t="s">
        <v>29372</v>
      </c>
      <c r="G2020" t="s">
        <v>29379</v>
      </c>
      <c r="H2020" t="s">
        <v>29390</v>
      </c>
      <c r="I2020" t="s">
        <v>29403</v>
      </c>
      <c r="J2020" t="s">
        <v>29708</v>
      </c>
      <c r="K2020" t="s">
        <v>38488</v>
      </c>
      <c r="M2020" t="s">
        <v>39594</v>
      </c>
      <c r="N2020" t="s">
        <v>42669</v>
      </c>
      <c r="O2020" t="s">
        <v>42670</v>
      </c>
      <c r="P2020">
        <v>0</v>
      </c>
      <c r="Q2020">
        <v>0</v>
      </c>
      <c r="R2020" t="s">
        <v>42674</v>
      </c>
      <c r="S2020" t="s">
        <v>42788</v>
      </c>
      <c r="T2020" t="s">
        <v>44488</v>
      </c>
      <c r="U2020" t="s">
        <v>46510</v>
      </c>
      <c r="W2020" t="s">
        <v>39594</v>
      </c>
      <c r="X2020" t="s">
        <v>42676</v>
      </c>
    </row>
    <row r="2021" spans="1:24">
      <c r="A2021">
        <f>HYPERLINK("https://www.philgeps.gov.ph/GEPSNONPILOT/Tender/SplashBidNoticeAbstractUI.aspx?menuIndex=3&amp;refID=7190921&amp;Result=3","7190921")</f>
        <v>0</v>
      </c>
      <c r="B2021" t="s">
        <v>613</v>
      </c>
      <c r="C2021" t="s">
        <v>5462</v>
      </c>
      <c r="D2021" t="s">
        <v>17205</v>
      </c>
      <c r="E2021" t="s">
        <v>19031</v>
      </c>
      <c r="F2021" t="s">
        <v>29372</v>
      </c>
      <c r="G2021" t="s">
        <v>29379</v>
      </c>
      <c r="H2021" t="s">
        <v>11048</v>
      </c>
      <c r="I2021" t="s">
        <v>3695</v>
      </c>
      <c r="J2021" t="s">
        <v>30975</v>
      </c>
      <c r="K2021" t="s">
        <v>38490</v>
      </c>
      <c r="M2021" t="s">
        <v>39384</v>
      </c>
      <c r="N2021" t="s">
        <v>42669</v>
      </c>
      <c r="O2021" t="s">
        <v>42670</v>
      </c>
      <c r="P2021">
        <v>0</v>
      </c>
      <c r="Q2021">
        <v>1</v>
      </c>
      <c r="R2021" t="s">
        <v>42674</v>
      </c>
      <c r="S2021" t="s">
        <v>42788</v>
      </c>
      <c r="T2021" t="s">
        <v>44417</v>
      </c>
      <c r="U2021" t="s">
        <v>46511</v>
      </c>
      <c r="V2021" t="s">
        <v>56514</v>
      </c>
      <c r="W2021" t="s">
        <v>39384</v>
      </c>
      <c r="X2021" t="s">
        <v>42676</v>
      </c>
    </row>
    <row r="2022" spans="1:24">
      <c r="A2022">
        <f>HYPERLINK("https://www.philgeps.gov.ph/GEPSNONPILOT/Tender/SplashBidNoticeAbstractUI.aspx?menuIndex=3&amp;refID=7190919&amp;Result=3","7190919")</f>
        <v>0</v>
      </c>
      <c r="B2022" t="s">
        <v>809</v>
      </c>
      <c r="C2022" t="s">
        <v>5463</v>
      </c>
      <c r="D2022" t="s">
        <v>17169</v>
      </c>
      <c r="E2022" t="s">
        <v>19032</v>
      </c>
      <c r="F2022" t="s">
        <v>29372</v>
      </c>
      <c r="G2022" t="s">
        <v>29380</v>
      </c>
      <c r="H2022" t="s">
        <v>29389</v>
      </c>
      <c r="I2022" t="s">
        <v>10408</v>
      </c>
      <c r="J2022" t="s">
        <v>30976</v>
      </c>
      <c r="K2022" t="s">
        <v>38485</v>
      </c>
      <c r="M2022" t="s">
        <v>39595</v>
      </c>
      <c r="N2022" t="s">
        <v>42669</v>
      </c>
      <c r="O2022" t="s">
        <v>42670</v>
      </c>
      <c r="P2022">
        <v>0</v>
      </c>
      <c r="Q2022">
        <v>0</v>
      </c>
      <c r="R2022" t="s">
        <v>42674</v>
      </c>
      <c r="S2022" t="s">
        <v>42788</v>
      </c>
      <c r="T2022" t="s">
        <v>44368</v>
      </c>
      <c r="U2022" t="s">
        <v>46512</v>
      </c>
      <c r="V2022" t="s">
        <v>56563</v>
      </c>
      <c r="W2022" t="s">
        <v>39595</v>
      </c>
      <c r="X2022" t="s">
        <v>42676</v>
      </c>
    </row>
    <row r="2023" spans="1:24">
      <c r="A2023">
        <f>HYPERLINK("https://www.philgeps.gov.ph/GEPSNONPILOT/Tender/SplashBidNoticeAbstractUI.aspx?menuIndex=3&amp;refID=7190888&amp;Result=3","7190888")</f>
        <v>0</v>
      </c>
      <c r="B2023" t="s">
        <v>810</v>
      </c>
      <c r="C2023" t="s">
        <v>5464</v>
      </c>
      <c r="E2023" t="s">
        <v>19033</v>
      </c>
      <c r="F2023" t="s">
        <v>29372</v>
      </c>
      <c r="G2023" t="s">
        <v>29380</v>
      </c>
      <c r="H2023" t="s">
        <v>29389</v>
      </c>
      <c r="I2023" t="s">
        <v>10408</v>
      </c>
      <c r="J2023" t="s">
        <v>30977</v>
      </c>
      <c r="K2023" t="s">
        <v>38490</v>
      </c>
      <c r="M2023" t="s">
        <v>39596</v>
      </c>
      <c r="N2023" t="s">
        <v>42669</v>
      </c>
      <c r="O2023" t="s">
        <v>42670</v>
      </c>
      <c r="P2023">
        <v>0</v>
      </c>
      <c r="Q2023">
        <v>2</v>
      </c>
      <c r="R2023" t="s">
        <v>42674</v>
      </c>
      <c r="S2023" t="s">
        <v>42788</v>
      </c>
      <c r="T2023" t="s">
        <v>44470</v>
      </c>
      <c r="U2023" t="s">
        <v>46513</v>
      </c>
      <c r="V2023" t="s">
        <v>56564</v>
      </c>
      <c r="W2023" t="s">
        <v>39596</v>
      </c>
      <c r="X2023" t="s">
        <v>42676</v>
      </c>
    </row>
    <row r="2024" spans="1:24">
      <c r="A2024">
        <f>HYPERLINK("https://www.philgeps.gov.ph/GEPSNONPILOT/Tender/SplashBidNoticeAbstractUI.aspx?menuIndex=3&amp;refID=7190918&amp;Result=3","7190918")</f>
        <v>0</v>
      </c>
      <c r="B2024" t="s">
        <v>660</v>
      </c>
      <c r="C2024" t="s">
        <v>5465</v>
      </c>
      <c r="D2024" t="s">
        <v>17199</v>
      </c>
      <c r="E2024" t="s">
        <v>5465</v>
      </c>
      <c r="F2024" t="s">
        <v>29372</v>
      </c>
      <c r="G2024" t="s">
        <v>29379</v>
      </c>
      <c r="H2024" t="s">
        <v>11048</v>
      </c>
      <c r="I2024" t="s">
        <v>29477</v>
      </c>
      <c r="J2024" t="s">
        <v>30978</v>
      </c>
      <c r="K2024" t="s">
        <v>38490</v>
      </c>
      <c r="M2024" t="s">
        <v>39436</v>
      </c>
      <c r="N2024" t="s">
        <v>42669</v>
      </c>
      <c r="O2024" t="s">
        <v>42670</v>
      </c>
      <c r="P2024">
        <v>0</v>
      </c>
      <c r="Q2024">
        <v>1</v>
      </c>
      <c r="R2024" t="s">
        <v>42674</v>
      </c>
      <c r="S2024" t="s">
        <v>42788</v>
      </c>
      <c r="T2024" t="s">
        <v>44496</v>
      </c>
      <c r="U2024" t="s">
        <v>46514</v>
      </c>
      <c r="W2024" t="s">
        <v>39436</v>
      </c>
      <c r="X2024" t="s">
        <v>42676</v>
      </c>
    </row>
    <row r="2025" spans="1:24">
      <c r="A2025">
        <f>HYPERLINK("https://www.philgeps.gov.ph/GEPSNONPILOT/Tender/SplashBidNoticeAbstractUI.aspx?menuIndex=3&amp;refID=7190913&amp;Result=3","7190913")</f>
        <v>0</v>
      </c>
      <c r="B2025" t="s">
        <v>794</v>
      </c>
      <c r="C2025" t="s">
        <v>5466</v>
      </c>
      <c r="D2025" t="s">
        <v>17193</v>
      </c>
      <c r="E2025" t="s">
        <v>19034</v>
      </c>
      <c r="F2025" t="s">
        <v>29372</v>
      </c>
      <c r="G2025" t="s">
        <v>29379</v>
      </c>
      <c r="H2025" t="s">
        <v>11048</v>
      </c>
      <c r="I2025" t="s">
        <v>3670</v>
      </c>
      <c r="J2025" t="s">
        <v>30979</v>
      </c>
      <c r="K2025" t="s">
        <v>38510</v>
      </c>
      <c r="M2025" t="s">
        <v>39578</v>
      </c>
      <c r="N2025" t="s">
        <v>42669</v>
      </c>
      <c r="O2025" t="s">
        <v>42670</v>
      </c>
      <c r="P2025">
        <v>0</v>
      </c>
      <c r="Q2025">
        <v>4</v>
      </c>
      <c r="R2025" t="s">
        <v>42674</v>
      </c>
      <c r="S2025" t="s">
        <v>42788</v>
      </c>
      <c r="T2025" t="s">
        <v>44429</v>
      </c>
      <c r="U2025" t="s">
        <v>46515</v>
      </c>
      <c r="V2025" t="s">
        <v>56565</v>
      </c>
      <c r="W2025" t="s">
        <v>39578</v>
      </c>
      <c r="X2025" t="s">
        <v>42676</v>
      </c>
    </row>
    <row r="2026" spans="1:24">
      <c r="A2026">
        <f>HYPERLINK("https://www.philgeps.gov.ph/GEPSNONPILOT/Tender/SplashBidNoticeAbstractUI.aspx?menuIndex=3&amp;refID=7190912&amp;Result=3","7190912")</f>
        <v>0</v>
      </c>
      <c r="B2026" t="s">
        <v>766</v>
      </c>
      <c r="C2026" t="s">
        <v>5467</v>
      </c>
      <c r="E2026" t="s">
        <v>19035</v>
      </c>
      <c r="F2026" t="s">
        <v>29372</v>
      </c>
      <c r="G2026" t="s">
        <v>29379</v>
      </c>
      <c r="H2026" t="s">
        <v>11048</v>
      </c>
      <c r="I2026" t="s">
        <v>10408</v>
      </c>
      <c r="J2026" t="s">
        <v>30980</v>
      </c>
      <c r="K2026" t="s">
        <v>38490</v>
      </c>
      <c r="M2026" t="s">
        <v>39550</v>
      </c>
      <c r="N2026" t="s">
        <v>42669</v>
      </c>
      <c r="O2026" t="s">
        <v>42670</v>
      </c>
      <c r="P2026">
        <v>0</v>
      </c>
      <c r="Q2026">
        <v>0</v>
      </c>
      <c r="R2026" t="s">
        <v>42674</v>
      </c>
      <c r="S2026" t="s">
        <v>42788</v>
      </c>
      <c r="T2026" t="s">
        <v>44451</v>
      </c>
      <c r="U2026" t="s">
        <v>46432</v>
      </c>
      <c r="W2026" t="s">
        <v>39550</v>
      </c>
      <c r="X2026" t="s">
        <v>42676</v>
      </c>
    </row>
    <row r="2027" spans="1:24">
      <c r="A2027">
        <f>HYPERLINK("https://www.philgeps.gov.ph/GEPSNONPILOT/Tender/SplashBidNoticeAbstractUI.aspx?menuIndex=3&amp;refID=7190911&amp;Result=3","7190911")</f>
        <v>0</v>
      </c>
      <c r="B2027" t="s">
        <v>703</v>
      </c>
      <c r="C2027" t="s">
        <v>5468</v>
      </c>
      <c r="D2027" t="s">
        <v>17161</v>
      </c>
      <c r="E2027" t="s">
        <v>19036</v>
      </c>
      <c r="F2027" t="s">
        <v>29374</v>
      </c>
      <c r="G2027" t="s">
        <v>29380</v>
      </c>
      <c r="H2027" t="s">
        <v>29389</v>
      </c>
      <c r="I2027" t="s">
        <v>10408</v>
      </c>
      <c r="J2027" t="s">
        <v>30981</v>
      </c>
      <c r="K2027" t="s">
        <v>38496</v>
      </c>
      <c r="M2027" t="s">
        <v>39481</v>
      </c>
      <c r="N2027" t="s">
        <v>42669</v>
      </c>
      <c r="O2027" t="s">
        <v>42670</v>
      </c>
      <c r="P2027">
        <v>0</v>
      </c>
      <c r="Q2027">
        <v>0</v>
      </c>
      <c r="R2027" t="s">
        <v>42674</v>
      </c>
      <c r="S2027" t="s">
        <v>42788</v>
      </c>
      <c r="T2027" t="s">
        <v>44360</v>
      </c>
      <c r="U2027" t="s">
        <v>46516</v>
      </c>
      <c r="W2027" t="s">
        <v>39481</v>
      </c>
      <c r="X2027" t="s">
        <v>42676</v>
      </c>
    </row>
    <row r="2028" spans="1:24">
      <c r="A2028">
        <f>HYPERLINK("https://www.philgeps.gov.ph/GEPSNONPILOT/Tender/SplashBidNoticeAbstractUI.aspx?menuIndex=3&amp;refID=7190910&amp;Result=3","7190910")</f>
        <v>0</v>
      </c>
      <c r="B2028" t="s">
        <v>811</v>
      </c>
      <c r="C2028" t="s">
        <v>5469</v>
      </c>
      <c r="D2028" t="s">
        <v>17183</v>
      </c>
      <c r="E2028" t="s">
        <v>19037</v>
      </c>
      <c r="F2028" t="s">
        <v>29372</v>
      </c>
      <c r="G2028" t="s">
        <v>29383</v>
      </c>
      <c r="H2028" t="s">
        <v>11048</v>
      </c>
      <c r="I2028" t="s">
        <v>4487</v>
      </c>
      <c r="J2028" t="s">
        <v>30982</v>
      </c>
      <c r="K2028" t="s">
        <v>38496</v>
      </c>
      <c r="M2028" t="s">
        <v>39597</v>
      </c>
      <c r="N2028" t="s">
        <v>42669</v>
      </c>
      <c r="O2028" t="s">
        <v>42670</v>
      </c>
      <c r="P2028">
        <v>0</v>
      </c>
      <c r="Q2028">
        <v>3</v>
      </c>
      <c r="R2028" t="s">
        <v>42674</v>
      </c>
      <c r="S2028" t="s">
        <v>42788</v>
      </c>
      <c r="T2028" t="s">
        <v>44371</v>
      </c>
      <c r="U2028" t="s">
        <v>46517</v>
      </c>
      <c r="W2028" t="s">
        <v>39597</v>
      </c>
      <c r="X2028" t="s">
        <v>42676</v>
      </c>
    </row>
    <row r="2029" spans="1:24">
      <c r="A2029">
        <f>HYPERLINK("https://www.philgeps.gov.ph/GEPSNONPILOT/Tender/SplashBidNoticeAbstractUI.aspx?menuIndex=3&amp;refID=7190905&amp;Result=3","7190905")</f>
        <v>0</v>
      </c>
      <c r="B2029" t="s">
        <v>812</v>
      </c>
      <c r="C2029" t="s">
        <v>5470</v>
      </c>
      <c r="D2029" t="s">
        <v>17163</v>
      </c>
      <c r="E2029" t="s">
        <v>19038</v>
      </c>
      <c r="F2029" t="s">
        <v>29372</v>
      </c>
      <c r="G2029" t="s">
        <v>29379</v>
      </c>
      <c r="H2029" t="s">
        <v>11048</v>
      </c>
      <c r="I2029" t="s">
        <v>3670</v>
      </c>
      <c r="J2029" t="s">
        <v>30983</v>
      </c>
      <c r="K2029" t="s">
        <v>38528</v>
      </c>
      <c r="M2029" t="s">
        <v>39598</v>
      </c>
      <c r="N2029" t="s">
        <v>42669</v>
      </c>
      <c r="O2029" t="s">
        <v>42670</v>
      </c>
      <c r="P2029">
        <v>0</v>
      </c>
      <c r="Q2029">
        <v>0</v>
      </c>
      <c r="R2029" t="s">
        <v>42674</v>
      </c>
      <c r="S2029" t="s">
        <v>42788</v>
      </c>
      <c r="T2029" t="s">
        <v>44549</v>
      </c>
      <c r="U2029" t="s">
        <v>46518</v>
      </c>
      <c r="W2029" t="s">
        <v>39598</v>
      </c>
      <c r="X2029" t="s">
        <v>42676</v>
      </c>
    </row>
    <row r="2030" spans="1:24">
      <c r="A2030">
        <f>HYPERLINK("https://www.philgeps.gov.ph/GEPSNONPILOT/Tender/SplashBidNoticeAbstractUI.aspx?menuIndex=3&amp;refID=7190900&amp;Result=3","7190900")</f>
        <v>0</v>
      </c>
      <c r="B2030" t="s">
        <v>786</v>
      </c>
      <c r="C2030" t="s">
        <v>5471</v>
      </c>
      <c r="D2030" t="s">
        <v>17173</v>
      </c>
      <c r="E2030" t="s">
        <v>19039</v>
      </c>
      <c r="F2030" t="s">
        <v>29372</v>
      </c>
      <c r="G2030" t="s">
        <v>29380</v>
      </c>
      <c r="H2030" t="s">
        <v>29389</v>
      </c>
      <c r="I2030" t="s">
        <v>29398</v>
      </c>
      <c r="J2030" t="s">
        <v>30984</v>
      </c>
      <c r="K2030" t="s">
        <v>38494</v>
      </c>
      <c r="M2030" t="s">
        <v>39570</v>
      </c>
      <c r="N2030" t="s">
        <v>42669</v>
      </c>
      <c r="O2030" t="s">
        <v>42670</v>
      </c>
      <c r="P2030">
        <v>0</v>
      </c>
      <c r="Q2030">
        <v>0</v>
      </c>
      <c r="R2030" t="s">
        <v>42674</v>
      </c>
      <c r="S2030" t="s">
        <v>42788</v>
      </c>
      <c r="T2030" t="s">
        <v>44576</v>
      </c>
      <c r="U2030" t="s">
        <v>46519</v>
      </c>
      <c r="V2030" t="s">
        <v>56556</v>
      </c>
      <c r="W2030" t="s">
        <v>39570</v>
      </c>
      <c r="X2030" t="s">
        <v>42676</v>
      </c>
    </row>
    <row r="2031" spans="1:24">
      <c r="A2031">
        <f>HYPERLINK("https://www.philgeps.gov.ph/GEPSNONPILOT/Tender/SplashBidNoticeAbstractUI.aspx?menuIndex=3&amp;refID=7190899&amp;Result=3","7190899")</f>
        <v>0</v>
      </c>
      <c r="B2031" t="s">
        <v>813</v>
      </c>
      <c r="C2031" t="s">
        <v>5472</v>
      </c>
      <c r="E2031" t="s">
        <v>17344</v>
      </c>
      <c r="F2031" t="s">
        <v>29372</v>
      </c>
      <c r="G2031" t="s">
        <v>29379</v>
      </c>
      <c r="H2031" t="s">
        <v>11048</v>
      </c>
      <c r="I2031" t="s">
        <v>29409</v>
      </c>
      <c r="J2031" t="s">
        <v>30985</v>
      </c>
      <c r="K2031" t="s">
        <v>38490</v>
      </c>
      <c r="M2031" t="s">
        <v>39599</v>
      </c>
      <c r="N2031" t="s">
        <v>42669</v>
      </c>
      <c r="O2031" t="s">
        <v>42670</v>
      </c>
      <c r="P2031">
        <v>0</v>
      </c>
      <c r="Q2031">
        <v>5</v>
      </c>
      <c r="R2031" t="s">
        <v>42674</v>
      </c>
      <c r="S2031" t="s">
        <v>42788</v>
      </c>
      <c r="T2031" t="s">
        <v>44509</v>
      </c>
      <c r="U2031" t="s">
        <v>46520</v>
      </c>
      <c r="W2031" t="s">
        <v>39599</v>
      </c>
      <c r="X2031" t="s">
        <v>42676</v>
      </c>
    </row>
    <row r="2032" spans="1:24">
      <c r="A2032">
        <f>HYPERLINK("https://www.philgeps.gov.ph/GEPSNONPILOT/Tender/SplashBidNoticeAbstractUI.aspx?menuIndex=3&amp;refID=7190877&amp;Result=3","7190877")</f>
        <v>0</v>
      </c>
      <c r="B2032" t="s">
        <v>660</v>
      </c>
      <c r="C2032" t="s">
        <v>5473</v>
      </c>
      <c r="D2032" t="s">
        <v>17199</v>
      </c>
      <c r="E2032" t="s">
        <v>5473</v>
      </c>
      <c r="F2032" t="s">
        <v>29372</v>
      </c>
      <c r="G2032" t="s">
        <v>29379</v>
      </c>
      <c r="H2032" t="s">
        <v>11048</v>
      </c>
      <c r="I2032" t="s">
        <v>3860</v>
      </c>
      <c r="J2032" t="s">
        <v>29526</v>
      </c>
      <c r="K2032" t="s">
        <v>38490</v>
      </c>
      <c r="M2032" t="s">
        <v>39436</v>
      </c>
      <c r="N2032" t="s">
        <v>42669</v>
      </c>
      <c r="O2032" t="s">
        <v>42670</v>
      </c>
      <c r="P2032">
        <v>0</v>
      </c>
      <c r="Q2032">
        <v>1</v>
      </c>
      <c r="R2032" t="s">
        <v>42674</v>
      </c>
      <c r="S2032" t="s">
        <v>42788</v>
      </c>
      <c r="T2032" t="s">
        <v>44496</v>
      </c>
      <c r="U2032" t="s">
        <v>46521</v>
      </c>
      <c r="W2032" t="s">
        <v>39436</v>
      </c>
      <c r="X2032" t="s">
        <v>42676</v>
      </c>
    </row>
    <row r="2033" spans="1:24">
      <c r="A2033">
        <f>HYPERLINK("https://www.philgeps.gov.ph/GEPSNONPILOT/Tender/SplashBidNoticeAbstractUI.aspx?menuIndex=3&amp;refID=7190961&amp;Result=3","7190961")</f>
        <v>0</v>
      </c>
      <c r="B2033" t="s">
        <v>130</v>
      </c>
      <c r="C2033" t="s">
        <v>5474</v>
      </c>
      <c r="D2033" t="s">
        <v>17185</v>
      </c>
      <c r="E2033" t="s">
        <v>19040</v>
      </c>
      <c r="F2033" t="s">
        <v>29372</v>
      </c>
      <c r="G2033" t="s">
        <v>29379</v>
      </c>
      <c r="H2033" t="s">
        <v>29390</v>
      </c>
      <c r="I2033" t="s">
        <v>3839</v>
      </c>
      <c r="J2033" t="s">
        <v>29799</v>
      </c>
      <c r="K2033" t="s">
        <v>38535</v>
      </c>
      <c r="M2033" t="s">
        <v>39497</v>
      </c>
      <c r="N2033" t="s">
        <v>42669</v>
      </c>
      <c r="O2033" t="s">
        <v>42670</v>
      </c>
      <c r="P2033">
        <v>0</v>
      </c>
      <c r="Q2033">
        <v>3</v>
      </c>
      <c r="R2033" t="s">
        <v>42674</v>
      </c>
      <c r="S2033" t="s">
        <v>42788</v>
      </c>
      <c r="T2033" t="s">
        <v>44427</v>
      </c>
      <c r="U2033" t="s">
        <v>46522</v>
      </c>
      <c r="W2033" t="s">
        <v>39497</v>
      </c>
      <c r="X2033" t="s">
        <v>42676</v>
      </c>
    </row>
    <row r="2034" spans="1:24">
      <c r="A2034">
        <f>HYPERLINK("https://www.philgeps.gov.ph/GEPSNONPILOT/Tender/SplashBidNoticeAbstractUI.aspx?menuIndex=3&amp;refID=7190914&amp;Result=3","7190914")</f>
        <v>0</v>
      </c>
      <c r="B2034" t="s">
        <v>783</v>
      </c>
      <c r="C2034" t="s">
        <v>5475</v>
      </c>
      <c r="D2034" t="s">
        <v>17141</v>
      </c>
      <c r="E2034" t="s">
        <v>19041</v>
      </c>
      <c r="F2034" t="s">
        <v>29372</v>
      </c>
      <c r="G2034" t="s">
        <v>29383</v>
      </c>
      <c r="H2034" t="s">
        <v>11048</v>
      </c>
      <c r="I2034" t="s">
        <v>4487</v>
      </c>
      <c r="J2034" t="s">
        <v>29675</v>
      </c>
      <c r="K2034" t="s">
        <v>38491</v>
      </c>
      <c r="M2034" t="s">
        <v>39567</v>
      </c>
      <c r="N2034" t="s">
        <v>42669</v>
      </c>
      <c r="O2034" t="s">
        <v>42670</v>
      </c>
      <c r="P2034">
        <v>0</v>
      </c>
      <c r="Q2034">
        <v>2</v>
      </c>
      <c r="R2034" t="s">
        <v>42674</v>
      </c>
      <c r="S2034" t="s">
        <v>42788</v>
      </c>
      <c r="T2034" t="s">
        <v>44382</v>
      </c>
      <c r="U2034" t="s">
        <v>46523</v>
      </c>
      <c r="V2034" t="s">
        <v>56555</v>
      </c>
      <c r="W2034" t="s">
        <v>39567</v>
      </c>
      <c r="X2034" t="s">
        <v>42676</v>
      </c>
    </row>
    <row r="2035" spans="1:24">
      <c r="A2035">
        <f>HYPERLINK("https://www.philgeps.gov.ph/GEPSNONPILOT/Tender/SplashBidNoticeAbstractUI.aspx?menuIndex=3&amp;refID=7190924&amp;Result=3","7190924")</f>
        <v>0</v>
      </c>
      <c r="B2035" t="s">
        <v>814</v>
      </c>
      <c r="C2035" t="s">
        <v>5476</v>
      </c>
      <c r="D2035" t="s">
        <v>17181</v>
      </c>
      <c r="E2035" t="s">
        <v>19042</v>
      </c>
      <c r="F2035" t="s">
        <v>29372</v>
      </c>
      <c r="G2035" t="s">
        <v>29383</v>
      </c>
      <c r="H2035" t="s">
        <v>11048</v>
      </c>
      <c r="I2035" t="s">
        <v>4487</v>
      </c>
      <c r="J2035" t="s">
        <v>30986</v>
      </c>
      <c r="K2035" t="s">
        <v>38528</v>
      </c>
      <c r="M2035" t="s">
        <v>39600</v>
      </c>
      <c r="N2035" t="s">
        <v>42669</v>
      </c>
      <c r="O2035" t="s">
        <v>42670</v>
      </c>
      <c r="P2035">
        <v>0</v>
      </c>
      <c r="Q2035">
        <v>3</v>
      </c>
      <c r="R2035" t="s">
        <v>42674</v>
      </c>
      <c r="S2035" t="s">
        <v>42788</v>
      </c>
      <c r="T2035" t="s">
        <v>44451</v>
      </c>
      <c r="U2035" t="s">
        <v>46524</v>
      </c>
      <c r="W2035" t="s">
        <v>39600</v>
      </c>
      <c r="X2035" t="s">
        <v>42676</v>
      </c>
    </row>
    <row r="2036" spans="1:24">
      <c r="A2036">
        <f>HYPERLINK("https://www.philgeps.gov.ph/GEPSNONPILOT/Tender/SplashBidNoticeAbstractUI.aspx?menuIndex=3&amp;refID=7190908&amp;Result=3","7190908")</f>
        <v>0</v>
      </c>
      <c r="B2036" t="s">
        <v>776</v>
      </c>
      <c r="C2036" t="s">
        <v>5477</v>
      </c>
      <c r="D2036" t="s">
        <v>17169</v>
      </c>
      <c r="E2036" t="s">
        <v>19043</v>
      </c>
      <c r="F2036" t="s">
        <v>29372</v>
      </c>
      <c r="G2036" t="s">
        <v>29380</v>
      </c>
      <c r="H2036" t="s">
        <v>29389</v>
      </c>
      <c r="I2036" t="s">
        <v>10408</v>
      </c>
      <c r="J2036" t="s">
        <v>30987</v>
      </c>
      <c r="K2036" t="s">
        <v>38533</v>
      </c>
      <c r="L2036" t="s">
        <v>776</v>
      </c>
      <c r="M2036" t="s">
        <v>39560</v>
      </c>
      <c r="N2036" t="s">
        <v>42669</v>
      </c>
      <c r="O2036" t="s">
        <v>42670</v>
      </c>
      <c r="P2036">
        <v>0</v>
      </c>
      <c r="Q2036">
        <v>5</v>
      </c>
      <c r="R2036" t="s">
        <v>42674</v>
      </c>
      <c r="S2036" t="s">
        <v>42788</v>
      </c>
      <c r="T2036" t="s">
        <v>44542</v>
      </c>
      <c r="U2036" t="s">
        <v>46525</v>
      </c>
      <c r="W2036" t="s">
        <v>39560</v>
      </c>
      <c r="X2036" t="s">
        <v>42676</v>
      </c>
    </row>
    <row r="2037" spans="1:24">
      <c r="A2037">
        <f>HYPERLINK("https://www.philgeps.gov.ph/GEPSNONPILOT/Tender/SplashBidNoticeAbstractUI.aspx?menuIndex=3&amp;refID=7190967&amp;Result=3","7190967")</f>
        <v>0</v>
      </c>
      <c r="B2037" t="s">
        <v>815</v>
      </c>
      <c r="C2037" t="s">
        <v>5478</v>
      </c>
      <c r="D2037" t="s">
        <v>17180</v>
      </c>
      <c r="E2037" t="s">
        <v>19044</v>
      </c>
      <c r="F2037" t="s">
        <v>29372</v>
      </c>
      <c r="G2037" t="s">
        <v>29382</v>
      </c>
      <c r="H2037" t="s">
        <v>11048</v>
      </c>
      <c r="I2037" t="s">
        <v>29407</v>
      </c>
      <c r="J2037" t="s">
        <v>30988</v>
      </c>
      <c r="K2037" t="s">
        <v>38490</v>
      </c>
      <c r="M2037" t="s">
        <v>39601</v>
      </c>
      <c r="N2037" t="s">
        <v>42669</v>
      </c>
      <c r="O2037" t="s">
        <v>42670</v>
      </c>
      <c r="P2037">
        <v>0</v>
      </c>
      <c r="Q2037">
        <v>4</v>
      </c>
      <c r="R2037" t="s">
        <v>42674</v>
      </c>
      <c r="S2037" t="s">
        <v>42788</v>
      </c>
      <c r="T2037" t="s">
        <v>44427</v>
      </c>
      <c r="U2037" t="s">
        <v>46526</v>
      </c>
      <c r="W2037" t="s">
        <v>39601</v>
      </c>
      <c r="X2037" t="s">
        <v>42676</v>
      </c>
    </row>
    <row r="2038" spans="1:24">
      <c r="A2038">
        <f>HYPERLINK("https://www.philgeps.gov.ph/GEPSNONPILOT/Tender/SplashBidNoticeAbstractUI.aspx?menuIndex=3&amp;refID=7190966&amp;Result=3","7190966")</f>
        <v>0</v>
      </c>
      <c r="B2038" t="s">
        <v>816</v>
      </c>
      <c r="C2038" t="s">
        <v>5479</v>
      </c>
      <c r="D2038" t="s">
        <v>17189</v>
      </c>
      <c r="E2038" t="s">
        <v>19045</v>
      </c>
      <c r="F2038" t="s">
        <v>29372</v>
      </c>
      <c r="G2038" t="s">
        <v>29382</v>
      </c>
      <c r="H2038" t="s">
        <v>11048</v>
      </c>
      <c r="I2038" t="s">
        <v>29412</v>
      </c>
      <c r="J2038" t="s">
        <v>30989</v>
      </c>
      <c r="K2038" t="s">
        <v>38491</v>
      </c>
      <c r="M2038" t="s">
        <v>39602</v>
      </c>
      <c r="N2038" t="s">
        <v>42669</v>
      </c>
      <c r="O2038" t="s">
        <v>42670</v>
      </c>
      <c r="P2038">
        <v>0</v>
      </c>
      <c r="Q2038">
        <v>2</v>
      </c>
      <c r="R2038" t="s">
        <v>42674</v>
      </c>
      <c r="S2038" t="s">
        <v>42788</v>
      </c>
      <c r="T2038" t="s">
        <v>44451</v>
      </c>
      <c r="U2038" t="s">
        <v>46527</v>
      </c>
      <c r="W2038" t="s">
        <v>39602</v>
      </c>
      <c r="X2038" t="s">
        <v>42676</v>
      </c>
    </row>
    <row r="2039" spans="1:24">
      <c r="A2039">
        <f>HYPERLINK("https://www.philgeps.gov.ph/GEPSNONPILOT/Tender/SplashBidNoticeAbstractUI.aspx?menuIndex=3&amp;refID=7190943&amp;Result=3","7190943")</f>
        <v>0</v>
      </c>
      <c r="B2039" t="s">
        <v>817</v>
      </c>
      <c r="C2039" t="s">
        <v>5480</v>
      </c>
      <c r="D2039" t="s">
        <v>17168</v>
      </c>
      <c r="E2039" t="s">
        <v>19046</v>
      </c>
      <c r="F2039" t="s">
        <v>29372</v>
      </c>
      <c r="G2039" t="s">
        <v>29380</v>
      </c>
      <c r="H2039" t="s">
        <v>29389</v>
      </c>
      <c r="I2039" t="s">
        <v>10408</v>
      </c>
      <c r="J2039" t="s">
        <v>29590</v>
      </c>
      <c r="K2039" t="s">
        <v>38485</v>
      </c>
      <c r="M2039" t="s">
        <v>39603</v>
      </c>
      <c r="N2039" t="s">
        <v>42669</v>
      </c>
      <c r="O2039" t="s">
        <v>42670</v>
      </c>
      <c r="P2039">
        <v>0</v>
      </c>
      <c r="Q2039">
        <v>0</v>
      </c>
      <c r="R2039" t="s">
        <v>42674</v>
      </c>
      <c r="S2039" t="s">
        <v>42788</v>
      </c>
      <c r="T2039" t="s">
        <v>44470</v>
      </c>
      <c r="U2039" t="s">
        <v>46528</v>
      </c>
      <c r="V2039" t="s">
        <v>56566</v>
      </c>
      <c r="W2039" t="s">
        <v>39603</v>
      </c>
      <c r="X2039" t="s">
        <v>42676</v>
      </c>
    </row>
    <row r="2040" spans="1:24">
      <c r="A2040">
        <f>HYPERLINK("https://www.philgeps.gov.ph/GEPSNONPILOT/Tender/SplashBidNoticeAbstractUI.aspx?menuIndex=3&amp;refID=7190965&amp;Result=3","7190965")</f>
        <v>0</v>
      </c>
      <c r="B2040" t="s">
        <v>818</v>
      </c>
      <c r="C2040" t="s">
        <v>5481</v>
      </c>
      <c r="D2040" t="s">
        <v>17141</v>
      </c>
      <c r="E2040" t="s">
        <v>19047</v>
      </c>
      <c r="F2040" t="s">
        <v>29372</v>
      </c>
      <c r="G2040" t="s">
        <v>29379</v>
      </c>
      <c r="H2040" t="s">
        <v>11048</v>
      </c>
      <c r="I2040" t="s">
        <v>29396</v>
      </c>
      <c r="J2040" t="s">
        <v>29929</v>
      </c>
      <c r="K2040" t="s">
        <v>38496</v>
      </c>
      <c r="M2040" t="s">
        <v>39604</v>
      </c>
      <c r="N2040" t="s">
        <v>42669</v>
      </c>
      <c r="O2040" t="s">
        <v>42670</v>
      </c>
      <c r="P2040">
        <v>0</v>
      </c>
      <c r="Q2040">
        <v>0</v>
      </c>
      <c r="R2040" t="s">
        <v>42674</v>
      </c>
      <c r="S2040" t="s">
        <v>42788</v>
      </c>
      <c r="T2040" t="s">
        <v>44512</v>
      </c>
      <c r="U2040" t="s">
        <v>46529</v>
      </c>
      <c r="V2040" t="s">
        <v>56567</v>
      </c>
      <c r="W2040" t="s">
        <v>39604</v>
      </c>
      <c r="X2040" t="s">
        <v>42676</v>
      </c>
    </row>
    <row r="2041" spans="1:24">
      <c r="A2041">
        <f>HYPERLINK("https://www.philgeps.gov.ph/GEPSNONPILOT/Tender/SplashBidNoticeAbstractUI.aspx?menuIndex=3&amp;refID=7190959&amp;Result=3","7190959")</f>
        <v>0</v>
      </c>
      <c r="B2041" t="s">
        <v>819</v>
      </c>
      <c r="C2041" t="s">
        <v>5482</v>
      </c>
      <c r="D2041" t="s">
        <v>17189</v>
      </c>
      <c r="E2041" t="s">
        <v>19048</v>
      </c>
      <c r="F2041" t="s">
        <v>29372</v>
      </c>
      <c r="G2041" t="s">
        <v>29383</v>
      </c>
      <c r="H2041" t="s">
        <v>11048</v>
      </c>
      <c r="I2041" t="s">
        <v>4487</v>
      </c>
      <c r="J2041" t="s">
        <v>30990</v>
      </c>
      <c r="K2041" t="s">
        <v>38491</v>
      </c>
      <c r="M2041" t="s">
        <v>39605</v>
      </c>
      <c r="N2041" t="s">
        <v>42669</v>
      </c>
      <c r="O2041" t="s">
        <v>42670</v>
      </c>
      <c r="P2041">
        <v>0</v>
      </c>
      <c r="Q2041">
        <v>1</v>
      </c>
      <c r="R2041" t="s">
        <v>42674</v>
      </c>
      <c r="S2041" t="s">
        <v>42788</v>
      </c>
      <c r="T2041" t="s">
        <v>44429</v>
      </c>
      <c r="U2041" t="s">
        <v>46530</v>
      </c>
      <c r="W2041" t="s">
        <v>39605</v>
      </c>
      <c r="X2041" t="s">
        <v>42676</v>
      </c>
    </row>
    <row r="2042" spans="1:24">
      <c r="A2042">
        <f>HYPERLINK("https://www.philgeps.gov.ph/GEPSNONPILOT/Tender/SplashBidNoticeAbstractUI.aspx?menuIndex=3&amp;refID=7190958&amp;Result=3","7190958")</f>
        <v>0</v>
      </c>
      <c r="B2042" t="s">
        <v>820</v>
      </c>
      <c r="C2042" t="s">
        <v>5483</v>
      </c>
      <c r="D2042" t="s">
        <v>17165</v>
      </c>
      <c r="E2042" t="s">
        <v>19049</v>
      </c>
      <c r="F2042" t="s">
        <v>29372</v>
      </c>
      <c r="G2042" t="s">
        <v>29379</v>
      </c>
      <c r="H2042" t="s">
        <v>11048</v>
      </c>
      <c r="I2042" t="s">
        <v>29403</v>
      </c>
      <c r="J2042" t="s">
        <v>30991</v>
      </c>
      <c r="K2042" t="s">
        <v>38488</v>
      </c>
      <c r="M2042" t="s">
        <v>39606</v>
      </c>
      <c r="N2042" t="s">
        <v>42669</v>
      </c>
      <c r="O2042" t="s">
        <v>42670</v>
      </c>
      <c r="P2042">
        <v>0</v>
      </c>
      <c r="Q2042">
        <v>1</v>
      </c>
      <c r="R2042" t="s">
        <v>42674</v>
      </c>
      <c r="S2042" t="s">
        <v>42788</v>
      </c>
      <c r="T2042" t="s">
        <v>44525</v>
      </c>
      <c r="U2042" t="s">
        <v>46531</v>
      </c>
      <c r="W2042" t="s">
        <v>39606</v>
      </c>
      <c r="X2042" t="s">
        <v>42676</v>
      </c>
    </row>
    <row r="2043" spans="1:24">
      <c r="A2043">
        <f>HYPERLINK("https://www.philgeps.gov.ph/GEPSNONPILOT/Tender/SplashBidNoticeAbstractUI.aspx?menuIndex=3&amp;refID=7190955&amp;Result=3","7190955")</f>
        <v>0</v>
      </c>
      <c r="B2043" t="s">
        <v>821</v>
      </c>
      <c r="C2043" t="s">
        <v>5484</v>
      </c>
      <c r="D2043" t="s">
        <v>17204</v>
      </c>
      <c r="E2043" t="s">
        <v>17648</v>
      </c>
      <c r="F2043" t="s">
        <v>29372</v>
      </c>
      <c r="G2043" t="s">
        <v>29380</v>
      </c>
      <c r="H2043" t="s">
        <v>29389</v>
      </c>
      <c r="I2043" t="s">
        <v>10408</v>
      </c>
      <c r="J2043" t="s">
        <v>30992</v>
      </c>
      <c r="K2043" t="s">
        <v>38535</v>
      </c>
      <c r="M2043" t="s">
        <v>39607</v>
      </c>
      <c r="N2043" t="s">
        <v>42669</v>
      </c>
      <c r="O2043" t="s">
        <v>42670</v>
      </c>
      <c r="P2043">
        <v>0</v>
      </c>
      <c r="Q2043">
        <v>1</v>
      </c>
      <c r="R2043" t="s">
        <v>42674</v>
      </c>
      <c r="S2043" t="s">
        <v>42788</v>
      </c>
      <c r="T2043" t="s">
        <v>44380</v>
      </c>
      <c r="U2043" t="s">
        <v>46532</v>
      </c>
      <c r="W2043" t="s">
        <v>39607</v>
      </c>
      <c r="X2043" t="s">
        <v>42676</v>
      </c>
    </row>
    <row r="2044" spans="1:24">
      <c r="A2044">
        <f>HYPERLINK("https://www.philgeps.gov.ph/GEPSNONPILOT/Tender/SplashBidNoticeAbstractUI.aspx?menuIndex=3&amp;refID=7190969&amp;Result=3","7190969")</f>
        <v>0</v>
      </c>
      <c r="B2044" t="s">
        <v>822</v>
      </c>
      <c r="C2044" t="s">
        <v>5485</v>
      </c>
      <c r="D2044" t="s">
        <v>17163</v>
      </c>
      <c r="E2044" t="s">
        <v>19050</v>
      </c>
      <c r="F2044" t="s">
        <v>29372</v>
      </c>
      <c r="G2044" t="s">
        <v>29379</v>
      </c>
      <c r="H2044" t="s">
        <v>11048</v>
      </c>
      <c r="I2044" t="s">
        <v>29449</v>
      </c>
      <c r="J2044" t="s">
        <v>29980</v>
      </c>
      <c r="K2044" t="s">
        <v>38490</v>
      </c>
      <c r="M2044" t="s">
        <v>39608</v>
      </c>
      <c r="N2044" t="s">
        <v>42669</v>
      </c>
      <c r="O2044" t="s">
        <v>42670</v>
      </c>
      <c r="P2044">
        <v>0</v>
      </c>
      <c r="Q2044">
        <v>2</v>
      </c>
      <c r="R2044" t="s">
        <v>42674</v>
      </c>
      <c r="S2044" t="s">
        <v>42788</v>
      </c>
      <c r="T2044" t="s">
        <v>44451</v>
      </c>
      <c r="U2044" t="s">
        <v>46533</v>
      </c>
      <c r="W2044" t="s">
        <v>39608</v>
      </c>
      <c r="X2044" t="s">
        <v>42676</v>
      </c>
    </row>
    <row r="2045" spans="1:24">
      <c r="A2045">
        <f>HYPERLINK("https://www.philgeps.gov.ph/GEPSNONPILOT/Tender/SplashBidNoticeAbstractUI.aspx?menuIndex=3&amp;refID=7190953&amp;Result=3","7190953")</f>
        <v>0</v>
      </c>
      <c r="B2045" t="s">
        <v>802</v>
      </c>
      <c r="C2045" t="s">
        <v>5486</v>
      </c>
      <c r="D2045" t="s">
        <v>17169</v>
      </c>
      <c r="E2045" t="s">
        <v>19051</v>
      </c>
      <c r="F2045" t="s">
        <v>29372</v>
      </c>
      <c r="G2045" t="s">
        <v>29379</v>
      </c>
      <c r="H2045" t="s">
        <v>11048</v>
      </c>
      <c r="I2045" t="s">
        <v>5383</v>
      </c>
      <c r="J2045" t="s">
        <v>30993</v>
      </c>
      <c r="K2045" t="s">
        <v>38510</v>
      </c>
      <c r="M2045" t="s">
        <v>39586</v>
      </c>
      <c r="N2045" t="s">
        <v>42669</v>
      </c>
      <c r="O2045" t="s">
        <v>42670</v>
      </c>
      <c r="P2045">
        <v>0</v>
      </c>
      <c r="Q2045">
        <v>2</v>
      </c>
      <c r="R2045" t="s">
        <v>42674</v>
      </c>
      <c r="S2045" t="s">
        <v>42788</v>
      </c>
      <c r="T2045" t="s">
        <v>44493</v>
      </c>
      <c r="U2045" t="s">
        <v>46534</v>
      </c>
      <c r="W2045" t="s">
        <v>39586</v>
      </c>
      <c r="X2045" t="s">
        <v>42676</v>
      </c>
    </row>
    <row r="2046" spans="1:24">
      <c r="A2046">
        <f>HYPERLINK("https://www.philgeps.gov.ph/GEPSNONPILOT/Tender/SplashBidNoticeAbstractUI.aspx?menuIndex=3&amp;refID=7190947&amp;Result=3","7190947")</f>
        <v>0</v>
      </c>
      <c r="B2046" t="s">
        <v>823</v>
      </c>
      <c r="C2046" t="s">
        <v>5487</v>
      </c>
      <c r="D2046" t="s">
        <v>17183</v>
      </c>
      <c r="E2046" t="s">
        <v>19052</v>
      </c>
      <c r="F2046" t="s">
        <v>29372</v>
      </c>
      <c r="G2046" t="s">
        <v>29380</v>
      </c>
      <c r="H2046" t="s">
        <v>29389</v>
      </c>
      <c r="I2046" t="s">
        <v>10408</v>
      </c>
      <c r="J2046" t="s">
        <v>30056</v>
      </c>
      <c r="K2046" t="s">
        <v>38583</v>
      </c>
      <c r="M2046" t="s">
        <v>39609</v>
      </c>
      <c r="N2046" t="s">
        <v>42669</v>
      </c>
      <c r="O2046" t="s">
        <v>42670</v>
      </c>
      <c r="P2046">
        <v>0</v>
      </c>
      <c r="Q2046">
        <v>0</v>
      </c>
      <c r="R2046" t="s">
        <v>42674</v>
      </c>
      <c r="S2046" t="s">
        <v>42788</v>
      </c>
      <c r="T2046" t="s">
        <v>44568</v>
      </c>
      <c r="U2046" t="s">
        <v>46535</v>
      </c>
      <c r="W2046" t="s">
        <v>39609</v>
      </c>
      <c r="X2046" t="s">
        <v>42676</v>
      </c>
    </row>
    <row r="2047" spans="1:24">
      <c r="A2047">
        <f>HYPERLINK("https://www.philgeps.gov.ph/GEPSNONPILOT/Tender/SplashBidNoticeAbstractUI.aspx?menuIndex=3&amp;refID=7190957&amp;Result=3","7190957")</f>
        <v>0</v>
      </c>
      <c r="B2047" t="s">
        <v>741</v>
      </c>
      <c r="C2047" t="s">
        <v>5488</v>
      </c>
      <c r="D2047" t="s">
        <v>17181</v>
      </c>
      <c r="E2047" t="s">
        <v>19053</v>
      </c>
      <c r="F2047" t="s">
        <v>29372</v>
      </c>
      <c r="G2047" t="s">
        <v>29379</v>
      </c>
      <c r="H2047" t="s">
        <v>11048</v>
      </c>
      <c r="I2047" t="s">
        <v>8614</v>
      </c>
      <c r="J2047" t="s">
        <v>30994</v>
      </c>
      <c r="K2047" t="s">
        <v>38485</v>
      </c>
      <c r="M2047" t="s">
        <v>39522</v>
      </c>
      <c r="N2047" t="s">
        <v>42669</v>
      </c>
      <c r="O2047" t="s">
        <v>42670</v>
      </c>
      <c r="P2047">
        <v>0</v>
      </c>
      <c r="Q2047">
        <v>4</v>
      </c>
      <c r="R2047" t="s">
        <v>42674</v>
      </c>
      <c r="S2047" t="s">
        <v>42788</v>
      </c>
      <c r="T2047" t="s">
        <v>44401</v>
      </c>
      <c r="U2047" t="s">
        <v>46381</v>
      </c>
      <c r="W2047" t="s">
        <v>39522</v>
      </c>
      <c r="X2047" t="s">
        <v>42676</v>
      </c>
    </row>
    <row r="2048" spans="1:24">
      <c r="A2048">
        <f>HYPERLINK("https://www.philgeps.gov.ph/GEPSNONPILOT/Tender/SplashBidNoticeAbstractUI.aspx?menuIndex=3&amp;refID=7190876&amp;Result=3","7190876")</f>
        <v>0</v>
      </c>
      <c r="B2048" t="s">
        <v>824</v>
      </c>
      <c r="C2048" t="s">
        <v>5489</v>
      </c>
      <c r="D2048" t="s">
        <v>17177</v>
      </c>
      <c r="E2048" t="s">
        <v>19054</v>
      </c>
      <c r="F2048" t="s">
        <v>29372</v>
      </c>
      <c r="G2048" t="s">
        <v>29382</v>
      </c>
      <c r="H2048" t="s">
        <v>11048</v>
      </c>
      <c r="I2048" t="s">
        <v>5383</v>
      </c>
      <c r="J2048" t="s">
        <v>30710</v>
      </c>
      <c r="K2048" t="s">
        <v>38491</v>
      </c>
      <c r="M2048" t="s">
        <v>39610</v>
      </c>
      <c r="N2048" t="s">
        <v>42669</v>
      </c>
      <c r="O2048" t="s">
        <v>42670</v>
      </c>
      <c r="P2048">
        <v>0</v>
      </c>
      <c r="Q2048">
        <v>2</v>
      </c>
      <c r="R2048" t="s">
        <v>42674</v>
      </c>
      <c r="S2048" t="s">
        <v>42788</v>
      </c>
      <c r="T2048" t="s">
        <v>44417</v>
      </c>
      <c r="U2048" t="s">
        <v>46536</v>
      </c>
      <c r="W2048" t="s">
        <v>39610</v>
      </c>
      <c r="X2048" t="s">
        <v>42676</v>
      </c>
    </row>
    <row r="2049" spans="1:24">
      <c r="A2049">
        <f>HYPERLINK("https://www.philgeps.gov.ph/GEPSNONPILOT/Tender/SplashBidNoticeAbstractUI.aspx?menuIndex=3&amp;refID=7190944&amp;Result=3","7190944")</f>
        <v>0</v>
      </c>
      <c r="B2049" t="s">
        <v>815</v>
      </c>
      <c r="C2049" t="s">
        <v>5490</v>
      </c>
      <c r="D2049" t="s">
        <v>17180</v>
      </c>
      <c r="E2049" t="s">
        <v>19055</v>
      </c>
      <c r="F2049" t="s">
        <v>29372</v>
      </c>
      <c r="G2049" t="s">
        <v>29382</v>
      </c>
      <c r="H2049" t="s">
        <v>11048</v>
      </c>
      <c r="I2049" t="s">
        <v>29407</v>
      </c>
      <c r="J2049" t="s">
        <v>30995</v>
      </c>
      <c r="K2049" t="s">
        <v>38490</v>
      </c>
      <c r="M2049" t="s">
        <v>39601</v>
      </c>
      <c r="N2049" t="s">
        <v>42669</v>
      </c>
      <c r="O2049" t="s">
        <v>42670</v>
      </c>
      <c r="P2049">
        <v>0</v>
      </c>
      <c r="Q2049">
        <v>6</v>
      </c>
      <c r="R2049" t="s">
        <v>42674</v>
      </c>
      <c r="S2049" t="s">
        <v>42788</v>
      </c>
      <c r="T2049" t="s">
        <v>44427</v>
      </c>
      <c r="U2049" t="s">
        <v>46537</v>
      </c>
      <c r="W2049" t="s">
        <v>39601</v>
      </c>
      <c r="X2049" t="s">
        <v>42676</v>
      </c>
    </row>
    <row r="2050" spans="1:24">
      <c r="A2050">
        <f>HYPERLINK("https://www.philgeps.gov.ph/GEPSNONPILOT/Tender/SplashBidNoticeAbstractUI.aspx?menuIndex=3&amp;refID=7190954&amp;Result=3","7190954")</f>
        <v>0</v>
      </c>
      <c r="B2050" t="s">
        <v>825</v>
      </c>
      <c r="C2050" t="s">
        <v>5491</v>
      </c>
      <c r="D2050" t="s">
        <v>17164</v>
      </c>
      <c r="E2050" t="s">
        <v>19056</v>
      </c>
      <c r="F2050" t="s">
        <v>29372</v>
      </c>
      <c r="G2050" t="s">
        <v>29380</v>
      </c>
      <c r="H2050" t="s">
        <v>29389</v>
      </c>
      <c r="I2050" t="s">
        <v>10408</v>
      </c>
      <c r="J2050" t="s">
        <v>29555</v>
      </c>
      <c r="K2050" t="s">
        <v>38489</v>
      </c>
      <c r="M2050" t="s">
        <v>39611</v>
      </c>
      <c r="N2050" t="s">
        <v>42669</v>
      </c>
      <c r="O2050" t="s">
        <v>42670</v>
      </c>
      <c r="P2050">
        <v>0</v>
      </c>
      <c r="Q2050">
        <v>0</v>
      </c>
      <c r="R2050" t="s">
        <v>42674</v>
      </c>
      <c r="S2050" t="s">
        <v>42788</v>
      </c>
      <c r="T2050" t="s">
        <v>44448</v>
      </c>
      <c r="U2050" t="s">
        <v>46538</v>
      </c>
      <c r="W2050" t="s">
        <v>39611</v>
      </c>
      <c r="X2050" t="s">
        <v>42676</v>
      </c>
    </row>
    <row r="2051" spans="1:24">
      <c r="A2051">
        <f>HYPERLINK("https://www.philgeps.gov.ph/GEPSNONPILOT/Tender/SplashBidNoticeAbstractUI.aspx?menuIndex=3&amp;refID=7190949&amp;Result=3","7190949")</f>
        <v>0</v>
      </c>
      <c r="B2051" t="s">
        <v>826</v>
      </c>
      <c r="C2051" t="s">
        <v>4662</v>
      </c>
      <c r="D2051" t="s">
        <v>17205</v>
      </c>
      <c r="E2051" t="s">
        <v>19057</v>
      </c>
      <c r="F2051" t="s">
        <v>29372</v>
      </c>
      <c r="G2051" t="s">
        <v>29383</v>
      </c>
      <c r="H2051" t="s">
        <v>11048</v>
      </c>
      <c r="I2051" t="s">
        <v>5383</v>
      </c>
      <c r="J2051" t="s">
        <v>30540</v>
      </c>
      <c r="K2051" t="s">
        <v>38491</v>
      </c>
      <c r="M2051" t="s">
        <v>39612</v>
      </c>
      <c r="N2051" t="s">
        <v>42669</v>
      </c>
      <c r="O2051" t="s">
        <v>42670</v>
      </c>
      <c r="P2051">
        <v>0</v>
      </c>
      <c r="Q2051">
        <v>1</v>
      </c>
      <c r="R2051" t="s">
        <v>42674</v>
      </c>
      <c r="S2051" t="s">
        <v>42788</v>
      </c>
      <c r="T2051" t="s">
        <v>44469</v>
      </c>
      <c r="U2051" t="s">
        <v>46539</v>
      </c>
      <c r="W2051" t="s">
        <v>39612</v>
      </c>
      <c r="X2051" t="s">
        <v>42676</v>
      </c>
    </row>
    <row r="2052" spans="1:24">
      <c r="A2052">
        <f>HYPERLINK("https://www.philgeps.gov.ph/GEPSNONPILOT/Tender/SplashBidNoticeAbstractUI.aspx?menuIndex=3&amp;refID=7191015&amp;Result=3","7191015")</f>
        <v>0</v>
      </c>
      <c r="B2052" t="s">
        <v>827</v>
      </c>
      <c r="C2052" t="s">
        <v>5492</v>
      </c>
      <c r="D2052" t="s">
        <v>17171</v>
      </c>
      <c r="E2052" t="s">
        <v>17540</v>
      </c>
      <c r="F2052" t="s">
        <v>29372</v>
      </c>
      <c r="G2052" t="s">
        <v>29379</v>
      </c>
      <c r="H2052" t="s">
        <v>11048</v>
      </c>
      <c r="I2052" t="s">
        <v>29424</v>
      </c>
      <c r="J2052" t="s">
        <v>30996</v>
      </c>
      <c r="K2052" t="s">
        <v>38491</v>
      </c>
      <c r="M2052" t="s">
        <v>39613</v>
      </c>
      <c r="N2052" t="s">
        <v>42669</v>
      </c>
      <c r="O2052" t="s">
        <v>42670</v>
      </c>
      <c r="P2052">
        <v>0</v>
      </c>
      <c r="Q2052">
        <v>1</v>
      </c>
      <c r="R2052" t="s">
        <v>42674</v>
      </c>
      <c r="S2052" t="s">
        <v>42788</v>
      </c>
      <c r="T2052" t="s">
        <v>44451</v>
      </c>
      <c r="U2052" t="s">
        <v>46540</v>
      </c>
      <c r="W2052" t="s">
        <v>39613</v>
      </c>
      <c r="X2052" t="s">
        <v>42676</v>
      </c>
    </row>
    <row r="2053" spans="1:24">
      <c r="A2053">
        <f>HYPERLINK("https://www.philgeps.gov.ph/GEPSNONPILOT/Tender/SplashBidNoticeAbstractUI.aspx?menuIndex=3&amp;refID=7190962&amp;Result=3","7190962")</f>
        <v>0</v>
      </c>
      <c r="B2053" t="s">
        <v>825</v>
      </c>
      <c r="C2053" t="s">
        <v>5493</v>
      </c>
      <c r="D2053" t="s">
        <v>17164</v>
      </c>
      <c r="E2053" t="s">
        <v>19058</v>
      </c>
      <c r="F2053" t="s">
        <v>29372</v>
      </c>
      <c r="G2053" t="s">
        <v>29380</v>
      </c>
      <c r="H2053" t="s">
        <v>29389</v>
      </c>
      <c r="I2053" t="s">
        <v>10408</v>
      </c>
      <c r="J2053" t="s">
        <v>29555</v>
      </c>
      <c r="K2053" t="s">
        <v>38510</v>
      </c>
      <c r="M2053" t="s">
        <v>39611</v>
      </c>
      <c r="N2053" t="s">
        <v>42669</v>
      </c>
      <c r="O2053" t="s">
        <v>42670</v>
      </c>
      <c r="P2053">
        <v>0</v>
      </c>
      <c r="Q2053">
        <v>0</v>
      </c>
      <c r="R2053" t="s">
        <v>42674</v>
      </c>
      <c r="S2053" t="s">
        <v>42788</v>
      </c>
      <c r="T2053" t="s">
        <v>44470</v>
      </c>
      <c r="U2053" t="s">
        <v>46541</v>
      </c>
      <c r="W2053" t="s">
        <v>39611</v>
      </c>
      <c r="X2053" t="s">
        <v>42676</v>
      </c>
    </row>
    <row r="2054" spans="1:24">
      <c r="A2054">
        <f>HYPERLINK("https://www.philgeps.gov.ph/GEPSNONPILOT/Tender/SplashBidNoticeAbstractUI.aspx?menuIndex=3&amp;refID=7191012&amp;Result=3","7191012")</f>
        <v>0</v>
      </c>
      <c r="B2054" t="s">
        <v>231</v>
      </c>
      <c r="C2054" t="s">
        <v>5494</v>
      </c>
      <c r="D2054" t="s">
        <v>17171</v>
      </c>
      <c r="E2054" t="s">
        <v>19059</v>
      </c>
      <c r="F2054" t="s">
        <v>29372</v>
      </c>
      <c r="G2054" t="s">
        <v>29382</v>
      </c>
      <c r="H2054" t="s">
        <v>11048</v>
      </c>
      <c r="I2054" t="s">
        <v>29428</v>
      </c>
      <c r="J2054" t="s">
        <v>30997</v>
      </c>
      <c r="K2054" t="s">
        <v>38490</v>
      </c>
      <c r="M2054" t="s">
        <v>39614</v>
      </c>
      <c r="N2054" t="s">
        <v>42669</v>
      </c>
      <c r="O2054" t="s">
        <v>42670</v>
      </c>
      <c r="P2054">
        <v>0</v>
      </c>
      <c r="Q2054">
        <v>4</v>
      </c>
      <c r="R2054" t="s">
        <v>42674</v>
      </c>
      <c r="S2054" t="s">
        <v>42788</v>
      </c>
      <c r="T2054" t="s">
        <v>44432</v>
      </c>
      <c r="U2054" t="s">
        <v>46542</v>
      </c>
      <c r="W2054" t="s">
        <v>39614</v>
      </c>
      <c r="X2054" t="s">
        <v>42676</v>
      </c>
    </row>
    <row r="2055" spans="1:24">
      <c r="A2055">
        <f>HYPERLINK("https://www.philgeps.gov.ph/GEPSNONPILOT/Tender/SplashBidNoticeAbstractUI.aspx?menuIndex=3&amp;refID=7190945&amp;Result=3","7190945")</f>
        <v>0</v>
      </c>
      <c r="B2055" t="s">
        <v>613</v>
      </c>
      <c r="C2055" t="s">
        <v>5495</v>
      </c>
      <c r="D2055" t="s">
        <v>17205</v>
      </c>
      <c r="E2055" t="s">
        <v>19060</v>
      </c>
      <c r="F2055" t="s">
        <v>29372</v>
      </c>
      <c r="G2055" t="s">
        <v>29379</v>
      </c>
      <c r="H2055" t="s">
        <v>11048</v>
      </c>
      <c r="I2055" t="s">
        <v>3695</v>
      </c>
      <c r="J2055" t="s">
        <v>30998</v>
      </c>
      <c r="K2055" t="s">
        <v>38490</v>
      </c>
      <c r="M2055" t="s">
        <v>39384</v>
      </c>
      <c r="N2055" t="s">
        <v>42669</v>
      </c>
      <c r="O2055" t="s">
        <v>42670</v>
      </c>
      <c r="P2055">
        <v>0</v>
      </c>
      <c r="Q2055">
        <v>0</v>
      </c>
      <c r="R2055" t="s">
        <v>42674</v>
      </c>
      <c r="S2055" t="s">
        <v>42788</v>
      </c>
      <c r="T2055" t="s">
        <v>44417</v>
      </c>
      <c r="U2055" t="s">
        <v>46150</v>
      </c>
      <c r="V2055" t="s">
        <v>56514</v>
      </c>
      <c r="W2055" t="s">
        <v>39384</v>
      </c>
      <c r="X2055" t="s">
        <v>42676</v>
      </c>
    </row>
    <row r="2056" spans="1:24">
      <c r="A2056">
        <f>HYPERLINK("https://www.philgeps.gov.ph/GEPSNONPILOT/Tender/SplashBidNoticeAbstractUI.aspx?menuIndex=3&amp;refID=7190942&amp;Result=3","7190942")</f>
        <v>0</v>
      </c>
      <c r="B2056" t="s">
        <v>825</v>
      </c>
      <c r="C2056" t="s">
        <v>5496</v>
      </c>
      <c r="D2056" t="s">
        <v>17164</v>
      </c>
      <c r="E2056" t="s">
        <v>19061</v>
      </c>
      <c r="F2056" t="s">
        <v>29372</v>
      </c>
      <c r="G2056" t="s">
        <v>29380</v>
      </c>
      <c r="H2056" t="s">
        <v>29389</v>
      </c>
      <c r="I2056" t="s">
        <v>10408</v>
      </c>
      <c r="J2056" t="s">
        <v>29555</v>
      </c>
      <c r="K2056" t="s">
        <v>38489</v>
      </c>
      <c r="M2056" t="s">
        <v>39611</v>
      </c>
      <c r="N2056" t="s">
        <v>42669</v>
      </c>
      <c r="O2056" t="s">
        <v>42670</v>
      </c>
      <c r="P2056">
        <v>0</v>
      </c>
      <c r="Q2056">
        <v>0</v>
      </c>
      <c r="R2056" t="s">
        <v>42674</v>
      </c>
      <c r="S2056" t="s">
        <v>42788</v>
      </c>
      <c r="T2056" t="s">
        <v>44480</v>
      </c>
      <c r="U2056" t="s">
        <v>46543</v>
      </c>
      <c r="W2056" t="s">
        <v>39611</v>
      </c>
      <c r="X2056" t="s">
        <v>42676</v>
      </c>
    </row>
    <row r="2057" spans="1:24">
      <c r="A2057">
        <f>HYPERLINK("https://www.philgeps.gov.ph/GEPSNONPILOT/Tender/SplashBidNoticeAbstractUI.aspx?menuIndex=3&amp;refID=7191006&amp;Result=3","7191006")</f>
        <v>0</v>
      </c>
      <c r="B2057" t="s">
        <v>823</v>
      </c>
      <c r="C2057" t="s">
        <v>5497</v>
      </c>
      <c r="D2057" t="s">
        <v>17183</v>
      </c>
      <c r="E2057" t="s">
        <v>19062</v>
      </c>
      <c r="F2057" t="s">
        <v>29372</v>
      </c>
      <c r="G2057" t="s">
        <v>29380</v>
      </c>
      <c r="H2057" t="s">
        <v>29389</v>
      </c>
      <c r="I2057" t="s">
        <v>10408</v>
      </c>
      <c r="J2057" t="s">
        <v>29543</v>
      </c>
      <c r="K2057" t="s">
        <v>38584</v>
      </c>
      <c r="M2057" t="s">
        <v>39609</v>
      </c>
      <c r="N2057" t="s">
        <v>42669</v>
      </c>
      <c r="O2057" t="s">
        <v>42670</v>
      </c>
      <c r="P2057">
        <v>0</v>
      </c>
      <c r="Q2057">
        <v>1</v>
      </c>
      <c r="R2057" t="s">
        <v>42674</v>
      </c>
      <c r="S2057" t="s">
        <v>42788</v>
      </c>
      <c r="T2057" t="s">
        <v>44568</v>
      </c>
      <c r="U2057" t="s">
        <v>46544</v>
      </c>
      <c r="W2057" t="s">
        <v>39609</v>
      </c>
      <c r="X2057" t="s">
        <v>42676</v>
      </c>
    </row>
    <row r="2058" spans="1:24">
      <c r="A2058">
        <f>HYPERLINK("https://www.philgeps.gov.ph/GEPSNONPILOT/Tender/SplashBidNoticeAbstractUI.aspx?menuIndex=3&amp;refID=7191002&amp;Result=3","7191002")</f>
        <v>0</v>
      </c>
      <c r="B2058" t="s">
        <v>231</v>
      </c>
      <c r="C2058" t="s">
        <v>5498</v>
      </c>
      <c r="D2058" t="s">
        <v>17171</v>
      </c>
      <c r="E2058" t="s">
        <v>19063</v>
      </c>
      <c r="F2058" t="s">
        <v>29372</v>
      </c>
      <c r="G2058" t="s">
        <v>29382</v>
      </c>
      <c r="H2058" t="s">
        <v>11048</v>
      </c>
      <c r="I2058" t="s">
        <v>29401</v>
      </c>
      <c r="J2058" t="s">
        <v>30626</v>
      </c>
      <c r="K2058" t="s">
        <v>38490</v>
      </c>
      <c r="M2058" t="s">
        <v>39614</v>
      </c>
      <c r="N2058" t="s">
        <v>42669</v>
      </c>
      <c r="O2058" t="s">
        <v>42670</v>
      </c>
      <c r="P2058">
        <v>0</v>
      </c>
      <c r="Q2058">
        <v>1</v>
      </c>
      <c r="R2058" t="s">
        <v>42674</v>
      </c>
      <c r="S2058" t="s">
        <v>42788</v>
      </c>
      <c r="T2058" t="s">
        <v>44432</v>
      </c>
      <c r="U2058" t="s">
        <v>46542</v>
      </c>
      <c r="W2058" t="s">
        <v>39614</v>
      </c>
      <c r="X2058" t="s">
        <v>42676</v>
      </c>
    </row>
    <row r="2059" spans="1:24">
      <c r="A2059">
        <f>HYPERLINK("https://www.philgeps.gov.ph/GEPSNONPILOT/Tender/SplashBidNoticeAbstractUI.aspx?menuIndex=3&amp;refID=7191013&amp;Result=3","7191013")</f>
        <v>0</v>
      </c>
      <c r="B2059" t="s">
        <v>828</v>
      </c>
      <c r="C2059" t="s">
        <v>5499</v>
      </c>
      <c r="D2059" t="s">
        <v>17160</v>
      </c>
      <c r="E2059" t="s">
        <v>19064</v>
      </c>
      <c r="F2059" t="s">
        <v>29372</v>
      </c>
      <c r="G2059" t="s">
        <v>29379</v>
      </c>
      <c r="H2059" t="s">
        <v>11048</v>
      </c>
      <c r="I2059" t="s">
        <v>29432</v>
      </c>
      <c r="J2059" t="s">
        <v>30999</v>
      </c>
      <c r="K2059" t="s">
        <v>38491</v>
      </c>
      <c r="M2059" t="s">
        <v>39615</v>
      </c>
      <c r="N2059" t="s">
        <v>42669</v>
      </c>
      <c r="O2059" t="s">
        <v>42670</v>
      </c>
      <c r="P2059">
        <v>0</v>
      </c>
      <c r="Q2059">
        <v>2</v>
      </c>
      <c r="R2059" t="s">
        <v>42674</v>
      </c>
      <c r="S2059" t="s">
        <v>42788</v>
      </c>
      <c r="T2059" t="s">
        <v>44382</v>
      </c>
      <c r="U2059" t="s">
        <v>46545</v>
      </c>
      <c r="W2059" t="s">
        <v>39615</v>
      </c>
      <c r="X2059" t="s">
        <v>42676</v>
      </c>
    </row>
    <row r="2060" spans="1:24">
      <c r="A2060">
        <f>HYPERLINK("https://www.philgeps.gov.ph/GEPSNONPILOT/Tender/SplashBidNoticeAbstractUI.aspx?menuIndex=3&amp;refID=7190994&amp;Result=3","7190994")</f>
        <v>0</v>
      </c>
      <c r="B2060" t="s">
        <v>829</v>
      </c>
      <c r="C2060" t="s">
        <v>5500</v>
      </c>
      <c r="D2060" t="s">
        <v>17168</v>
      </c>
      <c r="E2060" t="s">
        <v>17540</v>
      </c>
      <c r="F2060" t="s">
        <v>29372</v>
      </c>
      <c r="G2060" t="s">
        <v>29380</v>
      </c>
      <c r="H2060" t="s">
        <v>11048</v>
      </c>
      <c r="I2060" t="s">
        <v>29413</v>
      </c>
      <c r="J2060" t="s">
        <v>29644</v>
      </c>
      <c r="K2060" t="s">
        <v>38510</v>
      </c>
      <c r="M2060" t="s">
        <v>39616</v>
      </c>
      <c r="N2060" t="s">
        <v>42669</v>
      </c>
      <c r="O2060" t="s">
        <v>42670</v>
      </c>
      <c r="P2060">
        <v>0</v>
      </c>
      <c r="Q2060">
        <v>0</v>
      </c>
      <c r="R2060" t="s">
        <v>42674</v>
      </c>
      <c r="S2060" t="s">
        <v>42788</v>
      </c>
      <c r="T2060" t="s">
        <v>44543</v>
      </c>
      <c r="U2060" t="s">
        <v>46546</v>
      </c>
      <c r="W2060" t="s">
        <v>39616</v>
      </c>
      <c r="X2060" t="s">
        <v>42676</v>
      </c>
    </row>
    <row r="2061" spans="1:24">
      <c r="A2061">
        <f>HYPERLINK("https://www.philgeps.gov.ph/GEPSNONPILOT/Tender/SplashBidNoticeAbstractUI.aspx?menuIndex=3&amp;refID=7190971&amp;Result=3","7190971")</f>
        <v>0</v>
      </c>
      <c r="B2061" t="s">
        <v>823</v>
      </c>
      <c r="C2061" t="s">
        <v>5501</v>
      </c>
      <c r="D2061" t="s">
        <v>17183</v>
      </c>
      <c r="E2061" t="s">
        <v>19065</v>
      </c>
      <c r="F2061" t="s">
        <v>29372</v>
      </c>
      <c r="G2061" t="s">
        <v>29380</v>
      </c>
      <c r="H2061" t="s">
        <v>11048</v>
      </c>
      <c r="I2061" t="s">
        <v>29407</v>
      </c>
      <c r="J2061" t="s">
        <v>31000</v>
      </c>
      <c r="K2061" t="s">
        <v>38489</v>
      </c>
      <c r="M2061" t="s">
        <v>39609</v>
      </c>
      <c r="N2061" t="s">
        <v>42669</v>
      </c>
      <c r="O2061" t="s">
        <v>42670</v>
      </c>
      <c r="P2061">
        <v>0</v>
      </c>
      <c r="Q2061">
        <v>3</v>
      </c>
      <c r="R2061" t="s">
        <v>42674</v>
      </c>
      <c r="S2061" t="s">
        <v>42788</v>
      </c>
      <c r="T2061" t="s">
        <v>44568</v>
      </c>
      <c r="U2061" t="s">
        <v>46547</v>
      </c>
      <c r="W2061" t="s">
        <v>39609</v>
      </c>
      <c r="X2061" t="s">
        <v>42676</v>
      </c>
    </row>
    <row r="2062" spans="1:24">
      <c r="A2062">
        <f>HYPERLINK("https://www.philgeps.gov.ph/GEPSNONPILOT/Tender/SplashBidNoticeAbstractUI.aspx?menuIndex=3&amp;refID=7190993&amp;Result=3","7190993")</f>
        <v>0</v>
      </c>
      <c r="B2062" t="s">
        <v>830</v>
      </c>
      <c r="C2062" t="s">
        <v>5502</v>
      </c>
      <c r="D2062" t="s">
        <v>17182</v>
      </c>
      <c r="E2062" t="s">
        <v>19066</v>
      </c>
      <c r="F2062" t="s">
        <v>29373</v>
      </c>
      <c r="G2062" t="s">
        <v>29383</v>
      </c>
      <c r="H2062" t="s">
        <v>11048</v>
      </c>
      <c r="I2062" t="s">
        <v>29407</v>
      </c>
      <c r="J2062" t="s">
        <v>31001</v>
      </c>
      <c r="K2062" t="s">
        <v>38491</v>
      </c>
      <c r="M2062" t="s">
        <v>39617</v>
      </c>
      <c r="N2062" t="s">
        <v>42669</v>
      </c>
      <c r="O2062" t="s">
        <v>42670</v>
      </c>
      <c r="P2062">
        <v>0</v>
      </c>
      <c r="Q2062">
        <v>2</v>
      </c>
      <c r="R2062" t="s">
        <v>42674</v>
      </c>
      <c r="S2062" t="s">
        <v>42788</v>
      </c>
      <c r="T2062" t="s">
        <v>44469</v>
      </c>
      <c r="U2062" t="s">
        <v>46548</v>
      </c>
      <c r="W2062" t="s">
        <v>39617</v>
      </c>
      <c r="X2062" t="s">
        <v>42676</v>
      </c>
    </row>
    <row r="2063" spans="1:24">
      <c r="A2063">
        <f>HYPERLINK("https://www.philgeps.gov.ph/GEPSNONPILOT/Tender/SplashBidNoticeAbstractUI.aspx?menuIndex=3&amp;refID=7191010&amp;Result=3","7191010")</f>
        <v>0</v>
      </c>
      <c r="B2063" t="s">
        <v>830</v>
      </c>
      <c r="C2063" t="s">
        <v>5503</v>
      </c>
      <c r="D2063" t="s">
        <v>17182</v>
      </c>
      <c r="E2063" t="s">
        <v>19067</v>
      </c>
      <c r="F2063" t="s">
        <v>29373</v>
      </c>
      <c r="G2063" t="s">
        <v>29383</v>
      </c>
      <c r="H2063" t="s">
        <v>11048</v>
      </c>
      <c r="I2063" t="s">
        <v>29407</v>
      </c>
      <c r="J2063" t="s">
        <v>31002</v>
      </c>
      <c r="K2063" t="s">
        <v>38491</v>
      </c>
      <c r="M2063" t="s">
        <v>39617</v>
      </c>
      <c r="N2063" t="s">
        <v>42669</v>
      </c>
      <c r="O2063" t="s">
        <v>42670</v>
      </c>
      <c r="P2063">
        <v>0</v>
      </c>
      <c r="Q2063">
        <v>6</v>
      </c>
      <c r="R2063" t="s">
        <v>42674</v>
      </c>
      <c r="S2063" t="s">
        <v>42788</v>
      </c>
      <c r="T2063" t="s">
        <v>44469</v>
      </c>
      <c r="U2063" t="s">
        <v>46549</v>
      </c>
      <c r="W2063" t="s">
        <v>39617</v>
      </c>
      <c r="X2063" t="s">
        <v>42676</v>
      </c>
    </row>
    <row r="2064" spans="1:24">
      <c r="A2064">
        <f>HYPERLINK("https://www.philgeps.gov.ph/GEPSNONPILOT/Tender/SplashBidNoticeAbstractUI.aspx?menuIndex=3&amp;refID=7190989&amp;Result=3","7190989")</f>
        <v>0</v>
      </c>
      <c r="B2064" t="s">
        <v>751</v>
      </c>
      <c r="C2064" t="s">
        <v>5504</v>
      </c>
      <c r="D2064" t="s">
        <v>17193</v>
      </c>
      <c r="E2064" t="s">
        <v>18969</v>
      </c>
      <c r="F2064" t="s">
        <v>29372</v>
      </c>
      <c r="G2064" t="s">
        <v>29380</v>
      </c>
      <c r="H2064" t="s">
        <v>29389</v>
      </c>
      <c r="I2064" t="s">
        <v>10408</v>
      </c>
      <c r="J2064" t="s">
        <v>30161</v>
      </c>
      <c r="K2064" t="s">
        <v>38525</v>
      </c>
      <c r="M2064" t="s">
        <v>39534</v>
      </c>
      <c r="N2064" t="s">
        <v>42669</v>
      </c>
      <c r="O2064" t="s">
        <v>42670</v>
      </c>
      <c r="P2064">
        <v>0</v>
      </c>
      <c r="Q2064">
        <v>0</v>
      </c>
      <c r="R2064" t="s">
        <v>42674</v>
      </c>
      <c r="S2064" t="s">
        <v>42788</v>
      </c>
      <c r="T2064" t="s">
        <v>44468</v>
      </c>
      <c r="U2064" t="s">
        <v>46396</v>
      </c>
      <c r="W2064" t="s">
        <v>39534</v>
      </c>
      <c r="X2064" t="s">
        <v>42676</v>
      </c>
    </row>
    <row r="2065" spans="1:24">
      <c r="A2065">
        <f>HYPERLINK("https://www.philgeps.gov.ph/GEPSNONPILOT/Tender/SplashBidNoticeAbstractUI.aspx?menuIndex=3&amp;refID=7190988&amp;Result=3","7190988")</f>
        <v>0</v>
      </c>
      <c r="B2065" t="s">
        <v>827</v>
      </c>
      <c r="C2065" t="s">
        <v>5505</v>
      </c>
      <c r="D2065" t="s">
        <v>17171</v>
      </c>
      <c r="E2065" t="s">
        <v>17533</v>
      </c>
      <c r="F2065" t="s">
        <v>29372</v>
      </c>
      <c r="G2065" t="s">
        <v>29379</v>
      </c>
      <c r="H2065" t="s">
        <v>11048</v>
      </c>
      <c r="I2065" t="s">
        <v>5383</v>
      </c>
      <c r="J2065" t="s">
        <v>31003</v>
      </c>
      <c r="K2065" t="s">
        <v>38491</v>
      </c>
      <c r="M2065" t="s">
        <v>39613</v>
      </c>
      <c r="N2065" t="s">
        <v>42669</v>
      </c>
      <c r="O2065" t="s">
        <v>42670</v>
      </c>
      <c r="P2065">
        <v>0</v>
      </c>
      <c r="Q2065">
        <v>2</v>
      </c>
      <c r="R2065" t="s">
        <v>42674</v>
      </c>
      <c r="S2065" t="s">
        <v>42788</v>
      </c>
      <c r="T2065" t="s">
        <v>44451</v>
      </c>
      <c r="U2065" t="s">
        <v>46550</v>
      </c>
      <c r="W2065" t="s">
        <v>39613</v>
      </c>
      <c r="X2065" t="s">
        <v>42676</v>
      </c>
    </row>
    <row r="2066" spans="1:24">
      <c r="A2066">
        <f>HYPERLINK("https://www.philgeps.gov.ph/GEPSNONPILOT/Tender/SplashBidNoticeAbstractUI.aspx?menuIndex=3&amp;refID=7191009&amp;Result=3","7191009")</f>
        <v>0</v>
      </c>
      <c r="B2066" t="s">
        <v>130</v>
      </c>
      <c r="C2066" t="s">
        <v>5506</v>
      </c>
      <c r="D2066" t="s">
        <v>17185</v>
      </c>
      <c r="E2066" t="s">
        <v>19068</v>
      </c>
      <c r="F2066" t="s">
        <v>29372</v>
      </c>
      <c r="G2066" t="s">
        <v>29379</v>
      </c>
      <c r="H2066" t="s">
        <v>29390</v>
      </c>
      <c r="I2066" t="s">
        <v>3839</v>
      </c>
      <c r="J2066" t="s">
        <v>30175</v>
      </c>
      <c r="K2066" t="s">
        <v>38535</v>
      </c>
      <c r="M2066" t="s">
        <v>39497</v>
      </c>
      <c r="N2066" t="s">
        <v>42669</v>
      </c>
      <c r="O2066" t="s">
        <v>42670</v>
      </c>
      <c r="P2066">
        <v>0</v>
      </c>
      <c r="Q2066">
        <v>1</v>
      </c>
      <c r="R2066" t="s">
        <v>42674</v>
      </c>
      <c r="S2066" t="s">
        <v>42788</v>
      </c>
      <c r="T2066" t="s">
        <v>44427</v>
      </c>
      <c r="U2066" t="s">
        <v>46551</v>
      </c>
      <c r="W2066" t="s">
        <v>39497</v>
      </c>
      <c r="X2066" t="s">
        <v>42676</v>
      </c>
    </row>
    <row r="2067" spans="1:24">
      <c r="A2067">
        <f>HYPERLINK("https://www.philgeps.gov.ph/GEPSNONPILOT/Tender/SplashBidNoticeAbstractUI.aspx?menuIndex=3&amp;refID=7190987&amp;Result=3","7190987")</f>
        <v>0</v>
      </c>
      <c r="B2067" t="s">
        <v>231</v>
      </c>
      <c r="C2067" t="s">
        <v>5507</v>
      </c>
      <c r="D2067" t="s">
        <v>17166</v>
      </c>
      <c r="E2067" t="s">
        <v>19069</v>
      </c>
      <c r="F2067" t="s">
        <v>29372</v>
      </c>
      <c r="G2067" t="s">
        <v>29379</v>
      </c>
      <c r="H2067" t="s">
        <v>11048</v>
      </c>
      <c r="I2067" t="s">
        <v>29399</v>
      </c>
      <c r="J2067" t="s">
        <v>31004</v>
      </c>
      <c r="K2067" t="s">
        <v>38490</v>
      </c>
      <c r="M2067" t="s">
        <v>39614</v>
      </c>
      <c r="N2067" t="s">
        <v>42669</v>
      </c>
      <c r="O2067" t="s">
        <v>42670</v>
      </c>
      <c r="P2067">
        <v>0</v>
      </c>
      <c r="Q2067">
        <v>4</v>
      </c>
      <c r="R2067" t="s">
        <v>42674</v>
      </c>
      <c r="S2067" t="s">
        <v>42788</v>
      </c>
      <c r="T2067" t="s">
        <v>44432</v>
      </c>
      <c r="U2067" t="s">
        <v>46542</v>
      </c>
      <c r="W2067" t="s">
        <v>39614</v>
      </c>
      <c r="X2067" t="s">
        <v>42676</v>
      </c>
    </row>
    <row r="2068" spans="1:24">
      <c r="A2068">
        <f>HYPERLINK("https://www.philgeps.gov.ph/GEPSNONPILOT/Tender/SplashBidNoticeAbstractUI.aspx?menuIndex=3&amp;refID=7191014&amp;Result=3","7191014")</f>
        <v>0</v>
      </c>
      <c r="B2068" t="s">
        <v>681</v>
      </c>
      <c r="C2068" t="s">
        <v>5508</v>
      </c>
      <c r="D2068" t="s">
        <v>17160</v>
      </c>
      <c r="E2068" t="s">
        <v>19070</v>
      </c>
      <c r="F2068" t="s">
        <v>29372</v>
      </c>
      <c r="G2068" t="s">
        <v>29380</v>
      </c>
      <c r="H2068" t="s">
        <v>11048</v>
      </c>
      <c r="I2068" t="s">
        <v>29425</v>
      </c>
      <c r="J2068" t="s">
        <v>31005</v>
      </c>
      <c r="K2068" t="s">
        <v>38490</v>
      </c>
      <c r="M2068" t="s">
        <v>39457</v>
      </c>
      <c r="N2068" t="s">
        <v>42669</v>
      </c>
      <c r="O2068" t="s">
        <v>42670</v>
      </c>
      <c r="P2068">
        <v>0</v>
      </c>
      <c r="Q2068">
        <v>4</v>
      </c>
      <c r="R2068" t="s">
        <v>42674</v>
      </c>
      <c r="S2068" t="s">
        <v>42788</v>
      </c>
      <c r="T2068" t="s">
        <v>44439</v>
      </c>
      <c r="U2068" t="s">
        <v>46552</v>
      </c>
      <c r="W2068" t="s">
        <v>39457</v>
      </c>
      <c r="X2068" t="s">
        <v>42676</v>
      </c>
    </row>
    <row r="2069" spans="1:24">
      <c r="A2069">
        <f>HYPERLINK("https://www.philgeps.gov.ph/GEPSNONPILOT/Tender/SplashBidNoticeAbstractUI.aspx?menuIndex=3&amp;refID=7191047&amp;Result=3","7191047")</f>
        <v>0</v>
      </c>
      <c r="B2069" t="s">
        <v>118</v>
      </c>
      <c r="C2069" t="s">
        <v>5509</v>
      </c>
      <c r="D2069" t="s">
        <v>17141</v>
      </c>
      <c r="E2069" t="s">
        <v>19071</v>
      </c>
      <c r="F2069" t="s">
        <v>29372</v>
      </c>
      <c r="G2069" t="s">
        <v>29379</v>
      </c>
      <c r="H2069" t="s">
        <v>11048</v>
      </c>
      <c r="I2069" t="s">
        <v>3839</v>
      </c>
      <c r="J2069" t="s">
        <v>31006</v>
      </c>
      <c r="K2069" t="s">
        <v>38488</v>
      </c>
      <c r="M2069" t="s">
        <v>39618</v>
      </c>
      <c r="N2069" t="s">
        <v>42669</v>
      </c>
      <c r="O2069" t="s">
        <v>42670</v>
      </c>
      <c r="P2069">
        <v>0</v>
      </c>
      <c r="Q2069">
        <v>7</v>
      </c>
      <c r="R2069" t="s">
        <v>42674</v>
      </c>
      <c r="S2069" t="s">
        <v>42788</v>
      </c>
      <c r="T2069" t="s">
        <v>44349</v>
      </c>
      <c r="U2069" t="s">
        <v>46553</v>
      </c>
      <c r="W2069" t="s">
        <v>39618</v>
      </c>
      <c r="X2069" t="s">
        <v>42676</v>
      </c>
    </row>
    <row r="2070" spans="1:24">
      <c r="A2070">
        <f>HYPERLINK("https://www.philgeps.gov.ph/GEPSNONPILOT/Tender/SplashBidNoticeAbstractUI.aspx?menuIndex=3&amp;refID=7190990&amp;Result=3","7190990")</f>
        <v>0</v>
      </c>
      <c r="B2070" t="s">
        <v>231</v>
      </c>
      <c r="C2070" t="s">
        <v>5510</v>
      </c>
      <c r="D2070" t="s">
        <v>17171</v>
      </c>
      <c r="E2070" t="s">
        <v>19072</v>
      </c>
      <c r="F2070" t="s">
        <v>29372</v>
      </c>
      <c r="G2070" t="s">
        <v>29382</v>
      </c>
      <c r="H2070" t="s">
        <v>11048</v>
      </c>
      <c r="I2070" t="s">
        <v>29428</v>
      </c>
      <c r="J2070" t="s">
        <v>31007</v>
      </c>
      <c r="K2070" t="s">
        <v>38490</v>
      </c>
      <c r="M2070" t="s">
        <v>39614</v>
      </c>
      <c r="N2070" t="s">
        <v>42669</v>
      </c>
      <c r="O2070" t="s">
        <v>42670</v>
      </c>
      <c r="P2070">
        <v>0</v>
      </c>
      <c r="Q2070">
        <v>5</v>
      </c>
      <c r="R2070" t="s">
        <v>42674</v>
      </c>
      <c r="S2070" t="s">
        <v>42788</v>
      </c>
      <c r="T2070" t="s">
        <v>44432</v>
      </c>
      <c r="U2070" t="s">
        <v>46542</v>
      </c>
      <c r="W2070" t="s">
        <v>39614</v>
      </c>
      <c r="X2070" t="s">
        <v>42676</v>
      </c>
    </row>
    <row r="2071" spans="1:24">
      <c r="A2071">
        <f>HYPERLINK("https://www.philgeps.gov.ph/GEPSNONPILOT/Tender/SplashBidNoticeAbstractUI.aspx?menuIndex=3&amp;refID=7191045&amp;Result=3","7191045")</f>
        <v>0</v>
      </c>
      <c r="B2071" t="s">
        <v>272</v>
      </c>
      <c r="C2071" t="s">
        <v>5511</v>
      </c>
      <c r="D2071" t="s">
        <v>17206</v>
      </c>
      <c r="E2071" t="s">
        <v>19073</v>
      </c>
      <c r="F2071" t="s">
        <v>29372</v>
      </c>
      <c r="G2071" t="s">
        <v>29382</v>
      </c>
      <c r="H2071" t="s">
        <v>11048</v>
      </c>
      <c r="I2071" t="s">
        <v>29412</v>
      </c>
      <c r="J2071" t="s">
        <v>31008</v>
      </c>
      <c r="K2071" t="s">
        <v>38490</v>
      </c>
      <c r="M2071" t="s">
        <v>39619</v>
      </c>
      <c r="N2071" t="s">
        <v>42669</v>
      </c>
      <c r="O2071" t="s">
        <v>42670</v>
      </c>
      <c r="P2071">
        <v>0</v>
      </c>
      <c r="Q2071">
        <v>0</v>
      </c>
      <c r="R2071" t="s">
        <v>42674</v>
      </c>
      <c r="S2071" t="s">
        <v>42788</v>
      </c>
      <c r="T2071" t="s">
        <v>44386</v>
      </c>
      <c r="U2071" t="s">
        <v>46554</v>
      </c>
      <c r="W2071" t="s">
        <v>39619</v>
      </c>
      <c r="X2071" t="s">
        <v>42676</v>
      </c>
    </row>
    <row r="2072" spans="1:24">
      <c r="A2072">
        <f>HYPERLINK("https://www.philgeps.gov.ph/GEPSNONPILOT/Tender/SplashBidNoticeAbstractUI.aspx?menuIndex=3&amp;refID=7191043&amp;Result=3","7191043")</f>
        <v>0</v>
      </c>
      <c r="B2072" t="s">
        <v>831</v>
      </c>
      <c r="C2072" t="s">
        <v>5512</v>
      </c>
      <c r="D2072" t="s">
        <v>17182</v>
      </c>
      <c r="E2072" t="s">
        <v>19074</v>
      </c>
      <c r="F2072" t="s">
        <v>29372</v>
      </c>
      <c r="G2072" t="s">
        <v>29380</v>
      </c>
      <c r="H2072" t="s">
        <v>11048</v>
      </c>
      <c r="I2072" t="s">
        <v>4487</v>
      </c>
      <c r="J2072" t="s">
        <v>31009</v>
      </c>
      <c r="K2072" t="s">
        <v>38485</v>
      </c>
      <c r="M2072" t="s">
        <v>39620</v>
      </c>
      <c r="N2072" t="s">
        <v>42669</v>
      </c>
      <c r="O2072" t="s">
        <v>42670</v>
      </c>
      <c r="P2072">
        <v>0</v>
      </c>
      <c r="Q2072">
        <v>2</v>
      </c>
      <c r="R2072" t="s">
        <v>42674</v>
      </c>
      <c r="S2072" t="s">
        <v>42788</v>
      </c>
      <c r="T2072" t="s">
        <v>44426</v>
      </c>
      <c r="U2072" t="s">
        <v>46555</v>
      </c>
      <c r="V2072" t="s">
        <v>56568</v>
      </c>
      <c r="W2072" t="s">
        <v>39620</v>
      </c>
      <c r="X2072" t="s">
        <v>42676</v>
      </c>
    </row>
    <row r="2073" spans="1:24">
      <c r="A2073">
        <f>HYPERLINK("https://www.philgeps.gov.ph/GEPSNONPILOT/Tender/SplashBidNoticeAbstractUI.aspx?menuIndex=3&amp;refID=7191037&amp;Result=3","7191037")</f>
        <v>0</v>
      </c>
      <c r="B2073" t="s">
        <v>832</v>
      </c>
      <c r="C2073" t="s">
        <v>5513</v>
      </c>
      <c r="E2073" t="s">
        <v>19075</v>
      </c>
      <c r="F2073" t="s">
        <v>29372</v>
      </c>
      <c r="G2073" t="s">
        <v>29379</v>
      </c>
      <c r="H2073" t="s">
        <v>11048</v>
      </c>
      <c r="I2073" t="s">
        <v>3952</v>
      </c>
      <c r="J2073" t="s">
        <v>31010</v>
      </c>
      <c r="K2073" t="s">
        <v>38490</v>
      </c>
      <c r="M2073" t="s">
        <v>39621</v>
      </c>
      <c r="N2073" t="s">
        <v>42669</v>
      </c>
      <c r="O2073" t="s">
        <v>42670</v>
      </c>
      <c r="P2073">
        <v>0</v>
      </c>
      <c r="Q2073">
        <v>11</v>
      </c>
      <c r="R2073" t="s">
        <v>42674</v>
      </c>
      <c r="S2073" t="s">
        <v>42788</v>
      </c>
      <c r="T2073" t="s">
        <v>44481</v>
      </c>
      <c r="U2073" t="s">
        <v>45803</v>
      </c>
      <c r="W2073" t="s">
        <v>39621</v>
      </c>
      <c r="X2073" t="s">
        <v>42676</v>
      </c>
    </row>
    <row r="2074" spans="1:24">
      <c r="A2074">
        <f>HYPERLINK("https://www.philgeps.gov.ph/GEPSNONPILOT/Tender/SplashBidNoticeAbstractUI.aspx?menuIndex=3&amp;refID=7191049&amp;Result=3","7191049")</f>
        <v>0</v>
      </c>
      <c r="B2074" t="s">
        <v>126</v>
      </c>
      <c r="C2074" t="s">
        <v>5514</v>
      </c>
      <c r="D2074" t="s">
        <v>17177</v>
      </c>
      <c r="E2074" t="s">
        <v>19076</v>
      </c>
      <c r="F2074" t="s">
        <v>29372</v>
      </c>
      <c r="G2074" t="s">
        <v>29380</v>
      </c>
      <c r="H2074" t="s">
        <v>11048</v>
      </c>
      <c r="I2074" t="s">
        <v>14920</v>
      </c>
      <c r="J2074" t="s">
        <v>31011</v>
      </c>
      <c r="K2074" t="s">
        <v>38488</v>
      </c>
      <c r="M2074" t="s">
        <v>38881</v>
      </c>
      <c r="N2074" t="s">
        <v>42669</v>
      </c>
      <c r="O2074" t="s">
        <v>42670</v>
      </c>
      <c r="P2074">
        <v>0</v>
      </c>
      <c r="Q2074">
        <v>1</v>
      </c>
      <c r="R2074" t="s">
        <v>42674</v>
      </c>
      <c r="S2074" t="s">
        <v>42788</v>
      </c>
      <c r="T2074" t="s">
        <v>44533</v>
      </c>
      <c r="U2074" t="s">
        <v>46556</v>
      </c>
      <c r="W2074" t="s">
        <v>38881</v>
      </c>
      <c r="X2074" t="s">
        <v>42676</v>
      </c>
    </row>
    <row r="2075" spans="1:24">
      <c r="A2075">
        <f>HYPERLINK("https://www.philgeps.gov.ph/GEPSNONPILOT/Tender/SplashBidNoticeAbstractUI.aspx?menuIndex=3&amp;refID=7191036&amp;Result=3","7191036")</f>
        <v>0</v>
      </c>
      <c r="B2075" t="s">
        <v>681</v>
      </c>
      <c r="C2075" t="s">
        <v>5515</v>
      </c>
      <c r="D2075" t="s">
        <v>17160</v>
      </c>
      <c r="E2075" t="s">
        <v>19077</v>
      </c>
      <c r="F2075" t="s">
        <v>29372</v>
      </c>
      <c r="G2075" t="s">
        <v>29380</v>
      </c>
      <c r="H2075" t="s">
        <v>11048</v>
      </c>
      <c r="I2075" t="s">
        <v>29407</v>
      </c>
      <c r="J2075" t="s">
        <v>31012</v>
      </c>
      <c r="K2075" t="s">
        <v>38490</v>
      </c>
      <c r="M2075" t="s">
        <v>39457</v>
      </c>
      <c r="N2075" t="s">
        <v>42669</v>
      </c>
      <c r="O2075" t="s">
        <v>42670</v>
      </c>
      <c r="P2075">
        <v>0</v>
      </c>
      <c r="Q2075">
        <v>3</v>
      </c>
      <c r="R2075" t="s">
        <v>42674</v>
      </c>
      <c r="S2075" t="s">
        <v>42788</v>
      </c>
      <c r="T2075" t="s">
        <v>44439</v>
      </c>
      <c r="U2075" t="s">
        <v>46557</v>
      </c>
      <c r="W2075" t="s">
        <v>39457</v>
      </c>
      <c r="X2075" t="s">
        <v>42676</v>
      </c>
    </row>
    <row r="2076" spans="1:24">
      <c r="A2076">
        <f>HYPERLINK("https://www.philgeps.gov.ph/GEPSNONPILOT/Tender/SplashBidNoticeAbstractUI.aspx?menuIndex=3&amp;refID=7191031&amp;Result=3","7191031")</f>
        <v>0</v>
      </c>
      <c r="B2076" t="s">
        <v>833</v>
      </c>
      <c r="C2076" t="s">
        <v>5516</v>
      </c>
      <c r="D2076" t="s">
        <v>17189</v>
      </c>
      <c r="E2076" t="s">
        <v>18634</v>
      </c>
      <c r="F2076" t="s">
        <v>29375</v>
      </c>
      <c r="G2076" t="s">
        <v>29382</v>
      </c>
      <c r="H2076" t="s">
        <v>11048</v>
      </c>
      <c r="I2076" t="s">
        <v>5383</v>
      </c>
      <c r="J2076" t="s">
        <v>31013</v>
      </c>
      <c r="K2076" t="s">
        <v>38490</v>
      </c>
      <c r="M2076" t="s">
        <v>39622</v>
      </c>
      <c r="N2076" t="s">
        <v>42669</v>
      </c>
      <c r="O2076" t="s">
        <v>42670</v>
      </c>
      <c r="P2076">
        <v>0</v>
      </c>
      <c r="Q2076">
        <v>0</v>
      </c>
      <c r="R2076" t="s">
        <v>42674</v>
      </c>
      <c r="S2076" t="s">
        <v>42788</v>
      </c>
      <c r="T2076" t="s">
        <v>44430</v>
      </c>
      <c r="U2076" t="s">
        <v>46558</v>
      </c>
      <c r="W2076" t="s">
        <v>39622</v>
      </c>
      <c r="X2076" t="s">
        <v>42676</v>
      </c>
    </row>
    <row r="2077" spans="1:24">
      <c r="A2077">
        <f>HYPERLINK("https://www.philgeps.gov.ph/GEPSNONPILOT/Tender/SplashBidNoticeAbstractUI.aspx?menuIndex=3&amp;refID=7191030&amp;Result=3","7191030")</f>
        <v>0</v>
      </c>
      <c r="B2077" t="s">
        <v>827</v>
      </c>
      <c r="C2077" t="s">
        <v>5517</v>
      </c>
      <c r="D2077" t="s">
        <v>17171</v>
      </c>
      <c r="E2077" t="s">
        <v>19078</v>
      </c>
      <c r="F2077" t="s">
        <v>29372</v>
      </c>
      <c r="G2077" t="s">
        <v>29379</v>
      </c>
      <c r="H2077" t="s">
        <v>11048</v>
      </c>
      <c r="I2077" t="s">
        <v>29424</v>
      </c>
      <c r="J2077" t="s">
        <v>31014</v>
      </c>
      <c r="K2077" t="s">
        <v>38491</v>
      </c>
      <c r="M2077" t="s">
        <v>39613</v>
      </c>
      <c r="N2077" t="s">
        <v>42669</v>
      </c>
      <c r="O2077" t="s">
        <v>42670</v>
      </c>
      <c r="P2077">
        <v>0</v>
      </c>
      <c r="Q2077">
        <v>4</v>
      </c>
      <c r="R2077" t="s">
        <v>42674</v>
      </c>
      <c r="S2077" t="s">
        <v>42788</v>
      </c>
      <c r="T2077" t="s">
        <v>44451</v>
      </c>
      <c r="U2077" t="s">
        <v>46559</v>
      </c>
      <c r="W2077" t="s">
        <v>39613</v>
      </c>
      <c r="X2077" t="s">
        <v>42676</v>
      </c>
    </row>
    <row r="2078" spans="1:24">
      <c r="A2078">
        <f>HYPERLINK("https://www.philgeps.gov.ph/GEPSNONPILOT/Tender/SplashBidNoticeAbstractUI.aspx?menuIndex=3&amp;refID=7191038&amp;Result=3","7191038")</f>
        <v>0</v>
      </c>
      <c r="B2078" t="s">
        <v>834</v>
      </c>
      <c r="C2078" t="s">
        <v>5518</v>
      </c>
      <c r="D2078" t="s">
        <v>17188</v>
      </c>
      <c r="E2078" t="s">
        <v>18164</v>
      </c>
      <c r="F2078" t="s">
        <v>29372</v>
      </c>
      <c r="G2078" t="s">
        <v>29382</v>
      </c>
      <c r="H2078" t="s">
        <v>11048</v>
      </c>
      <c r="I2078" t="s">
        <v>3670</v>
      </c>
      <c r="J2078" t="s">
        <v>31015</v>
      </c>
      <c r="K2078" t="s">
        <v>38485</v>
      </c>
      <c r="M2078" t="s">
        <v>39623</v>
      </c>
      <c r="N2078" t="s">
        <v>42669</v>
      </c>
      <c r="O2078" t="s">
        <v>42670</v>
      </c>
      <c r="P2078">
        <v>0</v>
      </c>
      <c r="Q2078">
        <v>7</v>
      </c>
      <c r="R2078" t="s">
        <v>42674</v>
      </c>
      <c r="S2078" t="s">
        <v>42788</v>
      </c>
      <c r="T2078" t="s">
        <v>44380</v>
      </c>
      <c r="U2078" t="s">
        <v>45794</v>
      </c>
      <c r="W2078" t="s">
        <v>39623</v>
      </c>
      <c r="X2078" t="s">
        <v>42676</v>
      </c>
    </row>
    <row r="2079" spans="1:24">
      <c r="A2079">
        <f>HYPERLINK("https://www.philgeps.gov.ph/GEPSNONPILOT/Tender/SplashBidNoticeAbstractUI.aspx?menuIndex=3&amp;refID=7191042&amp;Result=3","7191042")</f>
        <v>0</v>
      </c>
      <c r="B2079" t="s">
        <v>823</v>
      </c>
      <c r="C2079" t="s">
        <v>5519</v>
      </c>
      <c r="D2079" t="s">
        <v>17183</v>
      </c>
      <c r="E2079" t="s">
        <v>19079</v>
      </c>
      <c r="F2079" t="s">
        <v>29372</v>
      </c>
      <c r="G2079" t="s">
        <v>29380</v>
      </c>
      <c r="H2079" t="s">
        <v>11048</v>
      </c>
      <c r="I2079" t="s">
        <v>29394</v>
      </c>
      <c r="J2079" t="s">
        <v>29543</v>
      </c>
      <c r="K2079" t="s">
        <v>38518</v>
      </c>
      <c r="M2079" t="s">
        <v>39609</v>
      </c>
      <c r="N2079" t="s">
        <v>42669</v>
      </c>
      <c r="O2079" t="s">
        <v>42670</v>
      </c>
      <c r="P2079">
        <v>0</v>
      </c>
      <c r="Q2079">
        <v>6</v>
      </c>
      <c r="R2079" t="s">
        <v>42674</v>
      </c>
      <c r="S2079" t="s">
        <v>42788</v>
      </c>
      <c r="T2079" t="s">
        <v>44568</v>
      </c>
      <c r="U2079" t="s">
        <v>46560</v>
      </c>
      <c r="W2079" t="s">
        <v>39609</v>
      </c>
      <c r="X2079" t="s">
        <v>42676</v>
      </c>
    </row>
    <row r="2080" spans="1:24">
      <c r="A2080">
        <f>HYPERLINK("https://www.philgeps.gov.ph/GEPSNONPILOT/Tender/SplashBidNoticeAbstractUI.aspx?menuIndex=3&amp;refID=7191061&amp;Result=3","7191061")</f>
        <v>0</v>
      </c>
      <c r="B2080" t="s">
        <v>272</v>
      </c>
      <c r="C2080" t="s">
        <v>5520</v>
      </c>
      <c r="D2080" t="s">
        <v>17206</v>
      </c>
      <c r="E2080" t="s">
        <v>19080</v>
      </c>
      <c r="F2080" t="s">
        <v>29372</v>
      </c>
      <c r="G2080" t="s">
        <v>29379</v>
      </c>
      <c r="H2080" t="s">
        <v>11048</v>
      </c>
      <c r="I2080" t="s">
        <v>14920</v>
      </c>
      <c r="J2080" t="s">
        <v>29625</v>
      </c>
      <c r="K2080" t="s">
        <v>38490</v>
      </c>
      <c r="M2080" t="s">
        <v>39619</v>
      </c>
      <c r="N2080" t="s">
        <v>42669</v>
      </c>
      <c r="O2080" t="s">
        <v>42670</v>
      </c>
      <c r="P2080">
        <v>0</v>
      </c>
      <c r="Q2080">
        <v>0</v>
      </c>
      <c r="R2080" t="s">
        <v>42674</v>
      </c>
      <c r="S2080" t="s">
        <v>42788</v>
      </c>
      <c r="T2080" t="s">
        <v>44386</v>
      </c>
      <c r="U2080" t="s">
        <v>46561</v>
      </c>
      <c r="W2080" t="s">
        <v>39619</v>
      </c>
      <c r="X2080" t="s">
        <v>42676</v>
      </c>
    </row>
    <row r="2081" spans="1:24">
      <c r="A2081">
        <f>HYPERLINK("https://www.philgeps.gov.ph/GEPSNONPILOT/Tender/SplashBidNoticeAbstractUI.aspx?menuIndex=3&amp;refID=7190999&amp;Result=3","7190999")</f>
        <v>0</v>
      </c>
      <c r="B2081" t="s">
        <v>662</v>
      </c>
      <c r="C2081" t="s">
        <v>5521</v>
      </c>
      <c r="D2081" t="s">
        <v>17211</v>
      </c>
      <c r="E2081" t="s">
        <v>19081</v>
      </c>
      <c r="F2081" t="s">
        <v>29372</v>
      </c>
      <c r="G2081" t="s">
        <v>29382</v>
      </c>
      <c r="H2081" t="s">
        <v>11048</v>
      </c>
      <c r="I2081" t="s">
        <v>29423</v>
      </c>
      <c r="J2081" t="s">
        <v>31016</v>
      </c>
      <c r="K2081" t="s">
        <v>38487</v>
      </c>
      <c r="M2081" t="s">
        <v>39438</v>
      </c>
      <c r="N2081" t="s">
        <v>42669</v>
      </c>
      <c r="O2081" t="s">
        <v>42670</v>
      </c>
      <c r="P2081">
        <v>0</v>
      </c>
      <c r="Q2081">
        <v>1</v>
      </c>
      <c r="R2081" t="s">
        <v>42674</v>
      </c>
      <c r="S2081" t="s">
        <v>42788</v>
      </c>
      <c r="T2081" t="s">
        <v>44491</v>
      </c>
      <c r="U2081" t="s">
        <v>46562</v>
      </c>
      <c r="W2081" t="s">
        <v>39438</v>
      </c>
      <c r="X2081" t="s">
        <v>42676</v>
      </c>
    </row>
    <row r="2082" spans="1:24">
      <c r="A2082">
        <f>HYPERLINK("https://www.philgeps.gov.ph/GEPSNONPILOT/Tender/SplashBidNoticeAbstractUI.aspx?menuIndex=3&amp;refID=7191107&amp;Result=3","7191107")</f>
        <v>0</v>
      </c>
      <c r="B2082" t="s">
        <v>555</v>
      </c>
      <c r="C2082" t="s">
        <v>5522</v>
      </c>
      <c r="D2082" t="s">
        <v>17151</v>
      </c>
      <c r="E2082" t="s">
        <v>19082</v>
      </c>
      <c r="F2082" t="s">
        <v>29372</v>
      </c>
      <c r="G2082" t="s">
        <v>29380</v>
      </c>
      <c r="H2082" t="s">
        <v>11048</v>
      </c>
      <c r="I2082" t="s">
        <v>29433</v>
      </c>
      <c r="J2082" t="s">
        <v>31017</v>
      </c>
      <c r="K2082" t="s">
        <v>38488</v>
      </c>
      <c r="M2082" t="s">
        <v>39324</v>
      </c>
      <c r="N2082" t="s">
        <v>42669</v>
      </c>
      <c r="O2082" t="s">
        <v>42670</v>
      </c>
      <c r="P2082">
        <v>0</v>
      </c>
      <c r="Q2082">
        <v>1</v>
      </c>
      <c r="R2082" t="s">
        <v>42674</v>
      </c>
      <c r="S2082" t="s">
        <v>42788</v>
      </c>
      <c r="T2082" t="s">
        <v>44396</v>
      </c>
      <c r="U2082" t="s">
        <v>46563</v>
      </c>
      <c r="V2082" t="s">
        <v>56499</v>
      </c>
      <c r="W2082" t="s">
        <v>39324</v>
      </c>
      <c r="X2082" t="s">
        <v>42676</v>
      </c>
    </row>
    <row r="2083" spans="1:24">
      <c r="A2083">
        <f>HYPERLINK("https://www.philgeps.gov.ph/GEPSNONPILOT/Tender/SplashBidNoticeAbstractUI.aspx?menuIndex=3&amp;refID=7191029&amp;Result=3","7191029")</f>
        <v>0</v>
      </c>
      <c r="B2083" t="s">
        <v>118</v>
      </c>
      <c r="C2083" t="s">
        <v>5523</v>
      </c>
      <c r="D2083" t="s">
        <v>17141</v>
      </c>
      <c r="E2083" t="s">
        <v>19083</v>
      </c>
      <c r="F2083" t="s">
        <v>29372</v>
      </c>
      <c r="G2083" t="s">
        <v>29379</v>
      </c>
      <c r="H2083" t="s">
        <v>11048</v>
      </c>
      <c r="I2083" t="s">
        <v>4486</v>
      </c>
      <c r="J2083" t="s">
        <v>31018</v>
      </c>
      <c r="K2083" t="s">
        <v>38488</v>
      </c>
      <c r="M2083" t="s">
        <v>39618</v>
      </c>
      <c r="N2083" t="s">
        <v>42669</v>
      </c>
      <c r="O2083" t="s">
        <v>42670</v>
      </c>
      <c r="P2083">
        <v>0</v>
      </c>
      <c r="Q2083">
        <v>6</v>
      </c>
      <c r="R2083" t="s">
        <v>42674</v>
      </c>
      <c r="S2083" t="s">
        <v>42788</v>
      </c>
      <c r="T2083" t="s">
        <v>44349</v>
      </c>
      <c r="U2083" t="s">
        <v>46553</v>
      </c>
      <c r="W2083" t="s">
        <v>39618</v>
      </c>
      <c r="X2083" t="s">
        <v>42676</v>
      </c>
    </row>
    <row r="2084" spans="1:24">
      <c r="A2084">
        <f>HYPERLINK("https://www.philgeps.gov.ph/GEPSNONPILOT/Tender/SplashBidNoticeAbstractUI.aspx?menuIndex=3&amp;refID=7191105&amp;Result=3","7191105")</f>
        <v>0</v>
      </c>
      <c r="B2084" t="s">
        <v>835</v>
      </c>
      <c r="C2084" t="s">
        <v>5524</v>
      </c>
      <c r="D2084" t="s">
        <v>17146</v>
      </c>
      <c r="E2084" t="s">
        <v>19084</v>
      </c>
      <c r="F2084" t="s">
        <v>29372</v>
      </c>
      <c r="G2084" t="s">
        <v>29379</v>
      </c>
      <c r="H2084" t="s">
        <v>29391</v>
      </c>
      <c r="I2084" t="s">
        <v>29391</v>
      </c>
      <c r="J2084" t="s">
        <v>29721</v>
      </c>
      <c r="K2084" t="s">
        <v>38496</v>
      </c>
      <c r="M2084" t="s">
        <v>39624</v>
      </c>
      <c r="N2084" t="s">
        <v>42669</v>
      </c>
      <c r="O2084" t="s">
        <v>42670</v>
      </c>
      <c r="P2084">
        <v>0</v>
      </c>
      <c r="Q2084">
        <v>1</v>
      </c>
      <c r="R2084" t="s">
        <v>42674</v>
      </c>
      <c r="S2084" t="s">
        <v>42788</v>
      </c>
      <c r="T2084" t="s">
        <v>44542</v>
      </c>
      <c r="U2084" t="s">
        <v>46564</v>
      </c>
      <c r="W2084" t="s">
        <v>39624</v>
      </c>
      <c r="X2084" t="s">
        <v>42676</v>
      </c>
    </row>
    <row r="2085" spans="1:24">
      <c r="A2085">
        <f>HYPERLINK("https://www.philgeps.gov.ph/GEPSNONPILOT/Tender/SplashBidNoticeAbstractUI.aspx?menuIndex=3&amp;refID=7191033&amp;Result=3","7191033")</f>
        <v>0</v>
      </c>
      <c r="B2085" t="s">
        <v>272</v>
      </c>
      <c r="C2085" t="s">
        <v>5525</v>
      </c>
      <c r="D2085" t="s">
        <v>17206</v>
      </c>
      <c r="E2085" t="s">
        <v>19085</v>
      </c>
      <c r="F2085" t="s">
        <v>29372</v>
      </c>
      <c r="G2085" t="s">
        <v>29379</v>
      </c>
      <c r="H2085" t="s">
        <v>11048</v>
      </c>
      <c r="I2085" t="s">
        <v>29443</v>
      </c>
      <c r="J2085" t="s">
        <v>29555</v>
      </c>
      <c r="K2085" t="s">
        <v>38490</v>
      </c>
      <c r="M2085" t="s">
        <v>39619</v>
      </c>
      <c r="N2085" t="s">
        <v>42669</v>
      </c>
      <c r="O2085" t="s">
        <v>42670</v>
      </c>
      <c r="P2085">
        <v>0</v>
      </c>
      <c r="Q2085">
        <v>0</v>
      </c>
      <c r="R2085" t="s">
        <v>42674</v>
      </c>
      <c r="S2085" t="s">
        <v>42788</v>
      </c>
      <c r="T2085" t="s">
        <v>44386</v>
      </c>
      <c r="U2085" t="s">
        <v>46565</v>
      </c>
      <c r="W2085" t="s">
        <v>39619</v>
      </c>
      <c r="X2085" t="s">
        <v>42676</v>
      </c>
    </row>
    <row r="2086" spans="1:24">
      <c r="A2086">
        <f>HYPERLINK("https://www.philgeps.gov.ph/GEPSNONPILOT/Tender/SplashBidNoticeAbstractUI.aspx?menuIndex=3&amp;refID=7191095&amp;Result=3","7191095")</f>
        <v>0</v>
      </c>
      <c r="B2086" t="s">
        <v>836</v>
      </c>
      <c r="C2086" t="s">
        <v>5526</v>
      </c>
      <c r="E2086" t="s">
        <v>19086</v>
      </c>
      <c r="F2086" t="s">
        <v>29372</v>
      </c>
      <c r="G2086" t="s">
        <v>29380</v>
      </c>
      <c r="H2086" t="s">
        <v>29389</v>
      </c>
      <c r="I2086" t="s">
        <v>10408</v>
      </c>
      <c r="J2086" t="s">
        <v>30350</v>
      </c>
      <c r="K2086" t="s">
        <v>38485</v>
      </c>
      <c r="M2086" t="s">
        <v>39625</v>
      </c>
      <c r="N2086" t="s">
        <v>42669</v>
      </c>
      <c r="O2086" t="s">
        <v>42670</v>
      </c>
      <c r="P2086">
        <v>0</v>
      </c>
      <c r="Q2086">
        <v>0</v>
      </c>
      <c r="R2086" t="s">
        <v>42674</v>
      </c>
      <c r="S2086" t="s">
        <v>42788</v>
      </c>
      <c r="T2086" t="s">
        <v>44558</v>
      </c>
      <c r="U2086" t="s">
        <v>46566</v>
      </c>
      <c r="W2086" t="s">
        <v>39625</v>
      </c>
      <c r="X2086" t="s">
        <v>42676</v>
      </c>
    </row>
    <row r="2087" spans="1:24">
      <c r="A2087">
        <f>HYPERLINK("https://www.philgeps.gov.ph/GEPSNONPILOT/Tender/SplashBidNoticeAbstractUI.aspx?menuIndex=3&amp;refID=7191053&amp;Result=3","7191053")</f>
        <v>0</v>
      </c>
      <c r="B2087" t="s">
        <v>272</v>
      </c>
      <c r="C2087" t="s">
        <v>4196</v>
      </c>
      <c r="D2087" t="s">
        <v>17206</v>
      </c>
      <c r="E2087" t="s">
        <v>19087</v>
      </c>
      <c r="F2087" t="s">
        <v>29372</v>
      </c>
      <c r="G2087" t="s">
        <v>29379</v>
      </c>
      <c r="H2087" t="s">
        <v>11048</v>
      </c>
      <c r="I2087" t="s">
        <v>29407</v>
      </c>
      <c r="J2087" t="s">
        <v>31019</v>
      </c>
      <c r="K2087" t="s">
        <v>38490</v>
      </c>
      <c r="M2087" t="s">
        <v>39619</v>
      </c>
      <c r="N2087" t="s">
        <v>42669</v>
      </c>
      <c r="O2087" t="s">
        <v>42670</v>
      </c>
      <c r="P2087">
        <v>0</v>
      </c>
      <c r="Q2087">
        <v>6</v>
      </c>
      <c r="R2087" t="s">
        <v>42674</v>
      </c>
      <c r="S2087" t="s">
        <v>42788</v>
      </c>
      <c r="T2087" t="s">
        <v>44386</v>
      </c>
      <c r="U2087" t="s">
        <v>46567</v>
      </c>
      <c r="W2087" t="s">
        <v>39619</v>
      </c>
      <c r="X2087" t="s">
        <v>42676</v>
      </c>
    </row>
    <row r="2088" spans="1:24">
      <c r="A2088">
        <f>HYPERLINK("https://www.philgeps.gov.ph/GEPSNONPILOT/Tender/SplashBidNoticeAbstractUI.aspx?menuIndex=3&amp;refID=7191085&amp;Result=3","7191085")</f>
        <v>0</v>
      </c>
      <c r="B2088" t="s">
        <v>306</v>
      </c>
      <c r="C2088" t="s">
        <v>5527</v>
      </c>
      <c r="D2088" t="s">
        <v>17142</v>
      </c>
      <c r="E2088" t="s">
        <v>19088</v>
      </c>
      <c r="F2088" t="s">
        <v>29372</v>
      </c>
      <c r="G2088" t="s">
        <v>29379</v>
      </c>
      <c r="H2088" t="s">
        <v>29389</v>
      </c>
      <c r="I2088" t="s">
        <v>29453</v>
      </c>
      <c r="J2088" t="s">
        <v>30108</v>
      </c>
      <c r="K2088" t="s">
        <v>38534</v>
      </c>
      <c r="M2088" t="s">
        <v>39626</v>
      </c>
      <c r="N2088" t="s">
        <v>42669</v>
      </c>
      <c r="O2088" t="s">
        <v>42670</v>
      </c>
      <c r="P2088">
        <v>0</v>
      </c>
      <c r="Q2088">
        <v>0</v>
      </c>
      <c r="R2088" t="s">
        <v>42674</v>
      </c>
      <c r="S2088" t="s">
        <v>42788</v>
      </c>
      <c r="T2088" t="s">
        <v>44480</v>
      </c>
      <c r="U2088" t="s">
        <v>46568</v>
      </c>
      <c r="W2088" t="s">
        <v>39626</v>
      </c>
      <c r="X2088" t="s">
        <v>42676</v>
      </c>
    </row>
    <row r="2089" spans="1:24">
      <c r="A2089">
        <f>HYPERLINK("https://www.philgeps.gov.ph/GEPSNONPILOT/Tender/SplashBidNoticeAbstractUI.aspx?menuIndex=3&amp;refID=7191083&amp;Result=3","7191083")</f>
        <v>0</v>
      </c>
      <c r="B2089" t="s">
        <v>837</v>
      </c>
      <c r="C2089" t="s">
        <v>5528</v>
      </c>
      <c r="D2089" t="s">
        <v>17141</v>
      </c>
      <c r="E2089" t="s">
        <v>19089</v>
      </c>
      <c r="F2089" t="s">
        <v>29372</v>
      </c>
      <c r="G2089" t="s">
        <v>29383</v>
      </c>
      <c r="H2089" t="s">
        <v>11048</v>
      </c>
      <c r="I2089" t="s">
        <v>5383</v>
      </c>
      <c r="J2089" t="s">
        <v>29799</v>
      </c>
      <c r="K2089" t="s">
        <v>38490</v>
      </c>
      <c r="M2089" t="s">
        <v>39627</v>
      </c>
      <c r="N2089" t="s">
        <v>42669</v>
      </c>
      <c r="O2089" t="s">
        <v>42670</v>
      </c>
      <c r="P2089">
        <v>0</v>
      </c>
      <c r="Q2089">
        <v>6</v>
      </c>
      <c r="R2089" t="s">
        <v>42674</v>
      </c>
      <c r="S2089" t="s">
        <v>42788</v>
      </c>
      <c r="T2089" t="s">
        <v>44371</v>
      </c>
      <c r="U2089" t="s">
        <v>46569</v>
      </c>
      <c r="W2089" t="s">
        <v>39627</v>
      </c>
      <c r="X2089" t="s">
        <v>42676</v>
      </c>
    </row>
    <row r="2090" spans="1:24">
      <c r="A2090">
        <f>HYPERLINK("https://www.philgeps.gov.ph/GEPSNONPILOT/Tender/SplashBidNoticeAbstractUI.aspx?menuIndex=3&amp;refID=7191079&amp;Result=3","7191079")</f>
        <v>0</v>
      </c>
      <c r="B2090" t="s">
        <v>555</v>
      </c>
      <c r="C2090" t="s">
        <v>5529</v>
      </c>
      <c r="D2090" t="s">
        <v>17151</v>
      </c>
      <c r="E2090" t="s">
        <v>19090</v>
      </c>
      <c r="F2090" t="s">
        <v>29372</v>
      </c>
      <c r="G2090" t="s">
        <v>29380</v>
      </c>
      <c r="H2090" t="s">
        <v>29389</v>
      </c>
      <c r="I2090" t="s">
        <v>10408</v>
      </c>
      <c r="J2090" t="s">
        <v>29543</v>
      </c>
      <c r="K2090" t="s">
        <v>38577</v>
      </c>
      <c r="M2090" t="s">
        <v>39324</v>
      </c>
      <c r="N2090" t="s">
        <v>42669</v>
      </c>
      <c r="O2090" t="s">
        <v>42670</v>
      </c>
      <c r="P2090">
        <v>0</v>
      </c>
      <c r="Q2090">
        <v>4</v>
      </c>
      <c r="R2090" t="s">
        <v>42674</v>
      </c>
      <c r="S2090" t="s">
        <v>42788</v>
      </c>
      <c r="T2090" t="s">
        <v>44396</v>
      </c>
      <c r="U2090" t="s">
        <v>46570</v>
      </c>
      <c r="V2090" t="s">
        <v>56499</v>
      </c>
      <c r="W2090" t="s">
        <v>39324</v>
      </c>
      <c r="X2090" t="s">
        <v>42676</v>
      </c>
    </row>
    <row r="2091" spans="1:24">
      <c r="A2091">
        <f>HYPERLINK("https://www.philgeps.gov.ph/GEPSNONPILOT/Tender/SplashBidNoticeAbstractUI.aspx?menuIndex=3&amp;refID=7191092&amp;Result=3","7191092")</f>
        <v>0</v>
      </c>
      <c r="B2091" t="s">
        <v>838</v>
      </c>
      <c r="C2091" t="s">
        <v>5530</v>
      </c>
      <c r="D2091" t="s">
        <v>17193</v>
      </c>
      <c r="E2091" t="s">
        <v>19091</v>
      </c>
      <c r="F2091" t="s">
        <v>29372</v>
      </c>
      <c r="G2091" t="s">
        <v>29379</v>
      </c>
      <c r="H2091" t="s">
        <v>11048</v>
      </c>
      <c r="I2091" t="s">
        <v>3839</v>
      </c>
      <c r="J2091" t="s">
        <v>29929</v>
      </c>
      <c r="K2091" t="s">
        <v>38485</v>
      </c>
      <c r="M2091" t="s">
        <v>39628</v>
      </c>
      <c r="N2091" t="s">
        <v>42669</v>
      </c>
      <c r="O2091" t="s">
        <v>42670</v>
      </c>
      <c r="P2091">
        <v>0</v>
      </c>
      <c r="Q2091">
        <v>1</v>
      </c>
      <c r="R2091" t="s">
        <v>42674</v>
      </c>
      <c r="S2091" t="s">
        <v>42788</v>
      </c>
      <c r="T2091" t="s">
        <v>44579</v>
      </c>
      <c r="U2091" t="s">
        <v>46571</v>
      </c>
      <c r="V2091" t="s">
        <v>56569</v>
      </c>
      <c r="W2091" t="s">
        <v>58023</v>
      </c>
      <c r="X2091" t="s">
        <v>42676</v>
      </c>
    </row>
    <row r="2092" spans="1:24">
      <c r="A2092">
        <f>HYPERLINK("https://www.philgeps.gov.ph/GEPSNONPILOT/Tender/SplashBidNoticeAbstractUI.aspx?menuIndex=3&amp;refID=7191054&amp;Result=3","7191054")</f>
        <v>0</v>
      </c>
      <c r="B2092" t="s">
        <v>839</v>
      </c>
      <c r="C2092" t="s">
        <v>5531</v>
      </c>
      <c r="D2092" t="s">
        <v>17145</v>
      </c>
      <c r="E2092" t="s">
        <v>19092</v>
      </c>
      <c r="F2092" t="s">
        <v>29372</v>
      </c>
      <c r="G2092" t="s">
        <v>29380</v>
      </c>
      <c r="H2092" t="s">
        <v>11048</v>
      </c>
      <c r="I2092" t="s">
        <v>8614</v>
      </c>
      <c r="J2092" t="s">
        <v>29526</v>
      </c>
      <c r="K2092" t="s">
        <v>38488</v>
      </c>
      <c r="M2092" t="s">
        <v>39629</v>
      </c>
      <c r="N2092" t="s">
        <v>42669</v>
      </c>
      <c r="O2092" t="s">
        <v>42670</v>
      </c>
      <c r="P2092">
        <v>0</v>
      </c>
      <c r="Q2092">
        <v>0</v>
      </c>
      <c r="R2092" t="s">
        <v>42674</v>
      </c>
      <c r="S2092" t="s">
        <v>42788</v>
      </c>
      <c r="T2092" t="s">
        <v>44381</v>
      </c>
      <c r="U2092" t="s">
        <v>46572</v>
      </c>
      <c r="W2092" t="s">
        <v>39629</v>
      </c>
      <c r="X2092" t="s">
        <v>42676</v>
      </c>
    </row>
    <row r="2093" spans="1:24">
      <c r="A2093">
        <f>HYPERLINK("https://www.philgeps.gov.ph/GEPSNONPILOT/Tender/SplashBidNoticeAbstractUI.aspx?menuIndex=3&amp;refID=7191081&amp;Result=3","7191081")</f>
        <v>0</v>
      </c>
      <c r="B2093" t="s">
        <v>840</v>
      </c>
      <c r="C2093" t="s">
        <v>5532</v>
      </c>
      <c r="D2093" t="s">
        <v>17141</v>
      </c>
      <c r="E2093" t="s">
        <v>17252</v>
      </c>
      <c r="F2093" t="s">
        <v>29372</v>
      </c>
      <c r="G2093" t="s">
        <v>29379</v>
      </c>
      <c r="H2093" t="s">
        <v>11048</v>
      </c>
      <c r="I2093" t="s">
        <v>29412</v>
      </c>
      <c r="J2093" t="s">
        <v>29752</v>
      </c>
      <c r="K2093" t="s">
        <v>38488</v>
      </c>
      <c r="M2093" t="s">
        <v>39630</v>
      </c>
      <c r="N2093" t="s">
        <v>42669</v>
      </c>
      <c r="O2093" t="s">
        <v>42670</v>
      </c>
      <c r="P2093">
        <v>0</v>
      </c>
      <c r="Q2093">
        <v>0</v>
      </c>
      <c r="R2093" t="s">
        <v>42674</v>
      </c>
      <c r="S2093" t="s">
        <v>42788</v>
      </c>
      <c r="T2093" t="s">
        <v>44530</v>
      </c>
      <c r="U2093" t="s">
        <v>46573</v>
      </c>
      <c r="W2093" t="s">
        <v>39630</v>
      </c>
      <c r="X2093" t="s">
        <v>42676</v>
      </c>
    </row>
    <row r="2094" spans="1:24">
      <c r="A2094">
        <f>HYPERLINK("https://www.philgeps.gov.ph/GEPSNONPILOT/Tender/SplashBidNoticeAbstractUI.aspx?menuIndex=3&amp;refID=7191138&amp;Result=3","7191138")</f>
        <v>0</v>
      </c>
      <c r="B2094" t="s">
        <v>841</v>
      </c>
      <c r="C2094" t="s">
        <v>5533</v>
      </c>
      <c r="D2094" t="s">
        <v>17142</v>
      </c>
      <c r="E2094" t="s">
        <v>19093</v>
      </c>
      <c r="F2094" t="s">
        <v>29372</v>
      </c>
      <c r="G2094" t="s">
        <v>29379</v>
      </c>
      <c r="H2094" t="s">
        <v>11048</v>
      </c>
      <c r="I2094" t="s">
        <v>29403</v>
      </c>
      <c r="J2094" t="s">
        <v>31020</v>
      </c>
      <c r="K2094" t="s">
        <v>38490</v>
      </c>
      <c r="M2094" t="s">
        <v>39631</v>
      </c>
      <c r="N2094" t="s">
        <v>42669</v>
      </c>
      <c r="O2094" t="s">
        <v>42670</v>
      </c>
      <c r="P2094">
        <v>0</v>
      </c>
      <c r="Q2094">
        <v>0</v>
      </c>
      <c r="R2094" t="s">
        <v>42674</v>
      </c>
      <c r="S2094" t="s">
        <v>42788</v>
      </c>
      <c r="T2094" t="s">
        <v>44399</v>
      </c>
      <c r="U2094" t="s">
        <v>46574</v>
      </c>
      <c r="W2094" t="s">
        <v>39631</v>
      </c>
      <c r="X2094" t="s">
        <v>42676</v>
      </c>
    </row>
    <row r="2095" spans="1:24">
      <c r="A2095">
        <f>HYPERLINK("https://www.philgeps.gov.ph/GEPSNONPILOT/Tender/SplashBidNoticeAbstractUI.aspx?menuIndex=3&amp;refID=7191093&amp;Result=3","7191093")</f>
        <v>0</v>
      </c>
      <c r="B2095" t="s">
        <v>842</v>
      </c>
      <c r="C2095" t="s">
        <v>5534</v>
      </c>
      <c r="D2095" t="s">
        <v>17205</v>
      </c>
      <c r="E2095" t="s">
        <v>17571</v>
      </c>
      <c r="F2095" t="s">
        <v>29372</v>
      </c>
      <c r="G2095" t="s">
        <v>29380</v>
      </c>
      <c r="H2095" t="s">
        <v>11048</v>
      </c>
      <c r="I2095" t="s">
        <v>5383</v>
      </c>
      <c r="J2095" t="s">
        <v>31021</v>
      </c>
      <c r="K2095" t="s">
        <v>38489</v>
      </c>
      <c r="M2095" t="s">
        <v>39632</v>
      </c>
      <c r="N2095" t="s">
        <v>42669</v>
      </c>
      <c r="O2095" t="s">
        <v>42670</v>
      </c>
      <c r="P2095">
        <v>0</v>
      </c>
      <c r="Q2095">
        <v>6</v>
      </c>
      <c r="R2095" t="s">
        <v>42674</v>
      </c>
      <c r="S2095" t="s">
        <v>42788</v>
      </c>
      <c r="T2095" t="s">
        <v>44543</v>
      </c>
      <c r="U2095" t="s">
        <v>46575</v>
      </c>
      <c r="W2095" t="s">
        <v>39632</v>
      </c>
      <c r="X2095" t="s">
        <v>42676</v>
      </c>
    </row>
    <row r="2096" spans="1:24">
      <c r="A2096">
        <f>HYPERLINK("https://www.philgeps.gov.ph/GEPSNONPILOT/Tender/SplashBidNoticeAbstractUI.aspx?menuIndex=3&amp;refID=7191106&amp;Result=3","7191106")</f>
        <v>0</v>
      </c>
      <c r="B2096" t="s">
        <v>843</v>
      </c>
      <c r="C2096" t="s">
        <v>5535</v>
      </c>
      <c r="D2096" t="s">
        <v>17162</v>
      </c>
      <c r="E2096" t="s">
        <v>17714</v>
      </c>
      <c r="F2096" t="s">
        <v>29372</v>
      </c>
      <c r="G2096" t="s">
        <v>29383</v>
      </c>
      <c r="H2096" t="s">
        <v>11048</v>
      </c>
      <c r="I2096" t="s">
        <v>4487</v>
      </c>
      <c r="J2096" t="s">
        <v>31022</v>
      </c>
      <c r="K2096" t="s">
        <v>38510</v>
      </c>
      <c r="M2096" t="s">
        <v>39633</v>
      </c>
      <c r="N2096" t="s">
        <v>42669</v>
      </c>
      <c r="O2096" t="s">
        <v>42670</v>
      </c>
      <c r="P2096">
        <v>0</v>
      </c>
      <c r="Q2096">
        <v>2</v>
      </c>
      <c r="R2096" t="s">
        <v>42674</v>
      </c>
      <c r="S2096" t="s">
        <v>42788</v>
      </c>
      <c r="T2096" t="s">
        <v>44432</v>
      </c>
      <c r="U2096" t="s">
        <v>46576</v>
      </c>
      <c r="W2096" t="s">
        <v>39633</v>
      </c>
      <c r="X2096" t="s">
        <v>42676</v>
      </c>
    </row>
    <row r="2097" spans="1:24">
      <c r="A2097">
        <f>HYPERLINK("https://www.philgeps.gov.ph/GEPSNONPILOT/Tender/SplashBidNoticeAbstractUI.aspx?menuIndex=3&amp;refID=7191139&amp;Result=3","7191139")</f>
        <v>0</v>
      </c>
      <c r="B2097" t="s">
        <v>844</v>
      </c>
      <c r="C2097" t="s">
        <v>5536</v>
      </c>
      <c r="D2097" t="s">
        <v>17218</v>
      </c>
      <c r="E2097" t="s">
        <v>19094</v>
      </c>
      <c r="F2097" t="s">
        <v>29372</v>
      </c>
      <c r="G2097" t="s">
        <v>29379</v>
      </c>
      <c r="H2097" t="s">
        <v>11048</v>
      </c>
      <c r="I2097" t="s">
        <v>3670</v>
      </c>
      <c r="J2097" t="s">
        <v>31023</v>
      </c>
      <c r="K2097" t="s">
        <v>38491</v>
      </c>
      <c r="M2097" t="s">
        <v>39634</v>
      </c>
      <c r="N2097" t="s">
        <v>42669</v>
      </c>
      <c r="O2097" t="s">
        <v>42670</v>
      </c>
      <c r="P2097">
        <v>0</v>
      </c>
      <c r="Q2097">
        <v>0</v>
      </c>
      <c r="R2097" t="s">
        <v>42674</v>
      </c>
      <c r="S2097" t="s">
        <v>42788</v>
      </c>
      <c r="T2097" t="s">
        <v>44387</v>
      </c>
      <c r="U2097" t="s">
        <v>46577</v>
      </c>
      <c r="W2097" t="s">
        <v>39634</v>
      </c>
      <c r="X2097" t="s">
        <v>42676</v>
      </c>
    </row>
    <row r="2098" spans="1:24">
      <c r="A2098">
        <f>HYPERLINK("https://www.philgeps.gov.ph/GEPSNONPILOT/Tender/SplashBidNoticeAbstractUI.aspx?menuIndex=3&amp;refID=7191026&amp;Result=3","7191026")</f>
        <v>0</v>
      </c>
      <c r="B2098" t="s">
        <v>845</v>
      </c>
      <c r="C2098" t="s">
        <v>5537</v>
      </c>
      <c r="D2098" t="s">
        <v>17168</v>
      </c>
      <c r="E2098" t="s">
        <v>19095</v>
      </c>
      <c r="F2098" t="s">
        <v>29372</v>
      </c>
      <c r="G2098" t="s">
        <v>29380</v>
      </c>
      <c r="H2098" t="s">
        <v>29389</v>
      </c>
      <c r="I2098" t="s">
        <v>10408</v>
      </c>
      <c r="J2098" t="s">
        <v>31024</v>
      </c>
      <c r="K2098" t="s">
        <v>38510</v>
      </c>
      <c r="M2098" t="s">
        <v>39635</v>
      </c>
      <c r="N2098" t="s">
        <v>42669</v>
      </c>
      <c r="O2098" t="s">
        <v>42670</v>
      </c>
      <c r="P2098">
        <v>0</v>
      </c>
      <c r="Q2098">
        <v>0</v>
      </c>
      <c r="R2098" t="s">
        <v>42674</v>
      </c>
      <c r="S2098" t="s">
        <v>42788</v>
      </c>
      <c r="T2098" t="s">
        <v>44525</v>
      </c>
      <c r="U2098" t="s">
        <v>46578</v>
      </c>
      <c r="V2098" t="s">
        <v>56566</v>
      </c>
      <c r="W2098" t="s">
        <v>39635</v>
      </c>
      <c r="X2098" t="s">
        <v>42676</v>
      </c>
    </row>
    <row r="2099" spans="1:24">
      <c r="A2099">
        <f>HYPERLINK("https://www.philgeps.gov.ph/GEPSNONPILOT/Tender/SplashBidNoticeAbstractUI.aspx?menuIndex=3&amp;refID=7191130&amp;Result=3","7191130")</f>
        <v>0</v>
      </c>
      <c r="B2099" t="s">
        <v>846</v>
      </c>
      <c r="C2099" t="s">
        <v>5538</v>
      </c>
      <c r="D2099" t="s">
        <v>17174</v>
      </c>
      <c r="E2099" t="s">
        <v>19096</v>
      </c>
      <c r="F2099" t="s">
        <v>29373</v>
      </c>
      <c r="G2099" t="s">
        <v>29380</v>
      </c>
      <c r="H2099" t="s">
        <v>11048</v>
      </c>
      <c r="I2099" t="s">
        <v>4709</v>
      </c>
      <c r="J2099" t="s">
        <v>31025</v>
      </c>
      <c r="K2099" t="s">
        <v>38488</v>
      </c>
      <c r="M2099" t="s">
        <v>39636</v>
      </c>
      <c r="N2099" t="s">
        <v>42669</v>
      </c>
      <c r="O2099" t="s">
        <v>42670</v>
      </c>
      <c r="P2099">
        <v>0</v>
      </c>
      <c r="Q2099">
        <v>0</v>
      </c>
      <c r="R2099" t="s">
        <v>42674</v>
      </c>
      <c r="S2099" t="s">
        <v>42788</v>
      </c>
      <c r="T2099" t="s">
        <v>44510</v>
      </c>
      <c r="U2099" t="s">
        <v>46579</v>
      </c>
      <c r="W2099" t="s">
        <v>39636</v>
      </c>
      <c r="X2099" t="s">
        <v>42676</v>
      </c>
    </row>
    <row r="2100" spans="1:24">
      <c r="A2100">
        <f>HYPERLINK("https://www.philgeps.gov.ph/GEPSNONPILOT/Tender/SplashBidNoticeAbstractUI.aspx?menuIndex=3&amp;refID=7191129&amp;Result=3","7191129")</f>
        <v>0</v>
      </c>
      <c r="B2100" t="s">
        <v>847</v>
      </c>
      <c r="C2100" t="s">
        <v>5539</v>
      </c>
      <c r="D2100" t="s">
        <v>17189</v>
      </c>
      <c r="E2100" t="s">
        <v>17344</v>
      </c>
      <c r="F2100" t="s">
        <v>29372</v>
      </c>
      <c r="G2100" t="s">
        <v>29383</v>
      </c>
      <c r="H2100" t="s">
        <v>11048</v>
      </c>
      <c r="I2100" t="s">
        <v>29412</v>
      </c>
      <c r="J2100" t="s">
        <v>29590</v>
      </c>
      <c r="K2100" t="s">
        <v>38534</v>
      </c>
      <c r="M2100" t="s">
        <v>39637</v>
      </c>
      <c r="N2100" t="s">
        <v>42669</v>
      </c>
      <c r="O2100" t="s">
        <v>42670</v>
      </c>
      <c r="P2100">
        <v>0</v>
      </c>
      <c r="Q2100">
        <v>1</v>
      </c>
      <c r="R2100" t="s">
        <v>42674</v>
      </c>
      <c r="S2100" t="s">
        <v>42788</v>
      </c>
      <c r="T2100" t="s">
        <v>44451</v>
      </c>
      <c r="U2100" t="s">
        <v>46580</v>
      </c>
      <c r="W2100" t="s">
        <v>39637</v>
      </c>
      <c r="X2100" t="s">
        <v>42676</v>
      </c>
    </row>
    <row r="2101" spans="1:24">
      <c r="A2101">
        <f>HYPERLINK("https://www.philgeps.gov.ph/GEPSNONPILOT/Tender/SplashBidNoticeAbstractUI.aspx?menuIndex=3&amp;refID=7191137&amp;Result=3","7191137")</f>
        <v>0</v>
      </c>
      <c r="B2101" t="s">
        <v>848</v>
      </c>
      <c r="C2101" t="s">
        <v>5540</v>
      </c>
      <c r="D2101" t="s">
        <v>17144</v>
      </c>
      <c r="E2101" t="s">
        <v>19097</v>
      </c>
      <c r="F2101" t="s">
        <v>29372</v>
      </c>
      <c r="G2101" t="s">
        <v>29380</v>
      </c>
      <c r="H2101" t="s">
        <v>11048</v>
      </c>
      <c r="I2101" t="s">
        <v>4709</v>
      </c>
      <c r="J2101" t="s">
        <v>31026</v>
      </c>
      <c r="K2101" t="s">
        <v>38490</v>
      </c>
      <c r="M2101" t="s">
        <v>39638</v>
      </c>
      <c r="N2101" t="s">
        <v>42669</v>
      </c>
      <c r="O2101" t="s">
        <v>42670</v>
      </c>
      <c r="P2101">
        <v>0</v>
      </c>
      <c r="Q2101">
        <v>1</v>
      </c>
      <c r="R2101" t="s">
        <v>42674</v>
      </c>
      <c r="S2101" t="s">
        <v>42788</v>
      </c>
      <c r="T2101" t="s">
        <v>44543</v>
      </c>
      <c r="U2101" t="s">
        <v>46581</v>
      </c>
      <c r="W2101" t="s">
        <v>39638</v>
      </c>
      <c r="X2101" t="s">
        <v>42676</v>
      </c>
    </row>
    <row r="2102" spans="1:24">
      <c r="A2102">
        <f>HYPERLINK("https://www.philgeps.gov.ph/GEPSNONPILOT/Tender/SplashBidNoticeAbstractUI.aspx?menuIndex=3&amp;refID=7191131&amp;Result=3","7191131")</f>
        <v>0</v>
      </c>
      <c r="B2102" t="s">
        <v>836</v>
      </c>
      <c r="C2102" t="s">
        <v>5541</v>
      </c>
      <c r="D2102" t="s">
        <v>17160</v>
      </c>
      <c r="E2102" t="s">
        <v>19098</v>
      </c>
      <c r="F2102" t="s">
        <v>29372</v>
      </c>
      <c r="G2102" t="s">
        <v>29380</v>
      </c>
      <c r="H2102" t="s">
        <v>29389</v>
      </c>
      <c r="I2102" t="s">
        <v>10408</v>
      </c>
      <c r="J2102" t="s">
        <v>31027</v>
      </c>
      <c r="K2102" t="s">
        <v>38488</v>
      </c>
      <c r="M2102" t="s">
        <v>39625</v>
      </c>
      <c r="N2102" t="s">
        <v>42669</v>
      </c>
      <c r="O2102" t="s">
        <v>42670</v>
      </c>
      <c r="P2102">
        <v>0</v>
      </c>
      <c r="Q2102">
        <v>0</v>
      </c>
      <c r="R2102" t="s">
        <v>42674</v>
      </c>
      <c r="S2102" t="s">
        <v>42788</v>
      </c>
      <c r="T2102" t="s">
        <v>44558</v>
      </c>
      <c r="U2102" t="s">
        <v>46582</v>
      </c>
      <c r="W2102" t="s">
        <v>39625</v>
      </c>
      <c r="X2102" t="s">
        <v>42676</v>
      </c>
    </row>
    <row r="2103" spans="1:24">
      <c r="A2103">
        <f>HYPERLINK("https://www.philgeps.gov.ph/GEPSNONPILOT/Tender/SplashBidNoticeAbstractUI.aspx?menuIndex=3&amp;refID=7191125&amp;Result=3","7191125")</f>
        <v>0</v>
      </c>
      <c r="B2103" t="s">
        <v>849</v>
      </c>
      <c r="C2103" t="s">
        <v>5542</v>
      </c>
      <c r="D2103" t="s">
        <v>17181</v>
      </c>
      <c r="E2103" t="s">
        <v>19099</v>
      </c>
      <c r="F2103" t="s">
        <v>29372</v>
      </c>
      <c r="G2103" t="s">
        <v>29379</v>
      </c>
      <c r="H2103" t="s">
        <v>11048</v>
      </c>
      <c r="I2103" t="s">
        <v>3839</v>
      </c>
      <c r="J2103" t="s">
        <v>29625</v>
      </c>
      <c r="K2103" t="s">
        <v>38485</v>
      </c>
      <c r="M2103" t="s">
        <v>39639</v>
      </c>
      <c r="N2103" t="s">
        <v>42669</v>
      </c>
      <c r="O2103" t="s">
        <v>42670</v>
      </c>
      <c r="P2103">
        <v>0</v>
      </c>
      <c r="Q2103">
        <v>3</v>
      </c>
      <c r="R2103" t="s">
        <v>42674</v>
      </c>
      <c r="S2103" t="s">
        <v>42788</v>
      </c>
      <c r="T2103" t="s">
        <v>44580</v>
      </c>
      <c r="U2103" t="s">
        <v>46583</v>
      </c>
      <c r="W2103" t="s">
        <v>39639</v>
      </c>
      <c r="X2103" t="s">
        <v>42676</v>
      </c>
    </row>
    <row r="2104" spans="1:24">
      <c r="A2104">
        <f>HYPERLINK("https://www.philgeps.gov.ph/GEPSNONPILOT/Tender/SplashBidNoticeAbstractUI.aspx?menuIndex=3&amp;refID=7191191&amp;Result=3","7191191")</f>
        <v>0</v>
      </c>
      <c r="B2104" t="s">
        <v>850</v>
      </c>
      <c r="C2104" t="s">
        <v>5543</v>
      </c>
      <c r="D2104" t="s">
        <v>17144</v>
      </c>
      <c r="E2104" t="s">
        <v>19100</v>
      </c>
      <c r="F2104" t="s">
        <v>29372</v>
      </c>
      <c r="G2104" t="s">
        <v>29379</v>
      </c>
      <c r="H2104" t="s">
        <v>11048</v>
      </c>
      <c r="I2104" t="s">
        <v>5383</v>
      </c>
      <c r="J2104" t="s">
        <v>31028</v>
      </c>
      <c r="K2104" t="s">
        <v>38491</v>
      </c>
      <c r="M2104" t="s">
        <v>39640</v>
      </c>
      <c r="N2104" t="s">
        <v>42669</v>
      </c>
      <c r="O2104" t="s">
        <v>42670</v>
      </c>
      <c r="P2104">
        <v>0</v>
      </c>
      <c r="Q2104">
        <v>1</v>
      </c>
      <c r="R2104" t="s">
        <v>42674</v>
      </c>
      <c r="S2104" t="s">
        <v>42788</v>
      </c>
      <c r="T2104" t="s">
        <v>44581</v>
      </c>
      <c r="U2104" t="s">
        <v>46584</v>
      </c>
      <c r="W2104" t="s">
        <v>39640</v>
      </c>
      <c r="X2104" t="s">
        <v>42676</v>
      </c>
    </row>
    <row r="2105" spans="1:24">
      <c r="A2105">
        <f>HYPERLINK("https://www.philgeps.gov.ph/GEPSNONPILOT/Tender/SplashBidNoticeAbstractUI.aspx?menuIndex=3&amp;refID=7191184&amp;Result=3","7191184")</f>
        <v>0</v>
      </c>
      <c r="B2105" t="s">
        <v>849</v>
      </c>
      <c r="C2105" t="s">
        <v>5544</v>
      </c>
      <c r="D2105" t="s">
        <v>17181</v>
      </c>
      <c r="E2105" t="s">
        <v>19101</v>
      </c>
      <c r="F2105" t="s">
        <v>29372</v>
      </c>
      <c r="G2105" t="s">
        <v>29379</v>
      </c>
      <c r="H2105" t="s">
        <v>11048</v>
      </c>
      <c r="I2105" t="s">
        <v>5383</v>
      </c>
      <c r="J2105" t="s">
        <v>31029</v>
      </c>
      <c r="K2105" t="s">
        <v>38485</v>
      </c>
      <c r="M2105" t="s">
        <v>39639</v>
      </c>
      <c r="N2105" t="s">
        <v>42669</v>
      </c>
      <c r="O2105" t="s">
        <v>42670</v>
      </c>
      <c r="P2105">
        <v>0</v>
      </c>
      <c r="Q2105">
        <v>2</v>
      </c>
      <c r="R2105" t="s">
        <v>42674</v>
      </c>
      <c r="S2105" t="s">
        <v>42788</v>
      </c>
      <c r="T2105" t="s">
        <v>44580</v>
      </c>
      <c r="U2105" t="s">
        <v>46585</v>
      </c>
      <c r="W2105" t="s">
        <v>39639</v>
      </c>
      <c r="X2105" t="s">
        <v>42676</v>
      </c>
    </row>
    <row r="2106" spans="1:24">
      <c r="A2106">
        <f>HYPERLINK("https://www.philgeps.gov.ph/GEPSNONPILOT/Tender/SplashBidNoticeAbstractUI.aspx?menuIndex=3&amp;refID=7191136&amp;Result=3","7191136")</f>
        <v>0</v>
      </c>
      <c r="B2106" t="s">
        <v>851</v>
      </c>
      <c r="C2106" t="s">
        <v>5545</v>
      </c>
      <c r="D2106" t="s">
        <v>17160</v>
      </c>
      <c r="E2106" t="s">
        <v>19102</v>
      </c>
      <c r="F2106" t="s">
        <v>29372</v>
      </c>
      <c r="G2106" t="s">
        <v>29379</v>
      </c>
      <c r="H2106" t="s">
        <v>11048</v>
      </c>
      <c r="I2106" t="s">
        <v>29407</v>
      </c>
      <c r="J2106" t="s">
        <v>31030</v>
      </c>
      <c r="K2106" t="s">
        <v>38510</v>
      </c>
      <c r="M2106" t="s">
        <v>39641</v>
      </c>
      <c r="N2106" t="s">
        <v>42669</v>
      </c>
      <c r="O2106" t="s">
        <v>42670</v>
      </c>
      <c r="P2106">
        <v>0</v>
      </c>
      <c r="Q2106">
        <v>1</v>
      </c>
      <c r="R2106" t="s">
        <v>42674</v>
      </c>
      <c r="S2106" t="s">
        <v>42788</v>
      </c>
      <c r="T2106" t="s">
        <v>44456</v>
      </c>
      <c r="U2106" t="s">
        <v>46586</v>
      </c>
      <c r="W2106" t="s">
        <v>39641</v>
      </c>
      <c r="X2106" t="s">
        <v>42676</v>
      </c>
    </row>
    <row r="2107" spans="1:24">
      <c r="A2107">
        <f>HYPERLINK("https://www.philgeps.gov.ph/GEPSNONPILOT/Tender/SplashBidNoticeAbstractUI.aspx?menuIndex=3&amp;refID=7191183&amp;Result=3","7191183")</f>
        <v>0</v>
      </c>
      <c r="B2107" t="s">
        <v>671</v>
      </c>
      <c r="C2107" t="s">
        <v>5546</v>
      </c>
      <c r="D2107" t="s">
        <v>17224</v>
      </c>
      <c r="E2107" t="s">
        <v>19103</v>
      </c>
      <c r="F2107" t="s">
        <v>29372</v>
      </c>
      <c r="G2107" t="s">
        <v>29381</v>
      </c>
      <c r="H2107" t="s">
        <v>11048</v>
      </c>
      <c r="I2107" t="s">
        <v>29394</v>
      </c>
      <c r="J2107" t="s">
        <v>31031</v>
      </c>
      <c r="K2107" t="s">
        <v>38490</v>
      </c>
      <c r="M2107" t="s">
        <v>39509</v>
      </c>
      <c r="N2107" t="s">
        <v>42669</v>
      </c>
      <c r="O2107" t="s">
        <v>42670</v>
      </c>
      <c r="P2107">
        <v>0</v>
      </c>
      <c r="Q2107">
        <v>1</v>
      </c>
      <c r="R2107" t="s">
        <v>42674</v>
      </c>
      <c r="S2107" t="s">
        <v>42788</v>
      </c>
      <c r="T2107" t="s">
        <v>44480</v>
      </c>
      <c r="U2107" t="s">
        <v>46587</v>
      </c>
      <c r="W2107" t="s">
        <v>39509</v>
      </c>
      <c r="X2107" t="s">
        <v>42676</v>
      </c>
    </row>
    <row r="2108" spans="1:24">
      <c r="A2108">
        <f>HYPERLINK("https://www.philgeps.gov.ph/GEPSNONPILOT/Tender/SplashBidNoticeAbstractUI.aspx?menuIndex=3&amp;refID=7191182&amp;Result=3","7191182")</f>
        <v>0</v>
      </c>
      <c r="B2108" t="s">
        <v>852</v>
      </c>
      <c r="C2108" t="s">
        <v>5547</v>
      </c>
      <c r="D2108" t="s">
        <v>17190</v>
      </c>
      <c r="E2108" t="s">
        <v>19104</v>
      </c>
      <c r="F2108" t="s">
        <v>29372</v>
      </c>
      <c r="G2108" t="s">
        <v>29380</v>
      </c>
      <c r="H2108" t="s">
        <v>29389</v>
      </c>
      <c r="I2108" t="s">
        <v>10408</v>
      </c>
      <c r="J2108" t="s">
        <v>31032</v>
      </c>
      <c r="K2108" t="s">
        <v>38522</v>
      </c>
      <c r="M2108" t="s">
        <v>39642</v>
      </c>
      <c r="N2108" t="s">
        <v>42669</v>
      </c>
      <c r="O2108" t="s">
        <v>42670</v>
      </c>
      <c r="P2108">
        <v>0</v>
      </c>
      <c r="Q2108">
        <v>2</v>
      </c>
      <c r="R2108" t="s">
        <v>42674</v>
      </c>
      <c r="S2108" t="s">
        <v>42788</v>
      </c>
      <c r="T2108" t="s">
        <v>44582</v>
      </c>
      <c r="U2108" t="s">
        <v>46588</v>
      </c>
      <c r="W2108" t="s">
        <v>39642</v>
      </c>
      <c r="X2108" t="s">
        <v>42676</v>
      </c>
    </row>
    <row r="2109" spans="1:24">
      <c r="A2109">
        <f>HYPERLINK("https://www.philgeps.gov.ph/GEPSNONPILOT/Tender/SplashBidNoticeAbstractUI.aspx?menuIndex=3&amp;refID=7191126&amp;Result=3","7191126")</f>
        <v>0</v>
      </c>
      <c r="B2109" t="s">
        <v>844</v>
      </c>
      <c r="C2109" t="s">
        <v>5548</v>
      </c>
      <c r="D2109" t="s">
        <v>17184</v>
      </c>
      <c r="E2109" t="s">
        <v>19105</v>
      </c>
      <c r="F2109" t="s">
        <v>29372</v>
      </c>
      <c r="G2109" t="s">
        <v>29379</v>
      </c>
      <c r="H2109" t="s">
        <v>11048</v>
      </c>
      <c r="I2109" t="s">
        <v>3670</v>
      </c>
      <c r="J2109" t="s">
        <v>31033</v>
      </c>
      <c r="K2109" t="s">
        <v>38491</v>
      </c>
      <c r="M2109" t="s">
        <v>39634</v>
      </c>
      <c r="N2109" t="s">
        <v>42669</v>
      </c>
      <c r="O2109" t="s">
        <v>42670</v>
      </c>
      <c r="P2109">
        <v>0</v>
      </c>
      <c r="Q2109">
        <v>0</v>
      </c>
      <c r="R2109" t="s">
        <v>42674</v>
      </c>
      <c r="S2109" t="s">
        <v>42788</v>
      </c>
      <c r="T2109" t="s">
        <v>44387</v>
      </c>
      <c r="U2109" t="s">
        <v>46577</v>
      </c>
      <c r="W2109" t="s">
        <v>39634</v>
      </c>
      <c r="X2109" t="s">
        <v>42676</v>
      </c>
    </row>
    <row r="2110" spans="1:24">
      <c r="A2110">
        <f>HYPERLINK("https://www.philgeps.gov.ph/GEPSNONPILOT/Tender/SplashBidNoticeAbstractUI.aspx?menuIndex=3&amp;refID=7191175&amp;Result=3","7191175")</f>
        <v>0</v>
      </c>
      <c r="B2110" t="s">
        <v>555</v>
      </c>
      <c r="C2110" t="s">
        <v>5549</v>
      </c>
      <c r="D2110" t="s">
        <v>17151</v>
      </c>
      <c r="E2110" t="s">
        <v>19106</v>
      </c>
      <c r="F2110" t="s">
        <v>29372</v>
      </c>
      <c r="G2110" t="s">
        <v>29380</v>
      </c>
      <c r="H2110" t="s">
        <v>11048</v>
      </c>
      <c r="I2110" t="s">
        <v>9469</v>
      </c>
      <c r="J2110" t="s">
        <v>31034</v>
      </c>
      <c r="K2110" t="s">
        <v>38496</v>
      </c>
      <c r="M2110" t="s">
        <v>39324</v>
      </c>
      <c r="N2110" t="s">
        <v>42669</v>
      </c>
      <c r="O2110" t="s">
        <v>42670</v>
      </c>
      <c r="P2110">
        <v>0</v>
      </c>
      <c r="Q2110">
        <v>1</v>
      </c>
      <c r="R2110" t="s">
        <v>42674</v>
      </c>
      <c r="S2110" t="s">
        <v>42788</v>
      </c>
      <c r="T2110" t="s">
        <v>44440</v>
      </c>
      <c r="U2110" t="s">
        <v>46589</v>
      </c>
      <c r="V2110" t="s">
        <v>56499</v>
      </c>
      <c r="W2110" t="s">
        <v>39324</v>
      </c>
      <c r="X2110" t="s">
        <v>42676</v>
      </c>
    </row>
    <row r="2111" spans="1:24">
      <c r="A2111">
        <f>HYPERLINK("https://www.philgeps.gov.ph/GEPSNONPILOT/Tender/SplashBidNoticeAbstractUI.aspx?menuIndex=3&amp;refID=7191174&amp;Result=3","7191174")</f>
        <v>0</v>
      </c>
      <c r="B2111" t="s">
        <v>844</v>
      </c>
      <c r="C2111" t="s">
        <v>5550</v>
      </c>
      <c r="D2111" t="s">
        <v>17219</v>
      </c>
      <c r="E2111" t="s">
        <v>19107</v>
      </c>
      <c r="F2111" t="s">
        <v>29372</v>
      </c>
      <c r="G2111" t="s">
        <v>29379</v>
      </c>
      <c r="H2111" t="s">
        <v>11048</v>
      </c>
      <c r="I2111" t="s">
        <v>29394</v>
      </c>
      <c r="J2111" t="s">
        <v>31035</v>
      </c>
      <c r="K2111" t="s">
        <v>38485</v>
      </c>
      <c r="M2111" t="s">
        <v>39634</v>
      </c>
      <c r="N2111" t="s">
        <v>42669</v>
      </c>
      <c r="O2111" t="s">
        <v>42670</v>
      </c>
      <c r="P2111">
        <v>0</v>
      </c>
      <c r="Q2111">
        <v>1</v>
      </c>
      <c r="R2111" t="s">
        <v>42674</v>
      </c>
      <c r="S2111" t="s">
        <v>42788</v>
      </c>
      <c r="T2111" t="s">
        <v>44387</v>
      </c>
      <c r="U2111" t="s">
        <v>46577</v>
      </c>
      <c r="W2111" t="s">
        <v>39634</v>
      </c>
      <c r="X2111" t="s">
        <v>42676</v>
      </c>
    </row>
    <row r="2112" spans="1:24">
      <c r="A2112">
        <f>HYPERLINK("https://www.philgeps.gov.ph/GEPSNONPILOT/Tender/SplashBidNoticeAbstractUI.aspx?menuIndex=3&amp;refID=7191173&amp;Result=3","7191173")</f>
        <v>0</v>
      </c>
      <c r="B2112" t="s">
        <v>853</v>
      </c>
      <c r="C2112" t="s">
        <v>5551</v>
      </c>
      <c r="D2112" t="s">
        <v>17160</v>
      </c>
      <c r="E2112" t="s">
        <v>18741</v>
      </c>
      <c r="F2112" t="s">
        <v>29372</v>
      </c>
      <c r="G2112" t="s">
        <v>29383</v>
      </c>
      <c r="H2112" t="s">
        <v>11048</v>
      </c>
      <c r="I2112" t="s">
        <v>29410</v>
      </c>
      <c r="J2112" t="s">
        <v>31036</v>
      </c>
      <c r="K2112" t="s">
        <v>38524</v>
      </c>
      <c r="M2112" t="s">
        <v>39643</v>
      </c>
      <c r="N2112" t="s">
        <v>42669</v>
      </c>
      <c r="O2112" t="s">
        <v>42670</v>
      </c>
      <c r="P2112">
        <v>0</v>
      </c>
      <c r="Q2112">
        <v>2</v>
      </c>
      <c r="R2112" t="s">
        <v>42674</v>
      </c>
      <c r="S2112" t="s">
        <v>42788</v>
      </c>
      <c r="T2112" t="s">
        <v>44432</v>
      </c>
      <c r="U2112" t="s">
        <v>46590</v>
      </c>
      <c r="W2112" t="s">
        <v>39643</v>
      </c>
      <c r="X2112" t="s">
        <v>42676</v>
      </c>
    </row>
    <row r="2113" spans="1:24">
      <c r="A2113">
        <f>HYPERLINK("https://www.philgeps.gov.ph/GEPSNONPILOT/Tender/SplashBidNoticeAbstractUI.aspx?menuIndex=3&amp;refID=7191168&amp;Result=3","7191168")</f>
        <v>0</v>
      </c>
      <c r="B2113" t="s">
        <v>87</v>
      </c>
      <c r="C2113" t="s">
        <v>5552</v>
      </c>
      <c r="D2113" t="s">
        <v>17163</v>
      </c>
      <c r="E2113" t="s">
        <v>19108</v>
      </c>
      <c r="F2113" t="s">
        <v>29372</v>
      </c>
      <c r="G2113" t="s">
        <v>29383</v>
      </c>
      <c r="H2113" t="s">
        <v>29389</v>
      </c>
      <c r="I2113" t="s">
        <v>10408</v>
      </c>
      <c r="J2113" t="s">
        <v>31037</v>
      </c>
      <c r="K2113" t="s">
        <v>38491</v>
      </c>
      <c r="M2113" t="s">
        <v>38841</v>
      </c>
      <c r="N2113" t="s">
        <v>42669</v>
      </c>
      <c r="O2113" t="s">
        <v>42670</v>
      </c>
      <c r="P2113">
        <v>0</v>
      </c>
      <c r="Q2113">
        <v>0</v>
      </c>
      <c r="R2113" t="s">
        <v>42674</v>
      </c>
      <c r="S2113" t="s">
        <v>42788</v>
      </c>
      <c r="T2113" t="s">
        <v>44391</v>
      </c>
      <c r="U2113" t="s">
        <v>46591</v>
      </c>
      <c r="W2113" t="s">
        <v>38841</v>
      </c>
      <c r="X2113" t="s">
        <v>42676</v>
      </c>
    </row>
    <row r="2114" spans="1:24">
      <c r="A2114">
        <f>HYPERLINK("https://www.philgeps.gov.ph/GEPSNONPILOT/Tender/SplashBidNoticeAbstractUI.aspx?menuIndex=3&amp;refID=7191166&amp;Result=3","7191166")</f>
        <v>0</v>
      </c>
      <c r="B2114" t="s">
        <v>732</v>
      </c>
      <c r="C2114" t="s">
        <v>5553</v>
      </c>
      <c r="D2114" t="s">
        <v>17162</v>
      </c>
      <c r="E2114" t="s">
        <v>19109</v>
      </c>
      <c r="F2114" t="s">
        <v>29372</v>
      </c>
      <c r="G2114" t="s">
        <v>29382</v>
      </c>
      <c r="H2114" t="s">
        <v>11048</v>
      </c>
      <c r="I2114" t="s">
        <v>4487</v>
      </c>
      <c r="J2114" t="s">
        <v>29680</v>
      </c>
      <c r="K2114" t="s">
        <v>38510</v>
      </c>
      <c r="M2114" t="s">
        <v>39513</v>
      </c>
      <c r="N2114" t="s">
        <v>42669</v>
      </c>
      <c r="O2114" t="s">
        <v>42670</v>
      </c>
      <c r="P2114">
        <v>0</v>
      </c>
      <c r="Q2114">
        <v>2</v>
      </c>
      <c r="R2114" t="s">
        <v>42674</v>
      </c>
      <c r="S2114" t="s">
        <v>42788</v>
      </c>
      <c r="T2114" t="s">
        <v>44427</v>
      </c>
      <c r="U2114" t="s">
        <v>46359</v>
      </c>
      <c r="W2114" t="s">
        <v>39513</v>
      </c>
      <c r="X2114" t="s">
        <v>42676</v>
      </c>
    </row>
    <row r="2115" spans="1:24">
      <c r="A2115">
        <f>HYPERLINK("https://www.philgeps.gov.ph/GEPSNONPILOT/Tender/SplashBidNoticeAbstractUI.aspx?menuIndex=3&amp;refID=7191165&amp;Result=3","7191165")</f>
        <v>0</v>
      </c>
      <c r="B2115" t="s">
        <v>795</v>
      </c>
      <c r="C2115" t="s">
        <v>5554</v>
      </c>
      <c r="D2115" t="s">
        <v>17167</v>
      </c>
      <c r="E2115" t="s">
        <v>19110</v>
      </c>
      <c r="F2115" t="s">
        <v>29372</v>
      </c>
      <c r="G2115" t="s">
        <v>29380</v>
      </c>
      <c r="H2115" t="s">
        <v>11048</v>
      </c>
      <c r="I2115" t="s">
        <v>29417</v>
      </c>
      <c r="J2115" t="s">
        <v>30056</v>
      </c>
      <c r="K2115" t="s">
        <v>38485</v>
      </c>
      <c r="M2115" t="s">
        <v>39579</v>
      </c>
      <c r="N2115" t="s">
        <v>42669</v>
      </c>
      <c r="O2115" t="s">
        <v>42670</v>
      </c>
      <c r="P2115">
        <v>0</v>
      </c>
      <c r="Q2115">
        <v>0</v>
      </c>
      <c r="R2115" t="s">
        <v>42674</v>
      </c>
      <c r="S2115" t="s">
        <v>42788</v>
      </c>
      <c r="T2115" t="s">
        <v>44544</v>
      </c>
      <c r="U2115" t="s">
        <v>46592</v>
      </c>
      <c r="W2115" t="s">
        <v>39579</v>
      </c>
      <c r="X2115" t="s">
        <v>42676</v>
      </c>
    </row>
    <row r="2116" spans="1:24">
      <c r="A2116">
        <f>HYPERLINK("https://www.philgeps.gov.ph/GEPSNONPILOT/Tender/SplashBidNoticeAbstractUI.aspx?menuIndex=3&amp;refID=7191153&amp;Result=3","7191153")</f>
        <v>0</v>
      </c>
      <c r="B2116" t="s">
        <v>854</v>
      </c>
      <c r="C2116" t="s">
        <v>5555</v>
      </c>
      <c r="D2116" t="s">
        <v>17197</v>
      </c>
      <c r="E2116" t="s">
        <v>19111</v>
      </c>
      <c r="F2116" t="s">
        <v>29372</v>
      </c>
      <c r="G2116" t="s">
        <v>29382</v>
      </c>
      <c r="H2116" t="s">
        <v>11048</v>
      </c>
      <c r="I2116" t="s">
        <v>5383</v>
      </c>
      <c r="J2116" t="s">
        <v>31038</v>
      </c>
      <c r="K2116" t="s">
        <v>38490</v>
      </c>
      <c r="M2116" t="s">
        <v>39644</v>
      </c>
      <c r="N2116" t="s">
        <v>42669</v>
      </c>
      <c r="O2116" t="s">
        <v>42670</v>
      </c>
      <c r="P2116">
        <v>0</v>
      </c>
      <c r="Q2116">
        <v>5</v>
      </c>
      <c r="R2116" t="s">
        <v>42674</v>
      </c>
      <c r="S2116" t="s">
        <v>42788</v>
      </c>
      <c r="T2116" t="s">
        <v>44427</v>
      </c>
      <c r="U2116" t="s">
        <v>46593</v>
      </c>
      <c r="W2116" t="s">
        <v>39644</v>
      </c>
      <c r="X2116" t="s">
        <v>42676</v>
      </c>
    </row>
    <row r="2117" spans="1:24">
      <c r="A2117">
        <f>HYPERLINK("https://www.philgeps.gov.ph/GEPSNONPILOT/Tender/SplashBidNoticeAbstractUI.aspx?menuIndex=3&amp;refID=7191152&amp;Result=3","7191152")</f>
        <v>0</v>
      </c>
      <c r="B2117" t="s">
        <v>844</v>
      </c>
      <c r="C2117" t="s">
        <v>5556</v>
      </c>
      <c r="D2117" t="s">
        <v>17208</v>
      </c>
      <c r="E2117" t="s">
        <v>19112</v>
      </c>
      <c r="F2117" t="s">
        <v>29372</v>
      </c>
      <c r="G2117" t="s">
        <v>29379</v>
      </c>
      <c r="H2117" t="s">
        <v>11048</v>
      </c>
      <c r="I2117" t="s">
        <v>3670</v>
      </c>
      <c r="J2117" t="s">
        <v>31039</v>
      </c>
      <c r="K2117" t="s">
        <v>38491</v>
      </c>
      <c r="M2117" t="s">
        <v>39634</v>
      </c>
      <c r="N2117" t="s">
        <v>42669</v>
      </c>
      <c r="O2117" t="s">
        <v>42670</v>
      </c>
      <c r="P2117">
        <v>0</v>
      </c>
      <c r="Q2117">
        <v>0</v>
      </c>
      <c r="R2117" t="s">
        <v>42674</v>
      </c>
      <c r="S2117" t="s">
        <v>42788</v>
      </c>
      <c r="T2117" t="s">
        <v>44387</v>
      </c>
      <c r="U2117" t="s">
        <v>46577</v>
      </c>
      <c r="W2117" t="s">
        <v>39634</v>
      </c>
      <c r="X2117" t="s">
        <v>42676</v>
      </c>
    </row>
    <row r="2118" spans="1:24">
      <c r="A2118">
        <f>HYPERLINK("https://www.philgeps.gov.ph/GEPSNONPILOT/Tender/SplashBidNoticeAbstractUI.aspx?menuIndex=3&amp;refID=7191181&amp;Result=3","7191181")</f>
        <v>0</v>
      </c>
      <c r="B2118" t="s">
        <v>855</v>
      </c>
      <c r="C2118" t="s">
        <v>5557</v>
      </c>
      <c r="D2118" t="s">
        <v>17170</v>
      </c>
      <c r="E2118" t="s">
        <v>19113</v>
      </c>
      <c r="F2118" t="s">
        <v>29372</v>
      </c>
      <c r="G2118" t="s">
        <v>29383</v>
      </c>
      <c r="H2118" t="s">
        <v>11048</v>
      </c>
      <c r="I2118" t="s">
        <v>29407</v>
      </c>
      <c r="J2118" t="s">
        <v>31040</v>
      </c>
      <c r="K2118" t="s">
        <v>38490</v>
      </c>
      <c r="M2118" t="s">
        <v>39645</v>
      </c>
      <c r="N2118" t="s">
        <v>42669</v>
      </c>
      <c r="O2118" t="s">
        <v>42670</v>
      </c>
      <c r="P2118">
        <v>0</v>
      </c>
      <c r="Q2118">
        <v>8</v>
      </c>
      <c r="R2118" t="s">
        <v>42674</v>
      </c>
      <c r="S2118" t="s">
        <v>42788</v>
      </c>
      <c r="T2118" t="s">
        <v>44491</v>
      </c>
      <c r="U2118" t="s">
        <v>46594</v>
      </c>
      <c r="W2118" t="s">
        <v>39645</v>
      </c>
      <c r="X2118" t="s">
        <v>42676</v>
      </c>
    </row>
    <row r="2119" spans="1:24">
      <c r="A2119">
        <f>HYPERLINK("https://www.philgeps.gov.ph/GEPSNONPILOT/Tender/SplashBidNoticeAbstractUI.aspx?menuIndex=3&amp;refID=7191192&amp;Result=3","7191192")</f>
        <v>0</v>
      </c>
      <c r="B2119" t="s">
        <v>849</v>
      </c>
      <c r="C2119" t="s">
        <v>5558</v>
      </c>
      <c r="D2119" t="s">
        <v>17181</v>
      </c>
      <c r="E2119" t="s">
        <v>19114</v>
      </c>
      <c r="F2119" t="s">
        <v>29372</v>
      </c>
      <c r="G2119" t="s">
        <v>29379</v>
      </c>
      <c r="H2119" t="s">
        <v>11048</v>
      </c>
      <c r="I2119" t="s">
        <v>5383</v>
      </c>
      <c r="J2119" t="s">
        <v>29922</v>
      </c>
      <c r="K2119" t="s">
        <v>38485</v>
      </c>
      <c r="M2119" t="s">
        <v>39639</v>
      </c>
      <c r="N2119" t="s">
        <v>42669</v>
      </c>
      <c r="O2119" t="s">
        <v>42670</v>
      </c>
      <c r="P2119">
        <v>0</v>
      </c>
      <c r="Q2119">
        <v>2</v>
      </c>
      <c r="R2119" t="s">
        <v>42674</v>
      </c>
      <c r="S2119" t="s">
        <v>42788</v>
      </c>
      <c r="T2119" t="s">
        <v>44580</v>
      </c>
      <c r="U2119" t="s">
        <v>46595</v>
      </c>
      <c r="W2119" t="s">
        <v>39639</v>
      </c>
      <c r="X2119" t="s">
        <v>42676</v>
      </c>
    </row>
    <row r="2120" spans="1:24">
      <c r="A2120">
        <f>HYPERLINK("https://www.philgeps.gov.ph/GEPSNONPILOT/Tender/SplashBidNoticeAbstractUI.aspx?menuIndex=3&amp;refID=7191177&amp;Result=3","7191177")</f>
        <v>0</v>
      </c>
      <c r="B2120" t="s">
        <v>629</v>
      </c>
      <c r="C2120" t="s">
        <v>5559</v>
      </c>
      <c r="D2120" t="s">
        <v>17161</v>
      </c>
      <c r="E2120" t="s">
        <v>18701</v>
      </c>
      <c r="F2120" t="s">
        <v>29372</v>
      </c>
      <c r="G2120" t="s">
        <v>29379</v>
      </c>
      <c r="H2120" t="s">
        <v>29390</v>
      </c>
      <c r="I2120" t="s">
        <v>29434</v>
      </c>
      <c r="J2120" t="s">
        <v>30725</v>
      </c>
      <c r="K2120" t="s">
        <v>38524</v>
      </c>
      <c r="M2120" t="s">
        <v>39402</v>
      </c>
      <c r="N2120" t="s">
        <v>42669</v>
      </c>
      <c r="O2120" t="s">
        <v>42670</v>
      </c>
      <c r="P2120">
        <v>0</v>
      </c>
      <c r="Q2120">
        <v>0</v>
      </c>
      <c r="R2120" t="s">
        <v>42674</v>
      </c>
      <c r="S2120" t="s">
        <v>42788</v>
      </c>
      <c r="T2120" t="s">
        <v>44425</v>
      </c>
      <c r="U2120" t="s">
        <v>46174</v>
      </c>
      <c r="W2120" t="s">
        <v>39402</v>
      </c>
      <c r="X2120" t="s">
        <v>42676</v>
      </c>
    </row>
    <row r="2121" spans="1:24">
      <c r="A2121">
        <f>HYPERLINK("https://www.philgeps.gov.ph/GEPSNONPILOT/Tender/SplashBidNoticeAbstractUI.aspx?menuIndex=3&amp;refID=7191230&amp;Result=3","7191230")</f>
        <v>0</v>
      </c>
      <c r="B2121" t="s">
        <v>566</v>
      </c>
      <c r="C2121" t="s">
        <v>5560</v>
      </c>
      <c r="E2121" t="s">
        <v>19115</v>
      </c>
      <c r="F2121" t="s">
        <v>29372</v>
      </c>
      <c r="G2121" t="s">
        <v>29380</v>
      </c>
      <c r="H2121" t="s">
        <v>11048</v>
      </c>
      <c r="I2121" t="s">
        <v>29414</v>
      </c>
      <c r="J2121" t="s">
        <v>29543</v>
      </c>
      <c r="K2121" t="s">
        <v>38490</v>
      </c>
      <c r="M2121" t="s">
        <v>39476</v>
      </c>
      <c r="N2121" t="s">
        <v>42669</v>
      </c>
      <c r="O2121" t="s">
        <v>42670</v>
      </c>
      <c r="P2121">
        <v>0</v>
      </c>
      <c r="Q2121">
        <v>12</v>
      </c>
      <c r="R2121" t="s">
        <v>42674</v>
      </c>
      <c r="S2121" t="s">
        <v>42788</v>
      </c>
      <c r="T2121" t="s">
        <v>44536</v>
      </c>
      <c r="U2121" t="s">
        <v>46306</v>
      </c>
      <c r="W2121" t="s">
        <v>39476</v>
      </c>
      <c r="X2121" t="s">
        <v>42676</v>
      </c>
    </row>
    <row r="2122" spans="1:24">
      <c r="A2122">
        <f>HYPERLINK("https://www.philgeps.gov.ph/GEPSNONPILOT/Tender/SplashBidNoticeAbstractUI.aspx?menuIndex=3&amp;refID=7191141&amp;Result=3","7191141")</f>
        <v>0</v>
      </c>
      <c r="B2122" t="s">
        <v>850</v>
      </c>
      <c r="C2122" t="s">
        <v>5561</v>
      </c>
      <c r="D2122" t="s">
        <v>17144</v>
      </c>
      <c r="E2122" t="s">
        <v>19116</v>
      </c>
      <c r="F2122" t="s">
        <v>29372</v>
      </c>
      <c r="G2122" t="s">
        <v>29379</v>
      </c>
      <c r="H2122" t="s">
        <v>11048</v>
      </c>
      <c r="I2122" t="s">
        <v>5383</v>
      </c>
      <c r="J2122" t="s">
        <v>31041</v>
      </c>
      <c r="K2122" t="s">
        <v>38491</v>
      </c>
      <c r="M2122" t="s">
        <v>39640</v>
      </c>
      <c r="N2122" t="s">
        <v>42669</v>
      </c>
      <c r="O2122" t="s">
        <v>42670</v>
      </c>
      <c r="P2122">
        <v>0</v>
      </c>
      <c r="Q2122">
        <v>2</v>
      </c>
      <c r="R2122" t="s">
        <v>42674</v>
      </c>
      <c r="S2122" t="s">
        <v>42788</v>
      </c>
      <c r="T2122" t="s">
        <v>44581</v>
      </c>
      <c r="U2122" t="s">
        <v>46596</v>
      </c>
      <c r="W2122" t="s">
        <v>39640</v>
      </c>
      <c r="X2122" t="s">
        <v>42676</v>
      </c>
    </row>
    <row r="2123" spans="1:24">
      <c r="A2123">
        <f>HYPERLINK("https://www.philgeps.gov.ph/GEPSNONPILOT/Tender/SplashBidNoticeAbstractUI.aspx?menuIndex=3&amp;refID=7191228&amp;Result=3","7191228")</f>
        <v>0</v>
      </c>
      <c r="B2123" t="s">
        <v>844</v>
      </c>
      <c r="C2123" t="s">
        <v>5562</v>
      </c>
      <c r="D2123" t="s">
        <v>17219</v>
      </c>
      <c r="E2123" t="s">
        <v>19117</v>
      </c>
      <c r="F2123" t="s">
        <v>29372</v>
      </c>
      <c r="G2123" t="s">
        <v>29379</v>
      </c>
      <c r="H2123" t="s">
        <v>11048</v>
      </c>
      <c r="I2123" t="s">
        <v>29416</v>
      </c>
      <c r="J2123" t="s">
        <v>29824</v>
      </c>
      <c r="K2123" t="s">
        <v>38485</v>
      </c>
      <c r="M2123" t="s">
        <v>39634</v>
      </c>
      <c r="N2123" t="s">
        <v>42669</v>
      </c>
      <c r="O2123" t="s">
        <v>42670</v>
      </c>
      <c r="P2123">
        <v>0</v>
      </c>
      <c r="Q2123">
        <v>1</v>
      </c>
      <c r="R2123" t="s">
        <v>42674</v>
      </c>
      <c r="S2123" t="s">
        <v>42788</v>
      </c>
      <c r="T2123" t="s">
        <v>44387</v>
      </c>
      <c r="U2123" t="s">
        <v>46577</v>
      </c>
      <c r="W2123" t="s">
        <v>39634</v>
      </c>
      <c r="X2123" t="s">
        <v>42676</v>
      </c>
    </row>
    <row r="2124" spans="1:24">
      <c r="A2124">
        <f>HYPERLINK("https://www.philgeps.gov.ph/GEPSNONPILOT/Tender/SplashBidNoticeAbstractUI.aspx?menuIndex=3&amp;refID=7191227&amp;Result=3","7191227")</f>
        <v>0</v>
      </c>
      <c r="B2124" t="s">
        <v>856</v>
      </c>
      <c r="C2124" t="s">
        <v>5563</v>
      </c>
      <c r="E2124" t="s">
        <v>19118</v>
      </c>
      <c r="F2124" t="s">
        <v>29372</v>
      </c>
      <c r="G2124" t="s">
        <v>29383</v>
      </c>
      <c r="H2124" t="s">
        <v>11048</v>
      </c>
      <c r="I2124" t="s">
        <v>29439</v>
      </c>
      <c r="J2124" t="s">
        <v>31042</v>
      </c>
      <c r="K2124" t="s">
        <v>38491</v>
      </c>
      <c r="M2124" t="s">
        <v>39646</v>
      </c>
      <c r="N2124" t="s">
        <v>42669</v>
      </c>
      <c r="O2124" t="s">
        <v>42670</v>
      </c>
      <c r="P2124">
        <v>0</v>
      </c>
      <c r="Q2124">
        <v>0</v>
      </c>
      <c r="R2124" t="s">
        <v>42674</v>
      </c>
      <c r="S2124" t="s">
        <v>42788</v>
      </c>
      <c r="T2124" t="s">
        <v>44583</v>
      </c>
      <c r="U2124" t="s">
        <v>46597</v>
      </c>
      <c r="W2124" t="s">
        <v>39646</v>
      </c>
      <c r="X2124" t="s">
        <v>42676</v>
      </c>
    </row>
    <row r="2125" spans="1:24">
      <c r="A2125">
        <f>HYPERLINK("https://www.philgeps.gov.ph/GEPSNONPILOT/Tender/SplashBidNoticeAbstractUI.aspx?menuIndex=3&amp;refID=7191226&amp;Result=3","7191226")</f>
        <v>0</v>
      </c>
      <c r="B2125" t="s">
        <v>853</v>
      </c>
      <c r="C2125" t="s">
        <v>5551</v>
      </c>
      <c r="D2125" t="s">
        <v>17160</v>
      </c>
      <c r="E2125" t="s">
        <v>18741</v>
      </c>
      <c r="F2125" t="s">
        <v>29372</v>
      </c>
      <c r="G2125" t="s">
        <v>29383</v>
      </c>
      <c r="H2125" t="s">
        <v>11048</v>
      </c>
      <c r="I2125" t="s">
        <v>29410</v>
      </c>
      <c r="J2125" t="s">
        <v>31036</v>
      </c>
      <c r="K2125" t="s">
        <v>38524</v>
      </c>
      <c r="M2125" t="s">
        <v>39643</v>
      </c>
      <c r="N2125" t="s">
        <v>42669</v>
      </c>
      <c r="O2125" t="s">
        <v>42670</v>
      </c>
      <c r="P2125">
        <v>0</v>
      </c>
      <c r="Q2125">
        <v>1</v>
      </c>
      <c r="R2125" t="s">
        <v>42674</v>
      </c>
      <c r="S2125" t="s">
        <v>42788</v>
      </c>
      <c r="T2125" t="s">
        <v>44432</v>
      </c>
      <c r="U2125" t="s">
        <v>46598</v>
      </c>
      <c r="W2125" t="s">
        <v>39643</v>
      </c>
      <c r="X2125" t="s">
        <v>42676</v>
      </c>
    </row>
    <row r="2126" spans="1:24">
      <c r="A2126">
        <f>HYPERLINK("https://www.philgeps.gov.ph/GEPSNONPILOT/Tender/SplashBidNoticeAbstractUI.aspx?menuIndex=3&amp;refID=7191151&amp;Result=3","7191151")</f>
        <v>0</v>
      </c>
      <c r="B2126" t="s">
        <v>516</v>
      </c>
      <c r="C2126" t="s">
        <v>5564</v>
      </c>
      <c r="D2126" t="s">
        <v>17141</v>
      </c>
      <c r="E2126" t="s">
        <v>19119</v>
      </c>
      <c r="F2126" t="s">
        <v>29372</v>
      </c>
      <c r="G2126" t="s">
        <v>29380</v>
      </c>
      <c r="H2126" t="s">
        <v>11048</v>
      </c>
      <c r="I2126" t="s">
        <v>4487</v>
      </c>
      <c r="J2126" t="s">
        <v>31043</v>
      </c>
      <c r="K2126" t="s">
        <v>38538</v>
      </c>
      <c r="M2126" t="s">
        <v>39283</v>
      </c>
      <c r="N2126" t="s">
        <v>42669</v>
      </c>
      <c r="O2126" t="s">
        <v>42670</v>
      </c>
      <c r="P2126">
        <v>0</v>
      </c>
      <c r="Q2126">
        <v>5</v>
      </c>
      <c r="R2126" t="s">
        <v>42674</v>
      </c>
      <c r="S2126" t="s">
        <v>42788</v>
      </c>
      <c r="T2126" t="s">
        <v>44476</v>
      </c>
      <c r="U2126" t="s">
        <v>46599</v>
      </c>
      <c r="V2126" t="s">
        <v>56570</v>
      </c>
      <c r="W2126" t="s">
        <v>58016</v>
      </c>
      <c r="X2126" t="s">
        <v>42676</v>
      </c>
    </row>
    <row r="2127" spans="1:24">
      <c r="A2127">
        <f>HYPERLINK("https://www.philgeps.gov.ph/GEPSNONPILOT/Tender/SplashBidNoticeAbstractUI.aspx?menuIndex=3&amp;refID=7191221&amp;Result=3","7191221")</f>
        <v>0</v>
      </c>
      <c r="B2127" t="s">
        <v>857</v>
      </c>
      <c r="C2127" t="s">
        <v>5565</v>
      </c>
      <c r="D2127" t="s">
        <v>17148</v>
      </c>
      <c r="E2127" t="s">
        <v>19120</v>
      </c>
      <c r="F2127" t="s">
        <v>29372</v>
      </c>
      <c r="G2127" t="s">
        <v>29379</v>
      </c>
      <c r="H2127" t="s">
        <v>11048</v>
      </c>
      <c r="I2127" t="s">
        <v>29406</v>
      </c>
      <c r="J2127" t="s">
        <v>31044</v>
      </c>
      <c r="K2127" t="s">
        <v>38491</v>
      </c>
      <c r="M2127" t="s">
        <v>39647</v>
      </c>
      <c r="N2127" t="s">
        <v>42669</v>
      </c>
      <c r="O2127" t="s">
        <v>42670</v>
      </c>
      <c r="P2127">
        <v>0</v>
      </c>
      <c r="Q2127">
        <v>1</v>
      </c>
      <c r="R2127" t="s">
        <v>42674</v>
      </c>
      <c r="S2127" t="s">
        <v>42788</v>
      </c>
      <c r="T2127" t="s">
        <v>44417</v>
      </c>
      <c r="U2127" t="s">
        <v>46600</v>
      </c>
      <c r="W2127" t="s">
        <v>39647</v>
      </c>
      <c r="X2127" t="s">
        <v>42676</v>
      </c>
    </row>
    <row r="2128" spans="1:24">
      <c r="A2128">
        <f>HYPERLINK("https://www.philgeps.gov.ph/GEPSNONPILOT/Tender/SplashBidNoticeAbstractUI.aspx?menuIndex=3&amp;refID=7191220&amp;Result=3","7191220")</f>
        <v>0</v>
      </c>
      <c r="B2128" t="s">
        <v>795</v>
      </c>
      <c r="C2128" t="s">
        <v>5566</v>
      </c>
      <c r="D2128" t="s">
        <v>17167</v>
      </c>
      <c r="E2128" t="s">
        <v>19121</v>
      </c>
      <c r="F2128" t="s">
        <v>29372</v>
      </c>
      <c r="G2128" t="s">
        <v>29380</v>
      </c>
      <c r="H2128" t="s">
        <v>11048</v>
      </c>
      <c r="I2128" t="s">
        <v>10408</v>
      </c>
      <c r="J2128" t="s">
        <v>31045</v>
      </c>
      <c r="K2128" t="s">
        <v>38585</v>
      </c>
      <c r="M2128" t="s">
        <v>39579</v>
      </c>
      <c r="N2128" t="s">
        <v>42669</v>
      </c>
      <c r="O2128" t="s">
        <v>42670</v>
      </c>
      <c r="P2128">
        <v>0</v>
      </c>
      <c r="Q2128">
        <v>0</v>
      </c>
      <c r="R2128" t="s">
        <v>42674</v>
      </c>
      <c r="S2128" t="s">
        <v>42788</v>
      </c>
      <c r="T2128" t="s">
        <v>44544</v>
      </c>
      <c r="U2128" t="s">
        <v>46601</v>
      </c>
      <c r="W2128" t="s">
        <v>39579</v>
      </c>
      <c r="X2128" t="s">
        <v>42676</v>
      </c>
    </row>
    <row r="2129" spans="1:24">
      <c r="A2129">
        <f>HYPERLINK("https://www.philgeps.gov.ph/GEPSNONPILOT/Tender/SplashBidNoticeAbstractUI.aspx?menuIndex=3&amp;refID=7191219&amp;Result=3","7191219")</f>
        <v>0</v>
      </c>
      <c r="B2129" t="s">
        <v>649</v>
      </c>
      <c r="C2129" t="s">
        <v>5567</v>
      </c>
      <c r="D2129" t="s">
        <v>17162</v>
      </c>
      <c r="E2129" t="s">
        <v>19122</v>
      </c>
      <c r="F2129" t="s">
        <v>29372</v>
      </c>
      <c r="G2129" t="s">
        <v>29380</v>
      </c>
      <c r="H2129" t="s">
        <v>11048</v>
      </c>
      <c r="I2129" t="s">
        <v>4486</v>
      </c>
      <c r="J2129" t="s">
        <v>31046</v>
      </c>
      <c r="K2129" t="s">
        <v>38510</v>
      </c>
      <c r="M2129" t="s">
        <v>39423</v>
      </c>
      <c r="N2129" t="s">
        <v>42669</v>
      </c>
      <c r="O2129" t="s">
        <v>42670</v>
      </c>
      <c r="P2129">
        <v>0</v>
      </c>
      <c r="Q2129">
        <v>4</v>
      </c>
      <c r="R2129" t="s">
        <v>42674</v>
      </c>
      <c r="S2129" t="s">
        <v>42788</v>
      </c>
      <c r="T2129" t="s">
        <v>44550</v>
      </c>
      <c r="U2129" t="s">
        <v>46602</v>
      </c>
      <c r="W2129" t="s">
        <v>39423</v>
      </c>
      <c r="X2129" t="s">
        <v>42676</v>
      </c>
    </row>
    <row r="2130" spans="1:24">
      <c r="A2130">
        <f>HYPERLINK("https://www.philgeps.gov.ph/GEPSNONPILOT/Tender/SplashBidNoticeAbstractUI.aspx?menuIndex=3&amp;refID=7191213&amp;Result=3","7191213")</f>
        <v>0</v>
      </c>
      <c r="B2130" t="s">
        <v>858</v>
      </c>
      <c r="C2130" t="s">
        <v>5568</v>
      </c>
      <c r="D2130" t="s">
        <v>17199</v>
      </c>
      <c r="E2130" t="s">
        <v>19123</v>
      </c>
      <c r="F2130" t="s">
        <v>29372</v>
      </c>
      <c r="G2130" t="s">
        <v>29380</v>
      </c>
      <c r="H2130" t="s">
        <v>11048</v>
      </c>
      <c r="I2130" t="s">
        <v>29393</v>
      </c>
      <c r="J2130" t="s">
        <v>29980</v>
      </c>
      <c r="K2130" t="s">
        <v>38528</v>
      </c>
      <c r="M2130" t="s">
        <v>39648</v>
      </c>
      <c r="N2130" t="s">
        <v>42669</v>
      </c>
      <c r="O2130" t="s">
        <v>42670</v>
      </c>
      <c r="P2130">
        <v>0</v>
      </c>
      <c r="Q2130">
        <v>0</v>
      </c>
      <c r="R2130" t="s">
        <v>42674</v>
      </c>
      <c r="S2130" t="s">
        <v>42788</v>
      </c>
      <c r="T2130" t="s">
        <v>44476</v>
      </c>
      <c r="U2130" t="s">
        <v>46603</v>
      </c>
      <c r="W2130" t="s">
        <v>39648</v>
      </c>
      <c r="X2130" t="s">
        <v>42676</v>
      </c>
    </row>
    <row r="2131" spans="1:24">
      <c r="A2131">
        <f>HYPERLINK("https://www.philgeps.gov.ph/GEPSNONPILOT/Tender/SplashBidNoticeAbstractUI.aspx?menuIndex=3&amp;refID=7191212&amp;Result=3","7191212")</f>
        <v>0</v>
      </c>
      <c r="B2131" t="s">
        <v>849</v>
      </c>
      <c r="C2131" t="s">
        <v>5569</v>
      </c>
      <c r="D2131" t="s">
        <v>17181</v>
      </c>
      <c r="E2131" t="s">
        <v>19124</v>
      </c>
      <c r="F2131" t="s">
        <v>29372</v>
      </c>
      <c r="G2131" t="s">
        <v>29379</v>
      </c>
      <c r="H2131" t="s">
        <v>11048</v>
      </c>
      <c r="I2131" t="s">
        <v>5383</v>
      </c>
      <c r="J2131" t="s">
        <v>31047</v>
      </c>
      <c r="K2131" t="s">
        <v>38485</v>
      </c>
      <c r="M2131" t="s">
        <v>39639</v>
      </c>
      <c r="N2131" t="s">
        <v>42669</v>
      </c>
      <c r="O2131" t="s">
        <v>42670</v>
      </c>
      <c r="P2131">
        <v>0</v>
      </c>
      <c r="Q2131">
        <v>2</v>
      </c>
      <c r="R2131" t="s">
        <v>42674</v>
      </c>
      <c r="S2131" t="s">
        <v>42788</v>
      </c>
      <c r="T2131" t="s">
        <v>44584</v>
      </c>
      <c r="U2131" t="s">
        <v>46604</v>
      </c>
      <c r="W2131" t="s">
        <v>39639</v>
      </c>
      <c r="X2131" t="s">
        <v>42676</v>
      </c>
    </row>
    <row r="2132" spans="1:24">
      <c r="A2132">
        <f>HYPERLINK("https://www.philgeps.gov.ph/GEPSNONPILOT/Tender/SplashBidNoticeAbstractUI.aspx?menuIndex=3&amp;refID=7191229&amp;Result=3","7191229")</f>
        <v>0</v>
      </c>
      <c r="B2132" t="s">
        <v>859</v>
      </c>
      <c r="C2132" t="s">
        <v>5570</v>
      </c>
      <c r="D2132" t="s">
        <v>17225</v>
      </c>
      <c r="E2132" t="s">
        <v>19125</v>
      </c>
      <c r="F2132" t="s">
        <v>29372</v>
      </c>
      <c r="G2132" t="s">
        <v>29380</v>
      </c>
      <c r="H2132" t="s">
        <v>11048</v>
      </c>
      <c r="I2132" t="s">
        <v>4709</v>
      </c>
      <c r="J2132" t="s">
        <v>31048</v>
      </c>
      <c r="K2132" t="s">
        <v>38510</v>
      </c>
      <c r="M2132" t="s">
        <v>39649</v>
      </c>
      <c r="N2132" t="s">
        <v>42669</v>
      </c>
      <c r="O2132" t="s">
        <v>42670</v>
      </c>
      <c r="P2132">
        <v>0</v>
      </c>
      <c r="Q2132">
        <v>0</v>
      </c>
      <c r="R2132" t="s">
        <v>42674</v>
      </c>
      <c r="S2132" t="s">
        <v>42788</v>
      </c>
      <c r="T2132" t="s">
        <v>44530</v>
      </c>
      <c r="U2132" t="s">
        <v>46605</v>
      </c>
      <c r="W2132" t="s">
        <v>39649</v>
      </c>
      <c r="X2132" t="s">
        <v>42676</v>
      </c>
    </row>
    <row r="2133" spans="1:24">
      <c r="A2133">
        <f>HYPERLINK("https://www.philgeps.gov.ph/GEPSNONPILOT/Tender/SplashBidNoticeAbstractUI.aspx?menuIndex=3&amp;refID=7191210&amp;Result=3","7191210")</f>
        <v>0</v>
      </c>
      <c r="B2133" t="s">
        <v>394</v>
      </c>
      <c r="C2133" t="s">
        <v>5571</v>
      </c>
      <c r="D2133" t="s">
        <v>17170</v>
      </c>
      <c r="E2133" t="s">
        <v>19126</v>
      </c>
      <c r="F2133" t="s">
        <v>29372</v>
      </c>
      <c r="G2133" t="s">
        <v>29380</v>
      </c>
      <c r="H2133" t="s">
        <v>11048</v>
      </c>
      <c r="I2133" t="s">
        <v>29425</v>
      </c>
      <c r="J2133" t="s">
        <v>31049</v>
      </c>
      <c r="K2133" t="s">
        <v>38495</v>
      </c>
      <c r="M2133" t="s">
        <v>39650</v>
      </c>
      <c r="N2133" t="s">
        <v>42669</v>
      </c>
      <c r="O2133" t="s">
        <v>42670</v>
      </c>
      <c r="P2133">
        <v>0</v>
      </c>
      <c r="Q2133">
        <v>3</v>
      </c>
      <c r="R2133" t="s">
        <v>42674</v>
      </c>
      <c r="S2133" t="s">
        <v>42788</v>
      </c>
      <c r="T2133" t="s">
        <v>44366</v>
      </c>
      <c r="U2133" t="s">
        <v>46606</v>
      </c>
      <c r="W2133" t="s">
        <v>39650</v>
      </c>
      <c r="X2133" t="s">
        <v>42676</v>
      </c>
    </row>
    <row r="2134" spans="1:24">
      <c r="A2134">
        <f>HYPERLINK("https://www.philgeps.gov.ph/GEPSNONPILOT/Tender/SplashBidNoticeAbstractUI.aspx?menuIndex=3&amp;refID=7191132&amp;Result=3","7191132")</f>
        <v>0</v>
      </c>
      <c r="B2134" t="s">
        <v>339</v>
      </c>
      <c r="C2134" t="s">
        <v>5572</v>
      </c>
      <c r="D2134" t="s">
        <v>17156</v>
      </c>
      <c r="E2134" t="s">
        <v>19127</v>
      </c>
      <c r="F2134" t="s">
        <v>29372</v>
      </c>
      <c r="G2134" t="s">
        <v>29386</v>
      </c>
      <c r="H2134" t="s">
        <v>11048</v>
      </c>
      <c r="I2134" t="s">
        <v>29394</v>
      </c>
      <c r="J2134" t="s">
        <v>31050</v>
      </c>
      <c r="K2134" t="s">
        <v>38485</v>
      </c>
      <c r="M2134" t="s">
        <v>39651</v>
      </c>
      <c r="N2134" t="s">
        <v>42669</v>
      </c>
      <c r="O2134" t="s">
        <v>42670</v>
      </c>
      <c r="P2134">
        <v>0</v>
      </c>
      <c r="Q2134">
        <v>0</v>
      </c>
      <c r="R2134" t="s">
        <v>42674</v>
      </c>
      <c r="S2134" t="s">
        <v>42788</v>
      </c>
      <c r="T2134" t="s">
        <v>44397</v>
      </c>
      <c r="U2134" t="s">
        <v>46607</v>
      </c>
      <c r="W2134" t="s">
        <v>39651</v>
      </c>
      <c r="X2134" t="s">
        <v>42676</v>
      </c>
    </row>
    <row r="2135" spans="1:24">
      <c r="A2135">
        <f>HYPERLINK("https://www.philgeps.gov.ph/GEPSNONPILOT/Tender/SplashBidNoticeAbstractUI.aspx?menuIndex=3&amp;refID=7191205&amp;Result=3","7191205")</f>
        <v>0</v>
      </c>
      <c r="B2135" t="s">
        <v>860</v>
      </c>
      <c r="C2135" t="s">
        <v>5573</v>
      </c>
      <c r="D2135" t="s">
        <v>17180</v>
      </c>
      <c r="E2135" t="s">
        <v>19128</v>
      </c>
      <c r="F2135" t="s">
        <v>29372</v>
      </c>
      <c r="G2135" t="s">
        <v>29379</v>
      </c>
      <c r="H2135" t="s">
        <v>11048</v>
      </c>
      <c r="I2135" t="s">
        <v>3952</v>
      </c>
      <c r="J2135" t="s">
        <v>31051</v>
      </c>
      <c r="K2135" t="s">
        <v>38490</v>
      </c>
      <c r="M2135" t="s">
        <v>39652</v>
      </c>
      <c r="N2135" t="s">
        <v>42669</v>
      </c>
      <c r="O2135" t="s">
        <v>42670</v>
      </c>
      <c r="P2135">
        <v>0</v>
      </c>
      <c r="Q2135">
        <v>3</v>
      </c>
      <c r="R2135" t="s">
        <v>42674</v>
      </c>
      <c r="S2135" t="s">
        <v>42788</v>
      </c>
      <c r="T2135" t="s">
        <v>44371</v>
      </c>
      <c r="U2135" t="s">
        <v>46608</v>
      </c>
      <c r="W2135" t="s">
        <v>39652</v>
      </c>
      <c r="X2135" t="s">
        <v>42676</v>
      </c>
    </row>
    <row r="2136" spans="1:24">
      <c r="A2136">
        <f>HYPERLINK("https://www.philgeps.gov.ph/GEPSNONPILOT/Tender/SplashBidNoticeAbstractUI.aspx?menuIndex=3&amp;refID=7191200&amp;Result=3","7191200")</f>
        <v>0</v>
      </c>
      <c r="B2136" t="s">
        <v>566</v>
      </c>
      <c r="C2136" t="s">
        <v>5574</v>
      </c>
      <c r="E2136" t="s">
        <v>19129</v>
      </c>
      <c r="F2136" t="s">
        <v>29372</v>
      </c>
      <c r="G2136" t="s">
        <v>29380</v>
      </c>
      <c r="H2136" t="s">
        <v>11048</v>
      </c>
      <c r="I2136" t="s">
        <v>29414</v>
      </c>
      <c r="J2136" t="s">
        <v>30107</v>
      </c>
      <c r="K2136" t="s">
        <v>38490</v>
      </c>
      <c r="M2136" t="s">
        <v>39476</v>
      </c>
      <c r="N2136" t="s">
        <v>42669</v>
      </c>
      <c r="O2136" t="s">
        <v>42670</v>
      </c>
      <c r="P2136">
        <v>0</v>
      </c>
      <c r="Q2136">
        <v>8</v>
      </c>
      <c r="R2136" t="s">
        <v>42674</v>
      </c>
      <c r="S2136" t="s">
        <v>42788</v>
      </c>
      <c r="T2136" t="s">
        <v>44536</v>
      </c>
      <c r="U2136" t="s">
        <v>46306</v>
      </c>
      <c r="W2136" t="s">
        <v>39476</v>
      </c>
      <c r="X2136" t="s">
        <v>42676</v>
      </c>
    </row>
    <row r="2137" spans="1:24">
      <c r="A2137">
        <f>HYPERLINK("https://www.philgeps.gov.ph/GEPSNONPILOT/Tender/SplashBidNoticeAbstractUI.aspx?menuIndex=3&amp;refID=7191198&amp;Result=3","7191198")</f>
        <v>0</v>
      </c>
      <c r="B2137" t="s">
        <v>849</v>
      </c>
      <c r="C2137" t="s">
        <v>5575</v>
      </c>
      <c r="D2137" t="s">
        <v>17181</v>
      </c>
      <c r="E2137" t="s">
        <v>19114</v>
      </c>
      <c r="F2137" t="s">
        <v>29372</v>
      </c>
      <c r="G2137" t="s">
        <v>29379</v>
      </c>
      <c r="H2137" t="s">
        <v>11048</v>
      </c>
      <c r="I2137" t="s">
        <v>5383</v>
      </c>
      <c r="J2137" t="s">
        <v>31052</v>
      </c>
      <c r="K2137" t="s">
        <v>38485</v>
      </c>
      <c r="M2137" t="s">
        <v>39639</v>
      </c>
      <c r="N2137" t="s">
        <v>42669</v>
      </c>
      <c r="O2137" t="s">
        <v>42670</v>
      </c>
      <c r="P2137">
        <v>0</v>
      </c>
      <c r="Q2137">
        <v>2</v>
      </c>
      <c r="R2137" t="s">
        <v>42674</v>
      </c>
      <c r="S2137" t="s">
        <v>42788</v>
      </c>
      <c r="T2137" t="s">
        <v>44584</v>
      </c>
      <c r="U2137" t="s">
        <v>46609</v>
      </c>
      <c r="W2137" t="s">
        <v>39639</v>
      </c>
      <c r="X2137" t="s">
        <v>42676</v>
      </c>
    </row>
    <row r="2138" spans="1:24">
      <c r="A2138">
        <f>HYPERLINK("https://www.philgeps.gov.ph/GEPSNONPILOT/Tender/SplashBidNoticeAbstractUI.aspx?menuIndex=3&amp;refID=7191197&amp;Result=3","7191197")</f>
        <v>0</v>
      </c>
      <c r="B2138" t="s">
        <v>861</v>
      </c>
      <c r="C2138" t="s">
        <v>5576</v>
      </c>
      <c r="D2138" t="s">
        <v>17141</v>
      </c>
      <c r="E2138" t="s">
        <v>19130</v>
      </c>
      <c r="F2138" t="s">
        <v>29372</v>
      </c>
      <c r="G2138" t="s">
        <v>29379</v>
      </c>
      <c r="H2138" t="s">
        <v>11048</v>
      </c>
      <c r="I2138" t="s">
        <v>29433</v>
      </c>
      <c r="J2138" t="s">
        <v>31053</v>
      </c>
      <c r="K2138" t="s">
        <v>38490</v>
      </c>
      <c r="M2138" t="s">
        <v>39653</v>
      </c>
      <c r="N2138" t="s">
        <v>42669</v>
      </c>
      <c r="O2138" t="s">
        <v>42670</v>
      </c>
      <c r="P2138">
        <v>0</v>
      </c>
      <c r="Q2138">
        <v>3</v>
      </c>
      <c r="R2138" t="s">
        <v>42674</v>
      </c>
      <c r="S2138" t="s">
        <v>42788</v>
      </c>
      <c r="T2138" t="s">
        <v>44549</v>
      </c>
      <c r="U2138" t="s">
        <v>46610</v>
      </c>
      <c r="V2138" t="s">
        <v>56571</v>
      </c>
      <c r="W2138" t="s">
        <v>39653</v>
      </c>
      <c r="X2138" t="s">
        <v>42676</v>
      </c>
    </row>
    <row r="2139" spans="1:24">
      <c r="A2139">
        <f>HYPERLINK("https://www.philgeps.gov.ph/GEPSNONPILOT/Tender/SplashBidNoticeAbstractUI.aspx?menuIndex=3&amp;refID=7191195&amp;Result=3","7191195")</f>
        <v>0</v>
      </c>
      <c r="B2139" t="s">
        <v>862</v>
      </c>
      <c r="C2139" t="s">
        <v>5577</v>
      </c>
      <c r="D2139" t="s">
        <v>17204</v>
      </c>
      <c r="E2139" t="s">
        <v>17648</v>
      </c>
      <c r="F2139" t="s">
        <v>29372</v>
      </c>
      <c r="G2139" t="s">
        <v>29380</v>
      </c>
      <c r="H2139" t="s">
        <v>11048</v>
      </c>
      <c r="I2139" t="s">
        <v>29417</v>
      </c>
      <c r="J2139" t="s">
        <v>30046</v>
      </c>
      <c r="K2139" t="s">
        <v>38491</v>
      </c>
      <c r="M2139" t="s">
        <v>39654</v>
      </c>
      <c r="N2139" t="s">
        <v>42669</v>
      </c>
      <c r="O2139" t="s">
        <v>42670</v>
      </c>
      <c r="P2139">
        <v>0</v>
      </c>
      <c r="Q2139">
        <v>2</v>
      </c>
      <c r="R2139" t="s">
        <v>42674</v>
      </c>
      <c r="S2139" t="s">
        <v>42788</v>
      </c>
      <c r="T2139" t="s">
        <v>44431</v>
      </c>
      <c r="U2139" t="s">
        <v>46611</v>
      </c>
      <c r="W2139" t="s">
        <v>39654</v>
      </c>
      <c r="X2139" t="s">
        <v>42676</v>
      </c>
    </row>
    <row r="2140" spans="1:24">
      <c r="A2140">
        <f>HYPERLINK("https://www.philgeps.gov.ph/GEPSNONPILOT/Tender/SplashBidNoticeAbstractUI.aspx?menuIndex=3&amp;refID=7191211&amp;Result=3","7191211")</f>
        <v>0</v>
      </c>
      <c r="B2140" t="s">
        <v>863</v>
      </c>
      <c r="C2140" t="s">
        <v>5578</v>
      </c>
      <c r="D2140" t="s">
        <v>17193</v>
      </c>
      <c r="E2140" t="s">
        <v>19131</v>
      </c>
      <c r="F2140" t="s">
        <v>29372</v>
      </c>
      <c r="G2140" t="s">
        <v>29383</v>
      </c>
      <c r="H2140" t="s">
        <v>11048</v>
      </c>
      <c r="I2140" t="s">
        <v>29428</v>
      </c>
      <c r="J2140" t="s">
        <v>31054</v>
      </c>
      <c r="K2140" t="s">
        <v>38489</v>
      </c>
      <c r="M2140" t="s">
        <v>39655</v>
      </c>
      <c r="N2140" t="s">
        <v>42669</v>
      </c>
      <c r="O2140" t="s">
        <v>42670</v>
      </c>
      <c r="P2140">
        <v>0</v>
      </c>
      <c r="Q2140">
        <v>0</v>
      </c>
      <c r="R2140" t="s">
        <v>42674</v>
      </c>
      <c r="S2140" t="s">
        <v>42788</v>
      </c>
      <c r="T2140" t="s">
        <v>44585</v>
      </c>
      <c r="U2140" t="s">
        <v>46612</v>
      </c>
      <c r="W2140" t="s">
        <v>39655</v>
      </c>
      <c r="X2140" t="s">
        <v>42676</v>
      </c>
    </row>
    <row r="2141" spans="1:24">
      <c r="A2141">
        <f>HYPERLINK("https://www.philgeps.gov.ph/GEPSNONPILOT/Tender/SplashBidNoticeAbstractUI.aspx?menuIndex=3&amp;refID=7191149&amp;Result=3","7191149")</f>
        <v>0</v>
      </c>
      <c r="B2141" t="s">
        <v>864</v>
      </c>
      <c r="C2141" t="s">
        <v>5579</v>
      </c>
      <c r="D2141" t="s">
        <v>17167</v>
      </c>
      <c r="E2141" t="s">
        <v>19132</v>
      </c>
      <c r="F2141" t="s">
        <v>29372</v>
      </c>
      <c r="G2141" t="s">
        <v>29380</v>
      </c>
      <c r="H2141" t="s">
        <v>29389</v>
      </c>
      <c r="I2141" t="s">
        <v>10408</v>
      </c>
      <c r="J2141" t="s">
        <v>31055</v>
      </c>
      <c r="K2141" t="s">
        <v>38496</v>
      </c>
      <c r="M2141" t="s">
        <v>39656</v>
      </c>
      <c r="N2141" t="s">
        <v>42669</v>
      </c>
      <c r="O2141" t="s">
        <v>42670</v>
      </c>
      <c r="P2141">
        <v>0</v>
      </c>
      <c r="Q2141">
        <v>0</v>
      </c>
      <c r="R2141" t="s">
        <v>42674</v>
      </c>
      <c r="S2141" t="s">
        <v>42788</v>
      </c>
      <c r="T2141" t="s">
        <v>44542</v>
      </c>
      <c r="U2141" t="s">
        <v>46613</v>
      </c>
      <c r="W2141" t="s">
        <v>39656</v>
      </c>
      <c r="X2141" t="s">
        <v>42676</v>
      </c>
    </row>
    <row r="2142" spans="1:24">
      <c r="A2142">
        <f>HYPERLINK("https://www.philgeps.gov.ph/GEPSNONPILOT/Tender/SplashBidNoticeAbstractUI.aspx?menuIndex=3&amp;refID=7191078&amp;Result=3","7191078")</f>
        <v>0</v>
      </c>
      <c r="B2142" t="s">
        <v>865</v>
      </c>
      <c r="C2142" t="s">
        <v>5580</v>
      </c>
      <c r="E2142" t="s">
        <v>19133</v>
      </c>
      <c r="F2142" t="s">
        <v>29372</v>
      </c>
      <c r="G2142" t="s">
        <v>29379</v>
      </c>
      <c r="H2142" t="s">
        <v>29391</v>
      </c>
      <c r="I2142" t="s">
        <v>29391</v>
      </c>
      <c r="J2142" t="s">
        <v>29708</v>
      </c>
      <c r="K2142" t="s">
        <v>38486</v>
      </c>
      <c r="M2142" t="s">
        <v>39657</v>
      </c>
      <c r="N2142" t="s">
        <v>42669</v>
      </c>
      <c r="O2142" t="s">
        <v>42670</v>
      </c>
      <c r="P2142">
        <v>0</v>
      </c>
      <c r="Q2142">
        <v>1</v>
      </c>
      <c r="R2142" t="s">
        <v>42674</v>
      </c>
      <c r="S2142" t="s">
        <v>42788</v>
      </c>
      <c r="T2142" t="s">
        <v>44394</v>
      </c>
      <c r="U2142" t="s">
        <v>46614</v>
      </c>
      <c r="W2142" t="s">
        <v>39657</v>
      </c>
      <c r="X2142" t="s">
        <v>42676</v>
      </c>
    </row>
    <row r="2143" spans="1:24">
      <c r="A2143">
        <f>HYPERLINK("https://www.philgeps.gov.ph/GEPSNONPILOT/Tender/SplashBidNoticeAbstractUI.aspx?menuIndex=3&amp;refID=7191146&amp;Result=3","7191146")</f>
        <v>0</v>
      </c>
      <c r="B2143" t="s">
        <v>838</v>
      </c>
      <c r="C2143" t="s">
        <v>5581</v>
      </c>
      <c r="D2143" t="s">
        <v>17193</v>
      </c>
      <c r="E2143" t="s">
        <v>19134</v>
      </c>
      <c r="F2143" t="s">
        <v>29372</v>
      </c>
      <c r="G2143" t="s">
        <v>29379</v>
      </c>
      <c r="H2143" t="s">
        <v>11048</v>
      </c>
      <c r="I2143" t="s">
        <v>29478</v>
      </c>
      <c r="J2143" t="s">
        <v>29590</v>
      </c>
      <c r="K2143" t="s">
        <v>38490</v>
      </c>
      <c r="M2143" t="s">
        <v>39628</v>
      </c>
      <c r="N2143" t="s">
        <v>42669</v>
      </c>
      <c r="O2143" t="s">
        <v>42670</v>
      </c>
      <c r="P2143">
        <v>0</v>
      </c>
      <c r="Q2143">
        <v>1</v>
      </c>
      <c r="R2143" t="s">
        <v>42674</v>
      </c>
      <c r="S2143" t="s">
        <v>42788</v>
      </c>
      <c r="T2143" t="s">
        <v>44579</v>
      </c>
      <c r="U2143" t="s">
        <v>46615</v>
      </c>
      <c r="V2143" t="s">
        <v>56569</v>
      </c>
      <c r="W2143" t="s">
        <v>58023</v>
      </c>
      <c r="X2143" t="s">
        <v>42676</v>
      </c>
    </row>
    <row r="2144" spans="1:24">
      <c r="A2144">
        <f>HYPERLINK("https://www.philgeps.gov.ph/GEPSNONPILOT/Tender/SplashBidNoticeAbstractUI.aspx?menuIndex=3&amp;refID=7191121&amp;Result=3","7191121")</f>
        <v>0</v>
      </c>
      <c r="B2144" t="s">
        <v>838</v>
      </c>
      <c r="C2144" t="s">
        <v>5582</v>
      </c>
      <c r="D2144" t="s">
        <v>17193</v>
      </c>
      <c r="E2144" t="s">
        <v>19135</v>
      </c>
      <c r="F2144" t="s">
        <v>29372</v>
      </c>
      <c r="G2144" t="s">
        <v>29379</v>
      </c>
      <c r="H2144" t="s">
        <v>11048</v>
      </c>
      <c r="I2144" t="s">
        <v>3839</v>
      </c>
      <c r="J2144" t="s">
        <v>29555</v>
      </c>
      <c r="K2144" t="s">
        <v>38485</v>
      </c>
      <c r="M2144" t="s">
        <v>39628</v>
      </c>
      <c r="N2144" t="s">
        <v>42669</v>
      </c>
      <c r="O2144" t="s">
        <v>42670</v>
      </c>
      <c r="P2144">
        <v>0</v>
      </c>
      <c r="Q2144">
        <v>0</v>
      </c>
      <c r="R2144" t="s">
        <v>42674</v>
      </c>
      <c r="S2144" t="s">
        <v>42788</v>
      </c>
      <c r="T2144" t="s">
        <v>44579</v>
      </c>
      <c r="U2144" t="s">
        <v>46616</v>
      </c>
      <c r="V2144" t="s">
        <v>56569</v>
      </c>
      <c r="W2144" t="s">
        <v>58023</v>
      </c>
      <c r="X2144" t="s">
        <v>42676</v>
      </c>
    </row>
    <row r="2145" spans="1:24">
      <c r="A2145">
        <f>HYPERLINK("https://www.philgeps.gov.ph/GEPSNONPILOT/Tender/SplashBidNoticeAbstractUI.aspx?menuIndex=3&amp;refID=7190896&amp;Result=3","7190896")</f>
        <v>0</v>
      </c>
      <c r="B2145" t="s">
        <v>747</v>
      </c>
      <c r="C2145" t="s">
        <v>5583</v>
      </c>
      <c r="E2145" t="s">
        <v>19136</v>
      </c>
      <c r="F2145" t="s">
        <v>29372</v>
      </c>
      <c r="G2145" t="s">
        <v>29383</v>
      </c>
      <c r="H2145" t="s">
        <v>11048</v>
      </c>
      <c r="I2145" t="s">
        <v>3952</v>
      </c>
      <c r="J2145" t="s">
        <v>31056</v>
      </c>
      <c r="K2145" t="s">
        <v>38490</v>
      </c>
      <c r="M2145" t="s">
        <v>39530</v>
      </c>
      <c r="N2145" t="s">
        <v>42669</v>
      </c>
      <c r="O2145" t="s">
        <v>42670</v>
      </c>
      <c r="P2145">
        <v>0</v>
      </c>
      <c r="Q2145">
        <v>0</v>
      </c>
      <c r="R2145" t="s">
        <v>42674</v>
      </c>
      <c r="S2145" t="s">
        <v>42788</v>
      </c>
      <c r="T2145" t="s">
        <v>44570</v>
      </c>
      <c r="U2145" t="s">
        <v>46617</v>
      </c>
      <c r="W2145" t="s">
        <v>39530</v>
      </c>
      <c r="X2145" t="s">
        <v>42676</v>
      </c>
    </row>
    <row r="2146" spans="1:24">
      <c r="A2146">
        <f>HYPERLINK("https://www.philgeps.gov.ph/GEPSNONPILOT/Tender/SplashBidNoticeAbstractUI.aspx?menuIndex=3&amp;refID=7191150&amp;Result=3","7191150")</f>
        <v>0</v>
      </c>
      <c r="B2146" t="s">
        <v>866</v>
      </c>
      <c r="C2146" t="s">
        <v>5584</v>
      </c>
      <c r="D2146" t="s">
        <v>17193</v>
      </c>
      <c r="E2146" t="s">
        <v>19137</v>
      </c>
      <c r="F2146" t="s">
        <v>29372</v>
      </c>
      <c r="G2146" t="s">
        <v>29383</v>
      </c>
      <c r="H2146" t="s">
        <v>11048</v>
      </c>
      <c r="I2146" t="s">
        <v>3629</v>
      </c>
      <c r="J2146" t="s">
        <v>29700</v>
      </c>
      <c r="K2146" t="s">
        <v>38488</v>
      </c>
      <c r="M2146" t="s">
        <v>39658</v>
      </c>
      <c r="N2146" t="s">
        <v>42669</v>
      </c>
      <c r="O2146" t="s">
        <v>42670</v>
      </c>
      <c r="P2146">
        <v>0</v>
      </c>
      <c r="Q2146">
        <v>1</v>
      </c>
      <c r="R2146" t="s">
        <v>42674</v>
      </c>
      <c r="S2146" t="s">
        <v>42788</v>
      </c>
      <c r="T2146" t="s">
        <v>44488</v>
      </c>
      <c r="U2146" t="s">
        <v>46618</v>
      </c>
      <c r="W2146" t="s">
        <v>39658</v>
      </c>
      <c r="X2146" t="s">
        <v>42676</v>
      </c>
    </row>
    <row r="2147" spans="1:24">
      <c r="A2147">
        <f>HYPERLINK("https://www.philgeps.gov.ph/GEPSNONPILOT/Tender/SplashBidNoticeAbstractUI.aspx?menuIndex=3&amp;refID=7191115&amp;Result=3","7191115")</f>
        <v>0</v>
      </c>
      <c r="B2147" t="s">
        <v>844</v>
      </c>
      <c r="C2147" t="s">
        <v>5585</v>
      </c>
      <c r="D2147" t="s">
        <v>17209</v>
      </c>
      <c r="E2147" t="s">
        <v>19138</v>
      </c>
      <c r="F2147" t="s">
        <v>29372</v>
      </c>
      <c r="G2147" t="s">
        <v>29379</v>
      </c>
      <c r="H2147" t="s">
        <v>11048</v>
      </c>
      <c r="I2147" t="s">
        <v>3670</v>
      </c>
      <c r="J2147" t="s">
        <v>31057</v>
      </c>
      <c r="K2147" t="s">
        <v>38491</v>
      </c>
      <c r="M2147" t="s">
        <v>39634</v>
      </c>
      <c r="N2147" t="s">
        <v>42669</v>
      </c>
      <c r="O2147" t="s">
        <v>42670</v>
      </c>
      <c r="P2147">
        <v>0</v>
      </c>
      <c r="Q2147">
        <v>0</v>
      </c>
      <c r="R2147" t="s">
        <v>42674</v>
      </c>
      <c r="S2147" t="s">
        <v>42788</v>
      </c>
      <c r="T2147" t="s">
        <v>44387</v>
      </c>
      <c r="U2147" t="s">
        <v>46577</v>
      </c>
      <c r="W2147" t="s">
        <v>39634</v>
      </c>
      <c r="X2147" t="s">
        <v>42676</v>
      </c>
    </row>
    <row r="2148" spans="1:24">
      <c r="A2148">
        <f>HYPERLINK("https://www.philgeps.gov.ph/GEPSNONPILOT/Tender/SplashBidNoticeAbstractUI.aspx?menuIndex=3&amp;refID=7191114&amp;Result=3","7191114")</f>
        <v>0</v>
      </c>
      <c r="B2148" t="s">
        <v>867</v>
      </c>
      <c r="C2148" t="s">
        <v>5586</v>
      </c>
      <c r="D2148" t="s">
        <v>17226</v>
      </c>
      <c r="E2148" t="s">
        <v>19139</v>
      </c>
      <c r="F2148" t="s">
        <v>29372</v>
      </c>
      <c r="G2148" t="s">
        <v>29380</v>
      </c>
      <c r="H2148" t="s">
        <v>11048</v>
      </c>
      <c r="I2148" t="s">
        <v>4709</v>
      </c>
      <c r="J2148" t="s">
        <v>31058</v>
      </c>
      <c r="K2148" t="s">
        <v>38518</v>
      </c>
      <c r="L2148" t="s">
        <v>867</v>
      </c>
      <c r="M2148" t="s">
        <v>39659</v>
      </c>
      <c r="N2148" t="s">
        <v>42669</v>
      </c>
      <c r="O2148" t="s">
        <v>42670</v>
      </c>
      <c r="P2148">
        <v>0</v>
      </c>
      <c r="Q2148">
        <v>1</v>
      </c>
      <c r="R2148" t="s">
        <v>42674</v>
      </c>
      <c r="S2148" t="s">
        <v>42788</v>
      </c>
      <c r="T2148" t="s">
        <v>44586</v>
      </c>
      <c r="U2148" t="s">
        <v>46619</v>
      </c>
      <c r="W2148" t="s">
        <v>39659</v>
      </c>
      <c r="X2148" t="s">
        <v>42676</v>
      </c>
    </row>
    <row r="2149" spans="1:24">
      <c r="A2149">
        <f>HYPERLINK("https://www.philgeps.gov.ph/GEPSNONPILOT/Tender/SplashBidNoticeAbstractUI.aspx?menuIndex=3&amp;refID=7191113&amp;Result=3","7191113")</f>
        <v>0</v>
      </c>
      <c r="B2149" t="s">
        <v>841</v>
      </c>
      <c r="C2149" t="s">
        <v>5587</v>
      </c>
      <c r="D2149" t="s">
        <v>17150</v>
      </c>
      <c r="E2149" t="s">
        <v>19140</v>
      </c>
      <c r="F2149" t="s">
        <v>29372</v>
      </c>
      <c r="G2149" t="s">
        <v>29379</v>
      </c>
      <c r="H2149" t="s">
        <v>11048</v>
      </c>
      <c r="I2149" t="s">
        <v>29403</v>
      </c>
      <c r="J2149" t="s">
        <v>31059</v>
      </c>
      <c r="K2149" t="s">
        <v>38490</v>
      </c>
      <c r="M2149" t="s">
        <v>39631</v>
      </c>
      <c r="N2149" t="s">
        <v>42669</v>
      </c>
      <c r="O2149" t="s">
        <v>42670</v>
      </c>
      <c r="P2149">
        <v>0</v>
      </c>
      <c r="Q2149">
        <v>0</v>
      </c>
      <c r="R2149" t="s">
        <v>42674</v>
      </c>
      <c r="S2149" t="s">
        <v>42788</v>
      </c>
      <c r="T2149" t="s">
        <v>44399</v>
      </c>
      <c r="U2149" t="s">
        <v>46620</v>
      </c>
      <c r="W2149" t="s">
        <v>39631</v>
      </c>
      <c r="X2149" t="s">
        <v>42676</v>
      </c>
    </row>
    <row r="2150" spans="1:24">
      <c r="A2150">
        <f>HYPERLINK("https://www.philgeps.gov.ph/GEPSNONPILOT/Tender/SplashBidNoticeAbstractUI.aspx?menuIndex=3&amp;refID=7191109&amp;Result=3","7191109")</f>
        <v>0</v>
      </c>
      <c r="B2150" t="s">
        <v>849</v>
      </c>
      <c r="C2150" t="s">
        <v>5588</v>
      </c>
      <c r="D2150" t="s">
        <v>17181</v>
      </c>
      <c r="E2150" t="s">
        <v>19141</v>
      </c>
      <c r="F2150" t="s">
        <v>29372</v>
      </c>
      <c r="G2150" t="s">
        <v>29379</v>
      </c>
      <c r="H2150" t="s">
        <v>11048</v>
      </c>
      <c r="I2150" t="s">
        <v>9469</v>
      </c>
      <c r="J2150" t="s">
        <v>29824</v>
      </c>
      <c r="K2150" t="s">
        <v>38485</v>
      </c>
      <c r="M2150" t="s">
        <v>39639</v>
      </c>
      <c r="N2150" t="s">
        <v>42669</v>
      </c>
      <c r="O2150" t="s">
        <v>42670</v>
      </c>
      <c r="P2150">
        <v>0</v>
      </c>
      <c r="Q2150">
        <v>0</v>
      </c>
      <c r="R2150" t="s">
        <v>42674</v>
      </c>
      <c r="S2150" t="s">
        <v>42788</v>
      </c>
      <c r="T2150" t="s">
        <v>44580</v>
      </c>
      <c r="U2150" t="s">
        <v>46621</v>
      </c>
      <c r="W2150" t="s">
        <v>39639</v>
      </c>
      <c r="X2150" t="s">
        <v>42676</v>
      </c>
    </row>
    <row r="2151" spans="1:24">
      <c r="A2151">
        <f>HYPERLINK("https://www.philgeps.gov.ph/GEPSNONPILOT/Tender/SplashBidNoticeAbstractUI.aspx?menuIndex=3&amp;refID=7191108&amp;Result=3","7191108")</f>
        <v>0</v>
      </c>
      <c r="B2151" t="s">
        <v>469</v>
      </c>
      <c r="C2151" t="s">
        <v>5589</v>
      </c>
      <c r="D2151" t="s">
        <v>17170</v>
      </c>
      <c r="E2151" t="s">
        <v>19142</v>
      </c>
      <c r="F2151" t="s">
        <v>29372</v>
      </c>
      <c r="G2151" t="s">
        <v>29379</v>
      </c>
      <c r="H2151" t="s">
        <v>11048</v>
      </c>
      <c r="I2151" t="s">
        <v>3670</v>
      </c>
      <c r="J2151" t="s">
        <v>31060</v>
      </c>
      <c r="K2151" t="s">
        <v>38485</v>
      </c>
      <c r="M2151" t="s">
        <v>39233</v>
      </c>
      <c r="N2151" t="s">
        <v>42669</v>
      </c>
      <c r="O2151" t="s">
        <v>42670</v>
      </c>
      <c r="P2151">
        <v>0</v>
      </c>
      <c r="Q2151">
        <v>0</v>
      </c>
      <c r="R2151" t="s">
        <v>42674</v>
      </c>
      <c r="S2151" t="s">
        <v>42788</v>
      </c>
      <c r="T2151" t="s">
        <v>44432</v>
      </c>
      <c r="U2151" t="s">
        <v>46622</v>
      </c>
      <c r="W2151" t="s">
        <v>39233</v>
      </c>
      <c r="X2151" t="s">
        <v>42676</v>
      </c>
    </row>
    <row r="2152" spans="1:24">
      <c r="A2152">
        <f>HYPERLINK("https://www.philgeps.gov.ph/GEPSNONPILOT/Tender/SplashBidNoticeAbstractUI.aspx?menuIndex=3&amp;refID=7191118&amp;Result=3","7191118")</f>
        <v>0</v>
      </c>
      <c r="B2152" t="s">
        <v>868</v>
      </c>
      <c r="C2152" t="s">
        <v>5590</v>
      </c>
      <c r="D2152" t="s">
        <v>17154</v>
      </c>
      <c r="E2152" t="s">
        <v>19143</v>
      </c>
      <c r="F2152" t="s">
        <v>29372</v>
      </c>
      <c r="G2152" t="s">
        <v>29379</v>
      </c>
      <c r="H2152" t="s">
        <v>29390</v>
      </c>
      <c r="I2152" t="s">
        <v>29409</v>
      </c>
      <c r="J2152" t="s">
        <v>31061</v>
      </c>
      <c r="K2152" t="s">
        <v>38510</v>
      </c>
      <c r="M2152" t="s">
        <v>39660</v>
      </c>
      <c r="N2152" t="s">
        <v>42669</v>
      </c>
      <c r="O2152" t="s">
        <v>42670</v>
      </c>
      <c r="P2152">
        <v>0</v>
      </c>
      <c r="Q2152">
        <v>2</v>
      </c>
      <c r="R2152" t="s">
        <v>42674</v>
      </c>
      <c r="S2152" t="s">
        <v>42788</v>
      </c>
      <c r="T2152" t="s">
        <v>44427</v>
      </c>
      <c r="U2152" t="s">
        <v>46623</v>
      </c>
      <c r="W2152" t="s">
        <v>39660</v>
      </c>
      <c r="X2152" t="s">
        <v>42676</v>
      </c>
    </row>
    <row r="2153" spans="1:24">
      <c r="A2153">
        <f>HYPERLINK("https://www.philgeps.gov.ph/GEPSNONPILOT/Tender/SplashBidNoticeAbstractUI.aspx?menuIndex=3&amp;refID=7191145&amp;Result=3","7191145")</f>
        <v>0</v>
      </c>
      <c r="B2153" t="s">
        <v>339</v>
      </c>
      <c r="C2153" t="s">
        <v>5591</v>
      </c>
      <c r="D2153" t="s">
        <v>17156</v>
      </c>
      <c r="E2153" t="s">
        <v>19144</v>
      </c>
      <c r="F2153" t="s">
        <v>29372</v>
      </c>
      <c r="G2153" t="s">
        <v>29380</v>
      </c>
      <c r="H2153" t="s">
        <v>11048</v>
      </c>
      <c r="I2153" t="s">
        <v>4709</v>
      </c>
      <c r="J2153" t="s">
        <v>31062</v>
      </c>
      <c r="K2153" t="s">
        <v>38485</v>
      </c>
      <c r="M2153" t="s">
        <v>39651</v>
      </c>
      <c r="N2153" t="s">
        <v>42669</v>
      </c>
      <c r="O2153" t="s">
        <v>42670</v>
      </c>
      <c r="P2153">
        <v>0</v>
      </c>
      <c r="Q2153">
        <v>0</v>
      </c>
      <c r="R2153" t="s">
        <v>42674</v>
      </c>
      <c r="S2153" t="s">
        <v>42788</v>
      </c>
      <c r="T2153" t="s">
        <v>44397</v>
      </c>
      <c r="U2153" t="s">
        <v>46624</v>
      </c>
      <c r="W2153" t="s">
        <v>39651</v>
      </c>
      <c r="X2153" t="s">
        <v>42676</v>
      </c>
    </row>
    <row r="2154" spans="1:24">
      <c r="A2154">
        <f>HYPERLINK("https://www.philgeps.gov.ph/GEPSNONPILOT/Tender/SplashBidNoticeAbstractUI.aspx?menuIndex=3&amp;refID=7191217&amp;Result=3","7191217")</f>
        <v>0</v>
      </c>
      <c r="B2154" t="s">
        <v>566</v>
      </c>
      <c r="C2154" t="s">
        <v>5592</v>
      </c>
      <c r="E2154" t="s">
        <v>19145</v>
      </c>
      <c r="F2154" t="s">
        <v>29372</v>
      </c>
      <c r="G2154" t="s">
        <v>29380</v>
      </c>
      <c r="H2154" t="s">
        <v>11048</v>
      </c>
      <c r="I2154" t="s">
        <v>29414</v>
      </c>
      <c r="J2154" t="s">
        <v>29729</v>
      </c>
      <c r="K2154" t="s">
        <v>38490</v>
      </c>
      <c r="M2154" t="s">
        <v>39476</v>
      </c>
      <c r="N2154" t="s">
        <v>42669</v>
      </c>
      <c r="O2154" t="s">
        <v>42670</v>
      </c>
      <c r="P2154">
        <v>0</v>
      </c>
      <c r="Q2154">
        <v>8</v>
      </c>
      <c r="R2154" t="s">
        <v>42674</v>
      </c>
      <c r="S2154" t="s">
        <v>42788</v>
      </c>
      <c r="T2154" t="s">
        <v>44536</v>
      </c>
      <c r="U2154" t="s">
        <v>46306</v>
      </c>
      <c r="W2154" t="s">
        <v>39476</v>
      </c>
      <c r="X2154" t="s">
        <v>42676</v>
      </c>
    </row>
    <row r="2155" spans="1:24">
      <c r="A2155">
        <f>HYPERLINK("https://www.philgeps.gov.ph/GEPSNONPILOT/Tender/SplashBidNoticeAbstractUI.aspx?menuIndex=3&amp;refID=7191075&amp;Result=3","7191075")</f>
        <v>0</v>
      </c>
      <c r="B2155" t="s">
        <v>839</v>
      </c>
      <c r="C2155" t="s">
        <v>5593</v>
      </c>
      <c r="D2155" t="s">
        <v>17145</v>
      </c>
      <c r="E2155" t="s">
        <v>19146</v>
      </c>
      <c r="F2155" t="s">
        <v>29372</v>
      </c>
      <c r="G2155" t="s">
        <v>29380</v>
      </c>
      <c r="H2155" t="s">
        <v>11048</v>
      </c>
      <c r="I2155" t="s">
        <v>29455</v>
      </c>
      <c r="J2155" t="s">
        <v>30161</v>
      </c>
      <c r="K2155" t="s">
        <v>38522</v>
      </c>
      <c r="M2155" t="s">
        <v>39629</v>
      </c>
      <c r="N2155" t="s">
        <v>42669</v>
      </c>
      <c r="O2155" t="s">
        <v>42670</v>
      </c>
      <c r="P2155">
        <v>0</v>
      </c>
      <c r="Q2155">
        <v>1</v>
      </c>
      <c r="R2155" t="s">
        <v>42674</v>
      </c>
      <c r="S2155" t="s">
        <v>42788</v>
      </c>
      <c r="T2155" t="s">
        <v>44381</v>
      </c>
      <c r="U2155" t="s">
        <v>46625</v>
      </c>
      <c r="W2155" t="s">
        <v>39629</v>
      </c>
      <c r="X2155" t="s">
        <v>42676</v>
      </c>
    </row>
    <row r="2156" spans="1:24">
      <c r="A2156">
        <f>HYPERLINK("https://www.philgeps.gov.ph/GEPSNONPILOT/Tender/SplashBidNoticeAbstractUI.aspx?menuIndex=3&amp;refID=7191111&amp;Result=3","7191111")</f>
        <v>0</v>
      </c>
      <c r="B2156" t="s">
        <v>869</v>
      </c>
      <c r="C2156" t="s">
        <v>5594</v>
      </c>
      <c r="D2156" t="s">
        <v>17142</v>
      </c>
      <c r="E2156" t="s">
        <v>19147</v>
      </c>
      <c r="F2156" t="s">
        <v>29372</v>
      </c>
      <c r="G2156" t="s">
        <v>29380</v>
      </c>
      <c r="H2156" t="s">
        <v>11048</v>
      </c>
      <c r="I2156" t="s">
        <v>3597</v>
      </c>
      <c r="J2156" t="s">
        <v>29526</v>
      </c>
      <c r="K2156" t="s">
        <v>38485</v>
      </c>
      <c r="M2156" t="s">
        <v>39661</v>
      </c>
      <c r="N2156" t="s">
        <v>42669</v>
      </c>
      <c r="O2156" t="s">
        <v>42670</v>
      </c>
      <c r="P2156">
        <v>0</v>
      </c>
      <c r="Q2156">
        <v>5</v>
      </c>
      <c r="R2156" t="s">
        <v>42674</v>
      </c>
      <c r="S2156" t="s">
        <v>42788</v>
      </c>
      <c r="T2156" t="s">
        <v>44396</v>
      </c>
      <c r="U2156" t="s">
        <v>46626</v>
      </c>
      <c r="W2156" t="s">
        <v>39661</v>
      </c>
      <c r="X2156" t="s">
        <v>42676</v>
      </c>
    </row>
    <row r="2157" spans="1:24">
      <c r="A2157">
        <f>HYPERLINK("https://www.philgeps.gov.ph/GEPSNONPILOT/Tender/SplashBidNoticeAbstractUI.aspx?menuIndex=3&amp;refID=7191072&amp;Result=3","7191072")</f>
        <v>0</v>
      </c>
      <c r="B2157" t="s">
        <v>870</v>
      </c>
      <c r="C2157" t="s">
        <v>5595</v>
      </c>
      <c r="D2157" t="s">
        <v>17199</v>
      </c>
      <c r="E2157" t="s">
        <v>19148</v>
      </c>
      <c r="F2157" t="s">
        <v>29372</v>
      </c>
      <c r="G2157" t="s">
        <v>29379</v>
      </c>
      <c r="H2157" t="s">
        <v>11048</v>
      </c>
      <c r="I2157" t="s">
        <v>4486</v>
      </c>
      <c r="J2157" t="s">
        <v>30451</v>
      </c>
      <c r="K2157" t="s">
        <v>38485</v>
      </c>
      <c r="M2157" t="s">
        <v>39662</v>
      </c>
      <c r="N2157" t="s">
        <v>42669</v>
      </c>
      <c r="O2157" t="s">
        <v>42670</v>
      </c>
      <c r="P2157">
        <v>0</v>
      </c>
      <c r="Q2157">
        <v>3</v>
      </c>
      <c r="R2157" t="s">
        <v>42674</v>
      </c>
      <c r="S2157" t="s">
        <v>42788</v>
      </c>
      <c r="T2157" t="s">
        <v>44399</v>
      </c>
      <c r="U2157" t="s">
        <v>46627</v>
      </c>
      <c r="W2157" t="s">
        <v>39662</v>
      </c>
      <c r="X2157" t="s">
        <v>42676</v>
      </c>
    </row>
    <row r="2158" spans="1:24">
      <c r="A2158">
        <f>HYPERLINK("https://www.philgeps.gov.ph/GEPSNONPILOT/Tender/SplashBidNoticeAbstractUI.aspx?menuIndex=3&amp;refID=7191254&amp;Result=3","7191254")</f>
        <v>0</v>
      </c>
      <c r="B2158" t="s">
        <v>566</v>
      </c>
      <c r="C2158" t="s">
        <v>5596</v>
      </c>
      <c r="E2158" t="s">
        <v>19149</v>
      </c>
      <c r="F2158" t="s">
        <v>29372</v>
      </c>
      <c r="G2158" t="s">
        <v>29380</v>
      </c>
      <c r="H2158" t="s">
        <v>11048</v>
      </c>
      <c r="I2158" t="s">
        <v>29414</v>
      </c>
      <c r="J2158" t="s">
        <v>30308</v>
      </c>
      <c r="K2158" t="s">
        <v>38490</v>
      </c>
      <c r="M2158" t="s">
        <v>39476</v>
      </c>
      <c r="N2158" t="s">
        <v>42669</v>
      </c>
      <c r="O2158" t="s">
        <v>42670</v>
      </c>
      <c r="P2158">
        <v>0</v>
      </c>
      <c r="Q2158">
        <v>11</v>
      </c>
      <c r="R2158" t="s">
        <v>42674</v>
      </c>
      <c r="S2158" t="s">
        <v>42788</v>
      </c>
      <c r="T2158" t="s">
        <v>44536</v>
      </c>
      <c r="U2158" t="s">
        <v>46306</v>
      </c>
      <c r="W2158" t="s">
        <v>39476</v>
      </c>
      <c r="X2158" t="s">
        <v>42676</v>
      </c>
    </row>
    <row r="2159" spans="1:24">
      <c r="A2159">
        <f>HYPERLINK("https://www.philgeps.gov.ph/GEPSNONPILOT/Tender/SplashBidNoticeAbstractUI.aspx?menuIndex=3&amp;refID=7191069&amp;Result=3","7191069")</f>
        <v>0</v>
      </c>
      <c r="B2159" t="s">
        <v>613</v>
      </c>
      <c r="C2159" t="s">
        <v>5597</v>
      </c>
      <c r="D2159" t="s">
        <v>17205</v>
      </c>
      <c r="E2159" t="s">
        <v>19150</v>
      </c>
      <c r="F2159" t="s">
        <v>29372</v>
      </c>
      <c r="G2159" t="s">
        <v>29380</v>
      </c>
      <c r="H2159" t="s">
        <v>11048</v>
      </c>
      <c r="I2159" t="s">
        <v>29414</v>
      </c>
      <c r="J2159" t="s">
        <v>31063</v>
      </c>
      <c r="K2159" t="s">
        <v>38490</v>
      </c>
      <c r="M2159" t="s">
        <v>39384</v>
      </c>
      <c r="N2159" t="s">
        <v>42669</v>
      </c>
      <c r="O2159" t="s">
        <v>42670</v>
      </c>
      <c r="P2159">
        <v>0</v>
      </c>
      <c r="Q2159">
        <v>19</v>
      </c>
      <c r="R2159" t="s">
        <v>42674</v>
      </c>
      <c r="S2159" t="s">
        <v>42788</v>
      </c>
      <c r="T2159" t="s">
        <v>44363</v>
      </c>
      <c r="U2159" t="s">
        <v>46628</v>
      </c>
      <c r="V2159" t="s">
        <v>56572</v>
      </c>
      <c r="W2159" t="s">
        <v>39384</v>
      </c>
      <c r="X2159" t="s">
        <v>42676</v>
      </c>
    </row>
    <row r="2160" spans="1:24">
      <c r="A2160">
        <f>HYPERLINK("https://www.philgeps.gov.ph/GEPSNONPILOT/Tender/SplashBidNoticeAbstractUI.aspx?menuIndex=3&amp;refID=7191279&amp;Result=3","7191279")</f>
        <v>0</v>
      </c>
      <c r="B2160" t="s">
        <v>871</v>
      </c>
      <c r="C2160" t="s">
        <v>5598</v>
      </c>
      <c r="D2160" t="s">
        <v>17189</v>
      </c>
      <c r="E2160" t="s">
        <v>18599</v>
      </c>
      <c r="F2160" t="s">
        <v>29372</v>
      </c>
      <c r="G2160" t="s">
        <v>29380</v>
      </c>
      <c r="H2160" t="s">
        <v>11048</v>
      </c>
      <c r="I2160" t="s">
        <v>4709</v>
      </c>
      <c r="J2160" t="s">
        <v>31064</v>
      </c>
      <c r="K2160" t="s">
        <v>38488</v>
      </c>
      <c r="M2160" t="s">
        <v>39663</v>
      </c>
      <c r="N2160" t="s">
        <v>42669</v>
      </c>
      <c r="O2160" t="s">
        <v>42670</v>
      </c>
      <c r="P2160">
        <v>0</v>
      </c>
      <c r="Q2160">
        <v>0</v>
      </c>
      <c r="R2160" t="s">
        <v>42674</v>
      </c>
      <c r="S2160" t="s">
        <v>42788</v>
      </c>
      <c r="T2160" t="s">
        <v>44470</v>
      </c>
      <c r="U2160" t="s">
        <v>46629</v>
      </c>
      <c r="V2160" t="s">
        <v>56573</v>
      </c>
      <c r="W2160" t="s">
        <v>39663</v>
      </c>
      <c r="X2160" t="s">
        <v>42676</v>
      </c>
    </row>
    <row r="2161" spans="1:24">
      <c r="A2161">
        <f>HYPERLINK("https://www.philgeps.gov.ph/GEPSNONPILOT/Tender/SplashBidNoticeAbstractUI.aspx?menuIndex=3&amp;refID=7191276&amp;Result=3","7191276")</f>
        <v>0</v>
      </c>
      <c r="B2161" t="s">
        <v>844</v>
      </c>
      <c r="C2161" t="s">
        <v>5599</v>
      </c>
      <c r="D2161" t="s">
        <v>17219</v>
      </c>
      <c r="E2161" t="s">
        <v>19151</v>
      </c>
      <c r="F2161" t="s">
        <v>29372</v>
      </c>
      <c r="G2161" t="s">
        <v>29379</v>
      </c>
      <c r="H2161" t="s">
        <v>11048</v>
      </c>
      <c r="I2161" t="s">
        <v>29415</v>
      </c>
      <c r="J2161" t="s">
        <v>29799</v>
      </c>
      <c r="K2161" t="s">
        <v>38485</v>
      </c>
      <c r="M2161" t="s">
        <v>39634</v>
      </c>
      <c r="N2161" t="s">
        <v>42669</v>
      </c>
      <c r="O2161" t="s">
        <v>42670</v>
      </c>
      <c r="P2161">
        <v>0</v>
      </c>
      <c r="Q2161">
        <v>1</v>
      </c>
      <c r="R2161" t="s">
        <v>42674</v>
      </c>
      <c r="S2161" t="s">
        <v>42788</v>
      </c>
      <c r="T2161" t="s">
        <v>44387</v>
      </c>
      <c r="U2161" t="s">
        <v>46577</v>
      </c>
      <c r="W2161" t="s">
        <v>39634</v>
      </c>
      <c r="X2161" t="s">
        <v>42676</v>
      </c>
    </row>
    <row r="2162" spans="1:24">
      <c r="A2162">
        <f>HYPERLINK("https://www.philgeps.gov.ph/GEPSNONPILOT/Tender/SplashBidNoticeAbstractUI.aspx?menuIndex=3&amp;refID=7191275&amp;Result=3","7191275")</f>
        <v>0</v>
      </c>
      <c r="B2162" t="s">
        <v>872</v>
      </c>
      <c r="C2162" t="s">
        <v>5600</v>
      </c>
      <c r="D2162" t="s">
        <v>17159</v>
      </c>
      <c r="E2162" t="s">
        <v>19152</v>
      </c>
      <c r="F2162" t="s">
        <v>29372</v>
      </c>
      <c r="G2162" t="s">
        <v>29379</v>
      </c>
      <c r="H2162" t="s">
        <v>11048</v>
      </c>
      <c r="I2162" t="s">
        <v>29403</v>
      </c>
      <c r="J2162" t="s">
        <v>31065</v>
      </c>
      <c r="K2162" t="s">
        <v>38489</v>
      </c>
      <c r="M2162" t="s">
        <v>39664</v>
      </c>
      <c r="N2162" t="s">
        <v>42669</v>
      </c>
      <c r="O2162" t="s">
        <v>42670</v>
      </c>
      <c r="P2162">
        <v>0</v>
      </c>
      <c r="Q2162">
        <v>0</v>
      </c>
      <c r="R2162" t="s">
        <v>42674</v>
      </c>
      <c r="S2162" t="s">
        <v>42788</v>
      </c>
      <c r="T2162" t="s">
        <v>44488</v>
      </c>
      <c r="U2162" t="s">
        <v>46630</v>
      </c>
      <c r="V2162" t="s">
        <v>56381</v>
      </c>
      <c r="W2162" t="s">
        <v>39664</v>
      </c>
      <c r="X2162" t="s">
        <v>42676</v>
      </c>
    </row>
    <row r="2163" spans="1:24">
      <c r="A2163">
        <f>HYPERLINK("https://www.philgeps.gov.ph/GEPSNONPILOT/Tender/SplashBidNoticeAbstractUI.aspx?menuIndex=3&amp;refID=7191269&amp;Result=3","7191269")</f>
        <v>0</v>
      </c>
      <c r="B2163" t="s">
        <v>649</v>
      </c>
      <c r="C2163" t="s">
        <v>5601</v>
      </c>
      <c r="D2163" t="s">
        <v>17162</v>
      </c>
      <c r="E2163" t="s">
        <v>19153</v>
      </c>
      <c r="F2163" t="s">
        <v>29372</v>
      </c>
      <c r="G2163" t="s">
        <v>29380</v>
      </c>
      <c r="H2163" t="s">
        <v>11048</v>
      </c>
      <c r="I2163" t="s">
        <v>4487</v>
      </c>
      <c r="J2163" t="s">
        <v>31066</v>
      </c>
      <c r="K2163" t="s">
        <v>38510</v>
      </c>
      <c r="M2163" t="s">
        <v>39423</v>
      </c>
      <c r="N2163" t="s">
        <v>42669</v>
      </c>
      <c r="O2163" t="s">
        <v>42670</v>
      </c>
      <c r="P2163">
        <v>0</v>
      </c>
      <c r="Q2163">
        <v>6</v>
      </c>
      <c r="R2163" t="s">
        <v>42674</v>
      </c>
      <c r="S2163" t="s">
        <v>42788</v>
      </c>
      <c r="T2163" t="s">
        <v>44550</v>
      </c>
      <c r="U2163" t="s">
        <v>46631</v>
      </c>
      <c r="W2163" t="s">
        <v>39423</v>
      </c>
      <c r="X2163" t="s">
        <v>42676</v>
      </c>
    </row>
    <row r="2164" spans="1:24">
      <c r="A2164">
        <f>HYPERLINK("https://www.philgeps.gov.ph/GEPSNONPILOT/Tender/SplashBidNoticeAbstractUI.aspx?menuIndex=3&amp;refID=7191278&amp;Result=3","7191278")</f>
        <v>0</v>
      </c>
      <c r="B2164" t="s">
        <v>873</v>
      </c>
      <c r="C2164" t="s">
        <v>5602</v>
      </c>
      <c r="D2164" t="s">
        <v>17145</v>
      </c>
      <c r="E2164" t="s">
        <v>19154</v>
      </c>
      <c r="F2164" t="s">
        <v>29372</v>
      </c>
      <c r="G2164" t="s">
        <v>29380</v>
      </c>
      <c r="H2164" t="s">
        <v>29389</v>
      </c>
      <c r="I2164" t="s">
        <v>10408</v>
      </c>
      <c r="J2164" t="s">
        <v>30787</v>
      </c>
      <c r="K2164" t="s">
        <v>38496</v>
      </c>
      <c r="M2164" t="s">
        <v>39665</v>
      </c>
      <c r="N2164" t="s">
        <v>42669</v>
      </c>
      <c r="O2164" t="s">
        <v>42670</v>
      </c>
      <c r="P2164">
        <v>0</v>
      </c>
      <c r="Q2164">
        <v>1</v>
      </c>
      <c r="R2164" t="s">
        <v>42674</v>
      </c>
      <c r="S2164" t="s">
        <v>42788</v>
      </c>
      <c r="T2164" t="s">
        <v>44539</v>
      </c>
      <c r="U2164" t="s">
        <v>46632</v>
      </c>
      <c r="W2164" t="s">
        <v>39665</v>
      </c>
      <c r="X2164" t="s">
        <v>42676</v>
      </c>
    </row>
    <row r="2165" spans="1:24">
      <c r="A2165">
        <f>HYPERLINK("https://www.philgeps.gov.ph/GEPSNONPILOT/Tender/SplashBidNoticeAbstractUI.aspx?menuIndex=3&amp;refID=7191277&amp;Result=3","7191277")</f>
        <v>0</v>
      </c>
      <c r="B2165" t="s">
        <v>874</v>
      </c>
      <c r="C2165" t="s">
        <v>5603</v>
      </c>
      <c r="D2165" t="s">
        <v>17211</v>
      </c>
      <c r="E2165" t="s">
        <v>19155</v>
      </c>
      <c r="F2165" t="s">
        <v>29372</v>
      </c>
      <c r="G2165" t="s">
        <v>29380</v>
      </c>
      <c r="H2165" t="s">
        <v>11048</v>
      </c>
      <c r="I2165" t="s">
        <v>29409</v>
      </c>
      <c r="J2165" t="s">
        <v>31067</v>
      </c>
      <c r="K2165" t="s">
        <v>38489</v>
      </c>
      <c r="L2165" t="s">
        <v>874</v>
      </c>
      <c r="M2165" t="s">
        <v>39666</v>
      </c>
      <c r="N2165" t="s">
        <v>42669</v>
      </c>
      <c r="O2165" t="s">
        <v>42670</v>
      </c>
      <c r="P2165">
        <v>0</v>
      </c>
      <c r="Q2165">
        <v>3</v>
      </c>
      <c r="R2165" t="s">
        <v>42674</v>
      </c>
      <c r="S2165" t="s">
        <v>42788</v>
      </c>
      <c r="T2165" t="s">
        <v>44476</v>
      </c>
      <c r="U2165" t="s">
        <v>46633</v>
      </c>
      <c r="V2165" t="s">
        <v>56574</v>
      </c>
      <c r="W2165" t="s">
        <v>39666</v>
      </c>
      <c r="X2165" t="s">
        <v>42676</v>
      </c>
    </row>
    <row r="2166" spans="1:24">
      <c r="A2166">
        <f>HYPERLINK("https://www.philgeps.gov.ph/GEPSNONPILOT/Tender/SplashBidNoticeAbstractUI.aspx?menuIndex=3&amp;refID=7191142&amp;Result=3","7191142")</f>
        <v>0</v>
      </c>
      <c r="B2166" t="s">
        <v>875</v>
      </c>
      <c r="C2166" t="s">
        <v>5604</v>
      </c>
      <c r="E2166" t="s">
        <v>19156</v>
      </c>
      <c r="F2166" t="s">
        <v>29372</v>
      </c>
      <c r="G2166" t="s">
        <v>29383</v>
      </c>
      <c r="H2166" t="s">
        <v>11048</v>
      </c>
      <c r="I2166" t="s">
        <v>4709</v>
      </c>
      <c r="J2166" t="s">
        <v>31068</v>
      </c>
      <c r="K2166" t="s">
        <v>38485</v>
      </c>
      <c r="M2166" t="s">
        <v>39667</v>
      </c>
      <c r="N2166" t="s">
        <v>42669</v>
      </c>
      <c r="O2166" t="s">
        <v>42670</v>
      </c>
      <c r="P2166">
        <v>0</v>
      </c>
      <c r="Q2166">
        <v>1</v>
      </c>
      <c r="R2166" t="s">
        <v>42674</v>
      </c>
      <c r="S2166" t="s">
        <v>42788</v>
      </c>
      <c r="T2166" t="s">
        <v>44488</v>
      </c>
      <c r="U2166" t="s">
        <v>46634</v>
      </c>
      <c r="W2166" t="s">
        <v>39667</v>
      </c>
      <c r="X2166" t="s">
        <v>42676</v>
      </c>
    </row>
    <row r="2167" spans="1:24">
      <c r="A2167">
        <f>HYPERLINK("https://www.philgeps.gov.ph/GEPSNONPILOT/Tender/SplashBidNoticeAbstractUI.aspx?menuIndex=3&amp;refID=7191264&amp;Result=3","7191264")</f>
        <v>0</v>
      </c>
      <c r="B2167" t="s">
        <v>844</v>
      </c>
      <c r="C2167" t="s">
        <v>5605</v>
      </c>
      <c r="D2167" t="s">
        <v>17219</v>
      </c>
      <c r="E2167" t="s">
        <v>19157</v>
      </c>
      <c r="F2167" t="s">
        <v>29372</v>
      </c>
      <c r="G2167" t="s">
        <v>29379</v>
      </c>
      <c r="H2167" t="s">
        <v>11048</v>
      </c>
      <c r="I2167" t="s">
        <v>3670</v>
      </c>
      <c r="J2167" t="s">
        <v>29799</v>
      </c>
      <c r="K2167" t="s">
        <v>38485</v>
      </c>
      <c r="M2167" t="s">
        <v>39634</v>
      </c>
      <c r="N2167" t="s">
        <v>42669</v>
      </c>
      <c r="O2167" t="s">
        <v>42670</v>
      </c>
      <c r="P2167">
        <v>0</v>
      </c>
      <c r="Q2167">
        <v>1</v>
      </c>
      <c r="R2167" t="s">
        <v>42674</v>
      </c>
      <c r="S2167" t="s">
        <v>42788</v>
      </c>
      <c r="T2167" t="s">
        <v>44387</v>
      </c>
      <c r="U2167" t="s">
        <v>46577</v>
      </c>
      <c r="W2167" t="s">
        <v>39634</v>
      </c>
      <c r="X2167" t="s">
        <v>42676</v>
      </c>
    </row>
    <row r="2168" spans="1:24">
      <c r="A2168">
        <f>HYPERLINK("https://www.philgeps.gov.ph/GEPSNONPILOT/Tender/SplashBidNoticeAbstractUI.aspx?menuIndex=3&amp;refID=7191258&amp;Result=3","7191258")</f>
        <v>0</v>
      </c>
      <c r="B2168" t="s">
        <v>876</v>
      </c>
      <c r="C2168" t="s">
        <v>5606</v>
      </c>
      <c r="D2168" t="s">
        <v>17197</v>
      </c>
      <c r="E2168" t="s">
        <v>19158</v>
      </c>
      <c r="F2168" t="s">
        <v>29372</v>
      </c>
      <c r="G2168" t="s">
        <v>29379</v>
      </c>
      <c r="H2168" t="s">
        <v>11048</v>
      </c>
      <c r="I2168" t="s">
        <v>14920</v>
      </c>
      <c r="J2168" t="s">
        <v>31069</v>
      </c>
      <c r="K2168" t="s">
        <v>38491</v>
      </c>
      <c r="M2168" t="s">
        <v>39668</v>
      </c>
      <c r="N2168" t="s">
        <v>42669</v>
      </c>
      <c r="O2168" t="s">
        <v>42670</v>
      </c>
      <c r="P2168">
        <v>0</v>
      </c>
      <c r="Q2168">
        <v>0</v>
      </c>
      <c r="R2168" t="s">
        <v>42674</v>
      </c>
      <c r="S2168" t="s">
        <v>42788</v>
      </c>
      <c r="T2168" t="s">
        <v>44432</v>
      </c>
      <c r="U2168" t="s">
        <v>46635</v>
      </c>
      <c r="W2168" t="s">
        <v>39668</v>
      </c>
      <c r="X2168" t="s">
        <v>42676</v>
      </c>
    </row>
    <row r="2169" spans="1:24">
      <c r="A2169">
        <f>HYPERLINK("https://www.philgeps.gov.ph/GEPSNONPILOT/Tender/SplashBidNoticeAbstractUI.aspx?menuIndex=3&amp;refID=7191257&amp;Result=3","7191257")</f>
        <v>0</v>
      </c>
      <c r="B2169" t="s">
        <v>853</v>
      </c>
      <c r="C2169" t="s">
        <v>5551</v>
      </c>
      <c r="D2169" t="s">
        <v>17160</v>
      </c>
      <c r="E2169" t="s">
        <v>18741</v>
      </c>
      <c r="F2169" t="s">
        <v>29372</v>
      </c>
      <c r="G2169" t="s">
        <v>29383</v>
      </c>
      <c r="H2169" t="s">
        <v>11048</v>
      </c>
      <c r="I2169" t="s">
        <v>29410</v>
      </c>
      <c r="J2169" t="s">
        <v>31036</v>
      </c>
      <c r="K2169" t="s">
        <v>38524</v>
      </c>
      <c r="M2169" t="s">
        <v>39643</v>
      </c>
      <c r="N2169" t="s">
        <v>42669</v>
      </c>
      <c r="O2169" t="s">
        <v>42670</v>
      </c>
      <c r="P2169">
        <v>0</v>
      </c>
      <c r="Q2169">
        <v>0</v>
      </c>
      <c r="R2169" t="s">
        <v>42674</v>
      </c>
      <c r="S2169" t="s">
        <v>42788</v>
      </c>
      <c r="T2169" t="s">
        <v>44432</v>
      </c>
      <c r="U2169" t="s">
        <v>46636</v>
      </c>
      <c r="W2169" t="s">
        <v>39643</v>
      </c>
      <c r="X2169" t="s">
        <v>42676</v>
      </c>
    </row>
    <row r="2170" spans="1:24">
      <c r="A2170">
        <f>HYPERLINK("https://www.philgeps.gov.ph/GEPSNONPILOT/Tender/SplashBidNoticeAbstractUI.aspx?menuIndex=3&amp;refID=7191249&amp;Result=3","7191249")</f>
        <v>0</v>
      </c>
      <c r="B2170" t="s">
        <v>844</v>
      </c>
      <c r="C2170" t="s">
        <v>5607</v>
      </c>
      <c r="D2170" t="s">
        <v>17219</v>
      </c>
      <c r="E2170" t="s">
        <v>19159</v>
      </c>
      <c r="F2170" t="s">
        <v>29372</v>
      </c>
      <c r="G2170" t="s">
        <v>29379</v>
      </c>
      <c r="H2170" t="s">
        <v>11048</v>
      </c>
      <c r="I2170" t="s">
        <v>3670</v>
      </c>
      <c r="J2170" t="s">
        <v>30676</v>
      </c>
      <c r="K2170" t="s">
        <v>38485</v>
      </c>
      <c r="M2170" t="s">
        <v>39634</v>
      </c>
      <c r="N2170" t="s">
        <v>42669</v>
      </c>
      <c r="O2170" t="s">
        <v>42670</v>
      </c>
      <c r="P2170">
        <v>0</v>
      </c>
      <c r="Q2170">
        <v>3</v>
      </c>
      <c r="R2170" t="s">
        <v>42674</v>
      </c>
      <c r="S2170" t="s">
        <v>42788</v>
      </c>
      <c r="T2170" t="s">
        <v>44387</v>
      </c>
      <c r="U2170" t="s">
        <v>46577</v>
      </c>
      <c r="W2170" t="s">
        <v>39634</v>
      </c>
      <c r="X2170" t="s">
        <v>42676</v>
      </c>
    </row>
    <row r="2171" spans="1:24">
      <c r="A2171">
        <f>HYPERLINK("https://www.philgeps.gov.ph/GEPSNONPILOT/Tender/SplashBidNoticeAbstractUI.aspx?menuIndex=3&amp;refID=7191246&amp;Result=3","7191246")</f>
        <v>0</v>
      </c>
      <c r="B2171" t="s">
        <v>742</v>
      </c>
      <c r="C2171" t="s">
        <v>5608</v>
      </c>
      <c r="D2171" t="s">
        <v>17175</v>
      </c>
      <c r="E2171" t="s">
        <v>19160</v>
      </c>
      <c r="F2171" t="s">
        <v>29372</v>
      </c>
      <c r="G2171" t="s">
        <v>29379</v>
      </c>
      <c r="H2171" t="s">
        <v>11048</v>
      </c>
      <c r="I2171" t="s">
        <v>3597</v>
      </c>
      <c r="J2171" t="s">
        <v>31070</v>
      </c>
      <c r="K2171" t="s">
        <v>38510</v>
      </c>
      <c r="M2171" t="s">
        <v>39523</v>
      </c>
      <c r="N2171" t="s">
        <v>42669</v>
      </c>
      <c r="O2171" t="s">
        <v>42670</v>
      </c>
      <c r="P2171">
        <v>0</v>
      </c>
      <c r="Q2171">
        <v>1</v>
      </c>
      <c r="R2171" t="s">
        <v>42674</v>
      </c>
      <c r="S2171" t="s">
        <v>42788</v>
      </c>
      <c r="T2171" t="s">
        <v>44375</v>
      </c>
      <c r="U2171" t="s">
        <v>46637</v>
      </c>
      <c r="W2171" t="s">
        <v>39523</v>
      </c>
      <c r="X2171" t="s">
        <v>42676</v>
      </c>
    </row>
    <row r="2172" spans="1:24">
      <c r="A2172">
        <f>HYPERLINK("https://www.philgeps.gov.ph/GEPSNONPILOT/Tender/SplashBidNoticeAbstractUI.aspx?menuIndex=3&amp;refID=7191322&amp;Result=3","7191322")</f>
        <v>0</v>
      </c>
      <c r="B2172" t="s">
        <v>877</v>
      </c>
      <c r="C2172" t="s">
        <v>5609</v>
      </c>
      <c r="D2172" t="s">
        <v>17174</v>
      </c>
      <c r="E2172" t="s">
        <v>19161</v>
      </c>
      <c r="F2172" t="s">
        <v>29375</v>
      </c>
      <c r="G2172" t="s">
        <v>29383</v>
      </c>
      <c r="H2172" t="s">
        <v>29391</v>
      </c>
      <c r="I2172" t="s">
        <v>29391</v>
      </c>
      <c r="J2172" t="s">
        <v>29532</v>
      </c>
      <c r="K2172" t="s">
        <v>38490</v>
      </c>
      <c r="M2172" t="s">
        <v>39669</v>
      </c>
      <c r="N2172" t="s">
        <v>42669</v>
      </c>
      <c r="O2172" t="s">
        <v>42670</v>
      </c>
      <c r="P2172">
        <v>0</v>
      </c>
      <c r="Q2172">
        <v>0</v>
      </c>
      <c r="R2172" t="s">
        <v>42674</v>
      </c>
      <c r="S2172" t="s">
        <v>42788</v>
      </c>
      <c r="T2172" t="s">
        <v>44512</v>
      </c>
      <c r="U2172" t="s">
        <v>46638</v>
      </c>
      <c r="W2172" t="s">
        <v>39669</v>
      </c>
      <c r="X2172" t="s">
        <v>42676</v>
      </c>
    </row>
    <row r="2173" spans="1:24">
      <c r="A2173">
        <f>HYPERLINK("https://www.philgeps.gov.ph/GEPSNONPILOT/Tender/SplashBidNoticeAbstractUI.aspx?menuIndex=3&amp;refID=7191077&amp;Result=3","7191077")</f>
        <v>0</v>
      </c>
      <c r="B2173" t="s">
        <v>878</v>
      </c>
      <c r="C2173" t="s">
        <v>5610</v>
      </c>
      <c r="D2173" t="s">
        <v>17161</v>
      </c>
      <c r="E2173" t="s">
        <v>19162</v>
      </c>
      <c r="F2173" t="s">
        <v>29372</v>
      </c>
      <c r="G2173" t="s">
        <v>29380</v>
      </c>
      <c r="H2173" t="s">
        <v>29389</v>
      </c>
      <c r="I2173" t="s">
        <v>10408</v>
      </c>
      <c r="J2173" t="s">
        <v>29829</v>
      </c>
      <c r="K2173" t="s">
        <v>38526</v>
      </c>
      <c r="M2173" t="s">
        <v>39670</v>
      </c>
      <c r="N2173" t="s">
        <v>42669</v>
      </c>
      <c r="O2173" t="s">
        <v>42670</v>
      </c>
      <c r="P2173">
        <v>0</v>
      </c>
      <c r="Q2173">
        <v>1</v>
      </c>
      <c r="R2173" t="s">
        <v>42674</v>
      </c>
      <c r="S2173" t="s">
        <v>42788</v>
      </c>
      <c r="T2173" t="s">
        <v>44415</v>
      </c>
      <c r="U2173" t="s">
        <v>46639</v>
      </c>
      <c r="W2173" t="s">
        <v>39670</v>
      </c>
      <c r="X2173" t="s">
        <v>42676</v>
      </c>
    </row>
    <row r="2174" spans="1:24">
      <c r="A2174">
        <f>HYPERLINK("https://www.philgeps.gov.ph/GEPSNONPILOT/Tender/SplashBidNoticeAbstractUI.aspx?menuIndex=3&amp;refID=7191319&amp;Result=3","7191319")</f>
        <v>0</v>
      </c>
      <c r="B2174" t="s">
        <v>866</v>
      </c>
      <c r="C2174" t="s">
        <v>5611</v>
      </c>
      <c r="D2174" t="s">
        <v>17193</v>
      </c>
      <c r="E2174" t="s">
        <v>19163</v>
      </c>
      <c r="F2174" t="s">
        <v>29372</v>
      </c>
      <c r="G2174" t="s">
        <v>29379</v>
      </c>
      <c r="H2174" t="s">
        <v>11048</v>
      </c>
      <c r="I2174" t="s">
        <v>4709</v>
      </c>
      <c r="J2174" t="s">
        <v>29632</v>
      </c>
      <c r="K2174" t="s">
        <v>38488</v>
      </c>
      <c r="M2174" t="s">
        <v>39658</v>
      </c>
      <c r="N2174" t="s">
        <v>42669</v>
      </c>
      <c r="O2174" t="s">
        <v>42670</v>
      </c>
      <c r="P2174">
        <v>0</v>
      </c>
      <c r="Q2174">
        <v>2</v>
      </c>
      <c r="R2174" t="s">
        <v>42674</v>
      </c>
      <c r="S2174" t="s">
        <v>42788</v>
      </c>
      <c r="T2174" t="s">
        <v>44488</v>
      </c>
      <c r="U2174" t="s">
        <v>46640</v>
      </c>
      <c r="W2174" t="s">
        <v>39658</v>
      </c>
      <c r="X2174" t="s">
        <v>42676</v>
      </c>
    </row>
    <row r="2175" spans="1:24">
      <c r="A2175">
        <f>HYPERLINK("https://www.philgeps.gov.ph/GEPSNONPILOT/Tender/SplashBidNoticeAbstractUI.aspx?menuIndex=3&amp;refID=7191252&amp;Result=3","7191252")</f>
        <v>0</v>
      </c>
      <c r="B2175" t="s">
        <v>861</v>
      </c>
      <c r="C2175" t="s">
        <v>5612</v>
      </c>
      <c r="D2175" t="s">
        <v>17141</v>
      </c>
      <c r="E2175" t="s">
        <v>19164</v>
      </c>
      <c r="F2175" t="s">
        <v>29372</v>
      </c>
      <c r="G2175" t="s">
        <v>29379</v>
      </c>
      <c r="H2175" t="s">
        <v>11048</v>
      </c>
      <c r="I2175" t="s">
        <v>29407</v>
      </c>
      <c r="J2175" t="s">
        <v>30463</v>
      </c>
      <c r="K2175" t="s">
        <v>38490</v>
      </c>
      <c r="M2175" t="s">
        <v>39653</v>
      </c>
      <c r="N2175" t="s">
        <v>42669</v>
      </c>
      <c r="O2175" t="s">
        <v>42670</v>
      </c>
      <c r="P2175">
        <v>0</v>
      </c>
      <c r="Q2175">
        <v>4</v>
      </c>
      <c r="R2175" t="s">
        <v>42674</v>
      </c>
      <c r="S2175" t="s">
        <v>42788</v>
      </c>
      <c r="T2175" t="s">
        <v>44549</v>
      </c>
      <c r="U2175" t="s">
        <v>46641</v>
      </c>
      <c r="V2175" t="s">
        <v>56571</v>
      </c>
      <c r="W2175" t="s">
        <v>39653</v>
      </c>
      <c r="X2175" t="s">
        <v>42676</v>
      </c>
    </row>
    <row r="2176" spans="1:24">
      <c r="A2176">
        <f>HYPERLINK("https://www.philgeps.gov.ph/GEPSNONPILOT/Tender/SplashBidNoticeAbstractUI.aspx?menuIndex=3&amp;refID=7191317&amp;Result=3","7191317")</f>
        <v>0</v>
      </c>
      <c r="B2176" t="s">
        <v>844</v>
      </c>
      <c r="C2176" t="s">
        <v>5613</v>
      </c>
      <c r="D2176" t="s">
        <v>17219</v>
      </c>
      <c r="E2176" t="s">
        <v>19165</v>
      </c>
      <c r="F2176" t="s">
        <v>29372</v>
      </c>
      <c r="G2176" t="s">
        <v>29379</v>
      </c>
      <c r="H2176" t="s">
        <v>11048</v>
      </c>
      <c r="I2176" t="s">
        <v>29394</v>
      </c>
      <c r="J2176" t="s">
        <v>31071</v>
      </c>
      <c r="K2176" t="s">
        <v>38485</v>
      </c>
      <c r="M2176" t="s">
        <v>39634</v>
      </c>
      <c r="N2176" t="s">
        <v>42669</v>
      </c>
      <c r="O2176" t="s">
        <v>42670</v>
      </c>
      <c r="P2176">
        <v>0</v>
      </c>
      <c r="Q2176">
        <v>1</v>
      </c>
      <c r="R2176" t="s">
        <v>42674</v>
      </c>
      <c r="S2176" t="s">
        <v>42788</v>
      </c>
      <c r="T2176" t="s">
        <v>44387</v>
      </c>
      <c r="U2176" t="s">
        <v>46577</v>
      </c>
      <c r="W2176" t="s">
        <v>39634</v>
      </c>
      <c r="X2176" t="s">
        <v>42676</v>
      </c>
    </row>
    <row r="2177" spans="1:24">
      <c r="A2177">
        <f>HYPERLINK("https://www.philgeps.gov.ph/GEPSNONPILOT/Tender/SplashBidNoticeAbstractUI.aspx?menuIndex=3&amp;refID=7191314&amp;Result=3","7191314")</f>
        <v>0</v>
      </c>
      <c r="B2177" t="s">
        <v>742</v>
      </c>
      <c r="C2177" t="s">
        <v>5318</v>
      </c>
      <c r="D2177" t="s">
        <v>17175</v>
      </c>
      <c r="E2177" t="s">
        <v>19166</v>
      </c>
      <c r="F2177" t="s">
        <v>29372</v>
      </c>
      <c r="G2177" t="s">
        <v>29379</v>
      </c>
      <c r="H2177" t="s">
        <v>11048</v>
      </c>
      <c r="I2177" t="s">
        <v>14920</v>
      </c>
      <c r="J2177" t="s">
        <v>31072</v>
      </c>
      <c r="K2177" t="s">
        <v>38510</v>
      </c>
      <c r="M2177" t="s">
        <v>39523</v>
      </c>
      <c r="N2177" t="s">
        <v>42669</v>
      </c>
      <c r="O2177" t="s">
        <v>42670</v>
      </c>
      <c r="P2177">
        <v>0</v>
      </c>
      <c r="Q2177">
        <v>0</v>
      </c>
      <c r="R2177" t="s">
        <v>42674</v>
      </c>
      <c r="S2177" t="s">
        <v>42788</v>
      </c>
      <c r="T2177" t="s">
        <v>44375</v>
      </c>
      <c r="U2177" t="s">
        <v>46642</v>
      </c>
      <c r="W2177" t="s">
        <v>39523</v>
      </c>
      <c r="X2177" t="s">
        <v>42676</v>
      </c>
    </row>
    <row r="2178" spans="1:24">
      <c r="A2178">
        <f>HYPERLINK("https://www.philgeps.gov.ph/GEPSNONPILOT/Tender/SplashBidNoticeAbstractUI.aspx?menuIndex=3&amp;refID=7191310&amp;Result=3","7191310")</f>
        <v>0</v>
      </c>
      <c r="B2178" t="s">
        <v>879</v>
      </c>
      <c r="C2178" t="s">
        <v>5614</v>
      </c>
      <c r="D2178" t="s">
        <v>17166</v>
      </c>
      <c r="E2178" t="s">
        <v>19167</v>
      </c>
      <c r="F2178" t="s">
        <v>29372</v>
      </c>
      <c r="G2178" t="s">
        <v>29380</v>
      </c>
      <c r="H2178" t="s">
        <v>29389</v>
      </c>
      <c r="I2178" t="s">
        <v>10408</v>
      </c>
      <c r="J2178" t="s">
        <v>29623</v>
      </c>
      <c r="K2178" t="s">
        <v>38496</v>
      </c>
      <c r="M2178" t="s">
        <v>39671</v>
      </c>
      <c r="N2178" t="s">
        <v>42669</v>
      </c>
      <c r="O2178" t="s">
        <v>42670</v>
      </c>
      <c r="P2178">
        <v>0</v>
      </c>
      <c r="Q2178">
        <v>1</v>
      </c>
      <c r="R2178" t="s">
        <v>42674</v>
      </c>
      <c r="S2178" t="s">
        <v>42788</v>
      </c>
      <c r="T2178" t="s">
        <v>44542</v>
      </c>
      <c r="U2178" t="s">
        <v>46643</v>
      </c>
      <c r="W2178" t="s">
        <v>39671</v>
      </c>
      <c r="X2178" t="s">
        <v>42676</v>
      </c>
    </row>
    <row r="2179" spans="1:24">
      <c r="A2179">
        <f>HYPERLINK("https://www.philgeps.gov.ph/GEPSNONPILOT/Tender/SplashBidNoticeAbstractUI.aspx?menuIndex=3&amp;refID=7191267&amp;Result=3","7191267")</f>
        <v>0</v>
      </c>
      <c r="B2179" t="s">
        <v>566</v>
      </c>
      <c r="C2179" t="s">
        <v>5615</v>
      </c>
      <c r="E2179" t="s">
        <v>19168</v>
      </c>
      <c r="F2179" t="s">
        <v>29372</v>
      </c>
      <c r="G2179" t="s">
        <v>29380</v>
      </c>
      <c r="H2179" t="s">
        <v>11048</v>
      </c>
      <c r="I2179" t="s">
        <v>29414</v>
      </c>
      <c r="J2179" t="s">
        <v>30412</v>
      </c>
      <c r="K2179" t="s">
        <v>38490</v>
      </c>
      <c r="M2179" t="s">
        <v>39476</v>
      </c>
      <c r="N2179" t="s">
        <v>42669</v>
      </c>
      <c r="O2179" t="s">
        <v>42670</v>
      </c>
      <c r="P2179">
        <v>0</v>
      </c>
      <c r="Q2179">
        <v>5</v>
      </c>
      <c r="R2179" t="s">
        <v>42674</v>
      </c>
      <c r="S2179" t="s">
        <v>42788</v>
      </c>
      <c r="T2179" t="s">
        <v>44536</v>
      </c>
      <c r="U2179" t="s">
        <v>46306</v>
      </c>
      <c r="W2179" t="s">
        <v>39476</v>
      </c>
      <c r="X2179" t="s">
        <v>42676</v>
      </c>
    </row>
    <row r="2180" spans="1:24">
      <c r="A2180">
        <f>HYPERLINK("https://www.philgeps.gov.ph/GEPSNONPILOT/Tender/SplashBidNoticeAbstractUI.aspx?menuIndex=3&amp;refID=7191309&amp;Result=3","7191309")</f>
        <v>0</v>
      </c>
      <c r="B2180" t="s">
        <v>671</v>
      </c>
      <c r="C2180" t="s">
        <v>5616</v>
      </c>
      <c r="D2180" t="s">
        <v>17177</v>
      </c>
      <c r="E2180" t="s">
        <v>19169</v>
      </c>
      <c r="F2180" t="s">
        <v>29372</v>
      </c>
      <c r="G2180" t="s">
        <v>29381</v>
      </c>
      <c r="H2180" t="s">
        <v>11048</v>
      </c>
      <c r="I2180" t="s">
        <v>29444</v>
      </c>
      <c r="J2180" t="s">
        <v>31073</v>
      </c>
      <c r="K2180" t="s">
        <v>38490</v>
      </c>
      <c r="M2180" t="s">
        <v>39509</v>
      </c>
      <c r="N2180" t="s">
        <v>42669</v>
      </c>
      <c r="O2180" t="s">
        <v>42670</v>
      </c>
      <c r="P2180">
        <v>0</v>
      </c>
      <c r="Q2180">
        <v>1</v>
      </c>
      <c r="R2180" t="s">
        <v>42674</v>
      </c>
      <c r="S2180" t="s">
        <v>42788</v>
      </c>
      <c r="T2180" t="s">
        <v>44480</v>
      </c>
      <c r="U2180" t="s">
        <v>46644</v>
      </c>
      <c r="W2180" t="s">
        <v>39509</v>
      </c>
      <c r="X2180" t="s">
        <v>42676</v>
      </c>
    </row>
    <row r="2181" spans="1:24">
      <c r="A2181">
        <f>HYPERLINK("https://www.philgeps.gov.ph/GEPSNONPILOT/Tender/SplashBidNoticeAbstractUI.aspx?menuIndex=3&amp;refID=7191318&amp;Result=3","7191318")</f>
        <v>0</v>
      </c>
      <c r="B2181" t="s">
        <v>880</v>
      </c>
      <c r="C2181" t="s">
        <v>5617</v>
      </c>
      <c r="D2181" t="s">
        <v>17169</v>
      </c>
      <c r="E2181" t="s">
        <v>5617</v>
      </c>
      <c r="F2181" t="s">
        <v>29372</v>
      </c>
      <c r="G2181" t="s">
        <v>29380</v>
      </c>
      <c r="H2181" t="s">
        <v>11048</v>
      </c>
      <c r="I2181" t="s">
        <v>14920</v>
      </c>
      <c r="J2181" t="s">
        <v>31074</v>
      </c>
      <c r="K2181" t="s">
        <v>38490</v>
      </c>
      <c r="M2181" t="s">
        <v>39672</v>
      </c>
      <c r="N2181" t="s">
        <v>42669</v>
      </c>
      <c r="O2181" t="s">
        <v>42670</v>
      </c>
      <c r="P2181">
        <v>0</v>
      </c>
      <c r="Q2181">
        <v>0</v>
      </c>
      <c r="R2181" t="s">
        <v>42674</v>
      </c>
      <c r="S2181" t="s">
        <v>42788</v>
      </c>
      <c r="T2181" t="s">
        <v>44430</v>
      </c>
      <c r="U2181" t="s">
        <v>46645</v>
      </c>
      <c r="W2181" t="s">
        <v>39672</v>
      </c>
      <c r="X2181" t="s">
        <v>42676</v>
      </c>
    </row>
    <row r="2182" spans="1:24">
      <c r="A2182">
        <f>HYPERLINK("https://www.philgeps.gov.ph/GEPSNONPILOT/Tender/SplashBidNoticeAbstractUI.aspx?menuIndex=3&amp;refID=7191303&amp;Result=3","7191303")</f>
        <v>0</v>
      </c>
      <c r="B2182" t="s">
        <v>881</v>
      </c>
      <c r="C2182" t="s">
        <v>5618</v>
      </c>
      <c r="D2182" t="s">
        <v>17204</v>
      </c>
      <c r="E2182" t="s">
        <v>19170</v>
      </c>
      <c r="F2182" t="s">
        <v>29372</v>
      </c>
      <c r="G2182" t="s">
        <v>29379</v>
      </c>
      <c r="H2182" t="s">
        <v>11048</v>
      </c>
      <c r="I2182" t="s">
        <v>29411</v>
      </c>
      <c r="J2182" t="s">
        <v>31075</v>
      </c>
      <c r="K2182" t="s">
        <v>38485</v>
      </c>
      <c r="M2182" t="s">
        <v>39673</v>
      </c>
      <c r="N2182" t="s">
        <v>42669</v>
      </c>
      <c r="O2182" t="s">
        <v>42670</v>
      </c>
      <c r="P2182">
        <v>0</v>
      </c>
      <c r="Q2182">
        <v>8</v>
      </c>
      <c r="R2182" t="s">
        <v>42674</v>
      </c>
      <c r="S2182" t="s">
        <v>42788</v>
      </c>
      <c r="T2182" t="s">
        <v>44512</v>
      </c>
      <c r="U2182" t="s">
        <v>46646</v>
      </c>
      <c r="W2182" t="s">
        <v>39673</v>
      </c>
      <c r="X2182" t="s">
        <v>42676</v>
      </c>
    </row>
    <row r="2183" spans="1:24">
      <c r="A2183">
        <f>HYPERLINK("https://www.philgeps.gov.ph/GEPSNONPILOT/Tender/SplashBidNoticeAbstractUI.aspx?menuIndex=3&amp;refID=7191312&amp;Result=3","7191312")</f>
        <v>0</v>
      </c>
      <c r="B2183" t="s">
        <v>882</v>
      </c>
      <c r="C2183" t="s">
        <v>5619</v>
      </c>
      <c r="D2183" t="s">
        <v>17193</v>
      </c>
      <c r="E2183" t="s">
        <v>19171</v>
      </c>
      <c r="F2183" t="s">
        <v>29372</v>
      </c>
      <c r="G2183" t="s">
        <v>29379</v>
      </c>
      <c r="H2183" t="s">
        <v>11048</v>
      </c>
      <c r="I2183" t="s">
        <v>14920</v>
      </c>
      <c r="J2183" t="s">
        <v>31076</v>
      </c>
      <c r="K2183" t="s">
        <v>38586</v>
      </c>
      <c r="M2183" t="s">
        <v>39674</v>
      </c>
      <c r="N2183" t="s">
        <v>42669</v>
      </c>
      <c r="O2183" t="s">
        <v>42670</v>
      </c>
      <c r="P2183">
        <v>0</v>
      </c>
      <c r="Q2183">
        <v>4</v>
      </c>
      <c r="R2183" t="s">
        <v>42674</v>
      </c>
      <c r="S2183" t="s">
        <v>42788</v>
      </c>
      <c r="T2183" t="s">
        <v>44526</v>
      </c>
      <c r="U2183" t="s">
        <v>46647</v>
      </c>
      <c r="W2183" t="s">
        <v>39674</v>
      </c>
      <c r="X2183" t="s">
        <v>42676</v>
      </c>
    </row>
    <row r="2184" spans="1:24">
      <c r="A2184">
        <f>HYPERLINK("https://www.philgeps.gov.ph/GEPSNONPILOT/Tender/SplashBidNoticeAbstractUI.aspx?menuIndex=3&amp;refID=7191296&amp;Result=3","7191296")</f>
        <v>0</v>
      </c>
      <c r="B2184" t="s">
        <v>666</v>
      </c>
      <c r="C2184" t="s">
        <v>5620</v>
      </c>
      <c r="D2184" t="s">
        <v>17205</v>
      </c>
      <c r="E2184" t="s">
        <v>19172</v>
      </c>
      <c r="F2184" t="s">
        <v>29372</v>
      </c>
      <c r="G2184" t="s">
        <v>29379</v>
      </c>
      <c r="H2184" t="s">
        <v>11048</v>
      </c>
      <c r="I2184" t="s">
        <v>5383</v>
      </c>
      <c r="J2184" t="s">
        <v>31077</v>
      </c>
      <c r="K2184" t="s">
        <v>38490</v>
      </c>
      <c r="M2184" t="s">
        <v>39442</v>
      </c>
      <c r="N2184" t="s">
        <v>42669</v>
      </c>
      <c r="O2184" t="s">
        <v>42670</v>
      </c>
      <c r="P2184">
        <v>0</v>
      </c>
      <c r="Q2184">
        <v>0</v>
      </c>
      <c r="R2184" t="s">
        <v>42674</v>
      </c>
      <c r="S2184" t="s">
        <v>42788</v>
      </c>
      <c r="T2184" t="s">
        <v>44530</v>
      </c>
      <c r="U2184" t="s">
        <v>46648</v>
      </c>
      <c r="W2184" t="s">
        <v>39442</v>
      </c>
      <c r="X2184" t="s">
        <v>42676</v>
      </c>
    </row>
    <row r="2185" spans="1:24">
      <c r="A2185">
        <f>HYPERLINK("https://www.philgeps.gov.ph/GEPSNONPILOT/Tender/SplashBidNoticeAbstractUI.aspx?menuIndex=3&amp;refID=7191294&amp;Result=3","7191294")</f>
        <v>0</v>
      </c>
      <c r="B2185" t="s">
        <v>732</v>
      </c>
      <c r="C2185" t="s">
        <v>5553</v>
      </c>
      <c r="D2185" t="s">
        <v>17162</v>
      </c>
      <c r="E2185" t="s">
        <v>19173</v>
      </c>
      <c r="F2185" t="s">
        <v>29372</v>
      </c>
      <c r="G2185" t="s">
        <v>29382</v>
      </c>
      <c r="H2185" t="s">
        <v>11048</v>
      </c>
      <c r="I2185" t="s">
        <v>4487</v>
      </c>
      <c r="J2185" t="s">
        <v>29922</v>
      </c>
      <c r="K2185" t="s">
        <v>38510</v>
      </c>
      <c r="M2185" t="s">
        <v>39513</v>
      </c>
      <c r="N2185" t="s">
        <v>42669</v>
      </c>
      <c r="O2185" t="s">
        <v>42670</v>
      </c>
      <c r="P2185">
        <v>0</v>
      </c>
      <c r="Q2185">
        <v>2</v>
      </c>
      <c r="R2185" t="s">
        <v>42674</v>
      </c>
      <c r="S2185" t="s">
        <v>42788</v>
      </c>
      <c r="T2185" t="s">
        <v>44456</v>
      </c>
      <c r="U2185" t="s">
        <v>46359</v>
      </c>
      <c r="W2185" t="s">
        <v>39513</v>
      </c>
      <c r="X2185" t="s">
        <v>42676</v>
      </c>
    </row>
    <row r="2186" spans="1:24">
      <c r="A2186">
        <f>HYPERLINK("https://www.philgeps.gov.ph/GEPSNONPILOT/Tender/SplashBidNoticeAbstractUI.aspx?menuIndex=3&amp;refID=7191291&amp;Result=3","7191291")</f>
        <v>0</v>
      </c>
      <c r="B2186" t="s">
        <v>844</v>
      </c>
      <c r="C2186" t="s">
        <v>5621</v>
      </c>
      <c r="D2186" t="s">
        <v>17219</v>
      </c>
      <c r="E2186" t="s">
        <v>19174</v>
      </c>
      <c r="F2186" t="s">
        <v>29372</v>
      </c>
      <c r="G2186" t="s">
        <v>29379</v>
      </c>
      <c r="H2186" t="s">
        <v>11048</v>
      </c>
      <c r="I2186" t="s">
        <v>29394</v>
      </c>
      <c r="J2186" t="s">
        <v>29824</v>
      </c>
      <c r="K2186" t="s">
        <v>38485</v>
      </c>
      <c r="M2186" t="s">
        <v>39634</v>
      </c>
      <c r="N2186" t="s">
        <v>42669</v>
      </c>
      <c r="O2186" t="s">
        <v>42670</v>
      </c>
      <c r="P2186">
        <v>0</v>
      </c>
      <c r="Q2186">
        <v>1</v>
      </c>
      <c r="R2186" t="s">
        <v>42674</v>
      </c>
      <c r="S2186" t="s">
        <v>42788</v>
      </c>
      <c r="T2186" t="s">
        <v>44387</v>
      </c>
      <c r="U2186" t="s">
        <v>46577</v>
      </c>
      <c r="W2186" t="s">
        <v>39634</v>
      </c>
      <c r="X2186" t="s">
        <v>42676</v>
      </c>
    </row>
    <row r="2187" spans="1:24">
      <c r="A2187">
        <f>HYPERLINK("https://www.philgeps.gov.ph/GEPSNONPILOT/Tender/SplashBidNoticeAbstractUI.aspx?menuIndex=3&amp;refID=7191290&amp;Result=3","7191290")</f>
        <v>0</v>
      </c>
      <c r="B2187" t="s">
        <v>853</v>
      </c>
      <c r="C2187" t="s">
        <v>5622</v>
      </c>
      <c r="D2187" t="s">
        <v>17160</v>
      </c>
      <c r="E2187" t="s">
        <v>18741</v>
      </c>
      <c r="F2187" t="s">
        <v>29372</v>
      </c>
      <c r="G2187" t="s">
        <v>29379</v>
      </c>
      <c r="H2187" t="s">
        <v>11048</v>
      </c>
      <c r="I2187" t="s">
        <v>9642</v>
      </c>
      <c r="J2187" t="s">
        <v>31078</v>
      </c>
      <c r="K2187" t="s">
        <v>38524</v>
      </c>
      <c r="M2187" t="s">
        <v>39643</v>
      </c>
      <c r="N2187" t="s">
        <v>42669</v>
      </c>
      <c r="O2187" t="s">
        <v>42670</v>
      </c>
      <c r="P2187">
        <v>0</v>
      </c>
      <c r="Q2187">
        <v>3</v>
      </c>
      <c r="R2187" t="s">
        <v>42674</v>
      </c>
      <c r="S2187" t="s">
        <v>42788</v>
      </c>
      <c r="T2187" t="s">
        <v>44432</v>
      </c>
      <c r="U2187" t="s">
        <v>46649</v>
      </c>
      <c r="W2187" t="s">
        <v>39643</v>
      </c>
      <c r="X2187" t="s">
        <v>42676</v>
      </c>
    </row>
    <row r="2188" spans="1:24">
      <c r="A2188">
        <f>HYPERLINK("https://www.philgeps.gov.ph/GEPSNONPILOT/Tender/SplashBidNoticeAbstractUI.aspx?menuIndex=3&amp;refID=7191299&amp;Result=3","7191299")</f>
        <v>0</v>
      </c>
      <c r="B2188" t="s">
        <v>883</v>
      </c>
      <c r="C2188" t="s">
        <v>5623</v>
      </c>
      <c r="D2188" t="s">
        <v>17161</v>
      </c>
      <c r="E2188" t="s">
        <v>19175</v>
      </c>
      <c r="F2188" t="s">
        <v>29372</v>
      </c>
      <c r="G2188" t="s">
        <v>29380</v>
      </c>
      <c r="H2188" t="s">
        <v>11048</v>
      </c>
      <c r="I2188" t="s">
        <v>3839</v>
      </c>
      <c r="J2188" t="s">
        <v>31079</v>
      </c>
      <c r="K2188" t="s">
        <v>38538</v>
      </c>
      <c r="M2188" t="s">
        <v>39675</v>
      </c>
      <c r="N2188" t="s">
        <v>42669</v>
      </c>
      <c r="O2188" t="s">
        <v>42670</v>
      </c>
      <c r="P2188">
        <v>0</v>
      </c>
      <c r="Q2188">
        <v>1</v>
      </c>
      <c r="R2188" t="s">
        <v>42674</v>
      </c>
      <c r="S2188" t="s">
        <v>42788</v>
      </c>
      <c r="T2188" t="s">
        <v>44368</v>
      </c>
      <c r="U2188" t="s">
        <v>46650</v>
      </c>
      <c r="W2188" t="s">
        <v>39675</v>
      </c>
      <c r="X2188" t="s">
        <v>42676</v>
      </c>
    </row>
    <row r="2189" spans="1:24">
      <c r="A2189">
        <f>HYPERLINK("https://www.philgeps.gov.ph/GEPSNONPILOT/Tender/SplashBidNoticeAbstractUI.aspx?menuIndex=3&amp;refID=7191286&amp;Result=3","7191286")</f>
        <v>0</v>
      </c>
      <c r="B2189" t="s">
        <v>884</v>
      </c>
      <c r="C2189" t="s">
        <v>5624</v>
      </c>
      <c r="D2189" t="s">
        <v>17170</v>
      </c>
      <c r="E2189" t="s">
        <v>19176</v>
      </c>
      <c r="F2189" t="s">
        <v>29372</v>
      </c>
      <c r="G2189" t="s">
        <v>29380</v>
      </c>
      <c r="H2189" t="s">
        <v>29389</v>
      </c>
      <c r="I2189" t="s">
        <v>10408</v>
      </c>
      <c r="J2189" t="s">
        <v>30752</v>
      </c>
      <c r="K2189" t="s">
        <v>38496</v>
      </c>
      <c r="M2189" t="s">
        <v>39676</v>
      </c>
      <c r="N2189" t="s">
        <v>42669</v>
      </c>
      <c r="O2189" t="s">
        <v>42670</v>
      </c>
      <c r="P2189">
        <v>0</v>
      </c>
      <c r="Q2189">
        <v>0</v>
      </c>
      <c r="R2189" t="s">
        <v>42674</v>
      </c>
      <c r="S2189" t="s">
        <v>42788</v>
      </c>
      <c r="T2189" t="s">
        <v>44470</v>
      </c>
      <c r="U2189" t="s">
        <v>46651</v>
      </c>
      <c r="W2189" t="s">
        <v>39676</v>
      </c>
      <c r="X2189" t="s">
        <v>42676</v>
      </c>
    </row>
    <row r="2190" spans="1:24">
      <c r="A2190">
        <f>HYPERLINK("https://www.philgeps.gov.ph/GEPSNONPILOT/Tender/SplashBidNoticeAbstractUI.aspx?menuIndex=3&amp;refID=7191292&amp;Result=3","7191292")</f>
        <v>0</v>
      </c>
      <c r="B2190" t="s">
        <v>566</v>
      </c>
      <c r="C2190" t="s">
        <v>5625</v>
      </c>
      <c r="E2190" t="s">
        <v>19177</v>
      </c>
      <c r="F2190" t="s">
        <v>29372</v>
      </c>
      <c r="G2190" t="s">
        <v>29380</v>
      </c>
      <c r="H2190" t="s">
        <v>11048</v>
      </c>
      <c r="I2190" t="s">
        <v>29414</v>
      </c>
      <c r="J2190" t="s">
        <v>29540</v>
      </c>
      <c r="K2190" t="s">
        <v>38490</v>
      </c>
      <c r="M2190" t="s">
        <v>39476</v>
      </c>
      <c r="N2190" t="s">
        <v>42669</v>
      </c>
      <c r="O2190" t="s">
        <v>42670</v>
      </c>
      <c r="P2190">
        <v>0</v>
      </c>
      <c r="Q2190">
        <v>13</v>
      </c>
      <c r="R2190" t="s">
        <v>42674</v>
      </c>
      <c r="S2190" t="s">
        <v>42788</v>
      </c>
      <c r="T2190" t="s">
        <v>44536</v>
      </c>
      <c r="U2190" t="s">
        <v>46652</v>
      </c>
      <c r="W2190" t="s">
        <v>39476</v>
      </c>
      <c r="X2190" t="s">
        <v>42676</v>
      </c>
    </row>
    <row r="2191" spans="1:24">
      <c r="A2191">
        <f>HYPERLINK("https://www.philgeps.gov.ph/GEPSNONPILOT/Tender/SplashBidNoticeAbstractUI.aspx?menuIndex=3&amp;refID=7191244&amp;Result=3","7191244")</f>
        <v>0</v>
      </c>
      <c r="B2191" t="s">
        <v>853</v>
      </c>
      <c r="C2191" t="s">
        <v>5551</v>
      </c>
      <c r="D2191" t="s">
        <v>17160</v>
      </c>
      <c r="E2191" t="s">
        <v>18741</v>
      </c>
      <c r="F2191" t="s">
        <v>29372</v>
      </c>
      <c r="G2191" t="s">
        <v>29383</v>
      </c>
      <c r="H2191" t="s">
        <v>11048</v>
      </c>
      <c r="I2191" t="s">
        <v>29410</v>
      </c>
      <c r="J2191" t="s">
        <v>31036</v>
      </c>
      <c r="K2191" t="s">
        <v>38524</v>
      </c>
      <c r="M2191" t="s">
        <v>39643</v>
      </c>
      <c r="N2191" t="s">
        <v>42669</v>
      </c>
      <c r="O2191" t="s">
        <v>42670</v>
      </c>
      <c r="P2191">
        <v>0</v>
      </c>
      <c r="Q2191">
        <v>1</v>
      </c>
      <c r="R2191" t="s">
        <v>42674</v>
      </c>
      <c r="S2191" t="s">
        <v>42788</v>
      </c>
      <c r="T2191" t="s">
        <v>44432</v>
      </c>
      <c r="U2191" t="s">
        <v>46653</v>
      </c>
      <c r="W2191" t="s">
        <v>39643</v>
      </c>
      <c r="X2191" t="s">
        <v>42676</v>
      </c>
    </row>
    <row r="2192" spans="1:24">
      <c r="A2192">
        <f>HYPERLINK("https://www.philgeps.gov.ph/GEPSNONPILOT/Tender/SplashBidNoticeAbstractUI.aspx?menuIndex=3&amp;refID=7191289&amp;Result=3","7191289")</f>
        <v>0</v>
      </c>
      <c r="B2192" t="s">
        <v>742</v>
      </c>
      <c r="C2192" t="s">
        <v>5318</v>
      </c>
      <c r="D2192" t="s">
        <v>17175</v>
      </c>
      <c r="E2192" t="s">
        <v>19178</v>
      </c>
      <c r="F2192" t="s">
        <v>29372</v>
      </c>
      <c r="G2192" t="s">
        <v>29379</v>
      </c>
      <c r="H2192" t="s">
        <v>11048</v>
      </c>
      <c r="I2192" t="s">
        <v>14920</v>
      </c>
      <c r="J2192" t="s">
        <v>31080</v>
      </c>
      <c r="K2192" t="s">
        <v>38510</v>
      </c>
      <c r="M2192" t="s">
        <v>39523</v>
      </c>
      <c r="N2192" t="s">
        <v>42669</v>
      </c>
      <c r="O2192" t="s">
        <v>42670</v>
      </c>
      <c r="P2192">
        <v>0</v>
      </c>
      <c r="Q2192">
        <v>0</v>
      </c>
      <c r="R2192" t="s">
        <v>42674</v>
      </c>
      <c r="S2192" t="s">
        <v>42788</v>
      </c>
      <c r="T2192" t="s">
        <v>44375</v>
      </c>
      <c r="U2192" t="s">
        <v>46654</v>
      </c>
      <c r="W2192" t="s">
        <v>39523</v>
      </c>
      <c r="X2192" t="s">
        <v>42676</v>
      </c>
    </row>
    <row r="2193" spans="1:24">
      <c r="A2193">
        <f>HYPERLINK("https://www.philgeps.gov.ph/GEPSNONPILOT/Tender/SplashBidNoticeAbstractUI.aspx?menuIndex=3&amp;refID=7191243&amp;Result=3","7191243")</f>
        <v>0</v>
      </c>
      <c r="B2193" t="s">
        <v>862</v>
      </c>
      <c r="C2193" t="s">
        <v>5626</v>
      </c>
      <c r="D2193" t="s">
        <v>17204</v>
      </c>
      <c r="E2193" t="s">
        <v>17947</v>
      </c>
      <c r="F2193" t="s">
        <v>29372</v>
      </c>
      <c r="G2193" t="s">
        <v>29380</v>
      </c>
      <c r="H2193" t="s">
        <v>29389</v>
      </c>
      <c r="I2193" t="s">
        <v>10408</v>
      </c>
      <c r="J2193" t="s">
        <v>29526</v>
      </c>
      <c r="K2193" t="s">
        <v>38513</v>
      </c>
      <c r="M2193" t="s">
        <v>39654</v>
      </c>
      <c r="N2193" t="s">
        <v>42669</v>
      </c>
      <c r="O2193" t="s">
        <v>42670</v>
      </c>
      <c r="P2193">
        <v>0</v>
      </c>
      <c r="Q2193">
        <v>1</v>
      </c>
      <c r="R2193" t="s">
        <v>42674</v>
      </c>
      <c r="S2193" t="s">
        <v>42788</v>
      </c>
      <c r="T2193" t="s">
        <v>44431</v>
      </c>
      <c r="U2193" t="s">
        <v>46655</v>
      </c>
      <c r="W2193" t="s">
        <v>39654</v>
      </c>
      <c r="X2193" t="s">
        <v>42676</v>
      </c>
    </row>
    <row r="2194" spans="1:24">
      <c r="A2194">
        <f>HYPERLINK("https://www.philgeps.gov.ph/GEPSNONPILOT/Tender/SplashBidNoticeAbstractUI.aspx?menuIndex=3&amp;refID=7191241&amp;Result=3","7191241")</f>
        <v>0</v>
      </c>
      <c r="B2194" t="s">
        <v>858</v>
      </c>
      <c r="C2194" t="s">
        <v>5568</v>
      </c>
      <c r="D2194" t="s">
        <v>17199</v>
      </c>
      <c r="E2194" t="s">
        <v>19179</v>
      </c>
      <c r="F2194" t="s">
        <v>29372</v>
      </c>
      <c r="G2194" t="s">
        <v>29380</v>
      </c>
      <c r="H2194" t="s">
        <v>11048</v>
      </c>
      <c r="I2194" t="s">
        <v>29393</v>
      </c>
      <c r="J2194" t="s">
        <v>29980</v>
      </c>
      <c r="K2194" t="s">
        <v>38528</v>
      </c>
      <c r="M2194" t="s">
        <v>39648</v>
      </c>
      <c r="N2194" t="s">
        <v>42669</v>
      </c>
      <c r="O2194" t="s">
        <v>42670</v>
      </c>
      <c r="P2194">
        <v>0</v>
      </c>
      <c r="Q2194">
        <v>0</v>
      </c>
      <c r="R2194" t="s">
        <v>42674</v>
      </c>
      <c r="S2194" t="s">
        <v>42788</v>
      </c>
      <c r="T2194" t="s">
        <v>44476</v>
      </c>
      <c r="U2194" t="s">
        <v>46603</v>
      </c>
      <c r="W2194" t="s">
        <v>39648</v>
      </c>
      <c r="X2194" t="s">
        <v>42676</v>
      </c>
    </row>
    <row r="2195" spans="1:24">
      <c r="A2195">
        <f>HYPERLINK("https://www.philgeps.gov.ph/GEPSNONPILOT/Tender/SplashBidNoticeAbstractUI.aspx?menuIndex=3&amp;refID=7191231&amp;Result=3","7191231")</f>
        <v>0</v>
      </c>
      <c r="B2195" t="s">
        <v>866</v>
      </c>
      <c r="C2195" t="s">
        <v>5627</v>
      </c>
      <c r="D2195" t="s">
        <v>17193</v>
      </c>
      <c r="E2195" t="s">
        <v>19180</v>
      </c>
      <c r="F2195" t="s">
        <v>29372</v>
      </c>
      <c r="G2195" t="s">
        <v>29379</v>
      </c>
      <c r="H2195" t="s">
        <v>11048</v>
      </c>
      <c r="I2195" t="s">
        <v>3629</v>
      </c>
      <c r="J2195" t="s">
        <v>31081</v>
      </c>
      <c r="K2195" t="s">
        <v>38488</v>
      </c>
      <c r="M2195" t="s">
        <v>39658</v>
      </c>
      <c r="N2195" t="s">
        <v>42669</v>
      </c>
      <c r="O2195" t="s">
        <v>42670</v>
      </c>
      <c r="P2195">
        <v>0</v>
      </c>
      <c r="Q2195">
        <v>1</v>
      </c>
      <c r="R2195" t="s">
        <v>42674</v>
      </c>
      <c r="S2195" t="s">
        <v>42788</v>
      </c>
      <c r="T2195" t="s">
        <v>44488</v>
      </c>
      <c r="U2195" t="s">
        <v>46656</v>
      </c>
      <c r="W2195" t="s">
        <v>39658</v>
      </c>
      <c r="X2195" t="s">
        <v>42676</v>
      </c>
    </row>
    <row r="2196" spans="1:24">
      <c r="A2196">
        <f>HYPERLINK("https://www.philgeps.gov.ph/GEPSNONPILOT/Tender/SplashBidNoticeAbstractUI.aspx?menuIndex=3&amp;refID=7191282&amp;Result=3","7191282")</f>
        <v>0</v>
      </c>
      <c r="B2196" t="s">
        <v>566</v>
      </c>
      <c r="C2196" t="s">
        <v>5628</v>
      </c>
      <c r="E2196" t="s">
        <v>19181</v>
      </c>
      <c r="F2196" t="s">
        <v>29372</v>
      </c>
      <c r="G2196" t="s">
        <v>29380</v>
      </c>
      <c r="H2196" t="s">
        <v>11048</v>
      </c>
      <c r="I2196" t="s">
        <v>29414</v>
      </c>
      <c r="J2196" t="s">
        <v>30161</v>
      </c>
      <c r="K2196" t="s">
        <v>38490</v>
      </c>
      <c r="M2196" t="s">
        <v>39476</v>
      </c>
      <c r="N2196" t="s">
        <v>42669</v>
      </c>
      <c r="O2196" t="s">
        <v>42670</v>
      </c>
      <c r="P2196">
        <v>0</v>
      </c>
      <c r="Q2196">
        <v>12</v>
      </c>
      <c r="R2196" t="s">
        <v>42674</v>
      </c>
      <c r="S2196" t="s">
        <v>42788</v>
      </c>
      <c r="T2196" t="s">
        <v>44536</v>
      </c>
      <c r="U2196" t="s">
        <v>46657</v>
      </c>
      <c r="W2196" t="s">
        <v>39476</v>
      </c>
      <c r="X2196" t="s">
        <v>42676</v>
      </c>
    </row>
    <row r="2197" spans="1:24">
      <c r="A2197">
        <f>HYPERLINK("https://www.philgeps.gov.ph/GEPSNONPILOT/Tender/SplashBidNoticeAbstractUI.aspx?menuIndex=3&amp;refID=7191324&amp;Result=3","7191324")</f>
        <v>0</v>
      </c>
      <c r="B2197" t="s">
        <v>885</v>
      </c>
      <c r="C2197" t="s">
        <v>5629</v>
      </c>
      <c r="D2197" t="s">
        <v>17212</v>
      </c>
      <c r="E2197" t="s">
        <v>19182</v>
      </c>
      <c r="F2197" t="s">
        <v>29372</v>
      </c>
      <c r="G2197" t="s">
        <v>29380</v>
      </c>
      <c r="H2197" t="s">
        <v>29389</v>
      </c>
      <c r="I2197" t="s">
        <v>10408</v>
      </c>
      <c r="J2197" t="s">
        <v>29601</v>
      </c>
      <c r="K2197" t="s">
        <v>38552</v>
      </c>
      <c r="M2197" t="s">
        <v>39677</v>
      </c>
      <c r="N2197" t="s">
        <v>42669</v>
      </c>
      <c r="O2197" t="s">
        <v>42670</v>
      </c>
      <c r="P2197">
        <v>0</v>
      </c>
      <c r="Q2197">
        <v>0</v>
      </c>
      <c r="R2197" t="s">
        <v>42674</v>
      </c>
      <c r="S2197" t="s">
        <v>42788</v>
      </c>
      <c r="T2197" t="s">
        <v>44470</v>
      </c>
      <c r="U2197" t="s">
        <v>46658</v>
      </c>
      <c r="W2197" t="s">
        <v>39677</v>
      </c>
      <c r="X2197" t="s">
        <v>42676</v>
      </c>
    </row>
    <row r="2198" spans="1:24">
      <c r="A2198">
        <f>HYPERLINK("https://www.philgeps.gov.ph/GEPSNONPILOT/Tender/SplashBidNoticeAbstractUI.aspx?menuIndex=3&amp;refID=7191068&amp;Result=3","7191068")</f>
        <v>0</v>
      </c>
      <c r="B2198" t="s">
        <v>886</v>
      </c>
      <c r="C2198" t="s">
        <v>5630</v>
      </c>
      <c r="D2198" t="s">
        <v>17189</v>
      </c>
      <c r="E2198" t="s">
        <v>19183</v>
      </c>
      <c r="F2198" t="s">
        <v>29372</v>
      </c>
      <c r="G2198" t="s">
        <v>29379</v>
      </c>
      <c r="H2198" t="s">
        <v>11048</v>
      </c>
      <c r="I2198" t="s">
        <v>29406</v>
      </c>
      <c r="J2198" t="s">
        <v>31082</v>
      </c>
      <c r="K2198" t="s">
        <v>38489</v>
      </c>
      <c r="M2198" t="s">
        <v>39678</v>
      </c>
      <c r="N2198" t="s">
        <v>42669</v>
      </c>
      <c r="O2198" t="s">
        <v>42670</v>
      </c>
      <c r="P2198">
        <v>0</v>
      </c>
      <c r="Q2198">
        <v>4</v>
      </c>
      <c r="R2198" t="s">
        <v>42674</v>
      </c>
      <c r="S2198" t="s">
        <v>42788</v>
      </c>
      <c r="T2198" t="s">
        <v>44425</v>
      </c>
      <c r="U2198" t="s">
        <v>46659</v>
      </c>
      <c r="W2198" t="s">
        <v>39678</v>
      </c>
      <c r="X2198" t="s">
        <v>42676</v>
      </c>
    </row>
    <row r="2199" spans="1:24">
      <c r="A2199">
        <f>HYPERLINK("https://www.philgeps.gov.ph/GEPSNONPILOT/Tender/SplashBidNoticeAbstractUI.aspx?menuIndex=3&amp;refID=7191375&amp;Result=3","7191375")</f>
        <v>0</v>
      </c>
      <c r="B2199" t="s">
        <v>887</v>
      </c>
      <c r="C2199" t="s">
        <v>5631</v>
      </c>
      <c r="D2199" t="s">
        <v>17187</v>
      </c>
      <c r="E2199" t="s">
        <v>19184</v>
      </c>
      <c r="F2199" t="s">
        <v>29372</v>
      </c>
      <c r="G2199" t="s">
        <v>29380</v>
      </c>
      <c r="H2199" t="s">
        <v>11048</v>
      </c>
      <c r="I2199" t="s">
        <v>9469</v>
      </c>
      <c r="J2199" t="s">
        <v>30056</v>
      </c>
      <c r="K2199" t="s">
        <v>38518</v>
      </c>
      <c r="M2199" t="s">
        <v>39679</v>
      </c>
      <c r="N2199" t="s">
        <v>42669</v>
      </c>
      <c r="O2199" t="s">
        <v>42670</v>
      </c>
      <c r="P2199">
        <v>0</v>
      </c>
      <c r="Q2199">
        <v>4</v>
      </c>
      <c r="R2199" t="s">
        <v>42674</v>
      </c>
      <c r="S2199" t="s">
        <v>42788</v>
      </c>
      <c r="T2199" t="s">
        <v>44456</v>
      </c>
      <c r="U2199" t="s">
        <v>46660</v>
      </c>
      <c r="W2199" t="s">
        <v>39679</v>
      </c>
      <c r="X2199" t="s">
        <v>42676</v>
      </c>
    </row>
    <row r="2200" spans="1:24">
      <c r="A2200">
        <f>HYPERLINK("https://www.philgeps.gov.ph/GEPSNONPILOT/Tender/SplashBidNoticeAbstractUI.aspx?menuIndex=3&amp;refID=7191374&amp;Result=3","7191374")</f>
        <v>0</v>
      </c>
      <c r="B2200" t="s">
        <v>742</v>
      </c>
      <c r="C2200" t="s">
        <v>5318</v>
      </c>
      <c r="D2200" t="s">
        <v>17175</v>
      </c>
      <c r="E2200" t="s">
        <v>19185</v>
      </c>
      <c r="F2200" t="s">
        <v>29372</v>
      </c>
      <c r="G2200" t="s">
        <v>29379</v>
      </c>
      <c r="H2200" t="s">
        <v>11048</v>
      </c>
      <c r="I2200" t="s">
        <v>14920</v>
      </c>
      <c r="J2200" t="s">
        <v>31072</v>
      </c>
      <c r="K2200" t="s">
        <v>38510</v>
      </c>
      <c r="M2200" t="s">
        <v>39523</v>
      </c>
      <c r="N2200" t="s">
        <v>42669</v>
      </c>
      <c r="O2200" t="s">
        <v>42670</v>
      </c>
      <c r="P2200">
        <v>0</v>
      </c>
      <c r="Q2200">
        <v>0</v>
      </c>
      <c r="R2200" t="s">
        <v>42674</v>
      </c>
      <c r="S2200" t="s">
        <v>42788</v>
      </c>
      <c r="T2200" t="s">
        <v>44375</v>
      </c>
      <c r="U2200" t="s">
        <v>46661</v>
      </c>
      <c r="W2200" t="s">
        <v>39523</v>
      </c>
      <c r="X2200" t="s">
        <v>42676</v>
      </c>
    </row>
    <row r="2201" spans="1:24">
      <c r="A2201">
        <f>HYPERLINK("https://www.philgeps.gov.ph/GEPSNONPILOT/Tender/SplashBidNoticeAbstractUI.aspx?menuIndex=3&amp;refID=7191373&amp;Result=3","7191373")</f>
        <v>0</v>
      </c>
      <c r="B2201" t="s">
        <v>888</v>
      </c>
      <c r="C2201" t="s">
        <v>5632</v>
      </c>
      <c r="D2201" t="s">
        <v>17141</v>
      </c>
      <c r="E2201" t="s">
        <v>19186</v>
      </c>
      <c r="F2201" t="s">
        <v>29372</v>
      </c>
      <c r="G2201" t="s">
        <v>29379</v>
      </c>
      <c r="H2201" t="s">
        <v>11048</v>
      </c>
      <c r="I2201" t="s">
        <v>3670</v>
      </c>
      <c r="J2201" t="s">
        <v>29526</v>
      </c>
      <c r="K2201" t="s">
        <v>38491</v>
      </c>
      <c r="M2201" t="s">
        <v>39680</v>
      </c>
      <c r="N2201" t="s">
        <v>42669</v>
      </c>
      <c r="O2201" t="s">
        <v>42670</v>
      </c>
      <c r="P2201">
        <v>0</v>
      </c>
      <c r="Q2201">
        <v>7</v>
      </c>
      <c r="R2201" t="s">
        <v>42674</v>
      </c>
      <c r="S2201" t="s">
        <v>42788</v>
      </c>
      <c r="T2201" t="s">
        <v>44394</v>
      </c>
      <c r="U2201" t="s">
        <v>46662</v>
      </c>
      <c r="W2201" t="s">
        <v>39680</v>
      </c>
      <c r="X2201" t="s">
        <v>42676</v>
      </c>
    </row>
    <row r="2202" spans="1:24">
      <c r="A2202">
        <f>HYPERLINK("https://www.philgeps.gov.ph/GEPSNONPILOT/Tender/SplashBidNoticeAbstractUI.aspx?menuIndex=3&amp;refID=7191371&amp;Result=3","7191371")</f>
        <v>0</v>
      </c>
      <c r="B2202" t="s">
        <v>889</v>
      </c>
      <c r="C2202" t="s">
        <v>5633</v>
      </c>
      <c r="E2202" t="s">
        <v>19187</v>
      </c>
      <c r="F2202" t="s">
        <v>29372</v>
      </c>
      <c r="G2202" t="s">
        <v>29380</v>
      </c>
      <c r="H2202" t="s">
        <v>11048</v>
      </c>
      <c r="I2202" t="s">
        <v>3839</v>
      </c>
      <c r="J2202" t="s">
        <v>30046</v>
      </c>
      <c r="K2202" t="s">
        <v>38488</v>
      </c>
      <c r="M2202" t="s">
        <v>39681</v>
      </c>
      <c r="N2202" t="s">
        <v>42669</v>
      </c>
      <c r="O2202" t="s">
        <v>42670</v>
      </c>
      <c r="P2202">
        <v>0</v>
      </c>
      <c r="Q2202">
        <v>0</v>
      </c>
      <c r="R2202" t="s">
        <v>42674</v>
      </c>
      <c r="S2202" t="s">
        <v>42788</v>
      </c>
      <c r="T2202" t="s">
        <v>44444</v>
      </c>
      <c r="U2202" t="s">
        <v>46663</v>
      </c>
      <c r="W2202" t="s">
        <v>39681</v>
      </c>
      <c r="X2202" t="s">
        <v>42676</v>
      </c>
    </row>
    <row r="2203" spans="1:24">
      <c r="A2203">
        <f>HYPERLINK("https://www.philgeps.gov.ph/GEPSNONPILOT/Tender/SplashBidNoticeAbstractUI.aspx?menuIndex=3&amp;refID=7191368&amp;Result=3","7191368")</f>
        <v>0</v>
      </c>
      <c r="B2203" t="s">
        <v>586</v>
      </c>
      <c r="C2203" t="s">
        <v>5634</v>
      </c>
      <c r="D2203" t="s">
        <v>17161</v>
      </c>
      <c r="E2203" t="s">
        <v>19188</v>
      </c>
      <c r="F2203" t="s">
        <v>29372</v>
      </c>
      <c r="G2203" t="s">
        <v>29379</v>
      </c>
      <c r="H2203" t="s">
        <v>11048</v>
      </c>
      <c r="I2203" t="s">
        <v>3629</v>
      </c>
      <c r="J2203" t="s">
        <v>31083</v>
      </c>
      <c r="K2203" t="s">
        <v>38490</v>
      </c>
      <c r="M2203" t="s">
        <v>39682</v>
      </c>
      <c r="N2203" t="s">
        <v>42669</v>
      </c>
      <c r="O2203" t="s">
        <v>42670</v>
      </c>
      <c r="P2203">
        <v>0</v>
      </c>
      <c r="Q2203">
        <v>0</v>
      </c>
      <c r="R2203" t="s">
        <v>42674</v>
      </c>
      <c r="S2203" t="s">
        <v>42788</v>
      </c>
      <c r="T2203" t="s">
        <v>44488</v>
      </c>
      <c r="U2203" t="s">
        <v>46664</v>
      </c>
      <c r="W2203" t="s">
        <v>39682</v>
      </c>
      <c r="X2203" t="s">
        <v>42676</v>
      </c>
    </row>
    <row r="2204" spans="1:24">
      <c r="A2204">
        <f>HYPERLINK("https://www.philgeps.gov.ph/GEPSNONPILOT/Tender/SplashBidNoticeAbstractUI.aspx?menuIndex=3&amp;refID=7191240&amp;Result=3","7191240")</f>
        <v>0</v>
      </c>
      <c r="B2204" t="s">
        <v>890</v>
      </c>
      <c r="C2204" t="s">
        <v>5635</v>
      </c>
      <c r="D2204" t="s">
        <v>17214</v>
      </c>
      <c r="E2204" t="s">
        <v>19189</v>
      </c>
      <c r="F2204" t="s">
        <v>29372</v>
      </c>
      <c r="G2204" t="s">
        <v>29380</v>
      </c>
      <c r="H2204" t="s">
        <v>11048</v>
      </c>
      <c r="I2204" t="s">
        <v>29479</v>
      </c>
      <c r="J2204" t="s">
        <v>31084</v>
      </c>
      <c r="K2204" t="s">
        <v>38485</v>
      </c>
      <c r="M2204" t="s">
        <v>39683</v>
      </c>
      <c r="N2204" t="s">
        <v>42669</v>
      </c>
      <c r="O2204" t="s">
        <v>42670</v>
      </c>
      <c r="P2204">
        <v>0</v>
      </c>
      <c r="Q2204">
        <v>10</v>
      </c>
      <c r="R2204" t="s">
        <v>42674</v>
      </c>
      <c r="S2204" t="s">
        <v>42788</v>
      </c>
      <c r="T2204" t="s">
        <v>44544</v>
      </c>
      <c r="U2204" t="s">
        <v>46665</v>
      </c>
      <c r="W2204" t="s">
        <v>39683</v>
      </c>
      <c r="X2204" t="s">
        <v>42676</v>
      </c>
    </row>
    <row r="2205" spans="1:24">
      <c r="A2205">
        <f>HYPERLINK("https://www.philgeps.gov.ph/GEPSNONPILOT/Tender/SplashBidNoticeAbstractUI.aspx?menuIndex=3&amp;refID=7191366&amp;Result=3","7191366")</f>
        <v>0</v>
      </c>
      <c r="B2205" t="s">
        <v>891</v>
      </c>
      <c r="C2205" t="s">
        <v>5636</v>
      </c>
      <c r="D2205" t="s">
        <v>17158</v>
      </c>
      <c r="E2205" t="s">
        <v>19190</v>
      </c>
      <c r="F2205" t="s">
        <v>29372</v>
      </c>
      <c r="G2205" t="s">
        <v>29380</v>
      </c>
      <c r="H2205" t="s">
        <v>11048</v>
      </c>
      <c r="I2205" t="s">
        <v>4709</v>
      </c>
      <c r="J2205" t="s">
        <v>31085</v>
      </c>
      <c r="K2205" t="s">
        <v>38488</v>
      </c>
      <c r="M2205" t="s">
        <v>39684</v>
      </c>
      <c r="N2205" t="s">
        <v>42669</v>
      </c>
      <c r="O2205" t="s">
        <v>42670</v>
      </c>
      <c r="P2205">
        <v>0</v>
      </c>
      <c r="Q2205">
        <v>0</v>
      </c>
      <c r="R2205" t="s">
        <v>42674</v>
      </c>
      <c r="S2205" t="s">
        <v>42788</v>
      </c>
      <c r="T2205" t="s">
        <v>44546</v>
      </c>
      <c r="U2205" t="s">
        <v>46666</v>
      </c>
      <c r="W2205" t="s">
        <v>39684</v>
      </c>
      <c r="X2205" t="s">
        <v>42676</v>
      </c>
    </row>
    <row r="2206" spans="1:24">
      <c r="A2206">
        <f>HYPERLINK("https://www.philgeps.gov.ph/GEPSNONPILOT/Tender/SplashBidNoticeAbstractUI.aspx?menuIndex=3&amp;refID=7191362&amp;Result=3","7191362")</f>
        <v>0</v>
      </c>
      <c r="B2206" t="s">
        <v>892</v>
      </c>
      <c r="C2206" t="s">
        <v>5637</v>
      </c>
      <c r="D2206" t="s">
        <v>17163</v>
      </c>
      <c r="E2206" t="s">
        <v>17730</v>
      </c>
      <c r="F2206" t="s">
        <v>29372</v>
      </c>
      <c r="G2206" t="s">
        <v>29379</v>
      </c>
      <c r="H2206" t="s">
        <v>11048</v>
      </c>
      <c r="I2206" t="s">
        <v>29409</v>
      </c>
      <c r="J2206" t="s">
        <v>31086</v>
      </c>
      <c r="K2206" t="s">
        <v>38534</v>
      </c>
      <c r="M2206" t="s">
        <v>39685</v>
      </c>
      <c r="N2206" t="s">
        <v>42669</v>
      </c>
      <c r="O2206" t="s">
        <v>42670</v>
      </c>
      <c r="P2206">
        <v>0</v>
      </c>
      <c r="Q2206">
        <v>3</v>
      </c>
      <c r="R2206" t="s">
        <v>42674</v>
      </c>
      <c r="S2206" t="s">
        <v>42788</v>
      </c>
      <c r="T2206" t="s">
        <v>44454</v>
      </c>
      <c r="U2206" t="s">
        <v>46667</v>
      </c>
      <c r="W2206" t="s">
        <v>39685</v>
      </c>
      <c r="X2206" t="s">
        <v>42676</v>
      </c>
    </row>
    <row r="2207" spans="1:24">
      <c r="A2207">
        <f>HYPERLINK("https://www.philgeps.gov.ph/GEPSNONPILOT/Tender/SplashBidNoticeAbstractUI.aspx?menuIndex=3&amp;refID=7191281&amp;Result=3","7191281")</f>
        <v>0</v>
      </c>
      <c r="B2207" t="s">
        <v>893</v>
      </c>
      <c r="C2207" t="s">
        <v>5638</v>
      </c>
      <c r="D2207" t="s">
        <v>17189</v>
      </c>
      <c r="E2207" t="s">
        <v>17994</v>
      </c>
      <c r="F2207" t="s">
        <v>29373</v>
      </c>
      <c r="G2207" t="s">
        <v>29379</v>
      </c>
      <c r="H2207" t="s">
        <v>11048</v>
      </c>
      <c r="I2207" t="s">
        <v>5383</v>
      </c>
      <c r="J2207" t="s">
        <v>31087</v>
      </c>
      <c r="K2207" t="s">
        <v>38528</v>
      </c>
      <c r="L2207" t="s">
        <v>893</v>
      </c>
      <c r="M2207" t="s">
        <v>39686</v>
      </c>
      <c r="N2207" t="s">
        <v>42669</v>
      </c>
      <c r="O2207" t="s">
        <v>42670</v>
      </c>
      <c r="P2207">
        <v>0</v>
      </c>
      <c r="Q2207">
        <v>0</v>
      </c>
      <c r="R2207" t="s">
        <v>42674</v>
      </c>
      <c r="S2207" t="s">
        <v>42788</v>
      </c>
      <c r="T2207" t="s">
        <v>44389</v>
      </c>
      <c r="U2207" t="s">
        <v>46668</v>
      </c>
      <c r="W2207" t="s">
        <v>39686</v>
      </c>
      <c r="X2207" t="s">
        <v>42676</v>
      </c>
    </row>
    <row r="2208" spans="1:24">
      <c r="A2208">
        <f>HYPERLINK("https://www.philgeps.gov.ph/GEPSNONPILOT/Tender/SplashBidNoticeAbstractUI.aspx?menuIndex=3&amp;refID=7191353&amp;Result=3","7191353")</f>
        <v>0</v>
      </c>
      <c r="B2208" t="s">
        <v>889</v>
      </c>
      <c r="C2208" t="s">
        <v>5639</v>
      </c>
      <c r="E2208" t="s">
        <v>19191</v>
      </c>
      <c r="F2208" t="s">
        <v>29372</v>
      </c>
      <c r="G2208" t="s">
        <v>29380</v>
      </c>
      <c r="H2208" t="s">
        <v>11048</v>
      </c>
      <c r="I2208" t="s">
        <v>29426</v>
      </c>
      <c r="J2208" t="s">
        <v>30100</v>
      </c>
      <c r="K2208" t="s">
        <v>38488</v>
      </c>
      <c r="M2208" t="s">
        <v>39681</v>
      </c>
      <c r="N2208" t="s">
        <v>42669</v>
      </c>
      <c r="O2208" t="s">
        <v>42670</v>
      </c>
      <c r="P2208">
        <v>0</v>
      </c>
      <c r="Q2208">
        <v>2</v>
      </c>
      <c r="R2208" t="s">
        <v>42674</v>
      </c>
      <c r="S2208" t="s">
        <v>42788</v>
      </c>
      <c r="T2208" t="s">
        <v>44444</v>
      </c>
      <c r="U2208" t="s">
        <v>46663</v>
      </c>
      <c r="W2208" t="s">
        <v>39681</v>
      </c>
      <c r="X2208" t="s">
        <v>42676</v>
      </c>
    </row>
    <row r="2209" spans="1:24">
      <c r="A2209">
        <f>HYPERLINK("https://www.philgeps.gov.ph/GEPSNONPILOT/Tender/SplashBidNoticeAbstractUI.aspx?menuIndex=3&amp;refID=7191364&amp;Result=3","7191364")</f>
        <v>0</v>
      </c>
      <c r="B2209" t="s">
        <v>894</v>
      </c>
      <c r="C2209" t="s">
        <v>5640</v>
      </c>
      <c r="D2209" t="s">
        <v>17144</v>
      </c>
      <c r="E2209" t="s">
        <v>19192</v>
      </c>
      <c r="F2209" t="s">
        <v>29372</v>
      </c>
      <c r="G2209" t="s">
        <v>29379</v>
      </c>
      <c r="H2209" t="s">
        <v>29389</v>
      </c>
      <c r="I2209" t="s">
        <v>10408</v>
      </c>
      <c r="J2209" t="s">
        <v>29555</v>
      </c>
      <c r="K2209" t="s">
        <v>38485</v>
      </c>
      <c r="M2209" t="s">
        <v>39687</v>
      </c>
      <c r="N2209" t="s">
        <v>42669</v>
      </c>
      <c r="O2209" t="s">
        <v>42670</v>
      </c>
      <c r="P2209">
        <v>0</v>
      </c>
      <c r="Q2209">
        <v>2</v>
      </c>
      <c r="R2209" t="s">
        <v>42674</v>
      </c>
      <c r="S2209" t="s">
        <v>42788</v>
      </c>
      <c r="T2209" t="s">
        <v>44382</v>
      </c>
      <c r="U2209" t="s">
        <v>46669</v>
      </c>
      <c r="W2209" t="s">
        <v>39687</v>
      </c>
      <c r="X2209" t="s">
        <v>42676</v>
      </c>
    </row>
    <row r="2210" spans="1:24">
      <c r="A2210">
        <f>HYPERLINK("https://www.philgeps.gov.ph/GEPSNONPILOT/Tender/SplashBidNoticeAbstractUI.aspx?menuIndex=3&amp;refID=7191408&amp;Result=3","7191408")</f>
        <v>0</v>
      </c>
      <c r="B2210" t="s">
        <v>895</v>
      </c>
      <c r="C2210" t="s">
        <v>5641</v>
      </c>
      <c r="D2210" t="s">
        <v>17197</v>
      </c>
      <c r="E2210" t="s">
        <v>19193</v>
      </c>
      <c r="F2210" t="s">
        <v>29372</v>
      </c>
      <c r="G2210" t="s">
        <v>29379</v>
      </c>
      <c r="H2210" t="s">
        <v>29390</v>
      </c>
      <c r="I2210" t="s">
        <v>3839</v>
      </c>
      <c r="J2210" t="s">
        <v>29799</v>
      </c>
      <c r="K2210" t="s">
        <v>38510</v>
      </c>
      <c r="M2210" t="s">
        <v>39688</v>
      </c>
      <c r="N2210" t="s">
        <v>42669</v>
      </c>
      <c r="O2210" t="s">
        <v>42670</v>
      </c>
      <c r="P2210">
        <v>0</v>
      </c>
      <c r="Q2210">
        <v>0</v>
      </c>
      <c r="R2210" t="s">
        <v>42674</v>
      </c>
      <c r="S2210" t="s">
        <v>42788</v>
      </c>
      <c r="T2210" t="s">
        <v>44468</v>
      </c>
      <c r="U2210" t="s">
        <v>46670</v>
      </c>
      <c r="W2210" t="s">
        <v>39688</v>
      </c>
      <c r="X2210" t="s">
        <v>42676</v>
      </c>
    </row>
    <row r="2211" spans="1:24">
      <c r="A2211">
        <f>HYPERLINK("https://www.philgeps.gov.ph/GEPSNONPILOT/Tender/SplashBidNoticeAbstractUI.aspx?menuIndex=3&amp;refID=7191407&amp;Result=3","7191407")</f>
        <v>0</v>
      </c>
      <c r="B2211" t="s">
        <v>879</v>
      </c>
      <c r="C2211" t="s">
        <v>5642</v>
      </c>
      <c r="D2211" t="s">
        <v>17166</v>
      </c>
      <c r="E2211" t="s">
        <v>19194</v>
      </c>
      <c r="F2211" t="s">
        <v>29372</v>
      </c>
      <c r="G2211" t="s">
        <v>29380</v>
      </c>
      <c r="H2211" t="s">
        <v>29389</v>
      </c>
      <c r="I2211" t="s">
        <v>10408</v>
      </c>
      <c r="J2211" t="s">
        <v>31088</v>
      </c>
      <c r="K2211" t="s">
        <v>38587</v>
      </c>
      <c r="M2211" t="s">
        <v>39671</v>
      </c>
      <c r="N2211" t="s">
        <v>42669</v>
      </c>
      <c r="O2211" t="s">
        <v>42670</v>
      </c>
      <c r="P2211">
        <v>0</v>
      </c>
      <c r="Q2211">
        <v>9</v>
      </c>
      <c r="R2211" t="s">
        <v>42674</v>
      </c>
      <c r="S2211" t="s">
        <v>42788</v>
      </c>
      <c r="T2211" t="s">
        <v>44542</v>
      </c>
      <c r="U2211" t="s">
        <v>46671</v>
      </c>
      <c r="W2211" t="s">
        <v>39671</v>
      </c>
      <c r="X2211" t="s">
        <v>42676</v>
      </c>
    </row>
    <row r="2212" spans="1:24">
      <c r="A2212">
        <f>HYPERLINK("https://www.philgeps.gov.ph/GEPSNONPILOT/Tender/SplashBidNoticeAbstractUI.aspx?menuIndex=3&amp;refID=7191360&amp;Result=3","7191360")</f>
        <v>0</v>
      </c>
      <c r="B2212" t="s">
        <v>844</v>
      </c>
      <c r="C2212" t="s">
        <v>5643</v>
      </c>
      <c r="D2212" t="s">
        <v>17219</v>
      </c>
      <c r="E2212" t="s">
        <v>19195</v>
      </c>
      <c r="F2212" t="s">
        <v>29372</v>
      </c>
      <c r="G2212" t="s">
        <v>29379</v>
      </c>
      <c r="H2212" t="s">
        <v>11048</v>
      </c>
      <c r="I2212" t="s">
        <v>29394</v>
      </c>
      <c r="J2212" t="s">
        <v>31089</v>
      </c>
      <c r="K2212" t="s">
        <v>38485</v>
      </c>
      <c r="M2212" t="s">
        <v>39634</v>
      </c>
      <c r="N2212" t="s">
        <v>42669</v>
      </c>
      <c r="O2212" t="s">
        <v>42670</v>
      </c>
      <c r="P2212">
        <v>0</v>
      </c>
      <c r="Q2212">
        <v>1</v>
      </c>
      <c r="R2212" t="s">
        <v>42674</v>
      </c>
      <c r="S2212" t="s">
        <v>42788</v>
      </c>
      <c r="T2212" t="s">
        <v>44387</v>
      </c>
      <c r="U2212" t="s">
        <v>46577</v>
      </c>
      <c r="W2212" t="s">
        <v>39634</v>
      </c>
      <c r="X2212" t="s">
        <v>42676</v>
      </c>
    </row>
    <row r="2213" spans="1:24">
      <c r="A2213">
        <f>HYPERLINK("https://www.philgeps.gov.ph/GEPSNONPILOT/Tender/SplashBidNoticeAbstractUI.aspx?menuIndex=3&amp;refID=7191406&amp;Result=3","7191406")</f>
        <v>0</v>
      </c>
      <c r="B2213" t="s">
        <v>896</v>
      </c>
      <c r="C2213" t="s">
        <v>5644</v>
      </c>
      <c r="D2213" t="s">
        <v>17188</v>
      </c>
      <c r="E2213" t="s">
        <v>19196</v>
      </c>
      <c r="F2213" t="s">
        <v>29372</v>
      </c>
      <c r="G2213" t="s">
        <v>29379</v>
      </c>
      <c r="H2213" t="s">
        <v>11048</v>
      </c>
      <c r="I2213" t="s">
        <v>4709</v>
      </c>
      <c r="J2213" t="s">
        <v>31090</v>
      </c>
      <c r="K2213" t="s">
        <v>38510</v>
      </c>
      <c r="M2213" t="s">
        <v>39689</v>
      </c>
      <c r="N2213" t="s">
        <v>42669</v>
      </c>
      <c r="O2213" t="s">
        <v>42670</v>
      </c>
      <c r="P2213">
        <v>0</v>
      </c>
      <c r="Q2213">
        <v>0</v>
      </c>
      <c r="R2213" t="s">
        <v>42674</v>
      </c>
      <c r="S2213" t="s">
        <v>42788</v>
      </c>
      <c r="T2213" t="s">
        <v>44543</v>
      </c>
      <c r="U2213" t="s">
        <v>46672</v>
      </c>
      <c r="V2213" t="s">
        <v>56575</v>
      </c>
      <c r="W2213" t="s">
        <v>39689</v>
      </c>
      <c r="X2213" t="s">
        <v>42676</v>
      </c>
    </row>
    <row r="2214" spans="1:24">
      <c r="A2214">
        <f>HYPERLINK("https://www.philgeps.gov.ph/GEPSNONPILOT/Tender/SplashBidNoticeAbstractUI.aspx?menuIndex=3&amp;refID=7191404&amp;Result=3","7191404")</f>
        <v>0</v>
      </c>
      <c r="B2214" t="s">
        <v>897</v>
      </c>
      <c r="C2214" t="s">
        <v>5645</v>
      </c>
      <c r="D2214" t="s">
        <v>17164</v>
      </c>
      <c r="E2214" t="s">
        <v>19197</v>
      </c>
      <c r="F2214" t="s">
        <v>29372</v>
      </c>
      <c r="G2214" t="s">
        <v>29383</v>
      </c>
      <c r="H2214" t="s">
        <v>11048</v>
      </c>
      <c r="I2214" t="s">
        <v>29437</v>
      </c>
      <c r="J2214" t="s">
        <v>30408</v>
      </c>
      <c r="K2214" t="s">
        <v>38491</v>
      </c>
      <c r="M2214" t="s">
        <v>39690</v>
      </c>
      <c r="N2214" t="s">
        <v>42669</v>
      </c>
      <c r="O2214" t="s">
        <v>42670</v>
      </c>
      <c r="P2214">
        <v>0</v>
      </c>
      <c r="Q2214">
        <v>1</v>
      </c>
      <c r="R2214" t="s">
        <v>42674</v>
      </c>
      <c r="S2214" t="s">
        <v>42788</v>
      </c>
      <c r="T2214" t="s">
        <v>44394</v>
      </c>
      <c r="U2214" t="s">
        <v>46673</v>
      </c>
      <c r="W2214" t="s">
        <v>39690</v>
      </c>
      <c r="X2214" t="s">
        <v>42676</v>
      </c>
    </row>
    <row r="2215" spans="1:24">
      <c r="A2215">
        <f>HYPERLINK("https://www.philgeps.gov.ph/GEPSNONPILOT/Tender/SplashBidNoticeAbstractUI.aspx?menuIndex=3&amp;refID=7191403&amp;Result=3","7191403")</f>
        <v>0</v>
      </c>
      <c r="B2215" t="s">
        <v>898</v>
      </c>
      <c r="C2215" t="s">
        <v>5646</v>
      </c>
      <c r="D2215" t="s">
        <v>17142</v>
      </c>
      <c r="E2215" t="s">
        <v>19198</v>
      </c>
      <c r="F2215" t="s">
        <v>29372</v>
      </c>
      <c r="G2215" t="s">
        <v>29379</v>
      </c>
      <c r="H2215" t="s">
        <v>11048</v>
      </c>
      <c r="I2215" t="s">
        <v>29419</v>
      </c>
      <c r="J2215" t="s">
        <v>29587</v>
      </c>
      <c r="K2215" t="s">
        <v>38490</v>
      </c>
      <c r="M2215" t="s">
        <v>39691</v>
      </c>
      <c r="N2215" t="s">
        <v>42669</v>
      </c>
      <c r="O2215" t="s">
        <v>42670</v>
      </c>
      <c r="P2215">
        <v>0</v>
      </c>
      <c r="Q2215">
        <v>3</v>
      </c>
      <c r="R2215" t="s">
        <v>42674</v>
      </c>
      <c r="S2215" t="s">
        <v>42788</v>
      </c>
      <c r="T2215" t="s">
        <v>44382</v>
      </c>
      <c r="U2215" t="s">
        <v>46674</v>
      </c>
      <c r="V2215" t="s">
        <v>56576</v>
      </c>
      <c r="W2215" t="s">
        <v>39691</v>
      </c>
      <c r="X2215" t="s">
        <v>42676</v>
      </c>
    </row>
    <row r="2216" spans="1:24">
      <c r="A2216">
        <f>HYPERLINK("https://www.philgeps.gov.ph/GEPSNONPILOT/Tender/SplashBidNoticeAbstractUI.aspx?menuIndex=3&amp;refID=7191402&amp;Result=3","7191402")</f>
        <v>0</v>
      </c>
      <c r="B2216" t="s">
        <v>899</v>
      </c>
      <c r="C2216" t="s">
        <v>5647</v>
      </c>
      <c r="D2216" t="s">
        <v>17213</v>
      </c>
      <c r="E2216" t="s">
        <v>19199</v>
      </c>
      <c r="F2216" t="s">
        <v>29372</v>
      </c>
      <c r="G2216" t="s">
        <v>29379</v>
      </c>
      <c r="H2216" t="s">
        <v>11048</v>
      </c>
      <c r="I2216" t="s">
        <v>29407</v>
      </c>
      <c r="J2216" t="s">
        <v>31091</v>
      </c>
      <c r="K2216" t="s">
        <v>38488</v>
      </c>
      <c r="M2216" t="s">
        <v>39692</v>
      </c>
      <c r="N2216" t="s">
        <v>42669</v>
      </c>
      <c r="O2216" t="s">
        <v>42670</v>
      </c>
      <c r="P2216">
        <v>0</v>
      </c>
      <c r="Q2216">
        <v>3</v>
      </c>
      <c r="R2216" t="s">
        <v>42674</v>
      </c>
      <c r="S2216" t="s">
        <v>42788</v>
      </c>
      <c r="T2216" t="s">
        <v>44399</v>
      </c>
      <c r="U2216" t="s">
        <v>46675</v>
      </c>
      <c r="V2216" t="s">
        <v>56577</v>
      </c>
      <c r="W2216" t="s">
        <v>39692</v>
      </c>
      <c r="X2216" t="s">
        <v>42676</v>
      </c>
    </row>
    <row r="2217" spans="1:24">
      <c r="A2217">
        <f>HYPERLINK("https://www.philgeps.gov.ph/GEPSNONPILOT/Tender/SplashBidNoticeAbstractUI.aspx?menuIndex=3&amp;refID=7191369&amp;Result=3","7191369")</f>
        <v>0</v>
      </c>
      <c r="B2217" t="s">
        <v>900</v>
      </c>
      <c r="C2217" t="s">
        <v>5648</v>
      </c>
      <c r="D2217" t="s">
        <v>17144</v>
      </c>
      <c r="E2217" t="s">
        <v>19200</v>
      </c>
      <c r="F2217" t="s">
        <v>29372</v>
      </c>
      <c r="G2217" t="s">
        <v>29380</v>
      </c>
      <c r="H2217" t="s">
        <v>11048</v>
      </c>
      <c r="I2217" t="s">
        <v>9469</v>
      </c>
      <c r="J2217" t="s">
        <v>31092</v>
      </c>
      <c r="K2217" t="s">
        <v>38518</v>
      </c>
      <c r="M2217" t="s">
        <v>39693</v>
      </c>
      <c r="N2217" t="s">
        <v>42669</v>
      </c>
      <c r="O2217" t="s">
        <v>42670</v>
      </c>
      <c r="P2217">
        <v>0</v>
      </c>
      <c r="Q2217">
        <v>0</v>
      </c>
      <c r="R2217" t="s">
        <v>42674</v>
      </c>
      <c r="S2217" t="s">
        <v>42788</v>
      </c>
      <c r="T2217" t="s">
        <v>44523</v>
      </c>
      <c r="U2217" t="s">
        <v>46676</v>
      </c>
      <c r="V2217" t="s">
        <v>56578</v>
      </c>
      <c r="W2217" t="s">
        <v>39693</v>
      </c>
      <c r="X2217" t="s">
        <v>42676</v>
      </c>
    </row>
    <row r="2218" spans="1:24">
      <c r="A2218">
        <f>HYPERLINK("https://www.philgeps.gov.ph/GEPSNONPILOT/Tender/SplashBidNoticeAbstractUI.aspx?menuIndex=3&amp;refID=7191401&amp;Result=3","7191401")</f>
        <v>0</v>
      </c>
      <c r="B2218" t="s">
        <v>901</v>
      </c>
      <c r="C2218" t="s">
        <v>5649</v>
      </c>
      <c r="D2218" t="s">
        <v>17170</v>
      </c>
      <c r="E2218" t="s">
        <v>19201</v>
      </c>
      <c r="F2218" t="s">
        <v>29372</v>
      </c>
      <c r="G2218" t="s">
        <v>29381</v>
      </c>
      <c r="H2218" t="s">
        <v>29389</v>
      </c>
      <c r="I2218" t="s">
        <v>29464</v>
      </c>
      <c r="J2218" t="s">
        <v>29708</v>
      </c>
      <c r="K2218" t="s">
        <v>38485</v>
      </c>
      <c r="M2218" t="s">
        <v>39694</v>
      </c>
      <c r="N2218" t="s">
        <v>42669</v>
      </c>
      <c r="O2218" t="s">
        <v>42670</v>
      </c>
      <c r="P2218">
        <v>0</v>
      </c>
      <c r="Q2218">
        <v>1</v>
      </c>
      <c r="R2218" t="s">
        <v>42674</v>
      </c>
      <c r="S2218" t="s">
        <v>42788</v>
      </c>
      <c r="T2218" t="s">
        <v>44387</v>
      </c>
      <c r="U2218" t="s">
        <v>46677</v>
      </c>
      <c r="W2218" t="s">
        <v>39694</v>
      </c>
      <c r="X2218" t="s">
        <v>42676</v>
      </c>
    </row>
    <row r="2219" spans="1:24">
      <c r="A2219">
        <f>HYPERLINK("https://www.philgeps.gov.ph/GEPSNONPILOT/Tender/SplashBidNoticeAbstractUI.aspx?menuIndex=3&amp;refID=7191398&amp;Result=3","7191398")</f>
        <v>0</v>
      </c>
      <c r="B2219" t="s">
        <v>902</v>
      </c>
      <c r="C2219" t="s">
        <v>5650</v>
      </c>
      <c r="D2219" t="s">
        <v>17205</v>
      </c>
      <c r="E2219" t="s">
        <v>19202</v>
      </c>
      <c r="F2219" t="s">
        <v>29372</v>
      </c>
      <c r="G2219" t="s">
        <v>29380</v>
      </c>
      <c r="H2219" t="s">
        <v>11048</v>
      </c>
      <c r="I2219" t="s">
        <v>29395</v>
      </c>
      <c r="J2219" t="s">
        <v>31093</v>
      </c>
      <c r="K2219" t="s">
        <v>38490</v>
      </c>
      <c r="M2219" t="s">
        <v>39695</v>
      </c>
      <c r="N2219" t="s">
        <v>42669</v>
      </c>
      <c r="O2219" t="s">
        <v>42670</v>
      </c>
      <c r="P2219">
        <v>0</v>
      </c>
      <c r="Q2219">
        <v>0</v>
      </c>
      <c r="R2219" t="s">
        <v>42674</v>
      </c>
      <c r="S2219" t="s">
        <v>42788</v>
      </c>
      <c r="T2219" t="s">
        <v>44476</v>
      </c>
      <c r="U2219" t="s">
        <v>46678</v>
      </c>
      <c r="W2219" t="s">
        <v>39695</v>
      </c>
      <c r="X2219" t="s">
        <v>42676</v>
      </c>
    </row>
    <row r="2220" spans="1:24">
      <c r="A2220">
        <f>HYPERLINK("https://www.philgeps.gov.ph/GEPSNONPILOT/Tender/SplashBidNoticeAbstractUI.aspx?menuIndex=3&amp;refID=7191389&amp;Result=3","7191389")</f>
        <v>0</v>
      </c>
      <c r="B2220" t="s">
        <v>877</v>
      </c>
      <c r="C2220" t="s">
        <v>5651</v>
      </c>
      <c r="D2220" t="s">
        <v>17174</v>
      </c>
      <c r="E2220" t="s">
        <v>19203</v>
      </c>
      <c r="F2220" t="s">
        <v>29375</v>
      </c>
      <c r="G2220" t="s">
        <v>29383</v>
      </c>
      <c r="H2220" t="s">
        <v>29391</v>
      </c>
      <c r="I2220" t="s">
        <v>29391</v>
      </c>
      <c r="J2220" t="s">
        <v>29555</v>
      </c>
      <c r="K2220" t="s">
        <v>38490</v>
      </c>
      <c r="M2220" t="s">
        <v>39669</v>
      </c>
      <c r="N2220" t="s">
        <v>42669</v>
      </c>
      <c r="O2220" t="s">
        <v>42670</v>
      </c>
      <c r="P2220">
        <v>0</v>
      </c>
      <c r="Q2220">
        <v>1</v>
      </c>
      <c r="R2220" t="s">
        <v>42674</v>
      </c>
      <c r="S2220" t="s">
        <v>42788</v>
      </c>
      <c r="T2220" t="s">
        <v>44512</v>
      </c>
      <c r="U2220" t="s">
        <v>46679</v>
      </c>
      <c r="W2220" t="s">
        <v>39669</v>
      </c>
      <c r="X2220" t="s">
        <v>42676</v>
      </c>
    </row>
    <row r="2221" spans="1:24">
      <c r="A2221">
        <f>HYPERLINK("https://www.philgeps.gov.ph/GEPSNONPILOT/Tender/SplashBidNoticeAbstractUI.aspx?menuIndex=3&amp;refID=7191388&amp;Result=3","7191388")</f>
        <v>0</v>
      </c>
      <c r="B2221" t="s">
        <v>903</v>
      </c>
      <c r="C2221" t="s">
        <v>5652</v>
      </c>
      <c r="D2221" t="s">
        <v>17188</v>
      </c>
      <c r="E2221" t="s">
        <v>19204</v>
      </c>
      <c r="F2221" t="s">
        <v>29372</v>
      </c>
      <c r="G2221" t="s">
        <v>29379</v>
      </c>
      <c r="H2221" t="s">
        <v>11048</v>
      </c>
      <c r="I2221" t="s">
        <v>29403</v>
      </c>
      <c r="J2221" t="s">
        <v>31094</v>
      </c>
      <c r="K2221" t="s">
        <v>38490</v>
      </c>
      <c r="M2221" t="s">
        <v>39696</v>
      </c>
      <c r="N2221" t="s">
        <v>42669</v>
      </c>
      <c r="O2221" t="s">
        <v>42670</v>
      </c>
      <c r="P2221">
        <v>0</v>
      </c>
      <c r="Q2221">
        <v>0</v>
      </c>
      <c r="R2221" t="s">
        <v>42674</v>
      </c>
      <c r="S2221" t="s">
        <v>42788</v>
      </c>
      <c r="T2221" t="s">
        <v>44432</v>
      </c>
      <c r="U2221" t="s">
        <v>46680</v>
      </c>
      <c r="W2221" t="s">
        <v>39696</v>
      </c>
      <c r="X2221" t="s">
        <v>42676</v>
      </c>
    </row>
    <row r="2222" spans="1:24">
      <c r="A2222">
        <f>HYPERLINK("https://www.philgeps.gov.ph/GEPSNONPILOT/Tender/SplashBidNoticeAbstractUI.aspx?menuIndex=3&amp;refID=7191305&amp;Result=3","7191305")</f>
        <v>0</v>
      </c>
      <c r="B2222" t="s">
        <v>844</v>
      </c>
      <c r="C2222" t="s">
        <v>5653</v>
      </c>
      <c r="D2222" t="s">
        <v>17219</v>
      </c>
      <c r="E2222" t="s">
        <v>19205</v>
      </c>
      <c r="F2222" t="s">
        <v>29372</v>
      </c>
      <c r="G2222" t="s">
        <v>29379</v>
      </c>
      <c r="H2222" t="s">
        <v>11048</v>
      </c>
      <c r="I2222" t="s">
        <v>3670</v>
      </c>
      <c r="J2222" t="s">
        <v>31095</v>
      </c>
      <c r="K2222" t="s">
        <v>38485</v>
      </c>
      <c r="M2222" t="s">
        <v>39634</v>
      </c>
      <c r="N2222" t="s">
        <v>42669</v>
      </c>
      <c r="O2222" t="s">
        <v>42670</v>
      </c>
      <c r="P2222">
        <v>0</v>
      </c>
      <c r="Q2222">
        <v>1</v>
      </c>
      <c r="R2222" t="s">
        <v>42674</v>
      </c>
      <c r="S2222" t="s">
        <v>42788</v>
      </c>
      <c r="T2222" t="s">
        <v>44387</v>
      </c>
      <c r="U2222" t="s">
        <v>46577</v>
      </c>
      <c r="W2222" t="s">
        <v>39634</v>
      </c>
      <c r="X2222" t="s">
        <v>42676</v>
      </c>
    </row>
    <row r="2223" spans="1:24">
      <c r="A2223">
        <f>HYPERLINK("https://www.philgeps.gov.ph/GEPSNONPILOT/Tender/SplashBidNoticeAbstractUI.aspx?menuIndex=3&amp;refID=7191385&amp;Result=3","7191385")</f>
        <v>0</v>
      </c>
      <c r="B2223" t="s">
        <v>904</v>
      </c>
      <c r="C2223" t="s">
        <v>5654</v>
      </c>
      <c r="D2223" t="s">
        <v>17161</v>
      </c>
      <c r="E2223" t="s">
        <v>19206</v>
      </c>
      <c r="F2223" t="s">
        <v>29372</v>
      </c>
      <c r="G2223" t="s">
        <v>29383</v>
      </c>
      <c r="H2223" t="s">
        <v>11048</v>
      </c>
      <c r="I2223" t="s">
        <v>29398</v>
      </c>
      <c r="J2223" t="s">
        <v>31096</v>
      </c>
      <c r="K2223" t="s">
        <v>38518</v>
      </c>
      <c r="M2223" t="s">
        <v>39697</v>
      </c>
      <c r="N2223" t="s">
        <v>42669</v>
      </c>
      <c r="O2223" t="s">
        <v>42670</v>
      </c>
      <c r="P2223">
        <v>0</v>
      </c>
      <c r="Q2223">
        <v>2</v>
      </c>
      <c r="R2223" t="s">
        <v>42674</v>
      </c>
      <c r="S2223" t="s">
        <v>42788</v>
      </c>
      <c r="T2223" t="s">
        <v>44462</v>
      </c>
      <c r="U2223" t="s">
        <v>46681</v>
      </c>
      <c r="W2223" t="s">
        <v>39697</v>
      </c>
      <c r="X2223" t="s">
        <v>42676</v>
      </c>
    </row>
    <row r="2224" spans="1:24">
      <c r="A2224">
        <f>HYPERLINK("https://www.philgeps.gov.ph/GEPSNONPILOT/Tender/SplashBidNoticeAbstractUI.aspx?menuIndex=3&amp;refID=7191405&amp;Result=3","7191405")</f>
        <v>0</v>
      </c>
      <c r="B2224" t="s">
        <v>844</v>
      </c>
      <c r="C2224" t="s">
        <v>5655</v>
      </c>
      <c r="D2224" t="s">
        <v>17219</v>
      </c>
      <c r="E2224" t="s">
        <v>19207</v>
      </c>
      <c r="F2224" t="s">
        <v>29372</v>
      </c>
      <c r="G2224" t="s">
        <v>29379</v>
      </c>
      <c r="H2224" t="s">
        <v>11048</v>
      </c>
      <c r="I2224" t="s">
        <v>3670</v>
      </c>
      <c r="J2224" t="s">
        <v>31097</v>
      </c>
      <c r="K2224" t="s">
        <v>38485</v>
      </c>
      <c r="M2224" t="s">
        <v>39634</v>
      </c>
      <c r="N2224" t="s">
        <v>42669</v>
      </c>
      <c r="O2224" t="s">
        <v>42670</v>
      </c>
      <c r="P2224">
        <v>0</v>
      </c>
      <c r="Q2224">
        <v>1</v>
      </c>
      <c r="R2224" t="s">
        <v>42674</v>
      </c>
      <c r="S2224" t="s">
        <v>42788</v>
      </c>
      <c r="T2224" t="s">
        <v>44387</v>
      </c>
      <c r="U2224" t="s">
        <v>46577</v>
      </c>
      <c r="W2224" t="s">
        <v>39634</v>
      </c>
      <c r="X2224" t="s">
        <v>42676</v>
      </c>
    </row>
    <row r="2225" spans="1:24">
      <c r="A2225">
        <f>HYPERLINK("https://www.philgeps.gov.ph/GEPSNONPILOT/Tender/SplashBidNoticeAbstractUI.aspx?menuIndex=3&amp;refID=7191393&amp;Result=3","7191393")</f>
        <v>0</v>
      </c>
      <c r="B2225" t="s">
        <v>905</v>
      </c>
      <c r="C2225" t="s">
        <v>5656</v>
      </c>
      <c r="D2225" t="s">
        <v>17151</v>
      </c>
      <c r="E2225" t="s">
        <v>19208</v>
      </c>
      <c r="F2225" t="s">
        <v>29372</v>
      </c>
      <c r="G2225" t="s">
        <v>29379</v>
      </c>
      <c r="H2225" t="s">
        <v>11048</v>
      </c>
      <c r="I2225" t="s">
        <v>29480</v>
      </c>
      <c r="J2225" t="s">
        <v>30155</v>
      </c>
      <c r="K2225" t="s">
        <v>38522</v>
      </c>
      <c r="M2225" t="s">
        <v>39698</v>
      </c>
      <c r="N2225" t="s">
        <v>42669</v>
      </c>
      <c r="O2225" t="s">
        <v>42670</v>
      </c>
      <c r="P2225">
        <v>0</v>
      </c>
      <c r="Q2225">
        <v>0</v>
      </c>
      <c r="R2225" t="s">
        <v>42674</v>
      </c>
      <c r="S2225" t="s">
        <v>42788</v>
      </c>
      <c r="T2225" t="s">
        <v>44491</v>
      </c>
      <c r="U2225" t="s">
        <v>46682</v>
      </c>
      <c r="W2225" t="s">
        <v>39698</v>
      </c>
      <c r="X2225" t="s">
        <v>42676</v>
      </c>
    </row>
    <row r="2226" spans="1:24">
      <c r="A2226">
        <f>HYPERLINK("https://www.philgeps.gov.ph/GEPSNONPILOT/Tender/SplashBidNoticeAbstractUI.aspx?menuIndex=3&amp;refID=7191384&amp;Result=3","7191384")</f>
        <v>0</v>
      </c>
      <c r="B2226" t="s">
        <v>896</v>
      </c>
      <c r="C2226" t="s">
        <v>5657</v>
      </c>
      <c r="D2226" t="s">
        <v>17188</v>
      </c>
      <c r="E2226" t="s">
        <v>19209</v>
      </c>
      <c r="F2226" t="s">
        <v>29372</v>
      </c>
      <c r="G2226" t="s">
        <v>29379</v>
      </c>
      <c r="H2226" t="s">
        <v>11048</v>
      </c>
      <c r="I2226" t="s">
        <v>3629</v>
      </c>
      <c r="J2226" t="s">
        <v>31098</v>
      </c>
      <c r="K2226" t="s">
        <v>38510</v>
      </c>
      <c r="M2226" t="s">
        <v>39689</v>
      </c>
      <c r="N2226" t="s">
        <v>42669</v>
      </c>
      <c r="O2226" t="s">
        <v>42670</v>
      </c>
      <c r="P2226">
        <v>0</v>
      </c>
      <c r="Q2226">
        <v>1</v>
      </c>
      <c r="R2226" t="s">
        <v>42674</v>
      </c>
      <c r="S2226" t="s">
        <v>42788</v>
      </c>
      <c r="T2226" t="s">
        <v>44543</v>
      </c>
      <c r="U2226" t="s">
        <v>46683</v>
      </c>
      <c r="V2226" t="s">
        <v>56575</v>
      </c>
      <c r="W2226" t="s">
        <v>39689</v>
      </c>
      <c r="X2226" t="s">
        <v>42676</v>
      </c>
    </row>
    <row r="2227" spans="1:24">
      <c r="A2227">
        <f>HYPERLINK("https://www.philgeps.gov.ph/GEPSNONPILOT/Tender/SplashBidNoticeAbstractUI.aspx?menuIndex=3&amp;refID=7191379&amp;Result=3","7191379")</f>
        <v>0</v>
      </c>
      <c r="B2227" t="s">
        <v>906</v>
      </c>
      <c r="C2227" t="s">
        <v>5658</v>
      </c>
      <c r="D2227" t="s">
        <v>17142</v>
      </c>
      <c r="E2227" t="s">
        <v>19210</v>
      </c>
      <c r="F2227" t="s">
        <v>29372</v>
      </c>
      <c r="G2227" t="s">
        <v>29380</v>
      </c>
      <c r="H2227" t="s">
        <v>11048</v>
      </c>
      <c r="I2227" t="s">
        <v>29462</v>
      </c>
      <c r="J2227" t="s">
        <v>29788</v>
      </c>
      <c r="K2227" t="s">
        <v>38510</v>
      </c>
      <c r="M2227" t="s">
        <v>39699</v>
      </c>
      <c r="N2227" t="s">
        <v>42669</v>
      </c>
      <c r="O2227" t="s">
        <v>42670</v>
      </c>
      <c r="P2227">
        <v>0</v>
      </c>
      <c r="Q2227">
        <v>5</v>
      </c>
      <c r="R2227" t="s">
        <v>42674</v>
      </c>
      <c r="S2227" t="s">
        <v>42788</v>
      </c>
      <c r="T2227" t="s">
        <v>44430</v>
      </c>
      <c r="U2227" t="s">
        <v>46684</v>
      </c>
      <c r="W2227" t="s">
        <v>58024</v>
      </c>
      <c r="X2227" t="s">
        <v>42676</v>
      </c>
    </row>
    <row r="2228" spans="1:24">
      <c r="A2228">
        <f>HYPERLINK("https://www.philgeps.gov.ph/GEPSNONPILOT/Tender/SplashBidNoticeAbstractUI.aspx?menuIndex=3&amp;refID=7191386&amp;Result=3","7191386")</f>
        <v>0</v>
      </c>
      <c r="B2228" t="s">
        <v>907</v>
      </c>
      <c r="C2228" t="s">
        <v>5659</v>
      </c>
      <c r="D2228" t="s">
        <v>17166</v>
      </c>
      <c r="E2228" t="s">
        <v>19211</v>
      </c>
      <c r="F2228" t="s">
        <v>29372</v>
      </c>
      <c r="G2228" t="s">
        <v>29380</v>
      </c>
      <c r="H2228" t="s">
        <v>29389</v>
      </c>
      <c r="I2228" t="s">
        <v>10408</v>
      </c>
      <c r="J2228" t="s">
        <v>31099</v>
      </c>
      <c r="K2228" t="s">
        <v>38533</v>
      </c>
      <c r="M2228" t="s">
        <v>39700</v>
      </c>
      <c r="N2228" t="s">
        <v>42669</v>
      </c>
      <c r="O2228" t="s">
        <v>42670</v>
      </c>
      <c r="Q2228">
        <v>4</v>
      </c>
      <c r="R2228" t="s">
        <v>42674</v>
      </c>
      <c r="S2228" t="s">
        <v>42797</v>
      </c>
      <c r="T2228" t="s">
        <v>44368</v>
      </c>
      <c r="U2228" t="s">
        <v>46685</v>
      </c>
      <c r="V2228" t="s">
        <v>56579</v>
      </c>
      <c r="W2228" t="s">
        <v>39700</v>
      </c>
      <c r="X2228" t="s">
        <v>42676</v>
      </c>
    </row>
    <row r="2229" spans="1:24">
      <c r="A2229">
        <f>HYPERLINK("https://www.philgeps.gov.ph/GEPSNONPILOT/Tender/SplashBidNoticeAbstractUI.aspx?menuIndex=3&amp;refID=7191376&amp;Result=3","7191376")</f>
        <v>0</v>
      </c>
      <c r="B2229" t="s">
        <v>908</v>
      </c>
      <c r="C2229" t="s">
        <v>5660</v>
      </c>
      <c r="D2229" t="s">
        <v>17160</v>
      </c>
      <c r="E2229" t="s">
        <v>19212</v>
      </c>
      <c r="F2229" t="s">
        <v>29372</v>
      </c>
      <c r="G2229" t="s">
        <v>29379</v>
      </c>
      <c r="H2229" t="s">
        <v>29389</v>
      </c>
      <c r="I2229" t="s">
        <v>10408</v>
      </c>
      <c r="J2229" t="s">
        <v>29526</v>
      </c>
      <c r="K2229" t="s">
        <v>38488</v>
      </c>
      <c r="M2229" t="s">
        <v>39701</v>
      </c>
      <c r="N2229" t="s">
        <v>42669</v>
      </c>
      <c r="O2229" t="s">
        <v>42670</v>
      </c>
      <c r="P2229">
        <v>0</v>
      </c>
      <c r="Q2229">
        <v>0</v>
      </c>
      <c r="R2229" t="s">
        <v>42674</v>
      </c>
      <c r="S2229" t="s">
        <v>42788</v>
      </c>
      <c r="T2229" t="s">
        <v>44512</v>
      </c>
      <c r="U2229" t="s">
        <v>46686</v>
      </c>
      <c r="W2229" t="s">
        <v>39701</v>
      </c>
      <c r="X2229" t="s">
        <v>42676</v>
      </c>
    </row>
    <row r="2230" spans="1:24">
      <c r="A2230">
        <f>HYPERLINK("https://www.philgeps.gov.ph/GEPSNONPILOT/Tender/SplashBidNoticeAbstractUI.aspx?menuIndex=3&amp;refID=7191452&amp;Result=3","7191452")</f>
        <v>0</v>
      </c>
      <c r="B2230" t="s">
        <v>894</v>
      </c>
      <c r="C2230" t="s">
        <v>5661</v>
      </c>
      <c r="D2230" t="s">
        <v>17144</v>
      </c>
      <c r="E2230" t="s">
        <v>19213</v>
      </c>
      <c r="F2230" t="s">
        <v>29372</v>
      </c>
      <c r="G2230" t="s">
        <v>29379</v>
      </c>
      <c r="H2230" t="s">
        <v>29389</v>
      </c>
      <c r="I2230" t="s">
        <v>10408</v>
      </c>
      <c r="J2230" t="s">
        <v>31100</v>
      </c>
      <c r="K2230" t="s">
        <v>38510</v>
      </c>
      <c r="M2230" t="s">
        <v>39687</v>
      </c>
      <c r="N2230" t="s">
        <v>42669</v>
      </c>
      <c r="O2230" t="s">
        <v>42670</v>
      </c>
      <c r="P2230">
        <v>0</v>
      </c>
      <c r="Q2230">
        <v>2</v>
      </c>
      <c r="R2230" t="s">
        <v>42674</v>
      </c>
      <c r="S2230" t="s">
        <v>42788</v>
      </c>
      <c r="T2230" t="s">
        <v>44382</v>
      </c>
      <c r="U2230" t="s">
        <v>46687</v>
      </c>
      <c r="W2230" t="s">
        <v>39687</v>
      </c>
      <c r="X2230" t="s">
        <v>42676</v>
      </c>
    </row>
    <row r="2231" spans="1:24">
      <c r="A2231">
        <f>HYPERLINK("https://www.philgeps.gov.ph/GEPSNONPILOT/Tender/SplashBidNoticeAbstractUI.aspx?menuIndex=3&amp;refID=7191449&amp;Result=3","7191449")</f>
        <v>0</v>
      </c>
      <c r="B2231" t="s">
        <v>795</v>
      </c>
      <c r="C2231" t="s">
        <v>5662</v>
      </c>
      <c r="D2231" t="s">
        <v>17167</v>
      </c>
      <c r="E2231" t="s">
        <v>19214</v>
      </c>
      <c r="F2231" t="s">
        <v>29372</v>
      </c>
      <c r="G2231" t="s">
        <v>29380</v>
      </c>
      <c r="H2231" t="s">
        <v>11048</v>
      </c>
      <c r="I2231" t="s">
        <v>9469</v>
      </c>
      <c r="J2231" t="s">
        <v>30161</v>
      </c>
      <c r="K2231" t="s">
        <v>38485</v>
      </c>
      <c r="M2231" t="s">
        <v>39579</v>
      </c>
      <c r="N2231" t="s">
        <v>42669</v>
      </c>
      <c r="O2231" t="s">
        <v>42670</v>
      </c>
      <c r="P2231">
        <v>0</v>
      </c>
      <c r="Q2231">
        <v>5</v>
      </c>
      <c r="R2231" t="s">
        <v>42674</v>
      </c>
      <c r="S2231" t="s">
        <v>42788</v>
      </c>
      <c r="T2231" t="s">
        <v>44544</v>
      </c>
      <c r="U2231" t="s">
        <v>46688</v>
      </c>
      <c r="W2231" t="s">
        <v>39579</v>
      </c>
      <c r="X2231" t="s">
        <v>42676</v>
      </c>
    </row>
    <row r="2232" spans="1:24">
      <c r="A2232">
        <f>HYPERLINK("https://www.philgeps.gov.ph/GEPSNONPILOT/Tender/SplashBidNoticeAbstractUI.aspx?menuIndex=3&amp;refID=7191378&amp;Result=3","7191378")</f>
        <v>0</v>
      </c>
      <c r="B2232" t="s">
        <v>649</v>
      </c>
      <c r="C2232" t="s">
        <v>5663</v>
      </c>
      <c r="D2232" t="s">
        <v>17162</v>
      </c>
      <c r="E2232" t="s">
        <v>19215</v>
      </c>
      <c r="F2232" t="s">
        <v>29372</v>
      </c>
      <c r="G2232" t="s">
        <v>29380</v>
      </c>
      <c r="H2232" t="s">
        <v>11048</v>
      </c>
      <c r="I2232" t="s">
        <v>3670</v>
      </c>
      <c r="J2232" t="s">
        <v>31101</v>
      </c>
      <c r="K2232" t="s">
        <v>38510</v>
      </c>
      <c r="M2232" t="s">
        <v>39423</v>
      </c>
      <c r="N2232" t="s">
        <v>42669</v>
      </c>
      <c r="O2232" t="s">
        <v>42670</v>
      </c>
      <c r="P2232">
        <v>0</v>
      </c>
      <c r="Q2232">
        <v>3</v>
      </c>
      <c r="R2232" t="s">
        <v>42674</v>
      </c>
      <c r="S2232" t="s">
        <v>42788</v>
      </c>
      <c r="T2232" t="s">
        <v>44550</v>
      </c>
      <c r="U2232" t="s">
        <v>46689</v>
      </c>
      <c r="W2232" t="s">
        <v>39423</v>
      </c>
      <c r="X2232" t="s">
        <v>42676</v>
      </c>
    </row>
    <row r="2233" spans="1:24">
      <c r="A2233">
        <f>HYPERLINK("https://www.philgeps.gov.ph/GEPSNONPILOT/Tender/SplashBidNoticeAbstractUI.aspx?menuIndex=3&amp;refID=7191381&amp;Result=3","7191381")</f>
        <v>0</v>
      </c>
      <c r="B2233" t="s">
        <v>909</v>
      </c>
      <c r="C2233" t="s">
        <v>5664</v>
      </c>
      <c r="D2233" t="s">
        <v>17202</v>
      </c>
      <c r="E2233" t="s">
        <v>19216</v>
      </c>
      <c r="F2233" t="s">
        <v>29372</v>
      </c>
      <c r="G2233" t="s">
        <v>29380</v>
      </c>
      <c r="H2233" t="s">
        <v>11048</v>
      </c>
      <c r="I2233" t="s">
        <v>4709</v>
      </c>
      <c r="J2233" t="s">
        <v>31102</v>
      </c>
      <c r="K2233" t="s">
        <v>38485</v>
      </c>
      <c r="M2233" t="s">
        <v>39702</v>
      </c>
      <c r="N2233" t="s">
        <v>42669</v>
      </c>
      <c r="O2233" t="s">
        <v>42670</v>
      </c>
      <c r="P2233">
        <v>0</v>
      </c>
      <c r="Q2233">
        <v>0</v>
      </c>
      <c r="R2233" t="s">
        <v>42674</v>
      </c>
      <c r="S2233" t="s">
        <v>42788</v>
      </c>
      <c r="T2233" t="s">
        <v>44437</v>
      </c>
      <c r="U2233" t="s">
        <v>46690</v>
      </c>
      <c r="W2233" t="s">
        <v>39702</v>
      </c>
      <c r="X2233" t="s">
        <v>42676</v>
      </c>
    </row>
    <row r="2234" spans="1:24">
      <c r="A2234">
        <f>HYPERLINK("https://www.philgeps.gov.ph/GEPSNONPILOT/Tender/SplashBidNoticeAbstractUI.aspx?menuIndex=3&amp;refID=7191446&amp;Result=3","7191446")</f>
        <v>0</v>
      </c>
      <c r="B2234" t="s">
        <v>900</v>
      </c>
      <c r="C2234" t="s">
        <v>5665</v>
      </c>
      <c r="D2234" t="s">
        <v>17144</v>
      </c>
      <c r="E2234" t="s">
        <v>19217</v>
      </c>
      <c r="F2234" t="s">
        <v>29372</v>
      </c>
      <c r="G2234" t="s">
        <v>29380</v>
      </c>
      <c r="H2234" t="s">
        <v>11048</v>
      </c>
      <c r="I2234" t="s">
        <v>29398</v>
      </c>
      <c r="J2234" t="s">
        <v>31103</v>
      </c>
      <c r="K2234" t="s">
        <v>38518</v>
      </c>
      <c r="M2234" t="s">
        <v>39693</v>
      </c>
      <c r="N2234" t="s">
        <v>42669</v>
      </c>
      <c r="O2234" t="s">
        <v>42670</v>
      </c>
      <c r="P2234">
        <v>0</v>
      </c>
      <c r="Q2234">
        <v>3</v>
      </c>
      <c r="R2234" t="s">
        <v>42674</v>
      </c>
      <c r="S2234" t="s">
        <v>42788</v>
      </c>
      <c r="T2234" t="s">
        <v>44523</v>
      </c>
      <c r="U2234" t="s">
        <v>46691</v>
      </c>
      <c r="V2234" t="s">
        <v>56578</v>
      </c>
      <c r="W2234" t="s">
        <v>39693</v>
      </c>
      <c r="X2234" t="s">
        <v>42676</v>
      </c>
    </row>
    <row r="2235" spans="1:24">
      <c r="A2235">
        <f>HYPERLINK("https://www.philgeps.gov.ph/GEPSNONPILOT/Tender/SplashBidNoticeAbstractUI.aspx?menuIndex=3&amp;refID=7191439&amp;Result=3","7191439")</f>
        <v>0</v>
      </c>
      <c r="B2235" t="s">
        <v>773</v>
      </c>
      <c r="C2235" t="s">
        <v>5666</v>
      </c>
      <c r="D2235" t="s">
        <v>17205</v>
      </c>
      <c r="E2235" t="s">
        <v>19218</v>
      </c>
      <c r="F2235" t="s">
        <v>29372</v>
      </c>
      <c r="G2235" t="s">
        <v>29380</v>
      </c>
      <c r="H2235" t="s">
        <v>11048</v>
      </c>
      <c r="I2235" t="s">
        <v>29395</v>
      </c>
      <c r="J2235" t="s">
        <v>31104</v>
      </c>
      <c r="K2235" t="s">
        <v>38485</v>
      </c>
      <c r="M2235" t="s">
        <v>39557</v>
      </c>
      <c r="N2235" t="s">
        <v>42669</v>
      </c>
      <c r="O2235" t="s">
        <v>42670</v>
      </c>
      <c r="P2235">
        <v>0</v>
      </c>
      <c r="Q2235">
        <v>0</v>
      </c>
      <c r="R2235" t="s">
        <v>42674</v>
      </c>
      <c r="S2235" t="s">
        <v>42788</v>
      </c>
      <c r="T2235" t="s">
        <v>44456</v>
      </c>
      <c r="U2235" t="s">
        <v>46692</v>
      </c>
      <c r="V2235" t="s">
        <v>56552</v>
      </c>
      <c r="W2235" t="s">
        <v>39557</v>
      </c>
      <c r="X2235" t="s">
        <v>42676</v>
      </c>
    </row>
    <row r="2236" spans="1:24">
      <c r="A2236">
        <f>HYPERLINK("https://www.philgeps.gov.ph/GEPSNONPILOT/Tender/SplashBidNoticeAbstractUI.aspx?menuIndex=3&amp;refID=7191438&amp;Result=3","7191438")</f>
        <v>0</v>
      </c>
      <c r="B2236" t="s">
        <v>593</v>
      </c>
      <c r="C2236" t="s">
        <v>5667</v>
      </c>
      <c r="D2236" t="s">
        <v>17188</v>
      </c>
      <c r="E2236" t="s">
        <v>19219</v>
      </c>
      <c r="F2236" t="s">
        <v>29372</v>
      </c>
      <c r="G2236" t="s">
        <v>29383</v>
      </c>
      <c r="H2236" t="s">
        <v>11048</v>
      </c>
      <c r="I2236" t="s">
        <v>29439</v>
      </c>
      <c r="J2236" t="s">
        <v>29526</v>
      </c>
      <c r="K2236" t="s">
        <v>38510</v>
      </c>
      <c r="M2236" t="s">
        <v>39364</v>
      </c>
      <c r="N2236" t="s">
        <v>42669</v>
      </c>
      <c r="O2236" t="s">
        <v>42670</v>
      </c>
      <c r="P2236">
        <v>0</v>
      </c>
      <c r="Q2236">
        <v>3</v>
      </c>
      <c r="R2236" t="s">
        <v>42674</v>
      </c>
      <c r="S2236" t="s">
        <v>42788</v>
      </c>
      <c r="T2236" t="s">
        <v>44425</v>
      </c>
      <c r="U2236" t="s">
        <v>46693</v>
      </c>
      <c r="V2236" t="s">
        <v>56580</v>
      </c>
      <c r="W2236" t="s">
        <v>39364</v>
      </c>
      <c r="X2236" t="s">
        <v>42676</v>
      </c>
    </row>
    <row r="2237" spans="1:24">
      <c r="A2237">
        <f>HYPERLINK("https://www.philgeps.gov.ph/GEPSNONPILOT/Tender/SplashBidNoticeAbstractUI.aspx?menuIndex=3&amp;refID=7191436&amp;Result=3","7191436")</f>
        <v>0</v>
      </c>
      <c r="B2237" t="s">
        <v>909</v>
      </c>
      <c r="C2237" t="s">
        <v>5668</v>
      </c>
      <c r="D2237" t="s">
        <v>17202</v>
      </c>
      <c r="E2237" t="s">
        <v>19220</v>
      </c>
      <c r="F2237" t="s">
        <v>29372</v>
      </c>
      <c r="G2237" t="s">
        <v>29380</v>
      </c>
      <c r="H2237" t="s">
        <v>11048</v>
      </c>
      <c r="I2237" t="s">
        <v>4709</v>
      </c>
      <c r="J2237" t="s">
        <v>31105</v>
      </c>
      <c r="K2237" t="s">
        <v>38485</v>
      </c>
      <c r="M2237" t="s">
        <v>39702</v>
      </c>
      <c r="N2237" t="s">
        <v>42669</v>
      </c>
      <c r="O2237" t="s">
        <v>42670</v>
      </c>
      <c r="P2237">
        <v>0</v>
      </c>
      <c r="Q2237">
        <v>0</v>
      </c>
      <c r="R2237" t="s">
        <v>42674</v>
      </c>
      <c r="S2237" t="s">
        <v>42788</v>
      </c>
      <c r="T2237" t="s">
        <v>44437</v>
      </c>
      <c r="U2237" t="s">
        <v>46694</v>
      </c>
      <c r="V2237" t="s">
        <v>56581</v>
      </c>
      <c r="W2237" t="s">
        <v>39702</v>
      </c>
      <c r="X2237" t="s">
        <v>42676</v>
      </c>
    </row>
    <row r="2238" spans="1:24">
      <c r="A2238">
        <f>HYPERLINK("https://www.philgeps.gov.ph/GEPSNONPILOT/Tender/SplashBidNoticeAbstractUI.aspx?menuIndex=3&amp;refID=7191435&amp;Result=3","7191435")</f>
        <v>0</v>
      </c>
      <c r="B2238" t="s">
        <v>586</v>
      </c>
      <c r="C2238" t="s">
        <v>5669</v>
      </c>
      <c r="D2238" t="s">
        <v>17161</v>
      </c>
      <c r="E2238" t="s">
        <v>19221</v>
      </c>
      <c r="F2238" t="s">
        <v>29372</v>
      </c>
      <c r="G2238" t="s">
        <v>29383</v>
      </c>
      <c r="H2238" t="s">
        <v>11048</v>
      </c>
      <c r="I2238" t="s">
        <v>4709</v>
      </c>
      <c r="J2238" t="s">
        <v>31106</v>
      </c>
      <c r="K2238" t="s">
        <v>38490</v>
      </c>
      <c r="M2238" t="s">
        <v>39682</v>
      </c>
      <c r="N2238" t="s">
        <v>42669</v>
      </c>
      <c r="O2238" t="s">
        <v>42670</v>
      </c>
      <c r="P2238">
        <v>0</v>
      </c>
      <c r="Q2238">
        <v>0</v>
      </c>
      <c r="R2238" t="s">
        <v>42674</v>
      </c>
      <c r="S2238" t="s">
        <v>42788</v>
      </c>
      <c r="T2238" t="s">
        <v>44488</v>
      </c>
      <c r="U2238" t="s">
        <v>46695</v>
      </c>
      <c r="W2238" t="s">
        <v>39682</v>
      </c>
      <c r="X2238" t="s">
        <v>42676</v>
      </c>
    </row>
    <row r="2239" spans="1:24">
      <c r="A2239">
        <f>HYPERLINK("https://www.philgeps.gov.ph/GEPSNONPILOT/Tender/SplashBidNoticeAbstractUI.aspx?menuIndex=3&amp;refID=7191387&amp;Result=3","7191387")</f>
        <v>0</v>
      </c>
      <c r="B2239" t="s">
        <v>910</v>
      </c>
      <c r="C2239" t="s">
        <v>5670</v>
      </c>
      <c r="D2239" t="s">
        <v>17166</v>
      </c>
      <c r="E2239" t="s">
        <v>18988</v>
      </c>
      <c r="F2239" t="s">
        <v>29372</v>
      </c>
      <c r="G2239" t="s">
        <v>29381</v>
      </c>
      <c r="H2239" t="s">
        <v>11048</v>
      </c>
      <c r="I2239" t="s">
        <v>3860</v>
      </c>
      <c r="J2239" t="s">
        <v>29619</v>
      </c>
      <c r="K2239" t="s">
        <v>38491</v>
      </c>
      <c r="M2239" t="s">
        <v>39703</v>
      </c>
      <c r="N2239" t="s">
        <v>42669</v>
      </c>
      <c r="O2239" t="s">
        <v>42670</v>
      </c>
      <c r="P2239">
        <v>0</v>
      </c>
      <c r="Q2239">
        <v>0</v>
      </c>
      <c r="R2239" t="s">
        <v>42674</v>
      </c>
      <c r="S2239" t="s">
        <v>42788</v>
      </c>
      <c r="T2239" t="s">
        <v>44468</v>
      </c>
      <c r="U2239" t="s">
        <v>46696</v>
      </c>
      <c r="W2239" t="s">
        <v>39703</v>
      </c>
      <c r="X2239" t="s">
        <v>42676</v>
      </c>
    </row>
    <row r="2240" spans="1:24">
      <c r="A2240">
        <f>HYPERLINK("https://www.philgeps.gov.ph/GEPSNONPILOT/Tender/SplashBidNoticeAbstractUI.aspx?menuIndex=3&amp;refID=7191447&amp;Result=3","7191447")</f>
        <v>0</v>
      </c>
      <c r="B2240" t="s">
        <v>899</v>
      </c>
      <c r="C2240" t="s">
        <v>5671</v>
      </c>
      <c r="D2240" t="s">
        <v>17213</v>
      </c>
      <c r="E2240" t="s">
        <v>19222</v>
      </c>
      <c r="F2240" t="s">
        <v>29372</v>
      </c>
      <c r="G2240" t="s">
        <v>29379</v>
      </c>
      <c r="H2240" t="s">
        <v>11048</v>
      </c>
      <c r="I2240" t="s">
        <v>4487</v>
      </c>
      <c r="J2240" t="s">
        <v>31107</v>
      </c>
      <c r="K2240" t="s">
        <v>38488</v>
      </c>
      <c r="M2240" t="s">
        <v>39692</v>
      </c>
      <c r="N2240" t="s">
        <v>42669</v>
      </c>
      <c r="O2240" t="s">
        <v>42670</v>
      </c>
      <c r="P2240">
        <v>0</v>
      </c>
      <c r="Q2240">
        <v>0</v>
      </c>
      <c r="R2240" t="s">
        <v>42674</v>
      </c>
      <c r="S2240" t="s">
        <v>42788</v>
      </c>
      <c r="T2240" t="s">
        <v>44399</v>
      </c>
      <c r="U2240" t="s">
        <v>46697</v>
      </c>
      <c r="W2240" t="s">
        <v>39692</v>
      </c>
      <c r="X2240" t="s">
        <v>42676</v>
      </c>
    </row>
    <row r="2241" spans="1:24">
      <c r="A2241">
        <f>HYPERLINK("https://www.philgeps.gov.ph/GEPSNONPILOT/Tender/SplashBidNoticeAbstractUI.aspx?menuIndex=3&amp;refID=7191430&amp;Result=3","7191430")</f>
        <v>0</v>
      </c>
      <c r="B2241" t="s">
        <v>874</v>
      </c>
      <c r="C2241" t="s">
        <v>5672</v>
      </c>
      <c r="D2241" t="s">
        <v>17211</v>
      </c>
      <c r="E2241" t="s">
        <v>19223</v>
      </c>
      <c r="F2241" t="s">
        <v>29372</v>
      </c>
      <c r="G2241" t="s">
        <v>29380</v>
      </c>
      <c r="H2241" t="s">
        <v>11048</v>
      </c>
      <c r="I2241" t="s">
        <v>5383</v>
      </c>
      <c r="J2241" t="s">
        <v>29619</v>
      </c>
      <c r="K2241" t="s">
        <v>38491</v>
      </c>
      <c r="L2241" t="s">
        <v>874</v>
      </c>
      <c r="M2241" t="s">
        <v>39666</v>
      </c>
      <c r="N2241" t="s">
        <v>42669</v>
      </c>
      <c r="O2241" t="s">
        <v>42670</v>
      </c>
      <c r="P2241">
        <v>0</v>
      </c>
      <c r="Q2241">
        <v>6</v>
      </c>
      <c r="R2241" t="s">
        <v>42674</v>
      </c>
      <c r="S2241" t="s">
        <v>42788</v>
      </c>
      <c r="T2241" t="s">
        <v>44476</v>
      </c>
      <c r="U2241" t="s">
        <v>46633</v>
      </c>
      <c r="V2241" t="s">
        <v>56574</v>
      </c>
      <c r="W2241" t="s">
        <v>39666</v>
      </c>
      <c r="X2241" t="s">
        <v>42676</v>
      </c>
    </row>
    <row r="2242" spans="1:24">
      <c r="A2242">
        <f>HYPERLINK("https://www.philgeps.gov.ph/GEPSNONPILOT/Tender/SplashBidNoticeAbstractUI.aspx?menuIndex=3&amp;refID=7191434&amp;Result=3","7191434")</f>
        <v>0</v>
      </c>
      <c r="B2242" t="s">
        <v>911</v>
      </c>
      <c r="C2242" t="s">
        <v>5673</v>
      </c>
      <c r="D2242" t="s">
        <v>17144</v>
      </c>
      <c r="E2242" t="s">
        <v>19224</v>
      </c>
      <c r="F2242" t="s">
        <v>29372</v>
      </c>
      <c r="G2242" t="s">
        <v>29379</v>
      </c>
      <c r="H2242" t="s">
        <v>11048</v>
      </c>
      <c r="I2242" t="s">
        <v>4709</v>
      </c>
      <c r="J2242" t="s">
        <v>31108</v>
      </c>
      <c r="K2242" t="s">
        <v>38491</v>
      </c>
      <c r="M2242" t="s">
        <v>39704</v>
      </c>
      <c r="N2242" t="s">
        <v>42669</v>
      </c>
      <c r="O2242" t="s">
        <v>42670</v>
      </c>
      <c r="P2242">
        <v>0</v>
      </c>
      <c r="Q2242">
        <v>1</v>
      </c>
      <c r="R2242" t="s">
        <v>42674</v>
      </c>
      <c r="S2242" t="s">
        <v>42788</v>
      </c>
      <c r="T2242" t="s">
        <v>44488</v>
      </c>
      <c r="U2242" t="s">
        <v>46698</v>
      </c>
      <c r="W2242" t="s">
        <v>39704</v>
      </c>
      <c r="X2242" t="s">
        <v>42676</v>
      </c>
    </row>
    <row r="2243" spans="1:24">
      <c r="A2243">
        <f>HYPERLINK("https://www.philgeps.gov.ph/GEPSNONPILOT/Tender/SplashBidNoticeAbstractUI.aspx?menuIndex=3&amp;refID=7191270&amp;Result=3","7191270")</f>
        <v>0</v>
      </c>
      <c r="B2243" t="s">
        <v>853</v>
      </c>
      <c r="C2243" t="s">
        <v>5551</v>
      </c>
      <c r="D2243" t="s">
        <v>17160</v>
      </c>
      <c r="E2243" t="s">
        <v>18741</v>
      </c>
      <c r="F2243" t="s">
        <v>29372</v>
      </c>
      <c r="G2243" t="s">
        <v>29383</v>
      </c>
      <c r="H2243" t="s">
        <v>11048</v>
      </c>
      <c r="I2243" t="s">
        <v>29410</v>
      </c>
      <c r="J2243" t="s">
        <v>31036</v>
      </c>
      <c r="K2243" t="s">
        <v>38524</v>
      </c>
      <c r="M2243" t="s">
        <v>39643</v>
      </c>
      <c r="N2243" t="s">
        <v>42669</v>
      </c>
      <c r="O2243" t="s">
        <v>42670</v>
      </c>
      <c r="P2243">
        <v>0</v>
      </c>
      <c r="Q2243">
        <v>1</v>
      </c>
      <c r="R2243" t="s">
        <v>42674</v>
      </c>
      <c r="S2243" t="s">
        <v>42788</v>
      </c>
      <c r="T2243" t="s">
        <v>44432</v>
      </c>
      <c r="U2243" t="s">
        <v>46699</v>
      </c>
      <c r="W2243" t="s">
        <v>39643</v>
      </c>
      <c r="X2243" t="s">
        <v>42676</v>
      </c>
    </row>
    <row r="2244" spans="1:24">
      <c r="A2244">
        <f>HYPERLINK("https://www.philgeps.gov.ph/GEPSNONPILOT/Tender/SplashBidNoticeAbstractUI.aspx?menuIndex=3&amp;refID=7191431&amp;Result=3","7191431")</f>
        <v>0</v>
      </c>
      <c r="B2244" t="s">
        <v>912</v>
      </c>
      <c r="C2244" t="s">
        <v>5674</v>
      </c>
      <c r="D2244" t="s">
        <v>17147</v>
      </c>
      <c r="E2244" t="s">
        <v>19225</v>
      </c>
      <c r="F2244" t="s">
        <v>29372</v>
      </c>
      <c r="G2244" t="s">
        <v>29380</v>
      </c>
      <c r="H2244" t="s">
        <v>29389</v>
      </c>
      <c r="I2244" t="s">
        <v>10408</v>
      </c>
      <c r="J2244" t="s">
        <v>29829</v>
      </c>
      <c r="K2244" t="s">
        <v>38522</v>
      </c>
      <c r="M2244" t="s">
        <v>39705</v>
      </c>
      <c r="N2244" t="s">
        <v>42669</v>
      </c>
      <c r="O2244" t="s">
        <v>42670</v>
      </c>
      <c r="P2244">
        <v>0</v>
      </c>
      <c r="Q2244">
        <v>0</v>
      </c>
      <c r="R2244" t="s">
        <v>42674</v>
      </c>
      <c r="S2244" t="s">
        <v>42788</v>
      </c>
      <c r="T2244" t="s">
        <v>44358</v>
      </c>
      <c r="U2244" t="s">
        <v>46700</v>
      </c>
      <c r="W2244" t="s">
        <v>39705</v>
      </c>
      <c r="X2244" t="s">
        <v>42676</v>
      </c>
    </row>
    <row r="2245" spans="1:24">
      <c r="A2245">
        <f>HYPERLINK("https://www.philgeps.gov.ph/GEPSNONPILOT/Tender/SplashBidNoticeAbstractUI.aspx?menuIndex=3&amp;refID=7191485&amp;Result=3","7191485")</f>
        <v>0</v>
      </c>
      <c r="B2245" t="s">
        <v>394</v>
      </c>
      <c r="C2245" t="s">
        <v>5675</v>
      </c>
      <c r="D2245" t="s">
        <v>17170</v>
      </c>
      <c r="E2245" t="s">
        <v>19226</v>
      </c>
      <c r="F2245" t="s">
        <v>29372</v>
      </c>
      <c r="G2245" t="s">
        <v>29380</v>
      </c>
      <c r="H2245" t="s">
        <v>11048</v>
      </c>
      <c r="I2245" t="s">
        <v>29425</v>
      </c>
      <c r="J2245" t="s">
        <v>29571</v>
      </c>
      <c r="K2245" t="s">
        <v>38496</v>
      </c>
      <c r="M2245" t="s">
        <v>39650</v>
      </c>
      <c r="N2245" t="s">
        <v>42669</v>
      </c>
      <c r="O2245" t="s">
        <v>42670</v>
      </c>
      <c r="P2245">
        <v>0</v>
      </c>
      <c r="Q2245">
        <v>4</v>
      </c>
      <c r="R2245" t="s">
        <v>42674</v>
      </c>
      <c r="S2245" t="s">
        <v>42788</v>
      </c>
      <c r="T2245" t="s">
        <v>44366</v>
      </c>
      <c r="U2245" t="s">
        <v>46606</v>
      </c>
      <c r="W2245" t="s">
        <v>39650</v>
      </c>
      <c r="X2245" t="s">
        <v>42676</v>
      </c>
    </row>
    <row r="2246" spans="1:24">
      <c r="A2246">
        <f>HYPERLINK("https://www.philgeps.gov.ph/GEPSNONPILOT/Tender/SplashBidNoticeAbstractUI.aspx?menuIndex=3&amp;refID=7191496&amp;Result=3","7191496")</f>
        <v>0</v>
      </c>
      <c r="B2246" t="s">
        <v>913</v>
      </c>
      <c r="C2246" t="s">
        <v>5676</v>
      </c>
      <c r="D2246" t="s">
        <v>17168</v>
      </c>
      <c r="E2246" t="s">
        <v>17870</v>
      </c>
      <c r="F2246" t="s">
        <v>29372</v>
      </c>
      <c r="G2246" t="s">
        <v>29379</v>
      </c>
      <c r="H2246" t="s">
        <v>11048</v>
      </c>
      <c r="I2246" t="s">
        <v>29409</v>
      </c>
      <c r="J2246" t="s">
        <v>30319</v>
      </c>
      <c r="K2246" t="s">
        <v>38510</v>
      </c>
      <c r="L2246" t="s">
        <v>913</v>
      </c>
      <c r="M2246" t="s">
        <v>39706</v>
      </c>
      <c r="N2246" t="s">
        <v>42669</v>
      </c>
      <c r="O2246" t="s">
        <v>42670</v>
      </c>
      <c r="P2246">
        <v>0</v>
      </c>
      <c r="Q2246">
        <v>1</v>
      </c>
      <c r="R2246" t="s">
        <v>42674</v>
      </c>
      <c r="S2246" t="s">
        <v>42788</v>
      </c>
      <c r="T2246" t="s">
        <v>44393</v>
      </c>
      <c r="U2246" t="s">
        <v>46701</v>
      </c>
      <c r="W2246" t="s">
        <v>39706</v>
      </c>
      <c r="X2246" t="s">
        <v>42676</v>
      </c>
    </row>
    <row r="2247" spans="1:24">
      <c r="A2247">
        <f>HYPERLINK("https://www.philgeps.gov.ph/GEPSNONPILOT/Tender/SplashBidNoticeAbstractUI.aspx?menuIndex=3&amp;refID=7191494&amp;Result=3","7191494")</f>
        <v>0</v>
      </c>
      <c r="B2247" t="s">
        <v>883</v>
      </c>
      <c r="C2247" t="s">
        <v>5677</v>
      </c>
      <c r="D2247" t="s">
        <v>17161</v>
      </c>
      <c r="E2247" t="s">
        <v>19227</v>
      </c>
      <c r="F2247" t="s">
        <v>29372</v>
      </c>
      <c r="G2247" t="s">
        <v>29380</v>
      </c>
      <c r="H2247" t="s">
        <v>11048</v>
      </c>
      <c r="I2247" t="s">
        <v>3839</v>
      </c>
      <c r="J2247" t="s">
        <v>29811</v>
      </c>
      <c r="K2247" t="s">
        <v>38538</v>
      </c>
      <c r="M2247" t="s">
        <v>39675</v>
      </c>
      <c r="N2247" t="s">
        <v>42669</v>
      </c>
      <c r="O2247" t="s">
        <v>42670</v>
      </c>
      <c r="P2247">
        <v>0</v>
      </c>
      <c r="Q2247">
        <v>1</v>
      </c>
      <c r="R2247" t="s">
        <v>42674</v>
      </c>
      <c r="S2247" t="s">
        <v>42788</v>
      </c>
      <c r="T2247" t="s">
        <v>44368</v>
      </c>
      <c r="U2247" t="s">
        <v>46702</v>
      </c>
      <c r="W2247" t="s">
        <v>39675</v>
      </c>
      <c r="X2247" t="s">
        <v>42676</v>
      </c>
    </row>
    <row r="2248" spans="1:24">
      <c r="A2248">
        <f>HYPERLINK("https://www.philgeps.gov.ph/GEPSNONPILOT/Tender/SplashBidNoticeAbstractUI.aspx?menuIndex=3&amp;refID=7191493&amp;Result=3","7191493")</f>
        <v>0</v>
      </c>
      <c r="B2248" t="s">
        <v>914</v>
      </c>
      <c r="C2248" t="s">
        <v>5678</v>
      </c>
      <c r="D2248" t="s">
        <v>17154</v>
      </c>
      <c r="E2248" t="s">
        <v>19228</v>
      </c>
      <c r="F2248" t="s">
        <v>29372</v>
      </c>
      <c r="G2248" t="s">
        <v>29380</v>
      </c>
      <c r="H2248" t="s">
        <v>29389</v>
      </c>
      <c r="I2248" t="s">
        <v>10408</v>
      </c>
      <c r="J2248" t="s">
        <v>31109</v>
      </c>
      <c r="K2248" t="s">
        <v>38518</v>
      </c>
      <c r="M2248" t="s">
        <v>39707</v>
      </c>
      <c r="N2248" t="s">
        <v>42669</v>
      </c>
      <c r="O2248" t="s">
        <v>42670</v>
      </c>
      <c r="P2248">
        <v>0</v>
      </c>
      <c r="Q2248">
        <v>0</v>
      </c>
      <c r="R2248" t="s">
        <v>42674</v>
      </c>
      <c r="S2248" t="s">
        <v>42788</v>
      </c>
      <c r="T2248" t="s">
        <v>44456</v>
      </c>
      <c r="U2248" t="s">
        <v>46703</v>
      </c>
      <c r="W2248" t="s">
        <v>58025</v>
      </c>
      <c r="X2248" t="s">
        <v>42676</v>
      </c>
    </row>
    <row r="2249" spans="1:24">
      <c r="A2249">
        <f>HYPERLINK("https://www.philgeps.gov.ph/GEPSNONPILOT/Tender/SplashBidNoticeAbstractUI.aspx?menuIndex=3&amp;refID=7191490&amp;Result=3","7191490")</f>
        <v>0</v>
      </c>
      <c r="B2249" t="s">
        <v>413</v>
      </c>
      <c r="C2249" t="s">
        <v>5679</v>
      </c>
      <c r="D2249" t="s">
        <v>17141</v>
      </c>
      <c r="E2249" t="s">
        <v>19229</v>
      </c>
      <c r="F2249" t="s">
        <v>29372</v>
      </c>
      <c r="G2249" t="s">
        <v>29382</v>
      </c>
      <c r="H2249" t="s">
        <v>11048</v>
      </c>
      <c r="I2249" t="s">
        <v>3670</v>
      </c>
      <c r="J2249" t="s">
        <v>29757</v>
      </c>
      <c r="K2249" t="s">
        <v>38485</v>
      </c>
      <c r="M2249" t="s">
        <v>39708</v>
      </c>
      <c r="N2249" t="s">
        <v>42669</v>
      </c>
      <c r="O2249" t="s">
        <v>42670</v>
      </c>
      <c r="P2249">
        <v>0</v>
      </c>
      <c r="Q2249">
        <v>2</v>
      </c>
      <c r="R2249" t="s">
        <v>42674</v>
      </c>
      <c r="S2249" t="s">
        <v>42788</v>
      </c>
      <c r="T2249" t="s">
        <v>44437</v>
      </c>
      <c r="U2249" t="s">
        <v>46704</v>
      </c>
      <c r="V2249" t="s">
        <v>56582</v>
      </c>
      <c r="W2249" t="s">
        <v>39708</v>
      </c>
      <c r="X2249" t="s">
        <v>42676</v>
      </c>
    </row>
    <row r="2250" spans="1:24">
      <c r="A2250">
        <f>HYPERLINK("https://www.philgeps.gov.ph/GEPSNONPILOT/Tender/SplashBidNoticeAbstractUI.aspx?menuIndex=3&amp;refID=7191489&amp;Result=3","7191489")</f>
        <v>0</v>
      </c>
      <c r="B2250" t="s">
        <v>915</v>
      </c>
      <c r="C2250" t="s">
        <v>5680</v>
      </c>
      <c r="D2250" t="s">
        <v>17166</v>
      </c>
      <c r="E2250" t="s">
        <v>19230</v>
      </c>
      <c r="F2250" t="s">
        <v>29372</v>
      </c>
      <c r="G2250" t="s">
        <v>29380</v>
      </c>
      <c r="H2250" t="s">
        <v>29389</v>
      </c>
      <c r="I2250" t="s">
        <v>10408</v>
      </c>
      <c r="J2250" t="s">
        <v>29555</v>
      </c>
      <c r="K2250" t="s">
        <v>38572</v>
      </c>
      <c r="M2250" t="s">
        <v>39709</v>
      </c>
      <c r="N2250" t="s">
        <v>42669</v>
      </c>
      <c r="O2250" t="s">
        <v>42670</v>
      </c>
      <c r="P2250">
        <v>0</v>
      </c>
      <c r="Q2250">
        <v>0</v>
      </c>
      <c r="R2250" t="s">
        <v>42674</v>
      </c>
      <c r="S2250" t="s">
        <v>42788</v>
      </c>
      <c r="T2250" t="s">
        <v>44480</v>
      </c>
      <c r="U2250" t="s">
        <v>46705</v>
      </c>
      <c r="W2250" t="s">
        <v>39709</v>
      </c>
      <c r="X2250" t="s">
        <v>42676</v>
      </c>
    </row>
    <row r="2251" spans="1:24">
      <c r="A2251">
        <f>HYPERLINK("https://www.philgeps.gov.ph/GEPSNONPILOT/Tender/SplashBidNoticeAbstractUI.aspx?menuIndex=3&amp;refID=7191482&amp;Result=3","7191482")</f>
        <v>0</v>
      </c>
      <c r="B2251" t="s">
        <v>278</v>
      </c>
      <c r="C2251" t="s">
        <v>5681</v>
      </c>
      <c r="D2251" t="s">
        <v>17189</v>
      </c>
      <c r="E2251" t="s">
        <v>19231</v>
      </c>
      <c r="F2251" t="s">
        <v>29372</v>
      </c>
      <c r="G2251" t="s">
        <v>29380</v>
      </c>
      <c r="H2251" t="s">
        <v>29389</v>
      </c>
      <c r="I2251" t="s">
        <v>10408</v>
      </c>
      <c r="J2251" t="s">
        <v>31110</v>
      </c>
      <c r="K2251" t="s">
        <v>38496</v>
      </c>
      <c r="M2251" t="s">
        <v>39710</v>
      </c>
      <c r="N2251" t="s">
        <v>42669</v>
      </c>
      <c r="O2251" t="s">
        <v>42670</v>
      </c>
      <c r="P2251">
        <v>0</v>
      </c>
      <c r="Q2251">
        <v>0</v>
      </c>
      <c r="R2251" t="s">
        <v>42674</v>
      </c>
      <c r="S2251" t="s">
        <v>42788</v>
      </c>
      <c r="T2251" t="s">
        <v>44587</v>
      </c>
      <c r="U2251" t="s">
        <v>46706</v>
      </c>
      <c r="W2251" t="s">
        <v>39710</v>
      </c>
      <c r="X2251" t="s">
        <v>42676</v>
      </c>
    </row>
    <row r="2252" spans="1:24">
      <c r="A2252">
        <f>HYPERLINK("https://www.philgeps.gov.ph/GEPSNONPILOT/Tender/SplashBidNoticeAbstractUI.aspx?menuIndex=3&amp;refID=7191481&amp;Result=3","7191481")</f>
        <v>0</v>
      </c>
      <c r="B2252" t="s">
        <v>899</v>
      </c>
      <c r="C2252" t="s">
        <v>5682</v>
      </c>
      <c r="D2252" t="s">
        <v>17213</v>
      </c>
      <c r="E2252" t="s">
        <v>19232</v>
      </c>
      <c r="F2252" t="s">
        <v>29372</v>
      </c>
      <c r="G2252" t="s">
        <v>29379</v>
      </c>
      <c r="H2252" t="s">
        <v>11048</v>
      </c>
      <c r="I2252" t="s">
        <v>3839</v>
      </c>
      <c r="J2252" t="s">
        <v>30100</v>
      </c>
      <c r="K2252" t="s">
        <v>38488</v>
      </c>
      <c r="M2252" t="s">
        <v>39692</v>
      </c>
      <c r="N2252" t="s">
        <v>42669</v>
      </c>
      <c r="O2252" t="s">
        <v>42670</v>
      </c>
      <c r="P2252">
        <v>0</v>
      </c>
      <c r="Q2252">
        <v>3</v>
      </c>
      <c r="R2252" t="s">
        <v>42674</v>
      </c>
      <c r="S2252" t="s">
        <v>42788</v>
      </c>
      <c r="T2252" t="s">
        <v>44399</v>
      </c>
      <c r="U2252" t="s">
        <v>46707</v>
      </c>
      <c r="W2252" t="s">
        <v>39692</v>
      </c>
      <c r="X2252" t="s">
        <v>42676</v>
      </c>
    </row>
    <row r="2253" spans="1:24">
      <c r="A2253">
        <f>HYPERLINK("https://www.philgeps.gov.ph/GEPSNONPILOT/Tender/SplashBidNoticeAbstractUI.aspx?menuIndex=3&amp;refID=7191477&amp;Result=3","7191477")</f>
        <v>0</v>
      </c>
      <c r="B2253" t="s">
        <v>916</v>
      </c>
      <c r="C2253" t="s">
        <v>5683</v>
      </c>
      <c r="D2253" t="s">
        <v>17193</v>
      </c>
      <c r="E2253" t="s">
        <v>19233</v>
      </c>
      <c r="F2253" t="s">
        <v>29372</v>
      </c>
      <c r="G2253" t="s">
        <v>29379</v>
      </c>
      <c r="H2253" t="s">
        <v>11048</v>
      </c>
      <c r="I2253" t="s">
        <v>3629</v>
      </c>
      <c r="J2253" t="s">
        <v>29571</v>
      </c>
      <c r="K2253" t="s">
        <v>38510</v>
      </c>
      <c r="M2253" t="s">
        <v>39711</v>
      </c>
      <c r="N2253" t="s">
        <v>42669</v>
      </c>
      <c r="O2253" t="s">
        <v>42670</v>
      </c>
      <c r="P2253">
        <v>0</v>
      </c>
      <c r="Q2253">
        <v>1</v>
      </c>
      <c r="R2253" t="s">
        <v>42674</v>
      </c>
      <c r="S2253" t="s">
        <v>42788</v>
      </c>
      <c r="T2253" t="s">
        <v>44470</v>
      </c>
      <c r="U2253" t="s">
        <v>46708</v>
      </c>
      <c r="W2253" t="s">
        <v>39711</v>
      </c>
      <c r="X2253" t="s">
        <v>42676</v>
      </c>
    </row>
    <row r="2254" spans="1:24">
      <c r="A2254">
        <f>HYPERLINK("https://www.philgeps.gov.ph/GEPSNONPILOT/Tender/SplashBidNoticeAbstractUI.aspx?menuIndex=3&amp;refID=7191470&amp;Result=3","7191470")</f>
        <v>0</v>
      </c>
      <c r="B2254" t="s">
        <v>917</v>
      </c>
      <c r="C2254" t="s">
        <v>5684</v>
      </c>
      <c r="D2254" t="s">
        <v>17170</v>
      </c>
      <c r="E2254" t="s">
        <v>19234</v>
      </c>
      <c r="F2254" t="s">
        <v>29372</v>
      </c>
      <c r="G2254" t="s">
        <v>29379</v>
      </c>
      <c r="H2254" t="s">
        <v>11048</v>
      </c>
      <c r="I2254" t="s">
        <v>29458</v>
      </c>
      <c r="J2254" t="s">
        <v>31111</v>
      </c>
      <c r="K2254" t="s">
        <v>38528</v>
      </c>
      <c r="M2254" t="s">
        <v>39712</v>
      </c>
      <c r="N2254" t="s">
        <v>42669</v>
      </c>
      <c r="O2254" t="s">
        <v>42670</v>
      </c>
      <c r="P2254">
        <v>0</v>
      </c>
      <c r="Q2254">
        <v>1</v>
      </c>
      <c r="R2254" t="s">
        <v>42674</v>
      </c>
      <c r="S2254" t="s">
        <v>42788</v>
      </c>
      <c r="T2254" t="s">
        <v>44451</v>
      </c>
      <c r="U2254" t="s">
        <v>46709</v>
      </c>
      <c r="W2254" t="s">
        <v>39712</v>
      </c>
      <c r="X2254" t="s">
        <v>42676</v>
      </c>
    </row>
    <row r="2255" spans="1:24">
      <c r="A2255">
        <f>HYPERLINK("https://www.philgeps.gov.ph/GEPSNONPILOT/Tender/SplashBidNoticeAbstractUI.aspx?menuIndex=3&amp;refID=7191426&amp;Result=3","7191426")</f>
        <v>0</v>
      </c>
      <c r="B2255" t="s">
        <v>899</v>
      </c>
      <c r="C2255" t="s">
        <v>5685</v>
      </c>
      <c r="D2255" t="s">
        <v>17213</v>
      </c>
      <c r="E2255" t="s">
        <v>19235</v>
      </c>
      <c r="F2255" t="s">
        <v>29372</v>
      </c>
      <c r="G2255" t="s">
        <v>29379</v>
      </c>
      <c r="H2255" t="s">
        <v>11048</v>
      </c>
      <c r="I2255" t="s">
        <v>29393</v>
      </c>
      <c r="J2255" t="s">
        <v>30914</v>
      </c>
      <c r="K2255" t="s">
        <v>38488</v>
      </c>
      <c r="M2255" t="s">
        <v>39692</v>
      </c>
      <c r="N2255" t="s">
        <v>42669</v>
      </c>
      <c r="O2255" t="s">
        <v>42670</v>
      </c>
      <c r="P2255">
        <v>0</v>
      </c>
      <c r="Q2255">
        <v>0</v>
      </c>
      <c r="R2255" t="s">
        <v>42674</v>
      </c>
      <c r="S2255" t="s">
        <v>42788</v>
      </c>
      <c r="T2255" t="s">
        <v>44399</v>
      </c>
      <c r="U2255" t="s">
        <v>46710</v>
      </c>
      <c r="W2255" t="s">
        <v>39692</v>
      </c>
      <c r="X2255" t="s">
        <v>42676</v>
      </c>
    </row>
    <row r="2256" spans="1:24">
      <c r="A2256">
        <f>HYPERLINK("https://www.philgeps.gov.ph/GEPSNONPILOT/Tender/SplashBidNoticeAbstractUI.aspx?menuIndex=3&amp;refID=7191458&amp;Result=3","7191458")</f>
        <v>0</v>
      </c>
      <c r="B2256" t="s">
        <v>918</v>
      </c>
      <c r="C2256" t="s">
        <v>5686</v>
      </c>
      <c r="D2256" t="s">
        <v>17157</v>
      </c>
      <c r="E2256" t="s">
        <v>19236</v>
      </c>
      <c r="F2256" t="s">
        <v>29372</v>
      </c>
      <c r="G2256" t="s">
        <v>29383</v>
      </c>
      <c r="H2256" t="s">
        <v>11048</v>
      </c>
      <c r="I2256" t="s">
        <v>3839</v>
      </c>
      <c r="J2256" t="s">
        <v>31112</v>
      </c>
      <c r="K2256" t="s">
        <v>38491</v>
      </c>
      <c r="M2256" t="s">
        <v>39713</v>
      </c>
      <c r="N2256" t="s">
        <v>42669</v>
      </c>
      <c r="O2256" t="s">
        <v>42670</v>
      </c>
      <c r="P2256">
        <v>0</v>
      </c>
      <c r="Q2256">
        <v>0</v>
      </c>
      <c r="R2256" t="s">
        <v>42674</v>
      </c>
      <c r="S2256" t="s">
        <v>42788</v>
      </c>
      <c r="T2256" t="s">
        <v>44555</v>
      </c>
      <c r="U2256" t="s">
        <v>46711</v>
      </c>
      <c r="W2256" t="s">
        <v>39713</v>
      </c>
      <c r="X2256" t="s">
        <v>42676</v>
      </c>
    </row>
    <row r="2257" spans="1:24">
      <c r="A2257">
        <f>HYPERLINK("https://www.philgeps.gov.ph/GEPSNONPILOT/Tender/SplashBidNoticeAbstractUI.aspx?menuIndex=3&amp;refID=7191120&amp;Result=3","7191120")</f>
        <v>0</v>
      </c>
      <c r="B2257" t="s">
        <v>919</v>
      </c>
      <c r="C2257" t="s">
        <v>5687</v>
      </c>
      <c r="D2257" t="s">
        <v>17189</v>
      </c>
      <c r="E2257" t="s">
        <v>18032</v>
      </c>
      <c r="F2257" t="s">
        <v>29372</v>
      </c>
      <c r="G2257" t="s">
        <v>29380</v>
      </c>
      <c r="H2257" t="s">
        <v>11048</v>
      </c>
      <c r="I2257" t="s">
        <v>3670</v>
      </c>
      <c r="J2257" t="s">
        <v>31113</v>
      </c>
      <c r="K2257" t="s">
        <v>38510</v>
      </c>
      <c r="M2257" t="s">
        <v>39714</v>
      </c>
      <c r="N2257" t="s">
        <v>42669</v>
      </c>
      <c r="O2257" t="s">
        <v>42670</v>
      </c>
      <c r="P2257">
        <v>0</v>
      </c>
      <c r="Q2257">
        <v>0</v>
      </c>
      <c r="R2257" t="s">
        <v>42674</v>
      </c>
      <c r="S2257" t="s">
        <v>42788</v>
      </c>
      <c r="T2257" t="s">
        <v>44588</v>
      </c>
      <c r="U2257" t="s">
        <v>46712</v>
      </c>
      <c r="W2257" t="s">
        <v>39714</v>
      </c>
      <c r="X2257" t="s">
        <v>42676</v>
      </c>
    </row>
    <row r="2258" spans="1:24">
      <c r="A2258">
        <f>HYPERLINK("https://www.philgeps.gov.ph/GEPSNONPILOT/Tender/SplashBidNoticeAbstractUI.aspx?menuIndex=3&amp;refID=7191465&amp;Result=3","7191465")</f>
        <v>0</v>
      </c>
      <c r="B2258" t="s">
        <v>920</v>
      </c>
      <c r="C2258" t="s">
        <v>5688</v>
      </c>
      <c r="D2258" t="s">
        <v>17145</v>
      </c>
      <c r="E2258" t="s">
        <v>19237</v>
      </c>
      <c r="F2258" t="s">
        <v>29372</v>
      </c>
      <c r="G2258" t="s">
        <v>29380</v>
      </c>
      <c r="H2258" t="s">
        <v>29389</v>
      </c>
      <c r="I2258" t="s">
        <v>10408</v>
      </c>
      <c r="J2258" t="s">
        <v>31114</v>
      </c>
      <c r="K2258" t="s">
        <v>38564</v>
      </c>
      <c r="M2258" t="s">
        <v>39715</v>
      </c>
      <c r="N2258" t="s">
        <v>42669</v>
      </c>
      <c r="O2258" t="s">
        <v>42670</v>
      </c>
      <c r="Q2258">
        <v>0</v>
      </c>
      <c r="R2258" t="s">
        <v>42674</v>
      </c>
      <c r="S2258" t="s">
        <v>42798</v>
      </c>
      <c r="T2258" t="s">
        <v>44482</v>
      </c>
      <c r="U2258" t="s">
        <v>46713</v>
      </c>
      <c r="W2258" t="s">
        <v>39715</v>
      </c>
      <c r="X2258" t="s">
        <v>42676</v>
      </c>
    </row>
    <row r="2259" spans="1:24">
      <c r="A2259">
        <f>HYPERLINK("https://www.philgeps.gov.ph/GEPSNONPILOT/Tender/SplashBidNoticeAbstractUI.aspx?menuIndex=3&amp;refID=7191460&amp;Result=3","7191460")</f>
        <v>0</v>
      </c>
      <c r="B2259" t="s">
        <v>586</v>
      </c>
      <c r="C2259" t="s">
        <v>5689</v>
      </c>
      <c r="D2259" t="s">
        <v>17161</v>
      </c>
      <c r="E2259" t="s">
        <v>19238</v>
      </c>
      <c r="F2259" t="s">
        <v>29372</v>
      </c>
      <c r="G2259" t="s">
        <v>29383</v>
      </c>
      <c r="H2259" t="s">
        <v>11048</v>
      </c>
      <c r="I2259" t="s">
        <v>4709</v>
      </c>
      <c r="J2259" t="s">
        <v>31115</v>
      </c>
      <c r="K2259" t="s">
        <v>38490</v>
      </c>
      <c r="M2259" t="s">
        <v>39682</v>
      </c>
      <c r="N2259" t="s">
        <v>42669</v>
      </c>
      <c r="O2259" t="s">
        <v>42670</v>
      </c>
      <c r="P2259">
        <v>0</v>
      </c>
      <c r="Q2259">
        <v>0</v>
      </c>
      <c r="R2259" t="s">
        <v>42674</v>
      </c>
      <c r="S2259" t="s">
        <v>42788</v>
      </c>
      <c r="T2259" t="s">
        <v>44488</v>
      </c>
      <c r="U2259" t="s">
        <v>46714</v>
      </c>
      <c r="W2259" t="s">
        <v>39682</v>
      </c>
      <c r="X2259" t="s">
        <v>42676</v>
      </c>
    </row>
    <row r="2260" spans="1:24">
      <c r="A2260">
        <f>HYPERLINK("https://www.philgeps.gov.ph/GEPSNONPILOT/Tender/SplashBidNoticeAbstractUI.aspx?menuIndex=3&amp;refID=7191473&amp;Result=3","7191473")</f>
        <v>0</v>
      </c>
      <c r="B2260" t="s">
        <v>413</v>
      </c>
      <c r="C2260" t="s">
        <v>5690</v>
      </c>
      <c r="D2260" t="s">
        <v>17141</v>
      </c>
      <c r="E2260" t="s">
        <v>19239</v>
      </c>
      <c r="F2260" t="s">
        <v>29372</v>
      </c>
      <c r="G2260" t="s">
        <v>29382</v>
      </c>
      <c r="H2260" t="s">
        <v>11048</v>
      </c>
      <c r="I2260" t="s">
        <v>3952</v>
      </c>
      <c r="J2260" t="s">
        <v>31116</v>
      </c>
      <c r="K2260" t="s">
        <v>38485</v>
      </c>
      <c r="M2260" t="s">
        <v>39708</v>
      </c>
      <c r="N2260" t="s">
        <v>42669</v>
      </c>
      <c r="O2260" t="s">
        <v>42670</v>
      </c>
      <c r="P2260">
        <v>0</v>
      </c>
      <c r="Q2260">
        <v>11</v>
      </c>
      <c r="R2260" t="s">
        <v>42674</v>
      </c>
      <c r="S2260" t="s">
        <v>42788</v>
      </c>
      <c r="T2260" t="s">
        <v>44437</v>
      </c>
      <c r="U2260" t="s">
        <v>46704</v>
      </c>
      <c r="V2260" t="s">
        <v>56582</v>
      </c>
      <c r="W2260" t="s">
        <v>39708</v>
      </c>
      <c r="X2260" t="s">
        <v>42676</v>
      </c>
    </row>
    <row r="2261" spans="1:24">
      <c r="A2261">
        <f>HYPERLINK("https://www.philgeps.gov.ph/GEPSNONPILOT/Tender/SplashBidNoticeAbstractUI.aspx?menuIndex=3&amp;refID=7191457&amp;Result=3","7191457")</f>
        <v>0</v>
      </c>
      <c r="B2261" t="s">
        <v>881</v>
      </c>
      <c r="C2261" t="s">
        <v>5691</v>
      </c>
      <c r="D2261" t="s">
        <v>17204</v>
      </c>
      <c r="E2261" t="s">
        <v>19240</v>
      </c>
      <c r="F2261" t="s">
        <v>29372</v>
      </c>
      <c r="G2261" t="s">
        <v>29379</v>
      </c>
      <c r="H2261" t="s">
        <v>11048</v>
      </c>
      <c r="I2261" t="s">
        <v>29442</v>
      </c>
      <c r="J2261" t="s">
        <v>29604</v>
      </c>
      <c r="K2261" t="s">
        <v>38485</v>
      </c>
      <c r="M2261" t="s">
        <v>39673</v>
      </c>
      <c r="N2261" t="s">
        <v>42669</v>
      </c>
      <c r="O2261" t="s">
        <v>42670</v>
      </c>
      <c r="P2261">
        <v>0</v>
      </c>
      <c r="Q2261">
        <v>6</v>
      </c>
      <c r="R2261" t="s">
        <v>42674</v>
      </c>
      <c r="S2261" t="s">
        <v>42788</v>
      </c>
      <c r="T2261" t="s">
        <v>44512</v>
      </c>
      <c r="U2261" t="s">
        <v>46646</v>
      </c>
      <c r="W2261" t="s">
        <v>39673</v>
      </c>
      <c r="X2261" t="s">
        <v>42676</v>
      </c>
    </row>
    <row r="2262" spans="1:24">
      <c r="A2262">
        <f>HYPERLINK("https://www.philgeps.gov.ph/GEPSNONPILOT/Tender/SplashBidNoticeAbstractUI.aspx?menuIndex=3&amp;refID=7191433&amp;Result=3","7191433")</f>
        <v>0</v>
      </c>
      <c r="B2262" t="s">
        <v>889</v>
      </c>
      <c r="C2262" t="s">
        <v>5692</v>
      </c>
      <c r="E2262" t="s">
        <v>19241</v>
      </c>
      <c r="F2262" t="s">
        <v>29372</v>
      </c>
      <c r="G2262" t="s">
        <v>29380</v>
      </c>
      <c r="H2262" t="s">
        <v>11048</v>
      </c>
      <c r="I2262" t="s">
        <v>29395</v>
      </c>
      <c r="J2262" t="s">
        <v>31117</v>
      </c>
      <c r="K2262" t="s">
        <v>38518</v>
      </c>
      <c r="M2262" t="s">
        <v>39681</v>
      </c>
      <c r="N2262" t="s">
        <v>42669</v>
      </c>
      <c r="O2262" t="s">
        <v>42670</v>
      </c>
      <c r="P2262">
        <v>0</v>
      </c>
      <c r="Q2262">
        <v>0</v>
      </c>
      <c r="R2262" t="s">
        <v>42674</v>
      </c>
      <c r="S2262" t="s">
        <v>42788</v>
      </c>
      <c r="T2262" t="s">
        <v>44444</v>
      </c>
      <c r="U2262" t="s">
        <v>46663</v>
      </c>
      <c r="W2262" t="s">
        <v>39681</v>
      </c>
      <c r="X2262" t="s">
        <v>42676</v>
      </c>
    </row>
    <row r="2263" spans="1:24">
      <c r="A2263">
        <f>HYPERLINK("https://www.philgeps.gov.ph/GEPSNONPILOT/Tender/SplashBidNoticeAbstractUI.aspx?menuIndex=3&amp;refID=7191455&amp;Result=3","7191455")</f>
        <v>0</v>
      </c>
      <c r="B2263" t="s">
        <v>921</v>
      </c>
      <c r="C2263" t="s">
        <v>5693</v>
      </c>
      <c r="D2263" t="s">
        <v>17186</v>
      </c>
      <c r="E2263" t="s">
        <v>18734</v>
      </c>
      <c r="F2263" t="s">
        <v>29372</v>
      </c>
      <c r="G2263" t="s">
        <v>29380</v>
      </c>
      <c r="H2263" t="s">
        <v>11048</v>
      </c>
      <c r="I2263" t="s">
        <v>29395</v>
      </c>
      <c r="J2263" t="s">
        <v>31118</v>
      </c>
      <c r="K2263" t="s">
        <v>38490</v>
      </c>
      <c r="M2263" t="s">
        <v>39716</v>
      </c>
      <c r="N2263" t="s">
        <v>42669</v>
      </c>
      <c r="O2263" t="s">
        <v>42670</v>
      </c>
      <c r="P2263">
        <v>0</v>
      </c>
      <c r="Q2263">
        <v>1</v>
      </c>
      <c r="R2263" t="s">
        <v>42674</v>
      </c>
      <c r="S2263" t="s">
        <v>42788</v>
      </c>
      <c r="T2263" t="s">
        <v>44503</v>
      </c>
      <c r="U2263" t="s">
        <v>46715</v>
      </c>
      <c r="W2263" t="s">
        <v>39716</v>
      </c>
      <c r="X2263" t="s">
        <v>42676</v>
      </c>
    </row>
    <row r="2264" spans="1:24">
      <c r="A2264">
        <f>HYPERLINK("https://www.philgeps.gov.ph/GEPSNONPILOT/Tender/SplashBidNoticeAbstractUI.aspx?menuIndex=3&amp;refID=7191424&amp;Result=3","7191424")</f>
        <v>0</v>
      </c>
      <c r="B2264" t="s">
        <v>883</v>
      </c>
      <c r="C2264" t="s">
        <v>5694</v>
      </c>
      <c r="D2264" t="s">
        <v>17161</v>
      </c>
      <c r="E2264" t="s">
        <v>19242</v>
      </c>
      <c r="F2264" t="s">
        <v>29372</v>
      </c>
      <c r="G2264" t="s">
        <v>29380</v>
      </c>
      <c r="H2264" t="s">
        <v>11048</v>
      </c>
      <c r="I2264" t="s">
        <v>5383</v>
      </c>
      <c r="J2264" t="s">
        <v>31119</v>
      </c>
      <c r="K2264" t="s">
        <v>38538</v>
      </c>
      <c r="M2264" t="s">
        <v>39675</v>
      </c>
      <c r="N2264" t="s">
        <v>42669</v>
      </c>
      <c r="O2264" t="s">
        <v>42670</v>
      </c>
      <c r="P2264">
        <v>0</v>
      </c>
      <c r="Q2264">
        <v>0</v>
      </c>
      <c r="R2264" t="s">
        <v>42674</v>
      </c>
      <c r="S2264" t="s">
        <v>42788</v>
      </c>
      <c r="T2264" t="s">
        <v>44368</v>
      </c>
      <c r="U2264" t="s">
        <v>46716</v>
      </c>
      <c r="W2264" t="s">
        <v>39675</v>
      </c>
      <c r="X2264" t="s">
        <v>42676</v>
      </c>
    </row>
    <row r="2265" spans="1:24">
      <c r="A2265">
        <f>HYPERLINK("https://www.philgeps.gov.ph/GEPSNONPILOT/Tender/SplashBidNoticeAbstractUI.aspx?menuIndex=3&amp;refID=7191422&amp;Result=3","7191422")</f>
        <v>0</v>
      </c>
      <c r="B2265" t="s">
        <v>922</v>
      </c>
      <c r="C2265" t="s">
        <v>5695</v>
      </c>
      <c r="D2265" t="s">
        <v>17144</v>
      </c>
      <c r="E2265" t="s">
        <v>19243</v>
      </c>
      <c r="F2265" t="s">
        <v>29372</v>
      </c>
      <c r="G2265" t="s">
        <v>29379</v>
      </c>
      <c r="H2265" t="s">
        <v>11048</v>
      </c>
      <c r="I2265" t="s">
        <v>8208</v>
      </c>
      <c r="J2265" t="s">
        <v>31120</v>
      </c>
      <c r="K2265" t="s">
        <v>38491</v>
      </c>
      <c r="M2265" t="s">
        <v>39717</v>
      </c>
      <c r="N2265" t="s">
        <v>42669</v>
      </c>
      <c r="O2265" t="s">
        <v>42670</v>
      </c>
      <c r="P2265">
        <v>0</v>
      </c>
      <c r="Q2265">
        <v>1</v>
      </c>
      <c r="R2265" t="s">
        <v>42674</v>
      </c>
      <c r="S2265" t="s">
        <v>42788</v>
      </c>
      <c r="T2265" t="s">
        <v>44496</v>
      </c>
      <c r="U2265" t="s">
        <v>46717</v>
      </c>
      <c r="W2265" t="s">
        <v>39717</v>
      </c>
      <c r="X2265" t="s">
        <v>42676</v>
      </c>
    </row>
    <row r="2266" spans="1:24">
      <c r="A2266">
        <f>HYPERLINK("https://www.philgeps.gov.ph/GEPSNONPILOT/Tender/SplashBidNoticeAbstractUI.aspx?menuIndex=3&amp;refID=7191459&amp;Result=3","7191459")</f>
        <v>0</v>
      </c>
      <c r="B2266" t="s">
        <v>742</v>
      </c>
      <c r="C2266" t="s">
        <v>5318</v>
      </c>
      <c r="D2266" t="s">
        <v>17175</v>
      </c>
      <c r="E2266" t="s">
        <v>19244</v>
      </c>
      <c r="F2266" t="s">
        <v>29372</v>
      </c>
      <c r="G2266" t="s">
        <v>29379</v>
      </c>
      <c r="H2266" t="s">
        <v>11048</v>
      </c>
      <c r="I2266" t="s">
        <v>14920</v>
      </c>
      <c r="J2266" t="s">
        <v>31121</v>
      </c>
      <c r="K2266" t="s">
        <v>38510</v>
      </c>
      <c r="M2266" t="s">
        <v>39523</v>
      </c>
      <c r="N2266" t="s">
        <v>42669</v>
      </c>
      <c r="O2266" t="s">
        <v>42670</v>
      </c>
      <c r="P2266">
        <v>0</v>
      </c>
      <c r="Q2266">
        <v>0</v>
      </c>
      <c r="R2266" t="s">
        <v>42674</v>
      </c>
      <c r="S2266" t="s">
        <v>42788</v>
      </c>
      <c r="T2266" t="s">
        <v>44375</v>
      </c>
      <c r="U2266" t="s">
        <v>46718</v>
      </c>
      <c r="W2266" t="s">
        <v>39523</v>
      </c>
      <c r="X2266" t="s">
        <v>42676</v>
      </c>
    </row>
    <row r="2267" spans="1:24">
      <c r="A2267">
        <f>HYPERLINK("https://www.philgeps.gov.ph/GEPSNONPILOT/Tender/SplashBidNoticeAbstractUI.aspx?menuIndex=3&amp;refID=7191466&amp;Result=3","7191466")</f>
        <v>0</v>
      </c>
      <c r="B2267" t="s">
        <v>889</v>
      </c>
      <c r="C2267" t="s">
        <v>5696</v>
      </c>
      <c r="E2267" t="s">
        <v>19245</v>
      </c>
      <c r="F2267" t="s">
        <v>29372</v>
      </c>
      <c r="G2267" t="s">
        <v>29380</v>
      </c>
      <c r="H2267" t="s">
        <v>11048</v>
      </c>
      <c r="I2267" t="s">
        <v>29395</v>
      </c>
      <c r="J2267" t="s">
        <v>31122</v>
      </c>
      <c r="K2267" t="s">
        <v>38488</v>
      </c>
      <c r="M2267" t="s">
        <v>39681</v>
      </c>
      <c r="N2267" t="s">
        <v>42669</v>
      </c>
      <c r="O2267" t="s">
        <v>42670</v>
      </c>
      <c r="P2267">
        <v>0</v>
      </c>
      <c r="Q2267">
        <v>0</v>
      </c>
      <c r="R2267" t="s">
        <v>42674</v>
      </c>
      <c r="S2267" t="s">
        <v>42788</v>
      </c>
      <c r="T2267" t="s">
        <v>44444</v>
      </c>
      <c r="U2267" t="s">
        <v>46663</v>
      </c>
      <c r="W2267" t="s">
        <v>39681</v>
      </c>
      <c r="X2267" t="s">
        <v>42676</v>
      </c>
    </row>
    <row r="2268" spans="1:24">
      <c r="A2268">
        <f>HYPERLINK("https://www.philgeps.gov.ph/GEPSNONPILOT/Tender/SplashBidNoticeAbstractUI.aspx?menuIndex=3&amp;refID=7191411&amp;Result=3","7191411")</f>
        <v>0</v>
      </c>
      <c r="B2268" t="s">
        <v>889</v>
      </c>
      <c r="C2268" t="s">
        <v>5697</v>
      </c>
      <c r="E2268" t="s">
        <v>19246</v>
      </c>
      <c r="F2268" t="s">
        <v>29372</v>
      </c>
      <c r="G2268" t="s">
        <v>29380</v>
      </c>
      <c r="H2268" t="s">
        <v>11048</v>
      </c>
      <c r="I2268" t="s">
        <v>29395</v>
      </c>
      <c r="J2268" t="s">
        <v>31123</v>
      </c>
      <c r="K2268" t="s">
        <v>38488</v>
      </c>
      <c r="M2268" t="s">
        <v>39681</v>
      </c>
      <c r="N2268" t="s">
        <v>42669</v>
      </c>
      <c r="O2268" t="s">
        <v>42670</v>
      </c>
      <c r="P2268">
        <v>0</v>
      </c>
      <c r="Q2268">
        <v>0</v>
      </c>
      <c r="R2268" t="s">
        <v>42674</v>
      </c>
      <c r="S2268" t="s">
        <v>42788</v>
      </c>
      <c r="T2268" t="s">
        <v>44444</v>
      </c>
      <c r="U2268" t="s">
        <v>46663</v>
      </c>
      <c r="W2268" t="s">
        <v>39681</v>
      </c>
      <c r="X2268" t="s">
        <v>42676</v>
      </c>
    </row>
    <row r="2269" spans="1:24">
      <c r="A2269">
        <f>HYPERLINK("https://www.philgeps.gov.ph/GEPSNONPILOT/Tender/SplashBidNoticeAbstractUI.aspx?menuIndex=3&amp;refID=7191410&amp;Result=3","7191410")</f>
        <v>0</v>
      </c>
      <c r="B2269" t="s">
        <v>874</v>
      </c>
      <c r="C2269" t="s">
        <v>5698</v>
      </c>
      <c r="D2269" t="s">
        <v>17211</v>
      </c>
      <c r="E2269" t="s">
        <v>19247</v>
      </c>
      <c r="F2269" t="s">
        <v>29372</v>
      </c>
      <c r="G2269" t="s">
        <v>29380</v>
      </c>
      <c r="H2269" t="s">
        <v>11048</v>
      </c>
      <c r="I2269" t="s">
        <v>29400</v>
      </c>
      <c r="J2269" t="s">
        <v>29729</v>
      </c>
      <c r="K2269" t="s">
        <v>38491</v>
      </c>
      <c r="L2269" t="s">
        <v>874</v>
      </c>
      <c r="M2269" t="s">
        <v>39666</v>
      </c>
      <c r="N2269" t="s">
        <v>42669</v>
      </c>
      <c r="O2269" t="s">
        <v>42670</v>
      </c>
      <c r="P2269">
        <v>0</v>
      </c>
      <c r="Q2269">
        <v>7</v>
      </c>
      <c r="R2269" t="s">
        <v>42674</v>
      </c>
      <c r="S2269" t="s">
        <v>42788</v>
      </c>
      <c r="T2269" t="s">
        <v>44476</v>
      </c>
      <c r="U2269" t="s">
        <v>46633</v>
      </c>
      <c r="V2269" t="s">
        <v>56574</v>
      </c>
      <c r="W2269" t="s">
        <v>39666</v>
      </c>
      <c r="X2269" t="s">
        <v>42676</v>
      </c>
    </row>
    <row r="2270" spans="1:24">
      <c r="A2270">
        <f>HYPERLINK("https://www.philgeps.gov.ph/GEPSNONPILOT/Tender/SplashBidNoticeAbstractUI.aspx?menuIndex=3&amp;refID=7191352&amp;Result=3","7191352")</f>
        <v>0</v>
      </c>
      <c r="B2270" t="s">
        <v>896</v>
      </c>
      <c r="C2270" t="s">
        <v>5699</v>
      </c>
      <c r="D2270" t="s">
        <v>17188</v>
      </c>
      <c r="E2270" t="s">
        <v>19248</v>
      </c>
      <c r="F2270" t="s">
        <v>29372</v>
      </c>
      <c r="G2270" t="s">
        <v>29379</v>
      </c>
      <c r="H2270" t="s">
        <v>11048</v>
      </c>
      <c r="I2270" t="s">
        <v>29393</v>
      </c>
      <c r="J2270" t="s">
        <v>31124</v>
      </c>
      <c r="K2270" t="s">
        <v>38488</v>
      </c>
      <c r="M2270" t="s">
        <v>39689</v>
      </c>
      <c r="N2270" t="s">
        <v>42669</v>
      </c>
      <c r="O2270" t="s">
        <v>42670</v>
      </c>
      <c r="P2270">
        <v>0</v>
      </c>
      <c r="Q2270">
        <v>1</v>
      </c>
      <c r="R2270" t="s">
        <v>42674</v>
      </c>
      <c r="S2270" t="s">
        <v>42788</v>
      </c>
      <c r="T2270" t="s">
        <v>44543</v>
      </c>
      <c r="U2270" t="s">
        <v>46719</v>
      </c>
      <c r="V2270" t="s">
        <v>56575</v>
      </c>
      <c r="W2270" t="s">
        <v>39689</v>
      </c>
      <c r="X2270" t="s">
        <v>42676</v>
      </c>
    </row>
    <row r="2271" spans="1:24">
      <c r="A2271">
        <f>HYPERLINK("https://www.philgeps.gov.ph/GEPSNONPILOT/Tender/SplashBidNoticeAbstractUI.aspx?menuIndex=3&amp;refID=7191347&amp;Result=3","7191347")</f>
        <v>0</v>
      </c>
      <c r="B2271" t="s">
        <v>923</v>
      </c>
      <c r="C2271" t="s">
        <v>5700</v>
      </c>
      <c r="D2271" t="s">
        <v>17185</v>
      </c>
      <c r="E2271" t="s">
        <v>19249</v>
      </c>
      <c r="F2271" t="s">
        <v>29373</v>
      </c>
      <c r="G2271" t="s">
        <v>29379</v>
      </c>
      <c r="H2271" t="s">
        <v>29389</v>
      </c>
      <c r="I2271" t="s">
        <v>10408</v>
      </c>
      <c r="J2271" t="s">
        <v>30334</v>
      </c>
      <c r="K2271" t="s">
        <v>38485</v>
      </c>
      <c r="M2271" t="s">
        <v>39718</v>
      </c>
      <c r="N2271" t="s">
        <v>42669</v>
      </c>
      <c r="O2271" t="s">
        <v>42670</v>
      </c>
      <c r="P2271">
        <v>0</v>
      </c>
      <c r="Q2271">
        <v>0</v>
      </c>
      <c r="R2271" t="s">
        <v>42674</v>
      </c>
      <c r="S2271" t="s">
        <v>42788</v>
      </c>
      <c r="T2271" t="s">
        <v>44482</v>
      </c>
      <c r="U2271" t="s">
        <v>46720</v>
      </c>
      <c r="V2271" t="s">
        <v>56583</v>
      </c>
      <c r="W2271" t="s">
        <v>39718</v>
      </c>
      <c r="X2271" t="s">
        <v>42676</v>
      </c>
    </row>
    <row r="2272" spans="1:24">
      <c r="A2272">
        <f>HYPERLINK("https://www.philgeps.gov.ph/GEPSNONPILOT/Tender/SplashBidNoticeAbstractUI.aspx?menuIndex=3&amp;refID=7191420&amp;Result=3","7191420")</f>
        <v>0</v>
      </c>
      <c r="B2272" t="s">
        <v>881</v>
      </c>
      <c r="C2272" t="s">
        <v>5701</v>
      </c>
      <c r="D2272" t="s">
        <v>17204</v>
      </c>
      <c r="E2272" t="s">
        <v>19250</v>
      </c>
      <c r="F2272" t="s">
        <v>29372</v>
      </c>
      <c r="G2272" t="s">
        <v>29379</v>
      </c>
      <c r="H2272" t="s">
        <v>11048</v>
      </c>
      <c r="I2272" t="s">
        <v>29415</v>
      </c>
      <c r="J2272" t="s">
        <v>30046</v>
      </c>
      <c r="K2272" t="s">
        <v>38485</v>
      </c>
      <c r="M2272" t="s">
        <v>39673</v>
      </c>
      <c r="N2272" t="s">
        <v>42669</v>
      </c>
      <c r="O2272" t="s">
        <v>42670</v>
      </c>
      <c r="P2272">
        <v>0</v>
      </c>
      <c r="Q2272">
        <v>5</v>
      </c>
      <c r="R2272" t="s">
        <v>42674</v>
      </c>
      <c r="S2272" t="s">
        <v>42788</v>
      </c>
      <c r="T2272" t="s">
        <v>44512</v>
      </c>
      <c r="U2272" t="s">
        <v>46646</v>
      </c>
      <c r="W2272" t="s">
        <v>39673</v>
      </c>
      <c r="X2272" t="s">
        <v>42676</v>
      </c>
    </row>
    <row r="2273" spans="1:24">
      <c r="A2273">
        <f>HYPERLINK("https://www.philgeps.gov.ph/GEPSNONPILOT/Tender/SplashBidNoticeAbstractUI.aspx?menuIndex=3&amp;refID=7191418&amp;Result=3","7191418")</f>
        <v>0</v>
      </c>
      <c r="B2273" t="s">
        <v>908</v>
      </c>
      <c r="C2273" t="s">
        <v>5702</v>
      </c>
      <c r="D2273" t="s">
        <v>17160</v>
      </c>
      <c r="E2273" t="s">
        <v>19251</v>
      </c>
      <c r="F2273" t="s">
        <v>29372</v>
      </c>
      <c r="G2273" t="s">
        <v>29379</v>
      </c>
      <c r="H2273" t="s">
        <v>29389</v>
      </c>
      <c r="I2273" t="s">
        <v>10408</v>
      </c>
      <c r="J2273" t="s">
        <v>29555</v>
      </c>
      <c r="K2273" t="s">
        <v>38510</v>
      </c>
      <c r="M2273" t="s">
        <v>39701</v>
      </c>
      <c r="N2273" t="s">
        <v>42669</v>
      </c>
      <c r="O2273" t="s">
        <v>42670</v>
      </c>
      <c r="P2273">
        <v>0</v>
      </c>
      <c r="Q2273">
        <v>1</v>
      </c>
      <c r="R2273" t="s">
        <v>42674</v>
      </c>
      <c r="S2273" t="s">
        <v>42788</v>
      </c>
      <c r="T2273" t="s">
        <v>44512</v>
      </c>
      <c r="U2273" t="s">
        <v>46721</v>
      </c>
      <c r="W2273" t="s">
        <v>39701</v>
      </c>
      <c r="X2273" t="s">
        <v>42676</v>
      </c>
    </row>
    <row r="2274" spans="1:24">
      <c r="A2274">
        <f>HYPERLINK("https://www.philgeps.gov.ph/GEPSNONPILOT/Tender/SplashBidNoticeAbstractUI.aspx?menuIndex=3&amp;refID=7191345&amp;Result=3","7191345")</f>
        <v>0</v>
      </c>
      <c r="B2274" t="s">
        <v>742</v>
      </c>
      <c r="C2274" t="s">
        <v>5318</v>
      </c>
      <c r="D2274" t="s">
        <v>17175</v>
      </c>
      <c r="E2274" t="s">
        <v>19252</v>
      </c>
      <c r="F2274" t="s">
        <v>29372</v>
      </c>
      <c r="G2274" t="s">
        <v>29379</v>
      </c>
      <c r="H2274" t="s">
        <v>11048</v>
      </c>
      <c r="I2274" t="s">
        <v>14920</v>
      </c>
      <c r="J2274" t="s">
        <v>31072</v>
      </c>
      <c r="K2274" t="s">
        <v>38510</v>
      </c>
      <c r="M2274" t="s">
        <v>39523</v>
      </c>
      <c r="N2274" t="s">
        <v>42669</v>
      </c>
      <c r="O2274" t="s">
        <v>42670</v>
      </c>
      <c r="P2274">
        <v>0</v>
      </c>
      <c r="Q2274">
        <v>0</v>
      </c>
      <c r="R2274" t="s">
        <v>42674</v>
      </c>
      <c r="S2274" t="s">
        <v>42788</v>
      </c>
      <c r="T2274" t="s">
        <v>44375</v>
      </c>
      <c r="U2274" t="s">
        <v>46722</v>
      </c>
      <c r="W2274" t="s">
        <v>39523</v>
      </c>
      <c r="X2274" t="s">
        <v>42676</v>
      </c>
    </row>
    <row r="2275" spans="1:24">
      <c r="A2275">
        <f>HYPERLINK("https://www.philgeps.gov.ph/GEPSNONPILOT/Tender/SplashBidNoticeAbstractUI.aspx?menuIndex=3&amp;refID=7191340&amp;Result=3","7191340")</f>
        <v>0</v>
      </c>
      <c r="B2275" t="s">
        <v>844</v>
      </c>
      <c r="C2275" t="s">
        <v>5703</v>
      </c>
      <c r="D2275" t="s">
        <v>17219</v>
      </c>
      <c r="E2275" t="s">
        <v>19253</v>
      </c>
      <c r="F2275" t="s">
        <v>29372</v>
      </c>
      <c r="G2275" t="s">
        <v>29379</v>
      </c>
      <c r="H2275" t="s">
        <v>11048</v>
      </c>
      <c r="I2275" t="s">
        <v>3670</v>
      </c>
      <c r="J2275" t="s">
        <v>30236</v>
      </c>
      <c r="K2275" t="s">
        <v>38485</v>
      </c>
      <c r="M2275" t="s">
        <v>39634</v>
      </c>
      <c r="N2275" t="s">
        <v>42669</v>
      </c>
      <c r="O2275" t="s">
        <v>42670</v>
      </c>
      <c r="P2275">
        <v>0</v>
      </c>
      <c r="Q2275">
        <v>1</v>
      </c>
      <c r="R2275" t="s">
        <v>42674</v>
      </c>
      <c r="S2275" t="s">
        <v>42788</v>
      </c>
      <c r="T2275" t="s">
        <v>44387</v>
      </c>
      <c r="U2275" t="s">
        <v>46577</v>
      </c>
      <c r="W2275" t="s">
        <v>39634</v>
      </c>
      <c r="X2275" t="s">
        <v>42676</v>
      </c>
    </row>
    <row r="2276" spans="1:24">
      <c r="A2276">
        <f>HYPERLINK("https://www.philgeps.gov.ph/GEPSNONPILOT/Tender/SplashBidNoticeAbstractUI.aspx?menuIndex=3&amp;refID=7191409&amp;Result=3","7191409")</f>
        <v>0</v>
      </c>
      <c r="B2276" t="s">
        <v>924</v>
      </c>
      <c r="C2276" t="s">
        <v>5704</v>
      </c>
      <c r="D2276" t="s">
        <v>17170</v>
      </c>
      <c r="E2276" t="s">
        <v>19254</v>
      </c>
      <c r="F2276" t="s">
        <v>29372</v>
      </c>
      <c r="G2276" t="s">
        <v>29383</v>
      </c>
      <c r="H2276" t="s">
        <v>11048</v>
      </c>
      <c r="I2276" t="s">
        <v>3629</v>
      </c>
      <c r="J2276" t="s">
        <v>31125</v>
      </c>
      <c r="K2276" t="s">
        <v>38510</v>
      </c>
      <c r="M2276" t="s">
        <v>39719</v>
      </c>
      <c r="N2276" t="s">
        <v>42669</v>
      </c>
      <c r="O2276" t="s">
        <v>42670</v>
      </c>
      <c r="P2276">
        <v>0</v>
      </c>
      <c r="Q2276">
        <v>0</v>
      </c>
      <c r="R2276" t="s">
        <v>42674</v>
      </c>
      <c r="S2276" t="s">
        <v>42788</v>
      </c>
      <c r="T2276" t="s">
        <v>44451</v>
      </c>
      <c r="U2276" t="s">
        <v>46723</v>
      </c>
      <c r="W2276" t="s">
        <v>39719</v>
      </c>
      <c r="X2276" t="s">
        <v>42676</v>
      </c>
    </row>
    <row r="2277" spans="1:24">
      <c r="A2277">
        <f>HYPERLINK("https://www.philgeps.gov.ph/GEPSNONPILOT/Tender/SplashBidNoticeAbstractUI.aspx?menuIndex=3&amp;refID=7191351&amp;Result=3","7191351")</f>
        <v>0</v>
      </c>
      <c r="B2277" t="s">
        <v>898</v>
      </c>
      <c r="C2277" t="s">
        <v>5705</v>
      </c>
      <c r="D2277" t="s">
        <v>17142</v>
      </c>
      <c r="E2277" t="s">
        <v>19255</v>
      </c>
      <c r="F2277" t="s">
        <v>29372</v>
      </c>
      <c r="G2277" t="s">
        <v>29379</v>
      </c>
      <c r="H2277" t="s">
        <v>11048</v>
      </c>
      <c r="I2277" t="s">
        <v>29481</v>
      </c>
      <c r="J2277" t="s">
        <v>31126</v>
      </c>
      <c r="K2277" t="s">
        <v>38490</v>
      </c>
      <c r="M2277" t="s">
        <v>39691</v>
      </c>
      <c r="N2277" t="s">
        <v>42669</v>
      </c>
      <c r="O2277" t="s">
        <v>42670</v>
      </c>
      <c r="P2277">
        <v>0</v>
      </c>
      <c r="Q2277">
        <v>4</v>
      </c>
      <c r="R2277" t="s">
        <v>42674</v>
      </c>
      <c r="S2277" t="s">
        <v>42788</v>
      </c>
      <c r="T2277" t="s">
        <v>44382</v>
      </c>
      <c r="U2277" t="s">
        <v>46724</v>
      </c>
      <c r="V2277" t="s">
        <v>56576</v>
      </c>
      <c r="W2277" t="s">
        <v>39691</v>
      </c>
      <c r="X2277" t="s">
        <v>42676</v>
      </c>
    </row>
    <row r="2278" spans="1:24">
      <c r="A2278">
        <f>HYPERLINK("https://www.philgeps.gov.ph/GEPSNONPILOT/Tender/SplashBidNoticeAbstractUI.aspx?menuIndex=3&amp;refID=7191469&amp;Result=3","7191469")</f>
        <v>0</v>
      </c>
      <c r="B2278" t="s">
        <v>925</v>
      </c>
      <c r="C2278" t="s">
        <v>5706</v>
      </c>
      <c r="D2278" t="s">
        <v>17180</v>
      </c>
      <c r="E2278" t="s">
        <v>19256</v>
      </c>
      <c r="F2278" t="s">
        <v>29372</v>
      </c>
      <c r="G2278" t="s">
        <v>29380</v>
      </c>
      <c r="H2278" t="s">
        <v>11048</v>
      </c>
      <c r="I2278" t="s">
        <v>9469</v>
      </c>
      <c r="J2278" t="s">
        <v>29774</v>
      </c>
      <c r="K2278" t="s">
        <v>38485</v>
      </c>
      <c r="M2278" t="s">
        <v>39720</v>
      </c>
      <c r="N2278" t="s">
        <v>42669</v>
      </c>
      <c r="O2278" t="s">
        <v>42670</v>
      </c>
      <c r="P2278">
        <v>0</v>
      </c>
      <c r="Q2278">
        <v>2</v>
      </c>
      <c r="R2278" t="s">
        <v>42674</v>
      </c>
      <c r="S2278" t="s">
        <v>42788</v>
      </c>
      <c r="T2278" t="s">
        <v>44589</v>
      </c>
      <c r="U2278" t="s">
        <v>46725</v>
      </c>
      <c r="W2278" t="s">
        <v>39720</v>
      </c>
      <c r="X2278" t="s">
        <v>42676</v>
      </c>
    </row>
    <row r="2279" spans="1:24">
      <c r="A2279">
        <f>HYPERLINK("https://www.philgeps.gov.ph/GEPSNONPILOT/Tender/SplashBidNoticeAbstractUI.aspx?menuIndex=3&amp;refID=7191341&amp;Result=3","7191341")</f>
        <v>0</v>
      </c>
      <c r="B2279" t="s">
        <v>874</v>
      </c>
      <c r="C2279" t="s">
        <v>5707</v>
      </c>
      <c r="D2279" t="s">
        <v>17211</v>
      </c>
      <c r="E2279" t="s">
        <v>19257</v>
      </c>
      <c r="F2279" t="s">
        <v>29372</v>
      </c>
      <c r="G2279" t="s">
        <v>29380</v>
      </c>
      <c r="H2279" t="s">
        <v>11048</v>
      </c>
      <c r="I2279" t="s">
        <v>5383</v>
      </c>
      <c r="J2279" t="s">
        <v>31127</v>
      </c>
      <c r="K2279" t="s">
        <v>38491</v>
      </c>
      <c r="L2279" t="s">
        <v>874</v>
      </c>
      <c r="M2279" t="s">
        <v>39666</v>
      </c>
      <c r="N2279" t="s">
        <v>42669</v>
      </c>
      <c r="O2279" t="s">
        <v>42670</v>
      </c>
      <c r="P2279">
        <v>0</v>
      </c>
      <c r="Q2279">
        <v>6</v>
      </c>
      <c r="R2279" t="s">
        <v>42674</v>
      </c>
      <c r="S2279" t="s">
        <v>42788</v>
      </c>
      <c r="T2279" t="s">
        <v>44476</v>
      </c>
      <c r="U2279" t="s">
        <v>46633</v>
      </c>
      <c r="V2279" t="s">
        <v>56584</v>
      </c>
      <c r="W2279" t="s">
        <v>39666</v>
      </c>
      <c r="X2279" t="s">
        <v>42676</v>
      </c>
    </row>
    <row r="2280" spans="1:24">
      <c r="A2280">
        <f>HYPERLINK("https://www.philgeps.gov.ph/GEPSNONPILOT/Tender/SplashBidNoticeAbstractUI.aspx?menuIndex=3&amp;refID=7191339&amp;Result=3","7191339")</f>
        <v>0</v>
      </c>
      <c r="B2280" t="s">
        <v>926</v>
      </c>
      <c r="C2280" t="s">
        <v>5708</v>
      </c>
      <c r="D2280" t="s">
        <v>17176</v>
      </c>
      <c r="E2280" t="s">
        <v>19258</v>
      </c>
      <c r="F2280" t="s">
        <v>29372</v>
      </c>
      <c r="G2280" t="s">
        <v>29380</v>
      </c>
      <c r="H2280" t="s">
        <v>29389</v>
      </c>
      <c r="I2280" t="s">
        <v>10408</v>
      </c>
      <c r="J2280" t="s">
        <v>31128</v>
      </c>
      <c r="K2280" t="s">
        <v>38530</v>
      </c>
      <c r="M2280" t="s">
        <v>39721</v>
      </c>
      <c r="N2280" t="s">
        <v>42669</v>
      </c>
      <c r="O2280" t="s">
        <v>42670</v>
      </c>
      <c r="P2280">
        <v>0</v>
      </c>
      <c r="Q2280">
        <v>0</v>
      </c>
      <c r="R2280" t="s">
        <v>42674</v>
      </c>
      <c r="S2280" t="s">
        <v>42788</v>
      </c>
      <c r="T2280" t="s">
        <v>44430</v>
      </c>
      <c r="U2280" t="s">
        <v>46726</v>
      </c>
      <c r="W2280" t="s">
        <v>39721</v>
      </c>
      <c r="X2280" t="s">
        <v>42676</v>
      </c>
    </row>
    <row r="2281" spans="1:24">
      <c r="A2281">
        <f>HYPERLINK("https://www.philgeps.gov.ph/GEPSNONPILOT/Tender/SplashBidNoticeAbstractUI.aspx?menuIndex=3&amp;refID=7191464&amp;Result=3","7191464")</f>
        <v>0</v>
      </c>
      <c r="B2281" t="s">
        <v>825</v>
      </c>
      <c r="C2281" t="s">
        <v>5709</v>
      </c>
      <c r="D2281" t="s">
        <v>17164</v>
      </c>
      <c r="E2281" t="s">
        <v>19259</v>
      </c>
      <c r="F2281" t="s">
        <v>29372</v>
      </c>
      <c r="G2281" t="s">
        <v>29380</v>
      </c>
      <c r="H2281" t="s">
        <v>29389</v>
      </c>
      <c r="I2281" t="s">
        <v>10408</v>
      </c>
      <c r="J2281" t="s">
        <v>29555</v>
      </c>
      <c r="K2281" t="s">
        <v>38510</v>
      </c>
      <c r="M2281" t="s">
        <v>39611</v>
      </c>
      <c r="N2281" t="s">
        <v>42669</v>
      </c>
      <c r="O2281" t="s">
        <v>42670</v>
      </c>
      <c r="P2281">
        <v>0</v>
      </c>
      <c r="Q2281">
        <v>0</v>
      </c>
      <c r="R2281" t="s">
        <v>42674</v>
      </c>
      <c r="S2281" t="s">
        <v>42788</v>
      </c>
      <c r="T2281" t="s">
        <v>44404</v>
      </c>
      <c r="U2281" t="s">
        <v>46727</v>
      </c>
      <c r="W2281" t="s">
        <v>39611</v>
      </c>
      <c r="X2281" t="s">
        <v>42676</v>
      </c>
    </row>
    <row r="2282" spans="1:24">
      <c r="A2282">
        <f>HYPERLINK("https://www.philgeps.gov.ph/GEPSNONPILOT/Tender/SplashBidNoticeAbstractUI.aspx?menuIndex=3&amp;refID=7191528&amp;Result=3","7191528")</f>
        <v>0</v>
      </c>
      <c r="B2282" t="s">
        <v>413</v>
      </c>
      <c r="C2282" t="s">
        <v>5710</v>
      </c>
      <c r="D2282" t="s">
        <v>17141</v>
      </c>
      <c r="E2282" t="s">
        <v>19260</v>
      </c>
      <c r="F2282" t="s">
        <v>29372</v>
      </c>
      <c r="G2282" t="s">
        <v>29382</v>
      </c>
      <c r="H2282" t="s">
        <v>11048</v>
      </c>
      <c r="I2282" t="s">
        <v>3629</v>
      </c>
      <c r="J2282" t="s">
        <v>31129</v>
      </c>
      <c r="K2282" t="s">
        <v>38485</v>
      </c>
      <c r="M2282" t="s">
        <v>39708</v>
      </c>
      <c r="N2282" t="s">
        <v>42669</v>
      </c>
      <c r="O2282" t="s">
        <v>42670</v>
      </c>
      <c r="P2282">
        <v>0</v>
      </c>
      <c r="Q2282">
        <v>3</v>
      </c>
      <c r="R2282" t="s">
        <v>42674</v>
      </c>
      <c r="S2282" t="s">
        <v>42788</v>
      </c>
      <c r="T2282" t="s">
        <v>44437</v>
      </c>
      <c r="U2282" t="s">
        <v>46704</v>
      </c>
      <c r="V2282" t="s">
        <v>56582</v>
      </c>
      <c r="W2282" t="s">
        <v>39708</v>
      </c>
      <c r="X2282" t="s">
        <v>42676</v>
      </c>
    </row>
    <row r="2283" spans="1:24">
      <c r="A2283">
        <f>HYPERLINK("https://www.philgeps.gov.ph/GEPSNONPILOT/Tender/SplashBidNoticeAbstractUI.aspx?menuIndex=3&amp;refID=7191527&amp;Result=3","7191527")</f>
        <v>0</v>
      </c>
      <c r="B2283" t="s">
        <v>927</v>
      </c>
      <c r="C2283" t="s">
        <v>5711</v>
      </c>
      <c r="D2283" t="s">
        <v>17225</v>
      </c>
      <c r="E2283" t="s">
        <v>19261</v>
      </c>
      <c r="F2283" t="s">
        <v>29372</v>
      </c>
      <c r="G2283" t="s">
        <v>29383</v>
      </c>
      <c r="H2283" t="s">
        <v>11048</v>
      </c>
      <c r="I2283" t="s">
        <v>3597</v>
      </c>
      <c r="J2283" t="s">
        <v>31130</v>
      </c>
      <c r="K2283" t="s">
        <v>38490</v>
      </c>
      <c r="M2283" t="s">
        <v>39722</v>
      </c>
      <c r="N2283" t="s">
        <v>42669</v>
      </c>
      <c r="O2283" t="s">
        <v>42670</v>
      </c>
      <c r="P2283">
        <v>0</v>
      </c>
      <c r="Q2283">
        <v>1</v>
      </c>
      <c r="R2283" t="s">
        <v>42674</v>
      </c>
      <c r="S2283" t="s">
        <v>42788</v>
      </c>
      <c r="T2283" t="s">
        <v>44387</v>
      </c>
      <c r="U2283" t="s">
        <v>46728</v>
      </c>
      <c r="V2283" t="s">
        <v>56585</v>
      </c>
      <c r="W2283" t="s">
        <v>39722</v>
      </c>
      <c r="X2283" t="s">
        <v>42676</v>
      </c>
    </row>
    <row r="2284" spans="1:24">
      <c r="A2284">
        <f>HYPERLINK("https://www.philgeps.gov.ph/GEPSNONPILOT/Tender/SplashBidNoticeAbstractUI.aspx?menuIndex=3&amp;refID=7191525&amp;Result=3","7191525")</f>
        <v>0</v>
      </c>
      <c r="B2284" t="s">
        <v>928</v>
      </c>
      <c r="C2284" t="s">
        <v>5712</v>
      </c>
      <c r="D2284" t="s">
        <v>17141</v>
      </c>
      <c r="E2284" t="s">
        <v>19262</v>
      </c>
      <c r="F2284" t="s">
        <v>29372</v>
      </c>
      <c r="G2284" t="s">
        <v>29383</v>
      </c>
      <c r="H2284" t="s">
        <v>11048</v>
      </c>
      <c r="I2284" t="s">
        <v>3670</v>
      </c>
      <c r="J2284" t="s">
        <v>31131</v>
      </c>
      <c r="K2284" t="s">
        <v>38538</v>
      </c>
      <c r="M2284" t="s">
        <v>39723</v>
      </c>
      <c r="N2284" t="s">
        <v>42669</v>
      </c>
      <c r="O2284" t="s">
        <v>42670</v>
      </c>
      <c r="P2284">
        <v>0</v>
      </c>
      <c r="Q2284">
        <v>0</v>
      </c>
      <c r="R2284" t="s">
        <v>42674</v>
      </c>
      <c r="S2284" t="s">
        <v>42788</v>
      </c>
      <c r="T2284" t="s">
        <v>44491</v>
      </c>
      <c r="U2284" t="s">
        <v>46729</v>
      </c>
      <c r="W2284" t="s">
        <v>39723</v>
      </c>
      <c r="X2284" t="s">
        <v>42676</v>
      </c>
    </row>
    <row r="2285" spans="1:24">
      <c r="A2285">
        <f>HYPERLINK("https://www.philgeps.gov.ph/GEPSNONPILOT/Tender/SplashBidNoticeAbstractUI.aspx?menuIndex=3&amp;refID=7191524&amp;Result=3","7191524")</f>
        <v>0</v>
      </c>
      <c r="B2285" t="s">
        <v>929</v>
      </c>
      <c r="C2285" t="s">
        <v>5713</v>
      </c>
      <c r="D2285" t="s">
        <v>17208</v>
      </c>
      <c r="E2285" t="s">
        <v>19263</v>
      </c>
      <c r="F2285" t="s">
        <v>29372</v>
      </c>
      <c r="G2285" t="s">
        <v>29379</v>
      </c>
      <c r="H2285" t="s">
        <v>11048</v>
      </c>
      <c r="I2285" t="s">
        <v>29433</v>
      </c>
      <c r="J2285" t="s">
        <v>31132</v>
      </c>
      <c r="K2285" t="s">
        <v>38510</v>
      </c>
      <c r="M2285" t="s">
        <v>39724</v>
      </c>
      <c r="N2285" t="s">
        <v>42669</v>
      </c>
      <c r="O2285" t="s">
        <v>42670</v>
      </c>
      <c r="P2285">
        <v>0</v>
      </c>
      <c r="Q2285">
        <v>2</v>
      </c>
      <c r="R2285" t="s">
        <v>42674</v>
      </c>
      <c r="S2285" t="s">
        <v>42788</v>
      </c>
      <c r="T2285" t="s">
        <v>44394</v>
      </c>
      <c r="U2285" t="s">
        <v>46730</v>
      </c>
      <c r="W2285" t="s">
        <v>39724</v>
      </c>
      <c r="X2285" t="s">
        <v>42676</v>
      </c>
    </row>
    <row r="2286" spans="1:24">
      <c r="A2286">
        <f>HYPERLINK("https://www.philgeps.gov.ph/GEPSNONPILOT/Tender/SplashBidNoticeAbstractUI.aspx?menuIndex=3&amp;refID=7191522&amp;Result=3","7191522")</f>
        <v>0</v>
      </c>
      <c r="B2286" t="s">
        <v>930</v>
      </c>
      <c r="C2286" t="s">
        <v>5714</v>
      </c>
      <c r="D2286" t="s">
        <v>17179</v>
      </c>
      <c r="E2286" t="s">
        <v>17533</v>
      </c>
      <c r="F2286" t="s">
        <v>29372</v>
      </c>
      <c r="G2286" t="s">
        <v>29380</v>
      </c>
      <c r="H2286" t="s">
        <v>29389</v>
      </c>
      <c r="I2286" t="s">
        <v>10408</v>
      </c>
      <c r="J2286" t="s">
        <v>31133</v>
      </c>
      <c r="K2286" t="s">
        <v>38509</v>
      </c>
      <c r="M2286" t="s">
        <v>39725</v>
      </c>
      <c r="N2286" t="s">
        <v>42669</v>
      </c>
      <c r="O2286" t="s">
        <v>42670</v>
      </c>
      <c r="P2286">
        <v>0</v>
      </c>
      <c r="Q2286">
        <v>0</v>
      </c>
      <c r="R2286" t="s">
        <v>42674</v>
      </c>
      <c r="S2286" t="s">
        <v>42788</v>
      </c>
      <c r="T2286" t="s">
        <v>44557</v>
      </c>
      <c r="U2286" t="s">
        <v>46731</v>
      </c>
      <c r="W2286" t="s">
        <v>39725</v>
      </c>
      <c r="X2286" t="s">
        <v>42676</v>
      </c>
    </row>
    <row r="2287" spans="1:24">
      <c r="A2287">
        <f>HYPERLINK("https://www.philgeps.gov.ph/GEPSNONPILOT/Tender/SplashBidNoticeAbstractUI.aspx?menuIndex=3&amp;refID=7191521&amp;Result=3","7191521")</f>
        <v>0</v>
      </c>
      <c r="B2287" t="s">
        <v>931</v>
      </c>
      <c r="C2287" t="s">
        <v>5715</v>
      </c>
      <c r="D2287" t="s">
        <v>17170</v>
      </c>
      <c r="E2287" t="s">
        <v>19264</v>
      </c>
      <c r="F2287" t="s">
        <v>29372</v>
      </c>
      <c r="G2287" t="s">
        <v>29379</v>
      </c>
      <c r="H2287" t="s">
        <v>29390</v>
      </c>
      <c r="I2287" t="s">
        <v>3839</v>
      </c>
      <c r="J2287" t="s">
        <v>30674</v>
      </c>
      <c r="K2287" t="s">
        <v>38487</v>
      </c>
      <c r="M2287" t="s">
        <v>39726</v>
      </c>
      <c r="N2287" t="s">
        <v>42669</v>
      </c>
      <c r="O2287" t="s">
        <v>42670</v>
      </c>
      <c r="P2287">
        <v>0</v>
      </c>
      <c r="Q2287">
        <v>1</v>
      </c>
      <c r="R2287" t="s">
        <v>42674</v>
      </c>
      <c r="S2287" t="s">
        <v>42788</v>
      </c>
      <c r="T2287" t="s">
        <v>44488</v>
      </c>
      <c r="U2287" t="s">
        <v>46732</v>
      </c>
      <c r="W2287" t="s">
        <v>39726</v>
      </c>
      <c r="X2287" t="s">
        <v>42676</v>
      </c>
    </row>
    <row r="2288" spans="1:24">
      <c r="A2288">
        <f>HYPERLINK("https://www.philgeps.gov.ph/GEPSNONPILOT/Tender/SplashBidNoticeAbstractUI.aspx?menuIndex=3&amp;refID=7191520&amp;Result=3","7191520")</f>
        <v>0</v>
      </c>
      <c r="B2288" t="s">
        <v>586</v>
      </c>
      <c r="C2288" t="s">
        <v>5716</v>
      </c>
      <c r="D2288" t="s">
        <v>17161</v>
      </c>
      <c r="E2288" t="s">
        <v>19265</v>
      </c>
      <c r="F2288" t="s">
        <v>29372</v>
      </c>
      <c r="G2288" t="s">
        <v>29383</v>
      </c>
      <c r="H2288" t="s">
        <v>11048</v>
      </c>
      <c r="I2288" t="s">
        <v>4709</v>
      </c>
      <c r="J2288" t="s">
        <v>31134</v>
      </c>
      <c r="K2288" t="s">
        <v>38490</v>
      </c>
      <c r="M2288" t="s">
        <v>39682</v>
      </c>
      <c r="N2288" t="s">
        <v>42669</v>
      </c>
      <c r="O2288" t="s">
        <v>42670</v>
      </c>
      <c r="P2288">
        <v>0</v>
      </c>
      <c r="Q2288">
        <v>0</v>
      </c>
      <c r="R2288" t="s">
        <v>42674</v>
      </c>
      <c r="S2288" t="s">
        <v>42788</v>
      </c>
      <c r="T2288" t="s">
        <v>44488</v>
      </c>
      <c r="U2288" t="s">
        <v>46733</v>
      </c>
      <c r="W2288" t="s">
        <v>39682</v>
      </c>
      <c r="X2288" t="s">
        <v>42676</v>
      </c>
    </row>
    <row r="2289" spans="1:24">
      <c r="A2289">
        <f>HYPERLINK("https://www.philgeps.gov.ph/GEPSNONPILOT/Tender/SplashBidNoticeAbstractUI.aspx?menuIndex=3&amp;refID=7191516&amp;Result=3","7191516")</f>
        <v>0</v>
      </c>
      <c r="B2289" t="s">
        <v>932</v>
      </c>
      <c r="C2289" t="s">
        <v>5717</v>
      </c>
      <c r="D2289" t="s">
        <v>17174</v>
      </c>
      <c r="E2289" t="s">
        <v>19266</v>
      </c>
      <c r="F2289" t="s">
        <v>29372</v>
      </c>
      <c r="G2289" t="s">
        <v>29379</v>
      </c>
      <c r="H2289" t="s">
        <v>11048</v>
      </c>
      <c r="I2289" t="s">
        <v>29438</v>
      </c>
      <c r="J2289" t="s">
        <v>31135</v>
      </c>
      <c r="K2289" t="s">
        <v>38528</v>
      </c>
      <c r="M2289" t="s">
        <v>39727</v>
      </c>
      <c r="N2289" t="s">
        <v>42669</v>
      </c>
      <c r="O2289" t="s">
        <v>42670</v>
      </c>
      <c r="P2289">
        <v>0</v>
      </c>
      <c r="Q2289">
        <v>0</v>
      </c>
      <c r="R2289" t="s">
        <v>42674</v>
      </c>
      <c r="S2289" t="s">
        <v>42788</v>
      </c>
      <c r="T2289" t="s">
        <v>44371</v>
      </c>
      <c r="U2289" t="s">
        <v>46734</v>
      </c>
      <c r="W2289" t="s">
        <v>39727</v>
      </c>
      <c r="X2289" t="s">
        <v>42676</v>
      </c>
    </row>
    <row r="2290" spans="1:24">
      <c r="A2290">
        <f>HYPERLINK("https://www.philgeps.gov.ph/GEPSNONPILOT/Tender/SplashBidNoticeAbstractUI.aspx?menuIndex=3&amp;refID=7191531&amp;Result=3","7191531")</f>
        <v>0</v>
      </c>
      <c r="B2290" t="s">
        <v>911</v>
      </c>
      <c r="C2290" t="s">
        <v>5718</v>
      </c>
      <c r="D2290" t="s">
        <v>17144</v>
      </c>
      <c r="E2290" t="s">
        <v>19267</v>
      </c>
      <c r="F2290" t="s">
        <v>29372</v>
      </c>
      <c r="G2290" t="s">
        <v>29379</v>
      </c>
      <c r="H2290" t="s">
        <v>11048</v>
      </c>
      <c r="I2290" t="s">
        <v>4487</v>
      </c>
      <c r="J2290" t="s">
        <v>31136</v>
      </c>
      <c r="K2290" t="s">
        <v>38491</v>
      </c>
      <c r="M2290" t="s">
        <v>39704</v>
      </c>
      <c r="N2290" t="s">
        <v>42669</v>
      </c>
      <c r="O2290" t="s">
        <v>42670</v>
      </c>
      <c r="P2290">
        <v>0</v>
      </c>
      <c r="Q2290">
        <v>1</v>
      </c>
      <c r="R2290" t="s">
        <v>42674</v>
      </c>
      <c r="S2290" t="s">
        <v>42788</v>
      </c>
      <c r="T2290" t="s">
        <v>44432</v>
      </c>
      <c r="U2290" t="s">
        <v>46735</v>
      </c>
      <c r="W2290" t="s">
        <v>39704</v>
      </c>
      <c r="X2290" t="s">
        <v>42676</v>
      </c>
    </row>
    <row r="2291" spans="1:24">
      <c r="A2291">
        <f>HYPERLINK("https://www.philgeps.gov.ph/GEPSNONPILOT/Tender/SplashBidNoticeAbstractUI.aspx?menuIndex=3&amp;refID=7191515&amp;Result=3","7191515")</f>
        <v>0</v>
      </c>
      <c r="B2291" t="s">
        <v>916</v>
      </c>
      <c r="C2291" t="s">
        <v>5638</v>
      </c>
      <c r="D2291" t="s">
        <v>17193</v>
      </c>
      <c r="E2291" t="s">
        <v>19268</v>
      </c>
      <c r="F2291" t="s">
        <v>29372</v>
      </c>
      <c r="G2291" t="s">
        <v>29382</v>
      </c>
      <c r="H2291" t="s">
        <v>11048</v>
      </c>
      <c r="I2291" t="s">
        <v>5383</v>
      </c>
      <c r="J2291" t="s">
        <v>31137</v>
      </c>
      <c r="K2291" t="s">
        <v>38510</v>
      </c>
      <c r="M2291" t="s">
        <v>39711</v>
      </c>
      <c r="N2291" t="s">
        <v>42669</v>
      </c>
      <c r="O2291" t="s">
        <v>42670</v>
      </c>
      <c r="P2291">
        <v>0</v>
      </c>
      <c r="Q2291">
        <v>0</v>
      </c>
      <c r="R2291" t="s">
        <v>42674</v>
      </c>
      <c r="S2291" t="s">
        <v>42788</v>
      </c>
      <c r="T2291" t="s">
        <v>44470</v>
      </c>
      <c r="U2291" t="s">
        <v>46736</v>
      </c>
      <c r="W2291" t="s">
        <v>39711</v>
      </c>
      <c r="X2291" t="s">
        <v>42676</v>
      </c>
    </row>
    <row r="2292" spans="1:24">
      <c r="A2292">
        <f>HYPERLINK("https://www.philgeps.gov.ph/GEPSNONPILOT/Tender/SplashBidNoticeAbstractUI.aspx?menuIndex=3&amp;refID=7191513&amp;Result=3","7191513")</f>
        <v>0</v>
      </c>
      <c r="B2292" t="s">
        <v>933</v>
      </c>
      <c r="C2292" t="s">
        <v>5719</v>
      </c>
      <c r="E2292" t="s">
        <v>19269</v>
      </c>
      <c r="F2292" t="s">
        <v>29372</v>
      </c>
      <c r="G2292" t="s">
        <v>29379</v>
      </c>
      <c r="H2292" t="s">
        <v>11048</v>
      </c>
      <c r="I2292" t="s">
        <v>3839</v>
      </c>
      <c r="J2292" t="s">
        <v>31138</v>
      </c>
      <c r="K2292" t="s">
        <v>38490</v>
      </c>
      <c r="M2292" t="s">
        <v>39728</v>
      </c>
      <c r="N2292" t="s">
        <v>42669</v>
      </c>
      <c r="O2292" t="s">
        <v>42670</v>
      </c>
      <c r="P2292">
        <v>0</v>
      </c>
      <c r="Q2292">
        <v>2</v>
      </c>
      <c r="R2292" t="s">
        <v>42674</v>
      </c>
      <c r="S2292" t="s">
        <v>42788</v>
      </c>
      <c r="T2292" t="s">
        <v>44417</v>
      </c>
      <c r="U2292" t="s">
        <v>46737</v>
      </c>
      <c r="V2292" t="s">
        <v>56586</v>
      </c>
      <c r="W2292" t="s">
        <v>39728</v>
      </c>
      <c r="X2292" t="s">
        <v>42676</v>
      </c>
    </row>
    <row r="2293" spans="1:24">
      <c r="A2293">
        <f>HYPERLINK("https://www.philgeps.gov.ph/GEPSNONPILOT/Tender/SplashBidNoticeAbstractUI.aspx?menuIndex=3&amp;refID=7191059&amp;Result=3","7191059")</f>
        <v>0</v>
      </c>
      <c r="B2293" t="s">
        <v>891</v>
      </c>
      <c r="C2293" t="s">
        <v>5720</v>
      </c>
      <c r="D2293" t="s">
        <v>17158</v>
      </c>
      <c r="E2293" t="s">
        <v>17947</v>
      </c>
      <c r="F2293" t="s">
        <v>29372</v>
      </c>
      <c r="G2293" t="s">
        <v>29381</v>
      </c>
      <c r="H2293" t="s">
        <v>11048</v>
      </c>
      <c r="I2293" t="s">
        <v>8614</v>
      </c>
      <c r="J2293" t="s">
        <v>31139</v>
      </c>
      <c r="K2293" t="s">
        <v>38485</v>
      </c>
      <c r="M2293" t="s">
        <v>39684</v>
      </c>
      <c r="N2293" t="s">
        <v>42669</v>
      </c>
      <c r="O2293" t="s">
        <v>42670</v>
      </c>
      <c r="P2293">
        <v>0</v>
      </c>
      <c r="Q2293">
        <v>0</v>
      </c>
      <c r="R2293" t="s">
        <v>42674</v>
      </c>
      <c r="S2293" t="s">
        <v>42788</v>
      </c>
      <c r="T2293" t="s">
        <v>44488</v>
      </c>
      <c r="U2293" t="s">
        <v>46738</v>
      </c>
      <c r="W2293" t="s">
        <v>39684</v>
      </c>
      <c r="X2293" t="s">
        <v>42676</v>
      </c>
    </row>
    <row r="2294" spans="1:24">
      <c r="A2294">
        <f>HYPERLINK("https://www.philgeps.gov.ph/GEPSNONPILOT/Tender/SplashBidNoticeAbstractUI.aspx?menuIndex=3&amp;refID=7191512&amp;Result=3","7191512")</f>
        <v>0</v>
      </c>
      <c r="B2294" t="s">
        <v>914</v>
      </c>
      <c r="C2294" t="s">
        <v>5721</v>
      </c>
      <c r="D2294" t="s">
        <v>17154</v>
      </c>
      <c r="E2294" t="s">
        <v>19270</v>
      </c>
      <c r="F2294" t="s">
        <v>29372</v>
      </c>
      <c r="G2294" t="s">
        <v>29380</v>
      </c>
      <c r="H2294" t="s">
        <v>11048</v>
      </c>
      <c r="I2294" t="s">
        <v>29426</v>
      </c>
      <c r="J2294" t="s">
        <v>29801</v>
      </c>
      <c r="K2294" t="s">
        <v>38488</v>
      </c>
      <c r="M2294" t="s">
        <v>39707</v>
      </c>
      <c r="N2294" t="s">
        <v>42669</v>
      </c>
      <c r="O2294" t="s">
        <v>42670</v>
      </c>
      <c r="P2294">
        <v>0</v>
      </c>
      <c r="Q2294">
        <v>4</v>
      </c>
      <c r="R2294" t="s">
        <v>42674</v>
      </c>
      <c r="S2294" t="s">
        <v>42788</v>
      </c>
      <c r="T2294" t="s">
        <v>44456</v>
      </c>
      <c r="U2294" t="s">
        <v>46739</v>
      </c>
      <c r="W2294" t="s">
        <v>58025</v>
      </c>
      <c r="X2294" t="s">
        <v>42676</v>
      </c>
    </row>
    <row r="2295" spans="1:24">
      <c r="A2295">
        <f>HYPERLINK("https://www.philgeps.gov.ph/GEPSNONPILOT/Tender/SplashBidNoticeAbstractUI.aspx?menuIndex=3&amp;refID=7191510&amp;Result=3","7191510")</f>
        <v>0</v>
      </c>
      <c r="B2295" t="s">
        <v>413</v>
      </c>
      <c r="C2295" t="s">
        <v>5722</v>
      </c>
      <c r="D2295" t="s">
        <v>17141</v>
      </c>
      <c r="E2295" t="s">
        <v>19271</v>
      </c>
      <c r="F2295" t="s">
        <v>29372</v>
      </c>
      <c r="G2295" t="s">
        <v>29382</v>
      </c>
      <c r="H2295" t="s">
        <v>11048</v>
      </c>
      <c r="I2295" t="s">
        <v>4487</v>
      </c>
      <c r="J2295" t="s">
        <v>31140</v>
      </c>
      <c r="K2295" t="s">
        <v>38485</v>
      </c>
      <c r="M2295" t="s">
        <v>39708</v>
      </c>
      <c r="N2295" t="s">
        <v>42669</v>
      </c>
      <c r="O2295" t="s">
        <v>42670</v>
      </c>
      <c r="P2295">
        <v>0</v>
      </c>
      <c r="Q2295">
        <v>13</v>
      </c>
      <c r="R2295" t="s">
        <v>42674</v>
      </c>
      <c r="S2295" t="s">
        <v>42788</v>
      </c>
      <c r="T2295" t="s">
        <v>44437</v>
      </c>
      <c r="U2295" t="s">
        <v>46704</v>
      </c>
      <c r="V2295" t="s">
        <v>56582</v>
      </c>
      <c r="W2295" t="s">
        <v>39708</v>
      </c>
      <c r="X2295" t="s">
        <v>42676</v>
      </c>
    </row>
    <row r="2296" spans="1:24">
      <c r="A2296">
        <f>HYPERLINK("https://www.philgeps.gov.ph/GEPSNONPILOT/Tender/SplashBidNoticeAbstractUI.aspx?menuIndex=3&amp;refID=7191518&amp;Result=3","7191518")</f>
        <v>0</v>
      </c>
      <c r="B2296" t="s">
        <v>934</v>
      </c>
      <c r="C2296" t="s">
        <v>5723</v>
      </c>
      <c r="D2296" t="s">
        <v>17175</v>
      </c>
      <c r="E2296" t="s">
        <v>19272</v>
      </c>
      <c r="F2296" t="s">
        <v>29372</v>
      </c>
      <c r="G2296" t="s">
        <v>29380</v>
      </c>
      <c r="H2296" t="s">
        <v>11048</v>
      </c>
      <c r="I2296" t="s">
        <v>29396</v>
      </c>
      <c r="J2296" t="s">
        <v>31141</v>
      </c>
      <c r="K2296" t="s">
        <v>38490</v>
      </c>
      <c r="M2296" t="s">
        <v>39729</v>
      </c>
      <c r="N2296" t="s">
        <v>42669</v>
      </c>
      <c r="O2296" t="s">
        <v>42670</v>
      </c>
      <c r="P2296">
        <v>0</v>
      </c>
      <c r="Q2296">
        <v>0</v>
      </c>
      <c r="R2296" t="s">
        <v>42674</v>
      </c>
      <c r="S2296" t="s">
        <v>42788</v>
      </c>
      <c r="T2296" t="s">
        <v>44444</v>
      </c>
      <c r="U2296" t="s">
        <v>46740</v>
      </c>
      <c r="W2296" t="s">
        <v>39729</v>
      </c>
      <c r="X2296" t="s">
        <v>42676</v>
      </c>
    </row>
    <row r="2297" spans="1:24">
      <c r="A2297">
        <f>HYPERLINK("https://www.philgeps.gov.ph/GEPSNONPILOT/Tender/SplashBidNoticeAbstractUI.aspx?menuIndex=3&amp;refID=7191507&amp;Result=3","7191507")</f>
        <v>0</v>
      </c>
      <c r="B2297" t="s">
        <v>935</v>
      </c>
      <c r="C2297" t="s">
        <v>5724</v>
      </c>
      <c r="D2297" t="s">
        <v>17183</v>
      </c>
      <c r="E2297" t="s">
        <v>18741</v>
      </c>
      <c r="F2297" t="s">
        <v>29372</v>
      </c>
      <c r="G2297" t="s">
        <v>29380</v>
      </c>
      <c r="H2297" t="s">
        <v>29389</v>
      </c>
      <c r="I2297" t="s">
        <v>10408</v>
      </c>
      <c r="J2297" t="s">
        <v>31142</v>
      </c>
      <c r="K2297" t="s">
        <v>38491</v>
      </c>
      <c r="M2297" t="s">
        <v>39730</v>
      </c>
      <c r="N2297" t="s">
        <v>42669</v>
      </c>
      <c r="O2297" t="s">
        <v>42670</v>
      </c>
      <c r="P2297">
        <v>0</v>
      </c>
      <c r="Q2297">
        <v>1</v>
      </c>
      <c r="R2297" t="s">
        <v>42674</v>
      </c>
      <c r="S2297" t="s">
        <v>42788</v>
      </c>
      <c r="T2297" t="s">
        <v>44470</v>
      </c>
      <c r="U2297" t="s">
        <v>46741</v>
      </c>
      <c r="W2297" t="s">
        <v>39730</v>
      </c>
      <c r="X2297" t="s">
        <v>42676</v>
      </c>
    </row>
    <row r="2298" spans="1:24">
      <c r="A2298">
        <f>HYPERLINK("https://www.philgeps.gov.ph/GEPSNONPILOT/Tender/SplashBidNoticeAbstractUI.aspx?menuIndex=3&amp;refID=7191505&amp;Result=3","7191505")</f>
        <v>0</v>
      </c>
      <c r="B2298" t="s">
        <v>119</v>
      </c>
      <c r="C2298" t="s">
        <v>5725</v>
      </c>
      <c r="D2298" t="s">
        <v>17141</v>
      </c>
      <c r="E2298" t="s">
        <v>19273</v>
      </c>
      <c r="F2298" t="s">
        <v>29372</v>
      </c>
      <c r="G2298" t="s">
        <v>29379</v>
      </c>
      <c r="H2298" t="s">
        <v>11048</v>
      </c>
      <c r="I2298" t="s">
        <v>8614</v>
      </c>
      <c r="J2298" t="s">
        <v>31143</v>
      </c>
      <c r="K2298" t="s">
        <v>38580</v>
      </c>
      <c r="M2298" t="s">
        <v>38874</v>
      </c>
      <c r="N2298" t="s">
        <v>42669</v>
      </c>
      <c r="O2298" t="s">
        <v>42670</v>
      </c>
      <c r="P2298">
        <v>0</v>
      </c>
      <c r="Q2298">
        <v>4</v>
      </c>
      <c r="R2298" t="s">
        <v>42674</v>
      </c>
      <c r="S2298" t="s">
        <v>42788</v>
      </c>
      <c r="T2298" t="s">
        <v>44414</v>
      </c>
      <c r="U2298" t="s">
        <v>46742</v>
      </c>
      <c r="V2298" t="s">
        <v>56587</v>
      </c>
      <c r="W2298" t="s">
        <v>38874</v>
      </c>
      <c r="X2298" t="s">
        <v>42676</v>
      </c>
    </row>
    <row r="2299" spans="1:24">
      <c r="A2299">
        <f>HYPERLINK("https://www.philgeps.gov.ph/GEPSNONPILOT/Tender/SplashBidNoticeAbstractUI.aspx?menuIndex=3&amp;refID=7191514&amp;Result=3","7191514")</f>
        <v>0</v>
      </c>
      <c r="B2299" t="s">
        <v>936</v>
      </c>
      <c r="C2299" t="s">
        <v>5726</v>
      </c>
      <c r="D2299" t="s">
        <v>17186</v>
      </c>
      <c r="E2299" t="s">
        <v>19274</v>
      </c>
      <c r="F2299" t="s">
        <v>29372</v>
      </c>
      <c r="G2299" t="s">
        <v>29380</v>
      </c>
      <c r="H2299" t="s">
        <v>11048</v>
      </c>
      <c r="I2299" t="s">
        <v>3670</v>
      </c>
      <c r="J2299" t="s">
        <v>31144</v>
      </c>
      <c r="K2299" t="s">
        <v>38489</v>
      </c>
      <c r="M2299" t="s">
        <v>39731</v>
      </c>
      <c r="N2299" t="s">
        <v>42669</v>
      </c>
      <c r="O2299" t="s">
        <v>42670</v>
      </c>
      <c r="P2299">
        <v>0</v>
      </c>
      <c r="Q2299">
        <v>2</v>
      </c>
      <c r="R2299" t="s">
        <v>42674</v>
      </c>
      <c r="S2299" t="s">
        <v>42788</v>
      </c>
      <c r="T2299" t="s">
        <v>44419</v>
      </c>
      <c r="U2299" t="s">
        <v>46743</v>
      </c>
      <c r="W2299" t="s">
        <v>39731</v>
      </c>
      <c r="X2299" t="s">
        <v>42676</v>
      </c>
    </row>
    <row r="2300" spans="1:24">
      <c r="A2300">
        <f>HYPERLINK("https://www.philgeps.gov.ph/GEPSNONPILOT/Tender/SplashBidNoticeAbstractUI.aspx?menuIndex=3&amp;refID=7191058&amp;Result=3","7191058")</f>
        <v>0</v>
      </c>
      <c r="B2300" t="s">
        <v>272</v>
      </c>
      <c r="C2300" t="s">
        <v>5520</v>
      </c>
      <c r="D2300" t="s">
        <v>17206</v>
      </c>
      <c r="E2300" t="s">
        <v>19275</v>
      </c>
      <c r="F2300" t="s">
        <v>29372</v>
      </c>
      <c r="G2300" t="s">
        <v>29379</v>
      </c>
      <c r="H2300" t="s">
        <v>11048</v>
      </c>
      <c r="I2300" t="s">
        <v>14920</v>
      </c>
      <c r="J2300" t="s">
        <v>29680</v>
      </c>
      <c r="K2300" t="s">
        <v>38490</v>
      </c>
      <c r="M2300" t="s">
        <v>39619</v>
      </c>
      <c r="N2300" t="s">
        <v>42669</v>
      </c>
      <c r="O2300" t="s">
        <v>42670</v>
      </c>
      <c r="P2300">
        <v>0</v>
      </c>
      <c r="Q2300">
        <v>0</v>
      </c>
      <c r="R2300" t="s">
        <v>42674</v>
      </c>
      <c r="S2300" t="s">
        <v>42788</v>
      </c>
      <c r="T2300" t="s">
        <v>44386</v>
      </c>
      <c r="U2300" t="s">
        <v>46561</v>
      </c>
      <c r="W2300" t="s">
        <v>39619</v>
      </c>
      <c r="X2300" t="s">
        <v>42676</v>
      </c>
    </row>
    <row r="2301" spans="1:24">
      <c r="A2301">
        <f>HYPERLINK("https://www.philgeps.gov.ph/GEPSNONPILOT/Tender/SplashBidNoticeAbstractUI.aspx?menuIndex=3&amp;refID=7191206&amp;Result=3","7191206")</f>
        <v>0</v>
      </c>
      <c r="B2301" t="s">
        <v>844</v>
      </c>
      <c r="C2301" t="s">
        <v>5727</v>
      </c>
      <c r="D2301" t="s">
        <v>17219</v>
      </c>
      <c r="E2301" t="s">
        <v>19276</v>
      </c>
      <c r="F2301" t="s">
        <v>29372</v>
      </c>
      <c r="G2301" t="s">
        <v>29379</v>
      </c>
      <c r="H2301" t="s">
        <v>11048</v>
      </c>
      <c r="I2301" t="s">
        <v>3670</v>
      </c>
      <c r="J2301" t="s">
        <v>31145</v>
      </c>
      <c r="K2301" t="s">
        <v>38485</v>
      </c>
      <c r="M2301" t="s">
        <v>39634</v>
      </c>
      <c r="N2301" t="s">
        <v>42669</v>
      </c>
      <c r="O2301" t="s">
        <v>42670</v>
      </c>
      <c r="P2301">
        <v>0</v>
      </c>
      <c r="Q2301">
        <v>1</v>
      </c>
      <c r="R2301" t="s">
        <v>42674</v>
      </c>
      <c r="S2301" t="s">
        <v>42788</v>
      </c>
      <c r="T2301" t="s">
        <v>44387</v>
      </c>
      <c r="U2301" t="s">
        <v>46577</v>
      </c>
      <c r="W2301" t="s">
        <v>39634</v>
      </c>
      <c r="X2301" t="s">
        <v>42676</v>
      </c>
    </row>
    <row r="2302" spans="1:24">
      <c r="A2302">
        <f>HYPERLINK("https://www.philgeps.gov.ph/GEPSNONPILOT/Tender/SplashBidNoticeAbstractUI.aspx?menuIndex=3&amp;refID=7191325&amp;Result=3","7191325")</f>
        <v>0</v>
      </c>
      <c r="B2302" t="s">
        <v>937</v>
      </c>
      <c r="C2302" t="s">
        <v>5728</v>
      </c>
      <c r="E2302" t="s">
        <v>19277</v>
      </c>
      <c r="F2302" t="s">
        <v>29372</v>
      </c>
      <c r="G2302" t="s">
        <v>29380</v>
      </c>
      <c r="H2302" t="s">
        <v>29389</v>
      </c>
      <c r="I2302" t="s">
        <v>10408</v>
      </c>
      <c r="J2302" t="s">
        <v>31146</v>
      </c>
      <c r="K2302" t="s">
        <v>38490</v>
      </c>
      <c r="M2302" t="s">
        <v>39732</v>
      </c>
      <c r="N2302" t="s">
        <v>42669</v>
      </c>
      <c r="O2302" t="s">
        <v>42670</v>
      </c>
      <c r="P2302">
        <v>0</v>
      </c>
      <c r="Q2302">
        <v>12</v>
      </c>
      <c r="R2302" t="s">
        <v>42674</v>
      </c>
      <c r="S2302" t="s">
        <v>42788</v>
      </c>
      <c r="T2302" t="s">
        <v>44503</v>
      </c>
      <c r="U2302" t="s">
        <v>46744</v>
      </c>
      <c r="W2302" t="s">
        <v>58026</v>
      </c>
      <c r="X2302" t="s">
        <v>42676</v>
      </c>
    </row>
    <row r="2303" spans="1:24">
      <c r="A2303">
        <f>HYPERLINK("https://www.philgeps.gov.ph/GEPSNONPILOT/Tender/SplashBidNoticeAbstractUI.aspx?menuIndex=3&amp;refID=7191057&amp;Result=3","7191057")</f>
        <v>0</v>
      </c>
      <c r="B2303" t="s">
        <v>867</v>
      </c>
      <c r="C2303" t="s">
        <v>3942</v>
      </c>
      <c r="D2303" t="s">
        <v>17226</v>
      </c>
      <c r="E2303" t="s">
        <v>19278</v>
      </c>
      <c r="F2303" t="s">
        <v>29372</v>
      </c>
      <c r="G2303" t="s">
        <v>29380</v>
      </c>
      <c r="H2303" t="s">
        <v>11048</v>
      </c>
      <c r="I2303" t="s">
        <v>5383</v>
      </c>
      <c r="J2303" t="s">
        <v>31147</v>
      </c>
      <c r="K2303" t="s">
        <v>38503</v>
      </c>
      <c r="L2303" t="s">
        <v>867</v>
      </c>
      <c r="M2303" t="s">
        <v>39659</v>
      </c>
      <c r="N2303" t="s">
        <v>42669</v>
      </c>
      <c r="O2303" t="s">
        <v>42670</v>
      </c>
      <c r="P2303">
        <v>0</v>
      </c>
      <c r="Q2303">
        <v>0</v>
      </c>
      <c r="R2303" t="s">
        <v>42674</v>
      </c>
      <c r="S2303" t="s">
        <v>42788</v>
      </c>
      <c r="T2303" t="s">
        <v>44542</v>
      </c>
      <c r="U2303" t="s">
        <v>46745</v>
      </c>
      <c r="W2303" t="s">
        <v>39659</v>
      </c>
      <c r="X2303" t="s">
        <v>42676</v>
      </c>
    </row>
    <row r="2304" spans="1:24">
      <c r="A2304">
        <f>HYPERLINK("https://www.philgeps.gov.ph/GEPSNONPILOT/Tender/SplashBidNoticeAbstractUI.aspx?menuIndex=3&amp;refID=7191023&amp;Result=3","7191023")</f>
        <v>0</v>
      </c>
      <c r="B2304" t="s">
        <v>272</v>
      </c>
      <c r="C2304" t="s">
        <v>4213</v>
      </c>
      <c r="D2304" t="s">
        <v>17206</v>
      </c>
      <c r="E2304" t="s">
        <v>19279</v>
      </c>
      <c r="F2304" t="s">
        <v>29372</v>
      </c>
      <c r="G2304" t="s">
        <v>29379</v>
      </c>
      <c r="H2304" t="s">
        <v>11048</v>
      </c>
      <c r="I2304" t="s">
        <v>3695</v>
      </c>
      <c r="J2304" t="s">
        <v>30442</v>
      </c>
      <c r="K2304" t="s">
        <v>38490</v>
      </c>
      <c r="M2304" t="s">
        <v>39619</v>
      </c>
      <c r="N2304" t="s">
        <v>42669</v>
      </c>
      <c r="O2304" t="s">
        <v>42670</v>
      </c>
      <c r="P2304">
        <v>0</v>
      </c>
      <c r="Q2304">
        <v>0</v>
      </c>
      <c r="R2304" t="s">
        <v>42674</v>
      </c>
      <c r="S2304" t="s">
        <v>42788</v>
      </c>
      <c r="T2304" t="s">
        <v>44386</v>
      </c>
      <c r="U2304" t="s">
        <v>46746</v>
      </c>
      <c r="W2304" t="s">
        <v>39619</v>
      </c>
      <c r="X2304" t="s">
        <v>42676</v>
      </c>
    </row>
    <row r="2305" spans="1:24">
      <c r="A2305">
        <f>HYPERLINK("https://www.philgeps.gov.ph/GEPSNONPILOT/Tender/SplashBidNoticeAbstractUI.aspx?menuIndex=3&amp;refID=7191020&amp;Result=3","7191020")</f>
        <v>0</v>
      </c>
      <c r="B2305" t="s">
        <v>118</v>
      </c>
      <c r="C2305" t="s">
        <v>5729</v>
      </c>
      <c r="D2305" t="s">
        <v>17141</v>
      </c>
      <c r="E2305" t="s">
        <v>19280</v>
      </c>
      <c r="F2305" t="s">
        <v>29372</v>
      </c>
      <c r="G2305" t="s">
        <v>29379</v>
      </c>
      <c r="H2305" t="s">
        <v>11048</v>
      </c>
      <c r="I2305" t="s">
        <v>29423</v>
      </c>
      <c r="J2305" t="s">
        <v>29555</v>
      </c>
      <c r="K2305" t="s">
        <v>38485</v>
      </c>
      <c r="M2305" t="s">
        <v>39618</v>
      </c>
      <c r="N2305" t="s">
        <v>42669</v>
      </c>
      <c r="O2305" t="s">
        <v>42670</v>
      </c>
      <c r="P2305">
        <v>0</v>
      </c>
      <c r="Q2305">
        <v>4</v>
      </c>
      <c r="R2305" t="s">
        <v>42674</v>
      </c>
      <c r="S2305" t="s">
        <v>42788</v>
      </c>
      <c r="T2305" t="s">
        <v>44349</v>
      </c>
      <c r="U2305" t="s">
        <v>46553</v>
      </c>
      <c r="W2305" t="s">
        <v>39618</v>
      </c>
      <c r="X2305" t="s">
        <v>42676</v>
      </c>
    </row>
    <row r="2306" spans="1:24">
      <c r="A2306">
        <f>HYPERLINK("https://www.philgeps.gov.ph/GEPSNONPILOT/Tender/SplashBidNoticeAbstractUI.aspx?menuIndex=3&amp;refID=7190985&amp;Result=3","7190985")</f>
        <v>0</v>
      </c>
      <c r="B2306" t="s">
        <v>877</v>
      </c>
      <c r="C2306" t="s">
        <v>5730</v>
      </c>
      <c r="D2306" t="s">
        <v>17174</v>
      </c>
      <c r="E2306" t="s">
        <v>19281</v>
      </c>
      <c r="F2306" t="s">
        <v>29375</v>
      </c>
      <c r="G2306" t="s">
        <v>29383</v>
      </c>
      <c r="H2306" t="s">
        <v>11048</v>
      </c>
      <c r="I2306" t="s">
        <v>29442</v>
      </c>
      <c r="J2306" t="s">
        <v>31148</v>
      </c>
      <c r="K2306" t="s">
        <v>38490</v>
      </c>
      <c r="M2306" t="s">
        <v>39669</v>
      </c>
      <c r="N2306" t="s">
        <v>42669</v>
      </c>
      <c r="O2306" t="s">
        <v>42670</v>
      </c>
      <c r="P2306">
        <v>0</v>
      </c>
      <c r="Q2306">
        <v>0</v>
      </c>
      <c r="R2306" t="s">
        <v>42674</v>
      </c>
      <c r="S2306" t="s">
        <v>42788</v>
      </c>
      <c r="T2306" t="s">
        <v>44512</v>
      </c>
      <c r="U2306" t="s">
        <v>46747</v>
      </c>
      <c r="W2306" t="s">
        <v>39669</v>
      </c>
      <c r="X2306" t="s">
        <v>42676</v>
      </c>
    </row>
    <row r="2307" spans="1:24">
      <c r="A2307">
        <f>HYPERLINK("https://www.philgeps.gov.ph/GEPSNONPILOT/Tender/SplashBidNoticeAbstractUI.aspx?menuIndex=3&amp;refID=7191519&amp;Result=3","7191519")</f>
        <v>0</v>
      </c>
      <c r="B2307" t="s">
        <v>391</v>
      </c>
      <c r="C2307" t="s">
        <v>5731</v>
      </c>
      <c r="D2307" t="s">
        <v>17213</v>
      </c>
      <c r="E2307" t="s">
        <v>19282</v>
      </c>
      <c r="F2307" t="s">
        <v>29372</v>
      </c>
      <c r="G2307" t="s">
        <v>29383</v>
      </c>
      <c r="H2307" t="s">
        <v>11048</v>
      </c>
      <c r="I2307" t="s">
        <v>29393</v>
      </c>
      <c r="J2307" t="s">
        <v>31149</v>
      </c>
      <c r="K2307" t="s">
        <v>38491</v>
      </c>
      <c r="M2307" t="s">
        <v>39154</v>
      </c>
      <c r="N2307" t="s">
        <v>42669</v>
      </c>
      <c r="O2307" t="s">
        <v>42670</v>
      </c>
      <c r="P2307">
        <v>0</v>
      </c>
      <c r="Q2307">
        <v>0</v>
      </c>
      <c r="R2307" t="s">
        <v>42674</v>
      </c>
      <c r="S2307" t="s">
        <v>42788</v>
      </c>
      <c r="T2307" t="s">
        <v>44432</v>
      </c>
      <c r="U2307" t="s">
        <v>46748</v>
      </c>
      <c r="V2307" t="s">
        <v>56447</v>
      </c>
      <c r="W2307" t="s">
        <v>39154</v>
      </c>
      <c r="X2307" t="s">
        <v>42676</v>
      </c>
    </row>
    <row r="2308" spans="1:24">
      <c r="A2308">
        <f>HYPERLINK("https://www.philgeps.gov.ph/GEPSNONPILOT/Tender/SplashBidNoticeAbstractUI.aspx?menuIndex=3&amp;refID=7191504&amp;Result=3","7191504")</f>
        <v>0</v>
      </c>
      <c r="B2308" t="s">
        <v>938</v>
      </c>
      <c r="C2308" t="s">
        <v>5732</v>
      </c>
      <c r="E2308" t="s">
        <v>19283</v>
      </c>
      <c r="F2308" t="s">
        <v>29372</v>
      </c>
      <c r="G2308" t="s">
        <v>29380</v>
      </c>
      <c r="H2308" t="s">
        <v>29389</v>
      </c>
      <c r="I2308" t="s">
        <v>10408</v>
      </c>
      <c r="J2308" t="s">
        <v>31150</v>
      </c>
      <c r="K2308" t="s">
        <v>38490</v>
      </c>
      <c r="M2308" t="s">
        <v>39733</v>
      </c>
      <c r="N2308" t="s">
        <v>42669</v>
      </c>
      <c r="O2308" t="s">
        <v>42670</v>
      </c>
      <c r="Q2308">
        <v>0</v>
      </c>
      <c r="R2308" t="s">
        <v>42674</v>
      </c>
      <c r="S2308" t="s">
        <v>42799</v>
      </c>
      <c r="T2308" t="s">
        <v>44470</v>
      </c>
      <c r="U2308" t="s">
        <v>46749</v>
      </c>
      <c r="V2308" t="s">
        <v>56588</v>
      </c>
      <c r="W2308" t="s">
        <v>58027</v>
      </c>
      <c r="X2308" t="s">
        <v>42676</v>
      </c>
    </row>
    <row r="2309" spans="1:24">
      <c r="A2309">
        <f>HYPERLINK("https://www.philgeps.gov.ph/GEPSNONPILOT/Tender/SplashBidNoticeAbstractUI.aspx?menuIndex=3&amp;refID=7190984&amp;Result=3","7190984")</f>
        <v>0</v>
      </c>
      <c r="B2309" t="s">
        <v>817</v>
      </c>
      <c r="C2309" t="s">
        <v>5733</v>
      </c>
      <c r="D2309" t="s">
        <v>17227</v>
      </c>
      <c r="E2309" t="s">
        <v>19284</v>
      </c>
      <c r="F2309" t="s">
        <v>29372</v>
      </c>
      <c r="G2309" t="s">
        <v>29380</v>
      </c>
      <c r="H2309" t="s">
        <v>29389</v>
      </c>
      <c r="I2309" t="s">
        <v>4709</v>
      </c>
      <c r="J2309" t="s">
        <v>29625</v>
      </c>
      <c r="K2309" t="s">
        <v>38488</v>
      </c>
      <c r="M2309" t="s">
        <v>39603</v>
      </c>
      <c r="N2309" t="s">
        <v>42669</v>
      </c>
      <c r="O2309" t="s">
        <v>42670</v>
      </c>
      <c r="P2309">
        <v>0</v>
      </c>
      <c r="Q2309">
        <v>0</v>
      </c>
      <c r="R2309" t="s">
        <v>42674</v>
      </c>
      <c r="S2309" t="s">
        <v>42788</v>
      </c>
      <c r="T2309" t="s">
        <v>44565</v>
      </c>
      <c r="U2309" t="s">
        <v>46750</v>
      </c>
      <c r="V2309" t="s">
        <v>56589</v>
      </c>
      <c r="W2309" t="s">
        <v>39603</v>
      </c>
      <c r="X2309" t="s">
        <v>42676</v>
      </c>
    </row>
    <row r="2310" spans="1:24">
      <c r="A2310">
        <f>HYPERLINK("https://www.philgeps.gov.ph/GEPSNONPILOT/Tender/SplashBidNoticeAbstractUI.aspx?menuIndex=3&amp;refID=7190980&amp;Result=3","7190980")</f>
        <v>0</v>
      </c>
      <c r="B2310" t="s">
        <v>939</v>
      </c>
      <c r="C2310" t="s">
        <v>5734</v>
      </c>
      <c r="D2310" t="s">
        <v>17197</v>
      </c>
      <c r="E2310" t="s">
        <v>19220</v>
      </c>
      <c r="F2310" t="s">
        <v>29372</v>
      </c>
      <c r="G2310" t="s">
        <v>29383</v>
      </c>
      <c r="H2310" t="s">
        <v>11048</v>
      </c>
      <c r="I2310" t="s">
        <v>4487</v>
      </c>
      <c r="J2310" t="s">
        <v>31151</v>
      </c>
      <c r="K2310" t="s">
        <v>38511</v>
      </c>
      <c r="L2310" t="s">
        <v>939</v>
      </c>
      <c r="M2310" t="s">
        <v>39734</v>
      </c>
      <c r="N2310" t="s">
        <v>42669</v>
      </c>
      <c r="O2310" t="s">
        <v>42670</v>
      </c>
      <c r="P2310">
        <v>0</v>
      </c>
      <c r="Q2310">
        <v>0</v>
      </c>
      <c r="R2310" t="s">
        <v>42674</v>
      </c>
      <c r="S2310" t="s">
        <v>42788</v>
      </c>
      <c r="T2310" t="s">
        <v>44429</v>
      </c>
      <c r="U2310" t="s">
        <v>46751</v>
      </c>
      <c r="W2310" t="s">
        <v>39734</v>
      </c>
      <c r="X2310" t="s">
        <v>42676</v>
      </c>
    </row>
    <row r="2311" spans="1:24">
      <c r="A2311">
        <f>HYPERLINK("https://www.philgeps.gov.ph/GEPSNONPILOT/Tender/SplashBidNoticeAbstractUI.aspx?menuIndex=3&amp;refID=7190979&amp;Result=3","7190979")</f>
        <v>0</v>
      </c>
      <c r="B2311" t="s">
        <v>815</v>
      </c>
      <c r="C2311" t="s">
        <v>5735</v>
      </c>
      <c r="D2311" t="s">
        <v>17180</v>
      </c>
      <c r="E2311" t="s">
        <v>19285</v>
      </c>
      <c r="F2311" t="s">
        <v>29372</v>
      </c>
      <c r="G2311" t="s">
        <v>29382</v>
      </c>
      <c r="H2311" t="s">
        <v>11048</v>
      </c>
      <c r="I2311" t="s">
        <v>3695</v>
      </c>
      <c r="J2311" t="s">
        <v>31152</v>
      </c>
      <c r="K2311" t="s">
        <v>38490</v>
      </c>
      <c r="M2311" t="s">
        <v>39601</v>
      </c>
      <c r="N2311" t="s">
        <v>42669</v>
      </c>
      <c r="O2311" t="s">
        <v>42670</v>
      </c>
      <c r="P2311">
        <v>0</v>
      </c>
      <c r="Q2311">
        <v>1</v>
      </c>
      <c r="R2311" t="s">
        <v>42674</v>
      </c>
      <c r="S2311" t="s">
        <v>42788</v>
      </c>
      <c r="T2311" t="s">
        <v>44427</v>
      </c>
      <c r="U2311" t="s">
        <v>46752</v>
      </c>
      <c r="W2311" t="s">
        <v>39601</v>
      </c>
      <c r="X2311" t="s">
        <v>42676</v>
      </c>
    </row>
    <row r="2312" spans="1:24">
      <c r="A2312">
        <f>HYPERLINK("https://www.philgeps.gov.ph/GEPSNONPILOT/Tender/SplashBidNoticeAbstractUI.aspx?menuIndex=3&amp;refID=7191019&amp;Result=3","7191019")</f>
        <v>0</v>
      </c>
      <c r="B2312" t="s">
        <v>231</v>
      </c>
      <c r="C2312" t="s">
        <v>5736</v>
      </c>
      <c r="D2312" t="s">
        <v>17166</v>
      </c>
      <c r="E2312" t="s">
        <v>19286</v>
      </c>
      <c r="F2312" t="s">
        <v>29372</v>
      </c>
      <c r="G2312" t="s">
        <v>29382</v>
      </c>
      <c r="H2312" t="s">
        <v>11048</v>
      </c>
      <c r="I2312" t="s">
        <v>29401</v>
      </c>
      <c r="J2312" t="s">
        <v>31153</v>
      </c>
      <c r="K2312" t="s">
        <v>38490</v>
      </c>
      <c r="M2312" t="s">
        <v>39614</v>
      </c>
      <c r="N2312" t="s">
        <v>42669</v>
      </c>
      <c r="O2312" t="s">
        <v>42670</v>
      </c>
      <c r="P2312">
        <v>0</v>
      </c>
      <c r="Q2312">
        <v>1</v>
      </c>
      <c r="R2312" t="s">
        <v>42674</v>
      </c>
      <c r="S2312" t="s">
        <v>42788</v>
      </c>
      <c r="T2312" t="s">
        <v>44432</v>
      </c>
      <c r="U2312" t="s">
        <v>46542</v>
      </c>
      <c r="W2312" t="s">
        <v>39614</v>
      </c>
      <c r="X2312" t="s">
        <v>42676</v>
      </c>
    </row>
    <row r="2313" spans="1:24">
      <c r="A2313">
        <f>HYPERLINK("https://www.philgeps.gov.ph/GEPSNONPILOT/Tender/SplashBidNoticeAbstractUI.aspx?menuIndex=3&amp;refID=7191016&amp;Result=3","7191016")</f>
        <v>0</v>
      </c>
      <c r="B2313" t="s">
        <v>272</v>
      </c>
      <c r="C2313" t="s">
        <v>5737</v>
      </c>
      <c r="D2313" t="s">
        <v>17206</v>
      </c>
      <c r="E2313" t="s">
        <v>19287</v>
      </c>
      <c r="F2313" t="s">
        <v>29372</v>
      </c>
      <c r="G2313" t="s">
        <v>29382</v>
      </c>
      <c r="H2313" t="s">
        <v>11048</v>
      </c>
      <c r="I2313" t="s">
        <v>4487</v>
      </c>
      <c r="J2313" t="s">
        <v>29604</v>
      </c>
      <c r="K2313" t="s">
        <v>38490</v>
      </c>
      <c r="M2313" t="s">
        <v>39619</v>
      </c>
      <c r="N2313" t="s">
        <v>42669</v>
      </c>
      <c r="O2313" t="s">
        <v>42670</v>
      </c>
      <c r="P2313">
        <v>0</v>
      </c>
      <c r="Q2313">
        <v>2</v>
      </c>
      <c r="R2313" t="s">
        <v>42674</v>
      </c>
      <c r="S2313" t="s">
        <v>42788</v>
      </c>
      <c r="T2313" t="s">
        <v>44386</v>
      </c>
      <c r="U2313" t="s">
        <v>46753</v>
      </c>
      <c r="W2313" t="s">
        <v>39619</v>
      </c>
      <c r="X2313" t="s">
        <v>42676</v>
      </c>
    </row>
    <row r="2314" spans="1:24">
      <c r="A2314">
        <f>HYPERLINK("https://www.philgeps.gov.ph/GEPSNONPILOT/Tender/SplashBidNoticeAbstractUI.aspx?menuIndex=3&amp;refID=7190740&amp;Result=3","7190740")</f>
        <v>0</v>
      </c>
      <c r="B2314" t="s">
        <v>756</v>
      </c>
      <c r="C2314" t="s">
        <v>5738</v>
      </c>
      <c r="D2314" t="s">
        <v>17164</v>
      </c>
      <c r="E2314" t="s">
        <v>19288</v>
      </c>
      <c r="F2314" t="s">
        <v>29372</v>
      </c>
      <c r="G2314" t="s">
        <v>29380</v>
      </c>
      <c r="H2314" t="s">
        <v>29389</v>
      </c>
      <c r="I2314" t="s">
        <v>10408</v>
      </c>
      <c r="J2314" t="s">
        <v>31154</v>
      </c>
      <c r="K2314" t="s">
        <v>38488</v>
      </c>
      <c r="M2314" t="s">
        <v>39539</v>
      </c>
      <c r="N2314" t="s">
        <v>42669</v>
      </c>
      <c r="O2314" t="s">
        <v>42670</v>
      </c>
      <c r="P2314">
        <v>0</v>
      </c>
      <c r="Q2314">
        <v>0</v>
      </c>
      <c r="R2314" t="s">
        <v>42674</v>
      </c>
      <c r="S2314" t="s">
        <v>42788</v>
      </c>
      <c r="T2314" t="s">
        <v>44393</v>
      </c>
      <c r="U2314" t="s">
        <v>46754</v>
      </c>
      <c r="W2314" t="s">
        <v>39539</v>
      </c>
      <c r="X2314" t="s">
        <v>42676</v>
      </c>
    </row>
    <row r="2315" spans="1:24">
      <c r="A2315">
        <f>HYPERLINK("https://www.philgeps.gov.ph/GEPSNONPILOT/Tender/SplashBidNoticeAbstractUI.aspx?menuIndex=3&amp;refID=7190735&amp;Result=3","7190735")</f>
        <v>0</v>
      </c>
      <c r="B2315" t="s">
        <v>929</v>
      </c>
      <c r="C2315" t="s">
        <v>5739</v>
      </c>
      <c r="D2315" t="s">
        <v>17208</v>
      </c>
      <c r="E2315" t="s">
        <v>19289</v>
      </c>
      <c r="F2315" t="s">
        <v>29372</v>
      </c>
      <c r="G2315" t="s">
        <v>29379</v>
      </c>
      <c r="H2315" t="s">
        <v>11048</v>
      </c>
      <c r="I2315" t="s">
        <v>29407</v>
      </c>
      <c r="J2315" t="s">
        <v>29799</v>
      </c>
      <c r="K2315" t="s">
        <v>38510</v>
      </c>
      <c r="M2315" t="s">
        <v>39724</v>
      </c>
      <c r="N2315" t="s">
        <v>42669</v>
      </c>
      <c r="O2315" t="s">
        <v>42670</v>
      </c>
      <c r="P2315">
        <v>0</v>
      </c>
      <c r="Q2315">
        <v>3</v>
      </c>
      <c r="R2315" t="s">
        <v>42674</v>
      </c>
      <c r="S2315" t="s">
        <v>42788</v>
      </c>
      <c r="T2315" t="s">
        <v>44394</v>
      </c>
      <c r="U2315" t="s">
        <v>46730</v>
      </c>
      <c r="W2315" t="s">
        <v>39724</v>
      </c>
      <c r="X2315" t="s">
        <v>42676</v>
      </c>
    </row>
    <row r="2316" spans="1:24">
      <c r="A2316">
        <f>HYPERLINK("https://www.philgeps.gov.ph/GEPSNONPILOT/Tender/SplashBidNoticeAbstractUI.aspx?menuIndex=3&amp;refID=7190977&amp;Result=3","7190977")</f>
        <v>0</v>
      </c>
      <c r="B2316" t="s">
        <v>231</v>
      </c>
      <c r="C2316" t="s">
        <v>5740</v>
      </c>
      <c r="D2316" t="s">
        <v>17166</v>
      </c>
      <c r="E2316" t="s">
        <v>19290</v>
      </c>
      <c r="F2316" t="s">
        <v>29372</v>
      </c>
      <c r="G2316" t="s">
        <v>29379</v>
      </c>
      <c r="H2316" t="s">
        <v>11048</v>
      </c>
      <c r="I2316" t="s">
        <v>29433</v>
      </c>
      <c r="J2316" t="s">
        <v>29799</v>
      </c>
      <c r="K2316" t="s">
        <v>38490</v>
      </c>
      <c r="M2316" t="s">
        <v>39614</v>
      </c>
      <c r="N2316" t="s">
        <v>42669</v>
      </c>
      <c r="O2316" t="s">
        <v>42670</v>
      </c>
      <c r="P2316">
        <v>0</v>
      </c>
      <c r="Q2316">
        <v>19</v>
      </c>
      <c r="R2316" t="s">
        <v>42674</v>
      </c>
      <c r="S2316" t="s">
        <v>42788</v>
      </c>
      <c r="T2316" t="s">
        <v>44432</v>
      </c>
      <c r="U2316" t="s">
        <v>46542</v>
      </c>
      <c r="W2316" t="s">
        <v>39614</v>
      </c>
      <c r="X2316" t="s">
        <v>42676</v>
      </c>
    </row>
    <row r="2317" spans="1:24">
      <c r="A2317">
        <f>HYPERLINK("https://www.philgeps.gov.ph/GEPSNONPILOT/Tender/SplashBidNoticeAbstractUI.aspx?menuIndex=3&amp;refID=7190732&amp;Result=3","7190732")</f>
        <v>0</v>
      </c>
      <c r="B2317" t="s">
        <v>740</v>
      </c>
      <c r="C2317" t="s">
        <v>5741</v>
      </c>
      <c r="D2317" t="s">
        <v>17213</v>
      </c>
      <c r="E2317" t="s">
        <v>19291</v>
      </c>
      <c r="F2317" t="s">
        <v>29372</v>
      </c>
      <c r="G2317" t="s">
        <v>29380</v>
      </c>
      <c r="H2317" t="s">
        <v>29391</v>
      </c>
      <c r="I2317" t="s">
        <v>29391</v>
      </c>
      <c r="J2317" t="s">
        <v>31155</v>
      </c>
      <c r="K2317" t="s">
        <v>38551</v>
      </c>
      <c r="M2317" t="s">
        <v>39521</v>
      </c>
      <c r="N2317" t="s">
        <v>42669</v>
      </c>
      <c r="O2317" t="s">
        <v>42670</v>
      </c>
      <c r="P2317">
        <v>0</v>
      </c>
      <c r="Q2317">
        <v>3</v>
      </c>
      <c r="R2317" t="s">
        <v>42674</v>
      </c>
      <c r="S2317" t="s">
        <v>42788</v>
      </c>
      <c r="T2317" t="s">
        <v>44475</v>
      </c>
      <c r="U2317" t="s">
        <v>46755</v>
      </c>
      <c r="W2317" t="s">
        <v>39521</v>
      </c>
      <c r="X2317" t="s">
        <v>42676</v>
      </c>
    </row>
    <row r="2318" spans="1:24">
      <c r="A2318">
        <f>HYPERLINK("https://www.philgeps.gov.ph/GEPSNONPILOT/Tender/SplashBidNoticeAbstractUI.aspx?menuIndex=3&amp;refID=7190940&amp;Result=3","7190940")</f>
        <v>0</v>
      </c>
      <c r="B2318" t="s">
        <v>814</v>
      </c>
      <c r="C2318" t="s">
        <v>5742</v>
      </c>
      <c r="D2318" t="s">
        <v>17181</v>
      </c>
      <c r="E2318" t="s">
        <v>19292</v>
      </c>
      <c r="F2318" t="s">
        <v>29372</v>
      </c>
      <c r="G2318" t="s">
        <v>29383</v>
      </c>
      <c r="H2318" t="s">
        <v>11048</v>
      </c>
      <c r="I2318" t="s">
        <v>4487</v>
      </c>
      <c r="J2318" t="s">
        <v>31156</v>
      </c>
      <c r="K2318" t="s">
        <v>38528</v>
      </c>
      <c r="M2318" t="s">
        <v>39600</v>
      </c>
      <c r="N2318" t="s">
        <v>42669</v>
      </c>
      <c r="O2318" t="s">
        <v>42670</v>
      </c>
      <c r="P2318">
        <v>0</v>
      </c>
      <c r="Q2318">
        <v>2</v>
      </c>
      <c r="R2318" t="s">
        <v>42674</v>
      </c>
      <c r="S2318" t="s">
        <v>42788</v>
      </c>
      <c r="T2318" t="s">
        <v>44451</v>
      </c>
      <c r="U2318" t="s">
        <v>46756</v>
      </c>
      <c r="W2318" t="s">
        <v>39600</v>
      </c>
      <c r="X2318" t="s">
        <v>42676</v>
      </c>
    </row>
    <row r="2319" spans="1:24">
      <c r="A2319">
        <f>HYPERLINK("https://www.philgeps.gov.ph/GEPSNONPILOT/Tender/SplashBidNoticeAbstractUI.aspx?menuIndex=3&amp;refID=7190741&amp;Result=3","7190741")</f>
        <v>0</v>
      </c>
      <c r="B2319" t="s">
        <v>776</v>
      </c>
      <c r="C2319" t="s">
        <v>5743</v>
      </c>
      <c r="D2319" t="s">
        <v>17169</v>
      </c>
      <c r="E2319" t="s">
        <v>19293</v>
      </c>
      <c r="F2319" t="s">
        <v>29372</v>
      </c>
      <c r="G2319" t="s">
        <v>29380</v>
      </c>
      <c r="H2319" t="s">
        <v>29389</v>
      </c>
      <c r="I2319" t="s">
        <v>10408</v>
      </c>
      <c r="J2319" t="s">
        <v>31157</v>
      </c>
      <c r="K2319" t="s">
        <v>38522</v>
      </c>
      <c r="L2319" t="s">
        <v>776</v>
      </c>
      <c r="M2319" t="s">
        <v>39560</v>
      </c>
      <c r="N2319" t="s">
        <v>42669</v>
      </c>
      <c r="O2319" t="s">
        <v>42670</v>
      </c>
      <c r="P2319">
        <v>0</v>
      </c>
      <c r="Q2319">
        <v>0</v>
      </c>
      <c r="R2319" t="s">
        <v>42674</v>
      </c>
      <c r="S2319" t="s">
        <v>42788</v>
      </c>
      <c r="T2319" t="s">
        <v>44542</v>
      </c>
      <c r="U2319" t="s">
        <v>46757</v>
      </c>
      <c r="W2319" t="s">
        <v>39560</v>
      </c>
      <c r="X2319" t="s">
        <v>42676</v>
      </c>
    </row>
    <row r="2320" spans="1:24">
      <c r="A2320">
        <f>HYPERLINK("https://www.philgeps.gov.ph/GEPSNONPILOT/Tender/SplashBidNoticeAbstractUI.aspx?menuIndex=3&amp;refID=7190702&amp;Result=3","7190702")</f>
        <v>0</v>
      </c>
      <c r="B2320" t="s">
        <v>940</v>
      </c>
      <c r="C2320" t="s">
        <v>5744</v>
      </c>
      <c r="D2320" t="s">
        <v>17145</v>
      </c>
      <c r="E2320" t="s">
        <v>19294</v>
      </c>
      <c r="F2320" t="s">
        <v>29372</v>
      </c>
      <c r="G2320" t="s">
        <v>29380</v>
      </c>
      <c r="H2320" t="s">
        <v>29389</v>
      </c>
      <c r="I2320" t="s">
        <v>10408</v>
      </c>
      <c r="J2320" t="s">
        <v>31158</v>
      </c>
      <c r="K2320" t="s">
        <v>38553</v>
      </c>
      <c r="M2320" t="s">
        <v>39735</v>
      </c>
      <c r="N2320" t="s">
        <v>42669</v>
      </c>
      <c r="O2320" t="s">
        <v>42670</v>
      </c>
      <c r="P2320">
        <v>0</v>
      </c>
      <c r="Q2320">
        <v>0</v>
      </c>
      <c r="R2320" t="s">
        <v>42674</v>
      </c>
      <c r="S2320" t="s">
        <v>42788</v>
      </c>
      <c r="T2320" t="s">
        <v>44563</v>
      </c>
      <c r="U2320" t="s">
        <v>46758</v>
      </c>
      <c r="W2320" t="s">
        <v>39735</v>
      </c>
      <c r="X2320" t="s">
        <v>42676</v>
      </c>
    </row>
    <row r="2321" spans="1:24">
      <c r="A2321">
        <f>HYPERLINK("https://www.philgeps.gov.ph/GEPSNONPILOT/Tender/SplashBidNoticeAbstractUI.aspx?menuIndex=3&amp;refID=7190697&amp;Result=3","7190697")</f>
        <v>0</v>
      </c>
      <c r="B2321" t="s">
        <v>679</v>
      </c>
      <c r="C2321" t="s">
        <v>5745</v>
      </c>
      <c r="D2321" t="s">
        <v>17175</v>
      </c>
      <c r="E2321" t="s">
        <v>19295</v>
      </c>
      <c r="F2321" t="s">
        <v>29372</v>
      </c>
      <c r="G2321" t="s">
        <v>29381</v>
      </c>
      <c r="H2321" t="s">
        <v>11048</v>
      </c>
      <c r="I2321" t="s">
        <v>3839</v>
      </c>
      <c r="J2321" t="s">
        <v>30024</v>
      </c>
      <c r="K2321" t="s">
        <v>38510</v>
      </c>
      <c r="M2321" t="s">
        <v>39455</v>
      </c>
      <c r="N2321" t="s">
        <v>42669</v>
      </c>
      <c r="O2321" t="s">
        <v>42670</v>
      </c>
      <c r="P2321">
        <v>0</v>
      </c>
      <c r="Q2321">
        <v>0</v>
      </c>
      <c r="R2321" t="s">
        <v>42674</v>
      </c>
      <c r="S2321" t="s">
        <v>42788</v>
      </c>
      <c r="T2321" t="s">
        <v>44560</v>
      </c>
      <c r="U2321" t="s">
        <v>46759</v>
      </c>
      <c r="W2321" t="s">
        <v>39455</v>
      </c>
      <c r="X2321" t="s">
        <v>42676</v>
      </c>
    </row>
    <row r="2322" spans="1:24">
      <c r="A2322">
        <f>HYPERLINK("https://www.philgeps.gov.ph/GEPSNONPILOT/Tender/SplashBidNoticeAbstractUI.aspx?menuIndex=3&amp;refID=7191024&amp;Result=3","7191024")</f>
        <v>0</v>
      </c>
      <c r="B2322" t="s">
        <v>827</v>
      </c>
      <c r="C2322" t="s">
        <v>5746</v>
      </c>
      <c r="D2322" t="s">
        <v>17171</v>
      </c>
      <c r="E2322" t="s">
        <v>17480</v>
      </c>
      <c r="F2322" t="s">
        <v>29372</v>
      </c>
      <c r="G2322" t="s">
        <v>29379</v>
      </c>
      <c r="H2322" t="s">
        <v>11048</v>
      </c>
      <c r="I2322" t="s">
        <v>29424</v>
      </c>
      <c r="J2322" t="s">
        <v>31159</v>
      </c>
      <c r="K2322" t="s">
        <v>38491</v>
      </c>
      <c r="M2322" t="s">
        <v>39613</v>
      </c>
      <c r="N2322" t="s">
        <v>42669</v>
      </c>
      <c r="O2322" t="s">
        <v>42670</v>
      </c>
      <c r="P2322">
        <v>0</v>
      </c>
      <c r="Q2322">
        <v>4</v>
      </c>
      <c r="R2322" t="s">
        <v>42674</v>
      </c>
      <c r="S2322" t="s">
        <v>42788</v>
      </c>
      <c r="T2322" t="s">
        <v>44451</v>
      </c>
      <c r="U2322" t="s">
        <v>46559</v>
      </c>
      <c r="W2322" t="s">
        <v>39613</v>
      </c>
      <c r="X2322" t="s">
        <v>42676</v>
      </c>
    </row>
    <row r="2323" spans="1:24">
      <c r="A2323">
        <f>HYPERLINK("https://www.philgeps.gov.ph/GEPSNONPILOT/Tender/SplashBidNoticeAbstractUI.aspx?menuIndex=3&amp;refID=7190692&amp;Result=3","7190692")</f>
        <v>0</v>
      </c>
      <c r="B2323" t="s">
        <v>742</v>
      </c>
      <c r="C2323" t="s">
        <v>5318</v>
      </c>
      <c r="D2323" t="s">
        <v>17175</v>
      </c>
      <c r="E2323" t="s">
        <v>19296</v>
      </c>
      <c r="F2323" t="s">
        <v>29372</v>
      </c>
      <c r="G2323" t="s">
        <v>29379</v>
      </c>
      <c r="H2323" t="s">
        <v>11048</v>
      </c>
      <c r="I2323" t="s">
        <v>14920</v>
      </c>
      <c r="J2323" t="s">
        <v>30869</v>
      </c>
      <c r="K2323" t="s">
        <v>38510</v>
      </c>
      <c r="M2323" t="s">
        <v>39523</v>
      </c>
      <c r="N2323" t="s">
        <v>42669</v>
      </c>
      <c r="O2323" t="s">
        <v>42670</v>
      </c>
      <c r="P2323">
        <v>0</v>
      </c>
      <c r="Q2323">
        <v>1</v>
      </c>
      <c r="R2323" t="s">
        <v>42674</v>
      </c>
      <c r="S2323" t="s">
        <v>42788</v>
      </c>
      <c r="T2323" t="s">
        <v>44375</v>
      </c>
      <c r="U2323" t="s">
        <v>46760</v>
      </c>
      <c r="W2323" t="s">
        <v>39523</v>
      </c>
      <c r="X2323" t="s">
        <v>42676</v>
      </c>
    </row>
    <row r="2324" spans="1:24">
      <c r="A2324">
        <f>HYPERLINK("https://www.philgeps.gov.ph/GEPSNONPILOT/Tender/SplashBidNoticeAbstractUI.aspx?menuIndex=3&amp;refID=7190737&amp;Result=3","7190737")</f>
        <v>0</v>
      </c>
      <c r="B2324" t="s">
        <v>941</v>
      </c>
      <c r="C2324" t="s">
        <v>5747</v>
      </c>
      <c r="E2324" t="s">
        <v>19297</v>
      </c>
      <c r="F2324" t="s">
        <v>29372</v>
      </c>
      <c r="G2324" t="s">
        <v>29383</v>
      </c>
      <c r="H2324" t="s">
        <v>11048</v>
      </c>
      <c r="I2324" t="s">
        <v>3670</v>
      </c>
      <c r="J2324" t="s">
        <v>29644</v>
      </c>
      <c r="K2324" t="s">
        <v>38491</v>
      </c>
      <c r="M2324" t="s">
        <v>39736</v>
      </c>
      <c r="N2324" t="s">
        <v>42669</v>
      </c>
      <c r="O2324" t="s">
        <v>42670</v>
      </c>
      <c r="P2324">
        <v>0</v>
      </c>
      <c r="Q2324">
        <v>0</v>
      </c>
      <c r="R2324" t="s">
        <v>42674</v>
      </c>
      <c r="S2324" t="s">
        <v>42788</v>
      </c>
      <c r="T2324" t="s">
        <v>44451</v>
      </c>
      <c r="U2324" t="s">
        <v>46761</v>
      </c>
      <c r="W2324" t="s">
        <v>39736</v>
      </c>
      <c r="X2324" t="s">
        <v>42676</v>
      </c>
    </row>
    <row r="2325" spans="1:24">
      <c r="A2325">
        <f>HYPERLINK("https://www.philgeps.gov.ph/GEPSNONPILOT/Tender/SplashBidNoticeAbstractUI.aspx?menuIndex=3&amp;refID=7190660&amp;Result=3","7190660")</f>
        <v>0</v>
      </c>
      <c r="B2325" t="s">
        <v>942</v>
      </c>
      <c r="C2325" t="s">
        <v>5748</v>
      </c>
      <c r="D2325" t="s">
        <v>17163</v>
      </c>
      <c r="E2325" t="s">
        <v>19298</v>
      </c>
      <c r="F2325" t="s">
        <v>29372</v>
      </c>
      <c r="G2325" t="s">
        <v>29382</v>
      </c>
      <c r="H2325" t="s">
        <v>11048</v>
      </c>
      <c r="I2325" t="s">
        <v>5383</v>
      </c>
      <c r="J2325" t="s">
        <v>31160</v>
      </c>
      <c r="K2325" t="s">
        <v>38489</v>
      </c>
      <c r="M2325" t="s">
        <v>39737</v>
      </c>
      <c r="N2325" t="s">
        <v>42669</v>
      </c>
      <c r="O2325" t="s">
        <v>42670</v>
      </c>
      <c r="P2325">
        <v>0</v>
      </c>
      <c r="Q2325">
        <v>5</v>
      </c>
      <c r="R2325" t="s">
        <v>42674</v>
      </c>
      <c r="S2325" t="s">
        <v>42788</v>
      </c>
      <c r="T2325" t="s">
        <v>44417</v>
      </c>
      <c r="U2325" t="s">
        <v>46762</v>
      </c>
      <c r="W2325" t="s">
        <v>39737</v>
      </c>
      <c r="X2325" t="s">
        <v>42676</v>
      </c>
    </row>
    <row r="2326" spans="1:24">
      <c r="A2326">
        <f>HYPERLINK("https://www.philgeps.gov.ph/GEPSNONPILOT/Tender/SplashBidNoticeAbstractUI.aspx?menuIndex=3&amp;refID=7190658&amp;Result=3","7190658")</f>
        <v>0</v>
      </c>
      <c r="B2326" t="s">
        <v>719</v>
      </c>
      <c r="C2326" t="s">
        <v>5749</v>
      </c>
      <c r="D2326" t="s">
        <v>17170</v>
      </c>
      <c r="E2326" t="s">
        <v>19299</v>
      </c>
      <c r="F2326" t="s">
        <v>29372</v>
      </c>
      <c r="G2326" t="s">
        <v>29383</v>
      </c>
      <c r="H2326" t="s">
        <v>11048</v>
      </c>
      <c r="I2326" t="s">
        <v>29411</v>
      </c>
      <c r="J2326" t="s">
        <v>30802</v>
      </c>
      <c r="K2326" t="s">
        <v>38518</v>
      </c>
      <c r="M2326" t="s">
        <v>39499</v>
      </c>
      <c r="N2326" t="s">
        <v>42669</v>
      </c>
      <c r="O2326" t="s">
        <v>42670</v>
      </c>
      <c r="P2326">
        <v>0</v>
      </c>
      <c r="Q2326">
        <v>4</v>
      </c>
      <c r="R2326" t="s">
        <v>42674</v>
      </c>
      <c r="S2326" t="s">
        <v>42788</v>
      </c>
      <c r="T2326" t="s">
        <v>44456</v>
      </c>
      <c r="U2326" t="s">
        <v>46763</v>
      </c>
      <c r="W2326" t="s">
        <v>39499</v>
      </c>
      <c r="X2326" t="s">
        <v>42676</v>
      </c>
    </row>
    <row r="2327" spans="1:24">
      <c r="A2327">
        <f>HYPERLINK("https://www.philgeps.gov.ph/GEPSNONPILOT/Tender/SplashBidNoticeAbstractUI.aspx?menuIndex=3&amp;refID=7190700&amp;Result=3","7190700")</f>
        <v>0</v>
      </c>
      <c r="B2327" t="s">
        <v>820</v>
      </c>
      <c r="C2327" t="s">
        <v>5750</v>
      </c>
      <c r="D2327" t="s">
        <v>17165</v>
      </c>
      <c r="E2327" t="s">
        <v>19300</v>
      </c>
      <c r="F2327" t="s">
        <v>29372</v>
      </c>
      <c r="G2327" t="s">
        <v>29379</v>
      </c>
      <c r="H2327" t="s">
        <v>11048</v>
      </c>
      <c r="I2327" t="s">
        <v>4709</v>
      </c>
      <c r="J2327" t="s">
        <v>31161</v>
      </c>
      <c r="K2327" t="s">
        <v>38572</v>
      </c>
      <c r="M2327" t="s">
        <v>39606</v>
      </c>
      <c r="N2327" t="s">
        <v>42669</v>
      </c>
      <c r="O2327" t="s">
        <v>42670</v>
      </c>
      <c r="P2327">
        <v>0</v>
      </c>
      <c r="Q2327">
        <v>0</v>
      </c>
      <c r="R2327" t="s">
        <v>42674</v>
      </c>
      <c r="S2327" t="s">
        <v>42788</v>
      </c>
      <c r="T2327" t="s">
        <v>44525</v>
      </c>
      <c r="U2327" t="s">
        <v>46764</v>
      </c>
      <c r="W2327" t="s">
        <v>39606</v>
      </c>
      <c r="X2327" t="s">
        <v>42676</v>
      </c>
    </row>
    <row r="2328" spans="1:24">
      <c r="A2328">
        <f>HYPERLINK("https://www.philgeps.gov.ph/GEPSNONPILOT/Tender/SplashBidNoticeAbstractUI.aspx?menuIndex=3&amp;refID=7190695&amp;Result=3","7190695")</f>
        <v>0</v>
      </c>
      <c r="B2328" t="s">
        <v>766</v>
      </c>
      <c r="C2328" t="s">
        <v>5751</v>
      </c>
      <c r="E2328" t="s">
        <v>19301</v>
      </c>
      <c r="F2328" t="s">
        <v>29372</v>
      </c>
      <c r="G2328" t="s">
        <v>29379</v>
      </c>
      <c r="H2328" t="s">
        <v>11048</v>
      </c>
      <c r="I2328" t="s">
        <v>3670</v>
      </c>
      <c r="J2328" t="s">
        <v>29708</v>
      </c>
      <c r="K2328" t="s">
        <v>38490</v>
      </c>
      <c r="M2328" t="s">
        <v>39550</v>
      </c>
      <c r="N2328" t="s">
        <v>42669</v>
      </c>
      <c r="O2328" t="s">
        <v>42670</v>
      </c>
      <c r="P2328">
        <v>0</v>
      </c>
      <c r="Q2328">
        <v>3</v>
      </c>
      <c r="R2328" t="s">
        <v>42674</v>
      </c>
      <c r="S2328" t="s">
        <v>42788</v>
      </c>
      <c r="T2328" t="s">
        <v>44451</v>
      </c>
      <c r="U2328" t="s">
        <v>46432</v>
      </c>
      <c r="W2328" t="s">
        <v>39550</v>
      </c>
      <c r="X2328" t="s">
        <v>42676</v>
      </c>
    </row>
    <row r="2329" spans="1:24">
      <c r="A2329">
        <f>HYPERLINK("https://www.philgeps.gov.ph/GEPSNONPILOT/Tender/SplashBidNoticeAbstractUI.aspx?menuIndex=3&amp;refID=7190625&amp;Result=3","7190625")</f>
        <v>0</v>
      </c>
      <c r="B2329" t="s">
        <v>679</v>
      </c>
      <c r="C2329" t="s">
        <v>5752</v>
      </c>
      <c r="D2329" t="s">
        <v>17175</v>
      </c>
      <c r="E2329" t="s">
        <v>19302</v>
      </c>
      <c r="F2329" t="s">
        <v>29372</v>
      </c>
      <c r="G2329" t="s">
        <v>29380</v>
      </c>
      <c r="H2329" t="s">
        <v>11048</v>
      </c>
      <c r="I2329" t="s">
        <v>3839</v>
      </c>
      <c r="J2329" t="s">
        <v>29692</v>
      </c>
      <c r="K2329" t="s">
        <v>38510</v>
      </c>
      <c r="M2329" t="s">
        <v>39455</v>
      </c>
      <c r="N2329" t="s">
        <v>42669</v>
      </c>
      <c r="O2329" t="s">
        <v>42670</v>
      </c>
      <c r="P2329">
        <v>0</v>
      </c>
      <c r="Q2329">
        <v>0</v>
      </c>
      <c r="R2329" t="s">
        <v>42674</v>
      </c>
      <c r="S2329" t="s">
        <v>42788</v>
      </c>
      <c r="T2329" t="s">
        <v>44361</v>
      </c>
      <c r="U2329" t="s">
        <v>46765</v>
      </c>
      <c r="W2329" t="s">
        <v>39455</v>
      </c>
      <c r="X2329" t="s">
        <v>42676</v>
      </c>
    </row>
    <row r="2330" spans="1:24">
      <c r="A2330">
        <f>HYPERLINK("https://www.philgeps.gov.ph/GEPSNONPILOT/Tender/SplashBidNoticeAbstractUI.aspx?menuIndex=3&amp;refID=7190623&amp;Result=3","7190623")</f>
        <v>0</v>
      </c>
      <c r="B2330" t="s">
        <v>730</v>
      </c>
      <c r="C2330" t="s">
        <v>5753</v>
      </c>
      <c r="D2330" t="s">
        <v>17197</v>
      </c>
      <c r="E2330" t="s">
        <v>19303</v>
      </c>
      <c r="F2330" t="s">
        <v>29372</v>
      </c>
      <c r="G2330" t="s">
        <v>29383</v>
      </c>
      <c r="H2330" t="s">
        <v>11048</v>
      </c>
      <c r="I2330" t="s">
        <v>4709</v>
      </c>
      <c r="J2330" t="s">
        <v>31162</v>
      </c>
      <c r="K2330" t="s">
        <v>38488</v>
      </c>
      <c r="M2330" t="s">
        <v>39511</v>
      </c>
      <c r="N2330" t="s">
        <v>42669</v>
      </c>
      <c r="O2330" t="s">
        <v>42670</v>
      </c>
      <c r="P2330">
        <v>0</v>
      </c>
      <c r="Q2330">
        <v>0</v>
      </c>
      <c r="R2330" t="s">
        <v>42674</v>
      </c>
      <c r="S2330" t="s">
        <v>42788</v>
      </c>
      <c r="T2330" t="s">
        <v>44387</v>
      </c>
      <c r="U2330" t="s">
        <v>46766</v>
      </c>
      <c r="W2330" t="s">
        <v>39511</v>
      </c>
      <c r="X2330" t="s">
        <v>42676</v>
      </c>
    </row>
    <row r="2331" spans="1:24">
      <c r="A2331">
        <f>HYPERLINK("https://www.philgeps.gov.ph/GEPSNONPILOT/Tender/SplashBidNoticeAbstractUI.aspx?menuIndex=3&amp;refID=7190664&amp;Result=3","7190664")</f>
        <v>0</v>
      </c>
      <c r="B2331" t="s">
        <v>735</v>
      </c>
      <c r="C2331" t="s">
        <v>5754</v>
      </c>
      <c r="D2331" t="s">
        <v>17197</v>
      </c>
      <c r="E2331" t="s">
        <v>18418</v>
      </c>
      <c r="F2331" t="s">
        <v>29372</v>
      </c>
      <c r="G2331" t="s">
        <v>29383</v>
      </c>
      <c r="H2331" t="s">
        <v>11048</v>
      </c>
      <c r="I2331" t="s">
        <v>5383</v>
      </c>
      <c r="J2331" t="s">
        <v>30010</v>
      </c>
      <c r="K2331" t="s">
        <v>38488</v>
      </c>
      <c r="M2331" t="s">
        <v>39516</v>
      </c>
      <c r="N2331" t="s">
        <v>42669</v>
      </c>
      <c r="O2331" t="s">
        <v>42670</v>
      </c>
      <c r="P2331">
        <v>0</v>
      </c>
      <c r="Q2331">
        <v>0</v>
      </c>
      <c r="R2331" t="s">
        <v>42674</v>
      </c>
      <c r="S2331" t="s">
        <v>42788</v>
      </c>
      <c r="T2331" t="s">
        <v>44470</v>
      </c>
      <c r="U2331" t="s">
        <v>46767</v>
      </c>
      <c r="W2331" t="s">
        <v>39516</v>
      </c>
      <c r="X2331" t="s">
        <v>42676</v>
      </c>
    </row>
    <row r="2332" spans="1:24">
      <c r="A2332">
        <f>HYPERLINK("https://www.philgeps.gov.ph/GEPSNONPILOT/Tender/SplashBidNoticeAbstractUI.aspx?menuIndex=3&amp;refID=7190603&amp;Result=3","7190603")</f>
        <v>0</v>
      </c>
      <c r="B2332" t="s">
        <v>943</v>
      </c>
      <c r="C2332" t="s">
        <v>5755</v>
      </c>
      <c r="D2332" t="s">
        <v>17191</v>
      </c>
      <c r="E2332" t="s">
        <v>19304</v>
      </c>
      <c r="F2332" t="s">
        <v>29372</v>
      </c>
      <c r="G2332" t="s">
        <v>29380</v>
      </c>
      <c r="H2332" t="s">
        <v>29389</v>
      </c>
      <c r="I2332" t="s">
        <v>10408</v>
      </c>
      <c r="J2332" t="s">
        <v>31163</v>
      </c>
      <c r="K2332" t="s">
        <v>38487</v>
      </c>
      <c r="M2332" t="s">
        <v>39738</v>
      </c>
      <c r="N2332" t="s">
        <v>42669</v>
      </c>
      <c r="O2332" t="s">
        <v>42670</v>
      </c>
      <c r="Q2332">
        <v>0</v>
      </c>
      <c r="R2332" t="s">
        <v>42674</v>
      </c>
      <c r="S2332" t="s">
        <v>42800</v>
      </c>
      <c r="T2332" t="s">
        <v>44368</v>
      </c>
      <c r="U2332" t="s">
        <v>46768</v>
      </c>
      <c r="W2332" t="s">
        <v>39738</v>
      </c>
      <c r="X2332" t="s">
        <v>42676</v>
      </c>
    </row>
    <row r="2333" spans="1:24">
      <c r="A2333">
        <f>HYPERLINK("https://www.philgeps.gov.ph/GEPSNONPILOT/Tender/SplashBidNoticeAbstractUI.aspx?menuIndex=3&amp;refID=7190596&amp;Result=3","7190596")</f>
        <v>0</v>
      </c>
      <c r="B2333" t="s">
        <v>944</v>
      </c>
      <c r="C2333" t="s">
        <v>5756</v>
      </c>
      <c r="D2333" t="s">
        <v>17180</v>
      </c>
      <c r="E2333" t="s">
        <v>19305</v>
      </c>
      <c r="F2333" t="s">
        <v>29372</v>
      </c>
      <c r="G2333" t="s">
        <v>29380</v>
      </c>
      <c r="H2333" t="s">
        <v>29389</v>
      </c>
      <c r="I2333" t="s">
        <v>10408</v>
      </c>
      <c r="J2333" t="s">
        <v>29708</v>
      </c>
      <c r="K2333" t="s">
        <v>38581</v>
      </c>
      <c r="M2333" t="s">
        <v>39739</v>
      </c>
      <c r="N2333" t="s">
        <v>42669</v>
      </c>
      <c r="O2333" t="s">
        <v>42670</v>
      </c>
      <c r="P2333">
        <v>0</v>
      </c>
      <c r="Q2333">
        <v>1</v>
      </c>
      <c r="R2333" t="s">
        <v>42674</v>
      </c>
      <c r="S2333" t="s">
        <v>42788</v>
      </c>
      <c r="T2333" t="s">
        <v>44590</v>
      </c>
      <c r="U2333" t="s">
        <v>46769</v>
      </c>
      <c r="V2333" t="s">
        <v>56590</v>
      </c>
      <c r="W2333" t="s">
        <v>39739</v>
      </c>
      <c r="X2333" t="s">
        <v>42676</v>
      </c>
    </row>
    <row r="2334" spans="1:24">
      <c r="A2334">
        <f>HYPERLINK("https://www.philgeps.gov.ph/GEPSNONPILOT/Tender/SplashBidNoticeAbstractUI.aspx?menuIndex=3&amp;refID=7190655&amp;Result=3","7190655")</f>
        <v>0</v>
      </c>
      <c r="B2334" t="s">
        <v>711</v>
      </c>
      <c r="C2334" t="s">
        <v>5757</v>
      </c>
      <c r="D2334" t="s">
        <v>17183</v>
      </c>
      <c r="E2334" t="s">
        <v>19306</v>
      </c>
      <c r="F2334" t="s">
        <v>29372</v>
      </c>
      <c r="G2334" t="s">
        <v>29379</v>
      </c>
      <c r="H2334" t="s">
        <v>11048</v>
      </c>
      <c r="I2334" t="s">
        <v>29404</v>
      </c>
      <c r="J2334" t="s">
        <v>31164</v>
      </c>
      <c r="K2334" t="s">
        <v>38490</v>
      </c>
      <c r="M2334" t="s">
        <v>39490</v>
      </c>
      <c r="N2334" t="s">
        <v>42669</v>
      </c>
      <c r="O2334" t="s">
        <v>42670</v>
      </c>
      <c r="P2334">
        <v>0</v>
      </c>
      <c r="Q2334">
        <v>1</v>
      </c>
      <c r="R2334" t="s">
        <v>42674</v>
      </c>
      <c r="S2334" t="s">
        <v>42788</v>
      </c>
      <c r="T2334" t="s">
        <v>44429</v>
      </c>
      <c r="U2334" t="s">
        <v>46770</v>
      </c>
      <c r="W2334" t="s">
        <v>39490</v>
      </c>
      <c r="X2334" t="s">
        <v>42676</v>
      </c>
    </row>
    <row r="2335" spans="1:24">
      <c r="A2335">
        <f>HYPERLINK("https://www.philgeps.gov.ph/GEPSNONPILOT/Tender/SplashBidNoticeAbstractUI.aspx?menuIndex=3&amp;refID=7190593&amp;Result=3","7190593")</f>
        <v>0</v>
      </c>
      <c r="B2335" t="s">
        <v>945</v>
      </c>
      <c r="C2335" t="s">
        <v>5758</v>
      </c>
      <c r="D2335" t="s">
        <v>17201</v>
      </c>
      <c r="E2335" t="s">
        <v>19307</v>
      </c>
      <c r="F2335" t="s">
        <v>29372</v>
      </c>
      <c r="G2335" t="s">
        <v>29380</v>
      </c>
      <c r="H2335" t="s">
        <v>11048</v>
      </c>
      <c r="I2335" t="s">
        <v>4709</v>
      </c>
      <c r="J2335" t="s">
        <v>30222</v>
      </c>
      <c r="K2335" t="s">
        <v>38485</v>
      </c>
      <c r="M2335" t="s">
        <v>39740</v>
      </c>
      <c r="N2335" t="s">
        <v>42669</v>
      </c>
      <c r="O2335" t="s">
        <v>42670</v>
      </c>
      <c r="P2335">
        <v>0</v>
      </c>
      <c r="Q2335">
        <v>0</v>
      </c>
      <c r="R2335" t="s">
        <v>42674</v>
      </c>
      <c r="S2335" t="s">
        <v>42788</v>
      </c>
      <c r="T2335" t="s">
        <v>44468</v>
      </c>
      <c r="U2335" t="s">
        <v>46771</v>
      </c>
      <c r="W2335" t="s">
        <v>39740</v>
      </c>
      <c r="X2335" t="s">
        <v>42676</v>
      </c>
    </row>
    <row r="2336" spans="1:24">
      <c r="A2336">
        <f>HYPERLINK("https://www.philgeps.gov.ph/GEPSNONPILOT/Tender/SplashBidNoticeAbstractUI.aspx?menuIndex=3&amp;refID=7190624&amp;Result=3","7190624")</f>
        <v>0</v>
      </c>
      <c r="B2336" t="s">
        <v>594</v>
      </c>
      <c r="C2336" t="s">
        <v>5759</v>
      </c>
      <c r="D2336" t="s">
        <v>17163</v>
      </c>
      <c r="E2336" t="s">
        <v>19308</v>
      </c>
      <c r="F2336" t="s">
        <v>29372</v>
      </c>
      <c r="G2336" t="s">
        <v>29380</v>
      </c>
      <c r="H2336" t="s">
        <v>11048</v>
      </c>
      <c r="I2336" t="s">
        <v>3670</v>
      </c>
      <c r="J2336" t="s">
        <v>31165</v>
      </c>
      <c r="K2336" t="s">
        <v>38487</v>
      </c>
      <c r="M2336" t="s">
        <v>39741</v>
      </c>
      <c r="N2336" t="s">
        <v>42669</v>
      </c>
      <c r="O2336" t="s">
        <v>42670</v>
      </c>
      <c r="P2336">
        <v>0</v>
      </c>
      <c r="Q2336">
        <v>2</v>
      </c>
      <c r="R2336" t="s">
        <v>42674</v>
      </c>
      <c r="S2336" t="s">
        <v>42788</v>
      </c>
      <c r="T2336" t="s">
        <v>44381</v>
      </c>
      <c r="U2336" t="s">
        <v>46772</v>
      </c>
      <c r="V2336" t="s">
        <v>56591</v>
      </c>
      <c r="W2336" t="s">
        <v>39741</v>
      </c>
      <c r="X2336" t="s">
        <v>42676</v>
      </c>
    </row>
    <row r="2337" spans="1:24">
      <c r="A2337">
        <f>HYPERLINK("https://www.philgeps.gov.ph/GEPSNONPILOT/Tender/SplashBidNoticeAbstractUI.aspx?menuIndex=3&amp;refID=7190592&amp;Result=3","7190592")</f>
        <v>0</v>
      </c>
      <c r="B2337" t="s">
        <v>946</v>
      </c>
      <c r="C2337" t="s">
        <v>5760</v>
      </c>
      <c r="D2337" t="s">
        <v>17141</v>
      </c>
      <c r="E2337" t="s">
        <v>19309</v>
      </c>
      <c r="F2337" t="s">
        <v>29372</v>
      </c>
      <c r="G2337" t="s">
        <v>29379</v>
      </c>
      <c r="H2337" t="s">
        <v>11048</v>
      </c>
      <c r="I2337" t="s">
        <v>3629</v>
      </c>
      <c r="J2337" t="s">
        <v>29708</v>
      </c>
      <c r="K2337" t="s">
        <v>38485</v>
      </c>
      <c r="M2337" t="s">
        <v>39742</v>
      </c>
      <c r="N2337" t="s">
        <v>42669</v>
      </c>
      <c r="O2337" t="s">
        <v>42670</v>
      </c>
      <c r="P2337">
        <v>0</v>
      </c>
      <c r="Q2337">
        <v>2</v>
      </c>
      <c r="R2337" t="s">
        <v>42674</v>
      </c>
      <c r="S2337" t="s">
        <v>42788</v>
      </c>
      <c r="T2337" t="s">
        <v>44382</v>
      </c>
      <c r="U2337" t="s">
        <v>46773</v>
      </c>
      <c r="V2337" t="s">
        <v>56592</v>
      </c>
      <c r="W2337" t="s">
        <v>39742</v>
      </c>
      <c r="X2337" t="s">
        <v>42676</v>
      </c>
    </row>
    <row r="2338" spans="1:24">
      <c r="A2338">
        <f>HYPERLINK("https://www.philgeps.gov.ph/GEPSNONPILOT/Tender/SplashBidNoticeAbstractUI.aspx?menuIndex=3&amp;refID=7190622&amp;Result=3","7190622")</f>
        <v>0</v>
      </c>
      <c r="B2338" t="s">
        <v>577</v>
      </c>
      <c r="C2338" t="s">
        <v>5761</v>
      </c>
      <c r="D2338" t="s">
        <v>17164</v>
      </c>
      <c r="E2338" t="s">
        <v>19310</v>
      </c>
      <c r="F2338" t="s">
        <v>29372</v>
      </c>
      <c r="G2338" t="s">
        <v>29383</v>
      </c>
      <c r="H2338" t="s">
        <v>11048</v>
      </c>
      <c r="I2338" t="s">
        <v>3670</v>
      </c>
      <c r="J2338" t="s">
        <v>31166</v>
      </c>
      <c r="K2338" t="s">
        <v>38490</v>
      </c>
      <c r="L2338" t="s">
        <v>577</v>
      </c>
      <c r="M2338" t="s">
        <v>39346</v>
      </c>
      <c r="N2338" t="s">
        <v>42669</v>
      </c>
      <c r="O2338" t="s">
        <v>42670</v>
      </c>
      <c r="P2338">
        <v>0</v>
      </c>
      <c r="Q2338">
        <v>1</v>
      </c>
      <c r="R2338" t="s">
        <v>42674</v>
      </c>
      <c r="S2338" t="s">
        <v>42788</v>
      </c>
      <c r="T2338" t="s">
        <v>44387</v>
      </c>
      <c r="U2338" t="s">
        <v>46774</v>
      </c>
      <c r="W2338" t="s">
        <v>39346</v>
      </c>
      <c r="X2338" t="s">
        <v>42676</v>
      </c>
    </row>
    <row r="2339" spans="1:24">
      <c r="A2339">
        <f>HYPERLINK("https://www.philgeps.gov.ph/GEPSNONPILOT/Tender/SplashBidNoticeAbstractUI.aspx?menuIndex=3&amp;refID=7190591&amp;Result=3","7190591")</f>
        <v>0</v>
      </c>
      <c r="B2339" t="s">
        <v>645</v>
      </c>
      <c r="C2339" t="s">
        <v>5762</v>
      </c>
      <c r="D2339" t="s">
        <v>17193</v>
      </c>
      <c r="E2339" t="s">
        <v>19197</v>
      </c>
      <c r="F2339" t="s">
        <v>29372</v>
      </c>
      <c r="G2339" t="s">
        <v>29379</v>
      </c>
      <c r="H2339" t="s">
        <v>11048</v>
      </c>
      <c r="I2339" t="s">
        <v>29407</v>
      </c>
      <c r="J2339" t="s">
        <v>31167</v>
      </c>
      <c r="K2339" t="s">
        <v>38528</v>
      </c>
      <c r="M2339" t="s">
        <v>39418</v>
      </c>
      <c r="N2339" t="s">
        <v>42669</v>
      </c>
      <c r="O2339" t="s">
        <v>42670</v>
      </c>
      <c r="P2339">
        <v>0</v>
      </c>
      <c r="Q2339">
        <v>7</v>
      </c>
      <c r="R2339" t="s">
        <v>42674</v>
      </c>
      <c r="S2339" t="s">
        <v>42788</v>
      </c>
      <c r="T2339" t="s">
        <v>44488</v>
      </c>
      <c r="U2339" t="s">
        <v>46373</v>
      </c>
      <c r="W2339" t="s">
        <v>39418</v>
      </c>
      <c r="X2339" t="s">
        <v>42676</v>
      </c>
    </row>
    <row r="2340" spans="1:24">
      <c r="A2340">
        <f>HYPERLINK("https://www.philgeps.gov.ph/GEPSNONPILOT/Tender/SplashBidNoticeAbstractUI.aspx?menuIndex=3&amp;refID=7190701&amp;Result=3","7190701")</f>
        <v>0</v>
      </c>
      <c r="B2340" t="s">
        <v>660</v>
      </c>
      <c r="C2340" t="s">
        <v>5763</v>
      </c>
      <c r="D2340" t="s">
        <v>17199</v>
      </c>
      <c r="E2340" t="s">
        <v>5763</v>
      </c>
      <c r="F2340" t="s">
        <v>29372</v>
      </c>
      <c r="G2340" t="s">
        <v>29379</v>
      </c>
      <c r="H2340" t="s">
        <v>11048</v>
      </c>
      <c r="I2340" t="s">
        <v>29403</v>
      </c>
      <c r="J2340" t="s">
        <v>29657</v>
      </c>
      <c r="K2340" t="s">
        <v>38490</v>
      </c>
      <c r="M2340" t="s">
        <v>39436</v>
      </c>
      <c r="N2340" t="s">
        <v>42669</v>
      </c>
      <c r="O2340" t="s">
        <v>42670</v>
      </c>
      <c r="P2340">
        <v>0</v>
      </c>
      <c r="Q2340">
        <v>0</v>
      </c>
      <c r="R2340" t="s">
        <v>42674</v>
      </c>
      <c r="S2340" t="s">
        <v>42788</v>
      </c>
      <c r="T2340" t="s">
        <v>44496</v>
      </c>
      <c r="U2340" t="s">
        <v>46775</v>
      </c>
      <c r="W2340" t="s">
        <v>39436</v>
      </c>
      <c r="X2340" t="s">
        <v>42676</v>
      </c>
    </row>
    <row r="2341" spans="1:24">
      <c r="A2341">
        <f>HYPERLINK("https://www.philgeps.gov.ph/GEPSNONPILOT/Tender/SplashBidNoticeAbstractUI.aspx?menuIndex=3&amp;refID=7190485&amp;Result=3","7190485")</f>
        <v>0</v>
      </c>
      <c r="B2341" t="s">
        <v>613</v>
      </c>
      <c r="C2341" t="s">
        <v>5764</v>
      </c>
      <c r="D2341" t="s">
        <v>17205</v>
      </c>
      <c r="E2341" t="s">
        <v>19311</v>
      </c>
      <c r="F2341" t="s">
        <v>29372</v>
      </c>
      <c r="G2341" t="s">
        <v>29383</v>
      </c>
      <c r="H2341" t="s">
        <v>11048</v>
      </c>
      <c r="I2341" t="s">
        <v>29407</v>
      </c>
      <c r="J2341" t="s">
        <v>31168</v>
      </c>
      <c r="K2341" t="s">
        <v>38490</v>
      </c>
      <c r="M2341" t="s">
        <v>39384</v>
      </c>
      <c r="N2341" t="s">
        <v>42669</v>
      </c>
      <c r="O2341" t="s">
        <v>42670</v>
      </c>
      <c r="P2341">
        <v>0</v>
      </c>
      <c r="Q2341">
        <v>12</v>
      </c>
      <c r="R2341" t="s">
        <v>42674</v>
      </c>
      <c r="S2341" t="s">
        <v>42788</v>
      </c>
      <c r="T2341" t="s">
        <v>44417</v>
      </c>
      <c r="U2341" t="s">
        <v>46776</v>
      </c>
      <c r="V2341" t="s">
        <v>56514</v>
      </c>
      <c r="W2341" t="s">
        <v>39384</v>
      </c>
      <c r="X2341" t="s">
        <v>42676</v>
      </c>
    </row>
    <row r="2342" spans="1:24">
      <c r="A2342">
        <f>HYPERLINK("https://www.philgeps.gov.ph/GEPSNONPILOT/Tender/SplashBidNoticeAbstractUI.aspx?menuIndex=3&amp;refID=7190484&amp;Result=3","7190484")</f>
        <v>0</v>
      </c>
      <c r="B2342" t="s">
        <v>702</v>
      </c>
      <c r="C2342" t="s">
        <v>5765</v>
      </c>
      <c r="D2342" t="s">
        <v>17221</v>
      </c>
      <c r="E2342" t="s">
        <v>19312</v>
      </c>
      <c r="F2342" t="s">
        <v>29372</v>
      </c>
      <c r="G2342" t="s">
        <v>29380</v>
      </c>
      <c r="H2342" t="s">
        <v>11048</v>
      </c>
      <c r="I2342" t="s">
        <v>3839</v>
      </c>
      <c r="J2342" t="s">
        <v>31169</v>
      </c>
      <c r="K2342" t="s">
        <v>38491</v>
      </c>
      <c r="M2342" t="s">
        <v>39480</v>
      </c>
      <c r="N2342" t="s">
        <v>42669</v>
      </c>
      <c r="O2342" t="s">
        <v>42670</v>
      </c>
      <c r="Q2342">
        <v>0</v>
      </c>
      <c r="R2342" t="s">
        <v>42674</v>
      </c>
      <c r="S2342" t="s">
        <v>42801</v>
      </c>
      <c r="T2342" t="s">
        <v>44391</v>
      </c>
      <c r="U2342" t="s">
        <v>46777</v>
      </c>
      <c r="V2342" t="s">
        <v>56593</v>
      </c>
      <c r="W2342" t="s">
        <v>39480</v>
      </c>
      <c r="X2342" t="s">
        <v>42676</v>
      </c>
    </row>
    <row r="2343" spans="1:24">
      <c r="A2343">
        <f>HYPERLINK("https://www.philgeps.gov.ph/GEPSNONPILOT/Tender/SplashBidNoticeAbstractUI.aspx?menuIndex=3&amp;refID=7191569&amp;Result=3","7191569")</f>
        <v>0</v>
      </c>
      <c r="B2343" t="s">
        <v>947</v>
      </c>
      <c r="C2343" t="s">
        <v>5766</v>
      </c>
      <c r="D2343" t="s">
        <v>17174</v>
      </c>
      <c r="E2343" t="s">
        <v>19313</v>
      </c>
      <c r="F2343" t="s">
        <v>29372</v>
      </c>
      <c r="G2343" t="s">
        <v>29380</v>
      </c>
      <c r="H2343" t="s">
        <v>11048</v>
      </c>
      <c r="I2343" t="s">
        <v>29393</v>
      </c>
      <c r="J2343" t="s">
        <v>31170</v>
      </c>
      <c r="K2343" t="s">
        <v>38510</v>
      </c>
      <c r="M2343" t="s">
        <v>39743</v>
      </c>
      <c r="N2343" t="s">
        <v>42669</v>
      </c>
      <c r="O2343" t="s">
        <v>42670</v>
      </c>
      <c r="P2343">
        <v>0</v>
      </c>
      <c r="Q2343">
        <v>0</v>
      </c>
      <c r="R2343" t="s">
        <v>42674</v>
      </c>
      <c r="S2343" t="s">
        <v>42788</v>
      </c>
      <c r="T2343" t="s">
        <v>44430</v>
      </c>
      <c r="U2343" t="s">
        <v>46778</v>
      </c>
      <c r="V2343" t="s">
        <v>56594</v>
      </c>
      <c r="W2343" t="s">
        <v>39743</v>
      </c>
      <c r="X2343" t="s">
        <v>42676</v>
      </c>
    </row>
    <row r="2344" spans="1:24">
      <c r="A2344">
        <f>HYPERLINK("https://www.philgeps.gov.ph/GEPSNONPILOT/Tender/SplashBidNoticeAbstractUI.aspx?menuIndex=3&amp;refID=7190594&amp;Result=3","7190594")</f>
        <v>0</v>
      </c>
      <c r="B2344" t="s">
        <v>786</v>
      </c>
      <c r="C2344" t="s">
        <v>5767</v>
      </c>
      <c r="D2344" t="s">
        <v>17173</v>
      </c>
      <c r="E2344" t="s">
        <v>19314</v>
      </c>
      <c r="F2344" t="s">
        <v>29372</v>
      </c>
      <c r="G2344" t="s">
        <v>29380</v>
      </c>
      <c r="H2344" t="s">
        <v>11048</v>
      </c>
      <c r="I2344" t="s">
        <v>4709</v>
      </c>
      <c r="J2344" t="s">
        <v>31171</v>
      </c>
      <c r="K2344" t="s">
        <v>38485</v>
      </c>
      <c r="M2344" t="s">
        <v>39570</v>
      </c>
      <c r="N2344" t="s">
        <v>42669</v>
      </c>
      <c r="O2344" t="s">
        <v>42670</v>
      </c>
      <c r="P2344">
        <v>0</v>
      </c>
      <c r="Q2344">
        <v>0</v>
      </c>
      <c r="R2344" t="s">
        <v>42674</v>
      </c>
      <c r="S2344" t="s">
        <v>42788</v>
      </c>
      <c r="T2344" t="s">
        <v>44583</v>
      </c>
      <c r="U2344" t="s">
        <v>46779</v>
      </c>
      <c r="V2344" t="s">
        <v>56556</v>
      </c>
      <c r="W2344" t="s">
        <v>39570</v>
      </c>
      <c r="X2344" t="s">
        <v>42676</v>
      </c>
    </row>
    <row r="2345" spans="1:24">
      <c r="A2345">
        <f>HYPERLINK("https://www.philgeps.gov.ph/GEPSNONPILOT/Tender/SplashBidNoticeAbstractUI.aspx?menuIndex=3&amp;refID=7191568&amp;Result=3","7191568")</f>
        <v>0</v>
      </c>
      <c r="B2345" t="s">
        <v>873</v>
      </c>
      <c r="C2345" t="s">
        <v>3982</v>
      </c>
      <c r="D2345" t="s">
        <v>17145</v>
      </c>
      <c r="E2345" t="s">
        <v>19315</v>
      </c>
      <c r="F2345" t="s">
        <v>29372</v>
      </c>
      <c r="G2345" t="s">
        <v>29382</v>
      </c>
      <c r="H2345" t="s">
        <v>11048</v>
      </c>
      <c r="I2345" t="s">
        <v>5383</v>
      </c>
      <c r="J2345" t="s">
        <v>31172</v>
      </c>
      <c r="K2345" t="s">
        <v>38491</v>
      </c>
      <c r="M2345" t="s">
        <v>39665</v>
      </c>
      <c r="N2345" t="s">
        <v>42669</v>
      </c>
      <c r="O2345" t="s">
        <v>42670</v>
      </c>
      <c r="P2345">
        <v>0</v>
      </c>
      <c r="Q2345">
        <v>3</v>
      </c>
      <c r="R2345" t="s">
        <v>42674</v>
      </c>
      <c r="S2345" t="s">
        <v>42788</v>
      </c>
      <c r="T2345" t="s">
        <v>44387</v>
      </c>
      <c r="U2345" t="s">
        <v>46780</v>
      </c>
      <c r="W2345" t="s">
        <v>39665</v>
      </c>
      <c r="X2345" t="s">
        <v>42676</v>
      </c>
    </row>
    <row r="2346" spans="1:24">
      <c r="A2346">
        <f>HYPERLINK("https://www.philgeps.gov.ph/GEPSNONPILOT/Tender/SplashBidNoticeAbstractUI.aspx?menuIndex=3&amp;refID=7191500&amp;Result=3","7191500")</f>
        <v>0</v>
      </c>
      <c r="B2346" t="s">
        <v>912</v>
      </c>
      <c r="C2346" t="s">
        <v>5768</v>
      </c>
      <c r="D2346" t="s">
        <v>17147</v>
      </c>
      <c r="E2346" t="s">
        <v>19316</v>
      </c>
      <c r="F2346" t="s">
        <v>29372</v>
      </c>
      <c r="G2346" t="s">
        <v>29380</v>
      </c>
      <c r="H2346" t="s">
        <v>29389</v>
      </c>
      <c r="I2346" t="s">
        <v>10408</v>
      </c>
      <c r="J2346" t="s">
        <v>29573</v>
      </c>
      <c r="K2346" t="s">
        <v>38523</v>
      </c>
      <c r="M2346" t="s">
        <v>39705</v>
      </c>
      <c r="N2346" t="s">
        <v>42669</v>
      </c>
      <c r="O2346" t="s">
        <v>42670</v>
      </c>
      <c r="P2346">
        <v>0</v>
      </c>
      <c r="Q2346">
        <v>0</v>
      </c>
      <c r="R2346" t="s">
        <v>42674</v>
      </c>
      <c r="S2346" t="s">
        <v>42788</v>
      </c>
      <c r="T2346" t="s">
        <v>44358</v>
      </c>
      <c r="U2346" t="s">
        <v>46700</v>
      </c>
      <c r="W2346" t="s">
        <v>39705</v>
      </c>
      <c r="X2346" t="s">
        <v>42676</v>
      </c>
    </row>
    <row r="2347" spans="1:24">
      <c r="A2347">
        <f>HYPERLINK("https://www.philgeps.gov.ph/GEPSNONPILOT/Tender/SplashBidNoticeAbstractUI.aspx?menuIndex=3&amp;refID=7191567&amp;Result=3","7191567")</f>
        <v>0</v>
      </c>
      <c r="B2347" t="s">
        <v>948</v>
      </c>
      <c r="C2347" t="s">
        <v>5769</v>
      </c>
      <c r="D2347" t="s">
        <v>17183</v>
      </c>
      <c r="E2347" t="s">
        <v>19317</v>
      </c>
      <c r="F2347" t="s">
        <v>29372</v>
      </c>
      <c r="G2347" t="s">
        <v>29379</v>
      </c>
      <c r="H2347" t="s">
        <v>11048</v>
      </c>
      <c r="I2347" t="s">
        <v>29408</v>
      </c>
      <c r="J2347" t="s">
        <v>31173</v>
      </c>
      <c r="K2347" t="s">
        <v>38491</v>
      </c>
      <c r="M2347" t="s">
        <v>39744</v>
      </c>
      <c r="N2347" t="s">
        <v>42669</v>
      </c>
      <c r="O2347" t="s">
        <v>42670</v>
      </c>
      <c r="P2347">
        <v>0</v>
      </c>
      <c r="Q2347">
        <v>1</v>
      </c>
      <c r="R2347" t="s">
        <v>42674</v>
      </c>
      <c r="S2347" t="s">
        <v>42788</v>
      </c>
      <c r="T2347" t="s">
        <v>44525</v>
      </c>
      <c r="U2347" t="s">
        <v>46781</v>
      </c>
      <c r="W2347" t="s">
        <v>39744</v>
      </c>
      <c r="X2347" t="s">
        <v>42676</v>
      </c>
    </row>
    <row r="2348" spans="1:24">
      <c r="A2348">
        <f>HYPERLINK("https://www.philgeps.gov.ph/GEPSNONPILOT/Tender/SplashBidNoticeAbstractUI.aspx?menuIndex=3&amp;refID=7190486&amp;Result=3","7190486")</f>
        <v>0</v>
      </c>
      <c r="B2348" t="s">
        <v>566</v>
      </c>
      <c r="C2348" t="s">
        <v>5770</v>
      </c>
      <c r="E2348" t="s">
        <v>19318</v>
      </c>
      <c r="F2348" t="s">
        <v>29372</v>
      </c>
      <c r="G2348" t="s">
        <v>29380</v>
      </c>
      <c r="H2348" t="s">
        <v>11048</v>
      </c>
      <c r="I2348" t="s">
        <v>29414</v>
      </c>
      <c r="J2348" t="s">
        <v>29541</v>
      </c>
      <c r="K2348" t="s">
        <v>38490</v>
      </c>
      <c r="M2348" t="s">
        <v>39476</v>
      </c>
      <c r="N2348" t="s">
        <v>42669</v>
      </c>
      <c r="O2348" t="s">
        <v>42670</v>
      </c>
      <c r="P2348">
        <v>0</v>
      </c>
      <c r="Q2348">
        <v>10</v>
      </c>
      <c r="R2348" t="s">
        <v>42674</v>
      </c>
      <c r="S2348" t="s">
        <v>42788</v>
      </c>
      <c r="T2348" t="s">
        <v>44536</v>
      </c>
      <c r="U2348" t="s">
        <v>46306</v>
      </c>
      <c r="W2348" t="s">
        <v>39476</v>
      </c>
      <c r="X2348" t="s">
        <v>42676</v>
      </c>
    </row>
    <row r="2349" spans="1:24">
      <c r="A2349">
        <f>HYPERLINK("https://www.philgeps.gov.ph/GEPSNONPILOT/Tender/SplashBidNoticeAbstractUI.aspx?menuIndex=3&amp;refID=7191561&amp;Result=3","7191561")</f>
        <v>0</v>
      </c>
      <c r="B2349" t="s">
        <v>899</v>
      </c>
      <c r="C2349" t="s">
        <v>5771</v>
      </c>
      <c r="D2349" t="s">
        <v>17213</v>
      </c>
      <c r="E2349" t="s">
        <v>19319</v>
      </c>
      <c r="F2349" t="s">
        <v>29372</v>
      </c>
      <c r="G2349" t="s">
        <v>29379</v>
      </c>
      <c r="H2349" t="s">
        <v>11048</v>
      </c>
      <c r="I2349" t="s">
        <v>3695</v>
      </c>
      <c r="J2349" t="s">
        <v>31174</v>
      </c>
      <c r="K2349" t="s">
        <v>38488</v>
      </c>
      <c r="M2349" t="s">
        <v>39692</v>
      </c>
      <c r="N2349" t="s">
        <v>42669</v>
      </c>
      <c r="O2349" t="s">
        <v>42670</v>
      </c>
      <c r="P2349">
        <v>0</v>
      </c>
      <c r="Q2349">
        <v>0</v>
      </c>
      <c r="R2349" t="s">
        <v>42674</v>
      </c>
      <c r="S2349" t="s">
        <v>42788</v>
      </c>
      <c r="T2349" t="s">
        <v>44399</v>
      </c>
      <c r="U2349" t="s">
        <v>46782</v>
      </c>
      <c r="W2349" t="s">
        <v>39692</v>
      </c>
      <c r="X2349" t="s">
        <v>42676</v>
      </c>
    </row>
    <row r="2350" spans="1:24">
      <c r="A2350">
        <f>HYPERLINK("https://www.philgeps.gov.ph/GEPSNONPILOT/Tender/SplashBidNoticeAbstractUI.aspx?menuIndex=3&amp;refID=7190460&amp;Result=3","7190460")</f>
        <v>0</v>
      </c>
      <c r="B2350" t="s">
        <v>949</v>
      </c>
      <c r="C2350" t="s">
        <v>5772</v>
      </c>
      <c r="D2350" t="s">
        <v>17186</v>
      </c>
      <c r="E2350" t="s">
        <v>19320</v>
      </c>
      <c r="F2350" t="s">
        <v>29372</v>
      </c>
      <c r="G2350" t="s">
        <v>29379</v>
      </c>
      <c r="H2350" t="s">
        <v>11048</v>
      </c>
      <c r="I2350" t="s">
        <v>8614</v>
      </c>
      <c r="J2350" t="s">
        <v>31175</v>
      </c>
      <c r="K2350" t="s">
        <v>38485</v>
      </c>
      <c r="M2350" t="s">
        <v>39745</v>
      </c>
      <c r="N2350" t="s">
        <v>42669</v>
      </c>
      <c r="O2350" t="s">
        <v>42670</v>
      </c>
      <c r="P2350">
        <v>0</v>
      </c>
      <c r="Q2350">
        <v>4</v>
      </c>
      <c r="R2350" t="s">
        <v>42674</v>
      </c>
      <c r="S2350" t="s">
        <v>42788</v>
      </c>
      <c r="T2350" t="s">
        <v>44386</v>
      </c>
      <c r="U2350" t="s">
        <v>46783</v>
      </c>
      <c r="V2350" t="s">
        <v>56595</v>
      </c>
      <c r="W2350" t="s">
        <v>39745</v>
      </c>
      <c r="X2350" t="s">
        <v>42676</v>
      </c>
    </row>
    <row r="2351" spans="1:24">
      <c r="A2351">
        <f>HYPERLINK("https://www.philgeps.gov.ph/GEPSNONPILOT/Tender/SplashBidNoticeAbstractUI.aspx?menuIndex=3&amp;refID=7191558&amp;Result=3","7191558")</f>
        <v>0</v>
      </c>
      <c r="B2351" t="s">
        <v>139</v>
      </c>
      <c r="C2351" t="s">
        <v>5773</v>
      </c>
      <c r="D2351" t="s">
        <v>17188</v>
      </c>
      <c r="E2351" t="s">
        <v>19321</v>
      </c>
      <c r="F2351" t="s">
        <v>29372</v>
      </c>
      <c r="G2351" t="s">
        <v>29379</v>
      </c>
      <c r="H2351" t="s">
        <v>11048</v>
      </c>
      <c r="I2351" t="s">
        <v>3860</v>
      </c>
      <c r="J2351" t="s">
        <v>31176</v>
      </c>
      <c r="K2351" t="s">
        <v>38488</v>
      </c>
      <c r="M2351" t="s">
        <v>38894</v>
      </c>
      <c r="N2351" t="s">
        <v>42669</v>
      </c>
      <c r="O2351" t="s">
        <v>42670</v>
      </c>
      <c r="P2351">
        <v>0</v>
      </c>
      <c r="Q2351">
        <v>3</v>
      </c>
      <c r="R2351" t="s">
        <v>42674</v>
      </c>
      <c r="S2351" t="s">
        <v>42788</v>
      </c>
      <c r="T2351" t="s">
        <v>44488</v>
      </c>
      <c r="U2351" t="s">
        <v>46784</v>
      </c>
      <c r="W2351" t="s">
        <v>38894</v>
      </c>
      <c r="X2351" t="s">
        <v>42676</v>
      </c>
    </row>
    <row r="2352" spans="1:24">
      <c r="A2352">
        <f>HYPERLINK("https://www.philgeps.gov.ph/GEPSNONPILOT/Tender/SplashBidNoticeAbstractUI.aspx?menuIndex=3&amp;refID=7191553&amp;Result=3","7191553")</f>
        <v>0</v>
      </c>
      <c r="B2352" t="s">
        <v>934</v>
      </c>
      <c r="C2352" t="s">
        <v>5774</v>
      </c>
      <c r="D2352" t="s">
        <v>17175</v>
      </c>
      <c r="E2352" t="s">
        <v>19322</v>
      </c>
      <c r="F2352" t="s">
        <v>29372</v>
      </c>
      <c r="G2352" t="s">
        <v>29380</v>
      </c>
      <c r="H2352" t="s">
        <v>11048</v>
      </c>
      <c r="I2352" t="s">
        <v>29396</v>
      </c>
      <c r="J2352" t="s">
        <v>31177</v>
      </c>
      <c r="K2352" t="s">
        <v>38490</v>
      </c>
      <c r="M2352" t="s">
        <v>39729</v>
      </c>
      <c r="N2352" t="s">
        <v>42669</v>
      </c>
      <c r="O2352" t="s">
        <v>42670</v>
      </c>
      <c r="P2352">
        <v>0</v>
      </c>
      <c r="Q2352">
        <v>0</v>
      </c>
      <c r="R2352" t="s">
        <v>42674</v>
      </c>
      <c r="S2352" t="s">
        <v>42788</v>
      </c>
      <c r="T2352" t="s">
        <v>44444</v>
      </c>
      <c r="U2352" t="s">
        <v>46785</v>
      </c>
      <c r="W2352" t="s">
        <v>39729</v>
      </c>
      <c r="X2352" t="s">
        <v>42676</v>
      </c>
    </row>
    <row r="2353" spans="1:24">
      <c r="A2353">
        <f>HYPERLINK("https://www.philgeps.gov.ph/GEPSNONPILOT/Tender/SplashBidNoticeAbstractUI.aspx?menuIndex=3&amp;refID=7191565&amp;Result=3","7191565")</f>
        <v>0</v>
      </c>
      <c r="B2353" t="s">
        <v>950</v>
      </c>
      <c r="C2353" t="s">
        <v>5775</v>
      </c>
      <c r="D2353" t="s">
        <v>17205</v>
      </c>
      <c r="E2353" t="s">
        <v>18859</v>
      </c>
      <c r="F2353" t="s">
        <v>29372</v>
      </c>
      <c r="G2353" t="s">
        <v>29380</v>
      </c>
      <c r="H2353" t="s">
        <v>11048</v>
      </c>
      <c r="I2353" t="s">
        <v>4709</v>
      </c>
      <c r="J2353" t="s">
        <v>31178</v>
      </c>
      <c r="K2353" t="s">
        <v>38491</v>
      </c>
      <c r="M2353" t="s">
        <v>39746</v>
      </c>
      <c r="N2353" t="s">
        <v>42669</v>
      </c>
      <c r="O2353" t="s">
        <v>42670</v>
      </c>
      <c r="P2353">
        <v>0</v>
      </c>
      <c r="Q2353">
        <v>5</v>
      </c>
      <c r="R2353" t="s">
        <v>42674</v>
      </c>
      <c r="S2353" t="s">
        <v>42788</v>
      </c>
      <c r="T2353" t="s">
        <v>44540</v>
      </c>
      <c r="U2353" t="s">
        <v>46786</v>
      </c>
      <c r="V2353" t="s">
        <v>56596</v>
      </c>
      <c r="W2353" t="s">
        <v>39746</v>
      </c>
      <c r="X2353" t="s">
        <v>42676</v>
      </c>
    </row>
    <row r="2354" spans="1:24">
      <c r="A2354">
        <f>HYPERLINK("https://www.philgeps.gov.ph/GEPSNONPILOT/Tender/SplashBidNoticeAbstractUI.aspx?menuIndex=3&amp;refID=7191552&amp;Result=3","7191552")</f>
        <v>0</v>
      </c>
      <c r="B2354" t="s">
        <v>391</v>
      </c>
      <c r="C2354" t="s">
        <v>5776</v>
      </c>
      <c r="D2354" t="s">
        <v>17213</v>
      </c>
      <c r="E2354" t="s">
        <v>19323</v>
      </c>
      <c r="F2354" t="s">
        <v>29372</v>
      </c>
      <c r="G2354" t="s">
        <v>29383</v>
      </c>
      <c r="H2354" t="s">
        <v>11048</v>
      </c>
      <c r="I2354" t="s">
        <v>3695</v>
      </c>
      <c r="J2354" t="s">
        <v>31179</v>
      </c>
      <c r="K2354" t="s">
        <v>38491</v>
      </c>
      <c r="M2354" t="s">
        <v>39154</v>
      </c>
      <c r="N2354" t="s">
        <v>42669</v>
      </c>
      <c r="O2354" t="s">
        <v>42670</v>
      </c>
      <c r="P2354">
        <v>0</v>
      </c>
      <c r="Q2354">
        <v>3</v>
      </c>
      <c r="R2354" t="s">
        <v>42674</v>
      </c>
      <c r="S2354" t="s">
        <v>42788</v>
      </c>
      <c r="T2354" t="s">
        <v>44451</v>
      </c>
      <c r="U2354" t="s">
        <v>46787</v>
      </c>
      <c r="V2354" t="s">
        <v>56447</v>
      </c>
      <c r="W2354" t="s">
        <v>39154</v>
      </c>
      <c r="X2354" t="s">
        <v>42676</v>
      </c>
    </row>
    <row r="2355" spans="1:24">
      <c r="A2355">
        <f>HYPERLINK("https://www.philgeps.gov.ph/GEPSNONPILOT/Tender/SplashBidNoticeAbstractUI.aspx?menuIndex=3&amp;refID=7191548&amp;Result=3","7191548")</f>
        <v>0</v>
      </c>
      <c r="B2355" t="s">
        <v>70</v>
      </c>
      <c r="C2355" t="s">
        <v>5777</v>
      </c>
      <c r="D2355" t="s">
        <v>17143</v>
      </c>
      <c r="E2355" t="s">
        <v>19324</v>
      </c>
      <c r="F2355" t="s">
        <v>29372</v>
      </c>
      <c r="G2355" t="s">
        <v>29380</v>
      </c>
      <c r="H2355" t="s">
        <v>11048</v>
      </c>
      <c r="I2355" t="s">
        <v>29393</v>
      </c>
      <c r="J2355" t="s">
        <v>29708</v>
      </c>
      <c r="K2355" t="s">
        <v>38491</v>
      </c>
      <c r="M2355" t="s">
        <v>38824</v>
      </c>
      <c r="N2355" t="s">
        <v>42669</v>
      </c>
      <c r="O2355" t="s">
        <v>42670</v>
      </c>
      <c r="P2355">
        <v>0</v>
      </c>
      <c r="Q2355">
        <v>0</v>
      </c>
      <c r="R2355" t="s">
        <v>42674</v>
      </c>
      <c r="S2355" t="s">
        <v>42788</v>
      </c>
      <c r="T2355" t="s">
        <v>44480</v>
      </c>
      <c r="U2355" t="s">
        <v>46788</v>
      </c>
      <c r="V2355" t="s">
        <v>56597</v>
      </c>
      <c r="W2355" t="s">
        <v>38824</v>
      </c>
      <c r="X2355" t="s">
        <v>42676</v>
      </c>
    </row>
    <row r="2356" spans="1:24">
      <c r="A2356">
        <f>HYPERLINK("https://www.philgeps.gov.ph/GEPSNONPILOT/Tender/SplashBidNoticeAbstractUI.aspx?menuIndex=3&amp;refID=7191546&amp;Result=3","7191546")</f>
        <v>0</v>
      </c>
      <c r="B2356" t="s">
        <v>891</v>
      </c>
      <c r="C2356" t="s">
        <v>5778</v>
      </c>
      <c r="D2356" t="s">
        <v>17158</v>
      </c>
      <c r="E2356" t="s">
        <v>19325</v>
      </c>
      <c r="F2356" t="s">
        <v>29372</v>
      </c>
      <c r="G2356" t="s">
        <v>29380</v>
      </c>
      <c r="H2356" t="s">
        <v>11048</v>
      </c>
      <c r="I2356" t="s">
        <v>29394</v>
      </c>
      <c r="J2356" t="s">
        <v>31180</v>
      </c>
      <c r="K2356" t="s">
        <v>38488</v>
      </c>
      <c r="M2356" t="s">
        <v>39684</v>
      </c>
      <c r="N2356" t="s">
        <v>42669</v>
      </c>
      <c r="O2356" t="s">
        <v>42670</v>
      </c>
      <c r="P2356">
        <v>0</v>
      </c>
      <c r="Q2356">
        <v>1</v>
      </c>
      <c r="R2356" t="s">
        <v>42674</v>
      </c>
      <c r="S2356" t="s">
        <v>42788</v>
      </c>
      <c r="T2356" t="s">
        <v>44591</v>
      </c>
      <c r="U2356" t="s">
        <v>46789</v>
      </c>
      <c r="W2356" t="s">
        <v>39684</v>
      </c>
      <c r="X2356" t="s">
        <v>42676</v>
      </c>
    </row>
    <row r="2357" spans="1:24">
      <c r="A2357">
        <f>HYPERLINK("https://www.philgeps.gov.ph/GEPSNONPILOT/Tender/SplashBidNoticeAbstractUI.aspx?menuIndex=3&amp;refID=7191559&amp;Result=3","7191559")</f>
        <v>0</v>
      </c>
      <c r="B2357" t="s">
        <v>951</v>
      </c>
      <c r="C2357" t="s">
        <v>5779</v>
      </c>
      <c r="D2357" t="s">
        <v>17166</v>
      </c>
      <c r="E2357" t="s">
        <v>19326</v>
      </c>
      <c r="F2357" t="s">
        <v>29372</v>
      </c>
      <c r="G2357" t="s">
        <v>29383</v>
      </c>
      <c r="H2357" t="s">
        <v>11048</v>
      </c>
      <c r="I2357" t="s">
        <v>5383</v>
      </c>
      <c r="J2357" t="s">
        <v>31181</v>
      </c>
      <c r="K2357" t="s">
        <v>38490</v>
      </c>
      <c r="M2357" t="s">
        <v>39747</v>
      </c>
      <c r="N2357" t="s">
        <v>42669</v>
      </c>
      <c r="O2357" t="s">
        <v>42670</v>
      </c>
      <c r="P2357">
        <v>0</v>
      </c>
      <c r="Q2357">
        <v>0</v>
      </c>
      <c r="R2357" t="s">
        <v>42674</v>
      </c>
      <c r="S2357" t="s">
        <v>42788</v>
      </c>
      <c r="T2357" t="s">
        <v>44434</v>
      </c>
      <c r="U2357" t="s">
        <v>46790</v>
      </c>
      <c r="W2357" t="s">
        <v>39747</v>
      </c>
      <c r="X2357" t="s">
        <v>42676</v>
      </c>
    </row>
    <row r="2358" spans="1:24">
      <c r="A2358">
        <f>HYPERLINK("https://www.philgeps.gov.ph/GEPSNONPILOT/Tender/SplashBidNoticeAbstractUI.aspx?menuIndex=3&amp;refID=7191542&amp;Result=3","7191542")</f>
        <v>0</v>
      </c>
      <c r="B2358" t="s">
        <v>952</v>
      </c>
      <c r="C2358" t="s">
        <v>5780</v>
      </c>
      <c r="E2358" t="s">
        <v>19327</v>
      </c>
      <c r="F2358" t="s">
        <v>29372</v>
      </c>
      <c r="G2358" t="s">
        <v>29383</v>
      </c>
      <c r="H2358" t="s">
        <v>11048</v>
      </c>
      <c r="I2358" t="s">
        <v>29398</v>
      </c>
      <c r="J2358" t="s">
        <v>29529</v>
      </c>
      <c r="K2358" t="s">
        <v>38485</v>
      </c>
      <c r="M2358" t="s">
        <v>39748</v>
      </c>
      <c r="N2358" t="s">
        <v>42669</v>
      </c>
      <c r="O2358" t="s">
        <v>42670</v>
      </c>
      <c r="P2358">
        <v>0</v>
      </c>
      <c r="Q2358">
        <v>2</v>
      </c>
      <c r="R2358" t="s">
        <v>42674</v>
      </c>
      <c r="S2358" t="s">
        <v>42788</v>
      </c>
      <c r="T2358" t="s">
        <v>44417</v>
      </c>
      <c r="U2358" t="s">
        <v>46791</v>
      </c>
      <c r="W2358" t="s">
        <v>39748</v>
      </c>
      <c r="X2358" t="s">
        <v>42676</v>
      </c>
    </row>
    <row r="2359" spans="1:24">
      <c r="A2359">
        <f>HYPERLINK("https://www.philgeps.gov.ph/GEPSNONPILOT/Tender/SplashBidNoticeAbstractUI.aspx?menuIndex=3&amp;refID=7191541&amp;Result=3","7191541")</f>
        <v>0</v>
      </c>
      <c r="B2359" t="s">
        <v>901</v>
      </c>
      <c r="C2359" t="s">
        <v>5781</v>
      </c>
      <c r="D2359" t="s">
        <v>17170</v>
      </c>
      <c r="E2359" t="s">
        <v>19328</v>
      </c>
      <c r="F2359" t="s">
        <v>29372</v>
      </c>
      <c r="G2359" t="s">
        <v>29381</v>
      </c>
      <c r="H2359" t="s">
        <v>29389</v>
      </c>
      <c r="I2359" t="s">
        <v>10408</v>
      </c>
      <c r="J2359" t="s">
        <v>29804</v>
      </c>
      <c r="K2359" t="s">
        <v>38496</v>
      </c>
      <c r="M2359" t="s">
        <v>39694</v>
      </c>
      <c r="N2359" t="s">
        <v>42669</v>
      </c>
      <c r="O2359" t="s">
        <v>42670</v>
      </c>
      <c r="P2359">
        <v>0</v>
      </c>
      <c r="Q2359">
        <v>0</v>
      </c>
      <c r="R2359" t="s">
        <v>42674</v>
      </c>
      <c r="S2359" t="s">
        <v>42788</v>
      </c>
      <c r="T2359" t="s">
        <v>44387</v>
      </c>
      <c r="U2359" t="s">
        <v>46792</v>
      </c>
      <c r="W2359" t="s">
        <v>39694</v>
      </c>
      <c r="X2359" t="s">
        <v>42676</v>
      </c>
    </row>
    <row r="2360" spans="1:24">
      <c r="A2360">
        <f>HYPERLINK("https://www.philgeps.gov.ph/GEPSNONPILOT/Tender/SplashBidNoticeAbstractUI.aspx?menuIndex=3&amp;refID=7191535&amp;Result=3","7191535")</f>
        <v>0</v>
      </c>
      <c r="B2360" t="s">
        <v>953</v>
      </c>
      <c r="C2360" t="s">
        <v>5782</v>
      </c>
      <c r="D2360" t="s">
        <v>17225</v>
      </c>
      <c r="E2360" t="s">
        <v>19329</v>
      </c>
      <c r="F2360" t="s">
        <v>29372</v>
      </c>
      <c r="G2360" t="s">
        <v>29380</v>
      </c>
      <c r="H2360" t="s">
        <v>11048</v>
      </c>
      <c r="I2360" t="s">
        <v>8208</v>
      </c>
      <c r="J2360" t="s">
        <v>30679</v>
      </c>
      <c r="K2360" t="s">
        <v>38490</v>
      </c>
      <c r="M2360" t="s">
        <v>39749</v>
      </c>
      <c r="N2360" t="s">
        <v>42669</v>
      </c>
      <c r="O2360" t="s">
        <v>42670</v>
      </c>
      <c r="P2360">
        <v>0</v>
      </c>
      <c r="Q2360">
        <v>0</v>
      </c>
      <c r="R2360" t="s">
        <v>42674</v>
      </c>
      <c r="S2360" t="s">
        <v>42788</v>
      </c>
      <c r="T2360" t="s">
        <v>44375</v>
      </c>
      <c r="U2360" t="s">
        <v>46793</v>
      </c>
      <c r="W2360" t="s">
        <v>39749</v>
      </c>
      <c r="X2360" t="s">
        <v>42676</v>
      </c>
    </row>
    <row r="2361" spans="1:24">
      <c r="A2361">
        <f>HYPERLINK("https://www.philgeps.gov.ph/GEPSNONPILOT/Tender/SplashBidNoticeAbstractUI.aspx?menuIndex=3&amp;refID=7191533&amp;Result=3","7191533")</f>
        <v>0</v>
      </c>
      <c r="B2361" t="s">
        <v>899</v>
      </c>
      <c r="C2361" t="s">
        <v>5783</v>
      </c>
      <c r="D2361" t="s">
        <v>17213</v>
      </c>
      <c r="E2361" t="s">
        <v>19330</v>
      </c>
      <c r="F2361" t="s">
        <v>29372</v>
      </c>
      <c r="G2361" t="s">
        <v>29381</v>
      </c>
      <c r="H2361" t="s">
        <v>11048</v>
      </c>
      <c r="I2361" t="s">
        <v>29407</v>
      </c>
      <c r="J2361" t="s">
        <v>31182</v>
      </c>
      <c r="K2361" t="s">
        <v>38488</v>
      </c>
      <c r="M2361" t="s">
        <v>39692</v>
      </c>
      <c r="N2361" t="s">
        <v>42669</v>
      </c>
      <c r="O2361" t="s">
        <v>42670</v>
      </c>
      <c r="P2361">
        <v>0</v>
      </c>
      <c r="Q2361">
        <v>3</v>
      </c>
      <c r="R2361" t="s">
        <v>42674</v>
      </c>
      <c r="S2361" t="s">
        <v>42788</v>
      </c>
      <c r="T2361" t="s">
        <v>44399</v>
      </c>
      <c r="U2361" t="s">
        <v>46794</v>
      </c>
      <c r="V2361" t="s">
        <v>56598</v>
      </c>
      <c r="W2361" t="s">
        <v>39692</v>
      </c>
      <c r="X2361" t="s">
        <v>42676</v>
      </c>
    </row>
    <row r="2362" spans="1:24">
      <c r="A2362">
        <f>HYPERLINK("https://www.philgeps.gov.ph/GEPSNONPILOT/Tender/SplashBidNoticeAbstractUI.aspx?menuIndex=3&amp;refID=7190458&amp;Result=3","7190458")</f>
        <v>0</v>
      </c>
      <c r="B2362" t="s">
        <v>709</v>
      </c>
      <c r="C2362" t="s">
        <v>5784</v>
      </c>
      <c r="D2362" t="s">
        <v>17151</v>
      </c>
      <c r="E2362" t="s">
        <v>19331</v>
      </c>
      <c r="F2362" t="s">
        <v>29373</v>
      </c>
      <c r="G2362" t="s">
        <v>29379</v>
      </c>
      <c r="H2362" t="s">
        <v>11048</v>
      </c>
      <c r="I2362" t="s">
        <v>29458</v>
      </c>
      <c r="J2362" t="s">
        <v>31183</v>
      </c>
      <c r="K2362" t="s">
        <v>38488</v>
      </c>
      <c r="M2362" t="s">
        <v>39488</v>
      </c>
      <c r="N2362" t="s">
        <v>42669</v>
      </c>
      <c r="O2362" t="s">
        <v>42670</v>
      </c>
      <c r="P2362">
        <v>0</v>
      </c>
      <c r="Q2362">
        <v>3</v>
      </c>
      <c r="R2362" t="s">
        <v>42674</v>
      </c>
      <c r="S2362" t="s">
        <v>42788</v>
      </c>
      <c r="T2362" t="s">
        <v>44456</v>
      </c>
      <c r="U2362" t="s">
        <v>46795</v>
      </c>
      <c r="V2362" t="s">
        <v>56599</v>
      </c>
      <c r="W2362" t="s">
        <v>39488</v>
      </c>
      <c r="X2362" t="s">
        <v>42676</v>
      </c>
    </row>
    <row r="2363" spans="1:24">
      <c r="A2363">
        <f>HYPERLINK("https://www.philgeps.gov.ph/GEPSNONPILOT/Tender/SplashBidNoticeAbstractUI.aspx?menuIndex=3&amp;refID=7191544&amp;Result=3","7191544")</f>
        <v>0</v>
      </c>
      <c r="B2363" t="s">
        <v>242</v>
      </c>
      <c r="C2363" t="s">
        <v>5785</v>
      </c>
      <c r="D2363" t="s">
        <v>17197</v>
      </c>
      <c r="E2363" t="s">
        <v>19332</v>
      </c>
      <c r="F2363" t="s">
        <v>29372</v>
      </c>
      <c r="G2363" t="s">
        <v>29383</v>
      </c>
      <c r="H2363" t="s">
        <v>11048</v>
      </c>
      <c r="I2363" t="s">
        <v>29398</v>
      </c>
      <c r="J2363" t="s">
        <v>31184</v>
      </c>
      <c r="K2363" t="s">
        <v>38538</v>
      </c>
      <c r="M2363" t="s">
        <v>39001</v>
      </c>
      <c r="N2363" t="s">
        <v>42669</v>
      </c>
      <c r="O2363" t="s">
        <v>42670</v>
      </c>
      <c r="P2363">
        <v>0</v>
      </c>
      <c r="Q2363">
        <v>8</v>
      </c>
      <c r="R2363" t="s">
        <v>42674</v>
      </c>
      <c r="S2363" t="s">
        <v>42788</v>
      </c>
      <c r="T2363" t="s">
        <v>44399</v>
      </c>
      <c r="U2363" t="s">
        <v>46796</v>
      </c>
      <c r="W2363" t="s">
        <v>39001</v>
      </c>
      <c r="X2363" t="s">
        <v>42676</v>
      </c>
    </row>
    <row r="2364" spans="1:24">
      <c r="A2364">
        <f>HYPERLINK("https://www.philgeps.gov.ph/GEPSNONPILOT/Tender/SplashBidNoticeAbstractUI.aspx?menuIndex=3&amp;refID=7190457&amp;Result=3","7190457")</f>
        <v>0</v>
      </c>
      <c r="B2364" t="s">
        <v>691</v>
      </c>
      <c r="C2364" t="s">
        <v>5786</v>
      </c>
      <c r="D2364" t="s">
        <v>17141</v>
      </c>
      <c r="E2364" t="s">
        <v>18813</v>
      </c>
      <c r="F2364" t="s">
        <v>29375</v>
      </c>
      <c r="G2364" t="s">
        <v>29380</v>
      </c>
      <c r="H2364" t="s">
        <v>11048</v>
      </c>
      <c r="I2364" t="s">
        <v>3670</v>
      </c>
      <c r="J2364" t="s">
        <v>31185</v>
      </c>
      <c r="K2364" t="s">
        <v>38485</v>
      </c>
      <c r="M2364" t="s">
        <v>39467</v>
      </c>
      <c r="N2364" t="s">
        <v>42669</v>
      </c>
      <c r="O2364" t="s">
        <v>42670</v>
      </c>
      <c r="P2364">
        <v>0</v>
      </c>
      <c r="Q2364">
        <v>2</v>
      </c>
      <c r="R2364" t="s">
        <v>42674</v>
      </c>
      <c r="S2364" t="s">
        <v>42788</v>
      </c>
      <c r="T2364" t="s">
        <v>44562</v>
      </c>
      <c r="U2364" t="s">
        <v>46797</v>
      </c>
      <c r="W2364" t="s">
        <v>39467</v>
      </c>
      <c r="X2364" t="s">
        <v>42676</v>
      </c>
    </row>
    <row r="2365" spans="1:24">
      <c r="A2365">
        <f>HYPERLINK("https://www.philgeps.gov.ph/GEPSNONPILOT/Tender/SplashBidNoticeAbstractUI.aspx?menuIndex=3&amp;refID=7191540&amp;Result=3","7191540")</f>
        <v>0</v>
      </c>
      <c r="B2365" t="s">
        <v>669</v>
      </c>
      <c r="C2365" t="s">
        <v>5787</v>
      </c>
      <c r="D2365" t="s">
        <v>17147</v>
      </c>
      <c r="E2365" t="s">
        <v>19333</v>
      </c>
      <c r="F2365" t="s">
        <v>29372</v>
      </c>
      <c r="G2365" t="s">
        <v>29382</v>
      </c>
      <c r="H2365" t="s">
        <v>11048</v>
      </c>
      <c r="I2365" t="s">
        <v>5383</v>
      </c>
      <c r="J2365" t="s">
        <v>31186</v>
      </c>
      <c r="K2365" t="s">
        <v>38488</v>
      </c>
      <c r="N2365" t="s">
        <v>42669</v>
      </c>
      <c r="O2365" t="s">
        <v>42670</v>
      </c>
      <c r="P2365">
        <v>0</v>
      </c>
      <c r="Q2365">
        <v>1</v>
      </c>
      <c r="R2365" t="s">
        <v>42674</v>
      </c>
      <c r="S2365" t="s">
        <v>42788</v>
      </c>
      <c r="T2365" t="s">
        <v>44580</v>
      </c>
      <c r="U2365" t="s">
        <v>46798</v>
      </c>
      <c r="V2365" t="s">
        <v>56531</v>
      </c>
      <c r="W2365" t="s">
        <v>58028</v>
      </c>
      <c r="X2365" t="s">
        <v>42676</v>
      </c>
    </row>
    <row r="2366" spans="1:24">
      <c r="A2366">
        <f>HYPERLINK("https://www.philgeps.gov.ph/GEPSNONPILOT/Tender/SplashBidNoticeAbstractUI.aspx?menuIndex=3&amp;refID=7191612&amp;Result=3","7191612")</f>
        <v>0</v>
      </c>
      <c r="B2366" t="s">
        <v>278</v>
      </c>
      <c r="C2366" t="s">
        <v>5788</v>
      </c>
      <c r="D2366" t="s">
        <v>17206</v>
      </c>
      <c r="E2366" t="s">
        <v>19334</v>
      </c>
      <c r="F2366" t="s">
        <v>29372</v>
      </c>
      <c r="G2366" t="s">
        <v>29380</v>
      </c>
      <c r="H2366" t="s">
        <v>29389</v>
      </c>
      <c r="I2366" t="s">
        <v>10408</v>
      </c>
      <c r="J2366" t="s">
        <v>29924</v>
      </c>
      <c r="K2366" t="s">
        <v>38515</v>
      </c>
      <c r="M2366" t="s">
        <v>39710</v>
      </c>
      <c r="N2366" t="s">
        <v>42669</v>
      </c>
      <c r="O2366" t="s">
        <v>42670</v>
      </c>
      <c r="P2366">
        <v>0</v>
      </c>
      <c r="Q2366">
        <v>2</v>
      </c>
      <c r="R2366" t="s">
        <v>42674</v>
      </c>
      <c r="S2366" t="s">
        <v>42788</v>
      </c>
      <c r="T2366" t="s">
        <v>44587</v>
      </c>
      <c r="U2366" t="s">
        <v>46799</v>
      </c>
      <c r="W2366" t="s">
        <v>39710</v>
      </c>
      <c r="X2366" t="s">
        <v>42676</v>
      </c>
    </row>
    <row r="2367" spans="1:24">
      <c r="A2367">
        <f>HYPERLINK("https://www.philgeps.gov.ph/GEPSNONPILOT/Tender/SplashBidNoticeAbstractUI.aspx?menuIndex=3&amp;refID=7190597&amp;Result=3","7190597")</f>
        <v>0</v>
      </c>
      <c r="B2367" t="s">
        <v>681</v>
      </c>
      <c r="C2367" t="s">
        <v>5789</v>
      </c>
      <c r="D2367" t="s">
        <v>17160</v>
      </c>
      <c r="E2367" t="s">
        <v>19335</v>
      </c>
      <c r="F2367" t="s">
        <v>29372</v>
      </c>
      <c r="G2367" t="s">
        <v>29380</v>
      </c>
      <c r="H2367" t="s">
        <v>29389</v>
      </c>
      <c r="I2367" t="s">
        <v>10408</v>
      </c>
      <c r="J2367" t="s">
        <v>31187</v>
      </c>
      <c r="K2367" t="s">
        <v>38490</v>
      </c>
      <c r="M2367" t="s">
        <v>39457</v>
      </c>
      <c r="N2367" t="s">
        <v>42669</v>
      </c>
      <c r="O2367" t="s">
        <v>42670</v>
      </c>
      <c r="P2367">
        <v>0</v>
      </c>
      <c r="Q2367">
        <v>3</v>
      </c>
      <c r="R2367" t="s">
        <v>42674</v>
      </c>
      <c r="S2367" t="s">
        <v>42788</v>
      </c>
      <c r="T2367" t="s">
        <v>44439</v>
      </c>
      <c r="U2367" t="s">
        <v>46800</v>
      </c>
      <c r="W2367" t="s">
        <v>39457</v>
      </c>
      <c r="X2367" t="s">
        <v>42676</v>
      </c>
    </row>
    <row r="2368" spans="1:24">
      <c r="A2368">
        <f>HYPERLINK("https://www.philgeps.gov.ph/GEPSNONPILOT/Tender/SplashBidNoticeAbstractUI.aspx?menuIndex=3&amp;refID=7191609&amp;Result=3","7191609")</f>
        <v>0</v>
      </c>
      <c r="B2368" t="s">
        <v>798</v>
      </c>
      <c r="C2368" t="s">
        <v>5790</v>
      </c>
      <c r="D2368" t="s">
        <v>17188</v>
      </c>
      <c r="E2368" t="s">
        <v>19336</v>
      </c>
      <c r="F2368" t="s">
        <v>29372</v>
      </c>
      <c r="G2368" t="s">
        <v>29379</v>
      </c>
      <c r="H2368" t="s">
        <v>11048</v>
      </c>
      <c r="I2368" t="s">
        <v>29400</v>
      </c>
      <c r="J2368" t="s">
        <v>31188</v>
      </c>
      <c r="K2368" t="s">
        <v>38490</v>
      </c>
      <c r="M2368" t="s">
        <v>39582</v>
      </c>
      <c r="N2368" t="s">
        <v>42669</v>
      </c>
      <c r="O2368" t="s">
        <v>42670</v>
      </c>
      <c r="P2368">
        <v>0</v>
      </c>
      <c r="Q2368">
        <v>9</v>
      </c>
      <c r="R2368" t="s">
        <v>42674</v>
      </c>
      <c r="S2368" t="s">
        <v>42788</v>
      </c>
      <c r="T2368" t="s">
        <v>44382</v>
      </c>
      <c r="U2368" t="s">
        <v>46801</v>
      </c>
      <c r="W2368" t="s">
        <v>39582</v>
      </c>
      <c r="X2368" t="s">
        <v>42676</v>
      </c>
    </row>
    <row r="2369" spans="1:24">
      <c r="A2369">
        <f>HYPERLINK("https://www.philgeps.gov.ph/GEPSNONPILOT/Tender/SplashBidNoticeAbstractUI.aspx?menuIndex=3&amp;refID=7191607&amp;Result=3","7191607")</f>
        <v>0</v>
      </c>
      <c r="B2369" t="s">
        <v>954</v>
      </c>
      <c r="C2369" t="s">
        <v>5791</v>
      </c>
      <c r="D2369" t="s">
        <v>17212</v>
      </c>
      <c r="E2369" t="s">
        <v>19337</v>
      </c>
      <c r="F2369" t="s">
        <v>29372</v>
      </c>
      <c r="G2369" t="s">
        <v>29380</v>
      </c>
      <c r="H2369" t="s">
        <v>11048</v>
      </c>
      <c r="I2369" t="s">
        <v>4487</v>
      </c>
      <c r="J2369" t="s">
        <v>31189</v>
      </c>
      <c r="K2369" t="s">
        <v>38488</v>
      </c>
      <c r="M2369" t="s">
        <v>39750</v>
      </c>
      <c r="N2369" t="s">
        <v>42669</v>
      </c>
      <c r="O2369" t="s">
        <v>42670</v>
      </c>
      <c r="P2369">
        <v>0</v>
      </c>
      <c r="Q2369">
        <v>3</v>
      </c>
      <c r="R2369" t="s">
        <v>42674</v>
      </c>
      <c r="S2369" t="s">
        <v>42788</v>
      </c>
      <c r="T2369" t="s">
        <v>44504</v>
      </c>
      <c r="U2369" t="s">
        <v>46802</v>
      </c>
      <c r="W2369" t="s">
        <v>39750</v>
      </c>
      <c r="X2369" t="s">
        <v>42676</v>
      </c>
    </row>
    <row r="2370" spans="1:24">
      <c r="A2370">
        <f>HYPERLINK("https://www.philgeps.gov.ph/GEPSNONPILOT/Tender/SplashBidNoticeAbstractUI.aspx?menuIndex=3&amp;refID=7191596&amp;Result=3","7191596")</f>
        <v>0</v>
      </c>
      <c r="B2370" t="s">
        <v>955</v>
      </c>
      <c r="C2370" t="s">
        <v>5792</v>
      </c>
      <c r="E2370" t="s">
        <v>19338</v>
      </c>
      <c r="F2370" t="s">
        <v>29372</v>
      </c>
      <c r="G2370" t="s">
        <v>29380</v>
      </c>
      <c r="H2370" t="s">
        <v>11048</v>
      </c>
      <c r="I2370" t="s">
        <v>3860</v>
      </c>
      <c r="J2370" t="s">
        <v>31190</v>
      </c>
      <c r="K2370" t="s">
        <v>38490</v>
      </c>
      <c r="M2370" t="s">
        <v>39751</v>
      </c>
      <c r="N2370" t="s">
        <v>42669</v>
      </c>
      <c r="O2370" t="s">
        <v>42670</v>
      </c>
      <c r="P2370">
        <v>0</v>
      </c>
      <c r="Q2370">
        <v>1</v>
      </c>
      <c r="R2370" t="s">
        <v>42674</v>
      </c>
      <c r="S2370" t="s">
        <v>42788</v>
      </c>
      <c r="T2370" t="s">
        <v>44363</v>
      </c>
      <c r="U2370" t="s">
        <v>46803</v>
      </c>
      <c r="W2370" t="s">
        <v>39751</v>
      </c>
      <c r="X2370" t="s">
        <v>42676</v>
      </c>
    </row>
    <row r="2371" spans="1:24">
      <c r="A2371">
        <f>HYPERLINK("https://www.philgeps.gov.ph/GEPSNONPILOT/Tender/SplashBidNoticeAbstractUI.aspx?menuIndex=3&amp;refID=7191597&amp;Result=3","7191597")</f>
        <v>0</v>
      </c>
      <c r="B2371" t="s">
        <v>750</v>
      </c>
      <c r="C2371" t="s">
        <v>5793</v>
      </c>
      <c r="D2371" t="s">
        <v>17181</v>
      </c>
      <c r="E2371" t="s">
        <v>19339</v>
      </c>
      <c r="F2371" t="s">
        <v>29372</v>
      </c>
      <c r="G2371" t="s">
        <v>29380</v>
      </c>
      <c r="H2371" t="s">
        <v>11048</v>
      </c>
      <c r="I2371" t="s">
        <v>3629</v>
      </c>
      <c r="J2371" t="s">
        <v>31191</v>
      </c>
      <c r="K2371" t="s">
        <v>38490</v>
      </c>
      <c r="M2371" t="s">
        <v>39533</v>
      </c>
      <c r="N2371" t="s">
        <v>42669</v>
      </c>
      <c r="O2371" t="s">
        <v>42670</v>
      </c>
      <c r="P2371">
        <v>0</v>
      </c>
      <c r="Q2371">
        <v>1</v>
      </c>
      <c r="R2371" t="s">
        <v>42674</v>
      </c>
      <c r="S2371" t="s">
        <v>42788</v>
      </c>
      <c r="T2371" t="s">
        <v>44482</v>
      </c>
      <c r="U2371" t="s">
        <v>46804</v>
      </c>
      <c r="W2371" t="s">
        <v>39533</v>
      </c>
      <c r="X2371" t="s">
        <v>42676</v>
      </c>
    </row>
    <row r="2372" spans="1:24">
      <c r="A2372">
        <f>HYPERLINK("https://www.philgeps.gov.ph/GEPSNONPILOT/Tender/SplashBidNoticeAbstractUI.aspx?menuIndex=3&amp;refID=7191539&amp;Result=3","7191539")</f>
        <v>0</v>
      </c>
      <c r="B2372" t="s">
        <v>938</v>
      </c>
      <c r="C2372" t="s">
        <v>5794</v>
      </c>
      <c r="E2372" t="s">
        <v>19340</v>
      </c>
      <c r="F2372" t="s">
        <v>29372</v>
      </c>
      <c r="G2372" t="s">
        <v>29380</v>
      </c>
      <c r="H2372" t="s">
        <v>29389</v>
      </c>
      <c r="I2372" t="s">
        <v>10408</v>
      </c>
      <c r="J2372" t="s">
        <v>31150</v>
      </c>
      <c r="K2372" t="s">
        <v>38490</v>
      </c>
      <c r="M2372" t="s">
        <v>39733</v>
      </c>
      <c r="N2372" t="s">
        <v>42669</v>
      </c>
      <c r="O2372" t="s">
        <v>42670</v>
      </c>
      <c r="Q2372">
        <v>1</v>
      </c>
      <c r="R2372" t="s">
        <v>42674</v>
      </c>
      <c r="S2372" t="s">
        <v>42802</v>
      </c>
      <c r="T2372" t="s">
        <v>44470</v>
      </c>
      <c r="U2372" t="s">
        <v>46805</v>
      </c>
      <c r="W2372" t="s">
        <v>58027</v>
      </c>
      <c r="X2372" t="s">
        <v>42676</v>
      </c>
    </row>
    <row r="2373" spans="1:24">
      <c r="A2373">
        <f>HYPERLINK("https://www.philgeps.gov.ph/GEPSNONPILOT/Tender/SplashBidNoticeAbstractUI.aspx?menuIndex=3&amp;refID=7191595&amp;Result=3","7191595")</f>
        <v>0</v>
      </c>
      <c r="B2373" t="s">
        <v>391</v>
      </c>
      <c r="C2373" t="s">
        <v>5795</v>
      </c>
      <c r="D2373" t="s">
        <v>17213</v>
      </c>
      <c r="E2373" t="s">
        <v>19341</v>
      </c>
      <c r="F2373" t="s">
        <v>29372</v>
      </c>
      <c r="G2373" t="s">
        <v>29380</v>
      </c>
      <c r="H2373" t="s">
        <v>11048</v>
      </c>
      <c r="I2373" t="s">
        <v>29407</v>
      </c>
      <c r="J2373" t="s">
        <v>31192</v>
      </c>
      <c r="K2373" t="s">
        <v>38510</v>
      </c>
      <c r="M2373" t="s">
        <v>39154</v>
      </c>
      <c r="N2373" t="s">
        <v>42669</v>
      </c>
      <c r="O2373" t="s">
        <v>42670</v>
      </c>
      <c r="P2373">
        <v>0</v>
      </c>
      <c r="Q2373">
        <v>4</v>
      </c>
      <c r="R2373" t="s">
        <v>42674</v>
      </c>
      <c r="S2373" t="s">
        <v>42788</v>
      </c>
      <c r="T2373" t="s">
        <v>44507</v>
      </c>
      <c r="U2373" t="s">
        <v>46806</v>
      </c>
      <c r="V2373" t="s">
        <v>56600</v>
      </c>
      <c r="W2373" t="s">
        <v>39154</v>
      </c>
      <c r="X2373" t="s">
        <v>42676</v>
      </c>
    </row>
    <row r="2374" spans="1:24">
      <c r="A2374">
        <f>HYPERLINK("https://www.philgeps.gov.ph/GEPSNONPILOT/Tender/SplashBidNoticeAbstractUI.aspx?menuIndex=3&amp;refID=7190599&amp;Result=3","7190599")</f>
        <v>0</v>
      </c>
      <c r="B2374" t="s">
        <v>956</v>
      </c>
      <c r="C2374" t="s">
        <v>5796</v>
      </c>
      <c r="E2374" t="s">
        <v>19342</v>
      </c>
      <c r="F2374" t="s">
        <v>29372</v>
      </c>
      <c r="G2374" t="s">
        <v>29379</v>
      </c>
      <c r="H2374" t="s">
        <v>11048</v>
      </c>
      <c r="I2374" t="s">
        <v>29455</v>
      </c>
      <c r="J2374" t="s">
        <v>31193</v>
      </c>
      <c r="K2374" t="s">
        <v>38485</v>
      </c>
      <c r="M2374" t="s">
        <v>39752</v>
      </c>
      <c r="N2374" t="s">
        <v>42669</v>
      </c>
      <c r="O2374" t="s">
        <v>42670</v>
      </c>
      <c r="P2374">
        <v>0</v>
      </c>
      <c r="Q2374">
        <v>1</v>
      </c>
      <c r="R2374" t="s">
        <v>42674</v>
      </c>
      <c r="S2374" t="s">
        <v>42788</v>
      </c>
      <c r="T2374" t="s">
        <v>44592</v>
      </c>
      <c r="U2374" t="s">
        <v>46807</v>
      </c>
      <c r="W2374" t="s">
        <v>39752</v>
      </c>
      <c r="X2374" t="s">
        <v>42676</v>
      </c>
    </row>
    <row r="2375" spans="1:24">
      <c r="A2375">
        <f>HYPERLINK("https://www.philgeps.gov.ph/GEPSNONPILOT/Tender/SplashBidNoticeAbstractUI.aspx?menuIndex=3&amp;refID=7191591&amp;Result=3","7191591")</f>
        <v>0</v>
      </c>
      <c r="B2375" t="s">
        <v>957</v>
      </c>
      <c r="C2375" t="s">
        <v>5797</v>
      </c>
      <c r="D2375" t="s">
        <v>17143</v>
      </c>
      <c r="E2375" t="s">
        <v>19343</v>
      </c>
      <c r="F2375" t="s">
        <v>29372</v>
      </c>
      <c r="G2375" t="s">
        <v>29380</v>
      </c>
      <c r="H2375" t="s">
        <v>11048</v>
      </c>
      <c r="I2375" t="s">
        <v>5383</v>
      </c>
      <c r="J2375" t="s">
        <v>31194</v>
      </c>
      <c r="K2375" t="s">
        <v>38488</v>
      </c>
      <c r="M2375" t="s">
        <v>39753</v>
      </c>
      <c r="N2375" t="s">
        <v>42669</v>
      </c>
      <c r="O2375" t="s">
        <v>42670</v>
      </c>
      <c r="P2375">
        <v>0</v>
      </c>
      <c r="Q2375">
        <v>4</v>
      </c>
      <c r="R2375" t="s">
        <v>42674</v>
      </c>
      <c r="S2375" t="s">
        <v>42788</v>
      </c>
      <c r="T2375" t="s">
        <v>44470</v>
      </c>
      <c r="U2375" t="s">
        <v>46808</v>
      </c>
      <c r="W2375" t="s">
        <v>39753</v>
      </c>
      <c r="X2375" t="s">
        <v>42676</v>
      </c>
    </row>
    <row r="2376" spans="1:24">
      <c r="A2376">
        <f>HYPERLINK("https://www.philgeps.gov.ph/GEPSNONPILOT/Tender/SplashBidNoticeAbstractUI.aspx?menuIndex=3&amp;refID=7191590&amp;Result=3","7191590")</f>
        <v>0</v>
      </c>
      <c r="B2376" t="s">
        <v>916</v>
      </c>
      <c r="C2376" t="s">
        <v>5798</v>
      </c>
      <c r="D2376" t="s">
        <v>17182</v>
      </c>
      <c r="E2376" t="s">
        <v>19344</v>
      </c>
      <c r="F2376" t="s">
        <v>29372</v>
      </c>
      <c r="G2376" t="s">
        <v>29380</v>
      </c>
      <c r="H2376" t="s">
        <v>29389</v>
      </c>
      <c r="I2376" t="s">
        <v>10408</v>
      </c>
      <c r="J2376" t="s">
        <v>31195</v>
      </c>
      <c r="K2376" t="s">
        <v>38495</v>
      </c>
      <c r="M2376" t="s">
        <v>39711</v>
      </c>
      <c r="N2376" t="s">
        <v>42669</v>
      </c>
      <c r="O2376" t="s">
        <v>42670</v>
      </c>
      <c r="Q2376">
        <v>0</v>
      </c>
      <c r="R2376" t="s">
        <v>42674</v>
      </c>
      <c r="S2376" t="s">
        <v>42800</v>
      </c>
      <c r="T2376" t="s">
        <v>44542</v>
      </c>
      <c r="U2376" t="s">
        <v>46809</v>
      </c>
      <c r="W2376" t="s">
        <v>39711</v>
      </c>
      <c r="X2376" t="s">
        <v>42676</v>
      </c>
    </row>
    <row r="2377" spans="1:24">
      <c r="A2377">
        <f>HYPERLINK("https://www.philgeps.gov.ph/GEPSNONPILOT/Tender/SplashBidNoticeAbstractUI.aspx?menuIndex=3&amp;refID=7191585&amp;Result=3","7191585")</f>
        <v>0</v>
      </c>
      <c r="B2377" t="s">
        <v>795</v>
      </c>
      <c r="C2377" t="s">
        <v>5799</v>
      </c>
      <c r="D2377" t="s">
        <v>17167</v>
      </c>
      <c r="E2377" t="s">
        <v>19345</v>
      </c>
      <c r="F2377" t="s">
        <v>29372</v>
      </c>
      <c r="G2377" t="s">
        <v>29380</v>
      </c>
      <c r="H2377" t="s">
        <v>11048</v>
      </c>
      <c r="I2377" t="s">
        <v>5383</v>
      </c>
      <c r="J2377" t="s">
        <v>30334</v>
      </c>
      <c r="K2377" t="s">
        <v>38485</v>
      </c>
      <c r="M2377" t="s">
        <v>39579</v>
      </c>
      <c r="N2377" t="s">
        <v>42669</v>
      </c>
      <c r="O2377" t="s">
        <v>42670</v>
      </c>
      <c r="P2377">
        <v>0</v>
      </c>
      <c r="Q2377">
        <v>3</v>
      </c>
      <c r="R2377" t="s">
        <v>42674</v>
      </c>
      <c r="S2377" t="s">
        <v>42788</v>
      </c>
      <c r="T2377" t="s">
        <v>44568</v>
      </c>
      <c r="U2377" t="s">
        <v>46810</v>
      </c>
      <c r="W2377" t="s">
        <v>39579</v>
      </c>
      <c r="X2377" t="s">
        <v>42676</v>
      </c>
    </row>
    <row r="2378" spans="1:24">
      <c r="A2378">
        <f>HYPERLINK("https://www.philgeps.gov.ph/GEPSNONPILOT/Tender/SplashBidNoticeAbstractUI.aspx?menuIndex=3&amp;refID=7191605&amp;Result=3","7191605")</f>
        <v>0</v>
      </c>
      <c r="B2378" t="s">
        <v>242</v>
      </c>
      <c r="C2378" t="s">
        <v>5800</v>
      </c>
      <c r="D2378" t="s">
        <v>17197</v>
      </c>
      <c r="E2378" t="s">
        <v>19346</v>
      </c>
      <c r="F2378" t="s">
        <v>29372</v>
      </c>
      <c r="G2378" t="s">
        <v>29383</v>
      </c>
      <c r="H2378" t="s">
        <v>11048</v>
      </c>
      <c r="I2378" t="s">
        <v>29398</v>
      </c>
      <c r="J2378" t="s">
        <v>31196</v>
      </c>
      <c r="K2378" t="s">
        <v>38538</v>
      </c>
      <c r="M2378" t="s">
        <v>39001</v>
      </c>
      <c r="N2378" t="s">
        <v>42669</v>
      </c>
      <c r="O2378" t="s">
        <v>42670</v>
      </c>
      <c r="P2378">
        <v>0</v>
      </c>
      <c r="Q2378">
        <v>5</v>
      </c>
      <c r="R2378" t="s">
        <v>42674</v>
      </c>
      <c r="S2378" t="s">
        <v>42788</v>
      </c>
      <c r="T2378" t="s">
        <v>44399</v>
      </c>
      <c r="U2378" t="s">
        <v>46811</v>
      </c>
      <c r="W2378" t="s">
        <v>39001</v>
      </c>
      <c r="X2378" t="s">
        <v>42676</v>
      </c>
    </row>
    <row r="2379" spans="1:24">
      <c r="A2379">
        <f>HYPERLINK("https://www.philgeps.gov.ph/GEPSNONPILOT/Tender/SplashBidNoticeAbstractUI.aspx?menuIndex=3&amp;refID=7191603&amp;Result=3","7191603")</f>
        <v>0</v>
      </c>
      <c r="B2379" t="s">
        <v>947</v>
      </c>
      <c r="C2379" t="s">
        <v>5801</v>
      </c>
      <c r="D2379" t="s">
        <v>17174</v>
      </c>
      <c r="E2379" t="s">
        <v>19347</v>
      </c>
      <c r="F2379" t="s">
        <v>29372</v>
      </c>
      <c r="G2379" t="s">
        <v>29380</v>
      </c>
      <c r="H2379" t="s">
        <v>11048</v>
      </c>
      <c r="I2379" t="s">
        <v>29393</v>
      </c>
      <c r="J2379" t="s">
        <v>31197</v>
      </c>
      <c r="K2379" t="s">
        <v>38510</v>
      </c>
      <c r="M2379" t="s">
        <v>39743</v>
      </c>
      <c r="N2379" t="s">
        <v>42669</v>
      </c>
      <c r="O2379" t="s">
        <v>42670</v>
      </c>
      <c r="P2379">
        <v>0</v>
      </c>
      <c r="Q2379">
        <v>0</v>
      </c>
      <c r="R2379" t="s">
        <v>42674</v>
      </c>
      <c r="S2379" t="s">
        <v>42788</v>
      </c>
      <c r="T2379" t="s">
        <v>44430</v>
      </c>
      <c r="U2379" t="s">
        <v>46812</v>
      </c>
      <c r="V2379" t="s">
        <v>56594</v>
      </c>
      <c r="W2379" t="s">
        <v>39743</v>
      </c>
      <c r="X2379" t="s">
        <v>42676</v>
      </c>
    </row>
    <row r="2380" spans="1:24">
      <c r="A2380">
        <f>HYPERLINK("https://www.philgeps.gov.ph/GEPSNONPILOT/Tender/SplashBidNoticeAbstractUI.aspx?menuIndex=3&amp;refID=7191593&amp;Result=3","7191593")</f>
        <v>0</v>
      </c>
      <c r="B2380" t="s">
        <v>586</v>
      </c>
      <c r="C2380" t="s">
        <v>5802</v>
      </c>
      <c r="D2380" t="s">
        <v>17161</v>
      </c>
      <c r="E2380" t="s">
        <v>19348</v>
      </c>
      <c r="F2380" t="s">
        <v>29372</v>
      </c>
      <c r="G2380" t="s">
        <v>29383</v>
      </c>
      <c r="H2380" t="s">
        <v>11048</v>
      </c>
      <c r="I2380" t="s">
        <v>4709</v>
      </c>
      <c r="J2380" t="s">
        <v>31198</v>
      </c>
      <c r="K2380" t="s">
        <v>38490</v>
      </c>
      <c r="M2380" t="s">
        <v>39682</v>
      </c>
      <c r="N2380" t="s">
        <v>42669</v>
      </c>
      <c r="O2380" t="s">
        <v>42670</v>
      </c>
      <c r="P2380">
        <v>0</v>
      </c>
      <c r="Q2380">
        <v>0</v>
      </c>
      <c r="R2380" t="s">
        <v>42674</v>
      </c>
      <c r="S2380" t="s">
        <v>42788</v>
      </c>
      <c r="T2380" t="s">
        <v>44488</v>
      </c>
      <c r="U2380" t="s">
        <v>46813</v>
      </c>
      <c r="W2380" t="s">
        <v>39682</v>
      </c>
      <c r="X2380" t="s">
        <v>42676</v>
      </c>
    </row>
    <row r="2381" spans="1:24">
      <c r="A2381">
        <f>HYPERLINK("https://www.philgeps.gov.ph/GEPSNONPILOT/Tender/SplashBidNoticeAbstractUI.aspx?menuIndex=3&amp;refID=7191649&amp;Result=3","7191649")</f>
        <v>0</v>
      </c>
      <c r="B2381" t="s">
        <v>428</v>
      </c>
      <c r="C2381" t="s">
        <v>5803</v>
      </c>
      <c r="E2381" t="s">
        <v>19349</v>
      </c>
      <c r="F2381" t="s">
        <v>29372</v>
      </c>
      <c r="G2381" t="s">
        <v>29379</v>
      </c>
      <c r="H2381" t="s">
        <v>11048</v>
      </c>
      <c r="I2381" t="s">
        <v>4486</v>
      </c>
      <c r="J2381" t="s">
        <v>29555</v>
      </c>
      <c r="K2381" t="s">
        <v>38490</v>
      </c>
      <c r="M2381" t="s">
        <v>39192</v>
      </c>
      <c r="N2381" t="s">
        <v>42669</v>
      </c>
      <c r="O2381" t="s">
        <v>42670</v>
      </c>
      <c r="P2381">
        <v>0</v>
      </c>
      <c r="Q2381">
        <v>0</v>
      </c>
      <c r="R2381" t="s">
        <v>42674</v>
      </c>
      <c r="S2381" t="s">
        <v>42788</v>
      </c>
      <c r="T2381" t="s">
        <v>44488</v>
      </c>
      <c r="U2381" t="s">
        <v>46814</v>
      </c>
      <c r="W2381" t="s">
        <v>39192</v>
      </c>
      <c r="X2381" t="s">
        <v>42676</v>
      </c>
    </row>
    <row r="2382" spans="1:24">
      <c r="A2382">
        <f>HYPERLINK("https://www.philgeps.gov.ph/GEPSNONPILOT/Tender/SplashBidNoticeAbstractUI.aspx?menuIndex=3&amp;refID=7191588&amp;Result=3","7191588")</f>
        <v>0</v>
      </c>
      <c r="B2382" t="s">
        <v>958</v>
      </c>
      <c r="C2382" t="s">
        <v>5804</v>
      </c>
      <c r="D2382" t="s">
        <v>17142</v>
      </c>
      <c r="E2382" t="s">
        <v>19350</v>
      </c>
      <c r="F2382" t="s">
        <v>29372</v>
      </c>
      <c r="G2382" t="s">
        <v>29379</v>
      </c>
      <c r="H2382" t="s">
        <v>11048</v>
      </c>
      <c r="I2382" t="s">
        <v>4709</v>
      </c>
      <c r="J2382" t="s">
        <v>31199</v>
      </c>
      <c r="K2382" t="s">
        <v>38489</v>
      </c>
      <c r="M2382" t="s">
        <v>39754</v>
      </c>
      <c r="N2382" t="s">
        <v>42669</v>
      </c>
      <c r="O2382" t="s">
        <v>42670</v>
      </c>
      <c r="P2382">
        <v>0</v>
      </c>
      <c r="Q2382">
        <v>2</v>
      </c>
      <c r="R2382" t="s">
        <v>42674</v>
      </c>
      <c r="S2382" t="s">
        <v>42788</v>
      </c>
      <c r="T2382" t="s">
        <v>44549</v>
      </c>
      <c r="U2382" t="s">
        <v>46815</v>
      </c>
      <c r="W2382" t="s">
        <v>39754</v>
      </c>
      <c r="X2382" t="s">
        <v>42676</v>
      </c>
    </row>
    <row r="2383" spans="1:24">
      <c r="A2383">
        <f>HYPERLINK("https://www.philgeps.gov.ph/GEPSNONPILOT/Tender/SplashBidNoticeAbstractUI.aspx?menuIndex=3&amp;refID=7191648&amp;Result=3","7191648")</f>
        <v>0</v>
      </c>
      <c r="B2383" t="s">
        <v>242</v>
      </c>
      <c r="C2383" t="s">
        <v>5805</v>
      </c>
      <c r="D2383" t="s">
        <v>17197</v>
      </c>
      <c r="E2383" t="s">
        <v>19351</v>
      </c>
      <c r="F2383" t="s">
        <v>29372</v>
      </c>
      <c r="G2383" t="s">
        <v>29383</v>
      </c>
      <c r="H2383" t="s">
        <v>11048</v>
      </c>
      <c r="I2383" t="s">
        <v>29398</v>
      </c>
      <c r="J2383" t="s">
        <v>31200</v>
      </c>
      <c r="K2383" t="s">
        <v>38538</v>
      </c>
      <c r="M2383" t="s">
        <v>39001</v>
      </c>
      <c r="N2383" t="s">
        <v>42669</v>
      </c>
      <c r="O2383" t="s">
        <v>42670</v>
      </c>
      <c r="P2383">
        <v>0</v>
      </c>
      <c r="Q2383">
        <v>5</v>
      </c>
      <c r="R2383" t="s">
        <v>42674</v>
      </c>
      <c r="S2383" t="s">
        <v>42788</v>
      </c>
      <c r="T2383" t="s">
        <v>44399</v>
      </c>
      <c r="U2383" t="s">
        <v>46816</v>
      </c>
      <c r="W2383" t="s">
        <v>39001</v>
      </c>
      <c r="X2383" t="s">
        <v>42676</v>
      </c>
    </row>
    <row r="2384" spans="1:24">
      <c r="A2384">
        <f>HYPERLINK("https://www.philgeps.gov.ph/GEPSNONPILOT/Tender/SplashBidNoticeAbstractUI.aspx?menuIndex=3&amp;refID=7191581&amp;Result=3","7191581")</f>
        <v>0</v>
      </c>
      <c r="B2384" t="s">
        <v>927</v>
      </c>
      <c r="C2384" t="s">
        <v>5806</v>
      </c>
      <c r="D2384" t="s">
        <v>17225</v>
      </c>
      <c r="E2384" t="s">
        <v>19352</v>
      </c>
      <c r="F2384" t="s">
        <v>29372</v>
      </c>
      <c r="G2384" t="s">
        <v>29383</v>
      </c>
      <c r="H2384" t="s">
        <v>11048</v>
      </c>
      <c r="I2384" t="s">
        <v>29393</v>
      </c>
      <c r="J2384" t="s">
        <v>31201</v>
      </c>
      <c r="K2384" t="s">
        <v>38490</v>
      </c>
      <c r="M2384" t="s">
        <v>39722</v>
      </c>
      <c r="N2384" t="s">
        <v>42669</v>
      </c>
      <c r="O2384" t="s">
        <v>42670</v>
      </c>
      <c r="P2384">
        <v>0</v>
      </c>
      <c r="Q2384">
        <v>0</v>
      </c>
      <c r="R2384" t="s">
        <v>42674</v>
      </c>
      <c r="S2384" t="s">
        <v>42788</v>
      </c>
      <c r="T2384" t="s">
        <v>44387</v>
      </c>
      <c r="U2384" t="s">
        <v>46817</v>
      </c>
      <c r="V2384" t="s">
        <v>56585</v>
      </c>
      <c r="W2384" t="s">
        <v>39722</v>
      </c>
      <c r="X2384" t="s">
        <v>42676</v>
      </c>
    </row>
    <row r="2385" spans="1:24">
      <c r="A2385">
        <f>HYPERLINK("https://www.philgeps.gov.ph/GEPSNONPILOT/Tender/SplashBidNoticeAbstractUI.aspx?menuIndex=3&amp;refID=7191644&amp;Result=3","7191644")</f>
        <v>0</v>
      </c>
      <c r="B2385" t="s">
        <v>959</v>
      </c>
      <c r="C2385" t="s">
        <v>5807</v>
      </c>
      <c r="D2385" t="s">
        <v>17145</v>
      </c>
      <c r="E2385" t="s">
        <v>19353</v>
      </c>
      <c r="F2385" t="s">
        <v>29372</v>
      </c>
      <c r="G2385" t="s">
        <v>29379</v>
      </c>
      <c r="H2385" t="s">
        <v>11048</v>
      </c>
      <c r="I2385" t="s">
        <v>3670</v>
      </c>
      <c r="J2385" t="s">
        <v>31202</v>
      </c>
      <c r="K2385" t="s">
        <v>38491</v>
      </c>
      <c r="M2385" t="s">
        <v>39755</v>
      </c>
      <c r="N2385" t="s">
        <v>42669</v>
      </c>
      <c r="O2385" t="s">
        <v>42670</v>
      </c>
      <c r="P2385">
        <v>0</v>
      </c>
      <c r="Q2385">
        <v>0</v>
      </c>
      <c r="R2385" t="s">
        <v>42674</v>
      </c>
      <c r="S2385" t="s">
        <v>42788</v>
      </c>
      <c r="T2385" t="s">
        <v>44426</v>
      </c>
      <c r="U2385" t="s">
        <v>46818</v>
      </c>
      <c r="W2385" t="s">
        <v>39755</v>
      </c>
      <c r="X2385" t="s">
        <v>42676</v>
      </c>
    </row>
    <row r="2386" spans="1:24">
      <c r="A2386">
        <f>HYPERLINK("https://www.philgeps.gov.ph/GEPSNONPILOT/Tender/SplashBidNoticeAbstractUI.aspx?menuIndex=3&amp;refID=7191642&amp;Result=3","7191642")</f>
        <v>0</v>
      </c>
      <c r="B2386" t="s">
        <v>960</v>
      </c>
      <c r="C2386" t="s">
        <v>5808</v>
      </c>
      <c r="D2386" t="s">
        <v>17183</v>
      </c>
      <c r="E2386" t="s">
        <v>17465</v>
      </c>
      <c r="F2386" t="s">
        <v>29372</v>
      </c>
      <c r="G2386" t="s">
        <v>29380</v>
      </c>
      <c r="H2386" t="s">
        <v>11048</v>
      </c>
      <c r="I2386" t="s">
        <v>4709</v>
      </c>
      <c r="J2386" t="s">
        <v>31203</v>
      </c>
      <c r="K2386" t="s">
        <v>38488</v>
      </c>
      <c r="M2386" t="s">
        <v>39756</v>
      </c>
      <c r="N2386" t="s">
        <v>42669</v>
      </c>
      <c r="O2386" t="s">
        <v>42670</v>
      </c>
      <c r="P2386">
        <v>0</v>
      </c>
      <c r="Q2386">
        <v>0</v>
      </c>
      <c r="R2386" t="s">
        <v>42674</v>
      </c>
      <c r="S2386" t="s">
        <v>42788</v>
      </c>
      <c r="T2386" t="s">
        <v>44470</v>
      </c>
      <c r="U2386" t="s">
        <v>45058</v>
      </c>
      <c r="W2386" t="s">
        <v>39756</v>
      </c>
      <c r="X2386" t="s">
        <v>42676</v>
      </c>
    </row>
    <row r="2387" spans="1:24">
      <c r="A2387">
        <f>HYPERLINK("https://www.philgeps.gov.ph/GEPSNONPILOT/Tender/SplashBidNoticeAbstractUI.aspx?menuIndex=3&amp;refID=7191557&amp;Result=3","7191557")</f>
        <v>0</v>
      </c>
      <c r="B2387" t="s">
        <v>909</v>
      </c>
      <c r="C2387" t="s">
        <v>4274</v>
      </c>
      <c r="D2387" t="s">
        <v>17202</v>
      </c>
      <c r="E2387" t="s">
        <v>19354</v>
      </c>
      <c r="F2387" t="s">
        <v>29372</v>
      </c>
      <c r="G2387" t="s">
        <v>29380</v>
      </c>
      <c r="H2387" t="s">
        <v>11048</v>
      </c>
      <c r="I2387" t="s">
        <v>4709</v>
      </c>
      <c r="J2387" t="s">
        <v>31204</v>
      </c>
      <c r="K2387" t="s">
        <v>38488</v>
      </c>
      <c r="M2387" t="s">
        <v>39702</v>
      </c>
      <c r="N2387" t="s">
        <v>42669</v>
      </c>
      <c r="O2387" t="s">
        <v>42670</v>
      </c>
      <c r="P2387">
        <v>0</v>
      </c>
      <c r="Q2387">
        <v>0</v>
      </c>
      <c r="R2387" t="s">
        <v>42674</v>
      </c>
      <c r="S2387" t="s">
        <v>42788</v>
      </c>
      <c r="T2387" t="s">
        <v>44437</v>
      </c>
      <c r="U2387" t="s">
        <v>46819</v>
      </c>
      <c r="W2387" t="s">
        <v>39702</v>
      </c>
      <c r="X2387" t="s">
        <v>42676</v>
      </c>
    </row>
    <row r="2388" spans="1:24">
      <c r="A2388">
        <f>HYPERLINK("https://www.philgeps.gov.ph/GEPSNONPILOT/Tender/SplashBidNoticeAbstractUI.aspx?menuIndex=3&amp;refID=7191579&amp;Result=3","7191579")</f>
        <v>0</v>
      </c>
      <c r="B2388" t="s">
        <v>934</v>
      </c>
      <c r="C2388" t="s">
        <v>5809</v>
      </c>
      <c r="D2388" t="s">
        <v>17175</v>
      </c>
      <c r="E2388" t="s">
        <v>19355</v>
      </c>
      <c r="F2388" t="s">
        <v>29372</v>
      </c>
      <c r="G2388" t="s">
        <v>29380</v>
      </c>
      <c r="H2388" t="s">
        <v>11048</v>
      </c>
      <c r="I2388" t="s">
        <v>29396</v>
      </c>
      <c r="J2388" t="s">
        <v>31177</v>
      </c>
      <c r="K2388" t="s">
        <v>38490</v>
      </c>
      <c r="M2388" t="s">
        <v>39729</v>
      </c>
      <c r="N2388" t="s">
        <v>42669</v>
      </c>
      <c r="O2388" t="s">
        <v>42670</v>
      </c>
      <c r="P2388">
        <v>0</v>
      </c>
      <c r="Q2388">
        <v>0</v>
      </c>
      <c r="R2388" t="s">
        <v>42674</v>
      </c>
      <c r="S2388" t="s">
        <v>42788</v>
      </c>
      <c r="T2388" t="s">
        <v>44444</v>
      </c>
      <c r="U2388" t="s">
        <v>46820</v>
      </c>
      <c r="W2388" t="s">
        <v>39729</v>
      </c>
      <c r="X2388" t="s">
        <v>42676</v>
      </c>
    </row>
    <row r="2389" spans="1:24">
      <c r="A2389">
        <f>HYPERLINK("https://www.philgeps.gov.ph/GEPSNONPILOT/Tender/SplashBidNoticeAbstractUI.aspx?menuIndex=3&amp;refID=7191636&amp;Result=3","7191636")</f>
        <v>0</v>
      </c>
      <c r="B2389" t="s">
        <v>951</v>
      </c>
      <c r="C2389" t="s">
        <v>5810</v>
      </c>
      <c r="D2389" t="s">
        <v>17166</v>
      </c>
      <c r="E2389" t="s">
        <v>19356</v>
      </c>
      <c r="F2389" t="s">
        <v>29372</v>
      </c>
      <c r="G2389" t="s">
        <v>29383</v>
      </c>
      <c r="H2389" t="s">
        <v>11048</v>
      </c>
      <c r="I2389" t="s">
        <v>8614</v>
      </c>
      <c r="J2389" t="s">
        <v>31205</v>
      </c>
      <c r="K2389" t="s">
        <v>38490</v>
      </c>
      <c r="M2389" t="s">
        <v>39747</v>
      </c>
      <c r="N2389" t="s">
        <v>42669</v>
      </c>
      <c r="O2389" t="s">
        <v>42670</v>
      </c>
      <c r="P2389">
        <v>0</v>
      </c>
      <c r="Q2389">
        <v>1</v>
      </c>
      <c r="R2389" t="s">
        <v>42674</v>
      </c>
      <c r="S2389" t="s">
        <v>42788</v>
      </c>
      <c r="T2389" t="s">
        <v>44434</v>
      </c>
      <c r="U2389" t="s">
        <v>46821</v>
      </c>
      <c r="W2389" t="s">
        <v>39747</v>
      </c>
      <c r="X2389" t="s">
        <v>42676</v>
      </c>
    </row>
    <row r="2390" spans="1:24">
      <c r="A2390">
        <f>HYPERLINK("https://www.philgeps.gov.ph/GEPSNONPILOT/Tender/SplashBidNoticeAbstractUI.aspx?menuIndex=3&amp;refID=7191635&amp;Result=3","7191635")</f>
        <v>0</v>
      </c>
      <c r="B2390" t="s">
        <v>961</v>
      </c>
      <c r="C2390" t="s">
        <v>5811</v>
      </c>
      <c r="D2390" t="s">
        <v>17148</v>
      </c>
      <c r="E2390" t="s">
        <v>19357</v>
      </c>
      <c r="F2390" t="s">
        <v>29372</v>
      </c>
      <c r="G2390" t="s">
        <v>29380</v>
      </c>
      <c r="H2390" t="s">
        <v>29389</v>
      </c>
      <c r="I2390" t="s">
        <v>10408</v>
      </c>
      <c r="J2390" t="s">
        <v>31206</v>
      </c>
      <c r="K2390" t="s">
        <v>38502</v>
      </c>
      <c r="M2390" t="s">
        <v>39757</v>
      </c>
      <c r="N2390" t="s">
        <v>42669</v>
      </c>
      <c r="O2390" t="s">
        <v>42670</v>
      </c>
      <c r="P2390">
        <v>0</v>
      </c>
      <c r="Q2390">
        <v>7</v>
      </c>
      <c r="R2390" t="s">
        <v>42674</v>
      </c>
      <c r="S2390" t="s">
        <v>42788</v>
      </c>
      <c r="T2390" t="s">
        <v>44368</v>
      </c>
      <c r="U2390" t="s">
        <v>46822</v>
      </c>
      <c r="W2390" t="s">
        <v>39757</v>
      </c>
      <c r="X2390" t="s">
        <v>42676</v>
      </c>
    </row>
    <row r="2391" spans="1:24">
      <c r="A2391">
        <f>HYPERLINK("https://www.philgeps.gov.ph/GEPSNONPILOT/Tender/SplashBidNoticeAbstractUI.aspx?menuIndex=3&amp;refID=7191560&amp;Result=3","7191560")</f>
        <v>0</v>
      </c>
      <c r="B2391" t="s">
        <v>798</v>
      </c>
      <c r="C2391" t="s">
        <v>5812</v>
      </c>
      <c r="D2391" t="s">
        <v>17188</v>
      </c>
      <c r="E2391" t="s">
        <v>19358</v>
      </c>
      <c r="F2391" t="s">
        <v>29372</v>
      </c>
      <c r="G2391" t="s">
        <v>29379</v>
      </c>
      <c r="H2391" t="s">
        <v>11048</v>
      </c>
      <c r="I2391" t="s">
        <v>29400</v>
      </c>
      <c r="J2391" t="s">
        <v>30331</v>
      </c>
      <c r="K2391" t="s">
        <v>38490</v>
      </c>
      <c r="M2391" t="s">
        <v>39582</v>
      </c>
      <c r="N2391" t="s">
        <v>42669</v>
      </c>
      <c r="O2391" t="s">
        <v>42670</v>
      </c>
      <c r="P2391">
        <v>0</v>
      </c>
      <c r="Q2391">
        <v>5</v>
      </c>
      <c r="R2391" t="s">
        <v>42674</v>
      </c>
      <c r="S2391" t="s">
        <v>42788</v>
      </c>
      <c r="T2391" t="s">
        <v>44382</v>
      </c>
      <c r="U2391" t="s">
        <v>46823</v>
      </c>
      <c r="W2391" t="s">
        <v>39582</v>
      </c>
      <c r="X2391" t="s">
        <v>42676</v>
      </c>
    </row>
    <row r="2392" spans="1:24">
      <c r="A2392">
        <f>HYPERLINK("https://www.philgeps.gov.ph/GEPSNONPILOT/Tender/SplashBidNoticeAbstractUI.aspx?menuIndex=3&amp;refID=7191634&amp;Result=3","7191634")</f>
        <v>0</v>
      </c>
      <c r="B2392" t="s">
        <v>947</v>
      </c>
      <c r="C2392" t="s">
        <v>5813</v>
      </c>
      <c r="D2392" t="s">
        <v>17174</v>
      </c>
      <c r="E2392" t="s">
        <v>19359</v>
      </c>
      <c r="F2392" t="s">
        <v>29372</v>
      </c>
      <c r="G2392" t="s">
        <v>29380</v>
      </c>
      <c r="H2392" t="s">
        <v>11048</v>
      </c>
      <c r="I2392" t="s">
        <v>3839</v>
      </c>
      <c r="J2392" t="s">
        <v>29764</v>
      </c>
      <c r="K2392" t="s">
        <v>38510</v>
      </c>
      <c r="M2392" t="s">
        <v>39743</v>
      </c>
      <c r="N2392" t="s">
        <v>42669</v>
      </c>
      <c r="O2392" t="s">
        <v>42670</v>
      </c>
      <c r="P2392">
        <v>0</v>
      </c>
      <c r="Q2392">
        <v>1</v>
      </c>
      <c r="R2392" t="s">
        <v>42674</v>
      </c>
      <c r="S2392" t="s">
        <v>42788</v>
      </c>
      <c r="T2392" t="s">
        <v>44430</v>
      </c>
      <c r="U2392" t="s">
        <v>46824</v>
      </c>
      <c r="V2392" t="s">
        <v>56594</v>
      </c>
      <c r="W2392" t="s">
        <v>39743</v>
      </c>
      <c r="X2392" t="s">
        <v>42676</v>
      </c>
    </row>
    <row r="2393" spans="1:24">
      <c r="A2393">
        <f>HYPERLINK("https://www.philgeps.gov.ph/GEPSNONPILOT/Tender/SplashBidNoticeAbstractUI.aspx?menuIndex=3&amp;refID=7191633&amp;Result=3","7191633")</f>
        <v>0</v>
      </c>
      <c r="B2393" t="s">
        <v>962</v>
      </c>
      <c r="C2393" t="s">
        <v>5814</v>
      </c>
      <c r="D2393" t="s">
        <v>17188</v>
      </c>
      <c r="E2393" t="s">
        <v>17477</v>
      </c>
      <c r="F2393" t="s">
        <v>29372</v>
      </c>
      <c r="G2393" t="s">
        <v>29380</v>
      </c>
      <c r="H2393" t="s">
        <v>11048</v>
      </c>
      <c r="I2393" t="s">
        <v>4235</v>
      </c>
      <c r="J2393" t="s">
        <v>30587</v>
      </c>
      <c r="K2393" t="s">
        <v>38569</v>
      </c>
      <c r="M2393" t="s">
        <v>39758</v>
      </c>
      <c r="N2393" t="s">
        <v>42669</v>
      </c>
      <c r="O2393" t="s">
        <v>42670</v>
      </c>
      <c r="P2393">
        <v>0</v>
      </c>
      <c r="Q2393">
        <v>2</v>
      </c>
      <c r="R2393" t="s">
        <v>42674</v>
      </c>
      <c r="S2393" t="s">
        <v>42788</v>
      </c>
      <c r="T2393" t="s">
        <v>44593</v>
      </c>
      <c r="U2393" t="s">
        <v>46825</v>
      </c>
      <c r="W2393" t="s">
        <v>39758</v>
      </c>
      <c r="X2393" t="s">
        <v>42676</v>
      </c>
    </row>
    <row r="2394" spans="1:24">
      <c r="A2394">
        <f>HYPERLINK("https://www.philgeps.gov.ph/GEPSNONPILOT/Tender/SplashBidNoticeAbstractUI.aspx?menuIndex=3&amp;refID=7191637&amp;Result=3","7191637")</f>
        <v>0</v>
      </c>
      <c r="B2394" t="s">
        <v>963</v>
      </c>
      <c r="C2394" t="s">
        <v>5815</v>
      </c>
      <c r="D2394" t="s">
        <v>17189</v>
      </c>
      <c r="E2394" t="s">
        <v>19360</v>
      </c>
      <c r="F2394" t="s">
        <v>29372</v>
      </c>
      <c r="G2394" t="s">
        <v>29379</v>
      </c>
      <c r="H2394" t="s">
        <v>11048</v>
      </c>
      <c r="I2394" t="s">
        <v>29438</v>
      </c>
      <c r="J2394" t="s">
        <v>31207</v>
      </c>
      <c r="K2394" t="s">
        <v>38524</v>
      </c>
      <c r="M2394" t="s">
        <v>39759</v>
      </c>
      <c r="N2394" t="s">
        <v>42669</v>
      </c>
      <c r="O2394" t="s">
        <v>42670</v>
      </c>
      <c r="P2394">
        <v>0</v>
      </c>
      <c r="Q2394">
        <v>0</v>
      </c>
      <c r="R2394" t="s">
        <v>42674</v>
      </c>
      <c r="S2394" t="s">
        <v>42788</v>
      </c>
      <c r="T2394" t="s">
        <v>44514</v>
      </c>
      <c r="U2394" t="s">
        <v>46826</v>
      </c>
      <c r="W2394" t="s">
        <v>39759</v>
      </c>
      <c r="X2394" t="s">
        <v>42676</v>
      </c>
    </row>
    <row r="2395" spans="1:24">
      <c r="A2395">
        <f>HYPERLINK("https://www.philgeps.gov.ph/GEPSNONPILOT/Tender/SplashBidNoticeAbstractUI.aspx?menuIndex=3&amp;refID=7191632&amp;Result=3","7191632")</f>
        <v>0</v>
      </c>
      <c r="B2395" t="s">
        <v>938</v>
      </c>
      <c r="C2395" t="s">
        <v>5816</v>
      </c>
      <c r="E2395" t="s">
        <v>19361</v>
      </c>
      <c r="F2395" t="s">
        <v>29372</v>
      </c>
      <c r="G2395" t="s">
        <v>29380</v>
      </c>
      <c r="H2395" t="s">
        <v>29389</v>
      </c>
      <c r="I2395" t="s">
        <v>10408</v>
      </c>
      <c r="J2395" t="s">
        <v>31150</v>
      </c>
      <c r="K2395" t="s">
        <v>38490</v>
      </c>
      <c r="M2395" t="s">
        <v>39733</v>
      </c>
      <c r="N2395" t="s">
        <v>42669</v>
      </c>
      <c r="O2395" t="s">
        <v>42670</v>
      </c>
      <c r="Q2395">
        <v>1</v>
      </c>
      <c r="R2395" t="s">
        <v>42674</v>
      </c>
      <c r="S2395" t="s">
        <v>42803</v>
      </c>
      <c r="T2395" t="s">
        <v>44470</v>
      </c>
      <c r="U2395" t="s">
        <v>46827</v>
      </c>
      <c r="W2395" t="s">
        <v>58027</v>
      </c>
      <c r="X2395" t="s">
        <v>42676</v>
      </c>
    </row>
    <row r="2396" spans="1:24">
      <c r="A2396">
        <f>HYPERLINK("https://www.philgeps.gov.ph/GEPSNONPILOT/Tender/SplashBidNoticeAbstractUI.aspx?menuIndex=3&amp;refID=7191653&amp;Result=3","7191653")</f>
        <v>0</v>
      </c>
      <c r="B2396" t="s">
        <v>952</v>
      </c>
      <c r="C2396" t="s">
        <v>5817</v>
      </c>
      <c r="E2396" t="s">
        <v>19362</v>
      </c>
      <c r="F2396" t="s">
        <v>29372</v>
      </c>
      <c r="G2396" t="s">
        <v>29383</v>
      </c>
      <c r="H2396" t="s">
        <v>11048</v>
      </c>
      <c r="I2396" t="s">
        <v>29439</v>
      </c>
      <c r="J2396" t="s">
        <v>30302</v>
      </c>
      <c r="K2396" t="s">
        <v>38485</v>
      </c>
      <c r="M2396" t="s">
        <v>39748</v>
      </c>
      <c r="N2396" t="s">
        <v>42669</v>
      </c>
      <c r="O2396" t="s">
        <v>42670</v>
      </c>
      <c r="P2396">
        <v>0</v>
      </c>
      <c r="Q2396">
        <v>1</v>
      </c>
      <c r="R2396" t="s">
        <v>42674</v>
      </c>
      <c r="S2396" t="s">
        <v>42788</v>
      </c>
      <c r="T2396" t="s">
        <v>44417</v>
      </c>
      <c r="U2396" t="s">
        <v>46828</v>
      </c>
      <c r="W2396" t="s">
        <v>39748</v>
      </c>
      <c r="X2396" t="s">
        <v>42676</v>
      </c>
    </row>
    <row r="2397" spans="1:24">
      <c r="A2397">
        <f>HYPERLINK("https://www.philgeps.gov.ph/GEPSNONPILOT/Tender/SplashBidNoticeAbstractUI.aspx?menuIndex=3&amp;refID=7191645&amp;Result=3","7191645")</f>
        <v>0</v>
      </c>
      <c r="B2397" t="s">
        <v>747</v>
      </c>
      <c r="C2397" t="s">
        <v>5818</v>
      </c>
      <c r="D2397" t="s">
        <v>17161</v>
      </c>
      <c r="E2397" t="s">
        <v>19363</v>
      </c>
      <c r="F2397" t="s">
        <v>29372</v>
      </c>
      <c r="G2397" t="s">
        <v>29383</v>
      </c>
      <c r="H2397" t="s">
        <v>11048</v>
      </c>
      <c r="I2397" t="s">
        <v>4709</v>
      </c>
      <c r="J2397" t="s">
        <v>31208</v>
      </c>
      <c r="K2397" t="s">
        <v>38490</v>
      </c>
      <c r="M2397" t="s">
        <v>39530</v>
      </c>
      <c r="N2397" t="s">
        <v>42669</v>
      </c>
      <c r="O2397" t="s">
        <v>42670</v>
      </c>
      <c r="P2397">
        <v>0</v>
      </c>
      <c r="Q2397">
        <v>0</v>
      </c>
      <c r="R2397" t="s">
        <v>42674</v>
      </c>
      <c r="S2397" t="s">
        <v>42788</v>
      </c>
      <c r="T2397" t="s">
        <v>44570</v>
      </c>
      <c r="U2397" t="s">
        <v>46829</v>
      </c>
      <c r="W2397" t="s">
        <v>39530</v>
      </c>
      <c r="X2397" t="s">
        <v>42676</v>
      </c>
    </row>
    <row r="2398" spans="1:24">
      <c r="A2398">
        <f>HYPERLINK("https://www.philgeps.gov.ph/GEPSNONPILOT/Tender/SplashBidNoticeAbstractUI.aspx?menuIndex=3&amp;refID=7191679&amp;Result=3","7191679")</f>
        <v>0</v>
      </c>
      <c r="B2398" t="s">
        <v>931</v>
      </c>
      <c r="C2398" t="s">
        <v>5819</v>
      </c>
      <c r="D2398" t="s">
        <v>17170</v>
      </c>
      <c r="E2398" t="s">
        <v>19364</v>
      </c>
      <c r="F2398" t="s">
        <v>29372</v>
      </c>
      <c r="G2398" t="s">
        <v>29379</v>
      </c>
      <c r="H2398" t="s">
        <v>29390</v>
      </c>
      <c r="I2398" t="s">
        <v>29398</v>
      </c>
      <c r="J2398" t="s">
        <v>29532</v>
      </c>
      <c r="K2398" t="s">
        <v>38487</v>
      </c>
      <c r="M2398" t="s">
        <v>39726</v>
      </c>
      <c r="N2398" t="s">
        <v>42669</v>
      </c>
      <c r="O2398" t="s">
        <v>42670</v>
      </c>
      <c r="P2398">
        <v>0</v>
      </c>
      <c r="Q2398">
        <v>0</v>
      </c>
      <c r="R2398" t="s">
        <v>42674</v>
      </c>
      <c r="S2398" t="s">
        <v>42788</v>
      </c>
      <c r="T2398" t="s">
        <v>44488</v>
      </c>
      <c r="U2398" t="s">
        <v>46830</v>
      </c>
      <c r="W2398" t="s">
        <v>39726</v>
      </c>
      <c r="X2398" t="s">
        <v>42676</v>
      </c>
    </row>
    <row r="2399" spans="1:24">
      <c r="A2399">
        <f>HYPERLINK("https://www.philgeps.gov.ph/GEPSNONPILOT/Tender/SplashBidNoticeAbstractUI.aspx?menuIndex=3&amp;refID=7191640&amp;Result=3","7191640")</f>
        <v>0</v>
      </c>
      <c r="B2399" t="s">
        <v>872</v>
      </c>
      <c r="C2399" t="s">
        <v>5820</v>
      </c>
      <c r="D2399" t="s">
        <v>17159</v>
      </c>
      <c r="E2399" t="s">
        <v>19365</v>
      </c>
      <c r="F2399" t="s">
        <v>29372</v>
      </c>
      <c r="G2399" t="s">
        <v>29379</v>
      </c>
      <c r="H2399" t="s">
        <v>11048</v>
      </c>
      <c r="I2399" t="s">
        <v>29403</v>
      </c>
      <c r="J2399" t="s">
        <v>31209</v>
      </c>
      <c r="K2399" t="s">
        <v>38489</v>
      </c>
      <c r="M2399" t="s">
        <v>39664</v>
      </c>
      <c r="N2399" t="s">
        <v>42669</v>
      </c>
      <c r="O2399" t="s">
        <v>42670</v>
      </c>
      <c r="P2399">
        <v>0</v>
      </c>
      <c r="Q2399">
        <v>0</v>
      </c>
      <c r="R2399" t="s">
        <v>42674</v>
      </c>
      <c r="S2399" t="s">
        <v>42788</v>
      </c>
      <c r="T2399" t="s">
        <v>44488</v>
      </c>
      <c r="U2399" t="s">
        <v>46831</v>
      </c>
      <c r="V2399" t="s">
        <v>56381</v>
      </c>
      <c r="W2399" t="s">
        <v>39664</v>
      </c>
      <c r="X2399" t="s">
        <v>42676</v>
      </c>
    </row>
    <row r="2400" spans="1:24">
      <c r="A2400">
        <f>HYPERLINK("https://www.philgeps.gov.ph/GEPSNONPILOT/Tender/SplashBidNoticeAbstractUI.aspx?menuIndex=3&amp;refID=7191677&amp;Result=3","7191677")</f>
        <v>0</v>
      </c>
      <c r="B2400" t="s">
        <v>911</v>
      </c>
      <c r="C2400" t="s">
        <v>5821</v>
      </c>
      <c r="D2400" t="s">
        <v>17144</v>
      </c>
      <c r="E2400" t="s">
        <v>19366</v>
      </c>
      <c r="F2400" t="s">
        <v>29372</v>
      </c>
      <c r="G2400" t="s">
        <v>29379</v>
      </c>
      <c r="H2400" t="s">
        <v>11048</v>
      </c>
      <c r="I2400" t="s">
        <v>29393</v>
      </c>
      <c r="J2400" t="s">
        <v>29526</v>
      </c>
      <c r="K2400" t="s">
        <v>38491</v>
      </c>
      <c r="M2400" t="s">
        <v>39704</v>
      </c>
      <c r="N2400" t="s">
        <v>42669</v>
      </c>
      <c r="O2400" t="s">
        <v>42670</v>
      </c>
      <c r="P2400">
        <v>0</v>
      </c>
      <c r="Q2400">
        <v>1</v>
      </c>
      <c r="R2400" t="s">
        <v>42674</v>
      </c>
      <c r="S2400" t="s">
        <v>42788</v>
      </c>
      <c r="T2400" t="s">
        <v>44488</v>
      </c>
      <c r="U2400" t="s">
        <v>46832</v>
      </c>
      <c r="W2400" t="s">
        <v>39704</v>
      </c>
      <c r="X2400" t="s">
        <v>42676</v>
      </c>
    </row>
    <row r="2401" spans="1:24">
      <c r="A2401">
        <f>HYPERLINK("https://www.philgeps.gov.ph/GEPSNONPILOT/Tender/SplashBidNoticeAbstractUI.aspx?menuIndex=3&amp;refID=7191676&amp;Result=3","7191676")</f>
        <v>0</v>
      </c>
      <c r="B2401" t="s">
        <v>900</v>
      </c>
      <c r="C2401" t="s">
        <v>5822</v>
      </c>
      <c r="D2401" t="s">
        <v>17144</v>
      </c>
      <c r="E2401" t="s">
        <v>19367</v>
      </c>
      <c r="F2401" t="s">
        <v>29372</v>
      </c>
      <c r="G2401" t="s">
        <v>29380</v>
      </c>
      <c r="H2401" t="s">
        <v>11048</v>
      </c>
      <c r="I2401" t="s">
        <v>4709</v>
      </c>
      <c r="J2401" t="s">
        <v>31210</v>
      </c>
      <c r="K2401" t="s">
        <v>38518</v>
      </c>
      <c r="M2401" t="s">
        <v>39693</v>
      </c>
      <c r="N2401" t="s">
        <v>42669</v>
      </c>
      <c r="O2401" t="s">
        <v>42670</v>
      </c>
      <c r="P2401">
        <v>0</v>
      </c>
      <c r="Q2401">
        <v>2</v>
      </c>
      <c r="R2401" t="s">
        <v>42674</v>
      </c>
      <c r="S2401" t="s">
        <v>42788</v>
      </c>
      <c r="T2401" t="s">
        <v>44523</v>
      </c>
      <c r="U2401" t="s">
        <v>46833</v>
      </c>
      <c r="V2401" t="s">
        <v>56578</v>
      </c>
      <c r="W2401" t="s">
        <v>39693</v>
      </c>
      <c r="X2401" t="s">
        <v>42676</v>
      </c>
    </row>
    <row r="2402" spans="1:24">
      <c r="A2402">
        <f>HYPERLINK("https://www.philgeps.gov.ph/GEPSNONPILOT/Tender/SplashBidNoticeAbstractUI.aspx?menuIndex=3&amp;refID=7191672&amp;Result=3","7191672")</f>
        <v>0</v>
      </c>
      <c r="B2402" t="s">
        <v>947</v>
      </c>
      <c r="C2402" t="s">
        <v>5823</v>
      </c>
      <c r="D2402" t="s">
        <v>17174</v>
      </c>
      <c r="E2402" t="s">
        <v>19368</v>
      </c>
      <c r="F2402" t="s">
        <v>29372</v>
      </c>
      <c r="G2402" t="s">
        <v>29380</v>
      </c>
      <c r="H2402" t="s">
        <v>11048</v>
      </c>
      <c r="I2402" t="s">
        <v>4709</v>
      </c>
      <c r="J2402" t="s">
        <v>31211</v>
      </c>
      <c r="K2402" t="s">
        <v>38510</v>
      </c>
      <c r="M2402" t="s">
        <v>39743</v>
      </c>
      <c r="N2402" t="s">
        <v>42669</v>
      </c>
      <c r="O2402" t="s">
        <v>42670</v>
      </c>
      <c r="P2402">
        <v>0</v>
      </c>
      <c r="Q2402">
        <v>0</v>
      </c>
      <c r="R2402" t="s">
        <v>42674</v>
      </c>
      <c r="S2402" t="s">
        <v>42788</v>
      </c>
      <c r="T2402" t="s">
        <v>44430</v>
      </c>
      <c r="U2402" t="s">
        <v>46834</v>
      </c>
      <c r="V2402" t="s">
        <v>56594</v>
      </c>
      <c r="W2402" t="s">
        <v>39743</v>
      </c>
      <c r="X2402" t="s">
        <v>42676</v>
      </c>
    </row>
    <row r="2403" spans="1:24">
      <c r="A2403">
        <f>HYPERLINK("https://www.philgeps.gov.ph/GEPSNONPILOT/Tender/SplashBidNoticeAbstractUI.aspx?menuIndex=3&amp;refID=7191671&amp;Result=3","7191671")</f>
        <v>0</v>
      </c>
      <c r="B2403" t="s">
        <v>469</v>
      </c>
      <c r="C2403" t="s">
        <v>5824</v>
      </c>
      <c r="D2403" t="s">
        <v>17170</v>
      </c>
      <c r="E2403" t="s">
        <v>19369</v>
      </c>
      <c r="F2403" t="s">
        <v>29372</v>
      </c>
      <c r="G2403" t="s">
        <v>29383</v>
      </c>
      <c r="H2403" t="s">
        <v>11048</v>
      </c>
      <c r="I2403" t="s">
        <v>3670</v>
      </c>
      <c r="J2403" t="s">
        <v>31212</v>
      </c>
      <c r="K2403" t="s">
        <v>38485</v>
      </c>
      <c r="M2403" t="s">
        <v>39233</v>
      </c>
      <c r="N2403" t="s">
        <v>42669</v>
      </c>
      <c r="O2403" t="s">
        <v>42670</v>
      </c>
      <c r="P2403">
        <v>0</v>
      </c>
      <c r="Q2403">
        <v>0</v>
      </c>
      <c r="R2403" t="s">
        <v>42674</v>
      </c>
      <c r="S2403" t="s">
        <v>42788</v>
      </c>
      <c r="T2403" t="s">
        <v>44432</v>
      </c>
      <c r="U2403" t="s">
        <v>46835</v>
      </c>
      <c r="W2403" t="s">
        <v>39233</v>
      </c>
      <c r="X2403" t="s">
        <v>42676</v>
      </c>
    </row>
    <row r="2404" spans="1:24">
      <c r="A2404">
        <f>HYPERLINK("https://www.philgeps.gov.ph/GEPSNONPILOT/Tender/SplashBidNoticeAbstractUI.aspx?menuIndex=3&amp;refID=7191680&amp;Result=3","7191680")</f>
        <v>0</v>
      </c>
      <c r="B2404" t="s">
        <v>964</v>
      </c>
      <c r="C2404" t="s">
        <v>5825</v>
      </c>
      <c r="D2404" t="s">
        <v>17205</v>
      </c>
      <c r="E2404" t="s">
        <v>19370</v>
      </c>
      <c r="F2404" t="s">
        <v>29372</v>
      </c>
      <c r="G2404" t="s">
        <v>29379</v>
      </c>
      <c r="H2404" t="s">
        <v>29389</v>
      </c>
      <c r="I2404" t="s">
        <v>29453</v>
      </c>
      <c r="J2404" t="s">
        <v>31213</v>
      </c>
      <c r="K2404" t="s">
        <v>38490</v>
      </c>
      <c r="M2404" t="s">
        <v>39760</v>
      </c>
      <c r="N2404" t="s">
        <v>42669</v>
      </c>
      <c r="O2404" t="s">
        <v>42670</v>
      </c>
      <c r="P2404">
        <v>0</v>
      </c>
      <c r="Q2404">
        <v>0</v>
      </c>
      <c r="R2404" t="s">
        <v>42674</v>
      </c>
      <c r="S2404" t="s">
        <v>42788</v>
      </c>
      <c r="T2404" t="s">
        <v>44378</v>
      </c>
      <c r="U2404" t="s">
        <v>46836</v>
      </c>
      <c r="V2404" t="s">
        <v>56601</v>
      </c>
      <c r="W2404" t="s">
        <v>39760</v>
      </c>
      <c r="X2404" t="s">
        <v>42676</v>
      </c>
    </row>
    <row r="2405" spans="1:24">
      <c r="A2405">
        <f>HYPERLINK("https://www.philgeps.gov.ph/GEPSNONPILOT/Tender/SplashBidNoticeAbstractUI.aspx?menuIndex=3&amp;refID=7191651&amp;Result=3","7191651")</f>
        <v>0</v>
      </c>
      <c r="B2405" t="s">
        <v>965</v>
      </c>
      <c r="C2405" t="s">
        <v>5826</v>
      </c>
      <c r="D2405" t="s">
        <v>17178</v>
      </c>
      <c r="E2405" t="s">
        <v>19371</v>
      </c>
      <c r="F2405" t="s">
        <v>29372</v>
      </c>
      <c r="G2405" t="s">
        <v>29380</v>
      </c>
      <c r="H2405" t="s">
        <v>11048</v>
      </c>
      <c r="I2405" t="s">
        <v>29418</v>
      </c>
      <c r="J2405" t="s">
        <v>30026</v>
      </c>
      <c r="K2405" t="s">
        <v>38490</v>
      </c>
      <c r="M2405" t="s">
        <v>39761</v>
      </c>
      <c r="N2405" t="s">
        <v>42669</v>
      </c>
      <c r="O2405" t="s">
        <v>42670</v>
      </c>
      <c r="P2405">
        <v>0</v>
      </c>
      <c r="Q2405">
        <v>0</v>
      </c>
      <c r="R2405" t="s">
        <v>42674</v>
      </c>
      <c r="S2405" t="s">
        <v>42788</v>
      </c>
      <c r="T2405" t="s">
        <v>44480</v>
      </c>
      <c r="U2405" t="s">
        <v>46837</v>
      </c>
      <c r="W2405" t="s">
        <v>39761</v>
      </c>
      <c r="X2405" t="s">
        <v>42676</v>
      </c>
    </row>
    <row r="2406" spans="1:24">
      <c r="A2406">
        <f>HYPERLINK("https://www.philgeps.gov.ph/GEPSNONPILOT/Tender/SplashBidNoticeAbstractUI.aspx?menuIndex=3&amp;refID=7191667&amp;Result=3","7191667")</f>
        <v>0</v>
      </c>
      <c r="B2406" t="s">
        <v>198</v>
      </c>
      <c r="C2406" t="s">
        <v>5827</v>
      </c>
      <c r="D2406" t="s">
        <v>17185</v>
      </c>
      <c r="E2406" t="s">
        <v>19372</v>
      </c>
      <c r="F2406" t="s">
        <v>29372</v>
      </c>
      <c r="G2406" t="s">
        <v>29379</v>
      </c>
      <c r="H2406" t="s">
        <v>11048</v>
      </c>
      <c r="I2406" t="s">
        <v>3629</v>
      </c>
      <c r="J2406" t="s">
        <v>29799</v>
      </c>
      <c r="K2406" t="s">
        <v>38491</v>
      </c>
      <c r="M2406" t="s">
        <v>38955</v>
      </c>
      <c r="N2406" t="s">
        <v>42669</v>
      </c>
      <c r="O2406" t="s">
        <v>42670</v>
      </c>
      <c r="P2406">
        <v>0</v>
      </c>
      <c r="Q2406">
        <v>1</v>
      </c>
      <c r="R2406" t="s">
        <v>42674</v>
      </c>
      <c r="S2406" t="s">
        <v>42788</v>
      </c>
      <c r="T2406" t="s">
        <v>44454</v>
      </c>
      <c r="U2406" t="s">
        <v>45268</v>
      </c>
      <c r="W2406" t="s">
        <v>38955</v>
      </c>
      <c r="X2406" t="s">
        <v>42676</v>
      </c>
    </row>
    <row r="2407" spans="1:24">
      <c r="A2407">
        <f>HYPERLINK("https://www.philgeps.gov.ph/GEPSNONPILOT/Tender/SplashBidNoticeAbstractUI.aspx?menuIndex=3&amp;refID=7191665&amp;Result=3","7191665")</f>
        <v>0</v>
      </c>
      <c r="B2407" t="s">
        <v>750</v>
      </c>
      <c r="C2407" t="s">
        <v>5828</v>
      </c>
      <c r="D2407" t="s">
        <v>17181</v>
      </c>
      <c r="E2407" t="s">
        <v>19373</v>
      </c>
      <c r="F2407" t="s">
        <v>29372</v>
      </c>
      <c r="G2407" t="s">
        <v>29380</v>
      </c>
      <c r="H2407" t="s">
        <v>11048</v>
      </c>
      <c r="I2407" t="s">
        <v>3839</v>
      </c>
      <c r="J2407" t="s">
        <v>31214</v>
      </c>
      <c r="K2407" t="s">
        <v>38490</v>
      </c>
      <c r="M2407" t="s">
        <v>39533</v>
      </c>
      <c r="N2407" t="s">
        <v>42669</v>
      </c>
      <c r="O2407" t="s">
        <v>42670</v>
      </c>
      <c r="P2407">
        <v>0</v>
      </c>
      <c r="Q2407">
        <v>4</v>
      </c>
      <c r="R2407" t="s">
        <v>42674</v>
      </c>
      <c r="S2407" t="s">
        <v>42788</v>
      </c>
      <c r="T2407" t="s">
        <v>44482</v>
      </c>
      <c r="U2407" t="s">
        <v>46838</v>
      </c>
      <c r="W2407" t="s">
        <v>39533</v>
      </c>
      <c r="X2407" t="s">
        <v>42676</v>
      </c>
    </row>
    <row r="2408" spans="1:24">
      <c r="A2408">
        <f>HYPERLINK("https://www.philgeps.gov.ph/GEPSNONPILOT/Tender/SplashBidNoticeAbstractUI.aspx?menuIndex=3&amp;refID=7191631&amp;Result=3","7191631")</f>
        <v>0</v>
      </c>
      <c r="B2408" t="s">
        <v>966</v>
      </c>
      <c r="C2408" t="s">
        <v>5829</v>
      </c>
      <c r="D2408" t="s">
        <v>17181</v>
      </c>
      <c r="E2408" t="s">
        <v>17533</v>
      </c>
      <c r="F2408" t="s">
        <v>29372</v>
      </c>
      <c r="G2408" t="s">
        <v>29382</v>
      </c>
      <c r="H2408" t="s">
        <v>11048</v>
      </c>
      <c r="I2408" t="s">
        <v>4487</v>
      </c>
      <c r="J2408" t="s">
        <v>31215</v>
      </c>
      <c r="K2408" t="s">
        <v>38491</v>
      </c>
      <c r="M2408" t="s">
        <v>39762</v>
      </c>
      <c r="N2408" t="s">
        <v>42669</v>
      </c>
      <c r="O2408" t="s">
        <v>42670</v>
      </c>
      <c r="P2408">
        <v>0</v>
      </c>
      <c r="Q2408">
        <v>2</v>
      </c>
      <c r="R2408" t="s">
        <v>42674</v>
      </c>
      <c r="S2408" t="s">
        <v>42788</v>
      </c>
      <c r="T2408" t="s">
        <v>44496</v>
      </c>
      <c r="U2408" t="s">
        <v>46839</v>
      </c>
      <c r="W2408" t="s">
        <v>39762</v>
      </c>
      <c r="X2408" t="s">
        <v>42676</v>
      </c>
    </row>
    <row r="2409" spans="1:24">
      <c r="A2409">
        <f>HYPERLINK("https://www.philgeps.gov.ph/GEPSNONPILOT/Tender/SplashBidNoticeAbstractUI.aspx?menuIndex=3&amp;refID=7191673&amp;Result=3","7191673")</f>
        <v>0</v>
      </c>
      <c r="B2409" t="s">
        <v>851</v>
      </c>
      <c r="C2409" t="s">
        <v>5830</v>
      </c>
      <c r="D2409" t="s">
        <v>17160</v>
      </c>
      <c r="E2409" t="s">
        <v>19374</v>
      </c>
      <c r="F2409" t="s">
        <v>29372</v>
      </c>
      <c r="G2409" t="s">
        <v>29380</v>
      </c>
      <c r="H2409" t="s">
        <v>11048</v>
      </c>
      <c r="I2409" t="s">
        <v>14920</v>
      </c>
      <c r="J2409" t="s">
        <v>31216</v>
      </c>
      <c r="K2409" t="s">
        <v>38488</v>
      </c>
      <c r="M2409" t="s">
        <v>39641</v>
      </c>
      <c r="N2409" t="s">
        <v>42669</v>
      </c>
      <c r="O2409" t="s">
        <v>42670</v>
      </c>
      <c r="P2409">
        <v>0</v>
      </c>
      <c r="Q2409">
        <v>1</v>
      </c>
      <c r="R2409" t="s">
        <v>42674</v>
      </c>
      <c r="S2409" t="s">
        <v>42788</v>
      </c>
      <c r="T2409" t="s">
        <v>44480</v>
      </c>
      <c r="U2409" t="s">
        <v>46840</v>
      </c>
      <c r="W2409" t="s">
        <v>39641</v>
      </c>
      <c r="X2409" t="s">
        <v>42676</v>
      </c>
    </row>
    <row r="2410" spans="1:24">
      <c r="A2410">
        <f>HYPERLINK("https://www.philgeps.gov.ph/GEPSNONPILOT/Tender/SplashBidNoticeAbstractUI.aspx?menuIndex=3&amp;refID=7191661&amp;Result=3","7191661")</f>
        <v>0</v>
      </c>
      <c r="B2410" t="s">
        <v>586</v>
      </c>
      <c r="C2410" t="s">
        <v>5831</v>
      </c>
      <c r="D2410" t="s">
        <v>17161</v>
      </c>
      <c r="E2410" t="s">
        <v>19375</v>
      </c>
      <c r="F2410" t="s">
        <v>29372</v>
      </c>
      <c r="G2410" t="s">
        <v>29383</v>
      </c>
      <c r="H2410" t="s">
        <v>11048</v>
      </c>
      <c r="I2410" t="s">
        <v>4709</v>
      </c>
      <c r="J2410" t="s">
        <v>31217</v>
      </c>
      <c r="K2410" t="s">
        <v>38490</v>
      </c>
      <c r="M2410" t="s">
        <v>39682</v>
      </c>
      <c r="N2410" t="s">
        <v>42669</v>
      </c>
      <c r="O2410" t="s">
        <v>42670</v>
      </c>
      <c r="P2410">
        <v>0</v>
      </c>
      <c r="Q2410">
        <v>0</v>
      </c>
      <c r="R2410" t="s">
        <v>42674</v>
      </c>
      <c r="S2410" t="s">
        <v>42788</v>
      </c>
      <c r="T2410" t="s">
        <v>44488</v>
      </c>
      <c r="U2410" t="s">
        <v>46841</v>
      </c>
      <c r="W2410" t="s">
        <v>39682</v>
      </c>
      <c r="X2410" t="s">
        <v>42676</v>
      </c>
    </row>
    <row r="2411" spans="1:24">
      <c r="A2411">
        <f>HYPERLINK("https://www.philgeps.gov.ph/GEPSNONPILOT/Tender/SplashBidNoticeAbstractUI.aspx?menuIndex=3&amp;refID=7191669&amp;Result=3","7191669")</f>
        <v>0</v>
      </c>
      <c r="B2411" t="s">
        <v>967</v>
      </c>
      <c r="C2411" t="s">
        <v>5832</v>
      </c>
      <c r="D2411" t="s">
        <v>17141</v>
      </c>
      <c r="E2411" t="s">
        <v>19376</v>
      </c>
      <c r="F2411" t="s">
        <v>29372</v>
      </c>
      <c r="G2411" t="s">
        <v>29380</v>
      </c>
      <c r="H2411" t="s">
        <v>11048</v>
      </c>
      <c r="I2411" t="s">
        <v>9469</v>
      </c>
      <c r="J2411" t="s">
        <v>31218</v>
      </c>
      <c r="K2411" t="s">
        <v>38522</v>
      </c>
      <c r="M2411" t="s">
        <v>39763</v>
      </c>
      <c r="N2411" t="s">
        <v>42669</v>
      </c>
      <c r="O2411" t="s">
        <v>42670</v>
      </c>
      <c r="P2411">
        <v>0</v>
      </c>
      <c r="Q2411">
        <v>14</v>
      </c>
      <c r="R2411" t="s">
        <v>42674</v>
      </c>
      <c r="S2411" t="s">
        <v>42788</v>
      </c>
      <c r="T2411" t="s">
        <v>44415</v>
      </c>
      <c r="U2411" t="s">
        <v>46842</v>
      </c>
      <c r="W2411" t="s">
        <v>39763</v>
      </c>
      <c r="X2411" t="s">
        <v>42676</v>
      </c>
    </row>
    <row r="2412" spans="1:24">
      <c r="A2412">
        <f>HYPERLINK("https://www.philgeps.gov.ph/GEPSNONPILOT/Tender/SplashBidNoticeAbstractUI.aspx?menuIndex=3&amp;refID=7191660&amp;Result=3","7191660")</f>
        <v>0</v>
      </c>
      <c r="B2412" t="s">
        <v>968</v>
      </c>
      <c r="C2412" t="s">
        <v>5833</v>
      </c>
      <c r="D2412" t="s">
        <v>17197</v>
      </c>
      <c r="E2412" t="s">
        <v>19377</v>
      </c>
      <c r="F2412" t="s">
        <v>29372</v>
      </c>
      <c r="G2412" t="s">
        <v>29379</v>
      </c>
      <c r="H2412" t="s">
        <v>11048</v>
      </c>
      <c r="I2412" t="s">
        <v>29409</v>
      </c>
      <c r="J2412" t="s">
        <v>29708</v>
      </c>
      <c r="K2412" t="s">
        <v>38538</v>
      </c>
      <c r="M2412" t="s">
        <v>39764</v>
      </c>
      <c r="N2412" t="s">
        <v>42669</v>
      </c>
      <c r="O2412" t="s">
        <v>42670</v>
      </c>
      <c r="P2412">
        <v>0</v>
      </c>
      <c r="Q2412">
        <v>2</v>
      </c>
      <c r="R2412" t="s">
        <v>42674</v>
      </c>
      <c r="S2412" t="s">
        <v>42788</v>
      </c>
      <c r="T2412" t="s">
        <v>44427</v>
      </c>
      <c r="U2412" t="s">
        <v>46843</v>
      </c>
      <c r="W2412" t="s">
        <v>39764</v>
      </c>
      <c r="X2412" t="s">
        <v>42676</v>
      </c>
    </row>
    <row r="2413" spans="1:24">
      <c r="A2413">
        <f>HYPERLINK("https://www.philgeps.gov.ph/GEPSNONPILOT/Tender/SplashBidNoticeAbstractUI.aspx?menuIndex=3&amp;refID=7191657&amp;Result=3","7191657")</f>
        <v>0</v>
      </c>
      <c r="B2413" t="s">
        <v>969</v>
      </c>
      <c r="C2413" t="s">
        <v>5834</v>
      </c>
      <c r="D2413" t="s">
        <v>17163</v>
      </c>
      <c r="E2413" t="s">
        <v>19378</v>
      </c>
      <c r="F2413" t="s">
        <v>29372</v>
      </c>
      <c r="G2413" t="s">
        <v>29383</v>
      </c>
      <c r="H2413" t="s">
        <v>11048</v>
      </c>
      <c r="I2413" t="s">
        <v>3670</v>
      </c>
      <c r="J2413" t="s">
        <v>31219</v>
      </c>
      <c r="K2413" t="s">
        <v>38518</v>
      </c>
      <c r="M2413" t="s">
        <v>39765</v>
      </c>
      <c r="N2413" t="s">
        <v>42669</v>
      </c>
      <c r="O2413" t="s">
        <v>42670</v>
      </c>
      <c r="P2413">
        <v>0</v>
      </c>
      <c r="Q2413">
        <v>5</v>
      </c>
      <c r="R2413" t="s">
        <v>42674</v>
      </c>
      <c r="S2413" t="s">
        <v>42788</v>
      </c>
      <c r="T2413" t="s">
        <v>44489</v>
      </c>
      <c r="U2413" t="s">
        <v>46844</v>
      </c>
      <c r="W2413" t="s">
        <v>39765</v>
      </c>
      <c r="X2413" t="s">
        <v>42676</v>
      </c>
    </row>
    <row r="2414" spans="1:24">
      <c r="A2414">
        <f>HYPERLINK("https://www.philgeps.gov.ph/GEPSNONPILOT/Tender/SplashBidNoticeAbstractUI.aspx?menuIndex=3&amp;refID=7191652&amp;Result=3","7191652")</f>
        <v>0</v>
      </c>
      <c r="B2414" t="s">
        <v>938</v>
      </c>
      <c r="C2414" t="s">
        <v>5835</v>
      </c>
      <c r="E2414" t="s">
        <v>19379</v>
      </c>
      <c r="F2414" t="s">
        <v>29372</v>
      </c>
      <c r="G2414" t="s">
        <v>29380</v>
      </c>
      <c r="H2414" t="s">
        <v>29389</v>
      </c>
      <c r="I2414" t="s">
        <v>10408</v>
      </c>
      <c r="J2414" t="s">
        <v>31150</v>
      </c>
      <c r="K2414" t="s">
        <v>38490</v>
      </c>
      <c r="M2414" t="s">
        <v>39733</v>
      </c>
      <c r="N2414" t="s">
        <v>42669</v>
      </c>
      <c r="O2414" t="s">
        <v>42670</v>
      </c>
      <c r="Q2414">
        <v>1</v>
      </c>
      <c r="R2414" t="s">
        <v>42674</v>
      </c>
      <c r="S2414" t="s">
        <v>42804</v>
      </c>
      <c r="T2414" t="s">
        <v>44470</v>
      </c>
      <c r="U2414" t="s">
        <v>46845</v>
      </c>
      <c r="W2414" t="s">
        <v>58027</v>
      </c>
      <c r="X2414" t="s">
        <v>42676</v>
      </c>
    </row>
    <row r="2415" spans="1:24">
      <c r="A2415">
        <f>HYPERLINK("https://www.philgeps.gov.ph/GEPSNONPILOT/Tender/SplashBidNoticeAbstractUI.aspx?menuIndex=3&amp;refID=7191629&amp;Result=3","7191629")</f>
        <v>0</v>
      </c>
      <c r="B2415" t="s">
        <v>957</v>
      </c>
      <c r="C2415" t="s">
        <v>5836</v>
      </c>
      <c r="D2415" t="s">
        <v>17143</v>
      </c>
      <c r="E2415" t="s">
        <v>19380</v>
      </c>
      <c r="F2415" t="s">
        <v>29372</v>
      </c>
      <c r="G2415" t="s">
        <v>29380</v>
      </c>
      <c r="H2415" t="s">
        <v>11048</v>
      </c>
      <c r="I2415" t="s">
        <v>3839</v>
      </c>
      <c r="J2415" t="s">
        <v>31220</v>
      </c>
      <c r="K2415" t="s">
        <v>38488</v>
      </c>
      <c r="M2415" t="s">
        <v>39753</v>
      </c>
      <c r="N2415" t="s">
        <v>42669</v>
      </c>
      <c r="O2415" t="s">
        <v>42670</v>
      </c>
      <c r="P2415">
        <v>0</v>
      </c>
      <c r="Q2415">
        <v>4</v>
      </c>
      <c r="R2415" t="s">
        <v>42674</v>
      </c>
      <c r="S2415" t="s">
        <v>42788</v>
      </c>
      <c r="T2415" t="s">
        <v>44470</v>
      </c>
      <c r="U2415" t="s">
        <v>46846</v>
      </c>
      <c r="W2415" t="s">
        <v>39753</v>
      </c>
      <c r="X2415" t="s">
        <v>42676</v>
      </c>
    </row>
    <row r="2416" spans="1:24">
      <c r="A2416">
        <f>HYPERLINK("https://www.philgeps.gov.ph/GEPSNONPILOT/Tender/SplashBidNoticeAbstractUI.aspx?menuIndex=3&amp;refID=7191628&amp;Result=3","7191628")</f>
        <v>0</v>
      </c>
      <c r="B2416" t="s">
        <v>586</v>
      </c>
      <c r="C2416" t="s">
        <v>5689</v>
      </c>
      <c r="D2416" t="s">
        <v>17161</v>
      </c>
      <c r="E2416" t="s">
        <v>19238</v>
      </c>
      <c r="F2416" t="s">
        <v>29372</v>
      </c>
      <c r="G2416" t="s">
        <v>29383</v>
      </c>
      <c r="H2416" t="s">
        <v>11048</v>
      </c>
      <c r="I2416" t="s">
        <v>4709</v>
      </c>
      <c r="J2416" t="s">
        <v>31221</v>
      </c>
      <c r="K2416" t="s">
        <v>38490</v>
      </c>
      <c r="M2416" t="s">
        <v>39682</v>
      </c>
      <c r="N2416" t="s">
        <v>42669</v>
      </c>
      <c r="O2416" t="s">
        <v>42670</v>
      </c>
      <c r="P2416">
        <v>0</v>
      </c>
      <c r="Q2416">
        <v>0</v>
      </c>
      <c r="R2416" t="s">
        <v>42674</v>
      </c>
      <c r="S2416" t="s">
        <v>42788</v>
      </c>
      <c r="T2416" t="s">
        <v>44488</v>
      </c>
      <c r="U2416" t="s">
        <v>46714</v>
      </c>
      <c r="W2416" t="s">
        <v>39682</v>
      </c>
      <c r="X2416" t="s">
        <v>42676</v>
      </c>
    </row>
    <row r="2417" spans="1:24">
      <c r="A2417">
        <f>HYPERLINK("https://www.philgeps.gov.ph/GEPSNONPILOT/Tender/SplashBidNoticeAbstractUI.aspx?menuIndex=3&amp;refID=7191619&amp;Result=3","7191619")</f>
        <v>0</v>
      </c>
      <c r="B2417" t="s">
        <v>968</v>
      </c>
      <c r="C2417" t="s">
        <v>5837</v>
      </c>
      <c r="D2417" t="s">
        <v>17197</v>
      </c>
      <c r="E2417" t="s">
        <v>19381</v>
      </c>
      <c r="F2417" t="s">
        <v>29372</v>
      </c>
      <c r="G2417" t="s">
        <v>29379</v>
      </c>
      <c r="H2417" t="s">
        <v>11048</v>
      </c>
      <c r="I2417" t="s">
        <v>3670</v>
      </c>
      <c r="J2417" t="s">
        <v>31222</v>
      </c>
      <c r="K2417" t="s">
        <v>38538</v>
      </c>
      <c r="M2417" t="s">
        <v>39764</v>
      </c>
      <c r="N2417" t="s">
        <v>42669</v>
      </c>
      <c r="O2417" t="s">
        <v>42670</v>
      </c>
      <c r="P2417">
        <v>0</v>
      </c>
      <c r="Q2417">
        <v>0</v>
      </c>
      <c r="R2417" t="s">
        <v>42674</v>
      </c>
      <c r="S2417" t="s">
        <v>42788</v>
      </c>
      <c r="T2417" t="s">
        <v>44427</v>
      </c>
      <c r="U2417" t="s">
        <v>46847</v>
      </c>
      <c r="W2417" t="s">
        <v>39764</v>
      </c>
      <c r="X2417" t="s">
        <v>42676</v>
      </c>
    </row>
    <row r="2418" spans="1:24">
      <c r="A2418">
        <f>HYPERLINK("https://www.philgeps.gov.ph/GEPSNONPILOT/Tender/SplashBidNoticeAbstractUI.aspx?menuIndex=3&amp;refID=7191658&amp;Result=3","7191658")</f>
        <v>0</v>
      </c>
      <c r="B2418" t="s">
        <v>798</v>
      </c>
      <c r="C2418" t="s">
        <v>5838</v>
      </c>
      <c r="D2418" t="s">
        <v>17188</v>
      </c>
      <c r="E2418" t="s">
        <v>19382</v>
      </c>
      <c r="F2418" t="s">
        <v>29372</v>
      </c>
      <c r="G2418" t="s">
        <v>29379</v>
      </c>
      <c r="H2418" t="s">
        <v>11048</v>
      </c>
      <c r="I2418" t="s">
        <v>29400</v>
      </c>
      <c r="J2418" t="s">
        <v>31223</v>
      </c>
      <c r="K2418" t="s">
        <v>38490</v>
      </c>
      <c r="M2418" t="s">
        <v>39582</v>
      </c>
      <c r="N2418" t="s">
        <v>42669</v>
      </c>
      <c r="O2418" t="s">
        <v>42670</v>
      </c>
      <c r="P2418">
        <v>0</v>
      </c>
      <c r="Q2418">
        <v>6</v>
      </c>
      <c r="R2418" t="s">
        <v>42674</v>
      </c>
      <c r="S2418" t="s">
        <v>42788</v>
      </c>
      <c r="T2418" t="s">
        <v>44382</v>
      </c>
      <c r="U2418" t="s">
        <v>46848</v>
      </c>
      <c r="W2418" t="s">
        <v>39582</v>
      </c>
      <c r="X2418" t="s">
        <v>42676</v>
      </c>
    </row>
    <row r="2419" spans="1:24">
      <c r="A2419">
        <f>HYPERLINK("https://www.philgeps.gov.ph/GEPSNONPILOT/Tender/SplashBidNoticeAbstractUI.aspx?menuIndex=3&amp;refID=7191654&amp;Result=3","7191654")</f>
        <v>0</v>
      </c>
      <c r="B2419" t="s">
        <v>911</v>
      </c>
      <c r="C2419" t="s">
        <v>3692</v>
      </c>
      <c r="D2419" t="s">
        <v>17144</v>
      </c>
      <c r="E2419" t="s">
        <v>19383</v>
      </c>
      <c r="F2419" t="s">
        <v>29372</v>
      </c>
      <c r="G2419" t="s">
        <v>29379</v>
      </c>
      <c r="H2419" t="s">
        <v>11048</v>
      </c>
      <c r="I2419" t="s">
        <v>29393</v>
      </c>
      <c r="J2419" t="s">
        <v>29694</v>
      </c>
      <c r="K2419" t="s">
        <v>38491</v>
      </c>
      <c r="M2419" t="s">
        <v>39704</v>
      </c>
      <c r="N2419" t="s">
        <v>42669</v>
      </c>
      <c r="O2419" t="s">
        <v>42670</v>
      </c>
      <c r="P2419">
        <v>0</v>
      </c>
      <c r="Q2419">
        <v>0</v>
      </c>
      <c r="R2419" t="s">
        <v>42674</v>
      </c>
      <c r="S2419" t="s">
        <v>42788</v>
      </c>
      <c r="T2419" t="s">
        <v>44488</v>
      </c>
      <c r="U2419" t="s">
        <v>46849</v>
      </c>
      <c r="W2419" t="s">
        <v>39704</v>
      </c>
      <c r="X2419" t="s">
        <v>42676</v>
      </c>
    </row>
    <row r="2420" spans="1:24">
      <c r="A2420">
        <f>HYPERLINK("https://www.philgeps.gov.ph/GEPSNONPILOT/Tender/SplashBidNoticeAbstractUI.aspx?menuIndex=3&amp;refID=7191666&amp;Result=3","7191666")</f>
        <v>0</v>
      </c>
      <c r="B2420" t="s">
        <v>874</v>
      </c>
      <c r="C2420" t="s">
        <v>5839</v>
      </c>
      <c r="D2420" t="s">
        <v>17211</v>
      </c>
      <c r="E2420" t="s">
        <v>19384</v>
      </c>
      <c r="F2420" t="s">
        <v>29372</v>
      </c>
      <c r="G2420" t="s">
        <v>29380</v>
      </c>
      <c r="H2420" t="s">
        <v>29389</v>
      </c>
      <c r="I2420" t="s">
        <v>10408</v>
      </c>
      <c r="J2420" t="s">
        <v>31224</v>
      </c>
      <c r="K2420" t="s">
        <v>38495</v>
      </c>
      <c r="L2420" t="s">
        <v>874</v>
      </c>
      <c r="M2420" t="s">
        <v>39666</v>
      </c>
      <c r="N2420" t="s">
        <v>42669</v>
      </c>
      <c r="O2420" t="s">
        <v>42670</v>
      </c>
      <c r="P2420">
        <v>0</v>
      </c>
      <c r="Q2420">
        <v>1</v>
      </c>
      <c r="R2420" t="s">
        <v>42674</v>
      </c>
      <c r="S2420" t="s">
        <v>42788</v>
      </c>
      <c r="T2420" t="s">
        <v>44476</v>
      </c>
      <c r="U2420" t="s">
        <v>46633</v>
      </c>
      <c r="V2420" t="s">
        <v>56602</v>
      </c>
      <c r="W2420" t="s">
        <v>39666</v>
      </c>
      <c r="X2420" t="s">
        <v>42676</v>
      </c>
    </row>
    <row r="2421" spans="1:24">
      <c r="A2421">
        <f>HYPERLINK("https://www.philgeps.gov.ph/GEPSNONPILOT/Tender/SplashBidNoticeAbstractUI.aspx?menuIndex=3&amp;refID=7191717&amp;Result=3","7191717")</f>
        <v>0</v>
      </c>
      <c r="B2421" t="s">
        <v>970</v>
      </c>
      <c r="C2421" t="s">
        <v>5840</v>
      </c>
      <c r="D2421" t="s">
        <v>17141</v>
      </c>
      <c r="E2421" t="s">
        <v>19385</v>
      </c>
      <c r="F2421" t="s">
        <v>29372</v>
      </c>
      <c r="G2421" t="s">
        <v>29379</v>
      </c>
      <c r="H2421" t="s">
        <v>11048</v>
      </c>
      <c r="I2421" t="s">
        <v>29482</v>
      </c>
      <c r="J2421" t="s">
        <v>29555</v>
      </c>
      <c r="K2421" t="s">
        <v>38488</v>
      </c>
      <c r="M2421" t="s">
        <v>39766</v>
      </c>
      <c r="N2421" t="s">
        <v>42669</v>
      </c>
      <c r="O2421" t="s">
        <v>42670</v>
      </c>
      <c r="P2421">
        <v>0</v>
      </c>
      <c r="Q2421">
        <v>6</v>
      </c>
      <c r="R2421" t="s">
        <v>42674</v>
      </c>
      <c r="S2421" t="s">
        <v>42788</v>
      </c>
      <c r="T2421" t="s">
        <v>44462</v>
      </c>
      <c r="U2421" t="s">
        <v>46850</v>
      </c>
      <c r="V2421" t="s">
        <v>56603</v>
      </c>
      <c r="W2421" t="s">
        <v>39766</v>
      </c>
      <c r="X2421" t="s">
        <v>42676</v>
      </c>
    </row>
    <row r="2422" spans="1:24">
      <c r="A2422">
        <f>HYPERLINK("https://www.philgeps.gov.ph/GEPSNONPILOT/Tender/SplashBidNoticeAbstractUI.aspx?menuIndex=3&amp;refID=7191668&amp;Result=3","7191668")</f>
        <v>0</v>
      </c>
      <c r="B2422" t="s">
        <v>971</v>
      </c>
      <c r="C2422" t="s">
        <v>5841</v>
      </c>
      <c r="D2422" t="s">
        <v>17199</v>
      </c>
      <c r="E2422" t="s">
        <v>19386</v>
      </c>
      <c r="F2422" t="s">
        <v>29372</v>
      </c>
      <c r="G2422" t="s">
        <v>29379</v>
      </c>
      <c r="H2422" t="s">
        <v>11048</v>
      </c>
      <c r="I2422" t="s">
        <v>4487</v>
      </c>
      <c r="J2422" t="s">
        <v>31225</v>
      </c>
      <c r="K2422" t="s">
        <v>38488</v>
      </c>
      <c r="L2422" t="s">
        <v>971</v>
      </c>
      <c r="M2422" t="s">
        <v>39767</v>
      </c>
      <c r="N2422" t="s">
        <v>42669</v>
      </c>
      <c r="O2422" t="s">
        <v>42670</v>
      </c>
      <c r="P2422">
        <v>0</v>
      </c>
      <c r="Q2422">
        <v>8</v>
      </c>
      <c r="R2422" t="s">
        <v>42674</v>
      </c>
      <c r="S2422" t="s">
        <v>42788</v>
      </c>
      <c r="T2422" t="s">
        <v>44488</v>
      </c>
      <c r="U2422" t="s">
        <v>46851</v>
      </c>
      <c r="W2422" t="s">
        <v>39767</v>
      </c>
      <c r="X2422" t="s">
        <v>42676</v>
      </c>
    </row>
    <row r="2423" spans="1:24">
      <c r="A2423">
        <f>HYPERLINK("https://www.philgeps.gov.ph/GEPSNONPILOT/Tender/SplashBidNoticeAbstractUI.aspx?menuIndex=3&amp;refID=7191716&amp;Result=3","7191716")</f>
        <v>0</v>
      </c>
      <c r="B2423" t="s">
        <v>662</v>
      </c>
      <c r="C2423" t="s">
        <v>5842</v>
      </c>
      <c r="D2423" t="s">
        <v>17211</v>
      </c>
      <c r="E2423" t="s">
        <v>19387</v>
      </c>
      <c r="F2423" t="s">
        <v>29372</v>
      </c>
      <c r="G2423" t="s">
        <v>29380</v>
      </c>
      <c r="H2423" t="s">
        <v>29389</v>
      </c>
      <c r="I2423" t="s">
        <v>10408</v>
      </c>
      <c r="J2423" t="s">
        <v>31226</v>
      </c>
      <c r="K2423" t="s">
        <v>38490</v>
      </c>
      <c r="M2423" t="s">
        <v>39768</v>
      </c>
      <c r="N2423" t="s">
        <v>42669</v>
      </c>
      <c r="O2423" t="s">
        <v>42670</v>
      </c>
      <c r="P2423">
        <v>0</v>
      </c>
      <c r="Q2423">
        <v>0</v>
      </c>
      <c r="R2423" t="s">
        <v>42674</v>
      </c>
      <c r="S2423" t="s">
        <v>42788</v>
      </c>
      <c r="T2423" t="s">
        <v>44474</v>
      </c>
      <c r="U2423" t="s">
        <v>46852</v>
      </c>
      <c r="V2423" t="s">
        <v>56604</v>
      </c>
      <c r="W2423" t="s">
        <v>58029</v>
      </c>
      <c r="X2423" t="s">
        <v>42676</v>
      </c>
    </row>
    <row r="2424" spans="1:24">
      <c r="A2424">
        <f>HYPERLINK("https://www.philgeps.gov.ph/GEPSNONPILOT/Tender/SplashBidNoticeAbstractUI.aspx?menuIndex=3&amp;refID=7191711&amp;Result=3","7191711")</f>
        <v>0</v>
      </c>
      <c r="B2424" t="s">
        <v>278</v>
      </c>
      <c r="C2424" t="s">
        <v>5843</v>
      </c>
      <c r="D2424" t="s">
        <v>17189</v>
      </c>
      <c r="E2424" t="s">
        <v>19388</v>
      </c>
      <c r="F2424" t="s">
        <v>29372</v>
      </c>
      <c r="G2424" t="s">
        <v>29380</v>
      </c>
      <c r="H2424" t="s">
        <v>29389</v>
      </c>
      <c r="I2424" t="s">
        <v>10408</v>
      </c>
      <c r="J2424" t="s">
        <v>31227</v>
      </c>
      <c r="K2424" t="s">
        <v>38496</v>
      </c>
      <c r="M2424" t="s">
        <v>39710</v>
      </c>
      <c r="N2424" t="s">
        <v>42669</v>
      </c>
      <c r="O2424" t="s">
        <v>42670</v>
      </c>
      <c r="P2424">
        <v>0</v>
      </c>
      <c r="Q2424">
        <v>1</v>
      </c>
      <c r="R2424" t="s">
        <v>42674</v>
      </c>
      <c r="S2424" t="s">
        <v>42788</v>
      </c>
      <c r="T2424" t="s">
        <v>44587</v>
      </c>
      <c r="U2424" t="s">
        <v>46853</v>
      </c>
      <c r="W2424" t="s">
        <v>39710</v>
      </c>
      <c r="X2424" t="s">
        <v>42676</v>
      </c>
    </row>
    <row r="2425" spans="1:24">
      <c r="A2425">
        <f>HYPERLINK("https://www.philgeps.gov.ph/GEPSNONPILOT/Tender/SplashBidNoticeAbstractUI.aspx?menuIndex=3&amp;refID=7191709&amp;Result=3","7191709")</f>
        <v>0</v>
      </c>
      <c r="B2425" t="s">
        <v>947</v>
      </c>
      <c r="C2425" t="s">
        <v>5844</v>
      </c>
      <c r="D2425" t="s">
        <v>17174</v>
      </c>
      <c r="E2425" t="s">
        <v>19389</v>
      </c>
      <c r="F2425" t="s">
        <v>29372</v>
      </c>
      <c r="G2425" t="s">
        <v>29383</v>
      </c>
      <c r="H2425" t="s">
        <v>11048</v>
      </c>
      <c r="I2425" t="s">
        <v>4709</v>
      </c>
      <c r="J2425" t="s">
        <v>29555</v>
      </c>
      <c r="K2425" t="s">
        <v>38510</v>
      </c>
      <c r="M2425" t="s">
        <v>39743</v>
      </c>
      <c r="N2425" t="s">
        <v>42669</v>
      </c>
      <c r="O2425" t="s">
        <v>42670</v>
      </c>
      <c r="P2425">
        <v>0</v>
      </c>
      <c r="Q2425">
        <v>0</v>
      </c>
      <c r="R2425" t="s">
        <v>42674</v>
      </c>
      <c r="S2425" t="s">
        <v>42788</v>
      </c>
      <c r="T2425" t="s">
        <v>44451</v>
      </c>
      <c r="U2425" t="s">
        <v>46854</v>
      </c>
      <c r="W2425" t="s">
        <v>39743</v>
      </c>
      <c r="X2425" t="s">
        <v>42676</v>
      </c>
    </row>
    <row r="2426" spans="1:24">
      <c r="A2426">
        <f>HYPERLINK("https://www.philgeps.gov.ph/GEPSNONPILOT/Tender/SplashBidNoticeAbstractUI.aspx?menuIndex=3&amp;refID=7191618&amp;Result=3","7191618")</f>
        <v>0</v>
      </c>
      <c r="B2426" t="s">
        <v>911</v>
      </c>
      <c r="C2426" t="s">
        <v>5821</v>
      </c>
      <c r="D2426" t="s">
        <v>17144</v>
      </c>
      <c r="E2426" t="s">
        <v>19390</v>
      </c>
      <c r="F2426" t="s">
        <v>29372</v>
      </c>
      <c r="G2426" t="s">
        <v>29379</v>
      </c>
      <c r="H2426" t="s">
        <v>11048</v>
      </c>
      <c r="I2426" t="s">
        <v>29393</v>
      </c>
      <c r="J2426" t="s">
        <v>29680</v>
      </c>
      <c r="K2426" t="s">
        <v>38491</v>
      </c>
      <c r="M2426" t="s">
        <v>39704</v>
      </c>
      <c r="N2426" t="s">
        <v>42669</v>
      </c>
      <c r="O2426" t="s">
        <v>42670</v>
      </c>
      <c r="P2426">
        <v>0</v>
      </c>
      <c r="Q2426">
        <v>1</v>
      </c>
      <c r="R2426" t="s">
        <v>42674</v>
      </c>
      <c r="S2426" t="s">
        <v>42788</v>
      </c>
      <c r="T2426" t="s">
        <v>44432</v>
      </c>
      <c r="U2426" t="s">
        <v>46855</v>
      </c>
      <c r="W2426" t="s">
        <v>39704</v>
      </c>
      <c r="X2426" t="s">
        <v>42676</v>
      </c>
    </row>
    <row r="2427" spans="1:24">
      <c r="A2427">
        <f>HYPERLINK("https://www.philgeps.gov.ph/GEPSNONPILOT/Tender/SplashBidNoticeAbstractUI.aspx?menuIndex=3&amp;refID=7191718&amp;Result=3","7191718")</f>
        <v>0</v>
      </c>
      <c r="B2427" t="s">
        <v>955</v>
      </c>
      <c r="C2427" t="s">
        <v>5845</v>
      </c>
      <c r="E2427" t="s">
        <v>19391</v>
      </c>
      <c r="F2427" t="s">
        <v>29372</v>
      </c>
      <c r="G2427" t="s">
        <v>29380</v>
      </c>
      <c r="H2427" t="s">
        <v>11048</v>
      </c>
      <c r="I2427" t="s">
        <v>29395</v>
      </c>
      <c r="J2427" t="s">
        <v>31228</v>
      </c>
      <c r="K2427" t="s">
        <v>38490</v>
      </c>
      <c r="M2427" t="s">
        <v>39751</v>
      </c>
      <c r="N2427" t="s">
        <v>42669</v>
      </c>
      <c r="O2427" t="s">
        <v>42670</v>
      </c>
      <c r="P2427">
        <v>0</v>
      </c>
      <c r="Q2427">
        <v>1</v>
      </c>
      <c r="R2427" t="s">
        <v>42674</v>
      </c>
      <c r="S2427" t="s">
        <v>42788</v>
      </c>
      <c r="T2427" t="s">
        <v>44363</v>
      </c>
      <c r="U2427" t="s">
        <v>46856</v>
      </c>
      <c r="W2427" t="s">
        <v>39751</v>
      </c>
      <c r="X2427" t="s">
        <v>42676</v>
      </c>
    </row>
    <row r="2428" spans="1:24">
      <c r="A2428">
        <f>HYPERLINK("https://www.philgeps.gov.ph/GEPSNONPILOT/Tender/SplashBidNoticeAbstractUI.aspx?menuIndex=3&amp;refID=7191705&amp;Result=3","7191705")</f>
        <v>0</v>
      </c>
      <c r="B2428" t="s">
        <v>795</v>
      </c>
      <c r="C2428" t="s">
        <v>5846</v>
      </c>
      <c r="D2428" t="s">
        <v>17167</v>
      </c>
      <c r="E2428" t="s">
        <v>19392</v>
      </c>
      <c r="F2428" t="s">
        <v>29372</v>
      </c>
      <c r="G2428" t="s">
        <v>29380</v>
      </c>
      <c r="H2428" t="s">
        <v>11048</v>
      </c>
      <c r="I2428" t="s">
        <v>29407</v>
      </c>
      <c r="J2428" t="s">
        <v>31229</v>
      </c>
      <c r="K2428" t="s">
        <v>38485</v>
      </c>
      <c r="M2428" t="s">
        <v>39579</v>
      </c>
      <c r="N2428" t="s">
        <v>42669</v>
      </c>
      <c r="O2428" t="s">
        <v>42670</v>
      </c>
      <c r="P2428">
        <v>0</v>
      </c>
      <c r="Q2428">
        <v>4</v>
      </c>
      <c r="R2428" t="s">
        <v>42674</v>
      </c>
      <c r="S2428" t="s">
        <v>42788</v>
      </c>
      <c r="T2428" t="s">
        <v>44568</v>
      </c>
      <c r="U2428" t="s">
        <v>46857</v>
      </c>
      <c r="W2428" t="s">
        <v>39579</v>
      </c>
      <c r="X2428" t="s">
        <v>42676</v>
      </c>
    </row>
    <row r="2429" spans="1:24">
      <c r="A2429">
        <f>HYPERLINK("https://www.philgeps.gov.ph/GEPSNONPILOT/Tender/SplashBidNoticeAbstractUI.aspx?menuIndex=3&amp;refID=7191617&amp;Result=3","7191617")</f>
        <v>0</v>
      </c>
      <c r="B2429" t="s">
        <v>938</v>
      </c>
      <c r="C2429" t="s">
        <v>5847</v>
      </c>
      <c r="E2429" t="s">
        <v>19393</v>
      </c>
      <c r="F2429" t="s">
        <v>29372</v>
      </c>
      <c r="G2429" t="s">
        <v>29380</v>
      </c>
      <c r="H2429" t="s">
        <v>29389</v>
      </c>
      <c r="I2429" t="s">
        <v>10408</v>
      </c>
      <c r="J2429" t="s">
        <v>31150</v>
      </c>
      <c r="K2429" t="s">
        <v>38490</v>
      </c>
      <c r="M2429" t="s">
        <v>39733</v>
      </c>
      <c r="N2429" t="s">
        <v>42669</v>
      </c>
      <c r="O2429" t="s">
        <v>42670</v>
      </c>
      <c r="Q2429">
        <v>1</v>
      </c>
      <c r="R2429" t="s">
        <v>42674</v>
      </c>
      <c r="S2429" t="s">
        <v>42805</v>
      </c>
      <c r="T2429" t="s">
        <v>44470</v>
      </c>
      <c r="U2429" t="s">
        <v>46858</v>
      </c>
      <c r="W2429" t="s">
        <v>58027</v>
      </c>
      <c r="X2429" t="s">
        <v>42676</v>
      </c>
    </row>
    <row r="2430" spans="1:24">
      <c r="A2430">
        <f>HYPERLINK("https://www.philgeps.gov.ph/GEPSNONPILOT/Tender/SplashBidNoticeAbstractUI.aspx?menuIndex=3&amp;refID=7191715&amp;Result=3","7191715")</f>
        <v>0</v>
      </c>
      <c r="B2430" t="s">
        <v>750</v>
      </c>
      <c r="C2430" t="s">
        <v>5848</v>
      </c>
      <c r="D2430" t="s">
        <v>17181</v>
      </c>
      <c r="E2430" t="s">
        <v>19394</v>
      </c>
      <c r="F2430" t="s">
        <v>29372</v>
      </c>
      <c r="G2430" t="s">
        <v>29380</v>
      </c>
      <c r="H2430" t="s">
        <v>29389</v>
      </c>
      <c r="I2430" t="s">
        <v>10408</v>
      </c>
      <c r="J2430" t="s">
        <v>30244</v>
      </c>
      <c r="K2430" t="s">
        <v>38490</v>
      </c>
      <c r="M2430" t="s">
        <v>39533</v>
      </c>
      <c r="N2430" t="s">
        <v>42669</v>
      </c>
      <c r="O2430" t="s">
        <v>42670</v>
      </c>
      <c r="P2430">
        <v>0</v>
      </c>
      <c r="Q2430">
        <v>0</v>
      </c>
      <c r="R2430" t="s">
        <v>42674</v>
      </c>
      <c r="S2430" t="s">
        <v>42788</v>
      </c>
      <c r="T2430" t="s">
        <v>44482</v>
      </c>
      <c r="U2430" t="s">
        <v>46859</v>
      </c>
      <c r="W2430" t="s">
        <v>39533</v>
      </c>
      <c r="X2430" t="s">
        <v>42676</v>
      </c>
    </row>
    <row r="2431" spans="1:24">
      <c r="A2431">
        <f>HYPERLINK("https://www.philgeps.gov.ph/GEPSNONPILOT/Tender/SplashBidNoticeAbstractUI.aspx?menuIndex=3&amp;refID=7191704&amp;Result=3","7191704")</f>
        <v>0</v>
      </c>
      <c r="B2431" t="s">
        <v>586</v>
      </c>
      <c r="C2431" t="s">
        <v>5849</v>
      </c>
      <c r="D2431" t="s">
        <v>17161</v>
      </c>
      <c r="E2431" t="s">
        <v>19395</v>
      </c>
      <c r="F2431" t="s">
        <v>29372</v>
      </c>
      <c r="G2431" t="s">
        <v>29383</v>
      </c>
      <c r="H2431" t="s">
        <v>11048</v>
      </c>
      <c r="I2431" t="s">
        <v>4709</v>
      </c>
      <c r="J2431" t="s">
        <v>31230</v>
      </c>
      <c r="K2431" t="s">
        <v>38490</v>
      </c>
      <c r="M2431" t="s">
        <v>39682</v>
      </c>
      <c r="N2431" t="s">
        <v>42669</v>
      </c>
      <c r="O2431" t="s">
        <v>42670</v>
      </c>
      <c r="P2431">
        <v>0</v>
      </c>
      <c r="Q2431">
        <v>0</v>
      </c>
      <c r="R2431" t="s">
        <v>42674</v>
      </c>
      <c r="S2431" t="s">
        <v>42788</v>
      </c>
      <c r="T2431" t="s">
        <v>44488</v>
      </c>
      <c r="U2431" t="s">
        <v>46860</v>
      </c>
      <c r="W2431" t="s">
        <v>39682</v>
      </c>
      <c r="X2431" t="s">
        <v>42676</v>
      </c>
    </row>
    <row r="2432" spans="1:24">
      <c r="A2432">
        <f>HYPERLINK("https://www.philgeps.gov.ph/GEPSNONPILOT/Tender/SplashBidNoticeAbstractUI.aspx?menuIndex=3&amp;refID=7191638&amp;Result=3","7191638")</f>
        <v>0</v>
      </c>
      <c r="B2432" t="s">
        <v>972</v>
      </c>
      <c r="C2432" t="s">
        <v>5850</v>
      </c>
      <c r="D2432" t="s">
        <v>17210</v>
      </c>
      <c r="E2432" t="s">
        <v>19396</v>
      </c>
      <c r="F2432" t="s">
        <v>29372</v>
      </c>
      <c r="G2432" t="s">
        <v>29383</v>
      </c>
      <c r="H2432" t="s">
        <v>11048</v>
      </c>
      <c r="I2432" t="s">
        <v>29409</v>
      </c>
      <c r="J2432" t="s">
        <v>29823</v>
      </c>
      <c r="K2432" t="s">
        <v>38485</v>
      </c>
      <c r="M2432" t="s">
        <v>39769</v>
      </c>
      <c r="N2432" t="s">
        <v>42669</v>
      </c>
      <c r="O2432" t="s">
        <v>42670</v>
      </c>
      <c r="P2432">
        <v>0</v>
      </c>
      <c r="Q2432">
        <v>1</v>
      </c>
      <c r="R2432" t="s">
        <v>42674</v>
      </c>
      <c r="S2432" t="s">
        <v>42788</v>
      </c>
      <c r="T2432" t="s">
        <v>44525</v>
      </c>
      <c r="U2432" t="s">
        <v>46861</v>
      </c>
      <c r="W2432" t="s">
        <v>39769</v>
      </c>
      <c r="X2432" t="s">
        <v>42676</v>
      </c>
    </row>
    <row r="2433" spans="1:24">
      <c r="A2433">
        <f>HYPERLINK("https://www.philgeps.gov.ph/GEPSNONPILOT/Tender/SplashBidNoticeAbstractUI.aspx?menuIndex=3&amp;refID=7191662&amp;Result=3","7191662")</f>
        <v>0</v>
      </c>
      <c r="B2433" t="s">
        <v>938</v>
      </c>
      <c r="C2433" t="s">
        <v>5851</v>
      </c>
      <c r="E2433" t="s">
        <v>19397</v>
      </c>
      <c r="F2433" t="s">
        <v>29372</v>
      </c>
      <c r="G2433" t="s">
        <v>29380</v>
      </c>
      <c r="H2433" t="s">
        <v>29389</v>
      </c>
      <c r="I2433" t="s">
        <v>10408</v>
      </c>
      <c r="J2433" t="s">
        <v>31150</v>
      </c>
      <c r="K2433" t="s">
        <v>38490</v>
      </c>
      <c r="M2433" t="s">
        <v>39733</v>
      </c>
      <c r="N2433" t="s">
        <v>42669</v>
      </c>
      <c r="O2433" t="s">
        <v>42670</v>
      </c>
      <c r="Q2433">
        <v>1</v>
      </c>
      <c r="R2433" t="s">
        <v>42674</v>
      </c>
      <c r="S2433" t="s">
        <v>42806</v>
      </c>
      <c r="T2433" t="s">
        <v>44470</v>
      </c>
      <c r="U2433" t="s">
        <v>46862</v>
      </c>
      <c r="W2433" t="s">
        <v>58027</v>
      </c>
      <c r="X2433" t="s">
        <v>42676</v>
      </c>
    </row>
    <row r="2434" spans="1:24">
      <c r="A2434">
        <f>HYPERLINK("https://www.philgeps.gov.ph/GEPSNONPILOT/Tender/SplashBidNoticeAbstractUI.aspx?menuIndex=3&amp;refID=7191756&amp;Result=3","7191756")</f>
        <v>0</v>
      </c>
      <c r="B2434" t="s">
        <v>700</v>
      </c>
      <c r="C2434" t="s">
        <v>5852</v>
      </c>
      <c r="D2434" t="s">
        <v>17189</v>
      </c>
      <c r="E2434" t="s">
        <v>17399</v>
      </c>
      <c r="F2434" t="s">
        <v>29373</v>
      </c>
      <c r="G2434" t="s">
        <v>29383</v>
      </c>
      <c r="H2434" t="s">
        <v>29390</v>
      </c>
      <c r="I2434" t="s">
        <v>4487</v>
      </c>
      <c r="J2434" t="s">
        <v>31231</v>
      </c>
      <c r="K2434" t="s">
        <v>38528</v>
      </c>
      <c r="L2434" t="s">
        <v>700</v>
      </c>
      <c r="M2434" t="s">
        <v>39478</v>
      </c>
      <c r="N2434" t="s">
        <v>42669</v>
      </c>
      <c r="O2434" t="s">
        <v>42670</v>
      </c>
      <c r="P2434">
        <v>0</v>
      </c>
      <c r="Q2434">
        <v>2</v>
      </c>
      <c r="R2434" t="s">
        <v>42674</v>
      </c>
      <c r="S2434" t="s">
        <v>42788</v>
      </c>
      <c r="T2434" t="s">
        <v>44451</v>
      </c>
      <c r="U2434" t="s">
        <v>46863</v>
      </c>
      <c r="W2434" t="s">
        <v>39478</v>
      </c>
      <c r="X2434" t="s">
        <v>42676</v>
      </c>
    </row>
    <row r="2435" spans="1:24">
      <c r="A2435">
        <f>HYPERLINK("https://www.philgeps.gov.ph/GEPSNONPILOT/Tender/SplashBidNoticeAbstractUI.aspx?menuIndex=3&amp;refID=7191712&amp;Result=3","7191712")</f>
        <v>0</v>
      </c>
      <c r="B2435" t="s">
        <v>660</v>
      </c>
      <c r="C2435" t="s">
        <v>5853</v>
      </c>
      <c r="D2435" t="s">
        <v>17199</v>
      </c>
      <c r="E2435" t="s">
        <v>5853</v>
      </c>
      <c r="F2435" t="s">
        <v>29372</v>
      </c>
      <c r="G2435" t="s">
        <v>29379</v>
      </c>
      <c r="H2435" t="s">
        <v>11048</v>
      </c>
      <c r="I2435" t="s">
        <v>29440</v>
      </c>
      <c r="J2435" t="s">
        <v>31232</v>
      </c>
      <c r="K2435" t="s">
        <v>38490</v>
      </c>
      <c r="M2435" t="s">
        <v>39436</v>
      </c>
      <c r="N2435" t="s">
        <v>42669</v>
      </c>
      <c r="O2435" t="s">
        <v>42670</v>
      </c>
      <c r="P2435">
        <v>0</v>
      </c>
      <c r="Q2435">
        <v>1</v>
      </c>
      <c r="R2435" t="s">
        <v>42674</v>
      </c>
      <c r="S2435" t="s">
        <v>42788</v>
      </c>
      <c r="T2435" t="s">
        <v>44441</v>
      </c>
      <c r="U2435" t="s">
        <v>46864</v>
      </c>
      <c r="W2435" t="s">
        <v>39436</v>
      </c>
      <c r="X2435" t="s">
        <v>42676</v>
      </c>
    </row>
    <row r="2436" spans="1:24">
      <c r="A2436">
        <f>HYPERLINK("https://www.philgeps.gov.ph/GEPSNONPILOT/Tender/SplashBidNoticeAbstractUI.aspx?menuIndex=3&amp;refID=7191707&amp;Result=3","7191707")</f>
        <v>0</v>
      </c>
      <c r="B2436" t="s">
        <v>973</v>
      </c>
      <c r="C2436" t="s">
        <v>5854</v>
      </c>
      <c r="D2436" t="s">
        <v>17158</v>
      </c>
      <c r="E2436" t="s">
        <v>19398</v>
      </c>
      <c r="F2436" t="s">
        <v>29372</v>
      </c>
      <c r="G2436" t="s">
        <v>29379</v>
      </c>
      <c r="H2436" t="s">
        <v>11048</v>
      </c>
      <c r="I2436" t="s">
        <v>29398</v>
      </c>
      <c r="J2436" t="s">
        <v>30014</v>
      </c>
      <c r="K2436" t="s">
        <v>38485</v>
      </c>
      <c r="M2436" t="s">
        <v>39770</v>
      </c>
      <c r="N2436" t="s">
        <v>42669</v>
      </c>
      <c r="O2436" t="s">
        <v>42670</v>
      </c>
      <c r="P2436">
        <v>0</v>
      </c>
      <c r="Q2436">
        <v>9</v>
      </c>
      <c r="R2436" t="s">
        <v>42674</v>
      </c>
      <c r="S2436" t="s">
        <v>42788</v>
      </c>
      <c r="T2436" t="s">
        <v>44462</v>
      </c>
      <c r="U2436" t="s">
        <v>46865</v>
      </c>
      <c r="W2436" t="s">
        <v>39770</v>
      </c>
      <c r="X2436" t="s">
        <v>42676</v>
      </c>
    </row>
    <row r="2437" spans="1:24">
      <c r="A2437">
        <f>HYPERLINK("https://www.philgeps.gov.ph/GEPSNONPILOT/Tender/SplashBidNoticeAbstractUI.aspx?menuIndex=3&amp;refID=7191703&amp;Result=3","7191703")</f>
        <v>0</v>
      </c>
      <c r="B2437" t="s">
        <v>967</v>
      </c>
      <c r="C2437" t="s">
        <v>5855</v>
      </c>
      <c r="D2437" t="s">
        <v>17141</v>
      </c>
      <c r="E2437" t="s">
        <v>19399</v>
      </c>
      <c r="F2437" t="s">
        <v>29372</v>
      </c>
      <c r="G2437" t="s">
        <v>29380</v>
      </c>
      <c r="H2437" t="s">
        <v>11048</v>
      </c>
      <c r="I2437" t="s">
        <v>29396</v>
      </c>
      <c r="J2437" t="s">
        <v>30012</v>
      </c>
      <c r="K2437" t="s">
        <v>38485</v>
      </c>
      <c r="M2437" t="s">
        <v>39763</v>
      </c>
      <c r="N2437" t="s">
        <v>42669</v>
      </c>
      <c r="O2437" t="s">
        <v>42670</v>
      </c>
      <c r="P2437">
        <v>0</v>
      </c>
      <c r="Q2437">
        <v>2</v>
      </c>
      <c r="R2437" t="s">
        <v>42674</v>
      </c>
      <c r="S2437" t="s">
        <v>42788</v>
      </c>
      <c r="T2437" t="s">
        <v>44407</v>
      </c>
      <c r="U2437" t="s">
        <v>46842</v>
      </c>
      <c r="W2437" t="s">
        <v>39763</v>
      </c>
      <c r="X2437" t="s">
        <v>42676</v>
      </c>
    </row>
    <row r="2438" spans="1:24">
      <c r="A2438">
        <f>HYPERLINK("https://www.philgeps.gov.ph/GEPSNONPILOT/Tender/SplashBidNoticeAbstractUI.aspx?menuIndex=3&amp;refID=7191755&amp;Result=3","7191755")</f>
        <v>0</v>
      </c>
      <c r="B2438" t="s">
        <v>974</v>
      </c>
      <c r="C2438" t="s">
        <v>5856</v>
      </c>
      <c r="D2438" t="s">
        <v>17172</v>
      </c>
      <c r="E2438" t="s">
        <v>19400</v>
      </c>
      <c r="F2438" t="s">
        <v>29372</v>
      </c>
      <c r="G2438" t="s">
        <v>29380</v>
      </c>
      <c r="H2438" t="s">
        <v>29389</v>
      </c>
      <c r="I2438" t="s">
        <v>10408</v>
      </c>
      <c r="J2438" t="s">
        <v>31233</v>
      </c>
      <c r="K2438" t="s">
        <v>38518</v>
      </c>
      <c r="M2438" t="s">
        <v>39771</v>
      </c>
      <c r="N2438" t="s">
        <v>42669</v>
      </c>
      <c r="O2438" t="s">
        <v>42670</v>
      </c>
      <c r="P2438">
        <v>0</v>
      </c>
      <c r="Q2438">
        <v>0</v>
      </c>
      <c r="R2438" t="s">
        <v>42674</v>
      </c>
      <c r="S2438" t="s">
        <v>42788</v>
      </c>
      <c r="T2438" t="s">
        <v>44594</v>
      </c>
      <c r="U2438" t="s">
        <v>46866</v>
      </c>
      <c r="W2438" t="s">
        <v>39771</v>
      </c>
      <c r="X2438" t="s">
        <v>42676</v>
      </c>
    </row>
    <row r="2439" spans="1:24">
      <c r="A2439">
        <f>HYPERLINK("https://www.philgeps.gov.ph/GEPSNONPILOT/Tender/SplashBidNoticeAbstractUI.aspx?menuIndex=3&amp;refID=7191748&amp;Result=3","7191748")</f>
        <v>0</v>
      </c>
      <c r="B2439" t="s">
        <v>881</v>
      </c>
      <c r="C2439" t="s">
        <v>5857</v>
      </c>
      <c r="D2439" t="s">
        <v>17204</v>
      </c>
      <c r="E2439" t="s">
        <v>19401</v>
      </c>
      <c r="F2439" t="s">
        <v>29372</v>
      </c>
      <c r="G2439" t="s">
        <v>29379</v>
      </c>
      <c r="H2439" t="s">
        <v>11048</v>
      </c>
      <c r="I2439" t="s">
        <v>29415</v>
      </c>
      <c r="J2439" t="s">
        <v>30404</v>
      </c>
      <c r="K2439" t="s">
        <v>38485</v>
      </c>
      <c r="M2439" t="s">
        <v>39673</v>
      </c>
      <c r="N2439" t="s">
        <v>42669</v>
      </c>
      <c r="O2439" t="s">
        <v>42670</v>
      </c>
      <c r="P2439">
        <v>0</v>
      </c>
      <c r="Q2439">
        <v>6</v>
      </c>
      <c r="R2439" t="s">
        <v>42674</v>
      </c>
      <c r="S2439" t="s">
        <v>42788</v>
      </c>
      <c r="T2439" t="s">
        <v>44512</v>
      </c>
      <c r="U2439" t="s">
        <v>46646</v>
      </c>
      <c r="W2439" t="s">
        <v>39673</v>
      </c>
      <c r="X2439" t="s">
        <v>42676</v>
      </c>
    </row>
    <row r="2440" spans="1:24">
      <c r="A2440">
        <f>HYPERLINK("https://www.philgeps.gov.ph/GEPSNONPILOT/Tender/SplashBidNoticeAbstractUI.aspx?menuIndex=3&amp;refID=7191701&amp;Result=3","7191701")</f>
        <v>0</v>
      </c>
      <c r="B2440" t="s">
        <v>974</v>
      </c>
      <c r="C2440" t="s">
        <v>5858</v>
      </c>
      <c r="D2440" t="s">
        <v>17172</v>
      </c>
      <c r="E2440" t="s">
        <v>19402</v>
      </c>
      <c r="F2440" t="s">
        <v>29372</v>
      </c>
      <c r="G2440" t="s">
        <v>29380</v>
      </c>
      <c r="H2440" t="s">
        <v>29389</v>
      </c>
      <c r="I2440" t="s">
        <v>10408</v>
      </c>
      <c r="J2440" t="s">
        <v>31234</v>
      </c>
      <c r="K2440" t="s">
        <v>38518</v>
      </c>
      <c r="M2440" t="s">
        <v>39771</v>
      </c>
      <c r="N2440" t="s">
        <v>42669</v>
      </c>
      <c r="O2440" t="s">
        <v>42670</v>
      </c>
      <c r="P2440">
        <v>0</v>
      </c>
      <c r="Q2440">
        <v>0</v>
      </c>
      <c r="R2440" t="s">
        <v>42674</v>
      </c>
      <c r="S2440" t="s">
        <v>42788</v>
      </c>
      <c r="T2440" t="s">
        <v>44594</v>
      </c>
      <c r="U2440" t="s">
        <v>46867</v>
      </c>
      <c r="W2440" t="s">
        <v>39771</v>
      </c>
      <c r="X2440" t="s">
        <v>42676</v>
      </c>
    </row>
    <row r="2441" spans="1:24">
      <c r="A2441">
        <f>HYPERLINK("https://www.philgeps.gov.ph/GEPSNONPILOT/Tender/SplashBidNoticeAbstractUI.aspx?menuIndex=3&amp;refID=7191708&amp;Result=3","7191708")</f>
        <v>0</v>
      </c>
      <c r="B2441" t="s">
        <v>968</v>
      </c>
      <c r="C2441" t="s">
        <v>5859</v>
      </c>
      <c r="D2441" t="s">
        <v>17197</v>
      </c>
      <c r="E2441" t="s">
        <v>19403</v>
      </c>
      <c r="F2441" t="s">
        <v>29372</v>
      </c>
      <c r="G2441" t="s">
        <v>29379</v>
      </c>
      <c r="H2441" t="s">
        <v>11048</v>
      </c>
      <c r="I2441" t="s">
        <v>3670</v>
      </c>
      <c r="J2441" t="s">
        <v>31235</v>
      </c>
      <c r="K2441" t="s">
        <v>38538</v>
      </c>
      <c r="M2441" t="s">
        <v>39764</v>
      </c>
      <c r="N2441" t="s">
        <v>42669</v>
      </c>
      <c r="O2441" t="s">
        <v>42670</v>
      </c>
      <c r="P2441">
        <v>0</v>
      </c>
      <c r="Q2441">
        <v>1</v>
      </c>
      <c r="R2441" t="s">
        <v>42674</v>
      </c>
      <c r="S2441" t="s">
        <v>42788</v>
      </c>
      <c r="T2441" t="s">
        <v>44427</v>
      </c>
      <c r="U2441" t="s">
        <v>46868</v>
      </c>
      <c r="W2441" t="s">
        <v>39764</v>
      </c>
      <c r="X2441" t="s">
        <v>42676</v>
      </c>
    </row>
    <row r="2442" spans="1:24">
      <c r="A2442">
        <f>HYPERLINK("https://www.philgeps.gov.ph/GEPSNONPILOT/Tender/SplashBidNoticeAbstractUI.aspx?menuIndex=3&amp;refID=7191747&amp;Result=3","7191747")</f>
        <v>0</v>
      </c>
      <c r="B2442" t="s">
        <v>779</v>
      </c>
      <c r="C2442" t="s">
        <v>5860</v>
      </c>
      <c r="D2442" t="s">
        <v>17169</v>
      </c>
      <c r="E2442" t="s">
        <v>18501</v>
      </c>
      <c r="F2442" t="s">
        <v>29372</v>
      </c>
      <c r="G2442" t="s">
        <v>29383</v>
      </c>
      <c r="H2442" t="s">
        <v>11048</v>
      </c>
      <c r="I2442" t="s">
        <v>29407</v>
      </c>
      <c r="J2442" t="s">
        <v>29708</v>
      </c>
      <c r="K2442" t="s">
        <v>38528</v>
      </c>
      <c r="M2442" t="s">
        <v>39563</v>
      </c>
      <c r="N2442" t="s">
        <v>42669</v>
      </c>
      <c r="O2442" t="s">
        <v>42670</v>
      </c>
      <c r="P2442">
        <v>0</v>
      </c>
      <c r="Q2442">
        <v>8</v>
      </c>
      <c r="R2442" t="s">
        <v>42674</v>
      </c>
      <c r="S2442" t="s">
        <v>42788</v>
      </c>
      <c r="T2442" t="s">
        <v>44462</v>
      </c>
      <c r="U2442" t="s">
        <v>46869</v>
      </c>
      <c r="W2442" t="s">
        <v>39563</v>
      </c>
      <c r="X2442" t="s">
        <v>42676</v>
      </c>
    </row>
    <row r="2443" spans="1:24">
      <c r="A2443">
        <f>HYPERLINK("https://www.philgeps.gov.ph/GEPSNONPILOT/Tender/SplashBidNoticeAbstractUI.aspx?menuIndex=3&amp;refID=7191741&amp;Result=3","7191741")</f>
        <v>0</v>
      </c>
      <c r="B2443" t="s">
        <v>562</v>
      </c>
      <c r="C2443" t="s">
        <v>5861</v>
      </c>
      <c r="D2443" t="s">
        <v>17141</v>
      </c>
      <c r="E2443" t="s">
        <v>19404</v>
      </c>
      <c r="F2443" t="s">
        <v>29372</v>
      </c>
      <c r="G2443" t="s">
        <v>29379</v>
      </c>
      <c r="H2443" t="s">
        <v>11048</v>
      </c>
      <c r="I2443" t="s">
        <v>3670</v>
      </c>
      <c r="J2443" t="s">
        <v>31236</v>
      </c>
      <c r="K2443" t="s">
        <v>38491</v>
      </c>
      <c r="M2443" t="s">
        <v>39331</v>
      </c>
      <c r="N2443" t="s">
        <v>42669</v>
      </c>
      <c r="O2443" t="s">
        <v>42670</v>
      </c>
      <c r="P2443">
        <v>0</v>
      </c>
      <c r="Q2443">
        <v>2</v>
      </c>
      <c r="R2443" t="s">
        <v>42674</v>
      </c>
      <c r="S2443" t="s">
        <v>42788</v>
      </c>
      <c r="T2443" t="s">
        <v>44595</v>
      </c>
      <c r="U2443" t="s">
        <v>46870</v>
      </c>
      <c r="W2443" t="s">
        <v>39331</v>
      </c>
      <c r="X2443" t="s">
        <v>42676</v>
      </c>
    </row>
    <row r="2444" spans="1:24">
      <c r="A2444">
        <f>HYPERLINK("https://www.philgeps.gov.ph/GEPSNONPILOT/Tender/SplashBidNoticeAbstractUI.aspx?menuIndex=3&amp;refID=7191738&amp;Result=3","7191738")</f>
        <v>0</v>
      </c>
      <c r="B2444" t="s">
        <v>975</v>
      </c>
      <c r="C2444" t="s">
        <v>5862</v>
      </c>
      <c r="D2444" t="s">
        <v>17228</v>
      </c>
      <c r="E2444" t="s">
        <v>19405</v>
      </c>
      <c r="F2444" t="s">
        <v>29372</v>
      </c>
      <c r="G2444" t="s">
        <v>29380</v>
      </c>
      <c r="H2444" t="s">
        <v>29390</v>
      </c>
      <c r="I2444" t="s">
        <v>8794</v>
      </c>
      <c r="J2444" t="s">
        <v>29526</v>
      </c>
      <c r="K2444" t="s">
        <v>38509</v>
      </c>
      <c r="M2444" t="s">
        <v>39772</v>
      </c>
      <c r="N2444" t="s">
        <v>42669</v>
      </c>
      <c r="O2444" t="s">
        <v>42670</v>
      </c>
      <c r="P2444">
        <v>0</v>
      </c>
      <c r="Q2444">
        <v>0</v>
      </c>
      <c r="R2444" t="s">
        <v>42674</v>
      </c>
      <c r="S2444" t="s">
        <v>42788</v>
      </c>
      <c r="T2444" t="s">
        <v>44444</v>
      </c>
      <c r="U2444" t="s">
        <v>46871</v>
      </c>
      <c r="W2444" t="s">
        <v>39772</v>
      </c>
      <c r="X2444" t="s">
        <v>42676</v>
      </c>
    </row>
    <row r="2445" spans="1:24">
      <c r="A2445">
        <f>HYPERLINK("https://www.philgeps.gov.ph/GEPSNONPILOT/Tender/SplashBidNoticeAbstractUI.aspx?menuIndex=3&amp;refID=7191750&amp;Result=3","7191750")</f>
        <v>0</v>
      </c>
      <c r="B2445" t="s">
        <v>976</v>
      </c>
      <c r="C2445" t="s">
        <v>5863</v>
      </c>
      <c r="D2445" t="s">
        <v>17144</v>
      </c>
      <c r="E2445" t="s">
        <v>19406</v>
      </c>
      <c r="F2445" t="s">
        <v>29372</v>
      </c>
      <c r="G2445" t="s">
        <v>29380</v>
      </c>
      <c r="H2445" t="s">
        <v>11048</v>
      </c>
      <c r="I2445" t="s">
        <v>29392</v>
      </c>
      <c r="J2445" t="s">
        <v>31237</v>
      </c>
      <c r="K2445" t="s">
        <v>38588</v>
      </c>
      <c r="M2445" t="s">
        <v>39773</v>
      </c>
      <c r="N2445" t="s">
        <v>42669</v>
      </c>
      <c r="O2445" t="s">
        <v>42670</v>
      </c>
      <c r="P2445">
        <v>0</v>
      </c>
      <c r="Q2445">
        <v>3</v>
      </c>
      <c r="R2445" t="s">
        <v>42674</v>
      </c>
      <c r="S2445" t="s">
        <v>42788</v>
      </c>
      <c r="T2445" t="s">
        <v>44402</v>
      </c>
      <c r="U2445" t="s">
        <v>46872</v>
      </c>
      <c r="W2445" t="s">
        <v>39773</v>
      </c>
      <c r="X2445" t="s">
        <v>42676</v>
      </c>
    </row>
    <row r="2446" spans="1:24">
      <c r="A2446">
        <f>HYPERLINK("https://www.philgeps.gov.ph/GEPSNONPILOT/Tender/SplashBidNoticeAbstractUI.aspx?menuIndex=3&amp;refID=7191751&amp;Result=3","7191751")</f>
        <v>0</v>
      </c>
      <c r="B2446" t="s">
        <v>679</v>
      </c>
      <c r="C2446" t="s">
        <v>5864</v>
      </c>
      <c r="D2446" t="s">
        <v>17175</v>
      </c>
      <c r="E2446" t="s">
        <v>19407</v>
      </c>
      <c r="F2446" t="s">
        <v>29372</v>
      </c>
      <c r="G2446" t="s">
        <v>29380</v>
      </c>
      <c r="H2446" t="s">
        <v>11048</v>
      </c>
      <c r="I2446" t="s">
        <v>3839</v>
      </c>
      <c r="J2446" t="s">
        <v>30024</v>
      </c>
      <c r="K2446" t="s">
        <v>38510</v>
      </c>
      <c r="M2446" t="s">
        <v>39455</v>
      </c>
      <c r="N2446" t="s">
        <v>42669</v>
      </c>
      <c r="O2446" t="s">
        <v>42670</v>
      </c>
      <c r="P2446">
        <v>0</v>
      </c>
      <c r="Q2446">
        <v>0</v>
      </c>
      <c r="R2446" t="s">
        <v>42674</v>
      </c>
      <c r="S2446" t="s">
        <v>42788</v>
      </c>
      <c r="T2446" t="s">
        <v>44361</v>
      </c>
      <c r="U2446" t="s">
        <v>46873</v>
      </c>
      <c r="W2446" t="s">
        <v>39455</v>
      </c>
      <c r="X2446" t="s">
        <v>42676</v>
      </c>
    </row>
    <row r="2447" spans="1:24">
      <c r="A2447">
        <f>HYPERLINK("https://www.philgeps.gov.ph/GEPSNONPILOT/Tender/SplashBidNoticeAbstractUI.aspx?menuIndex=3&amp;refID=7191736&amp;Result=3","7191736")</f>
        <v>0</v>
      </c>
      <c r="B2447" t="s">
        <v>977</v>
      </c>
      <c r="C2447" t="s">
        <v>5865</v>
      </c>
      <c r="D2447" t="s">
        <v>17189</v>
      </c>
      <c r="E2447" t="s">
        <v>18634</v>
      </c>
      <c r="F2447" t="s">
        <v>29372</v>
      </c>
      <c r="G2447" t="s">
        <v>29379</v>
      </c>
      <c r="H2447" t="s">
        <v>11048</v>
      </c>
      <c r="I2447" t="s">
        <v>4487</v>
      </c>
      <c r="J2447" t="s">
        <v>31238</v>
      </c>
      <c r="K2447" t="s">
        <v>38534</v>
      </c>
      <c r="M2447" t="s">
        <v>39774</v>
      </c>
      <c r="N2447" t="s">
        <v>42669</v>
      </c>
      <c r="O2447" t="s">
        <v>42670</v>
      </c>
      <c r="P2447">
        <v>0</v>
      </c>
      <c r="Q2447">
        <v>6</v>
      </c>
      <c r="R2447" t="s">
        <v>42674</v>
      </c>
      <c r="S2447" t="s">
        <v>42788</v>
      </c>
      <c r="T2447" t="s">
        <v>44596</v>
      </c>
      <c r="U2447" t="s">
        <v>46874</v>
      </c>
      <c r="W2447" t="s">
        <v>39774</v>
      </c>
      <c r="X2447" t="s">
        <v>42676</v>
      </c>
    </row>
    <row r="2448" spans="1:24">
      <c r="A2448">
        <f>HYPERLINK("https://www.philgeps.gov.ph/GEPSNONPILOT/Tender/SplashBidNoticeAbstractUI.aspx?menuIndex=3&amp;refID=7191726&amp;Result=3","7191726")</f>
        <v>0</v>
      </c>
      <c r="B2448" t="s">
        <v>694</v>
      </c>
      <c r="C2448" t="s">
        <v>5866</v>
      </c>
      <c r="D2448" t="s">
        <v>17205</v>
      </c>
      <c r="E2448" t="s">
        <v>19408</v>
      </c>
      <c r="F2448" t="s">
        <v>29372</v>
      </c>
      <c r="G2448" t="s">
        <v>29379</v>
      </c>
      <c r="H2448" t="s">
        <v>11048</v>
      </c>
      <c r="I2448" t="s">
        <v>29403</v>
      </c>
      <c r="J2448" t="s">
        <v>31239</v>
      </c>
      <c r="K2448" t="s">
        <v>38518</v>
      </c>
      <c r="M2448" t="s">
        <v>39470</v>
      </c>
      <c r="N2448" t="s">
        <v>42669</v>
      </c>
      <c r="O2448" t="s">
        <v>42670</v>
      </c>
      <c r="P2448">
        <v>0</v>
      </c>
      <c r="Q2448">
        <v>0</v>
      </c>
      <c r="R2448" t="s">
        <v>42674</v>
      </c>
      <c r="S2448" t="s">
        <v>42788</v>
      </c>
      <c r="T2448" t="s">
        <v>44432</v>
      </c>
      <c r="U2448" t="s">
        <v>46875</v>
      </c>
      <c r="W2448" t="s">
        <v>39470</v>
      </c>
      <c r="X2448" t="s">
        <v>42676</v>
      </c>
    </row>
    <row r="2449" spans="1:24">
      <c r="A2449">
        <f>HYPERLINK("https://www.philgeps.gov.ph/GEPSNONPILOT/Tender/SplashBidNoticeAbstractUI.aspx?menuIndex=3&amp;refID=7191745&amp;Result=3","7191745")</f>
        <v>0</v>
      </c>
      <c r="B2449" t="s">
        <v>782</v>
      </c>
      <c r="C2449" t="s">
        <v>5867</v>
      </c>
      <c r="D2449" t="s">
        <v>17204</v>
      </c>
      <c r="E2449" t="s">
        <v>19409</v>
      </c>
      <c r="F2449" t="s">
        <v>29372</v>
      </c>
      <c r="G2449" t="s">
        <v>29379</v>
      </c>
      <c r="H2449" t="s">
        <v>11048</v>
      </c>
      <c r="I2449" t="s">
        <v>3952</v>
      </c>
      <c r="J2449" t="s">
        <v>31240</v>
      </c>
      <c r="K2449" t="s">
        <v>38485</v>
      </c>
      <c r="M2449" t="s">
        <v>39566</v>
      </c>
      <c r="N2449" t="s">
        <v>42669</v>
      </c>
      <c r="O2449" t="s">
        <v>42670</v>
      </c>
      <c r="P2449">
        <v>0</v>
      </c>
      <c r="Q2449">
        <v>4</v>
      </c>
      <c r="R2449" t="s">
        <v>42674</v>
      </c>
      <c r="S2449" t="s">
        <v>42788</v>
      </c>
      <c r="T2449" t="s">
        <v>44512</v>
      </c>
      <c r="U2449" t="s">
        <v>46454</v>
      </c>
      <c r="W2449" t="s">
        <v>39566</v>
      </c>
      <c r="X2449" t="s">
        <v>42676</v>
      </c>
    </row>
    <row r="2450" spans="1:24">
      <c r="A2450">
        <f>HYPERLINK("https://www.philgeps.gov.ph/GEPSNONPILOT/Tender/SplashBidNoticeAbstractUI.aspx?menuIndex=3&amp;refID=7191739&amp;Result=3","7191739")</f>
        <v>0</v>
      </c>
      <c r="B2450" t="s">
        <v>968</v>
      </c>
      <c r="C2450" t="s">
        <v>5868</v>
      </c>
      <c r="D2450" t="s">
        <v>17197</v>
      </c>
      <c r="E2450" t="s">
        <v>19410</v>
      </c>
      <c r="F2450" t="s">
        <v>29372</v>
      </c>
      <c r="G2450" t="s">
        <v>29379</v>
      </c>
      <c r="H2450" t="s">
        <v>11048</v>
      </c>
      <c r="I2450" t="s">
        <v>14920</v>
      </c>
      <c r="J2450" t="s">
        <v>31241</v>
      </c>
      <c r="K2450" t="s">
        <v>38538</v>
      </c>
      <c r="M2450" t="s">
        <v>39764</v>
      </c>
      <c r="N2450" t="s">
        <v>42669</v>
      </c>
      <c r="O2450" t="s">
        <v>42670</v>
      </c>
      <c r="P2450">
        <v>0</v>
      </c>
      <c r="Q2450">
        <v>0</v>
      </c>
      <c r="R2450" t="s">
        <v>42674</v>
      </c>
      <c r="S2450" t="s">
        <v>42788</v>
      </c>
      <c r="T2450" t="s">
        <v>44427</v>
      </c>
      <c r="U2450" t="s">
        <v>46876</v>
      </c>
      <c r="W2450" t="s">
        <v>39764</v>
      </c>
      <c r="X2450" t="s">
        <v>42676</v>
      </c>
    </row>
    <row r="2451" spans="1:24">
      <c r="A2451">
        <f>HYPERLINK("https://www.philgeps.gov.ph/GEPSNONPILOT/Tender/SplashBidNoticeAbstractUI.aspx?menuIndex=3&amp;refID=7191723&amp;Result=3","7191723")</f>
        <v>0</v>
      </c>
      <c r="B2451" t="s">
        <v>978</v>
      </c>
      <c r="C2451" t="s">
        <v>5869</v>
      </c>
      <c r="E2451" t="s">
        <v>19411</v>
      </c>
      <c r="F2451" t="s">
        <v>29372</v>
      </c>
      <c r="G2451" t="s">
        <v>29381</v>
      </c>
      <c r="H2451" t="s">
        <v>11048</v>
      </c>
      <c r="I2451" t="s">
        <v>29423</v>
      </c>
      <c r="J2451" t="s">
        <v>29799</v>
      </c>
      <c r="K2451" t="s">
        <v>38490</v>
      </c>
      <c r="M2451" t="s">
        <v>39775</v>
      </c>
      <c r="N2451" t="s">
        <v>42669</v>
      </c>
      <c r="O2451" t="s">
        <v>42670</v>
      </c>
      <c r="P2451">
        <v>0</v>
      </c>
      <c r="Q2451">
        <v>0</v>
      </c>
      <c r="R2451" t="s">
        <v>42674</v>
      </c>
      <c r="S2451" t="s">
        <v>42788</v>
      </c>
      <c r="T2451" t="s">
        <v>44530</v>
      </c>
      <c r="U2451" t="s">
        <v>46877</v>
      </c>
      <c r="W2451" t="s">
        <v>39775</v>
      </c>
      <c r="X2451" t="s">
        <v>42676</v>
      </c>
    </row>
    <row r="2452" spans="1:24">
      <c r="A2452">
        <f>HYPERLINK("https://www.philgeps.gov.ph/GEPSNONPILOT/Tender/SplashBidNoticeAbstractUI.aspx?menuIndex=3&amp;refID=7191722&amp;Result=3","7191722")</f>
        <v>0</v>
      </c>
      <c r="B2452" t="s">
        <v>874</v>
      </c>
      <c r="C2452" t="s">
        <v>5870</v>
      </c>
      <c r="D2452" t="s">
        <v>17211</v>
      </c>
      <c r="E2452" t="s">
        <v>19412</v>
      </c>
      <c r="F2452" t="s">
        <v>29372</v>
      </c>
      <c r="G2452" t="s">
        <v>29380</v>
      </c>
      <c r="H2452" t="s">
        <v>29389</v>
      </c>
      <c r="I2452" t="s">
        <v>10408</v>
      </c>
      <c r="J2452" t="s">
        <v>31242</v>
      </c>
      <c r="K2452" t="s">
        <v>38495</v>
      </c>
      <c r="L2452" t="s">
        <v>874</v>
      </c>
      <c r="M2452" t="s">
        <v>39666</v>
      </c>
      <c r="N2452" t="s">
        <v>42669</v>
      </c>
      <c r="O2452" t="s">
        <v>42670</v>
      </c>
      <c r="P2452">
        <v>0</v>
      </c>
      <c r="Q2452">
        <v>1</v>
      </c>
      <c r="R2452" t="s">
        <v>42674</v>
      </c>
      <c r="S2452" t="s">
        <v>42788</v>
      </c>
      <c r="T2452" t="s">
        <v>44476</v>
      </c>
      <c r="U2452" t="s">
        <v>46633</v>
      </c>
      <c r="V2452" t="s">
        <v>56602</v>
      </c>
      <c r="W2452" t="s">
        <v>39666</v>
      </c>
      <c r="X2452" t="s">
        <v>42676</v>
      </c>
    </row>
    <row r="2453" spans="1:24">
      <c r="A2453">
        <f>HYPERLINK("https://www.philgeps.gov.ph/GEPSNONPILOT/Tender/SplashBidNoticeAbstractUI.aspx?menuIndex=3&amp;refID=7191734&amp;Result=3","7191734")</f>
        <v>0</v>
      </c>
      <c r="B2453" t="s">
        <v>967</v>
      </c>
      <c r="C2453" t="s">
        <v>5871</v>
      </c>
      <c r="D2453" t="s">
        <v>17141</v>
      </c>
      <c r="E2453" t="s">
        <v>19413</v>
      </c>
      <c r="F2453" t="s">
        <v>29372</v>
      </c>
      <c r="G2453" t="s">
        <v>29380</v>
      </c>
      <c r="H2453" t="s">
        <v>11048</v>
      </c>
      <c r="I2453" t="s">
        <v>29413</v>
      </c>
      <c r="J2453" t="s">
        <v>31243</v>
      </c>
      <c r="K2453" t="s">
        <v>38496</v>
      </c>
      <c r="M2453" t="s">
        <v>39763</v>
      </c>
      <c r="N2453" t="s">
        <v>42669</v>
      </c>
      <c r="O2453" t="s">
        <v>42670</v>
      </c>
      <c r="P2453">
        <v>0</v>
      </c>
      <c r="Q2453">
        <v>6</v>
      </c>
      <c r="R2453" t="s">
        <v>42674</v>
      </c>
      <c r="S2453" t="s">
        <v>42788</v>
      </c>
      <c r="T2453" t="s">
        <v>44597</v>
      </c>
      <c r="U2453" t="s">
        <v>46842</v>
      </c>
      <c r="W2453" t="s">
        <v>39763</v>
      </c>
      <c r="X2453" t="s">
        <v>42676</v>
      </c>
    </row>
    <row r="2454" spans="1:24">
      <c r="A2454">
        <f>HYPERLINK("https://www.philgeps.gov.ph/GEPSNONPILOT/Tender/SplashBidNoticeAbstractUI.aspx?menuIndex=3&amp;refID=7191698&amp;Result=3","7191698")</f>
        <v>0</v>
      </c>
      <c r="B2454" t="s">
        <v>717</v>
      </c>
      <c r="C2454" t="s">
        <v>5872</v>
      </c>
      <c r="D2454" t="s">
        <v>17171</v>
      </c>
      <c r="E2454" t="s">
        <v>19414</v>
      </c>
      <c r="F2454" t="s">
        <v>29372</v>
      </c>
      <c r="G2454" t="s">
        <v>29379</v>
      </c>
      <c r="H2454" t="s">
        <v>11048</v>
      </c>
      <c r="I2454" t="s">
        <v>29417</v>
      </c>
      <c r="J2454" t="s">
        <v>31244</v>
      </c>
      <c r="K2454" t="s">
        <v>38490</v>
      </c>
      <c r="M2454" t="s">
        <v>39496</v>
      </c>
      <c r="N2454" t="s">
        <v>42669</v>
      </c>
      <c r="O2454" t="s">
        <v>42670</v>
      </c>
      <c r="P2454">
        <v>0</v>
      </c>
      <c r="Q2454">
        <v>1</v>
      </c>
      <c r="R2454" t="s">
        <v>42674</v>
      </c>
      <c r="S2454" t="s">
        <v>42788</v>
      </c>
      <c r="T2454" t="s">
        <v>44564</v>
      </c>
      <c r="U2454" t="s">
        <v>46336</v>
      </c>
      <c r="W2454" t="s">
        <v>39496</v>
      </c>
      <c r="X2454" t="s">
        <v>42676</v>
      </c>
    </row>
    <row r="2455" spans="1:24">
      <c r="A2455">
        <f>HYPERLINK("https://www.philgeps.gov.ph/GEPSNONPILOT/Tender/SplashBidNoticeAbstractUI.aspx?menuIndex=3&amp;refID=7191691&amp;Result=3","7191691")</f>
        <v>0</v>
      </c>
      <c r="B2455" t="s">
        <v>750</v>
      </c>
      <c r="C2455" t="s">
        <v>5873</v>
      </c>
      <c r="D2455" t="s">
        <v>17181</v>
      </c>
      <c r="E2455" t="s">
        <v>19415</v>
      </c>
      <c r="F2455" t="s">
        <v>29372</v>
      </c>
      <c r="G2455" t="s">
        <v>29380</v>
      </c>
      <c r="H2455" t="s">
        <v>11048</v>
      </c>
      <c r="I2455" t="s">
        <v>3629</v>
      </c>
      <c r="J2455" t="s">
        <v>31245</v>
      </c>
      <c r="K2455" t="s">
        <v>38490</v>
      </c>
      <c r="M2455" t="s">
        <v>39533</v>
      </c>
      <c r="N2455" t="s">
        <v>42669</v>
      </c>
      <c r="O2455" t="s">
        <v>42670</v>
      </c>
      <c r="P2455">
        <v>0</v>
      </c>
      <c r="Q2455">
        <v>3</v>
      </c>
      <c r="R2455" t="s">
        <v>42674</v>
      </c>
      <c r="S2455" t="s">
        <v>42788</v>
      </c>
      <c r="T2455" t="s">
        <v>44482</v>
      </c>
      <c r="U2455" t="s">
        <v>46878</v>
      </c>
      <c r="W2455" t="s">
        <v>39533</v>
      </c>
      <c r="X2455" t="s">
        <v>42676</v>
      </c>
    </row>
    <row r="2456" spans="1:24">
      <c r="A2456">
        <f>HYPERLINK("https://www.philgeps.gov.ph/GEPSNONPILOT/Tender/SplashBidNoticeAbstractUI.aspx?menuIndex=3&amp;refID=7191729&amp;Result=3","7191729")</f>
        <v>0</v>
      </c>
      <c r="B2456" t="s">
        <v>900</v>
      </c>
      <c r="C2456" t="s">
        <v>5874</v>
      </c>
      <c r="D2456" t="s">
        <v>17144</v>
      </c>
      <c r="E2456" t="s">
        <v>19416</v>
      </c>
      <c r="F2456" t="s">
        <v>29372</v>
      </c>
      <c r="G2456" t="s">
        <v>29380</v>
      </c>
      <c r="H2456" t="s">
        <v>11048</v>
      </c>
      <c r="I2456" t="s">
        <v>4709</v>
      </c>
      <c r="J2456" t="s">
        <v>31246</v>
      </c>
      <c r="K2456" t="s">
        <v>38518</v>
      </c>
      <c r="M2456" t="s">
        <v>39693</v>
      </c>
      <c r="N2456" t="s">
        <v>42669</v>
      </c>
      <c r="O2456" t="s">
        <v>42670</v>
      </c>
      <c r="P2456">
        <v>0</v>
      </c>
      <c r="Q2456">
        <v>1</v>
      </c>
      <c r="R2456" t="s">
        <v>42674</v>
      </c>
      <c r="S2456" t="s">
        <v>42788</v>
      </c>
      <c r="T2456" t="s">
        <v>44523</v>
      </c>
      <c r="U2456" t="s">
        <v>46879</v>
      </c>
      <c r="V2456" t="s">
        <v>56578</v>
      </c>
      <c r="W2456" t="s">
        <v>39693</v>
      </c>
      <c r="X2456" t="s">
        <v>42676</v>
      </c>
    </row>
    <row r="2457" spans="1:24">
      <c r="A2457">
        <f>HYPERLINK("https://www.philgeps.gov.ph/GEPSNONPILOT/Tender/SplashBidNoticeAbstractUI.aspx?menuIndex=3&amp;refID=7191725&amp;Result=3","7191725")</f>
        <v>0</v>
      </c>
      <c r="B2457" t="s">
        <v>391</v>
      </c>
      <c r="C2457" t="s">
        <v>5875</v>
      </c>
      <c r="D2457" t="s">
        <v>17213</v>
      </c>
      <c r="E2457" t="s">
        <v>19417</v>
      </c>
      <c r="F2457" t="s">
        <v>29372</v>
      </c>
      <c r="G2457" t="s">
        <v>29383</v>
      </c>
      <c r="H2457" t="s">
        <v>11048</v>
      </c>
      <c r="I2457" t="s">
        <v>4709</v>
      </c>
      <c r="J2457" t="s">
        <v>31247</v>
      </c>
      <c r="K2457" t="s">
        <v>38491</v>
      </c>
      <c r="M2457" t="s">
        <v>39154</v>
      </c>
      <c r="N2457" t="s">
        <v>42669</v>
      </c>
      <c r="O2457" t="s">
        <v>42670</v>
      </c>
      <c r="P2457">
        <v>0</v>
      </c>
      <c r="Q2457">
        <v>0</v>
      </c>
      <c r="R2457" t="s">
        <v>42674</v>
      </c>
      <c r="S2457" t="s">
        <v>42788</v>
      </c>
      <c r="T2457" t="s">
        <v>44432</v>
      </c>
      <c r="U2457" t="s">
        <v>46880</v>
      </c>
      <c r="V2457" t="s">
        <v>56447</v>
      </c>
      <c r="W2457" t="s">
        <v>39154</v>
      </c>
      <c r="X2457" t="s">
        <v>42676</v>
      </c>
    </row>
    <row r="2458" spans="1:24">
      <c r="A2458">
        <f>HYPERLINK("https://www.philgeps.gov.ph/GEPSNONPILOT/Tender/SplashBidNoticeAbstractUI.aspx?menuIndex=3&amp;refID=7191687&amp;Result=3","7191687")</f>
        <v>0</v>
      </c>
      <c r="B2458" t="s">
        <v>968</v>
      </c>
      <c r="C2458" t="s">
        <v>5876</v>
      </c>
      <c r="D2458" t="s">
        <v>17197</v>
      </c>
      <c r="E2458" t="s">
        <v>19418</v>
      </c>
      <c r="F2458" t="s">
        <v>29372</v>
      </c>
      <c r="G2458" t="s">
        <v>29379</v>
      </c>
      <c r="H2458" t="s">
        <v>11048</v>
      </c>
      <c r="I2458" t="s">
        <v>29409</v>
      </c>
      <c r="J2458" t="s">
        <v>29619</v>
      </c>
      <c r="K2458" t="s">
        <v>38538</v>
      </c>
      <c r="M2458" t="s">
        <v>39764</v>
      </c>
      <c r="N2458" t="s">
        <v>42669</v>
      </c>
      <c r="O2458" t="s">
        <v>42670</v>
      </c>
      <c r="P2458">
        <v>0</v>
      </c>
      <c r="Q2458">
        <v>1</v>
      </c>
      <c r="R2458" t="s">
        <v>42674</v>
      </c>
      <c r="S2458" t="s">
        <v>42788</v>
      </c>
      <c r="T2458" t="s">
        <v>44427</v>
      </c>
      <c r="U2458" t="s">
        <v>46881</v>
      </c>
      <c r="W2458" t="s">
        <v>39764</v>
      </c>
      <c r="X2458" t="s">
        <v>42676</v>
      </c>
    </row>
    <row r="2459" spans="1:24">
      <c r="A2459">
        <f>HYPERLINK("https://www.philgeps.gov.ph/GEPSNONPILOT/Tender/SplashBidNoticeAbstractUI.aspx?menuIndex=3&amp;refID=7191685&amp;Result=3","7191685")</f>
        <v>0</v>
      </c>
      <c r="B2459" t="s">
        <v>962</v>
      </c>
      <c r="C2459" t="s">
        <v>5877</v>
      </c>
      <c r="D2459" t="s">
        <v>17188</v>
      </c>
      <c r="E2459" t="s">
        <v>18519</v>
      </c>
      <c r="F2459" t="s">
        <v>29372</v>
      </c>
      <c r="G2459" t="s">
        <v>29380</v>
      </c>
      <c r="H2459" t="s">
        <v>11048</v>
      </c>
      <c r="I2459" t="s">
        <v>29392</v>
      </c>
      <c r="J2459" t="s">
        <v>31248</v>
      </c>
      <c r="K2459" t="s">
        <v>38490</v>
      </c>
      <c r="M2459" t="s">
        <v>39758</v>
      </c>
      <c r="N2459" t="s">
        <v>42669</v>
      </c>
      <c r="O2459" t="s">
        <v>42670</v>
      </c>
      <c r="P2459">
        <v>0</v>
      </c>
      <c r="Q2459">
        <v>2</v>
      </c>
      <c r="R2459" t="s">
        <v>42674</v>
      </c>
      <c r="S2459" t="s">
        <v>42788</v>
      </c>
      <c r="T2459" t="s">
        <v>44593</v>
      </c>
      <c r="U2459" t="s">
        <v>46882</v>
      </c>
      <c r="W2459" t="s">
        <v>39758</v>
      </c>
      <c r="X2459" t="s">
        <v>42676</v>
      </c>
    </row>
    <row r="2460" spans="1:24">
      <c r="A2460">
        <f>HYPERLINK("https://www.philgeps.gov.ph/GEPSNONPILOT/Tender/SplashBidNoticeAbstractUI.aspx?menuIndex=3&amp;refID=7191683&amp;Result=3","7191683")</f>
        <v>0</v>
      </c>
      <c r="B2460" t="s">
        <v>979</v>
      </c>
      <c r="C2460" t="s">
        <v>5878</v>
      </c>
      <c r="D2460" t="s">
        <v>17178</v>
      </c>
      <c r="E2460" t="s">
        <v>19419</v>
      </c>
      <c r="F2460" t="s">
        <v>29372</v>
      </c>
      <c r="G2460" t="s">
        <v>29379</v>
      </c>
      <c r="H2460" t="s">
        <v>11048</v>
      </c>
      <c r="I2460" t="s">
        <v>29393</v>
      </c>
      <c r="J2460" t="s">
        <v>31249</v>
      </c>
      <c r="K2460" t="s">
        <v>38517</v>
      </c>
      <c r="M2460" t="s">
        <v>39776</v>
      </c>
      <c r="N2460" t="s">
        <v>42669</v>
      </c>
      <c r="O2460" t="s">
        <v>42670</v>
      </c>
      <c r="P2460">
        <v>0</v>
      </c>
      <c r="Q2460">
        <v>0</v>
      </c>
      <c r="R2460" t="s">
        <v>42674</v>
      </c>
      <c r="S2460" t="s">
        <v>42788</v>
      </c>
      <c r="T2460" t="s">
        <v>44524</v>
      </c>
      <c r="U2460" t="s">
        <v>46883</v>
      </c>
      <c r="W2460" t="s">
        <v>39776</v>
      </c>
      <c r="X2460" t="s">
        <v>42676</v>
      </c>
    </row>
    <row r="2461" spans="1:24">
      <c r="A2461">
        <f>HYPERLINK("https://www.philgeps.gov.ph/GEPSNONPILOT/Tender/SplashBidNoticeAbstractUI.aspx?menuIndex=3&amp;refID=7191696&amp;Result=3","7191696")</f>
        <v>0</v>
      </c>
      <c r="B2461" t="s">
        <v>874</v>
      </c>
      <c r="C2461" t="s">
        <v>5879</v>
      </c>
      <c r="D2461" t="s">
        <v>17211</v>
      </c>
      <c r="E2461" t="s">
        <v>19420</v>
      </c>
      <c r="F2461" t="s">
        <v>29372</v>
      </c>
      <c r="G2461" t="s">
        <v>29380</v>
      </c>
      <c r="H2461" t="s">
        <v>29389</v>
      </c>
      <c r="I2461" t="s">
        <v>10408</v>
      </c>
      <c r="J2461" t="s">
        <v>30161</v>
      </c>
      <c r="K2461" t="s">
        <v>38495</v>
      </c>
      <c r="L2461" t="s">
        <v>874</v>
      </c>
      <c r="M2461" t="s">
        <v>39666</v>
      </c>
      <c r="N2461" t="s">
        <v>42669</v>
      </c>
      <c r="O2461" t="s">
        <v>42670</v>
      </c>
      <c r="P2461">
        <v>0</v>
      </c>
      <c r="Q2461">
        <v>1</v>
      </c>
      <c r="R2461" t="s">
        <v>42674</v>
      </c>
      <c r="S2461" t="s">
        <v>42788</v>
      </c>
      <c r="T2461" t="s">
        <v>44476</v>
      </c>
      <c r="U2461" t="s">
        <v>46633</v>
      </c>
      <c r="V2461" t="s">
        <v>56602</v>
      </c>
      <c r="W2461" t="s">
        <v>39666</v>
      </c>
      <c r="X2461" t="s">
        <v>42676</v>
      </c>
    </row>
    <row r="2462" spans="1:24">
      <c r="A2462">
        <f>HYPERLINK("https://www.philgeps.gov.ph/GEPSNONPILOT/Tender/SplashBidNoticeAbstractUI.aspx?menuIndex=3&amp;refID=7191752&amp;Result=3","7191752")</f>
        <v>0</v>
      </c>
      <c r="B2462" t="s">
        <v>750</v>
      </c>
      <c r="C2462" t="s">
        <v>5880</v>
      </c>
      <c r="D2462" t="s">
        <v>17181</v>
      </c>
      <c r="E2462" t="s">
        <v>19421</v>
      </c>
      <c r="F2462" t="s">
        <v>29372</v>
      </c>
      <c r="G2462" t="s">
        <v>29380</v>
      </c>
      <c r="H2462" t="s">
        <v>29389</v>
      </c>
      <c r="I2462" t="s">
        <v>10408</v>
      </c>
      <c r="J2462" t="s">
        <v>30244</v>
      </c>
      <c r="K2462" t="s">
        <v>38490</v>
      </c>
      <c r="M2462" t="s">
        <v>39533</v>
      </c>
      <c r="N2462" t="s">
        <v>42669</v>
      </c>
      <c r="O2462" t="s">
        <v>42670</v>
      </c>
      <c r="P2462">
        <v>0</v>
      </c>
      <c r="Q2462">
        <v>0</v>
      </c>
      <c r="R2462" t="s">
        <v>42674</v>
      </c>
      <c r="S2462" t="s">
        <v>42788</v>
      </c>
      <c r="T2462" t="s">
        <v>44482</v>
      </c>
      <c r="U2462" t="s">
        <v>46884</v>
      </c>
      <c r="W2462" t="s">
        <v>39533</v>
      </c>
      <c r="X2462" t="s">
        <v>42676</v>
      </c>
    </row>
    <row r="2463" spans="1:24">
      <c r="A2463">
        <f>HYPERLINK("https://www.philgeps.gov.ph/GEPSNONPILOT/Tender/SplashBidNoticeAbstractUI.aspx?menuIndex=3&amp;refID=7191689&amp;Result=3","7191689")</f>
        <v>0</v>
      </c>
      <c r="B2463" t="s">
        <v>669</v>
      </c>
      <c r="C2463" t="s">
        <v>5881</v>
      </c>
      <c r="D2463" t="s">
        <v>17147</v>
      </c>
      <c r="E2463" t="s">
        <v>19422</v>
      </c>
      <c r="F2463" t="s">
        <v>29372</v>
      </c>
      <c r="G2463" t="s">
        <v>29382</v>
      </c>
      <c r="H2463" t="s">
        <v>11048</v>
      </c>
      <c r="I2463" t="s">
        <v>5383</v>
      </c>
      <c r="J2463" t="s">
        <v>31250</v>
      </c>
      <c r="K2463" t="s">
        <v>38488</v>
      </c>
      <c r="N2463" t="s">
        <v>42669</v>
      </c>
      <c r="O2463" t="s">
        <v>42670</v>
      </c>
      <c r="P2463">
        <v>0</v>
      </c>
      <c r="Q2463">
        <v>1</v>
      </c>
      <c r="R2463" t="s">
        <v>42674</v>
      </c>
      <c r="S2463" t="s">
        <v>42788</v>
      </c>
      <c r="T2463" t="s">
        <v>44580</v>
      </c>
      <c r="U2463" t="s">
        <v>46885</v>
      </c>
      <c r="V2463" t="s">
        <v>56531</v>
      </c>
      <c r="W2463" t="s">
        <v>58028</v>
      </c>
      <c r="X2463" t="s">
        <v>42676</v>
      </c>
    </row>
    <row r="2464" spans="1:24">
      <c r="A2464">
        <f>HYPERLINK("https://www.philgeps.gov.ph/GEPSNONPILOT/Tender/SplashBidNoticeAbstractUI.aspx?menuIndex=3&amp;refID=7191572&amp;Result=3","7191572")</f>
        <v>0</v>
      </c>
      <c r="B2464" t="s">
        <v>927</v>
      </c>
      <c r="C2464" t="s">
        <v>5882</v>
      </c>
      <c r="D2464" t="s">
        <v>17225</v>
      </c>
      <c r="E2464" t="s">
        <v>19423</v>
      </c>
      <c r="F2464" t="s">
        <v>29372</v>
      </c>
      <c r="G2464" t="s">
        <v>29379</v>
      </c>
      <c r="H2464" t="s">
        <v>11048</v>
      </c>
      <c r="I2464" t="s">
        <v>3629</v>
      </c>
      <c r="J2464" t="s">
        <v>31251</v>
      </c>
      <c r="K2464" t="s">
        <v>38490</v>
      </c>
      <c r="M2464" t="s">
        <v>39722</v>
      </c>
      <c r="N2464" t="s">
        <v>42669</v>
      </c>
      <c r="O2464" t="s">
        <v>42670</v>
      </c>
      <c r="P2464">
        <v>0</v>
      </c>
      <c r="Q2464">
        <v>1</v>
      </c>
      <c r="R2464" t="s">
        <v>42674</v>
      </c>
      <c r="S2464" t="s">
        <v>42788</v>
      </c>
      <c r="T2464" t="s">
        <v>44387</v>
      </c>
      <c r="U2464" t="s">
        <v>46886</v>
      </c>
      <c r="V2464" t="s">
        <v>56585</v>
      </c>
      <c r="W2464" t="s">
        <v>39722</v>
      </c>
      <c r="X2464" t="s">
        <v>42676</v>
      </c>
    </row>
    <row r="2465" spans="1:24">
      <c r="A2465">
        <f>HYPERLINK("https://www.philgeps.gov.ph/GEPSNONPILOT/Tender/SplashBidNoticeAbstractUI.aspx?menuIndex=3&amp;refID=7191721&amp;Result=3","7191721")</f>
        <v>0</v>
      </c>
      <c r="B2465" t="s">
        <v>980</v>
      </c>
      <c r="C2465" t="s">
        <v>5883</v>
      </c>
      <c r="D2465" t="s">
        <v>17165</v>
      </c>
      <c r="E2465" t="s">
        <v>17947</v>
      </c>
      <c r="F2465" t="s">
        <v>29372</v>
      </c>
      <c r="G2465" t="s">
        <v>29380</v>
      </c>
      <c r="H2465" t="s">
        <v>29389</v>
      </c>
      <c r="I2465" t="s">
        <v>10408</v>
      </c>
      <c r="J2465" t="s">
        <v>30056</v>
      </c>
      <c r="K2465" t="s">
        <v>38567</v>
      </c>
      <c r="M2465" t="s">
        <v>39777</v>
      </c>
      <c r="N2465" t="s">
        <v>42669</v>
      </c>
      <c r="O2465" t="s">
        <v>42670</v>
      </c>
      <c r="P2465">
        <v>0</v>
      </c>
      <c r="Q2465">
        <v>0</v>
      </c>
      <c r="R2465" t="s">
        <v>42674</v>
      </c>
      <c r="S2465" t="s">
        <v>42788</v>
      </c>
      <c r="T2465" t="s">
        <v>44530</v>
      </c>
      <c r="U2465" t="s">
        <v>46887</v>
      </c>
      <c r="W2465" t="s">
        <v>39777</v>
      </c>
      <c r="X2465" t="s">
        <v>42676</v>
      </c>
    </row>
    <row r="2466" spans="1:24">
      <c r="A2466">
        <f>HYPERLINK("https://www.philgeps.gov.ph/GEPSNONPILOT/Tender/SplashBidNoticeAbstractUI.aspx?menuIndex=3&amp;refID=7190454&amp;Result=3","7190454")</f>
        <v>0</v>
      </c>
      <c r="B2466" t="s">
        <v>750</v>
      </c>
      <c r="C2466" t="s">
        <v>5884</v>
      </c>
      <c r="D2466" t="s">
        <v>17181</v>
      </c>
      <c r="E2466" t="s">
        <v>19424</v>
      </c>
      <c r="F2466" t="s">
        <v>29372</v>
      </c>
      <c r="G2466" t="s">
        <v>29379</v>
      </c>
      <c r="H2466" t="s">
        <v>11048</v>
      </c>
      <c r="I2466" t="s">
        <v>8208</v>
      </c>
      <c r="J2466" t="s">
        <v>31252</v>
      </c>
      <c r="K2466" t="s">
        <v>38490</v>
      </c>
      <c r="M2466" t="s">
        <v>39533</v>
      </c>
      <c r="N2466" t="s">
        <v>42669</v>
      </c>
      <c r="O2466" t="s">
        <v>42670</v>
      </c>
      <c r="P2466">
        <v>0</v>
      </c>
      <c r="Q2466">
        <v>0</v>
      </c>
      <c r="R2466" t="s">
        <v>42674</v>
      </c>
      <c r="S2466" t="s">
        <v>42788</v>
      </c>
      <c r="T2466" t="s">
        <v>44429</v>
      </c>
      <c r="U2466" t="s">
        <v>46888</v>
      </c>
      <c r="W2466" t="s">
        <v>39533</v>
      </c>
      <c r="X2466" t="s">
        <v>42676</v>
      </c>
    </row>
    <row r="2467" spans="1:24">
      <c r="A2467">
        <f>HYPERLINK("https://www.philgeps.gov.ph/GEPSNONPILOT/Tender/SplashBidNoticeAbstractUI.aspx?menuIndex=3&amp;refID=7190453&amp;Result=3","7190453")</f>
        <v>0</v>
      </c>
      <c r="B2467" t="s">
        <v>613</v>
      </c>
      <c r="C2467" t="s">
        <v>5885</v>
      </c>
      <c r="D2467" t="s">
        <v>17205</v>
      </c>
      <c r="E2467" t="s">
        <v>19425</v>
      </c>
      <c r="F2467" t="s">
        <v>29372</v>
      </c>
      <c r="G2467" t="s">
        <v>29383</v>
      </c>
      <c r="H2467" t="s">
        <v>11048</v>
      </c>
      <c r="I2467" t="s">
        <v>14920</v>
      </c>
      <c r="J2467" t="s">
        <v>29721</v>
      </c>
      <c r="K2467" t="s">
        <v>38490</v>
      </c>
      <c r="M2467" t="s">
        <v>39384</v>
      </c>
      <c r="N2467" t="s">
        <v>42669</v>
      </c>
      <c r="O2467" t="s">
        <v>42670</v>
      </c>
      <c r="P2467">
        <v>0</v>
      </c>
      <c r="Q2467">
        <v>0</v>
      </c>
      <c r="R2467" t="s">
        <v>42674</v>
      </c>
      <c r="S2467" t="s">
        <v>42788</v>
      </c>
      <c r="T2467" t="s">
        <v>44417</v>
      </c>
      <c r="U2467" t="s">
        <v>46889</v>
      </c>
      <c r="V2467" t="s">
        <v>56514</v>
      </c>
      <c r="W2467" t="s">
        <v>39384</v>
      </c>
      <c r="X2467" t="s">
        <v>42676</v>
      </c>
    </row>
    <row r="2468" spans="1:24">
      <c r="A2468">
        <f>HYPERLINK("https://www.philgeps.gov.ph/GEPSNONPILOT/Tender/SplashBidNoticeAbstractUI.aspx?menuIndex=3&amp;refID=7190436&amp;Result=3","7190436")</f>
        <v>0</v>
      </c>
      <c r="B2468" t="s">
        <v>677</v>
      </c>
      <c r="C2468" t="s">
        <v>5886</v>
      </c>
      <c r="D2468" t="s">
        <v>17221</v>
      </c>
      <c r="E2468" t="s">
        <v>19426</v>
      </c>
      <c r="F2468" t="s">
        <v>29372</v>
      </c>
      <c r="G2468" t="s">
        <v>29379</v>
      </c>
      <c r="H2468" t="s">
        <v>11048</v>
      </c>
      <c r="I2468" t="s">
        <v>29393</v>
      </c>
      <c r="J2468" t="s">
        <v>30780</v>
      </c>
      <c r="K2468" t="s">
        <v>38485</v>
      </c>
      <c r="M2468" t="s">
        <v>39453</v>
      </c>
      <c r="N2468" t="s">
        <v>42669</v>
      </c>
      <c r="O2468" t="s">
        <v>42670</v>
      </c>
      <c r="P2468">
        <v>0</v>
      </c>
      <c r="Q2468">
        <v>0</v>
      </c>
      <c r="R2468" t="s">
        <v>42674</v>
      </c>
      <c r="S2468" t="s">
        <v>42788</v>
      </c>
      <c r="T2468" t="s">
        <v>44496</v>
      </c>
      <c r="U2468" t="s">
        <v>46890</v>
      </c>
      <c r="W2468" t="s">
        <v>58019</v>
      </c>
      <c r="X2468" t="s">
        <v>42676</v>
      </c>
    </row>
    <row r="2469" spans="1:24">
      <c r="A2469">
        <f>HYPERLINK("https://www.philgeps.gov.ph/GEPSNONPILOT/Tender/SplashBidNoticeAbstractUI.aspx?menuIndex=3&amp;refID=7190433&amp;Result=3","7190433")</f>
        <v>0</v>
      </c>
      <c r="B2469" t="s">
        <v>981</v>
      </c>
      <c r="C2469" t="s">
        <v>5887</v>
      </c>
      <c r="D2469" t="s">
        <v>17152</v>
      </c>
      <c r="E2469" t="s">
        <v>19427</v>
      </c>
      <c r="F2469" t="s">
        <v>29372</v>
      </c>
      <c r="G2469" t="s">
        <v>29380</v>
      </c>
      <c r="H2469" t="s">
        <v>11048</v>
      </c>
      <c r="I2469" t="s">
        <v>29394</v>
      </c>
      <c r="J2469" t="s">
        <v>31253</v>
      </c>
      <c r="K2469" t="s">
        <v>38490</v>
      </c>
      <c r="M2469" t="s">
        <v>39778</v>
      </c>
      <c r="N2469" t="s">
        <v>42669</v>
      </c>
      <c r="O2469" t="s">
        <v>42670</v>
      </c>
      <c r="P2469">
        <v>0</v>
      </c>
      <c r="Q2469">
        <v>1</v>
      </c>
      <c r="R2469" t="s">
        <v>42674</v>
      </c>
      <c r="S2469" t="s">
        <v>42788</v>
      </c>
      <c r="T2469" t="s">
        <v>44466</v>
      </c>
      <c r="U2469" t="s">
        <v>46891</v>
      </c>
      <c r="W2469" t="s">
        <v>39778</v>
      </c>
      <c r="X2469" t="s">
        <v>42676</v>
      </c>
    </row>
    <row r="2470" spans="1:24">
      <c r="A2470">
        <f>HYPERLINK("https://www.philgeps.gov.ph/GEPSNONPILOT/Tender/SplashBidNoticeAbstractUI.aspx?menuIndex=3&amp;refID=7190432&amp;Result=3","7190432")</f>
        <v>0</v>
      </c>
      <c r="B2470" t="s">
        <v>681</v>
      </c>
      <c r="C2470" t="s">
        <v>5888</v>
      </c>
      <c r="D2470" t="s">
        <v>17160</v>
      </c>
      <c r="E2470" t="s">
        <v>19428</v>
      </c>
      <c r="F2470" t="s">
        <v>29372</v>
      </c>
      <c r="G2470" t="s">
        <v>29380</v>
      </c>
      <c r="H2470" t="s">
        <v>29389</v>
      </c>
      <c r="I2470" t="s">
        <v>10408</v>
      </c>
      <c r="J2470" t="s">
        <v>31254</v>
      </c>
      <c r="K2470" t="s">
        <v>38490</v>
      </c>
      <c r="M2470" t="s">
        <v>39457</v>
      </c>
      <c r="N2470" t="s">
        <v>42669</v>
      </c>
      <c r="O2470" t="s">
        <v>42670</v>
      </c>
      <c r="P2470">
        <v>0</v>
      </c>
      <c r="Q2470">
        <v>1</v>
      </c>
      <c r="R2470" t="s">
        <v>42674</v>
      </c>
      <c r="S2470" t="s">
        <v>42788</v>
      </c>
      <c r="T2470" t="s">
        <v>44528</v>
      </c>
      <c r="U2470" t="s">
        <v>46892</v>
      </c>
      <c r="W2470" t="s">
        <v>39457</v>
      </c>
      <c r="X2470" t="s">
        <v>42676</v>
      </c>
    </row>
    <row r="2471" spans="1:24">
      <c r="A2471">
        <f>HYPERLINK("https://www.philgeps.gov.ph/GEPSNONPILOT/Tender/SplashBidNoticeAbstractUI.aspx?menuIndex=3&amp;refID=7190431&amp;Result=3","7190431")</f>
        <v>0</v>
      </c>
      <c r="B2471" t="s">
        <v>693</v>
      </c>
      <c r="C2471" t="s">
        <v>5889</v>
      </c>
      <c r="D2471" t="s">
        <v>17161</v>
      </c>
      <c r="E2471" t="s">
        <v>19429</v>
      </c>
      <c r="F2471" t="s">
        <v>29372</v>
      </c>
      <c r="G2471" t="s">
        <v>29383</v>
      </c>
      <c r="H2471" t="s">
        <v>11048</v>
      </c>
      <c r="I2471" t="s">
        <v>29403</v>
      </c>
      <c r="J2471" t="s">
        <v>31255</v>
      </c>
      <c r="K2471" t="s">
        <v>38510</v>
      </c>
      <c r="M2471" t="s">
        <v>39469</v>
      </c>
      <c r="N2471" t="s">
        <v>42669</v>
      </c>
      <c r="O2471" t="s">
        <v>42670</v>
      </c>
      <c r="P2471">
        <v>0</v>
      </c>
      <c r="Q2471">
        <v>0</v>
      </c>
      <c r="R2471" t="s">
        <v>42674</v>
      </c>
      <c r="S2471" t="s">
        <v>42788</v>
      </c>
      <c r="T2471" t="s">
        <v>44417</v>
      </c>
      <c r="U2471" t="s">
        <v>46893</v>
      </c>
      <c r="W2471" t="s">
        <v>39469</v>
      </c>
      <c r="X2471" t="s">
        <v>42676</v>
      </c>
    </row>
    <row r="2472" spans="1:24">
      <c r="A2472">
        <f>HYPERLINK("https://www.philgeps.gov.ph/GEPSNONPILOT/Tender/SplashBidNoticeAbstractUI.aspx?menuIndex=3&amp;refID=7190430&amp;Result=3","7190430")</f>
        <v>0</v>
      </c>
      <c r="B2472" t="s">
        <v>719</v>
      </c>
      <c r="C2472" t="s">
        <v>5890</v>
      </c>
      <c r="D2472" t="s">
        <v>17170</v>
      </c>
      <c r="E2472" t="s">
        <v>19430</v>
      </c>
      <c r="F2472" t="s">
        <v>29372</v>
      </c>
      <c r="G2472" t="s">
        <v>29382</v>
      </c>
      <c r="H2472" t="s">
        <v>11048</v>
      </c>
      <c r="I2472" t="s">
        <v>5383</v>
      </c>
      <c r="J2472" t="s">
        <v>31256</v>
      </c>
      <c r="K2472" t="s">
        <v>38510</v>
      </c>
      <c r="M2472" t="s">
        <v>39499</v>
      </c>
      <c r="N2472" t="s">
        <v>42669</v>
      </c>
      <c r="O2472" t="s">
        <v>42670</v>
      </c>
      <c r="P2472">
        <v>0</v>
      </c>
      <c r="Q2472">
        <v>5</v>
      </c>
      <c r="R2472" t="s">
        <v>42674</v>
      </c>
      <c r="S2472" t="s">
        <v>42788</v>
      </c>
      <c r="T2472" t="s">
        <v>44456</v>
      </c>
      <c r="U2472" t="s">
        <v>46374</v>
      </c>
      <c r="W2472" t="s">
        <v>39499</v>
      </c>
      <c r="X2472" t="s">
        <v>42676</v>
      </c>
    </row>
    <row r="2473" spans="1:24">
      <c r="A2473">
        <f>HYPERLINK("https://www.philgeps.gov.ph/GEPSNONPILOT/Tender/SplashBidNoticeAbstractUI.aspx?menuIndex=3&amp;refID=7191570&amp;Result=3","7191570")</f>
        <v>0</v>
      </c>
      <c r="B2473" t="s">
        <v>684</v>
      </c>
      <c r="C2473" t="s">
        <v>5891</v>
      </c>
      <c r="D2473" t="s">
        <v>17188</v>
      </c>
      <c r="E2473" t="s">
        <v>19431</v>
      </c>
      <c r="F2473" t="s">
        <v>29372</v>
      </c>
      <c r="G2473" t="s">
        <v>29379</v>
      </c>
      <c r="H2473" t="s">
        <v>29390</v>
      </c>
      <c r="I2473" t="s">
        <v>29464</v>
      </c>
      <c r="J2473" t="s">
        <v>29780</v>
      </c>
      <c r="K2473" t="s">
        <v>38496</v>
      </c>
      <c r="M2473" t="s">
        <v>39779</v>
      </c>
      <c r="N2473" t="s">
        <v>42669</v>
      </c>
      <c r="O2473" t="s">
        <v>42670</v>
      </c>
      <c r="P2473">
        <v>0</v>
      </c>
      <c r="Q2473">
        <v>1</v>
      </c>
      <c r="R2473" t="s">
        <v>42674</v>
      </c>
      <c r="S2473" t="s">
        <v>42788</v>
      </c>
      <c r="T2473" t="s">
        <v>44481</v>
      </c>
      <c r="U2473" t="s">
        <v>46894</v>
      </c>
      <c r="V2473" t="s">
        <v>45789</v>
      </c>
      <c r="W2473" t="s">
        <v>39779</v>
      </c>
      <c r="X2473" t="s">
        <v>42676</v>
      </c>
    </row>
    <row r="2474" spans="1:24">
      <c r="A2474">
        <f>HYPERLINK("https://www.philgeps.gov.ph/GEPSNONPILOT/Tender/SplashBidNoticeAbstractUI.aspx?menuIndex=3&amp;refID=7190424&amp;Result=3","7190424")</f>
        <v>0</v>
      </c>
      <c r="B2474" t="s">
        <v>982</v>
      </c>
      <c r="C2474" t="s">
        <v>5892</v>
      </c>
      <c r="D2474" t="s">
        <v>17166</v>
      </c>
      <c r="E2474" t="s">
        <v>19432</v>
      </c>
      <c r="F2474" t="s">
        <v>29372</v>
      </c>
      <c r="G2474" t="s">
        <v>29379</v>
      </c>
      <c r="H2474" t="s">
        <v>11048</v>
      </c>
      <c r="I2474" t="s">
        <v>3670</v>
      </c>
      <c r="J2474" t="s">
        <v>30006</v>
      </c>
      <c r="K2474" t="s">
        <v>38496</v>
      </c>
      <c r="M2474" t="s">
        <v>39780</v>
      </c>
      <c r="N2474" t="s">
        <v>42669</v>
      </c>
      <c r="O2474" t="s">
        <v>42670</v>
      </c>
      <c r="P2474">
        <v>0</v>
      </c>
      <c r="Q2474">
        <v>0</v>
      </c>
      <c r="R2474" t="s">
        <v>42674</v>
      </c>
      <c r="S2474" t="s">
        <v>42788</v>
      </c>
      <c r="T2474" t="s">
        <v>44512</v>
      </c>
      <c r="U2474" t="s">
        <v>46895</v>
      </c>
      <c r="W2474" t="s">
        <v>58030</v>
      </c>
      <c r="X2474" t="s">
        <v>42676</v>
      </c>
    </row>
    <row r="2475" spans="1:24">
      <c r="A2475">
        <f>HYPERLINK("https://www.philgeps.gov.ph/GEPSNONPILOT/Tender/SplashBidNoticeAbstractUI.aspx?menuIndex=3&amp;refID=7190423&amp;Result=3","7190423")</f>
        <v>0</v>
      </c>
      <c r="B2475" t="s">
        <v>944</v>
      </c>
      <c r="C2475" t="s">
        <v>5893</v>
      </c>
      <c r="D2475" t="s">
        <v>17180</v>
      </c>
      <c r="E2475" t="s">
        <v>19433</v>
      </c>
      <c r="F2475" t="s">
        <v>29372</v>
      </c>
      <c r="G2475" t="s">
        <v>29380</v>
      </c>
      <c r="H2475" t="s">
        <v>29389</v>
      </c>
      <c r="I2475" t="s">
        <v>10408</v>
      </c>
      <c r="J2475" t="s">
        <v>29526</v>
      </c>
      <c r="K2475" t="s">
        <v>38556</v>
      </c>
      <c r="M2475" t="s">
        <v>39739</v>
      </c>
      <c r="N2475" t="s">
        <v>42669</v>
      </c>
      <c r="O2475" t="s">
        <v>42670</v>
      </c>
      <c r="P2475">
        <v>0</v>
      </c>
      <c r="Q2475">
        <v>1</v>
      </c>
      <c r="R2475" t="s">
        <v>42674</v>
      </c>
      <c r="S2475" t="s">
        <v>42788</v>
      </c>
      <c r="T2475" t="s">
        <v>44590</v>
      </c>
      <c r="U2475" t="s">
        <v>46896</v>
      </c>
      <c r="V2475" t="s">
        <v>56605</v>
      </c>
      <c r="W2475" t="s">
        <v>39739</v>
      </c>
      <c r="X2475" t="s">
        <v>42676</v>
      </c>
    </row>
    <row r="2476" spans="1:24">
      <c r="A2476">
        <f>HYPERLINK("https://www.philgeps.gov.ph/GEPSNONPILOT/Tender/SplashBidNoticeAbstractUI.aspx?menuIndex=3&amp;refID=7190397&amp;Result=3","7190397")</f>
        <v>0</v>
      </c>
      <c r="B2476" t="s">
        <v>137</v>
      </c>
      <c r="C2476" t="s">
        <v>5894</v>
      </c>
      <c r="D2476" t="s">
        <v>17187</v>
      </c>
      <c r="E2476" t="s">
        <v>17477</v>
      </c>
      <c r="F2476" t="s">
        <v>29372</v>
      </c>
      <c r="G2476" t="s">
        <v>29380</v>
      </c>
      <c r="H2476" t="s">
        <v>29389</v>
      </c>
      <c r="I2476" t="s">
        <v>10408</v>
      </c>
      <c r="J2476" t="s">
        <v>29619</v>
      </c>
      <c r="K2476" t="s">
        <v>38491</v>
      </c>
      <c r="M2476" t="s">
        <v>38892</v>
      </c>
      <c r="N2476" t="s">
        <v>42669</v>
      </c>
      <c r="O2476" t="s">
        <v>42670</v>
      </c>
      <c r="P2476">
        <v>0</v>
      </c>
      <c r="Q2476">
        <v>0</v>
      </c>
      <c r="R2476" t="s">
        <v>42674</v>
      </c>
      <c r="S2476" t="s">
        <v>42788</v>
      </c>
      <c r="T2476" t="s">
        <v>44380</v>
      </c>
      <c r="U2476" t="s">
        <v>46897</v>
      </c>
      <c r="W2476" t="s">
        <v>38892</v>
      </c>
      <c r="X2476" t="s">
        <v>42676</v>
      </c>
    </row>
    <row r="2477" spans="1:24">
      <c r="A2477">
        <f>HYPERLINK("https://www.philgeps.gov.ph/GEPSNONPILOT/Tender/SplashBidNoticeAbstractUI.aspx?menuIndex=3&amp;refID=7191571&amp;Result=3","7191571")</f>
        <v>0</v>
      </c>
      <c r="B2477" t="s">
        <v>391</v>
      </c>
      <c r="C2477" t="s">
        <v>5895</v>
      </c>
      <c r="D2477" t="s">
        <v>17213</v>
      </c>
      <c r="E2477" t="s">
        <v>19341</v>
      </c>
      <c r="F2477" t="s">
        <v>29372</v>
      </c>
      <c r="G2477" t="s">
        <v>29383</v>
      </c>
      <c r="H2477" t="s">
        <v>11048</v>
      </c>
      <c r="I2477" t="s">
        <v>29393</v>
      </c>
      <c r="J2477" t="s">
        <v>29555</v>
      </c>
      <c r="K2477" t="s">
        <v>38491</v>
      </c>
      <c r="M2477" t="s">
        <v>39154</v>
      </c>
      <c r="N2477" t="s">
        <v>42669</v>
      </c>
      <c r="O2477" t="s">
        <v>42670</v>
      </c>
      <c r="P2477">
        <v>0</v>
      </c>
      <c r="Q2477">
        <v>0</v>
      </c>
      <c r="R2477" t="s">
        <v>42674</v>
      </c>
      <c r="S2477" t="s">
        <v>42788</v>
      </c>
      <c r="T2477" t="s">
        <v>44432</v>
      </c>
      <c r="U2477" t="s">
        <v>46898</v>
      </c>
      <c r="V2477" t="s">
        <v>56447</v>
      </c>
      <c r="W2477" t="s">
        <v>39154</v>
      </c>
      <c r="X2477" t="s">
        <v>42676</v>
      </c>
    </row>
    <row r="2478" spans="1:24">
      <c r="A2478">
        <f>HYPERLINK("https://www.philgeps.gov.ph/GEPSNONPILOT/Tender/SplashBidNoticeAbstractUI.aspx?menuIndex=3&amp;refID=7191573&amp;Result=3","7191573")</f>
        <v>0</v>
      </c>
      <c r="B2478" t="s">
        <v>469</v>
      </c>
      <c r="C2478" t="s">
        <v>5896</v>
      </c>
      <c r="D2478" t="s">
        <v>17170</v>
      </c>
      <c r="E2478" t="s">
        <v>19434</v>
      </c>
      <c r="F2478" t="s">
        <v>29372</v>
      </c>
      <c r="G2478" t="s">
        <v>29379</v>
      </c>
      <c r="H2478" t="s">
        <v>11048</v>
      </c>
      <c r="I2478" t="s">
        <v>4709</v>
      </c>
      <c r="J2478" t="s">
        <v>31257</v>
      </c>
      <c r="K2478" t="s">
        <v>38485</v>
      </c>
      <c r="M2478" t="s">
        <v>39233</v>
      </c>
      <c r="N2478" t="s">
        <v>42669</v>
      </c>
      <c r="O2478" t="s">
        <v>42670</v>
      </c>
      <c r="P2478">
        <v>0</v>
      </c>
      <c r="Q2478">
        <v>0</v>
      </c>
      <c r="R2478" t="s">
        <v>42674</v>
      </c>
      <c r="S2478" t="s">
        <v>42788</v>
      </c>
      <c r="T2478" t="s">
        <v>44432</v>
      </c>
      <c r="U2478" t="s">
        <v>46899</v>
      </c>
      <c r="W2478" t="s">
        <v>39233</v>
      </c>
      <c r="X2478" t="s">
        <v>42676</v>
      </c>
    </row>
    <row r="2479" spans="1:24">
      <c r="A2479">
        <f>HYPERLINK("https://www.philgeps.gov.ph/GEPSNONPILOT/Tender/SplashBidNoticeAbstractUI.aspx?menuIndex=3&amp;refID=7190398&amp;Result=3","7190398")</f>
        <v>0</v>
      </c>
      <c r="B2479" t="s">
        <v>336</v>
      </c>
      <c r="C2479" t="s">
        <v>5897</v>
      </c>
      <c r="E2479" t="s">
        <v>19435</v>
      </c>
      <c r="F2479" t="s">
        <v>29372</v>
      </c>
      <c r="G2479" t="s">
        <v>29379</v>
      </c>
      <c r="H2479" t="s">
        <v>11048</v>
      </c>
      <c r="I2479" t="s">
        <v>29409</v>
      </c>
      <c r="J2479" t="s">
        <v>31258</v>
      </c>
      <c r="K2479" t="s">
        <v>38485</v>
      </c>
      <c r="M2479" t="s">
        <v>39401</v>
      </c>
      <c r="N2479" t="s">
        <v>42669</v>
      </c>
      <c r="O2479" t="s">
        <v>42670</v>
      </c>
      <c r="P2479">
        <v>0</v>
      </c>
      <c r="Q2479">
        <v>14</v>
      </c>
      <c r="R2479" t="s">
        <v>42674</v>
      </c>
      <c r="S2479" t="s">
        <v>42788</v>
      </c>
      <c r="T2479" t="s">
        <v>44417</v>
      </c>
      <c r="U2479" t="s">
        <v>46900</v>
      </c>
      <c r="V2479" t="s">
        <v>56525</v>
      </c>
      <c r="W2479" t="s">
        <v>39401</v>
      </c>
      <c r="X2479" t="s">
        <v>42676</v>
      </c>
    </row>
    <row r="2480" spans="1:24">
      <c r="A2480">
        <f>HYPERLINK("https://www.philgeps.gov.ph/GEPSNONPILOT/Tender/SplashBidNoticeAbstractUI.aspx?menuIndex=3&amp;refID=7191576&amp;Result=3","7191576")</f>
        <v>0</v>
      </c>
      <c r="B2480" t="s">
        <v>900</v>
      </c>
      <c r="C2480" t="s">
        <v>5898</v>
      </c>
      <c r="D2480" t="s">
        <v>17144</v>
      </c>
      <c r="E2480" t="s">
        <v>17926</v>
      </c>
      <c r="F2480" t="s">
        <v>29372</v>
      </c>
      <c r="G2480" t="s">
        <v>29380</v>
      </c>
      <c r="H2480" t="s">
        <v>11048</v>
      </c>
      <c r="I2480" t="s">
        <v>29398</v>
      </c>
      <c r="J2480" t="s">
        <v>31259</v>
      </c>
      <c r="K2480" t="s">
        <v>38518</v>
      </c>
      <c r="M2480" t="s">
        <v>39693</v>
      </c>
      <c r="N2480" t="s">
        <v>42669</v>
      </c>
      <c r="O2480" t="s">
        <v>42670</v>
      </c>
      <c r="P2480">
        <v>0</v>
      </c>
      <c r="Q2480">
        <v>3</v>
      </c>
      <c r="R2480" t="s">
        <v>42674</v>
      </c>
      <c r="S2480" t="s">
        <v>42788</v>
      </c>
      <c r="T2480" t="s">
        <v>44523</v>
      </c>
      <c r="U2480" t="s">
        <v>46901</v>
      </c>
      <c r="V2480" t="s">
        <v>56578</v>
      </c>
      <c r="W2480" t="s">
        <v>39693</v>
      </c>
      <c r="X2480" t="s">
        <v>42676</v>
      </c>
    </row>
    <row r="2481" spans="1:24">
      <c r="A2481">
        <f>HYPERLINK("https://www.philgeps.gov.ph/GEPSNONPILOT/Tender/SplashBidNoticeAbstractUI.aspx?menuIndex=3&amp;refID=7191754&amp;Result=3","7191754")</f>
        <v>0</v>
      </c>
      <c r="B2481" t="s">
        <v>955</v>
      </c>
      <c r="C2481" t="s">
        <v>5899</v>
      </c>
      <c r="E2481" t="s">
        <v>19436</v>
      </c>
      <c r="F2481" t="s">
        <v>29372</v>
      </c>
      <c r="G2481" t="s">
        <v>29380</v>
      </c>
      <c r="H2481" t="s">
        <v>11048</v>
      </c>
      <c r="I2481" t="s">
        <v>9469</v>
      </c>
      <c r="J2481" t="s">
        <v>31260</v>
      </c>
      <c r="K2481" t="s">
        <v>38490</v>
      </c>
      <c r="M2481" t="s">
        <v>39751</v>
      </c>
      <c r="N2481" t="s">
        <v>42669</v>
      </c>
      <c r="O2481" t="s">
        <v>42670</v>
      </c>
      <c r="P2481">
        <v>0</v>
      </c>
      <c r="Q2481">
        <v>5</v>
      </c>
      <c r="R2481" t="s">
        <v>42674</v>
      </c>
      <c r="S2481" t="s">
        <v>42788</v>
      </c>
      <c r="T2481" t="s">
        <v>44363</v>
      </c>
      <c r="U2481" t="s">
        <v>46902</v>
      </c>
      <c r="W2481" t="s">
        <v>39751</v>
      </c>
      <c r="X2481" t="s">
        <v>42676</v>
      </c>
    </row>
    <row r="2482" spans="1:24">
      <c r="A2482">
        <f>HYPERLINK("https://www.philgeps.gov.ph/GEPSNONPILOT/Tender/SplashBidNoticeAbstractUI.aspx?menuIndex=3&amp;refID=7191784&amp;Result=3","7191784")</f>
        <v>0</v>
      </c>
      <c r="B2482" t="s">
        <v>964</v>
      </c>
      <c r="C2482" t="s">
        <v>5900</v>
      </c>
      <c r="D2482" t="s">
        <v>17205</v>
      </c>
      <c r="E2482" t="s">
        <v>19437</v>
      </c>
      <c r="F2482" t="s">
        <v>29372</v>
      </c>
      <c r="G2482" t="s">
        <v>29379</v>
      </c>
      <c r="H2482" t="s">
        <v>29389</v>
      </c>
      <c r="I2482" t="s">
        <v>29453</v>
      </c>
      <c r="J2482" t="s">
        <v>31261</v>
      </c>
      <c r="K2482" t="s">
        <v>38490</v>
      </c>
      <c r="M2482" t="s">
        <v>39760</v>
      </c>
      <c r="N2482" t="s">
        <v>42669</v>
      </c>
      <c r="O2482" t="s">
        <v>42670</v>
      </c>
      <c r="P2482">
        <v>0</v>
      </c>
      <c r="Q2482">
        <v>0</v>
      </c>
      <c r="R2482" t="s">
        <v>42674</v>
      </c>
      <c r="S2482" t="s">
        <v>42788</v>
      </c>
      <c r="T2482" t="s">
        <v>44378</v>
      </c>
      <c r="U2482" t="s">
        <v>46836</v>
      </c>
      <c r="V2482" t="s">
        <v>56601</v>
      </c>
      <c r="W2482" t="s">
        <v>39760</v>
      </c>
      <c r="X2482" t="s">
        <v>42676</v>
      </c>
    </row>
    <row r="2483" spans="1:24">
      <c r="A2483">
        <f>HYPERLINK("https://www.philgeps.gov.ph/GEPSNONPILOT/Tender/SplashBidNoticeAbstractUI.aspx?menuIndex=3&amp;refID=7191767&amp;Result=3","7191767")</f>
        <v>0</v>
      </c>
      <c r="B2483" t="s">
        <v>577</v>
      </c>
      <c r="C2483" t="s">
        <v>5901</v>
      </c>
      <c r="D2483" t="s">
        <v>17164</v>
      </c>
      <c r="E2483" t="s">
        <v>19438</v>
      </c>
      <c r="F2483" t="s">
        <v>29372</v>
      </c>
      <c r="G2483" t="s">
        <v>29383</v>
      </c>
      <c r="H2483" t="s">
        <v>11048</v>
      </c>
      <c r="I2483" t="s">
        <v>4487</v>
      </c>
      <c r="J2483" t="s">
        <v>31262</v>
      </c>
      <c r="K2483" t="s">
        <v>38490</v>
      </c>
      <c r="L2483" t="s">
        <v>577</v>
      </c>
      <c r="M2483" t="s">
        <v>39346</v>
      </c>
      <c r="N2483" t="s">
        <v>42669</v>
      </c>
      <c r="O2483" t="s">
        <v>42670</v>
      </c>
      <c r="P2483">
        <v>0</v>
      </c>
      <c r="Q2483">
        <v>4</v>
      </c>
      <c r="R2483" t="s">
        <v>42674</v>
      </c>
      <c r="S2483" t="s">
        <v>42788</v>
      </c>
      <c r="T2483" t="s">
        <v>44387</v>
      </c>
      <c r="U2483" t="s">
        <v>46774</v>
      </c>
      <c r="W2483" t="s">
        <v>39346</v>
      </c>
      <c r="X2483" t="s">
        <v>42676</v>
      </c>
    </row>
    <row r="2484" spans="1:24">
      <c r="A2484">
        <f>HYPERLINK("https://www.philgeps.gov.ph/GEPSNONPILOT/Tender/SplashBidNoticeAbstractUI.aspx?menuIndex=3&amp;refID=7191783&amp;Result=3","7191783")</f>
        <v>0</v>
      </c>
      <c r="B2484" t="s">
        <v>130</v>
      </c>
      <c r="C2484" t="s">
        <v>5902</v>
      </c>
      <c r="D2484" t="s">
        <v>17185</v>
      </c>
      <c r="E2484" t="s">
        <v>19439</v>
      </c>
      <c r="F2484" t="s">
        <v>29372</v>
      </c>
      <c r="G2484" t="s">
        <v>29381</v>
      </c>
      <c r="H2484" t="s">
        <v>11048</v>
      </c>
      <c r="I2484" t="s">
        <v>4486</v>
      </c>
      <c r="J2484" t="s">
        <v>31263</v>
      </c>
      <c r="K2484" t="s">
        <v>38491</v>
      </c>
      <c r="M2484" t="s">
        <v>38885</v>
      </c>
      <c r="N2484" t="s">
        <v>42669</v>
      </c>
      <c r="O2484" t="s">
        <v>42670</v>
      </c>
      <c r="P2484">
        <v>0</v>
      </c>
      <c r="Q2484">
        <v>1</v>
      </c>
      <c r="R2484" t="s">
        <v>42674</v>
      </c>
      <c r="S2484" t="s">
        <v>42788</v>
      </c>
      <c r="T2484" t="s">
        <v>44399</v>
      </c>
      <c r="U2484" t="s">
        <v>46903</v>
      </c>
      <c r="W2484" t="s">
        <v>38885</v>
      </c>
      <c r="X2484" t="s">
        <v>42676</v>
      </c>
    </row>
    <row r="2485" spans="1:24">
      <c r="A2485">
        <f>HYPERLINK("https://www.philgeps.gov.ph/GEPSNONPILOT/Tender/SplashBidNoticeAbstractUI.aspx?menuIndex=3&amp;refID=7191779&amp;Result=3","7191779")</f>
        <v>0</v>
      </c>
      <c r="B2485" t="s">
        <v>679</v>
      </c>
      <c r="C2485" t="s">
        <v>5903</v>
      </c>
      <c r="D2485" t="s">
        <v>17175</v>
      </c>
      <c r="E2485" t="s">
        <v>19440</v>
      </c>
      <c r="F2485" t="s">
        <v>29372</v>
      </c>
      <c r="G2485" t="s">
        <v>29380</v>
      </c>
      <c r="H2485" t="s">
        <v>11048</v>
      </c>
      <c r="I2485" t="s">
        <v>3839</v>
      </c>
      <c r="J2485" t="s">
        <v>29685</v>
      </c>
      <c r="K2485" t="s">
        <v>38510</v>
      </c>
      <c r="M2485" t="s">
        <v>39455</v>
      </c>
      <c r="N2485" t="s">
        <v>42669</v>
      </c>
      <c r="O2485" t="s">
        <v>42670</v>
      </c>
      <c r="P2485">
        <v>0</v>
      </c>
      <c r="Q2485">
        <v>0</v>
      </c>
      <c r="R2485" t="s">
        <v>42674</v>
      </c>
      <c r="S2485" t="s">
        <v>42788</v>
      </c>
      <c r="T2485" t="s">
        <v>44361</v>
      </c>
      <c r="U2485" t="s">
        <v>46904</v>
      </c>
      <c r="W2485" t="s">
        <v>39455</v>
      </c>
      <c r="X2485" t="s">
        <v>42676</v>
      </c>
    </row>
    <row r="2486" spans="1:24">
      <c r="A2486">
        <f>HYPERLINK("https://www.philgeps.gov.ph/GEPSNONPILOT/Tender/SplashBidNoticeAbstractUI.aspx?menuIndex=3&amp;refID=7191778&amp;Result=3","7191778")</f>
        <v>0</v>
      </c>
      <c r="B2486" t="s">
        <v>967</v>
      </c>
      <c r="C2486" t="s">
        <v>5904</v>
      </c>
      <c r="D2486" t="s">
        <v>17141</v>
      </c>
      <c r="E2486" t="s">
        <v>19441</v>
      </c>
      <c r="F2486" t="s">
        <v>29372</v>
      </c>
      <c r="G2486" t="s">
        <v>29380</v>
      </c>
      <c r="H2486" t="s">
        <v>11048</v>
      </c>
      <c r="I2486" t="s">
        <v>29396</v>
      </c>
      <c r="J2486" t="s">
        <v>30244</v>
      </c>
      <c r="K2486" t="s">
        <v>38495</v>
      </c>
      <c r="M2486" t="s">
        <v>39763</v>
      </c>
      <c r="N2486" t="s">
        <v>42669</v>
      </c>
      <c r="O2486" t="s">
        <v>42670</v>
      </c>
      <c r="P2486">
        <v>0</v>
      </c>
      <c r="Q2486">
        <v>2</v>
      </c>
      <c r="R2486" t="s">
        <v>42674</v>
      </c>
      <c r="S2486" t="s">
        <v>42788</v>
      </c>
      <c r="T2486" t="s">
        <v>44598</v>
      </c>
      <c r="U2486" t="s">
        <v>46842</v>
      </c>
      <c r="W2486" t="s">
        <v>39763</v>
      </c>
      <c r="X2486" t="s">
        <v>42676</v>
      </c>
    </row>
    <row r="2487" spans="1:24">
      <c r="A2487">
        <f>HYPERLINK("https://www.philgeps.gov.ph/GEPSNONPILOT/Tender/SplashBidNoticeAbstractUI.aspx?menuIndex=3&amp;refID=7191764&amp;Result=3","7191764")</f>
        <v>0</v>
      </c>
      <c r="B2487" t="s">
        <v>968</v>
      </c>
      <c r="C2487" t="s">
        <v>5905</v>
      </c>
      <c r="D2487" t="s">
        <v>17197</v>
      </c>
      <c r="E2487" t="s">
        <v>19442</v>
      </c>
      <c r="F2487" t="s">
        <v>29372</v>
      </c>
      <c r="G2487" t="s">
        <v>29379</v>
      </c>
      <c r="H2487" t="s">
        <v>11048</v>
      </c>
      <c r="I2487" t="s">
        <v>3670</v>
      </c>
      <c r="J2487" t="s">
        <v>31120</v>
      </c>
      <c r="K2487" t="s">
        <v>38538</v>
      </c>
      <c r="M2487" t="s">
        <v>39764</v>
      </c>
      <c r="N2487" t="s">
        <v>42669</v>
      </c>
      <c r="O2487" t="s">
        <v>42670</v>
      </c>
      <c r="P2487">
        <v>0</v>
      </c>
      <c r="Q2487">
        <v>0</v>
      </c>
      <c r="R2487" t="s">
        <v>42674</v>
      </c>
      <c r="S2487" t="s">
        <v>42788</v>
      </c>
      <c r="T2487" t="s">
        <v>44427</v>
      </c>
      <c r="U2487" t="s">
        <v>46905</v>
      </c>
      <c r="W2487" t="s">
        <v>39764</v>
      </c>
      <c r="X2487" t="s">
        <v>42676</v>
      </c>
    </row>
    <row r="2488" spans="1:24">
      <c r="A2488">
        <f>HYPERLINK("https://www.philgeps.gov.ph/GEPSNONPILOT/Tender/SplashBidNoticeAbstractUI.aspx?menuIndex=3&amp;refID=7191786&amp;Result=3","7191786")</f>
        <v>0</v>
      </c>
      <c r="B2488" t="s">
        <v>927</v>
      </c>
      <c r="C2488" t="s">
        <v>5906</v>
      </c>
      <c r="D2488" t="s">
        <v>17225</v>
      </c>
      <c r="E2488" t="s">
        <v>19443</v>
      </c>
      <c r="F2488" t="s">
        <v>29372</v>
      </c>
      <c r="G2488" t="s">
        <v>29383</v>
      </c>
      <c r="H2488" t="s">
        <v>11048</v>
      </c>
      <c r="I2488" t="s">
        <v>29393</v>
      </c>
      <c r="J2488" t="s">
        <v>29767</v>
      </c>
      <c r="K2488" t="s">
        <v>38490</v>
      </c>
      <c r="M2488" t="s">
        <v>39722</v>
      </c>
      <c r="N2488" t="s">
        <v>42669</v>
      </c>
      <c r="O2488" t="s">
        <v>42670</v>
      </c>
      <c r="P2488">
        <v>0</v>
      </c>
      <c r="Q2488">
        <v>0</v>
      </c>
      <c r="R2488" t="s">
        <v>42674</v>
      </c>
      <c r="S2488" t="s">
        <v>42788</v>
      </c>
      <c r="T2488" t="s">
        <v>44387</v>
      </c>
      <c r="U2488" t="s">
        <v>46906</v>
      </c>
      <c r="V2488" t="s">
        <v>56585</v>
      </c>
      <c r="W2488" t="s">
        <v>39722</v>
      </c>
      <c r="X2488" t="s">
        <v>42676</v>
      </c>
    </row>
    <row r="2489" spans="1:24">
      <c r="A2489">
        <f>HYPERLINK("https://www.philgeps.gov.ph/GEPSNONPILOT/Tender/SplashBidNoticeAbstractUI.aspx?menuIndex=3&amp;refID=7191774&amp;Result=3","7191774")</f>
        <v>0</v>
      </c>
      <c r="B2489" t="s">
        <v>798</v>
      </c>
      <c r="C2489" t="s">
        <v>5907</v>
      </c>
      <c r="D2489" t="s">
        <v>17188</v>
      </c>
      <c r="E2489" t="s">
        <v>19444</v>
      </c>
      <c r="F2489" t="s">
        <v>29372</v>
      </c>
      <c r="G2489" t="s">
        <v>29379</v>
      </c>
      <c r="H2489" t="s">
        <v>11048</v>
      </c>
      <c r="I2489" t="s">
        <v>29400</v>
      </c>
      <c r="J2489" t="s">
        <v>30224</v>
      </c>
      <c r="K2489" t="s">
        <v>38490</v>
      </c>
      <c r="M2489" t="s">
        <v>39582</v>
      </c>
      <c r="N2489" t="s">
        <v>42669</v>
      </c>
      <c r="O2489" t="s">
        <v>42670</v>
      </c>
      <c r="P2489">
        <v>0</v>
      </c>
      <c r="Q2489">
        <v>2</v>
      </c>
      <c r="R2489" t="s">
        <v>42674</v>
      </c>
      <c r="S2489" t="s">
        <v>42788</v>
      </c>
      <c r="T2489" t="s">
        <v>44382</v>
      </c>
      <c r="U2489" t="s">
        <v>46907</v>
      </c>
      <c r="W2489" t="s">
        <v>39582</v>
      </c>
      <c r="X2489" t="s">
        <v>42676</v>
      </c>
    </row>
    <row r="2490" spans="1:24">
      <c r="A2490">
        <f>HYPERLINK("https://www.philgeps.gov.ph/GEPSNONPILOT/Tender/SplashBidNoticeAbstractUI.aspx?menuIndex=3&amp;refID=7191781&amp;Result=3","7191781")</f>
        <v>0</v>
      </c>
      <c r="B2490" t="s">
        <v>983</v>
      </c>
      <c r="C2490" t="s">
        <v>5908</v>
      </c>
      <c r="D2490" t="s">
        <v>17189</v>
      </c>
      <c r="E2490" t="s">
        <v>19445</v>
      </c>
      <c r="F2490" t="s">
        <v>29372</v>
      </c>
      <c r="G2490" t="s">
        <v>29379</v>
      </c>
      <c r="H2490" t="s">
        <v>11048</v>
      </c>
      <c r="I2490" t="s">
        <v>3695</v>
      </c>
      <c r="J2490" t="s">
        <v>30265</v>
      </c>
      <c r="K2490" t="s">
        <v>38491</v>
      </c>
      <c r="M2490" t="s">
        <v>39781</v>
      </c>
      <c r="N2490" t="s">
        <v>42669</v>
      </c>
      <c r="O2490" t="s">
        <v>42670</v>
      </c>
      <c r="P2490">
        <v>0</v>
      </c>
      <c r="Q2490">
        <v>1</v>
      </c>
      <c r="R2490" t="s">
        <v>42674</v>
      </c>
      <c r="S2490" t="s">
        <v>42788</v>
      </c>
      <c r="T2490" t="s">
        <v>44522</v>
      </c>
      <c r="U2490" t="s">
        <v>46908</v>
      </c>
      <c r="W2490" t="s">
        <v>39781</v>
      </c>
      <c r="X2490" t="s">
        <v>42676</v>
      </c>
    </row>
    <row r="2491" spans="1:24">
      <c r="A2491">
        <f>HYPERLINK("https://www.philgeps.gov.ph/GEPSNONPILOT/Tender/SplashBidNoticeAbstractUI.aspx?menuIndex=3&amp;refID=7191772&amp;Result=3","7191772")</f>
        <v>0</v>
      </c>
      <c r="B2491" t="s">
        <v>952</v>
      </c>
      <c r="C2491" t="s">
        <v>5909</v>
      </c>
      <c r="E2491" t="s">
        <v>19446</v>
      </c>
      <c r="F2491" t="s">
        <v>29372</v>
      </c>
      <c r="G2491" t="s">
        <v>29383</v>
      </c>
      <c r="H2491" t="s">
        <v>11048</v>
      </c>
      <c r="I2491" t="s">
        <v>29446</v>
      </c>
      <c r="J2491" t="s">
        <v>30302</v>
      </c>
      <c r="K2491" t="s">
        <v>38485</v>
      </c>
      <c r="M2491" t="s">
        <v>39748</v>
      </c>
      <c r="N2491" t="s">
        <v>42669</v>
      </c>
      <c r="O2491" t="s">
        <v>42670</v>
      </c>
      <c r="P2491">
        <v>0</v>
      </c>
      <c r="Q2491">
        <v>3</v>
      </c>
      <c r="R2491" t="s">
        <v>42674</v>
      </c>
      <c r="S2491" t="s">
        <v>42788</v>
      </c>
      <c r="T2491" t="s">
        <v>44417</v>
      </c>
      <c r="U2491" t="s">
        <v>46909</v>
      </c>
      <c r="W2491" t="s">
        <v>39748</v>
      </c>
      <c r="X2491" t="s">
        <v>42676</v>
      </c>
    </row>
    <row r="2492" spans="1:24">
      <c r="A2492">
        <f>HYPERLINK("https://www.philgeps.gov.ph/GEPSNONPILOT/Tender/SplashBidNoticeAbstractUI.aspx?menuIndex=3&amp;refID=7191762&amp;Result=3","7191762")</f>
        <v>0</v>
      </c>
      <c r="B2492" t="s">
        <v>951</v>
      </c>
      <c r="C2492" t="s">
        <v>5910</v>
      </c>
      <c r="D2492" t="s">
        <v>17166</v>
      </c>
      <c r="E2492" t="s">
        <v>19447</v>
      </c>
      <c r="F2492" t="s">
        <v>29372</v>
      </c>
      <c r="G2492" t="s">
        <v>29383</v>
      </c>
      <c r="H2492" t="s">
        <v>11048</v>
      </c>
      <c r="I2492" t="s">
        <v>3670</v>
      </c>
      <c r="J2492" t="s">
        <v>31264</v>
      </c>
      <c r="K2492" t="s">
        <v>38490</v>
      </c>
      <c r="M2492" t="s">
        <v>39747</v>
      </c>
      <c r="N2492" t="s">
        <v>42669</v>
      </c>
      <c r="O2492" t="s">
        <v>42670</v>
      </c>
      <c r="P2492">
        <v>0</v>
      </c>
      <c r="Q2492">
        <v>0</v>
      </c>
      <c r="R2492" t="s">
        <v>42674</v>
      </c>
      <c r="S2492" t="s">
        <v>42788</v>
      </c>
      <c r="T2492" t="s">
        <v>44434</v>
      </c>
      <c r="U2492" t="s">
        <v>46910</v>
      </c>
      <c r="W2492" t="s">
        <v>39747</v>
      </c>
      <c r="X2492" t="s">
        <v>42676</v>
      </c>
    </row>
    <row r="2493" spans="1:24">
      <c r="A2493">
        <f>HYPERLINK("https://www.philgeps.gov.ph/GEPSNONPILOT/Tender/SplashBidNoticeAbstractUI.aspx?menuIndex=3&amp;refID=7191776&amp;Result=3","7191776")</f>
        <v>0</v>
      </c>
      <c r="B2493" t="s">
        <v>586</v>
      </c>
      <c r="C2493" t="s">
        <v>5911</v>
      </c>
      <c r="D2493" t="s">
        <v>17161</v>
      </c>
      <c r="E2493" t="s">
        <v>19448</v>
      </c>
      <c r="F2493" t="s">
        <v>29372</v>
      </c>
      <c r="G2493" t="s">
        <v>29383</v>
      </c>
      <c r="H2493" t="s">
        <v>11048</v>
      </c>
      <c r="I2493" t="s">
        <v>4709</v>
      </c>
      <c r="J2493" t="s">
        <v>31265</v>
      </c>
      <c r="K2493" t="s">
        <v>38490</v>
      </c>
      <c r="M2493" t="s">
        <v>39682</v>
      </c>
      <c r="N2493" t="s">
        <v>42669</v>
      </c>
      <c r="O2493" t="s">
        <v>42670</v>
      </c>
      <c r="P2493">
        <v>0</v>
      </c>
      <c r="Q2493">
        <v>0</v>
      </c>
      <c r="R2493" t="s">
        <v>42674</v>
      </c>
      <c r="S2493" t="s">
        <v>42788</v>
      </c>
      <c r="T2493" t="s">
        <v>44488</v>
      </c>
      <c r="U2493" t="s">
        <v>46911</v>
      </c>
      <c r="W2493" t="s">
        <v>39682</v>
      </c>
      <c r="X2493" t="s">
        <v>42676</v>
      </c>
    </row>
    <row r="2494" spans="1:24">
      <c r="A2494">
        <f>HYPERLINK("https://www.philgeps.gov.ph/GEPSNONPILOT/Tender/SplashBidNoticeAbstractUI.aspx?menuIndex=3&amp;refID=7191793&amp;Result=3","7191793")</f>
        <v>0</v>
      </c>
      <c r="B2494" t="s">
        <v>433</v>
      </c>
      <c r="C2494" t="s">
        <v>5912</v>
      </c>
      <c r="D2494" t="s">
        <v>17188</v>
      </c>
      <c r="E2494" t="s">
        <v>19449</v>
      </c>
      <c r="F2494" t="s">
        <v>29372</v>
      </c>
      <c r="G2494" t="s">
        <v>29379</v>
      </c>
      <c r="H2494" t="s">
        <v>11048</v>
      </c>
      <c r="I2494" t="s">
        <v>29433</v>
      </c>
      <c r="J2494" t="s">
        <v>31266</v>
      </c>
      <c r="K2494" t="s">
        <v>38485</v>
      </c>
      <c r="M2494" t="s">
        <v>39197</v>
      </c>
      <c r="N2494" t="s">
        <v>42669</v>
      </c>
      <c r="O2494" t="s">
        <v>42670</v>
      </c>
      <c r="P2494">
        <v>0</v>
      </c>
      <c r="Q2494">
        <v>5</v>
      </c>
      <c r="R2494" t="s">
        <v>42674</v>
      </c>
      <c r="S2494" t="s">
        <v>42788</v>
      </c>
      <c r="T2494" t="s">
        <v>44414</v>
      </c>
      <c r="U2494" t="s">
        <v>46912</v>
      </c>
      <c r="W2494" t="s">
        <v>39197</v>
      </c>
      <c r="X2494" t="s">
        <v>42676</v>
      </c>
    </row>
    <row r="2495" spans="1:24">
      <c r="A2495">
        <f>HYPERLINK("https://www.philgeps.gov.ph/GEPSNONPILOT/Tender/SplashBidNoticeAbstractUI.aspx?menuIndex=3&amp;refID=7191790&amp;Result=3","7191790")</f>
        <v>0</v>
      </c>
      <c r="B2495" t="s">
        <v>977</v>
      </c>
      <c r="C2495" t="s">
        <v>5865</v>
      </c>
      <c r="D2495" t="s">
        <v>17189</v>
      </c>
      <c r="E2495" t="s">
        <v>19450</v>
      </c>
      <c r="F2495" t="s">
        <v>29372</v>
      </c>
      <c r="G2495" t="s">
        <v>29379</v>
      </c>
      <c r="H2495" t="s">
        <v>11048</v>
      </c>
      <c r="I2495" t="s">
        <v>4487</v>
      </c>
      <c r="J2495" t="s">
        <v>31267</v>
      </c>
      <c r="K2495" t="s">
        <v>38534</v>
      </c>
      <c r="M2495" t="s">
        <v>39774</v>
      </c>
      <c r="N2495" t="s">
        <v>42669</v>
      </c>
      <c r="O2495" t="s">
        <v>42670</v>
      </c>
      <c r="P2495">
        <v>0</v>
      </c>
      <c r="Q2495">
        <v>4</v>
      </c>
      <c r="R2495" t="s">
        <v>42674</v>
      </c>
      <c r="S2495" t="s">
        <v>42788</v>
      </c>
      <c r="T2495" t="s">
        <v>44596</v>
      </c>
      <c r="U2495" t="s">
        <v>46913</v>
      </c>
      <c r="W2495" t="s">
        <v>39774</v>
      </c>
      <c r="X2495" t="s">
        <v>42676</v>
      </c>
    </row>
    <row r="2496" spans="1:24">
      <c r="A2496">
        <f>HYPERLINK("https://www.philgeps.gov.ph/GEPSNONPILOT/Tender/SplashBidNoticeAbstractUI.aspx?menuIndex=3&amp;refID=7191770&amp;Result=3","7191770")</f>
        <v>0</v>
      </c>
      <c r="B2496" t="s">
        <v>428</v>
      </c>
      <c r="C2496" t="s">
        <v>5913</v>
      </c>
      <c r="D2496" t="s">
        <v>17165</v>
      </c>
      <c r="E2496" t="s">
        <v>19451</v>
      </c>
      <c r="F2496" t="s">
        <v>29372</v>
      </c>
      <c r="G2496" t="s">
        <v>29382</v>
      </c>
      <c r="H2496" t="s">
        <v>11048</v>
      </c>
      <c r="I2496" t="s">
        <v>29447</v>
      </c>
      <c r="J2496" t="s">
        <v>31268</v>
      </c>
      <c r="K2496" t="s">
        <v>38490</v>
      </c>
      <c r="M2496" t="s">
        <v>39192</v>
      </c>
      <c r="N2496" t="s">
        <v>42669</v>
      </c>
      <c r="O2496" t="s">
        <v>42670</v>
      </c>
      <c r="P2496">
        <v>0</v>
      </c>
      <c r="Q2496">
        <v>1</v>
      </c>
      <c r="R2496" t="s">
        <v>42674</v>
      </c>
      <c r="S2496" t="s">
        <v>42788</v>
      </c>
      <c r="T2496" t="s">
        <v>44488</v>
      </c>
      <c r="U2496" t="s">
        <v>46914</v>
      </c>
      <c r="W2496" t="s">
        <v>39192</v>
      </c>
      <c r="X2496" t="s">
        <v>42676</v>
      </c>
    </row>
    <row r="2497" spans="1:24">
      <c r="A2497">
        <f>HYPERLINK("https://www.philgeps.gov.ph/GEPSNONPILOT/Tender/SplashBidNoticeAbstractUI.aspx?menuIndex=3&amp;refID=7191794&amp;Result=3","7191794")</f>
        <v>0</v>
      </c>
      <c r="B2497" t="s">
        <v>900</v>
      </c>
      <c r="C2497" t="s">
        <v>5914</v>
      </c>
      <c r="D2497" t="s">
        <v>17144</v>
      </c>
      <c r="E2497" t="s">
        <v>19452</v>
      </c>
      <c r="F2497" t="s">
        <v>29372</v>
      </c>
      <c r="G2497" t="s">
        <v>29380</v>
      </c>
      <c r="H2497" t="s">
        <v>11048</v>
      </c>
      <c r="I2497" t="s">
        <v>3839</v>
      </c>
      <c r="J2497" t="s">
        <v>30547</v>
      </c>
      <c r="K2497" t="s">
        <v>38518</v>
      </c>
      <c r="M2497" t="s">
        <v>39693</v>
      </c>
      <c r="N2497" t="s">
        <v>42669</v>
      </c>
      <c r="O2497" t="s">
        <v>42670</v>
      </c>
      <c r="P2497">
        <v>0</v>
      </c>
      <c r="Q2497">
        <v>3</v>
      </c>
      <c r="R2497" t="s">
        <v>42674</v>
      </c>
      <c r="S2497" t="s">
        <v>42788</v>
      </c>
      <c r="T2497" t="s">
        <v>44523</v>
      </c>
      <c r="U2497" t="s">
        <v>46915</v>
      </c>
      <c r="V2497" t="s">
        <v>56578</v>
      </c>
      <c r="W2497" t="s">
        <v>39693</v>
      </c>
      <c r="X2497" t="s">
        <v>42676</v>
      </c>
    </row>
    <row r="2498" spans="1:24">
      <c r="A2498">
        <f>HYPERLINK("https://www.philgeps.gov.ph/GEPSNONPILOT/Tender/SplashBidNoticeAbstractUI.aspx?menuIndex=3&amp;refID=7191827&amp;Result=3","7191827")</f>
        <v>0</v>
      </c>
      <c r="B2498" t="s">
        <v>984</v>
      </c>
      <c r="C2498" t="s">
        <v>5915</v>
      </c>
      <c r="D2498" t="s">
        <v>17212</v>
      </c>
      <c r="E2498" t="s">
        <v>19453</v>
      </c>
      <c r="F2498" t="s">
        <v>29372</v>
      </c>
      <c r="G2498" t="s">
        <v>29381</v>
      </c>
      <c r="H2498" t="s">
        <v>11048</v>
      </c>
      <c r="I2498" t="s">
        <v>29395</v>
      </c>
      <c r="J2498" t="s">
        <v>31269</v>
      </c>
      <c r="K2498" t="s">
        <v>38488</v>
      </c>
      <c r="M2498" t="s">
        <v>39782</v>
      </c>
      <c r="N2498" t="s">
        <v>42669</v>
      </c>
      <c r="O2498" t="s">
        <v>42670</v>
      </c>
      <c r="P2498">
        <v>0</v>
      </c>
      <c r="Q2498">
        <v>0</v>
      </c>
      <c r="R2498" t="s">
        <v>42674</v>
      </c>
      <c r="S2498" t="s">
        <v>42788</v>
      </c>
      <c r="T2498" t="s">
        <v>44470</v>
      </c>
      <c r="U2498" t="s">
        <v>46916</v>
      </c>
      <c r="W2498" t="s">
        <v>39782</v>
      </c>
      <c r="X2498" t="s">
        <v>42676</v>
      </c>
    </row>
    <row r="2499" spans="1:24">
      <c r="A2499">
        <f>HYPERLINK("https://www.philgeps.gov.ph/GEPSNONPILOT/Tender/SplashBidNoticeAbstractUI.aspx?menuIndex=3&amp;refID=7191760&amp;Result=3","7191760")</f>
        <v>0</v>
      </c>
      <c r="B2499" t="s">
        <v>654</v>
      </c>
      <c r="C2499" t="s">
        <v>5916</v>
      </c>
      <c r="D2499" t="s">
        <v>17170</v>
      </c>
      <c r="E2499" t="s">
        <v>19454</v>
      </c>
      <c r="F2499" t="s">
        <v>29372</v>
      </c>
      <c r="G2499" t="s">
        <v>29380</v>
      </c>
      <c r="H2499" t="s">
        <v>29389</v>
      </c>
      <c r="I2499" t="s">
        <v>10408</v>
      </c>
      <c r="J2499" t="s">
        <v>31270</v>
      </c>
      <c r="K2499" t="s">
        <v>38488</v>
      </c>
      <c r="M2499" t="s">
        <v>39428</v>
      </c>
      <c r="N2499" t="s">
        <v>42669</v>
      </c>
      <c r="O2499" t="s">
        <v>42670</v>
      </c>
      <c r="P2499">
        <v>0</v>
      </c>
      <c r="Q2499">
        <v>0</v>
      </c>
      <c r="R2499" t="s">
        <v>42674</v>
      </c>
      <c r="S2499" t="s">
        <v>42788</v>
      </c>
      <c r="T2499" t="s">
        <v>44599</v>
      </c>
      <c r="U2499" t="s">
        <v>46917</v>
      </c>
      <c r="V2499" t="s">
        <v>56527</v>
      </c>
      <c r="W2499" t="s">
        <v>39428</v>
      </c>
      <c r="X2499" t="s">
        <v>42676</v>
      </c>
    </row>
    <row r="2500" spans="1:24">
      <c r="A2500">
        <f>HYPERLINK("https://www.philgeps.gov.ph/GEPSNONPILOT/Tender/SplashBidNoticeAbstractUI.aspx?menuIndex=3&amp;refID=7191787&amp;Result=3","7191787")</f>
        <v>0</v>
      </c>
      <c r="B2500" t="s">
        <v>973</v>
      </c>
      <c r="C2500" t="s">
        <v>5917</v>
      </c>
      <c r="D2500" t="s">
        <v>17158</v>
      </c>
      <c r="E2500" t="s">
        <v>19455</v>
      </c>
      <c r="F2500" t="s">
        <v>29372</v>
      </c>
      <c r="G2500" t="s">
        <v>29379</v>
      </c>
      <c r="H2500" t="s">
        <v>11048</v>
      </c>
      <c r="I2500" t="s">
        <v>29398</v>
      </c>
      <c r="J2500" t="s">
        <v>31271</v>
      </c>
      <c r="K2500" t="s">
        <v>38485</v>
      </c>
      <c r="M2500" t="s">
        <v>39770</v>
      </c>
      <c r="N2500" t="s">
        <v>42669</v>
      </c>
      <c r="O2500" t="s">
        <v>42670</v>
      </c>
      <c r="P2500">
        <v>0</v>
      </c>
      <c r="Q2500">
        <v>3</v>
      </c>
      <c r="R2500" t="s">
        <v>42674</v>
      </c>
      <c r="S2500" t="s">
        <v>42788</v>
      </c>
      <c r="T2500" t="s">
        <v>44462</v>
      </c>
      <c r="U2500" t="s">
        <v>46918</v>
      </c>
      <c r="W2500" t="s">
        <v>39770</v>
      </c>
      <c r="X2500" t="s">
        <v>42676</v>
      </c>
    </row>
    <row r="2501" spans="1:24">
      <c r="A2501">
        <f>HYPERLINK("https://www.philgeps.gov.ph/GEPSNONPILOT/Tender/SplashBidNoticeAbstractUI.aspx?menuIndex=3&amp;refID=7191825&amp;Result=3","7191825")</f>
        <v>0</v>
      </c>
      <c r="B2501" t="s">
        <v>259</v>
      </c>
      <c r="C2501" t="s">
        <v>4147</v>
      </c>
      <c r="D2501" t="s">
        <v>17169</v>
      </c>
      <c r="E2501" t="s">
        <v>19456</v>
      </c>
      <c r="F2501" t="s">
        <v>29372</v>
      </c>
      <c r="G2501" t="s">
        <v>29380</v>
      </c>
      <c r="H2501" t="s">
        <v>11048</v>
      </c>
      <c r="I2501" t="s">
        <v>3839</v>
      </c>
      <c r="J2501" t="s">
        <v>31272</v>
      </c>
      <c r="K2501" t="s">
        <v>38537</v>
      </c>
      <c r="M2501" t="s">
        <v>39018</v>
      </c>
      <c r="N2501" t="s">
        <v>42669</v>
      </c>
      <c r="O2501" t="s">
        <v>42670</v>
      </c>
      <c r="P2501">
        <v>0</v>
      </c>
      <c r="Q2501">
        <v>1</v>
      </c>
      <c r="R2501" t="s">
        <v>42674</v>
      </c>
      <c r="S2501" t="s">
        <v>42788</v>
      </c>
      <c r="T2501" t="s">
        <v>44530</v>
      </c>
      <c r="U2501" t="s">
        <v>46919</v>
      </c>
      <c r="W2501" t="s">
        <v>39018</v>
      </c>
      <c r="X2501" t="s">
        <v>42676</v>
      </c>
    </row>
    <row r="2502" spans="1:24">
      <c r="A2502">
        <f>HYPERLINK("https://www.philgeps.gov.ph/GEPSNONPILOT/Tender/SplashBidNoticeAbstractUI.aspx?menuIndex=3&amp;refID=7191818&amp;Result=3","7191818")</f>
        <v>0</v>
      </c>
      <c r="B2502" t="s">
        <v>968</v>
      </c>
      <c r="C2502" t="s">
        <v>5918</v>
      </c>
      <c r="D2502" t="s">
        <v>17197</v>
      </c>
      <c r="E2502" t="s">
        <v>19457</v>
      </c>
      <c r="F2502" t="s">
        <v>29372</v>
      </c>
      <c r="G2502" t="s">
        <v>29379</v>
      </c>
      <c r="H2502" t="s">
        <v>11048</v>
      </c>
      <c r="I2502" t="s">
        <v>9469</v>
      </c>
      <c r="J2502" t="s">
        <v>31273</v>
      </c>
      <c r="K2502" t="s">
        <v>38538</v>
      </c>
      <c r="M2502" t="s">
        <v>39764</v>
      </c>
      <c r="N2502" t="s">
        <v>42669</v>
      </c>
      <c r="O2502" t="s">
        <v>42670</v>
      </c>
      <c r="P2502">
        <v>0</v>
      </c>
      <c r="Q2502">
        <v>0</v>
      </c>
      <c r="R2502" t="s">
        <v>42674</v>
      </c>
      <c r="S2502" t="s">
        <v>42788</v>
      </c>
      <c r="T2502" t="s">
        <v>44427</v>
      </c>
      <c r="U2502" t="s">
        <v>46920</v>
      </c>
      <c r="W2502" t="s">
        <v>39764</v>
      </c>
      <c r="X2502" t="s">
        <v>42676</v>
      </c>
    </row>
    <row r="2503" spans="1:24">
      <c r="A2503">
        <f>HYPERLINK("https://www.philgeps.gov.ph/GEPSNONPILOT/Tender/SplashBidNoticeAbstractUI.aspx?menuIndex=3&amp;refID=7191817&amp;Result=3","7191817")</f>
        <v>0</v>
      </c>
      <c r="B2503" t="s">
        <v>955</v>
      </c>
      <c r="C2503" t="s">
        <v>5919</v>
      </c>
      <c r="E2503" t="s">
        <v>19458</v>
      </c>
      <c r="F2503" t="s">
        <v>29372</v>
      </c>
      <c r="G2503" t="s">
        <v>29380</v>
      </c>
      <c r="H2503" t="s">
        <v>11048</v>
      </c>
      <c r="I2503" t="s">
        <v>29414</v>
      </c>
      <c r="J2503" t="s">
        <v>31274</v>
      </c>
      <c r="K2503" t="s">
        <v>38490</v>
      </c>
      <c r="M2503" t="s">
        <v>39751</v>
      </c>
      <c r="N2503" t="s">
        <v>42669</v>
      </c>
      <c r="O2503" t="s">
        <v>42670</v>
      </c>
      <c r="P2503">
        <v>0</v>
      </c>
      <c r="Q2503">
        <v>9</v>
      </c>
      <c r="R2503" t="s">
        <v>42674</v>
      </c>
      <c r="S2503" t="s">
        <v>42788</v>
      </c>
      <c r="T2503" t="s">
        <v>44363</v>
      </c>
      <c r="U2503" t="s">
        <v>46921</v>
      </c>
      <c r="W2503" t="s">
        <v>39751</v>
      </c>
      <c r="X2503" t="s">
        <v>42676</v>
      </c>
    </row>
    <row r="2504" spans="1:24">
      <c r="A2504">
        <f>HYPERLINK("https://www.philgeps.gov.ph/GEPSNONPILOT/Tender/SplashBidNoticeAbstractUI.aspx?menuIndex=3&amp;refID=7191775&amp;Result=3","7191775")</f>
        <v>0</v>
      </c>
      <c r="B2504" t="s">
        <v>955</v>
      </c>
      <c r="C2504" t="s">
        <v>5920</v>
      </c>
      <c r="E2504" t="s">
        <v>19459</v>
      </c>
      <c r="F2504" t="s">
        <v>29372</v>
      </c>
      <c r="G2504" t="s">
        <v>29380</v>
      </c>
      <c r="H2504" t="s">
        <v>11048</v>
      </c>
      <c r="I2504" t="s">
        <v>8614</v>
      </c>
      <c r="J2504" t="s">
        <v>31275</v>
      </c>
      <c r="K2504" t="s">
        <v>38490</v>
      </c>
      <c r="M2504" t="s">
        <v>39751</v>
      </c>
      <c r="N2504" t="s">
        <v>42669</v>
      </c>
      <c r="O2504" t="s">
        <v>42670</v>
      </c>
      <c r="P2504">
        <v>0</v>
      </c>
      <c r="Q2504">
        <v>6</v>
      </c>
      <c r="R2504" t="s">
        <v>42674</v>
      </c>
      <c r="S2504" t="s">
        <v>42788</v>
      </c>
      <c r="T2504" t="s">
        <v>44363</v>
      </c>
      <c r="U2504" t="s">
        <v>46922</v>
      </c>
      <c r="W2504" t="s">
        <v>39751</v>
      </c>
      <c r="X2504" t="s">
        <v>42676</v>
      </c>
    </row>
    <row r="2505" spans="1:24">
      <c r="A2505">
        <f>HYPERLINK("https://www.philgeps.gov.ph/GEPSNONPILOT/Tender/SplashBidNoticeAbstractUI.aspx?menuIndex=3&amp;refID=7191814&amp;Result=3","7191814")</f>
        <v>0</v>
      </c>
      <c r="B2505" t="s">
        <v>798</v>
      </c>
      <c r="C2505" t="s">
        <v>5921</v>
      </c>
      <c r="D2505" t="s">
        <v>17188</v>
      </c>
      <c r="E2505" t="s">
        <v>19460</v>
      </c>
      <c r="F2505" t="s">
        <v>29372</v>
      </c>
      <c r="G2505" t="s">
        <v>29379</v>
      </c>
      <c r="H2505" t="s">
        <v>11048</v>
      </c>
      <c r="I2505" t="s">
        <v>29400</v>
      </c>
      <c r="J2505" t="s">
        <v>31276</v>
      </c>
      <c r="K2505" t="s">
        <v>38490</v>
      </c>
      <c r="M2505" t="s">
        <v>39582</v>
      </c>
      <c r="N2505" t="s">
        <v>42669</v>
      </c>
      <c r="O2505" t="s">
        <v>42670</v>
      </c>
      <c r="P2505">
        <v>0</v>
      </c>
      <c r="Q2505">
        <v>4</v>
      </c>
      <c r="R2505" t="s">
        <v>42674</v>
      </c>
      <c r="S2505" t="s">
        <v>42788</v>
      </c>
      <c r="T2505" t="s">
        <v>44382</v>
      </c>
      <c r="U2505" t="s">
        <v>46923</v>
      </c>
      <c r="W2505" t="s">
        <v>39582</v>
      </c>
      <c r="X2505" t="s">
        <v>42676</v>
      </c>
    </row>
    <row r="2506" spans="1:24">
      <c r="A2506">
        <f>HYPERLINK("https://www.philgeps.gov.ph/GEPSNONPILOT/Tender/SplashBidNoticeAbstractUI.aspx?menuIndex=3&amp;refID=7191810&amp;Result=3","7191810")</f>
        <v>0</v>
      </c>
      <c r="B2506" t="s">
        <v>818</v>
      </c>
      <c r="C2506" t="s">
        <v>5922</v>
      </c>
      <c r="D2506" t="s">
        <v>17141</v>
      </c>
      <c r="E2506" t="s">
        <v>19461</v>
      </c>
      <c r="F2506" t="s">
        <v>29372</v>
      </c>
      <c r="G2506" t="s">
        <v>29379</v>
      </c>
      <c r="H2506" t="s">
        <v>11048</v>
      </c>
      <c r="I2506" t="s">
        <v>8614</v>
      </c>
      <c r="J2506" t="s">
        <v>29692</v>
      </c>
      <c r="K2506" t="s">
        <v>38580</v>
      </c>
      <c r="M2506" t="s">
        <v>39604</v>
      </c>
      <c r="N2506" t="s">
        <v>42669</v>
      </c>
      <c r="O2506" t="s">
        <v>42670</v>
      </c>
      <c r="P2506">
        <v>0</v>
      </c>
      <c r="Q2506">
        <v>0</v>
      </c>
      <c r="R2506" t="s">
        <v>42674</v>
      </c>
      <c r="S2506" t="s">
        <v>42788</v>
      </c>
      <c r="T2506" t="s">
        <v>44512</v>
      </c>
      <c r="U2506" t="s">
        <v>46924</v>
      </c>
      <c r="V2506" t="s">
        <v>56567</v>
      </c>
      <c r="W2506" t="s">
        <v>39604</v>
      </c>
      <c r="X2506" t="s">
        <v>42676</v>
      </c>
    </row>
    <row r="2507" spans="1:24">
      <c r="A2507">
        <f>HYPERLINK("https://www.philgeps.gov.ph/GEPSNONPILOT/Tender/SplashBidNoticeAbstractUI.aspx?menuIndex=3&amp;refID=7191808&amp;Result=3","7191808")</f>
        <v>0</v>
      </c>
      <c r="B2507" t="s">
        <v>985</v>
      </c>
      <c r="C2507" t="s">
        <v>5923</v>
      </c>
      <c r="D2507" t="s">
        <v>17158</v>
      </c>
      <c r="E2507" t="s">
        <v>19462</v>
      </c>
      <c r="F2507" t="s">
        <v>29372</v>
      </c>
      <c r="G2507" t="s">
        <v>29380</v>
      </c>
      <c r="H2507" t="s">
        <v>11048</v>
      </c>
      <c r="I2507" t="s">
        <v>29423</v>
      </c>
      <c r="J2507" t="s">
        <v>29789</v>
      </c>
      <c r="K2507" t="s">
        <v>38485</v>
      </c>
      <c r="M2507" t="s">
        <v>39783</v>
      </c>
      <c r="N2507" t="s">
        <v>42669</v>
      </c>
      <c r="O2507" t="s">
        <v>42670</v>
      </c>
      <c r="P2507">
        <v>0</v>
      </c>
      <c r="Q2507">
        <v>2</v>
      </c>
      <c r="R2507" t="s">
        <v>42674</v>
      </c>
      <c r="S2507" t="s">
        <v>42788</v>
      </c>
      <c r="T2507" t="s">
        <v>44381</v>
      </c>
      <c r="U2507" t="s">
        <v>46925</v>
      </c>
      <c r="W2507" t="s">
        <v>39783</v>
      </c>
      <c r="X2507" t="s">
        <v>42676</v>
      </c>
    </row>
    <row r="2508" spans="1:24">
      <c r="A2508">
        <f>HYPERLINK("https://www.philgeps.gov.ph/GEPSNONPILOT/Tender/SplashBidNoticeAbstractUI.aspx?menuIndex=3&amp;refID=7191839&amp;Result=3","7191839")</f>
        <v>0</v>
      </c>
      <c r="B2508" t="s">
        <v>951</v>
      </c>
      <c r="C2508" t="s">
        <v>5924</v>
      </c>
      <c r="D2508" t="s">
        <v>17166</v>
      </c>
      <c r="E2508" t="s">
        <v>19463</v>
      </c>
      <c r="F2508" t="s">
        <v>29372</v>
      </c>
      <c r="G2508" t="s">
        <v>29383</v>
      </c>
      <c r="H2508" t="s">
        <v>11048</v>
      </c>
      <c r="I2508" t="s">
        <v>3670</v>
      </c>
      <c r="J2508" t="s">
        <v>29532</v>
      </c>
      <c r="K2508" t="s">
        <v>38490</v>
      </c>
      <c r="M2508" t="s">
        <v>39747</v>
      </c>
      <c r="N2508" t="s">
        <v>42669</v>
      </c>
      <c r="O2508" t="s">
        <v>42670</v>
      </c>
      <c r="P2508">
        <v>0</v>
      </c>
      <c r="Q2508">
        <v>2</v>
      </c>
      <c r="R2508" t="s">
        <v>42674</v>
      </c>
      <c r="S2508" t="s">
        <v>42788</v>
      </c>
      <c r="T2508" t="s">
        <v>44434</v>
      </c>
      <c r="U2508" t="s">
        <v>46926</v>
      </c>
      <c r="W2508" t="s">
        <v>39747</v>
      </c>
      <c r="X2508" t="s">
        <v>42676</v>
      </c>
    </row>
    <row r="2509" spans="1:24">
      <c r="A2509">
        <f>HYPERLINK("https://www.philgeps.gov.ph/GEPSNONPILOT/Tender/SplashBidNoticeAbstractUI.aspx?menuIndex=3&amp;refID=7191837&amp;Result=3","7191837")</f>
        <v>0</v>
      </c>
      <c r="B2509" t="s">
        <v>967</v>
      </c>
      <c r="C2509" t="s">
        <v>5925</v>
      </c>
      <c r="D2509" t="s">
        <v>17141</v>
      </c>
      <c r="E2509" t="s">
        <v>19464</v>
      </c>
      <c r="F2509" t="s">
        <v>29372</v>
      </c>
      <c r="G2509" t="s">
        <v>29379</v>
      </c>
      <c r="H2509" t="s">
        <v>11048</v>
      </c>
      <c r="I2509" t="s">
        <v>9642</v>
      </c>
      <c r="J2509" t="s">
        <v>29543</v>
      </c>
      <c r="K2509" t="s">
        <v>38490</v>
      </c>
      <c r="M2509" t="s">
        <v>39763</v>
      </c>
      <c r="N2509" t="s">
        <v>42669</v>
      </c>
      <c r="O2509" t="s">
        <v>42670</v>
      </c>
      <c r="P2509">
        <v>0</v>
      </c>
      <c r="Q2509">
        <v>15</v>
      </c>
      <c r="R2509" t="s">
        <v>42674</v>
      </c>
      <c r="S2509" t="s">
        <v>42788</v>
      </c>
      <c r="T2509" t="s">
        <v>44382</v>
      </c>
      <c r="U2509" t="s">
        <v>46927</v>
      </c>
      <c r="V2509" t="s">
        <v>56606</v>
      </c>
      <c r="W2509" t="s">
        <v>39763</v>
      </c>
      <c r="X2509" t="s">
        <v>42676</v>
      </c>
    </row>
    <row r="2510" spans="1:24">
      <c r="A2510">
        <f>HYPERLINK("https://www.philgeps.gov.ph/GEPSNONPILOT/Tender/SplashBidNoticeAbstractUI.aspx?menuIndex=3&amp;refID=7191836&amp;Result=3","7191836")</f>
        <v>0</v>
      </c>
      <c r="B2510" t="s">
        <v>986</v>
      </c>
      <c r="C2510" t="s">
        <v>5926</v>
      </c>
      <c r="D2510" t="s">
        <v>17179</v>
      </c>
      <c r="E2510" t="s">
        <v>17533</v>
      </c>
      <c r="F2510" t="s">
        <v>29372</v>
      </c>
      <c r="G2510" t="s">
        <v>29380</v>
      </c>
      <c r="H2510" t="s">
        <v>29389</v>
      </c>
      <c r="I2510" t="s">
        <v>10408</v>
      </c>
      <c r="J2510" t="s">
        <v>31277</v>
      </c>
      <c r="K2510" t="s">
        <v>38487</v>
      </c>
      <c r="M2510" t="s">
        <v>39784</v>
      </c>
      <c r="N2510" t="s">
        <v>42669</v>
      </c>
      <c r="O2510" t="s">
        <v>42670</v>
      </c>
      <c r="P2510">
        <v>0</v>
      </c>
      <c r="Q2510">
        <v>0</v>
      </c>
      <c r="R2510" t="s">
        <v>42674</v>
      </c>
      <c r="S2510" t="s">
        <v>42788</v>
      </c>
      <c r="T2510" t="s">
        <v>44490</v>
      </c>
      <c r="U2510" t="s">
        <v>46928</v>
      </c>
      <c r="W2510" t="s">
        <v>39784</v>
      </c>
      <c r="X2510" t="s">
        <v>42676</v>
      </c>
    </row>
    <row r="2511" spans="1:24">
      <c r="A2511">
        <f>HYPERLINK("https://www.philgeps.gov.ph/GEPSNONPILOT/Tender/SplashBidNoticeAbstractUI.aspx?menuIndex=3&amp;refID=7191833&amp;Result=3","7191833")</f>
        <v>0</v>
      </c>
      <c r="B2511" t="s">
        <v>974</v>
      </c>
      <c r="C2511" t="s">
        <v>5927</v>
      </c>
      <c r="D2511" t="s">
        <v>17172</v>
      </c>
      <c r="E2511" t="s">
        <v>19465</v>
      </c>
      <c r="F2511" t="s">
        <v>29372</v>
      </c>
      <c r="G2511" t="s">
        <v>29380</v>
      </c>
      <c r="H2511" t="s">
        <v>29389</v>
      </c>
      <c r="I2511" t="s">
        <v>10408</v>
      </c>
      <c r="J2511" t="s">
        <v>29708</v>
      </c>
      <c r="K2511" t="s">
        <v>38518</v>
      </c>
      <c r="M2511" t="s">
        <v>39771</v>
      </c>
      <c r="N2511" t="s">
        <v>42669</v>
      </c>
      <c r="O2511" t="s">
        <v>42670</v>
      </c>
      <c r="P2511">
        <v>0</v>
      </c>
      <c r="Q2511">
        <v>0</v>
      </c>
      <c r="R2511" t="s">
        <v>42674</v>
      </c>
      <c r="S2511" t="s">
        <v>42788</v>
      </c>
      <c r="T2511" t="s">
        <v>44594</v>
      </c>
      <c r="U2511" t="s">
        <v>46929</v>
      </c>
      <c r="W2511" t="s">
        <v>39771</v>
      </c>
      <c r="X2511" t="s">
        <v>42676</v>
      </c>
    </row>
    <row r="2512" spans="1:24">
      <c r="A2512">
        <f>HYPERLINK("https://www.philgeps.gov.ph/GEPSNONPILOT/Tender/SplashBidNoticeAbstractUI.aspx?menuIndex=3&amp;refID=7191832&amp;Result=3","7191832")</f>
        <v>0</v>
      </c>
      <c r="B2512" t="s">
        <v>469</v>
      </c>
      <c r="C2512" t="s">
        <v>5928</v>
      </c>
      <c r="D2512" t="s">
        <v>17170</v>
      </c>
      <c r="E2512" t="s">
        <v>19466</v>
      </c>
      <c r="F2512" t="s">
        <v>29372</v>
      </c>
      <c r="G2512" t="s">
        <v>29379</v>
      </c>
      <c r="H2512" t="s">
        <v>11048</v>
      </c>
      <c r="I2512" t="s">
        <v>29407</v>
      </c>
      <c r="J2512" t="s">
        <v>31278</v>
      </c>
      <c r="K2512" t="s">
        <v>38485</v>
      </c>
      <c r="M2512" t="s">
        <v>39233</v>
      </c>
      <c r="N2512" t="s">
        <v>42669</v>
      </c>
      <c r="O2512" t="s">
        <v>42670</v>
      </c>
      <c r="P2512">
        <v>0</v>
      </c>
      <c r="Q2512">
        <v>2</v>
      </c>
      <c r="R2512" t="s">
        <v>42674</v>
      </c>
      <c r="S2512" t="s">
        <v>42788</v>
      </c>
      <c r="T2512" t="s">
        <v>44432</v>
      </c>
      <c r="U2512" t="s">
        <v>46930</v>
      </c>
      <c r="W2512" t="s">
        <v>39233</v>
      </c>
      <c r="X2512" t="s">
        <v>42676</v>
      </c>
    </row>
    <row r="2513" spans="1:24">
      <c r="A2513">
        <f>HYPERLINK("https://www.philgeps.gov.ph/GEPSNONPILOT/Tender/SplashBidNoticeAbstractUI.aspx?menuIndex=3&amp;refID=7191831&amp;Result=3","7191831")</f>
        <v>0</v>
      </c>
      <c r="B2513" t="s">
        <v>955</v>
      </c>
      <c r="C2513" t="s">
        <v>5929</v>
      </c>
      <c r="E2513" t="s">
        <v>19467</v>
      </c>
      <c r="F2513" t="s">
        <v>29372</v>
      </c>
      <c r="G2513" t="s">
        <v>29380</v>
      </c>
      <c r="H2513" t="s">
        <v>11048</v>
      </c>
      <c r="I2513" t="s">
        <v>29414</v>
      </c>
      <c r="J2513" t="s">
        <v>31279</v>
      </c>
      <c r="K2513" t="s">
        <v>38490</v>
      </c>
      <c r="M2513" t="s">
        <v>39751</v>
      </c>
      <c r="N2513" t="s">
        <v>42669</v>
      </c>
      <c r="O2513" t="s">
        <v>42670</v>
      </c>
      <c r="P2513">
        <v>0</v>
      </c>
      <c r="Q2513">
        <v>4</v>
      </c>
      <c r="R2513" t="s">
        <v>42674</v>
      </c>
      <c r="S2513" t="s">
        <v>42788</v>
      </c>
      <c r="T2513" t="s">
        <v>44363</v>
      </c>
      <c r="U2513" t="s">
        <v>46931</v>
      </c>
      <c r="W2513" t="s">
        <v>39751</v>
      </c>
      <c r="X2513" t="s">
        <v>42676</v>
      </c>
    </row>
    <row r="2514" spans="1:24">
      <c r="A2514">
        <f>HYPERLINK("https://www.philgeps.gov.ph/GEPSNONPILOT/Tender/SplashBidNoticeAbstractUI.aspx?menuIndex=3&amp;refID=7191806&amp;Result=3","7191806")</f>
        <v>0</v>
      </c>
      <c r="B2514" t="s">
        <v>679</v>
      </c>
      <c r="C2514" t="s">
        <v>5930</v>
      </c>
      <c r="D2514" t="s">
        <v>17175</v>
      </c>
      <c r="E2514" t="s">
        <v>19468</v>
      </c>
      <c r="F2514" t="s">
        <v>29372</v>
      </c>
      <c r="G2514" t="s">
        <v>29380</v>
      </c>
      <c r="H2514" t="s">
        <v>11048</v>
      </c>
      <c r="I2514" t="s">
        <v>5383</v>
      </c>
      <c r="J2514" t="s">
        <v>31280</v>
      </c>
      <c r="K2514" t="s">
        <v>38510</v>
      </c>
      <c r="M2514" t="s">
        <v>39455</v>
      </c>
      <c r="N2514" t="s">
        <v>42669</v>
      </c>
      <c r="O2514" t="s">
        <v>42670</v>
      </c>
      <c r="P2514">
        <v>0</v>
      </c>
      <c r="Q2514">
        <v>0</v>
      </c>
      <c r="R2514" t="s">
        <v>42674</v>
      </c>
      <c r="S2514" t="s">
        <v>42788</v>
      </c>
      <c r="T2514" t="s">
        <v>44361</v>
      </c>
      <c r="U2514" t="s">
        <v>46932</v>
      </c>
      <c r="W2514" t="s">
        <v>39455</v>
      </c>
      <c r="X2514" t="s">
        <v>42676</v>
      </c>
    </row>
    <row r="2515" spans="1:24">
      <c r="A2515">
        <f>HYPERLINK("https://www.philgeps.gov.ph/GEPSNONPILOT/Tender/SplashBidNoticeAbstractUI.aspx?menuIndex=3&amp;refID=7191805&amp;Result=3","7191805")</f>
        <v>0</v>
      </c>
      <c r="B2515" t="s">
        <v>987</v>
      </c>
      <c r="C2515" t="s">
        <v>5931</v>
      </c>
      <c r="D2515" t="s">
        <v>17186</v>
      </c>
      <c r="E2515" t="s">
        <v>18602</v>
      </c>
      <c r="F2515" t="s">
        <v>29372</v>
      </c>
      <c r="G2515" t="s">
        <v>29380</v>
      </c>
      <c r="H2515" t="s">
        <v>11048</v>
      </c>
      <c r="I2515" t="s">
        <v>29395</v>
      </c>
      <c r="J2515" t="s">
        <v>31281</v>
      </c>
      <c r="K2515" t="s">
        <v>38490</v>
      </c>
      <c r="M2515" t="s">
        <v>39785</v>
      </c>
      <c r="N2515" t="s">
        <v>42669</v>
      </c>
      <c r="O2515" t="s">
        <v>42670</v>
      </c>
      <c r="P2515">
        <v>0</v>
      </c>
      <c r="Q2515">
        <v>0</v>
      </c>
      <c r="R2515" t="s">
        <v>42674</v>
      </c>
      <c r="S2515" t="s">
        <v>42788</v>
      </c>
      <c r="T2515" t="s">
        <v>44504</v>
      </c>
      <c r="U2515" t="s">
        <v>46933</v>
      </c>
      <c r="W2515" t="s">
        <v>39785</v>
      </c>
      <c r="X2515" t="s">
        <v>42676</v>
      </c>
    </row>
    <row r="2516" spans="1:24">
      <c r="A2516">
        <f>HYPERLINK("https://www.philgeps.gov.ph/GEPSNONPILOT/Tender/SplashBidNoticeAbstractUI.aspx?menuIndex=3&amp;refID=7191796&amp;Result=3","7191796")</f>
        <v>0</v>
      </c>
      <c r="B2516" t="s">
        <v>974</v>
      </c>
      <c r="C2516" t="s">
        <v>5932</v>
      </c>
      <c r="D2516" t="s">
        <v>17172</v>
      </c>
      <c r="E2516" t="s">
        <v>19465</v>
      </c>
      <c r="F2516" t="s">
        <v>29372</v>
      </c>
      <c r="G2516" t="s">
        <v>29380</v>
      </c>
      <c r="H2516" t="s">
        <v>29389</v>
      </c>
      <c r="I2516" t="s">
        <v>10408</v>
      </c>
      <c r="J2516" t="s">
        <v>29587</v>
      </c>
      <c r="K2516" t="s">
        <v>38485</v>
      </c>
      <c r="M2516" t="s">
        <v>39771</v>
      </c>
      <c r="N2516" t="s">
        <v>42669</v>
      </c>
      <c r="O2516" t="s">
        <v>42670</v>
      </c>
      <c r="P2516">
        <v>0</v>
      </c>
      <c r="Q2516">
        <v>0</v>
      </c>
      <c r="R2516" t="s">
        <v>42674</v>
      </c>
      <c r="S2516" t="s">
        <v>42788</v>
      </c>
      <c r="T2516" t="s">
        <v>44594</v>
      </c>
      <c r="U2516" t="s">
        <v>46934</v>
      </c>
      <c r="W2516" t="s">
        <v>39771</v>
      </c>
      <c r="X2516" t="s">
        <v>42676</v>
      </c>
    </row>
    <row r="2517" spans="1:24">
      <c r="A2517">
        <f>HYPERLINK("https://www.philgeps.gov.ph/GEPSNONPILOT/Tender/SplashBidNoticeAbstractUI.aspx?menuIndex=3&amp;refID=7191809&amp;Result=3","7191809")</f>
        <v>0</v>
      </c>
      <c r="B2517" t="s">
        <v>988</v>
      </c>
      <c r="C2517" t="s">
        <v>5933</v>
      </c>
      <c r="D2517" t="s">
        <v>17160</v>
      </c>
      <c r="E2517" t="s">
        <v>19469</v>
      </c>
      <c r="F2517" t="s">
        <v>29372</v>
      </c>
      <c r="G2517" t="s">
        <v>29379</v>
      </c>
      <c r="H2517" t="s">
        <v>11048</v>
      </c>
      <c r="I2517" t="s">
        <v>29397</v>
      </c>
      <c r="J2517" t="s">
        <v>30036</v>
      </c>
      <c r="K2517" t="s">
        <v>38485</v>
      </c>
      <c r="M2517" t="s">
        <v>39786</v>
      </c>
      <c r="N2517" t="s">
        <v>42669</v>
      </c>
      <c r="O2517" t="s">
        <v>42670</v>
      </c>
      <c r="P2517">
        <v>0</v>
      </c>
      <c r="Q2517">
        <v>0</v>
      </c>
      <c r="R2517" t="s">
        <v>42674</v>
      </c>
      <c r="S2517" t="s">
        <v>42788</v>
      </c>
      <c r="T2517" t="s">
        <v>44488</v>
      </c>
      <c r="U2517" t="s">
        <v>46935</v>
      </c>
      <c r="W2517" t="s">
        <v>39786</v>
      </c>
      <c r="X2517" t="s">
        <v>42676</v>
      </c>
    </row>
    <row r="2518" spans="1:24">
      <c r="A2518">
        <f>HYPERLINK("https://www.philgeps.gov.ph/GEPSNONPILOT/Tender/SplashBidNoticeAbstractUI.aspx?menuIndex=3&amp;refID=7191822&amp;Result=3","7191822")</f>
        <v>0</v>
      </c>
      <c r="B2518" t="s">
        <v>664</v>
      </c>
      <c r="C2518" t="s">
        <v>5934</v>
      </c>
      <c r="D2518" t="s">
        <v>17205</v>
      </c>
      <c r="E2518" t="s">
        <v>19470</v>
      </c>
      <c r="F2518" t="s">
        <v>29372</v>
      </c>
      <c r="G2518" t="s">
        <v>29379</v>
      </c>
      <c r="H2518" t="s">
        <v>29390</v>
      </c>
      <c r="I2518" t="s">
        <v>29429</v>
      </c>
      <c r="J2518" t="s">
        <v>30461</v>
      </c>
      <c r="K2518" t="s">
        <v>38488</v>
      </c>
      <c r="M2518" t="s">
        <v>39787</v>
      </c>
      <c r="N2518" t="s">
        <v>42669</v>
      </c>
      <c r="O2518" t="s">
        <v>42670</v>
      </c>
      <c r="P2518">
        <v>0</v>
      </c>
      <c r="Q2518">
        <v>0</v>
      </c>
      <c r="R2518" t="s">
        <v>42674</v>
      </c>
      <c r="S2518" t="s">
        <v>42788</v>
      </c>
      <c r="T2518" t="s">
        <v>44456</v>
      </c>
      <c r="U2518" t="s">
        <v>46936</v>
      </c>
      <c r="W2518" t="s">
        <v>39787</v>
      </c>
      <c r="X2518" t="s">
        <v>42676</v>
      </c>
    </row>
    <row r="2519" spans="1:24">
      <c r="A2519">
        <f>HYPERLINK("https://www.philgeps.gov.ph/GEPSNONPILOT/Tender/SplashBidNoticeAbstractUI.aspx?menuIndex=3&amp;refID=7191866&amp;Result=3","7191866")</f>
        <v>0</v>
      </c>
      <c r="B2519" t="s">
        <v>989</v>
      </c>
      <c r="C2519" t="s">
        <v>5935</v>
      </c>
      <c r="D2519" t="s">
        <v>17197</v>
      </c>
      <c r="E2519" t="s">
        <v>19471</v>
      </c>
      <c r="F2519" t="s">
        <v>29372</v>
      </c>
      <c r="G2519" t="s">
        <v>29379</v>
      </c>
      <c r="H2519" t="s">
        <v>11048</v>
      </c>
      <c r="I2519" t="s">
        <v>5383</v>
      </c>
      <c r="J2519" t="s">
        <v>31282</v>
      </c>
      <c r="K2519" t="s">
        <v>38485</v>
      </c>
      <c r="M2519" t="s">
        <v>39788</v>
      </c>
      <c r="N2519" t="s">
        <v>42669</v>
      </c>
      <c r="O2519" t="s">
        <v>42670</v>
      </c>
      <c r="P2519">
        <v>0</v>
      </c>
      <c r="Q2519">
        <v>3</v>
      </c>
      <c r="R2519" t="s">
        <v>42674</v>
      </c>
      <c r="S2519" t="s">
        <v>42788</v>
      </c>
      <c r="T2519" t="s">
        <v>44401</v>
      </c>
      <c r="U2519" t="s">
        <v>46937</v>
      </c>
      <c r="W2519" t="s">
        <v>39788</v>
      </c>
      <c r="X2519" t="s">
        <v>42676</v>
      </c>
    </row>
    <row r="2520" spans="1:24">
      <c r="A2520">
        <f>HYPERLINK("https://www.philgeps.gov.ph/GEPSNONPILOT/Tender/SplashBidNoticeAbstractUI.aspx?menuIndex=3&amp;refID=7191801&amp;Result=3","7191801")</f>
        <v>0</v>
      </c>
      <c r="B2520" t="s">
        <v>927</v>
      </c>
      <c r="C2520" t="s">
        <v>5906</v>
      </c>
      <c r="D2520" t="s">
        <v>17225</v>
      </c>
      <c r="E2520" t="s">
        <v>19472</v>
      </c>
      <c r="F2520" t="s">
        <v>29372</v>
      </c>
      <c r="G2520" t="s">
        <v>29383</v>
      </c>
      <c r="H2520" t="s">
        <v>11048</v>
      </c>
      <c r="I2520" t="s">
        <v>29393</v>
      </c>
      <c r="J2520" t="s">
        <v>30319</v>
      </c>
      <c r="K2520" t="s">
        <v>38490</v>
      </c>
      <c r="M2520" t="s">
        <v>39722</v>
      </c>
      <c r="N2520" t="s">
        <v>42669</v>
      </c>
      <c r="O2520" t="s">
        <v>42670</v>
      </c>
      <c r="P2520">
        <v>0</v>
      </c>
      <c r="Q2520">
        <v>0</v>
      </c>
      <c r="R2520" t="s">
        <v>42674</v>
      </c>
      <c r="S2520" t="s">
        <v>42788</v>
      </c>
      <c r="T2520" t="s">
        <v>44387</v>
      </c>
      <c r="U2520" t="s">
        <v>46906</v>
      </c>
      <c r="V2520" t="s">
        <v>56585</v>
      </c>
      <c r="W2520" t="s">
        <v>39722</v>
      </c>
      <c r="X2520" t="s">
        <v>42676</v>
      </c>
    </row>
    <row r="2521" spans="1:24">
      <c r="A2521">
        <f>HYPERLINK("https://www.philgeps.gov.ph/GEPSNONPILOT/Tender/SplashBidNoticeAbstractUI.aspx?menuIndex=3&amp;refID=7191864&amp;Result=3","7191864")</f>
        <v>0</v>
      </c>
      <c r="B2521" t="s">
        <v>586</v>
      </c>
      <c r="C2521" t="s">
        <v>5936</v>
      </c>
      <c r="D2521" t="s">
        <v>17161</v>
      </c>
      <c r="E2521" t="s">
        <v>19473</v>
      </c>
      <c r="F2521" t="s">
        <v>29372</v>
      </c>
      <c r="G2521" t="s">
        <v>29379</v>
      </c>
      <c r="H2521" t="s">
        <v>11048</v>
      </c>
      <c r="I2521" t="s">
        <v>29393</v>
      </c>
      <c r="J2521" t="s">
        <v>31283</v>
      </c>
      <c r="K2521" t="s">
        <v>38490</v>
      </c>
      <c r="M2521" t="s">
        <v>39682</v>
      </c>
      <c r="N2521" t="s">
        <v>42669</v>
      </c>
      <c r="O2521" t="s">
        <v>42670</v>
      </c>
      <c r="P2521">
        <v>0</v>
      </c>
      <c r="Q2521">
        <v>0</v>
      </c>
      <c r="R2521" t="s">
        <v>42674</v>
      </c>
      <c r="S2521" t="s">
        <v>42788</v>
      </c>
      <c r="T2521" t="s">
        <v>44488</v>
      </c>
      <c r="U2521" t="s">
        <v>46938</v>
      </c>
      <c r="W2521" t="s">
        <v>39682</v>
      </c>
      <c r="X2521" t="s">
        <v>42676</v>
      </c>
    </row>
    <row r="2522" spans="1:24">
      <c r="A2522">
        <f>HYPERLINK("https://www.philgeps.gov.ph/GEPSNONPILOT/Tender/SplashBidNoticeAbstractUI.aspx?menuIndex=3&amp;refID=7191862&amp;Result=3","7191862")</f>
        <v>0</v>
      </c>
      <c r="B2522" t="s">
        <v>983</v>
      </c>
      <c r="C2522" t="s">
        <v>5937</v>
      </c>
      <c r="D2522" t="s">
        <v>17189</v>
      </c>
      <c r="E2522" t="s">
        <v>19474</v>
      </c>
      <c r="F2522" t="s">
        <v>29372</v>
      </c>
      <c r="G2522" t="s">
        <v>29379</v>
      </c>
      <c r="H2522" t="s">
        <v>11048</v>
      </c>
      <c r="I2522" t="s">
        <v>3695</v>
      </c>
      <c r="J2522" t="s">
        <v>29650</v>
      </c>
      <c r="K2522" t="s">
        <v>38491</v>
      </c>
      <c r="M2522" t="s">
        <v>39781</v>
      </c>
      <c r="N2522" t="s">
        <v>42669</v>
      </c>
      <c r="O2522" t="s">
        <v>42670</v>
      </c>
      <c r="P2522">
        <v>0</v>
      </c>
      <c r="Q2522">
        <v>1</v>
      </c>
      <c r="R2522" t="s">
        <v>42674</v>
      </c>
      <c r="S2522" t="s">
        <v>42788</v>
      </c>
      <c r="T2522" t="s">
        <v>44512</v>
      </c>
      <c r="U2522" t="s">
        <v>46939</v>
      </c>
      <c r="W2522" t="s">
        <v>39781</v>
      </c>
      <c r="X2522" t="s">
        <v>42676</v>
      </c>
    </row>
    <row r="2523" spans="1:24">
      <c r="A2523">
        <f>HYPERLINK("https://www.philgeps.gov.ph/GEPSNONPILOT/Tender/SplashBidNoticeAbstractUI.aspx?menuIndex=3&amp;refID=7191859&amp;Result=3","7191859")</f>
        <v>0</v>
      </c>
      <c r="B2523" t="s">
        <v>278</v>
      </c>
      <c r="C2523" t="s">
        <v>5938</v>
      </c>
      <c r="D2523" t="s">
        <v>17206</v>
      </c>
      <c r="E2523" t="s">
        <v>19475</v>
      </c>
      <c r="F2523" t="s">
        <v>29372</v>
      </c>
      <c r="G2523" t="s">
        <v>29380</v>
      </c>
      <c r="H2523" t="s">
        <v>29389</v>
      </c>
      <c r="I2523" t="s">
        <v>10408</v>
      </c>
      <c r="J2523" t="s">
        <v>29609</v>
      </c>
      <c r="K2523" t="s">
        <v>38496</v>
      </c>
      <c r="M2523" t="s">
        <v>39710</v>
      </c>
      <c r="N2523" t="s">
        <v>42669</v>
      </c>
      <c r="O2523" t="s">
        <v>42670</v>
      </c>
      <c r="P2523">
        <v>0</v>
      </c>
      <c r="Q2523">
        <v>1</v>
      </c>
      <c r="R2523" t="s">
        <v>42674</v>
      </c>
      <c r="S2523" t="s">
        <v>42788</v>
      </c>
      <c r="T2523" t="s">
        <v>44587</v>
      </c>
      <c r="U2523" t="s">
        <v>46940</v>
      </c>
      <c r="W2523" t="s">
        <v>39710</v>
      </c>
      <c r="X2523" t="s">
        <v>42676</v>
      </c>
    </row>
    <row r="2524" spans="1:24">
      <c r="A2524">
        <f>HYPERLINK("https://www.philgeps.gov.ph/GEPSNONPILOT/Tender/SplashBidNoticeAbstractUI.aspx?menuIndex=3&amp;refID=7191842&amp;Result=3","7191842")</f>
        <v>0</v>
      </c>
      <c r="B2524" t="s">
        <v>669</v>
      </c>
      <c r="C2524" t="s">
        <v>5939</v>
      </c>
      <c r="D2524" t="s">
        <v>17147</v>
      </c>
      <c r="E2524" t="s">
        <v>19476</v>
      </c>
      <c r="F2524" t="s">
        <v>29372</v>
      </c>
      <c r="G2524" t="s">
        <v>29379</v>
      </c>
      <c r="H2524" t="s">
        <v>11048</v>
      </c>
      <c r="I2524" t="s">
        <v>29409</v>
      </c>
      <c r="J2524" t="s">
        <v>29929</v>
      </c>
      <c r="K2524" t="s">
        <v>38488</v>
      </c>
      <c r="N2524" t="s">
        <v>42669</v>
      </c>
      <c r="O2524" t="s">
        <v>42670</v>
      </c>
      <c r="P2524">
        <v>0</v>
      </c>
      <c r="Q2524">
        <v>3</v>
      </c>
      <c r="R2524" t="s">
        <v>42674</v>
      </c>
      <c r="S2524" t="s">
        <v>42788</v>
      </c>
      <c r="T2524" t="s">
        <v>44580</v>
      </c>
      <c r="U2524" t="s">
        <v>46941</v>
      </c>
      <c r="V2524" t="s">
        <v>56531</v>
      </c>
      <c r="W2524" t="s">
        <v>58028</v>
      </c>
      <c r="X2524" t="s">
        <v>42676</v>
      </c>
    </row>
    <row r="2525" spans="1:24">
      <c r="A2525">
        <f>HYPERLINK("https://www.philgeps.gov.ph/GEPSNONPILOT/Tender/SplashBidNoticeAbstractUI.aspx?menuIndex=3&amp;refID=7191865&amp;Result=3","7191865")</f>
        <v>0</v>
      </c>
      <c r="B2525" t="s">
        <v>955</v>
      </c>
      <c r="C2525" t="s">
        <v>5940</v>
      </c>
      <c r="E2525" t="s">
        <v>19477</v>
      </c>
      <c r="F2525" t="s">
        <v>29372</v>
      </c>
      <c r="G2525" t="s">
        <v>29380</v>
      </c>
      <c r="H2525" t="s">
        <v>11048</v>
      </c>
      <c r="I2525" t="s">
        <v>29433</v>
      </c>
      <c r="J2525" t="s">
        <v>31284</v>
      </c>
      <c r="K2525" t="s">
        <v>38490</v>
      </c>
      <c r="M2525" t="s">
        <v>39751</v>
      </c>
      <c r="N2525" t="s">
        <v>42669</v>
      </c>
      <c r="O2525" t="s">
        <v>42670</v>
      </c>
      <c r="P2525">
        <v>0</v>
      </c>
      <c r="Q2525">
        <v>5</v>
      </c>
      <c r="R2525" t="s">
        <v>42674</v>
      </c>
      <c r="S2525" t="s">
        <v>42788</v>
      </c>
      <c r="T2525" t="s">
        <v>44363</v>
      </c>
      <c r="U2525" t="s">
        <v>46942</v>
      </c>
      <c r="W2525" t="s">
        <v>39751</v>
      </c>
      <c r="X2525" t="s">
        <v>42676</v>
      </c>
    </row>
    <row r="2526" spans="1:24">
      <c r="A2526">
        <f>HYPERLINK("https://www.philgeps.gov.ph/GEPSNONPILOT/Tender/SplashBidNoticeAbstractUI.aspx?menuIndex=3&amp;refID=7191863&amp;Result=3","7191863")</f>
        <v>0</v>
      </c>
      <c r="B2526" t="s">
        <v>990</v>
      </c>
      <c r="C2526" t="s">
        <v>5941</v>
      </c>
      <c r="D2526" t="s">
        <v>17186</v>
      </c>
      <c r="E2526" t="s">
        <v>19478</v>
      </c>
      <c r="F2526" t="s">
        <v>29372</v>
      </c>
      <c r="G2526" t="s">
        <v>29380</v>
      </c>
      <c r="H2526" t="s">
        <v>29389</v>
      </c>
      <c r="I2526" t="s">
        <v>10408</v>
      </c>
      <c r="J2526" t="s">
        <v>31285</v>
      </c>
      <c r="K2526" t="s">
        <v>38487</v>
      </c>
      <c r="M2526" t="s">
        <v>39789</v>
      </c>
      <c r="N2526" t="s">
        <v>42669</v>
      </c>
      <c r="O2526" t="s">
        <v>42670</v>
      </c>
      <c r="P2526">
        <v>0</v>
      </c>
      <c r="Q2526">
        <v>1</v>
      </c>
      <c r="R2526" t="s">
        <v>42674</v>
      </c>
      <c r="S2526" t="s">
        <v>42788</v>
      </c>
      <c r="T2526" t="s">
        <v>44600</v>
      </c>
      <c r="U2526" t="s">
        <v>46943</v>
      </c>
      <c r="V2526" t="s">
        <v>56607</v>
      </c>
      <c r="W2526" t="s">
        <v>39789</v>
      </c>
      <c r="X2526" t="s">
        <v>42676</v>
      </c>
    </row>
    <row r="2527" spans="1:24">
      <c r="A2527">
        <f>HYPERLINK("https://www.philgeps.gov.ph/GEPSNONPILOT/Tender/SplashBidNoticeAbstractUI.aspx?menuIndex=3&amp;refID=7191855&amp;Result=3","7191855")</f>
        <v>0</v>
      </c>
      <c r="B2527" t="s">
        <v>747</v>
      </c>
      <c r="C2527" t="s">
        <v>5942</v>
      </c>
      <c r="D2527" t="s">
        <v>17161</v>
      </c>
      <c r="E2527" t="s">
        <v>19479</v>
      </c>
      <c r="F2527" t="s">
        <v>29372</v>
      </c>
      <c r="G2527" t="s">
        <v>29380</v>
      </c>
      <c r="H2527" t="s">
        <v>11048</v>
      </c>
      <c r="I2527" t="s">
        <v>3629</v>
      </c>
      <c r="J2527" t="s">
        <v>30657</v>
      </c>
      <c r="K2527" t="s">
        <v>38488</v>
      </c>
      <c r="M2527" t="s">
        <v>39530</v>
      </c>
      <c r="N2527" t="s">
        <v>42669</v>
      </c>
      <c r="O2527" t="s">
        <v>42670</v>
      </c>
      <c r="P2527">
        <v>0</v>
      </c>
      <c r="Q2527">
        <v>0</v>
      </c>
      <c r="R2527" t="s">
        <v>42674</v>
      </c>
      <c r="S2527" t="s">
        <v>42788</v>
      </c>
      <c r="T2527" t="s">
        <v>44354</v>
      </c>
      <c r="U2527" t="s">
        <v>46944</v>
      </c>
      <c r="W2527" t="s">
        <v>39530</v>
      </c>
      <c r="X2527" t="s">
        <v>42676</v>
      </c>
    </row>
    <row r="2528" spans="1:24">
      <c r="A2528">
        <f>HYPERLINK("https://www.philgeps.gov.ph/GEPSNONPILOT/Tender/SplashBidNoticeAbstractUI.aspx?menuIndex=3&amp;refID=7191852&amp;Result=3","7191852")</f>
        <v>0</v>
      </c>
      <c r="B2528" t="s">
        <v>955</v>
      </c>
      <c r="C2528" t="s">
        <v>5943</v>
      </c>
      <c r="E2528" t="s">
        <v>19480</v>
      </c>
      <c r="F2528" t="s">
        <v>29372</v>
      </c>
      <c r="G2528" t="s">
        <v>29380</v>
      </c>
      <c r="H2528" t="s">
        <v>11048</v>
      </c>
      <c r="I2528" t="s">
        <v>29414</v>
      </c>
      <c r="J2528" t="s">
        <v>31286</v>
      </c>
      <c r="K2528" t="s">
        <v>38490</v>
      </c>
      <c r="M2528" t="s">
        <v>39751</v>
      </c>
      <c r="N2528" t="s">
        <v>42669</v>
      </c>
      <c r="O2528" t="s">
        <v>42670</v>
      </c>
      <c r="P2528">
        <v>0</v>
      </c>
      <c r="Q2528">
        <v>4</v>
      </c>
      <c r="R2528" t="s">
        <v>42674</v>
      </c>
      <c r="S2528" t="s">
        <v>42788</v>
      </c>
      <c r="T2528" t="s">
        <v>44363</v>
      </c>
      <c r="U2528" t="s">
        <v>46945</v>
      </c>
      <c r="W2528" t="s">
        <v>39751</v>
      </c>
      <c r="X2528" t="s">
        <v>42676</v>
      </c>
    </row>
    <row r="2529" spans="1:24">
      <c r="A2529">
        <f>HYPERLINK("https://www.philgeps.gov.ph/GEPSNONPILOT/Tender/SplashBidNoticeAbstractUI.aspx?menuIndex=3&amp;refID=7191851&amp;Result=3","7191851")</f>
        <v>0</v>
      </c>
      <c r="B2529" t="s">
        <v>684</v>
      </c>
      <c r="C2529" t="s">
        <v>5944</v>
      </c>
      <c r="D2529" t="s">
        <v>17147</v>
      </c>
      <c r="E2529" t="s">
        <v>19481</v>
      </c>
      <c r="F2529" t="s">
        <v>29372</v>
      </c>
      <c r="G2529" t="s">
        <v>29379</v>
      </c>
      <c r="H2529" t="s">
        <v>11048</v>
      </c>
      <c r="I2529" t="s">
        <v>29394</v>
      </c>
      <c r="J2529" t="s">
        <v>31287</v>
      </c>
      <c r="K2529" t="s">
        <v>38485</v>
      </c>
      <c r="M2529" t="s">
        <v>39790</v>
      </c>
      <c r="N2529" t="s">
        <v>42669</v>
      </c>
      <c r="O2529" t="s">
        <v>42670</v>
      </c>
      <c r="P2529">
        <v>0</v>
      </c>
      <c r="Q2529">
        <v>2</v>
      </c>
      <c r="R2529" t="s">
        <v>42674</v>
      </c>
      <c r="S2529" t="s">
        <v>42788</v>
      </c>
      <c r="T2529" t="s">
        <v>44394</v>
      </c>
      <c r="U2529" t="s">
        <v>46946</v>
      </c>
      <c r="W2529" t="s">
        <v>39790</v>
      </c>
      <c r="X2529" t="s">
        <v>42676</v>
      </c>
    </row>
    <row r="2530" spans="1:24">
      <c r="A2530">
        <f>HYPERLINK("https://www.philgeps.gov.ph/GEPSNONPILOT/Tender/SplashBidNoticeAbstractUI.aspx?menuIndex=3&amp;refID=7191877&amp;Result=3","7191877")</f>
        <v>0</v>
      </c>
      <c r="B2530" t="s">
        <v>991</v>
      </c>
      <c r="C2530" t="s">
        <v>5945</v>
      </c>
      <c r="D2530" t="s">
        <v>17205</v>
      </c>
      <c r="E2530" t="s">
        <v>19482</v>
      </c>
      <c r="F2530" t="s">
        <v>29372</v>
      </c>
      <c r="G2530" t="s">
        <v>29382</v>
      </c>
      <c r="H2530" t="s">
        <v>11048</v>
      </c>
      <c r="I2530" t="s">
        <v>4487</v>
      </c>
      <c r="J2530" t="s">
        <v>31288</v>
      </c>
      <c r="K2530" t="s">
        <v>38491</v>
      </c>
      <c r="M2530" t="s">
        <v>39791</v>
      </c>
      <c r="N2530" t="s">
        <v>42669</v>
      </c>
      <c r="O2530" t="s">
        <v>42670</v>
      </c>
      <c r="P2530">
        <v>0</v>
      </c>
      <c r="Q2530">
        <v>2</v>
      </c>
      <c r="R2530" t="s">
        <v>42674</v>
      </c>
      <c r="S2530" t="s">
        <v>42788</v>
      </c>
      <c r="T2530" t="s">
        <v>44530</v>
      </c>
      <c r="U2530" t="s">
        <v>46947</v>
      </c>
      <c r="W2530" t="s">
        <v>39791</v>
      </c>
      <c r="X2530" t="s">
        <v>42676</v>
      </c>
    </row>
    <row r="2531" spans="1:24">
      <c r="A2531">
        <f>HYPERLINK("https://www.philgeps.gov.ph/GEPSNONPILOT/Tender/SplashBidNoticeAbstractUI.aspx?menuIndex=3&amp;refID=7191874&amp;Result=3","7191874")</f>
        <v>0</v>
      </c>
      <c r="B2531" t="s">
        <v>992</v>
      </c>
      <c r="C2531" t="s">
        <v>5946</v>
      </c>
      <c r="D2531" t="s">
        <v>17180</v>
      </c>
      <c r="E2531" t="s">
        <v>19483</v>
      </c>
      <c r="F2531" t="s">
        <v>29372</v>
      </c>
      <c r="G2531" t="s">
        <v>29380</v>
      </c>
      <c r="H2531" t="s">
        <v>11048</v>
      </c>
      <c r="I2531" t="s">
        <v>4487</v>
      </c>
      <c r="J2531" t="s">
        <v>31289</v>
      </c>
      <c r="K2531" t="s">
        <v>38485</v>
      </c>
      <c r="M2531" t="s">
        <v>39792</v>
      </c>
      <c r="N2531" t="s">
        <v>42669</v>
      </c>
      <c r="O2531" t="s">
        <v>42670</v>
      </c>
      <c r="P2531">
        <v>0</v>
      </c>
      <c r="Q2531">
        <v>4</v>
      </c>
      <c r="R2531" t="s">
        <v>42674</v>
      </c>
      <c r="S2531" t="s">
        <v>42788</v>
      </c>
      <c r="T2531" t="s">
        <v>44559</v>
      </c>
      <c r="U2531" t="s">
        <v>46948</v>
      </c>
      <c r="W2531" t="s">
        <v>58031</v>
      </c>
      <c r="X2531" t="s">
        <v>42676</v>
      </c>
    </row>
    <row r="2532" spans="1:24">
      <c r="A2532">
        <f>HYPERLINK("https://www.philgeps.gov.ph/GEPSNONPILOT/Tender/SplashBidNoticeAbstractUI.aspx?menuIndex=3&amp;refID=7191869&amp;Result=3","7191869")</f>
        <v>0</v>
      </c>
      <c r="B2532" t="s">
        <v>959</v>
      </c>
      <c r="C2532" t="s">
        <v>5947</v>
      </c>
      <c r="D2532" t="s">
        <v>17145</v>
      </c>
      <c r="E2532" t="s">
        <v>19484</v>
      </c>
      <c r="F2532" t="s">
        <v>29372</v>
      </c>
      <c r="G2532" t="s">
        <v>29379</v>
      </c>
      <c r="H2532" t="s">
        <v>11048</v>
      </c>
      <c r="I2532" t="s">
        <v>3839</v>
      </c>
      <c r="J2532" t="s">
        <v>31290</v>
      </c>
      <c r="K2532" t="s">
        <v>38491</v>
      </c>
      <c r="M2532" t="s">
        <v>39755</v>
      </c>
      <c r="N2532" t="s">
        <v>42669</v>
      </c>
      <c r="O2532" t="s">
        <v>42670</v>
      </c>
      <c r="P2532">
        <v>0</v>
      </c>
      <c r="Q2532">
        <v>0</v>
      </c>
      <c r="R2532" t="s">
        <v>42674</v>
      </c>
      <c r="S2532" t="s">
        <v>42788</v>
      </c>
      <c r="T2532" t="s">
        <v>44389</v>
      </c>
      <c r="U2532" t="s">
        <v>46949</v>
      </c>
      <c r="W2532" t="s">
        <v>39755</v>
      </c>
      <c r="X2532" t="s">
        <v>42676</v>
      </c>
    </row>
    <row r="2533" spans="1:24">
      <c r="A2533">
        <f>HYPERLINK("https://www.philgeps.gov.ph/GEPSNONPILOT/Tender/SplashBidNoticeAbstractUI.aspx?menuIndex=3&amp;refID=7191868&amp;Result=3","7191868")</f>
        <v>0</v>
      </c>
      <c r="B2533" t="s">
        <v>993</v>
      </c>
      <c r="C2533" t="s">
        <v>5948</v>
      </c>
      <c r="D2533" t="s">
        <v>17179</v>
      </c>
      <c r="E2533" t="s">
        <v>19485</v>
      </c>
      <c r="F2533" t="s">
        <v>29372</v>
      </c>
      <c r="G2533" t="s">
        <v>29379</v>
      </c>
      <c r="H2533" t="s">
        <v>11048</v>
      </c>
      <c r="I2533" t="s">
        <v>29411</v>
      </c>
      <c r="J2533" t="s">
        <v>31291</v>
      </c>
      <c r="K2533" t="s">
        <v>38490</v>
      </c>
      <c r="M2533" t="s">
        <v>39793</v>
      </c>
      <c r="N2533" t="s">
        <v>42669</v>
      </c>
      <c r="O2533" t="s">
        <v>42670</v>
      </c>
      <c r="P2533">
        <v>0</v>
      </c>
      <c r="Q2533">
        <v>0</v>
      </c>
      <c r="R2533" t="s">
        <v>42674</v>
      </c>
      <c r="S2533" t="s">
        <v>42788</v>
      </c>
      <c r="T2533" t="s">
        <v>44488</v>
      </c>
      <c r="U2533" t="s">
        <v>46950</v>
      </c>
      <c r="W2533" t="s">
        <v>39793</v>
      </c>
      <c r="X2533" t="s">
        <v>42676</v>
      </c>
    </row>
    <row r="2534" spans="1:24">
      <c r="A2534">
        <f>HYPERLINK("https://www.philgeps.gov.ph/GEPSNONPILOT/Tender/SplashBidNoticeAbstractUI.aspx?menuIndex=3&amp;refID=7191850&amp;Result=3","7191850")</f>
        <v>0</v>
      </c>
      <c r="B2534" t="s">
        <v>679</v>
      </c>
      <c r="C2534" t="s">
        <v>5949</v>
      </c>
      <c r="D2534" t="s">
        <v>17175</v>
      </c>
      <c r="E2534" t="s">
        <v>19486</v>
      </c>
      <c r="F2534" t="s">
        <v>29372</v>
      </c>
      <c r="G2534" t="s">
        <v>29380</v>
      </c>
      <c r="H2534" t="s">
        <v>11048</v>
      </c>
      <c r="I2534" t="s">
        <v>3839</v>
      </c>
      <c r="J2534" t="s">
        <v>30703</v>
      </c>
      <c r="K2534" t="s">
        <v>38510</v>
      </c>
      <c r="M2534" t="s">
        <v>39455</v>
      </c>
      <c r="N2534" t="s">
        <v>42669</v>
      </c>
      <c r="O2534" t="s">
        <v>42670</v>
      </c>
      <c r="P2534">
        <v>0</v>
      </c>
      <c r="Q2534">
        <v>0</v>
      </c>
      <c r="R2534" t="s">
        <v>42674</v>
      </c>
      <c r="S2534" t="s">
        <v>42788</v>
      </c>
      <c r="T2534" t="s">
        <v>44361</v>
      </c>
      <c r="U2534" t="s">
        <v>46951</v>
      </c>
      <c r="W2534" t="s">
        <v>39455</v>
      </c>
      <c r="X2534" t="s">
        <v>42676</v>
      </c>
    </row>
    <row r="2535" spans="1:24">
      <c r="A2535">
        <f>HYPERLINK("https://www.philgeps.gov.ph/GEPSNONPILOT/Tender/SplashBidNoticeAbstractUI.aspx?menuIndex=3&amp;refID=7191848&amp;Result=3","7191848")</f>
        <v>0</v>
      </c>
      <c r="B2535" t="s">
        <v>994</v>
      </c>
      <c r="C2535" t="s">
        <v>5950</v>
      </c>
      <c r="D2535" t="s">
        <v>17205</v>
      </c>
      <c r="E2535" t="s">
        <v>17347</v>
      </c>
      <c r="F2535" t="s">
        <v>29372</v>
      </c>
      <c r="G2535" t="s">
        <v>29379</v>
      </c>
      <c r="H2535" t="s">
        <v>29389</v>
      </c>
      <c r="I2535" t="s">
        <v>29429</v>
      </c>
      <c r="J2535" t="s">
        <v>29587</v>
      </c>
      <c r="K2535" t="s">
        <v>38487</v>
      </c>
      <c r="M2535" t="s">
        <v>39794</v>
      </c>
      <c r="N2535" t="s">
        <v>42669</v>
      </c>
      <c r="O2535" t="s">
        <v>42670</v>
      </c>
      <c r="P2535">
        <v>0</v>
      </c>
      <c r="Q2535">
        <v>1</v>
      </c>
      <c r="R2535" t="s">
        <v>42674</v>
      </c>
      <c r="S2535" t="s">
        <v>42788</v>
      </c>
      <c r="T2535" t="s">
        <v>44382</v>
      </c>
      <c r="U2535" t="s">
        <v>46952</v>
      </c>
      <c r="W2535" t="s">
        <v>39794</v>
      </c>
      <c r="X2535" t="s">
        <v>42676</v>
      </c>
    </row>
    <row r="2536" spans="1:24">
      <c r="A2536">
        <f>HYPERLINK("https://www.philgeps.gov.ph/GEPSNONPILOT/Tender/SplashBidNoticeAbstractUI.aspx?menuIndex=3&amp;refID=7191847&amp;Result=3","7191847")</f>
        <v>0</v>
      </c>
      <c r="B2536" t="s">
        <v>993</v>
      </c>
      <c r="C2536" t="s">
        <v>5951</v>
      </c>
      <c r="D2536" t="s">
        <v>17179</v>
      </c>
      <c r="E2536" t="s">
        <v>19487</v>
      </c>
      <c r="F2536" t="s">
        <v>29372</v>
      </c>
      <c r="G2536" t="s">
        <v>29379</v>
      </c>
      <c r="H2536" t="s">
        <v>11048</v>
      </c>
      <c r="I2536" t="s">
        <v>3670</v>
      </c>
      <c r="J2536" t="s">
        <v>31292</v>
      </c>
      <c r="K2536" t="s">
        <v>38490</v>
      </c>
      <c r="M2536" t="s">
        <v>39793</v>
      </c>
      <c r="N2536" t="s">
        <v>42669</v>
      </c>
      <c r="O2536" t="s">
        <v>42670</v>
      </c>
      <c r="P2536">
        <v>0</v>
      </c>
      <c r="Q2536">
        <v>3</v>
      </c>
      <c r="R2536" t="s">
        <v>42674</v>
      </c>
      <c r="S2536" t="s">
        <v>42788</v>
      </c>
      <c r="T2536" t="s">
        <v>44488</v>
      </c>
      <c r="U2536" t="s">
        <v>46950</v>
      </c>
      <c r="W2536" t="s">
        <v>39793</v>
      </c>
      <c r="X2536" t="s">
        <v>42676</v>
      </c>
    </row>
    <row r="2537" spans="1:24">
      <c r="A2537">
        <f>HYPERLINK("https://www.philgeps.gov.ph/GEPSNONPILOT/Tender/SplashBidNoticeAbstractUI.aspx?menuIndex=3&amp;refID=7191885&amp;Result=3","7191885")</f>
        <v>0</v>
      </c>
      <c r="B2537" t="s">
        <v>750</v>
      </c>
      <c r="C2537" t="s">
        <v>5952</v>
      </c>
      <c r="D2537" t="s">
        <v>17181</v>
      </c>
      <c r="E2537" t="s">
        <v>19488</v>
      </c>
      <c r="F2537" t="s">
        <v>29372</v>
      </c>
      <c r="G2537" t="s">
        <v>29380</v>
      </c>
      <c r="H2537" t="s">
        <v>11048</v>
      </c>
      <c r="I2537" t="s">
        <v>3670</v>
      </c>
      <c r="J2537" t="s">
        <v>29619</v>
      </c>
      <c r="K2537" t="s">
        <v>38490</v>
      </c>
      <c r="M2537" t="s">
        <v>39533</v>
      </c>
      <c r="N2537" t="s">
        <v>42669</v>
      </c>
      <c r="O2537" t="s">
        <v>42670</v>
      </c>
      <c r="P2537">
        <v>0</v>
      </c>
      <c r="Q2537">
        <v>0</v>
      </c>
      <c r="R2537" t="s">
        <v>42674</v>
      </c>
      <c r="S2537" t="s">
        <v>42788</v>
      </c>
      <c r="T2537" t="s">
        <v>44482</v>
      </c>
      <c r="U2537" t="s">
        <v>46953</v>
      </c>
      <c r="W2537" t="s">
        <v>39533</v>
      </c>
      <c r="X2537" t="s">
        <v>42676</v>
      </c>
    </row>
    <row r="2538" spans="1:24">
      <c r="A2538">
        <f>HYPERLINK("https://www.philgeps.gov.ph/GEPSNONPILOT/Tender/SplashBidNoticeAbstractUI.aspx?menuIndex=3&amp;refID=7191844&amp;Result=3","7191844")</f>
        <v>0</v>
      </c>
      <c r="B2538" t="s">
        <v>995</v>
      </c>
      <c r="C2538" t="s">
        <v>5953</v>
      </c>
      <c r="D2538" t="s">
        <v>17171</v>
      </c>
      <c r="E2538" t="s">
        <v>19489</v>
      </c>
      <c r="F2538" t="s">
        <v>29375</v>
      </c>
      <c r="G2538" t="s">
        <v>29379</v>
      </c>
      <c r="H2538" t="s">
        <v>11048</v>
      </c>
      <c r="I2538" t="s">
        <v>5383</v>
      </c>
      <c r="J2538" t="s">
        <v>31293</v>
      </c>
      <c r="K2538" t="s">
        <v>38528</v>
      </c>
      <c r="M2538" t="s">
        <v>39795</v>
      </c>
      <c r="N2538" t="s">
        <v>42669</v>
      </c>
      <c r="O2538" t="s">
        <v>42670</v>
      </c>
      <c r="P2538">
        <v>0</v>
      </c>
      <c r="Q2538">
        <v>2</v>
      </c>
      <c r="R2538" t="s">
        <v>42674</v>
      </c>
      <c r="S2538" t="s">
        <v>42788</v>
      </c>
      <c r="T2538" t="s">
        <v>44601</v>
      </c>
      <c r="U2538" t="s">
        <v>46954</v>
      </c>
      <c r="W2538" t="s">
        <v>39795</v>
      </c>
      <c r="X2538" t="s">
        <v>42676</v>
      </c>
    </row>
    <row r="2539" spans="1:24">
      <c r="A2539">
        <f>HYPERLINK("https://www.philgeps.gov.ph/GEPSNONPILOT/Tender/SplashBidNoticeAbstractUI.aspx?menuIndex=3&amp;refID=7191909&amp;Result=3","7191909")</f>
        <v>0</v>
      </c>
      <c r="B2539" t="s">
        <v>679</v>
      </c>
      <c r="C2539" t="s">
        <v>5954</v>
      </c>
      <c r="D2539" t="s">
        <v>17175</v>
      </c>
      <c r="E2539" t="s">
        <v>19490</v>
      </c>
      <c r="F2539" t="s">
        <v>29372</v>
      </c>
      <c r="G2539" t="s">
        <v>29380</v>
      </c>
      <c r="H2539" t="s">
        <v>11048</v>
      </c>
      <c r="I2539" t="s">
        <v>29432</v>
      </c>
      <c r="J2539" t="s">
        <v>31294</v>
      </c>
      <c r="K2539" t="s">
        <v>38510</v>
      </c>
      <c r="M2539" t="s">
        <v>39455</v>
      </c>
      <c r="N2539" t="s">
        <v>42669</v>
      </c>
      <c r="O2539" t="s">
        <v>42670</v>
      </c>
      <c r="P2539">
        <v>0</v>
      </c>
      <c r="Q2539">
        <v>0</v>
      </c>
      <c r="R2539" t="s">
        <v>42674</v>
      </c>
      <c r="S2539" t="s">
        <v>42788</v>
      </c>
      <c r="T2539" t="s">
        <v>44361</v>
      </c>
      <c r="U2539" t="s">
        <v>46955</v>
      </c>
      <c r="W2539" t="s">
        <v>39455</v>
      </c>
      <c r="X2539" t="s">
        <v>42676</v>
      </c>
    </row>
    <row r="2540" spans="1:24">
      <c r="A2540">
        <f>HYPERLINK("https://www.philgeps.gov.ph/GEPSNONPILOT/Tender/SplashBidNoticeAbstractUI.aspx?menuIndex=3&amp;refID=7191857&amp;Result=3","7191857")</f>
        <v>0</v>
      </c>
      <c r="B2540" t="s">
        <v>968</v>
      </c>
      <c r="C2540" t="s">
        <v>5955</v>
      </c>
      <c r="D2540" t="s">
        <v>17197</v>
      </c>
      <c r="E2540" t="s">
        <v>19491</v>
      </c>
      <c r="F2540" t="s">
        <v>29372</v>
      </c>
      <c r="G2540" t="s">
        <v>29379</v>
      </c>
      <c r="H2540" t="s">
        <v>11048</v>
      </c>
      <c r="I2540" t="s">
        <v>3629</v>
      </c>
      <c r="J2540" t="s">
        <v>31295</v>
      </c>
      <c r="K2540" t="s">
        <v>38538</v>
      </c>
      <c r="M2540" t="s">
        <v>39764</v>
      </c>
      <c r="N2540" t="s">
        <v>42669</v>
      </c>
      <c r="O2540" t="s">
        <v>42670</v>
      </c>
      <c r="P2540">
        <v>0</v>
      </c>
      <c r="Q2540">
        <v>2</v>
      </c>
      <c r="R2540" t="s">
        <v>42674</v>
      </c>
      <c r="S2540" t="s">
        <v>42788</v>
      </c>
      <c r="T2540" t="s">
        <v>44427</v>
      </c>
      <c r="U2540" t="s">
        <v>46956</v>
      </c>
      <c r="W2540" t="s">
        <v>39764</v>
      </c>
      <c r="X2540" t="s">
        <v>42676</v>
      </c>
    </row>
    <row r="2541" spans="1:24">
      <c r="A2541">
        <f>HYPERLINK("https://www.philgeps.gov.ph/GEPSNONPILOT/Tender/SplashBidNoticeAbstractUI.aspx?menuIndex=3&amp;refID=7191905&amp;Result=3","7191905")</f>
        <v>0</v>
      </c>
      <c r="B2541" t="s">
        <v>996</v>
      </c>
      <c r="C2541" t="s">
        <v>5956</v>
      </c>
      <c r="D2541" t="s">
        <v>17207</v>
      </c>
      <c r="E2541" t="s">
        <v>19492</v>
      </c>
      <c r="F2541" t="s">
        <v>29372</v>
      </c>
      <c r="G2541" t="s">
        <v>29383</v>
      </c>
      <c r="H2541" t="s">
        <v>11048</v>
      </c>
      <c r="I2541" t="s">
        <v>29410</v>
      </c>
      <c r="J2541" t="s">
        <v>31296</v>
      </c>
      <c r="K2541" t="s">
        <v>38485</v>
      </c>
      <c r="M2541" t="s">
        <v>39796</v>
      </c>
      <c r="N2541" t="s">
        <v>42669</v>
      </c>
      <c r="O2541" t="s">
        <v>42670</v>
      </c>
      <c r="P2541">
        <v>0</v>
      </c>
      <c r="Q2541">
        <v>0</v>
      </c>
      <c r="R2541" t="s">
        <v>42674</v>
      </c>
      <c r="S2541" t="s">
        <v>42788</v>
      </c>
      <c r="T2541" t="s">
        <v>44488</v>
      </c>
      <c r="U2541" t="s">
        <v>46957</v>
      </c>
      <c r="W2541" t="s">
        <v>39796</v>
      </c>
      <c r="X2541" t="s">
        <v>42676</v>
      </c>
    </row>
    <row r="2542" spans="1:24">
      <c r="A2542">
        <f>HYPERLINK("https://www.philgeps.gov.ph/GEPSNONPILOT/Tender/SplashBidNoticeAbstractUI.aspx?menuIndex=3&amp;refID=7191901&amp;Result=3","7191901")</f>
        <v>0</v>
      </c>
      <c r="B2542" t="s">
        <v>751</v>
      </c>
      <c r="C2542" t="s">
        <v>5957</v>
      </c>
      <c r="D2542" t="s">
        <v>17193</v>
      </c>
      <c r="E2542" t="s">
        <v>19493</v>
      </c>
      <c r="F2542" t="s">
        <v>29372</v>
      </c>
      <c r="G2542" t="s">
        <v>29380</v>
      </c>
      <c r="H2542" t="s">
        <v>29389</v>
      </c>
      <c r="I2542" t="s">
        <v>10408</v>
      </c>
      <c r="J2542" t="s">
        <v>29604</v>
      </c>
      <c r="K2542" t="s">
        <v>38499</v>
      </c>
      <c r="M2542" t="s">
        <v>39534</v>
      </c>
      <c r="N2542" t="s">
        <v>42669</v>
      </c>
      <c r="O2542" t="s">
        <v>42670</v>
      </c>
      <c r="P2542">
        <v>0</v>
      </c>
      <c r="Q2542">
        <v>0</v>
      </c>
      <c r="R2542" t="s">
        <v>42674</v>
      </c>
      <c r="S2542" t="s">
        <v>42788</v>
      </c>
      <c r="T2542" t="s">
        <v>44468</v>
      </c>
      <c r="U2542" t="s">
        <v>46396</v>
      </c>
      <c r="W2542" t="s">
        <v>39534</v>
      </c>
      <c r="X2542" t="s">
        <v>42676</v>
      </c>
    </row>
    <row r="2543" spans="1:24">
      <c r="A2543">
        <f>HYPERLINK("https://www.philgeps.gov.ph/GEPSNONPILOT/Tender/SplashBidNoticeAbstractUI.aspx?menuIndex=3&amp;refID=7191898&amp;Result=3","7191898")</f>
        <v>0</v>
      </c>
      <c r="B2543" t="s">
        <v>684</v>
      </c>
      <c r="C2543" t="s">
        <v>5958</v>
      </c>
      <c r="D2543" t="s">
        <v>17147</v>
      </c>
      <c r="E2543" t="s">
        <v>19494</v>
      </c>
      <c r="F2543" t="s">
        <v>29372</v>
      </c>
      <c r="G2543" t="s">
        <v>29379</v>
      </c>
      <c r="H2543" t="s">
        <v>11048</v>
      </c>
      <c r="I2543" t="s">
        <v>29394</v>
      </c>
      <c r="J2543" t="s">
        <v>30046</v>
      </c>
      <c r="K2543" t="s">
        <v>38485</v>
      </c>
      <c r="M2543" t="s">
        <v>39790</v>
      </c>
      <c r="N2543" t="s">
        <v>42669</v>
      </c>
      <c r="O2543" t="s">
        <v>42670</v>
      </c>
      <c r="P2543">
        <v>0</v>
      </c>
      <c r="Q2543">
        <v>3</v>
      </c>
      <c r="R2543" t="s">
        <v>42674</v>
      </c>
      <c r="S2543" t="s">
        <v>42788</v>
      </c>
      <c r="T2543" t="s">
        <v>44394</v>
      </c>
      <c r="U2543" t="s">
        <v>46958</v>
      </c>
      <c r="W2543" t="s">
        <v>39790</v>
      </c>
      <c r="X2543" t="s">
        <v>42676</v>
      </c>
    </row>
    <row r="2544" spans="1:24">
      <c r="A2544">
        <f>HYPERLINK("https://www.philgeps.gov.ph/GEPSNONPILOT/Tender/SplashBidNoticeAbstractUI.aspx?menuIndex=3&amp;refID=7191897&amp;Result=3","7191897")</f>
        <v>0</v>
      </c>
      <c r="B2544" t="s">
        <v>654</v>
      </c>
      <c r="C2544" t="s">
        <v>5959</v>
      </c>
      <c r="D2544" t="s">
        <v>17170</v>
      </c>
      <c r="E2544" t="s">
        <v>19495</v>
      </c>
      <c r="F2544" t="s">
        <v>29372</v>
      </c>
      <c r="G2544" t="s">
        <v>29380</v>
      </c>
      <c r="H2544" t="s">
        <v>29389</v>
      </c>
      <c r="I2544" t="s">
        <v>10408</v>
      </c>
      <c r="J2544" t="s">
        <v>31297</v>
      </c>
      <c r="K2544" t="s">
        <v>38589</v>
      </c>
      <c r="M2544" t="s">
        <v>39428</v>
      </c>
      <c r="N2544" t="s">
        <v>42669</v>
      </c>
      <c r="O2544" t="s">
        <v>42670</v>
      </c>
      <c r="P2544">
        <v>0</v>
      </c>
      <c r="Q2544">
        <v>0</v>
      </c>
      <c r="R2544" t="s">
        <v>42674</v>
      </c>
      <c r="S2544" t="s">
        <v>42788</v>
      </c>
      <c r="T2544" t="s">
        <v>44599</v>
      </c>
      <c r="U2544" t="s">
        <v>46959</v>
      </c>
      <c r="V2544" t="s">
        <v>56527</v>
      </c>
      <c r="W2544" t="s">
        <v>39428</v>
      </c>
      <c r="X2544" t="s">
        <v>42676</v>
      </c>
    </row>
    <row r="2545" spans="1:24">
      <c r="A2545">
        <f>HYPERLINK("https://www.philgeps.gov.ph/GEPSNONPILOT/Tender/SplashBidNoticeAbstractUI.aspx?menuIndex=3&amp;refID=7191902&amp;Result=3","7191902")</f>
        <v>0</v>
      </c>
      <c r="B2545" t="s">
        <v>968</v>
      </c>
      <c r="C2545" t="s">
        <v>5960</v>
      </c>
      <c r="D2545" t="s">
        <v>17197</v>
      </c>
      <c r="E2545" t="s">
        <v>19496</v>
      </c>
      <c r="F2545" t="s">
        <v>29372</v>
      </c>
      <c r="G2545" t="s">
        <v>29379</v>
      </c>
      <c r="H2545" t="s">
        <v>11048</v>
      </c>
      <c r="I2545" t="s">
        <v>29393</v>
      </c>
      <c r="J2545" t="s">
        <v>29590</v>
      </c>
      <c r="K2545" t="s">
        <v>38538</v>
      </c>
      <c r="M2545" t="s">
        <v>39764</v>
      </c>
      <c r="N2545" t="s">
        <v>42669</v>
      </c>
      <c r="O2545" t="s">
        <v>42670</v>
      </c>
      <c r="P2545">
        <v>0</v>
      </c>
      <c r="Q2545">
        <v>0</v>
      </c>
      <c r="R2545" t="s">
        <v>42674</v>
      </c>
      <c r="S2545" t="s">
        <v>42788</v>
      </c>
      <c r="T2545" t="s">
        <v>44427</v>
      </c>
      <c r="U2545" t="s">
        <v>46960</v>
      </c>
      <c r="W2545" t="s">
        <v>39764</v>
      </c>
      <c r="X2545" t="s">
        <v>42676</v>
      </c>
    </row>
    <row r="2546" spans="1:24">
      <c r="A2546">
        <f>HYPERLINK("https://www.philgeps.gov.ph/GEPSNONPILOT/Tender/SplashBidNoticeAbstractUI.aspx?menuIndex=3&amp;refID=7191899&amp;Result=3","7191899")</f>
        <v>0</v>
      </c>
      <c r="B2546" t="s">
        <v>997</v>
      </c>
      <c r="C2546" t="s">
        <v>5961</v>
      </c>
      <c r="D2546" t="s">
        <v>17169</v>
      </c>
      <c r="E2546" t="s">
        <v>18218</v>
      </c>
      <c r="F2546" t="s">
        <v>29372</v>
      </c>
      <c r="G2546" t="s">
        <v>29380</v>
      </c>
      <c r="H2546" t="s">
        <v>29389</v>
      </c>
      <c r="I2546" t="s">
        <v>10408</v>
      </c>
      <c r="J2546" t="s">
        <v>30412</v>
      </c>
      <c r="K2546" t="s">
        <v>38485</v>
      </c>
      <c r="M2546" t="s">
        <v>39797</v>
      </c>
      <c r="N2546" t="s">
        <v>42669</v>
      </c>
      <c r="O2546" t="s">
        <v>42670</v>
      </c>
      <c r="P2546">
        <v>0</v>
      </c>
      <c r="Q2546">
        <v>2</v>
      </c>
      <c r="R2546" t="s">
        <v>42674</v>
      </c>
      <c r="S2546" t="s">
        <v>42788</v>
      </c>
      <c r="T2546" t="s">
        <v>44444</v>
      </c>
      <c r="U2546" t="s">
        <v>46961</v>
      </c>
      <c r="W2546" t="s">
        <v>39797</v>
      </c>
      <c r="X2546" t="s">
        <v>42676</v>
      </c>
    </row>
    <row r="2547" spans="1:24">
      <c r="A2547">
        <f>HYPERLINK("https://www.philgeps.gov.ph/GEPSNONPILOT/Tender/SplashBidNoticeAbstractUI.aspx?menuIndex=3&amp;refID=7191919&amp;Result=3","7191919")</f>
        <v>0</v>
      </c>
      <c r="B2547" t="s">
        <v>586</v>
      </c>
      <c r="C2547" t="s">
        <v>5962</v>
      </c>
      <c r="D2547" t="s">
        <v>17161</v>
      </c>
      <c r="E2547" t="s">
        <v>19497</v>
      </c>
      <c r="F2547" t="s">
        <v>29372</v>
      </c>
      <c r="G2547" t="s">
        <v>29379</v>
      </c>
      <c r="H2547" t="s">
        <v>11048</v>
      </c>
      <c r="I2547" t="s">
        <v>3629</v>
      </c>
      <c r="J2547" t="s">
        <v>31298</v>
      </c>
      <c r="K2547" t="s">
        <v>38490</v>
      </c>
      <c r="M2547" t="s">
        <v>39682</v>
      </c>
      <c r="N2547" t="s">
        <v>42669</v>
      </c>
      <c r="O2547" t="s">
        <v>42670</v>
      </c>
      <c r="P2547">
        <v>0</v>
      </c>
      <c r="Q2547">
        <v>0</v>
      </c>
      <c r="R2547" t="s">
        <v>42674</v>
      </c>
      <c r="S2547" t="s">
        <v>42788</v>
      </c>
      <c r="T2547" t="s">
        <v>44488</v>
      </c>
      <c r="U2547" t="s">
        <v>46962</v>
      </c>
      <c r="W2547" t="s">
        <v>39682</v>
      </c>
      <c r="X2547" t="s">
        <v>42676</v>
      </c>
    </row>
    <row r="2548" spans="1:24">
      <c r="A2548">
        <f>HYPERLINK("https://www.philgeps.gov.ph/GEPSNONPILOT/Tender/SplashBidNoticeAbstractUI.aspx?menuIndex=3&amp;refID=7191883&amp;Result=3","7191883")</f>
        <v>0</v>
      </c>
      <c r="B2548" t="s">
        <v>394</v>
      </c>
      <c r="C2548" t="s">
        <v>5963</v>
      </c>
      <c r="D2548" t="s">
        <v>17170</v>
      </c>
      <c r="E2548" t="s">
        <v>19498</v>
      </c>
      <c r="F2548" t="s">
        <v>29372</v>
      </c>
      <c r="G2548" t="s">
        <v>29380</v>
      </c>
      <c r="H2548" t="s">
        <v>11048</v>
      </c>
      <c r="I2548" t="s">
        <v>29425</v>
      </c>
      <c r="J2548" t="s">
        <v>31299</v>
      </c>
      <c r="K2548" t="s">
        <v>38496</v>
      </c>
      <c r="M2548" t="s">
        <v>39650</v>
      </c>
      <c r="N2548" t="s">
        <v>42669</v>
      </c>
      <c r="O2548" t="s">
        <v>42670</v>
      </c>
      <c r="P2548">
        <v>0</v>
      </c>
      <c r="Q2548">
        <v>2</v>
      </c>
      <c r="R2548" t="s">
        <v>42674</v>
      </c>
      <c r="S2548" t="s">
        <v>42788</v>
      </c>
      <c r="T2548" t="s">
        <v>44366</v>
      </c>
      <c r="U2548" t="s">
        <v>46606</v>
      </c>
      <c r="W2548" t="s">
        <v>39650</v>
      </c>
      <c r="X2548" t="s">
        <v>42676</v>
      </c>
    </row>
    <row r="2549" spans="1:24">
      <c r="A2549">
        <f>HYPERLINK("https://www.philgeps.gov.ph/GEPSNONPILOT/Tender/SplashBidNoticeAbstractUI.aspx?menuIndex=3&amp;refID=7191915&amp;Result=3","7191915")</f>
        <v>0</v>
      </c>
      <c r="B2549" t="s">
        <v>669</v>
      </c>
      <c r="C2549" t="s">
        <v>5964</v>
      </c>
      <c r="D2549" t="s">
        <v>17147</v>
      </c>
      <c r="E2549" t="s">
        <v>19499</v>
      </c>
      <c r="F2549" t="s">
        <v>29372</v>
      </c>
      <c r="G2549" t="s">
        <v>29382</v>
      </c>
      <c r="H2549" t="s">
        <v>11048</v>
      </c>
      <c r="I2549" t="s">
        <v>4486</v>
      </c>
      <c r="J2549" t="s">
        <v>29590</v>
      </c>
      <c r="K2549" t="s">
        <v>38488</v>
      </c>
      <c r="N2549" t="s">
        <v>42669</v>
      </c>
      <c r="O2549" t="s">
        <v>42670</v>
      </c>
      <c r="P2549">
        <v>0</v>
      </c>
      <c r="Q2549">
        <v>0</v>
      </c>
      <c r="R2549" t="s">
        <v>42674</v>
      </c>
      <c r="S2549" t="s">
        <v>42788</v>
      </c>
      <c r="T2549" t="s">
        <v>44580</v>
      </c>
      <c r="U2549" t="s">
        <v>46963</v>
      </c>
      <c r="V2549" t="s">
        <v>56531</v>
      </c>
      <c r="W2549" t="s">
        <v>58028</v>
      </c>
      <c r="X2549" t="s">
        <v>42676</v>
      </c>
    </row>
    <row r="2550" spans="1:24">
      <c r="A2550">
        <f>HYPERLINK("https://www.philgeps.gov.ph/GEPSNONPILOT/Tender/SplashBidNoticeAbstractUI.aspx?menuIndex=3&amp;refID=7191910&amp;Result=3","7191910")</f>
        <v>0</v>
      </c>
      <c r="B2550" t="s">
        <v>925</v>
      </c>
      <c r="C2550" t="s">
        <v>5965</v>
      </c>
      <c r="D2550" t="s">
        <v>17180</v>
      </c>
      <c r="E2550" t="s">
        <v>19500</v>
      </c>
      <c r="F2550" t="s">
        <v>29372</v>
      </c>
      <c r="G2550" t="s">
        <v>29380</v>
      </c>
      <c r="H2550" t="s">
        <v>11048</v>
      </c>
      <c r="I2550" t="s">
        <v>9469</v>
      </c>
      <c r="J2550" t="s">
        <v>30161</v>
      </c>
      <c r="K2550" t="s">
        <v>38485</v>
      </c>
      <c r="M2550" t="s">
        <v>39720</v>
      </c>
      <c r="N2550" t="s">
        <v>42669</v>
      </c>
      <c r="O2550" t="s">
        <v>42670</v>
      </c>
      <c r="P2550">
        <v>0</v>
      </c>
      <c r="Q2550">
        <v>2</v>
      </c>
      <c r="R2550" t="s">
        <v>42674</v>
      </c>
      <c r="S2550" t="s">
        <v>42788</v>
      </c>
      <c r="T2550" t="s">
        <v>44589</v>
      </c>
      <c r="U2550" t="s">
        <v>46964</v>
      </c>
      <c r="W2550" t="s">
        <v>39720</v>
      </c>
      <c r="X2550" t="s">
        <v>42676</v>
      </c>
    </row>
    <row r="2551" spans="1:24">
      <c r="A2551">
        <f>HYPERLINK("https://www.philgeps.gov.ph/GEPSNONPILOT/Tender/SplashBidNoticeAbstractUI.aspx?menuIndex=3&amp;refID=7191840&amp;Result=3","7191840")</f>
        <v>0</v>
      </c>
      <c r="B2551" t="s">
        <v>851</v>
      </c>
      <c r="C2551" t="s">
        <v>5966</v>
      </c>
      <c r="D2551" t="s">
        <v>17160</v>
      </c>
      <c r="E2551" t="s">
        <v>19501</v>
      </c>
      <c r="F2551" t="s">
        <v>29372</v>
      </c>
      <c r="G2551" t="s">
        <v>29380</v>
      </c>
      <c r="H2551" t="s">
        <v>11048</v>
      </c>
      <c r="I2551" t="s">
        <v>14920</v>
      </c>
      <c r="J2551" t="s">
        <v>29728</v>
      </c>
      <c r="K2551" t="s">
        <v>38488</v>
      </c>
      <c r="M2551" t="s">
        <v>39641</v>
      </c>
      <c r="N2551" t="s">
        <v>42669</v>
      </c>
      <c r="O2551" t="s">
        <v>42670</v>
      </c>
      <c r="P2551">
        <v>0</v>
      </c>
      <c r="Q2551">
        <v>0</v>
      </c>
      <c r="R2551" t="s">
        <v>42674</v>
      </c>
      <c r="S2551" t="s">
        <v>42788</v>
      </c>
      <c r="T2551" t="s">
        <v>44438</v>
      </c>
      <c r="U2551" t="s">
        <v>46965</v>
      </c>
      <c r="W2551" t="s">
        <v>39641</v>
      </c>
      <c r="X2551" t="s">
        <v>42676</v>
      </c>
    </row>
    <row r="2552" spans="1:24">
      <c r="A2552">
        <f>HYPERLINK("https://www.philgeps.gov.ph/GEPSNONPILOT/Tender/SplashBidNoticeAbstractUI.aspx?menuIndex=3&amp;refID=7191893&amp;Result=3","7191893")</f>
        <v>0</v>
      </c>
      <c r="B2552" t="s">
        <v>998</v>
      </c>
      <c r="C2552" t="s">
        <v>5967</v>
      </c>
      <c r="D2552" t="s">
        <v>17141</v>
      </c>
      <c r="E2552" t="s">
        <v>19502</v>
      </c>
      <c r="F2552" t="s">
        <v>29372</v>
      </c>
      <c r="G2552" t="s">
        <v>29382</v>
      </c>
      <c r="H2552" t="s">
        <v>11048</v>
      </c>
      <c r="I2552" t="s">
        <v>9642</v>
      </c>
      <c r="J2552" t="s">
        <v>31300</v>
      </c>
      <c r="K2552" t="s">
        <v>38491</v>
      </c>
      <c r="M2552" t="s">
        <v>39798</v>
      </c>
      <c r="N2552" t="s">
        <v>42669</v>
      </c>
      <c r="O2552" t="s">
        <v>42670</v>
      </c>
      <c r="P2552">
        <v>0</v>
      </c>
      <c r="Q2552">
        <v>8</v>
      </c>
      <c r="R2552" t="s">
        <v>42674</v>
      </c>
      <c r="S2552" t="s">
        <v>42788</v>
      </c>
      <c r="T2552" t="s">
        <v>44399</v>
      </c>
      <c r="U2552" t="s">
        <v>46966</v>
      </c>
      <c r="V2552" t="s">
        <v>56608</v>
      </c>
      <c r="W2552" t="s">
        <v>39798</v>
      </c>
      <c r="X2552" t="s">
        <v>42676</v>
      </c>
    </row>
    <row r="2553" spans="1:24">
      <c r="A2553">
        <f>HYPERLINK("https://www.philgeps.gov.ph/GEPSNONPILOT/Tender/SplashBidNoticeAbstractUI.aspx?menuIndex=3&amp;refID=7191917&amp;Result=3","7191917")</f>
        <v>0</v>
      </c>
      <c r="B2553" t="s">
        <v>991</v>
      </c>
      <c r="C2553" t="s">
        <v>5968</v>
      </c>
      <c r="D2553" t="s">
        <v>17205</v>
      </c>
      <c r="E2553" t="s">
        <v>19503</v>
      </c>
      <c r="F2553" t="s">
        <v>29372</v>
      </c>
      <c r="G2553" t="s">
        <v>29382</v>
      </c>
      <c r="H2553" t="s">
        <v>11048</v>
      </c>
      <c r="I2553" t="s">
        <v>4487</v>
      </c>
      <c r="J2553" t="s">
        <v>31301</v>
      </c>
      <c r="K2553" t="s">
        <v>38491</v>
      </c>
      <c r="M2553" t="s">
        <v>39791</v>
      </c>
      <c r="N2553" t="s">
        <v>42669</v>
      </c>
      <c r="O2553" t="s">
        <v>42670</v>
      </c>
      <c r="P2553">
        <v>0</v>
      </c>
      <c r="Q2553">
        <v>2</v>
      </c>
      <c r="R2553" t="s">
        <v>42674</v>
      </c>
      <c r="S2553" t="s">
        <v>42788</v>
      </c>
      <c r="T2553" t="s">
        <v>44530</v>
      </c>
      <c r="U2553" t="s">
        <v>46947</v>
      </c>
      <c r="W2553" t="s">
        <v>39791</v>
      </c>
      <c r="X2553" t="s">
        <v>42676</v>
      </c>
    </row>
    <row r="2554" spans="1:24">
      <c r="A2554">
        <f>HYPERLINK("https://www.philgeps.gov.ph/GEPSNONPILOT/Tender/SplashBidNoticeAbstractUI.aspx?menuIndex=3&amp;refID=7191892&amp;Result=3","7191892")</f>
        <v>0</v>
      </c>
      <c r="B2554" t="s">
        <v>851</v>
      </c>
      <c r="C2554" t="s">
        <v>5969</v>
      </c>
      <c r="D2554" t="s">
        <v>17160</v>
      </c>
      <c r="E2554" t="s">
        <v>19504</v>
      </c>
      <c r="F2554" t="s">
        <v>29372</v>
      </c>
      <c r="G2554" t="s">
        <v>29380</v>
      </c>
      <c r="H2554" t="s">
        <v>29389</v>
      </c>
      <c r="I2554" t="s">
        <v>10408</v>
      </c>
      <c r="J2554" t="s">
        <v>29724</v>
      </c>
      <c r="K2554" t="s">
        <v>38495</v>
      </c>
      <c r="M2554" t="s">
        <v>39641</v>
      </c>
      <c r="N2554" t="s">
        <v>42669</v>
      </c>
      <c r="O2554" t="s">
        <v>42670</v>
      </c>
      <c r="P2554">
        <v>0</v>
      </c>
      <c r="Q2554">
        <v>0</v>
      </c>
      <c r="R2554" t="s">
        <v>42674</v>
      </c>
      <c r="S2554" t="s">
        <v>42788</v>
      </c>
      <c r="T2554" t="s">
        <v>44438</v>
      </c>
      <c r="U2554" t="s">
        <v>46967</v>
      </c>
      <c r="W2554" t="s">
        <v>39641</v>
      </c>
      <c r="X2554" t="s">
        <v>42676</v>
      </c>
    </row>
    <row r="2555" spans="1:24">
      <c r="A2555">
        <f>HYPERLINK("https://www.philgeps.gov.ph/GEPSNONPILOT/Tender/SplashBidNoticeAbstractUI.aspx?menuIndex=3&amp;refID=7191894&amp;Result=3","7191894")</f>
        <v>0</v>
      </c>
      <c r="B2555" t="s">
        <v>999</v>
      </c>
      <c r="C2555" t="s">
        <v>5970</v>
      </c>
      <c r="D2555" t="s">
        <v>17177</v>
      </c>
      <c r="E2555" t="s">
        <v>17703</v>
      </c>
      <c r="F2555" t="s">
        <v>29372</v>
      </c>
      <c r="G2555" t="s">
        <v>29380</v>
      </c>
      <c r="H2555" t="s">
        <v>29389</v>
      </c>
      <c r="I2555" t="s">
        <v>29466</v>
      </c>
      <c r="J2555" t="s">
        <v>31302</v>
      </c>
      <c r="K2555" t="s">
        <v>38490</v>
      </c>
      <c r="M2555" t="s">
        <v>39799</v>
      </c>
      <c r="N2555" t="s">
        <v>42669</v>
      </c>
      <c r="O2555" t="s">
        <v>42670</v>
      </c>
      <c r="P2555">
        <v>0</v>
      </c>
      <c r="Q2555">
        <v>0</v>
      </c>
      <c r="R2555" t="s">
        <v>42674</v>
      </c>
      <c r="S2555" t="s">
        <v>42788</v>
      </c>
      <c r="T2555" t="s">
        <v>44476</v>
      </c>
      <c r="U2555" t="s">
        <v>46968</v>
      </c>
      <c r="W2555" t="s">
        <v>39799</v>
      </c>
      <c r="X2555" t="s">
        <v>42676</v>
      </c>
    </row>
    <row r="2556" spans="1:24">
      <c r="A2556">
        <f>HYPERLINK("https://www.philgeps.gov.ph/GEPSNONPILOT/Tender/SplashBidNoticeAbstractUI.aspx?menuIndex=3&amp;refID=7191923&amp;Result=3","7191923")</f>
        <v>0</v>
      </c>
      <c r="B2556" t="s">
        <v>1000</v>
      </c>
      <c r="C2556" t="s">
        <v>5971</v>
      </c>
      <c r="D2556" t="s">
        <v>17141</v>
      </c>
      <c r="E2556" t="s">
        <v>19505</v>
      </c>
      <c r="F2556" t="s">
        <v>29372</v>
      </c>
      <c r="G2556" t="s">
        <v>29379</v>
      </c>
      <c r="H2556" t="s">
        <v>11048</v>
      </c>
      <c r="I2556" t="s">
        <v>29483</v>
      </c>
      <c r="J2556" t="s">
        <v>31086</v>
      </c>
      <c r="K2556" t="s">
        <v>38490</v>
      </c>
      <c r="M2556" t="s">
        <v>39800</v>
      </c>
      <c r="N2556" t="s">
        <v>42669</v>
      </c>
      <c r="O2556" t="s">
        <v>42670</v>
      </c>
      <c r="P2556">
        <v>0</v>
      </c>
      <c r="Q2556">
        <v>0</v>
      </c>
      <c r="R2556" t="s">
        <v>42674</v>
      </c>
      <c r="S2556" t="s">
        <v>42788</v>
      </c>
      <c r="T2556" t="s">
        <v>44401</v>
      </c>
      <c r="U2556" t="s">
        <v>46969</v>
      </c>
      <c r="W2556" t="s">
        <v>39800</v>
      </c>
      <c r="X2556" t="s">
        <v>42676</v>
      </c>
    </row>
    <row r="2557" spans="1:24">
      <c r="A2557">
        <f>HYPERLINK("https://www.philgeps.gov.ph/GEPSNONPILOT/Tender/SplashBidNoticeAbstractUI.aspx?menuIndex=3&amp;refID=7191896&amp;Result=3","7191896")</f>
        <v>0</v>
      </c>
      <c r="B2557" t="s">
        <v>989</v>
      </c>
      <c r="C2557" t="s">
        <v>5935</v>
      </c>
      <c r="D2557" t="s">
        <v>17197</v>
      </c>
      <c r="E2557" t="s">
        <v>19506</v>
      </c>
      <c r="F2557" t="s">
        <v>29372</v>
      </c>
      <c r="G2557" t="s">
        <v>29379</v>
      </c>
      <c r="H2557" t="s">
        <v>11048</v>
      </c>
      <c r="I2557" t="s">
        <v>5383</v>
      </c>
      <c r="J2557" t="s">
        <v>31303</v>
      </c>
      <c r="K2557" t="s">
        <v>38485</v>
      </c>
      <c r="M2557" t="s">
        <v>39788</v>
      </c>
      <c r="N2557" t="s">
        <v>42669</v>
      </c>
      <c r="O2557" t="s">
        <v>42670</v>
      </c>
      <c r="P2557">
        <v>0</v>
      </c>
      <c r="Q2557">
        <v>3</v>
      </c>
      <c r="R2557" t="s">
        <v>42674</v>
      </c>
      <c r="S2557" t="s">
        <v>42788</v>
      </c>
      <c r="T2557" t="s">
        <v>44401</v>
      </c>
      <c r="U2557" t="s">
        <v>46970</v>
      </c>
      <c r="W2557" t="s">
        <v>39788</v>
      </c>
      <c r="X2557" t="s">
        <v>42676</v>
      </c>
    </row>
    <row r="2558" spans="1:24">
      <c r="A2558">
        <f>HYPERLINK("https://www.philgeps.gov.ph/GEPSNONPILOT/Tender/SplashBidNoticeAbstractUI.aspx?menuIndex=3&amp;refID=7191921&amp;Result=3","7191921")</f>
        <v>0</v>
      </c>
      <c r="B2558" t="s">
        <v>998</v>
      </c>
      <c r="C2558" t="s">
        <v>5972</v>
      </c>
      <c r="D2558" t="s">
        <v>17141</v>
      </c>
      <c r="E2558" t="s">
        <v>19507</v>
      </c>
      <c r="F2558" t="s">
        <v>29372</v>
      </c>
      <c r="G2558" t="s">
        <v>29382</v>
      </c>
      <c r="H2558" t="s">
        <v>11048</v>
      </c>
      <c r="I2558" t="s">
        <v>29410</v>
      </c>
      <c r="J2558" t="s">
        <v>29892</v>
      </c>
      <c r="K2558" t="s">
        <v>38491</v>
      </c>
      <c r="M2558" t="s">
        <v>39798</v>
      </c>
      <c r="N2558" t="s">
        <v>42669</v>
      </c>
      <c r="O2558" t="s">
        <v>42670</v>
      </c>
      <c r="P2558">
        <v>0</v>
      </c>
      <c r="Q2558">
        <v>0</v>
      </c>
      <c r="R2558" t="s">
        <v>42674</v>
      </c>
      <c r="S2558" t="s">
        <v>42788</v>
      </c>
      <c r="T2558" t="s">
        <v>44399</v>
      </c>
      <c r="U2558" t="s">
        <v>46971</v>
      </c>
      <c r="V2558" t="s">
        <v>56571</v>
      </c>
      <c r="W2558" t="s">
        <v>39798</v>
      </c>
      <c r="X2558" t="s">
        <v>42676</v>
      </c>
    </row>
    <row r="2559" spans="1:24">
      <c r="A2559">
        <f>HYPERLINK("https://www.philgeps.gov.ph/GEPSNONPILOT/Tender/SplashBidNoticeAbstractUI.aspx?menuIndex=3&amp;refID=7191948&amp;Result=3","7191948")</f>
        <v>0</v>
      </c>
      <c r="B2559" t="s">
        <v>586</v>
      </c>
      <c r="C2559" t="s">
        <v>5973</v>
      </c>
      <c r="D2559" t="s">
        <v>17161</v>
      </c>
      <c r="E2559" t="s">
        <v>19508</v>
      </c>
      <c r="F2559" t="s">
        <v>29372</v>
      </c>
      <c r="G2559" t="s">
        <v>29379</v>
      </c>
      <c r="H2559" t="s">
        <v>11048</v>
      </c>
      <c r="I2559" t="s">
        <v>29393</v>
      </c>
      <c r="J2559" t="s">
        <v>31304</v>
      </c>
      <c r="K2559" t="s">
        <v>38490</v>
      </c>
      <c r="M2559" t="s">
        <v>39682</v>
      </c>
      <c r="N2559" t="s">
        <v>42669</v>
      </c>
      <c r="O2559" t="s">
        <v>42670</v>
      </c>
      <c r="P2559">
        <v>0</v>
      </c>
      <c r="Q2559">
        <v>0</v>
      </c>
      <c r="R2559" t="s">
        <v>42674</v>
      </c>
      <c r="S2559" t="s">
        <v>42788</v>
      </c>
      <c r="T2559" t="s">
        <v>44488</v>
      </c>
      <c r="U2559" t="s">
        <v>46972</v>
      </c>
      <c r="W2559" t="s">
        <v>39682</v>
      </c>
      <c r="X2559" t="s">
        <v>42676</v>
      </c>
    </row>
    <row r="2560" spans="1:24">
      <c r="A2560">
        <f>HYPERLINK("https://www.philgeps.gov.ph/GEPSNONPILOT/Tender/SplashBidNoticeAbstractUI.aspx?menuIndex=3&amp;refID=7191943&amp;Result=3","7191943")</f>
        <v>0</v>
      </c>
      <c r="B2560" t="s">
        <v>649</v>
      </c>
      <c r="C2560" t="s">
        <v>5974</v>
      </c>
      <c r="D2560" t="s">
        <v>17162</v>
      </c>
      <c r="E2560" t="s">
        <v>19509</v>
      </c>
      <c r="F2560" t="s">
        <v>29372</v>
      </c>
      <c r="G2560" t="s">
        <v>29380</v>
      </c>
      <c r="H2560" t="s">
        <v>11048</v>
      </c>
      <c r="I2560" t="s">
        <v>3670</v>
      </c>
      <c r="J2560" t="s">
        <v>30127</v>
      </c>
      <c r="K2560" t="s">
        <v>38510</v>
      </c>
      <c r="M2560" t="s">
        <v>39423</v>
      </c>
      <c r="N2560" t="s">
        <v>42669</v>
      </c>
      <c r="O2560" t="s">
        <v>42670</v>
      </c>
      <c r="P2560">
        <v>0</v>
      </c>
      <c r="Q2560">
        <v>5</v>
      </c>
      <c r="R2560" t="s">
        <v>42674</v>
      </c>
      <c r="S2560" t="s">
        <v>42788</v>
      </c>
      <c r="T2560" t="s">
        <v>44550</v>
      </c>
      <c r="U2560" t="s">
        <v>46973</v>
      </c>
      <c r="W2560" t="s">
        <v>39423</v>
      </c>
      <c r="X2560" t="s">
        <v>42676</v>
      </c>
    </row>
    <row r="2561" spans="1:24">
      <c r="A2561">
        <f>HYPERLINK("https://www.philgeps.gov.ph/GEPSNONPILOT/Tender/SplashBidNoticeAbstractUI.aspx?menuIndex=3&amp;refID=7191799&amp;Result=3","7191799")</f>
        <v>0</v>
      </c>
      <c r="B2561" t="s">
        <v>968</v>
      </c>
      <c r="C2561" t="s">
        <v>5975</v>
      </c>
      <c r="D2561" t="s">
        <v>17197</v>
      </c>
      <c r="E2561" t="s">
        <v>19510</v>
      </c>
      <c r="F2561" t="s">
        <v>29372</v>
      </c>
      <c r="G2561" t="s">
        <v>29379</v>
      </c>
      <c r="H2561" t="s">
        <v>11048</v>
      </c>
      <c r="I2561" t="s">
        <v>3839</v>
      </c>
      <c r="J2561" t="s">
        <v>31305</v>
      </c>
      <c r="K2561" t="s">
        <v>38538</v>
      </c>
      <c r="M2561" t="s">
        <v>39764</v>
      </c>
      <c r="N2561" t="s">
        <v>42669</v>
      </c>
      <c r="O2561" t="s">
        <v>42670</v>
      </c>
      <c r="P2561">
        <v>0</v>
      </c>
      <c r="Q2561">
        <v>0</v>
      </c>
      <c r="R2561" t="s">
        <v>42674</v>
      </c>
      <c r="S2561" t="s">
        <v>42788</v>
      </c>
      <c r="T2561" t="s">
        <v>44427</v>
      </c>
      <c r="U2561" t="s">
        <v>46974</v>
      </c>
      <c r="W2561" t="s">
        <v>39764</v>
      </c>
      <c r="X2561" t="s">
        <v>42676</v>
      </c>
    </row>
    <row r="2562" spans="1:24">
      <c r="A2562">
        <f>HYPERLINK("https://www.philgeps.gov.ph/GEPSNONPILOT/Tender/SplashBidNoticeAbstractUI.aspx?menuIndex=3&amp;refID=7191942&amp;Result=3","7191942")</f>
        <v>0</v>
      </c>
      <c r="B2562" t="s">
        <v>968</v>
      </c>
      <c r="C2562" t="s">
        <v>5976</v>
      </c>
      <c r="D2562" t="s">
        <v>17197</v>
      </c>
      <c r="E2562" t="s">
        <v>19511</v>
      </c>
      <c r="F2562" t="s">
        <v>29372</v>
      </c>
      <c r="G2562" t="s">
        <v>29379</v>
      </c>
      <c r="H2562" t="s">
        <v>11048</v>
      </c>
      <c r="I2562" t="s">
        <v>3670</v>
      </c>
      <c r="J2562" t="s">
        <v>29708</v>
      </c>
      <c r="K2562" t="s">
        <v>38538</v>
      </c>
      <c r="M2562" t="s">
        <v>39764</v>
      </c>
      <c r="N2562" t="s">
        <v>42669</v>
      </c>
      <c r="O2562" t="s">
        <v>42670</v>
      </c>
      <c r="P2562">
        <v>0</v>
      </c>
      <c r="Q2562">
        <v>0</v>
      </c>
      <c r="R2562" t="s">
        <v>42674</v>
      </c>
      <c r="S2562" t="s">
        <v>42788</v>
      </c>
      <c r="T2562" t="s">
        <v>44427</v>
      </c>
      <c r="U2562" t="s">
        <v>46975</v>
      </c>
      <c r="W2562" t="s">
        <v>39764</v>
      </c>
      <c r="X2562" t="s">
        <v>42676</v>
      </c>
    </row>
    <row r="2563" spans="1:24">
      <c r="A2563">
        <f>HYPERLINK("https://www.philgeps.gov.ph/GEPSNONPILOT/Tender/SplashBidNoticeAbstractUI.aspx?menuIndex=3&amp;refID=7191941&amp;Result=3","7191941")</f>
        <v>0</v>
      </c>
      <c r="B2563" t="s">
        <v>1001</v>
      </c>
      <c r="C2563" t="s">
        <v>4065</v>
      </c>
      <c r="D2563" t="s">
        <v>17166</v>
      </c>
      <c r="E2563" t="s">
        <v>18829</v>
      </c>
      <c r="F2563" t="s">
        <v>29372</v>
      </c>
      <c r="G2563" t="s">
        <v>29382</v>
      </c>
      <c r="H2563" t="s">
        <v>29390</v>
      </c>
      <c r="I2563" t="s">
        <v>5383</v>
      </c>
      <c r="J2563" t="s">
        <v>29625</v>
      </c>
      <c r="K2563" t="s">
        <v>38491</v>
      </c>
      <c r="M2563" t="s">
        <v>39801</v>
      </c>
      <c r="N2563" t="s">
        <v>42669</v>
      </c>
      <c r="O2563" t="s">
        <v>42670</v>
      </c>
      <c r="P2563">
        <v>0</v>
      </c>
      <c r="Q2563">
        <v>4</v>
      </c>
      <c r="R2563" t="s">
        <v>42674</v>
      </c>
      <c r="S2563" t="s">
        <v>42788</v>
      </c>
      <c r="T2563" t="s">
        <v>44394</v>
      </c>
      <c r="U2563" t="s">
        <v>46976</v>
      </c>
      <c r="W2563" t="s">
        <v>39801</v>
      </c>
      <c r="X2563" t="s">
        <v>42676</v>
      </c>
    </row>
    <row r="2564" spans="1:24">
      <c r="A2564">
        <f>HYPERLINK("https://www.philgeps.gov.ph/GEPSNONPILOT/Tender/SplashBidNoticeAbstractUI.aspx?menuIndex=3&amp;refID=7191886&amp;Result=3","7191886")</f>
        <v>0</v>
      </c>
      <c r="B2564" t="s">
        <v>985</v>
      </c>
      <c r="C2564" t="s">
        <v>5977</v>
      </c>
      <c r="D2564" t="s">
        <v>17158</v>
      </c>
      <c r="E2564" t="s">
        <v>19512</v>
      </c>
      <c r="F2564" t="s">
        <v>29372</v>
      </c>
      <c r="G2564" t="s">
        <v>29380</v>
      </c>
      <c r="H2564" t="s">
        <v>11048</v>
      </c>
      <c r="I2564" t="s">
        <v>3629</v>
      </c>
      <c r="J2564" t="s">
        <v>31001</v>
      </c>
      <c r="K2564" t="s">
        <v>38485</v>
      </c>
      <c r="M2564" t="s">
        <v>39783</v>
      </c>
      <c r="N2564" t="s">
        <v>42669</v>
      </c>
      <c r="O2564" t="s">
        <v>42670</v>
      </c>
      <c r="P2564">
        <v>0</v>
      </c>
      <c r="Q2564">
        <v>0</v>
      </c>
      <c r="R2564" t="s">
        <v>42674</v>
      </c>
      <c r="S2564" t="s">
        <v>42788</v>
      </c>
      <c r="T2564" t="s">
        <v>44412</v>
      </c>
      <c r="U2564" t="s">
        <v>46977</v>
      </c>
      <c r="W2564" t="s">
        <v>39783</v>
      </c>
      <c r="X2564" t="s">
        <v>42676</v>
      </c>
    </row>
    <row r="2565" spans="1:24">
      <c r="A2565">
        <f>HYPERLINK("https://www.philgeps.gov.ph/GEPSNONPILOT/Tender/SplashBidNoticeAbstractUI.aspx?menuIndex=3&amp;refID=7191944&amp;Result=3","7191944")</f>
        <v>0</v>
      </c>
      <c r="B2565" t="s">
        <v>750</v>
      </c>
      <c r="C2565" t="s">
        <v>5978</v>
      </c>
      <c r="D2565" t="s">
        <v>17181</v>
      </c>
      <c r="E2565" t="s">
        <v>19513</v>
      </c>
      <c r="F2565" t="s">
        <v>29372</v>
      </c>
      <c r="G2565" t="s">
        <v>29380</v>
      </c>
      <c r="H2565" t="s">
        <v>11048</v>
      </c>
      <c r="I2565" t="s">
        <v>8208</v>
      </c>
      <c r="J2565" t="s">
        <v>31306</v>
      </c>
      <c r="K2565" t="s">
        <v>38490</v>
      </c>
      <c r="M2565" t="s">
        <v>39533</v>
      </c>
      <c r="N2565" t="s">
        <v>42669</v>
      </c>
      <c r="O2565" t="s">
        <v>42670</v>
      </c>
      <c r="P2565">
        <v>0</v>
      </c>
      <c r="Q2565">
        <v>0</v>
      </c>
      <c r="R2565" t="s">
        <v>42674</v>
      </c>
      <c r="S2565" t="s">
        <v>42788</v>
      </c>
      <c r="T2565" t="s">
        <v>44482</v>
      </c>
      <c r="U2565" t="s">
        <v>46978</v>
      </c>
      <c r="W2565" t="s">
        <v>39533</v>
      </c>
      <c r="X2565" t="s">
        <v>42676</v>
      </c>
    </row>
    <row r="2566" spans="1:24">
      <c r="A2566">
        <f>HYPERLINK("https://www.philgeps.gov.ph/GEPSNONPILOT/Tender/SplashBidNoticeAbstractUI.aspx?menuIndex=3&amp;refID=7191924&amp;Result=3","7191924")</f>
        <v>0</v>
      </c>
      <c r="B2566" t="s">
        <v>1002</v>
      </c>
      <c r="C2566" t="s">
        <v>5979</v>
      </c>
      <c r="D2566" t="s">
        <v>17165</v>
      </c>
      <c r="E2566" t="s">
        <v>19514</v>
      </c>
      <c r="F2566" t="s">
        <v>29372</v>
      </c>
      <c r="G2566" t="s">
        <v>29381</v>
      </c>
      <c r="H2566" t="s">
        <v>29389</v>
      </c>
      <c r="I2566" t="s">
        <v>29450</v>
      </c>
      <c r="J2566" t="s">
        <v>31307</v>
      </c>
      <c r="K2566" t="s">
        <v>38485</v>
      </c>
      <c r="M2566" t="s">
        <v>39802</v>
      </c>
      <c r="N2566" t="s">
        <v>42669</v>
      </c>
      <c r="O2566" t="s">
        <v>42670</v>
      </c>
      <c r="P2566">
        <v>0</v>
      </c>
      <c r="Q2566">
        <v>0</v>
      </c>
      <c r="R2566" t="s">
        <v>42674</v>
      </c>
      <c r="S2566" t="s">
        <v>42788</v>
      </c>
      <c r="T2566" t="s">
        <v>44401</v>
      </c>
      <c r="U2566" t="s">
        <v>46979</v>
      </c>
      <c r="W2566" t="s">
        <v>39802</v>
      </c>
      <c r="X2566" t="s">
        <v>42676</v>
      </c>
    </row>
    <row r="2567" spans="1:24">
      <c r="A2567">
        <f>HYPERLINK("https://www.philgeps.gov.ph/GEPSNONPILOT/Tender/SplashBidNoticeAbstractUI.aspx?menuIndex=3&amp;refID=7191884&amp;Result=3","7191884")</f>
        <v>0</v>
      </c>
      <c r="B2567" t="s">
        <v>968</v>
      </c>
      <c r="C2567" t="s">
        <v>5980</v>
      </c>
      <c r="D2567" t="s">
        <v>17197</v>
      </c>
      <c r="E2567" t="s">
        <v>19515</v>
      </c>
      <c r="F2567" t="s">
        <v>29372</v>
      </c>
      <c r="G2567" t="s">
        <v>29379</v>
      </c>
      <c r="H2567" t="s">
        <v>11048</v>
      </c>
      <c r="I2567" t="s">
        <v>14920</v>
      </c>
      <c r="J2567" t="s">
        <v>31308</v>
      </c>
      <c r="K2567" t="s">
        <v>38538</v>
      </c>
      <c r="M2567" t="s">
        <v>39764</v>
      </c>
      <c r="N2567" t="s">
        <v>42669</v>
      </c>
      <c r="O2567" t="s">
        <v>42670</v>
      </c>
      <c r="P2567">
        <v>0</v>
      </c>
      <c r="Q2567">
        <v>0</v>
      </c>
      <c r="R2567" t="s">
        <v>42674</v>
      </c>
      <c r="S2567" t="s">
        <v>42788</v>
      </c>
      <c r="T2567" t="s">
        <v>44427</v>
      </c>
      <c r="U2567" t="s">
        <v>46980</v>
      </c>
      <c r="W2567" t="s">
        <v>39764</v>
      </c>
      <c r="X2567" t="s">
        <v>42676</v>
      </c>
    </row>
    <row r="2568" spans="1:24">
      <c r="A2568">
        <f>HYPERLINK("https://www.philgeps.gov.ph/GEPSNONPILOT/Tender/SplashBidNoticeAbstractUI.aspx?menuIndex=3&amp;refID=7191953&amp;Result=3","7191953")</f>
        <v>0</v>
      </c>
      <c r="B2568" t="s">
        <v>1003</v>
      </c>
      <c r="C2568" t="s">
        <v>5981</v>
      </c>
      <c r="D2568" t="s">
        <v>17163</v>
      </c>
      <c r="E2568" t="s">
        <v>17344</v>
      </c>
      <c r="F2568" t="s">
        <v>29372</v>
      </c>
      <c r="G2568" t="s">
        <v>29383</v>
      </c>
      <c r="H2568" t="s">
        <v>11048</v>
      </c>
      <c r="I2568" t="s">
        <v>29409</v>
      </c>
      <c r="J2568" t="s">
        <v>31309</v>
      </c>
      <c r="K2568" t="s">
        <v>38538</v>
      </c>
      <c r="M2568" t="s">
        <v>39803</v>
      </c>
      <c r="N2568" t="s">
        <v>42669</v>
      </c>
      <c r="O2568" t="s">
        <v>42670</v>
      </c>
      <c r="P2568">
        <v>0</v>
      </c>
      <c r="Q2568">
        <v>1</v>
      </c>
      <c r="R2568" t="s">
        <v>42674</v>
      </c>
      <c r="S2568" t="s">
        <v>42788</v>
      </c>
      <c r="T2568" t="s">
        <v>44429</v>
      </c>
      <c r="U2568" t="s">
        <v>46981</v>
      </c>
      <c r="W2568" t="s">
        <v>39803</v>
      </c>
      <c r="X2568" t="s">
        <v>42676</v>
      </c>
    </row>
    <row r="2569" spans="1:24">
      <c r="A2569">
        <f>HYPERLINK("https://www.philgeps.gov.ph/GEPSNONPILOT/Tender/SplashBidNoticeAbstractUI.aspx?menuIndex=3&amp;refID=7191938&amp;Result=3","7191938")</f>
        <v>0</v>
      </c>
      <c r="B2569" t="s">
        <v>369</v>
      </c>
      <c r="C2569" t="s">
        <v>5982</v>
      </c>
      <c r="D2569" t="s">
        <v>17141</v>
      </c>
      <c r="E2569" t="s">
        <v>19516</v>
      </c>
      <c r="F2569" t="s">
        <v>29372</v>
      </c>
      <c r="G2569" t="s">
        <v>29379</v>
      </c>
      <c r="H2569" t="s">
        <v>11048</v>
      </c>
      <c r="I2569" t="s">
        <v>4486</v>
      </c>
      <c r="J2569" t="s">
        <v>29685</v>
      </c>
      <c r="K2569" t="s">
        <v>38491</v>
      </c>
      <c r="M2569" t="s">
        <v>39398</v>
      </c>
      <c r="N2569" t="s">
        <v>42669</v>
      </c>
      <c r="O2569" t="s">
        <v>42670</v>
      </c>
      <c r="P2569">
        <v>0</v>
      </c>
      <c r="Q2569">
        <v>2</v>
      </c>
      <c r="R2569" t="s">
        <v>42674</v>
      </c>
      <c r="S2569" t="s">
        <v>42788</v>
      </c>
      <c r="T2569" t="s">
        <v>44371</v>
      </c>
      <c r="U2569" t="s">
        <v>46982</v>
      </c>
      <c r="W2569" t="s">
        <v>39398</v>
      </c>
      <c r="X2569" t="s">
        <v>42676</v>
      </c>
    </row>
    <row r="2570" spans="1:24">
      <c r="A2570">
        <f>HYPERLINK("https://www.philgeps.gov.ph/GEPSNONPILOT/Tender/SplashBidNoticeAbstractUI.aspx?menuIndex=3&amp;refID=7191937&amp;Result=3","7191937")</f>
        <v>0</v>
      </c>
      <c r="B2570" t="s">
        <v>959</v>
      </c>
      <c r="C2570" t="s">
        <v>5983</v>
      </c>
      <c r="D2570" t="s">
        <v>17145</v>
      </c>
      <c r="E2570" t="s">
        <v>19517</v>
      </c>
      <c r="F2570" t="s">
        <v>29372</v>
      </c>
      <c r="G2570" t="s">
        <v>29379</v>
      </c>
      <c r="H2570" t="s">
        <v>11048</v>
      </c>
      <c r="I2570" t="s">
        <v>5383</v>
      </c>
      <c r="J2570" t="s">
        <v>31310</v>
      </c>
      <c r="K2570" t="s">
        <v>38491</v>
      </c>
      <c r="M2570" t="s">
        <v>39755</v>
      </c>
      <c r="N2570" t="s">
        <v>42669</v>
      </c>
      <c r="O2570" t="s">
        <v>42670</v>
      </c>
      <c r="P2570">
        <v>0</v>
      </c>
      <c r="Q2570">
        <v>2</v>
      </c>
      <c r="R2570" t="s">
        <v>42674</v>
      </c>
      <c r="S2570" t="s">
        <v>42788</v>
      </c>
      <c r="T2570" t="s">
        <v>44480</v>
      </c>
      <c r="U2570" t="s">
        <v>46983</v>
      </c>
      <c r="W2570" t="s">
        <v>39755</v>
      </c>
      <c r="X2570" t="s">
        <v>42676</v>
      </c>
    </row>
    <row r="2571" spans="1:24">
      <c r="A2571">
        <f>HYPERLINK("https://www.philgeps.gov.ph/GEPSNONPILOT/Tender/SplashBidNoticeAbstractUI.aspx?menuIndex=3&amp;refID=7191933&amp;Result=3","7191933")</f>
        <v>0</v>
      </c>
      <c r="B2571" t="s">
        <v>679</v>
      </c>
      <c r="C2571" t="s">
        <v>5984</v>
      </c>
      <c r="D2571" t="s">
        <v>17175</v>
      </c>
      <c r="E2571" t="s">
        <v>19518</v>
      </c>
      <c r="F2571" t="s">
        <v>29372</v>
      </c>
      <c r="G2571" t="s">
        <v>29380</v>
      </c>
      <c r="H2571" t="s">
        <v>11048</v>
      </c>
      <c r="I2571" t="s">
        <v>3839</v>
      </c>
      <c r="J2571" t="s">
        <v>30024</v>
      </c>
      <c r="K2571" t="s">
        <v>38510</v>
      </c>
      <c r="M2571" t="s">
        <v>39455</v>
      </c>
      <c r="N2571" t="s">
        <v>42669</v>
      </c>
      <c r="O2571" t="s">
        <v>42670</v>
      </c>
      <c r="P2571">
        <v>0</v>
      </c>
      <c r="Q2571">
        <v>0</v>
      </c>
      <c r="R2571" t="s">
        <v>42674</v>
      </c>
      <c r="S2571" t="s">
        <v>42788</v>
      </c>
      <c r="T2571" t="s">
        <v>44361</v>
      </c>
      <c r="U2571" t="s">
        <v>46984</v>
      </c>
      <c r="W2571" t="s">
        <v>39455</v>
      </c>
      <c r="X2571" t="s">
        <v>42676</v>
      </c>
    </row>
    <row r="2572" spans="1:24">
      <c r="A2572">
        <f>HYPERLINK("https://www.philgeps.gov.ph/GEPSNONPILOT/Tender/SplashBidNoticeAbstractUI.aspx?menuIndex=3&amp;refID=7191929&amp;Result=3","7191929")</f>
        <v>0</v>
      </c>
      <c r="B2572" t="s">
        <v>968</v>
      </c>
      <c r="C2572" t="s">
        <v>5985</v>
      </c>
      <c r="D2572" t="s">
        <v>17197</v>
      </c>
      <c r="E2572" t="s">
        <v>19519</v>
      </c>
      <c r="F2572" t="s">
        <v>29372</v>
      </c>
      <c r="G2572" t="s">
        <v>29379</v>
      </c>
      <c r="H2572" t="s">
        <v>11048</v>
      </c>
      <c r="I2572" t="s">
        <v>3670</v>
      </c>
      <c r="J2572" t="s">
        <v>31311</v>
      </c>
      <c r="K2572" t="s">
        <v>38538</v>
      </c>
      <c r="M2572" t="s">
        <v>39764</v>
      </c>
      <c r="N2572" t="s">
        <v>42669</v>
      </c>
      <c r="O2572" t="s">
        <v>42670</v>
      </c>
      <c r="P2572">
        <v>0</v>
      </c>
      <c r="Q2572">
        <v>0</v>
      </c>
      <c r="R2572" t="s">
        <v>42674</v>
      </c>
      <c r="S2572" t="s">
        <v>42788</v>
      </c>
      <c r="T2572" t="s">
        <v>44427</v>
      </c>
      <c r="U2572" t="s">
        <v>46985</v>
      </c>
      <c r="W2572" t="s">
        <v>39764</v>
      </c>
      <c r="X2572" t="s">
        <v>42676</v>
      </c>
    </row>
    <row r="2573" spans="1:24">
      <c r="A2573">
        <f>HYPERLINK("https://www.philgeps.gov.ph/GEPSNONPILOT/Tender/SplashBidNoticeAbstractUI.aspx?menuIndex=3&amp;refID=7191926&amp;Result=3","7191926")</f>
        <v>0</v>
      </c>
      <c r="B2573" t="s">
        <v>684</v>
      </c>
      <c r="C2573" t="s">
        <v>5986</v>
      </c>
      <c r="D2573" t="s">
        <v>17147</v>
      </c>
      <c r="E2573" t="s">
        <v>19520</v>
      </c>
      <c r="F2573" t="s">
        <v>29372</v>
      </c>
      <c r="G2573" t="s">
        <v>29379</v>
      </c>
      <c r="H2573" t="s">
        <v>11048</v>
      </c>
      <c r="I2573" t="s">
        <v>29394</v>
      </c>
      <c r="J2573" t="s">
        <v>29708</v>
      </c>
      <c r="K2573" t="s">
        <v>38485</v>
      </c>
      <c r="M2573" t="s">
        <v>39790</v>
      </c>
      <c r="N2573" t="s">
        <v>42669</v>
      </c>
      <c r="O2573" t="s">
        <v>42670</v>
      </c>
      <c r="P2573">
        <v>0</v>
      </c>
      <c r="Q2573">
        <v>1</v>
      </c>
      <c r="R2573" t="s">
        <v>42674</v>
      </c>
      <c r="S2573" t="s">
        <v>42788</v>
      </c>
      <c r="T2573" t="s">
        <v>44394</v>
      </c>
      <c r="U2573" t="s">
        <v>46986</v>
      </c>
      <c r="W2573" t="s">
        <v>39790</v>
      </c>
      <c r="X2573" t="s">
        <v>42676</v>
      </c>
    </row>
    <row r="2574" spans="1:24">
      <c r="A2574">
        <f>HYPERLINK("https://www.philgeps.gov.ph/GEPSNONPILOT/Tender/SplashBidNoticeAbstractUI.aspx?menuIndex=3&amp;refID=7191957&amp;Result=3","7191957")</f>
        <v>0</v>
      </c>
      <c r="B2574" t="s">
        <v>669</v>
      </c>
      <c r="C2574" t="s">
        <v>5987</v>
      </c>
      <c r="D2574" t="s">
        <v>17147</v>
      </c>
      <c r="E2574" t="s">
        <v>19521</v>
      </c>
      <c r="F2574" t="s">
        <v>29372</v>
      </c>
      <c r="G2574" t="s">
        <v>29382</v>
      </c>
      <c r="H2574" t="s">
        <v>11048</v>
      </c>
      <c r="I2574" t="s">
        <v>4486</v>
      </c>
      <c r="J2574" t="s">
        <v>29708</v>
      </c>
      <c r="K2574" t="s">
        <v>38488</v>
      </c>
      <c r="N2574" t="s">
        <v>42669</v>
      </c>
      <c r="O2574" t="s">
        <v>42670</v>
      </c>
      <c r="P2574">
        <v>0</v>
      </c>
      <c r="Q2574">
        <v>0</v>
      </c>
      <c r="R2574" t="s">
        <v>42674</v>
      </c>
      <c r="S2574" t="s">
        <v>42788</v>
      </c>
      <c r="T2574" t="s">
        <v>44580</v>
      </c>
      <c r="U2574" t="s">
        <v>46987</v>
      </c>
      <c r="V2574" t="s">
        <v>56531</v>
      </c>
      <c r="W2574" t="s">
        <v>58028</v>
      </c>
      <c r="X2574" t="s">
        <v>42676</v>
      </c>
    </row>
    <row r="2575" spans="1:24">
      <c r="A2575">
        <f>HYPERLINK("https://www.philgeps.gov.ph/GEPSNONPILOT/Tender/SplashBidNoticeAbstractUI.aspx?menuIndex=3&amp;refID=7191925&amp;Result=3","7191925")</f>
        <v>0</v>
      </c>
      <c r="B2575" t="s">
        <v>1004</v>
      </c>
      <c r="C2575" t="s">
        <v>5988</v>
      </c>
      <c r="D2575" t="s">
        <v>17187</v>
      </c>
      <c r="E2575" t="s">
        <v>19522</v>
      </c>
      <c r="F2575" t="s">
        <v>29372</v>
      </c>
      <c r="G2575" t="s">
        <v>29379</v>
      </c>
      <c r="H2575" t="s">
        <v>11048</v>
      </c>
      <c r="I2575" t="s">
        <v>8614</v>
      </c>
      <c r="J2575" t="s">
        <v>31312</v>
      </c>
      <c r="K2575" t="s">
        <v>38510</v>
      </c>
      <c r="M2575" t="s">
        <v>39804</v>
      </c>
      <c r="N2575" t="s">
        <v>42669</v>
      </c>
      <c r="O2575" t="s">
        <v>42670</v>
      </c>
      <c r="P2575">
        <v>0</v>
      </c>
      <c r="Q2575">
        <v>5</v>
      </c>
      <c r="R2575" t="s">
        <v>42674</v>
      </c>
      <c r="S2575" t="s">
        <v>42788</v>
      </c>
      <c r="T2575" t="s">
        <v>44457</v>
      </c>
      <c r="U2575" t="s">
        <v>46988</v>
      </c>
      <c r="W2575" t="s">
        <v>58032</v>
      </c>
      <c r="X2575" t="s">
        <v>42676</v>
      </c>
    </row>
    <row r="2576" spans="1:24">
      <c r="A2576">
        <f>HYPERLINK("https://www.philgeps.gov.ph/GEPSNONPILOT/Tender/SplashBidNoticeAbstractUI.aspx?menuIndex=3&amp;refID=7191960&amp;Result=3","7191960")</f>
        <v>0</v>
      </c>
      <c r="B2576" t="s">
        <v>998</v>
      </c>
      <c r="C2576" t="s">
        <v>5989</v>
      </c>
      <c r="D2576" t="s">
        <v>17141</v>
      </c>
      <c r="E2576" t="s">
        <v>19523</v>
      </c>
      <c r="F2576" t="s">
        <v>29372</v>
      </c>
      <c r="G2576" t="s">
        <v>29382</v>
      </c>
      <c r="H2576" t="s">
        <v>11048</v>
      </c>
      <c r="I2576" t="s">
        <v>29410</v>
      </c>
      <c r="J2576" t="s">
        <v>31313</v>
      </c>
      <c r="K2576" t="s">
        <v>38491</v>
      </c>
      <c r="M2576" t="s">
        <v>39798</v>
      </c>
      <c r="N2576" t="s">
        <v>42669</v>
      </c>
      <c r="O2576" t="s">
        <v>42670</v>
      </c>
      <c r="P2576">
        <v>0</v>
      </c>
      <c r="Q2576">
        <v>3</v>
      </c>
      <c r="R2576" t="s">
        <v>42674</v>
      </c>
      <c r="S2576" t="s">
        <v>42788</v>
      </c>
      <c r="T2576" t="s">
        <v>44399</v>
      </c>
      <c r="U2576" t="s">
        <v>46989</v>
      </c>
      <c r="V2576" t="s">
        <v>56571</v>
      </c>
      <c r="W2576" t="s">
        <v>39798</v>
      </c>
      <c r="X2576" t="s">
        <v>42676</v>
      </c>
    </row>
    <row r="2577" spans="1:24">
      <c r="A2577">
        <f>HYPERLINK("https://www.philgeps.gov.ph/GEPSNONPILOT/Tender/SplashBidNoticeAbstractUI.aspx?menuIndex=3&amp;refID=7191949&amp;Result=3","7191949")</f>
        <v>0</v>
      </c>
      <c r="B2577" t="s">
        <v>679</v>
      </c>
      <c r="C2577" t="s">
        <v>5990</v>
      </c>
      <c r="D2577" t="s">
        <v>17175</v>
      </c>
      <c r="E2577" t="s">
        <v>19524</v>
      </c>
      <c r="F2577" t="s">
        <v>29372</v>
      </c>
      <c r="G2577" t="s">
        <v>29380</v>
      </c>
      <c r="H2577" t="s">
        <v>11048</v>
      </c>
      <c r="I2577" t="s">
        <v>5383</v>
      </c>
      <c r="J2577" t="s">
        <v>31314</v>
      </c>
      <c r="K2577" t="s">
        <v>38510</v>
      </c>
      <c r="M2577" t="s">
        <v>39455</v>
      </c>
      <c r="N2577" t="s">
        <v>42669</v>
      </c>
      <c r="O2577" t="s">
        <v>42670</v>
      </c>
      <c r="P2577">
        <v>0</v>
      </c>
      <c r="Q2577">
        <v>0</v>
      </c>
      <c r="R2577" t="s">
        <v>42674</v>
      </c>
      <c r="S2577" t="s">
        <v>42788</v>
      </c>
      <c r="T2577" t="s">
        <v>44361</v>
      </c>
      <c r="U2577" t="s">
        <v>46990</v>
      </c>
      <c r="W2577" t="s">
        <v>39455</v>
      </c>
      <c r="X2577" t="s">
        <v>42676</v>
      </c>
    </row>
    <row r="2578" spans="1:24">
      <c r="A2578">
        <f>HYPERLINK("https://www.philgeps.gov.ph/GEPSNONPILOT/Tender/SplashBidNoticeAbstractUI.aspx?menuIndex=3&amp;refID=7192002&amp;Result=3","7192002")</f>
        <v>0</v>
      </c>
      <c r="B2578" t="s">
        <v>616</v>
      </c>
      <c r="C2578" t="s">
        <v>5991</v>
      </c>
      <c r="D2578" t="s">
        <v>17204</v>
      </c>
      <c r="E2578" t="s">
        <v>19525</v>
      </c>
      <c r="F2578" t="s">
        <v>29372</v>
      </c>
      <c r="G2578" t="s">
        <v>29379</v>
      </c>
      <c r="H2578" t="s">
        <v>11048</v>
      </c>
      <c r="I2578" t="s">
        <v>29421</v>
      </c>
      <c r="J2578" t="s">
        <v>31315</v>
      </c>
      <c r="K2578" t="s">
        <v>38488</v>
      </c>
      <c r="M2578" t="s">
        <v>39387</v>
      </c>
      <c r="N2578" t="s">
        <v>42669</v>
      </c>
      <c r="O2578" t="s">
        <v>42670</v>
      </c>
      <c r="P2578">
        <v>0</v>
      </c>
      <c r="Q2578">
        <v>1</v>
      </c>
      <c r="R2578" t="s">
        <v>42674</v>
      </c>
      <c r="S2578" t="s">
        <v>42788</v>
      </c>
      <c r="T2578" t="s">
        <v>44378</v>
      </c>
      <c r="U2578" t="s">
        <v>46991</v>
      </c>
      <c r="W2578" t="s">
        <v>39387</v>
      </c>
      <c r="X2578" t="s">
        <v>42676</v>
      </c>
    </row>
    <row r="2579" spans="1:24">
      <c r="A2579">
        <f>HYPERLINK("https://www.philgeps.gov.ph/GEPSNONPILOT/Tender/SplashBidNoticeAbstractUI.aspx?menuIndex=3&amp;refID=7191930&amp;Result=3","7191930")</f>
        <v>0</v>
      </c>
      <c r="B2579" t="s">
        <v>469</v>
      </c>
      <c r="C2579" t="s">
        <v>5992</v>
      </c>
      <c r="E2579" t="s">
        <v>19526</v>
      </c>
      <c r="F2579" t="s">
        <v>29372</v>
      </c>
      <c r="G2579" t="s">
        <v>29379</v>
      </c>
      <c r="H2579" t="s">
        <v>11048</v>
      </c>
      <c r="I2579" t="s">
        <v>29460</v>
      </c>
      <c r="J2579" t="s">
        <v>31316</v>
      </c>
      <c r="K2579" t="s">
        <v>38485</v>
      </c>
      <c r="M2579" t="s">
        <v>39233</v>
      </c>
      <c r="N2579" t="s">
        <v>42669</v>
      </c>
      <c r="O2579" t="s">
        <v>42670</v>
      </c>
      <c r="P2579">
        <v>0</v>
      </c>
      <c r="Q2579">
        <v>0</v>
      </c>
      <c r="R2579" t="s">
        <v>42674</v>
      </c>
      <c r="S2579" t="s">
        <v>42788</v>
      </c>
      <c r="T2579" t="s">
        <v>44432</v>
      </c>
      <c r="U2579" t="s">
        <v>46992</v>
      </c>
      <c r="W2579" t="s">
        <v>39233</v>
      </c>
      <c r="X2579" t="s">
        <v>42676</v>
      </c>
    </row>
    <row r="2580" spans="1:24">
      <c r="A2580">
        <f>HYPERLINK("https://www.philgeps.gov.ph/GEPSNONPILOT/Tender/SplashBidNoticeAbstractUI.aspx?menuIndex=3&amp;refID=7191928&amp;Result=3","7191928")</f>
        <v>0</v>
      </c>
      <c r="B2580" t="s">
        <v>1003</v>
      </c>
      <c r="C2580" t="s">
        <v>5993</v>
      </c>
      <c r="D2580" t="s">
        <v>17163</v>
      </c>
      <c r="E2580" t="s">
        <v>17344</v>
      </c>
      <c r="F2580" t="s">
        <v>29372</v>
      </c>
      <c r="G2580" t="s">
        <v>29383</v>
      </c>
      <c r="H2580" t="s">
        <v>11048</v>
      </c>
      <c r="I2580" t="s">
        <v>29409</v>
      </c>
      <c r="J2580" t="s">
        <v>31317</v>
      </c>
      <c r="K2580" t="s">
        <v>38538</v>
      </c>
      <c r="M2580" t="s">
        <v>39803</v>
      </c>
      <c r="N2580" t="s">
        <v>42669</v>
      </c>
      <c r="O2580" t="s">
        <v>42670</v>
      </c>
      <c r="P2580">
        <v>0</v>
      </c>
      <c r="Q2580">
        <v>0</v>
      </c>
      <c r="R2580" t="s">
        <v>42674</v>
      </c>
      <c r="S2580" t="s">
        <v>42788</v>
      </c>
      <c r="T2580" t="s">
        <v>44451</v>
      </c>
      <c r="U2580" t="s">
        <v>46981</v>
      </c>
      <c r="W2580" t="s">
        <v>39803</v>
      </c>
      <c r="X2580" t="s">
        <v>42676</v>
      </c>
    </row>
    <row r="2581" spans="1:24">
      <c r="A2581">
        <f>HYPERLINK("https://www.philgeps.gov.ph/GEPSNONPILOT/Tender/SplashBidNoticeAbstractUI.aspx?menuIndex=3&amp;refID=7191954&amp;Result=3","7191954")</f>
        <v>0</v>
      </c>
      <c r="B2581" t="s">
        <v>704</v>
      </c>
      <c r="C2581" t="s">
        <v>5994</v>
      </c>
      <c r="D2581" t="s">
        <v>17157</v>
      </c>
      <c r="E2581" t="s">
        <v>18527</v>
      </c>
      <c r="F2581" t="s">
        <v>29372</v>
      </c>
      <c r="G2581" t="s">
        <v>29379</v>
      </c>
      <c r="H2581" t="s">
        <v>11048</v>
      </c>
      <c r="I2581" t="s">
        <v>29393</v>
      </c>
      <c r="J2581" t="s">
        <v>31318</v>
      </c>
      <c r="K2581" t="s">
        <v>38510</v>
      </c>
      <c r="M2581" t="s">
        <v>39482</v>
      </c>
      <c r="N2581" t="s">
        <v>42669</v>
      </c>
      <c r="O2581" t="s">
        <v>42670</v>
      </c>
      <c r="P2581">
        <v>0</v>
      </c>
      <c r="Q2581">
        <v>0</v>
      </c>
      <c r="R2581" t="s">
        <v>42674</v>
      </c>
      <c r="S2581" t="s">
        <v>42788</v>
      </c>
      <c r="T2581" t="s">
        <v>44470</v>
      </c>
      <c r="U2581" t="s">
        <v>46316</v>
      </c>
      <c r="W2581" t="s">
        <v>39482</v>
      </c>
      <c r="X2581" t="s">
        <v>42676</v>
      </c>
    </row>
    <row r="2582" spans="1:24">
      <c r="A2582">
        <f>HYPERLINK("https://www.philgeps.gov.ph/GEPSNONPILOT/Tender/SplashBidNoticeAbstractUI.aspx?menuIndex=3&amp;refID=7191993&amp;Result=3","7191993")</f>
        <v>0</v>
      </c>
      <c r="B2582" t="s">
        <v>1005</v>
      </c>
      <c r="C2582" t="s">
        <v>5995</v>
      </c>
      <c r="D2582" t="s">
        <v>17204</v>
      </c>
      <c r="E2582" t="s">
        <v>19527</v>
      </c>
      <c r="F2582" t="s">
        <v>29372</v>
      </c>
      <c r="G2582" t="s">
        <v>29380</v>
      </c>
      <c r="H2582" t="s">
        <v>29389</v>
      </c>
      <c r="I2582" t="s">
        <v>10408</v>
      </c>
      <c r="J2582" t="s">
        <v>29573</v>
      </c>
      <c r="K2582" t="s">
        <v>38522</v>
      </c>
      <c r="M2582" t="s">
        <v>39805</v>
      </c>
      <c r="N2582" t="s">
        <v>42669</v>
      </c>
      <c r="O2582" t="s">
        <v>42670</v>
      </c>
      <c r="P2582">
        <v>0</v>
      </c>
      <c r="Q2582">
        <v>0</v>
      </c>
      <c r="R2582" t="s">
        <v>42674</v>
      </c>
      <c r="S2582" t="s">
        <v>42788</v>
      </c>
      <c r="T2582" t="s">
        <v>44602</v>
      </c>
      <c r="U2582" t="s">
        <v>46993</v>
      </c>
      <c r="W2582" t="s">
        <v>39805</v>
      </c>
      <c r="X2582" t="s">
        <v>42676</v>
      </c>
    </row>
    <row r="2583" spans="1:24">
      <c r="A2583">
        <f>HYPERLINK("https://www.philgeps.gov.ph/GEPSNONPILOT/Tender/SplashBidNoticeAbstractUI.aspx?menuIndex=3&amp;refID=7191984&amp;Result=3","7191984")</f>
        <v>0</v>
      </c>
      <c r="B2583" t="s">
        <v>851</v>
      </c>
      <c r="C2583" t="s">
        <v>5996</v>
      </c>
      <c r="D2583" t="s">
        <v>17160</v>
      </c>
      <c r="E2583" t="s">
        <v>19528</v>
      </c>
      <c r="F2583" t="s">
        <v>29372</v>
      </c>
      <c r="G2583" t="s">
        <v>29379</v>
      </c>
      <c r="H2583" t="s">
        <v>11048</v>
      </c>
      <c r="I2583" t="s">
        <v>29397</v>
      </c>
      <c r="J2583" t="s">
        <v>31319</v>
      </c>
      <c r="K2583" t="s">
        <v>38510</v>
      </c>
      <c r="M2583" t="s">
        <v>39641</v>
      </c>
      <c r="N2583" t="s">
        <v>42669</v>
      </c>
      <c r="O2583" t="s">
        <v>42670</v>
      </c>
      <c r="P2583">
        <v>0</v>
      </c>
      <c r="Q2583">
        <v>2</v>
      </c>
      <c r="R2583" t="s">
        <v>42674</v>
      </c>
      <c r="S2583" t="s">
        <v>42788</v>
      </c>
      <c r="T2583" t="s">
        <v>44456</v>
      </c>
      <c r="U2583" t="s">
        <v>46994</v>
      </c>
      <c r="W2583" t="s">
        <v>39641</v>
      </c>
      <c r="X2583" t="s">
        <v>42676</v>
      </c>
    </row>
    <row r="2584" spans="1:24">
      <c r="A2584">
        <f>HYPERLINK("https://www.philgeps.gov.ph/GEPSNONPILOT/Tender/SplashBidNoticeAbstractUI.aspx?menuIndex=3&amp;refID=7191958&amp;Result=3","7191958")</f>
        <v>0</v>
      </c>
      <c r="B2584" t="s">
        <v>749</v>
      </c>
      <c r="C2584" t="s">
        <v>5997</v>
      </c>
      <c r="D2584" t="s">
        <v>17179</v>
      </c>
      <c r="E2584" t="s">
        <v>17533</v>
      </c>
      <c r="F2584" t="s">
        <v>29372</v>
      </c>
      <c r="G2584" t="s">
        <v>29380</v>
      </c>
      <c r="H2584" t="s">
        <v>29389</v>
      </c>
      <c r="I2584" t="s">
        <v>10408</v>
      </c>
      <c r="J2584" t="s">
        <v>31320</v>
      </c>
      <c r="K2584" t="s">
        <v>38525</v>
      </c>
      <c r="M2584" t="s">
        <v>39532</v>
      </c>
      <c r="N2584" t="s">
        <v>42669</v>
      </c>
      <c r="O2584" t="s">
        <v>42670</v>
      </c>
      <c r="P2584">
        <v>0</v>
      </c>
      <c r="Q2584">
        <v>0</v>
      </c>
      <c r="R2584" t="s">
        <v>42674</v>
      </c>
      <c r="S2584" t="s">
        <v>42788</v>
      </c>
      <c r="T2584" t="s">
        <v>44490</v>
      </c>
      <c r="U2584" t="s">
        <v>46995</v>
      </c>
      <c r="W2584" t="s">
        <v>39532</v>
      </c>
      <c r="X2584" t="s">
        <v>42676</v>
      </c>
    </row>
    <row r="2585" spans="1:24">
      <c r="A2585">
        <f>HYPERLINK("https://www.philgeps.gov.ph/GEPSNONPILOT/Tender/SplashBidNoticeAbstractUI.aspx?menuIndex=3&amp;refID=7191788&amp;Result=3","7191788")</f>
        <v>0</v>
      </c>
      <c r="B2585" t="s">
        <v>1006</v>
      </c>
      <c r="C2585" t="s">
        <v>5998</v>
      </c>
      <c r="D2585" t="s">
        <v>17175</v>
      </c>
      <c r="E2585" t="s">
        <v>19529</v>
      </c>
      <c r="F2585" t="s">
        <v>29372</v>
      </c>
      <c r="G2585" t="s">
        <v>29380</v>
      </c>
      <c r="H2585" t="s">
        <v>11048</v>
      </c>
      <c r="I2585" t="s">
        <v>4709</v>
      </c>
      <c r="J2585" t="s">
        <v>31321</v>
      </c>
      <c r="K2585" t="s">
        <v>38510</v>
      </c>
      <c r="M2585" t="s">
        <v>39806</v>
      </c>
      <c r="N2585" t="s">
        <v>42669</v>
      </c>
      <c r="O2585" t="s">
        <v>42670</v>
      </c>
      <c r="P2585">
        <v>0</v>
      </c>
      <c r="Q2585">
        <v>0</v>
      </c>
      <c r="R2585" t="s">
        <v>42674</v>
      </c>
      <c r="S2585" t="s">
        <v>42788</v>
      </c>
      <c r="T2585" t="s">
        <v>44530</v>
      </c>
      <c r="U2585" t="s">
        <v>46996</v>
      </c>
      <c r="W2585" t="s">
        <v>39806</v>
      </c>
      <c r="X2585" t="s">
        <v>42676</v>
      </c>
    </row>
    <row r="2586" spans="1:24">
      <c r="A2586">
        <f>HYPERLINK("https://www.philgeps.gov.ph/GEPSNONPILOT/Tender/SplashBidNoticeAbstractUI.aspx?menuIndex=3&amp;refID=7191983&amp;Result=3","7191983")</f>
        <v>0</v>
      </c>
      <c r="B2586" t="s">
        <v>799</v>
      </c>
      <c r="C2586" t="s">
        <v>5999</v>
      </c>
      <c r="D2586" t="s">
        <v>17180</v>
      </c>
      <c r="E2586" t="s">
        <v>19530</v>
      </c>
      <c r="F2586" t="s">
        <v>29372</v>
      </c>
      <c r="G2586" t="s">
        <v>29379</v>
      </c>
      <c r="H2586" t="s">
        <v>11048</v>
      </c>
      <c r="I2586" t="s">
        <v>29398</v>
      </c>
      <c r="J2586" t="s">
        <v>31322</v>
      </c>
      <c r="K2586" t="s">
        <v>38490</v>
      </c>
      <c r="M2586" t="s">
        <v>39583</v>
      </c>
      <c r="N2586" t="s">
        <v>42669</v>
      </c>
      <c r="O2586" t="s">
        <v>42670</v>
      </c>
      <c r="P2586">
        <v>0</v>
      </c>
      <c r="Q2586">
        <v>10</v>
      </c>
      <c r="R2586" t="s">
        <v>42674</v>
      </c>
      <c r="S2586" t="s">
        <v>42788</v>
      </c>
      <c r="T2586" t="s">
        <v>44603</v>
      </c>
      <c r="U2586" t="s">
        <v>46997</v>
      </c>
      <c r="W2586" t="s">
        <v>39583</v>
      </c>
      <c r="X2586" t="s">
        <v>42676</v>
      </c>
    </row>
    <row r="2587" spans="1:24">
      <c r="A2587">
        <f>HYPERLINK("https://www.philgeps.gov.ph/GEPSNONPILOT/Tender/SplashBidNoticeAbstractUI.aspx?menuIndex=3&amp;refID=7191977&amp;Result=3","7191977")</f>
        <v>0</v>
      </c>
      <c r="B2587" t="s">
        <v>1007</v>
      </c>
      <c r="C2587" t="s">
        <v>6000</v>
      </c>
      <c r="D2587" t="s">
        <v>17164</v>
      </c>
      <c r="E2587" t="s">
        <v>19531</v>
      </c>
      <c r="F2587" t="s">
        <v>29372</v>
      </c>
      <c r="G2587" t="s">
        <v>29380</v>
      </c>
      <c r="H2587" t="s">
        <v>11048</v>
      </c>
      <c r="I2587" t="s">
        <v>5383</v>
      </c>
      <c r="J2587" t="s">
        <v>31323</v>
      </c>
      <c r="K2587" t="s">
        <v>38485</v>
      </c>
      <c r="M2587" t="s">
        <v>39807</v>
      </c>
      <c r="N2587" t="s">
        <v>42669</v>
      </c>
      <c r="O2587" t="s">
        <v>42670</v>
      </c>
      <c r="P2587">
        <v>0</v>
      </c>
      <c r="Q2587">
        <v>3</v>
      </c>
      <c r="R2587" t="s">
        <v>42674</v>
      </c>
      <c r="S2587" t="s">
        <v>42788</v>
      </c>
      <c r="T2587" t="s">
        <v>44436</v>
      </c>
      <c r="U2587" t="s">
        <v>46998</v>
      </c>
      <c r="W2587" t="s">
        <v>39807</v>
      </c>
      <c r="X2587" t="s">
        <v>42676</v>
      </c>
    </row>
    <row r="2588" spans="1:24">
      <c r="A2588">
        <f>HYPERLINK("https://www.philgeps.gov.ph/GEPSNONPILOT/Tender/SplashBidNoticeAbstractUI.aspx?menuIndex=3&amp;refID=7191976&amp;Result=3","7191976")</f>
        <v>0</v>
      </c>
      <c r="B2588" t="s">
        <v>968</v>
      </c>
      <c r="C2588" t="s">
        <v>6001</v>
      </c>
      <c r="D2588" t="s">
        <v>17197</v>
      </c>
      <c r="E2588" t="s">
        <v>19532</v>
      </c>
      <c r="F2588" t="s">
        <v>29372</v>
      </c>
      <c r="G2588" t="s">
        <v>29379</v>
      </c>
      <c r="H2588" t="s">
        <v>11048</v>
      </c>
      <c r="I2588" t="s">
        <v>3839</v>
      </c>
      <c r="J2588" t="s">
        <v>31324</v>
      </c>
      <c r="K2588" t="s">
        <v>38538</v>
      </c>
      <c r="M2588" t="s">
        <v>39764</v>
      </c>
      <c r="N2588" t="s">
        <v>42669</v>
      </c>
      <c r="O2588" t="s">
        <v>42670</v>
      </c>
      <c r="P2588">
        <v>0</v>
      </c>
      <c r="Q2588">
        <v>0</v>
      </c>
      <c r="R2588" t="s">
        <v>42674</v>
      </c>
      <c r="S2588" t="s">
        <v>42788</v>
      </c>
      <c r="T2588" t="s">
        <v>44427</v>
      </c>
      <c r="U2588" t="s">
        <v>46999</v>
      </c>
      <c r="W2588" t="s">
        <v>39764</v>
      </c>
      <c r="X2588" t="s">
        <v>42676</v>
      </c>
    </row>
    <row r="2589" spans="1:24">
      <c r="A2589">
        <f>HYPERLINK("https://www.philgeps.gov.ph/GEPSNONPILOT/Tender/SplashBidNoticeAbstractUI.aspx?menuIndex=3&amp;refID=7191992&amp;Result=3","7191992")</f>
        <v>0</v>
      </c>
      <c r="B2589" t="s">
        <v>968</v>
      </c>
      <c r="C2589" t="s">
        <v>6002</v>
      </c>
      <c r="D2589" t="s">
        <v>17197</v>
      </c>
      <c r="E2589" t="s">
        <v>19533</v>
      </c>
      <c r="F2589" t="s">
        <v>29372</v>
      </c>
      <c r="G2589" t="s">
        <v>29379</v>
      </c>
      <c r="H2589" t="s">
        <v>11048</v>
      </c>
      <c r="I2589" t="s">
        <v>3629</v>
      </c>
      <c r="J2589" t="s">
        <v>31325</v>
      </c>
      <c r="K2589" t="s">
        <v>38538</v>
      </c>
      <c r="M2589" t="s">
        <v>39764</v>
      </c>
      <c r="N2589" t="s">
        <v>42669</v>
      </c>
      <c r="O2589" t="s">
        <v>42670</v>
      </c>
      <c r="P2589">
        <v>0</v>
      </c>
      <c r="Q2589">
        <v>0</v>
      </c>
      <c r="R2589" t="s">
        <v>42674</v>
      </c>
      <c r="S2589" t="s">
        <v>42788</v>
      </c>
      <c r="T2589" t="s">
        <v>44427</v>
      </c>
      <c r="U2589" t="s">
        <v>47000</v>
      </c>
      <c r="W2589" t="s">
        <v>39764</v>
      </c>
      <c r="X2589" t="s">
        <v>42676</v>
      </c>
    </row>
    <row r="2590" spans="1:24">
      <c r="A2590">
        <f>HYPERLINK("https://www.philgeps.gov.ph/GEPSNONPILOT/Tender/SplashBidNoticeAbstractUI.aspx?menuIndex=3&amp;refID=7191974&amp;Result=3","7191974")</f>
        <v>0</v>
      </c>
      <c r="B2590" t="s">
        <v>1008</v>
      </c>
      <c r="C2590" t="s">
        <v>6003</v>
      </c>
      <c r="D2590" t="s">
        <v>17189</v>
      </c>
      <c r="E2590" t="s">
        <v>19534</v>
      </c>
      <c r="F2590" t="s">
        <v>29372</v>
      </c>
      <c r="G2590" t="s">
        <v>29379</v>
      </c>
      <c r="H2590" t="s">
        <v>11048</v>
      </c>
      <c r="I2590" t="s">
        <v>29415</v>
      </c>
      <c r="J2590" t="s">
        <v>31326</v>
      </c>
      <c r="K2590" t="s">
        <v>38488</v>
      </c>
      <c r="M2590" t="s">
        <v>39808</v>
      </c>
      <c r="N2590" t="s">
        <v>42669</v>
      </c>
      <c r="O2590" t="s">
        <v>42670</v>
      </c>
      <c r="P2590">
        <v>0</v>
      </c>
      <c r="Q2590">
        <v>4</v>
      </c>
      <c r="R2590" t="s">
        <v>42674</v>
      </c>
      <c r="S2590" t="s">
        <v>42788</v>
      </c>
      <c r="T2590" t="s">
        <v>44417</v>
      </c>
      <c r="U2590" t="s">
        <v>47001</v>
      </c>
      <c r="W2590" t="s">
        <v>39808</v>
      </c>
      <c r="X2590" t="s">
        <v>42676</v>
      </c>
    </row>
    <row r="2591" spans="1:24">
      <c r="A2591">
        <f>HYPERLINK("https://www.philgeps.gov.ph/GEPSNONPILOT/Tender/SplashBidNoticeAbstractUI.aspx?menuIndex=3&amp;refID=7191981&amp;Result=3","7191981")</f>
        <v>0</v>
      </c>
      <c r="B2591" t="s">
        <v>955</v>
      </c>
      <c r="C2591" t="s">
        <v>6004</v>
      </c>
      <c r="E2591" t="s">
        <v>19535</v>
      </c>
      <c r="F2591" t="s">
        <v>29372</v>
      </c>
      <c r="G2591" t="s">
        <v>29380</v>
      </c>
      <c r="H2591" t="s">
        <v>11048</v>
      </c>
      <c r="I2591" t="s">
        <v>29407</v>
      </c>
      <c r="J2591" t="s">
        <v>31327</v>
      </c>
      <c r="K2591" t="s">
        <v>38490</v>
      </c>
      <c r="M2591" t="s">
        <v>39751</v>
      </c>
      <c r="N2591" t="s">
        <v>42669</v>
      </c>
      <c r="O2591" t="s">
        <v>42670</v>
      </c>
      <c r="P2591">
        <v>0</v>
      </c>
      <c r="Q2591">
        <v>7</v>
      </c>
      <c r="R2591" t="s">
        <v>42674</v>
      </c>
      <c r="S2591" t="s">
        <v>42788</v>
      </c>
      <c r="T2591" t="s">
        <v>44363</v>
      </c>
      <c r="U2591" t="s">
        <v>47002</v>
      </c>
      <c r="W2591" t="s">
        <v>39751</v>
      </c>
      <c r="X2591" t="s">
        <v>42676</v>
      </c>
    </row>
    <row r="2592" spans="1:24">
      <c r="A2592">
        <f>HYPERLINK("https://www.philgeps.gov.ph/GEPSNONPILOT/Tender/SplashBidNoticeAbstractUI.aspx?menuIndex=3&amp;refID=7191969&amp;Result=3","7191969")</f>
        <v>0</v>
      </c>
      <c r="B2592" t="s">
        <v>782</v>
      </c>
      <c r="C2592" t="s">
        <v>6005</v>
      </c>
      <c r="D2592" t="s">
        <v>17204</v>
      </c>
      <c r="E2592" t="s">
        <v>19536</v>
      </c>
      <c r="F2592" t="s">
        <v>29372</v>
      </c>
      <c r="G2592" t="s">
        <v>29379</v>
      </c>
      <c r="H2592" t="s">
        <v>11048</v>
      </c>
      <c r="I2592" t="s">
        <v>29394</v>
      </c>
      <c r="J2592" t="s">
        <v>30790</v>
      </c>
      <c r="K2592" t="s">
        <v>38485</v>
      </c>
      <c r="M2592" t="s">
        <v>39566</v>
      </c>
      <c r="N2592" t="s">
        <v>42669</v>
      </c>
      <c r="O2592" t="s">
        <v>42670</v>
      </c>
      <c r="P2592">
        <v>0</v>
      </c>
      <c r="Q2592">
        <v>4</v>
      </c>
      <c r="R2592" t="s">
        <v>42674</v>
      </c>
      <c r="S2592" t="s">
        <v>42788</v>
      </c>
      <c r="T2592" t="s">
        <v>44512</v>
      </c>
      <c r="U2592" t="s">
        <v>46454</v>
      </c>
      <c r="W2592" t="s">
        <v>39566</v>
      </c>
      <c r="X2592" t="s">
        <v>42676</v>
      </c>
    </row>
    <row r="2593" spans="1:24">
      <c r="A2593">
        <f>HYPERLINK("https://www.philgeps.gov.ph/GEPSNONPILOT/Tender/SplashBidNoticeAbstractUI.aspx?menuIndex=3&amp;refID=7191980&amp;Result=3","7191980")</f>
        <v>0</v>
      </c>
      <c r="B2593" t="s">
        <v>1009</v>
      </c>
      <c r="C2593" t="s">
        <v>6006</v>
      </c>
      <c r="D2593" t="s">
        <v>17151</v>
      </c>
      <c r="E2593" t="s">
        <v>19537</v>
      </c>
      <c r="F2593" t="s">
        <v>29372</v>
      </c>
      <c r="G2593" t="s">
        <v>29382</v>
      </c>
      <c r="H2593" t="s">
        <v>11048</v>
      </c>
      <c r="I2593" t="s">
        <v>29412</v>
      </c>
      <c r="J2593" t="s">
        <v>30420</v>
      </c>
      <c r="K2593" t="s">
        <v>38528</v>
      </c>
      <c r="M2593" t="s">
        <v>39809</v>
      </c>
      <c r="N2593" t="s">
        <v>42669</v>
      </c>
      <c r="O2593" t="s">
        <v>42670</v>
      </c>
      <c r="P2593">
        <v>0</v>
      </c>
      <c r="Q2593">
        <v>0</v>
      </c>
      <c r="R2593" t="s">
        <v>42674</v>
      </c>
      <c r="S2593" t="s">
        <v>42788</v>
      </c>
      <c r="T2593" t="s">
        <v>44432</v>
      </c>
      <c r="U2593" t="s">
        <v>47003</v>
      </c>
      <c r="W2593" t="s">
        <v>39809</v>
      </c>
      <c r="X2593" t="s">
        <v>42676</v>
      </c>
    </row>
    <row r="2594" spans="1:24">
      <c r="A2594">
        <f>HYPERLINK("https://www.philgeps.gov.ph/GEPSNONPILOT/Tender/SplashBidNoticeAbstractUI.aspx?menuIndex=3&amp;refID=7191965&amp;Result=3","7191965")</f>
        <v>0</v>
      </c>
      <c r="B2594" t="s">
        <v>985</v>
      </c>
      <c r="C2594" t="s">
        <v>6007</v>
      </c>
      <c r="D2594" t="s">
        <v>17158</v>
      </c>
      <c r="E2594" t="s">
        <v>19538</v>
      </c>
      <c r="F2594" t="s">
        <v>29372</v>
      </c>
      <c r="G2594" t="s">
        <v>29380</v>
      </c>
      <c r="H2594" t="s">
        <v>11048</v>
      </c>
      <c r="I2594" t="s">
        <v>29404</v>
      </c>
      <c r="J2594" t="s">
        <v>29708</v>
      </c>
      <c r="K2594" t="s">
        <v>38485</v>
      </c>
      <c r="M2594" t="s">
        <v>39783</v>
      </c>
      <c r="N2594" t="s">
        <v>42669</v>
      </c>
      <c r="O2594" t="s">
        <v>42670</v>
      </c>
      <c r="P2594">
        <v>0</v>
      </c>
      <c r="Q2594">
        <v>0</v>
      </c>
      <c r="R2594" t="s">
        <v>42674</v>
      </c>
      <c r="S2594" t="s">
        <v>42788</v>
      </c>
      <c r="T2594" t="s">
        <v>44412</v>
      </c>
      <c r="U2594" t="s">
        <v>47004</v>
      </c>
      <c r="W2594" t="s">
        <v>39783</v>
      </c>
      <c r="X2594" t="s">
        <v>42676</v>
      </c>
    </row>
    <row r="2595" spans="1:24">
      <c r="A2595">
        <f>HYPERLINK("https://www.philgeps.gov.ph/GEPSNONPILOT/Tender/SplashBidNoticeAbstractUI.aspx?menuIndex=3&amp;refID=7192003&amp;Result=3","7192003")</f>
        <v>0</v>
      </c>
      <c r="B2595" t="s">
        <v>1010</v>
      </c>
      <c r="C2595" t="s">
        <v>6008</v>
      </c>
      <c r="E2595" t="s">
        <v>19539</v>
      </c>
      <c r="F2595" t="s">
        <v>29372</v>
      </c>
      <c r="G2595" t="s">
        <v>29380</v>
      </c>
      <c r="H2595" t="s">
        <v>29389</v>
      </c>
      <c r="I2595" t="s">
        <v>10408</v>
      </c>
      <c r="J2595" t="s">
        <v>31328</v>
      </c>
      <c r="K2595" t="s">
        <v>38490</v>
      </c>
      <c r="M2595" t="s">
        <v>39810</v>
      </c>
      <c r="N2595" t="s">
        <v>42669</v>
      </c>
      <c r="O2595" t="s">
        <v>42670</v>
      </c>
      <c r="P2595">
        <v>0</v>
      </c>
      <c r="Q2595">
        <v>0</v>
      </c>
      <c r="R2595" t="s">
        <v>42674</v>
      </c>
      <c r="S2595" t="s">
        <v>42788</v>
      </c>
      <c r="T2595" t="s">
        <v>44542</v>
      </c>
      <c r="U2595" t="s">
        <v>47005</v>
      </c>
      <c r="W2595" t="s">
        <v>39810</v>
      </c>
      <c r="X2595" t="s">
        <v>42676</v>
      </c>
    </row>
    <row r="2596" spans="1:24">
      <c r="A2596">
        <f>HYPERLINK("https://www.philgeps.gov.ph/GEPSNONPILOT/Tender/SplashBidNoticeAbstractUI.aspx?menuIndex=3&amp;refID=7191891&amp;Result=3","7191891")</f>
        <v>0</v>
      </c>
      <c r="B2596" t="s">
        <v>881</v>
      </c>
      <c r="C2596" t="s">
        <v>6009</v>
      </c>
      <c r="D2596" t="s">
        <v>17204</v>
      </c>
      <c r="E2596" t="s">
        <v>19540</v>
      </c>
      <c r="F2596" t="s">
        <v>29372</v>
      </c>
      <c r="G2596" t="s">
        <v>29379</v>
      </c>
      <c r="H2596" t="s">
        <v>11048</v>
      </c>
      <c r="I2596" t="s">
        <v>29415</v>
      </c>
      <c r="J2596" t="s">
        <v>31329</v>
      </c>
      <c r="K2596" t="s">
        <v>38485</v>
      </c>
      <c r="M2596" t="s">
        <v>39673</v>
      </c>
      <c r="N2596" t="s">
        <v>42669</v>
      </c>
      <c r="O2596" t="s">
        <v>42670</v>
      </c>
      <c r="P2596">
        <v>0</v>
      </c>
      <c r="Q2596">
        <v>11</v>
      </c>
      <c r="R2596" t="s">
        <v>42674</v>
      </c>
      <c r="S2596" t="s">
        <v>42788</v>
      </c>
      <c r="T2596" t="s">
        <v>44512</v>
      </c>
      <c r="U2596" t="s">
        <v>46646</v>
      </c>
      <c r="W2596" t="s">
        <v>39673</v>
      </c>
      <c r="X2596" t="s">
        <v>42676</v>
      </c>
    </row>
    <row r="2597" spans="1:24">
      <c r="A2597">
        <f>HYPERLINK("https://www.philgeps.gov.ph/GEPSNONPILOT/Tender/SplashBidNoticeAbstractUI.aspx?menuIndex=3&amp;refID=7192018&amp;Result=3","7192018")</f>
        <v>0</v>
      </c>
      <c r="B2597" t="s">
        <v>998</v>
      </c>
      <c r="C2597" t="s">
        <v>6010</v>
      </c>
      <c r="D2597" t="s">
        <v>17141</v>
      </c>
      <c r="E2597" t="s">
        <v>19541</v>
      </c>
      <c r="F2597" t="s">
        <v>29372</v>
      </c>
      <c r="G2597" t="s">
        <v>29382</v>
      </c>
      <c r="H2597" t="s">
        <v>11048</v>
      </c>
      <c r="I2597" t="s">
        <v>3670</v>
      </c>
      <c r="J2597" t="s">
        <v>30539</v>
      </c>
      <c r="K2597" t="s">
        <v>38491</v>
      </c>
      <c r="M2597" t="s">
        <v>39798</v>
      </c>
      <c r="N2597" t="s">
        <v>42669</v>
      </c>
      <c r="O2597" t="s">
        <v>42670</v>
      </c>
      <c r="P2597">
        <v>0</v>
      </c>
      <c r="Q2597">
        <v>5</v>
      </c>
      <c r="R2597" t="s">
        <v>42674</v>
      </c>
      <c r="S2597" t="s">
        <v>42788</v>
      </c>
      <c r="T2597" t="s">
        <v>44399</v>
      </c>
      <c r="U2597" t="s">
        <v>47006</v>
      </c>
      <c r="V2597" t="s">
        <v>56608</v>
      </c>
      <c r="W2597" t="s">
        <v>39798</v>
      </c>
      <c r="X2597" t="s">
        <v>42676</v>
      </c>
    </row>
    <row r="2598" spans="1:24">
      <c r="A2598">
        <f>HYPERLINK("https://www.philgeps.gov.ph/GEPSNONPILOT/Tender/SplashBidNoticeAbstractUI.aspx?menuIndex=3&amp;refID=7191967&amp;Result=3","7191967")</f>
        <v>0</v>
      </c>
      <c r="B2598" t="s">
        <v>1011</v>
      </c>
      <c r="C2598" t="s">
        <v>6011</v>
      </c>
      <c r="D2598" t="s">
        <v>17171</v>
      </c>
      <c r="E2598" t="s">
        <v>19542</v>
      </c>
      <c r="F2598" t="s">
        <v>29372</v>
      </c>
      <c r="G2598" t="s">
        <v>29379</v>
      </c>
      <c r="H2598" t="s">
        <v>29389</v>
      </c>
      <c r="I2598" t="s">
        <v>29417</v>
      </c>
      <c r="J2598" t="s">
        <v>30155</v>
      </c>
      <c r="K2598" t="s">
        <v>38489</v>
      </c>
      <c r="M2598" t="s">
        <v>39811</v>
      </c>
      <c r="N2598" t="s">
        <v>42669</v>
      </c>
      <c r="O2598" t="s">
        <v>42670</v>
      </c>
      <c r="P2598">
        <v>0</v>
      </c>
      <c r="Q2598">
        <v>1</v>
      </c>
      <c r="R2598" t="s">
        <v>42674</v>
      </c>
      <c r="S2598" t="s">
        <v>42788</v>
      </c>
      <c r="T2598" t="s">
        <v>44429</v>
      </c>
      <c r="U2598" t="s">
        <v>47007</v>
      </c>
      <c r="W2598" t="s">
        <v>39811</v>
      </c>
      <c r="X2598" t="s">
        <v>42676</v>
      </c>
    </row>
    <row r="2599" spans="1:24">
      <c r="A2599">
        <f>HYPERLINK("https://www.philgeps.gov.ph/GEPSNONPILOT/Tender/SplashBidNoticeAbstractUI.aspx?menuIndex=3&amp;refID=7191964&amp;Result=3","7191964")</f>
        <v>0</v>
      </c>
      <c r="B2599" t="s">
        <v>440</v>
      </c>
      <c r="C2599" t="s">
        <v>6012</v>
      </c>
      <c r="D2599" t="s">
        <v>17141</v>
      </c>
      <c r="E2599" t="s">
        <v>19543</v>
      </c>
      <c r="F2599" t="s">
        <v>29372</v>
      </c>
      <c r="G2599" t="s">
        <v>29379</v>
      </c>
      <c r="H2599" t="s">
        <v>11048</v>
      </c>
      <c r="I2599" t="s">
        <v>8208</v>
      </c>
      <c r="J2599" t="s">
        <v>30758</v>
      </c>
      <c r="K2599" t="s">
        <v>38490</v>
      </c>
      <c r="M2599" t="s">
        <v>39204</v>
      </c>
      <c r="N2599" t="s">
        <v>42669</v>
      </c>
      <c r="O2599" t="s">
        <v>42670</v>
      </c>
      <c r="P2599">
        <v>0</v>
      </c>
      <c r="Q2599">
        <v>5</v>
      </c>
      <c r="R2599" t="s">
        <v>42674</v>
      </c>
      <c r="S2599" t="s">
        <v>42788</v>
      </c>
      <c r="T2599" t="s">
        <v>44488</v>
      </c>
      <c r="U2599" t="s">
        <v>47008</v>
      </c>
      <c r="W2599" t="s">
        <v>39204</v>
      </c>
      <c r="X2599" t="s">
        <v>42676</v>
      </c>
    </row>
    <row r="2600" spans="1:24">
      <c r="A2600">
        <f>HYPERLINK("https://www.philgeps.gov.ph/GEPSNONPILOT/Tender/SplashBidNoticeAbstractUI.aspx?menuIndex=3&amp;refID=7192009&amp;Result=3","7192009")</f>
        <v>0</v>
      </c>
      <c r="B2600" t="s">
        <v>1012</v>
      </c>
      <c r="C2600" t="s">
        <v>6013</v>
      </c>
      <c r="D2600" t="s">
        <v>17180</v>
      </c>
      <c r="E2600" t="s">
        <v>19544</v>
      </c>
      <c r="F2600" t="s">
        <v>29372</v>
      </c>
      <c r="G2600" t="s">
        <v>29379</v>
      </c>
      <c r="H2600" t="s">
        <v>11048</v>
      </c>
      <c r="I2600" t="s">
        <v>3839</v>
      </c>
      <c r="J2600" t="s">
        <v>29823</v>
      </c>
      <c r="K2600" t="s">
        <v>38491</v>
      </c>
      <c r="M2600" t="s">
        <v>39812</v>
      </c>
      <c r="N2600" t="s">
        <v>42669</v>
      </c>
      <c r="O2600" t="s">
        <v>42670</v>
      </c>
      <c r="P2600">
        <v>0</v>
      </c>
      <c r="Q2600">
        <v>2</v>
      </c>
      <c r="R2600" t="s">
        <v>42674</v>
      </c>
      <c r="S2600" t="s">
        <v>42788</v>
      </c>
      <c r="T2600" t="s">
        <v>44394</v>
      </c>
      <c r="U2600" t="s">
        <v>47009</v>
      </c>
      <c r="W2600" t="s">
        <v>39812</v>
      </c>
      <c r="X2600" t="s">
        <v>42676</v>
      </c>
    </row>
    <row r="2601" spans="1:24">
      <c r="A2601">
        <f>HYPERLINK("https://www.philgeps.gov.ph/GEPSNONPILOT/Tender/SplashBidNoticeAbstractUI.aspx?menuIndex=3&amp;refID=7192044&amp;Result=3","7192044")</f>
        <v>0</v>
      </c>
      <c r="B2601" t="s">
        <v>755</v>
      </c>
      <c r="C2601" t="s">
        <v>6014</v>
      </c>
      <c r="D2601" t="s">
        <v>17174</v>
      </c>
      <c r="E2601" t="s">
        <v>19545</v>
      </c>
      <c r="F2601" t="s">
        <v>29372</v>
      </c>
      <c r="G2601" t="s">
        <v>29379</v>
      </c>
      <c r="H2601" t="s">
        <v>11048</v>
      </c>
      <c r="I2601" t="s">
        <v>29394</v>
      </c>
      <c r="J2601" t="s">
        <v>29935</v>
      </c>
      <c r="K2601" t="s">
        <v>38488</v>
      </c>
      <c r="M2601" t="s">
        <v>39538</v>
      </c>
      <c r="N2601" t="s">
        <v>42669</v>
      </c>
      <c r="O2601" t="s">
        <v>42670</v>
      </c>
      <c r="P2601">
        <v>0</v>
      </c>
      <c r="Q2601">
        <v>0</v>
      </c>
      <c r="R2601" t="s">
        <v>42674</v>
      </c>
      <c r="S2601" t="s">
        <v>42788</v>
      </c>
      <c r="T2601" t="s">
        <v>44454</v>
      </c>
      <c r="U2601" t="s">
        <v>46461</v>
      </c>
      <c r="W2601" t="s">
        <v>39538</v>
      </c>
      <c r="X2601" t="s">
        <v>42676</v>
      </c>
    </row>
    <row r="2602" spans="1:24">
      <c r="A2602">
        <f>HYPERLINK("https://www.philgeps.gov.ph/GEPSNONPILOT/Tender/SplashBidNoticeAbstractUI.aspx?menuIndex=3&amp;refID=7191971&amp;Result=3","7191971")</f>
        <v>0</v>
      </c>
      <c r="B2602" t="s">
        <v>955</v>
      </c>
      <c r="C2602" t="s">
        <v>6015</v>
      </c>
      <c r="E2602" t="s">
        <v>19546</v>
      </c>
      <c r="F2602" t="s">
        <v>29372</v>
      </c>
      <c r="G2602" t="s">
        <v>29380</v>
      </c>
      <c r="H2602" t="s">
        <v>11048</v>
      </c>
      <c r="I2602" t="s">
        <v>29407</v>
      </c>
      <c r="J2602" t="s">
        <v>31330</v>
      </c>
      <c r="K2602" t="s">
        <v>38490</v>
      </c>
      <c r="M2602" t="s">
        <v>39751</v>
      </c>
      <c r="N2602" t="s">
        <v>42669</v>
      </c>
      <c r="O2602" t="s">
        <v>42670</v>
      </c>
      <c r="P2602">
        <v>0</v>
      </c>
      <c r="Q2602">
        <v>9</v>
      </c>
      <c r="R2602" t="s">
        <v>42674</v>
      </c>
      <c r="S2602" t="s">
        <v>42788</v>
      </c>
      <c r="T2602" t="s">
        <v>44363</v>
      </c>
      <c r="U2602" t="s">
        <v>47010</v>
      </c>
      <c r="W2602" t="s">
        <v>39751</v>
      </c>
      <c r="X2602" t="s">
        <v>42676</v>
      </c>
    </row>
    <row r="2603" spans="1:24">
      <c r="A2603">
        <f>HYPERLINK("https://www.philgeps.gov.ph/GEPSNONPILOT/Tender/SplashBidNoticeAbstractUI.aspx?menuIndex=3&amp;refID=7192042&amp;Result=3","7192042")</f>
        <v>0</v>
      </c>
      <c r="B2603" t="s">
        <v>795</v>
      </c>
      <c r="C2603" t="s">
        <v>6016</v>
      </c>
      <c r="D2603" t="s">
        <v>17167</v>
      </c>
      <c r="E2603" t="s">
        <v>19547</v>
      </c>
      <c r="F2603" t="s">
        <v>29372</v>
      </c>
      <c r="G2603" t="s">
        <v>29382</v>
      </c>
      <c r="H2603" t="s">
        <v>11048</v>
      </c>
      <c r="I2603" t="s">
        <v>29407</v>
      </c>
      <c r="J2603" t="s">
        <v>31331</v>
      </c>
      <c r="K2603" t="s">
        <v>38485</v>
      </c>
      <c r="M2603" t="s">
        <v>39579</v>
      </c>
      <c r="N2603" t="s">
        <v>42669</v>
      </c>
      <c r="O2603" t="s">
        <v>42670</v>
      </c>
      <c r="P2603">
        <v>0</v>
      </c>
      <c r="Q2603">
        <v>1</v>
      </c>
      <c r="R2603" t="s">
        <v>42674</v>
      </c>
      <c r="S2603" t="s">
        <v>42788</v>
      </c>
      <c r="T2603" t="s">
        <v>44493</v>
      </c>
      <c r="U2603" t="s">
        <v>47011</v>
      </c>
      <c r="W2603" t="s">
        <v>39579</v>
      </c>
      <c r="X2603" t="s">
        <v>42676</v>
      </c>
    </row>
    <row r="2604" spans="1:24">
      <c r="A2604">
        <f>HYPERLINK("https://www.philgeps.gov.ph/GEPSNONPILOT/Tender/SplashBidNoticeAbstractUI.aspx?menuIndex=3&amp;refID=7192041&amp;Result=3","7192041")</f>
        <v>0</v>
      </c>
      <c r="B2604" t="s">
        <v>1013</v>
      </c>
      <c r="C2604" t="s">
        <v>6017</v>
      </c>
      <c r="D2604" t="s">
        <v>17192</v>
      </c>
      <c r="E2604" t="s">
        <v>19548</v>
      </c>
      <c r="F2604" t="s">
        <v>29372</v>
      </c>
      <c r="G2604" t="s">
        <v>29383</v>
      </c>
      <c r="H2604" t="s">
        <v>11048</v>
      </c>
      <c r="I2604" t="s">
        <v>4486</v>
      </c>
      <c r="J2604" t="s">
        <v>31332</v>
      </c>
      <c r="K2604" t="s">
        <v>38490</v>
      </c>
      <c r="M2604" t="s">
        <v>39813</v>
      </c>
      <c r="N2604" t="s">
        <v>42669</v>
      </c>
      <c r="O2604" t="s">
        <v>42670</v>
      </c>
      <c r="P2604">
        <v>0</v>
      </c>
      <c r="Q2604">
        <v>1</v>
      </c>
      <c r="R2604" t="s">
        <v>42674</v>
      </c>
      <c r="S2604" t="s">
        <v>42788</v>
      </c>
      <c r="T2604" t="s">
        <v>44430</v>
      </c>
      <c r="U2604" t="s">
        <v>47012</v>
      </c>
      <c r="W2604" t="s">
        <v>39813</v>
      </c>
      <c r="X2604" t="s">
        <v>42676</v>
      </c>
    </row>
    <row r="2605" spans="1:24">
      <c r="A2605">
        <f>HYPERLINK("https://www.philgeps.gov.ph/GEPSNONPILOT/Tender/SplashBidNoticeAbstractUI.aspx?menuIndex=3&amp;refID=7192014&amp;Result=3","7192014")</f>
        <v>0</v>
      </c>
      <c r="B2605" t="s">
        <v>968</v>
      </c>
      <c r="C2605" t="s">
        <v>6018</v>
      </c>
      <c r="D2605" t="s">
        <v>17197</v>
      </c>
      <c r="E2605" t="s">
        <v>19549</v>
      </c>
      <c r="F2605" t="s">
        <v>29372</v>
      </c>
      <c r="G2605" t="s">
        <v>29379</v>
      </c>
      <c r="H2605" t="s">
        <v>11048</v>
      </c>
      <c r="I2605" t="s">
        <v>29394</v>
      </c>
      <c r="J2605" t="s">
        <v>29578</v>
      </c>
      <c r="K2605" t="s">
        <v>38538</v>
      </c>
      <c r="M2605" t="s">
        <v>39764</v>
      </c>
      <c r="N2605" t="s">
        <v>42669</v>
      </c>
      <c r="O2605" t="s">
        <v>42670</v>
      </c>
      <c r="P2605">
        <v>0</v>
      </c>
      <c r="Q2605">
        <v>7</v>
      </c>
      <c r="R2605" t="s">
        <v>42674</v>
      </c>
      <c r="S2605" t="s">
        <v>42788</v>
      </c>
      <c r="T2605" t="s">
        <v>44427</v>
      </c>
      <c r="U2605" t="s">
        <v>47013</v>
      </c>
      <c r="W2605" t="s">
        <v>39764</v>
      </c>
      <c r="X2605" t="s">
        <v>42676</v>
      </c>
    </row>
    <row r="2606" spans="1:24">
      <c r="A2606">
        <f>HYPERLINK("https://www.philgeps.gov.ph/GEPSNONPILOT/Tender/SplashBidNoticeAbstractUI.aspx?menuIndex=3&amp;refID=7192040&amp;Result=3","7192040")</f>
        <v>0</v>
      </c>
      <c r="B2606" t="s">
        <v>660</v>
      </c>
      <c r="C2606" t="s">
        <v>6019</v>
      </c>
      <c r="D2606" t="s">
        <v>17199</v>
      </c>
      <c r="E2606" t="s">
        <v>19550</v>
      </c>
      <c r="F2606" t="s">
        <v>29372</v>
      </c>
      <c r="G2606" t="s">
        <v>29379</v>
      </c>
      <c r="H2606" t="s">
        <v>11048</v>
      </c>
      <c r="I2606" t="s">
        <v>3629</v>
      </c>
      <c r="J2606" t="s">
        <v>31333</v>
      </c>
      <c r="K2606" t="s">
        <v>38490</v>
      </c>
      <c r="M2606" t="s">
        <v>39436</v>
      </c>
      <c r="N2606" t="s">
        <v>42669</v>
      </c>
      <c r="O2606" t="s">
        <v>42670</v>
      </c>
      <c r="P2606">
        <v>0</v>
      </c>
      <c r="Q2606">
        <v>6</v>
      </c>
      <c r="R2606" t="s">
        <v>42674</v>
      </c>
      <c r="S2606" t="s">
        <v>42788</v>
      </c>
      <c r="T2606" t="s">
        <v>44496</v>
      </c>
      <c r="U2606" t="s">
        <v>47014</v>
      </c>
      <c r="W2606" t="s">
        <v>39436</v>
      </c>
      <c r="X2606" t="s">
        <v>42676</v>
      </c>
    </row>
    <row r="2607" spans="1:24">
      <c r="A2607">
        <f>HYPERLINK("https://www.philgeps.gov.ph/GEPSNONPILOT/Tender/SplashBidNoticeAbstractUI.aspx?menuIndex=3&amp;refID=7192036&amp;Result=3","7192036")</f>
        <v>0</v>
      </c>
      <c r="B2607" t="s">
        <v>1014</v>
      </c>
      <c r="C2607" t="s">
        <v>6020</v>
      </c>
      <c r="E2607" t="s">
        <v>6020</v>
      </c>
      <c r="F2607" t="s">
        <v>29372</v>
      </c>
      <c r="G2607" t="s">
        <v>29379</v>
      </c>
      <c r="H2607" t="s">
        <v>11048</v>
      </c>
      <c r="I2607" t="s">
        <v>3670</v>
      </c>
      <c r="J2607" t="s">
        <v>31334</v>
      </c>
      <c r="K2607" t="s">
        <v>38491</v>
      </c>
      <c r="M2607" t="s">
        <v>39814</v>
      </c>
      <c r="N2607" t="s">
        <v>42669</v>
      </c>
      <c r="O2607" t="s">
        <v>42670</v>
      </c>
      <c r="P2607">
        <v>0</v>
      </c>
      <c r="Q2607">
        <v>0</v>
      </c>
      <c r="R2607" t="s">
        <v>42674</v>
      </c>
      <c r="S2607" t="s">
        <v>42788</v>
      </c>
      <c r="T2607" t="s">
        <v>44432</v>
      </c>
      <c r="U2607" t="s">
        <v>47015</v>
      </c>
      <c r="W2607" t="s">
        <v>39814</v>
      </c>
      <c r="X2607" t="s">
        <v>42676</v>
      </c>
    </row>
    <row r="2608" spans="1:24">
      <c r="A2608">
        <f>HYPERLINK("https://www.philgeps.gov.ph/GEPSNONPILOT/Tender/SplashBidNoticeAbstractUI.aspx?menuIndex=3&amp;refID=7192017&amp;Result=3","7192017")</f>
        <v>0</v>
      </c>
      <c r="B2608" t="s">
        <v>1015</v>
      </c>
      <c r="C2608" t="s">
        <v>6021</v>
      </c>
      <c r="D2608" t="s">
        <v>17177</v>
      </c>
      <c r="E2608" t="s">
        <v>19551</v>
      </c>
      <c r="F2608" t="s">
        <v>29372</v>
      </c>
      <c r="G2608" t="s">
        <v>29380</v>
      </c>
      <c r="H2608" t="s">
        <v>29389</v>
      </c>
      <c r="I2608" t="s">
        <v>10408</v>
      </c>
      <c r="J2608" t="s">
        <v>29573</v>
      </c>
      <c r="K2608" t="s">
        <v>38540</v>
      </c>
      <c r="M2608" t="s">
        <v>39815</v>
      </c>
      <c r="N2608" t="s">
        <v>42669</v>
      </c>
      <c r="O2608" t="s">
        <v>42670</v>
      </c>
      <c r="P2608">
        <v>0</v>
      </c>
      <c r="Q2608">
        <v>0</v>
      </c>
      <c r="R2608" t="s">
        <v>42674</v>
      </c>
      <c r="S2608" t="s">
        <v>42788</v>
      </c>
      <c r="T2608" t="s">
        <v>44460</v>
      </c>
      <c r="U2608" t="s">
        <v>47016</v>
      </c>
      <c r="W2608" t="s">
        <v>39815</v>
      </c>
      <c r="X2608" t="s">
        <v>42676</v>
      </c>
    </row>
    <row r="2609" spans="1:24">
      <c r="A2609">
        <f>HYPERLINK("https://www.philgeps.gov.ph/GEPSNONPILOT/Tender/SplashBidNoticeAbstractUI.aspx?menuIndex=3&amp;refID=7192023&amp;Result=3","7192023")</f>
        <v>0</v>
      </c>
      <c r="B2609" t="s">
        <v>1016</v>
      </c>
      <c r="C2609" t="s">
        <v>6022</v>
      </c>
      <c r="D2609" t="s">
        <v>17152</v>
      </c>
      <c r="E2609" t="s">
        <v>19552</v>
      </c>
      <c r="F2609" t="s">
        <v>29372</v>
      </c>
      <c r="G2609" t="s">
        <v>29380</v>
      </c>
      <c r="H2609" t="s">
        <v>11048</v>
      </c>
      <c r="I2609" t="s">
        <v>4709</v>
      </c>
      <c r="J2609" t="s">
        <v>31335</v>
      </c>
      <c r="K2609" t="s">
        <v>38510</v>
      </c>
      <c r="M2609" t="s">
        <v>39816</v>
      </c>
      <c r="N2609" t="s">
        <v>42669</v>
      </c>
      <c r="O2609" t="s">
        <v>42670</v>
      </c>
      <c r="P2609">
        <v>0</v>
      </c>
      <c r="Q2609">
        <v>0</v>
      </c>
      <c r="R2609" t="s">
        <v>42674</v>
      </c>
      <c r="S2609" t="s">
        <v>42788</v>
      </c>
      <c r="T2609" t="s">
        <v>44468</v>
      </c>
      <c r="U2609" t="s">
        <v>47017</v>
      </c>
      <c r="W2609" t="s">
        <v>39816</v>
      </c>
      <c r="X2609" t="s">
        <v>42676</v>
      </c>
    </row>
    <row r="2610" spans="1:24">
      <c r="A2610">
        <f>HYPERLINK("https://www.philgeps.gov.ph/GEPSNONPILOT/Tender/SplashBidNoticeAbstractUI.aspx?menuIndex=3&amp;refID=7191963&amp;Result=3","7191963")</f>
        <v>0</v>
      </c>
      <c r="B2610" t="s">
        <v>1017</v>
      </c>
      <c r="C2610" t="s">
        <v>6023</v>
      </c>
      <c r="D2610" t="s">
        <v>17148</v>
      </c>
      <c r="E2610" t="s">
        <v>19553</v>
      </c>
      <c r="F2610" t="s">
        <v>29372</v>
      </c>
      <c r="G2610" t="s">
        <v>29380</v>
      </c>
      <c r="H2610" t="s">
        <v>11048</v>
      </c>
      <c r="I2610" t="s">
        <v>4709</v>
      </c>
      <c r="J2610" t="s">
        <v>31336</v>
      </c>
      <c r="K2610" t="s">
        <v>38485</v>
      </c>
      <c r="M2610" t="s">
        <v>39817</v>
      </c>
      <c r="N2610" t="s">
        <v>42669</v>
      </c>
      <c r="O2610" t="s">
        <v>42670</v>
      </c>
      <c r="P2610">
        <v>0</v>
      </c>
      <c r="Q2610">
        <v>1</v>
      </c>
      <c r="R2610" t="s">
        <v>42674</v>
      </c>
      <c r="S2610" t="s">
        <v>42788</v>
      </c>
      <c r="T2610" t="s">
        <v>44480</v>
      </c>
      <c r="U2610" t="s">
        <v>47018</v>
      </c>
      <c r="V2610" t="s">
        <v>56609</v>
      </c>
      <c r="W2610" t="s">
        <v>39817</v>
      </c>
      <c r="X2610" t="s">
        <v>42676</v>
      </c>
    </row>
    <row r="2611" spans="1:24">
      <c r="A2611">
        <f>HYPERLINK("https://www.philgeps.gov.ph/GEPSNONPILOT/Tender/SplashBidNoticeAbstractUI.aspx?menuIndex=3&amp;refID=7192019&amp;Result=3","7192019")</f>
        <v>0</v>
      </c>
      <c r="B2611" t="s">
        <v>799</v>
      </c>
      <c r="C2611" t="s">
        <v>6024</v>
      </c>
      <c r="D2611" t="s">
        <v>17180</v>
      </c>
      <c r="E2611" t="s">
        <v>6024</v>
      </c>
      <c r="F2611" t="s">
        <v>29372</v>
      </c>
      <c r="G2611" t="s">
        <v>29379</v>
      </c>
      <c r="H2611" t="s">
        <v>11048</v>
      </c>
      <c r="I2611" t="s">
        <v>29411</v>
      </c>
      <c r="J2611" t="s">
        <v>31337</v>
      </c>
      <c r="K2611" t="s">
        <v>38490</v>
      </c>
      <c r="M2611" t="s">
        <v>39583</v>
      </c>
      <c r="N2611" t="s">
        <v>42669</v>
      </c>
      <c r="O2611" t="s">
        <v>42670</v>
      </c>
      <c r="P2611">
        <v>0</v>
      </c>
      <c r="Q2611">
        <v>0</v>
      </c>
      <c r="R2611" t="s">
        <v>42674</v>
      </c>
      <c r="S2611" t="s">
        <v>42788</v>
      </c>
      <c r="T2611" t="s">
        <v>44603</v>
      </c>
      <c r="U2611" t="s">
        <v>47019</v>
      </c>
      <c r="W2611" t="s">
        <v>39583</v>
      </c>
      <c r="X2611" t="s">
        <v>42676</v>
      </c>
    </row>
    <row r="2612" spans="1:24">
      <c r="A2612">
        <f>HYPERLINK("https://www.philgeps.gov.ph/GEPSNONPILOT/Tender/SplashBidNoticeAbstractUI.aspx?menuIndex=3&amp;refID=7192020&amp;Result=3","7192020")</f>
        <v>0</v>
      </c>
      <c r="B2612" t="s">
        <v>660</v>
      </c>
      <c r="C2612" t="s">
        <v>6025</v>
      </c>
      <c r="D2612" t="s">
        <v>17199</v>
      </c>
      <c r="E2612" t="s">
        <v>19554</v>
      </c>
      <c r="F2612" t="s">
        <v>29372</v>
      </c>
      <c r="G2612" t="s">
        <v>29379</v>
      </c>
      <c r="H2612" t="s">
        <v>11048</v>
      </c>
      <c r="I2612" t="s">
        <v>3629</v>
      </c>
      <c r="J2612" t="s">
        <v>31338</v>
      </c>
      <c r="K2612" t="s">
        <v>38490</v>
      </c>
      <c r="M2612" t="s">
        <v>39436</v>
      </c>
      <c r="N2612" t="s">
        <v>42669</v>
      </c>
      <c r="O2612" t="s">
        <v>42670</v>
      </c>
      <c r="P2612">
        <v>0</v>
      </c>
      <c r="Q2612">
        <v>6</v>
      </c>
      <c r="R2612" t="s">
        <v>42674</v>
      </c>
      <c r="S2612" t="s">
        <v>42788</v>
      </c>
      <c r="T2612" t="s">
        <v>44496</v>
      </c>
      <c r="U2612" t="s">
        <v>47020</v>
      </c>
      <c r="W2612" t="s">
        <v>39436</v>
      </c>
      <c r="X2612" t="s">
        <v>42676</v>
      </c>
    </row>
    <row r="2613" spans="1:24">
      <c r="A2613">
        <f>HYPERLINK("https://www.philgeps.gov.ph/GEPSNONPILOT/Tender/SplashBidNoticeAbstractUI.aspx?menuIndex=3&amp;refID=7192007&amp;Result=3","7192007")</f>
        <v>0</v>
      </c>
      <c r="B2613" t="s">
        <v>968</v>
      </c>
      <c r="C2613" t="s">
        <v>6026</v>
      </c>
      <c r="D2613" t="s">
        <v>17197</v>
      </c>
      <c r="E2613" t="s">
        <v>19555</v>
      </c>
      <c r="F2613" t="s">
        <v>29372</v>
      </c>
      <c r="G2613" t="s">
        <v>29379</v>
      </c>
      <c r="H2613" t="s">
        <v>11048</v>
      </c>
      <c r="I2613" t="s">
        <v>3839</v>
      </c>
      <c r="J2613" t="s">
        <v>31339</v>
      </c>
      <c r="K2613" t="s">
        <v>38538</v>
      </c>
      <c r="M2613" t="s">
        <v>39764</v>
      </c>
      <c r="N2613" t="s">
        <v>42669</v>
      </c>
      <c r="O2613" t="s">
        <v>42670</v>
      </c>
      <c r="P2613">
        <v>0</v>
      </c>
      <c r="Q2613">
        <v>0</v>
      </c>
      <c r="R2613" t="s">
        <v>42674</v>
      </c>
      <c r="S2613" t="s">
        <v>42788</v>
      </c>
      <c r="T2613" t="s">
        <v>44427</v>
      </c>
      <c r="U2613" t="s">
        <v>47021</v>
      </c>
      <c r="W2613" t="s">
        <v>39764</v>
      </c>
      <c r="X2613" t="s">
        <v>42676</v>
      </c>
    </row>
    <row r="2614" spans="1:24">
      <c r="A2614">
        <f>HYPERLINK("https://www.philgeps.gov.ph/GEPSNONPILOT/Tender/SplashBidNoticeAbstractUI.aspx?menuIndex=3&amp;refID=7192000&amp;Result=3","7192000")</f>
        <v>0</v>
      </c>
      <c r="B2614" t="s">
        <v>1018</v>
      </c>
      <c r="C2614" t="s">
        <v>6027</v>
      </c>
      <c r="D2614" t="s">
        <v>17147</v>
      </c>
      <c r="E2614" t="s">
        <v>19556</v>
      </c>
      <c r="F2614" t="s">
        <v>29372</v>
      </c>
      <c r="G2614" t="s">
        <v>29379</v>
      </c>
      <c r="H2614" t="s">
        <v>11048</v>
      </c>
      <c r="I2614" t="s">
        <v>4709</v>
      </c>
      <c r="J2614" t="s">
        <v>31340</v>
      </c>
      <c r="K2614" t="s">
        <v>38538</v>
      </c>
      <c r="M2614" t="s">
        <v>39818</v>
      </c>
      <c r="N2614" t="s">
        <v>42669</v>
      </c>
      <c r="O2614" t="s">
        <v>42670</v>
      </c>
      <c r="P2614">
        <v>0</v>
      </c>
      <c r="Q2614">
        <v>0</v>
      </c>
      <c r="R2614" t="s">
        <v>42674</v>
      </c>
      <c r="S2614" t="s">
        <v>42788</v>
      </c>
      <c r="T2614" t="s">
        <v>44387</v>
      </c>
      <c r="U2614" t="s">
        <v>47022</v>
      </c>
      <c r="W2614" t="s">
        <v>39818</v>
      </c>
      <c r="X2614" t="s">
        <v>42676</v>
      </c>
    </row>
    <row r="2615" spans="1:24">
      <c r="A2615">
        <f>HYPERLINK("https://www.philgeps.gov.ph/GEPSNONPILOT/Tender/SplashBidNoticeAbstractUI.aspx?menuIndex=3&amp;refID=7192004&amp;Result=3","7192004")</f>
        <v>0</v>
      </c>
      <c r="B2615" t="s">
        <v>669</v>
      </c>
      <c r="C2615" t="s">
        <v>6028</v>
      </c>
      <c r="D2615" t="s">
        <v>17147</v>
      </c>
      <c r="E2615" t="s">
        <v>19557</v>
      </c>
      <c r="F2615" t="s">
        <v>29372</v>
      </c>
      <c r="G2615" t="s">
        <v>29379</v>
      </c>
      <c r="H2615" t="s">
        <v>11048</v>
      </c>
      <c r="I2615" t="s">
        <v>3629</v>
      </c>
      <c r="J2615" t="s">
        <v>31341</v>
      </c>
      <c r="K2615" t="s">
        <v>38488</v>
      </c>
      <c r="N2615" t="s">
        <v>42669</v>
      </c>
      <c r="O2615" t="s">
        <v>42670</v>
      </c>
      <c r="P2615">
        <v>0</v>
      </c>
      <c r="Q2615">
        <v>0</v>
      </c>
      <c r="R2615" t="s">
        <v>42674</v>
      </c>
      <c r="S2615" t="s">
        <v>42788</v>
      </c>
      <c r="T2615" t="s">
        <v>44580</v>
      </c>
      <c r="U2615" t="s">
        <v>47023</v>
      </c>
      <c r="V2615" t="s">
        <v>56531</v>
      </c>
      <c r="W2615" t="s">
        <v>58028</v>
      </c>
      <c r="X2615" t="s">
        <v>42676</v>
      </c>
    </row>
    <row r="2616" spans="1:24">
      <c r="A2616">
        <f>HYPERLINK("https://www.philgeps.gov.ph/GEPSNONPILOT/Tender/SplashBidNoticeAbstractUI.aspx?menuIndex=3&amp;refID=7192006&amp;Result=3","7192006")</f>
        <v>0</v>
      </c>
      <c r="B2616" t="s">
        <v>589</v>
      </c>
      <c r="C2616" t="s">
        <v>6029</v>
      </c>
      <c r="D2616" t="s">
        <v>17168</v>
      </c>
      <c r="E2616" t="s">
        <v>6029</v>
      </c>
      <c r="F2616" t="s">
        <v>29372</v>
      </c>
      <c r="G2616" t="s">
        <v>29379</v>
      </c>
      <c r="H2616" t="s">
        <v>11048</v>
      </c>
      <c r="I2616" t="s">
        <v>8208</v>
      </c>
      <c r="J2616" t="s">
        <v>31342</v>
      </c>
      <c r="K2616" t="s">
        <v>38538</v>
      </c>
      <c r="M2616" t="s">
        <v>39485</v>
      </c>
      <c r="N2616" t="s">
        <v>42669</v>
      </c>
      <c r="O2616" t="s">
        <v>42670</v>
      </c>
      <c r="P2616">
        <v>0</v>
      </c>
      <c r="Q2616">
        <v>1</v>
      </c>
      <c r="R2616" t="s">
        <v>42674</v>
      </c>
      <c r="S2616" t="s">
        <v>42788</v>
      </c>
      <c r="T2616" t="s">
        <v>44427</v>
      </c>
      <c r="U2616" t="s">
        <v>47024</v>
      </c>
      <c r="V2616" t="s">
        <v>56610</v>
      </c>
      <c r="W2616" t="s">
        <v>39485</v>
      </c>
      <c r="X2616" t="s">
        <v>42676</v>
      </c>
    </row>
    <row r="2617" spans="1:24">
      <c r="A2617">
        <f>HYPERLINK("https://www.philgeps.gov.ph/GEPSNONPILOT/Tender/SplashBidNoticeAbstractUI.aspx?menuIndex=3&amp;refID=7192008&amp;Result=3","7192008")</f>
        <v>0</v>
      </c>
      <c r="B2617" t="s">
        <v>1019</v>
      </c>
      <c r="C2617" t="s">
        <v>6030</v>
      </c>
      <c r="D2617" t="s">
        <v>17199</v>
      </c>
      <c r="E2617" t="s">
        <v>19558</v>
      </c>
      <c r="F2617" t="s">
        <v>29372</v>
      </c>
      <c r="G2617" t="s">
        <v>29379</v>
      </c>
      <c r="H2617" t="s">
        <v>11048</v>
      </c>
      <c r="I2617" t="s">
        <v>4487</v>
      </c>
      <c r="J2617" t="s">
        <v>31343</v>
      </c>
      <c r="K2617" t="s">
        <v>38534</v>
      </c>
      <c r="M2617" t="s">
        <v>39819</v>
      </c>
      <c r="N2617" t="s">
        <v>42669</v>
      </c>
      <c r="O2617" t="s">
        <v>42670</v>
      </c>
      <c r="P2617">
        <v>0</v>
      </c>
      <c r="Q2617">
        <v>0</v>
      </c>
      <c r="R2617" t="s">
        <v>42674</v>
      </c>
      <c r="S2617" t="s">
        <v>42788</v>
      </c>
      <c r="T2617" t="s">
        <v>44488</v>
      </c>
      <c r="U2617" t="s">
        <v>47025</v>
      </c>
      <c r="W2617" t="s">
        <v>39819</v>
      </c>
      <c r="X2617" t="s">
        <v>42676</v>
      </c>
    </row>
    <row r="2618" spans="1:24">
      <c r="A2618">
        <f>HYPERLINK("https://www.philgeps.gov.ph/GEPSNONPILOT/Tender/SplashBidNoticeAbstractUI.aspx?menuIndex=3&amp;refID=7192005&amp;Result=3","7192005")</f>
        <v>0</v>
      </c>
      <c r="B2618" t="s">
        <v>684</v>
      </c>
      <c r="C2618" t="s">
        <v>6031</v>
      </c>
      <c r="D2618" t="s">
        <v>17188</v>
      </c>
      <c r="E2618" t="s">
        <v>19559</v>
      </c>
      <c r="F2618" t="s">
        <v>29372</v>
      </c>
      <c r="G2618" t="s">
        <v>29379</v>
      </c>
      <c r="H2618" t="s">
        <v>11048</v>
      </c>
      <c r="I2618" t="s">
        <v>29464</v>
      </c>
      <c r="J2618" t="s">
        <v>31344</v>
      </c>
      <c r="K2618" t="s">
        <v>38496</v>
      </c>
      <c r="M2618" t="s">
        <v>39779</v>
      </c>
      <c r="N2618" t="s">
        <v>42669</v>
      </c>
      <c r="O2618" t="s">
        <v>42670</v>
      </c>
      <c r="P2618">
        <v>0</v>
      </c>
      <c r="Q2618">
        <v>0</v>
      </c>
      <c r="R2618" t="s">
        <v>42674</v>
      </c>
      <c r="S2618" t="s">
        <v>42788</v>
      </c>
      <c r="T2618" t="s">
        <v>44560</v>
      </c>
      <c r="U2618" t="s">
        <v>47026</v>
      </c>
      <c r="V2618" t="s">
        <v>45789</v>
      </c>
      <c r="W2618" t="s">
        <v>39779</v>
      </c>
      <c r="X2618" t="s">
        <v>42676</v>
      </c>
    </row>
    <row r="2619" spans="1:24">
      <c r="A2619">
        <f>HYPERLINK("https://www.philgeps.gov.ph/GEPSNONPILOT/Tender/SplashBidNoticeAbstractUI.aspx?menuIndex=3&amp;refID=7192034&amp;Result=3","7192034")</f>
        <v>0</v>
      </c>
      <c r="B2619" t="s">
        <v>560</v>
      </c>
      <c r="C2619" t="s">
        <v>6032</v>
      </c>
      <c r="D2619" t="s">
        <v>17180</v>
      </c>
      <c r="E2619" t="s">
        <v>19560</v>
      </c>
      <c r="F2619" t="s">
        <v>29372</v>
      </c>
      <c r="G2619" t="s">
        <v>29380</v>
      </c>
      <c r="H2619" t="s">
        <v>29389</v>
      </c>
      <c r="I2619" t="s">
        <v>10408</v>
      </c>
      <c r="J2619" t="s">
        <v>30951</v>
      </c>
      <c r="K2619" t="s">
        <v>38533</v>
      </c>
      <c r="M2619" t="s">
        <v>39329</v>
      </c>
      <c r="N2619" t="s">
        <v>42669</v>
      </c>
      <c r="O2619" t="s">
        <v>42670</v>
      </c>
      <c r="P2619">
        <v>0</v>
      </c>
      <c r="Q2619">
        <v>10</v>
      </c>
      <c r="R2619" t="s">
        <v>42674</v>
      </c>
      <c r="S2619" t="s">
        <v>42788</v>
      </c>
      <c r="T2619" t="s">
        <v>44542</v>
      </c>
      <c r="U2619" t="s">
        <v>47027</v>
      </c>
      <c r="V2619" t="s">
        <v>56611</v>
      </c>
      <c r="W2619" t="s">
        <v>39329</v>
      </c>
      <c r="X2619" t="s">
        <v>42676</v>
      </c>
    </row>
    <row r="2620" spans="1:24">
      <c r="A2620">
        <f>HYPERLINK("https://www.philgeps.gov.ph/GEPSNONPILOT/Tender/SplashBidNoticeAbstractUI.aspx?menuIndex=3&amp;refID=7197177&amp;Result=3","7197177")</f>
        <v>0</v>
      </c>
      <c r="B2620" t="s">
        <v>1020</v>
      </c>
      <c r="C2620" t="s">
        <v>6033</v>
      </c>
      <c r="D2620" t="s">
        <v>17205</v>
      </c>
      <c r="E2620" t="s">
        <v>19561</v>
      </c>
      <c r="F2620" t="s">
        <v>29372</v>
      </c>
      <c r="G2620" t="s">
        <v>29383</v>
      </c>
      <c r="H2620" t="s">
        <v>11048</v>
      </c>
      <c r="I2620" t="s">
        <v>29398</v>
      </c>
      <c r="J2620" t="s">
        <v>31345</v>
      </c>
      <c r="K2620" t="s">
        <v>38491</v>
      </c>
      <c r="M2620" t="s">
        <v>39820</v>
      </c>
      <c r="N2620" t="s">
        <v>42669</v>
      </c>
      <c r="O2620" t="s">
        <v>42670</v>
      </c>
      <c r="P2620">
        <v>0</v>
      </c>
      <c r="Q2620">
        <v>0</v>
      </c>
      <c r="R2620" t="s">
        <v>42675</v>
      </c>
      <c r="S2620" t="s">
        <v>42807</v>
      </c>
      <c r="T2620" t="s">
        <v>44480</v>
      </c>
      <c r="U2620" t="s">
        <v>47028</v>
      </c>
      <c r="V2620" t="s">
        <v>56612</v>
      </c>
      <c r="W2620" t="s">
        <v>39820</v>
      </c>
      <c r="X2620" t="s">
        <v>42671</v>
      </c>
    </row>
    <row r="2621" spans="1:24">
      <c r="A2621">
        <f>HYPERLINK("https://www.philgeps.gov.ph/GEPSNONPILOT/Tender/SplashBidNoticeAbstractUI.aspx?menuIndex=3&amp;refID=7197168&amp;Result=3","7197168")</f>
        <v>0</v>
      </c>
      <c r="B2621" t="s">
        <v>1021</v>
      </c>
      <c r="C2621" t="s">
        <v>6034</v>
      </c>
      <c r="D2621" t="s">
        <v>17205</v>
      </c>
      <c r="E2621" t="s">
        <v>19562</v>
      </c>
      <c r="F2621" t="s">
        <v>29372</v>
      </c>
      <c r="G2621" t="s">
        <v>29380</v>
      </c>
      <c r="H2621" t="s">
        <v>29389</v>
      </c>
      <c r="I2621" t="s">
        <v>10408</v>
      </c>
      <c r="J2621" t="s">
        <v>29680</v>
      </c>
      <c r="K2621" t="s">
        <v>38485</v>
      </c>
      <c r="M2621" t="s">
        <v>39821</v>
      </c>
      <c r="N2621" t="s">
        <v>42669</v>
      </c>
      <c r="O2621" t="s">
        <v>42670</v>
      </c>
      <c r="P2621">
        <v>0</v>
      </c>
      <c r="Q2621">
        <v>0</v>
      </c>
      <c r="R2621" t="s">
        <v>42675</v>
      </c>
      <c r="S2621" t="s">
        <v>42807</v>
      </c>
      <c r="T2621" t="s">
        <v>44472</v>
      </c>
      <c r="U2621" t="s">
        <v>47029</v>
      </c>
      <c r="W2621" t="s">
        <v>39821</v>
      </c>
      <c r="X2621" t="s">
        <v>42671</v>
      </c>
    </row>
    <row r="2622" spans="1:24">
      <c r="A2622">
        <f>HYPERLINK("https://www.philgeps.gov.ph/GEPSNONPILOT/Tender/SplashBidNoticeAbstractUI.aspx?menuIndex=3&amp;refID=7191994&amp;Result=3","7191994")</f>
        <v>0</v>
      </c>
      <c r="B2622" t="s">
        <v>955</v>
      </c>
      <c r="C2622" t="s">
        <v>6035</v>
      </c>
      <c r="E2622" t="s">
        <v>19563</v>
      </c>
      <c r="F2622" t="s">
        <v>29372</v>
      </c>
      <c r="G2622" t="s">
        <v>29380</v>
      </c>
      <c r="H2622" t="s">
        <v>11048</v>
      </c>
      <c r="I2622" t="s">
        <v>29407</v>
      </c>
      <c r="J2622" t="s">
        <v>31346</v>
      </c>
      <c r="K2622" t="s">
        <v>38490</v>
      </c>
      <c r="M2622" t="s">
        <v>39751</v>
      </c>
      <c r="N2622" t="s">
        <v>42669</v>
      </c>
      <c r="O2622" t="s">
        <v>42670</v>
      </c>
      <c r="P2622">
        <v>0</v>
      </c>
      <c r="Q2622">
        <v>6</v>
      </c>
      <c r="R2622" t="s">
        <v>42674</v>
      </c>
      <c r="S2622" t="s">
        <v>42788</v>
      </c>
      <c r="T2622" t="s">
        <v>44363</v>
      </c>
      <c r="U2622" t="s">
        <v>47030</v>
      </c>
      <c r="W2622" t="s">
        <v>39751</v>
      </c>
      <c r="X2622" t="s">
        <v>42676</v>
      </c>
    </row>
    <row r="2623" spans="1:24">
      <c r="A2623">
        <f>HYPERLINK("https://www.philgeps.gov.ph/GEPSNONPILOT/Tender/SplashBidNoticeAbstractUI.aspx?menuIndex=3&amp;refID=7197176&amp;Result=3","7197176")</f>
        <v>0</v>
      </c>
      <c r="B2623" t="s">
        <v>1021</v>
      </c>
      <c r="C2623" t="s">
        <v>6036</v>
      </c>
      <c r="D2623" t="s">
        <v>17205</v>
      </c>
      <c r="E2623" t="s">
        <v>19564</v>
      </c>
      <c r="F2623" t="s">
        <v>29372</v>
      </c>
      <c r="G2623" t="s">
        <v>29380</v>
      </c>
      <c r="H2623" t="s">
        <v>29389</v>
      </c>
      <c r="I2623" t="s">
        <v>10408</v>
      </c>
      <c r="J2623" t="s">
        <v>30036</v>
      </c>
      <c r="K2623" t="s">
        <v>38485</v>
      </c>
      <c r="M2623" t="s">
        <v>39821</v>
      </c>
      <c r="N2623" t="s">
        <v>42669</v>
      </c>
      <c r="O2623" t="s">
        <v>42670</v>
      </c>
      <c r="P2623">
        <v>0</v>
      </c>
      <c r="Q2623">
        <v>0</v>
      </c>
      <c r="R2623" t="s">
        <v>42675</v>
      </c>
      <c r="S2623" t="s">
        <v>42807</v>
      </c>
      <c r="T2623" t="s">
        <v>44472</v>
      </c>
      <c r="U2623" t="s">
        <v>47031</v>
      </c>
      <c r="W2623" t="s">
        <v>39821</v>
      </c>
      <c r="X2623" t="s">
        <v>42671</v>
      </c>
    </row>
    <row r="2624" spans="1:24">
      <c r="A2624">
        <f>HYPERLINK("https://www.philgeps.gov.ph/GEPSNONPILOT/Tender/SplashBidNoticeAbstractUI.aspx?menuIndex=3&amp;refID=7197174&amp;Result=3","7197174")</f>
        <v>0</v>
      </c>
      <c r="B2624" t="s">
        <v>289</v>
      </c>
      <c r="C2624" t="s">
        <v>6037</v>
      </c>
      <c r="E2624" t="s">
        <v>19565</v>
      </c>
      <c r="F2624" t="s">
        <v>29372</v>
      </c>
      <c r="G2624" t="s">
        <v>29380</v>
      </c>
      <c r="H2624" t="s">
        <v>11048</v>
      </c>
      <c r="I2624" t="s">
        <v>3839</v>
      </c>
      <c r="J2624" t="s">
        <v>31347</v>
      </c>
      <c r="K2624" t="s">
        <v>38490</v>
      </c>
      <c r="M2624" t="s">
        <v>39048</v>
      </c>
      <c r="N2624" t="s">
        <v>42669</v>
      </c>
      <c r="O2624" t="s">
        <v>42670</v>
      </c>
      <c r="P2624">
        <v>0</v>
      </c>
      <c r="Q2624">
        <v>0</v>
      </c>
      <c r="R2624" t="s">
        <v>42675</v>
      </c>
      <c r="S2624" t="s">
        <v>42807</v>
      </c>
      <c r="T2624" t="s">
        <v>44515</v>
      </c>
      <c r="U2624" t="s">
        <v>47032</v>
      </c>
      <c r="W2624" t="s">
        <v>39048</v>
      </c>
      <c r="X2624" t="s">
        <v>42671</v>
      </c>
    </row>
    <row r="2625" spans="1:24">
      <c r="A2625">
        <f>HYPERLINK("https://www.philgeps.gov.ph/GEPSNONPILOT/Tender/SplashBidNoticeAbstractUI.aspx?menuIndex=3&amp;refID=7197175&amp;Result=3","7197175")</f>
        <v>0</v>
      </c>
      <c r="B2625" t="s">
        <v>1022</v>
      </c>
      <c r="C2625" t="s">
        <v>6038</v>
      </c>
      <c r="D2625" t="s">
        <v>17141</v>
      </c>
      <c r="E2625" t="s">
        <v>19566</v>
      </c>
      <c r="F2625" t="s">
        <v>29372</v>
      </c>
      <c r="G2625" t="s">
        <v>29380</v>
      </c>
      <c r="H2625" t="s">
        <v>11048</v>
      </c>
      <c r="I2625" t="s">
        <v>5383</v>
      </c>
      <c r="J2625" t="s">
        <v>31348</v>
      </c>
      <c r="K2625" t="s">
        <v>38488</v>
      </c>
      <c r="M2625" t="s">
        <v>39822</v>
      </c>
      <c r="N2625" t="s">
        <v>42669</v>
      </c>
      <c r="O2625" t="s">
        <v>42670</v>
      </c>
      <c r="P2625">
        <v>0</v>
      </c>
      <c r="Q2625">
        <v>0</v>
      </c>
      <c r="R2625" t="s">
        <v>42675</v>
      </c>
      <c r="S2625" t="s">
        <v>42807</v>
      </c>
      <c r="T2625" t="s">
        <v>44375</v>
      </c>
      <c r="U2625" t="s">
        <v>46808</v>
      </c>
      <c r="W2625" t="s">
        <v>39822</v>
      </c>
      <c r="X2625" t="s">
        <v>42671</v>
      </c>
    </row>
    <row r="2626" spans="1:24">
      <c r="A2626">
        <f>HYPERLINK("https://www.philgeps.gov.ph/GEPSNONPILOT/Tender/SplashBidNoticeAbstractUI.aspx?menuIndex=3&amp;refID=7197171&amp;Result=3","7197171")</f>
        <v>0</v>
      </c>
      <c r="B2626" t="s">
        <v>1023</v>
      </c>
      <c r="C2626" t="s">
        <v>6039</v>
      </c>
      <c r="D2626" t="s">
        <v>17197</v>
      </c>
      <c r="E2626" t="s">
        <v>19567</v>
      </c>
      <c r="F2626" t="s">
        <v>29372</v>
      </c>
      <c r="G2626" t="s">
        <v>29380</v>
      </c>
      <c r="H2626" t="s">
        <v>11048</v>
      </c>
      <c r="I2626" t="s">
        <v>9469</v>
      </c>
      <c r="J2626" t="s">
        <v>31349</v>
      </c>
      <c r="K2626" t="s">
        <v>38496</v>
      </c>
      <c r="M2626" t="s">
        <v>39823</v>
      </c>
      <c r="N2626" t="s">
        <v>42669</v>
      </c>
      <c r="O2626" t="s">
        <v>42670</v>
      </c>
      <c r="P2626">
        <v>0</v>
      </c>
      <c r="Q2626">
        <v>1</v>
      </c>
      <c r="R2626" t="s">
        <v>42675</v>
      </c>
      <c r="S2626" t="s">
        <v>42807</v>
      </c>
      <c r="T2626" t="s">
        <v>44408</v>
      </c>
      <c r="U2626" t="s">
        <v>47033</v>
      </c>
      <c r="W2626" t="s">
        <v>39823</v>
      </c>
      <c r="X2626" t="s">
        <v>42671</v>
      </c>
    </row>
    <row r="2627" spans="1:24">
      <c r="A2627">
        <f>HYPERLINK("https://www.philgeps.gov.ph/GEPSNONPILOT/Tender/SplashBidNoticeAbstractUI.aspx?menuIndex=3&amp;refID=7197181&amp;Result=3","7197181")</f>
        <v>0</v>
      </c>
      <c r="B2627" t="s">
        <v>1022</v>
      </c>
      <c r="C2627" t="s">
        <v>6040</v>
      </c>
      <c r="D2627" t="s">
        <v>17141</v>
      </c>
      <c r="E2627" t="s">
        <v>19568</v>
      </c>
      <c r="F2627" t="s">
        <v>29372</v>
      </c>
      <c r="G2627" t="s">
        <v>29380</v>
      </c>
      <c r="H2627" t="s">
        <v>11048</v>
      </c>
      <c r="I2627" t="s">
        <v>5383</v>
      </c>
      <c r="J2627" t="s">
        <v>31350</v>
      </c>
      <c r="K2627" t="s">
        <v>38488</v>
      </c>
      <c r="M2627" t="s">
        <v>39822</v>
      </c>
      <c r="N2627" t="s">
        <v>42669</v>
      </c>
      <c r="O2627" t="s">
        <v>42670</v>
      </c>
      <c r="P2627">
        <v>0</v>
      </c>
      <c r="Q2627">
        <v>0</v>
      </c>
      <c r="R2627" t="s">
        <v>42675</v>
      </c>
      <c r="S2627" t="s">
        <v>42807</v>
      </c>
      <c r="T2627" t="s">
        <v>44375</v>
      </c>
      <c r="U2627" t="s">
        <v>46808</v>
      </c>
      <c r="W2627" t="s">
        <v>39822</v>
      </c>
      <c r="X2627" t="s">
        <v>42671</v>
      </c>
    </row>
    <row r="2628" spans="1:24">
      <c r="A2628">
        <f>HYPERLINK("https://www.philgeps.gov.ph/GEPSNONPILOT/Tender/SplashBidNoticeAbstractUI.aspx?menuIndex=3&amp;refID=7197193&amp;Result=3","7197193")</f>
        <v>0</v>
      </c>
      <c r="B2628" t="s">
        <v>1024</v>
      </c>
      <c r="C2628" t="s">
        <v>6041</v>
      </c>
      <c r="D2628" t="s">
        <v>17166</v>
      </c>
      <c r="E2628" t="s">
        <v>19569</v>
      </c>
      <c r="F2628" t="s">
        <v>29372</v>
      </c>
      <c r="G2628" t="s">
        <v>29379</v>
      </c>
      <c r="H2628" t="s">
        <v>11048</v>
      </c>
      <c r="I2628" t="s">
        <v>3670</v>
      </c>
      <c r="J2628" t="s">
        <v>31351</v>
      </c>
      <c r="K2628" t="s">
        <v>38517</v>
      </c>
      <c r="M2628" t="s">
        <v>39824</v>
      </c>
      <c r="N2628" t="s">
        <v>42669</v>
      </c>
      <c r="O2628" t="s">
        <v>42670</v>
      </c>
      <c r="P2628">
        <v>0</v>
      </c>
      <c r="Q2628">
        <v>0</v>
      </c>
      <c r="R2628" t="s">
        <v>42675</v>
      </c>
      <c r="S2628" t="s">
        <v>42807</v>
      </c>
      <c r="T2628" t="s">
        <v>44470</v>
      </c>
      <c r="U2628" t="s">
        <v>47034</v>
      </c>
      <c r="V2628" t="s">
        <v>56613</v>
      </c>
      <c r="W2628" t="s">
        <v>39824</v>
      </c>
      <c r="X2628" t="s">
        <v>42671</v>
      </c>
    </row>
    <row r="2629" spans="1:24">
      <c r="A2629">
        <f>HYPERLINK("https://www.philgeps.gov.ph/GEPSNONPILOT/Tender/SplashBidNoticeAbstractUI.aspx?menuIndex=3&amp;refID=7197191&amp;Result=3","7197191")</f>
        <v>0</v>
      </c>
      <c r="B2629" t="s">
        <v>1022</v>
      </c>
      <c r="C2629" t="s">
        <v>6042</v>
      </c>
      <c r="D2629" t="s">
        <v>17141</v>
      </c>
      <c r="E2629" t="s">
        <v>19570</v>
      </c>
      <c r="F2629" t="s">
        <v>29372</v>
      </c>
      <c r="G2629" t="s">
        <v>29380</v>
      </c>
      <c r="H2629" t="s">
        <v>11048</v>
      </c>
      <c r="I2629" t="s">
        <v>3670</v>
      </c>
      <c r="J2629" t="s">
        <v>31352</v>
      </c>
      <c r="K2629" t="s">
        <v>38488</v>
      </c>
      <c r="M2629" t="s">
        <v>39822</v>
      </c>
      <c r="N2629" t="s">
        <v>42669</v>
      </c>
      <c r="O2629" t="s">
        <v>42670</v>
      </c>
      <c r="P2629">
        <v>0</v>
      </c>
      <c r="Q2629">
        <v>0</v>
      </c>
      <c r="R2629" t="s">
        <v>42675</v>
      </c>
      <c r="S2629" t="s">
        <v>42807</v>
      </c>
      <c r="T2629" t="s">
        <v>44375</v>
      </c>
      <c r="U2629" t="s">
        <v>47035</v>
      </c>
      <c r="W2629" t="s">
        <v>39822</v>
      </c>
      <c r="X2629" t="s">
        <v>42671</v>
      </c>
    </row>
    <row r="2630" spans="1:24">
      <c r="A2630">
        <f>HYPERLINK("https://www.philgeps.gov.ph/GEPSNONPILOT/Tender/SplashBidNoticeAbstractUI.aspx?menuIndex=3&amp;refID=7197190&amp;Result=3","7197190")</f>
        <v>0</v>
      </c>
      <c r="B2630" t="s">
        <v>1022</v>
      </c>
      <c r="C2630" t="s">
        <v>6043</v>
      </c>
      <c r="D2630" t="s">
        <v>17141</v>
      </c>
      <c r="E2630" t="s">
        <v>19571</v>
      </c>
      <c r="F2630" t="s">
        <v>29372</v>
      </c>
      <c r="G2630" t="s">
        <v>29380</v>
      </c>
      <c r="H2630" t="s">
        <v>11048</v>
      </c>
      <c r="I2630" t="s">
        <v>5383</v>
      </c>
      <c r="J2630" t="s">
        <v>29729</v>
      </c>
      <c r="K2630" t="s">
        <v>38488</v>
      </c>
      <c r="M2630" t="s">
        <v>39822</v>
      </c>
      <c r="N2630" t="s">
        <v>42669</v>
      </c>
      <c r="O2630" t="s">
        <v>42670</v>
      </c>
      <c r="P2630">
        <v>0</v>
      </c>
      <c r="Q2630">
        <v>0</v>
      </c>
      <c r="R2630" t="s">
        <v>42675</v>
      </c>
      <c r="S2630" t="s">
        <v>42807</v>
      </c>
      <c r="T2630" t="s">
        <v>44375</v>
      </c>
      <c r="U2630" t="s">
        <v>46808</v>
      </c>
      <c r="W2630" t="s">
        <v>39822</v>
      </c>
      <c r="X2630" t="s">
        <v>42671</v>
      </c>
    </row>
    <row r="2631" spans="1:24">
      <c r="A2631">
        <f>HYPERLINK("https://www.philgeps.gov.ph/GEPSNONPILOT/Tender/SplashBidNoticeAbstractUI.aspx?menuIndex=3&amp;refID=7197188&amp;Result=3","7197188")</f>
        <v>0</v>
      </c>
      <c r="B2631" t="s">
        <v>510</v>
      </c>
      <c r="C2631" t="s">
        <v>6044</v>
      </c>
      <c r="E2631" t="s">
        <v>19572</v>
      </c>
      <c r="F2631" t="s">
        <v>29372</v>
      </c>
      <c r="G2631" t="s">
        <v>29379</v>
      </c>
      <c r="H2631" t="s">
        <v>11048</v>
      </c>
      <c r="I2631" t="s">
        <v>29412</v>
      </c>
      <c r="J2631" t="s">
        <v>19572</v>
      </c>
      <c r="K2631" t="s">
        <v>38490</v>
      </c>
      <c r="M2631" t="s">
        <v>39825</v>
      </c>
      <c r="N2631" t="s">
        <v>42669</v>
      </c>
      <c r="O2631" t="s">
        <v>42670</v>
      </c>
      <c r="P2631">
        <v>0</v>
      </c>
      <c r="Q2631">
        <v>0</v>
      </c>
      <c r="R2631" t="s">
        <v>42675</v>
      </c>
      <c r="S2631" t="s">
        <v>42807</v>
      </c>
      <c r="T2631" t="s">
        <v>44364</v>
      </c>
      <c r="U2631" t="s">
        <v>47036</v>
      </c>
      <c r="W2631" t="s">
        <v>39825</v>
      </c>
      <c r="X2631" t="s">
        <v>42671</v>
      </c>
    </row>
    <row r="2632" spans="1:24">
      <c r="A2632">
        <f>HYPERLINK("https://www.philgeps.gov.ph/GEPSNONPILOT/Tender/SplashBidNoticeAbstractUI.aspx?menuIndex=3&amp;refID=7197169&amp;Result=3","7197169")</f>
        <v>0</v>
      </c>
      <c r="B2632" t="s">
        <v>1025</v>
      </c>
      <c r="C2632" t="s">
        <v>6045</v>
      </c>
      <c r="D2632" t="s">
        <v>17155</v>
      </c>
      <c r="E2632" t="s">
        <v>19573</v>
      </c>
      <c r="F2632" t="s">
        <v>29372</v>
      </c>
      <c r="G2632" t="s">
        <v>29380</v>
      </c>
      <c r="H2632" t="s">
        <v>29389</v>
      </c>
      <c r="I2632" t="s">
        <v>29453</v>
      </c>
      <c r="J2632" t="s">
        <v>29590</v>
      </c>
      <c r="K2632" t="s">
        <v>38493</v>
      </c>
      <c r="M2632" t="s">
        <v>39826</v>
      </c>
      <c r="N2632" t="s">
        <v>42669</v>
      </c>
      <c r="O2632" t="s">
        <v>42670</v>
      </c>
      <c r="P2632">
        <v>0</v>
      </c>
      <c r="Q2632">
        <v>0</v>
      </c>
      <c r="R2632" t="s">
        <v>42675</v>
      </c>
      <c r="S2632" t="s">
        <v>42807</v>
      </c>
      <c r="T2632" t="s">
        <v>44400</v>
      </c>
      <c r="U2632" t="s">
        <v>47037</v>
      </c>
      <c r="W2632" t="s">
        <v>39826</v>
      </c>
      <c r="X2632" t="s">
        <v>42671</v>
      </c>
    </row>
    <row r="2633" spans="1:24">
      <c r="A2633">
        <f>HYPERLINK("https://www.philgeps.gov.ph/GEPSNONPILOT/Tender/SplashBidNoticeAbstractUI.aspx?menuIndex=3&amp;refID=7197178&amp;Result=3","7197178")</f>
        <v>0</v>
      </c>
      <c r="B2633" t="s">
        <v>1022</v>
      </c>
      <c r="C2633" t="s">
        <v>6046</v>
      </c>
      <c r="D2633" t="s">
        <v>17141</v>
      </c>
      <c r="E2633" t="s">
        <v>19574</v>
      </c>
      <c r="F2633" t="s">
        <v>29372</v>
      </c>
      <c r="G2633" t="s">
        <v>29380</v>
      </c>
      <c r="H2633" t="s">
        <v>11048</v>
      </c>
      <c r="I2633" t="s">
        <v>5383</v>
      </c>
      <c r="J2633" t="s">
        <v>29882</v>
      </c>
      <c r="K2633" t="s">
        <v>38488</v>
      </c>
      <c r="M2633" t="s">
        <v>39822</v>
      </c>
      <c r="N2633" t="s">
        <v>42669</v>
      </c>
      <c r="O2633" t="s">
        <v>42670</v>
      </c>
      <c r="P2633">
        <v>0</v>
      </c>
      <c r="Q2633">
        <v>0</v>
      </c>
      <c r="R2633" t="s">
        <v>42675</v>
      </c>
      <c r="S2633" t="s">
        <v>42807</v>
      </c>
      <c r="T2633" t="s">
        <v>44375</v>
      </c>
      <c r="U2633" t="s">
        <v>46808</v>
      </c>
      <c r="W2633" t="s">
        <v>39822</v>
      </c>
      <c r="X2633" t="s">
        <v>42671</v>
      </c>
    </row>
    <row r="2634" spans="1:24">
      <c r="A2634">
        <f>HYPERLINK("https://www.philgeps.gov.ph/GEPSNONPILOT/Tender/SplashBidNoticeAbstractUI.aspx?menuIndex=3&amp;refID=7197185&amp;Result=3","7197185")</f>
        <v>0</v>
      </c>
      <c r="B2634" t="s">
        <v>1022</v>
      </c>
      <c r="C2634" t="s">
        <v>6047</v>
      </c>
      <c r="D2634" t="s">
        <v>17141</v>
      </c>
      <c r="E2634" t="s">
        <v>19575</v>
      </c>
      <c r="F2634" t="s">
        <v>29372</v>
      </c>
      <c r="G2634" t="s">
        <v>29380</v>
      </c>
      <c r="H2634" t="s">
        <v>11048</v>
      </c>
      <c r="I2634" t="s">
        <v>14920</v>
      </c>
      <c r="J2634" t="s">
        <v>31353</v>
      </c>
      <c r="K2634" t="s">
        <v>38488</v>
      </c>
      <c r="M2634" t="s">
        <v>39822</v>
      </c>
      <c r="N2634" t="s">
        <v>42669</v>
      </c>
      <c r="O2634" t="s">
        <v>42670</v>
      </c>
      <c r="P2634">
        <v>0</v>
      </c>
      <c r="Q2634">
        <v>0</v>
      </c>
      <c r="R2634" t="s">
        <v>42675</v>
      </c>
      <c r="S2634" t="s">
        <v>42807</v>
      </c>
      <c r="T2634" t="s">
        <v>44375</v>
      </c>
      <c r="U2634" t="s">
        <v>47038</v>
      </c>
      <c r="W2634" t="s">
        <v>39822</v>
      </c>
      <c r="X2634" t="s">
        <v>42671</v>
      </c>
    </row>
    <row r="2635" spans="1:24">
      <c r="A2635">
        <f>HYPERLINK("https://www.philgeps.gov.ph/GEPSNONPILOT/Tender/SplashBidNoticeAbstractUI.aspx?menuIndex=3&amp;refID=7197184&amp;Result=3","7197184")</f>
        <v>0</v>
      </c>
      <c r="B2635" t="s">
        <v>99</v>
      </c>
      <c r="C2635" t="s">
        <v>6048</v>
      </c>
      <c r="E2635" t="s">
        <v>19576</v>
      </c>
      <c r="F2635" t="s">
        <v>29372</v>
      </c>
      <c r="G2635" t="s">
        <v>29379</v>
      </c>
      <c r="H2635" t="s">
        <v>11048</v>
      </c>
      <c r="I2635" t="s">
        <v>29407</v>
      </c>
      <c r="J2635" t="s">
        <v>31354</v>
      </c>
      <c r="K2635" t="s">
        <v>38491</v>
      </c>
      <c r="M2635" t="s">
        <v>39827</v>
      </c>
      <c r="N2635" t="s">
        <v>42669</v>
      </c>
      <c r="O2635" t="s">
        <v>42670</v>
      </c>
      <c r="P2635">
        <v>0</v>
      </c>
      <c r="Q2635">
        <v>0</v>
      </c>
      <c r="R2635" t="s">
        <v>42675</v>
      </c>
      <c r="S2635" t="s">
        <v>42807</v>
      </c>
      <c r="T2635" t="s">
        <v>44448</v>
      </c>
      <c r="U2635" t="s">
        <v>47039</v>
      </c>
      <c r="V2635" t="s">
        <v>56614</v>
      </c>
      <c r="W2635" t="s">
        <v>39827</v>
      </c>
      <c r="X2635" t="s">
        <v>42671</v>
      </c>
    </row>
    <row r="2636" spans="1:24">
      <c r="A2636">
        <f>HYPERLINK("https://www.philgeps.gov.ph/GEPSNONPILOT/Tender/SplashBidNoticeAbstractUI.aspx?menuIndex=3&amp;refID=7197173&amp;Result=3","7197173")</f>
        <v>0</v>
      </c>
      <c r="B2636" t="s">
        <v>25</v>
      </c>
      <c r="C2636" t="s">
        <v>3670</v>
      </c>
      <c r="D2636" t="s">
        <v>17142</v>
      </c>
      <c r="E2636" t="s">
        <v>19577</v>
      </c>
      <c r="F2636" t="s">
        <v>29372</v>
      </c>
      <c r="G2636" t="s">
        <v>29379</v>
      </c>
      <c r="H2636" t="s">
        <v>11048</v>
      </c>
      <c r="I2636" t="s">
        <v>3670</v>
      </c>
      <c r="J2636" t="s">
        <v>29767</v>
      </c>
      <c r="K2636" t="s">
        <v>38485</v>
      </c>
      <c r="M2636" t="s">
        <v>38778</v>
      </c>
      <c r="N2636" t="s">
        <v>42669</v>
      </c>
      <c r="O2636" t="s">
        <v>42670</v>
      </c>
      <c r="P2636">
        <v>0</v>
      </c>
      <c r="Q2636">
        <v>0</v>
      </c>
      <c r="R2636" t="s">
        <v>42675</v>
      </c>
      <c r="S2636" t="s">
        <v>42807</v>
      </c>
      <c r="T2636" t="s">
        <v>44530</v>
      </c>
      <c r="U2636" t="s">
        <v>47040</v>
      </c>
      <c r="W2636" t="s">
        <v>38778</v>
      </c>
      <c r="X2636" t="s">
        <v>42671</v>
      </c>
    </row>
    <row r="2637" spans="1:24">
      <c r="A2637">
        <f>HYPERLINK("https://www.philgeps.gov.ph/GEPSNONPILOT/Tender/SplashBidNoticeAbstractUI.aspx?menuIndex=3&amp;refID=7197187&amp;Result=3","7197187")</f>
        <v>0</v>
      </c>
      <c r="B2637" t="s">
        <v>1026</v>
      </c>
      <c r="C2637" t="s">
        <v>6049</v>
      </c>
      <c r="D2637" t="s">
        <v>17204</v>
      </c>
      <c r="E2637" t="s">
        <v>18599</v>
      </c>
      <c r="F2637" t="s">
        <v>29372</v>
      </c>
      <c r="G2637" t="s">
        <v>29383</v>
      </c>
      <c r="H2637" t="s">
        <v>11048</v>
      </c>
      <c r="I2637" t="s">
        <v>29454</v>
      </c>
      <c r="J2637" t="s">
        <v>31355</v>
      </c>
      <c r="K2637" t="s">
        <v>38491</v>
      </c>
      <c r="M2637" t="s">
        <v>39828</v>
      </c>
      <c r="N2637" t="s">
        <v>42669</v>
      </c>
      <c r="O2637" t="s">
        <v>42670</v>
      </c>
      <c r="P2637">
        <v>0</v>
      </c>
      <c r="Q2637">
        <v>0</v>
      </c>
      <c r="R2637" t="s">
        <v>42675</v>
      </c>
      <c r="S2637" t="s">
        <v>42807</v>
      </c>
      <c r="T2637" t="s">
        <v>44543</v>
      </c>
      <c r="U2637" t="s">
        <v>47041</v>
      </c>
      <c r="W2637" t="s">
        <v>39828</v>
      </c>
      <c r="X2637" t="s">
        <v>42671</v>
      </c>
    </row>
    <row r="2638" spans="1:24">
      <c r="A2638">
        <f>HYPERLINK("https://www.philgeps.gov.ph/GEPSNONPILOT/Tender/SplashBidNoticeAbstractUI.aspx?menuIndex=3&amp;refID=7197179&amp;Result=3","7197179")</f>
        <v>0</v>
      </c>
      <c r="B2638" t="s">
        <v>1027</v>
      </c>
      <c r="C2638" t="s">
        <v>6050</v>
      </c>
      <c r="D2638" t="s">
        <v>17141</v>
      </c>
      <c r="E2638" t="s">
        <v>19578</v>
      </c>
      <c r="F2638" t="s">
        <v>29372</v>
      </c>
      <c r="G2638" t="s">
        <v>29380</v>
      </c>
      <c r="H2638" t="s">
        <v>11048</v>
      </c>
      <c r="I2638" t="s">
        <v>3670</v>
      </c>
      <c r="J2638" t="s">
        <v>30032</v>
      </c>
      <c r="K2638" t="s">
        <v>38489</v>
      </c>
      <c r="M2638" t="s">
        <v>39829</v>
      </c>
      <c r="N2638" t="s">
        <v>42669</v>
      </c>
      <c r="O2638" t="s">
        <v>42670</v>
      </c>
      <c r="P2638">
        <v>0</v>
      </c>
      <c r="Q2638">
        <v>0</v>
      </c>
      <c r="R2638" t="s">
        <v>42675</v>
      </c>
      <c r="S2638" t="s">
        <v>42807</v>
      </c>
      <c r="T2638" t="s">
        <v>44364</v>
      </c>
      <c r="U2638" t="s">
        <v>47042</v>
      </c>
      <c r="W2638" t="s">
        <v>39829</v>
      </c>
      <c r="X2638" t="s">
        <v>42671</v>
      </c>
    </row>
    <row r="2639" spans="1:24">
      <c r="A2639">
        <f>HYPERLINK("https://www.philgeps.gov.ph/GEPSNONPILOT/Tender/SplashBidNoticeAbstractUI.aspx?menuIndex=3&amp;refID=7192030&amp;Result=3","7192030")</f>
        <v>0</v>
      </c>
      <c r="B2639" t="s">
        <v>1028</v>
      </c>
      <c r="C2639" t="s">
        <v>6051</v>
      </c>
      <c r="D2639" t="s">
        <v>17226</v>
      </c>
      <c r="E2639" t="s">
        <v>19579</v>
      </c>
      <c r="F2639" t="s">
        <v>29372</v>
      </c>
      <c r="G2639" t="s">
        <v>29379</v>
      </c>
      <c r="H2639" t="s">
        <v>11048</v>
      </c>
      <c r="I2639" t="s">
        <v>5383</v>
      </c>
      <c r="J2639" t="s">
        <v>31356</v>
      </c>
      <c r="K2639" t="s">
        <v>38510</v>
      </c>
      <c r="M2639" t="s">
        <v>39830</v>
      </c>
      <c r="N2639" t="s">
        <v>42669</v>
      </c>
      <c r="O2639" t="s">
        <v>42670</v>
      </c>
      <c r="P2639">
        <v>0</v>
      </c>
      <c r="Q2639">
        <v>1</v>
      </c>
      <c r="R2639" t="s">
        <v>42674</v>
      </c>
      <c r="S2639" t="s">
        <v>42788</v>
      </c>
      <c r="T2639" t="s">
        <v>44371</v>
      </c>
      <c r="U2639" t="s">
        <v>47043</v>
      </c>
      <c r="W2639" t="s">
        <v>39830</v>
      </c>
      <c r="X2639" t="s">
        <v>42676</v>
      </c>
    </row>
    <row r="2640" spans="1:24">
      <c r="A2640">
        <f>HYPERLINK("https://www.philgeps.gov.ph/GEPSNONPILOT/Tender/SplashBidNoticeAbstractUI.aspx?menuIndex=3&amp;refID=7197194&amp;Result=3","7197194")</f>
        <v>0</v>
      </c>
      <c r="B2640" t="s">
        <v>1025</v>
      </c>
      <c r="C2640" t="s">
        <v>6052</v>
      </c>
      <c r="D2640" t="s">
        <v>17155</v>
      </c>
      <c r="E2640" t="s">
        <v>19580</v>
      </c>
      <c r="F2640" t="s">
        <v>29372</v>
      </c>
      <c r="G2640" t="s">
        <v>29380</v>
      </c>
      <c r="H2640" t="s">
        <v>29389</v>
      </c>
      <c r="I2640" t="s">
        <v>29453</v>
      </c>
      <c r="J2640" t="s">
        <v>30302</v>
      </c>
      <c r="K2640" t="s">
        <v>38577</v>
      </c>
      <c r="M2640" t="s">
        <v>39826</v>
      </c>
      <c r="N2640" t="s">
        <v>42669</v>
      </c>
      <c r="O2640" t="s">
        <v>42670</v>
      </c>
      <c r="P2640">
        <v>0</v>
      </c>
      <c r="Q2640">
        <v>0</v>
      </c>
      <c r="R2640" t="s">
        <v>42675</v>
      </c>
      <c r="S2640" t="s">
        <v>42807</v>
      </c>
      <c r="T2640" t="s">
        <v>44587</v>
      </c>
      <c r="U2640" t="s">
        <v>47044</v>
      </c>
      <c r="W2640" t="s">
        <v>39826</v>
      </c>
      <c r="X2640" t="s">
        <v>42671</v>
      </c>
    </row>
    <row r="2641" spans="1:24">
      <c r="A2641">
        <f>HYPERLINK("https://www.philgeps.gov.ph/GEPSNONPILOT/Tender/SplashBidNoticeAbstractUI.aspx?menuIndex=3&amp;refID=7197213&amp;Result=3","7197213")</f>
        <v>0</v>
      </c>
      <c r="B2641" t="s">
        <v>1022</v>
      </c>
      <c r="C2641" t="s">
        <v>6053</v>
      </c>
      <c r="D2641" t="s">
        <v>17141</v>
      </c>
      <c r="E2641" t="s">
        <v>19581</v>
      </c>
      <c r="F2641" t="s">
        <v>29372</v>
      </c>
      <c r="G2641" t="s">
        <v>29380</v>
      </c>
      <c r="H2641" t="s">
        <v>11048</v>
      </c>
      <c r="I2641" t="s">
        <v>29412</v>
      </c>
      <c r="J2641" t="s">
        <v>31357</v>
      </c>
      <c r="K2641" t="s">
        <v>38488</v>
      </c>
      <c r="M2641" t="s">
        <v>39822</v>
      </c>
      <c r="N2641" t="s">
        <v>42669</v>
      </c>
      <c r="O2641" t="s">
        <v>42670</v>
      </c>
      <c r="P2641">
        <v>0</v>
      </c>
      <c r="Q2641">
        <v>0</v>
      </c>
      <c r="R2641" t="s">
        <v>42675</v>
      </c>
      <c r="S2641" t="s">
        <v>42807</v>
      </c>
      <c r="T2641" t="s">
        <v>44375</v>
      </c>
      <c r="U2641" t="s">
        <v>47045</v>
      </c>
      <c r="W2641" t="s">
        <v>39822</v>
      </c>
      <c r="X2641" t="s">
        <v>42671</v>
      </c>
    </row>
    <row r="2642" spans="1:24">
      <c r="A2642">
        <f>HYPERLINK("https://www.philgeps.gov.ph/GEPSNONPILOT/Tender/SplashBidNoticeAbstractUI.aspx?menuIndex=3&amp;refID=7197211&amp;Result=3","7197211")</f>
        <v>0</v>
      </c>
      <c r="B2642" t="s">
        <v>1029</v>
      </c>
      <c r="C2642" t="s">
        <v>6054</v>
      </c>
      <c r="E2642" t="s">
        <v>19582</v>
      </c>
      <c r="F2642" t="s">
        <v>29372</v>
      </c>
      <c r="G2642" t="s">
        <v>29380</v>
      </c>
      <c r="H2642" t="s">
        <v>11048</v>
      </c>
      <c r="I2642" t="s">
        <v>8208</v>
      </c>
      <c r="J2642" t="s">
        <v>29526</v>
      </c>
      <c r="K2642" t="s">
        <v>38491</v>
      </c>
      <c r="M2642" t="s">
        <v>39831</v>
      </c>
      <c r="N2642" t="s">
        <v>42669</v>
      </c>
      <c r="O2642" t="s">
        <v>42670</v>
      </c>
      <c r="P2642">
        <v>0</v>
      </c>
      <c r="Q2642">
        <v>0</v>
      </c>
      <c r="R2642" t="s">
        <v>42675</v>
      </c>
      <c r="S2642" t="s">
        <v>42807</v>
      </c>
      <c r="T2642" t="s">
        <v>44527</v>
      </c>
      <c r="U2642" t="s">
        <v>47046</v>
      </c>
      <c r="W2642" t="s">
        <v>39831</v>
      </c>
      <c r="X2642" t="s">
        <v>42671</v>
      </c>
    </row>
    <row r="2643" spans="1:24">
      <c r="A2643">
        <f>HYPERLINK("https://www.philgeps.gov.ph/GEPSNONPILOT/Tender/SplashBidNoticeAbstractUI.aspx?menuIndex=3&amp;refID=7197209&amp;Result=3","7197209")</f>
        <v>0</v>
      </c>
      <c r="B2643" t="s">
        <v>1030</v>
      </c>
      <c r="C2643" t="s">
        <v>6055</v>
      </c>
      <c r="D2643" t="s">
        <v>17165</v>
      </c>
      <c r="E2643" t="s">
        <v>19583</v>
      </c>
      <c r="F2643" t="s">
        <v>29372</v>
      </c>
      <c r="G2643" t="s">
        <v>29379</v>
      </c>
      <c r="H2643" t="s">
        <v>11048</v>
      </c>
      <c r="I2643" t="s">
        <v>8208</v>
      </c>
      <c r="J2643" t="s">
        <v>31358</v>
      </c>
      <c r="K2643" t="s">
        <v>38524</v>
      </c>
      <c r="M2643" t="s">
        <v>39832</v>
      </c>
      <c r="N2643" t="s">
        <v>42669</v>
      </c>
      <c r="O2643" t="s">
        <v>42670</v>
      </c>
      <c r="P2643">
        <v>0</v>
      </c>
      <c r="Q2643">
        <v>0</v>
      </c>
      <c r="R2643" t="s">
        <v>42675</v>
      </c>
      <c r="S2643" t="s">
        <v>42807</v>
      </c>
      <c r="T2643" t="s">
        <v>44508</v>
      </c>
      <c r="U2643" t="s">
        <v>47047</v>
      </c>
      <c r="W2643" t="s">
        <v>39832</v>
      </c>
      <c r="X2643" t="s">
        <v>42671</v>
      </c>
    </row>
    <row r="2644" spans="1:24">
      <c r="A2644">
        <f>HYPERLINK("https://www.philgeps.gov.ph/GEPSNONPILOT/Tender/SplashBidNoticeAbstractUI.aspx?menuIndex=3&amp;refID=7197186&amp;Result=3","7197186")</f>
        <v>0</v>
      </c>
      <c r="B2644" t="s">
        <v>956</v>
      </c>
      <c r="C2644" t="s">
        <v>6056</v>
      </c>
      <c r="D2644" t="s">
        <v>17141</v>
      </c>
      <c r="E2644" t="s">
        <v>19584</v>
      </c>
      <c r="F2644" t="s">
        <v>29372</v>
      </c>
      <c r="G2644" t="s">
        <v>29380</v>
      </c>
      <c r="H2644" t="s">
        <v>11048</v>
      </c>
      <c r="I2644" t="s">
        <v>29484</v>
      </c>
      <c r="J2644" t="s">
        <v>31359</v>
      </c>
      <c r="K2644" t="s">
        <v>38486</v>
      </c>
      <c r="M2644" t="s">
        <v>39833</v>
      </c>
      <c r="N2644" t="s">
        <v>42669</v>
      </c>
      <c r="O2644" t="s">
        <v>42670</v>
      </c>
      <c r="P2644">
        <v>0</v>
      </c>
      <c r="Q2644">
        <v>0</v>
      </c>
      <c r="R2644" t="s">
        <v>42675</v>
      </c>
      <c r="S2644" t="s">
        <v>42807</v>
      </c>
      <c r="T2644" t="s">
        <v>44413</v>
      </c>
      <c r="U2644" t="s">
        <v>47048</v>
      </c>
      <c r="W2644" t="s">
        <v>39833</v>
      </c>
      <c r="X2644" t="s">
        <v>42671</v>
      </c>
    </row>
    <row r="2645" spans="1:24">
      <c r="A2645">
        <f>HYPERLINK("https://www.philgeps.gov.ph/GEPSNONPILOT/Tender/SplashBidNoticeAbstractUI.aspx?menuIndex=3&amp;refID=7197205&amp;Result=3","7197205")</f>
        <v>0</v>
      </c>
      <c r="B2645" t="s">
        <v>1022</v>
      </c>
      <c r="C2645" t="s">
        <v>6057</v>
      </c>
      <c r="D2645" t="s">
        <v>17141</v>
      </c>
      <c r="E2645" t="s">
        <v>19585</v>
      </c>
      <c r="F2645" t="s">
        <v>29372</v>
      </c>
      <c r="G2645" t="s">
        <v>29380</v>
      </c>
      <c r="H2645" t="s">
        <v>11048</v>
      </c>
      <c r="I2645" t="s">
        <v>3670</v>
      </c>
      <c r="J2645" t="s">
        <v>31360</v>
      </c>
      <c r="K2645" t="s">
        <v>38488</v>
      </c>
      <c r="M2645" t="s">
        <v>39822</v>
      </c>
      <c r="N2645" t="s">
        <v>42669</v>
      </c>
      <c r="O2645" t="s">
        <v>42670</v>
      </c>
      <c r="P2645">
        <v>0</v>
      </c>
      <c r="Q2645">
        <v>0</v>
      </c>
      <c r="R2645" t="s">
        <v>42675</v>
      </c>
      <c r="S2645" t="s">
        <v>42807</v>
      </c>
      <c r="T2645" t="s">
        <v>44375</v>
      </c>
      <c r="U2645" t="s">
        <v>47035</v>
      </c>
      <c r="W2645" t="s">
        <v>39822</v>
      </c>
      <c r="X2645" t="s">
        <v>42671</v>
      </c>
    </row>
    <row r="2646" spans="1:24">
      <c r="A2646">
        <f>HYPERLINK("https://www.philgeps.gov.ph/GEPSNONPILOT/Tender/SplashBidNoticeAbstractUI.aspx?menuIndex=3&amp;refID=7197182&amp;Result=3","7197182")</f>
        <v>0</v>
      </c>
      <c r="B2646" t="s">
        <v>1031</v>
      </c>
      <c r="C2646" t="s">
        <v>6058</v>
      </c>
      <c r="D2646" t="s">
        <v>17155</v>
      </c>
      <c r="E2646" t="s">
        <v>17434</v>
      </c>
      <c r="F2646" t="s">
        <v>29372</v>
      </c>
      <c r="G2646" t="s">
        <v>29380</v>
      </c>
      <c r="H2646" t="s">
        <v>11048</v>
      </c>
      <c r="I2646" t="s">
        <v>29393</v>
      </c>
      <c r="J2646" t="s">
        <v>29526</v>
      </c>
      <c r="K2646" t="s">
        <v>38590</v>
      </c>
      <c r="M2646" t="s">
        <v>39834</v>
      </c>
      <c r="N2646" t="s">
        <v>42669</v>
      </c>
      <c r="O2646" t="s">
        <v>42670</v>
      </c>
      <c r="P2646">
        <v>0</v>
      </c>
      <c r="Q2646">
        <v>0</v>
      </c>
      <c r="R2646" t="s">
        <v>42675</v>
      </c>
      <c r="S2646" t="s">
        <v>42807</v>
      </c>
      <c r="T2646" t="s">
        <v>44457</v>
      </c>
      <c r="U2646" t="s">
        <v>47049</v>
      </c>
      <c r="W2646" t="s">
        <v>39834</v>
      </c>
      <c r="X2646" t="s">
        <v>42671</v>
      </c>
    </row>
    <row r="2647" spans="1:24">
      <c r="A2647">
        <f>HYPERLINK("https://www.philgeps.gov.ph/GEPSNONPILOT/Tender/SplashBidNoticeAbstractUI.aspx?menuIndex=3&amp;refID=7197212&amp;Result=3","7197212")</f>
        <v>0</v>
      </c>
      <c r="B2647" t="s">
        <v>1022</v>
      </c>
      <c r="C2647" t="s">
        <v>6059</v>
      </c>
      <c r="D2647" t="s">
        <v>17141</v>
      </c>
      <c r="E2647" t="s">
        <v>19586</v>
      </c>
      <c r="F2647" t="s">
        <v>29372</v>
      </c>
      <c r="G2647" t="s">
        <v>29380</v>
      </c>
      <c r="H2647" t="s">
        <v>11048</v>
      </c>
      <c r="I2647" t="s">
        <v>29412</v>
      </c>
      <c r="J2647" t="s">
        <v>31361</v>
      </c>
      <c r="K2647" t="s">
        <v>38488</v>
      </c>
      <c r="M2647" t="s">
        <v>39822</v>
      </c>
      <c r="N2647" t="s">
        <v>42669</v>
      </c>
      <c r="O2647" t="s">
        <v>42670</v>
      </c>
      <c r="P2647">
        <v>0</v>
      </c>
      <c r="Q2647">
        <v>0</v>
      </c>
      <c r="R2647" t="s">
        <v>42675</v>
      </c>
      <c r="S2647" t="s">
        <v>42807</v>
      </c>
      <c r="T2647" t="s">
        <v>44375</v>
      </c>
      <c r="U2647" t="s">
        <v>47045</v>
      </c>
      <c r="W2647" t="s">
        <v>39822</v>
      </c>
      <c r="X2647" t="s">
        <v>42671</v>
      </c>
    </row>
    <row r="2648" spans="1:24">
      <c r="A2648">
        <f>HYPERLINK("https://www.philgeps.gov.ph/GEPSNONPILOT/Tender/SplashBidNoticeAbstractUI.aspx?menuIndex=3&amp;refID=7197202&amp;Result=3","7197202")</f>
        <v>0</v>
      </c>
      <c r="B2648" t="s">
        <v>1032</v>
      </c>
      <c r="C2648" t="s">
        <v>6060</v>
      </c>
      <c r="D2648" t="s">
        <v>17156</v>
      </c>
      <c r="E2648" t="s">
        <v>19587</v>
      </c>
      <c r="F2648" t="s">
        <v>29372</v>
      </c>
      <c r="G2648" t="s">
        <v>29379</v>
      </c>
      <c r="H2648" t="s">
        <v>11048</v>
      </c>
      <c r="I2648" t="s">
        <v>3695</v>
      </c>
      <c r="J2648" t="s">
        <v>31362</v>
      </c>
      <c r="K2648" t="s">
        <v>38489</v>
      </c>
      <c r="M2648" t="s">
        <v>39835</v>
      </c>
      <c r="N2648" t="s">
        <v>42669</v>
      </c>
      <c r="O2648" t="s">
        <v>42670</v>
      </c>
      <c r="P2648">
        <v>0</v>
      </c>
      <c r="Q2648">
        <v>0</v>
      </c>
      <c r="R2648" t="s">
        <v>42675</v>
      </c>
      <c r="S2648" t="s">
        <v>42807</v>
      </c>
      <c r="T2648" t="s">
        <v>44470</v>
      </c>
      <c r="U2648" t="s">
        <v>47050</v>
      </c>
      <c r="W2648" t="s">
        <v>39835</v>
      </c>
      <c r="X2648" t="s">
        <v>42671</v>
      </c>
    </row>
    <row r="2649" spans="1:24">
      <c r="A2649">
        <f>HYPERLINK("https://www.philgeps.gov.ph/GEPSNONPILOT/Tender/SplashBidNoticeAbstractUI.aspx?menuIndex=3&amp;refID=7197210&amp;Result=3","7197210")</f>
        <v>0</v>
      </c>
      <c r="B2649" t="s">
        <v>1022</v>
      </c>
      <c r="C2649" t="s">
        <v>6061</v>
      </c>
      <c r="D2649" t="s">
        <v>17141</v>
      </c>
      <c r="E2649" t="s">
        <v>19588</v>
      </c>
      <c r="F2649" t="s">
        <v>29372</v>
      </c>
      <c r="G2649" t="s">
        <v>29380</v>
      </c>
      <c r="H2649" t="s">
        <v>11048</v>
      </c>
      <c r="I2649" t="s">
        <v>29482</v>
      </c>
      <c r="J2649" t="s">
        <v>29549</v>
      </c>
      <c r="K2649" t="s">
        <v>38488</v>
      </c>
      <c r="M2649" t="s">
        <v>39822</v>
      </c>
      <c r="N2649" t="s">
        <v>42669</v>
      </c>
      <c r="O2649" t="s">
        <v>42670</v>
      </c>
      <c r="P2649">
        <v>0</v>
      </c>
      <c r="Q2649">
        <v>0</v>
      </c>
      <c r="R2649" t="s">
        <v>42675</v>
      </c>
      <c r="S2649" t="s">
        <v>42807</v>
      </c>
      <c r="T2649" t="s">
        <v>44375</v>
      </c>
      <c r="U2649" t="s">
        <v>47045</v>
      </c>
      <c r="W2649" t="s">
        <v>39822</v>
      </c>
      <c r="X2649" t="s">
        <v>42671</v>
      </c>
    </row>
    <row r="2650" spans="1:24">
      <c r="A2650">
        <f>HYPERLINK("https://www.philgeps.gov.ph/GEPSNONPILOT/Tender/SplashBidNoticeAbstractUI.aspx?menuIndex=3&amp;refID=7197218&amp;Result=3","7197218")</f>
        <v>0</v>
      </c>
      <c r="B2650" t="s">
        <v>1033</v>
      </c>
      <c r="C2650" t="s">
        <v>6062</v>
      </c>
      <c r="D2650" t="s">
        <v>17188</v>
      </c>
      <c r="E2650" t="s">
        <v>19589</v>
      </c>
      <c r="F2650" t="s">
        <v>29372</v>
      </c>
      <c r="G2650" t="s">
        <v>29380</v>
      </c>
      <c r="H2650" t="s">
        <v>29389</v>
      </c>
      <c r="I2650" t="s">
        <v>10408</v>
      </c>
      <c r="J2650" t="s">
        <v>29571</v>
      </c>
      <c r="K2650" t="s">
        <v>38485</v>
      </c>
      <c r="M2650" t="s">
        <v>39836</v>
      </c>
      <c r="N2650" t="s">
        <v>42669</v>
      </c>
      <c r="O2650" t="s">
        <v>42670</v>
      </c>
      <c r="P2650">
        <v>0</v>
      </c>
      <c r="Q2650">
        <v>0</v>
      </c>
      <c r="R2650" t="s">
        <v>42675</v>
      </c>
      <c r="S2650" t="s">
        <v>42807</v>
      </c>
      <c r="T2650" t="s">
        <v>44527</v>
      </c>
      <c r="U2650" t="s">
        <v>47051</v>
      </c>
      <c r="W2650" t="s">
        <v>39836</v>
      </c>
      <c r="X2650" t="s">
        <v>42671</v>
      </c>
    </row>
    <row r="2651" spans="1:24">
      <c r="A2651">
        <f>HYPERLINK("https://www.philgeps.gov.ph/GEPSNONPILOT/Tender/SplashBidNoticeAbstractUI.aspx?menuIndex=3&amp;refID=7197206&amp;Result=3","7197206")</f>
        <v>0</v>
      </c>
      <c r="B2651" t="s">
        <v>1034</v>
      </c>
      <c r="C2651" t="s">
        <v>6063</v>
      </c>
      <c r="D2651" t="s">
        <v>17199</v>
      </c>
      <c r="E2651" t="s">
        <v>19590</v>
      </c>
      <c r="F2651" t="s">
        <v>29372</v>
      </c>
      <c r="G2651" t="s">
        <v>29382</v>
      </c>
      <c r="H2651" t="s">
        <v>11048</v>
      </c>
      <c r="I2651" t="s">
        <v>3839</v>
      </c>
      <c r="J2651" t="s">
        <v>30010</v>
      </c>
      <c r="K2651" t="s">
        <v>38488</v>
      </c>
      <c r="M2651" t="s">
        <v>39837</v>
      </c>
      <c r="N2651" t="s">
        <v>42669</v>
      </c>
      <c r="O2651" t="s">
        <v>42670</v>
      </c>
      <c r="P2651">
        <v>0</v>
      </c>
      <c r="Q2651">
        <v>0</v>
      </c>
      <c r="R2651" t="s">
        <v>42675</v>
      </c>
      <c r="S2651" t="s">
        <v>42807</v>
      </c>
      <c r="T2651" t="s">
        <v>44480</v>
      </c>
      <c r="U2651" t="s">
        <v>47052</v>
      </c>
      <c r="W2651" t="s">
        <v>58033</v>
      </c>
      <c r="X2651" t="s">
        <v>42671</v>
      </c>
    </row>
    <row r="2652" spans="1:24">
      <c r="A2652">
        <f>HYPERLINK("https://www.philgeps.gov.ph/GEPSNONPILOT/Tender/SplashBidNoticeAbstractUI.aspx?menuIndex=3&amp;refID=7197216&amp;Result=3","7197216")</f>
        <v>0</v>
      </c>
      <c r="B2652" t="s">
        <v>1034</v>
      </c>
      <c r="C2652" t="s">
        <v>6064</v>
      </c>
      <c r="D2652" t="s">
        <v>17199</v>
      </c>
      <c r="E2652" t="s">
        <v>19591</v>
      </c>
      <c r="F2652" t="s">
        <v>29372</v>
      </c>
      <c r="G2652" t="s">
        <v>29382</v>
      </c>
      <c r="H2652" t="s">
        <v>11048</v>
      </c>
      <c r="I2652" t="s">
        <v>4486</v>
      </c>
      <c r="J2652" t="s">
        <v>31363</v>
      </c>
      <c r="K2652" t="s">
        <v>38491</v>
      </c>
      <c r="M2652" t="s">
        <v>39837</v>
      </c>
      <c r="N2652" t="s">
        <v>42669</v>
      </c>
      <c r="O2652" t="s">
        <v>42670</v>
      </c>
      <c r="P2652">
        <v>0</v>
      </c>
      <c r="Q2652">
        <v>0</v>
      </c>
      <c r="R2652" t="s">
        <v>42675</v>
      </c>
      <c r="S2652" t="s">
        <v>42807</v>
      </c>
      <c r="T2652" t="s">
        <v>44480</v>
      </c>
      <c r="U2652" t="s">
        <v>47052</v>
      </c>
      <c r="W2652" t="s">
        <v>58033</v>
      </c>
      <c r="X2652" t="s">
        <v>42671</v>
      </c>
    </row>
    <row r="2653" spans="1:24">
      <c r="A2653">
        <f>HYPERLINK("https://www.philgeps.gov.ph/GEPSNONPILOT/Tender/SplashBidNoticeAbstractUI.aspx?menuIndex=3&amp;refID=7197203&amp;Result=3","7197203")</f>
        <v>0</v>
      </c>
      <c r="B2653" t="s">
        <v>254</v>
      </c>
      <c r="C2653" t="s">
        <v>6065</v>
      </c>
      <c r="D2653" t="s">
        <v>17142</v>
      </c>
      <c r="E2653" t="s">
        <v>19592</v>
      </c>
      <c r="F2653" t="s">
        <v>29372</v>
      </c>
      <c r="G2653" t="s">
        <v>29383</v>
      </c>
      <c r="H2653" t="s">
        <v>11048</v>
      </c>
      <c r="I2653" t="s">
        <v>4487</v>
      </c>
      <c r="J2653" t="s">
        <v>29799</v>
      </c>
      <c r="K2653" t="s">
        <v>38491</v>
      </c>
      <c r="M2653" t="s">
        <v>39838</v>
      </c>
      <c r="N2653" t="s">
        <v>42669</v>
      </c>
      <c r="O2653" t="s">
        <v>42670</v>
      </c>
      <c r="P2653">
        <v>0</v>
      </c>
      <c r="Q2653">
        <v>0</v>
      </c>
      <c r="R2653" t="s">
        <v>42675</v>
      </c>
      <c r="S2653" t="s">
        <v>42807</v>
      </c>
      <c r="T2653" t="s">
        <v>44394</v>
      </c>
      <c r="U2653" t="s">
        <v>47053</v>
      </c>
      <c r="W2653" t="s">
        <v>39838</v>
      </c>
      <c r="X2653" t="s">
        <v>42671</v>
      </c>
    </row>
    <row r="2654" spans="1:24">
      <c r="A2654">
        <f>HYPERLINK("https://www.philgeps.gov.ph/GEPSNONPILOT/Tender/SplashBidNoticeAbstractUI.aspx?menuIndex=3&amp;refID=7197201&amp;Result=3","7197201")</f>
        <v>0</v>
      </c>
      <c r="B2654" t="s">
        <v>1022</v>
      </c>
      <c r="C2654" t="s">
        <v>6066</v>
      </c>
      <c r="D2654" t="s">
        <v>17141</v>
      </c>
      <c r="E2654" t="s">
        <v>19593</v>
      </c>
      <c r="F2654" t="s">
        <v>29372</v>
      </c>
      <c r="G2654" t="s">
        <v>29380</v>
      </c>
      <c r="H2654" t="s">
        <v>11048</v>
      </c>
      <c r="I2654" t="s">
        <v>3670</v>
      </c>
      <c r="J2654" t="s">
        <v>30265</v>
      </c>
      <c r="K2654" t="s">
        <v>38488</v>
      </c>
      <c r="M2654" t="s">
        <v>39822</v>
      </c>
      <c r="N2654" t="s">
        <v>42669</v>
      </c>
      <c r="O2654" t="s">
        <v>42670</v>
      </c>
      <c r="P2654">
        <v>0</v>
      </c>
      <c r="Q2654">
        <v>0</v>
      </c>
      <c r="R2654" t="s">
        <v>42675</v>
      </c>
      <c r="S2654" t="s">
        <v>42807</v>
      </c>
      <c r="T2654" t="s">
        <v>44375</v>
      </c>
      <c r="U2654" t="s">
        <v>47035</v>
      </c>
      <c r="W2654" t="s">
        <v>39822</v>
      </c>
      <c r="X2654" t="s">
        <v>42671</v>
      </c>
    </row>
    <row r="2655" spans="1:24">
      <c r="A2655">
        <f>HYPERLINK("https://www.philgeps.gov.ph/GEPSNONPILOT/Tender/SplashBidNoticeAbstractUI.aspx?menuIndex=3&amp;refID=7197204&amp;Result=3","7197204")</f>
        <v>0</v>
      </c>
      <c r="B2655" t="s">
        <v>1035</v>
      </c>
      <c r="C2655" t="s">
        <v>6067</v>
      </c>
      <c r="D2655" t="s">
        <v>17141</v>
      </c>
      <c r="E2655" t="s">
        <v>19594</v>
      </c>
      <c r="F2655" t="s">
        <v>29372</v>
      </c>
      <c r="G2655" t="s">
        <v>29380</v>
      </c>
      <c r="H2655" t="s">
        <v>29389</v>
      </c>
      <c r="I2655" t="s">
        <v>10408</v>
      </c>
      <c r="J2655" t="s">
        <v>31364</v>
      </c>
      <c r="K2655" t="s">
        <v>38495</v>
      </c>
      <c r="M2655" t="s">
        <v>39839</v>
      </c>
      <c r="N2655" t="s">
        <v>42669</v>
      </c>
      <c r="O2655" t="s">
        <v>42670</v>
      </c>
      <c r="P2655">
        <v>0</v>
      </c>
      <c r="Q2655">
        <v>2</v>
      </c>
      <c r="R2655" t="s">
        <v>42675</v>
      </c>
      <c r="S2655" t="s">
        <v>42807</v>
      </c>
      <c r="T2655" t="s">
        <v>44527</v>
      </c>
      <c r="U2655" t="s">
        <v>47054</v>
      </c>
      <c r="W2655" t="s">
        <v>39839</v>
      </c>
      <c r="X2655" t="s">
        <v>42671</v>
      </c>
    </row>
    <row r="2656" spans="1:24">
      <c r="A2656">
        <f>HYPERLINK("https://www.philgeps.gov.ph/GEPSNONPILOT/Tender/SplashBidNoticeAbstractUI.aspx?menuIndex=3&amp;refID=7197200&amp;Result=3","7197200")</f>
        <v>0</v>
      </c>
      <c r="B2656" t="s">
        <v>1036</v>
      </c>
      <c r="C2656" t="s">
        <v>6068</v>
      </c>
      <c r="D2656" t="s">
        <v>17167</v>
      </c>
      <c r="E2656" t="s">
        <v>19595</v>
      </c>
      <c r="F2656" t="s">
        <v>29372</v>
      </c>
      <c r="G2656" t="s">
        <v>29383</v>
      </c>
      <c r="H2656" t="s">
        <v>11048</v>
      </c>
      <c r="I2656" t="s">
        <v>3670</v>
      </c>
      <c r="J2656" t="s">
        <v>31365</v>
      </c>
      <c r="K2656" t="s">
        <v>38491</v>
      </c>
      <c r="M2656" t="s">
        <v>39840</v>
      </c>
      <c r="N2656" t="s">
        <v>42669</v>
      </c>
      <c r="O2656" t="s">
        <v>42670</v>
      </c>
      <c r="P2656">
        <v>0</v>
      </c>
      <c r="Q2656">
        <v>0</v>
      </c>
      <c r="R2656" t="s">
        <v>42675</v>
      </c>
      <c r="S2656" t="s">
        <v>42807</v>
      </c>
      <c r="T2656" t="s">
        <v>44389</v>
      </c>
      <c r="U2656" t="s">
        <v>47055</v>
      </c>
      <c r="W2656" t="s">
        <v>39840</v>
      </c>
      <c r="X2656" t="s">
        <v>42671</v>
      </c>
    </row>
    <row r="2657" spans="1:24">
      <c r="A2657">
        <f>HYPERLINK("https://www.philgeps.gov.ph/GEPSNONPILOT/Tender/SplashBidNoticeAbstractUI.aspx?menuIndex=3&amp;refID=7197199&amp;Result=3","7197199")</f>
        <v>0</v>
      </c>
      <c r="B2657" t="s">
        <v>1037</v>
      </c>
      <c r="C2657" t="s">
        <v>6069</v>
      </c>
      <c r="D2657" t="s">
        <v>17188</v>
      </c>
      <c r="E2657" t="s">
        <v>19596</v>
      </c>
      <c r="F2657" t="s">
        <v>29372</v>
      </c>
      <c r="G2657" t="s">
        <v>29380</v>
      </c>
      <c r="H2657" t="s">
        <v>29389</v>
      </c>
      <c r="I2657" t="s">
        <v>29408</v>
      </c>
      <c r="J2657" t="s">
        <v>31366</v>
      </c>
      <c r="K2657" t="s">
        <v>38495</v>
      </c>
      <c r="M2657" t="s">
        <v>39841</v>
      </c>
      <c r="N2657" t="s">
        <v>42669</v>
      </c>
      <c r="O2657" t="s">
        <v>42670</v>
      </c>
      <c r="P2657">
        <v>0</v>
      </c>
      <c r="Q2657">
        <v>0</v>
      </c>
      <c r="R2657" t="s">
        <v>42675</v>
      </c>
      <c r="S2657" t="s">
        <v>42807</v>
      </c>
      <c r="T2657" t="s">
        <v>44604</v>
      </c>
      <c r="U2657" t="s">
        <v>47056</v>
      </c>
      <c r="W2657" t="s">
        <v>39841</v>
      </c>
      <c r="X2657" t="s">
        <v>42671</v>
      </c>
    </row>
    <row r="2658" spans="1:24">
      <c r="A2658">
        <f>HYPERLINK("https://www.philgeps.gov.ph/GEPSNONPILOT/Tender/SplashBidNoticeAbstractUI.aspx?menuIndex=3&amp;refID=7197219&amp;Result=3","7197219")</f>
        <v>0</v>
      </c>
      <c r="B2658" t="s">
        <v>1029</v>
      </c>
      <c r="C2658" t="s">
        <v>6070</v>
      </c>
      <c r="E2658" t="s">
        <v>19597</v>
      </c>
      <c r="F2658" t="s">
        <v>29372</v>
      </c>
      <c r="G2658" t="s">
        <v>29380</v>
      </c>
      <c r="H2658" t="s">
        <v>11048</v>
      </c>
      <c r="I2658" t="s">
        <v>29473</v>
      </c>
      <c r="J2658" t="s">
        <v>29526</v>
      </c>
      <c r="K2658" t="s">
        <v>38491</v>
      </c>
      <c r="M2658" t="s">
        <v>39831</v>
      </c>
      <c r="N2658" t="s">
        <v>42669</v>
      </c>
      <c r="O2658" t="s">
        <v>42670</v>
      </c>
      <c r="P2658">
        <v>0</v>
      </c>
      <c r="Q2658">
        <v>0</v>
      </c>
      <c r="R2658" t="s">
        <v>42675</v>
      </c>
      <c r="S2658" t="s">
        <v>42807</v>
      </c>
      <c r="T2658" t="s">
        <v>44527</v>
      </c>
      <c r="U2658" t="s">
        <v>47046</v>
      </c>
      <c r="W2658" t="s">
        <v>39831</v>
      </c>
      <c r="X2658" t="s">
        <v>42671</v>
      </c>
    </row>
    <row r="2659" spans="1:24">
      <c r="A2659">
        <f>HYPERLINK("https://www.philgeps.gov.ph/GEPSNONPILOT/Tender/SplashBidNoticeAbstractUI.aspx?menuIndex=3&amp;refID=7197235&amp;Result=3","7197235")</f>
        <v>0</v>
      </c>
      <c r="B2659" t="s">
        <v>1022</v>
      </c>
      <c r="C2659" t="s">
        <v>6071</v>
      </c>
      <c r="D2659" t="s">
        <v>17141</v>
      </c>
      <c r="E2659" t="s">
        <v>19598</v>
      </c>
      <c r="F2659" t="s">
        <v>29372</v>
      </c>
      <c r="G2659" t="s">
        <v>29380</v>
      </c>
      <c r="H2659" t="s">
        <v>11048</v>
      </c>
      <c r="I2659" t="s">
        <v>5383</v>
      </c>
      <c r="J2659" t="s">
        <v>31367</v>
      </c>
      <c r="K2659" t="s">
        <v>38488</v>
      </c>
      <c r="M2659" t="s">
        <v>39842</v>
      </c>
      <c r="N2659" t="s">
        <v>42669</v>
      </c>
      <c r="O2659" t="s">
        <v>42670</v>
      </c>
      <c r="P2659">
        <v>0</v>
      </c>
      <c r="Q2659">
        <v>0</v>
      </c>
      <c r="R2659" t="s">
        <v>42675</v>
      </c>
      <c r="S2659" t="s">
        <v>42807</v>
      </c>
      <c r="T2659" t="s">
        <v>44415</v>
      </c>
      <c r="U2659" t="s">
        <v>46808</v>
      </c>
      <c r="W2659" t="s">
        <v>39842</v>
      </c>
      <c r="X2659" t="s">
        <v>42671</v>
      </c>
    </row>
    <row r="2660" spans="1:24">
      <c r="A2660">
        <f>HYPERLINK("https://www.philgeps.gov.ph/GEPSNONPILOT/Tender/SplashBidNoticeAbstractUI.aspx?menuIndex=3&amp;refID=7197231&amp;Result=3","7197231")</f>
        <v>0</v>
      </c>
      <c r="B2660" t="s">
        <v>1034</v>
      </c>
      <c r="C2660" t="s">
        <v>6072</v>
      </c>
      <c r="D2660" t="s">
        <v>17199</v>
      </c>
      <c r="E2660" t="s">
        <v>19599</v>
      </c>
      <c r="F2660" t="s">
        <v>29372</v>
      </c>
      <c r="G2660" t="s">
        <v>29379</v>
      </c>
      <c r="H2660" t="s">
        <v>11048</v>
      </c>
      <c r="I2660" t="s">
        <v>29407</v>
      </c>
      <c r="J2660" t="s">
        <v>31368</v>
      </c>
      <c r="K2660" t="s">
        <v>38491</v>
      </c>
      <c r="M2660" t="s">
        <v>39837</v>
      </c>
      <c r="N2660" t="s">
        <v>42669</v>
      </c>
      <c r="O2660" t="s">
        <v>42670</v>
      </c>
      <c r="P2660">
        <v>0</v>
      </c>
      <c r="Q2660">
        <v>0</v>
      </c>
      <c r="R2660" t="s">
        <v>42675</v>
      </c>
      <c r="S2660" t="s">
        <v>42807</v>
      </c>
      <c r="T2660" t="s">
        <v>44480</v>
      </c>
      <c r="U2660" t="s">
        <v>47057</v>
      </c>
      <c r="W2660" t="s">
        <v>58033</v>
      </c>
      <c r="X2660" t="s">
        <v>42671</v>
      </c>
    </row>
    <row r="2661" spans="1:24">
      <c r="A2661">
        <f>HYPERLINK("https://www.philgeps.gov.ph/GEPSNONPILOT/Tender/SplashBidNoticeAbstractUI.aspx?menuIndex=3&amp;refID=7197198&amp;Result=3","7197198")</f>
        <v>0</v>
      </c>
      <c r="B2661" t="s">
        <v>1022</v>
      </c>
      <c r="C2661" t="s">
        <v>6073</v>
      </c>
      <c r="D2661" t="s">
        <v>17141</v>
      </c>
      <c r="E2661" t="s">
        <v>19600</v>
      </c>
      <c r="F2661" t="s">
        <v>29372</v>
      </c>
      <c r="G2661" t="s">
        <v>29380</v>
      </c>
      <c r="H2661" t="s">
        <v>11048</v>
      </c>
      <c r="I2661" t="s">
        <v>3670</v>
      </c>
      <c r="J2661" t="s">
        <v>31369</v>
      </c>
      <c r="K2661" t="s">
        <v>38488</v>
      </c>
      <c r="M2661" t="s">
        <v>39822</v>
      </c>
      <c r="N2661" t="s">
        <v>42669</v>
      </c>
      <c r="O2661" t="s">
        <v>42670</v>
      </c>
      <c r="P2661">
        <v>0</v>
      </c>
      <c r="Q2661">
        <v>0</v>
      </c>
      <c r="R2661" t="s">
        <v>42675</v>
      </c>
      <c r="S2661" t="s">
        <v>42807</v>
      </c>
      <c r="T2661" t="s">
        <v>44375</v>
      </c>
      <c r="U2661" t="s">
        <v>47035</v>
      </c>
      <c r="W2661" t="s">
        <v>39822</v>
      </c>
      <c r="X2661" t="s">
        <v>42671</v>
      </c>
    </row>
    <row r="2662" spans="1:24">
      <c r="A2662">
        <f>HYPERLINK("https://www.philgeps.gov.ph/GEPSNONPILOT/Tender/SplashBidNoticeAbstractUI.aspx?menuIndex=3&amp;refID=7197230&amp;Result=3","7197230")</f>
        <v>0</v>
      </c>
      <c r="B2662" t="s">
        <v>1038</v>
      </c>
      <c r="C2662" t="s">
        <v>6074</v>
      </c>
      <c r="D2662" t="s">
        <v>17172</v>
      </c>
      <c r="E2662" t="s">
        <v>19601</v>
      </c>
      <c r="F2662" t="s">
        <v>29372</v>
      </c>
      <c r="G2662" t="s">
        <v>29380</v>
      </c>
      <c r="H2662" t="s">
        <v>11048</v>
      </c>
      <c r="I2662" t="s">
        <v>9469</v>
      </c>
      <c r="J2662" t="s">
        <v>31370</v>
      </c>
      <c r="K2662" t="s">
        <v>38496</v>
      </c>
      <c r="L2662" t="s">
        <v>1038</v>
      </c>
      <c r="M2662" t="s">
        <v>39843</v>
      </c>
      <c r="N2662" t="s">
        <v>42669</v>
      </c>
      <c r="O2662" t="s">
        <v>42670</v>
      </c>
      <c r="P2662">
        <v>0</v>
      </c>
      <c r="Q2662">
        <v>2</v>
      </c>
      <c r="R2662" t="s">
        <v>42675</v>
      </c>
      <c r="S2662" t="s">
        <v>42807</v>
      </c>
      <c r="T2662" t="s">
        <v>44363</v>
      </c>
      <c r="U2662" t="s">
        <v>47058</v>
      </c>
      <c r="W2662" t="s">
        <v>39843</v>
      </c>
      <c r="X2662" t="s">
        <v>42671</v>
      </c>
    </row>
    <row r="2663" spans="1:24">
      <c r="A2663">
        <f>HYPERLINK("https://www.philgeps.gov.ph/GEPSNONPILOT/Tender/SplashBidNoticeAbstractUI.aspx?menuIndex=3&amp;refID=7197229&amp;Result=3","7197229")</f>
        <v>0</v>
      </c>
      <c r="B2663" t="s">
        <v>1022</v>
      </c>
      <c r="C2663" t="s">
        <v>6075</v>
      </c>
      <c r="D2663" t="s">
        <v>17141</v>
      </c>
      <c r="E2663" t="s">
        <v>19602</v>
      </c>
      <c r="F2663" t="s">
        <v>29372</v>
      </c>
      <c r="G2663" t="s">
        <v>29380</v>
      </c>
      <c r="H2663" t="s">
        <v>11048</v>
      </c>
      <c r="I2663" t="s">
        <v>5383</v>
      </c>
      <c r="J2663" t="s">
        <v>31371</v>
      </c>
      <c r="K2663" t="s">
        <v>38488</v>
      </c>
      <c r="M2663" t="s">
        <v>39842</v>
      </c>
      <c r="N2663" t="s">
        <v>42669</v>
      </c>
      <c r="O2663" t="s">
        <v>42670</v>
      </c>
      <c r="P2663">
        <v>0</v>
      </c>
      <c r="Q2663">
        <v>0</v>
      </c>
      <c r="R2663" t="s">
        <v>42675</v>
      </c>
      <c r="S2663" t="s">
        <v>42807</v>
      </c>
      <c r="T2663" t="s">
        <v>44415</v>
      </c>
      <c r="U2663" t="s">
        <v>46808</v>
      </c>
      <c r="W2663" t="s">
        <v>39842</v>
      </c>
      <c r="X2663" t="s">
        <v>42671</v>
      </c>
    </row>
    <row r="2664" spans="1:24">
      <c r="A2664">
        <f>HYPERLINK("https://www.philgeps.gov.ph/GEPSNONPILOT/Tender/SplashBidNoticeAbstractUI.aspx?menuIndex=3&amp;refID=7197215&amp;Result=3","7197215")</f>
        <v>0</v>
      </c>
      <c r="B2664" t="s">
        <v>1026</v>
      </c>
      <c r="C2664" t="s">
        <v>6076</v>
      </c>
      <c r="D2664" t="s">
        <v>17204</v>
      </c>
      <c r="E2664" t="s">
        <v>18602</v>
      </c>
      <c r="F2664" t="s">
        <v>29372</v>
      </c>
      <c r="G2664" t="s">
        <v>29383</v>
      </c>
      <c r="H2664" t="s">
        <v>11048</v>
      </c>
      <c r="I2664" t="s">
        <v>10408</v>
      </c>
      <c r="J2664" t="s">
        <v>30657</v>
      </c>
      <c r="K2664" t="s">
        <v>38487</v>
      </c>
      <c r="M2664" t="s">
        <v>39828</v>
      </c>
      <c r="N2664" t="s">
        <v>42669</v>
      </c>
      <c r="O2664" t="s">
        <v>42670</v>
      </c>
      <c r="P2664">
        <v>0</v>
      </c>
      <c r="Q2664">
        <v>0</v>
      </c>
      <c r="R2664" t="s">
        <v>42675</v>
      </c>
      <c r="S2664" t="s">
        <v>42807</v>
      </c>
      <c r="T2664" t="s">
        <v>44543</v>
      </c>
      <c r="U2664" t="s">
        <v>47059</v>
      </c>
      <c r="W2664" t="s">
        <v>39828</v>
      </c>
      <c r="X2664" t="s">
        <v>42671</v>
      </c>
    </row>
    <row r="2665" spans="1:24">
      <c r="A2665">
        <f>HYPERLINK("https://www.philgeps.gov.ph/GEPSNONPILOT/Tender/SplashBidNoticeAbstractUI.aspx?menuIndex=3&amp;refID=7197228&amp;Result=3","7197228")</f>
        <v>0</v>
      </c>
      <c r="B2665" t="s">
        <v>1039</v>
      </c>
      <c r="C2665" t="s">
        <v>6077</v>
      </c>
      <c r="D2665" t="s">
        <v>17152</v>
      </c>
      <c r="E2665" t="s">
        <v>17703</v>
      </c>
      <c r="F2665" t="s">
        <v>29372</v>
      </c>
      <c r="G2665" t="s">
        <v>29379</v>
      </c>
      <c r="H2665" t="s">
        <v>11048</v>
      </c>
      <c r="I2665" t="s">
        <v>8208</v>
      </c>
      <c r="J2665" t="s">
        <v>29526</v>
      </c>
      <c r="K2665" t="s">
        <v>38488</v>
      </c>
      <c r="M2665" t="s">
        <v>39844</v>
      </c>
      <c r="N2665" t="s">
        <v>42669</v>
      </c>
      <c r="O2665" t="s">
        <v>42670</v>
      </c>
      <c r="P2665">
        <v>0</v>
      </c>
      <c r="Q2665">
        <v>0</v>
      </c>
      <c r="R2665" t="s">
        <v>42675</v>
      </c>
      <c r="S2665" t="s">
        <v>42807</v>
      </c>
      <c r="T2665" t="s">
        <v>44393</v>
      </c>
      <c r="U2665" t="s">
        <v>47060</v>
      </c>
      <c r="V2665" t="s">
        <v>45140</v>
      </c>
      <c r="W2665" t="s">
        <v>39844</v>
      </c>
      <c r="X2665" t="s">
        <v>42671</v>
      </c>
    </row>
    <row r="2666" spans="1:24">
      <c r="A2666">
        <f>HYPERLINK("https://www.philgeps.gov.ph/GEPSNONPILOT/Tender/SplashBidNoticeAbstractUI.aspx?menuIndex=3&amp;refID=7197225&amp;Result=3","7197225")</f>
        <v>0</v>
      </c>
      <c r="B2666" t="s">
        <v>1022</v>
      </c>
      <c r="C2666" t="s">
        <v>6078</v>
      </c>
      <c r="D2666" t="s">
        <v>17141</v>
      </c>
      <c r="E2666" t="s">
        <v>19603</v>
      </c>
      <c r="F2666" t="s">
        <v>29372</v>
      </c>
      <c r="G2666" t="s">
        <v>29380</v>
      </c>
      <c r="H2666" t="s">
        <v>11048</v>
      </c>
      <c r="I2666" t="s">
        <v>5383</v>
      </c>
      <c r="J2666" t="s">
        <v>31372</v>
      </c>
      <c r="K2666" t="s">
        <v>38488</v>
      </c>
      <c r="M2666" t="s">
        <v>39842</v>
      </c>
      <c r="N2666" t="s">
        <v>42669</v>
      </c>
      <c r="O2666" t="s">
        <v>42670</v>
      </c>
      <c r="P2666">
        <v>0</v>
      </c>
      <c r="Q2666">
        <v>0</v>
      </c>
      <c r="R2666" t="s">
        <v>42675</v>
      </c>
      <c r="S2666" t="s">
        <v>42807</v>
      </c>
      <c r="T2666" t="s">
        <v>44415</v>
      </c>
      <c r="U2666" t="s">
        <v>46808</v>
      </c>
      <c r="W2666" t="s">
        <v>39842</v>
      </c>
      <c r="X2666" t="s">
        <v>42671</v>
      </c>
    </row>
    <row r="2667" spans="1:24">
      <c r="A2667">
        <f>HYPERLINK("https://www.philgeps.gov.ph/GEPSNONPILOT/Tender/SplashBidNoticeAbstractUI.aspx?menuIndex=3&amp;refID=7197233&amp;Result=3","7197233")</f>
        <v>0</v>
      </c>
      <c r="B2667" t="s">
        <v>1040</v>
      </c>
      <c r="C2667" t="s">
        <v>6079</v>
      </c>
      <c r="D2667" t="s">
        <v>17141</v>
      </c>
      <c r="E2667" t="s">
        <v>19604</v>
      </c>
      <c r="F2667" t="s">
        <v>29372</v>
      </c>
      <c r="G2667" t="s">
        <v>29379</v>
      </c>
      <c r="H2667" t="s">
        <v>11048</v>
      </c>
      <c r="I2667" t="s">
        <v>29409</v>
      </c>
      <c r="J2667" t="s">
        <v>30046</v>
      </c>
      <c r="K2667" t="s">
        <v>38511</v>
      </c>
      <c r="M2667" t="s">
        <v>39845</v>
      </c>
      <c r="N2667" t="s">
        <v>42669</v>
      </c>
      <c r="O2667" t="s">
        <v>42670</v>
      </c>
      <c r="P2667">
        <v>0</v>
      </c>
      <c r="Q2667">
        <v>0</v>
      </c>
      <c r="R2667" t="s">
        <v>42675</v>
      </c>
      <c r="S2667" t="s">
        <v>42807</v>
      </c>
      <c r="T2667" t="s">
        <v>44430</v>
      </c>
      <c r="U2667" t="s">
        <v>47061</v>
      </c>
      <c r="W2667" t="s">
        <v>39845</v>
      </c>
      <c r="X2667" t="s">
        <v>42671</v>
      </c>
    </row>
    <row r="2668" spans="1:24">
      <c r="A2668">
        <f>HYPERLINK("https://www.philgeps.gov.ph/GEPSNONPILOT/Tender/SplashBidNoticeAbstractUI.aspx?menuIndex=3&amp;refID=7197232&amp;Result=3","7197232")</f>
        <v>0</v>
      </c>
      <c r="B2668" t="s">
        <v>1041</v>
      </c>
      <c r="C2668" t="s">
        <v>6080</v>
      </c>
      <c r="D2668" t="s">
        <v>17199</v>
      </c>
      <c r="E2668" t="s">
        <v>19605</v>
      </c>
      <c r="F2668" t="s">
        <v>29372</v>
      </c>
      <c r="G2668" t="s">
        <v>29380</v>
      </c>
      <c r="H2668" t="s">
        <v>29389</v>
      </c>
      <c r="I2668" t="s">
        <v>10408</v>
      </c>
      <c r="J2668" t="s">
        <v>31373</v>
      </c>
      <c r="K2668" t="s">
        <v>38523</v>
      </c>
      <c r="L2668" t="s">
        <v>1041</v>
      </c>
      <c r="M2668" t="s">
        <v>39846</v>
      </c>
      <c r="N2668" t="s">
        <v>42669</v>
      </c>
      <c r="O2668" t="s">
        <v>42670</v>
      </c>
      <c r="P2668">
        <v>0</v>
      </c>
      <c r="Q2668">
        <v>0</v>
      </c>
      <c r="R2668" t="s">
        <v>42675</v>
      </c>
      <c r="S2668" t="s">
        <v>42807</v>
      </c>
      <c r="T2668" t="s">
        <v>44358</v>
      </c>
      <c r="U2668" t="s">
        <v>47062</v>
      </c>
      <c r="W2668" t="s">
        <v>39846</v>
      </c>
      <c r="X2668" t="s">
        <v>42671</v>
      </c>
    </row>
    <row r="2669" spans="1:24">
      <c r="A2669">
        <f>HYPERLINK("https://www.philgeps.gov.ph/GEPSNONPILOT/Tender/SplashBidNoticeAbstractUI.aspx?menuIndex=3&amp;refID=7197242&amp;Result=3","7197242")</f>
        <v>0</v>
      </c>
      <c r="B2669" t="s">
        <v>1042</v>
      </c>
      <c r="C2669" t="s">
        <v>6081</v>
      </c>
      <c r="D2669" t="s">
        <v>17165</v>
      </c>
      <c r="E2669" t="s">
        <v>19606</v>
      </c>
      <c r="F2669" t="s">
        <v>29372</v>
      </c>
      <c r="G2669" t="s">
        <v>29380</v>
      </c>
      <c r="H2669" t="s">
        <v>29389</v>
      </c>
      <c r="I2669" t="s">
        <v>29429</v>
      </c>
      <c r="J2669" t="s">
        <v>31374</v>
      </c>
      <c r="K2669" t="s">
        <v>38522</v>
      </c>
      <c r="M2669" t="s">
        <v>39847</v>
      </c>
      <c r="N2669" t="s">
        <v>42669</v>
      </c>
      <c r="O2669" t="s">
        <v>42670</v>
      </c>
      <c r="P2669">
        <v>0</v>
      </c>
      <c r="Q2669">
        <v>0</v>
      </c>
      <c r="R2669" t="s">
        <v>42675</v>
      </c>
      <c r="S2669" t="s">
        <v>42807</v>
      </c>
      <c r="T2669" t="s">
        <v>44379</v>
      </c>
      <c r="U2669" t="s">
        <v>47063</v>
      </c>
      <c r="V2669" t="s">
        <v>56615</v>
      </c>
      <c r="W2669" t="s">
        <v>39847</v>
      </c>
      <c r="X2669" t="s">
        <v>42671</v>
      </c>
    </row>
    <row r="2670" spans="1:24">
      <c r="A2670">
        <f>HYPERLINK("https://www.philgeps.gov.ph/GEPSNONPILOT/Tender/SplashBidNoticeAbstractUI.aspx?menuIndex=3&amp;refID=7197241&amp;Result=3","7197241")</f>
        <v>0</v>
      </c>
      <c r="B2670" t="s">
        <v>1043</v>
      </c>
      <c r="C2670" t="s">
        <v>6082</v>
      </c>
      <c r="E2670" t="s">
        <v>19607</v>
      </c>
      <c r="F2670" t="s">
        <v>29372</v>
      </c>
      <c r="G2670" t="s">
        <v>29380</v>
      </c>
      <c r="H2670" t="s">
        <v>29389</v>
      </c>
      <c r="I2670" t="s">
        <v>10408</v>
      </c>
      <c r="J2670" t="s">
        <v>31375</v>
      </c>
      <c r="K2670" t="s">
        <v>38591</v>
      </c>
      <c r="M2670" t="s">
        <v>39848</v>
      </c>
      <c r="N2670" t="s">
        <v>42669</v>
      </c>
      <c r="O2670" t="s">
        <v>42670</v>
      </c>
      <c r="P2670">
        <v>0</v>
      </c>
      <c r="Q2670">
        <v>0</v>
      </c>
      <c r="R2670" t="s">
        <v>42675</v>
      </c>
      <c r="S2670" t="s">
        <v>42807</v>
      </c>
      <c r="T2670" t="s">
        <v>44379</v>
      </c>
      <c r="U2670" t="s">
        <v>47064</v>
      </c>
      <c r="W2670" t="s">
        <v>39848</v>
      </c>
      <c r="X2670" t="s">
        <v>42671</v>
      </c>
    </row>
    <row r="2671" spans="1:24">
      <c r="A2671">
        <f>HYPERLINK("https://www.philgeps.gov.ph/GEPSNONPILOT/Tender/SplashBidNoticeAbstractUI.aspx?menuIndex=3&amp;refID=7197217&amp;Result=3","7197217")</f>
        <v>0</v>
      </c>
      <c r="B2671" t="s">
        <v>1044</v>
      </c>
      <c r="C2671" t="s">
        <v>6083</v>
      </c>
      <c r="D2671" t="s">
        <v>17157</v>
      </c>
      <c r="E2671" t="s">
        <v>19608</v>
      </c>
      <c r="F2671" t="s">
        <v>29372</v>
      </c>
      <c r="G2671" t="s">
        <v>29380</v>
      </c>
      <c r="H2671" t="s">
        <v>11048</v>
      </c>
      <c r="I2671" t="s">
        <v>29442</v>
      </c>
      <c r="J2671" t="s">
        <v>30398</v>
      </c>
      <c r="K2671" t="s">
        <v>38491</v>
      </c>
      <c r="M2671" t="s">
        <v>39849</v>
      </c>
      <c r="N2671" t="s">
        <v>42669</v>
      </c>
      <c r="O2671" t="s">
        <v>42670</v>
      </c>
      <c r="P2671">
        <v>0</v>
      </c>
      <c r="Q2671">
        <v>0</v>
      </c>
      <c r="R2671" t="s">
        <v>42675</v>
      </c>
      <c r="S2671" t="s">
        <v>42807</v>
      </c>
      <c r="T2671" t="s">
        <v>44473</v>
      </c>
      <c r="U2671" t="s">
        <v>47065</v>
      </c>
      <c r="W2671" t="s">
        <v>39849</v>
      </c>
      <c r="X2671" t="s">
        <v>42671</v>
      </c>
    </row>
    <row r="2672" spans="1:24">
      <c r="A2672">
        <f>HYPERLINK("https://www.philgeps.gov.ph/GEPSNONPILOT/Tender/SplashBidNoticeAbstractUI.aspx?menuIndex=3&amp;refID=7197240&amp;Result=3","7197240")</f>
        <v>0</v>
      </c>
      <c r="B2672" t="s">
        <v>1045</v>
      </c>
      <c r="C2672" t="s">
        <v>6084</v>
      </c>
      <c r="D2672" t="s">
        <v>17188</v>
      </c>
      <c r="E2672" t="s">
        <v>19589</v>
      </c>
      <c r="F2672" t="s">
        <v>29372</v>
      </c>
      <c r="G2672" t="s">
        <v>29380</v>
      </c>
      <c r="H2672" t="s">
        <v>29389</v>
      </c>
      <c r="I2672" t="s">
        <v>10408</v>
      </c>
      <c r="J2672" t="s">
        <v>31376</v>
      </c>
      <c r="K2672" t="s">
        <v>38485</v>
      </c>
      <c r="M2672" t="s">
        <v>39850</v>
      </c>
      <c r="N2672" t="s">
        <v>42669</v>
      </c>
      <c r="O2672" t="s">
        <v>42670</v>
      </c>
      <c r="P2672">
        <v>0</v>
      </c>
      <c r="Q2672">
        <v>0</v>
      </c>
      <c r="R2672" t="s">
        <v>42675</v>
      </c>
      <c r="S2672" t="s">
        <v>42807</v>
      </c>
      <c r="T2672" t="s">
        <v>44527</v>
      </c>
      <c r="U2672" t="s">
        <v>47066</v>
      </c>
      <c r="W2672" t="s">
        <v>39850</v>
      </c>
      <c r="X2672" t="s">
        <v>42671</v>
      </c>
    </row>
    <row r="2673" spans="1:24">
      <c r="A2673">
        <f>HYPERLINK("https://www.philgeps.gov.ph/GEPSNONPILOT/Tender/SplashBidNoticeAbstractUI.aspx?menuIndex=3&amp;refID=7197227&amp;Result=3","7197227")</f>
        <v>0</v>
      </c>
      <c r="B2673" t="s">
        <v>1042</v>
      </c>
      <c r="C2673" t="s">
        <v>6085</v>
      </c>
      <c r="D2673" t="s">
        <v>17211</v>
      </c>
      <c r="E2673" t="s">
        <v>19609</v>
      </c>
      <c r="F2673" t="s">
        <v>29372</v>
      </c>
      <c r="G2673" t="s">
        <v>29380</v>
      </c>
      <c r="H2673" t="s">
        <v>29389</v>
      </c>
      <c r="I2673" t="s">
        <v>29429</v>
      </c>
      <c r="J2673" t="s">
        <v>31377</v>
      </c>
      <c r="K2673" t="s">
        <v>38533</v>
      </c>
      <c r="M2673" t="s">
        <v>39847</v>
      </c>
      <c r="N2673" t="s">
        <v>42669</v>
      </c>
      <c r="O2673" t="s">
        <v>42670</v>
      </c>
      <c r="P2673">
        <v>0</v>
      </c>
      <c r="Q2673">
        <v>0</v>
      </c>
      <c r="R2673" t="s">
        <v>42675</v>
      </c>
      <c r="S2673" t="s">
        <v>42807</v>
      </c>
      <c r="T2673" t="s">
        <v>44379</v>
      </c>
      <c r="U2673" t="s">
        <v>47067</v>
      </c>
      <c r="V2673" t="s">
        <v>56615</v>
      </c>
      <c r="W2673" t="s">
        <v>39847</v>
      </c>
      <c r="X2673" t="s">
        <v>42671</v>
      </c>
    </row>
    <row r="2674" spans="1:24">
      <c r="A2674">
        <f>HYPERLINK("https://www.philgeps.gov.ph/GEPSNONPILOT/Tender/SplashBidNoticeAbstractUI.aspx?menuIndex=3&amp;refID=7197239&amp;Result=3","7197239")</f>
        <v>0</v>
      </c>
      <c r="B2674" t="s">
        <v>1046</v>
      </c>
      <c r="C2674" t="s">
        <v>6086</v>
      </c>
      <c r="D2674" t="s">
        <v>17178</v>
      </c>
      <c r="E2674" t="s">
        <v>19610</v>
      </c>
      <c r="F2674" t="s">
        <v>29372</v>
      </c>
      <c r="G2674" t="s">
        <v>29380</v>
      </c>
      <c r="H2674" t="s">
        <v>11048</v>
      </c>
      <c r="I2674" t="s">
        <v>4709</v>
      </c>
      <c r="J2674" t="s">
        <v>31378</v>
      </c>
      <c r="K2674" t="s">
        <v>38485</v>
      </c>
      <c r="M2674" t="s">
        <v>39851</v>
      </c>
      <c r="N2674" t="s">
        <v>42669</v>
      </c>
      <c r="O2674" t="s">
        <v>42670</v>
      </c>
      <c r="P2674">
        <v>0</v>
      </c>
      <c r="Q2674">
        <v>0</v>
      </c>
      <c r="R2674" t="s">
        <v>42675</v>
      </c>
      <c r="S2674" t="s">
        <v>42807</v>
      </c>
      <c r="T2674" t="s">
        <v>44503</v>
      </c>
      <c r="U2674" t="s">
        <v>47068</v>
      </c>
      <c r="W2674" t="s">
        <v>39851</v>
      </c>
      <c r="X2674" t="s">
        <v>42671</v>
      </c>
    </row>
    <row r="2675" spans="1:24">
      <c r="A2675">
        <f>HYPERLINK("https://www.philgeps.gov.ph/GEPSNONPILOT/Tender/SplashBidNoticeAbstractUI.aspx?menuIndex=3&amp;refID=7197237&amp;Result=3","7197237")</f>
        <v>0</v>
      </c>
      <c r="B2675" t="s">
        <v>1042</v>
      </c>
      <c r="C2675" t="s">
        <v>6087</v>
      </c>
      <c r="D2675" t="s">
        <v>17211</v>
      </c>
      <c r="E2675" t="s">
        <v>19611</v>
      </c>
      <c r="F2675" t="s">
        <v>29372</v>
      </c>
      <c r="G2675" t="s">
        <v>29380</v>
      </c>
      <c r="H2675" t="s">
        <v>29389</v>
      </c>
      <c r="I2675" t="s">
        <v>29429</v>
      </c>
      <c r="J2675" t="s">
        <v>31379</v>
      </c>
      <c r="K2675" t="s">
        <v>38522</v>
      </c>
      <c r="M2675" t="s">
        <v>39847</v>
      </c>
      <c r="N2675" t="s">
        <v>42669</v>
      </c>
      <c r="O2675" t="s">
        <v>42670</v>
      </c>
      <c r="P2675">
        <v>0</v>
      </c>
      <c r="Q2675">
        <v>0</v>
      </c>
      <c r="R2675" t="s">
        <v>42675</v>
      </c>
      <c r="S2675" t="s">
        <v>42807</v>
      </c>
      <c r="T2675" t="s">
        <v>44379</v>
      </c>
      <c r="U2675" t="s">
        <v>47069</v>
      </c>
      <c r="V2675" t="s">
        <v>56615</v>
      </c>
      <c r="W2675" t="s">
        <v>39847</v>
      </c>
      <c r="X2675" t="s">
        <v>42671</v>
      </c>
    </row>
    <row r="2676" spans="1:24">
      <c r="A2676">
        <f>HYPERLINK("https://www.philgeps.gov.ph/GEPSNONPILOT/Tender/SplashBidNoticeAbstractUI.aspx?menuIndex=3&amp;refID=7197243&amp;Result=3","7197243")</f>
        <v>0</v>
      </c>
      <c r="B2676" t="s">
        <v>1047</v>
      </c>
      <c r="C2676" t="s">
        <v>6088</v>
      </c>
      <c r="D2676" t="s">
        <v>17141</v>
      </c>
      <c r="E2676" t="s">
        <v>19612</v>
      </c>
      <c r="F2676" t="s">
        <v>29372</v>
      </c>
      <c r="G2676" t="s">
        <v>29382</v>
      </c>
      <c r="H2676" t="s">
        <v>11048</v>
      </c>
      <c r="I2676" t="s">
        <v>3670</v>
      </c>
      <c r="J2676" t="s">
        <v>29595</v>
      </c>
      <c r="K2676" t="s">
        <v>38485</v>
      </c>
      <c r="M2676" t="s">
        <v>39852</v>
      </c>
      <c r="N2676" t="s">
        <v>42669</v>
      </c>
      <c r="O2676" t="s">
        <v>42670</v>
      </c>
      <c r="P2676">
        <v>0</v>
      </c>
      <c r="Q2676">
        <v>0</v>
      </c>
      <c r="R2676" t="s">
        <v>42675</v>
      </c>
      <c r="S2676" t="s">
        <v>42807</v>
      </c>
      <c r="T2676" t="s">
        <v>44470</v>
      </c>
      <c r="U2676" t="s">
        <v>47070</v>
      </c>
      <c r="W2676" t="s">
        <v>39852</v>
      </c>
      <c r="X2676" t="s">
        <v>42671</v>
      </c>
    </row>
    <row r="2677" spans="1:24">
      <c r="A2677">
        <f>HYPERLINK("https://www.philgeps.gov.ph/GEPSNONPILOT/Tender/SplashBidNoticeAbstractUI.aspx?menuIndex=3&amp;refID=7197224&amp;Result=3","7197224")</f>
        <v>0</v>
      </c>
      <c r="B2677" t="s">
        <v>1048</v>
      </c>
      <c r="C2677" t="s">
        <v>6089</v>
      </c>
      <c r="D2677" t="s">
        <v>17204</v>
      </c>
      <c r="E2677" t="s">
        <v>19613</v>
      </c>
      <c r="F2677" t="s">
        <v>29372</v>
      </c>
      <c r="G2677" t="s">
        <v>29379</v>
      </c>
      <c r="H2677" t="s">
        <v>11048</v>
      </c>
      <c r="I2677" t="s">
        <v>4486</v>
      </c>
      <c r="J2677" t="s">
        <v>31380</v>
      </c>
      <c r="K2677" t="s">
        <v>38487</v>
      </c>
      <c r="M2677" t="s">
        <v>39853</v>
      </c>
      <c r="N2677" t="s">
        <v>42669</v>
      </c>
      <c r="O2677" t="s">
        <v>42670</v>
      </c>
      <c r="P2677">
        <v>0</v>
      </c>
      <c r="Q2677">
        <v>0</v>
      </c>
      <c r="R2677" t="s">
        <v>42675</v>
      </c>
      <c r="S2677" t="s">
        <v>42807</v>
      </c>
      <c r="T2677" t="s">
        <v>44543</v>
      </c>
      <c r="U2677" t="s">
        <v>47071</v>
      </c>
      <c r="W2677" t="s">
        <v>39853</v>
      </c>
      <c r="X2677" t="s">
        <v>42671</v>
      </c>
    </row>
    <row r="2678" spans="1:24">
      <c r="A2678">
        <f>HYPERLINK("https://www.philgeps.gov.ph/GEPSNONPILOT/Tender/SplashBidNoticeAbstractUI.aspx?menuIndex=3&amp;refID=7197195&amp;Result=3","7197195")</f>
        <v>0</v>
      </c>
      <c r="B2678" t="s">
        <v>1022</v>
      </c>
      <c r="C2678" t="s">
        <v>6090</v>
      </c>
      <c r="D2678" t="s">
        <v>17141</v>
      </c>
      <c r="E2678" t="s">
        <v>19614</v>
      </c>
      <c r="F2678" t="s">
        <v>29372</v>
      </c>
      <c r="G2678" t="s">
        <v>29380</v>
      </c>
      <c r="H2678" t="s">
        <v>11048</v>
      </c>
      <c r="I2678" t="s">
        <v>3670</v>
      </c>
      <c r="J2678" t="s">
        <v>29587</v>
      </c>
      <c r="K2678" t="s">
        <v>38488</v>
      </c>
      <c r="M2678" t="s">
        <v>39822</v>
      </c>
      <c r="N2678" t="s">
        <v>42669</v>
      </c>
      <c r="O2678" t="s">
        <v>42670</v>
      </c>
      <c r="P2678">
        <v>0</v>
      </c>
      <c r="Q2678">
        <v>0</v>
      </c>
      <c r="R2678" t="s">
        <v>42675</v>
      </c>
      <c r="S2678" t="s">
        <v>42807</v>
      </c>
      <c r="T2678" t="s">
        <v>44375</v>
      </c>
      <c r="U2678" t="s">
        <v>47035</v>
      </c>
      <c r="W2678" t="s">
        <v>39822</v>
      </c>
      <c r="X2678" t="s">
        <v>42671</v>
      </c>
    </row>
    <row r="2679" spans="1:24">
      <c r="A2679">
        <f>HYPERLINK("https://www.philgeps.gov.ph/GEPSNONPILOT/Tender/SplashBidNoticeAbstractUI.aspx?menuIndex=3&amp;refID=7197238&amp;Result=3","7197238")</f>
        <v>0</v>
      </c>
      <c r="B2679" t="s">
        <v>92</v>
      </c>
      <c r="C2679" t="s">
        <v>6091</v>
      </c>
      <c r="D2679" t="s">
        <v>17141</v>
      </c>
      <c r="E2679" t="s">
        <v>19615</v>
      </c>
      <c r="F2679" t="s">
        <v>29372</v>
      </c>
      <c r="G2679" t="s">
        <v>29380</v>
      </c>
      <c r="H2679" t="s">
        <v>11048</v>
      </c>
      <c r="I2679" t="s">
        <v>29400</v>
      </c>
      <c r="J2679" t="s">
        <v>29543</v>
      </c>
      <c r="K2679" t="s">
        <v>38490</v>
      </c>
      <c r="M2679" t="s">
        <v>39854</v>
      </c>
      <c r="N2679" t="s">
        <v>42669</v>
      </c>
      <c r="O2679" t="s">
        <v>42670</v>
      </c>
      <c r="P2679">
        <v>0</v>
      </c>
      <c r="Q2679">
        <v>0</v>
      </c>
      <c r="R2679" t="s">
        <v>42675</v>
      </c>
      <c r="S2679" t="s">
        <v>42807</v>
      </c>
      <c r="T2679" t="s">
        <v>44605</v>
      </c>
      <c r="U2679" t="s">
        <v>47072</v>
      </c>
      <c r="W2679" t="s">
        <v>39854</v>
      </c>
      <c r="X2679" t="s">
        <v>42671</v>
      </c>
    </row>
    <row r="2680" spans="1:24">
      <c r="A2680">
        <f>HYPERLINK("https://www.philgeps.gov.ph/GEPSNONPILOT/Tender/SplashBidNoticeAbstractUI.aspx?menuIndex=3&amp;refID=7197221&amp;Result=3","7197221")</f>
        <v>0</v>
      </c>
      <c r="B2680" t="s">
        <v>1049</v>
      </c>
      <c r="C2680" t="s">
        <v>6092</v>
      </c>
      <c r="E2680" t="s">
        <v>19616</v>
      </c>
      <c r="F2680" t="s">
        <v>29372</v>
      </c>
      <c r="G2680" t="s">
        <v>29383</v>
      </c>
      <c r="H2680" t="s">
        <v>29389</v>
      </c>
      <c r="I2680" t="s">
        <v>4709</v>
      </c>
      <c r="J2680" t="s">
        <v>31381</v>
      </c>
      <c r="K2680" t="s">
        <v>38488</v>
      </c>
      <c r="M2680" t="s">
        <v>39855</v>
      </c>
      <c r="N2680" t="s">
        <v>42669</v>
      </c>
      <c r="O2680" t="s">
        <v>42670</v>
      </c>
      <c r="P2680">
        <v>0</v>
      </c>
      <c r="Q2680">
        <v>0</v>
      </c>
      <c r="R2680" t="s">
        <v>42675</v>
      </c>
      <c r="S2680" t="s">
        <v>42807</v>
      </c>
      <c r="T2680" t="s">
        <v>44509</v>
      </c>
      <c r="U2680" t="s">
        <v>47073</v>
      </c>
      <c r="W2680" t="s">
        <v>39855</v>
      </c>
      <c r="X2680" t="s">
        <v>42671</v>
      </c>
    </row>
    <row r="2681" spans="1:24">
      <c r="A2681">
        <f>HYPERLINK("https://www.philgeps.gov.ph/GEPSNONPILOT/Tender/SplashBidNoticeAbstractUI.aspx?menuIndex=3&amp;refID=7197220&amp;Result=3","7197220")</f>
        <v>0</v>
      </c>
      <c r="B2681" t="s">
        <v>1047</v>
      </c>
      <c r="C2681" t="s">
        <v>6093</v>
      </c>
      <c r="D2681" t="s">
        <v>17141</v>
      </c>
      <c r="E2681" t="s">
        <v>19617</v>
      </c>
      <c r="F2681" t="s">
        <v>29372</v>
      </c>
      <c r="G2681" t="s">
        <v>29382</v>
      </c>
      <c r="H2681" t="s">
        <v>11048</v>
      </c>
      <c r="I2681" t="s">
        <v>3839</v>
      </c>
      <c r="J2681" t="s">
        <v>31382</v>
      </c>
      <c r="K2681" t="s">
        <v>38488</v>
      </c>
      <c r="M2681" t="s">
        <v>39852</v>
      </c>
      <c r="N2681" t="s">
        <v>42669</v>
      </c>
      <c r="O2681" t="s">
        <v>42670</v>
      </c>
      <c r="P2681">
        <v>0</v>
      </c>
      <c r="Q2681">
        <v>0</v>
      </c>
      <c r="R2681" t="s">
        <v>42675</v>
      </c>
      <c r="S2681" t="s">
        <v>42807</v>
      </c>
      <c r="T2681" t="s">
        <v>44470</v>
      </c>
      <c r="U2681" t="s">
        <v>47074</v>
      </c>
      <c r="W2681" t="s">
        <v>39852</v>
      </c>
      <c r="X2681" t="s">
        <v>42671</v>
      </c>
    </row>
    <row r="2682" spans="1:24">
      <c r="A2682">
        <f>HYPERLINK("https://www.philgeps.gov.ph/GEPSNONPILOT/Tender/SplashBidNoticeAbstractUI.aspx?menuIndex=3&amp;refID=7197244&amp;Result=3","7197244")</f>
        <v>0</v>
      </c>
      <c r="B2682" t="s">
        <v>1038</v>
      </c>
      <c r="C2682" t="s">
        <v>6094</v>
      </c>
      <c r="D2682" t="s">
        <v>17172</v>
      </c>
      <c r="E2682" t="s">
        <v>19618</v>
      </c>
      <c r="F2682" t="s">
        <v>29372</v>
      </c>
      <c r="G2682" t="s">
        <v>29380</v>
      </c>
      <c r="H2682" t="s">
        <v>11048</v>
      </c>
      <c r="I2682" t="s">
        <v>9469</v>
      </c>
      <c r="J2682" t="s">
        <v>31383</v>
      </c>
      <c r="K2682" t="s">
        <v>38496</v>
      </c>
      <c r="L2682" t="s">
        <v>1038</v>
      </c>
      <c r="M2682" t="s">
        <v>39843</v>
      </c>
      <c r="N2682" t="s">
        <v>42669</v>
      </c>
      <c r="O2682" t="s">
        <v>42670</v>
      </c>
      <c r="P2682">
        <v>0</v>
      </c>
      <c r="Q2682">
        <v>2</v>
      </c>
      <c r="R2682" t="s">
        <v>42675</v>
      </c>
      <c r="S2682" t="s">
        <v>42807</v>
      </c>
      <c r="T2682" t="s">
        <v>44363</v>
      </c>
      <c r="U2682" t="s">
        <v>47075</v>
      </c>
      <c r="W2682" t="s">
        <v>39843</v>
      </c>
      <c r="X2682" t="s">
        <v>42671</v>
      </c>
    </row>
    <row r="2683" spans="1:24">
      <c r="A2683">
        <f>HYPERLINK("https://www.philgeps.gov.ph/GEPSNONPILOT/Tender/SplashBidNoticeAbstractUI.aspx?menuIndex=3&amp;refID=7197245&amp;Result=3","7197245")</f>
        <v>0</v>
      </c>
      <c r="B2683" t="s">
        <v>1042</v>
      </c>
      <c r="C2683" t="s">
        <v>6095</v>
      </c>
      <c r="D2683" t="s">
        <v>17211</v>
      </c>
      <c r="E2683" t="s">
        <v>19619</v>
      </c>
      <c r="F2683" t="s">
        <v>29372</v>
      </c>
      <c r="G2683" t="s">
        <v>29380</v>
      </c>
      <c r="H2683" t="s">
        <v>29389</v>
      </c>
      <c r="I2683" t="s">
        <v>29429</v>
      </c>
      <c r="J2683" t="s">
        <v>31384</v>
      </c>
      <c r="K2683" t="s">
        <v>38522</v>
      </c>
      <c r="M2683" t="s">
        <v>39847</v>
      </c>
      <c r="N2683" t="s">
        <v>42669</v>
      </c>
      <c r="O2683" t="s">
        <v>42670</v>
      </c>
      <c r="P2683">
        <v>0</v>
      </c>
      <c r="Q2683">
        <v>0</v>
      </c>
      <c r="R2683" t="s">
        <v>42675</v>
      </c>
      <c r="S2683" t="s">
        <v>42807</v>
      </c>
      <c r="T2683" t="s">
        <v>44379</v>
      </c>
      <c r="U2683" t="s">
        <v>47076</v>
      </c>
      <c r="V2683" t="s">
        <v>56615</v>
      </c>
      <c r="W2683" t="s">
        <v>39847</v>
      </c>
      <c r="X2683" t="s">
        <v>42671</v>
      </c>
    </row>
    <row r="2684" spans="1:24">
      <c r="A2684">
        <f>HYPERLINK("https://www.philgeps.gov.ph/GEPSNONPILOT/Tender/SplashBidNoticeAbstractUI.aspx?menuIndex=3&amp;refID=7197253&amp;Result=3","7197253")</f>
        <v>0</v>
      </c>
      <c r="B2684" t="s">
        <v>1046</v>
      </c>
      <c r="C2684" t="s">
        <v>6096</v>
      </c>
      <c r="D2684" t="s">
        <v>17178</v>
      </c>
      <c r="E2684" t="s">
        <v>19620</v>
      </c>
      <c r="F2684" t="s">
        <v>29372</v>
      </c>
      <c r="G2684" t="s">
        <v>29380</v>
      </c>
      <c r="H2684" t="s">
        <v>11048</v>
      </c>
      <c r="I2684" t="s">
        <v>29393</v>
      </c>
      <c r="J2684" t="s">
        <v>31385</v>
      </c>
      <c r="K2684" t="s">
        <v>38495</v>
      </c>
      <c r="M2684" t="s">
        <v>39851</v>
      </c>
      <c r="N2684" t="s">
        <v>42669</v>
      </c>
      <c r="O2684" t="s">
        <v>42670</v>
      </c>
      <c r="P2684">
        <v>0</v>
      </c>
      <c r="Q2684">
        <v>0</v>
      </c>
      <c r="R2684" t="s">
        <v>42675</v>
      </c>
      <c r="S2684" t="s">
        <v>42807</v>
      </c>
      <c r="T2684" t="s">
        <v>44503</v>
      </c>
      <c r="U2684" t="s">
        <v>47068</v>
      </c>
      <c r="W2684" t="s">
        <v>39851</v>
      </c>
      <c r="X2684" t="s">
        <v>42671</v>
      </c>
    </row>
    <row r="2685" spans="1:24">
      <c r="A2685">
        <f>HYPERLINK("https://www.philgeps.gov.ph/GEPSNONPILOT/Tender/SplashBidNoticeAbstractUI.aspx?menuIndex=3&amp;refID=7197264&amp;Result=3","7197264")</f>
        <v>0</v>
      </c>
      <c r="B2685" t="s">
        <v>1042</v>
      </c>
      <c r="C2685" t="s">
        <v>6097</v>
      </c>
      <c r="D2685" t="s">
        <v>17211</v>
      </c>
      <c r="E2685" t="s">
        <v>19621</v>
      </c>
      <c r="F2685" t="s">
        <v>29372</v>
      </c>
      <c r="G2685" t="s">
        <v>29380</v>
      </c>
      <c r="H2685" t="s">
        <v>29389</v>
      </c>
      <c r="I2685" t="s">
        <v>29429</v>
      </c>
      <c r="J2685" t="s">
        <v>31386</v>
      </c>
      <c r="K2685" t="s">
        <v>38522</v>
      </c>
      <c r="M2685" t="s">
        <v>39847</v>
      </c>
      <c r="N2685" t="s">
        <v>42669</v>
      </c>
      <c r="O2685" t="s">
        <v>42670</v>
      </c>
      <c r="P2685">
        <v>0</v>
      </c>
      <c r="Q2685">
        <v>0</v>
      </c>
      <c r="R2685" t="s">
        <v>42675</v>
      </c>
      <c r="S2685" t="s">
        <v>42807</v>
      </c>
      <c r="T2685" t="s">
        <v>44379</v>
      </c>
      <c r="U2685" t="s">
        <v>47077</v>
      </c>
      <c r="V2685" t="s">
        <v>56615</v>
      </c>
      <c r="W2685" t="s">
        <v>39847</v>
      </c>
      <c r="X2685" t="s">
        <v>42671</v>
      </c>
    </row>
    <row r="2686" spans="1:24">
      <c r="A2686">
        <f>HYPERLINK("https://www.philgeps.gov.ph/GEPSNONPILOT/Tender/SplashBidNoticeAbstractUI.aspx?menuIndex=3&amp;refID=7197263&amp;Result=3","7197263")</f>
        <v>0</v>
      </c>
      <c r="B2686" t="s">
        <v>1022</v>
      </c>
      <c r="C2686" t="s">
        <v>6098</v>
      </c>
      <c r="D2686" t="s">
        <v>17141</v>
      </c>
      <c r="E2686" t="s">
        <v>19622</v>
      </c>
      <c r="F2686" t="s">
        <v>29372</v>
      </c>
      <c r="G2686" t="s">
        <v>29380</v>
      </c>
      <c r="H2686" t="s">
        <v>11048</v>
      </c>
      <c r="I2686" t="s">
        <v>3670</v>
      </c>
      <c r="J2686" t="s">
        <v>31387</v>
      </c>
      <c r="K2686" t="s">
        <v>38488</v>
      </c>
      <c r="M2686" t="s">
        <v>39842</v>
      </c>
      <c r="N2686" t="s">
        <v>42669</v>
      </c>
      <c r="O2686" t="s">
        <v>42670</v>
      </c>
      <c r="P2686">
        <v>0</v>
      </c>
      <c r="Q2686">
        <v>0</v>
      </c>
      <c r="R2686" t="s">
        <v>42675</v>
      </c>
      <c r="S2686" t="s">
        <v>42807</v>
      </c>
      <c r="T2686" t="s">
        <v>44415</v>
      </c>
      <c r="U2686" t="s">
        <v>47078</v>
      </c>
      <c r="W2686" t="s">
        <v>39842</v>
      </c>
      <c r="X2686" t="s">
        <v>42671</v>
      </c>
    </row>
    <row r="2687" spans="1:24">
      <c r="A2687">
        <f>HYPERLINK("https://www.philgeps.gov.ph/GEPSNONPILOT/Tender/SplashBidNoticeAbstractUI.aspx?menuIndex=3&amp;refID=7197262&amp;Result=3","7197262")</f>
        <v>0</v>
      </c>
      <c r="B2687" t="s">
        <v>1022</v>
      </c>
      <c r="C2687" t="s">
        <v>6099</v>
      </c>
      <c r="D2687" t="s">
        <v>17141</v>
      </c>
      <c r="E2687" t="s">
        <v>19623</v>
      </c>
      <c r="F2687" t="s">
        <v>29372</v>
      </c>
      <c r="G2687" t="s">
        <v>29380</v>
      </c>
      <c r="H2687" t="s">
        <v>11048</v>
      </c>
      <c r="I2687" t="s">
        <v>5383</v>
      </c>
      <c r="J2687" t="s">
        <v>31388</v>
      </c>
      <c r="K2687" t="s">
        <v>38488</v>
      </c>
      <c r="M2687" t="s">
        <v>39856</v>
      </c>
      <c r="N2687" t="s">
        <v>42669</v>
      </c>
      <c r="O2687" t="s">
        <v>42670</v>
      </c>
      <c r="P2687">
        <v>0</v>
      </c>
      <c r="Q2687">
        <v>0</v>
      </c>
      <c r="R2687" t="s">
        <v>42675</v>
      </c>
      <c r="S2687" t="s">
        <v>42807</v>
      </c>
      <c r="T2687" t="s">
        <v>44597</v>
      </c>
      <c r="U2687" t="s">
        <v>46808</v>
      </c>
      <c r="W2687" t="s">
        <v>39856</v>
      </c>
      <c r="X2687" t="s">
        <v>42671</v>
      </c>
    </row>
    <row r="2688" spans="1:24">
      <c r="A2688">
        <f>HYPERLINK("https://www.philgeps.gov.ph/GEPSNONPILOT/Tender/SplashBidNoticeAbstractUI.aspx?menuIndex=3&amp;refID=7197247&amp;Result=3","7197247")</f>
        <v>0</v>
      </c>
      <c r="B2688" t="s">
        <v>1022</v>
      </c>
      <c r="C2688" t="s">
        <v>6100</v>
      </c>
      <c r="D2688" t="s">
        <v>17141</v>
      </c>
      <c r="E2688" t="s">
        <v>19624</v>
      </c>
      <c r="F2688" t="s">
        <v>29372</v>
      </c>
      <c r="G2688" t="s">
        <v>29380</v>
      </c>
      <c r="H2688" t="s">
        <v>11048</v>
      </c>
      <c r="I2688" t="s">
        <v>5383</v>
      </c>
      <c r="J2688" t="s">
        <v>31389</v>
      </c>
      <c r="K2688" t="s">
        <v>38488</v>
      </c>
      <c r="M2688" t="s">
        <v>39842</v>
      </c>
      <c r="N2688" t="s">
        <v>42669</v>
      </c>
      <c r="O2688" t="s">
        <v>42670</v>
      </c>
      <c r="P2688">
        <v>0</v>
      </c>
      <c r="Q2688">
        <v>0</v>
      </c>
      <c r="R2688" t="s">
        <v>42675</v>
      </c>
      <c r="S2688" t="s">
        <v>42807</v>
      </c>
      <c r="T2688" t="s">
        <v>44415</v>
      </c>
      <c r="U2688" t="s">
        <v>46808</v>
      </c>
      <c r="W2688" t="s">
        <v>39842</v>
      </c>
      <c r="X2688" t="s">
        <v>42671</v>
      </c>
    </row>
    <row r="2689" spans="1:24">
      <c r="A2689">
        <f>HYPERLINK("https://www.philgeps.gov.ph/GEPSNONPILOT/Tender/SplashBidNoticeAbstractUI.aspx?menuIndex=3&amp;refID=7197261&amp;Result=3","7197261")</f>
        <v>0</v>
      </c>
      <c r="B2689" t="s">
        <v>1050</v>
      </c>
      <c r="C2689" t="s">
        <v>6101</v>
      </c>
      <c r="D2689" t="s">
        <v>17172</v>
      </c>
      <c r="E2689" t="s">
        <v>19625</v>
      </c>
      <c r="F2689" t="s">
        <v>29372</v>
      </c>
      <c r="G2689" t="s">
        <v>29380</v>
      </c>
      <c r="H2689" t="s">
        <v>29389</v>
      </c>
      <c r="I2689" t="s">
        <v>10408</v>
      </c>
      <c r="J2689" t="s">
        <v>31390</v>
      </c>
      <c r="K2689" t="s">
        <v>38496</v>
      </c>
      <c r="M2689" t="s">
        <v>39857</v>
      </c>
      <c r="N2689" t="s">
        <v>42669</v>
      </c>
      <c r="O2689" t="s">
        <v>42670</v>
      </c>
      <c r="P2689">
        <v>0</v>
      </c>
      <c r="Q2689">
        <v>0</v>
      </c>
      <c r="R2689" t="s">
        <v>42675</v>
      </c>
      <c r="S2689" t="s">
        <v>42807</v>
      </c>
      <c r="T2689" t="s">
        <v>44357</v>
      </c>
      <c r="U2689" t="s">
        <v>47079</v>
      </c>
      <c r="W2689" t="s">
        <v>39857</v>
      </c>
      <c r="X2689" t="s">
        <v>42671</v>
      </c>
    </row>
    <row r="2690" spans="1:24">
      <c r="A2690">
        <f>HYPERLINK("https://www.philgeps.gov.ph/GEPSNONPILOT/Tender/SplashBidNoticeAbstractUI.aspx?menuIndex=3&amp;refID=7197259&amp;Result=3","7197259")</f>
        <v>0</v>
      </c>
      <c r="B2690" t="s">
        <v>1047</v>
      </c>
      <c r="C2690" t="s">
        <v>6102</v>
      </c>
      <c r="D2690" t="s">
        <v>17141</v>
      </c>
      <c r="E2690" t="s">
        <v>19626</v>
      </c>
      <c r="F2690" t="s">
        <v>29372</v>
      </c>
      <c r="G2690" t="s">
        <v>29382</v>
      </c>
      <c r="H2690" t="s">
        <v>11048</v>
      </c>
      <c r="I2690" t="s">
        <v>4487</v>
      </c>
      <c r="J2690" t="s">
        <v>31391</v>
      </c>
      <c r="K2690" t="s">
        <v>38485</v>
      </c>
      <c r="M2690" t="s">
        <v>39852</v>
      </c>
      <c r="N2690" t="s">
        <v>42669</v>
      </c>
      <c r="O2690" t="s">
        <v>42670</v>
      </c>
      <c r="P2690">
        <v>0</v>
      </c>
      <c r="Q2690">
        <v>0</v>
      </c>
      <c r="R2690" t="s">
        <v>42675</v>
      </c>
      <c r="S2690" t="s">
        <v>42807</v>
      </c>
      <c r="T2690" t="s">
        <v>44470</v>
      </c>
      <c r="U2690" t="s">
        <v>47080</v>
      </c>
      <c r="W2690" t="s">
        <v>39852</v>
      </c>
      <c r="X2690" t="s">
        <v>42671</v>
      </c>
    </row>
    <row r="2691" spans="1:24">
      <c r="A2691">
        <f>HYPERLINK("https://www.philgeps.gov.ph/GEPSNONPILOT/Tender/SplashBidNoticeAbstractUI.aspx?menuIndex=3&amp;refID=7197248&amp;Result=3","7197248")</f>
        <v>0</v>
      </c>
      <c r="B2691" t="s">
        <v>1046</v>
      </c>
      <c r="C2691" t="s">
        <v>6103</v>
      </c>
      <c r="D2691" t="s">
        <v>17178</v>
      </c>
      <c r="E2691" t="s">
        <v>19627</v>
      </c>
      <c r="F2691" t="s">
        <v>29372</v>
      </c>
      <c r="G2691" t="s">
        <v>29380</v>
      </c>
      <c r="H2691" t="s">
        <v>11048</v>
      </c>
      <c r="I2691" t="s">
        <v>29410</v>
      </c>
      <c r="J2691" t="s">
        <v>31392</v>
      </c>
      <c r="K2691" t="s">
        <v>38485</v>
      </c>
      <c r="M2691" t="s">
        <v>39851</v>
      </c>
      <c r="N2691" t="s">
        <v>42669</v>
      </c>
      <c r="O2691" t="s">
        <v>42670</v>
      </c>
      <c r="P2691">
        <v>0</v>
      </c>
      <c r="Q2691">
        <v>0</v>
      </c>
      <c r="R2691" t="s">
        <v>42675</v>
      </c>
      <c r="S2691" t="s">
        <v>42807</v>
      </c>
      <c r="T2691" t="s">
        <v>44503</v>
      </c>
      <c r="U2691" t="s">
        <v>47068</v>
      </c>
      <c r="W2691" t="s">
        <v>39851</v>
      </c>
      <c r="X2691" t="s">
        <v>42671</v>
      </c>
    </row>
    <row r="2692" spans="1:24">
      <c r="A2692">
        <f>HYPERLINK("https://www.philgeps.gov.ph/GEPSNONPILOT/Tender/SplashBidNoticeAbstractUI.aspx?menuIndex=3&amp;refID=7197260&amp;Result=3","7197260")</f>
        <v>0</v>
      </c>
      <c r="B2692" t="s">
        <v>1051</v>
      </c>
      <c r="C2692" t="s">
        <v>6104</v>
      </c>
      <c r="D2692" t="s">
        <v>17174</v>
      </c>
      <c r="E2692" t="s">
        <v>19628</v>
      </c>
      <c r="F2692" t="s">
        <v>29372</v>
      </c>
      <c r="G2692" t="s">
        <v>29379</v>
      </c>
      <c r="H2692" t="s">
        <v>29389</v>
      </c>
      <c r="I2692" t="s">
        <v>10408</v>
      </c>
      <c r="J2692" t="s">
        <v>29799</v>
      </c>
      <c r="K2692" t="s">
        <v>38487</v>
      </c>
      <c r="M2692" t="s">
        <v>39858</v>
      </c>
      <c r="N2692" t="s">
        <v>42669</v>
      </c>
      <c r="O2692" t="s">
        <v>42670</v>
      </c>
      <c r="P2692">
        <v>0</v>
      </c>
      <c r="Q2692">
        <v>0</v>
      </c>
      <c r="R2692" t="s">
        <v>42675</v>
      </c>
      <c r="S2692" t="s">
        <v>42807</v>
      </c>
      <c r="T2692" t="s">
        <v>44357</v>
      </c>
      <c r="U2692" t="s">
        <v>47081</v>
      </c>
      <c r="W2692" t="s">
        <v>39858</v>
      </c>
      <c r="X2692" t="s">
        <v>42671</v>
      </c>
    </row>
    <row r="2693" spans="1:24">
      <c r="A2693">
        <f>HYPERLINK("https://www.philgeps.gov.ph/GEPSNONPILOT/Tender/SplashBidNoticeAbstractUI.aspx?menuIndex=3&amp;refID=7197256&amp;Result=3","7197256")</f>
        <v>0</v>
      </c>
      <c r="B2693" t="s">
        <v>1052</v>
      </c>
      <c r="C2693" t="s">
        <v>6105</v>
      </c>
      <c r="D2693" t="s">
        <v>17188</v>
      </c>
      <c r="E2693" t="s">
        <v>19589</v>
      </c>
      <c r="F2693" t="s">
        <v>29372</v>
      </c>
      <c r="G2693" t="s">
        <v>29380</v>
      </c>
      <c r="H2693" t="s">
        <v>29389</v>
      </c>
      <c r="I2693" t="s">
        <v>10408</v>
      </c>
      <c r="J2693" t="s">
        <v>31393</v>
      </c>
      <c r="K2693" t="s">
        <v>38485</v>
      </c>
      <c r="M2693" t="s">
        <v>39859</v>
      </c>
      <c r="N2693" t="s">
        <v>42669</v>
      </c>
      <c r="O2693" t="s">
        <v>42670</v>
      </c>
      <c r="P2693">
        <v>0</v>
      </c>
      <c r="Q2693">
        <v>0</v>
      </c>
      <c r="R2693" t="s">
        <v>42675</v>
      </c>
      <c r="S2693" t="s">
        <v>42807</v>
      </c>
      <c r="T2693" t="s">
        <v>44527</v>
      </c>
      <c r="U2693" t="s">
        <v>47082</v>
      </c>
      <c r="W2693" t="s">
        <v>39859</v>
      </c>
      <c r="X2693" t="s">
        <v>42671</v>
      </c>
    </row>
    <row r="2694" spans="1:24">
      <c r="A2694">
        <f>HYPERLINK("https://www.philgeps.gov.ph/GEPSNONPILOT/Tender/SplashBidNoticeAbstractUI.aspx?menuIndex=3&amp;refID=7197258&amp;Result=3","7197258")</f>
        <v>0</v>
      </c>
      <c r="B2694" t="s">
        <v>1034</v>
      </c>
      <c r="C2694" t="s">
        <v>6106</v>
      </c>
      <c r="D2694" t="s">
        <v>17199</v>
      </c>
      <c r="E2694" t="s">
        <v>19629</v>
      </c>
      <c r="F2694" t="s">
        <v>29372</v>
      </c>
      <c r="G2694" t="s">
        <v>29379</v>
      </c>
      <c r="H2694" t="s">
        <v>11048</v>
      </c>
      <c r="I2694" t="s">
        <v>3695</v>
      </c>
      <c r="J2694" t="s">
        <v>31394</v>
      </c>
      <c r="K2694" t="s">
        <v>38491</v>
      </c>
      <c r="M2694" t="s">
        <v>39837</v>
      </c>
      <c r="N2694" t="s">
        <v>42669</v>
      </c>
      <c r="O2694" t="s">
        <v>42670</v>
      </c>
      <c r="P2694">
        <v>0</v>
      </c>
      <c r="Q2694">
        <v>0</v>
      </c>
      <c r="R2694" t="s">
        <v>42675</v>
      </c>
      <c r="S2694" t="s">
        <v>42807</v>
      </c>
      <c r="T2694" t="s">
        <v>44480</v>
      </c>
      <c r="U2694" t="s">
        <v>47057</v>
      </c>
      <c r="W2694" t="s">
        <v>58033</v>
      </c>
      <c r="X2694" t="s">
        <v>42671</v>
      </c>
    </row>
    <row r="2695" spans="1:24">
      <c r="A2695">
        <f>HYPERLINK("https://www.philgeps.gov.ph/GEPSNONPILOT/Tender/SplashBidNoticeAbstractUI.aspx?menuIndex=3&amp;refID=7197252&amp;Result=3","7197252")</f>
        <v>0</v>
      </c>
      <c r="B2695" t="s">
        <v>1022</v>
      </c>
      <c r="C2695" t="s">
        <v>6107</v>
      </c>
      <c r="D2695" t="s">
        <v>17141</v>
      </c>
      <c r="E2695" t="s">
        <v>19630</v>
      </c>
      <c r="F2695" t="s">
        <v>29372</v>
      </c>
      <c r="G2695" t="s">
        <v>29380</v>
      </c>
      <c r="H2695" t="s">
        <v>11048</v>
      </c>
      <c r="I2695" t="s">
        <v>5383</v>
      </c>
      <c r="J2695" t="s">
        <v>31395</v>
      </c>
      <c r="K2695" t="s">
        <v>38488</v>
      </c>
      <c r="M2695" t="s">
        <v>39842</v>
      </c>
      <c r="N2695" t="s">
        <v>42669</v>
      </c>
      <c r="O2695" t="s">
        <v>42670</v>
      </c>
      <c r="P2695">
        <v>0</v>
      </c>
      <c r="Q2695">
        <v>0</v>
      </c>
      <c r="R2695" t="s">
        <v>42675</v>
      </c>
      <c r="S2695" t="s">
        <v>42807</v>
      </c>
      <c r="T2695" t="s">
        <v>44415</v>
      </c>
      <c r="U2695" t="s">
        <v>46808</v>
      </c>
      <c r="W2695" t="s">
        <v>39842</v>
      </c>
      <c r="X2695" t="s">
        <v>42671</v>
      </c>
    </row>
    <row r="2696" spans="1:24">
      <c r="A2696">
        <f>HYPERLINK("https://www.philgeps.gov.ph/GEPSNONPILOT/Tender/SplashBidNoticeAbstractUI.aspx?menuIndex=3&amp;refID=7197265&amp;Result=3","7197265")</f>
        <v>0</v>
      </c>
      <c r="B2696" t="s">
        <v>1053</v>
      </c>
      <c r="C2696" t="s">
        <v>6108</v>
      </c>
      <c r="D2696" t="s">
        <v>17144</v>
      </c>
      <c r="E2696" t="s">
        <v>19631</v>
      </c>
      <c r="F2696" t="s">
        <v>29372</v>
      </c>
      <c r="G2696" t="s">
        <v>29380</v>
      </c>
      <c r="H2696" t="s">
        <v>11048</v>
      </c>
      <c r="I2696" t="s">
        <v>29405</v>
      </c>
      <c r="J2696" t="s">
        <v>31396</v>
      </c>
      <c r="K2696" t="s">
        <v>38503</v>
      </c>
      <c r="M2696" t="s">
        <v>39860</v>
      </c>
      <c r="N2696" t="s">
        <v>42669</v>
      </c>
      <c r="O2696" t="s">
        <v>42670</v>
      </c>
      <c r="P2696">
        <v>0</v>
      </c>
      <c r="Q2696">
        <v>0</v>
      </c>
      <c r="R2696" t="s">
        <v>42675</v>
      </c>
      <c r="S2696" t="s">
        <v>42807</v>
      </c>
      <c r="T2696" t="s">
        <v>44606</v>
      </c>
      <c r="U2696" t="s">
        <v>47083</v>
      </c>
      <c r="W2696" t="s">
        <v>39860</v>
      </c>
      <c r="X2696" t="s">
        <v>42671</v>
      </c>
    </row>
    <row r="2697" spans="1:24">
      <c r="A2697">
        <f>HYPERLINK("https://www.philgeps.gov.ph/GEPSNONPILOT/Tender/SplashBidNoticeAbstractUI.aspx?menuIndex=3&amp;refID=7197274&amp;Result=3","7197274")</f>
        <v>0</v>
      </c>
      <c r="B2697" t="s">
        <v>1043</v>
      </c>
      <c r="C2697" t="s">
        <v>6109</v>
      </c>
      <c r="E2697" t="s">
        <v>19632</v>
      </c>
      <c r="F2697" t="s">
        <v>29372</v>
      </c>
      <c r="G2697" t="s">
        <v>29380</v>
      </c>
      <c r="H2697" t="s">
        <v>29389</v>
      </c>
      <c r="I2697" t="s">
        <v>10408</v>
      </c>
      <c r="J2697" t="s">
        <v>31397</v>
      </c>
      <c r="K2697" t="s">
        <v>38592</v>
      </c>
      <c r="M2697" t="s">
        <v>39848</v>
      </c>
      <c r="N2697" t="s">
        <v>42669</v>
      </c>
      <c r="O2697" t="s">
        <v>42670</v>
      </c>
      <c r="P2697">
        <v>0</v>
      </c>
      <c r="Q2697">
        <v>0</v>
      </c>
      <c r="R2697" t="s">
        <v>42675</v>
      </c>
      <c r="S2697" t="s">
        <v>42807</v>
      </c>
      <c r="T2697" t="s">
        <v>44379</v>
      </c>
      <c r="U2697" t="s">
        <v>47084</v>
      </c>
      <c r="W2697" t="s">
        <v>39848</v>
      </c>
      <c r="X2697" t="s">
        <v>42671</v>
      </c>
    </row>
    <row r="2698" spans="1:24">
      <c r="A2698">
        <f>HYPERLINK("https://www.philgeps.gov.ph/GEPSNONPILOT/Tender/SplashBidNoticeAbstractUI.aspx?menuIndex=3&amp;refID=7197273&amp;Result=3","7197273")</f>
        <v>0</v>
      </c>
      <c r="B2698" t="s">
        <v>1042</v>
      </c>
      <c r="C2698" t="s">
        <v>6110</v>
      </c>
      <c r="D2698" t="s">
        <v>17211</v>
      </c>
      <c r="E2698" t="s">
        <v>19633</v>
      </c>
      <c r="F2698" t="s">
        <v>29372</v>
      </c>
      <c r="G2698" t="s">
        <v>29380</v>
      </c>
      <c r="H2698" t="s">
        <v>29389</v>
      </c>
      <c r="I2698" t="s">
        <v>29429</v>
      </c>
      <c r="J2698" t="s">
        <v>31398</v>
      </c>
      <c r="K2698" t="s">
        <v>38522</v>
      </c>
      <c r="M2698" t="s">
        <v>39847</v>
      </c>
      <c r="N2698" t="s">
        <v>42669</v>
      </c>
      <c r="O2698" t="s">
        <v>42670</v>
      </c>
      <c r="P2698">
        <v>0</v>
      </c>
      <c r="Q2698">
        <v>0</v>
      </c>
      <c r="R2698" t="s">
        <v>42675</v>
      </c>
      <c r="S2698" t="s">
        <v>42807</v>
      </c>
      <c r="T2698" t="s">
        <v>44379</v>
      </c>
      <c r="U2698" t="s">
        <v>47085</v>
      </c>
      <c r="V2698" t="s">
        <v>56615</v>
      </c>
      <c r="W2698" t="s">
        <v>39847</v>
      </c>
      <c r="X2698" t="s">
        <v>42671</v>
      </c>
    </row>
    <row r="2699" spans="1:24">
      <c r="A2699">
        <f>HYPERLINK("https://www.philgeps.gov.ph/GEPSNONPILOT/Tender/SplashBidNoticeAbstractUI.aspx?menuIndex=3&amp;refID=7197272&amp;Result=3","7197272")</f>
        <v>0</v>
      </c>
      <c r="B2699" t="s">
        <v>1054</v>
      </c>
      <c r="C2699" t="s">
        <v>6111</v>
      </c>
      <c r="D2699" t="s">
        <v>17153</v>
      </c>
      <c r="E2699" t="s">
        <v>19634</v>
      </c>
      <c r="F2699" t="s">
        <v>29372</v>
      </c>
      <c r="G2699" t="s">
        <v>29379</v>
      </c>
      <c r="H2699" t="s">
        <v>11048</v>
      </c>
      <c r="I2699" t="s">
        <v>29479</v>
      </c>
      <c r="J2699" t="s">
        <v>31399</v>
      </c>
      <c r="K2699" t="s">
        <v>38490</v>
      </c>
      <c r="M2699" t="s">
        <v>39861</v>
      </c>
      <c r="N2699" t="s">
        <v>42669</v>
      </c>
      <c r="O2699" t="s">
        <v>42670</v>
      </c>
      <c r="P2699">
        <v>0</v>
      </c>
      <c r="Q2699">
        <v>0</v>
      </c>
      <c r="R2699" t="s">
        <v>42675</v>
      </c>
      <c r="S2699" t="s">
        <v>42807</v>
      </c>
      <c r="T2699" t="s">
        <v>44607</v>
      </c>
      <c r="U2699" t="s">
        <v>47086</v>
      </c>
      <c r="W2699" t="s">
        <v>39861</v>
      </c>
      <c r="X2699" t="s">
        <v>42671</v>
      </c>
    </row>
    <row r="2700" spans="1:24">
      <c r="A2700">
        <f>HYPERLINK("https://www.philgeps.gov.ph/GEPSNONPILOT/Tender/SplashBidNoticeAbstractUI.aspx?menuIndex=3&amp;refID=7197271&amp;Result=3","7197271")</f>
        <v>0</v>
      </c>
      <c r="B2700" t="s">
        <v>1051</v>
      </c>
      <c r="C2700" t="s">
        <v>6112</v>
      </c>
      <c r="D2700" t="s">
        <v>17174</v>
      </c>
      <c r="E2700" t="s">
        <v>19635</v>
      </c>
      <c r="F2700" t="s">
        <v>29372</v>
      </c>
      <c r="G2700" t="s">
        <v>29380</v>
      </c>
      <c r="H2700" t="s">
        <v>29389</v>
      </c>
      <c r="I2700" t="s">
        <v>10408</v>
      </c>
      <c r="J2700" t="s">
        <v>31400</v>
      </c>
      <c r="K2700" t="s">
        <v>38496</v>
      </c>
      <c r="M2700" t="s">
        <v>39858</v>
      </c>
      <c r="N2700" t="s">
        <v>42669</v>
      </c>
      <c r="O2700" t="s">
        <v>42670</v>
      </c>
      <c r="P2700">
        <v>0</v>
      </c>
      <c r="Q2700">
        <v>0</v>
      </c>
      <c r="R2700" t="s">
        <v>42675</v>
      </c>
      <c r="S2700" t="s">
        <v>42807</v>
      </c>
      <c r="T2700" t="s">
        <v>44357</v>
      </c>
      <c r="U2700" t="s">
        <v>47087</v>
      </c>
      <c r="W2700" t="s">
        <v>39858</v>
      </c>
      <c r="X2700" t="s">
        <v>42671</v>
      </c>
    </row>
    <row r="2701" spans="1:24">
      <c r="A2701">
        <f>HYPERLINK("https://www.philgeps.gov.ph/GEPSNONPILOT/Tender/SplashBidNoticeAbstractUI.aspx?menuIndex=3&amp;refID=7197250&amp;Result=3","7197250")</f>
        <v>0</v>
      </c>
      <c r="B2701" t="s">
        <v>1022</v>
      </c>
      <c r="C2701" t="s">
        <v>6113</v>
      </c>
      <c r="D2701" t="s">
        <v>17141</v>
      </c>
      <c r="E2701" t="s">
        <v>19636</v>
      </c>
      <c r="F2701" t="s">
        <v>29372</v>
      </c>
      <c r="G2701" t="s">
        <v>29380</v>
      </c>
      <c r="H2701" t="s">
        <v>11048</v>
      </c>
      <c r="I2701" t="s">
        <v>5383</v>
      </c>
      <c r="J2701" t="s">
        <v>31401</v>
      </c>
      <c r="K2701" t="s">
        <v>38488</v>
      </c>
      <c r="M2701" t="s">
        <v>39856</v>
      </c>
      <c r="N2701" t="s">
        <v>42669</v>
      </c>
      <c r="O2701" t="s">
        <v>42670</v>
      </c>
      <c r="P2701">
        <v>0</v>
      </c>
      <c r="Q2701">
        <v>0</v>
      </c>
      <c r="R2701" t="s">
        <v>42675</v>
      </c>
      <c r="S2701" t="s">
        <v>42807</v>
      </c>
      <c r="T2701" t="s">
        <v>44597</v>
      </c>
      <c r="U2701" t="s">
        <v>46808</v>
      </c>
      <c r="W2701" t="s">
        <v>39856</v>
      </c>
      <c r="X2701" t="s">
        <v>42671</v>
      </c>
    </row>
    <row r="2702" spans="1:24">
      <c r="A2702">
        <f>HYPERLINK("https://www.philgeps.gov.ph/GEPSNONPILOT/Tender/SplashBidNoticeAbstractUI.aspx?menuIndex=3&amp;refID=7197255&amp;Result=3","7197255")</f>
        <v>0</v>
      </c>
      <c r="B2702" t="s">
        <v>1055</v>
      </c>
      <c r="C2702" t="s">
        <v>6114</v>
      </c>
      <c r="D2702" t="s">
        <v>17176</v>
      </c>
      <c r="E2702" t="s">
        <v>19637</v>
      </c>
      <c r="F2702" t="s">
        <v>29372</v>
      </c>
      <c r="G2702" t="s">
        <v>29379</v>
      </c>
      <c r="H2702" t="s">
        <v>11048</v>
      </c>
      <c r="I2702" t="s">
        <v>29446</v>
      </c>
      <c r="J2702" t="s">
        <v>29571</v>
      </c>
      <c r="K2702" t="s">
        <v>38491</v>
      </c>
      <c r="M2702" t="s">
        <v>39862</v>
      </c>
      <c r="N2702" t="s">
        <v>42669</v>
      </c>
      <c r="O2702" t="s">
        <v>42670</v>
      </c>
      <c r="P2702">
        <v>0</v>
      </c>
      <c r="Q2702">
        <v>0</v>
      </c>
      <c r="R2702" t="s">
        <v>42675</v>
      </c>
      <c r="S2702" t="s">
        <v>42807</v>
      </c>
      <c r="T2702" t="s">
        <v>44419</v>
      </c>
      <c r="U2702" t="s">
        <v>47088</v>
      </c>
      <c r="V2702" t="s">
        <v>56616</v>
      </c>
      <c r="W2702" t="s">
        <v>39862</v>
      </c>
      <c r="X2702" t="s">
        <v>42671</v>
      </c>
    </row>
    <row r="2703" spans="1:24">
      <c r="A2703">
        <f>HYPERLINK("https://www.philgeps.gov.ph/GEPSNONPILOT/Tender/SplashBidNoticeAbstractUI.aspx?menuIndex=3&amp;refID=7197283&amp;Result=3","7197283")</f>
        <v>0</v>
      </c>
      <c r="B2703" t="s">
        <v>1022</v>
      </c>
      <c r="C2703" t="s">
        <v>6115</v>
      </c>
      <c r="D2703" t="s">
        <v>17141</v>
      </c>
      <c r="E2703" t="s">
        <v>19638</v>
      </c>
      <c r="F2703" t="s">
        <v>29372</v>
      </c>
      <c r="G2703" t="s">
        <v>29380</v>
      </c>
      <c r="H2703" t="s">
        <v>11048</v>
      </c>
      <c r="I2703" t="s">
        <v>3670</v>
      </c>
      <c r="J2703" t="s">
        <v>31402</v>
      </c>
      <c r="K2703" t="s">
        <v>38488</v>
      </c>
      <c r="M2703" t="s">
        <v>39842</v>
      </c>
      <c r="N2703" t="s">
        <v>42669</v>
      </c>
      <c r="O2703" t="s">
        <v>42670</v>
      </c>
      <c r="P2703">
        <v>0</v>
      </c>
      <c r="Q2703">
        <v>0</v>
      </c>
      <c r="R2703" t="s">
        <v>42675</v>
      </c>
      <c r="S2703" t="s">
        <v>42807</v>
      </c>
      <c r="T2703" t="s">
        <v>44415</v>
      </c>
      <c r="U2703" t="s">
        <v>47035</v>
      </c>
      <c r="W2703" t="s">
        <v>39842</v>
      </c>
      <c r="X2703" t="s">
        <v>42671</v>
      </c>
    </row>
    <row r="2704" spans="1:24">
      <c r="A2704">
        <f>HYPERLINK("https://www.philgeps.gov.ph/GEPSNONPILOT/Tender/SplashBidNoticeAbstractUI.aspx?menuIndex=3&amp;refID=7197282&amp;Result=3","7197282")</f>
        <v>0</v>
      </c>
      <c r="B2704" t="s">
        <v>1034</v>
      </c>
      <c r="C2704" t="s">
        <v>6116</v>
      </c>
      <c r="D2704" t="s">
        <v>17199</v>
      </c>
      <c r="E2704" t="s">
        <v>19639</v>
      </c>
      <c r="F2704" t="s">
        <v>29372</v>
      </c>
      <c r="G2704" t="s">
        <v>29379</v>
      </c>
      <c r="H2704" t="s">
        <v>11048</v>
      </c>
      <c r="I2704" t="s">
        <v>3839</v>
      </c>
      <c r="J2704" t="s">
        <v>30026</v>
      </c>
      <c r="K2704" t="s">
        <v>38491</v>
      </c>
      <c r="M2704" t="s">
        <v>39837</v>
      </c>
      <c r="N2704" t="s">
        <v>42669</v>
      </c>
      <c r="O2704" t="s">
        <v>42670</v>
      </c>
      <c r="P2704">
        <v>0</v>
      </c>
      <c r="Q2704">
        <v>0</v>
      </c>
      <c r="R2704" t="s">
        <v>42675</v>
      </c>
      <c r="S2704" t="s">
        <v>42807</v>
      </c>
      <c r="T2704" t="s">
        <v>44480</v>
      </c>
      <c r="U2704" t="s">
        <v>47057</v>
      </c>
      <c r="W2704" t="s">
        <v>58033</v>
      </c>
      <c r="X2704" t="s">
        <v>42671</v>
      </c>
    </row>
    <row r="2705" spans="1:24">
      <c r="A2705">
        <f>HYPERLINK("https://www.philgeps.gov.ph/GEPSNONPILOT/Tender/SplashBidNoticeAbstractUI.aspx?menuIndex=3&amp;refID=7197280&amp;Result=3","7197280")</f>
        <v>0</v>
      </c>
      <c r="B2705" t="s">
        <v>1042</v>
      </c>
      <c r="C2705" t="s">
        <v>6117</v>
      </c>
      <c r="D2705" t="s">
        <v>17211</v>
      </c>
      <c r="E2705" t="s">
        <v>19640</v>
      </c>
      <c r="F2705" t="s">
        <v>29372</v>
      </c>
      <c r="G2705" t="s">
        <v>29380</v>
      </c>
      <c r="H2705" t="s">
        <v>29389</v>
      </c>
      <c r="I2705" t="s">
        <v>29429</v>
      </c>
      <c r="J2705" t="s">
        <v>31403</v>
      </c>
      <c r="K2705" t="s">
        <v>38522</v>
      </c>
      <c r="M2705" t="s">
        <v>39847</v>
      </c>
      <c r="N2705" t="s">
        <v>42669</v>
      </c>
      <c r="O2705" t="s">
        <v>42670</v>
      </c>
      <c r="P2705">
        <v>0</v>
      </c>
      <c r="Q2705">
        <v>0</v>
      </c>
      <c r="R2705" t="s">
        <v>42675</v>
      </c>
      <c r="S2705" t="s">
        <v>42807</v>
      </c>
      <c r="T2705" t="s">
        <v>44379</v>
      </c>
      <c r="U2705" t="s">
        <v>47089</v>
      </c>
      <c r="V2705" t="s">
        <v>56615</v>
      </c>
      <c r="W2705" t="s">
        <v>39847</v>
      </c>
      <c r="X2705" t="s">
        <v>42671</v>
      </c>
    </row>
    <row r="2706" spans="1:24">
      <c r="A2706">
        <f>HYPERLINK("https://www.philgeps.gov.ph/GEPSNONPILOT/Tender/SplashBidNoticeAbstractUI.aspx?menuIndex=3&amp;refID=7197254&amp;Result=3","7197254")</f>
        <v>0</v>
      </c>
      <c r="B2706" t="s">
        <v>1042</v>
      </c>
      <c r="C2706" t="s">
        <v>6118</v>
      </c>
      <c r="D2706" t="s">
        <v>17211</v>
      </c>
      <c r="E2706" t="s">
        <v>19641</v>
      </c>
      <c r="F2706" t="s">
        <v>29372</v>
      </c>
      <c r="G2706" t="s">
        <v>29380</v>
      </c>
      <c r="H2706" t="s">
        <v>29389</v>
      </c>
      <c r="I2706" t="s">
        <v>29429</v>
      </c>
      <c r="J2706" t="s">
        <v>31404</v>
      </c>
      <c r="K2706" t="s">
        <v>38522</v>
      </c>
      <c r="M2706" t="s">
        <v>39847</v>
      </c>
      <c r="N2706" t="s">
        <v>42669</v>
      </c>
      <c r="O2706" t="s">
        <v>42670</v>
      </c>
      <c r="P2706">
        <v>0</v>
      </c>
      <c r="Q2706">
        <v>0</v>
      </c>
      <c r="R2706" t="s">
        <v>42675</v>
      </c>
      <c r="S2706" t="s">
        <v>42807</v>
      </c>
      <c r="T2706" t="s">
        <v>44379</v>
      </c>
      <c r="U2706" t="s">
        <v>47090</v>
      </c>
      <c r="V2706" t="s">
        <v>56615</v>
      </c>
      <c r="W2706" t="s">
        <v>39847</v>
      </c>
      <c r="X2706" t="s">
        <v>42671</v>
      </c>
    </row>
    <row r="2707" spans="1:24">
      <c r="A2707">
        <f>HYPERLINK("https://www.philgeps.gov.ph/GEPSNONPILOT/Tender/SplashBidNoticeAbstractUI.aspx?menuIndex=3&amp;refID=7197279&amp;Result=3","7197279")</f>
        <v>0</v>
      </c>
      <c r="B2707" t="s">
        <v>1022</v>
      </c>
      <c r="C2707" t="s">
        <v>6119</v>
      </c>
      <c r="D2707" t="s">
        <v>17141</v>
      </c>
      <c r="E2707" t="s">
        <v>19642</v>
      </c>
      <c r="F2707" t="s">
        <v>29372</v>
      </c>
      <c r="G2707" t="s">
        <v>29380</v>
      </c>
      <c r="H2707" t="s">
        <v>11048</v>
      </c>
      <c r="I2707" t="s">
        <v>14920</v>
      </c>
      <c r="J2707" t="s">
        <v>31405</v>
      </c>
      <c r="K2707" t="s">
        <v>38488</v>
      </c>
      <c r="M2707" t="s">
        <v>39856</v>
      </c>
      <c r="N2707" t="s">
        <v>42669</v>
      </c>
      <c r="O2707" t="s">
        <v>42670</v>
      </c>
      <c r="P2707">
        <v>0</v>
      </c>
      <c r="Q2707">
        <v>0</v>
      </c>
      <c r="R2707" t="s">
        <v>42675</v>
      </c>
      <c r="S2707" t="s">
        <v>42807</v>
      </c>
      <c r="T2707" t="s">
        <v>44597</v>
      </c>
      <c r="U2707" t="s">
        <v>47038</v>
      </c>
      <c r="W2707" t="s">
        <v>39856</v>
      </c>
      <c r="X2707" t="s">
        <v>42671</v>
      </c>
    </row>
    <row r="2708" spans="1:24">
      <c r="A2708">
        <f>HYPERLINK("https://www.philgeps.gov.ph/GEPSNONPILOT/Tender/SplashBidNoticeAbstractUI.aspx?menuIndex=3&amp;refID=7197277&amp;Result=3","7197277")</f>
        <v>0</v>
      </c>
      <c r="B2708" t="s">
        <v>1042</v>
      </c>
      <c r="C2708" t="s">
        <v>6120</v>
      </c>
      <c r="D2708" t="s">
        <v>17211</v>
      </c>
      <c r="E2708" t="s">
        <v>19643</v>
      </c>
      <c r="F2708" t="s">
        <v>29372</v>
      </c>
      <c r="G2708" t="s">
        <v>29380</v>
      </c>
      <c r="H2708" t="s">
        <v>29389</v>
      </c>
      <c r="I2708" t="s">
        <v>29429</v>
      </c>
      <c r="J2708" t="s">
        <v>31406</v>
      </c>
      <c r="K2708" t="s">
        <v>38522</v>
      </c>
      <c r="M2708" t="s">
        <v>39847</v>
      </c>
      <c r="N2708" t="s">
        <v>42669</v>
      </c>
      <c r="O2708" t="s">
        <v>42670</v>
      </c>
      <c r="P2708">
        <v>0</v>
      </c>
      <c r="Q2708">
        <v>0</v>
      </c>
      <c r="R2708" t="s">
        <v>42675</v>
      </c>
      <c r="S2708" t="s">
        <v>42807</v>
      </c>
      <c r="T2708" t="s">
        <v>44379</v>
      </c>
      <c r="U2708" t="s">
        <v>47091</v>
      </c>
      <c r="V2708" t="s">
        <v>56615</v>
      </c>
      <c r="W2708" t="s">
        <v>39847</v>
      </c>
      <c r="X2708" t="s">
        <v>42671</v>
      </c>
    </row>
    <row r="2709" spans="1:24">
      <c r="A2709">
        <f>HYPERLINK("https://www.philgeps.gov.ph/GEPSNONPILOT/Tender/SplashBidNoticeAbstractUI.aspx?menuIndex=3&amp;refID=7197284&amp;Result=3","7197284")</f>
        <v>0</v>
      </c>
      <c r="B2709" t="s">
        <v>1053</v>
      </c>
      <c r="C2709" t="s">
        <v>6121</v>
      </c>
      <c r="D2709" t="s">
        <v>17144</v>
      </c>
      <c r="E2709" t="s">
        <v>19644</v>
      </c>
      <c r="F2709" t="s">
        <v>29372</v>
      </c>
      <c r="G2709" t="s">
        <v>29380</v>
      </c>
      <c r="H2709" t="s">
        <v>11048</v>
      </c>
      <c r="I2709" t="s">
        <v>3839</v>
      </c>
      <c r="J2709" t="s">
        <v>29543</v>
      </c>
      <c r="K2709" t="s">
        <v>38503</v>
      </c>
      <c r="M2709" t="s">
        <v>39860</v>
      </c>
      <c r="N2709" t="s">
        <v>42669</v>
      </c>
      <c r="O2709" t="s">
        <v>42670</v>
      </c>
      <c r="P2709">
        <v>0</v>
      </c>
      <c r="Q2709">
        <v>0</v>
      </c>
      <c r="R2709" t="s">
        <v>42675</v>
      </c>
      <c r="S2709" t="s">
        <v>42807</v>
      </c>
      <c r="T2709" t="s">
        <v>44606</v>
      </c>
      <c r="U2709" t="s">
        <v>47092</v>
      </c>
      <c r="W2709" t="s">
        <v>39860</v>
      </c>
      <c r="X2709" t="s">
        <v>42671</v>
      </c>
    </row>
    <row r="2710" spans="1:24">
      <c r="A2710">
        <f>HYPERLINK("https://www.philgeps.gov.ph/GEPSNONPILOT/Tender/SplashBidNoticeAbstractUI.aspx?menuIndex=3&amp;refID=7197281&amp;Result=3","7197281")</f>
        <v>0</v>
      </c>
      <c r="B2710" t="s">
        <v>1035</v>
      </c>
      <c r="C2710" t="s">
        <v>6122</v>
      </c>
      <c r="D2710" t="s">
        <v>17141</v>
      </c>
      <c r="E2710" t="s">
        <v>19645</v>
      </c>
      <c r="F2710" t="s">
        <v>29372</v>
      </c>
      <c r="G2710" t="s">
        <v>29380</v>
      </c>
      <c r="H2710" t="s">
        <v>29389</v>
      </c>
      <c r="I2710" t="s">
        <v>10408</v>
      </c>
      <c r="J2710" t="s">
        <v>31407</v>
      </c>
      <c r="K2710" t="s">
        <v>38495</v>
      </c>
      <c r="M2710" t="s">
        <v>39839</v>
      </c>
      <c r="N2710" t="s">
        <v>42669</v>
      </c>
      <c r="O2710" t="s">
        <v>42670</v>
      </c>
      <c r="P2710">
        <v>0</v>
      </c>
      <c r="Q2710">
        <v>2</v>
      </c>
      <c r="R2710" t="s">
        <v>42675</v>
      </c>
      <c r="S2710" t="s">
        <v>42807</v>
      </c>
      <c r="T2710" t="s">
        <v>44568</v>
      </c>
      <c r="U2710" t="s">
        <v>47093</v>
      </c>
      <c r="W2710" t="s">
        <v>39839</v>
      </c>
      <c r="X2710" t="s">
        <v>42671</v>
      </c>
    </row>
    <row r="2711" spans="1:24">
      <c r="A2711">
        <f>HYPERLINK("https://www.philgeps.gov.ph/GEPSNONPILOT/Tender/SplashBidNoticeAbstractUI.aspx?menuIndex=3&amp;refID=7197270&amp;Result=3","7197270")</f>
        <v>0</v>
      </c>
      <c r="B2711" t="s">
        <v>1022</v>
      </c>
      <c r="C2711" t="s">
        <v>6123</v>
      </c>
      <c r="D2711" t="s">
        <v>17141</v>
      </c>
      <c r="E2711" t="s">
        <v>19646</v>
      </c>
      <c r="F2711" t="s">
        <v>29372</v>
      </c>
      <c r="G2711" t="s">
        <v>29380</v>
      </c>
      <c r="H2711" t="s">
        <v>11048</v>
      </c>
      <c r="I2711" t="s">
        <v>5383</v>
      </c>
      <c r="J2711" t="s">
        <v>31408</v>
      </c>
      <c r="K2711" t="s">
        <v>38488</v>
      </c>
      <c r="M2711" t="s">
        <v>39856</v>
      </c>
      <c r="N2711" t="s">
        <v>42669</v>
      </c>
      <c r="O2711" t="s">
        <v>42670</v>
      </c>
      <c r="P2711">
        <v>0</v>
      </c>
      <c r="Q2711">
        <v>0</v>
      </c>
      <c r="R2711" t="s">
        <v>42675</v>
      </c>
      <c r="S2711" t="s">
        <v>42807</v>
      </c>
      <c r="T2711" t="s">
        <v>44597</v>
      </c>
      <c r="U2711" t="s">
        <v>46808</v>
      </c>
      <c r="W2711" t="s">
        <v>39856</v>
      </c>
      <c r="X2711" t="s">
        <v>42671</v>
      </c>
    </row>
    <row r="2712" spans="1:24">
      <c r="A2712">
        <f>HYPERLINK("https://www.philgeps.gov.ph/GEPSNONPILOT/Tender/SplashBidNoticeAbstractUI.aspx?menuIndex=3&amp;refID=7197275&amp;Result=3","7197275")</f>
        <v>0</v>
      </c>
      <c r="B2712" t="s">
        <v>1047</v>
      </c>
      <c r="C2712" t="s">
        <v>6124</v>
      </c>
      <c r="D2712" t="s">
        <v>17141</v>
      </c>
      <c r="E2712" t="s">
        <v>19647</v>
      </c>
      <c r="F2712" t="s">
        <v>29372</v>
      </c>
      <c r="G2712" t="s">
        <v>29382</v>
      </c>
      <c r="H2712" t="s">
        <v>11048</v>
      </c>
      <c r="I2712" t="s">
        <v>29399</v>
      </c>
      <c r="J2712" t="s">
        <v>31409</v>
      </c>
      <c r="K2712" t="s">
        <v>38485</v>
      </c>
      <c r="M2712" t="s">
        <v>39852</v>
      </c>
      <c r="N2712" t="s">
        <v>42669</v>
      </c>
      <c r="O2712" t="s">
        <v>42670</v>
      </c>
      <c r="P2712">
        <v>0</v>
      </c>
      <c r="Q2712">
        <v>0</v>
      </c>
      <c r="R2712" t="s">
        <v>42675</v>
      </c>
      <c r="S2712" t="s">
        <v>42807</v>
      </c>
      <c r="T2712" t="s">
        <v>44470</v>
      </c>
      <c r="U2712" t="s">
        <v>47080</v>
      </c>
      <c r="W2712" t="s">
        <v>39852</v>
      </c>
      <c r="X2712" t="s">
        <v>42671</v>
      </c>
    </row>
    <row r="2713" spans="1:24">
      <c r="A2713">
        <f>HYPERLINK("https://www.philgeps.gov.ph/GEPSNONPILOT/Tender/SplashBidNoticeAbstractUI.aspx?menuIndex=3&amp;refID=7197269&amp;Result=3","7197269")</f>
        <v>0</v>
      </c>
      <c r="B2713" t="s">
        <v>1022</v>
      </c>
      <c r="C2713" t="s">
        <v>6125</v>
      </c>
      <c r="D2713" t="s">
        <v>17141</v>
      </c>
      <c r="E2713" t="s">
        <v>19648</v>
      </c>
      <c r="F2713" t="s">
        <v>29372</v>
      </c>
      <c r="G2713" t="s">
        <v>29380</v>
      </c>
      <c r="H2713" t="s">
        <v>11048</v>
      </c>
      <c r="I2713" t="s">
        <v>3670</v>
      </c>
      <c r="J2713" t="s">
        <v>31410</v>
      </c>
      <c r="K2713" t="s">
        <v>38488</v>
      </c>
      <c r="M2713" t="s">
        <v>39842</v>
      </c>
      <c r="N2713" t="s">
        <v>42669</v>
      </c>
      <c r="O2713" t="s">
        <v>42670</v>
      </c>
      <c r="P2713">
        <v>0</v>
      </c>
      <c r="Q2713">
        <v>0</v>
      </c>
      <c r="R2713" t="s">
        <v>42675</v>
      </c>
      <c r="S2713" t="s">
        <v>42807</v>
      </c>
      <c r="T2713" t="s">
        <v>44415</v>
      </c>
      <c r="U2713" t="s">
        <v>47035</v>
      </c>
      <c r="W2713" t="s">
        <v>39842</v>
      </c>
      <c r="X2713" t="s">
        <v>42671</v>
      </c>
    </row>
    <row r="2714" spans="1:24">
      <c r="A2714">
        <f>HYPERLINK("https://www.philgeps.gov.ph/GEPSNONPILOT/Tender/SplashBidNoticeAbstractUI.aspx?menuIndex=3&amp;refID=7197278&amp;Result=3","7197278")</f>
        <v>0</v>
      </c>
      <c r="B2714" t="s">
        <v>1022</v>
      </c>
      <c r="C2714" t="s">
        <v>6126</v>
      </c>
      <c r="D2714" t="s">
        <v>17141</v>
      </c>
      <c r="E2714" t="s">
        <v>19649</v>
      </c>
      <c r="F2714" t="s">
        <v>29372</v>
      </c>
      <c r="G2714" t="s">
        <v>29380</v>
      </c>
      <c r="H2714" t="s">
        <v>11048</v>
      </c>
      <c r="I2714" t="s">
        <v>3670</v>
      </c>
      <c r="J2714" t="s">
        <v>31411</v>
      </c>
      <c r="K2714" t="s">
        <v>38488</v>
      </c>
      <c r="M2714" t="s">
        <v>39842</v>
      </c>
      <c r="N2714" t="s">
        <v>42669</v>
      </c>
      <c r="O2714" t="s">
        <v>42670</v>
      </c>
      <c r="P2714">
        <v>0</v>
      </c>
      <c r="Q2714">
        <v>0</v>
      </c>
      <c r="R2714" t="s">
        <v>42675</v>
      </c>
      <c r="S2714" t="s">
        <v>42807</v>
      </c>
      <c r="T2714" t="s">
        <v>44415</v>
      </c>
      <c r="U2714" t="s">
        <v>47035</v>
      </c>
      <c r="W2714" t="s">
        <v>39842</v>
      </c>
      <c r="X2714" t="s">
        <v>42671</v>
      </c>
    </row>
    <row r="2715" spans="1:24">
      <c r="A2715">
        <f>HYPERLINK("https://www.philgeps.gov.ph/GEPSNONPILOT/Tender/SplashBidNoticeAbstractUI.aspx?menuIndex=3&amp;refID=7197267&amp;Result=3","7197267")</f>
        <v>0</v>
      </c>
      <c r="B2715" t="s">
        <v>1056</v>
      </c>
      <c r="C2715" t="s">
        <v>6127</v>
      </c>
      <c r="D2715" t="s">
        <v>17162</v>
      </c>
      <c r="E2715" t="s">
        <v>19650</v>
      </c>
      <c r="F2715" t="s">
        <v>29372</v>
      </c>
      <c r="G2715" t="s">
        <v>29382</v>
      </c>
      <c r="H2715" t="s">
        <v>11048</v>
      </c>
      <c r="I2715" t="s">
        <v>4487</v>
      </c>
      <c r="J2715" t="s">
        <v>31412</v>
      </c>
      <c r="K2715" t="s">
        <v>38510</v>
      </c>
      <c r="M2715" t="s">
        <v>39863</v>
      </c>
      <c r="N2715" t="s">
        <v>42669</v>
      </c>
      <c r="O2715" t="s">
        <v>42670</v>
      </c>
      <c r="P2715">
        <v>0</v>
      </c>
      <c r="Q2715">
        <v>1</v>
      </c>
      <c r="R2715" t="s">
        <v>42675</v>
      </c>
      <c r="S2715" t="s">
        <v>42807</v>
      </c>
      <c r="T2715" t="s">
        <v>44470</v>
      </c>
      <c r="U2715" t="s">
        <v>47094</v>
      </c>
      <c r="W2715" t="s">
        <v>39863</v>
      </c>
      <c r="X2715" t="s">
        <v>42671</v>
      </c>
    </row>
    <row r="2716" spans="1:24">
      <c r="A2716">
        <f>HYPERLINK("https://www.philgeps.gov.ph/GEPSNONPILOT/Tender/SplashBidNoticeAbstractUI.aspx?menuIndex=3&amp;refID=7197276&amp;Result=3","7197276")</f>
        <v>0</v>
      </c>
      <c r="B2716" t="s">
        <v>92</v>
      </c>
      <c r="C2716" t="s">
        <v>6128</v>
      </c>
      <c r="D2716" t="s">
        <v>17141</v>
      </c>
      <c r="E2716" t="s">
        <v>19651</v>
      </c>
      <c r="F2716" t="s">
        <v>29372</v>
      </c>
      <c r="G2716" t="s">
        <v>29380</v>
      </c>
      <c r="H2716" t="s">
        <v>11048</v>
      </c>
      <c r="I2716" t="s">
        <v>29400</v>
      </c>
      <c r="J2716" t="s">
        <v>29937</v>
      </c>
      <c r="K2716" t="s">
        <v>38490</v>
      </c>
      <c r="M2716" t="s">
        <v>39854</v>
      </c>
      <c r="N2716" t="s">
        <v>42669</v>
      </c>
      <c r="O2716" t="s">
        <v>42670</v>
      </c>
      <c r="P2716">
        <v>0</v>
      </c>
      <c r="Q2716">
        <v>0</v>
      </c>
      <c r="R2716" t="s">
        <v>42675</v>
      </c>
      <c r="S2716" t="s">
        <v>42807</v>
      </c>
      <c r="T2716" t="s">
        <v>44351</v>
      </c>
      <c r="U2716" t="s">
        <v>47095</v>
      </c>
      <c r="W2716" t="s">
        <v>39854</v>
      </c>
      <c r="X2716" t="s">
        <v>42671</v>
      </c>
    </row>
    <row r="2717" spans="1:24">
      <c r="A2717">
        <f>HYPERLINK("https://www.philgeps.gov.ph/GEPSNONPILOT/Tender/SplashBidNoticeAbstractUI.aspx?menuIndex=3&amp;refID=7197305&amp;Result=3","7197305")</f>
        <v>0</v>
      </c>
      <c r="B2717" t="s">
        <v>1022</v>
      </c>
      <c r="C2717" t="s">
        <v>6129</v>
      </c>
      <c r="D2717" t="s">
        <v>17141</v>
      </c>
      <c r="E2717" t="s">
        <v>19652</v>
      </c>
      <c r="F2717" t="s">
        <v>29372</v>
      </c>
      <c r="G2717" t="s">
        <v>29380</v>
      </c>
      <c r="H2717" t="s">
        <v>11048</v>
      </c>
      <c r="I2717" t="s">
        <v>3670</v>
      </c>
      <c r="J2717" t="s">
        <v>31413</v>
      </c>
      <c r="K2717" t="s">
        <v>38488</v>
      </c>
      <c r="M2717" t="s">
        <v>39856</v>
      </c>
      <c r="N2717" t="s">
        <v>42669</v>
      </c>
      <c r="O2717" t="s">
        <v>42670</v>
      </c>
      <c r="P2717">
        <v>0</v>
      </c>
      <c r="Q2717">
        <v>0</v>
      </c>
      <c r="R2717" t="s">
        <v>42675</v>
      </c>
      <c r="S2717" t="s">
        <v>42807</v>
      </c>
      <c r="T2717" t="s">
        <v>44597</v>
      </c>
      <c r="U2717" t="s">
        <v>47096</v>
      </c>
      <c r="W2717" t="s">
        <v>39856</v>
      </c>
      <c r="X2717" t="s">
        <v>42671</v>
      </c>
    </row>
    <row r="2718" spans="1:24">
      <c r="A2718">
        <f>HYPERLINK("https://www.philgeps.gov.ph/GEPSNONPILOT/Tender/SplashBidNoticeAbstractUI.aspx?menuIndex=3&amp;refID=7197251&amp;Result=3","7197251")</f>
        <v>0</v>
      </c>
      <c r="B2718" t="s">
        <v>1056</v>
      </c>
      <c r="C2718" t="s">
        <v>6130</v>
      </c>
      <c r="D2718" t="s">
        <v>17162</v>
      </c>
      <c r="E2718" t="s">
        <v>19653</v>
      </c>
      <c r="F2718" t="s">
        <v>29372</v>
      </c>
      <c r="G2718" t="s">
        <v>29379</v>
      </c>
      <c r="H2718" t="s">
        <v>11048</v>
      </c>
      <c r="I2718" t="s">
        <v>29395</v>
      </c>
      <c r="J2718" t="s">
        <v>31414</v>
      </c>
      <c r="K2718" t="s">
        <v>38510</v>
      </c>
      <c r="M2718" t="s">
        <v>39863</v>
      </c>
      <c r="N2718" t="s">
        <v>42669</v>
      </c>
      <c r="O2718" t="s">
        <v>42670</v>
      </c>
      <c r="P2718">
        <v>0</v>
      </c>
      <c r="Q2718">
        <v>0</v>
      </c>
      <c r="R2718" t="s">
        <v>42675</v>
      </c>
      <c r="S2718" t="s">
        <v>42807</v>
      </c>
      <c r="T2718" t="s">
        <v>44470</v>
      </c>
      <c r="U2718" t="s">
        <v>47094</v>
      </c>
      <c r="W2718" t="s">
        <v>39863</v>
      </c>
      <c r="X2718" t="s">
        <v>42671</v>
      </c>
    </row>
    <row r="2719" spans="1:24">
      <c r="A2719">
        <f>HYPERLINK("https://www.philgeps.gov.ph/GEPSNONPILOT/Tender/SplashBidNoticeAbstractUI.aspx?menuIndex=3&amp;refID=7197303&amp;Result=3","7197303")</f>
        <v>0</v>
      </c>
      <c r="B2719" t="s">
        <v>1057</v>
      </c>
      <c r="C2719" t="s">
        <v>4013</v>
      </c>
      <c r="D2719" t="s">
        <v>17197</v>
      </c>
      <c r="E2719" t="s">
        <v>19654</v>
      </c>
      <c r="F2719" t="s">
        <v>29372</v>
      </c>
      <c r="G2719" t="s">
        <v>29383</v>
      </c>
      <c r="H2719" t="s">
        <v>11048</v>
      </c>
      <c r="I2719" t="s">
        <v>3670</v>
      </c>
      <c r="J2719" t="s">
        <v>31415</v>
      </c>
      <c r="K2719" t="s">
        <v>38534</v>
      </c>
      <c r="M2719" t="s">
        <v>39864</v>
      </c>
      <c r="N2719" t="s">
        <v>42669</v>
      </c>
      <c r="O2719" t="s">
        <v>42670</v>
      </c>
      <c r="P2719">
        <v>0</v>
      </c>
      <c r="Q2719">
        <v>0</v>
      </c>
      <c r="R2719" t="s">
        <v>42675</v>
      </c>
      <c r="S2719" t="s">
        <v>42807</v>
      </c>
      <c r="T2719" t="s">
        <v>44378</v>
      </c>
      <c r="U2719" t="s">
        <v>47097</v>
      </c>
      <c r="V2719" t="s">
        <v>56617</v>
      </c>
      <c r="W2719" t="s">
        <v>39864</v>
      </c>
      <c r="X2719" t="s">
        <v>42671</v>
      </c>
    </row>
    <row r="2720" spans="1:24">
      <c r="A2720">
        <f>HYPERLINK("https://www.philgeps.gov.ph/GEPSNONPILOT/Tender/SplashBidNoticeAbstractUI.aspx?menuIndex=3&amp;refID=7197257&amp;Result=3","7197257")</f>
        <v>0</v>
      </c>
      <c r="B2720" t="s">
        <v>1022</v>
      </c>
      <c r="C2720" t="s">
        <v>6131</v>
      </c>
      <c r="D2720" t="s">
        <v>17141</v>
      </c>
      <c r="E2720" t="s">
        <v>19655</v>
      </c>
      <c r="F2720" t="s">
        <v>29372</v>
      </c>
      <c r="G2720" t="s">
        <v>29380</v>
      </c>
      <c r="H2720" t="s">
        <v>11048</v>
      </c>
      <c r="I2720" t="s">
        <v>14920</v>
      </c>
      <c r="J2720" t="s">
        <v>31416</v>
      </c>
      <c r="K2720" t="s">
        <v>38488</v>
      </c>
      <c r="M2720" t="s">
        <v>39842</v>
      </c>
      <c r="N2720" t="s">
        <v>42669</v>
      </c>
      <c r="O2720" t="s">
        <v>42670</v>
      </c>
      <c r="P2720">
        <v>0</v>
      </c>
      <c r="Q2720">
        <v>0</v>
      </c>
      <c r="R2720" t="s">
        <v>42675</v>
      </c>
      <c r="S2720" t="s">
        <v>42807</v>
      </c>
      <c r="T2720" t="s">
        <v>44415</v>
      </c>
      <c r="U2720" t="s">
        <v>47038</v>
      </c>
      <c r="W2720" t="s">
        <v>39842</v>
      </c>
      <c r="X2720" t="s">
        <v>42671</v>
      </c>
    </row>
    <row r="2721" spans="1:24">
      <c r="A2721">
        <f>HYPERLINK("https://www.philgeps.gov.ph/GEPSNONPILOT/Tender/SplashBidNoticeAbstractUI.aspx?menuIndex=3&amp;refID=7197299&amp;Result=3","7197299")</f>
        <v>0</v>
      </c>
      <c r="B2721" t="s">
        <v>1058</v>
      </c>
      <c r="C2721" t="s">
        <v>6132</v>
      </c>
      <c r="D2721" t="s">
        <v>17141</v>
      </c>
      <c r="E2721" t="s">
        <v>6132</v>
      </c>
      <c r="F2721" t="s">
        <v>29372</v>
      </c>
      <c r="G2721" t="s">
        <v>29380</v>
      </c>
      <c r="H2721" t="s">
        <v>11048</v>
      </c>
      <c r="I2721" t="s">
        <v>14920</v>
      </c>
      <c r="J2721" t="s">
        <v>31417</v>
      </c>
      <c r="K2721" t="s">
        <v>38485</v>
      </c>
      <c r="M2721" t="s">
        <v>39865</v>
      </c>
      <c r="N2721" t="s">
        <v>42669</v>
      </c>
      <c r="O2721" t="s">
        <v>42670</v>
      </c>
      <c r="P2721">
        <v>0</v>
      </c>
      <c r="Q2721">
        <v>0</v>
      </c>
      <c r="R2721" t="s">
        <v>42675</v>
      </c>
      <c r="S2721" t="s">
        <v>42807</v>
      </c>
      <c r="T2721" t="s">
        <v>44381</v>
      </c>
      <c r="U2721" t="s">
        <v>47098</v>
      </c>
      <c r="W2721" t="s">
        <v>39865</v>
      </c>
      <c r="X2721" t="s">
        <v>42671</v>
      </c>
    </row>
    <row r="2722" spans="1:24">
      <c r="A2722">
        <f>HYPERLINK("https://www.philgeps.gov.ph/GEPSNONPILOT/Tender/SplashBidNoticeAbstractUI.aspx?menuIndex=3&amp;refID=7197297&amp;Result=3","7197297")</f>
        <v>0</v>
      </c>
      <c r="B2722" t="s">
        <v>1059</v>
      </c>
      <c r="C2722" t="s">
        <v>6133</v>
      </c>
      <c r="D2722" t="s">
        <v>17160</v>
      </c>
      <c r="E2722" t="s">
        <v>19656</v>
      </c>
      <c r="F2722" t="s">
        <v>29372</v>
      </c>
      <c r="G2722" t="s">
        <v>29382</v>
      </c>
      <c r="H2722" t="s">
        <v>11048</v>
      </c>
      <c r="I2722" t="s">
        <v>3695</v>
      </c>
      <c r="J2722" t="s">
        <v>29692</v>
      </c>
      <c r="K2722" t="s">
        <v>38534</v>
      </c>
      <c r="M2722" t="s">
        <v>39866</v>
      </c>
      <c r="N2722" t="s">
        <v>42669</v>
      </c>
      <c r="O2722" t="s">
        <v>42670</v>
      </c>
      <c r="P2722">
        <v>0</v>
      </c>
      <c r="Q2722">
        <v>0</v>
      </c>
      <c r="R2722" t="s">
        <v>42675</v>
      </c>
      <c r="S2722" t="s">
        <v>42807</v>
      </c>
      <c r="T2722" t="s">
        <v>44456</v>
      </c>
      <c r="U2722" t="s">
        <v>47099</v>
      </c>
      <c r="W2722" t="s">
        <v>39866</v>
      </c>
      <c r="X2722" t="s">
        <v>42671</v>
      </c>
    </row>
    <row r="2723" spans="1:24">
      <c r="A2723">
        <f>HYPERLINK("https://www.philgeps.gov.ph/GEPSNONPILOT/Tender/SplashBidNoticeAbstractUI.aspx?menuIndex=3&amp;refID=7197296&amp;Result=3","7197296")</f>
        <v>0</v>
      </c>
      <c r="B2723" t="s">
        <v>1058</v>
      </c>
      <c r="C2723" t="s">
        <v>6134</v>
      </c>
      <c r="D2723" t="s">
        <v>17141</v>
      </c>
      <c r="E2723" t="s">
        <v>6134</v>
      </c>
      <c r="F2723" t="s">
        <v>29372</v>
      </c>
      <c r="G2723" t="s">
        <v>29380</v>
      </c>
      <c r="H2723" t="s">
        <v>11048</v>
      </c>
      <c r="I2723" t="s">
        <v>4487</v>
      </c>
      <c r="J2723" t="s">
        <v>31418</v>
      </c>
      <c r="K2723" t="s">
        <v>38485</v>
      </c>
      <c r="M2723" t="s">
        <v>39865</v>
      </c>
      <c r="N2723" t="s">
        <v>42669</v>
      </c>
      <c r="O2723" t="s">
        <v>42670</v>
      </c>
      <c r="P2723">
        <v>0</v>
      </c>
      <c r="Q2723">
        <v>0</v>
      </c>
      <c r="R2723" t="s">
        <v>42675</v>
      </c>
      <c r="S2723" t="s">
        <v>42807</v>
      </c>
      <c r="T2723" t="s">
        <v>44381</v>
      </c>
      <c r="U2723" t="s">
        <v>47100</v>
      </c>
      <c r="W2723" t="s">
        <v>39865</v>
      </c>
      <c r="X2723" t="s">
        <v>42671</v>
      </c>
    </row>
    <row r="2724" spans="1:24">
      <c r="A2724">
        <f>HYPERLINK("https://www.philgeps.gov.ph/GEPSNONPILOT/Tender/SplashBidNoticeAbstractUI.aspx?menuIndex=3&amp;refID=7197302&amp;Result=3","7197302")</f>
        <v>0</v>
      </c>
      <c r="B2724" t="s">
        <v>1060</v>
      </c>
      <c r="C2724" t="s">
        <v>6135</v>
      </c>
      <c r="D2724" t="s">
        <v>17201</v>
      </c>
      <c r="E2724" t="s">
        <v>19657</v>
      </c>
      <c r="F2724" t="s">
        <v>29372</v>
      </c>
      <c r="G2724" t="s">
        <v>29380</v>
      </c>
      <c r="H2724" t="s">
        <v>29389</v>
      </c>
      <c r="I2724" t="s">
        <v>10408</v>
      </c>
      <c r="J2724" t="s">
        <v>31419</v>
      </c>
      <c r="K2724" t="s">
        <v>38514</v>
      </c>
      <c r="M2724" t="s">
        <v>39867</v>
      </c>
      <c r="N2724" t="s">
        <v>42669</v>
      </c>
      <c r="O2724" t="s">
        <v>42670</v>
      </c>
      <c r="P2724">
        <v>0</v>
      </c>
      <c r="Q2724">
        <v>0</v>
      </c>
      <c r="R2724" t="s">
        <v>42675</v>
      </c>
      <c r="S2724" t="s">
        <v>42807</v>
      </c>
      <c r="T2724" t="s">
        <v>44415</v>
      </c>
      <c r="U2724" t="s">
        <v>47101</v>
      </c>
      <c r="W2724" t="s">
        <v>39867</v>
      </c>
      <c r="X2724" t="s">
        <v>42671</v>
      </c>
    </row>
    <row r="2725" spans="1:24">
      <c r="A2725">
        <f>HYPERLINK("https://www.philgeps.gov.ph/GEPSNONPILOT/Tender/SplashBidNoticeAbstractUI.aspx?menuIndex=3&amp;refID=7197300&amp;Result=3","7197300")</f>
        <v>0</v>
      </c>
      <c r="B2725" t="s">
        <v>1051</v>
      </c>
      <c r="C2725" t="s">
        <v>6136</v>
      </c>
      <c r="D2725" t="s">
        <v>17174</v>
      </c>
      <c r="E2725" t="s">
        <v>19139</v>
      </c>
      <c r="F2725" t="s">
        <v>29372</v>
      </c>
      <c r="G2725" t="s">
        <v>29380</v>
      </c>
      <c r="H2725" t="s">
        <v>29389</v>
      </c>
      <c r="I2725" t="s">
        <v>10408</v>
      </c>
      <c r="J2725" t="s">
        <v>31400</v>
      </c>
      <c r="K2725" t="s">
        <v>38525</v>
      </c>
      <c r="M2725" t="s">
        <v>39858</v>
      </c>
      <c r="N2725" t="s">
        <v>42669</v>
      </c>
      <c r="O2725" t="s">
        <v>42670</v>
      </c>
      <c r="P2725">
        <v>0</v>
      </c>
      <c r="Q2725">
        <v>0</v>
      </c>
      <c r="R2725" t="s">
        <v>42675</v>
      </c>
      <c r="S2725" t="s">
        <v>42807</v>
      </c>
      <c r="T2725" t="s">
        <v>44357</v>
      </c>
      <c r="U2725" t="s">
        <v>47102</v>
      </c>
      <c r="W2725" t="s">
        <v>39858</v>
      </c>
      <c r="X2725" t="s">
        <v>42671</v>
      </c>
    </row>
    <row r="2726" spans="1:24">
      <c r="A2726">
        <f>HYPERLINK("https://www.philgeps.gov.ph/GEPSNONPILOT/Tender/SplashBidNoticeAbstractUI.aspx?menuIndex=3&amp;refID=7197295&amp;Result=3","7197295")</f>
        <v>0</v>
      </c>
      <c r="B2726" t="s">
        <v>1022</v>
      </c>
      <c r="C2726" t="s">
        <v>6137</v>
      </c>
      <c r="D2726" t="s">
        <v>17141</v>
      </c>
      <c r="E2726" t="s">
        <v>19658</v>
      </c>
      <c r="F2726" t="s">
        <v>29372</v>
      </c>
      <c r="G2726" t="s">
        <v>29380</v>
      </c>
      <c r="H2726" t="s">
        <v>11048</v>
      </c>
      <c r="I2726" t="s">
        <v>29409</v>
      </c>
      <c r="J2726" t="s">
        <v>31420</v>
      </c>
      <c r="K2726" t="s">
        <v>38488</v>
      </c>
      <c r="M2726" t="s">
        <v>39842</v>
      </c>
      <c r="N2726" t="s">
        <v>42669</v>
      </c>
      <c r="O2726" t="s">
        <v>42670</v>
      </c>
      <c r="P2726">
        <v>0</v>
      </c>
      <c r="Q2726">
        <v>0</v>
      </c>
      <c r="R2726" t="s">
        <v>42675</v>
      </c>
      <c r="S2726" t="s">
        <v>42807</v>
      </c>
      <c r="T2726" t="s">
        <v>44415</v>
      </c>
      <c r="U2726" t="s">
        <v>47103</v>
      </c>
      <c r="W2726" t="s">
        <v>39842</v>
      </c>
      <c r="X2726" t="s">
        <v>42671</v>
      </c>
    </row>
    <row r="2727" spans="1:24">
      <c r="A2727">
        <f>HYPERLINK("https://www.philgeps.gov.ph/GEPSNONPILOT/Tender/SplashBidNoticeAbstractUI.aspx?menuIndex=3&amp;refID=7197294&amp;Result=3","7197294")</f>
        <v>0</v>
      </c>
      <c r="B2727" t="s">
        <v>1058</v>
      </c>
      <c r="C2727" t="s">
        <v>6138</v>
      </c>
      <c r="D2727" t="s">
        <v>17141</v>
      </c>
      <c r="E2727" t="s">
        <v>6138</v>
      </c>
      <c r="F2727" t="s">
        <v>29372</v>
      </c>
      <c r="G2727" t="s">
        <v>29380</v>
      </c>
      <c r="H2727" t="s">
        <v>11048</v>
      </c>
      <c r="I2727" t="s">
        <v>4487</v>
      </c>
      <c r="J2727" t="s">
        <v>29988</v>
      </c>
      <c r="K2727" t="s">
        <v>38485</v>
      </c>
      <c r="M2727" t="s">
        <v>39865</v>
      </c>
      <c r="N2727" t="s">
        <v>42669</v>
      </c>
      <c r="O2727" t="s">
        <v>42670</v>
      </c>
      <c r="P2727">
        <v>0</v>
      </c>
      <c r="Q2727">
        <v>0</v>
      </c>
      <c r="R2727" t="s">
        <v>42675</v>
      </c>
      <c r="S2727" t="s">
        <v>42807</v>
      </c>
      <c r="T2727" t="s">
        <v>44381</v>
      </c>
      <c r="U2727" t="s">
        <v>47100</v>
      </c>
      <c r="W2727" t="s">
        <v>39865</v>
      </c>
      <c r="X2727" t="s">
        <v>42671</v>
      </c>
    </row>
    <row r="2728" spans="1:24">
      <c r="A2728">
        <f>HYPERLINK("https://www.philgeps.gov.ph/GEPSNONPILOT/Tender/SplashBidNoticeAbstractUI.aspx?menuIndex=3&amp;refID=7197292&amp;Result=3","7197292")</f>
        <v>0</v>
      </c>
      <c r="B2728" t="s">
        <v>1061</v>
      </c>
      <c r="C2728" t="s">
        <v>6139</v>
      </c>
      <c r="D2728" t="s">
        <v>17174</v>
      </c>
      <c r="E2728" t="s">
        <v>19659</v>
      </c>
      <c r="F2728" t="s">
        <v>29372</v>
      </c>
      <c r="G2728" t="s">
        <v>29380</v>
      </c>
      <c r="H2728" t="s">
        <v>11048</v>
      </c>
      <c r="I2728" t="s">
        <v>4709</v>
      </c>
      <c r="J2728" t="s">
        <v>31421</v>
      </c>
      <c r="K2728" t="s">
        <v>38485</v>
      </c>
      <c r="M2728" t="s">
        <v>39868</v>
      </c>
      <c r="N2728" t="s">
        <v>42669</v>
      </c>
      <c r="O2728" t="s">
        <v>42670</v>
      </c>
      <c r="P2728">
        <v>0</v>
      </c>
      <c r="Q2728">
        <v>0</v>
      </c>
      <c r="R2728" t="s">
        <v>42675</v>
      </c>
      <c r="S2728" t="s">
        <v>42807</v>
      </c>
      <c r="T2728" t="s">
        <v>44357</v>
      </c>
      <c r="U2728" t="s">
        <v>47104</v>
      </c>
      <c r="W2728" t="s">
        <v>39868</v>
      </c>
      <c r="X2728" t="s">
        <v>42671</v>
      </c>
    </row>
    <row r="2729" spans="1:24">
      <c r="A2729">
        <f>HYPERLINK("https://www.philgeps.gov.ph/GEPSNONPILOT/Tender/SplashBidNoticeAbstractUI.aspx?menuIndex=3&amp;refID=7197291&amp;Result=3","7197291")</f>
        <v>0</v>
      </c>
      <c r="B2729" t="s">
        <v>1014</v>
      </c>
      <c r="C2729" t="s">
        <v>6140</v>
      </c>
      <c r="E2729" t="s">
        <v>6140</v>
      </c>
      <c r="F2729" t="s">
        <v>29372</v>
      </c>
      <c r="G2729" t="s">
        <v>29379</v>
      </c>
      <c r="H2729" t="s">
        <v>11048</v>
      </c>
      <c r="I2729" t="s">
        <v>6417</v>
      </c>
      <c r="J2729" t="s">
        <v>29549</v>
      </c>
      <c r="K2729" t="s">
        <v>38491</v>
      </c>
      <c r="M2729" t="s">
        <v>39814</v>
      </c>
      <c r="N2729" t="s">
        <v>42669</v>
      </c>
      <c r="O2729" t="s">
        <v>42670</v>
      </c>
      <c r="P2729">
        <v>0</v>
      </c>
      <c r="Q2729">
        <v>0</v>
      </c>
      <c r="R2729" t="s">
        <v>42675</v>
      </c>
      <c r="S2729" t="s">
        <v>42807</v>
      </c>
      <c r="T2729" t="s">
        <v>44480</v>
      </c>
      <c r="U2729" t="s">
        <v>47105</v>
      </c>
      <c r="W2729" t="s">
        <v>39814</v>
      </c>
      <c r="X2729" t="s">
        <v>42671</v>
      </c>
    </row>
    <row r="2730" spans="1:24">
      <c r="A2730">
        <f>HYPERLINK("https://www.philgeps.gov.ph/GEPSNONPILOT/Tender/SplashBidNoticeAbstractUI.aspx?menuIndex=3&amp;refID=7197288&amp;Result=3","7197288")</f>
        <v>0</v>
      </c>
      <c r="B2730" t="s">
        <v>1022</v>
      </c>
      <c r="C2730" t="s">
        <v>6141</v>
      </c>
      <c r="D2730" t="s">
        <v>17141</v>
      </c>
      <c r="E2730" t="s">
        <v>19660</v>
      </c>
      <c r="F2730" t="s">
        <v>29372</v>
      </c>
      <c r="G2730" t="s">
        <v>29380</v>
      </c>
      <c r="H2730" t="s">
        <v>11048</v>
      </c>
      <c r="I2730" t="s">
        <v>14920</v>
      </c>
      <c r="J2730" t="s">
        <v>31422</v>
      </c>
      <c r="K2730" t="s">
        <v>38488</v>
      </c>
      <c r="M2730" t="s">
        <v>39856</v>
      </c>
      <c r="N2730" t="s">
        <v>42669</v>
      </c>
      <c r="O2730" t="s">
        <v>42670</v>
      </c>
      <c r="P2730">
        <v>0</v>
      </c>
      <c r="Q2730">
        <v>0</v>
      </c>
      <c r="R2730" t="s">
        <v>42675</v>
      </c>
      <c r="S2730" t="s">
        <v>42807</v>
      </c>
      <c r="T2730" t="s">
        <v>44597</v>
      </c>
      <c r="U2730" t="s">
        <v>47038</v>
      </c>
      <c r="W2730" t="s">
        <v>39856</v>
      </c>
      <c r="X2730" t="s">
        <v>42671</v>
      </c>
    </row>
    <row r="2731" spans="1:24">
      <c r="A2731">
        <f>HYPERLINK("https://www.philgeps.gov.ph/GEPSNONPILOT/Tender/SplashBidNoticeAbstractUI.aspx?menuIndex=3&amp;refID=7197268&amp;Result=3","7197268")</f>
        <v>0</v>
      </c>
      <c r="B2731" t="s">
        <v>1022</v>
      </c>
      <c r="C2731" t="s">
        <v>6142</v>
      </c>
      <c r="D2731" t="s">
        <v>17141</v>
      </c>
      <c r="E2731" t="s">
        <v>19661</v>
      </c>
      <c r="F2731" t="s">
        <v>29372</v>
      </c>
      <c r="G2731" t="s">
        <v>29380</v>
      </c>
      <c r="H2731" t="s">
        <v>11048</v>
      </c>
      <c r="I2731" t="s">
        <v>3670</v>
      </c>
      <c r="J2731" t="s">
        <v>31423</v>
      </c>
      <c r="K2731" t="s">
        <v>38488</v>
      </c>
      <c r="M2731" t="s">
        <v>39842</v>
      </c>
      <c r="N2731" t="s">
        <v>42669</v>
      </c>
      <c r="O2731" t="s">
        <v>42670</v>
      </c>
      <c r="P2731">
        <v>0</v>
      </c>
      <c r="Q2731">
        <v>0</v>
      </c>
      <c r="R2731" t="s">
        <v>42675</v>
      </c>
      <c r="S2731" t="s">
        <v>42807</v>
      </c>
      <c r="T2731" t="s">
        <v>44415</v>
      </c>
      <c r="U2731" t="s">
        <v>47035</v>
      </c>
      <c r="W2731" t="s">
        <v>39842</v>
      </c>
      <c r="X2731" t="s">
        <v>42671</v>
      </c>
    </row>
    <row r="2732" spans="1:24">
      <c r="A2732">
        <f>HYPERLINK("https://www.philgeps.gov.ph/GEPSNONPILOT/Tender/SplashBidNoticeAbstractUI.aspx?menuIndex=3&amp;refID=7197307&amp;Result=3","7197307")</f>
        <v>0</v>
      </c>
      <c r="B2732" t="s">
        <v>1062</v>
      </c>
      <c r="C2732" t="s">
        <v>6143</v>
      </c>
      <c r="D2732" t="s">
        <v>17188</v>
      </c>
      <c r="E2732" t="s">
        <v>19662</v>
      </c>
      <c r="F2732" t="s">
        <v>29372</v>
      </c>
      <c r="G2732" t="s">
        <v>29381</v>
      </c>
      <c r="H2732" t="s">
        <v>29389</v>
      </c>
      <c r="I2732" t="s">
        <v>10408</v>
      </c>
      <c r="J2732" t="s">
        <v>29743</v>
      </c>
      <c r="K2732" t="s">
        <v>38496</v>
      </c>
      <c r="M2732" t="s">
        <v>39869</v>
      </c>
      <c r="N2732" t="s">
        <v>42669</v>
      </c>
      <c r="O2732" t="s">
        <v>42670</v>
      </c>
      <c r="P2732">
        <v>0</v>
      </c>
      <c r="Q2732">
        <v>0</v>
      </c>
      <c r="R2732" t="s">
        <v>42675</v>
      </c>
      <c r="S2732" t="s">
        <v>42807</v>
      </c>
      <c r="T2732" t="s">
        <v>44480</v>
      </c>
      <c r="U2732" t="s">
        <v>47106</v>
      </c>
      <c r="W2732" t="s">
        <v>39869</v>
      </c>
      <c r="X2732" t="s">
        <v>42671</v>
      </c>
    </row>
    <row r="2733" spans="1:24">
      <c r="A2733">
        <f>HYPERLINK("https://www.philgeps.gov.ph/GEPSNONPILOT/Tender/SplashBidNoticeAbstractUI.aspx?menuIndex=3&amp;refID=7197293&amp;Result=3","7197293")</f>
        <v>0</v>
      </c>
      <c r="B2733" t="s">
        <v>1051</v>
      </c>
      <c r="C2733" t="s">
        <v>6144</v>
      </c>
      <c r="D2733" t="s">
        <v>17174</v>
      </c>
      <c r="E2733" t="s">
        <v>19278</v>
      </c>
      <c r="F2733" t="s">
        <v>29372</v>
      </c>
      <c r="G2733" t="s">
        <v>29380</v>
      </c>
      <c r="H2733" t="s">
        <v>29389</v>
      </c>
      <c r="I2733" t="s">
        <v>10408</v>
      </c>
      <c r="J2733" t="s">
        <v>31400</v>
      </c>
      <c r="K2733" t="s">
        <v>38525</v>
      </c>
      <c r="M2733" t="s">
        <v>39858</v>
      </c>
      <c r="N2733" t="s">
        <v>42669</v>
      </c>
      <c r="O2733" t="s">
        <v>42670</v>
      </c>
      <c r="P2733">
        <v>0</v>
      </c>
      <c r="Q2733">
        <v>0</v>
      </c>
      <c r="R2733" t="s">
        <v>42675</v>
      </c>
      <c r="S2733" t="s">
        <v>42807</v>
      </c>
      <c r="T2733" t="s">
        <v>44357</v>
      </c>
      <c r="U2733" t="s">
        <v>47107</v>
      </c>
      <c r="W2733" t="s">
        <v>39858</v>
      </c>
      <c r="X2733" t="s">
        <v>42671</v>
      </c>
    </row>
    <row r="2734" spans="1:24">
      <c r="A2734">
        <f>HYPERLINK("https://www.philgeps.gov.ph/GEPSNONPILOT/Tender/SplashBidNoticeAbstractUI.aspx?menuIndex=3&amp;refID=7197327&amp;Result=3","7197327")</f>
        <v>0</v>
      </c>
      <c r="B2734" t="s">
        <v>1063</v>
      </c>
      <c r="C2734" t="s">
        <v>6145</v>
      </c>
      <c r="D2734" t="s">
        <v>17205</v>
      </c>
      <c r="E2734" t="s">
        <v>19663</v>
      </c>
      <c r="F2734" t="s">
        <v>29372</v>
      </c>
      <c r="G2734" t="s">
        <v>29380</v>
      </c>
      <c r="H2734" t="s">
        <v>29389</v>
      </c>
      <c r="I2734" t="s">
        <v>10408</v>
      </c>
      <c r="J2734" t="s">
        <v>31424</v>
      </c>
      <c r="K2734" t="s">
        <v>38485</v>
      </c>
      <c r="L2734" t="s">
        <v>1063</v>
      </c>
      <c r="M2734" t="s">
        <v>39870</v>
      </c>
      <c r="N2734" t="s">
        <v>42669</v>
      </c>
      <c r="O2734" t="s">
        <v>42670</v>
      </c>
      <c r="P2734">
        <v>0</v>
      </c>
      <c r="Q2734">
        <v>0</v>
      </c>
      <c r="R2734" t="s">
        <v>42675</v>
      </c>
      <c r="S2734" t="s">
        <v>42807</v>
      </c>
      <c r="T2734" t="s">
        <v>44568</v>
      </c>
      <c r="U2734" t="s">
        <v>47108</v>
      </c>
      <c r="V2734" t="s">
        <v>56618</v>
      </c>
      <c r="W2734" t="s">
        <v>39870</v>
      </c>
      <c r="X2734" t="s">
        <v>42671</v>
      </c>
    </row>
    <row r="2735" spans="1:24">
      <c r="A2735">
        <f>HYPERLINK("https://www.philgeps.gov.ph/GEPSNONPILOT/Tender/SplashBidNoticeAbstractUI.aspx?menuIndex=3&amp;refID=7197290&amp;Result=3","7197290")</f>
        <v>0</v>
      </c>
      <c r="B2735" t="s">
        <v>1054</v>
      </c>
      <c r="C2735" t="s">
        <v>6146</v>
      </c>
      <c r="D2735" t="s">
        <v>17153</v>
      </c>
      <c r="E2735" t="s">
        <v>19664</v>
      </c>
      <c r="F2735" t="s">
        <v>29372</v>
      </c>
      <c r="G2735" t="s">
        <v>29379</v>
      </c>
      <c r="H2735" t="s">
        <v>11048</v>
      </c>
      <c r="I2735" t="s">
        <v>3839</v>
      </c>
      <c r="J2735" t="s">
        <v>31425</v>
      </c>
      <c r="K2735" t="s">
        <v>38490</v>
      </c>
      <c r="M2735" t="s">
        <v>39861</v>
      </c>
      <c r="N2735" t="s">
        <v>42669</v>
      </c>
      <c r="O2735" t="s">
        <v>42670</v>
      </c>
      <c r="P2735">
        <v>0</v>
      </c>
      <c r="Q2735">
        <v>0</v>
      </c>
      <c r="R2735" t="s">
        <v>42675</v>
      </c>
      <c r="S2735" t="s">
        <v>42807</v>
      </c>
      <c r="T2735" t="s">
        <v>44607</v>
      </c>
      <c r="U2735" t="s">
        <v>47109</v>
      </c>
      <c r="W2735" t="s">
        <v>39861</v>
      </c>
      <c r="X2735" t="s">
        <v>42671</v>
      </c>
    </row>
    <row r="2736" spans="1:24">
      <c r="A2736">
        <f>HYPERLINK("https://www.philgeps.gov.ph/GEPSNONPILOT/Tender/SplashBidNoticeAbstractUI.aspx?menuIndex=3&amp;refID=7197326&amp;Result=3","7197326")</f>
        <v>0</v>
      </c>
      <c r="B2736" t="s">
        <v>1058</v>
      </c>
      <c r="C2736" t="s">
        <v>6147</v>
      </c>
      <c r="D2736" t="s">
        <v>17141</v>
      </c>
      <c r="E2736" t="s">
        <v>6147</v>
      </c>
      <c r="F2736" t="s">
        <v>29372</v>
      </c>
      <c r="G2736" t="s">
        <v>29380</v>
      </c>
      <c r="H2736" t="s">
        <v>11048</v>
      </c>
      <c r="I2736" t="s">
        <v>29433</v>
      </c>
      <c r="J2736" t="s">
        <v>31426</v>
      </c>
      <c r="K2736" t="s">
        <v>38485</v>
      </c>
      <c r="M2736" t="s">
        <v>39865</v>
      </c>
      <c r="N2736" t="s">
        <v>42669</v>
      </c>
      <c r="O2736" t="s">
        <v>42670</v>
      </c>
      <c r="P2736">
        <v>0</v>
      </c>
      <c r="Q2736">
        <v>0</v>
      </c>
      <c r="R2736" t="s">
        <v>42675</v>
      </c>
      <c r="S2736" t="s">
        <v>42807</v>
      </c>
      <c r="T2736" t="s">
        <v>44381</v>
      </c>
      <c r="U2736" t="s">
        <v>47110</v>
      </c>
      <c r="W2736" t="s">
        <v>39865</v>
      </c>
      <c r="X2736" t="s">
        <v>42671</v>
      </c>
    </row>
    <row r="2737" spans="1:24">
      <c r="A2737">
        <f>HYPERLINK("https://www.philgeps.gov.ph/GEPSNONPILOT/Tender/SplashBidNoticeAbstractUI.aspx?menuIndex=3&amp;refID=7197289&amp;Result=3","7197289")</f>
        <v>0</v>
      </c>
      <c r="B2737" t="s">
        <v>1022</v>
      </c>
      <c r="C2737" t="s">
        <v>6148</v>
      </c>
      <c r="D2737" t="s">
        <v>17141</v>
      </c>
      <c r="E2737" t="s">
        <v>19665</v>
      </c>
      <c r="F2737" t="s">
        <v>29372</v>
      </c>
      <c r="G2737" t="s">
        <v>29380</v>
      </c>
      <c r="H2737" t="s">
        <v>11048</v>
      </c>
      <c r="I2737" t="s">
        <v>3670</v>
      </c>
      <c r="J2737" t="s">
        <v>30161</v>
      </c>
      <c r="K2737" t="s">
        <v>38488</v>
      </c>
      <c r="M2737" t="s">
        <v>39842</v>
      </c>
      <c r="N2737" t="s">
        <v>42669</v>
      </c>
      <c r="O2737" t="s">
        <v>42670</v>
      </c>
      <c r="P2737">
        <v>0</v>
      </c>
      <c r="Q2737">
        <v>0</v>
      </c>
      <c r="R2737" t="s">
        <v>42675</v>
      </c>
      <c r="S2737" t="s">
        <v>42807</v>
      </c>
      <c r="T2737" t="s">
        <v>44415</v>
      </c>
      <c r="U2737" t="s">
        <v>47035</v>
      </c>
      <c r="W2737" t="s">
        <v>39842</v>
      </c>
      <c r="X2737" t="s">
        <v>42671</v>
      </c>
    </row>
    <row r="2738" spans="1:24">
      <c r="A2738">
        <f>HYPERLINK("https://www.philgeps.gov.ph/GEPSNONPILOT/Tender/SplashBidNoticeAbstractUI.aspx?menuIndex=3&amp;refID=7197324&amp;Result=3","7197324")</f>
        <v>0</v>
      </c>
      <c r="B2738" t="s">
        <v>1051</v>
      </c>
      <c r="C2738" t="s">
        <v>6149</v>
      </c>
      <c r="D2738" t="s">
        <v>17174</v>
      </c>
      <c r="E2738" t="s">
        <v>19666</v>
      </c>
      <c r="F2738" t="s">
        <v>29372</v>
      </c>
      <c r="G2738" t="s">
        <v>29380</v>
      </c>
      <c r="H2738" t="s">
        <v>29389</v>
      </c>
      <c r="I2738" t="s">
        <v>10408</v>
      </c>
      <c r="J2738" t="s">
        <v>31400</v>
      </c>
      <c r="K2738" t="s">
        <v>38525</v>
      </c>
      <c r="M2738" t="s">
        <v>39858</v>
      </c>
      <c r="N2738" t="s">
        <v>42669</v>
      </c>
      <c r="O2738" t="s">
        <v>42670</v>
      </c>
      <c r="P2738">
        <v>0</v>
      </c>
      <c r="Q2738">
        <v>0</v>
      </c>
      <c r="R2738" t="s">
        <v>42675</v>
      </c>
      <c r="S2738" t="s">
        <v>42807</v>
      </c>
      <c r="T2738" t="s">
        <v>44357</v>
      </c>
      <c r="U2738" t="s">
        <v>47111</v>
      </c>
      <c r="W2738" t="s">
        <v>39858</v>
      </c>
      <c r="X2738" t="s">
        <v>42671</v>
      </c>
    </row>
    <row r="2739" spans="1:24">
      <c r="A2739">
        <f>HYPERLINK("https://www.philgeps.gov.ph/GEPSNONPILOT/Tender/SplashBidNoticeAbstractUI.aspx?menuIndex=3&amp;refID=7197323&amp;Result=3","7197323")</f>
        <v>0</v>
      </c>
      <c r="B2739" t="s">
        <v>1064</v>
      </c>
      <c r="C2739" t="s">
        <v>6150</v>
      </c>
      <c r="D2739" t="s">
        <v>17162</v>
      </c>
      <c r="E2739" t="s">
        <v>17480</v>
      </c>
      <c r="F2739" t="s">
        <v>29372</v>
      </c>
      <c r="G2739" t="s">
        <v>29380</v>
      </c>
      <c r="H2739" t="s">
        <v>11048</v>
      </c>
      <c r="I2739" t="s">
        <v>8614</v>
      </c>
      <c r="J2739" t="s">
        <v>29823</v>
      </c>
      <c r="K2739" t="s">
        <v>38518</v>
      </c>
      <c r="M2739" t="s">
        <v>39871</v>
      </c>
      <c r="N2739" t="s">
        <v>42669</v>
      </c>
      <c r="O2739" t="s">
        <v>42670</v>
      </c>
      <c r="P2739">
        <v>0</v>
      </c>
      <c r="Q2739">
        <v>0</v>
      </c>
      <c r="R2739" t="s">
        <v>42675</v>
      </c>
      <c r="S2739" t="s">
        <v>42807</v>
      </c>
      <c r="T2739" t="s">
        <v>44453</v>
      </c>
      <c r="U2739" t="s">
        <v>47112</v>
      </c>
      <c r="W2739" t="s">
        <v>39871</v>
      </c>
      <c r="X2739" t="s">
        <v>42671</v>
      </c>
    </row>
    <row r="2740" spans="1:24">
      <c r="A2740">
        <f>HYPERLINK("https://www.philgeps.gov.ph/GEPSNONPILOT/Tender/SplashBidNoticeAbstractUI.aspx?menuIndex=3&amp;refID=7197322&amp;Result=3","7197322")</f>
        <v>0</v>
      </c>
      <c r="B2740" t="s">
        <v>1022</v>
      </c>
      <c r="C2740" t="s">
        <v>6151</v>
      </c>
      <c r="D2740" t="s">
        <v>17141</v>
      </c>
      <c r="E2740" t="s">
        <v>19667</v>
      </c>
      <c r="F2740" t="s">
        <v>29372</v>
      </c>
      <c r="G2740" t="s">
        <v>29380</v>
      </c>
      <c r="H2740" t="s">
        <v>11048</v>
      </c>
      <c r="I2740" t="s">
        <v>3670</v>
      </c>
      <c r="J2740" t="s">
        <v>31427</v>
      </c>
      <c r="K2740" t="s">
        <v>38488</v>
      </c>
      <c r="M2740" t="s">
        <v>39856</v>
      </c>
      <c r="N2740" t="s">
        <v>42669</v>
      </c>
      <c r="O2740" t="s">
        <v>42670</v>
      </c>
      <c r="P2740">
        <v>0</v>
      </c>
      <c r="Q2740">
        <v>0</v>
      </c>
      <c r="R2740" t="s">
        <v>42675</v>
      </c>
      <c r="S2740" t="s">
        <v>42807</v>
      </c>
      <c r="T2740" t="s">
        <v>44597</v>
      </c>
      <c r="U2740" t="s">
        <v>47035</v>
      </c>
      <c r="W2740" t="s">
        <v>39856</v>
      </c>
      <c r="X2740" t="s">
        <v>42671</v>
      </c>
    </row>
    <row r="2741" spans="1:24">
      <c r="A2741">
        <f>HYPERLINK("https://www.philgeps.gov.ph/GEPSNONPILOT/Tender/SplashBidNoticeAbstractUI.aspx?menuIndex=3&amp;refID=7197321&amp;Result=3","7197321")</f>
        <v>0</v>
      </c>
      <c r="B2741" t="s">
        <v>1058</v>
      </c>
      <c r="C2741" t="s">
        <v>6152</v>
      </c>
      <c r="D2741" t="s">
        <v>17141</v>
      </c>
      <c r="E2741" t="s">
        <v>6152</v>
      </c>
      <c r="F2741" t="s">
        <v>29372</v>
      </c>
      <c r="G2741" t="s">
        <v>29380</v>
      </c>
      <c r="H2741" t="s">
        <v>11048</v>
      </c>
      <c r="I2741" t="s">
        <v>29433</v>
      </c>
      <c r="J2741" t="s">
        <v>31428</v>
      </c>
      <c r="K2741" t="s">
        <v>38485</v>
      </c>
      <c r="M2741" t="s">
        <v>39865</v>
      </c>
      <c r="N2741" t="s">
        <v>42669</v>
      </c>
      <c r="O2741" t="s">
        <v>42670</v>
      </c>
      <c r="P2741">
        <v>0</v>
      </c>
      <c r="Q2741">
        <v>0</v>
      </c>
      <c r="R2741" t="s">
        <v>42675</v>
      </c>
      <c r="S2741" t="s">
        <v>42807</v>
      </c>
      <c r="T2741" t="s">
        <v>44608</v>
      </c>
      <c r="U2741" t="s">
        <v>47110</v>
      </c>
      <c r="W2741" t="s">
        <v>39865</v>
      </c>
      <c r="X2741" t="s">
        <v>42671</v>
      </c>
    </row>
    <row r="2742" spans="1:24">
      <c r="A2742">
        <f>HYPERLINK("https://www.philgeps.gov.ph/GEPSNONPILOT/Tender/SplashBidNoticeAbstractUI.aspx?menuIndex=3&amp;refID=7197317&amp;Result=3","7197317")</f>
        <v>0</v>
      </c>
      <c r="B2742" t="s">
        <v>92</v>
      </c>
      <c r="C2742" t="s">
        <v>6153</v>
      </c>
      <c r="D2742" t="s">
        <v>17141</v>
      </c>
      <c r="E2742" t="s">
        <v>19668</v>
      </c>
      <c r="F2742" t="s">
        <v>29372</v>
      </c>
      <c r="G2742" t="s">
        <v>29380</v>
      </c>
      <c r="H2742" t="s">
        <v>11048</v>
      </c>
      <c r="I2742" t="s">
        <v>29400</v>
      </c>
      <c r="J2742" t="s">
        <v>31429</v>
      </c>
      <c r="K2742" t="s">
        <v>38490</v>
      </c>
      <c r="M2742" t="s">
        <v>39854</v>
      </c>
      <c r="N2742" t="s">
        <v>42669</v>
      </c>
      <c r="O2742" t="s">
        <v>42670</v>
      </c>
      <c r="P2742">
        <v>0</v>
      </c>
      <c r="Q2742">
        <v>0</v>
      </c>
      <c r="R2742" t="s">
        <v>42675</v>
      </c>
      <c r="S2742" t="s">
        <v>42807</v>
      </c>
      <c r="T2742" t="s">
        <v>44609</v>
      </c>
      <c r="U2742" t="s">
        <v>47113</v>
      </c>
      <c r="W2742" t="s">
        <v>39854</v>
      </c>
      <c r="X2742" t="s">
        <v>42671</v>
      </c>
    </row>
    <row r="2743" spans="1:24">
      <c r="A2743">
        <f>HYPERLINK("https://www.philgeps.gov.ph/GEPSNONPILOT/Tender/SplashBidNoticeAbstractUI.aspx?menuIndex=3&amp;refID=7197316&amp;Result=3","7197316")</f>
        <v>0</v>
      </c>
      <c r="B2743" t="s">
        <v>1051</v>
      </c>
      <c r="C2743" t="s">
        <v>6154</v>
      </c>
      <c r="D2743" t="s">
        <v>17174</v>
      </c>
      <c r="E2743" t="s">
        <v>19666</v>
      </c>
      <c r="F2743" t="s">
        <v>29372</v>
      </c>
      <c r="G2743" t="s">
        <v>29380</v>
      </c>
      <c r="H2743" t="s">
        <v>29389</v>
      </c>
      <c r="I2743" t="s">
        <v>10408</v>
      </c>
      <c r="J2743" t="s">
        <v>31430</v>
      </c>
      <c r="K2743" t="s">
        <v>38525</v>
      </c>
      <c r="M2743" t="s">
        <v>39858</v>
      </c>
      <c r="N2743" t="s">
        <v>42669</v>
      </c>
      <c r="O2743" t="s">
        <v>42670</v>
      </c>
      <c r="P2743">
        <v>0</v>
      </c>
      <c r="Q2743">
        <v>0</v>
      </c>
      <c r="R2743" t="s">
        <v>42675</v>
      </c>
      <c r="S2743" t="s">
        <v>42807</v>
      </c>
      <c r="T2743" t="s">
        <v>44357</v>
      </c>
      <c r="U2743" t="s">
        <v>47114</v>
      </c>
      <c r="W2743" t="s">
        <v>39858</v>
      </c>
      <c r="X2743" t="s">
        <v>42671</v>
      </c>
    </row>
    <row r="2744" spans="1:24">
      <c r="A2744">
        <f>HYPERLINK("https://www.philgeps.gov.ph/GEPSNONPILOT/Tender/SplashBidNoticeAbstractUI.aspx?menuIndex=3&amp;refID=7197315&amp;Result=3","7197315")</f>
        <v>0</v>
      </c>
      <c r="B2744" t="s">
        <v>1022</v>
      </c>
      <c r="C2744" t="s">
        <v>6155</v>
      </c>
      <c r="D2744" t="s">
        <v>17141</v>
      </c>
      <c r="E2744" t="s">
        <v>19669</v>
      </c>
      <c r="F2744" t="s">
        <v>29372</v>
      </c>
      <c r="G2744" t="s">
        <v>29380</v>
      </c>
      <c r="H2744" t="s">
        <v>11048</v>
      </c>
      <c r="I2744" t="s">
        <v>3670</v>
      </c>
      <c r="J2744" t="s">
        <v>29543</v>
      </c>
      <c r="K2744" t="s">
        <v>38488</v>
      </c>
      <c r="M2744" t="s">
        <v>39856</v>
      </c>
      <c r="N2744" t="s">
        <v>42669</v>
      </c>
      <c r="O2744" t="s">
        <v>42670</v>
      </c>
      <c r="P2744">
        <v>0</v>
      </c>
      <c r="Q2744">
        <v>0</v>
      </c>
      <c r="R2744" t="s">
        <v>42675</v>
      </c>
      <c r="S2744" t="s">
        <v>42807</v>
      </c>
      <c r="T2744" t="s">
        <v>44597</v>
      </c>
      <c r="U2744" t="s">
        <v>47035</v>
      </c>
      <c r="W2744" t="s">
        <v>39856</v>
      </c>
      <c r="X2744" t="s">
        <v>42671</v>
      </c>
    </row>
    <row r="2745" spans="1:24">
      <c r="A2745">
        <f>HYPERLINK("https://www.philgeps.gov.ph/GEPSNONPILOT/Tender/SplashBidNoticeAbstractUI.aspx?menuIndex=3&amp;refID=7197313&amp;Result=3","7197313")</f>
        <v>0</v>
      </c>
      <c r="B2745" t="s">
        <v>1055</v>
      </c>
      <c r="C2745" t="s">
        <v>6156</v>
      </c>
      <c r="D2745" t="s">
        <v>17176</v>
      </c>
      <c r="E2745" t="s">
        <v>19670</v>
      </c>
      <c r="F2745" t="s">
        <v>29372</v>
      </c>
      <c r="G2745" t="s">
        <v>29379</v>
      </c>
      <c r="H2745" t="s">
        <v>11048</v>
      </c>
      <c r="I2745" t="s">
        <v>3839</v>
      </c>
      <c r="J2745" t="s">
        <v>29680</v>
      </c>
      <c r="K2745" t="s">
        <v>38491</v>
      </c>
      <c r="M2745" t="s">
        <v>39862</v>
      </c>
      <c r="N2745" t="s">
        <v>42669</v>
      </c>
      <c r="O2745" t="s">
        <v>42670</v>
      </c>
      <c r="P2745">
        <v>0</v>
      </c>
      <c r="Q2745">
        <v>0</v>
      </c>
      <c r="R2745" t="s">
        <v>42675</v>
      </c>
      <c r="S2745" t="s">
        <v>42807</v>
      </c>
      <c r="T2745" t="s">
        <v>44419</v>
      </c>
      <c r="U2745" t="s">
        <v>47115</v>
      </c>
      <c r="V2745" t="s">
        <v>56616</v>
      </c>
      <c r="W2745" t="s">
        <v>39862</v>
      </c>
      <c r="X2745" t="s">
        <v>42671</v>
      </c>
    </row>
    <row r="2746" spans="1:24">
      <c r="A2746">
        <f>HYPERLINK("https://www.philgeps.gov.ph/GEPSNONPILOT/Tender/SplashBidNoticeAbstractUI.aspx?menuIndex=3&amp;refID=7197325&amp;Result=3","7197325")</f>
        <v>0</v>
      </c>
      <c r="B2746" t="s">
        <v>285</v>
      </c>
      <c r="C2746" t="s">
        <v>6157</v>
      </c>
      <c r="E2746" t="s">
        <v>19671</v>
      </c>
      <c r="F2746" t="s">
        <v>29372</v>
      </c>
      <c r="G2746" t="s">
        <v>29380</v>
      </c>
      <c r="H2746" t="s">
        <v>11048</v>
      </c>
      <c r="I2746" t="s">
        <v>3670</v>
      </c>
      <c r="J2746" t="s">
        <v>31431</v>
      </c>
      <c r="K2746" t="s">
        <v>38490</v>
      </c>
      <c r="M2746" t="s">
        <v>39044</v>
      </c>
      <c r="N2746" t="s">
        <v>42669</v>
      </c>
      <c r="O2746" t="s">
        <v>42670</v>
      </c>
      <c r="P2746">
        <v>0</v>
      </c>
      <c r="Q2746">
        <v>0</v>
      </c>
      <c r="R2746" t="s">
        <v>42675</v>
      </c>
      <c r="S2746" t="s">
        <v>42807</v>
      </c>
      <c r="T2746" t="s">
        <v>44364</v>
      </c>
      <c r="U2746" t="s">
        <v>45477</v>
      </c>
      <c r="W2746" t="s">
        <v>39044</v>
      </c>
      <c r="X2746" t="s">
        <v>42671</v>
      </c>
    </row>
    <row r="2747" spans="1:24">
      <c r="A2747">
        <f>HYPERLINK("https://www.philgeps.gov.ph/GEPSNONPILOT/Tender/SplashBidNoticeAbstractUI.aspx?menuIndex=3&amp;refID=7197311&amp;Result=3","7197311")</f>
        <v>0</v>
      </c>
      <c r="B2747" t="s">
        <v>1059</v>
      </c>
      <c r="C2747" t="s">
        <v>6158</v>
      </c>
      <c r="D2747" t="s">
        <v>17160</v>
      </c>
      <c r="E2747" t="s">
        <v>19672</v>
      </c>
      <c r="F2747" t="s">
        <v>29372</v>
      </c>
      <c r="G2747" t="s">
        <v>29379</v>
      </c>
      <c r="H2747" t="s">
        <v>11048</v>
      </c>
      <c r="I2747" t="s">
        <v>29414</v>
      </c>
      <c r="J2747" t="s">
        <v>29685</v>
      </c>
      <c r="K2747" t="s">
        <v>38534</v>
      </c>
      <c r="M2747" t="s">
        <v>39866</v>
      </c>
      <c r="N2747" t="s">
        <v>42669</v>
      </c>
      <c r="O2747" t="s">
        <v>42670</v>
      </c>
      <c r="P2747">
        <v>0</v>
      </c>
      <c r="Q2747">
        <v>0</v>
      </c>
      <c r="R2747" t="s">
        <v>42675</v>
      </c>
      <c r="S2747" t="s">
        <v>42807</v>
      </c>
      <c r="T2747" t="s">
        <v>44456</v>
      </c>
      <c r="U2747" t="s">
        <v>47099</v>
      </c>
      <c r="W2747" t="s">
        <v>39866</v>
      </c>
      <c r="X2747" t="s">
        <v>42671</v>
      </c>
    </row>
    <row r="2748" spans="1:24">
      <c r="A2748">
        <f>HYPERLINK("https://www.philgeps.gov.ph/GEPSNONPILOT/Tender/SplashBidNoticeAbstractUI.aspx?menuIndex=3&amp;refID=7197320&amp;Result=3","7197320")</f>
        <v>0</v>
      </c>
      <c r="B2748" t="s">
        <v>1047</v>
      </c>
      <c r="C2748" t="s">
        <v>6159</v>
      </c>
      <c r="D2748" t="s">
        <v>17141</v>
      </c>
      <c r="E2748" t="s">
        <v>19673</v>
      </c>
      <c r="F2748" t="s">
        <v>29372</v>
      </c>
      <c r="G2748" t="s">
        <v>29379</v>
      </c>
      <c r="H2748" t="s">
        <v>11048</v>
      </c>
      <c r="I2748" t="s">
        <v>29396</v>
      </c>
      <c r="J2748" t="s">
        <v>31432</v>
      </c>
      <c r="K2748" t="s">
        <v>38491</v>
      </c>
      <c r="M2748" t="s">
        <v>39852</v>
      </c>
      <c r="N2748" t="s">
        <v>42669</v>
      </c>
      <c r="O2748" t="s">
        <v>42670</v>
      </c>
      <c r="P2748">
        <v>0</v>
      </c>
      <c r="Q2748">
        <v>0</v>
      </c>
      <c r="R2748" t="s">
        <v>42675</v>
      </c>
      <c r="S2748" t="s">
        <v>42807</v>
      </c>
      <c r="T2748" t="s">
        <v>44470</v>
      </c>
      <c r="U2748" t="s">
        <v>47116</v>
      </c>
      <c r="W2748" t="s">
        <v>39852</v>
      </c>
      <c r="X2748" t="s">
        <v>42671</v>
      </c>
    </row>
    <row r="2749" spans="1:24">
      <c r="A2749">
        <f>HYPERLINK("https://www.philgeps.gov.ph/GEPSNONPILOT/Tender/SplashBidNoticeAbstractUI.aspx?menuIndex=3&amp;refID=7197314&amp;Result=3","7197314")</f>
        <v>0</v>
      </c>
      <c r="B2749" t="s">
        <v>1053</v>
      </c>
      <c r="C2749" t="s">
        <v>6160</v>
      </c>
      <c r="D2749" t="s">
        <v>17144</v>
      </c>
      <c r="E2749" t="s">
        <v>19674</v>
      </c>
      <c r="F2749" t="s">
        <v>29372</v>
      </c>
      <c r="G2749" t="s">
        <v>29380</v>
      </c>
      <c r="H2749" t="s">
        <v>11048</v>
      </c>
      <c r="I2749" t="s">
        <v>29415</v>
      </c>
      <c r="J2749" t="s">
        <v>29740</v>
      </c>
      <c r="K2749" t="s">
        <v>38503</v>
      </c>
      <c r="M2749" t="s">
        <v>39860</v>
      </c>
      <c r="N2749" t="s">
        <v>42669</v>
      </c>
      <c r="O2749" t="s">
        <v>42670</v>
      </c>
      <c r="P2749">
        <v>0</v>
      </c>
      <c r="Q2749">
        <v>0</v>
      </c>
      <c r="R2749" t="s">
        <v>42675</v>
      </c>
      <c r="S2749" t="s">
        <v>42807</v>
      </c>
      <c r="T2749" t="s">
        <v>44606</v>
      </c>
      <c r="U2749" t="s">
        <v>47117</v>
      </c>
      <c r="W2749" t="s">
        <v>39860</v>
      </c>
      <c r="X2749" t="s">
        <v>42671</v>
      </c>
    </row>
    <row r="2750" spans="1:24">
      <c r="A2750">
        <f>HYPERLINK("https://www.philgeps.gov.ph/GEPSNONPILOT/Tender/SplashBidNoticeAbstractUI.aspx?menuIndex=3&amp;refID=7197310&amp;Result=3","7197310")</f>
        <v>0</v>
      </c>
      <c r="B2750" t="s">
        <v>1065</v>
      </c>
      <c r="C2750" t="s">
        <v>6161</v>
      </c>
      <c r="D2750" t="s">
        <v>17141</v>
      </c>
      <c r="E2750" t="s">
        <v>19675</v>
      </c>
      <c r="F2750" t="s">
        <v>29372</v>
      </c>
      <c r="G2750" t="s">
        <v>29380</v>
      </c>
      <c r="H2750" t="s">
        <v>11048</v>
      </c>
      <c r="I2750" t="s">
        <v>3695</v>
      </c>
      <c r="J2750" t="s">
        <v>29555</v>
      </c>
      <c r="K2750" t="s">
        <v>38491</v>
      </c>
      <c r="M2750" t="s">
        <v>39872</v>
      </c>
      <c r="N2750" t="s">
        <v>42669</v>
      </c>
      <c r="O2750" t="s">
        <v>42670</v>
      </c>
      <c r="P2750">
        <v>0</v>
      </c>
      <c r="Q2750">
        <v>0</v>
      </c>
      <c r="R2750" t="s">
        <v>42675</v>
      </c>
      <c r="S2750" t="s">
        <v>42807</v>
      </c>
      <c r="T2750" t="s">
        <v>44373</v>
      </c>
      <c r="U2750" t="s">
        <v>47118</v>
      </c>
      <c r="W2750" t="s">
        <v>39872</v>
      </c>
      <c r="X2750" t="s">
        <v>42671</v>
      </c>
    </row>
    <row r="2751" spans="1:24">
      <c r="A2751">
        <f>HYPERLINK("https://www.philgeps.gov.ph/GEPSNONPILOT/Tender/SplashBidNoticeAbstractUI.aspx?menuIndex=3&amp;refID=7197318&amp;Result=3","7197318")</f>
        <v>0</v>
      </c>
      <c r="B2751" t="s">
        <v>1058</v>
      </c>
      <c r="C2751" t="s">
        <v>6162</v>
      </c>
      <c r="D2751" t="s">
        <v>17141</v>
      </c>
      <c r="E2751" t="s">
        <v>19676</v>
      </c>
      <c r="F2751" t="s">
        <v>29372</v>
      </c>
      <c r="G2751" t="s">
        <v>29380</v>
      </c>
      <c r="H2751" t="s">
        <v>11048</v>
      </c>
      <c r="I2751" t="s">
        <v>29433</v>
      </c>
      <c r="J2751" t="s">
        <v>31361</v>
      </c>
      <c r="K2751" t="s">
        <v>38485</v>
      </c>
      <c r="M2751" t="s">
        <v>39865</v>
      </c>
      <c r="N2751" t="s">
        <v>42669</v>
      </c>
      <c r="O2751" t="s">
        <v>42670</v>
      </c>
      <c r="P2751">
        <v>0</v>
      </c>
      <c r="Q2751">
        <v>0</v>
      </c>
      <c r="R2751" t="s">
        <v>42675</v>
      </c>
      <c r="S2751" t="s">
        <v>42807</v>
      </c>
      <c r="T2751" t="s">
        <v>44381</v>
      </c>
      <c r="U2751" t="s">
        <v>47119</v>
      </c>
      <c r="W2751" t="s">
        <v>39865</v>
      </c>
      <c r="X2751" t="s">
        <v>42671</v>
      </c>
    </row>
    <row r="2752" spans="1:24">
      <c r="A2752">
        <f>HYPERLINK("https://www.philgeps.gov.ph/GEPSNONPILOT/Tender/SplashBidNoticeAbstractUI.aspx?menuIndex=3&amp;refID=7197308&amp;Result=3","7197308")</f>
        <v>0</v>
      </c>
      <c r="B2752" t="s">
        <v>1043</v>
      </c>
      <c r="C2752" t="s">
        <v>6163</v>
      </c>
      <c r="E2752" t="s">
        <v>19677</v>
      </c>
      <c r="F2752" t="s">
        <v>29372</v>
      </c>
      <c r="G2752" t="s">
        <v>29380</v>
      </c>
      <c r="H2752" t="s">
        <v>29389</v>
      </c>
      <c r="I2752" t="s">
        <v>10408</v>
      </c>
      <c r="J2752" t="s">
        <v>31433</v>
      </c>
      <c r="K2752" t="s">
        <v>38592</v>
      </c>
      <c r="M2752" t="s">
        <v>39848</v>
      </c>
      <c r="N2752" t="s">
        <v>42669</v>
      </c>
      <c r="O2752" t="s">
        <v>42670</v>
      </c>
      <c r="P2752">
        <v>0</v>
      </c>
      <c r="Q2752">
        <v>0</v>
      </c>
      <c r="R2752" t="s">
        <v>42675</v>
      </c>
      <c r="S2752" t="s">
        <v>42807</v>
      </c>
      <c r="T2752" t="s">
        <v>44379</v>
      </c>
      <c r="U2752" t="s">
        <v>47120</v>
      </c>
      <c r="W2752" t="s">
        <v>39848</v>
      </c>
      <c r="X2752" t="s">
        <v>42671</v>
      </c>
    </row>
    <row r="2753" spans="1:24">
      <c r="A2753">
        <f>HYPERLINK("https://www.philgeps.gov.ph/GEPSNONPILOT/Tender/SplashBidNoticeAbstractUI.aspx?menuIndex=3&amp;refID=7197312&amp;Result=3","7197312")</f>
        <v>0</v>
      </c>
      <c r="B2753" t="s">
        <v>1066</v>
      </c>
      <c r="C2753" t="s">
        <v>6164</v>
      </c>
      <c r="D2753" t="s">
        <v>17141</v>
      </c>
      <c r="E2753" t="s">
        <v>19678</v>
      </c>
      <c r="F2753" t="s">
        <v>29372</v>
      </c>
      <c r="G2753" t="s">
        <v>29379</v>
      </c>
      <c r="H2753" t="s">
        <v>11048</v>
      </c>
      <c r="I2753" t="s">
        <v>29424</v>
      </c>
      <c r="J2753" t="s">
        <v>29642</v>
      </c>
      <c r="K2753" t="s">
        <v>38490</v>
      </c>
      <c r="M2753" t="s">
        <v>39873</v>
      </c>
      <c r="N2753" t="s">
        <v>42669</v>
      </c>
      <c r="O2753" t="s">
        <v>42670</v>
      </c>
      <c r="P2753">
        <v>0</v>
      </c>
      <c r="Q2753">
        <v>0</v>
      </c>
      <c r="R2753" t="s">
        <v>42675</v>
      </c>
      <c r="S2753" t="s">
        <v>42807</v>
      </c>
      <c r="T2753" t="s">
        <v>44610</v>
      </c>
      <c r="U2753" t="s">
        <v>47121</v>
      </c>
      <c r="W2753" t="s">
        <v>39873</v>
      </c>
      <c r="X2753" t="s">
        <v>42671</v>
      </c>
    </row>
    <row r="2754" spans="1:24">
      <c r="A2754">
        <f>HYPERLINK("https://www.philgeps.gov.ph/GEPSNONPILOT/Tender/SplashBidNoticeAbstractUI.aspx?menuIndex=3&amp;refID=7197286&amp;Result=3","7197286")</f>
        <v>0</v>
      </c>
      <c r="B2754" t="s">
        <v>1058</v>
      </c>
      <c r="C2754" t="s">
        <v>6165</v>
      </c>
      <c r="D2754" t="s">
        <v>17141</v>
      </c>
      <c r="E2754" t="s">
        <v>6165</v>
      </c>
      <c r="F2754" t="s">
        <v>29372</v>
      </c>
      <c r="G2754" t="s">
        <v>29380</v>
      </c>
      <c r="H2754" t="s">
        <v>11048</v>
      </c>
      <c r="I2754" t="s">
        <v>4487</v>
      </c>
      <c r="J2754" t="s">
        <v>29590</v>
      </c>
      <c r="K2754" t="s">
        <v>38485</v>
      </c>
      <c r="M2754" t="s">
        <v>39865</v>
      </c>
      <c r="N2754" t="s">
        <v>42669</v>
      </c>
      <c r="O2754" t="s">
        <v>42670</v>
      </c>
      <c r="P2754">
        <v>0</v>
      </c>
      <c r="Q2754">
        <v>0</v>
      </c>
      <c r="R2754" t="s">
        <v>42675</v>
      </c>
      <c r="S2754" t="s">
        <v>42807</v>
      </c>
      <c r="T2754" t="s">
        <v>44381</v>
      </c>
      <c r="U2754" t="s">
        <v>47100</v>
      </c>
      <c r="W2754" t="s">
        <v>39865</v>
      </c>
      <c r="X2754" t="s">
        <v>42671</v>
      </c>
    </row>
    <row r="2755" spans="1:24">
      <c r="A2755">
        <f>HYPERLINK("https://www.philgeps.gov.ph/GEPSNONPILOT/Tender/SplashBidNoticeAbstractUI.aspx?menuIndex=3&amp;refID=7197350&amp;Result=3","7197350")</f>
        <v>0</v>
      </c>
      <c r="B2755" t="s">
        <v>1034</v>
      </c>
      <c r="C2755" t="s">
        <v>6166</v>
      </c>
      <c r="D2755" t="s">
        <v>17199</v>
      </c>
      <c r="E2755" t="s">
        <v>19679</v>
      </c>
      <c r="F2755" t="s">
        <v>29372</v>
      </c>
      <c r="G2755" t="s">
        <v>29379</v>
      </c>
      <c r="H2755" t="s">
        <v>11048</v>
      </c>
      <c r="I2755" t="s">
        <v>29393</v>
      </c>
      <c r="J2755" t="s">
        <v>30024</v>
      </c>
      <c r="K2755" t="s">
        <v>38491</v>
      </c>
      <c r="M2755" t="s">
        <v>39837</v>
      </c>
      <c r="N2755" t="s">
        <v>42669</v>
      </c>
      <c r="O2755" t="s">
        <v>42670</v>
      </c>
      <c r="P2755">
        <v>0</v>
      </c>
      <c r="Q2755">
        <v>0</v>
      </c>
      <c r="R2755" t="s">
        <v>42675</v>
      </c>
      <c r="S2755" t="s">
        <v>42807</v>
      </c>
      <c r="T2755" t="s">
        <v>44480</v>
      </c>
      <c r="U2755" t="s">
        <v>47057</v>
      </c>
      <c r="W2755" t="s">
        <v>58033</v>
      </c>
      <c r="X2755" t="s">
        <v>42671</v>
      </c>
    </row>
    <row r="2756" spans="1:24">
      <c r="A2756">
        <f>HYPERLINK("https://www.philgeps.gov.ph/GEPSNONPILOT/Tender/SplashBidNoticeAbstractUI.aspx?menuIndex=3&amp;refID=7197349&amp;Result=3","7197349")</f>
        <v>0</v>
      </c>
      <c r="B2756" t="s">
        <v>681</v>
      </c>
      <c r="C2756" t="s">
        <v>6167</v>
      </c>
      <c r="D2756" t="s">
        <v>17160</v>
      </c>
      <c r="E2756" t="s">
        <v>19680</v>
      </c>
      <c r="F2756" t="s">
        <v>29372</v>
      </c>
      <c r="G2756" t="s">
        <v>29379</v>
      </c>
      <c r="H2756" t="s">
        <v>11048</v>
      </c>
      <c r="I2756" t="s">
        <v>29464</v>
      </c>
      <c r="J2756" t="s">
        <v>31434</v>
      </c>
      <c r="K2756" t="s">
        <v>38490</v>
      </c>
      <c r="M2756" t="s">
        <v>39457</v>
      </c>
      <c r="N2756" t="s">
        <v>42669</v>
      </c>
      <c r="O2756" t="s">
        <v>42670</v>
      </c>
      <c r="P2756">
        <v>0</v>
      </c>
      <c r="Q2756">
        <v>0</v>
      </c>
      <c r="R2756" t="s">
        <v>42675</v>
      </c>
      <c r="S2756" t="s">
        <v>42807</v>
      </c>
      <c r="T2756" t="s">
        <v>44468</v>
      </c>
      <c r="U2756" t="s">
        <v>47122</v>
      </c>
      <c r="W2756" t="s">
        <v>39457</v>
      </c>
      <c r="X2756" t="s">
        <v>42671</v>
      </c>
    </row>
    <row r="2757" spans="1:24">
      <c r="A2757">
        <f>HYPERLINK("https://www.philgeps.gov.ph/GEPSNONPILOT/Tender/SplashBidNoticeAbstractUI.aspx?menuIndex=3&amp;refID=7197309&amp;Result=3","7197309")</f>
        <v>0</v>
      </c>
      <c r="B2757" t="s">
        <v>1058</v>
      </c>
      <c r="C2757" t="s">
        <v>6168</v>
      </c>
      <c r="D2757" t="s">
        <v>17141</v>
      </c>
      <c r="E2757" t="s">
        <v>19681</v>
      </c>
      <c r="F2757" t="s">
        <v>29372</v>
      </c>
      <c r="G2757" t="s">
        <v>29380</v>
      </c>
      <c r="H2757" t="s">
        <v>11048</v>
      </c>
      <c r="I2757" t="s">
        <v>29433</v>
      </c>
      <c r="J2757" t="s">
        <v>30302</v>
      </c>
      <c r="K2757" t="s">
        <v>38485</v>
      </c>
      <c r="M2757" t="s">
        <v>39865</v>
      </c>
      <c r="N2757" t="s">
        <v>42669</v>
      </c>
      <c r="O2757" t="s">
        <v>42670</v>
      </c>
      <c r="P2757">
        <v>0</v>
      </c>
      <c r="Q2757">
        <v>0</v>
      </c>
      <c r="R2757" t="s">
        <v>42675</v>
      </c>
      <c r="S2757" t="s">
        <v>42807</v>
      </c>
      <c r="T2757" t="s">
        <v>44381</v>
      </c>
      <c r="U2757" t="s">
        <v>47119</v>
      </c>
      <c r="W2757" t="s">
        <v>39865</v>
      </c>
      <c r="X2757" t="s">
        <v>42671</v>
      </c>
    </row>
    <row r="2758" spans="1:24">
      <c r="A2758">
        <f>HYPERLINK("https://www.philgeps.gov.ph/GEPSNONPILOT/Tender/SplashBidNoticeAbstractUI.aspx?menuIndex=3&amp;refID=7197287&amp;Result=3","7197287")</f>
        <v>0</v>
      </c>
      <c r="B2758" t="s">
        <v>1067</v>
      </c>
      <c r="C2758" t="s">
        <v>6169</v>
      </c>
      <c r="D2758" t="s">
        <v>17190</v>
      </c>
      <c r="E2758" t="s">
        <v>19682</v>
      </c>
      <c r="F2758" t="s">
        <v>29372</v>
      </c>
      <c r="G2758" t="s">
        <v>29379</v>
      </c>
      <c r="H2758" t="s">
        <v>29389</v>
      </c>
      <c r="I2758" t="s">
        <v>10408</v>
      </c>
      <c r="J2758" t="s">
        <v>30056</v>
      </c>
      <c r="K2758" t="s">
        <v>38495</v>
      </c>
      <c r="M2758" t="s">
        <v>39874</v>
      </c>
      <c r="N2758" t="s">
        <v>42669</v>
      </c>
      <c r="O2758" t="s">
        <v>42670</v>
      </c>
      <c r="P2758">
        <v>0</v>
      </c>
      <c r="Q2758">
        <v>0</v>
      </c>
      <c r="R2758" t="s">
        <v>42675</v>
      </c>
      <c r="S2758" t="s">
        <v>42807</v>
      </c>
      <c r="T2758" t="s">
        <v>44470</v>
      </c>
      <c r="U2758" t="s">
        <v>47123</v>
      </c>
      <c r="W2758" t="s">
        <v>39874</v>
      </c>
      <c r="X2758" t="s">
        <v>42671</v>
      </c>
    </row>
    <row r="2759" spans="1:24">
      <c r="A2759">
        <f>HYPERLINK("https://www.philgeps.gov.ph/GEPSNONPILOT/Tender/SplashBidNoticeAbstractUI.aspx?menuIndex=3&amp;refID=7197347&amp;Result=3","7197347")</f>
        <v>0</v>
      </c>
      <c r="B2759" t="s">
        <v>1051</v>
      </c>
      <c r="C2759" t="s">
        <v>6170</v>
      </c>
      <c r="D2759" t="s">
        <v>17174</v>
      </c>
      <c r="E2759" t="s">
        <v>17897</v>
      </c>
      <c r="F2759" t="s">
        <v>29372</v>
      </c>
      <c r="G2759" t="s">
        <v>29380</v>
      </c>
      <c r="H2759" t="s">
        <v>29389</v>
      </c>
      <c r="I2759" t="s">
        <v>10408</v>
      </c>
      <c r="J2759" t="s">
        <v>31430</v>
      </c>
      <c r="K2759" t="s">
        <v>38525</v>
      </c>
      <c r="M2759" t="s">
        <v>39858</v>
      </c>
      <c r="N2759" t="s">
        <v>42669</v>
      </c>
      <c r="O2759" t="s">
        <v>42670</v>
      </c>
      <c r="P2759">
        <v>0</v>
      </c>
      <c r="Q2759">
        <v>0</v>
      </c>
      <c r="R2759" t="s">
        <v>42675</v>
      </c>
      <c r="S2759" t="s">
        <v>42807</v>
      </c>
      <c r="T2759" t="s">
        <v>44357</v>
      </c>
      <c r="U2759" t="s">
        <v>47124</v>
      </c>
      <c r="W2759" t="s">
        <v>39858</v>
      </c>
      <c r="X2759" t="s">
        <v>42671</v>
      </c>
    </row>
    <row r="2760" spans="1:24">
      <c r="A2760">
        <f>HYPERLINK("https://www.philgeps.gov.ph/GEPSNONPILOT/Tender/SplashBidNoticeAbstractUI.aspx?menuIndex=3&amp;refID=7197344&amp;Result=3","7197344")</f>
        <v>0</v>
      </c>
      <c r="B2760" t="s">
        <v>1053</v>
      </c>
      <c r="C2760" t="s">
        <v>6171</v>
      </c>
      <c r="D2760" t="s">
        <v>17144</v>
      </c>
      <c r="E2760" t="s">
        <v>19683</v>
      </c>
      <c r="F2760" t="s">
        <v>29372</v>
      </c>
      <c r="G2760" t="s">
        <v>29380</v>
      </c>
      <c r="H2760" t="s">
        <v>29389</v>
      </c>
      <c r="I2760" t="s">
        <v>10408</v>
      </c>
      <c r="J2760" t="s">
        <v>31435</v>
      </c>
      <c r="K2760" t="s">
        <v>38593</v>
      </c>
      <c r="M2760" t="s">
        <v>39860</v>
      </c>
      <c r="N2760" t="s">
        <v>42669</v>
      </c>
      <c r="O2760" t="s">
        <v>42670</v>
      </c>
      <c r="P2760">
        <v>0</v>
      </c>
      <c r="Q2760">
        <v>0</v>
      </c>
      <c r="R2760" t="s">
        <v>42675</v>
      </c>
      <c r="S2760" t="s">
        <v>42807</v>
      </c>
      <c r="T2760" t="s">
        <v>44606</v>
      </c>
      <c r="U2760" t="s">
        <v>47125</v>
      </c>
      <c r="W2760" t="s">
        <v>39860</v>
      </c>
      <c r="X2760" t="s">
        <v>42671</v>
      </c>
    </row>
    <row r="2761" spans="1:24">
      <c r="A2761">
        <f>HYPERLINK("https://www.philgeps.gov.ph/GEPSNONPILOT/Tender/SplashBidNoticeAbstractUI.aspx?menuIndex=3&amp;refID=7197346&amp;Result=3","7197346")</f>
        <v>0</v>
      </c>
      <c r="B2761" t="s">
        <v>1068</v>
      </c>
      <c r="C2761" t="s">
        <v>6172</v>
      </c>
      <c r="D2761" t="s">
        <v>17177</v>
      </c>
      <c r="E2761" t="s">
        <v>19684</v>
      </c>
      <c r="F2761" t="s">
        <v>29373</v>
      </c>
      <c r="G2761" t="s">
        <v>29379</v>
      </c>
      <c r="H2761" t="s">
        <v>11048</v>
      </c>
      <c r="I2761" t="s">
        <v>29464</v>
      </c>
      <c r="J2761" t="s">
        <v>31436</v>
      </c>
      <c r="K2761" t="s">
        <v>38491</v>
      </c>
      <c r="M2761" t="s">
        <v>39875</v>
      </c>
      <c r="N2761" t="s">
        <v>42669</v>
      </c>
      <c r="O2761" t="s">
        <v>42670</v>
      </c>
      <c r="P2761">
        <v>0</v>
      </c>
      <c r="Q2761">
        <v>0</v>
      </c>
      <c r="R2761" t="s">
        <v>42675</v>
      </c>
      <c r="S2761" t="s">
        <v>42807</v>
      </c>
      <c r="T2761" t="s">
        <v>44375</v>
      </c>
      <c r="U2761" t="s">
        <v>47126</v>
      </c>
      <c r="V2761" t="s">
        <v>44993</v>
      </c>
      <c r="W2761" t="s">
        <v>39875</v>
      </c>
      <c r="X2761" t="s">
        <v>42671</v>
      </c>
    </row>
    <row r="2762" spans="1:24">
      <c r="A2762">
        <f>HYPERLINK("https://www.philgeps.gov.ph/GEPSNONPILOT/Tender/SplashBidNoticeAbstractUI.aspx?menuIndex=3&amp;refID=7197345&amp;Result=3","7197345")</f>
        <v>0</v>
      </c>
      <c r="B2762" t="s">
        <v>1022</v>
      </c>
      <c r="C2762" t="s">
        <v>6173</v>
      </c>
      <c r="D2762" t="s">
        <v>17141</v>
      </c>
      <c r="E2762" t="s">
        <v>19685</v>
      </c>
      <c r="F2762" t="s">
        <v>29372</v>
      </c>
      <c r="G2762" t="s">
        <v>29380</v>
      </c>
      <c r="H2762" t="s">
        <v>11048</v>
      </c>
      <c r="I2762" t="s">
        <v>29482</v>
      </c>
      <c r="J2762" t="s">
        <v>31437</v>
      </c>
      <c r="K2762" t="s">
        <v>38488</v>
      </c>
      <c r="M2762" t="s">
        <v>39856</v>
      </c>
      <c r="N2762" t="s">
        <v>42669</v>
      </c>
      <c r="O2762" t="s">
        <v>42670</v>
      </c>
      <c r="P2762">
        <v>0</v>
      </c>
      <c r="Q2762">
        <v>0</v>
      </c>
      <c r="R2762" t="s">
        <v>42675</v>
      </c>
      <c r="S2762" t="s">
        <v>42807</v>
      </c>
      <c r="T2762" t="s">
        <v>44597</v>
      </c>
      <c r="U2762" t="s">
        <v>47127</v>
      </c>
      <c r="W2762" t="s">
        <v>39856</v>
      </c>
      <c r="X2762" t="s">
        <v>42671</v>
      </c>
    </row>
    <row r="2763" spans="1:24">
      <c r="A2763">
        <f>HYPERLINK("https://www.philgeps.gov.ph/GEPSNONPILOT/Tender/SplashBidNoticeAbstractUI.aspx?menuIndex=3&amp;refID=7197249&amp;Result=3","7197249")</f>
        <v>0</v>
      </c>
      <c r="B2763" t="s">
        <v>1042</v>
      </c>
      <c r="C2763" t="s">
        <v>6174</v>
      </c>
      <c r="D2763" t="s">
        <v>17211</v>
      </c>
      <c r="E2763" t="s">
        <v>19686</v>
      </c>
      <c r="F2763" t="s">
        <v>29372</v>
      </c>
      <c r="G2763" t="s">
        <v>29380</v>
      </c>
      <c r="H2763" t="s">
        <v>29389</v>
      </c>
      <c r="I2763" t="s">
        <v>29429</v>
      </c>
      <c r="J2763" t="s">
        <v>31438</v>
      </c>
      <c r="K2763" t="s">
        <v>38522</v>
      </c>
      <c r="M2763" t="s">
        <v>39847</v>
      </c>
      <c r="N2763" t="s">
        <v>42669</v>
      </c>
      <c r="O2763" t="s">
        <v>42670</v>
      </c>
      <c r="P2763">
        <v>0</v>
      </c>
      <c r="Q2763">
        <v>0</v>
      </c>
      <c r="R2763" t="s">
        <v>42675</v>
      </c>
      <c r="S2763" t="s">
        <v>42807</v>
      </c>
      <c r="T2763" t="s">
        <v>44379</v>
      </c>
      <c r="U2763" t="s">
        <v>47128</v>
      </c>
      <c r="V2763" t="s">
        <v>56615</v>
      </c>
      <c r="W2763" t="s">
        <v>39847</v>
      </c>
      <c r="X2763" t="s">
        <v>42671</v>
      </c>
    </row>
    <row r="2764" spans="1:24">
      <c r="A2764">
        <f>HYPERLINK("https://www.philgeps.gov.ph/GEPSNONPILOT/Tender/SplashBidNoticeAbstractUI.aspx?menuIndex=3&amp;refID=7197348&amp;Result=3","7197348")</f>
        <v>0</v>
      </c>
      <c r="B2764" t="s">
        <v>1069</v>
      </c>
      <c r="C2764" t="s">
        <v>6175</v>
      </c>
      <c r="D2764" t="s">
        <v>17141</v>
      </c>
      <c r="E2764" t="s">
        <v>19687</v>
      </c>
      <c r="F2764" t="s">
        <v>29372</v>
      </c>
      <c r="G2764" t="s">
        <v>29382</v>
      </c>
      <c r="H2764" t="s">
        <v>11048</v>
      </c>
      <c r="I2764" t="s">
        <v>5383</v>
      </c>
      <c r="J2764" t="s">
        <v>31439</v>
      </c>
      <c r="K2764" t="s">
        <v>38488</v>
      </c>
      <c r="M2764" t="s">
        <v>39876</v>
      </c>
      <c r="N2764" t="s">
        <v>42669</v>
      </c>
      <c r="O2764" t="s">
        <v>42670</v>
      </c>
      <c r="P2764">
        <v>0</v>
      </c>
      <c r="Q2764">
        <v>0</v>
      </c>
      <c r="R2764" t="s">
        <v>42675</v>
      </c>
      <c r="S2764" t="s">
        <v>42807</v>
      </c>
      <c r="T2764" t="s">
        <v>44480</v>
      </c>
      <c r="U2764" t="s">
        <v>47129</v>
      </c>
      <c r="V2764" t="s">
        <v>56619</v>
      </c>
      <c r="W2764" t="s">
        <v>39876</v>
      </c>
      <c r="X2764" t="s">
        <v>42671</v>
      </c>
    </row>
    <row r="2765" spans="1:24">
      <c r="A2765">
        <f>HYPERLINK("https://www.philgeps.gov.ph/GEPSNONPILOT/Tender/SplashBidNoticeAbstractUI.aspx?menuIndex=3&amp;refID=7197338&amp;Result=3","7197338")</f>
        <v>0</v>
      </c>
      <c r="B2765" t="s">
        <v>1022</v>
      </c>
      <c r="C2765" t="s">
        <v>6176</v>
      </c>
      <c r="D2765" t="s">
        <v>17141</v>
      </c>
      <c r="E2765" t="s">
        <v>19688</v>
      </c>
      <c r="F2765" t="s">
        <v>29372</v>
      </c>
      <c r="G2765" t="s">
        <v>29380</v>
      </c>
      <c r="H2765" t="s">
        <v>11048</v>
      </c>
      <c r="I2765" t="s">
        <v>3670</v>
      </c>
      <c r="J2765" t="s">
        <v>31440</v>
      </c>
      <c r="K2765" t="s">
        <v>38488</v>
      </c>
      <c r="M2765" t="s">
        <v>39856</v>
      </c>
      <c r="N2765" t="s">
        <v>42669</v>
      </c>
      <c r="O2765" t="s">
        <v>42670</v>
      </c>
      <c r="P2765">
        <v>0</v>
      </c>
      <c r="Q2765">
        <v>0</v>
      </c>
      <c r="R2765" t="s">
        <v>42675</v>
      </c>
      <c r="S2765" t="s">
        <v>42807</v>
      </c>
      <c r="T2765" t="s">
        <v>44597</v>
      </c>
      <c r="U2765" t="s">
        <v>47035</v>
      </c>
      <c r="W2765" t="s">
        <v>39856</v>
      </c>
      <c r="X2765" t="s">
        <v>42671</v>
      </c>
    </row>
    <row r="2766" spans="1:24">
      <c r="A2766">
        <f>HYPERLINK("https://www.philgeps.gov.ph/GEPSNONPILOT/Tender/SplashBidNoticeAbstractUI.aspx?menuIndex=3&amp;refID=7197337&amp;Result=3","7197337")</f>
        <v>0</v>
      </c>
      <c r="B2766" t="s">
        <v>1056</v>
      </c>
      <c r="C2766" t="s">
        <v>6177</v>
      </c>
      <c r="D2766" t="s">
        <v>17162</v>
      </c>
      <c r="E2766" t="s">
        <v>19689</v>
      </c>
      <c r="F2766" t="s">
        <v>29372</v>
      </c>
      <c r="G2766" t="s">
        <v>29382</v>
      </c>
      <c r="H2766" t="s">
        <v>11048</v>
      </c>
      <c r="I2766" t="s">
        <v>4487</v>
      </c>
      <c r="J2766" t="s">
        <v>31441</v>
      </c>
      <c r="K2766" t="s">
        <v>38510</v>
      </c>
      <c r="M2766" t="s">
        <v>39863</v>
      </c>
      <c r="N2766" t="s">
        <v>42669</v>
      </c>
      <c r="O2766" t="s">
        <v>42670</v>
      </c>
      <c r="P2766">
        <v>0</v>
      </c>
      <c r="Q2766">
        <v>1</v>
      </c>
      <c r="R2766" t="s">
        <v>42675</v>
      </c>
      <c r="S2766" t="s">
        <v>42807</v>
      </c>
      <c r="T2766" t="s">
        <v>44470</v>
      </c>
      <c r="U2766" t="s">
        <v>47094</v>
      </c>
      <c r="W2766" t="s">
        <v>39863</v>
      </c>
      <c r="X2766" t="s">
        <v>42671</v>
      </c>
    </row>
    <row r="2767" spans="1:24">
      <c r="A2767">
        <f>HYPERLINK("https://www.philgeps.gov.ph/GEPSNONPILOT/Tender/SplashBidNoticeAbstractUI.aspx?menuIndex=3&amp;refID=7197336&amp;Result=3","7197336")</f>
        <v>0</v>
      </c>
      <c r="B2767" t="s">
        <v>246</v>
      </c>
      <c r="C2767" t="s">
        <v>6178</v>
      </c>
      <c r="E2767" t="s">
        <v>19690</v>
      </c>
      <c r="F2767" t="s">
        <v>29372</v>
      </c>
      <c r="G2767" t="s">
        <v>29379</v>
      </c>
      <c r="H2767" t="s">
        <v>11048</v>
      </c>
      <c r="I2767" t="s">
        <v>8614</v>
      </c>
      <c r="J2767" t="s">
        <v>29642</v>
      </c>
      <c r="K2767" t="s">
        <v>38489</v>
      </c>
      <c r="M2767" t="s">
        <v>39005</v>
      </c>
      <c r="N2767" t="s">
        <v>42669</v>
      </c>
      <c r="O2767" t="s">
        <v>42670</v>
      </c>
      <c r="P2767">
        <v>0</v>
      </c>
      <c r="Q2767">
        <v>0</v>
      </c>
      <c r="R2767" t="s">
        <v>42675</v>
      </c>
      <c r="S2767" t="s">
        <v>42807</v>
      </c>
      <c r="T2767" t="s">
        <v>44470</v>
      </c>
      <c r="U2767" t="s">
        <v>47130</v>
      </c>
      <c r="W2767" t="s">
        <v>39005</v>
      </c>
      <c r="X2767" t="s">
        <v>42671</v>
      </c>
    </row>
    <row r="2768" spans="1:24">
      <c r="A2768">
        <f>HYPERLINK("https://www.philgeps.gov.ph/GEPSNONPILOT/Tender/SplashBidNoticeAbstractUI.aspx?menuIndex=3&amp;refID=7197341&amp;Result=3","7197341")</f>
        <v>0</v>
      </c>
      <c r="B2768" t="s">
        <v>1070</v>
      </c>
      <c r="C2768" t="s">
        <v>6179</v>
      </c>
      <c r="D2768" t="s">
        <v>17168</v>
      </c>
      <c r="E2768" t="s">
        <v>17965</v>
      </c>
      <c r="F2768" t="s">
        <v>29372</v>
      </c>
      <c r="G2768" t="s">
        <v>29380</v>
      </c>
      <c r="H2768" t="s">
        <v>11048</v>
      </c>
      <c r="I2768" t="s">
        <v>4709</v>
      </c>
      <c r="J2768" t="s">
        <v>31442</v>
      </c>
      <c r="K2768" t="s">
        <v>38510</v>
      </c>
      <c r="M2768" t="s">
        <v>39877</v>
      </c>
      <c r="N2768" t="s">
        <v>42669</v>
      </c>
      <c r="O2768" t="s">
        <v>42670</v>
      </c>
      <c r="P2768">
        <v>0</v>
      </c>
      <c r="Q2768">
        <v>0</v>
      </c>
      <c r="R2768" t="s">
        <v>42675</v>
      </c>
      <c r="S2768" t="s">
        <v>42807</v>
      </c>
      <c r="T2768" t="s">
        <v>44538</v>
      </c>
      <c r="U2768" t="s">
        <v>47131</v>
      </c>
      <c r="V2768" t="s">
        <v>56620</v>
      </c>
      <c r="W2768" t="s">
        <v>39877</v>
      </c>
      <c r="X2768" t="s">
        <v>42671</v>
      </c>
    </row>
    <row r="2769" spans="1:24">
      <c r="A2769">
        <f>HYPERLINK("https://www.philgeps.gov.ph/GEPSNONPILOT/Tender/SplashBidNoticeAbstractUI.aspx?menuIndex=3&amp;refID=7197339&amp;Result=3","7197339")</f>
        <v>0</v>
      </c>
      <c r="B2769" t="s">
        <v>1043</v>
      </c>
      <c r="C2769" t="s">
        <v>6180</v>
      </c>
      <c r="E2769" t="s">
        <v>19691</v>
      </c>
      <c r="F2769" t="s">
        <v>29372</v>
      </c>
      <c r="G2769" t="s">
        <v>29380</v>
      </c>
      <c r="H2769" t="s">
        <v>29389</v>
      </c>
      <c r="I2769" t="s">
        <v>10408</v>
      </c>
      <c r="J2769" t="s">
        <v>31443</v>
      </c>
      <c r="K2769" t="s">
        <v>38591</v>
      </c>
      <c r="M2769" t="s">
        <v>39848</v>
      </c>
      <c r="N2769" t="s">
        <v>42669</v>
      </c>
      <c r="O2769" t="s">
        <v>42670</v>
      </c>
      <c r="P2769">
        <v>0</v>
      </c>
      <c r="Q2769">
        <v>0</v>
      </c>
      <c r="R2769" t="s">
        <v>42675</v>
      </c>
      <c r="S2769" t="s">
        <v>42807</v>
      </c>
      <c r="T2769" t="s">
        <v>44379</v>
      </c>
      <c r="U2769" t="s">
        <v>47132</v>
      </c>
      <c r="W2769" t="s">
        <v>39848</v>
      </c>
      <c r="X2769" t="s">
        <v>42671</v>
      </c>
    </row>
    <row r="2770" spans="1:24">
      <c r="A2770">
        <f>HYPERLINK("https://www.philgeps.gov.ph/GEPSNONPILOT/Tender/SplashBidNoticeAbstractUI.aspx?menuIndex=3&amp;refID=7197342&amp;Result=3","7197342")</f>
        <v>0</v>
      </c>
      <c r="B2770" t="s">
        <v>1071</v>
      </c>
      <c r="C2770" t="s">
        <v>6181</v>
      </c>
      <c r="D2770" t="s">
        <v>17202</v>
      </c>
      <c r="E2770" t="s">
        <v>17540</v>
      </c>
      <c r="F2770" t="s">
        <v>29372</v>
      </c>
      <c r="G2770" t="s">
        <v>29380</v>
      </c>
      <c r="H2770" t="s">
        <v>11048</v>
      </c>
      <c r="I2770" t="s">
        <v>3860</v>
      </c>
      <c r="J2770" t="s">
        <v>29555</v>
      </c>
      <c r="K2770" t="s">
        <v>38510</v>
      </c>
      <c r="M2770" t="s">
        <v>39878</v>
      </c>
      <c r="N2770" t="s">
        <v>42669</v>
      </c>
      <c r="O2770" t="s">
        <v>42670</v>
      </c>
      <c r="P2770">
        <v>0</v>
      </c>
      <c r="Q2770">
        <v>0</v>
      </c>
      <c r="R2770" t="s">
        <v>42675</v>
      </c>
      <c r="S2770" t="s">
        <v>42807</v>
      </c>
      <c r="T2770" t="s">
        <v>44527</v>
      </c>
      <c r="U2770" t="s">
        <v>47133</v>
      </c>
      <c r="W2770" t="s">
        <v>39878</v>
      </c>
      <c r="X2770" t="s">
        <v>42671</v>
      </c>
    </row>
    <row r="2771" spans="1:24">
      <c r="A2771">
        <f>HYPERLINK("https://www.philgeps.gov.ph/GEPSNONPILOT/Tender/SplashBidNoticeAbstractUI.aspx?menuIndex=3&amp;refID=7197332&amp;Result=3","7197332")</f>
        <v>0</v>
      </c>
      <c r="B2771" t="s">
        <v>1058</v>
      </c>
      <c r="C2771" t="s">
        <v>6182</v>
      </c>
      <c r="D2771" t="s">
        <v>17141</v>
      </c>
      <c r="E2771" t="s">
        <v>6182</v>
      </c>
      <c r="F2771" t="s">
        <v>29372</v>
      </c>
      <c r="G2771" t="s">
        <v>29380</v>
      </c>
      <c r="H2771" t="s">
        <v>11048</v>
      </c>
      <c r="I2771" t="s">
        <v>29433</v>
      </c>
      <c r="J2771" t="s">
        <v>31444</v>
      </c>
      <c r="K2771" t="s">
        <v>38485</v>
      </c>
      <c r="M2771" t="s">
        <v>39865</v>
      </c>
      <c r="N2771" t="s">
        <v>42669</v>
      </c>
      <c r="O2771" t="s">
        <v>42670</v>
      </c>
      <c r="P2771">
        <v>0</v>
      </c>
      <c r="Q2771">
        <v>0</v>
      </c>
      <c r="R2771" t="s">
        <v>42675</v>
      </c>
      <c r="S2771" t="s">
        <v>42807</v>
      </c>
      <c r="T2771" t="s">
        <v>44381</v>
      </c>
      <c r="U2771" t="s">
        <v>47110</v>
      </c>
      <c r="W2771" t="s">
        <v>39865</v>
      </c>
      <c r="X2771" t="s">
        <v>42671</v>
      </c>
    </row>
    <row r="2772" spans="1:24">
      <c r="A2772">
        <f>HYPERLINK("https://www.philgeps.gov.ph/GEPSNONPILOT/Tender/SplashBidNoticeAbstractUI.aspx?menuIndex=3&amp;refID=7197331&amp;Result=3","7197331")</f>
        <v>0</v>
      </c>
      <c r="B2772" t="s">
        <v>1034</v>
      </c>
      <c r="C2772" t="s">
        <v>6183</v>
      </c>
      <c r="D2772" t="s">
        <v>17199</v>
      </c>
      <c r="E2772" t="s">
        <v>19692</v>
      </c>
      <c r="F2772" t="s">
        <v>29372</v>
      </c>
      <c r="G2772" t="s">
        <v>29379</v>
      </c>
      <c r="H2772" t="s">
        <v>11048</v>
      </c>
      <c r="I2772" t="s">
        <v>8208</v>
      </c>
      <c r="J2772" t="s">
        <v>31445</v>
      </c>
      <c r="K2772" t="s">
        <v>38491</v>
      </c>
      <c r="M2772" t="s">
        <v>39837</v>
      </c>
      <c r="N2772" t="s">
        <v>42669</v>
      </c>
      <c r="O2772" t="s">
        <v>42670</v>
      </c>
      <c r="P2772">
        <v>0</v>
      </c>
      <c r="Q2772">
        <v>0</v>
      </c>
      <c r="R2772" t="s">
        <v>42675</v>
      </c>
      <c r="S2772" t="s">
        <v>42807</v>
      </c>
      <c r="T2772" t="s">
        <v>44480</v>
      </c>
      <c r="U2772" t="s">
        <v>47057</v>
      </c>
      <c r="W2772" t="s">
        <v>58033</v>
      </c>
      <c r="X2772" t="s">
        <v>42671</v>
      </c>
    </row>
    <row r="2773" spans="1:24">
      <c r="A2773">
        <f>HYPERLINK("https://www.philgeps.gov.ph/GEPSNONPILOT/Tender/SplashBidNoticeAbstractUI.aspx?menuIndex=3&amp;refID=7197329&amp;Result=3","7197329")</f>
        <v>0</v>
      </c>
      <c r="B2773" t="s">
        <v>1058</v>
      </c>
      <c r="C2773" t="s">
        <v>6184</v>
      </c>
      <c r="D2773" t="s">
        <v>17141</v>
      </c>
      <c r="E2773" t="s">
        <v>6184</v>
      </c>
      <c r="F2773" t="s">
        <v>29372</v>
      </c>
      <c r="G2773" t="s">
        <v>29380</v>
      </c>
      <c r="H2773" t="s">
        <v>11048</v>
      </c>
      <c r="I2773" t="s">
        <v>29433</v>
      </c>
      <c r="J2773" t="s">
        <v>29543</v>
      </c>
      <c r="K2773" t="s">
        <v>38485</v>
      </c>
      <c r="M2773" t="s">
        <v>39865</v>
      </c>
      <c r="N2773" t="s">
        <v>42669</v>
      </c>
      <c r="O2773" t="s">
        <v>42670</v>
      </c>
      <c r="P2773">
        <v>0</v>
      </c>
      <c r="Q2773">
        <v>0</v>
      </c>
      <c r="R2773" t="s">
        <v>42675</v>
      </c>
      <c r="S2773" t="s">
        <v>42807</v>
      </c>
      <c r="T2773" t="s">
        <v>44381</v>
      </c>
      <c r="U2773" t="s">
        <v>47110</v>
      </c>
      <c r="W2773" t="s">
        <v>39865</v>
      </c>
      <c r="X2773" t="s">
        <v>42671</v>
      </c>
    </row>
    <row r="2774" spans="1:24">
      <c r="A2774">
        <f>HYPERLINK("https://www.philgeps.gov.ph/GEPSNONPILOT/Tender/SplashBidNoticeAbstractUI.aspx?menuIndex=3&amp;refID=7197335&amp;Result=3","7197335")</f>
        <v>0</v>
      </c>
      <c r="B2774" t="s">
        <v>1051</v>
      </c>
      <c r="C2774" t="s">
        <v>6185</v>
      </c>
      <c r="D2774" t="s">
        <v>17174</v>
      </c>
      <c r="E2774" t="s">
        <v>17897</v>
      </c>
      <c r="F2774" t="s">
        <v>29372</v>
      </c>
      <c r="G2774" t="s">
        <v>29380</v>
      </c>
      <c r="H2774" t="s">
        <v>29389</v>
      </c>
      <c r="I2774" t="s">
        <v>10408</v>
      </c>
      <c r="J2774" t="s">
        <v>31430</v>
      </c>
      <c r="K2774" t="s">
        <v>38525</v>
      </c>
      <c r="M2774" t="s">
        <v>39858</v>
      </c>
      <c r="N2774" t="s">
        <v>42669</v>
      </c>
      <c r="O2774" t="s">
        <v>42670</v>
      </c>
      <c r="P2774">
        <v>0</v>
      </c>
      <c r="Q2774">
        <v>0</v>
      </c>
      <c r="R2774" t="s">
        <v>42675</v>
      </c>
      <c r="S2774" t="s">
        <v>42807</v>
      </c>
      <c r="T2774" t="s">
        <v>44357</v>
      </c>
      <c r="U2774" t="s">
        <v>47134</v>
      </c>
      <c r="W2774" t="s">
        <v>39858</v>
      </c>
      <c r="X2774" t="s">
        <v>42671</v>
      </c>
    </row>
    <row r="2775" spans="1:24">
      <c r="A2775">
        <f>HYPERLINK("https://www.philgeps.gov.ph/GEPSNONPILOT/Tender/SplashBidNoticeAbstractUI.aspx?menuIndex=3&amp;refID=7197285&amp;Result=3","7197285")</f>
        <v>0</v>
      </c>
      <c r="B2775" t="s">
        <v>1047</v>
      </c>
      <c r="C2775" t="s">
        <v>6186</v>
      </c>
      <c r="D2775" t="s">
        <v>17141</v>
      </c>
      <c r="E2775" t="s">
        <v>19693</v>
      </c>
      <c r="F2775" t="s">
        <v>29372</v>
      </c>
      <c r="G2775" t="s">
        <v>29379</v>
      </c>
      <c r="H2775" t="s">
        <v>11048</v>
      </c>
      <c r="I2775" t="s">
        <v>29430</v>
      </c>
      <c r="J2775" t="s">
        <v>31446</v>
      </c>
      <c r="K2775" t="s">
        <v>38485</v>
      </c>
      <c r="M2775" t="s">
        <v>39852</v>
      </c>
      <c r="N2775" t="s">
        <v>42669</v>
      </c>
      <c r="O2775" t="s">
        <v>42670</v>
      </c>
      <c r="P2775">
        <v>0</v>
      </c>
      <c r="Q2775">
        <v>0</v>
      </c>
      <c r="R2775" t="s">
        <v>42675</v>
      </c>
      <c r="S2775" t="s">
        <v>42807</v>
      </c>
      <c r="T2775" t="s">
        <v>44470</v>
      </c>
      <c r="U2775" t="s">
        <v>47116</v>
      </c>
      <c r="W2775" t="s">
        <v>39852</v>
      </c>
      <c r="X2775" t="s">
        <v>42671</v>
      </c>
    </row>
    <row r="2776" spans="1:24">
      <c r="A2776">
        <f>HYPERLINK("https://www.philgeps.gov.ph/GEPSNONPILOT/Tender/SplashBidNoticeAbstractUI.aspx?menuIndex=3&amp;refID=7197334&amp;Result=3","7197334")</f>
        <v>0</v>
      </c>
      <c r="B2776" t="s">
        <v>1058</v>
      </c>
      <c r="C2776" t="s">
        <v>6187</v>
      </c>
      <c r="D2776" t="s">
        <v>17141</v>
      </c>
      <c r="E2776" t="s">
        <v>6187</v>
      </c>
      <c r="F2776" t="s">
        <v>29372</v>
      </c>
      <c r="G2776" t="s">
        <v>29380</v>
      </c>
      <c r="H2776" t="s">
        <v>11048</v>
      </c>
      <c r="I2776" t="s">
        <v>29433</v>
      </c>
      <c r="J2776" t="s">
        <v>30302</v>
      </c>
      <c r="K2776" t="s">
        <v>38485</v>
      </c>
      <c r="M2776" t="s">
        <v>39865</v>
      </c>
      <c r="N2776" t="s">
        <v>42669</v>
      </c>
      <c r="O2776" t="s">
        <v>42670</v>
      </c>
      <c r="P2776">
        <v>0</v>
      </c>
      <c r="Q2776">
        <v>0</v>
      </c>
      <c r="R2776" t="s">
        <v>42675</v>
      </c>
      <c r="S2776" t="s">
        <v>42807</v>
      </c>
      <c r="T2776" t="s">
        <v>44381</v>
      </c>
      <c r="U2776" t="s">
        <v>47110</v>
      </c>
      <c r="W2776" t="s">
        <v>39865</v>
      </c>
      <c r="X2776" t="s">
        <v>42671</v>
      </c>
    </row>
    <row r="2777" spans="1:24">
      <c r="A2777">
        <f>HYPERLINK("https://www.philgeps.gov.ph/GEPSNONPILOT/Tender/SplashBidNoticeAbstractUI.aspx?menuIndex=3&amp;refID=7197358&amp;Result=3","7197358")</f>
        <v>0</v>
      </c>
      <c r="B2777" t="s">
        <v>1069</v>
      </c>
      <c r="C2777" t="s">
        <v>6188</v>
      </c>
      <c r="D2777" t="s">
        <v>17141</v>
      </c>
      <c r="E2777" t="s">
        <v>19694</v>
      </c>
      <c r="F2777" t="s">
        <v>29372</v>
      </c>
      <c r="G2777" t="s">
        <v>29382</v>
      </c>
      <c r="H2777" t="s">
        <v>11048</v>
      </c>
      <c r="I2777" t="s">
        <v>29432</v>
      </c>
      <c r="J2777" t="s">
        <v>29583</v>
      </c>
      <c r="K2777" t="s">
        <v>38488</v>
      </c>
      <c r="M2777" t="s">
        <v>39876</v>
      </c>
      <c r="N2777" t="s">
        <v>42669</v>
      </c>
      <c r="O2777" t="s">
        <v>42670</v>
      </c>
      <c r="P2777">
        <v>0</v>
      </c>
      <c r="Q2777">
        <v>0</v>
      </c>
      <c r="R2777" t="s">
        <v>42675</v>
      </c>
      <c r="S2777" t="s">
        <v>42807</v>
      </c>
      <c r="T2777" t="s">
        <v>44480</v>
      </c>
      <c r="U2777" t="s">
        <v>47135</v>
      </c>
      <c r="V2777" t="s">
        <v>56621</v>
      </c>
      <c r="W2777" t="s">
        <v>39876</v>
      </c>
      <c r="X2777" t="s">
        <v>42671</v>
      </c>
    </row>
    <row r="2778" spans="1:24">
      <c r="A2778">
        <f>HYPERLINK("https://www.philgeps.gov.ph/GEPSNONPILOT/Tender/SplashBidNoticeAbstractUI.aspx?menuIndex=3&amp;refID=7197333&amp;Result=3","7197333")</f>
        <v>0</v>
      </c>
      <c r="B2778" t="s">
        <v>1072</v>
      </c>
      <c r="C2778" t="s">
        <v>6189</v>
      </c>
      <c r="D2778" t="s">
        <v>17141</v>
      </c>
      <c r="E2778" t="s">
        <v>19695</v>
      </c>
      <c r="F2778" t="s">
        <v>29372</v>
      </c>
      <c r="G2778" t="s">
        <v>29380</v>
      </c>
      <c r="H2778" t="s">
        <v>11048</v>
      </c>
      <c r="I2778" t="s">
        <v>29409</v>
      </c>
      <c r="J2778" t="s">
        <v>31447</v>
      </c>
      <c r="K2778" t="s">
        <v>38485</v>
      </c>
      <c r="M2778" t="s">
        <v>39879</v>
      </c>
      <c r="N2778" t="s">
        <v>42669</v>
      </c>
      <c r="O2778" t="s">
        <v>42670</v>
      </c>
      <c r="P2778">
        <v>0</v>
      </c>
      <c r="Q2778">
        <v>0</v>
      </c>
      <c r="R2778" t="s">
        <v>42675</v>
      </c>
      <c r="S2778" t="s">
        <v>42807</v>
      </c>
      <c r="T2778" t="s">
        <v>44405</v>
      </c>
      <c r="U2778" t="s">
        <v>47136</v>
      </c>
      <c r="W2778" t="s">
        <v>39879</v>
      </c>
      <c r="X2778" t="s">
        <v>42671</v>
      </c>
    </row>
    <row r="2779" spans="1:24">
      <c r="A2779">
        <f>HYPERLINK("https://www.philgeps.gov.ph/GEPSNONPILOT/Tender/SplashBidNoticeAbstractUI.aspx?menuIndex=3&amp;refID=7197369&amp;Result=3","7197369")</f>
        <v>0</v>
      </c>
      <c r="B2779" t="s">
        <v>1069</v>
      </c>
      <c r="C2779" t="s">
        <v>6190</v>
      </c>
      <c r="D2779" t="s">
        <v>17141</v>
      </c>
      <c r="E2779" t="s">
        <v>19696</v>
      </c>
      <c r="F2779" t="s">
        <v>29372</v>
      </c>
      <c r="G2779" t="s">
        <v>29379</v>
      </c>
      <c r="H2779" t="s">
        <v>11048</v>
      </c>
      <c r="I2779" t="s">
        <v>29419</v>
      </c>
      <c r="J2779" t="s">
        <v>31448</v>
      </c>
      <c r="K2779" t="s">
        <v>38488</v>
      </c>
      <c r="M2779" t="s">
        <v>39876</v>
      </c>
      <c r="N2779" t="s">
        <v>42669</v>
      </c>
      <c r="O2779" t="s">
        <v>42670</v>
      </c>
      <c r="P2779">
        <v>0</v>
      </c>
      <c r="Q2779">
        <v>0</v>
      </c>
      <c r="R2779" t="s">
        <v>42675</v>
      </c>
      <c r="S2779" t="s">
        <v>42807</v>
      </c>
      <c r="T2779" t="s">
        <v>44480</v>
      </c>
      <c r="U2779" t="s">
        <v>47137</v>
      </c>
      <c r="V2779" t="s">
        <v>56622</v>
      </c>
      <c r="W2779" t="s">
        <v>39876</v>
      </c>
      <c r="X2779" t="s">
        <v>42671</v>
      </c>
    </row>
    <row r="2780" spans="1:24">
      <c r="A2780">
        <f>HYPERLINK("https://www.philgeps.gov.ph/GEPSNONPILOT/Tender/SplashBidNoticeAbstractUI.aspx?menuIndex=3&amp;refID=7197330&amp;Result=3","7197330")</f>
        <v>0</v>
      </c>
      <c r="B2780" t="s">
        <v>1022</v>
      </c>
      <c r="C2780" t="s">
        <v>6191</v>
      </c>
      <c r="D2780" t="s">
        <v>17141</v>
      </c>
      <c r="E2780" t="s">
        <v>19697</v>
      </c>
      <c r="F2780" t="s">
        <v>29372</v>
      </c>
      <c r="G2780" t="s">
        <v>29380</v>
      </c>
      <c r="H2780" t="s">
        <v>11048</v>
      </c>
      <c r="I2780" t="s">
        <v>3670</v>
      </c>
      <c r="J2780" t="s">
        <v>31449</v>
      </c>
      <c r="K2780" t="s">
        <v>38488</v>
      </c>
      <c r="M2780" t="s">
        <v>39856</v>
      </c>
      <c r="N2780" t="s">
        <v>42669</v>
      </c>
      <c r="O2780" t="s">
        <v>42670</v>
      </c>
      <c r="P2780">
        <v>0</v>
      </c>
      <c r="Q2780">
        <v>0</v>
      </c>
      <c r="R2780" t="s">
        <v>42675</v>
      </c>
      <c r="S2780" t="s">
        <v>42807</v>
      </c>
      <c r="T2780" t="s">
        <v>44597</v>
      </c>
      <c r="U2780" t="s">
        <v>47035</v>
      </c>
      <c r="W2780" t="s">
        <v>39856</v>
      </c>
      <c r="X2780" t="s">
        <v>42671</v>
      </c>
    </row>
    <row r="2781" spans="1:24">
      <c r="A2781">
        <f>HYPERLINK("https://www.philgeps.gov.ph/GEPSNONPILOT/Tender/SplashBidNoticeAbstractUI.aspx?menuIndex=3&amp;refID=7197266&amp;Result=3","7197266")</f>
        <v>0</v>
      </c>
      <c r="B2781" t="s">
        <v>1042</v>
      </c>
      <c r="C2781" t="s">
        <v>6192</v>
      </c>
      <c r="D2781" t="s">
        <v>17211</v>
      </c>
      <c r="E2781" t="s">
        <v>19698</v>
      </c>
      <c r="F2781" t="s">
        <v>29372</v>
      </c>
      <c r="G2781" t="s">
        <v>29380</v>
      </c>
      <c r="H2781" t="s">
        <v>29389</v>
      </c>
      <c r="I2781" t="s">
        <v>29429</v>
      </c>
      <c r="J2781" t="s">
        <v>31450</v>
      </c>
      <c r="K2781" t="s">
        <v>38522</v>
      </c>
      <c r="M2781" t="s">
        <v>39847</v>
      </c>
      <c r="N2781" t="s">
        <v>42669</v>
      </c>
      <c r="O2781" t="s">
        <v>42670</v>
      </c>
      <c r="P2781">
        <v>0</v>
      </c>
      <c r="Q2781">
        <v>0</v>
      </c>
      <c r="R2781" t="s">
        <v>42675</v>
      </c>
      <c r="S2781" t="s">
        <v>42807</v>
      </c>
      <c r="T2781" t="s">
        <v>44379</v>
      </c>
      <c r="U2781" t="s">
        <v>47138</v>
      </c>
      <c r="V2781" t="s">
        <v>56615</v>
      </c>
      <c r="W2781" t="s">
        <v>39847</v>
      </c>
      <c r="X2781" t="s">
        <v>42671</v>
      </c>
    </row>
    <row r="2782" spans="1:24">
      <c r="A2782">
        <f>HYPERLINK("https://www.philgeps.gov.ph/GEPSNONPILOT/Tender/SplashBidNoticeAbstractUI.aspx?menuIndex=3&amp;refID=7197298&amp;Result=3","7197298")</f>
        <v>0</v>
      </c>
      <c r="B2782" t="s">
        <v>1053</v>
      </c>
      <c r="C2782" t="s">
        <v>6193</v>
      </c>
      <c r="D2782" t="s">
        <v>17144</v>
      </c>
      <c r="E2782" t="s">
        <v>19699</v>
      </c>
      <c r="F2782" t="s">
        <v>29372</v>
      </c>
      <c r="G2782" t="s">
        <v>29380</v>
      </c>
      <c r="H2782" t="s">
        <v>11048</v>
      </c>
      <c r="I2782" t="s">
        <v>9469</v>
      </c>
      <c r="J2782" t="s">
        <v>30056</v>
      </c>
      <c r="K2782" t="s">
        <v>38503</v>
      </c>
      <c r="M2782" t="s">
        <v>39860</v>
      </c>
      <c r="N2782" t="s">
        <v>42669</v>
      </c>
      <c r="O2782" t="s">
        <v>42670</v>
      </c>
      <c r="P2782">
        <v>0</v>
      </c>
      <c r="Q2782">
        <v>1</v>
      </c>
      <c r="R2782" t="s">
        <v>42675</v>
      </c>
      <c r="S2782" t="s">
        <v>42807</v>
      </c>
      <c r="T2782" t="s">
        <v>44606</v>
      </c>
      <c r="U2782" t="s">
        <v>47139</v>
      </c>
      <c r="W2782" t="s">
        <v>39860</v>
      </c>
      <c r="X2782" t="s">
        <v>42671</v>
      </c>
    </row>
    <row r="2783" spans="1:24">
      <c r="A2783">
        <f>HYPERLINK("https://www.philgeps.gov.ph/GEPSNONPILOT/Tender/SplashBidNoticeAbstractUI.aspx?menuIndex=3&amp;refID=7197366&amp;Result=3","7197366")</f>
        <v>0</v>
      </c>
      <c r="B2783" t="s">
        <v>383</v>
      </c>
      <c r="C2783" t="s">
        <v>6194</v>
      </c>
      <c r="D2783" t="s">
        <v>17159</v>
      </c>
      <c r="E2783" t="s">
        <v>19700</v>
      </c>
      <c r="F2783" t="s">
        <v>29372</v>
      </c>
      <c r="G2783" t="s">
        <v>29379</v>
      </c>
      <c r="H2783" t="s">
        <v>11048</v>
      </c>
      <c r="I2783" t="s">
        <v>4709</v>
      </c>
      <c r="J2783" t="s">
        <v>31451</v>
      </c>
      <c r="K2783" t="s">
        <v>38487</v>
      </c>
      <c r="M2783" t="s">
        <v>39145</v>
      </c>
      <c r="N2783" t="s">
        <v>42669</v>
      </c>
      <c r="O2783" t="s">
        <v>42670</v>
      </c>
      <c r="P2783">
        <v>0</v>
      </c>
      <c r="Q2783">
        <v>0</v>
      </c>
      <c r="R2783" t="s">
        <v>42675</v>
      </c>
      <c r="S2783" t="s">
        <v>42807</v>
      </c>
      <c r="T2783" t="s">
        <v>44357</v>
      </c>
      <c r="U2783" t="s">
        <v>47140</v>
      </c>
      <c r="W2783" t="s">
        <v>39145</v>
      </c>
      <c r="X2783" t="s">
        <v>42671</v>
      </c>
    </row>
    <row r="2784" spans="1:24">
      <c r="A2784">
        <f>HYPERLINK("https://www.philgeps.gov.ph/GEPSNONPILOT/Tender/SplashBidNoticeAbstractUI.aspx?menuIndex=3&amp;refID=7197364&amp;Result=3","7197364")</f>
        <v>0</v>
      </c>
      <c r="B2784" t="s">
        <v>1043</v>
      </c>
      <c r="C2784" t="s">
        <v>6195</v>
      </c>
      <c r="E2784" t="s">
        <v>19701</v>
      </c>
      <c r="F2784" t="s">
        <v>29372</v>
      </c>
      <c r="G2784" t="s">
        <v>29380</v>
      </c>
      <c r="H2784" t="s">
        <v>29389</v>
      </c>
      <c r="I2784" t="s">
        <v>10408</v>
      </c>
      <c r="J2784" t="s">
        <v>31452</v>
      </c>
      <c r="K2784" t="s">
        <v>38594</v>
      </c>
      <c r="M2784" t="s">
        <v>39848</v>
      </c>
      <c r="N2784" t="s">
        <v>42669</v>
      </c>
      <c r="O2784" t="s">
        <v>42670</v>
      </c>
      <c r="P2784">
        <v>0</v>
      </c>
      <c r="Q2784">
        <v>0</v>
      </c>
      <c r="R2784" t="s">
        <v>42675</v>
      </c>
      <c r="S2784" t="s">
        <v>42807</v>
      </c>
      <c r="T2784" t="s">
        <v>44379</v>
      </c>
      <c r="U2784" t="s">
        <v>47141</v>
      </c>
      <c r="W2784" t="s">
        <v>39848</v>
      </c>
      <c r="X2784" t="s">
        <v>42671</v>
      </c>
    </row>
    <row r="2785" spans="1:24">
      <c r="A2785">
        <f>HYPERLINK("https://www.philgeps.gov.ph/GEPSNONPILOT/Tender/SplashBidNoticeAbstractUI.aspx?menuIndex=3&amp;refID=7197351&amp;Result=3","7197351")</f>
        <v>0</v>
      </c>
      <c r="B2785" t="s">
        <v>1055</v>
      </c>
      <c r="C2785" t="s">
        <v>6196</v>
      </c>
      <c r="D2785" t="s">
        <v>17176</v>
      </c>
      <c r="E2785" t="s">
        <v>19702</v>
      </c>
      <c r="F2785" t="s">
        <v>29372</v>
      </c>
      <c r="G2785" t="s">
        <v>29379</v>
      </c>
      <c r="H2785" t="s">
        <v>11048</v>
      </c>
      <c r="I2785" t="s">
        <v>29399</v>
      </c>
      <c r="J2785" t="s">
        <v>30010</v>
      </c>
      <c r="K2785" t="s">
        <v>38491</v>
      </c>
      <c r="M2785" t="s">
        <v>39862</v>
      </c>
      <c r="N2785" t="s">
        <v>42669</v>
      </c>
      <c r="O2785" t="s">
        <v>42670</v>
      </c>
      <c r="P2785">
        <v>0</v>
      </c>
      <c r="Q2785">
        <v>0</v>
      </c>
      <c r="R2785" t="s">
        <v>42675</v>
      </c>
      <c r="S2785" t="s">
        <v>42807</v>
      </c>
      <c r="T2785" t="s">
        <v>44419</v>
      </c>
      <c r="U2785" t="s">
        <v>47142</v>
      </c>
      <c r="V2785" t="s">
        <v>56616</v>
      </c>
      <c r="W2785" t="s">
        <v>39862</v>
      </c>
      <c r="X2785" t="s">
        <v>42671</v>
      </c>
    </row>
    <row r="2786" spans="1:24">
      <c r="A2786">
        <f>HYPERLINK("https://www.philgeps.gov.ph/GEPSNONPILOT/Tender/SplashBidNoticeAbstractUI.aspx?menuIndex=3&amp;refID=7197363&amp;Result=3","7197363")</f>
        <v>0</v>
      </c>
      <c r="B2786" t="s">
        <v>1051</v>
      </c>
      <c r="C2786" t="s">
        <v>6197</v>
      </c>
      <c r="D2786" t="s">
        <v>17174</v>
      </c>
      <c r="E2786" t="s">
        <v>17719</v>
      </c>
      <c r="F2786" t="s">
        <v>29372</v>
      </c>
      <c r="G2786" t="s">
        <v>29380</v>
      </c>
      <c r="H2786" t="s">
        <v>29389</v>
      </c>
      <c r="I2786" t="s">
        <v>29408</v>
      </c>
      <c r="J2786" t="s">
        <v>31430</v>
      </c>
      <c r="K2786" t="s">
        <v>38525</v>
      </c>
      <c r="M2786" t="s">
        <v>39858</v>
      </c>
      <c r="N2786" t="s">
        <v>42669</v>
      </c>
      <c r="O2786" t="s">
        <v>42670</v>
      </c>
      <c r="P2786">
        <v>0</v>
      </c>
      <c r="Q2786">
        <v>0</v>
      </c>
      <c r="R2786" t="s">
        <v>42675</v>
      </c>
      <c r="S2786" t="s">
        <v>42807</v>
      </c>
      <c r="T2786" t="s">
        <v>44357</v>
      </c>
      <c r="U2786" t="s">
        <v>47143</v>
      </c>
      <c r="W2786" t="s">
        <v>39858</v>
      </c>
      <c r="X2786" t="s">
        <v>42671</v>
      </c>
    </row>
    <row r="2787" spans="1:24">
      <c r="A2787">
        <f>HYPERLINK("https://www.philgeps.gov.ph/GEPSNONPILOT/Tender/SplashBidNoticeAbstractUI.aspx?menuIndex=3&amp;refID=7197370&amp;Result=3","7197370")</f>
        <v>0</v>
      </c>
      <c r="B2787" t="s">
        <v>383</v>
      </c>
      <c r="C2787" t="s">
        <v>6198</v>
      </c>
      <c r="D2787" t="s">
        <v>17159</v>
      </c>
      <c r="E2787" t="s">
        <v>19703</v>
      </c>
      <c r="F2787" t="s">
        <v>29372</v>
      </c>
      <c r="G2787" t="s">
        <v>29379</v>
      </c>
      <c r="H2787" t="s">
        <v>11048</v>
      </c>
      <c r="I2787" t="s">
        <v>4709</v>
      </c>
      <c r="J2787" t="s">
        <v>31453</v>
      </c>
      <c r="K2787" t="s">
        <v>38487</v>
      </c>
      <c r="M2787" t="s">
        <v>39145</v>
      </c>
      <c r="N2787" t="s">
        <v>42669</v>
      </c>
      <c r="O2787" t="s">
        <v>42670</v>
      </c>
      <c r="P2787">
        <v>0</v>
      </c>
      <c r="Q2787">
        <v>0</v>
      </c>
      <c r="R2787" t="s">
        <v>42675</v>
      </c>
      <c r="S2787" t="s">
        <v>42807</v>
      </c>
      <c r="T2787" t="s">
        <v>44357</v>
      </c>
      <c r="U2787" t="s">
        <v>47144</v>
      </c>
      <c r="W2787" t="s">
        <v>39145</v>
      </c>
      <c r="X2787" t="s">
        <v>42671</v>
      </c>
    </row>
    <row r="2788" spans="1:24">
      <c r="A2788">
        <f>HYPERLINK("https://www.philgeps.gov.ph/GEPSNONPILOT/Tender/SplashBidNoticeAbstractUI.aspx?menuIndex=3&amp;refID=7197362&amp;Result=3","7197362")</f>
        <v>0</v>
      </c>
      <c r="B2788" t="s">
        <v>1073</v>
      </c>
      <c r="C2788" t="s">
        <v>6199</v>
      </c>
      <c r="D2788" t="s">
        <v>17141</v>
      </c>
      <c r="E2788" t="s">
        <v>19704</v>
      </c>
      <c r="F2788" t="s">
        <v>29372</v>
      </c>
      <c r="G2788" t="s">
        <v>29382</v>
      </c>
      <c r="H2788" t="s">
        <v>11048</v>
      </c>
      <c r="I2788" t="s">
        <v>5383</v>
      </c>
      <c r="J2788" t="s">
        <v>31454</v>
      </c>
      <c r="K2788" t="s">
        <v>38490</v>
      </c>
      <c r="M2788" t="s">
        <v>39880</v>
      </c>
      <c r="N2788" t="s">
        <v>42669</v>
      </c>
      <c r="O2788" t="s">
        <v>42670</v>
      </c>
      <c r="P2788">
        <v>0</v>
      </c>
      <c r="Q2788">
        <v>0</v>
      </c>
      <c r="R2788" t="s">
        <v>42675</v>
      </c>
      <c r="S2788" t="s">
        <v>42807</v>
      </c>
      <c r="T2788" t="s">
        <v>44508</v>
      </c>
      <c r="U2788" t="s">
        <v>47145</v>
      </c>
      <c r="W2788" t="s">
        <v>39880</v>
      </c>
      <c r="X2788" t="s">
        <v>42671</v>
      </c>
    </row>
    <row r="2789" spans="1:24">
      <c r="A2789">
        <f>HYPERLINK("https://www.philgeps.gov.ph/GEPSNONPILOT/Tender/SplashBidNoticeAbstractUI.aspx?menuIndex=3&amp;refID=7197361&amp;Result=3","7197361")</f>
        <v>0</v>
      </c>
      <c r="B2789" t="s">
        <v>681</v>
      </c>
      <c r="C2789" t="s">
        <v>6200</v>
      </c>
      <c r="D2789" t="s">
        <v>17160</v>
      </c>
      <c r="E2789" t="s">
        <v>19705</v>
      </c>
      <c r="F2789" t="s">
        <v>29372</v>
      </c>
      <c r="G2789" t="s">
        <v>29379</v>
      </c>
      <c r="H2789" t="s">
        <v>11048</v>
      </c>
      <c r="I2789" t="s">
        <v>4709</v>
      </c>
      <c r="J2789" t="s">
        <v>29730</v>
      </c>
      <c r="K2789" t="s">
        <v>38490</v>
      </c>
      <c r="M2789" t="s">
        <v>39457</v>
      </c>
      <c r="N2789" t="s">
        <v>42669</v>
      </c>
      <c r="O2789" t="s">
        <v>42670</v>
      </c>
      <c r="P2789">
        <v>0</v>
      </c>
      <c r="Q2789">
        <v>0</v>
      </c>
      <c r="R2789" t="s">
        <v>42675</v>
      </c>
      <c r="S2789" t="s">
        <v>42807</v>
      </c>
      <c r="T2789" t="s">
        <v>44468</v>
      </c>
      <c r="U2789" t="s">
        <v>47146</v>
      </c>
      <c r="W2789" t="s">
        <v>39457</v>
      </c>
      <c r="X2789" t="s">
        <v>42671</v>
      </c>
    </row>
    <row r="2790" spans="1:24">
      <c r="A2790">
        <f>HYPERLINK("https://www.philgeps.gov.ph/GEPSNONPILOT/Tender/SplashBidNoticeAbstractUI.aspx?menuIndex=3&amp;refID=7197357&amp;Result=3","7197357")</f>
        <v>0</v>
      </c>
      <c r="B2790" t="s">
        <v>1074</v>
      </c>
      <c r="C2790" t="s">
        <v>4025</v>
      </c>
      <c r="D2790" t="s">
        <v>17160</v>
      </c>
      <c r="E2790" t="s">
        <v>19706</v>
      </c>
      <c r="F2790" t="s">
        <v>29372</v>
      </c>
      <c r="G2790" t="s">
        <v>29379</v>
      </c>
      <c r="H2790" t="s">
        <v>29390</v>
      </c>
      <c r="I2790" t="s">
        <v>9469</v>
      </c>
      <c r="J2790" t="s">
        <v>29657</v>
      </c>
      <c r="K2790" t="s">
        <v>38510</v>
      </c>
      <c r="M2790" t="s">
        <v>39881</v>
      </c>
      <c r="N2790" t="s">
        <v>42669</v>
      </c>
      <c r="O2790" t="s">
        <v>42670</v>
      </c>
      <c r="P2790">
        <v>0</v>
      </c>
      <c r="Q2790">
        <v>0</v>
      </c>
      <c r="R2790" t="s">
        <v>42675</v>
      </c>
      <c r="S2790" t="s">
        <v>42807</v>
      </c>
      <c r="T2790" t="s">
        <v>44456</v>
      </c>
      <c r="U2790" t="s">
        <v>47147</v>
      </c>
      <c r="W2790" t="s">
        <v>39881</v>
      </c>
      <c r="X2790" t="s">
        <v>42671</v>
      </c>
    </row>
    <row r="2791" spans="1:24">
      <c r="A2791">
        <f>HYPERLINK("https://www.philgeps.gov.ph/GEPSNONPILOT/Tender/SplashBidNoticeAbstractUI.aspx?menuIndex=3&amp;refID=7197359&amp;Result=3","7197359")</f>
        <v>0</v>
      </c>
      <c r="B2791" t="s">
        <v>1072</v>
      </c>
      <c r="C2791" t="s">
        <v>6201</v>
      </c>
      <c r="D2791" t="s">
        <v>17141</v>
      </c>
      <c r="E2791" t="s">
        <v>19707</v>
      </c>
      <c r="F2791" t="s">
        <v>29372</v>
      </c>
      <c r="G2791" t="s">
        <v>29380</v>
      </c>
      <c r="H2791" t="s">
        <v>11048</v>
      </c>
      <c r="I2791" t="s">
        <v>3839</v>
      </c>
      <c r="J2791" t="s">
        <v>31455</v>
      </c>
      <c r="K2791" t="s">
        <v>38485</v>
      </c>
      <c r="M2791" t="s">
        <v>39879</v>
      </c>
      <c r="N2791" t="s">
        <v>42669</v>
      </c>
      <c r="O2791" t="s">
        <v>42670</v>
      </c>
      <c r="P2791">
        <v>0</v>
      </c>
      <c r="Q2791">
        <v>0</v>
      </c>
      <c r="R2791" t="s">
        <v>42675</v>
      </c>
      <c r="S2791" t="s">
        <v>42807</v>
      </c>
      <c r="T2791" t="s">
        <v>44405</v>
      </c>
      <c r="U2791" t="s">
        <v>47148</v>
      </c>
      <c r="W2791" t="s">
        <v>39879</v>
      </c>
      <c r="X2791" t="s">
        <v>42671</v>
      </c>
    </row>
    <row r="2792" spans="1:24">
      <c r="A2792">
        <f>HYPERLINK("https://www.philgeps.gov.ph/GEPSNONPILOT/Tender/SplashBidNoticeAbstractUI.aspx?menuIndex=3&amp;refID=7197356&amp;Result=3","7197356")</f>
        <v>0</v>
      </c>
      <c r="B2792" t="s">
        <v>1075</v>
      </c>
      <c r="C2792" t="s">
        <v>6202</v>
      </c>
      <c r="E2792" t="s">
        <v>19708</v>
      </c>
      <c r="F2792" t="s">
        <v>29372</v>
      </c>
      <c r="G2792" t="s">
        <v>29379</v>
      </c>
      <c r="H2792" t="s">
        <v>11048</v>
      </c>
      <c r="I2792" t="s">
        <v>29399</v>
      </c>
      <c r="J2792" t="s">
        <v>29799</v>
      </c>
      <c r="K2792" t="s">
        <v>38490</v>
      </c>
      <c r="M2792" t="s">
        <v>39882</v>
      </c>
      <c r="N2792" t="s">
        <v>42669</v>
      </c>
      <c r="O2792" t="s">
        <v>42670</v>
      </c>
      <c r="P2792">
        <v>0</v>
      </c>
      <c r="Q2792">
        <v>0</v>
      </c>
      <c r="R2792" t="s">
        <v>42675</v>
      </c>
      <c r="S2792" t="s">
        <v>42807</v>
      </c>
      <c r="T2792" t="s">
        <v>44470</v>
      </c>
      <c r="U2792" t="s">
        <v>47149</v>
      </c>
      <c r="W2792" t="s">
        <v>39882</v>
      </c>
      <c r="X2792" t="s">
        <v>42671</v>
      </c>
    </row>
    <row r="2793" spans="1:24">
      <c r="A2793">
        <f>HYPERLINK("https://www.philgeps.gov.ph/GEPSNONPILOT/Tender/SplashBidNoticeAbstractUI.aspx?menuIndex=3&amp;refID=7197355&amp;Result=3","7197355")</f>
        <v>0</v>
      </c>
      <c r="B2793" t="s">
        <v>1053</v>
      </c>
      <c r="C2793" t="s">
        <v>6203</v>
      </c>
      <c r="D2793" t="s">
        <v>17144</v>
      </c>
      <c r="E2793" t="s">
        <v>19709</v>
      </c>
      <c r="F2793" t="s">
        <v>29372</v>
      </c>
      <c r="G2793" t="s">
        <v>29380</v>
      </c>
      <c r="H2793" t="s">
        <v>29389</v>
      </c>
      <c r="I2793" t="s">
        <v>10408</v>
      </c>
      <c r="J2793" t="s">
        <v>31456</v>
      </c>
      <c r="K2793" t="s">
        <v>38595</v>
      </c>
      <c r="M2793" t="s">
        <v>39860</v>
      </c>
      <c r="N2793" t="s">
        <v>42669</v>
      </c>
      <c r="O2793" t="s">
        <v>42670</v>
      </c>
      <c r="P2793">
        <v>0</v>
      </c>
      <c r="Q2793">
        <v>0</v>
      </c>
      <c r="R2793" t="s">
        <v>42675</v>
      </c>
      <c r="S2793" t="s">
        <v>42807</v>
      </c>
      <c r="T2793" t="s">
        <v>44606</v>
      </c>
      <c r="U2793" t="s">
        <v>47125</v>
      </c>
      <c r="W2793" t="s">
        <v>39860</v>
      </c>
      <c r="X2793" t="s">
        <v>42671</v>
      </c>
    </row>
    <row r="2794" spans="1:24">
      <c r="A2794">
        <f>HYPERLINK("https://www.philgeps.gov.ph/GEPSNONPILOT/Tender/SplashBidNoticeAbstractUI.aspx?menuIndex=3&amp;refID=7197354&amp;Result=3","7197354")</f>
        <v>0</v>
      </c>
      <c r="B2794" t="s">
        <v>681</v>
      </c>
      <c r="C2794" t="s">
        <v>6204</v>
      </c>
      <c r="D2794" t="s">
        <v>17160</v>
      </c>
      <c r="E2794" t="s">
        <v>19710</v>
      </c>
      <c r="F2794" t="s">
        <v>29372</v>
      </c>
      <c r="G2794" t="s">
        <v>29379</v>
      </c>
      <c r="H2794" t="s">
        <v>11048</v>
      </c>
      <c r="I2794" t="s">
        <v>29455</v>
      </c>
      <c r="J2794" t="s">
        <v>31457</v>
      </c>
      <c r="K2794" t="s">
        <v>38490</v>
      </c>
      <c r="M2794" t="s">
        <v>39457</v>
      </c>
      <c r="N2794" t="s">
        <v>42669</v>
      </c>
      <c r="O2794" t="s">
        <v>42670</v>
      </c>
      <c r="P2794">
        <v>0</v>
      </c>
      <c r="Q2794">
        <v>0</v>
      </c>
      <c r="R2794" t="s">
        <v>42675</v>
      </c>
      <c r="S2794" t="s">
        <v>42807</v>
      </c>
      <c r="T2794" t="s">
        <v>44468</v>
      </c>
      <c r="U2794" t="s">
        <v>47150</v>
      </c>
      <c r="W2794" t="s">
        <v>39457</v>
      </c>
      <c r="X2794" t="s">
        <v>42671</v>
      </c>
    </row>
    <row r="2795" spans="1:24">
      <c r="A2795">
        <f>HYPERLINK("https://www.philgeps.gov.ph/GEPSNONPILOT/Tender/SplashBidNoticeAbstractUI.aspx?menuIndex=3&amp;refID=7197379&amp;Result=3","7197379")</f>
        <v>0</v>
      </c>
      <c r="B2795" t="s">
        <v>1069</v>
      </c>
      <c r="C2795" t="s">
        <v>6188</v>
      </c>
      <c r="D2795" t="s">
        <v>17141</v>
      </c>
      <c r="E2795" t="s">
        <v>19711</v>
      </c>
      <c r="F2795" t="s">
        <v>29372</v>
      </c>
      <c r="G2795" t="s">
        <v>29379</v>
      </c>
      <c r="H2795" t="s">
        <v>11048</v>
      </c>
      <c r="I2795" t="s">
        <v>29432</v>
      </c>
      <c r="J2795" t="s">
        <v>30889</v>
      </c>
      <c r="K2795" t="s">
        <v>38488</v>
      </c>
      <c r="M2795" t="s">
        <v>39876</v>
      </c>
      <c r="N2795" t="s">
        <v>42669</v>
      </c>
      <c r="O2795" t="s">
        <v>42670</v>
      </c>
      <c r="P2795">
        <v>0</v>
      </c>
      <c r="Q2795">
        <v>0</v>
      </c>
      <c r="R2795" t="s">
        <v>42675</v>
      </c>
      <c r="S2795" t="s">
        <v>42807</v>
      </c>
      <c r="T2795" t="s">
        <v>44480</v>
      </c>
      <c r="U2795" t="s">
        <v>47151</v>
      </c>
      <c r="V2795" t="s">
        <v>56622</v>
      </c>
      <c r="W2795" t="s">
        <v>39876</v>
      </c>
      <c r="X2795" t="s">
        <v>42671</v>
      </c>
    </row>
    <row r="2796" spans="1:24">
      <c r="A2796">
        <f>HYPERLINK("https://www.philgeps.gov.ph/GEPSNONPILOT/Tender/SplashBidNoticeAbstractUI.aspx?menuIndex=3&amp;refID=7197392&amp;Result=3","7197392")</f>
        <v>0</v>
      </c>
      <c r="B2796" t="s">
        <v>1069</v>
      </c>
      <c r="C2796" t="s">
        <v>6205</v>
      </c>
      <c r="D2796" t="s">
        <v>17141</v>
      </c>
      <c r="E2796" t="s">
        <v>19712</v>
      </c>
      <c r="F2796" t="s">
        <v>29372</v>
      </c>
      <c r="G2796" t="s">
        <v>29379</v>
      </c>
      <c r="H2796" t="s">
        <v>11048</v>
      </c>
      <c r="I2796" t="s">
        <v>29400</v>
      </c>
      <c r="J2796" t="s">
        <v>31458</v>
      </c>
      <c r="K2796" t="s">
        <v>38485</v>
      </c>
      <c r="M2796" t="s">
        <v>39876</v>
      </c>
      <c r="N2796" t="s">
        <v>42669</v>
      </c>
      <c r="O2796" t="s">
        <v>42670</v>
      </c>
      <c r="P2796">
        <v>0</v>
      </c>
      <c r="Q2796">
        <v>0</v>
      </c>
      <c r="R2796" t="s">
        <v>42675</v>
      </c>
      <c r="S2796" t="s">
        <v>42807</v>
      </c>
      <c r="T2796" t="s">
        <v>44480</v>
      </c>
      <c r="U2796" t="s">
        <v>47152</v>
      </c>
      <c r="V2796" t="s">
        <v>56623</v>
      </c>
      <c r="W2796" t="s">
        <v>39876</v>
      </c>
      <c r="X2796" t="s">
        <v>42671</v>
      </c>
    </row>
    <row r="2797" spans="1:24">
      <c r="A2797">
        <f>HYPERLINK("https://www.philgeps.gov.ph/GEPSNONPILOT/Tender/SplashBidNoticeAbstractUI.aspx?menuIndex=3&amp;refID=7197360&amp;Result=3","7197360")</f>
        <v>0</v>
      </c>
      <c r="B2797" t="s">
        <v>1076</v>
      </c>
      <c r="C2797" t="s">
        <v>6206</v>
      </c>
      <c r="D2797" t="s">
        <v>17171</v>
      </c>
      <c r="E2797" t="s">
        <v>19628</v>
      </c>
      <c r="F2797" t="s">
        <v>29372</v>
      </c>
      <c r="G2797" t="s">
        <v>29380</v>
      </c>
      <c r="H2797" t="s">
        <v>11048</v>
      </c>
      <c r="I2797" t="s">
        <v>29412</v>
      </c>
      <c r="J2797" t="s">
        <v>29679</v>
      </c>
      <c r="K2797" t="s">
        <v>38534</v>
      </c>
      <c r="M2797" t="s">
        <v>39883</v>
      </c>
      <c r="N2797" t="s">
        <v>42669</v>
      </c>
      <c r="O2797" t="s">
        <v>42670</v>
      </c>
      <c r="P2797">
        <v>0</v>
      </c>
      <c r="Q2797">
        <v>0</v>
      </c>
      <c r="R2797" t="s">
        <v>42675</v>
      </c>
      <c r="S2797" t="s">
        <v>42807</v>
      </c>
      <c r="T2797" t="s">
        <v>44413</v>
      </c>
      <c r="U2797" t="s">
        <v>47153</v>
      </c>
      <c r="W2797" t="s">
        <v>39883</v>
      </c>
      <c r="X2797" t="s">
        <v>42671</v>
      </c>
    </row>
    <row r="2798" spans="1:24">
      <c r="A2798">
        <f>HYPERLINK("https://www.philgeps.gov.ph/GEPSNONPILOT/Tender/SplashBidNoticeAbstractUI.aspx?menuIndex=3&amp;refID=7197391&amp;Result=3","7197391")</f>
        <v>0</v>
      </c>
      <c r="B2798" t="s">
        <v>681</v>
      </c>
      <c r="C2798" t="s">
        <v>6207</v>
      </c>
      <c r="D2798" t="s">
        <v>17160</v>
      </c>
      <c r="E2798" t="s">
        <v>19713</v>
      </c>
      <c r="F2798" t="s">
        <v>29372</v>
      </c>
      <c r="G2798" t="s">
        <v>29379</v>
      </c>
      <c r="H2798" t="s">
        <v>11048</v>
      </c>
      <c r="I2798" t="s">
        <v>29433</v>
      </c>
      <c r="J2798" t="s">
        <v>31459</v>
      </c>
      <c r="K2798" t="s">
        <v>38490</v>
      </c>
      <c r="M2798" t="s">
        <v>39457</v>
      </c>
      <c r="N2798" t="s">
        <v>42669</v>
      </c>
      <c r="O2798" t="s">
        <v>42670</v>
      </c>
      <c r="P2798">
        <v>0</v>
      </c>
      <c r="Q2798">
        <v>0</v>
      </c>
      <c r="R2798" t="s">
        <v>42675</v>
      </c>
      <c r="S2798" t="s">
        <v>42807</v>
      </c>
      <c r="T2798" t="s">
        <v>44468</v>
      </c>
      <c r="U2798" t="s">
        <v>47154</v>
      </c>
      <c r="W2798" t="s">
        <v>39457</v>
      </c>
      <c r="X2798" t="s">
        <v>42671</v>
      </c>
    </row>
    <row r="2799" spans="1:24">
      <c r="A2799">
        <f>HYPERLINK("https://www.philgeps.gov.ph/GEPSNONPILOT/Tender/SplashBidNoticeAbstractUI.aspx?menuIndex=3&amp;refID=7197390&amp;Result=3","7197390")</f>
        <v>0</v>
      </c>
      <c r="B2799" t="s">
        <v>1077</v>
      </c>
      <c r="C2799" t="s">
        <v>6208</v>
      </c>
      <c r="D2799" t="s">
        <v>17141</v>
      </c>
      <c r="E2799" t="s">
        <v>19714</v>
      </c>
      <c r="F2799" t="s">
        <v>29372</v>
      </c>
      <c r="G2799" t="s">
        <v>29380</v>
      </c>
      <c r="H2799" t="s">
        <v>11048</v>
      </c>
      <c r="I2799" t="s">
        <v>3670</v>
      </c>
      <c r="J2799" t="s">
        <v>29529</v>
      </c>
      <c r="K2799" t="s">
        <v>38489</v>
      </c>
      <c r="M2799" t="s">
        <v>39884</v>
      </c>
      <c r="N2799" t="s">
        <v>42669</v>
      </c>
      <c r="O2799" t="s">
        <v>42670</v>
      </c>
      <c r="P2799">
        <v>0</v>
      </c>
      <c r="Q2799">
        <v>0</v>
      </c>
      <c r="R2799" t="s">
        <v>42675</v>
      </c>
      <c r="S2799" t="s">
        <v>42807</v>
      </c>
      <c r="T2799" t="s">
        <v>44375</v>
      </c>
      <c r="U2799" t="s">
        <v>47155</v>
      </c>
      <c r="W2799" t="s">
        <v>39884</v>
      </c>
      <c r="X2799" t="s">
        <v>42671</v>
      </c>
    </row>
    <row r="2800" spans="1:24">
      <c r="A2800">
        <f>HYPERLINK("https://www.philgeps.gov.ph/GEPSNONPILOT/Tender/SplashBidNoticeAbstractUI.aspx?menuIndex=3&amp;refID=7197388&amp;Result=3","7197388")</f>
        <v>0</v>
      </c>
      <c r="B2800" t="s">
        <v>1053</v>
      </c>
      <c r="C2800" t="s">
        <v>6209</v>
      </c>
      <c r="D2800" t="s">
        <v>17144</v>
      </c>
      <c r="E2800" t="s">
        <v>19715</v>
      </c>
      <c r="F2800" t="s">
        <v>29372</v>
      </c>
      <c r="G2800" t="s">
        <v>29380</v>
      </c>
      <c r="H2800" t="s">
        <v>29389</v>
      </c>
      <c r="I2800" t="s">
        <v>29417</v>
      </c>
      <c r="J2800" t="s">
        <v>31460</v>
      </c>
      <c r="K2800" t="s">
        <v>38596</v>
      </c>
      <c r="M2800" t="s">
        <v>39860</v>
      </c>
      <c r="N2800" t="s">
        <v>42669</v>
      </c>
      <c r="O2800" t="s">
        <v>42670</v>
      </c>
      <c r="P2800">
        <v>0</v>
      </c>
      <c r="Q2800">
        <v>0</v>
      </c>
      <c r="R2800" t="s">
        <v>42675</v>
      </c>
      <c r="S2800" t="s">
        <v>42807</v>
      </c>
      <c r="T2800" t="s">
        <v>44606</v>
      </c>
      <c r="U2800" t="s">
        <v>47125</v>
      </c>
      <c r="W2800" t="s">
        <v>39860</v>
      </c>
      <c r="X2800" t="s">
        <v>42671</v>
      </c>
    </row>
    <row r="2801" spans="1:24">
      <c r="A2801">
        <f>HYPERLINK("https://www.philgeps.gov.ph/GEPSNONPILOT/Tender/SplashBidNoticeAbstractUI.aspx?menuIndex=3&amp;refID=7197387&amp;Result=3","7197387")</f>
        <v>0</v>
      </c>
      <c r="B2801" t="s">
        <v>1063</v>
      </c>
      <c r="C2801" t="s">
        <v>6210</v>
      </c>
      <c r="D2801" t="s">
        <v>17205</v>
      </c>
      <c r="E2801" t="s">
        <v>19716</v>
      </c>
      <c r="F2801" t="s">
        <v>29372</v>
      </c>
      <c r="G2801" t="s">
        <v>29380</v>
      </c>
      <c r="H2801" t="s">
        <v>29389</v>
      </c>
      <c r="I2801" t="s">
        <v>10408</v>
      </c>
      <c r="J2801" t="s">
        <v>29555</v>
      </c>
      <c r="K2801" t="s">
        <v>38485</v>
      </c>
      <c r="L2801" t="s">
        <v>1063</v>
      </c>
      <c r="M2801" t="s">
        <v>39870</v>
      </c>
      <c r="N2801" t="s">
        <v>42669</v>
      </c>
      <c r="O2801" t="s">
        <v>42670</v>
      </c>
      <c r="P2801">
        <v>0</v>
      </c>
      <c r="Q2801">
        <v>0</v>
      </c>
      <c r="R2801" t="s">
        <v>42675</v>
      </c>
      <c r="S2801" t="s">
        <v>42807</v>
      </c>
      <c r="T2801" t="s">
        <v>44436</v>
      </c>
      <c r="U2801" t="s">
        <v>47156</v>
      </c>
      <c r="V2801" t="s">
        <v>56624</v>
      </c>
      <c r="W2801" t="s">
        <v>39870</v>
      </c>
      <c r="X2801" t="s">
        <v>42671</v>
      </c>
    </row>
    <row r="2802" spans="1:24">
      <c r="A2802">
        <f>HYPERLINK("https://www.philgeps.gov.ph/GEPSNONPILOT/Tender/SplashBidNoticeAbstractUI.aspx?menuIndex=3&amp;refID=7197368&amp;Result=3","7197368")</f>
        <v>0</v>
      </c>
      <c r="B2802" t="s">
        <v>681</v>
      </c>
      <c r="C2802" t="s">
        <v>6211</v>
      </c>
      <c r="D2802" t="s">
        <v>17160</v>
      </c>
      <c r="E2802" t="s">
        <v>19717</v>
      </c>
      <c r="F2802" t="s">
        <v>29372</v>
      </c>
      <c r="G2802" t="s">
        <v>29379</v>
      </c>
      <c r="H2802" t="s">
        <v>11048</v>
      </c>
      <c r="I2802" t="s">
        <v>29407</v>
      </c>
      <c r="J2802" t="s">
        <v>31002</v>
      </c>
      <c r="K2802" t="s">
        <v>38490</v>
      </c>
      <c r="M2802" t="s">
        <v>39457</v>
      </c>
      <c r="N2802" t="s">
        <v>42669</v>
      </c>
      <c r="O2802" t="s">
        <v>42670</v>
      </c>
      <c r="P2802">
        <v>0</v>
      </c>
      <c r="Q2802">
        <v>0</v>
      </c>
      <c r="R2802" t="s">
        <v>42675</v>
      </c>
      <c r="S2802" t="s">
        <v>42807</v>
      </c>
      <c r="T2802" t="s">
        <v>44468</v>
      </c>
      <c r="U2802" t="s">
        <v>47157</v>
      </c>
      <c r="W2802" t="s">
        <v>39457</v>
      </c>
      <c r="X2802" t="s">
        <v>42671</v>
      </c>
    </row>
    <row r="2803" spans="1:24">
      <c r="A2803">
        <f>HYPERLINK("https://www.philgeps.gov.ph/GEPSNONPILOT/Tender/SplashBidNoticeAbstractUI.aspx?menuIndex=3&amp;refID=7197386&amp;Result=3","7197386")</f>
        <v>0</v>
      </c>
      <c r="B2803" t="s">
        <v>1069</v>
      </c>
      <c r="C2803" t="s">
        <v>6212</v>
      </c>
      <c r="D2803" t="s">
        <v>17141</v>
      </c>
      <c r="E2803" t="s">
        <v>19718</v>
      </c>
      <c r="F2803" t="s">
        <v>29372</v>
      </c>
      <c r="G2803" t="s">
        <v>29379</v>
      </c>
      <c r="H2803" t="s">
        <v>11048</v>
      </c>
      <c r="I2803" t="s">
        <v>4486</v>
      </c>
      <c r="J2803" t="s">
        <v>31461</v>
      </c>
      <c r="K2803" t="s">
        <v>38488</v>
      </c>
      <c r="M2803" t="s">
        <v>39876</v>
      </c>
      <c r="N2803" t="s">
        <v>42669</v>
      </c>
      <c r="O2803" t="s">
        <v>42670</v>
      </c>
      <c r="P2803">
        <v>0</v>
      </c>
      <c r="Q2803">
        <v>0</v>
      </c>
      <c r="R2803" t="s">
        <v>42675</v>
      </c>
      <c r="S2803" t="s">
        <v>42807</v>
      </c>
      <c r="T2803" t="s">
        <v>44480</v>
      </c>
      <c r="U2803" t="s">
        <v>47158</v>
      </c>
      <c r="V2803" t="s">
        <v>56622</v>
      </c>
      <c r="W2803" t="s">
        <v>39876</v>
      </c>
      <c r="X2803" t="s">
        <v>42671</v>
      </c>
    </row>
    <row r="2804" spans="1:24">
      <c r="A2804">
        <f>HYPERLINK("https://www.philgeps.gov.ph/GEPSNONPILOT/Tender/SplashBidNoticeAbstractUI.aspx?menuIndex=3&amp;refID=7197389&amp;Result=3","7197389")</f>
        <v>0</v>
      </c>
      <c r="B2804" t="s">
        <v>1078</v>
      </c>
      <c r="C2804" t="s">
        <v>6213</v>
      </c>
      <c r="D2804" t="s">
        <v>17141</v>
      </c>
      <c r="E2804" t="s">
        <v>17579</v>
      </c>
      <c r="F2804" t="s">
        <v>29372</v>
      </c>
      <c r="G2804" t="s">
        <v>29382</v>
      </c>
      <c r="H2804" t="s">
        <v>11048</v>
      </c>
      <c r="I2804" t="s">
        <v>4487</v>
      </c>
      <c r="J2804" t="s">
        <v>31273</v>
      </c>
      <c r="K2804" t="s">
        <v>38528</v>
      </c>
      <c r="M2804" t="s">
        <v>39885</v>
      </c>
      <c r="N2804" t="s">
        <v>42669</v>
      </c>
      <c r="O2804" t="s">
        <v>42670</v>
      </c>
      <c r="P2804">
        <v>0</v>
      </c>
      <c r="Q2804">
        <v>1</v>
      </c>
      <c r="R2804" t="s">
        <v>42675</v>
      </c>
      <c r="S2804" t="s">
        <v>42807</v>
      </c>
      <c r="T2804" t="s">
        <v>44422</v>
      </c>
      <c r="U2804" t="s">
        <v>47159</v>
      </c>
      <c r="W2804" t="s">
        <v>39885</v>
      </c>
      <c r="X2804" t="s">
        <v>42671</v>
      </c>
    </row>
    <row r="2805" spans="1:24">
      <c r="A2805">
        <f>HYPERLINK("https://www.philgeps.gov.ph/GEPSNONPILOT/Tender/SplashBidNoticeAbstractUI.aspx?menuIndex=3&amp;refID=7197381&amp;Result=3","7197381")</f>
        <v>0</v>
      </c>
      <c r="B2805" t="s">
        <v>1079</v>
      </c>
      <c r="C2805" t="s">
        <v>6214</v>
      </c>
      <c r="D2805" t="s">
        <v>17181</v>
      </c>
      <c r="E2805" t="s">
        <v>19719</v>
      </c>
      <c r="F2805" t="s">
        <v>29373</v>
      </c>
      <c r="G2805" t="s">
        <v>29380</v>
      </c>
      <c r="H2805" t="s">
        <v>29389</v>
      </c>
      <c r="I2805" t="s">
        <v>29453</v>
      </c>
      <c r="J2805" t="s">
        <v>31462</v>
      </c>
      <c r="K2805" t="s">
        <v>38523</v>
      </c>
      <c r="L2805" t="s">
        <v>1079</v>
      </c>
      <c r="M2805" t="s">
        <v>39886</v>
      </c>
      <c r="N2805" t="s">
        <v>42669</v>
      </c>
      <c r="O2805" t="s">
        <v>42670</v>
      </c>
      <c r="P2805">
        <v>0</v>
      </c>
      <c r="Q2805">
        <v>0</v>
      </c>
      <c r="R2805" t="s">
        <v>42675</v>
      </c>
      <c r="S2805" t="s">
        <v>42807</v>
      </c>
      <c r="T2805" t="s">
        <v>44450</v>
      </c>
      <c r="U2805" t="s">
        <v>47160</v>
      </c>
      <c r="W2805" t="s">
        <v>39886</v>
      </c>
      <c r="X2805" t="s">
        <v>42671</v>
      </c>
    </row>
    <row r="2806" spans="1:24">
      <c r="A2806">
        <f>HYPERLINK("https://www.philgeps.gov.ph/GEPSNONPILOT/Tender/SplashBidNoticeAbstractUI.aspx?menuIndex=3&amp;refID=7197380&amp;Result=3","7197380")</f>
        <v>0</v>
      </c>
      <c r="B2806" t="s">
        <v>1051</v>
      </c>
      <c r="C2806" t="s">
        <v>6215</v>
      </c>
      <c r="D2806" t="s">
        <v>17174</v>
      </c>
      <c r="E2806" t="s">
        <v>17725</v>
      </c>
      <c r="F2806" t="s">
        <v>29372</v>
      </c>
      <c r="G2806" t="s">
        <v>29380</v>
      </c>
      <c r="H2806" t="s">
        <v>29389</v>
      </c>
      <c r="I2806" t="s">
        <v>10408</v>
      </c>
      <c r="J2806" t="s">
        <v>31400</v>
      </c>
      <c r="K2806" t="s">
        <v>38525</v>
      </c>
      <c r="M2806" t="s">
        <v>39858</v>
      </c>
      <c r="N2806" t="s">
        <v>42669</v>
      </c>
      <c r="O2806" t="s">
        <v>42670</v>
      </c>
      <c r="P2806">
        <v>0</v>
      </c>
      <c r="Q2806">
        <v>0</v>
      </c>
      <c r="R2806" t="s">
        <v>42675</v>
      </c>
      <c r="S2806" t="s">
        <v>42807</v>
      </c>
      <c r="T2806" t="s">
        <v>44357</v>
      </c>
      <c r="U2806" t="s">
        <v>47161</v>
      </c>
      <c r="W2806" t="s">
        <v>39858</v>
      </c>
      <c r="X2806" t="s">
        <v>42671</v>
      </c>
    </row>
    <row r="2807" spans="1:24">
      <c r="A2807">
        <f>HYPERLINK("https://www.philgeps.gov.ph/GEPSNONPILOT/Tender/SplashBidNoticeAbstractUI.aspx?menuIndex=3&amp;refID=7197385&amp;Result=3","7197385")</f>
        <v>0</v>
      </c>
      <c r="B2807" t="s">
        <v>1076</v>
      </c>
      <c r="C2807" t="s">
        <v>6216</v>
      </c>
      <c r="D2807" t="s">
        <v>17171</v>
      </c>
      <c r="E2807" t="s">
        <v>19278</v>
      </c>
      <c r="F2807" t="s">
        <v>29372</v>
      </c>
      <c r="G2807" t="s">
        <v>29380</v>
      </c>
      <c r="H2807" t="s">
        <v>11048</v>
      </c>
      <c r="I2807" t="s">
        <v>29440</v>
      </c>
      <c r="J2807" t="s">
        <v>31463</v>
      </c>
      <c r="K2807" t="s">
        <v>38537</v>
      </c>
      <c r="M2807" t="s">
        <v>39883</v>
      </c>
      <c r="N2807" t="s">
        <v>42669</v>
      </c>
      <c r="O2807" t="s">
        <v>42670</v>
      </c>
      <c r="P2807">
        <v>0</v>
      </c>
      <c r="Q2807">
        <v>0</v>
      </c>
      <c r="R2807" t="s">
        <v>42675</v>
      </c>
      <c r="S2807" t="s">
        <v>42807</v>
      </c>
      <c r="T2807" t="s">
        <v>44413</v>
      </c>
      <c r="U2807" t="s">
        <v>47162</v>
      </c>
      <c r="W2807" t="s">
        <v>39883</v>
      </c>
      <c r="X2807" t="s">
        <v>42671</v>
      </c>
    </row>
    <row r="2808" spans="1:24">
      <c r="A2808">
        <f>HYPERLINK("https://www.philgeps.gov.ph/GEPSNONPILOT/Tender/SplashBidNoticeAbstractUI.aspx?menuIndex=3&amp;refID=7197371&amp;Result=3","7197371")</f>
        <v>0</v>
      </c>
      <c r="B2808" t="s">
        <v>1051</v>
      </c>
      <c r="C2808" t="s">
        <v>6217</v>
      </c>
      <c r="D2808" t="s">
        <v>17174</v>
      </c>
      <c r="E2808" t="s">
        <v>17719</v>
      </c>
      <c r="F2808" t="s">
        <v>29372</v>
      </c>
      <c r="G2808" t="s">
        <v>29380</v>
      </c>
      <c r="H2808" t="s">
        <v>29389</v>
      </c>
      <c r="I2808" t="s">
        <v>10408</v>
      </c>
      <c r="J2808" t="s">
        <v>31430</v>
      </c>
      <c r="K2808" t="s">
        <v>38525</v>
      </c>
      <c r="M2808" t="s">
        <v>39858</v>
      </c>
      <c r="N2808" t="s">
        <v>42669</v>
      </c>
      <c r="O2808" t="s">
        <v>42670</v>
      </c>
      <c r="P2808">
        <v>0</v>
      </c>
      <c r="Q2808">
        <v>0</v>
      </c>
      <c r="R2808" t="s">
        <v>42675</v>
      </c>
      <c r="S2808" t="s">
        <v>42807</v>
      </c>
      <c r="T2808" t="s">
        <v>44357</v>
      </c>
      <c r="U2808" t="s">
        <v>47163</v>
      </c>
      <c r="W2808" t="s">
        <v>39858</v>
      </c>
      <c r="X2808" t="s">
        <v>42671</v>
      </c>
    </row>
    <row r="2809" spans="1:24">
      <c r="A2809">
        <f>HYPERLINK("https://www.philgeps.gov.ph/GEPSNONPILOT/Tender/SplashBidNoticeAbstractUI.aspx?menuIndex=3&amp;refID=7197377&amp;Result=3","7197377")</f>
        <v>0</v>
      </c>
      <c r="B2809" t="s">
        <v>1076</v>
      </c>
      <c r="C2809" t="s">
        <v>6218</v>
      </c>
      <c r="D2809" t="s">
        <v>17171</v>
      </c>
      <c r="E2809" t="s">
        <v>19635</v>
      </c>
      <c r="F2809" t="s">
        <v>29372</v>
      </c>
      <c r="G2809" t="s">
        <v>29380</v>
      </c>
      <c r="H2809" t="s">
        <v>11048</v>
      </c>
      <c r="I2809" t="s">
        <v>29412</v>
      </c>
      <c r="J2809" t="s">
        <v>31464</v>
      </c>
      <c r="K2809" t="s">
        <v>38534</v>
      </c>
      <c r="M2809" t="s">
        <v>39883</v>
      </c>
      <c r="N2809" t="s">
        <v>42669</v>
      </c>
      <c r="O2809" t="s">
        <v>42670</v>
      </c>
      <c r="P2809">
        <v>0</v>
      </c>
      <c r="Q2809">
        <v>0</v>
      </c>
      <c r="R2809" t="s">
        <v>42675</v>
      </c>
      <c r="S2809" t="s">
        <v>42807</v>
      </c>
      <c r="T2809" t="s">
        <v>44413</v>
      </c>
      <c r="U2809" t="s">
        <v>47164</v>
      </c>
      <c r="W2809" t="s">
        <v>39883</v>
      </c>
      <c r="X2809" t="s">
        <v>42671</v>
      </c>
    </row>
    <row r="2810" spans="1:24">
      <c r="A2810">
        <f>HYPERLINK("https://www.philgeps.gov.ph/GEPSNONPILOT/Tender/SplashBidNoticeAbstractUI.aspx?menuIndex=3&amp;refID=7197374&amp;Result=3","7197374")</f>
        <v>0</v>
      </c>
      <c r="B2810" t="s">
        <v>1080</v>
      </c>
      <c r="C2810" t="s">
        <v>4025</v>
      </c>
      <c r="D2810" t="s">
        <v>17160</v>
      </c>
      <c r="E2810" t="s">
        <v>19720</v>
      </c>
      <c r="F2810" t="s">
        <v>29372</v>
      </c>
      <c r="G2810" t="s">
        <v>29379</v>
      </c>
      <c r="H2810" t="s">
        <v>29390</v>
      </c>
      <c r="I2810" t="s">
        <v>9469</v>
      </c>
      <c r="J2810" t="s">
        <v>29657</v>
      </c>
      <c r="K2810" t="s">
        <v>38510</v>
      </c>
      <c r="M2810" t="s">
        <v>39887</v>
      </c>
      <c r="N2810" t="s">
        <v>42669</v>
      </c>
      <c r="O2810" t="s">
        <v>42670</v>
      </c>
      <c r="P2810">
        <v>0</v>
      </c>
      <c r="Q2810">
        <v>0</v>
      </c>
      <c r="R2810" t="s">
        <v>42675</v>
      </c>
      <c r="S2810" t="s">
        <v>42807</v>
      </c>
      <c r="T2810" t="s">
        <v>44456</v>
      </c>
      <c r="U2810" t="s">
        <v>45345</v>
      </c>
      <c r="W2810" t="s">
        <v>39887</v>
      </c>
      <c r="X2810" t="s">
        <v>42671</v>
      </c>
    </row>
    <row r="2811" spans="1:24">
      <c r="A2811">
        <f>HYPERLINK("https://www.philgeps.gov.ph/GEPSNONPILOT/Tender/SplashBidNoticeAbstractUI.aspx?menuIndex=3&amp;refID=7197306&amp;Result=3","7197306")</f>
        <v>0</v>
      </c>
      <c r="B2811" t="s">
        <v>1069</v>
      </c>
      <c r="C2811" t="s">
        <v>6212</v>
      </c>
      <c r="D2811" t="s">
        <v>17141</v>
      </c>
      <c r="E2811" t="s">
        <v>19721</v>
      </c>
      <c r="F2811" t="s">
        <v>29372</v>
      </c>
      <c r="G2811" t="s">
        <v>29379</v>
      </c>
      <c r="H2811" t="s">
        <v>11048</v>
      </c>
      <c r="I2811" t="s">
        <v>4486</v>
      </c>
      <c r="J2811" t="s">
        <v>31465</v>
      </c>
      <c r="K2811" t="s">
        <v>38488</v>
      </c>
      <c r="M2811" t="s">
        <v>39876</v>
      </c>
      <c r="N2811" t="s">
        <v>42669</v>
      </c>
      <c r="O2811" t="s">
        <v>42670</v>
      </c>
      <c r="P2811">
        <v>0</v>
      </c>
      <c r="Q2811">
        <v>0</v>
      </c>
      <c r="R2811" t="s">
        <v>42675</v>
      </c>
      <c r="S2811" t="s">
        <v>42807</v>
      </c>
      <c r="T2811" t="s">
        <v>44480</v>
      </c>
      <c r="U2811" t="s">
        <v>47165</v>
      </c>
      <c r="V2811" t="s">
        <v>56625</v>
      </c>
      <c r="W2811" t="s">
        <v>39876</v>
      </c>
      <c r="X2811" t="s">
        <v>42671</v>
      </c>
    </row>
    <row r="2812" spans="1:24">
      <c r="A2812">
        <f>HYPERLINK("https://www.philgeps.gov.ph/GEPSNONPILOT/Tender/SplashBidNoticeAbstractUI.aspx?menuIndex=3&amp;refID=7197373&amp;Result=3","7197373")</f>
        <v>0</v>
      </c>
      <c r="B2812" t="s">
        <v>810</v>
      </c>
      <c r="C2812" t="s">
        <v>6219</v>
      </c>
      <c r="E2812" t="s">
        <v>19722</v>
      </c>
      <c r="F2812" t="s">
        <v>29372</v>
      </c>
      <c r="G2812" t="s">
        <v>29379</v>
      </c>
      <c r="H2812" t="s">
        <v>11048</v>
      </c>
      <c r="I2812" t="s">
        <v>29477</v>
      </c>
      <c r="J2812" t="s">
        <v>31466</v>
      </c>
      <c r="K2812" t="s">
        <v>38490</v>
      </c>
      <c r="M2812" t="s">
        <v>39596</v>
      </c>
      <c r="N2812" t="s">
        <v>42669</v>
      </c>
      <c r="O2812" t="s">
        <v>42670</v>
      </c>
      <c r="P2812">
        <v>0</v>
      </c>
      <c r="Q2812">
        <v>0</v>
      </c>
      <c r="R2812" t="s">
        <v>42675</v>
      </c>
      <c r="S2812" t="s">
        <v>42807</v>
      </c>
      <c r="T2812" t="s">
        <v>44470</v>
      </c>
      <c r="U2812" t="s">
        <v>47166</v>
      </c>
      <c r="W2812" t="s">
        <v>39596</v>
      </c>
      <c r="X2812" t="s">
        <v>42671</v>
      </c>
    </row>
    <row r="2813" spans="1:24">
      <c r="A2813">
        <f>HYPERLINK("https://www.philgeps.gov.ph/GEPSNONPILOT/Tender/SplashBidNoticeAbstractUI.aspx?menuIndex=3&amp;refID=7197353&amp;Result=3","7197353")</f>
        <v>0</v>
      </c>
      <c r="B2813" t="s">
        <v>1051</v>
      </c>
      <c r="C2813" t="s">
        <v>6220</v>
      </c>
      <c r="D2813" t="s">
        <v>17174</v>
      </c>
      <c r="E2813" t="s">
        <v>18455</v>
      </c>
      <c r="F2813" t="s">
        <v>29372</v>
      </c>
      <c r="G2813" t="s">
        <v>29380</v>
      </c>
      <c r="H2813" t="s">
        <v>29389</v>
      </c>
      <c r="I2813" t="s">
        <v>10408</v>
      </c>
      <c r="J2813" t="s">
        <v>31430</v>
      </c>
      <c r="K2813" t="s">
        <v>38525</v>
      </c>
      <c r="M2813" t="s">
        <v>39858</v>
      </c>
      <c r="N2813" t="s">
        <v>42669</v>
      </c>
      <c r="O2813" t="s">
        <v>42670</v>
      </c>
      <c r="P2813">
        <v>0</v>
      </c>
      <c r="Q2813">
        <v>0</v>
      </c>
      <c r="R2813" t="s">
        <v>42675</v>
      </c>
      <c r="S2813" t="s">
        <v>42807</v>
      </c>
      <c r="T2813" t="s">
        <v>44357</v>
      </c>
      <c r="U2813" t="s">
        <v>47167</v>
      </c>
      <c r="W2813" t="s">
        <v>39858</v>
      </c>
      <c r="X2813" t="s">
        <v>42671</v>
      </c>
    </row>
    <row r="2814" spans="1:24">
      <c r="A2814">
        <f>HYPERLINK("https://www.philgeps.gov.ph/GEPSNONPILOT/Tender/SplashBidNoticeAbstractUI.aspx?menuIndex=3&amp;refID=7197378&amp;Result=3","7197378")</f>
        <v>0</v>
      </c>
      <c r="B2814" t="s">
        <v>681</v>
      </c>
      <c r="C2814" t="s">
        <v>6221</v>
      </c>
      <c r="D2814" t="s">
        <v>17160</v>
      </c>
      <c r="E2814" t="s">
        <v>19723</v>
      </c>
      <c r="F2814" t="s">
        <v>29372</v>
      </c>
      <c r="G2814" t="s">
        <v>29379</v>
      </c>
      <c r="H2814" t="s">
        <v>11048</v>
      </c>
      <c r="I2814" t="s">
        <v>29411</v>
      </c>
      <c r="J2814" t="s">
        <v>31467</v>
      </c>
      <c r="K2814" t="s">
        <v>38490</v>
      </c>
      <c r="M2814" t="s">
        <v>39457</v>
      </c>
      <c r="N2814" t="s">
        <v>42669</v>
      </c>
      <c r="O2814" t="s">
        <v>42670</v>
      </c>
      <c r="P2814">
        <v>0</v>
      </c>
      <c r="Q2814">
        <v>0</v>
      </c>
      <c r="R2814" t="s">
        <v>42675</v>
      </c>
      <c r="S2814" t="s">
        <v>42807</v>
      </c>
      <c r="T2814" t="s">
        <v>44468</v>
      </c>
      <c r="U2814" t="s">
        <v>47168</v>
      </c>
      <c r="W2814" t="s">
        <v>39457</v>
      </c>
      <c r="X2814" t="s">
        <v>42671</v>
      </c>
    </row>
    <row r="2815" spans="1:24">
      <c r="A2815">
        <f>HYPERLINK("https://www.philgeps.gov.ph/GEPSNONPILOT/Tender/SplashBidNoticeAbstractUI.aspx?menuIndex=3&amp;refID=7197352&amp;Result=3","7197352")</f>
        <v>0</v>
      </c>
      <c r="B2815" t="s">
        <v>1081</v>
      </c>
      <c r="C2815" t="s">
        <v>6222</v>
      </c>
      <c r="D2815" t="s">
        <v>17141</v>
      </c>
      <c r="E2815" t="s">
        <v>19714</v>
      </c>
      <c r="F2815" t="s">
        <v>29372</v>
      </c>
      <c r="G2815" t="s">
        <v>29380</v>
      </c>
      <c r="H2815" t="s">
        <v>11048</v>
      </c>
      <c r="I2815" t="s">
        <v>3670</v>
      </c>
      <c r="J2815" t="s">
        <v>29555</v>
      </c>
      <c r="K2815" t="s">
        <v>38489</v>
      </c>
      <c r="M2815" t="s">
        <v>39888</v>
      </c>
      <c r="N2815" t="s">
        <v>42669</v>
      </c>
      <c r="O2815" t="s">
        <v>42670</v>
      </c>
      <c r="P2815">
        <v>0</v>
      </c>
      <c r="Q2815">
        <v>0</v>
      </c>
      <c r="R2815" t="s">
        <v>42675</v>
      </c>
      <c r="S2815" t="s">
        <v>42807</v>
      </c>
      <c r="T2815" t="s">
        <v>44357</v>
      </c>
      <c r="U2815" t="s">
        <v>47169</v>
      </c>
      <c r="W2815" t="s">
        <v>39888</v>
      </c>
      <c r="X2815" t="s">
        <v>42671</v>
      </c>
    </row>
    <row r="2816" spans="1:24">
      <c r="A2816">
        <f>HYPERLINK("https://www.philgeps.gov.ph/GEPSNONPILOT/Tender/SplashBidNoticeAbstractUI.aspx?menuIndex=3&amp;refID=7197376&amp;Result=3","7197376")</f>
        <v>0</v>
      </c>
      <c r="B2816" t="s">
        <v>383</v>
      </c>
      <c r="C2816" t="s">
        <v>6223</v>
      </c>
      <c r="D2816" t="s">
        <v>17159</v>
      </c>
      <c r="E2816" t="s">
        <v>19724</v>
      </c>
      <c r="F2816" t="s">
        <v>29372</v>
      </c>
      <c r="G2816" t="s">
        <v>29379</v>
      </c>
      <c r="H2816" t="s">
        <v>11048</v>
      </c>
      <c r="I2816" t="s">
        <v>4709</v>
      </c>
      <c r="J2816" t="s">
        <v>31468</v>
      </c>
      <c r="K2816" t="s">
        <v>38487</v>
      </c>
      <c r="M2816" t="s">
        <v>39145</v>
      </c>
      <c r="N2816" t="s">
        <v>42669</v>
      </c>
      <c r="O2816" t="s">
        <v>42670</v>
      </c>
      <c r="P2816">
        <v>0</v>
      </c>
      <c r="Q2816">
        <v>0</v>
      </c>
      <c r="R2816" t="s">
        <v>42675</v>
      </c>
      <c r="S2816" t="s">
        <v>42807</v>
      </c>
      <c r="T2816" t="s">
        <v>44357</v>
      </c>
      <c r="U2816" t="s">
        <v>47170</v>
      </c>
      <c r="W2816" t="s">
        <v>39145</v>
      </c>
      <c r="X2816" t="s">
        <v>42671</v>
      </c>
    </row>
    <row r="2817" spans="1:24">
      <c r="A2817">
        <f>HYPERLINK("https://www.philgeps.gov.ph/GEPSNONPILOT/Tender/SplashBidNoticeAbstractUI.aspx?menuIndex=3&amp;refID=7197393&amp;Result=3","7197393")</f>
        <v>0</v>
      </c>
      <c r="B2817" t="s">
        <v>1043</v>
      </c>
      <c r="C2817" t="s">
        <v>6224</v>
      </c>
      <c r="E2817" t="s">
        <v>19725</v>
      </c>
      <c r="F2817" t="s">
        <v>29372</v>
      </c>
      <c r="G2817" t="s">
        <v>29380</v>
      </c>
      <c r="H2817" t="s">
        <v>29389</v>
      </c>
      <c r="I2817" t="s">
        <v>10408</v>
      </c>
      <c r="J2817" t="s">
        <v>31469</v>
      </c>
      <c r="K2817" t="s">
        <v>38563</v>
      </c>
      <c r="M2817" t="s">
        <v>39848</v>
      </c>
      <c r="N2817" t="s">
        <v>42669</v>
      </c>
      <c r="O2817" t="s">
        <v>42670</v>
      </c>
      <c r="P2817">
        <v>0</v>
      </c>
      <c r="Q2817">
        <v>0</v>
      </c>
      <c r="R2817" t="s">
        <v>42675</v>
      </c>
      <c r="S2817" t="s">
        <v>42807</v>
      </c>
      <c r="T2817" t="s">
        <v>44379</v>
      </c>
      <c r="U2817" t="s">
        <v>47171</v>
      </c>
      <c r="W2817" t="s">
        <v>39848</v>
      </c>
      <c r="X2817" t="s">
        <v>42671</v>
      </c>
    </row>
    <row r="2818" spans="1:24">
      <c r="A2818">
        <f>HYPERLINK("https://www.philgeps.gov.ph/GEPSNONPILOT/Tender/SplashBidNoticeAbstractUI.aspx?menuIndex=3&amp;refID=7197375&amp;Result=3","7197375")</f>
        <v>0</v>
      </c>
      <c r="B2818" t="s">
        <v>1043</v>
      </c>
      <c r="C2818" t="s">
        <v>6225</v>
      </c>
      <c r="E2818" t="s">
        <v>19726</v>
      </c>
      <c r="F2818" t="s">
        <v>29372</v>
      </c>
      <c r="G2818" t="s">
        <v>29380</v>
      </c>
      <c r="H2818" t="s">
        <v>29389</v>
      </c>
      <c r="I2818" t="s">
        <v>10408</v>
      </c>
      <c r="J2818" t="s">
        <v>31470</v>
      </c>
      <c r="K2818" t="s">
        <v>38597</v>
      </c>
      <c r="M2818" t="s">
        <v>39848</v>
      </c>
      <c r="N2818" t="s">
        <v>42669</v>
      </c>
      <c r="O2818" t="s">
        <v>42670</v>
      </c>
      <c r="P2818">
        <v>0</v>
      </c>
      <c r="Q2818">
        <v>0</v>
      </c>
      <c r="R2818" t="s">
        <v>42675</v>
      </c>
      <c r="S2818" t="s">
        <v>42807</v>
      </c>
      <c r="T2818" t="s">
        <v>44379</v>
      </c>
      <c r="U2818" t="s">
        <v>47172</v>
      </c>
      <c r="W2818" t="s">
        <v>39848</v>
      </c>
      <c r="X2818" t="s">
        <v>42671</v>
      </c>
    </row>
    <row r="2819" spans="1:24">
      <c r="A2819">
        <f>HYPERLINK("https://www.philgeps.gov.ph/GEPSNONPILOT/Tender/SplashBidNoticeAbstractUI.aspx?menuIndex=3&amp;refID=7197372&amp;Result=3","7197372")</f>
        <v>0</v>
      </c>
      <c r="B2819" t="s">
        <v>1034</v>
      </c>
      <c r="C2819" t="s">
        <v>6226</v>
      </c>
      <c r="D2819" t="s">
        <v>17199</v>
      </c>
      <c r="E2819" t="s">
        <v>19727</v>
      </c>
      <c r="F2819" t="s">
        <v>29372</v>
      </c>
      <c r="G2819" t="s">
        <v>29379</v>
      </c>
      <c r="H2819" t="s">
        <v>11048</v>
      </c>
      <c r="I2819" t="s">
        <v>29430</v>
      </c>
      <c r="J2819" t="s">
        <v>29680</v>
      </c>
      <c r="K2819" t="s">
        <v>38491</v>
      </c>
      <c r="M2819" t="s">
        <v>39837</v>
      </c>
      <c r="N2819" t="s">
        <v>42669</v>
      </c>
      <c r="O2819" t="s">
        <v>42670</v>
      </c>
      <c r="P2819">
        <v>0</v>
      </c>
      <c r="Q2819">
        <v>0</v>
      </c>
      <c r="R2819" t="s">
        <v>42675</v>
      </c>
      <c r="S2819" t="s">
        <v>42807</v>
      </c>
      <c r="T2819" t="s">
        <v>44480</v>
      </c>
      <c r="U2819" t="s">
        <v>47057</v>
      </c>
      <c r="W2819" t="s">
        <v>58033</v>
      </c>
      <c r="X2819" t="s">
        <v>42671</v>
      </c>
    </row>
    <row r="2820" spans="1:24">
      <c r="A2820">
        <f>HYPERLINK("https://www.philgeps.gov.ph/GEPSNONPILOT/Tender/SplashBidNoticeAbstractUI.aspx?menuIndex=3&amp;refID=7197402&amp;Result=3","7197402")</f>
        <v>0</v>
      </c>
      <c r="B2820" t="s">
        <v>1082</v>
      </c>
      <c r="C2820" t="s">
        <v>4025</v>
      </c>
      <c r="D2820" t="s">
        <v>17160</v>
      </c>
      <c r="E2820" t="s">
        <v>19728</v>
      </c>
      <c r="F2820" t="s">
        <v>29372</v>
      </c>
      <c r="G2820" t="s">
        <v>29379</v>
      </c>
      <c r="H2820" t="s">
        <v>29390</v>
      </c>
      <c r="I2820" t="s">
        <v>9469</v>
      </c>
      <c r="J2820" t="s">
        <v>29657</v>
      </c>
      <c r="K2820" t="s">
        <v>38510</v>
      </c>
      <c r="M2820" t="s">
        <v>39889</v>
      </c>
      <c r="N2820" t="s">
        <v>42669</v>
      </c>
      <c r="O2820" t="s">
        <v>42670</v>
      </c>
      <c r="P2820">
        <v>0</v>
      </c>
      <c r="Q2820">
        <v>0</v>
      </c>
      <c r="R2820" t="s">
        <v>42675</v>
      </c>
      <c r="S2820" t="s">
        <v>42807</v>
      </c>
      <c r="T2820" t="s">
        <v>44430</v>
      </c>
      <c r="U2820" t="s">
        <v>45345</v>
      </c>
      <c r="W2820" t="s">
        <v>39889</v>
      </c>
      <c r="X2820" t="s">
        <v>42671</v>
      </c>
    </row>
    <row r="2821" spans="1:24">
      <c r="A2821">
        <f>HYPERLINK("https://www.philgeps.gov.ph/GEPSNONPILOT/Tender/SplashBidNoticeAbstractUI.aspx?menuIndex=3&amp;refID=7197367&amp;Result=3","7197367")</f>
        <v>0</v>
      </c>
      <c r="B2821" t="s">
        <v>1014</v>
      </c>
      <c r="C2821" t="s">
        <v>6227</v>
      </c>
      <c r="E2821" t="s">
        <v>6227</v>
      </c>
      <c r="F2821" t="s">
        <v>29372</v>
      </c>
      <c r="G2821" t="s">
        <v>29379</v>
      </c>
      <c r="H2821" t="s">
        <v>11048</v>
      </c>
      <c r="I2821" t="s">
        <v>3695</v>
      </c>
      <c r="J2821" t="s">
        <v>31471</v>
      </c>
      <c r="K2821" t="s">
        <v>38491</v>
      </c>
      <c r="M2821" t="s">
        <v>39814</v>
      </c>
      <c r="N2821" t="s">
        <v>42669</v>
      </c>
      <c r="O2821" t="s">
        <v>42670</v>
      </c>
      <c r="P2821">
        <v>0</v>
      </c>
      <c r="Q2821">
        <v>0</v>
      </c>
      <c r="R2821" t="s">
        <v>42675</v>
      </c>
      <c r="S2821" t="s">
        <v>42807</v>
      </c>
      <c r="T2821" t="s">
        <v>44480</v>
      </c>
      <c r="U2821" t="s">
        <v>47173</v>
      </c>
      <c r="W2821" t="s">
        <v>39814</v>
      </c>
      <c r="X2821" t="s">
        <v>42671</v>
      </c>
    </row>
    <row r="2822" spans="1:24">
      <c r="A2822">
        <f>HYPERLINK("https://www.philgeps.gov.ph/GEPSNONPILOT/Tender/SplashBidNoticeAbstractUI.aspx?menuIndex=3&amp;refID=7197411&amp;Result=3","7197411")</f>
        <v>0</v>
      </c>
      <c r="B2822" t="s">
        <v>25</v>
      </c>
      <c r="C2822" t="s">
        <v>3670</v>
      </c>
      <c r="D2822" t="s">
        <v>17142</v>
      </c>
      <c r="E2822" t="s">
        <v>19729</v>
      </c>
      <c r="F2822" t="s">
        <v>29372</v>
      </c>
      <c r="G2822" t="s">
        <v>29379</v>
      </c>
      <c r="H2822" t="s">
        <v>11048</v>
      </c>
      <c r="I2822" t="s">
        <v>3670</v>
      </c>
      <c r="J2822" t="s">
        <v>31472</v>
      </c>
      <c r="K2822" t="s">
        <v>38485</v>
      </c>
      <c r="M2822" t="s">
        <v>38778</v>
      </c>
      <c r="N2822" t="s">
        <v>42669</v>
      </c>
      <c r="O2822" t="s">
        <v>42670</v>
      </c>
      <c r="P2822">
        <v>0</v>
      </c>
      <c r="Q2822">
        <v>0</v>
      </c>
      <c r="R2822" t="s">
        <v>42675</v>
      </c>
      <c r="S2822" t="s">
        <v>42807</v>
      </c>
      <c r="T2822" t="s">
        <v>44431</v>
      </c>
      <c r="U2822" t="s">
        <v>47174</v>
      </c>
      <c r="W2822" t="s">
        <v>38778</v>
      </c>
      <c r="X2822" t="s">
        <v>42671</v>
      </c>
    </row>
    <row r="2823" spans="1:24">
      <c r="A2823">
        <f>HYPERLINK("https://www.philgeps.gov.ph/GEPSNONPILOT/Tender/SplashBidNoticeAbstractUI.aspx?menuIndex=3&amp;refID=7197401&amp;Result=3","7197401")</f>
        <v>0</v>
      </c>
      <c r="B2823" t="s">
        <v>1072</v>
      </c>
      <c r="C2823" t="s">
        <v>6228</v>
      </c>
      <c r="D2823" t="s">
        <v>17141</v>
      </c>
      <c r="E2823" t="s">
        <v>19730</v>
      </c>
      <c r="F2823" t="s">
        <v>29372</v>
      </c>
      <c r="G2823" t="s">
        <v>29380</v>
      </c>
      <c r="H2823" t="s">
        <v>11048</v>
      </c>
      <c r="I2823" t="s">
        <v>29406</v>
      </c>
      <c r="J2823" t="s">
        <v>31473</v>
      </c>
      <c r="K2823" t="s">
        <v>38485</v>
      </c>
      <c r="M2823" t="s">
        <v>39879</v>
      </c>
      <c r="N2823" t="s">
        <v>42669</v>
      </c>
      <c r="O2823" t="s">
        <v>42670</v>
      </c>
      <c r="P2823">
        <v>0</v>
      </c>
      <c r="Q2823">
        <v>0</v>
      </c>
      <c r="R2823" t="s">
        <v>42675</v>
      </c>
      <c r="S2823" t="s">
        <v>42807</v>
      </c>
      <c r="T2823" t="s">
        <v>44405</v>
      </c>
      <c r="U2823" t="s">
        <v>47175</v>
      </c>
      <c r="W2823" t="s">
        <v>39879</v>
      </c>
      <c r="X2823" t="s">
        <v>42671</v>
      </c>
    </row>
    <row r="2824" spans="1:24">
      <c r="A2824">
        <f>HYPERLINK("https://www.philgeps.gov.ph/GEPSNONPILOT/Tender/SplashBidNoticeAbstractUI.aspx?menuIndex=3&amp;refID=7197409&amp;Result=3","7197409")</f>
        <v>0</v>
      </c>
      <c r="B2824" t="s">
        <v>1083</v>
      </c>
      <c r="C2824" t="s">
        <v>6229</v>
      </c>
      <c r="D2824" t="s">
        <v>17186</v>
      </c>
      <c r="E2824" t="s">
        <v>19731</v>
      </c>
      <c r="F2824" t="s">
        <v>29372</v>
      </c>
      <c r="G2824" t="s">
        <v>29380</v>
      </c>
      <c r="H2824" t="s">
        <v>11048</v>
      </c>
      <c r="I2824" t="s">
        <v>4487</v>
      </c>
      <c r="J2824" t="s">
        <v>31474</v>
      </c>
      <c r="K2824" t="s">
        <v>38496</v>
      </c>
      <c r="M2824" t="s">
        <v>39890</v>
      </c>
      <c r="N2824" t="s">
        <v>42669</v>
      </c>
      <c r="O2824" t="s">
        <v>42670</v>
      </c>
      <c r="P2824">
        <v>0</v>
      </c>
      <c r="Q2824">
        <v>0</v>
      </c>
      <c r="R2824" t="s">
        <v>42675</v>
      </c>
      <c r="S2824" t="s">
        <v>42807</v>
      </c>
      <c r="T2824" t="s">
        <v>44381</v>
      </c>
      <c r="U2824" t="s">
        <v>47176</v>
      </c>
      <c r="W2824" t="s">
        <v>39890</v>
      </c>
      <c r="X2824" t="s">
        <v>42671</v>
      </c>
    </row>
    <row r="2825" spans="1:24">
      <c r="A2825">
        <f>HYPERLINK("https://www.philgeps.gov.ph/GEPSNONPILOT/Tender/SplashBidNoticeAbstractUI.aspx?menuIndex=3&amp;refID=7197408&amp;Result=3","7197408")</f>
        <v>0</v>
      </c>
      <c r="B2825" t="s">
        <v>1084</v>
      </c>
      <c r="C2825" t="s">
        <v>6230</v>
      </c>
      <c r="D2825" t="s">
        <v>17179</v>
      </c>
      <c r="E2825" t="s">
        <v>19732</v>
      </c>
      <c r="F2825" t="s">
        <v>29372</v>
      </c>
      <c r="G2825" t="s">
        <v>29380</v>
      </c>
      <c r="H2825" t="s">
        <v>11048</v>
      </c>
      <c r="I2825" t="s">
        <v>8794</v>
      </c>
      <c r="J2825" t="s">
        <v>31475</v>
      </c>
      <c r="K2825" t="s">
        <v>38490</v>
      </c>
      <c r="M2825" t="s">
        <v>39891</v>
      </c>
      <c r="N2825" t="s">
        <v>42669</v>
      </c>
      <c r="O2825" t="s">
        <v>42670</v>
      </c>
      <c r="P2825">
        <v>0</v>
      </c>
      <c r="Q2825">
        <v>0</v>
      </c>
      <c r="R2825" t="s">
        <v>42675</v>
      </c>
      <c r="S2825" t="s">
        <v>42807</v>
      </c>
      <c r="T2825" t="s">
        <v>44412</v>
      </c>
      <c r="U2825" t="s">
        <v>47177</v>
      </c>
      <c r="W2825" t="s">
        <v>39891</v>
      </c>
      <c r="X2825" t="s">
        <v>42671</v>
      </c>
    </row>
    <row r="2826" spans="1:24">
      <c r="A2826">
        <f>HYPERLINK("https://www.philgeps.gov.ph/GEPSNONPILOT/Tender/SplashBidNoticeAbstractUI.aspx?menuIndex=3&amp;refID=7197407&amp;Result=3","7197407")</f>
        <v>0</v>
      </c>
      <c r="B2826" t="s">
        <v>1073</v>
      </c>
      <c r="C2826" t="s">
        <v>6231</v>
      </c>
      <c r="D2826" t="s">
        <v>17141</v>
      </c>
      <c r="E2826" t="s">
        <v>19733</v>
      </c>
      <c r="F2826" t="s">
        <v>29372</v>
      </c>
      <c r="G2826" t="s">
        <v>29382</v>
      </c>
      <c r="H2826" t="s">
        <v>11048</v>
      </c>
      <c r="I2826" t="s">
        <v>6417</v>
      </c>
      <c r="J2826" t="s">
        <v>30346</v>
      </c>
      <c r="K2826" t="s">
        <v>38490</v>
      </c>
      <c r="M2826" t="s">
        <v>39880</v>
      </c>
      <c r="N2826" t="s">
        <v>42669</v>
      </c>
      <c r="O2826" t="s">
        <v>42670</v>
      </c>
      <c r="P2826">
        <v>0</v>
      </c>
      <c r="Q2826">
        <v>0</v>
      </c>
      <c r="R2826" t="s">
        <v>42675</v>
      </c>
      <c r="S2826" t="s">
        <v>42807</v>
      </c>
      <c r="T2826" t="s">
        <v>44397</v>
      </c>
      <c r="U2826" t="s">
        <v>47178</v>
      </c>
      <c r="W2826" t="s">
        <v>39880</v>
      </c>
      <c r="X2826" t="s">
        <v>42671</v>
      </c>
    </row>
    <row r="2827" spans="1:24">
      <c r="A2827">
        <f>HYPERLINK("https://www.philgeps.gov.ph/GEPSNONPILOT/Tender/SplashBidNoticeAbstractUI.aspx?menuIndex=3&amp;refID=7197412&amp;Result=3","7197412")</f>
        <v>0</v>
      </c>
      <c r="B2827" t="s">
        <v>1085</v>
      </c>
      <c r="C2827" t="s">
        <v>6232</v>
      </c>
      <c r="E2827" t="s">
        <v>19734</v>
      </c>
      <c r="F2827" t="s">
        <v>29372</v>
      </c>
      <c r="G2827" t="s">
        <v>29379</v>
      </c>
      <c r="H2827" t="s">
        <v>11048</v>
      </c>
      <c r="I2827" t="s">
        <v>29407</v>
      </c>
      <c r="J2827" t="s">
        <v>31476</v>
      </c>
      <c r="K2827" t="s">
        <v>38490</v>
      </c>
      <c r="M2827" t="s">
        <v>39892</v>
      </c>
      <c r="N2827" t="s">
        <v>42669</v>
      </c>
      <c r="O2827" t="s">
        <v>42670</v>
      </c>
      <c r="P2827">
        <v>0</v>
      </c>
      <c r="Q2827">
        <v>0</v>
      </c>
      <c r="R2827" t="s">
        <v>42675</v>
      </c>
      <c r="S2827" t="s">
        <v>42807</v>
      </c>
      <c r="T2827" t="s">
        <v>44470</v>
      </c>
      <c r="U2827" t="s">
        <v>47179</v>
      </c>
      <c r="W2827" t="s">
        <v>39892</v>
      </c>
      <c r="X2827" t="s">
        <v>42671</v>
      </c>
    </row>
    <row r="2828" spans="1:24">
      <c r="A2828">
        <f>HYPERLINK("https://www.philgeps.gov.ph/GEPSNONPILOT/Tender/SplashBidNoticeAbstractUI.aspx?menuIndex=3&amp;refID=7197406&amp;Result=3","7197406")</f>
        <v>0</v>
      </c>
      <c r="B2828" t="s">
        <v>1086</v>
      </c>
      <c r="C2828" t="s">
        <v>6233</v>
      </c>
      <c r="D2828" t="s">
        <v>17141</v>
      </c>
      <c r="E2828" t="s">
        <v>19735</v>
      </c>
      <c r="F2828" t="s">
        <v>29372</v>
      </c>
      <c r="G2828" t="s">
        <v>29380</v>
      </c>
      <c r="H2828" t="s">
        <v>29390</v>
      </c>
      <c r="I2828" t="s">
        <v>29396</v>
      </c>
      <c r="J2828" t="s">
        <v>31477</v>
      </c>
      <c r="K2828" t="s">
        <v>38567</v>
      </c>
      <c r="M2828" t="s">
        <v>39893</v>
      </c>
      <c r="N2828" t="s">
        <v>42669</v>
      </c>
      <c r="O2828" t="s">
        <v>42670</v>
      </c>
      <c r="P2828">
        <v>0</v>
      </c>
      <c r="Q2828">
        <v>0</v>
      </c>
      <c r="R2828" t="s">
        <v>42675</v>
      </c>
      <c r="S2828" t="s">
        <v>42807</v>
      </c>
      <c r="T2828" t="s">
        <v>44376</v>
      </c>
      <c r="U2828" t="s">
        <v>45794</v>
      </c>
      <c r="W2828" t="s">
        <v>39893</v>
      </c>
      <c r="X2828" t="s">
        <v>42671</v>
      </c>
    </row>
    <row r="2829" spans="1:24">
      <c r="A2829">
        <f>HYPERLINK("https://www.philgeps.gov.ph/GEPSNONPILOT/Tender/SplashBidNoticeAbstractUI.aspx?menuIndex=3&amp;refID=7197405&amp;Result=3","7197405")</f>
        <v>0</v>
      </c>
      <c r="B2829" t="s">
        <v>92</v>
      </c>
      <c r="C2829" t="s">
        <v>6234</v>
      </c>
      <c r="D2829" t="s">
        <v>17141</v>
      </c>
      <c r="E2829" t="s">
        <v>19736</v>
      </c>
      <c r="F2829" t="s">
        <v>29372</v>
      </c>
      <c r="G2829" t="s">
        <v>29380</v>
      </c>
      <c r="H2829" t="s">
        <v>11048</v>
      </c>
      <c r="I2829" t="s">
        <v>29400</v>
      </c>
      <c r="J2829" t="s">
        <v>29609</v>
      </c>
      <c r="K2829" t="s">
        <v>38490</v>
      </c>
      <c r="M2829" t="s">
        <v>39854</v>
      </c>
      <c r="N2829" t="s">
        <v>42669</v>
      </c>
      <c r="O2829" t="s">
        <v>42670</v>
      </c>
      <c r="P2829">
        <v>0</v>
      </c>
      <c r="Q2829">
        <v>0</v>
      </c>
      <c r="R2829" t="s">
        <v>42675</v>
      </c>
      <c r="S2829" t="s">
        <v>42807</v>
      </c>
      <c r="T2829" t="s">
        <v>44352</v>
      </c>
      <c r="U2829" t="s">
        <v>47180</v>
      </c>
      <c r="W2829" t="s">
        <v>39854</v>
      </c>
      <c r="X2829" t="s">
        <v>42671</v>
      </c>
    </row>
    <row r="2830" spans="1:24">
      <c r="A2830">
        <f>HYPERLINK("https://www.philgeps.gov.ph/GEPSNONPILOT/Tender/SplashBidNoticeAbstractUI.aspx?menuIndex=3&amp;refID=7197400&amp;Result=3","7197400")</f>
        <v>0</v>
      </c>
      <c r="B2830" t="s">
        <v>1087</v>
      </c>
      <c r="C2830" t="s">
        <v>6235</v>
      </c>
      <c r="E2830" t="s">
        <v>19737</v>
      </c>
      <c r="F2830" t="s">
        <v>29372</v>
      </c>
      <c r="G2830" t="s">
        <v>29379</v>
      </c>
      <c r="H2830" t="s">
        <v>11048</v>
      </c>
      <c r="I2830" t="s">
        <v>29458</v>
      </c>
      <c r="J2830" t="s">
        <v>30032</v>
      </c>
      <c r="K2830" t="s">
        <v>38491</v>
      </c>
      <c r="M2830" t="s">
        <v>39894</v>
      </c>
      <c r="N2830" t="s">
        <v>42669</v>
      </c>
      <c r="O2830" t="s">
        <v>42670</v>
      </c>
      <c r="P2830">
        <v>0</v>
      </c>
      <c r="Q2830">
        <v>0</v>
      </c>
      <c r="R2830" t="s">
        <v>42675</v>
      </c>
      <c r="S2830" t="s">
        <v>42807</v>
      </c>
      <c r="T2830" t="s">
        <v>44468</v>
      </c>
      <c r="U2830" t="s">
        <v>47181</v>
      </c>
      <c r="V2830" t="s">
        <v>56626</v>
      </c>
      <c r="W2830" t="s">
        <v>39894</v>
      </c>
      <c r="X2830" t="s">
        <v>42671</v>
      </c>
    </row>
    <row r="2831" spans="1:24">
      <c r="A2831">
        <f>HYPERLINK("https://www.philgeps.gov.ph/GEPSNONPILOT/Tender/SplashBidNoticeAbstractUI.aspx?menuIndex=3&amp;refID=7197384&amp;Result=3","7197384")</f>
        <v>0</v>
      </c>
      <c r="B2831" t="s">
        <v>1043</v>
      </c>
      <c r="C2831" t="s">
        <v>6236</v>
      </c>
      <c r="E2831" t="s">
        <v>19738</v>
      </c>
      <c r="F2831" t="s">
        <v>29372</v>
      </c>
      <c r="G2831" t="s">
        <v>29380</v>
      </c>
      <c r="H2831" t="s">
        <v>29389</v>
      </c>
      <c r="I2831" t="s">
        <v>10408</v>
      </c>
      <c r="J2831" t="s">
        <v>31478</v>
      </c>
      <c r="K2831" t="s">
        <v>38594</v>
      </c>
      <c r="M2831" t="s">
        <v>39848</v>
      </c>
      <c r="N2831" t="s">
        <v>42669</v>
      </c>
      <c r="O2831" t="s">
        <v>42670</v>
      </c>
      <c r="P2831">
        <v>0</v>
      </c>
      <c r="Q2831">
        <v>0</v>
      </c>
      <c r="R2831" t="s">
        <v>42675</v>
      </c>
      <c r="S2831" t="s">
        <v>42807</v>
      </c>
      <c r="T2831" t="s">
        <v>44379</v>
      </c>
      <c r="U2831" t="s">
        <v>47182</v>
      </c>
      <c r="W2831" t="s">
        <v>39848</v>
      </c>
      <c r="X2831" t="s">
        <v>42671</v>
      </c>
    </row>
    <row r="2832" spans="1:24">
      <c r="A2832">
        <f>HYPERLINK("https://www.philgeps.gov.ph/GEPSNONPILOT/Tender/SplashBidNoticeAbstractUI.aspx?menuIndex=3&amp;refID=7197410&amp;Result=3","7197410")</f>
        <v>0</v>
      </c>
      <c r="B2832" t="s">
        <v>1088</v>
      </c>
      <c r="C2832" t="s">
        <v>6237</v>
      </c>
      <c r="D2832" t="s">
        <v>17141</v>
      </c>
      <c r="E2832" t="s">
        <v>19739</v>
      </c>
      <c r="F2832" t="s">
        <v>29372</v>
      </c>
      <c r="G2832" t="s">
        <v>29380</v>
      </c>
      <c r="H2832" t="s">
        <v>11048</v>
      </c>
      <c r="I2832" t="s">
        <v>29467</v>
      </c>
      <c r="J2832" t="s">
        <v>31479</v>
      </c>
      <c r="K2832" t="s">
        <v>38598</v>
      </c>
      <c r="M2832" t="s">
        <v>39895</v>
      </c>
      <c r="N2832" t="s">
        <v>42669</v>
      </c>
      <c r="O2832" t="s">
        <v>42670</v>
      </c>
      <c r="P2832">
        <v>0</v>
      </c>
      <c r="Q2832">
        <v>0</v>
      </c>
      <c r="R2832" t="s">
        <v>42675</v>
      </c>
      <c r="S2832" t="s">
        <v>42807</v>
      </c>
      <c r="T2832" t="s">
        <v>44611</v>
      </c>
      <c r="U2832" t="s">
        <v>47183</v>
      </c>
      <c r="W2832" t="s">
        <v>39895</v>
      </c>
      <c r="X2832" t="s">
        <v>42671</v>
      </c>
    </row>
    <row r="2833" spans="1:24">
      <c r="A2833">
        <f>HYPERLINK("https://www.philgeps.gov.ph/GEPSNONPILOT/Tender/SplashBidNoticeAbstractUI.aspx?menuIndex=3&amp;refID=7197421&amp;Result=3","7197421")</f>
        <v>0</v>
      </c>
      <c r="B2833" t="s">
        <v>1069</v>
      </c>
      <c r="C2833" t="s">
        <v>6212</v>
      </c>
      <c r="D2833" t="s">
        <v>17141</v>
      </c>
      <c r="E2833" t="s">
        <v>19740</v>
      </c>
      <c r="F2833" t="s">
        <v>29372</v>
      </c>
      <c r="G2833" t="s">
        <v>29379</v>
      </c>
      <c r="H2833" t="s">
        <v>11048</v>
      </c>
      <c r="I2833" t="s">
        <v>4486</v>
      </c>
      <c r="J2833" t="s">
        <v>31480</v>
      </c>
      <c r="K2833" t="s">
        <v>38488</v>
      </c>
      <c r="M2833" t="s">
        <v>39876</v>
      </c>
      <c r="N2833" t="s">
        <v>42669</v>
      </c>
      <c r="O2833" t="s">
        <v>42670</v>
      </c>
      <c r="P2833">
        <v>0</v>
      </c>
      <c r="Q2833">
        <v>0</v>
      </c>
      <c r="R2833" t="s">
        <v>42675</v>
      </c>
      <c r="S2833" t="s">
        <v>42807</v>
      </c>
      <c r="T2833" t="s">
        <v>44480</v>
      </c>
      <c r="U2833" t="s">
        <v>47184</v>
      </c>
      <c r="V2833" t="s">
        <v>56623</v>
      </c>
      <c r="W2833" t="s">
        <v>39876</v>
      </c>
      <c r="X2833" t="s">
        <v>42671</v>
      </c>
    </row>
    <row r="2834" spans="1:24">
      <c r="A2834">
        <f>HYPERLINK("https://www.philgeps.gov.ph/GEPSNONPILOT/Tender/SplashBidNoticeAbstractUI.aspx?menuIndex=3&amp;refID=7197436&amp;Result=3","7197436")</f>
        <v>0</v>
      </c>
      <c r="B2834" t="s">
        <v>1068</v>
      </c>
      <c r="C2834" t="s">
        <v>6238</v>
      </c>
      <c r="E2834" t="s">
        <v>19741</v>
      </c>
      <c r="F2834" t="s">
        <v>29373</v>
      </c>
      <c r="G2834" t="s">
        <v>29379</v>
      </c>
      <c r="H2834" t="s">
        <v>11048</v>
      </c>
      <c r="I2834" t="s">
        <v>4709</v>
      </c>
      <c r="J2834" t="s">
        <v>31481</v>
      </c>
      <c r="K2834" t="s">
        <v>38491</v>
      </c>
      <c r="N2834" t="s">
        <v>42669</v>
      </c>
      <c r="O2834" t="s">
        <v>42670</v>
      </c>
      <c r="P2834">
        <v>0</v>
      </c>
      <c r="Q2834">
        <v>0</v>
      </c>
      <c r="R2834" t="s">
        <v>42675</v>
      </c>
      <c r="S2834" t="s">
        <v>42807</v>
      </c>
      <c r="T2834" t="s">
        <v>44375</v>
      </c>
      <c r="U2834" t="s">
        <v>47185</v>
      </c>
      <c r="V2834" t="s">
        <v>44993</v>
      </c>
      <c r="W2834" t="s">
        <v>39875</v>
      </c>
      <c r="X2834" t="s">
        <v>42671</v>
      </c>
    </row>
    <row r="2835" spans="1:24">
      <c r="A2835">
        <f>HYPERLINK("https://www.philgeps.gov.ph/GEPSNONPILOT/Tender/SplashBidNoticeAbstractUI.aspx?menuIndex=3&amp;refID=7197435&amp;Result=3","7197435")</f>
        <v>0</v>
      </c>
      <c r="B2835" t="s">
        <v>1089</v>
      </c>
      <c r="C2835" t="s">
        <v>6239</v>
      </c>
      <c r="D2835" t="s">
        <v>17170</v>
      </c>
      <c r="E2835" t="s">
        <v>19742</v>
      </c>
      <c r="F2835" t="s">
        <v>29372</v>
      </c>
      <c r="G2835" t="s">
        <v>29379</v>
      </c>
      <c r="H2835" t="s">
        <v>11048</v>
      </c>
      <c r="I2835" t="s">
        <v>29406</v>
      </c>
      <c r="J2835" t="s">
        <v>29729</v>
      </c>
      <c r="K2835" t="s">
        <v>38510</v>
      </c>
      <c r="M2835" t="s">
        <v>39896</v>
      </c>
      <c r="N2835" t="s">
        <v>42669</v>
      </c>
      <c r="O2835" t="s">
        <v>42670</v>
      </c>
      <c r="P2835">
        <v>0</v>
      </c>
      <c r="Q2835">
        <v>0</v>
      </c>
      <c r="R2835" t="s">
        <v>42675</v>
      </c>
      <c r="S2835" t="s">
        <v>42807</v>
      </c>
      <c r="T2835" t="s">
        <v>44470</v>
      </c>
      <c r="U2835" t="s">
        <v>47186</v>
      </c>
      <c r="W2835" t="s">
        <v>39896</v>
      </c>
      <c r="X2835" t="s">
        <v>42671</v>
      </c>
    </row>
    <row r="2836" spans="1:24">
      <c r="A2836">
        <f>HYPERLINK("https://www.philgeps.gov.ph/GEPSNONPILOT/Tender/SplashBidNoticeAbstractUI.aspx?menuIndex=3&amp;refID=7197434&amp;Result=3","7197434")</f>
        <v>0</v>
      </c>
      <c r="B2836" t="s">
        <v>1090</v>
      </c>
      <c r="C2836" t="s">
        <v>6240</v>
      </c>
      <c r="D2836" t="s">
        <v>17170</v>
      </c>
      <c r="E2836" t="s">
        <v>19743</v>
      </c>
      <c r="F2836" t="s">
        <v>29372</v>
      </c>
      <c r="G2836" t="s">
        <v>29380</v>
      </c>
      <c r="H2836" t="s">
        <v>29389</v>
      </c>
      <c r="I2836" t="s">
        <v>10408</v>
      </c>
      <c r="J2836" t="s">
        <v>31482</v>
      </c>
      <c r="K2836" t="s">
        <v>38518</v>
      </c>
      <c r="M2836" t="s">
        <v>39897</v>
      </c>
      <c r="N2836" t="s">
        <v>42669</v>
      </c>
      <c r="O2836" t="s">
        <v>42670</v>
      </c>
      <c r="P2836">
        <v>0</v>
      </c>
      <c r="Q2836">
        <v>0</v>
      </c>
      <c r="R2836" t="s">
        <v>42675</v>
      </c>
      <c r="S2836" t="s">
        <v>42807</v>
      </c>
      <c r="T2836" t="s">
        <v>44381</v>
      </c>
      <c r="U2836" t="s">
        <v>47187</v>
      </c>
      <c r="W2836" t="s">
        <v>39897</v>
      </c>
      <c r="X2836" t="s">
        <v>42671</v>
      </c>
    </row>
    <row r="2837" spans="1:24">
      <c r="A2837">
        <f>HYPERLINK("https://www.philgeps.gov.ph/GEPSNONPILOT/Tender/SplashBidNoticeAbstractUI.aspx?menuIndex=3&amp;refID=7197432&amp;Result=3","7197432")</f>
        <v>0</v>
      </c>
      <c r="B2837" t="s">
        <v>1085</v>
      </c>
      <c r="C2837" t="s">
        <v>6241</v>
      </c>
      <c r="E2837" t="s">
        <v>19744</v>
      </c>
      <c r="F2837" t="s">
        <v>29372</v>
      </c>
      <c r="G2837" t="s">
        <v>29379</v>
      </c>
      <c r="H2837" t="s">
        <v>11048</v>
      </c>
      <c r="I2837" t="s">
        <v>29433</v>
      </c>
      <c r="J2837" t="s">
        <v>31483</v>
      </c>
      <c r="K2837" t="s">
        <v>38496</v>
      </c>
      <c r="M2837" t="s">
        <v>39892</v>
      </c>
      <c r="N2837" t="s">
        <v>42669</v>
      </c>
      <c r="O2837" t="s">
        <v>42670</v>
      </c>
      <c r="P2837">
        <v>0</v>
      </c>
      <c r="Q2837">
        <v>0</v>
      </c>
      <c r="R2837" t="s">
        <v>42675</v>
      </c>
      <c r="S2837" t="s">
        <v>42807</v>
      </c>
      <c r="T2837" t="s">
        <v>44470</v>
      </c>
      <c r="U2837" t="s">
        <v>47188</v>
      </c>
      <c r="W2837" t="s">
        <v>39892</v>
      </c>
      <c r="X2837" t="s">
        <v>42671</v>
      </c>
    </row>
    <row r="2838" spans="1:24">
      <c r="A2838">
        <f>HYPERLINK("https://www.philgeps.gov.ph/GEPSNONPILOT/Tender/SplashBidNoticeAbstractUI.aspx?menuIndex=3&amp;refID=7197431&amp;Result=3","7197431")</f>
        <v>0</v>
      </c>
      <c r="B2838" t="s">
        <v>1091</v>
      </c>
      <c r="C2838" t="s">
        <v>6242</v>
      </c>
      <c r="D2838" t="s">
        <v>17141</v>
      </c>
      <c r="E2838" t="s">
        <v>19745</v>
      </c>
      <c r="F2838" t="s">
        <v>29372</v>
      </c>
      <c r="G2838" t="s">
        <v>29380</v>
      </c>
      <c r="H2838" t="s">
        <v>29391</v>
      </c>
      <c r="I2838" t="s">
        <v>29407</v>
      </c>
      <c r="J2838" t="s">
        <v>31484</v>
      </c>
      <c r="K2838" t="s">
        <v>38491</v>
      </c>
      <c r="M2838" t="s">
        <v>39898</v>
      </c>
      <c r="N2838" t="s">
        <v>42669</v>
      </c>
      <c r="O2838" t="s">
        <v>42670</v>
      </c>
      <c r="P2838">
        <v>0</v>
      </c>
      <c r="Q2838">
        <v>0</v>
      </c>
      <c r="R2838" t="s">
        <v>42675</v>
      </c>
      <c r="S2838" t="s">
        <v>42807</v>
      </c>
      <c r="T2838" t="s">
        <v>44612</v>
      </c>
      <c r="U2838" t="s">
        <v>47189</v>
      </c>
      <c r="W2838" t="s">
        <v>39898</v>
      </c>
      <c r="X2838" t="s">
        <v>42671</v>
      </c>
    </row>
    <row r="2839" spans="1:24">
      <c r="A2839">
        <f>HYPERLINK("https://www.philgeps.gov.ph/GEPSNONPILOT/Tender/SplashBidNoticeAbstractUI.aspx?menuIndex=3&amp;refID=7197429&amp;Result=3","7197429")</f>
        <v>0</v>
      </c>
      <c r="B2839" t="s">
        <v>92</v>
      </c>
      <c r="C2839" t="s">
        <v>6243</v>
      </c>
      <c r="D2839" t="s">
        <v>17141</v>
      </c>
      <c r="E2839" t="s">
        <v>19746</v>
      </c>
      <c r="F2839" t="s">
        <v>29372</v>
      </c>
      <c r="G2839" t="s">
        <v>29380</v>
      </c>
      <c r="H2839" t="s">
        <v>11048</v>
      </c>
      <c r="I2839" t="s">
        <v>29400</v>
      </c>
      <c r="J2839" t="s">
        <v>31485</v>
      </c>
      <c r="K2839" t="s">
        <v>38490</v>
      </c>
      <c r="M2839" t="s">
        <v>39854</v>
      </c>
      <c r="N2839" t="s">
        <v>42669</v>
      </c>
      <c r="O2839" t="s">
        <v>42670</v>
      </c>
      <c r="P2839">
        <v>0</v>
      </c>
      <c r="Q2839">
        <v>0</v>
      </c>
      <c r="R2839" t="s">
        <v>42675</v>
      </c>
      <c r="S2839" t="s">
        <v>42807</v>
      </c>
      <c r="T2839" t="s">
        <v>44576</v>
      </c>
      <c r="U2839" t="s">
        <v>47190</v>
      </c>
      <c r="W2839" t="s">
        <v>39854</v>
      </c>
      <c r="X2839" t="s">
        <v>42671</v>
      </c>
    </row>
    <row r="2840" spans="1:24">
      <c r="A2840">
        <f>HYPERLINK("https://www.philgeps.gov.ph/GEPSNONPILOT/Tender/SplashBidNoticeAbstractUI.aspx?menuIndex=3&amp;refID=7197427&amp;Result=3","7197427")</f>
        <v>0</v>
      </c>
      <c r="B2840" t="s">
        <v>1092</v>
      </c>
      <c r="C2840" t="s">
        <v>3942</v>
      </c>
      <c r="D2840" t="s">
        <v>17169</v>
      </c>
      <c r="E2840" t="s">
        <v>19747</v>
      </c>
      <c r="F2840" t="s">
        <v>29372</v>
      </c>
      <c r="G2840" t="s">
        <v>29383</v>
      </c>
      <c r="H2840" t="s">
        <v>11048</v>
      </c>
      <c r="I2840" t="s">
        <v>5383</v>
      </c>
      <c r="J2840" t="s">
        <v>30169</v>
      </c>
      <c r="K2840" t="s">
        <v>38491</v>
      </c>
      <c r="M2840" t="s">
        <v>39899</v>
      </c>
      <c r="N2840" t="s">
        <v>42669</v>
      </c>
      <c r="O2840" t="s">
        <v>42670</v>
      </c>
      <c r="P2840">
        <v>0</v>
      </c>
      <c r="Q2840">
        <v>1</v>
      </c>
      <c r="R2840" t="s">
        <v>42675</v>
      </c>
      <c r="S2840" t="s">
        <v>42807</v>
      </c>
      <c r="T2840" t="s">
        <v>44429</v>
      </c>
      <c r="U2840" t="s">
        <v>47191</v>
      </c>
      <c r="W2840" t="s">
        <v>39899</v>
      </c>
      <c r="X2840" t="s">
        <v>42671</v>
      </c>
    </row>
    <row r="2841" spans="1:24">
      <c r="A2841">
        <f>HYPERLINK("https://www.philgeps.gov.ph/GEPSNONPILOT/Tender/SplashBidNoticeAbstractUI.aspx?menuIndex=3&amp;refID=7197413&amp;Result=3","7197413")</f>
        <v>0</v>
      </c>
      <c r="B2841" t="s">
        <v>1068</v>
      </c>
      <c r="C2841" t="s">
        <v>6244</v>
      </c>
      <c r="D2841" t="s">
        <v>17177</v>
      </c>
      <c r="E2841" t="s">
        <v>19748</v>
      </c>
      <c r="F2841" t="s">
        <v>29373</v>
      </c>
      <c r="G2841" t="s">
        <v>29379</v>
      </c>
      <c r="H2841" t="s">
        <v>11048</v>
      </c>
      <c r="I2841" t="s">
        <v>29399</v>
      </c>
      <c r="J2841" t="s">
        <v>30173</v>
      </c>
      <c r="K2841" t="s">
        <v>38491</v>
      </c>
      <c r="M2841" t="s">
        <v>39875</v>
      </c>
      <c r="N2841" t="s">
        <v>42669</v>
      </c>
      <c r="O2841" t="s">
        <v>42670</v>
      </c>
      <c r="P2841">
        <v>0</v>
      </c>
      <c r="Q2841">
        <v>0</v>
      </c>
      <c r="R2841" t="s">
        <v>42675</v>
      </c>
      <c r="S2841" t="s">
        <v>42807</v>
      </c>
      <c r="T2841" t="s">
        <v>44364</v>
      </c>
      <c r="U2841" t="s">
        <v>47192</v>
      </c>
      <c r="V2841" t="s">
        <v>44993</v>
      </c>
      <c r="W2841" t="s">
        <v>39875</v>
      </c>
      <c r="X2841" t="s">
        <v>42671</v>
      </c>
    </row>
    <row r="2842" spans="1:24">
      <c r="A2842">
        <f>HYPERLINK("https://www.philgeps.gov.ph/GEPSNONPILOT/Tender/SplashBidNoticeAbstractUI.aspx?menuIndex=3&amp;refID=7197426&amp;Result=3","7197426")</f>
        <v>0</v>
      </c>
      <c r="B2842" t="s">
        <v>1093</v>
      </c>
      <c r="C2842" t="s">
        <v>4025</v>
      </c>
      <c r="D2842" t="s">
        <v>17160</v>
      </c>
      <c r="E2842" t="s">
        <v>19749</v>
      </c>
      <c r="F2842" t="s">
        <v>29372</v>
      </c>
      <c r="G2842" t="s">
        <v>29379</v>
      </c>
      <c r="H2842" t="s">
        <v>29390</v>
      </c>
      <c r="I2842" t="s">
        <v>9469</v>
      </c>
      <c r="J2842" t="s">
        <v>29657</v>
      </c>
      <c r="K2842" t="s">
        <v>38510</v>
      </c>
      <c r="M2842" t="s">
        <v>39900</v>
      </c>
      <c r="N2842" t="s">
        <v>42669</v>
      </c>
      <c r="O2842" t="s">
        <v>42670</v>
      </c>
      <c r="P2842">
        <v>0</v>
      </c>
      <c r="Q2842">
        <v>0</v>
      </c>
      <c r="R2842" t="s">
        <v>42675</v>
      </c>
      <c r="S2842" t="s">
        <v>42807</v>
      </c>
      <c r="T2842" t="s">
        <v>44456</v>
      </c>
      <c r="U2842" t="s">
        <v>45345</v>
      </c>
      <c r="W2842" t="s">
        <v>39900</v>
      </c>
      <c r="X2842" t="s">
        <v>42671</v>
      </c>
    </row>
    <row r="2843" spans="1:24">
      <c r="A2843">
        <f>HYPERLINK("https://www.philgeps.gov.ph/GEPSNONPILOT/Tender/SplashBidNoticeAbstractUI.aspx?menuIndex=3&amp;refID=7197403&amp;Result=3","7197403")</f>
        <v>0</v>
      </c>
      <c r="B2843" t="s">
        <v>1043</v>
      </c>
      <c r="C2843" t="s">
        <v>6245</v>
      </c>
      <c r="E2843" t="s">
        <v>19750</v>
      </c>
      <c r="F2843" t="s">
        <v>29372</v>
      </c>
      <c r="G2843" t="s">
        <v>29380</v>
      </c>
      <c r="H2843" t="s">
        <v>29389</v>
      </c>
      <c r="I2843" t="s">
        <v>10408</v>
      </c>
      <c r="J2843" t="s">
        <v>31486</v>
      </c>
      <c r="K2843" t="s">
        <v>38563</v>
      </c>
      <c r="M2843" t="s">
        <v>39848</v>
      </c>
      <c r="N2843" t="s">
        <v>42669</v>
      </c>
      <c r="O2843" t="s">
        <v>42670</v>
      </c>
      <c r="P2843">
        <v>0</v>
      </c>
      <c r="Q2843">
        <v>0</v>
      </c>
      <c r="R2843" t="s">
        <v>42675</v>
      </c>
      <c r="S2843" t="s">
        <v>42807</v>
      </c>
      <c r="T2843" t="s">
        <v>44379</v>
      </c>
      <c r="U2843" t="s">
        <v>47193</v>
      </c>
      <c r="W2843" t="s">
        <v>39848</v>
      </c>
      <c r="X2843" t="s">
        <v>42671</v>
      </c>
    </row>
    <row r="2844" spans="1:24">
      <c r="A2844">
        <f>HYPERLINK("https://www.philgeps.gov.ph/GEPSNONPILOT/Tender/SplashBidNoticeAbstractUI.aspx?menuIndex=3&amp;refID=7197404&amp;Result=3","7197404")</f>
        <v>0</v>
      </c>
      <c r="B2844" t="s">
        <v>1094</v>
      </c>
      <c r="C2844" t="s">
        <v>6246</v>
      </c>
      <c r="D2844" t="s">
        <v>17213</v>
      </c>
      <c r="E2844" t="s">
        <v>19751</v>
      </c>
      <c r="F2844" t="s">
        <v>29372</v>
      </c>
      <c r="G2844" t="s">
        <v>29380</v>
      </c>
      <c r="H2844" t="s">
        <v>11048</v>
      </c>
      <c r="I2844" t="s">
        <v>9469</v>
      </c>
      <c r="J2844" t="s">
        <v>31487</v>
      </c>
      <c r="K2844" t="s">
        <v>38496</v>
      </c>
      <c r="L2844" t="s">
        <v>1094</v>
      </c>
      <c r="M2844" t="s">
        <v>39901</v>
      </c>
      <c r="N2844" t="s">
        <v>42669</v>
      </c>
      <c r="O2844" t="s">
        <v>42670</v>
      </c>
      <c r="P2844">
        <v>0</v>
      </c>
      <c r="Q2844">
        <v>2</v>
      </c>
      <c r="R2844" t="s">
        <v>42675</v>
      </c>
      <c r="S2844" t="s">
        <v>42807</v>
      </c>
      <c r="T2844" t="s">
        <v>44360</v>
      </c>
      <c r="U2844" t="s">
        <v>47194</v>
      </c>
      <c r="V2844" t="s">
        <v>56627</v>
      </c>
      <c r="W2844" t="s">
        <v>39901</v>
      </c>
      <c r="X2844" t="s">
        <v>42671</v>
      </c>
    </row>
    <row r="2845" spans="1:24">
      <c r="A2845">
        <f>HYPERLINK("https://www.philgeps.gov.ph/GEPSNONPILOT/Tender/SplashBidNoticeAbstractUI.aspx?menuIndex=3&amp;refID=7197428&amp;Result=3","7197428")</f>
        <v>0</v>
      </c>
      <c r="B2845" t="s">
        <v>1069</v>
      </c>
      <c r="C2845" t="s">
        <v>6247</v>
      </c>
      <c r="D2845" t="s">
        <v>17141</v>
      </c>
      <c r="E2845" t="s">
        <v>19752</v>
      </c>
      <c r="F2845" t="s">
        <v>29372</v>
      </c>
      <c r="G2845" t="s">
        <v>29379</v>
      </c>
      <c r="H2845" t="s">
        <v>11048</v>
      </c>
      <c r="I2845" t="s">
        <v>3839</v>
      </c>
      <c r="J2845" t="s">
        <v>29985</v>
      </c>
      <c r="K2845" t="s">
        <v>38488</v>
      </c>
      <c r="M2845" t="s">
        <v>39876</v>
      </c>
      <c r="N2845" t="s">
        <v>42669</v>
      </c>
      <c r="O2845" t="s">
        <v>42670</v>
      </c>
      <c r="P2845">
        <v>0</v>
      </c>
      <c r="Q2845">
        <v>0</v>
      </c>
      <c r="R2845" t="s">
        <v>42675</v>
      </c>
      <c r="S2845" t="s">
        <v>42807</v>
      </c>
      <c r="T2845" t="s">
        <v>44480</v>
      </c>
      <c r="U2845" t="s">
        <v>47195</v>
      </c>
      <c r="V2845" t="s">
        <v>56623</v>
      </c>
      <c r="W2845" t="s">
        <v>39876</v>
      </c>
      <c r="X2845" t="s">
        <v>42671</v>
      </c>
    </row>
    <row r="2846" spans="1:24">
      <c r="A2846">
        <f>HYPERLINK("https://www.philgeps.gov.ph/GEPSNONPILOT/Tender/SplashBidNoticeAbstractUI.aspx?menuIndex=3&amp;refID=7197422&amp;Result=3","7197422")</f>
        <v>0</v>
      </c>
      <c r="B2846" t="s">
        <v>1083</v>
      </c>
      <c r="C2846" t="s">
        <v>6248</v>
      </c>
      <c r="D2846" t="s">
        <v>17186</v>
      </c>
      <c r="E2846" t="s">
        <v>19753</v>
      </c>
      <c r="F2846" t="s">
        <v>29372</v>
      </c>
      <c r="G2846" t="s">
        <v>29380</v>
      </c>
      <c r="H2846" t="s">
        <v>11048</v>
      </c>
      <c r="I2846" t="s">
        <v>29458</v>
      </c>
      <c r="J2846" t="s">
        <v>31488</v>
      </c>
      <c r="K2846" t="s">
        <v>38496</v>
      </c>
      <c r="M2846" t="s">
        <v>39890</v>
      </c>
      <c r="N2846" t="s">
        <v>42669</v>
      </c>
      <c r="O2846" t="s">
        <v>42670</v>
      </c>
      <c r="P2846">
        <v>0</v>
      </c>
      <c r="Q2846">
        <v>0</v>
      </c>
      <c r="R2846" t="s">
        <v>42675</v>
      </c>
      <c r="S2846" t="s">
        <v>42807</v>
      </c>
      <c r="T2846" t="s">
        <v>44381</v>
      </c>
      <c r="U2846" t="s">
        <v>47196</v>
      </c>
      <c r="V2846" t="s">
        <v>56628</v>
      </c>
      <c r="W2846" t="s">
        <v>39890</v>
      </c>
      <c r="X2846" t="s">
        <v>42671</v>
      </c>
    </row>
    <row r="2847" spans="1:24">
      <c r="A2847">
        <f>HYPERLINK("https://www.philgeps.gov.ph/GEPSNONPILOT/Tender/SplashBidNoticeAbstractUI.aspx?menuIndex=3&amp;refID=7197418&amp;Result=3","7197418")</f>
        <v>0</v>
      </c>
      <c r="B2847" t="s">
        <v>1082</v>
      </c>
      <c r="C2847" t="s">
        <v>6249</v>
      </c>
      <c r="D2847" t="s">
        <v>17160</v>
      </c>
      <c r="E2847" t="s">
        <v>19754</v>
      </c>
      <c r="F2847" t="s">
        <v>29372</v>
      </c>
      <c r="G2847" t="s">
        <v>29379</v>
      </c>
      <c r="H2847" t="s">
        <v>29389</v>
      </c>
      <c r="I2847" t="s">
        <v>10408</v>
      </c>
      <c r="J2847" t="s">
        <v>31489</v>
      </c>
      <c r="K2847" t="s">
        <v>38485</v>
      </c>
      <c r="M2847" t="s">
        <v>39889</v>
      </c>
      <c r="N2847" t="s">
        <v>42669</v>
      </c>
      <c r="O2847" t="s">
        <v>42670</v>
      </c>
      <c r="P2847">
        <v>0</v>
      </c>
      <c r="Q2847">
        <v>0</v>
      </c>
      <c r="R2847" t="s">
        <v>42675</v>
      </c>
      <c r="S2847" t="s">
        <v>42807</v>
      </c>
      <c r="T2847" t="s">
        <v>44430</v>
      </c>
      <c r="U2847" t="s">
        <v>45345</v>
      </c>
      <c r="W2847" t="s">
        <v>39889</v>
      </c>
      <c r="X2847" t="s">
        <v>42671</v>
      </c>
    </row>
    <row r="2848" spans="1:24">
      <c r="A2848">
        <f>HYPERLINK("https://www.philgeps.gov.ph/GEPSNONPILOT/Tender/SplashBidNoticeAbstractUI.aspx?menuIndex=3&amp;refID=7197424&amp;Result=3","7197424")</f>
        <v>0</v>
      </c>
      <c r="B2848" t="s">
        <v>1084</v>
      </c>
      <c r="C2848" t="s">
        <v>6250</v>
      </c>
      <c r="D2848" t="s">
        <v>17179</v>
      </c>
      <c r="E2848" t="s">
        <v>19755</v>
      </c>
      <c r="F2848" t="s">
        <v>29372</v>
      </c>
      <c r="G2848" t="s">
        <v>29379</v>
      </c>
      <c r="H2848" t="s">
        <v>11048</v>
      </c>
      <c r="I2848" t="s">
        <v>8208</v>
      </c>
      <c r="J2848" t="s">
        <v>30953</v>
      </c>
      <c r="K2848" t="s">
        <v>38490</v>
      </c>
      <c r="M2848" t="s">
        <v>39891</v>
      </c>
      <c r="N2848" t="s">
        <v>42669</v>
      </c>
      <c r="O2848" t="s">
        <v>42670</v>
      </c>
      <c r="P2848">
        <v>0</v>
      </c>
      <c r="Q2848">
        <v>0</v>
      </c>
      <c r="R2848" t="s">
        <v>42675</v>
      </c>
      <c r="S2848" t="s">
        <v>42807</v>
      </c>
      <c r="T2848" t="s">
        <v>44412</v>
      </c>
      <c r="U2848" t="s">
        <v>47177</v>
      </c>
      <c r="W2848" t="s">
        <v>39891</v>
      </c>
      <c r="X2848" t="s">
        <v>42671</v>
      </c>
    </row>
    <row r="2849" spans="1:24">
      <c r="A2849">
        <f>HYPERLINK("https://www.philgeps.gov.ph/GEPSNONPILOT/Tender/SplashBidNoticeAbstractUI.aspx?menuIndex=3&amp;refID=7197417&amp;Result=3","7197417")</f>
        <v>0</v>
      </c>
      <c r="B2849" t="s">
        <v>25</v>
      </c>
      <c r="C2849" t="s">
        <v>3670</v>
      </c>
      <c r="D2849" t="s">
        <v>17142</v>
      </c>
      <c r="E2849" t="s">
        <v>19756</v>
      </c>
      <c r="F2849" t="s">
        <v>29372</v>
      </c>
      <c r="G2849" t="s">
        <v>29379</v>
      </c>
      <c r="H2849" t="s">
        <v>11048</v>
      </c>
      <c r="I2849" t="s">
        <v>3670</v>
      </c>
      <c r="J2849" t="s">
        <v>31490</v>
      </c>
      <c r="K2849" t="s">
        <v>38485</v>
      </c>
      <c r="M2849" t="s">
        <v>38778</v>
      </c>
      <c r="N2849" t="s">
        <v>42669</v>
      </c>
      <c r="O2849" t="s">
        <v>42670</v>
      </c>
      <c r="P2849">
        <v>0</v>
      </c>
      <c r="Q2849">
        <v>0</v>
      </c>
      <c r="R2849" t="s">
        <v>42675</v>
      </c>
      <c r="S2849" t="s">
        <v>42807</v>
      </c>
      <c r="T2849" t="s">
        <v>44431</v>
      </c>
      <c r="U2849" t="s">
        <v>47197</v>
      </c>
      <c r="W2849" t="s">
        <v>38778</v>
      </c>
      <c r="X2849" t="s">
        <v>42671</v>
      </c>
    </row>
    <row r="2850" spans="1:24">
      <c r="A2850">
        <f>HYPERLINK("https://www.philgeps.gov.ph/GEPSNONPILOT/Tender/SplashBidNoticeAbstractUI.aspx?menuIndex=3&amp;refID=7197414&amp;Result=3","7197414")</f>
        <v>0</v>
      </c>
      <c r="B2850" t="s">
        <v>1069</v>
      </c>
      <c r="C2850" t="s">
        <v>6251</v>
      </c>
      <c r="D2850" t="s">
        <v>17141</v>
      </c>
      <c r="E2850" t="s">
        <v>19757</v>
      </c>
      <c r="F2850" t="s">
        <v>29372</v>
      </c>
      <c r="G2850" t="s">
        <v>29379</v>
      </c>
      <c r="H2850" t="s">
        <v>11048</v>
      </c>
      <c r="I2850" t="s">
        <v>29400</v>
      </c>
      <c r="J2850" t="s">
        <v>31491</v>
      </c>
      <c r="K2850" t="s">
        <v>38485</v>
      </c>
      <c r="M2850" t="s">
        <v>39876</v>
      </c>
      <c r="N2850" t="s">
        <v>42669</v>
      </c>
      <c r="O2850" t="s">
        <v>42670</v>
      </c>
      <c r="P2850">
        <v>0</v>
      </c>
      <c r="Q2850">
        <v>0</v>
      </c>
      <c r="R2850" t="s">
        <v>42675</v>
      </c>
      <c r="S2850" t="s">
        <v>42807</v>
      </c>
      <c r="T2850" t="s">
        <v>44480</v>
      </c>
      <c r="U2850" t="s">
        <v>47198</v>
      </c>
      <c r="V2850" t="s">
        <v>56623</v>
      </c>
      <c r="W2850" t="s">
        <v>39876</v>
      </c>
      <c r="X2850" t="s">
        <v>42671</v>
      </c>
    </row>
    <row r="2851" spans="1:24">
      <c r="A2851">
        <f>HYPERLINK("https://www.philgeps.gov.ph/GEPSNONPILOT/Tender/SplashBidNoticeAbstractUI.aspx?menuIndex=3&amp;refID=7197423&amp;Result=3","7197423")</f>
        <v>0</v>
      </c>
      <c r="B2851" t="s">
        <v>25</v>
      </c>
      <c r="C2851" t="s">
        <v>3670</v>
      </c>
      <c r="D2851" t="s">
        <v>17142</v>
      </c>
      <c r="E2851" t="s">
        <v>19758</v>
      </c>
      <c r="F2851" t="s">
        <v>29372</v>
      </c>
      <c r="G2851" t="s">
        <v>29379</v>
      </c>
      <c r="H2851" t="s">
        <v>11048</v>
      </c>
      <c r="I2851" t="s">
        <v>3670</v>
      </c>
      <c r="J2851" t="s">
        <v>30306</v>
      </c>
      <c r="K2851" t="s">
        <v>38485</v>
      </c>
      <c r="M2851" t="s">
        <v>38778</v>
      </c>
      <c r="N2851" t="s">
        <v>42669</v>
      </c>
      <c r="O2851" t="s">
        <v>42670</v>
      </c>
      <c r="P2851">
        <v>0</v>
      </c>
      <c r="Q2851">
        <v>0</v>
      </c>
      <c r="R2851" t="s">
        <v>42675</v>
      </c>
      <c r="S2851" t="s">
        <v>42807</v>
      </c>
      <c r="T2851" t="s">
        <v>44431</v>
      </c>
      <c r="U2851" t="s">
        <v>47199</v>
      </c>
      <c r="W2851" t="s">
        <v>38778</v>
      </c>
      <c r="X2851" t="s">
        <v>42671</v>
      </c>
    </row>
    <row r="2852" spans="1:24">
      <c r="A2852">
        <f>HYPERLINK("https://www.philgeps.gov.ph/GEPSNONPILOT/Tender/SplashBidNoticeAbstractUI.aspx?menuIndex=3&amp;refID=7197399&amp;Result=3","7197399")</f>
        <v>0</v>
      </c>
      <c r="B2852" t="s">
        <v>1085</v>
      </c>
      <c r="C2852" t="s">
        <v>6252</v>
      </c>
      <c r="E2852" t="s">
        <v>19759</v>
      </c>
      <c r="F2852" t="s">
        <v>29372</v>
      </c>
      <c r="G2852" t="s">
        <v>29379</v>
      </c>
      <c r="H2852" t="s">
        <v>11048</v>
      </c>
      <c r="I2852" t="s">
        <v>29485</v>
      </c>
      <c r="J2852" t="s">
        <v>29708</v>
      </c>
      <c r="K2852" t="s">
        <v>38490</v>
      </c>
      <c r="M2852" t="s">
        <v>39892</v>
      </c>
      <c r="N2852" t="s">
        <v>42669</v>
      </c>
      <c r="O2852" t="s">
        <v>42670</v>
      </c>
      <c r="P2852">
        <v>0</v>
      </c>
      <c r="Q2852">
        <v>0</v>
      </c>
      <c r="R2852" t="s">
        <v>42675</v>
      </c>
      <c r="S2852" t="s">
        <v>42807</v>
      </c>
      <c r="T2852" t="s">
        <v>44470</v>
      </c>
      <c r="U2852" t="s">
        <v>47200</v>
      </c>
      <c r="W2852" t="s">
        <v>39892</v>
      </c>
      <c r="X2852" t="s">
        <v>42671</v>
      </c>
    </row>
    <row r="2853" spans="1:24">
      <c r="A2853">
        <f>HYPERLINK("https://www.philgeps.gov.ph/GEPSNONPILOT/Tender/SplashBidNoticeAbstractUI.aspx?menuIndex=3&amp;refID=7197396&amp;Result=3","7197396")</f>
        <v>0</v>
      </c>
      <c r="B2853" t="s">
        <v>681</v>
      </c>
      <c r="C2853" t="s">
        <v>6253</v>
      </c>
      <c r="D2853" t="s">
        <v>17160</v>
      </c>
      <c r="E2853" t="s">
        <v>19760</v>
      </c>
      <c r="F2853" t="s">
        <v>29372</v>
      </c>
      <c r="G2853" t="s">
        <v>29379</v>
      </c>
      <c r="H2853" t="s">
        <v>11048</v>
      </c>
      <c r="I2853" t="s">
        <v>4709</v>
      </c>
      <c r="J2853" t="s">
        <v>31492</v>
      </c>
      <c r="K2853" t="s">
        <v>38490</v>
      </c>
      <c r="M2853" t="s">
        <v>39457</v>
      </c>
      <c r="N2853" t="s">
        <v>42669</v>
      </c>
      <c r="O2853" t="s">
        <v>42670</v>
      </c>
      <c r="P2853">
        <v>0</v>
      </c>
      <c r="Q2853">
        <v>0</v>
      </c>
      <c r="R2853" t="s">
        <v>42675</v>
      </c>
      <c r="S2853" t="s">
        <v>42807</v>
      </c>
      <c r="T2853" t="s">
        <v>44468</v>
      </c>
      <c r="U2853" t="s">
        <v>47201</v>
      </c>
      <c r="W2853" t="s">
        <v>39457</v>
      </c>
      <c r="X2853" t="s">
        <v>42671</v>
      </c>
    </row>
    <row r="2854" spans="1:24">
      <c r="A2854">
        <f>HYPERLINK("https://www.philgeps.gov.ph/GEPSNONPILOT/Tender/SplashBidNoticeAbstractUI.aspx?menuIndex=3&amp;refID=7197425&amp;Result=3","7197425")</f>
        <v>0</v>
      </c>
      <c r="B2854" t="s">
        <v>1089</v>
      </c>
      <c r="C2854" t="s">
        <v>6254</v>
      </c>
      <c r="D2854" t="s">
        <v>17170</v>
      </c>
      <c r="E2854" t="s">
        <v>19761</v>
      </c>
      <c r="F2854" t="s">
        <v>29372</v>
      </c>
      <c r="G2854" t="s">
        <v>29379</v>
      </c>
      <c r="H2854" t="s">
        <v>11048</v>
      </c>
      <c r="I2854" t="s">
        <v>8614</v>
      </c>
      <c r="J2854" t="s">
        <v>30100</v>
      </c>
      <c r="K2854" t="s">
        <v>38510</v>
      </c>
      <c r="M2854" t="s">
        <v>39896</v>
      </c>
      <c r="N2854" t="s">
        <v>42669</v>
      </c>
      <c r="O2854" t="s">
        <v>42670</v>
      </c>
      <c r="P2854">
        <v>0</v>
      </c>
      <c r="Q2854">
        <v>0</v>
      </c>
      <c r="R2854" t="s">
        <v>42675</v>
      </c>
      <c r="S2854" t="s">
        <v>42807</v>
      </c>
      <c r="T2854" t="s">
        <v>44470</v>
      </c>
      <c r="U2854" t="s">
        <v>47202</v>
      </c>
      <c r="W2854" t="s">
        <v>39896</v>
      </c>
      <c r="X2854" t="s">
        <v>42671</v>
      </c>
    </row>
    <row r="2855" spans="1:24">
      <c r="A2855">
        <f>HYPERLINK("https://www.philgeps.gov.ph/GEPSNONPILOT/Tender/SplashBidNoticeAbstractUI.aspx?menuIndex=3&amp;refID=7197395&amp;Result=3","7197395")</f>
        <v>0</v>
      </c>
      <c r="B2855" t="s">
        <v>1095</v>
      </c>
      <c r="C2855" t="s">
        <v>6255</v>
      </c>
      <c r="D2855" t="s">
        <v>17180</v>
      </c>
      <c r="E2855" t="s">
        <v>19762</v>
      </c>
      <c r="F2855" t="s">
        <v>29372</v>
      </c>
      <c r="G2855" t="s">
        <v>29380</v>
      </c>
      <c r="H2855" t="s">
        <v>29389</v>
      </c>
      <c r="I2855" t="s">
        <v>10408</v>
      </c>
      <c r="J2855" t="s">
        <v>31493</v>
      </c>
      <c r="K2855" t="s">
        <v>38563</v>
      </c>
      <c r="M2855" t="s">
        <v>39902</v>
      </c>
      <c r="N2855" t="s">
        <v>42669</v>
      </c>
      <c r="O2855" t="s">
        <v>42670</v>
      </c>
      <c r="P2855">
        <v>0</v>
      </c>
      <c r="Q2855">
        <v>2</v>
      </c>
      <c r="R2855" t="s">
        <v>42675</v>
      </c>
      <c r="S2855" t="s">
        <v>42807</v>
      </c>
      <c r="T2855" t="s">
        <v>44413</v>
      </c>
      <c r="U2855" t="s">
        <v>47203</v>
      </c>
      <c r="W2855" t="s">
        <v>39902</v>
      </c>
      <c r="X2855" t="s">
        <v>42671</v>
      </c>
    </row>
    <row r="2856" spans="1:24">
      <c r="A2856">
        <f>HYPERLINK("https://www.philgeps.gov.ph/GEPSNONPILOT/Tender/SplashBidNoticeAbstractUI.aspx?menuIndex=3&amp;refID=7197415&amp;Result=3","7197415")</f>
        <v>0</v>
      </c>
      <c r="B2856" t="s">
        <v>1096</v>
      </c>
      <c r="C2856" t="s">
        <v>6256</v>
      </c>
      <c r="D2856" t="s">
        <v>17157</v>
      </c>
      <c r="E2856" t="s">
        <v>19763</v>
      </c>
      <c r="F2856" t="s">
        <v>29372</v>
      </c>
      <c r="G2856" t="s">
        <v>29379</v>
      </c>
      <c r="H2856" t="s">
        <v>11048</v>
      </c>
      <c r="I2856" t="s">
        <v>4487</v>
      </c>
      <c r="J2856" t="s">
        <v>31494</v>
      </c>
      <c r="K2856" t="s">
        <v>38488</v>
      </c>
      <c r="M2856" t="s">
        <v>39903</v>
      </c>
      <c r="N2856" t="s">
        <v>42669</v>
      </c>
      <c r="O2856" t="s">
        <v>42670</v>
      </c>
      <c r="P2856">
        <v>0</v>
      </c>
      <c r="Q2856">
        <v>0</v>
      </c>
      <c r="R2856" t="s">
        <v>42675</v>
      </c>
      <c r="S2856" t="s">
        <v>42807</v>
      </c>
      <c r="T2856" t="s">
        <v>44456</v>
      </c>
      <c r="U2856" t="s">
        <v>47204</v>
      </c>
      <c r="W2856" t="s">
        <v>39903</v>
      </c>
      <c r="X2856" t="s">
        <v>42671</v>
      </c>
    </row>
    <row r="2857" spans="1:24">
      <c r="A2857">
        <f>HYPERLINK("https://www.philgeps.gov.ph/GEPSNONPILOT/Tender/SplashBidNoticeAbstractUI.aspx?menuIndex=3&amp;refID=7197437&amp;Result=3","7197437")</f>
        <v>0</v>
      </c>
      <c r="B2857" t="s">
        <v>1069</v>
      </c>
      <c r="C2857" t="s">
        <v>6247</v>
      </c>
      <c r="D2857" t="s">
        <v>17141</v>
      </c>
      <c r="E2857" t="s">
        <v>19764</v>
      </c>
      <c r="F2857" t="s">
        <v>29372</v>
      </c>
      <c r="G2857" t="s">
        <v>29379</v>
      </c>
      <c r="H2857" t="s">
        <v>11048</v>
      </c>
      <c r="I2857" t="s">
        <v>3839</v>
      </c>
      <c r="J2857" t="s">
        <v>31495</v>
      </c>
      <c r="K2857" t="s">
        <v>38488</v>
      </c>
      <c r="M2857" t="s">
        <v>39876</v>
      </c>
      <c r="N2857" t="s">
        <v>42669</v>
      </c>
      <c r="O2857" t="s">
        <v>42670</v>
      </c>
      <c r="P2857">
        <v>0</v>
      </c>
      <c r="Q2857">
        <v>0</v>
      </c>
      <c r="R2857" t="s">
        <v>42675</v>
      </c>
      <c r="S2857" t="s">
        <v>42807</v>
      </c>
      <c r="T2857" t="s">
        <v>44480</v>
      </c>
      <c r="U2857" t="s">
        <v>47205</v>
      </c>
      <c r="V2857" t="s">
        <v>56623</v>
      </c>
      <c r="W2857" t="s">
        <v>39876</v>
      </c>
      <c r="X2857" t="s">
        <v>42671</v>
      </c>
    </row>
    <row r="2858" spans="1:24">
      <c r="A2858">
        <f>HYPERLINK("https://www.philgeps.gov.ph/GEPSNONPILOT/Tender/SplashBidNoticeAbstractUI.aspx?menuIndex=3&amp;refID=7197398&amp;Result=3","7197398")</f>
        <v>0</v>
      </c>
      <c r="B2858" t="s">
        <v>1097</v>
      </c>
      <c r="C2858" t="s">
        <v>4025</v>
      </c>
      <c r="D2858" t="s">
        <v>17160</v>
      </c>
      <c r="E2858" t="s">
        <v>19765</v>
      </c>
      <c r="F2858" t="s">
        <v>29372</v>
      </c>
      <c r="G2858" t="s">
        <v>29379</v>
      </c>
      <c r="H2858" t="s">
        <v>29390</v>
      </c>
      <c r="I2858" t="s">
        <v>9469</v>
      </c>
      <c r="J2858" t="s">
        <v>29657</v>
      </c>
      <c r="K2858" t="s">
        <v>38510</v>
      </c>
      <c r="M2858" t="s">
        <v>39904</v>
      </c>
      <c r="N2858" t="s">
        <v>42669</v>
      </c>
      <c r="O2858" t="s">
        <v>42670</v>
      </c>
      <c r="P2858">
        <v>0</v>
      </c>
      <c r="Q2858">
        <v>0</v>
      </c>
      <c r="R2858" t="s">
        <v>42675</v>
      </c>
      <c r="S2858" t="s">
        <v>42807</v>
      </c>
      <c r="T2858" t="s">
        <v>44456</v>
      </c>
      <c r="U2858" t="s">
        <v>45345</v>
      </c>
      <c r="W2858" t="s">
        <v>39904</v>
      </c>
      <c r="X2858" t="s">
        <v>42671</v>
      </c>
    </row>
    <row r="2859" spans="1:24">
      <c r="A2859">
        <f>HYPERLINK("https://www.philgeps.gov.ph/GEPSNONPILOT/Tender/SplashBidNoticeAbstractUI.aspx?menuIndex=3&amp;refID=7197449&amp;Result=3","7197449")</f>
        <v>0</v>
      </c>
      <c r="B2859" t="s">
        <v>1098</v>
      </c>
      <c r="C2859" t="s">
        <v>6257</v>
      </c>
      <c r="D2859" t="s">
        <v>17215</v>
      </c>
      <c r="E2859" t="s">
        <v>19766</v>
      </c>
      <c r="F2859" t="s">
        <v>29372</v>
      </c>
      <c r="G2859" t="s">
        <v>29379</v>
      </c>
      <c r="H2859" t="s">
        <v>11048</v>
      </c>
      <c r="I2859" t="s">
        <v>5383</v>
      </c>
      <c r="J2859" t="s">
        <v>31496</v>
      </c>
      <c r="K2859" t="s">
        <v>38488</v>
      </c>
      <c r="M2859" t="s">
        <v>39905</v>
      </c>
      <c r="N2859" t="s">
        <v>42669</v>
      </c>
      <c r="O2859" t="s">
        <v>42670</v>
      </c>
      <c r="P2859">
        <v>0</v>
      </c>
      <c r="Q2859">
        <v>0</v>
      </c>
      <c r="R2859" t="s">
        <v>42675</v>
      </c>
      <c r="S2859" t="s">
        <v>42807</v>
      </c>
      <c r="T2859" t="s">
        <v>44426</v>
      </c>
      <c r="U2859" t="s">
        <v>47206</v>
      </c>
      <c r="W2859" t="s">
        <v>39905</v>
      </c>
      <c r="X2859" t="s">
        <v>42671</v>
      </c>
    </row>
    <row r="2860" spans="1:24">
      <c r="A2860">
        <f>HYPERLINK("https://www.philgeps.gov.ph/GEPSNONPILOT/Tender/SplashBidNoticeAbstractUI.aspx?menuIndex=3&amp;refID=7197365&amp;Result=3","7197365")</f>
        <v>0</v>
      </c>
      <c r="B2860" t="s">
        <v>1099</v>
      </c>
      <c r="C2860" t="s">
        <v>4025</v>
      </c>
      <c r="D2860" t="s">
        <v>17160</v>
      </c>
      <c r="E2860" t="s">
        <v>19767</v>
      </c>
      <c r="F2860" t="s">
        <v>29372</v>
      </c>
      <c r="G2860" t="s">
        <v>29379</v>
      </c>
      <c r="H2860" t="s">
        <v>29390</v>
      </c>
      <c r="I2860" t="s">
        <v>9469</v>
      </c>
      <c r="J2860" t="s">
        <v>29657</v>
      </c>
      <c r="K2860" t="s">
        <v>38510</v>
      </c>
      <c r="M2860" t="s">
        <v>39906</v>
      </c>
      <c r="N2860" t="s">
        <v>42669</v>
      </c>
      <c r="O2860" t="s">
        <v>42670</v>
      </c>
      <c r="P2860">
        <v>0</v>
      </c>
      <c r="Q2860">
        <v>0</v>
      </c>
      <c r="R2860" t="s">
        <v>42675</v>
      </c>
      <c r="S2860" t="s">
        <v>42807</v>
      </c>
      <c r="T2860" t="s">
        <v>44456</v>
      </c>
      <c r="U2860" t="s">
        <v>45345</v>
      </c>
      <c r="W2860" t="s">
        <v>39906</v>
      </c>
      <c r="X2860" t="s">
        <v>42671</v>
      </c>
    </row>
    <row r="2861" spans="1:24">
      <c r="A2861">
        <f>HYPERLINK("https://www.philgeps.gov.ph/GEPSNONPILOT/Tender/SplashBidNoticeAbstractUI.aspx?menuIndex=3&amp;refID=7197438&amp;Result=3","7197438")</f>
        <v>0</v>
      </c>
      <c r="B2861" t="s">
        <v>1100</v>
      </c>
      <c r="C2861" t="s">
        <v>6258</v>
      </c>
      <c r="D2861" t="s">
        <v>17171</v>
      </c>
      <c r="E2861" t="s">
        <v>17279</v>
      </c>
      <c r="F2861" t="s">
        <v>29375</v>
      </c>
      <c r="G2861" t="s">
        <v>29380</v>
      </c>
      <c r="H2861" t="s">
        <v>11048</v>
      </c>
      <c r="I2861" t="s">
        <v>29475</v>
      </c>
      <c r="J2861" t="s">
        <v>29675</v>
      </c>
      <c r="K2861" t="s">
        <v>38510</v>
      </c>
      <c r="M2861" t="s">
        <v>39907</v>
      </c>
      <c r="N2861" t="s">
        <v>42669</v>
      </c>
      <c r="O2861" t="s">
        <v>42670</v>
      </c>
      <c r="P2861">
        <v>0</v>
      </c>
      <c r="Q2861">
        <v>0</v>
      </c>
      <c r="R2861" t="s">
        <v>42675</v>
      </c>
      <c r="S2861" t="s">
        <v>42807</v>
      </c>
      <c r="T2861" t="s">
        <v>44613</v>
      </c>
      <c r="U2861" t="s">
        <v>47207</v>
      </c>
      <c r="W2861" t="s">
        <v>39907</v>
      </c>
      <c r="X2861" t="s">
        <v>42671</v>
      </c>
    </row>
    <row r="2862" spans="1:24">
      <c r="A2862">
        <f>HYPERLINK("https://www.philgeps.gov.ph/GEPSNONPILOT/Tender/SplashBidNoticeAbstractUI.aspx?menuIndex=3&amp;refID=7197457&amp;Result=3","7197457")</f>
        <v>0</v>
      </c>
      <c r="B2862" t="s">
        <v>1069</v>
      </c>
      <c r="C2862" t="s">
        <v>6259</v>
      </c>
      <c r="D2862" t="s">
        <v>17141</v>
      </c>
      <c r="E2862" t="s">
        <v>19764</v>
      </c>
      <c r="F2862" t="s">
        <v>29372</v>
      </c>
      <c r="G2862" t="s">
        <v>29379</v>
      </c>
      <c r="H2862" t="s">
        <v>11048</v>
      </c>
      <c r="I2862" t="s">
        <v>29466</v>
      </c>
      <c r="J2862" t="s">
        <v>29708</v>
      </c>
      <c r="K2862" t="s">
        <v>38488</v>
      </c>
      <c r="M2862" t="s">
        <v>39876</v>
      </c>
      <c r="N2862" t="s">
        <v>42669</v>
      </c>
      <c r="O2862" t="s">
        <v>42670</v>
      </c>
      <c r="P2862">
        <v>0</v>
      </c>
      <c r="Q2862">
        <v>0</v>
      </c>
      <c r="R2862" t="s">
        <v>42675</v>
      </c>
      <c r="S2862" t="s">
        <v>42807</v>
      </c>
      <c r="T2862" t="s">
        <v>44480</v>
      </c>
      <c r="U2862" t="s">
        <v>47208</v>
      </c>
      <c r="V2862" t="s">
        <v>56623</v>
      </c>
      <c r="W2862" t="s">
        <v>39876</v>
      </c>
      <c r="X2862" t="s">
        <v>42671</v>
      </c>
    </row>
    <row r="2863" spans="1:24">
      <c r="A2863">
        <f>HYPERLINK("https://www.philgeps.gov.ph/GEPSNONPILOT/Tender/SplashBidNoticeAbstractUI.aspx?menuIndex=3&amp;refID=7197416&amp;Result=3","7197416")</f>
        <v>0</v>
      </c>
      <c r="B2863" t="s">
        <v>1084</v>
      </c>
      <c r="C2863" t="s">
        <v>6260</v>
      </c>
      <c r="D2863" t="s">
        <v>17179</v>
      </c>
      <c r="E2863" t="s">
        <v>19768</v>
      </c>
      <c r="F2863" t="s">
        <v>29372</v>
      </c>
      <c r="G2863" t="s">
        <v>29380</v>
      </c>
      <c r="H2863" t="s">
        <v>11048</v>
      </c>
      <c r="I2863" t="s">
        <v>4709</v>
      </c>
      <c r="J2863" t="s">
        <v>30107</v>
      </c>
      <c r="K2863" t="s">
        <v>38490</v>
      </c>
      <c r="M2863" t="s">
        <v>39891</v>
      </c>
      <c r="N2863" t="s">
        <v>42669</v>
      </c>
      <c r="O2863" t="s">
        <v>42670</v>
      </c>
      <c r="P2863">
        <v>0</v>
      </c>
      <c r="Q2863">
        <v>0</v>
      </c>
      <c r="R2863" t="s">
        <v>42675</v>
      </c>
      <c r="S2863" t="s">
        <v>42807</v>
      </c>
      <c r="T2863" t="s">
        <v>44412</v>
      </c>
      <c r="U2863" t="s">
        <v>47177</v>
      </c>
      <c r="W2863" t="s">
        <v>39891</v>
      </c>
      <c r="X2863" t="s">
        <v>42671</v>
      </c>
    </row>
    <row r="2864" spans="1:24">
      <c r="A2864">
        <f>HYPERLINK("https://www.philgeps.gov.ph/GEPSNONPILOT/Tender/SplashBidNoticeAbstractUI.aspx?menuIndex=3&amp;refID=7197456&amp;Result=3","7197456")</f>
        <v>0</v>
      </c>
      <c r="B2864" t="s">
        <v>1090</v>
      </c>
      <c r="C2864" t="s">
        <v>6261</v>
      </c>
      <c r="D2864" t="s">
        <v>17170</v>
      </c>
      <c r="E2864" t="s">
        <v>19769</v>
      </c>
      <c r="F2864" t="s">
        <v>29372</v>
      </c>
      <c r="G2864" t="s">
        <v>29380</v>
      </c>
      <c r="H2864" t="s">
        <v>29390</v>
      </c>
      <c r="I2864" t="s">
        <v>29478</v>
      </c>
      <c r="J2864" t="s">
        <v>31497</v>
      </c>
      <c r="K2864" t="s">
        <v>38495</v>
      </c>
      <c r="M2864" t="s">
        <v>39897</v>
      </c>
      <c r="N2864" t="s">
        <v>42669</v>
      </c>
      <c r="O2864" t="s">
        <v>42670</v>
      </c>
      <c r="P2864">
        <v>0</v>
      </c>
      <c r="Q2864">
        <v>0</v>
      </c>
      <c r="R2864" t="s">
        <v>42675</v>
      </c>
      <c r="S2864" t="s">
        <v>42807</v>
      </c>
      <c r="T2864" t="s">
        <v>44381</v>
      </c>
      <c r="U2864" t="s">
        <v>47187</v>
      </c>
      <c r="W2864" t="s">
        <v>39897</v>
      </c>
      <c r="X2864" t="s">
        <v>42671</v>
      </c>
    </row>
    <row r="2865" spans="1:24">
      <c r="A2865">
        <f>HYPERLINK("https://www.philgeps.gov.ph/GEPSNONPILOT/Tender/SplashBidNoticeAbstractUI.aspx?menuIndex=3&amp;refID=7197453&amp;Result=3","7197453")</f>
        <v>0</v>
      </c>
      <c r="B2865" t="s">
        <v>1100</v>
      </c>
      <c r="C2865" t="s">
        <v>6262</v>
      </c>
      <c r="D2865" t="s">
        <v>17171</v>
      </c>
      <c r="E2865" t="s">
        <v>17482</v>
      </c>
      <c r="F2865" t="s">
        <v>29377</v>
      </c>
      <c r="G2865" t="s">
        <v>29385</v>
      </c>
      <c r="H2865" t="s">
        <v>11048</v>
      </c>
      <c r="I2865" t="s">
        <v>5383</v>
      </c>
      <c r="J2865" t="s">
        <v>29915</v>
      </c>
      <c r="K2865" t="s">
        <v>38510</v>
      </c>
      <c r="M2865" t="s">
        <v>39907</v>
      </c>
      <c r="N2865" t="s">
        <v>42669</v>
      </c>
      <c r="O2865" t="s">
        <v>42670</v>
      </c>
      <c r="P2865">
        <v>0</v>
      </c>
      <c r="Q2865">
        <v>0</v>
      </c>
      <c r="R2865" t="s">
        <v>42675</v>
      </c>
      <c r="S2865" t="s">
        <v>42807</v>
      </c>
      <c r="T2865" t="s">
        <v>44613</v>
      </c>
      <c r="U2865" t="s">
        <v>47209</v>
      </c>
      <c r="W2865" t="s">
        <v>39907</v>
      </c>
      <c r="X2865" t="s">
        <v>42671</v>
      </c>
    </row>
    <row r="2866" spans="1:24">
      <c r="A2866">
        <f>HYPERLINK("https://www.philgeps.gov.ph/GEPSNONPILOT/Tender/SplashBidNoticeAbstractUI.aspx?menuIndex=3&amp;refID=7197394&amp;Result=3","7197394")</f>
        <v>0</v>
      </c>
      <c r="B2866" t="s">
        <v>92</v>
      </c>
      <c r="C2866" t="s">
        <v>6263</v>
      </c>
      <c r="D2866" t="s">
        <v>17141</v>
      </c>
      <c r="E2866" t="s">
        <v>19770</v>
      </c>
      <c r="F2866" t="s">
        <v>29372</v>
      </c>
      <c r="G2866" t="s">
        <v>29380</v>
      </c>
      <c r="H2866" t="s">
        <v>11048</v>
      </c>
      <c r="I2866" t="s">
        <v>8614</v>
      </c>
      <c r="J2866" t="s">
        <v>31498</v>
      </c>
      <c r="K2866" t="s">
        <v>38490</v>
      </c>
      <c r="M2866" t="s">
        <v>39854</v>
      </c>
      <c r="N2866" t="s">
        <v>42669</v>
      </c>
      <c r="O2866" t="s">
        <v>42670</v>
      </c>
      <c r="P2866">
        <v>0</v>
      </c>
      <c r="Q2866">
        <v>0</v>
      </c>
      <c r="R2866" t="s">
        <v>42675</v>
      </c>
      <c r="S2866" t="s">
        <v>42807</v>
      </c>
      <c r="T2866" t="s">
        <v>44614</v>
      </c>
      <c r="U2866" t="s">
        <v>47210</v>
      </c>
      <c r="W2866" t="s">
        <v>39854</v>
      </c>
      <c r="X2866" t="s">
        <v>42671</v>
      </c>
    </row>
    <row r="2867" spans="1:24">
      <c r="A2867">
        <f>HYPERLINK("https://www.philgeps.gov.ph/GEPSNONPILOT/Tender/SplashBidNoticeAbstractUI.aspx?menuIndex=3&amp;refID=7197448&amp;Result=3","7197448")</f>
        <v>0</v>
      </c>
      <c r="B2867" t="s">
        <v>1101</v>
      </c>
      <c r="C2867" t="s">
        <v>6264</v>
      </c>
      <c r="D2867" t="s">
        <v>17183</v>
      </c>
      <c r="E2867" t="s">
        <v>19771</v>
      </c>
      <c r="F2867" t="s">
        <v>29372</v>
      </c>
      <c r="G2867" t="s">
        <v>29379</v>
      </c>
      <c r="H2867" t="s">
        <v>11048</v>
      </c>
      <c r="I2867" t="s">
        <v>4709</v>
      </c>
      <c r="J2867" t="s">
        <v>31499</v>
      </c>
      <c r="K2867" t="s">
        <v>38510</v>
      </c>
      <c r="M2867" t="s">
        <v>39908</v>
      </c>
      <c r="N2867" t="s">
        <v>42669</v>
      </c>
      <c r="O2867" t="s">
        <v>42670</v>
      </c>
      <c r="P2867">
        <v>0</v>
      </c>
      <c r="Q2867">
        <v>0</v>
      </c>
      <c r="R2867" t="s">
        <v>42675</v>
      </c>
      <c r="S2867" t="s">
        <v>42807</v>
      </c>
      <c r="T2867" t="s">
        <v>44456</v>
      </c>
      <c r="U2867" t="s">
        <v>47211</v>
      </c>
      <c r="W2867" t="s">
        <v>39908</v>
      </c>
      <c r="X2867" t="s">
        <v>42671</v>
      </c>
    </row>
    <row r="2868" spans="1:24">
      <c r="A2868">
        <f>HYPERLINK("https://www.philgeps.gov.ph/GEPSNONPILOT/Tender/SplashBidNoticeAbstractUI.aspx?menuIndex=3&amp;refID=7197446&amp;Result=3","7197446")</f>
        <v>0</v>
      </c>
      <c r="B2868" t="s">
        <v>1102</v>
      </c>
      <c r="C2868" t="s">
        <v>6265</v>
      </c>
      <c r="D2868" t="s">
        <v>17141</v>
      </c>
      <c r="E2868" t="s">
        <v>19772</v>
      </c>
      <c r="F2868" t="s">
        <v>29372</v>
      </c>
      <c r="G2868" t="s">
        <v>29379</v>
      </c>
      <c r="H2868" t="s">
        <v>29390</v>
      </c>
      <c r="I2868" t="s">
        <v>29429</v>
      </c>
      <c r="J2868" t="s">
        <v>31500</v>
      </c>
      <c r="K2868" t="s">
        <v>38491</v>
      </c>
      <c r="M2868" t="s">
        <v>39909</v>
      </c>
      <c r="N2868" t="s">
        <v>42669</v>
      </c>
      <c r="O2868" t="s">
        <v>42670</v>
      </c>
      <c r="P2868">
        <v>0</v>
      </c>
      <c r="Q2868">
        <v>0</v>
      </c>
      <c r="R2868" t="s">
        <v>42675</v>
      </c>
      <c r="S2868" t="s">
        <v>42807</v>
      </c>
      <c r="T2868" t="s">
        <v>44470</v>
      </c>
      <c r="U2868" t="s">
        <v>47212</v>
      </c>
      <c r="W2868" t="s">
        <v>39909</v>
      </c>
      <c r="X2868" t="s">
        <v>42671</v>
      </c>
    </row>
    <row r="2869" spans="1:24">
      <c r="A2869">
        <f>HYPERLINK("https://www.philgeps.gov.ph/GEPSNONPILOT/Tender/SplashBidNoticeAbstractUI.aspx?menuIndex=3&amp;refID=7197445&amp;Result=3","7197445")</f>
        <v>0</v>
      </c>
      <c r="B2869" t="s">
        <v>92</v>
      </c>
      <c r="C2869" t="s">
        <v>6266</v>
      </c>
      <c r="D2869" t="s">
        <v>17141</v>
      </c>
      <c r="E2869" t="s">
        <v>19773</v>
      </c>
      <c r="F2869" t="s">
        <v>29372</v>
      </c>
      <c r="G2869" t="s">
        <v>29380</v>
      </c>
      <c r="H2869" t="s">
        <v>11048</v>
      </c>
      <c r="I2869" t="s">
        <v>29400</v>
      </c>
      <c r="J2869" t="s">
        <v>30161</v>
      </c>
      <c r="K2869" t="s">
        <v>38490</v>
      </c>
      <c r="M2869" t="s">
        <v>39854</v>
      </c>
      <c r="N2869" t="s">
        <v>42669</v>
      </c>
      <c r="O2869" t="s">
        <v>42670</v>
      </c>
      <c r="P2869">
        <v>0</v>
      </c>
      <c r="Q2869">
        <v>0</v>
      </c>
      <c r="R2869" t="s">
        <v>42675</v>
      </c>
      <c r="S2869" t="s">
        <v>42807</v>
      </c>
      <c r="T2869" t="s">
        <v>44615</v>
      </c>
      <c r="U2869" t="s">
        <v>47213</v>
      </c>
      <c r="W2869" t="s">
        <v>39854</v>
      </c>
      <c r="X2869" t="s">
        <v>42671</v>
      </c>
    </row>
    <row r="2870" spans="1:24">
      <c r="A2870">
        <f>HYPERLINK("https://www.philgeps.gov.ph/GEPSNONPILOT/Tender/SplashBidNoticeAbstractUI.aspx?menuIndex=3&amp;refID=7197444&amp;Result=3","7197444")</f>
        <v>0</v>
      </c>
      <c r="B2870" t="s">
        <v>1084</v>
      </c>
      <c r="C2870" t="s">
        <v>6267</v>
      </c>
      <c r="D2870" t="s">
        <v>17179</v>
      </c>
      <c r="E2870" t="s">
        <v>19774</v>
      </c>
      <c r="F2870" t="s">
        <v>29372</v>
      </c>
      <c r="G2870" t="s">
        <v>29380</v>
      </c>
      <c r="H2870" t="s">
        <v>29389</v>
      </c>
      <c r="I2870" t="s">
        <v>10408</v>
      </c>
      <c r="J2870" t="s">
        <v>31501</v>
      </c>
      <c r="K2870" t="s">
        <v>38490</v>
      </c>
      <c r="M2870" t="s">
        <v>39910</v>
      </c>
      <c r="N2870" t="s">
        <v>42669</v>
      </c>
      <c r="O2870" t="s">
        <v>42670</v>
      </c>
      <c r="P2870">
        <v>0</v>
      </c>
      <c r="Q2870">
        <v>0</v>
      </c>
      <c r="R2870" t="s">
        <v>42675</v>
      </c>
      <c r="S2870" t="s">
        <v>42807</v>
      </c>
      <c r="T2870" t="s">
        <v>44412</v>
      </c>
      <c r="U2870" t="s">
        <v>47177</v>
      </c>
      <c r="W2870" t="s">
        <v>39910</v>
      </c>
      <c r="X2870" t="s">
        <v>42671</v>
      </c>
    </row>
    <row r="2871" spans="1:24">
      <c r="A2871">
        <f>HYPERLINK("https://www.philgeps.gov.ph/GEPSNONPILOT/Tender/SplashBidNoticeAbstractUI.aspx?menuIndex=3&amp;refID=7197443&amp;Result=3","7197443")</f>
        <v>0</v>
      </c>
      <c r="B2871" t="s">
        <v>321</v>
      </c>
      <c r="C2871" t="s">
        <v>6268</v>
      </c>
      <c r="D2871" t="s">
        <v>17186</v>
      </c>
      <c r="E2871" t="s">
        <v>19775</v>
      </c>
      <c r="F2871" t="s">
        <v>29372</v>
      </c>
      <c r="G2871" t="s">
        <v>29379</v>
      </c>
      <c r="H2871" t="s">
        <v>11048</v>
      </c>
      <c r="I2871" t="s">
        <v>9469</v>
      </c>
      <c r="J2871" t="s">
        <v>29555</v>
      </c>
      <c r="K2871" t="s">
        <v>38485</v>
      </c>
      <c r="M2871" t="s">
        <v>39080</v>
      </c>
      <c r="N2871" t="s">
        <v>42669</v>
      </c>
      <c r="O2871" t="s">
        <v>42670</v>
      </c>
      <c r="P2871">
        <v>0</v>
      </c>
      <c r="Q2871">
        <v>0</v>
      </c>
      <c r="R2871" t="s">
        <v>42675</v>
      </c>
      <c r="S2871" t="s">
        <v>42807</v>
      </c>
      <c r="T2871" t="s">
        <v>44468</v>
      </c>
      <c r="U2871" t="s">
        <v>45554</v>
      </c>
      <c r="W2871" t="s">
        <v>39080</v>
      </c>
      <c r="X2871" t="s">
        <v>42671</v>
      </c>
    </row>
    <row r="2872" spans="1:24">
      <c r="A2872">
        <f>HYPERLINK("https://www.philgeps.gov.ph/GEPSNONPILOT/Tender/SplashBidNoticeAbstractUI.aspx?menuIndex=3&amp;refID=7197454&amp;Result=3","7197454")</f>
        <v>0</v>
      </c>
      <c r="B2872" t="s">
        <v>119</v>
      </c>
      <c r="C2872" t="s">
        <v>6269</v>
      </c>
      <c r="D2872" t="s">
        <v>17141</v>
      </c>
      <c r="E2872" t="s">
        <v>19776</v>
      </c>
      <c r="F2872" t="s">
        <v>29372</v>
      </c>
      <c r="G2872" t="s">
        <v>29380</v>
      </c>
      <c r="H2872" t="s">
        <v>11048</v>
      </c>
      <c r="I2872" t="s">
        <v>29396</v>
      </c>
      <c r="J2872" t="s">
        <v>31502</v>
      </c>
      <c r="K2872" t="s">
        <v>38490</v>
      </c>
      <c r="M2872" t="s">
        <v>39911</v>
      </c>
      <c r="N2872" t="s">
        <v>42669</v>
      </c>
      <c r="O2872" t="s">
        <v>42670</v>
      </c>
      <c r="P2872">
        <v>0</v>
      </c>
      <c r="Q2872">
        <v>0</v>
      </c>
      <c r="R2872" t="s">
        <v>42675</v>
      </c>
      <c r="S2872" t="s">
        <v>42807</v>
      </c>
      <c r="T2872" t="s">
        <v>44413</v>
      </c>
      <c r="U2872" t="s">
        <v>47214</v>
      </c>
      <c r="V2872" t="s">
        <v>56629</v>
      </c>
      <c r="W2872" t="s">
        <v>39911</v>
      </c>
      <c r="X2872" t="s">
        <v>42671</v>
      </c>
    </row>
    <row r="2873" spans="1:24">
      <c r="A2873">
        <f>HYPERLINK("https://www.philgeps.gov.ph/GEPSNONPILOT/Tender/SplashBidNoticeAbstractUI.aspx?menuIndex=3&amp;refID=7197441&amp;Result=3","7197441")</f>
        <v>0</v>
      </c>
      <c r="B2873" t="s">
        <v>1101</v>
      </c>
      <c r="C2873" t="s">
        <v>6270</v>
      </c>
      <c r="D2873" t="s">
        <v>17183</v>
      </c>
      <c r="E2873" t="s">
        <v>19777</v>
      </c>
      <c r="F2873" t="s">
        <v>29372</v>
      </c>
      <c r="G2873" t="s">
        <v>29379</v>
      </c>
      <c r="H2873" t="s">
        <v>11048</v>
      </c>
      <c r="I2873" t="s">
        <v>4709</v>
      </c>
      <c r="J2873" t="s">
        <v>31503</v>
      </c>
      <c r="K2873" t="s">
        <v>38510</v>
      </c>
      <c r="M2873" t="s">
        <v>39908</v>
      </c>
      <c r="N2873" t="s">
        <v>42669</v>
      </c>
      <c r="O2873" t="s">
        <v>42670</v>
      </c>
      <c r="P2873">
        <v>0</v>
      </c>
      <c r="Q2873">
        <v>0</v>
      </c>
      <c r="R2873" t="s">
        <v>42675</v>
      </c>
      <c r="S2873" t="s">
        <v>42807</v>
      </c>
      <c r="T2873" t="s">
        <v>44456</v>
      </c>
      <c r="U2873" t="s">
        <v>47215</v>
      </c>
      <c r="W2873" t="s">
        <v>39908</v>
      </c>
      <c r="X2873" t="s">
        <v>42671</v>
      </c>
    </row>
    <row r="2874" spans="1:24">
      <c r="A2874">
        <f>HYPERLINK("https://www.philgeps.gov.ph/GEPSNONPILOT/Tender/SplashBidNoticeAbstractUI.aspx?menuIndex=3&amp;refID=7197440&amp;Result=3","7197440")</f>
        <v>0</v>
      </c>
      <c r="B2874" t="s">
        <v>403</v>
      </c>
      <c r="C2874" t="s">
        <v>6271</v>
      </c>
      <c r="D2874" t="s">
        <v>17188</v>
      </c>
      <c r="E2874" t="s">
        <v>19778</v>
      </c>
      <c r="F2874" t="s">
        <v>29372</v>
      </c>
      <c r="G2874" t="s">
        <v>29379</v>
      </c>
      <c r="H2874" t="s">
        <v>11048</v>
      </c>
      <c r="I2874" t="s">
        <v>5383</v>
      </c>
      <c r="J2874" t="s">
        <v>31504</v>
      </c>
      <c r="K2874" t="s">
        <v>38489</v>
      </c>
      <c r="M2874" t="s">
        <v>39167</v>
      </c>
      <c r="N2874" t="s">
        <v>42669</v>
      </c>
      <c r="O2874" t="s">
        <v>42670</v>
      </c>
      <c r="P2874">
        <v>0</v>
      </c>
      <c r="Q2874">
        <v>0</v>
      </c>
      <c r="R2874" t="s">
        <v>42675</v>
      </c>
      <c r="S2874" t="s">
        <v>42807</v>
      </c>
      <c r="T2874" t="s">
        <v>44470</v>
      </c>
      <c r="U2874" t="s">
        <v>47216</v>
      </c>
      <c r="W2874" t="s">
        <v>39167</v>
      </c>
      <c r="X2874" t="s">
        <v>42671</v>
      </c>
    </row>
    <row r="2875" spans="1:24">
      <c r="A2875">
        <f>HYPERLINK("https://www.philgeps.gov.ph/GEPSNONPILOT/Tender/SplashBidNoticeAbstractUI.aspx?menuIndex=3&amp;refID=7197460&amp;Result=3","7197460")</f>
        <v>0</v>
      </c>
      <c r="B2875" t="s">
        <v>1103</v>
      </c>
      <c r="C2875" t="s">
        <v>6272</v>
      </c>
      <c r="D2875" t="s">
        <v>17177</v>
      </c>
      <c r="E2875" t="s">
        <v>19779</v>
      </c>
      <c r="F2875" t="s">
        <v>29372</v>
      </c>
      <c r="G2875" t="s">
        <v>29380</v>
      </c>
      <c r="H2875" t="s">
        <v>29389</v>
      </c>
      <c r="I2875" t="s">
        <v>10408</v>
      </c>
      <c r="J2875" t="s">
        <v>30046</v>
      </c>
      <c r="K2875" t="s">
        <v>38485</v>
      </c>
      <c r="M2875" t="s">
        <v>39912</v>
      </c>
      <c r="N2875" t="s">
        <v>42669</v>
      </c>
      <c r="O2875" t="s">
        <v>42670</v>
      </c>
      <c r="P2875">
        <v>0</v>
      </c>
      <c r="Q2875">
        <v>0</v>
      </c>
      <c r="R2875" t="s">
        <v>42675</v>
      </c>
      <c r="S2875" t="s">
        <v>42807</v>
      </c>
      <c r="T2875" t="s">
        <v>44527</v>
      </c>
      <c r="U2875" t="s">
        <v>47217</v>
      </c>
      <c r="W2875" t="s">
        <v>39912</v>
      </c>
      <c r="X2875" t="s">
        <v>42671</v>
      </c>
    </row>
    <row r="2876" spans="1:24">
      <c r="A2876">
        <f>HYPERLINK("https://www.philgeps.gov.ph/GEPSNONPILOT/Tender/SplashBidNoticeAbstractUI.aspx?menuIndex=3&amp;refID=7197452&amp;Result=3","7197452")</f>
        <v>0</v>
      </c>
      <c r="B2876" t="s">
        <v>1104</v>
      </c>
      <c r="C2876" t="s">
        <v>6210</v>
      </c>
      <c r="D2876" t="s">
        <v>17205</v>
      </c>
      <c r="E2876" t="s">
        <v>19780</v>
      </c>
      <c r="F2876" t="s">
        <v>29372</v>
      </c>
      <c r="G2876" t="s">
        <v>29380</v>
      </c>
      <c r="H2876" t="s">
        <v>29389</v>
      </c>
      <c r="I2876" t="s">
        <v>10408</v>
      </c>
      <c r="J2876" t="s">
        <v>29555</v>
      </c>
      <c r="K2876" t="s">
        <v>38485</v>
      </c>
      <c r="L2876" t="s">
        <v>1104</v>
      </c>
      <c r="M2876" t="s">
        <v>39913</v>
      </c>
      <c r="N2876" t="s">
        <v>42669</v>
      </c>
      <c r="O2876" t="s">
        <v>42670</v>
      </c>
      <c r="P2876">
        <v>0</v>
      </c>
      <c r="Q2876">
        <v>0</v>
      </c>
      <c r="R2876" t="s">
        <v>42675</v>
      </c>
      <c r="S2876" t="s">
        <v>42807</v>
      </c>
      <c r="T2876" t="s">
        <v>44422</v>
      </c>
      <c r="U2876" t="s">
        <v>47218</v>
      </c>
      <c r="V2876" t="s">
        <v>56630</v>
      </c>
      <c r="W2876" t="s">
        <v>39913</v>
      </c>
      <c r="X2876" t="s">
        <v>42671</v>
      </c>
    </row>
    <row r="2877" spans="1:24">
      <c r="A2877">
        <f>HYPERLINK("https://www.philgeps.gov.ph/GEPSNONPILOT/Tender/SplashBidNoticeAbstractUI.aspx?menuIndex=3&amp;refID=7197459&amp;Result=3","7197459")</f>
        <v>0</v>
      </c>
      <c r="B2877" t="s">
        <v>92</v>
      </c>
      <c r="C2877" t="s">
        <v>6273</v>
      </c>
      <c r="D2877" t="s">
        <v>17141</v>
      </c>
      <c r="E2877" t="s">
        <v>19781</v>
      </c>
      <c r="F2877" t="s">
        <v>29372</v>
      </c>
      <c r="G2877" t="s">
        <v>29380</v>
      </c>
      <c r="H2877" t="s">
        <v>11048</v>
      </c>
      <c r="I2877" t="s">
        <v>29400</v>
      </c>
      <c r="J2877" t="s">
        <v>30056</v>
      </c>
      <c r="K2877" t="s">
        <v>38490</v>
      </c>
      <c r="M2877" t="s">
        <v>39854</v>
      </c>
      <c r="N2877" t="s">
        <v>42669</v>
      </c>
      <c r="O2877" t="s">
        <v>42670</v>
      </c>
      <c r="P2877">
        <v>0</v>
      </c>
      <c r="Q2877">
        <v>0</v>
      </c>
      <c r="R2877" t="s">
        <v>42675</v>
      </c>
      <c r="S2877" t="s">
        <v>42807</v>
      </c>
      <c r="T2877" t="s">
        <v>44616</v>
      </c>
      <c r="U2877" t="s">
        <v>47219</v>
      </c>
      <c r="W2877" t="s">
        <v>39854</v>
      </c>
      <c r="X2877" t="s">
        <v>42671</v>
      </c>
    </row>
    <row r="2878" spans="1:24">
      <c r="A2878">
        <f>HYPERLINK("https://www.philgeps.gov.ph/GEPSNONPILOT/Tender/SplashBidNoticeAbstractUI.aspx?menuIndex=3&amp;refID=7197455&amp;Result=3","7197455")</f>
        <v>0</v>
      </c>
      <c r="B2878" t="s">
        <v>1072</v>
      </c>
      <c r="C2878" t="s">
        <v>6274</v>
      </c>
      <c r="D2878" t="s">
        <v>17141</v>
      </c>
      <c r="E2878" t="s">
        <v>19782</v>
      </c>
      <c r="F2878" t="s">
        <v>29372</v>
      </c>
      <c r="G2878" t="s">
        <v>29380</v>
      </c>
      <c r="H2878" t="s">
        <v>11048</v>
      </c>
      <c r="I2878" t="s">
        <v>9642</v>
      </c>
      <c r="J2878" t="s">
        <v>31505</v>
      </c>
      <c r="K2878" t="s">
        <v>38485</v>
      </c>
      <c r="M2878" t="s">
        <v>39879</v>
      </c>
      <c r="N2878" t="s">
        <v>42669</v>
      </c>
      <c r="O2878" t="s">
        <v>42670</v>
      </c>
      <c r="P2878">
        <v>0</v>
      </c>
      <c r="Q2878">
        <v>0</v>
      </c>
      <c r="R2878" t="s">
        <v>42675</v>
      </c>
      <c r="S2878" t="s">
        <v>42807</v>
      </c>
      <c r="T2878" t="s">
        <v>44405</v>
      </c>
      <c r="U2878" t="s">
        <v>47220</v>
      </c>
      <c r="W2878" t="s">
        <v>39879</v>
      </c>
      <c r="X2878" t="s">
        <v>42671</v>
      </c>
    </row>
    <row r="2879" spans="1:24">
      <c r="A2879">
        <f>HYPERLINK("https://www.philgeps.gov.ph/GEPSNONPILOT/Tender/SplashBidNoticeAbstractUI.aspx?menuIndex=3&amp;refID=7197479&amp;Result=3","7197479")</f>
        <v>0</v>
      </c>
      <c r="B2879" t="s">
        <v>1105</v>
      </c>
      <c r="C2879" t="s">
        <v>6275</v>
      </c>
      <c r="D2879" t="s">
        <v>17153</v>
      </c>
      <c r="E2879" t="s">
        <v>19783</v>
      </c>
      <c r="F2879" t="s">
        <v>29372</v>
      </c>
      <c r="G2879" t="s">
        <v>29380</v>
      </c>
      <c r="H2879" t="s">
        <v>11048</v>
      </c>
      <c r="I2879" t="s">
        <v>29403</v>
      </c>
      <c r="J2879" t="s">
        <v>31121</v>
      </c>
      <c r="K2879" t="s">
        <v>38490</v>
      </c>
      <c r="M2879" t="s">
        <v>39914</v>
      </c>
      <c r="N2879" t="s">
        <v>42669</v>
      </c>
      <c r="O2879" t="s">
        <v>42670</v>
      </c>
      <c r="P2879">
        <v>0</v>
      </c>
      <c r="Q2879">
        <v>0</v>
      </c>
      <c r="R2879" t="s">
        <v>42675</v>
      </c>
      <c r="S2879" t="s">
        <v>42807</v>
      </c>
      <c r="T2879" t="s">
        <v>44373</v>
      </c>
      <c r="U2879" t="s">
        <v>47221</v>
      </c>
      <c r="W2879" t="s">
        <v>39914</v>
      </c>
      <c r="X2879" t="s">
        <v>42671</v>
      </c>
    </row>
    <row r="2880" spans="1:24">
      <c r="A2880">
        <f>HYPERLINK("https://www.philgeps.gov.ph/GEPSNONPILOT/Tender/SplashBidNoticeAbstractUI.aspx?menuIndex=3&amp;refID=7197480&amp;Result=3","7197480")</f>
        <v>0</v>
      </c>
      <c r="B2880" t="s">
        <v>1044</v>
      </c>
      <c r="C2880" t="s">
        <v>6276</v>
      </c>
      <c r="D2880" t="s">
        <v>17157</v>
      </c>
      <c r="E2880" t="s">
        <v>19784</v>
      </c>
      <c r="F2880" t="s">
        <v>29372</v>
      </c>
      <c r="G2880" t="s">
        <v>29380</v>
      </c>
      <c r="H2880" t="s">
        <v>11048</v>
      </c>
      <c r="I2880" t="s">
        <v>29428</v>
      </c>
      <c r="J2880" t="s">
        <v>31506</v>
      </c>
      <c r="K2880" t="s">
        <v>38538</v>
      </c>
      <c r="M2880" t="s">
        <v>39849</v>
      </c>
      <c r="N2880" t="s">
        <v>42669</v>
      </c>
      <c r="O2880" t="s">
        <v>42670</v>
      </c>
      <c r="P2880">
        <v>0</v>
      </c>
      <c r="Q2880">
        <v>0</v>
      </c>
      <c r="R2880" t="s">
        <v>42675</v>
      </c>
      <c r="S2880" t="s">
        <v>42807</v>
      </c>
      <c r="T2880" t="s">
        <v>44473</v>
      </c>
      <c r="U2880" t="s">
        <v>47222</v>
      </c>
      <c r="W2880" t="s">
        <v>39849</v>
      </c>
      <c r="X2880" t="s">
        <v>42671</v>
      </c>
    </row>
    <row r="2881" spans="1:24">
      <c r="A2881">
        <f>HYPERLINK("https://www.philgeps.gov.ph/GEPSNONPILOT/Tender/SplashBidNoticeAbstractUI.aspx?menuIndex=3&amp;refID=7197439&amp;Result=3","7197439")</f>
        <v>0</v>
      </c>
      <c r="B2881" t="s">
        <v>1084</v>
      </c>
      <c r="C2881" t="s">
        <v>6277</v>
      </c>
      <c r="D2881" t="s">
        <v>17179</v>
      </c>
      <c r="E2881" t="s">
        <v>19785</v>
      </c>
      <c r="F2881" t="s">
        <v>29372</v>
      </c>
      <c r="G2881" t="s">
        <v>29380</v>
      </c>
      <c r="H2881" t="s">
        <v>29389</v>
      </c>
      <c r="I2881" t="s">
        <v>10408</v>
      </c>
      <c r="J2881" t="s">
        <v>31507</v>
      </c>
      <c r="K2881" t="s">
        <v>38490</v>
      </c>
      <c r="M2881" t="s">
        <v>39910</v>
      </c>
      <c r="N2881" t="s">
        <v>42669</v>
      </c>
      <c r="O2881" t="s">
        <v>42670</v>
      </c>
      <c r="P2881">
        <v>0</v>
      </c>
      <c r="Q2881">
        <v>0</v>
      </c>
      <c r="R2881" t="s">
        <v>42675</v>
      </c>
      <c r="S2881" t="s">
        <v>42807</v>
      </c>
      <c r="T2881" t="s">
        <v>44402</v>
      </c>
      <c r="U2881" t="s">
        <v>47177</v>
      </c>
      <c r="W2881" t="s">
        <v>39910</v>
      </c>
      <c r="X2881" t="s">
        <v>42671</v>
      </c>
    </row>
    <row r="2882" spans="1:24">
      <c r="A2882">
        <f>HYPERLINK("https://www.philgeps.gov.ph/GEPSNONPILOT/Tender/SplashBidNoticeAbstractUI.aspx?menuIndex=3&amp;refID=7197478&amp;Result=3","7197478")</f>
        <v>0</v>
      </c>
      <c r="B2882" t="s">
        <v>1106</v>
      </c>
      <c r="C2882" t="s">
        <v>6278</v>
      </c>
      <c r="D2882" t="s">
        <v>17172</v>
      </c>
      <c r="E2882" t="s">
        <v>19786</v>
      </c>
      <c r="F2882" t="s">
        <v>29372</v>
      </c>
      <c r="G2882" t="s">
        <v>29380</v>
      </c>
      <c r="H2882" t="s">
        <v>29389</v>
      </c>
      <c r="I2882" t="s">
        <v>10408</v>
      </c>
      <c r="J2882" t="s">
        <v>31508</v>
      </c>
      <c r="K2882" t="s">
        <v>38488</v>
      </c>
      <c r="M2882" t="s">
        <v>39915</v>
      </c>
      <c r="N2882" t="s">
        <v>42669</v>
      </c>
      <c r="O2882" t="s">
        <v>42670</v>
      </c>
      <c r="P2882">
        <v>0</v>
      </c>
      <c r="Q2882">
        <v>0</v>
      </c>
      <c r="R2882" t="s">
        <v>42675</v>
      </c>
      <c r="S2882" t="s">
        <v>42807</v>
      </c>
      <c r="T2882" t="s">
        <v>44412</v>
      </c>
      <c r="U2882" t="s">
        <v>47223</v>
      </c>
      <c r="W2882" t="s">
        <v>39915</v>
      </c>
      <c r="X2882" t="s">
        <v>42671</v>
      </c>
    </row>
    <row r="2883" spans="1:24">
      <c r="A2883">
        <f>HYPERLINK("https://www.philgeps.gov.ph/GEPSNONPILOT/Tender/SplashBidNoticeAbstractUI.aspx?menuIndex=3&amp;refID=7197476&amp;Result=3","7197476")</f>
        <v>0</v>
      </c>
      <c r="B2883" t="s">
        <v>956</v>
      </c>
      <c r="C2883" t="s">
        <v>6279</v>
      </c>
      <c r="D2883" t="s">
        <v>17141</v>
      </c>
      <c r="E2883" t="s">
        <v>19787</v>
      </c>
      <c r="F2883" t="s">
        <v>29372</v>
      </c>
      <c r="G2883" t="s">
        <v>29379</v>
      </c>
      <c r="H2883" t="s">
        <v>11048</v>
      </c>
      <c r="I2883" t="s">
        <v>29485</v>
      </c>
      <c r="J2883" t="s">
        <v>31509</v>
      </c>
      <c r="K2883" t="s">
        <v>38496</v>
      </c>
      <c r="M2883" t="s">
        <v>39752</v>
      </c>
      <c r="N2883" t="s">
        <v>42669</v>
      </c>
      <c r="O2883" t="s">
        <v>42670</v>
      </c>
      <c r="P2883">
        <v>0</v>
      </c>
      <c r="Q2883">
        <v>0</v>
      </c>
      <c r="R2883" t="s">
        <v>42675</v>
      </c>
      <c r="S2883" t="s">
        <v>42807</v>
      </c>
      <c r="T2883" t="s">
        <v>44397</v>
      </c>
      <c r="U2883" t="s">
        <v>47224</v>
      </c>
      <c r="W2883" t="s">
        <v>39752</v>
      </c>
      <c r="X2883" t="s">
        <v>42671</v>
      </c>
    </row>
    <row r="2884" spans="1:24">
      <c r="A2884">
        <f>HYPERLINK("https://www.philgeps.gov.ph/GEPSNONPILOT/Tender/SplashBidNoticeAbstractUI.aspx?menuIndex=3&amp;refID=7197465&amp;Result=3","7197465")</f>
        <v>0</v>
      </c>
      <c r="B2884" t="s">
        <v>1069</v>
      </c>
      <c r="C2884" t="s">
        <v>6175</v>
      </c>
      <c r="D2884" t="s">
        <v>17141</v>
      </c>
      <c r="E2884" t="s">
        <v>19788</v>
      </c>
      <c r="F2884" t="s">
        <v>29372</v>
      </c>
      <c r="G2884" t="s">
        <v>29382</v>
      </c>
      <c r="H2884" t="s">
        <v>11048</v>
      </c>
      <c r="I2884" t="s">
        <v>4487</v>
      </c>
      <c r="J2884" t="s">
        <v>31510</v>
      </c>
      <c r="K2884" t="s">
        <v>38488</v>
      </c>
      <c r="M2884" t="s">
        <v>39876</v>
      </c>
      <c r="N2884" t="s">
        <v>42669</v>
      </c>
      <c r="O2884" t="s">
        <v>42670</v>
      </c>
      <c r="P2884">
        <v>0</v>
      </c>
      <c r="Q2884">
        <v>0</v>
      </c>
      <c r="R2884" t="s">
        <v>42675</v>
      </c>
      <c r="S2884" t="s">
        <v>42807</v>
      </c>
      <c r="T2884" t="s">
        <v>44480</v>
      </c>
      <c r="U2884" t="s">
        <v>47225</v>
      </c>
      <c r="V2884" t="s">
        <v>56631</v>
      </c>
      <c r="W2884" t="s">
        <v>39876</v>
      </c>
      <c r="X2884" t="s">
        <v>42671</v>
      </c>
    </row>
    <row r="2885" spans="1:24">
      <c r="A2885">
        <f>HYPERLINK("https://www.philgeps.gov.ph/GEPSNONPILOT/Tender/SplashBidNoticeAbstractUI.aspx?menuIndex=3&amp;refID=7197473&amp;Result=3","7197473")</f>
        <v>0</v>
      </c>
      <c r="B2885" t="s">
        <v>403</v>
      </c>
      <c r="C2885" t="s">
        <v>6280</v>
      </c>
      <c r="D2885" t="s">
        <v>17188</v>
      </c>
      <c r="E2885" t="s">
        <v>19789</v>
      </c>
      <c r="F2885" t="s">
        <v>29372</v>
      </c>
      <c r="G2885" t="s">
        <v>29379</v>
      </c>
      <c r="H2885" t="s">
        <v>11048</v>
      </c>
      <c r="I2885" t="s">
        <v>5383</v>
      </c>
      <c r="J2885" t="s">
        <v>31511</v>
      </c>
      <c r="K2885" t="s">
        <v>38489</v>
      </c>
      <c r="M2885" t="s">
        <v>39167</v>
      </c>
      <c r="N2885" t="s">
        <v>42669</v>
      </c>
      <c r="O2885" t="s">
        <v>42670</v>
      </c>
      <c r="P2885">
        <v>0</v>
      </c>
      <c r="Q2885">
        <v>0</v>
      </c>
      <c r="R2885" t="s">
        <v>42675</v>
      </c>
      <c r="S2885" t="s">
        <v>42807</v>
      </c>
      <c r="T2885" t="s">
        <v>44470</v>
      </c>
      <c r="U2885" t="s">
        <v>47216</v>
      </c>
      <c r="W2885" t="s">
        <v>39167</v>
      </c>
      <c r="X2885" t="s">
        <v>42671</v>
      </c>
    </row>
    <row r="2886" spans="1:24">
      <c r="A2886">
        <f>HYPERLINK("https://www.philgeps.gov.ph/GEPSNONPILOT/Tender/SplashBidNoticeAbstractUI.aspx?menuIndex=3&amp;refID=7197451&amp;Result=3","7197451")</f>
        <v>0</v>
      </c>
      <c r="B2886" t="s">
        <v>1084</v>
      </c>
      <c r="C2886" t="s">
        <v>6281</v>
      </c>
      <c r="D2886" t="s">
        <v>17179</v>
      </c>
      <c r="E2886" t="s">
        <v>19790</v>
      </c>
      <c r="F2886" t="s">
        <v>29372</v>
      </c>
      <c r="G2886" t="s">
        <v>29380</v>
      </c>
      <c r="H2886" t="s">
        <v>29389</v>
      </c>
      <c r="I2886" t="s">
        <v>10408</v>
      </c>
      <c r="J2886" t="s">
        <v>31512</v>
      </c>
      <c r="K2886" t="s">
        <v>38490</v>
      </c>
      <c r="M2886" t="s">
        <v>39910</v>
      </c>
      <c r="N2886" t="s">
        <v>42669</v>
      </c>
      <c r="O2886" t="s">
        <v>42670</v>
      </c>
      <c r="P2886">
        <v>0</v>
      </c>
      <c r="Q2886">
        <v>0</v>
      </c>
      <c r="R2886" t="s">
        <v>42675</v>
      </c>
      <c r="S2886" t="s">
        <v>42807</v>
      </c>
      <c r="T2886" t="s">
        <v>44412</v>
      </c>
      <c r="U2886" t="s">
        <v>47177</v>
      </c>
      <c r="W2886" t="s">
        <v>39910</v>
      </c>
      <c r="X2886" t="s">
        <v>42671</v>
      </c>
    </row>
    <row r="2887" spans="1:24">
      <c r="A2887">
        <f>HYPERLINK("https://www.philgeps.gov.ph/GEPSNONPILOT/Tender/SplashBidNoticeAbstractUI.aspx?menuIndex=3&amp;refID=7197472&amp;Result=3","7197472")</f>
        <v>0</v>
      </c>
      <c r="B2887" t="s">
        <v>1085</v>
      </c>
      <c r="C2887" t="s">
        <v>6282</v>
      </c>
      <c r="E2887" t="s">
        <v>19791</v>
      </c>
      <c r="F2887" t="s">
        <v>29372</v>
      </c>
      <c r="G2887" t="s">
        <v>29379</v>
      </c>
      <c r="H2887" t="s">
        <v>11048</v>
      </c>
      <c r="I2887" t="s">
        <v>8614</v>
      </c>
      <c r="J2887" t="s">
        <v>29571</v>
      </c>
      <c r="K2887" t="s">
        <v>38490</v>
      </c>
      <c r="M2887" t="s">
        <v>39892</v>
      </c>
      <c r="N2887" t="s">
        <v>42669</v>
      </c>
      <c r="O2887" t="s">
        <v>42670</v>
      </c>
      <c r="P2887">
        <v>0</v>
      </c>
      <c r="Q2887">
        <v>0</v>
      </c>
      <c r="R2887" t="s">
        <v>42675</v>
      </c>
      <c r="S2887" t="s">
        <v>42807</v>
      </c>
      <c r="T2887" t="s">
        <v>44470</v>
      </c>
      <c r="U2887" t="s">
        <v>47226</v>
      </c>
      <c r="W2887" t="s">
        <v>39892</v>
      </c>
      <c r="X2887" t="s">
        <v>42671</v>
      </c>
    </row>
    <row r="2888" spans="1:24">
      <c r="A2888">
        <f>HYPERLINK("https://www.philgeps.gov.ph/GEPSNONPILOT/Tender/SplashBidNoticeAbstractUI.aspx?menuIndex=3&amp;refID=7197469&amp;Result=3","7197469")</f>
        <v>0</v>
      </c>
      <c r="B2888" t="s">
        <v>1107</v>
      </c>
      <c r="C2888" t="s">
        <v>6283</v>
      </c>
      <c r="D2888" t="s">
        <v>17161</v>
      </c>
      <c r="E2888" t="s">
        <v>19792</v>
      </c>
      <c r="F2888" t="s">
        <v>29372</v>
      </c>
      <c r="G2888" t="s">
        <v>29379</v>
      </c>
      <c r="H2888" t="s">
        <v>11048</v>
      </c>
      <c r="I2888" t="s">
        <v>29394</v>
      </c>
      <c r="J2888" t="s">
        <v>29555</v>
      </c>
      <c r="K2888" t="s">
        <v>38490</v>
      </c>
      <c r="M2888" t="s">
        <v>39916</v>
      </c>
      <c r="N2888" t="s">
        <v>42669</v>
      </c>
      <c r="O2888" t="s">
        <v>42670</v>
      </c>
      <c r="P2888">
        <v>0</v>
      </c>
      <c r="Q2888">
        <v>0</v>
      </c>
      <c r="R2888" t="s">
        <v>42675</v>
      </c>
      <c r="S2888" t="s">
        <v>42807</v>
      </c>
      <c r="T2888" t="s">
        <v>44480</v>
      </c>
      <c r="U2888" t="s">
        <v>47227</v>
      </c>
      <c r="W2888" t="s">
        <v>39916</v>
      </c>
      <c r="X2888" t="s">
        <v>42671</v>
      </c>
    </row>
    <row r="2889" spans="1:24">
      <c r="A2889">
        <f>HYPERLINK("https://www.philgeps.gov.ph/GEPSNONPILOT/Tender/SplashBidNoticeAbstractUI.aspx?menuIndex=3&amp;refID=7197442&amp;Result=3","7197442")</f>
        <v>0</v>
      </c>
      <c r="B2889" t="s">
        <v>1108</v>
      </c>
      <c r="C2889" t="s">
        <v>6284</v>
      </c>
      <c r="D2889" t="s">
        <v>17150</v>
      </c>
      <c r="E2889" t="s">
        <v>19793</v>
      </c>
      <c r="F2889" t="s">
        <v>29372</v>
      </c>
      <c r="G2889" t="s">
        <v>29380</v>
      </c>
      <c r="H2889" t="s">
        <v>11048</v>
      </c>
      <c r="I2889" t="s">
        <v>29417</v>
      </c>
      <c r="J2889" t="s">
        <v>31513</v>
      </c>
      <c r="K2889" t="s">
        <v>38488</v>
      </c>
      <c r="M2889" t="s">
        <v>39917</v>
      </c>
      <c r="N2889" t="s">
        <v>42669</v>
      </c>
      <c r="O2889" t="s">
        <v>42670</v>
      </c>
      <c r="P2889">
        <v>0</v>
      </c>
      <c r="Q2889">
        <v>0</v>
      </c>
      <c r="R2889" t="s">
        <v>42675</v>
      </c>
      <c r="S2889" t="s">
        <v>42807</v>
      </c>
      <c r="T2889" t="s">
        <v>44375</v>
      </c>
      <c r="U2889" t="s">
        <v>47228</v>
      </c>
      <c r="W2889" t="s">
        <v>39917</v>
      </c>
      <c r="X2889" t="s">
        <v>42671</v>
      </c>
    </row>
    <row r="2890" spans="1:24">
      <c r="A2890">
        <f>HYPERLINK("https://www.philgeps.gov.ph/GEPSNONPILOT/Tender/SplashBidNoticeAbstractUI.aspx?menuIndex=3&amp;refID=7197450&amp;Result=3","7197450")</f>
        <v>0</v>
      </c>
      <c r="B2890" t="s">
        <v>403</v>
      </c>
      <c r="C2890" t="s">
        <v>6285</v>
      </c>
      <c r="D2890" t="s">
        <v>17188</v>
      </c>
      <c r="E2890" t="s">
        <v>19794</v>
      </c>
      <c r="F2890" t="s">
        <v>29372</v>
      </c>
      <c r="G2890" t="s">
        <v>29379</v>
      </c>
      <c r="H2890" t="s">
        <v>11048</v>
      </c>
      <c r="I2890" t="s">
        <v>5383</v>
      </c>
      <c r="J2890" t="s">
        <v>31514</v>
      </c>
      <c r="K2890" t="s">
        <v>38489</v>
      </c>
      <c r="M2890" t="s">
        <v>39167</v>
      </c>
      <c r="N2890" t="s">
        <v>42669</v>
      </c>
      <c r="O2890" t="s">
        <v>42670</v>
      </c>
      <c r="P2890">
        <v>0</v>
      </c>
      <c r="Q2890">
        <v>0</v>
      </c>
      <c r="R2890" t="s">
        <v>42675</v>
      </c>
      <c r="S2890" t="s">
        <v>42807</v>
      </c>
      <c r="T2890" t="s">
        <v>44470</v>
      </c>
      <c r="U2890" t="s">
        <v>47216</v>
      </c>
      <c r="W2890" t="s">
        <v>39167</v>
      </c>
      <c r="X2890" t="s">
        <v>42671</v>
      </c>
    </row>
    <row r="2891" spans="1:24">
      <c r="A2891">
        <f>HYPERLINK("https://www.philgeps.gov.ph/GEPSNONPILOT/Tender/SplashBidNoticeAbstractUI.aspx?menuIndex=3&amp;refID=7197474&amp;Result=3","7197474")</f>
        <v>0</v>
      </c>
      <c r="B2891" t="s">
        <v>1102</v>
      </c>
      <c r="C2891" t="s">
        <v>4040</v>
      </c>
      <c r="D2891" t="s">
        <v>17141</v>
      </c>
      <c r="E2891" t="s">
        <v>19795</v>
      </c>
      <c r="F2891" t="s">
        <v>29372</v>
      </c>
      <c r="G2891" t="s">
        <v>29379</v>
      </c>
      <c r="H2891" t="s">
        <v>11048</v>
      </c>
      <c r="I2891" t="s">
        <v>29433</v>
      </c>
      <c r="J2891" t="s">
        <v>30175</v>
      </c>
      <c r="K2891" t="s">
        <v>38490</v>
      </c>
      <c r="M2891" t="s">
        <v>39909</v>
      </c>
      <c r="N2891" t="s">
        <v>42669</v>
      </c>
      <c r="O2891" t="s">
        <v>42670</v>
      </c>
      <c r="P2891">
        <v>0</v>
      </c>
      <c r="Q2891">
        <v>0</v>
      </c>
      <c r="R2891" t="s">
        <v>42675</v>
      </c>
      <c r="S2891" t="s">
        <v>42807</v>
      </c>
      <c r="T2891" t="s">
        <v>44470</v>
      </c>
      <c r="U2891" t="s">
        <v>47212</v>
      </c>
      <c r="W2891" t="s">
        <v>39909</v>
      </c>
      <c r="X2891" t="s">
        <v>42671</v>
      </c>
    </row>
    <row r="2892" spans="1:24">
      <c r="A2892">
        <f>HYPERLINK("https://www.philgeps.gov.ph/GEPSNONPILOT/Tender/SplashBidNoticeAbstractUI.aspx?menuIndex=3&amp;refID=7197467&amp;Result=3","7197467")</f>
        <v>0</v>
      </c>
      <c r="B2892" t="s">
        <v>403</v>
      </c>
      <c r="C2892" t="s">
        <v>6286</v>
      </c>
      <c r="D2892" t="s">
        <v>17188</v>
      </c>
      <c r="E2892" t="s">
        <v>19796</v>
      </c>
      <c r="F2892" t="s">
        <v>29372</v>
      </c>
      <c r="G2892" t="s">
        <v>29379</v>
      </c>
      <c r="H2892" t="s">
        <v>11048</v>
      </c>
      <c r="I2892" t="s">
        <v>5383</v>
      </c>
      <c r="J2892" t="s">
        <v>31515</v>
      </c>
      <c r="K2892" t="s">
        <v>38489</v>
      </c>
      <c r="M2892" t="s">
        <v>39167</v>
      </c>
      <c r="N2892" t="s">
        <v>42669</v>
      </c>
      <c r="O2892" t="s">
        <v>42670</v>
      </c>
      <c r="P2892">
        <v>0</v>
      </c>
      <c r="Q2892">
        <v>0</v>
      </c>
      <c r="R2892" t="s">
        <v>42675</v>
      </c>
      <c r="S2892" t="s">
        <v>42807</v>
      </c>
      <c r="T2892" t="s">
        <v>44470</v>
      </c>
      <c r="U2892" t="s">
        <v>47216</v>
      </c>
      <c r="W2892" t="s">
        <v>39167</v>
      </c>
      <c r="X2892" t="s">
        <v>42671</v>
      </c>
    </row>
    <row r="2893" spans="1:24">
      <c r="A2893">
        <f>HYPERLINK("https://www.philgeps.gov.ph/GEPSNONPILOT/Tender/SplashBidNoticeAbstractUI.aspx?menuIndex=3&amp;refID=7197466&amp;Result=3","7197466")</f>
        <v>0</v>
      </c>
      <c r="B2893" t="s">
        <v>1103</v>
      </c>
      <c r="C2893" t="s">
        <v>6287</v>
      </c>
      <c r="D2893" t="s">
        <v>17177</v>
      </c>
      <c r="E2893" t="s">
        <v>19797</v>
      </c>
      <c r="F2893" t="s">
        <v>29372</v>
      </c>
      <c r="G2893" t="s">
        <v>29380</v>
      </c>
      <c r="H2893" t="s">
        <v>29389</v>
      </c>
      <c r="I2893" t="s">
        <v>10408</v>
      </c>
      <c r="J2893" t="s">
        <v>31516</v>
      </c>
      <c r="K2893" t="s">
        <v>38518</v>
      </c>
      <c r="M2893" t="s">
        <v>39912</v>
      </c>
      <c r="N2893" t="s">
        <v>42669</v>
      </c>
      <c r="O2893" t="s">
        <v>42670</v>
      </c>
      <c r="P2893">
        <v>0</v>
      </c>
      <c r="Q2893">
        <v>0</v>
      </c>
      <c r="R2893" t="s">
        <v>42675</v>
      </c>
      <c r="S2893" t="s">
        <v>42807</v>
      </c>
      <c r="T2893" t="s">
        <v>44527</v>
      </c>
      <c r="U2893" t="s">
        <v>47229</v>
      </c>
      <c r="W2893" t="s">
        <v>39912</v>
      </c>
      <c r="X2893" t="s">
        <v>42671</v>
      </c>
    </row>
    <row r="2894" spans="1:24">
      <c r="A2894">
        <f>HYPERLINK("https://www.philgeps.gov.ph/GEPSNONPILOT/Tender/SplashBidNoticeAbstractUI.aspx?menuIndex=3&amp;refID=7197464&amp;Result=3","7197464")</f>
        <v>0</v>
      </c>
      <c r="B2894" t="s">
        <v>1100</v>
      </c>
      <c r="C2894" t="s">
        <v>6288</v>
      </c>
      <c r="D2894" t="s">
        <v>17171</v>
      </c>
      <c r="E2894" t="s">
        <v>17529</v>
      </c>
      <c r="F2894" t="s">
        <v>29372</v>
      </c>
      <c r="G2894" t="s">
        <v>29380</v>
      </c>
      <c r="H2894" t="s">
        <v>11048</v>
      </c>
      <c r="I2894" t="s">
        <v>29395</v>
      </c>
      <c r="J2894" t="s">
        <v>30227</v>
      </c>
      <c r="K2894" t="s">
        <v>38510</v>
      </c>
      <c r="M2894" t="s">
        <v>39907</v>
      </c>
      <c r="N2894" t="s">
        <v>42669</v>
      </c>
      <c r="O2894" t="s">
        <v>42670</v>
      </c>
      <c r="P2894">
        <v>0</v>
      </c>
      <c r="Q2894">
        <v>0</v>
      </c>
      <c r="R2894" t="s">
        <v>42675</v>
      </c>
      <c r="S2894" t="s">
        <v>42807</v>
      </c>
      <c r="T2894" t="s">
        <v>44613</v>
      </c>
      <c r="U2894" t="s">
        <v>47230</v>
      </c>
      <c r="W2894" t="s">
        <v>39907</v>
      </c>
      <c r="X2894" t="s">
        <v>42671</v>
      </c>
    </row>
    <row r="2895" spans="1:24">
      <c r="A2895">
        <f>HYPERLINK("https://www.philgeps.gov.ph/GEPSNONPILOT/Tender/SplashBidNoticeAbstractUI.aspx?menuIndex=3&amp;refID=7197462&amp;Result=3","7197462")</f>
        <v>0</v>
      </c>
      <c r="B2895" t="s">
        <v>1102</v>
      </c>
      <c r="C2895" t="s">
        <v>6289</v>
      </c>
      <c r="D2895" t="s">
        <v>17141</v>
      </c>
      <c r="E2895" t="s">
        <v>19798</v>
      </c>
      <c r="F2895" t="s">
        <v>29372</v>
      </c>
      <c r="G2895" t="s">
        <v>29379</v>
      </c>
      <c r="H2895" t="s">
        <v>29390</v>
      </c>
      <c r="I2895" t="s">
        <v>29396</v>
      </c>
      <c r="J2895" t="s">
        <v>31517</v>
      </c>
      <c r="K2895" t="s">
        <v>38491</v>
      </c>
      <c r="M2895" t="s">
        <v>39909</v>
      </c>
      <c r="N2895" t="s">
        <v>42669</v>
      </c>
      <c r="O2895" t="s">
        <v>42670</v>
      </c>
      <c r="P2895">
        <v>0</v>
      </c>
      <c r="Q2895">
        <v>0</v>
      </c>
      <c r="R2895" t="s">
        <v>42675</v>
      </c>
      <c r="S2895" t="s">
        <v>42807</v>
      </c>
      <c r="T2895" t="s">
        <v>44470</v>
      </c>
      <c r="U2895" t="s">
        <v>47212</v>
      </c>
      <c r="W2895" t="s">
        <v>39909</v>
      </c>
      <c r="X2895" t="s">
        <v>42671</v>
      </c>
    </row>
    <row r="2896" spans="1:24">
      <c r="A2896">
        <f>HYPERLINK("https://www.philgeps.gov.ph/GEPSNONPILOT/Tender/SplashBidNoticeAbstractUI.aspx?menuIndex=3&amp;refID=7197461&amp;Result=3","7197461")</f>
        <v>0</v>
      </c>
      <c r="B2896" t="s">
        <v>1085</v>
      </c>
      <c r="C2896" t="s">
        <v>6290</v>
      </c>
      <c r="E2896" t="s">
        <v>19799</v>
      </c>
      <c r="F2896" t="s">
        <v>29372</v>
      </c>
      <c r="G2896" t="s">
        <v>29379</v>
      </c>
      <c r="H2896" t="s">
        <v>11048</v>
      </c>
      <c r="I2896" t="s">
        <v>29433</v>
      </c>
      <c r="J2896" t="s">
        <v>31347</v>
      </c>
      <c r="K2896" t="s">
        <v>38490</v>
      </c>
      <c r="M2896" t="s">
        <v>39892</v>
      </c>
      <c r="N2896" t="s">
        <v>42669</v>
      </c>
      <c r="O2896" t="s">
        <v>42670</v>
      </c>
      <c r="P2896">
        <v>0</v>
      </c>
      <c r="Q2896">
        <v>0</v>
      </c>
      <c r="R2896" t="s">
        <v>42675</v>
      </c>
      <c r="S2896" t="s">
        <v>42807</v>
      </c>
      <c r="T2896" t="s">
        <v>44470</v>
      </c>
      <c r="U2896" t="s">
        <v>47231</v>
      </c>
      <c r="W2896" t="s">
        <v>39892</v>
      </c>
      <c r="X2896" t="s">
        <v>42671</v>
      </c>
    </row>
    <row r="2897" spans="1:24">
      <c r="A2897">
        <f>HYPERLINK("https://www.philgeps.gov.ph/GEPSNONPILOT/Tender/SplashBidNoticeAbstractUI.aspx?menuIndex=3&amp;refID=7197482&amp;Result=3","7197482")</f>
        <v>0</v>
      </c>
      <c r="B2897" t="s">
        <v>403</v>
      </c>
      <c r="C2897" t="s">
        <v>6291</v>
      </c>
      <c r="D2897" t="s">
        <v>17188</v>
      </c>
      <c r="E2897" t="s">
        <v>19800</v>
      </c>
      <c r="F2897" t="s">
        <v>29372</v>
      </c>
      <c r="G2897" t="s">
        <v>29379</v>
      </c>
      <c r="H2897" t="s">
        <v>11048</v>
      </c>
      <c r="I2897" t="s">
        <v>5383</v>
      </c>
      <c r="J2897" t="s">
        <v>31518</v>
      </c>
      <c r="K2897" t="s">
        <v>38489</v>
      </c>
      <c r="M2897" t="s">
        <v>39167</v>
      </c>
      <c r="N2897" t="s">
        <v>42669</v>
      </c>
      <c r="O2897" t="s">
        <v>42670</v>
      </c>
      <c r="P2897">
        <v>0</v>
      </c>
      <c r="Q2897">
        <v>0</v>
      </c>
      <c r="R2897" t="s">
        <v>42675</v>
      </c>
      <c r="S2897" t="s">
        <v>42807</v>
      </c>
      <c r="T2897" t="s">
        <v>44470</v>
      </c>
      <c r="U2897" t="s">
        <v>47216</v>
      </c>
      <c r="W2897" t="s">
        <v>39167</v>
      </c>
      <c r="X2897" t="s">
        <v>42671</v>
      </c>
    </row>
    <row r="2898" spans="1:24">
      <c r="A2898">
        <f>HYPERLINK("https://www.philgeps.gov.ph/GEPSNONPILOT/Tender/SplashBidNoticeAbstractUI.aspx?menuIndex=3&amp;refID=7197481&amp;Result=3","7197481")</f>
        <v>0</v>
      </c>
      <c r="B2898" t="s">
        <v>1109</v>
      </c>
      <c r="C2898" t="s">
        <v>4771</v>
      </c>
      <c r="D2898" t="s">
        <v>17150</v>
      </c>
      <c r="E2898" t="s">
        <v>18365</v>
      </c>
      <c r="F2898" t="s">
        <v>29372</v>
      </c>
      <c r="G2898" t="s">
        <v>29380</v>
      </c>
      <c r="H2898" t="s">
        <v>11048</v>
      </c>
      <c r="I2898" t="s">
        <v>4709</v>
      </c>
      <c r="J2898" t="s">
        <v>31519</v>
      </c>
      <c r="K2898" t="s">
        <v>38485</v>
      </c>
      <c r="M2898" t="s">
        <v>39918</v>
      </c>
      <c r="N2898" t="s">
        <v>42669</v>
      </c>
      <c r="O2898" t="s">
        <v>42670</v>
      </c>
      <c r="P2898">
        <v>0</v>
      </c>
      <c r="Q2898">
        <v>0</v>
      </c>
      <c r="R2898" t="s">
        <v>42675</v>
      </c>
      <c r="S2898" t="s">
        <v>42807</v>
      </c>
      <c r="T2898" t="s">
        <v>44361</v>
      </c>
      <c r="U2898" t="s">
        <v>47232</v>
      </c>
      <c r="W2898" t="s">
        <v>39918</v>
      </c>
      <c r="X2898" t="s">
        <v>42671</v>
      </c>
    </row>
    <row r="2899" spans="1:24">
      <c r="A2899">
        <f>HYPERLINK("https://www.philgeps.gov.ph/GEPSNONPILOT/Tender/SplashBidNoticeAbstractUI.aspx?menuIndex=3&amp;refID=7197496&amp;Result=3","7197496")</f>
        <v>0</v>
      </c>
      <c r="B2899" t="s">
        <v>1106</v>
      </c>
      <c r="C2899" t="s">
        <v>6292</v>
      </c>
      <c r="D2899" t="s">
        <v>17172</v>
      </c>
      <c r="E2899" t="s">
        <v>19801</v>
      </c>
      <c r="F2899" t="s">
        <v>29372</v>
      </c>
      <c r="G2899" t="s">
        <v>29380</v>
      </c>
      <c r="H2899" t="s">
        <v>29389</v>
      </c>
      <c r="I2899" t="s">
        <v>10408</v>
      </c>
      <c r="J2899" t="s">
        <v>31520</v>
      </c>
      <c r="K2899" t="s">
        <v>38504</v>
      </c>
      <c r="M2899" t="s">
        <v>39915</v>
      </c>
      <c r="N2899" t="s">
        <v>42669</v>
      </c>
      <c r="O2899" t="s">
        <v>42670</v>
      </c>
      <c r="P2899">
        <v>0</v>
      </c>
      <c r="Q2899">
        <v>0</v>
      </c>
      <c r="R2899" t="s">
        <v>42675</v>
      </c>
      <c r="S2899" t="s">
        <v>42807</v>
      </c>
      <c r="T2899" t="s">
        <v>44412</v>
      </c>
      <c r="U2899" t="s">
        <v>47233</v>
      </c>
      <c r="W2899" t="s">
        <v>39915</v>
      </c>
      <c r="X2899" t="s">
        <v>42671</v>
      </c>
    </row>
    <row r="2900" spans="1:24">
      <c r="A2900">
        <f>HYPERLINK("https://www.philgeps.gov.ph/GEPSNONPILOT/Tender/SplashBidNoticeAbstractUI.aspx?menuIndex=3&amp;refID=7197420&amp;Result=3","7197420")</f>
        <v>0</v>
      </c>
      <c r="B2900" t="s">
        <v>1084</v>
      </c>
      <c r="C2900" t="s">
        <v>6293</v>
      </c>
      <c r="D2900" t="s">
        <v>17179</v>
      </c>
      <c r="E2900" t="s">
        <v>19802</v>
      </c>
      <c r="F2900" t="s">
        <v>29372</v>
      </c>
      <c r="G2900" t="s">
        <v>29380</v>
      </c>
      <c r="H2900" t="s">
        <v>11048</v>
      </c>
      <c r="I2900" t="s">
        <v>4709</v>
      </c>
      <c r="J2900" t="s">
        <v>31521</v>
      </c>
      <c r="K2900" t="s">
        <v>38490</v>
      </c>
      <c r="M2900" t="s">
        <v>39891</v>
      </c>
      <c r="N2900" t="s">
        <v>42669</v>
      </c>
      <c r="O2900" t="s">
        <v>42670</v>
      </c>
      <c r="P2900">
        <v>0</v>
      </c>
      <c r="Q2900">
        <v>0</v>
      </c>
      <c r="R2900" t="s">
        <v>42675</v>
      </c>
      <c r="S2900" t="s">
        <v>42807</v>
      </c>
      <c r="T2900" t="s">
        <v>44412</v>
      </c>
      <c r="U2900" t="s">
        <v>47177</v>
      </c>
      <c r="W2900" t="s">
        <v>39891</v>
      </c>
      <c r="X2900" t="s">
        <v>42671</v>
      </c>
    </row>
    <row r="2901" spans="1:24">
      <c r="A2901">
        <f>HYPERLINK("https://www.philgeps.gov.ph/GEPSNONPILOT/Tender/SplashBidNoticeAbstractUI.aspx?menuIndex=3&amp;refID=7197494&amp;Result=3","7197494")</f>
        <v>0</v>
      </c>
      <c r="B2901" t="s">
        <v>1110</v>
      </c>
      <c r="C2901" t="s">
        <v>6294</v>
      </c>
      <c r="D2901" t="s">
        <v>17206</v>
      </c>
      <c r="E2901" t="s">
        <v>19803</v>
      </c>
      <c r="F2901" t="s">
        <v>29372</v>
      </c>
      <c r="G2901" t="s">
        <v>29380</v>
      </c>
      <c r="H2901" t="s">
        <v>11048</v>
      </c>
      <c r="I2901" t="s">
        <v>29392</v>
      </c>
      <c r="J2901" t="s">
        <v>31522</v>
      </c>
      <c r="K2901" t="s">
        <v>38580</v>
      </c>
      <c r="M2901" t="s">
        <v>39919</v>
      </c>
      <c r="N2901" t="s">
        <v>42669</v>
      </c>
      <c r="O2901" t="s">
        <v>42670</v>
      </c>
      <c r="P2901">
        <v>0</v>
      </c>
      <c r="Q2901">
        <v>0</v>
      </c>
      <c r="R2901" t="s">
        <v>42675</v>
      </c>
      <c r="S2901" t="s">
        <v>42807</v>
      </c>
      <c r="T2901" t="s">
        <v>44395</v>
      </c>
      <c r="U2901" t="s">
        <v>47234</v>
      </c>
      <c r="W2901" t="s">
        <v>39919</v>
      </c>
      <c r="X2901" t="s">
        <v>42671</v>
      </c>
    </row>
    <row r="2902" spans="1:24">
      <c r="A2902">
        <f>HYPERLINK("https://www.philgeps.gov.ph/GEPSNONPILOT/Tender/SplashBidNoticeAbstractUI.aspx?menuIndex=3&amp;refID=7197493&amp;Result=3","7197493")</f>
        <v>0</v>
      </c>
      <c r="B2902" t="s">
        <v>1111</v>
      </c>
      <c r="C2902" t="s">
        <v>6295</v>
      </c>
      <c r="D2902" t="s">
        <v>17177</v>
      </c>
      <c r="E2902" t="s">
        <v>19804</v>
      </c>
      <c r="F2902" t="s">
        <v>29372</v>
      </c>
      <c r="G2902" t="s">
        <v>29380</v>
      </c>
      <c r="H2902" t="s">
        <v>11048</v>
      </c>
      <c r="I2902" t="s">
        <v>8614</v>
      </c>
      <c r="J2902" t="s">
        <v>29526</v>
      </c>
      <c r="K2902" t="s">
        <v>38485</v>
      </c>
      <c r="M2902" t="s">
        <v>39920</v>
      </c>
      <c r="N2902" t="s">
        <v>42669</v>
      </c>
      <c r="O2902" t="s">
        <v>42670</v>
      </c>
      <c r="P2902">
        <v>0</v>
      </c>
      <c r="Q2902">
        <v>0</v>
      </c>
      <c r="R2902" t="s">
        <v>42675</v>
      </c>
      <c r="S2902" t="s">
        <v>42807</v>
      </c>
      <c r="T2902" t="s">
        <v>44415</v>
      </c>
      <c r="U2902" t="s">
        <v>47235</v>
      </c>
      <c r="W2902" t="s">
        <v>39920</v>
      </c>
      <c r="X2902" t="s">
        <v>42671</v>
      </c>
    </row>
    <row r="2903" spans="1:24">
      <c r="A2903">
        <f>HYPERLINK("https://www.philgeps.gov.ph/GEPSNONPILOT/Tender/SplashBidNoticeAbstractUI.aspx?menuIndex=3&amp;refID=7197471&amp;Result=3","7197471")</f>
        <v>0</v>
      </c>
      <c r="B2903" t="s">
        <v>403</v>
      </c>
      <c r="C2903" t="s">
        <v>6296</v>
      </c>
      <c r="D2903" t="s">
        <v>17188</v>
      </c>
      <c r="E2903" t="s">
        <v>19805</v>
      </c>
      <c r="F2903" t="s">
        <v>29372</v>
      </c>
      <c r="G2903" t="s">
        <v>29379</v>
      </c>
      <c r="H2903" t="s">
        <v>11048</v>
      </c>
      <c r="I2903" t="s">
        <v>5383</v>
      </c>
      <c r="J2903" t="s">
        <v>31293</v>
      </c>
      <c r="K2903" t="s">
        <v>38489</v>
      </c>
      <c r="M2903" t="s">
        <v>39167</v>
      </c>
      <c r="N2903" t="s">
        <v>42669</v>
      </c>
      <c r="O2903" t="s">
        <v>42670</v>
      </c>
      <c r="P2903">
        <v>0</v>
      </c>
      <c r="Q2903">
        <v>0</v>
      </c>
      <c r="R2903" t="s">
        <v>42675</v>
      </c>
      <c r="S2903" t="s">
        <v>42807</v>
      </c>
      <c r="T2903" t="s">
        <v>44470</v>
      </c>
      <c r="U2903" t="s">
        <v>47216</v>
      </c>
      <c r="W2903" t="s">
        <v>39167</v>
      </c>
      <c r="X2903" t="s">
        <v>42671</v>
      </c>
    </row>
    <row r="2904" spans="1:24">
      <c r="A2904">
        <f>HYPERLINK("https://www.philgeps.gov.ph/GEPSNONPILOT/Tender/SplashBidNoticeAbstractUI.aspx?menuIndex=3&amp;refID=7197490&amp;Result=3","7197490")</f>
        <v>0</v>
      </c>
      <c r="B2904" t="s">
        <v>403</v>
      </c>
      <c r="C2904" t="s">
        <v>6297</v>
      </c>
      <c r="D2904" t="s">
        <v>17188</v>
      </c>
      <c r="E2904" t="s">
        <v>19806</v>
      </c>
      <c r="F2904" t="s">
        <v>29372</v>
      </c>
      <c r="G2904" t="s">
        <v>29379</v>
      </c>
      <c r="H2904" t="s">
        <v>11048</v>
      </c>
      <c r="I2904" t="s">
        <v>5383</v>
      </c>
      <c r="J2904" t="s">
        <v>31523</v>
      </c>
      <c r="K2904" t="s">
        <v>38489</v>
      </c>
      <c r="M2904" t="s">
        <v>39167</v>
      </c>
      <c r="N2904" t="s">
        <v>42669</v>
      </c>
      <c r="O2904" t="s">
        <v>42670</v>
      </c>
      <c r="P2904">
        <v>0</v>
      </c>
      <c r="Q2904">
        <v>0</v>
      </c>
      <c r="R2904" t="s">
        <v>42675</v>
      </c>
      <c r="S2904" t="s">
        <v>42807</v>
      </c>
      <c r="T2904" t="s">
        <v>44470</v>
      </c>
      <c r="U2904" t="s">
        <v>47216</v>
      </c>
      <c r="W2904" t="s">
        <v>39167</v>
      </c>
      <c r="X2904" t="s">
        <v>42671</v>
      </c>
    </row>
    <row r="2905" spans="1:24">
      <c r="A2905">
        <f>HYPERLINK("https://www.philgeps.gov.ph/GEPSNONPILOT/Tender/SplashBidNoticeAbstractUI.aspx?menuIndex=3&amp;refID=7197470&amp;Result=3","7197470")</f>
        <v>0</v>
      </c>
      <c r="B2905" t="s">
        <v>1100</v>
      </c>
      <c r="C2905" t="s">
        <v>6298</v>
      </c>
      <c r="D2905" t="s">
        <v>17171</v>
      </c>
      <c r="E2905" t="s">
        <v>19807</v>
      </c>
      <c r="F2905" t="s">
        <v>29372</v>
      </c>
      <c r="G2905" t="s">
        <v>29379</v>
      </c>
      <c r="H2905" t="s">
        <v>11048</v>
      </c>
      <c r="I2905" t="s">
        <v>29412</v>
      </c>
      <c r="J2905" t="s">
        <v>30319</v>
      </c>
      <c r="K2905" t="s">
        <v>38510</v>
      </c>
      <c r="M2905" t="s">
        <v>39907</v>
      </c>
      <c r="N2905" t="s">
        <v>42669</v>
      </c>
      <c r="O2905" t="s">
        <v>42670</v>
      </c>
      <c r="P2905">
        <v>0</v>
      </c>
      <c r="Q2905">
        <v>0</v>
      </c>
      <c r="R2905" t="s">
        <v>42675</v>
      </c>
      <c r="S2905" t="s">
        <v>42807</v>
      </c>
      <c r="T2905" t="s">
        <v>44613</v>
      </c>
      <c r="U2905" t="s">
        <v>47236</v>
      </c>
      <c r="W2905" t="s">
        <v>39907</v>
      </c>
      <c r="X2905" t="s">
        <v>42671</v>
      </c>
    </row>
    <row r="2906" spans="1:24">
      <c r="A2906">
        <f>HYPERLINK("https://www.philgeps.gov.ph/GEPSNONPILOT/Tender/SplashBidNoticeAbstractUI.aspx?menuIndex=3&amp;refID=7197501&amp;Result=3","7197501")</f>
        <v>0</v>
      </c>
      <c r="B2906" t="s">
        <v>1112</v>
      </c>
      <c r="C2906" t="s">
        <v>6299</v>
      </c>
      <c r="D2906" t="s">
        <v>17141</v>
      </c>
      <c r="E2906" t="s">
        <v>19808</v>
      </c>
      <c r="F2906" t="s">
        <v>29372</v>
      </c>
      <c r="G2906" t="s">
        <v>29379</v>
      </c>
      <c r="H2906" t="s">
        <v>11048</v>
      </c>
      <c r="I2906" t="s">
        <v>29421</v>
      </c>
      <c r="J2906" t="s">
        <v>31524</v>
      </c>
      <c r="K2906" t="s">
        <v>38490</v>
      </c>
      <c r="M2906" t="s">
        <v>39921</v>
      </c>
      <c r="N2906" t="s">
        <v>42669</v>
      </c>
      <c r="O2906" t="s">
        <v>42670</v>
      </c>
      <c r="P2906">
        <v>0</v>
      </c>
      <c r="Q2906">
        <v>0</v>
      </c>
      <c r="R2906" t="s">
        <v>42675</v>
      </c>
      <c r="S2906" t="s">
        <v>42807</v>
      </c>
      <c r="T2906" t="s">
        <v>44468</v>
      </c>
      <c r="U2906" t="s">
        <v>47237</v>
      </c>
      <c r="W2906" t="s">
        <v>39921</v>
      </c>
      <c r="X2906" t="s">
        <v>42671</v>
      </c>
    </row>
    <row r="2907" spans="1:24">
      <c r="A2907">
        <f>HYPERLINK("https://www.philgeps.gov.ph/GEPSNONPILOT/Tender/SplashBidNoticeAbstractUI.aspx?menuIndex=3&amp;refID=7197495&amp;Result=3","7197495")</f>
        <v>0</v>
      </c>
      <c r="B2907" t="s">
        <v>1113</v>
      </c>
      <c r="C2907" t="s">
        <v>6300</v>
      </c>
      <c r="D2907" t="s">
        <v>17176</v>
      </c>
      <c r="E2907" t="s">
        <v>19809</v>
      </c>
      <c r="F2907" t="s">
        <v>29372</v>
      </c>
      <c r="G2907" t="s">
        <v>29381</v>
      </c>
      <c r="H2907" t="s">
        <v>29389</v>
      </c>
      <c r="I2907" t="s">
        <v>10408</v>
      </c>
      <c r="J2907" t="s">
        <v>31525</v>
      </c>
      <c r="K2907" t="s">
        <v>38485</v>
      </c>
      <c r="M2907" t="s">
        <v>39922</v>
      </c>
      <c r="N2907" t="s">
        <v>42669</v>
      </c>
      <c r="O2907" t="s">
        <v>42670</v>
      </c>
      <c r="P2907">
        <v>0</v>
      </c>
      <c r="Q2907">
        <v>0</v>
      </c>
      <c r="R2907" t="s">
        <v>42675</v>
      </c>
      <c r="S2907" t="s">
        <v>42807</v>
      </c>
      <c r="T2907" t="s">
        <v>44412</v>
      </c>
      <c r="U2907" t="s">
        <v>47238</v>
      </c>
      <c r="W2907" t="s">
        <v>39922</v>
      </c>
      <c r="X2907" t="s">
        <v>42671</v>
      </c>
    </row>
    <row r="2908" spans="1:24">
      <c r="A2908">
        <f>HYPERLINK("https://www.philgeps.gov.ph/GEPSNONPILOT/Tender/SplashBidNoticeAbstractUI.aspx?menuIndex=3&amp;refID=7197500&amp;Result=3","7197500")</f>
        <v>0</v>
      </c>
      <c r="B2908" t="s">
        <v>1069</v>
      </c>
      <c r="C2908" t="s">
        <v>6301</v>
      </c>
      <c r="D2908" t="s">
        <v>17141</v>
      </c>
      <c r="E2908" t="s">
        <v>19810</v>
      </c>
      <c r="F2908" t="s">
        <v>29372</v>
      </c>
      <c r="G2908" t="s">
        <v>29379</v>
      </c>
      <c r="H2908" t="s">
        <v>11048</v>
      </c>
      <c r="I2908" t="s">
        <v>29395</v>
      </c>
      <c r="J2908" t="s">
        <v>30412</v>
      </c>
      <c r="K2908" t="s">
        <v>38488</v>
      </c>
      <c r="M2908" t="s">
        <v>39876</v>
      </c>
      <c r="N2908" t="s">
        <v>42669</v>
      </c>
      <c r="O2908" t="s">
        <v>42670</v>
      </c>
      <c r="P2908">
        <v>0</v>
      </c>
      <c r="Q2908">
        <v>0</v>
      </c>
      <c r="R2908" t="s">
        <v>42675</v>
      </c>
      <c r="S2908" t="s">
        <v>42807</v>
      </c>
      <c r="T2908" t="s">
        <v>44480</v>
      </c>
      <c r="U2908" t="s">
        <v>47239</v>
      </c>
      <c r="V2908" t="s">
        <v>56623</v>
      </c>
      <c r="W2908" t="s">
        <v>39876</v>
      </c>
      <c r="X2908" t="s">
        <v>42671</v>
      </c>
    </row>
    <row r="2909" spans="1:24">
      <c r="A2909">
        <f>HYPERLINK("https://www.philgeps.gov.ph/GEPSNONPILOT/Tender/SplashBidNoticeAbstractUI.aspx?menuIndex=3&amp;refID=7197498&amp;Result=3","7197498")</f>
        <v>0</v>
      </c>
      <c r="B2909" t="s">
        <v>1085</v>
      </c>
      <c r="C2909" t="s">
        <v>6302</v>
      </c>
      <c r="E2909" t="s">
        <v>19811</v>
      </c>
      <c r="F2909" t="s">
        <v>29372</v>
      </c>
      <c r="G2909" t="s">
        <v>29379</v>
      </c>
      <c r="H2909" t="s">
        <v>11048</v>
      </c>
      <c r="I2909" t="s">
        <v>29433</v>
      </c>
      <c r="J2909" t="s">
        <v>31526</v>
      </c>
      <c r="K2909" t="s">
        <v>38487</v>
      </c>
      <c r="M2909" t="s">
        <v>39892</v>
      </c>
      <c r="N2909" t="s">
        <v>42669</v>
      </c>
      <c r="O2909" t="s">
        <v>42670</v>
      </c>
      <c r="P2909">
        <v>0</v>
      </c>
      <c r="Q2909">
        <v>0</v>
      </c>
      <c r="R2909" t="s">
        <v>42675</v>
      </c>
      <c r="S2909" t="s">
        <v>42807</v>
      </c>
      <c r="T2909" t="s">
        <v>44470</v>
      </c>
      <c r="U2909" t="s">
        <v>47240</v>
      </c>
      <c r="W2909" t="s">
        <v>39892</v>
      </c>
      <c r="X2909" t="s">
        <v>42671</v>
      </c>
    </row>
    <row r="2910" spans="1:24">
      <c r="A2910">
        <f>HYPERLINK("https://www.philgeps.gov.ph/GEPSNONPILOT/Tender/SplashBidNoticeAbstractUI.aspx?menuIndex=3&amp;refID=7197497&amp;Result=3","7197497")</f>
        <v>0</v>
      </c>
      <c r="B2910" t="s">
        <v>403</v>
      </c>
      <c r="C2910" t="s">
        <v>6303</v>
      </c>
      <c r="D2910" t="s">
        <v>17188</v>
      </c>
      <c r="E2910" t="s">
        <v>19812</v>
      </c>
      <c r="F2910" t="s">
        <v>29372</v>
      </c>
      <c r="G2910" t="s">
        <v>29379</v>
      </c>
      <c r="H2910" t="s">
        <v>11048</v>
      </c>
      <c r="I2910" t="s">
        <v>5383</v>
      </c>
      <c r="J2910" t="s">
        <v>31527</v>
      </c>
      <c r="K2910" t="s">
        <v>38489</v>
      </c>
      <c r="M2910" t="s">
        <v>39167</v>
      </c>
      <c r="N2910" t="s">
        <v>42669</v>
      </c>
      <c r="O2910" t="s">
        <v>42670</v>
      </c>
      <c r="P2910">
        <v>0</v>
      </c>
      <c r="Q2910">
        <v>0</v>
      </c>
      <c r="R2910" t="s">
        <v>42675</v>
      </c>
      <c r="S2910" t="s">
        <v>42807</v>
      </c>
      <c r="T2910" t="s">
        <v>44470</v>
      </c>
      <c r="U2910" t="s">
        <v>47216</v>
      </c>
      <c r="W2910" t="s">
        <v>39167</v>
      </c>
      <c r="X2910" t="s">
        <v>42671</v>
      </c>
    </row>
    <row r="2911" spans="1:24">
      <c r="A2911">
        <f>HYPERLINK("https://www.philgeps.gov.ph/GEPSNONPILOT/Tender/SplashBidNoticeAbstractUI.aspx?menuIndex=3&amp;refID=7197489&amp;Result=3","7197489")</f>
        <v>0</v>
      </c>
      <c r="B2911" t="s">
        <v>1113</v>
      </c>
      <c r="C2911" t="s">
        <v>6304</v>
      </c>
      <c r="D2911" t="s">
        <v>17176</v>
      </c>
      <c r="E2911" t="s">
        <v>19813</v>
      </c>
      <c r="F2911" t="s">
        <v>29372</v>
      </c>
      <c r="G2911" t="s">
        <v>29380</v>
      </c>
      <c r="H2911" t="s">
        <v>29389</v>
      </c>
      <c r="I2911" t="s">
        <v>10408</v>
      </c>
      <c r="J2911" t="s">
        <v>31528</v>
      </c>
      <c r="K2911" t="s">
        <v>38530</v>
      </c>
      <c r="M2911" t="s">
        <v>39922</v>
      </c>
      <c r="N2911" t="s">
        <v>42669</v>
      </c>
      <c r="O2911" t="s">
        <v>42670</v>
      </c>
      <c r="P2911">
        <v>0</v>
      </c>
      <c r="Q2911">
        <v>0</v>
      </c>
      <c r="R2911" t="s">
        <v>42675</v>
      </c>
      <c r="S2911" t="s">
        <v>42807</v>
      </c>
      <c r="T2911" t="s">
        <v>44412</v>
      </c>
      <c r="U2911" t="s">
        <v>47241</v>
      </c>
      <c r="W2911" t="s">
        <v>39922</v>
      </c>
      <c r="X2911" t="s">
        <v>42671</v>
      </c>
    </row>
    <row r="2912" spans="1:24">
      <c r="A2912">
        <f>HYPERLINK("https://www.philgeps.gov.ph/GEPSNONPILOT/Tender/SplashBidNoticeAbstractUI.aspx?menuIndex=3&amp;refID=7197488&amp;Result=3","7197488")</f>
        <v>0</v>
      </c>
      <c r="B2912" t="s">
        <v>1069</v>
      </c>
      <c r="C2912" t="s">
        <v>6259</v>
      </c>
      <c r="D2912" t="s">
        <v>17141</v>
      </c>
      <c r="E2912" t="s">
        <v>19814</v>
      </c>
      <c r="F2912" t="s">
        <v>29372</v>
      </c>
      <c r="G2912" t="s">
        <v>29379</v>
      </c>
      <c r="H2912" t="s">
        <v>11048</v>
      </c>
      <c r="I2912" t="s">
        <v>4709</v>
      </c>
      <c r="J2912" t="s">
        <v>31529</v>
      </c>
      <c r="K2912" t="s">
        <v>38488</v>
      </c>
      <c r="M2912" t="s">
        <v>39876</v>
      </c>
      <c r="N2912" t="s">
        <v>42669</v>
      </c>
      <c r="O2912" t="s">
        <v>42670</v>
      </c>
      <c r="P2912">
        <v>0</v>
      </c>
      <c r="Q2912">
        <v>0</v>
      </c>
      <c r="R2912" t="s">
        <v>42675</v>
      </c>
      <c r="S2912" t="s">
        <v>42807</v>
      </c>
      <c r="T2912" t="s">
        <v>44480</v>
      </c>
      <c r="U2912" t="s">
        <v>47242</v>
      </c>
      <c r="V2912" t="s">
        <v>56623</v>
      </c>
      <c r="W2912" t="s">
        <v>39876</v>
      </c>
      <c r="X2912" t="s">
        <v>42671</v>
      </c>
    </row>
    <row r="2913" spans="1:24">
      <c r="A2913">
        <f>HYPERLINK("https://www.philgeps.gov.ph/GEPSNONPILOT/Tender/SplashBidNoticeAbstractUI.aspx?menuIndex=3&amp;refID=7197502&amp;Result=3","7197502")</f>
        <v>0</v>
      </c>
      <c r="B2913" t="s">
        <v>1102</v>
      </c>
      <c r="C2913" t="s">
        <v>6289</v>
      </c>
      <c r="D2913" t="s">
        <v>17141</v>
      </c>
      <c r="E2913" t="s">
        <v>19815</v>
      </c>
      <c r="F2913" t="s">
        <v>29372</v>
      </c>
      <c r="G2913" t="s">
        <v>29379</v>
      </c>
      <c r="H2913" t="s">
        <v>29390</v>
      </c>
      <c r="I2913" t="s">
        <v>29396</v>
      </c>
      <c r="J2913" t="s">
        <v>31530</v>
      </c>
      <c r="K2913" t="s">
        <v>38491</v>
      </c>
      <c r="M2913" t="s">
        <v>39909</v>
      </c>
      <c r="N2913" t="s">
        <v>42669</v>
      </c>
      <c r="O2913" t="s">
        <v>42670</v>
      </c>
      <c r="P2913">
        <v>0</v>
      </c>
      <c r="Q2913">
        <v>0</v>
      </c>
      <c r="R2913" t="s">
        <v>42675</v>
      </c>
      <c r="S2913" t="s">
        <v>42807</v>
      </c>
      <c r="T2913" t="s">
        <v>44470</v>
      </c>
      <c r="U2913" t="s">
        <v>47212</v>
      </c>
      <c r="W2913" t="s">
        <v>39909</v>
      </c>
      <c r="X2913" t="s">
        <v>42671</v>
      </c>
    </row>
    <row r="2914" spans="1:24">
      <c r="A2914">
        <f>HYPERLINK("https://www.philgeps.gov.ph/GEPSNONPILOT/Tender/SplashBidNoticeAbstractUI.aspx?menuIndex=3&amp;refID=7197483&amp;Result=3","7197483")</f>
        <v>0</v>
      </c>
      <c r="B2914" t="s">
        <v>1105</v>
      </c>
      <c r="C2914" t="s">
        <v>6305</v>
      </c>
      <c r="D2914" t="s">
        <v>17153</v>
      </c>
      <c r="E2914" t="s">
        <v>19816</v>
      </c>
      <c r="F2914" t="s">
        <v>29372</v>
      </c>
      <c r="G2914" t="s">
        <v>29380</v>
      </c>
      <c r="H2914" t="s">
        <v>11048</v>
      </c>
      <c r="I2914" t="s">
        <v>29410</v>
      </c>
      <c r="J2914" t="s">
        <v>31531</v>
      </c>
      <c r="K2914" t="s">
        <v>38490</v>
      </c>
      <c r="M2914" t="s">
        <v>39914</v>
      </c>
      <c r="N2914" t="s">
        <v>42669</v>
      </c>
      <c r="O2914" t="s">
        <v>42670</v>
      </c>
      <c r="P2914">
        <v>0</v>
      </c>
      <c r="Q2914">
        <v>0</v>
      </c>
      <c r="R2914" t="s">
        <v>42675</v>
      </c>
      <c r="S2914" t="s">
        <v>42807</v>
      </c>
      <c r="T2914" t="s">
        <v>44373</v>
      </c>
      <c r="U2914" t="s">
        <v>47243</v>
      </c>
      <c r="W2914" t="s">
        <v>39914</v>
      </c>
      <c r="X2914" t="s">
        <v>42671</v>
      </c>
    </row>
    <row r="2915" spans="1:24">
      <c r="A2915">
        <f>HYPERLINK("https://www.philgeps.gov.ph/GEPSNONPILOT/Tender/SplashBidNoticeAbstractUI.aspx?menuIndex=3&amp;refID=7197487&amp;Result=3","7197487")</f>
        <v>0</v>
      </c>
      <c r="B2915" t="s">
        <v>1102</v>
      </c>
      <c r="C2915" t="s">
        <v>4040</v>
      </c>
      <c r="D2915" t="s">
        <v>17141</v>
      </c>
      <c r="E2915" t="s">
        <v>19817</v>
      </c>
      <c r="F2915" t="s">
        <v>29372</v>
      </c>
      <c r="G2915" t="s">
        <v>29379</v>
      </c>
      <c r="H2915" t="s">
        <v>11048</v>
      </c>
      <c r="I2915" t="s">
        <v>29433</v>
      </c>
      <c r="J2915" t="s">
        <v>31532</v>
      </c>
      <c r="K2915" t="s">
        <v>38490</v>
      </c>
      <c r="M2915" t="s">
        <v>39909</v>
      </c>
      <c r="N2915" t="s">
        <v>42669</v>
      </c>
      <c r="O2915" t="s">
        <v>42670</v>
      </c>
      <c r="P2915">
        <v>0</v>
      </c>
      <c r="Q2915">
        <v>0</v>
      </c>
      <c r="R2915" t="s">
        <v>42675</v>
      </c>
      <c r="S2915" t="s">
        <v>42807</v>
      </c>
      <c r="T2915" t="s">
        <v>44470</v>
      </c>
      <c r="U2915" t="s">
        <v>47212</v>
      </c>
      <c r="W2915" t="s">
        <v>39909</v>
      </c>
      <c r="X2915" t="s">
        <v>42671</v>
      </c>
    </row>
    <row r="2916" spans="1:24">
      <c r="A2916">
        <f>HYPERLINK("https://www.philgeps.gov.ph/GEPSNONPILOT/Tender/SplashBidNoticeAbstractUI.aspx?menuIndex=3&amp;refID=7197484&amp;Result=3","7197484")</f>
        <v>0</v>
      </c>
      <c r="B2916" t="s">
        <v>1114</v>
      </c>
      <c r="C2916" t="s">
        <v>6306</v>
      </c>
      <c r="D2916" t="s">
        <v>17212</v>
      </c>
      <c r="E2916" t="s">
        <v>19818</v>
      </c>
      <c r="F2916" t="s">
        <v>29372</v>
      </c>
      <c r="G2916" t="s">
        <v>29380</v>
      </c>
      <c r="H2916" t="s">
        <v>29389</v>
      </c>
      <c r="I2916" t="s">
        <v>10408</v>
      </c>
      <c r="J2916" t="s">
        <v>31533</v>
      </c>
      <c r="K2916" t="s">
        <v>38495</v>
      </c>
      <c r="M2916" t="s">
        <v>39923</v>
      </c>
      <c r="N2916" t="s">
        <v>42669</v>
      </c>
      <c r="O2916" t="s">
        <v>42670</v>
      </c>
      <c r="P2916">
        <v>0</v>
      </c>
      <c r="Q2916">
        <v>0</v>
      </c>
      <c r="R2916" t="s">
        <v>42675</v>
      </c>
      <c r="S2916" t="s">
        <v>42807</v>
      </c>
      <c r="T2916" t="s">
        <v>44379</v>
      </c>
      <c r="U2916" t="s">
        <v>47244</v>
      </c>
      <c r="W2916" t="s">
        <v>39923</v>
      </c>
      <c r="X2916" t="s">
        <v>42671</v>
      </c>
    </row>
    <row r="2917" spans="1:24">
      <c r="A2917">
        <f>HYPERLINK("https://www.philgeps.gov.ph/GEPSNONPILOT/Tender/SplashBidNoticeAbstractUI.aspx?menuIndex=3&amp;refID=7197486&amp;Result=3","7197486")</f>
        <v>0</v>
      </c>
      <c r="B2917" t="s">
        <v>1112</v>
      </c>
      <c r="C2917" t="s">
        <v>6307</v>
      </c>
      <c r="D2917" t="s">
        <v>17141</v>
      </c>
      <c r="E2917" t="s">
        <v>19819</v>
      </c>
      <c r="F2917" t="s">
        <v>29372</v>
      </c>
      <c r="G2917" t="s">
        <v>29379</v>
      </c>
      <c r="H2917" t="s">
        <v>11048</v>
      </c>
      <c r="I2917" t="s">
        <v>29486</v>
      </c>
      <c r="J2917" t="s">
        <v>29642</v>
      </c>
      <c r="K2917" t="s">
        <v>38490</v>
      </c>
      <c r="M2917" t="s">
        <v>39921</v>
      </c>
      <c r="N2917" t="s">
        <v>42669</v>
      </c>
      <c r="O2917" t="s">
        <v>42670</v>
      </c>
      <c r="P2917">
        <v>0</v>
      </c>
      <c r="Q2917">
        <v>0</v>
      </c>
      <c r="R2917" t="s">
        <v>42675</v>
      </c>
      <c r="S2917" t="s">
        <v>42807</v>
      </c>
      <c r="T2917" t="s">
        <v>44468</v>
      </c>
      <c r="U2917" t="s">
        <v>47237</v>
      </c>
      <c r="W2917" t="s">
        <v>39921</v>
      </c>
      <c r="X2917" t="s">
        <v>42671</v>
      </c>
    </row>
    <row r="2918" spans="1:24">
      <c r="A2918">
        <f>HYPERLINK("https://www.philgeps.gov.ph/GEPSNONPILOT/Tender/SplashBidNoticeAbstractUI.aspx?menuIndex=3&amp;refID=7197505&amp;Result=3","7197505")</f>
        <v>0</v>
      </c>
      <c r="B2918" t="s">
        <v>1113</v>
      </c>
      <c r="C2918" t="s">
        <v>6308</v>
      </c>
      <c r="D2918" t="s">
        <v>17176</v>
      </c>
      <c r="E2918" t="s">
        <v>19820</v>
      </c>
      <c r="F2918" t="s">
        <v>29372</v>
      </c>
      <c r="G2918" t="s">
        <v>29381</v>
      </c>
      <c r="H2918" t="s">
        <v>29389</v>
      </c>
      <c r="I2918" t="s">
        <v>10408</v>
      </c>
      <c r="J2918" t="s">
        <v>31534</v>
      </c>
      <c r="K2918" t="s">
        <v>38531</v>
      </c>
      <c r="M2918" t="s">
        <v>39922</v>
      </c>
      <c r="N2918" t="s">
        <v>42669</v>
      </c>
      <c r="O2918" t="s">
        <v>42670</v>
      </c>
      <c r="P2918">
        <v>0</v>
      </c>
      <c r="Q2918">
        <v>0</v>
      </c>
      <c r="R2918" t="s">
        <v>42675</v>
      </c>
      <c r="S2918" t="s">
        <v>42807</v>
      </c>
      <c r="T2918" t="s">
        <v>44412</v>
      </c>
      <c r="U2918" t="s">
        <v>47245</v>
      </c>
      <c r="W2918" t="s">
        <v>39922</v>
      </c>
      <c r="X2918" t="s">
        <v>42671</v>
      </c>
    </row>
    <row r="2919" spans="1:24">
      <c r="A2919">
        <f>HYPERLINK("https://www.philgeps.gov.ph/GEPSNONPILOT/Tender/SplashBidNoticeAbstractUI.aspx?menuIndex=3&amp;refID=7197504&amp;Result=3","7197504")</f>
        <v>0</v>
      </c>
      <c r="B2919" t="s">
        <v>1114</v>
      </c>
      <c r="C2919" t="s">
        <v>6309</v>
      </c>
      <c r="D2919" t="s">
        <v>17212</v>
      </c>
      <c r="E2919" t="s">
        <v>19821</v>
      </c>
      <c r="F2919" t="s">
        <v>29372</v>
      </c>
      <c r="G2919" t="s">
        <v>29380</v>
      </c>
      <c r="H2919" t="s">
        <v>29389</v>
      </c>
      <c r="I2919" t="s">
        <v>10408</v>
      </c>
      <c r="J2919" t="s">
        <v>31535</v>
      </c>
      <c r="K2919" t="s">
        <v>38496</v>
      </c>
      <c r="M2919" t="s">
        <v>39923</v>
      </c>
      <c r="N2919" t="s">
        <v>42669</v>
      </c>
      <c r="O2919" t="s">
        <v>42670</v>
      </c>
      <c r="P2919">
        <v>0</v>
      </c>
      <c r="Q2919">
        <v>0</v>
      </c>
      <c r="R2919" t="s">
        <v>42675</v>
      </c>
      <c r="S2919" t="s">
        <v>42807</v>
      </c>
      <c r="T2919" t="s">
        <v>44363</v>
      </c>
      <c r="U2919" t="s">
        <v>47246</v>
      </c>
      <c r="W2919" t="s">
        <v>39923</v>
      </c>
      <c r="X2919" t="s">
        <v>42671</v>
      </c>
    </row>
    <row r="2920" spans="1:24">
      <c r="A2920">
        <f>HYPERLINK("https://www.philgeps.gov.ph/GEPSNONPILOT/Tender/SplashBidNoticeAbstractUI.aspx?menuIndex=3&amp;refID=7197507&amp;Result=3","7197507")</f>
        <v>0</v>
      </c>
      <c r="B2920" t="s">
        <v>1106</v>
      </c>
      <c r="C2920" t="s">
        <v>6310</v>
      </c>
      <c r="D2920" t="s">
        <v>17172</v>
      </c>
      <c r="E2920" t="s">
        <v>19822</v>
      </c>
      <c r="F2920" t="s">
        <v>29372</v>
      </c>
      <c r="G2920" t="s">
        <v>29380</v>
      </c>
      <c r="H2920" t="s">
        <v>29389</v>
      </c>
      <c r="I2920" t="s">
        <v>10408</v>
      </c>
      <c r="J2920" t="s">
        <v>31536</v>
      </c>
      <c r="K2920" t="s">
        <v>38521</v>
      </c>
      <c r="M2920" t="s">
        <v>39915</v>
      </c>
      <c r="N2920" t="s">
        <v>42669</v>
      </c>
      <c r="O2920" t="s">
        <v>42670</v>
      </c>
      <c r="P2920">
        <v>0</v>
      </c>
      <c r="Q2920">
        <v>0</v>
      </c>
      <c r="R2920" t="s">
        <v>42675</v>
      </c>
      <c r="S2920" t="s">
        <v>42807</v>
      </c>
      <c r="T2920" t="s">
        <v>44412</v>
      </c>
      <c r="U2920" t="s">
        <v>47247</v>
      </c>
      <c r="W2920" t="s">
        <v>39915</v>
      </c>
      <c r="X2920" t="s">
        <v>42671</v>
      </c>
    </row>
    <row r="2921" spans="1:24">
      <c r="A2921">
        <f>HYPERLINK("https://www.philgeps.gov.ph/GEPSNONPILOT/Tender/SplashBidNoticeAbstractUI.aspx?menuIndex=3&amp;refID=7197519&amp;Result=3","7197519")</f>
        <v>0</v>
      </c>
      <c r="B2921" t="s">
        <v>1102</v>
      </c>
      <c r="C2921" t="s">
        <v>6311</v>
      </c>
      <c r="D2921" t="s">
        <v>17141</v>
      </c>
      <c r="E2921" t="s">
        <v>19823</v>
      </c>
      <c r="F2921" t="s">
        <v>29372</v>
      </c>
      <c r="G2921" t="s">
        <v>29379</v>
      </c>
      <c r="H2921" t="s">
        <v>11048</v>
      </c>
      <c r="I2921" t="s">
        <v>29433</v>
      </c>
      <c r="J2921" t="s">
        <v>29799</v>
      </c>
      <c r="K2921" t="s">
        <v>38490</v>
      </c>
      <c r="M2921" t="s">
        <v>39909</v>
      </c>
      <c r="N2921" t="s">
        <v>42669</v>
      </c>
      <c r="O2921" t="s">
        <v>42670</v>
      </c>
      <c r="P2921">
        <v>0</v>
      </c>
      <c r="Q2921">
        <v>0</v>
      </c>
      <c r="R2921" t="s">
        <v>42675</v>
      </c>
      <c r="S2921" t="s">
        <v>42807</v>
      </c>
      <c r="T2921" t="s">
        <v>44470</v>
      </c>
      <c r="U2921" t="s">
        <v>47212</v>
      </c>
      <c r="W2921" t="s">
        <v>39909</v>
      </c>
      <c r="X2921" t="s">
        <v>42671</v>
      </c>
    </row>
    <row r="2922" spans="1:24">
      <c r="A2922">
        <f>HYPERLINK("https://www.philgeps.gov.ph/GEPSNONPILOT/Tender/SplashBidNoticeAbstractUI.aspx?menuIndex=3&amp;refID=7197518&amp;Result=3","7197518")</f>
        <v>0</v>
      </c>
      <c r="B2922" t="s">
        <v>1113</v>
      </c>
      <c r="C2922" t="s">
        <v>6312</v>
      </c>
      <c r="D2922" t="s">
        <v>17176</v>
      </c>
      <c r="E2922" t="s">
        <v>19824</v>
      </c>
      <c r="F2922" t="s">
        <v>29372</v>
      </c>
      <c r="G2922" t="s">
        <v>29381</v>
      </c>
      <c r="H2922" t="s">
        <v>29389</v>
      </c>
      <c r="I2922" t="s">
        <v>10408</v>
      </c>
      <c r="J2922" t="s">
        <v>31537</v>
      </c>
      <c r="K2922" t="s">
        <v>38496</v>
      </c>
      <c r="M2922" t="s">
        <v>39922</v>
      </c>
      <c r="N2922" t="s">
        <v>42669</v>
      </c>
      <c r="O2922" t="s">
        <v>42670</v>
      </c>
      <c r="P2922">
        <v>0</v>
      </c>
      <c r="Q2922">
        <v>0</v>
      </c>
      <c r="R2922" t="s">
        <v>42675</v>
      </c>
      <c r="S2922" t="s">
        <v>42807</v>
      </c>
      <c r="T2922" t="s">
        <v>44412</v>
      </c>
      <c r="U2922" t="s">
        <v>47248</v>
      </c>
      <c r="W2922" t="s">
        <v>39922</v>
      </c>
      <c r="X2922" t="s">
        <v>42671</v>
      </c>
    </row>
    <row r="2923" spans="1:24">
      <c r="A2923">
        <f>HYPERLINK("https://www.philgeps.gov.ph/GEPSNONPILOT/Tender/SplashBidNoticeAbstractUI.aspx?menuIndex=3&amp;refID=7197525&amp;Result=3","7197525")</f>
        <v>0</v>
      </c>
      <c r="B2923" t="s">
        <v>1115</v>
      </c>
      <c r="C2923" t="s">
        <v>6313</v>
      </c>
      <c r="D2923" t="s">
        <v>17167</v>
      </c>
      <c r="E2923" t="s">
        <v>19825</v>
      </c>
      <c r="F2923" t="s">
        <v>29372</v>
      </c>
      <c r="G2923" t="s">
        <v>29381</v>
      </c>
      <c r="H2923" t="s">
        <v>11048</v>
      </c>
      <c r="I2923" t="s">
        <v>29428</v>
      </c>
      <c r="J2923" t="s">
        <v>31086</v>
      </c>
      <c r="K2923" t="s">
        <v>38491</v>
      </c>
      <c r="M2923" t="s">
        <v>39924</v>
      </c>
      <c r="N2923" t="s">
        <v>42669</v>
      </c>
      <c r="O2923" t="s">
        <v>42670</v>
      </c>
      <c r="P2923">
        <v>0</v>
      </c>
      <c r="Q2923">
        <v>0</v>
      </c>
      <c r="R2923" t="s">
        <v>42675</v>
      </c>
      <c r="S2923" t="s">
        <v>42807</v>
      </c>
      <c r="T2923" t="s">
        <v>44470</v>
      </c>
      <c r="U2923" t="s">
        <v>47249</v>
      </c>
      <c r="W2923" t="s">
        <v>39924</v>
      </c>
      <c r="X2923" t="s">
        <v>42671</v>
      </c>
    </row>
    <row r="2924" spans="1:24">
      <c r="A2924">
        <f>HYPERLINK("https://www.philgeps.gov.ph/GEPSNONPILOT/Tender/SplashBidNoticeAbstractUI.aspx?menuIndex=3&amp;refID=7197524&amp;Result=3","7197524")</f>
        <v>0</v>
      </c>
      <c r="B2924" t="s">
        <v>1069</v>
      </c>
      <c r="C2924" t="s">
        <v>6259</v>
      </c>
      <c r="D2924" t="s">
        <v>17141</v>
      </c>
      <c r="E2924" t="s">
        <v>19826</v>
      </c>
      <c r="F2924" t="s">
        <v>29372</v>
      </c>
      <c r="G2924" t="s">
        <v>29379</v>
      </c>
      <c r="H2924" t="s">
        <v>11048</v>
      </c>
      <c r="I2924" t="s">
        <v>4709</v>
      </c>
      <c r="J2924" t="s">
        <v>29555</v>
      </c>
      <c r="K2924" t="s">
        <v>38488</v>
      </c>
      <c r="M2924" t="s">
        <v>39876</v>
      </c>
      <c r="N2924" t="s">
        <v>42669</v>
      </c>
      <c r="O2924" t="s">
        <v>42670</v>
      </c>
      <c r="P2924">
        <v>0</v>
      </c>
      <c r="Q2924">
        <v>0</v>
      </c>
      <c r="R2924" t="s">
        <v>42675</v>
      </c>
      <c r="S2924" t="s">
        <v>42807</v>
      </c>
      <c r="T2924" t="s">
        <v>44480</v>
      </c>
      <c r="U2924" t="s">
        <v>47250</v>
      </c>
      <c r="V2924" t="s">
        <v>56623</v>
      </c>
      <c r="W2924" t="s">
        <v>39876</v>
      </c>
      <c r="X2924" t="s">
        <v>42671</v>
      </c>
    </row>
    <row r="2925" spans="1:24">
      <c r="A2925">
        <f>HYPERLINK("https://www.philgeps.gov.ph/GEPSNONPILOT/Tender/SplashBidNoticeAbstractUI.aspx?menuIndex=3&amp;refID=7197485&amp;Result=3","7197485")</f>
        <v>0</v>
      </c>
      <c r="B2925" t="s">
        <v>1107</v>
      </c>
      <c r="C2925" t="s">
        <v>6314</v>
      </c>
      <c r="D2925" t="s">
        <v>17161</v>
      </c>
      <c r="E2925" t="s">
        <v>19827</v>
      </c>
      <c r="F2925" t="s">
        <v>29372</v>
      </c>
      <c r="G2925" t="s">
        <v>29379</v>
      </c>
      <c r="H2925" t="s">
        <v>11048</v>
      </c>
      <c r="I2925" t="s">
        <v>29394</v>
      </c>
      <c r="J2925" t="s">
        <v>30224</v>
      </c>
      <c r="K2925" t="s">
        <v>38490</v>
      </c>
      <c r="M2925" t="s">
        <v>39916</v>
      </c>
      <c r="N2925" t="s">
        <v>42669</v>
      </c>
      <c r="O2925" t="s">
        <v>42670</v>
      </c>
      <c r="P2925">
        <v>0</v>
      </c>
      <c r="Q2925">
        <v>0</v>
      </c>
      <c r="R2925" t="s">
        <v>42675</v>
      </c>
      <c r="S2925" t="s">
        <v>42807</v>
      </c>
      <c r="T2925" t="s">
        <v>44480</v>
      </c>
      <c r="U2925" t="s">
        <v>47251</v>
      </c>
      <c r="W2925" t="s">
        <v>39916</v>
      </c>
      <c r="X2925" t="s">
        <v>42671</v>
      </c>
    </row>
    <row r="2926" spans="1:24">
      <c r="A2926">
        <f>HYPERLINK("https://www.philgeps.gov.ph/GEPSNONPILOT/Tender/SplashBidNoticeAbstractUI.aspx?menuIndex=3&amp;refID=7197522&amp;Result=3","7197522")</f>
        <v>0</v>
      </c>
      <c r="B2926" t="s">
        <v>562</v>
      </c>
      <c r="C2926" t="s">
        <v>6315</v>
      </c>
      <c r="D2926" t="s">
        <v>17141</v>
      </c>
      <c r="E2926" t="s">
        <v>19828</v>
      </c>
      <c r="F2926" t="s">
        <v>29372</v>
      </c>
      <c r="G2926" t="s">
        <v>29379</v>
      </c>
      <c r="H2926" t="s">
        <v>11048</v>
      </c>
      <c r="I2926" t="s">
        <v>29407</v>
      </c>
      <c r="J2926" t="s">
        <v>29555</v>
      </c>
      <c r="K2926" t="s">
        <v>38491</v>
      </c>
      <c r="M2926" t="s">
        <v>39331</v>
      </c>
      <c r="N2926" t="s">
        <v>42669</v>
      </c>
      <c r="O2926" t="s">
        <v>42670</v>
      </c>
      <c r="P2926">
        <v>0</v>
      </c>
      <c r="Q2926">
        <v>0</v>
      </c>
      <c r="R2926" t="s">
        <v>42675</v>
      </c>
      <c r="S2926" t="s">
        <v>42807</v>
      </c>
      <c r="T2926" t="s">
        <v>44564</v>
      </c>
      <c r="U2926" t="s">
        <v>47252</v>
      </c>
      <c r="W2926" t="s">
        <v>39331</v>
      </c>
      <c r="X2926" t="s">
        <v>42671</v>
      </c>
    </row>
    <row r="2927" spans="1:24">
      <c r="A2927">
        <f>HYPERLINK("https://www.philgeps.gov.ph/GEPSNONPILOT/Tender/SplashBidNoticeAbstractUI.aspx?menuIndex=3&amp;refID=7197468&amp;Result=3","7197468")</f>
        <v>0</v>
      </c>
      <c r="B2927" t="s">
        <v>1102</v>
      </c>
      <c r="C2927" t="s">
        <v>6316</v>
      </c>
      <c r="D2927" t="s">
        <v>17141</v>
      </c>
      <c r="E2927" t="s">
        <v>19829</v>
      </c>
      <c r="F2927" t="s">
        <v>29372</v>
      </c>
      <c r="G2927" t="s">
        <v>29379</v>
      </c>
      <c r="H2927" t="s">
        <v>29390</v>
      </c>
      <c r="I2927" t="s">
        <v>29429</v>
      </c>
      <c r="J2927" t="s">
        <v>31538</v>
      </c>
      <c r="K2927" t="s">
        <v>38491</v>
      </c>
      <c r="M2927" t="s">
        <v>39909</v>
      </c>
      <c r="N2927" t="s">
        <v>42669</v>
      </c>
      <c r="O2927" t="s">
        <v>42670</v>
      </c>
      <c r="P2927">
        <v>0</v>
      </c>
      <c r="Q2927">
        <v>0</v>
      </c>
      <c r="R2927" t="s">
        <v>42675</v>
      </c>
      <c r="S2927" t="s">
        <v>42807</v>
      </c>
      <c r="T2927" t="s">
        <v>44470</v>
      </c>
      <c r="U2927" t="s">
        <v>47212</v>
      </c>
      <c r="W2927" t="s">
        <v>39909</v>
      </c>
      <c r="X2927" t="s">
        <v>42671</v>
      </c>
    </row>
    <row r="2928" spans="1:24">
      <c r="A2928">
        <f>HYPERLINK("https://www.philgeps.gov.ph/GEPSNONPILOT/Tender/SplashBidNoticeAbstractUI.aspx?menuIndex=3&amp;refID=7197514&amp;Result=3","7197514")</f>
        <v>0</v>
      </c>
      <c r="B2928" t="s">
        <v>1106</v>
      </c>
      <c r="C2928" t="s">
        <v>6317</v>
      </c>
      <c r="D2928" t="s">
        <v>17172</v>
      </c>
      <c r="E2928" t="s">
        <v>19830</v>
      </c>
      <c r="F2928" t="s">
        <v>29372</v>
      </c>
      <c r="G2928" t="s">
        <v>29380</v>
      </c>
      <c r="H2928" t="s">
        <v>29389</v>
      </c>
      <c r="I2928" t="s">
        <v>10408</v>
      </c>
      <c r="J2928" t="s">
        <v>31539</v>
      </c>
      <c r="K2928" t="s">
        <v>38519</v>
      </c>
      <c r="M2928" t="s">
        <v>39915</v>
      </c>
      <c r="N2928" t="s">
        <v>42669</v>
      </c>
      <c r="O2928" t="s">
        <v>42670</v>
      </c>
      <c r="P2928">
        <v>0</v>
      </c>
      <c r="Q2928">
        <v>0</v>
      </c>
      <c r="R2928" t="s">
        <v>42675</v>
      </c>
      <c r="S2928" t="s">
        <v>42807</v>
      </c>
      <c r="T2928" t="s">
        <v>44412</v>
      </c>
      <c r="U2928" t="s">
        <v>47253</v>
      </c>
      <c r="W2928" t="s">
        <v>39915</v>
      </c>
      <c r="X2928" t="s">
        <v>42671</v>
      </c>
    </row>
    <row r="2929" spans="1:24">
      <c r="A2929">
        <f>HYPERLINK("https://www.philgeps.gov.ph/GEPSNONPILOT/Tender/SplashBidNoticeAbstractUI.aspx?menuIndex=3&amp;refID=7197513&amp;Result=3","7197513")</f>
        <v>0</v>
      </c>
      <c r="B2929" t="s">
        <v>1115</v>
      </c>
      <c r="C2929" t="s">
        <v>6318</v>
      </c>
      <c r="D2929" t="s">
        <v>17167</v>
      </c>
      <c r="E2929" t="s">
        <v>19831</v>
      </c>
      <c r="F2929" t="s">
        <v>29372</v>
      </c>
      <c r="G2929" t="s">
        <v>29381</v>
      </c>
      <c r="H2929" t="s">
        <v>11048</v>
      </c>
      <c r="I2929" t="s">
        <v>29394</v>
      </c>
      <c r="J2929" t="s">
        <v>31540</v>
      </c>
      <c r="K2929" t="s">
        <v>38491</v>
      </c>
      <c r="M2929" t="s">
        <v>39924</v>
      </c>
      <c r="N2929" t="s">
        <v>42669</v>
      </c>
      <c r="O2929" t="s">
        <v>42670</v>
      </c>
      <c r="P2929">
        <v>0</v>
      </c>
      <c r="Q2929">
        <v>0</v>
      </c>
      <c r="R2929" t="s">
        <v>42675</v>
      </c>
      <c r="S2929" t="s">
        <v>42807</v>
      </c>
      <c r="T2929" t="s">
        <v>44470</v>
      </c>
      <c r="U2929" t="s">
        <v>47249</v>
      </c>
      <c r="W2929" t="s">
        <v>39924</v>
      </c>
      <c r="X2929" t="s">
        <v>42671</v>
      </c>
    </row>
    <row r="2930" spans="1:24">
      <c r="A2930">
        <f>HYPERLINK("https://www.philgeps.gov.ph/GEPSNONPILOT/Tender/SplashBidNoticeAbstractUI.aspx?menuIndex=3&amp;refID=7197517&amp;Result=3","7197517")</f>
        <v>0</v>
      </c>
      <c r="B2930" t="s">
        <v>1114</v>
      </c>
      <c r="C2930" t="s">
        <v>6319</v>
      </c>
      <c r="D2930" t="s">
        <v>17212</v>
      </c>
      <c r="E2930" t="s">
        <v>19832</v>
      </c>
      <c r="F2930" t="s">
        <v>29372</v>
      </c>
      <c r="G2930" t="s">
        <v>29380</v>
      </c>
      <c r="H2930" t="s">
        <v>29389</v>
      </c>
      <c r="I2930" t="s">
        <v>10408</v>
      </c>
      <c r="J2930" t="s">
        <v>31541</v>
      </c>
      <c r="K2930" t="s">
        <v>38564</v>
      </c>
      <c r="M2930" t="s">
        <v>39923</v>
      </c>
      <c r="N2930" t="s">
        <v>42669</v>
      </c>
      <c r="O2930" t="s">
        <v>42670</v>
      </c>
      <c r="P2930">
        <v>0</v>
      </c>
      <c r="Q2930">
        <v>0</v>
      </c>
      <c r="R2930" t="s">
        <v>42675</v>
      </c>
      <c r="S2930" t="s">
        <v>42807</v>
      </c>
      <c r="T2930" t="s">
        <v>44383</v>
      </c>
      <c r="U2930" t="s">
        <v>47254</v>
      </c>
      <c r="W2930" t="s">
        <v>39923</v>
      </c>
      <c r="X2930" t="s">
        <v>42671</v>
      </c>
    </row>
    <row r="2931" spans="1:24">
      <c r="A2931">
        <f>HYPERLINK("https://www.philgeps.gov.ph/GEPSNONPILOT/Tender/SplashBidNoticeAbstractUI.aspx?menuIndex=3&amp;refID=7197516&amp;Result=3","7197516")</f>
        <v>0</v>
      </c>
      <c r="B2931" t="s">
        <v>403</v>
      </c>
      <c r="C2931" t="s">
        <v>6320</v>
      </c>
      <c r="D2931" t="s">
        <v>17188</v>
      </c>
      <c r="E2931" t="s">
        <v>19833</v>
      </c>
      <c r="F2931" t="s">
        <v>29372</v>
      </c>
      <c r="G2931" t="s">
        <v>29379</v>
      </c>
      <c r="H2931" t="s">
        <v>11048</v>
      </c>
      <c r="I2931" t="s">
        <v>5383</v>
      </c>
      <c r="J2931" t="s">
        <v>31542</v>
      </c>
      <c r="K2931" t="s">
        <v>38489</v>
      </c>
      <c r="M2931" t="s">
        <v>39167</v>
      </c>
      <c r="N2931" t="s">
        <v>42669</v>
      </c>
      <c r="O2931" t="s">
        <v>42670</v>
      </c>
      <c r="P2931">
        <v>0</v>
      </c>
      <c r="Q2931">
        <v>0</v>
      </c>
      <c r="R2931" t="s">
        <v>42675</v>
      </c>
      <c r="S2931" t="s">
        <v>42807</v>
      </c>
      <c r="T2931" t="s">
        <v>44470</v>
      </c>
      <c r="U2931" t="s">
        <v>47216</v>
      </c>
      <c r="W2931" t="s">
        <v>39167</v>
      </c>
      <c r="X2931" t="s">
        <v>42671</v>
      </c>
    </row>
    <row r="2932" spans="1:24">
      <c r="A2932">
        <f>HYPERLINK("https://www.philgeps.gov.ph/GEPSNONPILOT/Tender/SplashBidNoticeAbstractUI.aspx?menuIndex=3&amp;refID=7197511&amp;Result=3","7197511")</f>
        <v>0</v>
      </c>
      <c r="B2932" t="s">
        <v>1069</v>
      </c>
      <c r="C2932" t="s">
        <v>6321</v>
      </c>
      <c r="D2932" t="s">
        <v>17141</v>
      </c>
      <c r="E2932" t="s">
        <v>19834</v>
      </c>
      <c r="F2932" t="s">
        <v>29372</v>
      </c>
      <c r="G2932" t="s">
        <v>29379</v>
      </c>
      <c r="H2932" t="s">
        <v>11048</v>
      </c>
      <c r="I2932" t="s">
        <v>3670</v>
      </c>
      <c r="J2932" t="s">
        <v>31543</v>
      </c>
      <c r="K2932" t="s">
        <v>38488</v>
      </c>
      <c r="M2932" t="s">
        <v>39876</v>
      </c>
      <c r="N2932" t="s">
        <v>42669</v>
      </c>
      <c r="O2932" t="s">
        <v>42670</v>
      </c>
      <c r="P2932">
        <v>0</v>
      </c>
      <c r="Q2932">
        <v>0</v>
      </c>
      <c r="R2932" t="s">
        <v>42675</v>
      </c>
      <c r="S2932" t="s">
        <v>42807</v>
      </c>
      <c r="T2932" t="s">
        <v>44480</v>
      </c>
      <c r="U2932" t="s">
        <v>47255</v>
      </c>
      <c r="V2932" t="s">
        <v>56623</v>
      </c>
      <c r="W2932" t="s">
        <v>39876</v>
      </c>
      <c r="X2932" t="s">
        <v>42671</v>
      </c>
    </row>
    <row r="2933" spans="1:24">
      <c r="A2933">
        <f>HYPERLINK("https://www.philgeps.gov.ph/GEPSNONPILOT/Tender/SplashBidNoticeAbstractUI.aspx?menuIndex=3&amp;refID=7197521&amp;Result=3","7197521")</f>
        <v>0</v>
      </c>
      <c r="B2933" t="s">
        <v>1112</v>
      </c>
      <c r="C2933" t="s">
        <v>6322</v>
      </c>
      <c r="D2933" t="s">
        <v>17141</v>
      </c>
      <c r="E2933" t="s">
        <v>19835</v>
      </c>
      <c r="F2933" t="s">
        <v>29372</v>
      </c>
      <c r="G2933" t="s">
        <v>29379</v>
      </c>
      <c r="H2933" t="s">
        <v>11048</v>
      </c>
      <c r="I2933" t="s">
        <v>29486</v>
      </c>
      <c r="J2933" t="s">
        <v>30802</v>
      </c>
      <c r="K2933" t="s">
        <v>38490</v>
      </c>
      <c r="M2933" t="s">
        <v>39921</v>
      </c>
      <c r="N2933" t="s">
        <v>42669</v>
      </c>
      <c r="O2933" t="s">
        <v>42670</v>
      </c>
      <c r="P2933">
        <v>0</v>
      </c>
      <c r="Q2933">
        <v>0</v>
      </c>
      <c r="R2933" t="s">
        <v>42675</v>
      </c>
      <c r="S2933" t="s">
        <v>42807</v>
      </c>
      <c r="T2933" t="s">
        <v>44468</v>
      </c>
      <c r="U2933" t="s">
        <v>47237</v>
      </c>
      <c r="W2933" t="s">
        <v>39921</v>
      </c>
      <c r="X2933" t="s">
        <v>42671</v>
      </c>
    </row>
    <row r="2934" spans="1:24">
      <c r="A2934">
        <f>HYPERLINK("https://www.philgeps.gov.ph/GEPSNONPILOT/Tender/SplashBidNoticeAbstractUI.aspx?menuIndex=3&amp;refID=7197509&amp;Result=3","7197509")</f>
        <v>0</v>
      </c>
      <c r="B2934" t="s">
        <v>1115</v>
      </c>
      <c r="C2934" t="s">
        <v>6323</v>
      </c>
      <c r="D2934" t="s">
        <v>17167</v>
      </c>
      <c r="E2934" t="s">
        <v>19836</v>
      </c>
      <c r="F2934" t="s">
        <v>29372</v>
      </c>
      <c r="G2934" t="s">
        <v>29382</v>
      </c>
      <c r="H2934" t="s">
        <v>11048</v>
      </c>
      <c r="I2934" t="s">
        <v>3839</v>
      </c>
      <c r="J2934" t="s">
        <v>29625</v>
      </c>
      <c r="K2934" t="s">
        <v>38491</v>
      </c>
      <c r="M2934" t="s">
        <v>39924</v>
      </c>
      <c r="N2934" t="s">
        <v>42669</v>
      </c>
      <c r="O2934" t="s">
        <v>42670</v>
      </c>
      <c r="P2934">
        <v>0</v>
      </c>
      <c r="Q2934">
        <v>0</v>
      </c>
      <c r="R2934" t="s">
        <v>42675</v>
      </c>
      <c r="S2934" t="s">
        <v>42807</v>
      </c>
      <c r="T2934" t="s">
        <v>44470</v>
      </c>
      <c r="U2934" t="s">
        <v>47256</v>
      </c>
      <c r="W2934" t="s">
        <v>39924</v>
      </c>
      <c r="X2934" t="s">
        <v>42671</v>
      </c>
    </row>
    <row r="2935" spans="1:24">
      <c r="A2935">
        <f>HYPERLINK("https://www.philgeps.gov.ph/GEPSNONPILOT/Tender/SplashBidNoticeAbstractUI.aspx?menuIndex=3&amp;refID=7197508&amp;Result=3","7197508")</f>
        <v>0</v>
      </c>
      <c r="B2935" t="s">
        <v>1116</v>
      </c>
      <c r="C2935" t="s">
        <v>6324</v>
      </c>
      <c r="D2935" t="s">
        <v>17141</v>
      </c>
      <c r="E2935" t="s">
        <v>19837</v>
      </c>
      <c r="F2935" t="s">
        <v>29372</v>
      </c>
      <c r="G2935" t="s">
        <v>29379</v>
      </c>
      <c r="H2935" t="s">
        <v>29389</v>
      </c>
      <c r="I2935" t="s">
        <v>29453</v>
      </c>
      <c r="J2935" t="s">
        <v>31544</v>
      </c>
      <c r="K2935" t="s">
        <v>38485</v>
      </c>
      <c r="M2935" t="s">
        <v>39925</v>
      </c>
      <c r="N2935" t="s">
        <v>42669</v>
      </c>
      <c r="O2935" t="s">
        <v>42670</v>
      </c>
      <c r="P2935">
        <v>0</v>
      </c>
      <c r="Q2935">
        <v>0</v>
      </c>
      <c r="R2935" t="s">
        <v>42675</v>
      </c>
      <c r="S2935" t="s">
        <v>42807</v>
      </c>
      <c r="T2935" t="s">
        <v>44470</v>
      </c>
      <c r="U2935" t="s">
        <v>47257</v>
      </c>
      <c r="W2935" t="s">
        <v>39925</v>
      </c>
      <c r="X2935" t="s">
        <v>42671</v>
      </c>
    </row>
    <row r="2936" spans="1:24">
      <c r="A2936">
        <f>HYPERLINK("https://www.philgeps.gov.ph/GEPSNONPILOT/Tender/SplashBidNoticeAbstractUI.aspx?menuIndex=3&amp;refID=7197520&amp;Result=3","7197520")</f>
        <v>0</v>
      </c>
      <c r="B2936" t="s">
        <v>1115</v>
      </c>
      <c r="C2936" t="s">
        <v>6325</v>
      </c>
      <c r="D2936" t="s">
        <v>17167</v>
      </c>
      <c r="E2936" t="s">
        <v>19838</v>
      </c>
      <c r="F2936" t="s">
        <v>29372</v>
      </c>
      <c r="G2936" t="s">
        <v>29381</v>
      </c>
      <c r="H2936" t="s">
        <v>11048</v>
      </c>
      <c r="I2936" t="s">
        <v>3670</v>
      </c>
      <c r="J2936" t="s">
        <v>31545</v>
      </c>
      <c r="K2936" t="s">
        <v>38491</v>
      </c>
      <c r="M2936" t="s">
        <v>39924</v>
      </c>
      <c r="N2936" t="s">
        <v>42669</v>
      </c>
      <c r="O2936" t="s">
        <v>42670</v>
      </c>
      <c r="P2936">
        <v>0</v>
      </c>
      <c r="Q2936">
        <v>0</v>
      </c>
      <c r="R2936" t="s">
        <v>42675</v>
      </c>
      <c r="S2936" t="s">
        <v>42807</v>
      </c>
      <c r="T2936" t="s">
        <v>44470</v>
      </c>
      <c r="U2936" t="s">
        <v>47249</v>
      </c>
      <c r="W2936" t="s">
        <v>39924</v>
      </c>
      <c r="X2936" t="s">
        <v>42671</v>
      </c>
    </row>
    <row r="2937" spans="1:24">
      <c r="A2937">
        <f>HYPERLINK("https://www.philgeps.gov.ph/GEPSNONPILOT/Tender/SplashBidNoticeAbstractUI.aspx?menuIndex=3&amp;refID=7197512&amp;Result=3","7197512")</f>
        <v>0</v>
      </c>
      <c r="B2937" t="s">
        <v>1112</v>
      </c>
      <c r="C2937" t="s">
        <v>6322</v>
      </c>
      <c r="D2937" t="s">
        <v>17141</v>
      </c>
      <c r="E2937" t="s">
        <v>19839</v>
      </c>
      <c r="F2937" t="s">
        <v>29372</v>
      </c>
      <c r="G2937" t="s">
        <v>29379</v>
      </c>
      <c r="H2937" t="s">
        <v>11048</v>
      </c>
      <c r="I2937" t="s">
        <v>29486</v>
      </c>
      <c r="J2937" t="s">
        <v>31546</v>
      </c>
      <c r="K2937" t="s">
        <v>38490</v>
      </c>
      <c r="M2937" t="s">
        <v>39921</v>
      </c>
      <c r="N2937" t="s">
        <v>42669</v>
      </c>
      <c r="O2937" t="s">
        <v>42670</v>
      </c>
      <c r="P2937">
        <v>0</v>
      </c>
      <c r="Q2937">
        <v>0</v>
      </c>
      <c r="R2937" t="s">
        <v>42675</v>
      </c>
      <c r="S2937" t="s">
        <v>42807</v>
      </c>
      <c r="T2937" t="s">
        <v>44468</v>
      </c>
      <c r="U2937" t="s">
        <v>47237</v>
      </c>
      <c r="W2937" t="s">
        <v>39921</v>
      </c>
      <c r="X2937" t="s">
        <v>42671</v>
      </c>
    </row>
    <row r="2938" spans="1:24">
      <c r="A2938">
        <f>HYPERLINK("https://www.philgeps.gov.ph/GEPSNONPILOT/Tender/SplashBidNoticeAbstractUI.aspx?menuIndex=3&amp;refID=7197547&amp;Result=3","7197547")</f>
        <v>0</v>
      </c>
      <c r="B2938" t="s">
        <v>403</v>
      </c>
      <c r="C2938" t="s">
        <v>6326</v>
      </c>
      <c r="D2938" t="s">
        <v>17188</v>
      </c>
      <c r="E2938" t="s">
        <v>19840</v>
      </c>
      <c r="F2938" t="s">
        <v>29372</v>
      </c>
      <c r="G2938" t="s">
        <v>29379</v>
      </c>
      <c r="H2938" t="s">
        <v>11048</v>
      </c>
      <c r="I2938" t="s">
        <v>5383</v>
      </c>
      <c r="J2938" t="s">
        <v>31547</v>
      </c>
      <c r="K2938" t="s">
        <v>38491</v>
      </c>
      <c r="M2938" t="s">
        <v>39167</v>
      </c>
      <c r="N2938" t="s">
        <v>42669</v>
      </c>
      <c r="O2938" t="s">
        <v>42670</v>
      </c>
      <c r="P2938">
        <v>0</v>
      </c>
      <c r="Q2938">
        <v>0</v>
      </c>
      <c r="R2938" t="s">
        <v>42675</v>
      </c>
      <c r="S2938" t="s">
        <v>42807</v>
      </c>
      <c r="T2938" t="s">
        <v>44470</v>
      </c>
      <c r="U2938" t="s">
        <v>47216</v>
      </c>
      <c r="W2938" t="s">
        <v>39167</v>
      </c>
      <c r="X2938" t="s">
        <v>42671</v>
      </c>
    </row>
    <row r="2939" spans="1:24">
      <c r="A2939">
        <f>HYPERLINK("https://www.philgeps.gov.ph/GEPSNONPILOT/Tender/SplashBidNoticeAbstractUI.aspx?menuIndex=3&amp;refID=7197510&amp;Result=3","7197510")</f>
        <v>0</v>
      </c>
      <c r="B2939" t="s">
        <v>403</v>
      </c>
      <c r="C2939" t="s">
        <v>6327</v>
      </c>
      <c r="D2939" t="s">
        <v>17188</v>
      </c>
      <c r="E2939" t="s">
        <v>19841</v>
      </c>
      <c r="F2939" t="s">
        <v>29372</v>
      </c>
      <c r="G2939" t="s">
        <v>29379</v>
      </c>
      <c r="H2939" t="s">
        <v>11048</v>
      </c>
      <c r="I2939" t="s">
        <v>5383</v>
      </c>
      <c r="J2939" t="s">
        <v>31548</v>
      </c>
      <c r="K2939" t="s">
        <v>38489</v>
      </c>
      <c r="M2939" t="s">
        <v>39167</v>
      </c>
      <c r="N2939" t="s">
        <v>42669</v>
      </c>
      <c r="O2939" t="s">
        <v>42670</v>
      </c>
      <c r="P2939">
        <v>0</v>
      </c>
      <c r="Q2939">
        <v>0</v>
      </c>
      <c r="R2939" t="s">
        <v>42675</v>
      </c>
      <c r="S2939" t="s">
        <v>42807</v>
      </c>
      <c r="T2939" t="s">
        <v>44470</v>
      </c>
      <c r="U2939" t="s">
        <v>47216</v>
      </c>
      <c r="W2939" t="s">
        <v>39167</v>
      </c>
      <c r="X2939" t="s">
        <v>42671</v>
      </c>
    </row>
    <row r="2940" spans="1:24">
      <c r="A2940">
        <f>HYPERLINK("https://www.philgeps.gov.ph/GEPSNONPILOT/Tender/SplashBidNoticeAbstractUI.aspx?menuIndex=3&amp;refID=7197546&amp;Result=3","7197546")</f>
        <v>0</v>
      </c>
      <c r="B2940" t="s">
        <v>145</v>
      </c>
      <c r="C2940" t="s">
        <v>6328</v>
      </c>
      <c r="D2940" t="s">
        <v>17148</v>
      </c>
      <c r="E2940" t="s">
        <v>19842</v>
      </c>
      <c r="F2940" t="s">
        <v>29372</v>
      </c>
      <c r="G2940" t="s">
        <v>29379</v>
      </c>
      <c r="H2940" t="s">
        <v>11048</v>
      </c>
      <c r="I2940" t="s">
        <v>8208</v>
      </c>
      <c r="J2940" t="s">
        <v>31549</v>
      </c>
      <c r="K2940" t="s">
        <v>38537</v>
      </c>
      <c r="M2940" t="s">
        <v>38900</v>
      </c>
      <c r="N2940" t="s">
        <v>42669</v>
      </c>
      <c r="O2940" t="s">
        <v>42670</v>
      </c>
      <c r="P2940">
        <v>0</v>
      </c>
      <c r="Q2940">
        <v>0</v>
      </c>
      <c r="R2940" t="s">
        <v>42675</v>
      </c>
      <c r="S2940" t="s">
        <v>42807</v>
      </c>
      <c r="T2940" t="s">
        <v>44456</v>
      </c>
      <c r="U2940" t="s">
        <v>47258</v>
      </c>
      <c r="W2940" t="s">
        <v>38900</v>
      </c>
      <c r="X2940" t="s">
        <v>42671</v>
      </c>
    </row>
    <row r="2941" spans="1:24">
      <c r="A2941">
        <f>HYPERLINK("https://www.philgeps.gov.ph/GEPSNONPILOT/Tender/SplashBidNoticeAbstractUI.aspx?menuIndex=3&amp;refID=7197541&amp;Result=3","7197541")</f>
        <v>0</v>
      </c>
      <c r="B2941" t="s">
        <v>1117</v>
      </c>
      <c r="C2941" t="s">
        <v>6329</v>
      </c>
      <c r="D2941" t="s">
        <v>17162</v>
      </c>
      <c r="E2941" t="s">
        <v>19843</v>
      </c>
      <c r="F2941" t="s">
        <v>29372</v>
      </c>
      <c r="G2941" t="s">
        <v>29379</v>
      </c>
      <c r="H2941" t="s">
        <v>11048</v>
      </c>
      <c r="I2941" t="s">
        <v>4709</v>
      </c>
      <c r="J2941" t="s">
        <v>31550</v>
      </c>
      <c r="K2941" t="s">
        <v>38510</v>
      </c>
      <c r="M2941" t="s">
        <v>39926</v>
      </c>
      <c r="N2941" t="s">
        <v>42669</v>
      </c>
      <c r="O2941" t="s">
        <v>42670</v>
      </c>
      <c r="P2941">
        <v>0</v>
      </c>
      <c r="Q2941">
        <v>0</v>
      </c>
      <c r="R2941" t="s">
        <v>42675</v>
      </c>
      <c r="S2941" t="s">
        <v>42807</v>
      </c>
      <c r="T2941" t="s">
        <v>44468</v>
      </c>
      <c r="U2941" t="s">
        <v>47259</v>
      </c>
      <c r="W2941" t="s">
        <v>39926</v>
      </c>
      <c r="X2941" t="s">
        <v>42671</v>
      </c>
    </row>
    <row r="2942" spans="1:24">
      <c r="A2942">
        <f>HYPERLINK("https://www.philgeps.gov.ph/GEPSNONPILOT/Tender/SplashBidNoticeAbstractUI.aspx?menuIndex=3&amp;refID=7197539&amp;Result=3","7197539")</f>
        <v>0</v>
      </c>
      <c r="B2942" t="s">
        <v>1106</v>
      </c>
      <c r="C2942" t="s">
        <v>6330</v>
      </c>
      <c r="D2942" t="s">
        <v>17172</v>
      </c>
      <c r="E2942" t="s">
        <v>19844</v>
      </c>
      <c r="F2942" t="s">
        <v>29372</v>
      </c>
      <c r="G2942" t="s">
        <v>29380</v>
      </c>
      <c r="H2942" t="s">
        <v>29389</v>
      </c>
      <c r="I2942" t="s">
        <v>10408</v>
      </c>
      <c r="J2942" t="s">
        <v>31551</v>
      </c>
      <c r="K2942" t="s">
        <v>38593</v>
      </c>
      <c r="M2942" t="s">
        <v>39915</v>
      </c>
      <c r="N2942" t="s">
        <v>42669</v>
      </c>
      <c r="O2942" t="s">
        <v>42670</v>
      </c>
      <c r="P2942">
        <v>0</v>
      </c>
      <c r="Q2942">
        <v>0</v>
      </c>
      <c r="R2942" t="s">
        <v>42675</v>
      </c>
      <c r="S2942" t="s">
        <v>42807</v>
      </c>
      <c r="T2942" t="s">
        <v>44412</v>
      </c>
      <c r="U2942" t="s">
        <v>47260</v>
      </c>
      <c r="W2942" t="s">
        <v>39915</v>
      </c>
      <c r="X2942" t="s">
        <v>42671</v>
      </c>
    </row>
    <row r="2943" spans="1:24">
      <c r="A2943">
        <f>HYPERLINK("https://www.philgeps.gov.ph/GEPSNONPILOT/Tender/SplashBidNoticeAbstractUI.aspx?menuIndex=3&amp;refID=7197527&amp;Result=3","7197527")</f>
        <v>0</v>
      </c>
      <c r="B2943" t="s">
        <v>1085</v>
      </c>
      <c r="C2943" t="s">
        <v>6331</v>
      </c>
      <c r="E2943" t="s">
        <v>19845</v>
      </c>
      <c r="F2943" t="s">
        <v>29372</v>
      </c>
      <c r="G2943" t="s">
        <v>29379</v>
      </c>
      <c r="H2943" t="s">
        <v>11048</v>
      </c>
      <c r="I2943" t="s">
        <v>29433</v>
      </c>
      <c r="J2943" t="s">
        <v>29730</v>
      </c>
      <c r="K2943" t="s">
        <v>38490</v>
      </c>
      <c r="M2943" t="s">
        <v>39892</v>
      </c>
      <c r="N2943" t="s">
        <v>42669</v>
      </c>
      <c r="O2943" t="s">
        <v>42670</v>
      </c>
      <c r="P2943">
        <v>0</v>
      </c>
      <c r="Q2943">
        <v>0</v>
      </c>
      <c r="R2943" t="s">
        <v>42675</v>
      </c>
      <c r="S2943" t="s">
        <v>42807</v>
      </c>
      <c r="T2943" t="s">
        <v>44470</v>
      </c>
      <c r="U2943" t="s">
        <v>47261</v>
      </c>
      <c r="W2943" t="s">
        <v>39892</v>
      </c>
      <c r="X2943" t="s">
        <v>42671</v>
      </c>
    </row>
    <row r="2944" spans="1:24">
      <c r="A2944">
        <f>HYPERLINK("https://www.philgeps.gov.ph/GEPSNONPILOT/Tender/SplashBidNoticeAbstractUI.aspx?menuIndex=3&amp;refID=7197544&amp;Result=3","7197544")</f>
        <v>0</v>
      </c>
      <c r="B2944" t="s">
        <v>231</v>
      </c>
      <c r="C2944" t="s">
        <v>6332</v>
      </c>
      <c r="E2944" t="s">
        <v>19846</v>
      </c>
      <c r="F2944" t="s">
        <v>29372</v>
      </c>
      <c r="G2944" t="s">
        <v>29380</v>
      </c>
      <c r="H2944" t="s">
        <v>11048</v>
      </c>
      <c r="I2944" t="s">
        <v>29424</v>
      </c>
      <c r="J2944" t="s">
        <v>31552</v>
      </c>
      <c r="K2944" t="s">
        <v>38490</v>
      </c>
      <c r="M2944" t="s">
        <v>39927</v>
      </c>
      <c r="N2944" t="s">
        <v>42669</v>
      </c>
      <c r="O2944" t="s">
        <v>42670</v>
      </c>
      <c r="P2944">
        <v>0</v>
      </c>
      <c r="Q2944">
        <v>0</v>
      </c>
      <c r="R2944" t="s">
        <v>42675</v>
      </c>
      <c r="S2944" t="s">
        <v>42807</v>
      </c>
      <c r="T2944" t="s">
        <v>44391</v>
      </c>
      <c r="U2944" t="s">
        <v>47262</v>
      </c>
      <c r="W2944" t="s">
        <v>39927</v>
      </c>
      <c r="X2944" t="s">
        <v>42671</v>
      </c>
    </row>
    <row r="2945" spans="1:24">
      <c r="A2945">
        <f>HYPERLINK("https://www.philgeps.gov.ph/GEPSNONPILOT/Tender/SplashBidNoticeAbstractUI.aspx?menuIndex=3&amp;refID=7197536&amp;Result=3","7197536")</f>
        <v>0</v>
      </c>
      <c r="B2945" t="s">
        <v>403</v>
      </c>
      <c r="C2945" t="s">
        <v>6333</v>
      </c>
      <c r="D2945" t="s">
        <v>17188</v>
      </c>
      <c r="E2945" t="s">
        <v>19847</v>
      </c>
      <c r="F2945" t="s">
        <v>29372</v>
      </c>
      <c r="G2945" t="s">
        <v>29379</v>
      </c>
      <c r="H2945" t="s">
        <v>11048</v>
      </c>
      <c r="I2945" t="s">
        <v>5383</v>
      </c>
      <c r="J2945" t="s">
        <v>31553</v>
      </c>
      <c r="K2945" t="s">
        <v>38489</v>
      </c>
      <c r="M2945" t="s">
        <v>39167</v>
      </c>
      <c r="N2945" t="s">
        <v>42669</v>
      </c>
      <c r="O2945" t="s">
        <v>42670</v>
      </c>
      <c r="P2945">
        <v>0</v>
      </c>
      <c r="Q2945">
        <v>0</v>
      </c>
      <c r="R2945" t="s">
        <v>42675</v>
      </c>
      <c r="S2945" t="s">
        <v>42807</v>
      </c>
      <c r="T2945" t="s">
        <v>44470</v>
      </c>
      <c r="U2945" t="s">
        <v>47216</v>
      </c>
      <c r="W2945" t="s">
        <v>39167</v>
      </c>
      <c r="X2945" t="s">
        <v>42671</v>
      </c>
    </row>
    <row r="2946" spans="1:24">
      <c r="A2946">
        <f>HYPERLINK("https://www.philgeps.gov.ph/GEPSNONPILOT/Tender/SplashBidNoticeAbstractUI.aspx?menuIndex=3&amp;refID=7197535&amp;Result=3","7197535")</f>
        <v>0</v>
      </c>
      <c r="B2946" t="s">
        <v>231</v>
      </c>
      <c r="C2946" t="s">
        <v>6334</v>
      </c>
      <c r="E2946" t="s">
        <v>19848</v>
      </c>
      <c r="F2946" t="s">
        <v>29372</v>
      </c>
      <c r="G2946" t="s">
        <v>29380</v>
      </c>
      <c r="H2946" t="s">
        <v>11048</v>
      </c>
      <c r="I2946" t="s">
        <v>29430</v>
      </c>
      <c r="J2946" t="s">
        <v>31554</v>
      </c>
      <c r="K2946" t="s">
        <v>38490</v>
      </c>
      <c r="M2946" t="s">
        <v>39927</v>
      </c>
      <c r="N2946" t="s">
        <v>42669</v>
      </c>
      <c r="O2946" t="s">
        <v>42670</v>
      </c>
      <c r="P2946">
        <v>0</v>
      </c>
      <c r="Q2946">
        <v>0</v>
      </c>
      <c r="R2946" t="s">
        <v>42675</v>
      </c>
      <c r="S2946" t="s">
        <v>42807</v>
      </c>
      <c r="T2946" t="s">
        <v>44617</v>
      </c>
      <c r="U2946" t="s">
        <v>47263</v>
      </c>
      <c r="W2946" t="s">
        <v>39927</v>
      </c>
      <c r="X2946" t="s">
        <v>42671</v>
      </c>
    </row>
    <row r="2947" spans="1:24">
      <c r="A2947">
        <f>HYPERLINK("https://www.philgeps.gov.ph/GEPSNONPILOT/Tender/SplashBidNoticeAbstractUI.aspx?menuIndex=3&amp;refID=7197542&amp;Result=3","7197542")</f>
        <v>0</v>
      </c>
      <c r="B2947" t="s">
        <v>403</v>
      </c>
      <c r="C2947" t="s">
        <v>6335</v>
      </c>
      <c r="D2947" t="s">
        <v>17188</v>
      </c>
      <c r="E2947" t="s">
        <v>19849</v>
      </c>
      <c r="F2947" t="s">
        <v>29372</v>
      </c>
      <c r="G2947" t="s">
        <v>29379</v>
      </c>
      <c r="H2947" t="s">
        <v>11048</v>
      </c>
      <c r="I2947" t="s">
        <v>5383</v>
      </c>
      <c r="J2947" t="s">
        <v>31555</v>
      </c>
      <c r="K2947" t="s">
        <v>38489</v>
      </c>
      <c r="M2947" t="s">
        <v>39167</v>
      </c>
      <c r="N2947" t="s">
        <v>42669</v>
      </c>
      <c r="O2947" t="s">
        <v>42670</v>
      </c>
      <c r="P2947">
        <v>0</v>
      </c>
      <c r="Q2947">
        <v>0</v>
      </c>
      <c r="R2947" t="s">
        <v>42675</v>
      </c>
      <c r="S2947" t="s">
        <v>42807</v>
      </c>
      <c r="T2947" t="s">
        <v>44470</v>
      </c>
      <c r="U2947" t="s">
        <v>47216</v>
      </c>
      <c r="W2947" t="s">
        <v>39167</v>
      </c>
      <c r="X2947" t="s">
        <v>42671</v>
      </c>
    </row>
    <row r="2948" spans="1:24">
      <c r="A2948">
        <f>HYPERLINK("https://www.philgeps.gov.ph/GEPSNONPILOT/Tender/SplashBidNoticeAbstractUI.aspx?menuIndex=3&amp;refID=7197534&amp;Result=3","7197534")</f>
        <v>0</v>
      </c>
      <c r="B2948" t="s">
        <v>1118</v>
      </c>
      <c r="C2948" t="s">
        <v>6336</v>
      </c>
      <c r="E2948" t="s">
        <v>19850</v>
      </c>
      <c r="F2948" t="s">
        <v>29372</v>
      </c>
      <c r="G2948" t="s">
        <v>29379</v>
      </c>
      <c r="H2948" t="s">
        <v>11048</v>
      </c>
      <c r="I2948" t="s">
        <v>29395</v>
      </c>
      <c r="J2948" t="s">
        <v>29799</v>
      </c>
      <c r="K2948" t="s">
        <v>38490</v>
      </c>
      <c r="M2948" t="s">
        <v>39928</v>
      </c>
      <c r="N2948" t="s">
        <v>42669</v>
      </c>
      <c r="O2948" t="s">
        <v>42670</v>
      </c>
      <c r="P2948">
        <v>0</v>
      </c>
      <c r="Q2948">
        <v>0</v>
      </c>
      <c r="R2948" t="s">
        <v>42675</v>
      </c>
      <c r="S2948" t="s">
        <v>42807</v>
      </c>
      <c r="T2948" t="s">
        <v>44430</v>
      </c>
      <c r="U2948" t="s">
        <v>47264</v>
      </c>
      <c r="W2948" t="s">
        <v>39928</v>
      </c>
      <c r="X2948" t="s">
        <v>42671</v>
      </c>
    </row>
    <row r="2949" spans="1:24">
      <c r="A2949">
        <f>HYPERLINK("https://www.philgeps.gov.ph/GEPSNONPILOT/Tender/SplashBidNoticeAbstractUI.aspx?menuIndex=3&amp;refID=7197537&amp;Result=3","7197537")</f>
        <v>0</v>
      </c>
      <c r="B2949" t="s">
        <v>1119</v>
      </c>
      <c r="C2949" t="s">
        <v>6337</v>
      </c>
      <c r="D2949" t="s">
        <v>17188</v>
      </c>
      <c r="E2949" t="s">
        <v>19851</v>
      </c>
      <c r="F2949" t="s">
        <v>29372</v>
      </c>
      <c r="G2949" t="s">
        <v>29379</v>
      </c>
      <c r="H2949" t="s">
        <v>29389</v>
      </c>
      <c r="I2949" t="s">
        <v>10408</v>
      </c>
      <c r="J2949" t="s">
        <v>31556</v>
      </c>
      <c r="K2949" t="s">
        <v>38488</v>
      </c>
      <c r="M2949" t="s">
        <v>39929</v>
      </c>
      <c r="N2949" t="s">
        <v>42669</v>
      </c>
      <c r="O2949" t="s">
        <v>42670</v>
      </c>
      <c r="P2949">
        <v>0</v>
      </c>
      <c r="Q2949">
        <v>0</v>
      </c>
      <c r="R2949" t="s">
        <v>42675</v>
      </c>
      <c r="S2949" t="s">
        <v>42807</v>
      </c>
      <c r="T2949" t="s">
        <v>44480</v>
      </c>
      <c r="U2949" t="s">
        <v>47265</v>
      </c>
      <c r="W2949" t="s">
        <v>39929</v>
      </c>
      <c r="X2949" t="s">
        <v>42671</v>
      </c>
    </row>
    <row r="2950" spans="1:24">
      <c r="A2950">
        <f>HYPERLINK("https://www.philgeps.gov.ph/GEPSNONPILOT/Tender/SplashBidNoticeAbstractUI.aspx?menuIndex=3&amp;refID=7197533&amp;Result=3","7197533")</f>
        <v>0</v>
      </c>
      <c r="B2950" t="s">
        <v>1106</v>
      </c>
      <c r="C2950" t="s">
        <v>6338</v>
      </c>
      <c r="D2950" t="s">
        <v>17172</v>
      </c>
      <c r="E2950" t="s">
        <v>19852</v>
      </c>
      <c r="F2950" t="s">
        <v>29372</v>
      </c>
      <c r="G2950" t="s">
        <v>29380</v>
      </c>
      <c r="H2950" t="s">
        <v>29389</v>
      </c>
      <c r="I2950" t="s">
        <v>10408</v>
      </c>
      <c r="J2950" t="s">
        <v>31557</v>
      </c>
      <c r="K2950" t="s">
        <v>38508</v>
      </c>
      <c r="M2950" t="s">
        <v>39915</v>
      </c>
      <c r="N2950" t="s">
        <v>42669</v>
      </c>
      <c r="O2950" t="s">
        <v>42670</v>
      </c>
      <c r="P2950">
        <v>0</v>
      </c>
      <c r="Q2950">
        <v>0</v>
      </c>
      <c r="R2950" t="s">
        <v>42675</v>
      </c>
      <c r="S2950" t="s">
        <v>42807</v>
      </c>
      <c r="T2950" t="s">
        <v>44412</v>
      </c>
      <c r="U2950" t="s">
        <v>46757</v>
      </c>
      <c r="W2950" t="s">
        <v>39915</v>
      </c>
      <c r="X2950" t="s">
        <v>42671</v>
      </c>
    </row>
    <row r="2951" spans="1:24">
      <c r="A2951">
        <f>HYPERLINK("https://www.philgeps.gov.ph/GEPSNONPILOT/Tender/SplashBidNoticeAbstractUI.aspx?menuIndex=3&amp;refID=7197569&amp;Result=3","7197569")</f>
        <v>0</v>
      </c>
      <c r="B2951" t="s">
        <v>844</v>
      </c>
      <c r="C2951" t="s">
        <v>6339</v>
      </c>
      <c r="D2951" t="s">
        <v>17143</v>
      </c>
      <c r="E2951" t="s">
        <v>19853</v>
      </c>
      <c r="F2951" t="s">
        <v>29372</v>
      </c>
      <c r="G2951" t="s">
        <v>29379</v>
      </c>
      <c r="H2951" t="s">
        <v>11048</v>
      </c>
      <c r="I2951" t="s">
        <v>29401</v>
      </c>
      <c r="J2951" t="s">
        <v>29882</v>
      </c>
      <c r="K2951" t="s">
        <v>38491</v>
      </c>
      <c r="M2951" t="s">
        <v>39634</v>
      </c>
      <c r="N2951" t="s">
        <v>42669</v>
      </c>
      <c r="O2951" t="s">
        <v>42670</v>
      </c>
      <c r="P2951">
        <v>0</v>
      </c>
      <c r="Q2951">
        <v>0</v>
      </c>
      <c r="R2951" t="s">
        <v>42675</v>
      </c>
      <c r="S2951" t="s">
        <v>42807</v>
      </c>
      <c r="T2951" t="s">
        <v>44375</v>
      </c>
      <c r="U2951" t="s">
        <v>46577</v>
      </c>
      <c r="W2951" t="s">
        <v>39634</v>
      </c>
      <c r="X2951" t="s">
        <v>42671</v>
      </c>
    </row>
    <row r="2952" spans="1:24">
      <c r="A2952">
        <f>HYPERLINK("https://www.philgeps.gov.ph/GEPSNONPILOT/Tender/SplashBidNoticeAbstractUI.aspx?menuIndex=3&amp;refID=7197543&amp;Result=3","7197543")</f>
        <v>0</v>
      </c>
      <c r="B2952" t="s">
        <v>246</v>
      </c>
      <c r="C2952" t="s">
        <v>6340</v>
      </c>
      <c r="E2952" t="s">
        <v>19854</v>
      </c>
      <c r="F2952" t="s">
        <v>29372</v>
      </c>
      <c r="G2952" t="s">
        <v>29379</v>
      </c>
      <c r="H2952" t="s">
        <v>11048</v>
      </c>
      <c r="I2952" t="s">
        <v>9642</v>
      </c>
      <c r="J2952" t="s">
        <v>31558</v>
      </c>
      <c r="K2952" t="s">
        <v>38485</v>
      </c>
      <c r="M2952" t="s">
        <v>39005</v>
      </c>
      <c r="N2952" t="s">
        <v>42669</v>
      </c>
      <c r="O2952" t="s">
        <v>42670</v>
      </c>
      <c r="P2952">
        <v>0</v>
      </c>
      <c r="Q2952">
        <v>0</v>
      </c>
      <c r="R2952" t="s">
        <v>42675</v>
      </c>
      <c r="S2952" t="s">
        <v>42807</v>
      </c>
      <c r="T2952" t="s">
        <v>44470</v>
      </c>
      <c r="U2952" t="s">
        <v>47266</v>
      </c>
      <c r="W2952" t="s">
        <v>39005</v>
      </c>
      <c r="X2952" t="s">
        <v>42671</v>
      </c>
    </row>
    <row r="2953" spans="1:24">
      <c r="A2953">
        <f>HYPERLINK("https://www.philgeps.gov.ph/GEPSNONPILOT/Tender/SplashBidNoticeAbstractUI.aspx?menuIndex=3&amp;refID=7197565&amp;Result=3","7197565")</f>
        <v>0</v>
      </c>
      <c r="B2953" t="s">
        <v>1072</v>
      </c>
      <c r="C2953" t="s">
        <v>6341</v>
      </c>
      <c r="D2953" t="s">
        <v>17141</v>
      </c>
      <c r="E2953" t="s">
        <v>19855</v>
      </c>
      <c r="F2953" t="s">
        <v>29372</v>
      </c>
      <c r="G2953" t="s">
        <v>29379</v>
      </c>
      <c r="H2953" t="s">
        <v>11048</v>
      </c>
      <c r="I2953" t="s">
        <v>29437</v>
      </c>
      <c r="J2953" t="s">
        <v>29526</v>
      </c>
      <c r="K2953" t="s">
        <v>38489</v>
      </c>
      <c r="M2953" t="s">
        <v>39879</v>
      </c>
      <c r="N2953" t="s">
        <v>42669</v>
      </c>
      <c r="O2953" t="s">
        <v>42670</v>
      </c>
      <c r="P2953">
        <v>0</v>
      </c>
      <c r="Q2953">
        <v>0</v>
      </c>
      <c r="R2953" t="s">
        <v>42675</v>
      </c>
      <c r="S2953" t="s">
        <v>42807</v>
      </c>
      <c r="T2953" t="s">
        <v>44508</v>
      </c>
      <c r="U2953" t="s">
        <v>47267</v>
      </c>
      <c r="W2953" t="s">
        <v>39879</v>
      </c>
      <c r="X2953" t="s">
        <v>42671</v>
      </c>
    </row>
    <row r="2954" spans="1:24">
      <c r="A2954">
        <f>HYPERLINK("https://www.philgeps.gov.ph/GEPSNONPILOT/Tender/SplashBidNoticeAbstractUI.aspx?menuIndex=3&amp;refID=7197567&amp;Result=3","7197567")</f>
        <v>0</v>
      </c>
      <c r="B2954" t="s">
        <v>1120</v>
      </c>
      <c r="C2954" t="s">
        <v>6342</v>
      </c>
      <c r="D2954" t="s">
        <v>17189</v>
      </c>
      <c r="E2954" t="s">
        <v>19856</v>
      </c>
      <c r="F2954" t="s">
        <v>29372</v>
      </c>
      <c r="G2954" t="s">
        <v>29379</v>
      </c>
      <c r="H2954" t="s">
        <v>11048</v>
      </c>
      <c r="I2954" t="s">
        <v>3670</v>
      </c>
      <c r="J2954" t="s">
        <v>31263</v>
      </c>
      <c r="K2954" t="s">
        <v>38489</v>
      </c>
      <c r="M2954" t="s">
        <v>39930</v>
      </c>
      <c r="N2954" t="s">
        <v>42669</v>
      </c>
      <c r="O2954" t="s">
        <v>42670</v>
      </c>
      <c r="P2954">
        <v>0</v>
      </c>
      <c r="Q2954">
        <v>0</v>
      </c>
      <c r="R2954" t="s">
        <v>42675</v>
      </c>
      <c r="S2954" t="s">
        <v>42807</v>
      </c>
      <c r="T2954" t="s">
        <v>44508</v>
      </c>
      <c r="U2954" t="s">
        <v>47268</v>
      </c>
      <c r="V2954" t="s">
        <v>56632</v>
      </c>
      <c r="W2954" t="s">
        <v>39930</v>
      </c>
      <c r="X2954" t="s">
        <v>42671</v>
      </c>
    </row>
    <row r="2955" spans="1:24">
      <c r="A2955">
        <f>HYPERLINK("https://www.philgeps.gov.ph/GEPSNONPILOT/Tender/SplashBidNoticeAbstractUI.aspx?menuIndex=3&amp;refID=7197523&amp;Result=3","7197523")</f>
        <v>0</v>
      </c>
      <c r="B2955" t="s">
        <v>119</v>
      </c>
      <c r="C2955" t="s">
        <v>6343</v>
      </c>
      <c r="D2955" t="s">
        <v>17141</v>
      </c>
      <c r="E2955" t="s">
        <v>19857</v>
      </c>
      <c r="F2955" t="s">
        <v>29372</v>
      </c>
      <c r="G2955" t="s">
        <v>29379</v>
      </c>
      <c r="H2955" t="s">
        <v>11048</v>
      </c>
      <c r="I2955" t="s">
        <v>5383</v>
      </c>
      <c r="J2955" t="s">
        <v>31559</v>
      </c>
      <c r="K2955" t="s">
        <v>38490</v>
      </c>
      <c r="M2955" t="s">
        <v>39589</v>
      </c>
      <c r="N2955" t="s">
        <v>42669</v>
      </c>
      <c r="O2955" t="s">
        <v>42670</v>
      </c>
      <c r="P2955">
        <v>0</v>
      </c>
      <c r="Q2955">
        <v>0</v>
      </c>
      <c r="R2955" t="s">
        <v>42675</v>
      </c>
      <c r="S2955" t="s">
        <v>42807</v>
      </c>
      <c r="T2955" t="s">
        <v>44514</v>
      </c>
      <c r="U2955" t="s">
        <v>47269</v>
      </c>
      <c r="W2955" t="s">
        <v>39589</v>
      </c>
      <c r="X2955" t="s">
        <v>42671</v>
      </c>
    </row>
    <row r="2956" spans="1:24">
      <c r="A2956">
        <f>HYPERLINK("https://www.philgeps.gov.ph/GEPSNONPILOT/Tender/SplashBidNoticeAbstractUI.aspx?menuIndex=3&amp;refID=7197566&amp;Result=3","7197566")</f>
        <v>0</v>
      </c>
      <c r="B2956" t="s">
        <v>403</v>
      </c>
      <c r="C2956" t="s">
        <v>6344</v>
      </c>
      <c r="D2956" t="s">
        <v>17188</v>
      </c>
      <c r="E2956" t="s">
        <v>19858</v>
      </c>
      <c r="F2956" t="s">
        <v>29372</v>
      </c>
      <c r="G2956" t="s">
        <v>29379</v>
      </c>
      <c r="H2956" t="s">
        <v>11048</v>
      </c>
      <c r="I2956" t="s">
        <v>5383</v>
      </c>
      <c r="J2956" t="s">
        <v>31048</v>
      </c>
      <c r="K2956" t="s">
        <v>38489</v>
      </c>
      <c r="M2956" t="s">
        <v>39167</v>
      </c>
      <c r="N2956" t="s">
        <v>42669</v>
      </c>
      <c r="O2956" t="s">
        <v>42670</v>
      </c>
      <c r="P2956">
        <v>0</v>
      </c>
      <c r="Q2956">
        <v>0</v>
      </c>
      <c r="R2956" t="s">
        <v>42675</v>
      </c>
      <c r="S2956" t="s">
        <v>42807</v>
      </c>
      <c r="T2956" t="s">
        <v>44470</v>
      </c>
      <c r="U2956" t="s">
        <v>47216</v>
      </c>
      <c r="W2956" t="s">
        <v>39167</v>
      </c>
      <c r="X2956" t="s">
        <v>42671</v>
      </c>
    </row>
    <row r="2957" spans="1:24">
      <c r="A2957">
        <f>HYPERLINK("https://www.philgeps.gov.ph/GEPSNONPILOT/Tender/SplashBidNoticeAbstractUI.aspx?menuIndex=3&amp;refID=7197568&amp;Result=3","7197568")</f>
        <v>0</v>
      </c>
      <c r="B2957" t="s">
        <v>1085</v>
      </c>
      <c r="C2957" t="s">
        <v>6345</v>
      </c>
      <c r="E2957" t="s">
        <v>19859</v>
      </c>
      <c r="F2957" t="s">
        <v>29372</v>
      </c>
      <c r="G2957" t="s">
        <v>29379</v>
      </c>
      <c r="H2957" t="s">
        <v>11048</v>
      </c>
      <c r="I2957" t="s">
        <v>29417</v>
      </c>
      <c r="J2957" t="s">
        <v>31560</v>
      </c>
      <c r="K2957" t="s">
        <v>38496</v>
      </c>
      <c r="M2957" t="s">
        <v>39892</v>
      </c>
      <c r="N2957" t="s">
        <v>42669</v>
      </c>
      <c r="O2957" t="s">
        <v>42670</v>
      </c>
      <c r="P2957">
        <v>0</v>
      </c>
      <c r="Q2957">
        <v>0</v>
      </c>
      <c r="R2957" t="s">
        <v>42675</v>
      </c>
      <c r="S2957" t="s">
        <v>42807</v>
      </c>
      <c r="T2957" t="s">
        <v>44470</v>
      </c>
      <c r="U2957" t="s">
        <v>47270</v>
      </c>
      <c r="W2957" t="s">
        <v>39892</v>
      </c>
      <c r="X2957" t="s">
        <v>42671</v>
      </c>
    </row>
    <row r="2958" spans="1:24">
      <c r="A2958">
        <f>HYPERLINK("https://www.philgeps.gov.ph/GEPSNONPILOT/Tender/SplashBidNoticeAbstractUI.aspx?menuIndex=3&amp;refID=7197563&amp;Result=3","7197563")</f>
        <v>0</v>
      </c>
      <c r="B2958" t="s">
        <v>1121</v>
      </c>
      <c r="C2958" t="s">
        <v>6346</v>
      </c>
      <c r="D2958" t="s">
        <v>17144</v>
      </c>
      <c r="E2958" t="s">
        <v>19860</v>
      </c>
      <c r="F2958" t="s">
        <v>29372</v>
      </c>
      <c r="G2958" t="s">
        <v>29379</v>
      </c>
      <c r="H2958" t="s">
        <v>11048</v>
      </c>
      <c r="I2958" t="s">
        <v>29434</v>
      </c>
      <c r="J2958" t="s">
        <v>31561</v>
      </c>
      <c r="K2958" t="s">
        <v>38534</v>
      </c>
      <c r="M2958" t="s">
        <v>39931</v>
      </c>
      <c r="N2958" t="s">
        <v>42669</v>
      </c>
      <c r="O2958" t="s">
        <v>42670</v>
      </c>
      <c r="P2958">
        <v>0</v>
      </c>
      <c r="Q2958">
        <v>0</v>
      </c>
      <c r="R2958" t="s">
        <v>42675</v>
      </c>
      <c r="S2958" t="s">
        <v>42807</v>
      </c>
      <c r="T2958" t="s">
        <v>44480</v>
      </c>
      <c r="U2958" t="s">
        <v>47271</v>
      </c>
      <c r="W2958" t="s">
        <v>39931</v>
      </c>
      <c r="X2958" t="s">
        <v>42671</v>
      </c>
    </row>
    <row r="2959" spans="1:24">
      <c r="A2959">
        <f>HYPERLINK("https://www.philgeps.gov.ph/GEPSNONPILOT/Tender/SplashBidNoticeAbstractUI.aspx?menuIndex=3&amp;refID=7197562&amp;Result=3","7197562")</f>
        <v>0</v>
      </c>
      <c r="B2959" t="s">
        <v>1118</v>
      </c>
      <c r="C2959" t="s">
        <v>6347</v>
      </c>
      <c r="E2959" t="s">
        <v>19861</v>
      </c>
      <c r="F2959" t="s">
        <v>29372</v>
      </c>
      <c r="G2959" t="s">
        <v>29379</v>
      </c>
      <c r="H2959" t="s">
        <v>11048</v>
      </c>
      <c r="I2959" t="s">
        <v>29403</v>
      </c>
      <c r="J2959" t="s">
        <v>31562</v>
      </c>
      <c r="K2959" t="s">
        <v>38490</v>
      </c>
      <c r="M2959" t="s">
        <v>39928</v>
      </c>
      <c r="N2959" t="s">
        <v>42669</v>
      </c>
      <c r="O2959" t="s">
        <v>42670</v>
      </c>
      <c r="P2959">
        <v>0</v>
      </c>
      <c r="Q2959">
        <v>0</v>
      </c>
      <c r="R2959" t="s">
        <v>42675</v>
      </c>
      <c r="S2959" t="s">
        <v>42807</v>
      </c>
      <c r="T2959" t="s">
        <v>44530</v>
      </c>
      <c r="U2959" t="s">
        <v>47264</v>
      </c>
      <c r="W2959" t="s">
        <v>39928</v>
      </c>
      <c r="X2959" t="s">
        <v>42671</v>
      </c>
    </row>
    <row r="2960" spans="1:24">
      <c r="A2960">
        <f>HYPERLINK("https://www.philgeps.gov.ph/GEPSNONPILOT/Tender/SplashBidNoticeAbstractUI.aspx?menuIndex=3&amp;refID=7197561&amp;Result=3","7197561")</f>
        <v>0</v>
      </c>
      <c r="B2960" t="s">
        <v>403</v>
      </c>
      <c r="C2960" t="s">
        <v>6344</v>
      </c>
      <c r="D2960" t="s">
        <v>17188</v>
      </c>
      <c r="E2960" t="s">
        <v>19862</v>
      </c>
      <c r="F2960" t="s">
        <v>29372</v>
      </c>
      <c r="G2960" t="s">
        <v>29379</v>
      </c>
      <c r="H2960" t="s">
        <v>11048</v>
      </c>
      <c r="I2960" t="s">
        <v>5383</v>
      </c>
      <c r="J2960" t="s">
        <v>31563</v>
      </c>
      <c r="K2960" t="s">
        <v>38489</v>
      </c>
      <c r="M2960" t="s">
        <v>39167</v>
      </c>
      <c r="N2960" t="s">
        <v>42669</v>
      </c>
      <c r="O2960" t="s">
        <v>42670</v>
      </c>
      <c r="P2960">
        <v>0</v>
      </c>
      <c r="Q2960">
        <v>0</v>
      </c>
      <c r="R2960" t="s">
        <v>42675</v>
      </c>
      <c r="S2960" t="s">
        <v>42807</v>
      </c>
      <c r="T2960" t="s">
        <v>44470</v>
      </c>
      <c r="U2960" t="s">
        <v>47216</v>
      </c>
      <c r="W2960" t="s">
        <v>39167</v>
      </c>
      <c r="X2960" t="s">
        <v>42671</v>
      </c>
    </row>
    <row r="2961" spans="1:24">
      <c r="A2961">
        <f>HYPERLINK("https://www.philgeps.gov.ph/GEPSNONPILOT/Tender/SplashBidNoticeAbstractUI.aspx?menuIndex=3&amp;refID=7197560&amp;Result=3","7197560")</f>
        <v>0</v>
      </c>
      <c r="B2961" t="s">
        <v>1122</v>
      </c>
      <c r="C2961" t="s">
        <v>6348</v>
      </c>
      <c r="D2961" t="s">
        <v>17146</v>
      </c>
      <c r="E2961" t="s">
        <v>17540</v>
      </c>
      <c r="F2961" t="s">
        <v>29372</v>
      </c>
      <c r="G2961" t="s">
        <v>29380</v>
      </c>
      <c r="H2961" t="s">
        <v>11048</v>
      </c>
      <c r="I2961" t="s">
        <v>29487</v>
      </c>
      <c r="J2961" t="s">
        <v>29526</v>
      </c>
      <c r="K2961" t="s">
        <v>38510</v>
      </c>
      <c r="M2961" t="s">
        <v>39932</v>
      </c>
      <c r="N2961" t="s">
        <v>42669</v>
      </c>
      <c r="O2961" t="s">
        <v>42670</v>
      </c>
      <c r="P2961">
        <v>0</v>
      </c>
      <c r="Q2961">
        <v>0</v>
      </c>
      <c r="R2961" t="s">
        <v>42675</v>
      </c>
      <c r="S2961" t="s">
        <v>42807</v>
      </c>
      <c r="T2961" t="s">
        <v>44375</v>
      </c>
      <c r="U2961" t="s">
        <v>47272</v>
      </c>
      <c r="W2961" t="s">
        <v>39932</v>
      </c>
      <c r="X2961" t="s">
        <v>42671</v>
      </c>
    </row>
    <row r="2962" spans="1:24">
      <c r="A2962">
        <f>HYPERLINK("https://www.philgeps.gov.ph/GEPSNONPILOT/Tender/SplashBidNoticeAbstractUI.aspx?menuIndex=3&amp;refID=7197558&amp;Result=3","7197558")</f>
        <v>0</v>
      </c>
      <c r="B2962" t="s">
        <v>239</v>
      </c>
      <c r="C2962" t="s">
        <v>6349</v>
      </c>
      <c r="D2962" t="s">
        <v>17145</v>
      </c>
      <c r="E2962" t="s">
        <v>19863</v>
      </c>
      <c r="F2962" t="s">
        <v>29372</v>
      </c>
      <c r="G2962" t="s">
        <v>29380</v>
      </c>
      <c r="H2962" t="s">
        <v>11048</v>
      </c>
      <c r="I2962" t="s">
        <v>29416</v>
      </c>
      <c r="J2962" t="s">
        <v>29587</v>
      </c>
      <c r="K2962" t="s">
        <v>38485</v>
      </c>
      <c r="M2962" t="s">
        <v>38998</v>
      </c>
      <c r="N2962" t="s">
        <v>42669</v>
      </c>
      <c r="O2962" t="s">
        <v>42670</v>
      </c>
      <c r="P2962">
        <v>0</v>
      </c>
      <c r="Q2962">
        <v>0</v>
      </c>
      <c r="R2962" t="s">
        <v>42675</v>
      </c>
      <c r="S2962" t="s">
        <v>42807</v>
      </c>
      <c r="T2962" t="s">
        <v>44453</v>
      </c>
      <c r="U2962" t="s">
        <v>47273</v>
      </c>
      <c r="W2962" t="s">
        <v>38998</v>
      </c>
      <c r="X2962" t="s">
        <v>42671</v>
      </c>
    </row>
    <row r="2963" spans="1:24">
      <c r="A2963">
        <f>HYPERLINK("https://www.philgeps.gov.ph/GEPSNONPILOT/Tender/SplashBidNoticeAbstractUI.aspx?menuIndex=3&amp;refID=7197556&amp;Result=3","7197556")</f>
        <v>0</v>
      </c>
      <c r="B2963" t="s">
        <v>145</v>
      </c>
      <c r="C2963" t="s">
        <v>6350</v>
      </c>
      <c r="D2963" t="s">
        <v>17148</v>
      </c>
      <c r="E2963" t="s">
        <v>19864</v>
      </c>
      <c r="F2963" t="s">
        <v>29372</v>
      </c>
      <c r="G2963" t="s">
        <v>29379</v>
      </c>
      <c r="H2963" t="s">
        <v>11048</v>
      </c>
      <c r="I2963" t="s">
        <v>8208</v>
      </c>
      <c r="J2963" t="s">
        <v>31564</v>
      </c>
      <c r="K2963" t="s">
        <v>38511</v>
      </c>
      <c r="M2963" t="s">
        <v>38900</v>
      </c>
      <c r="N2963" t="s">
        <v>42669</v>
      </c>
      <c r="O2963" t="s">
        <v>42670</v>
      </c>
      <c r="P2963">
        <v>0</v>
      </c>
      <c r="Q2963">
        <v>0</v>
      </c>
      <c r="R2963" t="s">
        <v>42675</v>
      </c>
      <c r="S2963" t="s">
        <v>42807</v>
      </c>
      <c r="T2963" t="s">
        <v>44456</v>
      </c>
      <c r="U2963" t="s">
        <v>47274</v>
      </c>
      <c r="W2963" t="s">
        <v>38900</v>
      </c>
      <c r="X2963" t="s">
        <v>42671</v>
      </c>
    </row>
    <row r="2964" spans="1:24">
      <c r="A2964">
        <f>HYPERLINK("https://www.philgeps.gov.ph/GEPSNONPILOT/Tender/SplashBidNoticeAbstractUI.aspx?menuIndex=3&amp;refID=7197553&amp;Result=3","7197553")</f>
        <v>0</v>
      </c>
      <c r="B2964" t="s">
        <v>1123</v>
      </c>
      <c r="C2964" t="s">
        <v>6351</v>
      </c>
      <c r="E2964" t="s">
        <v>19865</v>
      </c>
      <c r="F2964" t="s">
        <v>29372</v>
      </c>
      <c r="G2964" t="s">
        <v>29380</v>
      </c>
      <c r="H2964" t="s">
        <v>29389</v>
      </c>
      <c r="I2964" t="s">
        <v>29450</v>
      </c>
      <c r="J2964" t="s">
        <v>29555</v>
      </c>
      <c r="K2964" t="s">
        <v>38488</v>
      </c>
      <c r="M2964" t="s">
        <v>39933</v>
      </c>
      <c r="N2964" t="s">
        <v>42669</v>
      </c>
      <c r="O2964" t="s">
        <v>42670</v>
      </c>
      <c r="P2964">
        <v>0</v>
      </c>
      <c r="Q2964">
        <v>0</v>
      </c>
      <c r="R2964" t="s">
        <v>42675</v>
      </c>
      <c r="S2964" t="s">
        <v>42807</v>
      </c>
      <c r="T2964" t="s">
        <v>44527</v>
      </c>
      <c r="U2964" t="s">
        <v>47275</v>
      </c>
      <c r="W2964" t="s">
        <v>39933</v>
      </c>
      <c r="X2964" t="s">
        <v>42671</v>
      </c>
    </row>
    <row r="2965" spans="1:24">
      <c r="A2965">
        <f>HYPERLINK("https://www.philgeps.gov.ph/GEPSNONPILOT/Tender/SplashBidNoticeAbstractUI.aspx?menuIndex=3&amp;refID=7197491&amp;Result=3","7197491")</f>
        <v>0</v>
      </c>
      <c r="B2965" t="s">
        <v>1124</v>
      </c>
      <c r="C2965" t="s">
        <v>6352</v>
      </c>
      <c r="D2965" t="s">
        <v>17150</v>
      </c>
      <c r="E2965" t="s">
        <v>18383</v>
      </c>
      <c r="F2965" t="s">
        <v>29372</v>
      </c>
      <c r="G2965" t="s">
        <v>29380</v>
      </c>
      <c r="H2965" t="s">
        <v>11048</v>
      </c>
      <c r="I2965" t="s">
        <v>4709</v>
      </c>
      <c r="J2965" t="s">
        <v>31565</v>
      </c>
      <c r="K2965" t="s">
        <v>38485</v>
      </c>
      <c r="M2965" t="s">
        <v>39934</v>
      </c>
      <c r="N2965" t="s">
        <v>42669</v>
      </c>
      <c r="O2965" t="s">
        <v>42670</v>
      </c>
      <c r="P2965">
        <v>0</v>
      </c>
      <c r="Q2965">
        <v>0</v>
      </c>
      <c r="R2965" t="s">
        <v>42675</v>
      </c>
      <c r="S2965" t="s">
        <v>42807</v>
      </c>
      <c r="T2965" t="s">
        <v>44361</v>
      </c>
      <c r="U2965" t="s">
        <v>47276</v>
      </c>
      <c r="W2965" t="s">
        <v>39934</v>
      </c>
      <c r="X2965" t="s">
        <v>42671</v>
      </c>
    </row>
    <row r="2966" spans="1:24">
      <c r="A2966">
        <f>HYPERLINK("https://www.philgeps.gov.ph/GEPSNONPILOT/Tender/SplashBidNoticeAbstractUI.aspx?menuIndex=3&amp;refID=7197564&amp;Result=3","7197564")</f>
        <v>0</v>
      </c>
      <c r="B2966" t="s">
        <v>371</v>
      </c>
      <c r="C2966" t="s">
        <v>6353</v>
      </c>
      <c r="D2966" t="s">
        <v>17187</v>
      </c>
      <c r="E2966" t="s">
        <v>19866</v>
      </c>
      <c r="F2966" t="s">
        <v>29372</v>
      </c>
      <c r="G2966" t="s">
        <v>29379</v>
      </c>
      <c r="H2966" t="s">
        <v>11048</v>
      </c>
      <c r="I2966" t="s">
        <v>3839</v>
      </c>
      <c r="J2966" t="s">
        <v>29799</v>
      </c>
      <c r="K2966" t="s">
        <v>38485</v>
      </c>
      <c r="M2966" t="s">
        <v>39132</v>
      </c>
      <c r="N2966" t="s">
        <v>42669</v>
      </c>
      <c r="O2966" t="s">
        <v>42670</v>
      </c>
      <c r="P2966">
        <v>0</v>
      </c>
      <c r="Q2966">
        <v>0</v>
      </c>
      <c r="R2966" t="s">
        <v>42675</v>
      </c>
      <c r="S2966" t="s">
        <v>42807</v>
      </c>
      <c r="T2966" t="s">
        <v>44470</v>
      </c>
      <c r="U2966" t="s">
        <v>47277</v>
      </c>
      <c r="W2966" t="s">
        <v>39132</v>
      </c>
      <c r="X2966" t="s">
        <v>42671</v>
      </c>
    </row>
    <row r="2967" spans="1:24">
      <c r="A2967">
        <f>HYPERLINK("https://www.philgeps.gov.ph/GEPSNONPILOT/Tender/SplashBidNoticeAbstractUI.aspx?menuIndex=3&amp;refID=7197552&amp;Result=3","7197552")</f>
        <v>0</v>
      </c>
      <c r="B2967" t="s">
        <v>1125</v>
      </c>
      <c r="C2967" t="s">
        <v>6354</v>
      </c>
      <c r="D2967" t="s">
        <v>17151</v>
      </c>
      <c r="E2967" t="s">
        <v>19867</v>
      </c>
      <c r="F2967" t="s">
        <v>29372</v>
      </c>
      <c r="G2967" t="s">
        <v>29380</v>
      </c>
      <c r="H2967" t="s">
        <v>11048</v>
      </c>
      <c r="I2967" t="s">
        <v>29393</v>
      </c>
      <c r="J2967" t="s">
        <v>29543</v>
      </c>
      <c r="K2967" t="s">
        <v>38491</v>
      </c>
      <c r="M2967" t="s">
        <v>39935</v>
      </c>
      <c r="N2967" t="s">
        <v>42669</v>
      </c>
      <c r="O2967" t="s">
        <v>42670</v>
      </c>
      <c r="P2967">
        <v>0</v>
      </c>
      <c r="Q2967">
        <v>0</v>
      </c>
      <c r="R2967" t="s">
        <v>42675</v>
      </c>
      <c r="S2967" t="s">
        <v>42807</v>
      </c>
      <c r="T2967" t="s">
        <v>44521</v>
      </c>
      <c r="U2967" t="s">
        <v>47278</v>
      </c>
      <c r="V2967" t="s">
        <v>56633</v>
      </c>
      <c r="W2967" t="s">
        <v>39935</v>
      </c>
      <c r="X2967" t="s">
        <v>42671</v>
      </c>
    </row>
    <row r="2968" spans="1:24">
      <c r="A2968">
        <f>HYPERLINK("https://www.philgeps.gov.ph/GEPSNONPILOT/Tender/SplashBidNoticeAbstractUI.aspx?menuIndex=3&amp;refID=7197538&amp;Result=3","7197538")</f>
        <v>0</v>
      </c>
      <c r="B2968" t="s">
        <v>1069</v>
      </c>
      <c r="C2968" t="s">
        <v>6321</v>
      </c>
      <c r="D2968" t="s">
        <v>17141</v>
      </c>
      <c r="E2968" t="s">
        <v>19868</v>
      </c>
      <c r="F2968" t="s">
        <v>29372</v>
      </c>
      <c r="G2968" t="s">
        <v>29379</v>
      </c>
      <c r="H2968" t="s">
        <v>11048</v>
      </c>
      <c r="I2968" t="s">
        <v>3670</v>
      </c>
      <c r="J2968" t="s">
        <v>30674</v>
      </c>
      <c r="K2968" t="s">
        <v>38488</v>
      </c>
      <c r="M2968" t="s">
        <v>39876</v>
      </c>
      <c r="N2968" t="s">
        <v>42669</v>
      </c>
      <c r="O2968" t="s">
        <v>42670</v>
      </c>
      <c r="P2968">
        <v>0</v>
      </c>
      <c r="Q2968">
        <v>0</v>
      </c>
      <c r="R2968" t="s">
        <v>42675</v>
      </c>
      <c r="S2968" t="s">
        <v>42807</v>
      </c>
      <c r="T2968" t="s">
        <v>44480</v>
      </c>
      <c r="U2968" t="s">
        <v>47279</v>
      </c>
      <c r="V2968" t="s">
        <v>56623</v>
      </c>
      <c r="W2968" t="s">
        <v>39876</v>
      </c>
      <c r="X2968" t="s">
        <v>42671</v>
      </c>
    </row>
    <row r="2969" spans="1:24">
      <c r="A2969">
        <f>HYPERLINK("https://www.philgeps.gov.ph/GEPSNONPILOT/Tender/SplashBidNoticeAbstractUI.aspx?menuIndex=3&amp;refID=7197559&amp;Result=3","7197559")</f>
        <v>0</v>
      </c>
      <c r="B2969" t="s">
        <v>1126</v>
      </c>
      <c r="C2969" t="s">
        <v>6355</v>
      </c>
      <c r="D2969" t="s">
        <v>17158</v>
      </c>
      <c r="E2969" t="s">
        <v>17479</v>
      </c>
      <c r="F2969" t="s">
        <v>29372</v>
      </c>
      <c r="G2969" t="s">
        <v>29380</v>
      </c>
      <c r="H2969" t="s">
        <v>29389</v>
      </c>
      <c r="I2969" t="s">
        <v>10408</v>
      </c>
      <c r="J2969" t="s">
        <v>31566</v>
      </c>
      <c r="K2969" t="s">
        <v>38489</v>
      </c>
      <c r="M2969" t="s">
        <v>39936</v>
      </c>
      <c r="N2969" t="s">
        <v>42669</v>
      </c>
      <c r="O2969" t="s">
        <v>42670</v>
      </c>
      <c r="P2969">
        <v>0</v>
      </c>
      <c r="Q2969">
        <v>0</v>
      </c>
      <c r="R2969" t="s">
        <v>42675</v>
      </c>
      <c r="S2969" t="s">
        <v>42807</v>
      </c>
      <c r="T2969" t="s">
        <v>44472</v>
      </c>
      <c r="U2969" t="s">
        <v>47280</v>
      </c>
      <c r="W2969" t="s">
        <v>39936</v>
      </c>
      <c r="X2969" t="s">
        <v>42671</v>
      </c>
    </row>
    <row r="2970" spans="1:24">
      <c r="A2970">
        <f>HYPERLINK("https://www.philgeps.gov.ph/GEPSNONPILOT/Tender/SplashBidNoticeAbstractUI.aspx?menuIndex=3&amp;refID=7197557&amp;Result=3","7197557")</f>
        <v>0</v>
      </c>
      <c r="B2970" t="s">
        <v>1127</v>
      </c>
      <c r="C2970" t="s">
        <v>6356</v>
      </c>
      <c r="D2970" t="s">
        <v>17191</v>
      </c>
      <c r="E2970" t="s">
        <v>19869</v>
      </c>
      <c r="F2970" t="s">
        <v>29372</v>
      </c>
      <c r="G2970" t="s">
        <v>29380</v>
      </c>
      <c r="H2970" t="s">
        <v>11048</v>
      </c>
      <c r="I2970" t="s">
        <v>4709</v>
      </c>
      <c r="J2970" t="s">
        <v>30277</v>
      </c>
      <c r="K2970" t="s">
        <v>38485</v>
      </c>
      <c r="M2970" t="s">
        <v>39937</v>
      </c>
      <c r="N2970" t="s">
        <v>42669</v>
      </c>
      <c r="O2970" t="s">
        <v>42670</v>
      </c>
      <c r="P2970">
        <v>0</v>
      </c>
      <c r="Q2970">
        <v>0</v>
      </c>
      <c r="R2970" t="s">
        <v>42675</v>
      </c>
      <c r="S2970" t="s">
        <v>42807</v>
      </c>
      <c r="T2970" t="s">
        <v>44373</v>
      </c>
      <c r="U2970" t="s">
        <v>47281</v>
      </c>
      <c r="V2970" t="s">
        <v>56634</v>
      </c>
      <c r="W2970" t="s">
        <v>39937</v>
      </c>
      <c r="X2970" t="s">
        <v>42671</v>
      </c>
    </row>
    <row r="2971" spans="1:24">
      <c r="A2971">
        <f>HYPERLINK("https://www.philgeps.gov.ph/GEPSNONPILOT/Tender/SplashBidNoticeAbstractUI.aspx?menuIndex=3&amp;refID=7197554&amp;Result=3","7197554")</f>
        <v>0</v>
      </c>
      <c r="B2971" t="s">
        <v>403</v>
      </c>
      <c r="C2971" t="s">
        <v>6357</v>
      </c>
      <c r="D2971" t="s">
        <v>17188</v>
      </c>
      <c r="E2971" t="s">
        <v>19870</v>
      </c>
      <c r="F2971" t="s">
        <v>29372</v>
      </c>
      <c r="G2971" t="s">
        <v>29379</v>
      </c>
      <c r="H2971" t="s">
        <v>11048</v>
      </c>
      <c r="I2971" t="s">
        <v>5383</v>
      </c>
      <c r="J2971" t="s">
        <v>31567</v>
      </c>
      <c r="K2971" t="s">
        <v>38491</v>
      </c>
      <c r="M2971" t="s">
        <v>39167</v>
      </c>
      <c r="N2971" t="s">
        <v>42669</v>
      </c>
      <c r="O2971" t="s">
        <v>42670</v>
      </c>
      <c r="P2971">
        <v>0</v>
      </c>
      <c r="Q2971">
        <v>0</v>
      </c>
      <c r="R2971" t="s">
        <v>42675</v>
      </c>
      <c r="S2971" t="s">
        <v>42807</v>
      </c>
      <c r="T2971" t="s">
        <v>44470</v>
      </c>
      <c r="U2971" t="s">
        <v>47216</v>
      </c>
      <c r="W2971" t="s">
        <v>39167</v>
      </c>
      <c r="X2971" t="s">
        <v>42671</v>
      </c>
    </row>
    <row r="2972" spans="1:24">
      <c r="A2972">
        <f>HYPERLINK("https://www.philgeps.gov.ph/GEPSNONPILOT/Tender/SplashBidNoticeAbstractUI.aspx?menuIndex=3&amp;refID=7197549&amp;Result=3","7197549")</f>
        <v>0</v>
      </c>
      <c r="B2972" t="s">
        <v>371</v>
      </c>
      <c r="C2972" t="s">
        <v>6358</v>
      </c>
      <c r="D2972" t="s">
        <v>17187</v>
      </c>
      <c r="E2972" t="s">
        <v>19871</v>
      </c>
      <c r="F2972" t="s">
        <v>29372</v>
      </c>
      <c r="G2972" t="s">
        <v>29383</v>
      </c>
      <c r="H2972" t="s">
        <v>11048</v>
      </c>
      <c r="I2972" t="s">
        <v>5383</v>
      </c>
      <c r="J2972" t="s">
        <v>31568</v>
      </c>
      <c r="K2972" t="s">
        <v>38485</v>
      </c>
      <c r="M2972" t="s">
        <v>39132</v>
      </c>
      <c r="N2972" t="s">
        <v>42669</v>
      </c>
      <c r="O2972" t="s">
        <v>42670</v>
      </c>
      <c r="P2972">
        <v>0</v>
      </c>
      <c r="Q2972">
        <v>1</v>
      </c>
      <c r="R2972" t="s">
        <v>42675</v>
      </c>
      <c r="S2972" t="s">
        <v>42807</v>
      </c>
      <c r="T2972" t="s">
        <v>44470</v>
      </c>
      <c r="U2972" t="s">
        <v>47282</v>
      </c>
      <c r="W2972" t="s">
        <v>39132</v>
      </c>
      <c r="X2972" t="s">
        <v>42671</v>
      </c>
    </row>
    <row r="2973" spans="1:24">
      <c r="A2973">
        <f>HYPERLINK("https://www.philgeps.gov.ph/GEPSNONPILOT/Tender/SplashBidNoticeAbstractUI.aspx?menuIndex=3&amp;refID=7197591&amp;Result=3","7197591")</f>
        <v>0</v>
      </c>
      <c r="B2973" t="s">
        <v>844</v>
      </c>
      <c r="C2973" t="s">
        <v>6359</v>
      </c>
      <c r="D2973" t="s">
        <v>17143</v>
      </c>
      <c r="E2973" t="s">
        <v>19872</v>
      </c>
      <c r="F2973" t="s">
        <v>29372</v>
      </c>
      <c r="G2973" t="s">
        <v>29379</v>
      </c>
      <c r="H2973" t="s">
        <v>11048</v>
      </c>
      <c r="I2973" t="s">
        <v>29428</v>
      </c>
      <c r="J2973" t="s">
        <v>31569</v>
      </c>
      <c r="K2973" t="s">
        <v>38491</v>
      </c>
      <c r="M2973" t="s">
        <v>39634</v>
      </c>
      <c r="N2973" t="s">
        <v>42669</v>
      </c>
      <c r="O2973" t="s">
        <v>42670</v>
      </c>
      <c r="P2973">
        <v>0</v>
      </c>
      <c r="Q2973">
        <v>0</v>
      </c>
      <c r="R2973" t="s">
        <v>42675</v>
      </c>
      <c r="S2973" t="s">
        <v>42807</v>
      </c>
      <c r="T2973" t="s">
        <v>44375</v>
      </c>
      <c r="U2973" t="s">
        <v>46577</v>
      </c>
      <c r="W2973" t="s">
        <v>39634</v>
      </c>
      <c r="X2973" t="s">
        <v>42671</v>
      </c>
    </row>
    <row r="2974" spans="1:24">
      <c r="A2974">
        <f>HYPERLINK("https://www.philgeps.gov.ph/GEPSNONPILOT/Tender/SplashBidNoticeAbstractUI.aspx?menuIndex=3&amp;refID=7197531&amp;Result=3","7197531")</f>
        <v>0</v>
      </c>
      <c r="B2974" t="s">
        <v>1069</v>
      </c>
      <c r="C2974" t="s">
        <v>6259</v>
      </c>
      <c r="D2974" t="s">
        <v>17141</v>
      </c>
      <c r="E2974" t="s">
        <v>19873</v>
      </c>
      <c r="F2974" t="s">
        <v>29372</v>
      </c>
      <c r="G2974" t="s">
        <v>29379</v>
      </c>
      <c r="H2974" t="s">
        <v>11048</v>
      </c>
      <c r="I2974" t="s">
        <v>3670</v>
      </c>
      <c r="J2974" t="s">
        <v>31570</v>
      </c>
      <c r="K2974" t="s">
        <v>38488</v>
      </c>
      <c r="M2974" t="s">
        <v>39876</v>
      </c>
      <c r="N2974" t="s">
        <v>42669</v>
      </c>
      <c r="O2974" t="s">
        <v>42670</v>
      </c>
      <c r="P2974">
        <v>0</v>
      </c>
      <c r="Q2974">
        <v>0</v>
      </c>
      <c r="R2974" t="s">
        <v>42675</v>
      </c>
      <c r="S2974" t="s">
        <v>42807</v>
      </c>
      <c r="T2974" t="s">
        <v>44480</v>
      </c>
      <c r="U2974" t="s">
        <v>47283</v>
      </c>
      <c r="V2974" t="s">
        <v>56623</v>
      </c>
      <c r="W2974" t="s">
        <v>39876</v>
      </c>
      <c r="X2974" t="s">
        <v>42671</v>
      </c>
    </row>
    <row r="2975" spans="1:24">
      <c r="A2975">
        <f>HYPERLINK("https://www.philgeps.gov.ph/GEPSNONPILOT/Tender/SplashBidNoticeAbstractUI.aspx?menuIndex=3&amp;refID=7197592&amp;Result=3","7197592")</f>
        <v>0</v>
      </c>
      <c r="B2975" t="s">
        <v>1119</v>
      </c>
      <c r="C2975" t="s">
        <v>6360</v>
      </c>
      <c r="D2975" t="s">
        <v>17188</v>
      </c>
      <c r="E2975" t="s">
        <v>19874</v>
      </c>
      <c r="F2975" t="s">
        <v>29372</v>
      </c>
      <c r="G2975" t="s">
        <v>29382</v>
      </c>
      <c r="H2975" t="s">
        <v>11048</v>
      </c>
      <c r="I2975" t="s">
        <v>4487</v>
      </c>
      <c r="J2975" t="s">
        <v>31571</v>
      </c>
      <c r="K2975" t="s">
        <v>38534</v>
      </c>
      <c r="M2975" t="s">
        <v>39929</v>
      </c>
      <c r="N2975" t="s">
        <v>42669</v>
      </c>
      <c r="O2975" t="s">
        <v>42670</v>
      </c>
      <c r="P2975">
        <v>0</v>
      </c>
      <c r="Q2975">
        <v>0</v>
      </c>
      <c r="R2975" t="s">
        <v>42675</v>
      </c>
      <c r="S2975" t="s">
        <v>42807</v>
      </c>
      <c r="T2975" t="s">
        <v>44470</v>
      </c>
      <c r="U2975" t="s">
        <v>47284</v>
      </c>
      <c r="W2975" t="s">
        <v>39929</v>
      </c>
      <c r="X2975" t="s">
        <v>42671</v>
      </c>
    </row>
    <row r="2976" spans="1:24">
      <c r="A2976">
        <f>HYPERLINK("https://www.philgeps.gov.ph/GEPSNONPILOT/Tender/SplashBidNoticeAbstractUI.aspx?menuIndex=3&amp;refID=7197532&amp;Result=3","7197532")</f>
        <v>0</v>
      </c>
      <c r="B2976" t="s">
        <v>145</v>
      </c>
      <c r="C2976" t="s">
        <v>6361</v>
      </c>
      <c r="D2976" t="s">
        <v>17148</v>
      </c>
      <c r="E2976" t="s">
        <v>19875</v>
      </c>
      <c r="F2976" t="s">
        <v>29372</v>
      </c>
      <c r="G2976" t="s">
        <v>29379</v>
      </c>
      <c r="H2976" t="s">
        <v>11048</v>
      </c>
      <c r="I2976" t="s">
        <v>29409</v>
      </c>
      <c r="J2976" t="s">
        <v>29526</v>
      </c>
      <c r="K2976" t="s">
        <v>38488</v>
      </c>
      <c r="M2976" t="s">
        <v>38900</v>
      </c>
      <c r="N2976" t="s">
        <v>42669</v>
      </c>
      <c r="O2976" t="s">
        <v>42670</v>
      </c>
      <c r="P2976">
        <v>0</v>
      </c>
      <c r="Q2976">
        <v>0</v>
      </c>
      <c r="R2976" t="s">
        <v>42675</v>
      </c>
      <c r="S2976" t="s">
        <v>42807</v>
      </c>
      <c r="T2976" t="s">
        <v>44456</v>
      </c>
      <c r="U2976" t="s">
        <v>47285</v>
      </c>
      <c r="W2976" t="s">
        <v>38900</v>
      </c>
      <c r="X2976" t="s">
        <v>42671</v>
      </c>
    </row>
    <row r="2977" spans="1:24">
      <c r="A2977">
        <f>HYPERLINK("https://www.philgeps.gov.ph/GEPSNONPILOT/Tender/SplashBidNoticeAbstractUI.aspx?menuIndex=3&amp;refID=7197586&amp;Result=3","7197586")</f>
        <v>0</v>
      </c>
      <c r="B2977" t="s">
        <v>844</v>
      </c>
      <c r="C2977" t="s">
        <v>6362</v>
      </c>
      <c r="D2977" t="s">
        <v>17143</v>
      </c>
      <c r="E2977" t="s">
        <v>19876</v>
      </c>
      <c r="F2977" t="s">
        <v>29372</v>
      </c>
      <c r="G2977" t="s">
        <v>29379</v>
      </c>
      <c r="H2977" t="s">
        <v>11048</v>
      </c>
      <c r="I2977" t="s">
        <v>29401</v>
      </c>
      <c r="J2977" t="s">
        <v>31572</v>
      </c>
      <c r="K2977" t="s">
        <v>38491</v>
      </c>
      <c r="M2977" t="s">
        <v>39634</v>
      </c>
      <c r="N2977" t="s">
        <v>42669</v>
      </c>
      <c r="O2977" t="s">
        <v>42670</v>
      </c>
      <c r="P2977">
        <v>0</v>
      </c>
      <c r="Q2977">
        <v>0</v>
      </c>
      <c r="R2977" t="s">
        <v>42675</v>
      </c>
      <c r="S2977" t="s">
        <v>42807</v>
      </c>
      <c r="T2977" t="s">
        <v>44375</v>
      </c>
      <c r="U2977" t="s">
        <v>46577</v>
      </c>
      <c r="W2977" t="s">
        <v>39634</v>
      </c>
      <c r="X2977" t="s">
        <v>42671</v>
      </c>
    </row>
    <row r="2978" spans="1:24">
      <c r="A2978">
        <f>HYPERLINK("https://www.philgeps.gov.ph/GEPSNONPILOT/Tender/SplashBidNoticeAbstractUI.aspx?menuIndex=3&amp;refID=7197585&amp;Result=3","7197585")</f>
        <v>0</v>
      </c>
      <c r="B2978" t="s">
        <v>956</v>
      </c>
      <c r="C2978" t="s">
        <v>6363</v>
      </c>
      <c r="D2978" t="s">
        <v>17141</v>
      </c>
      <c r="E2978" t="s">
        <v>19877</v>
      </c>
      <c r="F2978" t="s">
        <v>29372</v>
      </c>
      <c r="G2978" t="s">
        <v>29380</v>
      </c>
      <c r="H2978" t="s">
        <v>11048</v>
      </c>
      <c r="I2978" t="s">
        <v>29409</v>
      </c>
      <c r="J2978" t="s">
        <v>31573</v>
      </c>
      <c r="K2978" t="s">
        <v>38599</v>
      </c>
      <c r="M2978" t="s">
        <v>39938</v>
      </c>
      <c r="N2978" t="s">
        <v>42669</v>
      </c>
      <c r="O2978" t="s">
        <v>42670</v>
      </c>
      <c r="P2978">
        <v>0</v>
      </c>
      <c r="Q2978">
        <v>0</v>
      </c>
      <c r="R2978" t="s">
        <v>42675</v>
      </c>
      <c r="S2978" t="s">
        <v>42807</v>
      </c>
      <c r="T2978" t="s">
        <v>44381</v>
      </c>
      <c r="U2978" t="s">
        <v>47286</v>
      </c>
      <c r="W2978" t="s">
        <v>39938</v>
      </c>
      <c r="X2978" t="s">
        <v>42671</v>
      </c>
    </row>
    <row r="2979" spans="1:24">
      <c r="A2979">
        <f>HYPERLINK("https://www.philgeps.gov.ph/GEPSNONPILOT/Tender/SplashBidNoticeAbstractUI.aspx?menuIndex=3&amp;refID=7197589&amp;Result=3","7197589")</f>
        <v>0</v>
      </c>
      <c r="B2979" t="s">
        <v>34</v>
      </c>
      <c r="C2979" t="s">
        <v>6364</v>
      </c>
      <c r="D2979" t="s">
        <v>17148</v>
      </c>
      <c r="E2979" t="s">
        <v>19878</v>
      </c>
      <c r="F2979" t="s">
        <v>29372</v>
      </c>
      <c r="G2979" t="s">
        <v>29380</v>
      </c>
      <c r="H2979" t="s">
        <v>11048</v>
      </c>
      <c r="I2979" t="s">
        <v>29394</v>
      </c>
      <c r="J2979" t="s">
        <v>31574</v>
      </c>
      <c r="K2979" t="s">
        <v>38485</v>
      </c>
      <c r="M2979" t="s">
        <v>38787</v>
      </c>
      <c r="N2979" t="s">
        <v>42669</v>
      </c>
      <c r="O2979" t="s">
        <v>42670</v>
      </c>
      <c r="P2979">
        <v>0</v>
      </c>
      <c r="Q2979">
        <v>0</v>
      </c>
      <c r="R2979" t="s">
        <v>42675</v>
      </c>
      <c r="S2979" t="s">
        <v>42807</v>
      </c>
      <c r="T2979" t="s">
        <v>44598</v>
      </c>
      <c r="U2979" t="s">
        <v>47287</v>
      </c>
      <c r="V2979" t="s">
        <v>56635</v>
      </c>
      <c r="W2979" t="s">
        <v>38787</v>
      </c>
      <c r="X2979" t="s">
        <v>42671</v>
      </c>
    </row>
    <row r="2980" spans="1:24">
      <c r="A2980">
        <f>HYPERLINK("https://www.philgeps.gov.ph/GEPSNONPILOT/Tender/SplashBidNoticeAbstractUI.aspx?menuIndex=3&amp;refID=7197584&amp;Result=3","7197584")</f>
        <v>0</v>
      </c>
      <c r="B2980" t="s">
        <v>539</v>
      </c>
      <c r="C2980" t="s">
        <v>6365</v>
      </c>
      <c r="D2980" t="s">
        <v>17141</v>
      </c>
      <c r="E2980" t="s">
        <v>19879</v>
      </c>
      <c r="F2980" t="s">
        <v>29372</v>
      </c>
      <c r="G2980" t="s">
        <v>29381</v>
      </c>
      <c r="H2980" t="s">
        <v>11048</v>
      </c>
      <c r="I2980" t="s">
        <v>29395</v>
      </c>
      <c r="J2980" t="s">
        <v>31575</v>
      </c>
      <c r="K2980" t="s">
        <v>38485</v>
      </c>
      <c r="M2980" t="s">
        <v>39939</v>
      </c>
      <c r="N2980" t="s">
        <v>42669</v>
      </c>
      <c r="O2980" t="s">
        <v>42670</v>
      </c>
      <c r="P2980">
        <v>0</v>
      </c>
      <c r="Q2980">
        <v>0</v>
      </c>
      <c r="R2980" t="s">
        <v>42675</v>
      </c>
      <c r="S2980" t="s">
        <v>42807</v>
      </c>
      <c r="T2980" t="s">
        <v>44383</v>
      </c>
      <c r="U2980" t="s">
        <v>47288</v>
      </c>
      <c r="W2980" t="s">
        <v>39939</v>
      </c>
      <c r="X2980" t="s">
        <v>42671</v>
      </c>
    </row>
    <row r="2981" spans="1:24">
      <c r="A2981">
        <f>HYPERLINK("https://www.philgeps.gov.ph/GEPSNONPILOT/Tender/SplashBidNoticeAbstractUI.aspx?menuIndex=3&amp;refID=7197583&amp;Result=3","7197583")</f>
        <v>0</v>
      </c>
      <c r="B2981" t="s">
        <v>1128</v>
      </c>
      <c r="C2981" t="s">
        <v>6366</v>
      </c>
      <c r="D2981" t="s">
        <v>17160</v>
      </c>
      <c r="E2981" t="s">
        <v>17533</v>
      </c>
      <c r="F2981" t="s">
        <v>29372</v>
      </c>
      <c r="G2981" t="s">
        <v>29380</v>
      </c>
      <c r="H2981" t="s">
        <v>29389</v>
      </c>
      <c r="I2981" t="s">
        <v>10408</v>
      </c>
      <c r="J2981" t="s">
        <v>31576</v>
      </c>
      <c r="K2981" t="s">
        <v>38485</v>
      </c>
      <c r="M2981" t="s">
        <v>39940</v>
      </c>
      <c r="N2981" t="s">
        <v>42669</v>
      </c>
      <c r="O2981" t="s">
        <v>42670</v>
      </c>
      <c r="P2981">
        <v>0</v>
      </c>
      <c r="Q2981">
        <v>0</v>
      </c>
      <c r="R2981" t="s">
        <v>42675</v>
      </c>
      <c r="S2981" t="s">
        <v>42807</v>
      </c>
      <c r="T2981" t="s">
        <v>44611</v>
      </c>
      <c r="U2981" t="s">
        <v>47289</v>
      </c>
      <c r="V2981" t="s">
        <v>56636</v>
      </c>
      <c r="W2981" t="s">
        <v>39940</v>
      </c>
      <c r="X2981" t="s">
        <v>42671</v>
      </c>
    </row>
    <row r="2982" spans="1:24">
      <c r="A2982">
        <f>HYPERLINK("https://www.philgeps.gov.ph/GEPSNONPILOT/Tender/SplashBidNoticeAbstractUI.aspx?menuIndex=3&amp;refID=7197548&amp;Result=3","7197548")</f>
        <v>0</v>
      </c>
      <c r="B2982" t="s">
        <v>1125</v>
      </c>
      <c r="C2982" t="s">
        <v>6367</v>
      </c>
      <c r="D2982" t="s">
        <v>17151</v>
      </c>
      <c r="E2982" t="s">
        <v>19880</v>
      </c>
      <c r="F2982" t="s">
        <v>29372</v>
      </c>
      <c r="G2982" t="s">
        <v>29380</v>
      </c>
      <c r="H2982" t="s">
        <v>11048</v>
      </c>
      <c r="I2982" t="s">
        <v>29400</v>
      </c>
      <c r="J2982" t="s">
        <v>31577</v>
      </c>
      <c r="K2982" t="s">
        <v>38485</v>
      </c>
      <c r="M2982" t="s">
        <v>39935</v>
      </c>
      <c r="N2982" t="s">
        <v>42669</v>
      </c>
      <c r="O2982" t="s">
        <v>42670</v>
      </c>
      <c r="P2982">
        <v>0</v>
      </c>
      <c r="Q2982">
        <v>0</v>
      </c>
      <c r="R2982" t="s">
        <v>42675</v>
      </c>
      <c r="S2982" t="s">
        <v>42807</v>
      </c>
      <c r="T2982" t="s">
        <v>44521</v>
      </c>
      <c r="U2982" t="s">
        <v>47278</v>
      </c>
      <c r="V2982" t="s">
        <v>56637</v>
      </c>
      <c r="W2982" t="s">
        <v>39935</v>
      </c>
      <c r="X2982" t="s">
        <v>42671</v>
      </c>
    </row>
    <row r="2983" spans="1:24">
      <c r="A2983">
        <f>HYPERLINK("https://www.philgeps.gov.ph/GEPSNONPILOT/Tender/SplashBidNoticeAbstractUI.aspx?menuIndex=3&amp;refID=7197593&amp;Result=3","7197593")</f>
        <v>0</v>
      </c>
      <c r="B2983" t="s">
        <v>1129</v>
      </c>
      <c r="C2983" t="s">
        <v>6368</v>
      </c>
      <c r="D2983" t="s">
        <v>17179</v>
      </c>
      <c r="E2983" t="s">
        <v>17421</v>
      </c>
      <c r="F2983" t="s">
        <v>29372</v>
      </c>
      <c r="G2983" t="s">
        <v>29380</v>
      </c>
      <c r="H2983" t="s">
        <v>11048</v>
      </c>
      <c r="I2983" t="s">
        <v>4709</v>
      </c>
      <c r="J2983" t="s">
        <v>31578</v>
      </c>
      <c r="K2983" t="s">
        <v>38528</v>
      </c>
      <c r="M2983" t="s">
        <v>39941</v>
      </c>
      <c r="N2983" t="s">
        <v>42669</v>
      </c>
      <c r="O2983" t="s">
        <v>42670</v>
      </c>
      <c r="P2983">
        <v>0</v>
      </c>
      <c r="Q2983">
        <v>0</v>
      </c>
      <c r="R2983" t="s">
        <v>42675</v>
      </c>
      <c r="S2983" t="s">
        <v>42807</v>
      </c>
      <c r="T2983" t="s">
        <v>44357</v>
      </c>
      <c r="U2983" t="s">
        <v>47290</v>
      </c>
      <c r="W2983" t="s">
        <v>39941</v>
      </c>
      <c r="X2983" t="s">
        <v>42671</v>
      </c>
    </row>
    <row r="2984" spans="1:24">
      <c r="A2984">
        <f>HYPERLINK("https://www.philgeps.gov.ph/GEPSNONPILOT/Tender/SplashBidNoticeAbstractUI.aspx?menuIndex=3&amp;refID=7197590&amp;Result=3","7197590")</f>
        <v>0</v>
      </c>
      <c r="B2984" t="s">
        <v>1130</v>
      </c>
      <c r="C2984" t="s">
        <v>6369</v>
      </c>
      <c r="D2984" t="s">
        <v>17141</v>
      </c>
      <c r="E2984" t="s">
        <v>19881</v>
      </c>
      <c r="F2984" t="s">
        <v>29372</v>
      </c>
      <c r="G2984" t="s">
        <v>29380</v>
      </c>
      <c r="H2984" t="s">
        <v>11048</v>
      </c>
      <c r="I2984" t="s">
        <v>29393</v>
      </c>
      <c r="J2984" t="s">
        <v>31579</v>
      </c>
      <c r="K2984" t="s">
        <v>38490</v>
      </c>
      <c r="M2984" t="s">
        <v>39942</v>
      </c>
      <c r="N2984" t="s">
        <v>42669</v>
      </c>
      <c r="O2984" t="s">
        <v>42670</v>
      </c>
      <c r="P2984">
        <v>0</v>
      </c>
      <c r="Q2984">
        <v>0</v>
      </c>
      <c r="R2984" t="s">
        <v>42675</v>
      </c>
      <c r="S2984" t="s">
        <v>42807</v>
      </c>
      <c r="T2984" t="s">
        <v>44402</v>
      </c>
      <c r="U2984" t="s">
        <v>47291</v>
      </c>
      <c r="W2984" t="s">
        <v>39942</v>
      </c>
      <c r="X2984" t="s">
        <v>42671</v>
      </c>
    </row>
    <row r="2985" spans="1:24">
      <c r="A2985">
        <f>HYPERLINK("https://www.philgeps.gov.ph/GEPSNONPILOT/Tender/SplashBidNoticeAbstractUI.aspx?menuIndex=3&amp;refID=7197587&amp;Result=3","7197587")</f>
        <v>0</v>
      </c>
      <c r="B2985" t="s">
        <v>1072</v>
      </c>
      <c r="C2985" t="s">
        <v>6370</v>
      </c>
      <c r="D2985" t="s">
        <v>17141</v>
      </c>
      <c r="E2985" t="s">
        <v>19882</v>
      </c>
      <c r="F2985" t="s">
        <v>29372</v>
      </c>
      <c r="G2985" t="s">
        <v>29379</v>
      </c>
      <c r="H2985" t="s">
        <v>11048</v>
      </c>
      <c r="I2985" t="s">
        <v>8614</v>
      </c>
      <c r="J2985" t="s">
        <v>29549</v>
      </c>
      <c r="K2985" t="s">
        <v>38485</v>
      </c>
      <c r="M2985" t="s">
        <v>39879</v>
      </c>
      <c r="N2985" t="s">
        <v>42669</v>
      </c>
      <c r="O2985" t="s">
        <v>42670</v>
      </c>
      <c r="P2985">
        <v>0</v>
      </c>
      <c r="Q2985">
        <v>0</v>
      </c>
      <c r="R2985" t="s">
        <v>42675</v>
      </c>
      <c r="S2985" t="s">
        <v>42807</v>
      </c>
      <c r="T2985" t="s">
        <v>44430</v>
      </c>
      <c r="U2985" t="s">
        <v>47292</v>
      </c>
      <c r="W2985" t="s">
        <v>39879</v>
      </c>
      <c r="X2985" t="s">
        <v>42671</v>
      </c>
    </row>
    <row r="2986" spans="1:24">
      <c r="A2986">
        <f>HYPERLINK("https://www.philgeps.gov.ph/GEPSNONPILOT/Tender/SplashBidNoticeAbstractUI.aspx?menuIndex=3&amp;refID=7197612&amp;Result=3","7197612")</f>
        <v>0</v>
      </c>
      <c r="B2986" t="s">
        <v>453</v>
      </c>
      <c r="C2986" t="s">
        <v>6371</v>
      </c>
      <c r="D2986" t="s">
        <v>17173</v>
      </c>
      <c r="E2986" t="s">
        <v>19883</v>
      </c>
      <c r="F2986" t="s">
        <v>29372</v>
      </c>
      <c r="G2986" t="s">
        <v>29380</v>
      </c>
      <c r="H2986" t="s">
        <v>11048</v>
      </c>
      <c r="I2986" t="s">
        <v>4709</v>
      </c>
      <c r="J2986" t="s">
        <v>31580</v>
      </c>
      <c r="K2986" t="s">
        <v>38488</v>
      </c>
      <c r="M2986" t="s">
        <v>39217</v>
      </c>
      <c r="N2986" t="s">
        <v>42669</v>
      </c>
      <c r="O2986" t="s">
        <v>42670</v>
      </c>
      <c r="P2986">
        <v>0</v>
      </c>
      <c r="Q2986">
        <v>0</v>
      </c>
      <c r="R2986" t="s">
        <v>42675</v>
      </c>
      <c r="S2986" t="s">
        <v>42807</v>
      </c>
      <c r="T2986" t="s">
        <v>44407</v>
      </c>
      <c r="U2986" t="s">
        <v>47293</v>
      </c>
      <c r="W2986" t="s">
        <v>39217</v>
      </c>
      <c r="X2986" t="s">
        <v>42671</v>
      </c>
    </row>
    <row r="2987" spans="1:24">
      <c r="A2987">
        <f>HYPERLINK("https://www.philgeps.gov.ph/GEPSNONPILOT/Tender/SplashBidNoticeAbstractUI.aspx?menuIndex=3&amp;refID=7197611&amp;Result=3","7197611")</f>
        <v>0</v>
      </c>
      <c r="B2987" t="s">
        <v>1131</v>
      </c>
      <c r="C2987" t="s">
        <v>6372</v>
      </c>
      <c r="D2987" t="s">
        <v>17171</v>
      </c>
      <c r="E2987" t="s">
        <v>19884</v>
      </c>
      <c r="F2987" t="s">
        <v>29372</v>
      </c>
      <c r="G2987" t="s">
        <v>29380</v>
      </c>
      <c r="H2987" t="s">
        <v>11048</v>
      </c>
      <c r="I2987" t="s">
        <v>4709</v>
      </c>
      <c r="J2987" t="s">
        <v>31581</v>
      </c>
      <c r="K2987" t="s">
        <v>38485</v>
      </c>
      <c r="M2987" t="s">
        <v>39943</v>
      </c>
      <c r="N2987" t="s">
        <v>42669</v>
      </c>
      <c r="O2987" t="s">
        <v>42670</v>
      </c>
      <c r="P2987">
        <v>0</v>
      </c>
      <c r="Q2987">
        <v>0</v>
      </c>
      <c r="R2987" t="s">
        <v>42675</v>
      </c>
      <c r="S2987" t="s">
        <v>42807</v>
      </c>
      <c r="T2987" t="s">
        <v>44542</v>
      </c>
      <c r="U2987" t="s">
        <v>47294</v>
      </c>
      <c r="W2987" t="s">
        <v>39943</v>
      </c>
      <c r="X2987" t="s">
        <v>42671</v>
      </c>
    </row>
    <row r="2988" spans="1:24">
      <c r="A2988">
        <f>HYPERLINK("https://www.philgeps.gov.ph/GEPSNONPILOT/Tender/SplashBidNoticeAbstractUI.aspx?menuIndex=3&amp;refID=7197463&amp;Result=3","7197463")</f>
        <v>0</v>
      </c>
      <c r="B2988" t="s">
        <v>1069</v>
      </c>
      <c r="C2988" t="s">
        <v>6212</v>
      </c>
      <c r="D2988" t="s">
        <v>17141</v>
      </c>
      <c r="E2988" t="s">
        <v>19885</v>
      </c>
      <c r="F2988" t="s">
        <v>29372</v>
      </c>
      <c r="G2988" t="s">
        <v>29379</v>
      </c>
      <c r="H2988" t="s">
        <v>11048</v>
      </c>
      <c r="I2988" t="s">
        <v>4486</v>
      </c>
      <c r="J2988" t="s">
        <v>31582</v>
      </c>
      <c r="K2988" t="s">
        <v>38488</v>
      </c>
      <c r="M2988" t="s">
        <v>39876</v>
      </c>
      <c r="N2988" t="s">
        <v>42669</v>
      </c>
      <c r="O2988" t="s">
        <v>42670</v>
      </c>
      <c r="P2988">
        <v>0</v>
      </c>
      <c r="Q2988">
        <v>0</v>
      </c>
      <c r="R2988" t="s">
        <v>42675</v>
      </c>
      <c r="S2988" t="s">
        <v>42807</v>
      </c>
      <c r="T2988" t="s">
        <v>44480</v>
      </c>
      <c r="U2988" t="s">
        <v>47295</v>
      </c>
      <c r="V2988" t="s">
        <v>56631</v>
      </c>
      <c r="W2988" t="s">
        <v>39876</v>
      </c>
      <c r="X2988" t="s">
        <v>42671</v>
      </c>
    </row>
    <row r="2989" spans="1:24">
      <c r="A2989">
        <f>HYPERLINK("https://www.philgeps.gov.ph/GEPSNONPILOT/Tender/SplashBidNoticeAbstractUI.aspx?menuIndex=3&amp;refID=7197613&amp;Result=3","7197613")</f>
        <v>0</v>
      </c>
      <c r="B2989" t="s">
        <v>539</v>
      </c>
      <c r="C2989" t="s">
        <v>6373</v>
      </c>
      <c r="D2989" t="s">
        <v>17141</v>
      </c>
      <c r="E2989" t="s">
        <v>19879</v>
      </c>
      <c r="F2989" t="s">
        <v>29372</v>
      </c>
      <c r="G2989" t="s">
        <v>29381</v>
      </c>
      <c r="H2989" t="s">
        <v>11048</v>
      </c>
      <c r="I2989" t="s">
        <v>29395</v>
      </c>
      <c r="J2989" t="s">
        <v>31583</v>
      </c>
      <c r="K2989" t="s">
        <v>38485</v>
      </c>
      <c r="M2989" t="s">
        <v>39939</v>
      </c>
      <c r="N2989" t="s">
        <v>42669</v>
      </c>
      <c r="O2989" t="s">
        <v>42670</v>
      </c>
      <c r="P2989">
        <v>0</v>
      </c>
      <c r="Q2989">
        <v>0</v>
      </c>
      <c r="R2989" t="s">
        <v>42675</v>
      </c>
      <c r="S2989" t="s">
        <v>42807</v>
      </c>
      <c r="T2989" t="s">
        <v>44383</v>
      </c>
      <c r="U2989" t="s">
        <v>47288</v>
      </c>
      <c r="W2989" t="s">
        <v>39939</v>
      </c>
      <c r="X2989" t="s">
        <v>42671</v>
      </c>
    </row>
    <row r="2990" spans="1:24">
      <c r="A2990">
        <f>HYPERLINK("https://www.philgeps.gov.ph/GEPSNONPILOT/Tender/SplashBidNoticeAbstractUI.aspx?menuIndex=3&amp;refID=7197608&amp;Result=3","7197608")</f>
        <v>0</v>
      </c>
      <c r="B2990" t="s">
        <v>844</v>
      </c>
      <c r="C2990" t="s">
        <v>6374</v>
      </c>
      <c r="D2990" t="s">
        <v>17143</v>
      </c>
      <c r="E2990" t="s">
        <v>19886</v>
      </c>
      <c r="F2990" t="s">
        <v>29372</v>
      </c>
      <c r="G2990" t="s">
        <v>29379</v>
      </c>
      <c r="H2990" t="s">
        <v>11048</v>
      </c>
      <c r="I2990" t="s">
        <v>29401</v>
      </c>
      <c r="J2990" t="s">
        <v>30155</v>
      </c>
      <c r="K2990" t="s">
        <v>38491</v>
      </c>
      <c r="M2990" t="s">
        <v>39634</v>
      </c>
      <c r="N2990" t="s">
        <v>42669</v>
      </c>
      <c r="O2990" t="s">
        <v>42670</v>
      </c>
      <c r="P2990">
        <v>0</v>
      </c>
      <c r="Q2990">
        <v>0</v>
      </c>
      <c r="R2990" t="s">
        <v>42675</v>
      </c>
      <c r="S2990" t="s">
        <v>42807</v>
      </c>
      <c r="T2990" t="s">
        <v>44375</v>
      </c>
      <c r="U2990" t="s">
        <v>46577</v>
      </c>
      <c r="W2990" t="s">
        <v>39634</v>
      </c>
      <c r="X2990" t="s">
        <v>42671</v>
      </c>
    </row>
    <row r="2991" spans="1:24">
      <c r="A2991">
        <f>HYPERLINK("https://www.philgeps.gov.ph/GEPSNONPILOT/Tender/SplashBidNoticeAbstractUI.aspx?menuIndex=3&amp;refID=7197607&amp;Result=3","7197607")</f>
        <v>0</v>
      </c>
      <c r="B2991" t="s">
        <v>453</v>
      </c>
      <c r="C2991" t="s">
        <v>6375</v>
      </c>
      <c r="D2991" t="s">
        <v>17173</v>
      </c>
      <c r="E2991" t="s">
        <v>19887</v>
      </c>
      <c r="F2991" t="s">
        <v>29372</v>
      </c>
      <c r="G2991" t="s">
        <v>29380</v>
      </c>
      <c r="H2991" t="s">
        <v>11048</v>
      </c>
      <c r="I2991" t="s">
        <v>5383</v>
      </c>
      <c r="J2991" t="s">
        <v>31584</v>
      </c>
      <c r="K2991" t="s">
        <v>38485</v>
      </c>
      <c r="M2991" t="s">
        <v>39217</v>
      </c>
      <c r="N2991" t="s">
        <v>42669</v>
      </c>
      <c r="O2991" t="s">
        <v>42670</v>
      </c>
      <c r="P2991">
        <v>0</v>
      </c>
      <c r="Q2991">
        <v>0</v>
      </c>
      <c r="R2991" t="s">
        <v>42675</v>
      </c>
      <c r="S2991" t="s">
        <v>42807</v>
      </c>
      <c r="T2991" t="s">
        <v>44407</v>
      </c>
      <c r="U2991" t="s">
        <v>47296</v>
      </c>
      <c r="W2991" t="s">
        <v>39217</v>
      </c>
      <c r="X2991" t="s">
        <v>42671</v>
      </c>
    </row>
    <row r="2992" spans="1:24">
      <c r="A2992">
        <f>HYPERLINK("https://www.philgeps.gov.ph/GEPSNONPILOT/Tender/SplashBidNoticeAbstractUI.aspx?menuIndex=3&amp;refID=7197604&amp;Result=3","7197604")</f>
        <v>0</v>
      </c>
      <c r="B2992" t="s">
        <v>844</v>
      </c>
      <c r="C2992" t="s">
        <v>6376</v>
      </c>
      <c r="D2992" t="s">
        <v>17143</v>
      </c>
      <c r="E2992" t="s">
        <v>19888</v>
      </c>
      <c r="F2992" t="s">
        <v>29372</v>
      </c>
      <c r="G2992" t="s">
        <v>29379</v>
      </c>
      <c r="H2992" t="s">
        <v>11048</v>
      </c>
      <c r="I2992" t="s">
        <v>29401</v>
      </c>
      <c r="J2992" t="s">
        <v>29625</v>
      </c>
      <c r="K2992" t="s">
        <v>38491</v>
      </c>
      <c r="M2992" t="s">
        <v>39634</v>
      </c>
      <c r="N2992" t="s">
        <v>42669</v>
      </c>
      <c r="O2992" t="s">
        <v>42670</v>
      </c>
      <c r="P2992">
        <v>0</v>
      </c>
      <c r="Q2992">
        <v>0</v>
      </c>
      <c r="R2992" t="s">
        <v>42675</v>
      </c>
      <c r="S2992" t="s">
        <v>42807</v>
      </c>
      <c r="T2992" t="s">
        <v>44375</v>
      </c>
      <c r="U2992" t="s">
        <v>46577</v>
      </c>
      <c r="W2992" t="s">
        <v>39634</v>
      </c>
      <c r="X2992" t="s">
        <v>42671</v>
      </c>
    </row>
    <row r="2993" spans="1:24">
      <c r="A2993">
        <f>HYPERLINK("https://www.philgeps.gov.ph/GEPSNONPILOT/Tender/SplashBidNoticeAbstractUI.aspx?menuIndex=3&amp;refID=7197602&amp;Result=3","7197602")</f>
        <v>0</v>
      </c>
      <c r="B2993" t="s">
        <v>1132</v>
      </c>
      <c r="C2993" t="s">
        <v>6377</v>
      </c>
      <c r="D2993" t="s">
        <v>17204</v>
      </c>
      <c r="E2993" t="s">
        <v>19889</v>
      </c>
      <c r="F2993" t="s">
        <v>29372</v>
      </c>
      <c r="G2993" t="s">
        <v>29380</v>
      </c>
      <c r="H2993" t="s">
        <v>29389</v>
      </c>
      <c r="I2993" t="s">
        <v>10408</v>
      </c>
      <c r="J2993" t="s">
        <v>31585</v>
      </c>
      <c r="K2993" t="s">
        <v>38495</v>
      </c>
      <c r="M2993" t="s">
        <v>39944</v>
      </c>
      <c r="N2993" t="s">
        <v>42669</v>
      </c>
      <c r="O2993" t="s">
        <v>42670</v>
      </c>
      <c r="P2993">
        <v>0</v>
      </c>
      <c r="Q2993">
        <v>0</v>
      </c>
      <c r="R2993" t="s">
        <v>42675</v>
      </c>
      <c r="S2993" t="s">
        <v>42807</v>
      </c>
      <c r="T2993" t="s">
        <v>44618</v>
      </c>
      <c r="U2993" t="s">
        <v>47297</v>
      </c>
      <c r="W2993" t="s">
        <v>39944</v>
      </c>
      <c r="X2993" t="s">
        <v>42671</v>
      </c>
    </row>
    <row r="2994" spans="1:24">
      <c r="A2994">
        <f>HYPERLINK("https://www.philgeps.gov.ph/GEPSNONPILOT/Tender/SplashBidNoticeAbstractUI.aspx?menuIndex=3&amp;refID=7197609&amp;Result=3","7197609")</f>
        <v>0</v>
      </c>
      <c r="B2994" t="s">
        <v>1133</v>
      </c>
      <c r="C2994" t="s">
        <v>6378</v>
      </c>
      <c r="D2994" t="s">
        <v>17141</v>
      </c>
      <c r="E2994" t="s">
        <v>19890</v>
      </c>
      <c r="F2994" t="s">
        <v>29372</v>
      </c>
      <c r="G2994" t="s">
        <v>29380</v>
      </c>
      <c r="H2994" t="s">
        <v>11048</v>
      </c>
      <c r="I2994" t="s">
        <v>3670</v>
      </c>
      <c r="J2994" t="s">
        <v>30046</v>
      </c>
      <c r="K2994" t="s">
        <v>38489</v>
      </c>
      <c r="M2994" t="s">
        <v>39945</v>
      </c>
      <c r="N2994" t="s">
        <v>42669</v>
      </c>
      <c r="O2994" t="s">
        <v>42670</v>
      </c>
      <c r="P2994">
        <v>0</v>
      </c>
      <c r="Q2994">
        <v>0</v>
      </c>
      <c r="R2994" t="s">
        <v>42675</v>
      </c>
      <c r="S2994" t="s">
        <v>42807</v>
      </c>
      <c r="T2994" t="s">
        <v>44509</v>
      </c>
      <c r="U2994" t="s">
        <v>47298</v>
      </c>
      <c r="W2994" t="s">
        <v>39945</v>
      </c>
      <c r="X2994" t="s">
        <v>42671</v>
      </c>
    </row>
    <row r="2995" spans="1:24">
      <c r="A2995">
        <f>HYPERLINK("https://www.philgeps.gov.ph/GEPSNONPILOT/Tender/SplashBidNoticeAbstractUI.aspx?menuIndex=3&amp;refID=7197601&amp;Result=3","7197601")</f>
        <v>0</v>
      </c>
      <c r="B2995" t="s">
        <v>453</v>
      </c>
      <c r="C2995" t="s">
        <v>6379</v>
      </c>
      <c r="D2995" t="s">
        <v>17173</v>
      </c>
      <c r="E2995" t="s">
        <v>19891</v>
      </c>
      <c r="F2995" t="s">
        <v>29372</v>
      </c>
      <c r="G2995" t="s">
        <v>29380</v>
      </c>
      <c r="H2995" t="s">
        <v>11048</v>
      </c>
      <c r="I2995" t="s">
        <v>29407</v>
      </c>
      <c r="J2995" t="s">
        <v>29609</v>
      </c>
      <c r="K2995" t="s">
        <v>38485</v>
      </c>
      <c r="M2995" t="s">
        <v>39217</v>
      </c>
      <c r="N2995" t="s">
        <v>42669</v>
      </c>
      <c r="O2995" t="s">
        <v>42670</v>
      </c>
      <c r="P2995">
        <v>0</v>
      </c>
      <c r="Q2995">
        <v>0</v>
      </c>
      <c r="R2995" t="s">
        <v>42675</v>
      </c>
      <c r="S2995" t="s">
        <v>42807</v>
      </c>
      <c r="T2995" t="s">
        <v>44407</v>
      </c>
      <c r="U2995" t="s">
        <v>47299</v>
      </c>
      <c r="W2995" t="s">
        <v>39217</v>
      </c>
      <c r="X2995" t="s">
        <v>42671</v>
      </c>
    </row>
    <row r="2996" spans="1:24">
      <c r="A2996">
        <f>HYPERLINK("https://www.philgeps.gov.ph/GEPSNONPILOT/Tender/SplashBidNoticeAbstractUI.aspx?menuIndex=3&amp;refID=7197599&amp;Result=3","7197599")</f>
        <v>0</v>
      </c>
      <c r="B2996" t="s">
        <v>844</v>
      </c>
      <c r="C2996" t="s">
        <v>6380</v>
      </c>
      <c r="D2996" t="s">
        <v>17143</v>
      </c>
      <c r="E2996" t="s">
        <v>19892</v>
      </c>
      <c r="F2996" t="s">
        <v>29372</v>
      </c>
      <c r="G2996" t="s">
        <v>29379</v>
      </c>
      <c r="H2996" t="s">
        <v>11048</v>
      </c>
      <c r="I2996" t="s">
        <v>29401</v>
      </c>
      <c r="J2996" t="s">
        <v>31586</v>
      </c>
      <c r="K2996" t="s">
        <v>38491</v>
      </c>
      <c r="M2996" t="s">
        <v>39634</v>
      </c>
      <c r="N2996" t="s">
        <v>42669</v>
      </c>
      <c r="O2996" t="s">
        <v>42670</v>
      </c>
      <c r="P2996">
        <v>0</v>
      </c>
      <c r="Q2996">
        <v>0</v>
      </c>
      <c r="R2996" t="s">
        <v>42675</v>
      </c>
      <c r="S2996" t="s">
        <v>42807</v>
      </c>
      <c r="T2996" t="s">
        <v>44375</v>
      </c>
      <c r="U2996" t="s">
        <v>46577</v>
      </c>
      <c r="W2996" t="s">
        <v>39634</v>
      </c>
      <c r="X2996" t="s">
        <v>42671</v>
      </c>
    </row>
    <row r="2997" spans="1:24">
      <c r="A2997">
        <f>HYPERLINK("https://www.philgeps.gov.ph/GEPSNONPILOT/Tender/SplashBidNoticeAbstractUI.aspx?menuIndex=3&amp;refID=7197603&amp;Result=3","7197603")</f>
        <v>0</v>
      </c>
      <c r="B2997" t="s">
        <v>1134</v>
      </c>
      <c r="C2997" t="s">
        <v>6381</v>
      </c>
      <c r="D2997" t="s">
        <v>17143</v>
      </c>
      <c r="E2997" t="s">
        <v>19893</v>
      </c>
      <c r="F2997" t="s">
        <v>29372</v>
      </c>
      <c r="G2997" t="s">
        <v>29379</v>
      </c>
      <c r="H2997" t="s">
        <v>11048</v>
      </c>
      <c r="I2997" t="s">
        <v>3629</v>
      </c>
      <c r="J2997" t="s">
        <v>30225</v>
      </c>
      <c r="K2997" t="s">
        <v>38489</v>
      </c>
      <c r="M2997" t="s">
        <v>39946</v>
      </c>
      <c r="N2997" t="s">
        <v>42669</v>
      </c>
      <c r="O2997" t="s">
        <v>42670</v>
      </c>
      <c r="P2997">
        <v>0</v>
      </c>
      <c r="Q2997">
        <v>0</v>
      </c>
      <c r="R2997" t="s">
        <v>42675</v>
      </c>
      <c r="S2997" t="s">
        <v>42807</v>
      </c>
      <c r="T2997" t="s">
        <v>44470</v>
      </c>
      <c r="U2997" t="s">
        <v>47300</v>
      </c>
      <c r="W2997" t="s">
        <v>39946</v>
      </c>
      <c r="X2997" t="s">
        <v>42671</v>
      </c>
    </row>
    <row r="2998" spans="1:24">
      <c r="A2998">
        <f>HYPERLINK("https://www.philgeps.gov.ph/GEPSNONPILOT/Tender/SplashBidNoticeAbstractUI.aspx?menuIndex=3&amp;refID=7197600&amp;Result=3","7197600")</f>
        <v>0</v>
      </c>
      <c r="B2998" t="s">
        <v>539</v>
      </c>
      <c r="C2998" t="s">
        <v>6382</v>
      </c>
      <c r="D2998" t="s">
        <v>17141</v>
      </c>
      <c r="E2998" t="s">
        <v>19879</v>
      </c>
      <c r="F2998" t="s">
        <v>29372</v>
      </c>
      <c r="G2998" t="s">
        <v>29381</v>
      </c>
      <c r="H2998" t="s">
        <v>11048</v>
      </c>
      <c r="I2998" t="s">
        <v>29395</v>
      </c>
      <c r="J2998" t="s">
        <v>31587</v>
      </c>
      <c r="K2998" t="s">
        <v>38485</v>
      </c>
      <c r="M2998" t="s">
        <v>39939</v>
      </c>
      <c r="N2998" t="s">
        <v>42669</v>
      </c>
      <c r="O2998" t="s">
        <v>42670</v>
      </c>
      <c r="P2998">
        <v>0</v>
      </c>
      <c r="Q2998">
        <v>0</v>
      </c>
      <c r="R2998" t="s">
        <v>42675</v>
      </c>
      <c r="S2998" t="s">
        <v>42807</v>
      </c>
      <c r="T2998" t="s">
        <v>44383</v>
      </c>
      <c r="U2998" t="s">
        <v>47288</v>
      </c>
      <c r="W2998" t="s">
        <v>39939</v>
      </c>
      <c r="X2998" t="s">
        <v>42671</v>
      </c>
    </row>
    <row r="2999" spans="1:24">
      <c r="A2999">
        <f>HYPERLINK("https://www.philgeps.gov.ph/GEPSNONPILOT/Tender/SplashBidNoticeAbstractUI.aspx?menuIndex=3&amp;refID=7197598&amp;Result=3","7197598")</f>
        <v>0</v>
      </c>
      <c r="B2999" t="s">
        <v>1135</v>
      </c>
      <c r="C2999" t="s">
        <v>6383</v>
      </c>
      <c r="D2999" t="s">
        <v>17171</v>
      </c>
      <c r="E2999" t="s">
        <v>19894</v>
      </c>
      <c r="F2999" t="s">
        <v>29372</v>
      </c>
      <c r="G2999" t="s">
        <v>29379</v>
      </c>
      <c r="H2999" t="s">
        <v>11048</v>
      </c>
      <c r="I2999" t="s">
        <v>29412</v>
      </c>
      <c r="J2999" t="s">
        <v>31298</v>
      </c>
      <c r="K2999" t="s">
        <v>38490</v>
      </c>
      <c r="M2999" t="s">
        <v>39947</v>
      </c>
      <c r="N2999" t="s">
        <v>42669</v>
      </c>
      <c r="O2999" t="s">
        <v>42670</v>
      </c>
      <c r="P2999">
        <v>0</v>
      </c>
      <c r="Q2999">
        <v>0</v>
      </c>
      <c r="R2999" t="s">
        <v>42675</v>
      </c>
      <c r="S2999" t="s">
        <v>42807</v>
      </c>
      <c r="T2999" t="s">
        <v>44426</v>
      </c>
      <c r="U2999" t="s">
        <v>47301</v>
      </c>
      <c r="W2999" t="s">
        <v>39947</v>
      </c>
      <c r="X2999" t="s">
        <v>42671</v>
      </c>
    </row>
    <row r="3000" spans="1:24">
      <c r="A3000">
        <f>HYPERLINK("https://www.philgeps.gov.ph/GEPSNONPILOT/Tender/SplashBidNoticeAbstractUI.aspx?menuIndex=3&amp;refID=7197595&amp;Result=3","7197595")</f>
        <v>0</v>
      </c>
      <c r="B3000" t="s">
        <v>1060</v>
      </c>
      <c r="C3000" t="s">
        <v>6384</v>
      </c>
      <c r="D3000" t="s">
        <v>17201</v>
      </c>
      <c r="E3000" t="s">
        <v>19895</v>
      </c>
      <c r="F3000" t="s">
        <v>29372</v>
      </c>
      <c r="G3000" t="s">
        <v>29380</v>
      </c>
      <c r="H3000" t="s">
        <v>29389</v>
      </c>
      <c r="I3000" t="s">
        <v>10408</v>
      </c>
      <c r="J3000" t="s">
        <v>31588</v>
      </c>
      <c r="K3000" t="s">
        <v>38503</v>
      </c>
      <c r="M3000" t="s">
        <v>39867</v>
      </c>
      <c r="N3000" t="s">
        <v>42669</v>
      </c>
      <c r="O3000" t="s">
        <v>42670</v>
      </c>
      <c r="P3000">
        <v>0</v>
      </c>
      <c r="Q3000">
        <v>0</v>
      </c>
      <c r="R3000" t="s">
        <v>42675</v>
      </c>
      <c r="S3000" t="s">
        <v>42807</v>
      </c>
      <c r="T3000" t="s">
        <v>44415</v>
      </c>
      <c r="U3000" t="s">
        <v>47302</v>
      </c>
      <c r="W3000" t="s">
        <v>39867</v>
      </c>
      <c r="X3000" t="s">
        <v>42671</v>
      </c>
    </row>
    <row r="3001" spans="1:24">
      <c r="A3001">
        <f>HYPERLINK("https://www.philgeps.gov.ph/GEPSNONPILOT/Tender/SplashBidNoticeAbstractUI.aspx?menuIndex=3&amp;refID=7197606&amp;Result=3","7197606")</f>
        <v>0</v>
      </c>
      <c r="B3001" t="s">
        <v>539</v>
      </c>
      <c r="C3001" t="s">
        <v>6385</v>
      </c>
      <c r="D3001" t="s">
        <v>17141</v>
      </c>
      <c r="E3001" t="s">
        <v>19879</v>
      </c>
      <c r="F3001" t="s">
        <v>29372</v>
      </c>
      <c r="G3001" t="s">
        <v>29381</v>
      </c>
      <c r="H3001" t="s">
        <v>11048</v>
      </c>
      <c r="I3001" t="s">
        <v>29395</v>
      </c>
      <c r="J3001" t="s">
        <v>31589</v>
      </c>
      <c r="K3001" t="s">
        <v>38485</v>
      </c>
      <c r="M3001" t="s">
        <v>39939</v>
      </c>
      <c r="N3001" t="s">
        <v>42669</v>
      </c>
      <c r="O3001" t="s">
        <v>42670</v>
      </c>
      <c r="P3001">
        <v>0</v>
      </c>
      <c r="Q3001">
        <v>0</v>
      </c>
      <c r="R3001" t="s">
        <v>42675</v>
      </c>
      <c r="S3001" t="s">
        <v>42807</v>
      </c>
      <c r="T3001" t="s">
        <v>44383</v>
      </c>
      <c r="U3001" t="s">
        <v>47288</v>
      </c>
      <c r="W3001" t="s">
        <v>39939</v>
      </c>
      <c r="X3001" t="s">
        <v>42671</v>
      </c>
    </row>
    <row r="3002" spans="1:24">
      <c r="A3002">
        <f>HYPERLINK("https://www.philgeps.gov.ph/GEPSNONPILOT/Tender/SplashBidNoticeAbstractUI.aspx?menuIndex=3&amp;refID=7197594&amp;Result=3","7197594")</f>
        <v>0</v>
      </c>
      <c r="B3002" t="s">
        <v>844</v>
      </c>
      <c r="C3002" t="s">
        <v>6386</v>
      </c>
      <c r="D3002" t="s">
        <v>17143</v>
      </c>
      <c r="E3002" t="s">
        <v>19896</v>
      </c>
      <c r="F3002" t="s">
        <v>29372</v>
      </c>
      <c r="G3002" t="s">
        <v>29379</v>
      </c>
      <c r="H3002" t="s">
        <v>11048</v>
      </c>
      <c r="I3002" t="s">
        <v>29428</v>
      </c>
      <c r="J3002" t="s">
        <v>30752</v>
      </c>
      <c r="K3002" t="s">
        <v>38491</v>
      </c>
      <c r="M3002" t="s">
        <v>39634</v>
      </c>
      <c r="N3002" t="s">
        <v>42669</v>
      </c>
      <c r="O3002" t="s">
        <v>42670</v>
      </c>
      <c r="P3002">
        <v>0</v>
      </c>
      <c r="Q3002">
        <v>0</v>
      </c>
      <c r="R3002" t="s">
        <v>42675</v>
      </c>
      <c r="S3002" t="s">
        <v>42807</v>
      </c>
      <c r="T3002" t="s">
        <v>44375</v>
      </c>
      <c r="U3002" t="s">
        <v>46577</v>
      </c>
      <c r="W3002" t="s">
        <v>39634</v>
      </c>
      <c r="X3002" t="s">
        <v>42671</v>
      </c>
    </row>
    <row r="3003" spans="1:24">
      <c r="A3003">
        <f>HYPERLINK("https://www.philgeps.gov.ph/GEPSNONPILOT/Tender/SplashBidNoticeAbstractUI.aspx?menuIndex=3&amp;refID=7197633&amp;Result=3","7197633")</f>
        <v>0</v>
      </c>
      <c r="B3003" t="s">
        <v>1136</v>
      </c>
      <c r="C3003" t="s">
        <v>6387</v>
      </c>
      <c r="D3003" t="s">
        <v>17145</v>
      </c>
      <c r="E3003" t="s">
        <v>19897</v>
      </c>
      <c r="F3003" t="s">
        <v>29372</v>
      </c>
      <c r="G3003" t="s">
        <v>29379</v>
      </c>
      <c r="H3003" t="s">
        <v>11048</v>
      </c>
      <c r="I3003" t="s">
        <v>7828</v>
      </c>
      <c r="J3003" t="s">
        <v>29680</v>
      </c>
      <c r="K3003" t="s">
        <v>38528</v>
      </c>
      <c r="L3003" t="s">
        <v>1136</v>
      </c>
      <c r="M3003" t="s">
        <v>39948</v>
      </c>
      <c r="N3003" t="s">
        <v>42669</v>
      </c>
      <c r="O3003" t="s">
        <v>42670</v>
      </c>
      <c r="P3003">
        <v>0</v>
      </c>
      <c r="Q3003">
        <v>0</v>
      </c>
      <c r="R3003" t="s">
        <v>42675</v>
      </c>
      <c r="S3003" t="s">
        <v>42807</v>
      </c>
      <c r="T3003" t="s">
        <v>44436</v>
      </c>
      <c r="U3003" t="s">
        <v>47303</v>
      </c>
      <c r="V3003" t="s">
        <v>56638</v>
      </c>
      <c r="W3003" t="s">
        <v>58034</v>
      </c>
      <c r="X3003" t="s">
        <v>42671</v>
      </c>
    </row>
    <row r="3004" spans="1:24">
      <c r="A3004">
        <f>HYPERLINK("https://www.philgeps.gov.ph/GEPSNONPILOT/Tender/SplashBidNoticeAbstractUI.aspx?menuIndex=3&amp;refID=7197632&amp;Result=3","7197632")</f>
        <v>0</v>
      </c>
      <c r="B3004" t="s">
        <v>1137</v>
      </c>
      <c r="C3004" t="s">
        <v>6388</v>
      </c>
      <c r="D3004" t="s">
        <v>17193</v>
      </c>
      <c r="E3004" t="s">
        <v>19898</v>
      </c>
      <c r="F3004" t="s">
        <v>29372</v>
      </c>
      <c r="G3004" t="s">
        <v>29380</v>
      </c>
      <c r="H3004" t="s">
        <v>11048</v>
      </c>
      <c r="I3004" t="s">
        <v>9469</v>
      </c>
      <c r="J3004" t="s">
        <v>31590</v>
      </c>
      <c r="K3004" t="s">
        <v>38490</v>
      </c>
      <c r="M3004" t="s">
        <v>39949</v>
      </c>
      <c r="N3004" t="s">
        <v>42669</v>
      </c>
      <c r="O3004" t="s">
        <v>42670</v>
      </c>
      <c r="P3004">
        <v>0</v>
      </c>
      <c r="Q3004">
        <v>0</v>
      </c>
      <c r="R3004" t="s">
        <v>42675</v>
      </c>
      <c r="S3004" t="s">
        <v>42807</v>
      </c>
      <c r="T3004" t="s">
        <v>44442</v>
      </c>
      <c r="U3004" t="s">
        <v>47304</v>
      </c>
      <c r="V3004" t="s">
        <v>56639</v>
      </c>
      <c r="W3004" t="s">
        <v>39949</v>
      </c>
      <c r="X3004" t="s">
        <v>42671</v>
      </c>
    </row>
    <row r="3005" spans="1:24">
      <c r="A3005">
        <f>HYPERLINK("https://www.philgeps.gov.ph/GEPSNONPILOT/Tender/SplashBidNoticeAbstractUI.aspx?menuIndex=3&amp;refID=7197596&amp;Result=3","7197596")</f>
        <v>0</v>
      </c>
      <c r="B3005" t="s">
        <v>1138</v>
      </c>
      <c r="C3005" t="s">
        <v>6389</v>
      </c>
      <c r="D3005" t="s">
        <v>17141</v>
      </c>
      <c r="E3005" t="s">
        <v>19899</v>
      </c>
      <c r="F3005" t="s">
        <v>29372</v>
      </c>
      <c r="G3005" t="s">
        <v>29383</v>
      </c>
      <c r="H3005" t="s">
        <v>11048</v>
      </c>
      <c r="I3005" t="s">
        <v>3670</v>
      </c>
      <c r="J3005" t="s">
        <v>29680</v>
      </c>
      <c r="K3005" t="s">
        <v>38491</v>
      </c>
      <c r="M3005" t="s">
        <v>39950</v>
      </c>
      <c r="N3005" t="s">
        <v>42669</v>
      </c>
      <c r="O3005" t="s">
        <v>42670</v>
      </c>
      <c r="P3005">
        <v>0</v>
      </c>
      <c r="Q3005">
        <v>0</v>
      </c>
      <c r="R3005" t="s">
        <v>42675</v>
      </c>
      <c r="S3005" t="s">
        <v>42807</v>
      </c>
      <c r="T3005" t="s">
        <v>44480</v>
      </c>
      <c r="U3005" t="s">
        <v>47305</v>
      </c>
      <c r="W3005" t="s">
        <v>39950</v>
      </c>
      <c r="X3005" t="s">
        <v>42671</v>
      </c>
    </row>
    <row r="3006" spans="1:24">
      <c r="A3006">
        <f>HYPERLINK("https://www.philgeps.gov.ph/GEPSNONPILOT/Tender/SplashBidNoticeAbstractUI.aspx?menuIndex=3&amp;refID=7197582&amp;Result=3","7197582")</f>
        <v>0</v>
      </c>
      <c r="B3006" t="s">
        <v>844</v>
      </c>
      <c r="C3006" t="s">
        <v>6390</v>
      </c>
      <c r="D3006" t="s">
        <v>17143</v>
      </c>
      <c r="E3006" t="s">
        <v>19900</v>
      </c>
      <c r="F3006" t="s">
        <v>29372</v>
      </c>
      <c r="G3006" t="s">
        <v>29379</v>
      </c>
      <c r="H3006" t="s">
        <v>11048</v>
      </c>
      <c r="I3006" t="s">
        <v>29428</v>
      </c>
      <c r="J3006" t="s">
        <v>31591</v>
      </c>
      <c r="K3006" t="s">
        <v>38491</v>
      </c>
      <c r="M3006" t="s">
        <v>39634</v>
      </c>
      <c r="N3006" t="s">
        <v>42669</v>
      </c>
      <c r="O3006" t="s">
        <v>42670</v>
      </c>
      <c r="P3006">
        <v>0</v>
      </c>
      <c r="Q3006">
        <v>0</v>
      </c>
      <c r="R3006" t="s">
        <v>42675</v>
      </c>
      <c r="S3006" t="s">
        <v>42807</v>
      </c>
      <c r="T3006" t="s">
        <v>44375</v>
      </c>
      <c r="U3006" t="s">
        <v>46577</v>
      </c>
      <c r="W3006" t="s">
        <v>39634</v>
      </c>
      <c r="X3006" t="s">
        <v>42671</v>
      </c>
    </row>
    <row r="3007" spans="1:24">
      <c r="A3007">
        <f>HYPERLINK("https://www.philgeps.gov.ph/GEPSNONPILOT/Tender/SplashBidNoticeAbstractUI.aspx?menuIndex=3&amp;refID=7197631&amp;Result=3","7197631")</f>
        <v>0</v>
      </c>
      <c r="B3007" t="s">
        <v>1132</v>
      </c>
      <c r="C3007" t="s">
        <v>6391</v>
      </c>
      <c r="D3007" t="s">
        <v>17204</v>
      </c>
      <c r="E3007" t="s">
        <v>19901</v>
      </c>
      <c r="F3007" t="s">
        <v>29372</v>
      </c>
      <c r="G3007" t="s">
        <v>29379</v>
      </c>
      <c r="H3007" t="s">
        <v>11048</v>
      </c>
      <c r="I3007" t="s">
        <v>29423</v>
      </c>
      <c r="J3007" t="s">
        <v>29549</v>
      </c>
      <c r="K3007" t="s">
        <v>38488</v>
      </c>
      <c r="M3007" t="s">
        <v>39951</v>
      </c>
      <c r="N3007" t="s">
        <v>42669</v>
      </c>
      <c r="O3007" t="s">
        <v>42670</v>
      </c>
      <c r="P3007">
        <v>0</v>
      </c>
      <c r="Q3007">
        <v>0</v>
      </c>
      <c r="R3007" t="s">
        <v>42675</v>
      </c>
      <c r="S3007" t="s">
        <v>42807</v>
      </c>
      <c r="T3007" t="s">
        <v>44470</v>
      </c>
      <c r="U3007" t="s">
        <v>47306</v>
      </c>
      <c r="W3007" t="s">
        <v>39951</v>
      </c>
      <c r="X3007" t="s">
        <v>42671</v>
      </c>
    </row>
    <row r="3008" spans="1:24">
      <c r="A3008">
        <f>HYPERLINK("https://www.philgeps.gov.ph/GEPSNONPILOT/Tender/SplashBidNoticeAbstractUI.aspx?menuIndex=3&amp;refID=7197629&amp;Result=3","7197629")</f>
        <v>0</v>
      </c>
      <c r="B3008" t="s">
        <v>608</v>
      </c>
      <c r="C3008" t="s">
        <v>6392</v>
      </c>
      <c r="D3008" t="s">
        <v>17189</v>
      </c>
      <c r="E3008" t="s">
        <v>19902</v>
      </c>
      <c r="F3008" t="s">
        <v>29372</v>
      </c>
      <c r="G3008" t="s">
        <v>29382</v>
      </c>
      <c r="H3008" t="s">
        <v>11048</v>
      </c>
      <c r="I3008" t="s">
        <v>3629</v>
      </c>
      <c r="J3008" t="s">
        <v>31592</v>
      </c>
      <c r="K3008" t="s">
        <v>38488</v>
      </c>
      <c r="M3008" t="s">
        <v>39379</v>
      </c>
      <c r="N3008" t="s">
        <v>42669</v>
      </c>
      <c r="O3008" t="s">
        <v>42670</v>
      </c>
      <c r="P3008">
        <v>0</v>
      </c>
      <c r="Q3008">
        <v>0</v>
      </c>
      <c r="R3008" t="s">
        <v>42675</v>
      </c>
      <c r="S3008" t="s">
        <v>42807</v>
      </c>
      <c r="T3008" t="s">
        <v>44409</v>
      </c>
      <c r="U3008" t="s">
        <v>46145</v>
      </c>
      <c r="W3008" t="s">
        <v>39379</v>
      </c>
      <c r="X3008" t="s">
        <v>42671</v>
      </c>
    </row>
    <row r="3009" spans="1:24">
      <c r="A3009">
        <f>HYPERLINK("https://www.philgeps.gov.ph/GEPSNONPILOT/Tender/SplashBidNoticeAbstractUI.aspx?menuIndex=3&amp;refID=7197628&amp;Result=3","7197628")</f>
        <v>0</v>
      </c>
      <c r="B3009" t="s">
        <v>1136</v>
      </c>
      <c r="C3009" t="s">
        <v>6393</v>
      </c>
      <c r="D3009" t="s">
        <v>17145</v>
      </c>
      <c r="E3009" t="s">
        <v>19903</v>
      </c>
      <c r="F3009" t="s">
        <v>29372</v>
      </c>
      <c r="G3009" t="s">
        <v>29379</v>
      </c>
      <c r="H3009" t="s">
        <v>11048</v>
      </c>
      <c r="I3009" t="s">
        <v>7828</v>
      </c>
      <c r="J3009" t="s">
        <v>31593</v>
      </c>
      <c r="K3009" t="s">
        <v>38491</v>
      </c>
      <c r="L3009" t="s">
        <v>1136</v>
      </c>
      <c r="M3009" t="s">
        <v>39948</v>
      </c>
      <c r="N3009" t="s">
        <v>42669</v>
      </c>
      <c r="O3009" t="s">
        <v>42670</v>
      </c>
      <c r="P3009">
        <v>0</v>
      </c>
      <c r="Q3009">
        <v>0</v>
      </c>
      <c r="R3009" t="s">
        <v>42675</v>
      </c>
      <c r="S3009" t="s">
        <v>42807</v>
      </c>
      <c r="T3009" t="s">
        <v>44436</v>
      </c>
      <c r="U3009" t="s">
        <v>47307</v>
      </c>
      <c r="V3009" t="s">
        <v>56638</v>
      </c>
      <c r="W3009" t="s">
        <v>58034</v>
      </c>
      <c r="X3009" t="s">
        <v>42671</v>
      </c>
    </row>
    <row r="3010" spans="1:24">
      <c r="A3010">
        <f>HYPERLINK("https://www.philgeps.gov.ph/GEPSNONPILOT/Tender/SplashBidNoticeAbstractUI.aspx?menuIndex=3&amp;refID=7197626&amp;Result=3","7197626")</f>
        <v>0</v>
      </c>
      <c r="B3010" t="s">
        <v>1139</v>
      </c>
      <c r="C3010" t="s">
        <v>6378</v>
      </c>
      <c r="D3010" t="s">
        <v>17141</v>
      </c>
      <c r="E3010" t="s">
        <v>19904</v>
      </c>
      <c r="F3010" t="s">
        <v>29372</v>
      </c>
      <c r="G3010" t="s">
        <v>29380</v>
      </c>
      <c r="H3010" t="s">
        <v>11048</v>
      </c>
      <c r="I3010" t="s">
        <v>3670</v>
      </c>
      <c r="J3010" t="s">
        <v>30036</v>
      </c>
      <c r="K3010" t="s">
        <v>38489</v>
      </c>
      <c r="M3010" t="s">
        <v>39952</v>
      </c>
      <c r="N3010" t="s">
        <v>42669</v>
      </c>
      <c r="O3010" t="s">
        <v>42670</v>
      </c>
      <c r="P3010">
        <v>0</v>
      </c>
      <c r="Q3010">
        <v>0</v>
      </c>
      <c r="R3010" t="s">
        <v>42675</v>
      </c>
      <c r="S3010" t="s">
        <v>42807</v>
      </c>
      <c r="T3010" t="s">
        <v>44375</v>
      </c>
      <c r="U3010" t="s">
        <v>47308</v>
      </c>
      <c r="W3010" t="s">
        <v>39952</v>
      </c>
      <c r="X3010" t="s">
        <v>42671</v>
      </c>
    </row>
    <row r="3011" spans="1:24">
      <c r="A3011">
        <f>HYPERLINK("https://www.philgeps.gov.ph/GEPSNONPILOT/Tender/SplashBidNoticeAbstractUI.aspx?menuIndex=3&amp;refID=7197597&amp;Result=3","7197597")</f>
        <v>0</v>
      </c>
      <c r="B3011" t="s">
        <v>1140</v>
      </c>
      <c r="C3011" t="s">
        <v>6394</v>
      </c>
      <c r="D3011" t="s">
        <v>17172</v>
      </c>
      <c r="E3011" t="s">
        <v>19855</v>
      </c>
      <c r="F3011" t="s">
        <v>29372</v>
      </c>
      <c r="G3011" t="s">
        <v>29380</v>
      </c>
      <c r="H3011" t="s">
        <v>11048</v>
      </c>
      <c r="I3011" t="s">
        <v>29393</v>
      </c>
      <c r="J3011" t="s">
        <v>29587</v>
      </c>
      <c r="K3011" t="s">
        <v>38510</v>
      </c>
      <c r="M3011" t="s">
        <v>39953</v>
      </c>
      <c r="N3011" t="s">
        <v>42669</v>
      </c>
      <c r="O3011" t="s">
        <v>42670</v>
      </c>
      <c r="P3011">
        <v>0</v>
      </c>
      <c r="Q3011">
        <v>0</v>
      </c>
      <c r="R3011" t="s">
        <v>42675</v>
      </c>
      <c r="S3011" t="s">
        <v>42807</v>
      </c>
      <c r="T3011" t="s">
        <v>44364</v>
      </c>
      <c r="U3011" t="s">
        <v>47309</v>
      </c>
      <c r="W3011" t="s">
        <v>39953</v>
      </c>
      <c r="X3011" t="s">
        <v>42671</v>
      </c>
    </row>
    <row r="3012" spans="1:24">
      <c r="A3012">
        <f>HYPERLINK("https://www.philgeps.gov.ph/GEPSNONPILOT/Tender/SplashBidNoticeAbstractUI.aspx?menuIndex=3&amp;refID=7197625&amp;Result=3","7197625")</f>
        <v>0</v>
      </c>
      <c r="B3012" t="s">
        <v>404</v>
      </c>
      <c r="C3012" t="s">
        <v>6395</v>
      </c>
      <c r="D3012" t="s">
        <v>17180</v>
      </c>
      <c r="E3012" t="s">
        <v>19905</v>
      </c>
      <c r="F3012" t="s">
        <v>29372</v>
      </c>
      <c r="G3012" t="s">
        <v>29380</v>
      </c>
      <c r="H3012" t="s">
        <v>29389</v>
      </c>
      <c r="I3012" t="s">
        <v>10408</v>
      </c>
      <c r="J3012" t="s">
        <v>31594</v>
      </c>
      <c r="K3012" t="s">
        <v>38522</v>
      </c>
      <c r="L3012" t="s">
        <v>404</v>
      </c>
      <c r="M3012" t="s">
        <v>39168</v>
      </c>
      <c r="N3012" t="s">
        <v>42669</v>
      </c>
      <c r="O3012" t="s">
        <v>42670</v>
      </c>
      <c r="P3012">
        <v>0</v>
      </c>
      <c r="Q3012">
        <v>0</v>
      </c>
      <c r="R3012" t="s">
        <v>42675</v>
      </c>
      <c r="S3012" t="s">
        <v>42807</v>
      </c>
      <c r="T3012" t="s">
        <v>44619</v>
      </c>
      <c r="U3012" t="s">
        <v>47310</v>
      </c>
      <c r="W3012" t="s">
        <v>39168</v>
      </c>
      <c r="X3012" t="s">
        <v>42671</v>
      </c>
    </row>
    <row r="3013" spans="1:24">
      <c r="A3013">
        <f>HYPERLINK("https://www.philgeps.gov.ph/GEPSNONPILOT/Tender/SplashBidNoticeAbstractUI.aspx?menuIndex=3&amp;refID=7197624&amp;Result=3","7197624")</f>
        <v>0</v>
      </c>
      <c r="B3013" t="s">
        <v>608</v>
      </c>
      <c r="C3013" t="s">
        <v>6396</v>
      </c>
      <c r="D3013" t="s">
        <v>17189</v>
      </c>
      <c r="E3013" t="s">
        <v>19906</v>
      </c>
      <c r="F3013" t="s">
        <v>29372</v>
      </c>
      <c r="G3013" t="s">
        <v>29382</v>
      </c>
      <c r="H3013" t="s">
        <v>11048</v>
      </c>
      <c r="I3013" t="s">
        <v>3629</v>
      </c>
      <c r="J3013" t="s">
        <v>30130</v>
      </c>
      <c r="K3013" t="s">
        <v>38488</v>
      </c>
      <c r="M3013" t="s">
        <v>39379</v>
      </c>
      <c r="N3013" t="s">
        <v>42669</v>
      </c>
      <c r="O3013" t="s">
        <v>42670</v>
      </c>
      <c r="P3013">
        <v>0</v>
      </c>
      <c r="Q3013">
        <v>0</v>
      </c>
      <c r="R3013" t="s">
        <v>42675</v>
      </c>
      <c r="S3013" t="s">
        <v>42807</v>
      </c>
      <c r="T3013" t="s">
        <v>44409</v>
      </c>
      <c r="U3013" t="s">
        <v>46145</v>
      </c>
      <c r="W3013" t="s">
        <v>39379</v>
      </c>
      <c r="X3013" t="s">
        <v>42671</v>
      </c>
    </row>
    <row r="3014" spans="1:24">
      <c r="A3014">
        <f>HYPERLINK("https://www.philgeps.gov.ph/GEPSNONPILOT/Tender/SplashBidNoticeAbstractUI.aspx?menuIndex=3&amp;refID=7197622&amp;Result=3","7197622")</f>
        <v>0</v>
      </c>
      <c r="B3014" t="s">
        <v>1060</v>
      </c>
      <c r="C3014" t="s">
        <v>6397</v>
      </c>
      <c r="D3014" t="s">
        <v>17201</v>
      </c>
      <c r="E3014" t="s">
        <v>19907</v>
      </c>
      <c r="F3014" t="s">
        <v>29372</v>
      </c>
      <c r="G3014" t="s">
        <v>29380</v>
      </c>
      <c r="H3014" t="s">
        <v>29389</v>
      </c>
      <c r="I3014" t="s">
        <v>10408</v>
      </c>
      <c r="J3014" t="s">
        <v>31595</v>
      </c>
      <c r="K3014" t="s">
        <v>38531</v>
      </c>
      <c r="M3014" t="s">
        <v>39867</v>
      </c>
      <c r="N3014" t="s">
        <v>42669</v>
      </c>
      <c r="O3014" t="s">
        <v>42670</v>
      </c>
      <c r="P3014">
        <v>0</v>
      </c>
      <c r="Q3014">
        <v>0</v>
      </c>
      <c r="R3014" t="s">
        <v>42675</v>
      </c>
      <c r="S3014" t="s">
        <v>42807</v>
      </c>
      <c r="T3014" t="s">
        <v>44415</v>
      </c>
      <c r="U3014" t="s">
        <v>47311</v>
      </c>
      <c r="W3014" t="s">
        <v>39867</v>
      </c>
      <c r="X3014" t="s">
        <v>42671</v>
      </c>
    </row>
    <row r="3015" spans="1:24">
      <c r="A3015">
        <f>HYPERLINK("https://www.philgeps.gov.ph/GEPSNONPILOT/Tender/SplashBidNoticeAbstractUI.aspx?menuIndex=3&amp;refID=7197630&amp;Result=3","7197630")</f>
        <v>0</v>
      </c>
      <c r="B3015" t="s">
        <v>1137</v>
      </c>
      <c r="C3015" t="s">
        <v>6398</v>
      </c>
      <c r="D3015" t="s">
        <v>17193</v>
      </c>
      <c r="E3015" t="s">
        <v>19908</v>
      </c>
      <c r="F3015" t="s">
        <v>29372</v>
      </c>
      <c r="G3015" t="s">
        <v>29380</v>
      </c>
      <c r="H3015" t="s">
        <v>29389</v>
      </c>
      <c r="I3015" t="s">
        <v>10408</v>
      </c>
      <c r="J3015" t="s">
        <v>29615</v>
      </c>
      <c r="K3015" t="s">
        <v>38600</v>
      </c>
      <c r="M3015" t="s">
        <v>39949</v>
      </c>
      <c r="N3015" t="s">
        <v>42669</v>
      </c>
      <c r="O3015" t="s">
        <v>42670</v>
      </c>
      <c r="P3015">
        <v>0</v>
      </c>
      <c r="Q3015">
        <v>0</v>
      </c>
      <c r="R3015" t="s">
        <v>42675</v>
      </c>
      <c r="S3015" t="s">
        <v>42807</v>
      </c>
      <c r="T3015" t="s">
        <v>44407</v>
      </c>
      <c r="U3015" t="s">
        <v>47312</v>
      </c>
      <c r="V3015" t="s">
        <v>56639</v>
      </c>
      <c r="W3015" t="s">
        <v>39949</v>
      </c>
      <c r="X3015" t="s">
        <v>42671</v>
      </c>
    </row>
    <row r="3016" spans="1:24">
      <c r="A3016">
        <f>HYPERLINK("https://www.philgeps.gov.ph/GEPSNONPILOT/Tender/SplashBidNoticeAbstractUI.aspx?menuIndex=3&amp;refID=7197621&amp;Result=3","7197621")</f>
        <v>0</v>
      </c>
      <c r="B3016" t="s">
        <v>844</v>
      </c>
      <c r="C3016" t="s">
        <v>6399</v>
      </c>
      <c r="D3016" t="s">
        <v>17143</v>
      </c>
      <c r="E3016" t="s">
        <v>19909</v>
      </c>
      <c r="F3016" t="s">
        <v>29372</v>
      </c>
      <c r="G3016" t="s">
        <v>29379</v>
      </c>
      <c r="H3016" t="s">
        <v>11048</v>
      </c>
      <c r="I3016" t="s">
        <v>29401</v>
      </c>
      <c r="J3016" t="s">
        <v>29587</v>
      </c>
      <c r="K3016" t="s">
        <v>38491</v>
      </c>
      <c r="M3016" t="s">
        <v>39634</v>
      </c>
      <c r="N3016" t="s">
        <v>42669</v>
      </c>
      <c r="O3016" t="s">
        <v>42670</v>
      </c>
      <c r="P3016">
        <v>0</v>
      </c>
      <c r="Q3016">
        <v>0</v>
      </c>
      <c r="R3016" t="s">
        <v>42675</v>
      </c>
      <c r="S3016" t="s">
        <v>42807</v>
      </c>
      <c r="T3016" t="s">
        <v>44375</v>
      </c>
      <c r="U3016" t="s">
        <v>46577</v>
      </c>
      <c r="W3016" t="s">
        <v>39634</v>
      </c>
      <c r="X3016" t="s">
        <v>42671</v>
      </c>
    </row>
    <row r="3017" spans="1:24">
      <c r="A3017">
        <f>HYPERLINK("https://www.philgeps.gov.ph/GEPSNONPILOT/Tender/SplashBidNoticeAbstractUI.aspx?menuIndex=3&amp;refID=7197627&amp;Result=3","7197627")</f>
        <v>0</v>
      </c>
      <c r="B3017" t="s">
        <v>1141</v>
      </c>
      <c r="C3017" t="s">
        <v>6400</v>
      </c>
      <c r="D3017" t="s">
        <v>17141</v>
      </c>
      <c r="E3017" t="s">
        <v>19910</v>
      </c>
      <c r="F3017" t="s">
        <v>29372</v>
      </c>
      <c r="G3017" t="s">
        <v>29383</v>
      </c>
      <c r="H3017" t="s">
        <v>11048</v>
      </c>
      <c r="I3017" t="s">
        <v>4487</v>
      </c>
      <c r="J3017" t="s">
        <v>30789</v>
      </c>
      <c r="K3017" t="s">
        <v>38538</v>
      </c>
      <c r="M3017" t="s">
        <v>39954</v>
      </c>
      <c r="N3017" t="s">
        <v>42669</v>
      </c>
      <c r="O3017" t="s">
        <v>42670</v>
      </c>
      <c r="P3017">
        <v>0</v>
      </c>
      <c r="Q3017">
        <v>1</v>
      </c>
      <c r="R3017" t="s">
        <v>42675</v>
      </c>
      <c r="S3017" t="s">
        <v>42807</v>
      </c>
      <c r="T3017" t="s">
        <v>44399</v>
      </c>
      <c r="U3017" t="s">
        <v>47313</v>
      </c>
      <c r="W3017" t="s">
        <v>39954</v>
      </c>
      <c r="X3017" t="s">
        <v>42671</v>
      </c>
    </row>
    <row r="3018" spans="1:24">
      <c r="A3018">
        <f>HYPERLINK("https://www.philgeps.gov.ph/GEPSNONPILOT/Tender/SplashBidNoticeAbstractUI.aspx?menuIndex=3&amp;refID=7197619&amp;Result=3","7197619")</f>
        <v>0</v>
      </c>
      <c r="B3018" t="s">
        <v>1142</v>
      </c>
      <c r="C3018" t="s">
        <v>6401</v>
      </c>
      <c r="D3018" t="s">
        <v>17171</v>
      </c>
      <c r="E3018" t="s">
        <v>17269</v>
      </c>
      <c r="F3018" t="s">
        <v>29372</v>
      </c>
      <c r="G3018" t="s">
        <v>29380</v>
      </c>
      <c r="H3018" t="s">
        <v>11048</v>
      </c>
      <c r="I3018" t="s">
        <v>4487</v>
      </c>
      <c r="J3018" t="s">
        <v>31596</v>
      </c>
      <c r="K3018" t="s">
        <v>38534</v>
      </c>
      <c r="M3018" t="s">
        <v>39955</v>
      </c>
      <c r="N3018" t="s">
        <v>42669</v>
      </c>
      <c r="O3018" t="s">
        <v>42670</v>
      </c>
      <c r="P3018">
        <v>0</v>
      </c>
      <c r="Q3018">
        <v>0</v>
      </c>
      <c r="R3018" t="s">
        <v>42675</v>
      </c>
      <c r="S3018" t="s">
        <v>42807</v>
      </c>
      <c r="T3018" t="s">
        <v>44487</v>
      </c>
      <c r="U3018" t="s">
        <v>47314</v>
      </c>
      <c r="W3018" t="s">
        <v>39955</v>
      </c>
      <c r="X3018" t="s">
        <v>42671</v>
      </c>
    </row>
    <row r="3019" spans="1:24">
      <c r="A3019">
        <f>HYPERLINK("https://www.philgeps.gov.ph/GEPSNONPILOT/Tender/SplashBidNoticeAbstractUI.aspx?menuIndex=3&amp;refID=7197618&amp;Result=3","7197618")</f>
        <v>0</v>
      </c>
      <c r="B3019" t="s">
        <v>844</v>
      </c>
      <c r="C3019" t="s">
        <v>6402</v>
      </c>
      <c r="D3019" t="s">
        <v>17143</v>
      </c>
      <c r="E3019" t="s">
        <v>19911</v>
      </c>
      <c r="F3019" t="s">
        <v>29372</v>
      </c>
      <c r="G3019" t="s">
        <v>29379</v>
      </c>
      <c r="H3019" t="s">
        <v>11048</v>
      </c>
      <c r="I3019" t="s">
        <v>29401</v>
      </c>
      <c r="J3019" t="s">
        <v>30302</v>
      </c>
      <c r="K3019" t="s">
        <v>38491</v>
      </c>
      <c r="M3019" t="s">
        <v>39634</v>
      </c>
      <c r="N3019" t="s">
        <v>42669</v>
      </c>
      <c r="O3019" t="s">
        <v>42670</v>
      </c>
      <c r="P3019">
        <v>0</v>
      </c>
      <c r="Q3019">
        <v>0</v>
      </c>
      <c r="R3019" t="s">
        <v>42675</v>
      </c>
      <c r="S3019" t="s">
        <v>42807</v>
      </c>
      <c r="T3019" t="s">
        <v>44375</v>
      </c>
      <c r="U3019" t="s">
        <v>46577</v>
      </c>
      <c r="W3019" t="s">
        <v>39634</v>
      </c>
      <c r="X3019" t="s">
        <v>42671</v>
      </c>
    </row>
    <row r="3020" spans="1:24">
      <c r="A3020">
        <f>HYPERLINK("https://www.philgeps.gov.ph/GEPSNONPILOT/Tender/SplashBidNoticeAbstractUI.aspx?menuIndex=3&amp;refID=7197617&amp;Result=3","7197617")</f>
        <v>0</v>
      </c>
      <c r="B3020" t="s">
        <v>1132</v>
      </c>
      <c r="C3020" t="s">
        <v>6403</v>
      </c>
      <c r="D3020" t="s">
        <v>17204</v>
      </c>
      <c r="E3020" t="s">
        <v>19912</v>
      </c>
      <c r="F3020" t="s">
        <v>29372</v>
      </c>
      <c r="G3020" t="s">
        <v>29380</v>
      </c>
      <c r="H3020" t="s">
        <v>29389</v>
      </c>
      <c r="I3020" t="s">
        <v>10408</v>
      </c>
      <c r="J3020" t="s">
        <v>31597</v>
      </c>
      <c r="K3020" t="s">
        <v>38522</v>
      </c>
      <c r="M3020" t="s">
        <v>39944</v>
      </c>
      <c r="N3020" t="s">
        <v>42669</v>
      </c>
      <c r="O3020" t="s">
        <v>42670</v>
      </c>
      <c r="P3020">
        <v>0</v>
      </c>
      <c r="Q3020">
        <v>0</v>
      </c>
      <c r="R3020" t="s">
        <v>42675</v>
      </c>
      <c r="S3020" t="s">
        <v>42807</v>
      </c>
      <c r="T3020" t="s">
        <v>44618</v>
      </c>
      <c r="U3020" t="s">
        <v>47315</v>
      </c>
      <c r="W3020" t="s">
        <v>39944</v>
      </c>
      <c r="X3020" t="s">
        <v>42671</v>
      </c>
    </row>
    <row r="3021" spans="1:24">
      <c r="A3021">
        <f>HYPERLINK("https://www.philgeps.gov.ph/GEPSNONPILOT/Tender/SplashBidNoticeAbstractUI.aspx?menuIndex=3&amp;refID=7197616&amp;Result=3","7197616")</f>
        <v>0</v>
      </c>
      <c r="B3021" t="s">
        <v>1143</v>
      </c>
      <c r="C3021" t="s">
        <v>4709</v>
      </c>
      <c r="D3021" t="s">
        <v>17160</v>
      </c>
      <c r="E3021" t="s">
        <v>19913</v>
      </c>
      <c r="F3021" t="s">
        <v>29372</v>
      </c>
      <c r="G3021" t="s">
        <v>29380</v>
      </c>
      <c r="H3021" t="s">
        <v>11048</v>
      </c>
      <c r="I3021" t="s">
        <v>4709</v>
      </c>
      <c r="J3021" t="s">
        <v>29708</v>
      </c>
      <c r="K3021" t="s">
        <v>38491</v>
      </c>
      <c r="M3021" t="s">
        <v>39956</v>
      </c>
      <c r="N3021" t="s">
        <v>42669</v>
      </c>
      <c r="O3021" t="s">
        <v>42670</v>
      </c>
      <c r="P3021">
        <v>0</v>
      </c>
      <c r="Q3021">
        <v>0</v>
      </c>
      <c r="R3021" t="s">
        <v>42675</v>
      </c>
      <c r="S3021" t="s">
        <v>42807</v>
      </c>
      <c r="T3021" t="s">
        <v>44364</v>
      </c>
      <c r="U3021" t="s">
        <v>47316</v>
      </c>
      <c r="W3021" t="s">
        <v>39956</v>
      </c>
      <c r="X3021" t="s">
        <v>42671</v>
      </c>
    </row>
    <row r="3022" spans="1:24">
      <c r="A3022">
        <f>HYPERLINK("https://www.philgeps.gov.ph/GEPSNONPILOT/Tender/SplashBidNoticeAbstractUI.aspx?menuIndex=3&amp;refID=7197605&amp;Result=3","7197605")</f>
        <v>0</v>
      </c>
      <c r="B3022" t="s">
        <v>1144</v>
      </c>
      <c r="C3022" t="s">
        <v>6404</v>
      </c>
      <c r="D3022" t="s">
        <v>17145</v>
      </c>
      <c r="E3022" t="s">
        <v>19914</v>
      </c>
      <c r="F3022" t="s">
        <v>29372</v>
      </c>
      <c r="G3022" t="s">
        <v>29380</v>
      </c>
      <c r="H3022" t="s">
        <v>29389</v>
      </c>
      <c r="I3022" t="s">
        <v>10408</v>
      </c>
      <c r="J3022" t="s">
        <v>31598</v>
      </c>
      <c r="K3022" t="s">
        <v>38521</v>
      </c>
      <c r="M3022" t="s">
        <v>39957</v>
      </c>
      <c r="N3022" t="s">
        <v>42669</v>
      </c>
      <c r="O3022" t="s">
        <v>42670</v>
      </c>
      <c r="P3022">
        <v>0</v>
      </c>
      <c r="Q3022">
        <v>0</v>
      </c>
      <c r="R3022" t="s">
        <v>42675</v>
      </c>
      <c r="S3022" t="s">
        <v>42807</v>
      </c>
      <c r="T3022" t="s">
        <v>44620</v>
      </c>
      <c r="U3022" t="s">
        <v>47317</v>
      </c>
      <c r="W3022" t="s">
        <v>39957</v>
      </c>
      <c r="X3022" t="s">
        <v>42671</v>
      </c>
    </row>
    <row r="3023" spans="1:24">
      <c r="A3023">
        <f>HYPERLINK("https://www.philgeps.gov.ph/GEPSNONPILOT/Tender/SplashBidNoticeAbstractUI.aspx?menuIndex=3&amp;refID=7197615&amp;Result=3","7197615")</f>
        <v>0</v>
      </c>
      <c r="B3023" t="s">
        <v>1145</v>
      </c>
      <c r="C3023" t="s">
        <v>6378</v>
      </c>
      <c r="D3023" t="s">
        <v>17141</v>
      </c>
      <c r="E3023" t="s">
        <v>17743</v>
      </c>
      <c r="F3023" t="s">
        <v>29372</v>
      </c>
      <c r="G3023" t="s">
        <v>29380</v>
      </c>
      <c r="H3023" t="s">
        <v>11048</v>
      </c>
      <c r="I3023" t="s">
        <v>3670</v>
      </c>
      <c r="J3023" t="s">
        <v>31599</v>
      </c>
      <c r="K3023" t="s">
        <v>38489</v>
      </c>
      <c r="M3023" t="s">
        <v>39958</v>
      </c>
      <c r="N3023" t="s">
        <v>42669</v>
      </c>
      <c r="O3023" t="s">
        <v>42670</v>
      </c>
      <c r="P3023">
        <v>0</v>
      </c>
      <c r="Q3023">
        <v>0</v>
      </c>
      <c r="R3023" t="s">
        <v>42675</v>
      </c>
      <c r="S3023" t="s">
        <v>42807</v>
      </c>
      <c r="T3023" t="s">
        <v>44375</v>
      </c>
      <c r="U3023" t="s">
        <v>47318</v>
      </c>
      <c r="W3023" t="s">
        <v>39958</v>
      </c>
      <c r="X3023" t="s">
        <v>42671</v>
      </c>
    </row>
    <row r="3024" spans="1:24">
      <c r="A3024">
        <f>HYPERLINK("https://www.philgeps.gov.ph/GEPSNONPILOT/Tender/SplashBidNoticeAbstractUI.aspx?menuIndex=3&amp;refID=7197614&amp;Result=3","7197614")</f>
        <v>0</v>
      </c>
      <c r="B3024" t="s">
        <v>844</v>
      </c>
      <c r="C3024" t="s">
        <v>6405</v>
      </c>
      <c r="D3024" t="s">
        <v>17143</v>
      </c>
      <c r="E3024" t="s">
        <v>19915</v>
      </c>
      <c r="F3024" t="s">
        <v>29372</v>
      </c>
      <c r="G3024" t="s">
        <v>29379</v>
      </c>
      <c r="H3024" t="s">
        <v>11048</v>
      </c>
      <c r="I3024" t="s">
        <v>29428</v>
      </c>
      <c r="J3024" t="s">
        <v>31600</v>
      </c>
      <c r="K3024" t="s">
        <v>38491</v>
      </c>
      <c r="M3024" t="s">
        <v>39634</v>
      </c>
      <c r="N3024" t="s">
        <v>42669</v>
      </c>
      <c r="O3024" t="s">
        <v>42670</v>
      </c>
      <c r="P3024">
        <v>0</v>
      </c>
      <c r="Q3024">
        <v>0</v>
      </c>
      <c r="R3024" t="s">
        <v>42675</v>
      </c>
      <c r="S3024" t="s">
        <v>42807</v>
      </c>
      <c r="T3024" t="s">
        <v>44375</v>
      </c>
      <c r="U3024" t="s">
        <v>46577</v>
      </c>
      <c r="W3024" t="s">
        <v>39634</v>
      </c>
      <c r="X3024" t="s">
        <v>42671</v>
      </c>
    </row>
    <row r="3025" spans="1:24">
      <c r="A3025">
        <f>HYPERLINK("https://www.philgeps.gov.ph/GEPSNONPILOT/Tender/SplashBidNoticeAbstractUI.aspx?menuIndex=3&amp;refID=7197648&amp;Result=3","7197648")</f>
        <v>0</v>
      </c>
      <c r="B3025" t="s">
        <v>1085</v>
      </c>
      <c r="C3025" t="s">
        <v>6406</v>
      </c>
      <c r="E3025" t="s">
        <v>19916</v>
      </c>
      <c r="F3025" t="s">
        <v>29372</v>
      </c>
      <c r="G3025" t="s">
        <v>29379</v>
      </c>
      <c r="H3025" t="s">
        <v>11048</v>
      </c>
      <c r="I3025" t="s">
        <v>29433</v>
      </c>
      <c r="J3025" t="s">
        <v>30398</v>
      </c>
      <c r="K3025" t="s">
        <v>38490</v>
      </c>
      <c r="M3025" t="s">
        <v>39959</v>
      </c>
      <c r="N3025" t="s">
        <v>42669</v>
      </c>
      <c r="O3025" t="s">
        <v>42670</v>
      </c>
      <c r="P3025">
        <v>0</v>
      </c>
      <c r="Q3025">
        <v>0</v>
      </c>
      <c r="R3025" t="s">
        <v>42675</v>
      </c>
      <c r="S3025" t="s">
        <v>42807</v>
      </c>
      <c r="T3025" t="s">
        <v>44470</v>
      </c>
      <c r="U3025" t="s">
        <v>47319</v>
      </c>
      <c r="W3025" t="s">
        <v>39959</v>
      </c>
      <c r="X3025" t="s">
        <v>42671</v>
      </c>
    </row>
    <row r="3026" spans="1:24">
      <c r="A3026">
        <f>HYPERLINK("https://www.philgeps.gov.ph/GEPSNONPILOT/Tender/SplashBidNoticeAbstractUI.aspx?menuIndex=3&amp;refID=7197646&amp;Result=3","7197646")</f>
        <v>0</v>
      </c>
      <c r="B3026" t="s">
        <v>1085</v>
      </c>
      <c r="C3026" t="s">
        <v>6407</v>
      </c>
      <c r="E3026" t="s">
        <v>6407</v>
      </c>
      <c r="F3026" t="s">
        <v>29372</v>
      </c>
      <c r="G3026" t="s">
        <v>29379</v>
      </c>
      <c r="H3026" t="s">
        <v>11048</v>
      </c>
      <c r="I3026" t="s">
        <v>29433</v>
      </c>
      <c r="J3026" t="s">
        <v>31601</v>
      </c>
      <c r="K3026" t="s">
        <v>38490</v>
      </c>
      <c r="M3026" t="s">
        <v>39959</v>
      </c>
      <c r="N3026" t="s">
        <v>42669</v>
      </c>
      <c r="O3026" t="s">
        <v>42670</v>
      </c>
      <c r="P3026">
        <v>0</v>
      </c>
      <c r="Q3026">
        <v>0</v>
      </c>
      <c r="R3026" t="s">
        <v>42675</v>
      </c>
      <c r="S3026" t="s">
        <v>42807</v>
      </c>
      <c r="T3026" t="s">
        <v>44470</v>
      </c>
      <c r="U3026" t="s">
        <v>47320</v>
      </c>
      <c r="W3026" t="s">
        <v>39959</v>
      </c>
      <c r="X3026" t="s">
        <v>42671</v>
      </c>
    </row>
    <row r="3027" spans="1:24">
      <c r="A3027">
        <f>HYPERLINK("https://www.philgeps.gov.ph/GEPSNONPILOT/Tender/SplashBidNoticeAbstractUI.aspx?menuIndex=3&amp;refID=7197645&amp;Result=3","7197645")</f>
        <v>0</v>
      </c>
      <c r="B3027" t="s">
        <v>844</v>
      </c>
      <c r="C3027" t="s">
        <v>6408</v>
      </c>
      <c r="D3027" t="s">
        <v>17143</v>
      </c>
      <c r="E3027" t="s">
        <v>19917</v>
      </c>
      <c r="F3027" t="s">
        <v>29372</v>
      </c>
      <c r="G3027" t="s">
        <v>29379</v>
      </c>
      <c r="H3027" t="s">
        <v>11048</v>
      </c>
      <c r="I3027" t="s">
        <v>4487</v>
      </c>
      <c r="J3027" t="s">
        <v>31602</v>
      </c>
      <c r="K3027" t="s">
        <v>38491</v>
      </c>
      <c r="M3027" t="s">
        <v>39634</v>
      </c>
      <c r="N3027" t="s">
        <v>42669</v>
      </c>
      <c r="O3027" t="s">
        <v>42670</v>
      </c>
      <c r="P3027">
        <v>0</v>
      </c>
      <c r="Q3027">
        <v>0</v>
      </c>
      <c r="R3027" t="s">
        <v>42675</v>
      </c>
      <c r="S3027" t="s">
        <v>42807</v>
      </c>
      <c r="T3027" t="s">
        <v>44375</v>
      </c>
      <c r="U3027" t="s">
        <v>46577</v>
      </c>
      <c r="W3027" t="s">
        <v>39634</v>
      </c>
      <c r="X3027" t="s">
        <v>42671</v>
      </c>
    </row>
    <row r="3028" spans="1:24">
      <c r="A3028">
        <f>HYPERLINK("https://www.philgeps.gov.ph/GEPSNONPILOT/Tender/SplashBidNoticeAbstractUI.aspx?menuIndex=3&amp;refID=7197620&amp;Result=3","7197620")</f>
        <v>0</v>
      </c>
      <c r="B3028" t="s">
        <v>539</v>
      </c>
      <c r="C3028" t="s">
        <v>6409</v>
      </c>
      <c r="D3028" t="s">
        <v>17141</v>
      </c>
      <c r="E3028" t="s">
        <v>19879</v>
      </c>
      <c r="F3028" t="s">
        <v>29372</v>
      </c>
      <c r="G3028" t="s">
        <v>29381</v>
      </c>
      <c r="H3028" t="s">
        <v>11048</v>
      </c>
      <c r="I3028" t="s">
        <v>29395</v>
      </c>
      <c r="J3028" t="s">
        <v>31603</v>
      </c>
      <c r="K3028" t="s">
        <v>38485</v>
      </c>
      <c r="M3028" t="s">
        <v>39939</v>
      </c>
      <c r="N3028" t="s">
        <v>42669</v>
      </c>
      <c r="O3028" t="s">
        <v>42670</v>
      </c>
      <c r="P3028">
        <v>0</v>
      </c>
      <c r="Q3028">
        <v>0</v>
      </c>
      <c r="R3028" t="s">
        <v>42675</v>
      </c>
      <c r="S3028" t="s">
        <v>42807</v>
      </c>
      <c r="T3028" t="s">
        <v>44383</v>
      </c>
      <c r="U3028" t="s">
        <v>47288</v>
      </c>
      <c r="W3028" t="s">
        <v>39939</v>
      </c>
      <c r="X3028" t="s">
        <v>42671</v>
      </c>
    </row>
    <row r="3029" spans="1:24">
      <c r="A3029">
        <f>HYPERLINK("https://www.philgeps.gov.ph/GEPSNONPILOT/Tender/SplashBidNoticeAbstractUI.aspx?menuIndex=3&amp;refID=7197643&amp;Result=3","7197643")</f>
        <v>0</v>
      </c>
      <c r="B3029" t="s">
        <v>1137</v>
      </c>
      <c r="C3029" t="s">
        <v>6410</v>
      </c>
      <c r="D3029" t="s">
        <v>17193</v>
      </c>
      <c r="E3029" t="s">
        <v>19918</v>
      </c>
      <c r="F3029" t="s">
        <v>29372</v>
      </c>
      <c r="G3029" t="s">
        <v>29380</v>
      </c>
      <c r="H3029" t="s">
        <v>11048</v>
      </c>
      <c r="I3029" t="s">
        <v>9642</v>
      </c>
      <c r="J3029" t="s">
        <v>31604</v>
      </c>
      <c r="K3029" t="s">
        <v>38490</v>
      </c>
      <c r="M3029" t="s">
        <v>39949</v>
      </c>
      <c r="N3029" t="s">
        <v>42669</v>
      </c>
      <c r="O3029" t="s">
        <v>42670</v>
      </c>
      <c r="P3029">
        <v>0</v>
      </c>
      <c r="Q3029">
        <v>0</v>
      </c>
      <c r="R3029" t="s">
        <v>42675</v>
      </c>
      <c r="S3029" t="s">
        <v>42807</v>
      </c>
      <c r="T3029" t="s">
        <v>44442</v>
      </c>
      <c r="U3029" t="s">
        <v>47304</v>
      </c>
      <c r="V3029" t="s">
        <v>56639</v>
      </c>
      <c r="W3029" t="s">
        <v>39949</v>
      </c>
      <c r="X3029" t="s">
        <v>42671</v>
      </c>
    </row>
    <row r="3030" spans="1:24">
      <c r="A3030">
        <f>HYPERLINK("https://www.philgeps.gov.ph/GEPSNONPILOT/Tender/SplashBidNoticeAbstractUI.aspx?menuIndex=3&amp;refID=7197641&amp;Result=3","7197641")</f>
        <v>0</v>
      </c>
      <c r="B3030" t="s">
        <v>844</v>
      </c>
      <c r="C3030" t="s">
        <v>6411</v>
      </c>
      <c r="D3030" t="s">
        <v>17143</v>
      </c>
      <c r="E3030" t="s">
        <v>19919</v>
      </c>
      <c r="F3030" t="s">
        <v>29372</v>
      </c>
      <c r="G3030" t="s">
        <v>29379</v>
      </c>
      <c r="H3030" t="s">
        <v>11048</v>
      </c>
      <c r="I3030" t="s">
        <v>29401</v>
      </c>
      <c r="J3030" t="s">
        <v>30427</v>
      </c>
      <c r="K3030" t="s">
        <v>38491</v>
      </c>
      <c r="M3030" t="s">
        <v>39634</v>
      </c>
      <c r="N3030" t="s">
        <v>42669</v>
      </c>
      <c r="O3030" t="s">
        <v>42670</v>
      </c>
      <c r="P3030">
        <v>0</v>
      </c>
      <c r="Q3030">
        <v>0</v>
      </c>
      <c r="R3030" t="s">
        <v>42675</v>
      </c>
      <c r="S3030" t="s">
        <v>42807</v>
      </c>
      <c r="T3030" t="s">
        <v>44375</v>
      </c>
      <c r="U3030" t="s">
        <v>46577</v>
      </c>
      <c r="W3030" t="s">
        <v>39634</v>
      </c>
      <c r="X3030" t="s">
        <v>42671</v>
      </c>
    </row>
    <row r="3031" spans="1:24">
      <c r="A3031">
        <f>HYPERLINK("https://www.philgeps.gov.ph/GEPSNONPILOT/Tender/SplashBidNoticeAbstractUI.aspx?menuIndex=3&amp;refID=7197640&amp;Result=3","7197640")</f>
        <v>0</v>
      </c>
      <c r="B3031" t="s">
        <v>1060</v>
      </c>
      <c r="C3031" t="s">
        <v>6412</v>
      </c>
      <c r="D3031" t="s">
        <v>17201</v>
      </c>
      <c r="E3031" t="s">
        <v>19920</v>
      </c>
      <c r="F3031" t="s">
        <v>29372</v>
      </c>
      <c r="G3031" t="s">
        <v>29380</v>
      </c>
      <c r="H3031" t="s">
        <v>29389</v>
      </c>
      <c r="I3031" t="s">
        <v>10408</v>
      </c>
      <c r="J3031" t="s">
        <v>31605</v>
      </c>
      <c r="K3031" t="s">
        <v>38590</v>
      </c>
      <c r="M3031" t="s">
        <v>39867</v>
      </c>
      <c r="N3031" t="s">
        <v>42669</v>
      </c>
      <c r="O3031" t="s">
        <v>42670</v>
      </c>
      <c r="P3031">
        <v>0</v>
      </c>
      <c r="Q3031">
        <v>0</v>
      </c>
      <c r="R3031" t="s">
        <v>42675</v>
      </c>
      <c r="S3031" t="s">
        <v>42807</v>
      </c>
      <c r="T3031" t="s">
        <v>44415</v>
      </c>
      <c r="U3031" t="s">
        <v>47321</v>
      </c>
      <c r="W3031" t="s">
        <v>39867</v>
      </c>
      <c r="X3031" t="s">
        <v>42671</v>
      </c>
    </row>
    <row r="3032" spans="1:24">
      <c r="A3032">
        <f>HYPERLINK("https://www.philgeps.gov.ph/GEPSNONPILOT/Tender/SplashBidNoticeAbstractUI.aspx?menuIndex=3&amp;refID=7197623&amp;Result=3","7197623")</f>
        <v>0</v>
      </c>
      <c r="B3032" t="s">
        <v>1137</v>
      </c>
      <c r="C3032" t="s">
        <v>6413</v>
      </c>
      <c r="D3032" t="s">
        <v>17193</v>
      </c>
      <c r="E3032" t="s">
        <v>19921</v>
      </c>
      <c r="F3032" t="s">
        <v>29372</v>
      </c>
      <c r="G3032" t="s">
        <v>29380</v>
      </c>
      <c r="H3032" t="s">
        <v>29389</v>
      </c>
      <c r="I3032" t="s">
        <v>10408</v>
      </c>
      <c r="J3032" t="s">
        <v>30645</v>
      </c>
      <c r="K3032" t="s">
        <v>38539</v>
      </c>
      <c r="M3032" t="s">
        <v>39949</v>
      </c>
      <c r="N3032" t="s">
        <v>42669</v>
      </c>
      <c r="O3032" t="s">
        <v>42670</v>
      </c>
      <c r="P3032">
        <v>0</v>
      </c>
      <c r="Q3032">
        <v>0</v>
      </c>
      <c r="R3032" t="s">
        <v>42675</v>
      </c>
      <c r="S3032" t="s">
        <v>42807</v>
      </c>
      <c r="T3032" t="s">
        <v>44407</v>
      </c>
      <c r="U3032" t="s">
        <v>47322</v>
      </c>
      <c r="V3032" t="s">
        <v>56639</v>
      </c>
      <c r="W3032" t="s">
        <v>39949</v>
      </c>
      <c r="X3032" t="s">
        <v>42671</v>
      </c>
    </row>
    <row r="3033" spans="1:24">
      <c r="A3033">
        <f>HYPERLINK("https://www.philgeps.gov.ph/GEPSNONPILOT/Tender/SplashBidNoticeAbstractUI.aspx?menuIndex=3&amp;refID=7197638&amp;Result=3","7197638")</f>
        <v>0</v>
      </c>
      <c r="B3033" t="s">
        <v>1146</v>
      </c>
      <c r="C3033" t="s">
        <v>6414</v>
      </c>
      <c r="D3033" t="s">
        <v>17195</v>
      </c>
      <c r="E3033" t="s">
        <v>19922</v>
      </c>
      <c r="F3033" t="s">
        <v>29372</v>
      </c>
      <c r="G3033" t="s">
        <v>29379</v>
      </c>
      <c r="H3033" t="s">
        <v>11048</v>
      </c>
      <c r="I3033" t="s">
        <v>5383</v>
      </c>
      <c r="J3033" t="s">
        <v>29692</v>
      </c>
      <c r="K3033" t="s">
        <v>38488</v>
      </c>
      <c r="M3033" t="s">
        <v>39960</v>
      </c>
      <c r="N3033" t="s">
        <v>42669</v>
      </c>
      <c r="O3033" t="s">
        <v>42670</v>
      </c>
      <c r="P3033">
        <v>0</v>
      </c>
      <c r="Q3033">
        <v>0</v>
      </c>
      <c r="R3033" t="s">
        <v>42675</v>
      </c>
      <c r="S3033" t="s">
        <v>42807</v>
      </c>
      <c r="T3033" t="s">
        <v>44389</v>
      </c>
      <c r="U3033" t="s">
        <v>47323</v>
      </c>
      <c r="W3033" t="s">
        <v>39960</v>
      </c>
      <c r="X3033" t="s">
        <v>42671</v>
      </c>
    </row>
    <row r="3034" spans="1:24">
      <c r="A3034">
        <f>HYPERLINK("https://www.philgeps.gov.ph/GEPSNONPILOT/Tender/SplashBidNoticeAbstractUI.aspx?menuIndex=3&amp;refID=7197636&amp;Result=3","7197636")</f>
        <v>0</v>
      </c>
      <c r="B3034" t="s">
        <v>1135</v>
      </c>
      <c r="C3034" t="s">
        <v>6415</v>
      </c>
      <c r="D3034" t="s">
        <v>17171</v>
      </c>
      <c r="E3034" t="s">
        <v>19923</v>
      </c>
      <c r="F3034" t="s">
        <v>29372</v>
      </c>
      <c r="G3034" t="s">
        <v>29379</v>
      </c>
      <c r="H3034" t="s">
        <v>11048</v>
      </c>
      <c r="I3034" t="s">
        <v>29475</v>
      </c>
      <c r="J3034" t="s">
        <v>31606</v>
      </c>
      <c r="K3034" t="s">
        <v>38490</v>
      </c>
      <c r="M3034" t="s">
        <v>39947</v>
      </c>
      <c r="N3034" t="s">
        <v>42669</v>
      </c>
      <c r="O3034" t="s">
        <v>42670</v>
      </c>
      <c r="P3034">
        <v>0</v>
      </c>
      <c r="Q3034">
        <v>0</v>
      </c>
      <c r="R3034" t="s">
        <v>42675</v>
      </c>
      <c r="S3034" t="s">
        <v>42807</v>
      </c>
      <c r="T3034" t="s">
        <v>44426</v>
      </c>
      <c r="U3034" t="s">
        <v>47324</v>
      </c>
      <c r="W3034" t="s">
        <v>39947</v>
      </c>
      <c r="X3034" t="s">
        <v>42671</v>
      </c>
    </row>
    <row r="3035" spans="1:24">
      <c r="A3035">
        <f>HYPERLINK("https://www.philgeps.gov.ph/GEPSNONPILOT/Tender/SplashBidNoticeAbstractUI.aspx?menuIndex=3&amp;refID=7197642&amp;Result=3","7197642")</f>
        <v>0</v>
      </c>
      <c r="B3035" t="s">
        <v>1121</v>
      </c>
      <c r="C3035" t="s">
        <v>6416</v>
      </c>
      <c r="D3035" t="s">
        <v>17144</v>
      </c>
      <c r="E3035" t="s">
        <v>19924</v>
      </c>
      <c r="F3035" t="s">
        <v>29372</v>
      </c>
      <c r="G3035" t="s">
        <v>29379</v>
      </c>
      <c r="H3035" t="s">
        <v>11048</v>
      </c>
      <c r="I3035" t="s">
        <v>29434</v>
      </c>
      <c r="J3035" t="s">
        <v>31607</v>
      </c>
      <c r="K3035" t="s">
        <v>38534</v>
      </c>
      <c r="M3035" t="s">
        <v>39931</v>
      </c>
      <c r="N3035" t="s">
        <v>42669</v>
      </c>
      <c r="O3035" t="s">
        <v>42670</v>
      </c>
      <c r="P3035">
        <v>0</v>
      </c>
      <c r="Q3035">
        <v>0</v>
      </c>
      <c r="R3035" t="s">
        <v>42675</v>
      </c>
      <c r="S3035" t="s">
        <v>42807</v>
      </c>
      <c r="T3035" t="s">
        <v>44480</v>
      </c>
      <c r="U3035" t="s">
        <v>47271</v>
      </c>
      <c r="W3035" t="s">
        <v>39931</v>
      </c>
      <c r="X3035" t="s">
        <v>42671</v>
      </c>
    </row>
    <row r="3036" spans="1:24">
      <c r="A3036">
        <f>HYPERLINK("https://www.philgeps.gov.ph/GEPSNONPILOT/Tender/SplashBidNoticeAbstractUI.aspx?menuIndex=3&amp;refID=7197635&amp;Result=3","7197635")</f>
        <v>0</v>
      </c>
      <c r="B3036" t="s">
        <v>1072</v>
      </c>
      <c r="C3036" t="s">
        <v>6417</v>
      </c>
      <c r="D3036" t="s">
        <v>17141</v>
      </c>
      <c r="E3036" t="s">
        <v>19925</v>
      </c>
      <c r="F3036" t="s">
        <v>29372</v>
      </c>
      <c r="G3036" t="s">
        <v>29379</v>
      </c>
      <c r="H3036" t="s">
        <v>11048</v>
      </c>
      <c r="I3036" t="s">
        <v>6417</v>
      </c>
      <c r="J3036" t="s">
        <v>31608</v>
      </c>
      <c r="K3036" t="s">
        <v>38485</v>
      </c>
      <c r="M3036" t="s">
        <v>39879</v>
      </c>
      <c r="N3036" t="s">
        <v>42669</v>
      </c>
      <c r="O3036" t="s">
        <v>42670</v>
      </c>
      <c r="P3036">
        <v>0</v>
      </c>
      <c r="Q3036">
        <v>0</v>
      </c>
      <c r="R3036" t="s">
        <v>42675</v>
      </c>
      <c r="S3036" t="s">
        <v>42807</v>
      </c>
      <c r="T3036" t="s">
        <v>44508</v>
      </c>
      <c r="U3036" t="s">
        <v>47325</v>
      </c>
      <c r="W3036" t="s">
        <v>39879</v>
      </c>
      <c r="X3036" t="s">
        <v>42671</v>
      </c>
    </row>
    <row r="3037" spans="1:24">
      <c r="A3037">
        <f>HYPERLINK("https://www.philgeps.gov.ph/GEPSNONPILOT/Tender/SplashBidNoticeAbstractUI.aspx?menuIndex=3&amp;refID=7197581&amp;Result=3","7197581")</f>
        <v>0</v>
      </c>
      <c r="B3037" t="s">
        <v>1147</v>
      </c>
      <c r="C3037" t="s">
        <v>6418</v>
      </c>
      <c r="D3037" t="s">
        <v>17141</v>
      </c>
      <c r="E3037" t="s">
        <v>19926</v>
      </c>
      <c r="F3037" t="s">
        <v>29372</v>
      </c>
      <c r="G3037" t="s">
        <v>29379</v>
      </c>
      <c r="H3037" t="s">
        <v>11048</v>
      </c>
      <c r="I3037" t="s">
        <v>29403</v>
      </c>
      <c r="J3037" t="s">
        <v>31609</v>
      </c>
      <c r="K3037" t="s">
        <v>38491</v>
      </c>
      <c r="L3037" t="s">
        <v>1147</v>
      </c>
      <c r="M3037" t="s">
        <v>39961</v>
      </c>
      <c r="N3037" t="s">
        <v>42669</v>
      </c>
      <c r="O3037" t="s">
        <v>42670</v>
      </c>
      <c r="P3037">
        <v>0</v>
      </c>
      <c r="Q3037">
        <v>0</v>
      </c>
      <c r="R3037" t="s">
        <v>42675</v>
      </c>
      <c r="S3037" t="s">
        <v>42807</v>
      </c>
      <c r="T3037" t="s">
        <v>44485</v>
      </c>
      <c r="U3037" t="s">
        <v>47326</v>
      </c>
      <c r="W3037" t="s">
        <v>39961</v>
      </c>
      <c r="X3037" t="s">
        <v>42671</v>
      </c>
    </row>
    <row r="3038" spans="1:24">
      <c r="A3038">
        <f>HYPERLINK("https://www.philgeps.gov.ph/GEPSNONPILOT/Tender/SplashBidNoticeAbstractUI.aspx?menuIndex=3&amp;refID=7197579&amp;Result=3","7197579")</f>
        <v>0</v>
      </c>
      <c r="B3038" t="s">
        <v>1072</v>
      </c>
      <c r="C3038" t="s">
        <v>6419</v>
      </c>
      <c r="D3038" t="s">
        <v>17141</v>
      </c>
      <c r="E3038" t="s">
        <v>19927</v>
      </c>
      <c r="F3038" t="s">
        <v>29372</v>
      </c>
      <c r="G3038" t="s">
        <v>29379</v>
      </c>
      <c r="H3038" t="s">
        <v>11048</v>
      </c>
      <c r="I3038" t="s">
        <v>6417</v>
      </c>
      <c r="J3038" t="s">
        <v>31610</v>
      </c>
      <c r="K3038" t="s">
        <v>38485</v>
      </c>
      <c r="M3038" t="s">
        <v>39879</v>
      </c>
      <c r="N3038" t="s">
        <v>42669</v>
      </c>
      <c r="O3038" t="s">
        <v>42670</v>
      </c>
      <c r="P3038">
        <v>0</v>
      </c>
      <c r="Q3038">
        <v>0</v>
      </c>
      <c r="R3038" t="s">
        <v>42675</v>
      </c>
      <c r="S3038" t="s">
        <v>42807</v>
      </c>
      <c r="T3038" t="s">
        <v>44508</v>
      </c>
      <c r="U3038" t="s">
        <v>47327</v>
      </c>
      <c r="W3038" t="s">
        <v>39879</v>
      </c>
      <c r="X3038" t="s">
        <v>42671</v>
      </c>
    </row>
    <row r="3039" spans="1:24">
      <c r="A3039">
        <f>HYPERLINK("https://www.philgeps.gov.ph/GEPSNONPILOT/Tender/SplashBidNoticeAbstractUI.aspx?menuIndex=3&amp;refID=7197577&amp;Result=3","7197577")</f>
        <v>0</v>
      </c>
      <c r="B3039" t="s">
        <v>844</v>
      </c>
      <c r="C3039" t="s">
        <v>6420</v>
      </c>
      <c r="D3039" t="s">
        <v>17143</v>
      </c>
      <c r="E3039" t="s">
        <v>19928</v>
      </c>
      <c r="F3039" t="s">
        <v>29372</v>
      </c>
      <c r="G3039" t="s">
        <v>29379</v>
      </c>
      <c r="H3039" t="s">
        <v>11048</v>
      </c>
      <c r="I3039" t="s">
        <v>29401</v>
      </c>
      <c r="J3039" t="s">
        <v>30676</v>
      </c>
      <c r="K3039" t="s">
        <v>38491</v>
      </c>
      <c r="M3039" t="s">
        <v>39634</v>
      </c>
      <c r="N3039" t="s">
        <v>42669</v>
      </c>
      <c r="O3039" t="s">
        <v>42670</v>
      </c>
      <c r="P3039">
        <v>0</v>
      </c>
      <c r="Q3039">
        <v>0</v>
      </c>
      <c r="R3039" t="s">
        <v>42675</v>
      </c>
      <c r="S3039" t="s">
        <v>42807</v>
      </c>
      <c r="T3039" t="s">
        <v>44375</v>
      </c>
      <c r="U3039" t="s">
        <v>46577</v>
      </c>
      <c r="W3039" t="s">
        <v>39634</v>
      </c>
      <c r="X3039" t="s">
        <v>42671</v>
      </c>
    </row>
    <row r="3040" spans="1:24">
      <c r="A3040">
        <f>HYPERLINK("https://www.philgeps.gov.ph/GEPSNONPILOT/Tender/SplashBidNoticeAbstractUI.aspx?menuIndex=3&amp;refID=7197576&amp;Result=3","7197576")</f>
        <v>0</v>
      </c>
      <c r="B3040" t="s">
        <v>844</v>
      </c>
      <c r="C3040" t="s">
        <v>6421</v>
      </c>
      <c r="D3040" t="s">
        <v>17143</v>
      </c>
      <c r="E3040" t="s">
        <v>19929</v>
      </c>
      <c r="F3040" t="s">
        <v>29372</v>
      </c>
      <c r="G3040" t="s">
        <v>29379</v>
      </c>
      <c r="H3040" t="s">
        <v>11048</v>
      </c>
      <c r="I3040" t="s">
        <v>29428</v>
      </c>
      <c r="J3040" t="s">
        <v>29804</v>
      </c>
      <c r="K3040" t="s">
        <v>38491</v>
      </c>
      <c r="M3040" t="s">
        <v>39634</v>
      </c>
      <c r="N3040" t="s">
        <v>42669</v>
      </c>
      <c r="O3040" t="s">
        <v>42670</v>
      </c>
      <c r="P3040">
        <v>0</v>
      </c>
      <c r="Q3040">
        <v>0</v>
      </c>
      <c r="R3040" t="s">
        <v>42675</v>
      </c>
      <c r="S3040" t="s">
        <v>42807</v>
      </c>
      <c r="T3040" t="s">
        <v>44375</v>
      </c>
      <c r="U3040" t="s">
        <v>46577</v>
      </c>
      <c r="W3040" t="s">
        <v>39634</v>
      </c>
      <c r="X3040" t="s">
        <v>42671</v>
      </c>
    </row>
    <row r="3041" spans="1:24">
      <c r="A3041">
        <f>HYPERLINK("https://www.philgeps.gov.ph/GEPSNONPILOT/Tender/SplashBidNoticeAbstractUI.aspx?menuIndex=3&amp;refID=7197580&amp;Result=3","7197580")</f>
        <v>0</v>
      </c>
      <c r="B3041" t="s">
        <v>1120</v>
      </c>
      <c r="C3041" t="s">
        <v>6422</v>
      </c>
      <c r="D3041" t="s">
        <v>17189</v>
      </c>
      <c r="E3041" t="s">
        <v>19930</v>
      </c>
      <c r="F3041" t="s">
        <v>29372</v>
      </c>
      <c r="G3041" t="s">
        <v>29379</v>
      </c>
      <c r="H3041" t="s">
        <v>11048</v>
      </c>
      <c r="I3041" t="s">
        <v>29464</v>
      </c>
      <c r="J3041" t="s">
        <v>31611</v>
      </c>
      <c r="K3041" t="s">
        <v>38489</v>
      </c>
      <c r="M3041" t="s">
        <v>39930</v>
      </c>
      <c r="N3041" t="s">
        <v>42669</v>
      </c>
      <c r="O3041" t="s">
        <v>42670</v>
      </c>
      <c r="P3041">
        <v>0</v>
      </c>
      <c r="Q3041">
        <v>0</v>
      </c>
      <c r="R3041" t="s">
        <v>42675</v>
      </c>
      <c r="S3041" t="s">
        <v>42807</v>
      </c>
      <c r="T3041" t="s">
        <v>44508</v>
      </c>
      <c r="U3041" t="s">
        <v>47268</v>
      </c>
      <c r="V3041" t="s">
        <v>56632</v>
      </c>
      <c r="W3041" t="s">
        <v>39930</v>
      </c>
      <c r="X3041" t="s">
        <v>42671</v>
      </c>
    </row>
    <row r="3042" spans="1:24">
      <c r="A3042">
        <f>HYPERLINK("https://www.philgeps.gov.ph/GEPSNONPILOT/Tender/SplashBidNoticeAbstractUI.aspx?menuIndex=3&amp;refID=7197634&amp;Result=3","7197634")</f>
        <v>0</v>
      </c>
      <c r="B3042" t="s">
        <v>1148</v>
      </c>
      <c r="C3042" t="s">
        <v>6423</v>
      </c>
      <c r="D3042" t="s">
        <v>17195</v>
      </c>
      <c r="E3042" t="s">
        <v>19931</v>
      </c>
      <c r="F3042" t="s">
        <v>29372</v>
      </c>
      <c r="G3042" t="s">
        <v>29379</v>
      </c>
      <c r="H3042" t="s">
        <v>11048</v>
      </c>
      <c r="I3042" t="s">
        <v>29407</v>
      </c>
      <c r="J3042" t="s">
        <v>29680</v>
      </c>
      <c r="K3042" t="s">
        <v>38488</v>
      </c>
      <c r="M3042" t="s">
        <v>39962</v>
      </c>
      <c r="N3042" t="s">
        <v>42669</v>
      </c>
      <c r="O3042" t="s">
        <v>42670</v>
      </c>
      <c r="P3042">
        <v>0</v>
      </c>
      <c r="Q3042">
        <v>0</v>
      </c>
      <c r="R3042" t="s">
        <v>42675</v>
      </c>
      <c r="S3042" t="s">
        <v>42807</v>
      </c>
      <c r="T3042" t="s">
        <v>44389</v>
      </c>
      <c r="U3042" t="s">
        <v>47328</v>
      </c>
      <c r="W3042" t="s">
        <v>58035</v>
      </c>
      <c r="X3042" t="s">
        <v>42671</v>
      </c>
    </row>
    <row r="3043" spans="1:24">
      <c r="A3043">
        <f>HYPERLINK("https://www.philgeps.gov.ph/GEPSNONPILOT/Tender/SplashBidNoticeAbstractUI.aspx?menuIndex=3&amp;refID=7197551&amp;Result=3","7197551")</f>
        <v>0</v>
      </c>
      <c r="B3043" t="s">
        <v>1085</v>
      </c>
      <c r="C3043" t="s">
        <v>6424</v>
      </c>
      <c r="E3043" t="s">
        <v>19932</v>
      </c>
      <c r="F3043" t="s">
        <v>29372</v>
      </c>
      <c r="G3043" t="s">
        <v>29379</v>
      </c>
      <c r="H3043" t="s">
        <v>11048</v>
      </c>
      <c r="I3043" t="s">
        <v>29396</v>
      </c>
      <c r="J3043" t="s">
        <v>31612</v>
      </c>
      <c r="K3043" t="s">
        <v>38490</v>
      </c>
      <c r="M3043" t="s">
        <v>39892</v>
      </c>
      <c r="N3043" t="s">
        <v>42669</v>
      </c>
      <c r="O3043" t="s">
        <v>42670</v>
      </c>
      <c r="P3043">
        <v>0</v>
      </c>
      <c r="Q3043">
        <v>0</v>
      </c>
      <c r="R3043" t="s">
        <v>42675</v>
      </c>
      <c r="S3043" t="s">
        <v>42807</v>
      </c>
      <c r="T3043" t="s">
        <v>44470</v>
      </c>
      <c r="U3043" t="s">
        <v>47329</v>
      </c>
      <c r="W3043" t="s">
        <v>39892</v>
      </c>
      <c r="X3043" t="s">
        <v>42671</v>
      </c>
    </row>
    <row r="3044" spans="1:24">
      <c r="A3044">
        <f>HYPERLINK("https://www.philgeps.gov.ph/GEPSNONPILOT/Tender/SplashBidNoticeAbstractUI.aspx?menuIndex=3&amp;refID=7197578&amp;Result=3","7197578")</f>
        <v>0</v>
      </c>
      <c r="B3044" t="s">
        <v>844</v>
      </c>
      <c r="C3044" t="s">
        <v>6425</v>
      </c>
      <c r="D3044" t="s">
        <v>17143</v>
      </c>
      <c r="E3044" t="s">
        <v>19933</v>
      </c>
      <c r="F3044" t="s">
        <v>29372</v>
      </c>
      <c r="G3044" t="s">
        <v>29379</v>
      </c>
      <c r="H3044" t="s">
        <v>11048</v>
      </c>
      <c r="I3044" t="s">
        <v>29428</v>
      </c>
      <c r="J3044" t="s">
        <v>29529</v>
      </c>
      <c r="K3044" t="s">
        <v>38491</v>
      </c>
      <c r="M3044" t="s">
        <v>39634</v>
      </c>
      <c r="N3044" t="s">
        <v>42669</v>
      </c>
      <c r="O3044" t="s">
        <v>42670</v>
      </c>
      <c r="P3044">
        <v>0</v>
      </c>
      <c r="Q3044">
        <v>0</v>
      </c>
      <c r="R3044" t="s">
        <v>42675</v>
      </c>
      <c r="S3044" t="s">
        <v>42807</v>
      </c>
      <c r="T3044" t="s">
        <v>44375</v>
      </c>
      <c r="U3044" t="s">
        <v>46577</v>
      </c>
      <c r="W3044" t="s">
        <v>39634</v>
      </c>
      <c r="X3044" t="s">
        <v>42671</v>
      </c>
    </row>
    <row r="3045" spans="1:24">
      <c r="A3045">
        <f>HYPERLINK("https://www.philgeps.gov.ph/GEPSNONPILOT/Tender/SplashBidNoticeAbstractUI.aspx?menuIndex=3&amp;refID=7197572&amp;Result=3","7197572")</f>
        <v>0</v>
      </c>
      <c r="B3045" t="s">
        <v>1134</v>
      </c>
      <c r="C3045" t="s">
        <v>6426</v>
      </c>
      <c r="D3045" t="s">
        <v>17143</v>
      </c>
      <c r="E3045" t="s">
        <v>19934</v>
      </c>
      <c r="F3045" t="s">
        <v>29372</v>
      </c>
      <c r="G3045" t="s">
        <v>29379</v>
      </c>
      <c r="H3045" t="s">
        <v>11048</v>
      </c>
      <c r="I3045" t="s">
        <v>6417</v>
      </c>
      <c r="J3045" t="s">
        <v>30728</v>
      </c>
      <c r="K3045" t="s">
        <v>38489</v>
      </c>
      <c r="M3045" t="s">
        <v>39946</v>
      </c>
      <c r="N3045" t="s">
        <v>42669</v>
      </c>
      <c r="O3045" t="s">
        <v>42670</v>
      </c>
      <c r="P3045">
        <v>0</v>
      </c>
      <c r="Q3045">
        <v>0</v>
      </c>
      <c r="R3045" t="s">
        <v>42675</v>
      </c>
      <c r="S3045" t="s">
        <v>42807</v>
      </c>
      <c r="T3045" t="s">
        <v>44456</v>
      </c>
      <c r="U3045" t="s">
        <v>47330</v>
      </c>
      <c r="W3045" t="s">
        <v>39946</v>
      </c>
      <c r="X3045" t="s">
        <v>42671</v>
      </c>
    </row>
    <row r="3046" spans="1:24">
      <c r="A3046">
        <f>HYPERLINK("https://www.philgeps.gov.ph/GEPSNONPILOT/Tender/SplashBidNoticeAbstractUI.aspx?menuIndex=3&amp;refID=7197575&amp;Result=3","7197575")</f>
        <v>0</v>
      </c>
      <c r="B3046" t="s">
        <v>1044</v>
      </c>
      <c r="C3046" t="s">
        <v>6427</v>
      </c>
      <c r="D3046" t="s">
        <v>17157</v>
      </c>
      <c r="E3046" t="s">
        <v>19935</v>
      </c>
      <c r="F3046" t="s">
        <v>29372</v>
      </c>
      <c r="G3046" t="s">
        <v>29380</v>
      </c>
      <c r="H3046" t="s">
        <v>11048</v>
      </c>
      <c r="I3046" t="s">
        <v>29394</v>
      </c>
      <c r="J3046" t="s">
        <v>29774</v>
      </c>
      <c r="K3046" t="s">
        <v>38538</v>
      </c>
      <c r="M3046" t="s">
        <v>39849</v>
      </c>
      <c r="N3046" t="s">
        <v>42669</v>
      </c>
      <c r="O3046" t="s">
        <v>42670</v>
      </c>
      <c r="P3046">
        <v>0</v>
      </c>
      <c r="Q3046">
        <v>0</v>
      </c>
      <c r="R3046" t="s">
        <v>42675</v>
      </c>
      <c r="S3046" t="s">
        <v>42807</v>
      </c>
      <c r="T3046" t="s">
        <v>44473</v>
      </c>
      <c r="U3046" t="s">
        <v>47331</v>
      </c>
      <c r="W3046" t="s">
        <v>39849</v>
      </c>
      <c r="X3046" t="s">
        <v>42671</v>
      </c>
    </row>
    <row r="3047" spans="1:24">
      <c r="A3047">
        <f>HYPERLINK("https://www.philgeps.gov.ph/GEPSNONPILOT/Tender/SplashBidNoticeAbstractUI.aspx?menuIndex=3&amp;refID=7197530&amp;Result=3","7197530")</f>
        <v>0</v>
      </c>
      <c r="B3047" t="s">
        <v>1110</v>
      </c>
      <c r="C3047" t="s">
        <v>6428</v>
      </c>
      <c r="D3047" t="s">
        <v>17206</v>
      </c>
      <c r="E3047" t="s">
        <v>19936</v>
      </c>
      <c r="F3047" t="s">
        <v>29372</v>
      </c>
      <c r="G3047" t="s">
        <v>29380</v>
      </c>
      <c r="H3047" t="s">
        <v>11048</v>
      </c>
      <c r="I3047" t="s">
        <v>29392</v>
      </c>
      <c r="J3047" t="s">
        <v>31613</v>
      </c>
      <c r="K3047" t="s">
        <v>38580</v>
      </c>
      <c r="M3047" t="s">
        <v>39919</v>
      </c>
      <c r="N3047" t="s">
        <v>42669</v>
      </c>
      <c r="O3047" t="s">
        <v>42670</v>
      </c>
      <c r="P3047">
        <v>0</v>
      </c>
      <c r="Q3047">
        <v>0</v>
      </c>
      <c r="R3047" t="s">
        <v>42675</v>
      </c>
      <c r="S3047" t="s">
        <v>42807</v>
      </c>
      <c r="T3047" t="s">
        <v>44358</v>
      </c>
      <c r="U3047" t="s">
        <v>47234</v>
      </c>
      <c r="W3047" t="s">
        <v>39919</v>
      </c>
      <c r="X3047" t="s">
        <v>42671</v>
      </c>
    </row>
    <row r="3048" spans="1:24">
      <c r="A3048">
        <f>HYPERLINK("https://www.philgeps.gov.ph/GEPSNONPILOT/Tender/SplashBidNoticeAbstractUI.aspx?menuIndex=3&amp;refID=7197528&amp;Result=3","7197528")</f>
        <v>0</v>
      </c>
      <c r="B3048" t="s">
        <v>1060</v>
      </c>
      <c r="C3048" t="s">
        <v>6429</v>
      </c>
      <c r="D3048" t="s">
        <v>17201</v>
      </c>
      <c r="E3048" t="s">
        <v>19937</v>
      </c>
      <c r="F3048" t="s">
        <v>29372</v>
      </c>
      <c r="G3048" t="s">
        <v>29380</v>
      </c>
      <c r="H3048" t="s">
        <v>29389</v>
      </c>
      <c r="I3048" t="s">
        <v>10408</v>
      </c>
      <c r="J3048" t="s">
        <v>31614</v>
      </c>
      <c r="K3048" t="s">
        <v>38488</v>
      </c>
      <c r="M3048" t="s">
        <v>39867</v>
      </c>
      <c r="N3048" t="s">
        <v>42669</v>
      </c>
      <c r="O3048" t="s">
        <v>42670</v>
      </c>
      <c r="P3048">
        <v>0</v>
      </c>
      <c r="Q3048">
        <v>0</v>
      </c>
      <c r="R3048" t="s">
        <v>42675</v>
      </c>
      <c r="S3048" t="s">
        <v>42807</v>
      </c>
      <c r="T3048" t="s">
        <v>44415</v>
      </c>
      <c r="U3048" t="s">
        <v>47332</v>
      </c>
      <c r="W3048" t="s">
        <v>39867</v>
      </c>
      <c r="X3048" t="s">
        <v>42671</v>
      </c>
    </row>
    <row r="3049" spans="1:24">
      <c r="A3049">
        <f>HYPERLINK("https://www.philgeps.gov.ph/GEPSNONPILOT/Tender/SplashBidNoticeAbstractUI.aspx?menuIndex=3&amp;refID=7197526&amp;Result=3","7197526")</f>
        <v>0</v>
      </c>
      <c r="B3049" t="s">
        <v>1106</v>
      </c>
      <c r="C3049" t="s">
        <v>6430</v>
      </c>
      <c r="D3049" t="s">
        <v>17172</v>
      </c>
      <c r="E3049" t="s">
        <v>19938</v>
      </c>
      <c r="F3049" t="s">
        <v>29372</v>
      </c>
      <c r="G3049" t="s">
        <v>29380</v>
      </c>
      <c r="H3049" t="s">
        <v>29389</v>
      </c>
      <c r="I3049" t="s">
        <v>10408</v>
      </c>
      <c r="J3049" t="s">
        <v>31615</v>
      </c>
      <c r="K3049" t="s">
        <v>38538</v>
      </c>
      <c r="M3049" t="s">
        <v>39915</v>
      </c>
      <c r="N3049" t="s">
        <v>42669</v>
      </c>
      <c r="O3049" t="s">
        <v>42670</v>
      </c>
      <c r="P3049">
        <v>0</v>
      </c>
      <c r="Q3049">
        <v>0</v>
      </c>
      <c r="R3049" t="s">
        <v>42675</v>
      </c>
      <c r="S3049" t="s">
        <v>42807</v>
      </c>
      <c r="T3049" t="s">
        <v>44412</v>
      </c>
      <c r="U3049" t="s">
        <v>47333</v>
      </c>
      <c r="W3049" t="s">
        <v>39915</v>
      </c>
      <c r="X3049" t="s">
        <v>42671</v>
      </c>
    </row>
    <row r="3050" spans="1:24">
      <c r="A3050">
        <f>HYPERLINK("https://www.philgeps.gov.ph/GEPSNONPILOT/Tender/SplashBidNoticeAbstractUI.aspx?menuIndex=3&amp;refID=7197574&amp;Result=3","7197574")</f>
        <v>0</v>
      </c>
      <c r="B3050" t="s">
        <v>1132</v>
      </c>
      <c r="C3050" t="s">
        <v>6431</v>
      </c>
      <c r="D3050" t="s">
        <v>17204</v>
      </c>
      <c r="E3050" t="s">
        <v>19939</v>
      </c>
      <c r="F3050" t="s">
        <v>29372</v>
      </c>
      <c r="G3050" t="s">
        <v>29380</v>
      </c>
      <c r="H3050" t="s">
        <v>29389</v>
      </c>
      <c r="I3050" t="s">
        <v>10408</v>
      </c>
      <c r="J3050" t="s">
        <v>31616</v>
      </c>
      <c r="K3050" t="s">
        <v>38522</v>
      </c>
      <c r="M3050" t="s">
        <v>39944</v>
      </c>
      <c r="N3050" t="s">
        <v>42669</v>
      </c>
      <c r="O3050" t="s">
        <v>42670</v>
      </c>
      <c r="P3050">
        <v>0</v>
      </c>
      <c r="Q3050">
        <v>0</v>
      </c>
      <c r="R3050" t="s">
        <v>42675</v>
      </c>
      <c r="S3050" t="s">
        <v>42807</v>
      </c>
      <c r="T3050" t="s">
        <v>44618</v>
      </c>
      <c r="U3050" t="s">
        <v>47334</v>
      </c>
      <c r="W3050" t="s">
        <v>39944</v>
      </c>
      <c r="X3050" t="s">
        <v>42671</v>
      </c>
    </row>
    <row r="3051" spans="1:24">
      <c r="A3051">
        <f>HYPERLINK("https://www.philgeps.gov.ph/GEPSNONPILOT/Tender/SplashBidNoticeAbstractUI.aspx?menuIndex=3&amp;refID=7197529&amp;Result=3","7197529")</f>
        <v>0</v>
      </c>
      <c r="B3051" t="s">
        <v>1149</v>
      </c>
      <c r="C3051" t="s">
        <v>6432</v>
      </c>
      <c r="D3051" t="s">
        <v>17226</v>
      </c>
      <c r="E3051" t="s">
        <v>18716</v>
      </c>
      <c r="F3051" t="s">
        <v>29372</v>
      </c>
      <c r="G3051" t="s">
        <v>29380</v>
      </c>
      <c r="H3051" t="s">
        <v>11048</v>
      </c>
      <c r="I3051" t="s">
        <v>4709</v>
      </c>
      <c r="J3051" t="s">
        <v>31617</v>
      </c>
      <c r="K3051" t="s">
        <v>38510</v>
      </c>
      <c r="M3051" t="s">
        <v>39963</v>
      </c>
      <c r="N3051" t="s">
        <v>42669</v>
      </c>
      <c r="O3051" t="s">
        <v>42670</v>
      </c>
      <c r="P3051">
        <v>0</v>
      </c>
      <c r="Q3051">
        <v>0</v>
      </c>
      <c r="R3051" t="s">
        <v>42675</v>
      </c>
      <c r="S3051" t="s">
        <v>42807</v>
      </c>
      <c r="T3051" t="s">
        <v>44476</v>
      </c>
      <c r="U3051" t="s">
        <v>47335</v>
      </c>
      <c r="W3051" t="s">
        <v>39963</v>
      </c>
      <c r="X3051" t="s">
        <v>42671</v>
      </c>
    </row>
    <row r="3052" spans="1:24">
      <c r="A3052">
        <f>HYPERLINK("https://www.philgeps.gov.ph/GEPSNONPILOT/Tender/SplashBidNoticeAbstractUI.aspx?menuIndex=3&amp;refID=7197573&amp;Result=3","7197573")</f>
        <v>0</v>
      </c>
      <c r="B3052" t="s">
        <v>844</v>
      </c>
      <c r="C3052" t="s">
        <v>6433</v>
      </c>
      <c r="D3052" t="s">
        <v>17143</v>
      </c>
      <c r="E3052" t="s">
        <v>19940</v>
      </c>
      <c r="F3052" t="s">
        <v>29372</v>
      </c>
      <c r="G3052" t="s">
        <v>29379</v>
      </c>
      <c r="H3052" t="s">
        <v>11048</v>
      </c>
      <c r="I3052" t="s">
        <v>29428</v>
      </c>
      <c r="J3052" t="s">
        <v>30412</v>
      </c>
      <c r="K3052" t="s">
        <v>38491</v>
      </c>
      <c r="M3052" t="s">
        <v>39634</v>
      </c>
      <c r="N3052" t="s">
        <v>42669</v>
      </c>
      <c r="O3052" t="s">
        <v>42670</v>
      </c>
      <c r="P3052">
        <v>0</v>
      </c>
      <c r="Q3052">
        <v>0</v>
      </c>
      <c r="R3052" t="s">
        <v>42675</v>
      </c>
      <c r="S3052" t="s">
        <v>42807</v>
      </c>
      <c r="T3052" t="s">
        <v>44375</v>
      </c>
      <c r="U3052" t="s">
        <v>46577</v>
      </c>
      <c r="W3052" t="s">
        <v>39634</v>
      </c>
      <c r="X3052" t="s">
        <v>42671</v>
      </c>
    </row>
    <row r="3053" spans="1:24">
      <c r="A3053">
        <f>HYPERLINK("https://www.philgeps.gov.ph/GEPSNONPILOT/Tender/SplashBidNoticeAbstractUI.aspx?menuIndex=3&amp;refID=7197639&amp;Result=3","7197639")</f>
        <v>0</v>
      </c>
      <c r="B3053" t="s">
        <v>1117</v>
      </c>
      <c r="C3053" t="s">
        <v>6434</v>
      </c>
      <c r="D3053" t="s">
        <v>17162</v>
      </c>
      <c r="E3053" t="s">
        <v>19941</v>
      </c>
      <c r="F3053" t="s">
        <v>29372</v>
      </c>
      <c r="G3053" t="s">
        <v>29379</v>
      </c>
      <c r="H3053" t="s">
        <v>11048</v>
      </c>
      <c r="I3053" t="s">
        <v>4709</v>
      </c>
      <c r="J3053" t="s">
        <v>31618</v>
      </c>
      <c r="K3053" t="s">
        <v>38510</v>
      </c>
      <c r="M3053" t="s">
        <v>39926</v>
      </c>
      <c r="N3053" t="s">
        <v>42669</v>
      </c>
      <c r="O3053" t="s">
        <v>42670</v>
      </c>
      <c r="P3053">
        <v>0</v>
      </c>
      <c r="Q3053">
        <v>0</v>
      </c>
      <c r="R3053" t="s">
        <v>42675</v>
      </c>
      <c r="S3053" t="s">
        <v>42807</v>
      </c>
      <c r="T3053" t="s">
        <v>44468</v>
      </c>
      <c r="U3053" t="s">
        <v>47336</v>
      </c>
      <c r="W3053" t="s">
        <v>39926</v>
      </c>
      <c r="X3053" t="s">
        <v>42671</v>
      </c>
    </row>
    <row r="3054" spans="1:24">
      <c r="A3054">
        <f>HYPERLINK("https://www.philgeps.gov.ph/GEPSNONPILOT/Tender/SplashBidNoticeAbstractUI.aspx?menuIndex=3&amp;refID=7197637&amp;Result=3","7197637")</f>
        <v>0</v>
      </c>
      <c r="B3054" t="s">
        <v>1150</v>
      </c>
      <c r="C3054" t="s">
        <v>6435</v>
      </c>
      <c r="D3054" t="s">
        <v>17171</v>
      </c>
      <c r="E3054" t="s">
        <v>19942</v>
      </c>
      <c r="F3054" t="s">
        <v>29372</v>
      </c>
      <c r="G3054" t="s">
        <v>29382</v>
      </c>
      <c r="H3054" t="s">
        <v>11048</v>
      </c>
      <c r="I3054" t="s">
        <v>5383</v>
      </c>
      <c r="J3054" t="s">
        <v>31619</v>
      </c>
      <c r="K3054" t="s">
        <v>38485</v>
      </c>
      <c r="M3054" t="s">
        <v>39964</v>
      </c>
      <c r="N3054" t="s">
        <v>42669</v>
      </c>
      <c r="O3054" t="s">
        <v>42670</v>
      </c>
      <c r="P3054">
        <v>0</v>
      </c>
      <c r="Q3054">
        <v>0</v>
      </c>
      <c r="R3054" t="s">
        <v>42675</v>
      </c>
      <c r="S3054" t="s">
        <v>42807</v>
      </c>
      <c r="T3054" t="s">
        <v>44468</v>
      </c>
      <c r="U3054" t="s">
        <v>47337</v>
      </c>
      <c r="W3054" t="s">
        <v>39964</v>
      </c>
      <c r="X3054" t="s">
        <v>42671</v>
      </c>
    </row>
    <row r="3055" spans="1:24">
      <c r="A3055">
        <f>HYPERLINK("https://www.philgeps.gov.ph/GEPSNONPILOT/Tender/SplashBidNoticeAbstractUI.aspx?menuIndex=3&amp;refID=7197644&amp;Result=3","7197644")</f>
        <v>0</v>
      </c>
      <c r="B3055" t="s">
        <v>1137</v>
      </c>
      <c r="C3055" t="s">
        <v>6436</v>
      </c>
      <c r="D3055" t="s">
        <v>17193</v>
      </c>
      <c r="E3055" t="s">
        <v>19943</v>
      </c>
      <c r="F3055" t="s">
        <v>29372</v>
      </c>
      <c r="G3055" t="s">
        <v>29380</v>
      </c>
      <c r="H3055" t="s">
        <v>11048</v>
      </c>
      <c r="I3055" t="s">
        <v>14920</v>
      </c>
      <c r="J3055" t="s">
        <v>29734</v>
      </c>
      <c r="K3055" t="s">
        <v>38490</v>
      </c>
      <c r="M3055" t="s">
        <v>39949</v>
      </c>
      <c r="N3055" t="s">
        <v>42669</v>
      </c>
      <c r="O3055" t="s">
        <v>42670</v>
      </c>
      <c r="P3055">
        <v>0</v>
      </c>
      <c r="Q3055">
        <v>0</v>
      </c>
      <c r="R3055" t="s">
        <v>42675</v>
      </c>
      <c r="S3055" t="s">
        <v>42807</v>
      </c>
      <c r="T3055" t="s">
        <v>44442</v>
      </c>
      <c r="U3055" t="s">
        <v>47338</v>
      </c>
      <c r="V3055" t="s">
        <v>56639</v>
      </c>
      <c r="W3055" t="s">
        <v>39949</v>
      </c>
      <c r="X3055" t="s">
        <v>42671</v>
      </c>
    </row>
    <row r="3056" spans="1:24">
      <c r="A3056">
        <f>HYPERLINK("https://www.philgeps.gov.ph/GEPSNONPILOT/Tender/SplashBidNoticeAbstractUI.aspx?menuIndex=3&amp;refID=7192055&amp;Result=3","7192055")</f>
        <v>0</v>
      </c>
      <c r="B3056" t="s">
        <v>1151</v>
      </c>
      <c r="C3056" t="s">
        <v>6437</v>
      </c>
      <c r="D3056" t="s">
        <v>17185</v>
      </c>
      <c r="E3056" t="s">
        <v>19944</v>
      </c>
      <c r="F3056" t="s">
        <v>29372</v>
      </c>
      <c r="G3056" t="s">
        <v>29379</v>
      </c>
      <c r="H3056" t="s">
        <v>11048</v>
      </c>
      <c r="I3056" t="s">
        <v>3629</v>
      </c>
      <c r="J3056" t="s">
        <v>30676</v>
      </c>
      <c r="K3056" t="s">
        <v>38485</v>
      </c>
      <c r="M3056" t="s">
        <v>39965</v>
      </c>
      <c r="N3056" t="s">
        <v>42669</v>
      </c>
      <c r="O3056" t="s">
        <v>42670</v>
      </c>
      <c r="P3056">
        <v>0</v>
      </c>
      <c r="Q3056">
        <v>1</v>
      </c>
      <c r="R3056" t="s">
        <v>42674</v>
      </c>
      <c r="S3056" t="s">
        <v>42788</v>
      </c>
      <c r="T3056" t="s">
        <v>44427</v>
      </c>
      <c r="U3056" t="s">
        <v>47339</v>
      </c>
      <c r="W3056" t="s">
        <v>39965</v>
      </c>
      <c r="X3056" t="s">
        <v>42676</v>
      </c>
    </row>
    <row r="3057" spans="1:24">
      <c r="A3057">
        <f>HYPERLINK("https://www.philgeps.gov.ph/GEPSNONPILOT/Tender/SplashBidNoticeAbstractUI.aspx?menuIndex=3&amp;refID=7192048&amp;Result=3","7192048")</f>
        <v>0</v>
      </c>
      <c r="B3057" t="s">
        <v>968</v>
      </c>
      <c r="C3057" t="s">
        <v>6438</v>
      </c>
      <c r="D3057" t="s">
        <v>17197</v>
      </c>
      <c r="E3057" t="s">
        <v>19945</v>
      </c>
      <c r="F3057" t="s">
        <v>29372</v>
      </c>
      <c r="G3057" t="s">
        <v>29379</v>
      </c>
      <c r="H3057" t="s">
        <v>11048</v>
      </c>
      <c r="I3057" t="s">
        <v>3670</v>
      </c>
      <c r="J3057" t="s">
        <v>31620</v>
      </c>
      <c r="K3057" t="s">
        <v>38538</v>
      </c>
      <c r="M3057" t="s">
        <v>39764</v>
      </c>
      <c r="N3057" t="s">
        <v>42669</v>
      </c>
      <c r="O3057" t="s">
        <v>42670</v>
      </c>
      <c r="P3057">
        <v>0</v>
      </c>
      <c r="Q3057">
        <v>0</v>
      </c>
      <c r="R3057" t="s">
        <v>42674</v>
      </c>
      <c r="S3057" t="s">
        <v>42788</v>
      </c>
      <c r="T3057" t="s">
        <v>44427</v>
      </c>
      <c r="U3057" t="s">
        <v>47340</v>
      </c>
      <c r="W3057" t="s">
        <v>39764</v>
      </c>
      <c r="X3057" t="s">
        <v>42676</v>
      </c>
    </row>
    <row r="3058" spans="1:24">
      <c r="A3058">
        <f>HYPERLINK("https://www.philgeps.gov.ph/GEPSNONPILOT/Tender/SplashBidNoticeAbstractUI.aspx?menuIndex=3&amp;refID=7192052&amp;Result=3","7192052")</f>
        <v>0</v>
      </c>
      <c r="B3058" t="s">
        <v>1152</v>
      </c>
      <c r="C3058" t="s">
        <v>6439</v>
      </c>
      <c r="D3058" t="s">
        <v>17204</v>
      </c>
      <c r="E3058" t="s">
        <v>19946</v>
      </c>
      <c r="F3058" t="s">
        <v>29372</v>
      </c>
      <c r="G3058" t="s">
        <v>29383</v>
      </c>
      <c r="H3058" t="s">
        <v>11048</v>
      </c>
      <c r="I3058" t="s">
        <v>3629</v>
      </c>
      <c r="J3058" t="s">
        <v>29675</v>
      </c>
      <c r="K3058" t="s">
        <v>38528</v>
      </c>
      <c r="M3058" t="s">
        <v>39966</v>
      </c>
      <c r="N3058" t="s">
        <v>42669</v>
      </c>
      <c r="O3058" t="s">
        <v>42670</v>
      </c>
      <c r="P3058">
        <v>0</v>
      </c>
      <c r="Q3058">
        <v>0</v>
      </c>
      <c r="R3058" t="s">
        <v>42674</v>
      </c>
      <c r="S3058" t="s">
        <v>42788</v>
      </c>
      <c r="T3058" t="s">
        <v>44488</v>
      </c>
      <c r="U3058" t="s">
        <v>47341</v>
      </c>
      <c r="V3058" t="s">
        <v>56640</v>
      </c>
      <c r="W3058" t="s">
        <v>39966</v>
      </c>
      <c r="X3058" t="s">
        <v>42676</v>
      </c>
    </row>
    <row r="3059" spans="1:24">
      <c r="A3059">
        <f>HYPERLINK("https://www.philgeps.gov.ph/GEPSNONPILOT/Tender/SplashBidNoticeAbstractUI.aspx?menuIndex=3&amp;refID=7192078&amp;Result=3","7192078")</f>
        <v>0</v>
      </c>
      <c r="B3059" t="s">
        <v>1153</v>
      </c>
      <c r="C3059" t="s">
        <v>6440</v>
      </c>
      <c r="D3059" t="s">
        <v>17169</v>
      </c>
      <c r="E3059" t="s">
        <v>19947</v>
      </c>
      <c r="F3059" t="s">
        <v>29372</v>
      </c>
      <c r="G3059" t="s">
        <v>29380</v>
      </c>
      <c r="H3059" t="s">
        <v>11048</v>
      </c>
      <c r="I3059" t="s">
        <v>29413</v>
      </c>
      <c r="J3059" t="s">
        <v>29924</v>
      </c>
      <c r="K3059" t="s">
        <v>38491</v>
      </c>
      <c r="M3059" t="s">
        <v>39967</v>
      </c>
      <c r="N3059" t="s">
        <v>42669</v>
      </c>
      <c r="O3059" t="s">
        <v>42670</v>
      </c>
      <c r="P3059">
        <v>0</v>
      </c>
      <c r="Q3059">
        <v>5</v>
      </c>
      <c r="R3059" t="s">
        <v>42674</v>
      </c>
      <c r="S3059" t="s">
        <v>42788</v>
      </c>
      <c r="T3059" t="s">
        <v>44544</v>
      </c>
      <c r="U3059" t="s">
        <v>47342</v>
      </c>
      <c r="W3059" t="s">
        <v>39967</v>
      </c>
      <c r="X3059" t="s">
        <v>42676</v>
      </c>
    </row>
    <row r="3060" spans="1:24">
      <c r="A3060">
        <f>HYPERLINK("https://www.philgeps.gov.ph/GEPSNONPILOT/Tender/SplashBidNoticeAbstractUI.aspx?menuIndex=3&amp;refID=7192075&amp;Result=3","7192075")</f>
        <v>0</v>
      </c>
      <c r="B3060" t="s">
        <v>1154</v>
      </c>
      <c r="C3060" t="s">
        <v>6441</v>
      </c>
      <c r="D3060" t="s">
        <v>17181</v>
      </c>
      <c r="E3060" t="s">
        <v>19948</v>
      </c>
      <c r="F3060" t="s">
        <v>29372</v>
      </c>
      <c r="G3060" t="s">
        <v>29379</v>
      </c>
      <c r="H3060" t="s">
        <v>11048</v>
      </c>
      <c r="I3060" t="s">
        <v>8208</v>
      </c>
      <c r="J3060" t="s">
        <v>31621</v>
      </c>
      <c r="K3060" t="s">
        <v>38485</v>
      </c>
      <c r="M3060" t="s">
        <v>39968</v>
      </c>
      <c r="N3060" t="s">
        <v>42669</v>
      </c>
      <c r="O3060" t="s">
        <v>42670</v>
      </c>
      <c r="P3060">
        <v>0</v>
      </c>
      <c r="Q3060">
        <v>0</v>
      </c>
      <c r="R3060" t="s">
        <v>42674</v>
      </c>
      <c r="S3060" t="s">
        <v>42788</v>
      </c>
      <c r="T3060" t="s">
        <v>44488</v>
      </c>
      <c r="U3060" t="s">
        <v>47343</v>
      </c>
      <c r="W3060" t="s">
        <v>39968</v>
      </c>
      <c r="X3060" t="s">
        <v>42676</v>
      </c>
    </row>
    <row r="3061" spans="1:24">
      <c r="A3061">
        <f>HYPERLINK("https://www.philgeps.gov.ph/GEPSNONPILOT/Tender/SplashBidNoticeAbstractUI.aspx?menuIndex=3&amp;refID=7192049&amp;Result=3","7192049")</f>
        <v>0</v>
      </c>
      <c r="B3061" t="s">
        <v>998</v>
      </c>
      <c r="C3061" t="s">
        <v>6442</v>
      </c>
      <c r="D3061" t="s">
        <v>17141</v>
      </c>
      <c r="E3061" t="s">
        <v>19949</v>
      </c>
      <c r="F3061" t="s">
        <v>29372</v>
      </c>
      <c r="G3061" t="s">
        <v>29382</v>
      </c>
      <c r="H3061" t="s">
        <v>11048</v>
      </c>
      <c r="I3061" t="s">
        <v>29410</v>
      </c>
      <c r="J3061" t="s">
        <v>29532</v>
      </c>
      <c r="K3061" t="s">
        <v>38491</v>
      </c>
      <c r="M3061" t="s">
        <v>39798</v>
      </c>
      <c r="N3061" t="s">
        <v>42669</v>
      </c>
      <c r="O3061" t="s">
        <v>42670</v>
      </c>
      <c r="P3061">
        <v>0</v>
      </c>
      <c r="Q3061">
        <v>3</v>
      </c>
      <c r="R3061" t="s">
        <v>42674</v>
      </c>
      <c r="S3061" t="s">
        <v>42788</v>
      </c>
      <c r="T3061" t="s">
        <v>44399</v>
      </c>
      <c r="U3061" t="s">
        <v>47344</v>
      </c>
      <c r="V3061" t="s">
        <v>56608</v>
      </c>
      <c r="W3061" t="s">
        <v>39798</v>
      </c>
      <c r="X3061" t="s">
        <v>42676</v>
      </c>
    </row>
    <row r="3062" spans="1:24">
      <c r="A3062">
        <f>HYPERLINK("https://www.philgeps.gov.ph/GEPSNONPILOT/Tender/SplashBidNoticeAbstractUI.aspx?menuIndex=3&amp;refID=7192070&amp;Result=3","7192070")</f>
        <v>0</v>
      </c>
      <c r="B3062" t="s">
        <v>968</v>
      </c>
      <c r="C3062" t="s">
        <v>6443</v>
      </c>
      <c r="D3062" t="s">
        <v>17197</v>
      </c>
      <c r="E3062" t="s">
        <v>19950</v>
      </c>
      <c r="F3062" t="s">
        <v>29372</v>
      </c>
      <c r="G3062" t="s">
        <v>29379</v>
      </c>
      <c r="H3062" t="s">
        <v>11048</v>
      </c>
      <c r="I3062" t="s">
        <v>3860</v>
      </c>
      <c r="J3062" t="s">
        <v>31622</v>
      </c>
      <c r="K3062" t="s">
        <v>38538</v>
      </c>
      <c r="M3062" t="s">
        <v>39764</v>
      </c>
      <c r="N3062" t="s">
        <v>42669</v>
      </c>
      <c r="O3062" t="s">
        <v>42670</v>
      </c>
      <c r="P3062">
        <v>0</v>
      </c>
      <c r="Q3062">
        <v>0</v>
      </c>
      <c r="R3062" t="s">
        <v>42674</v>
      </c>
      <c r="S3062" t="s">
        <v>42788</v>
      </c>
      <c r="T3062" t="s">
        <v>44427</v>
      </c>
      <c r="U3062" t="s">
        <v>47345</v>
      </c>
      <c r="W3062" t="s">
        <v>39764</v>
      </c>
      <c r="X3062" t="s">
        <v>42676</v>
      </c>
    </row>
    <row r="3063" spans="1:24">
      <c r="A3063">
        <f>HYPERLINK("https://www.philgeps.gov.ph/GEPSNONPILOT/Tender/SplashBidNoticeAbstractUI.aspx?menuIndex=3&amp;refID=7192069&amp;Result=3","7192069")</f>
        <v>0</v>
      </c>
      <c r="B3063" t="s">
        <v>1028</v>
      </c>
      <c r="C3063" t="s">
        <v>6444</v>
      </c>
      <c r="D3063" t="s">
        <v>17226</v>
      </c>
      <c r="E3063" t="s">
        <v>19951</v>
      </c>
      <c r="F3063" t="s">
        <v>29372</v>
      </c>
      <c r="G3063" t="s">
        <v>29379</v>
      </c>
      <c r="H3063" t="s">
        <v>11048</v>
      </c>
      <c r="I3063" t="s">
        <v>3629</v>
      </c>
      <c r="J3063" t="s">
        <v>31623</v>
      </c>
      <c r="K3063" t="s">
        <v>38510</v>
      </c>
      <c r="M3063" t="s">
        <v>39830</v>
      </c>
      <c r="N3063" t="s">
        <v>42669</v>
      </c>
      <c r="O3063" t="s">
        <v>42670</v>
      </c>
      <c r="P3063">
        <v>0</v>
      </c>
      <c r="Q3063">
        <v>0</v>
      </c>
      <c r="R3063" t="s">
        <v>42674</v>
      </c>
      <c r="S3063" t="s">
        <v>42788</v>
      </c>
      <c r="T3063" t="s">
        <v>44371</v>
      </c>
      <c r="U3063" t="s">
        <v>47346</v>
      </c>
      <c r="W3063" t="s">
        <v>39830</v>
      </c>
      <c r="X3063" t="s">
        <v>42676</v>
      </c>
    </row>
    <row r="3064" spans="1:24">
      <c r="A3064">
        <f>HYPERLINK("https://www.philgeps.gov.ph/GEPSNONPILOT/Tender/SplashBidNoticeAbstractUI.aspx?menuIndex=3&amp;refID=7192062&amp;Result=3","7192062")</f>
        <v>0</v>
      </c>
      <c r="B3064" t="s">
        <v>660</v>
      </c>
      <c r="C3064" t="s">
        <v>6445</v>
      </c>
      <c r="D3064" t="s">
        <v>17199</v>
      </c>
      <c r="E3064" t="s">
        <v>19952</v>
      </c>
      <c r="F3064" t="s">
        <v>29372</v>
      </c>
      <c r="G3064" t="s">
        <v>29379</v>
      </c>
      <c r="H3064" t="s">
        <v>11048</v>
      </c>
      <c r="I3064" t="s">
        <v>3629</v>
      </c>
      <c r="J3064" t="s">
        <v>31624</v>
      </c>
      <c r="K3064" t="s">
        <v>38490</v>
      </c>
      <c r="M3064" t="s">
        <v>39436</v>
      </c>
      <c r="N3064" t="s">
        <v>42669</v>
      </c>
      <c r="O3064" t="s">
        <v>42670</v>
      </c>
      <c r="P3064">
        <v>0</v>
      </c>
      <c r="Q3064">
        <v>6</v>
      </c>
      <c r="R3064" t="s">
        <v>42674</v>
      </c>
      <c r="S3064" t="s">
        <v>42788</v>
      </c>
      <c r="T3064" t="s">
        <v>44496</v>
      </c>
      <c r="U3064" t="s">
        <v>47347</v>
      </c>
      <c r="W3064" t="s">
        <v>39436</v>
      </c>
      <c r="X3064" t="s">
        <v>42676</v>
      </c>
    </row>
    <row r="3065" spans="1:24">
      <c r="A3065">
        <f>HYPERLINK("https://www.philgeps.gov.ph/GEPSNONPILOT/Tender/SplashBidNoticeAbstractUI.aspx?menuIndex=3&amp;refID=7192045&amp;Result=3","7192045")</f>
        <v>0</v>
      </c>
      <c r="B3065" t="s">
        <v>1008</v>
      </c>
      <c r="C3065" t="s">
        <v>6003</v>
      </c>
      <c r="D3065" t="s">
        <v>17189</v>
      </c>
      <c r="E3065" t="s">
        <v>19953</v>
      </c>
      <c r="F3065" t="s">
        <v>29372</v>
      </c>
      <c r="G3065" t="s">
        <v>29379</v>
      </c>
      <c r="H3065" t="s">
        <v>11048</v>
      </c>
      <c r="I3065" t="s">
        <v>29415</v>
      </c>
      <c r="J3065" t="s">
        <v>29767</v>
      </c>
      <c r="K3065" t="s">
        <v>38488</v>
      </c>
      <c r="M3065" t="s">
        <v>39808</v>
      </c>
      <c r="N3065" t="s">
        <v>42669</v>
      </c>
      <c r="O3065" t="s">
        <v>42670</v>
      </c>
      <c r="P3065">
        <v>0</v>
      </c>
      <c r="Q3065">
        <v>5</v>
      </c>
      <c r="R3065" t="s">
        <v>42674</v>
      </c>
      <c r="S3065" t="s">
        <v>42788</v>
      </c>
      <c r="T3065" t="s">
        <v>44417</v>
      </c>
      <c r="U3065" t="s">
        <v>47348</v>
      </c>
      <c r="W3065" t="s">
        <v>39808</v>
      </c>
      <c r="X3065" t="s">
        <v>42676</v>
      </c>
    </row>
    <row r="3066" spans="1:24">
      <c r="A3066">
        <f>HYPERLINK("https://www.philgeps.gov.ph/GEPSNONPILOT/Tender/SplashBidNoticeAbstractUI.aspx?menuIndex=3&amp;refID=7192061&amp;Result=3","7192061")</f>
        <v>0</v>
      </c>
      <c r="B3066" t="s">
        <v>717</v>
      </c>
      <c r="C3066" t="s">
        <v>4662</v>
      </c>
      <c r="D3066" t="s">
        <v>17171</v>
      </c>
      <c r="E3066" t="s">
        <v>19954</v>
      </c>
      <c r="F3066" t="s">
        <v>29372</v>
      </c>
      <c r="G3066" t="s">
        <v>29383</v>
      </c>
      <c r="H3066" t="s">
        <v>11048</v>
      </c>
      <c r="I3066" t="s">
        <v>5383</v>
      </c>
      <c r="J3066" t="s">
        <v>31625</v>
      </c>
      <c r="K3066" t="s">
        <v>38490</v>
      </c>
      <c r="M3066" t="s">
        <v>39496</v>
      </c>
      <c r="N3066" t="s">
        <v>42669</v>
      </c>
      <c r="O3066" t="s">
        <v>42670</v>
      </c>
      <c r="P3066">
        <v>0</v>
      </c>
      <c r="Q3066">
        <v>0</v>
      </c>
      <c r="R3066" t="s">
        <v>42674</v>
      </c>
      <c r="S3066" t="s">
        <v>42788</v>
      </c>
      <c r="T3066" t="s">
        <v>44621</v>
      </c>
      <c r="U3066" t="s">
        <v>47349</v>
      </c>
      <c r="W3066" t="s">
        <v>39496</v>
      </c>
      <c r="X3066" t="s">
        <v>42676</v>
      </c>
    </row>
    <row r="3067" spans="1:24">
      <c r="A3067">
        <f>HYPERLINK("https://www.philgeps.gov.ph/GEPSNONPILOT/Tender/SplashBidNoticeAbstractUI.aspx?menuIndex=3&amp;refID=7192058&amp;Result=3","7192058")</f>
        <v>0</v>
      </c>
      <c r="B3067" t="s">
        <v>1155</v>
      </c>
      <c r="C3067" t="s">
        <v>6446</v>
      </c>
      <c r="D3067" t="s">
        <v>17158</v>
      </c>
      <c r="E3067" t="s">
        <v>19955</v>
      </c>
      <c r="F3067" t="s">
        <v>29372</v>
      </c>
      <c r="G3067" t="s">
        <v>29379</v>
      </c>
      <c r="H3067" t="s">
        <v>11048</v>
      </c>
      <c r="I3067" t="s">
        <v>3695</v>
      </c>
      <c r="J3067" t="s">
        <v>31626</v>
      </c>
      <c r="K3067" t="s">
        <v>38491</v>
      </c>
      <c r="M3067" t="s">
        <v>39969</v>
      </c>
      <c r="N3067" t="s">
        <v>42669</v>
      </c>
      <c r="O3067" t="s">
        <v>42670</v>
      </c>
      <c r="P3067">
        <v>0</v>
      </c>
      <c r="Q3067">
        <v>1</v>
      </c>
      <c r="R3067" t="s">
        <v>42674</v>
      </c>
      <c r="S3067" t="s">
        <v>42788</v>
      </c>
      <c r="T3067" t="s">
        <v>44432</v>
      </c>
      <c r="U3067" t="s">
        <v>47350</v>
      </c>
      <c r="W3067" t="s">
        <v>39969</v>
      </c>
      <c r="X3067" t="s">
        <v>42676</v>
      </c>
    </row>
    <row r="3068" spans="1:24">
      <c r="A3068">
        <f>HYPERLINK("https://www.philgeps.gov.ph/GEPSNONPILOT/Tender/SplashBidNoticeAbstractUI.aspx?menuIndex=3&amp;refID=7192080&amp;Result=3","7192080")</f>
        <v>0</v>
      </c>
      <c r="B3068" t="s">
        <v>530</v>
      </c>
      <c r="C3068" t="s">
        <v>6447</v>
      </c>
      <c r="D3068" t="s">
        <v>17201</v>
      </c>
      <c r="E3068" t="s">
        <v>19956</v>
      </c>
      <c r="F3068" t="s">
        <v>29372</v>
      </c>
      <c r="G3068" t="s">
        <v>29380</v>
      </c>
      <c r="H3068" t="s">
        <v>11048</v>
      </c>
      <c r="I3068" t="s">
        <v>29410</v>
      </c>
      <c r="J3068" t="s">
        <v>31627</v>
      </c>
      <c r="K3068" t="s">
        <v>38485</v>
      </c>
      <c r="M3068" t="s">
        <v>39297</v>
      </c>
      <c r="N3068" t="s">
        <v>42669</v>
      </c>
      <c r="O3068" t="s">
        <v>42670</v>
      </c>
      <c r="P3068">
        <v>0</v>
      </c>
      <c r="Q3068">
        <v>2</v>
      </c>
      <c r="R3068" t="s">
        <v>42674</v>
      </c>
      <c r="S3068" t="s">
        <v>42788</v>
      </c>
      <c r="T3068" t="s">
        <v>44354</v>
      </c>
      <c r="U3068" t="s">
        <v>46011</v>
      </c>
      <c r="W3068" t="s">
        <v>39297</v>
      </c>
      <c r="X3068" t="s">
        <v>42676</v>
      </c>
    </row>
    <row r="3069" spans="1:24">
      <c r="A3069">
        <f>HYPERLINK("https://www.philgeps.gov.ph/GEPSNONPILOT/Tender/SplashBidNoticeAbstractUI.aspx?menuIndex=3&amp;refID=7192079&amp;Result=3","7192079")</f>
        <v>0</v>
      </c>
      <c r="B3069" t="s">
        <v>1156</v>
      </c>
      <c r="C3069" t="s">
        <v>6448</v>
      </c>
      <c r="D3069" t="s">
        <v>17142</v>
      </c>
      <c r="E3069" t="s">
        <v>19957</v>
      </c>
      <c r="F3069" t="s">
        <v>29372</v>
      </c>
      <c r="G3069" t="s">
        <v>29383</v>
      </c>
      <c r="H3069" t="s">
        <v>11048</v>
      </c>
      <c r="I3069" t="s">
        <v>3952</v>
      </c>
      <c r="J3069" t="s">
        <v>31628</v>
      </c>
      <c r="K3069" t="s">
        <v>38485</v>
      </c>
      <c r="M3069" t="s">
        <v>39970</v>
      </c>
      <c r="N3069" t="s">
        <v>42669</v>
      </c>
      <c r="O3069" t="s">
        <v>42670</v>
      </c>
      <c r="P3069">
        <v>0</v>
      </c>
      <c r="Q3069">
        <v>4</v>
      </c>
      <c r="R3069" t="s">
        <v>42674</v>
      </c>
      <c r="S3069" t="s">
        <v>42788</v>
      </c>
      <c r="T3069" t="s">
        <v>44382</v>
      </c>
      <c r="U3069" t="s">
        <v>47351</v>
      </c>
      <c r="W3069" t="s">
        <v>39970</v>
      </c>
      <c r="X3069" t="s">
        <v>42676</v>
      </c>
    </row>
    <row r="3070" spans="1:24">
      <c r="A3070">
        <f>HYPERLINK("https://www.philgeps.gov.ph/GEPSNONPILOT/Tender/SplashBidNoticeAbstractUI.aspx?menuIndex=3&amp;refID=7192074&amp;Result=3","7192074")</f>
        <v>0</v>
      </c>
      <c r="B3070" t="s">
        <v>440</v>
      </c>
      <c r="C3070" t="s">
        <v>6449</v>
      </c>
      <c r="D3070" t="s">
        <v>17141</v>
      </c>
      <c r="E3070" t="s">
        <v>19958</v>
      </c>
      <c r="F3070" t="s">
        <v>29372</v>
      </c>
      <c r="G3070" t="s">
        <v>29383</v>
      </c>
      <c r="H3070" t="s">
        <v>11048</v>
      </c>
      <c r="I3070" t="s">
        <v>29406</v>
      </c>
      <c r="J3070" t="s">
        <v>31629</v>
      </c>
      <c r="K3070" t="s">
        <v>38490</v>
      </c>
      <c r="M3070" t="s">
        <v>39204</v>
      </c>
      <c r="N3070" t="s">
        <v>42669</v>
      </c>
      <c r="O3070" t="s">
        <v>42670</v>
      </c>
      <c r="P3070">
        <v>0</v>
      </c>
      <c r="Q3070">
        <v>31</v>
      </c>
      <c r="R3070" t="s">
        <v>42674</v>
      </c>
      <c r="S3070" t="s">
        <v>42788</v>
      </c>
      <c r="T3070" t="s">
        <v>44401</v>
      </c>
      <c r="U3070" t="s">
        <v>47008</v>
      </c>
      <c r="W3070" t="s">
        <v>39204</v>
      </c>
      <c r="X3070" t="s">
        <v>42676</v>
      </c>
    </row>
    <row r="3071" spans="1:24">
      <c r="A3071">
        <f>HYPERLINK("https://www.philgeps.gov.ph/GEPSNONPILOT/Tender/SplashBidNoticeAbstractUI.aspx?menuIndex=3&amp;refID=7192121&amp;Result=3","7192121")</f>
        <v>0</v>
      </c>
      <c r="B3071" t="s">
        <v>586</v>
      </c>
      <c r="C3071" t="s">
        <v>6450</v>
      </c>
      <c r="D3071" t="s">
        <v>17161</v>
      </c>
      <c r="E3071" t="s">
        <v>19959</v>
      </c>
      <c r="F3071" t="s">
        <v>29372</v>
      </c>
      <c r="G3071" t="s">
        <v>29379</v>
      </c>
      <c r="H3071" t="s">
        <v>11048</v>
      </c>
      <c r="I3071" t="s">
        <v>29393</v>
      </c>
      <c r="J3071" t="s">
        <v>31630</v>
      </c>
      <c r="K3071" t="s">
        <v>38490</v>
      </c>
      <c r="M3071" t="s">
        <v>39682</v>
      </c>
      <c r="N3071" t="s">
        <v>42669</v>
      </c>
      <c r="O3071" t="s">
        <v>42670</v>
      </c>
      <c r="P3071">
        <v>0</v>
      </c>
      <c r="Q3071">
        <v>0</v>
      </c>
      <c r="R3071" t="s">
        <v>42674</v>
      </c>
      <c r="S3071" t="s">
        <v>42788</v>
      </c>
      <c r="T3071" t="s">
        <v>44488</v>
      </c>
      <c r="U3071" t="s">
        <v>47352</v>
      </c>
      <c r="W3071" t="s">
        <v>39682</v>
      </c>
      <c r="X3071" t="s">
        <v>42676</v>
      </c>
    </row>
    <row r="3072" spans="1:24">
      <c r="A3072">
        <f>HYPERLINK("https://www.philgeps.gov.ph/GEPSNONPILOT/Tender/SplashBidNoticeAbstractUI.aspx?menuIndex=3&amp;refID=7192068&amp;Result=3","7192068")</f>
        <v>0</v>
      </c>
      <c r="B3072" t="s">
        <v>1157</v>
      </c>
      <c r="C3072" t="s">
        <v>6451</v>
      </c>
      <c r="D3072" t="s">
        <v>17186</v>
      </c>
      <c r="E3072" t="s">
        <v>19960</v>
      </c>
      <c r="F3072" t="s">
        <v>29372</v>
      </c>
      <c r="G3072" t="s">
        <v>29380</v>
      </c>
      <c r="H3072" t="s">
        <v>11048</v>
      </c>
      <c r="I3072" t="s">
        <v>29395</v>
      </c>
      <c r="J3072" t="s">
        <v>31631</v>
      </c>
      <c r="K3072" t="s">
        <v>38490</v>
      </c>
      <c r="M3072" t="s">
        <v>39971</v>
      </c>
      <c r="N3072" t="s">
        <v>42669</v>
      </c>
      <c r="O3072" t="s">
        <v>42670</v>
      </c>
      <c r="P3072">
        <v>0</v>
      </c>
      <c r="Q3072">
        <v>0</v>
      </c>
      <c r="R3072" t="s">
        <v>42674</v>
      </c>
      <c r="S3072" t="s">
        <v>42788</v>
      </c>
      <c r="T3072" t="s">
        <v>44503</v>
      </c>
      <c r="U3072" t="s">
        <v>47353</v>
      </c>
      <c r="W3072" t="s">
        <v>39971</v>
      </c>
      <c r="X3072" t="s">
        <v>42676</v>
      </c>
    </row>
    <row r="3073" spans="1:24">
      <c r="A3073">
        <f>HYPERLINK("https://www.philgeps.gov.ph/GEPSNONPILOT/Tender/SplashBidNoticeAbstractUI.aspx?menuIndex=3&amp;refID=7192118&amp;Result=3","7192118")</f>
        <v>0</v>
      </c>
      <c r="B3073" t="s">
        <v>1158</v>
      </c>
      <c r="C3073" t="s">
        <v>6452</v>
      </c>
      <c r="D3073" t="s">
        <v>17177</v>
      </c>
      <c r="E3073" t="s">
        <v>19961</v>
      </c>
      <c r="F3073" t="s">
        <v>29372</v>
      </c>
      <c r="G3073" t="s">
        <v>29380</v>
      </c>
      <c r="H3073" t="s">
        <v>29389</v>
      </c>
      <c r="I3073" t="s">
        <v>10408</v>
      </c>
      <c r="J3073" t="s">
        <v>31632</v>
      </c>
      <c r="K3073" t="s">
        <v>38522</v>
      </c>
      <c r="M3073" t="s">
        <v>39972</v>
      </c>
      <c r="N3073" t="s">
        <v>42669</v>
      </c>
      <c r="O3073" t="s">
        <v>42670</v>
      </c>
      <c r="P3073">
        <v>0</v>
      </c>
      <c r="Q3073">
        <v>6</v>
      </c>
      <c r="R3073" t="s">
        <v>42674</v>
      </c>
      <c r="S3073" t="s">
        <v>42788</v>
      </c>
      <c r="T3073" t="s">
        <v>44358</v>
      </c>
      <c r="U3073" t="s">
        <v>47354</v>
      </c>
      <c r="V3073" t="s">
        <v>56641</v>
      </c>
      <c r="W3073" t="s">
        <v>39972</v>
      </c>
      <c r="X3073" t="s">
        <v>42676</v>
      </c>
    </row>
    <row r="3074" spans="1:24">
      <c r="A3074">
        <f>HYPERLINK("https://www.philgeps.gov.ph/GEPSNONPILOT/Tender/SplashBidNoticeAbstractUI.aspx?menuIndex=3&amp;refID=7192073&amp;Result=3","7192073")</f>
        <v>0</v>
      </c>
      <c r="B3074" t="s">
        <v>1159</v>
      </c>
      <c r="C3074" t="s">
        <v>6453</v>
      </c>
      <c r="D3074" t="s">
        <v>17145</v>
      </c>
      <c r="E3074" t="s">
        <v>19962</v>
      </c>
      <c r="F3074" t="s">
        <v>29372</v>
      </c>
      <c r="G3074" t="s">
        <v>29379</v>
      </c>
      <c r="H3074" t="s">
        <v>11048</v>
      </c>
      <c r="I3074" t="s">
        <v>4486</v>
      </c>
      <c r="J3074" t="s">
        <v>31633</v>
      </c>
      <c r="K3074" t="s">
        <v>38491</v>
      </c>
      <c r="M3074" t="s">
        <v>39973</v>
      </c>
      <c r="N3074" t="s">
        <v>42669</v>
      </c>
      <c r="O3074" t="s">
        <v>42670</v>
      </c>
      <c r="P3074">
        <v>0</v>
      </c>
      <c r="Q3074">
        <v>1</v>
      </c>
      <c r="R3074" t="s">
        <v>42674</v>
      </c>
      <c r="S3074" t="s">
        <v>42788</v>
      </c>
      <c r="T3074" t="s">
        <v>44394</v>
      </c>
      <c r="U3074" t="s">
        <v>47355</v>
      </c>
      <c r="V3074" t="s">
        <v>56642</v>
      </c>
      <c r="W3074" t="s">
        <v>39973</v>
      </c>
      <c r="X3074" t="s">
        <v>42676</v>
      </c>
    </row>
    <row r="3075" spans="1:24">
      <c r="A3075">
        <f>HYPERLINK("https://www.philgeps.gov.ph/GEPSNONPILOT/Tender/SplashBidNoticeAbstractUI.aspx?menuIndex=3&amp;refID=7192116&amp;Result=3","7192116")</f>
        <v>0</v>
      </c>
      <c r="B3075" t="s">
        <v>1160</v>
      </c>
      <c r="C3075" t="s">
        <v>6454</v>
      </c>
      <c r="D3075" t="s">
        <v>17211</v>
      </c>
      <c r="E3075" t="s">
        <v>19258</v>
      </c>
      <c r="F3075" t="s">
        <v>29372</v>
      </c>
      <c r="G3075" t="s">
        <v>29380</v>
      </c>
      <c r="H3075" t="s">
        <v>11048</v>
      </c>
      <c r="I3075" t="s">
        <v>3839</v>
      </c>
      <c r="J3075" t="s">
        <v>31634</v>
      </c>
      <c r="K3075" t="s">
        <v>38485</v>
      </c>
      <c r="M3075" t="s">
        <v>39974</v>
      </c>
      <c r="N3075" t="s">
        <v>42669</v>
      </c>
      <c r="O3075" t="s">
        <v>42670</v>
      </c>
      <c r="P3075">
        <v>0</v>
      </c>
      <c r="Q3075">
        <v>1</v>
      </c>
      <c r="R3075" t="s">
        <v>42674</v>
      </c>
      <c r="S3075" t="s">
        <v>42788</v>
      </c>
      <c r="T3075" t="s">
        <v>44542</v>
      </c>
      <c r="U3075" t="s">
        <v>47356</v>
      </c>
      <c r="W3075" t="s">
        <v>39974</v>
      </c>
      <c r="X3075" t="s">
        <v>42676</v>
      </c>
    </row>
    <row r="3076" spans="1:24">
      <c r="A3076">
        <f>HYPERLINK("https://www.philgeps.gov.ph/GEPSNONPILOT/Tender/SplashBidNoticeAbstractUI.aspx?menuIndex=3&amp;refID=7192053&amp;Result=3","7192053")</f>
        <v>0</v>
      </c>
      <c r="B3076" t="s">
        <v>861</v>
      </c>
      <c r="C3076" t="s">
        <v>6455</v>
      </c>
      <c r="D3076" t="s">
        <v>17141</v>
      </c>
      <c r="E3076" t="s">
        <v>19963</v>
      </c>
      <c r="F3076" t="s">
        <v>29372</v>
      </c>
      <c r="G3076" t="s">
        <v>29380</v>
      </c>
      <c r="H3076" t="s">
        <v>11048</v>
      </c>
      <c r="I3076" t="s">
        <v>29433</v>
      </c>
      <c r="J3076" t="s">
        <v>31635</v>
      </c>
      <c r="K3076" t="s">
        <v>38490</v>
      </c>
      <c r="M3076" t="s">
        <v>39975</v>
      </c>
      <c r="N3076" t="s">
        <v>42669</v>
      </c>
      <c r="O3076" t="s">
        <v>42670</v>
      </c>
      <c r="P3076">
        <v>0</v>
      </c>
      <c r="Q3076">
        <v>36</v>
      </c>
      <c r="R3076" t="s">
        <v>42674</v>
      </c>
      <c r="S3076" t="s">
        <v>42788</v>
      </c>
      <c r="T3076" t="s">
        <v>44539</v>
      </c>
      <c r="U3076" t="s">
        <v>47357</v>
      </c>
      <c r="W3076" t="s">
        <v>39975</v>
      </c>
      <c r="X3076" t="s">
        <v>42676</v>
      </c>
    </row>
    <row r="3077" spans="1:24">
      <c r="A3077">
        <f>HYPERLINK("https://www.philgeps.gov.ph/GEPSNONPILOT/Tender/SplashBidNoticeAbstractUI.aspx?menuIndex=3&amp;refID=7192046&amp;Result=3","7192046")</f>
        <v>0</v>
      </c>
      <c r="B3077" t="s">
        <v>1154</v>
      </c>
      <c r="C3077" t="s">
        <v>4038</v>
      </c>
      <c r="D3077" t="s">
        <v>17181</v>
      </c>
      <c r="E3077" t="s">
        <v>19964</v>
      </c>
      <c r="F3077" t="s">
        <v>29372</v>
      </c>
      <c r="G3077" t="s">
        <v>29379</v>
      </c>
      <c r="H3077" t="s">
        <v>11048</v>
      </c>
      <c r="I3077" t="s">
        <v>3839</v>
      </c>
      <c r="J3077" t="s">
        <v>30679</v>
      </c>
      <c r="K3077" t="s">
        <v>38485</v>
      </c>
      <c r="M3077" t="s">
        <v>39968</v>
      </c>
      <c r="N3077" t="s">
        <v>42669</v>
      </c>
      <c r="O3077" t="s">
        <v>42670</v>
      </c>
      <c r="P3077">
        <v>0</v>
      </c>
      <c r="Q3077">
        <v>3</v>
      </c>
      <c r="R3077" t="s">
        <v>42674</v>
      </c>
      <c r="S3077" t="s">
        <v>42788</v>
      </c>
      <c r="T3077" t="s">
        <v>44488</v>
      </c>
      <c r="U3077" t="s">
        <v>47358</v>
      </c>
      <c r="W3077" t="s">
        <v>39968</v>
      </c>
      <c r="X3077" t="s">
        <v>42676</v>
      </c>
    </row>
    <row r="3078" spans="1:24">
      <c r="A3078">
        <f>HYPERLINK("https://www.philgeps.gov.ph/GEPSNONPILOT/Tender/SplashBidNoticeAbstractUI.aspx?menuIndex=3&amp;refID=7192107&amp;Result=3","7192107")</f>
        <v>0</v>
      </c>
      <c r="B3078" t="s">
        <v>560</v>
      </c>
      <c r="C3078" t="s">
        <v>6456</v>
      </c>
      <c r="D3078" t="s">
        <v>17180</v>
      </c>
      <c r="E3078" t="s">
        <v>19965</v>
      </c>
      <c r="F3078" t="s">
        <v>29372</v>
      </c>
      <c r="G3078" t="s">
        <v>29380</v>
      </c>
      <c r="H3078" t="s">
        <v>29389</v>
      </c>
      <c r="I3078" t="s">
        <v>10408</v>
      </c>
      <c r="J3078" t="s">
        <v>31157</v>
      </c>
      <c r="K3078" t="s">
        <v>38525</v>
      </c>
      <c r="M3078" t="s">
        <v>39329</v>
      </c>
      <c r="N3078" t="s">
        <v>42669</v>
      </c>
      <c r="O3078" t="s">
        <v>42670</v>
      </c>
      <c r="P3078">
        <v>0</v>
      </c>
      <c r="Q3078">
        <v>11</v>
      </c>
      <c r="R3078" t="s">
        <v>42674</v>
      </c>
      <c r="S3078" t="s">
        <v>42788</v>
      </c>
      <c r="T3078" t="s">
        <v>44542</v>
      </c>
      <c r="U3078" t="s">
        <v>47359</v>
      </c>
      <c r="V3078" t="s">
        <v>56611</v>
      </c>
      <c r="W3078" t="s">
        <v>39329</v>
      </c>
      <c r="X3078" t="s">
        <v>42676</v>
      </c>
    </row>
    <row r="3079" spans="1:24">
      <c r="A3079">
        <f>HYPERLINK("https://www.philgeps.gov.ph/GEPSNONPILOT/Tender/SplashBidNoticeAbstractUI.aspx?menuIndex=3&amp;refID=7192106&amp;Result=3","7192106")</f>
        <v>0</v>
      </c>
      <c r="B3079" t="s">
        <v>679</v>
      </c>
      <c r="C3079" t="s">
        <v>6457</v>
      </c>
      <c r="D3079" t="s">
        <v>17175</v>
      </c>
      <c r="E3079" t="s">
        <v>19966</v>
      </c>
      <c r="F3079" t="s">
        <v>29372</v>
      </c>
      <c r="G3079" t="s">
        <v>29380</v>
      </c>
      <c r="H3079" t="s">
        <v>11048</v>
      </c>
      <c r="I3079" t="s">
        <v>5383</v>
      </c>
      <c r="J3079" t="s">
        <v>31636</v>
      </c>
      <c r="K3079" t="s">
        <v>38510</v>
      </c>
      <c r="M3079" t="s">
        <v>39455</v>
      </c>
      <c r="N3079" t="s">
        <v>42669</v>
      </c>
      <c r="O3079" t="s">
        <v>42670</v>
      </c>
      <c r="P3079">
        <v>0</v>
      </c>
      <c r="Q3079">
        <v>0</v>
      </c>
      <c r="R3079" t="s">
        <v>42674</v>
      </c>
      <c r="S3079" t="s">
        <v>42788</v>
      </c>
      <c r="T3079" t="s">
        <v>44361</v>
      </c>
      <c r="U3079" t="s">
        <v>47360</v>
      </c>
      <c r="W3079" t="s">
        <v>39455</v>
      </c>
      <c r="X3079" t="s">
        <v>42676</v>
      </c>
    </row>
    <row r="3080" spans="1:24">
      <c r="A3080">
        <f>HYPERLINK("https://www.philgeps.gov.ph/GEPSNONPILOT/Tender/SplashBidNoticeAbstractUI.aspx?menuIndex=3&amp;refID=7192100&amp;Result=3","7192100")</f>
        <v>0</v>
      </c>
      <c r="B3080" t="s">
        <v>1161</v>
      </c>
      <c r="C3080" t="s">
        <v>6458</v>
      </c>
      <c r="D3080" t="s">
        <v>17144</v>
      </c>
      <c r="E3080" t="s">
        <v>19967</v>
      </c>
      <c r="F3080" t="s">
        <v>29372</v>
      </c>
      <c r="G3080" t="s">
        <v>29382</v>
      </c>
      <c r="H3080" t="s">
        <v>11048</v>
      </c>
      <c r="I3080" t="s">
        <v>5383</v>
      </c>
      <c r="J3080" t="s">
        <v>31637</v>
      </c>
      <c r="K3080" t="s">
        <v>38485</v>
      </c>
      <c r="M3080" t="s">
        <v>39976</v>
      </c>
      <c r="N3080" t="s">
        <v>42669</v>
      </c>
      <c r="O3080" t="s">
        <v>42670</v>
      </c>
      <c r="P3080">
        <v>0</v>
      </c>
      <c r="Q3080">
        <v>3</v>
      </c>
      <c r="R3080" t="s">
        <v>42674</v>
      </c>
      <c r="S3080" t="s">
        <v>42788</v>
      </c>
      <c r="T3080" t="s">
        <v>44481</v>
      </c>
      <c r="U3080" t="s">
        <v>47361</v>
      </c>
      <c r="W3080" t="s">
        <v>39976</v>
      </c>
      <c r="X3080" t="s">
        <v>42676</v>
      </c>
    </row>
    <row r="3081" spans="1:24">
      <c r="A3081">
        <f>HYPERLINK("https://www.philgeps.gov.ph/GEPSNONPILOT/Tender/SplashBidNoticeAbstractUI.aspx?menuIndex=3&amp;refID=7192051&amp;Result=3","7192051")</f>
        <v>0</v>
      </c>
      <c r="B3081" t="s">
        <v>1016</v>
      </c>
      <c r="C3081" t="s">
        <v>6459</v>
      </c>
      <c r="D3081" t="s">
        <v>17152</v>
      </c>
      <c r="E3081" t="s">
        <v>19968</v>
      </c>
      <c r="F3081" t="s">
        <v>29372</v>
      </c>
      <c r="G3081" t="s">
        <v>29380</v>
      </c>
      <c r="H3081" t="s">
        <v>11048</v>
      </c>
      <c r="I3081" t="s">
        <v>4709</v>
      </c>
      <c r="J3081" t="s">
        <v>31638</v>
      </c>
      <c r="K3081" t="s">
        <v>38510</v>
      </c>
      <c r="M3081" t="s">
        <v>39816</v>
      </c>
      <c r="N3081" t="s">
        <v>42669</v>
      </c>
      <c r="O3081" t="s">
        <v>42670</v>
      </c>
      <c r="P3081">
        <v>0</v>
      </c>
      <c r="Q3081">
        <v>0</v>
      </c>
      <c r="R3081" t="s">
        <v>42674</v>
      </c>
      <c r="S3081" t="s">
        <v>42788</v>
      </c>
      <c r="T3081" t="s">
        <v>44468</v>
      </c>
      <c r="U3081" t="s">
        <v>47362</v>
      </c>
      <c r="W3081" t="s">
        <v>39816</v>
      </c>
      <c r="X3081" t="s">
        <v>42676</v>
      </c>
    </row>
    <row r="3082" spans="1:24">
      <c r="A3082">
        <f>HYPERLINK("https://www.philgeps.gov.ph/GEPSNONPILOT/Tender/SplashBidNoticeAbstractUI.aspx?menuIndex=3&amp;refID=7192099&amp;Result=3","7192099")</f>
        <v>0</v>
      </c>
      <c r="B3082" t="s">
        <v>1162</v>
      </c>
      <c r="C3082" t="s">
        <v>6460</v>
      </c>
      <c r="D3082" t="s">
        <v>17180</v>
      </c>
      <c r="E3082" t="s">
        <v>19969</v>
      </c>
      <c r="F3082" t="s">
        <v>29372</v>
      </c>
      <c r="G3082" t="s">
        <v>29380</v>
      </c>
      <c r="H3082" t="s">
        <v>11048</v>
      </c>
      <c r="I3082" t="s">
        <v>29430</v>
      </c>
      <c r="J3082" t="s">
        <v>31639</v>
      </c>
      <c r="K3082" t="s">
        <v>38490</v>
      </c>
      <c r="M3082" t="s">
        <v>39977</v>
      </c>
      <c r="N3082" t="s">
        <v>42669</v>
      </c>
      <c r="O3082" t="s">
        <v>42670</v>
      </c>
      <c r="P3082">
        <v>0</v>
      </c>
      <c r="Q3082">
        <v>2</v>
      </c>
      <c r="R3082" t="s">
        <v>42674</v>
      </c>
      <c r="S3082" t="s">
        <v>42788</v>
      </c>
      <c r="T3082" t="s">
        <v>44357</v>
      </c>
      <c r="U3082" t="s">
        <v>47363</v>
      </c>
      <c r="W3082" t="s">
        <v>39977</v>
      </c>
      <c r="X3082" t="s">
        <v>42676</v>
      </c>
    </row>
    <row r="3083" spans="1:24">
      <c r="A3083">
        <f>HYPERLINK("https://www.philgeps.gov.ph/GEPSNONPILOT/Tender/SplashBidNoticeAbstractUI.aspx?menuIndex=3&amp;refID=7192095&amp;Result=3","7192095")</f>
        <v>0</v>
      </c>
      <c r="B3083" t="s">
        <v>1028</v>
      </c>
      <c r="C3083" t="s">
        <v>6461</v>
      </c>
      <c r="D3083" t="s">
        <v>17226</v>
      </c>
      <c r="E3083" t="s">
        <v>19970</v>
      </c>
      <c r="F3083" t="s">
        <v>29372</v>
      </c>
      <c r="G3083" t="s">
        <v>29379</v>
      </c>
      <c r="H3083" t="s">
        <v>11048</v>
      </c>
      <c r="I3083" t="s">
        <v>3839</v>
      </c>
      <c r="J3083" t="s">
        <v>30432</v>
      </c>
      <c r="K3083" t="s">
        <v>38510</v>
      </c>
      <c r="M3083" t="s">
        <v>39830</v>
      </c>
      <c r="N3083" t="s">
        <v>42669</v>
      </c>
      <c r="O3083" t="s">
        <v>42670</v>
      </c>
      <c r="P3083">
        <v>0</v>
      </c>
      <c r="Q3083">
        <v>0</v>
      </c>
      <c r="R3083" t="s">
        <v>42674</v>
      </c>
      <c r="S3083" t="s">
        <v>42788</v>
      </c>
      <c r="T3083" t="s">
        <v>44371</v>
      </c>
      <c r="U3083" t="s">
        <v>47364</v>
      </c>
      <c r="W3083" t="s">
        <v>39830</v>
      </c>
      <c r="X3083" t="s">
        <v>42676</v>
      </c>
    </row>
    <row r="3084" spans="1:24">
      <c r="A3084">
        <f>HYPERLINK("https://www.philgeps.gov.ph/GEPSNONPILOT/Tender/SplashBidNoticeAbstractUI.aspx?menuIndex=3&amp;refID=7192096&amp;Result=3","7192096")</f>
        <v>0</v>
      </c>
      <c r="B3084" t="s">
        <v>968</v>
      </c>
      <c r="C3084" t="s">
        <v>6462</v>
      </c>
      <c r="D3084" t="s">
        <v>17197</v>
      </c>
      <c r="E3084" t="s">
        <v>19971</v>
      </c>
      <c r="F3084" t="s">
        <v>29372</v>
      </c>
      <c r="G3084" t="s">
        <v>29379</v>
      </c>
      <c r="H3084" t="s">
        <v>11048</v>
      </c>
      <c r="I3084" t="s">
        <v>3670</v>
      </c>
      <c r="J3084" t="s">
        <v>31640</v>
      </c>
      <c r="K3084" t="s">
        <v>38538</v>
      </c>
      <c r="M3084" t="s">
        <v>39764</v>
      </c>
      <c r="N3084" t="s">
        <v>42669</v>
      </c>
      <c r="O3084" t="s">
        <v>42670</v>
      </c>
      <c r="P3084">
        <v>0</v>
      </c>
      <c r="Q3084">
        <v>0</v>
      </c>
      <c r="R3084" t="s">
        <v>42674</v>
      </c>
      <c r="S3084" t="s">
        <v>42788</v>
      </c>
      <c r="T3084" t="s">
        <v>44427</v>
      </c>
      <c r="U3084" t="s">
        <v>47365</v>
      </c>
      <c r="W3084" t="s">
        <v>39764</v>
      </c>
      <c r="X3084" t="s">
        <v>42676</v>
      </c>
    </row>
    <row r="3085" spans="1:24">
      <c r="A3085">
        <f>HYPERLINK("https://www.philgeps.gov.ph/GEPSNONPILOT/Tender/SplashBidNoticeAbstractUI.aspx?menuIndex=3&amp;refID=7192060&amp;Result=3","7192060")</f>
        <v>0</v>
      </c>
      <c r="B3085" t="s">
        <v>540</v>
      </c>
      <c r="C3085" t="s">
        <v>6463</v>
      </c>
      <c r="D3085" t="s">
        <v>17192</v>
      </c>
      <c r="E3085" t="s">
        <v>19972</v>
      </c>
      <c r="F3085" t="s">
        <v>29372</v>
      </c>
      <c r="G3085" t="s">
        <v>29379</v>
      </c>
      <c r="H3085" t="s">
        <v>29389</v>
      </c>
      <c r="I3085" t="s">
        <v>10408</v>
      </c>
      <c r="J3085" t="s">
        <v>29708</v>
      </c>
      <c r="K3085" t="s">
        <v>38485</v>
      </c>
      <c r="M3085" t="s">
        <v>39308</v>
      </c>
      <c r="N3085" t="s">
        <v>42669</v>
      </c>
      <c r="O3085" t="s">
        <v>42670</v>
      </c>
      <c r="P3085">
        <v>0</v>
      </c>
      <c r="Q3085">
        <v>1</v>
      </c>
      <c r="R3085" t="s">
        <v>42674</v>
      </c>
      <c r="S3085" t="s">
        <v>42788</v>
      </c>
      <c r="T3085" t="s">
        <v>44429</v>
      </c>
      <c r="U3085" t="s">
        <v>47366</v>
      </c>
      <c r="W3085" t="s">
        <v>39308</v>
      </c>
      <c r="X3085" t="s">
        <v>42676</v>
      </c>
    </row>
    <row r="3086" spans="1:24">
      <c r="A3086">
        <f>HYPERLINK("https://www.philgeps.gov.ph/GEPSNONPILOT/Tender/SplashBidNoticeAbstractUI.aspx?menuIndex=3&amp;refID=7192108&amp;Result=3","7192108")</f>
        <v>0</v>
      </c>
      <c r="B3086" t="s">
        <v>1163</v>
      </c>
      <c r="C3086" t="s">
        <v>6464</v>
      </c>
      <c r="D3086" t="s">
        <v>17193</v>
      </c>
      <c r="E3086" t="s">
        <v>19973</v>
      </c>
      <c r="F3086" t="s">
        <v>29372</v>
      </c>
      <c r="G3086" t="s">
        <v>29379</v>
      </c>
      <c r="H3086" t="s">
        <v>11048</v>
      </c>
      <c r="I3086" t="s">
        <v>29399</v>
      </c>
      <c r="J3086" t="s">
        <v>31641</v>
      </c>
      <c r="K3086" t="s">
        <v>38488</v>
      </c>
      <c r="M3086" t="s">
        <v>39978</v>
      </c>
      <c r="N3086" t="s">
        <v>42669</v>
      </c>
      <c r="O3086" t="s">
        <v>42670</v>
      </c>
      <c r="P3086">
        <v>0</v>
      </c>
      <c r="Q3086">
        <v>2</v>
      </c>
      <c r="R3086" t="s">
        <v>42674</v>
      </c>
      <c r="S3086" t="s">
        <v>42788</v>
      </c>
      <c r="T3086" t="s">
        <v>44491</v>
      </c>
      <c r="U3086" t="s">
        <v>47367</v>
      </c>
      <c r="V3086" t="s">
        <v>56643</v>
      </c>
      <c r="W3086" t="s">
        <v>58036</v>
      </c>
      <c r="X3086" t="s">
        <v>42676</v>
      </c>
    </row>
    <row r="3087" spans="1:24">
      <c r="A3087">
        <f>HYPERLINK("https://www.philgeps.gov.ph/GEPSNONPILOT/Tender/SplashBidNoticeAbstractUI.aspx?menuIndex=3&amp;refID=7192101&amp;Result=3","7192101")</f>
        <v>0</v>
      </c>
      <c r="B3087" t="s">
        <v>1164</v>
      </c>
      <c r="C3087" t="s">
        <v>6465</v>
      </c>
      <c r="D3087" t="s">
        <v>17199</v>
      </c>
      <c r="E3087" t="s">
        <v>18861</v>
      </c>
      <c r="F3087" t="s">
        <v>29372</v>
      </c>
      <c r="G3087" t="s">
        <v>29380</v>
      </c>
      <c r="H3087" t="s">
        <v>11048</v>
      </c>
      <c r="I3087" t="s">
        <v>10408</v>
      </c>
      <c r="J3087" t="s">
        <v>30107</v>
      </c>
      <c r="K3087" t="s">
        <v>38487</v>
      </c>
      <c r="M3087" t="s">
        <v>39979</v>
      </c>
      <c r="N3087" t="s">
        <v>42669</v>
      </c>
      <c r="O3087" t="s">
        <v>42670</v>
      </c>
      <c r="P3087">
        <v>0</v>
      </c>
      <c r="Q3087">
        <v>0</v>
      </c>
      <c r="R3087" t="s">
        <v>42674</v>
      </c>
      <c r="S3087" t="s">
        <v>42788</v>
      </c>
      <c r="T3087" t="s">
        <v>44457</v>
      </c>
      <c r="U3087" t="s">
        <v>47368</v>
      </c>
      <c r="W3087" t="s">
        <v>39979</v>
      </c>
      <c r="X3087" t="s">
        <v>42676</v>
      </c>
    </row>
    <row r="3088" spans="1:24">
      <c r="A3088">
        <f>HYPERLINK("https://www.philgeps.gov.ph/GEPSNONPILOT/Tender/SplashBidNoticeAbstractUI.aspx?menuIndex=3&amp;refID=7192086&amp;Result=3","7192086")</f>
        <v>0</v>
      </c>
      <c r="B3088" t="s">
        <v>1165</v>
      </c>
      <c r="C3088" t="s">
        <v>6466</v>
      </c>
      <c r="D3088" t="s">
        <v>17180</v>
      </c>
      <c r="E3088" t="s">
        <v>6466</v>
      </c>
      <c r="F3088" t="s">
        <v>29372</v>
      </c>
      <c r="G3088" t="s">
        <v>29383</v>
      </c>
      <c r="H3088" t="s">
        <v>11048</v>
      </c>
      <c r="I3088" t="s">
        <v>29409</v>
      </c>
      <c r="J3088" t="s">
        <v>31642</v>
      </c>
      <c r="K3088" t="s">
        <v>38489</v>
      </c>
      <c r="M3088" t="s">
        <v>39980</v>
      </c>
      <c r="N3088" t="s">
        <v>42669</v>
      </c>
      <c r="O3088" t="s">
        <v>42670</v>
      </c>
      <c r="P3088">
        <v>0</v>
      </c>
      <c r="Q3088">
        <v>2</v>
      </c>
      <c r="R3088" t="s">
        <v>42674</v>
      </c>
      <c r="S3088" t="s">
        <v>42788</v>
      </c>
      <c r="T3088" t="s">
        <v>44481</v>
      </c>
      <c r="U3088" t="s">
        <v>47369</v>
      </c>
      <c r="W3088" t="s">
        <v>39980</v>
      </c>
      <c r="X3088" t="s">
        <v>42676</v>
      </c>
    </row>
    <row r="3089" spans="1:24">
      <c r="A3089">
        <f>HYPERLINK("https://www.philgeps.gov.ph/GEPSNONPILOT/Tender/SplashBidNoticeAbstractUI.aspx?menuIndex=3&amp;refID=7192128&amp;Result=3","7192128")</f>
        <v>0</v>
      </c>
      <c r="B3089" t="s">
        <v>1163</v>
      </c>
      <c r="C3089" t="s">
        <v>6467</v>
      </c>
      <c r="D3089" t="s">
        <v>17193</v>
      </c>
      <c r="E3089" t="s">
        <v>19974</v>
      </c>
      <c r="F3089" t="s">
        <v>29372</v>
      </c>
      <c r="G3089" t="s">
        <v>29379</v>
      </c>
      <c r="H3089" t="s">
        <v>11048</v>
      </c>
      <c r="I3089" t="s">
        <v>3670</v>
      </c>
      <c r="J3089" t="s">
        <v>31643</v>
      </c>
      <c r="K3089" t="s">
        <v>38488</v>
      </c>
      <c r="M3089" t="s">
        <v>39978</v>
      </c>
      <c r="N3089" t="s">
        <v>42669</v>
      </c>
      <c r="O3089" t="s">
        <v>42670</v>
      </c>
      <c r="P3089">
        <v>0</v>
      </c>
      <c r="Q3089">
        <v>1</v>
      </c>
      <c r="R3089" t="s">
        <v>42674</v>
      </c>
      <c r="S3089" t="s">
        <v>42788</v>
      </c>
      <c r="T3089" t="s">
        <v>44491</v>
      </c>
      <c r="U3089" t="s">
        <v>47370</v>
      </c>
      <c r="V3089" t="s">
        <v>56643</v>
      </c>
      <c r="W3089" t="s">
        <v>58036</v>
      </c>
      <c r="X3089" t="s">
        <v>42676</v>
      </c>
    </row>
    <row r="3090" spans="1:24">
      <c r="A3090">
        <f>HYPERLINK("https://www.philgeps.gov.ph/GEPSNONPILOT/Tender/SplashBidNoticeAbstractUI.aspx?menuIndex=3&amp;refID=7192093&amp;Result=3","7192093")</f>
        <v>0</v>
      </c>
      <c r="B3090" t="s">
        <v>1163</v>
      </c>
      <c r="C3090" t="s">
        <v>6468</v>
      </c>
      <c r="D3090" t="s">
        <v>17193</v>
      </c>
      <c r="E3090" t="s">
        <v>19975</v>
      </c>
      <c r="F3090" t="s">
        <v>29372</v>
      </c>
      <c r="G3090" t="s">
        <v>29382</v>
      </c>
      <c r="H3090" t="s">
        <v>11048</v>
      </c>
      <c r="I3090" t="s">
        <v>8614</v>
      </c>
      <c r="J3090" t="s">
        <v>31644</v>
      </c>
      <c r="K3090" t="s">
        <v>38488</v>
      </c>
      <c r="M3090" t="s">
        <v>39978</v>
      </c>
      <c r="N3090" t="s">
        <v>42669</v>
      </c>
      <c r="O3090" t="s">
        <v>42670</v>
      </c>
      <c r="P3090">
        <v>0</v>
      </c>
      <c r="Q3090">
        <v>4</v>
      </c>
      <c r="R3090" t="s">
        <v>42674</v>
      </c>
      <c r="S3090" t="s">
        <v>42788</v>
      </c>
      <c r="T3090" t="s">
        <v>44491</v>
      </c>
      <c r="U3090" t="s">
        <v>47371</v>
      </c>
      <c r="V3090" t="s">
        <v>56644</v>
      </c>
      <c r="W3090" t="s">
        <v>58036</v>
      </c>
      <c r="X3090" t="s">
        <v>42676</v>
      </c>
    </row>
    <row r="3091" spans="1:24">
      <c r="A3091">
        <f>HYPERLINK("https://www.philgeps.gov.ph/GEPSNONPILOT/Tender/SplashBidNoticeAbstractUI.aspx?menuIndex=3&amp;refID=7192165&amp;Result=3","7192165")</f>
        <v>0</v>
      </c>
      <c r="B3091" t="s">
        <v>1166</v>
      </c>
      <c r="C3091" t="s">
        <v>5753</v>
      </c>
      <c r="D3091" t="s">
        <v>17204</v>
      </c>
      <c r="E3091" t="s">
        <v>19976</v>
      </c>
      <c r="F3091" t="s">
        <v>29372</v>
      </c>
      <c r="G3091" t="s">
        <v>29380</v>
      </c>
      <c r="H3091" t="s">
        <v>11048</v>
      </c>
      <c r="I3091" t="s">
        <v>4709</v>
      </c>
      <c r="J3091" t="s">
        <v>29929</v>
      </c>
      <c r="K3091" t="s">
        <v>38491</v>
      </c>
      <c r="M3091" t="s">
        <v>39981</v>
      </c>
      <c r="N3091" t="s">
        <v>42669</v>
      </c>
      <c r="O3091" t="s">
        <v>42670</v>
      </c>
      <c r="P3091">
        <v>0</v>
      </c>
      <c r="Q3091">
        <v>0</v>
      </c>
      <c r="R3091" t="s">
        <v>42674</v>
      </c>
      <c r="S3091" t="s">
        <v>42788</v>
      </c>
      <c r="T3091" t="s">
        <v>44504</v>
      </c>
      <c r="U3091" t="s">
        <v>47372</v>
      </c>
      <c r="W3091" t="s">
        <v>39981</v>
      </c>
      <c r="X3091" t="s">
        <v>42676</v>
      </c>
    </row>
    <row r="3092" spans="1:24">
      <c r="A3092">
        <f>HYPERLINK("https://www.philgeps.gov.ph/GEPSNONPILOT/Tender/SplashBidNoticeAbstractUI.aspx?menuIndex=3&amp;refID=7192160&amp;Result=3","7192160")</f>
        <v>0</v>
      </c>
      <c r="B3092" t="s">
        <v>851</v>
      </c>
      <c r="C3092" t="s">
        <v>6469</v>
      </c>
      <c r="D3092" t="s">
        <v>17160</v>
      </c>
      <c r="E3092" t="s">
        <v>19977</v>
      </c>
      <c r="F3092" t="s">
        <v>29372</v>
      </c>
      <c r="G3092" t="s">
        <v>29379</v>
      </c>
      <c r="H3092" t="s">
        <v>11048</v>
      </c>
      <c r="I3092" t="s">
        <v>8614</v>
      </c>
      <c r="J3092" t="s">
        <v>30386</v>
      </c>
      <c r="K3092" t="s">
        <v>38491</v>
      </c>
      <c r="M3092" t="s">
        <v>39641</v>
      </c>
      <c r="N3092" t="s">
        <v>42669</v>
      </c>
      <c r="O3092" t="s">
        <v>42670</v>
      </c>
      <c r="P3092">
        <v>0</v>
      </c>
      <c r="Q3092">
        <v>1</v>
      </c>
      <c r="R3092" t="s">
        <v>42674</v>
      </c>
      <c r="S3092" t="s">
        <v>42788</v>
      </c>
      <c r="T3092" t="s">
        <v>44480</v>
      </c>
      <c r="U3092" t="s">
        <v>47373</v>
      </c>
      <c r="W3092" t="s">
        <v>39641</v>
      </c>
      <c r="X3092" t="s">
        <v>42676</v>
      </c>
    </row>
    <row r="3093" spans="1:24">
      <c r="A3093">
        <f>HYPERLINK("https://www.philgeps.gov.ph/GEPSNONPILOT/Tender/SplashBidNoticeAbstractUI.aspx?menuIndex=3&amp;refID=7192082&amp;Result=3","7192082")</f>
        <v>0</v>
      </c>
      <c r="B3093" t="s">
        <v>1167</v>
      </c>
      <c r="C3093" t="s">
        <v>6470</v>
      </c>
      <c r="D3093" t="s">
        <v>17212</v>
      </c>
      <c r="E3093" t="s">
        <v>19978</v>
      </c>
      <c r="F3093" t="s">
        <v>29372</v>
      </c>
      <c r="G3093" t="s">
        <v>29380</v>
      </c>
      <c r="H3093" t="s">
        <v>29389</v>
      </c>
      <c r="I3093" t="s">
        <v>10408</v>
      </c>
      <c r="J3093" t="s">
        <v>31645</v>
      </c>
      <c r="K3093" t="s">
        <v>38601</v>
      </c>
      <c r="M3093" t="s">
        <v>39982</v>
      </c>
      <c r="N3093" t="s">
        <v>42669</v>
      </c>
      <c r="O3093" t="s">
        <v>42670</v>
      </c>
      <c r="P3093">
        <v>0</v>
      </c>
      <c r="Q3093">
        <v>0</v>
      </c>
      <c r="R3093" t="s">
        <v>42674</v>
      </c>
      <c r="S3093" t="s">
        <v>42788</v>
      </c>
      <c r="T3093" t="s">
        <v>44504</v>
      </c>
      <c r="U3093" t="s">
        <v>47374</v>
      </c>
      <c r="W3093" t="s">
        <v>39982</v>
      </c>
      <c r="X3093" t="s">
        <v>42676</v>
      </c>
    </row>
    <row r="3094" spans="1:24">
      <c r="A3094">
        <f>HYPERLINK("https://www.philgeps.gov.ph/GEPSNONPILOT/Tender/SplashBidNoticeAbstractUI.aspx?menuIndex=3&amp;refID=7192089&amp;Result=3","7192089")</f>
        <v>0</v>
      </c>
      <c r="B3094" t="s">
        <v>998</v>
      </c>
      <c r="C3094" t="s">
        <v>6471</v>
      </c>
      <c r="D3094" t="s">
        <v>17141</v>
      </c>
      <c r="E3094" t="s">
        <v>19979</v>
      </c>
      <c r="F3094" t="s">
        <v>29372</v>
      </c>
      <c r="G3094" t="s">
        <v>29382</v>
      </c>
      <c r="H3094" t="s">
        <v>11048</v>
      </c>
      <c r="I3094" t="s">
        <v>29427</v>
      </c>
      <c r="J3094" t="s">
        <v>31646</v>
      </c>
      <c r="K3094" t="s">
        <v>38491</v>
      </c>
      <c r="M3094" t="s">
        <v>39798</v>
      </c>
      <c r="N3094" t="s">
        <v>42669</v>
      </c>
      <c r="O3094" t="s">
        <v>42670</v>
      </c>
      <c r="P3094">
        <v>0</v>
      </c>
      <c r="Q3094">
        <v>1</v>
      </c>
      <c r="R3094" t="s">
        <v>42674</v>
      </c>
      <c r="S3094" t="s">
        <v>42788</v>
      </c>
      <c r="T3094" t="s">
        <v>44399</v>
      </c>
      <c r="U3094" t="s">
        <v>47375</v>
      </c>
      <c r="V3094" t="s">
        <v>56645</v>
      </c>
      <c r="W3094" t="s">
        <v>39798</v>
      </c>
      <c r="X3094" t="s">
        <v>42676</v>
      </c>
    </row>
    <row r="3095" spans="1:24">
      <c r="A3095">
        <f>HYPERLINK("https://www.philgeps.gov.ph/GEPSNONPILOT/Tender/SplashBidNoticeAbstractUI.aspx?menuIndex=3&amp;refID=7192158&amp;Result=3","7192158")</f>
        <v>0</v>
      </c>
      <c r="B3095" t="s">
        <v>560</v>
      </c>
      <c r="C3095" t="s">
        <v>6472</v>
      </c>
      <c r="D3095" t="s">
        <v>17180</v>
      </c>
      <c r="E3095" t="s">
        <v>19980</v>
      </c>
      <c r="F3095" t="s">
        <v>29372</v>
      </c>
      <c r="G3095" t="s">
        <v>29380</v>
      </c>
      <c r="H3095" t="s">
        <v>29389</v>
      </c>
      <c r="I3095" t="s">
        <v>10408</v>
      </c>
      <c r="J3095" t="s">
        <v>31647</v>
      </c>
      <c r="K3095" t="s">
        <v>38602</v>
      </c>
      <c r="M3095" t="s">
        <v>39329</v>
      </c>
      <c r="N3095" t="s">
        <v>42669</v>
      </c>
      <c r="O3095" t="s">
        <v>42670</v>
      </c>
      <c r="P3095">
        <v>0</v>
      </c>
      <c r="Q3095">
        <v>8</v>
      </c>
      <c r="R3095" t="s">
        <v>42674</v>
      </c>
      <c r="S3095" t="s">
        <v>42788</v>
      </c>
      <c r="T3095" t="s">
        <v>44542</v>
      </c>
      <c r="U3095" t="s">
        <v>47027</v>
      </c>
      <c r="V3095" t="s">
        <v>56611</v>
      </c>
      <c r="W3095" t="s">
        <v>39329</v>
      </c>
      <c r="X3095" t="s">
        <v>42676</v>
      </c>
    </row>
    <row r="3096" spans="1:24">
      <c r="A3096">
        <f>HYPERLINK("https://www.philgeps.gov.ph/GEPSNONPILOT/Tender/SplashBidNoticeAbstractUI.aspx?menuIndex=3&amp;refID=7192161&amp;Result=3","7192161")</f>
        <v>0</v>
      </c>
      <c r="B3096" t="s">
        <v>1163</v>
      </c>
      <c r="C3096" t="s">
        <v>6473</v>
      </c>
      <c r="D3096" t="s">
        <v>17193</v>
      </c>
      <c r="E3096" t="s">
        <v>19981</v>
      </c>
      <c r="F3096" t="s">
        <v>29372</v>
      </c>
      <c r="G3096" t="s">
        <v>29379</v>
      </c>
      <c r="H3096" t="s">
        <v>11048</v>
      </c>
      <c r="I3096" t="s">
        <v>29393</v>
      </c>
      <c r="J3096" t="s">
        <v>31648</v>
      </c>
      <c r="K3096" t="s">
        <v>38603</v>
      </c>
      <c r="M3096" t="s">
        <v>39978</v>
      </c>
      <c r="N3096" t="s">
        <v>42669</v>
      </c>
      <c r="O3096" t="s">
        <v>42670</v>
      </c>
      <c r="P3096">
        <v>0</v>
      </c>
      <c r="Q3096">
        <v>0</v>
      </c>
      <c r="R3096" t="s">
        <v>42674</v>
      </c>
      <c r="S3096" t="s">
        <v>42788</v>
      </c>
      <c r="T3096" t="s">
        <v>44491</v>
      </c>
      <c r="U3096" t="s">
        <v>47376</v>
      </c>
      <c r="V3096" t="s">
        <v>56643</v>
      </c>
      <c r="W3096" t="s">
        <v>58036</v>
      </c>
      <c r="X3096" t="s">
        <v>42676</v>
      </c>
    </row>
    <row r="3097" spans="1:24">
      <c r="A3097">
        <f>HYPERLINK("https://www.philgeps.gov.ph/GEPSNONPILOT/Tender/SplashBidNoticeAbstractUI.aspx?menuIndex=3&amp;refID=7192153&amp;Result=3","7192153")</f>
        <v>0</v>
      </c>
      <c r="B3097" t="s">
        <v>1168</v>
      </c>
      <c r="C3097" t="s">
        <v>6474</v>
      </c>
      <c r="D3097" t="s">
        <v>17156</v>
      </c>
      <c r="E3097" t="s">
        <v>19982</v>
      </c>
      <c r="F3097" t="s">
        <v>29372</v>
      </c>
      <c r="G3097" t="s">
        <v>29379</v>
      </c>
      <c r="H3097" t="s">
        <v>11048</v>
      </c>
      <c r="I3097" t="s">
        <v>29403</v>
      </c>
      <c r="J3097" t="s">
        <v>31649</v>
      </c>
      <c r="K3097" t="s">
        <v>38485</v>
      </c>
      <c r="M3097" t="s">
        <v>39983</v>
      </c>
      <c r="N3097" t="s">
        <v>42669</v>
      </c>
      <c r="O3097" t="s">
        <v>42670</v>
      </c>
      <c r="P3097">
        <v>0</v>
      </c>
      <c r="Q3097">
        <v>0</v>
      </c>
      <c r="R3097" t="s">
        <v>42674</v>
      </c>
      <c r="S3097" t="s">
        <v>42788</v>
      </c>
      <c r="T3097" t="s">
        <v>44441</v>
      </c>
      <c r="U3097" t="s">
        <v>47377</v>
      </c>
      <c r="W3097" t="s">
        <v>39983</v>
      </c>
      <c r="X3097" t="s">
        <v>42676</v>
      </c>
    </row>
    <row r="3098" spans="1:24">
      <c r="A3098">
        <f>HYPERLINK("https://www.philgeps.gov.ph/GEPSNONPILOT/Tender/SplashBidNoticeAbstractUI.aspx?menuIndex=3&amp;refID=7192149&amp;Result=3","7192149")</f>
        <v>0</v>
      </c>
      <c r="B3098" t="s">
        <v>1164</v>
      </c>
      <c r="C3098" t="s">
        <v>6475</v>
      </c>
      <c r="D3098" t="s">
        <v>17199</v>
      </c>
      <c r="E3098" t="s">
        <v>19983</v>
      </c>
      <c r="F3098" t="s">
        <v>29372</v>
      </c>
      <c r="G3098" t="s">
        <v>29380</v>
      </c>
      <c r="H3098" t="s">
        <v>11048</v>
      </c>
      <c r="I3098" t="s">
        <v>10408</v>
      </c>
      <c r="J3098" t="s">
        <v>29604</v>
      </c>
      <c r="K3098" t="s">
        <v>38487</v>
      </c>
      <c r="M3098" t="s">
        <v>39979</v>
      </c>
      <c r="N3098" t="s">
        <v>42669</v>
      </c>
      <c r="O3098" t="s">
        <v>42670</v>
      </c>
      <c r="P3098">
        <v>0</v>
      </c>
      <c r="Q3098">
        <v>0</v>
      </c>
      <c r="R3098" t="s">
        <v>42674</v>
      </c>
      <c r="S3098" t="s">
        <v>42788</v>
      </c>
      <c r="T3098" t="s">
        <v>44457</v>
      </c>
      <c r="U3098" t="s">
        <v>47378</v>
      </c>
      <c r="W3098" t="s">
        <v>39979</v>
      </c>
      <c r="X3098" t="s">
        <v>42676</v>
      </c>
    </row>
    <row r="3099" spans="1:24">
      <c r="A3099">
        <f>HYPERLINK("https://www.philgeps.gov.ph/GEPSNONPILOT/Tender/SplashBidNoticeAbstractUI.aspx?menuIndex=3&amp;refID=7192159&amp;Result=3","7192159")</f>
        <v>0</v>
      </c>
      <c r="B3099" t="s">
        <v>1169</v>
      </c>
      <c r="C3099" t="s">
        <v>6476</v>
      </c>
      <c r="D3099" t="s">
        <v>17163</v>
      </c>
      <c r="E3099" t="s">
        <v>18032</v>
      </c>
      <c r="F3099" t="s">
        <v>29372</v>
      </c>
      <c r="G3099" t="s">
        <v>29383</v>
      </c>
      <c r="H3099" t="s">
        <v>11048</v>
      </c>
      <c r="I3099" t="s">
        <v>5383</v>
      </c>
      <c r="J3099" t="s">
        <v>31650</v>
      </c>
      <c r="K3099" t="s">
        <v>38511</v>
      </c>
      <c r="M3099" t="s">
        <v>39984</v>
      </c>
      <c r="N3099" t="s">
        <v>42669</v>
      </c>
      <c r="O3099" t="s">
        <v>42670</v>
      </c>
      <c r="P3099">
        <v>0</v>
      </c>
      <c r="Q3099">
        <v>6</v>
      </c>
      <c r="R3099" t="s">
        <v>42674</v>
      </c>
      <c r="S3099" t="s">
        <v>42788</v>
      </c>
      <c r="T3099" t="s">
        <v>44512</v>
      </c>
      <c r="U3099" t="s">
        <v>47379</v>
      </c>
      <c r="W3099" t="s">
        <v>39984</v>
      </c>
      <c r="X3099" t="s">
        <v>42676</v>
      </c>
    </row>
    <row r="3100" spans="1:24">
      <c r="A3100">
        <f>HYPERLINK("https://www.philgeps.gov.ph/GEPSNONPILOT/Tender/SplashBidNoticeAbstractUI.aspx?menuIndex=3&amp;refID=7192146&amp;Result=3","7192146")</f>
        <v>0</v>
      </c>
      <c r="B3100" t="s">
        <v>968</v>
      </c>
      <c r="C3100" t="s">
        <v>6477</v>
      </c>
      <c r="D3100" t="s">
        <v>17197</v>
      </c>
      <c r="E3100" t="s">
        <v>19984</v>
      </c>
      <c r="F3100" t="s">
        <v>29372</v>
      </c>
      <c r="G3100" t="s">
        <v>29379</v>
      </c>
      <c r="H3100" t="s">
        <v>11048</v>
      </c>
      <c r="I3100" t="s">
        <v>3839</v>
      </c>
      <c r="J3100" t="s">
        <v>30036</v>
      </c>
      <c r="K3100" t="s">
        <v>38538</v>
      </c>
      <c r="M3100" t="s">
        <v>39764</v>
      </c>
      <c r="N3100" t="s">
        <v>42669</v>
      </c>
      <c r="O3100" t="s">
        <v>42670</v>
      </c>
      <c r="P3100">
        <v>0</v>
      </c>
      <c r="Q3100">
        <v>0</v>
      </c>
      <c r="R3100" t="s">
        <v>42674</v>
      </c>
      <c r="S3100" t="s">
        <v>42788</v>
      </c>
      <c r="T3100" t="s">
        <v>44427</v>
      </c>
      <c r="U3100" t="s">
        <v>47380</v>
      </c>
      <c r="W3100" t="s">
        <v>39764</v>
      </c>
      <c r="X3100" t="s">
        <v>42676</v>
      </c>
    </row>
    <row r="3101" spans="1:24">
      <c r="A3101">
        <f>HYPERLINK("https://www.philgeps.gov.ph/GEPSNONPILOT/Tender/SplashBidNoticeAbstractUI.aspx?menuIndex=3&amp;refID=7192104&amp;Result=3","7192104")</f>
        <v>0</v>
      </c>
      <c r="B3101" t="s">
        <v>1165</v>
      </c>
      <c r="C3101" t="s">
        <v>6478</v>
      </c>
      <c r="D3101" t="s">
        <v>17180</v>
      </c>
      <c r="E3101" t="s">
        <v>6478</v>
      </c>
      <c r="F3101" t="s">
        <v>29372</v>
      </c>
      <c r="G3101" t="s">
        <v>29383</v>
      </c>
      <c r="H3101" t="s">
        <v>11048</v>
      </c>
      <c r="I3101" t="s">
        <v>4709</v>
      </c>
      <c r="J3101" t="s">
        <v>29642</v>
      </c>
      <c r="K3101" t="s">
        <v>38489</v>
      </c>
      <c r="M3101" t="s">
        <v>39980</v>
      </c>
      <c r="N3101" t="s">
        <v>42669</v>
      </c>
      <c r="O3101" t="s">
        <v>42670</v>
      </c>
      <c r="P3101">
        <v>0</v>
      </c>
      <c r="Q3101">
        <v>0</v>
      </c>
      <c r="R3101" t="s">
        <v>42674</v>
      </c>
      <c r="S3101" t="s">
        <v>42788</v>
      </c>
      <c r="T3101" t="s">
        <v>44481</v>
      </c>
      <c r="U3101" t="s">
        <v>47369</v>
      </c>
      <c r="W3101" t="s">
        <v>39980</v>
      </c>
      <c r="X3101" t="s">
        <v>42676</v>
      </c>
    </row>
    <row r="3102" spans="1:24">
      <c r="A3102">
        <f>HYPERLINK("https://www.philgeps.gov.ph/GEPSNONPILOT/Tender/SplashBidNoticeAbstractUI.aspx?menuIndex=3&amp;refID=7192211&amp;Result=3","7192211")</f>
        <v>0</v>
      </c>
      <c r="B3102" t="s">
        <v>1170</v>
      </c>
      <c r="C3102" t="s">
        <v>6479</v>
      </c>
      <c r="D3102" t="s">
        <v>17169</v>
      </c>
      <c r="E3102" t="s">
        <v>19985</v>
      </c>
      <c r="F3102" t="s">
        <v>29372</v>
      </c>
      <c r="G3102" t="s">
        <v>29383</v>
      </c>
      <c r="H3102" t="s">
        <v>11048</v>
      </c>
      <c r="I3102" t="s">
        <v>3952</v>
      </c>
      <c r="J3102" t="s">
        <v>29980</v>
      </c>
      <c r="K3102" t="s">
        <v>38534</v>
      </c>
      <c r="M3102" t="s">
        <v>39985</v>
      </c>
      <c r="N3102" t="s">
        <v>42669</v>
      </c>
      <c r="O3102" t="s">
        <v>42670</v>
      </c>
      <c r="P3102">
        <v>0</v>
      </c>
      <c r="Q3102">
        <v>5</v>
      </c>
      <c r="R3102" t="s">
        <v>42674</v>
      </c>
      <c r="S3102" t="s">
        <v>42788</v>
      </c>
      <c r="T3102" t="s">
        <v>44417</v>
      </c>
      <c r="U3102" t="s">
        <v>47381</v>
      </c>
      <c r="W3102" t="s">
        <v>39985</v>
      </c>
      <c r="X3102" t="s">
        <v>42676</v>
      </c>
    </row>
    <row r="3103" spans="1:24">
      <c r="A3103">
        <f>HYPERLINK("https://www.philgeps.gov.ph/GEPSNONPILOT/Tender/SplashBidNoticeAbstractUI.aspx?menuIndex=3&amp;refID=7192150&amp;Result=3","7192150")</f>
        <v>0</v>
      </c>
      <c r="B3103" t="s">
        <v>1152</v>
      </c>
      <c r="C3103" t="s">
        <v>6480</v>
      </c>
      <c r="D3103" t="s">
        <v>17204</v>
      </c>
      <c r="E3103" t="s">
        <v>19986</v>
      </c>
      <c r="F3103" t="s">
        <v>29372</v>
      </c>
      <c r="G3103" t="s">
        <v>29383</v>
      </c>
      <c r="H3103" t="s">
        <v>11048</v>
      </c>
      <c r="I3103" t="s">
        <v>14920</v>
      </c>
      <c r="J3103" t="s">
        <v>29823</v>
      </c>
      <c r="K3103" t="s">
        <v>38528</v>
      </c>
      <c r="M3103" t="s">
        <v>39966</v>
      </c>
      <c r="N3103" t="s">
        <v>42669</v>
      </c>
      <c r="O3103" t="s">
        <v>42670</v>
      </c>
      <c r="P3103">
        <v>0</v>
      </c>
      <c r="Q3103">
        <v>2</v>
      </c>
      <c r="R3103" t="s">
        <v>42674</v>
      </c>
      <c r="S3103" t="s">
        <v>42788</v>
      </c>
      <c r="T3103" t="s">
        <v>44488</v>
      </c>
      <c r="U3103" t="s">
        <v>47382</v>
      </c>
      <c r="V3103" t="s">
        <v>56640</v>
      </c>
      <c r="W3103" t="s">
        <v>39966</v>
      </c>
      <c r="X3103" t="s">
        <v>42676</v>
      </c>
    </row>
    <row r="3104" spans="1:24">
      <c r="A3104">
        <f>HYPERLINK("https://www.philgeps.gov.ph/GEPSNONPILOT/Tender/SplashBidNoticeAbstractUI.aspx?menuIndex=3&amp;refID=7192210&amp;Result=3","7192210")</f>
        <v>0</v>
      </c>
      <c r="B3104" t="s">
        <v>1162</v>
      </c>
      <c r="C3104" t="s">
        <v>6481</v>
      </c>
      <c r="D3104" t="s">
        <v>17180</v>
      </c>
      <c r="E3104" t="s">
        <v>19987</v>
      </c>
      <c r="F3104" t="s">
        <v>29372</v>
      </c>
      <c r="G3104" t="s">
        <v>29379</v>
      </c>
      <c r="H3104" t="s">
        <v>11048</v>
      </c>
      <c r="I3104" t="s">
        <v>29394</v>
      </c>
      <c r="J3104" t="s">
        <v>31651</v>
      </c>
      <c r="K3104" t="s">
        <v>38490</v>
      </c>
      <c r="M3104" t="s">
        <v>39977</v>
      </c>
      <c r="N3104" t="s">
        <v>42669</v>
      </c>
      <c r="O3104" t="s">
        <v>42670</v>
      </c>
      <c r="P3104">
        <v>0</v>
      </c>
      <c r="Q3104">
        <v>2</v>
      </c>
      <c r="R3104" t="s">
        <v>42674</v>
      </c>
      <c r="S3104" t="s">
        <v>42788</v>
      </c>
      <c r="T3104" t="s">
        <v>44371</v>
      </c>
      <c r="U3104" t="s">
        <v>47383</v>
      </c>
      <c r="W3104" t="s">
        <v>39977</v>
      </c>
      <c r="X3104" t="s">
        <v>42676</v>
      </c>
    </row>
    <row r="3105" spans="1:24">
      <c r="A3105">
        <f>HYPERLINK("https://www.philgeps.gov.ph/GEPSNONPILOT/Tender/SplashBidNoticeAbstractUI.aspx?menuIndex=3&amp;refID=7192208&amp;Result=3","7192208")</f>
        <v>0</v>
      </c>
      <c r="B3105" t="s">
        <v>979</v>
      </c>
      <c r="C3105" t="s">
        <v>6482</v>
      </c>
      <c r="D3105" t="s">
        <v>17178</v>
      </c>
      <c r="E3105" t="s">
        <v>19988</v>
      </c>
      <c r="F3105" t="s">
        <v>29372</v>
      </c>
      <c r="G3105" t="s">
        <v>29379</v>
      </c>
      <c r="H3105" t="s">
        <v>11048</v>
      </c>
      <c r="I3105" t="s">
        <v>29393</v>
      </c>
      <c r="J3105" t="s">
        <v>31652</v>
      </c>
      <c r="K3105" t="s">
        <v>38517</v>
      </c>
      <c r="M3105" t="s">
        <v>39776</v>
      </c>
      <c r="N3105" t="s">
        <v>42669</v>
      </c>
      <c r="O3105" t="s">
        <v>42670</v>
      </c>
      <c r="P3105">
        <v>0</v>
      </c>
      <c r="Q3105">
        <v>0</v>
      </c>
      <c r="R3105" t="s">
        <v>42674</v>
      </c>
      <c r="S3105" t="s">
        <v>42788</v>
      </c>
      <c r="T3105" t="s">
        <v>44524</v>
      </c>
      <c r="U3105" t="s">
        <v>47384</v>
      </c>
      <c r="W3105" t="s">
        <v>39776</v>
      </c>
      <c r="X3105" t="s">
        <v>42676</v>
      </c>
    </row>
    <row r="3106" spans="1:24">
      <c r="A3106">
        <f>HYPERLINK("https://www.philgeps.gov.ph/GEPSNONPILOT/Tender/SplashBidNoticeAbstractUI.aspx?menuIndex=3&amp;refID=7192147&amp;Result=3","7192147")</f>
        <v>0</v>
      </c>
      <c r="B3106" t="s">
        <v>1014</v>
      </c>
      <c r="C3106" t="s">
        <v>6483</v>
      </c>
      <c r="E3106" t="s">
        <v>6483</v>
      </c>
      <c r="F3106" t="s">
        <v>29372</v>
      </c>
      <c r="G3106" t="s">
        <v>29379</v>
      </c>
      <c r="H3106" t="s">
        <v>11048</v>
      </c>
      <c r="I3106" t="s">
        <v>29410</v>
      </c>
      <c r="J3106" t="s">
        <v>31653</v>
      </c>
      <c r="K3106" t="s">
        <v>38510</v>
      </c>
      <c r="M3106" t="s">
        <v>39814</v>
      </c>
      <c r="N3106" t="s">
        <v>42669</v>
      </c>
      <c r="O3106" t="s">
        <v>42670</v>
      </c>
      <c r="P3106">
        <v>0</v>
      </c>
      <c r="Q3106">
        <v>0</v>
      </c>
      <c r="R3106" t="s">
        <v>42674</v>
      </c>
      <c r="S3106" t="s">
        <v>42788</v>
      </c>
      <c r="T3106" t="s">
        <v>44432</v>
      </c>
      <c r="U3106" t="s">
        <v>47385</v>
      </c>
      <c r="W3106" t="s">
        <v>39814</v>
      </c>
      <c r="X3106" t="s">
        <v>42676</v>
      </c>
    </row>
    <row r="3107" spans="1:24">
      <c r="A3107">
        <f>HYPERLINK("https://www.philgeps.gov.ph/GEPSNONPILOT/Tender/SplashBidNoticeAbstractUI.aspx?menuIndex=3&amp;refID=7192205&amp;Result=3","7192205")</f>
        <v>0</v>
      </c>
      <c r="B3107" t="s">
        <v>1171</v>
      </c>
      <c r="C3107" t="s">
        <v>6484</v>
      </c>
      <c r="D3107" t="s">
        <v>17166</v>
      </c>
      <c r="E3107" t="s">
        <v>19989</v>
      </c>
      <c r="F3107" t="s">
        <v>29372</v>
      </c>
      <c r="G3107" t="s">
        <v>29383</v>
      </c>
      <c r="H3107" t="s">
        <v>11048</v>
      </c>
      <c r="I3107" t="s">
        <v>29396</v>
      </c>
      <c r="J3107" t="s">
        <v>31654</v>
      </c>
      <c r="K3107" t="s">
        <v>38485</v>
      </c>
      <c r="M3107" t="s">
        <v>39986</v>
      </c>
      <c r="N3107" t="s">
        <v>42669</v>
      </c>
      <c r="O3107" t="s">
        <v>42670</v>
      </c>
      <c r="P3107">
        <v>0</v>
      </c>
      <c r="Q3107">
        <v>2</v>
      </c>
      <c r="R3107" t="s">
        <v>42674</v>
      </c>
      <c r="S3107" t="s">
        <v>42788</v>
      </c>
      <c r="T3107" t="s">
        <v>44462</v>
      </c>
      <c r="U3107" t="s">
        <v>47386</v>
      </c>
      <c r="W3107" t="s">
        <v>39986</v>
      </c>
      <c r="X3107" t="s">
        <v>42676</v>
      </c>
    </row>
    <row r="3108" spans="1:24">
      <c r="A3108">
        <f>HYPERLINK("https://www.philgeps.gov.ph/GEPSNONPILOT/Tender/SplashBidNoticeAbstractUI.aspx?menuIndex=3&amp;refID=7192199&amp;Result=3","7192199")</f>
        <v>0</v>
      </c>
      <c r="B3108" t="s">
        <v>755</v>
      </c>
      <c r="C3108" t="s">
        <v>6485</v>
      </c>
      <c r="D3108" t="s">
        <v>17174</v>
      </c>
      <c r="E3108" t="s">
        <v>19990</v>
      </c>
      <c r="F3108" t="s">
        <v>29372</v>
      </c>
      <c r="G3108" t="s">
        <v>29380</v>
      </c>
      <c r="H3108" t="s">
        <v>11048</v>
      </c>
      <c r="I3108" t="s">
        <v>9469</v>
      </c>
      <c r="J3108" t="s">
        <v>29728</v>
      </c>
      <c r="K3108" t="s">
        <v>38522</v>
      </c>
      <c r="M3108" t="s">
        <v>39538</v>
      </c>
      <c r="N3108" t="s">
        <v>42669</v>
      </c>
      <c r="O3108" t="s">
        <v>42670</v>
      </c>
      <c r="P3108">
        <v>0</v>
      </c>
      <c r="Q3108">
        <v>4</v>
      </c>
      <c r="R3108" t="s">
        <v>42674</v>
      </c>
      <c r="S3108" t="s">
        <v>42788</v>
      </c>
      <c r="T3108" t="s">
        <v>44622</v>
      </c>
      <c r="U3108" t="s">
        <v>47387</v>
      </c>
      <c r="W3108" t="s">
        <v>39538</v>
      </c>
      <c r="X3108" t="s">
        <v>42676</v>
      </c>
    </row>
    <row r="3109" spans="1:24">
      <c r="A3109">
        <f>HYPERLINK("https://www.philgeps.gov.ph/GEPSNONPILOT/Tender/SplashBidNoticeAbstractUI.aspx?menuIndex=3&amp;refID=7192198&amp;Result=3","7192198")</f>
        <v>0</v>
      </c>
      <c r="B3109" t="s">
        <v>1161</v>
      </c>
      <c r="C3109" t="s">
        <v>6486</v>
      </c>
      <c r="D3109" t="s">
        <v>17144</v>
      </c>
      <c r="E3109" t="s">
        <v>19439</v>
      </c>
      <c r="F3109" t="s">
        <v>29372</v>
      </c>
      <c r="G3109" t="s">
        <v>29379</v>
      </c>
      <c r="H3109" t="s">
        <v>11048</v>
      </c>
      <c r="I3109" t="s">
        <v>3629</v>
      </c>
      <c r="J3109" t="s">
        <v>31655</v>
      </c>
      <c r="K3109" t="s">
        <v>38496</v>
      </c>
      <c r="M3109" t="s">
        <v>39976</v>
      </c>
      <c r="N3109" t="s">
        <v>42669</v>
      </c>
      <c r="O3109" t="s">
        <v>42670</v>
      </c>
      <c r="P3109">
        <v>0</v>
      </c>
      <c r="Q3109">
        <v>0</v>
      </c>
      <c r="R3109" t="s">
        <v>42674</v>
      </c>
      <c r="S3109" t="s">
        <v>42788</v>
      </c>
      <c r="T3109" t="s">
        <v>44481</v>
      </c>
      <c r="U3109" t="s">
        <v>47388</v>
      </c>
      <c r="W3109" t="s">
        <v>39976</v>
      </c>
      <c r="X3109" t="s">
        <v>42676</v>
      </c>
    </row>
    <row r="3110" spans="1:24">
      <c r="A3110">
        <f>HYPERLINK("https://www.philgeps.gov.ph/GEPSNONPILOT/Tender/SplashBidNoticeAbstractUI.aspx?menuIndex=3&amp;refID=7192152&amp;Result=3","7192152")</f>
        <v>0</v>
      </c>
      <c r="B3110" t="s">
        <v>1172</v>
      </c>
      <c r="C3110" t="s">
        <v>6487</v>
      </c>
      <c r="D3110" t="s">
        <v>17141</v>
      </c>
      <c r="E3110" t="s">
        <v>19991</v>
      </c>
      <c r="F3110" t="s">
        <v>29372</v>
      </c>
      <c r="G3110" t="s">
        <v>29386</v>
      </c>
      <c r="H3110" t="s">
        <v>29391</v>
      </c>
      <c r="I3110" t="s">
        <v>29391</v>
      </c>
      <c r="J3110" t="s">
        <v>30525</v>
      </c>
      <c r="K3110" t="s">
        <v>38570</v>
      </c>
      <c r="M3110" t="s">
        <v>39987</v>
      </c>
      <c r="N3110" t="s">
        <v>42669</v>
      </c>
      <c r="O3110" t="s">
        <v>42670</v>
      </c>
      <c r="P3110">
        <v>0</v>
      </c>
      <c r="Q3110">
        <v>5</v>
      </c>
      <c r="R3110" t="s">
        <v>42674</v>
      </c>
      <c r="S3110" t="s">
        <v>42788</v>
      </c>
      <c r="T3110" t="s">
        <v>44468</v>
      </c>
      <c r="U3110" t="s">
        <v>47389</v>
      </c>
      <c r="W3110" t="s">
        <v>39987</v>
      </c>
      <c r="X3110" t="s">
        <v>42676</v>
      </c>
    </row>
    <row r="3111" spans="1:24">
      <c r="A3111">
        <f>HYPERLINK("https://www.philgeps.gov.ph/GEPSNONPILOT/Tender/SplashBidNoticeAbstractUI.aspx?menuIndex=3&amp;refID=7192186&amp;Result=3","7192186")</f>
        <v>0</v>
      </c>
      <c r="B3111" t="s">
        <v>1173</v>
      </c>
      <c r="C3111" t="s">
        <v>6488</v>
      </c>
      <c r="D3111" t="s">
        <v>17172</v>
      </c>
      <c r="E3111" t="s">
        <v>19992</v>
      </c>
      <c r="F3111" t="s">
        <v>29372</v>
      </c>
      <c r="G3111" t="s">
        <v>29380</v>
      </c>
      <c r="H3111" t="s">
        <v>29389</v>
      </c>
      <c r="I3111" t="s">
        <v>10408</v>
      </c>
      <c r="J3111" t="s">
        <v>31656</v>
      </c>
      <c r="K3111" t="s">
        <v>38527</v>
      </c>
      <c r="M3111" t="s">
        <v>39988</v>
      </c>
      <c r="N3111" t="s">
        <v>42669</v>
      </c>
      <c r="O3111" t="s">
        <v>42670</v>
      </c>
      <c r="P3111">
        <v>0</v>
      </c>
      <c r="Q3111">
        <v>0</v>
      </c>
      <c r="R3111" t="s">
        <v>42674</v>
      </c>
      <c r="S3111" t="s">
        <v>42788</v>
      </c>
      <c r="T3111" t="s">
        <v>44525</v>
      </c>
      <c r="U3111" t="s">
        <v>47390</v>
      </c>
      <c r="W3111" t="s">
        <v>39988</v>
      </c>
      <c r="X3111" t="s">
        <v>42676</v>
      </c>
    </row>
    <row r="3112" spans="1:24">
      <c r="A3112">
        <f>HYPERLINK("https://www.philgeps.gov.ph/GEPSNONPILOT/Tender/SplashBidNoticeAbstractUI.aspx?menuIndex=3&amp;refID=7192184&amp;Result=3","7192184")</f>
        <v>0</v>
      </c>
      <c r="B3112" t="s">
        <v>1174</v>
      </c>
      <c r="C3112" t="s">
        <v>6489</v>
      </c>
      <c r="D3112" t="s">
        <v>17151</v>
      </c>
      <c r="E3112" t="s">
        <v>19993</v>
      </c>
      <c r="F3112" t="s">
        <v>29372</v>
      </c>
      <c r="G3112" t="s">
        <v>29379</v>
      </c>
      <c r="H3112" t="s">
        <v>11048</v>
      </c>
      <c r="I3112" t="s">
        <v>29433</v>
      </c>
      <c r="J3112" t="s">
        <v>31657</v>
      </c>
      <c r="K3112" t="s">
        <v>38490</v>
      </c>
      <c r="M3112" t="s">
        <v>39989</v>
      </c>
      <c r="N3112" t="s">
        <v>42669</v>
      </c>
      <c r="O3112" t="s">
        <v>42670</v>
      </c>
      <c r="P3112">
        <v>0</v>
      </c>
      <c r="Q3112">
        <v>5</v>
      </c>
      <c r="R3112" t="s">
        <v>42674</v>
      </c>
      <c r="S3112" t="s">
        <v>42788</v>
      </c>
      <c r="T3112" t="s">
        <v>44468</v>
      </c>
      <c r="U3112" t="s">
        <v>47391</v>
      </c>
      <c r="W3112" t="s">
        <v>39989</v>
      </c>
      <c r="X3112" t="s">
        <v>42676</v>
      </c>
    </row>
    <row r="3113" spans="1:24">
      <c r="A3113">
        <f>HYPERLINK("https://www.philgeps.gov.ph/GEPSNONPILOT/Tender/SplashBidNoticeAbstractUI.aspx?menuIndex=3&amp;refID=7192179&amp;Result=3","7192179")</f>
        <v>0</v>
      </c>
      <c r="B3113" t="s">
        <v>1162</v>
      </c>
      <c r="C3113" t="s">
        <v>6490</v>
      </c>
      <c r="D3113" t="s">
        <v>17180</v>
      </c>
      <c r="E3113" t="s">
        <v>19994</v>
      </c>
      <c r="F3113" t="s">
        <v>29372</v>
      </c>
      <c r="G3113" t="s">
        <v>29380</v>
      </c>
      <c r="H3113" t="s">
        <v>11048</v>
      </c>
      <c r="I3113" t="s">
        <v>29401</v>
      </c>
      <c r="J3113" t="s">
        <v>31658</v>
      </c>
      <c r="K3113" t="s">
        <v>38490</v>
      </c>
      <c r="M3113" t="s">
        <v>39977</v>
      </c>
      <c r="N3113" t="s">
        <v>42669</v>
      </c>
      <c r="O3113" t="s">
        <v>42670</v>
      </c>
      <c r="P3113">
        <v>0</v>
      </c>
      <c r="Q3113">
        <v>1</v>
      </c>
      <c r="R3113" t="s">
        <v>42674</v>
      </c>
      <c r="S3113" t="s">
        <v>42788</v>
      </c>
      <c r="T3113" t="s">
        <v>44357</v>
      </c>
      <c r="U3113" t="s">
        <v>47392</v>
      </c>
      <c r="W3113" t="s">
        <v>39977</v>
      </c>
      <c r="X3113" t="s">
        <v>42676</v>
      </c>
    </row>
    <row r="3114" spans="1:24">
      <c r="A3114">
        <f>HYPERLINK("https://www.philgeps.gov.ph/GEPSNONPILOT/Tender/SplashBidNoticeAbstractUI.aspx?menuIndex=3&amp;refID=7192178&amp;Result=3","7192178")</f>
        <v>0</v>
      </c>
      <c r="B3114" t="s">
        <v>1163</v>
      </c>
      <c r="C3114" t="s">
        <v>6491</v>
      </c>
      <c r="D3114" t="s">
        <v>17193</v>
      </c>
      <c r="E3114" t="s">
        <v>19995</v>
      </c>
      <c r="F3114" t="s">
        <v>29372</v>
      </c>
      <c r="G3114" t="s">
        <v>29379</v>
      </c>
      <c r="H3114" t="s">
        <v>11048</v>
      </c>
      <c r="I3114" t="s">
        <v>29393</v>
      </c>
      <c r="J3114" t="s">
        <v>31659</v>
      </c>
      <c r="K3114" t="s">
        <v>38603</v>
      </c>
      <c r="M3114" t="s">
        <v>39978</v>
      </c>
      <c r="N3114" t="s">
        <v>42669</v>
      </c>
      <c r="O3114" t="s">
        <v>42670</v>
      </c>
      <c r="P3114">
        <v>0</v>
      </c>
      <c r="Q3114">
        <v>0</v>
      </c>
      <c r="R3114" t="s">
        <v>42674</v>
      </c>
      <c r="S3114" t="s">
        <v>42788</v>
      </c>
      <c r="T3114" t="s">
        <v>44491</v>
      </c>
      <c r="U3114" t="s">
        <v>47393</v>
      </c>
      <c r="V3114" t="s">
        <v>56643</v>
      </c>
      <c r="W3114" t="s">
        <v>58036</v>
      </c>
      <c r="X3114" t="s">
        <v>42676</v>
      </c>
    </row>
    <row r="3115" spans="1:24">
      <c r="A3115">
        <f>HYPERLINK("https://www.philgeps.gov.ph/GEPSNONPILOT/Tender/SplashBidNoticeAbstractUI.aspx?menuIndex=3&amp;refID=7192176&amp;Result=3","7192176")</f>
        <v>0</v>
      </c>
      <c r="B3115" t="s">
        <v>781</v>
      </c>
      <c r="C3115" t="s">
        <v>6492</v>
      </c>
      <c r="D3115" t="s">
        <v>17163</v>
      </c>
      <c r="E3115" t="s">
        <v>19996</v>
      </c>
      <c r="F3115" t="s">
        <v>29372</v>
      </c>
      <c r="G3115" t="s">
        <v>29379</v>
      </c>
      <c r="H3115" t="s">
        <v>11048</v>
      </c>
      <c r="I3115" t="s">
        <v>8614</v>
      </c>
      <c r="J3115" t="s">
        <v>29563</v>
      </c>
      <c r="K3115" t="s">
        <v>38518</v>
      </c>
      <c r="M3115" t="s">
        <v>39565</v>
      </c>
      <c r="N3115" t="s">
        <v>42669</v>
      </c>
      <c r="O3115" t="s">
        <v>42670</v>
      </c>
      <c r="P3115">
        <v>0</v>
      </c>
      <c r="Q3115">
        <v>3</v>
      </c>
      <c r="R3115" t="s">
        <v>42674</v>
      </c>
      <c r="S3115" t="s">
        <v>42788</v>
      </c>
      <c r="T3115" t="s">
        <v>44371</v>
      </c>
      <c r="U3115" t="s">
        <v>46453</v>
      </c>
      <c r="V3115" t="s">
        <v>56646</v>
      </c>
      <c r="W3115" t="s">
        <v>58022</v>
      </c>
      <c r="X3115" t="s">
        <v>42676</v>
      </c>
    </row>
    <row r="3116" spans="1:24">
      <c r="A3116">
        <f>HYPERLINK("https://www.philgeps.gov.ph/GEPSNONPILOT/Tender/SplashBidNoticeAbstractUI.aspx?menuIndex=3&amp;refID=7192192&amp;Result=3","7192192")</f>
        <v>0</v>
      </c>
      <c r="B3116" t="s">
        <v>1175</v>
      </c>
      <c r="C3116" t="s">
        <v>6493</v>
      </c>
      <c r="D3116" t="s">
        <v>17182</v>
      </c>
      <c r="E3116" t="s">
        <v>19997</v>
      </c>
      <c r="F3116" t="s">
        <v>29372</v>
      </c>
      <c r="G3116" t="s">
        <v>29379</v>
      </c>
      <c r="H3116" t="s">
        <v>11048</v>
      </c>
      <c r="I3116" t="s">
        <v>9469</v>
      </c>
      <c r="J3116" t="s">
        <v>31660</v>
      </c>
      <c r="K3116" t="s">
        <v>38491</v>
      </c>
      <c r="M3116" t="s">
        <v>39990</v>
      </c>
      <c r="N3116" t="s">
        <v>42669</v>
      </c>
      <c r="O3116" t="s">
        <v>42670</v>
      </c>
      <c r="P3116">
        <v>0</v>
      </c>
      <c r="Q3116">
        <v>0</v>
      </c>
      <c r="R3116" t="s">
        <v>42674</v>
      </c>
      <c r="S3116" t="s">
        <v>42788</v>
      </c>
      <c r="T3116" t="s">
        <v>44430</v>
      </c>
      <c r="U3116" t="s">
        <v>47394</v>
      </c>
      <c r="W3116" t="s">
        <v>39990</v>
      </c>
      <c r="X3116" t="s">
        <v>42676</v>
      </c>
    </row>
    <row r="3117" spans="1:24">
      <c r="A3117">
        <f>HYPERLINK("https://www.philgeps.gov.ph/GEPSNONPILOT/Tender/SplashBidNoticeAbstractUI.aspx?menuIndex=3&amp;refID=7192175&amp;Result=3","7192175")</f>
        <v>0</v>
      </c>
      <c r="B3117" t="s">
        <v>469</v>
      </c>
      <c r="C3117" t="s">
        <v>6494</v>
      </c>
      <c r="D3117" t="s">
        <v>17170</v>
      </c>
      <c r="E3117" t="s">
        <v>19998</v>
      </c>
      <c r="F3117" t="s">
        <v>29372</v>
      </c>
      <c r="G3117" t="s">
        <v>29379</v>
      </c>
      <c r="H3117" t="s">
        <v>11048</v>
      </c>
      <c r="I3117" t="s">
        <v>5383</v>
      </c>
      <c r="J3117" t="s">
        <v>31661</v>
      </c>
      <c r="K3117" t="s">
        <v>38485</v>
      </c>
      <c r="M3117" t="s">
        <v>39233</v>
      </c>
      <c r="N3117" t="s">
        <v>42669</v>
      </c>
      <c r="O3117" t="s">
        <v>42670</v>
      </c>
      <c r="P3117">
        <v>0</v>
      </c>
      <c r="Q3117">
        <v>0</v>
      </c>
      <c r="R3117" t="s">
        <v>42674</v>
      </c>
      <c r="S3117" t="s">
        <v>42788</v>
      </c>
      <c r="T3117" t="s">
        <v>44432</v>
      </c>
      <c r="U3117" t="s">
        <v>47395</v>
      </c>
      <c r="W3117" t="s">
        <v>39233</v>
      </c>
      <c r="X3117" t="s">
        <v>42676</v>
      </c>
    </row>
    <row r="3118" spans="1:24">
      <c r="A3118">
        <f>HYPERLINK("https://www.philgeps.gov.ph/GEPSNONPILOT/Tender/SplashBidNoticeAbstractUI.aspx?menuIndex=3&amp;refID=7192185&amp;Result=3","7192185")</f>
        <v>0</v>
      </c>
      <c r="B3118" t="s">
        <v>1176</v>
      </c>
      <c r="C3118" t="s">
        <v>6495</v>
      </c>
      <c r="D3118" t="s">
        <v>17199</v>
      </c>
      <c r="E3118" t="s">
        <v>19999</v>
      </c>
      <c r="F3118" t="s">
        <v>29372</v>
      </c>
      <c r="G3118" t="s">
        <v>29383</v>
      </c>
      <c r="H3118" t="s">
        <v>11048</v>
      </c>
      <c r="I3118" t="s">
        <v>29398</v>
      </c>
      <c r="J3118" t="s">
        <v>31623</v>
      </c>
      <c r="K3118" t="s">
        <v>38490</v>
      </c>
      <c r="M3118" t="s">
        <v>39991</v>
      </c>
      <c r="N3118" t="s">
        <v>42669</v>
      </c>
      <c r="O3118" t="s">
        <v>42670</v>
      </c>
      <c r="P3118">
        <v>0</v>
      </c>
      <c r="Q3118">
        <v>2</v>
      </c>
      <c r="R3118" t="s">
        <v>42674</v>
      </c>
      <c r="S3118" t="s">
        <v>42788</v>
      </c>
      <c r="T3118" t="s">
        <v>44491</v>
      </c>
      <c r="U3118" t="s">
        <v>47396</v>
      </c>
      <c r="W3118" t="s">
        <v>39991</v>
      </c>
      <c r="X3118" t="s">
        <v>42676</v>
      </c>
    </row>
    <row r="3119" spans="1:24">
      <c r="A3119">
        <f>HYPERLINK("https://www.philgeps.gov.ph/GEPSNONPILOT/Tender/SplashBidNoticeAbstractUI.aspx?menuIndex=3&amp;refID=7192173&amp;Result=3","7192173")</f>
        <v>0</v>
      </c>
      <c r="B3119" t="s">
        <v>1034</v>
      </c>
      <c r="C3119" t="s">
        <v>6496</v>
      </c>
      <c r="D3119" t="s">
        <v>17199</v>
      </c>
      <c r="E3119" t="s">
        <v>20000</v>
      </c>
      <c r="F3119" t="s">
        <v>29372</v>
      </c>
      <c r="G3119" t="s">
        <v>29379</v>
      </c>
      <c r="H3119" t="s">
        <v>11048</v>
      </c>
      <c r="I3119" t="s">
        <v>29403</v>
      </c>
      <c r="J3119" t="s">
        <v>31662</v>
      </c>
      <c r="K3119" t="s">
        <v>38491</v>
      </c>
      <c r="M3119" t="s">
        <v>39837</v>
      </c>
      <c r="N3119" t="s">
        <v>42669</v>
      </c>
      <c r="O3119" t="s">
        <v>42670</v>
      </c>
      <c r="P3119">
        <v>0</v>
      </c>
      <c r="Q3119">
        <v>0</v>
      </c>
      <c r="R3119" t="s">
        <v>42674</v>
      </c>
      <c r="S3119" t="s">
        <v>42788</v>
      </c>
      <c r="T3119" t="s">
        <v>44427</v>
      </c>
      <c r="U3119" t="s">
        <v>47397</v>
      </c>
      <c r="W3119" t="s">
        <v>58033</v>
      </c>
      <c r="X3119" t="s">
        <v>42676</v>
      </c>
    </row>
    <row r="3120" spans="1:24">
      <c r="A3120">
        <f>HYPERLINK("https://www.philgeps.gov.ph/GEPSNONPILOT/Tender/SplashBidNoticeAbstractUI.aspx?menuIndex=3&amp;refID=7192255&amp;Result=3","7192255")</f>
        <v>0</v>
      </c>
      <c r="B3120" t="s">
        <v>1151</v>
      </c>
      <c r="C3120" t="s">
        <v>6497</v>
      </c>
      <c r="D3120" t="s">
        <v>17185</v>
      </c>
      <c r="E3120" t="s">
        <v>20001</v>
      </c>
      <c r="F3120" t="s">
        <v>29372</v>
      </c>
      <c r="G3120" t="s">
        <v>29379</v>
      </c>
      <c r="H3120" t="s">
        <v>11048</v>
      </c>
      <c r="I3120" t="s">
        <v>29426</v>
      </c>
      <c r="J3120" t="s">
        <v>30886</v>
      </c>
      <c r="K3120" t="s">
        <v>38485</v>
      </c>
      <c r="M3120" t="s">
        <v>39965</v>
      </c>
      <c r="N3120" t="s">
        <v>42669</v>
      </c>
      <c r="O3120" t="s">
        <v>42670</v>
      </c>
      <c r="P3120">
        <v>0</v>
      </c>
      <c r="Q3120">
        <v>1</v>
      </c>
      <c r="R3120" t="s">
        <v>42674</v>
      </c>
      <c r="S3120" t="s">
        <v>42788</v>
      </c>
      <c r="T3120" t="s">
        <v>44427</v>
      </c>
      <c r="U3120" t="s">
        <v>47398</v>
      </c>
      <c r="W3120" t="s">
        <v>39965</v>
      </c>
      <c r="X3120" t="s">
        <v>42676</v>
      </c>
    </row>
    <row r="3121" spans="1:24">
      <c r="A3121">
        <f>HYPERLINK("https://www.philgeps.gov.ph/GEPSNONPILOT/Tender/SplashBidNoticeAbstractUI.aspx?menuIndex=3&amp;refID=7192254&amp;Result=3","7192254")</f>
        <v>0</v>
      </c>
      <c r="B3121" t="s">
        <v>968</v>
      </c>
      <c r="C3121" t="s">
        <v>6498</v>
      </c>
      <c r="D3121" t="s">
        <v>17197</v>
      </c>
      <c r="E3121" t="s">
        <v>20002</v>
      </c>
      <c r="F3121" t="s">
        <v>29372</v>
      </c>
      <c r="G3121" t="s">
        <v>29379</v>
      </c>
      <c r="H3121" t="s">
        <v>11048</v>
      </c>
      <c r="I3121" t="s">
        <v>3670</v>
      </c>
      <c r="J3121" t="s">
        <v>31663</v>
      </c>
      <c r="K3121" t="s">
        <v>38538</v>
      </c>
      <c r="M3121" t="s">
        <v>39764</v>
      </c>
      <c r="N3121" t="s">
        <v>42669</v>
      </c>
      <c r="O3121" t="s">
        <v>42670</v>
      </c>
      <c r="P3121">
        <v>0</v>
      </c>
      <c r="Q3121">
        <v>1</v>
      </c>
      <c r="R3121" t="s">
        <v>42674</v>
      </c>
      <c r="S3121" t="s">
        <v>42788</v>
      </c>
      <c r="T3121" t="s">
        <v>44427</v>
      </c>
      <c r="U3121" t="s">
        <v>47399</v>
      </c>
      <c r="W3121" t="s">
        <v>39764</v>
      </c>
      <c r="X3121" t="s">
        <v>42676</v>
      </c>
    </row>
    <row r="3122" spans="1:24">
      <c r="A3122">
        <f>HYPERLINK("https://www.philgeps.gov.ph/GEPSNONPILOT/Tender/SplashBidNoticeAbstractUI.aspx?menuIndex=3&amp;refID=7192247&amp;Result=3","7192247")</f>
        <v>0</v>
      </c>
      <c r="B3122" t="s">
        <v>861</v>
      </c>
      <c r="C3122" t="s">
        <v>6499</v>
      </c>
      <c r="D3122" t="s">
        <v>17141</v>
      </c>
      <c r="E3122" t="s">
        <v>20003</v>
      </c>
      <c r="F3122" t="s">
        <v>29372</v>
      </c>
      <c r="G3122" t="s">
        <v>29380</v>
      </c>
      <c r="H3122" t="s">
        <v>11048</v>
      </c>
      <c r="I3122" t="s">
        <v>29396</v>
      </c>
      <c r="J3122" t="s">
        <v>31664</v>
      </c>
      <c r="K3122" t="s">
        <v>38490</v>
      </c>
      <c r="M3122" t="s">
        <v>39975</v>
      </c>
      <c r="N3122" t="s">
        <v>42669</v>
      </c>
      <c r="O3122" t="s">
        <v>42670</v>
      </c>
      <c r="P3122">
        <v>0</v>
      </c>
      <c r="Q3122">
        <v>0</v>
      </c>
      <c r="R3122" t="s">
        <v>42674</v>
      </c>
      <c r="S3122" t="s">
        <v>42788</v>
      </c>
      <c r="T3122" t="s">
        <v>44539</v>
      </c>
      <c r="U3122" t="s">
        <v>47400</v>
      </c>
      <c r="W3122" t="s">
        <v>39975</v>
      </c>
      <c r="X3122" t="s">
        <v>42676</v>
      </c>
    </row>
    <row r="3123" spans="1:24">
      <c r="A3123">
        <f>HYPERLINK("https://www.philgeps.gov.ph/GEPSNONPILOT/Tender/SplashBidNoticeAbstractUI.aspx?menuIndex=3&amp;refID=7192250&amp;Result=3","7192250")</f>
        <v>0</v>
      </c>
      <c r="B3123" t="s">
        <v>1177</v>
      </c>
      <c r="C3123" t="s">
        <v>6500</v>
      </c>
      <c r="D3123" t="s">
        <v>17168</v>
      </c>
      <c r="E3123" t="s">
        <v>17533</v>
      </c>
      <c r="F3123" t="s">
        <v>29372</v>
      </c>
      <c r="G3123" t="s">
        <v>29380</v>
      </c>
      <c r="H3123" t="s">
        <v>11048</v>
      </c>
      <c r="I3123" t="s">
        <v>29413</v>
      </c>
      <c r="J3123" t="s">
        <v>30036</v>
      </c>
      <c r="K3123" t="s">
        <v>38496</v>
      </c>
      <c r="M3123" t="s">
        <v>39992</v>
      </c>
      <c r="N3123" t="s">
        <v>42669</v>
      </c>
      <c r="O3123" t="s">
        <v>42670</v>
      </c>
      <c r="P3123">
        <v>0</v>
      </c>
      <c r="Q3123">
        <v>1</v>
      </c>
      <c r="R3123" t="s">
        <v>42674</v>
      </c>
      <c r="S3123" t="s">
        <v>42788</v>
      </c>
      <c r="T3123" t="s">
        <v>44565</v>
      </c>
      <c r="U3123" t="s">
        <v>47401</v>
      </c>
      <c r="W3123" t="s">
        <v>39992</v>
      </c>
      <c r="X3123" t="s">
        <v>42676</v>
      </c>
    </row>
    <row r="3124" spans="1:24">
      <c r="A3124">
        <f>HYPERLINK("https://www.philgeps.gov.ph/GEPSNONPILOT/Tender/SplashBidNoticeAbstractUI.aspx?menuIndex=3&amp;refID=7192252&amp;Result=3","7192252")</f>
        <v>0</v>
      </c>
      <c r="B3124" t="s">
        <v>1178</v>
      </c>
      <c r="C3124" t="s">
        <v>6501</v>
      </c>
      <c r="D3124" t="s">
        <v>17192</v>
      </c>
      <c r="E3124" t="s">
        <v>20004</v>
      </c>
      <c r="F3124" t="s">
        <v>29372</v>
      </c>
      <c r="G3124" t="s">
        <v>29379</v>
      </c>
      <c r="H3124" t="s">
        <v>11048</v>
      </c>
      <c r="I3124" t="s">
        <v>5383</v>
      </c>
      <c r="J3124" t="s">
        <v>31665</v>
      </c>
      <c r="K3124" t="s">
        <v>38485</v>
      </c>
      <c r="M3124" t="s">
        <v>39993</v>
      </c>
      <c r="N3124" t="s">
        <v>42669</v>
      </c>
      <c r="O3124" t="s">
        <v>42670</v>
      </c>
      <c r="P3124">
        <v>0</v>
      </c>
      <c r="Q3124">
        <v>0</v>
      </c>
      <c r="R3124" t="s">
        <v>42674</v>
      </c>
      <c r="S3124" t="s">
        <v>42788</v>
      </c>
      <c r="T3124" t="s">
        <v>44401</v>
      </c>
      <c r="U3124" t="s">
        <v>47402</v>
      </c>
      <c r="W3124" t="s">
        <v>39993</v>
      </c>
      <c r="X3124" t="s">
        <v>42676</v>
      </c>
    </row>
    <row r="3125" spans="1:24">
      <c r="A3125">
        <f>HYPERLINK("https://www.philgeps.gov.ph/GEPSNONPILOT/Tender/SplashBidNoticeAbstractUI.aspx?menuIndex=3&amp;refID=7192181&amp;Result=3","7192181")</f>
        <v>0</v>
      </c>
      <c r="B3125" t="s">
        <v>1179</v>
      </c>
      <c r="C3125" t="s">
        <v>6502</v>
      </c>
      <c r="D3125" t="s">
        <v>17144</v>
      </c>
      <c r="E3125" t="s">
        <v>20005</v>
      </c>
      <c r="F3125" t="s">
        <v>29372</v>
      </c>
      <c r="G3125" t="s">
        <v>29382</v>
      </c>
      <c r="H3125" t="s">
        <v>11048</v>
      </c>
      <c r="I3125" t="s">
        <v>3629</v>
      </c>
      <c r="J3125" t="s">
        <v>31666</v>
      </c>
      <c r="K3125" t="s">
        <v>38491</v>
      </c>
      <c r="M3125" t="s">
        <v>39994</v>
      </c>
      <c r="N3125" t="s">
        <v>42669</v>
      </c>
      <c r="O3125" t="s">
        <v>42670</v>
      </c>
      <c r="P3125">
        <v>0</v>
      </c>
      <c r="Q3125">
        <v>0</v>
      </c>
      <c r="R3125" t="s">
        <v>42674</v>
      </c>
      <c r="S3125" t="s">
        <v>42788</v>
      </c>
      <c r="T3125" t="s">
        <v>44512</v>
      </c>
      <c r="U3125" t="s">
        <v>47403</v>
      </c>
      <c r="W3125" t="s">
        <v>39994</v>
      </c>
      <c r="X3125" t="s">
        <v>42676</v>
      </c>
    </row>
    <row r="3126" spans="1:24">
      <c r="A3126">
        <f>HYPERLINK("https://www.philgeps.gov.ph/GEPSNONPILOT/Tender/SplashBidNoticeAbstractUI.aspx?menuIndex=3&amp;refID=7192244&amp;Result=3","7192244")</f>
        <v>0</v>
      </c>
      <c r="B3126" t="s">
        <v>1180</v>
      </c>
      <c r="C3126" t="s">
        <v>6503</v>
      </c>
      <c r="D3126" t="s">
        <v>17170</v>
      </c>
      <c r="E3126" t="s">
        <v>20006</v>
      </c>
      <c r="F3126" t="s">
        <v>29372</v>
      </c>
      <c r="G3126" t="s">
        <v>29383</v>
      </c>
      <c r="H3126" t="s">
        <v>11048</v>
      </c>
      <c r="I3126" t="s">
        <v>4486</v>
      </c>
      <c r="J3126" t="s">
        <v>29929</v>
      </c>
      <c r="K3126" t="s">
        <v>38485</v>
      </c>
      <c r="M3126" t="s">
        <v>39995</v>
      </c>
      <c r="N3126" t="s">
        <v>42669</v>
      </c>
      <c r="O3126" t="s">
        <v>42670</v>
      </c>
      <c r="P3126">
        <v>0</v>
      </c>
      <c r="Q3126">
        <v>3</v>
      </c>
      <c r="R3126" t="s">
        <v>42674</v>
      </c>
      <c r="S3126" t="s">
        <v>42788</v>
      </c>
      <c r="T3126" t="s">
        <v>44512</v>
      </c>
      <c r="U3126" t="s">
        <v>45803</v>
      </c>
      <c r="W3126" t="s">
        <v>39995</v>
      </c>
      <c r="X3126" t="s">
        <v>42676</v>
      </c>
    </row>
    <row r="3127" spans="1:24">
      <c r="A3127">
        <f>HYPERLINK("https://www.philgeps.gov.ph/GEPSNONPILOT/Tender/SplashBidNoticeAbstractUI.aspx?menuIndex=3&amp;refID=7192154&amp;Result=3","7192154")</f>
        <v>0</v>
      </c>
      <c r="B3127" t="s">
        <v>979</v>
      </c>
      <c r="C3127" t="s">
        <v>6504</v>
      </c>
      <c r="D3127" t="s">
        <v>17178</v>
      </c>
      <c r="E3127" t="s">
        <v>20007</v>
      </c>
      <c r="F3127" t="s">
        <v>29372</v>
      </c>
      <c r="G3127" t="s">
        <v>29379</v>
      </c>
      <c r="H3127" t="s">
        <v>11048</v>
      </c>
      <c r="I3127" t="s">
        <v>29393</v>
      </c>
      <c r="J3127" t="s">
        <v>31667</v>
      </c>
      <c r="K3127" t="s">
        <v>38517</v>
      </c>
      <c r="M3127" t="s">
        <v>39776</v>
      </c>
      <c r="N3127" t="s">
        <v>42669</v>
      </c>
      <c r="O3127" t="s">
        <v>42670</v>
      </c>
      <c r="P3127">
        <v>0</v>
      </c>
      <c r="Q3127">
        <v>0</v>
      </c>
      <c r="R3127" t="s">
        <v>42674</v>
      </c>
      <c r="S3127" t="s">
        <v>42788</v>
      </c>
      <c r="T3127" t="s">
        <v>44524</v>
      </c>
      <c r="U3127" t="s">
        <v>47404</v>
      </c>
      <c r="W3127" t="s">
        <v>39776</v>
      </c>
      <c r="X3127" t="s">
        <v>42676</v>
      </c>
    </row>
    <row r="3128" spans="1:24">
      <c r="A3128">
        <f>HYPERLINK("https://www.philgeps.gov.ph/GEPSNONPILOT/Tender/SplashBidNoticeAbstractUI.aspx?menuIndex=3&amp;refID=7192236&amp;Result=3","7192236")</f>
        <v>0</v>
      </c>
      <c r="B3128" t="s">
        <v>968</v>
      </c>
      <c r="C3128" t="s">
        <v>6505</v>
      </c>
      <c r="D3128" t="s">
        <v>17197</v>
      </c>
      <c r="E3128" t="s">
        <v>20008</v>
      </c>
      <c r="F3128" t="s">
        <v>29372</v>
      </c>
      <c r="G3128" t="s">
        <v>29379</v>
      </c>
      <c r="H3128" t="s">
        <v>11048</v>
      </c>
      <c r="I3128" t="s">
        <v>3670</v>
      </c>
      <c r="J3128" t="s">
        <v>31668</v>
      </c>
      <c r="K3128" t="s">
        <v>38538</v>
      </c>
      <c r="M3128" t="s">
        <v>39764</v>
      </c>
      <c r="N3128" t="s">
        <v>42669</v>
      </c>
      <c r="O3128" t="s">
        <v>42670</v>
      </c>
      <c r="P3128">
        <v>0</v>
      </c>
      <c r="Q3128">
        <v>1</v>
      </c>
      <c r="R3128" t="s">
        <v>42674</v>
      </c>
      <c r="S3128" t="s">
        <v>42788</v>
      </c>
      <c r="T3128" t="s">
        <v>44427</v>
      </c>
      <c r="U3128" t="s">
        <v>47405</v>
      </c>
      <c r="W3128" t="s">
        <v>39764</v>
      </c>
      <c r="X3128" t="s">
        <v>42676</v>
      </c>
    </row>
    <row r="3129" spans="1:24">
      <c r="A3129">
        <f>HYPERLINK("https://www.philgeps.gov.ph/GEPSNONPILOT/Tender/SplashBidNoticeAbstractUI.aspx?menuIndex=3&amp;refID=7192240&amp;Result=3","7192240")</f>
        <v>0</v>
      </c>
      <c r="B3129" t="s">
        <v>1181</v>
      </c>
      <c r="C3129" t="s">
        <v>6506</v>
      </c>
      <c r="D3129" t="s">
        <v>17161</v>
      </c>
      <c r="E3129" t="s">
        <v>20009</v>
      </c>
      <c r="F3129" t="s">
        <v>29372</v>
      </c>
      <c r="G3129" t="s">
        <v>29380</v>
      </c>
      <c r="H3129" t="s">
        <v>11048</v>
      </c>
      <c r="I3129" t="s">
        <v>9469</v>
      </c>
      <c r="J3129" t="s">
        <v>30161</v>
      </c>
      <c r="K3129" t="s">
        <v>38490</v>
      </c>
      <c r="M3129" t="s">
        <v>39996</v>
      </c>
      <c r="N3129" t="s">
        <v>42669</v>
      </c>
      <c r="O3129" t="s">
        <v>42670</v>
      </c>
      <c r="P3129">
        <v>0</v>
      </c>
      <c r="Q3129">
        <v>6</v>
      </c>
      <c r="R3129" t="s">
        <v>42674</v>
      </c>
      <c r="S3129" t="s">
        <v>42788</v>
      </c>
      <c r="T3129" t="s">
        <v>44539</v>
      </c>
      <c r="U3129" t="s">
        <v>47406</v>
      </c>
      <c r="W3129" t="s">
        <v>39996</v>
      </c>
      <c r="X3129" t="s">
        <v>42676</v>
      </c>
    </row>
    <row r="3130" spans="1:24">
      <c r="A3130">
        <f>HYPERLINK("https://www.philgeps.gov.ph/GEPSNONPILOT/Tender/SplashBidNoticeAbstractUI.aspx?menuIndex=3&amp;refID=7192233&amp;Result=3","7192233")</f>
        <v>0</v>
      </c>
      <c r="B3130" t="s">
        <v>1152</v>
      </c>
      <c r="C3130" t="s">
        <v>6507</v>
      </c>
      <c r="D3130" t="s">
        <v>17204</v>
      </c>
      <c r="E3130" t="s">
        <v>20010</v>
      </c>
      <c r="F3130" t="s">
        <v>29372</v>
      </c>
      <c r="G3130" t="s">
        <v>29383</v>
      </c>
      <c r="H3130" t="s">
        <v>11048</v>
      </c>
      <c r="I3130" t="s">
        <v>29407</v>
      </c>
      <c r="J3130" t="s">
        <v>31669</v>
      </c>
      <c r="K3130" t="s">
        <v>38528</v>
      </c>
      <c r="M3130" t="s">
        <v>39966</v>
      </c>
      <c r="N3130" t="s">
        <v>42669</v>
      </c>
      <c r="O3130" t="s">
        <v>42670</v>
      </c>
      <c r="P3130">
        <v>0</v>
      </c>
      <c r="Q3130">
        <v>5</v>
      </c>
      <c r="R3130" t="s">
        <v>42674</v>
      </c>
      <c r="S3130" t="s">
        <v>42788</v>
      </c>
      <c r="T3130" t="s">
        <v>44488</v>
      </c>
      <c r="U3130" t="s">
        <v>47407</v>
      </c>
      <c r="V3130" t="s">
        <v>56640</v>
      </c>
      <c r="W3130" t="s">
        <v>39966</v>
      </c>
      <c r="X3130" t="s">
        <v>42676</v>
      </c>
    </row>
    <row r="3131" spans="1:24">
      <c r="A3131">
        <f>HYPERLINK("https://www.philgeps.gov.ph/GEPSNONPILOT/Tender/SplashBidNoticeAbstractUI.aspx?menuIndex=3&amp;refID=7192229&amp;Result=3","7192229")</f>
        <v>0</v>
      </c>
      <c r="B3131" t="s">
        <v>1171</v>
      </c>
      <c r="C3131" t="s">
        <v>6508</v>
      </c>
      <c r="D3131" t="s">
        <v>17166</v>
      </c>
      <c r="E3131" t="s">
        <v>20011</v>
      </c>
      <c r="F3131" t="s">
        <v>29372</v>
      </c>
      <c r="G3131" t="s">
        <v>29383</v>
      </c>
      <c r="H3131" t="s">
        <v>11048</v>
      </c>
      <c r="I3131" t="s">
        <v>10408</v>
      </c>
      <c r="J3131" t="s">
        <v>31670</v>
      </c>
      <c r="K3131" t="s">
        <v>38496</v>
      </c>
      <c r="M3131" t="s">
        <v>39986</v>
      </c>
      <c r="N3131" t="s">
        <v>42669</v>
      </c>
      <c r="O3131" t="s">
        <v>42670</v>
      </c>
      <c r="P3131">
        <v>0</v>
      </c>
      <c r="Q3131">
        <v>2</v>
      </c>
      <c r="R3131" t="s">
        <v>42674</v>
      </c>
      <c r="S3131" t="s">
        <v>42788</v>
      </c>
      <c r="T3131" t="s">
        <v>44462</v>
      </c>
      <c r="U3131" t="s">
        <v>47408</v>
      </c>
      <c r="W3131" t="s">
        <v>39986</v>
      </c>
      <c r="X3131" t="s">
        <v>42676</v>
      </c>
    </row>
    <row r="3132" spans="1:24">
      <c r="A3132">
        <f>HYPERLINK("https://www.philgeps.gov.ph/GEPSNONPILOT/Tender/SplashBidNoticeAbstractUI.aspx?menuIndex=3&amp;refID=7192115&amp;Result=3","7192115")</f>
        <v>0</v>
      </c>
      <c r="B3132" t="s">
        <v>968</v>
      </c>
      <c r="C3132" t="s">
        <v>6509</v>
      </c>
      <c r="D3132" t="s">
        <v>17197</v>
      </c>
      <c r="E3132" t="s">
        <v>20012</v>
      </c>
      <c r="F3132" t="s">
        <v>29372</v>
      </c>
      <c r="G3132" t="s">
        <v>29379</v>
      </c>
      <c r="H3132" t="s">
        <v>11048</v>
      </c>
      <c r="I3132" t="s">
        <v>3860</v>
      </c>
      <c r="J3132" t="s">
        <v>31671</v>
      </c>
      <c r="K3132" t="s">
        <v>38538</v>
      </c>
      <c r="M3132" t="s">
        <v>39764</v>
      </c>
      <c r="N3132" t="s">
        <v>42669</v>
      </c>
      <c r="O3132" t="s">
        <v>42670</v>
      </c>
      <c r="P3132">
        <v>0</v>
      </c>
      <c r="Q3132">
        <v>0</v>
      </c>
      <c r="R3132" t="s">
        <v>42674</v>
      </c>
      <c r="S3132" t="s">
        <v>42788</v>
      </c>
      <c r="T3132" t="s">
        <v>44427</v>
      </c>
      <c r="U3132" t="s">
        <v>47409</v>
      </c>
      <c r="W3132" t="s">
        <v>39764</v>
      </c>
      <c r="X3132" t="s">
        <v>42676</v>
      </c>
    </row>
    <row r="3133" spans="1:24">
      <c r="A3133">
        <f>HYPERLINK("https://www.philgeps.gov.ph/GEPSNONPILOT/Tender/SplashBidNoticeAbstractUI.aspx?menuIndex=3&amp;refID=7192241&amp;Result=3","7192241")</f>
        <v>0</v>
      </c>
      <c r="B3133" t="s">
        <v>982</v>
      </c>
      <c r="C3133" t="s">
        <v>6510</v>
      </c>
      <c r="D3133" t="s">
        <v>17166</v>
      </c>
      <c r="E3133" t="s">
        <v>20013</v>
      </c>
      <c r="F3133" t="s">
        <v>29372</v>
      </c>
      <c r="G3133" t="s">
        <v>29383</v>
      </c>
      <c r="H3133" t="s">
        <v>11048</v>
      </c>
      <c r="I3133" t="s">
        <v>5383</v>
      </c>
      <c r="J3133" t="s">
        <v>31672</v>
      </c>
      <c r="K3133" t="s">
        <v>38485</v>
      </c>
      <c r="M3133" t="s">
        <v>39780</v>
      </c>
      <c r="N3133" t="s">
        <v>42669</v>
      </c>
      <c r="O3133" t="s">
        <v>42670</v>
      </c>
      <c r="P3133">
        <v>0</v>
      </c>
      <c r="Q3133">
        <v>1</v>
      </c>
      <c r="R3133" t="s">
        <v>42674</v>
      </c>
      <c r="S3133" t="s">
        <v>42788</v>
      </c>
      <c r="T3133" t="s">
        <v>44512</v>
      </c>
      <c r="U3133" t="s">
        <v>47410</v>
      </c>
      <c r="W3133" t="s">
        <v>58030</v>
      </c>
      <c r="X3133" t="s">
        <v>42676</v>
      </c>
    </row>
    <row r="3134" spans="1:24">
      <c r="A3134">
        <f>HYPERLINK("https://www.philgeps.gov.ph/GEPSNONPILOT/Tender/SplashBidNoticeAbstractUI.aspx?menuIndex=3&amp;refID=7192310&amp;Result=3","7192310")</f>
        <v>0</v>
      </c>
      <c r="B3134" t="s">
        <v>1034</v>
      </c>
      <c r="C3134" t="s">
        <v>6511</v>
      </c>
      <c r="D3134" t="s">
        <v>17199</v>
      </c>
      <c r="E3134" t="s">
        <v>20014</v>
      </c>
      <c r="F3134" t="s">
        <v>29372</v>
      </c>
      <c r="G3134" t="s">
        <v>29379</v>
      </c>
      <c r="H3134" t="s">
        <v>11048</v>
      </c>
      <c r="I3134" t="s">
        <v>8794</v>
      </c>
      <c r="J3134" t="s">
        <v>31673</v>
      </c>
      <c r="K3134" t="s">
        <v>38491</v>
      </c>
      <c r="M3134" t="s">
        <v>39837</v>
      </c>
      <c r="N3134" t="s">
        <v>42669</v>
      </c>
      <c r="O3134" t="s">
        <v>42670</v>
      </c>
      <c r="P3134">
        <v>0</v>
      </c>
      <c r="Q3134">
        <v>0</v>
      </c>
      <c r="R3134" t="s">
        <v>42674</v>
      </c>
      <c r="S3134" t="s">
        <v>42788</v>
      </c>
      <c r="T3134" t="s">
        <v>44427</v>
      </c>
      <c r="U3134" t="s">
        <v>47397</v>
      </c>
      <c r="W3134" t="s">
        <v>58033</v>
      </c>
      <c r="X3134" t="s">
        <v>42676</v>
      </c>
    </row>
    <row r="3135" spans="1:24">
      <c r="A3135">
        <f>HYPERLINK("https://www.philgeps.gov.ph/GEPSNONPILOT/Tender/SplashBidNoticeAbstractUI.aspx?menuIndex=3&amp;refID=7192307&amp;Result=3","7192307")</f>
        <v>0</v>
      </c>
      <c r="B3135" t="s">
        <v>134</v>
      </c>
      <c r="C3135" t="s">
        <v>6512</v>
      </c>
      <c r="D3135" t="s">
        <v>17177</v>
      </c>
      <c r="E3135" t="s">
        <v>20015</v>
      </c>
      <c r="F3135" t="s">
        <v>29372</v>
      </c>
      <c r="G3135" t="s">
        <v>29379</v>
      </c>
      <c r="H3135" t="s">
        <v>11048</v>
      </c>
      <c r="I3135" t="s">
        <v>29395</v>
      </c>
      <c r="J3135" t="s">
        <v>31674</v>
      </c>
      <c r="K3135" t="s">
        <v>38528</v>
      </c>
      <c r="M3135" t="s">
        <v>38889</v>
      </c>
      <c r="N3135" t="s">
        <v>42669</v>
      </c>
      <c r="O3135" t="s">
        <v>42670</v>
      </c>
      <c r="P3135">
        <v>0</v>
      </c>
      <c r="Q3135">
        <v>0</v>
      </c>
      <c r="R3135" t="s">
        <v>42674</v>
      </c>
      <c r="S3135" t="s">
        <v>42788</v>
      </c>
      <c r="T3135" t="s">
        <v>44382</v>
      </c>
      <c r="U3135" t="s">
        <v>47411</v>
      </c>
      <c r="W3135" t="s">
        <v>38889</v>
      </c>
      <c r="X3135" t="s">
        <v>42676</v>
      </c>
    </row>
    <row r="3136" spans="1:24">
      <c r="A3136">
        <f>HYPERLINK("https://www.philgeps.gov.ph/GEPSNONPILOT/Tender/SplashBidNoticeAbstractUI.aspx?menuIndex=3&amp;refID=7192301&amp;Result=3","7192301")</f>
        <v>0</v>
      </c>
      <c r="B3136" t="s">
        <v>726</v>
      </c>
      <c r="C3136" t="s">
        <v>6513</v>
      </c>
      <c r="D3136" t="s">
        <v>17203</v>
      </c>
      <c r="E3136" t="s">
        <v>20016</v>
      </c>
      <c r="F3136" t="s">
        <v>29372</v>
      </c>
      <c r="G3136" t="s">
        <v>29380</v>
      </c>
      <c r="H3136" t="s">
        <v>29389</v>
      </c>
      <c r="I3136" t="s">
        <v>10408</v>
      </c>
      <c r="J3136" t="s">
        <v>31675</v>
      </c>
      <c r="K3136" t="s">
        <v>38604</v>
      </c>
      <c r="M3136" t="s">
        <v>39506</v>
      </c>
      <c r="N3136" t="s">
        <v>42669</v>
      </c>
      <c r="O3136" t="s">
        <v>42670</v>
      </c>
      <c r="P3136">
        <v>0</v>
      </c>
      <c r="Q3136">
        <v>0</v>
      </c>
      <c r="R3136" t="s">
        <v>42674</v>
      </c>
      <c r="S3136" t="s">
        <v>42788</v>
      </c>
      <c r="T3136" t="s">
        <v>44358</v>
      </c>
      <c r="U3136" t="s">
        <v>47412</v>
      </c>
      <c r="V3136" t="s">
        <v>56647</v>
      </c>
      <c r="W3136" t="s">
        <v>39506</v>
      </c>
      <c r="X3136" t="s">
        <v>42676</v>
      </c>
    </row>
    <row r="3137" spans="1:24">
      <c r="A3137">
        <f>HYPERLINK("https://www.philgeps.gov.ph/GEPSNONPILOT/Tender/SplashBidNoticeAbstractUI.aspx?menuIndex=3&amp;refID=7192295&amp;Result=3","7192295")</f>
        <v>0</v>
      </c>
      <c r="B3137" t="s">
        <v>1182</v>
      </c>
      <c r="C3137" t="s">
        <v>6514</v>
      </c>
      <c r="D3137" t="s">
        <v>17189</v>
      </c>
      <c r="E3137" t="s">
        <v>17399</v>
      </c>
      <c r="F3137" t="s">
        <v>29372</v>
      </c>
      <c r="G3137" t="s">
        <v>29381</v>
      </c>
      <c r="H3137" t="s">
        <v>11048</v>
      </c>
      <c r="I3137" t="s">
        <v>4709</v>
      </c>
      <c r="J3137" t="s">
        <v>31676</v>
      </c>
      <c r="K3137" t="s">
        <v>38485</v>
      </c>
      <c r="M3137" t="s">
        <v>39997</v>
      </c>
      <c r="N3137" t="s">
        <v>42669</v>
      </c>
      <c r="O3137" t="s">
        <v>42670</v>
      </c>
      <c r="P3137">
        <v>0</v>
      </c>
      <c r="Q3137">
        <v>1</v>
      </c>
      <c r="R3137" t="s">
        <v>42674</v>
      </c>
      <c r="S3137" t="s">
        <v>42788</v>
      </c>
      <c r="T3137" t="s">
        <v>44468</v>
      </c>
      <c r="U3137" t="s">
        <v>47413</v>
      </c>
      <c r="W3137" t="s">
        <v>39997</v>
      </c>
      <c r="X3137" t="s">
        <v>42676</v>
      </c>
    </row>
    <row r="3138" spans="1:24">
      <c r="A3138">
        <f>HYPERLINK("https://www.philgeps.gov.ph/GEPSNONPILOT/Tender/SplashBidNoticeAbstractUI.aspx?menuIndex=3&amp;refID=7192120&amp;Result=3","7192120")</f>
        <v>0</v>
      </c>
      <c r="B3138" t="s">
        <v>679</v>
      </c>
      <c r="C3138" t="s">
        <v>6515</v>
      </c>
      <c r="D3138" t="s">
        <v>17175</v>
      </c>
      <c r="E3138" t="s">
        <v>20017</v>
      </c>
      <c r="F3138" t="s">
        <v>29372</v>
      </c>
      <c r="G3138" t="s">
        <v>29380</v>
      </c>
      <c r="H3138" t="s">
        <v>11048</v>
      </c>
      <c r="I3138" t="s">
        <v>5383</v>
      </c>
      <c r="J3138" t="s">
        <v>31677</v>
      </c>
      <c r="K3138" t="s">
        <v>38510</v>
      </c>
      <c r="M3138" t="s">
        <v>39455</v>
      </c>
      <c r="N3138" t="s">
        <v>42669</v>
      </c>
      <c r="O3138" t="s">
        <v>42670</v>
      </c>
      <c r="P3138">
        <v>0</v>
      </c>
      <c r="Q3138">
        <v>0</v>
      </c>
      <c r="R3138" t="s">
        <v>42674</v>
      </c>
      <c r="S3138" t="s">
        <v>42788</v>
      </c>
      <c r="T3138" t="s">
        <v>44361</v>
      </c>
      <c r="U3138" t="s">
        <v>47414</v>
      </c>
      <c r="W3138" t="s">
        <v>39455</v>
      </c>
      <c r="X3138" t="s">
        <v>42676</v>
      </c>
    </row>
    <row r="3139" spans="1:24">
      <c r="A3139">
        <f>HYPERLINK("https://www.philgeps.gov.ph/GEPSNONPILOT/Tender/SplashBidNoticeAbstractUI.aspx?menuIndex=3&amp;refID=7192294&amp;Result=3","7192294")</f>
        <v>0</v>
      </c>
      <c r="B3139" t="s">
        <v>1183</v>
      </c>
      <c r="C3139" t="s">
        <v>6516</v>
      </c>
      <c r="D3139" t="s">
        <v>17171</v>
      </c>
      <c r="E3139" t="s">
        <v>20018</v>
      </c>
      <c r="F3139" t="s">
        <v>29372</v>
      </c>
      <c r="G3139" t="s">
        <v>29379</v>
      </c>
      <c r="H3139" t="s">
        <v>11048</v>
      </c>
      <c r="I3139" t="s">
        <v>3695</v>
      </c>
      <c r="J3139" t="s">
        <v>31053</v>
      </c>
      <c r="K3139" t="s">
        <v>38510</v>
      </c>
      <c r="M3139" t="s">
        <v>39998</v>
      </c>
      <c r="N3139" t="s">
        <v>42669</v>
      </c>
      <c r="O3139" t="s">
        <v>42670</v>
      </c>
      <c r="P3139">
        <v>0</v>
      </c>
      <c r="Q3139">
        <v>2</v>
      </c>
      <c r="R3139" t="s">
        <v>42674</v>
      </c>
      <c r="S3139" t="s">
        <v>42788</v>
      </c>
      <c r="T3139" t="s">
        <v>44427</v>
      </c>
      <c r="U3139" t="s">
        <v>47415</v>
      </c>
      <c r="W3139" t="s">
        <v>42631</v>
      </c>
      <c r="X3139" t="s">
        <v>42676</v>
      </c>
    </row>
    <row r="3140" spans="1:24">
      <c r="A3140">
        <f>HYPERLINK("https://www.philgeps.gov.ph/GEPSNONPILOT/Tender/SplashBidNoticeAbstractUI.aspx?menuIndex=3&amp;refID=7192292&amp;Result=3","7192292")</f>
        <v>0</v>
      </c>
      <c r="B3140" t="s">
        <v>781</v>
      </c>
      <c r="C3140" t="s">
        <v>6517</v>
      </c>
      <c r="D3140" t="s">
        <v>17163</v>
      </c>
      <c r="E3140" t="s">
        <v>20019</v>
      </c>
      <c r="F3140" t="s">
        <v>29372</v>
      </c>
      <c r="G3140" t="s">
        <v>29383</v>
      </c>
      <c r="H3140" t="s">
        <v>11048</v>
      </c>
      <c r="I3140" t="s">
        <v>29407</v>
      </c>
      <c r="J3140" t="s">
        <v>31678</v>
      </c>
      <c r="K3140" t="s">
        <v>38485</v>
      </c>
      <c r="M3140" t="s">
        <v>39999</v>
      </c>
      <c r="N3140" t="s">
        <v>42669</v>
      </c>
      <c r="O3140" t="s">
        <v>42670</v>
      </c>
      <c r="P3140">
        <v>0</v>
      </c>
      <c r="Q3140">
        <v>24</v>
      </c>
      <c r="R3140" t="s">
        <v>42674</v>
      </c>
      <c r="S3140" t="s">
        <v>42788</v>
      </c>
      <c r="T3140" t="s">
        <v>44371</v>
      </c>
      <c r="U3140" t="s">
        <v>46453</v>
      </c>
      <c r="V3140" t="s">
        <v>56648</v>
      </c>
      <c r="W3140" t="s">
        <v>58022</v>
      </c>
      <c r="X3140" t="s">
        <v>42676</v>
      </c>
    </row>
    <row r="3141" spans="1:24">
      <c r="A3141">
        <f>HYPERLINK("https://www.philgeps.gov.ph/GEPSNONPILOT/Tender/SplashBidNoticeAbstractUI.aspx?menuIndex=3&amp;refID=7192288&amp;Result=3","7192288")</f>
        <v>0</v>
      </c>
      <c r="B3141" t="s">
        <v>149</v>
      </c>
      <c r="C3141" t="s">
        <v>6518</v>
      </c>
      <c r="D3141" t="s">
        <v>17190</v>
      </c>
      <c r="E3141" t="s">
        <v>17541</v>
      </c>
      <c r="F3141" t="s">
        <v>29372</v>
      </c>
      <c r="G3141" t="s">
        <v>29383</v>
      </c>
      <c r="H3141" t="s">
        <v>11048</v>
      </c>
      <c r="I3141" t="s">
        <v>5383</v>
      </c>
      <c r="J3141" t="s">
        <v>31679</v>
      </c>
      <c r="K3141" t="s">
        <v>38490</v>
      </c>
      <c r="M3141" t="s">
        <v>38904</v>
      </c>
      <c r="N3141" t="s">
        <v>42669</v>
      </c>
      <c r="O3141" t="s">
        <v>42670</v>
      </c>
      <c r="P3141">
        <v>0</v>
      </c>
      <c r="Q3141">
        <v>0</v>
      </c>
      <c r="R3141" t="s">
        <v>42674</v>
      </c>
      <c r="S3141" t="s">
        <v>42788</v>
      </c>
      <c r="T3141" t="s">
        <v>44432</v>
      </c>
      <c r="U3141" t="s">
        <v>47416</v>
      </c>
      <c r="V3141" t="s">
        <v>56649</v>
      </c>
      <c r="W3141" t="s">
        <v>38904</v>
      </c>
      <c r="X3141" t="s">
        <v>42676</v>
      </c>
    </row>
    <row r="3142" spans="1:24">
      <c r="A3142">
        <f>HYPERLINK("https://www.philgeps.gov.ph/GEPSNONPILOT/Tender/SplashBidNoticeAbstractUI.aspx?menuIndex=3&amp;refID=7192230&amp;Result=3","7192230")</f>
        <v>0</v>
      </c>
      <c r="B3142" t="s">
        <v>1184</v>
      </c>
      <c r="C3142" t="s">
        <v>6519</v>
      </c>
      <c r="D3142" t="s">
        <v>17205</v>
      </c>
      <c r="E3142" t="s">
        <v>20020</v>
      </c>
      <c r="F3142" t="s">
        <v>29372</v>
      </c>
      <c r="G3142" t="s">
        <v>29383</v>
      </c>
      <c r="H3142" t="s">
        <v>11048</v>
      </c>
      <c r="I3142" t="s">
        <v>3695</v>
      </c>
      <c r="J3142" t="s">
        <v>29775</v>
      </c>
      <c r="K3142" t="s">
        <v>38488</v>
      </c>
      <c r="M3142" t="s">
        <v>40000</v>
      </c>
      <c r="N3142" t="s">
        <v>42669</v>
      </c>
      <c r="O3142" t="s">
        <v>42670</v>
      </c>
      <c r="P3142">
        <v>0</v>
      </c>
      <c r="Q3142">
        <v>4</v>
      </c>
      <c r="R3142" t="s">
        <v>42674</v>
      </c>
      <c r="S3142" t="s">
        <v>42788</v>
      </c>
      <c r="T3142" t="s">
        <v>44429</v>
      </c>
      <c r="U3142" t="s">
        <v>47417</v>
      </c>
      <c r="W3142" t="s">
        <v>40000</v>
      </c>
      <c r="X3142" t="s">
        <v>42676</v>
      </c>
    </row>
    <row r="3143" spans="1:24">
      <c r="A3143">
        <f>HYPERLINK("https://www.philgeps.gov.ph/GEPSNONPILOT/Tender/SplashBidNoticeAbstractUI.aspx?menuIndex=3&amp;refID=7192284&amp;Result=3","7192284")</f>
        <v>0</v>
      </c>
      <c r="B3143" t="s">
        <v>1152</v>
      </c>
      <c r="C3143" t="s">
        <v>6520</v>
      </c>
      <c r="D3143" t="s">
        <v>17204</v>
      </c>
      <c r="E3143" t="s">
        <v>20021</v>
      </c>
      <c r="F3143" t="s">
        <v>29372</v>
      </c>
      <c r="G3143" t="s">
        <v>29383</v>
      </c>
      <c r="H3143" t="s">
        <v>11048</v>
      </c>
      <c r="I3143" t="s">
        <v>29407</v>
      </c>
      <c r="J3143" t="s">
        <v>31680</v>
      </c>
      <c r="K3143" t="s">
        <v>38528</v>
      </c>
      <c r="M3143" t="s">
        <v>39966</v>
      </c>
      <c r="N3143" t="s">
        <v>42669</v>
      </c>
      <c r="O3143" t="s">
        <v>42670</v>
      </c>
      <c r="P3143">
        <v>0</v>
      </c>
      <c r="Q3143">
        <v>2</v>
      </c>
      <c r="R3143" t="s">
        <v>42674</v>
      </c>
      <c r="S3143" t="s">
        <v>42788</v>
      </c>
      <c r="T3143" t="s">
        <v>44488</v>
      </c>
      <c r="U3143" t="s">
        <v>47418</v>
      </c>
      <c r="V3143" t="s">
        <v>56640</v>
      </c>
      <c r="W3143" t="s">
        <v>39966</v>
      </c>
      <c r="X3143" t="s">
        <v>42676</v>
      </c>
    </row>
    <row r="3144" spans="1:24">
      <c r="A3144">
        <f>HYPERLINK("https://www.philgeps.gov.ph/GEPSNONPILOT/Tender/SplashBidNoticeAbstractUI.aspx?menuIndex=3&amp;refID=7192283&amp;Result=3","7192283")</f>
        <v>0</v>
      </c>
      <c r="B3144" t="s">
        <v>453</v>
      </c>
      <c r="C3144" t="s">
        <v>6521</v>
      </c>
      <c r="D3144" t="s">
        <v>17173</v>
      </c>
      <c r="E3144" t="s">
        <v>20022</v>
      </c>
      <c r="F3144" t="s">
        <v>29372</v>
      </c>
      <c r="G3144" t="s">
        <v>29380</v>
      </c>
      <c r="H3144" t="s">
        <v>11048</v>
      </c>
      <c r="I3144" t="s">
        <v>29393</v>
      </c>
      <c r="J3144" t="s">
        <v>31681</v>
      </c>
      <c r="K3144" t="s">
        <v>38496</v>
      </c>
      <c r="M3144" t="s">
        <v>39217</v>
      </c>
      <c r="N3144" t="s">
        <v>42669</v>
      </c>
      <c r="O3144" t="s">
        <v>42670</v>
      </c>
      <c r="P3144">
        <v>0</v>
      </c>
      <c r="Q3144">
        <v>0</v>
      </c>
      <c r="R3144" t="s">
        <v>42674</v>
      </c>
      <c r="S3144" t="s">
        <v>42788</v>
      </c>
      <c r="T3144" t="s">
        <v>44572</v>
      </c>
      <c r="U3144" t="s">
        <v>47419</v>
      </c>
      <c r="W3144" t="s">
        <v>39217</v>
      </c>
      <c r="X3144" t="s">
        <v>42676</v>
      </c>
    </row>
    <row r="3145" spans="1:24">
      <c r="A3145">
        <f>HYPERLINK("https://www.philgeps.gov.ph/GEPSNONPILOT/Tender/SplashBidNoticeAbstractUI.aspx?menuIndex=3&amp;refID=7192353&amp;Result=3","7192353")</f>
        <v>0</v>
      </c>
      <c r="B3145" t="s">
        <v>143</v>
      </c>
      <c r="C3145" t="s">
        <v>6522</v>
      </c>
      <c r="D3145" t="s">
        <v>17182</v>
      </c>
      <c r="E3145" t="s">
        <v>20023</v>
      </c>
      <c r="F3145" t="s">
        <v>29372</v>
      </c>
      <c r="G3145" t="s">
        <v>29379</v>
      </c>
      <c r="H3145" t="s">
        <v>29389</v>
      </c>
      <c r="I3145" t="s">
        <v>10408</v>
      </c>
      <c r="J3145" t="s">
        <v>31682</v>
      </c>
      <c r="K3145" t="s">
        <v>38605</v>
      </c>
      <c r="M3145" t="s">
        <v>38898</v>
      </c>
      <c r="N3145" t="s">
        <v>42669</v>
      </c>
      <c r="O3145" t="s">
        <v>42670</v>
      </c>
      <c r="P3145">
        <v>0</v>
      </c>
      <c r="Q3145">
        <v>0</v>
      </c>
      <c r="R3145" t="s">
        <v>42674</v>
      </c>
      <c r="S3145" t="s">
        <v>42788</v>
      </c>
      <c r="T3145" t="s">
        <v>44385</v>
      </c>
      <c r="U3145" t="s">
        <v>47420</v>
      </c>
      <c r="W3145" t="s">
        <v>38898</v>
      </c>
      <c r="X3145" t="s">
        <v>42676</v>
      </c>
    </row>
    <row r="3146" spans="1:24">
      <c r="A3146">
        <f>HYPERLINK("https://www.philgeps.gov.ph/GEPSNONPILOT/Tender/SplashBidNoticeAbstractUI.aspx?menuIndex=3&amp;refID=7192303&amp;Result=3","7192303")</f>
        <v>0</v>
      </c>
      <c r="B3146" t="s">
        <v>1171</v>
      </c>
      <c r="C3146" t="s">
        <v>6523</v>
      </c>
      <c r="D3146" t="s">
        <v>17166</v>
      </c>
      <c r="E3146" t="s">
        <v>20024</v>
      </c>
      <c r="F3146" t="s">
        <v>29372</v>
      </c>
      <c r="G3146" t="s">
        <v>29383</v>
      </c>
      <c r="H3146" t="s">
        <v>11048</v>
      </c>
      <c r="I3146" t="s">
        <v>10408</v>
      </c>
      <c r="J3146" t="s">
        <v>31683</v>
      </c>
      <c r="K3146" t="s">
        <v>38496</v>
      </c>
      <c r="M3146" t="s">
        <v>39986</v>
      </c>
      <c r="N3146" t="s">
        <v>42669</v>
      </c>
      <c r="O3146" t="s">
        <v>42670</v>
      </c>
      <c r="P3146">
        <v>0</v>
      </c>
      <c r="Q3146">
        <v>3</v>
      </c>
      <c r="R3146" t="s">
        <v>42674</v>
      </c>
      <c r="S3146" t="s">
        <v>42788</v>
      </c>
      <c r="T3146" t="s">
        <v>44462</v>
      </c>
      <c r="U3146" t="s">
        <v>47421</v>
      </c>
      <c r="W3146" t="s">
        <v>39986</v>
      </c>
      <c r="X3146" t="s">
        <v>42676</v>
      </c>
    </row>
    <row r="3147" spans="1:24">
      <c r="A3147">
        <f>HYPERLINK("https://www.philgeps.gov.ph/GEPSNONPILOT/Tender/SplashBidNoticeAbstractUI.aspx?menuIndex=3&amp;refID=7192362&amp;Result=3","7192362")</f>
        <v>0</v>
      </c>
      <c r="B3147" t="s">
        <v>1185</v>
      </c>
      <c r="C3147" t="s">
        <v>6524</v>
      </c>
      <c r="D3147" t="s">
        <v>17204</v>
      </c>
      <c r="E3147" t="s">
        <v>19036</v>
      </c>
      <c r="F3147" t="s">
        <v>29372</v>
      </c>
      <c r="G3147" t="s">
        <v>29380</v>
      </c>
      <c r="H3147" t="s">
        <v>11048</v>
      </c>
      <c r="I3147" t="s">
        <v>4487</v>
      </c>
      <c r="J3147" t="s">
        <v>31684</v>
      </c>
      <c r="K3147" t="s">
        <v>38488</v>
      </c>
      <c r="M3147" t="s">
        <v>40001</v>
      </c>
      <c r="N3147" t="s">
        <v>42669</v>
      </c>
      <c r="O3147" t="s">
        <v>42670</v>
      </c>
      <c r="P3147">
        <v>0</v>
      </c>
      <c r="Q3147">
        <v>5</v>
      </c>
      <c r="R3147" t="s">
        <v>42674</v>
      </c>
      <c r="S3147" t="s">
        <v>42788</v>
      </c>
      <c r="T3147" t="s">
        <v>44623</v>
      </c>
      <c r="U3147" t="s">
        <v>47422</v>
      </c>
      <c r="W3147" t="s">
        <v>58037</v>
      </c>
      <c r="X3147" t="s">
        <v>42676</v>
      </c>
    </row>
    <row r="3148" spans="1:24">
      <c r="A3148">
        <f>HYPERLINK("https://www.philgeps.gov.ph/GEPSNONPILOT/Tender/SplashBidNoticeAbstractUI.aspx?menuIndex=3&amp;refID=7192357&amp;Result=3","7192357")</f>
        <v>0</v>
      </c>
      <c r="B3148" t="s">
        <v>1186</v>
      </c>
      <c r="C3148" t="s">
        <v>6525</v>
      </c>
      <c r="D3148" t="s">
        <v>17175</v>
      </c>
      <c r="E3148" t="s">
        <v>20025</v>
      </c>
      <c r="F3148" t="s">
        <v>29372</v>
      </c>
      <c r="G3148" t="s">
        <v>29380</v>
      </c>
      <c r="H3148" t="s">
        <v>11048</v>
      </c>
      <c r="I3148" t="s">
        <v>3839</v>
      </c>
      <c r="J3148" t="s">
        <v>31159</v>
      </c>
      <c r="K3148" t="s">
        <v>38490</v>
      </c>
      <c r="M3148" t="s">
        <v>40002</v>
      </c>
      <c r="N3148" t="s">
        <v>42669</v>
      </c>
      <c r="O3148" t="s">
        <v>42670</v>
      </c>
      <c r="P3148">
        <v>0</v>
      </c>
      <c r="Q3148">
        <v>3</v>
      </c>
      <c r="R3148" t="s">
        <v>42674</v>
      </c>
      <c r="S3148" t="s">
        <v>42788</v>
      </c>
      <c r="T3148" t="s">
        <v>44444</v>
      </c>
      <c r="U3148" t="s">
        <v>47423</v>
      </c>
      <c r="W3148" t="s">
        <v>40002</v>
      </c>
      <c r="X3148" t="s">
        <v>42676</v>
      </c>
    </row>
    <row r="3149" spans="1:24">
      <c r="A3149">
        <f>HYPERLINK("https://www.philgeps.gov.ph/GEPSNONPILOT/Tender/SplashBidNoticeAbstractUI.aspx?menuIndex=3&amp;refID=7192355&amp;Result=3","7192355")</f>
        <v>0</v>
      </c>
      <c r="B3149" t="s">
        <v>1187</v>
      </c>
      <c r="C3149" t="s">
        <v>6526</v>
      </c>
      <c r="D3149" t="s">
        <v>17164</v>
      </c>
      <c r="E3149" t="s">
        <v>20026</v>
      </c>
      <c r="F3149" t="s">
        <v>29372</v>
      </c>
      <c r="G3149" t="s">
        <v>29379</v>
      </c>
      <c r="H3149" t="s">
        <v>11048</v>
      </c>
      <c r="I3149" t="s">
        <v>29450</v>
      </c>
      <c r="J3149" t="s">
        <v>30277</v>
      </c>
      <c r="K3149" t="s">
        <v>38538</v>
      </c>
      <c r="M3149" t="s">
        <v>40003</v>
      </c>
      <c r="N3149" t="s">
        <v>42669</v>
      </c>
      <c r="O3149" t="s">
        <v>42670</v>
      </c>
      <c r="P3149">
        <v>0</v>
      </c>
      <c r="Q3149">
        <v>0</v>
      </c>
      <c r="R3149" t="s">
        <v>42674</v>
      </c>
      <c r="S3149" t="s">
        <v>42788</v>
      </c>
      <c r="T3149" t="s">
        <v>44429</v>
      </c>
      <c r="U3149" t="s">
        <v>47424</v>
      </c>
      <c r="W3149" t="s">
        <v>40003</v>
      </c>
      <c r="X3149" t="s">
        <v>42676</v>
      </c>
    </row>
    <row r="3150" spans="1:24">
      <c r="A3150">
        <f>HYPERLINK("https://www.philgeps.gov.ph/GEPSNONPILOT/Tender/SplashBidNoticeAbstractUI.aspx?menuIndex=3&amp;refID=7192351&amp;Result=3","7192351")</f>
        <v>0</v>
      </c>
      <c r="B3150" t="s">
        <v>1179</v>
      </c>
      <c r="C3150" t="s">
        <v>6527</v>
      </c>
      <c r="D3150" t="s">
        <v>17202</v>
      </c>
      <c r="E3150" t="s">
        <v>20005</v>
      </c>
      <c r="F3150" t="s">
        <v>29372</v>
      </c>
      <c r="G3150" t="s">
        <v>29382</v>
      </c>
      <c r="H3150" t="s">
        <v>11048</v>
      </c>
      <c r="I3150" t="s">
        <v>4709</v>
      </c>
      <c r="J3150" t="s">
        <v>31685</v>
      </c>
      <c r="K3150" t="s">
        <v>38488</v>
      </c>
      <c r="M3150" t="s">
        <v>39994</v>
      </c>
      <c r="N3150" t="s">
        <v>42669</v>
      </c>
      <c r="O3150" t="s">
        <v>42670</v>
      </c>
      <c r="P3150">
        <v>0</v>
      </c>
      <c r="Q3150">
        <v>0</v>
      </c>
      <c r="R3150" t="s">
        <v>42674</v>
      </c>
      <c r="S3150" t="s">
        <v>42788</v>
      </c>
      <c r="T3150" t="s">
        <v>44512</v>
      </c>
      <c r="U3150" t="s">
        <v>47425</v>
      </c>
      <c r="W3150" t="s">
        <v>39994</v>
      </c>
      <c r="X3150" t="s">
        <v>42676</v>
      </c>
    </row>
    <row r="3151" spans="1:24">
      <c r="A3151">
        <f>HYPERLINK("https://www.philgeps.gov.ph/GEPSNONPILOT/Tender/SplashBidNoticeAbstractUI.aspx?menuIndex=3&amp;refID=7192227&amp;Result=3","7192227")</f>
        <v>0</v>
      </c>
      <c r="B3151" t="s">
        <v>1162</v>
      </c>
      <c r="C3151" t="s">
        <v>6528</v>
      </c>
      <c r="D3151" t="s">
        <v>17180</v>
      </c>
      <c r="E3151" t="s">
        <v>20027</v>
      </c>
      <c r="F3151" t="s">
        <v>29372</v>
      </c>
      <c r="G3151" t="s">
        <v>29379</v>
      </c>
      <c r="H3151" t="s">
        <v>11048</v>
      </c>
      <c r="I3151" t="s">
        <v>29394</v>
      </c>
      <c r="J3151" t="s">
        <v>29822</v>
      </c>
      <c r="K3151" t="s">
        <v>38490</v>
      </c>
      <c r="M3151" t="s">
        <v>39977</v>
      </c>
      <c r="N3151" t="s">
        <v>42669</v>
      </c>
      <c r="O3151" t="s">
        <v>42670</v>
      </c>
      <c r="P3151">
        <v>0</v>
      </c>
      <c r="Q3151">
        <v>1</v>
      </c>
      <c r="R3151" t="s">
        <v>42674</v>
      </c>
      <c r="S3151" t="s">
        <v>42788</v>
      </c>
      <c r="T3151" t="s">
        <v>44371</v>
      </c>
      <c r="U3151" t="s">
        <v>47426</v>
      </c>
      <c r="W3151" t="s">
        <v>39977</v>
      </c>
      <c r="X3151" t="s">
        <v>42676</v>
      </c>
    </row>
    <row r="3152" spans="1:24">
      <c r="A3152">
        <f>HYPERLINK("https://www.philgeps.gov.ph/GEPSNONPILOT/Tender/SplashBidNoticeAbstractUI.aspx?menuIndex=3&amp;refID=7192350&amp;Result=3","7192350")</f>
        <v>0</v>
      </c>
      <c r="B3152" t="s">
        <v>1188</v>
      </c>
      <c r="C3152" t="s">
        <v>6529</v>
      </c>
      <c r="D3152" t="s">
        <v>17162</v>
      </c>
      <c r="E3152" t="s">
        <v>20028</v>
      </c>
      <c r="F3152" t="s">
        <v>29372</v>
      </c>
      <c r="G3152" t="s">
        <v>29379</v>
      </c>
      <c r="H3152" t="s">
        <v>11048</v>
      </c>
      <c r="I3152" t="s">
        <v>29403</v>
      </c>
      <c r="J3152" t="s">
        <v>31686</v>
      </c>
      <c r="K3152" t="s">
        <v>38490</v>
      </c>
      <c r="M3152" t="s">
        <v>40004</v>
      </c>
      <c r="N3152" t="s">
        <v>42669</v>
      </c>
      <c r="O3152" t="s">
        <v>42670</v>
      </c>
      <c r="P3152">
        <v>0</v>
      </c>
      <c r="Q3152">
        <v>0</v>
      </c>
      <c r="R3152" t="s">
        <v>42674</v>
      </c>
      <c r="S3152" t="s">
        <v>42788</v>
      </c>
      <c r="T3152" t="s">
        <v>44512</v>
      </c>
      <c r="U3152" t="s">
        <v>47427</v>
      </c>
      <c r="W3152" t="s">
        <v>58038</v>
      </c>
      <c r="X3152" t="s">
        <v>42676</v>
      </c>
    </row>
    <row r="3153" spans="1:24">
      <c r="A3153">
        <f>HYPERLINK("https://www.philgeps.gov.ph/GEPSNONPILOT/Tender/SplashBidNoticeAbstractUI.aspx?menuIndex=3&amp;refID=7192361&amp;Result=3","7192361")</f>
        <v>0</v>
      </c>
      <c r="B3153" t="s">
        <v>453</v>
      </c>
      <c r="C3153" t="s">
        <v>6530</v>
      </c>
      <c r="D3153" t="s">
        <v>17173</v>
      </c>
      <c r="E3153" t="s">
        <v>20029</v>
      </c>
      <c r="F3153" t="s">
        <v>29372</v>
      </c>
      <c r="G3153" t="s">
        <v>29380</v>
      </c>
      <c r="H3153" t="s">
        <v>11048</v>
      </c>
      <c r="I3153" t="s">
        <v>29393</v>
      </c>
      <c r="J3153" t="s">
        <v>31687</v>
      </c>
      <c r="K3153" t="s">
        <v>38536</v>
      </c>
      <c r="M3153" t="s">
        <v>39217</v>
      </c>
      <c r="N3153" t="s">
        <v>42669</v>
      </c>
      <c r="O3153" t="s">
        <v>42670</v>
      </c>
      <c r="P3153">
        <v>0</v>
      </c>
      <c r="Q3153">
        <v>0</v>
      </c>
      <c r="R3153" t="s">
        <v>42674</v>
      </c>
      <c r="S3153" t="s">
        <v>42788</v>
      </c>
      <c r="T3153" t="s">
        <v>44572</v>
      </c>
      <c r="U3153" t="s">
        <v>47428</v>
      </c>
      <c r="W3153" t="s">
        <v>39217</v>
      </c>
      <c r="X3153" t="s">
        <v>42676</v>
      </c>
    </row>
    <row r="3154" spans="1:24">
      <c r="A3154">
        <f>HYPERLINK("https://www.philgeps.gov.ph/GEPSNONPILOT/Tender/SplashBidNoticeAbstractUI.aspx?menuIndex=3&amp;refID=7192346&amp;Result=3","7192346")</f>
        <v>0</v>
      </c>
      <c r="B3154" t="s">
        <v>1034</v>
      </c>
      <c r="C3154" t="s">
        <v>6531</v>
      </c>
      <c r="D3154" t="s">
        <v>17199</v>
      </c>
      <c r="E3154" t="s">
        <v>20030</v>
      </c>
      <c r="F3154" t="s">
        <v>29372</v>
      </c>
      <c r="G3154" t="s">
        <v>29379</v>
      </c>
      <c r="H3154" t="s">
        <v>11048</v>
      </c>
      <c r="I3154" t="s">
        <v>29487</v>
      </c>
      <c r="J3154" t="s">
        <v>31688</v>
      </c>
      <c r="K3154" t="s">
        <v>38491</v>
      </c>
      <c r="M3154" t="s">
        <v>39837</v>
      </c>
      <c r="N3154" t="s">
        <v>42669</v>
      </c>
      <c r="O3154" t="s">
        <v>42670</v>
      </c>
      <c r="P3154">
        <v>0</v>
      </c>
      <c r="Q3154">
        <v>1</v>
      </c>
      <c r="R3154" t="s">
        <v>42674</v>
      </c>
      <c r="S3154" t="s">
        <v>42788</v>
      </c>
      <c r="T3154" t="s">
        <v>44427</v>
      </c>
      <c r="U3154" t="s">
        <v>47397</v>
      </c>
      <c r="W3154" t="s">
        <v>58033</v>
      </c>
      <c r="X3154" t="s">
        <v>42676</v>
      </c>
    </row>
    <row r="3155" spans="1:24">
      <c r="A3155">
        <f>HYPERLINK("https://www.philgeps.gov.ph/GEPSNONPILOT/Tender/SplashBidNoticeAbstractUI.aspx?menuIndex=3&amp;refID=7192354&amp;Result=3","7192354")</f>
        <v>0</v>
      </c>
      <c r="B3155" t="s">
        <v>1189</v>
      </c>
      <c r="C3155" t="s">
        <v>6532</v>
      </c>
      <c r="D3155" t="s">
        <v>17221</v>
      </c>
      <c r="E3155" t="s">
        <v>20031</v>
      </c>
      <c r="F3155" t="s">
        <v>29372</v>
      </c>
      <c r="G3155" t="s">
        <v>29380</v>
      </c>
      <c r="H3155" t="s">
        <v>29389</v>
      </c>
      <c r="I3155" t="s">
        <v>10408</v>
      </c>
      <c r="J3155" t="s">
        <v>29623</v>
      </c>
      <c r="K3155" t="s">
        <v>38494</v>
      </c>
      <c r="M3155" t="s">
        <v>40005</v>
      </c>
      <c r="N3155" t="s">
        <v>42669</v>
      </c>
      <c r="O3155" t="s">
        <v>42670</v>
      </c>
      <c r="P3155">
        <v>0</v>
      </c>
      <c r="Q3155">
        <v>1</v>
      </c>
      <c r="R3155" t="s">
        <v>42674</v>
      </c>
      <c r="S3155" t="s">
        <v>42788</v>
      </c>
      <c r="T3155" t="s">
        <v>44542</v>
      </c>
      <c r="U3155" t="s">
        <v>47429</v>
      </c>
      <c r="W3155" t="s">
        <v>40005</v>
      </c>
      <c r="X3155" t="s">
        <v>42676</v>
      </c>
    </row>
    <row r="3156" spans="1:24">
      <c r="A3156">
        <f>HYPERLINK("https://www.philgeps.gov.ph/GEPSNONPILOT/Tender/SplashBidNoticeAbstractUI.aspx?menuIndex=3&amp;refID=7192337&amp;Result=3","7192337")</f>
        <v>0</v>
      </c>
      <c r="B3156" t="s">
        <v>1190</v>
      </c>
      <c r="C3156" t="s">
        <v>6533</v>
      </c>
      <c r="E3156" t="s">
        <v>20032</v>
      </c>
      <c r="F3156" t="s">
        <v>29372</v>
      </c>
      <c r="G3156" t="s">
        <v>29379</v>
      </c>
      <c r="H3156" t="s">
        <v>11048</v>
      </c>
      <c r="I3156" t="s">
        <v>5383</v>
      </c>
      <c r="J3156" t="s">
        <v>31689</v>
      </c>
      <c r="K3156" t="s">
        <v>38490</v>
      </c>
      <c r="M3156" t="s">
        <v>40006</v>
      </c>
      <c r="N3156" t="s">
        <v>42669</v>
      </c>
      <c r="O3156" t="s">
        <v>42670</v>
      </c>
      <c r="P3156">
        <v>0</v>
      </c>
      <c r="Q3156">
        <v>8</v>
      </c>
      <c r="R3156" t="s">
        <v>42674</v>
      </c>
      <c r="S3156" t="s">
        <v>42788</v>
      </c>
      <c r="T3156" t="s">
        <v>44431</v>
      </c>
      <c r="U3156" t="s">
        <v>45789</v>
      </c>
      <c r="W3156" t="s">
        <v>40006</v>
      </c>
      <c r="X3156" t="s">
        <v>42676</v>
      </c>
    </row>
    <row r="3157" spans="1:24">
      <c r="A3157">
        <f>HYPERLINK("https://www.philgeps.gov.ph/GEPSNONPILOT/Tender/SplashBidNoticeAbstractUI.aspx?menuIndex=3&amp;refID=7192341&amp;Result=3","7192341")</f>
        <v>0</v>
      </c>
      <c r="B3157" t="s">
        <v>851</v>
      </c>
      <c r="C3157" t="s">
        <v>6534</v>
      </c>
      <c r="D3157" t="s">
        <v>17160</v>
      </c>
      <c r="E3157" t="s">
        <v>20033</v>
      </c>
      <c r="F3157" t="s">
        <v>29372</v>
      </c>
      <c r="G3157" t="s">
        <v>29379</v>
      </c>
      <c r="H3157" t="s">
        <v>11048</v>
      </c>
      <c r="I3157" t="s">
        <v>29407</v>
      </c>
      <c r="J3157" t="s">
        <v>30786</v>
      </c>
      <c r="K3157" t="s">
        <v>38510</v>
      </c>
      <c r="M3157" t="s">
        <v>39641</v>
      </c>
      <c r="N3157" t="s">
        <v>42669</v>
      </c>
      <c r="O3157" t="s">
        <v>42670</v>
      </c>
      <c r="P3157">
        <v>0</v>
      </c>
      <c r="Q3157">
        <v>5</v>
      </c>
      <c r="R3157" t="s">
        <v>42674</v>
      </c>
      <c r="S3157" t="s">
        <v>42788</v>
      </c>
      <c r="T3157" t="s">
        <v>44456</v>
      </c>
      <c r="U3157" t="s">
        <v>47430</v>
      </c>
      <c r="W3157" t="s">
        <v>39641</v>
      </c>
      <c r="X3157" t="s">
        <v>42676</v>
      </c>
    </row>
    <row r="3158" spans="1:24">
      <c r="A3158">
        <f>HYPERLINK("https://www.philgeps.gov.ph/GEPSNONPILOT/Tender/SplashBidNoticeAbstractUI.aspx?menuIndex=3&amp;refID=7192289&amp;Result=3","7192289")</f>
        <v>0</v>
      </c>
      <c r="B3158" t="s">
        <v>1191</v>
      </c>
      <c r="C3158" t="s">
        <v>6535</v>
      </c>
      <c r="D3158" t="s">
        <v>17148</v>
      </c>
      <c r="E3158" t="s">
        <v>20034</v>
      </c>
      <c r="F3158" t="s">
        <v>29372</v>
      </c>
      <c r="G3158" t="s">
        <v>29379</v>
      </c>
      <c r="H3158" t="s">
        <v>11048</v>
      </c>
      <c r="I3158" t="s">
        <v>29395</v>
      </c>
      <c r="J3158" t="s">
        <v>31690</v>
      </c>
      <c r="K3158" t="s">
        <v>38488</v>
      </c>
      <c r="M3158" t="s">
        <v>40007</v>
      </c>
      <c r="N3158" t="s">
        <v>42669</v>
      </c>
      <c r="O3158" t="s">
        <v>42670</v>
      </c>
      <c r="P3158">
        <v>0</v>
      </c>
      <c r="Q3158">
        <v>0</v>
      </c>
      <c r="R3158" t="s">
        <v>42674</v>
      </c>
      <c r="S3158" t="s">
        <v>42788</v>
      </c>
      <c r="T3158" t="s">
        <v>44387</v>
      </c>
      <c r="U3158" t="s">
        <v>47431</v>
      </c>
      <c r="V3158" t="s">
        <v>56650</v>
      </c>
      <c r="W3158" t="s">
        <v>40007</v>
      </c>
      <c r="X3158" t="s">
        <v>42676</v>
      </c>
    </row>
    <row r="3159" spans="1:24">
      <c r="A3159">
        <f>HYPERLINK("https://www.philgeps.gov.ph/GEPSNONPILOT/Tender/SplashBidNoticeAbstractUI.aspx?menuIndex=3&amp;refID=7192335&amp;Result=3","7192335")</f>
        <v>0</v>
      </c>
      <c r="B3159" t="s">
        <v>453</v>
      </c>
      <c r="C3159" t="s">
        <v>6536</v>
      </c>
      <c r="D3159" t="s">
        <v>17173</v>
      </c>
      <c r="E3159" t="s">
        <v>20035</v>
      </c>
      <c r="F3159" t="s">
        <v>29372</v>
      </c>
      <c r="G3159" t="s">
        <v>29380</v>
      </c>
      <c r="H3159" t="s">
        <v>11048</v>
      </c>
      <c r="I3159" t="s">
        <v>29393</v>
      </c>
      <c r="J3159" t="s">
        <v>31691</v>
      </c>
      <c r="K3159" t="s">
        <v>38496</v>
      </c>
      <c r="M3159" t="s">
        <v>39217</v>
      </c>
      <c r="N3159" t="s">
        <v>42669</v>
      </c>
      <c r="O3159" t="s">
        <v>42670</v>
      </c>
      <c r="P3159">
        <v>0</v>
      </c>
      <c r="Q3159">
        <v>0</v>
      </c>
      <c r="R3159" t="s">
        <v>42674</v>
      </c>
      <c r="S3159" t="s">
        <v>42788</v>
      </c>
      <c r="T3159" t="s">
        <v>44572</v>
      </c>
      <c r="U3159" t="s">
        <v>47432</v>
      </c>
      <c r="W3159" t="s">
        <v>39217</v>
      </c>
      <c r="X3159" t="s">
        <v>42676</v>
      </c>
    </row>
    <row r="3160" spans="1:24">
      <c r="A3160">
        <f>HYPERLINK("https://www.philgeps.gov.ph/GEPSNONPILOT/Tender/SplashBidNoticeAbstractUI.aspx?menuIndex=3&amp;refID=7192316&amp;Result=3","7192316")</f>
        <v>0</v>
      </c>
      <c r="B3160" t="s">
        <v>1192</v>
      </c>
      <c r="C3160" t="s">
        <v>6537</v>
      </c>
      <c r="D3160" t="s">
        <v>17213</v>
      </c>
      <c r="E3160" t="s">
        <v>20036</v>
      </c>
      <c r="F3160" t="s">
        <v>29372</v>
      </c>
      <c r="G3160" t="s">
        <v>29379</v>
      </c>
      <c r="H3160" t="s">
        <v>11048</v>
      </c>
      <c r="I3160" t="s">
        <v>8208</v>
      </c>
      <c r="J3160" t="s">
        <v>29767</v>
      </c>
      <c r="K3160" t="s">
        <v>38488</v>
      </c>
      <c r="M3160" t="s">
        <v>40008</v>
      </c>
      <c r="N3160" t="s">
        <v>42669</v>
      </c>
      <c r="O3160" t="s">
        <v>42670</v>
      </c>
      <c r="P3160">
        <v>0</v>
      </c>
      <c r="Q3160">
        <v>1</v>
      </c>
      <c r="R3160" t="s">
        <v>42674</v>
      </c>
      <c r="S3160" t="s">
        <v>42788</v>
      </c>
      <c r="T3160" t="s">
        <v>44401</v>
      </c>
      <c r="U3160" t="s">
        <v>47433</v>
      </c>
      <c r="W3160" t="s">
        <v>40008</v>
      </c>
      <c r="X3160" t="s">
        <v>42676</v>
      </c>
    </row>
    <row r="3161" spans="1:24">
      <c r="A3161">
        <f>HYPERLINK("https://www.philgeps.gov.ph/GEPSNONPILOT/Tender/SplashBidNoticeAbstractUI.aspx?menuIndex=3&amp;refID=7192345&amp;Result=3","7192345")</f>
        <v>0</v>
      </c>
      <c r="B3161" t="s">
        <v>1152</v>
      </c>
      <c r="C3161" t="s">
        <v>6538</v>
      </c>
      <c r="D3161" t="s">
        <v>17204</v>
      </c>
      <c r="E3161" t="s">
        <v>20037</v>
      </c>
      <c r="F3161" t="s">
        <v>29372</v>
      </c>
      <c r="G3161" t="s">
        <v>29383</v>
      </c>
      <c r="H3161" t="s">
        <v>11048</v>
      </c>
      <c r="I3161" t="s">
        <v>29407</v>
      </c>
      <c r="J3161" t="s">
        <v>31692</v>
      </c>
      <c r="K3161" t="s">
        <v>38528</v>
      </c>
      <c r="M3161" t="s">
        <v>39966</v>
      </c>
      <c r="N3161" t="s">
        <v>42669</v>
      </c>
      <c r="O3161" t="s">
        <v>42670</v>
      </c>
      <c r="P3161">
        <v>0</v>
      </c>
      <c r="Q3161">
        <v>5</v>
      </c>
      <c r="R3161" t="s">
        <v>42674</v>
      </c>
      <c r="S3161" t="s">
        <v>42788</v>
      </c>
      <c r="T3161" t="s">
        <v>44488</v>
      </c>
      <c r="U3161" t="s">
        <v>47434</v>
      </c>
      <c r="V3161" t="s">
        <v>56640</v>
      </c>
      <c r="W3161" t="s">
        <v>39966</v>
      </c>
      <c r="X3161" t="s">
        <v>42676</v>
      </c>
    </row>
    <row r="3162" spans="1:24">
      <c r="A3162">
        <f>HYPERLINK("https://www.philgeps.gov.ph/GEPSNONPILOT/Tender/SplashBidNoticeAbstractUI.aspx?menuIndex=3&amp;refID=7192290&amp;Result=3","7192290")</f>
        <v>0</v>
      </c>
      <c r="B3162" t="s">
        <v>1193</v>
      </c>
      <c r="C3162" t="s">
        <v>6539</v>
      </c>
      <c r="D3162" t="s">
        <v>17193</v>
      </c>
      <c r="E3162" t="s">
        <v>20038</v>
      </c>
      <c r="F3162" t="s">
        <v>29372</v>
      </c>
      <c r="G3162" t="s">
        <v>29383</v>
      </c>
      <c r="H3162" t="s">
        <v>11048</v>
      </c>
      <c r="I3162" t="s">
        <v>29401</v>
      </c>
      <c r="J3162" t="s">
        <v>31693</v>
      </c>
      <c r="K3162" t="s">
        <v>38487</v>
      </c>
      <c r="M3162" t="s">
        <v>40009</v>
      </c>
      <c r="N3162" t="s">
        <v>42669</v>
      </c>
      <c r="O3162" t="s">
        <v>42670</v>
      </c>
      <c r="P3162">
        <v>0</v>
      </c>
      <c r="Q3162">
        <v>0</v>
      </c>
      <c r="R3162" t="s">
        <v>42674</v>
      </c>
      <c r="S3162" t="s">
        <v>42788</v>
      </c>
      <c r="T3162" t="s">
        <v>44425</v>
      </c>
      <c r="U3162" t="s">
        <v>47435</v>
      </c>
      <c r="W3162" t="s">
        <v>40009</v>
      </c>
      <c r="X3162" t="s">
        <v>42676</v>
      </c>
    </row>
    <row r="3163" spans="1:24">
      <c r="A3163">
        <f>HYPERLINK("https://www.philgeps.gov.ph/GEPSNONPILOT/Tender/SplashBidNoticeAbstractUI.aspx?menuIndex=3&amp;refID=7192314&amp;Result=3","7192314")</f>
        <v>0</v>
      </c>
      <c r="B3163" t="s">
        <v>902</v>
      </c>
      <c r="C3163" t="s">
        <v>6540</v>
      </c>
      <c r="D3163" t="s">
        <v>17205</v>
      </c>
      <c r="E3163" t="s">
        <v>20039</v>
      </c>
      <c r="F3163" t="s">
        <v>29372</v>
      </c>
      <c r="G3163" t="s">
        <v>29379</v>
      </c>
      <c r="H3163" t="s">
        <v>11048</v>
      </c>
      <c r="I3163" t="s">
        <v>29403</v>
      </c>
      <c r="J3163" t="s">
        <v>31694</v>
      </c>
      <c r="K3163" t="s">
        <v>38490</v>
      </c>
      <c r="M3163" t="s">
        <v>39695</v>
      </c>
      <c r="N3163" t="s">
        <v>42669</v>
      </c>
      <c r="O3163" t="s">
        <v>42670</v>
      </c>
      <c r="P3163">
        <v>0</v>
      </c>
      <c r="Q3163">
        <v>0</v>
      </c>
      <c r="R3163" t="s">
        <v>42674</v>
      </c>
      <c r="S3163" t="s">
        <v>42788</v>
      </c>
      <c r="T3163" t="s">
        <v>44417</v>
      </c>
      <c r="U3163" t="s">
        <v>47436</v>
      </c>
      <c r="W3163" t="s">
        <v>39695</v>
      </c>
      <c r="X3163" t="s">
        <v>42676</v>
      </c>
    </row>
    <row r="3164" spans="1:24">
      <c r="A3164">
        <f>HYPERLINK("https://www.philgeps.gov.ph/GEPSNONPILOT/Tender/SplashBidNoticeAbstractUI.aspx?menuIndex=3&amp;refID=7192312&amp;Result=3","7192312")</f>
        <v>0</v>
      </c>
      <c r="B3164" t="s">
        <v>453</v>
      </c>
      <c r="C3164" t="s">
        <v>6541</v>
      </c>
      <c r="D3164" t="s">
        <v>17173</v>
      </c>
      <c r="E3164" t="s">
        <v>20040</v>
      </c>
      <c r="F3164" t="s">
        <v>29372</v>
      </c>
      <c r="G3164" t="s">
        <v>29380</v>
      </c>
      <c r="H3164" t="s">
        <v>11048</v>
      </c>
      <c r="I3164" t="s">
        <v>29393</v>
      </c>
      <c r="J3164" t="s">
        <v>31695</v>
      </c>
      <c r="K3164" t="s">
        <v>38496</v>
      </c>
      <c r="M3164" t="s">
        <v>39217</v>
      </c>
      <c r="N3164" t="s">
        <v>42669</v>
      </c>
      <c r="O3164" t="s">
        <v>42670</v>
      </c>
      <c r="P3164">
        <v>0</v>
      </c>
      <c r="Q3164">
        <v>0</v>
      </c>
      <c r="R3164" t="s">
        <v>42674</v>
      </c>
      <c r="S3164" t="s">
        <v>42788</v>
      </c>
      <c r="T3164" t="s">
        <v>44572</v>
      </c>
      <c r="U3164" t="s">
        <v>47437</v>
      </c>
      <c r="W3164" t="s">
        <v>39217</v>
      </c>
      <c r="X3164" t="s">
        <v>42676</v>
      </c>
    </row>
    <row r="3165" spans="1:24">
      <c r="A3165">
        <f>HYPERLINK("https://www.philgeps.gov.ph/GEPSNONPILOT/Tender/SplashBidNoticeAbstractUI.aspx?menuIndex=3&amp;refID=7192336&amp;Result=3","7192336")</f>
        <v>0</v>
      </c>
      <c r="B3165" t="s">
        <v>781</v>
      </c>
      <c r="C3165" t="s">
        <v>6542</v>
      </c>
      <c r="D3165" t="s">
        <v>17163</v>
      </c>
      <c r="E3165" t="s">
        <v>20041</v>
      </c>
      <c r="F3165" t="s">
        <v>29372</v>
      </c>
      <c r="G3165" t="s">
        <v>29379</v>
      </c>
      <c r="H3165" t="s">
        <v>11048</v>
      </c>
      <c r="I3165" t="s">
        <v>3839</v>
      </c>
      <c r="J3165" t="s">
        <v>31696</v>
      </c>
      <c r="K3165" t="s">
        <v>38518</v>
      </c>
      <c r="M3165" t="s">
        <v>40010</v>
      </c>
      <c r="N3165" t="s">
        <v>42669</v>
      </c>
      <c r="O3165" t="s">
        <v>42670</v>
      </c>
      <c r="P3165">
        <v>0</v>
      </c>
      <c r="Q3165">
        <v>4</v>
      </c>
      <c r="R3165" t="s">
        <v>42674</v>
      </c>
      <c r="S3165" t="s">
        <v>42788</v>
      </c>
      <c r="T3165" t="s">
        <v>44371</v>
      </c>
      <c r="U3165" t="s">
        <v>46453</v>
      </c>
      <c r="V3165" t="s">
        <v>56651</v>
      </c>
      <c r="W3165" t="s">
        <v>58022</v>
      </c>
      <c r="X3165" t="s">
        <v>42676</v>
      </c>
    </row>
    <row r="3166" spans="1:24">
      <c r="A3166">
        <f>HYPERLINK("https://www.philgeps.gov.ph/GEPSNONPILOT/Tender/SplashBidNoticeAbstractUI.aspx?menuIndex=3&amp;refID=7192282&amp;Result=3","7192282")</f>
        <v>0</v>
      </c>
      <c r="B3166" t="s">
        <v>1194</v>
      </c>
      <c r="C3166" t="s">
        <v>6543</v>
      </c>
      <c r="D3166" t="s">
        <v>17182</v>
      </c>
      <c r="E3166" t="s">
        <v>20042</v>
      </c>
      <c r="F3166" t="s">
        <v>29372</v>
      </c>
      <c r="G3166" t="s">
        <v>29383</v>
      </c>
      <c r="H3166" t="s">
        <v>11048</v>
      </c>
      <c r="I3166" t="s">
        <v>29407</v>
      </c>
      <c r="J3166" t="s">
        <v>31697</v>
      </c>
      <c r="K3166" t="s">
        <v>38510</v>
      </c>
      <c r="M3166" t="s">
        <v>40011</v>
      </c>
      <c r="N3166" t="s">
        <v>42669</v>
      </c>
      <c r="O3166" t="s">
        <v>42670</v>
      </c>
      <c r="P3166">
        <v>0</v>
      </c>
      <c r="Q3166">
        <v>10</v>
      </c>
      <c r="R3166" t="s">
        <v>42674</v>
      </c>
      <c r="S3166" t="s">
        <v>42788</v>
      </c>
      <c r="T3166" t="s">
        <v>44530</v>
      </c>
      <c r="U3166" t="s">
        <v>47438</v>
      </c>
      <c r="W3166" t="s">
        <v>58039</v>
      </c>
      <c r="X3166" t="s">
        <v>42676</v>
      </c>
    </row>
    <row r="3167" spans="1:24">
      <c r="A3167">
        <f>HYPERLINK("https://www.philgeps.gov.ph/GEPSNONPILOT/Tender/SplashBidNoticeAbstractUI.aspx?menuIndex=3&amp;refID=7192324&amp;Result=3","7192324")</f>
        <v>0</v>
      </c>
      <c r="B3167" t="s">
        <v>469</v>
      </c>
      <c r="C3167" t="s">
        <v>6544</v>
      </c>
      <c r="D3167" t="s">
        <v>17170</v>
      </c>
      <c r="E3167" t="s">
        <v>20043</v>
      </c>
      <c r="F3167" t="s">
        <v>29372</v>
      </c>
      <c r="G3167" t="s">
        <v>29379</v>
      </c>
      <c r="H3167" t="s">
        <v>11048</v>
      </c>
      <c r="I3167" t="s">
        <v>29460</v>
      </c>
      <c r="J3167" t="s">
        <v>31698</v>
      </c>
      <c r="K3167" t="s">
        <v>38485</v>
      </c>
      <c r="M3167" t="s">
        <v>39233</v>
      </c>
      <c r="N3167" t="s">
        <v>42669</v>
      </c>
      <c r="O3167" t="s">
        <v>42670</v>
      </c>
      <c r="P3167">
        <v>0</v>
      </c>
      <c r="Q3167">
        <v>0</v>
      </c>
      <c r="R3167" t="s">
        <v>42674</v>
      </c>
      <c r="S3167" t="s">
        <v>42788</v>
      </c>
      <c r="T3167" t="s">
        <v>44432</v>
      </c>
      <c r="U3167" t="s">
        <v>47439</v>
      </c>
      <c r="W3167" t="s">
        <v>39233</v>
      </c>
      <c r="X3167" t="s">
        <v>42676</v>
      </c>
    </row>
    <row r="3168" spans="1:24">
      <c r="A3168">
        <f>HYPERLINK("https://www.philgeps.gov.ph/GEPSNONPILOT/Tender/SplashBidNoticeAbstractUI.aspx?menuIndex=3&amp;refID=7192365&amp;Result=3","7192365")</f>
        <v>0</v>
      </c>
      <c r="B3168" t="s">
        <v>902</v>
      </c>
      <c r="C3168" t="s">
        <v>6545</v>
      </c>
      <c r="D3168" t="s">
        <v>17205</v>
      </c>
      <c r="E3168" t="s">
        <v>20044</v>
      </c>
      <c r="F3168" t="s">
        <v>29372</v>
      </c>
      <c r="G3168" t="s">
        <v>29379</v>
      </c>
      <c r="H3168" t="s">
        <v>11048</v>
      </c>
      <c r="I3168" t="s">
        <v>29403</v>
      </c>
      <c r="J3168" t="s">
        <v>31694</v>
      </c>
      <c r="K3168" t="s">
        <v>38490</v>
      </c>
      <c r="M3168" t="s">
        <v>39695</v>
      </c>
      <c r="N3168" t="s">
        <v>42669</v>
      </c>
      <c r="O3168" t="s">
        <v>42670</v>
      </c>
      <c r="P3168">
        <v>0</v>
      </c>
      <c r="Q3168">
        <v>0</v>
      </c>
      <c r="R3168" t="s">
        <v>42674</v>
      </c>
      <c r="S3168" t="s">
        <v>42788</v>
      </c>
      <c r="T3168" t="s">
        <v>44417</v>
      </c>
      <c r="U3168" t="s">
        <v>47436</v>
      </c>
      <c r="W3168" t="s">
        <v>39695</v>
      </c>
      <c r="X3168" t="s">
        <v>42676</v>
      </c>
    </row>
    <row r="3169" spans="1:24">
      <c r="A3169">
        <f>HYPERLINK("https://www.philgeps.gov.ph/GEPSNONPILOT/Tender/SplashBidNoticeAbstractUI.aspx?menuIndex=3&amp;refID=7192397&amp;Result=3","7192397")</f>
        <v>0</v>
      </c>
      <c r="B3169" t="s">
        <v>1195</v>
      </c>
      <c r="C3169" t="s">
        <v>6546</v>
      </c>
      <c r="D3169" t="s">
        <v>17169</v>
      </c>
      <c r="E3169" t="s">
        <v>20045</v>
      </c>
      <c r="F3169" t="s">
        <v>29372</v>
      </c>
      <c r="G3169" t="s">
        <v>29380</v>
      </c>
      <c r="H3169" t="s">
        <v>11048</v>
      </c>
      <c r="I3169" t="s">
        <v>29415</v>
      </c>
      <c r="J3169" t="s">
        <v>31699</v>
      </c>
      <c r="K3169" t="s">
        <v>38490</v>
      </c>
      <c r="M3169" t="s">
        <v>40012</v>
      </c>
      <c r="N3169" t="s">
        <v>42669</v>
      </c>
      <c r="O3169" t="s">
        <v>42670</v>
      </c>
      <c r="P3169">
        <v>0</v>
      </c>
      <c r="Q3169">
        <v>3</v>
      </c>
      <c r="R3169" t="s">
        <v>42674</v>
      </c>
      <c r="S3169" t="s">
        <v>42788</v>
      </c>
      <c r="T3169" t="s">
        <v>44584</v>
      </c>
      <c r="U3169" t="s">
        <v>47440</v>
      </c>
      <c r="W3169" t="s">
        <v>40012</v>
      </c>
      <c r="X3169" t="s">
        <v>42676</v>
      </c>
    </row>
    <row r="3170" spans="1:24">
      <c r="A3170">
        <f>HYPERLINK("https://www.philgeps.gov.ph/GEPSNONPILOT/Tender/SplashBidNoticeAbstractUI.aspx?menuIndex=3&amp;refID=7192321&amp;Result=3","7192321")</f>
        <v>0</v>
      </c>
      <c r="B3170" t="s">
        <v>1196</v>
      </c>
      <c r="C3170" t="s">
        <v>6547</v>
      </c>
      <c r="D3170" t="s">
        <v>17201</v>
      </c>
      <c r="E3170" t="s">
        <v>20046</v>
      </c>
      <c r="F3170" t="s">
        <v>29372</v>
      </c>
      <c r="G3170" t="s">
        <v>29380</v>
      </c>
      <c r="H3170" t="s">
        <v>11048</v>
      </c>
      <c r="I3170" t="s">
        <v>4709</v>
      </c>
      <c r="J3170" t="s">
        <v>31700</v>
      </c>
      <c r="K3170" t="s">
        <v>38485</v>
      </c>
      <c r="M3170" t="s">
        <v>40013</v>
      </c>
      <c r="N3170" t="s">
        <v>42669</v>
      </c>
      <c r="O3170" t="s">
        <v>42670</v>
      </c>
      <c r="P3170">
        <v>0</v>
      </c>
      <c r="Q3170">
        <v>0</v>
      </c>
      <c r="R3170" t="s">
        <v>42674</v>
      </c>
      <c r="S3170" t="s">
        <v>42788</v>
      </c>
      <c r="T3170" t="s">
        <v>44468</v>
      </c>
      <c r="U3170" t="s">
        <v>47441</v>
      </c>
      <c r="W3170" t="s">
        <v>40013</v>
      </c>
      <c r="X3170" t="s">
        <v>42676</v>
      </c>
    </row>
    <row r="3171" spans="1:24">
      <c r="A3171">
        <f>HYPERLINK("https://www.philgeps.gov.ph/GEPSNONPILOT/Tender/SplashBidNoticeAbstractUI.aspx?menuIndex=3&amp;refID=7192396&amp;Result=3","7192396")</f>
        <v>0</v>
      </c>
      <c r="B3171" t="s">
        <v>861</v>
      </c>
      <c r="C3171" t="s">
        <v>6548</v>
      </c>
      <c r="D3171" t="s">
        <v>17141</v>
      </c>
      <c r="E3171" t="s">
        <v>20047</v>
      </c>
      <c r="F3171" t="s">
        <v>29372</v>
      </c>
      <c r="G3171" t="s">
        <v>29380</v>
      </c>
      <c r="H3171" t="s">
        <v>11048</v>
      </c>
      <c r="I3171" t="s">
        <v>8614</v>
      </c>
      <c r="J3171" t="s">
        <v>30645</v>
      </c>
      <c r="K3171" t="s">
        <v>38490</v>
      </c>
      <c r="M3171" t="s">
        <v>39975</v>
      </c>
      <c r="N3171" t="s">
        <v>42669</v>
      </c>
      <c r="O3171" t="s">
        <v>42670</v>
      </c>
      <c r="P3171">
        <v>0</v>
      </c>
      <c r="Q3171">
        <v>13</v>
      </c>
      <c r="R3171" t="s">
        <v>42674</v>
      </c>
      <c r="S3171" t="s">
        <v>42788</v>
      </c>
      <c r="T3171" t="s">
        <v>44539</v>
      </c>
      <c r="U3171" t="s">
        <v>47442</v>
      </c>
      <c r="W3171" t="s">
        <v>39975</v>
      </c>
      <c r="X3171" t="s">
        <v>42676</v>
      </c>
    </row>
    <row r="3172" spans="1:24">
      <c r="A3172">
        <f>HYPERLINK("https://www.philgeps.gov.ph/GEPSNONPILOT/Tender/SplashBidNoticeAbstractUI.aspx?menuIndex=3&amp;refID=7192395&amp;Result=3","7192395")</f>
        <v>0</v>
      </c>
      <c r="B3172" t="s">
        <v>143</v>
      </c>
      <c r="C3172" t="s">
        <v>6549</v>
      </c>
      <c r="D3172" t="s">
        <v>17182</v>
      </c>
      <c r="E3172" t="s">
        <v>20048</v>
      </c>
      <c r="F3172" t="s">
        <v>29372</v>
      </c>
      <c r="G3172" t="s">
        <v>29379</v>
      </c>
      <c r="H3172" t="s">
        <v>29389</v>
      </c>
      <c r="I3172" t="s">
        <v>10408</v>
      </c>
      <c r="J3172" t="s">
        <v>31701</v>
      </c>
      <c r="K3172" t="s">
        <v>38507</v>
      </c>
      <c r="M3172" t="s">
        <v>38898</v>
      </c>
      <c r="N3172" t="s">
        <v>42669</v>
      </c>
      <c r="O3172" t="s">
        <v>42670</v>
      </c>
      <c r="P3172">
        <v>0</v>
      </c>
      <c r="Q3172">
        <v>0</v>
      </c>
      <c r="R3172" t="s">
        <v>42674</v>
      </c>
      <c r="S3172" t="s">
        <v>42788</v>
      </c>
      <c r="T3172" t="s">
        <v>44385</v>
      </c>
      <c r="U3172" t="s">
        <v>47420</v>
      </c>
      <c r="W3172" t="s">
        <v>38898</v>
      </c>
      <c r="X3172" t="s">
        <v>42676</v>
      </c>
    </row>
    <row r="3173" spans="1:24">
      <c r="A3173">
        <f>HYPERLINK("https://www.philgeps.gov.ph/GEPSNONPILOT/Tender/SplashBidNoticeAbstractUI.aspx?menuIndex=3&amp;refID=7192193&amp;Result=3","7192193")</f>
        <v>0</v>
      </c>
      <c r="B3173" t="s">
        <v>968</v>
      </c>
      <c r="C3173" t="s">
        <v>6550</v>
      </c>
      <c r="D3173" t="s">
        <v>17197</v>
      </c>
      <c r="E3173" t="s">
        <v>20049</v>
      </c>
      <c r="F3173" t="s">
        <v>29372</v>
      </c>
      <c r="G3173" t="s">
        <v>29379</v>
      </c>
      <c r="H3173" t="s">
        <v>11048</v>
      </c>
      <c r="I3173" t="s">
        <v>29410</v>
      </c>
      <c r="J3173" t="s">
        <v>31702</v>
      </c>
      <c r="K3173" t="s">
        <v>38538</v>
      </c>
      <c r="M3173" t="s">
        <v>39764</v>
      </c>
      <c r="N3173" t="s">
        <v>42669</v>
      </c>
      <c r="O3173" t="s">
        <v>42670</v>
      </c>
      <c r="P3173">
        <v>0</v>
      </c>
      <c r="Q3173">
        <v>0</v>
      </c>
      <c r="R3173" t="s">
        <v>42674</v>
      </c>
      <c r="S3173" t="s">
        <v>42788</v>
      </c>
      <c r="T3173" t="s">
        <v>44427</v>
      </c>
      <c r="U3173" t="s">
        <v>47443</v>
      </c>
      <c r="W3173" t="s">
        <v>39764</v>
      </c>
      <c r="X3173" t="s">
        <v>42676</v>
      </c>
    </row>
    <row r="3174" spans="1:24">
      <c r="A3174">
        <f>HYPERLINK("https://www.philgeps.gov.ph/GEPSNONPILOT/Tender/SplashBidNoticeAbstractUI.aspx?menuIndex=3&amp;refID=7192389&amp;Result=3","7192389")</f>
        <v>0</v>
      </c>
      <c r="B3174" t="s">
        <v>1197</v>
      </c>
      <c r="C3174" t="s">
        <v>6551</v>
      </c>
      <c r="D3174" t="s">
        <v>17200</v>
      </c>
      <c r="E3174" t="s">
        <v>20050</v>
      </c>
      <c r="F3174" t="s">
        <v>29372</v>
      </c>
      <c r="G3174" t="s">
        <v>29379</v>
      </c>
      <c r="H3174" t="s">
        <v>11048</v>
      </c>
      <c r="I3174" t="s">
        <v>3839</v>
      </c>
      <c r="J3174" t="s">
        <v>31703</v>
      </c>
      <c r="K3174" t="s">
        <v>38528</v>
      </c>
      <c r="M3174" t="s">
        <v>40014</v>
      </c>
      <c r="N3174" t="s">
        <v>42669</v>
      </c>
      <c r="O3174" t="s">
        <v>42670</v>
      </c>
      <c r="P3174">
        <v>0</v>
      </c>
      <c r="Q3174">
        <v>0</v>
      </c>
      <c r="R3174" t="s">
        <v>42674</v>
      </c>
      <c r="S3174" t="s">
        <v>42788</v>
      </c>
      <c r="T3174" t="s">
        <v>44382</v>
      </c>
      <c r="U3174" t="s">
        <v>47444</v>
      </c>
      <c r="V3174" t="s">
        <v>56652</v>
      </c>
      <c r="W3174" t="s">
        <v>40014</v>
      </c>
      <c r="X3174" t="s">
        <v>42676</v>
      </c>
    </row>
    <row r="3175" spans="1:24">
      <c r="A3175">
        <f>HYPERLINK("https://www.philgeps.gov.ph/GEPSNONPILOT/Tender/SplashBidNoticeAbstractUI.aspx?menuIndex=3&amp;refID=7192332&amp;Result=3","7192332")</f>
        <v>0</v>
      </c>
      <c r="B3175" t="s">
        <v>143</v>
      </c>
      <c r="C3175" t="s">
        <v>6552</v>
      </c>
      <c r="D3175" t="s">
        <v>17182</v>
      </c>
      <c r="E3175" t="s">
        <v>20051</v>
      </c>
      <c r="F3175" t="s">
        <v>29372</v>
      </c>
      <c r="G3175" t="s">
        <v>29379</v>
      </c>
      <c r="H3175" t="s">
        <v>29389</v>
      </c>
      <c r="I3175" t="s">
        <v>10408</v>
      </c>
      <c r="J3175" t="s">
        <v>31704</v>
      </c>
      <c r="K3175" t="s">
        <v>38521</v>
      </c>
      <c r="M3175" t="s">
        <v>38898</v>
      </c>
      <c r="N3175" t="s">
        <v>42669</v>
      </c>
      <c r="O3175" t="s">
        <v>42670</v>
      </c>
      <c r="P3175">
        <v>0</v>
      </c>
      <c r="Q3175">
        <v>0</v>
      </c>
      <c r="R3175" t="s">
        <v>42674</v>
      </c>
      <c r="S3175" t="s">
        <v>42788</v>
      </c>
      <c r="T3175" t="s">
        <v>44385</v>
      </c>
      <c r="U3175" t="s">
        <v>47420</v>
      </c>
      <c r="W3175" t="s">
        <v>38898</v>
      </c>
      <c r="X3175" t="s">
        <v>42676</v>
      </c>
    </row>
    <row r="3176" spans="1:24">
      <c r="A3176">
        <f>HYPERLINK("https://www.philgeps.gov.ph/GEPSNONPILOT/Tender/SplashBidNoticeAbstractUI.aspx?menuIndex=3&amp;refID=7192387&amp;Result=3","7192387")</f>
        <v>0</v>
      </c>
      <c r="B3176" t="s">
        <v>1184</v>
      </c>
      <c r="C3176" t="s">
        <v>6553</v>
      </c>
      <c r="D3176" t="s">
        <v>17205</v>
      </c>
      <c r="E3176" t="s">
        <v>20052</v>
      </c>
      <c r="F3176" t="s">
        <v>29372</v>
      </c>
      <c r="G3176" t="s">
        <v>29379</v>
      </c>
      <c r="H3176" t="s">
        <v>11048</v>
      </c>
      <c r="I3176" t="s">
        <v>3670</v>
      </c>
      <c r="J3176" t="s">
        <v>31705</v>
      </c>
      <c r="K3176" t="s">
        <v>38488</v>
      </c>
      <c r="M3176" t="s">
        <v>40000</v>
      </c>
      <c r="N3176" t="s">
        <v>42669</v>
      </c>
      <c r="O3176" t="s">
        <v>42670</v>
      </c>
      <c r="P3176">
        <v>0</v>
      </c>
      <c r="Q3176">
        <v>0</v>
      </c>
      <c r="R3176" t="s">
        <v>42674</v>
      </c>
      <c r="S3176" t="s">
        <v>42788</v>
      </c>
      <c r="T3176" t="s">
        <v>44429</v>
      </c>
      <c r="U3176" t="s">
        <v>47445</v>
      </c>
      <c r="W3176" t="s">
        <v>40000</v>
      </c>
      <c r="X3176" t="s">
        <v>42676</v>
      </c>
    </row>
    <row r="3177" spans="1:24">
      <c r="A3177">
        <f>HYPERLINK("https://www.philgeps.gov.ph/GEPSNONPILOT/Tender/SplashBidNoticeAbstractUI.aspx?menuIndex=3&amp;refID=7192393&amp;Result=3","7192393")</f>
        <v>0</v>
      </c>
      <c r="B3177" t="s">
        <v>1198</v>
      </c>
      <c r="C3177" t="s">
        <v>6554</v>
      </c>
      <c r="D3177" t="s">
        <v>17201</v>
      </c>
      <c r="E3177" t="s">
        <v>20053</v>
      </c>
      <c r="F3177" t="s">
        <v>29372</v>
      </c>
      <c r="G3177" t="s">
        <v>29380</v>
      </c>
      <c r="H3177" t="s">
        <v>11048</v>
      </c>
      <c r="I3177" t="s">
        <v>4709</v>
      </c>
      <c r="J3177" t="s">
        <v>31706</v>
      </c>
      <c r="K3177" t="s">
        <v>38510</v>
      </c>
      <c r="L3177" t="s">
        <v>1198</v>
      </c>
      <c r="M3177" t="s">
        <v>40015</v>
      </c>
      <c r="N3177" t="s">
        <v>42669</v>
      </c>
      <c r="O3177" t="s">
        <v>42670</v>
      </c>
      <c r="P3177">
        <v>0</v>
      </c>
      <c r="Q3177">
        <v>0</v>
      </c>
      <c r="R3177" t="s">
        <v>42674</v>
      </c>
      <c r="S3177" t="s">
        <v>42788</v>
      </c>
      <c r="T3177" t="s">
        <v>44430</v>
      </c>
      <c r="U3177" t="s">
        <v>47446</v>
      </c>
      <c r="V3177" t="s">
        <v>56653</v>
      </c>
      <c r="W3177" t="s">
        <v>40015</v>
      </c>
      <c r="X3177" t="s">
        <v>42676</v>
      </c>
    </row>
    <row r="3178" spans="1:24">
      <c r="A3178">
        <f>HYPERLINK("https://www.philgeps.gov.ph/GEPSNONPILOT/Tender/SplashBidNoticeAbstractUI.aspx?menuIndex=3&amp;refID=7192386&amp;Result=3","7192386")</f>
        <v>0</v>
      </c>
      <c r="B3178" t="s">
        <v>1199</v>
      </c>
      <c r="C3178" t="s">
        <v>6555</v>
      </c>
      <c r="D3178" t="s">
        <v>17222</v>
      </c>
      <c r="E3178" t="s">
        <v>20054</v>
      </c>
      <c r="F3178" t="s">
        <v>29372</v>
      </c>
      <c r="G3178" t="s">
        <v>29379</v>
      </c>
      <c r="H3178" t="s">
        <v>11048</v>
      </c>
      <c r="I3178" t="s">
        <v>5383</v>
      </c>
      <c r="J3178" t="s">
        <v>30010</v>
      </c>
      <c r="K3178" t="s">
        <v>38488</v>
      </c>
      <c r="M3178" t="s">
        <v>40016</v>
      </c>
      <c r="N3178" t="s">
        <v>42669</v>
      </c>
      <c r="O3178" t="s">
        <v>42670</v>
      </c>
      <c r="P3178">
        <v>0</v>
      </c>
      <c r="Q3178">
        <v>0</v>
      </c>
      <c r="R3178" t="s">
        <v>42674</v>
      </c>
      <c r="S3178" t="s">
        <v>42788</v>
      </c>
      <c r="T3178" t="s">
        <v>44401</v>
      </c>
      <c r="U3178" t="s">
        <v>47447</v>
      </c>
      <c r="W3178" t="s">
        <v>40016</v>
      </c>
      <c r="X3178" t="s">
        <v>42676</v>
      </c>
    </row>
    <row r="3179" spans="1:24">
      <c r="A3179">
        <f>HYPERLINK("https://www.philgeps.gov.ph/GEPSNONPILOT/Tender/SplashBidNoticeAbstractUI.aspx?menuIndex=3&amp;refID=7192385&amp;Result=3","7192385")</f>
        <v>0</v>
      </c>
      <c r="B3179" t="s">
        <v>902</v>
      </c>
      <c r="C3179" t="s">
        <v>6556</v>
      </c>
      <c r="D3179" t="s">
        <v>17205</v>
      </c>
      <c r="E3179" t="s">
        <v>20055</v>
      </c>
      <c r="F3179" t="s">
        <v>29372</v>
      </c>
      <c r="G3179" t="s">
        <v>29379</v>
      </c>
      <c r="H3179" t="s">
        <v>11048</v>
      </c>
      <c r="I3179" t="s">
        <v>29393</v>
      </c>
      <c r="J3179" t="s">
        <v>31707</v>
      </c>
      <c r="K3179" t="s">
        <v>38490</v>
      </c>
      <c r="M3179" t="s">
        <v>39695</v>
      </c>
      <c r="N3179" t="s">
        <v>42669</v>
      </c>
      <c r="O3179" t="s">
        <v>42670</v>
      </c>
      <c r="P3179">
        <v>0</v>
      </c>
      <c r="Q3179">
        <v>0</v>
      </c>
      <c r="R3179" t="s">
        <v>42674</v>
      </c>
      <c r="S3179" t="s">
        <v>42788</v>
      </c>
      <c r="T3179" t="s">
        <v>44417</v>
      </c>
      <c r="U3179" t="s">
        <v>47448</v>
      </c>
      <c r="V3179" t="s">
        <v>56654</v>
      </c>
      <c r="W3179" t="s">
        <v>39695</v>
      </c>
      <c r="X3179" t="s">
        <v>42676</v>
      </c>
    </row>
    <row r="3180" spans="1:24">
      <c r="A3180">
        <f>HYPERLINK("https://www.philgeps.gov.ph/GEPSNONPILOT/Tender/SplashBidNoticeAbstractUI.aspx?menuIndex=3&amp;refID=7192381&amp;Result=3","7192381")</f>
        <v>0</v>
      </c>
      <c r="B3180" t="s">
        <v>1200</v>
      </c>
      <c r="C3180" t="s">
        <v>6557</v>
      </c>
      <c r="D3180" t="s">
        <v>17190</v>
      </c>
      <c r="E3180" t="s">
        <v>20056</v>
      </c>
      <c r="F3180" t="s">
        <v>29372</v>
      </c>
      <c r="G3180" t="s">
        <v>29379</v>
      </c>
      <c r="H3180" t="s">
        <v>11048</v>
      </c>
      <c r="I3180" t="s">
        <v>29488</v>
      </c>
      <c r="J3180" t="s">
        <v>30886</v>
      </c>
      <c r="K3180" t="s">
        <v>38488</v>
      </c>
      <c r="M3180" t="s">
        <v>40017</v>
      </c>
      <c r="N3180" t="s">
        <v>42669</v>
      </c>
      <c r="O3180" t="s">
        <v>42670</v>
      </c>
      <c r="P3180">
        <v>0</v>
      </c>
      <c r="Q3180">
        <v>0</v>
      </c>
      <c r="R3180" t="s">
        <v>42674</v>
      </c>
      <c r="S3180" t="s">
        <v>42788</v>
      </c>
      <c r="T3180" t="s">
        <v>44512</v>
      </c>
      <c r="U3180" t="s">
        <v>47449</v>
      </c>
      <c r="W3180" t="s">
        <v>40017</v>
      </c>
      <c r="X3180" t="s">
        <v>42676</v>
      </c>
    </row>
    <row r="3181" spans="1:24">
      <c r="A3181">
        <f>HYPERLINK("https://www.philgeps.gov.ph/GEPSNONPILOT/Tender/SplashBidNoticeAbstractUI.aspx?menuIndex=3&amp;refID=7192380&amp;Result=3","7192380")</f>
        <v>0</v>
      </c>
      <c r="B3181" t="s">
        <v>1201</v>
      </c>
      <c r="C3181" t="s">
        <v>6558</v>
      </c>
      <c r="D3181" t="s">
        <v>17170</v>
      </c>
      <c r="E3181" t="s">
        <v>20057</v>
      </c>
      <c r="F3181" t="s">
        <v>29372</v>
      </c>
      <c r="G3181" t="s">
        <v>29380</v>
      </c>
      <c r="H3181" t="s">
        <v>11048</v>
      </c>
      <c r="I3181" t="s">
        <v>14920</v>
      </c>
      <c r="J3181" t="s">
        <v>29532</v>
      </c>
      <c r="K3181" t="s">
        <v>38491</v>
      </c>
      <c r="M3181" t="s">
        <v>40018</v>
      </c>
      <c r="N3181" t="s">
        <v>42669</v>
      </c>
      <c r="O3181" t="s">
        <v>42670</v>
      </c>
      <c r="P3181">
        <v>0</v>
      </c>
      <c r="Q3181">
        <v>0</v>
      </c>
      <c r="R3181" t="s">
        <v>42674</v>
      </c>
      <c r="S3181" t="s">
        <v>42788</v>
      </c>
      <c r="T3181" t="s">
        <v>44412</v>
      </c>
      <c r="U3181" t="s">
        <v>47450</v>
      </c>
      <c r="W3181" t="s">
        <v>40018</v>
      </c>
      <c r="X3181" t="s">
        <v>42676</v>
      </c>
    </row>
    <row r="3182" spans="1:24">
      <c r="A3182">
        <f>HYPERLINK("https://www.philgeps.gov.ph/GEPSNONPILOT/Tender/SplashBidNoticeAbstractUI.aspx?menuIndex=3&amp;refID=7192390&amp;Result=3","7192390")</f>
        <v>0</v>
      </c>
      <c r="B3182" t="s">
        <v>1176</v>
      </c>
      <c r="C3182" t="s">
        <v>6559</v>
      </c>
      <c r="D3182" t="s">
        <v>17199</v>
      </c>
      <c r="E3182" t="s">
        <v>20058</v>
      </c>
      <c r="F3182" t="s">
        <v>29372</v>
      </c>
      <c r="G3182" t="s">
        <v>29383</v>
      </c>
      <c r="H3182" t="s">
        <v>11048</v>
      </c>
      <c r="I3182" t="s">
        <v>29395</v>
      </c>
      <c r="J3182" t="s">
        <v>31708</v>
      </c>
      <c r="K3182" t="s">
        <v>38490</v>
      </c>
      <c r="M3182" t="s">
        <v>39991</v>
      </c>
      <c r="N3182" t="s">
        <v>42669</v>
      </c>
      <c r="O3182" t="s">
        <v>42670</v>
      </c>
      <c r="P3182">
        <v>0</v>
      </c>
      <c r="Q3182">
        <v>0</v>
      </c>
      <c r="R3182" t="s">
        <v>42674</v>
      </c>
      <c r="S3182" t="s">
        <v>42788</v>
      </c>
      <c r="T3182" t="s">
        <v>44491</v>
      </c>
      <c r="U3182" t="s">
        <v>47396</v>
      </c>
      <c r="W3182" t="s">
        <v>39991</v>
      </c>
      <c r="X3182" t="s">
        <v>42676</v>
      </c>
    </row>
    <row r="3183" spans="1:24">
      <c r="A3183">
        <f>HYPERLINK("https://www.philgeps.gov.ph/GEPSNONPILOT/Tender/SplashBidNoticeAbstractUI.aspx?menuIndex=3&amp;refID=7192433&amp;Result=3","7192433")</f>
        <v>0</v>
      </c>
      <c r="B3183" t="s">
        <v>922</v>
      </c>
      <c r="C3183" t="s">
        <v>6560</v>
      </c>
      <c r="D3183" t="s">
        <v>17144</v>
      </c>
      <c r="E3183" t="s">
        <v>20059</v>
      </c>
      <c r="F3183" t="s">
        <v>29372</v>
      </c>
      <c r="G3183" t="s">
        <v>29379</v>
      </c>
      <c r="H3183" t="s">
        <v>11048</v>
      </c>
      <c r="I3183" t="s">
        <v>9469</v>
      </c>
      <c r="J3183" t="s">
        <v>29571</v>
      </c>
      <c r="K3183" t="s">
        <v>38491</v>
      </c>
      <c r="M3183" t="s">
        <v>39717</v>
      </c>
      <c r="N3183" t="s">
        <v>42669</v>
      </c>
      <c r="O3183" t="s">
        <v>42670</v>
      </c>
      <c r="P3183">
        <v>0</v>
      </c>
      <c r="Q3183">
        <v>0</v>
      </c>
      <c r="R3183" t="s">
        <v>42674</v>
      </c>
      <c r="S3183" t="s">
        <v>42788</v>
      </c>
      <c r="T3183" t="s">
        <v>44496</v>
      </c>
      <c r="U3183" t="s">
        <v>46717</v>
      </c>
      <c r="W3183" t="s">
        <v>39717</v>
      </c>
      <c r="X3183" t="s">
        <v>42676</v>
      </c>
    </row>
    <row r="3184" spans="1:24">
      <c r="A3184">
        <f>HYPERLINK("https://www.philgeps.gov.ph/GEPSNONPILOT/Tender/SplashBidNoticeAbstractUI.aspx?menuIndex=3&amp;refID=7192430&amp;Result=3","7192430")</f>
        <v>0</v>
      </c>
      <c r="B3184" t="s">
        <v>1034</v>
      </c>
      <c r="C3184" t="s">
        <v>6561</v>
      </c>
      <c r="D3184" t="s">
        <v>17199</v>
      </c>
      <c r="E3184" t="s">
        <v>20060</v>
      </c>
      <c r="F3184" t="s">
        <v>29372</v>
      </c>
      <c r="G3184" t="s">
        <v>29382</v>
      </c>
      <c r="H3184" t="s">
        <v>11048</v>
      </c>
      <c r="I3184" t="s">
        <v>5383</v>
      </c>
      <c r="J3184" t="s">
        <v>31709</v>
      </c>
      <c r="K3184" t="s">
        <v>38491</v>
      </c>
      <c r="M3184" t="s">
        <v>39837</v>
      </c>
      <c r="N3184" t="s">
        <v>42669</v>
      </c>
      <c r="O3184" t="s">
        <v>42670</v>
      </c>
      <c r="P3184">
        <v>0</v>
      </c>
      <c r="Q3184">
        <v>1</v>
      </c>
      <c r="R3184" t="s">
        <v>42674</v>
      </c>
      <c r="S3184" t="s">
        <v>42788</v>
      </c>
      <c r="T3184" t="s">
        <v>44401</v>
      </c>
      <c r="U3184" t="s">
        <v>47451</v>
      </c>
      <c r="W3184" t="s">
        <v>58033</v>
      </c>
      <c r="X3184" t="s">
        <v>42676</v>
      </c>
    </row>
    <row r="3185" spans="1:24">
      <c r="A3185">
        <f>HYPERLINK("https://www.philgeps.gov.ph/GEPSNONPILOT/Tender/SplashBidNoticeAbstractUI.aspx?menuIndex=3&amp;refID=7192383&amp;Result=3","7192383")</f>
        <v>0</v>
      </c>
      <c r="B3185" t="s">
        <v>1195</v>
      </c>
      <c r="C3185" t="s">
        <v>6562</v>
      </c>
      <c r="D3185" t="s">
        <v>17169</v>
      </c>
      <c r="E3185" t="s">
        <v>20061</v>
      </c>
      <c r="F3185" t="s">
        <v>29372</v>
      </c>
      <c r="G3185" t="s">
        <v>29380</v>
      </c>
      <c r="H3185" t="s">
        <v>11048</v>
      </c>
      <c r="I3185" t="s">
        <v>29395</v>
      </c>
      <c r="J3185" t="s">
        <v>29587</v>
      </c>
      <c r="K3185" t="s">
        <v>38490</v>
      </c>
      <c r="M3185" t="s">
        <v>40012</v>
      </c>
      <c r="N3185" t="s">
        <v>42669</v>
      </c>
      <c r="O3185" t="s">
        <v>42670</v>
      </c>
      <c r="P3185">
        <v>0</v>
      </c>
      <c r="Q3185">
        <v>1</v>
      </c>
      <c r="R3185" t="s">
        <v>42674</v>
      </c>
      <c r="S3185" t="s">
        <v>42788</v>
      </c>
      <c r="T3185" t="s">
        <v>44584</v>
      </c>
      <c r="U3185" t="s">
        <v>47452</v>
      </c>
      <c r="W3185" t="s">
        <v>40012</v>
      </c>
      <c r="X3185" t="s">
        <v>42676</v>
      </c>
    </row>
    <row r="3186" spans="1:24">
      <c r="A3186">
        <f>HYPERLINK("https://www.philgeps.gov.ph/GEPSNONPILOT/Tender/SplashBidNoticeAbstractUI.aspx?menuIndex=3&amp;refID=7192425&amp;Result=3","7192425")</f>
        <v>0</v>
      </c>
      <c r="B3186" t="s">
        <v>1202</v>
      </c>
      <c r="C3186" t="s">
        <v>6563</v>
      </c>
      <c r="E3186" t="s">
        <v>20062</v>
      </c>
      <c r="F3186" t="s">
        <v>29372</v>
      </c>
      <c r="G3186" t="s">
        <v>29379</v>
      </c>
      <c r="H3186" t="s">
        <v>11048</v>
      </c>
      <c r="I3186" t="s">
        <v>4487</v>
      </c>
      <c r="J3186" t="s">
        <v>31710</v>
      </c>
      <c r="K3186" t="s">
        <v>38490</v>
      </c>
      <c r="M3186" t="s">
        <v>40019</v>
      </c>
      <c r="N3186" t="s">
        <v>42669</v>
      </c>
      <c r="O3186" t="s">
        <v>42670</v>
      </c>
      <c r="P3186">
        <v>0</v>
      </c>
      <c r="Q3186">
        <v>5</v>
      </c>
      <c r="R3186" t="s">
        <v>42674</v>
      </c>
      <c r="S3186" t="s">
        <v>42788</v>
      </c>
      <c r="T3186" t="s">
        <v>44427</v>
      </c>
      <c r="U3186" t="s">
        <v>47453</v>
      </c>
      <c r="W3186" t="s">
        <v>40019</v>
      </c>
      <c r="X3186" t="s">
        <v>42676</v>
      </c>
    </row>
    <row r="3187" spans="1:24">
      <c r="A3187">
        <f>HYPERLINK("https://www.philgeps.gov.ph/GEPSNONPILOT/Tender/SplashBidNoticeAbstractUI.aspx?menuIndex=3&amp;refID=7192391&amp;Result=3","7192391")</f>
        <v>0</v>
      </c>
      <c r="B3187" t="s">
        <v>1034</v>
      </c>
      <c r="C3187" t="s">
        <v>6564</v>
      </c>
      <c r="D3187" t="s">
        <v>17199</v>
      </c>
      <c r="E3187" t="s">
        <v>20063</v>
      </c>
      <c r="F3187" t="s">
        <v>29372</v>
      </c>
      <c r="G3187" t="s">
        <v>29379</v>
      </c>
      <c r="H3187" t="s">
        <v>11048</v>
      </c>
      <c r="I3187" t="s">
        <v>29475</v>
      </c>
      <c r="J3187" t="s">
        <v>31711</v>
      </c>
      <c r="K3187" t="s">
        <v>38491</v>
      </c>
      <c r="M3187" t="s">
        <v>39837</v>
      </c>
      <c r="N3187" t="s">
        <v>42669</v>
      </c>
      <c r="O3187" t="s">
        <v>42670</v>
      </c>
      <c r="P3187">
        <v>0</v>
      </c>
      <c r="Q3187">
        <v>0</v>
      </c>
      <c r="R3187" t="s">
        <v>42674</v>
      </c>
      <c r="S3187" t="s">
        <v>42788</v>
      </c>
      <c r="T3187" t="s">
        <v>44427</v>
      </c>
      <c r="U3187" t="s">
        <v>47397</v>
      </c>
      <c r="W3187" t="s">
        <v>58033</v>
      </c>
      <c r="X3187" t="s">
        <v>42676</v>
      </c>
    </row>
    <row r="3188" spans="1:24">
      <c r="A3188">
        <f>HYPERLINK("https://www.philgeps.gov.ph/GEPSNONPILOT/Tender/SplashBidNoticeAbstractUI.aspx?menuIndex=3&amp;refID=7192278&amp;Result=3","7192278")</f>
        <v>0</v>
      </c>
      <c r="B3188" t="s">
        <v>1197</v>
      </c>
      <c r="C3188" t="s">
        <v>6565</v>
      </c>
      <c r="D3188" t="s">
        <v>17200</v>
      </c>
      <c r="E3188" t="s">
        <v>20064</v>
      </c>
      <c r="F3188" t="s">
        <v>29372</v>
      </c>
      <c r="G3188" t="s">
        <v>29380</v>
      </c>
      <c r="H3188" t="s">
        <v>11048</v>
      </c>
      <c r="I3188" t="s">
        <v>29409</v>
      </c>
      <c r="J3188" t="s">
        <v>31712</v>
      </c>
      <c r="K3188" t="s">
        <v>38491</v>
      </c>
      <c r="M3188" t="s">
        <v>40014</v>
      </c>
      <c r="N3188" t="s">
        <v>42669</v>
      </c>
      <c r="O3188" t="s">
        <v>42670</v>
      </c>
      <c r="P3188">
        <v>0</v>
      </c>
      <c r="Q3188">
        <v>4</v>
      </c>
      <c r="R3188" t="s">
        <v>42674</v>
      </c>
      <c r="S3188" t="s">
        <v>42788</v>
      </c>
      <c r="T3188" t="s">
        <v>44466</v>
      </c>
      <c r="U3188" t="s">
        <v>47454</v>
      </c>
      <c r="V3188" t="s">
        <v>56655</v>
      </c>
      <c r="W3188" t="s">
        <v>40014</v>
      </c>
      <c r="X3188" t="s">
        <v>42676</v>
      </c>
    </row>
    <row r="3189" spans="1:24">
      <c r="A3189">
        <f>HYPERLINK("https://www.philgeps.gov.ph/GEPSNONPILOT/Tender/SplashBidNoticeAbstractUI.aspx?menuIndex=3&amp;refID=7192423&amp;Result=3","7192423")</f>
        <v>0</v>
      </c>
      <c r="B3189" t="s">
        <v>1203</v>
      </c>
      <c r="C3189" t="s">
        <v>6566</v>
      </c>
      <c r="D3189" t="s">
        <v>17213</v>
      </c>
      <c r="E3189" t="s">
        <v>20065</v>
      </c>
      <c r="F3189" t="s">
        <v>29372</v>
      </c>
      <c r="G3189" t="s">
        <v>29379</v>
      </c>
      <c r="H3189" t="s">
        <v>11048</v>
      </c>
      <c r="I3189" t="s">
        <v>4709</v>
      </c>
      <c r="J3189" t="s">
        <v>31713</v>
      </c>
      <c r="K3189" t="s">
        <v>38488</v>
      </c>
      <c r="M3189" t="s">
        <v>40020</v>
      </c>
      <c r="N3189" t="s">
        <v>42669</v>
      </c>
      <c r="O3189" t="s">
        <v>42670</v>
      </c>
      <c r="P3189">
        <v>0</v>
      </c>
      <c r="Q3189">
        <v>0</v>
      </c>
      <c r="R3189" t="s">
        <v>42674</v>
      </c>
      <c r="S3189" t="s">
        <v>42788</v>
      </c>
      <c r="T3189" t="s">
        <v>44493</v>
      </c>
      <c r="U3189" t="s">
        <v>47455</v>
      </c>
      <c r="W3189" t="s">
        <v>58040</v>
      </c>
      <c r="X3189" t="s">
        <v>42676</v>
      </c>
    </row>
    <row r="3190" spans="1:24">
      <c r="A3190">
        <f>HYPERLINK("https://www.philgeps.gov.ph/GEPSNONPILOT/Tender/SplashBidNoticeAbstractUI.aspx?menuIndex=3&amp;refID=7192426&amp;Result=3","7192426")</f>
        <v>0</v>
      </c>
      <c r="B3190" t="s">
        <v>1152</v>
      </c>
      <c r="C3190" t="s">
        <v>6567</v>
      </c>
      <c r="D3190" t="s">
        <v>17204</v>
      </c>
      <c r="E3190" t="s">
        <v>20066</v>
      </c>
      <c r="F3190" t="s">
        <v>29372</v>
      </c>
      <c r="G3190" t="s">
        <v>29383</v>
      </c>
      <c r="H3190" t="s">
        <v>11048</v>
      </c>
      <c r="I3190" t="s">
        <v>29419</v>
      </c>
      <c r="J3190" t="s">
        <v>29679</v>
      </c>
      <c r="K3190" t="s">
        <v>38528</v>
      </c>
      <c r="M3190" t="s">
        <v>39966</v>
      </c>
      <c r="N3190" t="s">
        <v>42669</v>
      </c>
      <c r="O3190" t="s">
        <v>42670</v>
      </c>
      <c r="P3190">
        <v>0</v>
      </c>
      <c r="Q3190">
        <v>1</v>
      </c>
      <c r="R3190" t="s">
        <v>42674</v>
      </c>
      <c r="S3190" t="s">
        <v>42788</v>
      </c>
      <c r="T3190" t="s">
        <v>44488</v>
      </c>
      <c r="U3190" t="s">
        <v>47456</v>
      </c>
      <c r="V3190" t="s">
        <v>56656</v>
      </c>
      <c r="W3190" t="s">
        <v>39966</v>
      </c>
      <c r="X3190" t="s">
        <v>42676</v>
      </c>
    </row>
    <row r="3191" spans="1:24">
      <c r="A3191">
        <f>HYPERLINK("https://www.philgeps.gov.ph/GEPSNONPILOT/Tender/SplashBidNoticeAbstractUI.aspx?menuIndex=3&amp;refID=7192429&amp;Result=3","7192429")</f>
        <v>0</v>
      </c>
      <c r="B3191" t="s">
        <v>902</v>
      </c>
      <c r="C3191" t="s">
        <v>3816</v>
      </c>
      <c r="D3191" t="s">
        <v>17205</v>
      </c>
      <c r="E3191" t="s">
        <v>20067</v>
      </c>
      <c r="F3191" t="s">
        <v>29372</v>
      </c>
      <c r="G3191" t="s">
        <v>29382</v>
      </c>
      <c r="H3191" t="s">
        <v>11048</v>
      </c>
      <c r="I3191" t="s">
        <v>5383</v>
      </c>
      <c r="J3191" t="s">
        <v>31714</v>
      </c>
      <c r="K3191" t="s">
        <v>38490</v>
      </c>
      <c r="M3191" t="s">
        <v>39695</v>
      </c>
      <c r="N3191" t="s">
        <v>42669</v>
      </c>
      <c r="O3191" t="s">
        <v>42670</v>
      </c>
      <c r="P3191">
        <v>0</v>
      </c>
      <c r="Q3191">
        <v>0</v>
      </c>
      <c r="R3191" t="s">
        <v>42674</v>
      </c>
      <c r="S3191" t="s">
        <v>42788</v>
      </c>
      <c r="T3191" t="s">
        <v>44417</v>
      </c>
      <c r="U3191" t="s">
        <v>47457</v>
      </c>
      <c r="W3191" t="s">
        <v>39695</v>
      </c>
      <c r="X3191" t="s">
        <v>42676</v>
      </c>
    </row>
    <row r="3192" spans="1:24">
      <c r="A3192">
        <f>HYPERLINK("https://www.philgeps.gov.ph/GEPSNONPILOT/Tender/SplashBidNoticeAbstractUI.aspx?menuIndex=3&amp;refID=7192418&amp;Result=3","7192418")</f>
        <v>0</v>
      </c>
      <c r="B3192" t="s">
        <v>143</v>
      </c>
      <c r="C3192" t="s">
        <v>6568</v>
      </c>
      <c r="D3192" t="s">
        <v>17182</v>
      </c>
      <c r="E3192" t="s">
        <v>20068</v>
      </c>
      <c r="F3192" t="s">
        <v>29372</v>
      </c>
      <c r="G3192" t="s">
        <v>29379</v>
      </c>
      <c r="H3192" t="s">
        <v>29389</v>
      </c>
      <c r="I3192" t="s">
        <v>10408</v>
      </c>
      <c r="J3192" t="s">
        <v>31715</v>
      </c>
      <c r="K3192" t="s">
        <v>38606</v>
      </c>
      <c r="M3192" t="s">
        <v>38898</v>
      </c>
      <c r="N3192" t="s">
        <v>42669</v>
      </c>
      <c r="O3192" t="s">
        <v>42670</v>
      </c>
      <c r="P3192">
        <v>0</v>
      </c>
      <c r="Q3192">
        <v>0</v>
      </c>
      <c r="R3192" t="s">
        <v>42674</v>
      </c>
      <c r="S3192" t="s">
        <v>42788</v>
      </c>
      <c r="T3192" t="s">
        <v>44385</v>
      </c>
      <c r="U3192" t="s">
        <v>47420</v>
      </c>
      <c r="W3192" t="s">
        <v>38898</v>
      </c>
      <c r="X3192" t="s">
        <v>42676</v>
      </c>
    </row>
    <row r="3193" spans="1:24">
      <c r="A3193">
        <f>HYPERLINK("https://www.philgeps.gov.ph/GEPSNONPILOT/Tender/SplashBidNoticeAbstractUI.aspx?menuIndex=3&amp;refID=7192382&amp;Result=3","7192382")</f>
        <v>0</v>
      </c>
      <c r="B3193" t="s">
        <v>1173</v>
      </c>
      <c r="C3193" t="s">
        <v>6569</v>
      </c>
      <c r="D3193" t="s">
        <v>17172</v>
      </c>
      <c r="E3193" t="s">
        <v>20069</v>
      </c>
      <c r="F3193" t="s">
        <v>29372</v>
      </c>
      <c r="G3193" t="s">
        <v>29380</v>
      </c>
      <c r="H3193" t="s">
        <v>29389</v>
      </c>
      <c r="I3193" t="s">
        <v>10408</v>
      </c>
      <c r="J3193" t="s">
        <v>31716</v>
      </c>
      <c r="K3193" t="s">
        <v>38564</v>
      </c>
      <c r="M3193" t="s">
        <v>39988</v>
      </c>
      <c r="N3193" t="s">
        <v>42669</v>
      </c>
      <c r="O3193" t="s">
        <v>42670</v>
      </c>
      <c r="P3193">
        <v>0</v>
      </c>
      <c r="Q3193">
        <v>0</v>
      </c>
      <c r="R3193" t="s">
        <v>42674</v>
      </c>
      <c r="S3193" t="s">
        <v>42788</v>
      </c>
      <c r="T3193" t="s">
        <v>44525</v>
      </c>
      <c r="U3193" t="s">
        <v>47458</v>
      </c>
      <c r="W3193" t="s">
        <v>39988</v>
      </c>
      <c r="X3193" t="s">
        <v>42676</v>
      </c>
    </row>
    <row r="3194" spans="1:24">
      <c r="A3194">
        <f>HYPERLINK("https://www.philgeps.gov.ph/GEPSNONPILOT/Tender/SplashBidNoticeAbstractUI.aspx?menuIndex=3&amp;refID=7192424&amp;Result=3","7192424")</f>
        <v>0</v>
      </c>
      <c r="B3194" t="s">
        <v>1200</v>
      </c>
      <c r="C3194" t="s">
        <v>6570</v>
      </c>
      <c r="D3194" t="s">
        <v>17190</v>
      </c>
      <c r="E3194" t="s">
        <v>20056</v>
      </c>
      <c r="F3194" t="s">
        <v>29372</v>
      </c>
      <c r="G3194" t="s">
        <v>29379</v>
      </c>
      <c r="H3194" t="s">
        <v>11048</v>
      </c>
      <c r="I3194" t="s">
        <v>29488</v>
      </c>
      <c r="J3194" t="s">
        <v>30408</v>
      </c>
      <c r="K3194" t="s">
        <v>38488</v>
      </c>
      <c r="M3194" t="s">
        <v>40017</v>
      </c>
      <c r="N3194" t="s">
        <v>42669</v>
      </c>
      <c r="O3194" t="s">
        <v>42670</v>
      </c>
      <c r="P3194">
        <v>0</v>
      </c>
      <c r="Q3194">
        <v>0</v>
      </c>
      <c r="R3194" t="s">
        <v>42674</v>
      </c>
      <c r="S3194" t="s">
        <v>42788</v>
      </c>
      <c r="T3194" t="s">
        <v>44512</v>
      </c>
      <c r="U3194" t="s">
        <v>47459</v>
      </c>
      <c r="W3194" t="s">
        <v>40017</v>
      </c>
      <c r="X3194" t="s">
        <v>42676</v>
      </c>
    </row>
    <row r="3195" spans="1:24">
      <c r="A3195">
        <f>HYPERLINK("https://www.philgeps.gov.ph/GEPSNONPILOT/Tender/SplashBidNoticeAbstractUI.aspx?menuIndex=3&amp;refID=7192416&amp;Result=3","7192416")</f>
        <v>0</v>
      </c>
      <c r="B3195" t="s">
        <v>982</v>
      </c>
      <c r="C3195" t="s">
        <v>6571</v>
      </c>
      <c r="D3195" t="s">
        <v>17166</v>
      </c>
      <c r="E3195" t="s">
        <v>20070</v>
      </c>
      <c r="F3195" t="s">
        <v>29372</v>
      </c>
      <c r="G3195" t="s">
        <v>29379</v>
      </c>
      <c r="H3195" t="s">
        <v>29390</v>
      </c>
      <c r="I3195" t="s">
        <v>29489</v>
      </c>
      <c r="J3195" t="s">
        <v>31717</v>
      </c>
      <c r="K3195" t="s">
        <v>38486</v>
      </c>
      <c r="M3195" t="s">
        <v>39780</v>
      </c>
      <c r="N3195" t="s">
        <v>42669</v>
      </c>
      <c r="O3195" t="s">
        <v>42670</v>
      </c>
      <c r="P3195">
        <v>0</v>
      </c>
      <c r="Q3195">
        <v>0</v>
      </c>
      <c r="R3195" t="s">
        <v>42674</v>
      </c>
      <c r="S3195" t="s">
        <v>42788</v>
      </c>
      <c r="T3195" t="s">
        <v>44512</v>
      </c>
      <c r="U3195" t="s">
        <v>47460</v>
      </c>
      <c r="W3195" t="s">
        <v>58030</v>
      </c>
      <c r="X3195" t="s">
        <v>42676</v>
      </c>
    </row>
    <row r="3196" spans="1:24">
      <c r="A3196">
        <f>HYPERLINK("https://www.philgeps.gov.ph/GEPSNONPILOT/Tender/SplashBidNoticeAbstractUI.aspx?menuIndex=3&amp;refID=7192472&amp;Result=3","7192472")</f>
        <v>0</v>
      </c>
      <c r="B3196" t="s">
        <v>832</v>
      </c>
      <c r="C3196" t="s">
        <v>6572</v>
      </c>
      <c r="E3196" t="s">
        <v>20071</v>
      </c>
      <c r="F3196" t="s">
        <v>29372</v>
      </c>
      <c r="G3196" t="s">
        <v>29379</v>
      </c>
      <c r="H3196" t="s">
        <v>11048</v>
      </c>
      <c r="I3196" t="s">
        <v>29439</v>
      </c>
      <c r="J3196" t="s">
        <v>29555</v>
      </c>
      <c r="K3196" t="s">
        <v>38490</v>
      </c>
      <c r="M3196" t="s">
        <v>39621</v>
      </c>
      <c r="N3196" t="s">
        <v>42669</v>
      </c>
      <c r="O3196" t="s">
        <v>42670</v>
      </c>
      <c r="P3196">
        <v>0</v>
      </c>
      <c r="Q3196">
        <v>3</v>
      </c>
      <c r="R3196" t="s">
        <v>42674</v>
      </c>
      <c r="S3196" t="s">
        <v>42788</v>
      </c>
      <c r="T3196" t="s">
        <v>44481</v>
      </c>
      <c r="U3196" t="s">
        <v>45794</v>
      </c>
      <c r="W3196" t="s">
        <v>39621</v>
      </c>
      <c r="X3196" t="s">
        <v>42676</v>
      </c>
    </row>
    <row r="3197" spans="1:24">
      <c r="A3197">
        <f>HYPERLINK("https://www.philgeps.gov.ph/GEPSNONPILOT/Tender/SplashBidNoticeAbstractUI.aspx?menuIndex=3&amp;refID=7192421&amp;Result=3","7192421")</f>
        <v>0</v>
      </c>
      <c r="B3197" t="s">
        <v>119</v>
      </c>
      <c r="C3197" t="s">
        <v>6573</v>
      </c>
      <c r="D3197" t="s">
        <v>17141</v>
      </c>
      <c r="E3197" t="s">
        <v>20072</v>
      </c>
      <c r="F3197" t="s">
        <v>29372</v>
      </c>
      <c r="G3197" t="s">
        <v>29379</v>
      </c>
      <c r="H3197" t="s">
        <v>11048</v>
      </c>
      <c r="I3197" t="s">
        <v>29407</v>
      </c>
      <c r="J3197" t="s">
        <v>31718</v>
      </c>
      <c r="K3197" t="s">
        <v>38510</v>
      </c>
      <c r="M3197" t="s">
        <v>38874</v>
      </c>
      <c r="N3197" t="s">
        <v>42669</v>
      </c>
      <c r="O3197" t="s">
        <v>42670</v>
      </c>
      <c r="P3197">
        <v>0</v>
      </c>
      <c r="Q3197">
        <v>8</v>
      </c>
      <c r="R3197" t="s">
        <v>42674</v>
      </c>
      <c r="S3197" t="s">
        <v>42788</v>
      </c>
      <c r="T3197" t="s">
        <v>44508</v>
      </c>
      <c r="U3197" t="s">
        <v>47461</v>
      </c>
      <c r="V3197" t="s">
        <v>56657</v>
      </c>
      <c r="W3197" t="s">
        <v>38874</v>
      </c>
      <c r="X3197" t="s">
        <v>42676</v>
      </c>
    </row>
    <row r="3198" spans="1:24">
      <c r="A3198">
        <f>HYPERLINK("https://www.philgeps.gov.ph/GEPSNONPILOT/Tender/SplashBidNoticeAbstractUI.aspx?menuIndex=3&amp;refID=7192419&amp;Result=3","7192419")</f>
        <v>0</v>
      </c>
      <c r="B3198" t="s">
        <v>1204</v>
      </c>
      <c r="C3198" t="s">
        <v>6574</v>
      </c>
      <c r="E3198" t="s">
        <v>20073</v>
      </c>
      <c r="F3198" t="s">
        <v>29372</v>
      </c>
      <c r="G3198" t="s">
        <v>29380</v>
      </c>
      <c r="H3198" t="s">
        <v>11048</v>
      </c>
      <c r="I3198" t="s">
        <v>3670</v>
      </c>
      <c r="J3198" t="s">
        <v>31719</v>
      </c>
      <c r="K3198" t="s">
        <v>38490</v>
      </c>
      <c r="M3198" t="s">
        <v>40021</v>
      </c>
      <c r="N3198" t="s">
        <v>42669</v>
      </c>
      <c r="O3198" t="s">
        <v>42670</v>
      </c>
      <c r="P3198">
        <v>0</v>
      </c>
      <c r="Q3198">
        <v>2</v>
      </c>
      <c r="R3198" t="s">
        <v>42674</v>
      </c>
      <c r="S3198" t="s">
        <v>42788</v>
      </c>
      <c r="T3198" t="s">
        <v>44624</v>
      </c>
      <c r="U3198" t="s">
        <v>47462</v>
      </c>
      <c r="W3198" t="s">
        <v>40021</v>
      </c>
      <c r="X3198" t="s">
        <v>42676</v>
      </c>
    </row>
    <row r="3199" spans="1:24">
      <c r="A3199">
        <f>HYPERLINK("https://www.philgeps.gov.ph/GEPSNONPILOT/Tender/SplashBidNoticeAbstractUI.aspx?menuIndex=3&amp;refID=7192470&amp;Result=3","7192470")</f>
        <v>0</v>
      </c>
      <c r="B3199" t="s">
        <v>1200</v>
      </c>
      <c r="C3199" t="s">
        <v>6575</v>
      </c>
      <c r="D3199" t="s">
        <v>17210</v>
      </c>
      <c r="E3199" t="s">
        <v>20056</v>
      </c>
      <c r="F3199" t="s">
        <v>29372</v>
      </c>
      <c r="G3199" t="s">
        <v>29379</v>
      </c>
      <c r="H3199" t="s">
        <v>11048</v>
      </c>
      <c r="I3199" t="s">
        <v>29488</v>
      </c>
      <c r="J3199" t="s">
        <v>30408</v>
      </c>
      <c r="K3199" t="s">
        <v>38488</v>
      </c>
      <c r="M3199" t="s">
        <v>40017</v>
      </c>
      <c r="N3199" t="s">
        <v>42669</v>
      </c>
      <c r="O3199" t="s">
        <v>42670</v>
      </c>
      <c r="P3199">
        <v>0</v>
      </c>
      <c r="Q3199">
        <v>0</v>
      </c>
      <c r="R3199" t="s">
        <v>42674</v>
      </c>
      <c r="S3199" t="s">
        <v>42788</v>
      </c>
      <c r="T3199" t="s">
        <v>44512</v>
      </c>
      <c r="U3199" t="s">
        <v>47463</v>
      </c>
      <c r="W3199" t="s">
        <v>40017</v>
      </c>
      <c r="X3199" t="s">
        <v>42676</v>
      </c>
    </row>
    <row r="3200" spans="1:24">
      <c r="A3200">
        <f>HYPERLINK("https://www.philgeps.gov.ph/GEPSNONPILOT/Tender/SplashBidNoticeAbstractUI.aspx?menuIndex=3&amp;refID=7192420&amp;Result=3","7192420")</f>
        <v>0</v>
      </c>
      <c r="B3200" t="s">
        <v>1089</v>
      </c>
      <c r="C3200" t="s">
        <v>6576</v>
      </c>
      <c r="D3200" t="s">
        <v>17170</v>
      </c>
      <c r="E3200" t="s">
        <v>20074</v>
      </c>
      <c r="F3200" t="s">
        <v>29372</v>
      </c>
      <c r="G3200" t="s">
        <v>29380</v>
      </c>
      <c r="H3200" t="s">
        <v>29389</v>
      </c>
      <c r="I3200" t="s">
        <v>10408</v>
      </c>
      <c r="J3200" t="s">
        <v>31720</v>
      </c>
      <c r="K3200" t="s">
        <v>38607</v>
      </c>
      <c r="M3200" t="s">
        <v>39896</v>
      </c>
      <c r="N3200" t="s">
        <v>42669</v>
      </c>
      <c r="O3200" t="s">
        <v>42670</v>
      </c>
      <c r="P3200">
        <v>0</v>
      </c>
      <c r="Q3200">
        <v>0</v>
      </c>
      <c r="R3200" t="s">
        <v>42674</v>
      </c>
      <c r="S3200" t="s">
        <v>42788</v>
      </c>
      <c r="T3200" t="s">
        <v>44503</v>
      </c>
      <c r="U3200" t="s">
        <v>47464</v>
      </c>
      <c r="W3200" t="s">
        <v>39896</v>
      </c>
      <c r="X3200" t="s">
        <v>42676</v>
      </c>
    </row>
    <row r="3201" spans="1:24">
      <c r="A3201">
        <f>HYPERLINK("https://www.philgeps.gov.ph/GEPSNONPILOT/Tender/SplashBidNoticeAbstractUI.aspx?menuIndex=3&amp;refID=7192458&amp;Result=3","7192458")</f>
        <v>0</v>
      </c>
      <c r="B3201" t="s">
        <v>1034</v>
      </c>
      <c r="C3201" t="s">
        <v>6577</v>
      </c>
      <c r="D3201" t="s">
        <v>17199</v>
      </c>
      <c r="E3201" t="s">
        <v>20075</v>
      </c>
      <c r="F3201" t="s">
        <v>29372</v>
      </c>
      <c r="G3201" t="s">
        <v>29382</v>
      </c>
      <c r="H3201" t="s">
        <v>11048</v>
      </c>
      <c r="I3201" t="s">
        <v>3839</v>
      </c>
      <c r="J3201" t="s">
        <v>29680</v>
      </c>
      <c r="K3201" t="s">
        <v>38491</v>
      </c>
      <c r="M3201" t="s">
        <v>39837</v>
      </c>
      <c r="N3201" t="s">
        <v>42669</v>
      </c>
      <c r="O3201" t="s">
        <v>42670</v>
      </c>
      <c r="P3201">
        <v>0</v>
      </c>
      <c r="Q3201">
        <v>0</v>
      </c>
      <c r="R3201" t="s">
        <v>42674</v>
      </c>
      <c r="S3201" t="s">
        <v>42788</v>
      </c>
      <c r="T3201" t="s">
        <v>44427</v>
      </c>
      <c r="U3201" t="s">
        <v>47451</v>
      </c>
      <c r="W3201" t="s">
        <v>58033</v>
      </c>
      <c r="X3201" t="s">
        <v>42676</v>
      </c>
    </row>
    <row r="3202" spans="1:24">
      <c r="A3202">
        <f>HYPERLINK("https://www.philgeps.gov.ph/GEPSNONPILOT/Tender/SplashBidNoticeAbstractUI.aspx?menuIndex=3&amp;refID=7192468&amp;Result=3","7192468")</f>
        <v>0</v>
      </c>
      <c r="B3202" t="s">
        <v>143</v>
      </c>
      <c r="C3202" t="s">
        <v>6578</v>
      </c>
      <c r="D3202" t="s">
        <v>17182</v>
      </c>
      <c r="E3202" t="s">
        <v>20076</v>
      </c>
      <c r="F3202" t="s">
        <v>29372</v>
      </c>
      <c r="G3202" t="s">
        <v>29379</v>
      </c>
      <c r="H3202" t="s">
        <v>29389</v>
      </c>
      <c r="I3202" t="s">
        <v>10408</v>
      </c>
      <c r="J3202" t="s">
        <v>31721</v>
      </c>
      <c r="K3202" t="s">
        <v>38538</v>
      </c>
      <c r="M3202" t="s">
        <v>38898</v>
      </c>
      <c r="N3202" t="s">
        <v>42669</v>
      </c>
      <c r="O3202" t="s">
        <v>42670</v>
      </c>
      <c r="P3202">
        <v>0</v>
      </c>
      <c r="Q3202">
        <v>0</v>
      </c>
      <c r="R3202" t="s">
        <v>42674</v>
      </c>
      <c r="S3202" t="s">
        <v>42788</v>
      </c>
      <c r="T3202" t="s">
        <v>44385</v>
      </c>
      <c r="U3202" t="s">
        <v>47420</v>
      </c>
      <c r="W3202" t="s">
        <v>38898</v>
      </c>
      <c r="X3202" t="s">
        <v>42676</v>
      </c>
    </row>
    <row r="3203" spans="1:24">
      <c r="A3203">
        <f>HYPERLINK("https://www.philgeps.gov.ph/GEPSNONPILOT/Tender/SplashBidNoticeAbstractUI.aspx?menuIndex=3&amp;refID=7192462&amp;Result=3","7192462")</f>
        <v>0</v>
      </c>
      <c r="B3203" t="s">
        <v>719</v>
      </c>
      <c r="C3203" t="s">
        <v>3952</v>
      </c>
      <c r="D3203" t="s">
        <v>17170</v>
      </c>
      <c r="E3203" t="s">
        <v>20077</v>
      </c>
      <c r="F3203" t="s">
        <v>29372</v>
      </c>
      <c r="G3203" t="s">
        <v>29379</v>
      </c>
      <c r="H3203" t="s">
        <v>11048</v>
      </c>
      <c r="I3203" t="s">
        <v>3952</v>
      </c>
      <c r="J3203" t="s">
        <v>31722</v>
      </c>
      <c r="K3203" t="s">
        <v>38485</v>
      </c>
      <c r="M3203" t="s">
        <v>39593</v>
      </c>
      <c r="N3203" t="s">
        <v>42669</v>
      </c>
      <c r="O3203" t="s">
        <v>42670</v>
      </c>
      <c r="P3203">
        <v>0</v>
      </c>
      <c r="Q3203">
        <v>3</v>
      </c>
      <c r="R3203" t="s">
        <v>42674</v>
      </c>
      <c r="S3203" t="s">
        <v>42788</v>
      </c>
      <c r="T3203" t="s">
        <v>44493</v>
      </c>
      <c r="U3203" t="s">
        <v>47465</v>
      </c>
      <c r="W3203" t="s">
        <v>39593</v>
      </c>
      <c r="X3203" t="s">
        <v>42676</v>
      </c>
    </row>
    <row r="3204" spans="1:24">
      <c r="A3204">
        <f>HYPERLINK("https://www.philgeps.gov.ph/GEPSNONPILOT/Tender/SplashBidNoticeAbstractUI.aspx?menuIndex=3&amp;refID=7192454&amp;Result=3","7192454")</f>
        <v>0</v>
      </c>
      <c r="B3204" t="s">
        <v>1201</v>
      </c>
      <c r="C3204" t="s">
        <v>6579</v>
      </c>
      <c r="D3204" t="s">
        <v>17170</v>
      </c>
      <c r="E3204" t="s">
        <v>20078</v>
      </c>
      <c r="F3204" t="s">
        <v>29372</v>
      </c>
      <c r="G3204" t="s">
        <v>29380</v>
      </c>
      <c r="H3204" t="s">
        <v>29389</v>
      </c>
      <c r="I3204" t="s">
        <v>10408</v>
      </c>
      <c r="J3204" t="s">
        <v>31723</v>
      </c>
      <c r="K3204" t="s">
        <v>38485</v>
      </c>
      <c r="M3204" t="s">
        <v>40018</v>
      </c>
      <c r="N3204" t="s">
        <v>42669</v>
      </c>
      <c r="O3204" t="s">
        <v>42670</v>
      </c>
      <c r="P3204">
        <v>0</v>
      </c>
      <c r="Q3204">
        <v>0</v>
      </c>
      <c r="R3204" t="s">
        <v>42674</v>
      </c>
      <c r="S3204" t="s">
        <v>42788</v>
      </c>
      <c r="T3204" t="s">
        <v>44412</v>
      </c>
      <c r="U3204" t="s">
        <v>47466</v>
      </c>
      <c r="W3204" t="s">
        <v>40018</v>
      </c>
      <c r="X3204" t="s">
        <v>42676</v>
      </c>
    </row>
    <row r="3205" spans="1:24">
      <c r="A3205">
        <f>HYPERLINK("https://www.philgeps.gov.ph/GEPSNONPILOT/Tender/SplashBidNoticeAbstractUI.aspx?menuIndex=3&amp;refID=7192414&amp;Result=3","7192414")</f>
        <v>0</v>
      </c>
      <c r="B3205" t="s">
        <v>1195</v>
      </c>
      <c r="C3205" t="s">
        <v>6580</v>
      </c>
      <c r="D3205" t="s">
        <v>17169</v>
      </c>
      <c r="E3205" t="s">
        <v>20079</v>
      </c>
      <c r="F3205" t="s">
        <v>29372</v>
      </c>
      <c r="G3205" t="s">
        <v>29380</v>
      </c>
      <c r="H3205" t="s">
        <v>11048</v>
      </c>
      <c r="I3205" t="s">
        <v>8208</v>
      </c>
      <c r="J3205" t="s">
        <v>31724</v>
      </c>
      <c r="K3205" t="s">
        <v>38490</v>
      </c>
      <c r="M3205" t="s">
        <v>40012</v>
      </c>
      <c r="N3205" t="s">
        <v>42669</v>
      </c>
      <c r="O3205" t="s">
        <v>42670</v>
      </c>
      <c r="P3205">
        <v>0</v>
      </c>
      <c r="Q3205">
        <v>1</v>
      </c>
      <c r="R3205" t="s">
        <v>42674</v>
      </c>
      <c r="S3205" t="s">
        <v>42788</v>
      </c>
      <c r="T3205" t="s">
        <v>44584</v>
      </c>
      <c r="U3205" t="s">
        <v>47467</v>
      </c>
      <c r="W3205" t="s">
        <v>40012</v>
      </c>
      <c r="X3205" t="s">
        <v>42676</v>
      </c>
    </row>
    <row r="3206" spans="1:24">
      <c r="A3206">
        <f>HYPERLINK("https://www.philgeps.gov.ph/GEPSNONPILOT/Tender/SplashBidNoticeAbstractUI.aspx?menuIndex=3&amp;refID=7192450&amp;Result=3","7192450")</f>
        <v>0</v>
      </c>
      <c r="B3206" t="s">
        <v>1205</v>
      </c>
      <c r="C3206" t="s">
        <v>6581</v>
      </c>
      <c r="D3206" t="s">
        <v>17164</v>
      </c>
      <c r="E3206" t="s">
        <v>20080</v>
      </c>
      <c r="F3206" t="s">
        <v>29372</v>
      </c>
      <c r="G3206" t="s">
        <v>29380</v>
      </c>
      <c r="H3206" t="s">
        <v>29389</v>
      </c>
      <c r="I3206" t="s">
        <v>10408</v>
      </c>
      <c r="J3206" t="s">
        <v>31725</v>
      </c>
      <c r="K3206" t="s">
        <v>38495</v>
      </c>
      <c r="M3206" t="s">
        <v>40022</v>
      </c>
      <c r="N3206" t="s">
        <v>42669</v>
      </c>
      <c r="O3206" t="s">
        <v>42670</v>
      </c>
      <c r="P3206">
        <v>0</v>
      </c>
      <c r="Q3206">
        <v>0</v>
      </c>
      <c r="R3206" t="s">
        <v>42674</v>
      </c>
      <c r="S3206" t="s">
        <v>42788</v>
      </c>
      <c r="T3206" t="s">
        <v>44358</v>
      </c>
      <c r="U3206" t="s">
        <v>47468</v>
      </c>
      <c r="W3206" t="s">
        <v>40022</v>
      </c>
      <c r="X3206" t="s">
        <v>42676</v>
      </c>
    </row>
    <row r="3207" spans="1:24">
      <c r="A3207">
        <f>HYPERLINK("https://www.philgeps.gov.ph/GEPSNONPILOT/Tender/SplashBidNoticeAbstractUI.aspx?menuIndex=3&amp;refID=7192448&amp;Result=3","7192448")</f>
        <v>0</v>
      </c>
      <c r="B3207" t="s">
        <v>1206</v>
      </c>
      <c r="C3207" t="s">
        <v>6582</v>
      </c>
      <c r="D3207" t="s">
        <v>17180</v>
      </c>
      <c r="E3207" t="s">
        <v>20081</v>
      </c>
      <c r="F3207" t="s">
        <v>29372</v>
      </c>
      <c r="G3207" t="s">
        <v>29380</v>
      </c>
      <c r="H3207" t="s">
        <v>11048</v>
      </c>
      <c r="I3207" t="s">
        <v>29407</v>
      </c>
      <c r="J3207" t="s">
        <v>31726</v>
      </c>
      <c r="K3207" t="s">
        <v>38490</v>
      </c>
      <c r="M3207" t="s">
        <v>40023</v>
      </c>
      <c r="N3207" t="s">
        <v>42669</v>
      </c>
      <c r="O3207" t="s">
        <v>42670</v>
      </c>
      <c r="P3207">
        <v>0</v>
      </c>
      <c r="Q3207">
        <v>3</v>
      </c>
      <c r="R3207" t="s">
        <v>42674</v>
      </c>
      <c r="S3207" t="s">
        <v>42788</v>
      </c>
      <c r="T3207" t="s">
        <v>44468</v>
      </c>
      <c r="U3207" t="s">
        <v>47469</v>
      </c>
      <c r="V3207" t="s">
        <v>56658</v>
      </c>
      <c r="W3207" t="s">
        <v>40023</v>
      </c>
      <c r="X3207" t="s">
        <v>42676</v>
      </c>
    </row>
    <row r="3208" spans="1:24">
      <c r="A3208">
        <f>HYPERLINK("https://www.philgeps.gov.ph/GEPSNONPILOT/Tender/SplashBidNoticeAbstractUI.aspx?menuIndex=3&amp;refID=7192446&amp;Result=3","7192446")</f>
        <v>0</v>
      </c>
      <c r="B3208" t="s">
        <v>143</v>
      </c>
      <c r="C3208" t="s">
        <v>6583</v>
      </c>
      <c r="D3208" t="s">
        <v>17182</v>
      </c>
      <c r="E3208" t="s">
        <v>20082</v>
      </c>
      <c r="F3208" t="s">
        <v>29372</v>
      </c>
      <c r="G3208" t="s">
        <v>29379</v>
      </c>
      <c r="H3208" t="s">
        <v>29389</v>
      </c>
      <c r="I3208" t="s">
        <v>10408</v>
      </c>
      <c r="J3208" t="s">
        <v>31727</v>
      </c>
      <c r="K3208" t="s">
        <v>38581</v>
      </c>
      <c r="M3208" t="s">
        <v>38898</v>
      </c>
      <c r="N3208" t="s">
        <v>42669</v>
      </c>
      <c r="O3208" t="s">
        <v>42670</v>
      </c>
      <c r="P3208">
        <v>0</v>
      </c>
      <c r="Q3208">
        <v>0</v>
      </c>
      <c r="R3208" t="s">
        <v>42674</v>
      </c>
      <c r="S3208" t="s">
        <v>42788</v>
      </c>
      <c r="T3208" t="s">
        <v>44385</v>
      </c>
      <c r="U3208" t="s">
        <v>47420</v>
      </c>
      <c r="W3208" t="s">
        <v>38898</v>
      </c>
      <c r="X3208" t="s">
        <v>42676</v>
      </c>
    </row>
    <row r="3209" spans="1:24">
      <c r="A3209">
        <f>HYPERLINK("https://www.philgeps.gov.ph/GEPSNONPILOT/Tender/SplashBidNoticeAbstractUI.aspx?menuIndex=3&amp;refID=7192444&amp;Result=3","7192444")</f>
        <v>0</v>
      </c>
      <c r="B3209" t="s">
        <v>1192</v>
      </c>
      <c r="C3209" t="s">
        <v>6584</v>
      </c>
      <c r="D3209" t="s">
        <v>17213</v>
      </c>
      <c r="E3209" t="s">
        <v>20083</v>
      </c>
      <c r="F3209" t="s">
        <v>29372</v>
      </c>
      <c r="G3209" t="s">
        <v>29379</v>
      </c>
      <c r="H3209" t="s">
        <v>11048</v>
      </c>
      <c r="I3209" t="s">
        <v>3839</v>
      </c>
      <c r="J3209" t="s">
        <v>29625</v>
      </c>
      <c r="K3209" t="s">
        <v>38488</v>
      </c>
      <c r="M3209" t="s">
        <v>40008</v>
      </c>
      <c r="N3209" t="s">
        <v>42669</v>
      </c>
      <c r="O3209" t="s">
        <v>42670</v>
      </c>
      <c r="P3209">
        <v>0</v>
      </c>
      <c r="Q3209">
        <v>1</v>
      </c>
      <c r="R3209" t="s">
        <v>42674</v>
      </c>
      <c r="S3209" t="s">
        <v>42788</v>
      </c>
      <c r="T3209" t="s">
        <v>44401</v>
      </c>
      <c r="U3209" t="s">
        <v>47470</v>
      </c>
      <c r="W3209" t="s">
        <v>40008</v>
      </c>
      <c r="X3209" t="s">
        <v>42676</v>
      </c>
    </row>
    <row r="3210" spans="1:24">
      <c r="A3210">
        <f>HYPERLINK("https://www.philgeps.gov.ph/GEPSNONPILOT/Tender/SplashBidNoticeAbstractUI.aspx?menuIndex=3&amp;refID=7192442&amp;Result=3","7192442")</f>
        <v>0</v>
      </c>
      <c r="B3210" t="s">
        <v>1200</v>
      </c>
      <c r="C3210" t="s">
        <v>6585</v>
      </c>
      <c r="D3210" t="s">
        <v>17210</v>
      </c>
      <c r="E3210" t="s">
        <v>20056</v>
      </c>
      <c r="F3210" t="s">
        <v>29372</v>
      </c>
      <c r="G3210" t="s">
        <v>29379</v>
      </c>
      <c r="H3210" t="s">
        <v>11048</v>
      </c>
      <c r="I3210" t="s">
        <v>29488</v>
      </c>
      <c r="J3210" t="s">
        <v>31651</v>
      </c>
      <c r="K3210" t="s">
        <v>38488</v>
      </c>
      <c r="M3210" t="s">
        <v>40017</v>
      </c>
      <c r="N3210" t="s">
        <v>42669</v>
      </c>
      <c r="O3210" t="s">
        <v>42670</v>
      </c>
      <c r="P3210">
        <v>0</v>
      </c>
      <c r="Q3210">
        <v>0</v>
      </c>
      <c r="R3210" t="s">
        <v>42674</v>
      </c>
      <c r="S3210" t="s">
        <v>42788</v>
      </c>
      <c r="T3210" t="s">
        <v>44512</v>
      </c>
      <c r="U3210" t="s">
        <v>47471</v>
      </c>
      <c r="W3210" t="s">
        <v>40017</v>
      </c>
      <c r="X3210" t="s">
        <v>42676</v>
      </c>
    </row>
    <row r="3211" spans="1:24">
      <c r="A3211">
        <f>HYPERLINK("https://www.philgeps.gov.ph/GEPSNONPILOT/Tender/SplashBidNoticeAbstractUI.aspx?menuIndex=3&amp;refID=7192492&amp;Result=3","7192492")</f>
        <v>0</v>
      </c>
      <c r="B3211" t="s">
        <v>1207</v>
      </c>
      <c r="C3211" t="s">
        <v>6586</v>
      </c>
      <c r="D3211" t="s">
        <v>17168</v>
      </c>
      <c r="E3211" t="s">
        <v>20084</v>
      </c>
      <c r="F3211" t="s">
        <v>29372</v>
      </c>
      <c r="G3211" t="s">
        <v>29382</v>
      </c>
      <c r="H3211" t="s">
        <v>11048</v>
      </c>
      <c r="I3211" t="s">
        <v>5383</v>
      </c>
      <c r="J3211" t="s">
        <v>31728</v>
      </c>
      <c r="K3211" t="s">
        <v>38488</v>
      </c>
      <c r="M3211" t="s">
        <v>40024</v>
      </c>
      <c r="N3211" t="s">
        <v>42669</v>
      </c>
      <c r="O3211" t="s">
        <v>42670</v>
      </c>
      <c r="P3211">
        <v>0</v>
      </c>
      <c r="Q3211">
        <v>3</v>
      </c>
      <c r="R3211" t="s">
        <v>42674</v>
      </c>
      <c r="S3211" t="s">
        <v>42788</v>
      </c>
      <c r="T3211" t="s">
        <v>44625</v>
      </c>
      <c r="U3211" t="s">
        <v>47472</v>
      </c>
      <c r="W3211" t="s">
        <v>40024</v>
      </c>
      <c r="X3211" t="s">
        <v>42676</v>
      </c>
    </row>
    <row r="3212" spans="1:24">
      <c r="A3212">
        <f>HYPERLINK("https://www.philgeps.gov.ph/GEPSNONPILOT/Tender/SplashBidNoticeAbstractUI.aspx?menuIndex=3&amp;refID=7192464&amp;Result=3","7192464")</f>
        <v>0</v>
      </c>
      <c r="B3212" t="s">
        <v>1195</v>
      </c>
      <c r="C3212" t="s">
        <v>6587</v>
      </c>
      <c r="D3212" t="s">
        <v>17169</v>
      </c>
      <c r="E3212" t="s">
        <v>20085</v>
      </c>
      <c r="F3212" t="s">
        <v>29372</v>
      </c>
      <c r="G3212" t="s">
        <v>29380</v>
      </c>
      <c r="H3212" t="s">
        <v>11048</v>
      </c>
      <c r="I3212" t="s">
        <v>29458</v>
      </c>
      <c r="J3212" t="s">
        <v>29743</v>
      </c>
      <c r="K3212" t="s">
        <v>38490</v>
      </c>
      <c r="M3212" t="s">
        <v>40012</v>
      </c>
      <c r="N3212" t="s">
        <v>42669</v>
      </c>
      <c r="O3212" t="s">
        <v>42670</v>
      </c>
      <c r="P3212">
        <v>0</v>
      </c>
      <c r="Q3212">
        <v>7</v>
      </c>
      <c r="R3212" t="s">
        <v>42674</v>
      </c>
      <c r="S3212" t="s">
        <v>42788</v>
      </c>
      <c r="T3212" t="s">
        <v>44584</v>
      </c>
      <c r="U3212" t="s">
        <v>47473</v>
      </c>
      <c r="W3212" t="s">
        <v>40012</v>
      </c>
      <c r="X3212" t="s">
        <v>42676</v>
      </c>
    </row>
    <row r="3213" spans="1:24">
      <c r="A3213">
        <f>HYPERLINK("https://www.philgeps.gov.ph/GEPSNONPILOT/Tender/SplashBidNoticeAbstractUI.aspx?menuIndex=3&amp;refID=7192452&amp;Result=3","7192452")</f>
        <v>0</v>
      </c>
      <c r="B3213" t="s">
        <v>511</v>
      </c>
      <c r="C3213" t="s">
        <v>6588</v>
      </c>
      <c r="D3213" t="s">
        <v>17163</v>
      </c>
      <c r="E3213" t="s">
        <v>20086</v>
      </c>
      <c r="F3213" t="s">
        <v>29372</v>
      </c>
      <c r="G3213" t="s">
        <v>29383</v>
      </c>
      <c r="H3213" t="s">
        <v>11048</v>
      </c>
      <c r="I3213" t="s">
        <v>29395</v>
      </c>
      <c r="J3213" t="s">
        <v>31729</v>
      </c>
      <c r="K3213" t="s">
        <v>38490</v>
      </c>
      <c r="M3213" t="s">
        <v>39278</v>
      </c>
      <c r="N3213" t="s">
        <v>42669</v>
      </c>
      <c r="O3213" t="s">
        <v>42670</v>
      </c>
      <c r="P3213">
        <v>0</v>
      </c>
      <c r="Q3213">
        <v>8</v>
      </c>
      <c r="R3213" t="s">
        <v>42674</v>
      </c>
      <c r="S3213" t="s">
        <v>42788</v>
      </c>
      <c r="T3213" t="s">
        <v>44456</v>
      </c>
      <c r="U3213" t="s">
        <v>47474</v>
      </c>
      <c r="V3213" t="s">
        <v>56483</v>
      </c>
      <c r="W3213" t="s">
        <v>39278</v>
      </c>
      <c r="X3213" t="s">
        <v>42676</v>
      </c>
    </row>
    <row r="3214" spans="1:24">
      <c r="A3214">
        <f>HYPERLINK("https://www.philgeps.gov.ph/GEPSNONPILOT/Tender/SplashBidNoticeAbstractUI.aspx?menuIndex=3&amp;refID=7192506&amp;Result=3","7192506")</f>
        <v>0</v>
      </c>
      <c r="B3214" t="s">
        <v>1208</v>
      </c>
      <c r="C3214" t="s">
        <v>6589</v>
      </c>
      <c r="D3214" t="s">
        <v>17213</v>
      </c>
      <c r="E3214" t="s">
        <v>20087</v>
      </c>
      <c r="F3214" t="s">
        <v>29372</v>
      </c>
      <c r="G3214" t="s">
        <v>29379</v>
      </c>
      <c r="H3214" t="s">
        <v>11048</v>
      </c>
      <c r="I3214" t="s">
        <v>9642</v>
      </c>
      <c r="J3214" t="s">
        <v>31730</v>
      </c>
      <c r="K3214" t="s">
        <v>38488</v>
      </c>
      <c r="M3214" t="s">
        <v>40025</v>
      </c>
      <c r="N3214" t="s">
        <v>42669</v>
      </c>
      <c r="O3214" t="s">
        <v>42670</v>
      </c>
      <c r="P3214">
        <v>0</v>
      </c>
      <c r="Q3214">
        <v>0</v>
      </c>
      <c r="R3214" t="s">
        <v>42674</v>
      </c>
      <c r="S3214" t="s">
        <v>42788</v>
      </c>
      <c r="T3214" t="s">
        <v>44399</v>
      </c>
      <c r="U3214" t="s">
        <v>47475</v>
      </c>
      <c r="W3214" t="s">
        <v>40025</v>
      </c>
      <c r="X3214" t="s">
        <v>42676</v>
      </c>
    </row>
    <row r="3215" spans="1:24">
      <c r="A3215">
        <f>HYPERLINK("https://www.philgeps.gov.ph/GEPSNONPILOT/Tender/SplashBidNoticeAbstractUI.aspx?menuIndex=3&amp;refID=7192451&amp;Result=3","7192451")</f>
        <v>0</v>
      </c>
      <c r="B3215" t="s">
        <v>922</v>
      </c>
      <c r="C3215" t="s">
        <v>6590</v>
      </c>
      <c r="D3215" t="s">
        <v>17144</v>
      </c>
      <c r="E3215" t="s">
        <v>20088</v>
      </c>
      <c r="F3215" t="s">
        <v>29372</v>
      </c>
      <c r="G3215" t="s">
        <v>29379</v>
      </c>
      <c r="H3215" t="s">
        <v>11048</v>
      </c>
      <c r="I3215" t="s">
        <v>29426</v>
      </c>
      <c r="J3215" t="s">
        <v>30798</v>
      </c>
      <c r="K3215" t="s">
        <v>38491</v>
      </c>
      <c r="M3215" t="s">
        <v>39717</v>
      </c>
      <c r="N3215" t="s">
        <v>42669</v>
      </c>
      <c r="O3215" t="s">
        <v>42670</v>
      </c>
      <c r="P3215">
        <v>0</v>
      </c>
      <c r="Q3215">
        <v>1</v>
      </c>
      <c r="R3215" t="s">
        <v>42674</v>
      </c>
      <c r="S3215" t="s">
        <v>42788</v>
      </c>
      <c r="T3215" t="s">
        <v>44496</v>
      </c>
      <c r="U3215" t="s">
        <v>46717</v>
      </c>
      <c r="W3215" t="s">
        <v>39717</v>
      </c>
      <c r="X3215" t="s">
        <v>42676</v>
      </c>
    </row>
    <row r="3216" spans="1:24">
      <c r="A3216">
        <f>HYPERLINK("https://www.philgeps.gov.ph/GEPSNONPILOT/Tender/SplashBidNoticeAbstractUI.aspx?menuIndex=3&amp;refID=7192500&amp;Result=3","7192500")</f>
        <v>0</v>
      </c>
      <c r="B3216" t="s">
        <v>719</v>
      </c>
      <c r="C3216" t="s">
        <v>6591</v>
      </c>
      <c r="D3216" t="s">
        <v>17170</v>
      </c>
      <c r="E3216" t="s">
        <v>20089</v>
      </c>
      <c r="F3216" t="s">
        <v>29372</v>
      </c>
      <c r="G3216" t="s">
        <v>29379</v>
      </c>
      <c r="H3216" t="s">
        <v>11048</v>
      </c>
      <c r="I3216" t="s">
        <v>29424</v>
      </c>
      <c r="J3216" t="s">
        <v>31731</v>
      </c>
      <c r="K3216" t="s">
        <v>38485</v>
      </c>
      <c r="M3216" t="s">
        <v>39593</v>
      </c>
      <c r="N3216" t="s">
        <v>42669</v>
      </c>
      <c r="O3216" t="s">
        <v>42670</v>
      </c>
      <c r="P3216">
        <v>0</v>
      </c>
      <c r="Q3216">
        <v>3</v>
      </c>
      <c r="R3216" t="s">
        <v>42674</v>
      </c>
      <c r="S3216" t="s">
        <v>42788</v>
      </c>
      <c r="T3216" t="s">
        <v>44493</v>
      </c>
      <c r="U3216" t="s">
        <v>47476</v>
      </c>
      <c r="W3216" t="s">
        <v>39593</v>
      </c>
      <c r="X3216" t="s">
        <v>42676</v>
      </c>
    </row>
    <row r="3217" spans="1:24">
      <c r="A3217">
        <f>HYPERLINK("https://www.philgeps.gov.ph/GEPSNONPILOT/Tender/SplashBidNoticeAbstractUI.aspx?menuIndex=3&amp;refID=7192507&amp;Result=3","7192507")</f>
        <v>0</v>
      </c>
      <c r="B3217" t="s">
        <v>1209</v>
      </c>
      <c r="C3217" t="s">
        <v>6592</v>
      </c>
      <c r="D3217" t="s">
        <v>17170</v>
      </c>
      <c r="E3217" t="s">
        <v>20090</v>
      </c>
      <c r="F3217" t="s">
        <v>29372</v>
      </c>
      <c r="G3217" t="s">
        <v>29379</v>
      </c>
      <c r="H3217" t="s">
        <v>11048</v>
      </c>
      <c r="I3217" t="s">
        <v>29426</v>
      </c>
      <c r="J3217" t="s">
        <v>31732</v>
      </c>
      <c r="K3217" t="s">
        <v>38510</v>
      </c>
      <c r="M3217" t="s">
        <v>40026</v>
      </c>
      <c r="N3217" t="s">
        <v>42669</v>
      </c>
      <c r="O3217" t="s">
        <v>42670</v>
      </c>
      <c r="P3217">
        <v>0</v>
      </c>
      <c r="Q3217">
        <v>3</v>
      </c>
      <c r="R3217" t="s">
        <v>42674</v>
      </c>
      <c r="S3217" t="s">
        <v>42788</v>
      </c>
      <c r="T3217" t="s">
        <v>44488</v>
      </c>
      <c r="U3217" t="s">
        <v>47477</v>
      </c>
      <c r="W3217" t="s">
        <v>40026</v>
      </c>
      <c r="X3217" t="s">
        <v>42676</v>
      </c>
    </row>
    <row r="3218" spans="1:24">
      <c r="A3218">
        <f>HYPERLINK("https://www.philgeps.gov.ph/GEPSNONPILOT/Tender/SplashBidNoticeAbstractUI.aspx?menuIndex=3&amp;refID=7192496&amp;Result=3","7192496")</f>
        <v>0</v>
      </c>
      <c r="B3218" t="s">
        <v>1089</v>
      </c>
      <c r="C3218" t="s">
        <v>6593</v>
      </c>
      <c r="D3218" t="s">
        <v>17170</v>
      </c>
      <c r="E3218" t="s">
        <v>20091</v>
      </c>
      <c r="F3218" t="s">
        <v>29372</v>
      </c>
      <c r="G3218" t="s">
        <v>29380</v>
      </c>
      <c r="H3218" t="s">
        <v>29389</v>
      </c>
      <c r="I3218" t="s">
        <v>10408</v>
      </c>
      <c r="J3218" t="s">
        <v>31733</v>
      </c>
      <c r="K3218" t="s">
        <v>38608</v>
      </c>
      <c r="M3218" t="s">
        <v>39896</v>
      </c>
      <c r="N3218" t="s">
        <v>42669</v>
      </c>
      <c r="O3218" t="s">
        <v>42670</v>
      </c>
      <c r="P3218">
        <v>0</v>
      </c>
      <c r="Q3218">
        <v>2</v>
      </c>
      <c r="R3218" t="s">
        <v>42674</v>
      </c>
      <c r="S3218" t="s">
        <v>42788</v>
      </c>
      <c r="T3218" t="s">
        <v>44503</v>
      </c>
      <c r="U3218" t="s">
        <v>47478</v>
      </c>
      <c r="W3218" t="s">
        <v>39896</v>
      </c>
      <c r="X3218" t="s">
        <v>42676</v>
      </c>
    </row>
    <row r="3219" spans="1:24">
      <c r="A3219">
        <f>HYPERLINK("https://www.philgeps.gov.ph/GEPSNONPILOT/Tender/SplashBidNoticeAbstractUI.aspx?menuIndex=3&amp;refID=7192504&amp;Result=3","7192504")</f>
        <v>0</v>
      </c>
      <c r="B3219" t="s">
        <v>616</v>
      </c>
      <c r="C3219" t="s">
        <v>6594</v>
      </c>
      <c r="D3219" t="s">
        <v>17183</v>
      </c>
      <c r="E3219" t="s">
        <v>20092</v>
      </c>
      <c r="F3219" t="s">
        <v>29372</v>
      </c>
      <c r="G3219" t="s">
        <v>29380</v>
      </c>
      <c r="H3219" t="s">
        <v>29389</v>
      </c>
      <c r="I3219" t="s">
        <v>10408</v>
      </c>
      <c r="J3219" t="s">
        <v>29540</v>
      </c>
      <c r="K3219" t="s">
        <v>38609</v>
      </c>
      <c r="M3219" t="s">
        <v>40027</v>
      </c>
      <c r="N3219" t="s">
        <v>42669</v>
      </c>
      <c r="O3219" t="s">
        <v>42670</v>
      </c>
      <c r="P3219">
        <v>0</v>
      </c>
      <c r="Q3219">
        <v>1</v>
      </c>
      <c r="R3219" t="s">
        <v>42674</v>
      </c>
      <c r="S3219" t="s">
        <v>42788</v>
      </c>
      <c r="T3219" t="s">
        <v>44463</v>
      </c>
      <c r="U3219" t="s">
        <v>47479</v>
      </c>
      <c r="V3219" t="s">
        <v>56659</v>
      </c>
      <c r="W3219" t="s">
        <v>40027</v>
      </c>
      <c r="X3219" t="s">
        <v>42676</v>
      </c>
    </row>
    <row r="3220" spans="1:24">
      <c r="A3220">
        <f>HYPERLINK("https://www.philgeps.gov.ph/GEPSNONPILOT/Tender/SplashBidNoticeAbstractUI.aspx?menuIndex=3&amp;refID=7192501&amp;Result=3","7192501")</f>
        <v>0</v>
      </c>
      <c r="B3220" t="s">
        <v>993</v>
      </c>
      <c r="C3220" t="s">
        <v>6595</v>
      </c>
      <c r="D3220" t="s">
        <v>17179</v>
      </c>
      <c r="E3220" t="s">
        <v>20093</v>
      </c>
      <c r="F3220" t="s">
        <v>29372</v>
      </c>
      <c r="G3220" t="s">
        <v>29379</v>
      </c>
      <c r="H3220" t="s">
        <v>11048</v>
      </c>
      <c r="I3220" t="s">
        <v>8208</v>
      </c>
      <c r="J3220" t="s">
        <v>31734</v>
      </c>
      <c r="K3220" t="s">
        <v>38490</v>
      </c>
      <c r="M3220" t="s">
        <v>39793</v>
      </c>
      <c r="N3220" t="s">
        <v>42669</v>
      </c>
      <c r="O3220" t="s">
        <v>42670</v>
      </c>
      <c r="P3220">
        <v>0</v>
      </c>
      <c r="Q3220">
        <v>1</v>
      </c>
      <c r="R3220" t="s">
        <v>42674</v>
      </c>
      <c r="S3220" t="s">
        <v>42788</v>
      </c>
      <c r="T3220" t="s">
        <v>44488</v>
      </c>
      <c r="U3220" t="s">
        <v>46950</v>
      </c>
      <c r="W3220" t="s">
        <v>39793</v>
      </c>
      <c r="X3220" t="s">
        <v>42676</v>
      </c>
    </row>
    <row r="3221" spans="1:24">
      <c r="A3221">
        <f>HYPERLINK("https://www.philgeps.gov.ph/GEPSNONPILOT/Tender/SplashBidNoticeAbstractUI.aspx?menuIndex=3&amp;refID=7192490&amp;Result=3","7192490")</f>
        <v>0</v>
      </c>
      <c r="B3221" t="s">
        <v>1210</v>
      </c>
      <c r="C3221" t="s">
        <v>6596</v>
      </c>
      <c r="D3221" t="s">
        <v>17141</v>
      </c>
      <c r="E3221" t="s">
        <v>20094</v>
      </c>
      <c r="F3221" t="s">
        <v>29372</v>
      </c>
      <c r="G3221" t="s">
        <v>29379</v>
      </c>
      <c r="H3221" t="s">
        <v>29390</v>
      </c>
      <c r="I3221" t="s">
        <v>29453</v>
      </c>
      <c r="J3221" t="s">
        <v>29526</v>
      </c>
      <c r="K3221" t="s">
        <v>38518</v>
      </c>
      <c r="M3221" t="s">
        <v>40028</v>
      </c>
      <c r="N3221" t="s">
        <v>42669</v>
      </c>
      <c r="O3221" t="s">
        <v>42670</v>
      </c>
      <c r="P3221">
        <v>0</v>
      </c>
      <c r="Q3221">
        <v>0</v>
      </c>
      <c r="R3221" t="s">
        <v>42674</v>
      </c>
      <c r="S3221" t="s">
        <v>42788</v>
      </c>
      <c r="T3221" t="s">
        <v>44626</v>
      </c>
      <c r="U3221" t="s">
        <v>47480</v>
      </c>
      <c r="W3221" t="s">
        <v>40028</v>
      </c>
      <c r="X3221" t="s">
        <v>42676</v>
      </c>
    </row>
    <row r="3222" spans="1:24">
      <c r="A3222">
        <f>HYPERLINK("https://www.philgeps.gov.ph/GEPSNONPILOT/Tender/SplashBidNoticeAbstractUI.aspx?menuIndex=3&amp;refID=7192489&amp;Result=3","7192489")</f>
        <v>0</v>
      </c>
      <c r="B3222" t="s">
        <v>1211</v>
      </c>
      <c r="C3222" t="s">
        <v>6597</v>
      </c>
      <c r="E3222" t="s">
        <v>17479</v>
      </c>
      <c r="F3222" t="s">
        <v>29372</v>
      </c>
      <c r="G3222" t="s">
        <v>29379</v>
      </c>
      <c r="H3222" t="s">
        <v>11048</v>
      </c>
      <c r="I3222" t="s">
        <v>29411</v>
      </c>
      <c r="J3222" t="s">
        <v>31735</v>
      </c>
      <c r="K3222" t="s">
        <v>38528</v>
      </c>
      <c r="M3222" t="s">
        <v>40029</v>
      </c>
      <c r="N3222" t="s">
        <v>42669</v>
      </c>
      <c r="O3222" t="s">
        <v>42670</v>
      </c>
      <c r="P3222">
        <v>0</v>
      </c>
      <c r="Q3222">
        <v>3</v>
      </c>
      <c r="R3222" t="s">
        <v>42674</v>
      </c>
      <c r="S3222" t="s">
        <v>42788</v>
      </c>
      <c r="T3222" t="s">
        <v>44427</v>
      </c>
      <c r="U3222" t="s">
        <v>47481</v>
      </c>
      <c r="W3222" t="s">
        <v>40029</v>
      </c>
      <c r="X3222" t="s">
        <v>42676</v>
      </c>
    </row>
    <row r="3223" spans="1:24">
      <c r="A3223">
        <f>HYPERLINK("https://www.philgeps.gov.ph/GEPSNONPILOT/Tender/SplashBidNoticeAbstractUI.aspx?menuIndex=3&amp;refID=7192455&amp;Result=3","7192455")</f>
        <v>0</v>
      </c>
      <c r="B3223" t="s">
        <v>712</v>
      </c>
      <c r="C3223" t="s">
        <v>6598</v>
      </c>
      <c r="D3223" t="s">
        <v>17175</v>
      </c>
      <c r="E3223" t="s">
        <v>20095</v>
      </c>
      <c r="F3223" t="s">
        <v>29372</v>
      </c>
      <c r="G3223" t="s">
        <v>29380</v>
      </c>
      <c r="H3223" t="s">
        <v>11048</v>
      </c>
      <c r="I3223" t="s">
        <v>4709</v>
      </c>
      <c r="J3223" t="s">
        <v>31736</v>
      </c>
      <c r="K3223" t="s">
        <v>38510</v>
      </c>
      <c r="M3223" t="s">
        <v>39491</v>
      </c>
      <c r="N3223" t="s">
        <v>42669</v>
      </c>
      <c r="O3223" t="s">
        <v>42670</v>
      </c>
      <c r="P3223">
        <v>0</v>
      </c>
      <c r="Q3223">
        <v>0</v>
      </c>
      <c r="R3223" t="s">
        <v>42674</v>
      </c>
      <c r="S3223" t="s">
        <v>42788</v>
      </c>
      <c r="T3223" t="s">
        <v>44470</v>
      </c>
      <c r="U3223" t="s">
        <v>47482</v>
      </c>
      <c r="V3223" t="s">
        <v>56538</v>
      </c>
      <c r="W3223" t="s">
        <v>39491</v>
      </c>
      <c r="X3223" t="s">
        <v>42676</v>
      </c>
    </row>
    <row r="3224" spans="1:24">
      <c r="A3224">
        <f>HYPERLINK("https://www.philgeps.gov.ph/GEPSNONPILOT/Tender/SplashBidNoticeAbstractUI.aspx?menuIndex=3&amp;refID=7192486&amp;Result=3","7192486")</f>
        <v>0</v>
      </c>
      <c r="B3224" t="s">
        <v>1212</v>
      </c>
      <c r="C3224" t="s">
        <v>6599</v>
      </c>
      <c r="D3224" t="s">
        <v>17163</v>
      </c>
      <c r="E3224" t="s">
        <v>17267</v>
      </c>
      <c r="F3224" t="s">
        <v>29372</v>
      </c>
      <c r="G3224" t="s">
        <v>29379</v>
      </c>
      <c r="H3224" t="s">
        <v>11048</v>
      </c>
      <c r="I3224" t="s">
        <v>29396</v>
      </c>
      <c r="J3224" t="s">
        <v>31569</v>
      </c>
      <c r="K3224" t="s">
        <v>38486</v>
      </c>
      <c r="M3224" t="s">
        <v>40030</v>
      </c>
      <c r="N3224" t="s">
        <v>42669</v>
      </c>
      <c r="O3224" t="s">
        <v>42670</v>
      </c>
      <c r="P3224">
        <v>0</v>
      </c>
      <c r="Q3224">
        <v>0</v>
      </c>
      <c r="R3224" t="s">
        <v>42674</v>
      </c>
      <c r="S3224" t="s">
        <v>42788</v>
      </c>
      <c r="T3224" t="s">
        <v>44414</v>
      </c>
      <c r="U3224" t="s">
        <v>47483</v>
      </c>
      <c r="W3224" t="s">
        <v>40030</v>
      </c>
      <c r="X3224" t="s">
        <v>42676</v>
      </c>
    </row>
    <row r="3225" spans="1:24">
      <c r="A3225">
        <f>HYPERLINK("https://www.philgeps.gov.ph/GEPSNONPILOT/Tender/SplashBidNoticeAbstractUI.aspx?menuIndex=3&amp;refID=7192485&amp;Result=3","7192485")</f>
        <v>0</v>
      </c>
      <c r="B3225" t="s">
        <v>896</v>
      </c>
      <c r="C3225" t="s">
        <v>6600</v>
      </c>
      <c r="D3225" t="s">
        <v>17188</v>
      </c>
      <c r="E3225" t="s">
        <v>20096</v>
      </c>
      <c r="F3225" t="s">
        <v>29372</v>
      </c>
      <c r="G3225" t="s">
        <v>29380</v>
      </c>
      <c r="H3225" t="s">
        <v>11048</v>
      </c>
      <c r="I3225" t="s">
        <v>8614</v>
      </c>
      <c r="J3225" t="s">
        <v>29823</v>
      </c>
      <c r="K3225" t="s">
        <v>38485</v>
      </c>
      <c r="M3225" t="s">
        <v>40031</v>
      </c>
      <c r="N3225" t="s">
        <v>42669</v>
      </c>
      <c r="O3225" t="s">
        <v>42670</v>
      </c>
      <c r="P3225">
        <v>0</v>
      </c>
      <c r="Q3225">
        <v>1</v>
      </c>
      <c r="R3225" t="s">
        <v>42674</v>
      </c>
      <c r="S3225" t="s">
        <v>42788</v>
      </c>
      <c r="T3225" t="s">
        <v>44584</v>
      </c>
      <c r="U3225" t="s">
        <v>47484</v>
      </c>
      <c r="V3225" t="s">
        <v>56575</v>
      </c>
      <c r="W3225" t="s">
        <v>40075</v>
      </c>
      <c r="X3225" t="s">
        <v>42676</v>
      </c>
    </row>
    <row r="3226" spans="1:24">
      <c r="A3226">
        <f>HYPERLINK("https://www.philgeps.gov.ph/GEPSNONPILOT/Tender/SplashBidNoticeAbstractUI.aspx?menuIndex=3&amp;refID=7192483&amp;Result=3","7192483")</f>
        <v>0</v>
      </c>
      <c r="B3226" t="s">
        <v>1200</v>
      </c>
      <c r="C3226" t="s">
        <v>6601</v>
      </c>
      <c r="D3226" t="s">
        <v>17157</v>
      </c>
      <c r="E3226" t="s">
        <v>20056</v>
      </c>
      <c r="F3226" t="s">
        <v>29372</v>
      </c>
      <c r="G3226" t="s">
        <v>29379</v>
      </c>
      <c r="H3226" t="s">
        <v>11048</v>
      </c>
      <c r="I3226" t="s">
        <v>29488</v>
      </c>
      <c r="J3226" t="s">
        <v>30408</v>
      </c>
      <c r="K3226" t="s">
        <v>38488</v>
      </c>
      <c r="M3226" t="s">
        <v>40017</v>
      </c>
      <c r="N3226" t="s">
        <v>42669</v>
      </c>
      <c r="O3226" t="s">
        <v>42670</v>
      </c>
      <c r="P3226">
        <v>0</v>
      </c>
      <c r="Q3226">
        <v>0</v>
      </c>
      <c r="R3226" t="s">
        <v>42674</v>
      </c>
      <c r="S3226" t="s">
        <v>42788</v>
      </c>
      <c r="T3226" t="s">
        <v>44512</v>
      </c>
      <c r="U3226" t="s">
        <v>47485</v>
      </c>
      <c r="W3226" t="s">
        <v>40017</v>
      </c>
      <c r="X3226" t="s">
        <v>42676</v>
      </c>
    </row>
    <row r="3227" spans="1:24">
      <c r="A3227">
        <f>HYPERLINK("https://www.philgeps.gov.ph/GEPSNONPILOT/Tender/SplashBidNoticeAbstractUI.aspx?menuIndex=3&amp;refID=7192498&amp;Result=3","7192498")</f>
        <v>0</v>
      </c>
      <c r="B3227" t="s">
        <v>728</v>
      </c>
      <c r="C3227" t="s">
        <v>6602</v>
      </c>
      <c r="D3227" t="s">
        <v>17159</v>
      </c>
      <c r="E3227" t="s">
        <v>17306</v>
      </c>
      <c r="F3227" t="s">
        <v>29372</v>
      </c>
      <c r="G3227" t="s">
        <v>29380</v>
      </c>
      <c r="H3227" t="s">
        <v>11048</v>
      </c>
      <c r="I3227" t="s">
        <v>3952</v>
      </c>
      <c r="J3227" t="s">
        <v>31737</v>
      </c>
      <c r="K3227" t="s">
        <v>38485</v>
      </c>
      <c r="M3227" t="s">
        <v>39508</v>
      </c>
      <c r="N3227" t="s">
        <v>42669</v>
      </c>
      <c r="O3227" t="s">
        <v>42670</v>
      </c>
      <c r="P3227">
        <v>0</v>
      </c>
      <c r="Q3227">
        <v>0</v>
      </c>
      <c r="R3227" t="s">
        <v>42674</v>
      </c>
      <c r="S3227" t="s">
        <v>42788</v>
      </c>
      <c r="T3227" t="s">
        <v>44403</v>
      </c>
      <c r="U3227" t="s">
        <v>47486</v>
      </c>
      <c r="W3227" t="s">
        <v>39508</v>
      </c>
      <c r="X3227" t="s">
        <v>42676</v>
      </c>
    </row>
    <row r="3228" spans="1:24">
      <c r="A3228">
        <f>HYPERLINK("https://www.philgeps.gov.ph/GEPSNONPILOT/Tender/SplashBidNoticeAbstractUI.aspx?menuIndex=3&amp;refID=7192417&amp;Result=3","7192417")</f>
        <v>0</v>
      </c>
      <c r="B3228" t="s">
        <v>1213</v>
      </c>
      <c r="C3228" t="s">
        <v>6603</v>
      </c>
      <c r="D3228" t="s">
        <v>17183</v>
      </c>
      <c r="E3228" t="s">
        <v>20097</v>
      </c>
      <c r="F3228" t="s">
        <v>29372</v>
      </c>
      <c r="G3228" t="s">
        <v>29380</v>
      </c>
      <c r="H3228" t="s">
        <v>11048</v>
      </c>
      <c r="I3228" t="s">
        <v>29395</v>
      </c>
      <c r="J3228" t="s">
        <v>31738</v>
      </c>
      <c r="K3228" t="s">
        <v>38488</v>
      </c>
      <c r="M3228" t="s">
        <v>40032</v>
      </c>
      <c r="N3228" t="s">
        <v>42669</v>
      </c>
      <c r="O3228" t="s">
        <v>42670</v>
      </c>
      <c r="P3228">
        <v>0</v>
      </c>
      <c r="Q3228">
        <v>0</v>
      </c>
      <c r="R3228" t="s">
        <v>42674</v>
      </c>
      <c r="S3228" t="s">
        <v>42788</v>
      </c>
      <c r="T3228" t="s">
        <v>44470</v>
      </c>
      <c r="U3228" t="s">
        <v>47487</v>
      </c>
      <c r="V3228" t="s">
        <v>56660</v>
      </c>
      <c r="W3228" t="s">
        <v>40032</v>
      </c>
      <c r="X3228" t="s">
        <v>42676</v>
      </c>
    </row>
    <row r="3229" spans="1:24">
      <c r="A3229">
        <f>HYPERLINK("https://www.philgeps.gov.ph/GEPSNONPILOT/Tender/SplashBidNoticeAbstractUI.aspx?menuIndex=3&amp;refID=7192491&amp;Result=3","7192491")</f>
        <v>0</v>
      </c>
      <c r="B3229" t="s">
        <v>1209</v>
      </c>
      <c r="C3229" t="s">
        <v>6604</v>
      </c>
      <c r="D3229" t="s">
        <v>17170</v>
      </c>
      <c r="E3229" t="s">
        <v>20098</v>
      </c>
      <c r="F3229" t="s">
        <v>29372</v>
      </c>
      <c r="G3229" t="s">
        <v>29379</v>
      </c>
      <c r="H3229" t="s">
        <v>11048</v>
      </c>
      <c r="I3229" t="s">
        <v>29406</v>
      </c>
      <c r="J3229" t="s">
        <v>31739</v>
      </c>
      <c r="K3229" t="s">
        <v>38510</v>
      </c>
      <c r="M3229" t="s">
        <v>40026</v>
      </c>
      <c r="N3229" t="s">
        <v>42669</v>
      </c>
      <c r="O3229" t="s">
        <v>42670</v>
      </c>
      <c r="P3229">
        <v>0</v>
      </c>
      <c r="Q3229">
        <v>3</v>
      </c>
      <c r="R3229" t="s">
        <v>42674</v>
      </c>
      <c r="S3229" t="s">
        <v>42788</v>
      </c>
      <c r="T3229" t="s">
        <v>44488</v>
      </c>
      <c r="U3229" t="s">
        <v>47488</v>
      </c>
      <c r="W3229" t="s">
        <v>40026</v>
      </c>
      <c r="X3229" t="s">
        <v>42676</v>
      </c>
    </row>
    <row r="3230" spans="1:24">
      <c r="A3230">
        <f>HYPERLINK("https://www.philgeps.gov.ph/GEPSNONPILOT/Tender/SplashBidNoticeAbstractUI.aspx?menuIndex=3&amp;refID=7192534&amp;Result=3","7192534")</f>
        <v>0</v>
      </c>
      <c r="B3230" t="s">
        <v>1034</v>
      </c>
      <c r="C3230" t="s">
        <v>6183</v>
      </c>
      <c r="D3230" t="s">
        <v>17199</v>
      </c>
      <c r="E3230" t="s">
        <v>20099</v>
      </c>
      <c r="F3230" t="s">
        <v>29372</v>
      </c>
      <c r="G3230" t="s">
        <v>29379</v>
      </c>
      <c r="H3230" t="s">
        <v>11048</v>
      </c>
      <c r="I3230" t="s">
        <v>8208</v>
      </c>
      <c r="J3230" t="s">
        <v>31342</v>
      </c>
      <c r="K3230" t="s">
        <v>38491</v>
      </c>
      <c r="M3230" t="s">
        <v>39837</v>
      </c>
      <c r="N3230" t="s">
        <v>42669</v>
      </c>
      <c r="O3230" t="s">
        <v>42670</v>
      </c>
      <c r="P3230">
        <v>0</v>
      </c>
      <c r="Q3230">
        <v>0</v>
      </c>
      <c r="R3230" t="s">
        <v>42674</v>
      </c>
      <c r="S3230" t="s">
        <v>42788</v>
      </c>
      <c r="T3230" t="s">
        <v>44427</v>
      </c>
      <c r="U3230" t="s">
        <v>47397</v>
      </c>
      <c r="W3230" t="s">
        <v>58033</v>
      </c>
      <c r="X3230" t="s">
        <v>42676</v>
      </c>
    </row>
    <row r="3231" spans="1:24">
      <c r="A3231">
        <f>HYPERLINK("https://www.philgeps.gov.ph/GEPSNONPILOT/Tender/SplashBidNoticeAbstractUI.aspx?menuIndex=3&amp;refID=7192539&amp;Result=3","7192539")</f>
        <v>0</v>
      </c>
      <c r="B3231" t="s">
        <v>882</v>
      </c>
      <c r="C3231" t="s">
        <v>6605</v>
      </c>
      <c r="D3231" t="s">
        <v>17190</v>
      </c>
      <c r="E3231" t="s">
        <v>20100</v>
      </c>
      <c r="F3231" t="s">
        <v>29372</v>
      </c>
      <c r="G3231" t="s">
        <v>29379</v>
      </c>
      <c r="H3231" t="s">
        <v>11048</v>
      </c>
      <c r="I3231" t="s">
        <v>14920</v>
      </c>
      <c r="J3231" t="s">
        <v>31740</v>
      </c>
      <c r="K3231" t="s">
        <v>38486</v>
      </c>
      <c r="M3231" t="s">
        <v>39674</v>
      </c>
      <c r="N3231" t="s">
        <v>42669</v>
      </c>
      <c r="O3231" t="s">
        <v>42670</v>
      </c>
      <c r="P3231">
        <v>0</v>
      </c>
      <c r="Q3231">
        <v>2</v>
      </c>
      <c r="R3231" t="s">
        <v>42674</v>
      </c>
      <c r="S3231" t="s">
        <v>42788</v>
      </c>
      <c r="T3231" t="s">
        <v>44526</v>
      </c>
      <c r="U3231" t="s">
        <v>46647</v>
      </c>
      <c r="W3231" t="s">
        <v>39674</v>
      </c>
      <c r="X3231" t="s">
        <v>42676</v>
      </c>
    </row>
    <row r="3232" spans="1:24">
      <c r="A3232">
        <f>HYPERLINK("https://www.philgeps.gov.ph/GEPSNONPILOT/Tender/SplashBidNoticeAbstractUI.aspx?menuIndex=3&amp;refID=7192546&amp;Result=3","7192546")</f>
        <v>0</v>
      </c>
      <c r="B3232" t="s">
        <v>1214</v>
      </c>
      <c r="C3232" t="s">
        <v>6606</v>
      </c>
      <c r="D3232" t="s">
        <v>17189</v>
      </c>
      <c r="E3232" t="s">
        <v>18026</v>
      </c>
      <c r="F3232" t="s">
        <v>29372</v>
      </c>
      <c r="G3232" t="s">
        <v>29383</v>
      </c>
      <c r="H3232" t="s">
        <v>11048</v>
      </c>
      <c r="I3232" t="s">
        <v>29412</v>
      </c>
      <c r="J3232" t="s">
        <v>30302</v>
      </c>
      <c r="K3232" t="s">
        <v>38528</v>
      </c>
      <c r="M3232" t="s">
        <v>40033</v>
      </c>
      <c r="N3232" t="s">
        <v>42669</v>
      </c>
      <c r="O3232" t="s">
        <v>42670</v>
      </c>
      <c r="P3232">
        <v>0</v>
      </c>
      <c r="Q3232">
        <v>1</v>
      </c>
      <c r="R3232" t="s">
        <v>42674</v>
      </c>
      <c r="S3232" t="s">
        <v>42788</v>
      </c>
      <c r="T3232" t="s">
        <v>44429</v>
      </c>
      <c r="U3232" t="s">
        <v>47489</v>
      </c>
      <c r="V3232" t="s">
        <v>45494</v>
      </c>
      <c r="W3232" t="s">
        <v>40033</v>
      </c>
      <c r="X3232" t="s">
        <v>42676</v>
      </c>
    </row>
    <row r="3233" spans="1:24">
      <c r="A3233">
        <f>HYPERLINK("https://www.philgeps.gov.ph/GEPSNONPILOT/Tender/SplashBidNoticeAbstractUI.aspx?menuIndex=3&amp;refID=7192538&amp;Result=3","7192538")</f>
        <v>0</v>
      </c>
      <c r="B3233" t="s">
        <v>1195</v>
      </c>
      <c r="C3233" t="s">
        <v>6607</v>
      </c>
      <c r="D3233" t="s">
        <v>17169</v>
      </c>
      <c r="E3233" t="s">
        <v>20101</v>
      </c>
      <c r="F3233" t="s">
        <v>29372</v>
      </c>
      <c r="G3233" t="s">
        <v>29380</v>
      </c>
      <c r="H3233" t="s">
        <v>11048</v>
      </c>
      <c r="I3233" t="s">
        <v>29409</v>
      </c>
      <c r="J3233" t="s">
        <v>31741</v>
      </c>
      <c r="K3233" t="s">
        <v>38490</v>
      </c>
      <c r="M3233" t="s">
        <v>40034</v>
      </c>
      <c r="N3233" t="s">
        <v>42669</v>
      </c>
      <c r="O3233" t="s">
        <v>42670</v>
      </c>
      <c r="P3233">
        <v>0</v>
      </c>
      <c r="Q3233">
        <v>3</v>
      </c>
      <c r="R3233" t="s">
        <v>42674</v>
      </c>
      <c r="S3233" t="s">
        <v>42788</v>
      </c>
      <c r="T3233" t="s">
        <v>44622</v>
      </c>
      <c r="U3233" t="s">
        <v>47490</v>
      </c>
      <c r="W3233" t="s">
        <v>40012</v>
      </c>
      <c r="X3233" t="s">
        <v>42676</v>
      </c>
    </row>
    <row r="3234" spans="1:24">
      <c r="A3234">
        <f>HYPERLINK("https://www.philgeps.gov.ph/GEPSNONPILOT/Tender/SplashBidNoticeAbstractUI.aspx?menuIndex=3&amp;refID=7192536&amp;Result=3","7192536")</f>
        <v>0</v>
      </c>
      <c r="B3234" t="s">
        <v>719</v>
      </c>
      <c r="C3234" t="s">
        <v>5383</v>
      </c>
      <c r="D3234" t="s">
        <v>17170</v>
      </c>
      <c r="E3234" t="s">
        <v>20102</v>
      </c>
      <c r="F3234" t="s">
        <v>29372</v>
      </c>
      <c r="G3234" t="s">
        <v>29379</v>
      </c>
      <c r="H3234" t="s">
        <v>11048</v>
      </c>
      <c r="I3234" t="s">
        <v>5383</v>
      </c>
      <c r="J3234" t="s">
        <v>31742</v>
      </c>
      <c r="K3234" t="s">
        <v>38485</v>
      </c>
      <c r="M3234" t="s">
        <v>39593</v>
      </c>
      <c r="N3234" t="s">
        <v>42669</v>
      </c>
      <c r="O3234" t="s">
        <v>42670</v>
      </c>
      <c r="P3234">
        <v>0</v>
      </c>
      <c r="Q3234">
        <v>3</v>
      </c>
      <c r="R3234" t="s">
        <v>42674</v>
      </c>
      <c r="S3234" t="s">
        <v>42788</v>
      </c>
      <c r="T3234" t="s">
        <v>44493</v>
      </c>
      <c r="U3234" t="s">
        <v>47491</v>
      </c>
      <c r="W3234" t="s">
        <v>39593</v>
      </c>
      <c r="X3234" t="s">
        <v>42676</v>
      </c>
    </row>
    <row r="3235" spans="1:24">
      <c r="A3235">
        <f>HYPERLINK("https://www.philgeps.gov.ph/GEPSNONPILOT/Tender/SplashBidNoticeAbstractUI.aspx?menuIndex=3&amp;refID=7192543&amp;Result=3","7192543")</f>
        <v>0</v>
      </c>
      <c r="B3235" t="s">
        <v>1200</v>
      </c>
      <c r="C3235" t="s">
        <v>6608</v>
      </c>
      <c r="D3235" t="s">
        <v>17193</v>
      </c>
      <c r="E3235" t="s">
        <v>20103</v>
      </c>
      <c r="F3235" t="s">
        <v>29372</v>
      </c>
      <c r="G3235" t="s">
        <v>29379</v>
      </c>
      <c r="H3235" t="s">
        <v>11048</v>
      </c>
      <c r="I3235" t="s">
        <v>29433</v>
      </c>
      <c r="J3235" t="s">
        <v>31743</v>
      </c>
      <c r="K3235" t="s">
        <v>38488</v>
      </c>
      <c r="M3235" t="s">
        <v>40017</v>
      </c>
      <c r="N3235" t="s">
        <v>42669</v>
      </c>
      <c r="O3235" t="s">
        <v>42670</v>
      </c>
      <c r="P3235">
        <v>0</v>
      </c>
      <c r="Q3235">
        <v>13</v>
      </c>
      <c r="R3235" t="s">
        <v>42674</v>
      </c>
      <c r="S3235" t="s">
        <v>42788</v>
      </c>
      <c r="T3235" t="s">
        <v>44512</v>
      </c>
      <c r="U3235" t="s">
        <v>47492</v>
      </c>
      <c r="W3235" t="s">
        <v>40017</v>
      </c>
      <c r="X3235" t="s">
        <v>42676</v>
      </c>
    </row>
    <row r="3236" spans="1:24">
      <c r="A3236">
        <f>HYPERLINK("https://www.philgeps.gov.ph/GEPSNONPILOT/Tender/SplashBidNoticeAbstractUI.aspx?menuIndex=3&amp;refID=7192531&amp;Result=3","7192531")</f>
        <v>0</v>
      </c>
      <c r="B3236" t="s">
        <v>882</v>
      </c>
      <c r="C3236" t="s">
        <v>6609</v>
      </c>
      <c r="D3236" t="s">
        <v>17190</v>
      </c>
      <c r="E3236" t="s">
        <v>20104</v>
      </c>
      <c r="F3236" t="s">
        <v>29372</v>
      </c>
      <c r="G3236" t="s">
        <v>29379</v>
      </c>
      <c r="H3236" t="s">
        <v>11048</v>
      </c>
      <c r="I3236" t="s">
        <v>14920</v>
      </c>
      <c r="J3236" t="s">
        <v>31744</v>
      </c>
      <c r="K3236" t="s">
        <v>38486</v>
      </c>
      <c r="M3236" t="s">
        <v>39674</v>
      </c>
      <c r="N3236" t="s">
        <v>42669</v>
      </c>
      <c r="O3236" t="s">
        <v>42670</v>
      </c>
      <c r="P3236">
        <v>0</v>
      </c>
      <c r="Q3236">
        <v>3</v>
      </c>
      <c r="R3236" t="s">
        <v>42674</v>
      </c>
      <c r="S3236" t="s">
        <v>42788</v>
      </c>
      <c r="T3236" t="s">
        <v>44526</v>
      </c>
      <c r="U3236" t="s">
        <v>46647</v>
      </c>
      <c r="W3236" t="s">
        <v>39674</v>
      </c>
      <c r="X3236" t="s">
        <v>42676</v>
      </c>
    </row>
    <row r="3237" spans="1:24">
      <c r="A3237">
        <f>HYPERLINK("https://www.philgeps.gov.ph/GEPSNONPILOT/Tender/SplashBidNoticeAbstractUI.aspx?menuIndex=3&amp;refID=7192502&amp;Result=3","7192502")</f>
        <v>0</v>
      </c>
      <c r="B3237" t="s">
        <v>896</v>
      </c>
      <c r="C3237" t="s">
        <v>6610</v>
      </c>
      <c r="D3237" t="s">
        <v>17188</v>
      </c>
      <c r="E3237" t="s">
        <v>20105</v>
      </c>
      <c r="F3237" t="s">
        <v>29372</v>
      </c>
      <c r="G3237" t="s">
        <v>29380</v>
      </c>
      <c r="H3237" t="s">
        <v>11048</v>
      </c>
      <c r="I3237" t="s">
        <v>29395</v>
      </c>
      <c r="J3237" t="s">
        <v>31745</v>
      </c>
      <c r="K3237" t="s">
        <v>38485</v>
      </c>
      <c r="M3237" t="s">
        <v>40031</v>
      </c>
      <c r="N3237" t="s">
        <v>42669</v>
      </c>
      <c r="O3237" t="s">
        <v>42670</v>
      </c>
      <c r="P3237">
        <v>0</v>
      </c>
      <c r="Q3237">
        <v>1</v>
      </c>
      <c r="R3237" t="s">
        <v>42674</v>
      </c>
      <c r="S3237" t="s">
        <v>42788</v>
      </c>
      <c r="T3237" t="s">
        <v>44480</v>
      </c>
      <c r="U3237" t="s">
        <v>47493</v>
      </c>
      <c r="V3237" t="s">
        <v>56575</v>
      </c>
      <c r="W3237" t="s">
        <v>40075</v>
      </c>
      <c r="X3237" t="s">
        <v>42676</v>
      </c>
    </row>
    <row r="3238" spans="1:24">
      <c r="A3238">
        <f>HYPERLINK("https://www.philgeps.gov.ph/GEPSNONPILOT/Tender/SplashBidNoticeAbstractUI.aspx?menuIndex=3&amp;refID=7192529&amp;Result=3","7192529")</f>
        <v>0</v>
      </c>
      <c r="B3238" t="s">
        <v>1191</v>
      </c>
      <c r="C3238" t="s">
        <v>6611</v>
      </c>
      <c r="D3238" t="s">
        <v>17148</v>
      </c>
      <c r="E3238" t="s">
        <v>20106</v>
      </c>
      <c r="F3238" t="s">
        <v>29372</v>
      </c>
      <c r="G3238" t="s">
        <v>29379</v>
      </c>
      <c r="H3238" t="s">
        <v>11048</v>
      </c>
      <c r="I3238" t="s">
        <v>29395</v>
      </c>
      <c r="J3238" t="s">
        <v>30804</v>
      </c>
      <c r="K3238" t="s">
        <v>38488</v>
      </c>
      <c r="M3238" t="s">
        <v>40007</v>
      </c>
      <c r="N3238" t="s">
        <v>42669</v>
      </c>
      <c r="O3238" t="s">
        <v>42670</v>
      </c>
      <c r="P3238">
        <v>0</v>
      </c>
      <c r="Q3238">
        <v>0</v>
      </c>
      <c r="R3238" t="s">
        <v>42674</v>
      </c>
      <c r="S3238" t="s">
        <v>42788</v>
      </c>
      <c r="T3238" t="s">
        <v>44387</v>
      </c>
      <c r="U3238" t="s">
        <v>47494</v>
      </c>
      <c r="V3238" t="s">
        <v>56650</v>
      </c>
      <c r="W3238" t="s">
        <v>40007</v>
      </c>
      <c r="X3238" t="s">
        <v>42676</v>
      </c>
    </row>
    <row r="3239" spans="1:24">
      <c r="A3239">
        <f>HYPERLINK("https://www.philgeps.gov.ph/GEPSNONPILOT/Tender/SplashBidNoticeAbstractUI.aspx?menuIndex=3&amp;refID=7192527&amp;Result=3","7192527")</f>
        <v>0</v>
      </c>
      <c r="B3239" t="s">
        <v>426</v>
      </c>
      <c r="C3239" t="s">
        <v>6612</v>
      </c>
      <c r="D3239" t="s">
        <v>17180</v>
      </c>
      <c r="E3239" t="s">
        <v>20107</v>
      </c>
      <c r="F3239" t="s">
        <v>29372</v>
      </c>
      <c r="G3239" t="s">
        <v>29383</v>
      </c>
      <c r="H3239" t="s">
        <v>11048</v>
      </c>
      <c r="I3239" t="s">
        <v>29434</v>
      </c>
      <c r="J3239" t="s">
        <v>31746</v>
      </c>
      <c r="K3239" t="s">
        <v>38490</v>
      </c>
      <c r="M3239" t="s">
        <v>39190</v>
      </c>
      <c r="N3239" t="s">
        <v>42669</v>
      </c>
      <c r="O3239" t="s">
        <v>42670</v>
      </c>
      <c r="P3239">
        <v>0</v>
      </c>
      <c r="Q3239">
        <v>1</v>
      </c>
      <c r="R3239" t="s">
        <v>42674</v>
      </c>
      <c r="S3239" t="s">
        <v>42788</v>
      </c>
      <c r="T3239" t="s">
        <v>44432</v>
      </c>
      <c r="U3239" t="s">
        <v>45803</v>
      </c>
      <c r="W3239" t="s">
        <v>39190</v>
      </c>
      <c r="X3239" t="s">
        <v>42676</v>
      </c>
    </row>
    <row r="3240" spans="1:24">
      <c r="A3240">
        <f>HYPERLINK("https://www.philgeps.gov.ph/GEPSNONPILOT/Tender/SplashBidNoticeAbstractUI.aspx?menuIndex=3&amp;refID=7192526&amp;Result=3","7192526")</f>
        <v>0</v>
      </c>
      <c r="B3240" t="s">
        <v>841</v>
      </c>
      <c r="C3240" t="s">
        <v>6613</v>
      </c>
      <c r="D3240" t="s">
        <v>17142</v>
      </c>
      <c r="E3240" t="s">
        <v>20108</v>
      </c>
      <c r="F3240" t="s">
        <v>29372</v>
      </c>
      <c r="G3240" t="s">
        <v>29379</v>
      </c>
      <c r="H3240" t="s">
        <v>11048</v>
      </c>
      <c r="I3240" t="s">
        <v>29403</v>
      </c>
      <c r="J3240" t="s">
        <v>30066</v>
      </c>
      <c r="K3240" t="s">
        <v>38490</v>
      </c>
      <c r="M3240" t="s">
        <v>39631</v>
      </c>
      <c r="N3240" t="s">
        <v>42669</v>
      </c>
      <c r="O3240" t="s">
        <v>42670</v>
      </c>
      <c r="P3240">
        <v>0</v>
      </c>
      <c r="Q3240">
        <v>0</v>
      </c>
      <c r="R3240" t="s">
        <v>42674</v>
      </c>
      <c r="S3240" t="s">
        <v>42788</v>
      </c>
      <c r="T3240" t="s">
        <v>44399</v>
      </c>
      <c r="U3240" t="s">
        <v>46620</v>
      </c>
      <c r="W3240" t="s">
        <v>39631</v>
      </c>
      <c r="X3240" t="s">
        <v>42676</v>
      </c>
    </row>
    <row r="3241" spans="1:24">
      <c r="A3241">
        <f>HYPERLINK("https://www.philgeps.gov.ph/GEPSNONPILOT/Tender/SplashBidNoticeAbstractUI.aspx?menuIndex=3&amp;refID=7192537&amp;Result=3","7192537")</f>
        <v>0</v>
      </c>
      <c r="B3241" t="s">
        <v>1215</v>
      </c>
      <c r="C3241" t="s">
        <v>6614</v>
      </c>
      <c r="D3241" t="s">
        <v>17213</v>
      </c>
      <c r="E3241" t="s">
        <v>20109</v>
      </c>
      <c r="F3241" t="s">
        <v>29372</v>
      </c>
      <c r="G3241" t="s">
        <v>29380</v>
      </c>
      <c r="H3241" t="s">
        <v>11048</v>
      </c>
      <c r="I3241" t="s">
        <v>3839</v>
      </c>
      <c r="J3241" t="s">
        <v>29555</v>
      </c>
      <c r="K3241" t="s">
        <v>38490</v>
      </c>
      <c r="L3241" t="s">
        <v>1215</v>
      </c>
      <c r="M3241" t="s">
        <v>40035</v>
      </c>
      <c r="N3241" t="s">
        <v>42669</v>
      </c>
      <c r="O3241" t="s">
        <v>42670</v>
      </c>
      <c r="P3241">
        <v>0</v>
      </c>
      <c r="Q3241">
        <v>2</v>
      </c>
      <c r="R3241" t="s">
        <v>42674</v>
      </c>
      <c r="S3241" t="s">
        <v>42788</v>
      </c>
      <c r="T3241" t="s">
        <v>44485</v>
      </c>
      <c r="U3241" t="s">
        <v>47495</v>
      </c>
      <c r="W3241" t="s">
        <v>40035</v>
      </c>
      <c r="X3241" t="s">
        <v>42676</v>
      </c>
    </row>
    <row r="3242" spans="1:24">
      <c r="A3242">
        <f>HYPERLINK("https://www.philgeps.gov.ph/GEPSNONPILOT/Tender/SplashBidNoticeAbstractUI.aspx?menuIndex=3&amp;refID=7192545&amp;Result=3","7192545")</f>
        <v>0</v>
      </c>
      <c r="B3242" t="s">
        <v>1216</v>
      </c>
      <c r="C3242" t="s">
        <v>6615</v>
      </c>
      <c r="D3242" t="s">
        <v>17188</v>
      </c>
      <c r="E3242" t="s">
        <v>20110</v>
      </c>
      <c r="F3242" t="s">
        <v>29372</v>
      </c>
      <c r="G3242" t="s">
        <v>29379</v>
      </c>
      <c r="H3242" t="s">
        <v>11048</v>
      </c>
      <c r="I3242" t="s">
        <v>4709</v>
      </c>
      <c r="J3242" t="s">
        <v>31747</v>
      </c>
      <c r="K3242" t="s">
        <v>38535</v>
      </c>
      <c r="M3242" t="s">
        <v>40036</v>
      </c>
      <c r="N3242" t="s">
        <v>42669</v>
      </c>
      <c r="O3242" t="s">
        <v>42670</v>
      </c>
      <c r="P3242">
        <v>0</v>
      </c>
      <c r="Q3242">
        <v>0</v>
      </c>
      <c r="R3242" t="s">
        <v>42674</v>
      </c>
      <c r="S3242" t="s">
        <v>42788</v>
      </c>
      <c r="T3242" t="s">
        <v>44454</v>
      </c>
      <c r="U3242" t="s">
        <v>45140</v>
      </c>
      <c r="W3242" t="s">
        <v>40036</v>
      </c>
      <c r="X3242" t="s">
        <v>42676</v>
      </c>
    </row>
    <row r="3243" spans="1:24">
      <c r="A3243">
        <f>HYPERLINK("https://www.philgeps.gov.ph/GEPSNONPILOT/Tender/SplashBidNoticeAbstractUI.aspx?menuIndex=3&amp;refID=7192533&amp;Result=3","7192533")</f>
        <v>0</v>
      </c>
      <c r="B3243" t="s">
        <v>1217</v>
      </c>
      <c r="C3243" t="s">
        <v>6616</v>
      </c>
      <c r="D3243" t="s">
        <v>17197</v>
      </c>
      <c r="E3243" t="s">
        <v>20111</v>
      </c>
      <c r="F3243" t="s">
        <v>29373</v>
      </c>
      <c r="G3243" t="s">
        <v>29383</v>
      </c>
      <c r="H3243" t="s">
        <v>11048</v>
      </c>
      <c r="I3243" t="s">
        <v>29412</v>
      </c>
      <c r="J3243" t="s">
        <v>29799</v>
      </c>
      <c r="K3243" t="s">
        <v>38534</v>
      </c>
      <c r="M3243" t="s">
        <v>40037</v>
      </c>
      <c r="N3243" t="s">
        <v>42669</v>
      </c>
      <c r="O3243" t="s">
        <v>42670</v>
      </c>
      <c r="P3243">
        <v>0</v>
      </c>
      <c r="Q3243">
        <v>0</v>
      </c>
      <c r="R3243" t="s">
        <v>42674</v>
      </c>
      <c r="S3243" t="s">
        <v>42788</v>
      </c>
      <c r="T3243" t="s">
        <v>44441</v>
      </c>
      <c r="U3243" t="s">
        <v>47496</v>
      </c>
      <c r="V3243" t="s">
        <v>56661</v>
      </c>
      <c r="W3243" t="s">
        <v>40037</v>
      </c>
      <c r="X3243" t="s">
        <v>42676</v>
      </c>
    </row>
    <row r="3244" spans="1:24">
      <c r="A3244">
        <f>HYPERLINK("https://www.philgeps.gov.ph/GEPSNONPILOT/Tender/SplashBidNoticeAbstractUI.aspx?menuIndex=3&amp;refID=7192580&amp;Result=3","7192580")</f>
        <v>0</v>
      </c>
      <c r="B3244" t="s">
        <v>882</v>
      </c>
      <c r="C3244" t="s">
        <v>6617</v>
      </c>
      <c r="D3244" t="s">
        <v>17193</v>
      </c>
      <c r="E3244" t="s">
        <v>20112</v>
      </c>
      <c r="F3244" t="s">
        <v>29372</v>
      </c>
      <c r="G3244" t="s">
        <v>29379</v>
      </c>
      <c r="H3244" t="s">
        <v>11048</v>
      </c>
      <c r="I3244" t="s">
        <v>14920</v>
      </c>
      <c r="J3244" t="s">
        <v>31748</v>
      </c>
      <c r="K3244" t="s">
        <v>38486</v>
      </c>
      <c r="M3244" t="s">
        <v>39674</v>
      </c>
      <c r="N3244" t="s">
        <v>42669</v>
      </c>
      <c r="O3244" t="s">
        <v>42670</v>
      </c>
      <c r="P3244">
        <v>0</v>
      </c>
      <c r="Q3244">
        <v>2</v>
      </c>
      <c r="R3244" t="s">
        <v>42674</v>
      </c>
      <c r="S3244" t="s">
        <v>42788</v>
      </c>
      <c r="T3244" t="s">
        <v>44526</v>
      </c>
      <c r="U3244" t="s">
        <v>46647</v>
      </c>
      <c r="W3244" t="s">
        <v>39674</v>
      </c>
      <c r="X3244" t="s">
        <v>42676</v>
      </c>
    </row>
    <row r="3245" spans="1:24">
      <c r="A3245">
        <f>HYPERLINK("https://www.philgeps.gov.ph/GEPSNONPILOT/Tender/SplashBidNoticeAbstractUI.aspx?menuIndex=3&amp;refID=7192540&amp;Result=3","7192540")</f>
        <v>0</v>
      </c>
      <c r="B3245" t="s">
        <v>1216</v>
      </c>
      <c r="C3245" t="s">
        <v>6615</v>
      </c>
      <c r="D3245" t="s">
        <v>17188</v>
      </c>
      <c r="E3245" t="s">
        <v>20113</v>
      </c>
      <c r="F3245" t="s">
        <v>29372</v>
      </c>
      <c r="G3245" t="s">
        <v>29379</v>
      </c>
      <c r="H3245" t="s">
        <v>11048</v>
      </c>
      <c r="I3245" t="s">
        <v>4709</v>
      </c>
      <c r="J3245" t="s">
        <v>31749</v>
      </c>
      <c r="K3245" t="s">
        <v>38535</v>
      </c>
      <c r="M3245" t="s">
        <v>40036</v>
      </c>
      <c r="N3245" t="s">
        <v>42669</v>
      </c>
      <c r="O3245" t="s">
        <v>42670</v>
      </c>
      <c r="P3245">
        <v>0</v>
      </c>
      <c r="Q3245">
        <v>0</v>
      </c>
      <c r="R3245" t="s">
        <v>42674</v>
      </c>
      <c r="S3245" t="s">
        <v>42788</v>
      </c>
      <c r="T3245" t="s">
        <v>44454</v>
      </c>
      <c r="U3245" t="s">
        <v>45140</v>
      </c>
      <c r="W3245" t="s">
        <v>40036</v>
      </c>
      <c r="X3245" t="s">
        <v>42676</v>
      </c>
    </row>
    <row r="3246" spans="1:24">
      <c r="A3246">
        <f>HYPERLINK("https://www.philgeps.gov.ph/GEPSNONPILOT/Tender/SplashBidNoticeAbstractUI.aspx?menuIndex=3&amp;refID=7192532&amp;Result=3","7192532")</f>
        <v>0</v>
      </c>
      <c r="B3246" t="s">
        <v>1195</v>
      </c>
      <c r="C3246" t="s">
        <v>6618</v>
      </c>
      <c r="D3246" t="s">
        <v>17169</v>
      </c>
      <c r="E3246" t="s">
        <v>20101</v>
      </c>
      <c r="F3246" t="s">
        <v>29372</v>
      </c>
      <c r="G3246" t="s">
        <v>29380</v>
      </c>
      <c r="H3246" t="s">
        <v>11048</v>
      </c>
      <c r="I3246" t="s">
        <v>29444</v>
      </c>
      <c r="J3246" t="s">
        <v>31750</v>
      </c>
      <c r="K3246" t="s">
        <v>38490</v>
      </c>
      <c r="M3246" t="s">
        <v>40034</v>
      </c>
      <c r="N3246" t="s">
        <v>42669</v>
      </c>
      <c r="O3246" t="s">
        <v>42670</v>
      </c>
      <c r="P3246">
        <v>0</v>
      </c>
      <c r="Q3246">
        <v>2</v>
      </c>
      <c r="R3246" t="s">
        <v>42674</v>
      </c>
      <c r="S3246" t="s">
        <v>42788</v>
      </c>
      <c r="T3246" t="s">
        <v>44622</v>
      </c>
      <c r="U3246" t="s">
        <v>47497</v>
      </c>
      <c r="W3246" t="s">
        <v>40012</v>
      </c>
      <c r="X3246" t="s">
        <v>42676</v>
      </c>
    </row>
    <row r="3247" spans="1:24">
      <c r="A3247">
        <f>HYPERLINK("https://www.philgeps.gov.ph/GEPSNONPILOT/Tender/SplashBidNoticeAbstractUI.aspx?menuIndex=3&amp;refID=7192572&amp;Result=3","7192572")</f>
        <v>0</v>
      </c>
      <c r="B3247" t="s">
        <v>1218</v>
      </c>
      <c r="C3247" t="s">
        <v>6619</v>
      </c>
      <c r="D3247" t="s">
        <v>17182</v>
      </c>
      <c r="E3247" t="s">
        <v>20114</v>
      </c>
      <c r="F3247" t="s">
        <v>29372</v>
      </c>
      <c r="G3247" t="s">
        <v>29380</v>
      </c>
      <c r="H3247" t="s">
        <v>29389</v>
      </c>
      <c r="I3247" t="s">
        <v>29417</v>
      </c>
      <c r="J3247" t="s">
        <v>29615</v>
      </c>
      <c r="K3247" t="s">
        <v>38485</v>
      </c>
      <c r="M3247" t="s">
        <v>40038</v>
      </c>
      <c r="N3247" t="s">
        <v>42669</v>
      </c>
      <c r="O3247" t="s">
        <v>42670</v>
      </c>
      <c r="P3247">
        <v>0</v>
      </c>
      <c r="Q3247">
        <v>0</v>
      </c>
      <c r="R3247" t="s">
        <v>42674</v>
      </c>
      <c r="S3247" t="s">
        <v>42788</v>
      </c>
      <c r="T3247" t="s">
        <v>44468</v>
      </c>
      <c r="U3247" t="s">
        <v>47498</v>
      </c>
      <c r="W3247" t="s">
        <v>40038</v>
      </c>
      <c r="X3247" t="s">
        <v>42676</v>
      </c>
    </row>
    <row r="3248" spans="1:24">
      <c r="A3248">
        <f>HYPERLINK("https://www.philgeps.gov.ph/GEPSNONPILOT/Tender/SplashBidNoticeAbstractUI.aspx?menuIndex=3&amp;refID=7192578&amp;Result=3","7192578")</f>
        <v>0</v>
      </c>
      <c r="B3248" t="s">
        <v>1215</v>
      </c>
      <c r="C3248" t="s">
        <v>6620</v>
      </c>
      <c r="D3248" t="s">
        <v>17213</v>
      </c>
      <c r="E3248" t="s">
        <v>20115</v>
      </c>
      <c r="F3248" t="s">
        <v>29372</v>
      </c>
      <c r="G3248" t="s">
        <v>29380</v>
      </c>
      <c r="H3248" t="s">
        <v>11048</v>
      </c>
      <c r="I3248" t="s">
        <v>3839</v>
      </c>
      <c r="J3248" t="s">
        <v>31751</v>
      </c>
      <c r="K3248" t="s">
        <v>38490</v>
      </c>
      <c r="L3248" t="s">
        <v>1215</v>
      </c>
      <c r="M3248" t="s">
        <v>40035</v>
      </c>
      <c r="N3248" t="s">
        <v>42669</v>
      </c>
      <c r="O3248" t="s">
        <v>42670</v>
      </c>
      <c r="P3248">
        <v>0</v>
      </c>
      <c r="Q3248">
        <v>3</v>
      </c>
      <c r="R3248" t="s">
        <v>42674</v>
      </c>
      <c r="S3248" t="s">
        <v>42788</v>
      </c>
      <c r="T3248" t="s">
        <v>44485</v>
      </c>
      <c r="U3248" t="s">
        <v>47499</v>
      </c>
      <c r="W3248" t="s">
        <v>40035</v>
      </c>
      <c r="X3248" t="s">
        <v>42676</v>
      </c>
    </row>
    <row r="3249" spans="1:24">
      <c r="A3249">
        <f>HYPERLINK("https://www.philgeps.gov.ph/GEPSNONPILOT/Tender/SplashBidNoticeAbstractUI.aspx?menuIndex=3&amp;refID=7192570&amp;Result=3","7192570")</f>
        <v>0</v>
      </c>
      <c r="B3249" t="s">
        <v>1034</v>
      </c>
      <c r="C3249" t="s">
        <v>6561</v>
      </c>
      <c r="D3249" t="s">
        <v>17199</v>
      </c>
      <c r="E3249" t="s">
        <v>20116</v>
      </c>
      <c r="F3249" t="s">
        <v>29372</v>
      </c>
      <c r="G3249" t="s">
        <v>29382</v>
      </c>
      <c r="H3249" t="s">
        <v>11048</v>
      </c>
      <c r="I3249" t="s">
        <v>5383</v>
      </c>
      <c r="J3249" t="s">
        <v>31752</v>
      </c>
      <c r="K3249" t="s">
        <v>38491</v>
      </c>
      <c r="M3249" t="s">
        <v>39837</v>
      </c>
      <c r="N3249" t="s">
        <v>42669</v>
      </c>
      <c r="O3249" t="s">
        <v>42670</v>
      </c>
      <c r="P3249">
        <v>0</v>
      </c>
      <c r="Q3249">
        <v>0</v>
      </c>
      <c r="R3249" t="s">
        <v>42674</v>
      </c>
      <c r="S3249" t="s">
        <v>42788</v>
      </c>
      <c r="T3249" t="s">
        <v>44427</v>
      </c>
      <c r="U3249" t="s">
        <v>47451</v>
      </c>
      <c r="W3249" t="s">
        <v>58033</v>
      </c>
      <c r="X3249" t="s">
        <v>42676</v>
      </c>
    </row>
    <row r="3250" spans="1:24">
      <c r="A3250">
        <f>HYPERLINK("https://www.philgeps.gov.ph/GEPSNONPILOT/Tender/SplashBidNoticeAbstractUI.aspx?menuIndex=3&amp;refID=7192565&amp;Result=3","7192565")</f>
        <v>0</v>
      </c>
      <c r="B3250" t="s">
        <v>1219</v>
      </c>
      <c r="C3250" t="s">
        <v>6621</v>
      </c>
      <c r="D3250" t="s">
        <v>17172</v>
      </c>
      <c r="E3250" t="s">
        <v>20117</v>
      </c>
      <c r="F3250" t="s">
        <v>29372</v>
      </c>
      <c r="G3250" t="s">
        <v>29380</v>
      </c>
      <c r="H3250" t="s">
        <v>11048</v>
      </c>
      <c r="I3250" t="s">
        <v>4486</v>
      </c>
      <c r="J3250" t="s">
        <v>31753</v>
      </c>
      <c r="K3250" t="s">
        <v>38490</v>
      </c>
      <c r="M3250" t="s">
        <v>40039</v>
      </c>
      <c r="N3250" t="s">
        <v>42669</v>
      </c>
      <c r="O3250" t="s">
        <v>42670</v>
      </c>
      <c r="P3250">
        <v>0</v>
      </c>
      <c r="Q3250">
        <v>5</v>
      </c>
      <c r="R3250" t="s">
        <v>42674</v>
      </c>
      <c r="S3250" t="s">
        <v>42788</v>
      </c>
      <c r="T3250" t="s">
        <v>44391</v>
      </c>
      <c r="U3250" t="s">
        <v>47500</v>
      </c>
      <c r="V3250" t="s">
        <v>56662</v>
      </c>
      <c r="W3250" t="s">
        <v>40039</v>
      </c>
      <c r="X3250" t="s">
        <v>42676</v>
      </c>
    </row>
    <row r="3251" spans="1:24">
      <c r="A3251">
        <f>HYPERLINK("https://www.philgeps.gov.ph/GEPSNONPILOT/Tender/SplashBidNoticeAbstractUI.aspx?menuIndex=3&amp;refID=7192574&amp;Result=3","7192574")</f>
        <v>0</v>
      </c>
      <c r="B3251" t="s">
        <v>562</v>
      </c>
      <c r="C3251" t="s">
        <v>6622</v>
      </c>
      <c r="D3251" t="s">
        <v>17141</v>
      </c>
      <c r="E3251" t="s">
        <v>20118</v>
      </c>
      <c r="F3251" t="s">
        <v>29372</v>
      </c>
      <c r="G3251" t="s">
        <v>29379</v>
      </c>
      <c r="H3251" t="s">
        <v>11048</v>
      </c>
      <c r="I3251" t="s">
        <v>29458</v>
      </c>
      <c r="J3251" t="s">
        <v>31754</v>
      </c>
      <c r="K3251" t="s">
        <v>38491</v>
      </c>
      <c r="M3251" t="s">
        <v>39331</v>
      </c>
      <c r="N3251" t="s">
        <v>42669</v>
      </c>
      <c r="O3251" t="s">
        <v>42670</v>
      </c>
      <c r="P3251">
        <v>0</v>
      </c>
      <c r="Q3251">
        <v>1</v>
      </c>
      <c r="R3251" t="s">
        <v>42674</v>
      </c>
      <c r="S3251" t="s">
        <v>42788</v>
      </c>
      <c r="T3251" t="s">
        <v>44385</v>
      </c>
      <c r="U3251" t="s">
        <v>47501</v>
      </c>
      <c r="W3251" t="s">
        <v>39331</v>
      </c>
      <c r="X3251" t="s">
        <v>42676</v>
      </c>
    </row>
    <row r="3252" spans="1:24">
      <c r="A3252">
        <f>HYPERLINK("https://www.philgeps.gov.ph/GEPSNONPILOT/Tender/SplashBidNoticeAbstractUI.aspx?menuIndex=3&amp;refID=7192573&amp;Result=3","7192573")</f>
        <v>0</v>
      </c>
      <c r="B3252" t="s">
        <v>469</v>
      </c>
      <c r="C3252" t="s">
        <v>6623</v>
      </c>
      <c r="D3252" t="s">
        <v>17170</v>
      </c>
      <c r="E3252" t="s">
        <v>20119</v>
      </c>
      <c r="F3252" t="s">
        <v>29372</v>
      </c>
      <c r="G3252" t="s">
        <v>29379</v>
      </c>
      <c r="H3252" t="s">
        <v>11048</v>
      </c>
      <c r="I3252" t="s">
        <v>29460</v>
      </c>
      <c r="J3252" t="s">
        <v>31755</v>
      </c>
      <c r="K3252" t="s">
        <v>38485</v>
      </c>
      <c r="M3252" t="s">
        <v>39233</v>
      </c>
      <c r="N3252" t="s">
        <v>42669</v>
      </c>
      <c r="O3252" t="s">
        <v>42670</v>
      </c>
      <c r="P3252">
        <v>0</v>
      </c>
      <c r="Q3252">
        <v>0</v>
      </c>
      <c r="R3252" t="s">
        <v>42674</v>
      </c>
      <c r="S3252" t="s">
        <v>42788</v>
      </c>
      <c r="T3252" t="s">
        <v>44432</v>
      </c>
      <c r="U3252" t="s">
        <v>47502</v>
      </c>
      <c r="W3252" t="s">
        <v>39233</v>
      </c>
      <c r="X3252" t="s">
        <v>42676</v>
      </c>
    </row>
    <row r="3253" spans="1:24">
      <c r="A3253">
        <f>HYPERLINK("https://www.philgeps.gov.ph/GEPSNONPILOT/Tender/SplashBidNoticeAbstractUI.aspx?menuIndex=3&amp;refID=7192560&amp;Result=3","7192560")</f>
        <v>0</v>
      </c>
      <c r="B3253" t="s">
        <v>1195</v>
      </c>
      <c r="C3253" t="s">
        <v>6624</v>
      </c>
      <c r="D3253" t="s">
        <v>17169</v>
      </c>
      <c r="E3253" t="s">
        <v>20120</v>
      </c>
      <c r="F3253" t="s">
        <v>29372</v>
      </c>
      <c r="G3253" t="s">
        <v>29380</v>
      </c>
      <c r="H3253" t="s">
        <v>11048</v>
      </c>
      <c r="I3253" t="s">
        <v>5383</v>
      </c>
      <c r="J3253" t="s">
        <v>31756</v>
      </c>
      <c r="K3253" t="s">
        <v>38490</v>
      </c>
      <c r="M3253" t="s">
        <v>40012</v>
      </c>
      <c r="N3253" t="s">
        <v>42669</v>
      </c>
      <c r="O3253" t="s">
        <v>42670</v>
      </c>
      <c r="P3253">
        <v>0</v>
      </c>
      <c r="Q3253">
        <v>2</v>
      </c>
      <c r="R3253" t="s">
        <v>42674</v>
      </c>
      <c r="S3253" t="s">
        <v>42788</v>
      </c>
      <c r="T3253" t="s">
        <v>44622</v>
      </c>
      <c r="U3253" t="s">
        <v>47503</v>
      </c>
      <c r="W3253" t="s">
        <v>40012</v>
      </c>
      <c r="X3253" t="s">
        <v>42676</v>
      </c>
    </row>
    <row r="3254" spans="1:24">
      <c r="A3254">
        <f>HYPERLINK("https://www.philgeps.gov.ph/GEPSNONPILOT/Tender/SplashBidNoticeAbstractUI.aspx?menuIndex=3&amp;refID=7192579&amp;Result=3","7192579")</f>
        <v>0</v>
      </c>
      <c r="B3254" t="s">
        <v>1220</v>
      </c>
      <c r="C3254" t="s">
        <v>6625</v>
      </c>
      <c r="D3254" t="s">
        <v>17171</v>
      </c>
      <c r="E3254" t="s">
        <v>20121</v>
      </c>
      <c r="F3254" t="s">
        <v>29372</v>
      </c>
      <c r="G3254" t="s">
        <v>29380</v>
      </c>
      <c r="H3254" t="s">
        <v>11048</v>
      </c>
      <c r="I3254" t="s">
        <v>5383</v>
      </c>
      <c r="J3254" t="s">
        <v>29685</v>
      </c>
      <c r="K3254" t="s">
        <v>38489</v>
      </c>
      <c r="M3254" t="s">
        <v>40040</v>
      </c>
      <c r="N3254" t="s">
        <v>42669</v>
      </c>
      <c r="O3254" t="s">
        <v>42670</v>
      </c>
      <c r="P3254">
        <v>0</v>
      </c>
      <c r="Q3254">
        <v>2</v>
      </c>
      <c r="R3254" t="s">
        <v>42674</v>
      </c>
      <c r="S3254" t="s">
        <v>42788</v>
      </c>
      <c r="T3254" t="s">
        <v>44572</v>
      </c>
      <c r="U3254" t="s">
        <v>47504</v>
      </c>
      <c r="W3254" t="s">
        <v>40040</v>
      </c>
      <c r="X3254" t="s">
        <v>42676</v>
      </c>
    </row>
    <row r="3255" spans="1:24">
      <c r="A3255">
        <f>HYPERLINK("https://www.philgeps.gov.ph/GEPSNONPILOT/Tender/SplashBidNoticeAbstractUI.aspx?menuIndex=3&amp;refID=7192557&amp;Result=3","7192557")</f>
        <v>0</v>
      </c>
      <c r="B3255" t="s">
        <v>1191</v>
      </c>
      <c r="C3255" t="s">
        <v>6626</v>
      </c>
      <c r="D3255" t="s">
        <v>17148</v>
      </c>
      <c r="E3255" t="s">
        <v>20122</v>
      </c>
      <c r="F3255" t="s">
        <v>29372</v>
      </c>
      <c r="G3255" t="s">
        <v>29379</v>
      </c>
      <c r="H3255" t="s">
        <v>11048</v>
      </c>
      <c r="I3255" t="s">
        <v>29447</v>
      </c>
      <c r="J3255" t="s">
        <v>31757</v>
      </c>
      <c r="K3255" t="s">
        <v>38488</v>
      </c>
      <c r="M3255" t="s">
        <v>40007</v>
      </c>
      <c r="N3255" t="s">
        <v>42669</v>
      </c>
      <c r="O3255" t="s">
        <v>42670</v>
      </c>
      <c r="P3255">
        <v>0</v>
      </c>
      <c r="Q3255">
        <v>1</v>
      </c>
      <c r="R3255" t="s">
        <v>42674</v>
      </c>
      <c r="S3255" t="s">
        <v>42788</v>
      </c>
      <c r="T3255" t="s">
        <v>44387</v>
      </c>
      <c r="U3255" t="s">
        <v>47505</v>
      </c>
      <c r="V3255" t="s">
        <v>56663</v>
      </c>
      <c r="W3255" t="s">
        <v>40007</v>
      </c>
      <c r="X3255" t="s">
        <v>42676</v>
      </c>
    </row>
    <row r="3256" spans="1:24">
      <c r="A3256">
        <f>HYPERLINK("https://www.philgeps.gov.ph/GEPSNONPILOT/Tender/SplashBidNoticeAbstractUI.aspx?menuIndex=3&amp;refID=7192277&amp;Result=3","7192277")</f>
        <v>0</v>
      </c>
      <c r="B3256" t="s">
        <v>1184</v>
      </c>
      <c r="C3256" t="s">
        <v>6627</v>
      </c>
      <c r="D3256" t="s">
        <v>17205</v>
      </c>
      <c r="E3256" t="s">
        <v>20123</v>
      </c>
      <c r="F3256" t="s">
        <v>29372</v>
      </c>
      <c r="G3256" t="s">
        <v>29379</v>
      </c>
      <c r="H3256" t="s">
        <v>11048</v>
      </c>
      <c r="I3256" t="s">
        <v>3597</v>
      </c>
      <c r="J3256" t="s">
        <v>31758</v>
      </c>
      <c r="K3256" t="s">
        <v>38488</v>
      </c>
      <c r="M3256" t="s">
        <v>40000</v>
      </c>
      <c r="N3256" t="s">
        <v>42669</v>
      </c>
      <c r="O3256" t="s">
        <v>42670</v>
      </c>
      <c r="P3256">
        <v>0</v>
      </c>
      <c r="Q3256">
        <v>4</v>
      </c>
      <c r="R3256" t="s">
        <v>42674</v>
      </c>
      <c r="S3256" t="s">
        <v>42788</v>
      </c>
      <c r="T3256" t="s">
        <v>44469</v>
      </c>
      <c r="U3256" t="s">
        <v>47506</v>
      </c>
      <c r="W3256" t="s">
        <v>40000</v>
      </c>
      <c r="X3256" t="s">
        <v>42676</v>
      </c>
    </row>
    <row r="3257" spans="1:24">
      <c r="A3257">
        <f>HYPERLINK("https://www.philgeps.gov.ph/GEPSNONPILOT/Tender/SplashBidNoticeAbstractUI.aspx?menuIndex=3&amp;refID=7192554&amp;Result=3","7192554")</f>
        <v>0</v>
      </c>
      <c r="B3257" t="s">
        <v>1034</v>
      </c>
      <c r="C3257" t="s">
        <v>6628</v>
      </c>
      <c r="D3257" t="s">
        <v>17199</v>
      </c>
      <c r="E3257" t="s">
        <v>20124</v>
      </c>
      <c r="F3257" t="s">
        <v>29372</v>
      </c>
      <c r="G3257" t="s">
        <v>29379</v>
      </c>
      <c r="H3257" t="s">
        <v>11048</v>
      </c>
      <c r="I3257" t="s">
        <v>5383</v>
      </c>
      <c r="J3257" t="s">
        <v>31759</v>
      </c>
      <c r="K3257" t="s">
        <v>38491</v>
      </c>
      <c r="M3257" t="s">
        <v>39837</v>
      </c>
      <c r="N3257" t="s">
        <v>42669</v>
      </c>
      <c r="O3257" t="s">
        <v>42670</v>
      </c>
      <c r="P3257">
        <v>0</v>
      </c>
      <c r="Q3257">
        <v>3</v>
      </c>
      <c r="R3257" t="s">
        <v>42674</v>
      </c>
      <c r="S3257" t="s">
        <v>42788</v>
      </c>
      <c r="T3257" t="s">
        <v>44427</v>
      </c>
      <c r="U3257" t="s">
        <v>47397</v>
      </c>
      <c r="W3257" t="s">
        <v>58033</v>
      </c>
      <c r="X3257" t="s">
        <v>42676</v>
      </c>
    </row>
    <row r="3258" spans="1:24">
      <c r="A3258">
        <f>HYPERLINK("https://www.philgeps.gov.ph/GEPSNONPILOT/Tender/SplashBidNoticeAbstractUI.aspx?menuIndex=3&amp;refID=7192608&amp;Result=3","7192608")</f>
        <v>0</v>
      </c>
      <c r="B3258" t="s">
        <v>1041</v>
      </c>
      <c r="C3258" t="s">
        <v>6629</v>
      </c>
      <c r="D3258" t="s">
        <v>17199</v>
      </c>
      <c r="E3258" t="s">
        <v>20125</v>
      </c>
      <c r="F3258" t="s">
        <v>29372</v>
      </c>
      <c r="G3258" t="s">
        <v>29380</v>
      </c>
      <c r="H3258" t="s">
        <v>29389</v>
      </c>
      <c r="I3258" t="s">
        <v>10408</v>
      </c>
      <c r="J3258" t="s">
        <v>31760</v>
      </c>
      <c r="K3258" t="s">
        <v>38579</v>
      </c>
      <c r="L3258" t="s">
        <v>1041</v>
      </c>
      <c r="M3258" t="s">
        <v>39846</v>
      </c>
      <c r="N3258" t="s">
        <v>42669</v>
      </c>
      <c r="O3258" t="s">
        <v>42670</v>
      </c>
      <c r="P3258">
        <v>0</v>
      </c>
      <c r="Q3258">
        <v>2</v>
      </c>
      <c r="R3258" t="s">
        <v>42674</v>
      </c>
      <c r="S3258" t="s">
        <v>42788</v>
      </c>
      <c r="T3258" t="s">
        <v>44503</v>
      </c>
      <c r="U3258" t="s">
        <v>47507</v>
      </c>
      <c r="W3258" t="s">
        <v>39846</v>
      </c>
      <c r="X3258" t="s">
        <v>42676</v>
      </c>
    </row>
    <row r="3259" spans="1:24">
      <c r="A3259">
        <f>HYPERLINK("https://www.philgeps.gov.ph/GEPSNONPILOT/Tender/SplashBidNoticeAbstractUI.aspx?menuIndex=3&amp;refID=7192605&amp;Result=3","7192605")</f>
        <v>0</v>
      </c>
      <c r="B3259" t="s">
        <v>1034</v>
      </c>
      <c r="C3259" t="s">
        <v>6183</v>
      </c>
      <c r="D3259" t="s">
        <v>17199</v>
      </c>
      <c r="E3259" t="s">
        <v>20126</v>
      </c>
      <c r="F3259" t="s">
        <v>29372</v>
      </c>
      <c r="G3259" t="s">
        <v>29379</v>
      </c>
      <c r="H3259" t="s">
        <v>11048</v>
      </c>
      <c r="I3259" t="s">
        <v>8208</v>
      </c>
      <c r="J3259" t="s">
        <v>30539</v>
      </c>
      <c r="K3259" t="s">
        <v>38491</v>
      </c>
      <c r="M3259" t="s">
        <v>39837</v>
      </c>
      <c r="N3259" t="s">
        <v>42669</v>
      </c>
      <c r="O3259" t="s">
        <v>42670</v>
      </c>
      <c r="P3259">
        <v>0</v>
      </c>
      <c r="Q3259">
        <v>0</v>
      </c>
      <c r="R3259" t="s">
        <v>42674</v>
      </c>
      <c r="S3259" t="s">
        <v>42788</v>
      </c>
      <c r="T3259" t="s">
        <v>44427</v>
      </c>
      <c r="U3259" t="s">
        <v>47397</v>
      </c>
      <c r="W3259" t="s">
        <v>58033</v>
      </c>
      <c r="X3259" t="s">
        <v>42676</v>
      </c>
    </row>
    <row r="3260" spans="1:24">
      <c r="A3260">
        <f>HYPERLINK("https://www.philgeps.gov.ph/GEPSNONPILOT/Tender/SplashBidNoticeAbstractUI.aspx?menuIndex=3&amp;refID=7192562&amp;Result=3","7192562")</f>
        <v>0</v>
      </c>
      <c r="B3260" t="s">
        <v>1221</v>
      </c>
      <c r="C3260" t="s">
        <v>6630</v>
      </c>
      <c r="D3260" t="s">
        <v>17166</v>
      </c>
      <c r="E3260" t="s">
        <v>20127</v>
      </c>
      <c r="F3260" t="s">
        <v>29372</v>
      </c>
      <c r="G3260" t="s">
        <v>29379</v>
      </c>
      <c r="H3260" t="s">
        <v>11048</v>
      </c>
      <c r="I3260" t="s">
        <v>29409</v>
      </c>
      <c r="J3260" t="s">
        <v>30742</v>
      </c>
      <c r="K3260" t="s">
        <v>38490</v>
      </c>
      <c r="M3260" t="s">
        <v>40041</v>
      </c>
      <c r="N3260" t="s">
        <v>42669</v>
      </c>
      <c r="O3260" t="s">
        <v>42670</v>
      </c>
      <c r="P3260">
        <v>0</v>
      </c>
      <c r="Q3260">
        <v>10</v>
      </c>
      <c r="R3260" t="s">
        <v>42674</v>
      </c>
      <c r="S3260" t="s">
        <v>42788</v>
      </c>
      <c r="T3260" t="s">
        <v>44417</v>
      </c>
      <c r="U3260" t="s">
        <v>47508</v>
      </c>
      <c r="W3260" t="s">
        <v>40041</v>
      </c>
      <c r="X3260" t="s">
        <v>42676</v>
      </c>
    </row>
    <row r="3261" spans="1:24">
      <c r="A3261">
        <f>HYPERLINK("https://www.philgeps.gov.ph/GEPSNONPILOT/Tender/SplashBidNoticeAbstractUI.aspx?menuIndex=3&amp;refID=7192555&amp;Result=3","7192555")</f>
        <v>0</v>
      </c>
      <c r="B3261" t="s">
        <v>1222</v>
      </c>
      <c r="C3261" t="s">
        <v>6631</v>
      </c>
      <c r="D3261" t="s">
        <v>17169</v>
      </c>
      <c r="E3261" t="s">
        <v>20128</v>
      </c>
      <c r="F3261" t="s">
        <v>29372</v>
      </c>
      <c r="G3261" t="s">
        <v>29380</v>
      </c>
      <c r="H3261" t="s">
        <v>29389</v>
      </c>
      <c r="I3261" t="s">
        <v>10408</v>
      </c>
      <c r="J3261" t="s">
        <v>29619</v>
      </c>
      <c r="K3261" t="s">
        <v>38490</v>
      </c>
      <c r="M3261" t="s">
        <v>40042</v>
      </c>
      <c r="N3261" t="s">
        <v>42669</v>
      </c>
      <c r="O3261" t="s">
        <v>42670</v>
      </c>
      <c r="P3261">
        <v>0</v>
      </c>
      <c r="Q3261">
        <v>0</v>
      </c>
      <c r="R3261" t="s">
        <v>42674</v>
      </c>
      <c r="S3261" t="s">
        <v>42788</v>
      </c>
      <c r="T3261" t="s">
        <v>44490</v>
      </c>
      <c r="U3261" t="s">
        <v>47509</v>
      </c>
      <c r="W3261" t="s">
        <v>40042</v>
      </c>
      <c r="X3261" t="s">
        <v>42676</v>
      </c>
    </row>
    <row r="3262" spans="1:24">
      <c r="A3262">
        <f>HYPERLINK("https://www.philgeps.gov.ph/GEPSNONPILOT/Tender/SplashBidNoticeAbstractUI.aspx?menuIndex=3&amp;refID=7192603&amp;Result=3","7192603")</f>
        <v>0</v>
      </c>
      <c r="B3262" t="s">
        <v>485</v>
      </c>
      <c r="C3262" t="s">
        <v>6632</v>
      </c>
      <c r="D3262" t="s">
        <v>17175</v>
      </c>
      <c r="E3262" t="s">
        <v>20129</v>
      </c>
      <c r="F3262" t="s">
        <v>29372</v>
      </c>
      <c r="G3262" t="s">
        <v>29379</v>
      </c>
      <c r="H3262" t="s">
        <v>11048</v>
      </c>
      <c r="I3262" t="s">
        <v>4709</v>
      </c>
      <c r="J3262" t="s">
        <v>31761</v>
      </c>
      <c r="K3262" t="s">
        <v>38490</v>
      </c>
      <c r="M3262" t="s">
        <v>39250</v>
      </c>
      <c r="N3262" t="s">
        <v>42669</v>
      </c>
      <c r="O3262" t="s">
        <v>42670</v>
      </c>
      <c r="P3262">
        <v>0</v>
      </c>
      <c r="Q3262">
        <v>0</v>
      </c>
      <c r="R3262" t="s">
        <v>42674</v>
      </c>
      <c r="S3262" t="s">
        <v>42788</v>
      </c>
      <c r="T3262" t="s">
        <v>44432</v>
      </c>
      <c r="U3262" t="s">
        <v>47510</v>
      </c>
      <c r="W3262" t="s">
        <v>39250</v>
      </c>
      <c r="X3262" t="s">
        <v>42676</v>
      </c>
    </row>
    <row r="3263" spans="1:24">
      <c r="A3263">
        <f>HYPERLINK("https://www.philgeps.gov.ph/GEPSNONPILOT/Tender/SplashBidNoticeAbstractUI.aspx?menuIndex=3&amp;refID=7192577&amp;Result=3","7192577")</f>
        <v>0</v>
      </c>
      <c r="B3263" t="s">
        <v>1223</v>
      </c>
      <c r="C3263" t="s">
        <v>6633</v>
      </c>
      <c r="D3263" t="s">
        <v>17172</v>
      </c>
      <c r="E3263" t="s">
        <v>20130</v>
      </c>
      <c r="F3263" t="s">
        <v>29372</v>
      </c>
      <c r="G3263" t="s">
        <v>29380</v>
      </c>
      <c r="H3263" t="s">
        <v>29389</v>
      </c>
      <c r="I3263" t="s">
        <v>10408</v>
      </c>
      <c r="J3263" t="s">
        <v>31762</v>
      </c>
      <c r="K3263" t="s">
        <v>38503</v>
      </c>
      <c r="M3263" t="s">
        <v>40043</v>
      </c>
      <c r="N3263" t="s">
        <v>42669</v>
      </c>
      <c r="O3263" t="s">
        <v>42670</v>
      </c>
      <c r="P3263">
        <v>0</v>
      </c>
      <c r="Q3263">
        <v>1</v>
      </c>
      <c r="R3263" t="s">
        <v>42674</v>
      </c>
      <c r="S3263" t="s">
        <v>42788</v>
      </c>
      <c r="T3263" t="s">
        <v>44542</v>
      </c>
      <c r="U3263" t="s">
        <v>47511</v>
      </c>
      <c r="W3263" t="s">
        <v>40043</v>
      </c>
      <c r="X3263" t="s">
        <v>42676</v>
      </c>
    </row>
    <row r="3264" spans="1:24">
      <c r="A3264">
        <f>HYPERLINK("https://www.philgeps.gov.ph/GEPSNONPILOT/Tender/SplashBidNoticeAbstractUI.aspx?menuIndex=3&amp;refID=7192564&amp;Result=3","7192564")</f>
        <v>0</v>
      </c>
      <c r="B3264" t="s">
        <v>613</v>
      </c>
      <c r="C3264" t="s">
        <v>6634</v>
      </c>
      <c r="D3264" t="s">
        <v>17205</v>
      </c>
      <c r="E3264" t="s">
        <v>20131</v>
      </c>
      <c r="F3264" t="s">
        <v>29372</v>
      </c>
      <c r="G3264" t="s">
        <v>29379</v>
      </c>
      <c r="H3264" t="s">
        <v>11048</v>
      </c>
      <c r="I3264" t="s">
        <v>3695</v>
      </c>
      <c r="J3264" t="s">
        <v>31763</v>
      </c>
      <c r="K3264" t="s">
        <v>38490</v>
      </c>
      <c r="M3264" t="s">
        <v>39384</v>
      </c>
      <c r="N3264" t="s">
        <v>42669</v>
      </c>
      <c r="O3264" t="s">
        <v>42670</v>
      </c>
      <c r="P3264">
        <v>0</v>
      </c>
      <c r="Q3264">
        <v>1</v>
      </c>
      <c r="R3264" t="s">
        <v>42674</v>
      </c>
      <c r="S3264" t="s">
        <v>42788</v>
      </c>
      <c r="T3264" t="s">
        <v>44512</v>
      </c>
      <c r="U3264" t="s">
        <v>47512</v>
      </c>
      <c r="V3264" t="s">
        <v>56514</v>
      </c>
      <c r="W3264" t="s">
        <v>39384</v>
      </c>
      <c r="X3264" t="s">
        <v>42676</v>
      </c>
    </row>
    <row r="3265" spans="1:24">
      <c r="A3265">
        <f>HYPERLINK("https://www.philgeps.gov.ph/GEPSNONPILOT/Tender/SplashBidNoticeAbstractUI.aspx?menuIndex=3&amp;refID=7192598&amp;Result=3","7192598")</f>
        <v>0</v>
      </c>
      <c r="B3265" t="s">
        <v>1224</v>
      </c>
      <c r="C3265" t="s">
        <v>6635</v>
      </c>
      <c r="D3265" t="s">
        <v>17158</v>
      </c>
      <c r="E3265" t="s">
        <v>20132</v>
      </c>
      <c r="F3265" t="s">
        <v>29372</v>
      </c>
      <c r="G3265" t="s">
        <v>29380</v>
      </c>
      <c r="H3265" t="s">
        <v>29389</v>
      </c>
      <c r="I3265" t="s">
        <v>10408</v>
      </c>
      <c r="J3265" t="s">
        <v>31764</v>
      </c>
      <c r="K3265" t="s">
        <v>38610</v>
      </c>
      <c r="M3265" t="s">
        <v>40044</v>
      </c>
      <c r="N3265" t="s">
        <v>42669</v>
      </c>
      <c r="O3265" t="s">
        <v>42670</v>
      </c>
      <c r="P3265">
        <v>0</v>
      </c>
      <c r="Q3265">
        <v>0</v>
      </c>
      <c r="R3265" t="s">
        <v>42674</v>
      </c>
      <c r="S3265" t="s">
        <v>42788</v>
      </c>
      <c r="T3265" t="s">
        <v>44503</v>
      </c>
      <c r="U3265" t="s">
        <v>47513</v>
      </c>
      <c r="V3265" t="s">
        <v>56460</v>
      </c>
      <c r="W3265" t="s">
        <v>40044</v>
      </c>
      <c r="X3265" t="s">
        <v>42676</v>
      </c>
    </row>
    <row r="3266" spans="1:24">
      <c r="A3266">
        <f>HYPERLINK("https://www.philgeps.gov.ph/GEPSNONPILOT/Tender/SplashBidNoticeAbstractUI.aspx?menuIndex=3&amp;refID=7192602&amp;Result=3","7192602")</f>
        <v>0</v>
      </c>
      <c r="B3266" t="s">
        <v>1225</v>
      </c>
      <c r="C3266" t="s">
        <v>6636</v>
      </c>
      <c r="D3266" t="s">
        <v>17177</v>
      </c>
      <c r="E3266" t="s">
        <v>20133</v>
      </c>
      <c r="F3266" t="s">
        <v>29372</v>
      </c>
      <c r="G3266" t="s">
        <v>29380</v>
      </c>
      <c r="H3266" t="s">
        <v>11048</v>
      </c>
      <c r="I3266" t="s">
        <v>3629</v>
      </c>
      <c r="J3266" t="s">
        <v>31765</v>
      </c>
      <c r="K3266" t="s">
        <v>38496</v>
      </c>
      <c r="M3266" t="s">
        <v>40045</v>
      </c>
      <c r="N3266" t="s">
        <v>42669</v>
      </c>
      <c r="O3266" t="s">
        <v>42670</v>
      </c>
      <c r="P3266">
        <v>0</v>
      </c>
      <c r="Q3266">
        <v>2</v>
      </c>
      <c r="R3266" t="s">
        <v>42674</v>
      </c>
      <c r="S3266" t="s">
        <v>42788</v>
      </c>
      <c r="T3266" t="s">
        <v>44363</v>
      </c>
      <c r="U3266" t="s">
        <v>47514</v>
      </c>
      <c r="W3266" t="s">
        <v>40045</v>
      </c>
      <c r="X3266" t="s">
        <v>42676</v>
      </c>
    </row>
    <row r="3267" spans="1:24">
      <c r="A3267">
        <f>HYPERLINK("https://www.philgeps.gov.ph/GEPSNONPILOT/Tender/SplashBidNoticeAbstractUI.aspx?menuIndex=3&amp;refID=7192597&amp;Result=3","7192597")</f>
        <v>0</v>
      </c>
      <c r="B3267" t="s">
        <v>1223</v>
      </c>
      <c r="C3267" t="s">
        <v>6637</v>
      </c>
      <c r="D3267" t="s">
        <v>17172</v>
      </c>
      <c r="E3267" t="s">
        <v>20134</v>
      </c>
      <c r="F3267" t="s">
        <v>29372</v>
      </c>
      <c r="G3267" t="s">
        <v>29380</v>
      </c>
      <c r="H3267" t="s">
        <v>29389</v>
      </c>
      <c r="I3267" t="s">
        <v>10408</v>
      </c>
      <c r="J3267" t="s">
        <v>31766</v>
      </c>
      <c r="K3267" t="s">
        <v>38485</v>
      </c>
      <c r="M3267" t="s">
        <v>40043</v>
      </c>
      <c r="N3267" t="s">
        <v>42669</v>
      </c>
      <c r="O3267" t="s">
        <v>42670</v>
      </c>
      <c r="P3267">
        <v>0</v>
      </c>
      <c r="Q3267">
        <v>1</v>
      </c>
      <c r="R3267" t="s">
        <v>42674</v>
      </c>
      <c r="S3267" t="s">
        <v>42788</v>
      </c>
      <c r="T3267" t="s">
        <v>44542</v>
      </c>
      <c r="U3267" t="s">
        <v>47515</v>
      </c>
      <c r="W3267" t="s">
        <v>40043</v>
      </c>
      <c r="X3267" t="s">
        <v>42676</v>
      </c>
    </row>
    <row r="3268" spans="1:24">
      <c r="A3268">
        <f>HYPERLINK("https://www.philgeps.gov.ph/GEPSNONPILOT/Tender/SplashBidNoticeAbstractUI.aspx?menuIndex=3&amp;refID=7192595&amp;Result=3","7192595")</f>
        <v>0</v>
      </c>
      <c r="B3268" t="s">
        <v>882</v>
      </c>
      <c r="C3268" t="s">
        <v>6638</v>
      </c>
      <c r="D3268" t="s">
        <v>17193</v>
      </c>
      <c r="E3268" t="s">
        <v>20135</v>
      </c>
      <c r="F3268" t="s">
        <v>29372</v>
      </c>
      <c r="G3268" t="s">
        <v>29379</v>
      </c>
      <c r="H3268" t="s">
        <v>11048</v>
      </c>
      <c r="I3268" t="s">
        <v>14920</v>
      </c>
      <c r="J3268" t="s">
        <v>31767</v>
      </c>
      <c r="K3268" t="s">
        <v>38586</v>
      </c>
      <c r="M3268" t="s">
        <v>39674</v>
      </c>
      <c r="N3268" t="s">
        <v>42669</v>
      </c>
      <c r="O3268" t="s">
        <v>42670</v>
      </c>
      <c r="P3268">
        <v>0</v>
      </c>
      <c r="Q3268">
        <v>1</v>
      </c>
      <c r="R3268" t="s">
        <v>42674</v>
      </c>
      <c r="S3268" t="s">
        <v>42788</v>
      </c>
      <c r="T3268" t="s">
        <v>44526</v>
      </c>
      <c r="U3268" t="s">
        <v>46647</v>
      </c>
      <c r="W3268" t="s">
        <v>39674</v>
      </c>
      <c r="X3268" t="s">
        <v>42676</v>
      </c>
    </row>
    <row r="3269" spans="1:24">
      <c r="A3269">
        <f>HYPERLINK("https://www.philgeps.gov.ph/GEPSNONPILOT/Tender/SplashBidNoticeAbstractUI.aspx?menuIndex=3&amp;refID=7192592&amp;Result=3","7192592")</f>
        <v>0</v>
      </c>
      <c r="B3269" t="s">
        <v>1034</v>
      </c>
      <c r="C3269" t="s">
        <v>6639</v>
      </c>
      <c r="D3269" t="s">
        <v>17199</v>
      </c>
      <c r="E3269" t="s">
        <v>20136</v>
      </c>
      <c r="F3269" t="s">
        <v>29372</v>
      </c>
      <c r="G3269" t="s">
        <v>29380</v>
      </c>
      <c r="H3269" t="s">
        <v>29389</v>
      </c>
      <c r="I3269" t="s">
        <v>10408</v>
      </c>
      <c r="J3269" t="s">
        <v>29788</v>
      </c>
      <c r="K3269" t="s">
        <v>38495</v>
      </c>
      <c r="M3269" t="s">
        <v>40046</v>
      </c>
      <c r="N3269" t="s">
        <v>42669</v>
      </c>
      <c r="O3269" t="s">
        <v>42670</v>
      </c>
      <c r="P3269">
        <v>0</v>
      </c>
      <c r="Q3269">
        <v>1</v>
      </c>
      <c r="R3269" t="s">
        <v>42674</v>
      </c>
      <c r="S3269" t="s">
        <v>42788</v>
      </c>
      <c r="T3269" t="s">
        <v>44358</v>
      </c>
      <c r="U3269" t="s">
        <v>47516</v>
      </c>
      <c r="W3269" t="s">
        <v>40046</v>
      </c>
      <c r="X3269" t="s">
        <v>42676</v>
      </c>
    </row>
    <row r="3270" spans="1:24">
      <c r="A3270">
        <f>HYPERLINK("https://www.philgeps.gov.ph/GEPSNONPILOT/Tender/SplashBidNoticeAbstractUI.aspx?menuIndex=3&amp;refID=7192591&amp;Result=3","7192591")</f>
        <v>0</v>
      </c>
      <c r="B3270" t="s">
        <v>1226</v>
      </c>
      <c r="C3270" t="s">
        <v>6640</v>
      </c>
      <c r="D3270" t="s">
        <v>17211</v>
      </c>
      <c r="E3270" t="s">
        <v>20137</v>
      </c>
      <c r="F3270" t="s">
        <v>29372</v>
      </c>
      <c r="G3270" t="s">
        <v>29379</v>
      </c>
      <c r="H3270" t="s">
        <v>11048</v>
      </c>
      <c r="I3270" t="s">
        <v>3839</v>
      </c>
      <c r="J3270" t="s">
        <v>31768</v>
      </c>
      <c r="K3270" t="s">
        <v>38485</v>
      </c>
      <c r="M3270" t="s">
        <v>40047</v>
      </c>
      <c r="N3270" t="s">
        <v>42669</v>
      </c>
      <c r="O3270" t="s">
        <v>42670</v>
      </c>
      <c r="P3270">
        <v>0</v>
      </c>
      <c r="Q3270">
        <v>1</v>
      </c>
      <c r="R3270" t="s">
        <v>42674</v>
      </c>
      <c r="S3270" t="s">
        <v>42788</v>
      </c>
      <c r="T3270" t="s">
        <v>44493</v>
      </c>
      <c r="U3270" t="s">
        <v>47517</v>
      </c>
      <c r="W3270" t="s">
        <v>40047</v>
      </c>
      <c r="X3270" t="s">
        <v>42676</v>
      </c>
    </row>
    <row r="3271" spans="1:24">
      <c r="A3271">
        <f>HYPERLINK("https://www.philgeps.gov.ph/GEPSNONPILOT/Tender/SplashBidNoticeAbstractUI.aspx?menuIndex=3&amp;refID=7192575&amp;Result=3","7192575")</f>
        <v>0</v>
      </c>
      <c r="B3271" t="s">
        <v>1216</v>
      </c>
      <c r="C3271" t="s">
        <v>4688</v>
      </c>
      <c r="D3271" t="s">
        <v>17188</v>
      </c>
      <c r="E3271" t="s">
        <v>20138</v>
      </c>
      <c r="F3271" t="s">
        <v>29372</v>
      </c>
      <c r="G3271" t="s">
        <v>29379</v>
      </c>
      <c r="H3271" t="s">
        <v>11048</v>
      </c>
      <c r="I3271" t="s">
        <v>29403</v>
      </c>
      <c r="J3271" t="s">
        <v>29685</v>
      </c>
      <c r="K3271" t="s">
        <v>38535</v>
      </c>
      <c r="M3271" t="s">
        <v>40036</v>
      </c>
      <c r="N3271" t="s">
        <v>42669</v>
      </c>
      <c r="O3271" t="s">
        <v>42670</v>
      </c>
      <c r="P3271">
        <v>0</v>
      </c>
      <c r="Q3271">
        <v>0</v>
      </c>
      <c r="R3271" t="s">
        <v>42674</v>
      </c>
      <c r="S3271" t="s">
        <v>42788</v>
      </c>
      <c r="T3271" t="s">
        <v>44454</v>
      </c>
      <c r="U3271" t="s">
        <v>45140</v>
      </c>
      <c r="W3271" t="s">
        <v>40036</v>
      </c>
      <c r="X3271" t="s">
        <v>42676</v>
      </c>
    </row>
    <row r="3272" spans="1:24">
      <c r="A3272">
        <f>HYPERLINK("https://www.philgeps.gov.ph/GEPSNONPILOT/Tender/SplashBidNoticeAbstractUI.aspx?menuIndex=3&amp;refID=7192588&amp;Result=3","7192588")</f>
        <v>0</v>
      </c>
      <c r="B3272" t="s">
        <v>1227</v>
      </c>
      <c r="C3272" t="s">
        <v>6641</v>
      </c>
      <c r="D3272" t="s">
        <v>17199</v>
      </c>
      <c r="E3272" t="s">
        <v>20139</v>
      </c>
      <c r="F3272" t="s">
        <v>29372</v>
      </c>
      <c r="G3272" t="s">
        <v>29379</v>
      </c>
      <c r="H3272" t="s">
        <v>11048</v>
      </c>
      <c r="I3272" t="s">
        <v>29393</v>
      </c>
      <c r="J3272" t="s">
        <v>31769</v>
      </c>
      <c r="K3272" t="s">
        <v>38490</v>
      </c>
      <c r="M3272" t="s">
        <v>40048</v>
      </c>
      <c r="N3272" t="s">
        <v>42669</v>
      </c>
      <c r="O3272" t="s">
        <v>42670</v>
      </c>
      <c r="P3272">
        <v>0</v>
      </c>
      <c r="Q3272">
        <v>0</v>
      </c>
      <c r="R3272" t="s">
        <v>42674</v>
      </c>
      <c r="S3272" t="s">
        <v>42788</v>
      </c>
      <c r="T3272" t="s">
        <v>44349</v>
      </c>
      <c r="U3272" t="s">
        <v>47518</v>
      </c>
      <c r="V3272" t="s">
        <v>56664</v>
      </c>
      <c r="W3272" t="s">
        <v>40048</v>
      </c>
      <c r="X3272" t="s">
        <v>42676</v>
      </c>
    </row>
    <row r="3273" spans="1:24">
      <c r="A3273">
        <f>HYPERLINK("https://www.philgeps.gov.ph/GEPSNONPILOT/Tender/SplashBidNoticeAbstractUI.aspx?menuIndex=3&amp;refID=7192601&amp;Result=3","7192601")</f>
        <v>0</v>
      </c>
      <c r="B3273" t="s">
        <v>1219</v>
      </c>
      <c r="C3273" t="s">
        <v>6642</v>
      </c>
      <c r="D3273" t="s">
        <v>17172</v>
      </c>
      <c r="E3273" t="s">
        <v>20140</v>
      </c>
      <c r="F3273" t="s">
        <v>29372</v>
      </c>
      <c r="G3273" t="s">
        <v>29380</v>
      </c>
      <c r="H3273" t="s">
        <v>11048</v>
      </c>
      <c r="I3273" t="s">
        <v>4486</v>
      </c>
      <c r="J3273" t="s">
        <v>29555</v>
      </c>
      <c r="K3273" t="s">
        <v>38490</v>
      </c>
      <c r="M3273" t="s">
        <v>40039</v>
      </c>
      <c r="N3273" t="s">
        <v>42669</v>
      </c>
      <c r="O3273" t="s">
        <v>42670</v>
      </c>
      <c r="P3273">
        <v>0</v>
      </c>
      <c r="Q3273">
        <v>2</v>
      </c>
      <c r="R3273" t="s">
        <v>42674</v>
      </c>
      <c r="S3273" t="s">
        <v>42788</v>
      </c>
      <c r="T3273" t="s">
        <v>44391</v>
      </c>
      <c r="U3273" t="s">
        <v>47500</v>
      </c>
      <c r="V3273" t="s">
        <v>56662</v>
      </c>
      <c r="W3273" t="s">
        <v>40039</v>
      </c>
      <c r="X3273" t="s">
        <v>42676</v>
      </c>
    </row>
    <row r="3274" spans="1:24">
      <c r="A3274">
        <f>HYPERLINK("https://www.philgeps.gov.ph/GEPSNONPILOT/Tender/SplashBidNoticeAbstractUI.aspx?menuIndex=3&amp;refID=7192587&amp;Result=3","7192587")</f>
        <v>0</v>
      </c>
      <c r="B3274" t="s">
        <v>882</v>
      </c>
      <c r="C3274" t="s">
        <v>6643</v>
      </c>
      <c r="D3274" t="s">
        <v>17193</v>
      </c>
      <c r="E3274" t="s">
        <v>20141</v>
      </c>
      <c r="F3274" t="s">
        <v>29372</v>
      </c>
      <c r="G3274" t="s">
        <v>29379</v>
      </c>
      <c r="H3274" t="s">
        <v>11048</v>
      </c>
      <c r="I3274" t="s">
        <v>14920</v>
      </c>
      <c r="J3274" t="s">
        <v>29711</v>
      </c>
      <c r="K3274" t="s">
        <v>38586</v>
      </c>
      <c r="M3274" t="s">
        <v>39674</v>
      </c>
      <c r="N3274" t="s">
        <v>42669</v>
      </c>
      <c r="O3274" t="s">
        <v>42670</v>
      </c>
      <c r="P3274">
        <v>0</v>
      </c>
      <c r="Q3274">
        <v>1</v>
      </c>
      <c r="R3274" t="s">
        <v>42674</v>
      </c>
      <c r="S3274" t="s">
        <v>42788</v>
      </c>
      <c r="T3274" t="s">
        <v>44526</v>
      </c>
      <c r="U3274" t="s">
        <v>46647</v>
      </c>
      <c r="W3274" t="s">
        <v>39674</v>
      </c>
      <c r="X3274" t="s">
        <v>42676</v>
      </c>
    </row>
    <row r="3275" spans="1:24">
      <c r="A3275">
        <f>HYPERLINK("https://www.philgeps.gov.ph/GEPSNONPILOT/Tender/SplashBidNoticeAbstractUI.aspx?menuIndex=3&amp;refID=7192586&amp;Result=3","7192586")</f>
        <v>0</v>
      </c>
      <c r="B3275" t="s">
        <v>1189</v>
      </c>
      <c r="C3275" t="s">
        <v>6644</v>
      </c>
      <c r="D3275" t="s">
        <v>17221</v>
      </c>
      <c r="E3275" t="s">
        <v>20142</v>
      </c>
      <c r="F3275" t="s">
        <v>29372</v>
      </c>
      <c r="G3275" t="s">
        <v>29380</v>
      </c>
      <c r="H3275" t="s">
        <v>29389</v>
      </c>
      <c r="I3275" t="s">
        <v>10408</v>
      </c>
      <c r="J3275" t="s">
        <v>31770</v>
      </c>
      <c r="K3275" t="s">
        <v>38611</v>
      </c>
      <c r="M3275" t="s">
        <v>40005</v>
      </c>
      <c r="N3275" t="s">
        <v>42669</v>
      </c>
      <c r="O3275" t="s">
        <v>42670</v>
      </c>
      <c r="P3275">
        <v>0</v>
      </c>
      <c r="Q3275">
        <v>1</v>
      </c>
      <c r="R3275" t="s">
        <v>42674</v>
      </c>
      <c r="S3275" t="s">
        <v>42788</v>
      </c>
      <c r="T3275" t="s">
        <v>44542</v>
      </c>
      <c r="U3275" t="s">
        <v>47519</v>
      </c>
      <c r="V3275" t="s">
        <v>56665</v>
      </c>
      <c r="W3275" t="s">
        <v>40005</v>
      </c>
      <c r="X3275" t="s">
        <v>42676</v>
      </c>
    </row>
    <row r="3276" spans="1:24">
      <c r="A3276">
        <f>HYPERLINK("https://www.philgeps.gov.ph/GEPSNONPILOT/Tender/SplashBidNoticeAbstractUI.aspx?menuIndex=3&amp;refID=7192585&amp;Result=3","7192585")</f>
        <v>0</v>
      </c>
      <c r="B3276" t="s">
        <v>1228</v>
      </c>
      <c r="C3276" t="s">
        <v>6645</v>
      </c>
      <c r="D3276" t="s">
        <v>17193</v>
      </c>
      <c r="E3276" t="s">
        <v>20143</v>
      </c>
      <c r="F3276" t="s">
        <v>29372</v>
      </c>
      <c r="G3276" t="s">
        <v>29379</v>
      </c>
      <c r="H3276" t="s">
        <v>11048</v>
      </c>
      <c r="I3276" t="s">
        <v>3670</v>
      </c>
      <c r="J3276" t="s">
        <v>30036</v>
      </c>
      <c r="K3276" t="s">
        <v>38489</v>
      </c>
      <c r="M3276" t="s">
        <v>40049</v>
      </c>
      <c r="N3276" t="s">
        <v>42669</v>
      </c>
      <c r="O3276" t="s">
        <v>42670</v>
      </c>
      <c r="P3276">
        <v>0</v>
      </c>
      <c r="Q3276">
        <v>2</v>
      </c>
      <c r="R3276" t="s">
        <v>42674</v>
      </c>
      <c r="S3276" t="s">
        <v>42788</v>
      </c>
      <c r="T3276" t="s">
        <v>44429</v>
      </c>
      <c r="U3276" t="s">
        <v>47520</v>
      </c>
      <c r="W3276" t="s">
        <v>40049</v>
      </c>
      <c r="X3276" t="s">
        <v>42676</v>
      </c>
    </row>
    <row r="3277" spans="1:24">
      <c r="A3277">
        <f>HYPERLINK("https://www.philgeps.gov.ph/GEPSNONPILOT/Tender/SplashBidNoticeAbstractUI.aspx?menuIndex=3&amp;refID=7192581&amp;Result=3","7192581")</f>
        <v>0</v>
      </c>
      <c r="B3277" t="s">
        <v>1229</v>
      </c>
      <c r="C3277" t="s">
        <v>6646</v>
      </c>
      <c r="D3277" t="s">
        <v>17199</v>
      </c>
      <c r="E3277" t="s">
        <v>20144</v>
      </c>
      <c r="F3277" t="s">
        <v>29372</v>
      </c>
      <c r="G3277" t="s">
        <v>29379</v>
      </c>
      <c r="H3277" t="s">
        <v>11048</v>
      </c>
      <c r="I3277" t="s">
        <v>29419</v>
      </c>
      <c r="J3277" t="s">
        <v>31771</v>
      </c>
      <c r="K3277" t="s">
        <v>38496</v>
      </c>
      <c r="M3277" t="s">
        <v>40050</v>
      </c>
      <c r="N3277" t="s">
        <v>42669</v>
      </c>
      <c r="O3277" t="s">
        <v>42670</v>
      </c>
      <c r="P3277">
        <v>0</v>
      </c>
      <c r="Q3277">
        <v>1</v>
      </c>
      <c r="R3277" t="s">
        <v>42674</v>
      </c>
      <c r="S3277" t="s">
        <v>42788</v>
      </c>
      <c r="T3277" t="s">
        <v>44382</v>
      </c>
      <c r="U3277" t="s">
        <v>47521</v>
      </c>
      <c r="W3277" t="s">
        <v>40050</v>
      </c>
      <c r="X3277" t="s">
        <v>42676</v>
      </c>
    </row>
    <row r="3278" spans="1:24">
      <c r="A3278">
        <f>HYPERLINK("https://www.philgeps.gov.ph/GEPSNONPILOT/Tender/SplashBidNoticeAbstractUI.aspx?menuIndex=3&amp;refID=7192593&amp;Result=3","7192593")</f>
        <v>0</v>
      </c>
      <c r="B3278" t="s">
        <v>1210</v>
      </c>
      <c r="C3278" t="s">
        <v>6647</v>
      </c>
      <c r="D3278" t="s">
        <v>17141</v>
      </c>
      <c r="E3278" t="s">
        <v>18964</v>
      </c>
      <c r="F3278" t="s">
        <v>29372</v>
      </c>
      <c r="G3278" t="s">
        <v>29379</v>
      </c>
      <c r="H3278" t="s">
        <v>29390</v>
      </c>
      <c r="I3278" t="s">
        <v>29453</v>
      </c>
      <c r="J3278" t="s">
        <v>29526</v>
      </c>
      <c r="K3278" t="s">
        <v>38518</v>
      </c>
      <c r="M3278" t="s">
        <v>40028</v>
      </c>
      <c r="N3278" t="s">
        <v>42669</v>
      </c>
      <c r="O3278" t="s">
        <v>42670</v>
      </c>
      <c r="P3278">
        <v>0</v>
      </c>
      <c r="Q3278">
        <v>1</v>
      </c>
      <c r="R3278" t="s">
        <v>42674</v>
      </c>
      <c r="S3278" t="s">
        <v>42788</v>
      </c>
      <c r="T3278" t="s">
        <v>44382</v>
      </c>
      <c r="U3278" t="s">
        <v>47522</v>
      </c>
      <c r="W3278" t="s">
        <v>40028</v>
      </c>
      <c r="X3278" t="s">
        <v>42676</v>
      </c>
    </row>
    <row r="3279" spans="1:24">
      <c r="A3279">
        <f>HYPERLINK("https://www.philgeps.gov.ph/GEPSNONPILOT/Tender/SplashBidNoticeAbstractUI.aspx?menuIndex=3&amp;refID=7192553&amp;Result=3","7192553")</f>
        <v>0</v>
      </c>
      <c r="B3279" t="s">
        <v>1230</v>
      </c>
      <c r="C3279" t="s">
        <v>6648</v>
      </c>
      <c r="D3279" t="s">
        <v>17180</v>
      </c>
      <c r="E3279" t="s">
        <v>20145</v>
      </c>
      <c r="F3279" t="s">
        <v>29372</v>
      </c>
      <c r="G3279" t="s">
        <v>29380</v>
      </c>
      <c r="H3279" t="s">
        <v>11048</v>
      </c>
      <c r="I3279" t="s">
        <v>5383</v>
      </c>
      <c r="J3279" t="s">
        <v>31772</v>
      </c>
      <c r="K3279" t="s">
        <v>38488</v>
      </c>
      <c r="M3279" t="s">
        <v>40051</v>
      </c>
      <c r="N3279" t="s">
        <v>42669</v>
      </c>
      <c r="O3279" t="s">
        <v>42670</v>
      </c>
      <c r="P3279">
        <v>0</v>
      </c>
      <c r="Q3279">
        <v>1</v>
      </c>
      <c r="R3279" t="s">
        <v>42674</v>
      </c>
      <c r="S3279" t="s">
        <v>42788</v>
      </c>
      <c r="T3279" t="s">
        <v>44430</v>
      </c>
      <c r="U3279" t="s">
        <v>47523</v>
      </c>
      <c r="V3279" t="s">
        <v>56666</v>
      </c>
      <c r="W3279" t="s">
        <v>40051</v>
      </c>
      <c r="X3279" t="s">
        <v>42676</v>
      </c>
    </row>
    <row r="3280" spans="1:24">
      <c r="A3280">
        <f>HYPERLINK("https://www.philgeps.gov.ph/GEPSNONPILOT/Tender/SplashBidNoticeAbstractUI.aspx?menuIndex=3&amp;refID=7192551&amp;Result=3","7192551")</f>
        <v>0</v>
      </c>
      <c r="B3280" t="s">
        <v>1231</v>
      </c>
      <c r="C3280" t="s">
        <v>6649</v>
      </c>
      <c r="D3280" t="s">
        <v>17191</v>
      </c>
      <c r="E3280" t="s">
        <v>20146</v>
      </c>
      <c r="F3280" t="s">
        <v>29372</v>
      </c>
      <c r="G3280" t="s">
        <v>29380</v>
      </c>
      <c r="H3280" t="s">
        <v>11048</v>
      </c>
      <c r="I3280" t="s">
        <v>29406</v>
      </c>
      <c r="J3280" t="s">
        <v>31773</v>
      </c>
      <c r="K3280" t="s">
        <v>38538</v>
      </c>
      <c r="M3280" t="s">
        <v>40052</v>
      </c>
      <c r="N3280" t="s">
        <v>42669</v>
      </c>
      <c r="O3280" t="s">
        <v>42670</v>
      </c>
      <c r="P3280">
        <v>0</v>
      </c>
      <c r="Q3280">
        <v>2</v>
      </c>
      <c r="R3280" t="s">
        <v>42674</v>
      </c>
      <c r="S3280" t="s">
        <v>42788</v>
      </c>
      <c r="T3280" t="s">
        <v>44412</v>
      </c>
      <c r="U3280" t="s">
        <v>47524</v>
      </c>
      <c r="W3280" t="s">
        <v>40052</v>
      </c>
      <c r="X3280" t="s">
        <v>42676</v>
      </c>
    </row>
    <row r="3281" spans="1:24">
      <c r="A3281">
        <f>HYPERLINK("https://www.philgeps.gov.ph/GEPSNONPILOT/Tender/SplashBidNoticeAbstractUI.aspx?menuIndex=3&amp;refID=7192590&amp;Result=3","7192590")</f>
        <v>0</v>
      </c>
      <c r="B3281" t="s">
        <v>882</v>
      </c>
      <c r="C3281" t="s">
        <v>6650</v>
      </c>
      <c r="D3281" t="s">
        <v>17190</v>
      </c>
      <c r="E3281" t="s">
        <v>20147</v>
      </c>
      <c r="F3281" t="s">
        <v>29372</v>
      </c>
      <c r="G3281" t="s">
        <v>29379</v>
      </c>
      <c r="H3281" t="s">
        <v>11048</v>
      </c>
      <c r="I3281" t="s">
        <v>14920</v>
      </c>
      <c r="J3281" t="s">
        <v>31774</v>
      </c>
      <c r="K3281" t="s">
        <v>38586</v>
      </c>
      <c r="M3281" t="s">
        <v>39674</v>
      </c>
      <c r="N3281" t="s">
        <v>42669</v>
      </c>
      <c r="O3281" t="s">
        <v>42670</v>
      </c>
      <c r="P3281">
        <v>0</v>
      </c>
      <c r="Q3281">
        <v>2</v>
      </c>
      <c r="R3281" t="s">
        <v>42674</v>
      </c>
      <c r="S3281" t="s">
        <v>42788</v>
      </c>
      <c r="T3281" t="s">
        <v>44526</v>
      </c>
      <c r="U3281" t="s">
        <v>46647</v>
      </c>
      <c r="W3281" t="s">
        <v>39674</v>
      </c>
      <c r="X3281" t="s">
        <v>42676</v>
      </c>
    </row>
    <row r="3282" spans="1:24">
      <c r="A3282">
        <f>HYPERLINK("https://www.philgeps.gov.ph/GEPSNONPILOT/Tender/SplashBidNoticeAbstractUI.aspx?menuIndex=3&amp;refID=7192550&amp;Result=3","7192550")</f>
        <v>0</v>
      </c>
      <c r="B3282" t="s">
        <v>1014</v>
      </c>
      <c r="C3282" t="s">
        <v>6651</v>
      </c>
      <c r="E3282" t="s">
        <v>6651</v>
      </c>
      <c r="F3282" t="s">
        <v>29372</v>
      </c>
      <c r="G3282" t="s">
        <v>29379</v>
      </c>
      <c r="H3282" t="s">
        <v>11048</v>
      </c>
      <c r="I3282" t="s">
        <v>3695</v>
      </c>
      <c r="J3282" t="s">
        <v>31775</v>
      </c>
      <c r="K3282" t="s">
        <v>38538</v>
      </c>
      <c r="M3282" t="s">
        <v>39814</v>
      </c>
      <c r="N3282" t="s">
        <v>42669</v>
      </c>
      <c r="O3282" t="s">
        <v>42670</v>
      </c>
      <c r="P3282">
        <v>0</v>
      </c>
      <c r="Q3282">
        <v>0</v>
      </c>
      <c r="R3282" t="s">
        <v>42674</v>
      </c>
      <c r="S3282" t="s">
        <v>42788</v>
      </c>
      <c r="T3282" t="s">
        <v>44432</v>
      </c>
      <c r="U3282" t="s">
        <v>47525</v>
      </c>
      <c r="W3282" t="s">
        <v>39814</v>
      </c>
      <c r="X3282" t="s">
        <v>42676</v>
      </c>
    </row>
    <row r="3283" spans="1:24">
      <c r="A3283">
        <f>HYPERLINK("https://www.philgeps.gov.ph/GEPSNONPILOT/Tender/SplashBidNoticeAbstractUI.aspx?menuIndex=3&amp;refID=7192521&amp;Result=3","7192521")</f>
        <v>0</v>
      </c>
      <c r="B3283" t="s">
        <v>916</v>
      </c>
      <c r="C3283" t="s">
        <v>6652</v>
      </c>
      <c r="D3283" t="s">
        <v>17193</v>
      </c>
      <c r="E3283" t="s">
        <v>20148</v>
      </c>
      <c r="F3283" t="s">
        <v>29372</v>
      </c>
      <c r="G3283" t="s">
        <v>29383</v>
      </c>
      <c r="H3283" t="s">
        <v>11048</v>
      </c>
      <c r="I3283" t="s">
        <v>29432</v>
      </c>
      <c r="J3283" t="s">
        <v>31776</v>
      </c>
      <c r="K3283" t="s">
        <v>38510</v>
      </c>
      <c r="M3283" t="s">
        <v>39711</v>
      </c>
      <c r="N3283" t="s">
        <v>42669</v>
      </c>
      <c r="O3283" t="s">
        <v>42670</v>
      </c>
      <c r="P3283">
        <v>0</v>
      </c>
      <c r="Q3283">
        <v>0</v>
      </c>
      <c r="R3283" t="s">
        <v>42674</v>
      </c>
      <c r="S3283" t="s">
        <v>42788</v>
      </c>
      <c r="T3283" t="s">
        <v>44470</v>
      </c>
      <c r="U3283" t="s">
        <v>47526</v>
      </c>
      <c r="W3283" t="s">
        <v>39711</v>
      </c>
      <c r="X3283" t="s">
        <v>42676</v>
      </c>
    </row>
    <row r="3284" spans="1:24">
      <c r="A3284">
        <f>HYPERLINK("https://www.philgeps.gov.ph/GEPSNONPILOT/Tender/SplashBidNoticeAbstractUI.aspx?menuIndex=3&amp;refID=7192519&amp;Result=3","7192519")</f>
        <v>0</v>
      </c>
      <c r="B3284" t="s">
        <v>1232</v>
      </c>
      <c r="C3284" t="s">
        <v>6653</v>
      </c>
      <c r="D3284" t="s">
        <v>17141</v>
      </c>
      <c r="E3284" t="s">
        <v>20149</v>
      </c>
      <c r="F3284" t="s">
        <v>29372</v>
      </c>
      <c r="G3284" t="s">
        <v>29379</v>
      </c>
      <c r="H3284" t="s">
        <v>11048</v>
      </c>
      <c r="I3284" t="s">
        <v>29407</v>
      </c>
      <c r="J3284" t="s">
        <v>30679</v>
      </c>
      <c r="K3284" t="s">
        <v>38490</v>
      </c>
      <c r="M3284" t="s">
        <v>40053</v>
      </c>
      <c r="N3284" t="s">
        <v>42669</v>
      </c>
      <c r="O3284" t="s">
        <v>42670</v>
      </c>
      <c r="P3284">
        <v>0</v>
      </c>
      <c r="Q3284">
        <v>27</v>
      </c>
      <c r="R3284" t="s">
        <v>42674</v>
      </c>
      <c r="S3284" t="s">
        <v>42788</v>
      </c>
      <c r="T3284" t="s">
        <v>44430</v>
      </c>
      <c r="U3284" t="s">
        <v>47527</v>
      </c>
      <c r="W3284" t="s">
        <v>40053</v>
      </c>
      <c r="X3284" t="s">
        <v>42676</v>
      </c>
    </row>
    <row r="3285" spans="1:24">
      <c r="A3285">
        <f>HYPERLINK("https://www.philgeps.gov.ph/GEPSNONPILOT/Tender/SplashBidNoticeAbstractUI.aspx?menuIndex=3&amp;refID=7192514&amp;Result=3","7192514")</f>
        <v>0</v>
      </c>
      <c r="B3285" t="s">
        <v>1215</v>
      </c>
      <c r="C3285" t="s">
        <v>6654</v>
      </c>
      <c r="D3285" t="s">
        <v>17213</v>
      </c>
      <c r="E3285" t="s">
        <v>20150</v>
      </c>
      <c r="F3285" t="s">
        <v>29372</v>
      </c>
      <c r="G3285" t="s">
        <v>29380</v>
      </c>
      <c r="H3285" t="s">
        <v>11048</v>
      </c>
      <c r="I3285" t="s">
        <v>4709</v>
      </c>
      <c r="J3285" t="s">
        <v>31777</v>
      </c>
      <c r="K3285" t="s">
        <v>38490</v>
      </c>
      <c r="L3285" t="s">
        <v>1215</v>
      </c>
      <c r="M3285" t="s">
        <v>40035</v>
      </c>
      <c r="N3285" t="s">
        <v>42669</v>
      </c>
      <c r="O3285" t="s">
        <v>42670</v>
      </c>
      <c r="P3285">
        <v>0</v>
      </c>
      <c r="Q3285">
        <v>0</v>
      </c>
      <c r="R3285" t="s">
        <v>42674</v>
      </c>
      <c r="S3285" t="s">
        <v>42788</v>
      </c>
      <c r="T3285" t="s">
        <v>44364</v>
      </c>
      <c r="U3285" t="s">
        <v>47528</v>
      </c>
      <c r="W3285" t="s">
        <v>40035</v>
      </c>
      <c r="X3285" t="s">
        <v>42676</v>
      </c>
    </row>
    <row r="3286" spans="1:24">
      <c r="A3286">
        <f>HYPERLINK("https://www.philgeps.gov.ph/GEPSNONPILOT/Tender/SplashBidNoticeAbstractUI.aspx?menuIndex=3&amp;refID=7192511&amp;Result=3","7192511")</f>
        <v>0</v>
      </c>
      <c r="B3286" t="s">
        <v>916</v>
      </c>
      <c r="C3286" t="s">
        <v>6655</v>
      </c>
      <c r="D3286" t="s">
        <v>17193</v>
      </c>
      <c r="E3286" t="s">
        <v>20151</v>
      </c>
      <c r="F3286" t="s">
        <v>29372</v>
      </c>
      <c r="G3286" t="s">
        <v>29382</v>
      </c>
      <c r="H3286" t="s">
        <v>11048</v>
      </c>
      <c r="I3286" t="s">
        <v>5383</v>
      </c>
      <c r="J3286" t="s">
        <v>31778</v>
      </c>
      <c r="K3286" t="s">
        <v>38510</v>
      </c>
      <c r="M3286" t="s">
        <v>39711</v>
      </c>
      <c r="N3286" t="s">
        <v>42669</v>
      </c>
      <c r="O3286" t="s">
        <v>42670</v>
      </c>
      <c r="P3286">
        <v>0</v>
      </c>
      <c r="Q3286">
        <v>0</v>
      </c>
      <c r="R3286" t="s">
        <v>42674</v>
      </c>
      <c r="S3286" t="s">
        <v>42788</v>
      </c>
      <c r="T3286" t="s">
        <v>44470</v>
      </c>
      <c r="U3286" t="s">
        <v>47529</v>
      </c>
      <c r="W3286" t="s">
        <v>39711</v>
      </c>
      <c r="X3286" t="s">
        <v>42676</v>
      </c>
    </row>
    <row r="3287" spans="1:24">
      <c r="A3287">
        <f>HYPERLINK("https://www.philgeps.gov.ph/GEPSNONPILOT/Tender/SplashBidNoticeAbstractUI.aspx?menuIndex=3&amp;refID=7192482&amp;Result=3","7192482")</f>
        <v>0</v>
      </c>
      <c r="B3287" t="s">
        <v>1233</v>
      </c>
      <c r="C3287" t="s">
        <v>6656</v>
      </c>
      <c r="E3287" t="s">
        <v>20152</v>
      </c>
      <c r="F3287" t="s">
        <v>29372</v>
      </c>
      <c r="G3287" t="s">
        <v>29380</v>
      </c>
      <c r="H3287" t="s">
        <v>29389</v>
      </c>
      <c r="I3287" t="s">
        <v>10408</v>
      </c>
      <c r="J3287" t="s">
        <v>31779</v>
      </c>
      <c r="K3287" t="s">
        <v>38490</v>
      </c>
      <c r="M3287" t="s">
        <v>40054</v>
      </c>
      <c r="N3287" t="s">
        <v>42669</v>
      </c>
      <c r="O3287" t="s">
        <v>42670</v>
      </c>
      <c r="P3287">
        <v>0</v>
      </c>
      <c r="Q3287">
        <v>13</v>
      </c>
      <c r="R3287" t="s">
        <v>42674</v>
      </c>
      <c r="S3287" t="s">
        <v>42788</v>
      </c>
      <c r="T3287" t="s">
        <v>44542</v>
      </c>
      <c r="U3287" t="s">
        <v>47530</v>
      </c>
      <c r="W3287" t="s">
        <v>58041</v>
      </c>
      <c r="X3287" t="s">
        <v>42676</v>
      </c>
    </row>
    <row r="3288" spans="1:24">
      <c r="A3288">
        <f>HYPERLINK("https://www.philgeps.gov.ph/GEPSNONPILOT/Tender/SplashBidNoticeAbstractUI.aspx?menuIndex=3&amp;refID=7192478&amp;Result=3","7192478")</f>
        <v>0</v>
      </c>
      <c r="B3288" t="s">
        <v>143</v>
      </c>
      <c r="C3288" t="s">
        <v>6657</v>
      </c>
      <c r="D3288" t="s">
        <v>17182</v>
      </c>
      <c r="E3288" t="s">
        <v>20153</v>
      </c>
      <c r="F3288" t="s">
        <v>29372</v>
      </c>
      <c r="G3288" t="s">
        <v>29379</v>
      </c>
      <c r="H3288" t="s">
        <v>29389</v>
      </c>
      <c r="I3288" t="s">
        <v>10408</v>
      </c>
      <c r="J3288" t="s">
        <v>31780</v>
      </c>
      <c r="K3288" t="s">
        <v>38497</v>
      </c>
      <c r="M3288" t="s">
        <v>38898</v>
      </c>
      <c r="N3288" t="s">
        <v>42669</v>
      </c>
      <c r="O3288" t="s">
        <v>42670</v>
      </c>
      <c r="P3288">
        <v>0</v>
      </c>
      <c r="Q3288">
        <v>0</v>
      </c>
      <c r="R3288" t="s">
        <v>42674</v>
      </c>
      <c r="S3288" t="s">
        <v>42788</v>
      </c>
      <c r="T3288" t="s">
        <v>44385</v>
      </c>
      <c r="U3288" t="s">
        <v>47420</v>
      </c>
      <c r="W3288" t="s">
        <v>38898</v>
      </c>
      <c r="X3288" t="s">
        <v>42676</v>
      </c>
    </row>
    <row r="3289" spans="1:24">
      <c r="A3289">
        <f>HYPERLINK("https://www.philgeps.gov.ph/GEPSNONPILOT/Tender/SplashBidNoticeAbstractUI.aspx?menuIndex=3&amp;refID=7192547&amp;Result=3","7192547")</f>
        <v>0</v>
      </c>
      <c r="B3289" t="s">
        <v>1211</v>
      </c>
      <c r="C3289" t="s">
        <v>6658</v>
      </c>
      <c r="D3289" t="s">
        <v>17160</v>
      </c>
      <c r="E3289" t="s">
        <v>17730</v>
      </c>
      <c r="F3289" t="s">
        <v>29372</v>
      </c>
      <c r="G3289" t="s">
        <v>29379</v>
      </c>
      <c r="H3289" t="s">
        <v>11048</v>
      </c>
      <c r="I3289" t="s">
        <v>29424</v>
      </c>
      <c r="J3289" t="s">
        <v>31781</v>
      </c>
      <c r="K3289" t="s">
        <v>38511</v>
      </c>
      <c r="M3289" t="s">
        <v>40029</v>
      </c>
      <c r="N3289" t="s">
        <v>42669</v>
      </c>
      <c r="O3289" t="s">
        <v>42670</v>
      </c>
      <c r="P3289">
        <v>0</v>
      </c>
      <c r="Q3289">
        <v>0</v>
      </c>
      <c r="R3289" t="s">
        <v>42674</v>
      </c>
      <c r="S3289" t="s">
        <v>42788</v>
      </c>
      <c r="T3289" t="s">
        <v>44432</v>
      </c>
      <c r="U3289" t="s">
        <v>47531</v>
      </c>
      <c r="W3289" t="s">
        <v>40029</v>
      </c>
      <c r="X3289" t="s">
        <v>42676</v>
      </c>
    </row>
    <row r="3290" spans="1:24">
      <c r="A3290">
        <f>HYPERLINK("https://www.philgeps.gov.ph/GEPSNONPILOT/Tender/SplashBidNoticeAbstractUI.aspx?menuIndex=3&amp;refID=7192476&amp;Result=3","7192476")</f>
        <v>0</v>
      </c>
      <c r="B3290" t="s">
        <v>1192</v>
      </c>
      <c r="C3290" t="s">
        <v>6659</v>
      </c>
      <c r="D3290" t="s">
        <v>17213</v>
      </c>
      <c r="E3290" t="s">
        <v>20154</v>
      </c>
      <c r="F3290" t="s">
        <v>29372</v>
      </c>
      <c r="G3290" t="s">
        <v>29379</v>
      </c>
      <c r="H3290" t="s">
        <v>11048</v>
      </c>
      <c r="I3290" t="s">
        <v>4709</v>
      </c>
      <c r="J3290" t="s">
        <v>31782</v>
      </c>
      <c r="K3290" t="s">
        <v>38488</v>
      </c>
      <c r="M3290" t="s">
        <v>40008</v>
      </c>
      <c r="N3290" t="s">
        <v>42669</v>
      </c>
      <c r="O3290" t="s">
        <v>42670</v>
      </c>
      <c r="P3290">
        <v>0</v>
      </c>
      <c r="Q3290">
        <v>2</v>
      </c>
      <c r="R3290" t="s">
        <v>42674</v>
      </c>
      <c r="S3290" t="s">
        <v>42788</v>
      </c>
      <c r="T3290" t="s">
        <v>44401</v>
      </c>
      <c r="U3290" t="s">
        <v>47532</v>
      </c>
      <c r="W3290" t="s">
        <v>40008</v>
      </c>
      <c r="X3290" t="s">
        <v>42676</v>
      </c>
    </row>
    <row r="3291" spans="1:24">
      <c r="A3291">
        <f>HYPERLINK("https://www.philgeps.gov.ph/GEPSNONPILOT/Tender/SplashBidNoticeAbstractUI.aspx?menuIndex=3&amp;refID=7192473&amp;Result=3","7192473")</f>
        <v>0</v>
      </c>
      <c r="B3291" t="s">
        <v>1234</v>
      </c>
      <c r="C3291" t="s">
        <v>6660</v>
      </c>
      <c r="D3291" t="s">
        <v>17180</v>
      </c>
      <c r="E3291" t="s">
        <v>20155</v>
      </c>
      <c r="F3291" t="s">
        <v>29372</v>
      </c>
      <c r="G3291" t="s">
        <v>29381</v>
      </c>
      <c r="H3291" t="s">
        <v>29389</v>
      </c>
      <c r="I3291" t="s">
        <v>10408</v>
      </c>
      <c r="J3291" t="s">
        <v>29526</v>
      </c>
      <c r="K3291" t="s">
        <v>38490</v>
      </c>
      <c r="M3291" t="s">
        <v>40055</v>
      </c>
      <c r="N3291" t="s">
        <v>42669</v>
      </c>
      <c r="O3291" t="s">
        <v>42670</v>
      </c>
      <c r="P3291">
        <v>0</v>
      </c>
      <c r="Q3291">
        <v>1</v>
      </c>
      <c r="R3291" t="s">
        <v>42674</v>
      </c>
      <c r="S3291" t="s">
        <v>42788</v>
      </c>
      <c r="T3291" t="s">
        <v>44468</v>
      </c>
      <c r="U3291" t="s">
        <v>47533</v>
      </c>
      <c r="W3291" t="s">
        <v>40055</v>
      </c>
      <c r="X3291" t="s">
        <v>42676</v>
      </c>
    </row>
    <row r="3292" spans="1:24">
      <c r="A3292">
        <f>HYPERLINK("https://www.philgeps.gov.ph/GEPSNONPILOT/Tender/SplashBidNoticeAbstractUI.aspx?menuIndex=3&amp;refID=7192518&amp;Result=3","7192518")</f>
        <v>0</v>
      </c>
      <c r="B3292" t="s">
        <v>469</v>
      </c>
      <c r="C3292" t="s">
        <v>6661</v>
      </c>
      <c r="D3292" t="s">
        <v>17170</v>
      </c>
      <c r="E3292" t="s">
        <v>20156</v>
      </c>
      <c r="F3292" t="s">
        <v>29372</v>
      </c>
      <c r="G3292" t="s">
        <v>29379</v>
      </c>
      <c r="H3292" t="s">
        <v>11048</v>
      </c>
      <c r="I3292" t="s">
        <v>29460</v>
      </c>
      <c r="J3292" t="s">
        <v>29721</v>
      </c>
      <c r="K3292" t="s">
        <v>38485</v>
      </c>
      <c r="M3292" t="s">
        <v>39233</v>
      </c>
      <c r="N3292" t="s">
        <v>42669</v>
      </c>
      <c r="O3292" t="s">
        <v>42670</v>
      </c>
      <c r="P3292">
        <v>0</v>
      </c>
      <c r="Q3292">
        <v>0</v>
      </c>
      <c r="R3292" t="s">
        <v>42674</v>
      </c>
      <c r="S3292" t="s">
        <v>42788</v>
      </c>
      <c r="T3292" t="s">
        <v>44432</v>
      </c>
      <c r="U3292" t="s">
        <v>47534</v>
      </c>
      <c r="W3292" t="s">
        <v>39233</v>
      </c>
      <c r="X3292" t="s">
        <v>42676</v>
      </c>
    </row>
    <row r="3293" spans="1:24">
      <c r="A3293">
        <f>HYPERLINK("https://www.philgeps.gov.ph/GEPSNONPILOT/Tender/SplashBidNoticeAbstractUI.aspx?menuIndex=3&amp;refID=7192583&amp;Result=3","7192583")</f>
        <v>0</v>
      </c>
      <c r="B3293" t="s">
        <v>1221</v>
      </c>
      <c r="C3293" t="s">
        <v>6662</v>
      </c>
      <c r="D3293" t="s">
        <v>17166</v>
      </c>
      <c r="E3293" t="s">
        <v>20157</v>
      </c>
      <c r="F3293" t="s">
        <v>29372</v>
      </c>
      <c r="G3293" t="s">
        <v>29383</v>
      </c>
      <c r="H3293" t="s">
        <v>11048</v>
      </c>
      <c r="I3293" t="s">
        <v>8614</v>
      </c>
      <c r="J3293" t="s">
        <v>29532</v>
      </c>
      <c r="K3293" t="s">
        <v>38490</v>
      </c>
      <c r="M3293" t="s">
        <v>40041</v>
      </c>
      <c r="N3293" t="s">
        <v>42669</v>
      </c>
      <c r="O3293" t="s">
        <v>42670</v>
      </c>
      <c r="P3293">
        <v>0</v>
      </c>
      <c r="Q3293">
        <v>4</v>
      </c>
      <c r="R3293" t="s">
        <v>42674</v>
      </c>
      <c r="S3293" t="s">
        <v>42788</v>
      </c>
      <c r="T3293" t="s">
        <v>44417</v>
      </c>
      <c r="U3293" t="s">
        <v>47508</v>
      </c>
      <c r="W3293" t="s">
        <v>40041</v>
      </c>
      <c r="X3293" t="s">
        <v>42676</v>
      </c>
    </row>
    <row r="3294" spans="1:24">
      <c r="A3294">
        <f>HYPERLINK("https://www.philgeps.gov.ph/GEPSNONPILOT/Tender/SplashBidNoticeAbstractUI.aspx?menuIndex=3&amp;refID=7192436&amp;Result=3","7192436")</f>
        <v>0</v>
      </c>
      <c r="B3294" t="s">
        <v>143</v>
      </c>
      <c r="C3294" t="s">
        <v>6663</v>
      </c>
      <c r="D3294" t="s">
        <v>17182</v>
      </c>
      <c r="E3294" t="s">
        <v>20158</v>
      </c>
      <c r="F3294" t="s">
        <v>29372</v>
      </c>
      <c r="G3294" t="s">
        <v>29379</v>
      </c>
      <c r="H3294" t="s">
        <v>29389</v>
      </c>
      <c r="I3294" t="s">
        <v>10408</v>
      </c>
      <c r="J3294" t="s">
        <v>31783</v>
      </c>
      <c r="K3294" t="s">
        <v>38518</v>
      </c>
      <c r="M3294" t="s">
        <v>38898</v>
      </c>
      <c r="N3294" t="s">
        <v>42669</v>
      </c>
      <c r="O3294" t="s">
        <v>42670</v>
      </c>
      <c r="P3294">
        <v>0</v>
      </c>
      <c r="Q3294">
        <v>0</v>
      </c>
      <c r="R3294" t="s">
        <v>42674</v>
      </c>
      <c r="S3294" t="s">
        <v>42788</v>
      </c>
      <c r="T3294" t="s">
        <v>44385</v>
      </c>
      <c r="U3294" t="s">
        <v>47420</v>
      </c>
      <c r="W3294" t="s">
        <v>38898</v>
      </c>
      <c r="X3294" t="s">
        <v>42676</v>
      </c>
    </row>
    <row r="3295" spans="1:24">
      <c r="A3295">
        <f>HYPERLINK("https://www.philgeps.gov.ph/GEPSNONPILOT/Tender/SplashBidNoticeAbstractUI.aspx?menuIndex=3&amp;refID=7192434&amp;Result=3","7192434")</f>
        <v>0</v>
      </c>
      <c r="B3295" t="s">
        <v>1209</v>
      </c>
      <c r="C3295" t="s">
        <v>6664</v>
      </c>
      <c r="D3295" t="s">
        <v>17170</v>
      </c>
      <c r="E3295" t="s">
        <v>20159</v>
      </c>
      <c r="F3295" t="s">
        <v>29372</v>
      </c>
      <c r="G3295" t="s">
        <v>29379</v>
      </c>
      <c r="H3295" t="s">
        <v>11048</v>
      </c>
      <c r="I3295" t="s">
        <v>29452</v>
      </c>
      <c r="J3295" t="s">
        <v>29532</v>
      </c>
      <c r="K3295" t="s">
        <v>38510</v>
      </c>
      <c r="M3295" t="s">
        <v>40026</v>
      </c>
      <c r="N3295" t="s">
        <v>42669</v>
      </c>
      <c r="O3295" t="s">
        <v>42670</v>
      </c>
      <c r="P3295">
        <v>0</v>
      </c>
      <c r="Q3295">
        <v>0</v>
      </c>
      <c r="R3295" t="s">
        <v>42674</v>
      </c>
      <c r="S3295" t="s">
        <v>42788</v>
      </c>
      <c r="T3295" t="s">
        <v>44488</v>
      </c>
      <c r="U3295" t="s">
        <v>47488</v>
      </c>
      <c r="W3295" t="s">
        <v>40026</v>
      </c>
      <c r="X3295" t="s">
        <v>42676</v>
      </c>
    </row>
    <row r="3296" spans="1:24">
      <c r="A3296">
        <f>HYPERLINK("https://www.philgeps.gov.ph/GEPSNONPILOT/Tender/SplashBidNoticeAbstractUI.aspx?menuIndex=3&amp;refID=7192604&amp;Result=3","7192604")</f>
        <v>0</v>
      </c>
      <c r="B3296" t="s">
        <v>1223</v>
      </c>
      <c r="C3296" t="s">
        <v>6665</v>
      </c>
      <c r="D3296" t="s">
        <v>17172</v>
      </c>
      <c r="E3296" t="s">
        <v>20160</v>
      </c>
      <c r="F3296" t="s">
        <v>29372</v>
      </c>
      <c r="G3296" t="s">
        <v>29380</v>
      </c>
      <c r="H3296" t="s">
        <v>29389</v>
      </c>
      <c r="I3296" t="s">
        <v>10408</v>
      </c>
      <c r="J3296" t="s">
        <v>31784</v>
      </c>
      <c r="K3296" t="s">
        <v>38485</v>
      </c>
      <c r="M3296" t="s">
        <v>40043</v>
      </c>
      <c r="N3296" t="s">
        <v>42669</v>
      </c>
      <c r="O3296" t="s">
        <v>42670</v>
      </c>
      <c r="P3296">
        <v>0</v>
      </c>
      <c r="Q3296">
        <v>1</v>
      </c>
      <c r="R3296" t="s">
        <v>42674</v>
      </c>
      <c r="S3296" t="s">
        <v>42788</v>
      </c>
      <c r="T3296" t="s">
        <v>44542</v>
      </c>
      <c r="U3296" t="s">
        <v>47535</v>
      </c>
      <c r="W3296" t="s">
        <v>40043</v>
      </c>
      <c r="X3296" t="s">
        <v>42676</v>
      </c>
    </row>
    <row r="3297" spans="1:24">
      <c r="A3297">
        <f>HYPERLINK("https://www.philgeps.gov.ph/GEPSNONPILOT/Tender/SplashBidNoticeAbstractUI.aspx?menuIndex=3&amp;refID=7192413&amp;Result=3","7192413")</f>
        <v>0</v>
      </c>
      <c r="B3297" t="s">
        <v>668</v>
      </c>
      <c r="C3297" t="s">
        <v>6666</v>
      </c>
      <c r="D3297" t="s">
        <v>17172</v>
      </c>
      <c r="E3297" t="s">
        <v>18708</v>
      </c>
      <c r="F3297" t="s">
        <v>29372</v>
      </c>
      <c r="G3297" t="s">
        <v>29379</v>
      </c>
      <c r="H3297" t="s">
        <v>11048</v>
      </c>
      <c r="I3297" t="s">
        <v>29490</v>
      </c>
      <c r="J3297" t="s">
        <v>31785</v>
      </c>
      <c r="K3297" t="s">
        <v>38488</v>
      </c>
      <c r="M3297" t="s">
        <v>39444</v>
      </c>
      <c r="N3297" t="s">
        <v>42669</v>
      </c>
      <c r="O3297" t="s">
        <v>42670</v>
      </c>
      <c r="P3297">
        <v>0</v>
      </c>
      <c r="Q3297">
        <v>1</v>
      </c>
      <c r="R3297" t="s">
        <v>42674</v>
      </c>
      <c r="S3297" t="s">
        <v>42788</v>
      </c>
      <c r="T3297" t="s">
        <v>44401</v>
      </c>
      <c r="U3297" t="s">
        <v>47536</v>
      </c>
      <c r="W3297" t="s">
        <v>39444</v>
      </c>
      <c r="X3297" t="s">
        <v>42676</v>
      </c>
    </row>
    <row r="3298" spans="1:24">
      <c r="A3298">
        <f>HYPERLINK("https://www.philgeps.gov.ph/GEPSNONPILOT/Tender/SplashBidNoticeAbstractUI.aspx?menuIndex=3&amp;refID=7192477&amp;Result=3","7192477")</f>
        <v>0</v>
      </c>
      <c r="B3298" t="s">
        <v>187</v>
      </c>
      <c r="C3298" t="s">
        <v>6667</v>
      </c>
      <c r="D3298" t="s">
        <v>17141</v>
      </c>
      <c r="E3298" t="s">
        <v>20161</v>
      </c>
      <c r="F3298" t="s">
        <v>29372</v>
      </c>
      <c r="G3298" t="s">
        <v>29380</v>
      </c>
      <c r="H3298" t="s">
        <v>11048</v>
      </c>
      <c r="I3298" t="s">
        <v>29436</v>
      </c>
      <c r="J3298" t="s">
        <v>29728</v>
      </c>
      <c r="K3298" t="s">
        <v>38496</v>
      </c>
      <c r="M3298" t="s">
        <v>38944</v>
      </c>
      <c r="N3298" t="s">
        <v>42669</v>
      </c>
      <c r="O3298" t="s">
        <v>42670</v>
      </c>
      <c r="P3298">
        <v>0</v>
      </c>
      <c r="Q3298">
        <v>7</v>
      </c>
      <c r="R3298" t="s">
        <v>42674</v>
      </c>
      <c r="S3298" t="s">
        <v>42788</v>
      </c>
      <c r="T3298" t="s">
        <v>44542</v>
      </c>
      <c r="U3298" t="s">
        <v>47537</v>
      </c>
      <c r="W3298" t="s">
        <v>38944</v>
      </c>
      <c r="X3298" t="s">
        <v>42676</v>
      </c>
    </row>
    <row r="3299" spans="1:24">
      <c r="A3299">
        <f>HYPERLINK("https://www.philgeps.gov.ph/GEPSNONPILOT/Tender/SplashBidNoticeAbstractUI.aspx?menuIndex=3&amp;refID=7192408&amp;Result=3","7192408")</f>
        <v>0</v>
      </c>
      <c r="B3299" t="s">
        <v>1235</v>
      </c>
      <c r="C3299" t="s">
        <v>6668</v>
      </c>
      <c r="D3299" t="s">
        <v>17191</v>
      </c>
      <c r="E3299" t="s">
        <v>20162</v>
      </c>
      <c r="F3299" t="s">
        <v>29372</v>
      </c>
      <c r="G3299" t="s">
        <v>29379</v>
      </c>
      <c r="H3299" t="s">
        <v>11048</v>
      </c>
      <c r="I3299" t="s">
        <v>29447</v>
      </c>
      <c r="J3299" t="s">
        <v>31786</v>
      </c>
      <c r="K3299" t="s">
        <v>38491</v>
      </c>
      <c r="M3299" t="s">
        <v>40056</v>
      </c>
      <c r="N3299" t="s">
        <v>42669</v>
      </c>
      <c r="O3299" t="s">
        <v>42670</v>
      </c>
      <c r="P3299">
        <v>0</v>
      </c>
      <c r="Q3299">
        <v>10</v>
      </c>
      <c r="R3299" t="s">
        <v>42674</v>
      </c>
      <c r="S3299" t="s">
        <v>42788</v>
      </c>
      <c r="T3299" t="s">
        <v>44454</v>
      </c>
      <c r="U3299" t="s">
        <v>47538</v>
      </c>
      <c r="V3299" t="s">
        <v>56667</v>
      </c>
      <c r="W3299" t="s">
        <v>40056</v>
      </c>
      <c r="X3299" t="s">
        <v>42676</v>
      </c>
    </row>
    <row r="3300" spans="1:24">
      <c r="A3300">
        <f>HYPERLINK("https://www.philgeps.gov.ph/GEPSNONPILOT/Tender/SplashBidNoticeAbstractUI.aspx?menuIndex=3&amp;refID=7192405&amp;Result=3","7192405")</f>
        <v>0</v>
      </c>
      <c r="B3300" t="s">
        <v>511</v>
      </c>
      <c r="C3300" t="s">
        <v>6669</v>
      </c>
      <c r="D3300" t="s">
        <v>17163</v>
      </c>
      <c r="E3300" t="s">
        <v>20163</v>
      </c>
      <c r="F3300" t="s">
        <v>29372</v>
      </c>
      <c r="G3300" t="s">
        <v>29383</v>
      </c>
      <c r="H3300" t="s">
        <v>11048</v>
      </c>
      <c r="I3300" t="s">
        <v>3695</v>
      </c>
      <c r="J3300" t="s">
        <v>30739</v>
      </c>
      <c r="K3300" t="s">
        <v>38490</v>
      </c>
      <c r="M3300" t="s">
        <v>39278</v>
      </c>
      <c r="N3300" t="s">
        <v>42669</v>
      </c>
      <c r="O3300" t="s">
        <v>42670</v>
      </c>
      <c r="P3300">
        <v>0</v>
      </c>
      <c r="Q3300">
        <v>7</v>
      </c>
      <c r="R3300" t="s">
        <v>42674</v>
      </c>
      <c r="S3300" t="s">
        <v>42788</v>
      </c>
      <c r="T3300" t="s">
        <v>44456</v>
      </c>
      <c r="U3300" t="s">
        <v>47539</v>
      </c>
      <c r="V3300" t="s">
        <v>56483</v>
      </c>
      <c r="W3300" t="s">
        <v>39278</v>
      </c>
      <c r="X3300" t="s">
        <v>42676</v>
      </c>
    </row>
    <row r="3301" spans="1:24">
      <c r="A3301">
        <f>HYPERLINK("https://www.philgeps.gov.ph/GEPSNONPILOT/Tender/SplashBidNoticeAbstractUI.aspx?menuIndex=3&amp;refID=7192594&amp;Result=3","7192594")</f>
        <v>0</v>
      </c>
      <c r="B3301" t="s">
        <v>469</v>
      </c>
      <c r="C3301" t="s">
        <v>6670</v>
      </c>
      <c r="D3301" t="s">
        <v>17170</v>
      </c>
      <c r="E3301" t="s">
        <v>20164</v>
      </c>
      <c r="F3301" t="s">
        <v>29372</v>
      </c>
      <c r="G3301" t="s">
        <v>29379</v>
      </c>
      <c r="H3301" t="s">
        <v>11048</v>
      </c>
      <c r="I3301" t="s">
        <v>29460</v>
      </c>
      <c r="J3301" t="s">
        <v>31214</v>
      </c>
      <c r="K3301" t="s">
        <v>38485</v>
      </c>
      <c r="M3301" t="s">
        <v>39233</v>
      </c>
      <c r="N3301" t="s">
        <v>42669</v>
      </c>
      <c r="O3301" t="s">
        <v>42670</v>
      </c>
      <c r="P3301">
        <v>0</v>
      </c>
      <c r="Q3301">
        <v>0</v>
      </c>
      <c r="R3301" t="s">
        <v>42674</v>
      </c>
      <c r="S3301" t="s">
        <v>42788</v>
      </c>
      <c r="T3301" t="s">
        <v>44432</v>
      </c>
      <c r="U3301" t="s">
        <v>47540</v>
      </c>
      <c r="W3301" t="s">
        <v>39233</v>
      </c>
      <c r="X3301" t="s">
        <v>42676</v>
      </c>
    </row>
    <row r="3302" spans="1:24">
      <c r="A3302">
        <f>HYPERLINK("https://www.philgeps.gov.ph/GEPSNONPILOT/Tender/SplashBidNoticeAbstractUI.aspx?menuIndex=3&amp;refID=7192439&amp;Result=3","7192439")</f>
        <v>0</v>
      </c>
      <c r="B3302" t="s">
        <v>1191</v>
      </c>
      <c r="C3302" t="s">
        <v>6671</v>
      </c>
      <c r="D3302" t="s">
        <v>17148</v>
      </c>
      <c r="E3302" t="s">
        <v>20165</v>
      </c>
      <c r="F3302" t="s">
        <v>29372</v>
      </c>
      <c r="G3302" t="s">
        <v>29379</v>
      </c>
      <c r="H3302" t="s">
        <v>11048</v>
      </c>
      <c r="I3302" t="s">
        <v>9469</v>
      </c>
      <c r="J3302" t="s">
        <v>29532</v>
      </c>
      <c r="K3302" t="s">
        <v>38485</v>
      </c>
      <c r="M3302" t="s">
        <v>40007</v>
      </c>
      <c r="N3302" t="s">
        <v>42669</v>
      </c>
      <c r="O3302" t="s">
        <v>42670</v>
      </c>
      <c r="P3302">
        <v>0</v>
      </c>
      <c r="Q3302">
        <v>0</v>
      </c>
      <c r="R3302" t="s">
        <v>42674</v>
      </c>
      <c r="S3302" t="s">
        <v>42788</v>
      </c>
      <c r="T3302" t="s">
        <v>44387</v>
      </c>
      <c r="U3302" t="s">
        <v>47541</v>
      </c>
      <c r="V3302" t="s">
        <v>56650</v>
      </c>
      <c r="W3302" t="s">
        <v>40007</v>
      </c>
      <c r="X3302" t="s">
        <v>42676</v>
      </c>
    </row>
    <row r="3303" spans="1:24">
      <c r="A3303">
        <f>HYPERLINK("https://www.philgeps.gov.ph/GEPSNONPILOT/Tender/SplashBidNoticeAbstractUI.aspx?menuIndex=3&amp;refID=7192400&amp;Result=3","7192400")</f>
        <v>0</v>
      </c>
      <c r="B3303" t="s">
        <v>1236</v>
      </c>
      <c r="C3303" t="s">
        <v>6672</v>
      </c>
      <c r="D3303" t="s">
        <v>17212</v>
      </c>
      <c r="E3303" t="s">
        <v>20166</v>
      </c>
      <c r="F3303" t="s">
        <v>29372</v>
      </c>
      <c r="G3303" t="s">
        <v>29379</v>
      </c>
      <c r="H3303" t="s">
        <v>29389</v>
      </c>
      <c r="I3303" t="s">
        <v>29429</v>
      </c>
      <c r="J3303" t="s">
        <v>31787</v>
      </c>
      <c r="K3303" t="s">
        <v>38496</v>
      </c>
      <c r="M3303" t="s">
        <v>40057</v>
      </c>
      <c r="N3303" t="s">
        <v>42669</v>
      </c>
      <c r="O3303" t="s">
        <v>42670</v>
      </c>
      <c r="P3303">
        <v>0</v>
      </c>
      <c r="Q3303">
        <v>1</v>
      </c>
      <c r="R3303" t="s">
        <v>42674</v>
      </c>
      <c r="S3303" t="s">
        <v>42788</v>
      </c>
      <c r="T3303" t="s">
        <v>44488</v>
      </c>
      <c r="U3303" t="s">
        <v>47542</v>
      </c>
      <c r="W3303" t="s">
        <v>40057</v>
      </c>
      <c r="X3303" t="s">
        <v>42676</v>
      </c>
    </row>
    <row r="3304" spans="1:24">
      <c r="A3304">
        <f>HYPERLINK("https://www.philgeps.gov.ph/GEPSNONPILOT/Tender/SplashBidNoticeAbstractUI.aspx?menuIndex=3&amp;refID=7192373&amp;Result=3","7192373")</f>
        <v>0</v>
      </c>
      <c r="B3304" t="s">
        <v>901</v>
      </c>
      <c r="C3304" t="s">
        <v>4196</v>
      </c>
      <c r="D3304" t="s">
        <v>17170</v>
      </c>
      <c r="E3304" t="s">
        <v>20167</v>
      </c>
      <c r="F3304" t="s">
        <v>29372</v>
      </c>
      <c r="G3304" t="s">
        <v>29381</v>
      </c>
      <c r="H3304" t="s">
        <v>11048</v>
      </c>
      <c r="I3304" t="s">
        <v>29407</v>
      </c>
      <c r="J3304" t="s">
        <v>31788</v>
      </c>
      <c r="K3304" t="s">
        <v>38488</v>
      </c>
      <c r="M3304" t="s">
        <v>39694</v>
      </c>
      <c r="N3304" t="s">
        <v>42669</v>
      </c>
      <c r="O3304" t="s">
        <v>42670</v>
      </c>
      <c r="P3304">
        <v>0</v>
      </c>
      <c r="Q3304">
        <v>3</v>
      </c>
      <c r="R3304" t="s">
        <v>42674</v>
      </c>
      <c r="S3304" t="s">
        <v>42788</v>
      </c>
      <c r="T3304" t="s">
        <v>44387</v>
      </c>
      <c r="U3304" t="s">
        <v>47543</v>
      </c>
      <c r="W3304" t="s">
        <v>39694</v>
      </c>
      <c r="X3304" t="s">
        <v>42676</v>
      </c>
    </row>
    <row r="3305" spans="1:24">
      <c r="A3305">
        <f>HYPERLINK("https://www.philgeps.gov.ph/GEPSNONPILOT/Tender/SplashBidNoticeAbstractUI.aspx?menuIndex=3&amp;refID=7192435&amp;Result=3","7192435")</f>
        <v>0</v>
      </c>
      <c r="B3305" t="s">
        <v>433</v>
      </c>
      <c r="C3305" t="s">
        <v>6673</v>
      </c>
      <c r="D3305" t="s">
        <v>17188</v>
      </c>
      <c r="E3305" t="s">
        <v>20168</v>
      </c>
      <c r="F3305" t="s">
        <v>29372</v>
      </c>
      <c r="G3305" t="s">
        <v>29380</v>
      </c>
      <c r="H3305" t="s">
        <v>11048</v>
      </c>
      <c r="I3305" t="s">
        <v>29398</v>
      </c>
      <c r="J3305" t="s">
        <v>31789</v>
      </c>
      <c r="K3305" t="s">
        <v>38488</v>
      </c>
      <c r="M3305" t="s">
        <v>40058</v>
      </c>
      <c r="N3305" t="s">
        <v>42669</v>
      </c>
      <c r="O3305" t="s">
        <v>42670</v>
      </c>
      <c r="P3305">
        <v>0</v>
      </c>
      <c r="Q3305">
        <v>3</v>
      </c>
      <c r="R3305" t="s">
        <v>42674</v>
      </c>
      <c r="S3305" t="s">
        <v>42788</v>
      </c>
      <c r="T3305" t="s">
        <v>44622</v>
      </c>
      <c r="U3305" t="s">
        <v>47544</v>
      </c>
      <c r="W3305" t="s">
        <v>40058</v>
      </c>
      <c r="X3305" t="s">
        <v>42676</v>
      </c>
    </row>
    <row r="3306" spans="1:24">
      <c r="A3306">
        <f>HYPERLINK("https://www.philgeps.gov.ph/GEPSNONPILOT/Tender/SplashBidNoticeAbstractUI.aspx?menuIndex=3&amp;refID=7192368&amp;Result=3","7192368")</f>
        <v>0</v>
      </c>
      <c r="B3306" t="s">
        <v>1181</v>
      </c>
      <c r="C3306" t="s">
        <v>6674</v>
      </c>
      <c r="D3306" t="s">
        <v>17161</v>
      </c>
      <c r="E3306" t="s">
        <v>20169</v>
      </c>
      <c r="F3306" t="s">
        <v>29372</v>
      </c>
      <c r="G3306" t="s">
        <v>29380</v>
      </c>
      <c r="H3306" t="s">
        <v>11048</v>
      </c>
      <c r="I3306" t="s">
        <v>29433</v>
      </c>
      <c r="J3306" t="s">
        <v>31790</v>
      </c>
      <c r="K3306" t="s">
        <v>38490</v>
      </c>
      <c r="M3306" t="s">
        <v>39996</v>
      </c>
      <c r="N3306" t="s">
        <v>42669</v>
      </c>
      <c r="O3306" t="s">
        <v>42670</v>
      </c>
      <c r="P3306">
        <v>0</v>
      </c>
      <c r="Q3306">
        <v>3</v>
      </c>
      <c r="R3306" t="s">
        <v>42674</v>
      </c>
      <c r="S3306" t="s">
        <v>42788</v>
      </c>
      <c r="T3306" t="s">
        <v>44542</v>
      </c>
      <c r="U3306" t="s">
        <v>47545</v>
      </c>
      <c r="W3306" t="s">
        <v>39996</v>
      </c>
      <c r="X3306" t="s">
        <v>42676</v>
      </c>
    </row>
    <row r="3307" spans="1:24">
      <c r="A3307">
        <f>HYPERLINK("https://www.philgeps.gov.ph/GEPSNONPILOT/Tender/SplashBidNoticeAbstractUI.aspx?menuIndex=3&amp;refID=7192441&amp;Result=3","7192441")</f>
        <v>0</v>
      </c>
      <c r="B3307" t="s">
        <v>1195</v>
      </c>
      <c r="C3307" t="s">
        <v>6675</v>
      </c>
      <c r="D3307" t="s">
        <v>17169</v>
      </c>
      <c r="E3307" t="s">
        <v>20170</v>
      </c>
      <c r="F3307" t="s">
        <v>29372</v>
      </c>
      <c r="G3307" t="s">
        <v>29380</v>
      </c>
      <c r="H3307" t="s">
        <v>11048</v>
      </c>
      <c r="I3307" t="s">
        <v>3670</v>
      </c>
      <c r="J3307" t="s">
        <v>31791</v>
      </c>
      <c r="K3307" t="s">
        <v>38490</v>
      </c>
      <c r="M3307" t="s">
        <v>40012</v>
      </c>
      <c r="N3307" t="s">
        <v>42669</v>
      </c>
      <c r="O3307" t="s">
        <v>42670</v>
      </c>
      <c r="P3307">
        <v>0</v>
      </c>
      <c r="Q3307">
        <v>0</v>
      </c>
      <c r="R3307" t="s">
        <v>42674</v>
      </c>
      <c r="S3307" t="s">
        <v>42788</v>
      </c>
      <c r="T3307" t="s">
        <v>44584</v>
      </c>
      <c r="U3307" t="s">
        <v>47546</v>
      </c>
      <c r="W3307" t="s">
        <v>40012</v>
      </c>
      <c r="X3307" t="s">
        <v>42676</v>
      </c>
    </row>
    <row r="3308" spans="1:24">
      <c r="A3308">
        <f>HYPERLINK("https://www.philgeps.gov.ph/GEPSNONPILOT/Tender/SplashBidNoticeAbstractUI.aspx?menuIndex=3&amp;refID=7192363&amp;Result=3","7192363")</f>
        <v>0</v>
      </c>
      <c r="B3308" t="s">
        <v>1184</v>
      </c>
      <c r="C3308" t="s">
        <v>6676</v>
      </c>
      <c r="D3308" t="s">
        <v>17205</v>
      </c>
      <c r="E3308" t="s">
        <v>20171</v>
      </c>
      <c r="F3308" t="s">
        <v>29372</v>
      </c>
      <c r="G3308" t="s">
        <v>29383</v>
      </c>
      <c r="H3308" t="s">
        <v>11048</v>
      </c>
      <c r="I3308" t="s">
        <v>29407</v>
      </c>
      <c r="J3308" t="s">
        <v>31792</v>
      </c>
      <c r="K3308" t="s">
        <v>38488</v>
      </c>
      <c r="M3308" t="s">
        <v>40000</v>
      </c>
      <c r="N3308" t="s">
        <v>42669</v>
      </c>
      <c r="O3308" t="s">
        <v>42670</v>
      </c>
      <c r="P3308">
        <v>0</v>
      </c>
      <c r="Q3308">
        <v>14</v>
      </c>
      <c r="R3308" t="s">
        <v>42674</v>
      </c>
      <c r="S3308" t="s">
        <v>42788</v>
      </c>
      <c r="T3308" t="s">
        <v>44469</v>
      </c>
      <c r="U3308" t="s">
        <v>47547</v>
      </c>
      <c r="W3308" t="s">
        <v>40000</v>
      </c>
      <c r="X3308" t="s">
        <v>42676</v>
      </c>
    </row>
    <row r="3309" spans="1:24">
      <c r="A3309">
        <f>HYPERLINK("https://www.philgeps.gov.ph/GEPSNONPILOT/Tender/SplashBidNoticeAbstractUI.aspx?menuIndex=3&amp;refID=7192273&amp;Result=3","7192273")</f>
        <v>0</v>
      </c>
      <c r="B3309" t="s">
        <v>1237</v>
      </c>
      <c r="C3309" t="s">
        <v>6677</v>
      </c>
      <c r="D3309" t="s">
        <v>17180</v>
      </c>
      <c r="E3309" t="s">
        <v>18886</v>
      </c>
      <c r="F3309" t="s">
        <v>29372</v>
      </c>
      <c r="G3309" t="s">
        <v>29383</v>
      </c>
      <c r="H3309" t="s">
        <v>11048</v>
      </c>
      <c r="I3309" t="s">
        <v>29412</v>
      </c>
      <c r="J3309" t="s">
        <v>31793</v>
      </c>
      <c r="K3309" t="s">
        <v>38490</v>
      </c>
      <c r="M3309" t="s">
        <v>40059</v>
      </c>
      <c r="N3309" t="s">
        <v>42669</v>
      </c>
      <c r="O3309" t="s">
        <v>42670</v>
      </c>
      <c r="P3309">
        <v>0</v>
      </c>
      <c r="Q3309">
        <v>0</v>
      </c>
      <c r="R3309" t="s">
        <v>42674</v>
      </c>
      <c r="S3309" t="s">
        <v>42788</v>
      </c>
      <c r="T3309" t="s">
        <v>44432</v>
      </c>
      <c r="U3309" t="s">
        <v>47548</v>
      </c>
      <c r="W3309" t="s">
        <v>40059</v>
      </c>
      <c r="X3309" t="s">
        <v>42676</v>
      </c>
    </row>
    <row r="3310" spans="1:24">
      <c r="A3310">
        <f>HYPERLINK("https://www.philgeps.gov.ph/GEPSNONPILOT/Tender/SplashBidNoticeAbstractUI.aspx?menuIndex=3&amp;refID=7192376&amp;Result=3","7192376")</f>
        <v>0</v>
      </c>
      <c r="B3310" t="s">
        <v>761</v>
      </c>
      <c r="C3310" t="s">
        <v>6678</v>
      </c>
      <c r="D3310" t="s">
        <v>17183</v>
      </c>
      <c r="E3310" t="s">
        <v>20172</v>
      </c>
      <c r="F3310" t="s">
        <v>29372</v>
      </c>
      <c r="G3310" t="s">
        <v>29383</v>
      </c>
      <c r="H3310" t="s">
        <v>11048</v>
      </c>
      <c r="I3310" t="s">
        <v>3670</v>
      </c>
      <c r="J3310" t="s">
        <v>30676</v>
      </c>
      <c r="K3310" t="s">
        <v>38488</v>
      </c>
      <c r="M3310" t="s">
        <v>39544</v>
      </c>
      <c r="N3310" t="s">
        <v>42669</v>
      </c>
      <c r="O3310" t="s">
        <v>42670</v>
      </c>
      <c r="P3310">
        <v>0</v>
      </c>
      <c r="Q3310">
        <v>1</v>
      </c>
      <c r="R3310" t="s">
        <v>42674</v>
      </c>
      <c r="S3310" t="s">
        <v>42788</v>
      </c>
      <c r="T3310" t="s">
        <v>44399</v>
      </c>
      <c r="U3310" t="s">
        <v>47549</v>
      </c>
      <c r="W3310" t="s">
        <v>39544</v>
      </c>
      <c r="X3310" t="s">
        <v>42676</v>
      </c>
    </row>
    <row r="3311" spans="1:24">
      <c r="A3311">
        <f>HYPERLINK("https://www.philgeps.gov.ph/GEPSNONPILOT/Tender/SplashBidNoticeAbstractUI.aspx?menuIndex=3&amp;refID=7192262&amp;Result=3","7192262")</f>
        <v>0</v>
      </c>
      <c r="B3311" t="s">
        <v>1238</v>
      </c>
      <c r="C3311" t="s">
        <v>6679</v>
      </c>
      <c r="D3311" t="s">
        <v>17145</v>
      </c>
      <c r="E3311" t="s">
        <v>20173</v>
      </c>
      <c r="F3311" t="s">
        <v>29372</v>
      </c>
      <c r="G3311" t="s">
        <v>29380</v>
      </c>
      <c r="H3311" t="s">
        <v>29389</v>
      </c>
      <c r="I3311" t="s">
        <v>10408</v>
      </c>
      <c r="J3311" t="s">
        <v>29587</v>
      </c>
      <c r="K3311" t="s">
        <v>38518</v>
      </c>
      <c r="M3311" t="s">
        <v>40060</v>
      </c>
      <c r="N3311" t="s">
        <v>42669</v>
      </c>
      <c r="O3311" t="s">
        <v>42670</v>
      </c>
      <c r="P3311">
        <v>0</v>
      </c>
      <c r="Q3311">
        <v>0</v>
      </c>
      <c r="R3311" t="s">
        <v>42674</v>
      </c>
      <c r="S3311" t="s">
        <v>42788</v>
      </c>
      <c r="T3311" t="s">
        <v>44584</v>
      </c>
      <c r="U3311" t="s">
        <v>47550</v>
      </c>
      <c r="W3311" t="s">
        <v>40060</v>
      </c>
      <c r="X3311" t="s">
        <v>42676</v>
      </c>
    </row>
    <row r="3312" spans="1:24">
      <c r="A3312">
        <f>HYPERLINK("https://www.philgeps.gov.ph/GEPSNONPILOT/Tender/SplashBidNoticeAbstractUI.aspx?menuIndex=3&amp;refID=7192256&amp;Result=3","7192256")</f>
        <v>0</v>
      </c>
      <c r="B3312" t="s">
        <v>673</v>
      </c>
      <c r="C3312" t="s">
        <v>6680</v>
      </c>
      <c r="D3312" t="s">
        <v>17213</v>
      </c>
      <c r="E3312" t="s">
        <v>20174</v>
      </c>
      <c r="F3312" t="s">
        <v>29372</v>
      </c>
      <c r="G3312" t="s">
        <v>29379</v>
      </c>
      <c r="H3312" t="s">
        <v>11048</v>
      </c>
      <c r="I3312" t="s">
        <v>29412</v>
      </c>
      <c r="J3312" t="s">
        <v>31794</v>
      </c>
      <c r="K3312" t="s">
        <v>38491</v>
      </c>
      <c r="M3312" t="s">
        <v>39449</v>
      </c>
      <c r="N3312" t="s">
        <v>42669</v>
      </c>
      <c r="O3312" t="s">
        <v>42670</v>
      </c>
      <c r="P3312">
        <v>0</v>
      </c>
      <c r="Q3312">
        <v>0</v>
      </c>
      <c r="R3312" t="s">
        <v>42674</v>
      </c>
      <c r="S3312" t="s">
        <v>42788</v>
      </c>
      <c r="T3312" t="s">
        <v>44427</v>
      </c>
      <c r="U3312" t="s">
        <v>47551</v>
      </c>
      <c r="W3312" t="s">
        <v>39449</v>
      </c>
      <c r="X3312" t="s">
        <v>42676</v>
      </c>
    </row>
    <row r="3313" spans="1:24">
      <c r="A3313">
        <f>HYPERLINK("https://www.philgeps.gov.ph/GEPSNONPILOT/Tender/SplashBidNoticeAbstractUI.aspx?menuIndex=3&amp;refID=7192374&amp;Result=3","7192374")</f>
        <v>0</v>
      </c>
      <c r="B3313" t="s">
        <v>143</v>
      </c>
      <c r="C3313" t="s">
        <v>6681</v>
      </c>
      <c r="D3313" t="s">
        <v>17182</v>
      </c>
      <c r="E3313" t="s">
        <v>20175</v>
      </c>
      <c r="F3313" t="s">
        <v>29372</v>
      </c>
      <c r="G3313" t="s">
        <v>29379</v>
      </c>
      <c r="H3313" t="s">
        <v>29389</v>
      </c>
      <c r="I3313" t="s">
        <v>10408</v>
      </c>
      <c r="J3313" t="s">
        <v>31795</v>
      </c>
      <c r="K3313" t="s">
        <v>38551</v>
      </c>
      <c r="M3313" t="s">
        <v>38898</v>
      </c>
      <c r="N3313" t="s">
        <v>42669</v>
      </c>
      <c r="O3313" t="s">
        <v>42670</v>
      </c>
      <c r="P3313">
        <v>0</v>
      </c>
      <c r="Q3313">
        <v>0</v>
      </c>
      <c r="R3313" t="s">
        <v>42674</v>
      </c>
      <c r="S3313" t="s">
        <v>42788</v>
      </c>
      <c r="T3313" t="s">
        <v>44385</v>
      </c>
      <c r="U3313" t="s">
        <v>47420</v>
      </c>
      <c r="W3313" t="s">
        <v>38898</v>
      </c>
      <c r="X3313" t="s">
        <v>42676</v>
      </c>
    </row>
    <row r="3314" spans="1:24">
      <c r="A3314">
        <f>HYPERLINK("https://www.philgeps.gov.ph/GEPSNONPILOT/Tender/SplashBidNoticeAbstractUI.aspx?menuIndex=3&amp;refID=7192407&amp;Result=3","7192407")</f>
        <v>0</v>
      </c>
      <c r="B3314" t="s">
        <v>1239</v>
      </c>
      <c r="C3314" t="s">
        <v>6682</v>
      </c>
      <c r="D3314" t="s">
        <v>17160</v>
      </c>
      <c r="E3314" t="s">
        <v>20176</v>
      </c>
      <c r="F3314" t="s">
        <v>29372</v>
      </c>
      <c r="G3314" t="s">
        <v>29379</v>
      </c>
      <c r="H3314" t="s">
        <v>11048</v>
      </c>
      <c r="I3314" t="s">
        <v>4487</v>
      </c>
      <c r="J3314" t="s">
        <v>31796</v>
      </c>
      <c r="K3314" t="s">
        <v>38491</v>
      </c>
      <c r="M3314" t="s">
        <v>40061</v>
      </c>
      <c r="N3314" t="s">
        <v>42669</v>
      </c>
      <c r="O3314" t="s">
        <v>42670</v>
      </c>
      <c r="P3314">
        <v>0</v>
      </c>
      <c r="Q3314">
        <v>2</v>
      </c>
      <c r="R3314" t="s">
        <v>42674</v>
      </c>
      <c r="S3314" t="s">
        <v>42788</v>
      </c>
      <c r="T3314" t="s">
        <v>44493</v>
      </c>
      <c r="U3314" t="s">
        <v>47552</v>
      </c>
      <c r="W3314" t="s">
        <v>40061</v>
      </c>
      <c r="X3314" t="s">
        <v>42676</v>
      </c>
    </row>
    <row r="3315" spans="1:24">
      <c r="A3315">
        <f>HYPERLINK("https://www.philgeps.gov.ph/GEPSNONPILOT/Tender/SplashBidNoticeAbstractUI.aspx?menuIndex=3&amp;refID=7192404&amp;Result=3","7192404")</f>
        <v>0</v>
      </c>
      <c r="B3315" t="s">
        <v>902</v>
      </c>
      <c r="C3315" t="s">
        <v>6556</v>
      </c>
      <c r="D3315" t="s">
        <v>17205</v>
      </c>
      <c r="E3315" t="s">
        <v>20177</v>
      </c>
      <c r="F3315" t="s">
        <v>29372</v>
      </c>
      <c r="G3315" t="s">
        <v>29379</v>
      </c>
      <c r="H3315" t="s">
        <v>11048</v>
      </c>
      <c r="I3315" t="s">
        <v>29393</v>
      </c>
      <c r="J3315" t="s">
        <v>31797</v>
      </c>
      <c r="K3315" t="s">
        <v>38490</v>
      </c>
      <c r="M3315" t="s">
        <v>39695</v>
      </c>
      <c r="N3315" t="s">
        <v>42669</v>
      </c>
      <c r="O3315" t="s">
        <v>42670</v>
      </c>
      <c r="P3315">
        <v>0</v>
      </c>
      <c r="Q3315">
        <v>0</v>
      </c>
      <c r="R3315" t="s">
        <v>42674</v>
      </c>
      <c r="S3315" t="s">
        <v>42788</v>
      </c>
      <c r="T3315" t="s">
        <v>44417</v>
      </c>
      <c r="U3315" t="s">
        <v>47553</v>
      </c>
      <c r="W3315" t="s">
        <v>39695</v>
      </c>
      <c r="X3315" t="s">
        <v>42676</v>
      </c>
    </row>
    <row r="3316" spans="1:24">
      <c r="A3316">
        <f>HYPERLINK("https://www.philgeps.gov.ph/GEPSNONPILOT/Tender/SplashBidNoticeAbstractUI.aspx?menuIndex=3&amp;refID=7192217&amp;Result=3","7192217")</f>
        <v>0</v>
      </c>
      <c r="B3316" t="s">
        <v>968</v>
      </c>
      <c r="C3316" t="s">
        <v>6683</v>
      </c>
      <c r="D3316" t="s">
        <v>17197</v>
      </c>
      <c r="E3316" t="s">
        <v>20178</v>
      </c>
      <c r="F3316" t="s">
        <v>29372</v>
      </c>
      <c r="G3316" t="s">
        <v>29379</v>
      </c>
      <c r="H3316" t="s">
        <v>11048</v>
      </c>
      <c r="I3316" t="s">
        <v>3839</v>
      </c>
      <c r="J3316" t="s">
        <v>31054</v>
      </c>
      <c r="K3316" t="s">
        <v>38538</v>
      </c>
      <c r="M3316" t="s">
        <v>39764</v>
      </c>
      <c r="N3316" t="s">
        <v>42669</v>
      </c>
      <c r="O3316" t="s">
        <v>42670</v>
      </c>
      <c r="P3316">
        <v>0</v>
      </c>
      <c r="Q3316">
        <v>0</v>
      </c>
      <c r="R3316" t="s">
        <v>42674</v>
      </c>
      <c r="S3316" t="s">
        <v>42788</v>
      </c>
      <c r="T3316" t="s">
        <v>44427</v>
      </c>
      <c r="U3316" t="s">
        <v>47554</v>
      </c>
      <c r="W3316" t="s">
        <v>39764</v>
      </c>
      <c r="X3316" t="s">
        <v>42676</v>
      </c>
    </row>
    <row r="3317" spans="1:24">
      <c r="A3317">
        <f>HYPERLINK("https://www.philgeps.gov.ph/GEPSNONPILOT/Tender/SplashBidNoticeAbstractUI.aspx?menuIndex=3&amp;refID=7192265&amp;Result=3","7192265")</f>
        <v>0</v>
      </c>
      <c r="B3317" t="s">
        <v>1240</v>
      </c>
      <c r="C3317" t="s">
        <v>6684</v>
      </c>
      <c r="D3317" t="s">
        <v>17171</v>
      </c>
      <c r="E3317" t="s">
        <v>20179</v>
      </c>
      <c r="F3317" t="s">
        <v>29372</v>
      </c>
      <c r="G3317" t="s">
        <v>29379</v>
      </c>
      <c r="H3317" t="s">
        <v>11048</v>
      </c>
      <c r="I3317" t="s">
        <v>5383</v>
      </c>
      <c r="J3317" t="s">
        <v>31798</v>
      </c>
      <c r="K3317" t="s">
        <v>38510</v>
      </c>
      <c r="M3317" t="s">
        <v>40062</v>
      </c>
      <c r="N3317" t="s">
        <v>42669</v>
      </c>
      <c r="O3317" t="s">
        <v>42670</v>
      </c>
      <c r="P3317">
        <v>0</v>
      </c>
      <c r="Q3317">
        <v>2</v>
      </c>
      <c r="R3317" t="s">
        <v>42674</v>
      </c>
      <c r="S3317" t="s">
        <v>42788</v>
      </c>
      <c r="T3317" t="s">
        <v>44429</v>
      </c>
      <c r="U3317" t="s">
        <v>47555</v>
      </c>
      <c r="W3317" t="s">
        <v>40062</v>
      </c>
      <c r="X3317" t="s">
        <v>42676</v>
      </c>
    </row>
    <row r="3318" spans="1:24">
      <c r="A3318">
        <f>HYPERLINK("https://www.philgeps.gov.ph/GEPSNONPILOT/Tender/SplashBidNoticeAbstractUI.aspx?menuIndex=3&amp;refID=7192216&amp;Result=3","7192216")</f>
        <v>0</v>
      </c>
      <c r="B3318" t="s">
        <v>1178</v>
      </c>
      <c r="C3318" t="s">
        <v>6685</v>
      </c>
      <c r="D3318" t="s">
        <v>17192</v>
      </c>
      <c r="E3318" t="s">
        <v>20180</v>
      </c>
      <c r="F3318" t="s">
        <v>29372</v>
      </c>
      <c r="G3318" t="s">
        <v>29379</v>
      </c>
      <c r="H3318" t="s">
        <v>11048</v>
      </c>
      <c r="I3318" t="s">
        <v>5383</v>
      </c>
      <c r="J3318" t="s">
        <v>31799</v>
      </c>
      <c r="K3318" t="s">
        <v>38485</v>
      </c>
      <c r="M3318" t="s">
        <v>39993</v>
      </c>
      <c r="N3318" t="s">
        <v>42669</v>
      </c>
      <c r="O3318" t="s">
        <v>42670</v>
      </c>
      <c r="P3318">
        <v>0</v>
      </c>
      <c r="Q3318">
        <v>0</v>
      </c>
      <c r="R3318" t="s">
        <v>42674</v>
      </c>
      <c r="S3318" t="s">
        <v>42788</v>
      </c>
      <c r="T3318" t="s">
        <v>44401</v>
      </c>
      <c r="U3318" t="s">
        <v>47402</v>
      </c>
      <c r="W3318" t="s">
        <v>39993</v>
      </c>
      <c r="X3318" t="s">
        <v>42676</v>
      </c>
    </row>
    <row r="3319" spans="1:24">
      <c r="A3319">
        <f>HYPERLINK("https://www.philgeps.gov.ph/GEPSNONPILOT/Tender/SplashBidNoticeAbstractUI.aspx?menuIndex=3&amp;refID=7192214&amp;Result=3","7192214")</f>
        <v>0</v>
      </c>
      <c r="B3319" t="s">
        <v>1241</v>
      </c>
      <c r="C3319" t="s">
        <v>6686</v>
      </c>
      <c r="D3319" t="s">
        <v>17144</v>
      </c>
      <c r="E3319" t="s">
        <v>17814</v>
      </c>
      <c r="F3319" t="s">
        <v>29372</v>
      </c>
      <c r="G3319" t="s">
        <v>29379</v>
      </c>
      <c r="H3319" t="s">
        <v>11048</v>
      </c>
      <c r="I3319" t="s">
        <v>29458</v>
      </c>
      <c r="J3319" t="s">
        <v>31800</v>
      </c>
      <c r="K3319" t="s">
        <v>38528</v>
      </c>
      <c r="M3319" t="s">
        <v>40063</v>
      </c>
      <c r="N3319" t="s">
        <v>42669</v>
      </c>
      <c r="O3319" t="s">
        <v>42670</v>
      </c>
      <c r="P3319">
        <v>0</v>
      </c>
      <c r="Q3319">
        <v>3</v>
      </c>
      <c r="R3319" t="s">
        <v>42674</v>
      </c>
      <c r="S3319" t="s">
        <v>42788</v>
      </c>
      <c r="T3319" t="s">
        <v>44430</v>
      </c>
      <c r="U3319" t="s">
        <v>47556</v>
      </c>
      <c r="V3319" t="s">
        <v>56668</v>
      </c>
      <c r="W3319" t="s">
        <v>40063</v>
      </c>
      <c r="X3319" t="s">
        <v>42676</v>
      </c>
    </row>
    <row r="3320" spans="1:24">
      <c r="A3320">
        <f>HYPERLINK("https://www.philgeps.gov.ph/GEPSNONPILOT/Tender/SplashBidNoticeAbstractUI.aspx?menuIndex=3&amp;refID=7192225&amp;Result=3","7192225")</f>
        <v>0</v>
      </c>
      <c r="B3320" t="s">
        <v>1199</v>
      </c>
      <c r="C3320" t="s">
        <v>6555</v>
      </c>
      <c r="D3320" t="s">
        <v>17222</v>
      </c>
      <c r="E3320" t="s">
        <v>18028</v>
      </c>
      <c r="F3320" t="s">
        <v>29372</v>
      </c>
      <c r="G3320" t="s">
        <v>29379</v>
      </c>
      <c r="H3320" t="s">
        <v>11048</v>
      </c>
      <c r="I3320" t="s">
        <v>3839</v>
      </c>
      <c r="J3320" t="s">
        <v>31086</v>
      </c>
      <c r="K3320" t="s">
        <v>38488</v>
      </c>
      <c r="M3320" t="s">
        <v>40016</v>
      </c>
      <c r="N3320" t="s">
        <v>42669</v>
      </c>
      <c r="O3320" t="s">
        <v>42670</v>
      </c>
      <c r="P3320">
        <v>0</v>
      </c>
      <c r="Q3320">
        <v>2</v>
      </c>
      <c r="R3320" t="s">
        <v>42674</v>
      </c>
      <c r="S3320" t="s">
        <v>42788</v>
      </c>
      <c r="T3320" t="s">
        <v>44401</v>
      </c>
      <c r="U3320" t="s">
        <v>47557</v>
      </c>
      <c r="W3320" t="s">
        <v>40016</v>
      </c>
      <c r="X3320" t="s">
        <v>42676</v>
      </c>
    </row>
    <row r="3321" spans="1:24">
      <c r="A3321">
        <f>HYPERLINK("https://www.philgeps.gov.ph/GEPSNONPILOT/Tender/SplashBidNoticeAbstractUI.aspx?menuIndex=3&amp;refID=7192221&amp;Result=3","7192221")</f>
        <v>0</v>
      </c>
      <c r="B3321" t="s">
        <v>1180</v>
      </c>
      <c r="C3321" t="s">
        <v>6687</v>
      </c>
      <c r="D3321" t="s">
        <v>17170</v>
      </c>
      <c r="E3321" t="s">
        <v>20181</v>
      </c>
      <c r="F3321" t="s">
        <v>29372</v>
      </c>
      <c r="G3321" t="s">
        <v>29383</v>
      </c>
      <c r="H3321" t="s">
        <v>11048</v>
      </c>
      <c r="I3321" t="s">
        <v>4486</v>
      </c>
      <c r="J3321" t="s">
        <v>29799</v>
      </c>
      <c r="K3321" t="s">
        <v>38485</v>
      </c>
      <c r="M3321" t="s">
        <v>39995</v>
      </c>
      <c r="N3321" t="s">
        <v>42669</v>
      </c>
      <c r="O3321" t="s">
        <v>42670</v>
      </c>
      <c r="P3321">
        <v>0</v>
      </c>
      <c r="Q3321">
        <v>3</v>
      </c>
      <c r="R3321" t="s">
        <v>42674</v>
      </c>
      <c r="S3321" t="s">
        <v>42788</v>
      </c>
      <c r="T3321" t="s">
        <v>44512</v>
      </c>
      <c r="U3321" t="s">
        <v>45803</v>
      </c>
      <c r="W3321" t="s">
        <v>39995</v>
      </c>
      <c r="X3321" t="s">
        <v>42676</v>
      </c>
    </row>
    <row r="3322" spans="1:24">
      <c r="A3322">
        <f>HYPERLINK("https://www.philgeps.gov.ph/GEPSNONPILOT/Tender/SplashBidNoticeAbstractUI.aspx?menuIndex=3&amp;refID=7192166&amp;Result=3","7192166")</f>
        <v>0</v>
      </c>
      <c r="B3322" t="s">
        <v>679</v>
      </c>
      <c r="C3322" t="s">
        <v>6688</v>
      </c>
      <c r="D3322" t="s">
        <v>17175</v>
      </c>
      <c r="E3322" t="s">
        <v>20182</v>
      </c>
      <c r="F3322" t="s">
        <v>29372</v>
      </c>
      <c r="G3322" t="s">
        <v>29380</v>
      </c>
      <c r="H3322" t="s">
        <v>11048</v>
      </c>
      <c r="I3322" t="s">
        <v>5383</v>
      </c>
      <c r="J3322" t="s">
        <v>31801</v>
      </c>
      <c r="K3322" t="s">
        <v>38510</v>
      </c>
      <c r="M3322" t="s">
        <v>39455</v>
      </c>
      <c r="N3322" t="s">
        <v>42669</v>
      </c>
      <c r="O3322" t="s">
        <v>42670</v>
      </c>
      <c r="P3322">
        <v>0</v>
      </c>
      <c r="Q3322">
        <v>0</v>
      </c>
      <c r="R3322" t="s">
        <v>42674</v>
      </c>
      <c r="S3322" t="s">
        <v>42788</v>
      </c>
      <c r="T3322" t="s">
        <v>44361</v>
      </c>
      <c r="U3322" t="s">
        <v>47558</v>
      </c>
      <c r="W3322" t="s">
        <v>39455</v>
      </c>
      <c r="X3322" t="s">
        <v>42676</v>
      </c>
    </row>
    <row r="3323" spans="1:24">
      <c r="A3323">
        <f>HYPERLINK("https://www.philgeps.gov.ph/GEPSNONPILOT/Tender/SplashBidNoticeAbstractUI.aspx?menuIndex=3&amp;refID=7192268&amp;Result=3","7192268")</f>
        <v>0</v>
      </c>
      <c r="B3323" t="s">
        <v>669</v>
      </c>
      <c r="C3323" t="s">
        <v>6689</v>
      </c>
      <c r="D3323" t="s">
        <v>17147</v>
      </c>
      <c r="E3323" t="s">
        <v>19476</v>
      </c>
      <c r="F3323" t="s">
        <v>29372</v>
      </c>
      <c r="G3323" t="s">
        <v>29379</v>
      </c>
      <c r="H3323" t="s">
        <v>11048</v>
      </c>
      <c r="I3323" t="s">
        <v>4709</v>
      </c>
      <c r="J3323" t="s">
        <v>31802</v>
      </c>
      <c r="K3323" t="s">
        <v>38488</v>
      </c>
      <c r="M3323" t="s">
        <v>40064</v>
      </c>
      <c r="N3323" t="s">
        <v>42669</v>
      </c>
      <c r="O3323" t="s">
        <v>42670</v>
      </c>
      <c r="P3323">
        <v>0</v>
      </c>
      <c r="Q3323">
        <v>0</v>
      </c>
      <c r="R3323" t="s">
        <v>42674</v>
      </c>
      <c r="S3323" t="s">
        <v>42788</v>
      </c>
      <c r="T3323" t="s">
        <v>44580</v>
      </c>
      <c r="U3323" t="s">
        <v>47559</v>
      </c>
      <c r="V3323" t="s">
        <v>56531</v>
      </c>
      <c r="W3323" t="s">
        <v>40064</v>
      </c>
      <c r="X3323" t="s">
        <v>42676</v>
      </c>
    </row>
    <row r="3324" spans="1:24">
      <c r="A3324">
        <f>HYPERLINK("https://www.philgeps.gov.ph/GEPSNONPILOT/Tender/SplashBidNoticeAbstractUI.aspx?menuIndex=3&amp;refID=7192145&amp;Result=3","7192145")</f>
        <v>0</v>
      </c>
      <c r="B3324" t="s">
        <v>1160</v>
      </c>
      <c r="C3324" t="s">
        <v>6690</v>
      </c>
      <c r="D3324" t="s">
        <v>17211</v>
      </c>
      <c r="E3324" t="s">
        <v>18689</v>
      </c>
      <c r="F3324" t="s">
        <v>29372</v>
      </c>
      <c r="G3324" t="s">
        <v>29380</v>
      </c>
      <c r="H3324" t="s">
        <v>11048</v>
      </c>
      <c r="I3324" t="s">
        <v>3952</v>
      </c>
      <c r="J3324" t="s">
        <v>29619</v>
      </c>
      <c r="K3324" t="s">
        <v>38485</v>
      </c>
      <c r="M3324" t="s">
        <v>39974</v>
      </c>
      <c r="N3324" t="s">
        <v>42669</v>
      </c>
      <c r="O3324" t="s">
        <v>42670</v>
      </c>
      <c r="P3324">
        <v>0</v>
      </c>
      <c r="Q3324">
        <v>1</v>
      </c>
      <c r="R3324" t="s">
        <v>42674</v>
      </c>
      <c r="S3324" t="s">
        <v>42788</v>
      </c>
      <c r="T3324" t="s">
        <v>44627</v>
      </c>
      <c r="U3324" t="s">
        <v>47560</v>
      </c>
      <c r="W3324" t="s">
        <v>39974</v>
      </c>
      <c r="X3324" t="s">
        <v>42676</v>
      </c>
    </row>
    <row r="3325" spans="1:24">
      <c r="A3325">
        <f>HYPERLINK("https://www.philgeps.gov.ph/GEPSNONPILOT/Tender/SplashBidNoticeAbstractUI.aspx?menuIndex=3&amp;refID=7192144&amp;Result=3","7192144")</f>
        <v>0</v>
      </c>
      <c r="B3325" t="s">
        <v>805</v>
      </c>
      <c r="C3325" t="s">
        <v>6691</v>
      </c>
      <c r="D3325" t="s">
        <v>17186</v>
      </c>
      <c r="E3325" t="s">
        <v>20183</v>
      </c>
      <c r="F3325" t="s">
        <v>29372</v>
      </c>
      <c r="G3325" t="s">
        <v>29379</v>
      </c>
      <c r="H3325" t="s">
        <v>11048</v>
      </c>
      <c r="I3325" t="s">
        <v>29447</v>
      </c>
      <c r="J3325" t="s">
        <v>31803</v>
      </c>
      <c r="K3325" t="s">
        <v>38485</v>
      </c>
      <c r="M3325" t="s">
        <v>39590</v>
      </c>
      <c r="N3325" t="s">
        <v>42669</v>
      </c>
      <c r="O3325" t="s">
        <v>42670</v>
      </c>
      <c r="P3325">
        <v>0</v>
      </c>
      <c r="Q3325">
        <v>2</v>
      </c>
      <c r="R3325" t="s">
        <v>42674</v>
      </c>
      <c r="S3325" t="s">
        <v>42788</v>
      </c>
      <c r="T3325" t="s">
        <v>44382</v>
      </c>
      <c r="U3325" t="s">
        <v>47561</v>
      </c>
      <c r="W3325" t="s">
        <v>39590</v>
      </c>
      <c r="X3325" t="s">
        <v>42676</v>
      </c>
    </row>
    <row r="3326" spans="1:24">
      <c r="A3326">
        <f>HYPERLINK("https://www.philgeps.gov.ph/GEPSNONPILOT/Tender/SplashBidNoticeAbstractUI.aspx?menuIndex=3&amp;refID=7192142&amp;Result=3","7192142")</f>
        <v>0</v>
      </c>
      <c r="B3326" t="s">
        <v>679</v>
      </c>
      <c r="C3326" t="s">
        <v>6692</v>
      </c>
      <c r="D3326" t="s">
        <v>17175</v>
      </c>
      <c r="E3326" t="s">
        <v>20184</v>
      </c>
      <c r="F3326" t="s">
        <v>29372</v>
      </c>
      <c r="G3326" t="s">
        <v>29380</v>
      </c>
      <c r="H3326" t="s">
        <v>11048</v>
      </c>
      <c r="I3326" t="s">
        <v>5383</v>
      </c>
      <c r="J3326" t="s">
        <v>31804</v>
      </c>
      <c r="K3326" t="s">
        <v>38510</v>
      </c>
      <c r="M3326" t="s">
        <v>39455</v>
      </c>
      <c r="N3326" t="s">
        <v>42669</v>
      </c>
      <c r="O3326" t="s">
        <v>42670</v>
      </c>
      <c r="P3326">
        <v>0</v>
      </c>
      <c r="Q3326">
        <v>0</v>
      </c>
      <c r="R3326" t="s">
        <v>42674</v>
      </c>
      <c r="S3326" t="s">
        <v>42788</v>
      </c>
      <c r="T3326" t="s">
        <v>44361</v>
      </c>
      <c r="U3326" t="s">
        <v>47562</v>
      </c>
      <c r="W3326" t="s">
        <v>39455</v>
      </c>
      <c r="X3326" t="s">
        <v>42676</v>
      </c>
    </row>
    <row r="3327" spans="1:24">
      <c r="A3327">
        <f>HYPERLINK("https://www.philgeps.gov.ph/GEPSNONPILOT/Tender/SplashBidNoticeAbstractUI.aspx?menuIndex=3&amp;refID=7192213&amp;Result=3","7192213")</f>
        <v>0</v>
      </c>
      <c r="B3327" t="s">
        <v>1192</v>
      </c>
      <c r="C3327" t="s">
        <v>6693</v>
      </c>
      <c r="D3327" t="s">
        <v>17213</v>
      </c>
      <c r="E3327" t="s">
        <v>20185</v>
      </c>
      <c r="F3327" t="s">
        <v>29372</v>
      </c>
      <c r="G3327" t="s">
        <v>29379</v>
      </c>
      <c r="H3327" t="s">
        <v>11048</v>
      </c>
      <c r="I3327" t="s">
        <v>5383</v>
      </c>
      <c r="J3327" t="s">
        <v>31805</v>
      </c>
      <c r="K3327" t="s">
        <v>38488</v>
      </c>
      <c r="M3327" t="s">
        <v>40008</v>
      </c>
      <c r="N3327" t="s">
        <v>42669</v>
      </c>
      <c r="O3327" t="s">
        <v>42670</v>
      </c>
      <c r="P3327">
        <v>0</v>
      </c>
      <c r="Q3327">
        <v>0</v>
      </c>
      <c r="R3327" t="s">
        <v>42674</v>
      </c>
      <c r="S3327" t="s">
        <v>42788</v>
      </c>
      <c r="T3327" t="s">
        <v>44401</v>
      </c>
      <c r="U3327" t="s">
        <v>47563</v>
      </c>
      <c r="W3327" t="s">
        <v>40008</v>
      </c>
      <c r="X3327" t="s">
        <v>42676</v>
      </c>
    </row>
    <row r="3328" spans="1:24">
      <c r="A3328">
        <f>HYPERLINK("https://www.philgeps.gov.ph/GEPSNONPILOT/Tender/SplashBidNoticeAbstractUI.aspx?menuIndex=3&amp;refID=7192140&amp;Result=3","7192140")</f>
        <v>0</v>
      </c>
      <c r="B3328" t="s">
        <v>998</v>
      </c>
      <c r="C3328" t="s">
        <v>6694</v>
      </c>
      <c r="D3328" t="s">
        <v>17141</v>
      </c>
      <c r="E3328" t="s">
        <v>20186</v>
      </c>
      <c r="F3328" t="s">
        <v>29372</v>
      </c>
      <c r="G3328" t="s">
        <v>29382</v>
      </c>
      <c r="H3328" t="s">
        <v>11048</v>
      </c>
      <c r="I3328" t="s">
        <v>4487</v>
      </c>
      <c r="J3328" t="s">
        <v>31806</v>
      </c>
      <c r="K3328" t="s">
        <v>38491</v>
      </c>
      <c r="M3328" t="s">
        <v>39798</v>
      </c>
      <c r="N3328" t="s">
        <v>42669</v>
      </c>
      <c r="O3328" t="s">
        <v>42670</v>
      </c>
      <c r="P3328">
        <v>0</v>
      </c>
      <c r="Q3328">
        <v>8</v>
      </c>
      <c r="R3328" t="s">
        <v>42674</v>
      </c>
      <c r="S3328" t="s">
        <v>42788</v>
      </c>
      <c r="T3328" t="s">
        <v>44399</v>
      </c>
      <c r="U3328" t="s">
        <v>47564</v>
      </c>
      <c r="V3328" t="s">
        <v>56608</v>
      </c>
      <c r="W3328" t="s">
        <v>39798</v>
      </c>
      <c r="X3328" t="s">
        <v>42676</v>
      </c>
    </row>
    <row r="3329" spans="1:24">
      <c r="A3329">
        <f>HYPERLINK("https://www.philgeps.gov.ph/GEPSNONPILOT/Tender/SplashBidNoticeAbstractUI.aspx?menuIndex=3&amp;refID=7192135&amp;Result=3","7192135")</f>
        <v>0</v>
      </c>
      <c r="B3329" t="s">
        <v>1156</v>
      </c>
      <c r="C3329" t="s">
        <v>6695</v>
      </c>
      <c r="D3329" t="s">
        <v>17142</v>
      </c>
      <c r="E3329" t="s">
        <v>20187</v>
      </c>
      <c r="F3329" t="s">
        <v>29372</v>
      </c>
      <c r="G3329" t="s">
        <v>29383</v>
      </c>
      <c r="H3329" t="s">
        <v>11048</v>
      </c>
      <c r="I3329" t="s">
        <v>3952</v>
      </c>
      <c r="J3329" t="s">
        <v>31807</v>
      </c>
      <c r="K3329" t="s">
        <v>38485</v>
      </c>
      <c r="M3329" t="s">
        <v>39970</v>
      </c>
      <c r="N3329" t="s">
        <v>42669</v>
      </c>
      <c r="O3329" t="s">
        <v>42670</v>
      </c>
      <c r="P3329">
        <v>0</v>
      </c>
      <c r="Q3329">
        <v>7</v>
      </c>
      <c r="R3329" t="s">
        <v>42674</v>
      </c>
      <c r="S3329" t="s">
        <v>42788</v>
      </c>
      <c r="T3329" t="s">
        <v>44394</v>
      </c>
      <c r="U3329" t="s">
        <v>47565</v>
      </c>
      <c r="W3329" t="s">
        <v>39970</v>
      </c>
      <c r="X3329" t="s">
        <v>42676</v>
      </c>
    </row>
    <row r="3330" spans="1:24">
      <c r="A3330">
        <f>HYPERLINK("https://www.philgeps.gov.ph/GEPSNONPILOT/Tender/SplashBidNoticeAbstractUI.aspx?menuIndex=3&amp;refID=7192168&amp;Result=3","7192168")</f>
        <v>0</v>
      </c>
      <c r="B3330" t="s">
        <v>968</v>
      </c>
      <c r="C3330" t="s">
        <v>6696</v>
      </c>
      <c r="D3330" t="s">
        <v>17197</v>
      </c>
      <c r="E3330" t="s">
        <v>20188</v>
      </c>
      <c r="F3330" t="s">
        <v>29372</v>
      </c>
      <c r="G3330" t="s">
        <v>29379</v>
      </c>
      <c r="H3330" t="s">
        <v>11048</v>
      </c>
      <c r="I3330" t="s">
        <v>3670</v>
      </c>
      <c r="J3330" t="s">
        <v>31808</v>
      </c>
      <c r="K3330" t="s">
        <v>38538</v>
      </c>
      <c r="M3330" t="s">
        <v>39764</v>
      </c>
      <c r="N3330" t="s">
        <v>42669</v>
      </c>
      <c r="O3330" t="s">
        <v>42670</v>
      </c>
      <c r="P3330">
        <v>0</v>
      </c>
      <c r="Q3330">
        <v>1</v>
      </c>
      <c r="R3330" t="s">
        <v>42674</v>
      </c>
      <c r="S3330" t="s">
        <v>42788</v>
      </c>
      <c r="T3330" t="s">
        <v>44427</v>
      </c>
      <c r="U3330" t="s">
        <v>47566</v>
      </c>
      <c r="W3330" t="s">
        <v>39764</v>
      </c>
      <c r="X3330" t="s">
        <v>42676</v>
      </c>
    </row>
    <row r="3331" spans="1:24">
      <c r="A3331">
        <f>HYPERLINK("https://www.philgeps.gov.ph/GEPSNONPILOT/Tender/SplashBidNoticeAbstractUI.aspx?menuIndex=3&amp;refID=7192132&amp;Result=3","7192132")</f>
        <v>0</v>
      </c>
      <c r="B3331" t="s">
        <v>1242</v>
      </c>
      <c r="C3331" t="s">
        <v>6697</v>
      </c>
      <c r="D3331" t="s">
        <v>17183</v>
      </c>
      <c r="E3331" t="s">
        <v>20189</v>
      </c>
      <c r="F3331" t="s">
        <v>29372</v>
      </c>
      <c r="G3331" t="s">
        <v>29383</v>
      </c>
      <c r="H3331" t="s">
        <v>11048</v>
      </c>
      <c r="I3331" t="s">
        <v>29407</v>
      </c>
      <c r="J3331" t="s">
        <v>31809</v>
      </c>
      <c r="K3331" t="s">
        <v>38490</v>
      </c>
      <c r="M3331" t="s">
        <v>40065</v>
      </c>
      <c r="N3331" t="s">
        <v>42669</v>
      </c>
      <c r="O3331" t="s">
        <v>42670</v>
      </c>
      <c r="P3331">
        <v>0</v>
      </c>
      <c r="Q3331">
        <v>19</v>
      </c>
      <c r="R3331" t="s">
        <v>42674</v>
      </c>
      <c r="S3331" t="s">
        <v>42788</v>
      </c>
      <c r="T3331" t="s">
        <v>44512</v>
      </c>
      <c r="U3331" t="s">
        <v>47567</v>
      </c>
      <c r="W3331" t="s">
        <v>40065</v>
      </c>
      <c r="X3331" t="s">
        <v>42676</v>
      </c>
    </row>
    <row r="3332" spans="1:24">
      <c r="A3332">
        <f>HYPERLINK("https://www.philgeps.gov.ph/GEPSNONPILOT/Tender/SplashBidNoticeAbstractUI.aspx?menuIndex=3&amp;refID=7192138&amp;Result=3","7192138")</f>
        <v>0</v>
      </c>
      <c r="B3332" t="s">
        <v>485</v>
      </c>
      <c r="C3332" t="s">
        <v>6698</v>
      </c>
      <c r="D3332" t="s">
        <v>17175</v>
      </c>
      <c r="E3332" t="s">
        <v>20190</v>
      </c>
      <c r="F3332" t="s">
        <v>29372</v>
      </c>
      <c r="G3332" t="s">
        <v>29379</v>
      </c>
      <c r="H3332" t="s">
        <v>11048</v>
      </c>
      <c r="I3332" t="s">
        <v>4709</v>
      </c>
      <c r="J3332" t="s">
        <v>31810</v>
      </c>
      <c r="K3332" t="s">
        <v>38490</v>
      </c>
      <c r="M3332" t="s">
        <v>39250</v>
      </c>
      <c r="N3332" t="s">
        <v>42669</v>
      </c>
      <c r="O3332" t="s">
        <v>42670</v>
      </c>
      <c r="P3332">
        <v>0</v>
      </c>
      <c r="Q3332">
        <v>0</v>
      </c>
      <c r="R3332" t="s">
        <v>42674</v>
      </c>
      <c r="S3332" t="s">
        <v>42788</v>
      </c>
      <c r="T3332" t="s">
        <v>44432</v>
      </c>
      <c r="U3332" t="s">
        <v>47568</v>
      </c>
      <c r="W3332" t="s">
        <v>39250</v>
      </c>
      <c r="X3332" t="s">
        <v>42676</v>
      </c>
    </row>
    <row r="3333" spans="1:24">
      <c r="A3333">
        <f>HYPERLINK("https://www.philgeps.gov.ph/GEPSNONPILOT/Tender/SplashBidNoticeAbstractUI.aspx?menuIndex=3&amp;refID=7192169&amp;Result=3","7192169")</f>
        <v>0</v>
      </c>
      <c r="B3333" t="s">
        <v>669</v>
      </c>
      <c r="C3333" t="s">
        <v>6699</v>
      </c>
      <c r="D3333" t="s">
        <v>17147</v>
      </c>
      <c r="E3333" t="s">
        <v>19333</v>
      </c>
      <c r="F3333" t="s">
        <v>29372</v>
      </c>
      <c r="G3333" t="s">
        <v>29379</v>
      </c>
      <c r="H3333" t="s">
        <v>11048</v>
      </c>
      <c r="I3333" t="s">
        <v>3629</v>
      </c>
      <c r="J3333" t="s">
        <v>31811</v>
      </c>
      <c r="K3333" t="s">
        <v>38488</v>
      </c>
      <c r="M3333" t="s">
        <v>40064</v>
      </c>
      <c r="N3333" t="s">
        <v>42669</v>
      </c>
      <c r="O3333" t="s">
        <v>42670</v>
      </c>
      <c r="P3333">
        <v>0</v>
      </c>
      <c r="Q3333">
        <v>0</v>
      </c>
      <c r="R3333" t="s">
        <v>42674</v>
      </c>
      <c r="S3333" t="s">
        <v>42788</v>
      </c>
      <c r="T3333" t="s">
        <v>44580</v>
      </c>
      <c r="U3333" t="s">
        <v>47569</v>
      </c>
      <c r="V3333" t="s">
        <v>56531</v>
      </c>
      <c r="W3333" t="s">
        <v>40064</v>
      </c>
      <c r="X3333" t="s">
        <v>42676</v>
      </c>
    </row>
    <row r="3334" spans="1:24">
      <c r="A3334">
        <f>HYPERLINK("https://www.philgeps.gov.ph/GEPSNONPILOT/Tender/SplashBidNoticeAbstractUI.aspx?menuIndex=3&amp;refID=7192226&amp;Result=3","7192226")</f>
        <v>0</v>
      </c>
      <c r="B3334" t="s">
        <v>669</v>
      </c>
      <c r="C3334" t="s">
        <v>6700</v>
      </c>
      <c r="D3334" t="s">
        <v>17147</v>
      </c>
      <c r="E3334" t="s">
        <v>19422</v>
      </c>
      <c r="F3334" t="s">
        <v>29372</v>
      </c>
      <c r="G3334" t="s">
        <v>29379</v>
      </c>
      <c r="H3334" t="s">
        <v>11048</v>
      </c>
      <c r="I3334" t="s">
        <v>3629</v>
      </c>
      <c r="J3334" t="s">
        <v>31812</v>
      </c>
      <c r="K3334" t="s">
        <v>38488</v>
      </c>
      <c r="M3334" t="s">
        <v>40064</v>
      </c>
      <c r="N3334" t="s">
        <v>42669</v>
      </c>
      <c r="O3334" t="s">
        <v>42670</v>
      </c>
      <c r="P3334">
        <v>0</v>
      </c>
      <c r="Q3334">
        <v>1</v>
      </c>
      <c r="R3334" t="s">
        <v>42674</v>
      </c>
      <c r="S3334" t="s">
        <v>42788</v>
      </c>
      <c r="T3334" t="s">
        <v>44580</v>
      </c>
      <c r="U3334" t="s">
        <v>47570</v>
      </c>
      <c r="V3334" t="s">
        <v>56531</v>
      </c>
      <c r="W3334" t="s">
        <v>40064</v>
      </c>
      <c r="X3334" t="s">
        <v>42676</v>
      </c>
    </row>
    <row r="3335" spans="1:24">
      <c r="A3335">
        <f>HYPERLINK("https://www.philgeps.gov.ph/GEPSNONPILOT/Tender/SplashBidNoticeAbstractUI.aspx?menuIndex=3&amp;refID=7192611&amp;Result=3","7192611")</f>
        <v>0</v>
      </c>
      <c r="B3335" t="s">
        <v>1243</v>
      </c>
      <c r="C3335" t="s">
        <v>6701</v>
      </c>
      <c r="D3335" t="s">
        <v>17170</v>
      </c>
      <c r="E3335" t="s">
        <v>20191</v>
      </c>
      <c r="F3335" t="s">
        <v>29372</v>
      </c>
      <c r="G3335" t="s">
        <v>29379</v>
      </c>
      <c r="H3335" t="s">
        <v>11048</v>
      </c>
      <c r="I3335" t="s">
        <v>29398</v>
      </c>
      <c r="J3335" t="s">
        <v>31813</v>
      </c>
      <c r="K3335" t="s">
        <v>38510</v>
      </c>
      <c r="M3335" t="s">
        <v>40066</v>
      </c>
      <c r="N3335" t="s">
        <v>42669</v>
      </c>
      <c r="O3335" t="s">
        <v>42670</v>
      </c>
      <c r="P3335">
        <v>0</v>
      </c>
      <c r="Q3335">
        <v>1</v>
      </c>
      <c r="R3335" t="s">
        <v>42674</v>
      </c>
      <c r="S3335" t="s">
        <v>42788</v>
      </c>
      <c r="T3335" t="s">
        <v>44570</v>
      </c>
      <c r="U3335" t="s">
        <v>47571</v>
      </c>
      <c r="W3335" t="s">
        <v>40066</v>
      </c>
      <c r="X3335" t="s">
        <v>42676</v>
      </c>
    </row>
    <row r="3336" spans="1:24">
      <c r="A3336">
        <f>HYPERLINK("https://www.philgeps.gov.ph/GEPSNONPILOT/Tender/SplashBidNoticeAbstractUI.aspx?menuIndex=3&amp;refID=7192629&amp;Result=3","7192629")</f>
        <v>0</v>
      </c>
      <c r="B3336" t="s">
        <v>1243</v>
      </c>
      <c r="C3336" t="s">
        <v>6702</v>
      </c>
      <c r="D3336" t="s">
        <v>17170</v>
      </c>
      <c r="E3336" t="s">
        <v>20192</v>
      </c>
      <c r="F3336" t="s">
        <v>29372</v>
      </c>
      <c r="G3336" t="s">
        <v>29379</v>
      </c>
      <c r="H3336" t="s">
        <v>11048</v>
      </c>
      <c r="I3336" t="s">
        <v>29395</v>
      </c>
      <c r="J3336" t="s">
        <v>31814</v>
      </c>
      <c r="K3336" t="s">
        <v>38510</v>
      </c>
      <c r="M3336" t="s">
        <v>40066</v>
      </c>
      <c r="N3336" t="s">
        <v>42669</v>
      </c>
      <c r="O3336" t="s">
        <v>42670</v>
      </c>
      <c r="P3336">
        <v>0</v>
      </c>
      <c r="Q3336">
        <v>0</v>
      </c>
      <c r="R3336" t="s">
        <v>42674</v>
      </c>
      <c r="S3336" t="s">
        <v>42788</v>
      </c>
      <c r="T3336" t="s">
        <v>44570</v>
      </c>
      <c r="U3336" t="s">
        <v>47572</v>
      </c>
      <c r="W3336" t="s">
        <v>40066</v>
      </c>
      <c r="X3336" t="s">
        <v>42676</v>
      </c>
    </row>
    <row r="3337" spans="1:24">
      <c r="A3337">
        <f>HYPERLINK("https://www.philgeps.gov.ph/GEPSNONPILOT/Tender/SplashBidNoticeAbstractUI.aspx?menuIndex=3&amp;refID=7192617&amp;Result=3","7192617")</f>
        <v>0</v>
      </c>
      <c r="B3337" t="s">
        <v>469</v>
      </c>
      <c r="C3337" t="s">
        <v>6703</v>
      </c>
      <c r="D3337" t="s">
        <v>17170</v>
      </c>
      <c r="E3337" t="s">
        <v>20193</v>
      </c>
      <c r="F3337" t="s">
        <v>29372</v>
      </c>
      <c r="G3337" t="s">
        <v>29379</v>
      </c>
      <c r="H3337" t="s">
        <v>11048</v>
      </c>
      <c r="I3337" t="s">
        <v>29460</v>
      </c>
      <c r="J3337" t="s">
        <v>31815</v>
      </c>
      <c r="K3337" t="s">
        <v>38485</v>
      </c>
      <c r="M3337" t="s">
        <v>39233</v>
      </c>
      <c r="N3337" t="s">
        <v>42669</v>
      </c>
      <c r="O3337" t="s">
        <v>42670</v>
      </c>
      <c r="P3337">
        <v>0</v>
      </c>
      <c r="Q3337">
        <v>0</v>
      </c>
      <c r="R3337" t="s">
        <v>42674</v>
      </c>
      <c r="S3337" t="s">
        <v>42788</v>
      </c>
      <c r="T3337" t="s">
        <v>44432</v>
      </c>
      <c r="U3337" t="s">
        <v>47573</v>
      </c>
      <c r="W3337" t="s">
        <v>39233</v>
      </c>
      <c r="X3337" t="s">
        <v>42676</v>
      </c>
    </row>
    <row r="3338" spans="1:24">
      <c r="A3338">
        <f>HYPERLINK("https://www.philgeps.gov.ph/GEPSNONPILOT/Tender/SplashBidNoticeAbstractUI.aspx?menuIndex=3&amp;refID=7192616&amp;Result=3","7192616")</f>
        <v>0</v>
      </c>
      <c r="B3338" t="s">
        <v>1043</v>
      </c>
      <c r="C3338" t="s">
        <v>6704</v>
      </c>
      <c r="E3338" t="s">
        <v>20194</v>
      </c>
      <c r="F3338" t="s">
        <v>29372</v>
      </c>
      <c r="G3338" t="s">
        <v>29380</v>
      </c>
      <c r="H3338" t="s">
        <v>29391</v>
      </c>
      <c r="I3338" t="s">
        <v>29391</v>
      </c>
      <c r="J3338" t="s">
        <v>31816</v>
      </c>
      <c r="K3338" t="s">
        <v>38531</v>
      </c>
      <c r="M3338" t="s">
        <v>40067</v>
      </c>
      <c r="N3338" t="s">
        <v>42669</v>
      </c>
      <c r="O3338" t="s">
        <v>42670</v>
      </c>
      <c r="P3338">
        <v>0</v>
      </c>
      <c r="Q3338">
        <v>4</v>
      </c>
      <c r="R3338" t="s">
        <v>42674</v>
      </c>
      <c r="S3338" t="s">
        <v>42788</v>
      </c>
      <c r="T3338" t="s">
        <v>44375</v>
      </c>
      <c r="U3338" t="s">
        <v>47574</v>
      </c>
      <c r="W3338" t="s">
        <v>40067</v>
      </c>
      <c r="X3338" t="s">
        <v>42676</v>
      </c>
    </row>
    <row r="3339" spans="1:24">
      <c r="A3339">
        <f>HYPERLINK("https://www.philgeps.gov.ph/GEPSNONPILOT/Tender/SplashBidNoticeAbstractUI.aspx?menuIndex=3&amp;refID=7192615&amp;Result=3","7192615")</f>
        <v>0</v>
      </c>
      <c r="B3339" t="s">
        <v>1223</v>
      </c>
      <c r="C3339" t="s">
        <v>6705</v>
      </c>
      <c r="D3339" t="s">
        <v>17172</v>
      </c>
      <c r="E3339" t="s">
        <v>20195</v>
      </c>
      <c r="F3339" t="s">
        <v>29372</v>
      </c>
      <c r="G3339" t="s">
        <v>29380</v>
      </c>
      <c r="H3339" t="s">
        <v>29389</v>
      </c>
      <c r="I3339" t="s">
        <v>10408</v>
      </c>
      <c r="J3339" t="s">
        <v>31817</v>
      </c>
      <c r="K3339" t="s">
        <v>38523</v>
      </c>
      <c r="M3339" t="s">
        <v>40043</v>
      </c>
      <c r="N3339" t="s">
        <v>42669</v>
      </c>
      <c r="O3339" t="s">
        <v>42670</v>
      </c>
      <c r="P3339">
        <v>0</v>
      </c>
      <c r="Q3339">
        <v>2</v>
      </c>
      <c r="R3339" t="s">
        <v>42674</v>
      </c>
      <c r="S3339" t="s">
        <v>42788</v>
      </c>
      <c r="T3339" t="s">
        <v>44542</v>
      </c>
      <c r="U3339" t="s">
        <v>47575</v>
      </c>
      <c r="W3339" t="s">
        <v>40043</v>
      </c>
      <c r="X3339" t="s">
        <v>42676</v>
      </c>
    </row>
    <row r="3340" spans="1:24">
      <c r="A3340">
        <f>HYPERLINK("https://www.philgeps.gov.ph/GEPSNONPILOT/Tender/SplashBidNoticeAbstractUI.aspx?menuIndex=3&amp;refID=7192614&amp;Result=3","7192614")</f>
        <v>0</v>
      </c>
      <c r="B3340" t="s">
        <v>1034</v>
      </c>
      <c r="C3340" t="s">
        <v>6706</v>
      </c>
      <c r="D3340" t="s">
        <v>17199</v>
      </c>
      <c r="E3340" t="s">
        <v>20196</v>
      </c>
      <c r="F3340" t="s">
        <v>29372</v>
      </c>
      <c r="G3340" t="s">
        <v>29380</v>
      </c>
      <c r="H3340" t="s">
        <v>29391</v>
      </c>
      <c r="I3340" t="s">
        <v>10408</v>
      </c>
      <c r="J3340" t="s">
        <v>30161</v>
      </c>
      <c r="K3340" t="s">
        <v>38487</v>
      </c>
      <c r="M3340" t="s">
        <v>40046</v>
      </c>
      <c r="N3340" t="s">
        <v>42669</v>
      </c>
      <c r="O3340" t="s">
        <v>42670</v>
      </c>
      <c r="P3340">
        <v>0</v>
      </c>
      <c r="Q3340">
        <v>0</v>
      </c>
      <c r="R3340" t="s">
        <v>42674</v>
      </c>
      <c r="S3340" t="s">
        <v>42788</v>
      </c>
      <c r="T3340" t="s">
        <v>44358</v>
      </c>
      <c r="U3340" t="s">
        <v>47516</v>
      </c>
      <c r="W3340" t="s">
        <v>40046</v>
      </c>
      <c r="X3340" t="s">
        <v>42676</v>
      </c>
    </row>
    <row r="3341" spans="1:24">
      <c r="A3341">
        <f>HYPERLINK("https://www.philgeps.gov.ph/GEPSNONPILOT/Tender/SplashBidNoticeAbstractUI.aspx?menuIndex=3&amp;refID=7192613&amp;Result=3","7192613")</f>
        <v>0</v>
      </c>
      <c r="B3341" t="s">
        <v>433</v>
      </c>
      <c r="C3341" t="s">
        <v>6707</v>
      </c>
      <c r="D3341" t="s">
        <v>17188</v>
      </c>
      <c r="E3341" t="s">
        <v>20197</v>
      </c>
      <c r="F3341" t="s">
        <v>29372</v>
      </c>
      <c r="G3341" t="s">
        <v>29380</v>
      </c>
      <c r="H3341" t="s">
        <v>29389</v>
      </c>
      <c r="I3341" t="s">
        <v>29454</v>
      </c>
      <c r="J3341" t="s">
        <v>31818</v>
      </c>
      <c r="K3341" t="s">
        <v>38612</v>
      </c>
      <c r="M3341" t="s">
        <v>40058</v>
      </c>
      <c r="N3341" t="s">
        <v>42669</v>
      </c>
      <c r="O3341" t="s">
        <v>42670</v>
      </c>
      <c r="P3341">
        <v>0</v>
      </c>
      <c r="Q3341">
        <v>1</v>
      </c>
      <c r="R3341" t="s">
        <v>42674</v>
      </c>
      <c r="S3341" t="s">
        <v>42788</v>
      </c>
      <c r="T3341" t="s">
        <v>44495</v>
      </c>
      <c r="U3341" t="s">
        <v>47576</v>
      </c>
      <c r="V3341" t="s">
        <v>56669</v>
      </c>
      <c r="W3341" t="s">
        <v>40058</v>
      </c>
      <c r="X3341" t="s">
        <v>42676</v>
      </c>
    </row>
    <row r="3342" spans="1:24">
      <c r="A3342">
        <f>HYPERLINK("https://www.philgeps.gov.ph/GEPSNONPILOT/Tender/SplashBidNoticeAbstractUI.aspx?menuIndex=3&amp;refID=7192622&amp;Result=3","7192622")</f>
        <v>0</v>
      </c>
      <c r="B3342" t="s">
        <v>1244</v>
      </c>
      <c r="C3342" t="s">
        <v>6708</v>
      </c>
      <c r="D3342" t="s">
        <v>17143</v>
      </c>
      <c r="E3342" t="s">
        <v>20198</v>
      </c>
      <c r="F3342" t="s">
        <v>29372</v>
      </c>
      <c r="G3342" t="s">
        <v>29379</v>
      </c>
      <c r="H3342" t="s">
        <v>11048</v>
      </c>
      <c r="I3342" t="s">
        <v>9469</v>
      </c>
      <c r="J3342" t="s">
        <v>31794</v>
      </c>
      <c r="K3342" t="s">
        <v>38528</v>
      </c>
      <c r="M3342" t="s">
        <v>40068</v>
      </c>
      <c r="N3342" t="s">
        <v>42669</v>
      </c>
      <c r="O3342" t="s">
        <v>42670</v>
      </c>
      <c r="P3342">
        <v>0</v>
      </c>
      <c r="Q3342">
        <v>0</v>
      </c>
      <c r="R3342" t="s">
        <v>42674</v>
      </c>
      <c r="S3342" t="s">
        <v>42788</v>
      </c>
      <c r="T3342" t="s">
        <v>44401</v>
      </c>
      <c r="U3342" t="s">
        <v>47577</v>
      </c>
      <c r="W3342" t="s">
        <v>40068</v>
      </c>
      <c r="X3342" t="s">
        <v>42676</v>
      </c>
    </row>
    <row r="3343" spans="1:24">
      <c r="A3343">
        <f>HYPERLINK("https://www.philgeps.gov.ph/GEPSNONPILOT/Tender/SplashBidNoticeAbstractUI.aspx?menuIndex=3&amp;refID=7192641&amp;Result=3","7192641")</f>
        <v>0</v>
      </c>
      <c r="B3343" t="s">
        <v>1034</v>
      </c>
      <c r="C3343" t="s">
        <v>6709</v>
      </c>
      <c r="D3343" t="s">
        <v>17199</v>
      </c>
      <c r="E3343" t="s">
        <v>20199</v>
      </c>
      <c r="F3343" t="s">
        <v>29372</v>
      </c>
      <c r="G3343" t="s">
        <v>29379</v>
      </c>
      <c r="H3343" t="s">
        <v>11048</v>
      </c>
      <c r="I3343" t="s">
        <v>29393</v>
      </c>
      <c r="J3343" t="s">
        <v>31819</v>
      </c>
      <c r="K3343" t="s">
        <v>38491</v>
      </c>
      <c r="M3343" t="s">
        <v>39837</v>
      </c>
      <c r="N3343" t="s">
        <v>42669</v>
      </c>
      <c r="O3343" t="s">
        <v>42670</v>
      </c>
      <c r="P3343">
        <v>0</v>
      </c>
      <c r="Q3343">
        <v>0</v>
      </c>
      <c r="R3343" t="s">
        <v>42674</v>
      </c>
      <c r="S3343" t="s">
        <v>42788</v>
      </c>
      <c r="T3343" t="s">
        <v>44427</v>
      </c>
      <c r="U3343" t="s">
        <v>47397</v>
      </c>
      <c r="W3343" t="s">
        <v>58033</v>
      </c>
      <c r="X3343" t="s">
        <v>42676</v>
      </c>
    </row>
    <row r="3344" spans="1:24">
      <c r="A3344">
        <f>HYPERLINK("https://www.philgeps.gov.ph/GEPSNONPILOT/Tender/SplashBidNoticeAbstractUI.aspx?menuIndex=3&amp;refID=7192612&amp;Result=3","7192612")</f>
        <v>0</v>
      </c>
      <c r="B3344" t="s">
        <v>1222</v>
      </c>
      <c r="C3344" t="s">
        <v>6710</v>
      </c>
      <c r="D3344" t="s">
        <v>17169</v>
      </c>
      <c r="E3344" t="s">
        <v>20200</v>
      </c>
      <c r="F3344" t="s">
        <v>29372</v>
      </c>
      <c r="G3344" t="s">
        <v>29380</v>
      </c>
      <c r="H3344" t="s">
        <v>29389</v>
      </c>
      <c r="I3344" t="s">
        <v>10408</v>
      </c>
      <c r="J3344" t="s">
        <v>31820</v>
      </c>
      <c r="K3344" t="s">
        <v>38490</v>
      </c>
      <c r="M3344" t="s">
        <v>40042</v>
      </c>
      <c r="N3344" t="s">
        <v>42669</v>
      </c>
      <c r="O3344" t="s">
        <v>42670</v>
      </c>
      <c r="P3344">
        <v>0</v>
      </c>
      <c r="Q3344">
        <v>0</v>
      </c>
      <c r="R3344" t="s">
        <v>42674</v>
      </c>
      <c r="S3344" t="s">
        <v>42788</v>
      </c>
      <c r="T3344" t="s">
        <v>44490</v>
      </c>
      <c r="U3344" t="s">
        <v>47578</v>
      </c>
      <c r="W3344" t="s">
        <v>40042</v>
      </c>
      <c r="X3344" t="s">
        <v>42676</v>
      </c>
    </row>
    <row r="3345" spans="1:24">
      <c r="A3345">
        <f>HYPERLINK("https://www.philgeps.gov.ph/GEPSNONPILOT/Tender/SplashBidNoticeAbstractUI.aspx?menuIndex=3&amp;refID=7192639&amp;Result=3","7192639")</f>
        <v>0</v>
      </c>
      <c r="B3345" t="s">
        <v>1243</v>
      </c>
      <c r="C3345" t="s">
        <v>6711</v>
      </c>
      <c r="D3345" t="s">
        <v>17170</v>
      </c>
      <c r="E3345" t="s">
        <v>20201</v>
      </c>
      <c r="F3345" t="s">
        <v>29372</v>
      </c>
      <c r="G3345" t="s">
        <v>29379</v>
      </c>
      <c r="H3345" t="s">
        <v>11048</v>
      </c>
      <c r="I3345" t="s">
        <v>14920</v>
      </c>
      <c r="J3345" t="s">
        <v>30412</v>
      </c>
      <c r="K3345" t="s">
        <v>38510</v>
      </c>
      <c r="M3345" t="s">
        <v>40066</v>
      </c>
      <c r="N3345" t="s">
        <v>42669</v>
      </c>
      <c r="O3345" t="s">
        <v>42670</v>
      </c>
      <c r="P3345">
        <v>0</v>
      </c>
      <c r="Q3345">
        <v>1</v>
      </c>
      <c r="R3345" t="s">
        <v>42674</v>
      </c>
      <c r="S3345" t="s">
        <v>42788</v>
      </c>
      <c r="T3345" t="s">
        <v>44570</v>
      </c>
      <c r="U3345" t="s">
        <v>47579</v>
      </c>
      <c r="W3345" t="s">
        <v>40066</v>
      </c>
      <c r="X3345" t="s">
        <v>42676</v>
      </c>
    </row>
    <row r="3346" spans="1:24">
      <c r="A3346">
        <f>HYPERLINK("https://www.philgeps.gov.ph/GEPSNONPILOT/Tender/SplashBidNoticeAbstractUI.aspx?menuIndex=3&amp;refID=7192634&amp;Result=3","7192634")</f>
        <v>0</v>
      </c>
      <c r="B3346" t="s">
        <v>479</v>
      </c>
      <c r="C3346" t="s">
        <v>6712</v>
      </c>
      <c r="D3346" t="s">
        <v>17141</v>
      </c>
      <c r="E3346" t="s">
        <v>20202</v>
      </c>
      <c r="F3346" t="s">
        <v>29372</v>
      </c>
      <c r="G3346" t="s">
        <v>29380</v>
      </c>
      <c r="H3346" t="s">
        <v>11048</v>
      </c>
      <c r="I3346" t="s">
        <v>29436</v>
      </c>
      <c r="J3346" t="s">
        <v>31821</v>
      </c>
      <c r="K3346" t="s">
        <v>38495</v>
      </c>
      <c r="M3346" t="s">
        <v>40069</v>
      </c>
      <c r="N3346" t="s">
        <v>42669</v>
      </c>
      <c r="O3346" t="s">
        <v>42670</v>
      </c>
      <c r="P3346">
        <v>0</v>
      </c>
      <c r="Q3346">
        <v>10</v>
      </c>
      <c r="R3346" t="s">
        <v>42674</v>
      </c>
      <c r="S3346" t="s">
        <v>42788</v>
      </c>
      <c r="T3346" t="s">
        <v>44360</v>
      </c>
      <c r="U3346" t="s">
        <v>47580</v>
      </c>
      <c r="W3346" t="s">
        <v>40069</v>
      </c>
      <c r="X3346" t="s">
        <v>42676</v>
      </c>
    </row>
    <row r="3347" spans="1:24">
      <c r="A3347">
        <f>HYPERLINK("https://www.philgeps.gov.ph/GEPSNONPILOT/Tender/SplashBidNoticeAbstractUI.aspx?menuIndex=3&amp;refID=7192640&amp;Result=3","7192640")</f>
        <v>0</v>
      </c>
      <c r="B3347" t="s">
        <v>1223</v>
      </c>
      <c r="C3347" t="s">
        <v>6713</v>
      </c>
      <c r="D3347" t="s">
        <v>17172</v>
      </c>
      <c r="E3347" t="s">
        <v>20203</v>
      </c>
      <c r="F3347" t="s">
        <v>29372</v>
      </c>
      <c r="G3347" t="s">
        <v>29380</v>
      </c>
      <c r="H3347" t="s">
        <v>29389</v>
      </c>
      <c r="I3347" t="s">
        <v>10408</v>
      </c>
      <c r="J3347" t="s">
        <v>31822</v>
      </c>
      <c r="K3347" t="s">
        <v>38564</v>
      </c>
      <c r="M3347" t="s">
        <v>40043</v>
      </c>
      <c r="N3347" t="s">
        <v>42669</v>
      </c>
      <c r="O3347" t="s">
        <v>42670</v>
      </c>
      <c r="P3347">
        <v>0</v>
      </c>
      <c r="Q3347">
        <v>2</v>
      </c>
      <c r="R3347" t="s">
        <v>42674</v>
      </c>
      <c r="S3347" t="s">
        <v>42788</v>
      </c>
      <c r="T3347" t="s">
        <v>44542</v>
      </c>
      <c r="U3347" t="s">
        <v>47581</v>
      </c>
      <c r="W3347" t="s">
        <v>40043</v>
      </c>
      <c r="X3347" t="s">
        <v>42676</v>
      </c>
    </row>
    <row r="3348" spans="1:24">
      <c r="A3348">
        <f>HYPERLINK("https://www.philgeps.gov.ph/GEPSNONPILOT/Tender/SplashBidNoticeAbstractUI.aspx?menuIndex=3&amp;refID=7192642&amp;Result=3","7192642")</f>
        <v>0</v>
      </c>
      <c r="B3348" t="s">
        <v>1219</v>
      </c>
      <c r="C3348" t="s">
        <v>6714</v>
      </c>
      <c r="D3348" t="s">
        <v>17172</v>
      </c>
      <c r="E3348" t="s">
        <v>20204</v>
      </c>
      <c r="F3348" t="s">
        <v>29372</v>
      </c>
      <c r="G3348" t="s">
        <v>29380</v>
      </c>
      <c r="H3348" t="s">
        <v>11048</v>
      </c>
      <c r="I3348" t="s">
        <v>29395</v>
      </c>
      <c r="J3348" t="s">
        <v>31823</v>
      </c>
      <c r="K3348" t="s">
        <v>38490</v>
      </c>
      <c r="M3348" t="s">
        <v>40039</v>
      </c>
      <c r="N3348" t="s">
        <v>42669</v>
      </c>
      <c r="O3348" t="s">
        <v>42670</v>
      </c>
      <c r="P3348">
        <v>0</v>
      </c>
      <c r="Q3348">
        <v>0</v>
      </c>
      <c r="R3348" t="s">
        <v>42674</v>
      </c>
      <c r="S3348" t="s">
        <v>42788</v>
      </c>
      <c r="T3348" t="s">
        <v>44391</v>
      </c>
      <c r="U3348" t="s">
        <v>47500</v>
      </c>
      <c r="V3348" t="s">
        <v>56662</v>
      </c>
      <c r="W3348" t="s">
        <v>40039</v>
      </c>
      <c r="X3348" t="s">
        <v>42676</v>
      </c>
    </row>
    <row r="3349" spans="1:24">
      <c r="A3349">
        <f>HYPERLINK("https://www.philgeps.gov.ph/GEPSNONPILOT/Tender/SplashBidNoticeAbstractUI.aspx?menuIndex=3&amp;refID=7192618&amp;Result=3","7192618")</f>
        <v>0</v>
      </c>
      <c r="B3349" t="s">
        <v>1034</v>
      </c>
      <c r="C3349" t="s">
        <v>6715</v>
      </c>
      <c r="D3349" t="s">
        <v>17199</v>
      </c>
      <c r="E3349" t="s">
        <v>20205</v>
      </c>
      <c r="F3349" t="s">
        <v>29372</v>
      </c>
      <c r="G3349" t="s">
        <v>29379</v>
      </c>
      <c r="H3349" t="s">
        <v>11048</v>
      </c>
      <c r="I3349" t="s">
        <v>29393</v>
      </c>
      <c r="J3349" t="s">
        <v>31824</v>
      </c>
      <c r="K3349" t="s">
        <v>38491</v>
      </c>
      <c r="M3349" t="s">
        <v>39837</v>
      </c>
      <c r="N3349" t="s">
        <v>42669</v>
      </c>
      <c r="O3349" t="s">
        <v>42670</v>
      </c>
      <c r="P3349">
        <v>0</v>
      </c>
      <c r="Q3349">
        <v>0</v>
      </c>
      <c r="R3349" t="s">
        <v>42674</v>
      </c>
      <c r="S3349" t="s">
        <v>42788</v>
      </c>
      <c r="T3349" t="s">
        <v>44427</v>
      </c>
      <c r="U3349" t="s">
        <v>47397</v>
      </c>
      <c r="W3349" t="s">
        <v>58033</v>
      </c>
      <c r="X3349" t="s">
        <v>42676</v>
      </c>
    </row>
    <row r="3350" spans="1:24">
      <c r="A3350">
        <f>HYPERLINK("https://www.philgeps.gov.ph/GEPSNONPILOT/Tender/SplashBidNoticeAbstractUI.aspx?menuIndex=3&amp;refID=7192637&amp;Result=3","7192637")</f>
        <v>0</v>
      </c>
      <c r="B3350" t="s">
        <v>616</v>
      </c>
      <c r="C3350" t="s">
        <v>6716</v>
      </c>
      <c r="D3350" t="s">
        <v>17183</v>
      </c>
      <c r="E3350" t="s">
        <v>20206</v>
      </c>
      <c r="F3350" t="s">
        <v>29372</v>
      </c>
      <c r="G3350" t="s">
        <v>29379</v>
      </c>
      <c r="H3350" t="s">
        <v>29389</v>
      </c>
      <c r="I3350" t="s">
        <v>10408</v>
      </c>
      <c r="J3350" t="s">
        <v>31825</v>
      </c>
      <c r="K3350" t="s">
        <v>38613</v>
      </c>
      <c r="M3350" t="s">
        <v>40027</v>
      </c>
      <c r="N3350" t="s">
        <v>42669</v>
      </c>
      <c r="O3350" t="s">
        <v>42670</v>
      </c>
      <c r="P3350">
        <v>0</v>
      </c>
      <c r="Q3350">
        <v>1</v>
      </c>
      <c r="R3350" t="s">
        <v>42674</v>
      </c>
      <c r="S3350" t="s">
        <v>42788</v>
      </c>
      <c r="T3350" t="s">
        <v>44468</v>
      </c>
      <c r="U3350" t="s">
        <v>47582</v>
      </c>
      <c r="W3350" t="s">
        <v>40027</v>
      </c>
      <c r="X3350" t="s">
        <v>42676</v>
      </c>
    </row>
    <row r="3351" spans="1:24">
      <c r="A3351">
        <f>HYPERLINK("https://www.philgeps.gov.ph/GEPSNONPILOT/Tender/SplashBidNoticeAbstractUI.aspx?menuIndex=3&amp;refID=7192653&amp;Result=3","7192653")</f>
        <v>0</v>
      </c>
      <c r="B3351" t="s">
        <v>1224</v>
      </c>
      <c r="C3351" t="s">
        <v>6717</v>
      </c>
      <c r="D3351" t="s">
        <v>17158</v>
      </c>
      <c r="E3351" t="s">
        <v>20207</v>
      </c>
      <c r="F3351" t="s">
        <v>29372</v>
      </c>
      <c r="G3351" t="s">
        <v>29380</v>
      </c>
      <c r="H3351" t="s">
        <v>29389</v>
      </c>
      <c r="I3351" t="s">
        <v>10408</v>
      </c>
      <c r="J3351" t="s">
        <v>29619</v>
      </c>
      <c r="K3351" t="s">
        <v>38527</v>
      </c>
      <c r="M3351" t="s">
        <v>40044</v>
      </c>
      <c r="N3351" t="s">
        <v>42669</v>
      </c>
      <c r="O3351" t="s">
        <v>42670</v>
      </c>
      <c r="P3351">
        <v>0</v>
      </c>
      <c r="Q3351">
        <v>0</v>
      </c>
      <c r="R3351" t="s">
        <v>42674</v>
      </c>
      <c r="S3351" t="s">
        <v>42788</v>
      </c>
      <c r="T3351" t="s">
        <v>44482</v>
      </c>
      <c r="U3351" t="s">
        <v>47583</v>
      </c>
      <c r="V3351" t="s">
        <v>56460</v>
      </c>
      <c r="W3351" t="s">
        <v>40044</v>
      </c>
      <c r="X3351" t="s">
        <v>42676</v>
      </c>
    </row>
    <row r="3352" spans="1:24">
      <c r="A3352">
        <f>HYPERLINK("https://www.philgeps.gov.ph/GEPSNONPILOT/Tender/SplashBidNoticeAbstractUI.aspx?menuIndex=3&amp;refID=7192652&amp;Result=3","7192652")</f>
        <v>0</v>
      </c>
      <c r="B3352" t="s">
        <v>1243</v>
      </c>
      <c r="C3352" t="s">
        <v>6718</v>
      </c>
      <c r="D3352" t="s">
        <v>17170</v>
      </c>
      <c r="E3352" t="s">
        <v>20208</v>
      </c>
      <c r="F3352" t="s">
        <v>29372</v>
      </c>
      <c r="G3352" t="s">
        <v>29379</v>
      </c>
      <c r="H3352" t="s">
        <v>11048</v>
      </c>
      <c r="I3352" t="s">
        <v>29393</v>
      </c>
      <c r="J3352" t="s">
        <v>31826</v>
      </c>
      <c r="K3352" t="s">
        <v>38511</v>
      </c>
      <c r="M3352" t="s">
        <v>40066</v>
      </c>
      <c r="N3352" t="s">
        <v>42669</v>
      </c>
      <c r="O3352" t="s">
        <v>42670</v>
      </c>
      <c r="P3352">
        <v>0</v>
      </c>
      <c r="Q3352">
        <v>0</v>
      </c>
      <c r="R3352" t="s">
        <v>42674</v>
      </c>
      <c r="S3352" t="s">
        <v>42788</v>
      </c>
      <c r="T3352" t="s">
        <v>44570</v>
      </c>
      <c r="U3352" t="s">
        <v>47584</v>
      </c>
      <c r="W3352" t="s">
        <v>40066</v>
      </c>
      <c r="X3352" t="s">
        <v>42676</v>
      </c>
    </row>
    <row r="3353" spans="1:24">
      <c r="A3353">
        <f>HYPERLINK("https://www.philgeps.gov.ph/GEPSNONPILOT/Tender/SplashBidNoticeAbstractUI.aspx?menuIndex=3&amp;refID=7192650&amp;Result=3","7192650")</f>
        <v>0</v>
      </c>
      <c r="B3353" t="s">
        <v>1229</v>
      </c>
      <c r="C3353" t="s">
        <v>6719</v>
      </c>
      <c r="D3353" t="s">
        <v>17199</v>
      </c>
      <c r="E3353" t="s">
        <v>20209</v>
      </c>
      <c r="F3353" t="s">
        <v>29372</v>
      </c>
      <c r="G3353" t="s">
        <v>29379</v>
      </c>
      <c r="H3353" t="s">
        <v>11048</v>
      </c>
      <c r="I3353" t="s">
        <v>8614</v>
      </c>
      <c r="J3353" t="s">
        <v>31827</v>
      </c>
      <c r="K3353" t="s">
        <v>38496</v>
      </c>
      <c r="M3353" t="s">
        <v>40050</v>
      </c>
      <c r="N3353" t="s">
        <v>42669</v>
      </c>
      <c r="O3353" t="s">
        <v>42670</v>
      </c>
      <c r="P3353">
        <v>0</v>
      </c>
      <c r="Q3353">
        <v>2</v>
      </c>
      <c r="R3353" t="s">
        <v>42674</v>
      </c>
      <c r="S3353" t="s">
        <v>42788</v>
      </c>
      <c r="T3353" t="s">
        <v>44382</v>
      </c>
      <c r="U3353" t="s">
        <v>47585</v>
      </c>
      <c r="W3353" t="s">
        <v>40050</v>
      </c>
      <c r="X3353" t="s">
        <v>42676</v>
      </c>
    </row>
    <row r="3354" spans="1:24">
      <c r="A3354">
        <f>HYPERLINK("https://www.philgeps.gov.ph/GEPSNONPILOT/Tender/SplashBidNoticeAbstractUI.aspx?menuIndex=3&amp;refID=7192649&amp;Result=3","7192649")</f>
        <v>0</v>
      </c>
      <c r="B3354" t="s">
        <v>562</v>
      </c>
      <c r="C3354" t="s">
        <v>6720</v>
      </c>
      <c r="D3354" t="s">
        <v>17141</v>
      </c>
      <c r="E3354" t="s">
        <v>20210</v>
      </c>
      <c r="F3354" t="s">
        <v>29372</v>
      </c>
      <c r="G3354" t="s">
        <v>29379</v>
      </c>
      <c r="H3354" t="s">
        <v>11048</v>
      </c>
      <c r="I3354" t="s">
        <v>29458</v>
      </c>
      <c r="J3354" t="s">
        <v>31572</v>
      </c>
      <c r="K3354" t="s">
        <v>38491</v>
      </c>
      <c r="M3354" t="s">
        <v>39331</v>
      </c>
      <c r="N3354" t="s">
        <v>42669</v>
      </c>
      <c r="O3354" t="s">
        <v>42670</v>
      </c>
      <c r="P3354">
        <v>0</v>
      </c>
      <c r="Q3354">
        <v>0</v>
      </c>
      <c r="R3354" t="s">
        <v>42674</v>
      </c>
      <c r="S3354" t="s">
        <v>42788</v>
      </c>
      <c r="T3354" t="s">
        <v>44385</v>
      </c>
      <c r="U3354" t="s">
        <v>47586</v>
      </c>
      <c r="W3354" t="s">
        <v>39331</v>
      </c>
      <c r="X3354" t="s">
        <v>42676</v>
      </c>
    </row>
    <row r="3355" spans="1:24">
      <c r="A3355">
        <f>HYPERLINK("https://www.philgeps.gov.ph/GEPSNONPILOT/Tender/SplashBidNoticeAbstractUI.aspx?menuIndex=3&amp;refID=7192648&amp;Result=3","7192648")</f>
        <v>0</v>
      </c>
      <c r="B3355" t="s">
        <v>1245</v>
      </c>
      <c r="C3355" t="s">
        <v>6721</v>
      </c>
      <c r="D3355" t="s">
        <v>17162</v>
      </c>
      <c r="E3355" t="s">
        <v>20211</v>
      </c>
      <c r="F3355" t="s">
        <v>29372</v>
      </c>
      <c r="G3355" t="s">
        <v>29379</v>
      </c>
      <c r="H3355" t="s">
        <v>11048</v>
      </c>
      <c r="I3355" t="s">
        <v>29485</v>
      </c>
      <c r="J3355" t="s">
        <v>31828</v>
      </c>
      <c r="K3355" t="s">
        <v>38489</v>
      </c>
      <c r="L3355" t="s">
        <v>1245</v>
      </c>
      <c r="M3355" t="s">
        <v>40070</v>
      </c>
      <c r="N3355" t="s">
        <v>42669</v>
      </c>
      <c r="O3355" t="s">
        <v>42670</v>
      </c>
      <c r="P3355">
        <v>0</v>
      </c>
      <c r="Q3355">
        <v>1</v>
      </c>
      <c r="R3355" t="s">
        <v>42674</v>
      </c>
      <c r="S3355" t="s">
        <v>42788</v>
      </c>
      <c r="T3355" t="s">
        <v>44512</v>
      </c>
      <c r="U3355" t="s">
        <v>47587</v>
      </c>
      <c r="W3355" t="s">
        <v>40070</v>
      </c>
      <c r="X3355" t="s">
        <v>42676</v>
      </c>
    </row>
    <row r="3356" spans="1:24">
      <c r="A3356">
        <f>HYPERLINK("https://www.philgeps.gov.ph/GEPSNONPILOT/Tender/SplashBidNoticeAbstractUI.aspx?menuIndex=3&amp;refID=7192667&amp;Result=3","7192667")</f>
        <v>0</v>
      </c>
      <c r="B3356" t="s">
        <v>1229</v>
      </c>
      <c r="C3356" t="s">
        <v>6722</v>
      </c>
      <c r="D3356" t="s">
        <v>17199</v>
      </c>
      <c r="E3356" t="s">
        <v>20212</v>
      </c>
      <c r="F3356" t="s">
        <v>29372</v>
      </c>
      <c r="G3356" t="s">
        <v>29379</v>
      </c>
      <c r="H3356" t="s">
        <v>29391</v>
      </c>
      <c r="I3356" t="s">
        <v>29391</v>
      </c>
      <c r="J3356" t="s">
        <v>31829</v>
      </c>
      <c r="K3356" t="s">
        <v>38496</v>
      </c>
      <c r="M3356" t="s">
        <v>40050</v>
      </c>
      <c r="N3356" t="s">
        <v>42669</v>
      </c>
      <c r="O3356" t="s">
        <v>42670</v>
      </c>
      <c r="P3356">
        <v>0</v>
      </c>
      <c r="Q3356">
        <v>0</v>
      </c>
      <c r="R3356" t="s">
        <v>42674</v>
      </c>
      <c r="S3356" t="s">
        <v>42788</v>
      </c>
      <c r="T3356" t="s">
        <v>44382</v>
      </c>
      <c r="U3356" t="s">
        <v>47588</v>
      </c>
      <c r="W3356" t="s">
        <v>40050</v>
      </c>
      <c r="X3356" t="s">
        <v>42676</v>
      </c>
    </row>
    <row r="3357" spans="1:24">
      <c r="A3357">
        <f>HYPERLINK("https://www.philgeps.gov.ph/GEPSNONPILOT/Tender/SplashBidNoticeAbstractUI.aspx?menuIndex=3&amp;refID=7192654&amp;Result=3","7192654")</f>
        <v>0</v>
      </c>
      <c r="B3357" t="s">
        <v>1246</v>
      </c>
      <c r="C3357" t="s">
        <v>6723</v>
      </c>
      <c r="D3357" t="s">
        <v>17141</v>
      </c>
      <c r="E3357" t="s">
        <v>20213</v>
      </c>
      <c r="F3357" t="s">
        <v>29372</v>
      </c>
      <c r="G3357" t="s">
        <v>29379</v>
      </c>
      <c r="H3357" t="s">
        <v>11048</v>
      </c>
      <c r="I3357" t="s">
        <v>4487</v>
      </c>
      <c r="J3357" t="s">
        <v>31830</v>
      </c>
      <c r="K3357" t="s">
        <v>38485</v>
      </c>
      <c r="M3357" t="s">
        <v>40071</v>
      </c>
      <c r="N3357" t="s">
        <v>42669</v>
      </c>
      <c r="O3357" t="s">
        <v>42670</v>
      </c>
      <c r="P3357">
        <v>0</v>
      </c>
      <c r="Q3357">
        <v>6</v>
      </c>
      <c r="R3357" t="s">
        <v>42674</v>
      </c>
      <c r="S3357" t="s">
        <v>42788</v>
      </c>
      <c r="T3357" t="s">
        <v>44427</v>
      </c>
      <c r="U3357" t="s">
        <v>47589</v>
      </c>
      <c r="W3357" t="s">
        <v>40071</v>
      </c>
      <c r="X3357" t="s">
        <v>42676</v>
      </c>
    </row>
    <row r="3358" spans="1:24">
      <c r="A3358">
        <f>HYPERLINK("https://www.philgeps.gov.ph/GEPSNONPILOT/Tender/SplashBidNoticeAbstractUI.aspx?menuIndex=3&amp;refID=7192664&amp;Result=3","7192664")</f>
        <v>0</v>
      </c>
      <c r="B3358" t="s">
        <v>1247</v>
      </c>
      <c r="C3358" t="s">
        <v>6724</v>
      </c>
      <c r="D3358" t="s">
        <v>17154</v>
      </c>
      <c r="E3358" t="s">
        <v>20214</v>
      </c>
      <c r="F3358" t="s">
        <v>29372</v>
      </c>
      <c r="G3358" t="s">
        <v>29380</v>
      </c>
      <c r="H3358" t="s">
        <v>11048</v>
      </c>
      <c r="I3358" t="s">
        <v>3839</v>
      </c>
      <c r="J3358" t="s">
        <v>29801</v>
      </c>
      <c r="K3358" t="s">
        <v>38528</v>
      </c>
      <c r="M3358" t="s">
        <v>40072</v>
      </c>
      <c r="N3358" t="s">
        <v>42669</v>
      </c>
      <c r="O3358" t="s">
        <v>42670</v>
      </c>
      <c r="P3358">
        <v>0</v>
      </c>
      <c r="Q3358">
        <v>5</v>
      </c>
      <c r="R3358" t="s">
        <v>42674</v>
      </c>
      <c r="S3358" t="s">
        <v>42788</v>
      </c>
      <c r="T3358" t="s">
        <v>44450</v>
      </c>
      <c r="U3358" t="s">
        <v>47590</v>
      </c>
      <c r="W3358" t="s">
        <v>40072</v>
      </c>
      <c r="X3358" t="s">
        <v>42676</v>
      </c>
    </row>
    <row r="3359" spans="1:24">
      <c r="A3359">
        <f>HYPERLINK("https://www.philgeps.gov.ph/GEPSNONPILOT/Tender/SplashBidNoticeAbstractUI.aspx?menuIndex=3&amp;refID=7192665&amp;Result=3","7192665")</f>
        <v>0</v>
      </c>
      <c r="B3359" t="s">
        <v>1248</v>
      </c>
      <c r="C3359" t="s">
        <v>6725</v>
      </c>
      <c r="D3359" t="s">
        <v>17145</v>
      </c>
      <c r="E3359" t="s">
        <v>20215</v>
      </c>
      <c r="F3359" t="s">
        <v>29372</v>
      </c>
      <c r="G3359" t="s">
        <v>29380</v>
      </c>
      <c r="H3359" t="s">
        <v>29389</v>
      </c>
      <c r="I3359" t="s">
        <v>10408</v>
      </c>
      <c r="J3359" t="s">
        <v>31831</v>
      </c>
      <c r="K3359" t="s">
        <v>38495</v>
      </c>
      <c r="M3359" t="s">
        <v>40073</v>
      </c>
      <c r="N3359" t="s">
        <v>42669</v>
      </c>
      <c r="O3359" t="s">
        <v>42670</v>
      </c>
      <c r="P3359">
        <v>0</v>
      </c>
      <c r="Q3359">
        <v>5</v>
      </c>
      <c r="R3359" t="s">
        <v>42674</v>
      </c>
      <c r="S3359" t="s">
        <v>42788</v>
      </c>
      <c r="T3359" t="s">
        <v>44363</v>
      </c>
      <c r="U3359" t="s">
        <v>47591</v>
      </c>
      <c r="W3359" t="s">
        <v>40073</v>
      </c>
      <c r="X3359" t="s">
        <v>42676</v>
      </c>
    </row>
    <row r="3360" spans="1:24">
      <c r="A3360">
        <f>HYPERLINK("https://www.philgeps.gov.ph/GEPSNONPILOT/Tender/SplashBidNoticeAbstractUI.aspx?menuIndex=3&amp;refID=7192625&amp;Result=3","7192625")</f>
        <v>0</v>
      </c>
      <c r="B3360" t="s">
        <v>1219</v>
      </c>
      <c r="C3360" t="s">
        <v>6726</v>
      </c>
      <c r="D3360" t="s">
        <v>17172</v>
      </c>
      <c r="E3360" t="s">
        <v>20216</v>
      </c>
      <c r="F3360" t="s">
        <v>29372</v>
      </c>
      <c r="G3360" t="s">
        <v>29380</v>
      </c>
      <c r="H3360" t="s">
        <v>11048</v>
      </c>
      <c r="I3360" t="s">
        <v>3670</v>
      </c>
      <c r="J3360" t="s">
        <v>31832</v>
      </c>
      <c r="K3360" t="s">
        <v>38490</v>
      </c>
      <c r="M3360" t="s">
        <v>40039</v>
      </c>
      <c r="N3360" t="s">
        <v>42669</v>
      </c>
      <c r="O3360" t="s">
        <v>42670</v>
      </c>
      <c r="P3360">
        <v>0</v>
      </c>
      <c r="Q3360">
        <v>0</v>
      </c>
      <c r="R3360" t="s">
        <v>42674</v>
      </c>
      <c r="S3360" t="s">
        <v>42788</v>
      </c>
      <c r="T3360" t="s">
        <v>44391</v>
      </c>
      <c r="U3360" t="s">
        <v>47500</v>
      </c>
      <c r="V3360" t="s">
        <v>56670</v>
      </c>
      <c r="W3360" t="s">
        <v>40039</v>
      </c>
      <c r="X3360" t="s">
        <v>42676</v>
      </c>
    </row>
    <row r="3361" spans="1:24">
      <c r="A3361">
        <f>HYPERLINK("https://www.philgeps.gov.ph/GEPSNONPILOT/Tender/SplashBidNoticeAbstractUI.aspx?menuIndex=3&amp;refID=7192661&amp;Result=3","7192661")</f>
        <v>0</v>
      </c>
      <c r="B3361" t="s">
        <v>1243</v>
      </c>
      <c r="C3361" t="s">
        <v>6727</v>
      </c>
      <c r="D3361" t="s">
        <v>17170</v>
      </c>
      <c r="E3361" t="s">
        <v>20217</v>
      </c>
      <c r="F3361" t="s">
        <v>29372</v>
      </c>
      <c r="G3361" t="s">
        <v>29379</v>
      </c>
      <c r="H3361" t="s">
        <v>11048</v>
      </c>
      <c r="I3361" t="s">
        <v>3695</v>
      </c>
      <c r="J3361" t="s">
        <v>29780</v>
      </c>
      <c r="K3361" t="s">
        <v>38510</v>
      </c>
      <c r="M3361" t="s">
        <v>40066</v>
      </c>
      <c r="N3361" t="s">
        <v>42669</v>
      </c>
      <c r="O3361" t="s">
        <v>42670</v>
      </c>
      <c r="P3361">
        <v>0</v>
      </c>
      <c r="Q3361">
        <v>3</v>
      </c>
      <c r="R3361" t="s">
        <v>42674</v>
      </c>
      <c r="S3361" t="s">
        <v>42788</v>
      </c>
      <c r="T3361" t="s">
        <v>44570</v>
      </c>
      <c r="U3361" t="s">
        <v>47592</v>
      </c>
      <c r="W3361" t="s">
        <v>40066</v>
      </c>
      <c r="X3361" t="s">
        <v>42676</v>
      </c>
    </row>
    <row r="3362" spans="1:24">
      <c r="A3362">
        <f>HYPERLINK("https://www.philgeps.gov.ph/GEPSNONPILOT/Tender/SplashBidNoticeAbstractUI.aspx?menuIndex=3&amp;refID=7192632&amp;Result=3","7192632")</f>
        <v>0</v>
      </c>
      <c r="B3362" t="s">
        <v>1246</v>
      </c>
      <c r="C3362" t="s">
        <v>6728</v>
      </c>
      <c r="D3362" t="s">
        <v>17141</v>
      </c>
      <c r="E3362" t="s">
        <v>20218</v>
      </c>
      <c r="F3362" t="s">
        <v>29372</v>
      </c>
      <c r="G3362" t="s">
        <v>29379</v>
      </c>
      <c r="H3362" t="s">
        <v>11048</v>
      </c>
      <c r="I3362" t="s">
        <v>29405</v>
      </c>
      <c r="J3362" t="s">
        <v>31833</v>
      </c>
      <c r="K3362" t="s">
        <v>38485</v>
      </c>
      <c r="M3362" t="s">
        <v>40071</v>
      </c>
      <c r="N3362" t="s">
        <v>42669</v>
      </c>
      <c r="O3362" t="s">
        <v>42670</v>
      </c>
      <c r="P3362">
        <v>0</v>
      </c>
      <c r="Q3362">
        <v>6</v>
      </c>
      <c r="R3362" t="s">
        <v>42674</v>
      </c>
      <c r="S3362" t="s">
        <v>42788</v>
      </c>
      <c r="T3362" t="s">
        <v>44427</v>
      </c>
      <c r="U3362" t="s">
        <v>47593</v>
      </c>
      <c r="W3362" t="s">
        <v>40071</v>
      </c>
      <c r="X3362" t="s">
        <v>42676</v>
      </c>
    </row>
    <row r="3363" spans="1:24">
      <c r="A3363">
        <f>HYPERLINK("https://www.philgeps.gov.ph/GEPSNONPILOT/Tender/SplashBidNoticeAbstractUI.aspx?menuIndex=3&amp;refID=7192660&amp;Result=3","7192660")</f>
        <v>0</v>
      </c>
      <c r="B3363" t="s">
        <v>1249</v>
      </c>
      <c r="C3363" t="s">
        <v>6729</v>
      </c>
      <c r="D3363" t="s">
        <v>17182</v>
      </c>
      <c r="E3363" t="s">
        <v>17493</v>
      </c>
      <c r="F3363" t="s">
        <v>29372</v>
      </c>
      <c r="G3363" t="s">
        <v>29379</v>
      </c>
      <c r="H3363" t="s">
        <v>29389</v>
      </c>
      <c r="I3363" t="s">
        <v>10408</v>
      </c>
      <c r="J3363" t="s">
        <v>31834</v>
      </c>
      <c r="K3363" t="s">
        <v>38490</v>
      </c>
      <c r="M3363" t="s">
        <v>40074</v>
      </c>
      <c r="N3363" t="s">
        <v>42669</v>
      </c>
      <c r="O3363" t="s">
        <v>42670</v>
      </c>
      <c r="P3363">
        <v>0</v>
      </c>
      <c r="Q3363">
        <v>1</v>
      </c>
      <c r="R3363" t="s">
        <v>42674</v>
      </c>
      <c r="S3363" t="s">
        <v>42788</v>
      </c>
      <c r="T3363" t="s">
        <v>44628</v>
      </c>
      <c r="U3363" t="s">
        <v>47594</v>
      </c>
      <c r="W3363" t="s">
        <v>40074</v>
      </c>
      <c r="X3363" t="s">
        <v>42676</v>
      </c>
    </row>
    <row r="3364" spans="1:24">
      <c r="A3364">
        <f>HYPERLINK("https://www.philgeps.gov.ph/GEPSNONPILOT/Tender/SplashBidNoticeAbstractUI.aspx?menuIndex=3&amp;refID=7192663&amp;Result=3","7192663")</f>
        <v>0</v>
      </c>
      <c r="B3364" t="s">
        <v>469</v>
      </c>
      <c r="C3364" t="s">
        <v>6730</v>
      </c>
      <c r="D3364" t="s">
        <v>17170</v>
      </c>
      <c r="E3364" t="s">
        <v>20219</v>
      </c>
      <c r="F3364" t="s">
        <v>29372</v>
      </c>
      <c r="G3364" t="s">
        <v>29385</v>
      </c>
      <c r="H3364" t="s">
        <v>11048</v>
      </c>
      <c r="I3364" t="s">
        <v>3670</v>
      </c>
      <c r="J3364" t="s">
        <v>29799</v>
      </c>
      <c r="K3364" t="s">
        <v>38485</v>
      </c>
      <c r="M3364" t="s">
        <v>39233</v>
      </c>
      <c r="N3364" t="s">
        <v>42669</v>
      </c>
      <c r="O3364" t="s">
        <v>42670</v>
      </c>
      <c r="P3364">
        <v>0</v>
      </c>
      <c r="Q3364">
        <v>0</v>
      </c>
      <c r="R3364" t="s">
        <v>42674</v>
      </c>
      <c r="S3364" t="s">
        <v>42788</v>
      </c>
      <c r="T3364" t="s">
        <v>44432</v>
      </c>
      <c r="U3364" t="s">
        <v>47595</v>
      </c>
      <c r="W3364" t="s">
        <v>39233</v>
      </c>
      <c r="X3364" t="s">
        <v>42676</v>
      </c>
    </row>
    <row r="3365" spans="1:24">
      <c r="A3365">
        <f>HYPERLINK("https://www.philgeps.gov.ph/GEPSNONPILOT/Tender/SplashBidNoticeAbstractUI.aspx?menuIndex=3&amp;refID=7192619&amp;Result=3","7192619")</f>
        <v>0</v>
      </c>
      <c r="B3365" t="s">
        <v>1243</v>
      </c>
      <c r="C3365" t="s">
        <v>6731</v>
      </c>
      <c r="D3365" t="s">
        <v>17170</v>
      </c>
      <c r="E3365" t="s">
        <v>20220</v>
      </c>
      <c r="F3365" t="s">
        <v>29372</v>
      </c>
      <c r="G3365" t="s">
        <v>29379</v>
      </c>
      <c r="H3365" t="s">
        <v>11048</v>
      </c>
      <c r="I3365" t="s">
        <v>3860</v>
      </c>
      <c r="J3365" t="s">
        <v>31835</v>
      </c>
      <c r="K3365" t="s">
        <v>38510</v>
      </c>
      <c r="M3365" t="s">
        <v>40066</v>
      </c>
      <c r="N3365" t="s">
        <v>42669</v>
      </c>
      <c r="O3365" t="s">
        <v>42670</v>
      </c>
      <c r="P3365">
        <v>0</v>
      </c>
      <c r="Q3365">
        <v>0</v>
      </c>
      <c r="R3365" t="s">
        <v>42674</v>
      </c>
      <c r="S3365" t="s">
        <v>42788</v>
      </c>
      <c r="T3365" t="s">
        <v>44570</v>
      </c>
      <c r="U3365" t="s">
        <v>47596</v>
      </c>
      <c r="W3365" t="s">
        <v>40066</v>
      </c>
      <c r="X3365" t="s">
        <v>42676</v>
      </c>
    </row>
    <row r="3366" spans="1:24">
      <c r="A3366">
        <f>HYPERLINK("https://www.philgeps.gov.ph/GEPSNONPILOT/Tender/SplashBidNoticeAbstractUI.aspx?menuIndex=3&amp;refID=7192662&amp;Result=3","7192662")</f>
        <v>0</v>
      </c>
      <c r="B3366" t="s">
        <v>896</v>
      </c>
      <c r="C3366" t="s">
        <v>6732</v>
      </c>
      <c r="D3366" t="s">
        <v>17188</v>
      </c>
      <c r="E3366" t="s">
        <v>20221</v>
      </c>
      <c r="F3366" t="s">
        <v>29372</v>
      </c>
      <c r="G3366" t="s">
        <v>29380</v>
      </c>
      <c r="H3366" t="s">
        <v>29389</v>
      </c>
      <c r="I3366" t="s">
        <v>10408</v>
      </c>
      <c r="J3366" t="s">
        <v>29708</v>
      </c>
      <c r="K3366" t="s">
        <v>38521</v>
      </c>
      <c r="M3366" t="s">
        <v>40075</v>
      </c>
      <c r="N3366" t="s">
        <v>42669</v>
      </c>
      <c r="O3366" t="s">
        <v>42670</v>
      </c>
      <c r="P3366">
        <v>0</v>
      </c>
      <c r="Q3366">
        <v>0</v>
      </c>
      <c r="R3366" t="s">
        <v>42674</v>
      </c>
      <c r="S3366" t="s">
        <v>42788</v>
      </c>
      <c r="T3366" t="s">
        <v>44584</v>
      </c>
      <c r="U3366" t="s">
        <v>47597</v>
      </c>
      <c r="V3366" t="s">
        <v>56575</v>
      </c>
      <c r="W3366" t="s">
        <v>40075</v>
      </c>
      <c r="X3366" t="s">
        <v>42676</v>
      </c>
    </row>
    <row r="3367" spans="1:24">
      <c r="A3367">
        <f>HYPERLINK("https://www.philgeps.gov.ph/GEPSNONPILOT/Tender/SplashBidNoticeAbstractUI.aspx?menuIndex=3&amp;refID=7192659&amp;Result=3","7192659")</f>
        <v>0</v>
      </c>
      <c r="B3367" t="s">
        <v>1094</v>
      </c>
      <c r="C3367" t="s">
        <v>6733</v>
      </c>
      <c r="D3367" t="s">
        <v>17213</v>
      </c>
      <c r="E3367" t="s">
        <v>20222</v>
      </c>
      <c r="F3367" t="s">
        <v>29372</v>
      </c>
      <c r="G3367" t="s">
        <v>29379</v>
      </c>
      <c r="H3367" t="s">
        <v>11048</v>
      </c>
      <c r="I3367" t="s">
        <v>5383</v>
      </c>
      <c r="J3367" t="s">
        <v>30058</v>
      </c>
      <c r="K3367" t="s">
        <v>38491</v>
      </c>
      <c r="L3367" t="s">
        <v>1094</v>
      </c>
      <c r="M3367" t="s">
        <v>39901</v>
      </c>
      <c r="N3367" t="s">
        <v>42669</v>
      </c>
      <c r="O3367" t="s">
        <v>42670</v>
      </c>
      <c r="P3367">
        <v>0</v>
      </c>
      <c r="Q3367">
        <v>2</v>
      </c>
      <c r="R3367" t="s">
        <v>42674</v>
      </c>
      <c r="S3367" t="s">
        <v>42788</v>
      </c>
      <c r="T3367" t="s">
        <v>44629</v>
      </c>
      <c r="U3367" t="s">
        <v>47598</v>
      </c>
      <c r="V3367" t="s">
        <v>56671</v>
      </c>
      <c r="W3367" t="s">
        <v>39901</v>
      </c>
      <c r="X3367" t="s">
        <v>42676</v>
      </c>
    </row>
    <row r="3368" spans="1:24">
      <c r="A3368">
        <f>HYPERLINK("https://www.philgeps.gov.ph/GEPSNONPILOT/Tender/SplashBidNoticeAbstractUI.aspx?menuIndex=3&amp;refID=7192656&amp;Result=3","7192656")</f>
        <v>0</v>
      </c>
      <c r="B3368" t="s">
        <v>469</v>
      </c>
      <c r="C3368" t="s">
        <v>6734</v>
      </c>
      <c r="D3368" t="s">
        <v>17170</v>
      </c>
      <c r="E3368" t="s">
        <v>20223</v>
      </c>
      <c r="F3368" t="s">
        <v>29372</v>
      </c>
      <c r="G3368" t="s">
        <v>29379</v>
      </c>
      <c r="H3368" t="s">
        <v>11048</v>
      </c>
      <c r="I3368" t="s">
        <v>29460</v>
      </c>
      <c r="J3368" t="s">
        <v>31748</v>
      </c>
      <c r="K3368" t="s">
        <v>38485</v>
      </c>
      <c r="M3368" t="s">
        <v>39233</v>
      </c>
      <c r="N3368" t="s">
        <v>42669</v>
      </c>
      <c r="O3368" t="s">
        <v>42670</v>
      </c>
      <c r="P3368">
        <v>0</v>
      </c>
      <c r="Q3368">
        <v>1</v>
      </c>
      <c r="R3368" t="s">
        <v>42674</v>
      </c>
      <c r="S3368" t="s">
        <v>42788</v>
      </c>
      <c r="T3368" t="s">
        <v>44432</v>
      </c>
      <c r="U3368" t="s">
        <v>47599</v>
      </c>
      <c r="W3368" t="s">
        <v>39233</v>
      </c>
      <c r="X3368" t="s">
        <v>42676</v>
      </c>
    </row>
    <row r="3369" spans="1:24">
      <c r="A3369">
        <f>HYPERLINK("https://www.philgeps.gov.ph/GEPSNONPILOT/Tender/SplashBidNoticeAbstractUI.aspx?menuIndex=3&amp;refID=7192620&amp;Result=3","7192620")</f>
        <v>0</v>
      </c>
      <c r="B3369" t="s">
        <v>1250</v>
      </c>
      <c r="C3369" t="s">
        <v>6735</v>
      </c>
      <c r="D3369" t="s">
        <v>17189</v>
      </c>
      <c r="E3369" t="s">
        <v>20224</v>
      </c>
      <c r="F3369" t="s">
        <v>29372</v>
      </c>
      <c r="G3369" t="s">
        <v>29383</v>
      </c>
      <c r="H3369" t="s">
        <v>11048</v>
      </c>
      <c r="I3369" t="s">
        <v>5383</v>
      </c>
      <c r="J3369" t="s">
        <v>30539</v>
      </c>
      <c r="K3369" t="s">
        <v>38528</v>
      </c>
      <c r="M3369" t="s">
        <v>40076</v>
      </c>
      <c r="N3369" t="s">
        <v>42669</v>
      </c>
      <c r="O3369" t="s">
        <v>42670</v>
      </c>
      <c r="P3369">
        <v>0</v>
      </c>
      <c r="Q3369">
        <v>0</v>
      </c>
      <c r="R3369" t="s">
        <v>42674</v>
      </c>
      <c r="S3369" t="s">
        <v>42788</v>
      </c>
      <c r="T3369" t="s">
        <v>44429</v>
      </c>
      <c r="U3369" t="s">
        <v>47600</v>
      </c>
      <c r="W3369" t="s">
        <v>40076</v>
      </c>
      <c r="X3369" t="s">
        <v>42676</v>
      </c>
    </row>
    <row r="3370" spans="1:24">
      <c r="A3370">
        <f>HYPERLINK("https://www.philgeps.gov.ph/GEPSNONPILOT/Tender/SplashBidNoticeAbstractUI.aspx?menuIndex=3&amp;refID=7192694&amp;Result=3","7192694")</f>
        <v>0</v>
      </c>
      <c r="B3370" t="s">
        <v>1229</v>
      </c>
      <c r="C3370" t="s">
        <v>6736</v>
      </c>
      <c r="D3370" t="s">
        <v>17199</v>
      </c>
      <c r="E3370" t="s">
        <v>20225</v>
      </c>
      <c r="F3370" t="s">
        <v>29372</v>
      </c>
      <c r="G3370" t="s">
        <v>29379</v>
      </c>
      <c r="H3370" t="s">
        <v>11048</v>
      </c>
      <c r="I3370" t="s">
        <v>29433</v>
      </c>
      <c r="J3370" t="s">
        <v>31836</v>
      </c>
      <c r="K3370" t="s">
        <v>38496</v>
      </c>
      <c r="M3370" t="s">
        <v>40050</v>
      </c>
      <c r="N3370" t="s">
        <v>42669</v>
      </c>
      <c r="O3370" t="s">
        <v>42670</v>
      </c>
      <c r="P3370">
        <v>0</v>
      </c>
      <c r="Q3370">
        <v>6</v>
      </c>
      <c r="R3370" t="s">
        <v>42674</v>
      </c>
      <c r="S3370" t="s">
        <v>42788</v>
      </c>
      <c r="T3370" t="s">
        <v>44382</v>
      </c>
      <c r="U3370" t="s">
        <v>47601</v>
      </c>
      <c r="W3370" t="s">
        <v>40050</v>
      </c>
      <c r="X3370" t="s">
        <v>42676</v>
      </c>
    </row>
    <row r="3371" spans="1:24">
      <c r="A3371">
        <f>HYPERLINK("https://www.philgeps.gov.ph/GEPSNONPILOT/Tender/SplashBidNoticeAbstractUI.aspx?menuIndex=3&amp;refID=7192692&amp;Result=3","7192692")</f>
        <v>0</v>
      </c>
      <c r="B3371" t="s">
        <v>1251</v>
      </c>
      <c r="C3371" t="s">
        <v>6737</v>
      </c>
      <c r="D3371" t="s">
        <v>17152</v>
      </c>
      <c r="E3371" t="s">
        <v>20226</v>
      </c>
      <c r="F3371" t="s">
        <v>29372</v>
      </c>
      <c r="G3371" t="s">
        <v>29380</v>
      </c>
      <c r="H3371" t="s">
        <v>11048</v>
      </c>
      <c r="I3371" t="s">
        <v>3839</v>
      </c>
      <c r="J3371" t="s">
        <v>29525</v>
      </c>
      <c r="K3371" t="s">
        <v>38488</v>
      </c>
      <c r="M3371" t="s">
        <v>40077</v>
      </c>
      <c r="N3371" t="s">
        <v>42669</v>
      </c>
      <c r="O3371" t="s">
        <v>42670</v>
      </c>
      <c r="P3371">
        <v>0</v>
      </c>
      <c r="Q3371">
        <v>2</v>
      </c>
      <c r="R3371" t="s">
        <v>42674</v>
      </c>
      <c r="S3371" t="s">
        <v>42788</v>
      </c>
      <c r="T3371" t="s">
        <v>44550</v>
      </c>
      <c r="U3371" t="s">
        <v>47602</v>
      </c>
      <c r="W3371" t="s">
        <v>40077</v>
      </c>
      <c r="X3371" t="s">
        <v>42676</v>
      </c>
    </row>
    <row r="3372" spans="1:24">
      <c r="A3372">
        <f>HYPERLINK("https://www.philgeps.gov.ph/GEPSNONPILOT/Tender/SplashBidNoticeAbstractUI.aspx?menuIndex=3&amp;refID=7192693&amp;Result=3","7192693")</f>
        <v>0</v>
      </c>
      <c r="B3372" t="s">
        <v>1252</v>
      </c>
      <c r="C3372" t="s">
        <v>6738</v>
      </c>
      <c r="D3372" t="s">
        <v>17152</v>
      </c>
      <c r="E3372" t="s">
        <v>20227</v>
      </c>
      <c r="F3372" t="s">
        <v>29372</v>
      </c>
      <c r="G3372" t="s">
        <v>29380</v>
      </c>
      <c r="H3372" t="s">
        <v>11048</v>
      </c>
      <c r="I3372" t="s">
        <v>3629</v>
      </c>
      <c r="J3372" t="s">
        <v>31837</v>
      </c>
      <c r="K3372" t="s">
        <v>38510</v>
      </c>
      <c r="M3372" t="s">
        <v>40078</v>
      </c>
      <c r="N3372" t="s">
        <v>42669</v>
      </c>
      <c r="O3372" t="s">
        <v>42670</v>
      </c>
      <c r="P3372">
        <v>0</v>
      </c>
      <c r="Q3372">
        <v>0</v>
      </c>
      <c r="R3372" t="s">
        <v>42674</v>
      </c>
      <c r="S3372" t="s">
        <v>42788</v>
      </c>
      <c r="T3372" t="s">
        <v>44474</v>
      </c>
      <c r="U3372" t="s">
        <v>47603</v>
      </c>
      <c r="V3372" t="s">
        <v>56672</v>
      </c>
      <c r="W3372" t="s">
        <v>40078</v>
      </c>
      <c r="X3372" t="s">
        <v>42676</v>
      </c>
    </row>
    <row r="3373" spans="1:24">
      <c r="A3373">
        <f>HYPERLINK("https://www.philgeps.gov.ph/GEPSNONPILOT/Tender/SplashBidNoticeAbstractUI.aspx?menuIndex=3&amp;refID=7192689&amp;Result=3","7192689")</f>
        <v>0</v>
      </c>
      <c r="B3373" t="s">
        <v>143</v>
      </c>
      <c r="C3373" t="s">
        <v>6739</v>
      </c>
      <c r="D3373" t="s">
        <v>17182</v>
      </c>
      <c r="E3373" t="s">
        <v>20228</v>
      </c>
      <c r="F3373" t="s">
        <v>29372</v>
      </c>
      <c r="G3373" t="s">
        <v>29379</v>
      </c>
      <c r="H3373" t="s">
        <v>11048</v>
      </c>
      <c r="I3373" t="s">
        <v>9642</v>
      </c>
      <c r="J3373" t="s">
        <v>31838</v>
      </c>
      <c r="K3373" t="s">
        <v>38488</v>
      </c>
      <c r="M3373" t="s">
        <v>38898</v>
      </c>
      <c r="N3373" t="s">
        <v>42669</v>
      </c>
      <c r="O3373" t="s">
        <v>42670</v>
      </c>
      <c r="P3373">
        <v>0</v>
      </c>
      <c r="Q3373">
        <v>3</v>
      </c>
      <c r="R3373" t="s">
        <v>42674</v>
      </c>
      <c r="S3373" t="s">
        <v>42788</v>
      </c>
      <c r="T3373" t="s">
        <v>44385</v>
      </c>
      <c r="U3373" t="s">
        <v>47420</v>
      </c>
      <c r="W3373" t="s">
        <v>38898</v>
      </c>
      <c r="X3373" t="s">
        <v>42676</v>
      </c>
    </row>
    <row r="3374" spans="1:24">
      <c r="A3374">
        <f>HYPERLINK("https://www.philgeps.gov.ph/GEPSNONPILOT/Tender/SplashBidNoticeAbstractUI.aspx?menuIndex=3&amp;refID=7192624&amp;Result=3","7192624")</f>
        <v>0</v>
      </c>
      <c r="B3374" t="s">
        <v>1253</v>
      </c>
      <c r="C3374" t="s">
        <v>6740</v>
      </c>
      <c r="D3374" t="s">
        <v>17177</v>
      </c>
      <c r="E3374" t="s">
        <v>20229</v>
      </c>
      <c r="F3374" t="s">
        <v>29372</v>
      </c>
      <c r="G3374" t="s">
        <v>29380</v>
      </c>
      <c r="H3374" t="s">
        <v>11048</v>
      </c>
      <c r="I3374" t="s">
        <v>29462</v>
      </c>
      <c r="J3374" t="s">
        <v>31839</v>
      </c>
      <c r="K3374" t="s">
        <v>38485</v>
      </c>
      <c r="M3374" t="s">
        <v>40079</v>
      </c>
      <c r="N3374" t="s">
        <v>42669</v>
      </c>
      <c r="O3374" t="s">
        <v>42670</v>
      </c>
      <c r="P3374">
        <v>0</v>
      </c>
      <c r="Q3374">
        <v>2</v>
      </c>
      <c r="R3374" t="s">
        <v>42674</v>
      </c>
      <c r="S3374" t="s">
        <v>42788</v>
      </c>
      <c r="T3374" t="s">
        <v>44465</v>
      </c>
      <c r="U3374" t="s">
        <v>47604</v>
      </c>
      <c r="V3374" t="s">
        <v>56673</v>
      </c>
      <c r="W3374" t="s">
        <v>58042</v>
      </c>
      <c r="X3374" t="s">
        <v>42676</v>
      </c>
    </row>
    <row r="3375" spans="1:24">
      <c r="A3375">
        <f>HYPERLINK("https://www.philgeps.gov.ph/GEPSNONPILOT/Tender/SplashBidNoticeAbstractUI.aspx?menuIndex=3&amp;refID=7192647&amp;Result=3","7192647")</f>
        <v>0</v>
      </c>
      <c r="B3375" t="s">
        <v>616</v>
      </c>
      <c r="C3375" t="s">
        <v>6741</v>
      </c>
      <c r="D3375" t="s">
        <v>17183</v>
      </c>
      <c r="E3375" t="s">
        <v>20230</v>
      </c>
      <c r="F3375" t="s">
        <v>29372</v>
      </c>
      <c r="G3375" t="s">
        <v>29379</v>
      </c>
      <c r="H3375" t="s">
        <v>29389</v>
      </c>
      <c r="I3375" t="s">
        <v>29417</v>
      </c>
      <c r="J3375" t="s">
        <v>31840</v>
      </c>
      <c r="K3375" t="s">
        <v>38485</v>
      </c>
      <c r="M3375" t="s">
        <v>40027</v>
      </c>
      <c r="N3375" t="s">
        <v>42669</v>
      </c>
      <c r="O3375" t="s">
        <v>42670</v>
      </c>
      <c r="P3375">
        <v>0</v>
      </c>
      <c r="Q3375">
        <v>5</v>
      </c>
      <c r="R3375" t="s">
        <v>42674</v>
      </c>
      <c r="S3375" t="s">
        <v>42788</v>
      </c>
      <c r="T3375" t="s">
        <v>44468</v>
      </c>
      <c r="U3375" t="s">
        <v>47605</v>
      </c>
      <c r="W3375" t="s">
        <v>40027</v>
      </c>
      <c r="X3375" t="s">
        <v>42676</v>
      </c>
    </row>
    <row r="3376" spans="1:24">
      <c r="A3376">
        <f>HYPERLINK("https://www.philgeps.gov.ph/GEPSNONPILOT/Tender/SplashBidNoticeAbstractUI.aspx?menuIndex=3&amp;refID=7192657&amp;Result=3","7192657")</f>
        <v>0</v>
      </c>
      <c r="B3376" t="s">
        <v>616</v>
      </c>
      <c r="C3376" t="s">
        <v>6742</v>
      </c>
      <c r="D3376" t="s">
        <v>17183</v>
      </c>
      <c r="E3376" t="s">
        <v>20231</v>
      </c>
      <c r="F3376" t="s">
        <v>29372</v>
      </c>
      <c r="G3376" t="s">
        <v>29379</v>
      </c>
      <c r="H3376" t="s">
        <v>29389</v>
      </c>
      <c r="I3376" t="s">
        <v>4709</v>
      </c>
      <c r="J3376" t="s">
        <v>31841</v>
      </c>
      <c r="K3376" t="s">
        <v>38488</v>
      </c>
      <c r="M3376" t="s">
        <v>40027</v>
      </c>
      <c r="N3376" t="s">
        <v>42669</v>
      </c>
      <c r="O3376" t="s">
        <v>42670</v>
      </c>
      <c r="P3376">
        <v>0</v>
      </c>
      <c r="Q3376">
        <v>0</v>
      </c>
      <c r="R3376" t="s">
        <v>42674</v>
      </c>
      <c r="S3376" t="s">
        <v>42788</v>
      </c>
      <c r="T3376" t="s">
        <v>44468</v>
      </c>
      <c r="U3376" t="s">
        <v>47606</v>
      </c>
      <c r="W3376" t="s">
        <v>40027</v>
      </c>
      <c r="X3376" t="s">
        <v>42676</v>
      </c>
    </row>
    <row r="3377" spans="1:24">
      <c r="A3377">
        <f>HYPERLINK("https://www.philgeps.gov.ph/GEPSNONPILOT/Tender/SplashBidNoticeAbstractUI.aspx?menuIndex=3&amp;refID=7192691&amp;Result=3","7192691")</f>
        <v>0</v>
      </c>
      <c r="B3377" t="s">
        <v>896</v>
      </c>
      <c r="C3377" t="s">
        <v>6743</v>
      </c>
      <c r="D3377" t="s">
        <v>17188</v>
      </c>
      <c r="E3377" t="s">
        <v>20232</v>
      </c>
      <c r="F3377" t="s">
        <v>29372</v>
      </c>
      <c r="G3377" t="s">
        <v>29380</v>
      </c>
      <c r="H3377" t="s">
        <v>29389</v>
      </c>
      <c r="I3377" t="s">
        <v>10408</v>
      </c>
      <c r="J3377" t="s">
        <v>31842</v>
      </c>
      <c r="K3377" t="s">
        <v>38555</v>
      </c>
      <c r="M3377" t="s">
        <v>40075</v>
      </c>
      <c r="N3377" t="s">
        <v>42669</v>
      </c>
      <c r="O3377" t="s">
        <v>42670</v>
      </c>
      <c r="P3377">
        <v>0</v>
      </c>
      <c r="Q3377">
        <v>0</v>
      </c>
      <c r="R3377" t="s">
        <v>42674</v>
      </c>
      <c r="S3377" t="s">
        <v>42788</v>
      </c>
      <c r="T3377" t="s">
        <v>44584</v>
      </c>
      <c r="U3377" t="s">
        <v>47607</v>
      </c>
      <c r="V3377" t="s">
        <v>56575</v>
      </c>
      <c r="W3377" t="s">
        <v>40075</v>
      </c>
      <c r="X3377" t="s">
        <v>42676</v>
      </c>
    </row>
    <row r="3378" spans="1:24">
      <c r="A3378">
        <f>HYPERLINK("https://www.philgeps.gov.ph/GEPSNONPILOT/Tender/SplashBidNoticeAbstractUI.aspx?menuIndex=3&amp;refID=7192678&amp;Result=3","7192678")</f>
        <v>0</v>
      </c>
      <c r="B3378" t="s">
        <v>1246</v>
      </c>
      <c r="C3378" t="s">
        <v>6744</v>
      </c>
      <c r="D3378" t="s">
        <v>17141</v>
      </c>
      <c r="E3378" t="s">
        <v>20233</v>
      </c>
      <c r="F3378" t="s">
        <v>29372</v>
      </c>
      <c r="G3378" t="s">
        <v>29379</v>
      </c>
      <c r="H3378" t="s">
        <v>11048</v>
      </c>
      <c r="I3378" t="s">
        <v>4487</v>
      </c>
      <c r="J3378" t="s">
        <v>31843</v>
      </c>
      <c r="K3378" t="s">
        <v>38485</v>
      </c>
      <c r="M3378" t="s">
        <v>40071</v>
      </c>
      <c r="N3378" t="s">
        <v>42669</v>
      </c>
      <c r="O3378" t="s">
        <v>42670</v>
      </c>
      <c r="P3378">
        <v>0</v>
      </c>
      <c r="Q3378">
        <v>7</v>
      </c>
      <c r="R3378" t="s">
        <v>42674</v>
      </c>
      <c r="S3378" t="s">
        <v>42788</v>
      </c>
      <c r="T3378" t="s">
        <v>44427</v>
      </c>
      <c r="U3378" t="s">
        <v>47608</v>
      </c>
      <c r="W3378" t="s">
        <v>40071</v>
      </c>
      <c r="X3378" t="s">
        <v>42676</v>
      </c>
    </row>
    <row r="3379" spans="1:24">
      <c r="A3379">
        <f>HYPERLINK("https://www.philgeps.gov.ph/GEPSNONPILOT/Tender/SplashBidNoticeAbstractUI.aspx?menuIndex=3&amp;refID=7192695&amp;Result=3","7192695")</f>
        <v>0</v>
      </c>
      <c r="B3379" t="s">
        <v>562</v>
      </c>
      <c r="C3379" t="s">
        <v>6745</v>
      </c>
      <c r="D3379" t="s">
        <v>17141</v>
      </c>
      <c r="E3379" t="s">
        <v>20234</v>
      </c>
      <c r="F3379" t="s">
        <v>29372</v>
      </c>
      <c r="G3379" t="s">
        <v>29382</v>
      </c>
      <c r="H3379" t="s">
        <v>11048</v>
      </c>
      <c r="I3379" t="s">
        <v>29458</v>
      </c>
      <c r="J3379" t="s">
        <v>31844</v>
      </c>
      <c r="K3379" t="s">
        <v>38491</v>
      </c>
      <c r="M3379" t="s">
        <v>39331</v>
      </c>
      <c r="N3379" t="s">
        <v>42669</v>
      </c>
      <c r="O3379" t="s">
        <v>42670</v>
      </c>
      <c r="P3379">
        <v>0</v>
      </c>
      <c r="Q3379">
        <v>7</v>
      </c>
      <c r="R3379" t="s">
        <v>42674</v>
      </c>
      <c r="S3379" t="s">
        <v>42788</v>
      </c>
      <c r="T3379" t="s">
        <v>44385</v>
      </c>
      <c r="U3379" t="s">
        <v>47609</v>
      </c>
      <c r="W3379" t="s">
        <v>39331</v>
      </c>
      <c r="X3379" t="s">
        <v>42676</v>
      </c>
    </row>
    <row r="3380" spans="1:24">
      <c r="A3380">
        <f>HYPERLINK("https://www.philgeps.gov.ph/GEPSNONPILOT/Tender/SplashBidNoticeAbstractUI.aspx?menuIndex=3&amp;refID=7192675&amp;Result=3","7192675")</f>
        <v>0</v>
      </c>
      <c r="B3380" t="s">
        <v>1247</v>
      </c>
      <c r="C3380" t="s">
        <v>6746</v>
      </c>
      <c r="D3380" t="s">
        <v>17154</v>
      </c>
      <c r="E3380" t="s">
        <v>20235</v>
      </c>
      <c r="F3380" t="s">
        <v>29372</v>
      </c>
      <c r="G3380" t="s">
        <v>29380</v>
      </c>
      <c r="H3380" t="s">
        <v>11048</v>
      </c>
      <c r="I3380" t="s">
        <v>3839</v>
      </c>
      <c r="J3380" t="s">
        <v>31845</v>
      </c>
      <c r="K3380" t="s">
        <v>38491</v>
      </c>
      <c r="M3380" t="s">
        <v>40072</v>
      </c>
      <c r="N3380" t="s">
        <v>42669</v>
      </c>
      <c r="O3380" t="s">
        <v>42670</v>
      </c>
      <c r="P3380">
        <v>0</v>
      </c>
      <c r="Q3380">
        <v>4</v>
      </c>
      <c r="R3380" t="s">
        <v>42674</v>
      </c>
      <c r="S3380" t="s">
        <v>42788</v>
      </c>
      <c r="T3380" t="s">
        <v>44450</v>
      </c>
      <c r="U3380" t="s">
        <v>47610</v>
      </c>
      <c r="W3380" t="s">
        <v>40072</v>
      </c>
      <c r="X3380" t="s">
        <v>42676</v>
      </c>
    </row>
    <row r="3381" spans="1:24">
      <c r="A3381">
        <f>HYPERLINK("https://www.philgeps.gov.ph/GEPSNONPILOT/Tender/SplashBidNoticeAbstractUI.aspx?menuIndex=3&amp;refID=7192687&amp;Result=3","7192687")</f>
        <v>0</v>
      </c>
      <c r="B3381" t="s">
        <v>1254</v>
      </c>
      <c r="C3381" t="s">
        <v>6747</v>
      </c>
      <c r="D3381" t="s">
        <v>17165</v>
      </c>
      <c r="E3381" t="s">
        <v>20236</v>
      </c>
      <c r="F3381" t="s">
        <v>29373</v>
      </c>
      <c r="G3381" t="s">
        <v>29384</v>
      </c>
      <c r="H3381" t="s">
        <v>11048</v>
      </c>
      <c r="I3381" t="s">
        <v>29394</v>
      </c>
      <c r="J3381" t="s">
        <v>31846</v>
      </c>
      <c r="K3381" t="s">
        <v>38487</v>
      </c>
      <c r="M3381" t="s">
        <v>40080</v>
      </c>
      <c r="N3381" t="s">
        <v>42669</v>
      </c>
      <c r="O3381" t="s">
        <v>42670</v>
      </c>
      <c r="P3381">
        <v>0</v>
      </c>
      <c r="Q3381">
        <v>1</v>
      </c>
      <c r="R3381" t="s">
        <v>42674</v>
      </c>
      <c r="S3381" t="s">
        <v>42788</v>
      </c>
      <c r="T3381" t="s">
        <v>44504</v>
      </c>
      <c r="U3381" t="s">
        <v>47611</v>
      </c>
      <c r="W3381" t="s">
        <v>40080</v>
      </c>
      <c r="X3381" t="s">
        <v>42676</v>
      </c>
    </row>
    <row r="3382" spans="1:24">
      <c r="A3382">
        <f>HYPERLINK("https://www.philgeps.gov.ph/GEPSNONPILOT/Tender/SplashBidNoticeAbstractUI.aspx?menuIndex=3&amp;refID=7192686&amp;Result=3","7192686")</f>
        <v>0</v>
      </c>
      <c r="B3382" t="s">
        <v>1255</v>
      </c>
      <c r="C3382" t="s">
        <v>6748</v>
      </c>
      <c r="D3382" t="s">
        <v>17216</v>
      </c>
      <c r="E3382" t="s">
        <v>20237</v>
      </c>
      <c r="F3382" t="s">
        <v>29372</v>
      </c>
      <c r="G3382" t="s">
        <v>29380</v>
      </c>
      <c r="H3382" t="s">
        <v>11048</v>
      </c>
      <c r="I3382" t="s">
        <v>3860</v>
      </c>
      <c r="J3382" t="s">
        <v>29532</v>
      </c>
      <c r="K3382" t="s">
        <v>38489</v>
      </c>
      <c r="M3382" t="s">
        <v>40081</v>
      </c>
      <c r="N3382" t="s">
        <v>42669</v>
      </c>
      <c r="O3382" t="s">
        <v>42670</v>
      </c>
      <c r="P3382">
        <v>0</v>
      </c>
      <c r="Q3382">
        <v>0</v>
      </c>
      <c r="R3382" t="s">
        <v>42674</v>
      </c>
      <c r="S3382" t="s">
        <v>42788</v>
      </c>
      <c r="T3382" t="s">
        <v>44550</v>
      </c>
      <c r="U3382" t="s">
        <v>47612</v>
      </c>
      <c r="W3382" t="s">
        <v>40081</v>
      </c>
      <c r="X3382" t="s">
        <v>42676</v>
      </c>
    </row>
    <row r="3383" spans="1:24">
      <c r="A3383">
        <f>HYPERLINK("https://www.philgeps.gov.ph/GEPSNONPILOT/Tender/SplashBidNoticeAbstractUI.aspx?menuIndex=3&amp;refID=7192716&amp;Result=3","7192716")</f>
        <v>0</v>
      </c>
      <c r="B3383" t="s">
        <v>1256</v>
      </c>
      <c r="C3383" t="s">
        <v>6749</v>
      </c>
      <c r="D3383" t="s">
        <v>17166</v>
      </c>
      <c r="E3383" t="s">
        <v>20238</v>
      </c>
      <c r="F3383" t="s">
        <v>29372</v>
      </c>
      <c r="G3383" t="s">
        <v>29380</v>
      </c>
      <c r="H3383" t="s">
        <v>29389</v>
      </c>
      <c r="I3383" t="s">
        <v>10408</v>
      </c>
      <c r="J3383" t="s">
        <v>29604</v>
      </c>
      <c r="K3383" t="s">
        <v>38496</v>
      </c>
      <c r="M3383" t="s">
        <v>40082</v>
      </c>
      <c r="N3383" t="s">
        <v>42669</v>
      </c>
      <c r="O3383" t="s">
        <v>42670</v>
      </c>
      <c r="P3383">
        <v>0</v>
      </c>
      <c r="Q3383">
        <v>0</v>
      </c>
      <c r="R3383" t="s">
        <v>42674</v>
      </c>
      <c r="S3383" t="s">
        <v>42788</v>
      </c>
      <c r="T3383" t="s">
        <v>44480</v>
      </c>
      <c r="U3383" t="s">
        <v>47613</v>
      </c>
      <c r="W3383" t="s">
        <v>40082</v>
      </c>
      <c r="X3383" t="s">
        <v>42676</v>
      </c>
    </row>
    <row r="3384" spans="1:24">
      <c r="A3384">
        <f>HYPERLINK("https://www.philgeps.gov.ph/GEPSNONPILOT/Tender/SplashBidNoticeAbstractUI.aspx?menuIndex=3&amp;refID=7192684&amp;Result=3","7192684")</f>
        <v>0</v>
      </c>
      <c r="B3384" t="s">
        <v>1247</v>
      </c>
      <c r="C3384" t="s">
        <v>6750</v>
      </c>
      <c r="D3384" t="s">
        <v>17154</v>
      </c>
      <c r="E3384" t="s">
        <v>20239</v>
      </c>
      <c r="F3384" t="s">
        <v>29372</v>
      </c>
      <c r="G3384" t="s">
        <v>29380</v>
      </c>
      <c r="H3384" t="s">
        <v>11048</v>
      </c>
      <c r="I3384" t="s">
        <v>6417</v>
      </c>
      <c r="J3384" t="s">
        <v>31845</v>
      </c>
      <c r="K3384" t="s">
        <v>38491</v>
      </c>
      <c r="M3384" t="s">
        <v>40072</v>
      </c>
      <c r="N3384" t="s">
        <v>42669</v>
      </c>
      <c r="O3384" t="s">
        <v>42670</v>
      </c>
      <c r="P3384">
        <v>0</v>
      </c>
      <c r="Q3384">
        <v>1</v>
      </c>
      <c r="R3384" t="s">
        <v>42674</v>
      </c>
      <c r="S3384" t="s">
        <v>42788</v>
      </c>
      <c r="T3384" t="s">
        <v>44450</v>
      </c>
      <c r="U3384" t="s">
        <v>47614</v>
      </c>
      <c r="W3384" t="s">
        <v>40072</v>
      </c>
      <c r="X3384" t="s">
        <v>42676</v>
      </c>
    </row>
    <row r="3385" spans="1:24">
      <c r="A3385">
        <f>HYPERLINK("https://www.philgeps.gov.ph/GEPSNONPILOT/Tender/SplashBidNoticeAbstractUI.aspx?menuIndex=3&amp;refID=7192728&amp;Result=3","7192728")</f>
        <v>0</v>
      </c>
      <c r="B3385" t="s">
        <v>597</v>
      </c>
      <c r="C3385" t="s">
        <v>6751</v>
      </c>
      <c r="D3385" t="s">
        <v>17179</v>
      </c>
      <c r="E3385" t="s">
        <v>20240</v>
      </c>
      <c r="F3385" t="s">
        <v>29372</v>
      </c>
      <c r="G3385" t="s">
        <v>29380</v>
      </c>
      <c r="H3385" t="s">
        <v>29389</v>
      </c>
      <c r="I3385" t="s">
        <v>10408</v>
      </c>
      <c r="J3385" t="s">
        <v>29788</v>
      </c>
      <c r="K3385" t="s">
        <v>38522</v>
      </c>
      <c r="M3385" t="s">
        <v>39368</v>
      </c>
      <c r="N3385" t="s">
        <v>42669</v>
      </c>
      <c r="O3385" t="s">
        <v>42670</v>
      </c>
      <c r="P3385">
        <v>0</v>
      </c>
      <c r="Q3385">
        <v>1</v>
      </c>
      <c r="R3385" t="s">
        <v>42674</v>
      </c>
      <c r="S3385" t="s">
        <v>42788</v>
      </c>
      <c r="T3385" t="s">
        <v>44542</v>
      </c>
      <c r="U3385" t="s">
        <v>47615</v>
      </c>
      <c r="W3385" t="s">
        <v>39368</v>
      </c>
      <c r="X3385" t="s">
        <v>42676</v>
      </c>
    </row>
    <row r="3386" spans="1:24">
      <c r="A3386">
        <f>HYPERLINK("https://www.philgeps.gov.ph/GEPSNONPILOT/Tender/SplashBidNoticeAbstractUI.aspx?menuIndex=3&amp;refID=7192725&amp;Result=3","7192725")</f>
        <v>0</v>
      </c>
      <c r="B3386" t="s">
        <v>1257</v>
      </c>
      <c r="C3386" t="s">
        <v>6752</v>
      </c>
      <c r="D3386" t="s">
        <v>17205</v>
      </c>
      <c r="E3386" t="s">
        <v>20241</v>
      </c>
      <c r="F3386" t="s">
        <v>29372</v>
      </c>
      <c r="G3386" t="s">
        <v>29380</v>
      </c>
      <c r="H3386" t="s">
        <v>29389</v>
      </c>
      <c r="I3386" t="s">
        <v>10408</v>
      </c>
      <c r="J3386" t="s">
        <v>29811</v>
      </c>
      <c r="K3386" t="s">
        <v>38485</v>
      </c>
      <c r="M3386" t="s">
        <v>40083</v>
      </c>
      <c r="N3386" t="s">
        <v>42669</v>
      </c>
      <c r="O3386" t="s">
        <v>42670</v>
      </c>
      <c r="P3386">
        <v>0</v>
      </c>
      <c r="Q3386">
        <v>1</v>
      </c>
      <c r="R3386" t="s">
        <v>42674</v>
      </c>
      <c r="S3386" t="s">
        <v>42788</v>
      </c>
      <c r="T3386" t="s">
        <v>44456</v>
      </c>
      <c r="U3386" t="s">
        <v>47616</v>
      </c>
      <c r="V3386" t="s">
        <v>56674</v>
      </c>
      <c r="W3386" t="s">
        <v>40083</v>
      </c>
      <c r="X3386" t="s">
        <v>42676</v>
      </c>
    </row>
    <row r="3387" spans="1:24">
      <c r="A3387">
        <f>HYPERLINK("https://www.philgeps.gov.ph/GEPSNONPILOT/Tender/SplashBidNoticeAbstractUI.aspx?menuIndex=3&amp;refID=7192724&amp;Result=3","7192724")</f>
        <v>0</v>
      </c>
      <c r="B3387" t="s">
        <v>1258</v>
      </c>
      <c r="C3387" t="s">
        <v>6753</v>
      </c>
      <c r="D3387" t="s">
        <v>17141</v>
      </c>
      <c r="E3387" t="s">
        <v>20242</v>
      </c>
      <c r="F3387" t="s">
        <v>29375</v>
      </c>
      <c r="G3387" t="s">
        <v>29379</v>
      </c>
      <c r="H3387" t="s">
        <v>11048</v>
      </c>
      <c r="I3387" t="s">
        <v>29409</v>
      </c>
      <c r="J3387" t="s">
        <v>31847</v>
      </c>
      <c r="K3387" t="s">
        <v>38491</v>
      </c>
      <c r="M3387" t="s">
        <v>40084</v>
      </c>
      <c r="N3387" t="s">
        <v>42669</v>
      </c>
      <c r="O3387" t="s">
        <v>42670</v>
      </c>
      <c r="P3387">
        <v>0</v>
      </c>
      <c r="Q3387">
        <v>1</v>
      </c>
      <c r="R3387" t="s">
        <v>42674</v>
      </c>
      <c r="S3387" t="s">
        <v>42788</v>
      </c>
      <c r="T3387" t="s">
        <v>44456</v>
      </c>
      <c r="U3387" t="s">
        <v>47617</v>
      </c>
      <c r="W3387" t="s">
        <v>40084</v>
      </c>
      <c r="X3387" t="s">
        <v>42676</v>
      </c>
    </row>
    <row r="3388" spans="1:24">
      <c r="A3388">
        <f>HYPERLINK("https://www.philgeps.gov.ph/GEPSNONPILOT/Tender/SplashBidNoticeAbstractUI.aspx?menuIndex=3&amp;refID=7192646&amp;Result=3","7192646")</f>
        <v>0</v>
      </c>
      <c r="B3388" t="s">
        <v>1243</v>
      </c>
      <c r="C3388" t="s">
        <v>6754</v>
      </c>
      <c r="D3388" t="s">
        <v>17170</v>
      </c>
      <c r="E3388" t="s">
        <v>20243</v>
      </c>
      <c r="F3388" t="s">
        <v>29372</v>
      </c>
      <c r="G3388" t="s">
        <v>29379</v>
      </c>
      <c r="H3388" t="s">
        <v>11048</v>
      </c>
      <c r="I3388" t="s">
        <v>3839</v>
      </c>
      <c r="J3388" t="s">
        <v>31848</v>
      </c>
      <c r="K3388" t="s">
        <v>38510</v>
      </c>
      <c r="M3388" t="s">
        <v>40066</v>
      </c>
      <c r="N3388" t="s">
        <v>42669</v>
      </c>
      <c r="O3388" t="s">
        <v>42670</v>
      </c>
      <c r="P3388">
        <v>0</v>
      </c>
      <c r="Q3388">
        <v>0</v>
      </c>
      <c r="R3388" t="s">
        <v>42674</v>
      </c>
      <c r="S3388" t="s">
        <v>42788</v>
      </c>
      <c r="T3388" t="s">
        <v>44570</v>
      </c>
      <c r="U3388" t="s">
        <v>47618</v>
      </c>
      <c r="W3388" t="s">
        <v>40066</v>
      </c>
      <c r="X3388" t="s">
        <v>42676</v>
      </c>
    </row>
    <row r="3389" spans="1:24">
      <c r="A3389">
        <f>HYPERLINK("https://www.philgeps.gov.ph/GEPSNONPILOT/Tender/SplashBidNoticeAbstractUI.aspx?menuIndex=3&amp;refID=7192721&amp;Result=3","7192721")</f>
        <v>0</v>
      </c>
      <c r="B3389" t="s">
        <v>896</v>
      </c>
      <c r="C3389" t="s">
        <v>6755</v>
      </c>
      <c r="D3389" t="s">
        <v>17188</v>
      </c>
      <c r="E3389" t="s">
        <v>20244</v>
      </c>
      <c r="F3389" t="s">
        <v>29372</v>
      </c>
      <c r="G3389" t="s">
        <v>29380</v>
      </c>
      <c r="H3389" t="s">
        <v>29389</v>
      </c>
      <c r="I3389" t="s">
        <v>10408</v>
      </c>
      <c r="J3389" t="s">
        <v>31849</v>
      </c>
      <c r="K3389" t="s">
        <v>38555</v>
      </c>
      <c r="M3389" t="s">
        <v>40075</v>
      </c>
      <c r="N3389" t="s">
        <v>42669</v>
      </c>
      <c r="O3389" t="s">
        <v>42670</v>
      </c>
      <c r="P3389">
        <v>0</v>
      </c>
      <c r="Q3389">
        <v>0</v>
      </c>
      <c r="R3389" t="s">
        <v>42674</v>
      </c>
      <c r="S3389" t="s">
        <v>42788</v>
      </c>
      <c r="T3389" t="s">
        <v>44622</v>
      </c>
      <c r="U3389" t="s">
        <v>47619</v>
      </c>
      <c r="V3389" t="s">
        <v>56575</v>
      </c>
      <c r="W3389" t="s">
        <v>40075</v>
      </c>
      <c r="X3389" t="s">
        <v>42676</v>
      </c>
    </row>
    <row r="3390" spans="1:24">
      <c r="A3390">
        <f>HYPERLINK("https://www.philgeps.gov.ph/GEPSNONPILOT/Tender/SplashBidNoticeAbstractUI.aspx?menuIndex=3&amp;refID=7192719&amp;Result=3","7192719")</f>
        <v>0</v>
      </c>
      <c r="B3390" t="s">
        <v>776</v>
      </c>
      <c r="C3390" t="s">
        <v>6756</v>
      </c>
      <c r="D3390" t="s">
        <v>17169</v>
      </c>
      <c r="E3390" t="s">
        <v>20245</v>
      </c>
      <c r="F3390" t="s">
        <v>29372</v>
      </c>
      <c r="G3390" t="s">
        <v>29380</v>
      </c>
      <c r="H3390" t="s">
        <v>29389</v>
      </c>
      <c r="I3390" t="s">
        <v>10408</v>
      </c>
      <c r="J3390" t="s">
        <v>31850</v>
      </c>
      <c r="K3390" t="s">
        <v>38523</v>
      </c>
      <c r="L3390" t="s">
        <v>776</v>
      </c>
      <c r="M3390" t="s">
        <v>39560</v>
      </c>
      <c r="N3390" t="s">
        <v>42669</v>
      </c>
      <c r="O3390" t="s">
        <v>42670</v>
      </c>
      <c r="P3390">
        <v>0</v>
      </c>
      <c r="Q3390">
        <v>2</v>
      </c>
      <c r="R3390" t="s">
        <v>42674</v>
      </c>
      <c r="S3390" t="s">
        <v>42788</v>
      </c>
      <c r="T3390" t="s">
        <v>44542</v>
      </c>
      <c r="U3390" t="s">
        <v>45288</v>
      </c>
      <c r="W3390" t="s">
        <v>39560</v>
      </c>
      <c r="X3390" t="s">
        <v>42676</v>
      </c>
    </row>
    <row r="3391" spans="1:24">
      <c r="A3391">
        <f>HYPERLINK("https://www.philgeps.gov.ph/GEPSNONPILOT/Tender/SplashBidNoticeAbstractUI.aspx?menuIndex=3&amp;refID=7192718&amp;Result=3","7192718")</f>
        <v>0</v>
      </c>
      <c r="B3391" t="s">
        <v>895</v>
      </c>
      <c r="C3391" t="s">
        <v>6757</v>
      </c>
      <c r="D3391" t="s">
        <v>17197</v>
      </c>
      <c r="E3391" t="s">
        <v>20246</v>
      </c>
      <c r="F3391" t="s">
        <v>29372</v>
      </c>
      <c r="G3391" t="s">
        <v>29379</v>
      </c>
      <c r="H3391" t="s">
        <v>29390</v>
      </c>
      <c r="I3391" t="s">
        <v>29468</v>
      </c>
      <c r="J3391" t="s">
        <v>31851</v>
      </c>
      <c r="K3391" t="s">
        <v>38510</v>
      </c>
      <c r="M3391" t="s">
        <v>39688</v>
      </c>
      <c r="N3391" t="s">
        <v>42669</v>
      </c>
      <c r="O3391" t="s">
        <v>42670</v>
      </c>
      <c r="P3391">
        <v>0</v>
      </c>
      <c r="Q3391">
        <v>0</v>
      </c>
      <c r="R3391" t="s">
        <v>42674</v>
      </c>
      <c r="S3391" t="s">
        <v>42788</v>
      </c>
      <c r="T3391" t="s">
        <v>44468</v>
      </c>
      <c r="U3391" t="s">
        <v>47620</v>
      </c>
      <c r="W3391" t="s">
        <v>39688</v>
      </c>
      <c r="X3391" t="s">
        <v>42676</v>
      </c>
    </row>
    <row r="3392" spans="1:24">
      <c r="A3392">
        <f>HYPERLINK("https://www.philgeps.gov.ph/GEPSNONPILOT/Tender/SplashBidNoticeAbstractUI.aspx?menuIndex=3&amp;refID=7192714&amp;Result=3","7192714")</f>
        <v>0</v>
      </c>
      <c r="B3392" t="s">
        <v>1229</v>
      </c>
      <c r="C3392" t="s">
        <v>6758</v>
      </c>
      <c r="D3392" t="s">
        <v>17199</v>
      </c>
      <c r="E3392" t="s">
        <v>20247</v>
      </c>
      <c r="F3392" t="s">
        <v>29372</v>
      </c>
      <c r="G3392" t="s">
        <v>29379</v>
      </c>
      <c r="H3392" t="s">
        <v>11048</v>
      </c>
      <c r="I3392" t="s">
        <v>29442</v>
      </c>
      <c r="J3392" t="s">
        <v>30802</v>
      </c>
      <c r="K3392" t="s">
        <v>38496</v>
      </c>
      <c r="M3392" t="s">
        <v>40050</v>
      </c>
      <c r="N3392" t="s">
        <v>42669</v>
      </c>
      <c r="O3392" t="s">
        <v>42670</v>
      </c>
      <c r="P3392">
        <v>0</v>
      </c>
      <c r="Q3392">
        <v>1</v>
      </c>
      <c r="R3392" t="s">
        <v>42674</v>
      </c>
      <c r="S3392" t="s">
        <v>42788</v>
      </c>
      <c r="T3392" t="s">
        <v>44382</v>
      </c>
      <c r="U3392" t="s">
        <v>47621</v>
      </c>
      <c r="W3392" t="s">
        <v>40050</v>
      </c>
      <c r="X3392" t="s">
        <v>42676</v>
      </c>
    </row>
    <row r="3393" spans="1:24">
      <c r="A3393">
        <f>HYPERLINK("https://www.philgeps.gov.ph/GEPSNONPILOT/Tender/SplashBidNoticeAbstractUI.aspx?menuIndex=3&amp;refID=7192712&amp;Result=3","7192712")</f>
        <v>0</v>
      </c>
      <c r="B3393" t="s">
        <v>369</v>
      </c>
      <c r="C3393" t="s">
        <v>6759</v>
      </c>
      <c r="D3393" t="s">
        <v>17141</v>
      </c>
      <c r="E3393" t="s">
        <v>20248</v>
      </c>
      <c r="F3393" t="s">
        <v>29372</v>
      </c>
      <c r="G3393" t="s">
        <v>29379</v>
      </c>
      <c r="H3393" t="s">
        <v>11048</v>
      </c>
      <c r="I3393" t="s">
        <v>29415</v>
      </c>
      <c r="J3393" t="s">
        <v>31852</v>
      </c>
      <c r="K3393" t="s">
        <v>38491</v>
      </c>
      <c r="M3393" t="s">
        <v>40085</v>
      </c>
      <c r="N3393" t="s">
        <v>42669</v>
      </c>
      <c r="O3393" t="s">
        <v>42670</v>
      </c>
      <c r="P3393">
        <v>0</v>
      </c>
      <c r="Q3393">
        <v>0</v>
      </c>
      <c r="R3393" t="s">
        <v>42674</v>
      </c>
      <c r="S3393" t="s">
        <v>42788</v>
      </c>
      <c r="T3393" t="s">
        <v>44414</v>
      </c>
      <c r="U3393" t="s">
        <v>47622</v>
      </c>
      <c r="W3393" t="s">
        <v>40085</v>
      </c>
      <c r="X3393" t="s">
        <v>42676</v>
      </c>
    </row>
    <row r="3394" spans="1:24">
      <c r="A3394">
        <f>HYPERLINK("https://www.philgeps.gov.ph/GEPSNONPILOT/Tender/SplashBidNoticeAbstractUI.aspx?menuIndex=3&amp;refID=7192711&amp;Result=3","7192711")</f>
        <v>0</v>
      </c>
      <c r="B3394" t="s">
        <v>1259</v>
      </c>
      <c r="C3394" t="s">
        <v>6760</v>
      </c>
      <c r="D3394" t="s">
        <v>17170</v>
      </c>
      <c r="E3394" t="s">
        <v>20249</v>
      </c>
      <c r="F3394" t="s">
        <v>29372</v>
      </c>
      <c r="G3394" t="s">
        <v>29380</v>
      </c>
      <c r="H3394" t="s">
        <v>29389</v>
      </c>
      <c r="I3394" t="s">
        <v>10408</v>
      </c>
      <c r="J3394" t="s">
        <v>31853</v>
      </c>
      <c r="K3394" t="s">
        <v>38487</v>
      </c>
      <c r="M3394" t="s">
        <v>40086</v>
      </c>
      <c r="N3394" t="s">
        <v>42669</v>
      </c>
      <c r="O3394" t="s">
        <v>42670</v>
      </c>
      <c r="P3394">
        <v>0</v>
      </c>
      <c r="Q3394">
        <v>0</v>
      </c>
      <c r="R3394" t="s">
        <v>42674</v>
      </c>
      <c r="S3394" t="s">
        <v>42788</v>
      </c>
      <c r="T3394" t="s">
        <v>44420</v>
      </c>
      <c r="U3394" t="s">
        <v>47623</v>
      </c>
      <c r="V3394" t="s">
        <v>56675</v>
      </c>
      <c r="W3394" t="s">
        <v>40086</v>
      </c>
      <c r="X3394" t="s">
        <v>42676</v>
      </c>
    </row>
    <row r="3395" spans="1:24">
      <c r="A3395">
        <f>HYPERLINK("https://www.philgeps.gov.ph/GEPSNONPILOT/Tender/SplashBidNoticeAbstractUI.aspx?menuIndex=3&amp;refID=7192707&amp;Result=3","7192707")</f>
        <v>0</v>
      </c>
      <c r="B3395" t="s">
        <v>1260</v>
      </c>
      <c r="C3395" t="s">
        <v>6761</v>
      </c>
      <c r="D3395" t="s">
        <v>17171</v>
      </c>
      <c r="E3395" t="s">
        <v>20250</v>
      </c>
      <c r="F3395" t="s">
        <v>29372</v>
      </c>
      <c r="G3395" t="s">
        <v>29379</v>
      </c>
      <c r="H3395" t="s">
        <v>11048</v>
      </c>
      <c r="I3395" t="s">
        <v>29412</v>
      </c>
      <c r="J3395" t="s">
        <v>31854</v>
      </c>
      <c r="K3395" t="s">
        <v>38491</v>
      </c>
      <c r="M3395" t="s">
        <v>40087</v>
      </c>
      <c r="N3395" t="s">
        <v>42669</v>
      </c>
      <c r="O3395" t="s">
        <v>42670</v>
      </c>
      <c r="P3395">
        <v>0</v>
      </c>
      <c r="Q3395">
        <v>2</v>
      </c>
      <c r="R3395" t="s">
        <v>42674</v>
      </c>
      <c r="S3395" t="s">
        <v>42788</v>
      </c>
      <c r="T3395" t="s">
        <v>44429</v>
      </c>
      <c r="U3395" t="s">
        <v>47624</v>
      </c>
      <c r="W3395" t="s">
        <v>40087</v>
      </c>
      <c r="X3395" t="s">
        <v>42676</v>
      </c>
    </row>
    <row r="3396" spans="1:24">
      <c r="A3396">
        <f>HYPERLINK("https://www.philgeps.gov.ph/GEPSNONPILOT/Tender/SplashBidNoticeAbstractUI.aspx?menuIndex=3&amp;refID=7192705&amp;Result=3","7192705")</f>
        <v>0</v>
      </c>
      <c r="B3396" t="s">
        <v>1261</v>
      </c>
      <c r="C3396" t="s">
        <v>6762</v>
      </c>
      <c r="D3396" t="s">
        <v>17141</v>
      </c>
      <c r="E3396" t="s">
        <v>20251</v>
      </c>
      <c r="F3396" t="s">
        <v>29372</v>
      </c>
      <c r="G3396" t="s">
        <v>29380</v>
      </c>
      <c r="H3396" t="s">
        <v>11048</v>
      </c>
      <c r="I3396" t="s">
        <v>4486</v>
      </c>
      <c r="J3396" t="s">
        <v>31855</v>
      </c>
      <c r="K3396" t="s">
        <v>38487</v>
      </c>
      <c r="M3396" t="s">
        <v>40088</v>
      </c>
      <c r="N3396" t="s">
        <v>42669</v>
      </c>
      <c r="O3396" t="s">
        <v>42670</v>
      </c>
      <c r="P3396">
        <v>0</v>
      </c>
      <c r="Q3396">
        <v>13</v>
      </c>
      <c r="R3396" t="s">
        <v>42674</v>
      </c>
      <c r="S3396" t="s">
        <v>42788</v>
      </c>
      <c r="T3396" t="s">
        <v>44630</v>
      </c>
      <c r="U3396" t="s">
        <v>47625</v>
      </c>
      <c r="W3396" t="s">
        <v>40088</v>
      </c>
      <c r="X3396" t="s">
        <v>42676</v>
      </c>
    </row>
    <row r="3397" spans="1:24">
      <c r="A3397">
        <f>HYPERLINK("https://www.philgeps.gov.ph/GEPSNONPILOT/Tender/SplashBidNoticeAbstractUI.aspx?menuIndex=3&amp;refID=7192704&amp;Result=3","7192704")</f>
        <v>0</v>
      </c>
      <c r="B3397" t="s">
        <v>1229</v>
      </c>
      <c r="C3397" t="s">
        <v>6763</v>
      </c>
      <c r="D3397" t="s">
        <v>17199</v>
      </c>
      <c r="E3397" t="s">
        <v>20252</v>
      </c>
      <c r="F3397" t="s">
        <v>29372</v>
      </c>
      <c r="G3397" t="s">
        <v>29379</v>
      </c>
      <c r="H3397" t="s">
        <v>29390</v>
      </c>
      <c r="I3397" t="s">
        <v>29446</v>
      </c>
      <c r="J3397" t="s">
        <v>29708</v>
      </c>
      <c r="K3397" t="s">
        <v>38496</v>
      </c>
      <c r="M3397" t="s">
        <v>40050</v>
      </c>
      <c r="N3397" t="s">
        <v>42669</v>
      </c>
      <c r="O3397" t="s">
        <v>42670</v>
      </c>
      <c r="P3397">
        <v>0</v>
      </c>
      <c r="Q3397">
        <v>0</v>
      </c>
      <c r="R3397" t="s">
        <v>42674</v>
      </c>
      <c r="S3397" t="s">
        <v>42788</v>
      </c>
      <c r="T3397" t="s">
        <v>44382</v>
      </c>
      <c r="U3397" t="s">
        <v>47626</v>
      </c>
      <c r="W3397" t="s">
        <v>40050</v>
      </c>
      <c r="X3397" t="s">
        <v>42676</v>
      </c>
    </row>
    <row r="3398" spans="1:24">
      <c r="A3398">
        <f>HYPERLINK("https://www.philgeps.gov.ph/GEPSNONPILOT/Tender/SplashBidNoticeAbstractUI.aspx?menuIndex=3&amp;refID=7192703&amp;Result=3","7192703")</f>
        <v>0</v>
      </c>
      <c r="B3398" t="s">
        <v>1193</v>
      </c>
      <c r="C3398" t="s">
        <v>6764</v>
      </c>
      <c r="D3398" t="s">
        <v>17157</v>
      </c>
      <c r="E3398" t="s">
        <v>20253</v>
      </c>
      <c r="F3398" t="s">
        <v>29372</v>
      </c>
      <c r="G3398" t="s">
        <v>29383</v>
      </c>
      <c r="H3398" t="s">
        <v>11048</v>
      </c>
      <c r="I3398" t="s">
        <v>29394</v>
      </c>
      <c r="J3398" t="s">
        <v>31856</v>
      </c>
      <c r="K3398" t="s">
        <v>38485</v>
      </c>
      <c r="M3398" t="s">
        <v>40009</v>
      </c>
      <c r="N3398" t="s">
        <v>42669</v>
      </c>
      <c r="O3398" t="s">
        <v>42670</v>
      </c>
      <c r="P3398">
        <v>0</v>
      </c>
      <c r="Q3398">
        <v>0</v>
      </c>
      <c r="R3398" t="s">
        <v>42674</v>
      </c>
      <c r="S3398" t="s">
        <v>42788</v>
      </c>
      <c r="T3398" t="s">
        <v>44425</v>
      </c>
      <c r="U3398" t="s">
        <v>47627</v>
      </c>
      <c r="W3398" t="s">
        <v>40009</v>
      </c>
      <c r="X3398" t="s">
        <v>42676</v>
      </c>
    </row>
    <row r="3399" spans="1:24">
      <c r="A3399">
        <f>HYPERLINK("https://www.philgeps.gov.ph/GEPSNONPILOT/Tender/SplashBidNoticeAbstractUI.aspx?menuIndex=3&amp;refID=7192702&amp;Result=3","7192702")</f>
        <v>0</v>
      </c>
      <c r="B3399" t="s">
        <v>1254</v>
      </c>
      <c r="C3399" t="s">
        <v>6765</v>
      </c>
      <c r="E3399" t="s">
        <v>20254</v>
      </c>
      <c r="F3399" t="s">
        <v>29373</v>
      </c>
      <c r="G3399" t="s">
        <v>29384</v>
      </c>
      <c r="H3399" t="s">
        <v>11048</v>
      </c>
      <c r="I3399" t="s">
        <v>29415</v>
      </c>
      <c r="J3399" t="s">
        <v>31857</v>
      </c>
      <c r="K3399" t="s">
        <v>38496</v>
      </c>
      <c r="M3399" t="s">
        <v>40080</v>
      </c>
      <c r="N3399" t="s">
        <v>42669</v>
      </c>
      <c r="O3399" t="s">
        <v>42670</v>
      </c>
      <c r="P3399">
        <v>0</v>
      </c>
      <c r="Q3399">
        <v>4</v>
      </c>
      <c r="R3399" t="s">
        <v>42674</v>
      </c>
      <c r="S3399" t="s">
        <v>42788</v>
      </c>
      <c r="T3399" t="s">
        <v>44503</v>
      </c>
      <c r="U3399" t="s">
        <v>47628</v>
      </c>
      <c r="W3399" t="s">
        <v>40080</v>
      </c>
      <c r="X3399" t="s">
        <v>42676</v>
      </c>
    </row>
    <row r="3400" spans="1:24">
      <c r="A3400">
        <f>HYPERLINK("https://www.philgeps.gov.ph/GEPSNONPILOT/Tender/SplashBidNoticeAbstractUI.aspx?menuIndex=3&amp;refID=7192697&amp;Result=3","7192697")</f>
        <v>0</v>
      </c>
      <c r="B3400" t="s">
        <v>1262</v>
      </c>
      <c r="C3400" t="s">
        <v>6766</v>
      </c>
      <c r="D3400" t="s">
        <v>17180</v>
      </c>
      <c r="E3400" t="s">
        <v>17714</v>
      </c>
      <c r="F3400" t="s">
        <v>29372</v>
      </c>
      <c r="G3400" t="s">
        <v>29380</v>
      </c>
      <c r="H3400" t="s">
        <v>11048</v>
      </c>
      <c r="I3400" t="s">
        <v>4709</v>
      </c>
      <c r="J3400" t="s">
        <v>31858</v>
      </c>
      <c r="K3400" t="s">
        <v>38491</v>
      </c>
      <c r="M3400" t="s">
        <v>40089</v>
      </c>
      <c r="N3400" t="s">
        <v>42669</v>
      </c>
      <c r="O3400" t="s">
        <v>42670</v>
      </c>
      <c r="P3400">
        <v>0</v>
      </c>
      <c r="Q3400">
        <v>2</v>
      </c>
      <c r="R3400" t="s">
        <v>42674</v>
      </c>
      <c r="S3400" t="s">
        <v>42788</v>
      </c>
      <c r="T3400" t="s">
        <v>44373</v>
      </c>
      <c r="U3400" t="s">
        <v>47629</v>
      </c>
      <c r="W3400" t="s">
        <v>40089</v>
      </c>
      <c r="X3400" t="s">
        <v>42676</v>
      </c>
    </row>
    <row r="3401" spans="1:24">
      <c r="A3401">
        <f>HYPERLINK("https://www.philgeps.gov.ph/GEPSNONPILOT/Tender/SplashBidNoticeAbstractUI.aspx?menuIndex=3&amp;refID=7192674&amp;Result=3","7192674")</f>
        <v>0</v>
      </c>
      <c r="B3401" t="s">
        <v>1255</v>
      </c>
      <c r="C3401" t="s">
        <v>6767</v>
      </c>
      <c r="D3401" t="s">
        <v>17216</v>
      </c>
      <c r="E3401" t="s">
        <v>20255</v>
      </c>
      <c r="F3401" t="s">
        <v>29372</v>
      </c>
      <c r="G3401" t="s">
        <v>29380</v>
      </c>
      <c r="H3401" t="s">
        <v>11048</v>
      </c>
      <c r="I3401" t="s">
        <v>29393</v>
      </c>
      <c r="J3401" t="s">
        <v>31859</v>
      </c>
      <c r="K3401" t="s">
        <v>38489</v>
      </c>
      <c r="M3401" t="s">
        <v>40081</v>
      </c>
      <c r="N3401" t="s">
        <v>42669</v>
      </c>
      <c r="O3401" t="s">
        <v>42670</v>
      </c>
      <c r="P3401">
        <v>0</v>
      </c>
      <c r="Q3401">
        <v>0</v>
      </c>
      <c r="R3401" t="s">
        <v>42674</v>
      </c>
      <c r="S3401" t="s">
        <v>42788</v>
      </c>
      <c r="T3401" t="s">
        <v>44550</v>
      </c>
      <c r="U3401" t="s">
        <v>47630</v>
      </c>
      <c r="W3401" t="s">
        <v>40081</v>
      </c>
      <c r="X3401" t="s">
        <v>42676</v>
      </c>
    </row>
    <row r="3402" spans="1:24">
      <c r="A3402">
        <f>HYPERLINK("https://www.philgeps.gov.ph/GEPSNONPILOT/Tender/SplashBidNoticeAbstractUI.aspx?menuIndex=3&amp;refID=7192758&amp;Result=3","7192758")</f>
        <v>0</v>
      </c>
      <c r="B3402" t="s">
        <v>597</v>
      </c>
      <c r="C3402" t="s">
        <v>6768</v>
      </c>
      <c r="D3402" t="s">
        <v>17179</v>
      </c>
      <c r="E3402" t="s">
        <v>20256</v>
      </c>
      <c r="F3402" t="s">
        <v>29372</v>
      </c>
      <c r="G3402" t="s">
        <v>29380</v>
      </c>
      <c r="H3402" t="s">
        <v>29389</v>
      </c>
      <c r="I3402" t="s">
        <v>10408</v>
      </c>
      <c r="J3402" t="s">
        <v>30161</v>
      </c>
      <c r="K3402" t="s">
        <v>38522</v>
      </c>
      <c r="M3402" t="s">
        <v>39368</v>
      </c>
      <c r="N3402" t="s">
        <v>42669</v>
      </c>
      <c r="O3402" t="s">
        <v>42670</v>
      </c>
      <c r="P3402">
        <v>0</v>
      </c>
      <c r="Q3402">
        <v>2</v>
      </c>
      <c r="R3402" t="s">
        <v>42674</v>
      </c>
      <c r="S3402" t="s">
        <v>42788</v>
      </c>
      <c r="T3402" t="s">
        <v>44542</v>
      </c>
      <c r="U3402" t="s">
        <v>47631</v>
      </c>
      <c r="W3402" t="s">
        <v>39368</v>
      </c>
      <c r="X3402" t="s">
        <v>42676</v>
      </c>
    </row>
    <row r="3403" spans="1:24">
      <c r="A3403">
        <f>HYPERLINK("https://www.philgeps.gov.ph/GEPSNONPILOT/Tender/SplashBidNoticeAbstractUI.aspx?menuIndex=3&amp;refID=7192710&amp;Result=3","7192710")</f>
        <v>0</v>
      </c>
      <c r="B3403" t="s">
        <v>896</v>
      </c>
      <c r="C3403" t="s">
        <v>6769</v>
      </c>
      <c r="D3403" t="s">
        <v>17188</v>
      </c>
      <c r="E3403" t="s">
        <v>20244</v>
      </c>
      <c r="F3403" t="s">
        <v>29372</v>
      </c>
      <c r="G3403" t="s">
        <v>29380</v>
      </c>
      <c r="H3403" t="s">
        <v>29389</v>
      </c>
      <c r="I3403" t="s">
        <v>10408</v>
      </c>
      <c r="J3403" t="s">
        <v>29543</v>
      </c>
      <c r="K3403" t="s">
        <v>38565</v>
      </c>
      <c r="M3403" t="s">
        <v>40075</v>
      </c>
      <c r="N3403" t="s">
        <v>42669</v>
      </c>
      <c r="O3403" t="s">
        <v>42670</v>
      </c>
      <c r="P3403">
        <v>0</v>
      </c>
      <c r="Q3403">
        <v>0</v>
      </c>
      <c r="R3403" t="s">
        <v>42674</v>
      </c>
      <c r="S3403" t="s">
        <v>42788</v>
      </c>
      <c r="T3403" t="s">
        <v>44622</v>
      </c>
      <c r="U3403" t="s">
        <v>47632</v>
      </c>
      <c r="V3403" t="s">
        <v>56575</v>
      </c>
      <c r="W3403" t="s">
        <v>40075</v>
      </c>
      <c r="X3403" t="s">
        <v>42676</v>
      </c>
    </row>
    <row r="3404" spans="1:24">
      <c r="A3404">
        <f>HYPERLINK("https://www.philgeps.gov.ph/GEPSNONPILOT/Tender/SplashBidNoticeAbstractUI.aspx?menuIndex=3&amp;refID=7192768&amp;Result=3","7192768")</f>
        <v>0</v>
      </c>
      <c r="B3404" t="s">
        <v>1263</v>
      </c>
      <c r="C3404" t="s">
        <v>6770</v>
      </c>
      <c r="E3404" t="s">
        <v>20257</v>
      </c>
      <c r="F3404" t="s">
        <v>29372</v>
      </c>
      <c r="G3404" t="s">
        <v>29379</v>
      </c>
      <c r="H3404" t="s">
        <v>11048</v>
      </c>
      <c r="I3404" t="s">
        <v>3952</v>
      </c>
      <c r="J3404" t="s">
        <v>29642</v>
      </c>
      <c r="K3404" t="s">
        <v>38490</v>
      </c>
      <c r="M3404" t="s">
        <v>40090</v>
      </c>
      <c r="N3404" t="s">
        <v>42669</v>
      </c>
      <c r="O3404" t="s">
        <v>42670</v>
      </c>
      <c r="P3404">
        <v>0</v>
      </c>
      <c r="Q3404">
        <v>2</v>
      </c>
      <c r="R3404" t="s">
        <v>42674</v>
      </c>
      <c r="S3404" t="s">
        <v>42788</v>
      </c>
      <c r="T3404" t="s">
        <v>44456</v>
      </c>
      <c r="U3404" t="s">
        <v>47633</v>
      </c>
      <c r="W3404" t="s">
        <v>40090</v>
      </c>
      <c r="X3404" t="s">
        <v>42676</v>
      </c>
    </row>
    <row r="3405" spans="1:24">
      <c r="A3405">
        <f>HYPERLINK("https://www.philgeps.gov.ph/GEPSNONPILOT/Tender/SplashBidNoticeAbstractUI.aspx?menuIndex=3&amp;refID=7192723&amp;Result=3","7192723")</f>
        <v>0</v>
      </c>
      <c r="B3405" t="s">
        <v>1263</v>
      </c>
      <c r="C3405" t="s">
        <v>6771</v>
      </c>
      <c r="E3405" t="s">
        <v>20258</v>
      </c>
      <c r="F3405" t="s">
        <v>29372</v>
      </c>
      <c r="G3405" t="s">
        <v>29379</v>
      </c>
      <c r="H3405" t="s">
        <v>11048</v>
      </c>
      <c r="I3405" t="s">
        <v>8208</v>
      </c>
      <c r="J3405" t="s">
        <v>31860</v>
      </c>
      <c r="K3405" t="s">
        <v>38490</v>
      </c>
      <c r="M3405" t="s">
        <v>40090</v>
      </c>
      <c r="N3405" t="s">
        <v>42669</v>
      </c>
      <c r="O3405" t="s">
        <v>42670</v>
      </c>
      <c r="P3405">
        <v>0</v>
      </c>
      <c r="Q3405">
        <v>1</v>
      </c>
      <c r="R3405" t="s">
        <v>42674</v>
      </c>
      <c r="S3405" t="s">
        <v>42788</v>
      </c>
      <c r="T3405" t="s">
        <v>44456</v>
      </c>
      <c r="U3405" t="s">
        <v>47634</v>
      </c>
      <c r="W3405" t="s">
        <v>40090</v>
      </c>
      <c r="X3405" t="s">
        <v>42676</v>
      </c>
    </row>
    <row r="3406" spans="1:24">
      <c r="A3406">
        <f>HYPERLINK("https://www.philgeps.gov.ph/GEPSNONPILOT/Tender/SplashBidNoticeAbstractUI.aspx?menuIndex=3&amp;refID=7192701&amp;Result=3","7192701")</f>
        <v>0</v>
      </c>
      <c r="B3406" t="s">
        <v>1264</v>
      </c>
      <c r="C3406" t="s">
        <v>6772</v>
      </c>
      <c r="D3406" t="s">
        <v>17210</v>
      </c>
      <c r="E3406" t="s">
        <v>20259</v>
      </c>
      <c r="F3406" t="s">
        <v>29372</v>
      </c>
      <c r="G3406" t="s">
        <v>29380</v>
      </c>
      <c r="H3406" t="s">
        <v>11048</v>
      </c>
      <c r="I3406" t="s">
        <v>9469</v>
      </c>
      <c r="J3406" t="s">
        <v>29590</v>
      </c>
      <c r="K3406" t="s">
        <v>38485</v>
      </c>
      <c r="M3406" t="s">
        <v>40091</v>
      </c>
      <c r="N3406" t="s">
        <v>42669</v>
      </c>
      <c r="O3406" t="s">
        <v>42670</v>
      </c>
      <c r="P3406">
        <v>0</v>
      </c>
      <c r="Q3406">
        <v>0</v>
      </c>
      <c r="R3406" t="s">
        <v>42674</v>
      </c>
      <c r="S3406" t="s">
        <v>42788</v>
      </c>
      <c r="T3406" t="s">
        <v>44476</v>
      </c>
      <c r="U3406" t="s">
        <v>47635</v>
      </c>
      <c r="W3406" t="s">
        <v>40091</v>
      </c>
      <c r="X3406" t="s">
        <v>42676</v>
      </c>
    </row>
    <row r="3407" spans="1:24">
      <c r="A3407">
        <f>HYPERLINK("https://www.philgeps.gov.ph/GEPSNONPILOT/Tender/SplashBidNoticeAbstractUI.aspx?menuIndex=3&amp;refID=7192760&amp;Result=3","7192760")</f>
        <v>0</v>
      </c>
      <c r="B3407" t="s">
        <v>1263</v>
      </c>
      <c r="C3407" t="s">
        <v>6773</v>
      </c>
      <c r="E3407" t="s">
        <v>20260</v>
      </c>
      <c r="F3407" t="s">
        <v>29372</v>
      </c>
      <c r="G3407" t="s">
        <v>29379</v>
      </c>
      <c r="H3407" t="s">
        <v>11048</v>
      </c>
      <c r="I3407" t="s">
        <v>29458</v>
      </c>
      <c r="J3407" t="s">
        <v>29532</v>
      </c>
      <c r="K3407" t="s">
        <v>38490</v>
      </c>
      <c r="M3407" t="s">
        <v>40090</v>
      </c>
      <c r="N3407" t="s">
        <v>42669</v>
      </c>
      <c r="O3407" t="s">
        <v>42670</v>
      </c>
      <c r="P3407">
        <v>0</v>
      </c>
      <c r="Q3407">
        <v>4</v>
      </c>
      <c r="R3407" t="s">
        <v>42674</v>
      </c>
      <c r="S3407" t="s">
        <v>42788</v>
      </c>
      <c r="T3407" t="s">
        <v>44456</v>
      </c>
      <c r="U3407" t="s">
        <v>47636</v>
      </c>
      <c r="W3407" t="s">
        <v>40090</v>
      </c>
      <c r="X3407" t="s">
        <v>42676</v>
      </c>
    </row>
    <row r="3408" spans="1:24">
      <c r="A3408">
        <f>HYPERLINK("https://www.philgeps.gov.ph/GEPSNONPILOT/Tender/SplashBidNoticeAbstractUI.aspx?menuIndex=3&amp;refID=7192759&amp;Result=3","7192759")</f>
        <v>0</v>
      </c>
      <c r="B3408" t="s">
        <v>1265</v>
      </c>
      <c r="C3408" t="s">
        <v>6774</v>
      </c>
      <c r="D3408" t="s">
        <v>17163</v>
      </c>
      <c r="E3408" t="s">
        <v>20261</v>
      </c>
      <c r="F3408" t="s">
        <v>29372</v>
      </c>
      <c r="G3408" t="s">
        <v>29380</v>
      </c>
      <c r="H3408" t="s">
        <v>11048</v>
      </c>
      <c r="I3408" t="s">
        <v>8614</v>
      </c>
      <c r="J3408" t="s">
        <v>31861</v>
      </c>
      <c r="K3408" t="s">
        <v>38495</v>
      </c>
      <c r="M3408" t="s">
        <v>40092</v>
      </c>
      <c r="N3408" t="s">
        <v>42669</v>
      </c>
      <c r="O3408" t="s">
        <v>42670</v>
      </c>
      <c r="P3408">
        <v>0</v>
      </c>
      <c r="Q3408">
        <v>9</v>
      </c>
      <c r="R3408" t="s">
        <v>42674</v>
      </c>
      <c r="S3408" t="s">
        <v>42788</v>
      </c>
      <c r="T3408" t="s">
        <v>44363</v>
      </c>
      <c r="U3408" t="s">
        <v>47637</v>
      </c>
      <c r="W3408" t="s">
        <v>58043</v>
      </c>
      <c r="X3408" t="s">
        <v>42676</v>
      </c>
    </row>
    <row r="3409" spans="1:24">
      <c r="A3409">
        <f>HYPERLINK("https://www.philgeps.gov.ph/GEPSNONPILOT/Tender/SplashBidNoticeAbstractUI.aspx?menuIndex=3&amp;refID=7192755&amp;Result=3","7192755")</f>
        <v>0</v>
      </c>
      <c r="B3409" t="s">
        <v>1266</v>
      </c>
      <c r="C3409" t="s">
        <v>6775</v>
      </c>
      <c r="E3409" t="s">
        <v>19384</v>
      </c>
      <c r="F3409" t="s">
        <v>29372</v>
      </c>
      <c r="G3409" t="s">
        <v>29379</v>
      </c>
      <c r="H3409" t="s">
        <v>29391</v>
      </c>
      <c r="I3409" t="s">
        <v>29391</v>
      </c>
      <c r="J3409" t="s">
        <v>30399</v>
      </c>
      <c r="K3409" t="s">
        <v>38490</v>
      </c>
      <c r="M3409" t="s">
        <v>40093</v>
      </c>
      <c r="N3409" t="s">
        <v>42669</v>
      </c>
      <c r="O3409" t="s">
        <v>42670</v>
      </c>
      <c r="P3409">
        <v>0</v>
      </c>
      <c r="Q3409">
        <v>6</v>
      </c>
      <c r="R3409" t="s">
        <v>42674</v>
      </c>
      <c r="S3409" t="s">
        <v>42788</v>
      </c>
      <c r="T3409" t="s">
        <v>44429</v>
      </c>
      <c r="U3409" t="s">
        <v>47638</v>
      </c>
      <c r="V3409" t="s">
        <v>56676</v>
      </c>
      <c r="W3409" t="s">
        <v>40093</v>
      </c>
      <c r="X3409" t="s">
        <v>42676</v>
      </c>
    </row>
    <row r="3410" spans="1:24">
      <c r="A3410">
        <f>HYPERLINK("https://www.philgeps.gov.ph/GEPSNONPILOT/Tender/SplashBidNoticeAbstractUI.aspx?menuIndex=3&amp;refID=7192754&amp;Result=3","7192754")</f>
        <v>0</v>
      </c>
      <c r="B3410" t="s">
        <v>1263</v>
      </c>
      <c r="C3410" t="s">
        <v>6776</v>
      </c>
      <c r="E3410" t="s">
        <v>20262</v>
      </c>
      <c r="F3410" t="s">
        <v>29372</v>
      </c>
      <c r="G3410" t="s">
        <v>29379</v>
      </c>
      <c r="H3410" t="s">
        <v>11048</v>
      </c>
      <c r="I3410" t="s">
        <v>29415</v>
      </c>
      <c r="J3410" t="s">
        <v>29761</v>
      </c>
      <c r="K3410" t="s">
        <v>38490</v>
      </c>
      <c r="M3410" t="s">
        <v>40090</v>
      </c>
      <c r="N3410" t="s">
        <v>42669</v>
      </c>
      <c r="O3410" t="s">
        <v>42670</v>
      </c>
      <c r="Q3410">
        <v>3</v>
      </c>
      <c r="R3410" t="s">
        <v>42674</v>
      </c>
      <c r="S3410" t="s">
        <v>42808</v>
      </c>
      <c r="T3410" t="s">
        <v>44456</v>
      </c>
      <c r="U3410" t="s">
        <v>47633</v>
      </c>
      <c r="W3410" t="s">
        <v>40090</v>
      </c>
      <c r="X3410" t="s">
        <v>42676</v>
      </c>
    </row>
    <row r="3411" spans="1:24">
      <c r="A3411">
        <f>HYPERLINK("https://www.philgeps.gov.ph/GEPSNONPILOT/Tender/SplashBidNoticeAbstractUI.aspx?menuIndex=3&amp;refID=7192726&amp;Result=3","7192726")</f>
        <v>0</v>
      </c>
      <c r="B3411" t="s">
        <v>896</v>
      </c>
      <c r="C3411" t="s">
        <v>6777</v>
      </c>
      <c r="D3411" t="s">
        <v>17188</v>
      </c>
      <c r="E3411" t="s">
        <v>20263</v>
      </c>
      <c r="F3411" t="s">
        <v>29372</v>
      </c>
      <c r="G3411" t="s">
        <v>29380</v>
      </c>
      <c r="H3411" t="s">
        <v>29389</v>
      </c>
      <c r="I3411" t="s">
        <v>10408</v>
      </c>
      <c r="J3411" t="s">
        <v>31862</v>
      </c>
      <c r="K3411" t="s">
        <v>38527</v>
      </c>
      <c r="M3411" t="s">
        <v>40075</v>
      </c>
      <c r="N3411" t="s">
        <v>42669</v>
      </c>
      <c r="O3411" t="s">
        <v>42670</v>
      </c>
      <c r="P3411">
        <v>0</v>
      </c>
      <c r="Q3411">
        <v>0</v>
      </c>
      <c r="R3411" t="s">
        <v>42674</v>
      </c>
      <c r="S3411" t="s">
        <v>42788</v>
      </c>
      <c r="T3411" t="s">
        <v>44622</v>
      </c>
      <c r="U3411" t="s">
        <v>47639</v>
      </c>
      <c r="V3411" t="s">
        <v>56575</v>
      </c>
      <c r="W3411" t="s">
        <v>40075</v>
      </c>
      <c r="X3411" t="s">
        <v>42676</v>
      </c>
    </row>
    <row r="3412" spans="1:24">
      <c r="A3412">
        <f>HYPERLINK("https://www.philgeps.gov.ph/GEPSNONPILOT/Tender/SplashBidNoticeAbstractUI.aspx?menuIndex=3&amp;refID=7192743&amp;Result=3","7192743")</f>
        <v>0</v>
      </c>
      <c r="B3412" t="s">
        <v>1263</v>
      </c>
      <c r="C3412" t="s">
        <v>6778</v>
      </c>
      <c r="D3412" t="s">
        <v>17192</v>
      </c>
      <c r="E3412" t="s">
        <v>20264</v>
      </c>
      <c r="F3412" t="s">
        <v>29372</v>
      </c>
      <c r="G3412" t="s">
        <v>29379</v>
      </c>
      <c r="H3412" t="s">
        <v>11048</v>
      </c>
      <c r="I3412" t="s">
        <v>3629</v>
      </c>
      <c r="J3412" t="s">
        <v>29564</v>
      </c>
      <c r="K3412" t="s">
        <v>38490</v>
      </c>
      <c r="M3412" t="s">
        <v>40090</v>
      </c>
      <c r="N3412" t="s">
        <v>42669</v>
      </c>
      <c r="O3412" t="s">
        <v>42670</v>
      </c>
      <c r="P3412">
        <v>0</v>
      </c>
      <c r="Q3412">
        <v>4</v>
      </c>
      <c r="R3412" t="s">
        <v>42674</v>
      </c>
      <c r="S3412" t="s">
        <v>42788</v>
      </c>
      <c r="T3412" t="s">
        <v>44456</v>
      </c>
      <c r="U3412" t="s">
        <v>47633</v>
      </c>
      <c r="W3412" t="s">
        <v>40090</v>
      </c>
      <c r="X3412" t="s">
        <v>42676</v>
      </c>
    </row>
    <row r="3413" spans="1:24">
      <c r="A3413">
        <f>HYPERLINK("https://www.philgeps.gov.ph/GEPSNONPILOT/Tender/SplashBidNoticeAbstractUI.aspx?menuIndex=3&amp;refID=7192763&amp;Result=3","7192763")</f>
        <v>0</v>
      </c>
      <c r="B3413" t="s">
        <v>1267</v>
      </c>
      <c r="C3413" t="s">
        <v>6779</v>
      </c>
      <c r="D3413" t="s">
        <v>17177</v>
      </c>
      <c r="E3413" t="s">
        <v>20265</v>
      </c>
      <c r="F3413" t="s">
        <v>29372</v>
      </c>
      <c r="G3413" t="s">
        <v>29380</v>
      </c>
      <c r="H3413" t="s">
        <v>29389</v>
      </c>
      <c r="I3413" t="s">
        <v>10408</v>
      </c>
      <c r="J3413" t="s">
        <v>31373</v>
      </c>
      <c r="K3413" t="s">
        <v>38505</v>
      </c>
      <c r="M3413" t="s">
        <v>40094</v>
      </c>
      <c r="N3413" t="s">
        <v>42669</v>
      </c>
      <c r="O3413" t="s">
        <v>42670</v>
      </c>
      <c r="P3413">
        <v>0</v>
      </c>
      <c r="Q3413">
        <v>3</v>
      </c>
      <c r="R3413" t="s">
        <v>42674</v>
      </c>
      <c r="S3413" t="s">
        <v>42788</v>
      </c>
      <c r="T3413" t="s">
        <v>44446</v>
      </c>
      <c r="U3413" t="s">
        <v>47640</v>
      </c>
      <c r="V3413" t="s">
        <v>56677</v>
      </c>
      <c r="W3413" t="s">
        <v>40094</v>
      </c>
      <c r="X3413" t="s">
        <v>42676</v>
      </c>
    </row>
    <row r="3414" spans="1:24">
      <c r="A3414">
        <f>HYPERLINK("https://www.philgeps.gov.ph/GEPSNONPILOT/Tender/SplashBidNoticeAbstractUI.aspx?menuIndex=3&amp;refID=7192744&amp;Result=3","7192744")</f>
        <v>0</v>
      </c>
      <c r="B3414" t="s">
        <v>1268</v>
      </c>
      <c r="C3414" t="s">
        <v>6780</v>
      </c>
      <c r="D3414" t="s">
        <v>17161</v>
      </c>
      <c r="E3414" t="s">
        <v>20266</v>
      </c>
      <c r="F3414" t="s">
        <v>29372</v>
      </c>
      <c r="G3414" t="s">
        <v>29380</v>
      </c>
      <c r="H3414" t="s">
        <v>29389</v>
      </c>
      <c r="I3414" t="s">
        <v>10408</v>
      </c>
      <c r="J3414" t="s">
        <v>29543</v>
      </c>
      <c r="K3414" t="s">
        <v>38522</v>
      </c>
      <c r="M3414" t="s">
        <v>40095</v>
      </c>
      <c r="N3414" t="s">
        <v>42669</v>
      </c>
      <c r="O3414" t="s">
        <v>42670</v>
      </c>
      <c r="P3414">
        <v>0</v>
      </c>
      <c r="Q3414">
        <v>0</v>
      </c>
      <c r="R3414" t="s">
        <v>42674</v>
      </c>
      <c r="S3414" t="s">
        <v>42788</v>
      </c>
      <c r="T3414" t="s">
        <v>44503</v>
      </c>
      <c r="U3414" t="s">
        <v>47641</v>
      </c>
      <c r="W3414" t="s">
        <v>40095</v>
      </c>
      <c r="X3414" t="s">
        <v>42676</v>
      </c>
    </row>
    <row r="3415" spans="1:24">
      <c r="A3415">
        <f>HYPERLINK("https://www.philgeps.gov.ph/GEPSNONPILOT/Tender/SplashBidNoticeAbstractUI.aspx?menuIndex=3&amp;refID=7192761&amp;Result=3","7192761")</f>
        <v>0</v>
      </c>
      <c r="B3415" t="s">
        <v>468</v>
      </c>
      <c r="C3415" t="s">
        <v>6781</v>
      </c>
      <c r="D3415" t="s">
        <v>17141</v>
      </c>
      <c r="E3415" t="s">
        <v>20267</v>
      </c>
      <c r="F3415" t="s">
        <v>29372</v>
      </c>
      <c r="G3415" t="s">
        <v>29380</v>
      </c>
      <c r="H3415" t="s">
        <v>11048</v>
      </c>
      <c r="I3415" t="s">
        <v>29409</v>
      </c>
      <c r="J3415" t="s">
        <v>31863</v>
      </c>
      <c r="K3415" t="s">
        <v>38510</v>
      </c>
      <c r="M3415" t="s">
        <v>39232</v>
      </c>
      <c r="N3415" t="s">
        <v>42669</v>
      </c>
      <c r="O3415" t="s">
        <v>42670</v>
      </c>
      <c r="P3415">
        <v>0</v>
      </c>
      <c r="Q3415">
        <v>10</v>
      </c>
      <c r="R3415" t="s">
        <v>42674</v>
      </c>
      <c r="S3415" t="s">
        <v>42788</v>
      </c>
      <c r="T3415" t="s">
        <v>44539</v>
      </c>
      <c r="U3415" t="s">
        <v>47642</v>
      </c>
      <c r="W3415" t="s">
        <v>39232</v>
      </c>
      <c r="X3415" t="s">
        <v>42676</v>
      </c>
    </row>
    <row r="3416" spans="1:24">
      <c r="A3416">
        <f>HYPERLINK("https://www.philgeps.gov.ph/GEPSNONPILOT/Tender/SplashBidNoticeAbstractUI.aspx?menuIndex=3&amp;refID=7192739&amp;Result=3","7192739")</f>
        <v>0</v>
      </c>
      <c r="B3416" t="s">
        <v>184</v>
      </c>
      <c r="C3416" t="s">
        <v>6782</v>
      </c>
      <c r="D3416" t="s">
        <v>17141</v>
      </c>
      <c r="E3416" t="s">
        <v>20268</v>
      </c>
      <c r="F3416" t="s">
        <v>29372</v>
      </c>
      <c r="G3416" t="s">
        <v>29380</v>
      </c>
      <c r="H3416" t="s">
        <v>11048</v>
      </c>
      <c r="I3416" t="s">
        <v>3670</v>
      </c>
      <c r="J3416" t="s">
        <v>31864</v>
      </c>
      <c r="K3416" t="s">
        <v>38491</v>
      </c>
      <c r="M3416" t="s">
        <v>38941</v>
      </c>
      <c r="N3416" t="s">
        <v>42669</v>
      </c>
      <c r="O3416" t="s">
        <v>42670</v>
      </c>
      <c r="P3416">
        <v>0</v>
      </c>
      <c r="Q3416">
        <v>2</v>
      </c>
      <c r="R3416" t="s">
        <v>42674</v>
      </c>
      <c r="S3416" t="s">
        <v>42788</v>
      </c>
      <c r="T3416" t="s">
        <v>44525</v>
      </c>
      <c r="U3416" t="s">
        <v>47643</v>
      </c>
      <c r="V3416" t="s">
        <v>56386</v>
      </c>
      <c r="W3416" t="s">
        <v>38941</v>
      </c>
      <c r="X3416" t="s">
        <v>42676</v>
      </c>
    </row>
    <row r="3417" spans="1:24">
      <c r="A3417">
        <f>HYPERLINK("https://www.philgeps.gov.ph/GEPSNONPILOT/Tender/SplashBidNoticeAbstractUI.aspx?menuIndex=3&amp;refID=7192735&amp;Result=3","7192735")</f>
        <v>0</v>
      </c>
      <c r="B3417" t="s">
        <v>1269</v>
      </c>
      <c r="C3417" t="s">
        <v>6783</v>
      </c>
      <c r="E3417" t="s">
        <v>20269</v>
      </c>
      <c r="F3417" t="s">
        <v>29372</v>
      </c>
      <c r="G3417" t="s">
        <v>29380</v>
      </c>
      <c r="H3417" t="s">
        <v>29389</v>
      </c>
      <c r="I3417" t="s">
        <v>10408</v>
      </c>
      <c r="J3417" t="s">
        <v>29822</v>
      </c>
      <c r="K3417" t="s">
        <v>38487</v>
      </c>
      <c r="M3417" t="s">
        <v>40096</v>
      </c>
      <c r="N3417" t="s">
        <v>42669</v>
      </c>
      <c r="O3417" t="s">
        <v>42670</v>
      </c>
      <c r="P3417">
        <v>0</v>
      </c>
      <c r="Q3417">
        <v>1</v>
      </c>
      <c r="R3417" t="s">
        <v>42674</v>
      </c>
      <c r="S3417" t="s">
        <v>42788</v>
      </c>
      <c r="T3417" t="s">
        <v>44456</v>
      </c>
      <c r="U3417" t="s">
        <v>47644</v>
      </c>
      <c r="V3417" t="s">
        <v>56674</v>
      </c>
      <c r="W3417" t="s">
        <v>40096</v>
      </c>
      <c r="X3417" t="s">
        <v>42676</v>
      </c>
    </row>
    <row r="3418" spans="1:24">
      <c r="A3418">
        <f>HYPERLINK("https://www.philgeps.gov.ph/GEPSNONPILOT/Tender/SplashBidNoticeAbstractUI.aspx?menuIndex=3&amp;refID=7192683&amp;Result=3","7192683")</f>
        <v>0</v>
      </c>
      <c r="B3418" t="s">
        <v>143</v>
      </c>
      <c r="C3418" t="s">
        <v>6784</v>
      </c>
      <c r="D3418" t="s">
        <v>17182</v>
      </c>
      <c r="E3418" t="s">
        <v>20270</v>
      </c>
      <c r="F3418" t="s">
        <v>29372</v>
      </c>
      <c r="G3418" t="s">
        <v>29379</v>
      </c>
      <c r="H3418" t="s">
        <v>11048</v>
      </c>
      <c r="I3418" t="s">
        <v>4486</v>
      </c>
      <c r="J3418" t="s">
        <v>31865</v>
      </c>
      <c r="K3418" t="s">
        <v>38491</v>
      </c>
      <c r="M3418" t="s">
        <v>38898</v>
      </c>
      <c r="N3418" t="s">
        <v>42669</v>
      </c>
      <c r="O3418" t="s">
        <v>42670</v>
      </c>
      <c r="P3418">
        <v>0</v>
      </c>
      <c r="Q3418">
        <v>0</v>
      </c>
      <c r="R3418" t="s">
        <v>42674</v>
      </c>
      <c r="S3418" t="s">
        <v>42788</v>
      </c>
      <c r="T3418" t="s">
        <v>44385</v>
      </c>
      <c r="U3418" t="s">
        <v>47420</v>
      </c>
      <c r="W3418" t="s">
        <v>38898</v>
      </c>
      <c r="X3418" t="s">
        <v>42676</v>
      </c>
    </row>
    <row r="3419" spans="1:24">
      <c r="A3419">
        <f>HYPERLINK("https://www.philgeps.gov.ph/GEPSNONPILOT/Tender/SplashBidNoticeAbstractUI.aspx?menuIndex=3&amp;refID=7192733&amp;Result=3","7192733")</f>
        <v>0</v>
      </c>
      <c r="B3419" t="s">
        <v>844</v>
      </c>
      <c r="C3419" t="s">
        <v>6785</v>
      </c>
      <c r="D3419" t="s">
        <v>17184</v>
      </c>
      <c r="E3419" t="s">
        <v>20271</v>
      </c>
      <c r="F3419" t="s">
        <v>29372</v>
      </c>
      <c r="G3419" t="s">
        <v>29379</v>
      </c>
      <c r="H3419" t="s">
        <v>11048</v>
      </c>
      <c r="I3419" t="s">
        <v>29394</v>
      </c>
      <c r="J3419" t="s">
        <v>31035</v>
      </c>
      <c r="K3419" t="s">
        <v>38485</v>
      </c>
      <c r="M3419" t="s">
        <v>39634</v>
      </c>
      <c r="N3419" t="s">
        <v>42669</v>
      </c>
      <c r="O3419" t="s">
        <v>42670</v>
      </c>
      <c r="P3419">
        <v>0</v>
      </c>
      <c r="Q3419">
        <v>0</v>
      </c>
      <c r="R3419" t="s">
        <v>42674</v>
      </c>
      <c r="S3419" t="s">
        <v>42788</v>
      </c>
      <c r="T3419" t="s">
        <v>44387</v>
      </c>
      <c r="U3419" t="s">
        <v>46577</v>
      </c>
      <c r="W3419" t="s">
        <v>39634</v>
      </c>
      <c r="X3419" t="s">
        <v>42676</v>
      </c>
    </row>
    <row r="3420" spans="1:24">
      <c r="A3420">
        <f>HYPERLINK("https://www.philgeps.gov.ph/GEPSNONPILOT/Tender/SplashBidNoticeAbstractUI.aspx?menuIndex=3&amp;refID=7192742&amp;Result=3","7192742")</f>
        <v>0</v>
      </c>
      <c r="B3420" t="s">
        <v>1270</v>
      </c>
      <c r="C3420" t="s">
        <v>6786</v>
      </c>
      <c r="D3420" t="s">
        <v>17177</v>
      </c>
      <c r="E3420" t="s">
        <v>20272</v>
      </c>
      <c r="F3420" t="s">
        <v>29372</v>
      </c>
      <c r="G3420" t="s">
        <v>29380</v>
      </c>
      <c r="H3420" t="s">
        <v>11048</v>
      </c>
      <c r="I3420" t="s">
        <v>29398</v>
      </c>
      <c r="J3420" t="s">
        <v>31866</v>
      </c>
      <c r="K3420" t="s">
        <v>38491</v>
      </c>
      <c r="M3420" t="s">
        <v>40097</v>
      </c>
      <c r="N3420" t="s">
        <v>42669</v>
      </c>
      <c r="O3420" t="s">
        <v>42670</v>
      </c>
      <c r="P3420">
        <v>0</v>
      </c>
      <c r="Q3420">
        <v>0</v>
      </c>
      <c r="R3420" t="s">
        <v>42674</v>
      </c>
      <c r="S3420" t="s">
        <v>42788</v>
      </c>
      <c r="T3420" t="s">
        <v>44568</v>
      </c>
      <c r="U3420" t="s">
        <v>47645</v>
      </c>
      <c r="W3420" t="s">
        <v>40097</v>
      </c>
      <c r="X3420" t="s">
        <v>42676</v>
      </c>
    </row>
    <row r="3421" spans="1:24">
      <c r="A3421">
        <f>HYPERLINK("https://www.philgeps.gov.ph/GEPSNONPILOT/Tender/SplashBidNoticeAbstractUI.aspx?menuIndex=3&amp;refID=7192741&amp;Result=3","7192741")</f>
        <v>0</v>
      </c>
      <c r="B3421" t="s">
        <v>597</v>
      </c>
      <c r="C3421" t="s">
        <v>6787</v>
      </c>
      <c r="D3421" t="s">
        <v>17179</v>
      </c>
      <c r="E3421" t="s">
        <v>20273</v>
      </c>
      <c r="F3421" t="s">
        <v>29372</v>
      </c>
      <c r="G3421" t="s">
        <v>29380</v>
      </c>
      <c r="H3421" t="s">
        <v>29389</v>
      </c>
      <c r="I3421" t="s">
        <v>10408</v>
      </c>
      <c r="J3421" t="s">
        <v>29788</v>
      </c>
      <c r="K3421" t="s">
        <v>38522</v>
      </c>
      <c r="M3421" t="s">
        <v>39368</v>
      </c>
      <c r="N3421" t="s">
        <v>42669</v>
      </c>
      <c r="O3421" t="s">
        <v>42670</v>
      </c>
      <c r="P3421">
        <v>0</v>
      </c>
      <c r="Q3421">
        <v>0</v>
      </c>
      <c r="R3421" t="s">
        <v>42674</v>
      </c>
      <c r="S3421" t="s">
        <v>42788</v>
      </c>
      <c r="T3421" t="s">
        <v>44542</v>
      </c>
      <c r="U3421" t="s">
        <v>47646</v>
      </c>
      <c r="W3421" t="s">
        <v>39368</v>
      </c>
      <c r="X3421" t="s">
        <v>42676</v>
      </c>
    </row>
    <row r="3422" spans="1:24">
      <c r="A3422">
        <f>HYPERLINK("https://www.philgeps.gov.ph/GEPSNONPILOT/Tender/SplashBidNoticeAbstractUI.aspx?menuIndex=3&amp;refID=7192729&amp;Result=3","7192729")</f>
        <v>0</v>
      </c>
      <c r="B3422" t="s">
        <v>844</v>
      </c>
      <c r="C3422" t="s">
        <v>6788</v>
      </c>
      <c r="D3422" t="s">
        <v>17218</v>
      </c>
      <c r="E3422" t="s">
        <v>20274</v>
      </c>
      <c r="F3422" t="s">
        <v>29372</v>
      </c>
      <c r="G3422" t="s">
        <v>29379</v>
      </c>
      <c r="H3422" t="s">
        <v>11048</v>
      </c>
      <c r="I3422" t="s">
        <v>29394</v>
      </c>
      <c r="J3422" t="s">
        <v>31867</v>
      </c>
      <c r="K3422" t="s">
        <v>38485</v>
      </c>
      <c r="M3422" t="s">
        <v>39634</v>
      </c>
      <c r="N3422" t="s">
        <v>42669</v>
      </c>
      <c r="O3422" t="s">
        <v>42670</v>
      </c>
      <c r="P3422">
        <v>0</v>
      </c>
      <c r="Q3422">
        <v>0</v>
      </c>
      <c r="R3422" t="s">
        <v>42674</v>
      </c>
      <c r="S3422" t="s">
        <v>42788</v>
      </c>
      <c r="T3422" t="s">
        <v>44387</v>
      </c>
      <c r="U3422" t="s">
        <v>46577</v>
      </c>
      <c r="W3422" t="s">
        <v>39634</v>
      </c>
      <c r="X3422" t="s">
        <v>42676</v>
      </c>
    </row>
    <row r="3423" spans="1:24">
      <c r="A3423">
        <f>HYPERLINK("https://www.philgeps.gov.ph/GEPSNONPILOT/Tender/SplashBidNoticeAbstractUI.aspx?menuIndex=3&amp;refID=7192798&amp;Result=3","7192798")</f>
        <v>0</v>
      </c>
      <c r="B3423" t="s">
        <v>1246</v>
      </c>
      <c r="C3423" t="s">
        <v>6789</v>
      </c>
      <c r="D3423" t="s">
        <v>17141</v>
      </c>
      <c r="E3423" t="s">
        <v>20275</v>
      </c>
      <c r="F3423" t="s">
        <v>29372</v>
      </c>
      <c r="G3423" t="s">
        <v>29379</v>
      </c>
      <c r="H3423" t="s">
        <v>11048</v>
      </c>
      <c r="I3423" t="s">
        <v>3629</v>
      </c>
      <c r="J3423" t="s">
        <v>31236</v>
      </c>
      <c r="K3423" t="s">
        <v>38485</v>
      </c>
      <c r="M3423" t="s">
        <v>40071</v>
      </c>
      <c r="N3423" t="s">
        <v>42669</v>
      </c>
      <c r="O3423" t="s">
        <v>42670</v>
      </c>
      <c r="P3423">
        <v>0</v>
      </c>
      <c r="Q3423">
        <v>1</v>
      </c>
      <c r="R3423" t="s">
        <v>42674</v>
      </c>
      <c r="S3423" t="s">
        <v>42788</v>
      </c>
      <c r="T3423" t="s">
        <v>44427</v>
      </c>
      <c r="U3423" t="s">
        <v>47647</v>
      </c>
      <c r="W3423" t="s">
        <v>40071</v>
      </c>
      <c r="X3423" t="s">
        <v>42676</v>
      </c>
    </row>
    <row r="3424" spans="1:24">
      <c r="A3424">
        <f>HYPERLINK("https://www.philgeps.gov.ph/GEPSNONPILOT/Tender/SplashBidNoticeAbstractUI.aspx?menuIndex=3&amp;refID=7192797&amp;Result=3","7192797")</f>
        <v>0</v>
      </c>
      <c r="B3424" t="s">
        <v>1271</v>
      </c>
      <c r="C3424" t="s">
        <v>6790</v>
      </c>
      <c r="D3424" t="s">
        <v>17159</v>
      </c>
      <c r="E3424" t="s">
        <v>20276</v>
      </c>
      <c r="F3424" t="s">
        <v>29372</v>
      </c>
      <c r="G3424" t="s">
        <v>29380</v>
      </c>
      <c r="H3424" t="s">
        <v>29389</v>
      </c>
      <c r="I3424" t="s">
        <v>10408</v>
      </c>
      <c r="J3424" t="s">
        <v>31868</v>
      </c>
      <c r="K3424" t="s">
        <v>38495</v>
      </c>
      <c r="M3424" t="s">
        <v>40098</v>
      </c>
      <c r="N3424" t="s">
        <v>42669</v>
      </c>
      <c r="O3424" t="s">
        <v>42670</v>
      </c>
      <c r="P3424">
        <v>0</v>
      </c>
      <c r="Q3424">
        <v>1</v>
      </c>
      <c r="R3424" t="s">
        <v>42674</v>
      </c>
      <c r="S3424" t="s">
        <v>42788</v>
      </c>
      <c r="T3424" t="s">
        <v>44358</v>
      </c>
      <c r="U3424" t="s">
        <v>47648</v>
      </c>
      <c r="W3424" t="s">
        <v>40098</v>
      </c>
      <c r="X3424" t="s">
        <v>42676</v>
      </c>
    </row>
    <row r="3425" spans="1:24">
      <c r="A3425">
        <f>HYPERLINK("https://www.philgeps.gov.ph/GEPSNONPILOT/Tender/SplashBidNoticeAbstractUI.aspx?menuIndex=3&amp;refID=7192734&amp;Result=3","7192734")</f>
        <v>0</v>
      </c>
      <c r="B3425" t="s">
        <v>1263</v>
      </c>
      <c r="C3425" t="s">
        <v>6791</v>
      </c>
      <c r="E3425" t="s">
        <v>20277</v>
      </c>
      <c r="F3425" t="s">
        <v>29372</v>
      </c>
      <c r="G3425" t="s">
        <v>29379</v>
      </c>
      <c r="H3425" t="s">
        <v>11048</v>
      </c>
      <c r="I3425" t="s">
        <v>8208</v>
      </c>
      <c r="J3425" t="s">
        <v>30676</v>
      </c>
      <c r="K3425" t="s">
        <v>38490</v>
      </c>
      <c r="M3425" t="s">
        <v>40090</v>
      </c>
      <c r="N3425" t="s">
        <v>42669</v>
      </c>
      <c r="O3425" t="s">
        <v>42670</v>
      </c>
      <c r="P3425">
        <v>0</v>
      </c>
      <c r="Q3425">
        <v>1</v>
      </c>
      <c r="R3425" t="s">
        <v>42674</v>
      </c>
      <c r="S3425" t="s">
        <v>42788</v>
      </c>
      <c r="T3425" t="s">
        <v>44456</v>
      </c>
      <c r="U3425" t="s">
        <v>47649</v>
      </c>
      <c r="W3425" t="s">
        <v>40090</v>
      </c>
      <c r="X3425" t="s">
        <v>42676</v>
      </c>
    </row>
    <row r="3426" spans="1:24">
      <c r="A3426">
        <f>HYPERLINK("https://www.philgeps.gov.ph/GEPSNONPILOT/Tender/SplashBidNoticeAbstractUI.aspx?menuIndex=3&amp;refID=7192795&amp;Result=3","7192795")</f>
        <v>0</v>
      </c>
      <c r="B3426" t="s">
        <v>1272</v>
      </c>
      <c r="C3426" t="s">
        <v>6792</v>
      </c>
      <c r="D3426" t="s">
        <v>17172</v>
      </c>
      <c r="E3426" t="s">
        <v>20278</v>
      </c>
      <c r="F3426" t="s">
        <v>29372</v>
      </c>
      <c r="G3426" t="s">
        <v>29380</v>
      </c>
      <c r="H3426" t="s">
        <v>29389</v>
      </c>
      <c r="I3426" t="s">
        <v>10408</v>
      </c>
      <c r="J3426" t="s">
        <v>31869</v>
      </c>
      <c r="K3426" t="s">
        <v>38495</v>
      </c>
      <c r="M3426" t="s">
        <v>40099</v>
      </c>
      <c r="N3426" t="s">
        <v>42669</v>
      </c>
      <c r="O3426" t="s">
        <v>42670</v>
      </c>
      <c r="P3426">
        <v>0</v>
      </c>
      <c r="Q3426">
        <v>1</v>
      </c>
      <c r="R3426" t="s">
        <v>42674</v>
      </c>
      <c r="S3426" t="s">
        <v>42788</v>
      </c>
      <c r="T3426" t="s">
        <v>44542</v>
      </c>
      <c r="U3426" t="s">
        <v>47650</v>
      </c>
      <c r="W3426" t="s">
        <v>40099</v>
      </c>
      <c r="X3426" t="s">
        <v>42676</v>
      </c>
    </row>
    <row r="3427" spans="1:24">
      <c r="A3427">
        <f>HYPERLINK("https://www.philgeps.gov.ph/GEPSNONPILOT/Tender/SplashBidNoticeAbstractUI.aspx?menuIndex=3&amp;refID=7192793&amp;Result=3","7192793")</f>
        <v>0</v>
      </c>
      <c r="B3427" t="s">
        <v>1272</v>
      </c>
      <c r="C3427" t="s">
        <v>6793</v>
      </c>
      <c r="D3427" t="s">
        <v>17172</v>
      </c>
      <c r="E3427" t="s">
        <v>20279</v>
      </c>
      <c r="F3427" t="s">
        <v>29372</v>
      </c>
      <c r="G3427" t="s">
        <v>29380</v>
      </c>
      <c r="H3427" t="s">
        <v>29389</v>
      </c>
      <c r="I3427" t="s">
        <v>10408</v>
      </c>
      <c r="J3427" t="s">
        <v>31870</v>
      </c>
      <c r="K3427" t="s">
        <v>38523</v>
      </c>
      <c r="M3427" t="s">
        <v>40099</v>
      </c>
      <c r="N3427" t="s">
        <v>42669</v>
      </c>
      <c r="O3427" t="s">
        <v>42670</v>
      </c>
      <c r="P3427">
        <v>0</v>
      </c>
      <c r="Q3427">
        <v>4</v>
      </c>
      <c r="R3427" t="s">
        <v>42674</v>
      </c>
      <c r="S3427" t="s">
        <v>42788</v>
      </c>
      <c r="T3427" t="s">
        <v>44542</v>
      </c>
      <c r="U3427" t="s">
        <v>47651</v>
      </c>
      <c r="W3427" t="s">
        <v>40099</v>
      </c>
      <c r="X3427" t="s">
        <v>42676</v>
      </c>
    </row>
    <row r="3428" spans="1:24">
      <c r="A3428">
        <f>HYPERLINK("https://www.philgeps.gov.ph/GEPSNONPILOT/Tender/SplashBidNoticeAbstractUI.aspx?menuIndex=3&amp;refID=7192730&amp;Result=3","7192730")</f>
        <v>0</v>
      </c>
      <c r="B3428" t="s">
        <v>896</v>
      </c>
      <c r="C3428" t="s">
        <v>6794</v>
      </c>
      <c r="D3428" t="s">
        <v>17188</v>
      </c>
      <c r="E3428" t="s">
        <v>20280</v>
      </c>
      <c r="F3428" t="s">
        <v>29372</v>
      </c>
      <c r="G3428" t="s">
        <v>29380</v>
      </c>
      <c r="H3428" t="s">
        <v>29389</v>
      </c>
      <c r="I3428" t="s">
        <v>10408</v>
      </c>
      <c r="J3428" t="s">
        <v>30161</v>
      </c>
      <c r="K3428" t="s">
        <v>38555</v>
      </c>
      <c r="M3428" t="s">
        <v>40075</v>
      </c>
      <c r="N3428" t="s">
        <v>42669</v>
      </c>
      <c r="O3428" t="s">
        <v>42670</v>
      </c>
      <c r="P3428">
        <v>0</v>
      </c>
      <c r="Q3428">
        <v>0</v>
      </c>
      <c r="R3428" t="s">
        <v>42674</v>
      </c>
      <c r="S3428" t="s">
        <v>42788</v>
      </c>
      <c r="T3428" t="s">
        <v>44622</v>
      </c>
      <c r="U3428" t="s">
        <v>47652</v>
      </c>
      <c r="V3428" t="s">
        <v>56575</v>
      </c>
      <c r="W3428" t="s">
        <v>40075</v>
      </c>
      <c r="X3428" t="s">
        <v>42676</v>
      </c>
    </row>
    <row r="3429" spans="1:24">
      <c r="A3429">
        <f>HYPERLINK("https://www.philgeps.gov.ph/GEPSNONPILOT/Tender/SplashBidNoticeAbstractUI.aspx?menuIndex=3&amp;refID=7192746&amp;Result=3","7192746")</f>
        <v>0</v>
      </c>
      <c r="B3429" t="s">
        <v>1273</v>
      </c>
      <c r="C3429" t="s">
        <v>6795</v>
      </c>
      <c r="D3429" t="s">
        <v>17166</v>
      </c>
      <c r="E3429" t="s">
        <v>20281</v>
      </c>
      <c r="F3429" t="s">
        <v>29372</v>
      </c>
      <c r="G3429" t="s">
        <v>29379</v>
      </c>
      <c r="H3429" t="s">
        <v>11048</v>
      </c>
      <c r="I3429" t="s">
        <v>29424</v>
      </c>
      <c r="J3429" t="s">
        <v>31871</v>
      </c>
      <c r="K3429" t="s">
        <v>38586</v>
      </c>
      <c r="M3429" t="s">
        <v>40100</v>
      </c>
      <c r="N3429" t="s">
        <v>42669</v>
      </c>
      <c r="O3429" t="s">
        <v>42670</v>
      </c>
      <c r="P3429">
        <v>0</v>
      </c>
      <c r="Q3429">
        <v>2</v>
      </c>
      <c r="R3429" t="s">
        <v>42674</v>
      </c>
      <c r="S3429" t="s">
        <v>42788</v>
      </c>
      <c r="T3429" t="s">
        <v>44399</v>
      </c>
      <c r="U3429" t="s">
        <v>47653</v>
      </c>
      <c r="W3429" t="s">
        <v>40100</v>
      </c>
      <c r="X3429" t="s">
        <v>42676</v>
      </c>
    </row>
    <row r="3430" spans="1:24">
      <c r="A3430">
        <f>HYPERLINK("https://www.philgeps.gov.ph/GEPSNONPILOT/Tender/SplashBidNoticeAbstractUI.aspx?menuIndex=3&amp;refID=7192772&amp;Result=3","7192772")</f>
        <v>0</v>
      </c>
      <c r="B3430" t="s">
        <v>1272</v>
      </c>
      <c r="C3430" t="s">
        <v>6796</v>
      </c>
      <c r="D3430" t="s">
        <v>17172</v>
      </c>
      <c r="E3430" t="s">
        <v>20282</v>
      </c>
      <c r="F3430" t="s">
        <v>29372</v>
      </c>
      <c r="G3430" t="s">
        <v>29380</v>
      </c>
      <c r="H3430" t="s">
        <v>29389</v>
      </c>
      <c r="I3430" t="s">
        <v>10408</v>
      </c>
      <c r="J3430" t="s">
        <v>31872</v>
      </c>
      <c r="K3430" t="s">
        <v>38523</v>
      </c>
      <c r="M3430" t="s">
        <v>40099</v>
      </c>
      <c r="N3430" t="s">
        <v>42669</v>
      </c>
      <c r="O3430" t="s">
        <v>42670</v>
      </c>
      <c r="P3430">
        <v>0</v>
      </c>
      <c r="Q3430">
        <v>3</v>
      </c>
      <c r="R3430" t="s">
        <v>42674</v>
      </c>
      <c r="S3430" t="s">
        <v>42788</v>
      </c>
      <c r="T3430" t="s">
        <v>44542</v>
      </c>
      <c r="U3430" t="s">
        <v>47654</v>
      </c>
      <c r="W3430" t="s">
        <v>40099</v>
      </c>
      <c r="X3430" t="s">
        <v>42676</v>
      </c>
    </row>
    <row r="3431" spans="1:24">
      <c r="A3431">
        <f>HYPERLINK("https://www.philgeps.gov.ph/GEPSNONPILOT/Tender/SplashBidNoticeAbstractUI.aspx?menuIndex=3&amp;refID=7192790&amp;Result=3","7192790")</f>
        <v>0</v>
      </c>
      <c r="B3431" t="s">
        <v>896</v>
      </c>
      <c r="C3431" t="s">
        <v>6797</v>
      </c>
      <c r="D3431" t="s">
        <v>17188</v>
      </c>
      <c r="E3431" t="s">
        <v>20283</v>
      </c>
      <c r="F3431" t="s">
        <v>29372</v>
      </c>
      <c r="G3431" t="s">
        <v>29380</v>
      </c>
      <c r="H3431" t="s">
        <v>29389</v>
      </c>
      <c r="I3431" t="s">
        <v>10408</v>
      </c>
      <c r="J3431" t="s">
        <v>31873</v>
      </c>
      <c r="K3431" t="s">
        <v>38527</v>
      </c>
      <c r="M3431" t="s">
        <v>40075</v>
      </c>
      <c r="N3431" t="s">
        <v>42669</v>
      </c>
      <c r="O3431" t="s">
        <v>42670</v>
      </c>
      <c r="P3431">
        <v>0</v>
      </c>
      <c r="Q3431">
        <v>1</v>
      </c>
      <c r="R3431" t="s">
        <v>42674</v>
      </c>
      <c r="S3431" t="s">
        <v>42788</v>
      </c>
      <c r="T3431" t="s">
        <v>44622</v>
      </c>
      <c r="U3431" t="s">
        <v>47655</v>
      </c>
      <c r="V3431" t="s">
        <v>56575</v>
      </c>
      <c r="W3431" t="s">
        <v>40075</v>
      </c>
      <c r="X3431" t="s">
        <v>42676</v>
      </c>
    </row>
    <row r="3432" spans="1:24">
      <c r="A3432">
        <f>HYPERLINK("https://www.philgeps.gov.ph/GEPSNONPILOT/Tender/SplashBidNoticeAbstractUI.aspx?menuIndex=3&amp;refID=7192688&amp;Result=3","7192688")</f>
        <v>0</v>
      </c>
      <c r="B3432" t="s">
        <v>1193</v>
      </c>
      <c r="C3432" t="s">
        <v>6798</v>
      </c>
      <c r="D3432" t="s">
        <v>17157</v>
      </c>
      <c r="E3432" t="s">
        <v>20284</v>
      </c>
      <c r="F3432" t="s">
        <v>29372</v>
      </c>
      <c r="G3432" t="s">
        <v>29383</v>
      </c>
      <c r="H3432" t="s">
        <v>11048</v>
      </c>
      <c r="I3432" t="s">
        <v>4709</v>
      </c>
      <c r="J3432" t="s">
        <v>31874</v>
      </c>
      <c r="K3432" t="s">
        <v>38485</v>
      </c>
      <c r="M3432" t="s">
        <v>40009</v>
      </c>
      <c r="N3432" t="s">
        <v>42669</v>
      </c>
      <c r="O3432" t="s">
        <v>42670</v>
      </c>
      <c r="P3432">
        <v>0</v>
      </c>
      <c r="Q3432">
        <v>0</v>
      </c>
      <c r="R3432" t="s">
        <v>42674</v>
      </c>
      <c r="S3432" t="s">
        <v>42788</v>
      </c>
      <c r="T3432" t="s">
        <v>44425</v>
      </c>
      <c r="U3432" t="s">
        <v>47656</v>
      </c>
      <c r="W3432" t="s">
        <v>40009</v>
      </c>
      <c r="X3432" t="s">
        <v>42676</v>
      </c>
    </row>
    <row r="3433" spans="1:24">
      <c r="A3433">
        <f>HYPERLINK("https://www.philgeps.gov.ph/GEPSNONPILOT/Tender/SplashBidNoticeAbstractUI.aspx?menuIndex=3&amp;refID=7192737&amp;Result=3","7192737")</f>
        <v>0</v>
      </c>
      <c r="B3433" t="s">
        <v>844</v>
      </c>
      <c r="C3433" t="s">
        <v>6799</v>
      </c>
      <c r="D3433" t="s">
        <v>17143</v>
      </c>
      <c r="E3433" t="s">
        <v>20285</v>
      </c>
      <c r="F3433" t="s">
        <v>29372</v>
      </c>
      <c r="G3433" t="s">
        <v>29379</v>
      </c>
      <c r="H3433" t="s">
        <v>11048</v>
      </c>
      <c r="I3433" t="s">
        <v>29394</v>
      </c>
      <c r="J3433" t="s">
        <v>31875</v>
      </c>
      <c r="K3433" t="s">
        <v>38485</v>
      </c>
      <c r="M3433" t="s">
        <v>39634</v>
      </c>
      <c r="N3433" t="s">
        <v>42669</v>
      </c>
      <c r="O3433" t="s">
        <v>42670</v>
      </c>
      <c r="P3433">
        <v>0</v>
      </c>
      <c r="Q3433">
        <v>1</v>
      </c>
      <c r="R3433" t="s">
        <v>42674</v>
      </c>
      <c r="S3433" t="s">
        <v>42788</v>
      </c>
      <c r="T3433" t="s">
        <v>44387</v>
      </c>
      <c r="U3433" t="s">
        <v>46577</v>
      </c>
      <c r="W3433" t="s">
        <v>39634</v>
      </c>
      <c r="X3433" t="s">
        <v>42676</v>
      </c>
    </row>
    <row r="3434" spans="1:24">
      <c r="A3434">
        <f>HYPERLINK("https://www.philgeps.gov.ph/GEPSNONPILOT/Tender/SplashBidNoticeAbstractUI.aspx?menuIndex=3&amp;refID=7192785&amp;Result=3","7192785")</f>
        <v>0</v>
      </c>
      <c r="B3434" t="s">
        <v>1272</v>
      </c>
      <c r="C3434" t="s">
        <v>6800</v>
      </c>
      <c r="D3434" t="s">
        <v>17172</v>
      </c>
      <c r="E3434" t="s">
        <v>20286</v>
      </c>
      <c r="F3434" t="s">
        <v>29372</v>
      </c>
      <c r="G3434" t="s">
        <v>29380</v>
      </c>
      <c r="H3434" t="s">
        <v>29389</v>
      </c>
      <c r="I3434" t="s">
        <v>10408</v>
      </c>
      <c r="J3434" t="s">
        <v>31870</v>
      </c>
      <c r="K3434" t="s">
        <v>38523</v>
      </c>
      <c r="M3434" t="s">
        <v>40099</v>
      </c>
      <c r="N3434" t="s">
        <v>42669</v>
      </c>
      <c r="O3434" t="s">
        <v>42670</v>
      </c>
      <c r="P3434">
        <v>0</v>
      </c>
      <c r="Q3434">
        <v>3</v>
      </c>
      <c r="R3434" t="s">
        <v>42674</v>
      </c>
      <c r="S3434" t="s">
        <v>42788</v>
      </c>
      <c r="T3434" t="s">
        <v>44542</v>
      </c>
      <c r="U3434" t="s">
        <v>47657</v>
      </c>
      <c r="W3434" t="s">
        <v>40099</v>
      </c>
      <c r="X3434" t="s">
        <v>42676</v>
      </c>
    </row>
    <row r="3435" spans="1:24">
      <c r="A3435">
        <f>HYPERLINK("https://www.philgeps.gov.ph/GEPSNONPILOT/Tender/SplashBidNoticeAbstractUI.aspx?menuIndex=3&amp;refID=7192784&amp;Result=3","7192784")</f>
        <v>0</v>
      </c>
      <c r="B3435" t="s">
        <v>1274</v>
      </c>
      <c r="C3435" t="s">
        <v>6801</v>
      </c>
      <c r="D3435" t="s">
        <v>17168</v>
      </c>
      <c r="E3435" t="s">
        <v>6801</v>
      </c>
      <c r="F3435" t="s">
        <v>29372</v>
      </c>
      <c r="G3435" t="s">
        <v>29380</v>
      </c>
      <c r="H3435" t="s">
        <v>29389</v>
      </c>
      <c r="I3435" t="s">
        <v>10408</v>
      </c>
      <c r="J3435" t="s">
        <v>29526</v>
      </c>
      <c r="K3435" t="s">
        <v>38491</v>
      </c>
      <c r="M3435" t="s">
        <v>40101</v>
      </c>
      <c r="N3435" t="s">
        <v>42669</v>
      </c>
      <c r="O3435" t="s">
        <v>42670</v>
      </c>
      <c r="P3435">
        <v>0</v>
      </c>
      <c r="Q3435">
        <v>0</v>
      </c>
      <c r="R3435" t="s">
        <v>42674</v>
      </c>
      <c r="S3435" t="s">
        <v>42788</v>
      </c>
      <c r="T3435" t="s">
        <v>44565</v>
      </c>
      <c r="U3435" t="s">
        <v>47658</v>
      </c>
      <c r="W3435" t="s">
        <v>40101</v>
      </c>
      <c r="X3435" t="s">
        <v>42676</v>
      </c>
    </row>
    <row r="3436" spans="1:24">
      <c r="A3436">
        <f>HYPERLINK("https://www.philgeps.gov.ph/GEPSNONPILOT/Tender/SplashBidNoticeAbstractUI.aspx?menuIndex=3&amp;refID=7192779&amp;Result=3","7192779")</f>
        <v>0</v>
      </c>
      <c r="B3436" t="s">
        <v>1274</v>
      </c>
      <c r="C3436" t="s">
        <v>6802</v>
      </c>
      <c r="D3436" t="s">
        <v>17168</v>
      </c>
      <c r="E3436" t="s">
        <v>6802</v>
      </c>
      <c r="F3436" t="s">
        <v>29372</v>
      </c>
      <c r="G3436" t="s">
        <v>29380</v>
      </c>
      <c r="H3436" t="s">
        <v>29389</v>
      </c>
      <c r="I3436" t="s">
        <v>10408</v>
      </c>
      <c r="J3436" t="s">
        <v>29988</v>
      </c>
      <c r="K3436" t="s">
        <v>38491</v>
      </c>
      <c r="M3436" t="s">
        <v>40101</v>
      </c>
      <c r="N3436" t="s">
        <v>42669</v>
      </c>
      <c r="O3436" t="s">
        <v>42670</v>
      </c>
      <c r="P3436">
        <v>0</v>
      </c>
      <c r="Q3436">
        <v>0</v>
      </c>
      <c r="R3436" t="s">
        <v>42674</v>
      </c>
      <c r="S3436" t="s">
        <v>42788</v>
      </c>
      <c r="T3436" t="s">
        <v>44470</v>
      </c>
      <c r="U3436" t="s">
        <v>47659</v>
      </c>
      <c r="W3436" t="s">
        <v>40101</v>
      </c>
      <c r="X3436" t="s">
        <v>42676</v>
      </c>
    </row>
    <row r="3437" spans="1:24">
      <c r="A3437">
        <f>HYPERLINK("https://www.philgeps.gov.ph/GEPSNONPILOT/Tender/SplashBidNoticeAbstractUI.aspx?menuIndex=3&amp;refID=7192783&amp;Result=3","7192783")</f>
        <v>0</v>
      </c>
      <c r="B3437" t="s">
        <v>597</v>
      </c>
      <c r="C3437" t="s">
        <v>6803</v>
      </c>
      <c r="D3437" t="s">
        <v>17179</v>
      </c>
      <c r="E3437" t="s">
        <v>20287</v>
      </c>
      <c r="F3437" t="s">
        <v>29372</v>
      </c>
      <c r="G3437" t="s">
        <v>29380</v>
      </c>
      <c r="H3437" t="s">
        <v>29389</v>
      </c>
      <c r="I3437" t="s">
        <v>10408</v>
      </c>
      <c r="J3437" t="s">
        <v>30161</v>
      </c>
      <c r="K3437" t="s">
        <v>38522</v>
      </c>
      <c r="M3437" t="s">
        <v>39368</v>
      </c>
      <c r="N3437" t="s">
        <v>42669</v>
      </c>
      <c r="O3437" t="s">
        <v>42670</v>
      </c>
      <c r="P3437">
        <v>0</v>
      </c>
      <c r="Q3437">
        <v>1</v>
      </c>
      <c r="R3437" t="s">
        <v>42674</v>
      </c>
      <c r="S3437" t="s">
        <v>42788</v>
      </c>
      <c r="T3437" t="s">
        <v>44542</v>
      </c>
      <c r="U3437" t="s">
        <v>47660</v>
      </c>
      <c r="W3437" t="s">
        <v>39368</v>
      </c>
      <c r="X3437" t="s">
        <v>42676</v>
      </c>
    </row>
    <row r="3438" spans="1:24">
      <c r="A3438">
        <f>HYPERLINK("https://www.philgeps.gov.ph/GEPSNONPILOT/Tender/SplashBidNoticeAbstractUI.aspx?menuIndex=3&amp;refID=7192792&amp;Result=3","7192792")</f>
        <v>0</v>
      </c>
      <c r="B3438" t="s">
        <v>1272</v>
      </c>
      <c r="C3438" t="s">
        <v>6804</v>
      </c>
      <c r="D3438" t="s">
        <v>17172</v>
      </c>
      <c r="E3438" t="s">
        <v>20288</v>
      </c>
      <c r="F3438" t="s">
        <v>29372</v>
      </c>
      <c r="G3438" t="s">
        <v>29380</v>
      </c>
      <c r="H3438" t="s">
        <v>29389</v>
      </c>
      <c r="I3438" t="s">
        <v>10408</v>
      </c>
      <c r="J3438" t="s">
        <v>31870</v>
      </c>
      <c r="K3438" t="s">
        <v>38523</v>
      </c>
      <c r="M3438" t="s">
        <v>40099</v>
      </c>
      <c r="N3438" t="s">
        <v>42669</v>
      </c>
      <c r="O3438" t="s">
        <v>42670</v>
      </c>
      <c r="P3438">
        <v>0</v>
      </c>
      <c r="Q3438">
        <v>4</v>
      </c>
      <c r="R3438" t="s">
        <v>42674</v>
      </c>
      <c r="S3438" t="s">
        <v>42788</v>
      </c>
      <c r="T3438" t="s">
        <v>44542</v>
      </c>
      <c r="U3438" t="s">
        <v>47661</v>
      </c>
      <c r="W3438" t="s">
        <v>40099</v>
      </c>
      <c r="X3438" t="s">
        <v>42676</v>
      </c>
    </row>
    <row r="3439" spans="1:24">
      <c r="A3439">
        <f>HYPERLINK("https://www.philgeps.gov.ph/GEPSNONPILOT/Tender/SplashBidNoticeAbstractUI.aspx?menuIndex=3&amp;refID=7192777&amp;Result=3","7192777")</f>
        <v>0</v>
      </c>
      <c r="B3439" t="s">
        <v>428</v>
      </c>
      <c r="C3439" t="s">
        <v>6805</v>
      </c>
      <c r="E3439" t="s">
        <v>20289</v>
      </c>
      <c r="F3439" t="s">
        <v>29372</v>
      </c>
      <c r="G3439" t="s">
        <v>29379</v>
      </c>
      <c r="H3439" t="s">
        <v>11048</v>
      </c>
      <c r="I3439" t="s">
        <v>3670</v>
      </c>
      <c r="J3439" t="s">
        <v>31876</v>
      </c>
      <c r="K3439" t="s">
        <v>38490</v>
      </c>
      <c r="M3439" t="s">
        <v>39192</v>
      </c>
      <c r="N3439" t="s">
        <v>42669</v>
      </c>
      <c r="O3439" t="s">
        <v>42670</v>
      </c>
      <c r="P3439">
        <v>0</v>
      </c>
      <c r="Q3439">
        <v>3</v>
      </c>
      <c r="R3439" t="s">
        <v>42674</v>
      </c>
      <c r="S3439" t="s">
        <v>42788</v>
      </c>
      <c r="T3439" t="s">
        <v>44488</v>
      </c>
      <c r="U3439" t="s">
        <v>47662</v>
      </c>
      <c r="W3439" t="s">
        <v>39192</v>
      </c>
      <c r="X3439" t="s">
        <v>42676</v>
      </c>
    </row>
    <row r="3440" spans="1:24">
      <c r="A3440">
        <f>HYPERLINK("https://www.philgeps.gov.ph/GEPSNONPILOT/Tender/SplashBidNoticeAbstractUI.aspx?menuIndex=3&amp;refID=7192776&amp;Result=3","7192776")</f>
        <v>0</v>
      </c>
      <c r="B3440" t="s">
        <v>1272</v>
      </c>
      <c r="C3440" t="s">
        <v>6806</v>
      </c>
      <c r="D3440" t="s">
        <v>17172</v>
      </c>
      <c r="E3440" t="s">
        <v>20290</v>
      </c>
      <c r="F3440" t="s">
        <v>29372</v>
      </c>
      <c r="G3440" t="s">
        <v>29380</v>
      </c>
      <c r="H3440" t="s">
        <v>29389</v>
      </c>
      <c r="I3440" t="s">
        <v>10408</v>
      </c>
      <c r="J3440" t="s">
        <v>31870</v>
      </c>
      <c r="K3440" t="s">
        <v>38523</v>
      </c>
      <c r="M3440" t="s">
        <v>40099</v>
      </c>
      <c r="N3440" t="s">
        <v>42669</v>
      </c>
      <c r="O3440" t="s">
        <v>42670</v>
      </c>
      <c r="P3440">
        <v>0</v>
      </c>
      <c r="Q3440">
        <v>1</v>
      </c>
      <c r="R3440" t="s">
        <v>42674</v>
      </c>
      <c r="S3440" t="s">
        <v>42788</v>
      </c>
      <c r="T3440" t="s">
        <v>44542</v>
      </c>
      <c r="U3440" t="s">
        <v>47663</v>
      </c>
      <c r="W3440" t="s">
        <v>40099</v>
      </c>
      <c r="X3440" t="s">
        <v>42676</v>
      </c>
    </row>
    <row r="3441" spans="1:24">
      <c r="A3441">
        <f>HYPERLINK("https://www.philgeps.gov.ph/GEPSNONPILOT/Tender/SplashBidNoticeAbstractUI.aspx?menuIndex=3&amp;refID=7192773&amp;Result=3","7192773")</f>
        <v>0</v>
      </c>
      <c r="B3441" t="s">
        <v>896</v>
      </c>
      <c r="C3441" t="s">
        <v>6807</v>
      </c>
      <c r="D3441" t="s">
        <v>17178</v>
      </c>
      <c r="E3441" t="s">
        <v>20291</v>
      </c>
      <c r="F3441" t="s">
        <v>29372</v>
      </c>
      <c r="G3441" t="s">
        <v>29380</v>
      </c>
      <c r="H3441" t="s">
        <v>29389</v>
      </c>
      <c r="I3441" t="s">
        <v>10408</v>
      </c>
      <c r="J3441" t="s">
        <v>30161</v>
      </c>
      <c r="K3441" t="s">
        <v>38614</v>
      </c>
      <c r="M3441" t="s">
        <v>40075</v>
      </c>
      <c r="N3441" t="s">
        <v>42669</v>
      </c>
      <c r="O3441" t="s">
        <v>42670</v>
      </c>
      <c r="P3441">
        <v>0</v>
      </c>
      <c r="Q3441">
        <v>1</v>
      </c>
      <c r="R3441" t="s">
        <v>42674</v>
      </c>
      <c r="S3441" t="s">
        <v>42788</v>
      </c>
      <c r="T3441" t="s">
        <v>44622</v>
      </c>
      <c r="U3441" t="s">
        <v>47664</v>
      </c>
      <c r="V3441" t="s">
        <v>56575</v>
      </c>
      <c r="W3441" t="s">
        <v>40075</v>
      </c>
      <c r="X3441" t="s">
        <v>42676</v>
      </c>
    </row>
    <row r="3442" spans="1:24">
      <c r="A3442">
        <f>HYPERLINK("https://www.philgeps.gov.ph/GEPSNONPILOT/Tender/SplashBidNoticeAbstractUI.aspx?menuIndex=3&amp;refID=7192673&amp;Result=3","7192673")</f>
        <v>0</v>
      </c>
      <c r="B3442" t="s">
        <v>896</v>
      </c>
      <c r="C3442" t="s">
        <v>6808</v>
      </c>
      <c r="D3442" t="s">
        <v>17188</v>
      </c>
      <c r="E3442" t="s">
        <v>20292</v>
      </c>
      <c r="F3442" t="s">
        <v>29372</v>
      </c>
      <c r="G3442" t="s">
        <v>29380</v>
      </c>
      <c r="H3442" t="s">
        <v>29389</v>
      </c>
      <c r="I3442" t="s">
        <v>10408</v>
      </c>
      <c r="J3442" t="s">
        <v>31877</v>
      </c>
      <c r="K3442" t="s">
        <v>38565</v>
      </c>
      <c r="M3442" t="s">
        <v>40075</v>
      </c>
      <c r="N3442" t="s">
        <v>42669</v>
      </c>
      <c r="O3442" t="s">
        <v>42670</v>
      </c>
      <c r="P3442">
        <v>0</v>
      </c>
      <c r="Q3442">
        <v>0</v>
      </c>
      <c r="R3442" t="s">
        <v>42674</v>
      </c>
      <c r="S3442" t="s">
        <v>42788</v>
      </c>
      <c r="T3442" t="s">
        <v>44584</v>
      </c>
      <c r="U3442" t="s">
        <v>47665</v>
      </c>
      <c r="V3442" t="s">
        <v>56575</v>
      </c>
      <c r="W3442" t="s">
        <v>40075</v>
      </c>
      <c r="X3442" t="s">
        <v>42676</v>
      </c>
    </row>
    <row r="3443" spans="1:24">
      <c r="A3443">
        <f>HYPERLINK("https://www.philgeps.gov.ph/GEPSNONPILOT/Tender/SplashBidNoticeAbstractUI.aspx?menuIndex=3&amp;refID=7192786&amp;Result=3","7192786")</f>
        <v>0</v>
      </c>
      <c r="B3443" t="s">
        <v>1275</v>
      </c>
      <c r="C3443" t="s">
        <v>6809</v>
      </c>
      <c r="D3443" t="s">
        <v>17199</v>
      </c>
      <c r="E3443" t="s">
        <v>20293</v>
      </c>
      <c r="F3443" t="s">
        <v>29372</v>
      </c>
      <c r="G3443" t="s">
        <v>29379</v>
      </c>
      <c r="H3443" t="s">
        <v>11048</v>
      </c>
      <c r="I3443" t="s">
        <v>29395</v>
      </c>
      <c r="J3443" t="s">
        <v>31878</v>
      </c>
      <c r="K3443" t="s">
        <v>38490</v>
      </c>
      <c r="M3443" t="s">
        <v>40102</v>
      </c>
      <c r="N3443" t="s">
        <v>42669</v>
      </c>
      <c r="O3443" t="s">
        <v>42670</v>
      </c>
      <c r="P3443">
        <v>0</v>
      </c>
      <c r="Q3443">
        <v>2</v>
      </c>
      <c r="R3443" t="s">
        <v>42674</v>
      </c>
      <c r="S3443" t="s">
        <v>42788</v>
      </c>
      <c r="T3443" t="s">
        <v>44512</v>
      </c>
      <c r="U3443" t="s">
        <v>47666</v>
      </c>
      <c r="W3443" t="s">
        <v>40102</v>
      </c>
      <c r="X3443" t="s">
        <v>42676</v>
      </c>
    </row>
    <row r="3444" spans="1:24">
      <c r="A3444">
        <f>HYPERLINK("https://www.philgeps.gov.ph/GEPSNONPILOT/Tender/SplashBidNoticeAbstractUI.aspx?menuIndex=3&amp;refID=7192670&amp;Result=3","7192670")</f>
        <v>0</v>
      </c>
      <c r="B3444" t="s">
        <v>1276</v>
      </c>
      <c r="C3444" t="s">
        <v>6810</v>
      </c>
      <c r="D3444" t="s">
        <v>17168</v>
      </c>
      <c r="E3444" t="s">
        <v>20294</v>
      </c>
      <c r="F3444" t="s">
        <v>29372</v>
      </c>
      <c r="G3444" t="s">
        <v>29380</v>
      </c>
      <c r="H3444" t="s">
        <v>29389</v>
      </c>
      <c r="I3444" t="s">
        <v>10408</v>
      </c>
      <c r="J3444" t="s">
        <v>31879</v>
      </c>
      <c r="K3444" t="s">
        <v>38564</v>
      </c>
      <c r="M3444" t="s">
        <v>40103</v>
      </c>
      <c r="N3444" t="s">
        <v>42669</v>
      </c>
      <c r="O3444" t="s">
        <v>42670</v>
      </c>
      <c r="P3444">
        <v>0</v>
      </c>
      <c r="Q3444">
        <v>0</v>
      </c>
      <c r="R3444" t="s">
        <v>42674</v>
      </c>
      <c r="S3444" t="s">
        <v>42788</v>
      </c>
      <c r="T3444" t="s">
        <v>44393</v>
      </c>
      <c r="U3444" t="s">
        <v>47667</v>
      </c>
      <c r="W3444" t="s">
        <v>40103</v>
      </c>
      <c r="X3444" t="s">
        <v>42676</v>
      </c>
    </row>
    <row r="3445" spans="1:24">
      <c r="A3445">
        <f>HYPERLINK("https://www.philgeps.gov.ph/GEPSNONPILOT/Tender/SplashBidNoticeAbstractUI.aspx?menuIndex=3&amp;refID=7192781&amp;Result=3","7192781")</f>
        <v>0</v>
      </c>
      <c r="B3445" t="s">
        <v>1272</v>
      </c>
      <c r="C3445" t="s">
        <v>6811</v>
      </c>
      <c r="D3445" t="s">
        <v>17172</v>
      </c>
      <c r="E3445" t="s">
        <v>20295</v>
      </c>
      <c r="F3445" t="s">
        <v>29372</v>
      </c>
      <c r="G3445" t="s">
        <v>29380</v>
      </c>
      <c r="H3445" t="s">
        <v>29389</v>
      </c>
      <c r="I3445" t="s">
        <v>10408</v>
      </c>
      <c r="J3445" t="s">
        <v>31870</v>
      </c>
      <c r="K3445" t="s">
        <v>38523</v>
      </c>
      <c r="M3445" t="s">
        <v>40099</v>
      </c>
      <c r="N3445" t="s">
        <v>42669</v>
      </c>
      <c r="O3445" t="s">
        <v>42670</v>
      </c>
      <c r="P3445">
        <v>0</v>
      </c>
      <c r="Q3445">
        <v>2</v>
      </c>
      <c r="R3445" t="s">
        <v>42674</v>
      </c>
      <c r="S3445" t="s">
        <v>42788</v>
      </c>
      <c r="T3445" t="s">
        <v>44542</v>
      </c>
      <c r="U3445" t="s">
        <v>47668</v>
      </c>
      <c r="W3445" t="s">
        <v>40099</v>
      </c>
      <c r="X3445" t="s">
        <v>42676</v>
      </c>
    </row>
    <row r="3446" spans="1:24">
      <c r="A3446">
        <f>HYPERLINK("https://www.philgeps.gov.ph/GEPSNONPILOT/Tender/SplashBidNoticeAbstractUI.aspx?menuIndex=3&amp;refID=7192803&amp;Result=3","7192803")</f>
        <v>0</v>
      </c>
      <c r="B3446" t="s">
        <v>1277</v>
      </c>
      <c r="C3446" t="s">
        <v>6812</v>
      </c>
      <c r="D3446" t="s">
        <v>17204</v>
      </c>
      <c r="E3446" t="s">
        <v>20296</v>
      </c>
      <c r="F3446" t="s">
        <v>29372</v>
      </c>
      <c r="G3446" t="s">
        <v>29380</v>
      </c>
      <c r="H3446" t="s">
        <v>11048</v>
      </c>
      <c r="I3446" t="s">
        <v>29409</v>
      </c>
      <c r="J3446" t="s">
        <v>31880</v>
      </c>
      <c r="K3446" t="s">
        <v>38490</v>
      </c>
      <c r="M3446" t="s">
        <v>40104</v>
      </c>
      <c r="N3446" t="s">
        <v>42669</v>
      </c>
      <c r="O3446" t="s">
        <v>42670</v>
      </c>
      <c r="P3446">
        <v>0</v>
      </c>
      <c r="Q3446">
        <v>1</v>
      </c>
      <c r="R3446" t="s">
        <v>42674</v>
      </c>
      <c r="S3446" t="s">
        <v>42788</v>
      </c>
      <c r="T3446" t="s">
        <v>44468</v>
      </c>
      <c r="U3446" t="s">
        <v>47669</v>
      </c>
      <c r="W3446" t="s">
        <v>40104</v>
      </c>
      <c r="X3446" t="s">
        <v>42676</v>
      </c>
    </row>
    <row r="3447" spans="1:24">
      <c r="A3447">
        <f>HYPERLINK("https://www.philgeps.gov.ph/GEPSNONPILOT/Tender/SplashBidNoticeAbstractUI.aspx?menuIndex=3&amp;refID=7192787&amp;Result=3","7192787")</f>
        <v>0</v>
      </c>
      <c r="B3447" t="s">
        <v>60</v>
      </c>
      <c r="C3447" t="s">
        <v>6813</v>
      </c>
      <c r="E3447" t="s">
        <v>20297</v>
      </c>
      <c r="F3447" t="s">
        <v>29372</v>
      </c>
      <c r="G3447" t="s">
        <v>29380</v>
      </c>
      <c r="H3447" t="s">
        <v>11048</v>
      </c>
      <c r="I3447" t="s">
        <v>3695</v>
      </c>
      <c r="J3447" t="s">
        <v>31881</v>
      </c>
      <c r="K3447" t="s">
        <v>38490</v>
      </c>
      <c r="M3447" t="s">
        <v>40105</v>
      </c>
      <c r="N3447" t="s">
        <v>42669</v>
      </c>
      <c r="O3447" t="s">
        <v>42670</v>
      </c>
      <c r="P3447">
        <v>0</v>
      </c>
      <c r="Q3447">
        <v>2</v>
      </c>
      <c r="R3447" t="s">
        <v>42674</v>
      </c>
      <c r="S3447" t="s">
        <v>42788</v>
      </c>
      <c r="T3447" t="s">
        <v>44415</v>
      </c>
      <c r="U3447" t="s">
        <v>47670</v>
      </c>
      <c r="W3447" t="s">
        <v>40105</v>
      </c>
      <c r="X3447" t="s">
        <v>42676</v>
      </c>
    </row>
    <row r="3448" spans="1:24">
      <c r="A3448">
        <f>HYPERLINK("https://www.philgeps.gov.ph/GEPSNONPILOT/Tender/SplashBidNoticeAbstractUI.aspx?menuIndex=3&amp;refID=7192831&amp;Result=3","7192831")</f>
        <v>0</v>
      </c>
      <c r="B3448" t="s">
        <v>1189</v>
      </c>
      <c r="C3448" t="s">
        <v>6814</v>
      </c>
      <c r="D3448" t="s">
        <v>17221</v>
      </c>
      <c r="E3448" t="s">
        <v>20298</v>
      </c>
      <c r="F3448" t="s">
        <v>29372</v>
      </c>
      <c r="G3448" t="s">
        <v>29380</v>
      </c>
      <c r="H3448" t="s">
        <v>29389</v>
      </c>
      <c r="I3448" t="s">
        <v>10408</v>
      </c>
      <c r="J3448" t="s">
        <v>31882</v>
      </c>
      <c r="K3448" t="s">
        <v>38615</v>
      </c>
      <c r="M3448" t="s">
        <v>40005</v>
      </c>
      <c r="N3448" t="s">
        <v>42669</v>
      </c>
      <c r="O3448" t="s">
        <v>42670</v>
      </c>
      <c r="P3448">
        <v>0</v>
      </c>
      <c r="Q3448">
        <v>1</v>
      </c>
      <c r="R3448" t="s">
        <v>42674</v>
      </c>
      <c r="S3448" t="s">
        <v>42788</v>
      </c>
      <c r="T3448" t="s">
        <v>44542</v>
      </c>
      <c r="U3448" t="s">
        <v>47671</v>
      </c>
      <c r="V3448" t="s">
        <v>56665</v>
      </c>
      <c r="W3448" t="s">
        <v>40005</v>
      </c>
      <c r="X3448" t="s">
        <v>42676</v>
      </c>
    </row>
    <row r="3449" spans="1:24">
      <c r="A3449">
        <f>HYPERLINK("https://www.philgeps.gov.ph/GEPSNONPILOT/Tender/SplashBidNoticeAbstractUI.aspx?menuIndex=3&amp;refID=7192839&amp;Result=3","7192839")</f>
        <v>0</v>
      </c>
      <c r="B3449" t="s">
        <v>597</v>
      </c>
      <c r="C3449" t="s">
        <v>6815</v>
      </c>
      <c r="D3449" t="s">
        <v>17179</v>
      </c>
      <c r="E3449" t="s">
        <v>20299</v>
      </c>
      <c r="F3449" t="s">
        <v>29372</v>
      </c>
      <c r="G3449" t="s">
        <v>29380</v>
      </c>
      <c r="H3449" t="s">
        <v>29389</v>
      </c>
      <c r="I3449" t="s">
        <v>10408</v>
      </c>
      <c r="J3449" t="s">
        <v>29788</v>
      </c>
      <c r="K3449" t="s">
        <v>38522</v>
      </c>
      <c r="M3449" t="s">
        <v>39368</v>
      </c>
      <c r="N3449" t="s">
        <v>42669</v>
      </c>
      <c r="O3449" t="s">
        <v>42670</v>
      </c>
      <c r="P3449">
        <v>0</v>
      </c>
      <c r="Q3449">
        <v>0</v>
      </c>
      <c r="R3449" t="s">
        <v>42674</v>
      </c>
      <c r="S3449" t="s">
        <v>42788</v>
      </c>
      <c r="T3449" t="s">
        <v>44542</v>
      </c>
      <c r="U3449" t="s">
        <v>47672</v>
      </c>
      <c r="W3449" t="s">
        <v>39368</v>
      </c>
      <c r="X3449" t="s">
        <v>42676</v>
      </c>
    </row>
    <row r="3450" spans="1:24">
      <c r="A3450">
        <f>HYPERLINK("https://www.philgeps.gov.ph/GEPSNONPILOT/Tender/SplashBidNoticeAbstractUI.aspx?menuIndex=3&amp;refID=7192769&amp;Result=3","7192769")</f>
        <v>0</v>
      </c>
      <c r="B3450" t="s">
        <v>1278</v>
      </c>
      <c r="C3450" t="s">
        <v>6816</v>
      </c>
      <c r="D3450" t="s">
        <v>17189</v>
      </c>
      <c r="E3450" t="s">
        <v>20300</v>
      </c>
      <c r="F3450" t="s">
        <v>29372</v>
      </c>
      <c r="G3450" t="s">
        <v>29379</v>
      </c>
      <c r="H3450" t="s">
        <v>11048</v>
      </c>
      <c r="I3450" t="s">
        <v>3670</v>
      </c>
      <c r="J3450" t="s">
        <v>31883</v>
      </c>
      <c r="K3450" t="s">
        <v>38489</v>
      </c>
      <c r="M3450" t="s">
        <v>40106</v>
      </c>
      <c r="N3450" t="s">
        <v>42669</v>
      </c>
      <c r="O3450" t="s">
        <v>42670</v>
      </c>
      <c r="P3450">
        <v>0</v>
      </c>
      <c r="Q3450">
        <v>0</v>
      </c>
      <c r="R3450" t="s">
        <v>42674</v>
      </c>
      <c r="S3450" t="s">
        <v>42788</v>
      </c>
      <c r="T3450" t="s">
        <v>44394</v>
      </c>
      <c r="U3450" t="s">
        <v>47673</v>
      </c>
      <c r="W3450" t="s">
        <v>40106</v>
      </c>
      <c r="X3450" t="s">
        <v>42676</v>
      </c>
    </row>
    <row r="3451" spans="1:24">
      <c r="A3451">
        <f>HYPERLINK("https://www.philgeps.gov.ph/GEPSNONPILOT/Tender/SplashBidNoticeAbstractUI.aspx?menuIndex=3&amp;refID=7192838&amp;Result=3","7192838")</f>
        <v>0</v>
      </c>
      <c r="B3451" t="s">
        <v>1279</v>
      </c>
      <c r="C3451" t="s">
        <v>6817</v>
      </c>
      <c r="D3451" t="s">
        <v>17141</v>
      </c>
      <c r="E3451" t="s">
        <v>20301</v>
      </c>
      <c r="F3451" t="s">
        <v>29372</v>
      </c>
      <c r="G3451" t="s">
        <v>29380</v>
      </c>
      <c r="H3451" t="s">
        <v>11048</v>
      </c>
      <c r="I3451" t="s">
        <v>29433</v>
      </c>
      <c r="J3451" t="s">
        <v>29988</v>
      </c>
      <c r="K3451" t="s">
        <v>38490</v>
      </c>
      <c r="M3451" t="s">
        <v>40107</v>
      </c>
      <c r="N3451" t="s">
        <v>42669</v>
      </c>
      <c r="O3451" t="s">
        <v>42670</v>
      </c>
      <c r="P3451">
        <v>0</v>
      </c>
      <c r="Q3451">
        <v>20</v>
      </c>
      <c r="R3451" t="s">
        <v>42674</v>
      </c>
      <c r="S3451" t="s">
        <v>42788</v>
      </c>
      <c r="T3451" t="s">
        <v>44480</v>
      </c>
      <c r="U3451" t="s">
        <v>47674</v>
      </c>
      <c r="W3451" t="s">
        <v>40107</v>
      </c>
      <c r="X3451" t="s">
        <v>42676</v>
      </c>
    </row>
    <row r="3452" spans="1:24">
      <c r="A3452">
        <f>HYPERLINK("https://www.philgeps.gov.ph/GEPSNONPILOT/Tender/SplashBidNoticeAbstractUI.aspx?menuIndex=3&amp;refID=7192672&amp;Result=3","7192672")</f>
        <v>0</v>
      </c>
      <c r="B3452" t="s">
        <v>798</v>
      </c>
      <c r="C3452" t="s">
        <v>6818</v>
      </c>
      <c r="D3452" t="s">
        <v>17188</v>
      </c>
      <c r="E3452" t="s">
        <v>18741</v>
      </c>
      <c r="F3452" t="s">
        <v>29372</v>
      </c>
      <c r="G3452" t="s">
        <v>29380</v>
      </c>
      <c r="H3452" t="s">
        <v>11048</v>
      </c>
      <c r="I3452" t="s">
        <v>29407</v>
      </c>
      <c r="J3452" t="s">
        <v>31884</v>
      </c>
      <c r="K3452" t="s">
        <v>38490</v>
      </c>
      <c r="M3452" t="s">
        <v>39582</v>
      </c>
      <c r="N3452" t="s">
        <v>42669</v>
      </c>
      <c r="O3452" t="s">
        <v>42670</v>
      </c>
      <c r="P3452">
        <v>0</v>
      </c>
      <c r="Q3452">
        <v>31</v>
      </c>
      <c r="R3452" t="s">
        <v>42674</v>
      </c>
      <c r="S3452" t="s">
        <v>42788</v>
      </c>
      <c r="T3452" t="s">
        <v>44379</v>
      </c>
      <c r="U3452" t="s">
        <v>47675</v>
      </c>
      <c r="W3452" t="s">
        <v>39582</v>
      </c>
      <c r="X3452" t="s">
        <v>42676</v>
      </c>
    </row>
    <row r="3453" spans="1:24">
      <c r="A3453">
        <f>HYPERLINK("https://www.philgeps.gov.ph/GEPSNONPILOT/Tender/SplashBidNoticeAbstractUI.aspx?menuIndex=3&amp;refID=7192671&amp;Result=3","7192671")</f>
        <v>0</v>
      </c>
      <c r="B3453" t="s">
        <v>961</v>
      </c>
      <c r="C3453" t="s">
        <v>6819</v>
      </c>
      <c r="D3453" t="s">
        <v>17148</v>
      </c>
      <c r="E3453" t="s">
        <v>20302</v>
      </c>
      <c r="F3453" t="s">
        <v>29372</v>
      </c>
      <c r="G3453" t="s">
        <v>29380</v>
      </c>
      <c r="H3453" t="s">
        <v>29389</v>
      </c>
      <c r="I3453" t="s">
        <v>10408</v>
      </c>
      <c r="J3453" t="s">
        <v>31885</v>
      </c>
      <c r="K3453" t="s">
        <v>38598</v>
      </c>
      <c r="M3453" t="s">
        <v>39757</v>
      </c>
      <c r="N3453" t="s">
        <v>42669</v>
      </c>
      <c r="O3453" t="s">
        <v>42670</v>
      </c>
      <c r="P3453">
        <v>0</v>
      </c>
      <c r="Q3453">
        <v>9</v>
      </c>
      <c r="R3453" t="s">
        <v>42674</v>
      </c>
      <c r="S3453" t="s">
        <v>42788</v>
      </c>
      <c r="T3453" t="s">
        <v>44368</v>
      </c>
      <c r="U3453" t="s">
        <v>47676</v>
      </c>
      <c r="W3453" t="s">
        <v>39757</v>
      </c>
      <c r="X3453" t="s">
        <v>42676</v>
      </c>
    </row>
    <row r="3454" spans="1:24">
      <c r="A3454">
        <f>HYPERLINK("https://www.philgeps.gov.ph/GEPSNONPILOT/Tender/SplashBidNoticeAbstractUI.aspx?menuIndex=3&amp;refID=7192834&amp;Result=3","7192834")</f>
        <v>0</v>
      </c>
      <c r="B3454" t="s">
        <v>1280</v>
      </c>
      <c r="C3454" t="s">
        <v>6820</v>
      </c>
      <c r="D3454" t="s">
        <v>17205</v>
      </c>
      <c r="E3454" t="s">
        <v>17730</v>
      </c>
      <c r="F3454" t="s">
        <v>29372</v>
      </c>
      <c r="G3454" t="s">
        <v>29379</v>
      </c>
      <c r="H3454" t="s">
        <v>11048</v>
      </c>
      <c r="I3454" t="s">
        <v>8208</v>
      </c>
      <c r="J3454" t="s">
        <v>31886</v>
      </c>
      <c r="K3454" t="s">
        <v>38528</v>
      </c>
      <c r="M3454" t="s">
        <v>40108</v>
      </c>
      <c r="N3454" t="s">
        <v>42669</v>
      </c>
      <c r="O3454" t="s">
        <v>42670</v>
      </c>
      <c r="P3454">
        <v>0</v>
      </c>
      <c r="Q3454">
        <v>2</v>
      </c>
      <c r="R3454" t="s">
        <v>42674</v>
      </c>
      <c r="S3454" t="s">
        <v>42788</v>
      </c>
      <c r="T3454" t="s">
        <v>44432</v>
      </c>
      <c r="U3454" t="s">
        <v>47677</v>
      </c>
      <c r="V3454" t="s">
        <v>56678</v>
      </c>
      <c r="W3454" t="s">
        <v>40108</v>
      </c>
      <c r="X3454" t="s">
        <v>42676</v>
      </c>
    </row>
    <row r="3455" spans="1:24">
      <c r="A3455">
        <f>HYPERLINK("https://www.philgeps.gov.ph/GEPSNONPILOT/Tender/SplashBidNoticeAbstractUI.aspx?menuIndex=3&amp;refID=7192820&amp;Result=3","7192820")</f>
        <v>0</v>
      </c>
      <c r="B3455" t="s">
        <v>1281</v>
      </c>
      <c r="C3455" t="s">
        <v>6821</v>
      </c>
      <c r="D3455" t="s">
        <v>17205</v>
      </c>
      <c r="E3455" t="s">
        <v>20303</v>
      </c>
      <c r="F3455" t="s">
        <v>29372</v>
      </c>
      <c r="G3455" t="s">
        <v>29380</v>
      </c>
      <c r="H3455" t="s">
        <v>29389</v>
      </c>
      <c r="I3455" t="s">
        <v>10408</v>
      </c>
      <c r="J3455" t="s">
        <v>31887</v>
      </c>
      <c r="K3455" t="s">
        <v>38616</v>
      </c>
      <c r="M3455" t="s">
        <v>40109</v>
      </c>
      <c r="N3455" t="s">
        <v>42669</v>
      </c>
      <c r="O3455" t="s">
        <v>42670</v>
      </c>
      <c r="P3455">
        <v>0</v>
      </c>
      <c r="Q3455">
        <v>14</v>
      </c>
      <c r="R3455" t="s">
        <v>42674</v>
      </c>
      <c r="S3455" t="s">
        <v>42788</v>
      </c>
      <c r="T3455" t="s">
        <v>44365</v>
      </c>
      <c r="U3455" t="s">
        <v>47678</v>
      </c>
      <c r="W3455" t="s">
        <v>40109</v>
      </c>
      <c r="X3455" t="s">
        <v>42676</v>
      </c>
    </row>
    <row r="3456" spans="1:24">
      <c r="A3456">
        <f>HYPERLINK("https://www.philgeps.gov.ph/GEPSNONPILOT/Tender/SplashBidNoticeAbstractUI.aspx?menuIndex=3&amp;refID=7192816&amp;Result=3","7192816")</f>
        <v>0</v>
      </c>
      <c r="B3456" t="s">
        <v>1282</v>
      </c>
      <c r="C3456" t="s">
        <v>6822</v>
      </c>
      <c r="D3456" t="s">
        <v>17169</v>
      </c>
      <c r="E3456" t="s">
        <v>17870</v>
      </c>
      <c r="F3456" t="s">
        <v>29372</v>
      </c>
      <c r="G3456" t="s">
        <v>29383</v>
      </c>
      <c r="H3456" t="s">
        <v>11048</v>
      </c>
      <c r="I3456" t="s">
        <v>29415</v>
      </c>
      <c r="J3456" t="s">
        <v>29675</v>
      </c>
      <c r="K3456" t="s">
        <v>38490</v>
      </c>
      <c r="M3456" t="s">
        <v>40110</v>
      </c>
      <c r="N3456" t="s">
        <v>42669</v>
      </c>
      <c r="O3456" t="s">
        <v>42670</v>
      </c>
      <c r="P3456">
        <v>0</v>
      </c>
      <c r="Q3456">
        <v>0</v>
      </c>
      <c r="R3456" t="s">
        <v>42674</v>
      </c>
      <c r="S3456" t="s">
        <v>42788</v>
      </c>
      <c r="T3456" t="s">
        <v>44488</v>
      </c>
      <c r="U3456" t="s">
        <v>47679</v>
      </c>
      <c r="W3456" t="s">
        <v>40110</v>
      </c>
      <c r="X3456" t="s">
        <v>42676</v>
      </c>
    </row>
    <row r="3457" spans="1:24">
      <c r="A3457">
        <f>HYPERLINK("https://www.philgeps.gov.ph/GEPSNONPILOT/Tender/SplashBidNoticeAbstractUI.aspx?menuIndex=3&amp;refID=7192821&amp;Result=3","7192821")</f>
        <v>0</v>
      </c>
      <c r="B3457" t="s">
        <v>1283</v>
      </c>
      <c r="C3457" t="s">
        <v>6823</v>
      </c>
      <c r="D3457" t="s">
        <v>17141</v>
      </c>
      <c r="E3457" t="s">
        <v>17794</v>
      </c>
      <c r="F3457" t="s">
        <v>29372</v>
      </c>
      <c r="G3457" t="s">
        <v>29379</v>
      </c>
      <c r="H3457" t="s">
        <v>29389</v>
      </c>
      <c r="I3457" t="s">
        <v>29398</v>
      </c>
      <c r="J3457" t="s">
        <v>31888</v>
      </c>
      <c r="K3457" t="s">
        <v>38485</v>
      </c>
      <c r="M3457" t="s">
        <v>40111</v>
      </c>
      <c r="N3457" t="s">
        <v>42669</v>
      </c>
      <c r="O3457" t="s">
        <v>42670</v>
      </c>
      <c r="P3457">
        <v>0</v>
      </c>
      <c r="Q3457">
        <v>3</v>
      </c>
      <c r="R3457" t="s">
        <v>42674</v>
      </c>
      <c r="S3457" t="s">
        <v>42788</v>
      </c>
      <c r="T3457" t="s">
        <v>44493</v>
      </c>
      <c r="U3457" t="s">
        <v>47680</v>
      </c>
      <c r="W3457" t="s">
        <v>40111</v>
      </c>
      <c r="X3457" t="s">
        <v>42676</v>
      </c>
    </row>
    <row r="3458" spans="1:24">
      <c r="A3458">
        <f>HYPERLINK("https://www.philgeps.gov.ph/GEPSNONPILOT/Tender/SplashBidNoticeAbstractUI.aspx?menuIndex=3&amp;refID=7192814&amp;Result=3","7192814")</f>
        <v>0</v>
      </c>
      <c r="B3458" t="s">
        <v>1010</v>
      </c>
      <c r="C3458" t="s">
        <v>6824</v>
      </c>
      <c r="E3458" t="s">
        <v>20304</v>
      </c>
      <c r="F3458" t="s">
        <v>29372</v>
      </c>
      <c r="G3458" t="s">
        <v>29380</v>
      </c>
      <c r="H3458" t="s">
        <v>29389</v>
      </c>
      <c r="I3458" t="s">
        <v>10408</v>
      </c>
      <c r="J3458" t="s">
        <v>31889</v>
      </c>
      <c r="K3458" t="s">
        <v>38490</v>
      </c>
      <c r="M3458" t="s">
        <v>39810</v>
      </c>
      <c r="N3458" t="s">
        <v>42669</v>
      </c>
      <c r="O3458" t="s">
        <v>42670</v>
      </c>
      <c r="P3458">
        <v>0</v>
      </c>
      <c r="Q3458">
        <v>0</v>
      </c>
      <c r="R3458" t="s">
        <v>42674</v>
      </c>
      <c r="S3458" t="s">
        <v>42788</v>
      </c>
      <c r="T3458" t="s">
        <v>44542</v>
      </c>
      <c r="U3458" t="s">
        <v>47681</v>
      </c>
      <c r="W3458" t="s">
        <v>39810</v>
      </c>
      <c r="X3458" t="s">
        <v>42676</v>
      </c>
    </row>
    <row r="3459" spans="1:24">
      <c r="A3459">
        <f>HYPERLINK("https://www.philgeps.gov.ph/GEPSNONPILOT/Tender/SplashBidNoticeAbstractUI.aspx?menuIndex=3&amp;refID=7192813&amp;Result=3","7192813")</f>
        <v>0</v>
      </c>
      <c r="B3459" t="s">
        <v>896</v>
      </c>
      <c r="C3459" t="s">
        <v>6825</v>
      </c>
      <c r="D3459" t="s">
        <v>17188</v>
      </c>
      <c r="E3459" t="s">
        <v>20305</v>
      </c>
      <c r="F3459" t="s">
        <v>29372</v>
      </c>
      <c r="G3459" t="s">
        <v>29380</v>
      </c>
      <c r="H3459" t="s">
        <v>29389</v>
      </c>
      <c r="I3459" t="s">
        <v>10408</v>
      </c>
      <c r="J3459" t="s">
        <v>31890</v>
      </c>
      <c r="K3459" t="s">
        <v>38617</v>
      </c>
      <c r="M3459" t="s">
        <v>40075</v>
      </c>
      <c r="N3459" t="s">
        <v>42669</v>
      </c>
      <c r="O3459" t="s">
        <v>42670</v>
      </c>
      <c r="P3459">
        <v>0</v>
      </c>
      <c r="Q3459">
        <v>0</v>
      </c>
      <c r="R3459" t="s">
        <v>42674</v>
      </c>
      <c r="S3459" t="s">
        <v>42788</v>
      </c>
      <c r="T3459" t="s">
        <v>44622</v>
      </c>
      <c r="U3459" t="s">
        <v>47682</v>
      </c>
      <c r="V3459" t="s">
        <v>56575</v>
      </c>
      <c r="W3459" t="s">
        <v>40075</v>
      </c>
      <c r="X3459" t="s">
        <v>42676</v>
      </c>
    </row>
    <row r="3460" spans="1:24">
      <c r="A3460">
        <f>HYPERLINK("https://www.philgeps.gov.ph/GEPSNONPILOT/Tender/SplashBidNoticeAbstractUI.aspx?menuIndex=3&amp;refID=7192815&amp;Result=3","7192815")</f>
        <v>0</v>
      </c>
      <c r="B3460" t="s">
        <v>1284</v>
      </c>
      <c r="C3460" t="s">
        <v>6826</v>
      </c>
      <c r="D3460" t="s">
        <v>17154</v>
      </c>
      <c r="E3460" t="s">
        <v>20306</v>
      </c>
      <c r="F3460" t="s">
        <v>29372</v>
      </c>
      <c r="G3460" t="s">
        <v>29379</v>
      </c>
      <c r="H3460" t="s">
        <v>29389</v>
      </c>
      <c r="I3460" t="s">
        <v>10408</v>
      </c>
      <c r="J3460" t="s">
        <v>31891</v>
      </c>
      <c r="K3460" t="s">
        <v>38524</v>
      </c>
      <c r="M3460" t="s">
        <v>40112</v>
      </c>
      <c r="N3460" t="s">
        <v>42669</v>
      </c>
      <c r="O3460" t="s">
        <v>42670</v>
      </c>
      <c r="P3460">
        <v>0</v>
      </c>
      <c r="Q3460">
        <v>3</v>
      </c>
      <c r="R3460" t="s">
        <v>42674</v>
      </c>
      <c r="S3460" t="s">
        <v>42788</v>
      </c>
      <c r="T3460" t="s">
        <v>44432</v>
      </c>
      <c r="U3460" t="s">
        <v>47683</v>
      </c>
      <c r="W3460" t="s">
        <v>40112</v>
      </c>
      <c r="X3460" t="s">
        <v>42676</v>
      </c>
    </row>
    <row r="3461" spans="1:24">
      <c r="A3461">
        <f>HYPERLINK("https://www.philgeps.gov.ph/GEPSNONPILOT/Tender/SplashBidNoticeAbstractUI.aspx?menuIndex=3&amp;refID=7192807&amp;Result=3","7192807")</f>
        <v>0</v>
      </c>
      <c r="B3461" t="s">
        <v>278</v>
      </c>
      <c r="C3461" t="s">
        <v>6827</v>
      </c>
      <c r="D3461" t="s">
        <v>17206</v>
      </c>
      <c r="E3461" t="s">
        <v>6827</v>
      </c>
      <c r="F3461" t="s">
        <v>29372</v>
      </c>
      <c r="G3461" t="s">
        <v>29383</v>
      </c>
      <c r="H3461" t="s">
        <v>11048</v>
      </c>
      <c r="I3461" t="s">
        <v>3839</v>
      </c>
      <c r="J3461" t="s">
        <v>31892</v>
      </c>
      <c r="K3461" t="s">
        <v>38485</v>
      </c>
      <c r="M3461" t="s">
        <v>40113</v>
      </c>
      <c r="N3461" t="s">
        <v>42669</v>
      </c>
      <c r="O3461" t="s">
        <v>42670</v>
      </c>
      <c r="P3461">
        <v>0</v>
      </c>
      <c r="Q3461">
        <v>0</v>
      </c>
      <c r="R3461" t="s">
        <v>42674</v>
      </c>
      <c r="S3461" t="s">
        <v>42788</v>
      </c>
      <c r="T3461" t="s">
        <v>44394</v>
      </c>
      <c r="U3461" t="s">
        <v>47684</v>
      </c>
      <c r="W3461" t="s">
        <v>40113</v>
      </c>
      <c r="X3461" t="s">
        <v>42676</v>
      </c>
    </row>
    <row r="3462" spans="1:24">
      <c r="A3462">
        <f>HYPERLINK("https://www.philgeps.gov.ph/GEPSNONPILOT/Tender/SplashBidNoticeAbstractUI.aspx?menuIndex=3&amp;refID=7192806&amp;Result=3","7192806")</f>
        <v>0</v>
      </c>
      <c r="B3462" t="s">
        <v>1285</v>
      </c>
      <c r="C3462" t="s">
        <v>6828</v>
      </c>
      <c r="D3462" t="s">
        <v>17199</v>
      </c>
      <c r="E3462" t="s">
        <v>20307</v>
      </c>
      <c r="F3462" t="s">
        <v>29372</v>
      </c>
      <c r="G3462" t="s">
        <v>29382</v>
      </c>
      <c r="H3462" t="s">
        <v>11048</v>
      </c>
      <c r="I3462" t="s">
        <v>29426</v>
      </c>
      <c r="J3462" t="s">
        <v>29543</v>
      </c>
      <c r="K3462" t="s">
        <v>38485</v>
      </c>
      <c r="M3462" t="s">
        <v>40114</v>
      </c>
      <c r="N3462" t="s">
        <v>42669</v>
      </c>
      <c r="O3462" t="s">
        <v>42670</v>
      </c>
      <c r="P3462">
        <v>0</v>
      </c>
      <c r="Q3462">
        <v>3</v>
      </c>
      <c r="R3462" t="s">
        <v>42674</v>
      </c>
      <c r="S3462" t="s">
        <v>42788</v>
      </c>
      <c r="T3462" t="s">
        <v>44570</v>
      </c>
      <c r="U3462" t="s">
        <v>47685</v>
      </c>
      <c r="V3462" t="s">
        <v>56679</v>
      </c>
      <c r="W3462" t="s">
        <v>40114</v>
      </c>
      <c r="X3462" t="s">
        <v>42676</v>
      </c>
    </row>
    <row r="3463" spans="1:24">
      <c r="A3463">
        <f>HYPERLINK("https://www.philgeps.gov.ph/GEPSNONPILOT/Tender/SplashBidNoticeAbstractUI.aspx?menuIndex=3&amp;refID=7192833&amp;Result=3","7192833")</f>
        <v>0</v>
      </c>
      <c r="B3463" t="s">
        <v>1281</v>
      </c>
      <c r="C3463" t="s">
        <v>6829</v>
      </c>
      <c r="D3463" t="s">
        <v>17205</v>
      </c>
      <c r="E3463" t="s">
        <v>20308</v>
      </c>
      <c r="F3463" t="s">
        <v>29372</v>
      </c>
      <c r="G3463" t="s">
        <v>29380</v>
      </c>
      <c r="H3463" t="s">
        <v>29389</v>
      </c>
      <c r="I3463" t="s">
        <v>10408</v>
      </c>
      <c r="J3463" t="s">
        <v>31157</v>
      </c>
      <c r="K3463" t="s">
        <v>38504</v>
      </c>
      <c r="M3463" t="s">
        <v>40109</v>
      </c>
      <c r="N3463" t="s">
        <v>42669</v>
      </c>
      <c r="O3463" t="s">
        <v>42670</v>
      </c>
      <c r="P3463">
        <v>0</v>
      </c>
      <c r="Q3463">
        <v>12</v>
      </c>
      <c r="R3463" t="s">
        <v>42674</v>
      </c>
      <c r="S3463" t="s">
        <v>42788</v>
      </c>
      <c r="T3463" t="s">
        <v>44368</v>
      </c>
      <c r="U3463" t="s">
        <v>47678</v>
      </c>
      <c r="W3463" t="s">
        <v>40109</v>
      </c>
      <c r="X3463" t="s">
        <v>42676</v>
      </c>
    </row>
    <row r="3464" spans="1:24">
      <c r="A3464">
        <f>HYPERLINK("https://www.philgeps.gov.ph/GEPSNONPILOT/Tender/SplashBidNoticeAbstractUI.aspx?menuIndex=3&amp;refID=7192805&amp;Result=3","7192805")</f>
        <v>0</v>
      </c>
      <c r="B3464" t="s">
        <v>896</v>
      </c>
      <c r="C3464" t="s">
        <v>6830</v>
      </c>
      <c r="D3464" t="s">
        <v>17188</v>
      </c>
      <c r="E3464" t="s">
        <v>20309</v>
      </c>
      <c r="F3464" t="s">
        <v>29372</v>
      </c>
      <c r="G3464" t="s">
        <v>29380</v>
      </c>
      <c r="H3464" t="s">
        <v>29389</v>
      </c>
      <c r="I3464" t="s">
        <v>10408</v>
      </c>
      <c r="J3464" t="s">
        <v>31893</v>
      </c>
      <c r="K3464" t="s">
        <v>38555</v>
      </c>
      <c r="M3464" t="s">
        <v>40075</v>
      </c>
      <c r="N3464" t="s">
        <v>42669</v>
      </c>
      <c r="O3464" t="s">
        <v>42670</v>
      </c>
      <c r="P3464">
        <v>0</v>
      </c>
      <c r="Q3464">
        <v>0</v>
      </c>
      <c r="R3464" t="s">
        <v>42674</v>
      </c>
      <c r="S3464" t="s">
        <v>42788</v>
      </c>
      <c r="T3464" t="s">
        <v>44622</v>
      </c>
      <c r="U3464" t="s">
        <v>47686</v>
      </c>
      <c r="V3464" t="s">
        <v>56575</v>
      </c>
      <c r="W3464" t="s">
        <v>40075</v>
      </c>
      <c r="X3464" t="s">
        <v>42676</v>
      </c>
    </row>
    <row r="3465" spans="1:24">
      <c r="A3465">
        <f>HYPERLINK("https://www.philgeps.gov.ph/GEPSNONPILOT/Tender/SplashBidNoticeAbstractUI.aspx?menuIndex=3&amp;refID=7192802&amp;Result=3","7192802")</f>
        <v>0</v>
      </c>
      <c r="B3465" t="s">
        <v>278</v>
      </c>
      <c r="C3465" t="s">
        <v>6831</v>
      </c>
      <c r="D3465" t="s">
        <v>17206</v>
      </c>
      <c r="E3465" t="s">
        <v>6831</v>
      </c>
      <c r="F3465" t="s">
        <v>29372</v>
      </c>
      <c r="G3465" t="s">
        <v>29383</v>
      </c>
      <c r="H3465" t="s">
        <v>11048</v>
      </c>
      <c r="I3465" t="s">
        <v>3839</v>
      </c>
      <c r="J3465" t="s">
        <v>29746</v>
      </c>
      <c r="K3465" t="s">
        <v>38485</v>
      </c>
      <c r="M3465" t="s">
        <v>40113</v>
      </c>
      <c r="N3465" t="s">
        <v>42669</v>
      </c>
      <c r="O3465" t="s">
        <v>42670</v>
      </c>
      <c r="P3465">
        <v>0</v>
      </c>
      <c r="Q3465">
        <v>0</v>
      </c>
      <c r="R3465" t="s">
        <v>42674</v>
      </c>
      <c r="S3465" t="s">
        <v>42788</v>
      </c>
      <c r="T3465" t="s">
        <v>44631</v>
      </c>
      <c r="U3465" t="s">
        <v>47687</v>
      </c>
      <c r="W3465" t="s">
        <v>40113</v>
      </c>
      <c r="X3465" t="s">
        <v>42676</v>
      </c>
    </row>
    <row r="3466" spans="1:24">
      <c r="A3466">
        <f>HYPERLINK("https://www.philgeps.gov.ph/GEPSNONPILOT/Tender/SplashBidNoticeAbstractUI.aspx?menuIndex=3&amp;refID=7192824&amp;Result=3","7192824")</f>
        <v>0</v>
      </c>
      <c r="B3466" t="s">
        <v>1286</v>
      </c>
      <c r="C3466" t="s">
        <v>6832</v>
      </c>
      <c r="E3466" t="s">
        <v>20310</v>
      </c>
      <c r="F3466" t="s">
        <v>29372</v>
      </c>
      <c r="G3466" t="s">
        <v>29380</v>
      </c>
      <c r="H3466" t="s">
        <v>29389</v>
      </c>
      <c r="I3466" t="s">
        <v>10408</v>
      </c>
      <c r="J3466" t="s">
        <v>31894</v>
      </c>
      <c r="K3466" t="s">
        <v>38533</v>
      </c>
      <c r="M3466" t="s">
        <v>40115</v>
      </c>
      <c r="N3466" t="s">
        <v>42669</v>
      </c>
      <c r="O3466" t="s">
        <v>42670</v>
      </c>
      <c r="P3466">
        <v>0</v>
      </c>
      <c r="Q3466">
        <v>1</v>
      </c>
      <c r="R3466" t="s">
        <v>42674</v>
      </c>
      <c r="S3466" t="s">
        <v>42788</v>
      </c>
      <c r="T3466" t="s">
        <v>44503</v>
      </c>
      <c r="U3466" t="s">
        <v>47688</v>
      </c>
      <c r="W3466" t="s">
        <v>40115</v>
      </c>
      <c r="X3466" t="s">
        <v>42676</v>
      </c>
    </row>
    <row r="3467" spans="1:24">
      <c r="A3467">
        <f>HYPERLINK("https://www.philgeps.gov.ph/GEPSNONPILOT/Tender/SplashBidNoticeAbstractUI.aspx?menuIndex=3&amp;refID=7192669&amp;Result=3","7192669")</f>
        <v>0</v>
      </c>
      <c r="B3467" t="s">
        <v>143</v>
      </c>
      <c r="C3467" t="s">
        <v>6833</v>
      </c>
      <c r="D3467" t="s">
        <v>17182</v>
      </c>
      <c r="E3467" t="s">
        <v>20311</v>
      </c>
      <c r="F3467" t="s">
        <v>29372</v>
      </c>
      <c r="G3467" t="s">
        <v>29379</v>
      </c>
      <c r="H3467" t="s">
        <v>11048</v>
      </c>
      <c r="I3467" t="s">
        <v>4709</v>
      </c>
      <c r="J3467" t="s">
        <v>31895</v>
      </c>
      <c r="K3467" t="s">
        <v>38491</v>
      </c>
      <c r="M3467" t="s">
        <v>38898</v>
      </c>
      <c r="N3467" t="s">
        <v>42669</v>
      </c>
      <c r="O3467" t="s">
        <v>42670</v>
      </c>
      <c r="P3467">
        <v>0</v>
      </c>
      <c r="Q3467">
        <v>2</v>
      </c>
      <c r="R3467" t="s">
        <v>42674</v>
      </c>
      <c r="S3467" t="s">
        <v>42788</v>
      </c>
      <c r="T3467" t="s">
        <v>44385</v>
      </c>
      <c r="U3467" t="s">
        <v>47420</v>
      </c>
      <c r="W3467" t="s">
        <v>38898</v>
      </c>
      <c r="X3467" t="s">
        <v>42676</v>
      </c>
    </row>
    <row r="3468" spans="1:24">
      <c r="A3468">
        <f>HYPERLINK("https://www.philgeps.gov.ph/GEPSNONPILOT/Tender/SplashBidNoticeAbstractUI.aspx?menuIndex=3&amp;refID=7192668&amp;Result=3","7192668")</f>
        <v>0</v>
      </c>
      <c r="B3468" t="s">
        <v>1251</v>
      </c>
      <c r="C3468" t="s">
        <v>6834</v>
      </c>
      <c r="D3468" t="s">
        <v>17152</v>
      </c>
      <c r="E3468" t="s">
        <v>20312</v>
      </c>
      <c r="F3468" t="s">
        <v>29372</v>
      </c>
      <c r="G3468" t="s">
        <v>29380</v>
      </c>
      <c r="H3468" t="s">
        <v>11048</v>
      </c>
      <c r="I3468" t="s">
        <v>5383</v>
      </c>
      <c r="J3468" t="s">
        <v>31896</v>
      </c>
      <c r="K3468" t="s">
        <v>38488</v>
      </c>
      <c r="M3468" t="s">
        <v>40077</v>
      </c>
      <c r="N3468" t="s">
        <v>42669</v>
      </c>
      <c r="O3468" t="s">
        <v>42670</v>
      </c>
      <c r="P3468">
        <v>0</v>
      </c>
      <c r="Q3468">
        <v>2</v>
      </c>
      <c r="R3468" t="s">
        <v>42674</v>
      </c>
      <c r="S3468" t="s">
        <v>42788</v>
      </c>
      <c r="T3468" t="s">
        <v>44550</v>
      </c>
      <c r="U3468" t="s">
        <v>47602</v>
      </c>
      <c r="W3468" t="s">
        <v>40077</v>
      </c>
      <c r="X3468" t="s">
        <v>42676</v>
      </c>
    </row>
    <row r="3469" spans="1:24">
      <c r="A3469">
        <f>HYPERLINK("https://www.philgeps.gov.ph/GEPSNONPILOT/Tender/SplashBidNoticeAbstractUI.aspx?menuIndex=3&amp;refID=7192875&amp;Result=3","7192875")</f>
        <v>0</v>
      </c>
      <c r="B3469" t="s">
        <v>1287</v>
      </c>
      <c r="C3469" t="s">
        <v>6835</v>
      </c>
      <c r="D3469" t="s">
        <v>17229</v>
      </c>
      <c r="E3469" t="s">
        <v>20313</v>
      </c>
      <c r="F3469" t="s">
        <v>29372</v>
      </c>
      <c r="G3469" t="s">
        <v>29380</v>
      </c>
      <c r="H3469" t="s">
        <v>11048</v>
      </c>
      <c r="I3469" t="s">
        <v>29415</v>
      </c>
      <c r="J3469" t="s">
        <v>31897</v>
      </c>
      <c r="K3469" t="s">
        <v>38496</v>
      </c>
      <c r="M3469" t="s">
        <v>40116</v>
      </c>
      <c r="N3469" t="s">
        <v>42669</v>
      </c>
      <c r="O3469" t="s">
        <v>42670</v>
      </c>
      <c r="P3469">
        <v>0</v>
      </c>
      <c r="Q3469">
        <v>2</v>
      </c>
      <c r="R3469" t="s">
        <v>42674</v>
      </c>
      <c r="S3469" t="s">
        <v>42788</v>
      </c>
      <c r="T3469" t="s">
        <v>44351</v>
      </c>
      <c r="U3469" t="s">
        <v>47689</v>
      </c>
      <c r="W3469" t="s">
        <v>40116</v>
      </c>
      <c r="X3469" t="s">
        <v>42676</v>
      </c>
    </row>
    <row r="3470" spans="1:24">
      <c r="A3470">
        <f>HYPERLINK("https://www.philgeps.gov.ph/GEPSNONPILOT/Tender/SplashBidNoticeAbstractUI.aspx?menuIndex=3&amp;refID=7192811&amp;Result=3","7192811")</f>
        <v>0</v>
      </c>
      <c r="B3470" t="s">
        <v>1284</v>
      </c>
      <c r="C3470" t="s">
        <v>6836</v>
      </c>
      <c r="D3470" t="s">
        <v>17154</v>
      </c>
      <c r="E3470" t="s">
        <v>20314</v>
      </c>
      <c r="F3470" t="s">
        <v>29372</v>
      </c>
      <c r="G3470" t="s">
        <v>29379</v>
      </c>
      <c r="H3470" t="s">
        <v>29389</v>
      </c>
      <c r="I3470" t="s">
        <v>10408</v>
      </c>
      <c r="J3470" t="s">
        <v>31898</v>
      </c>
      <c r="K3470" t="s">
        <v>38524</v>
      </c>
      <c r="M3470" t="s">
        <v>40112</v>
      </c>
      <c r="N3470" t="s">
        <v>42669</v>
      </c>
      <c r="O3470" t="s">
        <v>42670</v>
      </c>
      <c r="P3470">
        <v>0</v>
      </c>
      <c r="Q3470">
        <v>3</v>
      </c>
      <c r="R3470" t="s">
        <v>42674</v>
      </c>
      <c r="S3470" t="s">
        <v>42788</v>
      </c>
      <c r="T3470" t="s">
        <v>44432</v>
      </c>
      <c r="U3470" t="s">
        <v>47690</v>
      </c>
      <c r="W3470" t="s">
        <v>40112</v>
      </c>
      <c r="X3470" t="s">
        <v>42676</v>
      </c>
    </row>
    <row r="3471" spans="1:24">
      <c r="A3471">
        <f>HYPERLINK("https://www.philgeps.gov.ph/GEPSNONPILOT/Tender/SplashBidNoticeAbstractUI.aspx?menuIndex=3&amp;refID=7192884&amp;Result=3","7192884")</f>
        <v>0</v>
      </c>
      <c r="B3471" t="s">
        <v>896</v>
      </c>
      <c r="C3471" t="s">
        <v>6837</v>
      </c>
      <c r="D3471" t="s">
        <v>17188</v>
      </c>
      <c r="E3471" t="s">
        <v>20315</v>
      </c>
      <c r="F3471" t="s">
        <v>29372</v>
      </c>
      <c r="G3471" t="s">
        <v>29380</v>
      </c>
      <c r="H3471" t="s">
        <v>29389</v>
      </c>
      <c r="I3471" t="s">
        <v>10408</v>
      </c>
      <c r="J3471" t="s">
        <v>30244</v>
      </c>
      <c r="K3471" t="s">
        <v>38564</v>
      </c>
      <c r="M3471" t="s">
        <v>40075</v>
      </c>
      <c r="N3471" t="s">
        <v>42669</v>
      </c>
      <c r="O3471" t="s">
        <v>42670</v>
      </c>
      <c r="P3471">
        <v>0</v>
      </c>
      <c r="Q3471">
        <v>1</v>
      </c>
      <c r="R3471" t="s">
        <v>42674</v>
      </c>
      <c r="S3471" t="s">
        <v>42788</v>
      </c>
      <c r="T3471" t="s">
        <v>44622</v>
      </c>
      <c r="U3471" t="s">
        <v>47691</v>
      </c>
      <c r="V3471" t="s">
        <v>56575</v>
      </c>
      <c r="W3471" t="s">
        <v>40075</v>
      </c>
      <c r="X3471" t="s">
        <v>42676</v>
      </c>
    </row>
    <row r="3472" spans="1:24">
      <c r="A3472">
        <f>HYPERLINK("https://www.philgeps.gov.ph/GEPSNONPILOT/Tender/SplashBidNoticeAbstractUI.aspx?menuIndex=3&amp;refID=7192883&amp;Result=3","7192883")</f>
        <v>0</v>
      </c>
      <c r="B3472" t="s">
        <v>597</v>
      </c>
      <c r="C3472" t="s">
        <v>6838</v>
      </c>
      <c r="D3472" t="s">
        <v>17179</v>
      </c>
      <c r="E3472" t="s">
        <v>20316</v>
      </c>
      <c r="F3472" t="s">
        <v>29372</v>
      </c>
      <c r="G3472" t="s">
        <v>29380</v>
      </c>
      <c r="H3472" t="s">
        <v>29389</v>
      </c>
      <c r="I3472" t="s">
        <v>10408</v>
      </c>
      <c r="J3472" t="s">
        <v>30056</v>
      </c>
      <c r="K3472" t="s">
        <v>38522</v>
      </c>
      <c r="M3472" t="s">
        <v>39368</v>
      </c>
      <c r="N3472" t="s">
        <v>42669</v>
      </c>
      <c r="O3472" t="s">
        <v>42670</v>
      </c>
      <c r="P3472">
        <v>0</v>
      </c>
      <c r="Q3472">
        <v>1</v>
      </c>
      <c r="R3472" t="s">
        <v>42674</v>
      </c>
      <c r="S3472" t="s">
        <v>42788</v>
      </c>
      <c r="T3472" t="s">
        <v>44542</v>
      </c>
      <c r="U3472" t="s">
        <v>47692</v>
      </c>
      <c r="W3472" t="s">
        <v>39368</v>
      </c>
      <c r="X3472" t="s">
        <v>42676</v>
      </c>
    </row>
    <row r="3473" spans="1:24">
      <c r="A3473">
        <f>HYPERLINK("https://www.philgeps.gov.ph/GEPSNONPILOT/Tender/SplashBidNoticeAbstractUI.aspx?menuIndex=3&amp;refID=7192876&amp;Result=3","7192876")</f>
        <v>0</v>
      </c>
      <c r="B3473" t="s">
        <v>844</v>
      </c>
      <c r="C3473" t="s">
        <v>6839</v>
      </c>
      <c r="D3473" t="s">
        <v>17143</v>
      </c>
      <c r="E3473" t="s">
        <v>20317</v>
      </c>
      <c r="F3473" t="s">
        <v>29372</v>
      </c>
      <c r="G3473" t="s">
        <v>29379</v>
      </c>
      <c r="H3473" t="s">
        <v>11048</v>
      </c>
      <c r="I3473" t="s">
        <v>3670</v>
      </c>
      <c r="J3473" t="s">
        <v>31899</v>
      </c>
      <c r="K3473" t="s">
        <v>38491</v>
      </c>
      <c r="M3473" t="s">
        <v>39634</v>
      </c>
      <c r="N3473" t="s">
        <v>42669</v>
      </c>
      <c r="O3473" t="s">
        <v>42670</v>
      </c>
      <c r="P3473">
        <v>0</v>
      </c>
      <c r="Q3473">
        <v>0</v>
      </c>
      <c r="R3473" t="s">
        <v>42674</v>
      </c>
      <c r="S3473" t="s">
        <v>42788</v>
      </c>
      <c r="T3473" t="s">
        <v>44387</v>
      </c>
      <c r="U3473" t="s">
        <v>46577</v>
      </c>
      <c r="W3473" t="s">
        <v>39634</v>
      </c>
      <c r="X3473" t="s">
        <v>42676</v>
      </c>
    </row>
    <row r="3474" spans="1:24">
      <c r="A3474">
        <f>HYPERLINK("https://www.philgeps.gov.ph/GEPSNONPILOT/Tender/SplashBidNoticeAbstractUI.aspx?menuIndex=3&amp;refID=7192804&amp;Result=3","7192804")</f>
        <v>0</v>
      </c>
      <c r="B3474" t="s">
        <v>1119</v>
      </c>
      <c r="C3474" t="s">
        <v>6840</v>
      </c>
      <c r="D3474" t="s">
        <v>17188</v>
      </c>
      <c r="E3474" t="s">
        <v>20318</v>
      </c>
      <c r="F3474" t="s">
        <v>29372</v>
      </c>
      <c r="G3474" t="s">
        <v>29380</v>
      </c>
      <c r="H3474" t="s">
        <v>11048</v>
      </c>
      <c r="I3474" t="s">
        <v>3670</v>
      </c>
      <c r="J3474" t="s">
        <v>29543</v>
      </c>
      <c r="K3474" t="s">
        <v>38538</v>
      </c>
      <c r="M3474" t="s">
        <v>39929</v>
      </c>
      <c r="N3474" t="s">
        <v>42669</v>
      </c>
      <c r="O3474" t="s">
        <v>42670</v>
      </c>
      <c r="P3474">
        <v>0</v>
      </c>
      <c r="Q3474">
        <v>5</v>
      </c>
      <c r="R3474" t="s">
        <v>42674</v>
      </c>
      <c r="S3474" t="s">
        <v>42788</v>
      </c>
      <c r="T3474" t="s">
        <v>44627</v>
      </c>
      <c r="U3474" t="s">
        <v>47693</v>
      </c>
      <c r="W3474" t="s">
        <v>39929</v>
      </c>
      <c r="X3474" t="s">
        <v>42676</v>
      </c>
    </row>
    <row r="3475" spans="1:24">
      <c r="A3475">
        <f>HYPERLINK("https://www.philgeps.gov.ph/GEPSNONPILOT/Tender/SplashBidNoticeAbstractUI.aspx?menuIndex=3&amp;refID=7192643&amp;Result=3","7192643")</f>
        <v>0</v>
      </c>
      <c r="B3475" t="s">
        <v>469</v>
      </c>
      <c r="C3475" t="s">
        <v>6841</v>
      </c>
      <c r="D3475" t="s">
        <v>17170</v>
      </c>
      <c r="E3475" t="s">
        <v>20319</v>
      </c>
      <c r="F3475" t="s">
        <v>29372</v>
      </c>
      <c r="G3475" t="s">
        <v>29379</v>
      </c>
      <c r="H3475" t="s">
        <v>11048</v>
      </c>
      <c r="I3475" t="s">
        <v>29460</v>
      </c>
      <c r="J3475" t="s">
        <v>31815</v>
      </c>
      <c r="K3475" t="s">
        <v>38485</v>
      </c>
      <c r="M3475" t="s">
        <v>39233</v>
      </c>
      <c r="N3475" t="s">
        <v>42669</v>
      </c>
      <c r="O3475" t="s">
        <v>42670</v>
      </c>
      <c r="P3475">
        <v>0</v>
      </c>
      <c r="Q3475">
        <v>0</v>
      </c>
      <c r="R3475" t="s">
        <v>42674</v>
      </c>
      <c r="S3475" t="s">
        <v>42788</v>
      </c>
      <c r="T3475" t="s">
        <v>44432</v>
      </c>
      <c r="U3475" t="s">
        <v>47694</v>
      </c>
      <c r="W3475" t="s">
        <v>39233</v>
      </c>
      <c r="X3475" t="s">
        <v>42676</v>
      </c>
    </row>
    <row r="3476" spans="1:24">
      <c r="A3476">
        <f>HYPERLINK("https://www.philgeps.gov.ph/GEPSNONPILOT/Tender/SplashBidNoticeAbstractUI.aspx?menuIndex=3&amp;refID=7192866&amp;Result=3","7192866")</f>
        <v>0</v>
      </c>
      <c r="B3476" t="s">
        <v>1288</v>
      </c>
      <c r="C3476" t="s">
        <v>6842</v>
      </c>
      <c r="D3476" t="s">
        <v>17225</v>
      </c>
      <c r="E3476" t="s">
        <v>20320</v>
      </c>
      <c r="F3476" t="s">
        <v>29372</v>
      </c>
      <c r="G3476" t="s">
        <v>29380</v>
      </c>
      <c r="H3476" t="s">
        <v>11048</v>
      </c>
      <c r="I3476" t="s">
        <v>4709</v>
      </c>
      <c r="J3476" t="s">
        <v>31900</v>
      </c>
      <c r="K3476" t="s">
        <v>38488</v>
      </c>
      <c r="M3476" t="s">
        <v>40117</v>
      </c>
      <c r="N3476" t="s">
        <v>42669</v>
      </c>
      <c r="O3476" t="s">
        <v>42670</v>
      </c>
      <c r="P3476">
        <v>0</v>
      </c>
      <c r="Q3476">
        <v>0</v>
      </c>
      <c r="R3476" t="s">
        <v>42674</v>
      </c>
      <c r="S3476" t="s">
        <v>42788</v>
      </c>
      <c r="T3476" t="s">
        <v>44542</v>
      </c>
      <c r="U3476" t="s">
        <v>47695</v>
      </c>
      <c r="V3476" t="s">
        <v>56680</v>
      </c>
      <c r="W3476" t="s">
        <v>40117</v>
      </c>
      <c r="X3476" t="s">
        <v>42676</v>
      </c>
    </row>
    <row r="3477" spans="1:24">
      <c r="A3477">
        <f>HYPERLINK("https://www.philgeps.gov.ph/GEPSNONPILOT/Tender/SplashBidNoticeAbstractUI.aspx?menuIndex=3&amp;refID=7192775&amp;Result=3","7192775")</f>
        <v>0</v>
      </c>
      <c r="B3477" t="s">
        <v>1289</v>
      </c>
      <c r="C3477" t="s">
        <v>6843</v>
      </c>
      <c r="D3477" t="s">
        <v>17202</v>
      </c>
      <c r="E3477" t="s">
        <v>20321</v>
      </c>
      <c r="F3477" t="s">
        <v>29372</v>
      </c>
      <c r="G3477" t="s">
        <v>29380</v>
      </c>
      <c r="H3477" t="s">
        <v>29389</v>
      </c>
      <c r="I3477" t="s">
        <v>10408</v>
      </c>
      <c r="J3477" t="s">
        <v>31901</v>
      </c>
      <c r="K3477" t="s">
        <v>38563</v>
      </c>
      <c r="L3477" t="s">
        <v>1289</v>
      </c>
      <c r="M3477" t="s">
        <v>40118</v>
      </c>
      <c r="N3477" t="s">
        <v>42669</v>
      </c>
      <c r="O3477" t="s">
        <v>42670</v>
      </c>
      <c r="P3477">
        <v>0</v>
      </c>
      <c r="Q3477">
        <v>0</v>
      </c>
      <c r="R3477" t="s">
        <v>42674</v>
      </c>
      <c r="S3477" t="s">
        <v>42788</v>
      </c>
      <c r="T3477" t="s">
        <v>44368</v>
      </c>
      <c r="U3477" t="s">
        <v>47696</v>
      </c>
      <c r="W3477" t="s">
        <v>40118</v>
      </c>
      <c r="X3477" t="s">
        <v>42676</v>
      </c>
    </row>
    <row r="3478" spans="1:24">
      <c r="A3478">
        <f>HYPERLINK("https://www.philgeps.gov.ph/GEPSNONPILOT/Tender/SplashBidNoticeAbstractUI.aspx?menuIndex=3&amp;refID=7192865&amp;Result=3","7192865")</f>
        <v>0</v>
      </c>
      <c r="B3478" t="s">
        <v>1290</v>
      </c>
      <c r="C3478" t="s">
        <v>6844</v>
      </c>
      <c r="D3478" t="s">
        <v>17204</v>
      </c>
      <c r="E3478" t="s">
        <v>19858</v>
      </c>
      <c r="F3478" t="s">
        <v>29372</v>
      </c>
      <c r="G3478" t="s">
        <v>29379</v>
      </c>
      <c r="H3478" t="s">
        <v>11048</v>
      </c>
      <c r="I3478" t="s">
        <v>29413</v>
      </c>
      <c r="J3478" t="s">
        <v>29532</v>
      </c>
      <c r="K3478" t="s">
        <v>38490</v>
      </c>
      <c r="M3478" t="s">
        <v>40119</v>
      </c>
      <c r="N3478" t="s">
        <v>42669</v>
      </c>
      <c r="O3478" t="s">
        <v>42670</v>
      </c>
      <c r="P3478">
        <v>0</v>
      </c>
      <c r="Q3478">
        <v>4</v>
      </c>
      <c r="R3478" t="s">
        <v>42674</v>
      </c>
      <c r="S3478" t="s">
        <v>42788</v>
      </c>
      <c r="T3478" t="s">
        <v>44417</v>
      </c>
      <c r="U3478" t="s">
        <v>47697</v>
      </c>
      <c r="W3478" t="s">
        <v>40119</v>
      </c>
      <c r="X3478" t="s">
        <v>42676</v>
      </c>
    </row>
    <row r="3479" spans="1:24">
      <c r="A3479">
        <f>HYPERLINK("https://www.philgeps.gov.ph/GEPSNONPILOT/Tender/SplashBidNoticeAbstractUI.aspx?menuIndex=3&amp;refID=7192877&amp;Result=3","7192877")</f>
        <v>0</v>
      </c>
      <c r="B3479" t="s">
        <v>1290</v>
      </c>
      <c r="C3479" t="s">
        <v>6845</v>
      </c>
      <c r="D3479" t="s">
        <v>17204</v>
      </c>
      <c r="E3479" t="s">
        <v>20322</v>
      </c>
      <c r="F3479" t="s">
        <v>29372</v>
      </c>
      <c r="G3479" t="s">
        <v>29379</v>
      </c>
      <c r="H3479" t="s">
        <v>11048</v>
      </c>
      <c r="I3479" t="s">
        <v>29400</v>
      </c>
      <c r="J3479" t="s">
        <v>30010</v>
      </c>
      <c r="K3479" t="s">
        <v>38490</v>
      </c>
      <c r="M3479" t="s">
        <v>40119</v>
      </c>
      <c r="N3479" t="s">
        <v>42669</v>
      </c>
      <c r="O3479" t="s">
        <v>42670</v>
      </c>
      <c r="P3479">
        <v>0</v>
      </c>
      <c r="Q3479">
        <v>4</v>
      </c>
      <c r="R3479" t="s">
        <v>42674</v>
      </c>
      <c r="S3479" t="s">
        <v>42788</v>
      </c>
      <c r="T3479" t="s">
        <v>44417</v>
      </c>
      <c r="U3479" t="s">
        <v>47697</v>
      </c>
      <c r="W3479" t="s">
        <v>40119</v>
      </c>
      <c r="X3479" t="s">
        <v>42676</v>
      </c>
    </row>
    <row r="3480" spans="1:24">
      <c r="A3480">
        <f>HYPERLINK("https://www.philgeps.gov.ph/GEPSNONPILOT/Tender/SplashBidNoticeAbstractUI.aspx?menuIndex=3&amp;refID=7192862&amp;Result=3","7192862")</f>
        <v>0</v>
      </c>
      <c r="B3480" t="s">
        <v>1279</v>
      </c>
      <c r="C3480" t="s">
        <v>6846</v>
      </c>
      <c r="D3480" t="s">
        <v>17141</v>
      </c>
      <c r="E3480" t="s">
        <v>18602</v>
      </c>
      <c r="F3480" t="s">
        <v>29372</v>
      </c>
      <c r="G3480" t="s">
        <v>29380</v>
      </c>
      <c r="H3480" t="s">
        <v>11048</v>
      </c>
      <c r="I3480" t="s">
        <v>10408</v>
      </c>
      <c r="J3480" t="s">
        <v>31902</v>
      </c>
      <c r="K3480" t="s">
        <v>38490</v>
      </c>
      <c r="M3480" t="s">
        <v>40107</v>
      </c>
      <c r="N3480" t="s">
        <v>42669</v>
      </c>
      <c r="O3480" t="s">
        <v>42670</v>
      </c>
      <c r="P3480">
        <v>0</v>
      </c>
      <c r="Q3480">
        <v>2</v>
      </c>
      <c r="R3480" t="s">
        <v>42674</v>
      </c>
      <c r="S3480" t="s">
        <v>42788</v>
      </c>
      <c r="T3480" t="s">
        <v>44539</v>
      </c>
      <c r="U3480" t="s">
        <v>47698</v>
      </c>
      <c r="W3480" t="s">
        <v>40107</v>
      </c>
      <c r="X3480" t="s">
        <v>42676</v>
      </c>
    </row>
    <row r="3481" spans="1:24">
      <c r="A3481">
        <f>HYPERLINK("https://www.philgeps.gov.ph/GEPSNONPILOT/Tender/SplashBidNoticeAbstractUI.aspx?menuIndex=3&amp;refID=7192832&amp;Result=3","7192832")</f>
        <v>0</v>
      </c>
      <c r="B3481" t="s">
        <v>1291</v>
      </c>
      <c r="C3481" t="s">
        <v>6847</v>
      </c>
      <c r="D3481" t="s">
        <v>17144</v>
      </c>
      <c r="E3481" t="s">
        <v>20323</v>
      </c>
      <c r="F3481" t="s">
        <v>29372</v>
      </c>
      <c r="G3481" t="s">
        <v>29379</v>
      </c>
      <c r="H3481" t="s">
        <v>11048</v>
      </c>
      <c r="I3481" t="s">
        <v>3670</v>
      </c>
      <c r="J3481" t="s">
        <v>31903</v>
      </c>
      <c r="K3481" t="s">
        <v>38488</v>
      </c>
      <c r="M3481" t="s">
        <v>40120</v>
      </c>
      <c r="N3481" t="s">
        <v>42669</v>
      </c>
      <c r="O3481" t="s">
        <v>42670</v>
      </c>
      <c r="P3481">
        <v>0</v>
      </c>
      <c r="Q3481">
        <v>0</v>
      </c>
      <c r="R3481" t="s">
        <v>42674</v>
      </c>
      <c r="S3481" t="s">
        <v>42788</v>
      </c>
      <c r="T3481" t="s">
        <v>44399</v>
      </c>
      <c r="U3481" t="s">
        <v>47699</v>
      </c>
      <c r="W3481" t="s">
        <v>40120</v>
      </c>
      <c r="X3481" t="s">
        <v>42676</v>
      </c>
    </row>
    <row r="3482" spans="1:24">
      <c r="A3482">
        <f>HYPERLINK("https://www.philgeps.gov.ph/GEPSNONPILOT/Tender/SplashBidNoticeAbstractUI.aspx?menuIndex=3&amp;refID=7192854&amp;Result=3","7192854")</f>
        <v>0</v>
      </c>
      <c r="B3482" t="s">
        <v>1288</v>
      </c>
      <c r="C3482" t="s">
        <v>6848</v>
      </c>
      <c r="D3482" t="s">
        <v>17225</v>
      </c>
      <c r="E3482" t="s">
        <v>20324</v>
      </c>
      <c r="F3482" t="s">
        <v>29372</v>
      </c>
      <c r="G3482" t="s">
        <v>29380</v>
      </c>
      <c r="H3482" t="s">
        <v>11048</v>
      </c>
      <c r="I3482" t="s">
        <v>29393</v>
      </c>
      <c r="J3482" t="s">
        <v>31904</v>
      </c>
      <c r="K3482" t="s">
        <v>38488</v>
      </c>
      <c r="M3482" t="s">
        <v>40117</v>
      </c>
      <c r="N3482" t="s">
        <v>42669</v>
      </c>
      <c r="O3482" t="s">
        <v>42670</v>
      </c>
      <c r="P3482">
        <v>0</v>
      </c>
      <c r="Q3482">
        <v>0</v>
      </c>
      <c r="R3482" t="s">
        <v>42674</v>
      </c>
      <c r="S3482" t="s">
        <v>42788</v>
      </c>
      <c r="T3482" t="s">
        <v>44542</v>
      </c>
      <c r="U3482" t="s">
        <v>47700</v>
      </c>
      <c r="V3482" t="s">
        <v>56680</v>
      </c>
      <c r="W3482" t="s">
        <v>40117</v>
      </c>
      <c r="X3482" t="s">
        <v>42676</v>
      </c>
    </row>
    <row r="3483" spans="1:24">
      <c r="A3483">
        <f>HYPERLINK("https://www.philgeps.gov.ph/GEPSNONPILOT/Tender/SplashBidNoticeAbstractUI.aspx?menuIndex=3&amp;refID=7192852&amp;Result=3","7192852")</f>
        <v>0</v>
      </c>
      <c r="B3483" t="s">
        <v>896</v>
      </c>
      <c r="C3483" t="s">
        <v>6849</v>
      </c>
      <c r="D3483" t="s">
        <v>17188</v>
      </c>
      <c r="E3483" t="s">
        <v>20325</v>
      </c>
      <c r="F3483" t="s">
        <v>29372</v>
      </c>
      <c r="G3483" t="s">
        <v>29380</v>
      </c>
      <c r="H3483" t="s">
        <v>29389</v>
      </c>
      <c r="I3483" t="s">
        <v>10408</v>
      </c>
      <c r="J3483" t="s">
        <v>29724</v>
      </c>
      <c r="K3483" t="s">
        <v>38614</v>
      </c>
      <c r="M3483" t="s">
        <v>40075</v>
      </c>
      <c r="N3483" t="s">
        <v>42669</v>
      </c>
      <c r="O3483" t="s">
        <v>42670</v>
      </c>
      <c r="P3483">
        <v>0</v>
      </c>
      <c r="Q3483">
        <v>0</v>
      </c>
      <c r="R3483" t="s">
        <v>42674</v>
      </c>
      <c r="S3483" t="s">
        <v>42788</v>
      </c>
      <c r="T3483" t="s">
        <v>44622</v>
      </c>
      <c r="U3483" t="s">
        <v>47701</v>
      </c>
      <c r="V3483" t="s">
        <v>56575</v>
      </c>
      <c r="W3483" t="s">
        <v>40075</v>
      </c>
      <c r="X3483" t="s">
        <v>42676</v>
      </c>
    </row>
    <row r="3484" spans="1:24">
      <c r="A3484">
        <f>HYPERLINK("https://www.philgeps.gov.ph/GEPSNONPILOT/Tender/SplashBidNoticeAbstractUI.aspx?menuIndex=3&amp;refID=7192853&amp;Result=3","7192853")</f>
        <v>0</v>
      </c>
      <c r="B3484" t="s">
        <v>1279</v>
      </c>
      <c r="C3484" t="s">
        <v>6850</v>
      </c>
      <c r="D3484" t="s">
        <v>17141</v>
      </c>
      <c r="E3484" t="s">
        <v>18616</v>
      </c>
      <c r="F3484" t="s">
        <v>29372</v>
      </c>
      <c r="G3484" t="s">
        <v>29380</v>
      </c>
      <c r="H3484" t="s">
        <v>11048</v>
      </c>
      <c r="I3484" t="s">
        <v>8614</v>
      </c>
      <c r="J3484" t="s">
        <v>30248</v>
      </c>
      <c r="K3484" t="s">
        <v>38490</v>
      </c>
      <c r="M3484" t="s">
        <v>40107</v>
      </c>
      <c r="N3484" t="s">
        <v>42669</v>
      </c>
      <c r="O3484" t="s">
        <v>42670</v>
      </c>
      <c r="P3484">
        <v>0</v>
      </c>
      <c r="Q3484">
        <v>15</v>
      </c>
      <c r="R3484" t="s">
        <v>42674</v>
      </c>
      <c r="S3484" t="s">
        <v>42788</v>
      </c>
      <c r="T3484" t="s">
        <v>44539</v>
      </c>
      <c r="U3484" t="s">
        <v>47702</v>
      </c>
      <c r="W3484" t="s">
        <v>40107</v>
      </c>
      <c r="X3484" t="s">
        <v>42676</v>
      </c>
    </row>
    <row r="3485" spans="1:24">
      <c r="A3485">
        <f>HYPERLINK("https://www.philgeps.gov.ph/GEPSNONPILOT/Tender/SplashBidNoticeAbstractUI.aspx?menuIndex=3&amp;refID=7192847&amp;Result=3","7192847")</f>
        <v>0</v>
      </c>
      <c r="B3485" t="s">
        <v>750</v>
      </c>
      <c r="C3485" t="s">
        <v>6851</v>
      </c>
      <c r="D3485" t="s">
        <v>17181</v>
      </c>
      <c r="E3485" t="s">
        <v>20326</v>
      </c>
      <c r="F3485" t="s">
        <v>29372</v>
      </c>
      <c r="G3485" t="s">
        <v>29380</v>
      </c>
      <c r="H3485" t="s">
        <v>11048</v>
      </c>
      <c r="I3485" t="s">
        <v>4709</v>
      </c>
      <c r="J3485" t="s">
        <v>31905</v>
      </c>
      <c r="K3485" t="s">
        <v>38490</v>
      </c>
      <c r="M3485" t="s">
        <v>39533</v>
      </c>
      <c r="N3485" t="s">
        <v>42669</v>
      </c>
      <c r="O3485" t="s">
        <v>42670</v>
      </c>
      <c r="P3485">
        <v>0</v>
      </c>
      <c r="Q3485">
        <v>0</v>
      </c>
      <c r="R3485" t="s">
        <v>42674</v>
      </c>
      <c r="S3485" t="s">
        <v>42788</v>
      </c>
      <c r="T3485" t="s">
        <v>44482</v>
      </c>
      <c r="U3485" t="s">
        <v>47703</v>
      </c>
      <c r="W3485" t="s">
        <v>39533</v>
      </c>
      <c r="X3485" t="s">
        <v>42676</v>
      </c>
    </row>
    <row r="3486" spans="1:24">
      <c r="A3486">
        <f>HYPERLINK("https://www.philgeps.gov.ph/GEPSNONPILOT/Tender/SplashBidNoticeAbstractUI.aspx?menuIndex=3&amp;refID=7192846&amp;Result=3","7192846")</f>
        <v>0</v>
      </c>
      <c r="B3486" t="s">
        <v>1292</v>
      </c>
      <c r="C3486" t="s">
        <v>6852</v>
      </c>
      <c r="E3486" t="s">
        <v>20327</v>
      </c>
      <c r="F3486" t="s">
        <v>29372</v>
      </c>
      <c r="G3486" t="s">
        <v>29379</v>
      </c>
      <c r="H3486" t="s">
        <v>11048</v>
      </c>
      <c r="I3486" t="s">
        <v>29437</v>
      </c>
      <c r="J3486" t="s">
        <v>31651</v>
      </c>
      <c r="K3486" t="s">
        <v>38490</v>
      </c>
      <c r="M3486" t="s">
        <v>40121</v>
      </c>
      <c r="N3486" t="s">
        <v>42669</v>
      </c>
      <c r="O3486" t="s">
        <v>42670</v>
      </c>
      <c r="P3486">
        <v>0</v>
      </c>
      <c r="Q3486">
        <v>5</v>
      </c>
      <c r="R3486" t="s">
        <v>42674</v>
      </c>
      <c r="S3486" t="s">
        <v>42788</v>
      </c>
      <c r="T3486" t="s">
        <v>44522</v>
      </c>
      <c r="U3486" t="s">
        <v>47704</v>
      </c>
      <c r="W3486" t="s">
        <v>40121</v>
      </c>
      <c r="X3486" t="s">
        <v>42676</v>
      </c>
    </row>
    <row r="3487" spans="1:24">
      <c r="A3487">
        <f>HYPERLINK("https://www.philgeps.gov.ph/GEPSNONPILOT/Tender/SplashBidNoticeAbstractUI.aspx?menuIndex=3&amp;refID=7192843&amp;Result=3","7192843")</f>
        <v>0</v>
      </c>
      <c r="B3487" t="s">
        <v>896</v>
      </c>
      <c r="C3487" t="s">
        <v>6853</v>
      </c>
      <c r="D3487" t="s">
        <v>17188</v>
      </c>
      <c r="E3487" t="s">
        <v>20328</v>
      </c>
      <c r="F3487" t="s">
        <v>29372</v>
      </c>
      <c r="G3487" t="s">
        <v>29380</v>
      </c>
      <c r="H3487" t="s">
        <v>29389</v>
      </c>
      <c r="I3487" t="s">
        <v>10408</v>
      </c>
      <c r="J3487" t="s">
        <v>29788</v>
      </c>
      <c r="K3487" t="s">
        <v>38555</v>
      </c>
      <c r="M3487" t="s">
        <v>40075</v>
      </c>
      <c r="N3487" t="s">
        <v>42669</v>
      </c>
      <c r="O3487" t="s">
        <v>42670</v>
      </c>
      <c r="P3487">
        <v>0</v>
      </c>
      <c r="Q3487">
        <v>0</v>
      </c>
      <c r="R3487" t="s">
        <v>42674</v>
      </c>
      <c r="S3487" t="s">
        <v>42788</v>
      </c>
      <c r="T3487" t="s">
        <v>44622</v>
      </c>
      <c r="U3487" t="s">
        <v>47705</v>
      </c>
      <c r="V3487" t="s">
        <v>56575</v>
      </c>
      <c r="W3487" t="s">
        <v>40075</v>
      </c>
      <c r="X3487" t="s">
        <v>42676</v>
      </c>
    </row>
    <row r="3488" spans="1:24">
      <c r="A3488">
        <f>HYPERLINK("https://www.philgeps.gov.ph/GEPSNONPILOT/Tender/SplashBidNoticeAbstractUI.aspx?menuIndex=3&amp;refID=7192842&amp;Result=3","7192842")</f>
        <v>0</v>
      </c>
      <c r="B3488" t="s">
        <v>1288</v>
      </c>
      <c r="C3488" t="s">
        <v>6854</v>
      </c>
      <c r="D3488" t="s">
        <v>17225</v>
      </c>
      <c r="E3488" t="s">
        <v>20329</v>
      </c>
      <c r="F3488" t="s">
        <v>29372</v>
      </c>
      <c r="G3488" t="s">
        <v>29380</v>
      </c>
      <c r="H3488" t="s">
        <v>11048</v>
      </c>
      <c r="I3488" t="s">
        <v>29393</v>
      </c>
      <c r="J3488" t="s">
        <v>31906</v>
      </c>
      <c r="K3488" t="s">
        <v>38488</v>
      </c>
      <c r="M3488" t="s">
        <v>40117</v>
      </c>
      <c r="N3488" t="s">
        <v>42669</v>
      </c>
      <c r="O3488" t="s">
        <v>42670</v>
      </c>
      <c r="P3488">
        <v>0</v>
      </c>
      <c r="Q3488">
        <v>0</v>
      </c>
      <c r="R3488" t="s">
        <v>42674</v>
      </c>
      <c r="S3488" t="s">
        <v>42788</v>
      </c>
      <c r="T3488" t="s">
        <v>44542</v>
      </c>
      <c r="U3488" t="s">
        <v>47706</v>
      </c>
      <c r="V3488" t="s">
        <v>56680</v>
      </c>
      <c r="W3488" t="s">
        <v>40117</v>
      </c>
      <c r="X3488" t="s">
        <v>42676</v>
      </c>
    </row>
    <row r="3489" spans="1:24">
      <c r="A3489">
        <f>HYPERLINK("https://www.philgeps.gov.ph/GEPSNONPILOT/Tender/SplashBidNoticeAbstractUI.aspx?menuIndex=3&amp;refID=7192886&amp;Result=3","7192886")</f>
        <v>0</v>
      </c>
      <c r="B3489" t="s">
        <v>1288</v>
      </c>
      <c r="C3489" t="s">
        <v>6855</v>
      </c>
      <c r="D3489" t="s">
        <v>17225</v>
      </c>
      <c r="E3489" t="s">
        <v>20330</v>
      </c>
      <c r="F3489" t="s">
        <v>29372</v>
      </c>
      <c r="G3489" t="s">
        <v>29380</v>
      </c>
      <c r="H3489" t="s">
        <v>11048</v>
      </c>
      <c r="I3489" t="s">
        <v>4709</v>
      </c>
      <c r="J3489" t="s">
        <v>31907</v>
      </c>
      <c r="K3489" t="s">
        <v>38488</v>
      </c>
      <c r="M3489" t="s">
        <v>40117</v>
      </c>
      <c r="N3489" t="s">
        <v>42669</v>
      </c>
      <c r="O3489" t="s">
        <v>42670</v>
      </c>
      <c r="P3489">
        <v>0</v>
      </c>
      <c r="Q3489">
        <v>0</v>
      </c>
      <c r="R3489" t="s">
        <v>42674</v>
      </c>
      <c r="S3489" t="s">
        <v>42788</v>
      </c>
      <c r="T3489" t="s">
        <v>44542</v>
      </c>
      <c r="U3489" t="s">
        <v>47707</v>
      </c>
      <c r="V3489" t="s">
        <v>56680</v>
      </c>
      <c r="W3489" t="s">
        <v>40117</v>
      </c>
      <c r="X3489" t="s">
        <v>42676</v>
      </c>
    </row>
    <row r="3490" spans="1:24">
      <c r="A3490">
        <f>HYPERLINK("https://www.philgeps.gov.ph/GEPSNONPILOT/Tender/SplashBidNoticeAbstractUI.aspx?menuIndex=3&amp;refID=7192916&amp;Result=3","7192916")</f>
        <v>0</v>
      </c>
      <c r="B3490" t="s">
        <v>1288</v>
      </c>
      <c r="C3490" t="s">
        <v>6856</v>
      </c>
      <c r="D3490" t="s">
        <v>17225</v>
      </c>
      <c r="E3490" t="s">
        <v>20331</v>
      </c>
      <c r="F3490" t="s">
        <v>29372</v>
      </c>
      <c r="G3490" t="s">
        <v>29380</v>
      </c>
      <c r="H3490" t="s">
        <v>29389</v>
      </c>
      <c r="I3490" t="s">
        <v>10408</v>
      </c>
      <c r="J3490" t="s">
        <v>31908</v>
      </c>
      <c r="K3490" t="s">
        <v>38496</v>
      </c>
      <c r="M3490" t="s">
        <v>40117</v>
      </c>
      <c r="N3490" t="s">
        <v>42669</v>
      </c>
      <c r="O3490" t="s">
        <v>42670</v>
      </c>
      <c r="P3490">
        <v>0</v>
      </c>
      <c r="Q3490">
        <v>0</v>
      </c>
      <c r="R3490" t="s">
        <v>42674</v>
      </c>
      <c r="S3490" t="s">
        <v>42788</v>
      </c>
      <c r="T3490" t="s">
        <v>44542</v>
      </c>
      <c r="U3490" t="s">
        <v>47708</v>
      </c>
      <c r="V3490" t="s">
        <v>56680</v>
      </c>
      <c r="W3490" t="s">
        <v>40117</v>
      </c>
      <c r="X3490" t="s">
        <v>42676</v>
      </c>
    </row>
    <row r="3491" spans="1:24">
      <c r="A3491">
        <f>HYPERLINK("https://www.philgeps.gov.ph/GEPSNONPILOT/Tender/SplashBidNoticeAbstractUI.aspx?menuIndex=3&amp;refID=7192915&amp;Result=3","7192915")</f>
        <v>0</v>
      </c>
      <c r="B3491" t="s">
        <v>1293</v>
      </c>
      <c r="C3491" t="s">
        <v>6857</v>
      </c>
      <c r="D3491" t="s">
        <v>17205</v>
      </c>
      <c r="E3491" t="s">
        <v>20332</v>
      </c>
      <c r="F3491" t="s">
        <v>29372</v>
      </c>
      <c r="G3491" t="s">
        <v>29382</v>
      </c>
      <c r="H3491" t="s">
        <v>11048</v>
      </c>
      <c r="I3491" t="s">
        <v>4487</v>
      </c>
      <c r="J3491" t="s">
        <v>31909</v>
      </c>
      <c r="K3491" t="s">
        <v>38491</v>
      </c>
      <c r="L3491" t="s">
        <v>1293</v>
      </c>
      <c r="M3491" t="s">
        <v>40122</v>
      </c>
      <c r="N3491" t="s">
        <v>42669</v>
      </c>
      <c r="O3491" t="s">
        <v>42670</v>
      </c>
      <c r="P3491">
        <v>0</v>
      </c>
      <c r="Q3491">
        <v>4</v>
      </c>
      <c r="R3491" t="s">
        <v>42674</v>
      </c>
      <c r="S3491" t="s">
        <v>42788</v>
      </c>
      <c r="T3491" t="s">
        <v>44425</v>
      </c>
      <c r="U3491" t="s">
        <v>47709</v>
      </c>
      <c r="W3491" t="s">
        <v>40122</v>
      </c>
      <c r="X3491" t="s">
        <v>42676</v>
      </c>
    </row>
    <row r="3492" spans="1:24">
      <c r="A3492">
        <f>HYPERLINK("https://www.philgeps.gov.ph/GEPSNONPILOT/Tender/SplashBidNoticeAbstractUI.aspx?menuIndex=3&amp;refID=7192914&amp;Result=3","7192914")</f>
        <v>0</v>
      </c>
      <c r="B3492" t="s">
        <v>1294</v>
      </c>
      <c r="C3492" t="s">
        <v>6858</v>
      </c>
      <c r="D3492" t="s">
        <v>17192</v>
      </c>
      <c r="E3492" t="s">
        <v>20333</v>
      </c>
      <c r="F3492" t="s">
        <v>29372</v>
      </c>
      <c r="G3492" t="s">
        <v>29380</v>
      </c>
      <c r="H3492" t="s">
        <v>29389</v>
      </c>
      <c r="I3492" t="s">
        <v>10408</v>
      </c>
      <c r="J3492" t="s">
        <v>29590</v>
      </c>
      <c r="K3492" t="s">
        <v>38490</v>
      </c>
      <c r="M3492" t="s">
        <v>40123</v>
      </c>
      <c r="N3492" t="s">
        <v>42669</v>
      </c>
      <c r="O3492" t="s">
        <v>42670</v>
      </c>
      <c r="P3492">
        <v>0</v>
      </c>
      <c r="Q3492">
        <v>0</v>
      </c>
      <c r="R3492" t="s">
        <v>42674</v>
      </c>
      <c r="S3492" t="s">
        <v>42788</v>
      </c>
      <c r="T3492" t="s">
        <v>44448</v>
      </c>
      <c r="U3492" t="s">
        <v>47710</v>
      </c>
      <c r="W3492" t="s">
        <v>40123</v>
      </c>
      <c r="X3492" t="s">
        <v>42676</v>
      </c>
    </row>
    <row r="3493" spans="1:24">
      <c r="A3493">
        <f>HYPERLINK("https://www.philgeps.gov.ph/GEPSNONPILOT/Tender/SplashBidNoticeAbstractUI.aspx?menuIndex=3&amp;refID=7192911&amp;Result=3","7192911")</f>
        <v>0</v>
      </c>
      <c r="B3493" t="s">
        <v>1295</v>
      </c>
      <c r="C3493" t="s">
        <v>6859</v>
      </c>
      <c r="D3493" t="s">
        <v>17141</v>
      </c>
      <c r="E3493" t="s">
        <v>20334</v>
      </c>
      <c r="F3493" t="s">
        <v>29372</v>
      </c>
      <c r="G3493" t="s">
        <v>29379</v>
      </c>
      <c r="H3493" t="s">
        <v>11048</v>
      </c>
      <c r="I3493" t="s">
        <v>29412</v>
      </c>
      <c r="J3493" t="s">
        <v>31910</v>
      </c>
      <c r="K3493" t="s">
        <v>38528</v>
      </c>
      <c r="L3493" t="s">
        <v>1295</v>
      </c>
      <c r="M3493" t="s">
        <v>40124</v>
      </c>
      <c r="N3493" t="s">
        <v>42669</v>
      </c>
      <c r="O3493" t="s">
        <v>42670</v>
      </c>
      <c r="P3493">
        <v>0</v>
      </c>
      <c r="Q3493">
        <v>2</v>
      </c>
      <c r="R3493" t="s">
        <v>42674</v>
      </c>
      <c r="S3493" t="s">
        <v>42788</v>
      </c>
      <c r="T3493" t="s">
        <v>44429</v>
      </c>
      <c r="U3493" t="s">
        <v>47711</v>
      </c>
      <c r="W3493" t="s">
        <v>40124</v>
      </c>
      <c r="X3493" t="s">
        <v>42676</v>
      </c>
    </row>
    <row r="3494" spans="1:24">
      <c r="A3494">
        <f>HYPERLINK("https://www.philgeps.gov.ph/GEPSNONPILOT/Tender/SplashBidNoticeAbstractUI.aspx?menuIndex=3&amp;refID=7192909&amp;Result=3","7192909")</f>
        <v>0</v>
      </c>
      <c r="B3494" t="s">
        <v>1294</v>
      </c>
      <c r="C3494" t="s">
        <v>6860</v>
      </c>
      <c r="D3494" t="s">
        <v>17192</v>
      </c>
      <c r="E3494" t="s">
        <v>20335</v>
      </c>
      <c r="F3494" t="s">
        <v>29372</v>
      </c>
      <c r="G3494" t="s">
        <v>29380</v>
      </c>
      <c r="H3494" t="s">
        <v>29389</v>
      </c>
      <c r="I3494" t="s">
        <v>10408</v>
      </c>
      <c r="J3494" t="s">
        <v>31911</v>
      </c>
      <c r="K3494" t="s">
        <v>38490</v>
      </c>
      <c r="M3494" t="s">
        <v>40123</v>
      </c>
      <c r="N3494" t="s">
        <v>42669</v>
      </c>
      <c r="O3494" t="s">
        <v>42670</v>
      </c>
      <c r="P3494">
        <v>0</v>
      </c>
      <c r="Q3494">
        <v>0</v>
      </c>
      <c r="R3494" t="s">
        <v>42674</v>
      </c>
      <c r="S3494" t="s">
        <v>42788</v>
      </c>
      <c r="T3494" t="s">
        <v>44448</v>
      </c>
      <c r="U3494" t="s">
        <v>47712</v>
      </c>
      <c r="W3494" t="s">
        <v>40123</v>
      </c>
      <c r="X3494" t="s">
        <v>42676</v>
      </c>
    </row>
    <row r="3495" spans="1:24">
      <c r="A3495">
        <f>HYPERLINK("https://www.philgeps.gov.ph/GEPSNONPILOT/Tender/SplashBidNoticeAbstractUI.aspx?menuIndex=3&amp;refID=7192844&amp;Result=3","7192844")</f>
        <v>0</v>
      </c>
      <c r="B3495" t="s">
        <v>1296</v>
      </c>
      <c r="C3495" t="s">
        <v>6861</v>
      </c>
      <c r="D3495" t="s">
        <v>17171</v>
      </c>
      <c r="E3495" t="s">
        <v>19139</v>
      </c>
      <c r="F3495" t="s">
        <v>29372</v>
      </c>
      <c r="G3495" t="s">
        <v>29384</v>
      </c>
      <c r="H3495" t="s">
        <v>11048</v>
      </c>
      <c r="I3495" t="s">
        <v>29412</v>
      </c>
      <c r="J3495" t="s">
        <v>29820</v>
      </c>
      <c r="K3495" t="s">
        <v>38491</v>
      </c>
      <c r="M3495" t="s">
        <v>40125</v>
      </c>
      <c r="N3495" t="s">
        <v>42669</v>
      </c>
      <c r="O3495" t="s">
        <v>42670</v>
      </c>
      <c r="P3495">
        <v>0</v>
      </c>
      <c r="Q3495">
        <v>1</v>
      </c>
      <c r="R3495" t="s">
        <v>42674</v>
      </c>
      <c r="S3495" t="s">
        <v>42788</v>
      </c>
      <c r="T3495" t="s">
        <v>44632</v>
      </c>
      <c r="U3495" t="s">
        <v>47713</v>
      </c>
      <c r="W3495" t="s">
        <v>40125</v>
      </c>
      <c r="X3495" t="s">
        <v>42676</v>
      </c>
    </row>
    <row r="3496" spans="1:24">
      <c r="A3496">
        <f>HYPERLINK("https://www.philgeps.gov.ph/GEPSNONPILOT/Tender/SplashBidNoticeAbstractUI.aspx?menuIndex=3&amp;refID=7192908&amp;Result=3","7192908")</f>
        <v>0</v>
      </c>
      <c r="B3496" t="s">
        <v>1261</v>
      </c>
      <c r="C3496" t="s">
        <v>6862</v>
      </c>
      <c r="D3496" t="s">
        <v>17214</v>
      </c>
      <c r="E3496" t="s">
        <v>20336</v>
      </c>
      <c r="F3496" t="s">
        <v>29372</v>
      </c>
      <c r="G3496" t="s">
        <v>29380</v>
      </c>
      <c r="H3496" t="s">
        <v>11048</v>
      </c>
      <c r="I3496" t="s">
        <v>8614</v>
      </c>
      <c r="J3496" t="s">
        <v>31912</v>
      </c>
      <c r="K3496" t="s">
        <v>38495</v>
      </c>
      <c r="M3496" t="s">
        <v>40088</v>
      </c>
      <c r="N3496" t="s">
        <v>42669</v>
      </c>
      <c r="O3496" t="s">
        <v>42670</v>
      </c>
      <c r="P3496">
        <v>0</v>
      </c>
      <c r="Q3496">
        <v>9</v>
      </c>
      <c r="R3496" t="s">
        <v>42674</v>
      </c>
      <c r="S3496" t="s">
        <v>42788</v>
      </c>
      <c r="T3496" t="s">
        <v>44573</v>
      </c>
      <c r="U3496" t="s">
        <v>47714</v>
      </c>
      <c r="W3496" t="s">
        <v>40088</v>
      </c>
      <c r="X3496" t="s">
        <v>42676</v>
      </c>
    </row>
    <row r="3497" spans="1:24">
      <c r="A3497">
        <f>HYPERLINK("https://www.philgeps.gov.ph/GEPSNONPILOT/Tender/SplashBidNoticeAbstractUI.aspx?menuIndex=3&amp;refID=7192904&amp;Result=3","7192904")</f>
        <v>0</v>
      </c>
      <c r="B3497" t="s">
        <v>597</v>
      </c>
      <c r="C3497" t="s">
        <v>6863</v>
      </c>
      <c r="D3497" t="s">
        <v>17179</v>
      </c>
      <c r="E3497" t="s">
        <v>20337</v>
      </c>
      <c r="F3497" t="s">
        <v>29372</v>
      </c>
      <c r="G3497" t="s">
        <v>29380</v>
      </c>
      <c r="H3497" t="s">
        <v>29389</v>
      </c>
      <c r="I3497" t="s">
        <v>10408</v>
      </c>
      <c r="J3497" t="s">
        <v>30161</v>
      </c>
      <c r="K3497" t="s">
        <v>38522</v>
      </c>
      <c r="M3497" t="s">
        <v>39368</v>
      </c>
      <c r="N3497" t="s">
        <v>42669</v>
      </c>
      <c r="O3497" t="s">
        <v>42670</v>
      </c>
      <c r="P3497">
        <v>0</v>
      </c>
      <c r="Q3497">
        <v>1</v>
      </c>
      <c r="R3497" t="s">
        <v>42674</v>
      </c>
      <c r="S3497" t="s">
        <v>42788</v>
      </c>
      <c r="T3497" t="s">
        <v>44542</v>
      </c>
      <c r="U3497" t="s">
        <v>47715</v>
      </c>
      <c r="W3497" t="s">
        <v>39368</v>
      </c>
      <c r="X3497" t="s">
        <v>42676</v>
      </c>
    </row>
    <row r="3498" spans="1:24">
      <c r="A3498">
        <f>HYPERLINK("https://www.philgeps.gov.ph/GEPSNONPILOT/Tender/SplashBidNoticeAbstractUI.aspx?menuIndex=3&amp;refID=7192926&amp;Result=3","7192926")</f>
        <v>0</v>
      </c>
      <c r="B3498" t="s">
        <v>1294</v>
      </c>
      <c r="C3498" t="s">
        <v>6864</v>
      </c>
      <c r="D3498" t="s">
        <v>17192</v>
      </c>
      <c r="E3498" t="s">
        <v>20338</v>
      </c>
      <c r="F3498" t="s">
        <v>29372</v>
      </c>
      <c r="G3498" t="s">
        <v>29380</v>
      </c>
      <c r="H3498" t="s">
        <v>29389</v>
      </c>
      <c r="I3498" t="s">
        <v>10408</v>
      </c>
      <c r="J3498" t="s">
        <v>29924</v>
      </c>
      <c r="K3498" t="s">
        <v>38490</v>
      </c>
      <c r="M3498" t="s">
        <v>40123</v>
      </c>
      <c r="N3498" t="s">
        <v>42669</v>
      </c>
      <c r="O3498" t="s">
        <v>42670</v>
      </c>
      <c r="P3498">
        <v>0</v>
      </c>
      <c r="Q3498">
        <v>0</v>
      </c>
      <c r="R3498" t="s">
        <v>42674</v>
      </c>
      <c r="S3498" t="s">
        <v>42788</v>
      </c>
      <c r="T3498" t="s">
        <v>44587</v>
      </c>
      <c r="U3498" t="s">
        <v>47716</v>
      </c>
      <c r="W3498" t="s">
        <v>40123</v>
      </c>
      <c r="X3498" t="s">
        <v>42676</v>
      </c>
    </row>
    <row r="3499" spans="1:24">
      <c r="A3499">
        <f>HYPERLINK("https://www.philgeps.gov.ph/GEPSNONPILOT/Tender/SplashBidNoticeAbstractUI.aspx?menuIndex=3&amp;refID=7192925&amp;Result=3","7192925")</f>
        <v>0</v>
      </c>
      <c r="B3499" t="s">
        <v>1189</v>
      </c>
      <c r="C3499" t="s">
        <v>6865</v>
      </c>
      <c r="D3499" t="s">
        <v>17221</v>
      </c>
      <c r="E3499" t="s">
        <v>20339</v>
      </c>
      <c r="F3499" t="s">
        <v>29372</v>
      </c>
      <c r="G3499" t="s">
        <v>29380</v>
      </c>
      <c r="H3499" t="s">
        <v>29389</v>
      </c>
      <c r="I3499" t="s">
        <v>10408</v>
      </c>
      <c r="J3499" t="s">
        <v>31913</v>
      </c>
      <c r="K3499" t="s">
        <v>38618</v>
      </c>
      <c r="M3499" t="s">
        <v>40005</v>
      </c>
      <c r="N3499" t="s">
        <v>42669</v>
      </c>
      <c r="O3499" t="s">
        <v>42670</v>
      </c>
      <c r="P3499">
        <v>0</v>
      </c>
      <c r="Q3499">
        <v>0</v>
      </c>
      <c r="R3499" t="s">
        <v>42674</v>
      </c>
      <c r="S3499" t="s">
        <v>42788</v>
      </c>
      <c r="T3499" t="s">
        <v>44542</v>
      </c>
      <c r="U3499" t="s">
        <v>47717</v>
      </c>
      <c r="W3499" t="s">
        <v>40005</v>
      </c>
      <c r="X3499" t="s">
        <v>42676</v>
      </c>
    </row>
    <row r="3500" spans="1:24">
      <c r="A3500">
        <f>HYPERLINK("https://www.philgeps.gov.ph/GEPSNONPILOT/Tender/SplashBidNoticeAbstractUI.aspx?menuIndex=3&amp;refID=7192924&amp;Result=3","7192924")</f>
        <v>0</v>
      </c>
      <c r="B3500" t="s">
        <v>141</v>
      </c>
      <c r="C3500" t="s">
        <v>6866</v>
      </c>
      <c r="D3500" t="s">
        <v>17170</v>
      </c>
      <c r="E3500" t="s">
        <v>20340</v>
      </c>
      <c r="F3500" t="s">
        <v>29372</v>
      </c>
      <c r="G3500" t="s">
        <v>29380</v>
      </c>
      <c r="H3500" t="s">
        <v>11048</v>
      </c>
      <c r="I3500" t="s">
        <v>9642</v>
      </c>
      <c r="J3500" t="s">
        <v>31914</v>
      </c>
      <c r="K3500" t="s">
        <v>38485</v>
      </c>
      <c r="M3500" t="s">
        <v>38896</v>
      </c>
      <c r="N3500" t="s">
        <v>42669</v>
      </c>
      <c r="O3500" t="s">
        <v>42670</v>
      </c>
      <c r="P3500">
        <v>0</v>
      </c>
      <c r="Q3500">
        <v>7</v>
      </c>
      <c r="R3500" t="s">
        <v>42674</v>
      </c>
      <c r="S3500" t="s">
        <v>42788</v>
      </c>
      <c r="T3500" t="s">
        <v>44442</v>
      </c>
      <c r="U3500" t="s">
        <v>47718</v>
      </c>
      <c r="W3500" t="s">
        <v>38896</v>
      </c>
      <c r="X3500" t="s">
        <v>42676</v>
      </c>
    </row>
    <row r="3501" spans="1:24">
      <c r="A3501">
        <f>HYPERLINK("https://www.philgeps.gov.ph/GEPSNONPILOT/Tender/SplashBidNoticeAbstractUI.aspx?menuIndex=3&amp;refID=7192922&amp;Result=3","7192922")</f>
        <v>0</v>
      </c>
      <c r="B3501" t="s">
        <v>1294</v>
      </c>
      <c r="C3501" t="s">
        <v>6867</v>
      </c>
      <c r="D3501" t="s">
        <v>17192</v>
      </c>
      <c r="E3501" t="s">
        <v>20341</v>
      </c>
      <c r="F3501" t="s">
        <v>29372</v>
      </c>
      <c r="G3501" t="s">
        <v>29380</v>
      </c>
      <c r="H3501" t="s">
        <v>29389</v>
      </c>
      <c r="I3501" t="s">
        <v>10408</v>
      </c>
      <c r="J3501" t="s">
        <v>30056</v>
      </c>
      <c r="K3501" t="s">
        <v>38490</v>
      </c>
      <c r="M3501" t="s">
        <v>40123</v>
      </c>
      <c r="N3501" t="s">
        <v>42669</v>
      </c>
      <c r="O3501" t="s">
        <v>42670</v>
      </c>
      <c r="P3501">
        <v>0</v>
      </c>
      <c r="Q3501">
        <v>1</v>
      </c>
      <c r="R3501" t="s">
        <v>42674</v>
      </c>
      <c r="S3501" t="s">
        <v>42788</v>
      </c>
      <c r="T3501" t="s">
        <v>44587</v>
      </c>
      <c r="U3501" t="s">
        <v>47719</v>
      </c>
      <c r="W3501" t="s">
        <v>40123</v>
      </c>
      <c r="X3501" t="s">
        <v>42676</v>
      </c>
    </row>
    <row r="3502" spans="1:24">
      <c r="A3502">
        <f>HYPERLINK("https://www.philgeps.gov.ph/GEPSNONPILOT/Tender/SplashBidNoticeAbstractUI.aspx?menuIndex=3&amp;refID=7192919&amp;Result=3","7192919")</f>
        <v>0</v>
      </c>
      <c r="B3502" t="s">
        <v>1294</v>
      </c>
      <c r="C3502" t="s">
        <v>6868</v>
      </c>
      <c r="D3502" t="s">
        <v>17192</v>
      </c>
      <c r="E3502" t="s">
        <v>20342</v>
      </c>
      <c r="F3502" t="s">
        <v>29372</v>
      </c>
      <c r="G3502" t="s">
        <v>29380</v>
      </c>
      <c r="H3502" t="s">
        <v>29389</v>
      </c>
      <c r="I3502" t="s">
        <v>10408</v>
      </c>
      <c r="J3502" t="s">
        <v>31915</v>
      </c>
      <c r="K3502" t="s">
        <v>38490</v>
      </c>
      <c r="M3502" t="s">
        <v>40123</v>
      </c>
      <c r="N3502" t="s">
        <v>42669</v>
      </c>
      <c r="O3502" t="s">
        <v>42670</v>
      </c>
      <c r="P3502">
        <v>0</v>
      </c>
      <c r="Q3502">
        <v>0</v>
      </c>
      <c r="R3502" t="s">
        <v>42674</v>
      </c>
      <c r="S3502" t="s">
        <v>42788</v>
      </c>
      <c r="T3502" t="s">
        <v>44448</v>
      </c>
      <c r="U3502" t="s">
        <v>47720</v>
      </c>
      <c r="W3502" t="s">
        <v>40123</v>
      </c>
      <c r="X3502" t="s">
        <v>42676</v>
      </c>
    </row>
    <row r="3503" spans="1:24">
      <c r="A3503">
        <f>HYPERLINK("https://www.philgeps.gov.ph/GEPSNONPILOT/Tender/SplashBidNoticeAbstractUI.aspx?menuIndex=3&amp;refID=7192856&amp;Result=3","7192856")</f>
        <v>0</v>
      </c>
      <c r="B3503" t="s">
        <v>1279</v>
      </c>
      <c r="C3503" t="s">
        <v>6869</v>
      </c>
      <c r="D3503" t="s">
        <v>17141</v>
      </c>
      <c r="E3503" t="s">
        <v>18599</v>
      </c>
      <c r="F3503" t="s">
        <v>29372</v>
      </c>
      <c r="G3503" t="s">
        <v>29380</v>
      </c>
      <c r="H3503" t="s">
        <v>11048</v>
      </c>
      <c r="I3503" t="s">
        <v>10408</v>
      </c>
      <c r="J3503" t="s">
        <v>31916</v>
      </c>
      <c r="K3503" t="s">
        <v>38490</v>
      </c>
      <c r="M3503" t="s">
        <v>40107</v>
      </c>
      <c r="N3503" t="s">
        <v>42669</v>
      </c>
      <c r="O3503" t="s">
        <v>42670</v>
      </c>
      <c r="P3503">
        <v>0</v>
      </c>
      <c r="Q3503">
        <v>2</v>
      </c>
      <c r="R3503" t="s">
        <v>42674</v>
      </c>
      <c r="S3503" t="s">
        <v>42788</v>
      </c>
      <c r="T3503" t="s">
        <v>44539</v>
      </c>
      <c r="U3503" t="s">
        <v>47721</v>
      </c>
      <c r="W3503" t="s">
        <v>40107</v>
      </c>
      <c r="X3503" t="s">
        <v>42676</v>
      </c>
    </row>
    <row r="3504" spans="1:24">
      <c r="A3504">
        <f>HYPERLINK("https://www.philgeps.gov.ph/GEPSNONPILOT/Tender/SplashBidNoticeAbstractUI.aspx?menuIndex=3&amp;refID=7192918&amp;Result=3","7192918")</f>
        <v>0</v>
      </c>
      <c r="B3504" t="s">
        <v>1297</v>
      </c>
      <c r="C3504" t="s">
        <v>6870</v>
      </c>
      <c r="D3504" t="s">
        <v>17154</v>
      </c>
      <c r="E3504" t="s">
        <v>20343</v>
      </c>
      <c r="F3504" t="s">
        <v>29372</v>
      </c>
      <c r="G3504" t="s">
        <v>29380</v>
      </c>
      <c r="H3504" t="s">
        <v>29391</v>
      </c>
      <c r="I3504" t="s">
        <v>29391</v>
      </c>
      <c r="J3504" t="s">
        <v>31917</v>
      </c>
      <c r="K3504" t="s">
        <v>38496</v>
      </c>
      <c r="M3504" t="s">
        <v>40126</v>
      </c>
      <c r="N3504" t="s">
        <v>42669</v>
      </c>
      <c r="O3504" t="s">
        <v>42670</v>
      </c>
      <c r="P3504">
        <v>0</v>
      </c>
      <c r="Q3504">
        <v>0</v>
      </c>
      <c r="R3504" t="s">
        <v>42674</v>
      </c>
      <c r="S3504" t="s">
        <v>42788</v>
      </c>
      <c r="T3504" t="s">
        <v>44415</v>
      </c>
      <c r="U3504" t="s">
        <v>47722</v>
      </c>
      <c r="W3504" t="s">
        <v>40126</v>
      </c>
      <c r="X3504" t="s">
        <v>42676</v>
      </c>
    </row>
    <row r="3505" spans="1:24">
      <c r="A3505">
        <f>HYPERLINK("https://www.philgeps.gov.ph/GEPSNONPILOT/Tender/SplashBidNoticeAbstractUI.aspx?menuIndex=3&amp;refID=7192899&amp;Result=3","7192899")</f>
        <v>0</v>
      </c>
      <c r="B3505" t="s">
        <v>1119</v>
      </c>
      <c r="C3505" t="s">
        <v>6871</v>
      </c>
      <c r="D3505" t="s">
        <v>17188</v>
      </c>
      <c r="E3505" t="s">
        <v>20344</v>
      </c>
      <c r="F3505" t="s">
        <v>29372</v>
      </c>
      <c r="G3505" t="s">
        <v>29380</v>
      </c>
      <c r="H3505" t="s">
        <v>11048</v>
      </c>
      <c r="I3505" t="s">
        <v>29409</v>
      </c>
      <c r="J3505" t="s">
        <v>30335</v>
      </c>
      <c r="K3505" t="s">
        <v>38538</v>
      </c>
      <c r="M3505" t="s">
        <v>39929</v>
      </c>
      <c r="N3505" t="s">
        <v>42669</v>
      </c>
      <c r="O3505" t="s">
        <v>42670</v>
      </c>
      <c r="P3505">
        <v>0</v>
      </c>
      <c r="Q3505">
        <v>4</v>
      </c>
      <c r="R3505" t="s">
        <v>42674</v>
      </c>
      <c r="S3505" t="s">
        <v>42788</v>
      </c>
      <c r="T3505" t="s">
        <v>44573</v>
      </c>
      <c r="U3505" t="s">
        <v>47723</v>
      </c>
      <c r="W3505" t="s">
        <v>39929</v>
      </c>
      <c r="X3505" t="s">
        <v>42676</v>
      </c>
    </row>
    <row r="3506" spans="1:24">
      <c r="A3506">
        <f>HYPERLINK("https://www.philgeps.gov.ph/GEPSNONPILOT/Tender/SplashBidNoticeAbstractUI.aspx?menuIndex=3&amp;refID=7192895&amp;Result=3","7192895")</f>
        <v>0</v>
      </c>
      <c r="B3506" t="s">
        <v>1298</v>
      </c>
      <c r="C3506" t="s">
        <v>6872</v>
      </c>
      <c r="E3506" t="s">
        <v>20345</v>
      </c>
      <c r="F3506" t="s">
        <v>29372</v>
      </c>
      <c r="G3506" t="s">
        <v>29383</v>
      </c>
      <c r="H3506" t="s">
        <v>11048</v>
      </c>
      <c r="I3506" t="s">
        <v>5383</v>
      </c>
      <c r="J3506" t="s">
        <v>30066</v>
      </c>
      <c r="K3506" t="s">
        <v>38490</v>
      </c>
      <c r="M3506" t="s">
        <v>40127</v>
      </c>
      <c r="N3506" t="s">
        <v>42669</v>
      </c>
      <c r="O3506" t="s">
        <v>42670</v>
      </c>
      <c r="P3506">
        <v>0</v>
      </c>
      <c r="Q3506">
        <v>1</v>
      </c>
      <c r="R3506" t="s">
        <v>42674</v>
      </c>
      <c r="S3506" t="s">
        <v>42788</v>
      </c>
      <c r="T3506" t="s">
        <v>44429</v>
      </c>
      <c r="U3506" t="s">
        <v>47724</v>
      </c>
      <c r="W3506" t="s">
        <v>40127</v>
      </c>
      <c r="X3506" t="s">
        <v>42676</v>
      </c>
    </row>
    <row r="3507" spans="1:24">
      <c r="A3507">
        <f>HYPERLINK("https://www.philgeps.gov.ph/GEPSNONPILOT/Tender/SplashBidNoticeAbstractUI.aspx?menuIndex=3&amp;refID=7192893&amp;Result=3","7192893")</f>
        <v>0</v>
      </c>
      <c r="B3507" t="s">
        <v>1294</v>
      </c>
      <c r="C3507" t="s">
        <v>6873</v>
      </c>
      <c r="D3507" t="s">
        <v>17192</v>
      </c>
      <c r="E3507" t="s">
        <v>20346</v>
      </c>
      <c r="F3507" t="s">
        <v>29372</v>
      </c>
      <c r="G3507" t="s">
        <v>29380</v>
      </c>
      <c r="H3507" t="s">
        <v>11048</v>
      </c>
      <c r="I3507" t="s">
        <v>8614</v>
      </c>
      <c r="J3507" t="s">
        <v>31918</v>
      </c>
      <c r="K3507" t="s">
        <v>38490</v>
      </c>
      <c r="M3507" t="s">
        <v>40123</v>
      </c>
      <c r="N3507" t="s">
        <v>42669</v>
      </c>
      <c r="O3507" t="s">
        <v>42670</v>
      </c>
      <c r="P3507">
        <v>0</v>
      </c>
      <c r="Q3507">
        <v>4</v>
      </c>
      <c r="R3507" t="s">
        <v>42674</v>
      </c>
      <c r="S3507" t="s">
        <v>42788</v>
      </c>
      <c r="T3507" t="s">
        <v>44587</v>
      </c>
      <c r="U3507" t="s">
        <v>47725</v>
      </c>
      <c r="W3507" t="s">
        <v>40123</v>
      </c>
      <c r="X3507" t="s">
        <v>42676</v>
      </c>
    </row>
    <row r="3508" spans="1:24">
      <c r="A3508">
        <f>HYPERLINK("https://www.philgeps.gov.ph/GEPSNONPILOT/Tender/SplashBidNoticeAbstractUI.aspx?menuIndex=3&amp;refID=7192892&amp;Result=3","7192892")</f>
        <v>0</v>
      </c>
      <c r="B3508" t="s">
        <v>1287</v>
      </c>
      <c r="C3508" t="s">
        <v>6874</v>
      </c>
      <c r="D3508" t="s">
        <v>17153</v>
      </c>
      <c r="E3508" t="s">
        <v>20347</v>
      </c>
      <c r="F3508" t="s">
        <v>29372</v>
      </c>
      <c r="G3508" t="s">
        <v>29380</v>
      </c>
      <c r="H3508" t="s">
        <v>11048</v>
      </c>
      <c r="I3508" t="s">
        <v>29415</v>
      </c>
      <c r="J3508" t="s">
        <v>29740</v>
      </c>
      <c r="K3508" t="s">
        <v>38485</v>
      </c>
      <c r="M3508" t="s">
        <v>40116</v>
      </c>
      <c r="N3508" t="s">
        <v>42669</v>
      </c>
      <c r="O3508" t="s">
        <v>42670</v>
      </c>
      <c r="P3508">
        <v>0</v>
      </c>
      <c r="Q3508">
        <v>5</v>
      </c>
      <c r="R3508" t="s">
        <v>42674</v>
      </c>
      <c r="S3508" t="s">
        <v>42788</v>
      </c>
      <c r="T3508" t="s">
        <v>44351</v>
      </c>
      <c r="U3508" t="s">
        <v>47726</v>
      </c>
      <c r="W3508" t="s">
        <v>40116</v>
      </c>
      <c r="X3508" t="s">
        <v>42676</v>
      </c>
    </row>
    <row r="3509" spans="1:24">
      <c r="A3509">
        <f>HYPERLINK("https://www.philgeps.gov.ph/GEPSNONPILOT/Tender/SplashBidNoticeAbstractUI.aspx?menuIndex=3&amp;refID=7192890&amp;Result=3","7192890")</f>
        <v>0</v>
      </c>
      <c r="B3509" t="s">
        <v>1299</v>
      </c>
      <c r="C3509" t="s">
        <v>6875</v>
      </c>
      <c r="D3509" t="s">
        <v>17141</v>
      </c>
      <c r="E3509" t="s">
        <v>17344</v>
      </c>
      <c r="F3509" t="s">
        <v>29372</v>
      </c>
      <c r="G3509" t="s">
        <v>29380</v>
      </c>
      <c r="H3509" t="s">
        <v>11048</v>
      </c>
      <c r="I3509" t="s">
        <v>29456</v>
      </c>
      <c r="J3509" t="s">
        <v>29587</v>
      </c>
      <c r="K3509" t="s">
        <v>38491</v>
      </c>
      <c r="M3509" t="s">
        <v>40128</v>
      </c>
      <c r="N3509" t="s">
        <v>42669</v>
      </c>
      <c r="O3509" t="s">
        <v>42670</v>
      </c>
      <c r="P3509">
        <v>0</v>
      </c>
      <c r="Q3509">
        <v>0</v>
      </c>
      <c r="R3509" t="s">
        <v>42674</v>
      </c>
      <c r="S3509" t="s">
        <v>42788</v>
      </c>
      <c r="T3509" t="s">
        <v>44470</v>
      </c>
      <c r="U3509" t="s">
        <v>47727</v>
      </c>
      <c r="W3509" t="s">
        <v>40128</v>
      </c>
      <c r="X3509" t="s">
        <v>42676</v>
      </c>
    </row>
    <row r="3510" spans="1:24">
      <c r="A3510">
        <f>HYPERLINK("https://www.philgeps.gov.ph/GEPSNONPILOT/Tender/SplashBidNoticeAbstractUI.aspx?menuIndex=3&amp;refID=7192920&amp;Result=3","7192920")</f>
        <v>0</v>
      </c>
      <c r="B3510" t="s">
        <v>1271</v>
      </c>
      <c r="C3510" t="s">
        <v>6876</v>
      </c>
      <c r="D3510" t="s">
        <v>17159</v>
      </c>
      <c r="E3510" t="s">
        <v>20348</v>
      </c>
      <c r="F3510" t="s">
        <v>29372</v>
      </c>
      <c r="G3510" t="s">
        <v>29380</v>
      </c>
      <c r="H3510" t="s">
        <v>29389</v>
      </c>
      <c r="I3510" t="s">
        <v>10408</v>
      </c>
      <c r="J3510" t="s">
        <v>31919</v>
      </c>
      <c r="K3510" t="s">
        <v>38495</v>
      </c>
      <c r="M3510" t="s">
        <v>40098</v>
      </c>
      <c r="N3510" t="s">
        <v>42669</v>
      </c>
      <c r="O3510" t="s">
        <v>42670</v>
      </c>
      <c r="P3510">
        <v>0</v>
      </c>
      <c r="Q3510">
        <v>0</v>
      </c>
      <c r="R3510" t="s">
        <v>42674</v>
      </c>
      <c r="S3510" t="s">
        <v>42788</v>
      </c>
      <c r="T3510" t="s">
        <v>44360</v>
      </c>
      <c r="U3510" t="s">
        <v>47728</v>
      </c>
      <c r="W3510" t="s">
        <v>40098</v>
      </c>
      <c r="X3510" t="s">
        <v>42676</v>
      </c>
    </row>
    <row r="3511" spans="1:24">
      <c r="A3511">
        <f>HYPERLINK("https://www.philgeps.gov.ph/GEPSNONPILOT/Tender/SplashBidNoticeAbstractUI.aspx?menuIndex=3&amp;refID=7192937&amp;Result=3","7192937")</f>
        <v>0</v>
      </c>
      <c r="B3511" t="s">
        <v>1288</v>
      </c>
      <c r="C3511" t="s">
        <v>6877</v>
      </c>
      <c r="D3511" t="s">
        <v>17225</v>
      </c>
      <c r="E3511" t="s">
        <v>20349</v>
      </c>
      <c r="F3511" t="s">
        <v>29372</v>
      </c>
      <c r="G3511" t="s">
        <v>29380</v>
      </c>
      <c r="H3511" t="s">
        <v>11048</v>
      </c>
      <c r="I3511" t="s">
        <v>4709</v>
      </c>
      <c r="J3511" t="s">
        <v>31920</v>
      </c>
      <c r="K3511" t="s">
        <v>38488</v>
      </c>
      <c r="M3511" t="s">
        <v>40117</v>
      </c>
      <c r="N3511" t="s">
        <v>42669</v>
      </c>
      <c r="O3511" t="s">
        <v>42670</v>
      </c>
      <c r="P3511">
        <v>0</v>
      </c>
      <c r="Q3511">
        <v>0</v>
      </c>
      <c r="R3511" t="s">
        <v>42674</v>
      </c>
      <c r="S3511" t="s">
        <v>42788</v>
      </c>
      <c r="T3511" t="s">
        <v>44542</v>
      </c>
      <c r="U3511" t="s">
        <v>47707</v>
      </c>
      <c r="V3511" t="s">
        <v>56680</v>
      </c>
      <c r="W3511" t="s">
        <v>40117</v>
      </c>
      <c r="X3511" t="s">
        <v>42676</v>
      </c>
    </row>
    <row r="3512" spans="1:24">
      <c r="A3512">
        <f>HYPERLINK("https://www.philgeps.gov.ph/GEPSNONPILOT/Tender/SplashBidNoticeAbstractUI.aspx?menuIndex=3&amp;refID=7192957&amp;Result=3","7192957")</f>
        <v>0</v>
      </c>
      <c r="B3512" t="s">
        <v>1288</v>
      </c>
      <c r="C3512" t="s">
        <v>6878</v>
      </c>
      <c r="D3512" t="s">
        <v>17225</v>
      </c>
      <c r="E3512" t="s">
        <v>20350</v>
      </c>
      <c r="F3512" t="s">
        <v>29372</v>
      </c>
      <c r="G3512" t="s">
        <v>29380</v>
      </c>
      <c r="H3512" t="s">
        <v>11048</v>
      </c>
      <c r="I3512" t="s">
        <v>4709</v>
      </c>
      <c r="J3512" t="s">
        <v>31921</v>
      </c>
      <c r="K3512" t="s">
        <v>38488</v>
      </c>
      <c r="M3512" t="s">
        <v>40117</v>
      </c>
      <c r="N3512" t="s">
        <v>42669</v>
      </c>
      <c r="O3512" t="s">
        <v>42670</v>
      </c>
      <c r="P3512">
        <v>0</v>
      </c>
      <c r="Q3512">
        <v>0</v>
      </c>
      <c r="R3512" t="s">
        <v>42674</v>
      </c>
      <c r="S3512" t="s">
        <v>42788</v>
      </c>
      <c r="T3512" t="s">
        <v>44542</v>
      </c>
      <c r="U3512" t="s">
        <v>47729</v>
      </c>
      <c r="V3512" t="s">
        <v>56680</v>
      </c>
      <c r="W3512" t="s">
        <v>40117</v>
      </c>
      <c r="X3512" t="s">
        <v>42676</v>
      </c>
    </row>
    <row r="3513" spans="1:24">
      <c r="A3513">
        <f>HYPERLINK("https://www.philgeps.gov.ph/GEPSNONPILOT/Tender/SplashBidNoticeAbstractUI.aspx?menuIndex=3&amp;refID=7192855&amp;Result=3","7192855")</f>
        <v>0</v>
      </c>
      <c r="B3513" t="s">
        <v>1290</v>
      </c>
      <c r="C3513" t="s">
        <v>6879</v>
      </c>
      <c r="D3513" t="s">
        <v>17204</v>
      </c>
      <c r="E3513" t="s">
        <v>19862</v>
      </c>
      <c r="F3513" t="s">
        <v>29372</v>
      </c>
      <c r="G3513" t="s">
        <v>29379</v>
      </c>
      <c r="H3513" t="s">
        <v>11048</v>
      </c>
      <c r="I3513" t="s">
        <v>5383</v>
      </c>
      <c r="J3513" t="s">
        <v>31922</v>
      </c>
      <c r="K3513" t="s">
        <v>38490</v>
      </c>
      <c r="M3513" t="s">
        <v>40119</v>
      </c>
      <c r="N3513" t="s">
        <v>42669</v>
      </c>
      <c r="O3513" t="s">
        <v>42670</v>
      </c>
      <c r="P3513">
        <v>0</v>
      </c>
      <c r="Q3513">
        <v>1</v>
      </c>
      <c r="R3513" t="s">
        <v>42674</v>
      </c>
      <c r="S3513" t="s">
        <v>42788</v>
      </c>
      <c r="T3513" t="s">
        <v>44417</v>
      </c>
      <c r="U3513" t="s">
        <v>47697</v>
      </c>
      <c r="W3513" t="s">
        <v>40119</v>
      </c>
      <c r="X3513" t="s">
        <v>42676</v>
      </c>
    </row>
    <row r="3514" spans="1:24">
      <c r="A3514">
        <f>HYPERLINK("https://www.philgeps.gov.ph/GEPSNONPILOT/Tender/SplashBidNoticeAbstractUI.aspx?menuIndex=3&amp;refID=7192954&amp;Result=3","7192954")</f>
        <v>0</v>
      </c>
      <c r="B3514" t="s">
        <v>1288</v>
      </c>
      <c r="C3514" t="s">
        <v>6880</v>
      </c>
      <c r="D3514" t="s">
        <v>17225</v>
      </c>
      <c r="E3514" t="s">
        <v>20351</v>
      </c>
      <c r="F3514" t="s">
        <v>29372</v>
      </c>
      <c r="G3514" t="s">
        <v>29380</v>
      </c>
      <c r="H3514" t="s">
        <v>11048</v>
      </c>
      <c r="I3514" t="s">
        <v>4709</v>
      </c>
      <c r="J3514" t="s">
        <v>31923</v>
      </c>
      <c r="K3514" t="s">
        <v>38488</v>
      </c>
      <c r="M3514" t="s">
        <v>40117</v>
      </c>
      <c r="N3514" t="s">
        <v>42669</v>
      </c>
      <c r="O3514" t="s">
        <v>42670</v>
      </c>
      <c r="P3514">
        <v>0</v>
      </c>
      <c r="Q3514">
        <v>0</v>
      </c>
      <c r="R3514" t="s">
        <v>42674</v>
      </c>
      <c r="S3514" t="s">
        <v>42788</v>
      </c>
      <c r="T3514" t="s">
        <v>44542</v>
      </c>
      <c r="U3514" t="s">
        <v>47729</v>
      </c>
      <c r="V3514" t="s">
        <v>56680</v>
      </c>
      <c r="W3514" t="s">
        <v>40117</v>
      </c>
      <c r="X3514" t="s">
        <v>42676</v>
      </c>
    </row>
    <row r="3515" spans="1:24">
      <c r="A3515">
        <f>HYPERLINK("https://www.philgeps.gov.ph/GEPSNONPILOT/Tender/SplashBidNoticeAbstractUI.aspx?menuIndex=3&amp;refID=7192952&amp;Result=3","7192952")</f>
        <v>0</v>
      </c>
      <c r="B3515" t="s">
        <v>597</v>
      </c>
      <c r="C3515" t="s">
        <v>6881</v>
      </c>
      <c r="D3515" t="s">
        <v>17179</v>
      </c>
      <c r="E3515" t="s">
        <v>20352</v>
      </c>
      <c r="F3515" t="s">
        <v>29372</v>
      </c>
      <c r="G3515" t="s">
        <v>29380</v>
      </c>
      <c r="H3515" t="s">
        <v>29389</v>
      </c>
      <c r="I3515" t="s">
        <v>10408</v>
      </c>
      <c r="J3515" t="s">
        <v>30161</v>
      </c>
      <c r="K3515" t="s">
        <v>38522</v>
      </c>
      <c r="M3515" t="s">
        <v>39368</v>
      </c>
      <c r="N3515" t="s">
        <v>42669</v>
      </c>
      <c r="O3515" t="s">
        <v>42670</v>
      </c>
      <c r="P3515">
        <v>0</v>
      </c>
      <c r="Q3515">
        <v>0</v>
      </c>
      <c r="R3515" t="s">
        <v>42674</v>
      </c>
      <c r="S3515" t="s">
        <v>42788</v>
      </c>
      <c r="T3515" t="s">
        <v>44542</v>
      </c>
      <c r="U3515" t="s">
        <v>47730</v>
      </c>
      <c r="W3515" t="s">
        <v>39368</v>
      </c>
      <c r="X3515" t="s">
        <v>42676</v>
      </c>
    </row>
    <row r="3516" spans="1:24">
      <c r="A3516">
        <f>HYPERLINK("https://www.philgeps.gov.ph/GEPSNONPILOT/Tender/SplashBidNoticeAbstractUI.aspx?menuIndex=3&amp;refID=7192949&amp;Result=3","7192949")</f>
        <v>0</v>
      </c>
      <c r="B3516" t="s">
        <v>956</v>
      </c>
      <c r="C3516" t="s">
        <v>6882</v>
      </c>
      <c r="D3516" t="s">
        <v>17141</v>
      </c>
      <c r="E3516" t="s">
        <v>20353</v>
      </c>
      <c r="F3516" t="s">
        <v>29372</v>
      </c>
      <c r="G3516" t="s">
        <v>29380</v>
      </c>
      <c r="H3516" t="s">
        <v>29389</v>
      </c>
      <c r="I3516" t="s">
        <v>10408</v>
      </c>
      <c r="J3516" t="s">
        <v>31924</v>
      </c>
      <c r="K3516" t="s">
        <v>38496</v>
      </c>
      <c r="M3516" t="s">
        <v>39938</v>
      </c>
      <c r="N3516" t="s">
        <v>42669</v>
      </c>
      <c r="O3516" t="s">
        <v>42670</v>
      </c>
      <c r="P3516">
        <v>0</v>
      </c>
      <c r="Q3516">
        <v>2</v>
      </c>
      <c r="R3516" t="s">
        <v>42674</v>
      </c>
      <c r="S3516" t="s">
        <v>42788</v>
      </c>
      <c r="T3516" t="s">
        <v>44383</v>
      </c>
      <c r="U3516" t="s">
        <v>47731</v>
      </c>
      <c r="W3516" t="s">
        <v>39938</v>
      </c>
      <c r="X3516" t="s">
        <v>42676</v>
      </c>
    </row>
    <row r="3517" spans="1:24">
      <c r="A3517">
        <f>HYPERLINK("https://www.philgeps.gov.ph/GEPSNONPILOT/Tender/SplashBidNoticeAbstractUI.aspx?menuIndex=3&amp;refID=7192945&amp;Result=3","7192945")</f>
        <v>0</v>
      </c>
      <c r="B3517" t="s">
        <v>1297</v>
      </c>
      <c r="C3517" t="s">
        <v>6883</v>
      </c>
      <c r="D3517" t="s">
        <v>17154</v>
      </c>
      <c r="E3517" t="s">
        <v>20354</v>
      </c>
      <c r="F3517" t="s">
        <v>29372</v>
      </c>
      <c r="G3517" t="s">
        <v>29380</v>
      </c>
      <c r="H3517" t="s">
        <v>29391</v>
      </c>
      <c r="I3517" t="s">
        <v>29391</v>
      </c>
      <c r="J3517" t="s">
        <v>31925</v>
      </c>
      <c r="K3517" t="s">
        <v>38496</v>
      </c>
      <c r="M3517" t="s">
        <v>40126</v>
      </c>
      <c r="N3517" t="s">
        <v>42669</v>
      </c>
      <c r="O3517" t="s">
        <v>42670</v>
      </c>
      <c r="P3517">
        <v>0</v>
      </c>
      <c r="Q3517">
        <v>2</v>
      </c>
      <c r="R3517" t="s">
        <v>42674</v>
      </c>
      <c r="S3517" t="s">
        <v>42788</v>
      </c>
      <c r="T3517" t="s">
        <v>44415</v>
      </c>
      <c r="U3517" t="s">
        <v>47732</v>
      </c>
      <c r="W3517" t="s">
        <v>40126</v>
      </c>
      <c r="X3517" t="s">
        <v>42676</v>
      </c>
    </row>
    <row r="3518" spans="1:24">
      <c r="A3518">
        <f>HYPERLINK("https://www.philgeps.gov.ph/GEPSNONPILOT/Tender/SplashBidNoticeAbstractUI.aspx?menuIndex=3&amp;refID=7192944&amp;Result=3","7192944")</f>
        <v>0</v>
      </c>
      <c r="B3518" t="s">
        <v>1271</v>
      </c>
      <c r="C3518" t="s">
        <v>6884</v>
      </c>
      <c r="D3518" t="s">
        <v>17159</v>
      </c>
      <c r="E3518" t="s">
        <v>20355</v>
      </c>
      <c r="F3518" t="s">
        <v>29372</v>
      </c>
      <c r="G3518" t="s">
        <v>29380</v>
      </c>
      <c r="H3518" t="s">
        <v>29389</v>
      </c>
      <c r="I3518" t="s">
        <v>10408</v>
      </c>
      <c r="J3518" t="s">
        <v>31926</v>
      </c>
      <c r="K3518" t="s">
        <v>38496</v>
      </c>
      <c r="M3518" t="s">
        <v>40098</v>
      </c>
      <c r="N3518" t="s">
        <v>42669</v>
      </c>
      <c r="O3518" t="s">
        <v>42670</v>
      </c>
      <c r="P3518">
        <v>0</v>
      </c>
      <c r="Q3518">
        <v>0</v>
      </c>
      <c r="R3518" t="s">
        <v>42674</v>
      </c>
      <c r="S3518" t="s">
        <v>42788</v>
      </c>
      <c r="T3518" t="s">
        <v>44633</v>
      </c>
      <c r="U3518" t="s">
        <v>47728</v>
      </c>
      <c r="W3518" t="s">
        <v>40098</v>
      </c>
      <c r="X3518" t="s">
        <v>42676</v>
      </c>
    </row>
    <row r="3519" spans="1:24">
      <c r="A3519">
        <f>HYPERLINK("https://www.philgeps.gov.ph/GEPSNONPILOT/Tender/SplashBidNoticeAbstractUI.aspx?menuIndex=3&amp;refID=7192943&amp;Result=3","7192943")</f>
        <v>0</v>
      </c>
      <c r="B3519" t="s">
        <v>468</v>
      </c>
      <c r="C3519" t="s">
        <v>6885</v>
      </c>
      <c r="D3519" t="s">
        <v>17141</v>
      </c>
      <c r="E3519" t="s">
        <v>20356</v>
      </c>
      <c r="F3519" t="s">
        <v>29372</v>
      </c>
      <c r="G3519" t="s">
        <v>29379</v>
      </c>
      <c r="H3519" t="s">
        <v>11048</v>
      </c>
      <c r="I3519" t="s">
        <v>7828</v>
      </c>
      <c r="J3519" t="s">
        <v>31927</v>
      </c>
      <c r="K3519" t="s">
        <v>38488</v>
      </c>
      <c r="M3519" t="s">
        <v>39232</v>
      </c>
      <c r="N3519" t="s">
        <v>42669</v>
      </c>
      <c r="O3519" t="s">
        <v>42670</v>
      </c>
      <c r="P3519">
        <v>0</v>
      </c>
      <c r="Q3519">
        <v>3</v>
      </c>
      <c r="R3519" t="s">
        <v>42674</v>
      </c>
      <c r="S3519" t="s">
        <v>42788</v>
      </c>
      <c r="T3519" t="s">
        <v>44432</v>
      </c>
      <c r="U3519" t="s">
        <v>47733</v>
      </c>
      <c r="W3519" t="s">
        <v>39232</v>
      </c>
      <c r="X3519" t="s">
        <v>42676</v>
      </c>
    </row>
    <row r="3520" spans="1:24">
      <c r="A3520">
        <f>HYPERLINK("https://www.philgeps.gov.ph/GEPSNONPILOT/Tender/SplashBidNoticeAbstractUI.aspx?menuIndex=3&amp;refID=7192940&amp;Result=3","7192940")</f>
        <v>0</v>
      </c>
      <c r="B3520" t="s">
        <v>173</v>
      </c>
      <c r="C3520" t="s">
        <v>6886</v>
      </c>
      <c r="E3520" t="s">
        <v>20357</v>
      </c>
      <c r="F3520" t="s">
        <v>29372</v>
      </c>
      <c r="G3520" t="s">
        <v>29379</v>
      </c>
      <c r="H3520" t="s">
        <v>11048</v>
      </c>
      <c r="I3520" t="s">
        <v>9642</v>
      </c>
      <c r="J3520" t="s">
        <v>31535</v>
      </c>
      <c r="K3520" t="s">
        <v>38490</v>
      </c>
      <c r="M3520" t="s">
        <v>40129</v>
      </c>
      <c r="N3520" t="s">
        <v>42669</v>
      </c>
      <c r="O3520" t="s">
        <v>42670</v>
      </c>
      <c r="P3520">
        <v>0</v>
      </c>
      <c r="Q3520">
        <v>12</v>
      </c>
      <c r="R3520" t="s">
        <v>42674</v>
      </c>
      <c r="S3520" t="s">
        <v>42788</v>
      </c>
      <c r="T3520" t="s">
        <v>44468</v>
      </c>
      <c r="U3520" t="s">
        <v>47734</v>
      </c>
      <c r="W3520" t="s">
        <v>58003</v>
      </c>
      <c r="X3520" t="s">
        <v>42676</v>
      </c>
    </row>
    <row r="3521" spans="1:24">
      <c r="A3521">
        <f>HYPERLINK("https://www.philgeps.gov.ph/GEPSNONPILOT/Tender/SplashBidNoticeAbstractUI.aspx?menuIndex=3&amp;refID=7192868&amp;Result=3","7192868")</f>
        <v>0</v>
      </c>
      <c r="B3521" t="s">
        <v>1279</v>
      </c>
      <c r="C3521" t="s">
        <v>6887</v>
      </c>
      <c r="D3521" t="s">
        <v>17141</v>
      </c>
      <c r="E3521" t="s">
        <v>18734</v>
      </c>
      <c r="F3521" t="s">
        <v>29372</v>
      </c>
      <c r="G3521" t="s">
        <v>29380</v>
      </c>
      <c r="H3521" t="s">
        <v>11048</v>
      </c>
      <c r="I3521" t="s">
        <v>8614</v>
      </c>
      <c r="J3521" t="s">
        <v>31928</v>
      </c>
      <c r="K3521" t="s">
        <v>38490</v>
      </c>
      <c r="M3521" t="s">
        <v>40107</v>
      </c>
      <c r="N3521" t="s">
        <v>42669</v>
      </c>
      <c r="O3521" t="s">
        <v>42670</v>
      </c>
      <c r="P3521">
        <v>0</v>
      </c>
      <c r="Q3521">
        <v>9</v>
      </c>
      <c r="R3521" t="s">
        <v>42674</v>
      </c>
      <c r="S3521" t="s">
        <v>42788</v>
      </c>
      <c r="T3521" t="s">
        <v>44480</v>
      </c>
      <c r="U3521" t="s">
        <v>47735</v>
      </c>
      <c r="W3521" t="s">
        <v>40107</v>
      </c>
      <c r="X3521" t="s">
        <v>42676</v>
      </c>
    </row>
    <row r="3522" spans="1:24">
      <c r="A3522">
        <f>HYPERLINK("https://www.philgeps.gov.ph/GEPSNONPILOT/Tender/SplashBidNoticeAbstractUI.aspx?menuIndex=3&amp;refID=7192967&amp;Result=3","7192967")</f>
        <v>0</v>
      </c>
      <c r="B3522" t="s">
        <v>1300</v>
      </c>
      <c r="C3522" t="s">
        <v>6888</v>
      </c>
      <c r="D3522" t="s">
        <v>17141</v>
      </c>
      <c r="E3522" t="s">
        <v>20358</v>
      </c>
      <c r="F3522" t="s">
        <v>29372</v>
      </c>
      <c r="G3522" t="s">
        <v>29379</v>
      </c>
      <c r="H3522" t="s">
        <v>11048</v>
      </c>
      <c r="I3522" t="s">
        <v>4486</v>
      </c>
      <c r="J3522" t="s">
        <v>30265</v>
      </c>
      <c r="K3522" t="s">
        <v>38490</v>
      </c>
      <c r="M3522" t="s">
        <v>40130</v>
      </c>
      <c r="N3522" t="s">
        <v>42669</v>
      </c>
      <c r="O3522" t="s">
        <v>42670</v>
      </c>
      <c r="P3522">
        <v>0</v>
      </c>
      <c r="Q3522">
        <v>2</v>
      </c>
      <c r="R3522" t="s">
        <v>42674</v>
      </c>
      <c r="S3522" t="s">
        <v>42788</v>
      </c>
      <c r="T3522" t="s">
        <v>44417</v>
      </c>
      <c r="U3522" t="s">
        <v>47736</v>
      </c>
      <c r="W3522" t="s">
        <v>40130</v>
      </c>
      <c r="X3522" t="s">
        <v>42676</v>
      </c>
    </row>
    <row r="3523" spans="1:24">
      <c r="A3523">
        <f>HYPERLINK("https://www.philgeps.gov.ph/GEPSNONPILOT/Tender/SplashBidNoticeAbstractUI.aspx?menuIndex=3&amp;refID=7192966&amp;Result=3","7192966")</f>
        <v>0</v>
      </c>
      <c r="B3523" t="s">
        <v>166</v>
      </c>
      <c r="C3523" t="s">
        <v>6889</v>
      </c>
      <c r="D3523" t="s">
        <v>17163</v>
      </c>
      <c r="E3523" t="s">
        <v>17533</v>
      </c>
      <c r="F3523" t="s">
        <v>29372</v>
      </c>
      <c r="G3523" t="s">
        <v>29379</v>
      </c>
      <c r="H3523" t="s">
        <v>29390</v>
      </c>
      <c r="I3523" t="s">
        <v>29409</v>
      </c>
      <c r="J3523" t="s">
        <v>29767</v>
      </c>
      <c r="K3523" t="s">
        <v>38528</v>
      </c>
      <c r="M3523" t="s">
        <v>38923</v>
      </c>
      <c r="N3523" t="s">
        <v>42669</v>
      </c>
      <c r="O3523" t="s">
        <v>42670</v>
      </c>
      <c r="P3523">
        <v>0</v>
      </c>
      <c r="Q3523">
        <v>2</v>
      </c>
      <c r="R3523" t="s">
        <v>42674</v>
      </c>
      <c r="S3523" t="s">
        <v>42788</v>
      </c>
      <c r="T3523" t="s">
        <v>44430</v>
      </c>
      <c r="U3523" t="s">
        <v>47737</v>
      </c>
      <c r="W3523" t="s">
        <v>38923</v>
      </c>
      <c r="X3523" t="s">
        <v>42676</v>
      </c>
    </row>
    <row r="3524" spans="1:24">
      <c r="A3524">
        <f>HYPERLINK("https://www.philgeps.gov.ph/GEPSNONPILOT/Tender/SplashBidNoticeAbstractUI.aspx?menuIndex=3&amp;refID=7192965&amp;Result=3","7192965")</f>
        <v>0</v>
      </c>
      <c r="B3524" t="s">
        <v>1301</v>
      </c>
      <c r="C3524" t="s">
        <v>6890</v>
      </c>
      <c r="D3524" t="s">
        <v>17170</v>
      </c>
      <c r="E3524" t="s">
        <v>20359</v>
      </c>
      <c r="F3524" t="s">
        <v>29373</v>
      </c>
      <c r="G3524" t="s">
        <v>29380</v>
      </c>
      <c r="H3524" t="s">
        <v>11048</v>
      </c>
      <c r="I3524" t="s">
        <v>4709</v>
      </c>
      <c r="J3524" t="s">
        <v>31929</v>
      </c>
      <c r="K3524" t="s">
        <v>38496</v>
      </c>
      <c r="M3524" t="s">
        <v>40131</v>
      </c>
      <c r="N3524" t="s">
        <v>42669</v>
      </c>
      <c r="O3524" t="s">
        <v>42670</v>
      </c>
      <c r="P3524">
        <v>0</v>
      </c>
      <c r="Q3524">
        <v>0</v>
      </c>
      <c r="R3524" t="s">
        <v>42674</v>
      </c>
      <c r="S3524" t="s">
        <v>42788</v>
      </c>
      <c r="T3524" t="s">
        <v>44591</v>
      </c>
      <c r="U3524" t="s">
        <v>47738</v>
      </c>
      <c r="V3524" t="s">
        <v>56681</v>
      </c>
      <c r="W3524" t="s">
        <v>40131</v>
      </c>
      <c r="X3524" t="s">
        <v>42676</v>
      </c>
    </row>
    <row r="3525" spans="1:24">
      <c r="A3525">
        <f>HYPERLINK("https://www.philgeps.gov.ph/GEPSNONPILOT/Tender/SplashBidNoticeAbstractUI.aspx?menuIndex=3&amp;refID=7192963&amp;Result=3","7192963")</f>
        <v>0</v>
      </c>
      <c r="B3525" t="s">
        <v>1288</v>
      </c>
      <c r="C3525" t="s">
        <v>6891</v>
      </c>
      <c r="D3525" t="s">
        <v>17225</v>
      </c>
      <c r="E3525" t="s">
        <v>20360</v>
      </c>
      <c r="F3525" t="s">
        <v>29372</v>
      </c>
      <c r="G3525" t="s">
        <v>29380</v>
      </c>
      <c r="H3525" t="s">
        <v>11048</v>
      </c>
      <c r="I3525" t="s">
        <v>4709</v>
      </c>
      <c r="J3525" t="s">
        <v>31930</v>
      </c>
      <c r="K3525" t="s">
        <v>38488</v>
      </c>
      <c r="M3525" t="s">
        <v>40117</v>
      </c>
      <c r="N3525" t="s">
        <v>42669</v>
      </c>
      <c r="O3525" t="s">
        <v>42670</v>
      </c>
      <c r="P3525">
        <v>0</v>
      </c>
      <c r="Q3525">
        <v>0</v>
      </c>
      <c r="R3525" t="s">
        <v>42674</v>
      </c>
      <c r="S3525" t="s">
        <v>42788</v>
      </c>
      <c r="T3525" t="s">
        <v>44542</v>
      </c>
      <c r="U3525" t="s">
        <v>47729</v>
      </c>
      <c r="V3525" t="s">
        <v>56680</v>
      </c>
      <c r="W3525" t="s">
        <v>40117</v>
      </c>
      <c r="X3525" t="s">
        <v>42676</v>
      </c>
    </row>
    <row r="3526" spans="1:24">
      <c r="A3526">
        <f>HYPERLINK("https://www.philgeps.gov.ph/GEPSNONPILOT/Tender/SplashBidNoticeAbstractUI.aspx?menuIndex=3&amp;refID=7192869&amp;Result=3","7192869")</f>
        <v>0</v>
      </c>
      <c r="B3526" t="s">
        <v>443</v>
      </c>
      <c r="C3526" t="s">
        <v>6892</v>
      </c>
      <c r="D3526" t="s">
        <v>17171</v>
      </c>
      <c r="E3526" t="s">
        <v>20361</v>
      </c>
      <c r="F3526" t="s">
        <v>29372</v>
      </c>
      <c r="G3526" t="s">
        <v>29379</v>
      </c>
      <c r="H3526" t="s">
        <v>29390</v>
      </c>
      <c r="I3526" t="s">
        <v>29396</v>
      </c>
      <c r="J3526" t="s">
        <v>31931</v>
      </c>
      <c r="K3526" t="s">
        <v>38486</v>
      </c>
      <c r="M3526" t="s">
        <v>39207</v>
      </c>
      <c r="N3526" t="s">
        <v>42669</v>
      </c>
      <c r="O3526" t="s">
        <v>42670</v>
      </c>
      <c r="P3526">
        <v>0</v>
      </c>
      <c r="Q3526">
        <v>0</v>
      </c>
      <c r="R3526" t="s">
        <v>42674</v>
      </c>
      <c r="S3526" t="s">
        <v>42788</v>
      </c>
      <c r="T3526" t="s">
        <v>44417</v>
      </c>
      <c r="U3526" t="s">
        <v>47739</v>
      </c>
      <c r="W3526" t="s">
        <v>40136</v>
      </c>
      <c r="X3526" t="s">
        <v>42676</v>
      </c>
    </row>
    <row r="3527" spans="1:24">
      <c r="A3527">
        <f>HYPERLINK("https://www.philgeps.gov.ph/GEPSNONPILOT/Tender/SplashBidNoticeAbstractUI.aspx?menuIndex=3&amp;refID=7192960&amp;Result=3","7192960")</f>
        <v>0</v>
      </c>
      <c r="B3527" t="s">
        <v>1302</v>
      </c>
      <c r="C3527" t="s">
        <v>6893</v>
      </c>
      <c r="D3527" t="s">
        <v>17141</v>
      </c>
      <c r="E3527" t="s">
        <v>20362</v>
      </c>
      <c r="F3527" t="s">
        <v>29372</v>
      </c>
      <c r="G3527" t="s">
        <v>29379</v>
      </c>
      <c r="H3527" t="s">
        <v>11048</v>
      </c>
      <c r="I3527" t="s">
        <v>29414</v>
      </c>
      <c r="J3527" t="s">
        <v>31932</v>
      </c>
      <c r="K3527" t="s">
        <v>38490</v>
      </c>
      <c r="M3527" t="s">
        <v>40132</v>
      </c>
      <c r="N3527" t="s">
        <v>42669</v>
      </c>
      <c r="O3527" t="s">
        <v>42670</v>
      </c>
      <c r="P3527">
        <v>0</v>
      </c>
      <c r="Q3527">
        <v>2</v>
      </c>
      <c r="R3527" t="s">
        <v>42674</v>
      </c>
      <c r="S3527" t="s">
        <v>42788</v>
      </c>
      <c r="T3527" t="s">
        <v>44526</v>
      </c>
      <c r="U3527" t="s">
        <v>47740</v>
      </c>
      <c r="V3527" t="s">
        <v>56682</v>
      </c>
      <c r="W3527" t="s">
        <v>40132</v>
      </c>
      <c r="X3527" t="s">
        <v>42676</v>
      </c>
    </row>
    <row r="3528" spans="1:24">
      <c r="A3528">
        <f>HYPERLINK("https://www.philgeps.gov.ph/GEPSNONPILOT/Tender/SplashBidNoticeAbstractUI.aspx?menuIndex=3&amp;refID=7192959&amp;Result=3","7192959")</f>
        <v>0</v>
      </c>
      <c r="B3528" t="s">
        <v>1288</v>
      </c>
      <c r="C3528" t="s">
        <v>6894</v>
      </c>
      <c r="D3528" t="s">
        <v>17225</v>
      </c>
      <c r="E3528" t="s">
        <v>20363</v>
      </c>
      <c r="F3528" t="s">
        <v>29372</v>
      </c>
      <c r="G3528" t="s">
        <v>29380</v>
      </c>
      <c r="H3528" t="s">
        <v>29389</v>
      </c>
      <c r="I3528" t="s">
        <v>10408</v>
      </c>
      <c r="J3528" t="s">
        <v>31933</v>
      </c>
      <c r="K3528" t="s">
        <v>38496</v>
      </c>
      <c r="M3528" t="s">
        <v>40117</v>
      </c>
      <c r="N3528" t="s">
        <v>42669</v>
      </c>
      <c r="O3528" t="s">
        <v>42670</v>
      </c>
      <c r="P3528">
        <v>0</v>
      </c>
      <c r="Q3528">
        <v>0</v>
      </c>
      <c r="R3528" t="s">
        <v>42674</v>
      </c>
      <c r="S3528" t="s">
        <v>42788</v>
      </c>
      <c r="T3528" t="s">
        <v>44542</v>
      </c>
      <c r="U3528" t="s">
        <v>47708</v>
      </c>
      <c r="V3528" t="s">
        <v>56680</v>
      </c>
      <c r="W3528" t="s">
        <v>40117</v>
      </c>
      <c r="X3528" t="s">
        <v>42676</v>
      </c>
    </row>
    <row r="3529" spans="1:24">
      <c r="A3529">
        <f>HYPERLINK("https://www.philgeps.gov.ph/GEPSNONPILOT/Tender/SplashBidNoticeAbstractUI.aspx?menuIndex=3&amp;refID=7192948&amp;Result=3","7192948")</f>
        <v>0</v>
      </c>
      <c r="B3529" t="s">
        <v>1303</v>
      </c>
      <c r="C3529" t="s">
        <v>6895</v>
      </c>
      <c r="D3529" t="s">
        <v>17187</v>
      </c>
      <c r="E3529" t="s">
        <v>20364</v>
      </c>
      <c r="F3529" t="s">
        <v>29372</v>
      </c>
      <c r="G3529" t="s">
        <v>29379</v>
      </c>
      <c r="H3529" t="s">
        <v>11048</v>
      </c>
      <c r="I3529" t="s">
        <v>5383</v>
      </c>
      <c r="J3529" t="s">
        <v>31680</v>
      </c>
      <c r="K3529" t="s">
        <v>38491</v>
      </c>
      <c r="M3529" t="s">
        <v>40133</v>
      </c>
      <c r="N3529" t="s">
        <v>42669</v>
      </c>
      <c r="O3529" t="s">
        <v>42670</v>
      </c>
      <c r="P3529">
        <v>0</v>
      </c>
      <c r="Q3529">
        <v>4</v>
      </c>
      <c r="R3529" t="s">
        <v>42674</v>
      </c>
      <c r="S3529" t="s">
        <v>42788</v>
      </c>
      <c r="T3529" t="s">
        <v>44430</v>
      </c>
      <c r="U3529" t="s">
        <v>47741</v>
      </c>
      <c r="W3529" t="s">
        <v>40133</v>
      </c>
      <c r="X3529" t="s">
        <v>42676</v>
      </c>
    </row>
    <row r="3530" spans="1:24">
      <c r="A3530">
        <f>HYPERLINK("https://www.philgeps.gov.ph/GEPSNONPILOT/Tender/SplashBidNoticeAbstractUI.aspx?menuIndex=3&amp;refID=7192962&amp;Result=3","7192962")</f>
        <v>0</v>
      </c>
      <c r="B3530" t="s">
        <v>454</v>
      </c>
      <c r="C3530" t="s">
        <v>6896</v>
      </c>
      <c r="D3530" t="s">
        <v>17183</v>
      </c>
      <c r="E3530" t="s">
        <v>20365</v>
      </c>
      <c r="F3530" t="s">
        <v>29372</v>
      </c>
      <c r="G3530" t="s">
        <v>29380</v>
      </c>
      <c r="H3530" t="s">
        <v>11048</v>
      </c>
      <c r="I3530" t="s">
        <v>29409</v>
      </c>
      <c r="J3530" t="s">
        <v>31934</v>
      </c>
      <c r="K3530" t="s">
        <v>38518</v>
      </c>
      <c r="M3530" t="s">
        <v>39218</v>
      </c>
      <c r="N3530" t="s">
        <v>42669</v>
      </c>
      <c r="O3530" t="s">
        <v>42670</v>
      </c>
      <c r="P3530">
        <v>0</v>
      </c>
      <c r="Q3530">
        <v>5</v>
      </c>
      <c r="R3530" t="s">
        <v>42674</v>
      </c>
      <c r="S3530" t="s">
        <v>42788</v>
      </c>
      <c r="T3530" t="s">
        <v>44504</v>
      </c>
      <c r="U3530" t="s">
        <v>47742</v>
      </c>
      <c r="W3530" t="s">
        <v>39218</v>
      </c>
      <c r="X3530" t="s">
        <v>42676</v>
      </c>
    </row>
    <row r="3531" spans="1:24">
      <c r="A3531">
        <f>HYPERLINK("https://www.philgeps.gov.ph/GEPSNONPILOT/Tender/SplashBidNoticeAbstractUI.aspx?menuIndex=3&amp;refID=7192791&amp;Result=3","7192791")</f>
        <v>0</v>
      </c>
      <c r="B3531" t="s">
        <v>1304</v>
      </c>
      <c r="C3531" t="s">
        <v>6897</v>
      </c>
      <c r="E3531" t="s">
        <v>20366</v>
      </c>
      <c r="F3531" t="s">
        <v>29372</v>
      </c>
      <c r="G3531" t="s">
        <v>29379</v>
      </c>
      <c r="H3531" t="s">
        <v>11048</v>
      </c>
      <c r="I3531" t="s">
        <v>3839</v>
      </c>
      <c r="J3531" t="s">
        <v>31935</v>
      </c>
      <c r="K3531" t="s">
        <v>38490</v>
      </c>
      <c r="M3531" t="s">
        <v>40134</v>
      </c>
      <c r="N3531" t="s">
        <v>42669</v>
      </c>
      <c r="O3531" t="s">
        <v>42670</v>
      </c>
      <c r="P3531">
        <v>0</v>
      </c>
      <c r="Q3531">
        <v>2</v>
      </c>
      <c r="R3531" t="s">
        <v>42674</v>
      </c>
      <c r="S3531" t="s">
        <v>42788</v>
      </c>
      <c r="T3531" t="s">
        <v>44480</v>
      </c>
      <c r="U3531" t="s">
        <v>47743</v>
      </c>
      <c r="W3531" t="s">
        <v>40134</v>
      </c>
      <c r="X3531" t="s">
        <v>42676</v>
      </c>
    </row>
    <row r="3532" spans="1:24">
      <c r="A3532">
        <f>HYPERLINK("https://www.philgeps.gov.ph/GEPSNONPILOT/Tender/SplashBidNoticeAbstractUI.aspx?menuIndex=3&amp;refID=7192958&amp;Result=3","7192958")</f>
        <v>0</v>
      </c>
      <c r="B3532" t="s">
        <v>1271</v>
      </c>
      <c r="C3532" t="s">
        <v>6898</v>
      </c>
      <c r="D3532" t="s">
        <v>17159</v>
      </c>
      <c r="E3532" t="s">
        <v>20367</v>
      </c>
      <c r="F3532" t="s">
        <v>29372</v>
      </c>
      <c r="G3532" t="s">
        <v>29380</v>
      </c>
      <c r="H3532" t="s">
        <v>29389</v>
      </c>
      <c r="I3532" t="s">
        <v>10408</v>
      </c>
      <c r="J3532" t="s">
        <v>31936</v>
      </c>
      <c r="K3532" t="s">
        <v>38496</v>
      </c>
      <c r="M3532" t="s">
        <v>40098</v>
      </c>
      <c r="N3532" t="s">
        <v>42669</v>
      </c>
      <c r="O3532" t="s">
        <v>42670</v>
      </c>
      <c r="P3532">
        <v>0</v>
      </c>
      <c r="Q3532">
        <v>0</v>
      </c>
      <c r="R3532" t="s">
        <v>42674</v>
      </c>
      <c r="S3532" t="s">
        <v>42788</v>
      </c>
      <c r="T3532" t="s">
        <v>44627</v>
      </c>
      <c r="U3532" t="s">
        <v>47744</v>
      </c>
      <c r="W3532" t="s">
        <v>40098</v>
      </c>
      <c r="X3532" t="s">
        <v>42676</v>
      </c>
    </row>
    <row r="3533" spans="1:24">
      <c r="A3533">
        <f>HYPERLINK("https://www.philgeps.gov.ph/GEPSNONPILOT/Tender/SplashBidNoticeAbstractUI.aspx?menuIndex=3&amp;refID=7192938&amp;Result=3","7192938")</f>
        <v>0</v>
      </c>
      <c r="B3533" t="s">
        <v>1305</v>
      </c>
      <c r="C3533" t="s">
        <v>6899</v>
      </c>
      <c r="D3533" t="s">
        <v>17151</v>
      </c>
      <c r="E3533" t="s">
        <v>20368</v>
      </c>
      <c r="F3533" t="s">
        <v>29372</v>
      </c>
      <c r="G3533" t="s">
        <v>29383</v>
      </c>
      <c r="H3533" t="s">
        <v>11048</v>
      </c>
      <c r="I3533" t="s">
        <v>3695</v>
      </c>
      <c r="J3533" t="s">
        <v>31937</v>
      </c>
      <c r="K3533" t="s">
        <v>38488</v>
      </c>
      <c r="M3533" t="s">
        <v>40135</v>
      </c>
      <c r="N3533" t="s">
        <v>42669</v>
      </c>
      <c r="O3533" t="s">
        <v>42670</v>
      </c>
      <c r="P3533">
        <v>0</v>
      </c>
      <c r="Q3533">
        <v>1</v>
      </c>
      <c r="R3533" t="s">
        <v>42674</v>
      </c>
      <c r="S3533" t="s">
        <v>42788</v>
      </c>
      <c r="T3533" t="s">
        <v>44493</v>
      </c>
      <c r="U3533" t="s">
        <v>47745</v>
      </c>
      <c r="W3533" t="s">
        <v>40135</v>
      </c>
      <c r="X3533" t="s">
        <v>42676</v>
      </c>
    </row>
    <row r="3534" spans="1:24">
      <c r="A3534">
        <f>HYPERLINK("https://www.philgeps.gov.ph/GEPSNONPILOT/Tender/SplashBidNoticeAbstractUI.aspx?menuIndex=3&amp;refID=7192955&amp;Result=3","7192955")</f>
        <v>0</v>
      </c>
      <c r="B3534" t="s">
        <v>443</v>
      </c>
      <c r="C3534" t="s">
        <v>6900</v>
      </c>
      <c r="D3534" t="s">
        <v>17168</v>
      </c>
      <c r="E3534" t="s">
        <v>20369</v>
      </c>
      <c r="F3534" t="s">
        <v>29372</v>
      </c>
      <c r="G3534" t="s">
        <v>29379</v>
      </c>
      <c r="H3534" t="s">
        <v>29390</v>
      </c>
      <c r="I3534" t="s">
        <v>29396</v>
      </c>
      <c r="J3534" t="s">
        <v>31938</v>
      </c>
      <c r="K3534" t="s">
        <v>38486</v>
      </c>
      <c r="M3534" t="s">
        <v>40136</v>
      </c>
      <c r="N3534" t="s">
        <v>42669</v>
      </c>
      <c r="O3534" t="s">
        <v>42670</v>
      </c>
      <c r="P3534">
        <v>0</v>
      </c>
      <c r="Q3534">
        <v>0</v>
      </c>
      <c r="R3534" t="s">
        <v>42674</v>
      </c>
      <c r="S3534" t="s">
        <v>42788</v>
      </c>
      <c r="T3534" t="s">
        <v>44417</v>
      </c>
      <c r="U3534" t="s">
        <v>47746</v>
      </c>
      <c r="W3534" t="s">
        <v>40136</v>
      </c>
      <c r="X3534" t="s">
        <v>42676</v>
      </c>
    </row>
    <row r="3535" spans="1:24">
      <c r="A3535">
        <f>HYPERLINK("https://www.philgeps.gov.ph/GEPSNONPILOT/Tender/SplashBidNoticeAbstractUI.aspx?menuIndex=3&amp;refID=7192969&amp;Result=3","7192969")</f>
        <v>0</v>
      </c>
      <c r="B3535" t="s">
        <v>597</v>
      </c>
      <c r="C3535" t="s">
        <v>6901</v>
      </c>
      <c r="D3535" t="s">
        <v>17179</v>
      </c>
      <c r="E3535" t="s">
        <v>20370</v>
      </c>
      <c r="F3535" t="s">
        <v>29372</v>
      </c>
      <c r="G3535" t="s">
        <v>29380</v>
      </c>
      <c r="H3535" t="s">
        <v>29389</v>
      </c>
      <c r="I3535" t="s">
        <v>10408</v>
      </c>
      <c r="J3535" t="s">
        <v>29788</v>
      </c>
      <c r="K3535" t="s">
        <v>38522</v>
      </c>
      <c r="M3535" t="s">
        <v>39368</v>
      </c>
      <c r="N3535" t="s">
        <v>42669</v>
      </c>
      <c r="O3535" t="s">
        <v>42670</v>
      </c>
      <c r="P3535">
        <v>0</v>
      </c>
      <c r="Q3535">
        <v>1</v>
      </c>
      <c r="R3535" t="s">
        <v>42674</v>
      </c>
      <c r="S3535" t="s">
        <v>42788</v>
      </c>
      <c r="T3535" t="s">
        <v>44542</v>
      </c>
      <c r="U3535" t="s">
        <v>47747</v>
      </c>
      <c r="W3535" t="s">
        <v>39368</v>
      </c>
      <c r="X3535" t="s">
        <v>42676</v>
      </c>
    </row>
    <row r="3536" spans="1:24">
      <c r="A3536">
        <f>HYPERLINK("https://www.philgeps.gov.ph/GEPSNONPILOT/Tender/SplashBidNoticeAbstractUI.aspx?menuIndex=3&amp;refID=7192985&amp;Result=3","7192985")</f>
        <v>0</v>
      </c>
      <c r="B3536" t="s">
        <v>992</v>
      </c>
      <c r="C3536" t="s">
        <v>6902</v>
      </c>
      <c r="D3536" t="s">
        <v>17180</v>
      </c>
      <c r="E3536" t="s">
        <v>20371</v>
      </c>
      <c r="F3536" t="s">
        <v>29372</v>
      </c>
      <c r="G3536" t="s">
        <v>29380</v>
      </c>
      <c r="H3536" t="s">
        <v>29389</v>
      </c>
      <c r="I3536" t="s">
        <v>10408</v>
      </c>
      <c r="J3536" t="s">
        <v>31939</v>
      </c>
      <c r="K3536" t="s">
        <v>38533</v>
      </c>
      <c r="M3536" t="s">
        <v>39792</v>
      </c>
      <c r="N3536" t="s">
        <v>42669</v>
      </c>
      <c r="O3536" t="s">
        <v>42670</v>
      </c>
      <c r="P3536">
        <v>0</v>
      </c>
      <c r="Q3536">
        <v>9</v>
      </c>
      <c r="R3536" t="s">
        <v>42674</v>
      </c>
      <c r="S3536" t="s">
        <v>42788</v>
      </c>
      <c r="T3536" t="s">
        <v>44542</v>
      </c>
      <c r="U3536" t="s">
        <v>47748</v>
      </c>
      <c r="V3536" t="s">
        <v>56683</v>
      </c>
      <c r="W3536" t="s">
        <v>39792</v>
      </c>
      <c r="X3536" t="s">
        <v>42676</v>
      </c>
    </row>
    <row r="3537" spans="1:24">
      <c r="A3537">
        <f>HYPERLINK("https://www.philgeps.gov.ph/GEPSNONPILOT/Tender/SplashBidNoticeAbstractUI.aspx?menuIndex=3&amp;refID=7192976&amp;Result=3","7192976")</f>
        <v>0</v>
      </c>
      <c r="B3537" t="s">
        <v>1300</v>
      </c>
      <c r="C3537" t="s">
        <v>6903</v>
      </c>
      <c r="D3537" t="s">
        <v>17141</v>
      </c>
      <c r="E3537" t="s">
        <v>20372</v>
      </c>
      <c r="F3537" t="s">
        <v>29372</v>
      </c>
      <c r="G3537" t="s">
        <v>29379</v>
      </c>
      <c r="H3537" t="s">
        <v>11048</v>
      </c>
      <c r="I3537" t="s">
        <v>29405</v>
      </c>
      <c r="J3537" t="s">
        <v>31940</v>
      </c>
      <c r="K3537" t="s">
        <v>38490</v>
      </c>
      <c r="M3537" t="s">
        <v>40130</v>
      </c>
      <c r="N3537" t="s">
        <v>42669</v>
      </c>
      <c r="O3537" t="s">
        <v>42670</v>
      </c>
      <c r="P3537">
        <v>0</v>
      </c>
      <c r="Q3537">
        <v>8</v>
      </c>
      <c r="R3537" t="s">
        <v>42674</v>
      </c>
      <c r="S3537" t="s">
        <v>42788</v>
      </c>
      <c r="T3537" t="s">
        <v>44417</v>
      </c>
      <c r="U3537" t="s">
        <v>47749</v>
      </c>
      <c r="W3537" t="s">
        <v>40130</v>
      </c>
      <c r="X3537" t="s">
        <v>42676</v>
      </c>
    </row>
    <row r="3538" spans="1:24">
      <c r="A3538">
        <f>HYPERLINK("https://www.philgeps.gov.ph/GEPSNONPILOT/Tender/SplashBidNoticeAbstractUI.aspx?menuIndex=3&amp;refID=7192975&amp;Result=3","7192975")</f>
        <v>0</v>
      </c>
      <c r="B3538" t="s">
        <v>1271</v>
      </c>
      <c r="C3538" t="s">
        <v>6904</v>
      </c>
      <c r="D3538" t="s">
        <v>17159</v>
      </c>
      <c r="E3538" t="s">
        <v>20373</v>
      </c>
      <c r="F3538" t="s">
        <v>29372</v>
      </c>
      <c r="G3538" t="s">
        <v>29380</v>
      </c>
      <c r="H3538" t="s">
        <v>29389</v>
      </c>
      <c r="I3538" t="s">
        <v>10408</v>
      </c>
      <c r="J3538" t="s">
        <v>31941</v>
      </c>
      <c r="K3538" t="s">
        <v>38496</v>
      </c>
      <c r="M3538" t="s">
        <v>40098</v>
      </c>
      <c r="N3538" t="s">
        <v>42669</v>
      </c>
      <c r="O3538" t="s">
        <v>42670</v>
      </c>
      <c r="P3538">
        <v>0</v>
      </c>
      <c r="Q3538">
        <v>0</v>
      </c>
      <c r="R3538" t="s">
        <v>42674</v>
      </c>
      <c r="S3538" t="s">
        <v>42788</v>
      </c>
      <c r="T3538" t="s">
        <v>44539</v>
      </c>
      <c r="U3538" t="s">
        <v>47750</v>
      </c>
      <c r="W3538" t="s">
        <v>40098</v>
      </c>
      <c r="X3538" t="s">
        <v>42676</v>
      </c>
    </row>
    <row r="3539" spans="1:24">
      <c r="A3539">
        <f>HYPERLINK("https://www.philgeps.gov.ph/GEPSNONPILOT/Tender/SplashBidNoticeAbstractUI.aspx?menuIndex=3&amp;refID=7192974&amp;Result=3","7192974")</f>
        <v>0</v>
      </c>
      <c r="B3539" t="s">
        <v>1288</v>
      </c>
      <c r="C3539" t="s">
        <v>6905</v>
      </c>
      <c r="D3539" t="s">
        <v>17225</v>
      </c>
      <c r="E3539" t="s">
        <v>20374</v>
      </c>
      <c r="F3539" t="s">
        <v>29372</v>
      </c>
      <c r="G3539" t="s">
        <v>29380</v>
      </c>
      <c r="H3539" t="s">
        <v>29389</v>
      </c>
      <c r="I3539" t="s">
        <v>10408</v>
      </c>
      <c r="J3539" t="s">
        <v>29549</v>
      </c>
      <c r="K3539" t="s">
        <v>38495</v>
      </c>
      <c r="M3539" t="s">
        <v>40117</v>
      </c>
      <c r="N3539" t="s">
        <v>42669</v>
      </c>
      <c r="O3539" t="s">
        <v>42670</v>
      </c>
      <c r="P3539">
        <v>0</v>
      </c>
      <c r="Q3539">
        <v>0</v>
      </c>
      <c r="R3539" t="s">
        <v>42674</v>
      </c>
      <c r="S3539" t="s">
        <v>42788</v>
      </c>
      <c r="T3539" t="s">
        <v>44542</v>
      </c>
      <c r="U3539" t="s">
        <v>47751</v>
      </c>
      <c r="V3539" t="s">
        <v>56680</v>
      </c>
      <c r="W3539" t="s">
        <v>40117</v>
      </c>
      <c r="X3539" t="s">
        <v>42676</v>
      </c>
    </row>
    <row r="3540" spans="1:24">
      <c r="A3540">
        <f>HYPERLINK("https://www.philgeps.gov.ph/GEPSNONPILOT/Tender/SplashBidNoticeAbstractUI.aspx?menuIndex=3&amp;refID=7192972&amp;Result=3","7192972")</f>
        <v>0</v>
      </c>
      <c r="B3540" t="s">
        <v>1288</v>
      </c>
      <c r="C3540" t="s">
        <v>6906</v>
      </c>
      <c r="D3540" t="s">
        <v>17225</v>
      </c>
      <c r="E3540" t="s">
        <v>20375</v>
      </c>
      <c r="F3540" t="s">
        <v>29372</v>
      </c>
      <c r="G3540" t="s">
        <v>29380</v>
      </c>
      <c r="H3540" t="s">
        <v>11048</v>
      </c>
      <c r="I3540" t="s">
        <v>4709</v>
      </c>
      <c r="J3540" t="s">
        <v>31942</v>
      </c>
      <c r="K3540" t="s">
        <v>38488</v>
      </c>
      <c r="M3540" t="s">
        <v>40117</v>
      </c>
      <c r="N3540" t="s">
        <v>42669</v>
      </c>
      <c r="O3540" t="s">
        <v>42670</v>
      </c>
      <c r="P3540">
        <v>0</v>
      </c>
      <c r="Q3540">
        <v>0</v>
      </c>
      <c r="R3540" t="s">
        <v>42674</v>
      </c>
      <c r="S3540" t="s">
        <v>42788</v>
      </c>
      <c r="T3540" t="s">
        <v>44542</v>
      </c>
      <c r="U3540" t="s">
        <v>47707</v>
      </c>
      <c r="V3540" t="s">
        <v>56680</v>
      </c>
      <c r="W3540" t="s">
        <v>40117</v>
      </c>
      <c r="X3540" t="s">
        <v>42676</v>
      </c>
    </row>
    <row r="3541" spans="1:24">
      <c r="A3541">
        <f>HYPERLINK("https://www.philgeps.gov.ph/GEPSNONPILOT/Tender/SplashBidNoticeAbstractUI.aspx?menuIndex=3&amp;refID=7192970&amp;Result=3","7192970")</f>
        <v>0</v>
      </c>
      <c r="B3541" t="s">
        <v>1306</v>
      </c>
      <c r="C3541" t="s">
        <v>6907</v>
      </c>
      <c r="D3541" t="s">
        <v>17183</v>
      </c>
      <c r="E3541" t="s">
        <v>17972</v>
      </c>
      <c r="F3541" t="s">
        <v>29372</v>
      </c>
      <c r="G3541" t="s">
        <v>29380</v>
      </c>
      <c r="H3541" t="s">
        <v>11048</v>
      </c>
      <c r="I3541" t="s">
        <v>4709</v>
      </c>
      <c r="J3541" t="s">
        <v>31943</v>
      </c>
      <c r="K3541" t="s">
        <v>38485</v>
      </c>
      <c r="M3541" t="s">
        <v>40137</v>
      </c>
      <c r="N3541" t="s">
        <v>42669</v>
      </c>
      <c r="O3541" t="s">
        <v>42670</v>
      </c>
      <c r="P3541">
        <v>0</v>
      </c>
      <c r="Q3541">
        <v>0</v>
      </c>
      <c r="R3541" t="s">
        <v>42674</v>
      </c>
      <c r="S3541" t="s">
        <v>42788</v>
      </c>
      <c r="T3541" t="s">
        <v>44374</v>
      </c>
      <c r="U3541" t="s">
        <v>47752</v>
      </c>
      <c r="W3541" t="s">
        <v>40137</v>
      </c>
      <c r="X3541" t="s">
        <v>42676</v>
      </c>
    </row>
    <row r="3542" spans="1:24">
      <c r="A3542">
        <f>HYPERLINK("https://www.philgeps.gov.ph/GEPSNONPILOT/Tender/SplashBidNoticeAbstractUI.aspx?menuIndex=3&amp;refID=7192996&amp;Result=3","7192996")</f>
        <v>0</v>
      </c>
      <c r="B3542" t="s">
        <v>992</v>
      </c>
      <c r="C3542" t="s">
        <v>6908</v>
      </c>
      <c r="D3542" t="s">
        <v>17180</v>
      </c>
      <c r="E3542" t="s">
        <v>20376</v>
      </c>
      <c r="F3542" t="s">
        <v>29372</v>
      </c>
      <c r="G3542" t="s">
        <v>29380</v>
      </c>
      <c r="H3542" t="s">
        <v>29389</v>
      </c>
      <c r="I3542" t="s">
        <v>10408</v>
      </c>
      <c r="J3542" t="s">
        <v>31944</v>
      </c>
      <c r="K3542" t="s">
        <v>38619</v>
      </c>
      <c r="M3542" t="s">
        <v>39792</v>
      </c>
      <c r="N3542" t="s">
        <v>42669</v>
      </c>
      <c r="O3542" t="s">
        <v>42670</v>
      </c>
      <c r="P3542">
        <v>0</v>
      </c>
      <c r="Q3542">
        <v>10</v>
      </c>
      <c r="R3542" t="s">
        <v>42674</v>
      </c>
      <c r="S3542" t="s">
        <v>42788</v>
      </c>
      <c r="T3542" t="s">
        <v>44542</v>
      </c>
      <c r="U3542" t="s">
        <v>47753</v>
      </c>
      <c r="V3542" t="s">
        <v>56684</v>
      </c>
      <c r="W3542" t="s">
        <v>39792</v>
      </c>
      <c r="X3542" t="s">
        <v>42676</v>
      </c>
    </row>
    <row r="3543" spans="1:24">
      <c r="A3543">
        <f>HYPERLINK("https://www.philgeps.gov.ph/GEPSNONPILOT/Tender/SplashBidNoticeAbstractUI.aspx?menuIndex=3&amp;refID=7192977&amp;Result=3","7192977")</f>
        <v>0</v>
      </c>
      <c r="B3543" t="s">
        <v>1261</v>
      </c>
      <c r="C3543" t="s">
        <v>6909</v>
      </c>
      <c r="D3543" t="s">
        <v>17141</v>
      </c>
      <c r="E3543" t="s">
        <v>20377</v>
      </c>
      <c r="F3543" t="s">
        <v>29372</v>
      </c>
      <c r="G3543" t="s">
        <v>29380</v>
      </c>
      <c r="H3543" t="s">
        <v>11048</v>
      </c>
      <c r="I3543" t="s">
        <v>29430</v>
      </c>
      <c r="J3543" t="s">
        <v>31945</v>
      </c>
      <c r="K3543" t="s">
        <v>38496</v>
      </c>
      <c r="M3543" t="s">
        <v>40138</v>
      </c>
      <c r="N3543" t="s">
        <v>42669</v>
      </c>
      <c r="O3543" t="s">
        <v>42670</v>
      </c>
      <c r="P3543">
        <v>0</v>
      </c>
      <c r="Q3543">
        <v>3</v>
      </c>
      <c r="R3543" t="s">
        <v>42674</v>
      </c>
      <c r="S3543" t="s">
        <v>42788</v>
      </c>
      <c r="T3543" t="s">
        <v>44542</v>
      </c>
      <c r="U3543" t="s">
        <v>47754</v>
      </c>
      <c r="W3543" t="s">
        <v>40138</v>
      </c>
      <c r="X3543" t="s">
        <v>42676</v>
      </c>
    </row>
    <row r="3544" spans="1:24">
      <c r="A3544">
        <f>HYPERLINK("https://www.philgeps.gov.ph/GEPSNONPILOT/Tender/SplashBidNoticeAbstractUI.aspx?menuIndex=3&amp;refID=7192986&amp;Result=3","7192986")</f>
        <v>0</v>
      </c>
      <c r="B3544" t="s">
        <v>166</v>
      </c>
      <c r="C3544" t="s">
        <v>6910</v>
      </c>
      <c r="D3544" t="s">
        <v>17163</v>
      </c>
      <c r="E3544" t="s">
        <v>17533</v>
      </c>
      <c r="F3544" t="s">
        <v>29372</v>
      </c>
      <c r="G3544" t="s">
        <v>29379</v>
      </c>
      <c r="H3544" t="s">
        <v>29390</v>
      </c>
      <c r="I3544" t="s">
        <v>29409</v>
      </c>
      <c r="J3544" t="s">
        <v>30386</v>
      </c>
      <c r="K3544" t="s">
        <v>38528</v>
      </c>
      <c r="M3544" t="s">
        <v>38923</v>
      </c>
      <c r="N3544" t="s">
        <v>42669</v>
      </c>
      <c r="O3544" t="s">
        <v>42670</v>
      </c>
      <c r="P3544">
        <v>0</v>
      </c>
      <c r="Q3544">
        <v>1</v>
      </c>
      <c r="R3544" t="s">
        <v>42674</v>
      </c>
      <c r="S3544" t="s">
        <v>42788</v>
      </c>
      <c r="T3544" t="s">
        <v>44430</v>
      </c>
      <c r="U3544" t="s">
        <v>47755</v>
      </c>
      <c r="W3544" t="s">
        <v>38923</v>
      </c>
      <c r="X3544" t="s">
        <v>42676</v>
      </c>
    </row>
    <row r="3545" spans="1:24">
      <c r="A3545">
        <f>HYPERLINK("https://www.philgeps.gov.ph/GEPSNONPILOT/Tender/SplashBidNoticeAbstractUI.aspx?menuIndex=3&amp;refID=7192991&amp;Result=3","7192991")</f>
        <v>0</v>
      </c>
      <c r="B3545" t="s">
        <v>1307</v>
      </c>
      <c r="C3545" t="s">
        <v>6911</v>
      </c>
      <c r="D3545" t="s">
        <v>17169</v>
      </c>
      <c r="E3545" t="s">
        <v>20378</v>
      </c>
      <c r="F3545" t="s">
        <v>29372</v>
      </c>
      <c r="G3545" t="s">
        <v>29383</v>
      </c>
      <c r="H3545" t="s">
        <v>29390</v>
      </c>
      <c r="I3545" t="s">
        <v>29398</v>
      </c>
      <c r="J3545" t="s">
        <v>29799</v>
      </c>
      <c r="K3545" t="s">
        <v>38491</v>
      </c>
      <c r="M3545" t="s">
        <v>40139</v>
      </c>
      <c r="N3545" t="s">
        <v>42669</v>
      </c>
      <c r="O3545" t="s">
        <v>42670</v>
      </c>
      <c r="P3545">
        <v>0</v>
      </c>
      <c r="Q3545">
        <v>0</v>
      </c>
      <c r="R3545" t="s">
        <v>42674</v>
      </c>
      <c r="S3545" t="s">
        <v>42788</v>
      </c>
      <c r="T3545" t="s">
        <v>44425</v>
      </c>
      <c r="U3545" t="s">
        <v>47756</v>
      </c>
      <c r="W3545" t="s">
        <v>40139</v>
      </c>
      <c r="X3545" t="s">
        <v>42676</v>
      </c>
    </row>
    <row r="3546" spans="1:24">
      <c r="A3546">
        <f>HYPERLINK("https://www.philgeps.gov.ph/GEPSNONPILOT/Tender/SplashBidNoticeAbstractUI.aspx?menuIndex=3&amp;refID=7192993&amp;Result=3","7192993")</f>
        <v>0</v>
      </c>
      <c r="B3546" t="s">
        <v>992</v>
      </c>
      <c r="C3546" t="s">
        <v>6912</v>
      </c>
      <c r="D3546" t="s">
        <v>17180</v>
      </c>
      <c r="E3546" t="s">
        <v>20379</v>
      </c>
      <c r="F3546" t="s">
        <v>29372</v>
      </c>
      <c r="G3546" t="s">
        <v>29380</v>
      </c>
      <c r="H3546" t="s">
        <v>29389</v>
      </c>
      <c r="I3546" t="s">
        <v>10408</v>
      </c>
      <c r="J3546" t="s">
        <v>31946</v>
      </c>
      <c r="K3546" t="s">
        <v>38522</v>
      </c>
      <c r="M3546" t="s">
        <v>39792</v>
      </c>
      <c r="N3546" t="s">
        <v>42669</v>
      </c>
      <c r="O3546" t="s">
        <v>42670</v>
      </c>
      <c r="P3546">
        <v>0</v>
      </c>
      <c r="Q3546">
        <v>9</v>
      </c>
      <c r="R3546" t="s">
        <v>42674</v>
      </c>
      <c r="S3546" t="s">
        <v>42788</v>
      </c>
      <c r="T3546" t="s">
        <v>44542</v>
      </c>
      <c r="U3546" t="s">
        <v>47757</v>
      </c>
      <c r="V3546" t="s">
        <v>56683</v>
      </c>
      <c r="W3546" t="s">
        <v>39792</v>
      </c>
      <c r="X3546" t="s">
        <v>42676</v>
      </c>
    </row>
    <row r="3547" spans="1:24">
      <c r="A3547">
        <f>HYPERLINK("https://www.philgeps.gov.ph/GEPSNONPILOT/Tender/SplashBidNoticeAbstractUI.aspx?menuIndex=3&amp;refID=7192989&amp;Result=3","7192989")</f>
        <v>0</v>
      </c>
      <c r="B3547" t="s">
        <v>992</v>
      </c>
      <c r="C3547" t="s">
        <v>6913</v>
      </c>
      <c r="D3547" t="s">
        <v>17180</v>
      </c>
      <c r="E3547" t="s">
        <v>20380</v>
      </c>
      <c r="F3547" t="s">
        <v>29372</v>
      </c>
      <c r="G3547" t="s">
        <v>29380</v>
      </c>
      <c r="H3547" t="s">
        <v>29389</v>
      </c>
      <c r="I3547" t="s">
        <v>10408</v>
      </c>
      <c r="J3547" t="s">
        <v>31947</v>
      </c>
      <c r="K3547" t="s">
        <v>38533</v>
      </c>
      <c r="M3547" t="s">
        <v>39792</v>
      </c>
      <c r="N3547" t="s">
        <v>42669</v>
      </c>
      <c r="O3547" t="s">
        <v>42670</v>
      </c>
      <c r="P3547">
        <v>0</v>
      </c>
      <c r="Q3547">
        <v>10</v>
      </c>
      <c r="R3547" t="s">
        <v>42674</v>
      </c>
      <c r="S3547" t="s">
        <v>42788</v>
      </c>
      <c r="T3547" t="s">
        <v>44542</v>
      </c>
      <c r="U3547" t="s">
        <v>47758</v>
      </c>
      <c r="V3547" t="s">
        <v>56684</v>
      </c>
      <c r="W3547" t="s">
        <v>39792</v>
      </c>
      <c r="X3547" t="s">
        <v>42676</v>
      </c>
    </row>
    <row r="3548" spans="1:24">
      <c r="A3548">
        <f>HYPERLINK("https://www.philgeps.gov.ph/GEPSNONPILOT/Tender/SplashBidNoticeAbstractUI.aspx?menuIndex=3&amp;refID=7192988&amp;Result=3","7192988")</f>
        <v>0</v>
      </c>
      <c r="B3548" t="s">
        <v>1308</v>
      </c>
      <c r="C3548" t="s">
        <v>6914</v>
      </c>
      <c r="D3548" t="s">
        <v>17181</v>
      </c>
      <c r="E3548" t="s">
        <v>20381</v>
      </c>
      <c r="F3548" t="s">
        <v>29372</v>
      </c>
      <c r="G3548" t="s">
        <v>29380</v>
      </c>
      <c r="H3548" t="s">
        <v>11048</v>
      </c>
      <c r="I3548" t="s">
        <v>9469</v>
      </c>
      <c r="J3548" t="s">
        <v>30787</v>
      </c>
      <c r="K3548" t="s">
        <v>38488</v>
      </c>
      <c r="M3548" t="s">
        <v>40140</v>
      </c>
      <c r="N3548" t="s">
        <v>42669</v>
      </c>
      <c r="O3548" t="s">
        <v>42670</v>
      </c>
      <c r="P3548">
        <v>0</v>
      </c>
      <c r="Q3548">
        <v>1</v>
      </c>
      <c r="R3548" t="s">
        <v>42674</v>
      </c>
      <c r="S3548" t="s">
        <v>42788</v>
      </c>
      <c r="T3548" t="s">
        <v>44439</v>
      </c>
      <c r="U3548" t="s">
        <v>47759</v>
      </c>
      <c r="W3548" t="s">
        <v>40140</v>
      </c>
      <c r="X3548" t="s">
        <v>42676</v>
      </c>
    </row>
    <row r="3549" spans="1:24">
      <c r="A3549">
        <f>HYPERLINK("https://www.philgeps.gov.ph/GEPSNONPILOT/Tender/SplashBidNoticeAbstractUI.aspx?menuIndex=3&amp;refID=7192987&amp;Result=3","7192987")</f>
        <v>0</v>
      </c>
      <c r="B3549" t="s">
        <v>166</v>
      </c>
      <c r="C3549" t="s">
        <v>6915</v>
      </c>
      <c r="D3549" t="s">
        <v>17163</v>
      </c>
      <c r="E3549" t="s">
        <v>17533</v>
      </c>
      <c r="F3549" t="s">
        <v>29372</v>
      </c>
      <c r="G3549" t="s">
        <v>29379</v>
      </c>
      <c r="H3549" t="s">
        <v>29390</v>
      </c>
      <c r="I3549" t="s">
        <v>29409</v>
      </c>
      <c r="J3549" t="s">
        <v>29752</v>
      </c>
      <c r="K3549" t="s">
        <v>38528</v>
      </c>
      <c r="M3549" t="s">
        <v>38923</v>
      </c>
      <c r="N3549" t="s">
        <v>42669</v>
      </c>
      <c r="O3549" t="s">
        <v>42670</v>
      </c>
      <c r="P3549">
        <v>0</v>
      </c>
      <c r="Q3549">
        <v>1</v>
      </c>
      <c r="R3549" t="s">
        <v>42674</v>
      </c>
      <c r="S3549" t="s">
        <v>42788</v>
      </c>
      <c r="T3549" t="s">
        <v>44430</v>
      </c>
      <c r="U3549" t="s">
        <v>47760</v>
      </c>
      <c r="W3549" t="s">
        <v>38923</v>
      </c>
      <c r="X3549" t="s">
        <v>42676</v>
      </c>
    </row>
    <row r="3550" spans="1:24">
      <c r="A3550">
        <f>HYPERLINK("https://www.philgeps.gov.ph/GEPSNONPILOT/Tender/SplashBidNoticeAbstractUI.aspx?menuIndex=3&amp;refID=7192992&amp;Result=3","7192992")</f>
        <v>0</v>
      </c>
      <c r="B3550" t="s">
        <v>1308</v>
      </c>
      <c r="C3550" t="s">
        <v>6916</v>
      </c>
      <c r="D3550" t="s">
        <v>17181</v>
      </c>
      <c r="E3550" t="s">
        <v>20382</v>
      </c>
      <c r="F3550" t="s">
        <v>29372</v>
      </c>
      <c r="G3550" t="s">
        <v>29380</v>
      </c>
      <c r="H3550" t="s">
        <v>11048</v>
      </c>
      <c r="I3550" t="s">
        <v>9469</v>
      </c>
      <c r="J3550" t="s">
        <v>29740</v>
      </c>
      <c r="K3550" t="s">
        <v>38488</v>
      </c>
      <c r="M3550" t="s">
        <v>40140</v>
      </c>
      <c r="N3550" t="s">
        <v>42669</v>
      </c>
      <c r="O3550" t="s">
        <v>42670</v>
      </c>
      <c r="P3550">
        <v>0</v>
      </c>
      <c r="Q3550">
        <v>0</v>
      </c>
      <c r="R3550" t="s">
        <v>42674</v>
      </c>
      <c r="S3550" t="s">
        <v>42788</v>
      </c>
      <c r="T3550" t="s">
        <v>44439</v>
      </c>
      <c r="U3550" t="s">
        <v>47761</v>
      </c>
      <c r="W3550" t="s">
        <v>40140</v>
      </c>
      <c r="X3550" t="s">
        <v>42676</v>
      </c>
    </row>
    <row r="3551" spans="1:24">
      <c r="A3551">
        <f>HYPERLINK("https://www.philgeps.gov.ph/GEPSNONPILOT/Tender/SplashBidNoticeAbstractUI.aspx?menuIndex=3&amp;refID=7192999&amp;Result=3","7192999")</f>
        <v>0</v>
      </c>
      <c r="B3551" t="s">
        <v>992</v>
      </c>
      <c r="C3551" t="s">
        <v>6917</v>
      </c>
      <c r="D3551" t="s">
        <v>17180</v>
      </c>
      <c r="E3551" t="s">
        <v>20383</v>
      </c>
      <c r="F3551" t="s">
        <v>29372</v>
      </c>
      <c r="G3551" t="s">
        <v>29380</v>
      </c>
      <c r="H3551" t="s">
        <v>29389</v>
      </c>
      <c r="I3551" t="s">
        <v>10408</v>
      </c>
      <c r="J3551" t="s">
        <v>31948</v>
      </c>
      <c r="K3551" t="s">
        <v>38620</v>
      </c>
      <c r="M3551" t="s">
        <v>39792</v>
      </c>
      <c r="N3551" t="s">
        <v>42669</v>
      </c>
      <c r="O3551" t="s">
        <v>42670</v>
      </c>
      <c r="P3551">
        <v>0</v>
      </c>
      <c r="Q3551">
        <v>10</v>
      </c>
      <c r="R3551" t="s">
        <v>42674</v>
      </c>
      <c r="S3551" t="s">
        <v>42788</v>
      </c>
      <c r="T3551" t="s">
        <v>44542</v>
      </c>
      <c r="U3551" t="s">
        <v>47762</v>
      </c>
      <c r="V3551" t="s">
        <v>56684</v>
      </c>
      <c r="W3551" t="s">
        <v>39792</v>
      </c>
      <c r="X3551" t="s">
        <v>42676</v>
      </c>
    </row>
    <row r="3552" spans="1:24">
      <c r="A3552">
        <f>HYPERLINK("https://www.philgeps.gov.ph/GEPSNONPILOT/Tender/SplashBidNoticeAbstractUI.aspx?menuIndex=3&amp;refID=7193013&amp;Result=3","7193013")</f>
        <v>0</v>
      </c>
      <c r="B3552" t="s">
        <v>166</v>
      </c>
      <c r="C3552" t="s">
        <v>6918</v>
      </c>
      <c r="D3552" t="s">
        <v>17163</v>
      </c>
      <c r="E3552" t="s">
        <v>17533</v>
      </c>
      <c r="F3552" t="s">
        <v>29372</v>
      </c>
      <c r="G3552" t="s">
        <v>29379</v>
      </c>
      <c r="H3552" t="s">
        <v>29390</v>
      </c>
      <c r="I3552" t="s">
        <v>29409</v>
      </c>
      <c r="J3552" t="s">
        <v>29571</v>
      </c>
      <c r="K3552" t="s">
        <v>38528</v>
      </c>
      <c r="M3552" t="s">
        <v>38923</v>
      </c>
      <c r="N3552" t="s">
        <v>42669</v>
      </c>
      <c r="O3552" t="s">
        <v>42670</v>
      </c>
      <c r="P3552">
        <v>0</v>
      </c>
      <c r="Q3552">
        <v>1</v>
      </c>
      <c r="R3552" t="s">
        <v>42674</v>
      </c>
      <c r="S3552" t="s">
        <v>42788</v>
      </c>
      <c r="T3552" t="s">
        <v>44430</v>
      </c>
      <c r="U3552" t="s">
        <v>47763</v>
      </c>
      <c r="W3552" t="s">
        <v>38923</v>
      </c>
      <c r="X3552" t="s">
        <v>42676</v>
      </c>
    </row>
    <row r="3553" spans="1:24">
      <c r="A3553">
        <f>HYPERLINK("https://www.philgeps.gov.ph/GEPSNONPILOT/Tender/SplashBidNoticeAbstractUI.aspx?menuIndex=3&amp;refID=7192981&amp;Result=3","7192981")</f>
        <v>0</v>
      </c>
      <c r="B3553" t="s">
        <v>1309</v>
      </c>
      <c r="C3553" t="s">
        <v>6919</v>
      </c>
      <c r="D3553" t="s">
        <v>17141</v>
      </c>
      <c r="E3553" t="s">
        <v>20384</v>
      </c>
      <c r="F3553" t="s">
        <v>29372</v>
      </c>
      <c r="G3553" t="s">
        <v>29383</v>
      </c>
      <c r="H3553" t="s">
        <v>11048</v>
      </c>
      <c r="I3553" t="s">
        <v>29407</v>
      </c>
      <c r="J3553" t="s">
        <v>31949</v>
      </c>
      <c r="K3553" t="s">
        <v>38490</v>
      </c>
      <c r="M3553" t="s">
        <v>40141</v>
      </c>
      <c r="N3553" t="s">
        <v>42669</v>
      </c>
      <c r="O3553" t="s">
        <v>42670</v>
      </c>
      <c r="P3553">
        <v>0</v>
      </c>
      <c r="Q3553">
        <v>2</v>
      </c>
      <c r="R3553" t="s">
        <v>42674</v>
      </c>
      <c r="S3553" t="s">
        <v>42788</v>
      </c>
      <c r="T3553" t="s">
        <v>44386</v>
      </c>
      <c r="U3553" t="s">
        <v>47764</v>
      </c>
      <c r="W3553" t="s">
        <v>40141</v>
      </c>
      <c r="X3553" t="s">
        <v>42676</v>
      </c>
    </row>
    <row r="3554" spans="1:24">
      <c r="A3554">
        <f>HYPERLINK("https://www.philgeps.gov.ph/GEPSNONPILOT/Tender/SplashBidNoticeAbstractUI.aspx?menuIndex=3&amp;refID=7193012&amp;Result=3","7193012")</f>
        <v>0</v>
      </c>
      <c r="B3554" t="s">
        <v>166</v>
      </c>
      <c r="C3554" t="s">
        <v>6920</v>
      </c>
      <c r="D3554" t="s">
        <v>17163</v>
      </c>
      <c r="E3554" t="s">
        <v>17533</v>
      </c>
      <c r="F3554" t="s">
        <v>29372</v>
      </c>
      <c r="G3554" t="s">
        <v>29379</v>
      </c>
      <c r="H3554" t="s">
        <v>29390</v>
      </c>
      <c r="I3554" t="s">
        <v>29409</v>
      </c>
      <c r="J3554" t="s">
        <v>29625</v>
      </c>
      <c r="K3554" t="s">
        <v>38528</v>
      </c>
      <c r="M3554" t="s">
        <v>38923</v>
      </c>
      <c r="N3554" t="s">
        <v>42669</v>
      </c>
      <c r="O3554" t="s">
        <v>42670</v>
      </c>
      <c r="P3554">
        <v>0</v>
      </c>
      <c r="Q3554">
        <v>1</v>
      </c>
      <c r="R3554" t="s">
        <v>42674</v>
      </c>
      <c r="S3554" t="s">
        <v>42788</v>
      </c>
      <c r="T3554" t="s">
        <v>44430</v>
      </c>
      <c r="U3554" t="s">
        <v>47765</v>
      </c>
      <c r="W3554" t="s">
        <v>38923</v>
      </c>
      <c r="X3554" t="s">
        <v>42676</v>
      </c>
    </row>
    <row r="3555" spans="1:24">
      <c r="A3555">
        <f>HYPERLINK("https://www.philgeps.gov.ph/GEPSNONPILOT/Tender/SplashBidNoticeAbstractUI.aspx?menuIndex=3&amp;refID=7193011&amp;Result=3","7193011")</f>
        <v>0</v>
      </c>
      <c r="B3555" t="s">
        <v>1308</v>
      </c>
      <c r="C3555" t="s">
        <v>6921</v>
      </c>
      <c r="D3555" t="s">
        <v>17181</v>
      </c>
      <c r="E3555" t="s">
        <v>20385</v>
      </c>
      <c r="F3555" t="s">
        <v>29372</v>
      </c>
      <c r="G3555" t="s">
        <v>29380</v>
      </c>
      <c r="H3555" t="s">
        <v>11048</v>
      </c>
      <c r="I3555" t="s">
        <v>5383</v>
      </c>
      <c r="J3555" t="s">
        <v>31950</v>
      </c>
      <c r="K3555" t="s">
        <v>38488</v>
      </c>
      <c r="M3555" t="s">
        <v>40140</v>
      </c>
      <c r="N3555" t="s">
        <v>42669</v>
      </c>
      <c r="O3555" t="s">
        <v>42670</v>
      </c>
      <c r="P3555">
        <v>0</v>
      </c>
      <c r="Q3555">
        <v>1</v>
      </c>
      <c r="R3555" t="s">
        <v>42674</v>
      </c>
      <c r="S3555" t="s">
        <v>42788</v>
      </c>
      <c r="T3555" t="s">
        <v>44470</v>
      </c>
      <c r="U3555" t="s">
        <v>47766</v>
      </c>
      <c r="W3555" t="s">
        <v>40140</v>
      </c>
      <c r="X3555" t="s">
        <v>42676</v>
      </c>
    </row>
    <row r="3556" spans="1:24">
      <c r="A3556">
        <f>HYPERLINK("https://www.philgeps.gov.ph/GEPSNONPILOT/Tender/SplashBidNoticeAbstractUI.aspx?menuIndex=3&amp;refID=7193009&amp;Result=3","7193009")</f>
        <v>0</v>
      </c>
      <c r="B3556" t="s">
        <v>844</v>
      </c>
      <c r="C3556" t="s">
        <v>6922</v>
      </c>
      <c r="D3556" t="s">
        <v>17143</v>
      </c>
      <c r="E3556" t="s">
        <v>20386</v>
      </c>
      <c r="F3556" t="s">
        <v>29372</v>
      </c>
      <c r="G3556" t="s">
        <v>29379</v>
      </c>
      <c r="H3556" t="s">
        <v>11048</v>
      </c>
      <c r="I3556" t="s">
        <v>29415</v>
      </c>
      <c r="J3556" t="s">
        <v>29526</v>
      </c>
      <c r="K3556" t="s">
        <v>38491</v>
      </c>
      <c r="M3556" t="s">
        <v>39634</v>
      </c>
      <c r="N3556" t="s">
        <v>42669</v>
      </c>
      <c r="O3556" t="s">
        <v>42670</v>
      </c>
      <c r="P3556">
        <v>0</v>
      </c>
      <c r="Q3556">
        <v>1</v>
      </c>
      <c r="R3556" t="s">
        <v>42674</v>
      </c>
      <c r="S3556" t="s">
        <v>42788</v>
      </c>
      <c r="T3556" t="s">
        <v>44387</v>
      </c>
      <c r="U3556" t="s">
        <v>46577</v>
      </c>
      <c r="W3556" t="s">
        <v>39634</v>
      </c>
      <c r="X3556" t="s">
        <v>42676</v>
      </c>
    </row>
    <row r="3557" spans="1:24">
      <c r="A3557">
        <f>HYPERLINK("https://www.philgeps.gov.ph/GEPSNONPILOT/Tender/SplashBidNoticeAbstractUI.aspx?menuIndex=3&amp;refID=7193008&amp;Result=3","7193008")</f>
        <v>0</v>
      </c>
      <c r="B3557" t="s">
        <v>166</v>
      </c>
      <c r="C3557" t="s">
        <v>6923</v>
      </c>
      <c r="D3557" t="s">
        <v>17163</v>
      </c>
      <c r="E3557" t="s">
        <v>17533</v>
      </c>
      <c r="F3557" t="s">
        <v>29372</v>
      </c>
      <c r="G3557" t="s">
        <v>29379</v>
      </c>
      <c r="H3557" t="s">
        <v>29390</v>
      </c>
      <c r="I3557" t="s">
        <v>29409</v>
      </c>
      <c r="J3557" t="s">
        <v>29820</v>
      </c>
      <c r="K3557" t="s">
        <v>38528</v>
      </c>
      <c r="M3557" t="s">
        <v>38923</v>
      </c>
      <c r="N3557" t="s">
        <v>42669</v>
      </c>
      <c r="O3557" t="s">
        <v>42670</v>
      </c>
      <c r="P3557">
        <v>0</v>
      </c>
      <c r="Q3557">
        <v>1</v>
      </c>
      <c r="R3557" t="s">
        <v>42674</v>
      </c>
      <c r="S3557" t="s">
        <v>42788</v>
      </c>
      <c r="T3557" t="s">
        <v>44430</v>
      </c>
      <c r="U3557" t="s">
        <v>47767</v>
      </c>
      <c r="W3557" t="s">
        <v>38923</v>
      </c>
      <c r="X3557" t="s">
        <v>42676</v>
      </c>
    </row>
    <row r="3558" spans="1:24">
      <c r="A3558">
        <f>HYPERLINK("https://www.philgeps.gov.ph/GEPSNONPILOT/Tender/SplashBidNoticeAbstractUI.aspx?menuIndex=3&amp;refID=7193016&amp;Result=3","7193016")</f>
        <v>0</v>
      </c>
      <c r="B3558" t="s">
        <v>844</v>
      </c>
      <c r="C3558" t="s">
        <v>6924</v>
      </c>
      <c r="D3558" t="s">
        <v>17143</v>
      </c>
      <c r="E3558" t="s">
        <v>20387</v>
      </c>
      <c r="F3558" t="s">
        <v>29372</v>
      </c>
      <c r="G3558" t="s">
        <v>29379</v>
      </c>
      <c r="H3558" t="s">
        <v>11048</v>
      </c>
      <c r="I3558" t="s">
        <v>29415</v>
      </c>
      <c r="J3558" t="s">
        <v>29786</v>
      </c>
      <c r="K3558" t="s">
        <v>38491</v>
      </c>
      <c r="M3558" t="s">
        <v>39634</v>
      </c>
      <c r="N3558" t="s">
        <v>42669</v>
      </c>
      <c r="O3558" t="s">
        <v>42670</v>
      </c>
      <c r="P3558">
        <v>0</v>
      </c>
      <c r="Q3558">
        <v>2</v>
      </c>
      <c r="R3558" t="s">
        <v>42674</v>
      </c>
      <c r="S3558" t="s">
        <v>42788</v>
      </c>
      <c r="T3558" t="s">
        <v>44387</v>
      </c>
      <c r="U3558" t="s">
        <v>46577</v>
      </c>
      <c r="W3558" t="s">
        <v>39634</v>
      </c>
      <c r="X3558" t="s">
        <v>42676</v>
      </c>
    </row>
    <row r="3559" spans="1:24">
      <c r="A3559">
        <f>HYPERLINK("https://www.philgeps.gov.ph/GEPSNONPILOT/Tender/SplashBidNoticeAbstractUI.aspx?menuIndex=3&amp;refID=7193010&amp;Result=3","7193010")</f>
        <v>0</v>
      </c>
      <c r="B3559" t="s">
        <v>166</v>
      </c>
      <c r="C3559" t="s">
        <v>6925</v>
      </c>
      <c r="D3559" t="s">
        <v>17163</v>
      </c>
      <c r="E3559" t="s">
        <v>17533</v>
      </c>
      <c r="F3559" t="s">
        <v>29372</v>
      </c>
      <c r="G3559" t="s">
        <v>29379</v>
      </c>
      <c r="H3559" t="s">
        <v>29390</v>
      </c>
      <c r="I3559" t="s">
        <v>29409</v>
      </c>
      <c r="J3559" t="s">
        <v>31951</v>
      </c>
      <c r="K3559" t="s">
        <v>38528</v>
      </c>
      <c r="M3559" t="s">
        <v>38923</v>
      </c>
      <c r="N3559" t="s">
        <v>42669</v>
      </c>
      <c r="O3559" t="s">
        <v>42670</v>
      </c>
      <c r="P3559">
        <v>0</v>
      </c>
      <c r="Q3559">
        <v>1</v>
      </c>
      <c r="R3559" t="s">
        <v>42674</v>
      </c>
      <c r="S3559" t="s">
        <v>42788</v>
      </c>
      <c r="T3559" t="s">
        <v>44430</v>
      </c>
      <c r="U3559" t="s">
        <v>47768</v>
      </c>
      <c r="W3559" t="s">
        <v>38923</v>
      </c>
      <c r="X3559" t="s">
        <v>42676</v>
      </c>
    </row>
    <row r="3560" spans="1:24">
      <c r="A3560">
        <f>HYPERLINK("https://www.philgeps.gov.ph/GEPSNONPILOT/Tender/SplashBidNoticeAbstractUI.aspx?menuIndex=3&amp;refID=7193014&amp;Result=3","7193014")</f>
        <v>0</v>
      </c>
      <c r="B3560" t="s">
        <v>844</v>
      </c>
      <c r="C3560" t="s">
        <v>6926</v>
      </c>
      <c r="D3560" t="s">
        <v>17143</v>
      </c>
      <c r="E3560" t="s">
        <v>20388</v>
      </c>
      <c r="F3560" t="s">
        <v>29372</v>
      </c>
      <c r="G3560" t="s">
        <v>29379</v>
      </c>
      <c r="H3560" t="s">
        <v>11048</v>
      </c>
      <c r="I3560" t="s">
        <v>29415</v>
      </c>
      <c r="J3560" t="s">
        <v>29619</v>
      </c>
      <c r="K3560" t="s">
        <v>38491</v>
      </c>
      <c r="M3560" t="s">
        <v>39634</v>
      </c>
      <c r="N3560" t="s">
        <v>42669</v>
      </c>
      <c r="O3560" t="s">
        <v>42670</v>
      </c>
      <c r="P3560">
        <v>0</v>
      </c>
      <c r="Q3560">
        <v>3</v>
      </c>
      <c r="R3560" t="s">
        <v>42674</v>
      </c>
      <c r="S3560" t="s">
        <v>42788</v>
      </c>
      <c r="T3560" t="s">
        <v>44387</v>
      </c>
      <c r="U3560" t="s">
        <v>46577</v>
      </c>
      <c r="W3560" t="s">
        <v>39634</v>
      </c>
      <c r="X3560" t="s">
        <v>42676</v>
      </c>
    </row>
    <row r="3561" spans="1:24">
      <c r="A3561">
        <f>HYPERLINK("https://www.philgeps.gov.ph/GEPSNONPILOT/Tender/SplashBidNoticeAbstractUI.aspx?menuIndex=3&amp;refID=7193006&amp;Result=3","7193006")</f>
        <v>0</v>
      </c>
      <c r="B3561" t="s">
        <v>992</v>
      </c>
      <c r="C3561" t="s">
        <v>6927</v>
      </c>
      <c r="D3561" t="s">
        <v>17180</v>
      </c>
      <c r="E3561" t="s">
        <v>20389</v>
      </c>
      <c r="F3561" t="s">
        <v>29372</v>
      </c>
      <c r="G3561" t="s">
        <v>29380</v>
      </c>
      <c r="H3561" t="s">
        <v>29389</v>
      </c>
      <c r="I3561" t="s">
        <v>10408</v>
      </c>
      <c r="J3561" t="s">
        <v>31952</v>
      </c>
      <c r="K3561" t="s">
        <v>38621</v>
      </c>
      <c r="M3561" t="s">
        <v>39792</v>
      </c>
      <c r="N3561" t="s">
        <v>42669</v>
      </c>
      <c r="O3561" t="s">
        <v>42670</v>
      </c>
      <c r="P3561">
        <v>0</v>
      </c>
      <c r="Q3561">
        <v>10</v>
      </c>
      <c r="R3561" t="s">
        <v>42674</v>
      </c>
      <c r="S3561" t="s">
        <v>42788</v>
      </c>
      <c r="T3561" t="s">
        <v>44542</v>
      </c>
      <c r="U3561" t="s">
        <v>47769</v>
      </c>
      <c r="V3561" t="s">
        <v>56683</v>
      </c>
      <c r="W3561" t="s">
        <v>39792</v>
      </c>
      <c r="X3561" t="s">
        <v>42676</v>
      </c>
    </row>
    <row r="3562" spans="1:24">
      <c r="A3562">
        <f>HYPERLINK("https://www.philgeps.gov.ph/GEPSNONPILOT/Tender/SplashBidNoticeAbstractUI.aspx?menuIndex=3&amp;refID=7192998&amp;Result=3","7192998")</f>
        <v>0</v>
      </c>
      <c r="B3562" t="s">
        <v>844</v>
      </c>
      <c r="C3562" t="s">
        <v>6928</v>
      </c>
      <c r="D3562" t="s">
        <v>17143</v>
      </c>
      <c r="E3562" t="s">
        <v>20390</v>
      </c>
      <c r="F3562" t="s">
        <v>29372</v>
      </c>
      <c r="G3562" t="s">
        <v>29379</v>
      </c>
      <c r="H3562" t="s">
        <v>11048</v>
      </c>
      <c r="I3562" t="s">
        <v>29428</v>
      </c>
      <c r="J3562" t="s">
        <v>29555</v>
      </c>
      <c r="K3562" t="s">
        <v>38491</v>
      </c>
      <c r="M3562" t="s">
        <v>39634</v>
      </c>
      <c r="N3562" t="s">
        <v>42669</v>
      </c>
      <c r="O3562" t="s">
        <v>42670</v>
      </c>
      <c r="P3562">
        <v>0</v>
      </c>
      <c r="Q3562">
        <v>1</v>
      </c>
      <c r="R3562" t="s">
        <v>42674</v>
      </c>
      <c r="S3562" t="s">
        <v>42788</v>
      </c>
      <c r="T3562" t="s">
        <v>44387</v>
      </c>
      <c r="U3562" t="s">
        <v>46577</v>
      </c>
      <c r="W3562" t="s">
        <v>39634</v>
      </c>
      <c r="X3562" t="s">
        <v>42676</v>
      </c>
    </row>
    <row r="3563" spans="1:24">
      <c r="A3563">
        <f>HYPERLINK("https://www.philgeps.gov.ph/GEPSNONPILOT/Tender/SplashBidNoticeAbstractUI.aspx?menuIndex=3&amp;refID=7193005&amp;Result=3","7193005")</f>
        <v>0</v>
      </c>
      <c r="B3563" t="s">
        <v>166</v>
      </c>
      <c r="C3563" t="s">
        <v>6929</v>
      </c>
      <c r="D3563" t="s">
        <v>17163</v>
      </c>
      <c r="E3563" t="s">
        <v>17533</v>
      </c>
      <c r="F3563" t="s">
        <v>29372</v>
      </c>
      <c r="G3563" t="s">
        <v>29379</v>
      </c>
      <c r="H3563" t="s">
        <v>29390</v>
      </c>
      <c r="I3563" t="s">
        <v>29409</v>
      </c>
      <c r="J3563" t="s">
        <v>29752</v>
      </c>
      <c r="K3563" t="s">
        <v>38528</v>
      </c>
      <c r="M3563" t="s">
        <v>38923</v>
      </c>
      <c r="N3563" t="s">
        <v>42669</v>
      </c>
      <c r="O3563" t="s">
        <v>42670</v>
      </c>
      <c r="P3563">
        <v>0</v>
      </c>
      <c r="Q3563">
        <v>1</v>
      </c>
      <c r="R3563" t="s">
        <v>42674</v>
      </c>
      <c r="S3563" t="s">
        <v>42788</v>
      </c>
      <c r="T3563" t="s">
        <v>44430</v>
      </c>
      <c r="U3563" t="s">
        <v>47770</v>
      </c>
      <c r="W3563" t="s">
        <v>38923</v>
      </c>
      <c r="X3563" t="s">
        <v>42676</v>
      </c>
    </row>
    <row r="3564" spans="1:24">
      <c r="A3564">
        <f>HYPERLINK("https://www.philgeps.gov.ph/GEPSNONPILOT/Tender/SplashBidNoticeAbstractUI.aspx?menuIndex=3&amp;refID=7193004&amp;Result=3","7193004")</f>
        <v>0</v>
      </c>
      <c r="B3564" t="s">
        <v>597</v>
      </c>
      <c r="C3564" t="s">
        <v>6930</v>
      </c>
      <c r="D3564" t="s">
        <v>17179</v>
      </c>
      <c r="E3564" t="s">
        <v>20391</v>
      </c>
      <c r="F3564" t="s">
        <v>29372</v>
      </c>
      <c r="G3564" t="s">
        <v>29380</v>
      </c>
      <c r="H3564" t="s">
        <v>29389</v>
      </c>
      <c r="I3564" t="s">
        <v>10408</v>
      </c>
      <c r="J3564" t="s">
        <v>29788</v>
      </c>
      <c r="K3564" t="s">
        <v>38522</v>
      </c>
      <c r="M3564" t="s">
        <v>39368</v>
      </c>
      <c r="N3564" t="s">
        <v>42669</v>
      </c>
      <c r="O3564" t="s">
        <v>42670</v>
      </c>
      <c r="P3564">
        <v>0</v>
      </c>
      <c r="Q3564">
        <v>0</v>
      </c>
      <c r="R3564" t="s">
        <v>42674</v>
      </c>
      <c r="S3564" t="s">
        <v>42788</v>
      </c>
      <c r="T3564" t="s">
        <v>44542</v>
      </c>
      <c r="U3564" t="s">
        <v>47771</v>
      </c>
      <c r="W3564" t="s">
        <v>39368</v>
      </c>
      <c r="X3564" t="s">
        <v>42676</v>
      </c>
    </row>
    <row r="3565" spans="1:24">
      <c r="A3565">
        <f>HYPERLINK("https://www.philgeps.gov.ph/GEPSNONPILOT/Tender/SplashBidNoticeAbstractUI.aspx?menuIndex=3&amp;refID=7193003&amp;Result=3","7193003")</f>
        <v>0</v>
      </c>
      <c r="B3565" t="s">
        <v>443</v>
      </c>
      <c r="C3565" t="s">
        <v>6931</v>
      </c>
      <c r="D3565" t="s">
        <v>17191</v>
      </c>
      <c r="E3565" t="s">
        <v>20392</v>
      </c>
      <c r="F3565" t="s">
        <v>29372</v>
      </c>
      <c r="G3565" t="s">
        <v>29379</v>
      </c>
      <c r="H3565" t="s">
        <v>29390</v>
      </c>
      <c r="I3565" t="s">
        <v>29396</v>
      </c>
      <c r="J3565" t="s">
        <v>31953</v>
      </c>
      <c r="K3565" t="s">
        <v>38567</v>
      </c>
      <c r="M3565" t="s">
        <v>39207</v>
      </c>
      <c r="N3565" t="s">
        <v>42669</v>
      </c>
      <c r="O3565" t="s">
        <v>42670</v>
      </c>
      <c r="P3565">
        <v>0</v>
      </c>
      <c r="Q3565">
        <v>0</v>
      </c>
      <c r="R3565" t="s">
        <v>42674</v>
      </c>
      <c r="S3565" t="s">
        <v>42788</v>
      </c>
      <c r="T3565" t="s">
        <v>44417</v>
      </c>
      <c r="U3565" t="s">
        <v>47772</v>
      </c>
      <c r="W3565" t="s">
        <v>40136</v>
      </c>
      <c r="X3565" t="s">
        <v>42676</v>
      </c>
    </row>
    <row r="3566" spans="1:24">
      <c r="A3566">
        <f>HYPERLINK("https://www.philgeps.gov.ph/GEPSNONPILOT/Tender/SplashBidNoticeAbstractUI.aspx?menuIndex=3&amp;refID=7193007&amp;Result=3","7193007")</f>
        <v>0</v>
      </c>
      <c r="B3566" t="s">
        <v>166</v>
      </c>
      <c r="C3566" t="s">
        <v>6932</v>
      </c>
      <c r="D3566" t="s">
        <v>17163</v>
      </c>
      <c r="E3566" t="s">
        <v>17533</v>
      </c>
      <c r="F3566" t="s">
        <v>29372</v>
      </c>
      <c r="G3566" t="s">
        <v>29379</v>
      </c>
      <c r="H3566" t="s">
        <v>29390</v>
      </c>
      <c r="I3566" t="s">
        <v>29409</v>
      </c>
      <c r="J3566" t="s">
        <v>29929</v>
      </c>
      <c r="K3566" t="s">
        <v>38528</v>
      </c>
      <c r="M3566" t="s">
        <v>38923</v>
      </c>
      <c r="N3566" t="s">
        <v>42669</v>
      </c>
      <c r="O3566" t="s">
        <v>42670</v>
      </c>
      <c r="P3566">
        <v>0</v>
      </c>
      <c r="Q3566">
        <v>1</v>
      </c>
      <c r="R3566" t="s">
        <v>42674</v>
      </c>
      <c r="S3566" t="s">
        <v>42788</v>
      </c>
      <c r="T3566" t="s">
        <v>44430</v>
      </c>
      <c r="U3566" t="s">
        <v>47767</v>
      </c>
      <c r="W3566" t="s">
        <v>38923</v>
      </c>
      <c r="X3566" t="s">
        <v>42676</v>
      </c>
    </row>
    <row r="3567" spans="1:24">
      <c r="A3567">
        <f>HYPERLINK("https://www.philgeps.gov.ph/GEPSNONPILOT/Tender/SplashBidNoticeAbstractUI.aspx?menuIndex=3&amp;refID=7192979&amp;Result=3","7192979")</f>
        <v>0</v>
      </c>
      <c r="B3567" t="s">
        <v>166</v>
      </c>
      <c r="C3567" t="s">
        <v>6933</v>
      </c>
      <c r="D3567" t="s">
        <v>17163</v>
      </c>
      <c r="E3567" t="s">
        <v>17533</v>
      </c>
      <c r="F3567" t="s">
        <v>29372</v>
      </c>
      <c r="G3567" t="s">
        <v>29379</v>
      </c>
      <c r="H3567" t="s">
        <v>29390</v>
      </c>
      <c r="I3567" t="s">
        <v>29409</v>
      </c>
      <c r="J3567" t="s">
        <v>29657</v>
      </c>
      <c r="K3567" t="s">
        <v>38528</v>
      </c>
      <c r="M3567" t="s">
        <v>38923</v>
      </c>
      <c r="N3567" t="s">
        <v>42669</v>
      </c>
      <c r="O3567" t="s">
        <v>42670</v>
      </c>
      <c r="P3567">
        <v>0</v>
      </c>
      <c r="Q3567">
        <v>1</v>
      </c>
      <c r="R3567" t="s">
        <v>42674</v>
      </c>
      <c r="S3567" t="s">
        <v>42788</v>
      </c>
      <c r="T3567" t="s">
        <v>44430</v>
      </c>
      <c r="U3567" t="s">
        <v>47773</v>
      </c>
      <c r="W3567" t="s">
        <v>38923</v>
      </c>
      <c r="X3567" t="s">
        <v>42676</v>
      </c>
    </row>
    <row r="3568" spans="1:24">
      <c r="A3568">
        <f>HYPERLINK("https://www.philgeps.gov.ph/GEPSNONPILOT/Tender/SplashBidNoticeAbstractUI.aspx?menuIndex=3&amp;refID=7193018&amp;Result=3","7193018")</f>
        <v>0</v>
      </c>
      <c r="B3568" t="s">
        <v>597</v>
      </c>
      <c r="C3568" t="s">
        <v>6934</v>
      </c>
      <c r="D3568" t="s">
        <v>17179</v>
      </c>
      <c r="E3568" t="s">
        <v>20393</v>
      </c>
      <c r="F3568" t="s">
        <v>29372</v>
      </c>
      <c r="G3568" t="s">
        <v>29380</v>
      </c>
      <c r="H3568" t="s">
        <v>29389</v>
      </c>
      <c r="I3568" t="s">
        <v>10408</v>
      </c>
      <c r="J3568" t="s">
        <v>30056</v>
      </c>
      <c r="K3568" t="s">
        <v>38522</v>
      </c>
      <c r="M3568" t="s">
        <v>39368</v>
      </c>
      <c r="N3568" t="s">
        <v>42669</v>
      </c>
      <c r="O3568" t="s">
        <v>42670</v>
      </c>
      <c r="P3568">
        <v>0</v>
      </c>
      <c r="Q3568">
        <v>1</v>
      </c>
      <c r="R3568" t="s">
        <v>42674</v>
      </c>
      <c r="S3568" t="s">
        <v>42788</v>
      </c>
      <c r="T3568" t="s">
        <v>44542</v>
      </c>
      <c r="U3568" t="s">
        <v>47774</v>
      </c>
      <c r="W3568" t="s">
        <v>39368</v>
      </c>
      <c r="X3568" t="s">
        <v>42676</v>
      </c>
    </row>
    <row r="3569" spans="1:24">
      <c r="A3569">
        <f>HYPERLINK("https://www.philgeps.gov.ph/GEPSNONPILOT/Tender/SplashBidNoticeAbstractUI.aspx?menuIndex=3&amp;refID=7193015&amp;Result=3","7193015")</f>
        <v>0</v>
      </c>
      <c r="B3569" t="s">
        <v>166</v>
      </c>
      <c r="C3569" t="s">
        <v>6935</v>
      </c>
      <c r="D3569" t="s">
        <v>17163</v>
      </c>
      <c r="E3569" t="s">
        <v>17533</v>
      </c>
      <c r="F3569" t="s">
        <v>29372</v>
      </c>
      <c r="G3569" t="s">
        <v>29379</v>
      </c>
      <c r="H3569" t="s">
        <v>29390</v>
      </c>
      <c r="I3569" t="s">
        <v>29409</v>
      </c>
      <c r="J3569" t="s">
        <v>29767</v>
      </c>
      <c r="K3569" t="s">
        <v>38528</v>
      </c>
      <c r="M3569" t="s">
        <v>38923</v>
      </c>
      <c r="N3569" t="s">
        <v>42669</v>
      </c>
      <c r="O3569" t="s">
        <v>42670</v>
      </c>
      <c r="P3569">
        <v>0</v>
      </c>
      <c r="Q3569">
        <v>1</v>
      </c>
      <c r="R3569" t="s">
        <v>42674</v>
      </c>
      <c r="S3569" t="s">
        <v>42788</v>
      </c>
      <c r="T3569" t="s">
        <v>44430</v>
      </c>
      <c r="U3569" t="s">
        <v>47775</v>
      </c>
      <c r="W3569" t="s">
        <v>38923</v>
      </c>
      <c r="X3569" t="s">
        <v>42676</v>
      </c>
    </row>
    <row r="3570" spans="1:24">
      <c r="A3570">
        <f>HYPERLINK("https://www.philgeps.gov.ph/GEPSNONPILOT/Tender/SplashBidNoticeAbstractUI.aspx?menuIndex=3&amp;refID=7193037&amp;Result=3","7193037")</f>
        <v>0</v>
      </c>
      <c r="B3570" t="s">
        <v>443</v>
      </c>
      <c r="C3570" t="s">
        <v>6936</v>
      </c>
      <c r="D3570" t="s">
        <v>17177</v>
      </c>
      <c r="E3570" t="s">
        <v>20394</v>
      </c>
      <c r="F3570" t="s">
        <v>29372</v>
      </c>
      <c r="G3570" t="s">
        <v>29379</v>
      </c>
      <c r="H3570" t="s">
        <v>11048</v>
      </c>
      <c r="I3570" t="s">
        <v>29396</v>
      </c>
      <c r="J3570" t="s">
        <v>31954</v>
      </c>
      <c r="K3570" t="s">
        <v>38532</v>
      </c>
      <c r="M3570" t="s">
        <v>39207</v>
      </c>
      <c r="N3570" t="s">
        <v>42669</v>
      </c>
      <c r="O3570" t="s">
        <v>42670</v>
      </c>
      <c r="P3570">
        <v>0</v>
      </c>
      <c r="Q3570">
        <v>0</v>
      </c>
      <c r="R3570" t="s">
        <v>42674</v>
      </c>
      <c r="S3570" t="s">
        <v>42788</v>
      </c>
      <c r="T3570" t="s">
        <v>44417</v>
      </c>
      <c r="U3570" t="s">
        <v>47776</v>
      </c>
      <c r="W3570" t="s">
        <v>40136</v>
      </c>
      <c r="X3570" t="s">
        <v>42676</v>
      </c>
    </row>
    <row r="3571" spans="1:24">
      <c r="A3571">
        <f>HYPERLINK("https://www.philgeps.gov.ph/GEPSNONPILOT/Tender/SplashBidNoticeAbstractUI.aspx?menuIndex=3&amp;refID=6085199&amp;Result=3","6085199")</f>
        <v>0</v>
      </c>
      <c r="B3571" t="s">
        <v>1310</v>
      </c>
      <c r="C3571" t="s">
        <v>6937</v>
      </c>
      <c r="D3571" t="s">
        <v>17151</v>
      </c>
      <c r="E3571" t="s">
        <v>20395</v>
      </c>
      <c r="F3571" t="s">
        <v>29372</v>
      </c>
      <c r="G3571" t="s">
        <v>29380</v>
      </c>
      <c r="H3571" t="s">
        <v>11048</v>
      </c>
      <c r="I3571" t="s">
        <v>29412</v>
      </c>
      <c r="J3571" t="s">
        <v>31955</v>
      </c>
      <c r="K3571" t="s">
        <v>38510</v>
      </c>
      <c r="L3571" t="s">
        <v>1310</v>
      </c>
      <c r="M3571" t="s">
        <v>40142</v>
      </c>
      <c r="N3571" t="s">
        <v>42669</v>
      </c>
      <c r="O3571" t="s">
        <v>42670</v>
      </c>
      <c r="P3571">
        <v>0</v>
      </c>
      <c r="Q3571">
        <v>2</v>
      </c>
      <c r="R3571" t="s">
        <v>42676</v>
      </c>
      <c r="S3571" t="s">
        <v>42809</v>
      </c>
      <c r="T3571" t="s">
        <v>44490</v>
      </c>
      <c r="U3571" t="s">
        <v>47777</v>
      </c>
      <c r="V3571" t="s">
        <v>56685</v>
      </c>
      <c r="W3571" t="s">
        <v>40142</v>
      </c>
      <c r="X3571" t="s">
        <v>58141</v>
      </c>
    </row>
    <row r="3572" spans="1:24">
      <c r="A3572">
        <f>HYPERLINK("https://www.philgeps.gov.ph/GEPSNONPILOT/Tender/SplashBidNoticeAbstractUI.aspx?menuIndex=3&amp;refID=7193000&amp;Result=3","7193000")</f>
        <v>0</v>
      </c>
      <c r="B3572" t="s">
        <v>166</v>
      </c>
      <c r="C3572" t="s">
        <v>6938</v>
      </c>
      <c r="D3572" t="s">
        <v>17163</v>
      </c>
      <c r="E3572" t="s">
        <v>17533</v>
      </c>
      <c r="F3572" t="s">
        <v>29372</v>
      </c>
      <c r="G3572" t="s">
        <v>29379</v>
      </c>
      <c r="H3572" t="s">
        <v>29390</v>
      </c>
      <c r="I3572" t="s">
        <v>29409</v>
      </c>
      <c r="J3572" t="s">
        <v>29571</v>
      </c>
      <c r="K3572" t="s">
        <v>38511</v>
      </c>
      <c r="M3572" t="s">
        <v>38923</v>
      </c>
      <c r="N3572" t="s">
        <v>42669</v>
      </c>
      <c r="O3572" t="s">
        <v>42670</v>
      </c>
      <c r="P3572">
        <v>0</v>
      </c>
      <c r="Q3572">
        <v>1</v>
      </c>
      <c r="R3572" t="s">
        <v>42674</v>
      </c>
      <c r="S3572" t="s">
        <v>42788</v>
      </c>
      <c r="T3572" t="s">
        <v>44430</v>
      </c>
      <c r="U3572" t="s">
        <v>47778</v>
      </c>
      <c r="W3572" t="s">
        <v>38923</v>
      </c>
      <c r="X3572" t="s">
        <v>42676</v>
      </c>
    </row>
    <row r="3573" spans="1:24">
      <c r="A3573">
        <f>HYPERLINK("https://www.philgeps.gov.ph/GEPSNONPILOT/Tender/SplashBidNoticeAbstractUI.aspx?menuIndex=3&amp;refID=7193049&amp;Result=3","7193049")</f>
        <v>0</v>
      </c>
      <c r="B3573" t="s">
        <v>418</v>
      </c>
      <c r="C3573" t="s">
        <v>6939</v>
      </c>
      <c r="D3573" t="s">
        <v>17210</v>
      </c>
      <c r="E3573" t="s">
        <v>20396</v>
      </c>
      <c r="F3573" t="s">
        <v>29372</v>
      </c>
      <c r="G3573" t="s">
        <v>29379</v>
      </c>
      <c r="H3573" t="s">
        <v>29389</v>
      </c>
      <c r="I3573" t="s">
        <v>10408</v>
      </c>
      <c r="J3573" t="s">
        <v>31956</v>
      </c>
      <c r="K3573" t="s">
        <v>38524</v>
      </c>
      <c r="M3573" t="s">
        <v>39182</v>
      </c>
      <c r="N3573" t="s">
        <v>42669</v>
      </c>
      <c r="O3573" t="s">
        <v>42670</v>
      </c>
      <c r="P3573">
        <v>0</v>
      </c>
      <c r="Q3573">
        <v>0</v>
      </c>
      <c r="R3573" t="s">
        <v>42674</v>
      </c>
      <c r="S3573" t="s">
        <v>42788</v>
      </c>
      <c r="T3573" t="s">
        <v>44382</v>
      </c>
      <c r="U3573" t="s">
        <v>47779</v>
      </c>
      <c r="W3573" t="s">
        <v>39182</v>
      </c>
      <c r="X3573" t="s">
        <v>42676</v>
      </c>
    </row>
    <row r="3574" spans="1:24">
      <c r="A3574">
        <f>HYPERLINK("https://www.philgeps.gov.ph/GEPSNONPILOT/Tender/SplashBidNoticeAbstractUI.aspx?menuIndex=3&amp;refID=7193047&amp;Result=3","7193047")</f>
        <v>0</v>
      </c>
      <c r="B3574" t="s">
        <v>597</v>
      </c>
      <c r="C3574" t="s">
        <v>6940</v>
      </c>
      <c r="D3574" t="s">
        <v>17179</v>
      </c>
      <c r="E3574" t="s">
        <v>20397</v>
      </c>
      <c r="F3574" t="s">
        <v>29372</v>
      </c>
      <c r="G3574" t="s">
        <v>29380</v>
      </c>
      <c r="H3574" t="s">
        <v>29389</v>
      </c>
      <c r="I3574" t="s">
        <v>10408</v>
      </c>
      <c r="J3574" t="s">
        <v>29788</v>
      </c>
      <c r="K3574" t="s">
        <v>38522</v>
      </c>
      <c r="M3574" t="s">
        <v>39368</v>
      </c>
      <c r="N3574" t="s">
        <v>42669</v>
      </c>
      <c r="O3574" t="s">
        <v>42670</v>
      </c>
      <c r="P3574">
        <v>0</v>
      </c>
      <c r="Q3574">
        <v>0</v>
      </c>
      <c r="R3574" t="s">
        <v>42674</v>
      </c>
      <c r="S3574" t="s">
        <v>42788</v>
      </c>
      <c r="T3574" t="s">
        <v>44542</v>
      </c>
      <c r="U3574" t="s">
        <v>47780</v>
      </c>
      <c r="W3574" t="s">
        <v>39368</v>
      </c>
      <c r="X3574" t="s">
        <v>42676</v>
      </c>
    </row>
    <row r="3575" spans="1:24">
      <c r="A3575">
        <f>HYPERLINK("https://www.philgeps.gov.ph/GEPSNONPILOT/Tender/SplashBidNoticeAbstractUI.aspx?menuIndex=3&amp;refID=7193044&amp;Result=3","7193044")</f>
        <v>0</v>
      </c>
      <c r="B3575" t="s">
        <v>1311</v>
      </c>
      <c r="C3575" t="s">
        <v>6941</v>
      </c>
      <c r="D3575" t="s">
        <v>17141</v>
      </c>
      <c r="E3575" t="s">
        <v>20398</v>
      </c>
      <c r="F3575" t="s">
        <v>29372</v>
      </c>
      <c r="G3575" t="s">
        <v>29379</v>
      </c>
      <c r="H3575" t="s">
        <v>29389</v>
      </c>
      <c r="I3575" t="s">
        <v>10408</v>
      </c>
      <c r="J3575" t="s">
        <v>31957</v>
      </c>
      <c r="K3575" t="s">
        <v>38485</v>
      </c>
      <c r="M3575" t="s">
        <v>40143</v>
      </c>
      <c r="N3575" t="s">
        <v>42669</v>
      </c>
      <c r="O3575" t="s">
        <v>42670</v>
      </c>
      <c r="P3575">
        <v>0</v>
      </c>
      <c r="Q3575">
        <v>1</v>
      </c>
      <c r="R3575" t="s">
        <v>42674</v>
      </c>
      <c r="S3575" t="s">
        <v>42788</v>
      </c>
      <c r="T3575" t="s">
        <v>44565</v>
      </c>
      <c r="U3575" t="s">
        <v>47781</v>
      </c>
      <c r="W3575" t="s">
        <v>40143</v>
      </c>
      <c r="X3575" t="s">
        <v>42676</v>
      </c>
    </row>
    <row r="3576" spans="1:24">
      <c r="A3576">
        <f>HYPERLINK("https://www.philgeps.gov.ph/GEPSNONPILOT/Tender/SplashBidNoticeAbstractUI.aspx?menuIndex=3&amp;refID=7193050&amp;Result=3","7193050")</f>
        <v>0</v>
      </c>
      <c r="B3576" t="s">
        <v>1312</v>
      </c>
      <c r="C3576" t="s">
        <v>6942</v>
      </c>
      <c r="E3576" t="s">
        <v>20399</v>
      </c>
      <c r="F3576" t="s">
        <v>29372</v>
      </c>
      <c r="G3576" t="s">
        <v>29380</v>
      </c>
      <c r="H3576" t="s">
        <v>11048</v>
      </c>
      <c r="I3576" t="s">
        <v>5383</v>
      </c>
      <c r="J3576" t="s">
        <v>31830</v>
      </c>
      <c r="K3576" t="s">
        <v>38490</v>
      </c>
      <c r="M3576" t="s">
        <v>40144</v>
      </c>
      <c r="N3576" t="s">
        <v>42669</v>
      </c>
      <c r="O3576" t="s">
        <v>42670</v>
      </c>
      <c r="P3576">
        <v>0</v>
      </c>
      <c r="Q3576">
        <v>1</v>
      </c>
      <c r="R3576" t="s">
        <v>42674</v>
      </c>
      <c r="S3576" t="s">
        <v>42788</v>
      </c>
      <c r="T3576" t="s">
        <v>44468</v>
      </c>
      <c r="U3576" t="s">
        <v>45837</v>
      </c>
      <c r="W3576" t="s">
        <v>40144</v>
      </c>
      <c r="X3576" t="s">
        <v>42676</v>
      </c>
    </row>
    <row r="3577" spans="1:24">
      <c r="A3577">
        <f>HYPERLINK("https://www.philgeps.gov.ph/GEPSNONPILOT/Tender/SplashBidNoticeAbstractUI.aspx?menuIndex=3&amp;refID=7193035&amp;Result=3","7193035")</f>
        <v>0</v>
      </c>
      <c r="B3577" t="s">
        <v>1313</v>
      </c>
      <c r="C3577" t="s">
        <v>6943</v>
      </c>
      <c r="D3577" t="s">
        <v>17187</v>
      </c>
      <c r="E3577" t="s">
        <v>20400</v>
      </c>
      <c r="F3577" t="s">
        <v>29372</v>
      </c>
      <c r="G3577" t="s">
        <v>29379</v>
      </c>
      <c r="H3577" t="s">
        <v>11048</v>
      </c>
      <c r="I3577" t="s">
        <v>29491</v>
      </c>
      <c r="J3577" t="s">
        <v>31958</v>
      </c>
      <c r="K3577" t="s">
        <v>38491</v>
      </c>
      <c r="M3577" t="s">
        <v>40145</v>
      </c>
      <c r="N3577" t="s">
        <v>42669</v>
      </c>
      <c r="O3577" t="s">
        <v>42670</v>
      </c>
      <c r="P3577">
        <v>0</v>
      </c>
      <c r="Q3577">
        <v>8</v>
      </c>
      <c r="R3577" t="s">
        <v>42674</v>
      </c>
      <c r="S3577" t="s">
        <v>42788</v>
      </c>
      <c r="T3577" t="s">
        <v>44454</v>
      </c>
      <c r="U3577" t="s">
        <v>47782</v>
      </c>
      <c r="V3577" t="s">
        <v>56686</v>
      </c>
      <c r="W3577" t="s">
        <v>40145</v>
      </c>
      <c r="X3577" t="s">
        <v>42676</v>
      </c>
    </row>
    <row r="3578" spans="1:24">
      <c r="A3578">
        <f>HYPERLINK("https://www.philgeps.gov.ph/GEPSNONPILOT/Tender/SplashBidNoticeAbstractUI.aspx?menuIndex=3&amp;refID=7193032&amp;Result=3","7193032")</f>
        <v>0</v>
      </c>
      <c r="B3578" t="s">
        <v>1314</v>
      </c>
      <c r="C3578" t="s">
        <v>6944</v>
      </c>
      <c r="D3578" t="s">
        <v>17168</v>
      </c>
      <c r="E3578" t="s">
        <v>20401</v>
      </c>
      <c r="F3578" t="s">
        <v>29372</v>
      </c>
      <c r="G3578" t="s">
        <v>29380</v>
      </c>
      <c r="H3578" t="s">
        <v>29389</v>
      </c>
      <c r="I3578" t="s">
        <v>10408</v>
      </c>
      <c r="J3578" t="s">
        <v>31959</v>
      </c>
      <c r="K3578" t="s">
        <v>38518</v>
      </c>
      <c r="M3578" t="s">
        <v>40146</v>
      </c>
      <c r="N3578" t="s">
        <v>42669</v>
      </c>
      <c r="O3578" t="s">
        <v>42670</v>
      </c>
      <c r="P3578">
        <v>0</v>
      </c>
      <c r="Q3578">
        <v>0</v>
      </c>
      <c r="R3578" t="s">
        <v>42674</v>
      </c>
      <c r="S3578" t="s">
        <v>42788</v>
      </c>
      <c r="T3578" t="s">
        <v>44530</v>
      </c>
      <c r="U3578" t="s">
        <v>47783</v>
      </c>
      <c r="W3578" t="s">
        <v>40146</v>
      </c>
      <c r="X3578" t="s">
        <v>42676</v>
      </c>
    </row>
    <row r="3579" spans="1:24">
      <c r="A3579">
        <f>HYPERLINK("https://www.philgeps.gov.ph/GEPSNONPILOT/Tender/SplashBidNoticeAbstractUI.aspx?menuIndex=3&amp;refID=7193031&amp;Result=3","7193031")</f>
        <v>0</v>
      </c>
      <c r="B3579" t="s">
        <v>844</v>
      </c>
      <c r="C3579" t="s">
        <v>6945</v>
      </c>
      <c r="D3579" t="s">
        <v>17143</v>
      </c>
      <c r="E3579" t="s">
        <v>20402</v>
      </c>
      <c r="F3579" t="s">
        <v>29372</v>
      </c>
      <c r="G3579" t="s">
        <v>29379</v>
      </c>
      <c r="H3579" t="s">
        <v>11048</v>
      </c>
      <c r="I3579" t="s">
        <v>29394</v>
      </c>
      <c r="J3579" t="s">
        <v>31145</v>
      </c>
      <c r="K3579" t="s">
        <v>38491</v>
      </c>
      <c r="M3579" t="s">
        <v>39634</v>
      </c>
      <c r="N3579" t="s">
        <v>42669</v>
      </c>
      <c r="O3579" t="s">
        <v>42670</v>
      </c>
      <c r="P3579">
        <v>0</v>
      </c>
      <c r="Q3579">
        <v>0</v>
      </c>
      <c r="R3579" t="s">
        <v>42674</v>
      </c>
      <c r="S3579" t="s">
        <v>42788</v>
      </c>
      <c r="T3579" t="s">
        <v>44387</v>
      </c>
      <c r="U3579" t="s">
        <v>46577</v>
      </c>
      <c r="W3579" t="s">
        <v>39634</v>
      </c>
      <c r="X3579" t="s">
        <v>42676</v>
      </c>
    </row>
    <row r="3580" spans="1:24">
      <c r="A3580">
        <f>HYPERLINK("https://www.philgeps.gov.ph/GEPSNONPILOT/Tender/SplashBidNoticeAbstractUI.aspx?menuIndex=3&amp;refID=7193028&amp;Result=3","7193028")</f>
        <v>0</v>
      </c>
      <c r="B3580" t="s">
        <v>597</v>
      </c>
      <c r="C3580" t="s">
        <v>6946</v>
      </c>
      <c r="D3580" t="s">
        <v>17179</v>
      </c>
      <c r="E3580" t="s">
        <v>20403</v>
      </c>
      <c r="F3580" t="s">
        <v>29372</v>
      </c>
      <c r="G3580" t="s">
        <v>29380</v>
      </c>
      <c r="H3580" t="s">
        <v>29389</v>
      </c>
      <c r="I3580" t="s">
        <v>10408</v>
      </c>
      <c r="J3580" t="s">
        <v>29788</v>
      </c>
      <c r="K3580" t="s">
        <v>38522</v>
      </c>
      <c r="M3580" t="s">
        <v>39368</v>
      </c>
      <c r="N3580" t="s">
        <v>42669</v>
      </c>
      <c r="O3580" t="s">
        <v>42670</v>
      </c>
      <c r="P3580">
        <v>0</v>
      </c>
      <c r="Q3580">
        <v>1</v>
      </c>
      <c r="R3580" t="s">
        <v>42674</v>
      </c>
      <c r="S3580" t="s">
        <v>42788</v>
      </c>
      <c r="T3580" t="s">
        <v>44542</v>
      </c>
      <c r="U3580" t="s">
        <v>47784</v>
      </c>
      <c r="W3580" t="s">
        <v>39368</v>
      </c>
      <c r="X3580" t="s">
        <v>42676</v>
      </c>
    </row>
    <row r="3581" spans="1:24">
      <c r="A3581">
        <f>HYPERLINK("https://www.philgeps.gov.ph/GEPSNONPILOT/Tender/SplashBidNoticeAbstractUI.aspx?menuIndex=3&amp;refID=7193027&amp;Result=3","7193027")</f>
        <v>0</v>
      </c>
      <c r="B3581" t="s">
        <v>844</v>
      </c>
      <c r="C3581" t="s">
        <v>6947</v>
      </c>
      <c r="D3581" t="s">
        <v>17143</v>
      </c>
      <c r="E3581" t="s">
        <v>20404</v>
      </c>
      <c r="F3581" t="s">
        <v>29372</v>
      </c>
      <c r="G3581" t="s">
        <v>29379</v>
      </c>
      <c r="H3581" t="s">
        <v>11048</v>
      </c>
      <c r="I3581" t="s">
        <v>29394</v>
      </c>
      <c r="J3581" t="s">
        <v>31223</v>
      </c>
      <c r="K3581" t="s">
        <v>38491</v>
      </c>
      <c r="M3581" t="s">
        <v>39634</v>
      </c>
      <c r="N3581" t="s">
        <v>42669</v>
      </c>
      <c r="O3581" t="s">
        <v>42670</v>
      </c>
      <c r="P3581">
        <v>0</v>
      </c>
      <c r="Q3581">
        <v>0</v>
      </c>
      <c r="R3581" t="s">
        <v>42674</v>
      </c>
      <c r="S3581" t="s">
        <v>42788</v>
      </c>
      <c r="T3581" t="s">
        <v>44394</v>
      </c>
      <c r="U3581" t="s">
        <v>46577</v>
      </c>
      <c r="W3581" t="s">
        <v>39634</v>
      </c>
      <c r="X3581" t="s">
        <v>42676</v>
      </c>
    </row>
    <row r="3582" spans="1:24">
      <c r="A3582">
        <f>HYPERLINK("https://www.philgeps.gov.ph/GEPSNONPILOT/Tender/SplashBidNoticeAbstractUI.aspx?menuIndex=3&amp;refID=7193026&amp;Result=3","7193026")</f>
        <v>0</v>
      </c>
      <c r="B3582" t="s">
        <v>844</v>
      </c>
      <c r="C3582" t="s">
        <v>6948</v>
      </c>
      <c r="D3582" t="s">
        <v>17143</v>
      </c>
      <c r="E3582" t="s">
        <v>20405</v>
      </c>
      <c r="F3582" t="s">
        <v>29372</v>
      </c>
      <c r="G3582" t="s">
        <v>29379</v>
      </c>
      <c r="H3582" t="s">
        <v>11048</v>
      </c>
      <c r="I3582" t="s">
        <v>29394</v>
      </c>
      <c r="J3582" t="s">
        <v>31960</v>
      </c>
      <c r="K3582" t="s">
        <v>38491</v>
      </c>
      <c r="M3582" t="s">
        <v>39634</v>
      </c>
      <c r="N3582" t="s">
        <v>42669</v>
      </c>
      <c r="O3582" t="s">
        <v>42670</v>
      </c>
      <c r="P3582">
        <v>0</v>
      </c>
      <c r="Q3582">
        <v>0</v>
      </c>
      <c r="R3582" t="s">
        <v>42674</v>
      </c>
      <c r="S3582" t="s">
        <v>42788</v>
      </c>
      <c r="T3582" t="s">
        <v>44387</v>
      </c>
      <c r="U3582" t="s">
        <v>46577</v>
      </c>
      <c r="W3582" t="s">
        <v>39634</v>
      </c>
      <c r="X3582" t="s">
        <v>42676</v>
      </c>
    </row>
    <row r="3583" spans="1:24">
      <c r="A3583">
        <f>HYPERLINK("https://www.philgeps.gov.ph/GEPSNONPILOT/Tender/SplashBidNoticeAbstractUI.aspx?menuIndex=3&amp;refID=7193001&amp;Result=3","7193001")</f>
        <v>0</v>
      </c>
      <c r="B3583" t="s">
        <v>1308</v>
      </c>
      <c r="C3583" t="s">
        <v>6949</v>
      </c>
      <c r="D3583" t="s">
        <v>17181</v>
      </c>
      <c r="E3583" t="s">
        <v>20406</v>
      </c>
      <c r="F3583" t="s">
        <v>29372</v>
      </c>
      <c r="G3583" t="s">
        <v>29380</v>
      </c>
      <c r="H3583" t="s">
        <v>11048</v>
      </c>
      <c r="I3583" t="s">
        <v>29407</v>
      </c>
      <c r="J3583" t="s">
        <v>31961</v>
      </c>
      <c r="K3583" t="s">
        <v>38488</v>
      </c>
      <c r="M3583" t="s">
        <v>40140</v>
      </c>
      <c r="N3583" t="s">
        <v>42669</v>
      </c>
      <c r="O3583" t="s">
        <v>42670</v>
      </c>
      <c r="P3583">
        <v>0</v>
      </c>
      <c r="Q3583">
        <v>2</v>
      </c>
      <c r="R3583" t="s">
        <v>42674</v>
      </c>
      <c r="S3583" t="s">
        <v>42788</v>
      </c>
      <c r="T3583" t="s">
        <v>44439</v>
      </c>
      <c r="U3583" t="s">
        <v>47785</v>
      </c>
      <c r="W3583" t="s">
        <v>40140</v>
      </c>
      <c r="X3583" t="s">
        <v>42676</v>
      </c>
    </row>
    <row r="3584" spans="1:24">
      <c r="A3584">
        <f>HYPERLINK("https://www.philgeps.gov.ph/GEPSNONPILOT/Tender/SplashBidNoticeAbstractUI.aspx?menuIndex=3&amp;refID=7193024&amp;Result=3","7193024")</f>
        <v>0</v>
      </c>
      <c r="B3584" t="s">
        <v>844</v>
      </c>
      <c r="C3584" t="s">
        <v>6950</v>
      </c>
      <c r="D3584" t="s">
        <v>17143</v>
      </c>
      <c r="E3584" t="s">
        <v>20407</v>
      </c>
      <c r="F3584" t="s">
        <v>29372</v>
      </c>
      <c r="G3584" t="s">
        <v>29379</v>
      </c>
      <c r="H3584" t="s">
        <v>11048</v>
      </c>
      <c r="I3584" t="s">
        <v>29394</v>
      </c>
      <c r="J3584" t="s">
        <v>30087</v>
      </c>
      <c r="K3584" t="s">
        <v>38491</v>
      </c>
      <c r="M3584" t="s">
        <v>39634</v>
      </c>
      <c r="N3584" t="s">
        <v>42669</v>
      </c>
      <c r="O3584" t="s">
        <v>42670</v>
      </c>
      <c r="P3584">
        <v>0</v>
      </c>
      <c r="Q3584">
        <v>0</v>
      </c>
      <c r="R3584" t="s">
        <v>42674</v>
      </c>
      <c r="S3584" t="s">
        <v>42788</v>
      </c>
      <c r="T3584" t="s">
        <v>44387</v>
      </c>
      <c r="U3584" t="s">
        <v>46577</v>
      </c>
      <c r="W3584" t="s">
        <v>39634</v>
      </c>
      <c r="X3584" t="s">
        <v>42676</v>
      </c>
    </row>
    <row r="3585" spans="1:24">
      <c r="A3585">
        <f>HYPERLINK("https://www.philgeps.gov.ph/GEPSNONPILOT/Tender/SplashBidNoticeAbstractUI.aspx?menuIndex=3&amp;refID=7193023&amp;Result=3","7193023")</f>
        <v>0</v>
      </c>
      <c r="B3585" t="s">
        <v>844</v>
      </c>
      <c r="C3585" t="s">
        <v>6951</v>
      </c>
      <c r="D3585" t="s">
        <v>17143</v>
      </c>
      <c r="E3585" t="s">
        <v>20408</v>
      </c>
      <c r="F3585" t="s">
        <v>29372</v>
      </c>
      <c r="G3585" t="s">
        <v>29379</v>
      </c>
      <c r="H3585" t="s">
        <v>11048</v>
      </c>
      <c r="I3585" t="s">
        <v>29394</v>
      </c>
      <c r="J3585" t="s">
        <v>30087</v>
      </c>
      <c r="K3585" t="s">
        <v>38491</v>
      </c>
      <c r="M3585" t="s">
        <v>39634</v>
      </c>
      <c r="N3585" t="s">
        <v>42669</v>
      </c>
      <c r="O3585" t="s">
        <v>42670</v>
      </c>
      <c r="P3585">
        <v>0</v>
      </c>
      <c r="Q3585">
        <v>1</v>
      </c>
      <c r="R3585" t="s">
        <v>42674</v>
      </c>
      <c r="S3585" t="s">
        <v>42788</v>
      </c>
      <c r="T3585" t="s">
        <v>44387</v>
      </c>
      <c r="U3585" t="s">
        <v>46577</v>
      </c>
      <c r="W3585" t="s">
        <v>39634</v>
      </c>
      <c r="X3585" t="s">
        <v>42676</v>
      </c>
    </row>
    <row r="3586" spans="1:24">
      <c r="A3586">
        <f>HYPERLINK("https://www.philgeps.gov.ph/GEPSNONPILOT/Tender/SplashBidNoticeAbstractUI.aspx?menuIndex=3&amp;refID=7193021&amp;Result=3","7193021")</f>
        <v>0</v>
      </c>
      <c r="B3586" t="s">
        <v>166</v>
      </c>
      <c r="C3586" t="s">
        <v>6952</v>
      </c>
      <c r="D3586" t="s">
        <v>17163</v>
      </c>
      <c r="E3586" t="s">
        <v>17533</v>
      </c>
      <c r="F3586" t="s">
        <v>29372</v>
      </c>
      <c r="G3586" t="s">
        <v>29379</v>
      </c>
      <c r="H3586" t="s">
        <v>29390</v>
      </c>
      <c r="I3586" t="s">
        <v>29409</v>
      </c>
      <c r="J3586" t="s">
        <v>29824</v>
      </c>
      <c r="K3586" t="s">
        <v>38528</v>
      </c>
      <c r="M3586" t="s">
        <v>38923</v>
      </c>
      <c r="N3586" t="s">
        <v>42669</v>
      </c>
      <c r="O3586" t="s">
        <v>42670</v>
      </c>
      <c r="P3586">
        <v>0</v>
      </c>
      <c r="Q3586">
        <v>1</v>
      </c>
      <c r="R3586" t="s">
        <v>42674</v>
      </c>
      <c r="S3586" t="s">
        <v>42788</v>
      </c>
      <c r="T3586" t="s">
        <v>44430</v>
      </c>
      <c r="U3586" t="s">
        <v>47786</v>
      </c>
      <c r="W3586" t="s">
        <v>38923</v>
      </c>
      <c r="X3586" t="s">
        <v>42676</v>
      </c>
    </row>
    <row r="3587" spans="1:24">
      <c r="A3587">
        <f>HYPERLINK("https://www.philgeps.gov.ph/GEPSNONPILOT/Tender/SplashBidNoticeAbstractUI.aspx?menuIndex=3&amp;refID=7193020&amp;Result=3","7193020")</f>
        <v>0</v>
      </c>
      <c r="B3587" t="s">
        <v>844</v>
      </c>
      <c r="C3587" t="s">
        <v>6953</v>
      </c>
      <c r="D3587" t="s">
        <v>17143</v>
      </c>
      <c r="E3587" t="s">
        <v>20409</v>
      </c>
      <c r="F3587" t="s">
        <v>29372</v>
      </c>
      <c r="G3587" t="s">
        <v>29379</v>
      </c>
      <c r="H3587" t="s">
        <v>11048</v>
      </c>
      <c r="I3587" t="s">
        <v>29415</v>
      </c>
      <c r="J3587" t="s">
        <v>30113</v>
      </c>
      <c r="K3587" t="s">
        <v>38491</v>
      </c>
      <c r="M3587" t="s">
        <v>39634</v>
      </c>
      <c r="N3587" t="s">
        <v>42669</v>
      </c>
      <c r="O3587" t="s">
        <v>42670</v>
      </c>
      <c r="P3587">
        <v>0</v>
      </c>
      <c r="Q3587">
        <v>2</v>
      </c>
      <c r="R3587" t="s">
        <v>42674</v>
      </c>
      <c r="S3587" t="s">
        <v>42788</v>
      </c>
      <c r="T3587" t="s">
        <v>44387</v>
      </c>
      <c r="U3587" t="s">
        <v>46577</v>
      </c>
      <c r="W3587" t="s">
        <v>39634</v>
      </c>
      <c r="X3587" t="s">
        <v>42676</v>
      </c>
    </row>
    <row r="3588" spans="1:24">
      <c r="A3588">
        <f>HYPERLINK("https://www.philgeps.gov.ph/GEPSNONPILOT/Tender/SplashBidNoticeAbstractUI.aspx?menuIndex=3&amp;refID=7193019&amp;Result=3","7193019")</f>
        <v>0</v>
      </c>
      <c r="B3588" t="s">
        <v>166</v>
      </c>
      <c r="C3588" t="s">
        <v>6954</v>
      </c>
      <c r="D3588" t="s">
        <v>17163</v>
      </c>
      <c r="E3588" t="s">
        <v>17533</v>
      </c>
      <c r="F3588" t="s">
        <v>29372</v>
      </c>
      <c r="G3588" t="s">
        <v>29379</v>
      </c>
      <c r="H3588" t="s">
        <v>29390</v>
      </c>
      <c r="I3588" t="s">
        <v>29409</v>
      </c>
      <c r="J3588" t="s">
        <v>30032</v>
      </c>
      <c r="K3588" t="s">
        <v>38528</v>
      </c>
      <c r="M3588" t="s">
        <v>38923</v>
      </c>
      <c r="N3588" t="s">
        <v>42669</v>
      </c>
      <c r="O3588" t="s">
        <v>42670</v>
      </c>
      <c r="P3588">
        <v>0</v>
      </c>
      <c r="Q3588">
        <v>1</v>
      </c>
      <c r="R3588" t="s">
        <v>42674</v>
      </c>
      <c r="S3588" t="s">
        <v>42788</v>
      </c>
      <c r="T3588" t="s">
        <v>44430</v>
      </c>
      <c r="U3588" t="s">
        <v>47787</v>
      </c>
      <c r="W3588" t="s">
        <v>38923</v>
      </c>
      <c r="X3588" t="s">
        <v>42676</v>
      </c>
    </row>
    <row r="3589" spans="1:24">
      <c r="A3589">
        <f>HYPERLINK("https://www.philgeps.gov.ph/GEPSNONPILOT/Tender/SplashBidNoticeAbstractUI.aspx?menuIndex=3&amp;refID=7193029&amp;Result=3","7193029")</f>
        <v>0</v>
      </c>
      <c r="B3589" t="s">
        <v>1292</v>
      </c>
      <c r="C3589" t="s">
        <v>6955</v>
      </c>
      <c r="D3589" t="s">
        <v>17141</v>
      </c>
      <c r="E3589" t="s">
        <v>20410</v>
      </c>
      <c r="F3589" t="s">
        <v>29372</v>
      </c>
      <c r="G3589" t="s">
        <v>29380</v>
      </c>
      <c r="H3589" t="s">
        <v>11048</v>
      </c>
      <c r="I3589" t="s">
        <v>3670</v>
      </c>
      <c r="J3589" t="s">
        <v>31962</v>
      </c>
      <c r="K3589" t="s">
        <v>38496</v>
      </c>
      <c r="M3589" t="s">
        <v>40121</v>
      </c>
      <c r="N3589" t="s">
        <v>42669</v>
      </c>
      <c r="O3589" t="s">
        <v>42670</v>
      </c>
      <c r="P3589">
        <v>0</v>
      </c>
      <c r="Q3589">
        <v>1</v>
      </c>
      <c r="R3589" t="s">
        <v>42674</v>
      </c>
      <c r="S3589" t="s">
        <v>42788</v>
      </c>
      <c r="T3589" t="s">
        <v>44634</v>
      </c>
      <c r="U3589" t="s">
        <v>47788</v>
      </c>
      <c r="V3589" t="s">
        <v>56687</v>
      </c>
      <c r="W3589" t="s">
        <v>40121</v>
      </c>
      <c r="X3589" t="s">
        <v>42676</v>
      </c>
    </row>
    <row r="3590" spans="1:24">
      <c r="A3590">
        <f>HYPERLINK("https://www.philgeps.gov.ph/GEPSNONPILOT/Tender/SplashBidNoticeAbstractUI.aspx?menuIndex=3&amp;refID=7193002&amp;Result=3","7193002")</f>
        <v>0</v>
      </c>
      <c r="B3590" t="s">
        <v>844</v>
      </c>
      <c r="C3590" t="s">
        <v>6956</v>
      </c>
      <c r="D3590" t="s">
        <v>17143</v>
      </c>
      <c r="E3590" t="s">
        <v>20411</v>
      </c>
      <c r="F3590" t="s">
        <v>29372</v>
      </c>
      <c r="G3590" t="s">
        <v>29379</v>
      </c>
      <c r="H3590" t="s">
        <v>11048</v>
      </c>
      <c r="I3590" t="s">
        <v>29404</v>
      </c>
      <c r="J3590" t="s">
        <v>29555</v>
      </c>
      <c r="K3590" t="s">
        <v>38491</v>
      </c>
      <c r="M3590" t="s">
        <v>39634</v>
      </c>
      <c r="N3590" t="s">
        <v>42669</v>
      </c>
      <c r="O3590" t="s">
        <v>42670</v>
      </c>
      <c r="P3590">
        <v>0</v>
      </c>
      <c r="Q3590">
        <v>0</v>
      </c>
      <c r="R3590" t="s">
        <v>42674</v>
      </c>
      <c r="S3590" t="s">
        <v>42788</v>
      </c>
      <c r="T3590" t="s">
        <v>44387</v>
      </c>
      <c r="U3590" t="s">
        <v>46577</v>
      </c>
      <c r="W3590" t="s">
        <v>39634</v>
      </c>
      <c r="X3590" t="s">
        <v>42676</v>
      </c>
    </row>
    <row r="3591" spans="1:24">
      <c r="A3591">
        <f>HYPERLINK("https://www.philgeps.gov.ph/GEPSNONPILOT/Tender/SplashBidNoticeAbstractUI.aspx?menuIndex=3&amp;refID=7158584&amp;Result=3","7158584")</f>
        <v>0</v>
      </c>
      <c r="B3591" t="s">
        <v>1315</v>
      </c>
      <c r="C3591" t="s">
        <v>6957</v>
      </c>
      <c r="D3591" t="s">
        <v>17141</v>
      </c>
      <c r="E3591" t="s">
        <v>19316</v>
      </c>
      <c r="F3591" t="s">
        <v>29372</v>
      </c>
      <c r="G3591" t="s">
        <v>29383</v>
      </c>
      <c r="H3591" t="s">
        <v>11048</v>
      </c>
      <c r="I3591" t="s">
        <v>29409</v>
      </c>
      <c r="J3591" t="s">
        <v>31963</v>
      </c>
      <c r="K3591" t="s">
        <v>38490</v>
      </c>
      <c r="M3591" t="s">
        <v>40147</v>
      </c>
      <c r="N3591" t="s">
        <v>42669</v>
      </c>
      <c r="O3591" t="s">
        <v>42670</v>
      </c>
      <c r="P3591">
        <v>0</v>
      </c>
      <c r="Q3591">
        <v>8</v>
      </c>
      <c r="R3591" t="s">
        <v>42676</v>
      </c>
      <c r="S3591" t="s">
        <v>42809</v>
      </c>
      <c r="T3591" t="s">
        <v>44394</v>
      </c>
      <c r="U3591" t="s">
        <v>47789</v>
      </c>
      <c r="W3591" t="s">
        <v>40147</v>
      </c>
      <c r="X3591" t="s">
        <v>42690</v>
      </c>
    </row>
    <row r="3592" spans="1:24">
      <c r="A3592">
        <f>HYPERLINK("https://www.philgeps.gov.ph/GEPSNONPILOT/Tender/SplashBidNoticeAbstractUI.aspx?menuIndex=3&amp;refID=7158532&amp;Result=3","7158532")</f>
        <v>0</v>
      </c>
      <c r="B3592" t="s">
        <v>1316</v>
      </c>
      <c r="C3592" t="s">
        <v>6958</v>
      </c>
      <c r="D3592" t="s">
        <v>17200</v>
      </c>
      <c r="E3592" t="s">
        <v>20412</v>
      </c>
      <c r="F3592" t="s">
        <v>29372</v>
      </c>
      <c r="G3592" t="s">
        <v>29380</v>
      </c>
      <c r="H3592" t="s">
        <v>29389</v>
      </c>
      <c r="I3592" t="s">
        <v>10408</v>
      </c>
      <c r="J3592" t="s">
        <v>31964</v>
      </c>
      <c r="K3592" t="s">
        <v>38487</v>
      </c>
      <c r="M3592" t="s">
        <v>40148</v>
      </c>
      <c r="N3592" t="s">
        <v>42669</v>
      </c>
      <c r="O3592" t="s">
        <v>42670</v>
      </c>
      <c r="P3592">
        <v>0</v>
      </c>
      <c r="Q3592">
        <v>0</v>
      </c>
      <c r="R3592" t="s">
        <v>42676</v>
      </c>
      <c r="S3592" t="s">
        <v>42809</v>
      </c>
      <c r="T3592" t="s">
        <v>44557</v>
      </c>
      <c r="U3592" t="s">
        <v>47790</v>
      </c>
      <c r="W3592" t="s">
        <v>40148</v>
      </c>
      <c r="X3592" t="s">
        <v>42691</v>
      </c>
    </row>
    <row r="3593" spans="1:24">
      <c r="A3593">
        <f>HYPERLINK("https://www.philgeps.gov.ph/GEPSNONPILOT/Tender/SplashBidNoticeAbstractUI.aspx?menuIndex=3&amp;refID=7158522&amp;Result=3","7158522")</f>
        <v>0</v>
      </c>
      <c r="B3593" t="s">
        <v>1316</v>
      </c>
      <c r="C3593" t="s">
        <v>6959</v>
      </c>
      <c r="D3593" t="s">
        <v>17200</v>
      </c>
      <c r="E3593" t="s">
        <v>19663</v>
      </c>
      <c r="F3593" t="s">
        <v>29372</v>
      </c>
      <c r="G3593" t="s">
        <v>29380</v>
      </c>
      <c r="H3593" t="s">
        <v>29389</v>
      </c>
      <c r="I3593" t="s">
        <v>10408</v>
      </c>
      <c r="J3593" t="s">
        <v>30412</v>
      </c>
      <c r="K3593" t="s">
        <v>38487</v>
      </c>
      <c r="M3593" t="s">
        <v>40148</v>
      </c>
      <c r="N3593" t="s">
        <v>42669</v>
      </c>
      <c r="O3593" t="s">
        <v>42670</v>
      </c>
      <c r="P3593">
        <v>0</v>
      </c>
      <c r="Q3593">
        <v>0</v>
      </c>
      <c r="R3593" t="s">
        <v>42676</v>
      </c>
      <c r="S3593" t="s">
        <v>42809</v>
      </c>
      <c r="T3593" t="s">
        <v>44557</v>
      </c>
      <c r="U3593" t="s">
        <v>47791</v>
      </c>
      <c r="W3593" t="s">
        <v>40148</v>
      </c>
      <c r="X3593" t="s">
        <v>42691</v>
      </c>
    </row>
    <row r="3594" spans="1:24">
      <c r="A3594">
        <f>HYPERLINK("https://www.philgeps.gov.ph/GEPSNONPILOT/Tender/SplashBidNoticeAbstractUI.aspx?menuIndex=3&amp;refID=7158527&amp;Result=3","7158527")</f>
        <v>0</v>
      </c>
      <c r="B3594" t="s">
        <v>1316</v>
      </c>
      <c r="C3594" t="s">
        <v>6960</v>
      </c>
      <c r="D3594" t="s">
        <v>17200</v>
      </c>
      <c r="E3594" t="s">
        <v>19716</v>
      </c>
      <c r="F3594" t="s">
        <v>29372</v>
      </c>
      <c r="G3594" t="s">
        <v>29380</v>
      </c>
      <c r="H3594" t="s">
        <v>29389</v>
      </c>
      <c r="I3594" t="s">
        <v>10408</v>
      </c>
      <c r="J3594" t="s">
        <v>29587</v>
      </c>
      <c r="K3594" t="s">
        <v>38487</v>
      </c>
      <c r="M3594" t="s">
        <v>40148</v>
      </c>
      <c r="N3594" t="s">
        <v>42669</v>
      </c>
      <c r="O3594" t="s">
        <v>42670</v>
      </c>
      <c r="P3594">
        <v>0</v>
      </c>
      <c r="Q3594">
        <v>0</v>
      </c>
      <c r="R3594" t="s">
        <v>42676</v>
      </c>
      <c r="S3594" t="s">
        <v>42809</v>
      </c>
      <c r="T3594" t="s">
        <v>44557</v>
      </c>
      <c r="U3594" t="s">
        <v>47792</v>
      </c>
      <c r="W3594" t="s">
        <v>40148</v>
      </c>
      <c r="X3594" t="s">
        <v>42691</v>
      </c>
    </row>
    <row r="3595" spans="1:24">
      <c r="A3595">
        <f>HYPERLINK("https://www.philgeps.gov.ph/GEPSNONPILOT/Tender/SplashBidNoticeAbstractUI.aspx?menuIndex=3&amp;refID=7158513&amp;Result=3","7158513")</f>
        <v>0</v>
      </c>
      <c r="B3595" t="s">
        <v>1316</v>
      </c>
      <c r="C3595" t="s">
        <v>6961</v>
      </c>
      <c r="D3595" t="s">
        <v>17200</v>
      </c>
      <c r="E3595" t="s">
        <v>17755</v>
      </c>
      <c r="F3595" t="s">
        <v>29372</v>
      </c>
      <c r="G3595" t="s">
        <v>29380</v>
      </c>
      <c r="H3595" t="s">
        <v>29389</v>
      </c>
      <c r="I3595" t="s">
        <v>10408</v>
      </c>
      <c r="J3595" t="s">
        <v>29604</v>
      </c>
      <c r="K3595" t="s">
        <v>38531</v>
      </c>
      <c r="M3595" t="s">
        <v>40148</v>
      </c>
      <c r="N3595" t="s">
        <v>42669</v>
      </c>
      <c r="O3595" t="s">
        <v>42670</v>
      </c>
      <c r="P3595">
        <v>0</v>
      </c>
      <c r="Q3595">
        <v>0</v>
      </c>
      <c r="R3595" t="s">
        <v>42676</v>
      </c>
      <c r="S3595" t="s">
        <v>42809</v>
      </c>
      <c r="T3595" t="s">
        <v>44557</v>
      </c>
      <c r="U3595" t="s">
        <v>47793</v>
      </c>
      <c r="W3595" t="s">
        <v>40148</v>
      </c>
      <c r="X3595" t="s">
        <v>42691</v>
      </c>
    </row>
    <row r="3596" spans="1:24">
      <c r="A3596">
        <f>HYPERLINK("https://www.philgeps.gov.ph/GEPSNONPILOT/Tender/SplashBidNoticeAbstractUI.aspx?menuIndex=3&amp;refID=7158488&amp;Result=3","7158488")</f>
        <v>0</v>
      </c>
      <c r="B3596" t="s">
        <v>1316</v>
      </c>
      <c r="C3596" t="s">
        <v>6962</v>
      </c>
      <c r="D3596" t="s">
        <v>17200</v>
      </c>
      <c r="E3596" t="s">
        <v>17870</v>
      </c>
      <c r="F3596" t="s">
        <v>29372</v>
      </c>
      <c r="G3596" t="s">
        <v>29380</v>
      </c>
      <c r="H3596" t="s">
        <v>29389</v>
      </c>
      <c r="I3596" t="s">
        <v>10408</v>
      </c>
      <c r="J3596" t="s">
        <v>29729</v>
      </c>
      <c r="K3596" t="s">
        <v>38487</v>
      </c>
      <c r="M3596" t="s">
        <v>40148</v>
      </c>
      <c r="N3596" t="s">
        <v>42669</v>
      </c>
      <c r="O3596" t="s">
        <v>42670</v>
      </c>
      <c r="P3596">
        <v>0</v>
      </c>
      <c r="Q3596">
        <v>0</v>
      </c>
      <c r="R3596" t="s">
        <v>42676</v>
      </c>
      <c r="S3596" t="s">
        <v>42809</v>
      </c>
      <c r="T3596" t="s">
        <v>44557</v>
      </c>
      <c r="U3596" t="s">
        <v>47794</v>
      </c>
      <c r="W3596" t="s">
        <v>40148</v>
      </c>
      <c r="X3596" t="s">
        <v>42691</v>
      </c>
    </row>
    <row r="3597" spans="1:24">
      <c r="A3597">
        <f>HYPERLINK("https://www.philgeps.gov.ph/GEPSNONPILOT/Tender/SplashBidNoticeAbstractUI.aspx?menuIndex=3&amp;refID=7193017&amp;Result=3","7193017")</f>
        <v>0</v>
      </c>
      <c r="B3597" t="s">
        <v>166</v>
      </c>
      <c r="C3597" t="s">
        <v>6963</v>
      </c>
      <c r="D3597" t="s">
        <v>17163</v>
      </c>
      <c r="E3597" t="s">
        <v>17533</v>
      </c>
      <c r="F3597" t="s">
        <v>29372</v>
      </c>
      <c r="G3597" t="s">
        <v>29379</v>
      </c>
      <c r="H3597" t="s">
        <v>29390</v>
      </c>
      <c r="I3597" t="s">
        <v>29409</v>
      </c>
      <c r="J3597" t="s">
        <v>30169</v>
      </c>
      <c r="K3597" t="s">
        <v>38528</v>
      </c>
      <c r="M3597" t="s">
        <v>38923</v>
      </c>
      <c r="N3597" t="s">
        <v>42669</v>
      </c>
      <c r="O3597" t="s">
        <v>42670</v>
      </c>
      <c r="P3597">
        <v>0</v>
      </c>
      <c r="Q3597">
        <v>1</v>
      </c>
      <c r="R3597" t="s">
        <v>42674</v>
      </c>
      <c r="S3597" t="s">
        <v>42788</v>
      </c>
      <c r="T3597" t="s">
        <v>44430</v>
      </c>
      <c r="U3597" t="s">
        <v>47795</v>
      </c>
      <c r="W3597" t="s">
        <v>38923</v>
      </c>
      <c r="X3597" t="s">
        <v>42676</v>
      </c>
    </row>
    <row r="3598" spans="1:24">
      <c r="A3598">
        <f>HYPERLINK("https://www.philgeps.gov.ph/GEPSNONPILOT/Tender/SplashBidNoticeAbstractUI.aspx?menuIndex=3&amp;refID=7158476&amp;Result=3","7158476")</f>
        <v>0</v>
      </c>
      <c r="B3598" t="s">
        <v>1316</v>
      </c>
      <c r="C3598" t="s">
        <v>6964</v>
      </c>
      <c r="D3598" t="s">
        <v>17200</v>
      </c>
      <c r="E3598" t="s">
        <v>20413</v>
      </c>
      <c r="F3598" t="s">
        <v>29372</v>
      </c>
      <c r="G3598" t="s">
        <v>29380</v>
      </c>
      <c r="H3598" t="s">
        <v>29389</v>
      </c>
      <c r="I3598" t="s">
        <v>10408</v>
      </c>
      <c r="J3598" t="s">
        <v>29587</v>
      </c>
      <c r="K3598" t="s">
        <v>38487</v>
      </c>
      <c r="M3598" t="s">
        <v>40148</v>
      </c>
      <c r="N3598" t="s">
        <v>42669</v>
      </c>
      <c r="O3598" t="s">
        <v>42670</v>
      </c>
      <c r="P3598">
        <v>0</v>
      </c>
      <c r="Q3598">
        <v>1</v>
      </c>
      <c r="R3598" t="s">
        <v>42676</v>
      </c>
      <c r="S3598" t="s">
        <v>42809</v>
      </c>
      <c r="T3598" t="s">
        <v>44557</v>
      </c>
      <c r="U3598" t="s">
        <v>47796</v>
      </c>
      <c r="W3598" t="s">
        <v>40148</v>
      </c>
      <c r="X3598" t="s">
        <v>42691</v>
      </c>
    </row>
    <row r="3599" spans="1:24">
      <c r="A3599">
        <f>HYPERLINK("https://www.philgeps.gov.ph/GEPSNONPILOT/Tender/SplashBidNoticeAbstractUI.aspx?menuIndex=3&amp;refID=7154271&amp;Result=3","7154271")</f>
        <v>0</v>
      </c>
      <c r="B3599" t="s">
        <v>1317</v>
      </c>
      <c r="C3599" t="s">
        <v>6965</v>
      </c>
      <c r="D3599" t="s">
        <v>17170</v>
      </c>
      <c r="E3599" t="s">
        <v>20414</v>
      </c>
      <c r="F3599" t="s">
        <v>29372</v>
      </c>
      <c r="G3599" t="s">
        <v>29379</v>
      </c>
      <c r="H3599" t="s">
        <v>11048</v>
      </c>
      <c r="I3599" t="s">
        <v>29399</v>
      </c>
      <c r="J3599" t="s">
        <v>29980</v>
      </c>
      <c r="K3599" t="s">
        <v>38490</v>
      </c>
      <c r="M3599" t="s">
        <v>40149</v>
      </c>
      <c r="N3599" t="s">
        <v>42669</v>
      </c>
      <c r="O3599" t="s">
        <v>42670</v>
      </c>
      <c r="P3599">
        <v>0</v>
      </c>
      <c r="Q3599">
        <v>1</v>
      </c>
      <c r="R3599" t="s">
        <v>42676</v>
      </c>
      <c r="S3599" t="s">
        <v>42809</v>
      </c>
      <c r="T3599" t="s">
        <v>44429</v>
      </c>
      <c r="U3599" t="s">
        <v>47797</v>
      </c>
      <c r="W3599" t="s">
        <v>40149</v>
      </c>
      <c r="X3599" t="s">
        <v>42692</v>
      </c>
    </row>
    <row r="3600" spans="1:24">
      <c r="A3600">
        <f>HYPERLINK("https://www.philgeps.gov.ph/GEPSNONPILOT/Tender/SplashBidNoticeAbstractUI.aspx?menuIndex=3&amp;refID=7154163&amp;Result=3","7154163")</f>
        <v>0</v>
      </c>
      <c r="B3600" t="s">
        <v>1318</v>
      </c>
      <c r="C3600" t="s">
        <v>6966</v>
      </c>
      <c r="D3600" t="s">
        <v>17196</v>
      </c>
      <c r="E3600" t="s">
        <v>20415</v>
      </c>
      <c r="F3600" t="s">
        <v>29372</v>
      </c>
      <c r="G3600" t="s">
        <v>29380</v>
      </c>
      <c r="H3600" t="s">
        <v>11048</v>
      </c>
      <c r="I3600" t="s">
        <v>29409</v>
      </c>
      <c r="J3600" t="s">
        <v>31965</v>
      </c>
      <c r="K3600" t="s">
        <v>38487</v>
      </c>
      <c r="M3600" t="s">
        <v>40150</v>
      </c>
      <c r="N3600" t="s">
        <v>42669</v>
      </c>
      <c r="O3600" t="s">
        <v>42670</v>
      </c>
      <c r="P3600">
        <v>0</v>
      </c>
      <c r="Q3600">
        <v>10</v>
      </c>
      <c r="R3600" t="s">
        <v>42676</v>
      </c>
      <c r="S3600" t="s">
        <v>42809</v>
      </c>
      <c r="T3600" t="s">
        <v>44635</v>
      </c>
      <c r="U3600" t="s">
        <v>47798</v>
      </c>
      <c r="V3600" t="s">
        <v>56688</v>
      </c>
      <c r="W3600" t="s">
        <v>40150</v>
      </c>
      <c r="X3600" t="s">
        <v>42692</v>
      </c>
    </row>
    <row r="3601" spans="1:24">
      <c r="A3601">
        <f>HYPERLINK("https://www.philgeps.gov.ph/GEPSNONPILOT/Tender/SplashBidNoticeAbstractUI.aspx?menuIndex=3&amp;refID=7145164&amp;Result=3","7145164")</f>
        <v>0</v>
      </c>
      <c r="B3601" t="s">
        <v>1319</v>
      </c>
      <c r="C3601" t="s">
        <v>6967</v>
      </c>
      <c r="D3601" t="s">
        <v>17141</v>
      </c>
      <c r="E3601" t="s">
        <v>20416</v>
      </c>
      <c r="F3601" t="s">
        <v>29372</v>
      </c>
      <c r="G3601" t="s">
        <v>29380</v>
      </c>
      <c r="H3601" t="s">
        <v>29389</v>
      </c>
      <c r="I3601" t="s">
        <v>10408</v>
      </c>
      <c r="J3601" t="s">
        <v>31966</v>
      </c>
      <c r="K3601" t="s">
        <v>38490</v>
      </c>
      <c r="M3601" t="s">
        <v>40151</v>
      </c>
      <c r="N3601" t="s">
        <v>42669</v>
      </c>
      <c r="O3601" t="s">
        <v>42670</v>
      </c>
      <c r="P3601">
        <v>0</v>
      </c>
      <c r="Q3601">
        <v>0</v>
      </c>
      <c r="R3601" t="s">
        <v>42676</v>
      </c>
      <c r="S3601" t="s">
        <v>42809</v>
      </c>
      <c r="T3601" t="s">
        <v>44636</v>
      </c>
      <c r="U3601" t="s">
        <v>47799</v>
      </c>
      <c r="W3601" t="s">
        <v>40151</v>
      </c>
      <c r="X3601" t="s">
        <v>42698</v>
      </c>
    </row>
    <row r="3602" spans="1:24">
      <c r="A3602">
        <f>HYPERLINK("https://www.philgeps.gov.ph/GEPSNONPILOT/Tender/SplashBidNoticeAbstractUI.aspx?menuIndex=3&amp;refID=7144326&amp;Result=3","7144326")</f>
        <v>0</v>
      </c>
      <c r="B3602" t="s">
        <v>979</v>
      </c>
      <c r="C3602" t="s">
        <v>6968</v>
      </c>
      <c r="D3602" t="s">
        <v>17178</v>
      </c>
      <c r="E3602" t="s">
        <v>20417</v>
      </c>
      <c r="F3602" t="s">
        <v>29372</v>
      </c>
      <c r="G3602" t="s">
        <v>29380</v>
      </c>
      <c r="H3602" t="s">
        <v>29389</v>
      </c>
      <c r="I3602" t="s">
        <v>10408</v>
      </c>
      <c r="J3602" t="s">
        <v>31967</v>
      </c>
      <c r="K3602" t="s">
        <v>38533</v>
      </c>
      <c r="M3602" t="s">
        <v>39776</v>
      </c>
      <c r="N3602" t="s">
        <v>42669</v>
      </c>
      <c r="O3602" t="s">
        <v>42670</v>
      </c>
      <c r="P3602">
        <v>0</v>
      </c>
      <c r="Q3602">
        <v>5</v>
      </c>
      <c r="R3602" t="s">
        <v>42676</v>
      </c>
      <c r="S3602" t="s">
        <v>42809</v>
      </c>
      <c r="T3602" t="s">
        <v>44622</v>
      </c>
      <c r="U3602" t="s">
        <v>47800</v>
      </c>
      <c r="W3602" t="s">
        <v>39776</v>
      </c>
      <c r="X3602" t="s">
        <v>42698</v>
      </c>
    </row>
    <row r="3603" spans="1:24">
      <c r="A3603">
        <f>HYPERLINK("https://www.philgeps.gov.ph/GEPSNONPILOT/Tender/SplashBidNoticeAbstractUI.aspx?menuIndex=3&amp;refID=7141238&amp;Result=3","7141238")</f>
        <v>0</v>
      </c>
      <c r="B3603" t="s">
        <v>234</v>
      </c>
      <c r="C3603" t="s">
        <v>6969</v>
      </c>
      <c r="D3603" t="s">
        <v>17141</v>
      </c>
      <c r="E3603" t="s">
        <v>20418</v>
      </c>
      <c r="F3603" t="s">
        <v>29373</v>
      </c>
      <c r="G3603" t="s">
        <v>29379</v>
      </c>
      <c r="H3603" t="s">
        <v>11048</v>
      </c>
      <c r="I3603" t="s">
        <v>29447</v>
      </c>
      <c r="J3603" t="s">
        <v>29571</v>
      </c>
      <c r="K3603" t="s">
        <v>38485</v>
      </c>
      <c r="M3603" t="s">
        <v>38993</v>
      </c>
      <c r="N3603" t="s">
        <v>42669</v>
      </c>
      <c r="O3603" t="s">
        <v>42670</v>
      </c>
      <c r="P3603">
        <v>0</v>
      </c>
      <c r="Q3603">
        <v>4</v>
      </c>
      <c r="R3603" t="s">
        <v>42676</v>
      </c>
      <c r="S3603" t="s">
        <v>42809</v>
      </c>
      <c r="T3603" t="s">
        <v>44637</v>
      </c>
      <c r="U3603" t="s">
        <v>47801</v>
      </c>
      <c r="W3603" t="s">
        <v>38993</v>
      </c>
      <c r="X3603" t="s">
        <v>42699</v>
      </c>
    </row>
    <row r="3604" spans="1:24">
      <c r="A3604">
        <f>HYPERLINK("https://www.philgeps.gov.ph/GEPSNONPILOT/Tender/SplashBidNoticeAbstractUI.aspx?menuIndex=3&amp;refID=7158500&amp;Result=3","7158500")</f>
        <v>0</v>
      </c>
      <c r="B3604" t="s">
        <v>1316</v>
      </c>
      <c r="C3604" t="s">
        <v>6970</v>
      </c>
      <c r="D3604" t="s">
        <v>17200</v>
      </c>
      <c r="E3604" t="s">
        <v>17972</v>
      </c>
      <c r="F3604" t="s">
        <v>29372</v>
      </c>
      <c r="G3604" t="s">
        <v>29380</v>
      </c>
      <c r="H3604" t="s">
        <v>29389</v>
      </c>
      <c r="I3604" t="s">
        <v>10408</v>
      </c>
      <c r="J3604" t="s">
        <v>29587</v>
      </c>
      <c r="K3604" t="s">
        <v>38487</v>
      </c>
      <c r="M3604" t="s">
        <v>40148</v>
      </c>
      <c r="N3604" t="s">
        <v>42669</v>
      </c>
      <c r="O3604" t="s">
        <v>42670</v>
      </c>
      <c r="P3604">
        <v>0</v>
      </c>
      <c r="Q3604">
        <v>1</v>
      </c>
      <c r="R3604" t="s">
        <v>42676</v>
      </c>
      <c r="S3604" t="s">
        <v>42809</v>
      </c>
      <c r="T3604" t="s">
        <v>44557</v>
      </c>
      <c r="U3604" t="s">
        <v>47802</v>
      </c>
      <c r="W3604" t="s">
        <v>40148</v>
      </c>
      <c r="X3604" t="s">
        <v>42691</v>
      </c>
    </row>
    <row r="3605" spans="1:24">
      <c r="A3605">
        <f>HYPERLINK("https://www.philgeps.gov.ph/GEPSNONPILOT/Tender/SplashBidNoticeAbstractUI.aspx?menuIndex=3&amp;refID=7180181&amp;Result=3","7180181")</f>
        <v>0</v>
      </c>
      <c r="B3605" t="s">
        <v>86</v>
      </c>
      <c r="C3605" t="s">
        <v>6971</v>
      </c>
      <c r="E3605" t="s">
        <v>20419</v>
      </c>
      <c r="F3605" t="s">
        <v>29372</v>
      </c>
      <c r="G3605" t="s">
        <v>29379</v>
      </c>
      <c r="H3605" t="s">
        <v>11048</v>
      </c>
      <c r="I3605" t="s">
        <v>4709</v>
      </c>
      <c r="J3605" t="s">
        <v>31968</v>
      </c>
      <c r="K3605" t="s">
        <v>38491</v>
      </c>
      <c r="M3605" t="s">
        <v>38840</v>
      </c>
      <c r="N3605" t="s">
        <v>42669</v>
      </c>
      <c r="O3605" t="s">
        <v>42670</v>
      </c>
      <c r="P3605">
        <v>0</v>
      </c>
      <c r="Q3605">
        <v>0</v>
      </c>
      <c r="R3605" t="s">
        <v>42676</v>
      </c>
      <c r="S3605" t="s">
        <v>42809</v>
      </c>
      <c r="T3605" t="s">
        <v>44399</v>
      </c>
      <c r="U3605" t="s">
        <v>47803</v>
      </c>
      <c r="W3605" t="s">
        <v>38840</v>
      </c>
      <c r="X3605" t="s">
        <v>42681</v>
      </c>
    </row>
    <row r="3606" spans="1:24">
      <c r="A3606">
        <f>HYPERLINK("https://www.philgeps.gov.ph/GEPSNONPILOT/Tender/SplashBidNoticeAbstractUI.aspx?menuIndex=3&amp;refID=7192997&amp;Result=3","7192997")</f>
        <v>0</v>
      </c>
      <c r="B3606" t="s">
        <v>1320</v>
      </c>
      <c r="C3606" t="s">
        <v>6972</v>
      </c>
      <c r="D3606" t="s">
        <v>17168</v>
      </c>
      <c r="E3606" t="s">
        <v>20420</v>
      </c>
      <c r="F3606" t="s">
        <v>29372</v>
      </c>
      <c r="G3606" t="s">
        <v>29380</v>
      </c>
      <c r="H3606" t="s">
        <v>11048</v>
      </c>
      <c r="I3606" t="s">
        <v>5383</v>
      </c>
      <c r="J3606" t="s">
        <v>31969</v>
      </c>
      <c r="K3606" t="s">
        <v>38485</v>
      </c>
      <c r="M3606" t="s">
        <v>40152</v>
      </c>
      <c r="N3606" t="s">
        <v>42669</v>
      </c>
      <c r="O3606" t="s">
        <v>42670</v>
      </c>
      <c r="P3606">
        <v>0</v>
      </c>
      <c r="Q3606">
        <v>4</v>
      </c>
      <c r="R3606" t="s">
        <v>42674</v>
      </c>
      <c r="S3606" t="s">
        <v>42788</v>
      </c>
      <c r="T3606" t="s">
        <v>44573</v>
      </c>
      <c r="U3606" t="s">
        <v>47804</v>
      </c>
      <c r="V3606" t="s">
        <v>56689</v>
      </c>
      <c r="W3606" t="s">
        <v>40152</v>
      </c>
      <c r="X3606" t="s">
        <v>42676</v>
      </c>
    </row>
    <row r="3607" spans="1:24">
      <c r="A3607">
        <f>HYPERLINK("https://www.philgeps.gov.ph/GEPSNONPILOT/Tender/SplashBidNoticeAbstractUI.aspx?menuIndex=3&amp;refID=7180178&amp;Result=3","7180178")</f>
        <v>0</v>
      </c>
      <c r="B3607" t="s">
        <v>86</v>
      </c>
      <c r="C3607" t="s">
        <v>6973</v>
      </c>
      <c r="E3607" t="s">
        <v>20421</v>
      </c>
      <c r="F3607" t="s">
        <v>29372</v>
      </c>
      <c r="G3607" t="s">
        <v>29379</v>
      </c>
      <c r="H3607" t="s">
        <v>11048</v>
      </c>
      <c r="I3607" t="s">
        <v>4709</v>
      </c>
      <c r="J3607" t="s">
        <v>31970</v>
      </c>
      <c r="K3607" t="s">
        <v>38491</v>
      </c>
      <c r="M3607" t="s">
        <v>38840</v>
      </c>
      <c r="N3607" t="s">
        <v>42669</v>
      </c>
      <c r="O3607" t="s">
        <v>42670</v>
      </c>
      <c r="P3607">
        <v>0</v>
      </c>
      <c r="Q3607">
        <v>2</v>
      </c>
      <c r="R3607" t="s">
        <v>42676</v>
      </c>
      <c r="S3607" t="s">
        <v>42809</v>
      </c>
      <c r="T3607" t="s">
        <v>44399</v>
      </c>
      <c r="U3607" t="s">
        <v>47803</v>
      </c>
      <c r="W3607" t="s">
        <v>38840</v>
      </c>
      <c r="X3607" t="s">
        <v>42681</v>
      </c>
    </row>
    <row r="3608" spans="1:24">
      <c r="A3608">
        <f>HYPERLINK("https://www.philgeps.gov.ph/GEPSNONPILOT/Tender/SplashBidNoticeAbstractUI.aspx?menuIndex=3&amp;refID=7146499&amp;Result=3","7146499")</f>
        <v>0</v>
      </c>
      <c r="B3608" t="s">
        <v>55</v>
      </c>
      <c r="C3608" t="s">
        <v>6974</v>
      </c>
      <c r="D3608" t="s">
        <v>17163</v>
      </c>
      <c r="E3608" t="s">
        <v>20422</v>
      </c>
      <c r="F3608" t="s">
        <v>29372</v>
      </c>
      <c r="G3608" t="s">
        <v>29380</v>
      </c>
      <c r="H3608" t="s">
        <v>29389</v>
      </c>
      <c r="I3608" t="s">
        <v>10408</v>
      </c>
      <c r="J3608" t="s">
        <v>29590</v>
      </c>
      <c r="K3608" t="s">
        <v>38499</v>
      </c>
      <c r="M3608" t="s">
        <v>38808</v>
      </c>
      <c r="N3608" t="s">
        <v>42669</v>
      </c>
      <c r="O3608" t="s">
        <v>42670</v>
      </c>
      <c r="P3608">
        <v>0</v>
      </c>
      <c r="Q3608">
        <v>11</v>
      </c>
      <c r="R3608" t="s">
        <v>42676</v>
      </c>
      <c r="S3608" t="s">
        <v>42809</v>
      </c>
      <c r="T3608" t="s">
        <v>44638</v>
      </c>
      <c r="U3608" t="s">
        <v>47805</v>
      </c>
      <c r="W3608" t="s">
        <v>38808</v>
      </c>
      <c r="X3608" t="s">
        <v>42697</v>
      </c>
    </row>
    <row r="3609" spans="1:24">
      <c r="A3609">
        <f>HYPERLINK("https://www.philgeps.gov.ph/GEPSNONPILOT/Tender/SplashBidNoticeAbstractUI.aspx?menuIndex=3&amp;refID=7178818&amp;Result=3","7178818")</f>
        <v>0</v>
      </c>
      <c r="B3609" t="s">
        <v>589</v>
      </c>
      <c r="C3609" t="s">
        <v>6975</v>
      </c>
      <c r="D3609" t="s">
        <v>17168</v>
      </c>
      <c r="E3609" t="s">
        <v>20423</v>
      </c>
      <c r="F3609" t="s">
        <v>29372</v>
      </c>
      <c r="G3609" t="s">
        <v>29380</v>
      </c>
      <c r="H3609" t="s">
        <v>11048</v>
      </c>
      <c r="I3609" t="s">
        <v>3629</v>
      </c>
      <c r="J3609" t="s">
        <v>31971</v>
      </c>
      <c r="K3609" t="s">
        <v>38538</v>
      </c>
      <c r="M3609" t="s">
        <v>40153</v>
      </c>
      <c r="N3609" t="s">
        <v>42669</v>
      </c>
      <c r="O3609" t="s">
        <v>42670</v>
      </c>
      <c r="P3609">
        <v>0</v>
      </c>
      <c r="Q3609">
        <v>0</v>
      </c>
      <c r="R3609" t="s">
        <v>42676</v>
      </c>
      <c r="S3609" t="s">
        <v>42809</v>
      </c>
      <c r="T3609" t="s">
        <v>44480</v>
      </c>
      <c r="U3609" t="s">
        <v>47806</v>
      </c>
      <c r="V3609" t="s">
        <v>56460</v>
      </c>
      <c r="W3609" t="s">
        <v>40153</v>
      </c>
      <c r="X3609" t="s">
        <v>42682</v>
      </c>
    </row>
    <row r="3610" spans="1:24">
      <c r="A3610">
        <f>HYPERLINK("https://www.philgeps.gov.ph/GEPSNONPILOT/Tender/SplashBidNoticeAbstractUI.aspx?menuIndex=3&amp;refID=7178592&amp;Result=3","7178592")</f>
        <v>0</v>
      </c>
      <c r="B3610" t="s">
        <v>719</v>
      </c>
      <c r="C3610" t="s">
        <v>6976</v>
      </c>
      <c r="D3610" t="s">
        <v>17170</v>
      </c>
      <c r="E3610" t="s">
        <v>20424</v>
      </c>
      <c r="F3610" t="s">
        <v>29372</v>
      </c>
      <c r="G3610" t="s">
        <v>29380</v>
      </c>
      <c r="H3610" t="s">
        <v>11048</v>
      </c>
      <c r="I3610" t="s">
        <v>29433</v>
      </c>
      <c r="J3610" t="s">
        <v>31498</v>
      </c>
      <c r="K3610" t="s">
        <v>38485</v>
      </c>
      <c r="M3610" t="s">
        <v>39593</v>
      </c>
      <c r="N3610" t="s">
        <v>42669</v>
      </c>
      <c r="O3610" t="s">
        <v>42670</v>
      </c>
      <c r="P3610">
        <v>0</v>
      </c>
      <c r="Q3610">
        <v>6</v>
      </c>
      <c r="R3610" t="s">
        <v>42676</v>
      </c>
      <c r="S3610" t="s">
        <v>42809</v>
      </c>
      <c r="T3610" t="s">
        <v>44503</v>
      </c>
      <c r="U3610" t="s">
        <v>47807</v>
      </c>
      <c r="W3610" t="s">
        <v>39593</v>
      </c>
      <c r="X3610" t="s">
        <v>42682</v>
      </c>
    </row>
    <row r="3611" spans="1:24">
      <c r="A3611">
        <f>HYPERLINK("https://www.philgeps.gov.ph/GEPSNONPILOT/Tender/SplashBidNoticeAbstractUI.aspx?menuIndex=3&amp;refID=7158518&amp;Result=3","7158518")</f>
        <v>0</v>
      </c>
      <c r="B3611" t="s">
        <v>1316</v>
      </c>
      <c r="C3611" t="s">
        <v>6977</v>
      </c>
      <c r="D3611" t="s">
        <v>17200</v>
      </c>
      <c r="E3611" t="s">
        <v>18800</v>
      </c>
      <c r="F3611" t="s">
        <v>29372</v>
      </c>
      <c r="G3611" t="s">
        <v>29380</v>
      </c>
      <c r="H3611" t="s">
        <v>29389</v>
      </c>
      <c r="I3611" t="s">
        <v>10408</v>
      </c>
      <c r="J3611" t="s">
        <v>29587</v>
      </c>
      <c r="K3611" t="s">
        <v>38531</v>
      </c>
      <c r="M3611" t="s">
        <v>40148</v>
      </c>
      <c r="N3611" t="s">
        <v>42669</v>
      </c>
      <c r="O3611" t="s">
        <v>42670</v>
      </c>
      <c r="P3611">
        <v>0</v>
      </c>
      <c r="Q3611">
        <v>0</v>
      </c>
      <c r="R3611" t="s">
        <v>42676</v>
      </c>
      <c r="S3611" t="s">
        <v>42809</v>
      </c>
      <c r="T3611" t="s">
        <v>44557</v>
      </c>
      <c r="U3611" t="s">
        <v>47808</v>
      </c>
      <c r="W3611" t="s">
        <v>40148</v>
      </c>
      <c r="X3611" t="s">
        <v>42691</v>
      </c>
    </row>
    <row r="3612" spans="1:24">
      <c r="A3612">
        <f>HYPERLINK("https://www.philgeps.gov.ph/GEPSNONPILOT/Tender/SplashBidNoticeAbstractUI.aspx?menuIndex=3&amp;refID=7177637&amp;Result=3","7177637")</f>
        <v>0</v>
      </c>
      <c r="B3612" t="s">
        <v>58</v>
      </c>
      <c r="C3612" t="s">
        <v>6978</v>
      </c>
      <c r="D3612" t="s">
        <v>17208</v>
      </c>
      <c r="E3612" t="s">
        <v>20425</v>
      </c>
      <c r="F3612" t="s">
        <v>29372</v>
      </c>
      <c r="G3612" t="s">
        <v>29384</v>
      </c>
      <c r="H3612" t="s">
        <v>29389</v>
      </c>
      <c r="I3612" t="s">
        <v>10408</v>
      </c>
      <c r="J3612" t="s">
        <v>30012</v>
      </c>
      <c r="K3612" t="s">
        <v>38490</v>
      </c>
      <c r="L3612" t="s">
        <v>58</v>
      </c>
      <c r="M3612" t="s">
        <v>40154</v>
      </c>
      <c r="N3612" t="s">
        <v>42669</v>
      </c>
      <c r="O3612" t="s">
        <v>42670</v>
      </c>
      <c r="Q3612">
        <v>4</v>
      </c>
      <c r="R3612" t="s">
        <v>42676</v>
      </c>
      <c r="S3612" t="s">
        <v>42810</v>
      </c>
      <c r="T3612" t="s">
        <v>44450</v>
      </c>
      <c r="U3612" t="s">
        <v>47809</v>
      </c>
      <c r="W3612" t="s">
        <v>40154</v>
      </c>
      <c r="X3612" t="s">
        <v>42682</v>
      </c>
    </row>
    <row r="3613" spans="1:24">
      <c r="A3613">
        <f>HYPERLINK("https://www.philgeps.gov.ph/GEPSNONPILOT/Tender/SplashBidNoticeAbstractUI.aspx?menuIndex=3&amp;refID=7176274&amp;Result=3","7176274")</f>
        <v>0</v>
      </c>
      <c r="B3613" t="s">
        <v>58</v>
      </c>
      <c r="C3613" t="s">
        <v>6979</v>
      </c>
      <c r="D3613" t="s">
        <v>17208</v>
      </c>
      <c r="E3613" t="s">
        <v>20426</v>
      </c>
      <c r="F3613" t="s">
        <v>29372</v>
      </c>
      <c r="G3613" t="s">
        <v>29384</v>
      </c>
      <c r="H3613" t="s">
        <v>29389</v>
      </c>
      <c r="I3613" t="s">
        <v>10408</v>
      </c>
      <c r="J3613" t="s">
        <v>30012</v>
      </c>
      <c r="K3613" t="s">
        <v>38490</v>
      </c>
      <c r="L3613" t="s">
        <v>58</v>
      </c>
      <c r="M3613" t="s">
        <v>40154</v>
      </c>
      <c r="N3613" t="s">
        <v>42669</v>
      </c>
      <c r="O3613" t="s">
        <v>42670</v>
      </c>
      <c r="Q3613">
        <v>4</v>
      </c>
      <c r="R3613" t="s">
        <v>42676</v>
      </c>
      <c r="S3613" t="s">
        <v>42811</v>
      </c>
      <c r="T3613" t="s">
        <v>44450</v>
      </c>
      <c r="U3613" t="s">
        <v>47810</v>
      </c>
      <c r="W3613" t="s">
        <v>40154</v>
      </c>
      <c r="X3613" t="s">
        <v>42683</v>
      </c>
    </row>
    <row r="3614" spans="1:24">
      <c r="A3614">
        <f>HYPERLINK("https://www.philgeps.gov.ph/GEPSNONPILOT/Tender/SplashBidNoticeAbstractUI.aspx?menuIndex=3&amp;refID=7176211&amp;Result=3","7176211")</f>
        <v>0</v>
      </c>
      <c r="B3614" t="s">
        <v>58</v>
      </c>
      <c r="C3614" t="s">
        <v>6980</v>
      </c>
      <c r="D3614" t="s">
        <v>17208</v>
      </c>
      <c r="E3614" t="s">
        <v>20427</v>
      </c>
      <c r="F3614" t="s">
        <v>29372</v>
      </c>
      <c r="G3614" t="s">
        <v>29384</v>
      </c>
      <c r="H3614" t="s">
        <v>29389</v>
      </c>
      <c r="I3614" t="s">
        <v>10408</v>
      </c>
      <c r="J3614" t="s">
        <v>30012</v>
      </c>
      <c r="K3614" t="s">
        <v>38490</v>
      </c>
      <c r="L3614" t="s">
        <v>58</v>
      </c>
      <c r="M3614" t="s">
        <v>40154</v>
      </c>
      <c r="N3614" t="s">
        <v>42669</v>
      </c>
      <c r="O3614" t="s">
        <v>42670</v>
      </c>
      <c r="Q3614">
        <v>4</v>
      </c>
      <c r="R3614" t="s">
        <v>42676</v>
      </c>
      <c r="S3614" t="s">
        <v>42811</v>
      </c>
      <c r="T3614" t="s">
        <v>44450</v>
      </c>
      <c r="U3614" t="s">
        <v>47811</v>
      </c>
      <c r="W3614" t="s">
        <v>40154</v>
      </c>
      <c r="X3614" t="s">
        <v>42683</v>
      </c>
    </row>
    <row r="3615" spans="1:24">
      <c r="A3615">
        <f>HYPERLINK("https://www.philgeps.gov.ph/GEPSNONPILOT/Tender/SplashBidNoticeAbstractUI.aspx?menuIndex=3&amp;refID=7180179&amp;Result=3","7180179")</f>
        <v>0</v>
      </c>
      <c r="B3615" t="s">
        <v>86</v>
      </c>
      <c r="C3615" t="s">
        <v>6981</v>
      </c>
      <c r="E3615" t="s">
        <v>20428</v>
      </c>
      <c r="F3615" t="s">
        <v>29372</v>
      </c>
      <c r="G3615" t="s">
        <v>29383</v>
      </c>
      <c r="H3615" t="s">
        <v>11048</v>
      </c>
      <c r="I3615" t="s">
        <v>4487</v>
      </c>
      <c r="J3615" t="s">
        <v>30790</v>
      </c>
      <c r="K3615" t="s">
        <v>38491</v>
      </c>
      <c r="M3615" t="s">
        <v>40155</v>
      </c>
      <c r="N3615" t="s">
        <v>42669</v>
      </c>
      <c r="O3615" t="s">
        <v>42670</v>
      </c>
      <c r="P3615">
        <v>0</v>
      </c>
      <c r="Q3615">
        <v>5</v>
      </c>
      <c r="R3615" t="s">
        <v>42676</v>
      </c>
      <c r="S3615" t="s">
        <v>42809</v>
      </c>
      <c r="T3615" t="s">
        <v>44481</v>
      </c>
      <c r="U3615" t="s">
        <v>44993</v>
      </c>
      <c r="W3615" t="s">
        <v>40155</v>
      </c>
      <c r="X3615" t="s">
        <v>42681</v>
      </c>
    </row>
    <row r="3616" spans="1:24">
      <c r="A3616">
        <f>HYPERLINK("https://www.philgeps.gov.ph/GEPSNONPILOT/Tender/SplashBidNoticeAbstractUI.aspx?menuIndex=3&amp;refID=7176175&amp;Result=3","7176175")</f>
        <v>0</v>
      </c>
      <c r="B3616" t="s">
        <v>58</v>
      </c>
      <c r="C3616" t="s">
        <v>6982</v>
      </c>
      <c r="D3616" t="s">
        <v>17208</v>
      </c>
      <c r="E3616" t="s">
        <v>20429</v>
      </c>
      <c r="F3616" t="s">
        <v>29372</v>
      </c>
      <c r="G3616" t="s">
        <v>29384</v>
      </c>
      <c r="H3616" t="s">
        <v>29389</v>
      </c>
      <c r="I3616" t="s">
        <v>10408</v>
      </c>
      <c r="J3616" t="s">
        <v>30012</v>
      </c>
      <c r="K3616" t="s">
        <v>38490</v>
      </c>
      <c r="L3616" t="s">
        <v>58</v>
      </c>
      <c r="M3616" t="s">
        <v>40154</v>
      </c>
      <c r="N3616" t="s">
        <v>42669</v>
      </c>
      <c r="O3616" t="s">
        <v>42670</v>
      </c>
      <c r="Q3616">
        <v>4</v>
      </c>
      <c r="R3616" t="s">
        <v>42676</v>
      </c>
      <c r="S3616" t="s">
        <v>42812</v>
      </c>
      <c r="T3616" t="s">
        <v>44450</v>
      </c>
      <c r="U3616" t="s">
        <v>47812</v>
      </c>
      <c r="W3616" t="s">
        <v>40154</v>
      </c>
      <c r="X3616" t="s">
        <v>42683</v>
      </c>
    </row>
    <row r="3617" spans="1:24">
      <c r="A3617">
        <f>HYPERLINK("https://www.philgeps.gov.ph/GEPSNONPILOT/Tender/SplashBidNoticeAbstractUI.aspx?menuIndex=3&amp;refID=7175739&amp;Result=3","7175739")</f>
        <v>0</v>
      </c>
      <c r="B3617" t="s">
        <v>927</v>
      </c>
      <c r="C3617" t="s">
        <v>6983</v>
      </c>
      <c r="D3617" t="s">
        <v>17225</v>
      </c>
      <c r="E3617" t="s">
        <v>20430</v>
      </c>
      <c r="F3617" t="s">
        <v>29372</v>
      </c>
      <c r="G3617" t="s">
        <v>29380</v>
      </c>
      <c r="H3617" t="s">
        <v>11048</v>
      </c>
      <c r="I3617" t="s">
        <v>4709</v>
      </c>
      <c r="J3617" t="s">
        <v>31972</v>
      </c>
      <c r="K3617" t="s">
        <v>38510</v>
      </c>
      <c r="M3617" t="s">
        <v>39722</v>
      </c>
      <c r="N3617" t="s">
        <v>42669</v>
      </c>
      <c r="O3617" t="s">
        <v>42670</v>
      </c>
      <c r="P3617">
        <v>0</v>
      </c>
      <c r="Q3617">
        <v>0</v>
      </c>
      <c r="R3617" t="s">
        <v>42676</v>
      </c>
      <c r="S3617" t="s">
        <v>42809</v>
      </c>
      <c r="T3617" t="s">
        <v>44542</v>
      </c>
      <c r="U3617" t="s">
        <v>47813</v>
      </c>
      <c r="V3617" t="s">
        <v>56690</v>
      </c>
      <c r="W3617" t="s">
        <v>39722</v>
      </c>
      <c r="X3617" t="s">
        <v>42683</v>
      </c>
    </row>
    <row r="3618" spans="1:24">
      <c r="A3618">
        <f>HYPERLINK("https://www.philgeps.gov.ph/GEPSNONPILOT/Tender/SplashBidNoticeAbstractUI.aspx?menuIndex=3&amp;refID=7175571&amp;Result=3","7175571")</f>
        <v>0</v>
      </c>
      <c r="B3618" t="s">
        <v>927</v>
      </c>
      <c r="C3618" t="s">
        <v>6984</v>
      </c>
      <c r="D3618" t="s">
        <v>17225</v>
      </c>
      <c r="E3618" t="s">
        <v>20431</v>
      </c>
      <c r="F3618" t="s">
        <v>29372</v>
      </c>
      <c r="G3618" t="s">
        <v>29380</v>
      </c>
      <c r="H3618" t="s">
        <v>11048</v>
      </c>
      <c r="I3618" t="s">
        <v>4709</v>
      </c>
      <c r="J3618" t="s">
        <v>31973</v>
      </c>
      <c r="K3618" t="s">
        <v>38510</v>
      </c>
      <c r="M3618" t="s">
        <v>39722</v>
      </c>
      <c r="N3618" t="s">
        <v>42669</v>
      </c>
      <c r="O3618" t="s">
        <v>42670</v>
      </c>
      <c r="P3618">
        <v>0</v>
      </c>
      <c r="Q3618">
        <v>0</v>
      </c>
      <c r="R3618" t="s">
        <v>42676</v>
      </c>
      <c r="S3618" t="s">
        <v>42809</v>
      </c>
      <c r="T3618" t="s">
        <v>44542</v>
      </c>
      <c r="U3618" t="s">
        <v>47813</v>
      </c>
      <c r="V3618" t="s">
        <v>56690</v>
      </c>
      <c r="W3618" t="s">
        <v>39722</v>
      </c>
      <c r="X3618" t="s">
        <v>42683</v>
      </c>
    </row>
    <row r="3619" spans="1:24">
      <c r="A3619">
        <f>HYPERLINK("https://www.philgeps.gov.ph/GEPSNONPILOT/Tender/SplashBidNoticeAbstractUI.aspx?menuIndex=3&amp;refID=7175333&amp;Result=3","7175333")</f>
        <v>0</v>
      </c>
      <c r="B3619" t="s">
        <v>1321</v>
      </c>
      <c r="C3619" t="s">
        <v>6985</v>
      </c>
      <c r="D3619" t="s">
        <v>17204</v>
      </c>
      <c r="E3619" t="s">
        <v>20432</v>
      </c>
      <c r="F3619" t="s">
        <v>29372</v>
      </c>
      <c r="G3619" t="s">
        <v>29380</v>
      </c>
      <c r="H3619" t="s">
        <v>29389</v>
      </c>
      <c r="I3619" t="s">
        <v>10408</v>
      </c>
      <c r="J3619" t="s">
        <v>29555</v>
      </c>
      <c r="K3619" t="s">
        <v>38488</v>
      </c>
      <c r="M3619" t="s">
        <v>40156</v>
      </c>
      <c r="N3619" t="s">
        <v>42669</v>
      </c>
      <c r="O3619" t="s">
        <v>42670</v>
      </c>
      <c r="P3619">
        <v>0</v>
      </c>
      <c r="Q3619">
        <v>1</v>
      </c>
      <c r="R3619" t="s">
        <v>42676</v>
      </c>
      <c r="S3619" t="s">
        <v>42809</v>
      </c>
      <c r="T3619" t="s">
        <v>44431</v>
      </c>
      <c r="U3619" t="s">
        <v>47814</v>
      </c>
      <c r="W3619" t="s">
        <v>40156</v>
      </c>
      <c r="X3619" t="s">
        <v>42683</v>
      </c>
    </row>
    <row r="3620" spans="1:24">
      <c r="A3620">
        <f>HYPERLINK("https://www.philgeps.gov.ph/GEPSNONPILOT/Tender/SplashBidNoticeAbstractUI.aspx?menuIndex=3&amp;refID=7171990&amp;Result=3","7171990")</f>
        <v>0</v>
      </c>
      <c r="B3620" t="s">
        <v>1085</v>
      </c>
      <c r="C3620" t="s">
        <v>6986</v>
      </c>
      <c r="E3620" t="s">
        <v>20433</v>
      </c>
      <c r="F3620" t="s">
        <v>29372</v>
      </c>
      <c r="G3620" t="s">
        <v>29380</v>
      </c>
      <c r="H3620" t="s">
        <v>11048</v>
      </c>
      <c r="I3620" t="s">
        <v>29433</v>
      </c>
      <c r="J3620" t="s">
        <v>31974</v>
      </c>
      <c r="K3620" t="s">
        <v>38490</v>
      </c>
      <c r="M3620" t="s">
        <v>40157</v>
      </c>
      <c r="N3620" t="s">
        <v>42669</v>
      </c>
      <c r="O3620" t="s">
        <v>42670</v>
      </c>
      <c r="P3620">
        <v>0</v>
      </c>
      <c r="Q3620">
        <v>21</v>
      </c>
      <c r="R3620" t="s">
        <v>42676</v>
      </c>
      <c r="S3620" t="s">
        <v>42809</v>
      </c>
      <c r="T3620" t="s">
        <v>44414</v>
      </c>
      <c r="U3620" t="s">
        <v>45387</v>
      </c>
      <c r="W3620" t="s">
        <v>40157</v>
      </c>
      <c r="X3620" t="s">
        <v>42684</v>
      </c>
    </row>
    <row r="3621" spans="1:24">
      <c r="A3621">
        <f>HYPERLINK("https://www.philgeps.gov.ph/GEPSNONPILOT/Tender/SplashBidNoticeAbstractUI.aspx?menuIndex=3&amp;refID=7169938&amp;Result=3","7169938")</f>
        <v>0</v>
      </c>
      <c r="B3621" t="s">
        <v>1322</v>
      </c>
      <c r="C3621" t="s">
        <v>6987</v>
      </c>
      <c r="D3621" t="s">
        <v>17144</v>
      </c>
      <c r="E3621" t="s">
        <v>17347</v>
      </c>
      <c r="F3621" t="s">
        <v>29372</v>
      </c>
      <c r="G3621" t="s">
        <v>29380</v>
      </c>
      <c r="H3621" t="s">
        <v>11048</v>
      </c>
      <c r="I3621" t="s">
        <v>29412</v>
      </c>
      <c r="J3621" t="s">
        <v>31975</v>
      </c>
      <c r="K3621" t="s">
        <v>38528</v>
      </c>
      <c r="M3621" t="s">
        <v>40158</v>
      </c>
      <c r="N3621" t="s">
        <v>42669</v>
      </c>
      <c r="O3621" t="s">
        <v>42670</v>
      </c>
      <c r="P3621">
        <v>0</v>
      </c>
      <c r="Q3621">
        <v>1</v>
      </c>
      <c r="R3621" t="s">
        <v>42676</v>
      </c>
      <c r="S3621" t="s">
        <v>42809</v>
      </c>
      <c r="T3621" t="s">
        <v>44635</v>
      </c>
      <c r="U3621" t="s">
        <v>47815</v>
      </c>
      <c r="W3621" t="s">
        <v>40158</v>
      </c>
      <c r="X3621" t="s">
        <v>42685</v>
      </c>
    </row>
    <row r="3622" spans="1:24">
      <c r="A3622">
        <f>HYPERLINK("https://www.philgeps.gov.ph/GEPSNONPILOT/Tender/SplashBidNoticeAbstractUI.aspx?menuIndex=3&amp;refID=7177601&amp;Result=3","7177601")</f>
        <v>0</v>
      </c>
      <c r="B3622" t="s">
        <v>58</v>
      </c>
      <c r="C3622" t="s">
        <v>6988</v>
      </c>
      <c r="D3622" t="s">
        <v>17208</v>
      </c>
      <c r="E3622" t="s">
        <v>20434</v>
      </c>
      <c r="F3622" t="s">
        <v>29372</v>
      </c>
      <c r="G3622" t="s">
        <v>29384</v>
      </c>
      <c r="H3622" t="s">
        <v>29389</v>
      </c>
      <c r="I3622" t="s">
        <v>10408</v>
      </c>
      <c r="J3622" t="s">
        <v>31976</v>
      </c>
      <c r="K3622" t="s">
        <v>38490</v>
      </c>
      <c r="L3622" t="s">
        <v>58</v>
      </c>
      <c r="M3622" t="s">
        <v>40154</v>
      </c>
      <c r="N3622" t="s">
        <v>42669</v>
      </c>
      <c r="O3622" t="s">
        <v>42670</v>
      </c>
      <c r="Q3622">
        <v>2</v>
      </c>
      <c r="R3622" t="s">
        <v>42676</v>
      </c>
      <c r="S3622" t="s">
        <v>42813</v>
      </c>
      <c r="T3622" t="s">
        <v>44450</v>
      </c>
      <c r="U3622" t="s">
        <v>47816</v>
      </c>
      <c r="W3622" t="s">
        <v>40154</v>
      </c>
      <c r="X3622" t="s">
        <v>42682</v>
      </c>
    </row>
    <row r="3623" spans="1:24">
      <c r="A3623">
        <f>HYPERLINK("https://www.philgeps.gov.ph/GEPSNONPILOT/Tender/SplashBidNoticeAbstractUI.aspx?menuIndex=3&amp;refID=7169084&amp;Result=3","7169084")</f>
        <v>0</v>
      </c>
      <c r="B3623" t="s">
        <v>1323</v>
      </c>
      <c r="C3623" t="s">
        <v>6989</v>
      </c>
      <c r="D3623" t="s">
        <v>17141</v>
      </c>
      <c r="E3623" t="s">
        <v>20435</v>
      </c>
      <c r="F3623" t="s">
        <v>29372</v>
      </c>
      <c r="G3623" t="s">
        <v>29380</v>
      </c>
      <c r="H3623" t="s">
        <v>11048</v>
      </c>
      <c r="I3623" t="s">
        <v>29424</v>
      </c>
      <c r="J3623" t="s">
        <v>31549</v>
      </c>
      <c r="K3623" t="s">
        <v>38489</v>
      </c>
      <c r="M3623" t="s">
        <v>40159</v>
      </c>
      <c r="N3623" t="s">
        <v>42669</v>
      </c>
      <c r="O3623" t="s">
        <v>42670</v>
      </c>
      <c r="P3623">
        <v>0</v>
      </c>
      <c r="Q3623">
        <v>4</v>
      </c>
      <c r="R3623" t="s">
        <v>42676</v>
      </c>
      <c r="S3623" t="s">
        <v>42809</v>
      </c>
      <c r="T3623" t="s">
        <v>44639</v>
      </c>
      <c r="U3623" t="s">
        <v>47817</v>
      </c>
      <c r="W3623" t="s">
        <v>40159</v>
      </c>
      <c r="X3623" t="s">
        <v>42685</v>
      </c>
    </row>
    <row r="3624" spans="1:24">
      <c r="A3624">
        <f>HYPERLINK("https://www.philgeps.gov.ph/GEPSNONPILOT/Tender/SplashBidNoticeAbstractUI.aspx?menuIndex=3&amp;refID=7167499&amp;Result=3","7167499")</f>
        <v>0</v>
      </c>
      <c r="B3624" t="s">
        <v>1021</v>
      </c>
      <c r="C3624" t="s">
        <v>6990</v>
      </c>
      <c r="D3624" t="s">
        <v>17205</v>
      </c>
      <c r="E3624" t="s">
        <v>20436</v>
      </c>
      <c r="F3624" t="s">
        <v>29372</v>
      </c>
      <c r="G3624" t="s">
        <v>29379</v>
      </c>
      <c r="H3624" t="s">
        <v>29390</v>
      </c>
      <c r="I3624" t="s">
        <v>6417</v>
      </c>
      <c r="J3624" t="s">
        <v>31977</v>
      </c>
      <c r="K3624" t="s">
        <v>38485</v>
      </c>
      <c r="M3624" t="s">
        <v>39821</v>
      </c>
      <c r="N3624" t="s">
        <v>42669</v>
      </c>
      <c r="O3624" t="s">
        <v>42670</v>
      </c>
      <c r="P3624">
        <v>0</v>
      </c>
      <c r="Q3624">
        <v>0</v>
      </c>
      <c r="R3624" t="s">
        <v>42676</v>
      </c>
      <c r="S3624" t="s">
        <v>42809</v>
      </c>
      <c r="T3624" t="s">
        <v>44456</v>
      </c>
      <c r="U3624" t="s">
        <v>47818</v>
      </c>
      <c r="W3624" t="s">
        <v>39821</v>
      </c>
      <c r="X3624" t="s">
        <v>42686</v>
      </c>
    </row>
    <row r="3625" spans="1:24">
      <c r="A3625">
        <f>HYPERLINK("https://www.philgeps.gov.ph/GEPSNONPILOT/Tender/SplashBidNoticeAbstractUI.aspx?menuIndex=3&amp;refID=7175633&amp;Result=3","7175633")</f>
        <v>0</v>
      </c>
      <c r="B3625" t="s">
        <v>927</v>
      </c>
      <c r="C3625" t="s">
        <v>6991</v>
      </c>
      <c r="D3625" t="s">
        <v>17225</v>
      </c>
      <c r="E3625" t="s">
        <v>20437</v>
      </c>
      <c r="F3625" t="s">
        <v>29372</v>
      </c>
      <c r="G3625" t="s">
        <v>29380</v>
      </c>
      <c r="H3625" t="s">
        <v>11048</v>
      </c>
      <c r="I3625" t="s">
        <v>4709</v>
      </c>
      <c r="J3625" t="s">
        <v>31978</v>
      </c>
      <c r="K3625" t="s">
        <v>38510</v>
      </c>
      <c r="M3625" t="s">
        <v>39722</v>
      </c>
      <c r="N3625" t="s">
        <v>42669</v>
      </c>
      <c r="O3625" t="s">
        <v>42670</v>
      </c>
      <c r="P3625">
        <v>0</v>
      </c>
      <c r="Q3625">
        <v>0</v>
      </c>
      <c r="R3625" t="s">
        <v>42676</v>
      </c>
      <c r="S3625" t="s">
        <v>42809</v>
      </c>
      <c r="T3625" t="s">
        <v>44542</v>
      </c>
      <c r="U3625" t="s">
        <v>47813</v>
      </c>
      <c r="V3625" t="s">
        <v>56690</v>
      </c>
      <c r="W3625" t="s">
        <v>39722</v>
      </c>
      <c r="X3625" t="s">
        <v>42683</v>
      </c>
    </row>
    <row r="3626" spans="1:24">
      <c r="A3626">
        <f>HYPERLINK("https://www.philgeps.gov.ph/GEPSNONPILOT/Tender/SplashBidNoticeAbstractUI.aspx?menuIndex=3&amp;refID=7131984&amp;Result=3","7131984")</f>
        <v>0</v>
      </c>
      <c r="B3626" t="s">
        <v>1324</v>
      </c>
      <c r="C3626" t="s">
        <v>6992</v>
      </c>
      <c r="D3626" t="s">
        <v>17173</v>
      </c>
      <c r="E3626" t="s">
        <v>20438</v>
      </c>
      <c r="F3626" t="s">
        <v>29372</v>
      </c>
      <c r="G3626" t="s">
        <v>29380</v>
      </c>
      <c r="H3626" t="s">
        <v>11048</v>
      </c>
      <c r="I3626" t="s">
        <v>29447</v>
      </c>
      <c r="J3626" t="s">
        <v>29543</v>
      </c>
      <c r="K3626" t="s">
        <v>38485</v>
      </c>
      <c r="M3626" t="s">
        <v>40160</v>
      </c>
      <c r="N3626" t="s">
        <v>42669</v>
      </c>
      <c r="O3626" t="s">
        <v>42670</v>
      </c>
      <c r="P3626">
        <v>0</v>
      </c>
      <c r="Q3626">
        <v>3</v>
      </c>
      <c r="R3626" t="s">
        <v>42676</v>
      </c>
      <c r="S3626" t="s">
        <v>42809</v>
      </c>
      <c r="T3626" t="s">
        <v>44476</v>
      </c>
      <c r="U3626" t="s">
        <v>47819</v>
      </c>
      <c r="W3626" t="s">
        <v>40160</v>
      </c>
      <c r="X3626" t="s">
        <v>42703</v>
      </c>
    </row>
    <row r="3627" spans="1:24">
      <c r="A3627">
        <f>HYPERLINK("https://www.philgeps.gov.ph/GEPSNONPILOT/Tender/SplashBidNoticeAbstractUI.aspx?menuIndex=3&amp;refID=7108531&amp;Result=3","7108531")</f>
        <v>0</v>
      </c>
      <c r="B3627" t="s">
        <v>1325</v>
      </c>
      <c r="C3627" t="s">
        <v>6993</v>
      </c>
      <c r="D3627" t="s">
        <v>17163</v>
      </c>
      <c r="E3627" t="s">
        <v>20439</v>
      </c>
      <c r="F3627" t="s">
        <v>29372</v>
      </c>
      <c r="G3627" t="s">
        <v>29380</v>
      </c>
      <c r="H3627" t="s">
        <v>29389</v>
      </c>
      <c r="I3627" t="s">
        <v>10408</v>
      </c>
      <c r="J3627" t="s">
        <v>30627</v>
      </c>
      <c r="K3627" t="s">
        <v>38487</v>
      </c>
      <c r="M3627" t="s">
        <v>40161</v>
      </c>
      <c r="N3627" t="s">
        <v>42669</v>
      </c>
      <c r="O3627" t="s">
        <v>42670</v>
      </c>
      <c r="P3627">
        <v>0</v>
      </c>
      <c r="Q3627">
        <v>18</v>
      </c>
      <c r="R3627" t="s">
        <v>42676</v>
      </c>
      <c r="S3627" t="s">
        <v>42809</v>
      </c>
      <c r="T3627" t="s">
        <v>44378</v>
      </c>
      <c r="U3627" t="s">
        <v>47820</v>
      </c>
      <c r="V3627" t="s">
        <v>56691</v>
      </c>
      <c r="W3627" t="s">
        <v>40161</v>
      </c>
      <c r="X3627" t="s">
        <v>42711</v>
      </c>
    </row>
    <row r="3628" spans="1:24">
      <c r="A3628">
        <f>HYPERLINK("https://www.philgeps.gov.ph/GEPSNONPILOT/Tender/SplashBidNoticeAbstractUI.aspx?menuIndex=3&amp;refID=7171131&amp;Result=3","7171131")</f>
        <v>0</v>
      </c>
      <c r="B3628" t="s">
        <v>1326</v>
      </c>
      <c r="C3628" t="s">
        <v>6994</v>
      </c>
      <c r="D3628" t="s">
        <v>17189</v>
      </c>
      <c r="E3628" t="s">
        <v>20440</v>
      </c>
      <c r="F3628" t="s">
        <v>29372</v>
      </c>
      <c r="G3628" t="s">
        <v>29380</v>
      </c>
      <c r="H3628" t="s">
        <v>11048</v>
      </c>
      <c r="I3628" t="s">
        <v>29413</v>
      </c>
      <c r="J3628" t="s">
        <v>29786</v>
      </c>
      <c r="K3628" t="s">
        <v>38488</v>
      </c>
      <c r="M3628" t="s">
        <v>40162</v>
      </c>
      <c r="N3628" t="s">
        <v>42669</v>
      </c>
      <c r="O3628" t="s">
        <v>42670</v>
      </c>
      <c r="P3628">
        <v>0</v>
      </c>
      <c r="Q3628">
        <v>5</v>
      </c>
      <c r="R3628" t="s">
        <v>42676</v>
      </c>
      <c r="S3628" t="s">
        <v>42809</v>
      </c>
      <c r="T3628" t="s">
        <v>44399</v>
      </c>
      <c r="U3628" t="s">
        <v>47821</v>
      </c>
      <c r="W3628" t="s">
        <v>40162</v>
      </c>
      <c r="X3628" t="s">
        <v>42684</v>
      </c>
    </row>
    <row r="3629" spans="1:24">
      <c r="A3629">
        <f>HYPERLINK("https://www.philgeps.gov.ph/GEPSNONPILOT/Tender/SplashBidNoticeAbstractUI.aspx?menuIndex=3&amp;refID=6553434&amp;Result=3","6553434")</f>
        <v>0</v>
      </c>
      <c r="B3629" t="s">
        <v>1327</v>
      </c>
      <c r="C3629" t="s">
        <v>6995</v>
      </c>
      <c r="D3629" t="s">
        <v>17141</v>
      </c>
      <c r="E3629" t="s">
        <v>20441</v>
      </c>
      <c r="F3629" t="s">
        <v>29372</v>
      </c>
      <c r="G3629" t="s">
        <v>29379</v>
      </c>
      <c r="H3629" t="s">
        <v>11048</v>
      </c>
      <c r="I3629" t="s">
        <v>29407</v>
      </c>
      <c r="J3629" t="s">
        <v>30524</v>
      </c>
      <c r="K3629" t="s">
        <v>38489</v>
      </c>
      <c r="M3629" t="s">
        <v>40163</v>
      </c>
      <c r="N3629" t="s">
        <v>42669</v>
      </c>
      <c r="O3629" t="s">
        <v>42670</v>
      </c>
      <c r="P3629">
        <v>0</v>
      </c>
      <c r="Q3629">
        <v>4</v>
      </c>
      <c r="R3629" t="s">
        <v>42676</v>
      </c>
      <c r="S3629" t="s">
        <v>42809</v>
      </c>
      <c r="T3629" t="s">
        <v>44394</v>
      </c>
      <c r="U3629" t="s">
        <v>47822</v>
      </c>
      <c r="V3629" t="s">
        <v>56692</v>
      </c>
      <c r="W3629" t="s">
        <v>40163</v>
      </c>
      <c r="X3629" t="s">
        <v>58142</v>
      </c>
    </row>
    <row r="3630" spans="1:24">
      <c r="A3630">
        <f>HYPERLINK("https://www.philgeps.gov.ph/GEPSNONPILOT/Tender/SplashBidNoticeAbstractUI.aspx?menuIndex=3&amp;refID=7140736&amp;Result=3","7140736")</f>
        <v>0</v>
      </c>
      <c r="B3630" t="s">
        <v>234</v>
      </c>
      <c r="C3630" t="s">
        <v>6996</v>
      </c>
      <c r="D3630" t="s">
        <v>17141</v>
      </c>
      <c r="E3630" t="s">
        <v>20442</v>
      </c>
      <c r="F3630" t="s">
        <v>29373</v>
      </c>
      <c r="G3630" t="s">
        <v>29379</v>
      </c>
      <c r="H3630" t="s">
        <v>11048</v>
      </c>
      <c r="I3630" t="s">
        <v>29437</v>
      </c>
      <c r="J3630" t="s">
        <v>29708</v>
      </c>
      <c r="K3630" t="s">
        <v>38586</v>
      </c>
      <c r="M3630" t="s">
        <v>38993</v>
      </c>
      <c r="N3630" t="s">
        <v>42669</v>
      </c>
      <c r="O3630" t="s">
        <v>42670</v>
      </c>
      <c r="P3630">
        <v>0</v>
      </c>
      <c r="Q3630">
        <v>2</v>
      </c>
      <c r="R3630" t="s">
        <v>42676</v>
      </c>
      <c r="S3630" t="s">
        <v>42809</v>
      </c>
      <c r="T3630" t="s">
        <v>44637</v>
      </c>
      <c r="U3630" t="s">
        <v>47823</v>
      </c>
      <c r="W3630" t="s">
        <v>38993</v>
      </c>
      <c r="X3630" t="s">
        <v>42699</v>
      </c>
    </row>
    <row r="3631" spans="1:24">
      <c r="A3631">
        <f>HYPERLINK("https://www.philgeps.gov.ph/GEPSNONPILOT/Tender/SplashBidNoticeAbstractUI.aspx?menuIndex=3&amp;refID=7179056&amp;Result=3","7179056")</f>
        <v>0</v>
      </c>
      <c r="B3631" t="s">
        <v>1328</v>
      </c>
      <c r="C3631" t="s">
        <v>6997</v>
      </c>
      <c r="D3631" t="s">
        <v>17160</v>
      </c>
      <c r="E3631" t="s">
        <v>20443</v>
      </c>
      <c r="F3631" t="s">
        <v>29372</v>
      </c>
      <c r="G3631" t="s">
        <v>29379</v>
      </c>
      <c r="H3631" t="s">
        <v>11048</v>
      </c>
      <c r="I3631" t="s">
        <v>3860</v>
      </c>
      <c r="J3631" t="s">
        <v>29764</v>
      </c>
      <c r="K3631" t="s">
        <v>38488</v>
      </c>
      <c r="M3631" t="s">
        <v>40164</v>
      </c>
      <c r="N3631" t="s">
        <v>42669</v>
      </c>
      <c r="O3631" t="s">
        <v>42670</v>
      </c>
      <c r="P3631">
        <v>0</v>
      </c>
      <c r="Q3631">
        <v>1</v>
      </c>
      <c r="R3631" t="s">
        <v>42676</v>
      </c>
      <c r="S3631" t="s">
        <v>42809</v>
      </c>
      <c r="T3631" t="s">
        <v>44491</v>
      </c>
      <c r="U3631" t="s">
        <v>47824</v>
      </c>
      <c r="W3631" t="s">
        <v>40164</v>
      </c>
      <c r="X3631" t="s">
        <v>42682</v>
      </c>
    </row>
    <row r="3632" spans="1:24">
      <c r="A3632">
        <f>HYPERLINK("https://www.philgeps.gov.ph/GEPSNONPILOT/Tender/SplashBidNoticeAbstractUI.aspx?menuIndex=3&amp;refID=7083194&amp;Result=3","7083194")</f>
        <v>0</v>
      </c>
      <c r="B3632" t="s">
        <v>1329</v>
      </c>
      <c r="C3632" t="s">
        <v>6998</v>
      </c>
      <c r="D3632" t="s">
        <v>17192</v>
      </c>
      <c r="E3632" t="s">
        <v>20444</v>
      </c>
      <c r="F3632" t="s">
        <v>29372</v>
      </c>
      <c r="G3632" t="s">
        <v>29380</v>
      </c>
      <c r="H3632" t="s">
        <v>11048</v>
      </c>
      <c r="I3632" t="s">
        <v>4709</v>
      </c>
      <c r="J3632" t="s">
        <v>29571</v>
      </c>
      <c r="K3632" t="s">
        <v>38528</v>
      </c>
      <c r="M3632" t="s">
        <v>40165</v>
      </c>
      <c r="N3632" t="s">
        <v>42669</v>
      </c>
      <c r="O3632" t="s">
        <v>42670</v>
      </c>
      <c r="P3632">
        <v>0</v>
      </c>
      <c r="Q3632">
        <v>0</v>
      </c>
      <c r="R3632" t="s">
        <v>42676</v>
      </c>
      <c r="S3632" t="s">
        <v>42809</v>
      </c>
      <c r="T3632" t="s">
        <v>44462</v>
      </c>
      <c r="U3632" t="s">
        <v>47825</v>
      </c>
      <c r="W3632" t="s">
        <v>40165</v>
      </c>
      <c r="X3632" t="s">
        <v>42719</v>
      </c>
    </row>
    <row r="3633" spans="1:24">
      <c r="A3633">
        <f>HYPERLINK("https://www.philgeps.gov.ph/GEPSNONPILOT/Tender/SplashBidNoticeAbstractUI.aspx?menuIndex=3&amp;refID=7192978&amp;Result=3","7192978")</f>
        <v>0</v>
      </c>
      <c r="B3633" t="s">
        <v>1308</v>
      </c>
      <c r="C3633" t="s">
        <v>6914</v>
      </c>
      <c r="D3633" t="s">
        <v>17181</v>
      </c>
      <c r="E3633" t="s">
        <v>20445</v>
      </c>
      <c r="F3633" t="s">
        <v>29372</v>
      </c>
      <c r="G3633" t="s">
        <v>29380</v>
      </c>
      <c r="H3633" t="s">
        <v>11048</v>
      </c>
      <c r="I3633" t="s">
        <v>9469</v>
      </c>
      <c r="J3633" t="s">
        <v>30787</v>
      </c>
      <c r="K3633" t="s">
        <v>38488</v>
      </c>
      <c r="M3633" t="s">
        <v>40140</v>
      </c>
      <c r="N3633" t="s">
        <v>42669</v>
      </c>
      <c r="O3633" t="s">
        <v>42670</v>
      </c>
      <c r="P3633">
        <v>0</v>
      </c>
      <c r="Q3633">
        <v>2</v>
      </c>
      <c r="R3633" t="s">
        <v>42674</v>
      </c>
      <c r="S3633" t="s">
        <v>42788</v>
      </c>
      <c r="T3633" t="s">
        <v>44439</v>
      </c>
      <c r="U3633" t="s">
        <v>47826</v>
      </c>
      <c r="W3633" t="s">
        <v>40140</v>
      </c>
      <c r="X3633" t="s">
        <v>42676</v>
      </c>
    </row>
    <row r="3634" spans="1:24">
      <c r="A3634">
        <f>HYPERLINK("https://www.philgeps.gov.ph/GEPSNONPILOT/Tender/SplashBidNoticeAbstractUI.aspx?menuIndex=3&amp;refID=7180185&amp;Result=3","7180185")</f>
        <v>0</v>
      </c>
      <c r="B3634" t="s">
        <v>86</v>
      </c>
      <c r="C3634" t="s">
        <v>6999</v>
      </c>
      <c r="E3634" t="s">
        <v>20446</v>
      </c>
      <c r="F3634" t="s">
        <v>29372</v>
      </c>
      <c r="G3634" t="s">
        <v>29379</v>
      </c>
      <c r="H3634" t="s">
        <v>11048</v>
      </c>
      <c r="I3634" t="s">
        <v>3860</v>
      </c>
      <c r="J3634" t="s">
        <v>30130</v>
      </c>
      <c r="K3634" t="s">
        <v>38491</v>
      </c>
      <c r="M3634" t="s">
        <v>40155</v>
      </c>
      <c r="N3634" t="s">
        <v>42669</v>
      </c>
      <c r="O3634" t="s">
        <v>42670</v>
      </c>
      <c r="P3634">
        <v>0</v>
      </c>
      <c r="Q3634">
        <v>1</v>
      </c>
      <c r="R3634" t="s">
        <v>42676</v>
      </c>
      <c r="S3634" t="s">
        <v>42809</v>
      </c>
      <c r="T3634" t="s">
        <v>44399</v>
      </c>
      <c r="U3634" t="s">
        <v>44993</v>
      </c>
      <c r="W3634" t="s">
        <v>40155</v>
      </c>
      <c r="X3634" t="s">
        <v>42681</v>
      </c>
    </row>
    <row r="3635" spans="1:24">
      <c r="A3635">
        <f>HYPERLINK("https://www.philgeps.gov.ph/GEPSNONPILOT/Tender/SplashBidNoticeAbstractUI.aspx?menuIndex=3&amp;refID=7180196&amp;Result=3","7180196")</f>
        <v>0</v>
      </c>
      <c r="B3635" t="s">
        <v>86</v>
      </c>
      <c r="C3635" t="s">
        <v>7000</v>
      </c>
      <c r="E3635" t="s">
        <v>20447</v>
      </c>
      <c r="F3635" t="s">
        <v>29372</v>
      </c>
      <c r="G3635" t="s">
        <v>29379</v>
      </c>
      <c r="H3635" t="s">
        <v>11048</v>
      </c>
      <c r="I3635" t="s">
        <v>3629</v>
      </c>
      <c r="J3635" t="s">
        <v>31979</v>
      </c>
      <c r="K3635" t="s">
        <v>38518</v>
      </c>
      <c r="M3635" t="s">
        <v>38840</v>
      </c>
      <c r="N3635" t="s">
        <v>42669</v>
      </c>
      <c r="O3635" t="s">
        <v>42670</v>
      </c>
      <c r="P3635">
        <v>0</v>
      </c>
      <c r="Q3635">
        <v>0</v>
      </c>
      <c r="R3635" t="s">
        <v>42676</v>
      </c>
      <c r="S3635" t="s">
        <v>42809</v>
      </c>
      <c r="T3635" t="s">
        <v>44399</v>
      </c>
      <c r="U3635" t="s">
        <v>47803</v>
      </c>
      <c r="W3635" t="s">
        <v>38840</v>
      </c>
      <c r="X3635" t="s">
        <v>42681</v>
      </c>
    </row>
    <row r="3636" spans="1:24">
      <c r="A3636">
        <f>HYPERLINK("https://www.philgeps.gov.ph/GEPSNONPILOT/Tender/SplashBidNoticeAbstractUI.aspx?menuIndex=3&amp;refID=7180484&amp;Result=3","7180484")</f>
        <v>0</v>
      </c>
      <c r="B3636" t="s">
        <v>1330</v>
      </c>
      <c r="C3636" t="s">
        <v>7001</v>
      </c>
      <c r="E3636" t="s">
        <v>20448</v>
      </c>
      <c r="F3636" t="s">
        <v>29375</v>
      </c>
      <c r="G3636" t="s">
        <v>29383</v>
      </c>
      <c r="H3636" t="s">
        <v>11048</v>
      </c>
      <c r="I3636" t="s">
        <v>29412</v>
      </c>
      <c r="J3636" t="s">
        <v>31013</v>
      </c>
      <c r="K3636" t="s">
        <v>38490</v>
      </c>
      <c r="M3636" t="s">
        <v>40166</v>
      </c>
      <c r="N3636" t="s">
        <v>42669</v>
      </c>
      <c r="O3636" t="s">
        <v>42670</v>
      </c>
      <c r="P3636">
        <v>0</v>
      </c>
      <c r="Q3636">
        <v>0</v>
      </c>
      <c r="R3636" t="s">
        <v>42676</v>
      </c>
      <c r="S3636" t="s">
        <v>42809</v>
      </c>
      <c r="T3636" t="s">
        <v>44429</v>
      </c>
      <c r="U3636" t="s">
        <v>47827</v>
      </c>
      <c r="W3636" t="s">
        <v>40166</v>
      </c>
      <c r="X3636" t="s">
        <v>42680</v>
      </c>
    </row>
    <row r="3637" spans="1:24">
      <c r="A3637">
        <f>HYPERLINK("https://www.philgeps.gov.ph/GEPSNONPILOT/Tender/SplashBidNoticeAbstractUI.aspx?menuIndex=3&amp;refID=7180190&amp;Result=3","7180190")</f>
        <v>0</v>
      </c>
      <c r="B3637" t="s">
        <v>86</v>
      </c>
      <c r="C3637" t="s">
        <v>7002</v>
      </c>
      <c r="E3637" t="s">
        <v>20449</v>
      </c>
      <c r="F3637" t="s">
        <v>29372</v>
      </c>
      <c r="G3637" t="s">
        <v>29383</v>
      </c>
      <c r="H3637" t="s">
        <v>11048</v>
      </c>
      <c r="I3637" t="s">
        <v>3670</v>
      </c>
      <c r="J3637" t="s">
        <v>31980</v>
      </c>
      <c r="K3637" t="s">
        <v>38485</v>
      </c>
      <c r="M3637" t="s">
        <v>40155</v>
      </c>
      <c r="N3637" t="s">
        <v>42669</v>
      </c>
      <c r="O3637" t="s">
        <v>42670</v>
      </c>
      <c r="P3637">
        <v>0</v>
      </c>
      <c r="Q3637">
        <v>4</v>
      </c>
      <c r="R3637" t="s">
        <v>42676</v>
      </c>
      <c r="S3637" t="s">
        <v>42809</v>
      </c>
      <c r="T3637" t="s">
        <v>44481</v>
      </c>
      <c r="U3637" t="s">
        <v>44993</v>
      </c>
      <c r="W3637" t="s">
        <v>40155</v>
      </c>
      <c r="X3637" t="s">
        <v>42681</v>
      </c>
    </row>
    <row r="3638" spans="1:24">
      <c r="A3638">
        <f>HYPERLINK("https://www.philgeps.gov.ph/GEPSNONPILOT/Tender/SplashBidNoticeAbstractUI.aspx?menuIndex=3&amp;refID=7192984&amp;Result=3","7192984")</f>
        <v>0</v>
      </c>
      <c r="B3638" t="s">
        <v>597</v>
      </c>
      <c r="C3638" t="s">
        <v>7003</v>
      </c>
      <c r="D3638" t="s">
        <v>17179</v>
      </c>
      <c r="E3638" t="s">
        <v>20450</v>
      </c>
      <c r="F3638" t="s">
        <v>29372</v>
      </c>
      <c r="G3638" t="s">
        <v>29380</v>
      </c>
      <c r="H3638" t="s">
        <v>29389</v>
      </c>
      <c r="I3638" t="s">
        <v>10408</v>
      </c>
      <c r="J3638" t="s">
        <v>29788</v>
      </c>
      <c r="K3638" t="s">
        <v>38522</v>
      </c>
      <c r="M3638" t="s">
        <v>39368</v>
      </c>
      <c r="N3638" t="s">
        <v>42669</v>
      </c>
      <c r="O3638" t="s">
        <v>42670</v>
      </c>
      <c r="P3638">
        <v>0</v>
      </c>
      <c r="Q3638">
        <v>1</v>
      </c>
      <c r="R3638" t="s">
        <v>42674</v>
      </c>
      <c r="S3638" t="s">
        <v>42788</v>
      </c>
      <c r="T3638" t="s">
        <v>44542</v>
      </c>
      <c r="U3638" t="s">
        <v>47828</v>
      </c>
      <c r="W3638" t="s">
        <v>39368</v>
      </c>
      <c r="X3638" t="s">
        <v>42676</v>
      </c>
    </row>
    <row r="3639" spans="1:24">
      <c r="A3639">
        <f>HYPERLINK("https://www.philgeps.gov.ph/GEPSNONPILOT/Tender/SplashBidNoticeAbstractUI.aspx?menuIndex=3&amp;refID=7180188&amp;Result=3","7180188")</f>
        <v>0</v>
      </c>
      <c r="B3639" t="s">
        <v>86</v>
      </c>
      <c r="C3639" t="s">
        <v>7004</v>
      </c>
      <c r="E3639" t="s">
        <v>20451</v>
      </c>
      <c r="F3639" t="s">
        <v>29372</v>
      </c>
      <c r="G3639" t="s">
        <v>29379</v>
      </c>
      <c r="H3639" t="s">
        <v>11048</v>
      </c>
      <c r="I3639" t="s">
        <v>3839</v>
      </c>
      <c r="J3639" t="s">
        <v>30036</v>
      </c>
      <c r="K3639" t="s">
        <v>38518</v>
      </c>
      <c r="M3639" t="s">
        <v>38840</v>
      </c>
      <c r="N3639" t="s">
        <v>42669</v>
      </c>
      <c r="O3639" t="s">
        <v>42670</v>
      </c>
      <c r="P3639">
        <v>0</v>
      </c>
      <c r="Q3639">
        <v>2</v>
      </c>
      <c r="R3639" t="s">
        <v>42676</v>
      </c>
      <c r="S3639" t="s">
        <v>42809</v>
      </c>
      <c r="T3639" t="s">
        <v>44399</v>
      </c>
      <c r="U3639" t="s">
        <v>47803</v>
      </c>
      <c r="W3639" t="s">
        <v>38840</v>
      </c>
      <c r="X3639" t="s">
        <v>42681</v>
      </c>
    </row>
    <row r="3640" spans="1:24">
      <c r="A3640">
        <f>HYPERLINK("https://www.philgeps.gov.ph/GEPSNONPILOT/Tender/SplashBidNoticeAbstractUI.aspx?menuIndex=3&amp;refID=7181645&amp;Result=3","7181645")</f>
        <v>0</v>
      </c>
      <c r="B3640" t="s">
        <v>1331</v>
      </c>
      <c r="C3640" t="s">
        <v>7005</v>
      </c>
      <c r="D3640" t="s">
        <v>17168</v>
      </c>
      <c r="E3640" t="s">
        <v>20452</v>
      </c>
      <c r="F3640" t="s">
        <v>29372</v>
      </c>
      <c r="G3640" t="s">
        <v>29380</v>
      </c>
      <c r="H3640" t="s">
        <v>11048</v>
      </c>
      <c r="I3640" t="s">
        <v>29393</v>
      </c>
      <c r="J3640" t="s">
        <v>31981</v>
      </c>
      <c r="K3640" t="s">
        <v>38485</v>
      </c>
      <c r="M3640" t="s">
        <v>40167</v>
      </c>
      <c r="N3640" t="s">
        <v>42669</v>
      </c>
      <c r="O3640" t="s">
        <v>42670</v>
      </c>
      <c r="P3640">
        <v>0</v>
      </c>
      <c r="Q3640">
        <v>0</v>
      </c>
      <c r="R3640" t="s">
        <v>42676</v>
      </c>
      <c r="S3640" t="s">
        <v>42809</v>
      </c>
      <c r="T3640" t="s">
        <v>44387</v>
      </c>
      <c r="U3640" t="s">
        <v>47829</v>
      </c>
      <c r="W3640" t="s">
        <v>40167</v>
      </c>
      <c r="X3640" t="s">
        <v>42679</v>
      </c>
    </row>
    <row r="3641" spans="1:24">
      <c r="A3641">
        <f>HYPERLINK("https://www.philgeps.gov.ph/GEPSNONPILOT/Tender/SplashBidNoticeAbstractUI.aspx?menuIndex=3&amp;refID=7180854&amp;Result=3","7180854")</f>
        <v>0</v>
      </c>
      <c r="B3641" t="s">
        <v>1332</v>
      </c>
      <c r="C3641" t="s">
        <v>7006</v>
      </c>
      <c r="D3641" t="s">
        <v>17177</v>
      </c>
      <c r="E3641" t="s">
        <v>20453</v>
      </c>
      <c r="F3641" t="s">
        <v>29372</v>
      </c>
      <c r="G3641" t="s">
        <v>29380</v>
      </c>
      <c r="H3641" t="s">
        <v>11048</v>
      </c>
      <c r="I3641" t="s">
        <v>4709</v>
      </c>
      <c r="J3641" t="s">
        <v>31982</v>
      </c>
      <c r="K3641" t="s">
        <v>38549</v>
      </c>
      <c r="M3641" t="s">
        <v>40168</v>
      </c>
      <c r="N3641" t="s">
        <v>42669</v>
      </c>
      <c r="O3641" t="s">
        <v>42670</v>
      </c>
      <c r="P3641">
        <v>0</v>
      </c>
      <c r="Q3641">
        <v>0</v>
      </c>
      <c r="R3641" t="s">
        <v>42676</v>
      </c>
      <c r="S3641" t="s">
        <v>42809</v>
      </c>
      <c r="T3641" t="s">
        <v>44365</v>
      </c>
      <c r="U3641" t="s">
        <v>47830</v>
      </c>
      <c r="V3641" t="s">
        <v>56693</v>
      </c>
      <c r="W3641" t="s">
        <v>40168</v>
      </c>
      <c r="X3641" t="s">
        <v>42679</v>
      </c>
    </row>
    <row r="3642" spans="1:24">
      <c r="A3642">
        <f>HYPERLINK("https://www.philgeps.gov.ph/GEPSNONPILOT/Tender/SplashBidNoticeAbstractUI.aspx?menuIndex=3&amp;refID=7180193&amp;Result=3","7180193")</f>
        <v>0</v>
      </c>
      <c r="B3642" t="s">
        <v>86</v>
      </c>
      <c r="C3642" t="s">
        <v>7007</v>
      </c>
      <c r="E3642" t="s">
        <v>20454</v>
      </c>
      <c r="F3642" t="s">
        <v>29372</v>
      </c>
      <c r="G3642" t="s">
        <v>29382</v>
      </c>
      <c r="H3642" t="s">
        <v>11048</v>
      </c>
      <c r="I3642" t="s">
        <v>4487</v>
      </c>
      <c r="J3642" t="s">
        <v>31983</v>
      </c>
      <c r="K3642" t="s">
        <v>38491</v>
      </c>
      <c r="M3642" t="s">
        <v>38840</v>
      </c>
      <c r="N3642" t="s">
        <v>42669</v>
      </c>
      <c r="O3642" t="s">
        <v>42670</v>
      </c>
      <c r="P3642">
        <v>0</v>
      </c>
      <c r="Q3642">
        <v>6</v>
      </c>
      <c r="R3642" t="s">
        <v>42676</v>
      </c>
      <c r="S3642" t="s">
        <v>42809</v>
      </c>
      <c r="T3642" t="s">
        <v>44399</v>
      </c>
      <c r="U3642" t="s">
        <v>47803</v>
      </c>
      <c r="W3642" t="s">
        <v>38840</v>
      </c>
      <c r="X3642" t="s">
        <v>42681</v>
      </c>
    </row>
    <row r="3643" spans="1:24">
      <c r="A3643">
        <f>HYPERLINK("https://www.philgeps.gov.ph/GEPSNONPILOT/Tender/SplashBidNoticeAbstractUI.aspx?menuIndex=3&amp;refID=7180199&amp;Result=3","7180199")</f>
        <v>0</v>
      </c>
      <c r="B3643" t="s">
        <v>86</v>
      </c>
      <c r="C3643" t="s">
        <v>7008</v>
      </c>
      <c r="E3643" t="s">
        <v>20455</v>
      </c>
      <c r="F3643" t="s">
        <v>29372</v>
      </c>
      <c r="G3643" t="s">
        <v>29379</v>
      </c>
      <c r="H3643" t="s">
        <v>11048</v>
      </c>
      <c r="I3643" t="s">
        <v>4709</v>
      </c>
      <c r="J3643" t="s">
        <v>31984</v>
      </c>
      <c r="K3643" t="s">
        <v>38491</v>
      </c>
      <c r="M3643" t="s">
        <v>38840</v>
      </c>
      <c r="N3643" t="s">
        <v>42669</v>
      </c>
      <c r="O3643" t="s">
        <v>42670</v>
      </c>
      <c r="P3643">
        <v>0</v>
      </c>
      <c r="Q3643">
        <v>1</v>
      </c>
      <c r="R3643" t="s">
        <v>42676</v>
      </c>
      <c r="S3643" t="s">
        <v>42809</v>
      </c>
      <c r="T3643" t="s">
        <v>44399</v>
      </c>
      <c r="U3643" t="s">
        <v>47803</v>
      </c>
      <c r="W3643" t="s">
        <v>38840</v>
      </c>
      <c r="X3643" t="s">
        <v>42681</v>
      </c>
    </row>
    <row r="3644" spans="1:24">
      <c r="A3644">
        <f>HYPERLINK("https://www.philgeps.gov.ph/GEPSNONPILOT/Tender/SplashBidNoticeAbstractUI.aspx?menuIndex=3&amp;refID=7180861&amp;Result=3","7180861")</f>
        <v>0</v>
      </c>
      <c r="B3644" t="s">
        <v>1332</v>
      </c>
      <c r="C3644" t="s">
        <v>7009</v>
      </c>
      <c r="D3644" t="s">
        <v>17177</v>
      </c>
      <c r="E3644" t="s">
        <v>20456</v>
      </c>
      <c r="F3644" t="s">
        <v>29372</v>
      </c>
      <c r="G3644" t="s">
        <v>29380</v>
      </c>
      <c r="H3644" t="s">
        <v>11048</v>
      </c>
      <c r="I3644" t="s">
        <v>3952</v>
      </c>
      <c r="J3644" t="s">
        <v>31985</v>
      </c>
      <c r="K3644" t="s">
        <v>38590</v>
      </c>
      <c r="M3644" t="s">
        <v>40168</v>
      </c>
      <c r="N3644" t="s">
        <v>42669</v>
      </c>
      <c r="O3644" t="s">
        <v>42670</v>
      </c>
      <c r="P3644">
        <v>0</v>
      </c>
      <c r="Q3644">
        <v>1</v>
      </c>
      <c r="R3644" t="s">
        <v>42676</v>
      </c>
      <c r="S3644" t="s">
        <v>42809</v>
      </c>
      <c r="T3644" t="s">
        <v>44365</v>
      </c>
      <c r="U3644" t="s">
        <v>47831</v>
      </c>
      <c r="V3644" t="s">
        <v>56694</v>
      </c>
      <c r="W3644" t="s">
        <v>40168</v>
      </c>
      <c r="X3644" t="s">
        <v>42679</v>
      </c>
    </row>
    <row r="3645" spans="1:24">
      <c r="A3645">
        <f>HYPERLINK("https://www.philgeps.gov.ph/GEPSNONPILOT/Tender/SplashBidNoticeAbstractUI.aspx?menuIndex=3&amp;refID=7180998&amp;Result=3","7180998")</f>
        <v>0</v>
      </c>
      <c r="B3645" t="s">
        <v>1332</v>
      </c>
      <c r="C3645" t="s">
        <v>7010</v>
      </c>
      <c r="D3645" t="s">
        <v>17177</v>
      </c>
      <c r="E3645" t="s">
        <v>20457</v>
      </c>
      <c r="F3645" t="s">
        <v>29372</v>
      </c>
      <c r="G3645" t="s">
        <v>29380</v>
      </c>
      <c r="H3645" t="s">
        <v>11048</v>
      </c>
      <c r="I3645" t="s">
        <v>29447</v>
      </c>
      <c r="J3645" t="s">
        <v>31986</v>
      </c>
      <c r="K3645" t="s">
        <v>38485</v>
      </c>
      <c r="M3645" t="s">
        <v>40168</v>
      </c>
      <c r="N3645" t="s">
        <v>42669</v>
      </c>
      <c r="O3645" t="s">
        <v>42670</v>
      </c>
      <c r="P3645">
        <v>0</v>
      </c>
      <c r="Q3645">
        <v>3</v>
      </c>
      <c r="R3645" t="s">
        <v>42676</v>
      </c>
      <c r="S3645" t="s">
        <v>42809</v>
      </c>
      <c r="T3645" t="s">
        <v>44365</v>
      </c>
      <c r="U3645" t="s">
        <v>47832</v>
      </c>
      <c r="V3645" t="s">
        <v>56695</v>
      </c>
      <c r="W3645" t="s">
        <v>40168</v>
      </c>
      <c r="X3645" t="s">
        <v>42679</v>
      </c>
    </row>
    <row r="3646" spans="1:24">
      <c r="A3646">
        <f>HYPERLINK("https://www.philgeps.gov.ph/GEPSNONPILOT/Tender/SplashBidNoticeAbstractUI.aspx?menuIndex=3&amp;refID=7180858&amp;Result=3","7180858")</f>
        <v>0</v>
      </c>
      <c r="B3646" t="s">
        <v>1332</v>
      </c>
      <c r="C3646" t="s">
        <v>7011</v>
      </c>
      <c r="D3646" t="s">
        <v>17177</v>
      </c>
      <c r="E3646" t="s">
        <v>20458</v>
      </c>
      <c r="F3646" t="s">
        <v>29372</v>
      </c>
      <c r="G3646" t="s">
        <v>29380</v>
      </c>
      <c r="H3646" t="s">
        <v>11048</v>
      </c>
      <c r="I3646" t="s">
        <v>29449</v>
      </c>
      <c r="J3646" t="s">
        <v>31987</v>
      </c>
      <c r="K3646" t="s">
        <v>38487</v>
      </c>
      <c r="M3646" t="s">
        <v>40168</v>
      </c>
      <c r="N3646" t="s">
        <v>42669</v>
      </c>
      <c r="O3646" t="s">
        <v>42670</v>
      </c>
      <c r="P3646">
        <v>0</v>
      </c>
      <c r="Q3646">
        <v>1</v>
      </c>
      <c r="R3646" t="s">
        <v>42676</v>
      </c>
      <c r="S3646" t="s">
        <v>42809</v>
      </c>
      <c r="T3646" t="s">
        <v>44365</v>
      </c>
      <c r="U3646" t="s">
        <v>47833</v>
      </c>
      <c r="V3646" t="s">
        <v>56694</v>
      </c>
      <c r="W3646" t="s">
        <v>40168</v>
      </c>
      <c r="X3646" t="s">
        <v>42679</v>
      </c>
    </row>
    <row r="3647" spans="1:24">
      <c r="A3647">
        <f>HYPERLINK("https://www.philgeps.gov.ph/GEPSNONPILOT/Tender/SplashBidNoticeAbstractUI.aspx?menuIndex=3&amp;refID=7180675&amp;Result=3","7180675")</f>
        <v>0</v>
      </c>
      <c r="B3647" t="s">
        <v>1333</v>
      </c>
      <c r="C3647" t="s">
        <v>7012</v>
      </c>
      <c r="D3647" t="s">
        <v>17141</v>
      </c>
      <c r="E3647" t="s">
        <v>17347</v>
      </c>
      <c r="F3647" t="s">
        <v>29375</v>
      </c>
      <c r="G3647" t="s">
        <v>29379</v>
      </c>
      <c r="H3647" t="s">
        <v>29390</v>
      </c>
      <c r="I3647" t="s">
        <v>29409</v>
      </c>
      <c r="J3647" t="s">
        <v>31988</v>
      </c>
      <c r="K3647" t="s">
        <v>38491</v>
      </c>
      <c r="L3647" t="s">
        <v>1333</v>
      </c>
      <c r="M3647" t="s">
        <v>40169</v>
      </c>
      <c r="N3647" t="s">
        <v>42669</v>
      </c>
      <c r="O3647" t="s">
        <v>42670</v>
      </c>
      <c r="P3647">
        <v>0</v>
      </c>
      <c r="Q3647">
        <v>8</v>
      </c>
      <c r="R3647" t="s">
        <v>42676</v>
      </c>
      <c r="S3647" t="s">
        <v>42809</v>
      </c>
      <c r="T3647" t="s">
        <v>44430</v>
      </c>
      <c r="U3647" t="s">
        <v>47834</v>
      </c>
      <c r="V3647" t="s">
        <v>56696</v>
      </c>
      <c r="W3647" t="s">
        <v>40169</v>
      </c>
      <c r="X3647" t="s">
        <v>42680</v>
      </c>
    </row>
    <row r="3648" spans="1:24">
      <c r="A3648">
        <f>HYPERLINK("https://www.philgeps.gov.ph/GEPSNONPILOT/Tender/SplashBidNoticeAbstractUI.aspx?menuIndex=3&amp;refID=7181618&amp;Result=3","7181618")</f>
        <v>0</v>
      </c>
      <c r="B3648" t="s">
        <v>1331</v>
      </c>
      <c r="C3648" t="s">
        <v>7013</v>
      </c>
      <c r="D3648" t="s">
        <v>17168</v>
      </c>
      <c r="E3648" t="s">
        <v>20459</v>
      </c>
      <c r="F3648" t="s">
        <v>29374</v>
      </c>
      <c r="G3648" t="s">
        <v>29380</v>
      </c>
      <c r="H3648" t="s">
        <v>11048</v>
      </c>
      <c r="I3648" t="s">
        <v>29407</v>
      </c>
      <c r="J3648" t="s">
        <v>31989</v>
      </c>
      <c r="K3648" t="s">
        <v>38510</v>
      </c>
      <c r="M3648" t="s">
        <v>40167</v>
      </c>
      <c r="N3648" t="s">
        <v>42669</v>
      </c>
      <c r="O3648" t="s">
        <v>42670</v>
      </c>
      <c r="P3648">
        <v>0</v>
      </c>
      <c r="Q3648">
        <v>11</v>
      </c>
      <c r="R3648" t="s">
        <v>42676</v>
      </c>
      <c r="S3648" t="s">
        <v>42809</v>
      </c>
      <c r="T3648" t="s">
        <v>44504</v>
      </c>
      <c r="U3648" t="s">
        <v>47835</v>
      </c>
      <c r="W3648" t="s">
        <v>40167</v>
      </c>
      <c r="X3648" t="s">
        <v>42679</v>
      </c>
    </row>
    <row r="3649" spans="1:24">
      <c r="A3649">
        <f>HYPERLINK("https://www.philgeps.gov.ph/GEPSNONPILOT/Tender/SplashBidNoticeAbstractUI.aspx?menuIndex=3&amp;refID=7181490&amp;Result=3","7181490")</f>
        <v>0</v>
      </c>
      <c r="B3649" t="s">
        <v>1334</v>
      </c>
      <c r="C3649" t="s">
        <v>7014</v>
      </c>
      <c r="D3649" t="s">
        <v>17182</v>
      </c>
      <c r="E3649" t="s">
        <v>20460</v>
      </c>
      <c r="F3649" t="s">
        <v>29372</v>
      </c>
      <c r="G3649" t="s">
        <v>29380</v>
      </c>
      <c r="H3649" t="s">
        <v>11048</v>
      </c>
      <c r="I3649" t="s">
        <v>4486</v>
      </c>
      <c r="J3649" t="s">
        <v>31990</v>
      </c>
      <c r="K3649" t="s">
        <v>38488</v>
      </c>
      <c r="M3649" t="s">
        <v>40170</v>
      </c>
      <c r="N3649" t="s">
        <v>42669</v>
      </c>
      <c r="O3649" t="s">
        <v>42670</v>
      </c>
      <c r="Q3649">
        <v>6</v>
      </c>
      <c r="R3649" t="s">
        <v>42676</v>
      </c>
      <c r="S3649" t="s">
        <v>42814</v>
      </c>
      <c r="T3649" t="s">
        <v>44620</v>
      </c>
      <c r="U3649" t="s">
        <v>47836</v>
      </c>
      <c r="W3649" t="s">
        <v>40170</v>
      </c>
      <c r="X3649" t="s">
        <v>42679</v>
      </c>
    </row>
    <row r="3650" spans="1:24">
      <c r="A3650">
        <f>HYPERLINK("https://www.philgeps.gov.ph/GEPSNONPILOT/Tender/SplashBidNoticeAbstractUI.aspx?menuIndex=3&amp;refID=7181060&amp;Result=3","7181060")</f>
        <v>0</v>
      </c>
      <c r="B3650" t="s">
        <v>1326</v>
      </c>
      <c r="C3650" t="s">
        <v>7015</v>
      </c>
      <c r="D3650" t="s">
        <v>17189</v>
      </c>
      <c r="E3650" t="s">
        <v>20461</v>
      </c>
      <c r="F3650" t="s">
        <v>29372</v>
      </c>
      <c r="G3650" t="s">
        <v>29380</v>
      </c>
      <c r="H3650" t="s">
        <v>11048</v>
      </c>
      <c r="I3650" t="s">
        <v>4486</v>
      </c>
      <c r="J3650" t="s">
        <v>31991</v>
      </c>
      <c r="K3650" t="s">
        <v>38488</v>
      </c>
      <c r="M3650" t="s">
        <v>40162</v>
      </c>
      <c r="N3650" t="s">
        <v>42669</v>
      </c>
      <c r="O3650" t="s">
        <v>42670</v>
      </c>
      <c r="P3650">
        <v>0</v>
      </c>
      <c r="Q3650">
        <v>1</v>
      </c>
      <c r="R3650" t="s">
        <v>42676</v>
      </c>
      <c r="S3650" t="s">
        <v>42809</v>
      </c>
      <c r="T3650" t="s">
        <v>44399</v>
      </c>
      <c r="U3650" t="s">
        <v>47837</v>
      </c>
      <c r="W3650" t="s">
        <v>40162</v>
      </c>
      <c r="X3650" t="s">
        <v>42679</v>
      </c>
    </row>
    <row r="3651" spans="1:24">
      <c r="A3651">
        <f>HYPERLINK("https://www.philgeps.gov.ph/GEPSNONPILOT/Tender/SplashBidNoticeAbstractUI.aspx?menuIndex=3&amp;refID=7180859&amp;Result=3","7180859")</f>
        <v>0</v>
      </c>
      <c r="B3651" t="s">
        <v>1332</v>
      </c>
      <c r="C3651" t="s">
        <v>7016</v>
      </c>
      <c r="D3651" t="s">
        <v>17177</v>
      </c>
      <c r="E3651" t="s">
        <v>20462</v>
      </c>
      <c r="F3651" t="s">
        <v>29372</v>
      </c>
      <c r="G3651" t="s">
        <v>29380</v>
      </c>
      <c r="H3651" t="s">
        <v>11048</v>
      </c>
      <c r="I3651" t="s">
        <v>29398</v>
      </c>
      <c r="J3651" t="s">
        <v>31086</v>
      </c>
      <c r="K3651" t="s">
        <v>38530</v>
      </c>
      <c r="M3651" t="s">
        <v>40168</v>
      </c>
      <c r="N3651" t="s">
        <v>42669</v>
      </c>
      <c r="O3651" t="s">
        <v>42670</v>
      </c>
      <c r="P3651">
        <v>0</v>
      </c>
      <c r="Q3651">
        <v>2</v>
      </c>
      <c r="R3651" t="s">
        <v>42676</v>
      </c>
      <c r="S3651" t="s">
        <v>42809</v>
      </c>
      <c r="T3651" t="s">
        <v>44365</v>
      </c>
      <c r="U3651" t="s">
        <v>47838</v>
      </c>
      <c r="V3651" t="s">
        <v>56694</v>
      </c>
      <c r="W3651" t="s">
        <v>40168</v>
      </c>
      <c r="X3651" t="s">
        <v>42679</v>
      </c>
    </row>
    <row r="3652" spans="1:24">
      <c r="A3652">
        <f>HYPERLINK("https://www.philgeps.gov.ph/GEPSNONPILOT/Tender/SplashBidNoticeAbstractUI.aspx?menuIndex=3&amp;refID=7182162&amp;Result=3","7182162")</f>
        <v>0</v>
      </c>
      <c r="B3652" t="s">
        <v>1335</v>
      </c>
      <c r="C3652" t="s">
        <v>7017</v>
      </c>
      <c r="D3652" t="s">
        <v>17198</v>
      </c>
      <c r="E3652" t="s">
        <v>20463</v>
      </c>
      <c r="F3652" t="s">
        <v>29372</v>
      </c>
      <c r="G3652" t="s">
        <v>29380</v>
      </c>
      <c r="H3652" t="s">
        <v>29389</v>
      </c>
      <c r="I3652" t="s">
        <v>10408</v>
      </c>
      <c r="J3652" t="s">
        <v>31992</v>
      </c>
      <c r="K3652" t="s">
        <v>38518</v>
      </c>
      <c r="M3652" t="s">
        <v>40171</v>
      </c>
      <c r="N3652" t="s">
        <v>42669</v>
      </c>
      <c r="O3652" t="s">
        <v>42670</v>
      </c>
      <c r="P3652">
        <v>0</v>
      </c>
      <c r="Q3652">
        <v>1</v>
      </c>
      <c r="R3652" t="s">
        <v>42676</v>
      </c>
      <c r="S3652" t="s">
        <v>42809</v>
      </c>
      <c r="T3652" t="s">
        <v>44503</v>
      </c>
      <c r="U3652" t="s">
        <v>46039</v>
      </c>
      <c r="W3652" t="s">
        <v>40171</v>
      </c>
      <c r="X3652" t="s">
        <v>42679</v>
      </c>
    </row>
    <row r="3653" spans="1:24">
      <c r="A3653">
        <f>HYPERLINK("https://www.philgeps.gov.ph/GEPSNONPILOT/Tender/SplashBidNoticeAbstractUI.aspx?menuIndex=3&amp;refID=7182096&amp;Result=3","7182096")</f>
        <v>0</v>
      </c>
      <c r="B3653" t="s">
        <v>1336</v>
      </c>
      <c r="C3653" t="s">
        <v>7018</v>
      </c>
      <c r="D3653" t="s">
        <v>17226</v>
      </c>
      <c r="E3653" t="s">
        <v>20464</v>
      </c>
      <c r="F3653" t="s">
        <v>29372</v>
      </c>
      <c r="G3653" t="s">
        <v>29380</v>
      </c>
      <c r="H3653" t="s">
        <v>11048</v>
      </c>
      <c r="I3653" t="s">
        <v>9469</v>
      </c>
      <c r="J3653" t="s">
        <v>29615</v>
      </c>
      <c r="K3653" t="s">
        <v>38487</v>
      </c>
      <c r="M3653" t="s">
        <v>40172</v>
      </c>
      <c r="N3653" t="s">
        <v>42669</v>
      </c>
      <c r="O3653" t="s">
        <v>42670</v>
      </c>
      <c r="P3653">
        <v>0</v>
      </c>
      <c r="Q3653">
        <v>4</v>
      </c>
      <c r="R3653" t="s">
        <v>42676</v>
      </c>
      <c r="S3653" t="s">
        <v>42809</v>
      </c>
      <c r="T3653" t="s">
        <v>44542</v>
      </c>
      <c r="U3653" t="s">
        <v>47839</v>
      </c>
      <c r="W3653" t="s">
        <v>40172</v>
      </c>
      <c r="X3653" t="s">
        <v>42679</v>
      </c>
    </row>
    <row r="3654" spans="1:24">
      <c r="A3654">
        <f>HYPERLINK("https://www.philgeps.gov.ph/GEPSNONPILOT/Tender/SplashBidNoticeAbstractUI.aspx?menuIndex=3&amp;refID=7180189&amp;Result=3","7180189")</f>
        <v>0</v>
      </c>
      <c r="B3654" t="s">
        <v>86</v>
      </c>
      <c r="C3654" t="s">
        <v>7019</v>
      </c>
      <c r="E3654" t="s">
        <v>20465</v>
      </c>
      <c r="F3654" t="s">
        <v>29372</v>
      </c>
      <c r="G3654" t="s">
        <v>29382</v>
      </c>
      <c r="H3654" t="s">
        <v>11048</v>
      </c>
      <c r="I3654" t="s">
        <v>4487</v>
      </c>
      <c r="J3654" t="s">
        <v>29767</v>
      </c>
      <c r="K3654" t="s">
        <v>38491</v>
      </c>
      <c r="M3654" t="s">
        <v>38840</v>
      </c>
      <c r="N3654" t="s">
        <v>42669</v>
      </c>
      <c r="O3654" t="s">
        <v>42670</v>
      </c>
      <c r="P3654">
        <v>0</v>
      </c>
      <c r="Q3654">
        <v>7</v>
      </c>
      <c r="R3654" t="s">
        <v>42676</v>
      </c>
      <c r="S3654" t="s">
        <v>42809</v>
      </c>
      <c r="T3654" t="s">
        <v>44399</v>
      </c>
      <c r="U3654" t="s">
        <v>47803</v>
      </c>
      <c r="W3654" t="s">
        <v>38840</v>
      </c>
      <c r="X3654" t="s">
        <v>42681</v>
      </c>
    </row>
    <row r="3655" spans="1:24">
      <c r="A3655">
        <f>HYPERLINK("https://www.philgeps.gov.ph/GEPSNONPILOT/Tender/SplashBidNoticeAbstractUI.aspx?menuIndex=3&amp;refID=7182261&amp;Result=3","7182261")</f>
        <v>0</v>
      </c>
      <c r="B3655" t="s">
        <v>1336</v>
      </c>
      <c r="C3655" t="s">
        <v>7020</v>
      </c>
      <c r="D3655" t="s">
        <v>17226</v>
      </c>
      <c r="E3655" t="s">
        <v>20466</v>
      </c>
      <c r="F3655" t="s">
        <v>29372</v>
      </c>
      <c r="G3655" t="s">
        <v>29380</v>
      </c>
      <c r="H3655" t="s">
        <v>29389</v>
      </c>
      <c r="I3655" t="s">
        <v>10408</v>
      </c>
      <c r="J3655" t="s">
        <v>31993</v>
      </c>
      <c r="K3655" t="s">
        <v>38495</v>
      </c>
      <c r="M3655" t="s">
        <v>40172</v>
      </c>
      <c r="N3655" t="s">
        <v>42669</v>
      </c>
      <c r="O3655" t="s">
        <v>42670</v>
      </c>
      <c r="P3655">
        <v>0</v>
      </c>
      <c r="Q3655">
        <v>0</v>
      </c>
      <c r="R3655" t="s">
        <v>42676</v>
      </c>
      <c r="S3655" t="s">
        <v>42809</v>
      </c>
      <c r="T3655" t="s">
        <v>44542</v>
      </c>
      <c r="U3655" t="s">
        <v>47840</v>
      </c>
      <c r="W3655" t="s">
        <v>40172</v>
      </c>
      <c r="X3655" t="s">
        <v>42679</v>
      </c>
    </row>
    <row r="3656" spans="1:24">
      <c r="A3656">
        <f>HYPERLINK("https://www.philgeps.gov.ph/GEPSNONPILOT/Tender/SplashBidNoticeAbstractUI.aspx?menuIndex=3&amp;refID=7181666&amp;Result=3","7181666")</f>
        <v>0</v>
      </c>
      <c r="B3656" t="s">
        <v>1331</v>
      </c>
      <c r="C3656" t="s">
        <v>7021</v>
      </c>
      <c r="D3656" t="s">
        <v>17168</v>
      </c>
      <c r="E3656" t="s">
        <v>20467</v>
      </c>
      <c r="F3656" t="s">
        <v>29372</v>
      </c>
      <c r="G3656" t="s">
        <v>29380</v>
      </c>
      <c r="H3656" t="s">
        <v>11048</v>
      </c>
      <c r="I3656" t="s">
        <v>3670</v>
      </c>
      <c r="J3656" t="s">
        <v>31994</v>
      </c>
      <c r="K3656" t="s">
        <v>38510</v>
      </c>
      <c r="M3656" t="s">
        <v>40167</v>
      </c>
      <c r="N3656" t="s">
        <v>42669</v>
      </c>
      <c r="O3656" t="s">
        <v>42670</v>
      </c>
      <c r="P3656">
        <v>0</v>
      </c>
      <c r="Q3656">
        <v>1</v>
      </c>
      <c r="R3656" t="s">
        <v>42676</v>
      </c>
      <c r="S3656" t="s">
        <v>42809</v>
      </c>
      <c r="T3656" t="s">
        <v>44387</v>
      </c>
      <c r="U3656" t="s">
        <v>47841</v>
      </c>
      <c r="W3656" t="s">
        <v>40167</v>
      </c>
      <c r="X3656" t="s">
        <v>42679</v>
      </c>
    </row>
    <row r="3657" spans="1:24">
      <c r="A3657">
        <f>HYPERLINK("https://www.philgeps.gov.ph/GEPSNONPILOT/Tender/SplashBidNoticeAbstractUI.aspx?menuIndex=3&amp;refID=7182825&amp;Result=3","7182825")</f>
        <v>0</v>
      </c>
      <c r="B3657" t="s">
        <v>1337</v>
      </c>
      <c r="C3657" t="s">
        <v>7022</v>
      </c>
      <c r="D3657" t="s">
        <v>17148</v>
      </c>
      <c r="E3657" t="s">
        <v>20468</v>
      </c>
      <c r="F3657" t="s">
        <v>29372</v>
      </c>
      <c r="G3657" t="s">
        <v>29380</v>
      </c>
      <c r="H3657" t="s">
        <v>29389</v>
      </c>
      <c r="I3657" t="s">
        <v>10408</v>
      </c>
      <c r="J3657" t="s">
        <v>31995</v>
      </c>
      <c r="K3657" t="s">
        <v>38523</v>
      </c>
      <c r="L3657" t="s">
        <v>1337</v>
      </c>
      <c r="M3657" t="s">
        <v>40173</v>
      </c>
      <c r="N3657" t="s">
        <v>42669</v>
      </c>
      <c r="O3657" t="s">
        <v>42670</v>
      </c>
      <c r="P3657">
        <v>0</v>
      </c>
      <c r="Q3657">
        <v>14</v>
      </c>
      <c r="R3657" t="s">
        <v>42676</v>
      </c>
      <c r="S3657" t="s">
        <v>42809</v>
      </c>
      <c r="T3657" t="s">
        <v>44503</v>
      </c>
      <c r="U3657" t="s">
        <v>47842</v>
      </c>
      <c r="W3657" t="s">
        <v>40173</v>
      </c>
      <c r="X3657" t="s">
        <v>42679</v>
      </c>
    </row>
    <row r="3658" spans="1:24">
      <c r="A3658">
        <f>HYPERLINK("https://www.philgeps.gov.ph/GEPSNONPILOT/Tender/SplashBidNoticeAbstractUI.aspx?menuIndex=3&amp;refID=7182601&amp;Result=3","7182601")</f>
        <v>0</v>
      </c>
      <c r="B3658" t="s">
        <v>1336</v>
      </c>
      <c r="C3658" t="s">
        <v>7023</v>
      </c>
      <c r="D3658" t="s">
        <v>17226</v>
      </c>
      <c r="E3658" t="s">
        <v>20469</v>
      </c>
      <c r="F3658" t="s">
        <v>29372</v>
      </c>
      <c r="G3658" t="s">
        <v>29380</v>
      </c>
      <c r="H3658" t="s">
        <v>29389</v>
      </c>
      <c r="I3658" t="s">
        <v>10408</v>
      </c>
      <c r="J3658" t="s">
        <v>31996</v>
      </c>
      <c r="K3658" t="s">
        <v>38515</v>
      </c>
      <c r="M3658" t="s">
        <v>40172</v>
      </c>
      <c r="N3658" t="s">
        <v>42669</v>
      </c>
      <c r="O3658" t="s">
        <v>42670</v>
      </c>
      <c r="P3658">
        <v>0</v>
      </c>
      <c r="Q3658">
        <v>1</v>
      </c>
      <c r="R3658" t="s">
        <v>42676</v>
      </c>
      <c r="S3658" t="s">
        <v>42809</v>
      </c>
      <c r="T3658" t="s">
        <v>44542</v>
      </c>
      <c r="U3658" t="s">
        <v>47843</v>
      </c>
      <c r="W3658" t="s">
        <v>40172</v>
      </c>
      <c r="X3658" t="s">
        <v>42679</v>
      </c>
    </row>
    <row r="3659" spans="1:24">
      <c r="A3659">
        <f>HYPERLINK("https://www.philgeps.gov.ph/GEPSNONPILOT/Tender/SplashBidNoticeAbstractUI.aspx?menuIndex=3&amp;refID=7180301&amp;Result=3","7180301")</f>
        <v>0</v>
      </c>
      <c r="B3659" t="s">
        <v>1338</v>
      </c>
      <c r="C3659" t="s">
        <v>7024</v>
      </c>
      <c r="D3659" t="s">
        <v>17161</v>
      </c>
      <c r="E3659" t="s">
        <v>20470</v>
      </c>
      <c r="F3659" t="s">
        <v>29372</v>
      </c>
      <c r="G3659" t="s">
        <v>29380</v>
      </c>
      <c r="H3659" t="s">
        <v>11048</v>
      </c>
      <c r="I3659" t="s">
        <v>9469</v>
      </c>
      <c r="J3659" t="s">
        <v>29609</v>
      </c>
      <c r="K3659" t="s">
        <v>38491</v>
      </c>
      <c r="M3659" t="s">
        <v>40174</v>
      </c>
      <c r="N3659" t="s">
        <v>42669</v>
      </c>
      <c r="O3659" t="s">
        <v>42670</v>
      </c>
      <c r="P3659">
        <v>0</v>
      </c>
      <c r="Q3659">
        <v>2</v>
      </c>
      <c r="R3659" t="s">
        <v>42676</v>
      </c>
      <c r="S3659" t="s">
        <v>42809</v>
      </c>
      <c r="T3659" t="s">
        <v>44442</v>
      </c>
      <c r="U3659" t="s">
        <v>47844</v>
      </c>
      <c r="W3659" t="s">
        <v>40174</v>
      </c>
      <c r="X3659" t="s">
        <v>42681</v>
      </c>
    </row>
    <row r="3660" spans="1:24">
      <c r="A3660">
        <f>HYPERLINK("https://www.philgeps.gov.ph/GEPSNONPILOT/Tender/SplashBidNoticeAbstractUI.aspx?menuIndex=3&amp;refID=7182687&amp;Result=3","7182687")</f>
        <v>0</v>
      </c>
      <c r="B3660" t="s">
        <v>1336</v>
      </c>
      <c r="C3660" t="s">
        <v>7025</v>
      </c>
      <c r="D3660" t="s">
        <v>17226</v>
      </c>
      <c r="E3660" t="s">
        <v>20471</v>
      </c>
      <c r="F3660" t="s">
        <v>29372</v>
      </c>
      <c r="G3660" t="s">
        <v>29380</v>
      </c>
      <c r="H3660" t="s">
        <v>29389</v>
      </c>
      <c r="I3660" t="s">
        <v>10408</v>
      </c>
      <c r="J3660" t="s">
        <v>31997</v>
      </c>
      <c r="K3660" t="s">
        <v>38515</v>
      </c>
      <c r="M3660" t="s">
        <v>40172</v>
      </c>
      <c r="N3660" t="s">
        <v>42669</v>
      </c>
      <c r="O3660" t="s">
        <v>42670</v>
      </c>
      <c r="P3660">
        <v>0</v>
      </c>
      <c r="Q3660">
        <v>1</v>
      </c>
      <c r="R3660" t="s">
        <v>42676</v>
      </c>
      <c r="S3660" t="s">
        <v>42809</v>
      </c>
      <c r="T3660" t="s">
        <v>44542</v>
      </c>
      <c r="U3660" t="s">
        <v>47845</v>
      </c>
      <c r="W3660" t="s">
        <v>40172</v>
      </c>
      <c r="X3660" t="s">
        <v>42679</v>
      </c>
    </row>
    <row r="3661" spans="1:24">
      <c r="A3661">
        <f>HYPERLINK("https://www.philgeps.gov.ph/GEPSNONPILOT/Tender/SplashBidNoticeAbstractUI.aspx?menuIndex=3&amp;refID=7182684&amp;Result=3","7182684")</f>
        <v>0</v>
      </c>
      <c r="B3661" t="s">
        <v>1339</v>
      </c>
      <c r="C3661" t="s">
        <v>7026</v>
      </c>
      <c r="D3661" t="s">
        <v>17183</v>
      </c>
      <c r="E3661" t="s">
        <v>20472</v>
      </c>
      <c r="F3661" t="s">
        <v>29372</v>
      </c>
      <c r="G3661" t="s">
        <v>29380</v>
      </c>
      <c r="H3661" t="s">
        <v>11048</v>
      </c>
      <c r="I3661" t="s">
        <v>29407</v>
      </c>
      <c r="J3661" t="s">
        <v>31998</v>
      </c>
      <c r="K3661" t="s">
        <v>38488</v>
      </c>
      <c r="M3661" t="s">
        <v>40175</v>
      </c>
      <c r="N3661" t="s">
        <v>42669</v>
      </c>
      <c r="O3661" t="s">
        <v>42670</v>
      </c>
      <c r="P3661">
        <v>0</v>
      </c>
      <c r="Q3661">
        <v>12</v>
      </c>
      <c r="R3661" t="s">
        <v>42676</v>
      </c>
      <c r="S3661" t="s">
        <v>42809</v>
      </c>
      <c r="T3661" t="s">
        <v>44627</v>
      </c>
      <c r="U3661" t="s">
        <v>47846</v>
      </c>
      <c r="V3661" t="s">
        <v>56697</v>
      </c>
      <c r="W3661" t="s">
        <v>40175</v>
      </c>
      <c r="X3661" t="s">
        <v>42679</v>
      </c>
    </row>
    <row r="3662" spans="1:24">
      <c r="A3662">
        <f>HYPERLINK("https://www.philgeps.gov.ph/GEPSNONPILOT/Tender/SplashBidNoticeAbstractUI.aspx?menuIndex=3&amp;refID=7182443&amp;Result=3","7182443")</f>
        <v>0</v>
      </c>
      <c r="B3662" t="s">
        <v>1332</v>
      </c>
      <c r="C3662" t="s">
        <v>7027</v>
      </c>
      <c r="D3662" t="s">
        <v>17177</v>
      </c>
      <c r="E3662" t="s">
        <v>20473</v>
      </c>
      <c r="F3662" t="s">
        <v>29372</v>
      </c>
      <c r="G3662" t="s">
        <v>29380</v>
      </c>
      <c r="H3662" t="s">
        <v>11048</v>
      </c>
      <c r="I3662" t="s">
        <v>9469</v>
      </c>
      <c r="J3662" t="s">
        <v>30410</v>
      </c>
      <c r="K3662" t="s">
        <v>38485</v>
      </c>
      <c r="M3662" t="s">
        <v>40168</v>
      </c>
      <c r="N3662" t="s">
        <v>42669</v>
      </c>
      <c r="O3662" t="s">
        <v>42670</v>
      </c>
      <c r="P3662">
        <v>0</v>
      </c>
      <c r="Q3662">
        <v>7</v>
      </c>
      <c r="R3662" t="s">
        <v>42676</v>
      </c>
      <c r="S3662" t="s">
        <v>42809</v>
      </c>
      <c r="T3662" t="s">
        <v>44365</v>
      </c>
      <c r="U3662" t="s">
        <v>47847</v>
      </c>
      <c r="V3662" t="s">
        <v>56698</v>
      </c>
      <c r="W3662" t="s">
        <v>40168</v>
      </c>
      <c r="X3662" t="s">
        <v>42679</v>
      </c>
    </row>
    <row r="3663" spans="1:24">
      <c r="A3663">
        <f>HYPERLINK("https://www.philgeps.gov.ph/GEPSNONPILOT/Tender/SplashBidNoticeAbstractUI.aspx?menuIndex=3&amp;refID=7182546&amp;Result=3","7182546")</f>
        <v>0</v>
      </c>
      <c r="B3663" t="s">
        <v>1332</v>
      </c>
      <c r="C3663" t="s">
        <v>7028</v>
      </c>
      <c r="D3663" t="s">
        <v>17177</v>
      </c>
      <c r="E3663" t="s">
        <v>20474</v>
      </c>
      <c r="F3663" t="s">
        <v>29372</v>
      </c>
      <c r="G3663" t="s">
        <v>29380</v>
      </c>
      <c r="H3663" t="s">
        <v>11048</v>
      </c>
      <c r="I3663" t="s">
        <v>9469</v>
      </c>
      <c r="J3663" t="s">
        <v>31195</v>
      </c>
      <c r="K3663" t="s">
        <v>38485</v>
      </c>
      <c r="M3663" t="s">
        <v>40168</v>
      </c>
      <c r="N3663" t="s">
        <v>42669</v>
      </c>
      <c r="O3663" t="s">
        <v>42670</v>
      </c>
      <c r="P3663">
        <v>0</v>
      </c>
      <c r="Q3663">
        <v>6</v>
      </c>
      <c r="R3663" t="s">
        <v>42676</v>
      </c>
      <c r="S3663" t="s">
        <v>42809</v>
      </c>
      <c r="T3663" t="s">
        <v>44365</v>
      </c>
      <c r="U3663" t="s">
        <v>47848</v>
      </c>
      <c r="V3663" t="s">
        <v>56698</v>
      </c>
      <c r="W3663" t="s">
        <v>40168</v>
      </c>
      <c r="X3663" t="s">
        <v>42679</v>
      </c>
    </row>
    <row r="3664" spans="1:24">
      <c r="A3664">
        <f>HYPERLINK("https://www.philgeps.gov.ph/GEPSNONPILOT/Tender/SplashBidNoticeAbstractUI.aspx?menuIndex=3&amp;refID=7182368&amp;Result=3","7182368")</f>
        <v>0</v>
      </c>
      <c r="B3664" t="s">
        <v>1339</v>
      </c>
      <c r="C3664" t="s">
        <v>7029</v>
      </c>
      <c r="D3664" t="s">
        <v>17183</v>
      </c>
      <c r="E3664" t="s">
        <v>20475</v>
      </c>
      <c r="F3664" t="s">
        <v>29372</v>
      </c>
      <c r="G3664" t="s">
        <v>29380</v>
      </c>
      <c r="H3664" t="s">
        <v>11048</v>
      </c>
      <c r="I3664" t="s">
        <v>5383</v>
      </c>
      <c r="J3664" t="s">
        <v>31999</v>
      </c>
      <c r="K3664" t="s">
        <v>38488</v>
      </c>
      <c r="M3664" t="s">
        <v>40175</v>
      </c>
      <c r="N3664" t="s">
        <v>42669</v>
      </c>
      <c r="O3664" t="s">
        <v>42670</v>
      </c>
      <c r="P3664">
        <v>0</v>
      </c>
      <c r="Q3664">
        <v>3</v>
      </c>
      <c r="R3664" t="s">
        <v>42676</v>
      </c>
      <c r="S3664" t="s">
        <v>42809</v>
      </c>
      <c r="T3664" t="s">
        <v>44627</v>
      </c>
      <c r="U3664" t="s">
        <v>47849</v>
      </c>
      <c r="V3664" t="s">
        <v>56697</v>
      </c>
      <c r="W3664" t="s">
        <v>40175</v>
      </c>
      <c r="X3664" t="s">
        <v>42679</v>
      </c>
    </row>
    <row r="3665" spans="1:24">
      <c r="A3665">
        <f>HYPERLINK("https://www.philgeps.gov.ph/GEPSNONPILOT/Tender/SplashBidNoticeAbstractUI.aspx?menuIndex=3&amp;refID=7182365&amp;Result=3","7182365")</f>
        <v>0</v>
      </c>
      <c r="B3665" t="s">
        <v>1336</v>
      </c>
      <c r="C3665" t="s">
        <v>7030</v>
      </c>
      <c r="D3665" t="s">
        <v>17226</v>
      </c>
      <c r="E3665" t="s">
        <v>20476</v>
      </c>
      <c r="F3665" t="s">
        <v>29372</v>
      </c>
      <c r="G3665" t="s">
        <v>29380</v>
      </c>
      <c r="H3665" t="s">
        <v>29389</v>
      </c>
      <c r="I3665" t="s">
        <v>10408</v>
      </c>
      <c r="J3665" t="s">
        <v>32000</v>
      </c>
      <c r="K3665" t="s">
        <v>38496</v>
      </c>
      <c r="M3665" t="s">
        <v>40172</v>
      </c>
      <c r="N3665" t="s">
        <v>42669</v>
      </c>
      <c r="O3665" t="s">
        <v>42670</v>
      </c>
      <c r="P3665">
        <v>0</v>
      </c>
      <c r="Q3665">
        <v>0</v>
      </c>
      <c r="R3665" t="s">
        <v>42676</v>
      </c>
      <c r="S3665" t="s">
        <v>42809</v>
      </c>
      <c r="T3665" t="s">
        <v>44542</v>
      </c>
      <c r="U3665" t="s">
        <v>47850</v>
      </c>
      <c r="W3665" t="s">
        <v>40172</v>
      </c>
      <c r="X3665" t="s">
        <v>42679</v>
      </c>
    </row>
    <row r="3666" spans="1:24">
      <c r="A3666">
        <f>HYPERLINK("https://www.philgeps.gov.ph/GEPSNONPILOT/Tender/SplashBidNoticeAbstractUI.aspx?menuIndex=3&amp;refID=7182817&amp;Result=3","7182817")</f>
        <v>0</v>
      </c>
      <c r="B3666" t="s">
        <v>1336</v>
      </c>
      <c r="C3666" t="s">
        <v>7031</v>
      </c>
      <c r="D3666" t="s">
        <v>17226</v>
      </c>
      <c r="E3666" t="s">
        <v>20477</v>
      </c>
      <c r="F3666" t="s">
        <v>29372</v>
      </c>
      <c r="G3666" t="s">
        <v>29380</v>
      </c>
      <c r="H3666" t="s">
        <v>29389</v>
      </c>
      <c r="I3666" t="s">
        <v>10408</v>
      </c>
      <c r="J3666" t="s">
        <v>32001</v>
      </c>
      <c r="K3666" t="s">
        <v>38522</v>
      </c>
      <c r="M3666" t="s">
        <v>40172</v>
      </c>
      <c r="N3666" t="s">
        <v>42669</v>
      </c>
      <c r="O3666" t="s">
        <v>42670</v>
      </c>
      <c r="P3666">
        <v>0</v>
      </c>
      <c r="Q3666">
        <v>1</v>
      </c>
      <c r="R3666" t="s">
        <v>42676</v>
      </c>
      <c r="S3666" t="s">
        <v>42809</v>
      </c>
      <c r="T3666" t="s">
        <v>44542</v>
      </c>
      <c r="U3666" t="s">
        <v>47851</v>
      </c>
      <c r="W3666" t="s">
        <v>40172</v>
      </c>
      <c r="X3666" t="s">
        <v>42679</v>
      </c>
    </row>
    <row r="3667" spans="1:24">
      <c r="A3667">
        <f>HYPERLINK("https://www.philgeps.gov.ph/GEPSNONPILOT/Tender/SplashBidNoticeAbstractUI.aspx?menuIndex=3&amp;refID=7180857&amp;Result=3","7180857")</f>
        <v>0</v>
      </c>
      <c r="B3667" t="s">
        <v>1332</v>
      </c>
      <c r="C3667" t="s">
        <v>7032</v>
      </c>
      <c r="D3667" t="s">
        <v>17177</v>
      </c>
      <c r="E3667" t="s">
        <v>20478</v>
      </c>
      <c r="F3667" t="s">
        <v>29372</v>
      </c>
      <c r="G3667" t="s">
        <v>29380</v>
      </c>
      <c r="H3667" t="s">
        <v>29389</v>
      </c>
      <c r="I3667" t="s">
        <v>4709</v>
      </c>
      <c r="J3667" t="s">
        <v>32002</v>
      </c>
      <c r="K3667" t="s">
        <v>38488</v>
      </c>
      <c r="M3667" t="s">
        <v>40168</v>
      </c>
      <c r="N3667" t="s">
        <v>42669</v>
      </c>
      <c r="O3667" t="s">
        <v>42670</v>
      </c>
      <c r="P3667">
        <v>0</v>
      </c>
      <c r="Q3667">
        <v>0</v>
      </c>
      <c r="R3667" t="s">
        <v>42676</v>
      </c>
      <c r="S3667" t="s">
        <v>42809</v>
      </c>
      <c r="T3667" t="s">
        <v>44365</v>
      </c>
      <c r="U3667" t="s">
        <v>47852</v>
      </c>
      <c r="V3667" t="s">
        <v>56694</v>
      </c>
      <c r="W3667" t="s">
        <v>40168</v>
      </c>
      <c r="X3667" t="s">
        <v>42679</v>
      </c>
    </row>
    <row r="3668" spans="1:24">
      <c r="A3668">
        <f>HYPERLINK("https://www.philgeps.gov.ph/GEPSNONPILOT/Tender/SplashBidNoticeAbstractUI.aspx?menuIndex=3&amp;refID=7184120&amp;Result=3","7184120")</f>
        <v>0</v>
      </c>
      <c r="B3668" t="s">
        <v>1340</v>
      </c>
      <c r="C3668" t="s">
        <v>7033</v>
      </c>
      <c r="D3668" t="s">
        <v>17195</v>
      </c>
      <c r="E3668" t="s">
        <v>20479</v>
      </c>
      <c r="F3668" t="s">
        <v>29372</v>
      </c>
      <c r="G3668" t="s">
        <v>29380</v>
      </c>
      <c r="H3668" t="s">
        <v>11048</v>
      </c>
      <c r="I3668" t="s">
        <v>29415</v>
      </c>
      <c r="J3668" t="s">
        <v>32003</v>
      </c>
      <c r="K3668" t="s">
        <v>38496</v>
      </c>
      <c r="M3668" t="s">
        <v>40176</v>
      </c>
      <c r="N3668" t="s">
        <v>42669</v>
      </c>
      <c r="O3668" t="s">
        <v>42670</v>
      </c>
      <c r="P3668">
        <v>0</v>
      </c>
      <c r="Q3668">
        <v>4</v>
      </c>
      <c r="R3668" t="s">
        <v>42676</v>
      </c>
      <c r="S3668" t="s">
        <v>42809</v>
      </c>
      <c r="T3668" t="s">
        <v>44542</v>
      </c>
      <c r="U3668" t="s">
        <v>47853</v>
      </c>
      <c r="V3668" t="s">
        <v>56699</v>
      </c>
      <c r="W3668" t="s">
        <v>40176</v>
      </c>
      <c r="X3668" t="s">
        <v>42678</v>
      </c>
    </row>
    <row r="3669" spans="1:24">
      <c r="A3669">
        <f>HYPERLINK("https://www.philgeps.gov.ph/GEPSNONPILOT/Tender/SplashBidNoticeAbstractUI.aspx?menuIndex=3&amp;refID=7182487&amp;Result=3","7182487")</f>
        <v>0</v>
      </c>
      <c r="B3669" t="s">
        <v>1336</v>
      </c>
      <c r="C3669" t="s">
        <v>7034</v>
      </c>
      <c r="D3669" t="s">
        <v>17226</v>
      </c>
      <c r="E3669" t="s">
        <v>20480</v>
      </c>
      <c r="F3669" t="s">
        <v>29372</v>
      </c>
      <c r="G3669" t="s">
        <v>29380</v>
      </c>
      <c r="H3669" t="s">
        <v>29389</v>
      </c>
      <c r="I3669" t="s">
        <v>10408</v>
      </c>
      <c r="J3669" t="s">
        <v>32004</v>
      </c>
      <c r="K3669" t="s">
        <v>38531</v>
      </c>
      <c r="M3669" t="s">
        <v>40172</v>
      </c>
      <c r="N3669" t="s">
        <v>42669</v>
      </c>
      <c r="O3669" t="s">
        <v>42670</v>
      </c>
      <c r="P3669">
        <v>0</v>
      </c>
      <c r="Q3669">
        <v>1</v>
      </c>
      <c r="R3669" t="s">
        <v>42676</v>
      </c>
      <c r="S3669" t="s">
        <v>42809</v>
      </c>
      <c r="T3669" t="s">
        <v>44542</v>
      </c>
      <c r="U3669" t="s">
        <v>47854</v>
      </c>
      <c r="W3669" t="s">
        <v>40172</v>
      </c>
      <c r="X3669" t="s">
        <v>42679</v>
      </c>
    </row>
    <row r="3670" spans="1:24">
      <c r="A3670">
        <f>HYPERLINK("https://www.philgeps.gov.ph/GEPSNONPILOT/Tender/SplashBidNoticeAbstractUI.aspx?menuIndex=3&amp;refID=7184234&amp;Result=3","7184234")</f>
        <v>0</v>
      </c>
      <c r="B3670" t="s">
        <v>1341</v>
      </c>
      <c r="C3670" t="s">
        <v>7035</v>
      </c>
      <c r="D3670" t="s">
        <v>17141</v>
      </c>
      <c r="E3670" t="s">
        <v>20481</v>
      </c>
      <c r="F3670" t="s">
        <v>29372</v>
      </c>
      <c r="G3670" t="s">
        <v>29380</v>
      </c>
      <c r="H3670" t="s">
        <v>11048</v>
      </c>
      <c r="I3670" t="s">
        <v>29479</v>
      </c>
      <c r="J3670" t="s">
        <v>32005</v>
      </c>
      <c r="K3670" t="s">
        <v>38490</v>
      </c>
      <c r="M3670" t="s">
        <v>40177</v>
      </c>
      <c r="N3670" t="s">
        <v>42669</v>
      </c>
      <c r="O3670" t="s">
        <v>42670</v>
      </c>
      <c r="P3670">
        <v>0</v>
      </c>
      <c r="Q3670">
        <v>11</v>
      </c>
      <c r="R3670" t="s">
        <v>42676</v>
      </c>
      <c r="S3670" t="s">
        <v>42809</v>
      </c>
      <c r="T3670" t="s">
        <v>44446</v>
      </c>
      <c r="U3670" t="s">
        <v>47855</v>
      </c>
      <c r="W3670" t="s">
        <v>40177</v>
      </c>
      <c r="X3670" t="s">
        <v>42678</v>
      </c>
    </row>
    <row r="3671" spans="1:24">
      <c r="A3671">
        <f>HYPERLINK("https://www.philgeps.gov.ph/GEPSNONPILOT/Tender/SplashBidNoticeAbstractUI.aspx?menuIndex=3&amp;refID=7184192&amp;Result=3","7184192")</f>
        <v>0</v>
      </c>
      <c r="B3671" t="s">
        <v>1331</v>
      </c>
      <c r="C3671" t="s">
        <v>7036</v>
      </c>
      <c r="D3671" t="s">
        <v>17168</v>
      </c>
      <c r="E3671" t="s">
        <v>20482</v>
      </c>
      <c r="F3671" t="s">
        <v>29372</v>
      </c>
      <c r="G3671" t="s">
        <v>29380</v>
      </c>
      <c r="H3671" t="s">
        <v>29389</v>
      </c>
      <c r="I3671" t="s">
        <v>10408</v>
      </c>
      <c r="J3671" t="s">
        <v>29543</v>
      </c>
      <c r="K3671" t="s">
        <v>38571</v>
      </c>
      <c r="M3671" t="s">
        <v>40167</v>
      </c>
      <c r="N3671" t="s">
        <v>42669</v>
      </c>
      <c r="O3671" t="s">
        <v>42670</v>
      </c>
      <c r="P3671">
        <v>0</v>
      </c>
      <c r="Q3671">
        <v>1</v>
      </c>
      <c r="R3671" t="s">
        <v>42676</v>
      </c>
      <c r="S3671" t="s">
        <v>42809</v>
      </c>
      <c r="T3671" t="s">
        <v>44504</v>
      </c>
      <c r="U3671" t="s">
        <v>47856</v>
      </c>
      <c r="W3671" t="s">
        <v>40167</v>
      </c>
      <c r="X3671" t="s">
        <v>42678</v>
      </c>
    </row>
    <row r="3672" spans="1:24">
      <c r="A3672">
        <f>HYPERLINK("https://www.philgeps.gov.ph/GEPSNONPILOT/Tender/SplashBidNoticeAbstractUI.aspx?menuIndex=3&amp;refID=7181656&amp;Result=3","7181656")</f>
        <v>0</v>
      </c>
      <c r="B3672" t="s">
        <v>1331</v>
      </c>
      <c r="C3672" t="s">
        <v>7037</v>
      </c>
      <c r="D3672" t="s">
        <v>17168</v>
      </c>
      <c r="E3672" t="s">
        <v>20483</v>
      </c>
      <c r="F3672" t="s">
        <v>29372</v>
      </c>
      <c r="G3672" t="s">
        <v>29380</v>
      </c>
      <c r="H3672" t="s">
        <v>11048</v>
      </c>
      <c r="I3672" t="s">
        <v>29417</v>
      </c>
      <c r="J3672" t="s">
        <v>32006</v>
      </c>
      <c r="K3672" t="s">
        <v>38510</v>
      </c>
      <c r="M3672" t="s">
        <v>40167</v>
      </c>
      <c r="N3672" t="s">
        <v>42669</v>
      </c>
      <c r="O3672" t="s">
        <v>42670</v>
      </c>
      <c r="P3672">
        <v>0</v>
      </c>
      <c r="Q3672">
        <v>0</v>
      </c>
      <c r="R3672" t="s">
        <v>42676</v>
      </c>
      <c r="S3672" t="s">
        <v>42809</v>
      </c>
      <c r="T3672" t="s">
        <v>44387</v>
      </c>
      <c r="U3672" t="s">
        <v>47857</v>
      </c>
      <c r="W3672" t="s">
        <v>40167</v>
      </c>
      <c r="X3672" t="s">
        <v>42679</v>
      </c>
    </row>
    <row r="3673" spans="1:24">
      <c r="A3673">
        <f>HYPERLINK("https://www.philgeps.gov.ph/GEPSNONPILOT/Tender/SplashBidNoticeAbstractUI.aspx?menuIndex=3&amp;refID=7184162&amp;Result=3","7184162")</f>
        <v>0</v>
      </c>
      <c r="B3673" t="s">
        <v>1342</v>
      </c>
      <c r="C3673" t="s">
        <v>7038</v>
      </c>
      <c r="D3673" t="s">
        <v>17169</v>
      </c>
      <c r="E3673" t="s">
        <v>20484</v>
      </c>
      <c r="F3673" t="s">
        <v>29372</v>
      </c>
      <c r="G3673" t="s">
        <v>29380</v>
      </c>
      <c r="H3673" t="s">
        <v>11048</v>
      </c>
      <c r="I3673" t="s">
        <v>8614</v>
      </c>
      <c r="J3673" t="s">
        <v>30169</v>
      </c>
      <c r="K3673" t="s">
        <v>38496</v>
      </c>
      <c r="M3673" t="s">
        <v>40178</v>
      </c>
      <c r="N3673" t="s">
        <v>42669</v>
      </c>
      <c r="O3673" t="s">
        <v>42670</v>
      </c>
      <c r="P3673">
        <v>0</v>
      </c>
      <c r="Q3673">
        <v>2</v>
      </c>
      <c r="R3673" t="s">
        <v>42676</v>
      </c>
      <c r="S3673" t="s">
        <v>42809</v>
      </c>
      <c r="T3673" t="s">
        <v>44544</v>
      </c>
      <c r="U3673" t="s">
        <v>47858</v>
      </c>
      <c r="W3673" t="s">
        <v>40178</v>
      </c>
      <c r="X3673" t="s">
        <v>42678</v>
      </c>
    </row>
    <row r="3674" spans="1:24">
      <c r="A3674">
        <f>HYPERLINK("https://www.philgeps.gov.ph/GEPSNONPILOT/Tender/SplashBidNoticeAbstractUI.aspx?menuIndex=3&amp;refID=7184070&amp;Result=3","7184070")</f>
        <v>0</v>
      </c>
      <c r="B3674" t="s">
        <v>1343</v>
      </c>
      <c r="C3674" t="s">
        <v>7039</v>
      </c>
      <c r="D3674" t="s">
        <v>17141</v>
      </c>
      <c r="E3674" t="s">
        <v>7039</v>
      </c>
      <c r="F3674" t="s">
        <v>29372</v>
      </c>
      <c r="G3674" t="s">
        <v>29380</v>
      </c>
      <c r="H3674" t="s">
        <v>29389</v>
      </c>
      <c r="I3674" t="s">
        <v>10408</v>
      </c>
      <c r="J3674" t="s">
        <v>32007</v>
      </c>
      <c r="K3674" t="s">
        <v>38490</v>
      </c>
      <c r="M3674" t="s">
        <v>40179</v>
      </c>
      <c r="N3674" t="s">
        <v>42669</v>
      </c>
      <c r="O3674" t="s">
        <v>42670</v>
      </c>
      <c r="P3674">
        <v>0</v>
      </c>
      <c r="Q3674">
        <v>6</v>
      </c>
      <c r="R3674" t="s">
        <v>42676</v>
      </c>
      <c r="S3674" t="s">
        <v>42809</v>
      </c>
      <c r="T3674" t="s">
        <v>44588</v>
      </c>
      <c r="U3674" t="s">
        <v>47859</v>
      </c>
      <c r="W3674" t="s">
        <v>40179</v>
      </c>
      <c r="X3674" t="s">
        <v>42678</v>
      </c>
    </row>
    <row r="3675" spans="1:24">
      <c r="A3675">
        <f>HYPERLINK("https://www.philgeps.gov.ph/GEPSNONPILOT/Tender/SplashBidNoticeAbstractUI.aspx?menuIndex=3&amp;refID=7182039&amp;Result=3","7182039")</f>
        <v>0</v>
      </c>
      <c r="B3675" t="s">
        <v>1344</v>
      </c>
      <c r="C3675" t="s">
        <v>7040</v>
      </c>
      <c r="D3675" t="s">
        <v>17144</v>
      </c>
      <c r="E3675" t="s">
        <v>20485</v>
      </c>
      <c r="F3675" t="s">
        <v>29372</v>
      </c>
      <c r="G3675" t="s">
        <v>29380</v>
      </c>
      <c r="H3675" t="s">
        <v>11048</v>
      </c>
      <c r="I3675" t="s">
        <v>29398</v>
      </c>
      <c r="J3675" t="s">
        <v>32008</v>
      </c>
      <c r="K3675" t="s">
        <v>38485</v>
      </c>
      <c r="M3675" t="s">
        <v>40180</v>
      </c>
      <c r="N3675" t="s">
        <v>42669</v>
      </c>
      <c r="O3675" t="s">
        <v>42670</v>
      </c>
      <c r="P3675">
        <v>0</v>
      </c>
      <c r="Q3675">
        <v>7</v>
      </c>
      <c r="R3675" t="s">
        <v>42676</v>
      </c>
      <c r="S3675" t="s">
        <v>42809</v>
      </c>
      <c r="T3675" t="s">
        <v>44478</v>
      </c>
      <c r="U3675" t="s">
        <v>47860</v>
      </c>
      <c r="W3675" t="s">
        <v>40180</v>
      </c>
      <c r="X3675" t="s">
        <v>42679</v>
      </c>
    </row>
    <row r="3676" spans="1:24">
      <c r="A3676">
        <f>HYPERLINK("https://www.philgeps.gov.ph/GEPSNONPILOT/Tender/SplashBidNoticeAbstractUI.aspx?menuIndex=3&amp;refID=7184029&amp;Result=3","7184029")</f>
        <v>0</v>
      </c>
      <c r="B3676" t="s">
        <v>1345</v>
      </c>
      <c r="C3676" t="s">
        <v>7041</v>
      </c>
      <c r="D3676" t="s">
        <v>17169</v>
      </c>
      <c r="E3676" t="s">
        <v>20486</v>
      </c>
      <c r="F3676" t="s">
        <v>29372</v>
      </c>
      <c r="G3676" t="s">
        <v>29380</v>
      </c>
      <c r="H3676" t="s">
        <v>11048</v>
      </c>
      <c r="I3676" t="s">
        <v>29405</v>
      </c>
      <c r="J3676" t="s">
        <v>29825</v>
      </c>
      <c r="K3676" t="s">
        <v>38485</v>
      </c>
      <c r="M3676" t="s">
        <v>40181</v>
      </c>
      <c r="N3676" t="s">
        <v>42669</v>
      </c>
      <c r="O3676" t="s">
        <v>42670</v>
      </c>
      <c r="P3676">
        <v>0</v>
      </c>
      <c r="Q3676">
        <v>5</v>
      </c>
      <c r="R3676" t="s">
        <v>42676</v>
      </c>
      <c r="S3676" t="s">
        <v>42809</v>
      </c>
      <c r="T3676" t="s">
        <v>44382</v>
      </c>
      <c r="U3676" t="s">
        <v>47861</v>
      </c>
      <c r="W3676" t="s">
        <v>40181</v>
      </c>
      <c r="X3676" t="s">
        <v>42678</v>
      </c>
    </row>
    <row r="3677" spans="1:24">
      <c r="A3677">
        <f>HYPERLINK("https://www.philgeps.gov.ph/GEPSNONPILOT/Tender/SplashBidNoticeAbstractUI.aspx?menuIndex=3&amp;refID=7183991&amp;Result=3","7183991")</f>
        <v>0</v>
      </c>
      <c r="B3677" t="s">
        <v>1346</v>
      </c>
      <c r="C3677" t="s">
        <v>7042</v>
      </c>
      <c r="D3677" t="s">
        <v>17154</v>
      </c>
      <c r="E3677" t="s">
        <v>19078</v>
      </c>
      <c r="F3677" t="s">
        <v>29373</v>
      </c>
      <c r="G3677" t="s">
        <v>29383</v>
      </c>
      <c r="H3677" t="s">
        <v>11048</v>
      </c>
      <c r="I3677" t="s">
        <v>29436</v>
      </c>
      <c r="J3677" t="s">
        <v>29526</v>
      </c>
      <c r="K3677" t="s">
        <v>38488</v>
      </c>
      <c r="M3677" t="s">
        <v>40182</v>
      </c>
      <c r="N3677" t="s">
        <v>42669</v>
      </c>
      <c r="O3677" t="s">
        <v>42670</v>
      </c>
      <c r="P3677">
        <v>0</v>
      </c>
      <c r="Q3677">
        <v>4</v>
      </c>
      <c r="R3677" t="s">
        <v>42676</v>
      </c>
      <c r="S3677" t="s">
        <v>42809</v>
      </c>
      <c r="T3677" t="s">
        <v>44399</v>
      </c>
      <c r="U3677" t="s">
        <v>47862</v>
      </c>
      <c r="W3677" t="s">
        <v>40182</v>
      </c>
      <c r="X3677" t="s">
        <v>42678</v>
      </c>
    </row>
    <row r="3678" spans="1:24">
      <c r="A3678">
        <f>HYPERLINK("https://www.philgeps.gov.ph/GEPSNONPILOT/Tender/SplashBidNoticeAbstractUI.aspx?menuIndex=3&amp;refID=7184161&amp;Result=3","7184161")</f>
        <v>0</v>
      </c>
      <c r="B3678" t="s">
        <v>1341</v>
      </c>
      <c r="C3678" t="s">
        <v>7043</v>
      </c>
      <c r="D3678" t="s">
        <v>17141</v>
      </c>
      <c r="E3678" t="s">
        <v>20487</v>
      </c>
      <c r="F3678" t="s">
        <v>29372</v>
      </c>
      <c r="G3678" t="s">
        <v>29380</v>
      </c>
      <c r="H3678" t="s">
        <v>11048</v>
      </c>
      <c r="I3678" t="s">
        <v>29479</v>
      </c>
      <c r="J3678" t="s">
        <v>32009</v>
      </c>
      <c r="K3678" t="s">
        <v>38490</v>
      </c>
      <c r="M3678" t="s">
        <v>40177</v>
      </c>
      <c r="N3678" t="s">
        <v>42669</v>
      </c>
      <c r="O3678" t="s">
        <v>42670</v>
      </c>
      <c r="P3678">
        <v>0</v>
      </c>
      <c r="Q3678">
        <v>17</v>
      </c>
      <c r="R3678" t="s">
        <v>42676</v>
      </c>
      <c r="S3678" t="s">
        <v>42809</v>
      </c>
      <c r="T3678" t="s">
        <v>44446</v>
      </c>
      <c r="U3678" t="s">
        <v>47863</v>
      </c>
      <c r="W3678" t="s">
        <v>40177</v>
      </c>
      <c r="X3678" t="s">
        <v>42678</v>
      </c>
    </row>
    <row r="3679" spans="1:24">
      <c r="A3679">
        <f>HYPERLINK("https://www.philgeps.gov.ph/GEPSNONPILOT/Tender/SplashBidNoticeAbstractUI.aspx?menuIndex=3&amp;refID=7183554&amp;Result=3","7183554")</f>
        <v>0</v>
      </c>
      <c r="B3679" t="s">
        <v>1347</v>
      </c>
      <c r="C3679" t="s">
        <v>7044</v>
      </c>
      <c r="D3679" t="s">
        <v>17172</v>
      </c>
      <c r="E3679" t="s">
        <v>17545</v>
      </c>
      <c r="F3679" t="s">
        <v>29372</v>
      </c>
      <c r="G3679" t="s">
        <v>29380</v>
      </c>
      <c r="H3679" t="s">
        <v>11048</v>
      </c>
      <c r="I3679" t="s">
        <v>4709</v>
      </c>
      <c r="J3679" t="s">
        <v>32010</v>
      </c>
      <c r="K3679" t="s">
        <v>38485</v>
      </c>
      <c r="M3679" t="s">
        <v>40183</v>
      </c>
      <c r="N3679" t="s">
        <v>42669</v>
      </c>
      <c r="O3679" t="s">
        <v>42670</v>
      </c>
      <c r="P3679">
        <v>0</v>
      </c>
      <c r="Q3679">
        <v>1</v>
      </c>
      <c r="R3679" t="s">
        <v>42676</v>
      </c>
      <c r="S3679" t="s">
        <v>42809</v>
      </c>
      <c r="T3679" t="s">
        <v>44640</v>
      </c>
      <c r="U3679" t="s">
        <v>47864</v>
      </c>
      <c r="W3679" t="s">
        <v>40183</v>
      </c>
      <c r="X3679" t="s">
        <v>42679</v>
      </c>
    </row>
    <row r="3680" spans="1:24">
      <c r="A3680">
        <f>HYPERLINK("https://www.philgeps.gov.ph/GEPSNONPILOT/Tender/SplashBidNoticeAbstractUI.aspx?menuIndex=3&amp;refID=7183440&amp;Result=3","7183440")</f>
        <v>0</v>
      </c>
      <c r="B3680" t="s">
        <v>1348</v>
      </c>
      <c r="C3680" t="s">
        <v>7045</v>
      </c>
      <c r="D3680" t="s">
        <v>17205</v>
      </c>
      <c r="E3680" t="s">
        <v>18602</v>
      </c>
      <c r="F3680" t="s">
        <v>29372</v>
      </c>
      <c r="G3680" t="s">
        <v>29380</v>
      </c>
      <c r="H3680" t="s">
        <v>11048</v>
      </c>
      <c r="I3680" t="s">
        <v>29395</v>
      </c>
      <c r="J3680" t="s">
        <v>32011</v>
      </c>
      <c r="K3680" t="s">
        <v>38488</v>
      </c>
      <c r="M3680" t="s">
        <v>40184</v>
      </c>
      <c r="N3680" t="s">
        <v>42669</v>
      </c>
      <c r="O3680" t="s">
        <v>42670</v>
      </c>
      <c r="P3680">
        <v>0</v>
      </c>
      <c r="Q3680">
        <v>2</v>
      </c>
      <c r="R3680" t="s">
        <v>42676</v>
      </c>
      <c r="S3680" t="s">
        <v>42809</v>
      </c>
      <c r="T3680" t="s">
        <v>44525</v>
      </c>
      <c r="U3680" t="s">
        <v>47865</v>
      </c>
      <c r="W3680" t="s">
        <v>40184</v>
      </c>
      <c r="X3680" t="s">
        <v>42679</v>
      </c>
    </row>
    <row r="3681" spans="1:24">
      <c r="A3681">
        <f>HYPERLINK("https://www.philgeps.gov.ph/GEPSNONPILOT/Tender/SplashBidNoticeAbstractUI.aspx?menuIndex=3&amp;refID=7183963&amp;Result=3","7183963")</f>
        <v>0</v>
      </c>
      <c r="B3681" t="s">
        <v>1349</v>
      </c>
      <c r="C3681" t="s">
        <v>7046</v>
      </c>
      <c r="D3681" t="s">
        <v>17179</v>
      </c>
      <c r="E3681" t="s">
        <v>20488</v>
      </c>
      <c r="F3681" t="s">
        <v>29372</v>
      </c>
      <c r="G3681" t="s">
        <v>29380</v>
      </c>
      <c r="H3681" t="s">
        <v>11048</v>
      </c>
      <c r="I3681" t="s">
        <v>9469</v>
      </c>
      <c r="J3681" t="s">
        <v>30787</v>
      </c>
      <c r="K3681" t="s">
        <v>38495</v>
      </c>
      <c r="M3681" t="s">
        <v>40185</v>
      </c>
      <c r="N3681" t="s">
        <v>42669</v>
      </c>
      <c r="O3681" t="s">
        <v>42670</v>
      </c>
      <c r="P3681">
        <v>0</v>
      </c>
      <c r="Q3681">
        <v>1</v>
      </c>
      <c r="R3681" t="s">
        <v>42676</v>
      </c>
      <c r="S3681" t="s">
        <v>42809</v>
      </c>
      <c r="T3681" t="s">
        <v>44424</v>
      </c>
      <c r="U3681" t="s">
        <v>47866</v>
      </c>
      <c r="W3681" t="s">
        <v>40185</v>
      </c>
      <c r="X3681" t="s">
        <v>42678</v>
      </c>
    </row>
    <row r="3682" spans="1:24">
      <c r="A3682">
        <f>HYPERLINK("https://www.philgeps.gov.ph/GEPSNONPILOT/Tender/SplashBidNoticeAbstractUI.aspx?menuIndex=3&amp;refID=7182004&amp;Result=3","7182004")</f>
        <v>0</v>
      </c>
      <c r="B3682" t="s">
        <v>1336</v>
      </c>
      <c r="C3682" t="s">
        <v>7047</v>
      </c>
      <c r="D3682" t="s">
        <v>17226</v>
      </c>
      <c r="E3682" t="s">
        <v>20489</v>
      </c>
      <c r="F3682" t="s">
        <v>29372</v>
      </c>
      <c r="G3682" t="s">
        <v>29380</v>
      </c>
      <c r="H3682" t="s">
        <v>11048</v>
      </c>
      <c r="I3682" t="s">
        <v>9469</v>
      </c>
      <c r="J3682" t="s">
        <v>30056</v>
      </c>
      <c r="K3682" t="s">
        <v>38496</v>
      </c>
      <c r="M3682" t="s">
        <v>40172</v>
      </c>
      <c r="N3682" t="s">
        <v>42669</v>
      </c>
      <c r="O3682" t="s">
        <v>42670</v>
      </c>
      <c r="P3682">
        <v>0</v>
      </c>
      <c r="Q3682">
        <v>2</v>
      </c>
      <c r="R3682" t="s">
        <v>42676</v>
      </c>
      <c r="S3682" t="s">
        <v>42809</v>
      </c>
      <c r="T3682" t="s">
        <v>44542</v>
      </c>
      <c r="U3682" t="s">
        <v>47867</v>
      </c>
      <c r="W3682" t="s">
        <v>40172</v>
      </c>
      <c r="X3682" t="s">
        <v>42679</v>
      </c>
    </row>
    <row r="3683" spans="1:24">
      <c r="A3683">
        <f>HYPERLINK("https://www.philgeps.gov.ph/GEPSNONPILOT/Tender/SplashBidNoticeAbstractUI.aspx?menuIndex=3&amp;refID=7183130&amp;Result=3","7183130")</f>
        <v>0</v>
      </c>
      <c r="B3683" t="s">
        <v>86</v>
      </c>
      <c r="C3683" t="s">
        <v>7048</v>
      </c>
      <c r="E3683" t="s">
        <v>20490</v>
      </c>
      <c r="F3683" t="s">
        <v>29372</v>
      </c>
      <c r="G3683" t="s">
        <v>29379</v>
      </c>
      <c r="H3683" t="s">
        <v>29389</v>
      </c>
      <c r="I3683" t="s">
        <v>10408</v>
      </c>
      <c r="J3683" t="s">
        <v>30540</v>
      </c>
      <c r="K3683" t="s">
        <v>38507</v>
      </c>
      <c r="M3683" t="s">
        <v>40155</v>
      </c>
      <c r="N3683" t="s">
        <v>42669</v>
      </c>
      <c r="O3683" t="s">
        <v>42670</v>
      </c>
      <c r="P3683">
        <v>0</v>
      </c>
      <c r="Q3683">
        <v>0</v>
      </c>
      <c r="R3683" t="s">
        <v>42676</v>
      </c>
      <c r="S3683" t="s">
        <v>42809</v>
      </c>
      <c r="T3683" t="s">
        <v>44399</v>
      </c>
      <c r="U3683" t="s">
        <v>47868</v>
      </c>
      <c r="W3683" t="s">
        <v>40155</v>
      </c>
      <c r="X3683" t="s">
        <v>42679</v>
      </c>
    </row>
    <row r="3684" spans="1:24">
      <c r="A3684">
        <f>HYPERLINK("https://www.philgeps.gov.ph/GEPSNONPILOT/Tender/SplashBidNoticeAbstractUI.aspx?menuIndex=3&amp;refID=7183106&amp;Result=3","7183106")</f>
        <v>0</v>
      </c>
      <c r="B3684" t="s">
        <v>86</v>
      </c>
      <c r="C3684" t="s">
        <v>7049</v>
      </c>
      <c r="E3684" t="s">
        <v>20491</v>
      </c>
      <c r="F3684" t="s">
        <v>29372</v>
      </c>
      <c r="G3684" t="s">
        <v>29379</v>
      </c>
      <c r="H3684" t="s">
        <v>29389</v>
      </c>
      <c r="I3684" t="s">
        <v>10408</v>
      </c>
      <c r="J3684" t="s">
        <v>32012</v>
      </c>
      <c r="K3684" t="s">
        <v>38504</v>
      </c>
      <c r="M3684" t="s">
        <v>40155</v>
      </c>
      <c r="N3684" t="s">
        <v>42669</v>
      </c>
      <c r="O3684" t="s">
        <v>42670</v>
      </c>
      <c r="P3684">
        <v>0</v>
      </c>
      <c r="Q3684">
        <v>1</v>
      </c>
      <c r="R3684" t="s">
        <v>42676</v>
      </c>
      <c r="S3684" t="s">
        <v>42809</v>
      </c>
      <c r="T3684" t="s">
        <v>44399</v>
      </c>
      <c r="U3684" t="s">
        <v>47869</v>
      </c>
      <c r="W3684" t="s">
        <v>40155</v>
      </c>
      <c r="X3684" t="s">
        <v>42679</v>
      </c>
    </row>
    <row r="3685" spans="1:24">
      <c r="A3685">
        <f>HYPERLINK("https://www.philgeps.gov.ph/GEPSNONPILOT/Tender/SplashBidNoticeAbstractUI.aspx?menuIndex=3&amp;refID=7184014&amp;Result=3","7184014")</f>
        <v>0</v>
      </c>
      <c r="B3685" t="s">
        <v>1350</v>
      </c>
      <c r="C3685" t="s">
        <v>7050</v>
      </c>
      <c r="D3685" t="s">
        <v>17193</v>
      </c>
      <c r="E3685" t="s">
        <v>20492</v>
      </c>
      <c r="F3685" t="s">
        <v>29372</v>
      </c>
      <c r="G3685" t="s">
        <v>29379</v>
      </c>
      <c r="H3685" t="s">
        <v>11048</v>
      </c>
      <c r="I3685" t="s">
        <v>8614</v>
      </c>
      <c r="J3685" t="s">
        <v>29549</v>
      </c>
      <c r="K3685" t="s">
        <v>38495</v>
      </c>
      <c r="M3685" t="s">
        <v>40186</v>
      </c>
      <c r="N3685" t="s">
        <v>42669</v>
      </c>
      <c r="O3685" t="s">
        <v>42670</v>
      </c>
      <c r="P3685">
        <v>0</v>
      </c>
      <c r="Q3685">
        <v>9</v>
      </c>
      <c r="R3685" t="s">
        <v>42676</v>
      </c>
      <c r="S3685" t="s">
        <v>42809</v>
      </c>
      <c r="T3685" t="s">
        <v>44488</v>
      </c>
      <c r="U3685" t="s">
        <v>47870</v>
      </c>
      <c r="V3685" t="s">
        <v>56700</v>
      </c>
      <c r="W3685" t="s">
        <v>40186</v>
      </c>
      <c r="X3685" t="s">
        <v>42678</v>
      </c>
    </row>
    <row r="3686" spans="1:24">
      <c r="A3686">
        <f>HYPERLINK("https://www.philgeps.gov.ph/GEPSNONPILOT/Tender/SplashBidNoticeAbstractUI.aspx?menuIndex=3&amp;refID=7183009&amp;Result=3","7183009")</f>
        <v>0</v>
      </c>
      <c r="B3686" t="s">
        <v>537</v>
      </c>
      <c r="C3686" t="s">
        <v>7051</v>
      </c>
      <c r="D3686" t="s">
        <v>17171</v>
      </c>
      <c r="E3686" t="s">
        <v>20493</v>
      </c>
      <c r="F3686" t="s">
        <v>29372</v>
      </c>
      <c r="G3686" t="s">
        <v>29383</v>
      </c>
      <c r="H3686" t="s">
        <v>11048</v>
      </c>
      <c r="I3686" t="s">
        <v>3839</v>
      </c>
      <c r="J3686" t="s">
        <v>32013</v>
      </c>
      <c r="K3686" t="s">
        <v>38488</v>
      </c>
      <c r="M3686" t="s">
        <v>39305</v>
      </c>
      <c r="N3686" t="s">
        <v>42669</v>
      </c>
      <c r="O3686" t="s">
        <v>42670</v>
      </c>
      <c r="P3686">
        <v>0</v>
      </c>
      <c r="Q3686">
        <v>1</v>
      </c>
      <c r="R3686" t="s">
        <v>42676</v>
      </c>
      <c r="S3686" t="s">
        <v>42809</v>
      </c>
      <c r="T3686" t="s">
        <v>44429</v>
      </c>
      <c r="U3686" t="s">
        <v>47871</v>
      </c>
      <c r="W3686" t="s">
        <v>39305</v>
      </c>
      <c r="X3686" t="s">
        <v>42679</v>
      </c>
    </row>
    <row r="3687" spans="1:24">
      <c r="A3687">
        <f>HYPERLINK("https://www.philgeps.gov.ph/GEPSNONPILOT/Tender/SplashBidNoticeAbstractUI.aspx?menuIndex=3&amp;refID=7182907&amp;Result=3","7182907")</f>
        <v>0</v>
      </c>
      <c r="B3687" t="s">
        <v>1351</v>
      </c>
      <c r="C3687" t="s">
        <v>5629</v>
      </c>
      <c r="D3687" t="s">
        <v>17212</v>
      </c>
      <c r="E3687" t="s">
        <v>20494</v>
      </c>
      <c r="F3687" t="s">
        <v>29372</v>
      </c>
      <c r="G3687" t="s">
        <v>29380</v>
      </c>
      <c r="H3687" t="s">
        <v>29389</v>
      </c>
      <c r="I3687" t="s">
        <v>10408</v>
      </c>
      <c r="J3687" t="s">
        <v>32014</v>
      </c>
      <c r="K3687" t="s">
        <v>38489</v>
      </c>
      <c r="M3687" t="s">
        <v>40187</v>
      </c>
      <c r="N3687" t="s">
        <v>42669</v>
      </c>
      <c r="O3687" t="s">
        <v>42670</v>
      </c>
      <c r="P3687">
        <v>0</v>
      </c>
      <c r="Q3687">
        <v>0</v>
      </c>
      <c r="R3687" t="s">
        <v>42676</v>
      </c>
      <c r="S3687" t="s">
        <v>42809</v>
      </c>
      <c r="T3687" t="s">
        <v>44371</v>
      </c>
      <c r="U3687" t="s">
        <v>47872</v>
      </c>
      <c r="W3687" t="s">
        <v>40187</v>
      </c>
      <c r="X3687" t="s">
        <v>42679</v>
      </c>
    </row>
    <row r="3688" spans="1:24">
      <c r="A3688">
        <f>HYPERLINK("https://www.philgeps.gov.ph/GEPSNONPILOT/Tender/SplashBidNoticeAbstractUI.aspx?menuIndex=3&amp;refID=7182868&amp;Result=3","7182868")</f>
        <v>0</v>
      </c>
      <c r="B3688" t="s">
        <v>86</v>
      </c>
      <c r="C3688" t="s">
        <v>7052</v>
      </c>
      <c r="E3688" t="s">
        <v>20495</v>
      </c>
      <c r="F3688" t="s">
        <v>29372</v>
      </c>
      <c r="G3688" t="s">
        <v>29379</v>
      </c>
      <c r="H3688" t="s">
        <v>11048</v>
      </c>
      <c r="I3688" t="s">
        <v>29403</v>
      </c>
      <c r="J3688" t="s">
        <v>32015</v>
      </c>
      <c r="K3688" t="s">
        <v>38518</v>
      </c>
      <c r="M3688" t="s">
        <v>38840</v>
      </c>
      <c r="N3688" t="s">
        <v>42669</v>
      </c>
      <c r="O3688" t="s">
        <v>42670</v>
      </c>
      <c r="P3688">
        <v>0</v>
      </c>
      <c r="Q3688">
        <v>0</v>
      </c>
      <c r="R3688" t="s">
        <v>42676</v>
      </c>
      <c r="S3688" t="s">
        <v>42809</v>
      </c>
      <c r="T3688" t="s">
        <v>44394</v>
      </c>
      <c r="U3688" t="s">
        <v>47803</v>
      </c>
      <c r="W3688" t="s">
        <v>38840</v>
      </c>
      <c r="X3688" t="s">
        <v>42679</v>
      </c>
    </row>
    <row r="3689" spans="1:24">
      <c r="A3689">
        <f>HYPERLINK("https://www.philgeps.gov.ph/GEPSNONPILOT/Tender/SplashBidNoticeAbstractUI.aspx?menuIndex=3&amp;refID=7181844&amp;Result=3","7181844")</f>
        <v>0</v>
      </c>
      <c r="B3689" t="s">
        <v>589</v>
      </c>
      <c r="C3689" t="s">
        <v>7053</v>
      </c>
      <c r="D3689" t="s">
        <v>17168</v>
      </c>
      <c r="E3689" t="s">
        <v>20496</v>
      </c>
      <c r="F3689" t="s">
        <v>29372</v>
      </c>
      <c r="G3689" t="s">
        <v>29380</v>
      </c>
      <c r="H3689" t="s">
        <v>11048</v>
      </c>
      <c r="I3689" t="s">
        <v>29444</v>
      </c>
      <c r="J3689" t="s">
        <v>29615</v>
      </c>
      <c r="K3689" t="s">
        <v>38538</v>
      </c>
      <c r="M3689" t="s">
        <v>39358</v>
      </c>
      <c r="N3689" t="s">
        <v>42669</v>
      </c>
      <c r="O3689" t="s">
        <v>42670</v>
      </c>
      <c r="P3689">
        <v>0</v>
      </c>
      <c r="Q3689">
        <v>4</v>
      </c>
      <c r="R3689" t="s">
        <v>42676</v>
      </c>
      <c r="S3689" t="s">
        <v>42809</v>
      </c>
      <c r="T3689" t="s">
        <v>44460</v>
      </c>
      <c r="U3689" t="s">
        <v>47873</v>
      </c>
      <c r="V3689" t="s">
        <v>56701</v>
      </c>
      <c r="W3689" t="s">
        <v>39358</v>
      </c>
      <c r="X3689" t="s">
        <v>42679</v>
      </c>
    </row>
    <row r="3690" spans="1:24">
      <c r="A3690">
        <f>HYPERLINK("https://www.philgeps.gov.ph/GEPSNONPILOT/Tender/SplashBidNoticeAbstractUI.aspx?menuIndex=3&amp;refID=7184399&amp;Result=3","7184399")</f>
        <v>0</v>
      </c>
      <c r="B3690" t="s">
        <v>1341</v>
      </c>
      <c r="C3690" t="s">
        <v>7054</v>
      </c>
      <c r="D3690" t="s">
        <v>17141</v>
      </c>
      <c r="E3690" t="s">
        <v>20497</v>
      </c>
      <c r="F3690" t="s">
        <v>29372</v>
      </c>
      <c r="G3690" t="s">
        <v>29380</v>
      </c>
      <c r="H3690" t="s">
        <v>11048</v>
      </c>
      <c r="I3690" t="s">
        <v>29458</v>
      </c>
      <c r="J3690" t="s">
        <v>32016</v>
      </c>
      <c r="K3690" t="s">
        <v>38490</v>
      </c>
      <c r="M3690" t="s">
        <v>40177</v>
      </c>
      <c r="N3690" t="s">
        <v>42669</v>
      </c>
      <c r="O3690" t="s">
        <v>42670</v>
      </c>
      <c r="P3690">
        <v>0</v>
      </c>
      <c r="Q3690">
        <v>2</v>
      </c>
      <c r="R3690" t="s">
        <v>42676</v>
      </c>
      <c r="S3690" t="s">
        <v>42809</v>
      </c>
      <c r="T3690" t="s">
        <v>44446</v>
      </c>
      <c r="U3690" t="s">
        <v>47874</v>
      </c>
      <c r="W3690" t="s">
        <v>40177</v>
      </c>
      <c r="X3690" t="s">
        <v>42678</v>
      </c>
    </row>
    <row r="3691" spans="1:24">
      <c r="A3691">
        <f>HYPERLINK("https://www.philgeps.gov.ph/GEPSNONPILOT/Tender/SplashBidNoticeAbstractUI.aspx?menuIndex=3&amp;refID=7184485&amp;Result=3","7184485")</f>
        <v>0</v>
      </c>
      <c r="B3691" t="s">
        <v>1341</v>
      </c>
      <c r="C3691" t="s">
        <v>7055</v>
      </c>
      <c r="D3691" t="s">
        <v>17141</v>
      </c>
      <c r="E3691" t="s">
        <v>20498</v>
      </c>
      <c r="F3691" t="s">
        <v>29372</v>
      </c>
      <c r="G3691" t="s">
        <v>29380</v>
      </c>
      <c r="H3691" t="s">
        <v>11048</v>
      </c>
      <c r="I3691" t="s">
        <v>3695</v>
      </c>
      <c r="J3691" t="s">
        <v>32017</v>
      </c>
      <c r="K3691" t="s">
        <v>38490</v>
      </c>
      <c r="M3691" t="s">
        <v>40177</v>
      </c>
      <c r="N3691" t="s">
        <v>42669</v>
      </c>
      <c r="O3691" t="s">
        <v>42670</v>
      </c>
      <c r="P3691">
        <v>0</v>
      </c>
      <c r="Q3691">
        <v>5</v>
      </c>
      <c r="R3691" t="s">
        <v>42676</v>
      </c>
      <c r="S3691" t="s">
        <v>42809</v>
      </c>
      <c r="T3691" t="s">
        <v>44446</v>
      </c>
      <c r="U3691" t="s">
        <v>47875</v>
      </c>
      <c r="W3691" t="s">
        <v>40177</v>
      </c>
      <c r="X3691" t="s">
        <v>42678</v>
      </c>
    </row>
    <row r="3692" spans="1:24">
      <c r="A3692">
        <f>HYPERLINK("https://www.philgeps.gov.ph/GEPSNONPILOT/Tender/SplashBidNoticeAbstractUI.aspx?menuIndex=3&amp;refID=7184481&amp;Result=3","7184481")</f>
        <v>0</v>
      </c>
      <c r="B3692" t="s">
        <v>613</v>
      </c>
      <c r="C3692" t="s">
        <v>7056</v>
      </c>
      <c r="D3692" t="s">
        <v>17205</v>
      </c>
      <c r="E3692" t="s">
        <v>20499</v>
      </c>
      <c r="F3692" t="s">
        <v>29372</v>
      </c>
      <c r="G3692" t="s">
        <v>29380</v>
      </c>
      <c r="H3692" t="s">
        <v>11048</v>
      </c>
      <c r="I3692" t="s">
        <v>29414</v>
      </c>
      <c r="J3692" t="s">
        <v>29573</v>
      </c>
      <c r="K3692" t="s">
        <v>38490</v>
      </c>
      <c r="M3692" t="s">
        <v>39384</v>
      </c>
      <c r="N3692" t="s">
        <v>42669</v>
      </c>
      <c r="O3692" t="s">
        <v>42670</v>
      </c>
      <c r="P3692">
        <v>0</v>
      </c>
      <c r="Q3692">
        <v>17</v>
      </c>
      <c r="R3692" t="s">
        <v>42676</v>
      </c>
      <c r="S3692" t="s">
        <v>42809</v>
      </c>
      <c r="T3692" t="s">
        <v>44587</v>
      </c>
      <c r="U3692" t="s">
        <v>47876</v>
      </c>
      <c r="V3692" t="s">
        <v>56702</v>
      </c>
      <c r="W3692" t="s">
        <v>39384</v>
      </c>
      <c r="X3692" t="s">
        <v>42678</v>
      </c>
    </row>
    <row r="3693" spans="1:24">
      <c r="A3693">
        <f>HYPERLINK("https://www.philgeps.gov.ph/GEPSNONPILOT/Tender/SplashBidNoticeAbstractUI.aspx?menuIndex=3&amp;refID=7184456&amp;Result=3","7184456")</f>
        <v>0</v>
      </c>
      <c r="B3693" t="s">
        <v>1341</v>
      </c>
      <c r="C3693" t="s">
        <v>7057</v>
      </c>
      <c r="D3693" t="s">
        <v>17141</v>
      </c>
      <c r="E3693" t="s">
        <v>20500</v>
      </c>
      <c r="F3693" t="s">
        <v>29372</v>
      </c>
      <c r="G3693" t="s">
        <v>29380</v>
      </c>
      <c r="H3693" t="s">
        <v>11048</v>
      </c>
      <c r="I3693" t="s">
        <v>29458</v>
      </c>
      <c r="J3693" t="s">
        <v>32018</v>
      </c>
      <c r="K3693" t="s">
        <v>38490</v>
      </c>
      <c r="M3693" t="s">
        <v>40177</v>
      </c>
      <c r="N3693" t="s">
        <v>42669</v>
      </c>
      <c r="O3693" t="s">
        <v>42670</v>
      </c>
      <c r="P3693">
        <v>0</v>
      </c>
      <c r="Q3693">
        <v>0</v>
      </c>
      <c r="R3693" t="s">
        <v>42676</v>
      </c>
      <c r="S3693" t="s">
        <v>42809</v>
      </c>
      <c r="T3693" t="s">
        <v>44446</v>
      </c>
      <c r="U3693" t="s">
        <v>47877</v>
      </c>
      <c r="W3693" t="s">
        <v>40177</v>
      </c>
      <c r="X3693" t="s">
        <v>42678</v>
      </c>
    </row>
    <row r="3694" spans="1:24">
      <c r="A3694">
        <f>HYPERLINK("https://www.philgeps.gov.ph/GEPSNONPILOT/Tender/SplashBidNoticeAbstractUI.aspx?menuIndex=3&amp;refID=7183076&amp;Result=3","7183076")</f>
        <v>0</v>
      </c>
      <c r="B3694" t="s">
        <v>1319</v>
      </c>
      <c r="C3694" t="s">
        <v>7058</v>
      </c>
      <c r="D3694" t="s">
        <v>17141</v>
      </c>
      <c r="E3694" t="s">
        <v>20501</v>
      </c>
      <c r="F3694" t="s">
        <v>29372</v>
      </c>
      <c r="G3694" t="s">
        <v>29380</v>
      </c>
      <c r="H3694" t="s">
        <v>29389</v>
      </c>
      <c r="I3694" t="s">
        <v>10408</v>
      </c>
      <c r="J3694" t="s">
        <v>29573</v>
      </c>
      <c r="K3694" t="s">
        <v>38490</v>
      </c>
      <c r="M3694" t="s">
        <v>40151</v>
      </c>
      <c r="N3694" t="s">
        <v>42669</v>
      </c>
      <c r="O3694" t="s">
        <v>42670</v>
      </c>
      <c r="P3694">
        <v>0</v>
      </c>
      <c r="Q3694">
        <v>1</v>
      </c>
      <c r="R3694" t="s">
        <v>42676</v>
      </c>
      <c r="S3694" t="s">
        <v>42809</v>
      </c>
      <c r="T3694" t="s">
        <v>44636</v>
      </c>
      <c r="U3694" t="s">
        <v>47878</v>
      </c>
      <c r="W3694" t="s">
        <v>40151</v>
      </c>
      <c r="X3694" t="s">
        <v>42679</v>
      </c>
    </row>
    <row r="3695" spans="1:24">
      <c r="A3695">
        <f>HYPERLINK("https://www.philgeps.gov.ph/GEPSNONPILOT/Tender/SplashBidNoticeAbstractUI.aspx?menuIndex=3&amp;refID=7182932&amp;Result=3","7182932")</f>
        <v>0</v>
      </c>
      <c r="B3695" t="s">
        <v>613</v>
      </c>
      <c r="C3695" t="s">
        <v>7059</v>
      </c>
      <c r="D3695" t="s">
        <v>17205</v>
      </c>
      <c r="E3695" t="s">
        <v>20502</v>
      </c>
      <c r="F3695" t="s">
        <v>29372</v>
      </c>
      <c r="G3695" t="s">
        <v>29379</v>
      </c>
      <c r="H3695" t="s">
        <v>11048</v>
      </c>
      <c r="I3695" t="s">
        <v>29433</v>
      </c>
      <c r="J3695" t="s">
        <v>30438</v>
      </c>
      <c r="K3695" t="s">
        <v>38490</v>
      </c>
      <c r="M3695" t="s">
        <v>39384</v>
      </c>
      <c r="N3695" t="s">
        <v>42669</v>
      </c>
      <c r="O3695" t="s">
        <v>42670</v>
      </c>
      <c r="P3695">
        <v>0</v>
      </c>
      <c r="Q3695">
        <v>12</v>
      </c>
      <c r="R3695" t="s">
        <v>42676</v>
      </c>
      <c r="S3695" t="s">
        <v>42809</v>
      </c>
      <c r="T3695" t="s">
        <v>44417</v>
      </c>
      <c r="U3695" t="s">
        <v>47879</v>
      </c>
      <c r="V3695" t="s">
        <v>56514</v>
      </c>
      <c r="W3695" t="s">
        <v>39384</v>
      </c>
      <c r="X3695" t="s">
        <v>42679</v>
      </c>
    </row>
    <row r="3696" spans="1:24">
      <c r="A3696">
        <f>HYPERLINK("https://www.philgeps.gov.ph/GEPSNONPILOT/Tender/SplashBidNoticeAbstractUI.aspx?menuIndex=3&amp;refID=7184441&amp;Result=3","7184441")</f>
        <v>0</v>
      </c>
      <c r="B3696" t="s">
        <v>1342</v>
      </c>
      <c r="C3696" t="s">
        <v>7060</v>
      </c>
      <c r="D3696" t="s">
        <v>17169</v>
      </c>
      <c r="E3696" t="s">
        <v>20503</v>
      </c>
      <c r="F3696" t="s">
        <v>29372</v>
      </c>
      <c r="G3696" t="s">
        <v>29380</v>
      </c>
      <c r="H3696" t="s">
        <v>29389</v>
      </c>
      <c r="I3696" t="s">
        <v>10408</v>
      </c>
      <c r="J3696" t="s">
        <v>32019</v>
      </c>
      <c r="K3696" t="s">
        <v>38495</v>
      </c>
      <c r="M3696" t="s">
        <v>40178</v>
      </c>
      <c r="N3696" t="s">
        <v>42669</v>
      </c>
      <c r="O3696" t="s">
        <v>42670</v>
      </c>
      <c r="P3696">
        <v>0</v>
      </c>
      <c r="Q3696">
        <v>0</v>
      </c>
      <c r="R3696" t="s">
        <v>42676</v>
      </c>
      <c r="S3696" t="s">
        <v>42809</v>
      </c>
      <c r="T3696" t="s">
        <v>44544</v>
      </c>
      <c r="U3696" t="s">
        <v>47880</v>
      </c>
      <c r="W3696" t="s">
        <v>40178</v>
      </c>
      <c r="X3696" t="s">
        <v>42678</v>
      </c>
    </row>
    <row r="3697" spans="1:24">
      <c r="A3697">
        <f>HYPERLINK("https://www.philgeps.gov.ph/GEPSNONPILOT/Tender/SplashBidNoticeAbstractUI.aspx?menuIndex=3&amp;refID=7184131&amp;Result=3","7184131")</f>
        <v>0</v>
      </c>
      <c r="B3697" t="s">
        <v>1343</v>
      </c>
      <c r="C3697" t="s">
        <v>7061</v>
      </c>
      <c r="D3697" t="s">
        <v>17141</v>
      </c>
      <c r="E3697" t="s">
        <v>7061</v>
      </c>
      <c r="F3697" t="s">
        <v>29372</v>
      </c>
      <c r="G3697" t="s">
        <v>29380</v>
      </c>
      <c r="H3697" t="s">
        <v>29389</v>
      </c>
      <c r="I3697" t="s">
        <v>10408</v>
      </c>
      <c r="J3697" t="s">
        <v>32020</v>
      </c>
      <c r="K3697" t="s">
        <v>38490</v>
      </c>
      <c r="M3697" t="s">
        <v>40179</v>
      </c>
      <c r="N3697" t="s">
        <v>42669</v>
      </c>
      <c r="O3697" t="s">
        <v>42670</v>
      </c>
      <c r="P3697">
        <v>0</v>
      </c>
      <c r="Q3697">
        <v>3</v>
      </c>
      <c r="R3697" t="s">
        <v>42676</v>
      </c>
      <c r="S3697" t="s">
        <v>42809</v>
      </c>
      <c r="T3697" t="s">
        <v>44475</v>
      </c>
      <c r="U3697" t="s">
        <v>47881</v>
      </c>
      <c r="W3697" t="s">
        <v>40179</v>
      </c>
      <c r="X3697" t="s">
        <v>42678</v>
      </c>
    </row>
    <row r="3698" spans="1:24">
      <c r="A3698">
        <f>HYPERLINK("https://www.philgeps.gov.ph/GEPSNONPILOT/Tender/SplashBidNoticeAbstractUI.aspx?menuIndex=3&amp;refID=7184419&amp;Result=3","7184419")</f>
        <v>0</v>
      </c>
      <c r="B3698" t="s">
        <v>1341</v>
      </c>
      <c r="C3698" t="s">
        <v>7062</v>
      </c>
      <c r="D3698" t="s">
        <v>17141</v>
      </c>
      <c r="E3698" t="s">
        <v>20504</v>
      </c>
      <c r="F3698" t="s">
        <v>29372</v>
      </c>
      <c r="G3698" t="s">
        <v>29380</v>
      </c>
      <c r="H3698" t="s">
        <v>11048</v>
      </c>
      <c r="I3698" t="s">
        <v>29400</v>
      </c>
      <c r="J3698" t="s">
        <v>32021</v>
      </c>
      <c r="K3698" t="s">
        <v>38490</v>
      </c>
      <c r="M3698" t="s">
        <v>40177</v>
      </c>
      <c r="N3698" t="s">
        <v>42669</v>
      </c>
      <c r="O3698" t="s">
        <v>42670</v>
      </c>
      <c r="P3698">
        <v>0</v>
      </c>
      <c r="Q3698">
        <v>10</v>
      </c>
      <c r="R3698" t="s">
        <v>42676</v>
      </c>
      <c r="S3698" t="s">
        <v>42809</v>
      </c>
      <c r="T3698" t="s">
        <v>44446</v>
      </c>
      <c r="U3698" t="s">
        <v>47882</v>
      </c>
      <c r="W3698" t="s">
        <v>40177</v>
      </c>
      <c r="X3698" t="s">
        <v>42678</v>
      </c>
    </row>
    <row r="3699" spans="1:24">
      <c r="A3699">
        <f>HYPERLINK("https://www.philgeps.gov.ph/GEPSNONPILOT/Tender/SplashBidNoticeAbstractUI.aspx?menuIndex=3&amp;refID=7184415&amp;Result=3","7184415")</f>
        <v>0</v>
      </c>
      <c r="B3699" t="s">
        <v>1341</v>
      </c>
      <c r="C3699" t="s">
        <v>7063</v>
      </c>
      <c r="D3699" t="s">
        <v>17141</v>
      </c>
      <c r="E3699" t="s">
        <v>20505</v>
      </c>
      <c r="F3699" t="s">
        <v>29372</v>
      </c>
      <c r="G3699" t="s">
        <v>29380</v>
      </c>
      <c r="H3699" t="s">
        <v>11048</v>
      </c>
      <c r="I3699" t="s">
        <v>29458</v>
      </c>
      <c r="J3699" t="s">
        <v>32022</v>
      </c>
      <c r="K3699" t="s">
        <v>38490</v>
      </c>
      <c r="M3699" t="s">
        <v>40177</v>
      </c>
      <c r="N3699" t="s">
        <v>42669</v>
      </c>
      <c r="O3699" t="s">
        <v>42670</v>
      </c>
      <c r="P3699">
        <v>0</v>
      </c>
      <c r="Q3699">
        <v>1</v>
      </c>
      <c r="R3699" t="s">
        <v>42676</v>
      </c>
      <c r="S3699" t="s">
        <v>42809</v>
      </c>
      <c r="T3699" t="s">
        <v>44446</v>
      </c>
      <c r="U3699" t="s">
        <v>47883</v>
      </c>
      <c r="W3699" t="s">
        <v>40177</v>
      </c>
      <c r="X3699" t="s">
        <v>42678</v>
      </c>
    </row>
    <row r="3700" spans="1:24">
      <c r="A3700">
        <f>HYPERLINK("https://www.philgeps.gov.ph/GEPSNONPILOT/Tender/SplashBidNoticeAbstractUI.aspx?menuIndex=3&amp;refID=7184370&amp;Result=3","7184370")</f>
        <v>0</v>
      </c>
      <c r="B3700" t="s">
        <v>1341</v>
      </c>
      <c r="C3700" t="s">
        <v>7064</v>
      </c>
      <c r="D3700" t="s">
        <v>17141</v>
      </c>
      <c r="E3700" t="s">
        <v>20506</v>
      </c>
      <c r="F3700" t="s">
        <v>29372</v>
      </c>
      <c r="G3700" t="s">
        <v>29380</v>
      </c>
      <c r="H3700" t="s">
        <v>11048</v>
      </c>
      <c r="I3700" t="s">
        <v>29407</v>
      </c>
      <c r="J3700" t="s">
        <v>31485</v>
      </c>
      <c r="K3700" t="s">
        <v>38490</v>
      </c>
      <c r="M3700" t="s">
        <v>40177</v>
      </c>
      <c r="N3700" t="s">
        <v>42669</v>
      </c>
      <c r="O3700" t="s">
        <v>42670</v>
      </c>
      <c r="P3700">
        <v>0</v>
      </c>
      <c r="Q3700">
        <v>12</v>
      </c>
      <c r="R3700" t="s">
        <v>42676</v>
      </c>
      <c r="S3700" t="s">
        <v>42809</v>
      </c>
      <c r="T3700" t="s">
        <v>44446</v>
      </c>
      <c r="U3700" t="s">
        <v>47884</v>
      </c>
      <c r="W3700" t="s">
        <v>40177</v>
      </c>
      <c r="X3700" t="s">
        <v>42678</v>
      </c>
    </row>
    <row r="3701" spans="1:24">
      <c r="A3701">
        <f>HYPERLINK("https://www.philgeps.gov.ph/GEPSNONPILOT/Tender/SplashBidNoticeAbstractUI.aspx?menuIndex=3&amp;refID=7184380&amp;Result=3","7184380")</f>
        <v>0</v>
      </c>
      <c r="B3701" t="s">
        <v>1331</v>
      </c>
      <c r="C3701" t="s">
        <v>7065</v>
      </c>
      <c r="E3701" t="s">
        <v>20507</v>
      </c>
      <c r="F3701" t="s">
        <v>29372</v>
      </c>
      <c r="G3701" t="s">
        <v>29380</v>
      </c>
      <c r="H3701" t="s">
        <v>29389</v>
      </c>
      <c r="I3701" t="s">
        <v>10408</v>
      </c>
      <c r="J3701" t="s">
        <v>30811</v>
      </c>
      <c r="K3701" t="s">
        <v>38622</v>
      </c>
      <c r="M3701" t="s">
        <v>40167</v>
      </c>
      <c r="N3701" t="s">
        <v>42669</v>
      </c>
      <c r="O3701" t="s">
        <v>42670</v>
      </c>
      <c r="P3701">
        <v>0</v>
      </c>
      <c r="Q3701">
        <v>0</v>
      </c>
      <c r="R3701" t="s">
        <v>42676</v>
      </c>
      <c r="S3701" t="s">
        <v>42809</v>
      </c>
      <c r="T3701" t="s">
        <v>44504</v>
      </c>
      <c r="U3701" t="s">
        <v>47885</v>
      </c>
      <c r="W3701" t="s">
        <v>40167</v>
      </c>
      <c r="X3701" t="s">
        <v>42678</v>
      </c>
    </row>
    <row r="3702" spans="1:24">
      <c r="A3702">
        <f>HYPERLINK("https://www.philgeps.gov.ph/GEPSNONPILOT/Tender/SplashBidNoticeAbstractUI.aspx?menuIndex=3&amp;refID=7184342&amp;Result=3","7184342")</f>
        <v>0</v>
      </c>
      <c r="B3702" t="s">
        <v>1341</v>
      </c>
      <c r="C3702" t="s">
        <v>7066</v>
      </c>
      <c r="D3702" t="s">
        <v>17141</v>
      </c>
      <c r="E3702" t="s">
        <v>20508</v>
      </c>
      <c r="F3702" t="s">
        <v>29372</v>
      </c>
      <c r="G3702" t="s">
        <v>29380</v>
      </c>
      <c r="H3702" t="s">
        <v>11048</v>
      </c>
      <c r="I3702" t="s">
        <v>29492</v>
      </c>
      <c r="J3702" t="s">
        <v>32023</v>
      </c>
      <c r="K3702" t="s">
        <v>38490</v>
      </c>
      <c r="M3702" t="s">
        <v>40177</v>
      </c>
      <c r="N3702" t="s">
        <v>42669</v>
      </c>
      <c r="O3702" t="s">
        <v>42670</v>
      </c>
      <c r="P3702">
        <v>0</v>
      </c>
      <c r="Q3702">
        <v>1</v>
      </c>
      <c r="R3702" t="s">
        <v>42676</v>
      </c>
      <c r="S3702" t="s">
        <v>42809</v>
      </c>
      <c r="T3702" t="s">
        <v>44446</v>
      </c>
      <c r="U3702" t="s">
        <v>47886</v>
      </c>
      <c r="W3702" t="s">
        <v>40177</v>
      </c>
      <c r="X3702" t="s">
        <v>42678</v>
      </c>
    </row>
    <row r="3703" spans="1:24">
      <c r="A3703">
        <f>HYPERLINK("https://www.philgeps.gov.ph/GEPSNONPILOT/Tender/SplashBidNoticeAbstractUI.aspx?menuIndex=3&amp;refID=7184322&amp;Result=3","7184322")</f>
        <v>0</v>
      </c>
      <c r="B3703" t="s">
        <v>1341</v>
      </c>
      <c r="C3703" t="s">
        <v>7067</v>
      </c>
      <c r="D3703" t="s">
        <v>17141</v>
      </c>
      <c r="E3703" t="s">
        <v>20509</v>
      </c>
      <c r="F3703" t="s">
        <v>29372</v>
      </c>
      <c r="G3703" t="s">
        <v>29380</v>
      </c>
      <c r="H3703" t="s">
        <v>11048</v>
      </c>
      <c r="I3703" t="s">
        <v>29468</v>
      </c>
      <c r="J3703" t="s">
        <v>32024</v>
      </c>
      <c r="K3703" t="s">
        <v>38490</v>
      </c>
      <c r="M3703" t="s">
        <v>40177</v>
      </c>
      <c r="N3703" t="s">
        <v>42669</v>
      </c>
      <c r="O3703" t="s">
        <v>42670</v>
      </c>
      <c r="P3703">
        <v>0</v>
      </c>
      <c r="Q3703">
        <v>0</v>
      </c>
      <c r="R3703" t="s">
        <v>42676</v>
      </c>
      <c r="S3703" t="s">
        <v>42809</v>
      </c>
      <c r="T3703" t="s">
        <v>44446</v>
      </c>
      <c r="U3703" t="s">
        <v>47887</v>
      </c>
      <c r="W3703" t="s">
        <v>40177</v>
      </c>
      <c r="X3703" t="s">
        <v>42678</v>
      </c>
    </row>
    <row r="3704" spans="1:24">
      <c r="A3704">
        <f>HYPERLINK("https://www.philgeps.gov.ph/GEPSNONPILOT/Tender/SplashBidNoticeAbstractUI.aspx?menuIndex=3&amp;refID=7184306&amp;Result=3","7184306")</f>
        <v>0</v>
      </c>
      <c r="B3704" t="s">
        <v>1341</v>
      </c>
      <c r="C3704" t="s">
        <v>7068</v>
      </c>
      <c r="D3704" t="s">
        <v>17141</v>
      </c>
      <c r="E3704" t="s">
        <v>20510</v>
      </c>
      <c r="F3704" t="s">
        <v>29372</v>
      </c>
      <c r="G3704" t="s">
        <v>29380</v>
      </c>
      <c r="H3704" t="s">
        <v>11048</v>
      </c>
      <c r="I3704" t="s">
        <v>29468</v>
      </c>
      <c r="J3704" t="s">
        <v>32025</v>
      </c>
      <c r="K3704" t="s">
        <v>38490</v>
      </c>
      <c r="M3704" t="s">
        <v>40177</v>
      </c>
      <c r="N3704" t="s">
        <v>42669</v>
      </c>
      <c r="O3704" t="s">
        <v>42670</v>
      </c>
      <c r="P3704">
        <v>0</v>
      </c>
      <c r="Q3704">
        <v>0</v>
      </c>
      <c r="R3704" t="s">
        <v>42676</v>
      </c>
      <c r="S3704" t="s">
        <v>42809</v>
      </c>
      <c r="T3704" t="s">
        <v>44446</v>
      </c>
      <c r="U3704" t="s">
        <v>47888</v>
      </c>
      <c r="W3704" t="s">
        <v>40177</v>
      </c>
      <c r="X3704" t="s">
        <v>42678</v>
      </c>
    </row>
    <row r="3705" spans="1:24">
      <c r="A3705">
        <f>HYPERLINK("https://www.philgeps.gov.ph/GEPSNONPILOT/Tender/SplashBidNoticeAbstractUI.aspx?menuIndex=3&amp;refID=7184404&amp;Result=3","7184404")</f>
        <v>0</v>
      </c>
      <c r="B3705" t="s">
        <v>1342</v>
      </c>
      <c r="C3705" t="s">
        <v>7069</v>
      </c>
      <c r="D3705" t="s">
        <v>17169</v>
      </c>
      <c r="E3705" t="s">
        <v>20511</v>
      </c>
      <c r="F3705" t="s">
        <v>29372</v>
      </c>
      <c r="G3705" t="s">
        <v>29380</v>
      </c>
      <c r="H3705" t="s">
        <v>11048</v>
      </c>
      <c r="I3705" t="s">
        <v>29477</v>
      </c>
      <c r="J3705" t="s">
        <v>30875</v>
      </c>
      <c r="K3705" t="s">
        <v>38485</v>
      </c>
      <c r="M3705" t="s">
        <v>40178</v>
      </c>
      <c r="N3705" t="s">
        <v>42669</v>
      </c>
      <c r="O3705" t="s">
        <v>42670</v>
      </c>
      <c r="P3705">
        <v>0</v>
      </c>
      <c r="Q3705">
        <v>1</v>
      </c>
      <c r="R3705" t="s">
        <v>42676</v>
      </c>
      <c r="S3705" t="s">
        <v>42809</v>
      </c>
      <c r="T3705" t="s">
        <v>44544</v>
      </c>
      <c r="U3705" t="s">
        <v>47889</v>
      </c>
      <c r="W3705" t="s">
        <v>40178</v>
      </c>
      <c r="X3705" t="s">
        <v>42678</v>
      </c>
    </row>
    <row r="3706" spans="1:24">
      <c r="A3706">
        <f>HYPERLINK("https://www.philgeps.gov.ph/GEPSNONPILOT/Tender/SplashBidNoticeAbstractUI.aspx?menuIndex=3&amp;refID=7184355&amp;Result=3","7184355")</f>
        <v>0</v>
      </c>
      <c r="B3706" t="s">
        <v>1341</v>
      </c>
      <c r="C3706" t="s">
        <v>7070</v>
      </c>
      <c r="D3706" t="s">
        <v>17141</v>
      </c>
      <c r="E3706" t="s">
        <v>20512</v>
      </c>
      <c r="F3706" t="s">
        <v>29372</v>
      </c>
      <c r="G3706" t="s">
        <v>29380</v>
      </c>
      <c r="H3706" t="s">
        <v>11048</v>
      </c>
      <c r="I3706" t="s">
        <v>29407</v>
      </c>
      <c r="J3706" t="s">
        <v>32026</v>
      </c>
      <c r="K3706" t="s">
        <v>38490</v>
      </c>
      <c r="M3706" t="s">
        <v>40177</v>
      </c>
      <c r="N3706" t="s">
        <v>42669</v>
      </c>
      <c r="O3706" t="s">
        <v>42670</v>
      </c>
      <c r="P3706">
        <v>0</v>
      </c>
      <c r="Q3706">
        <v>11</v>
      </c>
      <c r="R3706" t="s">
        <v>42676</v>
      </c>
      <c r="S3706" t="s">
        <v>42809</v>
      </c>
      <c r="T3706" t="s">
        <v>44446</v>
      </c>
      <c r="U3706" t="s">
        <v>47890</v>
      </c>
      <c r="W3706" t="s">
        <v>40177</v>
      </c>
      <c r="X3706" t="s">
        <v>42678</v>
      </c>
    </row>
    <row r="3707" spans="1:24">
      <c r="A3707">
        <f>HYPERLINK("https://www.philgeps.gov.ph/GEPSNONPILOT/Tender/SplashBidNoticeAbstractUI.aspx?menuIndex=3&amp;refID=7184294&amp;Result=3","7184294")</f>
        <v>0</v>
      </c>
      <c r="B3707" t="s">
        <v>1341</v>
      </c>
      <c r="C3707" t="s">
        <v>7071</v>
      </c>
      <c r="D3707" t="s">
        <v>17141</v>
      </c>
      <c r="E3707" t="s">
        <v>20513</v>
      </c>
      <c r="F3707" t="s">
        <v>29372</v>
      </c>
      <c r="G3707" t="s">
        <v>29380</v>
      </c>
      <c r="H3707" t="s">
        <v>11048</v>
      </c>
      <c r="I3707" t="s">
        <v>29468</v>
      </c>
      <c r="J3707" t="s">
        <v>32027</v>
      </c>
      <c r="K3707" t="s">
        <v>38490</v>
      </c>
      <c r="M3707" t="s">
        <v>40177</v>
      </c>
      <c r="N3707" t="s">
        <v>42669</v>
      </c>
      <c r="O3707" t="s">
        <v>42670</v>
      </c>
      <c r="P3707">
        <v>0</v>
      </c>
      <c r="Q3707">
        <v>0</v>
      </c>
      <c r="R3707" t="s">
        <v>42676</v>
      </c>
      <c r="S3707" t="s">
        <v>42809</v>
      </c>
      <c r="T3707" t="s">
        <v>44446</v>
      </c>
      <c r="U3707" t="s">
        <v>47891</v>
      </c>
      <c r="W3707" t="s">
        <v>40177</v>
      </c>
      <c r="X3707" t="s">
        <v>42678</v>
      </c>
    </row>
    <row r="3708" spans="1:24">
      <c r="A3708">
        <f>HYPERLINK("https://www.philgeps.gov.ph/GEPSNONPILOT/Tender/SplashBidNoticeAbstractUI.aspx?menuIndex=3&amp;refID=7182539&amp;Result=3","7182539")</f>
        <v>0</v>
      </c>
      <c r="B3708" t="s">
        <v>1339</v>
      </c>
      <c r="C3708" t="s">
        <v>7072</v>
      </c>
      <c r="D3708" t="s">
        <v>17183</v>
      </c>
      <c r="E3708" t="s">
        <v>20514</v>
      </c>
      <c r="F3708" t="s">
        <v>29372</v>
      </c>
      <c r="G3708" t="s">
        <v>29380</v>
      </c>
      <c r="H3708" t="s">
        <v>11048</v>
      </c>
      <c r="I3708" t="s">
        <v>9469</v>
      </c>
      <c r="J3708" t="s">
        <v>32028</v>
      </c>
      <c r="K3708" t="s">
        <v>38496</v>
      </c>
      <c r="M3708" t="s">
        <v>40175</v>
      </c>
      <c r="N3708" t="s">
        <v>42669</v>
      </c>
      <c r="O3708" t="s">
        <v>42670</v>
      </c>
      <c r="P3708">
        <v>0</v>
      </c>
      <c r="Q3708">
        <v>15</v>
      </c>
      <c r="R3708" t="s">
        <v>42676</v>
      </c>
      <c r="S3708" t="s">
        <v>42809</v>
      </c>
      <c r="T3708" t="s">
        <v>44627</v>
      </c>
      <c r="U3708" t="s">
        <v>47892</v>
      </c>
      <c r="V3708" t="s">
        <v>56697</v>
      </c>
      <c r="W3708" t="s">
        <v>40175</v>
      </c>
      <c r="X3708" t="s">
        <v>42679</v>
      </c>
    </row>
    <row r="3709" spans="1:24">
      <c r="A3709">
        <f>HYPERLINK("https://www.philgeps.gov.ph/GEPSNONPILOT/Tender/SplashBidNoticeAbstractUI.aspx?menuIndex=3&amp;refID=7184240&amp;Result=3","7184240")</f>
        <v>0</v>
      </c>
      <c r="B3709" t="s">
        <v>1331</v>
      </c>
      <c r="C3709" t="s">
        <v>7073</v>
      </c>
      <c r="D3709" t="s">
        <v>17168</v>
      </c>
      <c r="E3709" t="s">
        <v>20515</v>
      </c>
      <c r="F3709" t="s">
        <v>29372</v>
      </c>
      <c r="G3709" t="s">
        <v>29380</v>
      </c>
      <c r="H3709" t="s">
        <v>29389</v>
      </c>
      <c r="I3709" t="s">
        <v>10408</v>
      </c>
      <c r="J3709" t="s">
        <v>30056</v>
      </c>
      <c r="K3709" t="s">
        <v>38487</v>
      </c>
      <c r="M3709" t="s">
        <v>40167</v>
      </c>
      <c r="N3709" t="s">
        <v>42669</v>
      </c>
      <c r="O3709" t="s">
        <v>42670</v>
      </c>
      <c r="P3709">
        <v>0</v>
      </c>
      <c r="Q3709">
        <v>0</v>
      </c>
      <c r="R3709" t="s">
        <v>42676</v>
      </c>
      <c r="S3709" t="s">
        <v>42809</v>
      </c>
      <c r="T3709" t="s">
        <v>44504</v>
      </c>
      <c r="U3709" t="s">
        <v>47893</v>
      </c>
      <c r="W3709" t="s">
        <v>40167</v>
      </c>
      <c r="X3709" t="s">
        <v>42678</v>
      </c>
    </row>
    <row r="3710" spans="1:24">
      <c r="A3710">
        <f>HYPERLINK("https://www.philgeps.gov.ph/GEPSNONPILOT/Tender/SplashBidNoticeAbstractUI.aspx?menuIndex=3&amp;refID=7184346&amp;Result=3","7184346")</f>
        <v>0</v>
      </c>
      <c r="B3710" t="s">
        <v>1352</v>
      </c>
      <c r="C3710" t="s">
        <v>7074</v>
      </c>
      <c r="D3710" t="s">
        <v>17198</v>
      </c>
      <c r="E3710" t="s">
        <v>20516</v>
      </c>
      <c r="F3710" t="s">
        <v>29372</v>
      </c>
      <c r="G3710" t="s">
        <v>29380</v>
      </c>
      <c r="H3710" t="s">
        <v>11048</v>
      </c>
      <c r="I3710" t="s">
        <v>29419</v>
      </c>
      <c r="J3710" t="s">
        <v>32029</v>
      </c>
      <c r="K3710" t="s">
        <v>38488</v>
      </c>
      <c r="M3710" t="s">
        <v>40188</v>
      </c>
      <c r="N3710" t="s">
        <v>42669</v>
      </c>
      <c r="O3710" t="s">
        <v>42670</v>
      </c>
      <c r="P3710">
        <v>0</v>
      </c>
      <c r="Q3710">
        <v>0</v>
      </c>
      <c r="R3710" t="s">
        <v>42676</v>
      </c>
      <c r="S3710" t="s">
        <v>42809</v>
      </c>
      <c r="T3710" t="s">
        <v>44503</v>
      </c>
      <c r="U3710" t="s">
        <v>46058</v>
      </c>
      <c r="W3710" t="s">
        <v>40188</v>
      </c>
      <c r="X3710" t="s">
        <v>42678</v>
      </c>
    </row>
    <row r="3711" spans="1:24">
      <c r="A3711">
        <f>HYPERLINK("https://www.philgeps.gov.ph/GEPSNONPILOT/Tender/SplashBidNoticeAbstractUI.aspx?menuIndex=3&amp;refID=7184498&amp;Result=3","7184498")</f>
        <v>0</v>
      </c>
      <c r="B3711" t="s">
        <v>1341</v>
      </c>
      <c r="C3711" t="s">
        <v>7075</v>
      </c>
      <c r="D3711" t="s">
        <v>17141</v>
      </c>
      <c r="E3711" t="s">
        <v>20517</v>
      </c>
      <c r="F3711" t="s">
        <v>29372</v>
      </c>
      <c r="G3711" t="s">
        <v>29380</v>
      </c>
      <c r="H3711" t="s">
        <v>11048</v>
      </c>
      <c r="I3711" t="s">
        <v>3695</v>
      </c>
      <c r="J3711" t="s">
        <v>32030</v>
      </c>
      <c r="K3711" t="s">
        <v>38490</v>
      </c>
      <c r="M3711" t="s">
        <v>40177</v>
      </c>
      <c r="N3711" t="s">
        <v>42669</v>
      </c>
      <c r="O3711" t="s">
        <v>42670</v>
      </c>
      <c r="P3711">
        <v>0</v>
      </c>
      <c r="Q3711">
        <v>12</v>
      </c>
      <c r="R3711" t="s">
        <v>42676</v>
      </c>
      <c r="S3711" t="s">
        <v>42809</v>
      </c>
      <c r="T3711" t="s">
        <v>44446</v>
      </c>
      <c r="U3711" t="s">
        <v>47894</v>
      </c>
      <c r="W3711" t="s">
        <v>40177</v>
      </c>
      <c r="X3711" t="s">
        <v>42678</v>
      </c>
    </row>
    <row r="3712" spans="1:24">
      <c r="A3712">
        <f>HYPERLINK("https://www.philgeps.gov.ph/GEPSNONPILOT/Tender/SplashBidNoticeAbstractUI.aspx?menuIndex=3&amp;refID=7184832&amp;Result=3","7184832")</f>
        <v>0</v>
      </c>
      <c r="B3712" t="s">
        <v>1353</v>
      </c>
      <c r="C3712" t="s">
        <v>7076</v>
      </c>
      <c r="D3712" t="s">
        <v>17198</v>
      </c>
      <c r="E3712" t="s">
        <v>20518</v>
      </c>
      <c r="F3712" t="s">
        <v>29372</v>
      </c>
      <c r="G3712" t="s">
        <v>29380</v>
      </c>
      <c r="H3712" t="s">
        <v>29389</v>
      </c>
      <c r="I3712" t="s">
        <v>10408</v>
      </c>
      <c r="J3712" t="s">
        <v>32031</v>
      </c>
      <c r="K3712" t="s">
        <v>38488</v>
      </c>
      <c r="M3712" t="s">
        <v>40189</v>
      </c>
      <c r="N3712" t="s">
        <v>42669</v>
      </c>
      <c r="O3712" t="s">
        <v>42670</v>
      </c>
      <c r="P3712">
        <v>0</v>
      </c>
      <c r="Q3712">
        <v>0</v>
      </c>
      <c r="R3712" t="s">
        <v>42676</v>
      </c>
      <c r="S3712" t="s">
        <v>42809</v>
      </c>
      <c r="T3712" t="s">
        <v>44503</v>
      </c>
      <c r="U3712" t="s">
        <v>46039</v>
      </c>
      <c r="W3712" t="s">
        <v>40189</v>
      </c>
      <c r="X3712" t="s">
        <v>42678</v>
      </c>
    </row>
    <row r="3713" spans="1:24">
      <c r="A3713">
        <f>HYPERLINK("https://www.philgeps.gov.ph/GEPSNONPILOT/Tender/SplashBidNoticeAbstractUI.aspx?menuIndex=3&amp;refID=7184784&amp;Result=3","7184784")</f>
        <v>0</v>
      </c>
      <c r="B3713" t="s">
        <v>1353</v>
      </c>
      <c r="C3713" t="s">
        <v>7077</v>
      </c>
      <c r="D3713" t="s">
        <v>17198</v>
      </c>
      <c r="E3713" t="s">
        <v>20519</v>
      </c>
      <c r="F3713" t="s">
        <v>29372</v>
      </c>
      <c r="G3713" t="s">
        <v>29380</v>
      </c>
      <c r="H3713" t="s">
        <v>29389</v>
      </c>
      <c r="I3713" t="s">
        <v>29417</v>
      </c>
      <c r="J3713" t="s">
        <v>32032</v>
      </c>
      <c r="K3713" t="s">
        <v>38551</v>
      </c>
      <c r="M3713" t="s">
        <v>40189</v>
      </c>
      <c r="N3713" t="s">
        <v>42669</v>
      </c>
      <c r="O3713" t="s">
        <v>42670</v>
      </c>
      <c r="P3713">
        <v>0</v>
      </c>
      <c r="Q3713">
        <v>0</v>
      </c>
      <c r="R3713" t="s">
        <v>42676</v>
      </c>
      <c r="S3713" t="s">
        <v>42809</v>
      </c>
      <c r="T3713" t="s">
        <v>44503</v>
      </c>
      <c r="U3713" t="s">
        <v>46039</v>
      </c>
      <c r="W3713" t="s">
        <v>40189</v>
      </c>
      <c r="X3713" t="s">
        <v>42678</v>
      </c>
    </row>
    <row r="3714" spans="1:24">
      <c r="A3714">
        <f>HYPERLINK("https://www.philgeps.gov.ph/GEPSNONPILOT/Tender/SplashBidNoticeAbstractUI.aspx?menuIndex=3&amp;refID=7184773&amp;Result=3","7184773")</f>
        <v>0</v>
      </c>
      <c r="B3714" t="s">
        <v>1340</v>
      </c>
      <c r="C3714" t="s">
        <v>7078</v>
      </c>
      <c r="D3714" t="s">
        <v>17195</v>
      </c>
      <c r="E3714" t="s">
        <v>20520</v>
      </c>
      <c r="F3714" t="s">
        <v>29372</v>
      </c>
      <c r="G3714" t="s">
        <v>29380</v>
      </c>
      <c r="H3714" t="s">
        <v>11048</v>
      </c>
      <c r="I3714" t="s">
        <v>29415</v>
      </c>
      <c r="J3714" t="s">
        <v>30161</v>
      </c>
      <c r="K3714" t="s">
        <v>38496</v>
      </c>
      <c r="M3714" t="s">
        <v>40176</v>
      </c>
      <c r="N3714" t="s">
        <v>42669</v>
      </c>
      <c r="O3714" t="s">
        <v>42670</v>
      </c>
      <c r="P3714">
        <v>0</v>
      </c>
      <c r="Q3714">
        <v>4</v>
      </c>
      <c r="R3714" t="s">
        <v>42676</v>
      </c>
      <c r="S3714" t="s">
        <v>42809</v>
      </c>
      <c r="T3714" t="s">
        <v>44542</v>
      </c>
      <c r="U3714" t="s">
        <v>47895</v>
      </c>
      <c r="V3714" t="s">
        <v>56699</v>
      </c>
      <c r="W3714" t="s">
        <v>40176</v>
      </c>
      <c r="X3714" t="s">
        <v>42678</v>
      </c>
    </row>
    <row r="3715" spans="1:24">
      <c r="A3715">
        <f>HYPERLINK("https://www.philgeps.gov.ph/GEPSNONPILOT/Tender/SplashBidNoticeAbstractUI.aspx?menuIndex=3&amp;refID=7184783&amp;Result=3","7184783")</f>
        <v>0</v>
      </c>
      <c r="B3715" t="s">
        <v>776</v>
      </c>
      <c r="C3715" t="s">
        <v>7079</v>
      </c>
      <c r="D3715" t="s">
        <v>17169</v>
      </c>
      <c r="E3715" t="s">
        <v>20521</v>
      </c>
      <c r="F3715" t="s">
        <v>29372</v>
      </c>
      <c r="G3715" t="s">
        <v>29380</v>
      </c>
      <c r="H3715" t="s">
        <v>11048</v>
      </c>
      <c r="I3715" t="s">
        <v>4709</v>
      </c>
      <c r="J3715" t="s">
        <v>32033</v>
      </c>
      <c r="K3715" t="s">
        <v>38518</v>
      </c>
      <c r="L3715" t="s">
        <v>776</v>
      </c>
      <c r="M3715" t="s">
        <v>40190</v>
      </c>
      <c r="N3715" t="s">
        <v>42669</v>
      </c>
      <c r="O3715" t="s">
        <v>42670</v>
      </c>
      <c r="P3715">
        <v>0</v>
      </c>
      <c r="Q3715">
        <v>0</v>
      </c>
      <c r="R3715" t="s">
        <v>42676</v>
      </c>
      <c r="S3715" t="s">
        <v>42809</v>
      </c>
      <c r="T3715" t="s">
        <v>44368</v>
      </c>
      <c r="U3715" t="s">
        <v>47896</v>
      </c>
      <c r="W3715" t="s">
        <v>40190</v>
      </c>
      <c r="X3715" t="s">
        <v>42678</v>
      </c>
    </row>
    <row r="3716" spans="1:24">
      <c r="A3716">
        <f>HYPERLINK("https://www.philgeps.gov.ph/GEPSNONPILOT/Tender/SplashBidNoticeAbstractUI.aspx?menuIndex=3&amp;refID=7184746&amp;Result=3","7184746")</f>
        <v>0</v>
      </c>
      <c r="B3716" t="s">
        <v>221</v>
      </c>
      <c r="C3716" t="s">
        <v>7080</v>
      </c>
      <c r="D3716" t="s">
        <v>17202</v>
      </c>
      <c r="E3716" t="s">
        <v>20522</v>
      </c>
      <c r="F3716" t="s">
        <v>29372</v>
      </c>
      <c r="G3716" t="s">
        <v>29379</v>
      </c>
      <c r="H3716" t="s">
        <v>11048</v>
      </c>
      <c r="I3716" t="s">
        <v>3670</v>
      </c>
      <c r="J3716" t="s">
        <v>32034</v>
      </c>
      <c r="K3716" t="s">
        <v>38488</v>
      </c>
      <c r="M3716" t="s">
        <v>38980</v>
      </c>
      <c r="N3716" t="s">
        <v>42669</v>
      </c>
      <c r="O3716" t="s">
        <v>42670</v>
      </c>
      <c r="P3716">
        <v>0</v>
      </c>
      <c r="Q3716">
        <v>1</v>
      </c>
      <c r="R3716" t="s">
        <v>42676</v>
      </c>
      <c r="S3716" t="s">
        <v>42809</v>
      </c>
      <c r="T3716" t="s">
        <v>44371</v>
      </c>
      <c r="U3716" t="s">
        <v>45327</v>
      </c>
      <c r="W3716" t="s">
        <v>38980</v>
      </c>
      <c r="X3716" t="s">
        <v>42678</v>
      </c>
    </row>
    <row r="3717" spans="1:24">
      <c r="A3717">
        <f>HYPERLINK("https://www.philgeps.gov.ph/GEPSNONPILOT/Tender/SplashBidNoticeAbstractUI.aspx?menuIndex=3&amp;refID=7184279&amp;Result=3","7184279")</f>
        <v>0</v>
      </c>
      <c r="B3717" t="s">
        <v>1341</v>
      </c>
      <c r="C3717" t="s">
        <v>7081</v>
      </c>
      <c r="D3717" t="s">
        <v>17141</v>
      </c>
      <c r="E3717" t="s">
        <v>20523</v>
      </c>
      <c r="F3717" t="s">
        <v>29372</v>
      </c>
      <c r="G3717" t="s">
        <v>29380</v>
      </c>
      <c r="H3717" t="s">
        <v>11048</v>
      </c>
      <c r="I3717" t="s">
        <v>29468</v>
      </c>
      <c r="J3717" t="s">
        <v>32035</v>
      </c>
      <c r="K3717" t="s">
        <v>38490</v>
      </c>
      <c r="M3717" t="s">
        <v>40177</v>
      </c>
      <c r="N3717" t="s">
        <v>42669</v>
      </c>
      <c r="O3717" t="s">
        <v>42670</v>
      </c>
      <c r="P3717">
        <v>0</v>
      </c>
      <c r="Q3717">
        <v>1</v>
      </c>
      <c r="R3717" t="s">
        <v>42676</v>
      </c>
      <c r="S3717" t="s">
        <v>42809</v>
      </c>
      <c r="T3717" t="s">
        <v>44446</v>
      </c>
      <c r="U3717" t="s">
        <v>47897</v>
      </c>
      <c r="W3717" t="s">
        <v>40177</v>
      </c>
      <c r="X3717" t="s">
        <v>42678</v>
      </c>
    </row>
    <row r="3718" spans="1:24">
      <c r="A3718">
        <f>HYPERLINK("https://www.philgeps.gov.ph/GEPSNONPILOT/Tender/SplashBidNoticeAbstractUI.aspx?menuIndex=3&amp;refID=7184735&amp;Result=3","7184735")</f>
        <v>0</v>
      </c>
      <c r="B3718" t="s">
        <v>776</v>
      </c>
      <c r="C3718" t="s">
        <v>7082</v>
      </c>
      <c r="D3718" t="s">
        <v>17169</v>
      </c>
      <c r="E3718" t="s">
        <v>20524</v>
      </c>
      <c r="F3718" t="s">
        <v>29372</v>
      </c>
      <c r="G3718" t="s">
        <v>29380</v>
      </c>
      <c r="H3718" t="s">
        <v>11048</v>
      </c>
      <c r="I3718" t="s">
        <v>4709</v>
      </c>
      <c r="J3718" t="s">
        <v>29543</v>
      </c>
      <c r="K3718" t="s">
        <v>38495</v>
      </c>
      <c r="L3718" t="s">
        <v>776</v>
      </c>
      <c r="M3718" t="s">
        <v>40190</v>
      </c>
      <c r="N3718" t="s">
        <v>42669</v>
      </c>
      <c r="O3718" t="s">
        <v>42670</v>
      </c>
      <c r="P3718">
        <v>0</v>
      </c>
      <c r="Q3718">
        <v>1</v>
      </c>
      <c r="R3718" t="s">
        <v>42676</v>
      </c>
      <c r="S3718" t="s">
        <v>42809</v>
      </c>
      <c r="T3718" t="s">
        <v>44368</v>
      </c>
      <c r="U3718" t="s">
        <v>47898</v>
      </c>
      <c r="W3718" t="s">
        <v>40190</v>
      </c>
      <c r="X3718" t="s">
        <v>42678</v>
      </c>
    </row>
    <row r="3719" spans="1:24">
      <c r="A3719">
        <f>HYPERLINK("https://www.philgeps.gov.ph/GEPSNONPILOT/Tender/SplashBidNoticeAbstractUI.aspx?menuIndex=3&amp;refID=7184601&amp;Result=3","7184601")</f>
        <v>0</v>
      </c>
      <c r="B3719" t="s">
        <v>1342</v>
      </c>
      <c r="C3719" t="s">
        <v>7083</v>
      </c>
      <c r="D3719" t="s">
        <v>17169</v>
      </c>
      <c r="E3719" t="s">
        <v>20525</v>
      </c>
      <c r="F3719" t="s">
        <v>29372</v>
      </c>
      <c r="G3719" t="s">
        <v>29380</v>
      </c>
      <c r="H3719" t="s">
        <v>29389</v>
      </c>
      <c r="I3719" t="s">
        <v>10408</v>
      </c>
      <c r="J3719" t="s">
        <v>32036</v>
      </c>
      <c r="K3719" t="s">
        <v>38487</v>
      </c>
      <c r="M3719" t="s">
        <v>40178</v>
      </c>
      <c r="N3719" t="s">
        <v>42669</v>
      </c>
      <c r="O3719" t="s">
        <v>42670</v>
      </c>
      <c r="P3719">
        <v>0</v>
      </c>
      <c r="Q3719">
        <v>0</v>
      </c>
      <c r="R3719" t="s">
        <v>42676</v>
      </c>
      <c r="S3719" t="s">
        <v>42809</v>
      </c>
      <c r="T3719" t="s">
        <v>44544</v>
      </c>
      <c r="U3719" t="s">
        <v>47899</v>
      </c>
      <c r="W3719" t="s">
        <v>40178</v>
      </c>
      <c r="X3719" t="s">
        <v>42678</v>
      </c>
    </row>
    <row r="3720" spans="1:24">
      <c r="A3720">
        <f>HYPERLINK("https://www.philgeps.gov.ph/GEPSNONPILOT/Tender/SplashBidNoticeAbstractUI.aspx?menuIndex=3&amp;refID=7184576&amp;Result=3","7184576")</f>
        <v>0</v>
      </c>
      <c r="B3720" t="s">
        <v>1342</v>
      </c>
      <c r="C3720" t="s">
        <v>7084</v>
      </c>
      <c r="D3720" t="s">
        <v>17169</v>
      </c>
      <c r="E3720" t="s">
        <v>20526</v>
      </c>
      <c r="F3720" t="s">
        <v>29372</v>
      </c>
      <c r="G3720" t="s">
        <v>29380</v>
      </c>
      <c r="H3720" t="s">
        <v>29389</v>
      </c>
      <c r="I3720" t="s">
        <v>10408</v>
      </c>
      <c r="J3720" t="s">
        <v>32037</v>
      </c>
      <c r="K3720" t="s">
        <v>38487</v>
      </c>
      <c r="M3720" t="s">
        <v>40178</v>
      </c>
      <c r="N3720" t="s">
        <v>42669</v>
      </c>
      <c r="O3720" t="s">
        <v>42670</v>
      </c>
      <c r="P3720">
        <v>0</v>
      </c>
      <c r="Q3720">
        <v>0</v>
      </c>
      <c r="R3720" t="s">
        <v>42676</v>
      </c>
      <c r="S3720" t="s">
        <v>42809</v>
      </c>
      <c r="T3720" t="s">
        <v>44544</v>
      </c>
      <c r="U3720" t="s">
        <v>47900</v>
      </c>
      <c r="W3720" t="s">
        <v>40178</v>
      </c>
      <c r="X3720" t="s">
        <v>42678</v>
      </c>
    </row>
    <row r="3721" spans="1:24">
      <c r="A3721">
        <f>HYPERLINK("https://www.philgeps.gov.ph/GEPSNONPILOT/Tender/SplashBidNoticeAbstractUI.aspx?menuIndex=3&amp;refID=7184552&amp;Result=3","7184552")</f>
        <v>0</v>
      </c>
      <c r="B3721" t="s">
        <v>1342</v>
      </c>
      <c r="C3721" t="s">
        <v>7085</v>
      </c>
      <c r="D3721" t="s">
        <v>17169</v>
      </c>
      <c r="E3721" t="s">
        <v>20527</v>
      </c>
      <c r="F3721" t="s">
        <v>29372</v>
      </c>
      <c r="G3721" t="s">
        <v>29380</v>
      </c>
      <c r="H3721" t="s">
        <v>29389</v>
      </c>
      <c r="I3721" t="s">
        <v>10408</v>
      </c>
      <c r="J3721" t="s">
        <v>32038</v>
      </c>
      <c r="K3721" t="s">
        <v>38485</v>
      </c>
      <c r="M3721" t="s">
        <v>40178</v>
      </c>
      <c r="N3721" t="s">
        <v>42669</v>
      </c>
      <c r="O3721" t="s">
        <v>42670</v>
      </c>
      <c r="P3721">
        <v>0</v>
      </c>
      <c r="Q3721">
        <v>0</v>
      </c>
      <c r="R3721" t="s">
        <v>42676</v>
      </c>
      <c r="S3721" t="s">
        <v>42809</v>
      </c>
      <c r="T3721" t="s">
        <v>44544</v>
      </c>
      <c r="U3721" t="s">
        <v>47901</v>
      </c>
      <c r="W3721" t="s">
        <v>40178</v>
      </c>
      <c r="X3721" t="s">
        <v>42678</v>
      </c>
    </row>
    <row r="3722" spans="1:24">
      <c r="A3722">
        <f>HYPERLINK("https://www.philgeps.gov.ph/GEPSNONPILOT/Tender/SplashBidNoticeAbstractUI.aspx?menuIndex=3&amp;refID=7184541&amp;Result=3","7184541")</f>
        <v>0</v>
      </c>
      <c r="B3722" t="s">
        <v>1331</v>
      </c>
      <c r="C3722" t="s">
        <v>7086</v>
      </c>
      <c r="D3722" t="s">
        <v>17168</v>
      </c>
      <c r="E3722" t="s">
        <v>20528</v>
      </c>
      <c r="F3722" t="s">
        <v>29372</v>
      </c>
      <c r="G3722" t="s">
        <v>29380</v>
      </c>
      <c r="H3722" t="s">
        <v>29389</v>
      </c>
      <c r="I3722" t="s">
        <v>10408</v>
      </c>
      <c r="J3722" t="s">
        <v>29829</v>
      </c>
      <c r="K3722" t="s">
        <v>38578</v>
      </c>
      <c r="M3722" t="s">
        <v>40167</v>
      </c>
      <c r="N3722" t="s">
        <v>42669</v>
      </c>
      <c r="O3722" t="s">
        <v>42670</v>
      </c>
      <c r="P3722">
        <v>0</v>
      </c>
      <c r="Q3722">
        <v>0</v>
      </c>
      <c r="R3722" t="s">
        <v>42676</v>
      </c>
      <c r="S3722" t="s">
        <v>42809</v>
      </c>
      <c r="T3722" t="s">
        <v>44504</v>
      </c>
      <c r="U3722" t="s">
        <v>47902</v>
      </c>
      <c r="W3722" t="s">
        <v>40167</v>
      </c>
      <c r="X3722" t="s">
        <v>42678</v>
      </c>
    </row>
    <row r="3723" spans="1:24">
      <c r="A3723">
        <f>HYPERLINK("https://www.philgeps.gov.ph/GEPSNONPILOT/Tender/SplashBidNoticeAbstractUI.aspx?menuIndex=3&amp;refID=7184538&amp;Result=3","7184538")</f>
        <v>0</v>
      </c>
      <c r="B3723" t="s">
        <v>1341</v>
      </c>
      <c r="C3723" t="s">
        <v>7087</v>
      </c>
      <c r="D3723" t="s">
        <v>17141</v>
      </c>
      <c r="E3723" t="s">
        <v>20529</v>
      </c>
      <c r="F3723" t="s">
        <v>29372</v>
      </c>
      <c r="G3723" t="s">
        <v>29380</v>
      </c>
      <c r="H3723" t="s">
        <v>11048</v>
      </c>
      <c r="I3723" t="s">
        <v>3695</v>
      </c>
      <c r="J3723" t="s">
        <v>32039</v>
      </c>
      <c r="K3723" t="s">
        <v>38490</v>
      </c>
      <c r="M3723" t="s">
        <v>40177</v>
      </c>
      <c r="N3723" t="s">
        <v>42669</v>
      </c>
      <c r="O3723" t="s">
        <v>42670</v>
      </c>
      <c r="P3723">
        <v>0</v>
      </c>
      <c r="Q3723">
        <v>5</v>
      </c>
      <c r="R3723" t="s">
        <v>42676</v>
      </c>
      <c r="S3723" t="s">
        <v>42809</v>
      </c>
      <c r="T3723" t="s">
        <v>44446</v>
      </c>
      <c r="U3723" t="s">
        <v>47903</v>
      </c>
      <c r="W3723" t="s">
        <v>40177</v>
      </c>
      <c r="X3723" t="s">
        <v>42678</v>
      </c>
    </row>
    <row r="3724" spans="1:24">
      <c r="A3724">
        <f>HYPERLINK("https://www.philgeps.gov.ph/GEPSNONPILOT/Tender/SplashBidNoticeAbstractUI.aspx?menuIndex=3&amp;refID=7184520&amp;Result=3","7184520")</f>
        <v>0</v>
      </c>
      <c r="B3724" t="s">
        <v>1341</v>
      </c>
      <c r="C3724" t="s">
        <v>7088</v>
      </c>
      <c r="D3724" t="s">
        <v>17141</v>
      </c>
      <c r="E3724" t="s">
        <v>20530</v>
      </c>
      <c r="F3724" t="s">
        <v>29372</v>
      </c>
      <c r="G3724" t="s">
        <v>29380</v>
      </c>
      <c r="H3724" t="s">
        <v>11048</v>
      </c>
      <c r="I3724" t="s">
        <v>3695</v>
      </c>
      <c r="J3724" t="s">
        <v>32040</v>
      </c>
      <c r="K3724" t="s">
        <v>38490</v>
      </c>
      <c r="M3724" t="s">
        <v>40177</v>
      </c>
      <c r="N3724" t="s">
        <v>42669</v>
      </c>
      <c r="O3724" t="s">
        <v>42670</v>
      </c>
      <c r="P3724">
        <v>0</v>
      </c>
      <c r="Q3724">
        <v>4</v>
      </c>
      <c r="R3724" t="s">
        <v>42676</v>
      </c>
      <c r="S3724" t="s">
        <v>42809</v>
      </c>
      <c r="T3724" t="s">
        <v>44446</v>
      </c>
      <c r="U3724" t="s">
        <v>47904</v>
      </c>
      <c r="W3724" t="s">
        <v>40177</v>
      </c>
      <c r="X3724" t="s">
        <v>42678</v>
      </c>
    </row>
    <row r="3725" spans="1:24">
      <c r="A3725">
        <f>HYPERLINK("https://www.philgeps.gov.ph/GEPSNONPILOT/Tender/SplashBidNoticeAbstractUI.aspx?menuIndex=3&amp;refID=7184511&amp;Result=3","7184511")</f>
        <v>0</v>
      </c>
      <c r="B3725" t="s">
        <v>1354</v>
      </c>
      <c r="C3725" t="s">
        <v>7089</v>
      </c>
      <c r="D3725" t="s">
        <v>17155</v>
      </c>
      <c r="E3725" t="s">
        <v>20531</v>
      </c>
      <c r="F3725" t="s">
        <v>29372</v>
      </c>
      <c r="G3725" t="s">
        <v>29380</v>
      </c>
      <c r="H3725" t="s">
        <v>29389</v>
      </c>
      <c r="I3725" t="s">
        <v>10408</v>
      </c>
      <c r="J3725" t="s">
        <v>30845</v>
      </c>
      <c r="K3725" t="s">
        <v>38522</v>
      </c>
      <c r="M3725" t="s">
        <v>40191</v>
      </c>
      <c r="N3725" t="s">
        <v>42669</v>
      </c>
      <c r="O3725" t="s">
        <v>42670</v>
      </c>
      <c r="P3725">
        <v>0</v>
      </c>
      <c r="Q3725">
        <v>0</v>
      </c>
      <c r="R3725" t="s">
        <v>42676</v>
      </c>
      <c r="S3725" t="s">
        <v>42809</v>
      </c>
      <c r="T3725" t="s">
        <v>44368</v>
      </c>
      <c r="U3725" t="s">
        <v>47905</v>
      </c>
      <c r="V3725" t="s">
        <v>56703</v>
      </c>
      <c r="W3725" t="s">
        <v>40191</v>
      </c>
      <c r="X3725" t="s">
        <v>42678</v>
      </c>
    </row>
    <row r="3726" spans="1:24">
      <c r="A3726">
        <f>HYPERLINK("https://www.philgeps.gov.ph/GEPSNONPILOT/Tender/SplashBidNoticeAbstractUI.aspx?menuIndex=3&amp;refID=7184817&amp;Result=3","7184817")</f>
        <v>0</v>
      </c>
      <c r="B3726" t="s">
        <v>1355</v>
      </c>
      <c r="C3726" t="s">
        <v>7090</v>
      </c>
      <c r="D3726" t="s">
        <v>17160</v>
      </c>
      <c r="E3726" t="s">
        <v>20532</v>
      </c>
      <c r="F3726" t="s">
        <v>29372</v>
      </c>
      <c r="G3726" t="s">
        <v>29380</v>
      </c>
      <c r="H3726" t="s">
        <v>29389</v>
      </c>
      <c r="I3726" t="s">
        <v>10408</v>
      </c>
      <c r="J3726" t="s">
        <v>32041</v>
      </c>
      <c r="K3726" t="s">
        <v>38495</v>
      </c>
      <c r="M3726" t="s">
        <v>40192</v>
      </c>
      <c r="N3726" t="s">
        <v>42669</v>
      </c>
      <c r="O3726" t="s">
        <v>42670</v>
      </c>
      <c r="P3726">
        <v>0</v>
      </c>
      <c r="Q3726">
        <v>1</v>
      </c>
      <c r="R3726" t="s">
        <v>42676</v>
      </c>
      <c r="S3726" t="s">
        <v>42809</v>
      </c>
      <c r="T3726" t="s">
        <v>44539</v>
      </c>
      <c r="U3726" t="s">
        <v>47906</v>
      </c>
      <c r="V3726" t="s">
        <v>56704</v>
      </c>
      <c r="W3726" t="s">
        <v>40192</v>
      </c>
      <c r="X3726" t="s">
        <v>42678</v>
      </c>
    </row>
    <row r="3727" spans="1:24">
      <c r="A3727">
        <f>HYPERLINK("https://www.philgeps.gov.ph/GEPSNONPILOT/Tender/SplashBidNoticeAbstractUI.aspx?menuIndex=3&amp;refID=7185483&amp;Result=3","7185483")</f>
        <v>0</v>
      </c>
      <c r="B3727" t="s">
        <v>1340</v>
      </c>
      <c r="C3727" t="s">
        <v>7091</v>
      </c>
      <c r="D3727" t="s">
        <v>17195</v>
      </c>
      <c r="E3727" t="s">
        <v>20533</v>
      </c>
      <c r="F3727" t="s">
        <v>29372</v>
      </c>
      <c r="G3727" t="s">
        <v>29380</v>
      </c>
      <c r="H3727" t="s">
        <v>11048</v>
      </c>
      <c r="I3727" t="s">
        <v>29393</v>
      </c>
      <c r="J3727" t="s">
        <v>32042</v>
      </c>
      <c r="K3727" t="s">
        <v>38485</v>
      </c>
      <c r="M3727" t="s">
        <v>40176</v>
      </c>
      <c r="N3727" t="s">
        <v>42669</v>
      </c>
      <c r="O3727" t="s">
        <v>42670</v>
      </c>
      <c r="P3727">
        <v>0</v>
      </c>
      <c r="Q3727">
        <v>0</v>
      </c>
      <c r="R3727" t="s">
        <v>42676</v>
      </c>
      <c r="S3727" t="s">
        <v>42809</v>
      </c>
      <c r="T3727" t="s">
        <v>44542</v>
      </c>
      <c r="U3727" t="s">
        <v>47907</v>
      </c>
      <c r="V3727" t="s">
        <v>56699</v>
      </c>
      <c r="W3727" t="s">
        <v>40176</v>
      </c>
      <c r="X3727" t="s">
        <v>42678</v>
      </c>
    </row>
    <row r="3728" spans="1:24">
      <c r="A3728">
        <f>HYPERLINK("https://www.philgeps.gov.ph/GEPSNONPILOT/Tender/SplashBidNoticeAbstractUI.aspx?menuIndex=3&amp;refID=7185494&amp;Result=3","7185494")</f>
        <v>0</v>
      </c>
      <c r="B3728" t="s">
        <v>1356</v>
      </c>
      <c r="C3728" t="s">
        <v>7092</v>
      </c>
      <c r="D3728" t="s">
        <v>17211</v>
      </c>
      <c r="E3728" t="s">
        <v>20534</v>
      </c>
      <c r="F3728" t="s">
        <v>29372</v>
      </c>
      <c r="G3728" t="s">
        <v>29380</v>
      </c>
      <c r="H3728" t="s">
        <v>11048</v>
      </c>
      <c r="I3728" t="s">
        <v>29395</v>
      </c>
      <c r="J3728" t="s">
        <v>32043</v>
      </c>
      <c r="K3728" t="s">
        <v>38490</v>
      </c>
      <c r="M3728" t="s">
        <v>40193</v>
      </c>
      <c r="N3728" t="s">
        <v>42669</v>
      </c>
      <c r="O3728" t="s">
        <v>42670</v>
      </c>
      <c r="P3728">
        <v>0</v>
      </c>
      <c r="Q3728">
        <v>0</v>
      </c>
      <c r="R3728" t="s">
        <v>42676</v>
      </c>
      <c r="S3728" t="s">
        <v>42809</v>
      </c>
      <c r="T3728" t="s">
        <v>44387</v>
      </c>
      <c r="U3728" t="s">
        <v>47908</v>
      </c>
      <c r="V3728" t="s">
        <v>56705</v>
      </c>
      <c r="W3728" t="s">
        <v>58044</v>
      </c>
      <c r="X3728" t="s">
        <v>42678</v>
      </c>
    </row>
    <row r="3729" spans="1:24">
      <c r="A3729">
        <f>HYPERLINK("https://www.philgeps.gov.ph/GEPSNONPILOT/Tender/SplashBidNoticeAbstractUI.aspx?menuIndex=3&amp;refID=7184443&amp;Result=3","7184443")</f>
        <v>0</v>
      </c>
      <c r="B3729" t="s">
        <v>1341</v>
      </c>
      <c r="C3729" t="s">
        <v>7093</v>
      </c>
      <c r="D3729" t="s">
        <v>17141</v>
      </c>
      <c r="E3729" t="s">
        <v>20535</v>
      </c>
      <c r="F3729" t="s">
        <v>29372</v>
      </c>
      <c r="G3729" t="s">
        <v>29380</v>
      </c>
      <c r="H3729" t="s">
        <v>11048</v>
      </c>
      <c r="I3729" t="s">
        <v>29407</v>
      </c>
      <c r="J3729" t="s">
        <v>32044</v>
      </c>
      <c r="K3729" t="s">
        <v>38490</v>
      </c>
      <c r="M3729" t="s">
        <v>40177</v>
      </c>
      <c r="N3729" t="s">
        <v>42669</v>
      </c>
      <c r="O3729" t="s">
        <v>42670</v>
      </c>
      <c r="P3729">
        <v>0</v>
      </c>
      <c r="Q3729">
        <v>10</v>
      </c>
      <c r="R3729" t="s">
        <v>42676</v>
      </c>
      <c r="S3729" t="s">
        <v>42809</v>
      </c>
      <c r="T3729" t="s">
        <v>44446</v>
      </c>
      <c r="U3729" t="s">
        <v>47909</v>
      </c>
      <c r="W3729" t="s">
        <v>40177</v>
      </c>
      <c r="X3729" t="s">
        <v>42678</v>
      </c>
    </row>
    <row r="3730" spans="1:24">
      <c r="A3730">
        <f>HYPERLINK("https://www.philgeps.gov.ph/GEPSNONPILOT/Tender/SplashBidNoticeAbstractUI.aspx?menuIndex=3&amp;refID=7185490&amp;Result=3","7185490")</f>
        <v>0</v>
      </c>
      <c r="B3730" t="s">
        <v>1357</v>
      </c>
      <c r="C3730" t="s">
        <v>7094</v>
      </c>
      <c r="D3730" t="s">
        <v>17169</v>
      </c>
      <c r="E3730" t="s">
        <v>18049</v>
      </c>
      <c r="F3730" t="s">
        <v>29372</v>
      </c>
      <c r="G3730" t="s">
        <v>29380</v>
      </c>
      <c r="H3730" t="s">
        <v>11048</v>
      </c>
      <c r="I3730" t="s">
        <v>3670</v>
      </c>
      <c r="J3730" t="s">
        <v>29555</v>
      </c>
      <c r="K3730" t="s">
        <v>38490</v>
      </c>
      <c r="M3730" t="s">
        <v>40194</v>
      </c>
      <c r="N3730" t="s">
        <v>42669</v>
      </c>
      <c r="O3730" t="s">
        <v>42670</v>
      </c>
      <c r="P3730">
        <v>0</v>
      </c>
      <c r="Q3730">
        <v>0</v>
      </c>
      <c r="R3730" t="s">
        <v>42676</v>
      </c>
      <c r="S3730" t="s">
        <v>42809</v>
      </c>
      <c r="T3730" t="s">
        <v>44399</v>
      </c>
      <c r="U3730" t="s">
        <v>47910</v>
      </c>
      <c r="W3730" t="s">
        <v>40194</v>
      </c>
      <c r="X3730" t="s">
        <v>42678</v>
      </c>
    </row>
    <row r="3731" spans="1:24">
      <c r="A3731">
        <f>HYPERLINK("https://www.philgeps.gov.ph/GEPSNONPILOT/Tender/SplashBidNoticeAbstractUI.aspx?menuIndex=3&amp;refID=7184997&amp;Result=3","7184997")</f>
        <v>0</v>
      </c>
      <c r="B3731" t="s">
        <v>1358</v>
      </c>
      <c r="C3731" t="s">
        <v>7095</v>
      </c>
      <c r="D3731" t="s">
        <v>17226</v>
      </c>
      <c r="E3731" t="s">
        <v>17533</v>
      </c>
      <c r="F3731" t="s">
        <v>29372</v>
      </c>
      <c r="G3731" t="s">
        <v>29380</v>
      </c>
      <c r="H3731" t="s">
        <v>29389</v>
      </c>
      <c r="I3731" t="s">
        <v>29408</v>
      </c>
      <c r="J3731" t="s">
        <v>32045</v>
      </c>
      <c r="K3731" t="s">
        <v>38495</v>
      </c>
      <c r="M3731" t="s">
        <v>40195</v>
      </c>
      <c r="N3731" t="s">
        <v>42669</v>
      </c>
      <c r="O3731" t="s">
        <v>42670</v>
      </c>
      <c r="P3731">
        <v>0</v>
      </c>
      <c r="Q3731">
        <v>0</v>
      </c>
      <c r="R3731" t="s">
        <v>42676</v>
      </c>
      <c r="S3731" t="s">
        <v>42809</v>
      </c>
      <c r="T3731" t="s">
        <v>44444</v>
      </c>
      <c r="U3731" t="s">
        <v>47911</v>
      </c>
      <c r="W3731" t="s">
        <v>40195</v>
      </c>
      <c r="X3731" t="s">
        <v>42678</v>
      </c>
    </row>
    <row r="3732" spans="1:24">
      <c r="A3732">
        <f>HYPERLINK("https://www.philgeps.gov.ph/GEPSNONPILOT/Tender/SplashBidNoticeAbstractUI.aspx?menuIndex=3&amp;refID=7184967&amp;Result=3","7184967")</f>
        <v>0</v>
      </c>
      <c r="B3732" t="s">
        <v>1359</v>
      </c>
      <c r="C3732" t="s">
        <v>7096</v>
      </c>
      <c r="D3732" t="s">
        <v>17172</v>
      </c>
      <c r="E3732" t="s">
        <v>20536</v>
      </c>
      <c r="F3732" t="s">
        <v>29372</v>
      </c>
      <c r="G3732" t="s">
        <v>29380</v>
      </c>
      <c r="H3732" t="s">
        <v>29389</v>
      </c>
      <c r="I3732" t="s">
        <v>10408</v>
      </c>
      <c r="J3732" t="s">
        <v>29829</v>
      </c>
      <c r="K3732" t="s">
        <v>38527</v>
      </c>
      <c r="M3732" t="s">
        <v>40196</v>
      </c>
      <c r="N3732" t="s">
        <v>42669</v>
      </c>
      <c r="O3732" t="s">
        <v>42670</v>
      </c>
      <c r="P3732">
        <v>0</v>
      </c>
      <c r="Q3732">
        <v>0</v>
      </c>
      <c r="R3732" t="s">
        <v>42676</v>
      </c>
      <c r="S3732" t="s">
        <v>42809</v>
      </c>
      <c r="T3732" t="s">
        <v>44368</v>
      </c>
      <c r="U3732" t="s">
        <v>47912</v>
      </c>
      <c r="V3732" t="s">
        <v>56706</v>
      </c>
      <c r="W3732" t="s">
        <v>40196</v>
      </c>
      <c r="X3732" t="s">
        <v>42678</v>
      </c>
    </row>
    <row r="3733" spans="1:24">
      <c r="A3733">
        <f>HYPERLINK("https://www.philgeps.gov.ph/GEPSNONPILOT/Tender/SplashBidNoticeAbstractUI.aspx?menuIndex=3&amp;refID=7185287&amp;Result=3","7185287")</f>
        <v>0</v>
      </c>
      <c r="B3733" t="s">
        <v>1360</v>
      </c>
      <c r="C3733" t="s">
        <v>7097</v>
      </c>
      <c r="D3733" t="s">
        <v>17201</v>
      </c>
      <c r="E3733" t="s">
        <v>20537</v>
      </c>
      <c r="F3733" t="s">
        <v>29372</v>
      </c>
      <c r="G3733" t="s">
        <v>29379</v>
      </c>
      <c r="H3733" t="s">
        <v>11048</v>
      </c>
      <c r="I3733" t="s">
        <v>3670</v>
      </c>
      <c r="J3733" t="s">
        <v>32046</v>
      </c>
      <c r="K3733" t="s">
        <v>38485</v>
      </c>
      <c r="M3733" t="s">
        <v>40197</v>
      </c>
      <c r="N3733" t="s">
        <v>42669</v>
      </c>
      <c r="O3733" t="s">
        <v>42670</v>
      </c>
      <c r="P3733">
        <v>0</v>
      </c>
      <c r="Q3733">
        <v>0</v>
      </c>
      <c r="R3733" t="s">
        <v>42676</v>
      </c>
      <c r="S3733" t="s">
        <v>42809</v>
      </c>
      <c r="T3733" t="s">
        <v>44491</v>
      </c>
      <c r="U3733" t="s">
        <v>47913</v>
      </c>
      <c r="W3733" t="s">
        <v>40197</v>
      </c>
      <c r="X3733" t="s">
        <v>42678</v>
      </c>
    </row>
    <row r="3734" spans="1:24">
      <c r="A3734">
        <f>HYPERLINK("https://www.philgeps.gov.ph/GEPSNONPILOT/Tender/SplashBidNoticeAbstractUI.aspx?menuIndex=3&amp;refID=7184973&amp;Result=3","7184973")</f>
        <v>0</v>
      </c>
      <c r="B3734" t="s">
        <v>1361</v>
      </c>
      <c r="C3734" t="s">
        <v>7098</v>
      </c>
      <c r="D3734" t="s">
        <v>17169</v>
      </c>
      <c r="E3734" t="s">
        <v>20538</v>
      </c>
      <c r="F3734" t="s">
        <v>29372</v>
      </c>
      <c r="G3734" t="s">
        <v>29379</v>
      </c>
      <c r="H3734" t="s">
        <v>11048</v>
      </c>
      <c r="I3734" t="s">
        <v>29461</v>
      </c>
      <c r="J3734" t="s">
        <v>32047</v>
      </c>
      <c r="K3734" t="s">
        <v>38490</v>
      </c>
      <c r="M3734" t="s">
        <v>40198</v>
      </c>
      <c r="N3734" t="s">
        <v>42669</v>
      </c>
      <c r="O3734" t="s">
        <v>42670</v>
      </c>
      <c r="P3734">
        <v>0</v>
      </c>
      <c r="Q3734">
        <v>0</v>
      </c>
      <c r="R3734" t="s">
        <v>42676</v>
      </c>
      <c r="S3734" t="s">
        <v>42809</v>
      </c>
      <c r="T3734" t="s">
        <v>44491</v>
      </c>
      <c r="U3734" t="s">
        <v>47914</v>
      </c>
      <c r="W3734" t="s">
        <v>40198</v>
      </c>
      <c r="X3734" t="s">
        <v>42678</v>
      </c>
    </row>
    <row r="3735" spans="1:24">
      <c r="A3735">
        <f>HYPERLINK("https://www.philgeps.gov.ph/GEPSNONPILOT/Tender/SplashBidNoticeAbstractUI.aspx?menuIndex=3&amp;refID=7184963&amp;Result=3","7184963")</f>
        <v>0</v>
      </c>
      <c r="B3735" t="s">
        <v>1362</v>
      </c>
      <c r="C3735" t="s">
        <v>7099</v>
      </c>
      <c r="D3735" t="s">
        <v>17156</v>
      </c>
      <c r="E3735" t="s">
        <v>20539</v>
      </c>
      <c r="F3735" t="s">
        <v>29372</v>
      </c>
      <c r="G3735" t="s">
        <v>29380</v>
      </c>
      <c r="H3735" t="s">
        <v>11048</v>
      </c>
      <c r="I3735" t="s">
        <v>4709</v>
      </c>
      <c r="J3735" t="s">
        <v>32048</v>
      </c>
      <c r="K3735" t="s">
        <v>38490</v>
      </c>
      <c r="M3735" t="s">
        <v>40199</v>
      </c>
      <c r="N3735" t="s">
        <v>42669</v>
      </c>
      <c r="O3735" t="s">
        <v>42670</v>
      </c>
      <c r="P3735">
        <v>0</v>
      </c>
      <c r="Q3735">
        <v>0</v>
      </c>
      <c r="R3735" t="s">
        <v>42676</v>
      </c>
      <c r="S3735" t="s">
        <v>42809</v>
      </c>
      <c r="T3735" t="s">
        <v>44539</v>
      </c>
      <c r="U3735" t="s">
        <v>47915</v>
      </c>
      <c r="W3735" t="s">
        <v>58045</v>
      </c>
      <c r="X3735" t="s">
        <v>42678</v>
      </c>
    </row>
    <row r="3736" spans="1:24">
      <c r="A3736">
        <f>HYPERLINK("https://www.philgeps.gov.ph/GEPSNONPILOT/Tender/SplashBidNoticeAbstractUI.aspx?menuIndex=3&amp;refID=7182286&amp;Result=3","7182286")</f>
        <v>0</v>
      </c>
      <c r="B3736" t="s">
        <v>1363</v>
      </c>
      <c r="C3736" t="s">
        <v>7100</v>
      </c>
      <c r="D3736" t="s">
        <v>17198</v>
      </c>
      <c r="E3736" t="s">
        <v>20540</v>
      </c>
      <c r="F3736" t="s">
        <v>29372</v>
      </c>
      <c r="G3736" t="s">
        <v>29380</v>
      </c>
      <c r="H3736" t="s">
        <v>11048</v>
      </c>
      <c r="I3736" t="s">
        <v>4709</v>
      </c>
      <c r="J3736" t="s">
        <v>32049</v>
      </c>
      <c r="K3736" t="s">
        <v>38488</v>
      </c>
      <c r="M3736" t="s">
        <v>40200</v>
      </c>
      <c r="N3736" t="s">
        <v>42669</v>
      </c>
      <c r="O3736" t="s">
        <v>42670</v>
      </c>
      <c r="P3736">
        <v>0</v>
      </c>
      <c r="Q3736">
        <v>0</v>
      </c>
      <c r="R3736" t="s">
        <v>42676</v>
      </c>
      <c r="S3736" t="s">
        <v>42809</v>
      </c>
      <c r="T3736" t="s">
        <v>44503</v>
      </c>
      <c r="U3736" t="s">
        <v>46058</v>
      </c>
      <c r="W3736" t="s">
        <v>40200</v>
      </c>
      <c r="X3736" t="s">
        <v>42679</v>
      </c>
    </row>
    <row r="3737" spans="1:24">
      <c r="A3737">
        <f>HYPERLINK("https://www.philgeps.gov.ph/GEPSNONPILOT/Tender/SplashBidNoticeAbstractUI.aspx?menuIndex=3&amp;refID=7185296&amp;Result=3","7185296")</f>
        <v>0</v>
      </c>
      <c r="B3737" t="s">
        <v>1364</v>
      </c>
      <c r="C3737" t="s">
        <v>7101</v>
      </c>
      <c r="E3737" t="s">
        <v>20541</v>
      </c>
      <c r="F3737" t="s">
        <v>29372</v>
      </c>
      <c r="G3737" t="s">
        <v>29380</v>
      </c>
      <c r="H3737" t="s">
        <v>11048</v>
      </c>
      <c r="I3737" t="s">
        <v>29417</v>
      </c>
      <c r="J3737" t="s">
        <v>29587</v>
      </c>
      <c r="K3737" t="s">
        <v>38490</v>
      </c>
      <c r="M3737" t="s">
        <v>40201</v>
      </c>
      <c r="N3737" t="s">
        <v>42669</v>
      </c>
      <c r="O3737" t="s">
        <v>42670</v>
      </c>
      <c r="P3737">
        <v>0</v>
      </c>
      <c r="Q3737">
        <v>2</v>
      </c>
      <c r="R3737" t="s">
        <v>42676</v>
      </c>
      <c r="S3737" t="s">
        <v>42809</v>
      </c>
      <c r="T3737" t="s">
        <v>44557</v>
      </c>
      <c r="U3737" t="s">
        <v>47916</v>
      </c>
      <c r="W3737" t="s">
        <v>40201</v>
      </c>
      <c r="X3737" t="s">
        <v>42678</v>
      </c>
    </row>
    <row r="3738" spans="1:24">
      <c r="A3738">
        <f>HYPERLINK("https://www.philgeps.gov.ph/GEPSNONPILOT/Tender/SplashBidNoticeAbstractUI.aspx?menuIndex=3&amp;refID=7184966&amp;Result=3","7184966")</f>
        <v>0</v>
      </c>
      <c r="B3738" t="s">
        <v>1365</v>
      </c>
      <c r="C3738" t="s">
        <v>7102</v>
      </c>
      <c r="D3738" t="s">
        <v>17198</v>
      </c>
      <c r="E3738" t="s">
        <v>20542</v>
      </c>
      <c r="F3738" t="s">
        <v>29372</v>
      </c>
      <c r="G3738" t="s">
        <v>29380</v>
      </c>
      <c r="H3738" t="s">
        <v>11048</v>
      </c>
      <c r="I3738" t="s">
        <v>4709</v>
      </c>
      <c r="J3738" t="s">
        <v>32050</v>
      </c>
      <c r="K3738" t="s">
        <v>38488</v>
      </c>
      <c r="M3738" t="s">
        <v>40202</v>
      </c>
      <c r="N3738" t="s">
        <v>42669</v>
      </c>
      <c r="O3738" t="s">
        <v>42670</v>
      </c>
      <c r="P3738">
        <v>0</v>
      </c>
      <c r="Q3738">
        <v>0</v>
      </c>
      <c r="R3738" t="s">
        <v>42676</v>
      </c>
      <c r="S3738" t="s">
        <v>42809</v>
      </c>
      <c r="T3738" t="s">
        <v>44503</v>
      </c>
      <c r="U3738" t="s">
        <v>46058</v>
      </c>
      <c r="W3738" t="s">
        <v>40202</v>
      </c>
      <c r="X3738" t="s">
        <v>42678</v>
      </c>
    </row>
    <row r="3739" spans="1:24">
      <c r="A3739">
        <f>HYPERLINK("https://www.philgeps.gov.ph/GEPSNONPILOT/Tender/SplashBidNoticeAbstractUI.aspx?menuIndex=3&amp;refID=7184959&amp;Result=3","7184959")</f>
        <v>0</v>
      </c>
      <c r="B3739" t="s">
        <v>1366</v>
      </c>
      <c r="C3739" t="s">
        <v>7103</v>
      </c>
      <c r="D3739" t="s">
        <v>17178</v>
      </c>
      <c r="E3739" t="s">
        <v>18519</v>
      </c>
      <c r="F3739" t="s">
        <v>29375</v>
      </c>
      <c r="G3739" t="s">
        <v>29383</v>
      </c>
      <c r="H3739" t="s">
        <v>11048</v>
      </c>
      <c r="I3739" t="s">
        <v>29411</v>
      </c>
      <c r="J3739" t="s">
        <v>29675</v>
      </c>
      <c r="K3739" t="s">
        <v>38488</v>
      </c>
      <c r="L3739" t="s">
        <v>1366</v>
      </c>
      <c r="M3739" t="s">
        <v>40203</v>
      </c>
      <c r="N3739" t="s">
        <v>42669</v>
      </c>
      <c r="O3739" t="s">
        <v>42670</v>
      </c>
      <c r="P3739">
        <v>0</v>
      </c>
      <c r="Q3739">
        <v>0</v>
      </c>
      <c r="R3739" t="s">
        <v>42676</v>
      </c>
      <c r="S3739" t="s">
        <v>42809</v>
      </c>
      <c r="T3739" t="s">
        <v>44386</v>
      </c>
      <c r="U3739" t="s">
        <v>47917</v>
      </c>
      <c r="W3739" t="s">
        <v>40203</v>
      </c>
      <c r="X3739" t="s">
        <v>42678</v>
      </c>
    </row>
    <row r="3740" spans="1:24">
      <c r="A3740">
        <f>HYPERLINK("https://www.philgeps.gov.ph/GEPSNONPILOT/Tender/SplashBidNoticeAbstractUI.aspx?menuIndex=3&amp;refID=7185858&amp;Result=3","7185858")</f>
        <v>0</v>
      </c>
      <c r="B3740" t="s">
        <v>1367</v>
      </c>
      <c r="C3740" t="s">
        <v>7104</v>
      </c>
      <c r="D3740" t="s">
        <v>17156</v>
      </c>
      <c r="E3740" t="s">
        <v>20543</v>
      </c>
      <c r="F3740" t="s">
        <v>29372</v>
      </c>
      <c r="G3740" t="s">
        <v>29379</v>
      </c>
      <c r="H3740" t="s">
        <v>11048</v>
      </c>
      <c r="I3740" t="s">
        <v>5383</v>
      </c>
      <c r="J3740" t="s">
        <v>32051</v>
      </c>
      <c r="K3740" t="s">
        <v>38488</v>
      </c>
      <c r="M3740" t="s">
        <v>40204</v>
      </c>
      <c r="N3740" t="s">
        <v>42669</v>
      </c>
      <c r="O3740" t="s">
        <v>42670</v>
      </c>
      <c r="P3740">
        <v>0</v>
      </c>
      <c r="Q3740">
        <v>3</v>
      </c>
      <c r="R3740" t="s">
        <v>42676</v>
      </c>
      <c r="S3740" t="s">
        <v>42809</v>
      </c>
      <c r="T3740" t="s">
        <v>44469</v>
      </c>
      <c r="U3740" t="s">
        <v>47918</v>
      </c>
      <c r="W3740" t="s">
        <v>58046</v>
      </c>
      <c r="X3740" t="s">
        <v>42678</v>
      </c>
    </row>
    <row r="3741" spans="1:24">
      <c r="A3741">
        <f>HYPERLINK("https://www.philgeps.gov.ph/GEPSNONPILOT/Tender/SplashBidNoticeAbstractUI.aspx?menuIndex=3&amp;refID=7184757&amp;Result=3","7184757")</f>
        <v>0</v>
      </c>
      <c r="B3741" t="s">
        <v>1331</v>
      </c>
      <c r="C3741" t="s">
        <v>7105</v>
      </c>
      <c r="D3741" t="s">
        <v>17168</v>
      </c>
      <c r="E3741" t="s">
        <v>20544</v>
      </c>
      <c r="F3741" t="s">
        <v>29372</v>
      </c>
      <c r="G3741" t="s">
        <v>29380</v>
      </c>
      <c r="H3741" t="s">
        <v>29389</v>
      </c>
      <c r="I3741" t="s">
        <v>10408</v>
      </c>
      <c r="J3741" t="s">
        <v>29724</v>
      </c>
      <c r="K3741" t="s">
        <v>38509</v>
      </c>
      <c r="M3741" t="s">
        <v>40167</v>
      </c>
      <c r="N3741" t="s">
        <v>42669</v>
      </c>
      <c r="O3741" t="s">
        <v>42670</v>
      </c>
      <c r="P3741">
        <v>0</v>
      </c>
      <c r="Q3741">
        <v>0</v>
      </c>
      <c r="R3741" t="s">
        <v>42676</v>
      </c>
      <c r="S3741" t="s">
        <v>42809</v>
      </c>
      <c r="T3741" t="s">
        <v>44504</v>
      </c>
      <c r="U3741" t="s">
        <v>47919</v>
      </c>
      <c r="W3741" t="s">
        <v>40167</v>
      </c>
      <c r="X3741" t="s">
        <v>42678</v>
      </c>
    </row>
    <row r="3742" spans="1:24">
      <c r="A3742">
        <f>HYPERLINK("https://www.philgeps.gov.ph/GEPSNONPILOT/Tender/SplashBidNoticeAbstractUI.aspx?menuIndex=3&amp;refID=7185837&amp;Result=3","7185837")</f>
        <v>0</v>
      </c>
      <c r="B3742" t="s">
        <v>1084</v>
      </c>
      <c r="C3742" t="s">
        <v>7106</v>
      </c>
      <c r="D3742" t="s">
        <v>17179</v>
      </c>
      <c r="E3742" t="s">
        <v>20545</v>
      </c>
      <c r="F3742" t="s">
        <v>29372</v>
      </c>
      <c r="G3742" t="s">
        <v>29379</v>
      </c>
      <c r="H3742" t="s">
        <v>11048</v>
      </c>
      <c r="I3742" t="s">
        <v>8208</v>
      </c>
      <c r="J3742" t="s">
        <v>32052</v>
      </c>
      <c r="K3742" t="s">
        <v>38490</v>
      </c>
      <c r="M3742" t="s">
        <v>39891</v>
      </c>
      <c r="N3742" t="s">
        <v>42669</v>
      </c>
      <c r="O3742" t="s">
        <v>42670</v>
      </c>
      <c r="P3742">
        <v>0</v>
      </c>
      <c r="Q3742">
        <v>1</v>
      </c>
      <c r="R3742" t="s">
        <v>42676</v>
      </c>
      <c r="S3742" t="s">
        <v>42809</v>
      </c>
      <c r="T3742" t="s">
        <v>44399</v>
      </c>
      <c r="U3742" t="s">
        <v>47177</v>
      </c>
      <c r="W3742" t="s">
        <v>39891</v>
      </c>
      <c r="X3742" t="s">
        <v>42678</v>
      </c>
    </row>
    <row r="3743" spans="1:24">
      <c r="A3743">
        <f>HYPERLINK("https://www.philgeps.gov.ph/GEPSNONPILOT/Tender/SplashBidNoticeAbstractUI.aspx?menuIndex=3&amp;refID=7185862&amp;Result=3","7185862")</f>
        <v>0</v>
      </c>
      <c r="B3743" t="s">
        <v>1084</v>
      </c>
      <c r="C3743" t="s">
        <v>7107</v>
      </c>
      <c r="D3743" t="s">
        <v>17179</v>
      </c>
      <c r="E3743" t="s">
        <v>20546</v>
      </c>
      <c r="F3743" t="s">
        <v>29372</v>
      </c>
      <c r="G3743" t="s">
        <v>29380</v>
      </c>
      <c r="H3743" t="s">
        <v>11048</v>
      </c>
      <c r="I3743" t="s">
        <v>3860</v>
      </c>
      <c r="J3743" t="s">
        <v>32053</v>
      </c>
      <c r="K3743" t="s">
        <v>38490</v>
      </c>
      <c r="M3743" t="s">
        <v>39891</v>
      </c>
      <c r="N3743" t="s">
        <v>42669</v>
      </c>
      <c r="O3743" t="s">
        <v>42670</v>
      </c>
      <c r="P3743">
        <v>0</v>
      </c>
      <c r="Q3743">
        <v>7</v>
      </c>
      <c r="R3743" t="s">
        <v>42676</v>
      </c>
      <c r="S3743" t="s">
        <v>42809</v>
      </c>
      <c r="T3743" t="s">
        <v>44450</v>
      </c>
      <c r="U3743" t="s">
        <v>47177</v>
      </c>
      <c r="W3743" t="s">
        <v>39891</v>
      </c>
      <c r="X3743" t="s">
        <v>42678</v>
      </c>
    </row>
    <row r="3744" spans="1:24">
      <c r="A3744">
        <f>HYPERLINK("https://www.philgeps.gov.ph/GEPSNONPILOT/Tender/SplashBidNoticeAbstractUI.aspx?menuIndex=3&amp;refID=7185801&amp;Result=3","7185801")</f>
        <v>0</v>
      </c>
      <c r="B3744" t="s">
        <v>170</v>
      </c>
      <c r="C3744" t="s">
        <v>7108</v>
      </c>
      <c r="D3744" t="s">
        <v>17195</v>
      </c>
      <c r="E3744" t="s">
        <v>20547</v>
      </c>
      <c r="F3744" t="s">
        <v>29372</v>
      </c>
      <c r="G3744" t="s">
        <v>29379</v>
      </c>
      <c r="H3744" t="s">
        <v>11048</v>
      </c>
      <c r="I3744" t="s">
        <v>5383</v>
      </c>
      <c r="J3744" t="s">
        <v>30072</v>
      </c>
      <c r="K3744" t="s">
        <v>38495</v>
      </c>
      <c r="M3744" t="s">
        <v>38927</v>
      </c>
      <c r="N3744" t="s">
        <v>42669</v>
      </c>
      <c r="O3744" t="s">
        <v>42670</v>
      </c>
      <c r="P3744">
        <v>0</v>
      </c>
      <c r="Q3744">
        <v>0</v>
      </c>
      <c r="R3744" t="s">
        <v>42676</v>
      </c>
      <c r="S3744" t="s">
        <v>42809</v>
      </c>
      <c r="T3744" t="s">
        <v>44470</v>
      </c>
      <c r="U3744" t="s">
        <v>47920</v>
      </c>
      <c r="W3744" t="s">
        <v>38927</v>
      </c>
      <c r="X3744" t="s">
        <v>42678</v>
      </c>
    </row>
    <row r="3745" spans="1:24">
      <c r="A3745">
        <f>HYPERLINK("https://www.philgeps.gov.ph/GEPSNONPILOT/Tender/SplashBidNoticeAbstractUI.aspx?menuIndex=3&amp;refID=7185790&amp;Result=3","7185790")</f>
        <v>0</v>
      </c>
      <c r="B3745" t="s">
        <v>1084</v>
      </c>
      <c r="C3745" t="s">
        <v>7109</v>
      </c>
      <c r="D3745" t="s">
        <v>17179</v>
      </c>
      <c r="E3745" t="s">
        <v>20548</v>
      </c>
      <c r="F3745" t="s">
        <v>29372</v>
      </c>
      <c r="G3745" t="s">
        <v>29379</v>
      </c>
      <c r="H3745" t="s">
        <v>11048</v>
      </c>
      <c r="I3745" t="s">
        <v>8208</v>
      </c>
      <c r="J3745" t="s">
        <v>31236</v>
      </c>
      <c r="K3745" t="s">
        <v>38490</v>
      </c>
      <c r="M3745" t="s">
        <v>39891</v>
      </c>
      <c r="N3745" t="s">
        <v>42669</v>
      </c>
      <c r="O3745" t="s">
        <v>42670</v>
      </c>
      <c r="P3745">
        <v>0</v>
      </c>
      <c r="Q3745">
        <v>1</v>
      </c>
      <c r="R3745" t="s">
        <v>42676</v>
      </c>
      <c r="S3745" t="s">
        <v>42809</v>
      </c>
      <c r="T3745" t="s">
        <v>44399</v>
      </c>
      <c r="U3745" t="s">
        <v>47177</v>
      </c>
      <c r="W3745" t="s">
        <v>39891</v>
      </c>
      <c r="X3745" t="s">
        <v>42678</v>
      </c>
    </row>
    <row r="3746" spans="1:24">
      <c r="A3746">
        <f>HYPERLINK("https://www.philgeps.gov.ph/GEPSNONPILOT/Tender/SplashBidNoticeAbstractUI.aspx?menuIndex=3&amp;refID=7185759&amp;Result=3","7185759")</f>
        <v>0</v>
      </c>
      <c r="B3746" t="s">
        <v>1368</v>
      </c>
      <c r="C3746" t="s">
        <v>7110</v>
      </c>
      <c r="D3746" t="s">
        <v>17177</v>
      </c>
      <c r="E3746" t="s">
        <v>20549</v>
      </c>
      <c r="F3746" t="s">
        <v>29372</v>
      </c>
      <c r="G3746" t="s">
        <v>29379</v>
      </c>
      <c r="H3746" t="s">
        <v>11048</v>
      </c>
      <c r="I3746" t="s">
        <v>3629</v>
      </c>
      <c r="J3746" t="s">
        <v>31672</v>
      </c>
      <c r="K3746" t="s">
        <v>38518</v>
      </c>
      <c r="M3746" t="s">
        <v>40205</v>
      </c>
      <c r="N3746" t="s">
        <v>42669</v>
      </c>
      <c r="O3746" t="s">
        <v>42670</v>
      </c>
      <c r="P3746">
        <v>0</v>
      </c>
      <c r="Q3746">
        <v>2</v>
      </c>
      <c r="R3746" t="s">
        <v>42676</v>
      </c>
      <c r="S3746" t="s">
        <v>42809</v>
      </c>
      <c r="T3746" t="s">
        <v>44417</v>
      </c>
      <c r="U3746" t="s">
        <v>47921</v>
      </c>
      <c r="W3746" t="s">
        <v>40205</v>
      </c>
      <c r="X3746" t="s">
        <v>42678</v>
      </c>
    </row>
    <row r="3747" spans="1:24">
      <c r="A3747">
        <f>HYPERLINK("https://www.philgeps.gov.ph/GEPSNONPILOT/Tender/SplashBidNoticeAbstractUI.aspx?menuIndex=3&amp;refID=7185867&amp;Result=3","7185867")</f>
        <v>0</v>
      </c>
      <c r="B3747" t="s">
        <v>93</v>
      </c>
      <c r="C3747" t="s">
        <v>7111</v>
      </c>
      <c r="D3747" t="s">
        <v>17165</v>
      </c>
      <c r="E3747" t="s">
        <v>20550</v>
      </c>
      <c r="F3747" t="s">
        <v>29372</v>
      </c>
      <c r="G3747" t="s">
        <v>29380</v>
      </c>
      <c r="H3747" t="s">
        <v>11048</v>
      </c>
      <c r="I3747" t="s">
        <v>3839</v>
      </c>
      <c r="J3747" t="s">
        <v>32054</v>
      </c>
      <c r="K3747" t="s">
        <v>38485</v>
      </c>
      <c r="M3747" t="s">
        <v>38847</v>
      </c>
      <c r="N3747" t="s">
        <v>42669</v>
      </c>
      <c r="O3747" t="s">
        <v>42670</v>
      </c>
      <c r="P3747">
        <v>0</v>
      </c>
      <c r="Q3747">
        <v>8</v>
      </c>
      <c r="R3747" t="s">
        <v>42676</v>
      </c>
      <c r="S3747" t="s">
        <v>42809</v>
      </c>
      <c r="T3747" t="s">
        <v>44354</v>
      </c>
      <c r="U3747" t="s">
        <v>47922</v>
      </c>
      <c r="W3747" t="s">
        <v>38847</v>
      </c>
      <c r="X3747" t="s">
        <v>42678</v>
      </c>
    </row>
    <row r="3748" spans="1:24">
      <c r="A3748">
        <f>HYPERLINK("https://www.philgeps.gov.ph/GEPSNONPILOT/Tender/SplashBidNoticeAbstractUI.aspx?menuIndex=3&amp;refID=7184469&amp;Result=3","7184469")</f>
        <v>0</v>
      </c>
      <c r="B3748" t="s">
        <v>1331</v>
      </c>
      <c r="C3748" t="s">
        <v>7112</v>
      </c>
      <c r="D3748" t="s">
        <v>17168</v>
      </c>
      <c r="E3748" t="s">
        <v>20551</v>
      </c>
      <c r="F3748" t="s">
        <v>29372</v>
      </c>
      <c r="G3748" t="s">
        <v>29380</v>
      </c>
      <c r="H3748" t="s">
        <v>29389</v>
      </c>
      <c r="I3748" t="s">
        <v>10408</v>
      </c>
      <c r="J3748" t="s">
        <v>30161</v>
      </c>
      <c r="K3748" t="s">
        <v>38487</v>
      </c>
      <c r="M3748" t="s">
        <v>40167</v>
      </c>
      <c r="N3748" t="s">
        <v>42669</v>
      </c>
      <c r="O3748" t="s">
        <v>42670</v>
      </c>
      <c r="P3748">
        <v>0</v>
      </c>
      <c r="Q3748">
        <v>0</v>
      </c>
      <c r="R3748" t="s">
        <v>42676</v>
      </c>
      <c r="S3748" t="s">
        <v>42809</v>
      </c>
      <c r="T3748" t="s">
        <v>44504</v>
      </c>
      <c r="U3748" t="s">
        <v>47923</v>
      </c>
      <c r="W3748" t="s">
        <v>40167</v>
      </c>
      <c r="X3748" t="s">
        <v>42678</v>
      </c>
    </row>
    <row r="3749" spans="1:24">
      <c r="A3749">
        <f>HYPERLINK("https://www.philgeps.gov.ph/GEPSNONPILOT/Tender/SplashBidNoticeAbstractUI.aspx?menuIndex=3&amp;refID=7185814&amp;Result=3","7185814")</f>
        <v>0</v>
      </c>
      <c r="B3749" t="s">
        <v>1084</v>
      </c>
      <c r="C3749" t="s">
        <v>7113</v>
      </c>
      <c r="D3749" t="s">
        <v>17179</v>
      </c>
      <c r="E3749" t="s">
        <v>20552</v>
      </c>
      <c r="F3749" t="s">
        <v>29372</v>
      </c>
      <c r="G3749" t="s">
        <v>29379</v>
      </c>
      <c r="H3749" t="s">
        <v>11048</v>
      </c>
      <c r="I3749" t="s">
        <v>8208</v>
      </c>
      <c r="J3749" t="s">
        <v>32055</v>
      </c>
      <c r="K3749" t="s">
        <v>38490</v>
      </c>
      <c r="M3749" t="s">
        <v>39891</v>
      </c>
      <c r="N3749" t="s">
        <v>42669</v>
      </c>
      <c r="O3749" t="s">
        <v>42670</v>
      </c>
      <c r="P3749">
        <v>0</v>
      </c>
      <c r="Q3749">
        <v>1</v>
      </c>
      <c r="R3749" t="s">
        <v>42676</v>
      </c>
      <c r="S3749" t="s">
        <v>42809</v>
      </c>
      <c r="T3749" t="s">
        <v>44399</v>
      </c>
      <c r="U3749" t="s">
        <v>47177</v>
      </c>
      <c r="W3749" t="s">
        <v>39891</v>
      </c>
      <c r="X3749" t="s">
        <v>42678</v>
      </c>
    </row>
    <row r="3750" spans="1:24">
      <c r="A3750">
        <f>HYPERLINK("https://www.philgeps.gov.ph/GEPSNONPILOT/Tender/SplashBidNoticeAbstractUI.aspx?menuIndex=3&amp;refID=7185721&amp;Result=3","7185721")</f>
        <v>0</v>
      </c>
      <c r="B3750" t="s">
        <v>1340</v>
      </c>
      <c r="C3750" t="s">
        <v>7114</v>
      </c>
      <c r="D3750" t="s">
        <v>17195</v>
      </c>
      <c r="E3750" t="s">
        <v>20553</v>
      </c>
      <c r="F3750" t="s">
        <v>29372</v>
      </c>
      <c r="G3750" t="s">
        <v>29380</v>
      </c>
      <c r="H3750" t="s">
        <v>11048</v>
      </c>
      <c r="I3750" t="s">
        <v>29393</v>
      </c>
      <c r="J3750" t="s">
        <v>32056</v>
      </c>
      <c r="K3750" t="s">
        <v>38485</v>
      </c>
      <c r="M3750" t="s">
        <v>40176</v>
      </c>
      <c r="N3750" t="s">
        <v>42669</v>
      </c>
      <c r="O3750" t="s">
        <v>42670</v>
      </c>
      <c r="P3750">
        <v>0</v>
      </c>
      <c r="Q3750">
        <v>0</v>
      </c>
      <c r="R3750" t="s">
        <v>42676</v>
      </c>
      <c r="S3750" t="s">
        <v>42809</v>
      </c>
      <c r="T3750" t="s">
        <v>44542</v>
      </c>
      <c r="U3750" t="s">
        <v>47924</v>
      </c>
      <c r="V3750" t="s">
        <v>56699</v>
      </c>
      <c r="W3750" t="s">
        <v>40176</v>
      </c>
      <c r="X3750" t="s">
        <v>42678</v>
      </c>
    </row>
    <row r="3751" spans="1:24">
      <c r="A3751">
        <f>HYPERLINK("https://www.philgeps.gov.ph/GEPSNONPILOT/Tender/SplashBidNoticeAbstractUI.aspx?menuIndex=3&amp;refID=7186266&amp;Result=3","7186266")</f>
        <v>0</v>
      </c>
      <c r="B3751" t="s">
        <v>93</v>
      </c>
      <c r="C3751" t="s">
        <v>7115</v>
      </c>
      <c r="D3751" t="s">
        <v>17165</v>
      </c>
      <c r="E3751" t="s">
        <v>20554</v>
      </c>
      <c r="F3751" t="s">
        <v>29372</v>
      </c>
      <c r="G3751" t="s">
        <v>29380</v>
      </c>
      <c r="H3751" t="s">
        <v>29389</v>
      </c>
      <c r="I3751" t="s">
        <v>10408</v>
      </c>
      <c r="J3751" t="s">
        <v>32057</v>
      </c>
      <c r="K3751" t="s">
        <v>38496</v>
      </c>
      <c r="M3751" t="s">
        <v>38847</v>
      </c>
      <c r="N3751" t="s">
        <v>42669</v>
      </c>
      <c r="O3751" t="s">
        <v>42670</v>
      </c>
      <c r="P3751">
        <v>0</v>
      </c>
      <c r="Q3751">
        <v>0</v>
      </c>
      <c r="R3751" t="s">
        <v>42676</v>
      </c>
      <c r="S3751" t="s">
        <v>42809</v>
      </c>
      <c r="T3751" t="s">
        <v>44641</v>
      </c>
      <c r="U3751" t="s">
        <v>47925</v>
      </c>
      <c r="W3751" t="s">
        <v>38847</v>
      </c>
      <c r="X3751" t="s">
        <v>42678</v>
      </c>
    </row>
    <row r="3752" spans="1:24">
      <c r="A3752">
        <f>HYPERLINK("https://www.philgeps.gov.ph/GEPSNONPILOT/Tender/SplashBidNoticeAbstractUI.aspx?menuIndex=3&amp;refID=7185729&amp;Result=3","7185729")</f>
        <v>0</v>
      </c>
      <c r="B3752" t="s">
        <v>1369</v>
      </c>
      <c r="C3752" t="s">
        <v>7116</v>
      </c>
      <c r="D3752" t="s">
        <v>17206</v>
      </c>
      <c r="E3752" t="s">
        <v>17476</v>
      </c>
      <c r="F3752" t="s">
        <v>29372</v>
      </c>
      <c r="G3752" t="s">
        <v>29380</v>
      </c>
      <c r="H3752" t="s">
        <v>11048</v>
      </c>
      <c r="I3752" t="s">
        <v>29446</v>
      </c>
      <c r="J3752" t="s">
        <v>32058</v>
      </c>
      <c r="K3752" t="s">
        <v>38530</v>
      </c>
      <c r="M3752" t="s">
        <v>40206</v>
      </c>
      <c r="N3752" t="s">
        <v>42669</v>
      </c>
      <c r="O3752" t="s">
        <v>42670</v>
      </c>
      <c r="P3752">
        <v>0</v>
      </c>
      <c r="Q3752">
        <v>3</v>
      </c>
      <c r="R3752" t="s">
        <v>42676</v>
      </c>
      <c r="S3752" t="s">
        <v>42809</v>
      </c>
      <c r="T3752" t="s">
        <v>44386</v>
      </c>
      <c r="U3752" t="s">
        <v>47926</v>
      </c>
      <c r="V3752" t="s">
        <v>56707</v>
      </c>
      <c r="W3752" t="s">
        <v>40206</v>
      </c>
      <c r="X3752" t="s">
        <v>42678</v>
      </c>
    </row>
    <row r="3753" spans="1:24">
      <c r="A3753">
        <f>HYPERLINK("https://www.philgeps.gov.ph/GEPSNONPILOT/Tender/SplashBidNoticeAbstractUI.aspx?menuIndex=3&amp;refID=7185879&amp;Result=3","7185879")</f>
        <v>0</v>
      </c>
      <c r="B3753" t="s">
        <v>1370</v>
      </c>
      <c r="C3753" t="s">
        <v>7117</v>
      </c>
      <c r="D3753" t="s">
        <v>17168</v>
      </c>
      <c r="E3753" t="s">
        <v>20555</v>
      </c>
      <c r="F3753" t="s">
        <v>29375</v>
      </c>
      <c r="G3753" t="s">
        <v>29380</v>
      </c>
      <c r="H3753" t="s">
        <v>11048</v>
      </c>
      <c r="I3753" t="s">
        <v>4709</v>
      </c>
      <c r="J3753" t="s">
        <v>32059</v>
      </c>
      <c r="K3753" t="s">
        <v>38510</v>
      </c>
      <c r="M3753" t="s">
        <v>40207</v>
      </c>
      <c r="N3753" t="s">
        <v>42669</v>
      </c>
      <c r="O3753" t="s">
        <v>42670</v>
      </c>
      <c r="P3753">
        <v>0</v>
      </c>
      <c r="Q3753">
        <v>0</v>
      </c>
      <c r="R3753" t="s">
        <v>42676</v>
      </c>
      <c r="S3753" t="s">
        <v>42809</v>
      </c>
      <c r="T3753" t="s">
        <v>44436</v>
      </c>
      <c r="U3753" t="s">
        <v>47927</v>
      </c>
      <c r="V3753" t="s">
        <v>56708</v>
      </c>
      <c r="W3753" t="s">
        <v>40207</v>
      </c>
      <c r="X3753" t="s">
        <v>42678</v>
      </c>
    </row>
    <row r="3754" spans="1:24">
      <c r="A3754">
        <f>HYPERLINK("https://www.philgeps.gov.ph/GEPSNONPILOT/Tender/SplashBidNoticeAbstractUI.aspx?menuIndex=3&amp;refID=7185825&amp;Result=3","7185825")</f>
        <v>0</v>
      </c>
      <c r="B3754" t="s">
        <v>1340</v>
      </c>
      <c r="C3754" t="s">
        <v>7118</v>
      </c>
      <c r="D3754" t="s">
        <v>17195</v>
      </c>
      <c r="E3754" t="s">
        <v>20556</v>
      </c>
      <c r="F3754" t="s">
        <v>29372</v>
      </c>
      <c r="G3754" t="s">
        <v>29380</v>
      </c>
      <c r="H3754" t="s">
        <v>11048</v>
      </c>
      <c r="I3754" t="s">
        <v>29393</v>
      </c>
      <c r="J3754" t="s">
        <v>32060</v>
      </c>
      <c r="K3754" t="s">
        <v>38485</v>
      </c>
      <c r="M3754" t="s">
        <v>40176</v>
      </c>
      <c r="N3754" t="s">
        <v>42669</v>
      </c>
      <c r="O3754" t="s">
        <v>42670</v>
      </c>
      <c r="P3754">
        <v>0</v>
      </c>
      <c r="Q3754">
        <v>0</v>
      </c>
      <c r="R3754" t="s">
        <v>42676</v>
      </c>
      <c r="S3754" t="s">
        <v>42809</v>
      </c>
      <c r="T3754" t="s">
        <v>44542</v>
      </c>
      <c r="U3754" t="s">
        <v>47928</v>
      </c>
      <c r="V3754" t="s">
        <v>56699</v>
      </c>
      <c r="W3754" t="s">
        <v>40176</v>
      </c>
      <c r="X3754" t="s">
        <v>42678</v>
      </c>
    </row>
    <row r="3755" spans="1:24">
      <c r="A3755">
        <f>HYPERLINK("https://www.philgeps.gov.ph/GEPSNONPILOT/Tender/SplashBidNoticeAbstractUI.aspx?menuIndex=3&amp;refID=7186192&amp;Result=3","7186192")</f>
        <v>0</v>
      </c>
      <c r="B3755" t="s">
        <v>1371</v>
      </c>
      <c r="C3755" t="s">
        <v>7119</v>
      </c>
      <c r="D3755" t="s">
        <v>17141</v>
      </c>
      <c r="E3755" t="s">
        <v>20557</v>
      </c>
      <c r="F3755" t="s">
        <v>29372</v>
      </c>
      <c r="G3755" t="s">
        <v>29383</v>
      </c>
      <c r="H3755" t="s">
        <v>11048</v>
      </c>
      <c r="I3755" t="s">
        <v>29407</v>
      </c>
      <c r="J3755" t="s">
        <v>29694</v>
      </c>
      <c r="K3755" t="s">
        <v>38528</v>
      </c>
      <c r="M3755" t="s">
        <v>40208</v>
      </c>
      <c r="N3755" t="s">
        <v>42669</v>
      </c>
      <c r="O3755" t="s">
        <v>42670</v>
      </c>
      <c r="P3755">
        <v>0</v>
      </c>
      <c r="Q3755">
        <v>2</v>
      </c>
      <c r="R3755" t="s">
        <v>42676</v>
      </c>
      <c r="S3755" t="s">
        <v>42809</v>
      </c>
      <c r="T3755" t="s">
        <v>44512</v>
      </c>
      <c r="U3755" t="s">
        <v>47929</v>
      </c>
      <c r="V3755" t="s">
        <v>56709</v>
      </c>
      <c r="W3755" t="s">
        <v>40208</v>
      </c>
      <c r="X3755" t="s">
        <v>42678</v>
      </c>
    </row>
    <row r="3756" spans="1:24">
      <c r="A3756">
        <f>HYPERLINK("https://www.philgeps.gov.ph/GEPSNONPILOT/Tender/SplashBidNoticeAbstractUI.aspx?menuIndex=3&amp;refID=7186175&amp;Result=3","7186175")</f>
        <v>0</v>
      </c>
      <c r="B3756" t="s">
        <v>1372</v>
      </c>
      <c r="C3756" t="s">
        <v>7120</v>
      </c>
      <c r="D3756" t="s">
        <v>17230</v>
      </c>
      <c r="E3756" t="s">
        <v>20558</v>
      </c>
      <c r="F3756" t="s">
        <v>29372</v>
      </c>
      <c r="G3756" t="s">
        <v>29380</v>
      </c>
      <c r="H3756" t="s">
        <v>11048</v>
      </c>
      <c r="I3756" t="s">
        <v>29415</v>
      </c>
      <c r="J3756" t="s">
        <v>31086</v>
      </c>
      <c r="K3756" t="s">
        <v>38485</v>
      </c>
      <c r="M3756" t="s">
        <v>40209</v>
      </c>
      <c r="N3756" t="s">
        <v>42669</v>
      </c>
      <c r="O3756" t="s">
        <v>42670</v>
      </c>
      <c r="P3756">
        <v>0</v>
      </c>
      <c r="Q3756">
        <v>2</v>
      </c>
      <c r="R3756" t="s">
        <v>42676</v>
      </c>
      <c r="S3756" t="s">
        <v>42809</v>
      </c>
      <c r="T3756" t="s">
        <v>44446</v>
      </c>
      <c r="U3756" t="s">
        <v>47930</v>
      </c>
      <c r="W3756" t="s">
        <v>40209</v>
      </c>
      <c r="X3756" t="s">
        <v>42678</v>
      </c>
    </row>
    <row r="3757" spans="1:24">
      <c r="A3757">
        <f>HYPERLINK("https://www.philgeps.gov.ph/GEPSNONPILOT/Tender/SplashBidNoticeAbstractUI.aspx?menuIndex=3&amp;refID=7186173&amp;Result=3","7186173")</f>
        <v>0</v>
      </c>
      <c r="B3757" t="s">
        <v>587</v>
      </c>
      <c r="C3757" t="s">
        <v>7121</v>
      </c>
      <c r="D3757" t="s">
        <v>17161</v>
      </c>
      <c r="E3757" t="s">
        <v>20559</v>
      </c>
      <c r="F3757" t="s">
        <v>29372</v>
      </c>
      <c r="G3757" t="s">
        <v>29381</v>
      </c>
      <c r="H3757" t="s">
        <v>11048</v>
      </c>
      <c r="I3757" t="s">
        <v>29394</v>
      </c>
      <c r="J3757" t="s">
        <v>32061</v>
      </c>
      <c r="K3757" t="s">
        <v>38488</v>
      </c>
      <c r="M3757" t="s">
        <v>39356</v>
      </c>
      <c r="N3757" t="s">
        <v>42669</v>
      </c>
      <c r="O3757" t="s">
        <v>42670</v>
      </c>
      <c r="P3757">
        <v>0</v>
      </c>
      <c r="Q3757">
        <v>2</v>
      </c>
      <c r="R3757" t="s">
        <v>42676</v>
      </c>
      <c r="S3757" t="s">
        <v>42809</v>
      </c>
      <c r="T3757" t="s">
        <v>44382</v>
      </c>
      <c r="U3757" t="s">
        <v>47931</v>
      </c>
      <c r="W3757" t="s">
        <v>39356</v>
      </c>
      <c r="X3757" t="s">
        <v>42678</v>
      </c>
    </row>
    <row r="3758" spans="1:24">
      <c r="A3758">
        <f>HYPERLINK("https://www.philgeps.gov.ph/GEPSNONPILOT/Tender/SplashBidNoticeAbstractUI.aspx?menuIndex=3&amp;refID=7186113&amp;Result=3","7186113")</f>
        <v>0</v>
      </c>
      <c r="B3758" t="s">
        <v>1372</v>
      </c>
      <c r="C3758" t="s">
        <v>7122</v>
      </c>
      <c r="D3758" t="s">
        <v>17209</v>
      </c>
      <c r="E3758" t="s">
        <v>20560</v>
      </c>
      <c r="F3758" t="s">
        <v>29372</v>
      </c>
      <c r="G3758" t="s">
        <v>29380</v>
      </c>
      <c r="H3758" t="s">
        <v>11048</v>
      </c>
      <c r="I3758" t="s">
        <v>9469</v>
      </c>
      <c r="J3758" t="s">
        <v>30056</v>
      </c>
      <c r="K3758" t="s">
        <v>38485</v>
      </c>
      <c r="M3758" t="s">
        <v>40209</v>
      </c>
      <c r="N3758" t="s">
        <v>42669</v>
      </c>
      <c r="O3758" t="s">
        <v>42670</v>
      </c>
      <c r="P3758">
        <v>0</v>
      </c>
      <c r="Q3758">
        <v>0</v>
      </c>
      <c r="R3758" t="s">
        <v>42676</v>
      </c>
      <c r="S3758" t="s">
        <v>42809</v>
      </c>
      <c r="T3758" t="s">
        <v>44446</v>
      </c>
      <c r="U3758" t="s">
        <v>47932</v>
      </c>
      <c r="W3758" t="s">
        <v>40209</v>
      </c>
      <c r="X3758" t="s">
        <v>42678</v>
      </c>
    </row>
    <row r="3759" spans="1:24">
      <c r="A3759">
        <f>HYPERLINK("https://www.philgeps.gov.ph/GEPSNONPILOT/Tender/SplashBidNoticeAbstractUI.aspx?menuIndex=3&amp;refID=7186230&amp;Result=3","7186230")</f>
        <v>0</v>
      </c>
      <c r="B3759" t="s">
        <v>1373</v>
      </c>
      <c r="C3759" t="s">
        <v>7123</v>
      </c>
      <c r="D3759" t="s">
        <v>17172</v>
      </c>
      <c r="E3759" t="s">
        <v>20561</v>
      </c>
      <c r="F3759" t="s">
        <v>29372</v>
      </c>
      <c r="G3759" t="s">
        <v>29380</v>
      </c>
      <c r="H3759" t="s">
        <v>29389</v>
      </c>
      <c r="I3759" t="s">
        <v>10408</v>
      </c>
      <c r="J3759" t="s">
        <v>32062</v>
      </c>
      <c r="K3759" t="s">
        <v>38485</v>
      </c>
      <c r="M3759" t="s">
        <v>40210</v>
      </c>
      <c r="N3759" t="s">
        <v>42669</v>
      </c>
      <c r="O3759" t="s">
        <v>42670</v>
      </c>
      <c r="P3759">
        <v>0</v>
      </c>
      <c r="Q3759">
        <v>0</v>
      </c>
      <c r="R3759" t="s">
        <v>42676</v>
      </c>
      <c r="S3759" t="s">
        <v>42809</v>
      </c>
      <c r="T3759" t="s">
        <v>44480</v>
      </c>
      <c r="U3759" t="s">
        <v>47933</v>
      </c>
      <c r="W3759" t="s">
        <v>40210</v>
      </c>
      <c r="X3759" t="s">
        <v>42678</v>
      </c>
    </row>
    <row r="3760" spans="1:24">
      <c r="A3760">
        <f>HYPERLINK("https://www.philgeps.gov.ph/GEPSNONPILOT/Tender/SplashBidNoticeAbstractUI.aspx?menuIndex=3&amp;refID=7186073&amp;Result=3","7186073")</f>
        <v>0</v>
      </c>
      <c r="B3760" t="s">
        <v>1355</v>
      </c>
      <c r="C3760" t="s">
        <v>7124</v>
      </c>
      <c r="D3760" t="s">
        <v>17160</v>
      </c>
      <c r="E3760" t="s">
        <v>20562</v>
      </c>
      <c r="F3760" t="s">
        <v>29372</v>
      </c>
      <c r="G3760" t="s">
        <v>29380</v>
      </c>
      <c r="H3760" t="s">
        <v>29389</v>
      </c>
      <c r="I3760" t="s">
        <v>10408</v>
      </c>
      <c r="J3760" t="s">
        <v>32063</v>
      </c>
      <c r="K3760" t="s">
        <v>38522</v>
      </c>
      <c r="M3760" t="s">
        <v>40192</v>
      </c>
      <c r="N3760" t="s">
        <v>42669</v>
      </c>
      <c r="O3760" t="s">
        <v>42670</v>
      </c>
      <c r="P3760">
        <v>0</v>
      </c>
      <c r="Q3760">
        <v>1</v>
      </c>
      <c r="R3760" t="s">
        <v>42676</v>
      </c>
      <c r="S3760" t="s">
        <v>42809</v>
      </c>
      <c r="T3760" t="s">
        <v>44539</v>
      </c>
      <c r="U3760" t="s">
        <v>47934</v>
      </c>
      <c r="V3760" t="s">
        <v>56704</v>
      </c>
      <c r="W3760" t="s">
        <v>40192</v>
      </c>
      <c r="X3760" t="s">
        <v>42678</v>
      </c>
    </row>
    <row r="3761" spans="1:24">
      <c r="A3761">
        <f>HYPERLINK("https://www.philgeps.gov.ph/GEPSNONPILOT/Tender/SplashBidNoticeAbstractUI.aspx?menuIndex=3&amp;refID=7186050&amp;Result=3","7186050")</f>
        <v>0</v>
      </c>
      <c r="B3761" t="s">
        <v>1374</v>
      </c>
      <c r="C3761" t="s">
        <v>7125</v>
      </c>
      <c r="D3761" t="s">
        <v>17163</v>
      </c>
      <c r="E3761" t="s">
        <v>20563</v>
      </c>
      <c r="F3761" t="s">
        <v>29372</v>
      </c>
      <c r="G3761" t="s">
        <v>29380</v>
      </c>
      <c r="H3761" t="s">
        <v>29390</v>
      </c>
      <c r="I3761" t="s">
        <v>29437</v>
      </c>
      <c r="J3761" t="s">
        <v>32064</v>
      </c>
      <c r="K3761" t="s">
        <v>38486</v>
      </c>
      <c r="M3761" t="s">
        <v>40211</v>
      </c>
      <c r="N3761" t="s">
        <v>42669</v>
      </c>
      <c r="O3761" t="s">
        <v>42670</v>
      </c>
      <c r="P3761">
        <v>0</v>
      </c>
      <c r="Q3761">
        <v>5</v>
      </c>
      <c r="R3761" t="s">
        <v>42676</v>
      </c>
      <c r="S3761" t="s">
        <v>42809</v>
      </c>
      <c r="T3761" t="s">
        <v>44502</v>
      </c>
      <c r="U3761" t="s">
        <v>47935</v>
      </c>
      <c r="W3761" t="s">
        <v>40211</v>
      </c>
      <c r="X3761" t="s">
        <v>42678</v>
      </c>
    </row>
    <row r="3762" spans="1:24">
      <c r="A3762">
        <f>HYPERLINK("https://www.philgeps.gov.ph/GEPSNONPILOT/Tender/SplashBidNoticeAbstractUI.aspx?menuIndex=3&amp;refID=7186016&amp;Result=3","7186016")</f>
        <v>0</v>
      </c>
      <c r="B3762" t="s">
        <v>1372</v>
      </c>
      <c r="C3762" t="s">
        <v>7126</v>
      </c>
      <c r="D3762" t="s">
        <v>17209</v>
      </c>
      <c r="E3762" t="s">
        <v>20564</v>
      </c>
      <c r="F3762" t="s">
        <v>29372</v>
      </c>
      <c r="G3762" t="s">
        <v>29380</v>
      </c>
      <c r="H3762" t="s">
        <v>11048</v>
      </c>
      <c r="I3762" t="s">
        <v>4709</v>
      </c>
      <c r="J3762" t="s">
        <v>32065</v>
      </c>
      <c r="K3762" t="s">
        <v>38485</v>
      </c>
      <c r="M3762" t="s">
        <v>40209</v>
      </c>
      <c r="N3762" t="s">
        <v>42669</v>
      </c>
      <c r="O3762" t="s">
        <v>42670</v>
      </c>
      <c r="P3762">
        <v>0</v>
      </c>
      <c r="Q3762">
        <v>1</v>
      </c>
      <c r="R3762" t="s">
        <v>42676</v>
      </c>
      <c r="S3762" t="s">
        <v>42809</v>
      </c>
      <c r="T3762" t="s">
        <v>44446</v>
      </c>
      <c r="U3762" t="s">
        <v>47936</v>
      </c>
      <c r="W3762" t="s">
        <v>40209</v>
      </c>
      <c r="X3762" t="s">
        <v>42678</v>
      </c>
    </row>
    <row r="3763" spans="1:24">
      <c r="A3763">
        <f>HYPERLINK("https://www.philgeps.gov.ph/GEPSNONPILOT/Tender/SplashBidNoticeAbstractUI.aspx?menuIndex=3&amp;refID=7186000&amp;Result=3","7186000")</f>
        <v>0</v>
      </c>
      <c r="B3763" t="s">
        <v>1373</v>
      </c>
      <c r="C3763" t="s">
        <v>7127</v>
      </c>
      <c r="D3763" t="s">
        <v>17172</v>
      </c>
      <c r="E3763" t="s">
        <v>20565</v>
      </c>
      <c r="F3763" t="s">
        <v>29372</v>
      </c>
      <c r="G3763" t="s">
        <v>29380</v>
      </c>
      <c r="H3763" t="s">
        <v>29389</v>
      </c>
      <c r="I3763" t="s">
        <v>10408</v>
      </c>
      <c r="J3763" t="s">
        <v>32066</v>
      </c>
      <c r="K3763" t="s">
        <v>38496</v>
      </c>
      <c r="M3763" t="s">
        <v>40210</v>
      </c>
      <c r="N3763" t="s">
        <v>42669</v>
      </c>
      <c r="O3763" t="s">
        <v>42670</v>
      </c>
      <c r="P3763">
        <v>0</v>
      </c>
      <c r="Q3763">
        <v>0</v>
      </c>
      <c r="R3763" t="s">
        <v>42676</v>
      </c>
      <c r="S3763" t="s">
        <v>42809</v>
      </c>
      <c r="T3763" t="s">
        <v>44446</v>
      </c>
      <c r="U3763" t="s">
        <v>47933</v>
      </c>
      <c r="W3763" t="s">
        <v>40210</v>
      </c>
      <c r="X3763" t="s">
        <v>42678</v>
      </c>
    </row>
    <row r="3764" spans="1:24">
      <c r="A3764">
        <f>HYPERLINK("https://www.philgeps.gov.ph/GEPSNONPILOT/Tender/SplashBidNoticeAbstractUI.aspx?menuIndex=3&amp;refID=7186187&amp;Result=3","7186187")</f>
        <v>0</v>
      </c>
      <c r="B3764" t="s">
        <v>1373</v>
      </c>
      <c r="C3764" t="s">
        <v>7128</v>
      </c>
      <c r="D3764" t="s">
        <v>17172</v>
      </c>
      <c r="E3764" t="s">
        <v>20566</v>
      </c>
      <c r="F3764" t="s">
        <v>29372</v>
      </c>
      <c r="G3764" t="s">
        <v>29380</v>
      </c>
      <c r="H3764" t="s">
        <v>29389</v>
      </c>
      <c r="I3764" t="s">
        <v>10408</v>
      </c>
      <c r="J3764" t="s">
        <v>32067</v>
      </c>
      <c r="K3764" t="s">
        <v>38495</v>
      </c>
      <c r="M3764" t="s">
        <v>40210</v>
      </c>
      <c r="N3764" t="s">
        <v>42669</v>
      </c>
      <c r="O3764" t="s">
        <v>42670</v>
      </c>
      <c r="P3764">
        <v>0</v>
      </c>
      <c r="Q3764">
        <v>0</v>
      </c>
      <c r="R3764" t="s">
        <v>42676</v>
      </c>
      <c r="S3764" t="s">
        <v>42809</v>
      </c>
      <c r="T3764" t="s">
        <v>44480</v>
      </c>
      <c r="U3764" t="s">
        <v>47933</v>
      </c>
      <c r="W3764" t="s">
        <v>40210</v>
      </c>
      <c r="X3764" t="s">
        <v>42678</v>
      </c>
    </row>
    <row r="3765" spans="1:24">
      <c r="A3765">
        <f>HYPERLINK("https://www.philgeps.gov.ph/GEPSNONPILOT/Tender/SplashBidNoticeAbstractUI.aspx?menuIndex=3&amp;refID=7185939&amp;Result=3","7185939")</f>
        <v>0</v>
      </c>
      <c r="B3765" t="s">
        <v>1373</v>
      </c>
      <c r="C3765" t="s">
        <v>7129</v>
      </c>
      <c r="D3765" t="s">
        <v>17172</v>
      </c>
      <c r="E3765" t="s">
        <v>20567</v>
      </c>
      <c r="F3765" t="s">
        <v>29372</v>
      </c>
      <c r="G3765" t="s">
        <v>29380</v>
      </c>
      <c r="H3765" t="s">
        <v>11048</v>
      </c>
      <c r="I3765" t="s">
        <v>3839</v>
      </c>
      <c r="J3765" t="s">
        <v>32068</v>
      </c>
      <c r="K3765" t="s">
        <v>38488</v>
      </c>
      <c r="M3765" t="s">
        <v>40210</v>
      </c>
      <c r="N3765" t="s">
        <v>42669</v>
      </c>
      <c r="O3765" t="s">
        <v>42670</v>
      </c>
      <c r="P3765">
        <v>0</v>
      </c>
      <c r="Q3765">
        <v>4</v>
      </c>
      <c r="R3765" t="s">
        <v>42676</v>
      </c>
      <c r="S3765" t="s">
        <v>42809</v>
      </c>
      <c r="T3765" t="s">
        <v>44480</v>
      </c>
      <c r="U3765" t="s">
        <v>47937</v>
      </c>
      <c r="W3765" t="s">
        <v>40210</v>
      </c>
      <c r="X3765" t="s">
        <v>42678</v>
      </c>
    </row>
    <row r="3766" spans="1:24">
      <c r="A3766">
        <f>HYPERLINK("https://www.philgeps.gov.ph/GEPSNONPILOT/Tender/SplashBidNoticeAbstractUI.aspx?menuIndex=3&amp;refID=7185932&amp;Result=3","7185932")</f>
        <v>0</v>
      </c>
      <c r="B3766" t="s">
        <v>1084</v>
      </c>
      <c r="C3766" t="s">
        <v>7130</v>
      </c>
      <c r="D3766" t="s">
        <v>17179</v>
      </c>
      <c r="E3766" t="s">
        <v>20568</v>
      </c>
      <c r="F3766" t="s">
        <v>29372</v>
      </c>
      <c r="G3766" t="s">
        <v>29380</v>
      </c>
      <c r="H3766" t="s">
        <v>11048</v>
      </c>
      <c r="I3766" t="s">
        <v>4709</v>
      </c>
      <c r="J3766" t="s">
        <v>32069</v>
      </c>
      <c r="K3766" t="s">
        <v>38490</v>
      </c>
      <c r="M3766" t="s">
        <v>39891</v>
      </c>
      <c r="N3766" t="s">
        <v>42669</v>
      </c>
      <c r="O3766" t="s">
        <v>42670</v>
      </c>
      <c r="P3766">
        <v>0</v>
      </c>
      <c r="Q3766">
        <v>1</v>
      </c>
      <c r="R3766" t="s">
        <v>42676</v>
      </c>
      <c r="S3766" t="s">
        <v>42809</v>
      </c>
      <c r="T3766" t="s">
        <v>44399</v>
      </c>
      <c r="U3766" t="s">
        <v>47177</v>
      </c>
      <c r="W3766" t="s">
        <v>39891</v>
      </c>
      <c r="X3766" t="s">
        <v>42678</v>
      </c>
    </row>
    <row r="3767" spans="1:24">
      <c r="A3767">
        <f>HYPERLINK("https://www.philgeps.gov.ph/GEPSNONPILOT/Tender/SplashBidNoticeAbstractUI.aspx?menuIndex=3&amp;refID=7185920&amp;Result=3","7185920")</f>
        <v>0</v>
      </c>
      <c r="B3767" t="s">
        <v>1373</v>
      </c>
      <c r="C3767" t="s">
        <v>7131</v>
      </c>
      <c r="D3767" t="s">
        <v>17172</v>
      </c>
      <c r="E3767" t="s">
        <v>20569</v>
      </c>
      <c r="F3767" t="s">
        <v>29372</v>
      </c>
      <c r="G3767" t="s">
        <v>29380</v>
      </c>
      <c r="H3767" t="s">
        <v>11048</v>
      </c>
      <c r="I3767" t="s">
        <v>5383</v>
      </c>
      <c r="J3767" t="s">
        <v>32070</v>
      </c>
      <c r="K3767" t="s">
        <v>38488</v>
      </c>
      <c r="M3767" t="s">
        <v>40210</v>
      </c>
      <c r="N3767" t="s">
        <v>42669</v>
      </c>
      <c r="O3767" t="s">
        <v>42670</v>
      </c>
      <c r="P3767">
        <v>0</v>
      </c>
      <c r="Q3767">
        <v>1</v>
      </c>
      <c r="R3767" t="s">
        <v>42676</v>
      </c>
      <c r="S3767" t="s">
        <v>42809</v>
      </c>
      <c r="T3767" t="s">
        <v>44480</v>
      </c>
      <c r="U3767" t="s">
        <v>47938</v>
      </c>
      <c r="W3767" t="s">
        <v>40210</v>
      </c>
      <c r="X3767" t="s">
        <v>42678</v>
      </c>
    </row>
    <row r="3768" spans="1:24">
      <c r="A3768">
        <f>HYPERLINK("https://www.philgeps.gov.ph/GEPSNONPILOT/Tender/SplashBidNoticeAbstractUI.aspx?menuIndex=3&amp;refID=7186086&amp;Result=3","7186086")</f>
        <v>0</v>
      </c>
      <c r="B3768" t="s">
        <v>1375</v>
      </c>
      <c r="C3768" t="s">
        <v>7132</v>
      </c>
      <c r="D3768" t="s">
        <v>17141</v>
      </c>
      <c r="E3768" t="s">
        <v>17648</v>
      </c>
      <c r="F3768" t="s">
        <v>29372</v>
      </c>
      <c r="G3768" t="s">
        <v>29380</v>
      </c>
      <c r="H3768" t="s">
        <v>11048</v>
      </c>
      <c r="I3768" t="s">
        <v>3670</v>
      </c>
      <c r="J3768" t="s">
        <v>29525</v>
      </c>
      <c r="K3768" t="s">
        <v>38491</v>
      </c>
      <c r="M3768" t="s">
        <v>40212</v>
      </c>
      <c r="N3768" t="s">
        <v>42669</v>
      </c>
      <c r="O3768" t="s">
        <v>42670</v>
      </c>
      <c r="P3768">
        <v>0</v>
      </c>
      <c r="Q3768">
        <v>4</v>
      </c>
      <c r="R3768" t="s">
        <v>42676</v>
      </c>
      <c r="S3768" t="s">
        <v>42809</v>
      </c>
      <c r="T3768" t="s">
        <v>44568</v>
      </c>
      <c r="U3768" t="s">
        <v>47939</v>
      </c>
      <c r="V3768" t="s">
        <v>56710</v>
      </c>
      <c r="W3768" t="s">
        <v>40212</v>
      </c>
      <c r="X3768" t="s">
        <v>42678</v>
      </c>
    </row>
    <row r="3769" spans="1:24">
      <c r="A3769">
        <f>HYPERLINK("https://www.philgeps.gov.ph/GEPSNONPILOT/Tender/SplashBidNoticeAbstractUI.aspx?menuIndex=3&amp;refID=7185915&amp;Result=3","7185915")</f>
        <v>0</v>
      </c>
      <c r="B3769" t="s">
        <v>1376</v>
      </c>
      <c r="C3769" t="s">
        <v>7133</v>
      </c>
      <c r="D3769" t="s">
        <v>17161</v>
      </c>
      <c r="E3769" t="s">
        <v>20570</v>
      </c>
      <c r="F3769" t="s">
        <v>29372</v>
      </c>
      <c r="G3769" t="s">
        <v>29380</v>
      </c>
      <c r="H3769" t="s">
        <v>11048</v>
      </c>
      <c r="I3769" t="s">
        <v>29407</v>
      </c>
      <c r="J3769" t="s">
        <v>32071</v>
      </c>
      <c r="K3769" t="s">
        <v>38491</v>
      </c>
      <c r="M3769" t="s">
        <v>40213</v>
      </c>
      <c r="N3769" t="s">
        <v>42669</v>
      </c>
      <c r="O3769" t="s">
        <v>42670</v>
      </c>
      <c r="P3769">
        <v>0</v>
      </c>
      <c r="Q3769">
        <v>10</v>
      </c>
      <c r="R3769" t="s">
        <v>42676</v>
      </c>
      <c r="S3769" t="s">
        <v>42809</v>
      </c>
      <c r="T3769" t="s">
        <v>44399</v>
      </c>
      <c r="U3769" t="s">
        <v>47940</v>
      </c>
      <c r="V3769" t="s">
        <v>56711</v>
      </c>
      <c r="W3769" t="s">
        <v>40213</v>
      </c>
      <c r="X3769" t="s">
        <v>42678</v>
      </c>
    </row>
    <row r="3770" spans="1:24">
      <c r="A3770">
        <f>HYPERLINK("https://www.philgeps.gov.ph/GEPSNONPILOT/Tender/SplashBidNoticeAbstractUI.aspx?menuIndex=3&amp;refID=7185984&amp;Result=3","7185984")</f>
        <v>0</v>
      </c>
      <c r="B3770" t="s">
        <v>1367</v>
      </c>
      <c r="C3770" t="s">
        <v>7134</v>
      </c>
      <c r="D3770" t="s">
        <v>17156</v>
      </c>
      <c r="E3770" t="s">
        <v>20571</v>
      </c>
      <c r="F3770" t="s">
        <v>29372</v>
      </c>
      <c r="G3770" t="s">
        <v>29379</v>
      </c>
      <c r="H3770" t="s">
        <v>11048</v>
      </c>
      <c r="I3770" t="s">
        <v>3952</v>
      </c>
      <c r="J3770" t="s">
        <v>32072</v>
      </c>
      <c r="K3770" t="s">
        <v>38488</v>
      </c>
      <c r="M3770" t="s">
        <v>40204</v>
      </c>
      <c r="N3770" t="s">
        <v>42669</v>
      </c>
      <c r="O3770" t="s">
        <v>42670</v>
      </c>
      <c r="P3770">
        <v>0</v>
      </c>
      <c r="Q3770">
        <v>5</v>
      </c>
      <c r="R3770" t="s">
        <v>42676</v>
      </c>
      <c r="S3770" t="s">
        <v>42809</v>
      </c>
      <c r="T3770" t="s">
        <v>44469</v>
      </c>
      <c r="U3770" t="s">
        <v>47941</v>
      </c>
      <c r="W3770" t="s">
        <v>58046</v>
      </c>
      <c r="X3770" t="s">
        <v>42678</v>
      </c>
    </row>
    <row r="3771" spans="1:24">
      <c r="A3771">
        <f>HYPERLINK("https://www.philgeps.gov.ph/GEPSNONPILOT/Tender/SplashBidNoticeAbstractUI.aspx?menuIndex=3&amp;refID=7185781&amp;Result=3","7185781")</f>
        <v>0</v>
      </c>
      <c r="B3771" t="s">
        <v>1377</v>
      </c>
      <c r="C3771" t="s">
        <v>7135</v>
      </c>
      <c r="D3771" t="s">
        <v>17172</v>
      </c>
      <c r="E3771" t="s">
        <v>20572</v>
      </c>
      <c r="F3771" t="s">
        <v>29372</v>
      </c>
      <c r="G3771" t="s">
        <v>29380</v>
      </c>
      <c r="H3771" t="s">
        <v>11048</v>
      </c>
      <c r="I3771" t="s">
        <v>29425</v>
      </c>
      <c r="J3771" t="s">
        <v>32073</v>
      </c>
      <c r="K3771" t="s">
        <v>38485</v>
      </c>
      <c r="M3771" t="s">
        <v>40214</v>
      </c>
      <c r="N3771" t="s">
        <v>42669</v>
      </c>
      <c r="O3771" t="s">
        <v>42670</v>
      </c>
      <c r="P3771">
        <v>0</v>
      </c>
      <c r="Q3771">
        <v>7</v>
      </c>
      <c r="R3771" t="s">
        <v>42676</v>
      </c>
      <c r="S3771" t="s">
        <v>42809</v>
      </c>
      <c r="T3771" t="s">
        <v>44476</v>
      </c>
      <c r="U3771" t="s">
        <v>47942</v>
      </c>
      <c r="W3771" t="s">
        <v>40214</v>
      </c>
      <c r="X3771" t="s">
        <v>42678</v>
      </c>
    </row>
    <row r="3772" spans="1:24">
      <c r="A3772">
        <f>HYPERLINK("https://www.philgeps.gov.ph/GEPSNONPILOT/Tender/SplashBidNoticeAbstractUI.aspx?menuIndex=3&amp;refID=7185677&amp;Result=3","7185677")</f>
        <v>0</v>
      </c>
      <c r="B3772" t="s">
        <v>1378</v>
      </c>
      <c r="C3772" t="s">
        <v>4662</v>
      </c>
      <c r="D3772" t="s">
        <v>17171</v>
      </c>
      <c r="E3772" t="s">
        <v>20573</v>
      </c>
      <c r="F3772" t="s">
        <v>29372</v>
      </c>
      <c r="G3772" t="s">
        <v>29383</v>
      </c>
      <c r="H3772" t="s">
        <v>11048</v>
      </c>
      <c r="I3772" t="s">
        <v>5383</v>
      </c>
      <c r="J3772" t="s">
        <v>32074</v>
      </c>
      <c r="K3772" t="s">
        <v>38489</v>
      </c>
      <c r="M3772" t="s">
        <v>40215</v>
      </c>
      <c r="N3772" t="s">
        <v>42669</v>
      </c>
      <c r="O3772" t="s">
        <v>42670</v>
      </c>
      <c r="P3772">
        <v>0</v>
      </c>
      <c r="Q3772">
        <v>2</v>
      </c>
      <c r="R3772" t="s">
        <v>42676</v>
      </c>
      <c r="S3772" t="s">
        <v>42809</v>
      </c>
      <c r="T3772" t="s">
        <v>44642</v>
      </c>
      <c r="U3772" t="s">
        <v>47943</v>
      </c>
      <c r="W3772" t="s">
        <v>40215</v>
      </c>
      <c r="X3772" t="s">
        <v>42678</v>
      </c>
    </row>
    <row r="3773" spans="1:24">
      <c r="A3773">
        <f>HYPERLINK("https://www.philgeps.gov.ph/GEPSNONPILOT/Tender/SplashBidNoticeAbstractUI.aspx?menuIndex=3&amp;refID=7186251&amp;Result=3","7186251")</f>
        <v>0</v>
      </c>
      <c r="B3773" t="s">
        <v>1373</v>
      </c>
      <c r="C3773" t="s">
        <v>7136</v>
      </c>
      <c r="D3773" t="s">
        <v>17172</v>
      </c>
      <c r="E3773" t="s">
        <v>20574</v>
      </c>
      <c r="F3773" t="s">
        <v>29372</v>
      </c>
      <c r="G3773" t="s">
        <v>29380</v>
      </c>
      <c r="H3773" t="s">
        <v>29389</v>
      </c>
      <c r="I3773" t="s">
        <v>10408</v>
      </c>
      <c r="J3773" t="s">
        <v>32075</v>
      </c>
      <c r="K3773" t="s">
        <v>38487</v>
      </c>
      <c r="M3773" t="s">
        <v>40210</v>
      </c>
      <c r="N3773" t="s">
        <v>42669</v>
      </c>
      <c r="O3773" t="s">
        <v>42670</v>
      </c>
      <c r="P3773">
        <v>0</v>
      </c>
      <c r="Q3773">
        <v>0</v>
      </c>
      <c r="R3773" t="s">
        <v>42676</v>
      </c>
      <c r="S3773" t="s">
        <v>42809</v>
      </c>
      <c r="T3773" t="s">
        <v>44480</v>
      </c>
      <c r="U3773" t="s">
        <v>47933</v>
      </c>
      <c r="W3773" t="s">
        <v>40210</v>
      </c>
      <c r="X3773" t="s">
        <v>42678</v>
      </c>
    </row>
    <row r="3774" spans="1:24">
      <c r="A3774">
        <f>HYPERLINK("https://www.philgeps.gov.ph/GEPSNONPILOT/Tender/SplashBidNoticeAbstractUI.aspx?menuIndex=3&amp;refID=7185649&amp;Result=3","7185649")</f>
        <v>0</v>
      </c>
      <c r="B3774" t="s">
        <v>1379</v>
      </c>
      <c r="C3774" t="s">
        <v>7137</v>
      </c>
      <c r="D3774" t="s">
        <v>17172</v>
      </c>
      <c r="E3774" t="s">
        <v>20575</v>
      </c>
      <c r="F3774" t="s">
        <v>29372</v>
      </c>
      <c r="G3774" t="s">
        <v>29380</v>
      </c>
      <c r="H3774" t="s">
        <v>11048</v>
      </c>
      <c r="I3774" t="s">
        <v>3670</v>
      </c>
      <c r="J3774" t="s">
        <v>32076</v>
      </c>
      <c r="K3774" t="s">
        <v>38518</v>
      </c>
      <c r="M3774" t="s">
        <v>40216</v>
      </c>
      <c r="N3774" t="s">
        <v>42669</v>
      </c>
      <c r="O3774" t="s">
        <v>42670</v>
      </c>
      <c r="P3774">
        <v>0</v>
      </c>
      <c r="Q3774">
        <v>1</v>
      </c>
      <c r="R3774" t="s">
        <v>42676</v>
      </c>
      <c r="S3774" t="s">
        <v>42809</v>
      </c>
      <c r="T3774" t="s">
        <v>44414</v>
      </c>
      <c r="U3774" t="s">
        <v>47944</v>
      </c>
      <c r="W3774" t="s">
        <v>40216</v>
      </c>
      <c r="X3774" t="s">
        <v>42678</v>
      </c>
    </row>
    <row r="3775" spans="1:24">
      <c r="A3775">
        <f>HYPERLINK("https://www.philgeps.gov.ph/GEPSNONPILOT/Tender/SplashBidNoticeAbstractUI.aspx?menuIndex=3&amp;refID=7185600&amp;Result=3","7185600")</f>
        <v>0</v>
      </c>
      <c r="B3775" t="s">
        <v>1368</v>
      </c>
      <c r="C3775" t="s">
        <v>7138</v>
      </c>
      <c r="D3775" t="s">
        <v>17177</v>
      </c>
      <c r="E3775" t="s">
        <v>20576</v>
      </c>
      <c r="F3775" t="s">
        <v>29372</v>
      </c>
      <c r="G3775" t="s">
        <v>29379</v>
      </c>
      <c r="H3775" t="s">
        <v>11048</v>
      </c>
      <c r="I3775" t="s">
        <v>9642</v>
      </c>
      <c r="J3775" t="s">
        <v>30386</v>
      </c>
      <c r="K3775" t="s">
        <v>38485</v>
      </c>
      <c r="M3775" t="s">
        <v>40205</v>
      </c>
      <c r="N3775" t="s">
        <v>42669</v>
      </c>
      <c r="O3775" t="s">
        <v>42670</v>
      </c>
      <c r="P3775">
        <v>0</v>
      </c>
      <c r="Q3775">
        <v>8</v>
      </c>
      <c r="R3775" t="s">
        <v>42676</v>
      </c>
      <c r="S3775" t="s">
        <v>42809</v>
      </c>
      <c r="T3775" t="s">
        <v>44417</v>
      </c>
      <c r="U3775" t="s">
        <v>47945</v>
      </c>
      <c r="W3775" t="s">
        <v>40205</v>
      </c>
      <c r="X3775" t="s">
        <v>42678</v>
      </c>
    </row>
    <row r="3776" spans="1:24">
      <c r="A3776">
        <f>HYPERLINK("https://www.philgeps.gov.ph/GEPSNONPILOT/Tender/SplashBidNoticeAbstractUI.aspx?menuIndex=3&amp;refID=7185572&amp;Result=3","7185572")</f>
        <v>0</v>
      </c>
      <c r="B3776" t="s">
        <v>1368</v>
      </c>
      <c r="C3776" t="s">
        <v>7139</v>
      </c>
      <c r="D3776" t="s">
        <v>17177</v>
      </c>
      <c r="E3776" t="s">
        <v>20577</v>
      </c>
      <c r="F3776" t="s">
        <v>29372</v>
      </c>
      <c r="G3776" t="s">
        <v>29379</v>
      </c>
      <c r="H3776" t="s">
        <v>11048</v>
      </c>
      <c r="I3776" t="s">
        <v>9642</v>
      </c>
      <c r="J3776" t="s">
        <v>32077</v>
      </c>
      <c r="K3776" t="s">
        <v>38496</v>
      </c>
      <c r="M3776" t="s">
        <v>40205</v>
      </c>
      <c r="N3776" t="s">
        <v>42669</v>
      </c>
      <c r="O3776" t="s">
        <v>42670</v>
      </c>
      <c r="P3776">
        <v>0</v>
      </c>
      <c r="Q3776">
        <v>15</v>
      </c>
      <c r="R3776" t="s">
        <v>42676</v>
      </c>
      <c r="S3776" t="s">
        <v>42809</v>
      </c>
      <c r="T3776" t="s">
        <v>44417</v>
      </c>
      <c r="U3776" t="s">
        <v>47946</v>
      </c>
      <c r="W3776" t="s">
        <v>40205</v>
      </c>
      <c r="X3776" t="s">
        <v>42678</v>
      </c>
    </row>
    <row r="3777" spans="1:24">
      <c r="A3777">
        <f>HYPERLINK("https://www.philgeps.gov.ph/GEPSNONPILOT/Tender/SplashBidNoticeAbstractUI.aspx?menuIndex=3&amp;refID=7184951&amp;Result=3","7184951")</f>
        <v>0</v>
      </c>
      <c r="B3777" t="s">
        <v>1362</v>
      </c>
      <c r="C3777" t="s">
        <v>7140</v>
      </c>
      <c r="D3777" t="s">
        <v>17156</v>
      </c>
      <c r="E3777" t="s">
        <v>20578</v>
      </c>
      <c r="F3777" t="s">
        <v>29372</v>
      </c>
      <c r="G3777" t="s">
        <v>29380</v>
      </c>
      <c r="H3777" t="s">
        <v>11048</v>
      </c>
      <c r="I3777" t="s">
        <v>3670</v>
      </c>
      <c r="J3777" t="s">
        <v>32078</v>
      </c>
      <c r="K3777" t="s">
        <v>38490</v>
      </c>
      <c r="M3777" t="s">
        <v>40199</v>
      </c>
      <c r="N3777" t="s">
        <v>42669</v>
      </c>
      <c r="O3777" t="s">
        <v>42670</v>
      </c>
      <c r="P3777">
        <v>0</v>
      </c>
      <c r="Q3777">
        <v>1</v>
      </c>
      <c r="R3777" t="s">
        <v>42676</v>
      </c>
      <c r="S3777" t="s">
        <v>42809</v>
      </c>
      <c r="T3777" t="s">
        <v>44539</v>
      </c>
      <c r="U3777" t="s">
        <v>47947</v>
      </c>
      <c r="W3777" t="s">
        <v>58045</v>
      </c>
      <c r="X3777" t="s">
        <v>42678</v>
      </c>
    </row>
    <row r="3778" spans="1:24">
      <c r="A3778">
        <f>HYPERLINK("https://www.philgeps.gov.ph/GEPSNONPILOT/Tender/SplashBidNoticeAbstractUI.aspx?menuIndex=3&amp;refID=7185544&amp;Result=3","7185544")</f>
        <v>0</v>
      </c>
      <c r="B3778" t="s">
        <v>1368</v>
      </c>
      <c r="C3778" t="s">
        <v>7141</v>
      </c>
      <c r="D3778" t="s">
        <v>17177</v>
      </c>
      <c r="E3778" t="s">
        <v>20579</v>
      </c>
      <c r="F3778" t="s">
        <v>29372</v>
      </c>
      <c r="G3778" t="s">
        <v>29379</v>
      </c>
      <c r="H3778" t="s">
        <v>11048</v>
      </c>
      <c r="I3778" t="s">
        <v>7828</v>
      </c>
      <c r="J3778" t="s">
        <v>30408</v>
      </c>
      <c r="K3778" t="s">
        <v>38488</v>
      </c>
      <c r="M3778" t="s">
        <v>40205</v>
      </c>
      <c r="N3778" t="s">
        <v>42669</v>
      </c>
      <c r="O3778" t="s">
        <v>42670</v>
      </c>
      <c r="P3778">
        <v>0</v>
      </c>
      <c r="Q3778">
        <v>0</v>
      </c>
      <c r="R3778" t="s">
        <v>42676</v>
      </c>
      <c r="S3778" t="s">
        <v>42809</v>
      </c>
      <c r="T3778" t="s">
        <v>44417</v>
      </c>
      <c r="U3778" t="s">
        <v>47948</v>
      </c>
      <c r="W3778" t="s">
        <v>40205</v>
      </c>
      <c r="X3778" t="s">
        <v>42678</v>
      </c>
    </row>
    <row r="3779" spans="1:24">
      <c r="A3779">
        <f>HYPERLINK("https://www.philgeps.gov.ph/GEPSNONPILOT/Tender/SplashBidNoticeAbstractUI.aspx?menuIndex=3&amp;refID=7184922&amp;Result=3","7184922")</f>
        <v>0</v>
      </c>
      <c r="B3779" t="s">
        <v>1331</v>
      </c>
      <c r="C3779" t="s">
        <v>7142</v>
      </c>
      <c r="D3779" t="s">
        <v>17168</v>
      </c>
      <c r="E3779" t="s">
        <v>20580</v>
      </c>
      <c r="F3779" t="s">
        <v>29372</v>
      </c>
      <c r="G3779" t="s">
        <v>29380</v>
      </c>
      <c r="H3779" t="s">
        <v>29389</v>
      </c>
      <c r="I3779" t="s">
        <v>10408</v>
      </c>
      <c r="J3779" t="s">
        <v>32079</v>
      </c>
      <c r="K3779" t="s">
        <v>38526</v>
      </c>
      <c r="M3779" t="s">
        <v>40167</v>
      </c>
      <c r="N3779" t="s">
        <v>42669</v>
      </c>
      <c r="O3779" t="s">
        <v>42670</v>
      </c>
      <c r="P3779">
        <v>0</v>
      </c>
      <c r="Q3779">
        <v>0</v>
      </c>
      <c r="R3779" t="s">
        <v>42676</v>
      </c>
      <c r="S3779" t="s">
        <v>42809</v>
      </c>
      <c r="T3779" t="s">
        <v>44504</v>
      </c>
      <c r="U3779" t="s">
        <v>47949</v>
      </c>
      <c r="W3779" t="s">
        <v>40167</v>
      </c>
      <c r="X3779" t="s">
        <v>42678</v>
      </c>
    </row>
    <row r="3780" spans="1:24">
      <c r="A3780">
        <f>HYPERLINK("https://www.philgeps.gov.ph/GEPSNONPILOT/Tender/SplashBidNoticeAbstractUI.aspx?menuIndex=3&amp;refID=7184911&amp;Result=3","7184911")</f>
        <v>0</v>
      </c>
      <c r="B3780" t="s">
        <v>1331</v>
      </c>
      <c r="C3780" t="s">
        <v>7143</v>
      </c>
      <c r="D3780" t="s">
        <v>17168</v>
      </c>
      <c r="E3780" t="s">
        <v>20581</v>
      </c>
      <c r="F3780" t="s">
        <v>29372</v>
      </c>
      <c r="G3780" t="s">
        <v>29380</v>
      </c>
      <c r="H3780" t="s">
        <v>29389</v>
      </c>
      <c r="I3780" t="s">
        <v>10408</v>
      </c>
      <c r="J3780" t="s">
        <v>32080</v>
      </c>
      <c r="K3780" t="s">
        <v>38520</v>
      </c>
      <c r="M3780" t="s">
        <v>40167</v>
      </c>
      <c r="N3780" t="s">
        <v>42669</v>
      </c>
      <c r="O3780" t="s">
        <v>42670</v>
      </c>
      <c r="P3780">
        <v>0</v>
      </c>
      <c r="Q3780">
        <v>0</v>
      </c>
      <c r="R3780" t="s">
        <v>42676</v>
      </c>
      <c r="S3780" t="s">
        <v>42809</v>
      </c>
      <c r="T3780" t="s">
        <v>44504</v>
      </c>
      <c r="U3780" t="s">
        <v>47950</v>
      </c>
      <c r="W3780" t="s">
        <v>40167</v>
      </c>
      <c r="X3780" t="s">
        <v>42678</v>
      </c>
    </row>
    <row r="3781" spans="1:24">
      <c r="A3781">
        <f>HYPERLINK("https://www.philgeps.gov.ph/GEPSNONPILOT/Tender/SplashBidNoticeAbstractUI.aspx?menuIndex=3&amp;refID=7184891&amp;Result=3","7184891")</f>
        <v>0</v>
      </c>
      <c r="B3781" t="s">
        <v>1340</v>
      </c>
      <c r="C3781" t="s">
        <v>7144</v>
      </c>
      <c r="D3781" t="s">
        <v>17195</v>
      </c>
      <c r="E3781" t="s">
        <v>20582</v>
      </c>
      <c r="F3781" t="s">
        <v>29372</v>
      </c>
      <c r="G3781" t="s">
        <v>29380</v>
      </c>
      <c r="H3781" t="s">
        <v>11048</v>
      </c>
      <c r="I3781" t="s">
        <v>29393</v>
      </c>
      <c r="J3781" t="s">
        <v>32081</v>
      </c>
      <c r="K3781" t="s">
        <v>38485</v>
      </c>
      <c r="M3781" t="s">
        <v>40176</v>
      </c>
      <c r="N3781" t="s">
        <v>42669</v>
      </c>
      <c r="O3781" t="s">
        <v>42670</v>
      </c>
      <c r="P3781">
        <v>0</v>
      </c>
      <c r="Q3781">
        <v>0</v>
      </c>
      <c r="R3781" t="s">
        <v>42676</v>
      </c>
      <c r="S3781" t="s">
        <v>42809</v>
      </c>
      <c r="T3781" t="s">
        <v>44539</v>
      </c>
      <c r="U3781" t="s">
        <v>47951</v>
      </c>
      <c r="V3781" t="s">
        <v>56712</v>
      </c>
      <c r="W3781" t="s">
        <v>40176</v>
      </c>
      <c r="X3781" t="s">
        <v>42678</v>
      </c>
    </row>
    <row r="3782" spans="1:24">
      <c r="A3782">
        <f>HYPERLINK("https://www.philgeps.gov.ph/GEPSNONPILOT/Tender/SplashBidNoticeAbstractUI.aspx?menuIndex=3&amp;refID=7184861&amp;Result=3","7184861")</f>
        <v>0</v>
      </c>
      <c r="B3782" t="s">
        <v>1353</v>
      </c>
      <c r="C3782" t="s">
        <v>7145</v>
      </c>
      <c r="D3782" t="s">
        <v>17198</v>
      </c>
      <c r="E3782" t="s">
        <v>20583</v>
      </c>
      <c r="F3782" t="s">
        <v>29372</v>
      </c>
      <c r="G3782" t="s">
        <v>29380</v>
      </c>
      <c r="H3782" t="s">
        <v>11048</v>
      </c>
      <c r="I3782" t="s">
        <v>4709</v>
      </c>
      <c r="J3782" t="s">
        <v>32082</v>
      </c>
      <c r="K3782" t="s">
        <v>38488</v>
      </c>
      <c r="M3782" t="s">
        <v>40189</v>
      </c>
      <c r="N3782" t="s">
        <v>42669</v>
      </c>
      <c r="O3782" t="s">
        <v>42670</v>
      </c>
      <c r="P3782">
        <v>0</v>
      </c>
      <c r="Q3782">
        <v>0</v>
      </c>
      <c r="R3782" t="s">
        <v>42676</v>
      </c>
      <c r="S3782" t="s">
        <v>42809</v>
      </c>
      <c r="T3782" t="s">
        <v>44503</v>
      </c>
      <c r="U3782" t="s">
        <v>46058</v>
      </c>
      <c r="W3782" t="s">
        <v>40189</v>
      </c>
      <c r="X3782" t="s">
        <v>42678</v>
      </c>
    </row>
    <row r="3783" spans="1:24">
      <c r="A3783">
        <f>HYPERLINK("https://www.philgeps.gov.ph/GEPSNONPILOT/Tender/SplashBidNoticeAbstractUI.aspx?menuIndex=3&amp;refID=7185667&amp;Result=3","7185667")</f>
        <v>0</v>
      </c>
      <c r="B3783" t="s">
        <v>1368</v>
      </c>
      <c r="C3783" t="s">
        <v>7146</v>
      </c>
      <c r="D3783" t="s">
        <v>17177</v>
      </c>
      <c r="E3783" t="s">
        <v>20584</v>
      </c>
      <c r="F3783" t="s">
        <v>29372</v>
      </c>
      <c r="G3783" t="s">
        <v>29379</v>
      </c>
      <c r="H3783" t="s">
        <v>11048</v>
      </c>
      <c r="I3783" t="s">
        <v>29393</v>
      </c>
      <c r="J3783" t="s">
        <v>32083</v>
      </c>
      <c r="K3783" t="s">
        <v>38488</v>
      </c>
      <c r="M3783" t="s">
        <v>40205</v>
      </c>
      <c r="N3783" t="s">
        <v>42669</v>
      </c>
      <c r="O3783" t="s">
        <v>42670</v>
      </c>
      <c r="P3783">
        <v>0</v>
      </c>
      <c r="Q3783">
        <v>0</v>
      </c>
      <c r="R3783" t="s">
        <v>42676</v>
      </c>
      <c r="S3783" t="s">
        <v>42809</v>
      </c>
      <c r="T3783" t="s">
        <v>44417</v>
      </c>
      <c r="U3783" t="s">
        <v>47952</v>
      </c>
      <c r="W3783" t="s">
        <v>40205</v>
      </c>
      <c r="X3783" t="s">
        <v>42678</v>
      </c>
    </row>
    <row r="3784" spans="1:24">
      <c r="A3784">
        <f>HYPERLINK("https://www.philgeps.gov.ph/GEPSNONPILOT/Tender/SplashBidNoticeAbstractUI.aspx?menuIndex=3&amp;refID=7186037&amp;Result=3","7186037")</f>
        <v>0</v>
      </c>
      <c r="B3784" t="s">
        <v>1380</v>
      </c>
      <c r="C3784" t="s">
        <v>7147</v>
      </c>
      <c r="D3784" t="s">
        <v>17200</v>
      </c>
      <c r="E3784" t="s">
        <v>20585</v>
      </c>
      <c r="F3784" t="s">
        <v>29372</v>
      </c>
      <c r="G3784" t="s">
        <v>29380</v>
      </c>
      <c r="H3784" t="s">
        <v>29389</v>
      </c>
      <c r="I3784" t="s">
        <v>10408</v>
      </c>
      <c r="J3784" t="s">
        <v>32084</v>
      </c>
      <c r="K3784" t="s">
        <v>38531</v>
      </c>
      <c r="M3784" t="s">
        <v>40217</v>
      </c>
      <c r="N3784" t="s">
        <v>42669</v>
      </c>
      <c r="O3784" t="s">
        <v>42670</v>
      </c>
      <c r="P3784">
        <v>0</v>
      </c>
      <c r="Q3784">
        <v>0</v>
      </c>
      <c r="R3784" t="s">
        <v>42676</v>
      </c>
      <c r="S3784" t="s">
        <v>42809</v>
      </c>
      <c r="T3784" t="s">
        <v>44368</v>
      </c>
      <c r="U3784" t="s">
        <v>47953</v>
      </c>
      <c r="V3784" t="s">
        <v>56713</v>
      </c>
      <c r="W3784" t="s">
        <v>40217</v>
      </c>
      <c r="X3784" t="s">
        <v>42678</v>
      </c>
    </row>
    <row r="3785" spans="1:24">
      <c r="A3785">
        <f>HYPERLINK("https://www.philgeps.gov.ph/GEPSNONPILOT/Tender/SplashBidNoticeAbstractUI.aspx?menuIndex=3&amp;refID=7185702&amp;Result=3","7185702")</f>
        <v>0</v>
      </c>
      <c r="B3785" t="s">
        <v>1368</v>
      </c>
      <c r="C3785" t="s">
        <v>7148</v>
      </c>
      <c r="D3785" t="s">
        <v>17177</v>
      </c>
      <c r="E3785" t="s">
        <v>20586</v>
      </c>
      <c r="F3785" t="s">
        <v>29372</v>
      </c>
      <c r="G3785" t="s">
        <v>29382</v>
      </c>
      <c r="H3785" t="s">
        <v>11048</v>
      </c>
      <c r="I3785" t="s">
        <v>4487</v>
      </c>
      <c r="J3785" t="s">
        <v>32085</v>
      </c>
      <c r="K3785" t="s">
        <v>38503</v>
      </c>
      <c r="M3785" t="s">
        <v>40205</v>
      </c>
      <c r="N3785" t="s">
        <v>42669</v>
      </c>
      <c r="O3785" t="s">
        <v>42670</v>
      </c>
      <c r="P3785">
        <v>0</v>
      </c>
      <c r="Q3785">
        <v>2</v>
      </c>
      <c r="R3785" t="s">
        <v>42676</v>
      </c>
      <c r="S3785" t="s">
        <v>42809</v>
      </c>
      <c r="T3785" t="s">
        <v>44417</v>
      </c>
      <c r="U3785" t="s">
        <v>47954</v>
      </c>
      <c r="W3785" t="s">
        <v>40205</v>
      </c>
      <c r="X3785" t="s">
        <v>42678</v>
      </c>
    </row>
    <row r="3786" spans="1:24">
      <c r="A3786">
        <f>HYPERLINK("https://www.philgeps.gov.ph/GEPSNONPILOT/Tender/SplashBidNoticeAbstractUI.aspx?menuIndex=3&amp;refID=7186338&amp;Result=3","7186338")</f>
        <v>0</v>
      </c>
      <c r="B3786" t="s">
        <v>48</v>
      </c>
      <c r="C3786" t="s">
        <v>7149</v>
      </c>
      <c r="D3786" t="s">
        <v>17158</v>
      </c>
      <c r="E3786" t="s">
        <v>20587</v>
      </c>
      <c r="F3786" t="s">
        <v>29372</v>
      </c>
      <c r="G3786" t="s">
        <v>29380</v>
      </c>
      <c r="H3786" t="s">
        <v>11048</v>
      </c>
      <c r="I3786" t="s">
        <v>9469</v>
      </c>
      <c r="J3786" t="s">
        <v>32086</v>
      </c>
      <c r="K3786" t="s">
        <v>38485</v>
      </c>
      <c r="M3786" t="s">
        <v>38801</v>
      </c>
      <c r="N3786" t="s">
        <v>42669</v>
      </c>
      <c r="O3786" t="s">
        <v>42670</v>
      </c>
      <c r="P3786">
        <v>0</v>
      </c>
      <c r="Q3786">
        <v>3</v>
      </c>
      <c r="R3786" t="s">
        <v>42676</v>
      </c>
      <c r="S3786" t="s">
        <v>42809</v>
      </c>
      <c r="T3786" t="s">
        <v>44542</v>
      </c>
      <c r="U3786" t="s">
        <v>47955</v>
      </c>
      <c r="W3786" t="s">
        <v>38801</v>
      </c>
      <c r="X3786" t="s">
        <v>42678</v>
      </c>
    </row>
    <row r="3787" spans="1:24">
      <c r="A3787">
        <f>HYPERLINK("https://www.philgeps.gov.ph/GEPSNONPILOT/Tender/SplashBidNoticeAbstractUI.aspx?menuIndex=3&amp;refID=7184558&amp;Result=3","7184558")</f>
        <v>0</v>
      </c>
      <c r="B3787" t="s">
        <v>1341</v>
      </c>
      <c r="C3787" t="s">
        <v>7150</v>
      </c>
      <c r="D3787" t="s">
        <v>17141</v>
      </c>
      <c r="E3787" t="s">
        <v>20588</v>
      </c>
      <c r="F3787" t="s">
        <v>29372</v>
      </c>
      <c r="G3787" t="s">
        <v>29380</v>
      </c>
      <c r="H3787" t="s">
        <v>11048</v>
      </c>
      <c r="I3787" t="s">
        <v>9469</v>
      </c>
      <c r="J3787" t="s">
        <v>32087</v>
      </c>
      <c r="K3787" t="s">
        <v>38490</v>
      </c>
      <c r="M3787" t="s">
        <v>40177</v>
      </c>
      <c r="N3787" t="s">
        <v>42669</v>
      </c>
      <c r="O3787" t="s">
        <v>42670</v>
      </c>
      <c r="P3787">
        <v>0</v>
      </c>
      <c r="Q3787">
        <v>24</v>
      </c>
      <c r="R3787" t="s">
        <v>42676</v>
      </c>
      <c r="S3787" t="s">
        <v>42809</v>
      </c>
      <c r="T3787" t="s">
        <v>44446</v>
      </c>
      <c r="U3787" t="s">
        <v>47956</v>
      </c>
      <c r="W3787" t="s">
        <v>40177</v>
      </c>
      <c r="X3787" t="s">
        <v>42678</v>
      </c>
    </row>
    <row r="3788" spans="1:24">
      <c r="A3788">
        <f>HYPERLINK("https://www.philgeps.gov.ph/GEPSNONPILOT/Tender/SplashBidNoticeAbstractUI.aspx?menuIndex=3&amp;refID=7184890&amp;Result=3","7184890")</f>
        <v>0</v>
      </c>
      <c r="B3788" t="s">
        <v>1331</v>
      </c>
      <c r="C3788" t="s">
        <v>7151</v>
      </c>
      <c r="D3788" t="s">
        <v>17168</v>
      </c>
      <c r="E3788" t="s">
        <v>20589</v>
      </c>
      <c r="F3788" t="s">
        <v>29372</v>
      </c>
      <c r="G3788" t="s">
        <v>29380</v>
      </c>
      <c r="H3788" t="s">
        <v>29389</v>
      </c>
      <c r="I3788" t="s">
        <v>10408</v>
      </c>
      <c r="J3788" t="s">
        <v>29788</v>
      </c>
      <c r="K3788" t="s">
        <v>38564</v>
      </c>
      <c r="M3788" t="s">
        <v>40167</v>
      </c>
      <c r="N3788" t="s">
        <v>42669</v>
      </c>
      <c r="O3788" t="s">
        <v>42670</v>
      </c>
      <c r="P3788">
        <v>0</v>
      </c>
      <c r="Q3788">
        <v>0</v>
      </c>
      <c r="R3788" t="s">
        <v>42676</v>
      </c>
      <c r="S3788" t="s">
        <v>42809</v>
      </c>
      <c r="T3788" t="s">
        <v>44504</v>
      </c>
      <c r="U3788" t="s">
        <v>47957</v>
      </c>
      <c r="W3788" t="s">
        <v>40167</v>
      </c>
      <c r="X3788" t="s">
        <v>42678</v>
      </c>
    </row>
    <row r="3789" spans="1:24">
      <c r="A3789">
        <f>HYPERLINK("https://www.philgeps.gov.ph/GEPSNONPILOT/Tender/SplashBidNoticeAbstractUI.aspx?menuIndex=3&amp;refID=7184854&amp;Result=3","7184854")</f>
        <v>0</v>
      </c>
      <c r="B3789" t="s">
        <v>1381</v>
      </c>
      <c r="C3789" t="s">
        <v>7152</v>
      </c>
      <c r="D3789" t="s">
        <v>17177</v>
      </c>
      <c r="E3789" t="s">
        <v>20590</v>
      </c>
      <c r="F3789" t="s">
        <v>29372</v>
      </c>
      <c r="G3789" t="s">
        <v>29380</v>
      </c>
      <c r="H3789" t="s">
        <v>11048</v>
      </c>
      <c r="I3789" t="s">
        <v>29433</v>
      </c>
      <c r="J3789" t="s">
        <v>32088</v>
      </c>
      <c r="K3789" t="s">
        <v>38522</v>
      </c>
      <c r="M3789" t="s">
        <v>40218</v>
      </c>
      <c r="N3789" t="s">
        <v>42669</v>
      </c>
      <c r="O3789" t="s">
        <v>42670</v>
      </c>
      <c r="P3789">
        <v>0</v>
      </c>
      <c r="Q3789">
        <v>9</v>
      </c>
      <c r="R3789" t="s">
        <v>42676</v>
      </c>
      <c r="S3789" t="s">
        <v>42809</v>
      </c>
      <c r="T3789" t="s">
        <v>44389</v>
      </c>
      <c r="U3789" t="s">
        <v>47958</v>
      </c>
      <c r="W3789" t="s">
        <v>40218</v>
      </c>
      <c r="X3789" t="s">
        <v>42678</v>
      </c>
    </row>
    <row r="3790" spans="1:24">
      <c r="A3790">
        <f>HYPERLINK("https://www.philgeps.gov.ph/GEPSNONPILOT/Tender/SplashBidNoticeAbstractUI.aspx?menuIndex=3&amp;refID=7186597&amp;Result=3","7186597")</f>
        <v>0</v>
      </c>
      <c r="B3790" t="s">
        <v>1382</v>
      </c>
      <c r="C3790" t="s">
        <v>7153</v>
      </c>
      <c r="D3790" t="s">
        <v>17149</v>
      </c>
      <c r="E3790" t="s">
        <v>20591</v>
      </c>
      <c r="F3790" t="s">
        <v>29372</v>
      </c>
      <c r="G3790" t="s">
        <v>29380</v>
      </c>
      <c r="H3790" t="s">
        <v>29389</v>
      </c>
      <c r="I3790" t="s">
        <v>10408</v>
      </c>
      <c r="J3790" t="s">
        <v>32089</v>
      </c>
      <c r="K3790" t="s">
        <v>38495</v>
      </c>
      <c r="M3790" t="s">
        <v>40219</v>
      </c>
      <c r="N3790" t="s">
        <v>42669</v>
      </c>
      <c r="O3790" t="s">
        <v>42670</v>
      </c>
      <c r="P3790">
        <v>0</v>
      </c>
      <c r="Q3790">
        <v>1</v>
      </c>
      <c r="R3790" t="s">
        <v>42676</v>
      </c>
      <c r="S3790" t="s">
        <v>42809</v>
      </c>
      <c r="T3790" t="s">
        <v>44368</v>
      </c>
      <c r="U3790" t="s">
        <v>47959</v>
      </c>
      <c r="W3790" t="s">
        <v>40219</v>
      </c>
      <c r="X3790" t="s">
        <v>42678</v>
      </c>
    </row>
    <row r="3791" spans="1:24">
      <c r="A3791">
        <f>HYPERLINK("https://www.philgeps.gov.ph/GEPSNONPILOT/Tender/SplashBidNoticeAbstractUI.aspx?menuIndex=3&amp;refID=7186594&amp;Result=3","7186594")</f>
        <v>0</v>
      </c>
      <c r="B3791" t="s">
        <v>1383</v>
      </c>
      <c r="C3791" t="s">
        <v>7154</v>
      </c>
      <c r="D3791" t="s">
        <v>17169</v>
      </c>
      <c r="E3791" t="s">
        <v>20592</v>
      </c>
      <c r="F3791" t="s">
        <v>29372</v>
      </c>
      <c r="G3791" t="s">
        <v>29380</v>
      </c>
      <c r="H3791" t="s">
        <v>29389</v>
      </c>
      <c r="I3791" t="s">
        <v>10408</v>
      </c>
      <c r="J3791" t="s">
        <v>30161</v>
      </c>
      <c r="K3791" t="s">
        <v>38496</v>
      </c>
      <c r="M3791" t="s">
        <v>40220</v>
      </c>
      <c r="N3791" t="s">
        <v>42669</v>
      </c>
      <c r="O3791" t="s">
        <v>42670</v>
      </c>
      <c r="P3791">
        <v>0</v>
      </c>
      <c r="Q3791">
        <v>0</v>
      </c>
      <c r="R3791" t="s">
        <v>42676</v>
      </c>
      <c r="S3791" t="s">
        <v>42809</v>
      </c>
      <c r="T3791" t="s">
        <v>44587</v>
      </c>
      <c r="U3791" t="s">
        <v>47960</v>
      </c>
      <c r="V3791" t="s">
        <v>56714</v>
      </c>
      <c r="W3791" t="s">
        <v>40220</v>
      </c>
      <c r="X3791" t="s">
        <v>42678</v>
      </c>
    </row>
    <row r="3792" spans="1:24">
      <c r="A3792">
        <f>HYPERLINK("https://www.philgeps.gov.ph/GEPSNONPILOT/Tender/SplashBidNoticeAbstractUI.aspx?menuIndex=3&amp;refID=7186587&amp;Result=3","7186587")</f>
        <v>0</v>
      </c>
      <c r="B3792" t="s">
        <v>1272</v>
      </c>
      <c r="C3792" t="s">
        <v>7155</v>
      </c>
      <c r="D3792" t="s">
        <v>17172</v>
      </c>
      <c r="E3792" t="s">
        <v>20593</v>
      </c>
      <c r="F3792" t="s">
        <v>29372</v>
      </c>
      <c r="G3792" t="s">
        <v>29383</v>
      </c>
      <c r="H3792" t="s">
        <v>11048</v>
      </c>
      <c r="I3792" t="s">
        <v>3629</v>
      </c>
      <c r="J3792" t="s">
        <v>30024</v>
      </c>
      <c r="K3792" t="s">
        <v>38491</v>
      </c>
      <c r="M3792" t="s">
        <v>40221</v>
      </c>
      <c r="N3792" t="s">
        <v>42669</v>
      </c>
      <c r="O3792" t="s">
        <v>42670</v>
      </c>
      <c r="P3792">
        <v>0</v>
      </c>
      <c r="Q3792">
        <v>0</v>
      </c>
      <c r="R3792" t="s">
        <v>42676</v>
      </c>
      <c r="S3792" t="s">
        <v>42809</v>
      </c>
      <c r="T3792" t="s">
        <v>44419</v>
      </c>
      <c r="U3792" t="s">
        <v>47961</v>
      </c>
      <c r="W3792" t="s">
        <v>40221</v>
      </c>
      <c r="X3792" t="s">
        <v>42678</v>
      </c>
    </row>
    <row r="3793" spans="1:24">
      <c r="A3793">
        <f>HYPERLINK("https://www.philgeps.gov.ph/GEPSNONPILOT/Tender/SplashBidNoticeAbstractUI.aspx?menuIndex=3&amp;refID=7186585&amp;Result=3","7186585")</f>
        <v>0</v>
      </c>
      <c r="B3793" t="s">
        <v>1272</v>
      </c>
      <c r="C3793" t="s">
        <v>7156</v>
      </c>
      <c r="D3793" t="s">
        <v>17172</v>
      </c>
      <c r="E3793" t="s">
        <v>20594</v>
      </c>
      <c r="F3793" t="s">
        <v>29372</v>
      </c>
      <c r="G3793" t="s">
        <v>29383</v>
      </c>
      <c r="H3793" t="s">
        <v>11048</v>
      </c>
      <c r="I3793" t="s">
        <v>29424</v>
      </c>
      <c r="J3793" t="s">
        <v>32090</v>
      </c>
      <c r="K3793" t="s">
        <v>38491</v>
      </c>
      <c r="M3793" t="s">
        <v>40221</v>
      </c>
      <c r="N3793" t="s">
        <v>42669</v>
      </c>
      <c r="O3793" t="s">
        <v>42670</v>
      </c>
      <c r="P3793">
        <v>0</v>
      </c>
      <c r="Q3793">
        <v>0</v>
      </c>
      <c r="R3793" t="s">
        <v>42676</v>
      </c>
      <c r="S3793" t="s">
        <v>42809</v>
      </c>
      <c r="T3793" t="s">
        <v>44419</v>
      </c>
      <c r="U3793" t="s">
        <v>47962</v>
      </c>
      <c r="W3793" t="s">
        <v>40221</v>
      </c>
      <c r="X3793" t="s">
        <v>42678</v>
      </c>
    </row>
    <row r="3794" spans="1:24">
      <c r="A3794">
        <f>HYPERLINK("https://www.philgeps.gov.ph/GEPSNONPILOT/Tender/SplashBidNoticeAbstractUI.aspx?menuIndex=3&amp;refID=7185908&amp;Result=3","7185908")</f>
        <v>0</v>
      </c>
      <c r="B3794" t="s">
        <v>1324</v>
      </c>
      <c r="C3794" t="s">
        <v>7157</v>
      </c>
      <c r="D3794" t="s">
        <v>17173</v>
      </c>
      <c r="E3794" t="s">
        <v>20595</v>
      </c>
      <c r="F3794" t="s">
        <v>29372</v>
      </c>
      <c r="G3794" t="s">
        <v>29380</v>
      </c>
      <c r="H3794" t="s">
        <v>11048</v>
      </c>
      <c r="I3794" t="s">
        <v>29447</v>
      </c>
      <c r="J3794" t="s">
        <v>30046</v>
      </c>
      <c r="K3794" t="s">
        <v>38485</v>
      </c>
      <c r="M3794" t="s">
        <v>40160</v>
      </c>
      <c r="N3794" t="s">
        <v>42669</v>
      </c>
      <c r="O3794" t="s">
        <v>42670</v>
      </c>
      <c r="P3794">
        <v>0</v>
      </c>
      <c r="Q3794">
        <v>1</v>
      </c>
      <c r="R3794" t="s">
        <v>42676</v>
      </c>
      <c r="S3794" t="s">
        <v>42809</v>
      </c>
      <c r="T3794" t="s">
        <v>44476</v>
      </c>
      <c r="U3794" t="s">
        <v>47963</v>
      </c>
      <c r="W3794" t="s">
        <v>40160</v>
      </c>
      <c r="X3794" t="s">
        <v>42678</v>
      </c>
    </row>
    <row r="3795" spans="1:24">
      <c r="A3795">
        <f>HYPERLINK("https://www.philgeps.gov.ph/GEPSNONPILOT/Tender/SplashBidNoticeAbstractUI.aspx?menuIndex=3&amp;refID=7186591&amp;Result=3","7186591")</f>
        <v>0</v>
      </c>
      <c r="B3795" t="s">
        <v>1272</v>
      </c>
      <c r="C3795" t="s">
        <v>7158</v>
      </c>
      <c r="D3795" t="s">
        <v>17172</v>
      </c>
      <c r="E3795" t="s">
        <v>20596</v>
      </c>
      <c r="F3795" t="s">
        <v>29372</v>
      </c>
      <c r="G3795" t="s">
        <v>29383</v>
      </c>
      <c r="H3795" t="s">
        <v>11048</v>
      </c>
      <c r="I3795" t="s">
        <v>3629</v>
      </c>
      <c r="J3795" t="s">
        <v>29799</v>
      </c>
      <c r="K3795" t="s">
        <v>38491</v>
      </c>
      <c r="M3795" t="s">
        <v>40221</v>
      </c>
      <c r="N3795" t="s">
        <v>42669</v>
      </c>
      <c r="O3795" t="s">
        <v>42670</v>
      </c>
      <c r="P3795">
        <v>0</v>
      </c>
      <c r="Q3795">
        <v>0</v>
      </c>
      <c r="R3795" t="s">
        <v>42676</v>
      </c>
      <c r="S3795" t="s">
        <v>42809</v>
      </c>
      <c r="T3795" t="s">
        <v>44419</v>
      </c>
      <c r="U3795" t="s">
        <v>47964</v>
      </c>
      <c r="W3795" t="s">
        <v>40221</v>
      </c>
      <c r="X3795" t="s">
        <v>42678</v>
      </c>
    </row>
    <row r="3796" spans="1:24">
      <c r="A3796">
        <f>HYPERLINK("https://www.philgeps.gov.ph/GEPSNONPILOT/Tender/SplashBidNoticeAbstractUI.aspx?menuIndex=3&amp;refID=7186599&amp;Result=3","7186599")</f>
        <v>0</v>
      </c>
      <c r="B3796" t="s">
        <v>1272</v>
      </c>
      <c r="C3796" t="s">
        <v>7159</v>
      </c>
      <c r="D3796" t="s">
        <v>17172</v>
      </c>
      <c r="E3796" t="s">
        <v>20597</v>
      </c>
      <c r="F3796" t="s">
        <v>29372</v>
      </c>
      <c r="G3796" t="s">
        <v>29383</v>
      </c>
      <c r="H3796" t="s">
        <v>11048</v>
      </c>
      <c r="I3796" t="s">
        <v>29406</v>
      </c>
      <c r="J3796" t="s">
        <v>32091</v>
      </c>
      <c r="K3796" t="s">
        <v>38491</v>
      </c>
      <c r="M3796" t="s">
        <v>40221</v>
      </c>
      <c r="N3796" t="s">
        <v>42669</v>
      </c>
      <c r="O3796" t="s">
        <v>42670</v>
      </c>
      <c r="P3796">
        <v>0</v>
      </c>
      <c r="Q3796">
        <v>3</v>
      </c>
      <c r="R3796" t="s">
        <v>42676</v>
      </c>
      <c r="S3796" t="s">
        <v>42809</v>
      </c>
      <c r="T3796" t="s">
        <v>44419</v>
      </c>
      <c r="U3796" t="s">
        <v>47965</v>
      </c>
      <c r="W3796" t="s">
        <v>40221</v>
      </c>
      <c r="X3796" t="s">
        <v>42678</v>
      </c>
    </row>
    <row r="3797" spans="1:24">
      <c r="A3797">
        <f>HYPERLINK("https://www.philgeps.gov.ph/GEPSNONPILOT/Tender/SplashBidNoticeAbstractUI.aspx?menuIndex=3&amp;refID=7186569&amp;Result=3","7186569")</f>
        <v>0</v>
      </c>
      <c r="B3797" t="s">
        <v>1383</v>
      </c>
      <c r="C3797" t="s">
        <v>7160</v>
      </c>
      <c r="D3797" t="s">
        <v>17169</v>
      </c>
      <c r="E3797" t="s">
        <v>20592</v>
      </c>
      <c r="F3797" t="s">
        <v>29372</v>
      </c>
      <c r="G3797" t="s">
        <v>29380</v>
      </c>
      <c r="H3797" t="s">
        <v>29389</v>
      </c>
      <c r="I3797" t="s">
        <v>10408</v>
      </c>
      <c r="J3797" t="s">
        <v>29543</v>
      </c>
      <c r="K3797" t="s">
        <v>38496</v>
      </c>
      <c r="M3797" t="s">
        <v>40220</v>
      </c>
      <c r="N3797" t="s">
        <v>42669</v>
      </c>
      <c r="O3797" t="s">
        <v>42670</v>
      </c>
      <c r="P3797">
        <v>0</v>
      </c>
      <c r="Q3797">
        <v>0</v>
      </c>
      <c r="R3797" t="s">
        <v>42676</v>
      </c>
      <c r="S3797" t="s">
        <v>42809</v>
      </c>
      <c r="T3797" t="s">
        <v>44587</v>
      </c>
      <c r="U3797" t="s">
        <v>47960</v>
      </c>
      <c r="V3797" t="s">
        <v>56715</v>
      </c>
      <c r="W3797" t="s">
        <v>40220</v>
      </c>
      <c r="X3797" t="s">
        <v>42678</v>
      </c>
    </row>
    <row r="3798" spans="1:24">
      <c r="A3798">
        <f>HYPERLINK("https://www.philgeps.gov.ph/GEPSNONPILOT/Tender/SplashBidNoticeAbstractUI.aspx?menuIndex=3&amp;refID=7186579&amp;Result=3","7186579")</f>
        <v>0</v>
      </c>
      <c r="B3798" t="s">
        <v>1272</v>
      </c>
      <c r="C3798" t="s">
        <v>7161</v>
      </c>
      <c r="D3798" t="s">
        <v>17172</v>
      </c>
      <c r="E3798" t="s">
        <v>20598</v>
      </c>
      <c r="F3798" t="s">
        <v>29372</v>
      </c>
      <c r="G3798" t="s">
        <v>29383</v>
      </c>
      <c r="H3798" t="s">
        <v>11048</v>
      </c>
      <c r="I3798" t="s">
        <v>29424</v>
      </c>
      <c r="J3798" t="s">
        <v>32092</v>
      </c>
      <c r="K3798" t="s">
        <v>38491</v>
      </c>
      <c r="M3798" t="s">
        <v>40221</v>
      </c>
      <c r="N3798" t="s">
        <v>42669</v>
      </c>
      <c r="O3798" t="s">
        <v>42670</v>
      </c>
      <c r="P3798">
        <v>0</v>
      </c>
      <c r="Q3798">
        <v>1</v>
      </c>
      <c r="R3798" t="s">
        <v>42676</v>
      </c>
      <c r="S3798" t="s">
        <v>42809</v>
      </c>
      <c r="T3798" t="s">
        <v>44419</v>
      </c>
      <c r="U3798" t="s">
        <v>47966</v>
      </c>
      <c r="W3798" t="s">
        <v>40221</v>
      </c>
      <c r="X3798" t="s">
        <v>42678</v>
      </c>
    </row>
    <row r="3799" spans="1:24">
      <c r="A3799">
        <f>HYPERLINK("https://www.philgeps.gov.ph/GEPSNONPILOT/Tender/SplashBidNoticeAbstractUI.aspx?menuIndex=3&amp;refID=7186568&amp;Result=3","7186568")</f>
        <v>0</v>
      </c>
      <c r="B3799" t="s">
        <v>1272</v>
      </c>
      <c r="C3799" t="s">
        <v>7162</v>
      </c>
      <c r="D3799" t="s">
        <v>17172</v>
      </c>
      <c r="E3799" t="s">
        <v>20599</v>
      </c>
      <c r="F3799" t="s">
        <v>29372</v>
      </c>
      <c r="G3799" t="s">
        <v>29383</v>
      </c>
      <c r="H3799" t="s">
        <v>11048</v>
      </c>
      <c r="I3799" t="s">
        <v>5383</v>
      </c>
      <c r="J3799" t="s">
        <v>32093</v>
      </c>
      <c r="K3799" t="s">
        <v>38491</v>
      </c>
      <c r="M3799" t="s">
        <v>40221</v>
      </c>
      <c r="N3799" t="s">
        <v>42669</v>
      </c>
      <c r="O3799" t="s">
        <v>42670</v>
      </c>
      <c r="P3799">
        <v>0</v>
      </c>
      <c r="Q3799">
        <v>2</v>
      </c>
      <c r="R3799" t="s">
        <v>42676</v>
      </c>
      <c r="S3799" t="s">
        <v>42809</v>
      </c>
      <c r="T3799" t="s">
        <v>44419</v>
      </c>
      <c r="U3799" t="s">
        <v>47967</v>
      </c>
      <c r="W3799" t="s">
        <v>40221</v>
      </c>
      <c r="X3799" t="s">
        <v>42678</v>
      </c>
    </row>
    <row r="3800" spans="1:24">
      <c r="A3800">
        <f>HYPERLINK("https://www.philgeps.gov.ph/GEPSNONPILOT/Tender/SplashBidNoticeAbstractUI.aspx?menuIndex=3&amp;refID=7186563&amp;Result=3","7186563")</f>
        <v>0</v>
      </c>
      <c r="B3800" t="s">
        <v>1272</v>
      </c>
      <c r="C3800" t="s">
        <v>7163</v>
      </c>
      <c r="D3800" t="s">
        <v>17172</v>
      </c>
      <c r="E3800" t="s">
        <v>20600</v>
      </c>
      <c r="F3800" t="s">
        <v>29372</v>
      </c>
      <c r="G3800" t="s">
        <v>29383</v>
      </c>
      <c r="H3800" t="s">
        <v>11048</v>
      </c>
      <c r="I3800" t="s">
        <v>3629</v>
      </c>
      <c r="J3800" t="s">
        <v>32094</v>
      </c>
      <c r="K3800" t="s">
        <v>38491</v>
      </c>
      <c r="M3800" t="s">
        <v>40221</v>
      </c>
      <c r="N3800" t="s">
        <v>42669</v>
      </c>
      <c r="O3800" t="s">
        <v>42670</v>
      </c>
      <c r="P3800">
        <v>0</v>
      </c>
      <c r="Q3800">
        <v>0</v>
      </c>
      <c r="R3800" t="s">
        <v>42676</v>
      </c>
      <c r="S3800" t="s">
        <v>42809</v>
      </c>
      <c r="T3800" t="s">
        <v>44419</v>
      </c>
      <c r="U3800" t="s">
        <v>47968</v>
      </c>
      <c r="W3800" t="s">
        <v>40221</v>
      </c>
      <c r="X3800" t="s">
        <v>42678</v>
      </c>
    </row>
    <row r="3801" spans="1:24">
      <c r="A3801">
        <f>HYPERLINK("https://www.philgeps.gov.ph/GEPSNONPILOT/Tender/SplashBidNoticeAbstractUI.aspx?menuIndex=3&amp;refID=7186560&amp;Result=3","7186560")</f>
        <v>0</v>
      </c>
      <c r="B3801" t="s">
        <v>1383</v>
      </c>
      <c r="C3801" t="s">
        <v>7164</v>
      </c>
      <c r="D3801" t="s">
        <v>17169</v>
      </c>
      <c r="E3801" t="s">
        <v>20592</v>
      </c>
      <c r="F3801" t="s">
        <v>29372</v>
      </c>
      <c r="G3801" t="s">
        <v>29380</v>
      </c>
      <c r="H3801" t="s">
        <v>29389</v>
      </c>
      <c r="I3801" t="s">
        <v>10408</v>
      </c>
      <c r="J3801" t="s">
        <v>29543</v>
      </c>
      <c r="K3801" t="s">
        <v>38496</v>
      </c>
      <c r="M3801" t="s">
        <v>40220</v>
      </c>
      <c r="N3801" t="s">
        <v>42669</v>
      </c>
      <c r="O3801" t="s">
        <v>42670</v>
      </c>
      <c r="P3801">
        <v>0</v>
      </c>
      <c r="Q3801">
        <v>0</v>
      </c>
      <c r="R3801" t="s">
        <v>42676</v>
      </c>
      <c r="S3801" t="s">
        <v>42809</v>
      </c>
      <c r="T3801" t="s">
        <v>44587</v>
      </c>
      <c r="U3801" t="s">
        <v>47960</v>
      </c>
      <c r="V3801" t="s">
        <v>56716</v>
      </c>
      <c r="W3801" t="s">
        <v>40220</v>
      </c>
      <c r="X3801" t="s">
        <v>42678</v>
      </c>
    </row>
    <row r="3802" spans="1:24">
      <c r="A3802">
        <f>HYPERLINK("https://www.philgeps.gov.ph/GEPSNONPILOT/Tender/SplashBidNoticeAbstractUI.aspx?menuIndex=3&amp;refID=7186478&amp;Result=3","7186478")</f>
        <v>0</v>
      </c>
      <c r="B3802" t="s">
        <v>1384</v>
      </c>
      <c r="C3802" t="s">
        <v>7165</v>
      </c>
      <c r="D3802" t="s">
        <v>17191</v>
      </c>
      <c r="E3802" t="s">
        <v>20601</v>
      </c>
      <c r="F3802" t="s">
        <v>29372</v>
      </c>
      <c r="G3802" t="s">
        <v>29380</v>
      </c>
      <c r="H3802" t="s">
        <v>11048</v>
      </c>
      <c r="I3802" t="s">
        <v>5383</v>
      </c>
      <c r="J3802" t="s">
        <v>32095</v>
      </c>
      <c r="K3802" t="s">
        <v>38485</v>
      </c>
      <c r="M3802" t="s">
        <v>40222</v>
      </c>
      <c r="N3802" t="s">
        <v>42669</v>
      </c>
      <c r="O3802" t="s">
        <v>42670</v>
      </c>
      <c r="P3802">
        <v>0</v>
      </c>
      <c r="Q3802">
        <v>1</v>
      </c>
      <c r="R3802" t="s">
        <v>42676</v>
      </c>
      <c r="S3802" t="s">
        <v>42809</v>
      </c>
      <c r="T3802" t="s">
        <v>44470</v>
      </c>
      <c r="U3802" t="s">
        <v>47969</v>
      </c>
      <c r="W3802" t="s">
        <v>40222</v>
      </c>
      <c r="X3802" t="s">
        <v>42678</v>
      </c>
    </row>
    <row r="3803" spans="1:24">
      <c r="A3803">
        <f>HYPERLINK("https://www.philgeps.gov.ph/GEPSNONPILOT/Tender/SplashBidNoticeAbstractUI.aspx?menuIndex=3&amp;refID=7186882&amp;Result=3","7186882")</f>
        <v>0</v>
      </c>
      <c r="B3803" t="s">
        <v>1385</v>
      </c>
      <c r="C3803" t="s">
        <v>7166</v>
      </c>
      <c r="D3803" t="s">
        <v>17172</v>
      </c>
      <c r="E3803" t="s">
        <v>20602</v>
      </c>
      <c r="F3803" t="s">
        <v>29372</v>
      </c>
      <c r="G3803" t="s">
        <v>29379</v>
      </c>
      <c r="H3803" t="s">
        <v>11048</v>
      </c>
      <c r="I3803" t="s">
        <v>14920</v>
      </c>
      <c r="J3803" t="s">
        <v>32096</v>
      </c>
      <c r="K3803" t="s">
        <v>38489</v>
      </c>
      <c r="M3803" t="s">
        <v>40223</v>
      </c>
      <c r="N3803" t="s">
        <v>42669</v>
      </c>
      <c r="O3803" t="s">
        <v>42670</v>
      </c>
      <c r="P3803">
        <v>0</v>
      </c>
      <c r="Q3803">
        <v>0</v>
      </c>
      <c r="R3803" t="s">
        <v>42676</v>
      </c>
      <c r="S3803" t="s">
        <v>42809</v>
      </c>
      <c r="T3803" t="s">
        <v>44414</v>
      </c>
      <c r="U3803" t="s">
        <v>47970</v>
      </c>
      <c r="W3803" t="s">
        <v>40223</v>
      </c>
      <c r="X3803" t="s">
        <v>42678</v>
      </c>
    </row>
    <row r="3804" spans="1:24">
      <c r="A3804">
        <f>HYPERLINK("https://www.philgeps.gov.ph/GEPSNONPILOT/Tender/SplashBidNoticeAbstractUI.aspx?menuIndex=3&amp;refID=7186877&amp;Result=3","7186877")</f>
        <v>0</v>
      </c>
      <c r="B3804" t="s">
        <v>1386</v>
      </c>
      <c r="C3804" t="s">
        <v>7167</v>
      </c>
      <c r="E3804" t="s">
        <v>17347</v>
      </c>
      <c r="F3804" t="s">
        <v>29372</v>
      </c>
      <c r="G3804" t="s">
        <v>29386</v>
      </c>
      <c r="H3804" t="s">
        <v>11048</v>
      </c>
      <c r="I3804" t="s">
        <v>29409</v>
      </c>
      <c r="J3804" t="s">
        <v>32097</v>
      </c>
      <c r="K3804" t="s">
        <v>38488</v>
      </c>
      <c r="M3804" t="s">
        <v>40224</v>
      </c>
      <c r="N3804" t="s">
        <v>42669</v>
      </c>
      <c r="O3804" t="s">
        <v>42670</v>
      </c>
      <c r="P3804">
        <v>0</v>
      </c>
      <c r="Q3804">
        <v>5</v>
      </c>
      <c r="R3804" t="s">
        <v>42676</v>
      </c>
      <c r="S3804" t="s">
        <v>42809</v>
      </c>
      <c r="T3804" t="s">
        <v>44394</v>
      </c>
      <c r="U3804" t="s">
        <v>47971</v>
      </c>
      <c r="W3804" t="s">
        <v>40224</v>
      </c>
      <c r="X3804" t="s">
        <v>42678</v>
      </c>
    </row>
    <row r="3805" spans="1:24">
      <c r="A3805">
        <f>HYPERLINK("https://www.philgeps.gov.ph/GEPSNONPILOT/Tender/SplashBidNoticeAbstractUI.aspx?menuIndex=3&amp;refID=7186867&amp;Result=3","7186867")</f>
        <v>0</v>
      </c>
      <c r="B3805" t="s">
        <v>423</v>
      </c>
      <c r="C3805" t="s">
        <v>7168</v>
      </c>
      <c r="D3805" t="s">
        <v>17216</v>
      </c>
      <c r="E3805" t="s">
        <v>20603</v>
      </c>
      <c r="F3805" t="s">
        <v>29372</v>
      </c>
      <c r="G3805" t="s">
        <v>29380</v>
      </c>
      <c r="H3805" t="s">
        <v>11048</v>
      </c>
      <c r="I3805" t="s">
        <v>29447</v>
      </c>
      <c r="J3805" t="s">
        <v>32098</v>
      </c>
      <c r="K3805" t="s">
        <v>38485</v>
      </c>
      <c r="M3805" t="s">
        <v>39187</v>
      </c>
      <c r="N3805" t="s">
        <v>42669</v>
      </c>
      <c r="O3805" t="s">
        <v>42670</v>
      </c>
      <c r="P3805">
        <v>0</v>
      </c>
      <c r="Q3805">
        <v>8</v>
      </c>
      <c r="R3805" t="s">
        <v>42676</v>
      </c>
      <c r="S3805" t="s">
        <v>42809</v>
      </c>
      <c r="T3805" t="s">
        <v>44559</v>
      </c>
      <c r="U3805" t="s">
        <v>47972</v>
      </c>
      <c r="W3805" t="s">
        <v>39187</v>
      </c>
      <c r="X3805" t="s">
        <v>42678</v>
      </c>
    </row>
    <row r="3806" spans="1:24">
      <c r="A3806">
        <f>HYPERLINK("https://www.philgeps.gov.ph/GEPSNONPILOT/Tender/SplashBidNoticeAbstractUI.aspx?menuIndex=3&amp;refID=7186557&amp;Result=3","7186557")</f>
        <v>0</v>
      </c>
      <c r="B3806" t="s">
        <v>1383</v>
      </c>
      <c r="C3806" t="s">
        <v>7169</v>
      </c>
      <c r="D3806" t="s">
        <v>17169</v>
      </c>
      <c r="E3806" t="s">
        <v>20592</v>
      </c>
      <c r="F3806" t="s">
        <v>29372</v>
      </c>
      <c r="G3806" t="s">
        <v>29380</v>
      </c>
      <c r="H3806" t="s">
        <v>29389</v>
      </c>
      <c r="I3806" t="s">
        <v>10408</v>
      </c>
      <c r="J3806" t="s">
        <v>31110</v>
      </c>
      <c r="K3806" t="s">
        <v>38496</v>
      </c>
      <c r="M3806" t="s">
        <v>40220</v>
      </c>
      <c r="N3806" t="s">
        <v>42669</v>
      </c>
      <c r="O3806" t="s">
        <v>42670</v>
      </c>
      <c r="P3806">
        <v>0</v>
      </c>
      <c r="Q3806">
        <v>0</v>
      </c>
      <c r="R3806" t="s">
        <v>42676</v>
      </c>
      <c r="S3806" t="s">
        <v>42809</v>
      </c>
      <c r="T3806" t="s">
        <v>44587</v>
      </c>
      <c r="U3806" t="s">
        <v>47960</v>
      </c>
      <c r="V3806" t="s">
        <v>56717</v>
      </c>
      <c r="W3806" t="s">
        <v>40220</v>
      </c>
      <c r="X3806" t="s">
        <v>42678</v>
      </c>
    </row>
    <row r="3807" spans="1:24">
      <c r="A3807">
        <f>HYPERLINK("https://www.philgeps.gov.ph/GEPSNONPILOT/Tender/SplashBidNoticeAbstractUI.aspx?menuIndex=3&amp;refID=7186807&amp;Result=3","7186807")</f>
        <v>0</v>
      </c>
      <c r="B3807" t="s">
        <v>544</v>
      </c>
      <c r="C3807" t="s">
        <v>7170</v>
      </c>
      <c r="D3807" t="s">
        <v>17153</v>
      </c>
      <c r="E3807" t="s">
        <v>20604</v>
      </c>
      <c r="F3807" t="s">
        <v>29372</v>
      </c>
      <c r="G3807" t="s">
        <v>29383</v>
      </c>
      <c r="H3807" t="s">
        <v>11048</v>
      </c>
      <c r="I3807" t="s">
        <v>4486</v>
      </c>
      <c r="J3807" t="s">
        <v>31098</v>
      </c>
      <c r="K3807" t="s">
        <v>38490</v>
      </c>
      <c r="M3807" t="s">
        <v>39312</v>
      </c>
      <c r="N3807" t="s">
        <v>42669</v>
      </c>
      <c r="O3807" t="s">
        <v>42670</v>
      </c>
      <c r="P3807">
        <v>0</v>
      </c>
      <c r="Q3807">
        <v>1</v>
      </c>
      <c r="R3807" t="s">
        <v>42676</v>
      </c>
      <c r="S3807" t="s">
        <v>42809</v>
      </c>
      <c r="T3807" t="s">
        <v>44386</v>
      </c>
      <c r="U3807" t="s">
        <v>47973</v>
      </c>
      <c r="W3807" t="s">
        <v>39312</v>
      </c>
      <c r="X3807" t="s">
        <v>42678</v>
      </c>
    </row>
    <row r="3808" spans="1:24">
      <c r="A3808">
        <f>HYPERLINK("https://www.philgeps.gov.ph/GEPSNONPILOT/Tender/SplashBidNoticeAbstractUI.aspx?menuIndex=3&amp;refID=7186806&amp;Result=3","7186806")</f>
        <v>0</v>
      </c>
      <c r="B3808" t="s">
        <v>1387</v>
      </c>
      <c r="C3808" t="s">
        <v>7171</v>
      </c>
      <c r="D3808" t="s">
        <v>17141</v>
      </c>
      <c r="E3808" t="s">
        <v>20605</v>
      </c>
      <c r="F3808" t="s">
        <v>29372</v>
      </c>
      <c r="G3808" t="s">
        <v>29379</v>
      </c>
      <c r="H3808" t="s">
        <v>11048</v>
      </c>
      <c r="I3808" t="s">
        <v>29400</v>
      </c>
      <c r="J3808" t="s">
        <v>32099</v>
      </c>
      <c r="K3808" t="s">
        <v>38485</v>
      </c>
      <c r="M3808" t="s">
        <v>40225</v>
      </c>
      <c r="N3808" t="s">
        <v>42669</v>
      </c>
      <c r="O3808" t="s">
        <v>42670</v>
      </c>
      <c r="P3808">
        <v>0</v>
      </c>
      <c r="Q3808">
        <v>4</v>
      </c>
      <c r="R3808" t="s">
        <v>42676</v>
      </c>
      <c r="S3808" t="s">
        <v>42809</v>
      </c>
      <c r="T3808" t="s">
        <v>44386</v>
      </c>
      <c r="U3808" t="s">
        <v>47974</v>
      </c>
      <c r="V3808" t="s">
        <v>56718</v>
      </c>
      <c r="W3808" t="s">
        <v>40225</v>
      </c>
      <c r="X3808" t="s">
        <v>42678</v>
      </c>
    </row>
    <row r="3809" spans="1:24">
      <c r="A3809">
        <f>HYPERLINK("https://www.philgeps.gov.ph/GEPSNONPILOT/Tender/SplashBidNoticeAbstractUI.aspx?menuIndex=3&amp;refID=7186799&amp;Result=3","7186799")</f>
        <v>0</v>
      </c>
      <c r="B3809" t="s">
        <v>544</v>
      </c>
      <c r="C3809" t="s">
        <v>7172</v>
      </c>
      <c r="D3809" t="s">
        <v>17153</v>
      </c>
      <c r="E3809" t="s">
        <v>20606</v>
      </c>
      <c r="F3809" t="s">
        <v>29372</v>
      </c>
      <c r="G3809" t="s">
        <v>29383</v>
      </c>
      <c r="H3809" t="s">
        <v>11048</v>
      </c>
      <c r="I3809" t="s">
        <v>4486</v>
      </c>
      <c r="J3809" t="s">
        <v>32100</v>
      </c>
      <c r="K3809" t="s">
        <v>38490</v>
      </c>
      <c r="M3809" t="s">
        <v>39312</v>
      </c>
      <c r="N3809" t="s">
        <v>42669</v>
      </c>
      <c r="O3809" t="s">
        <v>42670</v>
      </c>
      <c r="P3809">
        <v>0</v>
      </c>
      <c r="Q3809">
        <v>3</v>
      </c>
      <c r="R3809" t="s">
        <v>42676</v>
      </c>
      <c r="S3809" t="s">
        <v>42809</v>
      </c>
      <c r="T3809" t="s">
        <v>44386</v>
      </c>
      <c r="U3809" t="s">
        <v>47975</v>
      </c>
      <c r="W3809" t="s">
        <v>39312</v>
      </c>
      <c r="X3809" t="s">
        <v>42678</v>
      </c>
    </row>
    <row r="3810" spans="1:24">
      <c r="A3810">
        <f>HYPERLINK("https://www.philgeps.gov.ph/GEPSNONPILOT/Tender/SplashBidNoticeAbstractUI.aspx?menuIndex=3&amp;refID=7186710&amp;Result=3","7186710")</f>
        <v>0</v>
      </c>
      <c r="B3810" t="s">
        <v>1388</v>
      </c>
      <c r="C3810" t="s">
        <v>7173</v>
      </c>
      <c r="D3810" t="s">
        <v>17205</v>
      </c>
      <c r="E3810" t="s">
        <v>20607</v>
      </c>
      <c r="F3810" t="s">
        <v>29372</v>
      </c>
      <c r="G3810" t="s">
        <v>29380</v>
      </c>
      <c r="H3810" t="s">
        <v>29389</v>
      </c>
      <c r="I3810" t="s">
        <v>10408</v>
      </c>
      <c r="J3810" t="s">
        <v>32101</v>
      </c>
      <c r="K3810" t="s">
        <v>38491</v>
      </c>
      <c r="M3810" t="s">
        <v>40226</v>
      </c>
      <c r="N3810" t="s">
        <v>42669</v>
      </c>
      <c r="O3810" t="s">
        <v>42670</v>
      </c>
      <c r="P3810">
        <v>0</v>
      </c>
      <c r="Q3810">
        <v>0</v>
      </c>
      <c r="R3810" t="s">
        <v>42676</v>
      </c>
      <c r="S3810" t="s">
        <v>42809</v>
      </c>
      <c r="T3810" t="s">
        <v>44382</v>
      </c>
      <c r="U3810" t="s">
        <v>47976</v>
      </c>
      <c r="V3810" t="s">
        <v>56719</v>
      </c>
      <c r="W3810" t="s">
        <v>40226</v>
      </c>
      <c r="X3810" t="s">
        <v>42678</v>
      </c>
    </row>
    <row r="3811" spans="1:24">
      <c r="A3811">
        <f>HYPERLINK("https://www.philgeps.gov.ph/GEPSNONPILOT/Tender/SplashBidNoticeAbstractUI.aspx?menuIndex=3&amp;refID=7184904&amp;Result=3","7184904")</f>
        <v>0</v>
      </c>
      <c r="B3811" t="s">
        <v>1331</v>
      </c>
      <c r="C3811" t="s">
        <v>7174</v>
      </c>
      <c r="D3811" t="s">
        <v>17168</v>
      </c>
      <c r="E3811" t="s">
        <v>20608</v>
      </c>
      <c r="F3811" t="s">
        <v>29372</v>
      </c>
      <c r="G3811" t="s">
        <v>29380</v>
      </c>
      <c r="H3811" t="s">
        <v>29389</v>
      </c>
      <c r="I3811" t="s">
        <v>10408</v>
      </c>
      <c r="J3811" t="s">
        <v>29543</v>
      </c>
      <c r="K3811" t="s">
        <v>38487</v>
      </c>
      <c r="M3811" t="s">
        <v>40167</v>
      </c>
      <c r="N3811" t="s">
        <v>42669</v>
      </c>
      <c r="O3811" t="s">
        <v>42670</v>
      </c>
      <c r="P3811">
        <v>0</v>
      </c>
      <c r="Q3811">
        <v>0</v>
      </c>
      <c r="R3811" t="s">
        <v>42676</v>
      </c>
      <c r="S3811" t="s">
        <v>42809</v>
      </c>
      <c r="T3811" t="s">
        <v>44504</v>
      </c>
      <c r="U3811" t="s">
        <v>47977</v>
      </c>
      <c r="W3811" t="s">
        <v>40167</v>
      </c>
      <c r="X3811" t="s">
        <v>42678</v>
      </c>
    </row>
    <row r="3812" spans="1:24">
      <c r="A3812">
        <f>HYPERLINK("https://www.philgeps.gov.ph/GEPSNONPILOT/Tender/SplashBidNoticeAbstractUI.aspx?menuIndex=3&amp;refID=7186879&amp;Result=3","7186879")</f>
        <v>0</v>
      </c>
      <c r="B3812" t="s">
        <v>608</v>
      </c>
      <c r="C3812" t="s">
        <v>7175</v>
      </c>
      <c r="D3812" t="s">
        <v>17189</v>
      </c>
      <c r="E3812" t="s">
        <v>20609</v>
      </c>
      <c r="F3812" t="s">
        <v>29372</v>
      </c>
      <c r="G3812" t="s">
        <v>29379</v>
      </c>
      <c r="H3812" t="s">
        <v>11048</v>
      </c>
      <c r="I3812" t="s">
        <v>4709</v>
      </c>
      <c r="J3812" t="s">
        <v>30764</v>
      </c>
      <c r="K3812" t="s">
        <v>38485</v>
      </c>
      <c r="M3812" t="s">
        <v>39379</v>
      </c>
      <c r="N3812" t="s">
        <v>42669</v>
      </c>
      <c r="O3812" t="s">
        <v>42670</v>
      </c>
      <c r="P3812">
        <v>0</v>
      </c>
      <c r="Q3812">
        <v>1</v>
      </c>
      <c r="R3812" t="s">
        <v>42676</v>
      </c>
      <c r="S3812" t="s">
        <v>42809</v>
      </c>
      <c r="T3812" t="s">
        <v>44488</v>
      </c>
      <c r="U3812" t="s">
        <v>46145</v>
      </c>
      <c r="W3812" t="s">
        <v>39379</v>
      </c>
      <c r="X3812" t="s">
        <v>42678</v>
      </c>
    </row>
    <row r="3813" spans="1:24">
      <c r="A3813">
        <f>HYPERLINK("https://www.philgeps.gov.ph/GEPSNONPILOT/Tender/SplashBidNoticeAbstractUI.aspx?menuIndex=3&amp;refID=7186933&amp;Result=3","7186933")</f>
        <v>0</v>
      </c>
      <c r="B3813" t="s">
        <v>1389</v>
      </c>
      <c r="C3813" t="s">
        <v>7176</v>
      </c>
      <c r="E3813" t="s">
        <v>19316</v>
      </c>
      <c r="F3813" t="s">
        <v>29372</v>
      </c>
      <c r="G3813" t="s">
        <v>29380</v>
      </c>
      <c r="H3813" t="s">
        <v>11048</v>
      </c>
      <c r="I3813" t="s">
        <v>10408</v>
      </c>
      <c r="J3813" t="s">
        <v>32102</v>
      </c>
      <c r="K3813" t="s">
        <v>38490</v>
      </c>
      <c r="M3813" t="s">
        <v>40227</v>
      </c>
      <c r="N3813" t="s">
        <v>42669</v>
      </c>
      <c r="O3813" t="s">
        <v>42670</v>
      </c>
      <c r="P3813">
        <v>0</v>
      </c>
      <c r="Q3813">
        <v>1</v>
      </c>
      <c r="R3813" t="s">
        <v>42676</v>
      </c>
      <c r="S3813" t="s">
        <v>42809</v>
      </c>
      <c r="T3813" t="s">
        <v>44371</v>
      </c>
      <c r="U3813" t="s">
        <v>45566</v>
      </c>
      <c r="W3813" t="s">
        <v>40227</v>
      </c>
      <c r="X3813" t="s">
        <v>42677</v>
      </c>
    </row>
    <row r="3814" spans="1:24">
      <c r="A3814">
        <f>HYPERLINK("https://www.philgeps.gov.ph/GEPSNONPILOT/Tender/SplashBidNoticeAbstractUI.aspx?menuIndex=3&amp;refID=7186680&amp;Result=3","7186680")</f>
        <v>0</v>
      </c>
      <c r="B3814" t="s">
        <v>1383</v>
      </c>
      <c r="C3814" t="s">
        <v>7177</v>
      </c>
      <c r="D3814" t="s">
        <v>17169</v>
      </c>
      <c r="E3814" t="s">
        <v>20592</v>
      </c>
      <c r="F3814" t="s">
        <v>29372</v>
      </c>
      <c r="G3814" t="s">
        <v>29380</v>
      </c>
      <c r="H3814" t="s">
        <v>29389</v>
      </c>
      <c r="I3814" t="s">
        <v>10408</v>
      </c>
      <c r="J3814" t="s">
        <v>32103</v>
      </c>
      <c r="K3814" t="s">
        <v>38496</v>
      </c>
      <c r="M3814" t="s">
        <v>40220</v>
      </c>
      <c r="N3814" t="s">
        <v>42669</v>
      </c>
      <c r="O3814" t="s">
        <v>42670</v>
      </c>
      <c r="P3814">
        <v>0</v>
      </c>
      <c r="Q3814">
        <v>1</v>
      </c>
      <c r="R3814" t="s">
        <v>42676</v>
      </c>
      <c r="S3814" t="s">
        <v>42809</v>
      </c>
      <c r="T3814" t="s">
        <v>44587</v>
      </c>
      <c r="U3814" t="s">
        <v>47960</v>
      </c>
      <c r="V3814" t="s">
        <v>56720</v>
      </c>
      <c r="W3814" t="s">
        <v>40220</v>
      </c>
      <c r="X3814" t="s">
        <v>42678</v>
      </c>
    </row>
    <row r="3815" spans="1:24">
      <c r="A3815">
        <f>HYPERLINK("https://www.philgeps.gov.ph/GEPSNONPILOT/Tender/SplashBidNoticeAbstractUI.aspx?menuIndex=3&amp;refID=7186721&amp;Result=3","7186721")</f>
        <v>0</v>
      </c>
      <c r="B3815" t="s">
        <v>1390</v>
      </c>
      <c r="C3815" t="s">
        <v>7178</v>
      </c>
      <c r="D3815" t="s">
        <v>17201</v>
      </c>
      <c r="E3815" t="s">
        <v>20610</v>
      </c>
      <c r="F3815" t="s">
        <v>29374</v>
      </c>
      <c r="G3815" t="s">
        <v>29382</v>
      </c>
      <c r="H3815" t="s">
        <v>11048</v>
      </c>
      <c r="I3815" t="s">
        <v>4487</v>
      </c>
      <c r="J3815" t="s">
        <v>32104</v>
      </c>
      <c r="K3815" t="s">
        <v>38489</v>
      </c>
      <c r="M3815" t="s">
        <v>40228</v>
      </c>
      <c r="N3815" t="s">
        <v>42669</v>
      </c>
      <c r="O3815" t="s">
        <v>42670</v>
      </c>
      <c r="P3815">
        <v>0</v>
      </c>
      <c r="Q3815">
        <v>0</v>
      </c>
      <c r="R3815" t="s">
        <v>42676</v>
      </c>
      <c r="S3815" t="s">
        <v>42809</v>
      </c>
      <c r="T3815" t="s">
        <v>44371</v>
      </c>
      <c r="U3815" t="s">
        <v>47978</v>
      </c>
      <c r="W3815" t="s">
        <v>40228</v>
      </c>
      <c r="X3815" t="s">
        <v>42678</v>
      </c>
    </row>
    <row r="3816" spans="1:24">
      <c r="A3816">
        <f>HYPERLINK("https://www.philgeps.gov.ph/GEPSNONPILOT/Tender/SplashBidNoticeAbstractUI.aspx?menuIndex=3&amp;refID=7186949&amp;Result=3","7186949")</f>
        <v>0</v>
      </c>
      <c r="B3816" t="s">
        <v>1391</v>
      </c>
      <c r="C3816" t="s">
        <v>7179</v>
      </c>
      <c r="D3816" t="s">
        <v>17151</v>
      </c>
      <c r="E3816" t="s">
        <v>20611</v>
      </c>
      <c r="F3816" t="s">
        <v>29372</v>
      </c>
      <c r="G3816" t="s">
        <v>29380</v>
      </c>
      <c r="H3816" t="s">
        <v>29391</v>
      </c>
      <c r="I3816" t="s">
        <v>29391</v>
      </c>
      <c r="J3816" t="s">
        <v>32105</v>
      </c>
      <c r="K3816" t="s">
        <v>38520</v>
      </c>
      <c r="M3816" t="s">
        <v>40229</v>
      </c>
      <c r="N3816" t="s">
        <v>42669</v>
      </c>
      <c r="O3816" t="s">
        <v>42670</v>
      </c>
      <c r="P3816">
        <v>0</v>
      </c>
      <c r="Q3816">
        <v>6</v>
      </c>
      <c r="R3816" t="s">
        <v>42676</v>
      </c>
      <c r="S3816" t="s">
        <v>42809</v>
      </c>
      <c r="T3816" t="s">
        <v>44470</v>
      </c>
      <c r="U3816" t="s">
        <v>47979</v>
      </c>
      <c r="V3816" t="s">
        <v>56721</v>
      </c>
      <c r="W3816" t="s">
        <v>40229</v>
      </c>
      <c r="X3816" t="s">
        <v>42677</v>
      </c>
    </row>
    <row r="3817" spans="1:24">
      <c r="A3817">
        <f>HYPERLINK("https://www.philgeps.gov.ph/GEPSNONPILOT/Tender/SplashBidNoticeAbstractUI.aspx?menuIndex=3&amp;refID=7186948&amp;Result=3","7186948")</f>
        <v>0</v>
      </c>
      <c r="B3817" t="s">
        <v>1392</v>
      </c>
      <c r="C3817" t="s">
        <v>7180</v>
      </c>
      <c r="D3817" t="s">
        <v>17141</v>
      </c>
      <c r="E3817" t="s">
        <v>20612</v>
      </c>
      <c r="F3817" t="s">
        <v>29372</v>
      </c>
      <c r="G3817" t="s">
        <v>29380</v>
      </c>
      <c r="H3817" t="s">
        <v>11048</v>
      </c>
      <c r="I3817" t="s">
        <v>3695</v>
      </c>
      <c r="J3817" t="s">
        <v>29708</v>
      </c>
      <c r="K3817" t="s">
        <v>38490</v>
      </c>
      <c r="M3817" t="s">
        <v>40230</v>
      </c>
      <c r="N3817" t="s">
        <v>42669</v>
      </c>
      <c r="O3817" t="s">
        <v>42670</v>
      </c>
      <c r="P3817">
        <v>0</v>
      </c>
      <c r="Q3817">
        <v>1</v>
      </c>
      <c r="R3817" t="s">
        <v>42676</v>
      </c>
      <c r="S3817" t="s">
        <v>42809</v>
      </c>
      <c r="T3817" t="s">
        <v>44394</v>
      </c>
      <c r="U3817" t="s">
        <v>47980</v>
      </c>
      <c r="W3817" t="s">
        <v>40230</v>
      </c>
      <c r="X3817" t="s">
        <v>42677</v>
      </c>
    </row>
    <row r="3818" spans="1:24">
      <c r="A3818">
        <f>HYPERLINK("https://www.philgeps.gov.ph/GEPSNONPILOT/Tender/SplashBidNoticeAbstractUI.aspx?menuIndex=3&amp;refID=7186685&amp;Result=3","7186685")</f>
        <v>0</v>
      </c>
      <c r="B3818" t="s">
        <v>1383</v>
      </c>
      <c r="C3818" t="s">
        <v>7181</v>
      </c>
      <c r="D3818" t="s">
        <v>17169</v>
      </c>
      <c r="E3818" t="s">
        <v>20592</v>
      </c>
      <c r="F3818" t="s">
        <v>29372</v>
      </c>
      <c r="G3818" t="s">
        <v>29380</v>
      </c>
      <c r="H3818" t="s">
        <v>29389</v>
      </c>
      <c r="I3818" t="s">
        <v>10408</v>
      </c>
      <c r="J3818" t="s">
        <v>32106</v>
      </c>
      <c r="K3818" t="s">
        <v>38485</v>
      </c>
      <c r="M3818" t="s">
        <v>40220</v>
      </c>
      <c r="N3818" t="s">
        <v>42669</v>
      </c>
      <c r="O3818" t="s">
        <v>42670</v>
      </c>
      <c r="P3818">
        <v>0</v>
      </c>
      <c r="Q3818">
        <v>1</v>
      </c>
      <c r="R3818" t="s">
        <v>42676</v>
      </c>
      <c r="S3818" t="s">
        <v>42809</v>
      </c>
      <c r="T3818" t="s">
        <v>44587</v>
      </c>
      <c r="U3818" t="s">
        <v>47960</v>
      </c>
      <c r="V3818" t="s">
        <v>56722</v>
      </c>
      <c r="W3818" t="s">
        <v>40220</v>
      </c>
      <c r="X3818" t="s">
        <v>42678</v>
      </c>
    </row>
    <row r="3819" spans="1:24">
      <c r="A3819">
        <f>HYPERLINK("https://www.philgeps.gov.ph/GEPSNONPILOT/Tender/SplashBidNoticeAbstractUI.aspx?menuIndex=3&amp;refID=7186943&amp;Result=3","7186943")</f>
        <v>0</v>
      </c>
      <c r="B3819" t="s">
        <v>1393</v>
      </c>
      <c r="C3819" t="s">
        <v>7182</v>
      </c>
      <c r="D3819" t="s">
        <v>17160</v>
      </c>
      <c r="E3819" t="s">
        <v>20613</v>
      </c>
      <c r="F3819" t="s">
        <v>29372</v>
      </c>
      <c r="G3819" t="s">
        <v>29380</v>
      </c>
      <c r="H3819" t="s">
        <v>29389</v>
      </c>
      <c r="I3819" t="s">
        <v>10408</v>
      </c>
      <c r="J3819" t="s">
        <v>30302</v>
      </c>
      <c r="K3819" t="s">
        <v>38584</v>
      </c>
      <c r="M3819" t="s">
        <v>40231</v>
      </c>
      <c r="N3819" t="s">
        <v>42669</v>
      </c>
      <c r="O3819" t="s">
        <v>42670</v>
      </c>
      <c r="P3819">
        <v>0</v>
      </c>
      <c r="Q3819">
        <v>2</v>
      </c>
      <c r="R3819" t="s">
        <v>42676</v>
      </c>
      <c r="S3819" t="s">
        <v>42809</v>
      </c>
      <c r="T3819" t="s">
        <v>44507</v>
      </c>
      <c r="U3819" t="s">
        <v>47981</v>
      </c>
      <c r="W3819" t="s">
        <v>40231</v>
      </c>
      <c r="X3819" t="s">
        <v>42677</v>
      </c>
    </row>
    <row r="3820" spans="1:24">
      <c r="A3820">
        <f>HYPERLINK("https://www.philgeps.gov.ph/GEPSNONPILOT/Tender/SplashBidNoticeAbstractUI.aspx?menuIndex=3&amp;refID=7186942&amp;Result=3","7186942")</f>
        <v>0</v>
      </c>
      <c r="B3820" t="s">
        <v>1360</v>
      </c>
      <c r="C3820" t="s">
        <v>7183</v>
      </c>
      <c r="D3820" t="s">
        <v>17201</v>
      </c>
      <c r="E3820" t="s">
        <v>20614</v>
      </c>
      <c r="F3820" t="s">
        <v>29372</v>
      </c>
      <c r="G3820" t="s">
        <v>29379</v>
      </c>
      <c r="H3820" t="s">
        <v>11048</v>
      </c>
      <c r="I3820" t="s">
        <v>8794</v>
      </c>
      <c r="J3820" t="s">
        <v>32107</v>
      </c>
      <c r="K3820" t="s">
        <v>38485</v>
      </c>
      <c r="M3820" t="s">
        <v>40197</v>
      </c>
      <c r="N3820" t="s">
        <v>42669</v>
      </c>
      <c r="O3820" t="s">
        <v>42670</v>
      </c>
      <c r="P3820">
        <v>0</v>
      </c>
      <c r="Q3820">
        <v>0</v>
      </c>
      <c r="R3820" t="s">
        <v>42676</v>
      </c>
      <c r="S3820" t="s">
        <v>42809</v>
      </c>
      <c r="T3820" t="s">
        <v>44491</v>
      </c>
      <c r="U3820" t="s">
        <v>47982</v>
      </c>
      <c r="W3820" t="s">
        <v>40197</v>
      </c>
      <c r="X3820" t="s">
        <v>42677</v>
      </c>
    </row>
    <row r="3821" spans="1:24">
      <c r="A3821">
        <f>HYPERLINK("https://www.philgeps.gov.ph/GEPSNONPILOT/Tender/SplashBidNoticeAbstractUI.aspx?menuIndex=3&amp;refID=7186929&amp;Result=3","7186929")</f>
        <v>0</v>
      </c>
      <c r="B3821" t="s">
        <v>1394</v>
      </c>
      <c r="C3821" t="s">
        <v>7184</v>
      </c>
      <c r="D3821" t="s">
        <v>17171</v>
      </c>
      <c r="E3821" t="s">
        <v>17972</v>
      </c>
      <c r="F3821" t="s">
        <v>29372</v>
      </c>
      <c r="G3821" t="s">
        <v>29379</v>
      </c>
      <c r="H3821" t="s">
        <v>11048</v>
      </c>
      <c r="I3821" t="s">
        <v>4709</v>
      </c>
      <c r="J3821" t="s">
        <v>32108</v>
      </c>
      <c r="K3821" t="s">
        <v>38534</v>
      </c>
      <c r="M3821" t="s">
        <v>40232</v>
      </c>
      <c r="N3821" t="s">
        <v>42669</v>
      </c>
      <c r="O3821" t="s">
        <v>42670</v>
      </c>
      <c r="P3821">
        <v>0</v>
      </c>
      <c r="Q3821">
        <v>0</v>
      </c>
      <c r="R3821" t="s">
        <v>42676</v>
      </c>
      <c r="S3821" t="s">
        <v>42809</v>
      </c>
      <c r="T3821" t="s">
        <v>44429</v>
      </c>
      <c r="U3821" t="s">
        <v>47983</v>
      </c>
      <c r="W3821" t="s">
        <v>40232</v>
      </c>
      <c r="X3821" t="s">
        <v>42677</v>
      </c>
    </row>
    <row r="3822" spans="1:24">
      <c r="A3822">
        <f>HYPERLINK("https://www.philgeps.gov.ph/GEPSNONPILOT/Tender/SplashBidNoticeAbstractUI.aspx?menuIndex=3&amp;refID=7186574&amp;Result=3","7186574")</f>
        <v>0</v>
      </c>
      <c r="B3822" t="s">
        <v>1383</v>
      </c>
      <c r="C3822" t="s">
        <v>7185</v>
      </c>
      <c r="D3822" t="s">
        <v>17169</v>
      </c>
      <c r="E3822" t="s">
        <v>20592</v>
      </c>
      <c r="F3822" t="s">
        <v>29372</v>
      </c>
      <c r="G3822" t="s">
        <v>29380</v>
      </c>
      <c r="H3822" t="s">
        <v>29389</v>
      </c>
      <c r="I3822" t="s">
        <v>10408</v>
      </c>
      <c r="J3822" t="s">
        <v>29543</v>
      </c>
      <c r="K3822" t="s">
        <v>38496</v>
      </c>
      <c r="M3822" t="s">
        <v>40220</v>
      </c>
      <c r="N3822" t="s">
        <v>42669</v>
      </c>
      <c r="O3822" t="s">
        <v>42670</v>
      </c>
      <c r="P3822">
        <v>0</v>
      </c>
      <c r="Q3822">
        <v>0</v>
      </c>
      <c r="R3822" t="s">
        <v>42676</v>
      </c>
      <c r="S3822" t="s">
        <v>42809</v>
      </c>
      <c r="T3822" t="s">
        <v>44587</v>
      </c>
      <c r="U3822" t="s">
        <v>47960</v>
      </c>
      <c r="V3822" t="s">
        <v>56723</v>
      </c>
      <c r="W3822" t="s">
        <v>40220</v>
      </c>
      <c r="X3822" t="s">
        <v>42678</v>
      </c>
    </row>
    <row r="3823" spans="1:24">
      <c r="A3823">
        <f>HYPERLINK("https://www.philgeps.gov.ph/GEPSNONPILOT/Tender/SplashBidNoticeAbstractUI.aspx?menuIndex=3&amp;refID=7186930&amp;Result=3","7186930")</f>
        <v>0</v>
      </c>
      <c r="B3823" t="s">
        <v>1394</v>
      </c>
      <c r="C3823" t="s">
        <v>7186</v>
      </c>
      <c r="D3823" t="s">
        <v>17171</v>
      </c>
      <c r="E3823" t="s">
        <v>17755</v>
      </c>
      <c r="F3823" t="s">
        <v>29372</v>
      </c>
      <c r="G3823" t="s">
        <v>29379</v>
      </c>
      <c r="H3823" t="s">
        <v>11048</v>
      </c>
      <c r="I3823" t="s">
        <v>4709</v>
      </c>
      <c r="J3823" t="s">
        <v>32109</v>
      </c>
      <c r="K3823" t="s">
        <v>38534</v>
      </c>
      <c r="M3823" t="s">
        <v>40232</v>
      </c>
      <c r="N3823" t="s">
        <v>42669</v>
      </c>
      <c r="O3823" t="s">
        <v>42670</v>
      </c>
      <c r="P3823">
        <v>0</v>
      </c>
      <c r="Q3823">
        <v>0</v>
      </c>
      <c r="R3823" t="s">
        <v>42676</v>
      </c>
      <c r="S3823" t="s">
        <v>42809</v>
      </c>
      <c r="T3823" t="s">
        <v>44429</v>
      </c>
      <c r="U3823" t="s">
        <v>47984</v>
      </c>
      <c r="W3823" t="s">
        <v>40232</v>
      </c>
      <c r="X3823" t="s">
        <v>42677</v>
      </c>
    </row>
    <row r="3824" spans="1:24">
      <c r="A3824">
        <f>HYPERLINK("https://www.philgeps.gov.ph/GEPSNONPILOT/Tender/SplashBidNoticeAbstractUI.aspx?menuIndex=3&amp;refID=7186926&amp;Result=3","7186926")</f>
        <v>0</v>
      </c>
      <c r="B3824" t="s">
        <v>1395</v>
      </c>
      <c r="C3824" t="s">
        <v>7187</v>
      </c>
      <c r="D3824" t="s">
        <v>17188</v>
      </c>
      <c r="E3824" t="s">
        <v>20615</v>
      </c>
      <c r="F3824" t="s">
        <v>29372</v>
      </c>
      <c r="G3824" t="s">
        <v>29380</v>
      </c>
      <c r="H3824" t="s">
        <v>11048</v>
      </c>
      <c r="I3824" t="s">
        <v>4709</v>
      </c>
      <c r="J3824" t="s">
        <v>32110</v>
      </c>
      <c r="K3824" t="s">
        <v>38485</v>
      </c>
      <c r="M3824" t="s">
        <v>40233</v>
      </c>
      <c r="N3824" t="s">
        <v>42669</v>
      </c>
      <c r="O3824" t="s">
        <v>42670</v>
      </c>
      <c r="P3824">
        <v>0</v>
      </c>
      <c r="Q3824">
        <v>0</v>
      </c>
      <c r="R3824" t="s">
        <v>42676</v>
      </c>
      <c r="S3824" t="s">
        <v>42809</v>
      </c>
      <c r="T3824" t="s">
        <v>44435</v>
      </c>
      <c r="U3824" t="s">
        <v>47985</v>
      </c>
      <c r="W3824" t="s">
        <v>40233</v>
      </c>
      <c r="X3824" t="s">
        <v>42677</v>
      </c>
    </row>
    <row r="3825" spans="1:24">
      <c r="A3825">
        <f>HYPERLINK("https://www.philgeps.gov.ph/GEPSNONPILOT/Tender/SplashBidNoticeAbstractUI.aspx?menuIndex=3&amp;refID=7186921&amp;Result=3","7186921")</f>
        <v>0</v>
      </c>
      <c r="B3825" t="s">
        <v>1396</v>
      </c>
      <c r="C3825" t="s">
        <v>7188</v>
      </c>
      <c r="D3825" t="s">
        <v>17178</v>
      </c>
      <c r="E3825" t="s">
        <v>17399</v>
      </c>
      <c r="F3825" t="s">
        <v>29372</v>
      </c>
      <c r="G3825" t="s">
        <v>29380</v>
      </c>
      <c r="H3825" t="s">
        <v>11048</v>
      </c>
      <c r="I3825" t="s">
        <v>3860</v>
      </c>
      <c r="J3825" t="s">
        <v>29619</v>
      </c>
      <c r="K3825" t="s">
        <v>38485</v>
      </c>
      <c r="M3825" t="s">
        <v>40234</v>
      </c>
      <c r="N3825" t="s">
        <v>42669</v>
      </c>
      <c r="O3825" t="s">
        <v>42670</v>
      </c>
      <c r="P3825">
        <v>0</v>
      </c>
      <c r="Q3825">
        <v>0</v>
      </c>
      <c r="R3825" t="s">
        <v>42676</v>
      </c>
      <c r="S3825" t="s">
        <v>42809</v>
      </c>
      <c r="T3825" t="s">
        <v>44386</v>
      </c>
      <c r="U3825" t="s">
        <v>47986</v>
      </c>
      <c r="W3825" t="s">
        <v>40234</v>
      </c>
      <c r="X3825" t="s">
        <v>42677</v>
      </c>
    </row>
    <row r="3826" spans="1:24">
      <c r="A3826">
        <f>HYPERLINK("https://www.philgeps.gov.ph/GEPSNONPILOT/Tender/SplashBidNoticeAbstractUI.aspx?menuIndex=3&amp;refID=7186919&amp;Result=3","7186919")</f>
        <v>0</v>
      </c>
      <c r="B3826" t="s">
        <v>1125</v>
      </c>
      <c r="C3826" t="s">
        <v>7189</v>
      </c>
      <c r="D3826" t="s">
        <v>17151</v>
      </c>
      <c r="E3826" t="s">
        <v>20616</v>
      </c>
      <c r="F3826" t="s">
        <v>29372</v>
      </c>
      <c r="G3826" t="s">
        <v>29379</v>
      </c>
      <c r="H3826" t="s">
        <v>11048</v>
      </c>
      <c r="I3826" t="s">
        <v>29407</v>
      </c>
      <c r="J3826" t="s">
        <v>32111</v>
      </c>
      <c r="K3826" t="s">
        <v>38491</v>
      </c>
      <c r="M3826" t="s">
        <v>40235</v>
      </c>
      <c r="N3826" t="s">
        <v>42669</v>
      </c>
      <c r="O3826" t="s">
        <v>42670</v>
      </c>
      <c r="P3826">
        <v>0</v>
      </c>
      <c r="Q3826">
        <v>1</v>
      </c>
      <c r="R3826" t="s">
        <v>42676</v>
      </c>
      <c r="S3826" t="s">
        <v>42809</v>
      </c>
      <c r="T3826" t="s">
        <v>44427</v>
      </c>
      <c r="U3826" t="s">
        <v>47987</v>
      </c>
      <c r="W3826" t="s">
        <v>40235</v>
      </c>
      <c r="X3826" t="s">
        <v>42677</v>
      </c>
    </row>
    <row r="3827" spans="1:24">
      <c r="A3827">
        <f>HYPERLINK("https://www.philgeps.gov.ph/GEPSNONPILOT/Tender/SplashBidNoticeAbstractUI.aspx?menuIndex=3&amp;refID=7186917&amp;Result=3","7186917")</f>
        <v>0</v>
      </c>
      <c r="B3827" t="s">
        <v>1125</v>
      </c>
      <c r="C3827" t="s">
        <v>7190</v>
      </c>
      <c r="D3827" t="s">
        <v>17151</v>
      </c>
      <c r="E3827" t="s">
        <v>20617</v>
      </c>
      <c r="F3827" t="s">
        <v>29372</v>
      </c>
      <c r="G3827" t="s">
        <v>29379</v>
      </c>
      <c r="H3827" t="s">
        <v>11048</v>
      </c>
      <c r="I3827" t="s">
        <v>3629</v>
      </c>
      <c r="J3827" t="s">
        <v>30212</v>
      </c>
      <c r="K3827" t="s">
        <v>38491</v>
      </c>
      <c r="M3827" t="s">
        <v>40235</v>
      </c>
      <c r="N3827" t="s">
        <v>42669</v>
      </c>
      <c r="O3827" t="s">
        <v>42670</v>
      </c>
      <c r="P3827">
        <v>0</v>
      </c>
      <c r="Q3827">
        <v>2</v>
      </c>
      <c r="R3827" t="s">
        <v>42676</v>
      </c>
      <c r="S3827" t="s">
        <v>42809</v>
      </c>
      <c r="T3827" t="s">
        <v>44427</v>
      </c>
      <c r="U3827" t="s">
        <v>47988</v>
      </c>
      <c r="W3827" t="s">
        <v>40235</v>
      </c>
      <c r="X3827" t="s">
        <v>42677</v>
      </c>
    </row>
    <row r="3828" spans="1:24">
      <c r="A3828">
        <f>HYPERLINK("https://www.philgeps.gov.ph/GEPSNONPILOT/Tender/SplashBidNoticeAbstractUI.aspx?menuIndex=3&amp;refID=7186582&amp;Result=3","7186582")</f>
        <v>0</v>
      </c>
      <c r="B3828" t="s">
        <v>1272</v>
      </c>
      <c r="C3828" t="s">
        <v>7191</v>
      </c>
      <c r="D3828" t="s">
        <v>17172</v>
      </c>
      <c r="E3828" t="s">
        <v>20618</v>
      </c>
      <c r="F3828" t="s">
        <v>29372</v>
      </c>
      <c r="G3828" t="s">
        <v>29383</v>
      </c>
      <c r="H3828" t="s">
        <v>11048</v>
      </c>
      <c r="I3828" t="s">
        <v>5383</v>
      </c>
      <c r="J3828" t="s">
        <v>32112</v>
      </c>
      <c r="K3828" t="s">
        <v>38491</v>
      </c>
      <c r="M3828" t="s">
        <v>40221</v>
      </c>
      <c r="N3828" t="s">
        <v>42669</v>
      </c>
      <c r="O3828" t="s">
        <v>42670</v>
      </c>
      <c r="P3828">
        <v>0</v>
      </c>
      <c r="Q3828">
        <v>0</v>
      </c>
      <c r="R3828" t="s">
        <v>42676</v>
      </c>
      <c r="S3828" t="s">
        <v>42809</v>
      </c>
      <c r="T3828" t="s">
        <v>44419</v>
      </c>
      <c r="U3828" t="s">
        <v>47989</v>
      </c>
      <c r="W3828" t="s">
        <v>40221</v>
      </c>
      <c r="X3828" t="s">
        <v>42678</v>
      </c>
    </row>
    <row r="3829" spans="1:24">
      <c r="A3829">
        <f>HYPERLINK("https://www.philgeps.gov.ph/GEPSNONPILOT/Tender/SplashBidNoticeAbstractUI.aspx?menuIndex=3&amp;refID=7186920&amp;Result=3","7186920")</f>
        <v>0</v>
      </c>
      <c r="B3829" t="s">
        <v>1125</v>
      </c>
      <c r="C3829" t="s">
        <v>7192</v>
      </c>
      <c r="D3829" t="s">
        <v>17151</v>
      </c>
      <c r="E3829" t="s">
        <v>20619</v>
      </c>
      <c r="F3829" t="s">
        <v>29372</v>
      </c>
      <c r="G3829" t="s">
        <v>29379</v>
      </c>
      <c r="H3829" t="s">
        <v>11048</v>
      </c>
      <c r="I3829" t="s">
        <v>29393</v>
      </c>
      <c r="J3829" t="s">
        <v>32113</v>
      </c>
      <c r="K3829" t="s">
        <v>38491</v>
      </c>
      <c r="M3829" t="s">
        <v>40235</v>
      </c>
      <c r="N3829" t="s">
        <v>42669</v>
      </c>
      <c r="O3829" t="s">
        <v>42670</v>
      </c>
      <c r="P3829">
        <v>0</v>
      </c>
      <c r="Q3829">
        <v>0</v>
      </c>
      <c r="R3829" t="s">
        <v>42676</v>
      </c>
      <c r="S3829" t="s">
        <v>42809</v>
      </c>
      <c r="T3829" t="s">
        <v>44427</v>
      </c>
      <c r="U3829" t="s">
        <v>47990</v>
      </c>
      <c r="W3829" t="s">
        <v>40235</v>
      </c>
      <c r="X3829" t="s">
        <v>42677</v>
      </c>
    </row>
    <row r="3830" spans="1:24">
      <c r="A3830">
        <f>HYPERLINK("https://www.philgeps.gov.ph/GEPSNONPILOT/Tender/SplashBidNoticeAbstractUI.aspx?menuIndex=3&amp;refID=7186914&amp;Result=3","7186914")</f>
        <v>0</v>
      </c>
      <c r="B3830" t="s">
        <v>1125</v>
      </c>
      <c r="C3830" t="s">
        <v>7193</v>
      </c>
      <c r="D3830" t="s">
        <v>17151</v>
      </c>
      <c r="E3830" t="s">
        <v>20620</v>
      </c>
      <c r="F3830" t="s">
        <v>29372</v>
      </c>
      <c r="G3830" t="s">
        <v>29379</v>
      </c>
      <c r="H3830" t="s">
        <v>11048</v>
      </c>
      <c r="I3830" t="s">
        <v>3629</v>
      </c>
      <c r="J3830" t="s">
        <v>32114</v>
      </c>
      <c r="K3830" t="s">
        <v>38491</v>
      </c>
      <c r="M3830" t="s">
        <v>40235</v>
      </c>
      <c r="N3830" t="s">
        <v>42669</v>
      </c>
      <c r="O3830" t="s">
        <v>42670</v>
      </c>
      <c r="P3830">
        <v>0</v>
      </c>
      <c r="Q3830">
        <v>0</v>
      </c>
      <c r="R3830" t="s">
        <v>42676</v>
      </c>
      <c r="S3830" t="s">
        <v>42809</v>
      </c>
      <c r="T3830" t="s">
        <v>44427</v>
      </c>
      <c r="U3830" t="s">
        <v>47991</v>
      </c>
      <c r="W3830" t="s">
        <v>40235</v>
      </c>
      <c r="X3830" t="s">
        <v>42677</v>
      </c>
    </row>
    <row r="3831" spans="1:24">
      <c r="A3831">
        <f>HYPERLINK("https://www.philgeps.gov.ph/GEPSNONPILOT/Tender/SplashBidNoticeAbstractUI.aspx?menuIndex=3&amp;refID=7186912&amp;Result=3","7186912")</f>
        <v>0</v>
      </c>
      <c r="B3831" t="s">
        <v>1125</v>
      </c>
      <c r="C3831" t="s">
        <v>7193</v>
      </c>
      <c r="D3831" t="s">
        <v>17151</v>
      </c>
      <c r="E3831" t="s">
        <v>20621</v>
      </c>
      <c r="F3831" t="s">
        <v>29372</v>
      </c>
      <c r="G3831" t="s">
        <v>29379</v>
      </c>
      <c r="H3831" t="s">
        <v>11048</v>
      </c>
      <c r="I3831" t="s">
        <v>3629</v>
      </c>
      <c r="J3831" t="s">
        <v>29625</v>
      </c>
      <c r="K3831" t="s">
        <v>38491</v>
      </c>
      <c r="M3831" t="s">
        <v>40235</v>
      </c>
      <c r="N3831" t="s">
        <v>42669</v>
      </c>
      <c r="O3831" t="s">
        <v>42670</v>
      </c>
      <c r="P3831">
        <v>0</v>
      </c>
      <c r="Q3831">
        <v>1</v>
      </c>
      <c r="R3831" t="s">
        <v>42676</v>
      </c>
      <c r="S3831" t="s">
        <v>42809</v>
      </c>
      <c r="T3831" t="s">
        <v>44427</v>
      </c>
      <c r="U3831" t="s">
        <v>47992</v>
      </c>
      <c r="W3831" t="s">
        <v>40235</v>
      </c>
      <c r="X3831" t="s">
        <v>42677</v>
      </c>
    </row>
    <row r="3832" spans="1:24">
      <c r="A3832">
        <f>HYPERLINK("https://www.philgeps.gov.ph/GEPSNONPILOT/Tender/SplashBidNoticeAbstractUI.aspx?menuIndex=3&amp;refID=7186911&amp;Result=3","7186911")</f>
        <v>0</v>
      </c>
      <c r="B3832" t="s">
        <v>1125</v>
      </c>
      <c r="C3832" t="s">
        <v>7194</v>
      </c>
      <c r="D3832" t="s">
        <v>17151</v>
      </c>
      <c r="E3832" t="s">
        <v>20622</v>
      </c>
      <c r="F3832" t="s">
        <v>29372</v>
      </c>
      <c r="G3832" t="s">
        <v>29379</v>
      </c>
      <c r="H3832" t="s">
        <v>11048</v>
      </c>
      <c r="I3832" t="s">
        <v>29485</v>
      </c>
      <c r="J3832" t="s">
        <v>30563</v>
      </c>
      <c r="K3832" t="s">
        <v>38491</v>
      </c>
      <c r="M3832" t="s">
        <v>40235</v>
      </c>
      <c r="N3832" t="s">
        <v>42669</v>
      </c>
      <c r="O3832" t="s">
        <v>42670</v>
      </c>
      <c r="P3832">
        <v>0</v>
      </c>
      <c r="Q3832">
        <v>0</v>
      </c>
      <c r="R3832" t="s">
        <v>42676</v>
      </c>
      <c r="S3832" t="s">
        <v>42809</v>
      </c>
      <c r="T3832" t="s">
        <v>44427</v>
      </c>
      <c r="U3832" t="s">
        <v>47993</v>
      </c>
      <c r="W3832" t="s">
        <v>40235</v>
      </c>
      <c r="X3832" t="s">
        <v>42677</v>
      </c>
    </row>
    <row r="3833" spans="1:24">
      <c r="A3833">
        <f>HYPERLINK("https://www.philgeps.gov.ph/GEPSNONPILOT/Tender/SplashBidNoticeAbstractUI.aspx?menuIndex=3&amp;refID=7186915&amp;Result=3","7186915")</f>
        <v>0</v>
      </c>
      <c r="B3833" t="s">
        <v>1125</v>
      </c>
      <c r="C3833" t="s">
        <v>7195</v>
      </c>
      <c r="D3833" t="s">
        <v>17151</v>
      </c>
      <c r="E3833" t="s">
        <v>20623</v>
      </c>
      <c r="F3833" t="s">
        <v>29372</v>
      </c>
      <c r="G3833" t="s">
        <v>29379</v>
      </c>
      <c r="H3833" t="s">
        <v>11048</v>
      </c>
      <c r="I3833" t="s">
        <v>29432</v>
      </c>
      <c r="J3833" t="s">
        <v>32115</v>
      </c>
      <c r="K3833" t="s">
        <v>38491</v>
      </c>
      <c r="M3833" t="s">
        <v>40235</v>
      </c>
      <c r="N3833" t="s">
        <v>42669</v>
      </c>
      <c r="O3833" t="s">
        <v>42670</v>
      </c>
      <c r="P3833">
        <v>0</v>
      </c>
      <c r="Q3833">
        <v>0</v>
      </c>
      <c r="R3833" t="s">
        <v>42676</v>
      </c>
      <c r="S3833" t="s">
        <v>42809</v>
      </c>
      <c r="T3833" t="s">
        <v>44427</v>
      </c>
      <c r="U3833" t="s">
        <v>47994</v>
      </c>
      <c r="W3833" t="s">
        <v>40235</v>
      </c>
      <c r="X3833" t="s">
        <v>42677</v>
      </c>
    </row>
    <row r="3834" spans="1:24">
      <c r="A3834">
        <f>HYPERLINK("https://www.philgeps.gov.ph/GEPSNONPILOT/Tender/SplashBidNoticeAbstractUI.aspx?menuIndex=3&amp;refID=7186910&amp;Result=3","7186910")</f>
        <v>0</v>
      </c>
      <c r="B3834" t="s">
        <v>1125</v>
      </c>
      <c r="C3834" t="s">
        <v>7196</v>
      </c>
      <c r="D3834" t="s">
        <v>17151</v>
      </c>
      <c r="E3834" t="s">
        <v>20624</v>
      </c>
      <c r="F3834" t="s">
        <v>29372</v>
      </c>
      <c r="G3834" t="s">
        <v>29379</v>
      </c>
      <c r="H3834" t="s">
        <v>11048</v>
      </c>
      <c r="I3834" t="s">
        <v>29394</v>
      </c>
      <c r="J3834" t="s">
        <v>29729</v>
      </c>
      <c r="K3834" t="s">
        <v>38491</v>
      </c>
      <c r="M3834" t="s">
        <v>40235</v>
      </c>
      <c r="N3834" t="s">
        <v>42669</v>
      </c>
      <c r="O3834" t="s">
        <v>42670</v>
      </c>
      <c r="P3834">
        <v>0</v>
      </c>
      <c r="Q3834">
        <v>4</v>
      </c>
      <c r="R3834" t="s">
        <v>42676</v>
      </c>
      <c r="S3834" t="s">
        <v>42809</v>
      </c>
      <c r="T3834" t="s">
        <v>44427</v>
      </c>
      <c r="U3834" t="s">
        <v>47995</v>
      </c>
      <c r="W3834" t="s">
        <v>40235</v>
      </c>
      <c r="X3834" t="s">
        <v>42677</v>
      </c>
    </row>
    <row r="3835" spans="1:24">
      <c r="A3835">
        <f>HYPERLINK("https://www.philgeps.gov.ph/GEPSNONPILOT/Tender/SplashBidNoticeAbstractUI.aspx?menuIndex=3&amp;refID=7186666&amp;Result=3","7186666")</f>
        <v>0</v>
      </c>
      <c r="B3835" t="s">
        <v>1383</v>
      </c>
      <c r="C3835" t="s">
        <v>7197</v>
      </c>
      <c r="D3835" t="s">
        <v>17169</v>
      </c>
      <c r="E3835" t="s">
        <v>20592</v>
      </c>
      <c r="F3835" t="s">
        <v>29372</v>
      </c>
      <c r="G3835" t="s">
        <v>29380</v>
      </c>
      <c r="H3835" t="s">
        <v>29389</v>
      </c>
      <c r="I3835" t="s">
        <v>10408</v>
      </c>
      <c r="J3835" t="s">
        <v>32103</v>
      </c>
      <c r="K3835" t="s">
        <v>38496</v>
      </c>
      <c r="M3835" t="s">
        <v>40220</v>
      </c>
      <c r="N3835" t="s">
        <v>42669</v>
      </c>
      <c r="O3835" t="s">
        <v>42670</v>
      </c>
      <c r="P3835">
        <v>0</v>
      </c>
      <c r="Q3835">
        <v>1</v>
      </c>
      <c r="R3835" t="s">
        <v>42676</v>
      </c>
      <c r="S3835" t="s">
        <v>42809</v>
      </c>
      <c r="T3835" t="s">
        <v>44587</v>
      </c>
      <c r="U3835" t="s">
        <v>47960</v>
      </c>
      <c r="V3835" t="s">
        <v>56724</v>
      </c>
      <c r="W3835" t="s">
        <v>40220</v>
      </c>
      <c r="X3835" t="s">
        <v>42678</v>
      </c>
    </row>
    <row r="3836" spans="1:24">
      <c r="A3836">
        <f>HYPERLINK("https://www.philgeps.gov.ph/GEPSNONPILOT/Tender/SplashBidNoticeAbstractUI.aspx?menuIndex=3&amp;refID=7186663&amp;Result=3","7186663")</f>
        <v>0</v>
      </c>
      <c r="B3836" t="s">
        <v>1397</v>
      </c>
      <c r="C3836" t="s">
        <v>7198</v>
      </c>
      <c r="D3836" t="s">
        <v>17213</v>
      </c>
      <c r="E3836" t="s">
        <v>20625</v>
      </c>
      <c r="F3836" t="s">
        <v>29372</v>
      </c>
      <c r="G3836" t="s">
        <v>29384</v>
      </c>
      <c r="H3836" t="s">
        <v>11048</v>
      </c>
      <c r="I3836" t="s">
        <v>29398</v>
      </c>
      <c r="J3836" t="s">
        <v>32116</v>
      </c>
      <c r="K3836" t="s">
        <v>38485</v>
      </c>
      <c r="M3836" t="s">
        <v>40236</v>
      </c>
      <c r="N3836" t="s">
        <v>42669</v>
      </c>
      <c r="O3836" t="s">
        <v>42670</v>
      </c>
      <c r="P3836">
        <v>0</v>
      </c>
      <c r="Q3836">
        <v>1</v>
      </c>
      <c r="R3836" t="s">
        <v>42676</v>
      </c>
      <c r="S3836" t="s">
        <v>42809</v>
      </c>
      <c r="T3836" t="s">
        <v>44559</v>
      </c>
      <c r="U3836" t="s">
        <v>47996</v>
      </c>
      <c r="W3836" t="s">
        <v>40236</v>
      </c>
      <c r="X3836" t="s">
        <v>42678</v>
      </c>
    </row>
    <row r="3837" spans="1:24">
      <c r="A3837">
        <f>HYPERLINK("https://www.philgeps.gov.ph/GEPSNONPILOT/Tender/SplashBidNoticeAbstractUI.aspx?menuIndex=3&amp;refID=7186659&amp;Result=3","7186659")</f>
        <v>0</v>
      </c>
      <c r="B3837" t="s">
        <v>1383</v>
      </c>
      <c r="C3837" t="s">
        <v>7199</v>
      </c>
      <c r="D3837" t="s">
        <v>17169</v>
      </c>
      <c r="E3837" t="s">
        <v>20592</v>
      </c>
      <c r="F3837" t="s">
        <v>29372</v>
      </c>
      <c r="G3837" t="s">
        <v>29380</v>
      </c>
      <c r="H3837" t="s">
        <v>29389</v>
      </c>
      <c r="I3837" t="s">
        <v>10408</v>
      </c>
      <c r="J3837" t="s">
        <v>32117</v>
      </c>
      <c r="K3837" t="s">
        <v>38485</v>
      </c>
      <c r="M3837" t="s">
        <v>40220</v>
      </c>
      <c r="N3837" t="s">
        <v>42669</v>
      </c>
      <c r="O3837" t="s">
        <v>42670</v>
      </c>
      <c r="P3837">
        <v>0</v>
      </c>
      <c r="Q3837">
        <v>1</v>
      </c>
      <c r="R3837" t="s">
        <v>42676</v>
      </c>
      <c r="S3837" t="s">
        <v>42809</v>
      </c>
      <c r="T3837" t="s">
        <v>44587</v>
      </c>
      <c r="U3837" t="s">
        <v>47960</v>
      </c>
      <c r="V3837" t="s">
        <v>56725</v>
      </c>
      <c r="W3837" t="s">
        <v>40220</v>
      </c>
      <c r="X3837" t="s">
        <v>42678</v>
      </c>
    </row>
    <row r="3838" spans="1:24">
      <c r="A3838">
        <f>HYPERLINK("https://www.philgeps.gov.ph/GEPSNONPILOT/Tender/SplashBidNoticeAbstractUI.aspx?menuIndex=3&amp;refID=7186928&amp;Result=3","7186928")</f>
        <v>0</v>
      </c>
      <c r="B3838" t="s">
        <v>1394</v>
      </c>
      <c r="C3838" t="s">
        <v>7200</v>
      </c>
      <c r="D3838" t="s">
        <v>17171</v>
      </c>
      <c r="E3838" t="s">
        <v>18800</v>
      </c>
      <c r="F3838" t="s">
        <v>29372</v>
      </c>
      <c r="G3838" t="s">
        <v>29379</v>
      </c>
      <c r="H3838" t="s">
        <v>11048</v>
      </c>
      <c r="I3838" t="s">
        <v>4709</v>
      </c>
      <c r="J3838" t="s">
        <v>32118</v>
      </c>
      <c r="K3838" t="s">
        <v>38534</v>
      </c>
      <c r="M3838" t="s">
        <v>40232</v>
      </c>
      <c r="N3838" t="s">
        <v>42669</v>
      </c>
      <c r="O3838" t="s">
        <v>42670</v>
      </c>
      <c r="P3838">
        <v>0</v>
      </c>
      <c r="Q3838">
        <v>0</v>
      </c>
      <c r="R3838" t="s">
        <v>42676</v>
      </c>
      <c r="S3838" t="s">
        <v>42809</v>
      </c>
      <c r="T3838" t="s">
        <v>44401</v>
      </c>
      <c r="U3838" t="s">
        <v>47997</v>
      </c>
      <c r="W3838" t="s">
        <v>40232</v>
      </c>
      <c r="X3838" t="s">
        <v>42677</v>
      </c>
    </row>
    <row r="3839" spans="1:24">
      <c r="A3839">
        <f>HYPERLINK("https://www.philgeps.gov.ph/GEPSNONPILOT/Tender/SplashBidNoticeAbstractUI.aspx?menuIndex=3&amp;refID=7186913&amp;Result=3","7186913")</f>
        <v>0</v>
      </c>
      <c r="B3839" t="s">
        <v>1125</v>
      </c>
      <c r="C3839" t="s">
        <v>7195</v>
      </c>
      <c r="D3839" t="s">
        <v>17151</v>
      </c>
      <c r="E3839" t="s">
        <v>20626</v>
      </c>
      <c r="F3839" t="s">
        <v>29372</v>
      </c>
      <c r="G3839" t="s">
        <v>29379</v>
      </c>
      <c r="H3839" t="s">
        <v>11048</v>
      </c>
      <c r="I3839" t="s">
        <v>29432</v>
      </c>
      <c r="J3839" t="s">
        <v>32119</v>
      </c>
      <c r="K3839" t="s">
        <v>38491</v>
      </c>
      <c r="M3839" t="s">
        <v>40235</v>
      </c>
      <c r="N3839" t="s">
        <v>42669</v>
      </c>
      <c r="O3839" t="s">
        <v>42670</v>
      </c>
      <c r="P3839">
        <v>0</v>
      </c>
      <c r="Q3839">
        <v>0</v>
      </c>
      <c r="R3839" t="s">
        <v>42676</v>
      </c>
      <c r="S3839" t="s">
        <v>42809</v>
      </c>
      <c r="T3839" t="s">
        <v>44427</v>
      </c>
      <c r="U3839" t="s">
        <v>47998</v>
      </c>
      <c r="W3839" t="s">
        <v>40235</v>
      </c>
      <c r="X3839" t="s">
        <v>42677</v>
      </c>
    </row>
    <row r="3840" spans="1:24">
      <c r="A3840">
        <f>HYPERLINK("https://www.philgeps.gov.ph/GEPSNONPILOT/Tender/SplashBidNoticeAbstractUI.aspx?menuIndex=3&amp;refID=7186672&amp;Result=3","7186672")</f>
        <v>0</v>
      </c>
      <c r="B3840" t="s">
        <v>1383</v>
      </c>
      <c r="C3840" t="s">
        <v>7201</v>
      </c>
      <c r="D3840" t="s">
        <v>17169</v>
      </c>
      <c r="E3840" t="s">
        <v>20592</v>
      </c>
      <c r="F3840" t="s">
        <v>29372</v>
      </c>
      <c r="G3840" t="s">
        <v>29380</v>
      </c>
      <c r="H3840" t="s">
        <v>29389</v>
      </c>
      <c r="I3840" t="s">
        <v>10408</v>
      </c>
      <c r="J3840" t="s">
        <v>32120</v>
      </c>
      <c r="K3840" t="s">
        <v>38495</v>
      </c>
      <c r="M3840" t="s">
        <v>40220</v>
      </c>
      <c r="N3840" t="s">
        <v>42669</v>
      </c>
      <c r="O3840" t="s">
        <v>42670</v>
      </c>
      <c r="P3840">
        <v>0</v>
      </c>
      <c r="Q3840">
        <v>1</v>
      </c>
      <c r="R3840" t="s">
        <v>42676</v>
      </c>
      <c r="S3840" t="s">
        <v>42809</v>
      </c>
      <c r="T3840" t="s">
        <v>44587</v>
      </c>
      <c r="U3840" t="s">
        <v>47960</v>
      </c>
      <c r="V3840" t="s">
        <v>56726</v>
      </c>
      <c r="W3840" t="s">
        <v>40220</v>
      </c>
      <c r="X3840" t="s">
        <v>42678</v>
      </c>
    </row>
    <row r="3841" spans="1:24">
      <c r="A3841">
        <f>HYPERLINK("https://www.philgeps.gov.ph/GEPSNONPILOT/Tender/SplashBidNoticeAbstractUI.aspx?menuIndex=3&amp;refID=7186623&amp;Result=3","7186623")</f>
        <v>0</v>
      </c>
      <c r="B3841" t="s">
        <v>1383</v>
      </c>
      <c r="C3841" t="s">
        <v>7202</v>
      </c>
      <c r="D3841" t="s">
        <v>17169</v>
      </c>
      <c r="E3841" t="s">
        <v>20592</v>
      </c>
      <c r="F3841" t="s">
        <v>29372</v>
      </c>
      <c r="G3841" t="s">
        <v>29380</v>
      </c>
      <c r="H3841" t="s">
        <v>29389</v>
      </c>
      <c r="I3841" t="s">
        <v>10408</v>
      </c>
      <c r="J3841" t="s">
        <v>32121</v>
      </c>
      <c r="K3841" t="s">
        <v>38495</v>
      </c>
      <c r="M3841" t="s">
        <v>40220</v>
      </c>
      <c r="N3841" t="s">
        <v>42669</v>
      </c>
      <c r="O3841" t="s">
        <v>42670</v>
      </c>
      <c r="P3841">
        <v>0</v>
      </c>
      <c r="Q3841">
        <v>1</v>
      </c>
      <c r="R3841" t="s">
        <v>42676</v>
      </c>
      <c r="S3841" t="s">
        <v>42809</v>
      </c>
      <c r="T3841" t="s">
        <v>44587</v>
      </c>
      <c r="U3841" t="s">
        <v>47960</v>
      </c>
      <c r="V3841" t="s">
        <v>56727</v>
      </c>
      <c r="W3841" t="s">
        <v>40220</v>
      </c>
      <c r="X3841" t="s">
        <v>42678</v>
      </c>
    </row>
    <row r="3842" spans="1:24">
      <c r="A3842">
        <f>HYPERLINK("https://www.philgeps.gov.ph/GEPSNONPILOT/Tender/SplashBidNoticeAbstractUI.aspx?menuIndex=3&amp;refID=7186616&amp;Result=3","7186616")</f>
        <v>0</v>
      </c>
      <c r="B3842" t="s">
        <v>1383</v>
      </c>
      <c r="C3842" t="s">
        <v>7203</v>
      </c>
      <c r="D3842" t="s">
        <v>17169</v>
      </c>
      <c r="E3842" t="s">
        <v>20592</v>
      </c>
      <c r="F3842" t="s">
        <v>29372</v>
      </c>
      <c r="G3842" t="s">
        <v>29380</v>
      </c>
      <c r="H3842" t="s">
        <v>29389</v>
      </c>
      <c r="I3842" t="s">
        <v>10408</v>
      </c>
      <c r="J3842" t="s">
        <v>32106</v>
      </c>
      <c r="K3842" t="s">
        <v>38485</v>
      </c>
      <c r="M3842" t="s">
        <v>40220</v>
      </c>
      <c r="N3842" t="s">
        <v>42669</v>
      </c>
      <c r="O3842" t="s">
        <v>42670</v>
      </c>
      <c r="P3842">
        <v>0</v>
      </c>
      <c r="Q3842">
        <v>1</v>
      </c>
      <c r="R3842" t="s">
        <v>42676</v>
      </c>
      <c r="S3842" t="s">
        <v>42809</v>
      </c>
      <c r="T3842" t="s">
        <v>44587</v>
      </c>
      <c r="U3842" t="s">
        <v>47960</v>
      </c>
      <c r="V3842" t="s">
        <v>56728</v>
      </c>
      <c r="W3842" t="s">
        <v>40220</v>
      </c>
      <c r="X3842" t="s">
        <v>42678</v>
      </c>
    </row>
    <row r="3843" spans="1:24">
      <c r="A3843">
        <f>HYPERLINK("https://www.philgeps.gov.ph/GEPSNONPILOT/Tender/SplashBidNoticeAbstractUI.aspx?menuIndex=3&amp;refID=7186605&amp;Result=3","7186605")</f>
        <v>0</v>
      </c>
      <c r="B3843" t="s">
        <v>1383</v>
      </c>
      <c r="C3843" t="s">
        <v>7204</v>
      </c>
      <c r="D3843" t="s">
        <v>17169</v>
      </c>
      <c r="E3843" t="s">
        <v>20592</v>
      </c>
      <c r="F3843" t="s">
        <v>29372</v>
      </c>
      <c r="G3843" t="s">
        <v>29380</v>
      </c>
      <c r="H3843" t="s">
        <v>29389</v>
      </c>
      <c r="I3843" t="s">
        <v>10408</v>
      </c>
      <c r="J3843" t="s">
        <v>30161</v>
      </c>
      <c r="K3843" t="s">
        <v>38496</v>
      </c>
      <c r="M3843" t="s">
        <v>40220</v>
      </c>
      <c r="N3843" t="s">
        <v>42669</v>
      </c>
      <c r="O3843" t="s">
        <v>42670</v>
      </c>
      <c r="P3843">
        <v>0</v>
      </c>
      <c r="Q3843">
        <v>0</v>
      </c>
      <c r="R3843" t="s">
        <v>42676</v>
      </c>
      <c r="S3843" t="s">
        <v>42809</v>
      </c>
      <c r="T3843" t="s">
        <v>44587</v>
      </c>
      <c r="U3843" t="s">
        <v>47960</v>
      </c>
      <c r="V3843" t="s">
        <v>56729</v>
      </c>
      <c r="W3843" t="s">
        <v>40220</v>
      </c>
      <c r="X3843" t="s">
        <v>42678</v>
      </c>
    </row>
    <row r="3844" spans="1:24">
      <c r="A3844">
        <f>HYPERLINK("https://www.philgeps.gov.ph/GEPSNONPILOT/Tender/SplashBidNoticeAbstractUI.aspx?menuIndex=3&amp;refID=7186583&amp;Result=3","7186583")</f>
        <v>0</v>
      </c>
      <c r="B3844" t="s">
        <v>1383</v>
      </c>
      <c r="C3844" t="s">
        <v>7205</v>
      </c>
      <c r="D3844" t="s">
        <v>17169</v>
      </c>
      <c r="E3844" t="s">
        <v>20592</v>
      </c>
      <c r="F3844" t="s">
        <v>29372</v>
      </c>
      <c r="G3844" t="s">
        <v>29380</v>
      </c>
      <c r="H3844" t="s">
        <v>29389</v>
      </c>
      <c r="I3844" t="s">
        <v>10408</v>
      </c>
      <c r="J3844" t="s">
        <v>29543</v>
      </c>
      <c r="K3844" t="s">
        <v>38496</v>
      </c>
      <c r="M3844" t="s">
        <v>40220</v>
      </c>
      <c r="N3844" t="s">
        <v>42669</v>
      </c>
      <c r="O3844" t="s">
        <v>42670</v>
      </c>
      <c r="P3844">
        <v>0</v>
      </c>
      <c r="Q3844">
        <v>0</v>
      </c>
      <c r="R3844" t="s">
        <v>42676</v>
      </c>
      <c r="S3844" t="s">
        <v>42809</v>
      </c>
      <c r="T3844" t="s">
        <v>44587</v>
      </c>
      <c r="U3844" t="s">
        <v>47960</v>
      </c>
      <c r="V3844" t="s">
        <v>56730</v>
      </c>
      <c r="W3844" t="s">
        <v>40220</v>
      </c>
      <c r="X3844" t="s">
        <v>42678</v>
      </c>
    </row>
    <row r="3845" spans="1:24">
      <c r="A3845">
        <f>HYPERLINK("https://www.philgeps.gov.ph/GEPSNONPILOT/Tender/SplashBidNoticeAbstractUI.aspx?menuIndex=3&amp;refID=7186443&amp;Result=3","7186443")</f>
        <v>0</v>
      </c>
      <c r="B3845" t="s">
        <v>1398</v>
      </c>
      <c r="C3845" t="s">
        <v>7206</v>
      </c>
      <c r="D3845" t="s">
        <v>17212</v>
      </c>
      <c r="E3845" t="s">
        <v>20627</v>
      </c>
      <c r="F3845" t="s">
        <v>29372</v>
      </c>
      <c r="G3845" t="s">
        <v>29379</v>
      </c>
      <c r="H3845" t="s">
        <v>11048</v>
      </c>
      <c r="I3845" t="s">
        <v>8208</v>
      </c>
      <c r="J3845" t="s">
        <v>29745</v>
      </c>
      <c r="K3845" t="s">
        <v>38524</v>
      </c>
      <c r="M3845" t="s">
        <v>40237</v>
      </c>
      <c r="N3845" t="s">
        <v>42669</v>
      </c>
      <c r="O3845" t="s">
        <v>42670</v>
      </c>
      <c r="P3845">
        <v>0</v>
      </c>
      <c r="Q3845">
        <v>0</v>
      </c>
      <c r="R3845" t="s">
        <v>42676</v>
      </c>
      <c r="S3845" t="s">
        <v>42809</v>
      </c>
      <c r="T3845" t="s">
        <v>44491</v>
      </c>
      <c r="U3845" t="s">
        <v>47999</v>
      </c>
      <c r="W3845" t="s">
        <v>40237</v>
      </c>
      <c r="X3845" t="s">
        <v>42678</v>
      </c>
    </row>
    <row r="3846" spans="1:24">
      <c r="A3846">
        <f>HYPERLINK("https://www.philgeps.gov.ph/GEPSNONPILOT/Tender/SplashBidNoticeAbstractUI.aspx?menuIndex=3&amp;refID=7186945&amp;Result=3","7186945")</f>
        <v>0</v>
      </c>
      <c r="B3846" t="s">
        <v>1360</v>
      </c>
      <c r="C3846" t="s">
        <v>7207</v>
      </c>
      <c r="D3846" t="s">
        <v>17201</v>
      </c>
      <c r="E3846" t="s">
        <v>20628</v>
      </c>
      <c r="F3846" t="s">
        <v>29372</v>
      </c>
      <c r="G3846" t="s">
        <v>29379</v>
      </c>
      <c r="H3846" t="s">
        <v>11048</v>
      </c>
      <c r="I3846" t="s">
        <v>29404</v>
      </c>
      <c r="J3846" t="s">
        <v>29823</v>
      </c>
      <c r="K3846" t="s">
        <v>38485</v>
      </c>
      <c r="M3846" t="s">
        <v>40197</v>
      </c>
      <c r="N3846" t="s">
        <v>42669</v>
      </c>
      <c r="O3846" t="s">
        <v>42670</v>
      </c>
      <c r="P3846">
        <v>0</v>
      </c>
      <c r="Q3846">
        <v>0</v>
      </c>
      <c r="R3846" t="s">
        <v>42676</v>
      </c>
      <c r="S3846" t="s">
        <v>42809</v>
      </c>
      <c r="T3846" t="s">
        <v>44491</v>
      </c>
      <c r="U3846" t="s">
        <v>48000</v>
      </c>
      <c r="W3846" t="s">
        <v>40197</v>
      </c>
      <c r="X3846" t="s">
        <v>42677</v>
      </c>
    </row>
    <row r="3847" spans="1:24">
      <c r="A3847">
        <f>HYPERLINK("https://www.philgeps.gov.ph/GEPSNONPILOT/Tender/SplashBidNoticeAbstractUI.aspx?menuIndex=3&amp;refID=7186288&amp;Result=3","7186288")</f>
        <v>0</v>
      </c>
      <c r="B3847" t="s">
        <v>1373</v>
      </c>
      <c r="C3847" t="s">
        <v>7208</v>
      </c>
      <c r="D3847" t="s">
        <v>17172</v>
      </c>
      <c r="E3847" t="s">
        <v>20629</v>
      </c>
      <c r="F3847" t="s">
        <v>29372</v>
      </c>
      <c r="G3847" t="s">
        <v>29380</v>
      </c>
      <c r="H3847" t="s">
        <v>29389</v>
      </c>
      <c r="I3847" t="s">
        <v>10408</v>
      </c>
      <c r="J3847" t="s">
        <v>32122</v>
      </c>
      <c r="K3847" t="s">
        <v>38518</v>
      </c>
      <c r="M3847" t="s">
        <v>40210</v>
      </c>
      <c r="N3847" t="s">
        <v>42669</v>
      </c>
      <c r="O3847" t="s">
        <v>42670</v>
      </c>
      <c r="P3847">
        <v>0</v>
      </c>
      <c r="Q3847">
        <v>0</v>
      </c>
      <c r="R3847" t="s">
        <v>42676</v>
      </c>
      <c r="S3847" t="s">
        <v>42809</v>
      </c>
      <c r="T3847" t="s">
        <v>44480</v>
      </c>
      <c r="U3847" t="s">
        <v>47933</v>
      </c>
      <c r="W3847" t="s">
        <v>40210</v>
      </c>
      <c r="X3847" t="s">
        <v>42678</v>
      </c>
    </row>
    <row r="3848" spans="1:24">
      <c r="A3848">
        <f>HYPERLINK("https://www.philgeps.gov.ph/GEPSNONPILOT/Tender/SplashBidNoticeAbstractUI.aspx?menuIndex=3&amp;refID=7184497&amp;Result=3","7184497")</f>
        <v>0</v>
      </c>
      <c r="B3848" t="s">
        <v>1354</v>
      </c>
      <c r="C3848" t="s">
        <v>7209</v>
      </c>
      <c r="D3848" t="s">
        <v>17155</v>
      </c>
      <c r="E3848" t="s">
        <v>20630</v>
      </c>
      <c r="F3848" t="s">
        <v>29372</v>
      </c>
      <c r="G3848" t="s">
        <v>29380</v>
      </c>
      <c r="H3848" t="s">
        <v>29389</v>
      </c>
      <c r="I3848" t="s">
        <v>10408</v>
      </c>
      <c r="J3848" t="s">
        <v>32123</v>
      </c>
      <c r="K3848" t="s">
        <v>38522</v>
      </c>
      <c r="M3848" t="s">
        <v>40191</v>
      </c>
      <c r="N3848" t="s">
        <v>42669</v>
      </c>
      <c r="O3848" t="s">
        <v>42670</v>
      </c>
      <c r="P3848">
        <v>0</v>
      </c>
      <c r="Q3848">
        <v>0</v>
      </c>
      <c r="R3848" t="s">
        <v>42676</v>
      </c>
      <c r="S3848" t="s">
        <v>42809</v>
      </c>
      <c r="T3848" t="s">
        <v>44368</v>
      </c>
      <c r="U3848" t="s">
        <v>47905</v>
      </c>
      <c r="V3848" t="s">
        <v>56731</v>
      </c>
      <c r="W3848" t="s">
        <v>40191</v>
      </c>
      <c r="X3848" t="s">
        <v>42678</v>
      </c>
    </row>
    <row r="3849" spans="1:24">
      <c r="A3849">
        <f>HYPERLINK("https://www.philgeps.gov.ph/GEPSNONPILOT/Tender/SplashBidNoticeAbstractUI.aspx?menuIndex=3&amp;refID=7184494&amp;Result=3","7184494")</f>
        <v>0</v>
      </c>
      <c r="B3849" t="s">
        <v>1342</v>
      </c>
      <c r="C3849" t="s">
        <v>7210</v>
      </c>
      <c r="D3849" t="s">
        <v>17169</v>
      </c>
      <c r="E3849" t="s">
        <v>20631</v>
      </c>
      <c r="F3849" t="s">
        <v>29372</v>
      </c>
      <c r="G3849" t="s">
        <v>29380</v>
      </c>
      <c r="H3849" t="s">
        <v>29389</v>
      </c>
      <c r="I3849" t="s">
        <v>10408</v>
      </c>
      <c r="J3849" t="s">
        <v>32124</v>
      </c>
      <c r="K3849" t="s">
        <v>38487</v>
      </c>
      <c r="M3849" t="s">
        <v>40178</v>
      </c>
      <c r="N3849" t="s">
        <v>42669</v>
      </c>
      <c r="O3849" t="s">
        <v>42670</v>
      </c>
      <c r="P3849">
        <v>0</v>
      </c>
      <c r="Q3849">
        <v>0</v>
      </c>
      <c r="R3849" t="s">
        <v>42676</v>
      </c>
      <c r="S3849" t="s">
        <v>42809</v>
      </c>
      <c r="T3849" t="s">
        <v>44544</v>
      </c>
      <c r="U3849" t="s">
        <v>48001</v>
      </c>
      <c r="W3849" t="s">
        <v>40178</v>
      </c>
      <c r="X3849" t="s">
        <v>42678</v>
      </c>
    </row>
    <row r="3850" spans="1:24">
      <c r="A3850">
        <f>HYPERLINK("https://www.philgeps.gov.ph/GEPSNONPILOT/Tender/SplashBidNoticeAbstractUI.aspx?menuIndex=3&amp;refID=7186602&amp;Result=3","7186602")</f>
        <v>0</v>
      </c>
      <c r="B3850" t="s">
        <v>1272</v>
      </c>
      <c r="C3850" t="s">
        <v>7211</v>
      </c>
      <c r="D3850" t="s">
        <v>17172</v>
      </c>
      <c r="E3850" t="s">
        <v>20632</v>
      </c>
      <c r="F3850" t="s">
        <v>29372</v>
      </c>
      <c r="G3850" t="s">
        <v>29383</v>
      </c>
      <c r="H3850" t="s">
        <v>11048</v>
      </c>
      <c r="I3850" t="s">
        <v>4487</v>
      </c>
      <c r="J3850" t="s">
        <v>32125</v>
      </c>
      <c r="K3850" t="s">
        <v>38491</v>
      </c>
      <c r="M3850" t="s">
        <v>40221</v>
      </c>
      <c r="N3850" t="s">
        <v>42669</v>
      </c>
      <c r="O3850" t="s">
        <v>42670</v>
      </c>
      <c r="P3850">
        <v>0</v>
      </c>
      <c r="Q3850">
        <v>2</v>
      </c>
      <c r="R3850" t="s">
        <v>42676</v>
      </c>
      <c r="S3850" t="s">
        <v>42809</v>
      </c>
      <c r="T3850" t="s">
        <v>44419</v>
      </c>
      <c r="U3850" t="s">
        <v>48002</v>
      </c>
      <c r="W3850" t="s">
        <v>40221</v>
      </c>
      <c r="X3850" t="s">
        <v>42678</v>
      </c>
    </row>
    <row r="3851" spans="1:24">
      <c r="A3851">
        <f>HYPERLINK("https://www.philgeps.gov.ph/GEPSNONPILOT/Tender/SplashBidNoticeAbstractUI.aspx?menuIndex=3&amp;refID=7186611&amp;Result=3","7186611")</f>
        <v>0</v>
      </c>
      <c r="B3851" t="s">
        <v>1383</v>
      </c>
      <c r="C3851" t="s">
        <v>7212</v>
      </c>
      <c r="D3851" t="s">
        <v>17169</v>
      </c>
      <c r="E3851" t="s">
        <v>20592</v>
      </c>
      <c r="F3851" t="s">
        <v>29372</v>
      </c>
      <c r="G3851" t="s">
        <v>29380</v>
      </c>
      <c r="H3851" t="s">
        <v>29389</v>
      </c>
      <c r="I3851" t="s">
        <v>10408</v>
      </c>
      <c r="J3851" t="s">
        <v>32120</v>
      </c>
      <c r="K3851" t="s">
        <v>38495</v>
      </c>
      <c r="M3851" t="s">
        <v>40220</v>
      </c>
      <c r="N3851" t="s">
        <v>42669</v>
      </c>
      <c r="O3851" t="s">
        <v>42670</v>
      </c>
      <c r="P3851">
        <v>0</v>
      </c>
      <c r="Q3851">
        <v>1</v>
      </c>
      <c r="R3851" t="s">
        <v>42676</v>
      </c>
      <c r="S3851" t="s">
        <v>42809</v>
      </c>
      <c r="T3851" t="s">
        <v>44587</v>
      </c>
      <c r="U3851" t="s">
        <v>47960</v>
      </c>
      <c r="V3851" t="s">
        <v>56732</v>
      </c>
      <c r="W3851" t="s">
        <v>40220</v>
      </c>
      <c r="X3851" t="s">
        <v>42678</v>
      </c>
    </row>
    <row r="3852" spans="1:24">
      <c r="A3852">
        <f>HYPERLINK("https://www.philgeps.gov.ph/GEPSNONPILOT/Tender/SplashBidNoticeAbstractUI.aspx?menuIndex=3&amp;refID=7186630&amp;Result=3","7186630")</f>
        <v>0</v>
      </c>
      <c r="B3852" t="s">
        <v>1383</v>
      </c>
      <c r="C3852" t="s">
        <v>7213</v>
      </c>
      <c r="D3852" t="s">
        <v>17169</v>
      </c>
      <c r="E3852" t="s">
        <v>20592</v>
      </c>
      <c r="F3852" t="s">
        <v>29372</v>
      </c>
      <c r="G3852" t="s">
        <v>29380</v>
      </c>
      <c r="H3852" t="s">
        <v>29389</v>
      </c>
      <c r="I3852" t="s">
        <v>10408</v>
      </c>
      <c r="J3852" t="s">
        <v>32120</v>
      </c>
      <c r="K3852" t="s">
        <v>38495</v>
      </c>
      <c r="M3852" t="s">
        <v>40220</v>
      </c>
      <c r="N3852" t="s">
        <v>42669</v>
      </c>
      <c r="O3852" t="s">
        <v>42670</v>
      </c>
      <c r="P3852">
        <v>0</v>
      </c>
      <c r="Q3852">
        <v>1</v>
      </c>
      <c r="R3852" t="s">
        <v>42676</v>
      </c>
      <c r="S3852" t="s">
        <v>42809</v>
      </c>
      <c r="T3852" t="s">
        <v>44587</v>
      </c>
      <c r="U3852" t="s">
        <v>47960</v>
      </c>
      <c r="V3852" t="s">
        <v>56733</v>
      </c>
      <c r="W3852" t="s">
        <v>40220</v>
      </c>
      <c r="X3852" t="s">
        <v>42678</v>
      </c>
    </row>
    <row r="3853" spans="1:24">
      <c r="A3853">
        <f>HYPERLINK("https://www.philgeps.gov.ph/GEPSNONPILOT/Tender/SplashBidNoticeAbstractUI.aspx?menuIndex=3&amp;refID=7184510&amp;Result=3","7184510")</f>
        <v>0</v>
      </c>
      <c r="B3853" t="s">
        <v>1341</v>
      </c>
      <c r="C3853" t="s">
        <v>7214</v>
      </c>
      <c r="D3853" t="s">
        <v>17141</v>
      </c>
      <c r="E3853" t="s">
        <v>20633</v>
      </c>
      <c r="F3853" t="s">
        <v>29372</v>
      </c>
      <c r="G3853" t="s">
        <v>29380</v>
      </c>
      <c r="H3853" t="s">
        <v>11048</v>
      </c>
      <c r="I3853" t="s">
        <v>3695</v>
      </c>
      <c r="J3853" t="s">
        <v>32126</v>
      </c>
      <c r="K3853" t="s">
        <v>38490</v>
      </c>
      <c r="M3853" t="s">
        <v>40177</v>
      </c>
      <c r="N3853" t="s">
        <v>42669</v>
      </c>
      <c r="O3853" t="s">
        <v>42670</v>
      </c>
      <c r="P3853">
        <v>0</v>
      </c>
      <c r="Q3853">
        <v>5</v>
      </c>
      <c r="R3853" t="s">
        <v>42676</v>
      </c>
      <c r="S3853" t="s">
        <v>42809</v>
      </c>
      <c r="T3853" t="s">
        <v>44446</v>
      </c>
      <c r="U3853" t="s">
        <v>48003</v>
      </c>
      <c r="W3853" t="s">
        <v>40177</v>
      </c>
      <c r="X3853" t="s">
        <v>42678</v>
      </c>
    </row>
    <row r="3854" spans="1:24">
      <c r="A3854">
        <f>HYPERLINK("https://www.philgeps.gov.ph/GEPSNONPILOT/Tender/SplashBidNoticeAbstractUI.aspx?menuIndex=3&amp;refID=7186951&amp;Result=3","7186951")</f>
        <v>0</v>
      </c>
      <c r="B3854" t="s">
        <v>1392</v>
      </c>
      <c r="C3854" t="s">
        <v>7215</v>
      </c>
      <c r="D3854" t="s">
        <v>17141</v>
      </c>
      <c r="E3854" t="s">
        <v>20634</v>
      </c>
      <c r="F3854" t="s">
        <v>29372</v>
      </c>
      <c r="G3854" t="s">
        <v>29380</v>
      </c>
      <c r="H3854" t="s">
        <v>11048</v>
      </c>
      <c r="I3854" t="s">
        <v>3670</v>
      </c>
      <c r="J3854" t="s">
        <v>32127</v>
      </c>
      <c r="K3854" t="s">
        <v>38490</v>
      </c>
      <c r="M3854" t="s">
        <v>40230</v>
      </c>
      <c r="N3854" t="s">
        <v>42669</v>
      </c>
      <c r="O3854" t="s">
        <v>42670</v>
      </c>
      <c r="P3854">
        <v>0</v>
      </c>
      <c r="Q3854">
        <v>0</v>
      </c>
      <c r="R3854" t="s">
        <v>42676</v>
      </c>
      <c r="S3854" t="s">
        <v>42809</v>
      </c>
      <c r="T3854" t="s">
        <v>44394</v>
      </c>
      <c r="U3854" t="s">
        <v>48004</v>
      </c>
      <c r="W3854" t="s">
        <v>40230</v>
      </c>
      <c r="X3854" t="s">
        <v>42677</v>
      </c>
    </row>
    <row r="3855" spans="1:24">
      <c r="A3855">
        <f>HYPERLINK("https://www.philgeps.gov.ph/GEPSNONPILOT/Tender/SplashBidNoticeAbstractUI.aspx?menuIndex=3&amp;refID=7186969&amp;Result=3","7186969")</f>
        <v>0</v>
      </c>
      <c r="B3855" t="s">
        <v>65</v>
      </c>
      <c r="C3855" t="s">
        <v>7216</v>
      </c>
      <c r="D3855" t="s">
        <v>17141</v>
      </c>
      <c r="E3855" t="s">
        <v>20635</v>
      </c>
      <c r="F3855" t="s">
        <v>29372</v>
      </c>
      <c r="G3855" t="s">
        <v>29379</v>
      </c>
      <c r="H3855" t="s">
        <v>11048</v>
      </c>
      <c r="I3855" t="s">
        <v>3629</v>
      </c>
      <c r="J3855" t="s">
        <v>32128</v>
      </c>
      <c r="K3855" t="s">
        <v>38489</v>
      </c>
      <c r="M3855" t="s">
        <v>38819</v>
      </c>
      <c r="N3855" t="s">
        <v>42669</v>
      </c>
      <c r="O3855" t="s">
        <v>42670</v>
      </c>
      <c r="P3855">
        <v>0</v>
      </c>
      <c r="Q3855">
        <v>0</v>
      </c>
      <c r="R3855" t="s">
        <v>42676</v>
      </c>
      <c r="S3855" t="s">
        <v>42809</v>
      </c>
      <c r="T3855" t="s">
        <v>44488</v>
      </c>
      <c r="U3855" t="s">
        <v>48005</v>
      </c>
      <c r="W3855" t="s">
        <v>38819</v>
      </c>
      <c r="X3855" t="s">
        <v>42677</v>
      </c>
    </row>
    <row r="3856" spans="1:24">
      <c r="A3856">
        <f>HYPERLINK("https://www.philgeps.gov.ph/GEPSNONPILOT/Tender/SplashBidNoticeAbstractUI.aspx?menuIndex=3&amp;refID=7186964&amp;Result=3","7186964")</f>
        <v>0</v>
      </c>
      <c r="B3856" t="s">
        <v>98</v>
      </c>
      <c r="C3856" t="s">
        <v>7217</v>
      </c>
      <c r="D3856" t="s">
        <v>17141</v>
      </c>
      <c r="E3856" t="s">
        <v>17965</v>
      </c>
      <c r="F3856" t="s">
        <v>29372</v>
      </c>
      <c r="G3856" t="s">
        <v>29379</v>
      </c>
      <c r="H3856" t="s">
        <v>11048</v>
      </c>
      <c r="I3856" t="s">
        <v>29410</v>
      </c>
      <c r="J3856" t="s">
        <v>29529</v>
      </c>
      <c r="K3856" t="s">
        <v>38488</v>
      </c>
      <c r="M3856" t="s">
        <v>38852</v>
      </c>
      <c r="N3856" t="s">
        <v>42669</v>
      </c>
      <c r="O3856" t="s">
        <v>42670</v>
      </c>
      <c r="P3856">
        <v>0</v>
      </c>
      <c r="Q3856">
        <v>2</v>
      </c>
      <c r="R3856" t="s">
        <v>42676</v>
      </c>
      <c r="S3856" t="s">
        <v>42809</v>
      </c>
      <c r="T3856" t="s">
        <v>44543</v>
      </c>
      <c r="U3856" t="s">
        <v>48006</v>
      </c>
      <c r="W3856" t="s">
        <v>38852</v>
      </c>
      <c r="X3856" t="s">
        <v>42677</v>
      </c>
    </row>
    <row r="3857" spans="1:24">
      <c r="A3857">
        <f>HYPERLINK("https://www.philgeps.gov.ph/GEPSNONPILOT/Tender/SplashBidNoticeAbstractUI.aspx?menuIndex=3&amp;refID=7186960&amp;Result=3","7186960")</f>
        <v>0</v>
      </c>
      <c r="B3857" t="s">
        <v>1399</v>
      </c>
      <c r="C3857" t="s">
        <v>7218</v>
      </c>
      <c r="D3857" t="s">
        <v>17168</v>
      </c>
      <c r="E3857" t="s">
        <v>20636</v>
      </c>
      <c r="F3857" t="s">
        <v>29372</v>
      </c>
      <c r="G3857" t="s">
        <v>29380</v>
      </c>
      <c r="H3857" t="s">
        <v>11048</v>
      </c>
      <c r="I3857" t="s">
        <v>4709</v>
      </c>
      <c r="J3857" t="s">
        <v>32129</v>
      </c>
      <c r="K3857" t="s">
        <v>38510</v>
      </c>
      <c r="M3857" t="s">
        <v>40238</v>
      </c>
      <c r="N3857" t="s">
        <v>42669</v>
      </c>
      <c r="O3857" t="s">
        <v>42670</v>
      </c>
      <c r="P3857">
        <v>0</v>
      </c>
      <c r="Q3857">
        <v>1</v>
      </c>
      <c r="R3857" t="s">
        <v>42676</v>
      </c>
      <c r="S3857" t="s">
        <v>42809</v>
      </c>
      <c r="T3857" t="s">
        <v>44643</v>
      </c>
      <c r="U3857" t="s">
        <v>45484</v>
      </c>
      <c r="W3857" t="s">
        <v>40238</v>
      </c>
      <c r="X3857" t="s">
        <v>42677</v>
      </c>
    </row>
    <row r="3858" spans="1:24">
      <c r="A3858">
        <f>HYPERLINK("https://www.philgeps.gov.ph/GEPSNONPILOT/Tender/SplashBidNoticeAbstractUI.aspx?menuIndex=3&amp;refID=7186959&amp;Result=3","7186959")</f>
        <v>0</v>
      </c>
      <c r="B3858" t="s">
        <v>1400</v>
      </c>
      <c r="C3858" t="s">
        <v>7219</v>
      </c>
      <c r="D3858" t="s">
        <v>17141</v>
      </c>
      <c r="E3858" t="s">
        <v>20637</v>
      </c>
      <c r="F3858" t="s">
        <v>29372</v>
      </c>
      <c r="G3858" t="s">
        <v>29383</v>
      </c>
      <c r="H3858" t="s">
        <v>11048</v>
      </c>
      <c r="I3858" t="s">
        <v>3629</v>
      </c>
      <c r="J3858" t="s">
        <v>32130</v>
      </c>
      <c r="K3858" t="s">
        <v>38485</v>
      </c>
      <c r="M3858" t="s">
        <v>40239</v>
      </c>
      <c r="N3858" t="s">
        <v>42669</v>
      </c>
      <c r="O3858" t="s">
        <v>42670</v>
      </c>
      <c r="P3858">
        <v>0</v>
      </c>
      <c r="Q3858">
        <v>1</v>
      </c>
      <c r="R3858" t="s">
        <v>42676</v>
      </c>
      <c r="S3858" t="s">
        <v>42809</v>
      </c>
      <c r="T3858" t="s">
        <v>44371</v>
      </c>
      <c r="U3858" t="s">
        <v>48007</v>
      </c>
      <c r="W3858" t="s">
        <v>40239</v>
      </c>
      <c r="X3858" t="s">
        <v>42677</v>
      </c>
    </row>
    <row r="3859" spans="1:24">
      <c r="A3859">
        <f>HYPERLINK("https://www.philgeps.gov.ph/GEPSNONPILOT/Tender/SplashBidNoticeAbstractUI.aspx?menuIndex=3&amp;refID=7186955&amp;Result=3","7186955")</f>
        <v>0</v>
      </c>
      <c r="B3859" t="s">
        <v>1401</v>
      </c>
      <c r="C3859" t="s">
        <v>7220</v>
      </c>
      <c r="D3859" t="s">
        <v>17141</v>
      </c>
      <c r="E3859" t="s">
        <v>20638</v>
      </c>
      <c r="F3859" t="s">
        <v>29372</v>
      </c>
      <c r="G3859" t="s">
        <v>29379</v>
      </c>
      <c r="H3859" t="s">
        <v>11048</v>
      </c>
      <c r="I3859" t="s">
        <v>29458</v>
      </c>
      <c r="J3859" t="s">
        <v>32131</v>
      </c>
      <c r="K3859" t="s">
        <v>38490</v>
      </c>
      <c r="M3859" t="s">
        <v>40240</v>
      </c>
      <c r="N3859" t="s">
        <v>42669</v>
      </c>
      <c r="O3859" t="s">
        <v>42670</v>
      </c>
      <c r="P3859">
        <v>0</v>
      </c>
      <c r="Q3859">
        <v>2</v>
      </c>
      <c r="R3859" t="s">
        <v>42676</v>
      </c>
      <c r="S3859" t="s">
        <v>42809</v>
      </c>
      <c r="T3859" t="s">
        <v>44470</v>
      </c>
      <c r="U3859" t="s">
        <v>48008</v>
      </c>
      <c r="W3859" t="s">
        <v>40240</v>
      </c>
      <c r="X3859" t="s">
        <v>42677</v>
      </c>
    </row>
    <row r="3860" spans="1:24">
      <c r="A3860">
        <f>HYPERLINK("https://www.philgeps.gov.ph/GEPSNONPILOT/Tender/SplashBidNoticeAbstractUI.aspx?menuIndex=3&amp;refID=7184850&amp;Result=3","7184850")</f>
        <v>0</v>
      </c>
      <c r="B3860" t="s">
        <v>1353</v>
      </c>
      <c r="C3860" t="s">
        <v>7221</v>
      </c>
      <c r="D3860" t="s">
        <v>17198</v>
      </c>
      <c r="E3860" t="s">
        <v>20639</v>
      </c>
      <c r="F3860" t="s">
        <v>29372</v>
      </c>
      <c r="G3860" t="s">
        <v>29380</v>
      </c>
      <c r="H3860" t="s">
        <v>29389</v>
      </c>
      <c r="I3860" t="s">
        <v>10408</v>
      </c>
      <c r="J3860" t="s">
        <v>32132</v>
      </c>
      <c r="K3860" t="s">
        <v>38530</v>
      </c>
      <c r="M3860" t="s">
        <v>40189</v>
      </c>
      <c r="N3860" t="s">
        <v>42669</v>
      </c>
      <c r="O3860" t="s">
        <v>42670</v>
      </c>
      <c r="P3860">
        <v>0</v>
      </c>
      <c r="Q3860">
        <v>0</v>
      </c>
      <c r="R3860" t="s">
        <v>42676</v>
      </c>
      <c r="S3860" t="s">
        <v>42809</v>
      </c>
      <c r="T3860" t="s">
        <v>44503</v>
      </c>
      <c r="U3860" t="s">
        <v>46039</v>
      </c>
      <c r="W3860" t="s">
        <v>40189</v>
      </c>
      <c r="X3860" t="s">
        <v>42678</v>
      </c>
    </row>
    <row r="3861" spans="1:24">
      <c r="A3861">
        <f>HYPERLINK("https://www.philgeps.gov.ph/GEPSNONPILOT/Tender/SplashBidNoticeAbstractUI.aspx?menuIndex=3&amp;refID=7186954&amp;Result=3","7186954")</f>
        <v>0</v>
      </c>
      <c r="B3861" t="s">
        <v>1392</v>
      </c>
      <c r="C3861" t="s">
        <v>7222</v>
      </c>
      <c r="D3861" t="s">
        <v>17141</v>
      </c>
      <c r="E3861" t="s">
        <v>20640</v>
      </c>
      <c r="F3861" t="s">
        <v>29372</v>
      </c>
      <c r="G3861" t="s">
        <v>29383</v>
      </c>
      <c r="H3861" t="s">
        <v>11048</v>
      </c>
      <c r="I3861" t="s">
        <v>3670</v>
      </c>
      <c r="J3861" t="s">
        <v>32133</v>
      </c>
      <c r="K3861" t="s">
        <v>38490</v>
      </c>
      <c r="M3861" t="s">
        <v>40230</v>
      </c>
      <c r="N3861" t="s">
        <v>42669</v>
      </c>
      <c r="O3861" t="s">
        <v>42670</v>
      </c>
      <c r="P3861">
        <v>0</v>
      </c>
      <c r="Q3861">
        <v>0</v>
      </c>
      <c r="R3861" t="s">
        <v>42676</v>
      </c>
      <c r="S3861" t="s">
        <v>42809</v>
      </c>
      <c r="T3861" t="s">
        <v>44394</v>
      </c>
      <c r="U3861" t="s">
        <v>48009</v>
      </c>
      <c r="W3861" t="s">
        <v>40230</v>
      </c>
      <c r="X3861" t="s">
        <v>42677</v>
      </c>
    </row>
    <row r="3862" spans="1:24">
      <c r="A3862">
        <f>HYPERLINK("https://www.philgeps.gov.ph/GEPSNONPILOT/Tender/SplashBidNoticeAbstractUI.aspx?menuIndex=3&amp;refID=7186952&amp;Result=3","7186952")</f>
        <v>0</v>
      </c>
      <c r="B3862" t="s">
        <v>1391</v>
      </c>
      <c r="C3862" t="s">
        <v>7223</v>
      </c>
      <c r="D3862" t="s">
        <v>17151</v>
      </c>
      <c r="E3862" t="s">
        <v>20641</v>
      </c>
      <c r="F3862" t="s">
        <v>29372</v>
      </c>
      <c r="G3862" t="s">
        <v>29380</v>
      </c>
      <c r="H3862" t="s">
        <v>29391</v>
      </c>
      <c r="I3862" t="s">
        <v>29391</v>
      </c>
      <c r="J3862" t="s">
        <v>32134</v>
      </c>
      <c r="K3862" t="s">
        <v>38623</v>
      </c>
      <c r="M3862" t="s">
        <v>40229</v>
      </c>
      <c r="N3862" t="s">
        <v>42669</v>
      </c>
      <c r="O3862" t="s">
        <v>42670</v>
      </c>
      <c r="P3862">
        <v>0</v>
      </c>
      <c r="Q3862">
        <v>4</v>
      </c>
      <c r="R3862" t="s">
        <v>42676</v>
      </c>
      <c r="S3862" t="s">
        <v>42809</v>
      </c>
      <c r="T3862" t="s">
        <v>44470</v>
      </c>
      <c r="U3862" t="s">
        <v>47979</v>
      </c>
      <c r="V3862" t="s">
        <v>56721</v>
      </c>
      <c r="W3862" t="s">
        <v>40229</v>
      </c>
      <c r="X3862" t="s">
        <v>42677</v>
      </c>
    </row>
    <row r="3863" spans="1:24">
      <c r="A3863">
        <f>HYPERLINK("https://www.philgeps.gov.ph/GEPSNONPILOT/Tender/SplashBidNoticeAbstractUI.aspx?menuIndex=3&amp;refID=7186970&amp;Result=3","7186970")</f>
        <v>0</v>
      </c>
      <c r="B3863" t="s">
        <v>1402</v>
      </c>
      <c r="C3863" t="s">
        <v>7224</v>
      </c>
      <c r="D3863" t="s">
        <v>17174</v>
      </c>
      <c r="E3863" t="s">
        <v>20642</v>
      </c>
      <c r="F3863" t="s">
        <v>29372</v>
      </c>
      <c r="G3863" t="s">
        <v>29380</v>
      </c>
      <c r="H3863" t="s">
        <v>11048</v>
      </c>
      <c r="I3863" t="s">
        <v>29398</v>
      </c>
      <c r="J3863" t="s">
        <v>32135</v>
      </c>
      <c r="K3863" t="s">
        <v>38488</v>
      </c>
      <c r="M3863" t="s">
        <v>40241</v>
      </c>
      <c r="N3863" t="s">
        <v>42669</v>
      </c>
      <c r="O3863" t="s">
        <v>42670</v>
      </c>
      <c r="P3863">
        <v>0</v>
      </c>
      <c r="Q3863">
        <v>3</v>
      </c>
      <c r="R3863" t="s">
        <v>42676</v>
      </c>
      <c r="S3863" t="s">
        <v>42809</v>
      </c>
      <c r="T3863" t="s">
        <v>44399</v>
      </c>
      <c r="U3863" t="s">
        <v>48010</v>
      </c>
      <c r="W3863" t="s">
        <v>40241</v>
      </c>
      <c r="X3863" t="s">
        <v>42677</v>
      </c>
    </row>
    <row r="3864" spans="1:24">
      <c r="A3864">
        <f>HYPERLINK("https://www.philgeps.gov.ph/GEPSNONPILOT/Tender/SplashBidNoticeAbstractUI.aspx?menuIndex=3&amp;refID=7186986&amp;Result=3","7186986")</f>
        <v>0</v>
      </c>
      <c r="B3864" t="s">
        <v>684</v>
      </c>
      <c r="C3864" t="s">
        <v>7225</v>
      </c>
      <c r="D3864" t="s">
        <v>17197</v>
      </c>
      <c r="E3864" t="s">
        <v>20643</v>
      </c>
      <c r="F3864" t="s">
        <v>29372</v>
      </c>
      <c r="G3864" t="s">
        <v>29379</v>
      </c>
      <c r="H3864" t="s">
        <v>11048</v>
      </c>
      <c r="I3864" t="s">
        <v>29396</v>
      </c>
      <c r="J3864" t="s">
        <v>32136</v>
      </c>
      <c r="K3864" t="s">
        <v>38491</v>
      </c>
      <c r="M3864" t="s">
        <v>39460</v>
      </c>
      <c r="N3864" t="s">
        <v>42669</v>
      </c>
      <c r="O3864" t="s">
        <v>42670</v>
      </c>
      <c r="P3864">
        <v>0</v>
      </c>
      <c r="Q3864">
        <v>0</v>
      </c>
      <c r="R3864" t="s">
        <v>42676</v>
      </c>
      <c r="S3864" t="s">
        <v>42809</v>
      </c>
      <c r="T3864" t="s">
        <v>44570</v>
      </c>
      <c r="U3864" t="s">
        <v>48011</v>
      </c>
      <c r="W3864" t="s">
        <v>39460</v>
      </c>
      <c r="X3864" t="s">
        <v>42677</v>
      </c>
    </row>
    <row r="3865" spans="1:24">
      <c r="A3865">
        <f>HYPERLINK("https://www.philgeps.gov.ph/GEPSNONPILOT/Tender/SplashBidNoticeAbstractUI.aspx?menuIndex=3&amp;refID=7186963&amp;Result=3","7186963")</f>
        <v>0</v>
      </c>
      <c r="B3865" t="s">
        <v>1383</v>
      </c>
      <c r="C3865" t="s">
        <v>7226</v>
      </c>
      <c r="D3865" t="s">
        <v>17169</v>
      </c>
      <c r="E3865" t="s">
        <v>20592</v>
      </c>
      <c r="F3865" t="s">
        <v>29372</v>
      </c>
      <c r="G3865" t="s">
        <v>29380</v>
      </c>
      <c r="H3865" t="s">
        <v>29389</v>
      </c>
      <c r="I3865" t="s">
        <v>10408</v>
      </c>
      <c r="J3865" t="s">
        <v>32103</v>
      </c>
      <c r="K3865" t="s">
        <v>38496</v>
      </c>
      <c r="M3865" t="s">
        <v>40220</v>
      </c>
      <c r="N3865" t="s">
        <v>42669</v>
      </c>
      <c r="O3865" t="s">
        <v>42670</v>
      </c>
      <c r="P3865">
        <v>0</v>
      </c>
      <c r="Q3865">
        <v>2</v>
      </c>
      <c r="R3865" t="s">
        <v>42676</v>
      </c>
      <c r="S3865" t="s">
        <v>42809</v>
      </c>
      <c r="T3865" t="s">
        <v>44587</v>
      </c>
      <c r="U3865" t="s">
        <v>47960</v>
      </c>
      <c r="V3865" t="s">
        <v>56734</v>
      </c>
      <c r="W3865" t="s">
        <v>40220</v>
      </c>
      <c r="X3865" t="s">
        <v>42677</v>
      </c>
    </row>
    <row r="3866" spans="1:24">
      <c r="A3866">
        <f>HYPERLINK("https://www.philgeps.gov.ph/GEPSNONPILOT/Tender/SplashBidNoticeAbstractUI.aspx?menuIndex=3&amp;refID=7186985&amp;Result=3","7186985")</f>
        <v>0</v>
      </c>
      <c r="B3866" t="s">
        <v>1403</v>
      </c>
      <c r="C3866" t="s">
        <v>7227</v>
      </c>
      <c r="D3866" t="s">
        <v>17144</v>
      </c>
      <c r="E3866" t="s">
        <v>20644</v>
      </c>
      <c r="F3866" t="s">
        <v>29372</v>
      </c>
      <c r="G3866" t="s">
        <v>29379</v>
      </c>
      <c r="H3866" t="s">
        <v>11048</v>
      </c>
      <c r="I3866" t="s">
        <v>3629</v>
      </c>
      <c r="J3866" t="s">
        <v>32137</v>
      </c>
      <c r="K3866" t="s">
        <v>38488</v>
      </c>
      <c r="M3866" t="s">
        <v>40242</v>
      </c>
      <c r="N3866" t="s">
        <v>42669</v>
      </c>
      <c r="O3866" t="s">
        <v>42670</v>
      </c>
      <c r="P3866">
        <v>0</v>
      </c>
      <c r="Q3866">
        <v>1</v>
      </c>
      <c r="R3866" t="s">
        <v>42676</v>
      </c>
      <c r="S3866" t="s">
        <v>42809</v>
      </c>
      <c r="T3866" t="s">
        <v>44525</v>
      </c>
      <c r="U3866" t="s">
        <v>48012</v>
      </c>
      <c r="W3866" t="s">
        <v>40242</v>
      </c>
      <c r="X3866" t="s">
        <v>42677</v>
      </c>
    </row>
    <row r="3867" spans="1:24">
      <c r="A3867">
        <f>HYPERLINK("https://www.philgeps.gov.ph/GEPSNONPILOT/Tender/SplashBidNoticeAbstractUI.aspx?menuIndex=3&amp;refID=7186977&amp;Result=3","7186977")</f>
        <v>0</v>
      </c>
      <c r="B3867" t="s">
        <v>1383</v>
      </c>
      <c r="C3867" t="s">
        <v>7228</v>
      </c>
      <c r="D3867" t="s">
        <v>17169</v>
      </c>
      <c r="E3867" t="s">
        <v>20592</v>
      </c>
      <c r="F3867" t="s">
        <v>29372</v>
      </c>
      <c r="G3867" t="s">
        <v>29380</v>
      </c>
      <c r="H3867" t="s">
        <v>29389</v>
      </c>
      <c r="I3867" t="s">
        <v>10408</v>
      </c>
      <c r="J3867" t="s">
        <v>32103</v>
      </c>
      <c r="K3867" t="s">
        <v>38496</v>
      </c>
      <c r="M3867" t="s">
        <v>40220</v>
      </c>
      <c r="N3867" t="s">
        <v>42669</v>
      </c>
      <c r="O3867" t="s">
        <v>42670</v>
      </c>
      <c r="P3867">
        <v>0</v>
      </c>
      <c r="Q3867">
        <v>1</v>
      </c>
      <c r="R3867" t="s">
        <v>42676</v>
      </c>
      <c r="S3867" t="s">
        <v>42809</v>
      </c>
      <c r="T3867" t="s">
        <v>44587</v>
      </c>
      <c r="U3867" t="s">
        <v>47960</v>
      </c>
      <c r="V3867" t="s">
        <v>56735</v>
      </c>
      <c r="W3867" t="s">
        <v>40220</v>
      </c>
      <c r="X3867" t="s">
        <v>42677</v>
      </c>
    </row>
    <row r="3868" spans="1:24">
      <c r="A3868">
        <f>HYPERLINK("https://www.philgeps.gov.ph/GEPSNONPILOT/Tender/SplashBidNoticeAbstractUI.aspx?menuIndex=3&amp;refID=7186976&amp;Result=3","7186976")</f>
        <v>0</v>
      </c>
      <c r="B3868" t="s">
        <v>1404</v>
      </c>
      <c r="C3868" t="s">
        <v>7229</v>
      </c>
      <c r="D3868" t="s">
        <v>17189</v>
      </c>
      <c r="E3868" t="s">
        <v>20645</v>
      </c>
      <c r="F3868" t="s">
        <v>29372</v>
      </c>
      <c r="G3868" t="s">
        <v>29379</v>
      </c>
      <c r="H3868" t="s">
        <v>11048</v>
      </c>
      <c r="I3868" t="s">
        <v>29407</v>
      </c>
      <c r="J3868" t="s">
        <v>29729</v>
      </c>
      <c r="K3868" t="s">
        <v>38538</v>
      </c>
      <c r="M3868" t="s">
        <v>40243</v>
      </c>
      <c r="N3868" t="s">
        <v>42669</v>
      </c>
      <c r="O3868" t="s">
        <v>42670</v>
      </c>
      <c r="P3868">
        <v>0</v>
      </c>
      <c r="Q3868">
        <v>2</v>
      </c>
      <c r="R3868" t="s">
        <v>42676</v>
      </c>
      <c r="S3868" t="s">
        <v>42809</v>
      </c>
      <c r="T3868" t="s">
        <v>44481</v>
      </c>
      <c r="U3868" t="s">
        <v>48013</v>
      </c>
      <c r="W3868" t="s">
        <v>40243</v>
      </c>
      <c r="X3868" t="s">
        <v>42677</v>
      </c>
    </row>
    <row r="3869" spans="1:24">
      <c r="A3869">
        <f>HYPERLINK("https://www.philgeps.gov.ph/GEPSNONPILOT/Tender/SplashBidNoticeAbstractUI.aspx?menuIndex=3&amp;refID=7186968&amp;Result=3","7186968")</f>
        <v>0</v>
      </c>
      <c r="B3869" t="s">
        <v>1404</v>
      </c>
      <c r="C3869" t="s">
        <v>7230</v>
      </c>
      <c r="D3869" t="s">
        <v>17189</v>
      </c>
      <c r="E3869" t="s">
        <v>20646</v>
      </c>
      <c r="F3869" t="s">
        <v>29372</v>
      </c>
      <c r="G3869" t="s">
        <v>29379</v>
      </c>
      <c r="H3869" t="s">
        <v>11048</v>
      </c>
      <c r="I3869" t="s">
        <v>3670</v>
      </c>
      <c r="J3869" t="s">
        <v>32014</v>
      </c>
      <c r="K3869" t="s">
        <v>38538</v>
      </c>
      <c r="M3869" t="s">
        <v>40243</v>
      </c>
      <c r="N3869" t="s">
        <v>42669</v>
      </c>
      <c r="O3869" t="s">
        <v>42670</v>
      </c>
      <c r="P3869">
        <v>0</v>
      </c>
      <c r="Q3869">
        <v>0</v>
      </c>
      <c r="R3869" t="s">
        <v>42676</v>
      </c>
      <c r="S3869" t="s">
        <v>42809</v>
      </c>
      <c r="T3869" t="s">
        <v>44481</v>
      </c>
      <c r="U3869" t="s">
        <v>48014</v>
      </c>
      <c r="W3869" t="s">
        <v>40243</v>
      </c>
      <c r="X3869" t="s">
        <v>42677</v>
      </c>
    </row>
    <row r="3870" spans="1:24">
      <c r="A3870">
        <f>HYPERLINK("https://www.philgeps.gov.ph/GEPSNONPILOT/Tender/SplashBidNoticeAbstractUI.aspx?menuIndex=3&amp;refID=7186987&amp;Result=3","7186987")</f>
        <v>0</v>
      </c>
      <c r="B3870" t="s">
        <v>1383</v>
      </c>
      <c r="C3870" t="s">
        <v>7231</v>
      </c>
      <c r="D3870" t="s">
        <v>17169</v>
      </c>
      <c r="E3870" t="s">
        <v>20592</v>
      </c>
      <c r="F3870" t="s">
        <v>29372</v>
      </c>
      <c r="G3870" t="s">
        <v>29380</v>
      </c>
      <c r="H3870" t="s">
        <v>29389</v>
      </c>
      <c r="I3870" t="s">
        <v>10408</v>
      </c>
      <c r="J3870" t="s">
        <v>30161</v>
      </c>
      <c r="K3870" t="s">
        <v>38496</v>
      </c>
      <c r="M3870" t="s">
        <v>40220</v>
      </c>
      <c r="N3870" t="s">
        <v>42669</v>
      </c>
      <c r="O3870" t="s">
        <v>42670</v>
      </c>
      <c r="P3870">
        <v>0</v>
      </c>
      <c r="Q3870">
        <v>0</v>
      </c>
      <c r="R3870" t="s">
        <v>42676</v>
      </c>
      <c r="S3870" t="s">
        <v>42809</v>
      </c>
      <c r="T3870" t="s">
        <v>44587</v>
      </c>
      <c r="U3870" t="s">
        <v>47960</v>
      </c>
      <c r="V3870" t="s">
        <v>56736</v>
      </c>
      <c r="W3870" t="s">
        <v>40220</v>
      </c>
      <c r="X3870" t="s">
        <v>42677</v>
      </c>
    </row>
    <row r="3871" spans="1:24">
      <c r="A3871">
        <f>HYPERLINK("https://www.philgeps.gov.ph/GEPSNONPILOT/Tender/SplashBidNoticeAbstractUI.aspx?menuIndex=3&amp;refID=7186972&amp;Result=3","7186972")</f>
        <v>0</v>
      </c>
      <c r="B3871" t="s">
        <v>884</v>
      </c>
      <c r="C3871" t="s">
        <v>7232</v>
      </c>
      <c r="D3871" t="s">
        <v>17170</v>
      </c>
      <c r="E3871" t="s">
        <v>20647</v>
      </c>
      <c r="F3871" t="s">
        <v>29372</v>
      </c>
      <c r="G3871" t="s">
        <v>29380</v>
      </c>
      <c r="H3871" t="s">
        <v>29389</v>
      </c>
      <c r="I3871" t="s">
        <v>10408</v>
      </c>
      <c r="J3871" t="s">
        <v>29615</v>
      </c>
      <c r="K3871" t="s">
        <v>38522</v>
      </c>
      <c r="M3871" t="s">
        <v>39676</v>
      </c>
      <c r="N3871" t="s">
        <v>42669</v>
      </c>
      <c r="O3871" t="s">
        <v>42670</v>
      </c>
      <c r="P3871">
        <v>0</v>
      </c>
      <c r="Q3871">
        <v>0</v>
      </c>
      <c r="R3871" t="s">
        <v>42676</v>
      </c>
      <c r="S3871" t="s">
        <v>42809</v>
      </c>
      <c r="T3871" t="s">
        <v>44358</v>
      </c>
      <c r="U3871" t="s">
        <v>48015</v>
      </c>
      <c r="W3871" t="s">
        <v>39676</v>
      </c>
      <c r="X3871" t="s">
        <v>42677</v>
      </c>
    </row>
    <row r="3872" spans="1:24">
      <c r="A3872">
        <f>HYPERLINK("https://www.philgeps.gov.ph/GEPSNONPILOT/Tender/SplashBidNoticeAbstractUI.aspx?menuIndex=3&amp;refID=7186965&amp;Result=3","7186965")</f>
        <v>0</v>
      </c>
      <c r="B3872" t="s">
        <v>884</v>
      </c>
      <c r="C3872" t="s">
        <v>7233</v>
      </c>
      <c r="D3872" t="s">
        <v>17170</v>
      </c>
      <c r="E3872" t="s">
        <v>20648</v>
      </c>
      <c r="F3872" t="s">
        <v>29372</v>
      </c>
      <c r="G3872" t="s">
        <v>29380</v>
      </c>
      <c r="H3872" t="s">
        <v>29389</v>
      </c>
      <c r="I3872" t="s">
        <v>10408</v>
      </c>
      <c r="J3872" t="s">
        <v>29724</v>
      </c>
      <c r="K3872" t="s">
        <v>38495</v>
      </c>
      <c r="M3872" t="s">
        <v>39676</v>
      </c>
      <c r="N3872" t="s">
        <v>42669</v>
      </c>
      <c r="O3872" t="s">
        <v>42670</v>
      </c>
      <c r="P3872">
        <v>0</v>
      </c>
      <c r="Q3872">
        <v>0</v>
      </c>
      <c r="R3872" t="s">
        <v>42676</v>
      </c>
      <c r="S3872" t="s">
        <v>42809</v>
      </c>
      <c r="T3872" t="s">
        <v>44415</v>
      </c>
      <c r="U3872" t="s">
        <v>48016</v>
      </c>
      <c r="W3872" t="s">
        <v>39676</v>
      </c>
      <c r="X3872" t="s">
        <v>42677</v>
      </c>
    </row>
    <row r="3873" spans="1:24">
      <c r="A3873">
        <f>HYPERLINK("https://www.philgeps.gov.ph/GEPSNONPILOT/Tender/SplashBidNoticeAbstractUI.aspx?menuIndex=3&amp;refID=7187006&amp;Result=3","7187006")</f>
        <v>0</v>
      </c>
      <c r="B3873" t="s">
        <v>1405</v>
      </c>
      <c r="C3873" t="s">
        <v>7234</v>
      </c>
      <c r="D3873" t="s">
        <v>17176</v>
      </c>
      <c r="E3873" t="s">
        <v>17870</v>
      </c>
      <c r="F3873" t="s">
        <v>29372</v>
      </c>
      <c r="G3873" t="s">
        <v>29380</v>
      </c>
      <c r="H3873" t="s">
        <v>29389</v>
      </c>
      <c r="I3873" t="s">
        <v>10408</v>
      </c>
      <c r="J3873" t="s">
        <v>32138</v>
      </c>
      <c r="K3873" t="s">
        <v>38485</v>
      </c>
      <c r="M3873" t="s">
        <v>40244</v>
      </c>
      <c r="N3873" t="s">
        <v>42669</v>
      </c>
      <c r="O3873" t="s">
        <v>42670</v>
      </c>
      <c r="P3873">
        <v>0</v>
      </c>
      <c r="Q3873">
        <v>0</v>
      </c>
      <c r="R3873" t="s">
        <v>42676</v>
      </c>
      <c r="S3873" t="s">
        <v>42809</v>
      </c>
      <c r="T3873" t="s">
        <v>44349</v>
      </c>
      <c r="U3873" t="s">
        <v>48017</v>
      </c>
      <c r="W3873" t="s">
        <v>40244</v>
      </c>
      <c r="X3873" t="s">
        <v>42677</v>
      </c>
    </row>
    <row r="3874" spans="1:24">
      <c r="A3874">
        <f>HYPERLINK("https://www.philgeps.gov.ph/GEPSNONPILOT/Tender/SplashBidNoticeAbstractUI.aspx?menuIndex=3&amp;refID=7186988&amp;Result=3","7186988")</f>
        <v>0</v>
      </c>
      <c r="B3874" t="s">
        <v>1406</v>
      </c>
      <c r="C3874" t="s">
        <v>7235</v>
      </c>
      <c r="D3874" t="s">
        <v>17173</v>
      </c>
      <c r="E3874" t="s">
        <v>20649</v>
      </c>
      <c r="F3874" t="s">
        <v>29372</v>
      </c>
      <c r="G3874" t="s">
        <v>29380</v>
      </c>
      <c r="H3874" t="s">
        <v>29389</v>
      </c>
      <c r="I3874" t="s">
        <v>10408</v>
      </c>
      <c r="J3874" t="s">
        <v>32139</v>
      </c>
      <c r="K3874" t="s">
        <v>38624</v>
      </c>
      <c r="M3874" t="s">
        <v>40245</v>
      </c>
      <c r="N3874" t="s">
        <v>42669</v>
      </c>
      <c r="O3874" t="s">
        <v>42670</v>
      </c>
      <c r="P3874">
        <v>0</v>
      </c>
      <c r="Q3874">
        <v>1</v>
      </c>
      <c r="R3874" t="s">
        <v>42676</v>
      </c>
      <c r="S3874" t="s">
        <v>42809</v>
      </c>
      <c r="T3874" t="s">
        <v>44446</v>
      </c>
      <c r="U3874" t="s">
        <v>48018</v>
      </c>
      <c r="V3874" t="s">
        <v>56737</v>
      </c>
      <c r="W3874" t="s">
        <v>40245</v>
      </c>
      <c r="X3874" t="s">
        <v>42677</v>
      </c>
    </row>
    <row r="3875" spans="1:24">
      <c r="A3875">
        <f>HYPERLINK("https://www.philgeps.gov.ph/GEPSNONPILOT/Tender/SplashBidNoticeAbstractUI.aspx?menuIndex=3&amp;refID=7186995&amp;Result=3","7186995")</f>
        <v>0</v>
      </c>
      <c r="B3875" t="s">
        <v>884</v>
      </c>
      <c r="C3875" t="s">
        <v>7236</v>
      </c>
      <c r="D3875" t="s">
        <v>17170</v>
      </c>
      <c r="E3875" t="s">
        <v>20650</v>
      </c>
      <c r="F3875" t="s">
        <v>29372</v>
      </c>
      <c r="G3875" t="s">
        <v>29380</v>
      </c>
      <c r="H3875" t="s">
        <v>29389</v>
      </c>
      <c r="I3875" t="s">
        <v>10408</v>
      </c>
      <c r="J3875" t="s">
        <v>29615</v>
      </c>
      <c r="K3875" t="s">
        <v>38522</v>
      </c>
      <c r="M3875" t="s">
        <v>39676</v>
      </c>
      <c r="N3875" t="s">
        <v>42669</v>
      </c>
      <c r="O3875" t="s">
        <v>42670</v>
      </c>
      <c r="P3875">
        <v>0</v>
      </c>
      <c r="Q3875">
        <v>0</v>
      </c>
      <c r="R3875" t="s">
        <v>42676</v>
      </c>
      <c r="S3875" t="s">
        <v>42809</v>
      </c>
      <c r="T3875" t="s">
        <v>44620</v>
      </c>
      <c r="U3875" t="s">
        <v>48019</v>
      </c>
      <c r="W3875" t="s">
        <v>39676</v>
      </c>
      <c r="X3875" t="s">
        <v>42677</v>
      </c>
    </row>
    <row r="3876" spans="1:24">
      <c r="A3876">
        <f>HYPERLINK("https://www.philgeps.gov.ph/GEPSNONPILOT/Tender/SplashBidNoticeAbstractUI.aspx?menuIndex=3&amp;refID=7186971&amp;Result=3","7186971")</f>
        <v>0</v>
      </c>
      <c r="B3876" t="s">
        <v>1407</v>
      </c>
      <c r="C3876" t="s">
        <v>7237</v>
      </c>
      <c r="D3876" t="s">
        <v>17188</v>
      </c>
      <c r="E3876" t="s">
        <v>20651</v>
      </c>
      <c r="F3876" t="s">
        <v>29372</v>
      </c>
      <c r="G3876" t="s">
        <v>29380</v>
      </c>
      <c r="H3876" t="s">
        <v>29389</v>
      </c>
      <c r="I3876" t="s">
        <v>10408</v>
      </c>
      <c r="J3876" t="s">
        <v>29604</v>
      </c>
      <c r="K3876" t="s">
        <v>38496</v>
      </c>
      <c r="M3876" t="s">
        <v>40246</v>
      </c>
      <c r="N3876" t="s">
        <v>42669</v>
      </c>
      <c r="O3876" t="s">
        <v>42670</v>
      </c>
      <c r="P3876">
        <v>0</v>
      </c>
      <c r="Q3876">
        <v>0</v>
      </c>
      <c r="R3876" t="s">
        <v>42676</v>
      </c>
      <c r="S3876" t="s">
        <v>42809</v>
      </c>
      <c r="T3876" t="s">
        <v>44371</v>
      </c>
      <c r="U3876" t="s">
        <v>48020</v>
      </c>
      <c r="W3876" t="s">
        <v>40246</v>
      </c>
      <c r="X3876" t="s">
        <v>42677</v>
      </c>
    </row>
    <row r="3877" spans="1:24">
      <c r="A3877">
        <f>HYPERLINK("https://www.philgeps.gov.ph/GEPSNONPILOT/Tender/SplashBidNoticeAbstractUI.aspx?menuIndex=3&amp;refID=7186991&amp;Result=3","7186991")</f>
        <v>0</v>
      </c>
      <c r="B3877" t="s">
        <v>1408</v>
      </c>
      <c r="C3877" t="s">
        <v>7238</v>
      </c>
      <c r="D3877" t="s">
        <v>17213</v>
      </c>
      <c r="E3877" t="s">
        <v>20652</v>
      </c>
      <c r="F3877" t="s">
        <v>29372</v>
      </c>
      <c r="G3877" t="s">
        <v>29379</v>
      </c>
      <c r="H3877" t="s">
        <v>11048</v>
      </c>
      <c r="I3877" t="s">
        <v>29455</v>
      </c>
      <c r="J3877" t="s">
        <v>32140</v>
      </c>
      <c r="K3877" t="s">
        <v>38485</v>
      </c>
      <c r="M3877" t="s">
        <v>40247</v>
      </c>
      <c r="N3877" t="s">
        <v>42669</v>
      </c>
      <c r="O3877" t="s">
        <v>42670</v>
      </c>
      <c r="P3877">
        <v>0</v>
      </c>
      <c r="Q3877">
        <v>1</v>
      </c>
      <c r="R3877" t="s">
        <v>42676</v>
      </c>
      <c r="S3877" t="s">
        <v>42809</v>
      </c>
      <c r="T3877" t="s">
        <v>44491</v>
      </c>
      <c r="U3877" t="s">
        <v>48021</v>
      </c>
      <c r="V3877" t="s">
        <v>47361</v>
      </c>
      <c r="W3877" t="s">
        <v>40247</v>
      </c>
      <c r="X3877" t="s">
        <v>42677</v>
      </c>
    </row>
    <row r="3878" spans="1:24">
      <c r="A3878">
        <f>HYPERLINK("https://www.philgeps.gov.ph/GEPSNONPILOT/Tender/SplashBidNoticeAbstractUI.aspx?menuIndex=3&amp;refID=7187002&amp;Result=3","7187002")</f>
        <v>0</v>
      </c>
      <c r="B3878" t="s">
        <v>1383</v>
      </c>
      <c r="C3878" t="s">
        <v>7239</v>
      </c>
      <c r="D3878" t="s">
        <v>17169</v>
      </c>
      <c r="E3878" t="s">
        <v>20592</v>
      </c>
      <c r="F3878" t="s">
        <v>29372</v>
      </c>
      <c r="G3878" t="s">
        <v>29380</v>
      </c>
      <c r="H3878" t="s">
        <v>29389</v>
      </c>
      <c r="I3878" t="s">
        <v>10408</v>
      </c>
      <c r="J3878" t="s">
        <v>29543</v>
      </c>
      <c r="K3878" t="s">
        <v>38496</v>
      </c>
      <c r="M3878" t="s">
        <v>40220</v>
      </c>
      <c r="N3878" t="s">
        <v>42669</v>
      </c>
      <c r="O3878" t="s">
        <v>42670</v>
      </c>
      <c r="P3878">
        <v>0</v>
      </c>
      <c r="Q3878">
        <v>0</v>
      </c>
      <c r="R3878" t="s">
        <v>42676</v>
      </c>
      <c r="S3878" t="s">
        <v>42809</v>
      </c>
      <c r="T3878" t="s">
        <v>44587</v>
      </c>
      <c r="U3878" t="s">
        <v>47960</v>
      </c>
      <c r="V3878" t="s">
        <v>56738</v>
      </c>
      <c r="W3878" t="s">
        <v>40220</v>
      </c>
      <c r="X3878" t="s">
        <v>42677</v>
      </c>
    </row>
    <row r="3879" spans="1:24">
      <c r="A3879">
        <f>HYPERLINK("https://www.philgeps.gov.ph/GEPSNONPILOT/Tender/SplashBidNoticeAbstractUI.aspx?menuIndex=3&amp;refID=7186989&amp;Result=3","7186989")</f>
        <v>0</v>
      </c>
      <c r="B3879" t="s">
        <v>65</v>
      </c>
      <c r="C3879" t="s">
        <v>7240</v>
      </c>
      <c r="D3879" t="s">
        <v>17141</v>
      </c>
      <c r="E3879" t="s">
        <v>20653</v>
      </c>
      <c r="F3879" t="s">
        <v>29372</v>
      </c>
      <c r="G3879" t="s">
        <v>29379</v>
      </c>
      <c r="H3879" t="s">
        <v>11048</v>
      </c>
      <c r="I3879" t="s">
        <v>3629</v>
      </c>
      <c r="J3879" t="s">
        <v>32141</v>
      </c>
      <c r="K3879" t="s">
        <v>38489</v>
      </c>
      <c r="M3879" t="s">
        <v>38819</v>
      </c>
      <c r="N3879" t="s">
        <v>42669</v>
      </c>
      <c r="O3879" t="s">
        <v>42670</v>
      </c>
      <c r="P3879">
        <v>0</v>
      </c>
      <c r="Q3879">
        <v>0</v>
      </c>
      <c r="R3879" t="s">
        <v>42676</v>
      </c>
      <c r="S3879" t="s">
        <v>42809</v>
      </c>
      <c r="T3879" t="s">
        <v>44488</v>
      </c>
      <c r="U3879" t="s">
        <v>48022</v>
      </c>
      <c r="W3879" t="s">
        <v>38819</v>
      </c>
      <c r="X3879" t="s">
        <v>42677</v>
      </c>
    </row>
    <row r="3880" spans="1:24">
      <c r="A3880">
        <f>HYPERLINK("https://www.philgeps.gov.ph/GEPSNONPILOT/Tender/SplashBidNoticeAbstractUI.aspx?menuIndex=3&amp;refID=7186979&amp;Result=3","7186979")</f>
        <v>0</v>
      </c>
      <c r="B3880" t="s">
        <v>1403</v>
      </c>
      <c r="C3880" t="s">
        <v>7241</v>
      </c>
      <c r="D3880" t="s">
        <v>17144</v>
      </c>
      <c r="E3880" t="s">
        <v>20654</v>
      </c>
      <c r="F3880" t="s">
        <v>29372</v>
      </c>
      <c r="G3880" t="s">
        <v>29379</v>
      </c>
      <c r="H3880" t="s">
        <v>11048</v>
      </c>
      <c r="I3880" t="s">
        <v>29403</v>
      </c>
      <c r="J3880" t="s">
        <v>32142</v>
      </c>
      <c r="K3880" t="s">
        <v>38488</v>
      </c>
      <c r="M3880" t="s">
        <v>40242</v>
      </c>
      <c r="N3880" t="s">
        <v>42669</v>
      </c>
      <c r="O3880" t="s">
        <v>42670</v>
      </c>
      <c r="P3880">
        <v>0</v>
      </c>
      <c r="Q3880">
        <v>0</v>
      </c>
      <c r="R3880" t="s">
        <v>42676</v>
      </c>
      <c r="S3880" t="s">
        <v>42809</v>
      </c>
      <c r="T3880" t="s">
        <v>44525</v>
      </c>
      <c r="U3880" t="s">
        <v>48023</v>
      </c>
      <c r="W3880" t="s">
        <v>40242</v>
      </c>
      <c r="X3880" t="s">
        <v>42677</v>
      </c>
    </row>
    <row r="3881" spans="1:24">
      <c r="A3881">
        <f>HYPERLINK("https://www.philgeps.gov.ph/GEPSNONPILOT/Tender/SplashBidNoticeAbstractUI.aspx?menuIndex=3&amp;refID=7187019&amp;Result=3","7187019")</f>
        <v>0</v>
      </c>
      <c r="B3881" t="s">
        <v>1409</v>
      </c>
      <c r="C3881" t="s">
        <v>7242</v>
      </c>
      <c r="D3881" t="s">
        <v>17207</v>
      </c>
      <c r="E3881" t="s">
        <v>20655</v>
      </c>
      <c r="F3881" t="s">
        <v>29372</v>
      </c>
      <c r="G3881" t="s">
        <v>29380</v>
      </c>
      <c r="H3881" t="s">
        <v>11048</v>
      </c>
      <c r="I3881" t="s">
        <v>29404</v>
      </c>
      <c r="J3881" t="s">
        <v>32143</v>
      </c>
      <c r="K3881" t="s">
        <v>38485</v>
      </c>
      <c r="M3881" t="s">
        <v>40248</v>
      </c>
      <c r="N3881" t="s">
        <v>42669</v>
      </c>
      <c r="O3881" t="s">
        <v>42670</v>
      </c>
      <c r="P3881">
        <v>0</v>
      </c>
      <c r="Q3881">
        <v>2</v>
      </c>
      <c r="R3881" t="s">
        <v>42676</v>
      </c>
      <c r="S3881" t="s">
        <v>42809</v>
      </c>
      <c r="T3881" t="s">
        <v>44394</v>
      </c>
      <c r="U3881" t="s">
        <v>48024</v>
      </c>
      <c r="W3881" t="s">
        <v>40248</v>
      </c>
      <c r="X3881" t="s">
        <v>42677</v>
      </c>
    </row>
    <row r="3882" spans="1:24">
      <c r="A3882">
        <f>HYPERLINK("https://www.philgeps.gov.ph/GEPSNONPILOT/Tender/SplashBidNoticeAbstractUI.aspx?menuIndex=3&amp;refID=7187021&amp;Result=3","7187021")</f>
        <v>0</v>
      </c>
      <c r="B3882" t="s">
        <v>1410</v>
      </c>
      <c r="C3882" t="s">
        <v>7243</v>
      </c>
      <c r="D3882" t="s">
        <v>17167</v>
      </c>
      <c r="E3882" t="s">
        <v>20656</v>
      </c>
      <c r="F3882" t="s">
        <v>29372</v>
      </c>
      <c r="G3882" t="s">
        <v>29383</v>
      </c>
      <c r="H3882" t="s">
        <v>11048</v>
      </c>
      <c r="I3882" t="s">
        <v>29403</v>
      </c>
      <c r="J3882" t="s">
        <v>31149</v>
      </c>
      <c r="K3882" t="s">
        <v>38491</v>
      </c>
      <c r="M3882" t="s">
        <v>40249</v>
      </c>
      <c r="N3882" t="s">
        <v>42669</v>
      </c>
      <c r="O3882" t="s">
        <v>42670</v>
      </c>
      <c r="P3882">
        <v>0</v>
      </c>
      <c r="Q3882">
        <v>1</v>
      </c>
      <c r="R3882" t="s">
        <v>42676</v>
      </c>
      <c r="S3882" t="s">
        <v>42809</v>
      </c>
      <c r="T3882" t="s">
        <v>44580</v>
      </c>
      <c r="U3882" t="s">
        <v>48025</v>
      </c>
      <c r="W3882" t="s">
        <v>40249</v>
      </c>
      <c r="X3882" t="s">
        <v>42677</v>
      </c>
    </row>
    <row r="3883" spans="1:24">
      <c r="A3883">
        <f>HYPERLINK("https://www.philgeps.gov.ph/GEPSNONPILOT/Tender/SplashBidNoticeAbstractUI.aspx?menuIndex=3&amp;refID=7187016&amp;Result=3","7187016")</f>
        <v>0</v>
      </c>
      <c r="B3883" t="s">
        <v>1411</v>
      </c>
      <c r="C3883" t="s">
        <v>7244</v>
      </c>
      <c r="D3883" t="s">
        <v>17160</v>
      </c>
      <c r="E3883" t="s">
        <v>20657</v>
      </c>
      <c r="F3883" t="s">
        <v>29372</v>
      </c>
      <c r="G3883" t="s">
        <v>29379</v>
      </c>
      <c r="H3883" t="s">
        <v>11048</v>
      </c>
      <c r="I3883" t="s">
        <v>3839</v>
      </c>
      <c r="J3883" t="s">
        <v>32144</v>
      </c>
      <c r="K3883" t="s">
        <v>38485</v>
      </c>
      <c r="M3883" t="s">
        <v>40250</v>
      </c>
      <c r="N3883" t="s">
        <v>42669</v>
      </c>
      <c r="O3883" t="s">
        <v>42670</v>
      </c>
      <c r="P3883">
        <v>0</v>
      </c>
      <c r="Q3883">
        <v>3</v>
      </c>
      <c r="R3883" t="s">
        <v>42676</v>
      </c>
      <c r="S3883" t="s">
        <v>42809</v>
      </c>
      <c r="T3883" t="s">
        <v>44493</v>
      </c>
      <c r="U3883" t="s">
        <v>48026</v>
      </c>
      <c r="W3883" t="s">
        <v>40250</v>
      </c>
      <c r="X3883" t="s">
        <v>42677</v>
      </c>
    </row>
    <row r="3884" spans="1:24">
      <c r="A3884">
        <f>HYPERLINK("https://www.philgeps.gov.ph/GEPSNONPILOT/Tender/SplashBidNoticeAbstractUI.aspx?menuIndex=3&amp;refID=7187014&amp;Result=3","7187014")</f>
        <v>0</v>
      </c>
      <c r="B3884" t="s">
        <v>1383</v>
      </c>
      <c r="C3884" t="s">
        <v>7245</v>
      </c>
      <c r="D3884" t="s">
        <v>17169</v>
      </c>
      <c r="E3884" t="s">
        <v>20592</v>
      </c>
      <c r="F3884" t="s">
        <v>29372</v>
      </c>
      <c r="G3884" t="s">
        <v>29380</v>
      </c>
      <c r="H3884" t="s">
        <v>29389</v>
      </c>
      <c r="I3884" t="s">
        <v>10408</v>
      </c>
      <c r="J3884" t="s">
        <v>32145</v>
      </c>
      <c r="K3884" t="s">
        <v>38495</v>
      </c>
      <c r="M3884" t="s">
        <v>40220</v>
      </c>
      <c r="N3884" t="s">
        <v>42669</v>
      </c>
      <c r="O3884" t="s">
        <v>42670</v>
      </c>
      <c r="P3884">
        <v>0</v>
      </c>
      <c r="Q3884">
        <v>0</v>
      </c>
      <c r="R3884" t="s">
        <v>42676</v>
      </c>
      <c r="S3884" t="s">
        <v>42809</v>
      </c>
      <c r="T3884" t="s">
        <v>44587</v>
      </c>
      <c r="U3884" t="s">
        <v>47960</v>
      </c>
      <c r="V3884" t="s">
        <v>56739</v>
      </c>
      <c r="W3884" t="s">
        <v>40220</v>
      </c>
      <c r="X3884" t="s">
        <v>42677</v>
      </c>
    </row>
    <row r="3885" spans="1:24">
      <c r="A3885">
        <f>HYPERLINK("https://www.philgeps.gov.ph/GEPSNONPILOT/Tender/SplashBidNoticeAbstractUI.aspx?menuIndex=3&amp;refID=7187004&amp;Result=3","7187004")</f>
        <v>0</v>
      </c>
      <c r="B3885" t="s">
        <v>1412</v>
      </c>
      <c r="C3885" t="s">
        <v>7246</v>
      </c>
      <c r="D3885" t="s">
        <v>17226</v>
      </c>
      <c r="E3885" t="s">
        <v>20658</v>
      </c>
      <c r="F3885" t="s">
        <v>29372</v>
      </c>
      <c r="G3885" t="s">
        <v>29380</v>
      </c>
      <c r="H3885" t="s">
        <v>11048</v>
      </c>
      <c r="I3885" t="s">
        <v>3839</v>
      </c>
      <c r="J3885" t="s">
        <v>32146</v>
      </c>
      <c r="K3885" t="s">
        <v>38510</v>
      </c>
      <c r="M3885" t="s">
        <v>40251</v>
      </c>
      <c r="N3885" t="s">
        <v>42669</v>
      </c>
      <c r="O3885" t="s">
        <v>42670</v>
      </c>
      <c r="P3885">
        <v>0</v>
      </c>
      <c r="Q3885">
        <v>2</v>
      </c>
      <c r="R3885" t="s">
        <v>42676</v>
      </c>
      <c r="S3885" t="s">
        <v>42809</v>
      </c>
      <c r="T3885" t="s">
        <v>44399</v>
      </c>
      <c r="U3885" t="s">
        <v>48027</v>
      </c>
      <c r="W3885" t="s">
        <v>40251</v>
      </c>
      <c r="X3885" t="s">
        <v>42677</v>
      </c>
    </row>
    <row r="3886" spans="1:24">
      <c r="A3886">
        <f>HYPERLINK("https://www.philgeps.gov.ph/GEPSNONPILOT/Tender/SplashBidNoticeAbstractUI.aspx?menuIndex=3&amp;refID=7187013&amp;Result=3","7187013")</f>
        <v>0</v>
      </c>
      <c r="B3886" t="s">
        <v>1153</v>
      </c>
      <c r="C3886" t="s">
        <v>7247</v>
      </c>
      <c r="D3886" t="s">
        <v>17169</v>
      </c>
      <c r="E3886" t="s">
        <v>20659</v>
      </c>
      <c r="F3886" t="s">
        <v>29372</v>
      </c>
      <c r="G3886" t="s">
        <v>29380</v>
      </c>
      <c r="H3886" t="s">
        <v>29389</v>
      </c>
      <c r="I3886" t="s">
        <v>4709</v>
      </c>
      <c r="J3886" t="s">
        <v>31865</v>
      </c>
      <c r="K3886" t="s">
        <v>38491</v>
      </c>
      <c r="M3886" t="s">
        <v>39967</v>
      </c>
      <c r="N3886" t="s">
        <v>42669</v>
      </c>
      <c r="O3886" t="s">
        <v>42670</v>
      </c>
      <c r="P3886">
        <v>0</v>
      </c>
      <c r="Q3886">
        <v>0</v>
      </c>
      <c r="R3886" t="s">
        <v>42676</v>
      </c>
      <c r="S3886" t="s">
        <v>42809</v>
      </c>
      <c r="T3886" t="s">
        <v>44386</v>
      </c>
      <c r="U3886" t="s">
        <v>48028</v>
      </c>
      <c r="W3886" t="s">
        <v>39967</v>
      </c>
      <c r="X3886" t="s">
        <v>42677</v>
      </c>
    </row>
    <row r="3887" spans="1:24">
      <c r="A3887">
        <f>HYPERLINK("https://www.philgeps.gov.ph/GEPSNONPILOT/Tender/SplashBidNoticeAbstractUI.aspx?menuIndex=3&amp;refID=7187009&amp;Result=3","7187009")</f>
        <v>0</v>
      </c>
      <c r="B3887" t="s">
        <v>1413</v>
      </c>
      <c r="C3887" t="s">
        <v>7248</v>
      </c>
      <c r="D3887" t="s">
        <v>17171</v>
      </c>
      <c r="E3887" t="s">
        <v>20660</v>
      </c>
      <c r="F3887" t="s">
        <v>29372</v>
      </c>
      <c r="G3887" t="s">
        <v>29380</v>
      </c>
      <c r="H3887" t="s">
        <v>11048</v>
      </c>
      <c r="I3887" t="s">
        <v>29400</v>
      </c>
      <c r="J3887" t="s">
        <v>32147</v>
      </c>
      <c r="K3887" t="s">
        <v>38488</v>
      </c>
      <c r="M3887" t="s">
        <v>40252</v>
      </c>
      <c r="N3887" t="s">
        <v>42669</v>
      </c>
      <c r="O3887" t="s">
        <v>42670</v>
      </c>
      <c r="P3887">
        <v>0</v>
      </c>
      <c r="Q3887">
        <v>3</v>
      </c>
      <c r="R3887" t="s">
        <v>42676</v>
      </c>
      <c r="S3887" t="s">
        <v>42809</v>
      </c>
      <c r="T3887" t="s">
        <v>44450</v>
      </c>
      <c r="U3887" t="s">
        <v>48029</v>
      </c>
      <c r="W3887" t="s">
        <v>40252</v>
      </c>
      <c r="X3887" t="s">
        <v>42677</v>
      </c>
    </row>
    <row r="3888" spans="1:24">
      <c r="A3888">
        <f>HYPERLINK("https://www.philgeps.gov.ph/GEPSNONPILOT/Tender/SplashBidNoticeAbstractUI.aspx?menuIndex=3&amp;refID=7186994&amp;Result=3","7186994")</f>
        <v>0</v>
      </c>
      <c r="B3888" t="s">
        <v>1414</v>
      </c>
      <c r="C3888" t="s">
        <v>7249</v>
      </c>
      <c r="D3888" t="s">
        <v>17160</v>
      </c>
      <c r="E3888" t="s">
        <v>20661</v>
      </c>
      <c r="F3888" t="s">
        <v>29372</v>
      </c>
      <c r="G3888" t="s">
        <v>29380</v>
      </c>
      <c r="H3888" t="s">
        <v>29389</v>
      </c>
      <c r="I3888" t="s">
        <v>10408</v>
      </c>
      <c r="J3888" t="s">
        <v>32148</v>
      </c>
      <c r="K3888" t="s">
        <v>38564</v>
      </c>
      <c r="M3888" t="s">
        <v>40253</v>
      </c>
      <c r="N3888" t="s">
        <v>42669</v>
      </c>
      <c r="O3888" t="s">
        <v>42670</v>
      </c>
      <c r="P3888">
        <v>0</v>
      </c>
      <c r="Q3888">
        <v>3</v>
      </c>
      <c r="R3888" t="s">
        <v>42676</v>
      </c>
      <c r="S3888" t="s">
        <v>42809</v>
      </c>
      <c r="T3888" t="s">
        <v>44393</v>
      </c>
      <c r="U3888" t="s">
        <v>48030</v>
      </c>
      <c r="W3888" t="s">
        <v>40253</v>
      </c>
      <c r="X3888" t="s">
        <v>42677</v>
      </c>
    </row>
    <row r="3889" spans="1:24">
      <c r="A3889">
        <f>HYPERLINK("https://www.philgeps.gov.ph/GEPSNONPILOT/Tender/SplashBidNoticeAbstractUI.aspx?menuIndex=3&amp;refID=7186998&amp;Result=3","7186998")</f>
        <v>0</v>
      </c>
      <c r="B3889" t="s">
        <v>547</v>
      </c>
      <c r="C3889" t="s">
        <v>7250</v>
      </c>
      <c r="E3889" t="s">
        <v>20662</v>
      </c>
      <c r="F3889" t="s">
        <v>29372</v>
      </c>
      <c r="G3889" t="s">
        <v>29379</v>
      </c>
      <c r="H3889" t="s">
        <v>11048</v>
      </c>
      <c r="I3889" t="s">
        <v>29444</v>
      </c>
      <c r="J3889" t="s">
        <v>29799</v>
      </c>
      <c r="K3889" t="s">
        <v>38485</v>
      </c>
      <c r="M3889" t="s">
        <v>39363</v>
      </c>
      <c r="N3889" t="s">
        <v>42669</v>
      </c>
      <c r="O3889" t="s">
        <v>42670</v>
      </c>
      <c r="P3889">
        <v>0</v>
      </c>
      <c r="Q3889">
        <v>0</v>
      </c>
      <c r="R3889" t="s">
        <v>42676</v>
      </c>
      <c r="S3889" t="s">
        <v>42809</v>
      </c>
      <c r="T3889" t="s">
        <v>44456</v>
      </c>
      <c r="U3889" t="s">
        <v>48031</v>
      </c>
      <c r="W3889" t="s">
        <v>58018</v>
      </c>
      <c r="X3889" t="s">
        <v>42677</v>
      </c>
    </row>
    <row r="3890" spans="1:24">
      <c r="A3890">
        <f>HYPERLINK("https://www.philgeps.gov.ph/GEPSNONPILOT/Tender/SplashBidNoticeAbstractUI.aspx?menuIndex=3&amp;refID=7187024&amp;Result=3","7187024")</f>
        <v>0</v>
      </c>
      <c r="B3890" t="s">
        <v>1415</v>
      </c>
      <c r="C3890" t="s">
        <v>7251</v>
      </c>
      <c r="D3890" t="s">
        <v>17147</v>
      </c>
      <c r="E3890" t="s">
        <v>20663</v>
      </c>
      <c r="F3890" t="s">
        <v>29372</v>
      </c>
      <c r="G3890" t="s">
        <v>29380</v>
      </c>
      <c r="H3890" t="s">
        <v>11048</v>
      </c>
      <c r="I3890" t="s">
        <v>29452</v>
      </c>
      <c r="J3890" t="s">
        <v>29724</v>
      </c>
      <c r="K3890" t="s">
        <v>38485</v>
      </c>
      <c r="M3890" t="s">
        <v>40254</v>
      </c>
      <c r="N3890" t="s">
        <v>42669</v>
      </c>
      <c r="O3890" t="s">
        <v>42670</v>
      </c>
      <c r="P3890">
        <v>0</v>
      </c>
      <c r="Q3890">
        <v>6</v>
      </c>
      <c r="R3890" t="s">
        <v>42676</v>
      </c>
      <c r="S3890" t="s">
        <v>42809</v>
      </c>
      <c r="T3890" t="s">
        <v>44446</v>
      </c>
      <c r="U3890" t="s">
        <v>48032</v>
      </c>
      <c r="W3890" t="s">
        <v>40254</v>
      </c>
      <c r="X3890" t="s">
        <v>42677</v>
      </c>
    </row>
    <row r="3891" spans="1:24">
      <c r="A3891">
        <f>HYPERLINK("https://www.philgeps.gov.ph/GEPSNONPILOT/Tender/SplashBidNoticeAbstractUI.aspx?menuIndex=3&amp;refID=7187015&amp;Result=3","7187015")</f>
        <v>0</v>
      </c>
      <c r="B3891" t="s">
        <v>1416</v>
      </c>
      <c r="C3891" t="s">
        <v>7252</v>
      </c>
      <c r="D3891" t="s">
        <v>17202</v>
      </c>
      <c r="E3891" t="s">
        <v>20664</v>
      </c>
      <c r="F3891" t="s">
        <v>29372</v>
      </c>
      <c r="G3891" t="s">
        <v>29383</v>
      </c>
      <c r="H3891" t="s">
        <v>11048</v>
      </c>
      <c r="I3891" t="s">
        <v>29400</v>
      </c>
      <c r="J3891" t="s">
        <v>30069</v>
      </c>
      <c r="K3891" t="s">
        <v>38510</v>
      </c>
      <c r="M3891" t="s">
        <v>40255</v>
      </c>
      <c r="N3891" t="s">
        <v>42669</v>
      </c>
      <c r="O3891" t="s">
        <v>42670</v>
      </c>
      <c r="P3891">
        <v>0</v>
      </c>
      <c r="Q3891">
        <v>2</v>
      </c>
      <c r="R3891" t="s">
        <v>42676</v>
      </c>
      <c r="S3891" t="s">
        <v>42809</v>
      </c>
      <c r="T3891" t="s">
        <v>44401</v>
      </c>
      <c r="U3891" t="s">
        <v>48033</v>
      </c>
      <c r="V3891" t="s">
        <v>56740</v>
      </c>
      <c r="W3891" t="s">
        <v>40255</v>
      </c>
      <c r="X3891" t="s">
        <v>42677</v>
      </c>
    </row>
    <row r="3892" spans="1:24">
      <c r="A3892">
        <f>HYPERLINK("https://www.philgeps.gov.ph/GEPSNONPILOT/Tender/SplashBidNoticeAbstractUI.aspx?menuIndex=3&amp;refID=7187058&amp;Result=3","7187058")</f>
        <v>0</v>
      </c>
      <c r="B3892" t="s">
        <v>1417</v>
      </c>
      <c r="C3892" t="s">
        <v>7253</v>
      </c>
      <c r="D3892" t="s">
        <v>17161</v>
      </c>
      <c r="E3892" t="s">
        <v>20665</v>
      </c>
      <c r="F3892" t="s">
        <v>29372</v>
      </c>
      <c r="G3892" t="s">
        <v>29379</v>
      </c>
      <c r="H3892" t="s">
        <v>11048</v>
      </c>
      <c r="I3892" t="s">
        <v>29412</v>
      </c>
      <c r="J3892" t="s">
        <v>32149</v>
      </c>
      <c r="K3892" t="s">
        <v>38491</v>
      </c>
      <c r="M3892" t="s">
        <v>40256</v>
      </c>
      <c r="N3892" t="s">
        <v>42669</v>
      </c>
      <c r="O3892" t="s">
        <v>42670</v>
      </c>
      <c r="P3892">
        <v>0</v>
      </c>
      <c r="Q3892">
        <v>0</v>
      </c>
      <c r="R3892" t="s">
        <v>42676</v>
      </c>
      <c r="S3892" t="s">
        <v>42809</v>
      </c>
      <c r="T3892" t="s">
        <v>44488</v>
      </c>
      <c r="U3892" t="s">
        <v>48034</v>
      </c>
      <c r="W3892" t="s">
        <v>40256</v>
      </c>
      <c r="X3892" t="s">
        <v>42677</v>
      </c>
    </row>
    <row r="3893" spans="1:24">
      <c r="A3893">
        <f>HYPERLINK("https://www.philgeps.gov.ph/GEPSNONPILOT/Tender/SplashBidNoticeAbstractUI.aspx?menuIndex=3&amp;refID=7187018&amp;Result=3","7187018")</f>
        <v>0</v>
      </c>
      <c r="B3893" t="s">
        <v>679</v>
      </c>
      <c r="C3893" t="s">
        <v>7254</v>
      </c>
      <c r="D3893" t="s">
        <v>17175</v>
      </c>
      <c r="E3893" t="s">
        <v>20666</v>
      </c>
      <c r="F3893" t="s">
        <v>29372</v>
      </c>
      <c r="G3893" t="s">
        <v>29380</v>
      </c>
      <c r="H3893" t="s">
        <v>11048</v>
      </c>
      <c r="I3893" t="s">
        <v>5383</v>
      </c>
      <c r="J3893" t="s">
        <v>30145</v>
      </c>
      <c r="K3893" t="s">
        <v>38510</v>
      </c>
      <c r="M3893" t="s">
        <v>39455</v>
      </c>
      <c r="N3893" t="s">
        <v>42669</v>
      </c>
      <c r="O3893" t="s">
        <v>42670</v>
      </c>
      <c r="P3893">
        <v>0</v>
      </c>
      <c r="Q3893">
        <v>0</v>
      </c>
      <c r="R3893" t="s">
        <v>42676</v>
      </c>
      <c r="S3893" t="s">
        <v>42809</v>
      </c>
      <c r="T3893" t="s">
        <v>44361</v>
      </c>
      <c r="U3893" t="s">
        <v>48035</v>
      </c>
      <c r="W3893" t="s">
        <v>39455</v>
      </c>
      <c r="X3893" t="s">
        <v>42677</v>
      </c>
    </row>
    <row r="3894" spans="1:24">
      <c r="A3894">
        <f>HYPERLINK("https://www.philgeps.gov.ph/GEPSNONPILOT/Tender/SplashBidNoticeAbstractUI.aspx?menuIndex=3&amp;refID=7187011&amp;Result=3","7187011")</f>
        <v>0</v>
      </c>
      <c r="B3894" t="s">
        <v>1418</v>
      </c>
      <c r="C3894" t="s">
        <v>7255</v>
      </c>
      <c r="D3894" t="s">
        <v>17144</v>
      </c>
      <c r="E3894" t="s">
        <v>20667</v>
      </c>
      <c r="F3894" t="s">
        <v>29372</v>
      </c>
      <c r="G3894" t="s">
        <v>29379</v>
      </c>
      <c r="H3894" t="s">
        <v>11048</v>
      </c>
      <c r="I3894" t="s">
        <v>29462</v>
      </c>
      <c r="J3894" t="s">
        <v>29824</v>
      </c>
      <c r="K3894" t="s">
        <v>38488</v>
      </c>
      <c r="M3894" t="s">
        <v>40257</v>
      </c>
      <c r="N3894" t="s">
        <v>42669</v>
      </c>
      <c r="O3894" t="s">
        <v>42670</v>
      </c>
      <c r="P3894">
        <v>0</v>
      </c>
      <c r="Q3894">
        <v>3</v>
      </c>
      <c r="R3894" t="s">
        <v>42676</v>
      </c>
      <c r="S3894" t="s">
        <v>42809</v>
      </c>
      <c r="T3894" t="s">
        <v>44512</v>
      </c>
      <c r="U3894" t="s">
        <v>48036</v>
      </c>
      <c r="W3894" t="s">
        <v>40257</v>
      </c>
      <c r="X3894" t="s">
        <v>42677</v>
      </c>
    </row>
    <row r="3895" spans="1:24">
      <c r="A3895">
        <f>HYPERLINK("https://www.philgeps.gov.ph/GEPSNONPILOT/Tender/SplashBidNoticeAbstractUI.aspx?menuIndex=3&amp;refID=7187051&amp;Result=3","7187051")</f>
        <v>0</v>
      </c>
      <c r="B3895" t="s">
        <v>1419</v>
      </c>
      <c r="C3895" t="s">
        <v>7256</v>
      </c>
      <c r="E3895" t="s">
        <v>20668</v>
      </c>
      <c r="F3895" t="s">
        <v>29372</v>
      </c>
      <c r="G3895" t="s">
        <v>29379</v>
      </c>
      <c r="H3895" t="s">
        <v>11048</v>
      </c>
      <c r="I3895" t="s">
        <v>29404</v>
      </c>
      <c r="J3895" t="s">
        <v>29929</v>
      </c>
      <c r="K3895" t="s">
        <v>38534</v>
      </c>
      <c r="M3895" t="s">
        <v>40258</v>
      </c>
      <c r="N3895" t="s">
        <v>42669</v>
      </c>
      <c r="O3895" t="s">
        <v>42670</v>
      </c>
      <c r="P3895">
        <v>0</v>
      </c>
      <c r="Q3895">
        <v>0</v>
      </c>
      <c r="R3895" t="s">
        <v>42676</v>
      </c>
      <c r="S3895" t="s">
        <v>42809</v>
      </c>
      <c r="T3895" t="s">
        <v>44429</v>
      </c>
      <c r="U3895" t="s">
        <v>48037</v>
      </c>
      <c r="V3895" t="s">
        <v>56741</v>
      </c>
      <c r="W3895" t="s">
        <v>40258</v>
      </c>
      <c r="X3895" t="s">
        <v>42677</v>
      </c>
    </row>
    <row r="3896" spans="1:24">
      <c r="A3896">
        <f>HYPERLINK("https://www.philgeps.gov.ph/GEPSNONPILOT/Tender/SplashBidNoticeAbstractUI.aspx?menuIndex=3&amp;refID=7187047&amp;Result=3","7187047")</f>
        <v>0</v>
      </c>
      <c r="B3896" t="s">
        <v>1420</v>
      </c>
      <c r="C3896" t="s">
        <v>7257</v>
      </c>
      <c r="D3896" t="s">
        <v>17203</v>
      </c>
      <c r="E3896" t="s">
        <v>20669</v>
      </c>
      <c r="F3896" t="s">
        <v>29372</v>
      </c>
      <c r="G3896" t="s">
        <v>29380</v>
      </c>
      <c r="H3896" t="s">
        <v>29389</v>
      </c>
      <c r="I3896" t="s">
        <v>29398</v>
      </c>
      <c r="J3896" t="s">
        <v>32150</v>
      </c>
      <c r="K3896" t="s">
        <v>38625</v>
      </c>
      <c r="M3896" t="s">
        <v>40259</v>
      </c>
      <c r="N3896" t="s">
        <v>42669</v>
      </c>
      <c r="O3896" t="s">
        <v>42670</v>
      </c>
      <c r="P3896">
        <v>0</v>
      </c>
      <c r="Q3896">
        <v>0</v>
      </c>
      <c r="R3896" t="s">
        <v>42676</v>
      </c>
      <c r="S3896" t="s">
        <v>42809</v>
      </c>
      <c r="T3896" t="s">
        <v>44644</v>
      </c>
      <c r="U3896" t="s">
        <v>48038</v>
      </c>
      <c r="W3896" t="s">
        <v>40259</v>
      </c>
      <c r="X3896" t="s">
        <v>42677</v>
      </c>
    </row>
    <row r="3897" spans="1:24">
      <c r="A3897">
        <f>HYPERLINK("https://www.philgeps.gov.ph/GEPSNONPILOT/Tender/SplashBidNoticeAbstractUI.aspx?menuIndex=3&amp;refID=7187022&amp;Result=3","7187022")</f>
        <v>0</v>
      </c>
      <c r="B3897" t="s">
        <v>787</v>
      </c>
      <c r="C3897" t="s">
        <v>7258</v>
      </c>
      <c r="D3897" t="s">
        <v>17166</v>
      </c>
      <c r="E3897" t="s">
        <v>20670</v>
      </c>
      <c r="F3897" t="s">
        <v>29372</v>
      </c>
      <c r="G3897" t="s">
        <v>29380</v>
      </c>
      <c r="H3897" t="s">
        <v>11048</v>
      </c>
      <c r="I3897" t="s">
        <v>10408</v>
      </c>
      <c r="J3897" t="s">
        <v>32151</v>
      </c>
      <c r="K3897" t="s">
        <v>38622</v>
      </c>
      <c r="M3897" t="s">
        <v>39571</v>
      </c>
      <c r="N3897" t="s">
        <v>42669</v>
      </c>
      <c r="O3897" t="s">
        <v>42670</v>
      </c>
      <c r="P3897">
        <v>0</v>
      </c>
      <c r="Q3897">
        <v>0</v>
      </c>
      <c r="R3897" t="s">
        <v>42676</v>
      </c>
      <c r="S3897" t="s">
        <v>42809</v>
      </c>
      <c r="T3897" t="s">
        <v>44355</v>
      </c>
      <c r="U3897" t="s">
        <v>46466</v>
      </c>
      <c r="W3897" t="s">
        <v>39571</v>
      </c>
      <c r="X3897" t="s">
        <v>42677</v>
      </c>
    </row>
    <row r="3898" spans="1:24">
      <c r="A3898">
        <f>HYPERLINK("https://www.philgeps.gov.ph/GEPSNONPILOT/Tender/SplashBidNoticeAbstractUI.aspx?menuIndex=3&amp;refID=7187046&amp;Result=3","7187046")</f>
        <v>0</v>
      </c>
      <c r="B3898" t="s">
        <v>1383</v>
      </c>
      <c r="C3898" t="s">
        <v>7259</v>
      </c>
      <c r="D3898" t="s">
        <v>17169</v>
      </c>
      <c r="E3898" t="s">
        <v>20592</v>
      </c>
      <c r="F3898" t="s">
        <v>29372</v>
      </c>
      <c r="G3898" t="s">
        <v>29380</v>
      </c>
      <c r="H3898" t="s">
        <v>29389</v>
      </c>
      <c r="I3898" t="s">
        <v>10408</v>
      </c>
      <c r="J3898" t="s">
        <v>32152</v>
      </c>
      <c r="K3898" t="s">
        <v>38496</v>
      </c>
      <c r="M3898" t="s">
        <v>40220</v>
      </c>
      <c r="N3898" t="s">
        <v>42669</v>
      </c>
      <c r="O3898" t="s">
        <v>42670</v>
      </c>
      <c r="P3898">
        <v>0</v>
      </c>
      <c r="Q3898">
        <v>1</v>
      </c>
      <c r="R3898" t="s">
        <v>42676</v>
      </c>
      <c r="S3898" t="s">
        <v>42809</v>
      </c>
      <c r="T3898" t="s">
        <v>44587</v>
      </c>
      <c r="U3898" t="s">
        <v>47960</v>
      </c>
      <c r="V3898" t="s">
        <v>56742</v>
      </c>
      <c r="W3898" t="s">
        <v>40220</v>
      </c>
      <c r="X3898" t="s">
        <v>42677</v>
      </c>
    </row>
    <row r="3899" spans="1:24">
      <c r="A3899">
        <f>HYPERLINK("https://www.philgeps.gov.ph/GEPSNONPILOT/Tender/SplashBidNoticeAbstractUI.aspx?menuIndex=3&amp;refID=7187000&amp;Result=3","7187000")</f>
        <v>0</v>
      </c>
      <c r="B3899" t="s">
        <v>1421</v>
      </c>
      <c r="C3899" t="s">
        <v>7260</v>
      </c>
      <c r="D3899" t="s">
        <v>17158</v>
      </c>
      <c r="E3899" t="s">
        <v>20671</v>
      </c>
      <c r="F3899" t="s">
        <v>29372</v>
      </c>
      <c r="G3899" t="s">
        <v>29380</v>
      </c>
      <c r="H3899" t="s">
        <v>11048</v>
      </c>
      <c r="I3899" t="s">
        <v>29407</v>
      </c>
      <c r="J3899" t="s">
        <v>32153</v>
      </c>
      <c r="K3899" t="s">
        <v>38485</v>
      </c>
      <c r="M3899" t="s">
        <v>40260</v>
      </c>
      <c r="N3899" t="s">
        <v>42669</v>
      </c>
      <c r="O3899" t="s">
        <v>42670</v>
      </c>
      <c r="P3899">
        <v>0</v>
      </c>
      <c r="Q3899">
        <v>6</v>
      </c>
      <c r="R3899" t="s">
        <v>42676</v>
      </c>
      <c r="S3899" t="s">
        <v>42809</v>
      </c>
      <c r="T3899" t="s">
        <v>44379</v>
      </c>
      <c r="U3899" t="s">
        <v>48039</v>
      </c>
      <c r="W3899" t="s">
        <v>40260</v>
      </c>
      <c r="X3899" t="s">
        <v>42677</v>
      </c>
    </row>
    <row r="3900" spans="1:24">
      <c r="A3900">
        <f>HYPERLINK("https://www.philgeps.gov.ph/GEPSNONPILOT/Tender/SplashBidNoticeAbstractUI.aspx?menuIndex=3&amp;refID=7187044&amp;Result=3","7187044")</f>
        <v>0</v>
      </c>
      <c r="B3900" t="s">
        <v>1422</v>
      </c>
      <c r="C3900" t="s">
        <v>3524</v>
      </c>
      <c r="D3900" t="s">
        <v>17212</v>
      </c>
      <c r="E3900" t="s">
        <v>20672</v>
      </c>
      <c r="F3900" t="s">
        <v>29372</v>
      </c>
      <c r="G3900" t="s">
        <v>29380</v>
      </c>
      <c r="H3900" t="s">
        <v>29389</v>
      </c>
      <c r="I3900" t="s">
        <v>10408</v>
      </c>
      <c r="J3900" t="s">
        <v>29625</v>
      </c>
      <c r="K3900" t="s">
        <v>38491</v>
      </c>
      <c r="M3900" t="s">
        <v>40261</v>
      </c>
      <c r="N3900" t="s">
        <v>42669</v>
      </c>
      <c r="O3900" t="s">
        <v>42670</v>
      </c>
      <c r="P3900">
        <v>0</v>
      </c>
      <c r="Q3900">
        <v>0</v>
      </c>
      <c r="R3900" t="s">
        <v>42676</v>
      </c>
      <c r="S3900" t="s">
        <v>42809</v>
      </c>
      <c r="T3900" t="s">
        <v>44371</v>
      </c>
      <c r="U3900" t="s">
        <v>48040</v>
      </c>
      <c r="W3900" t="s">
        <v>40261</v>
      </c>
      <c r="X3900" t="s">
        <v>42677</v>
      </c>
    </row>
    <row r="3901" spans="1:24">
      <c r="A3901">
        <f>HYPERLINK("https://www.philgeps.gov.ph/GEPSNONPILOT/Tender/SplashBidNoticeAbstractUI.aspx?menuIndex=3&amp;refID=7187040&amp;Result=3","7187040")</f>
        <v>0</v>
      </c>
      <c r="B3901" t="s">
        <v>1421</v>
      </c>
      <c r="C3901" t="s">
        <v>7261</v>
      </c>
      <c r="D3901" t="s">
        <v>17158</v>
      </c>
      <c r="E3901" t="s">
        <v>20673</v>
      </c>
      <c r="F3901" t="s">
        <v>29372</v>
      </c>
      <c r="G3901" t="s">
        <v>29380</v>
      </c>
      <c r="H3901" t="s">
        <v>11048</v>
      </c>
      <c r="I3901" t="s">
        <v>3695</v>
      </c>
      <c r="J3901" t="s">
        <v>32154</v>
      </c>
      <c r="K3901" t="s">
        <v>38485</v>
      </c>
      <c r="M3901" t="s">
        <v>40260</v>
      </c>
      <c r="N3901" t="s">
        <v>42669</v>
      </c>
      <c r="O3901" t="s">
        <v>42670</v>
      </c>
      <c r="P3901">
        <v>0</v>
      </c>
      <c r="Q3901">
        <v>4</v>
      </c>
      <c r="R3901" t="s">
        <v>42676</v>
      </c>
      <c r="S3901" t="s">
        <v>42809</v>
      </c>
      <c r="T3901" t="s">
        <v>44379</v>
      </c>
      <c r="U3901" t="s">
        <v>48039</v>
      </c>
      <c r="W3901" t="s">
        <v>40260</v>
      </c>
      <c r="X3901" t="s">
        <v>42677</v>
      </c>
    </row>
    <row r="3902" spans="1:24">
      <c r="A3902">
        <f>HYPERLINK("https://www.philgeps.gov.ph/GEPSNONPILOT/Tender/SplashBidNoticeAbstractUI.aspx?menuIndex=3&amp;refID=7187038&amp;Result=3","7187038")</f>
        <v>0</v>
      </c>
      <c r="B3902" t="s">
        <v>1423</v>
      </c>
      <c r="C3902" t="s">
        <v>7262</v>
      </c>
      <c r="D3902" t="s">
        <v>17167</v>
      </c>
      <c r="E3902" t="s">
        <v>17790</v>
      </c>
      <c r="F3902" t="s">
        <v>29372</v>
      </c>
      <c r="G3902" t="s">
        <v>29380</v>
      </c>
      <c r="H3902" t="s">
        <v>11048</v>
      </c>
      <c r="I3902" t="s">
        <v>4709</v>
      </c>
      <c r="J3902" t="s">
        <v>29764</v>
      </c>
      <c r="K3902" t="s">
        <v>38496</v>
      </c>
      <c r="M3902" t="s">
        <v>40262</v>
      </c>
      <c r="N3902" t="s">
        <v>42669</v>
      </c>
      <c r="O3902" t="s">
        <v>42670</v>
      </c>
      <c r="P3902">
        <v>0</v>
      </c>
      <c r="Q3902">
        <v>1</v>
      </c>
      <c r="R3902" t="s">
        <v>42676</v>
      </c>
      <c r="S3902" t="s">
        <v>42809</v>
      </c>
      <c r="T3902" t="s">
        <v>44542</v>
      </c>
      <c r="U3902" t="s">
        <v>48041</v>
      </c>
      <c r="W3902" t="s">
        <v>40262</v>
      </c>
      <c r="X3902" t="s">
        <v>42677</v>
      </c>
    </row>
    <row r="3903" spans="1:24">
      <c r="A3903">
        <f>HYPERLINK("https://www.philgeps.gov.ph/GEPSNONPILOT/Tender/SplashBidNoticeAbstractUI.aspx?menuIndex=3&amp;refID=7187036&amp;Result=3","7187036")</f>
        <v>0</v>
      </c>
      <c r="B3903" t="s">
        <v>884</v>
      </c>
      <c r="C3903" t="s">
        <v>7263</v>
      </c>
      <c r="D3903" t="s">
        <v>17170</v>
      </c>
      <c r="E3903" t="s">
        <v>20674</v>
      </c>
      <c r="F3903" t="s">
        <v>29372</v>
      </c>
      <c r="G3903" t="s">
        <v>29380</v>
      </c>
      <c r="H3903" t="s">
        <v>11048</v>
      </c>
      <c r="I3903" t="s">
        <v>4709</v>
      </c>
      <c r="J3903" t="s">
        <v>29587</v>
      </c>
      <c r="K3903" t="s">
        <v>38485</v>
      </c>
      <c r="M3903" t="s">
        <v>39676</v>
      </c>
      <c r="N3903" t="s">
        <v>42669</v>
      </c>
      <c r="O3903" t="s">
        <v>42670</v>
      </c>
      <c r="P3903">
        <v>0</v>
      </c>
      <c r="Q3903">
        <v>0</v>
      </c>
      <c r="R3903" t="s">
        <v>42676</v>
      </c>
      <c r="S3903" t="s">
        <v>42809</v>
      </c>
      <c r="T3903" t="s">
        <v>44472</v>
      </c>
      <c r="U3903" t="s">
        <v>48042</v>
      </c>
      <c r="W3903" t="s">
        <v>39676</v>
      </c>
      <c r="X3903" t="s">
        <v>42677</v>
      </c>
    </row>
    <row r="3904" spans="1:24">
      <c r="A3904">
        <f>HYPERLINK("https://www.philgeps.gov.ph/GEPSNONPILOT/Tender/SplashBidNoticeAbstractUI.aspx?menuIndex=3&amp;refID=7187034&amp;Result=3","7187034")</f>
        <v>0</v>
      </c>
      <c r="B3904" t="s">
        <v>616</v>
      </c>
      <c r="C3904" t="s">
        <v>7264</v>
      </c>
      <c r="D3904" t="s">
        <v>17204</v>
      </c>
      <c r="E3904" t="s">
        <v>20675</v>
      </c>
      <c r="F3904" t="s">
        <v>29372</v>
      </c>
      <c r="G3904" t="s">
        <v>29379</v>
      </c>
      <c r="H3904" t="s">
        <v>11048</v>
      </c>
      <c r="I3904" t="s">
        <v>29396</v>
      </c>
      <c r="J3904" t="s">
        <v>29642</v>
      </c>
      <c r="K3904" t="s">
        <v>38490</v>
      </c>
      <c r="M3904" t="s">
        <v>40263</v>
      </c>
      <c r="N3904" t="s">
        <v>42669</v>
      </c>
      <c r="O3904" t="s">
        <v>42670</v>
      </c>
      <c r="P3904">
        <v>0</v>
      </c>
      <c r="Q3904">
        <v>0</v>
      </c>
      <c r="R3904" t="s">
        <v>42676</v>
      </c>
      <c r="S3904" t="s">
        <v>42809</v>
      </c>
      <c r="T3904" t="s">
        <v>44454</v>
      </c>
      <c r="U3904" t="s">
        <v>48043</v>
      </c>
      <c r="V3904" t="s">
        <v>56743</v>
      </c>
      <c r="W3904" t="s">
        <v>40263</v>
      </c>
      <c r="X3904" t="s">
        <v>42677</v>
      </c>
    </row>
    <row r="3905" spans="1:24">
      <c r="A3905">
        <f>HYPERLINK("https://www.philgeps.gov.ph/GEPSNONPILOT/Tender/SplashBidNoticeAbstractUI.aspx?menuIndex=3&amp;refID=7187032&amp;Result=3","7187032")</f>
        <v>0</v>
      </c>
      <c r="B3905" t="s">
        <v>547</v>
      </c>
      <c r="C3905" t="s">
        <v>7265</v>
      </c>
      <c r="E3905" t="s">
        <v>20676</v>
      </c>
      <c r="F3905" t="s">
        <v>29372</v>
      </c>
      <c r="G3905" t="s">
        <v>29379</v>
      </c>
      <c r="H3905" t="s">
        <v>11048</v>
      </c>
      <c r="I3905" t="s">
        <v>29444</v>
      </c>
      <c r="J3905" t="s">
        <v>30100</v>
      </c>
      <c r="K3905" t="s">
        <v>38485</v>
      </c>
      <c r="M3905" t="s">
        <v>39363</v>
      </c>
      <c r="N3905" t="s">
        <v>42669</v>
      </c>
      <c r="O3905" t="s">
        <v>42670</v>
      </c>
      <c r="P3905">
        <v>0</v>
      </c>
      <c r="Q3905">
        <v>1</v>
      </c>
      <c r="R3905" t="s">
        <v>42676</v>
      </c>
      <c r="S3905" t="s">
        <v>42809</v>
      </c>
      <c r="T3905" t="s">
        <v>44456</v>
      </c>
      <c r="U3905" t="s">
        <v>48044</v>
      </c>
      <c r="W3905" t="s">
        <v>58018</v>
      </c>
      <c r="X3905" t="s">
        <v>42677</v>
      </c>
    </row>
    <row r="3906" spans="1:24">
      <c r="A3906">
        <f>HYPERLINK("https://www.philgeps.gov.ph/GEPSNONPILOT/Tender/SplashBidNoticeAbstractUI.aspx?menuIndex=3&amp;refID=7187043&amp;Result=3","7187043")</f>
        <v>0</v>
      </c>
      <c r="B3906" t="s">
        <v>1413</v>
      </c>
      <c r="C3906" t="s">
        <v>7266</v>
      </c>
      <c r="D3906" t="s">
        <v>17171</v>
      </c>
      <c r="E3906" t="s">
        <v>20677</v>
      </c>
      <c r="F3906" t="s">
        <v>29372</v>
      </c>
      <c r="G3906" t="s">
        <v>29380</v>
      </c>
      <c r="H3906" t="s">
        <v>11048</v>
      </c>
      <c r="I3906" t="s">
        <v>29400</v>
      </c>
      <c r="J3906" t="s">
        <v>32147</v>
      </c>
      <c r="K3906" t="s">
        <v>38488</v>
      </c>
      <c r="M3906" t="s">
        <v>40252</v>
      </c>
      <c r="N3906" t="s">
        <v>42669</v>
      </c>
      <c r="O3906" t="s">
        <v>42670</v>
      </c>
      <c r="P3906">
        <v>0</v>
      </c>
      <c r="Q3906">
        <v>3</v>
      </c>
      <c r="R3906" t="s">
        <v>42676</v>
      </c>
      <c r="S3906" t="s">
        <v>42809</v>
      </c>
      <c r="T3906" t="s">
        <v>44450</v>
      </c>
      <c r="U3906" t="s">
        <v>48045</v>
      </c>
      <c r="W3906" t="s">
        <v>40252</v>
      </c>
      <c r="X3906" t="s">
        <v>42677</v>
      </c>
    </row>
    <row r="3907" spans="1:24">
      <c r="A3907">
        <f>HYPERLINK("https://www.philgeps.gov.ph/GEPSNONPILOT/Tender/SplashBidNoticeAbstractUI.aspx?menuIndex=3&amp;refID=7187039&amp;Result=3","7187039")</f>
        <v>0</v>
      </c>
      <c r="B3907" t="s">
        <v>1424</v>
      </c>
      <c r="C3907" t="s">
        <v>7267</v>
      </c>
      <c r="D3907" t="s">
        <v>17174</v>
      </c>
      <c r="E3907" t="s">
        <v>20678</v>
      </c>
      <c r="F3907" t="s">
        <v>29372</v>
      </c>
      <c r="G3907" t="s">
        <v>29380</v>
      </c>
      <c r="H3907" t="s">
        <v>11048</v>
      </c>
      <c r="I3907" t="s">
        <v>3839</v>
      </c>
      <c r="J3907" t="s">
        <v>32155</v>
      </c>
      <c r="K3907" t="s">
        <v>38530</v>
      </c>
      <c r="M3907" t="s">
        <v>40264</v>
      </c>
      <c r="N3907" t="s">
        <v>42669</v>
      </c>
      <c r="O3907" t="s">
        <v>42670</v>
      </c>
      <c r="P3907">
        <v>0</v>
      </c>
      <c r="Q3907">
        <v>3</v>
      </c>
      <c r="R3907" t="s">
        <v>42676</v>
      </c>
      <c r="S3907" t="s">
        <v>42809</v>
      </c>
      <c r="T3907" t="s">
        <v>44371</v>
      </c>
      <c r="U3907" t="s">
        <v>48046</v>
      </c>
      <c r="W3907" t="s">
        <v>40264</v>
      </c>
      <c r="X3907" t="s">
        <v>42677</v>
      </c>
    </row>
    <row r="3908" spans="1:24">
      <c r="A3908">
        <f>HYPERLINK("https://www.philgeps.gov.ph/GEPSNONPILOT/Tender/SplashBidNoticeAbstractUI.aspx?menuIndex=3&amp;refID=7187026&amp;Result=3","7187026")</f>
        <v>0</v>
      </c>
      <c r="B3908" t="s">
        <v>1414</v>
      </c>
      <c r="C3908" t="s">
        <v>7268</v>
      </c>
      <c r="D3908" t="s">
        <v>17160</v>
      </c>
      <c r="E3908" t="s">
        <v>20679</v>
      </c>
      <c r="F3908" t="s">
        <v>29372</v>
      </c>
      <c r="G3908" t="s">
        <v>29380</v>
      </c>
      <c r="H3908" t="s">
        <v>29389</v>
      </c>
      <c r="I3908" t="s">
        <v>10408</v>
      </c>
      <c r="J3908" t="s">
        <v>32024</v>
      </c>
      <c r="K3908" t="s">
        <v>38495</v>
      </c>
      <c r="M3908" t="s">
        <v>40253</v>
      </c>
      <c r="N3908" t="s">
        <v>42669</v>
      </c>
      <c r="O3908" t="s">
        <v>42670</v>
      </c>
      <c r="P3908">
        <v>0</v>
      </c>
      <c r="Q3908">
        <v>3</v>
      </c>
      <c r="R3908" t="s">
        <v>42676</v>
      </c>
      <c r="S3908" t="s">
        <v>42809</v>
      </c>
      <c r="T3908" t="s">
        <v>44393</v>
      </c>
      <c r="U3908" t="s">
        <v>48030</v>
      </c>
      <c r="W3908" t="s">
        <v>40253</v>
      </c>
      <c r="X3908" t="s">
        <v>42677</v>
      </c>
    </row>
    <row r="3909" spans="1:24">
      <c r="A3909">
        <f>HYPERLINK("https://www.philgeps.gov.ph/GEPSNONPILOT/Tender/SplashBidNoticeAbstractUI.aspx?menuIndex=3&amp;refID=7187062&amp;Result=3","7187062")</f>
        <v>0</v>
      </c>
      <c r="B3909" t="s">
        <v>1415</v>
      </c>
      <c r="C3909" t="s">
        <v>7269</v>
      </c>
      <c r="D3909" t="s">
        <v>17147</v>
      </c>
      <c r="E3909" t="s">
        <v>20680</v>
      </c>
      <c r="F3909" t="s">
        <v>29372</v>
      </c>
      <c r="G3909" t="s">
        <v>29380</v>
      </c>
      <c r="H3909" t="s">
        <v>11048</v>
      </c>
      <c r="I3909" t="s">
        <v>29452</v>
      </c>
      <c r="J3909" t="s">
        <v>30244</v>
      </c>
      <c r="K3909" t="s">
        <v>38487</v>
      </c>
      <c r="M3909" t="s">
        <v>40254</v>
      </c>
      <c r="N3909" t="s">
        <v>42669</v>
      </c>
      <c r="O3909" t="s">
        <v>42670</v>
      </c>
      <c r="P3909">
        <v>0</v>
      </c>
      <c r="Q3909">
        <v>5</v>
      </c>
      <c r="R3909" t="s">
        <v>42676</v>
      </c>
      <c r="S3909" t="s">
        <v>42809</v>
      </c>
      <c r="T3909" t="s">
        <v>44446</v>
      </c>
      <c r="U3909" t="s">
        <v>48047</v>
      </c>
      <c r="W3909" t="s">
        <v>40254</v>
      </c>
      <c r="X3909" t="s">
        <v>42677</v>
      </c>
    </row>
    <row r="3910" spans="1:24">
      <c r="A3910">
        <f>HYPERLINK("https://www.philgeps.gov.ph/GEPSNONPILOT/Tender/SplashBidNoticeAbstractUI.aspx?menuIndex=3&amp;refID=7187060&amp;Result=3","7187060")</f>
        <v>0</v>
      </c>
      <c r="B3910" t="s">
        <v>1425</v>
      </c>
      <c r="C3910" t="s">
        <v>7270</v>
      </c>
      <c r="D3910" t="s">
        <v>17169</v>
      </c>
      <c r="E3910" t="s">
        <v>18218</v>
      </c>
      <c r="F3910" t="s">
        <v>29372</v>
      </c>
      <c r="G3910" t="s">
        <v>29380</v>
      </c>
      <c r="H3910" t="s">
        <v>29389</v>
      </c>
      <c r="I3910" t="s">
        <v>10408</v>
      </c>
      <c r="J3910" t="s">
        <v>29619</v>
      </c>
      <c r="K3910" t="s">
        <v>38485</v>
      </c>
      <c r="M3910" t="s">
        <v>40265</v>
      </c>
      <c r="N3910" t="s">
        <v>42669</v>
      </c>
      <c r="O3910" t="s">
        <v>42670</v>
      </c>
      <c r="P3910">
        <v>0</v>
      </c>
      <c r="Q3910">
        <v>2</v>
      </c>
      <c r="R3910" t="s">
        <v>42676</v>
      </c>
      <c r="S3910" t="s">
        <v>42809</v>
      </c>
      <c r="T3910" t="s">
        <v>44457</v>
      </c>
      <c r="U3910" t="s">
        <v>48048</v>
      </c>
      <c r="W3910" t="s">
        <v>40265</v>
      </c>
      <c r="X3910" t="s">
        <v>42677</v>
      </c>
    </row>
    <row r="3911" spans="1:24">
      <c r="A3911">
        <f>HYPERLINK("https://www.philgeps.gov.ph/GEPSNONPILOT/Tender/SplashBidNoticeAbstractUI.aspx?menuIndex=3&amp;refID=7187030&amp;Result=3","7187030")</f>
        <v>0</v>
      </c>
      <c r="B3911" t="s">
        <v>1418</v>
      </c>
      <c r="C3911" t="s">
        <v>7271</v>
      </c>
      <c r="D3911" t="s">
        <v>17144</v>
      </c>
      <c r="E3911" t="s">
        <v>20681</v>
      </c>
      <c r="F3911" t="s">
        <v>29372</v>
      </c>
      <c r="G3911" t="s">
        <v>29379</v>
      </c>
      <c r="H3911" t="s">
        <v>11048</v>
      </c>
      <c r="I3911" t="s">
        <v>29426</v>
      </c>
      <c r="J3911" t="s">
        <v>29680</v>
      </c>
      <c r="K3911" t="s">
        <v>38488</v>
      </c>
      <c r="M3911" t="s">
        <v>40257</v>
      </c>
      <c r="N3911" t="s">
        <v>42669</v>
      </c>
      <c r="O3911" t="s">
        <v>42670</v>
      </c>
      <c r="P3911">
        <v>0</v>
      </c>
      <c r="Q3911">
        <v>1</v>
      </c>
      <c r="R3911" t="s">
        <v>42676</v>
      </c>
      <c r="S3911" t="s">
        <v>42809</v>
      </c>
      <c r="T3911" t="s">
        <v>44417</v>
      </c>
      <c r="U3911" t="s">
        <v>48049</v>
      </c>
      <c r="W3911" t="s">
        <v>40257</v>
      </c>
      <c r="X3911" t="s">
        <v>42677</v>
      </c>
    </row>
    <row r="3912" spans="1:24">
      <c r="A3912">
        <f>HYPERLINK("https://www.philgeps.gov.ph/GEPSNONPILOT/Tender/SplashBidNoticeAbstractUI.aspx?menuIndex=3&amp;refID=7187096&amp;Result=3","7187096")</f>
        <v>0</v>
      </c>
      <c r="B3912" t="s">
        <v>547</v>
      </c>
      <c r="C3912" t="s">
        <v>7272</v>
      </c>
      <c r="E3912" t="s">
        <v>20682</v>
      </c>
      <c r="F3912" t="s">
        <v>29372</v>
      </c>
      <c r="G3912" t="s">
        <v>29382</v>
      </c>
      <c r="H3912" t="s">
        <v>11048</v>
      </c>
      <c r="I3912" t="s">
        <v>5383</v>
      </c>
      <c r="J3912" t="s">
        <v>32156</v>
      </c>
      <c r="K3912" t="s">
        <v>38485</v>
      </c>
      <c r="M3912" t="s">
        <v>39363</v>
      </c>
      <c r="N3912" t="s">
        <v>42669</v>
      </c>
      <c r="O3912" t="s">
        <v>42670</v>
      </c>
      <c r="P3912">
        <v>0</v>
      </c>
      <c r="Q3912">
        <v>0</v>
      </c>
      <c r="R3912" t="s">
        <v>42676</v>
      </c>
      <c r="S3912" t="s">
        <v>42809</v>
      </c>
      <c r="T3912" t="s">
        <v>44456</v>
      </c>
      <c r="U3912" t="s">
        <v>46113</v>
      </c>
      <c r="W3912" t="s">
        <v>58018</v>
      </c>
      <c r="X3912" t="s">
        <v>42677</v>
      </c>
    </row>
    <row r="3913" spans="1:24">
      <c r="A3913">
        <f>HYPERLINK("https://www.philgeps.gov.ph/GEPSNONPILOT/Tender/SplashBidNoticeAbstractUI.aspx?menuIndex=3&amp;refID=7187054&amp;Result=3","7187054")</f>
        <v>0</v>
      </c>
      <c r="B3913" t="s">
        <v>1426</v>
      </c>
      <c r="C3913" t="s">
        <v>7273</v>
      </c>
      <c r="D3913" t="s">
        <v>17189</v>
      </c>
      <c r="E3913" t="s">
        <v>20683</v>
      </c>
      <c r="F3913" t="s">
        <v>29372</v>
      </c>
      <c r="G3913" t="s">
        <v>29379</v>
      </c>
      <c r="H3913" t="s">
        <v>11048</v>
      </c>
      <c r="I3913" t="s">
        <v>8614</v>
      </c>
      <c r="J3913" t="s">
        <v>29657</v>
      </c>
      <c r="K3913" t="s">
        <v>38488</v>
      </c>
      <c r="M3913" t="s">
        <v>40266</v>
      </c>
      <c r="N3913" t="s">
        <v>42669</v>
      </c>
      <c r="O3913" t="s">
        <v>42670</v>
      </c>
      <c r="P3913">
        <v>0</v>
      </c>
      <c r="Q3913">
        <v>2</v>
      </c>
      <c r="R3913" t="s">
        <v>42676</v>
      </c>
      <c r="S3913" t="s">
        <v>42809</v>
      </c>
      <c r="T3913" t="s">
        <v>44382</v>
      </c>
      <c r="U3913" t="s">
        <v>48050</v>
      </c>
      <c r="W3913" t="s">
        <v>40266</v>
      </c>
      <c r="X3913" t="s">
        <v>42677</v>
      </c>
    </row>
    <row r="3914" spans="1:24">
      <c r="A3914">
        <f>HYPERLINK("https://www.philgeps.gov.ph/GEPSNONPILOT/Tender/SplashBidNoticeAbstractUI.aspx?menuIndex=3&amp;refID=7187042&amp;Result=3","7187042")</f>
        <v>0</v>
      </c>
      <c r="B3914" t="s">
        <v>1427</v>
      </c>
      <c r="C3914" t="s">
        <v>7274</v>
      </c>
      <c r="E3914" t="s">
        <v>20684</v>
      </c>
      <c r="F3914" t="s">
        <v>29372</v>
      </c>
      <c r="G3914" t="s">
        <v>29383</v>
      </c>
      <c r="H3914" t="s">
        <v>11048</v>
      </c>
      <c r="I3914" t="s">
        <v>4487</v>
      </c>
      <c r="J3914" t="s">
        <v>32157</v>
      </c>
      <c r="K3914" t="s">
        <v>38490</v>
      </c>
      <c r="M3914" t="s">
        <v>40267</v>
      </c>
      <c r="N3914" t="s">
        <v>42669</v>
      </c>
      <c r="O3914" t="s">
        <v>42670</v>
      </c>
      <c r="P3914">
        <v>0</v>
      </c>
      <c r="Q3914">
        <v>6</v>
      </c>
      <c r="R3914" t="s">
        <v>42676</v>
      </c>
      <c r="S3914" t="s">
        <v>42809</v>
      </c>
      <c r="T3914" t="s">
        <v>44580</v>
      </c>
      <c r="U3914" t="s">
        <v>48051</v>
      </c>
      <c r="V3914" t="s">
        <v>56744</v>
      </c>
      <c r="W3914" t="s">
        <v>40267</v>
      </c>
      <c r="X3914" t="s">
        <v>42677</v>
      </c>
    </row>
    <row r="3915" spans="1:24">
      <c r="A3915">
        <f>HYPERLINK("https://www.philgeps.gov.ph/GEPSNONPILOT/Tender/SplashBidNoticeAbstractUI.aspx?menuIndex=3&amp;refID=7187094&amp;Result=3","7187094")</f>
        <v>0</v>
      </c>
      <c r="B3915" t="s">
        <v>889</v>
      </c>
      <c r="C3915" t="s">
        <v>7275</v>
      </c>
      <c r="E3915" t="s">
        <v>20685</v>
      </c>
      <c r="F3915" t="s">
        <v>29372</v>
      </c>
      <c r="G3915" t="s">
        <v>29380</v>
      </c>
      <c r="H3915" t="s">
        <v>11048</v>
      </c>
      <c r="I3915" t="s">
        <v>3839</v>
      </c>
      <c r="J3915" t="s">
        <v>32158</v>
      </c>
      <c r="K3915" t="s">
        <v>38488</v>
      </c>
      <c r="M3915" t="s">
        <v>39681</v>
      </c>
      <c r="N3915" t="s">
        <v>42669</v>
      </c>
      <c r="O3915" t="s">
        <v>42670</v>
      </c>
      <c r="P3915">
        <v>0</v>
      </c>
      <c r="Q3915">
        <v>1</v>
      </c>
      <c r="R3915" t="s">
        <v>42676</v>
      </c>
      <c r="S3915" t="s">
        <v>42809</v>
      </c>
      <c r="T3915" t="s">
        <v>44412</v>
      </c>
      <c r="U3915" t="s">
        <v>46663</v>
      </c>
      <c r="W3915" t="s">
        <v>39681</v>
      </c>
      <c r="X3915" t="s">
        <v>42677</v>
      </c>
    </row>
    <row r="3916" spans="1:24">
      <c r="A3916">
        <f>HYPERLINK("https://www.philgeps.gov.ph/GEPSNONPILOT/Tender/SplashBidNoticeAbstractUI.aspx?menuIndex=3&amp;refID=7187091&amp;Result=3","7187091")</f>
        <v>0</v>
      </c>
      <c r="B3916" t="s">
        <v>1427</v>
      </c>
      <c r="C3916" t="s">
        <v>7276</v>
      </c>
      <c r="E3916" t="s">
        <v>20686</v>
      </c>
      <c r="F3916" t="s">
        <v>29372</v>
      </c>
      <c r="G3916" t="s">
        <v>29379</v>
      </c>
      <c r="H3916" t="s">
        <v>11048</v>
      </c>
      <c r="I3916" t="s">
        <v>29394</v>
      </c>
      <c r="J3916" t="s">
        <v>29529</v>
      </c>
      <c r="K3916" t="s">
        <v>38490</v>
      </c>
      <c r="M3916" t="s">
        <v>40267</v>
      </c>
      <c r="N3916" t="s">
        <v>42669</v>
      </c>
      <c r="O3916" t="s">
        <v>42670</v>
      </c>
      <c r="P3916">
        <v>0</v>
      </c>
      <c r="Q3916">
        <v>2</v>
      </c>
      <c r="R3916" t="s">
        <v>42676</v>
      </c>
      <c r="S3916" t="s">
        <v>42809</v>
      </c>
      <c r="T3916" t="s">
        <v>44580</v>
      </c>
      <c r="U3916" t="s">
        <v>48052</v>
      </c>
      <c r="V3916" t="s">
        <v>56744</v>
      </c>
      <c r="W3916" t="s">
        <v>40267</v>
      </c>
      <c r="X3916" t="s">
        <v>42677</v>
      </c>
    </row>
    <row r="3917" spans="1:24">
      <c r="A3917">
        <f>HYPERLINK("https://www.philgeps.gov.ph/GEPSNONPILOT/Tender/SplashBidNoticeAbstractUI.aspx?menuIndex=3&amp;refID=7187090&amp;Result=3","7187090")</f>
        <v>0</v>
      </c>
      <c r="B3917" t="s">
        <v>1383</v>
      </c>
      <c r="C3917" t="s">
        <v>7277</v>
      </c>
      <c r="D3917" t="s">
        <v>17169</v>
      </c>
      <c r="E3917" t="s">
        <v>20592</v>
      </c>
      <c r="F3917" t="s">
        <v>29372</v>
      </c>
      <c r="G3917" t="s">
        <v>29380</v>
      </c>
      <c r="H3917" t="s">
        <v>29389</v>
      </c>
      <c r="I3917" t="s">
        <v>10408</v>
      </c>
      <c r="J3917" t="s">
        <v>32152</v>
      </c>
      <c r="K3917" t="s">
        <v>38496</v>
      </c>
      <c r="M3917" t="s">
        <v>40220</v>
      </c>
      <c r="N3917" t="s">
        <v>42669</v>
      </c>
      <c r="O3917" t="s">
        <v>42670</v>
      </c>
      <c r="P3917">
        <v>0</v>
      </c>
      <c r="Q3917">
        <v>1</v>
      </c>
      <c r="R3917" t="s">
        <v>42676</v>
      </c>
      <c r="S3917" t="s">
        <v>42809</v>
      </c>
      <c r="T3917" t="s">
        <v>44587</v>
      </c>
      <c r="U3917" t="s">
        <v>47960</v>
      </c>
      <c r="V3917" t="s">
        <v>56745</v>
      </c>
      <c r="W3917" t="s">
        <v>40220</v>
      </c>
      <c r="X3917" t="s">
        <v>42677</v>
      </c>
    </row>
    <row r="3918" spans="1:24">
      <c r="A3918">
        <f>HYPERLINK("https://www.philgeps.gov.ph/GEPSNONPILOT/Tender/SplashBidNoticeAbstractUI.aspx?menuIndex=3&amp;refID=7187088&amp;Result=3","7187088")</f>
        <v>0</v>
      </c>
      <c r="B3918" t="s">
        <v>1422</v>
      </c>
      <c r="C3918" t="s">
        <v>3524</v>
      </c>
      <c r="D3918" t="s">
        <v>17212</v>
      </c>
      <c r="E3918" t="s">
        <v>20687</v>
      </c>
      <c r="F3918" t="s">
        <v>29372</v>
      </c>
      <c r="G3918" t="s">
        <v>29380</v>
      </c>
      <c r="H3918" t="s">
        <v>29389</v>
      </c>
      <c r="I3918" t="s">
        <v>10408</v>
      </c>
      <c r="J3918" t="s">
        <v>30032</v>
      </c>
      <c r="K3918" t="s">
        <v>38537</v>
      </c>
      <c r="M3918" t="s">
        <v>40261</v>
      </c>
      <c r="N3918" t="s">
        <v>42669</v>
      </c>
      <c r="O3918" t="s">
        <v>42670</v>
      </c>
      <c r="P3918">
        <v>0</v>
      </c>
      <c r="Q3918">
        <v>0</v>
      </c>
      <c r="R3918" t="s">
        <v>42676</v>
      </c>
      <c r="S3918" t="s">
        <v>42809</v>
      </c>
      <c r="T3918" t="s">
        <v>44371</v>
      </c>
      <c r="U3918" t="s">
        <v>48053</v>
      </c>
      <c r="W3918" t="s">
        <v>40261</v>
      </c>
      <c r="X3918" t="s">
        <v>42677</v>
      </c>
    </row>
    <row r="3919" spans="1:24">
      <c r="A3919">
        <f>HYPERLINK("https://www.philgeps.gov.ph/GEPSNONPILOT/Tender/SplashBidNoticeAbstractUI.aspx?menuIndex=3&amp;refID=7187087&amp;Result=3","7187087")</f>
        <v>0</v>
      </c>
      <c r="B3919" t="s">
        <v>1428</v>
      </c>
      <c r="C3919" t="s">
        <v>7278</v>
      </c>
      <c r="D3919" t="s">
        <v>17171</v>
      </c>
      <c r="E3919" t="s">
        <v>20688</v>
      </c>
      <c r="F3919" t="s">
        <v>29372</v>
      </c>
      <c r="G3919" t="s">
        <v>29379</v>
      </c>
      <c r="H3919" t="s">
        <v>11048</v>
      </c>
      <c r="I3919" t="s">
        <v>4709</v>
      </c>
      <c r="J3919" t="s">
        <v>32159</v>
      </c>
      <c r="K3919" t="s">
        <v>38488</v>
      </c>
      <c r="M3919" t="s">
        <v>40268</v>
      </c>
      <c r="N3919" t="s">
        <v>42669</v>
      </c>
      <c r="O3919" t="s">
        <v>42670</v>
      </c>
      <c r="P3919">
        <v>0</v>
      </c>
      <c r="Q3919">
        <v>3</v>
      </c>
      <c r="R3919" t="s">
        <v>42676</v>
      </c>
      <c r="S3919" t="s">
        <v>42809</v>
      </c>
      <c r="T3919" t="s">
        <v>44404</v>
      </c>
      <c r="U3919" t="s">
        <v>48054</v>
      </c>
      <c r="W3919" t="s">
        <v>40268</v>
      </c>
      <c r="X3919" t="s">
        <v>42677</v>
      </c>
    </row>
    <row r="3920" spans="1:24">
      <c r="A3920">
        <f>HYPERLINK("https://www.philgeps.gov.ph/GEPSNONPILOT/Tender/SplashBidNoticeAbstractUI.aspx?menuIndex=3&amp;refID=7187084&amp;Result=3","7187084")</f>
        <v>0</v>
      </c>
      <c r="B3920" t="s">
        <v>884</v>
      </c>
      <c r="C3920" t="s">
        <v>7279</v>
      </c>
      <c r="D3920" t="s">
        <v>17170</v>
      </c>
      <c r="E3920" t="s">
        <v>20689</v>
      </c>
      <c r="F3920" t="s">
        <v>29372</v>
      </c>
      <c r="G3920" t="s">
        <v>29380</v>
      </c>
      <c r="H3920" t="s">
        <v>11048</v>
      </c>
      <c r="I3920" t="s">
        <v>29407</v>
      </c>
      <c r="J3920" t="s">
        <v>32160</v>
      </c>
      <c r="K3920" t="s">
        <v>38485</v>
      </c>
      <c r="M3920" t="s">
        <v>39676</v>
      </c>
      <c r="N3920" t="s">
        <v>42669</v>
      </c>
      <c r="O3920" t="s">
        <v>42670</v>
      </c>
      <c r="P3920">
        <v>0</v>
      </c>
      <c r="Q3920">
        <v>7</v>
      </c>
      <c r="R3920" t="s">
        <v>42676</v>
      </c>
      <c r="S3920" t="s">
        <v>42809</v>
      </c>
      <c r="T3920" t="s">
        <v>44433</v>
      </c>
      <c r="U3920" t="s">
        <v>48055</v>
      </c>
      <c r="W3920" t="s">
        <v>39676</v>
      </c>
      <c r="X3920" t="s">
        <v>42677</v>
      </c>
    </row>
    <row r="3921" spans="1:24">
      <c r="A3921">
        <f>HYPERLINK("https://www.philgeps.gov.ph/GEPSNONPILOT/Tender/SplashBidNoticeAbstractUI.aspx?menuIndex=3&amp;refID=7187017&amp;Result=3","7187017")</f>
        <v>0</v>
      </c>
      <c r="B3921" t="s">
        <v>1150</v>
      </c>
      <c r="C3921" t="s">
        <v>7280</v>
      </c>
      <c r="D3921" t="s">
        <v>17168</v>
      </c>
      <c r="E3921" t="s">
        <v>20690</v>
      </c>
      <c r="F3921" t="s">
        <v>29372</v>
      </c>
      <c r="G3921" t="s">
        <v>29382</v>
      </c>
      <c r="H3921" t="s">
        <v>11048</v>
      </c>
      <c r="I3921" t="s">
        <v>5383</v>
      </c>
      <c r="J3921" t="s">
        <v>32161</v>
      </c>
      <c r="K3921" t="s">
        <v>38488</v>
      </c>
      <c r="M3921" t="s">
        <v>39964</v>
      </c>
      <c r="N3921" t="s">
        <v>42669</v>
      </c>
      <c r="O3921" t="s">
        <v>42670</v>
      </c>
      <c r="Q3921">
        <v>5</v>
      </c>
      <c r="R3921" t="s">
        <v>42676</v>
      </c>
      <c r="S3921" t="s">
        <v>42815</v>
      </c>
      <c r="T3921" t="s">
        <v>44468</v>
      </c>
      <c r="U3921" t="s">
        <v>47337</v>
      </c>
      <c r="W3921" t="s">
        <v>39964</v>
      </c>
      <c r="X3921" t="s">
        <v>42677</v>
      </c>
    </row>
    <row r="3922" spans="1:24">
      <c r="A3922">
        <f>HYPERLINK("https://www.philgeps.gov.ph/GEPSNONPILOT/Tender/SplashBidNoticeAbstractUI.aspx?menuIndex=3&amp;refID=7187083&amp;Result=3","7187083")</f>
        <v>0</v>
      </c>
      <c r="B3922" t="s">
        <v>1429</v>
      </c>
      <c r="C3922" t="s">
        <v>7281</v>
      </c>
      <c r="D3922" t="s">
        <v>17188</v>
      </c>
      <c r="E3922" t="s">
        <v>20691</v>
      </c>
      <c r="F3922" t="s">
        <v>29372</v>
      </c>
      <c r="G3922" t="s">
        <v>29379</v>
      </c>
      <c r="H3922" t="s">
        <v>11048</v>
      </c>
      <c r="I3922" t="s">
        <v>29407</v>
      </c>
      <c r="J3922" t="s">
        <v>32162</v>
      </c>
      <c r="K3922" t="s">
        <v>38491</v>
      </c>
      <c r="M3922" t="s">
        <v>40269</v>
      </c>
      <c r="N3922" t="s">
        <v>42669</v>
      </c>
      <c r="O3922" t="s">
        <v>42670</v>
      </c>
      <c r="P3922">
        <v>0</v>
      </c>
      <c r="Q3922">
        <v>17</v>
      </c>
      <c r="R3922" t="s">
        <v>42676</v>
      </c>
      <c r="S3922" t="s">
        <v>42809</v>
      </c>
      <c r="T3922" t="s">
        <v>44512</v>
      </c>
      <c r="U3922" t="s">
        <v>48056</v>
      </c>
      <c r="W3922" t="s">
        <v>40269</v>
      </c>
      <c r="X3922" t="s">
        <v>42677</v>
      </c>
    </row>
    <row r="3923" spans="1:24">
      <c r="A3923">
        <f>HYPERLINK("https://www.philgeps.gov.ph/GEPSNONPILOT/Tender/SplashBidNoticeAbstractUI.aspx?menuIndex=3&amp;refID=7187078&amp;Result=3","7187078")</f>
        <v>0</v>
      </c>
      <c r="B3923" t="s">
        <v>1413</v>
      </c>
      <c r="C3923" t="s">
        <v>7282</v>
      </c>
      <c r="D3923" t="s">
        <v>17171</v>
      </c>
      <c r="E3923" t="s">
        <v>20692</v>
      </c>
      <c r="F3923" t="s">
        <v>29372</v>
      </c>
      <c r="G3923" t="s">
        <v>29380</v>
      </c>
      <c r="H3923" t="s">
        <v>11048</v>
      </c>
      <c r="I3923" t="s">
        <v>4709</v>
      </c>
      <c r="J3923" t="s">
        <v>32163</v>
      </c>
      <c r="K3923" t="s">
        <v>38510</v>
      </c>
      <c r="M3923" t="s">
        <v>40252</v>
      </c>
      <c r="N3923" t="s">
        <v>42669</v>
      </c>
      <c r="O3923" t="s">
        <v>42670</v>
      </c>
      <c r="P3923">
        <v>0</v>
      </c>
      <c r="Q3923">
        <v>0</v>
      </c>
      <c r="R3923" t="s">
        <v>42676</v>
      </c>
      <c r="S3923" t="s">
        <v>42809</v>
      </c>
      <c r="T3923" t="s">
        <v>44450</v>
      </c>
      <c r="U3923" t="s">
        <v>48057</v>
      </c>
      <c r="W3923" t="s">
        <v>40252</v>
      </c>
      <c r="X3923" t="s">
        <v>42677</v>
      </c>
    </row>
    <row r="3924" spans="1:24">
      <c r="A3924">
        <f>HYPERLINK("https://www.philgeps.gov.ph/GEPSNONPILOT/Tender/SplashBidNoticeAbstractUI.aspx?menuIndex=3&amp;refID=7187075&amp;Result=3","7187075")</f>
        <v>0</v>
      </c>
      <c r="B3924" t="s">
        <v>1430</v>
      </c>
      <c r="C3924" t="s">
        <v>7283</v>
      </c>
      <c r="D3924" t="s">
        <v>17188</v>
      </c>
      <c r="E3924" t="s">
        <v>20693</v>
      </c>
      <c r="F3924" t="s">
        <v>29372</v>
      </c>
      <c r="G3924" t="s">
        <v>29380</v>
      </c>
      <c r="H3924" t="s">
        <v>11048</v>
      </c>
      <c r="I3924" t="s">
        <v>3695</v>
      </c>
      <c r="J3924" t="s">
        <v>29708</v>
      </c>
      <c r="K3924" t="s">
        <v>38488</v>
      </c>
      <c r="M3924" t="s">
        <v>40270</v>
      </c>
      <c r="N3924" t="s">
        <v>42669</v>
      </c>
      <c r="O3924" t="s">
        <v>42670</v>
      </c>
      <c r="P3924">
        <v>0</v>
      </c>
      <c r="Q3924">
        <v>5</v>
      </c>
      <c r="R3924" t="s">
        <v>42676</v>
      </c>
      <c r="S3924" t="s">
        <v>42809</v>
      </c>
      <c r="T3924" t="s">
        <v>44509</v>
      </c>
      <c r="U3924" t="s">
        <v>48058</v>
      </c>
      <c r="V3924" t="s">
        <v>48058</v>
      </c>
      <c r="W3924" t="s">
        <v>40270</v>
      </c>
      <c r="X3924" t="s">
        <v>42677</v>
      </c>
    </row>
    <row r="3925" spans="1:24">
      <c r="A3925">
        <f>HYPERLINK("https://www.philgeps.gov.ph/GEPSNONPILOT/Tender/SplashBidNoticeAbstractUI.aspx?menuIndex=3&amp;refID=7187073&amp;Result=3","7187073")</f>
        <v>0</v>
      </c>
      <c r="B3925" t="s">
        <v>1431</v>
      </c>
      <c r="C3925" t="s">
        <v>7284</v>
      </c>
      <c r="D3925" t="s">
        <v>17193</v>
      </c>
      <c r="E3925" t="s">
        <v>20694</v>
      </c>
      <c r="F3925" t="s">
        <v>29372</v>
      </c>
      <c r="G3925" t="s">
        <v>29379</v>
      </c>
      <c r="H3925" t="s">
        <v>11048</v>
      </c>
      <c r="I3925" t="s">
        <v>3597</v>
      </c>
      <c r="J3925" t="s">
        <v>32164</v>
      </c>
      <c r="K3925" t="s">
        <v>38488</v>
      </c>
      <c r="M3925" t="s">
        <v>40271</v>
      </c>
      <c r="N3925" t="s">
        <v>42669</v>
      </c>
      <c r="O3925" t="s">
        <v>42670</v>
      </c>
      <c r="P3925">
        <v>0</v>
      </c>
      <c r="Q3925">
        <v>6</v>
      </c>
      <c r="R3925" t="s">
        <v>42676</v>
      </c>
      <c r="S3925" t="s">
        <v>42809</v>
      </c>
      <c r="T3925" t="s">
        <v>44349</v>
      </c>
      <c r="U3925" t="s">
        <v>48059</v>
      </c>
      <c r="V3925" t="s">
        <v>56746</v>
      </c>
      <c r="W3925" t="s">
        <v>40271</v>
      </c>
      <c r="X3925" t="s">
        <v>42677</v>
      </c>
    </row>
    <row r="3926" spans="1:24">
      <c r="A3926">
        <f>HYPERLINK("https://www.philgeps.gov.ph/GEPSNONPILOT/Tender/SplashBidNoticeAbstractUI.aspx?menuIndex=3&amp;refID=7187072&amp;Result=3","7187072")</f>
        <v>0</v>
      </c>
      <c r="B3926" t="s">
        <v>1383</v>
      </c>
      <c r="C3926" t="s">
        <v>7285</v>
      </c>
      <c r="D3926" t="s">
        <v>17169</v>
      </c>
      <c r="E3926" t="s">
        <v>20592</v>
      </c>
      <c r="F3926" t="s">
        <v>29372</v>
      </c>
      <c r="G3926" t="s">
        <v>29380</v>
      </c>
      <c r="H3926" t="s">
        <v>29389</v>
      </c>
      <c r="I3926" t="s">
        <v>10408</v>
      </c>
      <c r="J3926" t="s">
        <v>32152</v>
      </c>
      <c r="K3926" t="s">
        <v>38496</v>
      </c>
      <c r="M3926" t="s">
        <v>40220</v>
      </c>
      <c r="N3926" t="s">
        <v>42669</v>
      </c>
      <c r="O3926" t="s">
        <v>42670</v>
      </c>
      <c r="P3926">
        <v>0</v>
      </c>
      <c r="Q3926">
        <v>1</v>
      </c>
      <c r="R3926" t="s">
        <v>42676</v>
      </c>
      <c r="S3926" t="s">
        <v>42809</v>
      </c>
      <c r="T3926" t="s">
        <v>44587</v>
      </c>
      <c r="U3926" t="s">
        <v>47960</v>
      </c>
      <c r="V3926" t="s">
        <v>56747</v>
      </c>
      <c r="W3926" t="s">
        <v>40220</v>
      </c>
      <c r="X3926" t="s">
        <v>42677</v>
      </c>
    </row>
    <row r="3927" spans="1:24">
      <c r="A3927">
        <f>HYPERLINK("https://www.philgeps.gov.ph/GEPSNONPILOT/Tender/SplashBidNoticeAbstractUI.aspx?menuIndex=3&amp;refID=7187068&amp;Result=3","7187068")</f>
        <v>0</v>
      </c>
      <c r="B3927" t="s">
        <v>889</v>
      </c>
      <c r="C3927" t="s">
        <v>7286</v>
      </c>
      <c r="E3927" t="s">
        <v>20695</v>
      </c>
      <c r="F3927" t="s">
        <v>29372</v>
      </c>
      <c r="G3927" t="s">
        <v>29380</v>
      </c>
      <c r="H3927" t="s">
        <v>11048</v>
      </c>
      <c r="I3927" t="s">
        <v>5383</v>
      </c>
      <c r="J3927" t="s">
        <v>32165</v>
      </c>
      <c r="K3927" t="s">
        <v>38488</v>
      </c>
      <c r="M3927" t="s">
        <v>39681</v>
      </c>
      <c r="N3927" t="s">
        <v>42669</v>
      </c>
      <c r="O3927" t="s">
        <v>42670</v>
      </c>
      <c r="P3927">
        <v>0</v>
      </c>
      <c r="Q3927">
        <v>0</v>
      </c>
      <c r="R3927" t="s">
        <v>42676</v>
      </c>
      <c r="S3927" t="s">
        <v>42809</v>
      </c>
      <c r="T3927" t="s">
        <v>44412</v>
      </c>
      <c r="U3927" t="s">
        <v>46663</v>
      </c>
      <c r="W3927" t="s">
        <v>39681</v>
      </c>
      <c r="X3927" t="s">
        <v>42677</v>
      </c>
    </row>
    <row r="3928" spans="1:24">
      <c r="A3928">
        <f>HYPERLINK("https://www.philgeps.gov.ph/GEPSNONPILOT/Tender/SplashBidNoticeAbstractUI.aspx?menuIndex=3&amp;refID=7187065&amp;Result=3","7187065")</f>
        <v>0</v>
      </c>
      <c r="B3928" t="s">
        <v>1420</v>
      </c>
      <c r="C3928" t="s">
        <v>7287</v>
      </c>
      <c r="D3928" t="s">
        <v>17203</v>
      </c>
      <c r="E3928" t="s">
        <v>20696</v>
      </c>
      <c r="F3928" t="s">
        <v>29372</v>
      </c>
      <c r="G3928" t="s">
        <v>29380</v>
      </c>
      <c r="H3928" t="s">
        <v>29389</v>
      </c>
      <c r="I3928" t="s">
        <v>29398</v>
      </c>
      <c r="J3928" t="s">
        <v>32166</v>
      </c>
      <c r="K3928" t="s">
        <v>38626</v>
      </c>
      <c r="M3928" t="s">
        <v>40259</v>
      </c>
      <c r="N3928" t="s">
        <v>42669</v>
      </c>
      <c r="O3928" t="s">
        <v>42670</v>
      </c>
      <c r="P3928">
        <v>0</v>
      </c>
      <c r="Q3928">
        <v>0</v>
      </c>
      <c r="R3928" t="s">
        <v>42676</v>
      </c>
      <c r="S3928" t="s">
        <v>42809</v>
      </c>
      <c r="T3928" t="s">
        <v>44644</v>
      </c>
      <c r="U3928" t="s">
        <v>48038</v>
      </c>
      <c r="W3928" t="s">
        <v>40259</v>
      </c>
      <c r="X3928" t="s">
        <v>42677</v>
      </c>
    </row>
    <row r="3929" spans="1:24">
      <c r="A3929">
        <f>HYPERLINK("https://www.philgeps.gov.ph/GEPSNONPILOT/Tender/SplashBidNoticeAbstractUI.aspx?menuIndex=3&amp;refID=7187063&amp;Result=3","7187063")</f>
        <v>0</v>
      </c>
      <c r="B3929" t="s">
        <v>1432</v>
      </c>
      <c r="C3929" t="s">
        <v>7288</v>
      </c>
      <c r="D3929" t="s">
        <v>17163</v>
      </c>
      <c r="E3929" t="s">
        <v>20697</v>
      </c>
      <c r="F3929" t="s">
        <v>29372</v>
      </c>
      <c r="G3929" t="s">
        <v>29383</v>
      </c>
      <c r="H3929" t="s">
        <v>11048</v>
      </c>
      <c r="I3929" t="s">
        <v>3629</v>
      </c>
      <c r="J3929" t="s">
        <v>32167</v>
      </c>
      <c r="K3929" t="s">
        <v>38489</v>
      </c>
      <c r="M3929" t="s">
        <v>40272</v>
      </c>
      <c r="N3929" t="s">
        <v>42669</v>
      </c>
      <c r="O3929" t="s">
        <v>42670</v>
      </c>
      <c r="P3929">
        <v>0</v>
      </c>
      <c r="Q3929">
        <v>1</v>
      </c>
      <c r="R3929" t="s">
        <v>42676</v>
      </c>
      <c r="S3929" t="s">
        <v>42809</v>
      </c>
      <c r="T3929" t="s">
        <v>44432</v>
      </c>
      <c r="U3929" t="s">
        <v>48060</v>
      </c>
      <c r="W3929" t="s">
        <v>40272</v>
      </c>
      <c r="X3929" t="s">
        <v>42677</v>
      </c>
    </row>
    <row r="3930" spans="1:24">
      <c r="A3930">
        <f>HYPERLINK("https://www.philgeps.gov.ph/GEPSNONPILOT/Tender/SplashBidNoticeAbstractUI.aspx?menuIndex=3&amp;refID=7187074&amp;Result=3","7187074")</f>
        <v>0</v>
      </c>
      <c r="B3930" t="s">
        <v>1424</v>
      </c>
      <c r="C3930" t="s">
        <v>7289</v>
      </c>
      <c r="D3930" t="s">
        <v>17174</v>
      </c>
      <c r="E3930" t="s">
        <v>20698</v>
      </c>
      <c r="F3930" t="s">
        <v>29372</v>
      </c>
      <c r="G3930" t="s">
        <v>29380</v>
      </c>
      <c r="H3930" t="s">
        <v>11048</v>
      </c>
      <c r="I3930" t="s">
        <v>3629</v>
      </c>
      <c r="J3930" t="s">
        <v>32168</v>
      </c>
      <c r="K3930" t="s">
        <v>38530</v>
      </c>
      <c r="M3930" t="s">
        <v>40264</v>
      </c>
      <c r="N3930" t="s">
        <v>42669</v>
      </c>
      <c r="O3930" t="s">
        <v>42670</v>
      </c>
      <c r="P3930">
        <v>0</v>
      </c>
      <c r="Q3930">
        <v>0</v>
      </c>
      <c r="R3930" t="s">
        <v>42676</v>
      </c>
      <c r="S3930" t="s">
        <v>42809</v>
      </c>
      <c r="T3930" t="s">
        <v>44371</v>
      </c>
      <c r="U3930" t="s">
        <v>48046</v>
      </c>
      <c r="W3930" t="s">
        <v>40264</v>
      </c>
      <c r="X3930" t="s">
        <v>42677</v>
      </c>
    </row>
    <row r="3931" spans="1:24">
      <c r="A3931">
        <f>HYPERLINK("https://www.philgeps.gov.ph/GEPSNONPILOT/Tender/SplashBidNoticeAbstractUI.aspx?menuIndex=3&amp;refID=7187092&amp;Result=3","7187092")</f>
        <v>0</v>
      </c>
      <c r="B3931" t="s">
        <v>1416</v>
      </c>
      <c r="C3931" t="s">
        <v>7290</v>
      </c>
      <c r="D3931" t="s">
        <v>17202</v>
      </c>
      <c r="E3931" t="s">
        <v>20699</v>
      </c>
      <c r="F3931" t="s">
        <v>29372</v>
      </c>
      <c r="G3931" t="s">
        <v>29379</v>
      </c>
      <c r="H3931" t="s">
        <v>11048</v>
      </c>
      <c r="I3931" t="s">
        <v>3695</v>
      </c>
      <c r="J3931" t="s">
        <v>32169</v>
      </c>
      <c r="K3931" t="s">
        <v>38488</v>
      </c>
      <c r="M3931" t="s">
        <v>40255</v>
      </c>
      <c r="N3931" t="s">
        <v>42669</v>
      </c>
      <c r="O3931" t="s">
        <v>42670</v>
      </c>
      <c r="P3931">
        <v>0</v>
      </c>
      <c r="Q3931">
        <v>1</v>
      </c>
      <c r="R3931" t="s">
        <v>42676</v>
      </c>
      <c r="S3931" t="s">
        <v>42809</v>
      </c>
      <c r="T3931" t="s">
        <v>44488</v>
      </c>
      <c r="U3931" t="s">
        <v>48061</v>
      </c>
      <c r="V3931" t="s">
        <v>56748</v>
      </c>
      <c r="W3931" t="s">
        <v>40255</v>
      </c>
      <c r="X3931" t="s">
        <v>42677</v>
      </c>
    </row>
    <row r="3932" spans="1:24">
      <c r="A3932">
        <f>HYPERLINK("https://www.philgeps.gov.ph/GEPSNONPILOT/Tender/SplashBidNoticeAbstractUI.aspx?menuIndex=3&amp;refID=7187089&amp;Result=3","7187089")</f>
        <v>0</v>
      </c>
      <c r="B3932" t="s">
        <v>1433</v>
      </c>
      <c r="C3932" t="s">
        <v>7291</v>
      </c>
      <c r="D3932" t="s">
        <v>17166</v>
      </c>
      <c r="E3932" t="s">
        <v>20700</v>
      </c>
      <c r="F3932" t="s">
        <v>29372</v>
      </c>
      <c r="G3932" t="s">
        <v>29380</v>
      </c>
      <c r="H3932" t="s">
        <v>29389</v>
      </c>
      <c r="I3932" t="s">
        <v>10408</v>
      </c>
      <c r="J3932" t="s">
        <v>30758</v>
      </c>
      <c r="K3932" t="s">
        <v>38537</v>
      </c>
      <c r="M3932" t="s">
        <v>40273</v>
      </c>
      <c r="N3932" t="s">
        <v>42669</v>
      </c>
      <c r="O3932" t="s">
        <v>42670</v>
      </c>
      <c r="P3932">
        <v>0</v>
      </c>
      <c r="Q3932">
        <v>0</v>
      </c>
      <c r="R3932" t="s">
        <v>42676</v>
      </c>
      <c r="S3932" t="s">
        <v>42809</v>
      </c>
      <c r="T3932" t="s">
        <v>44470</v>
      </c>
      <c r="U3932" t="s">
        <v>48062</v>
      </c>
      <c r="W3932" t="s">
        <v>40273</v>
      </c>
      <c r="X3932" t="s">
        <v>42677</v>
      </c>
    </row>
    <row r="3933" spans="1:24">
      <c r="A3933">
        <f>HYPERLINK("https://www.philgeps.gov.ph/GEPSNONPILOT/Tender/SplashBidNoticeAbstractUI.aspx?menuIndex=3&amp;refID=7187027&amp;Result=3","7187027")</f>
        <v>0</v>
      </c>
      <c r="B3933" t="s">
        <v>1417</v>
      </c>
      <c r="C3933" t="s">
        <v>7292</v>
      </c>
      <c r="D3933" t="s">
        <v>17161</v>
      </c>
      <c r="E3933" t="s">
        <v>20701</v>
      </c>
      <c r="F3933" t="s">
        <v>29372</v>
      </c>
      <c r="G3933" t="s">
        <v>29379</v>
      </c>
      <c r="H3933" t="s">
        <v>11048</v>
      </c>
      <c r="I3933" t="s">
        <v>29403</v>
      </c>
      <c r="J3933" t="s">
        <v>29625</v>
      </c>
      <c r="K3933" t="s">
        <v>38491</v>
      </c>
      <c r="M3933" t="s">
        <v>40256</v>
      </c>
      <c r="N3933" t="s">
        <v>42669</v>
      </c>
      <c r="O3933" t="s">
        <v>42670</v>
      </c>
      <c r="P3933">
        <v>0</v>
      </c>
      <c r="Q3933">
        <v>0</v>
      </c>
      <c r="R3933" t="s">
        <v>42676</v>
      </c>
      <c r="S3933" t="s">
        <v>42809</v>
      </c>
      <c r="T3933" t="s">
        <v>44488</v>
      </c>
      <c r="U3933" t="s">
        <v>48063</v>
      </c>
      <c r="W3933" t="s">
        <v>40256</v>
      </c>
      <c r="X3933" t="s">
        <v>42677</v>
      </c>
    </row>
    <row r="3934" spans="1:24">
      <c r="A3934">
        <f>HYPERLINK("https://www.philgeps.gov.ph/GEPSNONPILOT/Tender/SplashBidNoticeAbstractUI.aspx?menuIndex=3&amp;refID=7187057&amp;Result=3","7187057")</f>
        <v>0</v>
      </c>
      <c r="B3934" t="s">
        <v>1434</v>
      </c>
      <c r="C3934" t="s">
        <v>7293</v>
      </c>
      <c r="D3934" t="s">
        <v>17198</v>
      </c>
      <c r="E3934" t="s">
        <v>20702</v>
      </c>
      <c r="F3934" t="s">
        <v>29372</v>
      </c>
      <c r="G3934" t="s">
        <v>29380</v>
      </c>
      <c r="H3934" t="s">
        <v>11048</v>
      </c>
      <c r="I3934" t="s">
        <v>8208</v>
      </c>
      <c r="J3934" t="s">
        <v>31772</v>
      </c>
      <c r="K3934" t="s">
        <v>38524</v>
      </c>
      <c r="M3934" t="s">
        <v>40274</v>
      </c>
      <c r="N3934" t="s">
        <v>42669</v>
      </c>
      <c r="O3934" t="s">
        <v>42670</v>
      </c>
      <c r="P3934">
        <v>0</v>
      </c>
      <c r="Q3934">
        <v>0</v>
      </c>
      <c r="R3934" t="s">
        <v>42676</v>
      </c>
      <c r="S3934" t="s">
        <v>42809</v>
      </c>
      <c r="T3934" t="s">
        <v>44355</v>
      </c>
      <c r="U3934" t="s">
        <v>48064</v>
      </c>
      <c r="V3934" t="s">
        <v>56749</v>
      </c>
      <c r="W3934" t="s">
        <v>40274</v>
      </c>
      <c r="X3934" t="s">
        <v>42677</v>
      </c>
    </row>
    <row r="3935" spans="1:24">
      <c r="A3935">
        <f>HYPERLINK("https://www.philgeps.gov.ph/GEPSNONPILOT/Tender/SplashBidNoticeAbstractUI.aspx?menuIndex=3&amp;refID=7187097&amp;Result=3","7187097")</f>
        <v>0</v>
      </c>
      <c r="B3935" t="s">
        <v>1413</v>
      </c>
      <c r="C3935" t="s">
        <v>7294</v>
      </c>
      <c r="D3935" t="s">
        <v>17171</v>
      </c>
      <c r="E3935" t="s">
        <v>20703</v>
      </c>
      <c r="F3935" t="s">
        <v>29372</v>
      </c>
      <c r="G3935" t="s">
        <v>29380</v>
      </c>
      <c r="H3935" t="s">
        <v>11048</v>
      </c>
      <c r="I3935" t="s">
        <v>4709</v>
      </c>
      <c r="J3935" t="s">
        <v>32170</v>
      </c>
      <c r="K3935" t="s">
        <v>38510</v>
      </c>
      <c r="M3935" t="s">
        <v>40252</v>
      </c>
      <c r="N3935" t="s">
        <v>42669</v>
      </c>
      <c r="O3935" t="s">
        <v>42670</v>
      </c>
      <c r="P3935">
        <v>0</v>
      </c>
      <c r="Q3935">
        <v>0</v>
      </c>
      <c r="R3935" t="s">
        <v>42676</v>
      </c>
      <c r="S3935" t="s">
        <v>42809</v>
      </c>
      <c r="T3935" t="s">
        <v>44450</v>
      </c>
      <c r="U3935" t="s">
        <v>48065</v>
      </c>
      <c r="W3935" t="s">
        <v>40252</v>
      </c>
      <c r="X3935" t="s">
        <v>42677</v>
      </c>
    </row>
    <row r="3936" spans="1:24">
      <c r="A3936">
        <f>HYPERLINK("https://www.philgeps.gov.ph/GEPSNONPILOT/Tender/SplashBidNoticeAbstractUI.aspx?menuIndex=3&amp;refID=7187118&amp;Result=3","7187118")</f>
        <v>0</v>
      </c>
      <c r="B3936" t="s">
        <v>142</v>
      </c>
      <c r="C3936" t="s">
        <v>7295</v>
      </c>
      <c r="D3936" t="s">
        <v>17167</v>
      </c>
      <c r="E3936" t="s">
        <v>20704</v>
      </c>
      <c r="F3936" t="s">
        <v>29372</v>
      </c>
      <c r="G3936" t="s">
        <v>29383</v>
      </c>
      <c r="H3936" t="s">
        <v>11048</v>
      </c>
      <c r="I3936" t="s">
        <v>4709</v>
      </c>
      <c r="J3936" t="s">
        <v>32171</v>
      </c>
      <c r="K3936" t="s">
        <v>38485</v>
      </c>
      <c r="L3936" t="s">
        <v>142</v>
      </c>
      <c r="M3936" t="s">
        <v>38897</v>
      </c>
      <c r="N3936" t="s">
        <v>42669</v>
      </c>
      <c r="O3936" t="s">
        <v>42670</v>
      </c>
      <c r="P3936">
        <v>0</v>
      </c>
      <c r="Q3936">
        <v>0</v>
      </c>
      <c r="R3936" t="s">
        <v>42676</v>
      </c>
      <c r="S3936" t="s">
        <v>42809</v>
      </c>
      <c r="T3936" t="s">
        <v>44489</v>
      </c>
      <c r="U3936" t="s">
        <v>48066</v>
      </c>
      <c r="V3936" t="s">
        <v>56372</v>
      </c>
      <c r="W3936" t="s">
        <v>38897</v>
      </c>
      <c r="X3936" t="s">
        <v>42677</v>
      </c>
    </row>
    <row r="3937" spans="1:24">
      <c r="A3937">
        <f>HYPERLINK("https://www.philgeps.gov.ph/GEPSNONPILOT/Tender/SplashBidNoticeAbstractUI.aspx?menuIndex=3&amp;refID=7187126&amp;Result=3","7187126")</f>
        <v>0</v>
      </c>
      <c r="B3937" t="s">
        <v>1415</v>
      </c>
      <c r="C3937" t="s">
        <v>7296</v>
      </c>
      <c r="D3937" t="s">
        <v>17147</v>
      </c>
      <c r="E3937" t="s">
        <v>20705</v>
      </c>
      <c r="F3937" t="s">
        <v>29372</v>
      </c>
      <c r="G3937" t="s">
        <v>29380</v>
      </c>
      <c r="H3937" t="s">
        <v>11048</v>
      </c>
      <c r="I3937" t="s">
        <v>4709</v>
      </c>
      <c r="J3937" t="s">
        <v>32172</v>
      </c>
      <c r="K3937" t="s">
        <v>38613</v>
      </c>
      <c r="M3937" t="s">
        <v>40254</v>
      </c>
      <c r="N3937" t="s">
        <v>42669</v>
      </c>
      <c r="O3937" t="s">
        <v>42670</v>
      </c>
      <c r="P3937">
        <v>0</v>
      </c>
      <c r="Q3937">
        <v>0</v>
      </c>
      <c r="R3937" t="s">
        <v>42676</v>
      </c>
      <c r="S3937" t="s">
        <v>42809</v>
      </c>
      <c r="T3937" t="s">
        <v>44480</v>
      </c>
      <c r="U3937" t="s">
        <v>48067</v>
      </c>
      <c r="W3937" t="s">
        <v>40254</v>
      </c>
      <c r="X3937" t="s">
        <v>42677</v>
      </c>
    </row>
    <row r="3938" spans="1:24">
      <c r="A3938">
        <f>HYPERLINK("https://www.philgeps.gov.ph/GEPSNONPILOT/Tender/SplashBidNoticeAbstractUI.aspx?menuIndex=3&amp;refID=7187113&amp;Result=3","7187113")</f>
        <v>0</v>
      </c>
      <c r="B3938" t="s">
        <v>1424</v>
      </c>
      <c r="C3938" t="s">
        <v>7297</v>
      </c>
      <c r="D3938" t="s">
        <v>17174</v>
      </c>
      <c r="E3938" t="s">
        <v>20706</v>
      </c>
      <c r="F3938" t="s">
        <v>29372</v>
      </c>
      <c r="G3938" t="s">
        <v>29380</v>
      </c>
      <c r="H3938" t="s">
        <v>11048</v>
      </c>
      <c r="I3938" t="s">
        <v>5383</v>
      </c>
      <c r="J3938" t="s">
        <v>32173</v>
      </c>
      <c r="K3938" t="s">
        <v>38530</v>
      </c>
      <c r="M3938" t="s">
        <v>40264</v>
      </c>
      <c r="N3938" t="s">
        <v>42669</v>
      </c>
      <c r="O3938" t="s">
        <v>42670</v>
      </c>
      <c r="P3938">
        <v>0</v>
      </c>
      <c r="Q3938">
        <v>2</v>
      </c>
      <c r="R3938" t="s">
        <v>42676</v>
      </c>
      <c r="S3938" t="s">
        <v>42809</v>
      </c>
      <c r="T3938" t="s">
        <v>44371</v>
      </c>
      <c r="U3938" t="s">
        <v>48046</v>
      </c>
      <c r="W3938" t="s">
        <v>40264</v>
      </c>
      <c r="X3938" t="s">
        <v>42677</v>
      </c>
    </row>
    <row r="3939" spans="1:24">
      <c r="A3939">
        <f>HYPERLINK("https://www.philgeps.gov.ph/GEPSNONPILOT/Tender/SplashBidNoticeAbstractUI.aspx?menuIndex=3&amp;refID=7187112&amp;Result=3","7187112")</f>
        <v>0</v>
      </c>
      <c r="B3939" t="s">
        <v>1435</v>
      </c>
      <c r="C3939" t="s">
        <v>7298</v>
      </c>
      <c r="D3939" t="s">
        <v>17194</v>
      </c>
      <c r="E3939" t="s">
        <v>17347</v>
      </c>
      <c r="F3939" t="s">
        <v>29375</v>
      </c>
      <c r="G3939" t="s">
        <v>29380</v>
      </c>
      <c r="H3939" t="s">
        <v>11048</v>
      </c>
      <c r="I3939" t="s">
        <v>5383</v>
      </c>
      <c r="J3939" t="s">
        <v>32174</v>
      </c>
      <c r="K3939" t="s">
        <v>38491</v>
      </c>
      <c r="M3939" t="s">
        <v>40275</v>
      </c>
      <c r="N3939" t="s">
        <v>42669</v>
      </c>
      <c r="O3939" t="s">
        <v>42670</v>
      </c>
      <c r="P3939">
        <v>0</v>
      </c>
      <c r="Q3939">
        <v>1</v>
      </c>
      <c r="R3939" t="s">
        <v>42676</v>
      </c>
      <c r="S3939" t="s">
        <v>42809</v>
      </c>
      <c r="T3939" t="s">
        <v>44474</v>
      </c>
      <c r="U3939" t="s">
        <v>48068</v>
      </c>
      <c r="W3939" t="s">
        <v>40275</v>
      </c>
      <c r="X3939" t="s">
        <v>42677</v>
      </c>
    </row>
    <row r="3940" spans="1:24">
      <c r="A3940">
        <f>HYPERLINK("https://www.philgeps.gov.ph/GEPSNONPILOT/Tender/SplashBidNoticeAbstractUI.aspx?menuIndex=3&amp;refID=7187111&amp;Result=3","7187111")</f>
        <v>0</v>
      </c>
      <c r="B3940" t="s">
        <v>1383</v>
      </c>
      <c r="C3940" t="s">
        <v>7299</v>
      </c>
      <c r="D3940" t="s">
        <v>17169</v>
      </c>
      <c r="E3940" t="s">
        <v>20592</v>
      </c>
      <c r="F3940" t="s">
        <v>29372</v>
      </c>
      <c r="G3940" t="s">
        <v>29380</v>
      </c>
      <c r="H3940" t="s">
        <v>29389</v>
      </c>
      <c r="I3940" t="s">
        <v>10408</v>
      </c>
      <c r="J3940" t="s">
        <v>32152</v>
      </c>
      <c r="K3940" t="s">
        <v>38496</v>
      </c>
      <c r="M3940" t="s">
        <v>40220</v>
      </c>
      <c r="N3940" t="s">
        <v>42669</v>
      </c>
      <c r="O3940" t="s">
        <v>42670</v>
      </c>
      <c r="P3940">
        <v>0</v>
      </c>
      <c r="Q3940">
        <v>1</v>
      </c>
      <c r="R3940" t="s">
        <v>42676</v>
      </c>
      <c r="S3940" t="s">
        <v>42809</v>
      </c>
      <c r="T3940" t="s">
        <v>44587</v>
      </c>
      <c r="U3940" t="s">
        <v>47960</v>
      </c>
      <c r="V3940" t="s">
        <v>56750</v>
      </c>
      <c r="W3940" t="s">
        <v>40220</v>
      </c>
      <c r="X3940" t="s">
        <v>42677</v>
      </c>
    </row>
    <row r="3941" spans="1:24">
      <c r="A3941">
        <f>HYPERLINK("https://www.philgeps.gov.ph/GEPSNONPILOT/Tender/SplashBidNoticeAbstractUI.aspx?menuIndex=3&amp;refID=7187110&amp;Result=3","7187110")</f>
        <v>0</v>
      </c>
      <c r="B3941" t="s">
        <v>544</v>
      </c>
      <c r="C3941" t="s">
        <v>7300</v>
      </c>
      <c r="D3941" t="s">
        <v>17194</v>
      </c>
      <c r="E3941" t="s">
        <v>20707</v>
      </c>
      <c r="F3941" t="s">
        <v>29372</v>
      </c>
      <c r="G3941" t="s">
        <v>29383</v>
      </c>
      <c r="H3941" t="s">
        <v>11048</v>
      </c>
      <c r="I3941" t="s">
        <v>29407</v>
      </c>
      <c r="J3941" t="s">
        <v>32175</v>
      </c>
      <c r="K3941" t="s">
        <v>38490</v>
      </c>
      <c r="M3941" t="s">
        <v>40276</v>
      </c>
      <c r="N3941" t="s">
        <v>42669</v>
      </c>
      <c r="O3941" t="s">
        <v>42670</v>
      </c>
      <c r="P3941">
        <v>0</v>
      </c>
      <c r="Q3941">
        <v>6</v>
      </c>
      <c r="R3941" t="s">
        <v>42676</v>
      </c>
      <c r="S3941" t="s">
        <v>42809</v>
      </c>
      <c r="T3941" t="s">
        <v>44512</v>
      </c>
      <c r="U3941" t="s">
        <v>48069</v>
      </c>
      <c r="W3941" t="s">
        <v>40276</v>
      </c>
      <c r="X3941" t="s">
        <v>42677</v>
      </c>
    </row>
    <row r="3942" spans="1:24">
      <c r="A3942">
        <f>HYPERLINK("https://www.philgeps.gov.ph/GEPSNONPILOT/Tender/SplashBidNoticeAbstractUI.aspx?menuIndex=3&amp;refID=7187101&amp;Result=3","7187101")</f>
        <v>0</v>
      </c>
      <c r="B3942" t="s">
        <v>1436</v>
      </c>
      <c r="C3942" t="s">
        <v>7301</v>
      </c>
      <c r="D3942" t="s">
        <v>17163</v>
      </c>
      <c r="E3942" t="s">
        <v>20708</v>
      </c>
      <c r="F3942" t="s">
        <v>29372</v>
      </c>
      <c r="G3942" t="s">
        <v>29383</v>
      </c>
      <c r="H3942" t="s">
        <v>11048</v>
      </c>
      <c r="I3942" t="s">
        <v>29396</v>
      </c>
      <c r="J3942" t="s">
        <v>31569</v>
      </c>
      <c r="K3942" t="s">
        <v>38491</v>
      </c>
      <c r="M3942" t="s">
        <v>40277</v>
      </c>
      <c r="N3942" t="s">
        <v>42669</v>
      </c>
      <c r="O3942" t="s">
        <v>42670</v>
      </c>
      <c r="P3942">
        <v>0</v>
      </c>
      <c r="Q3942">
        <v>1</v>
      </c>
      <c r="R3942" t="s">
        <v>42676</v>
      </c>
      <c r="S3942" t="s">
        <v>42809</v>
      </c>
      <c r="T3942" t="s">
        <v>44491</v>
      </c>
      <c r="U3942" t="s">
        <v>48070</v>
      </c>
      <c r="W3942" t="s">
        <v>40277</v>
      </c>
      <c r="X3942" t="s">
        <v>42677</v>
      </c>
    </row>
    <row r="3943" spans="1:24">
      <c r="A3943">
        <f>HYPERLINK("https://www.philgeps.gov.ph/GEPSNONPILOT/Tender/SplashBidNoticeAbstractUI.aspx?menuIndex=3&amp;refID=7187105&amp;Result=3","7187105")</f>
        <v>0</v>
      </c>
      <c r="B3943" t="s">
        <v>1437</v>
      </c>
      <c r="C3943" t="s">
        <v>7302</v>
      </c>
      <c r="D3943" t="s">
        <v>17189</v>
      </c>
      <c r="E3943" t="s">
        <v>20709</v>
      </c>
      <c r="F3943" t="s">
        <v>29372</v>
      </c>
      <c r="G3943" t="s">
        <v>29380</v>
      </c>
      <c r="H3943" t="s">
        <v>11048</v>
      </c>
      <c r="I3943" t="s">
        <v>10408</v>
      </c>
      <c r="J3943" t="s">
        <v>32176</v>
      </c>
      <c r="K3943" t="s">
        <v>38485</v>
      </c>
      <c r="M3943" t="s">
        <v>40278</v>
      </c>
      <c r="N3943" t="s">
        <v>42669</v>
      </c>
      <c r="O3943" t="s">
        <v>42670</v>
      </c>
      <c r="P3943">
        <v>0</v>
      </c>
      <c r="Q3943">
        <v>0</v>
      </c>
      <c r="R3943" t="s">
        <v>42676</v>
      </c>
      <c r="S3943" t="s">
        <v>42809</v>
      </c>
      <c r="T3943" t="s">
        <v>44371</v>
      </c>
      <c r="U3943" t="s">
        <v>48071</v>
      </c>
      <c r="V3943" t="s">
        <v>56751</v>
      </c>
      <c r="W3943" t="s">
        <v>40278</v>
      </c>
      <c r="X3943" t="s">
        <v>42677</v>
      </c>
    </row>
    <row r="3944" spans="1:24">
      <c r="A3944">
        <f>HYPERLINK("https://www.philgeps.gov.ph/GEPSNONPILOT/Tender/SplashBidNoticeAbstractUI.aspx?menuIndex=3&amp;refID=7187102&amp;Result=3","7187102")</f>
        <v>0</v>
      </c>
      <c r="B3944" t="s">
        <v>1438</v>
      </c>
      <c r="C3944" t="s">
        <v>7303</v>
      </c>
      <c r="D3944" t="s">
        <v>17153</v>
      </c>
      <c r="E3944" t="s">
        <v>17947</v>
      </c>
      <c r="F3944" t="s">
        <v>29372</v>
      </c>
      <c r="G3944" t="s">
        <v>29381</v>
      </c>
      <c r="H3944" t="s">
        <v>29389</v>
      </c>
      <c r="I3944" t="s">
        <v>4709</v>
      </c>
      <c r="J3944" t="s">
        <v>31053</v>
      </c>
      <c r="K3944" t="s">
        <v>38488</v>
      </c>
      <c r="M3944" t="s">
        <v>40279</v>
      </c>
      <c r="N3944" t="s">
        <v>42669</v>
      </c>
      <c r="O3944" t="s">
        <v>42670</v>
      </c>
      <c r="P3944">
        <v>0</v>
      </c>
      <c r="Q3944">
        <v>0</v>
      </c>
      <c r="R3944" t="s">
        <v>42676</v>
      </c>
      <c r="S3944" t="s">
        <v>42809</v>
      </c>
      <c r="T3944" t="s">
        <v>44453</v>
      </c>
      <c r="U3944" t="s">
        <v>48072</v>
      </c>
      <c r="W3944" t="s">
        <v>40279</v>
      </c>
      <c r="X3944" t="s">
        <v>42677</v>
      </c>
    </row>
    <row r="3945" spans="1:24">
      <c r="A3945">
        <f>HYPERLINK("https://www.philgeps.gov.ph/GEPSNONPILOT/Tender/SplashBidNoticeAbstractUI.aspx?menuIndex=3&amp;refID=7187129&amp;Result=3","7187129")</f>
        <v>0</v>
      </c>
      <c r="B3945" t="s">
        <v>1439</v>
      </c>
      <c r="C3945" t="s">
        <v>7304</v>
      </c>
      <c r="D3945" t="s">
        <v>17149</v>
      </c>
      <c r="E3945" t="s">
        <v>20710</v>
      </c>
      <c r="F3945" t="s">
        <v>29372</v>
      </c>
      <c r="G3945" t="s">
        <v>29379</v>
      </c>
      <c r="H3945" t="s">
        <v>11048</v>
      </c>
      <c r="I3945" t="s">
        <v>3839</v>
      </c>
      <c r="J3945" t="s">
        <v>30046</v>
      </c>
      <c r="K3945" t="s">
        <v>38485</v>
      </c>
      <c r="M3945" t="s">
        <v>40280</v>
      </c>
      <c r="N3945" t="s">
        <v>42669</v>
      </c>
      <c r="O3945" t="s">
        <v>42670</v>
      </c>
      <c r="P3945">
        <v>0</v>
      </c>
      <c r="Q3945">
        <v>1</v>
      </c>
      <c r="R3945" t="s">
        <v>42676</v>
      </c>
      <c r="S3945" t="s">
        <v>42809</v>
      </c>
      <c r="T3945" t="s">
        <v>44417</v>
      </c>
      <c r="U3945" t="s">
        <v>48073</v>
      </c>
      <c r="W3945" t="s">
        <v>40280</v>
      </c>
      <c r="X3945" t="s">
        <v>42677</v>
      </c>
    </row>
    <row r="3946" spans="1:24">
      <c r="A3946">
        <f>HYPERLINK("https://www.philgeps.gov.ph/GEPSNONPILOT/Tender/SplashBidNoticeAbstractUI.aspx?menuIndex=3&amp;refID=7187135&amp;Result=3","7187135")</f>
        <v>0</v>
      </c>
      <c r="B3946" t="s">
        <v>1437</v>
      </c>
      <c r="C3946" t="s">
        <v>7305</v>
      </c>
      <c r="D3946" t="s">
        <v>17189</v>
      </c>
      <c r="E3946" t="s">
        <v>20711</v>
      </c>
      <c r="F3946" t="s">
        <v>29372</v>
      </c>
      <c r="G3946" t="s">
        <v>29380</v>
      </c>
      <c r="H3946" t="s">
        <v>29389</v>
      </c>
      <c r="I3946" t="s">
        <v>10408</v>
      </c>
      <c r="J3946" t="s">
        <v>32177</v>
      </c>
      <c r="K3946" t="s">
        <v>38518</v>
      </c>
      <c r="M3946" t="s">
        <v>40278</v>
      </c>
      <c r="N3946" t="s">
        <v>42669</v>
      </c>
      <c r="O3946" t="s">
        <v>42670</v>
      </c>
      <c r="P3946">
        <v>0</v>
      </c>
      <c r="Q3946">
        <v>0</v>
      </c>
      <c r="R3946" t="s">
        <v>42676</v>
      </c>
      <c r="S3946" t="s">
        <v>42809</v>
      </c>
      <c r="T3946" t="s">
        <v>44371</v>
      </c>
      <c r="U3946" t="s">
        <v>48074</v>
      </c>
      <c r="V3946" t="s">
        <v>56752</v>
      </c>
      <c r="W3946" t="s">
        <v>40278</v>
      </c>
      <c r="X3946" t="s">
        <v>42677</v>
      </c>
    </row>
    <row r="3947" spans="1:24">
      <c r="A3947">
        <f>HYPERLINK("https://www.philgeps.gov.ph/GEPSNONPILOT/Tender/SplashBidNoticeAbstractUI.aspx?menuIndex=3&amp;refID=7187134&amp;Result=3","7187134")</f>
        <v>0</v>
      </c>
      <c r="B3947" t="s">
        <v>1440</v>
      </c>
      <c r="C3947" t="s">
        <v>7306</v>
      </c>
      <c r="D3947" t="s">
        <v>17163</v>
      </c>
      <c r="E3947" t="s">
        <v>17289</v>
      </c>
      <c r="F3947" t="s">
        <v>29372</v>
      </c>
      <c r="G3947" t="s">
        <v>29381</v>
      </c>
      <c r="H3947" t="s">
        <v>11048</v>
      </c>
      <c r="I3947" t="s">
        <v>4709</v>
      </c>
      <c r="J3947" t="s">
        <v>32178</v>
      </c>
      <c r="K3947" t="s">
        <v>38510</v>
      </c>
      <c r="M3947" t="s">
        <v>40281</v>
      </c>
      <c r="N3947" t="s">
        <v>42669</v>
      </c>
      <c r="O3947" t="s">
        <v>42670</v>
      </c>
      <c r="P3947">
        <v>0</v>
      </c>
      <c r="Q3947">
        <v>0</v>
      </c>
      <c r="R3947" t="s">
        <v>42676</v>
      </c>
      <c r="S3947" t="s">
        <v>42809</v>
      </c>
      <c r="T3947" t="s">
        <v>44401</v>
      </c>
      <c r="U3947" t="s">
        <v>48075</v>
      </c>
      <c r="V3947" t="s">
        <v>56753</v>
      </c>
      <c r="W3947" t="s">
        <v>40281</v>
      </c>
      <c r="X3947" t="s">
        <v>42677</v>
      </c>
    </row>
    <row r="3948" spans="1:24">
      <c r="A3948">
        <f>HYPERLINK("https://www.philgeps.gov.ph/GEPSNONPILOT/Tender/SplashBidNoticeAbstractUI.aspx?menuIndex=3&amp;refID=7187133&amp;Result=3","7187133")</f>
        <v>0</v>
      </c>
      <c r="B3948" t="s">
        <v>1400</v>
      </c>
      <c r="C3948" t="s">
        <v>7307</v>
      </c>
      <c r="D3948" t="s">
        <v>17141</v>
      </c>
      <c r="E3948" t="s">
        <v>20712</v>
      </c>
      <c r="F3948" t="s">
        <v>29372</v>
      </c>
      <c r="G3948" t="s">
        <v>29383</v>
      </c>
      <c r="H3948" t="s">
        <v>11048</v>
      </c>
      <c r="I3948" t="s">
        <v>8614</v>
      </c>
      <c r="J3948" t="s">
        <v>29811</v>
      </c>
      <c r="K3948" t="s">
        <v>38485</v>
      </c>
      <c r="M3948" t="s">
        <v>40239</v>
      </c>
      <c r="N3948" t="s">
        <v>42669</v>
      </c>
      <c r="O3948" t="s">
        <v>42670</v>
      </c>
      <c r="P3948">
        <v>0</v>
      </c>
      <c r="Q3948">
        <v>6</v>
      </c>
      <c r="R3948" t="s">
        <v>42676</v>
      </c>
      <c r="S3948" t="s">
        <v>42809</v>
      </c>
      <c r="T3948" t="s">
        <v>44371</v>
      </c>
      <c r="U3948" t="s">
        <v>48076</v>
      </c>
      <c r="W3948" t="s">
        <v>40239</v>
      </c>
      <c r="X3948" t="s">
        <v>42677</v>
      </c>
    </row>
    <row r="3949" spans="1:24">
      <c r="A3949">
        <f>HYPERLINK("https://www.philgeps.gov.ph/GEPSNONPILOT/Tender/SplashBidNoticeAbstractUI.aspx?menuIndex=3&amp;refID=7187122&amp;Result=3","7187122")</f>
        <v>0</v>
      </c>
      <c r="B3949" t="s">
        <v>1441</v>
      </c>
      <c r="C3949" t="s">
        <v>7308</v>
      </c>
      <c r="D3949" t="s">
        <v>17231</v>
      </c>
      <c r="E3949" t="s">
        <v>20713</v>
      </c>
      <c r="F3949" t="s">
        <v>29376</v>
      </c>
      <c r="G3949" t="s">
        <v>29383</v>
      </c>
      <c r="H3949" t="s">
        <v>29389</v>
      </c>
      <c r="I3949" t="s">
        <v>29423</v>
      </c>
      <c r="J3949" t="s">
        <v>30010</v>
      </c>
      <c r="K3949" t="s">
        <v>38487</v>
      </c>
      <c r="M3949" t="s">
        <v>40282</v>
      </c>
      <c r="N3949" t="s">
        <v>42669</v>
      </c>
      <c r="O3949" t="s">
        <v>42670</v>
      </c>
      <c r="P3949">
        <v>0</v>
      </c>
      <c r="Q3949">
        <v>0</v>
      </c>
      <c r="R3949" t="s">
        <v>42676</v>
      </c>
      <c r="S3949" t="s">
        <v>42809</v>
      </c>
      <c r="T3949" t="s">
        <v>44427</v>
      </c>
      <c r="U3949" t="s">
        <v>48077</v>
      </c>
      <c r="W3949" t="s">
        <v>40282</v>
      </c>
      <c r="X3949" t="s">
        <v>42677</v>
      </c>
    </row>
    <row r="3950" spans="1:24">
      <c r="A3950">
        <f>HYPERLINK("https://www.philgeps.gov.ph/GEPSNONPILOT/Tender/SplashBidNoticeAbstractUI.aspx?menuIndex=3&amp;refID=7187103&amp;Result=3","7187103")</f>
        <v>0</v>
      </c>
      <c r="B3950" t="s">
        <v>1442</v>
      </c>
      <c r="C3950" t="s">
        <v>7309</v>
      </c>
      <c r="D3950" t="s">
        <v>17181</v>
      </c>
      <c r="E3950" t="s">
        <v>17972</v>
      </c>
      <c r="F3950" t="s">
        <v>29372</v>
      </c>
      <c r="G3950" t="s">
        <v>29380</v>
      </c>
      <c r="H3950" t="s">
        <v>11048</v>
      </c>
      <c r="I3950" t="s">
        <v>4709</v>
      </c>
      <c r="J3950" t="s">
        <v>32179</v>
      </c>
      <c r="K3950" t="s">
        <v>38488</v>
      </c>
      <c r="M3950" t="s">
        <v>40283</v>
      </c>
      <c r="N3950" t="s">
        <v>42669</v>
      </c>
      <c r="O3950" t="s">
        <v>42670</v>
      </c>
      <c r="P3950">
        <v>0</v>
      </c>
      <c r="Q3950">
        <v>0</v>
      </c>
      <c r="R3950" t="s">
        <v>42676</v>
      </c>
      <c r="S3950" t="s">
        <v>42809</v>
      </c>
      <c r="T3950" t="s">
        <v>44640</v>
      </c>
      <c r="U3950" t="s">
        <v>48078</v>
      </c>
      <c r="W3950" t="s">
        <v>40283</v>
      </c>
      <c r="X3950" t="s">
        <v>42677</v>
      </c>
    </row>
    <row r="3951" spans="1:24">
      <c r="A3951">
        <f>HYPERLINK("https://www.philgeps.gov.ph/GEPSNONPILOT/Tender/SplashBidNoticeAbstractUI.aspx?menuIndex=3&amp;refID=7187130&amp;Result=3","7187130")</f>
        <v>0</v>
      </c>
      <c r="B3951" t="s">
        <v>1443</v>
      </c>
      <c r="C3951" t="s">
        <v>7310</v>
      </c>
      <c r="D3951" t="s">
        <v>17207</v>
      </c>
      <c r="E3951" t="s">
        <v>20714</v>
      </c>
      <c r="F3951" t="s">
        <v>29372</v>
      </c>
      <c r="G3951" t="s">
        <v>29381</v>
      </c>
      <c r="H3951" t="s">
        <v>29389</v>
      </c>
      <c r="I3951" t="s">
        <v>3952</v>
      </c>
      <c r="J3951" t="s">
        <v>32180</v>
      </c>
      <c r="K3951" t="s">
        <v>38491</v>
      </c>
      <c r="M3951" t="s">
        <v>40284</v>
      </c>
      <c r="N3951" t="s">
        <v>42669</v>
      </c>
      <c r="O3951" t="s">
        <v>42670</v>
      </c>
      <c r="P3951">
        <v>0</v>
      </c>
      <c r="Q3951">
        <v>2</v>
      </c>
      <c r="R3951" t="s">
        <v>42676</v>
      </c>
      <c r="S3951" t="s">
        <v>42809</v>
      </c>
      <c r="T3951" t="s">
        <v>44645</v>
      </c>
      <c r="U3951" t="s">
        <v>48079</v>
      </c>
      <c r="V3951" t="s">
        <v>56754</v>
      </c>
      <c r="W3951" t="s">
        <v>40284</v>
      </c>
      <c r="X3951" t="s">
        <v>42677</v>
      </c>
    </row>
    <row r="3952" spans="1:24">
      <c r="A3952">
        <f>HYPERLINK("https://www.philgeps.gov.ph/GEPSNONPILOT/Tender/SplashBidNoticeAbstractUI.aspx?menuIndex=3&amp;refID=7187136&amp;Result=3","7187136")</f>
        <v>0</v>
      </c>
      <c r="B3952" t="s">
        <v>768</v>
      </c>
      <c r="C3952" t="s">
        <v>7311</v>
      </c>
      <c r="D3952" t="s">
        <v>17170</v>
      </c>
      <c r="E3952" t="s">
        <v>20715</v>
      </c>
      <c r="F3952" t="s">
        <v>29372</v>
      </c>
      <c r="G3952" t="s">
        <v>29379</v>
      </c>
      <c r="H3952" t="s">
        <v>11048</v>
      </c>
      <c r="I3952" t="s">
        <v>5383</v>
      </c>
      <c r="J3952" t="s">
        <v>32181</v>
      </c>
      <c r="K3952" t="s">
        <v>38510</v>
      </c>
      <c r="M3952" t="s">
        <v>39552</v>
      </c>
      <c r="N3952" t="s">
        <v>42669</v>
      </c>
      <c r="O3952" t="s">
        <v>42670</v>
      </c>
      <c r="P3952">
        <v>0</v>
      </c>
      <c r="Q3952">
        <v>8</v>
      </c>
      <c r="R3952" t="s">
        <v>42676</v>
      </c>
      <c r="S3952" t="s">
        <v>42809</v>
      </c>
      <c r="T3952" t="s">
        <v>44382</v>
      </c>
      <c r="U3952" t="s">
        <v>48080</v>
      </c>
      <c r="W3952" t="s">
        <v>39552</v>
      </c>
      <c r="X3952" t="s">
        <v>42677</v>
      </c>
    </row>
    <row r="3953" spans="1:24">
      <c r="A3953">
        <f>HYPERLINK("https://www.philgeps.gov.ph/GEPSNONPILOT/Tender/SplashBidNoticeAbstractUI.aspx?menuIndex=3&amp;refID=7187150&amp;Result=3","7187150")</f>
        <v>0</v>
      </c>
      <c r="B3953" t="s">
        <v>1414</v>
      </c>
      <c r="C3953" t="s">
        <v>7312</v>
      </c>
      <c r="D3953" t="s">
        <v>17160</v>
      </c>
      <c r="E3953" t="s">
        <v>20716</v>
      </c>
      <c r="F3953" t="s">
        <v>29372</v>
      </c>
      <c r="G3953" t="s">
        <v>29380</v>
      </c>
      <c r="H3953" t="s">
        <v>11048</v>
      </c>
      <c r="I3953" t="s">
        <v>29417</v>
      </c>
      <c r="J3953" t="s">
        <v>32182</v>
      </c>
      <c r="K3953" t="s">
        <v>38485</v>
      </c>
      <c r="M3953" t="s">
        <v>40253</v>
      </c>
      <c r="N3953" t="s">
        <v>42669</v>
      </c>
      <c r="O3953" t="s">
        <v>42670</v>
      </c>
      <c r="P3953">
        <v>0</v>
      </c>
      <c r="Q3953">
        <v>6</v>
      </c>
      <c r="R3953" t="s">
        <v>42676</v>
      </c>
      <c r="S3953" t="s">
        <v>42809</v>
      </c>
      <c r="T3953" t="s">
        <v>44393</v>
      </c>
      <c r="U3953" t="s">
        <v>48081</v>
      </c>
      <c r="W3953" t="s">
        <v>40253</v>
      </c>
      <c r="X3953" t="s">
        <v>42677</v>
      </c>
    </row>
    <row r="3954" spans="1:24">
      <c r="A3954">
        <f>HYPERLINK("https://www.philgeps.gov.ph/GEPSNONPILOT/Tender/SplashBidNoticeAbstractUI.aspx?menuIndex=3&amp;refID=7187153&amp;Result=3","7187153")</f>
        <v>0</v>
      </c>
      <c r="B3954" t="s">
        <v>905</v>
      </c>
      <c r="C3954" t="s">
        <v>7313</v>
      </c>
      <c r="D3954" t="s">
        <v>17151</v>
      </c>
      <c r="E3954" t="s">
        <v>20717</v>
      </c>
      <c r="F3954" t="s">
        <v>29372</v>
      </c>
      <c r="G3954" t="s">
        <v>29379</v>
      </c>
      <c r="H3954" t="s">
        <v>11048</v>
      </c>
      <c r="I3954" t="s">
        <v>29486</v>
      </c>
      <c r="J3954" t="s">
        <v>30000</v>
      </c>
      <c r="K3954" t="s">
        <v>38489</v>
      </c>
      <c r="M3954" t="s">
        <v>39698</v>
      </c>
      <c r="N3954" t="s">
        <v>42669</v>
      </c>
      <c r="O3954" t="s">
        <v>42670</v>
      </c>
      <c r="P3954">
        <v>0</v>
      </c>
      <c r="Q3954">
        <v>0</v>
      </c>
      <c r="R3954" t="s">
        <v>42676</v>
      </c>
      <c r="S3954" t="s">
        <v>42809</v>
      </c>
      <c r="T3954" t="s">
        <v>44491</v>
      </c>
      <c r="U3954" t="s">
        <v>48082</v>
      </c>
      <c r="W3954" t="s">
        <v>39698</v>
      </c>
      <c r="X3954" t="s">
        <v>42677</v>
      </c>
    </row>
    <row r="3955" spans="1:24">
      <c r="A3955">
        <f>HYPERLINK("https://www.philgeps.gov.ph/GEPSNONPILOT/Tender/SplashBidNoticeAbstractUI.aspx?menuIndex=3&amp;refID=7187147&amp;Result=3","7187147")</f>
        <v>0</v>
      </c>
      <c r="B3955" t="s">
        <v>1435</v>
      </c>
      <c r="C3955" t="s">
        <v>7314</v>
      </c>
      <c r="D3955" t="s">
        <v>17194</v>
      </c>
      <c r="E3955" t="s">
        <v>17870</v>
      </c>
      <c r="F3955" t="s">
        <v>29375</v>
      </c>
      <c r="G3955" t="s">
        <v>29380</v>
      </c>
      <c r="H3955" t="s">
        <v>11048</v>
      </c>
      <c r="I3955" t="s">
        <v>5383</v>
      </c>
      <c r="J3955" t="s">
        <v>32183</v>
      </c>
      <c r="K3955" t="s">
        <v>38491</v>
      </c>
      <c r="M3955" t="s">
        <v>40275</v>
      </c>
      <c r="N3955" t="s">
        <v>42669</v>
      </c>
      <c r="O3955" t="s">
        <v>42670</v>
      </c>
      <c r="P3955">
        <v>0</v>
      </c>
      <c r="Q3955">
        <v>1</v>
      </c>
      <c r="R3955" t="s">
        <v>42676</v>
      </c>
      <c r="S3955" t="s">
        <v>42809</v>
      </c>
      <c r="T3955" t="s">
        <v>44474</v>
      </c>
      <c r="U3955" t="s">
        <v>48083</v>
      </c>
      <c r="W3955" t="s">
        <v>40275</v>
      </c>
      <c r="X3955" t="s">
        <v>42677</v>
      </c>
    </row>
    <row r="3956" spans="1:24">
      <c r="A3956">
        <f>HYPERLINK("https://www.philgeps.gov.ph/GEPSNONPILOT/Tender/SplashBidNoticeAbstractUI.aspx?menuIndex=3&amp;refID=7187148&amp;Result=3","7187148")</f>
        <v>0</v>
      </c>
      <c r="B3956" t="s">
        <v>1383</v>
      </c>
      <c r="C3956" t="s">
        <v>7315</v>
      </c>
      <c r="D3956" t="s">
        <v>17169</v>
      </c>
      <c r="E3956" t="s">
        <v>20592</v>
      </c>
      <c r="F3956" t="s">
        <v>29372</v>
      </c>
      <c r="G3956" t="s">
        <v>29380</v>
      </c>
      <c r="H3956" t="s">
        <v>29389</v>
      </c>
      <c r="I3956" t="s">
        <v>10408</v>
      </c>
      <c r="J3956" t="s">
        <v>32152</v>
      </c>
      <c r="K3956" t="s">
        <v>38496</v>
      </c>
      <c r="M3956" t="s">
        <v>40220</v>
      </c>
      <c r="N3956" t="s">
        <v>42669</v>
      </c>
      <c r="O3956" t="s">
        <v>42670</v>
      </c>
      <c r="P3956">
        <v>0</v>
      </c>
      <c r="Q3956">
        <v>1</v>
      </c>
      <c r="R3956" t="s">
        <v>42676</v>
      </c>
      <c r="S3956" t="s">
        <v>42809</v>
      </c>
      <c r="T3956" t="s">
        <v>44587</v>
      </c>
      <c r="U3956" t="s">
        <v>47960</v>
      </c>
      <c r="V3956" t="s">
        <v>56755</v>
      </c>
      <c r="W3956" t="s">
        <v>40220</v>
      </c>
      <c r="X3956" t="s">
        <v>42677</v>
      </c>
    </row>
    <row r="3957" spans="1:24">
      <c r="A3957">
        <f>HYPERLINK("https://www.philgeps.gov.ph/GEPSNONPILOT/Tender/SplashBidNoticeAbstractUI.aspx?menuIndex=3&amp;refID=7187100&amp;Result=3","7187100")</f>
        <v>0</v>
      </c>
      <c r="B3957" t="s">
        <v>1412</v>
      </c>
      <c r="C3957" t="s">
        <v>7316</v>
      </c>
      <c r="D3957" t="s">
        <v>17226</v>
      </c>
      <c r="E3957" t="s">
        <v>20718</v>
      </c>
      <c r="F3957" t="s">
        <v>29372</v>
      </c>
      <c r="G3957" t="s">
        <v>29380</v>
      </c>
      <c r="H3957" t="s">
        <v>11048</v>
      </c>
      <c r="I3957" t="s">
        <v>5383</v>
      </c>
      <c r="J3957" t="s">
        <v>32184</v>
      </c>
      <c r="K3957" t="s">
        <v>38510</v>
      </c>
      <c r="M3957" t="s">
        <v>40251</v>
      </c>
      <c r="N3957" t="s">
        <v>42669</v>
      </c>
      <c r="O3957" t="s">
        <v>42670</v>
      </c>
      <c r="P3957">
        <v>0</v>
      </c>
      <c r="Q3957">
        <v>1</v>
      </c>
      <c r="R3957" t="s">
        <v>42676</v>
      </c>
      <c r="S3957" t="s">
        <v>42809</v>
      </c>
      <c r="T3957" t="s">
        <v>44525</v>
      </c>
      <c r="U3957" t="s">
        <v>48027</v>
      </c>
      <c r="W3957" t="s">
        <v>40251</v>
      </c>
      <c r="X3957" t="s">
        <v>42677</v>
      </c>
    </row>
    <row r="3958" spans="1:24">
      <c r="A3958">
        <f>HYPERLINK("https://www.philgeps.gov.ph/GEPSNONPILOT/Tender/SplashBidNoticeAbstractUI.aspx?menuIndex=3&amp;refID=7187121&amp;Result=3","7187121")</f>
        <v>0</v>
      </c>
      <c r="B3958" t="s">
        <v>113</v>
      </c>
      <c r="C3958" t="s">
        <v>7317</v>
      </c>
      <c r="D3958" t="s">
        <v>17174</v>
      </c>
      <c r="E3958" t="s">
        <v>17794</v>
      </c>
      <c r="F3958" t="s">
        <v>29372</v>
      </c>
      <c r="G3958" t="s">
        <v>29379</v>
      </c>
      <c r="H3958" t="s">
        <v>29389</v>
      </c>
      <c r="I3958" t="s">
        <v>4709</v>
      </c>
      <c r="J3958" t="s">
        <v>32185</v>
      </c>
      <c r="K3958" t="s">
        <v>38485</v>
      </c>
      <c r="M3958" t="s">
        <v>38868</v>
      </c>
      <c r="N3958" t="s">
        <v>42669</v>
      </c>
      <c r="O3958" t="s">
        <v>42670</v>
      </c>
      <c r="P3958">
        <v>0</v>
      </c>
      <c r="Q3958">
        <v>0</v>
      </c>
      <c r="R3958" t="s">
        <v>42676</v>
      </c>
      <c r="S3958" t="s">
        <v>42809</v>
      </c>
      <c r="T3958" t="s">
        <v>44401</v>
      </c>
      <c r="U3958" t="s">
        <v>48084</v>
      </c>
      <c r="W3958" t="s">
        <v>38868</v>
      </c>
      <c r="X3958" t="s">
        <v>42677</v>
      </c>
    </row>
    <row r="3959" spans="1:24">
      <c r="A3959">
        <f>HYPERLINK("https://www.philgeps.gov.ph/GEPSNONPILOT/Tender/SplashBidNoticeAbstractUI.aspx?menuIndex=3&amp;refID=7187139&amp;Result=3","7187139")</f>
        <v>0</v>
      </c>
      <c r="B3959" t="s">
        <v>1413</v>
      </c>
      <c r="C3959" t="s">
        <v>7318</v>
      </c>
      <c r="D3959" t="s">
        <v>17171</v>
      </c>
      <c r="E3959" t="s">
        <v>20719</v>
      </c>
      <c r="F3959" t="s">
        <v>29372</v>
      </c>
      <c r="G3959" t="s">
        <v>29380</v>
      </c>
      <c r="H3959" t="s">
        <v>11048</v>
      </c>
      <c r="I3959" t="s">
        <v>29407</v>
      </c>
      <c r="J3959" t="s">
        <v>32186</v>
      </c>
      <c r="K3959" t="s">
        <v>38489</v>
      </c>
      <c r="M3959" t="s">
        <v>40252</v>
      </c>
      <c r="N3959" t="s">
        <v>42669</v>
      </c>
      <c r="O3959" t="s">
        <v>42670</v>
      </c>
      <c r="P3959">
        <v>0</v>
      </c>
      <c r="Q3959">
        <v>5</v>
      </c>
      <c r="R3959" t="s">
        <v>42676</v>
      </c>
      <c r="S3959" t="s">
        <v>42809</v>
      </c>
      <c r="T3959" t="s">
        <v>44450</v>
      </c>
      <c r="U3959" t="s">
        <v>48085</v>
      </c>
      <c r="W3959" t="s">
        <v>40252</v>
      </c>
      <c r="X3959" t="s">
        <v>42677</v>
      </c>
    </row>
    <row r="3960" spans="1:24">
      <c r="A3960">
        <f>HYPERLINK("https://www.philgeps.gov.ph/GEPSNONPILOT/Tender/SplashBidNoticeAbstractUI.aspx?menuIndex=3&amp;refID=7187171&amp;Result=3","7187171")</f>
        <v>0</v>
      </c>
      <c r="B3960" t="s">
        <v>1444</v>
      </c>
      <c r="C3960" t="s">
        <v>7319</v>
      </c>
      <c r="D3960" t="s">
        <v>17199</v>
      </c>
      <c r="E3960" t="s">
        <v>20720</v>
      </c>
      <c r="F3960" t="s">
        <v>29372</v>
      </c>
      <c r="G3960" t="s">
        <v>29380</v>
      </c>
      <c r="H3960" t="s">
        <v>11048</v>
      </c>
      <c r="I3960" t="s">
        <v>4709</v>
      </c>
      <c r="J3960" t="s">
        <v>32187</v>
      </c>
      <c r="K3960" t="s">
        <v>38485</v>
      </c>
      <c r="M3960" t="s">
        <v>40285</v>
      </c>
      <c r="N3960" t="s">
        <v>42669</v>
      </c>
      <c r="O3960" t="s">
        <v>42670</v>
      </c>
      <c r="P3960">
        <v>0</v>
      </c>
      <c r="Q3960">
        <v>1</v>
      </c>
      <c r="R3960" t="s">
        <v>42676</v>
      </c>
      <c r="S3960" t="s">
        <v>42809</v>
      </c>
      <c r="T3960" t="s">
        <v>44371</v>
      </c>
      <c r="U3960" t="s">
        <v>48086</v>
      </c>
      <c r="V3960" t="s">
        <v>56756</v>
      </c>
      <c r="W3960" t="s">
        <v>40285</v>
      </c>
      <c r="X3960" t="s">
        <v>42677</v>
      </c>
    </row>
    <row r="3961" spans="1:24">
      <c r="A3961">
        <f>HYPERLINK("https://www.philgeps.gov.ph/GEPSNONPILOT/Tender/SplashBidNoticeAbstractUI.aspx?menuIndex=3&amp;refID=7187123&amp;Result=3","7187123")</f>
        <v>0</v>
      </c>
      <c r="B3961" t="s">
        <v>1413</v>
      </c>
      <c r="C3961" t="s">
        <v>7320</v>
      </c>
      <c r="D3961" t="s">
        <v>17171</v>
      </c>
      <c r="E3961" t="s">
        <v>20721</v>
      </c>
      <c r="F3961" t="s">
        <v>29372</v>
      </c>
      <c r="G3961" t="s">
        <v>29380</v>
      </c>
      <c r="H3961" t="s">
        <v>11048</v>
      </c>
      <c r="I3961" t="s">
        <v>4709</v>
      </c>
      <c r="J3961" t="s">
        <v>29590</v>
      </c>
      <c r="K3961" t="s">
        <v>38510</v>
      </c>
      <c r="M3961" t="s">
        <v>40252</v>
      </c>
      <c r="N3961" t="s">
        <v>42669</v>
      </c>
      <c r="O3961" t="s">
        <v>42670</v>
      </c>
      <c r="P3961">
        <v>0</v>
      </c>
      <c r="Q3961">
        <v>0</v>
      </c>
      <c r="R3961" t="s">
        <v>42676</v>
      </c>
      <c r="S3961" t="s">
        <v>42809</v>
      </c>
      <c r="T3961" t="s">
        <v>44450</v>
      </c>
      <c r="U3961" t="s">
        <v>48087</v>
      </c>
      <c r="W3961" t="s">
        <v>40252</v>
      </c>
      <c r="X3961" t="s">
        <v>42677</v>
      </c>
    </row>
    <row r="3962" spans="1:24">
      <c r="A3962">
        <f>HYPERLINK("https://www.philgeps.gov.ph/GEPSNONPILOT/Tender/SplashBidNoticeAbstractUI.aspx?menuIndex=3&amp;refID=7187152&amp;Result=3","7187152")</f>
        <v>0</v>
      </c>
      <c r="B3962" t="s">
        <v>1421</v>
      </c>
      <c r="C3962" t="s">
        <v>7321</v>
      </c>
      <c r="D3962" t="s">
        <v>17158</v>
      </c>
      <c r="E3962" t="s">
        <v>20722</v>
      </c>
      <c r="F3962" t="s">
        <v>29372</v>
      </c>
      <c r="G3962" t="s">
        <v>29380</v>
      </c>
      <c r="H3962" t="s">
        <v>29389</v>
      </c>
      <c r="I3962" t="s">
        <v>10408</v>
      </c>
      <c r="J3962" t="s">
        <v>29619</v>
      </c>
      <c r="K3962" t="s">
        <v>38508</v>
      </c>
      <c r="M3962" t="s">
        <v>40260</v>
      </c>
      <c r="N3962" t="s">
        <v>42669</v>
      </c>
      <c r="O3962" t="s">
        <v>42670</v>
      </c>
      <c r="P3962">
        <v>0</v>
      </c>
      <c r="Q3962">
        <v>0</v>
      </c>
      <c r="R3962" t="s">
        <v>42676</v>
      </c>
      <c r="S3962" t="s">
        <v>42809</v>
      </c>
      <c r="T3962" t="s">
        <v>44379</v>
      </c>
      <c r="U3962" t="s">
        <v>48088</v>
      </c>
      <c r="W3962" t="s">
        <v>40260</v>
      </c>
      <c r="X3962" t="s">
        <v>42677</v>
      </c>
    </row>
    <row r="3963" spans="1:24">
      <c r="A3963">
        <f>HYPERLINK("https://www.philgeps.gov.ph/GEPSNONPILOT/Tender/SplashBidNoticeAbstractUI.aspx?menuIndex=3&amp;refID=7187169&amp;Result=3","7187169")</f>
        <v>0</v>
      </c>
      <c r="B3963" t="s">
        <v>1437</v>
      </c>
      <c r="C3963" t="s">
        <v>7322</v>
      </c>
      <c r="D3963" t="s">
        <v>17189</v>
      </c>
      <c r="E3963" t="s">
        <v>20723</v>
      </c>
      <c r="F3963" t="s">
        <v>29372</v>
      </c>
      <c r="G3963" t="s">
        <v>29380</v>
      </c>
      <c r="H3963" t="s">
        <v>29389</v>
      </c>
      <c r="I3963" t="s">
        <v>10408</v>
      </c>
      <c r="J3963" t="s">
        <v>32188</v>
      </c>
      <c r="K3963" t="s">
        <v>38518</v>
      </c>
      <c r="M3963" t="s">
        <v>40278</v>
      </c>
      <c r="N3963" t="s">
        <v>42669</v>
      </c>
      <c r="O3963" t="s">
        <v>42670</v>
      </c>
      <c r="P3963">
        <v>0</v>
      </c>
      <c r="Q3963">
        <v>0</v>
      </c>
      <c r="R3963" t="s">
        <v>42676</v>
      </c>
      <c r="S3963" t="s">
        <v>42809</v>
      </c>
      <c r="T3963" t="s">
        <v>44371</v>
      </c>
      <c r="U3963" t="s">
        <v>48074</v>
      </c>
      <c r="V3963" t="s">
        <v>56757</v>
      </c>
      <c r="W3963" t="s">
        <v>40278</v>
      </c>
      <c r="X3963" t="s">
        <v>42677</v>
      </c>
    </row>
    <row r="3964" spans="1:24">
      <c r="A3964">
        <f>HYPERLINK("https://www.philgeps.gov.ph/GEPSNONPILOT/Tender/SplashBidNoticeAbstractUI.aspx?menuIndex=3&amp;refID=7187167&amp;Result=3","7187167")</f>
        <v>0</v>
      </c>
      <c r="B3964" t="s">
        <v>1436</v>
      </c>
      <c r="C3964" t="s">
        <v>7323</v>
      </c>
      <c r="D3964" t="s">
        <v>17163</v>
      </c>
      <c r="E3964" t="s">
        <v>20724</v>
      </c>
      <c r="F3964" t="s">
        <v>29372</v>
      </c>
      <c r="G3964" t="s">
        <v>29383</v>
      </c>
      <c r="H3964" t="s">
        <v>11048</v>
      </c>
      <c r="I3964" t="s">
        <v>29430</v>
      </c>
      <c r="J3964" t="s">
        <v>29708</v>
      </c>
      <c r="K3964" t="s">
        <v>38491</v>
      </c>
      <c r="M3964" t="s">
        <v>40277</v>
      </c>
      <c r="N3964" t="s">
        <v>42669</v>
      </c>
      <c r="O3964" t="s">
        <v>42670</v>
      </c>
      <c r="P3964">
        <v>0</v>
      </c>
      <c r="Q3964">
        <v>6</v>
      </c>
      <c r="R3964" t="s">
        <v>42676</v>
      </c>
      <c r="S3964" t="s">
        <v>42809</v>
      </c>
      <c r="T3964" t="s">
        <v>44491</v>
      </c>
      <c r="U3964" t="s">
        <v>48089</v>
      </c>
      <c r="W3964" t="s">
        <v>40277</v>
      </c>
      <c r="X3964" t="s">
        <v>42677</v>
      </c>
    </row>
    <row r="3965" spans="1:24">
      <c r="A3965">
        <f>HYPERLINK("https://www.philgeps.gov.ph/GEPSNONPILOT/Tender/SplashBidNoticeAbstractUI.aspx?menuIndex=3&amp;refID=7187166&amp;Result=3","7187166")</f>
        <v>0</v>
      </c>
      <c r="B3965" t="s">
        <v>902</v>
      </c>
      <c r="C3965" t="s">
        <v>7324</v>
      </c>
      <c r="D3965" t="s">
        <v>17205</v>
      </c>
      <c r="E3965" t="s">
        <v>20725</v>
      </c>
      <c r="F3965" t="s">
        <v>29372</v>
      </c>
      <c r="G3965" t="s">
        <v>29379</v>
      </c>
      <c r="H3965" t="s">
        <v>11048</v>
      </c>
      <c r="I3965" t="s">
        <v>3629</v>
      </c>
      <c r="J3965" t="s">
        <v>32189</v>
      </c>
      <c r="K3965" t="s">
        <v>38490</v>
      </c>
      <c r="M3965" t="s">
        <v>39695</v>
      </c>
      <c r="N3965" t="s">
        <v>42669</v>
      </c>
      <c r="O3965" t="s">
        <v>42670</v>
      </c>
      <c r="P3965">
        <v>0</v>
      </c>
      <c r="Q3965">
        <v>0</v>
      </c>
      <c r="R3965" t="s">
        <v>42676</v>
      </c>
      <c r="S3965" t="s">
        <v>42809</v>
      </c>
      <c r="T3965" t="s">
        <v>44512</v>
      </c>
      <c r="U3965" t="s">
        <v>48090</v>
      </c>
      <c r="W3965" t="s">
        <v>39695</v>
      </c>
      <c r="X3965" t="s">
        <v>42677</v>
      </c>
    </row>
    <row r="3966" spans="1:24">
      <c r="A3966">
        <f>HYPERLINK("https://www.philgeps.gov.ph/GEPSNONPILOT/Tender/SplashBidNoticeAbstractUI.aspx?menuIndex=3&amp;refID=7187145&amp;Result=3","7187145")</f>
        <v>0</v>
      </c>
      <c r="B3966" t="s">
        <v>1445</v>
      </c>
      <c r="C3966" t="s">
        <v>7325</v>
      </c>
      <c r="D3966" t="s">
        <v>17141</v>
      </c>
      <c r="E3966" t="s">
        <v>20726</v>
      </c>
      <c r="F3966" t="s">
        <v>29372</v>
      </c>
      <c r="G3966" t="s">
        <v>29383</v>
      </c>
      <c r="H3966" t="s">
        <v>11048</v>
      </c>
      <c r="I3966" t="s">
        <v>4486</v>
      </c>
      <c r="J3966" t="s">
        <v>32190</v>
      </c>
      <c r="K3966" t="s">
        <v>38490</v>
      </c>
      <c r="M3966" t="s">
        <v>40286</v>
      </c>
      <c r="N3966" t="s">
        <v>42669</v>
      </c>
      <c r="O3966" t="s">
        <v>42670</v>
      </c>
      <c r="P3966">
        <v>0</v>
      </c>
      <c r="Q3966">
        <v>2</v>
      </c>
      <c r="R3966" t="s">
        <v>42676</v>
      </c>
      <c r="S3966" t="s">
        <v>42809</v>
      </c>
      <c r="T3966" t="s">
        <v>44493</v>
      </c>
      <c r="U3966" t="s">
        <v>48091</v>
      </c>
      <c r="W3966" t="s">
        <v>40286</v>
      </c>
      <c r="X3966" t="s">
        <v>42677</v>
      </c>
    </row>
    <row r="3967" spans="1:24">
      <c r="A3967">
        <f>HYPERLINK("https://www.philgeps.gov.ph/GEPSNONPILOT/Tender/SplashBidNoticeAbstractUI.aspx?menuIndex=3&amp;refID=7187159&amp;Result=3","7187159")</f>
        <v>0</v>
      </c>
      <c r="B3967" t="s">
        <v>1446</v>
      </c>
      <c r="C3967" t="s">
        <v>7326</v>
      </c>
      <c r="D3967" t="s">
        <v>17204</v>
      </c>
      <c r="E3967" t="s">
        <v>20727</v>
      </c>
      <c r="F3967" t="s">
        <v>29372</v>
      </c>
      <c r="G3967" t="s">
        <v>29379</v>
      </c>
      <c r="H3967" t="s">
        <v>11048</v>
      </c>
      <c r="I3967" t="s">
        <v>4709</v>
      </c>
      <c r="J3967" t="s">
        <v>29795</v>
      </c>
      <c r="K3967" t="s">
        <v>38485</v>
      </c>
      <c r="M3967" t="s">
        <v>40287</v>
      </c>
      <c r="N3967" t="s">
        <v>42669</v>
      </c>
      <c r="O3967" t="s">
        <v>42670</v>
      </c>
      <c r="P3967">
        <v>0</v>
      </c>
      <c r="Q3967">
        <v>0</v>
      </c>
      <c r="R3967" t="s">
        <v>42676</v>
      </c>
      <c r="S3967" t="s">
        <v>42809</v>
      </c>
      <c r="T3967" t="s">
        <v>44454</v>
      </c>
      <c r="U3967" t="s">
        <v>48092</v>
      </c>
      <c r="W3967" t="s">
        <v>40287</v>
      </c>
      <c r="X3967" t="s">
        <v>42677</v>
      </c>
    </row>
    <row r="3968" spans="1:24">
      <c r="A3968">
        <f>HYPERLINK("https://www.philgeps.gov.ph/GEPSNONPILOT/Tender/SplashBidNoticeAbstractUI.aspx?menuIndex=3&amp;refID=7187165&amp;Result=3","7187165")</f>
        <v>0</v>
      </c>
      <c r="B3968" t="s">
        <v>1447</v>
      </c>
      <c r="C3968" t="s">
        <v>7327</v>
      </c>
      <c r="D3968" t="s">
        <v>17182</v>
      </c>
      <c r="E3968" t="s">
        <v>20728</v>
      </c>
      <c r="F3968" t="s">
        <v>29372</v>
      </c>
      <c r="G3968" t="s">
        <v>29380</v>
      </c>
      <c r="H3968" t="s">
        <v>29389</v>
      </c>
      <c r="I3968" t="s">
        <v>10408</v>
      </c>
      <c r="J3968" t="s">
        <v>32191</v>
      </c>
      <c r="K3968" t="s">
        <v>38525</v>
      </c>
      <c r="M3968" t="s">
        <v>40288</v>
      </c>
      <c r="N3968" t="s">
        <v>42669</v>
      </c>
      <c r="O3968" t="s">
        <v>42670</v>
      </c>
      <c r="P3968">
        <v>0</v>
      </c>
      <c r="Q3968">
        <v>0</v>
      </c>
      <c r="R3968" t="s">
        <v>42676</v>
      </c>
      <c r="S3968" t="s">
        <v>42809</v>
      </c>
      <c r="T3968" t="s">
        <v>44478</v>
      </c>
      <c r="U3968" t="s">
        <v>48093</v>
      </c>
      <c r="W3968" t="s">
        <v>40288</v>
      </c>
      <c r="X3968" t="s">
        <v>42677</v>
      </c>
    </row>
    <row r="3969" spans="1:24">
      <c r="A3969">
        <f>HYPERLINK("https://www.philgeps.gov.ph/GEPSNONPILOT/Tender/SplashBidNoticeAbstractUI.aspx?menuIndex=3&amp;refID=7187164&amp;Result=3","7187164")</f>
        <v>0</v>
      </c>
      <c r="B3969" t="s">
        <v>1448</v>
      </c>
      <c r="C3969" t="s">
        <v>7328</v>
      </c>
      <c r="D3969" t="s">
        <v>17176</v>
      </c>
      <c r="E3969" t="s">
        <v>17972</v>
      </c>
      <c r="F3969" t="s">
        <v>29372</v>
      </c>
      <c r="G3969" t="s">
        <v>29380</v>
      </c>
      <c r="H3969" t="s">
        <v>29389</v>
      </c>
      <c r="I3969" t="s">
        <v>10408</v>
      </c>
      <c r="J3969" t="s">
        <v>32192</v>
      </c>
      <c r="K3969" t="s">
        <v>38552</v>
      </c>
      <c r="M3969" t="s">
        <v>40289</v>
      </c>
      <c r="N3969" t="s">
        <v>42669</v>
      </c>
      <c r="O3969" t="s">
        <v>42670</v>
      </c>
      <c r="P3969">
        <v>0</v>
      </c>
      <c r="Q3969">
        <v>0</v>
      </c>
      <c r="R3969" t="s">
        <v>42676</v>
      </c>
      <c r="S3969" t="s">
        <v>42809</v>
      </c>
      <c r="T3969" t="s">
        <v>44394</v>
      </c>
      <c r="U3969" t="s">
        <v>48094</v>
      </c>
      <c r="W3969" t="s">
        <v>40289</v>
      </c>
      <c r="X3969" t="s">
        <v>42677</v>
      </c>
    </row>
    <row r="3970" spans="1:24">
      <c r="A3970">
        <f>HYPERLINK("https://www.philgeps.gov.ph/GEPSNONPILOT/Tender/SplashBidNoticeAbstractUI.aspx?menuIndex=3&amp;refID=7187142&amp;Result=3","7187142")</f>
        <v>0</v>
      </c>
      <c r="B3970" t="s">
        <v>1061</v>
      </c>
      <c r="C3970" t="s">
        <v>7329</v>
      </c>
      <c r="D3970" t="s">
        <v>17174</v>
      </c>
      <c r="E3970" t="s">
        <v>20729</v>
      </c>
      <c r="F3970" t="s">
        <v>29372</v>
      </c>
      <c r="G3970" t="s">
        <v>29380</v>
      </c>
      <c r="H3970" t="s">
        <v>11048</v>
      </c>
      <c r="I3970" t="s">
        <v>4709</v>
      </c>
      <c r="J3970" t="s">
        <v>32193</v>
      </c>
      <c r="K3970" t="s">
        <v>38496</v>
      </c>
      <c r="M3970" t="s">
        <v>39868</v>
      </c>
      <c r="N3970" t="s">
        <v>42669</v>
      </c>
      <c r="O3970" t="s">
        <v>42670</v>
      </c>
      <c r="P3970">
        <v>0</v>
      </c>
      <c r="Q3970">
        <v>0</v>
      </c>
      <c r="R3970" t="s">
        <v>42676</v>
      </c>
      <c r="S3970" t="s">
        <v>42809</v>
      </c>
      <c r="T3970" t="s">
        <v>44371</v>
      </c>
      <c r="U3970" t="s">
        <v>48095</v>
      </c>
      <c r="W3970" t="s">
        <v>39868</v>
      </c>
      <c r="X3970" t="s">
        <v>42677</v>
      </c>
    </row>
    <row r="3971" spans="1:24">
      <c r="A3971">
        <f>HYPERLINK("https://www.philgeps.gov.ph/GEPSNONPILOT/Tender/SplashBidNoticeAbstractUI.aspx?menuIndex=3&amp;refID=7187158&amp;Result=3","7187158")</f>
        <v>0</v>
      </c>
      <c r="B3971" t="s">
        <v>1436</v>
      </c>
      <c r="C3971" t="s">
        <v>7330</v>
      </c>
      <c r="D3971" t="s">
        <v>17163</v>
      </c>
      <c r="E3971" t="s">
        <v>20730</v>
      </c>
      <c r="F3971" t="s">
        <v>29372</v>
      </c>
      <c r="G3971" t="s">
        <v>29383</v>
      </c>
      <c r="H3971" t="s">
        <v>11048</v>
      </c>
      <c r="I3971" t="s">
        <v>3670</v>
      </c>
      <c r="J3971" t="s">
        <v>29922</v>
      </c>
      <c r="K3971" t="s">
        <v>38491</v>
      </c>
      <c r="M3971" t="s">
        <v>40277</v>
      </c>
      <c r="N3971" t="s">
        <v>42669</v>
      </c>
      <c r="O3971" t="s">
        <v>42670</v>
      </c>
      <c r="P3971">
        <v>0</v>
      </c>
      <c r="Q3971">
        <v>1</v>
      </c>
      <c r="R3971" t="s">
        <v>42676</v>
      </c>
      <c r="S3971" t="s">
        <v>42809</v>
      </c>
      <c r="T3971" t="s">
        <v>44491</v>
      </c>
      <c r="U3971" t="s">
        <v>48096</v>
      </c>
      <c r="W3971" t="s">
        <v>40277</v>
      </c>
      <c r="X3971" t="s">
        <v>42677</v>
      </c>
    </row>
    <row r="3972" spans="1:24">
      <c r="A3972">
        <f>HYPERLINK("https://www.philgeps.gov.ph/GEPSNONPILOT/Tender/SplashBidNoticeAbstractUI.aspx?menuIndex=3&amp;refID=7187172&amp;Result=3","7187172")</f>
        <v>0</v>
      </c>
      <c r="B3972" t="s">
        <v>1449</v>
      </c>
      <c r="C3972" t="s">
        <v>7331</v>
      </c>
      <c r="D3972" t="s">
        <v>17189</v>
      </c>
      <c r="E3972" t="s">
        <v>20731</v>
      </c>
      <c r="F3972" t="s">
        <v>29375</v>
      </c>
      <c r="G3972" t="s">
        <v>29379</v>
      </c>
      <c r="H3972" t="s">
        <v>11048</v>
      </c>
      <c r="I3972" t="s">
        <v>29412</v>
      </c>
      <c r="J3972" t="s">
        <v>32194</v>
      </c>
      <c r="K3972" t="s">
        <v>38489</v>
      </c>
      <c r="M3972" t="s">
        <v>40290</v>
      </c>
      <c r="N3972" t="s">
        <v>42669</v>
      </c>
      <c r="O3972" t="s">
        <v>42670</v>
      </c>
      <c r="P3972">
        <v>0</v>
      </c>
      <c r="Q3972">
        <v>1</v>
      </c>
      <c r="R3972" t="s">
        <v>42676</v>
      </c>
      <c r="S3972" t="s">
        <v>42809</v>
      </c>
      <c r="T3972" t="s">
        <v>44389</v>
      </c>
      <c r="U3972" t="s">
        <v>48097</v>
      </c>
      <c r="W3972" t="s">
        <v>40290</v>
      </c>
      <c r="X3972" t="s">
        <v>42677</v>
      </c>
    </row>
    <row r="3973" spans="1:24">
      <c r="A3973">
        <f>HYPERLINK("https://www.philgeps.gov.ph/GEPSNONPILOT/Tender/SplashBidNoticeAbstractUI.aspx?menuIndex=3&amp;refID=7187194&amp;Result=3","7187194")</f>
        <v>0</v>
      </c>
      <c r="B3973" t="s">
        <v>1450</v>
      </c>
      <c r="C3973" t="s">
        <v>7332</v>
      </c>
      <c r="D3973" t="s">
        <v>17199</v>
      </c>
      <c r="E3973" t="s">
        <v>20732</v>
      </c>
      <c r="F3973" t="s">
        <v>29372</v>
      </c>
      <c r="G3973" t="s">
        <v>29379</v>
      </c>
      <c r="H3973" t="s">
        <v>29390</v>
      </c>
      <c r="I3973" t="s">
        <v>29403</v>
      </c>
      <c r="J3973" t="s">
        <v>31121</v>
      </c>
      <c r="K3973" t="s">
        <v>38485</v>
      </c>
      <c r="M3973" t="s">
        <v>40291</v>
      </c>
      <c r="N3973" t="s">
        <v>42669</v>
      </c>
      <c r="O3973" t="s">
        <v>42670</v>
      </c>
      <c r="P3973">
        <v>0</v>
      </c>
      <c r="Q3973">
        <v>0</v>
      </c>
      <c r="R3973" t="s">
        <v>42676</v>
      </c>
      <c r="S3973" t="s">
        <v>42809</v>
      </c>
      <c r="T3973" t="s">
        <v>44387</v>
      </c>
      <c r="U3973" t="s">
        <v>48098</v>
      </c>
      <c r="V3973" t="s">
        <v>56758</v>
      </c>
      <c r="W3973" t="s">
        <v>40291</v>
      </c>
      <c r="X3973" t="s">
        <v>42677</v>
      </c>
    </row>
    <row r="3974" spans="1:24">
      <c r="A3974">
        <f>HYPERLINK("https://www.philgeps.gov.ph/GEPSNONPILOT/Tender/SplashBidNoticeAbstractUI.aspx?menuIndex=3&amp;refID=7187188&amp;Result=3","7187188")</f>
        <v>0</v>
      </c>
      <c r="B3974" t="s">
        <v>1447</v>
      </c>
      <c r="C3974" t="s">
        <v>7333</v>
      </c>
      <c r="D3974" t="s">
        <v>17182</v>
      </c>
      <c r="E3974" t="s">
        <v>20733</v>
      </c>
      <c r="F3974" t="s">
        <v>29372</v>
      </c>
      <c r="G3974" t="s">
        <v>29380</v>
      </c>
      <c r="H3974" t="s">
        <v>29389</v>
      </c>
      <c r="I3974" t="s">
        <v>10408</v>
      </c>
      <c r="J3974" t="s">
        <v>32195</v>
      </c>
      <c r="K3974" t="s">
        <v>38564</v>
      </c>
      <c r="M3974" t="s">
        <v>40288</v>
      </c>
      <c r="N3974" t="s">
        <v>42669</v>
      </c>
      <c r="O3974" t="s">
        <v>42670</v>
      </c>
      <c r="P3974">
        <v>0</v>
      </c>
      <c r="Q3974">
        <v>0</v>
      </c>
      <c r="R3974" t="s">
        <v>42676</v>
      </c>
      <c r="S3974" t="s">
        <v>42809</v>
      </c>
      <c r="T3974" t="s">
        <v>44478</v>
      </c>
      <c r="U3974" t="s">
        <v>48099</v>
      </c>
      <c r="W3974" t="s">
        <v>40288</v>
      </c>
      <c r="X3974" t="s">
        <v>42677</v>
      </c>
    </row>
    <row r="3975" spans="1:24">
      <c r="A3975">
        <f>HYPERLINK("https://www.philgeps.gov.ph/GEPSNONPILOT/Tender/SplashBidNoticeAbstractUI.aspx?menuIndex=3&amp;refID=7187187&amp;Result=3","7187187")</f>
        <v>0</v>
      </c>
      <c r="B3975" t="s">
        <v>1446</v>
      </c>
      <c r="C3975" t="s">
        <v>7334</v>
      </c>
      <c r="D3975" t="s">
        <v>17204</v>
      </c>
      <c r="E3975" t="s">
        <v>20734</v>
      </c>
      <c r="F3975" t="s">
        <v>29372</v>
      </c>
      <c r="G3975" t="s">
        <v>29379</v>
      </c>
      <c r="H3975" t="s">
        <v>11048</v>
      </c>
      <c r="I3975" t="s">
        <v>29409</v>
      </c>
      <c r="J3975" t="s">
        <v>31463</v>
      </c>
      <c r="K3975" t="s">
        <v>38485</v>
      </c>
      <c r="M3975" t="s">
        <v>40287</v>
      </c>
      <c r="N3975" t="s">
        <v>42669</v>
      </c>
      <c r="O3975" t="s">
        <v>42670</v>
      </c>
      <c r="P3975">
        <v>0</v>
      </c>
      <c r="Q3975">
        <v>1</v>
      </c>
      <c r="R3975" t="s">
        <v>42676</v>
      </c>
      <c r="S3975" t="s">
        <v>42809</v>
      </c>
      <c r="T3975" t="s">
        <v>44454</v>
      </c>
      <c r="U3975" t="s">
        <v>48100</v>
      </c>
      <c r="W3975" t="s">
        <v>40287</v>
      </c>
      <c r="X3975" t="s">
        <v>42677</v>
      </c>
    </row>
    <row r="3976" spans="1:24">
      <c r="A3976">
        <f>HYPERLINK("https://www.philgeps.gov.ph/GEPSNONPILOT/Tender/SplashBidNoticeAbstractUI.aspx?menuIndex=3&amp;refID=7187186&amp;Result=3","7187186")</f>
        <v>0</v>
      </c>
      <c r="B3976" t="s">
        <v>1400</v>
      </c>
      <c r="C3976" t="s">
        <v>7335</v>
      </c>
      <c r="D3976" t="s">
        <v>17141</v>
      </c>
      <c r="E3976" t="s">
        <v>20735</v>
      </c>
      <c r="F3976" t="s">
        <v>29372</v>
      </c>
      <c r="G3976" t="s">
        <v>29383</v>
      </c>
      <c r="H3976" t="s">
        <v>11048</v>
      </c>
      <c r="I3976" t="s">
        <v>9642</v>
      </c>
      <c r="J3976" t="s">
        <v>30142</v>
      </c>
      <c r="K3976" t="s">
        <v>38485</v>
      </c>
      <c r="M3976" t="s">
        <v>40239</v>
      </c>
      <c r="N3976" t="s">
        <v>42669</v>
      </c>
      <c r="O3976" t="s">
        <v>42670</v>
      </c>
      <c r="P3976">
        <v>0</v>
      </c>
      <c r="Q3976">
        <v>3</v>
      </c>
      <c r="R3976" t="s">
        <v>42676</v>
      </c>
      <c r="S3976" t="s">
        <v>42809</v>
      </c>
      <c r="T3976" t="s">
        <v>44371</v>
      </c>
      <c r="U3976" t="s">
        <v>48101</v>
      </c>
      <c r="W3976" t="s">
        <v>40239</v>
      </c>
      <c r="X3976" t="s">
        <v>42677</v>
      </c>
    </row>
    <row r="3977" spans="1:24">
      <c r="A3977">
        <f>HYPERLINK("https://www.philgeps.gov.ph/GEPSNONPILOT/Tender/SplashBidNoticeAbstractUI.aspx?menuIndex=3&amp;refID=7187184&amp;Result=3","7187184")</f>
        <v>0</v>
      </c>
      <c r="B3977" t="s">
        <v>959</v>
      </c>
      <c r="C3977" t="s">
        <v>3982</v>
      </c>
      <c r="D3977" t="s">
        <v>17145</v>
      </c>
      <c r="E3977" t="s">
        <v>20736</v>
      </c>
      <c r="F3977" t="s">
        <v>29372</v>
      </c>
      <c r="G3977" t="s">
        <v>29379</v>
      </c>
      <c r="H3977" t="s">
        <v>11048</v>
      </c>
      <c r="I3977" t="s">
        <v>5383</v>
      </c>
      <c r="J3977" t="s">
        <v>32196</v>
      </c>
      <c r="K3977" t="s">
        <v>38491</v>
      </c>
      <c r="M3977" t="s">
        <v>40292</v>
      </c>
      <c r="N3977" t="s">
        <v>42669</v>
      </c>
      <c r="O3977" t="s">
        <v>42670</v>
      </c>
      <c r="P3977">
        <v>0</v>
      </c>
      <c r="Q3977">
        <v>0</v>
      </c>
      <c r="R3977" t="s">
        <v>42676</v>
      </c>
      <c r="S3977" t="s">
        <v>42809</v>
      </c>
      <c r="T3977" t="s">
        <v>44427</v>
      </c>
      <c r="U3977" t="s">
        <v>48102</v>
      </c>
      <c r="W3977" t="s">
        <v>40292</v>
      </c>
      <c r="X3977" t="s">
        <v>42677</v>
      </c>
    </row>
    <row r="3978" spans="1:24">
      <c r="A3978">
        <f>HYPERLINK("https://www.philgeps.gov.ph/GEPSNONPILOT/Tender/SplashBidNoticeAbstractUI.aspx?menuIndex=3&amp;refID=7187201&amp;Result=3","7187201")</f>
        <v>0</v>
      </c>
      <c r="B3978" t="s">
        <v>1451</v>
      </c>
      <c r="C3978" t="s">
        <v>7336</v>
      </c>
      <c r="D3978" t="s">
        <v>17199</v>
      </c>
      <c r="E3978" t="s">
        <v>18616</v>
      </c>
      <c r="F3978" t="s">
        <v>29372</v>
      </c>
      <c r="G3978" t="s">
        <v>29380</v>
      </c>
      <c r="H3978" t="s">
        <v>29389</v>
      </c>
      <c r="I3978" t="s">
        <v>10408</v>
      </c>
      <c r="J3978" t="s">
        <v>29543</v>
      </c>
      <c r="K3978" t="s">
        <v>38485</v>
      </c>
      <c r="M3978" t="s">
        <v>40293</v>
      </c>
      <c r="N3978" t="s">
        <v>42669</v>
      </c>
      <c r="O3978" t="s">
        <v>42670</v>
      </c>
      <c r="P3978">
        <v>0</v>
      </c>
      <c r="Q3978">
        <v>1</v>
      </c>
      <c r="R3978" t="s">
        <v>42676</v>
      </c>
      <c r="S3978" t="s">
        <v>42809</v>
      </c>
      <c r="T3978" t="s">
        <v>44444</v>
      </c>
      <c r="U3978" t="s">
        <v>48103</v>
      </c>
      <c r="W3978" t="s">
        <v>40293</v>
      </c>
      <c r="X3978" t="s">
        <v>42677</v>
      </c>
    </row>
    <row r="3979" spans="1:24">
      <c r="A3979">
        <f>HYPERLINK("https://www.philgeps.gov.ph/GEPSNONPILOT/Tender/SplashBidNoticeAbstractUI.aspx?menuIndex=3&amp;refID=7187160&amp;Result=3","7187160")</f>
        <v>0</v>
      </c>
      <c r="B3979" t="s">
        <v>1410</v>
      </c>
      <c r="C3979" t="s">
        <v>7337</v>
      </c>
      <c r="D3979" t="s">
        <v>17167</v>
      </c>
      <c r="E3979" t="s">
        <v>20737</v>
      </c>
      <c r="F3979" t="s">
        <v>29372</v>
      </c>
      <c r="G3979" t="s">
        <v>29383</v>
      </c>
      <c r="H3979" t="s">
        <v>11048</v>
      </c>
      <c r="I3979" t="s">
        <v>29403</v>
      </c>
      <c r="J3979" t="s">
        <v>29595</v>
      </c>
      <c r="K3979" t="s">
        <v>38491</v>
      </c>
      <c r="M3979" t="s">
        <v>40249</v>
      </c>
      <c r="N3979" t="s">
        <v>42669</v>
      </c>
      <c r="O3979" t="s">
        <v>42670</v>
      </c>
      <c r="P3979">
        <v>0</v>
      </c>
      <c r="Q3979">
        <v>1</v>
      </c>
      <c r="R3979" t="s">
        <v>42676</v>
      </c>
      <c r="S3979" t="s">
        <v>42809</v>
      </c>
      <c r="T3979" t="s">
        <v>44580</v>
      </c>
      <c r="U3979" t="s">
        <v>48104</v>
      </c>
      <c r="W3979" t="s">
        <v>40249</v>
      </c>
      <c r="X3979" t="s">
        <v>42677</v>
      </c>
    </row>
    <row r="3980" spans="1:24">
      <c r="A3980">
        <f>HYPERLINK("https://www.philgeps.gov.ph/GEPSNONPILOT/Tender/SplashBidNoticeAbstractUI.aspx?menuIndex=3&amp;refID=7187144&amp;Result=3","7187144")</f>
        <v>0</v>
      </c>
      <c r="B3980" t="s">
        <v>1452</v>
      </c>
      <c r="C3980" t="s">
        <v>7338</v>
      </c>
      <c r="E3980" t="s">
        <v>20738</v>
      </c>
      <c r="F3980" t="s">
        <v>29372</v>
      </c>
      <c r="G3980" t="s">
        <v>29379</v>
      </c>
      <c r="H3980" t="s">
        <v>11048</v>
      </c>
      <c r="I3980" t="s">
        <v>29435</v>
      </c>
      <c r="J3980" t="s">
        <v>32197</v>
      </c>
      <c r="K3980" t="s">
        <v>38490</v>
      </c>
      <c r="M3980" t="s">
        <v>40294</v>
      </c>
      <c r="N3980" t="s">
        <v>42669</v>
      </c>
      <c r="O3980" t="s">
        <v>42670</v>
      </c>
      <c r="P3980">
        <v>0</v>
      </c>
      <c r="Q3980">
        <v>2</v>
      </c>
      <c r="R3980" t="s">
        <v>42676</v>
      </c>
      <c r="S3980" t="s">
        <v>42809</v>
      </c>
      <c r="T3980" t="s">
        <v>44432</v>
      </c>
      <c r="U3980" t="s">
        <v>48105</v>
      </c>
      <c r="W3980" t="s">
        <v>40294</v>
      </c>
      <c r="X3980" t="s">
        <v>42677</v>
      </c>
    </row>
    <row r="3981" spans="1:24">
      <c r="A3981">
        <f>HYPERLINK("https://www.philgeps.gov.ph/GEPSNONPILOT/Tender/SplashBidNoticeAbstractUI.aspx?menuIndex=3&amp;refID=7187183&amp;Result=3","7187183")</f>
        <v>0</v>
      </c>
      <c r="B3981" t="s">
        <v>1453</v>
      </c>
      <c r="C3981" t="s">
        <v>7339</v>
      </c>
      <c r="D3981" t="s">
        <v>17167</v>
      </c>
      <c r="E3981" t="s">
        <v>20739</v>
      </c>
      <c r="F3981" t="s">
        <v>29372</v>
      </c>
      <c r="G3981" t="s">
        <v>29379</v>
      </c>
      <c r="H3981" t="s">
        <v>11048</v>
      </c>
      <c r="I3981" t="s">
        <v>29407</v>
      </c>
      <c r="J3981" t="s">
        <v>32198</v>
      </c>
      <c r="K3981" t="s">
        <v>38491</v>
      </c>
      <c r="M3981" t="s">
        <v>40295</v>
      </c>
      <c r="N3981" t="s">
        <v>42669</v>
      </c>
      <c r="O3981" t="s">
        <v>42670</v>
      </c>
      <c r="P3981">
        <v>0</v>
      </c>
      <c r="Q3981">
        <v>6</v>
      </c>
      <c r="R3981" t="s">
        <v>42676</v>
      </c>
      <c r="S3981" t="s">
        <v>42809</v>
      </c>
      <c r="T3981" t="s">
        <v>44399</v>
      </c>
      <c r="U3981" t="s">
        <v>48106</v>
      </c>
      <c r="W3981" t="s">
        <v>40295</v>
      </c>
      <c r="X3981" t="s">
        <v>42677</v>
      </c>
    </row>
    <row r="3982" spans="1:24">
      <c r="A3982">
        <f>HYPERLINK("https://www.philgeps.gov.ph/GEPSNONPILOT/Tender/SplashBidNoticeAbstractUI.aspx?menuIndex=3&amp;refID=7187198&amp;Result=3","7187198")</f>
        <v>0</v>
      </c>
      <c r="B3982" t="s">
        <v>882</v>
      </c>
      <c r="C3982" t="s">
        <v>7340</v>
      </c>
      <c r="D3982" t="s">
        <v>17190</v>
      </c>
      <c r="E3982" t="s">
        <v>20740</v>
      </c>
      <c r="F3982" t="s">
        <v>29372</v>
      </c>
      <c r="G3982" t="s">
        <v>29379</v>
      </c>
      <c r="H3982" t="s">
        <v>11048</v>
      </c>
      <c r="I3982" t="s">
        <v>14920</v>
      </c>
      <c r="J3982" t="s">
        <v>32199</v>
      </c>
      <c r="K3982" t="s">
        <v>38586</v>
      </c>
      <c r="M3982" t="s">
        <v>39674</v>
      </c>
      <c r="N3982" t="s">
        <v>42669</v>
      </c>
      <c r="O3982" t="s">
        <v>42670</v>
      </c>
      <c r="P3982">
        <v>0</v>
      </c>
      <c r="Q3982">
        <v>2</v>
      </c>
      <c r="R3982" t="s">
        <v>42676</v>
      </c>
      <c r="S3982" t="s">
        <v>42809</v>
      </c>
      <c r="T3982" t="s">
        <v>44526</v>
      </c>
      <c r="U3982" t="s">
        <v>46647</v>
      </c>
      <c r="W3982" t="s">
        <v>39674</v>
      </c>
      <c r="X3982" t="s">
        <v>42677</v>
      </c>
    </row>
    <row r="3983" spans="1:24">
      <c r="A3983">
        <f>HYPERLINK("https://www.philgeps.gov.ph/GEPSNONPILOT/Tender/SplashBidNoticeAbstractUI.aspx?menuIndex=3&amp;refID=7187170&amp;Result=3","7187170")</f>
        <v>0</v>
      </c>
      <c r="B3983" t="s">
        <v>1417</v>
      </c>
      <c r="C3983" t="s">
        <v>7341</v>
      </c>
      <c r="D3983" t="s">
        <v>17161</v>
      </c>
      <c r="E3983" t="s">
        <v>20741</v>
      </c>
      <c r="F3983" t="s">
        <v>29372</v>
      </c>
      <c r="G3983" t="s">
        <v>29380</v>
      </c>
      <c r="H3983" t="s">
        <v>11048</v>
      </c>
      <c r="I3983" t="s">
        <v>29417</v>
      </c>
      <c r="J3983" t="s">
        <v>32200</v>
      </c>
      <c r="K3983" t="s">
        <v>38510</v>
      </c>
      <c r="M3983" t="s">
        <v>40256</v>
      </c>
      <c r="N3983" t="s">
        <v>42669</v>
      </c>
      <c r="O3983" t="s">
        <v>42670</v>
      </c>
      <c r="P3983">
        <v>0</v>
      </c>
      <c r="Q3983">
        <v>0</v>
      </c>
      <c r="R3983" t="s">
        <v>42676</v>
      </c>
      <c r="S3983" t="s">
        <v>42809</v>
      </c>
      <c r="T3983" t="s">
        <v>44371</v>
      </c>
      <c r="U3983" t="s">
        <v>48107</v>
      </c>
      <c r="W3983" t="s">
        <v>40256</v>
      </c>
      <c r="X3983" t="s">
        <v>42677</v>
      </c>
    </row>
    <row r="3984" spans="1:24">
      <c r="A3984">
        <f>HYPERLINK("https://www.philgeps.gov.ph/GEPSNONPILOT/Tender/SplashBidNoticeAbstractUI.aspx?menuIndex=3&amp;refID=7187197&amp;Result=3","7187197")</f>
        <v>0</v>
      </c>
      <c r="B3984" t="s">
        <v>1454</v>
      </c>
      <c r="C3984" t="s">
        <v>7342</v>
      </c>
      <c r="D3984" t="s">
        <v>17143</v>
      </c>
      <c r="E3984" t="s">
        <v>20742</v>
      </c>
      <c r="F3984" t="s">
        <v>29372</v>
      </c>
      <c r="G3984" t="s">
        <v>29379</v>
      </c>
      <c r="H3984" t="s">
        <v>11048</v>
      </c>
      <c r="I3984" t="s">
        <v>14920</v>
      </c>
      <c r="J3984" t="s">
        <v>29980</v>
      </c>
      <c r="K3984" t="s">
        <v>38488</v>
      </c>
      <c r="M3984" t="s">
        <v>40296</v>
      </c>
      <c r="N3984" t="s">
        <v>42669</v>
      </c>
      <c r="O3984" t="s">
        <v>42670</v>
      </c>
      <c r="P3984">
        <v>0</v>
      </c>
      <c r="Q3984">
        <v>0</v>
      </c>
      <c r="R3984" t="s">
        <v>42676</v>
      </c>
      <c r="S3984" t="s">
        <v>42809</v>
      </c>
      <c r="T3984" t="s">
        <v>44430</v>
      </c>
      <c r="U3984" t="s">
        <v>48108</v>
      </c>
      <c r="V3984" t="s">
        <v>56759</v>
      </c>
      <c r="W3984" t="s">
        <v>40296</v>
      </c>
      <c r="X3984" t="s">
        <v>42677</v>
      </c>
    </row>
    <row r="3985" spans="1:24">
      <c r="A3985">
        <f>HYPERLINK("https://www.philgeps.gov.ph/GEPSNONPILOT/Tender/SplashBidNoticeAbstractUI.aspx?menuIndex=3&amp;refID=7187181&amp;Result=3","7187181")</f>
        <v>0</v>
      </c>
      <c r="B3985" t="s">
        <v>1455</v>
      </c>
      <c r="C3985" t="s">
        <v>7343</v>
      </c>
      <c r="D3985" t="s">
        <v>17189</v>
      </c>
      <c r="E3985" t="s">
        <v>17434</v>
      </c>
      <c r="F3985" t="s">
        <v>29372</v>
      </c>
      <c r="G3985" t="s">
        <v>29381</v>
      </c>
      <c r="H3985" t="s">
        <v>29389</v>
      </c>
      <c r="I3985" t="s">
        <v>10408</v>
      </c>
      <c r="J3985" t="s">
        <v>29587</v>
      </c>
      <c r="K3985" t="s">
        <v>38509</v>
      </c>
      <c r="M3985" t="s">
        <v>40297</v>
      </c>
      <c r="N3985" t="s">
        <v>42669</v>
      </c>
      <c r="O3985" t="s">
        <v>42670</v>
      </c>
      <c r="P3985">
        <v>0</v>
      </c>
      <c r="Q3985">
        <v>0</v>
      </c>
      <c r="R3985" t="s">
        <v>42676</v>
      </c>
      <c r="S3985" t="s">
        <v>42809</v>
      </c>
      <c r="T3985" t="s">
        <v>44469</v>
      </c>
      <c r="U3985" t="s">
        <v>48109</v>
      </c>
      <c r="W3985" t="s">
        <v>40297</v>
      </c>
      <c r="X3985" t="s">
        <v>42677</v>
      </c>
    </row>
    <row r="3986" spans="1:24">
      <c r="A3986">
        <f>HYPERLINK("https://www.philgeps.gov.ph/GEPSNONPILOT/Tender/SplashBidNoticeAbstractUI.aspx?menuIndex=3&amp;refID=7187175&amp;Result=3","7187175")</f>
        <v>0</v>
      </c>
      <c r="B3986" t="s">
        <v>1383</v>
      </c>
      <c r="C3986" t="s">
        <v>7344</v>
      </c>
      <c r="D3986" t="s">
        <v>17169</v>
      </c>
      <c r="E3986" t="s">
        <v>20592</v>
      </c>
      <c r="F3986" t="s">
        <v>29372</v>
      </c>
      <c r="G3986" t="s">
        <v>29380</v>
      </c>
      <c r="H3986" t="s">
        <v>29389</v>
      </c>
      <c r="I3986" t="s">
        <v>10408</v>
      </c>
      <c r="J3986" t="s">
        <v>32152</v>
      </c>
      <c r="K3986" t="s">
        <v>38496</v>
      </c>
      <c r="M3986" t="s">
        <v>40220</v>
      </c>
      <c r="N3986" t="s">
        <v>42669</v>
      </c>
      <c r="O3986" t="s">
        <v>42670</v>
      </c>
      <c r="P3986">
        <v>0</v>
      </c>
      <c r="Q3986">
        <v>1</v>
      </c>
      <c r="R3986" t="s">
        <v>42676</v>
      </c>
      <c r="S3986" t="s">
        <v>42809</v>
      </c>
      <c r="T3986" t="s">
        <v>44587</v>
      </c>
      <c r="U3986" t="s">
        <v>47960</v>
      </c>
      <c r="V3986" t="s">
        <v>56760</v>
      </c>
      <c r="W3986" t="s">
        <v>40220</v>
      </c>
      <c r="X3986" t="s">
        <v>42677</v>
      </c>
    </row>
    <row r="3987" spans="1:24">
      <c r="A3987">
        <f>HYPERLINK("https://www.philgeps.gov.ph/GEPSNONPILOT/Tender/SplashBidNoticeAbstractUI.aspx?menuIndex=3&amp;refID=7187199&amp;Result=3","7187199")</f>
        <v>0</v>
      </c>
      <c r="B3987" t="s">
        <v>1456</v>
      </c>
      <c r="C3987" t="s">
        <v>7345</v>
      </c>
      <c r="D3987" t="s">
        <v>17169</v>
      </c>
      <c r="E3987" t="s">
        <v>18218</v>
      </c>
      <c r="F3987" t="s">
        <v>29372</v>
      </c>
      <c r="G3987" t="s">
        <v>29380</v>
      </c>
      <c r="H3987" t="s">
        <v>29389</v>
      </c>
      <c r="I3987" t="s">
        <v>10408</v>
      </c>
      <c r="J3987" t="s">
        <v>31276</v>
      </c>
      <c r="K3987" t="s">
        <v>38485</v>
      </c>
      <c r="M3987" t="s">
        <v>40298</v>
      </c>
      <c r="N3987" t="s">
        <v>42669</v>
      </c>
      <c r="O3987" t="s">
        <v>42670</v>
      </c>
      <c r="P3987">
        <v>0</v>
      </c>
      <c r="Q3987">
        <v>2</v>
      </c>
      <c r="R3987" t="s">
        <v>42676</v>
      </c>
      <c r="S3987" t="s">
        <v>42809</v>
      </c>
      <c r="T3987" t="s">
        <v>44433</v>
      </c>
      <c r="U3987" t="s">
        <v>48110</v>
      </c>
      <c r="W3987" t="s">
        <v>40298</v>
      </c>
      <c r="X3987" t="s">
        <v>42677</v>
      </c>
    </row>
    <row r="3988" spans="1:24">
      <c r="A3988">
        <f>HYPERLINK("https://www.philgeps.gov.ph/GEPSNONPILOT/Tender/SplashBidNoticeAbstractUI.aspx?menuIndex=3&amp;refID=7187174&amp;Result=3","7187174")</f>
        <v>0</v>
      </c>
      <c r="B3988" t="s">
        <v>1433</v>
      </c>
      <c r="C3988" t="s">
        <v>7346</v>
      </c>
      <c r="D3988" t="s">
        <v>17166</v>
      </c>
      <c r="E3988" t="s">
        <v>20700</v>
      </c>
      <c r="F3988" t="s">
        <v>29372</v>
      </c>
      <c r="G3988" t="s">
        <v>29380</v>
      </c>
      <c r="H3988" t="s">
        <v>29389</v>
      </c>
      <c r="I3988" t="s">
        <v>10408</v>
      </c>
      <c r="J3988" t="s">
        <v>32201</v>
      </c>
      <c r="K3988" t="s">
        <v>38537</v>
      </c>
      <c r="M3988" t="s">
        <v>40273</v>
      </c>
      <c r="N3988" t="s">
        <v>42669</v>
      </c>
      <c r="O3988" t="s">
        <v>42670</v>
      </c>
      <c r="P3988">
        <v>0</v>
      </c>
      <c r="Q3988">
        <v>0</v>
      </c>
      <c r="R3988" t="s">
        <v>42676</v>
      </c>
      <c r="S3988" t="s">
        <v>42809</v>
      </c>
      <c r="T3988" t="s">
        <v>44470</v>
      </c>
      <c r="U3988" t="s">
        <v>48111</v>
      </c>
      <c r="W3988" t="s">
        <v>40273</v>
      </c>
      <c r="X3988" t="s">
        <v>42677</v>
      </c>
    </row>
    <row r="3989" spans="1:24">
      <c r="A3989">
        <f>HYPERLINK("https://www.philgeps.gov.ph/GEPSNONPILOT/Tender/SplashBidNoticeAbstractUI.aspx?menuIndex=3&amp;refID=7187173&amp;Result=3","7187173")</f>
        <v>0</v>
      </c>
      <c r="B3989" t="s">
        <v>383</v>
      </c>
      <c r="C3989" t="s">
        <v>7347</v>
      </c>
      <c r="D3989" t="s">
        <v>17159</v>
      </c>
      <c r="E3989" t="s">
        <v>20743</v>
      </c>
      <c r="F3989" t="s">
        <v>29372</v>
      </c>
      <c r="G3989" t="s">
        <v>29379</v>
      </c>
      <c r="H3989" t="s">
        <v>11048</v>
      </c>
      <c r="I3989" t="s">
        <v>4486</v>
      </c>
      <c r="J3989" t="s">
        <v>29822</v>
      </c>
      <c r="K3989" t="s">
        <v>38485</v>
      </c>
      <c r="M3989" t="s">
        <v>39145</v>
      </c>
      <c r="N3989" t="s">
        <v>42669</v>
      </c>
      <c r="O3989" t="s">
        <v>42670</v>
      </c>
      <c r="P3989">
        <v>0</v>
      </c>
      <c r="Q3989">
        <v>1</v>
      </c>
      <c r="R3989" t="s">
        <v>42676</v>
      </c>
      <c r="S3989" t="s">
        <v>42809</v>
      </c>
      <c r="T3989" t="s">
        <v>44488</v>
      </c>
      <c r="U3989" t="s">
        <v>48112</v>
      </c>
      <c r="W3989" t="s">
        <v>39145</v>
      </c>
      <c r="X3989" t="s">
        <v>42677</v>
      </c>
    </row>
    <row r="3990" spans="1:24">
      <c r="A3990">
        <f>HYPERLINK("https://www.philgeps.gov.ph/GEPSNONPILOT/Tender/SplashBidNoticeAbstractUI.aspx?menuIndex=3&amp;refID=7187202&amp;Result=3","7187202")</f>
        <v>0</v>
      </c>
      <c r="B3990" t="s">
        <v>1457</v>
      </c>
      <c r="C3990" t="s">
        <v>7348</v>
      </c>
      <c r="D3990" t="s">
        <v>17174</v>
      </c>
      <c r="E3990" t="s">
        <v>20744</v>
      </c>
      <c r="F3990" t="s">
        <v>29372</v>
      </c>
      <c r="G3990" t="s">
        <v>29379</v>
      </c>
      <c r="H3990" t="s">
        <v>11048</v>
      </c>
      <c r="I3990" t="s">
        <v>29458</v>
      </c>
      <c r="J3990" t="s">
        <v>29786</v>
      </c>
      <c r="K3990" t="s">
        <v>38488</v>
      </c>
      <c r="M3990" t="s">
        <v>40299</v>
      </c>
      <c r="N3990" t="s">
        <v>42669</v>
      </c>
      <c r="O3990" t="s">
        <v>42670</v>
      </c>
      <c r="P3990">
        <v>0</v>
      </c>
      <c r="Q3990">
        <v>1</v>
      </c>
      <c r="R3990" t="s">
        <v>42676</v>
      </c>
      <c r="S3990" t="s">
        <v>42809</v>
      </c>
      <c r="T3990" t="s">
        <v>44491</v>
      </c>
      <c r="U3990" t="s">
        <v>48113</v>
      </c>
      <c r="W3990" t="s">
        <v>40299</v>
      </c>
      <c r="X3990" t="s">
        <v>42677</v>
      </c>
    </row>
    <row r="3991" spans="1:24">
      <c r="A3991">
        <f>HYPERLINK("https://www.philgeps.gov.ph/GEPSNONPILOT/Tender/SplashBidNoticeAbstractUI.aspx?menuIndex=3&amp;refID=7187223&amp;Result=3","7187223")</f>
        <v>0</v>
      </c>
      <c r="B3991" t="s">
        <v>1435</v>
      </c>
      <c r="C3991" t="s">
        <v>7349</v>
      </c>
      <c r="D3991" t="s">
        <v>17194</v>
      </c>
      <c r="E3991" t="s">
        <v>17972</v>
      </c>
      <c r="F3991" t="s">
        <v>29375</v>
      </c>
      <c r="G3991" t="s">
        <v>29380</v>
      </c>
      <c r="H3991" t="s">
        <v>11048</v>
      </c>
      <c r="I3991" t="s">
        <v>5383</v>
      </c>
      <c r="J3991" t="s">
        <v>32202</v>
      </c>
      <c r="K3991" t="s">
        <v>38491</v>
      </c>
      <c r="M3991" t="s">
        <v>40275</v>
      </c>
      <c r="N3991" t="s">
        <v>42669</v>
      </c>
      <c r="O3991" t="s">
        <v>42670</v>
      </c>
      <c r="P3991">
        <v>0</v>
      </c>
      <c r="Q3991">
        <v>4</v>
      </c>
      <c r="R3991" t="s">
        <v>42676</v>
      </c>
      <c r="S3991" t="s">
        <v>42809</v>
      </c>
      <c r="T3991" t="s">
        <v>44474</v>
      </c>
      <c r="U3991" t="s">
        <v>48114</v>
      </c>
      <c r="W3991" t="s">
        <v>40275</v>
      </c>
      <c r="X3991" t="s">
        <v>42677</v>
      </c>
    </row>
    <row r="3992" spans="1:24">
      <c r="A3992">
        <f>HYPERLINK("https://www.philgeps.gov.ph/GEPSNONPILOT/Tender/SplashBidNoticeAbstractUI.aspx?menuIndex=3&amp;refID=7187220&amp;Result=3","7187220")</f>
        <v>0</v>
      </c>
      <c r="B3992" t="s">
        <v>130</v>
      </c>
      <c r="C3992" t="s">
        <v>7350</v>
      </c>
      <c r="D3992" t="s">
        <v>17185</v>
      </c>
      <c r="E3992" t="s">
        <v>20745</v>
      </c>
      <c r="F3992" t="s">
        <v>29372</v>
      </c>
      <c r="G3992" t="s">
        <v>29379</v>
      </c>
      <c r="H3992" t="s">
        <v>11048</v>
      </c>
      <c r="I3992" t="s">
        <v>29403</v>
      </c>
      <c r="J3992" t="s">
        <v>32203</v>
      </c>
      <c r="K3992" t="s">
        <v>38528</v>
      </c>
      <c r="M3992" t="s">
        <v>40300</v>
      </c>
      <c r="N3992" t="s">
        <v>42669</v>
      </c>
      <c r="O3992" t="s">
        <v>42670</v>
      </c>
      <c r="P3992">
        <v>0</v>
      </c>
      <c r="Q3992">
        <v>0</v>
      </c>
      <c r="R3992" t="s">
        <v>42676</v>
      </c>
      <c r="S3992" t="s">
        <v>42809</v>
      </c>
      <c r="T3992" t="s">
        <v>44491</v>
      </c>
      <c r="U3992" t="s">
        <v>48115</v>
      </c>
      <c r="W3992" t="s">
        <v>40300</v>
      </c>
      <c r="X3992" t="s">
        <v>42677</v>
      </c>
    </row>
    <row r="3993" spans="1:24">
      <c r="A3993">
        <f>HYPERLINK("https://www.philgeps.gov.ph/GEPSNONPILOT/Tender/SplashBidNoticeAbstractUI.aspx?menuIndex=3&amp;refID=7187196&amp;Result=3","7187196")</f>
        <v>0</v>
      </c>
      <c r="B3993" t="s">
        <v>1458</v>
      </c>
      <c r="C3993" t="s">
        <v>7351</v>
      </c>
      <c r="D3993" t="s">
        <v>17207</v>
      </c>
      <c r="E3993" t="s">
        <v>17648</v>
      </c>
      <c r="F3993" t="s">
        <v>29372</v>
      </c>
      <c r="G3993" t="s">
        <v>29380</v>
      </c>
      <c r="H3993" t="s">
        <v>29389</v>
      </c>
      <c r="I3993" t="s">
        <v>10408</v>
      </c>
      <c r="J3993" t="s">
        <v>32204</v>
      </c>
      <c r="K3993" t="s">
        <v>38489</v>
      </c>
      <c r="M3993" t="s">
        <v>40301</v>
      </c>
      <c r="N3993" t="s">
        <v>42669</v>
      </c>
      <c r="O3993" t="s">
        <v>42670</v>
      </c>
      <c r="P3993">
        <v>0</v>
      </c>
      <c r="Q3993">
        <v>0</v>
      </c>
      <c r="R3993" t="s">
        <v>42676</v>
      </c>
      <c r="S3993" t="s">
        <v>42809</v>
      </c>
      <c r="T3993" t="s">
        <v>44646</v>
      </c>
      <c r="U3993" t="s">
        <v>48116</v>
      </c>
      <c r="V3993" t="s">
        <v>56761</v>
      </c>
      <c r="W3993" t="s">
        <v>40301</v>
      </c>
      <c r="X3993" t="s">
        <v>42677</v>
      </c>
    </row>
    <row r="3994" spans="1:24">
      <c r="A3994">
        <f>HYPERLINK("https://www.philgeps.gov.ph/GEPSNONPILOT/Tender/SplashBidNoticeAbstractUI.aspx?menuIndex=3&amp;refID=7187218&amp;Result=3","7187218")</f>
        <v>0</v>
      </c>
      <c r="B3994" t="s">
        <v>1431</v>
      </c>
      <c r="C3994" t="s">
        <v>7352</v>
      </c>
      <c r="D3994" t="s">
        <v>17193</v>
      </c>
      <c r="E3994" t="s">
        <v>20746</v>
      </c>
      <c r="F3994" t="s">
        <v>29372</v>
      </c>
      <c r="G3994" t="s">
        <v>29379</v>
      </c>
      <c r="H3994" t="s">
        <v>11048</v>
      </c>
      <c r="I3994" t="s">
        <v>5383</v>
      </c>
      <c r="J3994" t="s">
        <v>32205</v>
      </c>
      <c r="K3994" t="s">
        <v>38510</v>
      </c>
      <c r="M3994" t="s">
        <v>40271</v>
      </c>
      <c r="N3994" t="s">
        <v>42669</v>
      </c>
      <c r="O3994" t="s">
        <v>42670</v>
      </c>
      <c r="P3994">
        <v>0</v>
      </c>
      <c r="Q3994">
        <v>2</v>
      </c>
      <c r="R3994" t="s">
        <v>42676</v>
      </c>
      <c r="S3994" t="s">
        <v>42809</v>
      </c>
      <c r="T3994" t="s">
        <v>44349</v>
      </c>
      <c r="U3994" t="s">
        <v>48117</v>
      </c>
      <c r="V3994" t="s">
        <v>56762</v>
      </c>
      <c r="W3994" t="s">
        <v>40271</v>
      </c>
      <c r="X3994" t="s">
        <v>42677</v>
      </c>
    </row>
    <row r="3995" spans="1:24">
      <c r="A3995">
        <f>HYPERLINK("https://www.philgeps.gov.ph/GEPSNONPILOT/Tender/SplashBidNoticeAbstractUI.aspx?menuIndex=3&amp;refID=7187200&amp;Result=3","7187200")</f>
        <v>0</v>
      </c>
      <c r="B3995" t="s">
        <v>1459</v>
      </c>
      <c r="C3995" t="s">
        <v>7353</v>
      </c>
      <c r="D3995" t="s">
        <v>17199</v>
      </c>
      <c r="E3995" t="s">
        <v>20747</v>
      </c>
      <c r="F3995" t="s">
        <v>29372</v>
      </c>
      <c r="G3995" t="s">
        <v>29379</v>
      </c>
      <c r="H3995" t="s">
        <v>11048</v>
      </c>
      <c r="I3995" t="s">
        <v>29436</v>
      </c>
      <c r="J3995" t="s">
        <v>32206</v>
      </c>
      <c r="K3995" t="s">
        <v>38485</v>
      </c>
      <c r="M3995" t="s">
        <v>40302</v>
      </c>
      <c r="N3995" t="s">
        <v>42669</v>
      </c>
      <c r="O3995" t="s">
        <v>42670</v>
      </c>
      <c r="P3995">
        <v>0</v>
      </c>
      <c r="Q3995">
        <v>5</v>
      </c>
      <c r="R3995" t="s">
        <v>42676</v>
      </c>
      <c r="S3995" t="s">
        <v>42809</v>
      </c>
      <c r="T3995" t="s">
        <v>44647</v>
      </c>
      <c r="U3995" t="s">
        <v>48118</v>
      </c>
      <c r="W3995" t="s">
        <v>40302</v>
      </c>
      <c r="X3995" t="s">
        <v>42677</v>
      </c>
    </row>
    <row r="3996" spans="1:24">
      <c r="A3996">
        <f>HYPERLINK("https://www.philgeps.gov.ph/GEPSNONPILOT/Tender/SplashBidNoticeAbstractUI.aspx?menuIndex=3&amp;refID=7187179&amp;Result=3","7187179")</f>
        <v>0</v>
      </c>
      <c r="B3996" t="s">
        <v>882</v>
      </c>
      <c r="C3996" t="s">
        <v>7354</v>
      </c>
      <c r="D3996" t="s">
        <v>17176</v>
      </c>
      <c r="E3996" t="s">
        <v>20748</v>
      </c>
      <c r="F3996" t="s">
        <v>29372</v>
      </c>
      <c r="G3996" t="s">
        <v>29379</v>
      </c>
      <c r="H3996" t="s">
        <v>11048</v>
      </c>
      <c r="I3996" t="s">
        <v>14920</v>
      </c>
      <c r="J3996" t="s">
        <v>32207</v>
      </c>
      <c r="K3996" t="s">
        <v>38586</v>
      </c>
      <c r="M3996" t="s">
        <v>39674</v>
      </c>
      <c r="N3996" t="s">
        <v>42669</v>
      </c>
      <c r="O3996" t="s">
        <v>42670</v>
      </c>
      <c r="P3996">
        <v>0</v>
      </c>
      <c r="Q3996">
        <v>4</v>
      </c>
      <c r="R3996" t="s">
        <v>42676</v>
      </c>
      <c r="S3996" t="s">
        <v>42809</v>
      </c>
      <c r="T3996" t="s">
        <v>44526</v>
      </c>
      <c r="U3996" t="s">
        <v>46647</v>
      </c>
      <c r="W3996" t="s">
        <v>39674</v>
      </c>
      <c r="X3996" t="s">
        <v>42677</v>
      </c>
    </row>
    <row r="3997" spans="1:24">
      <c r="A3997">
        <f>HYPERLINK("https://www.philgeps.gov.ph/GEPSNONPILOT/Tender/SplashBidNoticeAbstractUI.aspx?menuIndex=3&amp;refID=7187234&amp;Result=3","7187234")</f>
        <v>0</v>
      </c>
      <c r="B3997" t="s">
        <v>884</v>
      </c>
      <c r="C3997" t="s">
        <v>7355</v>
      </c>
      <c r="D3997" t="s">
        <v>17170</v>
      </c>
      <c r="E3997" t="s">
        <v>20749</v>
      </c>
      <c r="F3997" t="s">
        <v>29372</v>
      </c>
      <c r="G3997" t="s">
        <v>29380</v>
      </c>
      <c r="H3997" t="s">
        <v>11048</v>
      </c>
      <c r="I3997" t="s">
        <v>29407</v>
      </c>
      <c r="J3997" t="s">
        <v>32208</v>
      </c>
      <c r="K3997" t="s">
        <v>38485</v>
      </c>
      <c r="M3997" t="s">
        <v>39676</v>
      </c>
      <c r="N3997" t="s">
        <v>42669</v>
      </c>
      <c r="O3997" t="s">
        <v>42670</v>
      </c>
      <c r="P3997">
        <v>0</v>
      </c>
      <c r="Q3997">
        <v>5</v>
      </c>
      <c r="R3997" t="s">
        <v>42676</v>
      </c>
      <c r="S3997" t="s">
        <v>42809</v>
      </c>
      <c r="T3997" t="s">
        <v>44457</v>
      </c>
      <c r="U3997" t="s">
        <v>48119</v>
      </c>
      <c r="W3997" t="s">
        <v>39676</v>
      </c>
      <c r="X3997" t="s">
        <v>42677</v>
      </c>
    </row>
    <row r="3998" spans="1:24">
      <c r="A3998">
        <f>HYPERLINK("https://www.philgeps.gov.ph/GEPSNONPILOT/Tender/SplashBidNoticeAbstractUI.aspx?menuIndex=3&amp;refID=7187229&amp;Result=3","7187229")</f>
        <v>0</v>
      </c>
      <c r="B3998" t="s">
        <v>1383</v>
      </c>
      <c r="C3998" t="s">
        <v>7356</v>
      </c>
      <c r="D3998" t="s">
        <v>17169</v>
      </c>
      <c r="E3998" t="s">
        <v>20592</v>
      </c>
      <c r="F3998" t="s">
        <v>29372</v>
      </c>
      <c r="G3998" t="s">
        <v>29380</v>
      </c>
      <c r="H3998" t="s">
        <v>29389</v>
      </c>
      <c r="I3998" t="s">
        <v>10408</v>
      </c>
      <c r="J3998" t="s">
        <v>32103</v>
      </c>
      <c r="K3998" t="s">
        <v>38496</v>
      </c>
      <c r="M3998" t="s">
        <v>40220</v>
      </c>
      <c r="N3998" t="s">
        <v>42669</v>
      </c>
      <c r="O3998" t="s">
        <v>42670</v>
      </c>
      <c r="P3998">
        <v>0</v>
      </c>
      <c r="Q3998">
        <v>1</v>
      </c>
      <c r="R3998" t="s">
        <v>42676</v>
      </c>
      <c r="S3998" t="s">
        <v>42809</v>
      </c>
      <c r="T3998" t="s">
        <v>44587</v>
      </c>
      <c r="U3998" t="s">
        <v>47960</v>
      </c>
      <c r="V3998" t="s">
        <v>56763</v>
      </c>
      <c r="W3998" t="s">
        <v>40220</v>
      </c>
      <c r="X3998" t="s">
        <v>42677</v>
      </c>
    </row>
    <row r="3999" spans="1:24">
      <c r="A3999">
        <f>HYPERLINK("https://www.philgeps.gov.ph/GEPSNONPILOT/Tender/SplashBidNoticeAbstractUI.aspx?menuIndex=3&amp;refID=7187224&amp;Result=3","7187224")</f>
        <v>0</v>
      </c>
      <c r="B3999" t="s">
        <v>287</v>
      </c>
      <c r="C3999" t="s">
        <v>7357</v>
      </c>
      <c r="D3999" t="s">
        <v>17141</v>
      </c>
      <c r="E3999" t="s">
        <v>7357</v>
      </c>
      <c r="F3999" t="s">
        <v>29372</v>
      </c>
      <c r="G3999" t="s">
        <v>29379</v>
      </c>
      <c r="H3999" t="s">
        <v>11048</v>
      </c>
      <c r="I3999" t="s">
        <v>4709</v>
      </c>
      <c r="J3999" t="s">
        <v>32209</v>
      </c>
      <c r="K3999" t="s">
        <v>38488</v>
      </c>
      <c r="M3999" t="s">
        <v>39046</v>
      </c>
      <c r="N3999" t="s">
        <v>42669</v>
      </c>
      <c r="O3999" t="s">
        <v>42670</v>
      </c>
      <c r="P3999">
        <v>0</v>
      </c>
      <c r="Q3999">
        <v>4</v>
      </c>
      <c r="R3999" t="s">
        <v>42676</v>
      </c>
      <c r="S3999" t="s">
        <v>42809</v>
      </c>
      <c r="T3999" t="s">
        <v>44417</v>
      </c>
      <c r="U3999" t="s">
        <v>48120</v>
      </c>
      <c r="W3999" t="s">
        <v>39046</v>
      </c>
      <c r="X3999" t="s">
        <v>42677</v>
      </c>
    </row>
    <row r="4000" spans="1:24">
      <c r="A4000">
        <f>HYPERLINK("https://www.philgeps.gov.ph/GEPSNONPILOT/Tender/SplashBidNoticeAbstractUI.aspx?menuIndex=3&amp;refID=7187226&amp;Result=3","7187226")</f>
        <v>0</v>
      </c>
      <c r="B4000" t="s">
        <v>316</v>
      </c>
      <c r="C4000" t="s">
        <v>7358</v>
      </c>
      <c r="D4000" t="s">
        <v>17212</v>
      </c>
      <c r="E4000" t="s">
        <v>20750</v>
      </c>
      <c r="F4000" t="s">
        <v>29372</v>
      </c>
      <c r="G4000" t="s">
        <v>29379</v>
      </c>
      <c r="H4000" t="s">
        <v>11048</v>
      </c>
      <c r="I4000" t="s">
        <v>5383</v>
      </c>
      <c r="J4000" t="s">
        <v>29708</v>
      </c>
      <c r="K4000" t="s">
        <v>38528</v>
      </c>
      <c r="M4000" t="s">
        <v>39075</v>
      </c>
      <c r="N4000" t="s">
        <v>42669</v>
      </c>
      <c r="O4000" t="s">
        <v>42670</v>
      </c>
      <c r="P4000">
        <v>0</v>
      </c>
      <c r="Q4000">
        <v>2</v>
      </c>
      <c r="R4000" t="s">
        <v>42676</v>
      </c>
      <c r="S4000" t="s">
        <v>42809</v>
      </c>
      <c r="T4000" t="s">
        <v>44488</v>
      </c>
      <c r="U4000" t="s">
        <v>48121</v>
      </c>
      <c r="W4000" t="s">
        <v>39075</v>
      </c>
      <c r="X4000" t="s">
        <v>42677</v>
      </c>
    </row>
    <row r="4001" spans="1:24">
      <c r="A4001">
        <f>HYPERLINK("https://www.philgeps.gov.ph/GEPSNONPILOT/Tender/SplashBidNoticeAbstractUI.aspx?menuIndex=3&amp;refID=7187225&amp;Result=3","7187225")</f>
        <v>0</v>
      </c>
      <c r="B4001" t="s">
        <v>1460</v>
      </c>
      <c r="C4001" t="s">
        <v>7359</v>
      </c>
      <c r="D4001" t="s">
        <v>17166</v>
      </c>
      <c r="E4001" t="s">
        <v>20751</v>
      </c>
      <c r="F4001" t="s">
        <v>29372</v>
      </c>
      <c r="G4001" t="s">
        <v>29380</v>
      </c>
      <c r="H4001" t="s">
        <v>11048</v>
      </c>
      <c r="I4001" t="s">
        <v>3839</v>
      </c>
      <c r="J4001" t="s">
        <v>30809</v>
      </c>
      <c r="K4001" t="s">
        <v>38491</v>
      </c>
      <c r="M4001" t="s">
        <v>40303</v>
      </c>
      <c r="N4001" t="s">
        <v>42669</v>
      </c>
      <c r="O4001" t="s">
        <v>42670</v>
      </c>
      <c r="P4001">
        <v>0</v>
      </c>
      <c r="Q4001">
        <v>0</v>
      </c>
      <c r="R4001" t="s">
        <v>42676</v>
      </c>
      <c r="S4001" t="s">
        <v>42809</v>
      </c>
      <c r="T4001" t="s">
        <v>44361</v>
      </c>
      <c r="U4001" t="s">
        <v>48122</v>
      </c>
      <c r="W4001" t="s">
        <v>41789</v>
      </c>
      <c r="X4001" t="s">
        <v>42677</v>
      </c>
    </row>
    <row r="4002" spans="1:24">
      <c r="A4002">
        <f>HYPERLINK("https://www.philgeps.gov.ph/GEPSNONPILOT/Tender/SplashBidNoticeAbstractUI.aspx?menuIndex=3&amp;refID=7187217&amp;Result=3","7187217")</f>
        <v>0</v>
      </c>
      <c r="B4002" t="s">
        <v>383</v>
      </c>
      <c r="C4002" t="s">
        <v>7360</v>
      </c>
      <c r="D4002" t="s">
        <v>17159</v>
      </c>
      <c r="E4002" t="s">
        <v>20752</v>
      </c>
      <c r="F4002" t="s">
        <v>29372</v>
      </c>
      <c r="G4002" t="s">
        <v>29379</v>
      </c>
      <c r="H4002" t="s">
        <v>11048</v>
      </c>
      <c r="I4002" t="s">
        <v>3839</v>
      </c>
      <c r="J4002" t="s">
        <v>32210</v>
      </c>
      <c r="K4002" t="s">
        <v>38487</v>
      </c>
      <c r="M4002" t="s">
        <v>39145</v>
      </c>
      <c r="N4002" t="s">
        <v>42669</v>
      </c>
      <c r="O4002" t="s">
        <v>42670</v>
      </c>
      <c r="P4002">
        <v>0</v>
      </c>
      <c r="Q4002">
        <v>0</v>
      </c>
      <c r="R4002" t="s">
        <v>42676</v>
      </c>
      <c r="S4002" t="s">
        <v>42809</v>
      </c>
      <c r="T4002" t="s">
        <v>44488</v>
      </c>
      <c r="U4002" t="s">
        <v>48123</v>
      </c>
      <c r="W4002" t="s">
        <v>39145</v>
      </c>
      <c r="X4002" t="s">
        <v>42677</v>
      </c>
    </row>
    <row r="4003" spans="1:24">
      <c r="A4003">
        <f>HYPERLINK("https://www.philgeps.gov.ph/GEPSNONPILOT/Tender/SplashBidNoticeAbstractUI.aspx?menuIndex=3&amp;refID=7187214&amp;Result=3","7187214")</f>
        <v>0</v>
      </c>
      <c r="B4003" t="s">
        <v>882</v>
      </c>
      <c r="C4003" t="s">
        <v>7361</v>
      </c>
      <c r="D4003" t="s">
        <v>17193</v>
      </c>
      <c r="E4003" t="s">
        <v>20753</v>
      </c>
      <c r="F4003" t="s">
        <v>29372</v>
      </c>
      <c r="G4003" t="s">
        <v>29379</v>
      </c>
      <c r="H4003" t="s">
        <v>11048</v>
      </c>
      <c r="I4003" t="s">
        <v>14920</v>
      </c>
      <c r="J4003" t="s">
        <v>32211</v>
      </c>
      <c r="K4003" t="s">
        <v>38586</v>
      </c>
      <c r="M4003" t="s">
        <v>39674</v>
      </c>
      <c r="N4003" t="s">
        <v>42669</v>
      </c>
      <c r="O4003" t="s">
        <v>42670</v>
      </c>
      <c r="P4003">
        <v>0</v>
      </c>
      <c r="Q4003">
        <v>4</v>
      </c>
      <c r="R4003" t="s">
        <v>42676</v>
      </c>
      <c r="S4003" t="s">
        <v>42809</v>
      </c>
      <c r="T4003" t="s">
        <v>44526</v>
      </c>
      <c r="U4003" t="s">
        <v>46647</v>
      </c>
      <c r="W4003" t="s">
        <v>39674</v>
      </c>
      <c r="X4003" t="s">
        <v>42677</v>
      </c>
    </row>
    <row r="4004" spans="1:24">
      <c r="A4004">
        <f>HYPERLINK("https://www.philgeps.gov.ph/GEPSNONPILOT/Tender/SplashBidNoticeAbstractUI.aspx?menuIndex=3&amp;refID=7187213&amp;Result=3","7187213")</f>
        <v>0</v>
      </c>
      <c r="B4004" t="s">
        <v>1461</v>
      </c>
      <c r="C4004" t="s">
        <v>7362</v>
      </c>
      <c r="D4004" t="s">
        <v>17222</v>
      </c>
      <c r="E4004" t="s">
        <v>20754</v>
      </c>
      <c r="F4004" t="s">
        <v>29372</v>
      </c>
      <c r="G4004" t="s">
        <v>29380</v>
      </c>
      <c r="H4004" t="s">
        <v>29389</v>
      </c>
      <c r="I4004" t="s">
        <v>10408</v>
      </c>
      <c r="J4004" t="s">
        <v>32212</v>
      </c>
      <c r="K4004" t="s">
        <v>38518</v>
      </c>
      <c r="M4004" t="s">
        <v>40304</v>
      </c>
      <c r="N4004" t="s">
        <v>42669</v>
      </c>
      <c r="O4004" t="s">
        <v>42670</v>
      </c>
      <c r="P4004">
        <v>0</v>
      </c>
      <c r="Q4004">
        <v>0</v>
      </c>
      <c r="R4004" t="s">
        <v>42676</v>
      </c>
      <c r="S4004" t="s">
        <v>42809</v>
      </c>
      <c r="T4004" t="s">
        <v>44368</v>
      </c>
      <c r="U4004" t="s">
        <v>48124</v>
      </c>
      <c r="W4004" t="s">
        <v>40304</v>
      </c>
      <c r="X4004" t="s">
        <v>42677</v>
      </c>
    </row>
    <row r="4005" spans="1:24">
      <c r="A4005">
        <f>HYPERLINK("https://www.philgeps.gov.ph/GEPSNONPILOT/Tender/SplashBidNoticeAbstractUI.aspx?menuIndex=3&amp;refID=7187231&amp;Result=3","7187231")</f>
        <v>0</v>
      </c>
      <c r="B4005" t="s">
        <v>1436</v>
      </c>
      <c r="C4005" t="s">
        <v>7363</v>
      </c>
      <c r="D4005" t="s">
        <v>17163</v>
      </c>
      <c r="E4005" t="s">
        <v>20755</v>
      </c>
      <c r="F4005" t="s">
        <v>29372</v>
      </c>
      <c r="G4005" t="s">
        <v>29383</v>
      </c>
      <c r="H4005" t="s">
        <v>11048</v>
      </c>
      <c r="I4005" t="s">
        <v>29407</v>
      </c>
      <c r="J4005" t="s">
        <v>29820</v>
      </c>
      <c r="K4005" t="s">
        <v>38491</v>
      </c>
      <c r="M4005" t="s">
        <v>40277</v>
      </c>
      <c r="N4005" t="s">
        <v>42669</v>
      </c>
      <c r="O4005" t="s">
        <v>42670</v>
      </c>
      <c r="P4005">
        <v>0</v>
      </c>
      <c r="Q4005">
        <v>17</v>
      </c>
      <c r="R4005" t="s">
        <v>42676</v>
      </c>
      <c r="S4005" t="s">
        <v>42809</v>
      </c>
      <c r="T4005" t="s">
        <v>44491</v>
      </c>
      <c r="U4005" t="s">
        <v>48125</v>
      </c>
      <c r="W4005" t="s">
        <v>40277</v>
      </c>
      <c r="X4005" t="s">
        <v>42677</v>
      </c>
    </row>
    <row r="4006" spans="1:24">
      <c r="A4006">
        <f>HYPERLINK("https://www.philgeps.gov.ph/GEPSNONPILOT/Tender/SplashBidNoticeAbstractUI.aspx?menuIndex=3&amp;refID=7187212&amp;Result=3","7187212")</f>
        <v>0</v>
      </c>
      <c r="B4006" t="s">
        <v>1447</v>
      </c>
      <c r="C4006" t="s">
        <v>7364</v>
      </c>
      <c r="D4006" t="s">
        <v>17182</v>
      </c>
      <c r="E4006" t="s">
        <v>20756</v>
      </c>
      <c r="F4006" t="s">
        <v>29372</v>
      </c>
      <c r="G4006" t="s">
        <v>29380</v>
      </c>
      <c r="H4006" t="s">
        <v>29389</v>
      </c>
      <c r="I4006" t="s">
        <v>10408</v>
      </c>
      <c r="J4006" t="s">
        <v>32213</v>
      </c>
      <c r="K4006" t="s">
        <v>38520</v>
      </c>
      <c r="M4006" t="s">
        <v>40288</v>
      </c>
      <c r="N4006" t="s">
        <v>42669</v>
      </c>
      <c r="O4006" t="s">
        <v>42670</v>
      </c>
      <c r="P4006">
        <v>0</v>
      </c>
      <c r="Q4006">
        <v>1</v>
      </c>
      <c r="R4006" t="s">
        <v>42676</v>
      </c>
      <c r="S4006" t="s">
        <v>42809</v>
      </c>
      <c r="T4006" t="s">
        <v>44478</v>
      </c>
      <c r="U4006" t="s">
        <v>48126</v>
      </c>
      <c r="W4006" t="s">
        <v>40288</v>
      </c>
      <c r="X4006" t="s">
        <v>42677</v>
      </c>
    </row>
    <row r="4007" spans="1:24">
      <c r="A4007">
        <f>HYPERLINK("https://www.philgeps.gov.ph/GEPSNONPILOT/Tender/SplashBidNoticeAbstractUI.aspx?menuIndex=3&amp;refID=7187211&amp;Result=3","7187211")</f>
        <v>0</v>
      </c>
      <c r="B4007" t="s">
        <v>1462</v>
      </c>
      <c r="C4007" t="s">
        <v>7365</v>
      </c>
      <c r="D4007" t="s">
        <v>17199</v>
      </c>
      <c r="E4007" t="s">
        <v>20757</v>
      </c>
      <c r="F4007" t="s">
        <v>29372</v>
      </c>
      <c r="G4007" t="s">
        <v>29379</v>
      </c>
      <c r="H4007" t="s">
        <v>11048</v>
      </c>
      <c r="I4007" t="s">
        <v>29491</v>
      </c>
      <c r="J4007" t="s">
        <v>29922</v>
      </c>
      <c r="K4007" t="s">
        <v>38490</v>
      </c>
      <c r="M4007" t="s">
        <v>40305</v>
      </c>
      <c r="N4007" t="s">
        <v>42669</v>
      </c>
      <c r="O4007" t="s">
        <v>42670</v>
      </c>
      <c r="P4007">
        <v>0</v>
      </c>
      <c r="Q4007">
        <v>3</v>
      </c>
      <c r="R4007" t="s">
        <v>42676</v>
      </c>
      <c r="S4007" t="s">
        <v>42809</v>
      </c>
      <c r="T4007" t="s">
        <v>44648</v>
      </c>
      <c r="U4007" t="s">
        <v>48127</v>
      </c>
      <c r="V4007" t="s">
        <v>56764</v>
      </c>
      <c r="W4007" t="s">
        <v>40305</v>
      </c>
      <c r="X4007" t="s">
        <v>42677</v>
      </c>
    </row>
    <row r="4008" spans="1:24">
      <c r="A4008">
        <f>HYPERLINK("https://www.philgeps.gov.ph/GEPSNONPILOT/Tender/SplashBidNoticeAbstractUI.aspx?menuIndex=3&amp;refID=7187210&amp;Result=3","7187210")</f>
        <v>0</v>
      </c>
      <c r="B4008" t="s">
        <v>1383</v>
      </c>
      <c r="C4008" t="s">
        <v>7366</v>
      </c>
      <c r="D4008" t="s">
        <v>17169</v>
      </c>
      <c r="E4008" t="s">
        <v>20592</v>
      </c>
      <c r="F4008" t="s">
        <v>29372</v>
      </c>
      <c r="G4008" t="s">
        <v>29380</v>
      </c>
      <c r="H4008" t="s">
        <v>29389</v>
      </c>
      <c r="I4008" t="s">
        <v>10408</v>
      </c>
      <c r="J4008" t="s">
        <v>32103</v>
      </c>
      <c r="K4008" t="s">
        <v>38496</v>
      </c>
      <c r="M4008" t="s">
        <v>40220</v>
      </c>
      <c r="N4008" t="s">
        <v>42669</v>
      </c>
      <c r="O4008" t="s">
        <v>42670</v>
      </c>
      <c r="P4008">
        <v>0</v>
      </c>
      <c r="Q4008">
        <v>1</v>
      </c>
      <c r="R4008" t="s">
        <v>42676</v>
      </c>
      <c r="S4008" t="s">
        <v>42809</v>
      </c>
      <c r="T4008" t="s">
        <v>44587</v>
      </c>
      <c r="U4008" t="s">
        <v>47960</v>
      </c>
      <c r="V4008" t="s">
        <v>56765</v>
      </c>
      <c r="W4008" t="s">
        <v>40220</v>
      </c>
      <c r="X4008" t="s">
        <v>42677</v>
      </c>
    </row>
    <row r="4009" spans="1:24">
      <c r="A4009">
        <f>HYPERLINK("https://www.philgeps.gov.ph/GEPSNONPILOT/Tender/SplashBidNoticeAbstractUI.aspx?menuIndex=3&amp;refID=7187205&amp;Result=3","7187205")</f>
        <v>0</v>
      </c>
      <c r="B4009" t="s">
        <v>1463</v>
      </c>
      <c r="C4009" t="s">
        <v>7367</v>
      </c>
      <c r="D4009" t="s">
        <v>17170</v>
      </c>
      <c r="E4009" t="s">
        <v>7367</v>
      </c>
      <c r="F4009" t="s">
        <v>29372</v>
      </c>
      <c r="G4009" t="s">
        <v>29379</v>
      </c>
      <c r="H4009" t="s">
        <v>11048</v>
      </c>
      <c r="I4009" t="s">
        <v>4709</v>
      </c>
      <c r="J4009" t="s">
        <v>32214</v>
      </c>
      <c r="K4009" t="s">
        <v>38491</v>
      </c>
      <c r="M4009" t="s">
        <v>40306</v>
      </c>
      <c r="N4009" t="s">
        <v>42669</v>
      </c>
      <c r="O4009" t="s">
        <v>42670</v>
      </c>
      <c r="P4009">
        <v>0</v>
      </c>
      <c r="Q4009">
        <v>3</v>
      </c>
      <c r="R4009" t="s">
        <v>42676</v>
      </c>
      <c r="S4009" t="s">
        <v>42809</v>
      </c>
      <c r="T4009" t="s">
        <v>44401</v>
      </c>
      <c r="U4009" t="s">
        <v>48128</v>
      </c>
      <c r="W4009" t="s">
        <v>40306</v>
      </c>
      <c r="X4009" t="s">
        <v>42677</v>
      </c>
    </row>
    <row r="4010" spans="1:24">
      <c r="A4010">
        <f>HYPERLINK("https://www.philgeps.gov.ph/GEPSNONPILOT/Tender/SplashBidNoticeAbstractUI.aspx?menuIndex=3&amp;refID=7187206&amp;Result=3","7187206")</f>
        <v>0</v>
      </c>
      <c r="B4010" t="s">
        <v>1464</v>
      </c>
      <c r="C4010" t="s">
        <v>7368</v>
      </c>
      <c r="D4010" t="s">
        <v>17169</v>
      </c>
      <c r="E4010" t="s">
        <v>20758</v>
      </c>
      <c r="F4010" t="s">
        <v>29372</v>
      </c>
      <c r="G4010" t="s">
        <v>29383</v>
      </c>
      <c r="H4010" t="s">
        <v>11048</v>
      </c>
      <c r="I4010" t="s">
        <v>5383</v>
      </c>
      <c r="J4010" t="s">
        <v>30026</v>
      </c>
      <c r="K4010" t="s">
        <v>38490</v>
      </c>
      <c r="M4010" t="s">
        <v>40307</v>
      </c>
      <c r="N4010" t="s">
        <v>42669</v>
      </c>
      <c r="O4010" t="s">
        <v>42670</v>
      </c>
      <c r="P4010">
        <v>0</v>
      </c>
      <c r="Q4010">
        <v>2</v>
      </c>
      <c r="R4010" t="s">
        <v>42676</v>
      </c>
      <c r="S4010" t="s">
        <v>42809</v>
      </c>
      <c r="T4010" t="s">
        <v>44496</v>
      </c>
      <c r="U4010" t="s">
        <v>48129</v>
      </c>
      <c r="W4010" t="s">
        <v>40307</v>
      </c>
      <c r="X4010" t="s">
        <v>42677</v>
      </c>
    </row>
    <row r="4011" spans="1:24">
      <c r="A4011">
        <f>HYPERLINK("https://www.philgeps.gov.ph/GEPSNONPILOT/Tender/SplashBidNoticeAbstractUI.aspx?menuIndex=3&amp;refID=7187219&amp;Result=3","7187219")</f>
        <v>0</v>
      </c>
      <c r="B4011" t="s">
        <v>1465</v>
      </c>
      <c r="C4011" t="s">
        <v>7369</v>
      </c>
      <c r="D4011" t="s">
        <v>17205</v>
      </c>
      <c r="E4011" t="s">
        <v>20759</v>
      </c>
      <c r="F4011" t="s">
        <v>29372</v>
      </c>
      <c r="G4011" t="s">
        <v>29380</v>
      </c>
      <c r="H4011" t="s">
        <v>11048</v>
      </c>
      <c r="I4011" t="s">
        <v>29405</v>
      </c>
      <c r="J4011" t="s">
        <v>32215</v>
      </c>
      <c r="K4011" t="s">
        <v>38485</v>
      </c>
      <c r="M4011" t="s">
        <v>40308</v>
      </c>
      <c r="N4011" t="s">
        <v>42669</v>
      </c>
      <c r="O4011" t="s">
        <v>42670</v>
      </c>
      <c r="P4011">
        <v>0</v>
      </c>
      <c r="Q4011">
        <v>9</v>
      </c>
      <c r="R4011" t="s">
        <v>42676</v>
      </c>
      <c r="S4011" t="s">
        <v>42809</v>
      </c>
      <c r="T4011" t="s">
        <v>44622</v>
      </c>
      <c r="U4011" t="s">
        <v>48130</v>
      </c>
      <c r="W4011" t="s">
        <v>40308</v>
      </c>
      <c r="X4011" t="s">
        <v>42677</v>
      </c>
    </row>
    <row r="4012" spans="1:24">
      <c r="A4012">
        <f>HYPERLINK("https://www.philgeps.gov.ph/GEPSNONPILOT/Tender/SplashBidNoticeAbstractUI.aspx?menuIndex=3&amp;refID=7187230&amp;Result=3","7187230")</f>
        <v>0</v>
      </c>
      <c r="B4012" t="s">
        <v>1434</v>
      </c>
      <c r="C4012" t="s">
        <v>7370</v>
      </c>
      <c r="D4012" t="s">
        <v>17198</v>
      </c>
      <c r="E4012" t="s">
        <v>20760</v>
      </c>
      <c r="F4012" t="s">
        <v>29372</v>
      </c>
      <c r="G4012" t="s">
        <v>29380</v>
      </c>
      <c r="H4012" t="s">
        <v>11048</v>
      </c>
      <c r="I4012" t="s">
        <v>29393</v>
      </c>
      <c r="J4012" t="s">
        <v>32216</v>
      </c>
      <c r="K4012" t="s">
        <v>38485</v>
      </c>
      <c r="M4012" t="s">
        <v>40274</v>
      </c>
      <c r="N4012" t="s">
        <v>42669</v>
      </c>
      <c r="O4012" t="s">
        <v>42670</v>
      </c>
      <c r="P4012">
        <v>0</v>
      </c>
      <c r="Q4012">
        <v>0</v>
      </c>
      <c r="R4012" t="s">
        <v>42676</v>
      </c>
      <c r="S4012" t="s">
        <v>42809</v>
      </c>
      <c r="T4012" t="s">
        <v>44355</v>
      </c>
      <c r="U4012" t="s">
        <v>48064</v>
      </c>
      <c r="V4012" t="s">
        <v>56749</v>
      </c>
      <c r="W4012" t="s">
        <v>40274</v>
      </c>
      <c r="X4012" t="s">
        <v>42677</v>
      </c>
    </row>
    <row r="4013" spans="1:24">
      <c r="A4013">
        <f>HYPERLINK("https://www.philgeps.gov.ph/GEPSNONPILOT/Tender/SplashBidNoticeAbstractUI.aspx?menuIndex=3&amp;refID=7187236&amp;Result=3","7187236")</f>
        <v>0</v>
      </c>
      <c r="B4013" t="s">
        <v>383</v>
      </c>
      <c r="C4013" t="s">
        <v>7371</v>
      </c>
      <c r="D4013" t="s">
        <v>17159</v>
      </c>
      <c r="E4013" t="s">
        <v>20761</v>
      </c>
      <c r="F4013" t="s">
        <v>29372</v>
      </c>
      <c r="G4013" t="s">
        <v>29379</v>
      </c>
      <c r="H4013" t="s">
        <v>11048</v>
      </c>
      <c r="I4013" t="s">
        <v>3839</v>
      </c>
      <c r="J4013" t="s">
        <v>32217</v>
      </c>
      <c r="K4013" t="s">
        <v>38496</v>
      </c>
      <c r="M4013" t="s">
        <v>39145</v>
      </c>
      <c r="N4013" t="s">
        <v>42669</v>
      </c>
      <c r="O4013" t="s">
        <v>42670</v>
      </c>
      <c r="P4013">
        <v>0</v>
      </c>
      <c r="Q4013">
        <v>0</v>
      </c>
      <c r="R4013" t="s">
        <v>42676</v>
      </c>
      <c r="S4013" t="s">
        <v>42809</v>
      </c>
      <c r="T4013" t="s">
        <v>44488</v>
      </c>
      <c r="U4013" t="s">
        <v>48131</v>
      </c>
      <c r="W4013" t="s">
        <v>39145</v>
      </c>
      <c r="X4013" t="s">
        <v>42677</v>
      </c>
    </row>
    <row r="4014" spans="1:24">
      <c r="A4014">
        <f>HYPERLINK("https://www.philgeps.gov.ph/GEPSNONPILOT/Tender/SplashBidNoticeAbstractUI.aspx?menuIndex=3&amp;refID=7187263&amp;Result=3","7187263")</f>
        <v>0</v>
      </c>
      <c r="B4014" t="s">
        <v>1436</v>
      </c>
      <c r="C4014" t="s">
        <v>7372</v>
      </c>
      <c r="D4014" t="s">
        <v>17163</v>
      </c>
      <c r="E4014" t="s">
        <v>20762</v>
      </c>
      <c r="F4014" t="s">
        <v>29372</v>
      </c>
      <c r="G4014" t="s">
        <v>29383</v>
      </c>
      <c r="H4014" t="s">
        <v>11048</v>
      </c>
      <c r="I4014" t="s">
        <v>3670</v>
      </c>
      <c r="J4014" t="s">
        <v>29767</v>
      </c>
      <c r="K4014" t="s">
        <v>38491</v>
      </c>
      <c r="M4014" t="s">
        <v>40277</v>
      </c>
      <c r="N4014" t="s">
        <v>42669</v>
      </c>
      <c r="O4014" t="s">
        <v>42670</v>
      </c>
      <c r="P4014">
        <v>0</v>
      </c>
      <c r="Q4014">
        <v>3</v>
      </c>
      <c r="R4014" t="s">
        <v>42676</v>
      </c>
      <c r="S4014" t="s">
        <v>42809</v>
      </c>
      <c r="T4014" t="s">
        <v>44491</v>
      </c>
      <c r="U4014" t="s">
        <v>48132</v>
      </c>
      <c r="W4014" t="s">
        <v>40277</v>
      </c>
      <c r="X4014" t="s">
        <v>42677</v>
      </c>
    </row>
    <row r="4015" spans="1:24">
      <c r="A4015">
        <f>HYPERLINK("https://www.philgeps.gov.ph/GEPSNONPILOT/Tender/SplashBidNoticeAbstractUI.aspx?menuIndex=3&amp;refID=7187260&amp;Result=3","7187260")</f>
        <v>0</v>
      </c>
      <c r="B4015" t="s">
        <v>614</v>
      </c>
      <c r="C4015" t="s">
        <v>7373</v>
      </c>
      <c r="D4015" t="s">
        <v>17202</v>
      </c>
      <c r="E4015" t="s">
        <v>20763</v>
      </c>
      <c r="F4015" t="s">
        <v>29372</v>
      </c>
      <c r="G4015" t="s">
        <v>29380</v>
      </c>
      <c r="H4015" t="s">
        <v>11048</v>
      </c>
      <c r="I4015" t="s">
        <v>9469</v>
      </c>
      <c r="J4015" t="s">
        <v>31092</v>
      </c>
      <c r="K4015" t="s">
        <v>38487</v>
      </c>
      <c r="M4015" t="s">
        <v>39385</v>
      </c>
      <c r="N4015" t="s">
        <v>42669</v>
      </c>
      <c r="O4015" t="s">
        <v>42670</v>
      </c>
      <c r="P4015">
        <v>0</v>
      </c>
      <c r="Q4015">
        <v>2</v>
      </c>
      <c r="R4015" t="s">
        <v>42676</v>
      </c>
      <c r="S4015" t="s">
        <v>42809</v>
      </c>
      <c r="T4015" t="s">
        <v>44371</v>
      </c>
      <c r="U4015" t="s">
        <v>48133</v>
      </c>
      <c r="V4015" t="s">
        <v>56766</v>
      </c>
      <c r="W4015" t="s">
        <v>39385</v>
      </c>
      <c r="X4015" t="s">
        <v>42677</v>
      </c>
    </row>
    <row r="4016" spans="1:24">
      <c r="A4016">
        <f>HYPERLINK("https://www.philgeps.gov.ph/GEPSNONPILOT/Tender/SplashBidNoticeAbstractUI.aspx?menuIndex=3&amp;refID=7187257&amp;Result=3","7187257")</f>
        <v>0</v>
      </c>
      <c r="B4016" t="s">
        <v>1435</v>
      </c>
      <c r="C4016" t="s">
        <v>7374</v>
      </c>
      <c r="D4016" t="s">
        <v>17194</v>
      </c>
      <c r="E4016" t="s">
        <v>17755</v>
      </c>
      <c r="F4016" t="s">
        <v>29375</v>
      </c>
      <c r="G4016" t="s">
        <v>29380</v>
      </c>
      <c r="H4016" t="s">
        <v>11048</v>
      </c>
      <c r="I4016" t="s">
        <v>3839</v>
      </c>
      <c r="J4016" t="s">
        <v>32218</v>
      </c>
      <c r="K4016" t="s">
        <v>38491</v>
      </c>
      <c r="M4016" t="s">
        <v>40275</v>
      </c>
      <c r="N4016" t="s">
        <v>42669</v>
      </c>
      <c r="O4016" t="s">
        <v>42670</v>
      </c>
      <c r="P4016">
        <v>0</v>
      </c>
      <c r="Q4016">
        <v>1</v>
      </c>
      <c r="R4016" t="s">
        <v>42676</v>
      </c>
      <c r="S4016" t="s">
        <v>42809</v>
      </c>
      <c r="T4016" t="s">
        <v>44474</v>
      </c>
      <c r="U4016" t="s">
        <v>48134</v>
      </c>
      <c r="W4016" t="s">
        <v>40275</v>
      </c>
      <c r="X4016" t="s">
        <v>42677</v>
      </c>
    </row>
    <row r="4017" spans="1:24">
      <c r="A4017">
        <f>HYPERLINK("https://www.philgeps.gov.ph/GEPSNONPILOT/Tender/SplashBidNoticeAbstractUI.aspx?menuIndex=3&amp;refID=7187252&amp;Result=3","7187252")</f>
        <v>0</v>
      </c>
      <c r="B4017" t="s">
        <v>196</v>
      </c>
      <c r="C4017" t="s">
        <v>7375</v>
      </c>
      <c r="D4017" t="s">
        <v>17166</v>
      </c>
      <c r="E4017" t="s">
        <v>20764</v>
      </c>
      <c r="F4017" t="s">
        <v>29372</v>
      </c>
      <c r="G4017" t="s">
        <v>29379</v>
      </c>
      <c r="H4017" t="s">
        <v>11048</v>
      </c>
      <c r="I4017" t="s">
        <v>3629</v>
      </c>
      <c r="J4017" t="s">
        <v>29595</v>
      </c>
      <c r="K4017" t="s">
        <v>38488</v>
      </c>
      <c r="M4017" t="s">
        <v>38953</v>
      </c>
      <c r="N4017" t="s">
        <v>42669</v>
      </c>
      <c r="O4017" t="s">
        <v>42670</v>
      </c>
      <c r="P4017">
        <v>0</v>
      </c>
      <c r="Q4017">
        <v>0</v>
      </c>
      <c r="R4017" t="s">
        <v>42676</v>
      </c>
      <c r="S4017" t="s">
        <v>42809</v>
      </c>
      <c r="T4017" t="s">
        <v>44488</v>
      </c>
      <c r="U4017" t="s">
        <v>45266</v>
      </c>
      <c r="W4017" t="s">
        <v>42173</v>
      </c>
      <c r="X4017" t="s">
        <v>42677</v>
      </c>
    </row>
    <row r="4018" spans="1:24">
      <c r="A4018">
        <f>HYPERLINK("https://www.philgeps.gov.ph/GEPSNONPILOT/Tender/SplashBidNoticeAbstractUI.aspx?menuIndex=3&amp;refID=7187249&amp;Result=3","7187249")</f>
        <v>0</v>
      </c>
      <c r="B4018" t="s">
        <v>1466</v>
      </c>
      <c r="C4018" t="s">
        <v>7376</v>
      </c>
      <c r="E4018" t="s">
        <v>20765</v>
      </c>
      <c r="F4018" t="s">
        <v>29372</v>
      </c>
      <c r="G4018" t="s">
        <v>29379</v>
      </c>
      <c r="H4018" t="s">
        <v>11048</v>
      </c>
      <c r="I4018" t="s">
        <v>3670</v>
      </c>
      <c r="J4018" t="s">
        <v>32219</v>
      </c>
      <c r="K4018" t="s">
        <v>38490</v>
      </c>
      <c r="M4018" t="s">
        <v>40309</v>
      </c>
      <c r="N4018" t="s">
        <v>42669</v>
      </c>
      <c r="O4018" t="s">
        <v>42670</v>
      </c>
      <c r="P4018">
        <v>0</v>
      </c>
      <c r="Q4018">
        <v>2</v>
      </c>
      <c r="R4018" t="s">
        <v>42676</v>
      </c>
      <c r="S4018" t="s">
        <v>42809</v>
      </c>
      <c r="T4018" t="s">
        <v>44480</v>
      </c>
      <c r="U4018" t="s">
        <v>48135</v>
      </c>
      <c r="W4018" t="s">
        <v>40309</v>
      </c>
      <c r="X4018" t="s">
        <v>42677</v>
      </c>
    </row>
    <row r="4019" spans="1:24">
      <c r="A4019">
        <f>HYPERLINK("https://www.philgeps.gov.ph/GEPSNONPILOT/Tender/SplashBidNoticeAbstractUI.aspx?menuIndex=3&amp;refID=7187256&amp;Result=3","7187256")</f>
        <v>0</v>
      </c>
      <c r="B4019" t="s">
        <v>1383</v>
      </c>
      <c r="C4019" t="s">
        <v>7377</v>
      </c>
      <c r="D4019" t="s">
        <v>17169</v>
      </c>
      <c r="E4019" t="s">
        <v>20592</v>
      </c>
      <c r="F4019" t="s">
        <v>29372</v>
      </c>
      <c r="G4019" t="s">
        <v>29380</v>
      </c>
      <c r="H4019" t="s">
        <v>29389</v>
      </c>
      <c r="I4019" t="s">
        <v>10408</v>
      </c>
      <c r="J4019" t="s">
        <v>32106</v>
      </c>
      <c r="K4019" t="s">
        <v>38485</v>
      </c>
      <c r="M4019" t="s">
        <v>40220</v>
      </c>
      <c r="N4019" t="s">
        <v>42669</v>
      </c>
      <c r="O4019" t="s">
        <v>42670</v>
      </c>
      <c r="P4019">
        <v>0</v>
      </c>
      <c r="Q4019">
        <v>1</v>
      </c>
      <c r="R4019" t="s">
        <v>42676</v>
      </c>
      <c r="S4019" t="s">
        <v>42809</v>
      </c>
      <c r="T4019" t="s">
        <v>44587</v>
      </c>
      <c r="U4019" t="s">
        <v>47960</v>
      </c>
      <c r="V4019" t="s">
        <v>56767</v>
      </c>
      <c r="W4019" t="s">
        <v>40220</v>
      </c>
      <c r="X4019" t="s">
        <v>42677</v>
      </c>
    </row>
    <row r="4020" spans="1:24">
      <c r="A4020">
        <f>HYPERLINK("https://www.philgeps.gov.ph/GEPSNONPILOT/Tender/SplashBidNoticeAbstractUI.aspx?menuIndex=3&amp;refID=7187248&amp;Result=3","7187248")</f>
        <v>0</v>
      </c>
      <c r="B4020" t="s">
        <v>1465</v>
      </c>
      <c r="C4020" t="s">
        <v>7378</v>
      </c>
      <c r="D4020" t="s">
        <v>17205</v>
      </c>
      <c r="E4020" t="s">
        <v>20766</v>
      </c>
      <c r="F4020" t="s">
        <v>29372</v>
      </c>
      <c r="G4020" t="s">
        <v>29380</v>
      </c>
      <c r="H4020" t="s">
        <v>29389</v>
      </c>
      <c r="I4020" t="s">
        <v>10408</v>
      </c>
      <c r="J4020" t="s">
        <v>32220</v>
      </c>
      <c r="K4020" t="s">
        <v>38522</v>
      </c>
      <c r="M4020" t="s">
        <v>40308</v>
      </c>
      <c r="N4020" t="s">
        <v>42669</v>
      </c>
      <c r="O4020" t="s">
        <v>42670</v>
      </c>
      <c r="P4020">
        <v>0</v>
      </c>
      <c r="Q4020">
        <v>39</v>
      </c>
      <c r="R4020" t="s">
        <v>42676</v>
      </c>
      <c r="S4020" t="s">
        <v>42809</v>
      </c>
      <c r="T4020" t="s">
        <v>44622</v>
      </c>
      <c r="U4020" t="s">
        <v>48136</v>
      </c>
      <c r="W4020" t="s">
        <v>40308</v>
      </c>
      <c r="X4020" t="s">
        <v>42677</v>
      </c>
    </row>
    <row r="4021" spans="1:24">
      <c r="A4021">
        <f>HYPERLINK("https://www.philgeps.gov.ph/GEPSNONPILOT/Tender/SplashBidNoticeAbstractUI.aspx?menuIndex=3&amp;refID=7187247&amp;Result=3","7187247")</f>
        <v>0</v>
      </c>
      <c r="B4021" t="s">
        <v>1448</v>
      </c>
      <c r="C4021" t="s">
        <v>7379</v>
      </c>
      <c r="D4021" t="s">
        <v>17176</v>
      </c>
      <c r="E4021" t="s">
        <v>17755</v>
      </c>
      <c r="F4021" t="s">
        <v>29372</v>
      </c>
      <c r="G4021" t="s">
        <v>29380</v>
      </c>
      <c r="H4021" t="s">
        <v>29389</v>
      </c>
      <c r="I4021" t="s">
        <v>10408</v>
      </c>
      <c r="J4021" t="s">
        <v>32221</v>
      </c>
      <c r="K4021" t="s">
        <v>38590</v>
      </c>
      <c r="M4021" t="s">
        <v>40289</v>
      </c>
      <c r="N4021" t="s">
        <v>42669</v>
      </c>
      <c r="O4021" t="s">
        <v>42670</v>
      </c>
      <c r="P4021">
        <v>0</v>
      </c>
      <c r="Q4021">
        <v>0</v>
      </c>
      <c r="R4021" t="s">
        <v>42676</v>
      </c>
      <c r="S4021" t="s">
        <v>42809</v>
      </c>
      <c r="T4021" t="s">
        <v>44394</v>
      </c>
      <c r="U4021" t="s">
        <v>48137</v>
      </c>
      <c r="W4021" t="s">
        <v>40289</v>
      </c>
      <c r="X4021" t="s">
        <v>42677</v>
      </c>
    </row>
    <row r="4022" spans="1:24">
      <c r="A4022">
        <f>HYPERLINK("https://www.philgeps.gov.ph/GEPSNONPILOT/Tender/SplashBidNoticeAbstractUI.aspx?menuIndex=3&amp;refID=7187271&amp;Result=3","7187271")</f>
        <v>0</v>
      </c>
      <c r="B4022" t="s">
        <v>820</v>
      </c>
      <c r="C4022" t="s">
        <v>7380</v>
      </c>
      <c r="D4022" t="s">
        <v>17165</v>
      </c>
      <c r="E4022" t="s">
        <v>20767</v>
      </c>
      <c r="F4022" t="s">
        <v>29372</v>
      </c>
      <c r="G4022" t="s">
        <v>29380</v>
      </c>
      <c r="H4022" t="s">
        <v>11048</v>
      </c>
      <c r="I4022" t="s">
        <v>8614</v>
      </c>
      <c r="J4022" t="s">
        <v>32222</v>
      </c>
      <c r="K4022" t="s">
        <v>38488</v>
      </c>
      <c r="M4022" t="s">
        <v>39606</v>
      </c>
      <c r="N4022" t="s">
        <v>42669</v>
      </c>
      <c r="O4022" t="s">
        <v>42670</v>
      </c>
      <c r="P4022">
        <v>0</v>
      </c>
      <c r="Q4022">
        <v>9</v>
      </c>
      <c r="R4022" t="s">
        <v>42676</v>
      </c>
      <c r="S4022" t="s">
        <v>42809</v>
      </c>
      <c r="T4022" t="s">
        <v>44504</v>
      </c>
      <c r="U4022" t="s">
        <v>48138</v>
      </c>
      <c r="W4022" t="s">
        <v>39606</v>
      </c>
      <c r="X4022" t="s">
        <v>42677</v>
      </c>
    </row>
    <row r="4023" spans="1:24">
      <c r="A4023">
        <f>HYPERLINK("https://www.philgeps.gov.ph/GEPSNONPILOT/Tender/SplashBidNoticeAbstractUI.aspx?menuIndex=3&amp;refID=7187261&amp;Result=3","7187261")</f>
        <v>0</v>
      </c>
      <c r="B4023" t="s">
        <v>1428</v>
      </c>
      <c r="C4023" t="s">
        <v>7381</v>
      </c>
      <c r="D4023" t="s">
        <v>17171</v>
      </c>
      <c r="E4023" t="s">
        <v>20768</v>
      </c>
      <c r="F4023" t="s">
        <v>29372</v>
      </c>
      <c r="G4023" t="s">
        <v>29379</v>
      </c>
      <c r="H4023" t="s">
        <v>11048</v>
      </c>
      <c r="I4023" t="s">
        <v>4709</v>
      </c>
      <c r="J4023" t="s">
        <v>29780</v>
      </c>
      <c r="K4023" t="s">
        <v>38488</v>
      </c>
      <c r="M4023" t="s">
        <v>40268</v>
      </c>
      <c r="N4023" t="s">
        <v>42669</v>
      </c>
      <c r="O4023" t="s">
        <v>42670</v>
      </c>
      <c r="P4023">
        <v>0</v>
      </c>
      <c r="Q4023">
        <v>4</v>
      </c>
      <c r="R4023" t="s">
        <v>42676</v>
      </c>
      <c r="S4023" t="s">
        <v>42809</v>
      </c>
      <c r="T4023" t="s">
        <v>44404</v>
      </c>
      <c r="U4023" t="s">
        <v>48054</v>
      </c>
      <c r="W4023" t="s">
        <v>40268</v>
      </c>
      <c r="X4023" t="s">
        <v>42677</v>
      </c>
    </row>
    <row r="4024" spans="1:24">
      <c r="A4024">
        <f>HYPERLINK("https://www.philgeps.gov.ph/GEPSNONPILOT/Tender/SplashBidNoticeAbstractUI.aspx?menuIndex=3&amp;refID=7187191&amp;Result=3","7187191")</f>
        <v>0</v>
      </c>
      <c r="B4024" t="s">
        <v>1439</v>
      </c>
      <c r="C4024" t="s">
        <v>7382</v>
      </c>
      <c r="D4024" t="s">
        <v>17149</v>
      </c>
      <c r="E4024" t="s">
        <v>20769</v>
      </c>
      <c r="F4024" t="s">
        <v>29372</v>
      </c>
      <c r="G4024" t="s">
        <v>29379</v>
      </c>
      <c r="H4024" t="s">
        <v>11048</v>
      </c>
      <c r="I4024" t="s">
        <v>10408</v>
      </c>
      <c r="J4024" t="s">
        <v>32223</v>
      </c>
      <c r="K4024" t="s">
        <v>38485</v>
      </c>
      <c r="M4024" t="s">
        <v>40280</v>
      </c>
      <c r="N4024" t="s">
        <v>42669</v>
      </c>
      <c r="O4024" t="s">
        <v>42670</v>
      </c>
      <c r="P4024">
        <v>0</v>
      </c>
      <c r="Q4024">
        <v>1</v>
      </c>
      <c r="R4024" t="s">
        <v>42676</v>
      </c>
      <c r="S4024" t="s">
        <v>42809</v>
      </c>
      <c r="T4024" t="s">
        <v>44417</v>
      </c>
      <c r="U4024" t="s">
        <v>48139</v>
      </c>
      <c r="W4024" t="s">
        <v>40280</v>
      </c>
      <c r="X4024" t="s">
        <v>42677</v>
      </c>
    </row>
    <row r="4025" spans="1:24">
      <c r="A4025">
        <f>HYPERLINK("https://www.philgeps.gov.ph/GEPSNONPILOT/Tender/SplashBidNoticeAbstractUI.aspx?menuIndex=3&amp;refID=7187269&amp;Result=3","7187269")</f>
        <v>0</v>
      </c>
      <c r="B4025" t="s">
        <v>1436</v>
      </c>
      <c r="C4025" t="s">
        <v>7383</v>
      </c>
      <c r="D4025" t="s">
        <v>17163</v>
      </c>
      <c r="E4025" t="s">
        <v>20770</v>
      </c>
      <c r="F4025" t="s">
        <v>29372</v>
      </c>
      <c r="G4025" t="s">
        <v>29383</v>
      </c>
      <c r="H4025" t="s">
        <v>11048</v>
      </c>
      <c r="I4025" t="s">
        <v>29407</v>
      </c>
      <c r="J4025" t="s">
        <v>32224</v>
      </c>
      <c r="K4025" t="s">
        <v>38491</v>
      </c>
      <c r="M4025" t="s">
        <v>40277</v>
      </c>
      <c r="N4025" t="s">
        <v>42669</v>
      </c>
      <c r="O4025" t="s">
        <v>42670</v>
      </c>
      <c r="P4025">
        <v>0</v>
      </c>
      <c r="Q4025">
        <v>3</v>
      </c>
      <c r="R4025" t="s">
        <v>42676</v>
      </c>
      <c r="S4025" t="s">
        <v>42809</v>
      </c>
      <c r="T4025" t="s">
        <v>44491</v>
      </c>
      <c r="U4025" t="s">
        <v>48140</v>
      </c>
      <c r="W4025" t="s">
        <v>40277</v>
      </c>
      <c r="X4025" t="s">
        <v>42677</v>
      </c>
    </row>
    <row r="4026" spans="1:24">
      <c r="A4026">
        <f>HYPERLINK("https://www.philgeps.gov.ph/GEPSNONPILOT/Tender/SplashBidNoticeAbstractUI.aspx?menuIndex=3&amp;refID=7187268&amp;Result=3","7187268")</f>
        <v>0</v>
      </c>
      <c r="B4026" t="s">
        <v>1467</v>
      </c>
      <c r="C4026" t="s">
        <v>7384</v>
      </c>
      <c r="D4026" t="s">
        <v>17170</v>
      </c>
      <c r="E4026" t="s">
        <v>20771</v>
      </c>
      <c r="F4026" t="s">
        <v>29372</v>
      </c>
      <c r="G4026" t="s">
        <v>29379</v>
      </c>
      <c r="H4026" t="s">
        <v>11048</v>
      </c>
      <c r="I4026" t="s">
        <v>5383</v>
      </c>
      <c r="J4026" t="s">
        <v>32225</v>
      </c>
      <c r="K4026" t="s">
        <v>38530</v>
      </c>
      <c r="M4026" t="s">
        <v>40310</v>
      </c>
      <c r="N4026" t="s">
        <v>42669</v>
      </c>
      <c r="O4026" t="s">
        <v>42670</v>
      </c>
      <c r="P4026">
        <v>0</v>
      </c>
      <c r="Q4026">
        <v>3</v>
      </c>
      <c r="R4026" t="s">
        <v>42676</v>
      </c>
      <c r="S4026" t="s">
        <v>42809</v>
      </c>
      <c r="T4026" t="s">
        <v>44566</v>
      </c>
      <c r="U4026" t="s">
        <v>48141</v>
      </c>
      <c r="V4026" t="s">
        <v>56768</v>
      </c>
      <c r="W4026" t="s">
        <v>40310</v>
      </c>
      <c r="X4026" t="s">
        <v>42677</v>
      </c>
    </row>
    <row r="4027" spans="1:24">
      <c r="A4027">
        <f>HYPERLINK("https://www.philgeps.gov.ph/GEPSNONPILOT/Tender/SplashBidNoticeAbstractUI.aspx?menuIndex=3&amp;refID=7187265&amp;Result=3","7187265")</f>
        <v>0</v>
      </c>
      <c r="B4027" t="s">
        <v>1468</v>
      </c>
      <c r="C4027" t="s">
        <v>7385</v>
      </c>
      <c r="E4027" t="s">
        <v>20772</v>
      </c>
      <c r="F4027" t="s">
        <v>29372</v>
      </c>
      <c r="G4027" t="s">
        <v>29380</v>
      </c>
      <c r="H4027" t="s">
        <v>29389</v>
      </c>
      <c r="I4027" t="s">
        <v>10408</v>
      </c>
      <c r="J4027" t="s">
        <v>32226</v>
      </c>
      <c r="K4027" t="s">
        <v>38518</v>
      </c>
      <c r="M4027" t="s">
        <v>40311</v>
      </c>
      <c r="N4027" t="s">
        <v>42669</v>
      </c>
      <c r="O4027" t="s">
        <v>42670</v>
      </c>
      <c r="P4027">
        <v>0</v>
      </c>
      <c r="Q4027">
        <v>1</v>
      </c>
      <c r="R4027" t="s">
        <v>42676</v>
      </c>
      <c r="S4027" t="s">
        <v>42809</v>
      </c>
      <c r="T4027" t="s">
        <v>44384</v>
      </c>
      <c r="U4027" t="s">
        <v>48142</v>
      </c>
      <c r="W4027" t="s">
        <v>40311</v>
      </c>
      <c r="X4027" t="s">
        <v>42677</v>
      </c>
    </row>
    <row r="4028" spans="1:24">
      <c r="A4028">
        <f>HYPERLINK("https://www.philgeps.gov.ph/GEPSNONPILOT/Tender/SplashBidNoticeAbstractUI.aspx?menuIndex=3&amp;refID=7187243&amp;Result=3","7187243")</f>
        <v>0</v>
      </c>
      <c r="B4028" t="s">
        <v>902</v>
      </c>
      <c r="C4028" t="s">
        <v>7386</v>
      </c>
      <c r="D4028" t="s">
        <v>17205</v>
      </c>
      <c r="E4028" t="s">
        <v>20773</v>
      </c>
      <c r="F4028" t="s">
        <v>29372</v>
      </c>
      <c r="G4028" t="s">
        <v>29379</v>
      </c>
      <c r="H4028" t="s">
        <v>11048</v>
      </c>
      <c r="I4028" t="s">
        <v>3629</v>
      </c>
      <c r="J4028" t="s">
        <v>32227</v>
      </c>
      <c r="K4028" t="s">
        <v>38490</v>
      </c>
      <c r="M4028" t="s">
        <v>39695</v>
      </c>
      <c r="N4028" t="s">
        <v>42669</v>
      </c>
      <c r="O4028" t="s">
        <v>42670</v>
      </c>
      <c r="P4028">
        <v>0</v>
      </c>
      <c r="Q4028">
        <v>0</v>
      </c>
      <c r="R4028" t="s">
        <v>42676</v>
      </c>
      <c r="S4028" t="s">
        <v>42809</v>
      </c>
      <c r="T4028" t="s">
        <v>44512</v>
      </c>
      <c r="U4028" t="s">
        <v>48143</v>
      </c>
      <c r="W4028" t="s">
        <v>39695</v>
      </c>
      <c r="X4028" t="s">
        <v>42677</v>
      </c>
    </row>
    <row r="4029" spans="1:24">
      <c r="A4029">
        <f>HYPERLINK("https://www.philgeps.gov.ph/GEPSNONPILOT/Tender/SplashBidNoticeAbstractUI.aspx?menuIndex=3&amp;refID=7187240&amp;Result=3","7187240")</f>
        <v>0</v>
      </c>
      <c r="B4029" t="s">
        <v>1469</v>
      </c>
      <c r="C4029" t="s">
        <v>7387</v>
      </c>
      <c r="D4029" t="s">
        <v>17154</v>
      </c>
      <c r="E4029" t="s">
        <v>20774</v>
      </c>
      <c r="F4029" t="s">
        <v>29372</v>
      </c>
      <c r="G4029" t="s">
        <v>29379</v>
      </c>
      <c r="H4029" t="s">
        <v>11048</v>
      </c>
      <c r="I4029" t="s">
        <v>3952</v>
      </c>
      <c r="J4029" t="s">
        <v>32228</v>
      </c>
      <c r="K4029" t="s">
        <v>38489</v>
      </c>
      <c r="M4029" t="s">
        <v>40312</v>
      </c>
      <c r="N4029" t="s">
        <v>42669</v>
      </c>
      <c r="O4029" t="s">
        <v>42670</v>
      </c>
      <c r="P4029">
        <v>0</v>
      </c>
      <c r="Q4029">
        <v>7</v>
      </c>
      <c r="R4029" t="s">
        <v>42676</v>
      </c>
      <c r="S4029" t="s">
        <v>42809</v>
      </c>
      <c r="T4029" t="s">
        <v>44386</v>
      </c>
      <c r="U4029" t="s">
        <v>48144</v>
      </c>
      <c r="W4029" t="s">
        <v>40312</v>
      </c>
      <c r="X4029" t="s">
        <v>42677</v>
      </c>
    </row>
    <row r="4030" spans="1:24">
      <c r="A4030">
        <f>HYPERLINK("https://www.philgeps.gov.ph/GEPSNONPILOT/Tender/SplashBidNoticeAbstractUI.aspx?menuIndex=3&amp;refID=7187262&amp;Result=3","7187262")</f>
        <v>0</v>
      </c>
      <c r="B4030" t="s">
        <v>671</v>
      </c>
      <c r="C4030" t="s">
        <v>7388</v>
      </c>
      <c r="E4030" t="s">
        <v>20775</v>
      </c>
      <c r="F4030" t="s">
        <v>29372</v>
      </c>
      <c r="G4030" t="s">
        <v>29379</v>
      </c>
      <c r="H4030" t="s">
        <v>11048</v>
      </c>
      <c r="I4030" t="s">
        <v>29468</v>
      </c>
      <c r="J4030" t="s">
        <v>32229</v>
      </c>
      <c r="K4030" t="s">
        <v>38490</v>
      </c>
      <c r="M4030" t="s">
        <v>39447</v>
      </c>
      <c r="N4030" t="s">
        <v>42669</v>
      </c>
      <c r="O4030" t="s">
        <v>42670</v>
      </c>
      <c r="P4030">
        <v>0</v>
      </c>
      <c r="Q4030">
        <v>0</v>
      </c>
      <c r="R4030" t="s">
        <v>42676</v>
      </c>
      <c r="S4030" t="s">
        <v>42809</v>
      </c>
      <c r="T4030" t="s">
        <v>44427</v>
      </c>
      <c r="U4030" t="s">
        <v>48145</v>
      </c>
      <c r="W4030" t="s">
        <v>39447</v>
      </c>
      <c r="X4030" t="s">
        <v>42677</v>
      </c>
    </row>
    <row r="4031" spans="1:24">
      <c r="A4031">
        <f>HYPERLINK("https://www.philgeps.gov.ph/GEPSNONPILOT/Tender/SplashBidNoticeAbstractUI.aspx?menuIndex=3&amp;refID=7187267&amp;Result=3","7187267")</f>
        <v>0</v>
      </c>
      <c r="B4031" t="s">
        <v>1470</v>
      </c>
      <c r="C4031" t="s">
        <v>7389</v>
      </c>
      <c r="D4031" t="s">
        <v>17153</v>
      </c>
      <c r="E4031" t="s">
        <v>20776</v>
      </c>
      <c r="F4031" t="s">
        <v>29372</v>
      </c>
      <c r="G4031" t="s">
        <v>29380</v>
      </c>
      <c r="H4031" t="s">
        <v>11048</v>
      </c>
      <c r="I4031" t="s">
        <v>8208</v>
      </c>
      <c r="J4031" t="s">
        <v>29555</v>
      </c>
      <c r="K4031" t="s">
        <v>38485</v>
      </c>
      <c r="M4031" t="s">
        <v>40313</v>
      </c>
      <c r="N4031" t="s">
        <v>42669</v>
      </c>
      <c r="O4031" t="s">
        <v>42670</v>
      </c>
      <c r="P4031">
        <v>0</v>
      </c>
      <c r="Q4031">
        <v>0</v>
      </c>
      <c r="R4031" t="s">
        <v>42676</v>
      </c>
      <c r="S4031" t="s">
        <v>42809</v>
      </c>
      <c r="T4031" t="s">
        <v>44443</v>
      </c>
      <c r="U4031" t="s">
        <v>48146</v>
      </c>
      <c r="V4031" t="s">
        <v>56769</v>
      </c>
      <c r="W4031" t="s">
        <v>40313</v>
      </c>
      <c r="X4031" t="s">
        <v>42677</v>
      </c>
    </row>
    <row r="4032" spans="1:24">
      <c r="A4032">
        <f>HYPERLINK("https://www.philgeps.gov.ph/GEPSNONPILOT/Tender/SplashBidNoticeAbstractUI.aspx?menuIndex=3&amp;refID=7187239&amp;Result=3","7187239")</f>
        <v>0</v>
      </c>
      <c r="B4032" t="s">
        <v>1452</v>
      </c>
      <c r="C4032" t="s">
        <v>7390</v>
      </c>
      <c r="E4032" t="s">
        <v>20777</v>
      </c>
      <c r="F4032" t="s">
        <v>29372</v>
      </c>
      <c r="G4032" t="s">
        <v>29379</v>
      </c>
      <c r="H4032" t="s">
        <v>11048</v>
      </c>
      <c r="I4032" t="s">
        <v>29435</v>
      </c>
      <c r="J4032" t="s">
        <v>32230</v>
      </c>
      <c r="K4032" t="s">
        <v>38490</v>
      </c>
      <c r="M4032" t="s">
        <v>40294</v>
      </c>
      <c r="N4032" t="s">
        <v>42669</v>
      </c>
      <c r="O4032" t="s">
        <v>42670</v>
      </c>
      <c r="P4032">
        <v>0</v>
      </c>
      <c r="Q4032">
        <v>0</v>
      </c>
      <c r="R4032" t="s">
        <v>42676</v>
      </c>
      <c r="S4032" t="s">
        <v>42809</v>
      </c>
      <c r="T4032" t="s">
        <v>44432</v>
      </c>
      <c r="U4032" t="s">
        <v>48105</v>
      </c>
      <c r="W4032" t="s">
        <v>40294</v>
      </c>
      <c r="X4032" t="s">
        <v>42677</v>
      </c>
    </row>
    <row r="4033" spans="1:24">
      <c r="A4033">
        <f>HYPERLINK("https://www.philgeps.gov.ph/GEPSNONPILOT/Tender/SplashBidNoticeAbstractUI.aspx?menuIndex=3&amp;refID=7187242&amp;Result=3","7187242")</f>
        <v>0</v>
      </c>
      <c r="B4033" t="s">
        <v>684</v>
      </c>
      <c r="C4033" t="s">
        <v>7391</v>
      </c>
      <c r="D4033" t="s">
        <v>17188</v>
      </c>
      <c r="E4033" t="s">
        <v>20778</v>
      </c>
      <c r="F4033" t="s">
        <v>29372</v>
      </c>
      <c r="G4033" t="s">
        <v>29379</v>
      </c>
      <c r="H4033" t="s">
        <v>29390</v>
      </c>
      <c r="I4033" t="s">
        <v>8208</v>
      </c>
      <c r="J4033" t="s">
        <v>30585</v>
      </c>
      <c r="K4033" t="s">
        <v>38528</v>
      </c>
      <c r="M4033" t="s">
        <v>39779</v>
      </c>
      <c r="N4033" t="s">
        <v>42669</v>
      </c>
      <c r="O4033" t="s">
        <v>42670</v>
      </c>
      <c r="P4033">
        <v>0</v>
      </c>
      <c r="Q4033">
        <v>0</v>
      </c>
      <c r="R4033" t="s">
        <v>42676</v>
      </c>
      <c r="S4033" t="s">
        <v>42809</v>
      </c>
      <c r="T4033" t="s">
        <v>44432</v>
      </c>
      <c r="U4033" t="s">
        <v>48147</v>
      </c>
      <c r="V4033" t="s">
        <v>45789</v>
      </c>
      <c r="W4033" t="s">
        <v>39779</v>
      </c>
      <c r="X4033" t="s">
        <v>42677</v>
      </c>
    </row>
    <row r="4034" spans="1:24">
      <c r="A4034">
        <f>HYPERLINK("https://www.philgeps.gov.ph/GEPSNONPILOT/Tender/SplashBidNoticeAbstractUI.aspx?menuIndex=3&amp;refID=7187195&amp;Result=3","7187195")</f>
        <v>0</v>
      </c>
      <c r="B4034" t="s">
        <v>1471</v>
      </c>
      <c r="C4034" t="s">
        <v>7392</v>
      </c>
      <c r="D4034" t="s">
        <v>17158</v>
      </c>
      <c r="E4034" t="s">
        <v>20779</v>
      </c>
      <c r="F4034" t="s">
        <v>29372</v>
      </c>
      <c r="G4034" t="s">
        <v>29380</v>
      </c>
      <c r="H4034" t="s">
        <v>11048</v>
      </c>
      <c r="I4034" t="s">
        <v>29407</v>
      </c>
      <c r="J4034" t="s">
        <v>32231</v>
      </c>
      <c r="K4034" t="s">
        <v>38488</v>
      </c>
      <c r="M4034" t="s">
        <v>40314</v>
      </c>
      <c r="N4034" t="s">
        <v>42669</v>
      </c>
      <c r="O4034" t="s">
        <v>42670</v>
      </c>
      <c r="P4034">
        <v>0</v>
      </c>
      <c r="Q4034">
        <v>2</v>
      </c>
      <c r="R4034" t="s">
        <v>42676</v>
      </c>
      <c r="S4034" t="s">
        <v>42809</v>
      </c>
      <c r="T4034" t="s">
        <v>44470</v>
      </c>
      <c r="U4034" t="s">
        <v>48148</v>
      </c>
      <c r="W4034" t="s">
        <v>40314</v>
      </c>
      <c r="X4034" t="s">
        <v>42677</v>
      </c>
    </row>
    <row r="4035" spans="1:24">
      <c r="A4035">
        <f>HYPERLINK("https://www.philgeps.gov.ph/GEPSNONPILOT/Tender/SplashBidNoticeAbstractUI.aspx?menuIndex=3&amp;refID=7187275&amp;Result=3","7187275")</f>
        <v>0</v>
      </c>
      <c r="B4035" t="s">
        <v>902</v>
      </c>
      <c r="C4035" t="s">
        <v>7393</v>
      </c>
      <c r="D4035" t="s">
        <v>17205</v>
      </c>
      <c r="E4035" t="s">
        <v>20780</v>
      </c>
      <c r="F4035" t="s">
        <v>29372</v>
      </c>
      <c r="G4035" t="s">
        <v>29379</v>
      </c>
      <c r="H4035" t="s">
        <v>11048</v>
      </c>
      <c r="I4035" t="s">
        <v>3629</v>
      </c>
      <c r="J4035" t="s">
        <v>32232</v>
      </c>
      <c r="K4035" t="s">
        <v>38490</v>
      </c>
      <c r="M4035" t="s">
        <v>39695</v>
      </c>
      <c r="N4035" t="s">
        <v>42669</v>
      </c>
      <c r="O4035" t="s">
        <v>42670</v>
      </c>
      <c r="P4035">
        <v>0</v>
      </c>
      <c r="Q4035">
        <v>1</v>
      </c>
      <c r="R4035" t="s">
        <v>42676</v>
      </c>
      <c r="S4035" t="s">
        <v>42809</v>
      </c>
      <c r="T4035" t="s">
        <v>44512</v>
      </c>
      <c r="U4035" t="s">
        <v>48149</v>
      </c>
      <c r="W4035" t="s">
        <v>39695</v>
      </c>
      <c r="X4035" t="s">
        <v>42677</v>
      </c>
    </row>
    <row r="4036" spans="1:24">
      <c r="A4036">
        <f>HYPERLINK("https://www.philgeps.gov.ph/GEPSNONPILOT/Tender/SplashBidNoticeAbstractUI.aspx?menuIndex=3&amp;refID=7187291&amp;Result=3","7187291")</f>
        <v>0</v>
      </c>
      <c r="B4036" t="s">
        <v>1162</v>
      </c>
      <c r="C4036" t="s">
        <v>7394</v>
      </c>
      <c r="D4036" t="s">
        <v>17180</v>
      </c>
      <c r="E4036" t="s">
        <v>20781</v>
      </c>
      <c r="F4036" t="s">
        <v>29372</v>
      </c>
      <c r="G4036" t="s">
        <v>29379</v>
      </c>
      <c r="H4036" t="s">
        <v>11048</v>
      </c>
      <c r="I4036" t="s">
        <v>4486</v>
      </c>
      <c r="J4036" t="s">
        <v>32233</v>
      </c>
      <c r="K4036" t="s">
        <v>38490</v>
      </c>
      <c r="M4036" t="s">
        <v>39977</v>
      </c>
      <c r="N4036" t="s">
        <v>42669</v>
      </c>
      <c r="O4036" t="s">
        <v>42670</v>
      </c>
      <c r="P4036">
        <v>0</v>
      </c>
      <c r="Q4036">
        <v>1</v>
      </c>
      <c r="R4036" t="s">
        <v>42676</v>
      </c>
      <c r="S4036" t="s">
        <v>42809</v>
      </c>
      <c r="T4036" t="s">
        <v>44401</v>
      </c>
      <c r="U4036" t="s">
        <v>47363</v>
      </c>
      <c r="W4036" t="s">
        <v>39977</v>
      </c>
      <c r="X4036" t="s">
        <v>42677</v>
      </c>
    </row>
    <row r="4037" spans="1:24">
      <c r="A4037">
        <f>HYPERLINK("https://www.philgeps.gov.ph/GEPSNONPILOT/Tender/SplashBidNoticeAbstractUI.aspx?menuIndex=3&amp;refID=7187284&amp;Result=3","7187284")</f>
        <v>0</v>
      </c>
      <c r="B4037" t="s">
        <v>1472</v>
      </c>
      <c r="C4037" t="s">
        <v>3816</v>
      </c>
      <c r="D4037" t="s">
        <v>17170</v>
      </c>
      <c r="E4037" t="s">
        <v>20782</v>
      </c>
      <c r="F4037" t="s">
        <v>29372</v>
      </c>
      <c r="G4037" t="s">
        <v>29382</v>
      </c>
      <c r="H4037" t="s">
        <v>11048</v>
      </c>
      <c r="I4037" t="s">
        <v>4487</v>
      </c>
      <c r="J4037" t="s">
        <v>32234</v>
      </c>
      <c r="K4037" t="s">
        <v>38491</v>
      </c>
      <c r="M4037" t="s">
        <v>40315</v>
      </c>
      <c r="N4037" t="s">
        <v>42669</v>
      </c>
      <c r="O4037" t="s">
        <v>42670</v>
      </c>
      <c r="P4037">
        <v>0</v>
      </c>
      <c r="Q4037">
        <v>6</v>
      </c>
      <c r="R4037" t="s">
        <v>42676</v>
      </c>
      <c r="S4037" t="s">
        <v>42809</v>
      </c>
      <c r="T4037" t="s">
        <v>44427</v>
      </c>
      <c r="U4037" t="s">
        <v>48150</v>
      </c>
      <c r="W4037" t="s">
        <v>40315</v>
      </c>
      <c r="X4037" t="s">
        <v>42677</v>
      </c>
    </row>
    <row r="4038" spans="1:24">
      <c r="A4038">
        <f>HYPERLINK("https://www.philgeps.gov.ph/GEPSNONPILOT/Tender/SplashBidNoticeAbstractUI.aspx?menuIndex=3&amp;refID=7187282&amp;Result=3","7187282")</f>
        <v>0</v>
      </c>
      <c r="B4038" t="s">
        <v>196</v>
      </c>
      <c r="C4038" t="s">
        <v>7395</v>
      </c>
      <c r="D4038" t="s">
        <v>17166</v>
      </c>
      <c r="E4038" t="s">
        <v>20783</v>
      </c>
      <c r="F4038" t="s">
        <v>29372</v>
      </c>
      <c r="G4038" t="s">
        <v>29379</v>
      </c>
      <c r="H4038" t="s">
        <v>11048</v>
      </c>
      <c r="I4038" t="s">
        <v>3629</v>
      </c>
      <c r="J4038" t="s">
        <v>32235</v>
      </c>
      <c r="K4038" t="s">
        <v>38488</v>
      </c>
      <c r="M4038" t="s">
        <v>38953</v>
      </c>
      <c r="N4038" t="s">
        <v>42669</v>
      </c>
      <c r="O4038" t="s">
        <v>42670</v>
      </c>
      <c r="P4038">
        <v>0</v>
      </c>
      <c r="Q4038">
        <v>0</v>
      </c>
      <c r="R4038" t="s">
        <v>42676</v>
      </c>
      <c r="S4038" t="s">
        <v>42809</v>
      </c>
      <c r="T4038" t="s">
        <v>44488</v>
      </c>
      <c r="U4038" t="s">
        <v>45266</v>
      </c>
      <c r="W4038" t="s">
        <v>42173</v>
      </c>
      <c r="X4038" t="s">
        <v>42677</v>
      </c>
    </row>
    <row r="4039" spans="1:24">
      <c r="A4039">
        <f>HYPERLINK("https://www.philgeps.gov.ph/GEPSNONPILOT/Tender/SplashBidNoticeAbstractUI.aspx?menuIndex=3&amp;refID=7187281&amp;Result=3","7187281")</f>
        <v>0</v>
      </c>
      <c r="B4039" t="s">
        <v>1421</v>
      </c>
      <c r="C4039" t="s">
        <v>7396</v>
      </c>
      <c r="D4039" t="s">
        <v>17158</v>
      </c>
      <c r="E4039" t="s">
        <v>20784</v>
      </c>
      <c r="F4039" t="s">
        <v>29372</v>
      </c>
      <c r="G4039" t="s">
        <v>29380</v>
      </c>
      <c r="H4039" t="s">
        <v>29389</v>
      </c>
      <c r="I4039" t="s">
        <v>10408</v>
      </c>
      <c r="J4039" t="s">
        <v>29619</v>
      </c>
      <c r="K4039" t="s">
        <v>38508</v>
      </c>
      <c r="M4039" t="s">
        <v>40260</v>
      </c>
      <c r="N4039" t="s">
        <v>42669</v>
      </c>
      <c r="O4039" t="s">
        <v>42670</v>
      </c>
      <c r="P4039">
        <v>0</v>
      </c>
      <c r="Q4039">
        <v>0</v>
      </c>
      <c r="R4039" t="s">
        <v>42676</v>
      </c>
      <c r="S4039" t="s">
        <v>42809</v>
      </c>
      <c r="T4039" t="s">
        <v>44379</v>
      </c>
      <c r="U4039" t="s">
        <v>48151</v>
      </c>
      <c r="W4039" t="s">
        <v>40260</v>
      </c>
      <c r="X4039" t="s">
        <v>42677</v>
      </c>
    </row>
    <row r="4040" spans="1:24">
      <c r="A4040">
        <f>HYPERLINK("https://www.philgeps.gov.ph/GEPSNONPILOT/Tender/SplashBidNoticeAbstractUI.aspx?menuIndex=3&amp;refID=7187279&amp;Result=3","7187279")</f>
        <v>0</v>
      </c>
      <c r="B4040" t="s">
        <v>1473</v>
      </c>
      <c r="C4040" t="s">
        <v>7397</v>
      </c>
      <c r="D4040" t="s">
        <v>17205</v>
      </c>
      <c r="E4040" t="s">
        <v>20785</v>
      </c>
      <c r="F4040" t="s">
        <v>29372</v>
      </c>
      <c r="G4040" t="s">
        <v>29380</v>
      </c>
      <c r="H4040" t="s">
        <v>11048</v>
      </c>
      <c r="I4040" t="s">
        <v>4709</v>
      </c>
      <c r="J4040" t="s">
        <v>32236</v>
      </c>
      <c r="K4040" t="s">
        <v>38510</v>
      </c>
      <c r="M4040" t="s">
        <v>40316</v>
      </c>
      <c r="N4040" t="s">
        <v>42669</v>
      </c>
      <c r="O4040" t="s">
        <v>42670</v>
      </c>
      <c r="P4040">
        <v>0</v>
      </c>
      <c r="Q4040">
        <v>7</v>
      </c>
      <c r="R4040" t="s">
        <v>42676</v>
      </c>
      <c r="S4040" t="s">
        <v>42809</v>
      </c>
      <c r="T4040" t="s">
        <v>44382</v>
      </c>
      <c r="U4040" t="s">
        <v>48152</v>
      </c>
      <c r="W4040" t="s">
        <v>40316</v>
      </c>
      <c r="X4040" t="s">
        <v>42677</v>
      </c>
    </row>
    <row r="4041" spans="1:24">
      <c r="A4041">
        <f>HYPERLINK("https://www.philgeps.gov.ph/GEPSNONPILOT/Tender/SplashBidNoticeAbstractUI.aspx?menuIndex=3&amp;refID=7187290&amp;Result=3","7187290")</f>
        <v>0</v>
      </c>
      <c r="B4041" t="s">
        <v>1452</v>
      </c>
      <c r="C4041" t="s">
        <v>7398</v>
      </c>
      <c r="E4041" t="s">
        <v>20786</v>
      </c>
      <c r="F4041" t="s">
        <v>29372</v>
      </c>
      <c r="G4041" t="s">
        <v>29379</v>
      </c>
      <c r="H4041" t="s">
        <v>11048</v>
      </c>
      <c r="I4041" t="s">
        <v>29435</v>
      </c>
      <c r="J4041" t="s">
        <v>32237</v>
      </c>
      <c r="K4041" t="s">
        <v>38490</v>
      </c>
      <c r="M4041" t="s">
        <v>40294</v>
      </c>
      <c r="N4041" t="s">
        <v>42669</v>
      </c>
      <c r="O4041" t="s">
        <v>42670</v>
      </c>
      <c r="P4041">
        <v>0</v>
      </c>
      <c r="Q4041">
        <v>0</v>
      </c>
      <c r="R4041" t="s">
        <v>42676</v>
      </c>
      <c r="S4041" t="s">
        <v>42809</v>
      </c>
      <c r="T4041" t="s">
        <v>44432</v>
      </c>
      <c r="U4041" t="s">
        <v>48105</v>
      </c>
      <c r="W4041" t="s">
        <v>40294</v>
      </c>
      <c r="X4041" t="s">
        <v>42677</v>
      </c>
    </row>
    <row r="4042" spans="1:24">
      <c r="A4042">
        <f>HYPERLINK("https://www.philgeps.gov.ph/GEPSNONPILOT/Tender/SplashBidNoticeAbstractUI.aspx?menuIndex=3&amp;refID=7187286&amp;Result=3","7187286")</f>
        <v>0</v>
      </c>
      <c r="B4042" t="s">
        <v>1474</v>
      </c>
      <c r="C4042" t="s">
        <v>7399</v>
      </c>
      <c r="D4042" t="s">
        <v>17186</v>
      </c>
      <c r="E4042" t="s">
        <v>18595</v>
      </c>
      <c r="F4042" t="s">
        <v>29372</v>
      </c>
      <c r="G4042" t="s">
        <v>29379</v>
      </c>
      <c r="H4042" t="s">
        <v>11048</v>
      </c>
      <c r="I4042" t="s">
        <v>3670</v>
      </c>
      <c r="J4042" t="s">
        <v>29587</v>
      </c>
      <c r="K4042" t="s">
        <v>38489</v>
      </c>
      <c r="M4042" t="s">
        <v>40317</v>
      </c>
      <c r="N4042" t="s">
        <v>42669</v>
      </c>
      <c r="O4042" t="s">
        <v>42670</v>
      </c>
      <c r="P4042">
        <v>0</v>
      </c>
      <c r="Q4042">
        <v>5</v>
      </c>
      <c r="R4042" t="s">
        <v>42676</v>
      </c>
      <c r="S4042" t="s">
        <v>42809</v>
      </c>
      <c r="T4042" t="s">
        <v>44425</v>
      </c>
      <c r="U4042" t="s">
        <v>48153</v>
      </c>
      <c r="W4042" t="s">
        <v>40317</v>
      </c>
      <c r="X4042" t="s">
        <v>42677</v>
      </c>
    </row>
    <row r="4043" spans="1:24">
      <c r="A4043">
        <f>HYPERLINK("https://www.philgeps.gov.ph/GEPSNONPILOT/Tender/SplashBidNoticeAbstractUI.aspx?menuIndex=3&amp;refID=7187278&amp;Result=3","7187278")</f>
        <v>0</v>
      </c>
      <c r="B4043" t="s">
        <v>1475</v>
      </c>
      <c r="C4043" t="s">
        <v>4289</v>
      </c>
      <c r="D4043" t="s">
        <v>17146</v>
      </c>
      <c r="E4043" t="s">
        <v>20787</v>
      </c>
      <c r="F4043" t="s">
        <v>29372</v>
      </c>
      <c r="G4043" t="s">
        <v>29380</v>
      </c>
      <c r="H4043" t="s">
        <v>11048</v>
      </c>
      <c r="I4043" t="s">
        <v>4709</v>
      </c>
      <c r="J4043" t="s">
        <v>32238</v>
      </c>
      <c r="K4043" t="s">
        <v>38485</v>
      </c>
      <c r="M4043" t="s">
        <v>40318</v>
      </c>
      <c r="N4043" t="s">
        <v>42669</v>
      </c>
      <c r="O4043" t="s">
        <v>42670</v>
      </c>
      <c r="P4043">
        <v>0</v>
      </c>
      <c r="Q4043">
        <v>0</v>
      </c>
      <c r="R4043" t="s">
        <v>42676</v>
      </c>
      <c r="S4043" t="s">
        <v>42809</v>
      </c>
      <c r="T4043" t="s">
        <v>44409</v>
      </c>
      <c r="U4043" t="s">
        <v>48154</v>
      </c>
      <c r="W4043" t="s">
        <v>40318</v>
      </c>
      <c r="X4043" t="s">
        <v>42677</v>
      </c>
    </row>
    <row r="4044" spans="1:24">
      <c r="A4044">
        <f>HYPERLINK("https://www.philgeps.gov.ph/GEPSNONPILOT/Tender/SplashBidNoticeAbstractUI.aspx?menuIndex=3&amp;refID=7187298&amp;Result=3","7187298")</f>
        <v>0</v>
      </c>
      <c r="B4044" t="s">
        <v>586</v>
      </c>
      <c r="C4044" t="s">
        <v>7400</v>
      </c>
      <c r="D4044" t="s">
        <v>17161</v>
      </c>
      <c r="E4044" t="s">
        <v>20788</v>
      </c>
      <c r="F4044" t="s">
        <v>29372</v>
      </c>
      <c r="G4044" t="s">
        <v>29383</v>
      </c>
      <c r="H4044" t="s">
        <v>11048</v>
      </c>
      <c r="I4044" t="s">
        <v>5383</v>
      </c>
      <c r="J4044" t="s">
        <v>32239</v>
      </c>
      <c r="K4044" t="s">
        <v>38490</v>
      </c>
      <c r="M4044" t="s">
        <v>39355</v>
      </c>
      <c r="N4044" t="s">
        <v>42669</v>
      </c>
      <c r="O4044" t="s">
        <v>42670</v>
      </c>
      <c r="P4044">
        <v>0</v>
      </c>
      <c r="Q4044">
        <v>1</v>
      </c>
      <c r="R4044" t="s">
        <v>42676</v>
      </c>
      <c r="S4044" t="s">
        <v>42809</v>
      </c>
      <c r="T4044" t="s">
        <v>44488</v>
      </c>
      <c r="U4044" t="s">
        <v>48155</v>
      </c>
      <c r="W4044" t="s">
        <v>39355</v>
      </c>
      <c r="X4044" t="s">
        <v>42677</v>
      </c>
    </row>
    <row r="4045" spans="1:24">
      <c r="A4045">
        <f>HYPERLINK("https://www.philgeps.gov.ph/GEPSNONPILOT/Tender/SplashBidNoticeAbstractUI.aspx?menuIndex=3&amp;refID=7187309&amp;Result=3","7187309")</f>
        <v>0</v>
      </c>
      <c r="B4045" t="s">
        <v>586</v>
      </c>
      <c r="C4045" t="s">
        <v>7401</v>
      </c>
      <c r="D4045" t="s">
        <v>17161</v>
      </c>
      <c r="E4045" t="s">
        <v>20789</v>
      </c>
      <c r="F4045" t="s">
        <v>29372</v>
      </c>
      <c r="G4045" t="s">
        <v>29383</v>
      </c>
      <c r="H4045" t="s">
        <v>11048</v>
      </c>
      <c r="I4045" t="s">
        <v>3670</v>
      </c>
      <c r="J4045" t="s">
        <v>30540</v>
      </c>
      <c r="K4045" t="s">
        <v>38490</v>
      </c>
      <c r="M4045" t="s">
        <v>39355</v>
      </c>
      <c r="N4045" t="s">
        <v>42669</v>
      </c>
      <c r="O4045" t="s">
        <v>42670</v>
      </c>
      <c r="P4045">
        <v>0</v>
      </c>
      <c r="Q4045">
        <v>0</v>
      </c>
      <c r="R4045" t="s">
        <v>42676</v>
      </c>
      <c r="S4045" t="s">
        <v>42809</v>
      </c>
      <c r="T4045" t="s">
        <v>44488</v>
      </c>
      <c r="U4045" t="s">
        <v>48156</v>
      </c>
      <c r="W4045" t="s">
        <v>39355</v>
      </c>
      <c r="X4045" t="s">
        <v>42677</v>
      </c>
    </row>
    <row r="4046" spans="1:24">
      <c r="A4046">
        <f>HYPERLINK("https://www.philgeps.gov.ph/GEPSNONPILOT/Tender/SplashBidNoticeAbstractUI.aspx?menuIndex=3&amp;refID=7187307&amp;Result=3","7187307")</f>
        <v>0</v>
      </c>
      <c r="B4046" t="s">
        <v>679</v>
      </c>
      <c r="C4046" t="s">
        <v>7402</v>
      </c>
      <c r="D4046" t="s">
        <v>17175</v>
      </c>
      <c r="E4046" t="s">
        <v>20790</v>
      </c>
      <c r="F4046" t="s">
        <v>29372</v>
      </c>
      <c r="G4046" t="s">
        <v>29380</v>
      </c>
      <c r="H4046" t="s">
        <v>11048</v>
      </c>
      <c r="I4046" t="s">
        <v>5383</v>
      </c>
      <c r="J4046" t="s">
        <v>32240</v>
      </c>
      <c r="K4046" t="s">
        <v>38510</v>
      </c>
      <c r="M4046" t="s">
        <v>39455</v>
      </c>
      <c r="N4046" t="s">
        <v>42669</v>
      </c>
      <c r="O4046" t="s">
        <v>42670</v>
      </c>
      <c r="P4046">
        <v>0</v>
      </c>
      <c r="Q4046">
        <v>0</v>
      </c>
      <c r="R4046" t="s">
        <v>42676</v>
      </c>
      <c r="S4046" t="s">
        <v>42809</v>
      </c>
      <c r="T4046" t="s">
        <v>44361</v>
      </c>
      <c r="U4046" t="s">
        <v>48157</v>
      </c>
      <c r="W4046" t="s">
        <v>39455</v>
      </c>
      <c r="X4046" t="s">
        <v>42677</v>
      </c>
    </row>
    <row r="4047" spans="1:24">
      <c r="A4047">
        <f>HYPERLINK("https://www.philgeps.gov.ph/GEPSNONPILOT/Tender/SplashBidNoticeAbstractUI.aspx?menuIndex=3&amp;refID=7187314&amp;Result=3","7187314")</f>
        <v>0</v>
      </c>
      <c r="B4047" t="s">
        <v>1476</v>
      </c>
      <c r="C4047" t="s">
        <v>7403</v>
      </c>
      <c r="D4047" t="s">
        <v>17153</v>
      </c>
      <c r="E4047" t="s">
        <v>20791</v>
      </c>
      <c r="F4047" t="s">
        <v>29372</v>
      </c>
      <c r="G4047" t="s">
        <v>29380</v>
      </c>
      <c r="H4047" t="s">
        <v>11048</v>
      </c>
      <c r="I4047" t="s">
        <v>29400</v>
      </c>
      <c r="J4047" t="s">
        <v>29973</v>
      </c>
      <c r="K4047" t="s">
        <v>38487</v>
      </c>
      <c r="M4047" t="s">
        <v>40319</v>
      </c>
      <c r="N4047" t="s">
        <v>42669</v>
      </c>
      <c r="O4047" t="s">
        <v>42670</v>
      </c>
      <c r="P4047">
        <v>0</v>
      </c>
      <c r="Q4047">
        <v>8</v>
      </c>
      <c r="R4047" t="s">
        <v>42676</v>
      </c>
      <c r="S4047" t="s">
        <v>42809</v>
      </c>
      <c r="T4047" t="s">
        <v>44542</v>
      </c>
      <c r="U4047" t="s">
        <v>48158</v>
      </c>
      <c r="V4047" t="s">
        <v>56770</v>
      </c>
      <c r="W4047" t="s">
        <v>40319</v>
      </c>
      <c r="X4047" t="s">
        <v>42677</v>
      </c>
    </row>
    <row r="4048" spans="1:24">
      <c r="A4048">
        <f>HYPERLINK("https://www.philgeps.gov.ph/GEPSNONPILOT/Tender/SplashBidNoticeAbstractUI.aspx?menuIndex=3&amp;refID=7187300&amp;Result=3","7187300")</f>
        <v>0</v>
      </c>
      <c r="B4048" t="s">
        <v>902</v>
      </c>
      <c r="C4048" t="s">
        <v>7404</v>
      </c>
      <c r="D4048" t="s">
        <v>17205</v>
      </c>
      <c r="E4048" t="s">
        <v>20792</v>
      </c>
      <c r="F4048" t="s">
        <v>29372</v>
      </c>
      <c r="G4048" t="s">
        <v>29379</v>
      </c>
      <c r="H4048" t="s">
        <v>11048</v>
      </c>
      <c r="I4048" t="s">
        <v>3629</v>
      </c>
      <c r="J4048" t="s">
        <v>32232</v>
      </c>
      <c r="K4048" t="s">
        <v>38490</v>
      </c>
      <c r="M4048" t="s">
        <v>39695</v>
      </c>
      <c r="N4048" t="s">
        <v>42669</v>
      </c>
      <c r="O4048" t="s">
        <v>42670</v>
      </c>
      <c r="P4048">
        <v>0</v>
      </c>
      <c r="Q4048">
        <v>0</v>
      </c>
      <c r="R4048" t="s">
        <v>42676</v>
      </c>
      <c r="S4048" t="s">
        <v>42809</v>
      </c>
      <c r="T4048" t="s">
        <v>44512</v>
      </c>
      <c r="U4048" t="s">
        <v>48149</v>
      </c>
      <c r="W4048" t="s">
        <v>39695</v>
      </c>
      <c r="X4048" t="s">
        <v>42677</v>
      </c>
    </row>
    <row r="4049" spans="1:24">
      <c r="A4049">
        <f>HYPERLINK("https://www.philgeps.gov.ph/GEPSNONPILOT/Tender/SplashBidNoticeAbstractUI.aspx?menuIndex=3&amp;refID=7187341&amp;Result=3","7187341")</f>
        <v>0</v>
      </c>
      <c r="B4049" t="s">
        <v>1477</v>
      </c>
      <c r="C4049" t="s">
        <v>7405</v>
      </c>
      <c r="D4049" t="s">
        <v>17181</v>
      </c>
      <c r="E4049" t="s">
        <v>17994</v>
      </c>
      <c r="F4049" t="s">
        <v>29372</v>
      </c>
      <c r="G4049" t="s">
        <v>29380</v>
      </c>
      <c r="H4049" t="s">
        <v>11048</v>
      </c>
      <c r="I4049" t="s">
        <v>29442</v>
      </c>
      <c r="J4049" t="s">
        <v>29708</v>
      </c>
      <c r="K4049" t="s">
        <v>38485</v>
      </c>
      <c r="M4049" t="s">
        <v>40320</v>
      </c>
      <c r="N4049" t="s">
        <v>42669</v>
      </c>
      <c r="O4049" t="s">
        <v>42670</v>
      </c>
      <c r="P4049">
        <v>0</v>
      </c>
      <c r="Q4049">
        <v>7</v>
      </c>
      <c r="R4049" t="s">
        <v>42676</v>
      </c>
      <c r="S4049" t="s">
        <v>42809</v>
      </c>
      <c r="T4049" t="s">
        <v>44649</v>
      </c>
      <c r="U4049" t="s">
        <v>48159</v>
      </c>
      <c r="W4049" t="s">
        <v>40320</v>
      </c>
      <c r="X4049" t="s">
        <v>42677</v>
      </c>
    </row>
    <row r="4050" spans="1:24">
      <c r="A4050">
        <f>HYPERLINK("https://www.philgeps.gov.ph/GEPSNONPILOT/Tender/SplashBidNoticeAbstractUI.aspx?menuIndex=3&amp;refID=7187296&amp;Result=3","7187296")</f>
        <v>0</v>
      </c>
      <c r="B4050" t="s">
        <v>196</v>
      </c>
      <c r="C4050" t="s">
        <v>7406</v>
      </c>
      <c r="D4050" t="s">
        <v>17166</v>
      </c>
      <c r="E4050" t="s">
        <v>20793</v>
      </c>
      <c r="F4050" t="s">
        <v>29372</v>
      </c>
      <c r="G4050" t="s">
        <v>29379</v>
      </c>
      <c r="H4050" t="s">
        <v>11048</v>
      </c>
      <c r="I4050" t="s">
        <v>3629</v>
      </c>
      <c r="J4050" t="s">
        <v>32241</v>
      </c>
      <c r="K4050" t="s">
        <v>38488</v>
      </c>
      <c r="M4050" t="s">
        <v>38953</v>
      </c>
      <c r="N4050" t="s">
        <v>42669</v>
      </c>
      <c r="O4050" t="s">
        <v>42670</v>
      </c>
      <c r="P4050">
        <v>0</v>
      </c>
      <c r="Q4050">
        <v>0</v>
      </c>
      <c r="R4050" t="s">
        <v>42676</v>
      </c>
      <c r="S4050" t="s">
        <v>42809</v>
      </c>
      <c r="T4050" t="s">
        <v>44488</v>
      </c>
      <c r="U4050" t="s">
        <v>45266</v>
      </c>
      <c r="W4050" t="s">
        <v>42173</v>
      </c>
      <c r="X4050" t="s">
        <v>42677</v>
      </c>
    </row>
    <row r="4051" spans="1:24">
      <c r="A4051">
        <f>HYPERLINK("https://www.philgeps.gov.ph/GEPSNONPILOT/Tender/SplashBidNoticeAbstractUI.aspx?menuIndex=3&amp;refID=7187340&amp;Result=3","7187340")</f>
        <v>0</v>
      </c>
      <c r="B4051" t="s">
        <v>1478</v>
      </c>
      <c r="C4051" t="s">
        <v>7407</v>
      </c>
      <c r="D4051" t="s">
        <v>17143</v>
      </c>
      <c r="E4051" t="s">
        <v>20794</v>
      </c>
      <c r="F4051" t="s">
        <v>29372</v>
      </c>
      <c r="G4051" t="s">
        <v>29383</v>
      </c>
      <c r="H4051" t="s">
        <v>11048</v>
      </c>
      <c r="I4051" t="s">
        <v>29398</v>
      </c>
      <c r="J4051" t="s">
        <v>29625</v>
      </c>
      <c r="K4051" t="s">
        <v>38485</v>
      </c>
      <c r="M4051" t="s">
        <v>40321</v>
      </c>
      <c r="N4051" t="s">
        <v>42669</v>
      </c>
      <c r="O4051" t="s">
        <v>42670</v>
      </c>
      <c r="P4051">
        <v>0</v>
      </c>
      <c r="Q4051">
        <v>4</v>
      </c>
      <c r="R4051" t="s">
        <v>42676</v>
      </c>
      <c r="S4051" t="s">
        <v>42809</v>
      </c>
      <c r="T4051" t="s">
        <v>44371</v>
      </c>
      <c r="U4051" t="s">
        <v>48160</v>
      </c>
      <c r="W4051" t="s">
        <v>40321</v>
      </c>
      <c r="X4051" t="s">
        <v>42677</v>
      </c>
    </row>
    <row r="4052" spans="1:24">
      <c r="A4052">
        <f>HYPERLINK("https://www.philgeps.gov.ph/GEPSNONPILOT/Tender/SplashBidNoticeAbstractUI.aspx?menuIndex=3&amp;refID=7187312&amp;Result=3","7187312")</f>
        <v>0</v>
      </c>
      <c r="B4052" t="s">
        <v>1400</v>
      </c>
      <c r="C4052" t="s">
        <v>7408</v>
      </c>
      <c r="D4052" t="s">
        <v>17141</v>
      </c>
      <c r="E4052" t="s">
        <v>20795</v>
      </c>
      <c r="F4052" t="s">
        <v>29372</v>
      </c>
      <c r="G4052" t="s">
        <v>29383</v>
      </c>
      <c r="H4052" t="s">
        <v>11048</v>
      </c>
      <c r="I4052" t="s">
        <v>8614</v>
      </c>
      <c r="J4052" t="s">
        <v>29604</v>
      </c>
      <c r="K4052" t="s">
        <v>38485</v>
      </c>
      <c r="M4052" t="s">
        <v>40239</v>
      </c>
      <c r="N4052" t="s">
        <v>42669</v>
      </c>
      <c r="O4052" t="s">
        <v>42670</v>
      </c>
      <c r="P4052">
        <v>0</v>
      </c>
      <c r="Q4052">
        <v>7</v>
      </c>
      <c r="R4052" t="s">
        <v>42676</v>
      </c>
      <c r="S4052" t="s">
        <v>42809</v>
      </c>
      <c r="T4052" t="s">
        <v>44371</v>
      </c>
      <c r="U4052" t="s">
        <v>48161</v>
      </c>
      <c r="W4052" t="s">
        <v>40239</v>
      </c>
      <c r="X4052" t="s">
        <v>42677</v>
      </c>
    </row>
    <row r="4053" spans="1:24">
      <c r="A4053">
        <f>HYPERLINK("https://www.philgeps.gov.ph/GEPSNONPILOT/Tender/SplashBidNoticeAbstractUI.aspx?menuIndex=3&amp;refID=7187303&amp;Result=3","7187303")</f>
        <v>0</v>
      </c>
      <c r="B4053" t="s">
        <v>1472</v>
      </c>
      <c r="C4053" t="s">
        <v>3816</v>
      </c>
      <c r="D4053" t="s">
        <v>17170</v>
      </c>
      <c r="E4053" t="s">
        <v>20796</v>
      </c>
      <c r="F4053" t="s">
        <v>29372</v>
      </c>
      <c r="G4053" t="s">
        <v>29382</v>
      </c>
      <c r="H4053" t="s">
        <v>11048</v>
      </c>
      <c r="I4053" t="s">
        <v>4487</v>
      </c>
      <c r="J4053" t="s">
        <v>32242</v>
      </c>
      <c r="K4053" t="s">
        <v>38491</v>
      </c>
      <c r="M4053" t="s">
        <v>40315</v>
      </c>
      <c r="N4053" t="s">
        <v>42669</v>
      </c>
      <c r="O4053" t="s">
        <v>42670</v>
      </c>
      <c r="P4053">
        <v>0</v>
      </c>
      <c r="Q4053">
        <v>7</v>
      </c>
      <c r="R4053" t="s">
        <v>42676</v>
      </c>
      <c r="S4053" t="s">
        <v>42809</v>
      </c>
      <c r="T4053" t="s">
        <v>44427</v>
      </c>
      <c r="U4053" t="s">
        <v>48150</v>
      </c>
      <c r="W4053" t="s">
        <v>40315</v>
      </c>
      <c r="X4053" t="s">
        <v>42677</v>
      </c>
    </row>
    <row r="4054" spans="1:24">
      <c r="A4054">
        <f>HYPERLINK("https://www.philgeps.gov.ph/GEPSNONPILOT/Tender/SplashBidNoticeAbstractUI.aspx?menuIndex=3&amp;refID=7187332&amp;Result=3","7187332")</f>
        <v>0</v>
      </c>
      <c r="B4054" t="s">
        <v>1479</v>
      </c>
      <c r="C4054" t="s">
        <v>7409</v>
      </c>
      <c r="D4054" t="s">
        <v>17156</v>
      </c>
      <c r="E4054" t="s">
        <v>20797</v>
      </c>
      <c r="F4054" t="s">
        <v>29372</v>
      </c>
      <c r="G4054" t="s">
        <v>29380</v>
      </c>
      <c r="H4054" t="s">
        <v>29389</v>
      </c>
      <c r="I4054" t="s">
        <v>10408</v>
      </c>
      <c r="J4054" t="s">
        <v>32243</v>
      </c>
      <c r="K4054" t="s">
        <v>38495</v>
      </c>
      <c r="M4054" t="s">
        <v>40322</v>
      </c>
      <c r="N4054" t="s">
        <v>42669</v>
      </c>
      <c r="O4054" t="s">
        <v>42670</v>
      </c>
      <c r="P4054">
        <v>0</v>
      </c>
      <c r="Q4054">
        <v>0</v>
      </c>
      <c r="R4054" t="s">
        <v>42676</v>
      </c>
      <c r="S4054" t="s">
        <v>42809</v>
      </c>
      <c r="T4054" t="s">
        <v>44376</v>
      </c>
      <c r="U4054" t="s">
        <v>48162</v>
      </c>
      <c r="V4054" t="s">
        <v>56771</v>
      </c>
      <c r="W4054" t="s">
        <v>40322</v>
      </c>
      <c r="X4054" t="s">
        <v>42677</v>
      </c>
    </row>
    <row r="4055" spans="1:24">
      <c r="A4055">
        <f>HYPERLINK("https://www.philgeps.gov.ph/GEPSNONPILOT/Tender/SplashBidNoticeAbstractUI.aspx?menuIndex=3&amp;refID=7187330&amp;Result=3","7187330")</f>
        <v>0</v>
      </c>
      <c r="B4055" t="s">
        <v>1184</v>
      </c>
      <c r="C4055" t="s">
        <v>6553</v>
      </c>
      <c r="D4055" t="s">
        <v>17205</v>
      </c>
      <c r="E4055" t="s">
        <v>20798</v>
      </c>
      <c r="F4055" t="s">
        <v>29372</v>
      </c>
      <c r="G4055" t="s">
        <v>29379</v>
      </c>
      <c r="H4055" t="s">
        <v>11048</v>
      </c>
      <c r="I4055" t="s">
        <v>3670</v>
      </c>
      <c r="J4055" t="s">
        <v>32244</v>
      </c>
      <c r="K4055" t="s">
        <v>38488</v>
      </c>
      <c r="M4055" t="s">
        <v>40000</v>
      </c>
      <c r="N4055" t="s">
        <v>42669</v>
      </c>
      <c r="O4055" t="s">
        <v>42670</v>
      </c>
      <c r="P4055">
        <v>0</v>
      </c>
      <c r="Q4055">
        <v>9</v>
      </c>
      <c r="R4055" t="s">
        <v>42676</v>
      </c>
      <c r="S4055" t="s">
        <v>42809</v>
      </c>
      <c r="T4055" t="s">
        <v>44429</v>
      </c>
      <c r="U4055" t="s">
        <v>47445</v>
      </c>
      <c r="W4055" t="s">
        <v>40000</v>
      </c>
      <c r="X4055" t="s">
        <v>42677</v>
      </c>
    </row>
    <row r="4056" spans="1:24">
      <c r="A4056">
        <f>HYPERLINK("https://www.philgeps.gov.ph/GEPSNONPILOT/Tender/SplashBidNoticeAbstractUI.aspx?menuIndex=3&amp;refID=7187355&amp;Result=3","7187355")</f>
        <v>0</v>
      </c>
      <c r="B4056" t="s">
        <v>898</v>
      </c>
      <c r="C4056" t="s">
        <v>7410</v>
      </c>
      <c r="D4056" t="s">
        <v>17142</v>
      </c>
      <c r="E4056" t="s">
        <v>20799</v>
      </c>
      <c r="F4056" t="s">
        <v>29372</v>
      </c>
      <c r="G4056" t="s">
        <v>29379</v>
      </c>
      <c r="H4056" t="s">
        <v>11048</v>
      </c>
      <c r="I4056" t="s">
        <v>3670</v>
      </c>
      <c r="J4056" t="s">
        <v>32245</v>
      </c>
      <c r="K4056" t="s">
        <v>38490</v>
      </c>
      <c r="M4056" t="s">
        <v>39691</v>
      </c>
      <c r="N4056" t="s">
        <v>42669</v>
      </c>
      <c r="O4056" t="s">
        <v>42670</v>
      </c>
      <c r="P4056">
        <v>0</v>
      </c>
      <c r="Q4056">
        <v>0</v>
      </c>
      <c r="R4056" t="s">
        <v>42676</v>
      </c>
      <c r="S4056" t="s">
        <v>42809</v>
      </c>
      <c r="T4056" t="s">
        <v>44417</v>
      </c>
      <c r="U4056" t="s">
        <v>48163</v>
      </c>
      <c r="V4056" t="s">
        <v>56576</v>
      </c>
      <c r="W4056" t="s">
        <v>39691</v>
      </c>
      <c r="X4056" t="s">
        <v>42677</v>
      </c>
    </row>
    <row r="4057" spans="1:24">
      <c r="A4057">
        <f>HYPERLINK("https://www.philgeps.gov.ph/GEPSNONPILOT/Tender/SplashBidNoticeAbstractUI.aspx?menuIndex=3&amp;refID=7187310&amp;Result=3","7187310")</f>
        <v>0</v>
      </c>
      <c r="B4057" t="s">
        <v>562</v>
      </c>
      <c r="C4057" t="s">
        <v>7411</v>
      </c>
      <c r="D4057" t="s">
        <v>17141</v>
      </c>
      <c r="E4057" t="s">
        <v>20800</v>
      </c>
      <c r="F4057" t="s">
        <v>29372</v>
      </c>
      <c r="G4057" t="s">
        <v>29379</v>
      </c>
      <c r="H4057" t="s">
        <v>11048</v>
      </c>
      <c r="I4057" t="s">
        <v>9642</v>
      </c>
      <c r="J4057" t="s">
        <v>32246</v>
      </c>
      <c r="K4057" t="s">
        <v>38491</v>
      </c>
      <c r="M4057" t="s">
        <v>39331</v>
      </c>
      <c r="N4057" t="s">
        <v>42669</v>
      </c>
      <c r="O4057" t="s">
        <v>42670</v>
      </c>
      <c r="P4057">
        <v>0</v>
      </c>
      <c r="Q4057">
        <v>8</v>
      </c>
      <c r="R4057" t="s">
        <v>42676</v>
      </c>
      <c r="S4057" t="s">
        <v>42809</v>
      </c>
      <c r="T4057" t="s">
        <v>44489</v>
      </c>
      <c r="U4057" t="s">
        <v>48164</v>
      </c>
      <c r="W4057" t="s">
        <v>39331</v>
      </c>
      <c r="X4057" t="s">
        <v>42677</v>
      </c>
    </row>
    <row r="4058" spans="1:24">
      <c r="A4058">
        <f>HYPERLINK("https://www.philgeps.gov.ph/GEPSNONPILOT/Tender/SplashBidNoticeAbstractUI.aspx?menuIndex=3&amp;refID=7187354&amp;Result=3","7187354")</f>
        <v>0</v>
      </c>
      <c r="B4058" t="s">
        <v>669</v>
      </c>
      <c r="C4058" t="s">
        <v>7412</v>
      </c>
      <c r="D4058" t="s">
        <v>17147</v>
      </c>
      <c r="E4058" t="s">
        <v>20801</v>
      </c>
      <c r="F4058" t="s">
        <v>29372</v>
      </c>
      <c r="G4058" t="s">
        <v>29381</v>
      </c>
      <c r="H4058" t="s">
        <v>11048</v>
      </c>
      <c r="I4058" t="s">
        <v>8614</v>
      </c>
      <c r="J4058" t="s">
        <v>31276</v>
      </c>
      <c r="K4058" t="s">
        <v>38488</v>
      </c>
      <c r="M4058" t="s">
        <v>39445</v>
      </c>
      <c r="N4058" t="s">
        <v>42669</v>
      </c>
      <c r="O4058" t="s">
        <v>42670</v>
      </c>
      <c r="P4058">
        <v>0</v>
      </c>
      <c r="Q4058">
        <v>0</v>
      </c>
      <c r="R4058" t="s">
        <v>42676</v>
      </c>
      <c r="S4058" t="s">
        <v>42809</v>
      </c>
      <c r="T4058" t="s">
        <v>44580</v>
      </c>
      <c r="U4058" t="s">
        <v>48165</v>
      </c>
      <c r="V4058" t="s">
        <v>56531</v>
      </c>
      <c r="W4058" t="s">
        <v>39445</v>
      </c>
      <c r="X4058" t="s">
        <v>42677</v>
      </c>
    </row>
    <row r="4059" spans="1:24">
      <c r="A4059">
        <f>HYPERLINK("https://www.philgeps.gov.ph/GEPSNONPILOT/Tender/SplashBidNoticeAbstractUI.aspx?menuIndex=3&amp;refID=7187339&amp;Result=3","7187339")</f>
        <v>0</v>
      </c>
      <c r="B4059" t="s">
        <v>586</v>
      </c>
      <c r="C4059" t="s">
        <v>7413</v>
      </c>
      <c r="D4059" t="s">
        <v>17161</v>
      </c>
      <c r="E4059" t="s">
        <v>20802</v>
      </c>
      <c r="F4059" t="s">
        <v>29372</v>
      </c>
      <c r="G4059" t="s">
        <v>29379</v>
      </c>
      <c r="H4059" t="s">
        <v>11048</v>
      </c>
      <c r="I4059" t="s">
        <v>29393</v>
      </c>
      <c r="J4059" t="s">
        <v>32247</v>
      </c>
      <c r="K4059" t="s">
        <v>38490</v>
      </c>
      <c r="M4059" t="s">
        <v>39355</v>
      </c>
      <c r="N4059" t="s">
        <v>42669</v>
      </c>
      <c r="O4059" t="s">
        <v>42670</v>
      </c>
      <c r="P4059">
        <v>0</v>
      </c>
      <c r="Q4059">
        <v>0</v>
      </c>
      <c r="R4059" t="s">
        <v>42676</v>
      </c>
      <c r="S4059" t="s">
        <v>42809</v>
      </c>
      <c r="T4059" t="s">
        <v>44488</v>
      </c>
      <c r="U4059" t="s">
        <v>48166</v>
      </c>
      <c r="W4059" t="s">
        <v>39355</v>
      </c>
      <c r="X4059" t="s">
        <v>42677</v>
      </c>
    </row>
    <row r="4060" spans="1:24">
      <c r="A4060">
        <f>HYPERLINK("https://www.philgeps.gov.ph/GEPSNONPILOT/Tender/SplashBidNoticeAbstractUI.aspx?menuIndex=3&amp;refID=7187336&amp;Result=3","7187336")</f>
        <v>0</v>
      </c>
      <c r="B4060" t="s">
        <v>1435</v>
      </c>
      <c r="C4060" t="s">
        <v>7414</v>
      </c>
      <c r="D4060" t="s">
        <v>17194</v>
      </c>
      <c r="E4060" t="s">
        <v>18800</v>
      </c>
      <c r="F4060" t="s">
        <v>29375</v>
      </c>
      <c r="G4060" t="s">
        <v>29380</v>
      </c>
      <c r="H4060" t="s">
        <v>11048</v>
      </c>
      <c r="I4060" t="s">
        <v>4486</v>
      </c>
      <c r="J4060" t="s">
        <v>30206</v>
      </c>
      <c r="K4060" t="s">
        <v>38491</v>
      </c>
      <c r="M4060" t="s">
        <v>40275</v>
      </c>
      <c r="N4060" t="s">
        <v>42669</v>
      </c>
      <c r="O4060" t="s">
        <v>42670</v>
      </c>
      <c r="P4060">
        <v>0</v>
      </c>
      <c r="Q4060">
        <v>1</v>
      </c>
      <c r="R4060" t="s">
        <v>42676</v>
      </c>
      <c r="S4060" t="s">
        <v>42809</v>
      </c>
      <c r="T4060" t="s">
        <v>44474</v>
      </c>
      <c r="U4060" t="s">
        <v>48167</v>
      </c>
      <c r="W4060" t="s">
        <v>40275</v>
      </c>
      <c r="X4060" t="s">
        <v>42677</v>
      </c>
    </row>
    <row r="4061" spans="1:24">
      <c r="A4061">
        <f>HYPERLINK("https://www.philgeps.gov.ph/GEPSNONPILOT/Tender/SplashBidNoticeAbstractUI.aspx?menuIndex=3&amp;refID=7187348&amp;Result=3","7187348")</f>
        <v>0</v>
      </c>
      <c r="B4061" t="s">
        <v>855</v>
      </c>
      <c r="C4061" t="s">
        <v>7415</v>
      </c>
      <c r="D4061" t="s">
        <v>17170</v>
      </c>
      <c r="E4061" t="s">
        <v>20803</v>
      </c>
      <c r="F4061" t="s">
        <v>29372</v>
      </c>
      <c r="G4061" t="s">
        <v>29380</v>
      </c>
      <c r="H4061" t="s">
        <v>11048</v>
      </c>
      <c r="I4061" t="s">
        <v>29452</v>
      </c>
      <c r="J4061" t="s">
        <v>30087</v>
      </c>
      <c r="K4061" t="s">
        <v>38490</v>
      </c>
      <c r="M4061" t="s">
        <v>39645</v>
      </c>
      <c r="N4061" t="s">
        <v>42669</v>
      </c>
      <c r="O4061" t="s">
        <v>42670</v>
      </c>
      <c r="P4061">
        <v>0</v>
      </c>
      <c r="Q4061">
        <v>0</v>
      </c>
      <c r="R4061" t="s">
        <v>42676</v>
      </c>
      <c r="S4061" t="s">
        <v>42809</v>
      </c>
      <c r="T4061" t="s">
        <v>44399</v>
      </c>
      <c r="U4061" t="s">
        <v>48168</v>
      </c>
      <c r="W4061" t="s">
        <v>39645</v>
      </c>
      <c r="X4061" t="s">
        <v>42677</v>
      </c>
    </row>
    <row r="4062" spans="1:24">
      <c r="A4062">
        <f>HYPERLINK("https://www.philgeps.gov.ph/GEPSNONPILOT/Tender/SplashBidNoticeAbstractUI.aspx?menuIndex=3&amp;refID=7187346&amp;Result=3","7187346")</f>
        <v>0</v>
      </c>
      <c r="B4062" t="s">
        <v>1452</v>
      </c>
      <c r="C4062" t="s">
        <v>7416</v>
      </c>
      <c r="E4062" t="s">
        <v>20804</v>
      </c>
      <c r="F4062" t="s">
        <v>29372</v>
      </c>
      <c r="G4062" t="s">
        <v>29379</v>
      </c>
      <c r="H4062" t="s">
        <v>11048</v>
      </c>
      <c r="I4062" t="s">
        <v>29435</v>
      </c>
      <c r="J4062" t="s">
        <v>32248</v>
      </c>
      <c r="K4062" t="s">
        <v>38490</v>
      </c>
      <c r="M4062" t="s">
        <v>40294</v>
      </c>
      <c r="N4062" t="s">
        <v>42669</v>
      </c>
      <c r="O4062" t="s">
        <v>42670</v>
      </c>
      <c r="P4062">
        <v>0</v>
      </c>
      <c r="Q4062">
        <v>0</v>
      </c>
      <c r="R4062" t="s">
        <v>42676</v>
      </c>
      <c r="S4062" t="s">
        <v>42809</v>
      </c>
      <c r="T4062" t="s">
        <v>44432</v>
      </c>
      <c r="U4062" t="s">
        <v>48105</v>
      </c>
      <c r="W4062" t="s">
        <v>40294</v>
      </c>
      <c r="X4062" t="s">
        <v>42677</v>
      </c>
    </row>
    <row r="4063" spans="1:24">
      <c r="A4063">
        <f>HYPERLINK("https://www.philgeps.gov.ph/GEPSNONPILOT/Tender/SplashBidNoticeAbstractUI.aspx?menuIndex=3&amp;refID=7187316&amp;Result=3","7187316")</f>
        <v>0</v>
      </c>
      <c r="B4063" t="s">
        <v>1452</v>
      </c>
      <c r="C4063" t="s">
        <v>7417</v>
      </c>
      <c r="E4063" t="s">
        <v>20805</v>
      </c>
      <c r="F4063" t="s">
        <v>29372</v>
      </c>
      <c r="G4063" t="s">
        <v>29379</v>
      </c>
      <c r="H4063" t="s">
        <v>11048</v>
      </c>
      <c r="I4063" t="s">
        <v>29435</v>
      </c>
      <c r="J4063" t="s">
        <v>32248</v>
      </c>
      <c r="K4063" t="s">
        <v>38490</v>
      </c>
      <c r="M4063" t="s">
        <v>40294</v>
      </c>
      <c r="N4063" t="s">
        <v>42669</v>
      </c>
      <c r="O4063" t="s">
        <v>42670</v>
      </c>
      <c r="P4063">
        <v>0</v>
      </c>
      <c r="Q4063">
        <v>0</v>
      </c>
      <c r="R4063" t="s">
        <v>42676</v>
      </c>
      <c r="S4063" t="s">
        <v>42809</v>
      </c>
      <c r="T4063" t="s">
        <v>44432</v>
      </c>
      <c r="U4063" t="s">
        <v>48105</v>
      </c>
      <c r="W4063" t="s">
        <v>40294</v>
      </c>
      <c r="X4063" t="s">
        <v>42677</v>
      </c>
    </row>
    <row r="4064" spans="1:24">
      <c r="A4064">
        <f>HYPERLINK("https://www.philgeps.gov.ph/GEPSNONPILOT/Tender/SplashBidNoticeAbstractUI.aspx?menuIndex=3&amp;refID=7187327&amp;Result=3","7187327")</f>
        <v>0</v>
      </c>
      <c r="B4064" t="s">
        <v>1434</v>
      </c>
      <c r="C4064" t="s">
        <v>7418</v>
      </c>
      <c r="D4064" t="s">
        <v>17198</v>
      </c>
      <c r="E4064" t="s">
        <v>20806</v>
      </c>
      <c r="F4064" t="s">
        <v>29372</v>
      </c>
      <c r="G4064" t="s">
        <v>29379</v>
      </c>
      <c r="H4064" t="s">
        <v>11048</v>
      </c>
      <c r="I4064" t="s">
        <v>29403</v>
      </c>
      <c r="J4064" t="s">
        <v>32249</v>
      </c>
      <c r="K4064" t="s">
        <v>38491</v>
      </c>
      <c r="M4064" t="s">
        <v>40274</v>
      </c>
      <c r="N4064" t="s">
        <v>42669</v>
      </c>
      <c r="O4064" t="s">
        <v>42670</v>
      </c>
      <c r="P4064">
        <v>0</v>
      </c>
      <c r="Q4064">
        <v>0</v>
      </c>
      <c r="R4064" t="s">
        <v>42676</v>
      </c>
      <c r="S4064" t="s">
        <v>42809</v>
      </c>
      <c r="T4064" t="s">
        <v>44371</v>
      </c>
      <c r="U4064" t="s">
        <v>48064</v>
      </c>
      <c r="V4064" t="s">
        <v>56749</v>
      </c>
      <c r="W4064" t="s">
        <v>40274</v>
      </c>
      <c r="X4064" t="s">
        <v>42677</v>
      </c>
    </row>
    <row r="4065" spans="1:24">
      <c r="A4065">
        <f>HYPERLINK("https://www.philgeps.gov.ph/GEPSNONPILOT/Tender/SplashBidNoticeAbstractUI.aspx?menuIndex=3&amp;refID=7187322&amp;Result=3","7187322")</f>
        <v>0</v>
      </c>
      <c r="B4065" t="s">
        <v>1470</v>
      </c>
      <c r="C4065" t="s">
        <v>7419</v>
      </c>
      <c r="D4065" t="s">
        <v>17153</v>
      </c>
      <c r="E4065" t="s">
        <v>20807</v>
      </c>
      <c r="F4065" t="s">
        <v>29372</v>
      </c>
      <c r="G4065" t="s">
        <v>29380</v>
      </c>
      <c r="H4065" t="s">
        <v>11048</v>
      </c>
      <c r="I4065" t="s">
        <v>9469</v>
      </c>
      <c r="J4065" t="s">
        <v>32250</v>
      </c>
      <c r="K4065" t="s">
        <v>38495</v>
      </c>
      <c r="M4065" t="s">
        <v>40313</v>
      </c>
      <c r="N4065" t="s">
        <v>42669</v>
      </c>
      <c r="O4065" t="s">
        <v>42670</v>
      </c>
      <c r="P4065">
        <v>0</v>
      </c>
      <c r="Q4065">
        <v>4</v>
      </c>
      <c r="R4065" t="s">
        <v>42676</v>
      </c>
      <c r="S4065" t="s">
        <v>42809</v>
      </c>
      <c r="T4065" t="s">
        <v>44443</v>
      </c>
      <c r="U4065" t="s">
        <v>48146</v>
      </c>
      <c r="V4065" t="s">
        <v>56772</v>
      </c>
      <c r="W4065" t="s">
        <v>40313</v>
      </c>
      <c r="X4065" t="s">
        <v>42677</v>
      </c>
    </row>
    <row r="4066" spans="1:24">
      <c r="A4066">
        <f>HYPERLINK("https://www.philgeps.gov.ph/GEPSNONPILOT/Tender/SplashBidNoticeAbstractUI.aspx?menuIndex=3&amp;refID=7187350&amp;Result=3","7187350")</f>
        <v>0</v>
      </c>
      <c r="B4066" t="s">
        <v>196</v>
      </c>
      <c r="C4066" t="s">
        <v>7420</v>
      </c>
      <c r="D4066" t="s">
        <v>17166</v>
      </c>
      <c r="E4066" t="s">
        <v>20808</v>
      </c>
      <c r="F4066" t="s">
        <v>29372</v>
      </c>
      <c r="G4066" t="s">
        <v>29379</v>
      </c>
      <c r="H4066" t="s">
        <v>11048</v>
      </c>
      <c r="I4066" t="s">
        <v>3629</v>
      </c>
      <c r="J4066" t="s">
        <v>32251</v>
      </c>
      <c r="K4066" t="s">
        <v>38488</v>
      </c>
      <c r="M4066" t="s">
        <v>38953</v>
      </c>
      <c r="N4066" t="s">
        <v>42669</v>
      </c>
      <c r="O4066" t="s">
        <v>42670</v>
      </c>
      <c r="P4066">
        <v>0</v>
      </c>
      <c r="Q4066">
        <v>0</v>
      </c>
      <c r="R4066" t="s">
        <v>42676</v>
      </c>
      <c r="S4066" t="s">
        <v>42809</v>
      </c>
      <c r="T4066" t="s">
        <v>44488</v>
      </c>
      <c r="U4066" t="s">
        <v>45266</v>
      </c>
      <c r="W4066" t="s">
        <v>42173</v>
      </c>
      <c r="X4066" t="s">
        <v>42677</v>
      </c>
    </row>
    <row r="4067" spans="1:24">
      <c r="A4067">
        <f>HYPERLINK("https://www.philgeps.gov.ph/GEPSNONPILOT/Tender/SplashBidNoticeAbstractUI.aspx?menuIndex=3&amp;refID=7187347&amp;Result=3","7187347")</f>
        <v>0</v>
      </c>
      <c r="B4067" t="s">
        <v>1480</v>
      </c>
      <c r="C4067" t="s">
        <v>7421</v>
      </c>
      <c r="D4067" t="s">
        <v>17170</v>
      </c>
      <c r="E4067" t="s">
        <v>20809</v>
      </c>
      <c r="F4067" t="s">
        <v>29372</v>
      </c>
      <c r="G4067" t="s">
        <v>29380</v>
      </c>
      <c r="H4067" t="s">
        <v>29389</v>
      </c>
      <c r="I4067" t="s">
        <v>10408</v>
      </c>
      <c r="J4067" t="s">
        <v>29724</v>
      </c>
      <c r="K4067" t="s">
        <v>38627</v>
      </c>
      <c r="M4067" t="s">
        <v>40323</v>
      </c>
      <c r="N4067" t="s">
        <v>42669</v>
      </c>
      <c r="O4067" t="s">
        <v>42670</v>
      </c>
      <c r="P4067">
        <v>0</v>
      </c>
      <c r="Q4067">
        <v>0</v>
      </c>
      <c r="R4067" t="s">
        <v>42676</v>
      </c>
      <c r="S4067" t="s">
        <v>42809</v>
      </c>
      <c r="T4067" t="s">
        <v>44376</v>
      </c>
      <c r="U4067" t="s">
        <v>48169</v>
      </c>
      <c r="V4067" t="s">
        <v>56773</v>
      </c>
      <c r="W4067" t="s">
        <v>40323</v>
      </c>
      <c r="X4067" t="s">
        <v>42677</v>
      </c>
    </row>
    <row r="4068" spans="1:24">
      <c r="A4068">
        <f>HYPERLINK("https://www.philgeps.gov.ph/GEPSNONPILOT/Tender/SplashBidNoticeAbstractUI.aspx?menuIndex=3&amp;refID=7187324&amp;Result=3","7187324")</f>
        <v>0</v>
      </c>
      <c r="B4068" t="s">
        <v>196</v>
      </c>
      <c r="C4068" t="s">
        <v>7422</v>
      </c>
      <c r="D4068" t="s">
        <v>17166</v>
      </c>
      <c r="E4068" t="s">
        <v>20810</v>
      </c>
      <c r="F4068" t="s">
        <v>29372</v>
      </c>
      <c r="G4068" t="s">
        <v>29379</v>
      </c>
      <c r="H4068" t="s">
        <v>11048</v>
      </c>
      <c r="I4068" t="s">
        <v>3629</v>
      </c>
      <c r="J4068" t="s">
        <v>32252</v>
      </c>
      <c r="K4068" t="s">
        <v>38488</v>
      </c>
      <c r="M4068" t="s">
        <v>38953</v>
      </c>
      <c r="N4068" t="s">
        <v>42669</v>
      </c>
      <c r="O4068" t="s">
        <v>42670</v>
      </c>
      <c r="P4068">
        <v>0</v>
      </c>
      <c r="Q4068">
        <v>0</v>
      </c>
      <c r="R4068" t="s">
        <v>42676</v>
      </c>
      <c r="S4068" t="s">
        <v>42809</v>
      </c>
      <c r="T4068" t="s">
        <v>44488</v>
      </c>
      <c r="U4068" t="s">
        <v>45266</v>
      </c>
      <c r="W4068" t="s">
        <v>42173</v>
      </c>
      <c r="X4068" t="s">
        <v>42677</v>
      </c>
    </row>
    <row r="4069" spans="1:24">
      <c r="A4069">
        <f>HYPERLINK("https://www.philgeps.gov.ph/GEPSNONPILOT/Tender/SplashBidNoticeAbstractUI.aspx?menuIndex=3&amp;refID=7187299&amp;Result=3","7187299")</f>
        <v>0</v>
      </c>
      <c r="B4069" t="s">
        <v>1481</v>
      </c>
      <c r="C4069" t="s">
        <v>7423</v>
      </c>
      <c r="D4069" t="s">
        <v>17216</v>
      </c>
      <c r="E4069" t="s">
        <v>20811</v>
      </c>
      <c r="F4069" t="s">
        <v>29372</v>
      </c>
      <c r="G4069" t="s">
        <v>29380</v>
      </c>
      <c r="H4069" t="s">
        <v>29389</v>
      </c>
      <c r="I4069" t="s">
        <v>10408</v>
      </c>
      <c r="J4069" t="s">
        <v>29721</v>
      </c>
      <c r="K4069" t="s">
        <v>38515</v>
      </c>
      <c r="M4069" t="s">
        <v>40324</v>
      </c>
      <c r="N4069" t="s">
        <v>42669</v>
      </c>
      <c r="O4069" t="s">
        <v>42670</v>
      </c>
      <c r="P4069">
        <v>0</v>
      </c>
      <c r="Q4069">
        <v>0</v>
      </c>
      <c r="R4069" t="s">
        <v>42676</v>
      </c>
      <c r="S4069" t="s">
        <v>42809</v>
      </c>
      <c r="T4069" t="s">
        <v>44364</v>
      </c>
      <c r="U4069" t="s">
        <v>48170</v>
      </c>
      <c r="V4069" t="s">
        <v>56774</v>
      </c>
      <c r="W4069" t="s">
        <v>40324</v>
      </c>
      <c r="X4069" t="s">
        <v>42677</v>
      </c>
    </row>
    <row r="4070" spans="1:24">
      <c r="A4070">
        <f>HYPERLINK("https://www.philgeps.gov.ph/GEPSNONPILOT/Tender/SplashBidNoticeAbstractUI.aspx?menuIndex=3&amp;refID=7187317&amp;Result=3","7187317")</f>
        <v>0</v>
      </c>
      <c r="B4070" t="s">
        <v>1439</v>
      </c>
      <c r="C4070" t="s">
        <v>7424</v>
      </c>
      <c r="D4070" t="s">
        <v>17149</v>
      </c>
      <c r="E4070" t="s">
        <v>20812</v>
      </c>
      <c r="F4070" t="s">
        <v>29372</v>
      </c>
      <c r="G4070" t="s">
        <v>29379</v>
      </c>
      <c r="H4070" t="s">
        <v>11048</v>
      </c>
      <c r="I4070" t="s">
        <v>6417</v>
      </c>
      <c r="J4070" t="s">
        <v>32253</v>
      </c>
      <c r="K4070" t="s">
        <v>38485</v>
      </c>
      <c r="M4070" t="s">
        <v>40280</v>
      </c>
      <c r="N4070" t="s">
        <v>42669</v>
      </c>
      <c r="O4070" t="s">
        <v>42670</v>
      </c>
      <c r="P4070">
        <v>0</v>
      </c>
      <c r="Q4070">
        <v>1</v>
      </c>
      <c r="R4070" t="s">
        <v>42676</v>
      </c>
      <c r="S4070" t="s">
        <v>42809</v>
      </c>
      <c r="T4070" t="s">
        <v>44417</v>
      </c>
      <c r="U4070" t="s">
        <v>48171</v>
      </c>
      <c r="W4070" t="s">
        <v>40280</v>
      </c>
      <c r="X4070" t="s">
        <v>42677</v>
      </c>
    </row>
    <row r="4071" spans="1:24">
      <c r="A4071">
        <f>HYPERLINK("https://www.philgeps.gov.ph/GEPSNONPILOT/Tender/SplashBidNoticeAbstractUI.aspx?menuIndex=3&amp;refID=7187319&amp;Result=3","7187319")</f>
        <v>0</v>
      </c>
      <c r="B4071" t="s">
        <v>586</v>
      </c>
      <c r="C4071" t="s">
        <v>7425</v>
      </c>
      <c r="D4071" t="s">
        <v>17161</v>
      </c>
      <c r="E4071" t="s">
        <v>20813</v>
      </c>
      <c r="F4071" t="s">
        <v>29372</v>
      </c>
      <c r="G4071" t="s">
        <v>29383</v>
      </c>
      <c r="H4071" t="s">
        <v>11048</v>
      </c>
      <c r="I4071" t="s">
        <v>3695</v>
      </c>
      <c r="J4071" t="s">
        <v>32254</v>
      </c>
      <c r="K4071" t="s">
        <v>38490</v>
      </c>
      <c r="M4071" t="s">
        <v>39355</v>
      </c>
      <c r="N4071" t="s">
        <v>42669</v>
      </c>
      <c r="O4071" t="s">
        <v>42670</v>
      </c>
      <c r="P4071">
        <v>0</v>
      </c>
      <c r="Q4071">
        <v>3</v>
      </c>
      <c r="R4071" t="s">
        <v>42676</v>
      </c>
      <c r="S4071" t="s">
        <v>42809</v>
      </c>
      <c r="T4071" t="s">
        <v>44488</v>
      </c>
      <c r="U4071" t="s">
        <v>48172</v>
      </c>
      <c r="W4071" t="s">
        <v>39355</v>
      </c>
      <c r="X4071" t="s">
        <v>42677</v>
      </c>
    </row>
    <row r="4072" spans="1:24">
      <c r="A4072">
        <f>HYPERLINK("https://www.philgeps.gov.ph/GEPSNONPILOT/Tender/SplashBidNoticeAbstractUI.aspx?menuIndex=3&amp;refID=7187345&amp;Result=3","7187345")</f>
        <v>0</v>
      </c>
      <c r="B4072" t="s">
        <v>129</v>
      </c>
      <c r="C4072" t="s">
        <v>7426</v>
      </c>
      <c r="E4072" t="s">
        <v>20814</v>
      </c>
      <c r="F4072" t="s">
        <v>29372</v>
      </c>
      <c r="G4072" t="s">
        <v>29383</v>
      </c>
      <c r="H4072" t="s">
        <v>11048</v>
      </c>
      <c r="I4072" t="s">
        <v>29407</v>
      </c>
      <c r="J4072" t="s">
        <v>29804</v>
      </c>
      <c r="K4072" t="s">
        <v>38490</v>
      </c>
      <c r="M4072" t="s">
        <v>38884</v>
      </c>
      <c r="N4072" t="s">
        <v>42669</v>
      </c>
      <c r="O4072" t="s">
        <v>42670</v>
      </c>
      <c r="P4072">
        <v>0</v>
      </c>
      <c r="Q4072">
        <v>3</v>
      </c>
      <c r="R4072" t="s">
        <v>42676</v>
      </c>
      <c r="S4072" t="s">
        <v>42809</v>
      </c>
      <c r="T4072" t="s">
        <v>44417</v>
      </c>
      <c r="U4072" t="s">
        <v>48173</v>
      </c>
      <c r="W4072" t="s">
        <v>38884</v>
      </c>
      <c r="X4072" t="s">
        <v>42677</v>
      </c>
    </row>
    <row r="4073" spans="1:24">
      <c r="A4073">
        <f>HYPERLINK("https://www.philgeps.gov.ph/GEPSNONPILOT/Tender/SplashBidNoticeAbstractUI.aspx?menuIndex=3&amp;refID=7187288&amp;Result=3","7187288")</f>
        <v>0</v>
      </c>
      <c r="B4073" t="s">
        <v>1469</v>
      </c>
      <c r="C4073" t="s">
        <v>7427</v>
      </c>
      <c r="D4073" t="s">
        <v>17154</v>
      </c>
      <c r="E4073" t="s">
        <v>20815</v>
      </c>
      <c r="F4073" t="s">
        <v>29372</v>
      </c>
      <c r="G4073" t="s">
        <v>29379</v>
      </c>
      <c r="H4073" t="s">
        <v>11048</v>
      </c>
      <c r="I4073" t="s">
        <v>3952</v>
      </c>
      <c r="J4073" t="s">
        <v>32255</v>
      </c>
      <c r="K4073" t="s">
        <v>38489</v>
      </c>
      <c r="M4073" t="s">
        <v>40312</v>
      </c>
      <c r="N4073" t="s">
        <v>42669</v>
      </c>
      <c r="O4073" t="s">
        <v>42670</v>
      </c>
      <c r="P4073">
        <v>0</v>
      </c>
      <c r="Q4073">
        <v>7</v>
      </c>
      <c r="R4073" t="s">
        <v>42676</v>
      </c>
      <c r="S4073" t="s">
        <v>42809</v>
      </c>
      <c r="T4073" t="s">
        <v>44386</v>
      </c>
      <c r="U4073" t="s">
        <v>48174</v>
      </c>
      <c r="W4073" t="s">
        <v>40312</v>
      </c>
      <c r="X4073" t="s">
        <v>42677</v>
      </c>
    </row>
    <row r="4074" spans="1:24">
      <c r="A4074">
        <f>HYPERLINK("https://www.philgeps.gov.ph/GEPSNONPILOT/Tender/SplashBidNoticeAbstractUI.aspx?menuIndex=3&amp;refID=7187357&amp;Result=3","7187357")</f>
        <v>0</v>
      </c>
      <c r="B4074" t="s">
        <v>25</v>
      </c>
      <c r="C4074" t="s">
        <v>7428</v>
      </c>
      <c r="D4074" t="s">
        <v>17142</v>
      </c>
      <c r="E4074" t="s">
        <v>7428</v>
      </c>
      <c r="F4074" t="s">
        <v>29372</v>
      </c>
      <c r="G4074" t="s">
        <v>29379</v>
      </c>
      <c r="H4074" t="s">
        <v>11048</v>
      </c>
      <c r="I4074" t="s">
        <v>4235</v>
      </c>
      <c r="J4074" t="s">
        <v>32256</v>
      </c>
      <c r="K4074" t="s">
        <v>38495</v>
      </c>
      <c r="M4074" t="s">
        <v>38778</v>
      </c>
      <c r="N4074" t="s">
        <v>42669</v>
      </c>
      <c r="O4074" t="s">
        <v>42670</v>
      </c>
      <c r="P4074">
        <v>0</v>
      </c>
      <c r="Q4074">
        <v>1</v>
      </c>
      <c r="R4074" t="s">
        <v>42676</v>
      </c>
      <c r="S4074" t="s">
        <v>42809</v>
      </c>
      <c r="T4074" t="s">
        <v>44432</v>
      </c>
      <c r="U4074" t="s">
        <v>48175</v>
      </c>
      <c r="W4074" t="s">
        <v>38778</v>
      </c>
      <c r="X4074" t="s">
        <v>42677</v>
      </c>
    </row>
    <row r="4075" spans="1:24">
      <c r="A4075">
        <f>HYPERLINK("https://www.philgeps.gov.ph/GEPSNONPILOT/Tender/SplashBidNoticeAbstractUI.aspx?menuIndex=3&amp;refID=7187380&amp;Result=3","7187380")</f>
        <v>0</v>
      </c>
      <c r="B4075" t="s">
        <v>1482</v>
      </c>
      <c r="C4075" t="s">
        <v>7429</v>
      </c>
      <c r="D4075" t="s">
        <v>17141</v>
      </c>
      <c r="E4075" t="s">
        <v>20816</v>
      </c>
      <c r="F4075" t="s">
        <v>29372</v>
      </c>
      <c r="G4075" t="s">
        <v>29382</v>
      </c>
      <c r="H4075" t="s">
        <v>11048</v>
      </c>
      <c r="I4075" t="s">
        <v>4487</v>
      </c>
      <c r="J4075" t="s">
        <v>32257</v>
      </c>
      <c r="K4075" t="s">
        <v>38490</v>
      </c>
      <c r="M4075" t="s">
        <v>40325</v>
      </c>
      <c r="N4075" t="s">
        <v>42669</v>
      </c>
      <c r="O4075" t="s">
        <v>42670</v>
      </c>
      <c r="P4075">
        <v>0</v>
      </c>
      <c r="Q4075">
        <v>13</v>
      </c>
      <c r="R4075" t="s">
        <v>42676</v>
      </c>
      <c r="S4075" t="s">
        <v>42809</v>
      </c>
      <c r="T4075" t="s">
        <v>44441</v>
      </c>
      <c r="U4075" t="s">
        <v>48176</v>
      </c>
      <c r="V4075" t="s">
        <v>56775</v>
      </c>
      <c r="W4075" t="s">
        <v>40325</v>
      </c>
      <c r="X4075" t="s">
        <v>42677</v>
      </c>
    </row>
    <row r="4076" spans="1:24">
      <c r="A4076">
        <f>HYPERLINK("https://www.philgeps.gov.ph/GEPSNONPILOT/Tender/SplashBidNoticeAbstractUI.aspx?menuIndex=3&amp;refID=7187374&amp;Result=3","7187374")</f>
        <v>0</v>
      </c>
      <c r="B4076" t="s">
        <v>129</v>
      </c>
      <c r="C4076" t="s">
        <v>7430</v>
      </c>
      <c r="E4076" t="s">
        <v>20817</v>
      </c>
      <c r="F4076" t="s">
        <v>29372</v>
      </c>
      <c r="G4076" t="s">
        <v>29383</v>
      </c>
      <c r="H4076" t="s">
        <v>11048</v>
      </c>
      <c r="I4076" t="s">
        <v>29407</v>
      </c>
      <c r="J4076" t="s">
        <v>29752</v>
      </c>
      <c r="K4076" t="s">
        <v>38490</v>
      </c>
      <c r="M4076" t="s">
        <v>38884</v>
      </c>
      <c r="N4076" t="s">
        <v>42669</v>
      </c>
      <c r="O4076" t="s">
        <v>42670</v>
      </c>
      <c r="P4076">
        <v>0</v>
      </c>
      <c r="Q4076">
        <v>4</v>
      </c>
      <c r="R4076" t="s">
        <v>42676</v>
      </c>
      <c r="S4076" t="s">
        <v>42809</v>
      </c>
      <c r="T4076" t="s">
        <v>44417</v>
      </c>
      <c r="U4076" t="s">
        <v>48177</v>
      </c>
      <c r="W4076" t="s">
        <v>38884</v>
      </c>
      <c r="X4076" t="s">
        <v>42677</v>
      </c>
    </row>
    <row r="4077" spans="1:24">
      <c r="A4077">
        <f>HYPERLINK("https://www.philgeps.gov.ph/GEPSNONPILOT/Tender/SplashBidNoticeAbstractUI.aspx?menuIndex=3&amp;refID=7187369&amp;Result=3","7187369")</f>
        <v>0</v>
      </c>
      <c r="B4077" t="s">
        <v>1435</v>
      </c>
      <c r="C4077" t="s">
        <v>7431</v>
      </c>
      <c r="D4077" t="s">
        <v>17194</v>
      </c>
      <c r="E4077" t="s">
        <v>19663</v>
      </c>
      <c r="F4077" t="s">
        <v>29375</v>
      </c>
      <c r="G4077" t="s">
        <v>29380</v>
      </c>
      <c r="H4077" t="s">
        <v>11048</v>
      </c>
      <c r="I4077" t="s">
        <v>8614</v>
      </c>
      <c r="J4077" t="s">
        <v>29680</v>
      </c>
      <c r="K4077" t="s">
        <v>38491</v>
      </c>
      <c r="M4077" t="s">
        <v>40275</v>
      </c>
      <c r="N4077" t="s">
        <v>42669</v>
      </c>
      <c r="O4077" t="s">
        <v>42670</v>
      </c>
      <c r="P4077">
        <v>0</v>
      </c>
      <c r="Q4077">
        <v>1</v>
      </c>
      <c r="R4077" t="s">
        <v>42676</v>
      </c>
      <c r="S4077" t="s">
        <v>42809</v>
      </c>
      <c r="T4077" t="s">
        <v>44474</v>
      </c>
      <c r="U4077" t="s">
        <v>48178</v>
      </c>
      <c r="W4077" t="s">
        <v>40275</v>
      </c>
      <c r="X4077" t="s">
        <v>42677</v>
      </c>
    </row>
    <row r="4078" spans="1:24">
      <c r="A4078">
        <f>HYPERLINK("https://www.philgeps.gov.ph/GEPSNONPILOT/Tender/SplashBidNoticeAbstractUI.aspx?menuIndex=3&amp;refID=7187362&amp;Result=3","7187362")</f>
        <v>0</v>
      </c>
      <c r="B4078" t="s">
        <v>1483</v>
      </c>
      <c r="C4078" t="s">
        <v>7432</v>
      </c>
      <c r="E4078" t="s">
        <v>20818</v>
      </c>
      <c r="F4078" t="s">
        <v>29372</v>
      </c>
      <c r="G4078" t="s">
        <v>29379</v>
      </c>
      <c r="H4078" t="s">
        <v>11048</v>
      </c>
      <c r="I4078" t="s">
        <v>3670</v>
      </c>
      <c r="J4078" t="s">
        <v>32258</v>
      </c>
      <c r="K4078" t="s">
        <v>38490</v>
      </c>
      <c r="M4078" t="s">
        <v>40326</v>
      </c>
      <c r="N4078" t="s">
        <v>42669</v>
      </c>
      <c r="O4078" t="s">
        <v>42670</v>
      </c>
      <c r="P4078">
        <v>0</v>
      </c>
      <c r="Q4078">
        <v>1</v>
      </c>
      <c r="R4078" t="s">
        <v>42676</v>
      </c>
      <c r="S4078" t="s">
        <v>42809</v>
      </c>
      <c r="T4078" t="s">
        <v>44432</v>
      </c>
      <c r="U4078" t="s">
        <v>48179</v>
      </c>
      <c r="W4078" t="s">
        <v>40326</v>
      </c>
      <c r="X4078" t="s">
        <v>42677</v>
      </c>
    </row>
    <row r="4079" spans="1:24">
      <c r="A4079">
        <f>HYPERLINK("https://www.philgeps.gov.ph/GEPSNONPILOT/Tender/SplashBidNoticeAbstractUI.aspx?menuIndex=3&amp;refID=7187321&amp;Result=3","7187321")</f>
        <v>0</v>
      </c>
      <c r="B4079" t="s">
        <v>1464</v>
      </c>
      <c r="C4079" t="s">
        <v>7433</v>
      </c>
      <c r="D4079" t="s">
        <v>17169</v>
      </c>
      <c r="E4079" t="s">
        <v>20819</v>
      </c>
      <c r="F4079" t="s">
        <v>29372</v>
      </c>
      <c r="G4079" t="s">
        <v>29379</v>
      </c>
      <c r="H4079" t="s">
        <v>11048</v>
      </c>
      <c r="I4079" t="s">
        <v>29398</v>
      </c>
      <c r="J4079" t="s">
        <v>30674</v>
      </c>
      <c r="K4079" t="s">
        <v>38490</v>
      </c>
      <c r="M4079" t="s">
        <v>40307</v>
      </c>
      <c r="N4079" t="s">
        <v>42669</v>
      </c>
      <c r="O4079" t="s">
        <v>42670</v>
      </c>
      <c r="P4079">
        <v>0</v>
      </c>
      <c r="Q4079">
        <v>1</v>
      </c>
      <c r="R4079" t="s">
        <v>42676</v>
      </c>
      <c r="S4079" t="s">
        <v>42809</v>
      </c>
      <c r="T4079" t="s">
        <v>44496</v>
      </c>
      <c r="U4079" t="s">
        <v>48180</v>
      </c>
      <c r="W4079" t="s">
        <v>40307</v>
      </c>
      <c r="X4079" t="s">
        <v>42677</v>
      </c>
    </row>
    <row r="4080" spans="1:24">
      <c r="A4080">
        <f>HYPERLINK("https://www.philgeps.gov.ph/GEPSNONPILOT/Tender/SplashBidNoticeAbstractUI.aspx?menuIndex=3&amp;refID=7187358&amp;Result=3","7187358")</f>
        <v>0</v>
      </c>
      <c r="B4080" t="s">
        <v>1484</v>
      </c>
      <c r="C4080" t="s">
        <v>7434</v>
      </c>
      <c r="D4080" t="s">
        <v>17180</v>
      </c>
      <c r="E4080" t="s">
        <v>20820</v>
      </c>
      <c r="F4080" t="s">
        <v>29372</v>
      </c>
      <c r="G4080" t="s">
        <v>29379</v>
      </c>
      <c r="H4080" t="s">
        <v>29390</v>
      </c>
      <c r="I4080" t="s">
        <v>10408</v>
      </c>
      <c r="J4080" t="s">
        <v>31253</v>
      </c>
      <c r="K4080" t="s">
        <v>38522</v>
      </c>
      <c r="M4080" t="s">
        <v>40327</v>
      </c>
      <c r="N4080" t="s">
        <v>42669</v>
      </c>
      <c r="O4080" t="s">
        <v>42670</v>
      </c>
      <c r="P4080">
        <v>0</v>
      </c>
      <c r="Q4080">
        <v>4</v>
      </c>
      <c r="R4080" t="s">
        <v>42676</v>
      </c>
      <c r="S4080" t="s">
        <v>42809</v>
      </c>
      <c r="T4080" t="s">
        <v>44371</v>
      </c>
      <c r="U4080" t="s">
        <v>48181</v>
      </c>
      <c r="W4080" t="s">
        <v>40327</v>
      </c>
      <c r="X4080" t="s">
        <v>42677</v>
      </c>
    </row>
    <row r="4081" spans="1:24">
      <c r="A4081">
        <f>HYPERLINK("https://www.philgeps.gov.ph/GEPSNONPILOT/Tender/SplashBidNoticeAbstractUI.aspx?menuIndex=3&amp;refID=7187372&amp;Result=3","7187372")</f>
        <v>0</v>
      </c>
      <c r="B4081" t="s">
        <v>1476</v>
      </c>
      <c r="C4081" t="s">
        <v>7435</v>
      </c>
      <c r="D4081" t="s">
        <v>17153</v>
      </c>
      <c r="E4081" t="s">
        <v>20821</v>
      </c>
      <c r="F4081" t="s">
        <v>29372</v>
      </c>
      <c r="G4081" t="s">
        <v>29380</v>
      </c>
      <c r="H4081" t="s">
        <v>11048</v>
      </c>
      <c r="I4081" t="s">
        <v>9469</v>
      </c>
      <c r="J4081" t="s">
        <v>31958</v>
      </c>
      <c r="K4081" t="s">
        <v>38518</v>
      </c>
      <c r="M4081" t="s">
        <v>40319</v>
      </c>
      <c r="N4081" t="s">
        <v>42669</v>
      </c>
      <c r="O4081" t="s">
        <v>42670</v>
      </c>
      <c r="P4081">
        <v>0</v>
      </c>
      <c r="Q4081">
        <v>5</v>
      </c>
      <c r="R4081" t="s">
        <v>42676</v>
      </c>
      <c r="S4081" t="s">
        <v>42809</v>
      </c>
      <c r="T4081" t="s">
        <v>44542</v>
      </c>
      <c r="U4081" t="s">
        <v>48182</v>
      </c>
      <c r="V4081" t="s">
        <v>56770</v>
      </c>
      <c r="W4081" t="s">
        <v>40319</v>
      </c>
      <c r="X4081" t="s">
        <v>42677</v>
      </c>
    </row>
    <row r="4082" spans="1:24">
      <c r="A4082">
        <f>HYPERLINK("https://www.philgeps.gov.ph/GEPSNONPILOT/Tender/SplashBidNoticeAbstractUI.aspx?menuIndex=3&amp;refID=7187392&amp;Result=3","7187392")</f>
        <v>0</v>
      </c>
      <c r="B4082" t="s">
        <v>1435</v>
      </c>
      <c r="C4082" t="s">
        <v>5265</v>
      </c>
      <c r="D4082" t="s">
        <v>17194</v>
      </c>
      <c r="E4082" t="s">
        <v>20412</v>
      </c>
      <c r="F4082" t="s">
        <v>29375</v>
      </c>
      <c r="G4082" t="s">
        <v>29380</v>
      </c>
      <c r="H4082" t="s">
        <v>11048</v>
      </c>
      <c r="I4082" t="s">
        <v>4709</v>
      </c>
      <c r="J4082" t="s">
        <v>32259</v>
      </c>
      <c r="K4082" t="s">
        <v>38491</v>
      </c>
      <c r="M4082" t="s">
        <v>40275</v>
      </c>
      <c r="N4082" t="s">
        <v>42669</v>
      </c>
      <c r="O4082" t="s">
        <v>42670</v>
      </c>
      <c r="P4082">
        <v>0</v>
      </c>
      <c r="Q4082">
        <v>0</v>
      </c>
      <c r="R4082" t="s">
        <v>42676</v>
      </c>
      <c r="S4082" t="s">
        <v>42809</v>
      </c>
      <c r="T4082" t="s">
        <v>44474</v>
      </c>
      <c r="U4082" t="s">
        <v>48183</v>
      </c>
      <c r="W4082" t="s">
        <v>40275</v>
      </c>
      <c r="X4082" t="s">
        <v>42677</v>
      </c>
    </row>
    <row r="4083" spans="1:24">
      <c r="A4083">
        <f>HYPERLINK("https://www.philgeps.gov.ph/GEPSNONPILOT/Tender/SplashBidNoticeAbstractUI.aspx?menuIndex=3&amp;refID=7187359&amp;Result=3","7187359")</f>
        <v>0</v>
      </c>
      <c r="B4083" t="s">
        <v>851</v>
      </c>
      <c r="C4083" t="s">
        <v>7436</v>
      </c>
      <c r="D4083" t="s">
        <v>17160</v>
      </c>
      <c r="E4083" t="s">
        <v>20822</v>
      </c>
      <c r="F4083" t="s">
        <v>29372</v>
      </c>
      <c r="G4083" t="s">
        <v>29379</v>
      </c>
      <c r="H4083" t="s">
        <v>11048</v>
      </c>
      <c r="I4083" t="s">
        <v>29398</v>
      </c>
      <c r="J4083" t="s">
        <v>32260</v>
      </c>
      <c r="K4083" t="s">
        <v>38510</v>
      </c>
      <c r="M4083" t="s">
        <v>39641</v>
      </c>
      <c r="N4083" t="s">
        <v>42669</v>
      </c>
      <c r="O4083" t="s">
        <v>42670</v>
      </c>
      <c r="P4083">
        <v>0</v>
      </c>
      <c r="Q4083">
        <v>2</v>
      </c>
      <c r="R4083" t="s">
        <v>42676</v>
      </c>
      <c r="S4083" t="s">
        <v>42809</v>
      </c>
      <c r="T4083" t="s">
        <v>44387</v>
      </c>
      <c r="U4083" t="s">
        <v>48184</v>
      </c>
      <c r="W4083" t="s">
        <v>39641</v>
      </c>
      <c r="X4083" t="s">
        <v>42677</v>
      </c>
    </row>
    <row r="4084" spans="1:24">
      <c r="A4084">
        <f>HYPERLINK("https://www.philgeps.gov.ph/GEPSNONPILOT/Tender/SplashBidNoticeAbstractUI.aspx?menuIndex=3&amp;refID=7187389&amp;Result=3","7187389")</f>
        <v>0</v>
      </c>
      <c r="B4084" t="s">
        <v>1485</v>
      </c>
      <c r="C4084" t="s">
        <v>7437</v>
      </c>
      <c r="D4084" t="s">
        <v>17161</v>
      </c>
      <c r="E4084" t="s">
        <v>20823</v>
      </c>
      <c r="F4084" t="s">
        <v>29372</v>
      </c>
      <c r="G4084" t="s">
        <v>29380</v>
      </c>
      <c r="H4084" t="s">
        <v>11048</v>
      </c>
      <c r="I4084" t="s">
        <v>4709</v>
      </c>
      <c r="J4084" t="s">
        <v>32261</v>
      </c>
      <c r="K4084" t="s">
        <v>38490</v>
      </c>
      <c r="M4084" t="s">
        <v>40328</v>
      </c>
      <c r="N4084" t="s">
        <v>42669</v>
      </c>
      <c r="O4084" t="s">
        <v>42670</v>
      </c>
      <c r="P4084">
        <v>0</v>
      </c>
      <c r="Q4084">
        <v>0</v>
      </c>
      <c r="R4084" t="s">
        <v>42676</v>
      </c>
      <c r="S4084" t="s">
        <v>42809</v>
      </c>
      <c r="T4084" t="s">
        <v>44409</v>
      </c>
      <c r="U4084" t="s">
        <v>48185</v>
      </c>
      <c r="W4084" t="s">
        <v>40328</v>
      </c>
      <c r="X4084" t="s">
        <v>42677</v>
      </c>
    </row>
    <row r="4085" spans="1:24">
      <c r="A4085">
        <f>HYPERLINK("https://www.philgeps.gov.ph/GEPSNONPILOT/Tender/SplashBidNoticeAbstractUI.aspx?menuIndex=3&amp;refID=7187384&amp;Result=3","7187384")</f>
        <v>0</v>
      </c>
      <c r="B4085" t="s">
        <v>911</v>
      </c>
      <c r="C4085" t="s">
        <v>7438</v>
      </c>
      <c r="D4085" t="s">
        <v>17144</v>
      </c>
      <c r="E4085" t="s">
        <v>20824</v>
      </c>
      <c r="F4085" t="s">
        <v>29372</v>
      </c>
      <c r="G4085" t="s">
        <v>29380</v>
      </c>
      <c r="H4085" t="s">
        <v>11048</v>
      </c>
      <c r="I4085" t="s">
        <v>3695</v>
      </c>
      <c r="J4085" t="s">
        <v>32262</v>
      </c>
      <c r="K4085" t="s">
        <v>38485</v>
      </c>
      <c r="M4085" t="s">
        <v>39704</v>
      </c>
      <c r="N4085" t="s">
        <v>42669</v>
      </c>
      <c r="O4085" t="s">
        <v>42670</v>
      </c>
      <c r="P4085">
        <v>0</v>
      </c>
      <c r="Q4085">
        <v>3</v>
      </c>
      <c r="R4085" t="s">
        <v>42676</v>
      </c>
      <c r="S4085" t="s">
        <v>42809</v>
      </c>
      <c r="T4085" t="s">
        <v>44446</v>
      </c>
      <c r="U4085" t="s">
        <v>48186</v>
      </c>
      <c r="W4085" t="s">
        <v>39704</v>
      </c>
      <c r="X4085" t="s">
        <v>42677</v>
      </c>
    </row>
    <row r="4086" spans="1:24">
      <c r="A4086">
        <f>HYPERLINK("https://www.philgeps.gov.ph/GEPSNONPILOT/Tender/SplashBidNoticeAbstractUI.aspx?menuIndex=3&amp;refID=7187388&amp;Result=3","7187388")</f>
        <v>0</v>
      </c>
      <c r="B4086" t="s">
        <v>1452</v>
      </c>
      <c r="C4086" t="s">
        <v>7439</v>
      </c>
      <c r="E4086" t="s">
        <v>20825</v>
      </c>
      <c r="F4086" t="s">
        <v>29372</v>
      </c>
      <c r="G4086" t="s">
        <v>29379</v>
      </c>
      <c r="H4086" t="s">
        <v>11048</v>
      </c>
      <c r="I4086" t="s">
        <v>29435</v>
      </c>
      <c r="J4086" t="s">
        <v>32263</v>
      </c>
      <c r="K4086" t="s">
        <v>38490</v>
      </c>
      <c r="M4086" t="s">
        <v>40294</v>
      </c>
      <c r="N4086" t="s">
        <v>42669</v>
      </c>
      <c r="O4086" t="s">
        <v>42670</v>
      </c>
      <c r="P4086">
        <v>0</v>
      </c>
      <c r="Q4086">
        <v>2</v>
      </c>
      <c r="R4086" t="s">
        <v>42676</v>
      </c>
      <c r="S4086" t="s">
        <v>42809</v>
      </c>
      <c r="T4086" t="s">
        <v>44432</v>
      </c>
      <c r="U4086" t="s">
        <v>48105</v>
      </c>
      <c r="W4086" t="s">
        <v>40294</v>
      </c>
      <c r="X4086" t="s">
        <v>42677</v>
      </c>
    </row>
    <row r="4087" spans="1:24">
      <c r="A4087">
        <f>HYPERLINK("https://www.philgeps.gov.ph/GEPSNONPILOT/Tender/SplashBidNoticeAbstractUI.aspx?menuIndex=3&amp;refID=7187391&amp;Result=3","7187391")</f>
        <v>0</v>
      </c>
      <c r="B4087" t="s">
        <v>1486</v>
      </c>
      <c r="C4087" t="s">
        <v>7440</v>
      </c>
      <c r="D4087" t="s">
        <v>17169</v>
      </c>
      <c r="E4087" t="s">
        <v>20826</v>
      </c>
      <c r="F4087" t="s">
        <v>29372</v>
      </c>
      <c r="G4087" t="s">
        <v>29380</v>
      </c>
      <c r="H4087" t="s">
        <v>29389</v>
      </c>
      <c r="I4087" t="s">
        <v>10408</v>
      </c>
      <c r="J4087" t="s">
        <v>29604</v>
      </c>
      <c r="K4087" t="s">
        <v>38487</v>
      </c>
      <c r="M4087" t="s">
        <v>40329</v>
      </c>
      <c r="N4087" t="s">
        <v>42669</v>
      </c>
      <c r="O4087" t="s">
        <v>42670</v>
      </c>
      <c r="P4087">
        <v>0</v>
      </c>
      <c r="Q4087">
        <v>0</v>
      </c>
      <c r="R4087" t="s">
        <v>42676</v>
      </c>
      <c r="S4087" t="s">
        <v>42809</v>
      </c>
      <c r="T4087" t="s">
        <v>44355</v>
      </c>
      <c r="U4087" t="s">
        <v>48187</v>
      </c>
      <c r="V4087" t="s">
        <v>56776</v>
      </c>
      <c r="W4087" t="s">
        <v>40329</v>
      </c>
      <c r="X4087" t="s">
        <v>42677</v>
      </c>
    </row>
    <row r="4088" spans="1:24">
      <c r="A4088">
        <f>HYPERLINK("https://www.philgeps.gov.ph/GEPSNONPILOT/Tender/SplashBidNoticeAbstractUI.aspx?menuIndex=3&amp;refID=7187387&amp;Result=3","7187387")</f>
        <v>0</v>
      </c>
      <c r="B4088" t="s">
        <v>1487</v>
      </c>
      <c r="C4088" t="s">
        <v>7441</v>
      </c>
      <c r="D4088" t="s">
        <v>17144</v>
      </c>
      <c r="E4088" t="s">
        <v>18716</v>
      </c>
      <c r="F4088" t="s">
        <v>29372</v>
      </c>
      <c r="G4088" t="s">
        <v>29380</v>
      </c>
      <c r="H4088" t="s">
        <v>29390</v>
      </c>
      <c r="I4088" t="s">
        <v>4709</v>
      </c>
      <c r="J4088" t="s">
        <v>32264</v>
      </c>
      <c r="K4088" t="s">
        <v>38485</v>
      </c>
      <c r="M4088" t="s">
        <v>40330</v>
      </c>
      <c r="N4088" t="s">
        <v>42669</v>
      </c>
      <c r="O4088" t="s">
        <v>42670</v>
      </c>
      <c r="P4088">
        <v>0</v>
      </c>
      <c r="Q4088">
        <v>1</v>
      </c>
      <c r="R4088" t="s">
        <v>42676</v>
      </c>
      <c r="S4088" t="s">
        <v>42809</v>
      </c>
      <c r="T4088" t="s">
        <v>44430</v>
      </c>
      <c r="U4088" t="s">
        <v>48188</v>
      </c>
      <c r="W4088" t="s">
        <v>40330</v>
      </c>
      <c r="X4088" t="s">
        <v>42677</v>
      </c>
    </row>
    <row r="4089" spans="1:24">
      <c r="A4089">
        <f>HYPERLINK("https://www.philgeps.gov.ph/GEPSNONPILOT/Tender/SplashBidNoticeAbstractUI.aspx?menuIndex=3&amp;refID=7187385&amp;Result=3","7187385")</f>
        <v>0</v>
      </c>
      <c r="B4089" t="s">
        <v>1473</v>
      </c>
      <c r="C4089" t="s">
        <v>7442</v>
      </c>
      <c r="D4089" t="s">
        <v>17205</v>
      </c>
      <c r="E4089" t="s">
        <v>20827</v>
      </c>
      <c r="F4089" t="s">
        <v>29372</v>
      </c>
      <c r="G4089" t="s">
        <v>29380</v>
      </c>
      <c r="H4089" t="s">
        <v>11048</v>
      </c>
      <c r="I4089" t="s">
        <v>4709</v>
      </c>
      <c r="J4089" t="s">
        <v>32265</v>
      </c>
      <c r="K4089" t="s">
        <v>38510</v>
      </c>
      <c r="M4089" t="s">
        <v>40316</v>
      </c>
      <c r="N4089" t="s">
        <v>42669</v>
      </c>
      <c r="O4089" t="s">
        <v>42670</v>
      </c>
      <c r="P4089">
        <v>0</v>
      </c>
      <c r="Q4089">
        <v>7</v>
      </c>
      <c r="R4089" t="s">
        <v>42676</v>
      </c>
      <c r="S4089" t="s">
        <v>42809</v>
      </c>
      <c r="T4089" t="s">
        <v>44382</v>
      </c>
      <c r="U4089" t="s">
        <v>48189</v>
      </c>
      <c r="W4089" t="s">
        <v>40316</v>
      </c>
      <c r="X4089" t="s">
        <v>42677</v>
      </c>
    </row>
    <row r="4090" spans="1:24">
      <c r="A4090">
        <f>HYPERLINK("https://www.philgeps.gov.ph/GEPSNONPILOT/Tender/SplashBidNoticeAbstractUI.aspx?menuIndex=3&amp;refID=7187394&amp;Result=3","7187394")</f>
        <v>0</v>
      </c>
      <c r="B4090" t="s">
        <v>1488</v>
      </c>
      <c r="C4090" t="s">
        <v>7443</v>
      </c>
      <c r="D4090" t="s">
        <v>17205</v>
      </c>
      <c r="E4090" t="s">
        <v>20828</v>
      </c>
      <c r="F4090" t="s">
        <v>29372</v>
      </c>
      <c r="G4090" t="s">
        <v>29380</v>
      </c>
      <c r="H4090" t="s">
        <v>29389</v>
      </c>
      <c r="I4090" t="s">
        <v>10408</v>
      </c>
      <c r="J4090" t="s">
        <v>32266</v>
      </c>
      <c r="K4090" t="s">
        <v>38571</v>
      </c>
      <c r="M4090" t="s">
        <v>40331</v>
      </c>
      <c r="N4090" t="s">
        <v>42669</v>
      </c>
      <c r="O4090" t="s">
        <v>42670</v>
      </c>
      <c r="P4090">
        <v>0</v>
      </c>
      <c r="Q4090">
        <v>6</v>
      </c>
      <c r="R4090" t="s">
        <v>42676</v>
      </c>
      <c r="S4090" t="s">
        <v>42809</v>
      </c>
      <c r="T4090" t="s">
        <v>44355</v>
      </c>
      <c r="U4090" t="s">
        <v>48190</v>
      </c>
      <c r="V4090" t="s">
        <v>56777</v>
      </c>
      <c r="W4090" t="s">
        <v>40331</v>
      </c>
      <c r="X4090" t="s">
        <v>42677</v>
      </c>
    </row>
    <row r="4091" spans="1:24">
      <c r="A4091">
        <f>HYPERLINK("https://www.philgeps.gov.ph/GEPSNONPILOT/Tender/SplashBidNoticeAbstractUI.aspx?menuIndex=3&amp;refID=7187393&amp;Result=3","7187393")</f>
        <v>0</v>
      </c>
      <c r="B4091" t="s">
        <v>1383</v>
      </c>
      <c r="C4091" t="s">
        <v>7444</v>
      </c>
      <c r="D4091" t="s">
        <v>17169</v>
      </c>
      <c r="E4091" t="s">
        <v>20592</v>
      </c>
      <c r="F4091" t="s">
        <v>29372</v>
      </c>
      <c r="G4091" t="s">
        <v>29380</v>
      </c>
      <c r="H4091" t="s">
        <v>29389</v>
      </c>
      <c r="I4091" t="s">
        <v>10408</v>
      </c>
      <c r="J4091" t="s">
        <v>32267</v>
      </c>
      <c r="K4091" t="s">
        <v>38496</v>
      </c>
      <c r="M4091" t="s">
        <v>40220</v>
      </c>
      <c r="N4091" t="s">
        <v>42669</v>
      </c>
      <c r="O4091" t="s">
        <v>42670</v>
      </c>
      <c r="P4091">
        <v>0</v>
      </c>
      <c r="Q4091">
        <v>1</v>
      </c>
      <c r="R4091" t="s">
        <v>42676</v>
      </c>
      <c r="S4091" t="s">
        <v>42809</v>
      </c>
      <c r="T4091" t="s">
        <v>44587</v>
      </c>
      <c r="U4091" t="s">
        <v>47960</v>
      </c>
      <c r="V4091" t="s">
        <v>56778</v>
      </c>
      <c r="W4091" t="s">
        <v>40220</v>
      </c>
      <c r="X4091" t="s">
        <v>42677</v>
      </c>
    </row>
    <row r="4092" spans="1:24">
      <c r="A4092">
        <f>HYPERLINK("https://www.philgeps.gov.ph/GEPSNONPILOT/Tender/SplashBidNoticeAbstractUI.aspx?menuIndex=3&amp;refID=7187408&amp;Result=3","7187408")</f>
        <v>0</v>
      </c>
      <c r="B4092" t="s">
        <v>1465</v>
      </c>
      <c r="C4092" t="s">
        <v>7445</v>
      </c>
      <c r="D4092" t="s">
        <v>17205</v>
      </c>
      <c r="E4092" t="s">
        <v>20829</v>
      </c>
      <c r="F4092" t="s">
        <v>29372</v>
      </c>
      <c r="G4092" t="s">
        <v>29380</v>
      </c>
      <c r="H4092" t="s">
        <v>11048</v>
      </c>
      <c r="I4092" t="s">
        <v>8614</v>
      </c>
      <c r="J4092" t="s">
        <v>31121</v>
      </c>
      <c r="K4092" t="s">
        <v>38485</v>
      </c>
      <c r="M4092" t="s">
        <v>40308</v>
      </c>
      <c r="N4092" t="s">
        <v>42669</v>
      </c>
      <c r="O4092" t="s">
        <v>42670</v>
      </c>
      <c r="P4092">
        <v>0</v>
      </c>
      <c r="Q4092">
        <v>2</v>
      </c>
      <c r="R4092" t="s">
        <v>42676</v>
      </c>
      <c r="S4092" t="s">
        <v>42809</v>
      </c>
      <c r="T4092" t="s">
        <v>44650</v>
      </c>
      <c r="U4092" t="s">
        <v>48191</v>
      </c>
      <c r="W4092" t="s">
        <v>40308</v>
      </c>
      <c r="X4092" t="s">
        <v>42677</v>
      </c>
    </row>
    <row r="4093" spans="1:24">
      <c r="A4093">
        <f>HYPERLINK("https://www.philgeps.gov.ph/GEPSNONPILOT/Tender/SplashBidNoticeAbstractUI.aspx?menuIndex=3&amp;refID=7187407&amp;Result=3","7187407")</f>
        <v>0</v>
      </c>
      <c r="B4093" t="s">
        <v>997</v>
      </c>
      <c r="C4093" t="s">
        <v>7446</v>
      </c>
      <c r="D4093" t="s">
        <v>17169</v>
      </c>
      <c r="E4093" t="s">
        <v>18218</v>
      </c>
      <c r="F4093" t="s">
        <v>29372</v>
      </c>
      <c r="G4093" t="s">
        <v>29380</v>
      </c>
      <c r="H4093" t="s">
        <v>29389</v>
      </c>
      <c r="I4093" t="s">
        <v>10408</v>
      </c>
      <c r="J4093" t="s">
        <v>30412</v>
      </c>
      <c r="K4093" t="s">
        <v>38485</v>
      </c>
      <c r="M4093" t="s">
        <v>39797</v>
      </c>
      <c r="N4093" t="s">
        <v>42669</v>
      </c>
      <c r="O4093" t="s">
        <v>42670</v>
      </c>
      <c r="P4093">
        <v>0</v>
      </c>
      <c r="Q4093">
        <v>0</v>
      </c>
      <c r="R4093" t="s">
        <v>42676</v>
      </c>
      <c r="S4093" t="s">
        <v>42809</v>
      </c>
      <c r="T4093" t="s">
        <v>44391</v>
      </c>
      <c r="U4093" t="s">
        <v>46961</v>
      </c>
      <c r="W4093" t="s">
        <v>39797</v>
      </c>
      <c r="X4093" t="s">
        <v>42677</v>
      </c>
    </row>
    <row r="4094" spans="1:24">
      <c r="A4094">
        <f>HYPERLINK("https://www.philgeps.gov.ph/GEPSNONPILOT/Tender/SplashBidNoticeAbstractUI.aspx?menuIndex=3&amp;refID=7187406&amp;Result=3","7187406")</f>
        <v>0</v>
      </c>
      <c r="B4094" t="s">
        <v>196</v>
      </c>
      <c r="C4094" t="s">
        <v>7447</v>
      </c>
      <c r="D4094" t="s">
        <v>17166</v>
      </c>
      <c r="E4094" t="s">
        <v>20830</v>
      </c>
      <c r="F4094" t="s">
        <v>29372</v>
      </c>
      <c r="G4094" t="s">
        <v>29379</v>
      </c>
      <c r="H4094" t="s">
        <v>11048</v>
      </c>
      <c r="I4094" t="s">
        <v>3629</v>
      </c>
      <c r="J4094" t="s">
        <v>32268</v>
      </c>
      <c r="K4094" t="s">
        <v>38488</v>
      </c>
      <c r="M4094" t="s">
        <v>38953</v>
      </c>
      <c r="N4094" t="s">
        <v>42669</v>
      </c>
      <c r="O4094" t="s">
        <v>42670</v>
      </c>
      <c r="P4094">
        <v>0</v>
      </c>
      <c r="Q4094">
        <v>0</v>
      </c>
      <c r="R4094" t="s">
        <v>42676</v>
      </c>
      <c r="S4094" t="s">
        <v>42809</v>
      </c>
      <c r="T4094" t="s">
        <v>44488</v>
      </c>
      <c r="U4094" t="s">
        <v>45266</v>
      </c>
      <c r="W4094" t="s">
        <v>42173</v>
      </c>
      <c r="X4094" t="s">
        <v>42677</v>
      </c>
    </row>
    <row r="4095" spans="1:24">
      <c r="A4095">
        <f>HYPERLINK("https://www.philgeps.gov.ph/GEPSNONPILOT/Tender/SplashBidNoticeAbstractUI.aspx?menuIndex=3&amp;refID=7187436&amp;Result=3","7187436")</f>
        <v>0</v>
      </c>
      <c r="B4095" t="s">
        <v>25</v>
      </c>
      <c r="C4095" t="s">
        <v>7448</v>
      </c>
      <c r="D4095" t="s">
        <v>17142</v>
      </c>
      <c r="E4095" t="s">
        <v>7448</v>
      </c>
      <c r="F4095" t="s">
        <v>29372</v>
      </c>
      <c r="G4095" t="s">
        <v>29379</v>
      </c>
      <c r="H4095" t="s">
        <v>11048</v>
      </c>
      <c r="I4095" t="s">
        <v>3670</v>
      </c>
      <c r="J4095" t="s">
        <v>32269</v>
      </c>
      <c r="K4095" t="s">
        <v>38487</v>
      </c>
      <c r="M4095" t="s">
        <v>38778</v>
      </c>
      <c r="N4095" t="s">
        <v>42669</v>
      </c>
      <c r="O4095" t="s">
        <v>42670</v>
      </c>
      <c r="P4095">
        <v>0</v>
      </c>
      <c r="Q4095">
        <v>0</v>
      </c>
      <c r="R4095" t="s">
        <v>42676</v>
      </c>
      <c r="S4095" t="s">
        <v>42809</v>
      </c>
      <c r="T4095" t="s">
        <v>44432</v>
      </c>
      <c r="U4095" t="s">
        <v>48192</v>
      </c>
      <c r="W4095" t="s">
        <v>38778</v>
      </c>
      <c r="X4095" t="s">
        <v>42677</v>
      </c>
    </row>
    <row r="4096" spans="1:24">
      <c r="A4096">
        <f>HYPERLINK("https://www.philgeps.gov.ph/GEPSNONPILOT/Tender/SplashBidNoticeAbstractUI.aspx?menuIndex=3&amp;refID=7187433&amp;Result=3","7187433")</f>
        <v>0</v>
      </c>
      <c r="B4096" t="s">
        <v>1035</v>
      </c>
      <c r="C4096" t="s">
        <v>7449</v>
      </c>
      <c r="D4096" t="s">
        <v>17141</v>
      </c>
      <c r="E4096" t="s">
        <v>20831</v>
      </c>
      <c r="F4096" t="s">
        <v>29372</v>
      </c>
      <c r="G4096" t="s">
        <v>29380</v>
      </c>
      <c r="H4096" t="s">
        <v>29389</v>
      </c>
      <c r="I4096" t="s">
        <v>10408</v>
      </c>
      <c r="J4096" t="s">
        <v>32270</v>
      </c>
      <c r="K4096" t="s">
        <v>38485</v>
      </c>
      <c r="M4096" t="s">
        <v>39839</v>
      </c>
      <c r="N4096" t="s">
        <v>42669</v>
      </c>
      <c r="O4096" t="s">
        <v>42670</v>
      </c>
      <c r="Q4096">
        <v>8</v>
      </c>
      <c r="R4096" t="s">
        <v>42676</v>
      </c>
      <c r="S4096" t="s">
        <v>42816</v>
      </c>
      <c r="T4096" t="s">
        <v>44470</v>
      </c>
      <c r="U4096" t="s">
        <v>48193</v>
      </c>
      <c r="V4096" t="s">
        <v>56779</v>
      </c>
      <c r="W4096" t="s">
        <v>39839</v>
      </c>
      <c r="X4096" t="s">
        <v>42677</v>
      </c>
    </row>
    <row r="4097" spans="1:24">
      <c r="A4097">
        <f>HYPERLINK("https://www.philgeps.gov.ph/GEPSNONPILOT/Tender/SplashBidNoticeAbstractUI.aspx?menuIndex=3&amp;refID=7187396&amp;Result=3","7187396")</f>
        <v>0</v>
      </c>
      <c r="B4097" t="s">
        <v>1453</v>
      </c>
      <c r="C4097" t="s">
        <v>7450</v>
      </c>
      <c r="D4097" t="s">
        <v>17167</v>
      </c>
      <c r="E4097" t="s">
        <v>20832</v>
      </c>
      <c r="F4097" t="s">
        <v>29372</v>
      </c>
      <c r="G4097" t="s">
        <v>29379</v>
      </c>
      <c r="H4097" t="s">
        <v>11048</v>
      </c>
      <c r="I4097" t="s">
        <v>3670</v>
      </c>
      <c r="J4097" t="s">
        <v>32271</v>
      </c>
      <c r="K4097" t="s">
        <v>38491</v>
      </c>
      <c r="M4097" t="s">
        <v>40295</v>
      </c>
      <c r="N4097" t="s">
        <v>42669</v>
      </c>
      <c r="O4097" t="s">
        <v>42670</v>
      </c>
      <c r="P4097">
        <v>0</v>
      </c>
      <c r="Q4097">
        <v>4</v>
      </c>
      <c r="R4097" t="s">
        <v>42676</v>
      </c>
      <c r="S4097" t="s">
        <v>42809</v>
      </c>
      <c r="T4097" t="s">
        <v>44399</v>
      </c>
      <c r="U4097" t="s">
        <v>48194</v>
      </c>
      <c r="W4097" t="s">
        <v>40295</v>
      </c>
      <c r="X4097" t="s">
        <v>42677</v>
      </c>
    </row>
    <row r="4098" spans="1:24">
      <c r="A4098">
        <f>HYPERLINK("https://www.philgeps.gov.ph/GEPSNONPILOT/Tender/SplashBidNoticeAbstractUI.aspx?menuIndex=3&amp;refID=7187431&amp;Result=3","7187431")</f>
        <v>0</v>
      </c>
      <c r="B4098" t="s">
        <v>1428</v>
      </c>
      <c r="C4098" t="s">
        <v>7451</v>
      </c>
      <c r="D4098" t="s">
        <v>17171</v>
      </c>
      <c r="E4098" t="s">
        <v>20833</v>
      </c>
      <c r="F4098" t="s">
        <v>29372</v>
      </c>
      <c r="G4098" t="s">
        <v>29379</v>
      </c>
      <c r="H4098" t="s">
        <v>11048</v>
      </c>
      <c r="I4098" t="s">
        <v>29406</v>
      </c>
      <c r="J4098" t="s">
        <v>30224</v>
      </c>
      <c r="K4098" t="s">
        <v>38488</v>
      </c>
      <c r="M4098" t="s">
        <v>40268</v>
      </c>
      <c r="N4098" t="s">
        <v>42669</v>
      </c>
      <c r="O4098" t="s">
        <v>42670</v>
      </c>
      <c r="P4098">
        <v>0</v>
      </c>
      <c r="Q4098">
        <v>5</v>
      </c>
      <c r="R4098" t="s">
        <v>42676</v>
      </c>
      <c r="S4098" t="s">
        <v>42809</v>
      </c>
      <c r="T4098" t="s">
        <v>44404</v>
      </c>
      <c r="U4098" t="s">
        <v>48054</v>
      </c>
      <c r="W4098" t="s">
        <v>40268</v>
      </c>
      <c r="X4098" t="s">
        <v>42677</v>
      </c>
    </row>
    <row r="4099" spans="1:24">
      <c r="A4099">
        <f>HYPERLINK("https://www.philgeps.gov.ph/GEPSNONPILOT/Tender/SplashBidNoticeAbstractUI.aspx?menuIndex=3&amp;refID=7187381&amp;Result=3","7187381")</f>
        <v>0</v>
      </c>
      <c r="B4099" t="s">
        <v>1094</v>
      </c>
      <c r="C4099" t="s">
        <v>7452</v>
      </c>
      <c r="D4099" t="s">
        <v>17213</v>
      </c>
      <c r="E4099" t="s">
        <v>20834</v>
      </c>
      <c r="F4099" t="s">
        <v>29372</v>
      </c>
      <c r="G4099" t="s">
        <v>29380</v>
      </c>
      <c r="H4099" t="s">
        <v>11048</v>
      </c>
      <c r="I4099" t="s">
        <v>29395</v>
      </c>
      <c r="J4099" t="s">
        <v>32272</v>
      </c>
      <c r="K4099" t="s">
        <v>38488</v>
      </c>
      <c r="L4099" t="s">
        <v>1094</v>
      </c>
      <c r="M4099" t="s">
        <v>39901</v>
      </c>
      <c r="N4099" t="s">
        <v>42669</v>
      </c>
      <c r="O4099" t="s">
        <v>42670</v>
      </c>
      <c r="P4099">
        <v>0</v>
      </c>
      <c r="Q4099">
        <v>0</v>
      </c>
      <c r="R4099" t="s">
        <v>42676</v>
      </c>
      <c r="S4099" t="s">
        <v>42809</v>
      </c>
      <c r="T4099" t="s">
        <v>44546</v>
      </c>
      <c r="U4099" t="s">
        <v>48195</v>
      </c>
      <c r="V4099" t="s">
        <v>56627</v>
      </c>
      <c r="W4099" t="s">
        <v>39901</v>
      </c>
      <c r="X4099" t="s">
        <v>42677</v>
      </c>
    </row>
    <row r="4100" spans="1:24">
      <c r="A4100">
        <f>HYPERLINK("https://www.philgeps.gov.ph/GEPSNONPILOT/Tender/SplashBidNoticeAbstractUI.aspx?menuIndex=3&amp;refID=7187390&amp;Result=3","7187390")</f>
        <v>0</v>
      </c>
      <c r="B4100" t="s">
        <v>129</v>
      </c>
      <c r="C4100" t="s">
        <v>7453</v>
      </c>
      <c r="E4100" t="s">
        <v>20835</v>
      </c>
      <c r="F4100" t="s">
        <v>29372</v>
      </c>
      <c r="G4100" t="s">
        <v>29383</v>
      </c>
      <c r="H4100" t="s">
        <v>11048</v>
      </c>
      <c r="I4100" t="s">
        <v>29407</v>
      </c>
      <c r="J4100" t="s">
        <v>29587</v>
      </c>
      <c r="K4100" t="s">
        <v>38490</v>
      </c>
      <c r="M4100" t="s">
        <v>38884</v>
      </c>
      <c r="N4100" t="s">
        <v>42669</v>
      </c>
      <c r="O4100" t="s">
        <v>42670</v>
      </c>
      <c r="P4100">
        <v>0</v>
      </c>
      <c r="Q4100">
        <v>5</v>
      </c>
      <c r="R4100" t="s">
        <v>42676</v>
      </c>
      <c r="S4100" t="s">
        <v>42809</v>
      </c>
      <c r="T4100" t="s">
        <v>44429</v>
      </c>
      <c r="U4100" t="s">
        <v>48196</v>
      </c>
      <c r="W4100" t="s">
        <v>38884</v>
      </c>
      <c r="X4100" t="s">
        <v>42677</v>
      </c>
    </row>
    <row r="4101" spans="1:24">
      <c r="A4101">
        <f>HYPERLINK("https://www.philgeps.gov.ph/GEPSNONPILOT/Tender/SplashBidNoticeAbstractUI.aspx?menuIndex=3&amp;refID=7187426&amp;Result=3","7187426")</f>
        <v>0</v>
      </c>
      <c r="B4101" t="s">
        <v>1489</v>
      </c>
      <c r="C4101" t="s">
        <v>7454</v>
      </c>
      <c r="D4101" t="s">
        <v>17167</v>
      </c>
      <c r="E4101" t="s">
        <v>17347</v>
      </c>
      <c r="F4101" t="s">
        <v>29372</v>
      </c>
      <c r="G4101" t="s">
        <v>29380</v>
      </c>
      <c r="H4101" t="s">
        <v>11048</v>
      </c>
      <c r="I4101" t="s">
        <v>4709</v>
      </c>
      <c r="J4101" t="s">
        <v>32273</v>
      </c>
      <c r="K4101" t="s">
        <v>38491</v>
      </c>
      <c r="M4101" t="s">
        <v>40332</v>
      </c>
      <c r="N4101" t="s">
        <v>42669</v>
      </c>
      <c r="O4101" t="s">
        <v>42670</v>
      </c>
      <c r="P4101">
        <v>0</v>
      </c>
      <c r="Q4101">
        <v>0</v>
      </c>
      <c r="R4101" t="s">
        <v>42676</v>
      </c>
      <c r="S4101" t="s">
        <v>42809</v>
      </c>
      <c r="T4101" t="s">
        <v>44530</v>
      </c>
      <c r="U4101" t="s">
        <v>48197</v>
      </c>
      <c r="W4101" t="s">
        <v>40332</v>
      </c>
      <c r="X4101" t="s">
        <v>42677</v>
      </c>
    </row>
    <row r="4102" spans="1:24">
      <c r="A4102">
        <f>HYPERLINK("https://www.philgeps.gov.ph/GEPSNONPILOT/Tender/SplashBidNoticeAbstractUI.aspx?menuIndex=3&amp;refID=7187430&amp;Result=3","7187430")</f>
        <v>0</v>
      </c>
      <c r="B4102" t="s">
        <v>1383</v>
      </c>
      <c r="C4102" t="s">
        <v>7455</v>
      </c>
      <c r="D4102" t="s">
        <v>17169</v>
      </c>
      <c r="E4102" t="s">
        <v>20592</v>
      </c>
      <c r="F4102" t="s">
        <v>29372</v>
      </c>
      <c r="G4102" t="s">
        <v>29380</v>
      </c>
      <c r="H4102" t="s">
        <v>29389</v>
      </c>
      <c r="I4102" t="s">
        <v>10408</v>
      </c>
      <c r="J4102" t="s">
        <v>32274</v>
      </c>
      <c r="K4102" t="s">
        <v>38496</v>
      </c>
      <c r="M4102" t="s">
        <v>40220</v>
      </c>
      <c r="N4102" t="s">
        <v>42669</v>
      </c>
      <c r="O4102" t="s">
        <v>42670</v>
      </c>
      <c r="P4102">
        <v>0</v>
      </c>
      <c r="Q4102">
        <v>1</v>
      </c>
      <c r="R4102" t="s">
        <v>42676</v>
      </c>
      <c r="S4102" t="s">
        <v>42809</v>
      </c>
      <c r="T4102" t="s">
        <v>44587</v>
      </c>
      <c r="U4102" t="s">
        <v>47960</v>
      </c>
      <c r="V4102" t="s">
        <v>56780</v>
      </c>
      <c r="W4102" t="s">
        <v>40220</v>
      </c>
      <c r="X4102" t="s">
        <v>42677</v>
      </c>
    </row>
    <row r="4103" spans="1:24">
      <c r="A4103">
        <f>HYPERLINK("https://www.philgeps.gov.ph/GEPSNONPILOT/Tender/SplashBidNoticeAbstractUI.aspx?menuIndex=3&amp;refID=7187420&amp;Result=3","7187420")</f>
        <v>0</v>
      </c>
      <c r="B4103" t="s">
        <v>1490</v>
      </c>
      <c r="C4103" t="s">
        <v>7456</v>
      </c>
      <c r="D4103" t="s">
        <v>17144</v>
      </c>
      <c r="E4103" t="s">
        <v>20836</v>
      </c>
      <c r="F4103" t="s">
        <v>29372</v>
      </c>
      <c r="G4103" t="s">
        <v>29379</v>
      </c>
      <c r="H4103" t="s">
        <v>11048</v>
      </c>
      <c r="I4103" t="s">
        <v>4709</v>
      </c>
      <c r="J4103" t="s">
        <v>32275</v>
      </c>
      <c r="K4103" t="s">
        <v>38485</v>
      </c>
      <c r="M4103" t="s">
        <v>40333</v>
      </c>
      <c r="N4103" t="s">
        <v>42669</v>
      </c>
      <c r="O4103" t="s">
        <v>42670</v>
      </c>
      <c r="P4103">
        <v>0</v>
      </c>
      <c r="Q4103">
        <v>0</v>
      </c>
      <c r="R4103" t="s">
        <v>42676</v>
      </c>
      <c r="S4103" t="s">
        <v>42809</v>
      </c>
      <c r="T4103" t="s">
        <v>44386</v>
      </c>
      <c r="U4103" t="s">
        <v>48198</v>
      </c>
      <c r="W4103" t="s">
        <v>40333</v>
      </c>
      <c r="X4103" t="s">
        <v>42677</v>
      </c>
    </row>
    <row r="4104" spans="1:24">
      <c r="A4104">
        <f>HYPERLINK("https://www.philgeps.gov.ph/GEPSNONPILOT/Tender/SplashBidNoticeAbstractUI.aspx?menuIndex=3&amp;refID=7187375&amp;Result=3","7187375")</f>
        <v>0</v>
      </c>
      <c r="B4104" t="s">
        <v>898</v>
      </c>
      <c r="C4104" t="s">
        <v>7457</v>
      </c>
      <c r="D4104" t="s">
        <v>17142</v>
      </c>
      <c r="E4104" t="s">
        <v>20837</v>
      </c>
      <c r="F4104" t="s">
        <v>29372</v>
      </c>
      <c r="G4104" t="s">
        <v>29379</v>
      </c>
      <c r="H4104" t="s">
        <v>11048</v>
      </c>
      <c r="I4104" t="s">
        <v>3670</v>
      </c>
      <c r="J4104" t="s">
        <v>32276</v>
      </c>
      <c r="K4104" t="s">
        <v>38490</v>
      </c>
      <c r="M4104" t="s">
        <v>39691</v>
      </c>
      <c r="N4104" t="s">
        <v>42669</v>
      </c>
      <c r="O4104" t="s">
        <v>42670</v>
      </c>
      <c r="P4104">
        <v>0</v>
      </c>
      <c r="Q4104">
        <v>0</v>
      </c>
      <c r="R4104" t="s">
        <v>42676</v>
      </c>
      <c r="S4104" t="s">
        <v>42809</v>
      </c>
      <c r="T4104" t="s">
        <v>44417</v>
      </c>
      <c r="U4104" t="s">
        <v>48199</v>
      </c>
      <c r="V4104" t="s">
        <v>56576</v>
      </c>
      <c r="W4104" t="s">
        <v>39691</v>
      </c>
      <c r="X4104" t="s">
        <v>42677</v>
      </c>
    </row>
    <row r="4105" spans="1:24">
      <c r="A4105">
        <f>HYPERLINK("https://www.philgeps.gov.ph/GEPSNONPILOT/Tender/SplashBidNoticeAbstractUI.aspx?menuIndex=3&amp;refID=7187432&amp;Result=3","7187432")</f>
        <v>0</v>
      </c>
      <c r="B4105" t="s">
        <v>1491</v>
      </c>
      <c r="C4105" t="s">
        <v>7458</v>
      </c>
      <c r="D4105" t="s">
        <v>17161</v>
      </c>
      <c r="E4105" t="s">
        <v>20838</v>
      </c>
      <c r="F4105" t="s">
        <v>29372</v>
      </c>
      <c r="G4105" t="s">
        <v>29379</v>
      </c>
      <c r="H4105" t="s">
        <v>11048</v>
      </c>
      <c r="I4105" t="s">
        <v>3860</v>
      </c>
      <c r="J4105" t="s">
        <v>32277</v>
      </c>
      <c r="K4105" t="s">
        <v>38485</v>
      </c>
      <c r="M4105" t="s">
        <v>40334</v>
      </c>
      <c r="N4105" t="s">
        <v>42669</v>
      </c>
      <c r="O4105" t="s">
        <v>42670</v>
      </c>
      <c r="P4105">
        <v>0</v>
      </c>
      <c r="Q4105">
        <v>0</v>
      </c>
      <c r="R4105" t="s">
        <v>42676</v>
      </c>
      <c r="S4105" t="s">
        <v>42809</v>
      </c>
      <c r="T4105" t="s">
        <v>44651</v>
      </c>
      <c r="U4105" t="s">
        <v>48200</v>
      </c>
      <c r="W4105" t="s">
        <v>40334</v>
      </c>
      <c r="X4105" t="s">
        <v>42677</v>
      </c>
    </row>
    <row r="4106" spans="1:24">
      <c r="A4106">
        <f>HYPERLINK("https://www.philgeps.gov.ph/GEPSNONPILOT/Tender/SplashBidNoticeAbstractUI.aspx?menuIndex=3&amp;refID=7187417&amp;Result=3","7187417")</f>
        <v>0</v>
      </c>
      <c r="B4106" t="s">
        <v>1476</v>
      </c>
      <c r="C4106" t="s">
        <v>7459</v>
      </c>
      <c r="D4106" t="s">
        <v>17153</v>
      </c>
      <c r="E4106" t="s">
        <v>20839</v>
      </c>
      <c r="F4106" t="s">
        <v>29372</v>
      </c>
      <c r="G4106" t="s">
        <v>29380</v>
      </c>
      <c r="H4106" t="s">
        <v>11048</v>
      </c>
      <c r="I4106" t="s">
        <v>29423</v>
      </c>
      <c r="J4106" t="s">
        <v>29924</v>
      </c>
      <c r="K4106" t="s">
        <v>38496</v>
      </c>
      <c r="M4106" t="s">
        <v>40319</v>
      </c>
      <c r="N4106" t="s">
        <v>42669</v>
      </c>
      <c r="O4106" t="s">
        <v>42670</v>
      </c>
      <c r="P4106">
        <v>0</v>
      </c>
      <c r="Q4106">
        <v>3</v>
      </c>
      <c r="R4106" t="s">
        <v>42676</v>
      </c>
      <c r="S4106" t="s">
        <v>42809</v>
      </c>
      <c r="T4106" t="s">
        <v>44542</v>
      </c>
      <c r="U4106" t="s">
        <v>48201</v>
      </c>
      <c r="V4106" t="s">
        <v>56770</v>
      </c>
      <c r="W4106" t="s">
        <v>40319</v>
      </c>
      <c r="X4106" t="s">
        <v>42677</v>
      </c>
    </row>
    <row r="4107" spans="1:24">
      <c r="A4107">
        <f>HYPERLINK("https://www.philgeps.gov.ph/GEPSNONPILOT/Tender/SplashBidNoticeAbstractUI.aspx?menuIndex=3&amp;refID=7187399&amp;Result=3","7187399")</f>
        <v>0</v>
      </c>
      <c r="B4107" t="s">
        <v>1492</v>
      </c>
      <c r="C4107" t="s">
        <v>7460</v>
      </c>
      <c r="D4107" t="s">
        <v>17156</v>
      </c>
      <c r="E4107" t="s">
        <v>20840</v>
      </c>
      <c r="F4107" t="s">
        <v>29372</v>
      </c>
      <c r="G4107" t="s">
        <v>29379</v>
      </c>
      <c r="H4107" t="s">
        <v>11048</v>
      </c>
      <c r="I4107" t="s">
        <v>8208</v>
      </c>
      <c r="J4107" t="s">
        <v>32278</v>
      </c>
      <c r="K4107" t="s">
        <v>38490</v>
      </c>
      <c r="M4107" t="s">
        <v>40335</v>
      </c>
      <c r="N4107" t="s">
        <v>42669</v>
      </c>
      <c r="O4107" t="s">
        <v>42670</v>
      </c>
      <c r="P4107">
        <v>0</v>
      </c>
      <c r="Q4107">
        <v>0</v>
      </c>
      <c r="R4107" t="s">
        <v>42676</v>
      </c>
      <c r="S4107" t="s">
        <v>42809</v>
      </c>
      <c r="T4107" t="s">
        <v>44488</v>
      </c>
      <c r="U4107" t="s">
        <v>48202</v>
      </c>
      <c r="V4107" t="s">
        <v>56781</v>
      </c>
      <c r="W4107" t="s">
        <v>40335</v>
      </c>
      <c r="X4107" t="s">
        <v>42677</v>
      </c>
    </row>
    <row r="4108" spans="1:24">
      <c r="A4108">
        <f>HYPERLINK("https://www.philgeps.gov.ph/GEPSNONPILOT/Tender/SplashBidNoticeAbstractUI.aspx?menuIndex=3&amp;refID=7187418&amp;Result=3","7187418")</f>
        <v>0</v>
      </c>
      <c r="B4108" t="s">
        <v>1493</v>
      </c>
      <c r="C4108" t="s">
        <v>7461</v>
      </c>
      <c r="D4108" t="s">
        <v>17183</v>
      </c>
      <c r="E4108" t="s">
        <v>20841</v>
      </c>
      <c r="F4108" t="s">
        <v>29372</v>
      </c>
      <c r="G4108" t="s">
        <v>29379</v>
      </c>
      <c r="H4108" t="s">
        <v>11048</v>
      </c>
      <c r="I4108" t="s">
        <v>29476</v>
      </c>
      <c r="J4108" t="s">
        <v>32279</v>
      </c>
      <c r="K4108" t="s">
        <v>38488</v>
      </c>
      <c r="M4108" t="s">
        <v>40336</v>
      </c>
      <c r="N4108" t="s">
        <v>42669</v>
      </c>
      <c r="O4108" t="s">
        <v>42670</v>
      </c>
      <c r="P4108">
        <v>0</v>
      </c>
      <c r="Q4108">
        <v>8</v>
      </c>
      <c r="R4108" t="s">
        <v>42676</v>
      </c>
      <c r="S4108" t="s">
        <v>42809</v>
      </c>
      <c r="T4108" t="s">
        <v>44401</v>
      </c>
      <c r="U4108" t="s">
        <v>48203</v>
      </c>
      <c r="W4108" t="s">
        <v>40336</v>
      </c>
      <c r="X4108" t="s">
        <v>42677</v>
      </c>
    </row>
    <row r="4109" spans="1:24">
      <c r="A4109">
        <f>HYPERLINK("https://www.philgeps.gov.ph/GEPSNONPILOT/Tender/SplashBidNoticeAbstractUI.aspx?menuIndex=3&amp;refID=7187455&amp;Result=3","7187455")</f>
        <v>0</v>
      </c>
      <c r="B4109" t="s">
        <v>129</v>
      </c>
      <c r="C4109" t="s">
        <v>7462</v>
      </c>
      <c r="E4109" t="s">
        <v>20842</v>
      </c>
      <c r="F4109" t="s">
        <v>29372</v>
      </c>
      <c r="G4109" t="s">
        <v>29383</v>
      </c>
      <c r="H4109" t="s">
        <v>11048</v>
      </c>
      <c r="I4109" t="s">
        <v>29407</v>
      </c>
      <c r="J4109" t="s">
        <v>29822</v>
      </c>
      <c r="K4109" t="s">
        <v>38490</v>
      </c>
      <c r="M4109" t="s">
        <v>38884</v>
      </c>
      <c r="N4109" t="s">
        <v>42669</v>
      </c>
      <c r="O4109" t="s">
        <v>42670</v>
      </c>
      <c r="P4109">
        <v>0</v>
      </c>
      <c r="Q4109">
        <v>3</v>
      </c>
      <c r="R4109" t="s">
        <v>42676</v>
      </c>
      <c r="S4109" t="s">
        <v>42809</v>
      </c>
      <c r="T4109" t="s">
        <v>44417</v>
      </c>
      <c r="U4109" t="s">
        <v>48204</v>
      </c>
      <c r="W4109" t="s">
        <v>38884</v>
      </c>
      <c r="X4109" t="s">
        <v>42677</v>
      </c>
    </row>
    <row r="4110" spans="1:24">
      <c r="A4110">
        <f>HYPERLINK("https://www.philgeps.gov.ph/GEPSNONPILOT/Tender/SplashBidNoticeAbstractUI.aspx?menuIndex=3&amp;refID=7187379&amp;Result=3","7187379")</f>
        <v>0</v>
      </c>
      <c r="B4110" t="s">
        <v>1383</v>
      </c>
      <c r="C4110" t="s">
        <v>7463</v>
      </c>
      <c r="D4110" t="s">
        <v>17169</v>
      </c>
      <c r="E4110" t="s">
        <v>20592</v>
      </c>
      <c r="F4110" t="s">
        <v>29372</v>
      </c>
      <c r="G4110" t="s">
        <v>29380</v>
      </c>
      <c r="H4110" t="s">
        <v>29389</v>
      </c>
      <c r="I4110" t="s">
        <v>10408</v>
      </c>
      <c r="J4110" t="s">
        <v>32106</v>
      </c>
      <c r="K4110" t="s">
        <v>38487</v>
      </c>
      <c r="M4110" t="s">
        <v>40220</v>
      </c>
      <c r="N4110" t="s">
        <v>42669</v>
      </c>
      <c r="O4110" t="s">
        <v>42670</v>
      </c>
      <c r="P4110">
        <v>0</v>
      </c>
      <c r="Q4110">
        <v>1</v>
      </c>
      <c r="R4110" t="s">
        <v>42676</v>
      </c>
      <c r="S4110" t="s">
        <v>42809</v>
      </c>
      <c r="T4110" t="s">
        <v>44587</v>
      </c>
      <c r="U4110" t="s">
        <v>47960</v>
      </c>
      <c r="V4110" t="s">
        <v>56782</v>
      </c>
      <c r="W4110" t="s">
        <v>40220</v>
      </c>
      <c r="X4110" t="s">
        <v>42677</v>
      </c>
    </row>
    <row r="4111" spans="1:24">
      <c r="A4111">
        <f>HYPERLINK("https://www.philgeps.gov.ph/GEPSNONPILOT/Tender/SplashBidNoticeAbstractUI.aspx?menuIndex=3&amp;refID=7187414&amp;Result=3","7187414")</f>
        <v>0</v>
      </c>
      <c r="B4111" t="s">
        <v>129</v>
      </c>
      <c r="C4111" t="s">
        <v>7464</v>
      </c>
      <c r="E4111" t="s">
        <v>20843</v>
      </c>
      <c r="F4111" t="s">
        <v>29372</v>
      </c>
      <c r="G4111" t="s">
        <v>29383</v>
      </c>
      <c r="H4111" t="s">
        <v>11048</v>
      </c>
      <c r="I4111" t="s">
        <v>29407</v>
      </c>
      <c r="J4111" t="s">
        <v>31698</v>
      </c>
      <c r="K4111" t="s">
        <v>38490</v>
      </c>
      <c r="M4111" t="s">
        <v>38884</v>
      </c>
      <c r="N4111" t="s">
        <v>42669</v>
      </c>
      <c r="O4111" t="s">
        <v>42670</v>
      </c>
      <c r="P4111">
        <v>0</v>
      </c>
      <c r="Q4111">
        <v>5</v>
      </c>
      <c r="R4111" t="s">
        <v>42676</v>
      </c>
      <c r="S4111" t="s">
        <v>42809</v>
      </c>
      <c r="T4111" t="s">
        <v>44417</v>
      </c>
      <c r="U4111" t="s">
        <v>48205</v>
      </c>
      <c r="W4111" t="s">
        <v>38884</v>
      </c>
      <c r="X4111" t="s">
        <v>42677</v>
      </c>
    </row>
    <row r="4112" spans="1:24">
      <c r="A4112">
        <f>HYPERLINK("https://www.philgeps.gov.ph/GEPSNONPILOT/Tender/SplashBidNoticeAbstractUI.aspx?menuIndex=3&amp;refID=7187454&amp;Result=3","7187454")</f>
        <v>0</v>
      </c>
      <c r="B4112" t="s">
        <v>1476</v>
      </c>
      <c r="C4112" t="s">
        <v>7465</v>
      </c>
      <c r="D4112" t="s">
        <v>17153</v>
      </c>
      <c r="E4112" t="s">
        <v>20844</v>
      </c>
      <c r="F4112" t="s">
        <v>29372</v>
      </c>
      <c r="G4112" t="s">
        <v>29380</v>
      </c>
      <c r="H4112" t="s">
        <v>11048</v>
      </c>
      <c r="I4112" t="s">
        <v>8614</v>
      </c>
      <c r="J4112" t="s">
        <v>29774</v>
      </c>
      <c r="K4112" t="s">
        <v>38518</v>
      </c>
      <c r="M4112" t="s">
        <v>40319</v>
      </c>
      <c r="N4112" t="s">
        <v>42669</v>
      </c>
      <c r="O4112" t="s">
        <v>42670</v>
      </c>
      <c r="P4112">
        <v>0</v>
      </c>
      <c r="Q4112">
        <v>3</v>
      </c>
      <c r="R4112" t="s">
        <v>42676</v>
      </c>
      <c r="S4112" t="s">
        <v>42809</v>
      </c>
      <c r="T4112" t="s">
        <v>44542</v>
      </c>
      <c r="U4112" t="s">
        <v>48206</v>
      </c>
      <c r="V4112" t="s">
        <v>56770</v>
      </c>
      <c r="W4112" t="s">
        <v>40319</v>
      </c>
      <c r="X4112" t="s">
        <v>42677</v>
      </c>
    </row>
    <row r="4113" spans="1:24">
      <c r="A4113">
        <f>HYPERLINK("https://www.philgeps.gov.ph/GEPSNONPILOT/Tender/SplashBidNoticeAbstractUI.aspx?menuIndex=3&amp;refID=7187404&amp;Result=3","7187404")</f>
        <v>0</v>
      </c>
      <c r="B4113" t="s">
        <v>430</v>
      </c>
      <c r="C4113" t="s">
        <v>7466</v>
      </c>
      <c r="D4113" t="s">
        <v>17168</v>
      </c>
      <c r="E4113" t="s">
        <v>20845</v>
      </c>
      <c r="F4113" t="s">
        <v>29372</v>
      </c>
      <c r="G4113" t="s">
        <v>29380</v>
      </c>
      <c r="H4113" t="s">
        <v>11048</v>
      </c>
      <c r="I4113" t="s">
        <v>29417</v>
      </c>
      <c r="J4113" t="s">
        <v>32280</v>
      </c>
      <c r="K4113" t="s">
        <v>38485</v>
      </c>
      <c r="M4113" t="s">
        <v>40337</v>
      </c>
      <c r="N4113" t="s">
        <v>42669</v>
      </c>
      <c r="O4113" t="s">
        <v>42670</v>
      </c>
      <c r="P4113">
        <v>0</v>
      </c>
      <c r="Q4113">
        <v>0</v>
      </c>
      <c r="R4113" t="s">
        <v>42676</v>
      </c>
      <c r="S4113" t="s">
        <v>42809</v>
      </c>
      <c r="T4113" t="s">
        <v>44391</v>
      </c>
      <c r="U4113" t="s">
        <v>48207</v>
      </c>
      <c r="W4113" t="s">
        <v>40337</v>
      </c>
      <c r="X4113" t="s">
        <v>42677</v>
      </c>
    </row>
    <row r="4114" spans="1:24">
      <c r="A4114">
        <f>HYPERLINK("https://www.philgeps.gov.ph/GEPSNONPILOT/Tender/SplashBidNoticeAbstractUI.aspx?menuIndex=3&amp;refID=7187450&amp;Result=3","7187450")</f>
        <v>0</v>
      </c>
      <c r="B4114" t="s">
        <v>1494</v>
      </c>
      <c r="C4114" t="s">
        <v>7467</v>
      </c>
      <c r="D4114" t="s">
        <v>17197</v>
      </c>
      <c r="E4114" t="s">
        <v>19616</v>
      </c>
      <c r="F4114" t="s">
        <v>29372</v>
      </c>
      <c r="G4114" t="s">
        <v>29380</v>
      </c>
      <c r="H4114" t="s">
        <v>11048</v>
      </c>
      <c r="I4114" t="s">
        <v>3839</v>
      </c>
      <c r="J4114" t="s">
        <v>32281</v>
      </c>
      <c r="K4114" t="s">
        <v>38491</v>
      </c>
      <c r="M4114" t="s">
        <v>40338</v>
      </c>
      <c r="N4114" t="s">
        <v>42669</v>
      </c>
      <c r="O4114" t="s">
        <v>42670</v>
      </c>
      <c r="P4114">
        <v>0</v>
      </c>
      <c r="Q4114">
        <v>3</v>
      </c>
      <c r="R4114" t="s">
        <v>42676</v>
      </c>
      <c r="S4114" t="s">
        <v>42809</v>
      </c>
      <c r="T4114" t="s">
        <v>44371</v>
      </c>
      <c r="U4114" t="s">
        <v>48208</v>
      </c>
      <c r="W4114" t="s">
        <v>40338</v>
      </c>
      <c r="X4114" t="s">
        <v>42677</v>
      </c>
    </row>
    <row r="4115" spans="1:24">
      <c r="A4115">
        <f>HYPERLINK("https://www.philgeps.gov.ph/GEPSNONPILOT/Tender/SplashBidNoticeAbstractUI.aspx?menuIndex=3&amp;refID=7187437&amp;Result=3","7187437")</f>
        <v>0</v>
      </c>
      <c r="B4115" t="s">
        <v>1495</v>
      </c>
      <c r="C4115" t="s">
        <v>7468</v>
      </c>
      <c r="D4115" t="s">
        <v>17177</v>
      </c>
      <c r="E4115" t="s">
        <v>20846</v>
      </c>
      <c r="F4115" t="s">
        <v>29372</v>
      </c>
      <c r="G4115" t="s">
        <v>29380</v>
      </c>
      <c r="H4115" t="s">
        <v>11048</v>
      </c>
      <c r="I4115" t="s">
        <v>4709</v>
      </c>
      <c r="J4115" t="s">
        <v>32282</v>
      </c>
      <c r="K4115" t="s">
        <v>38491</v>
      </c>
      <c r="M4115" t="s">
        <v>40339</v>
      </c>
      <c r="N4115" t="s">
        <v>42669</v>
      </c>
      <c r="O4115" t="s">
        <v>42670</v>
      </c>
      <c r="P4115">
        <v>0</v>
      </c>
      <c r="Q4115">
        <v>0</v>
      </c>
      <c r="R4115" t="s">
        <v>42676</v>
      </c>
      <c r="S4115" t="s">
        <v>42809</v>
      </c>
      <c r="T4115" t="s">
        <v>44456</v>
      </c>
      <c r="U4115" t="s">
        <v>48209</v>
      </c>
      <c r="V4115" t="s">
        <v>56783</v>
      </c>
      <c r="W4115" t="s">
        <v>40339</v>
      </c>
      <c r="X4115" t="s">
        <v>42677</v>
      </c>
    </row>
    <row r="4116" spans="1:24">
      <c r="A4116">
        <f>HYPERLINK("https://www.philgeps.gov.ph/GEPSNONPILOT/Tender/SplashBidNoticeAbstractUI.aspx?menuIndex=3&amp;refID=7187448&amp;Result=3","7187448")</f>
        <v>0</v>
      </c>
      <c r="B4116" t="s">
        <v>1435</v>
      </c>
      <c r="C4116" t="s">
        <v>7469</v>
      </c>
      <c r="D4116" t="s">
        <v>17194</v>
      </c>
      <c r="E4116" t="s">
        <v>19258</v>
      </c>
      <c r="F4116" t="s">
        <v>29375</v>
      </c>
      <c r="G4116" t="s">
        <v>29380</v>
      </c>
      <c r="H4116" t="s">
        <v>11048</v>
      </c>
      <c r="I4116" t="s">
        <v>5383</v>
      </c>
      <c r="J4116" t="s">
        <v>32283</v>
      </c>
      <c r="K4116" t="s">
        <v>38491</v>
      </c>
      <c r="M4116" t="s">
        <v>40275</v>
      </c>
      <c r="N4116" t="s">
        <v>42669</v>
      </c>
      <c r="O4116" t="s">
        <v>42670</v>
      </c>
      <c r="P4116">
        <v>0</v>
      </c>
      <c r="Q4116">
        <v>0</v>
      </c>
      <c r="R4116" t="s">
        <v>42676</v>
      </c>
      <c r="S4116" t="s">
        <v>42809</v>
      </c>
      <c r="T4116" t="s">
        <v>44474</v>
      </c>
      <c r="U4116" t="s">
        <v>48210</v>
      </c>
      <c r="W4116" t="s">
        <v>40275</v>
      </c>
      <c r="X4116" t="s">
        <v>42677</v>
      </c>
    </row>
    <row r="4117" spans="1:24">
      <c r="A4117">
        <f>HYPERLINK("https://www.philgeps.gov.ph/GEPSNONPILOT/Tender/SplashBidNoticeAbstractUI.aspx?menuIndex=3&amp;refID=7187424&amp;Result=3","7187424")</f>
        <v>0</v>
      </c>
      <c r="B4117" t="s">
        <v>1376</v>
      </c>
      <c r="C4117" t="s">
        <v>7470</v>
      </c>
      <c r="D4117" t="s">
        <v>17161</v>
      </c>
      <c r="E4117" t="s">
        <v>20847</v>
      </c>
      <c r="F4117" t="s">
        <v>29372</v>
      </c>
      <c r="G4117" t="s">
        <v>29380</v>
      </c>
      <c r="H4117" t="s">
        <v>29389</v>
      </c>
      <c r="I4117" t="s">
        <v>10408</v>
      </c>
      <c r="J4117" t="s">
        <v>30335</v>
      </c>
      <c r="K4117" t="s">
        <v>38598</v>
      </c>
      <c r="M4117" t="s">
        <v>40213</v>
      </c>
      <c r="N4117" t="s">
        <v>42669</v>
      </c>
      <c r="O4117" t="s">
        <v>42670</v>
      </c>
      <c r="P4117">
        <v>0</v>
      </c>
      <c r="Q4117">
        <v>0</v>
      </c>
      <c r="R4117" t="s">
        <v>42676</v>
      </c>
      <c r="S4117" t="s">
        <v>42809</v>
      </c>
      <c r="T4117" t="s">
        <v>44450</v>
      </c>
      <c r="U4117" t="s">
        <v>48211</v>
      </c>
      <c r="V4117" t="s">
        <v>56711</v>
      </c>
      <c r="W4117" t="s">
        <v>40213</v>
      </c>
      <c r="X4117" t="s">
        <v>42677</v>
      </c>
    </row>
    <row r="4118" spans="1:24">
      <c r="A4118">
        <f>HYPERLINK("https://www.philgeps.gov.ph/GEPSNONPILOT/Tender/SplashBidNoticeAbstractUI.aspx?menuIndex=3&amp;refID=7187446&amp;Result=3","7187446")</f>
        <v>0</v>
      </c>
      <c r="B4118" t="s">
        <v>1419</v>
      </c>
      <c r="C4118" t="s">
        <v>7471</v>
      </c>
      <c r="D4118" t="s">
        <v>17149</v>
      </c>
      <c r="E4118" t="s">
        <v>20848</v>
      </c>
      <c r="F4118" t="s">
        <v>29372</v>
      </c>
      <c r="G4118" t="s">
        <v>29383</v>
      </c>
      <c r="H4118" t="s">
        <v>11048</v>
      </c>
      <c r="I4118" t="s">
        <v>29404</v>
      </c>
      <c r="J4118" t="s">
        <v>31053</v>
      </c>
      <c r="K4118" t="s">
        <v>38534</v>
      </c>
      <c r="M4118" t="s">
        <v>40258</v>
      </c>
      <c r="N4118" t="s">
        <v>42669</v>
      </c>
      <c r="O4118" t="s">
        <v>42670</v>
      </c>
      <c r="P4118">
        <v>0</v>
      </c>
      <c r="Q4118">
        <v>0</v>
      </c>
      <c r="R4118" t="s">
        <v>42676</v>
      </c>
      <c r="S4118" t="s">
        <v>42809</v>
      </c>
      <c r="T4118" t="s">
        <v>44401</v>
      </c>
      <c r="U4118" t="s">
        <v>48212</v>
      </c>
      <c r="V4118" t="s">
        <v>56784</v>
      </c>
      <c r="W4118" t="s">
        <v>40258</v>
      </c>
      <c r="X4118" t="s">
        <v>42677</v>
      </c>
    </row>
    <row r="4119" spans="1:24">
      <c r="A4119">
        <f>HYPERLINK("https://www.philgeps.gov.ph/GEPSNONPILOT/Tender/SplashBidNoticeAbstractUI.aspx?menuIndex=3&amp;refID=7187464&amp;Result=3","7187464")</f>
        <v>0</v>
      </c>
      <c r="B4119" t="s">
        <v>959</v>
      </c>
      <c r="C4119" t="s">
        <v>7472</v>
      </c>
      <c r="D4119" t="s">
        <v>17145</v>
      </c>
      <c r="E4119" t="s">
        <v>20849</v>
      </c>
      <c r="F4119" t="s">
        <v>29372</v>
      </c>
      <c r="G4119" t="s">
        <v>29379</v>
      </c>
      <c r="H4119" t="s">
        <v>11048</v>
      </c>
      <c r="I4119" t="s">
        <v>4709</v>
      </c>
      <c r="J4119" t="s">
        <v>32284</v>
      </c>
      <c r="K4119" t="s">
        <v>38491</v>
      </c>
      <c r="M4119" t="s">
        <v>40292</v>
      </c>
      <c r="N4119" t="s">
        <v>42669</v>
      </c>
      <c r="O4119" t="s">
        <v>42670</v>
      </c>
      <c r="P4119">
        <v>0</v>
      </c>
      <c r="Q4119">
        <v>0</v>
      </c>
      <c r="R4119" t="s">
        <v>42676</v>
      </c>
      <c r="S4119" t="s">
        <v>42809</v>
      </c>
      <c r="T4119" t="s">
        <v>44427</v>
      </c>
      <c r="U4119" t="s">
        <v>48213</v>
      </c>
      <c r="W4119" t="s">
        <v>40292</v>
      </c>
      <c r="X4119" t="s">
        <v>42677</v>
      </c>
    </row>
    <row r="4120" spans="1:24">
      <c r="A4120">
        <f>HYPERLINK("https://www.philgeps.gov.ph/GEPSNONPILOT/Tender/SplashBidNoticeAbstractUI.aspx?menuIndex=3&amp;refID=7187463&amp;Result=3","7187463")</f>
        <v>0</v>
      </c>
      <c r="B4120" t="s">
        <v>1051</v>
      </c>
      <c r="C4120" t="s">
        <v>7473</v>
      </c>
      <c r="D4120" t="s">
        <v>17174</v>
      </c>
      <c r="E4120" t="s">
        <v>20850</v>
      </c>
      <c r="F4120" t="s">
        <v>29372</v>
      </c>
      <c r="G4120" t="s">
        <v>29379</v>
      </c>
      <c r="H4120" t="s">
        <v>11048</v>
      </c>
      <c r="I4120" t="s">
        <v>29398</v>
      </c>
      <c r="J4120" t="s">
        <v>29555</v>
      </c>
      <c r="K4120" t="s">
        <v>38491</v>
      </c>
      <c r="M4120" t="s">
        <v>39858</v>
      </c>
      <c r="N4120" t="s">
        <v>42669</v>
      </c>
      <c r="O4120" t="s">
        <v>42670</v>
      </c>
      <c r="P4120">
        <v>0</v>
      </c>
      <c r="Q4120">
        <v>3</v>
      </c>
      <c r="R4120" t="s">
        <v>42676</v>
      </c>
      <c r="S4120" t="s">
        <v>42809</v>
      </c>
      <c r="T4120" t="s">
        <v>44401</v>
      </c>
      <c r="U4120" t="s">
        <v>48214</v>
      </c>
      <c r="W4120" t="s">
        <v>39858</v>
      </c>
      <c r="X4120" t="s">
        <v>42677</v>
      </c>
    </row>
    <row r="4121" spans="1:24">
      <c r="A4121">
        <f>HYPERLINK("https://www.philgeps.gov.ph/GEPSNONPILOT/Tender/SplashBidNoticeAbstractUI.aspx?menuIndex=3&amp;refID=7187462&amp;Result=3","7187462")</f>
        <v>0</v>
      </c>
      <c r="B4121" t="s">
        <v>1184</v>
      </c>
      <c r="C4121" t="s">
        <v>7474</v>
      </c>
      <c r="D4121" t="s">
        <v>17205</v>
      </c>
      <c r="E4121" t="s">
        <v>20851</v>
      </c>
      <c r="F4121" t="s">
        <v>29372</v>
      </c>
      <c r="G4121" t="s">
        <v>29379</v>
      </c>
      <c r="H4121" t="s">
        <v>11048</v>
      </c>
      <c r="I4121" t="s">
        <v>29402</v>
      </c>
      <c r="J4121" t="s">
        <v>29764</v>
      </c>
      <c r="K4121" t="s">
        <v>38488</v>
      </c>
      <c r="M4121" t="s">
        <v>40000</v>
      </c>
      <c r="N4121" t="s">
        <v>42669</v>
      </c>
      <c r="O4121" t="s">
        <v>42670</v>
      </c>
      <c r="P4121">
        <v>0</v>
      </c>
      <c r="Q4121">
        <v>1</v>
      </c>
      <c r="R4121" t="s">
        <v>42676</v>
      </c>
      <c r="S4121" t="s">
        <v>42809</v>
      </c>
      <c r="T4121" t="s">
        <v>44429</v>
      </c>
      <c r="U4121" t="s">
        <v>48215</v>
      </c>
      <c r="W4121" t="s">
        <v>40000</v>
      </c>
      <c r="X4121" t="s">
        <v>42677</v>
      </c>
    </row>
    <row r="4122" spans="1:24">
      <c r="A4122">
        <f>HYPERLINK("https://www.philgeps.gov.ph/GEPSNONPILOT/Tender/SplashBidNoticeAbstractUI.aspx?menuIndex=3&amp;refID=7187453&amp;Result=3","7187453")</f>
        <v>0</v>
      </c>
      <c r="B4122" t="s">
        <v>1434</v>
      </c>
      <c r="C4122" t="s">
        <v>7475</v>
      </c>
      <c r="D4122" t="s">
        <v>17198</v>
      </c>
      <c r="E4122" t="s">
        <v>20852</v>
      </c>
      <c r="F4122" t="s">
        <v>29372</v>
      </c>
      <c r="G4122" t="s">
        <v>29379</v>
      </c>
      <c r="H4122" t="s">
        <v>11048</v>
      </c>
      <c r="I4122" t="s">
        <v>9469</v>
      </c>
      <c r="J4122" t="s">
        <v>29555</v>
      </c>
      <c r="K4122" t="s">
        <v>38491</v>
      </c>
      <c r="M4122" t="s">
        <v>40274</v>
      </c>
      <c r="N4122" t="s">
        <v>42669</v>
      </c>
      <c r="O4122" t="s">
        <v>42670</v>
      </c>
      <c r="P4122">
        <v>0</v>
      </c>
      <c r="Q4122">
        <v>0</v>
      </c>
      <c r="R4122" t="s">
        <v>42676</v>
      </c>
      <c r="S4122" t="s">
        <v>42809</v>
      </c>
      <c r="T4122" t="s">
        <v>44371</v>
      </c>
      <c r="U4122" t="s">
        <v>48064</v>
      </c>
      <c r="V4122" t="s">
        <v>56749</v>
      </c>
      <c r="W4122" t="s">
        <v>40274</v>
      </c>
      <c r="X4122" t="s">
        <v>42677</v>
      </c>
    </row>
    <row r="4123" spans="1:24">
      <c r="A4123">
        <f>HYPERLINK("https://www.philgeps.gov.ph/GEPSNONPILOT/Tender/SplashBidNoticeAbstractUI.aspx?menuIndex=3&amp;refID=7187459&amp;Result=3","7187459")</f>
        <v>0</v>
      </c>
      <c r="B4123" t="s">
        <v>911</v>
      </c>
      <c r="C4123" t="s">
        <v>7438</v>
      </c>
      <c r="D4123" t="s">
        <v>17144</v>
      </c>
      <c r="E4123" t="s">
        <v>20853</v>
      </c>
      <c r="F4123" t="s">
        <v>29372</v>
      </c>
      <c r="G4123" t="s">
        <v>29380</v>
      </c>
      <c r="H4123" t="s">
        <v>11048</v>
      </c>
      <c r="I4123" t="s">
        <v>3695</v>
      </c>
      <c r="J4123" t="s">
        <v>32285</v>
      </c>
      <c r="K4123" t="s">
        <v>38485</v>
      </c>
      <c r="M4123" t="s">
        <v>39704</v>
      </c>
      <c r="N4123" t="s">
        <v>42669</v>
      </c>
      <c r="O4123" t="s">
        <v>42670</v>
      </c>
      <c r="P4123">
        <v>0</v>
      </c>
      <c r="Q4123">
        <v>2</v>
      </c>
      <c r="R4123" t="s">
        <v>42676</v>
      </c>
      <c r="S4123" t="s">
        <v>42809</v>
      </c>
      <c r="T4123" t="s">
        <v>44368</v>
      </c>
      <c r="U4123" t="s">
        <v>48216</v>
      </c>
      <c r="W4123" t="s">
        <v>39704</v>
      </c>
      <c r="X4123" t="s">
        <v>42677</v>
      </c>
    </row>
    <row r="4124" spans="1:24">
      <c r="A4124">
        <f>HYPERLINK("https://www.philgeps.gov.ph/GEPSNONPILOT/Tender/SplashBidNoticeAbstractUI.aspx?menuIndex=3&amp;refID=7187458&amp;Result=3","7187458")</f>
        <v>0</v>
      </c>
      <c r="B4124" t="s">
        <v>1383</v>
      </c>
      <c r="C4124" t="s">
        <v>7476</v>
      </c>
      <c r="D4124" t="s">
        <v>17169</v>
      </c>
      <c r="E4124" t="s">
        <v>20592</v>
      </c>
      <c r="F4124" t="s">
        <v>29372</v>
      </c>
      <c r="G4124" t="s">
        <v>29380</v>
      </c>
      <c r="H4124" t="s">
        <v>29389</v>
      </c>
      <c r="I4124" t="s">
        <v>10408</v>
      </c>
      <c r="J4124" t="s">
        <v>32274</v>
      </c>
      <c r="K4124" t="s">
        <v>38496</v>
      </c>
      <c r="M4124" t="s">
        <v>40220</v>
      </c>
      <c r="N4124" t="s">
        <v>42669</v>
      </c>
      <c r="O4124" t="s">
        <v>42670</v>
      </c>
      <c r="P4124">
        <v>0</v>
      </c>
      <c r="Q4124">
        <v>1</v>
      </c>
      <c r="R4124" t="s">
        <v>42676</v>
      </c>
      <c r="S4124" t="s">
        <v>42809</v>
      </c>
      <c r="T4124" t="s">
        <v>44587</v>
      </c>
      <c r="U4124" t="s">
        <v>47960</v>
      </c>
      <c r="V4124" t="s">
        <v>56785</v>
      </c>
      <c r="W4124" t="s">
        <v>40220</v>
      </c>
      <c r="X4124" t="s">
        <v>42677</v>
      </c>
    </row>
    <row r="4125" spans="1:24">
      <c r="A4125">
        <f>HYPERLINK("https://www.philgeps.gov.ph/GEPSNONPILOT/Tender/SplashBidNoticeAbstractUI.aspx?menuIndex=3&amp;refID=7187445&amp;Result=3","7187445")</f>
        <v>0</v>
      </c>
      <c r="B4125" t="s">
        <v>1493</v>
      </c>
      <c r="C4125" t="s">
        <v>7477</v>
      </c>
      <c r="D4125" t="s">
        <v>17183</v>
      </c>
      <c r="E4125" t="s">
        <v>20854</v>
      </c>
      <c r="F4125" t="s">
        <v>29372</v>
      </c>
      <c r="G4125" t="s">
        <v>29379</v>
      </c>
      <c r="H4125" t="s">
        <v>11048</v>
      </c>
      <c r="I4125" t="s">
        <v>29393</v>
      </c>
      <c r="J4125" t="s">
        <v>32286</v>
      </c>
      <c r="K4125" t="s">
        <v>38488</v>
      </c>
      <c r="M4125" t="s">
        <v>40336</v>
      </c>
      <c r="N4125" t="s">
        <v>42669</v>
      </c>
      <c r="O4125" t="s">
        <v>42670</v>
      </c>
      <c r="P4125">
        <v>0</v>
      </c>
      <c r="Q4125">
        <v>0</v>
      </c>
      <c r="R4125" t="s">
        <v>42676</v>
      </c>
      <c r="S4125" t="s">
        <v>42809</v>
      </c>
      <c r="T4125" t="s">
        <v>44401</v>
      </c>
      <c r="U4125" t="s">
        <v>48203</v>
      </c>
      <c r="W4125" t="s">
        <v>40336</v>
      </c>
      <c r="X4125" t="s">
        <v>42677</v>
      </c>
    </row>
    <row r="4126" spans="1:24">
      <c r="A4126">
        <f>HYPERLINK("https://www.philgeps.gov.ph/GEPSNONPILOT/Tender/SplashBidNoticeAbstractUI.aspx?menuIndex=3&amp;refID=7187451&amp;Result=3","7187451")</f>
        <v>0</v>
      </c>
      <c r="B4126" t="s">
        <v>1496</v>
      </c>
      <c r="C4126" t="s">
        <v>7478</v>
      </c>
      <c r="D4126" t="s">
        <v>17186</v>
      </c>
      <c r="E4126" t="s">
        <v>20855</v>
      </c>
      <c r="F4126" t="s">
        <v>29372</v>
      </c>
      <c r="G4126" t="s">
        <v>29380</v>
      </c>
      <c r="H4126" t="s">
        <v>11048</v>
      </c>
      <c r="I4126" t="s">
        <v>3670</v>
      </c>
      <c r="J4126" t="s">
        <v>30412</v>
      </c>
      <c r="K4126" t="s">
        <v>38485</v>
      </c>
      <c r="M4126" t="s">
        <v>40340</v>
      </c>
      <c r="N4126" t="s">
        <v>42669</v>
      </c>
      <c r="O4126" t="s">
        <v>42670</v>
      </c>
      <c r="P4126">
        <v>0</v>
      </c>
      <c r="Q4126">
        <v>2</v>
      </c>
      <c r="R4126" t="s">
        <v>42676</v>
      </c>
      <c r="S4126" t="s">
        <v>42809</v>
      </c>
      <c r="T4126" t="s">
        <v>44462</v>
      </c>
      <c r="U4126" t="s">
        <v>48217</v>
      </c>
      <c r="W4126" t="s">
        <v>40340</v>
      </c>
      <c r="X4126" t="s">
        <v>42677</v>
      </c>
    </row>
    <row r="4127" spans="1:24">
      <c r="A4127">
        <f>HYPERLINK("https://www.philgeps.gov.ph/GEPSNONPILOT/Tender/SplashBidNoticeAbstractUI.aspx?menuIndex=3&amp;refID=7187443&amp;Result=3","7187443")</f>
        <v>0</v>
      </c>
      <c r="B4127" t="s">
        <v>1497</v>
      </c>
      <c r="C4127" t="s">
        <v>3841</v>
      </c>
      <c r="D4127" t="s">
        <v>17178</v>
      </c>
      <c r="E4127" t="s">
        <v>20856</v>
      </c>
      <c r="F4127" t="s">
        <v>29372</v>
      </c>
      <c r="G4127" t="s">
        <v>29380</v>
      </c>
      <c r="H4127" t="s">
        <v>11048</v>
      </c>
      <c r="I4127" t="s">
        <v>3952</v>
      </c>
      <c r="J4127" t="s">
        <v>32287</v>
      </c>
      <c r="K4127" t="s">
        <v>38485</v>
      </c>
      <c r="M4127" t="s">
        <v>40341</v>
      </c>
      <c r="N4127" t="s">
        <v>42669</v>
      </c>
      <c r="O4127" t="s">
        <v>42670</v>
      </c>
      <c r="P4127">
        <v>0</v>
      </c>
      <c r="Q4127">
        <v>2</v>
      </c>
      <c r="R4127" t="s">
        <v>42676</v>
      </c>
      <c r="S4127" t="s">
        <v>42809</v>
      </c>
      <c r="T4127" t="s">
        <v>44552</v>
      </c>
      <c r="U4127" t="s">
        <v>48218</v>
      </c>
      <c r="W4127" t="s">
        <v>40341</v>
      </c>
      <c r="X4127" t="s">
        <v>42677</v>
      </c>
    </row>
    <row r="4128" spans="1:24">
      <c r="A4128">
        <f>HYPERLINK("https://www.philgeps.gov.ph/GEPSNONPILOT/Tender/SplashBidNoticeAbstractUI.aspx?menuIndex=3&amp;refID=7187441&amp;Result=3","7187441")</f>
        <v>0</v>
      </c>
      <c r="B4128" t="s">
        <v>1498</v>
      </c>
      <c r="C4128" t="s">
        <v>7479</v>
      </c>
      <c r="D4128" t="s">
        <v>17147</v>
      </c>
      <c r="E4128" t="s">
        <v>20857</v>
      </c>
      <c r="F4128" t="s">
        <v>29372</v>
      </c>
      <c r="G4128" t="s">
        <v>29379</v>
      </c>
      <c r="H4128" t="s">
        <v>11048</v>
      </c>
      <c r="I4128" t="s">
        <v>29444</v>
      </c>
      <c r="J4128" t="s">
        <v>32288</v>
      </c>
      <c r="K4128" t="s">
        <v>38491</v>
      </c>
      <c r="M4128" t="s">
        <v>40342</v>
      </c>
      <c r="N4128" t="s">
        <v>42669</v>
      </c>
      <c r="O4128" t="s">
        <v>42670</v>
      </c>
      <c r="P4128">
        <v>0</v>
      </c>
      <c r="Q4128">
        <v>2</v>
      </c>
      <c r="R4128" t="s">
        <v>42676</v>
      </c>
      <c r="S4128" t="s">
        <v>42809</v>
      </c>
      <c r="T4128" t="s">
        <v>44399</v>
      </c>
      <c r="U4128" t="s">
        <v>48219</v>
      </c>
      <c r="W4128" t="s">
        <v>40342</v>
      </c>
      <c r="X4128" t="s">
        <v>42677</v>
      </c>
    </row>
    <row r="4129" spans="1:24">
      <c r="A4129">
        <f>HYPERLINK("https://www.philgeps.gov.ph/GEPSNONPILOT/Tender/SplashBidNoticeAbstractUI.aspx?menuIndex=3&amp;refID=7187439&amp;Result=3","7187439")</f>
        <v>0</v>
      </c>
      <c r="B4129" t="s">
        <v>1499</v>
      </c>
      <c r="C4129" t="s">
        <v>7480</v>
      </c>
      <c r="D4129" t="s">
        <v>17231</v>
      </c>
      <c r="E4129" t="s">
        <v>20858</v>
      </c>
      <c r="F4129" t="s">
        <v>29372</v>
      </c>
      <c r="G4129" t="s">
        <v>29381</v>
      </c>
      <c r="H4129" t="s">
        <v>11048</v>
      </c>
      <c r="I4129" t="s">
        <v>29393</v>
      </c>
      <c r="J4129" t="s">
        <v>32289</v>
      </c>
      <c r="K4129" t="s">
        <v>38496</v>
      </c>
      <c r="M4129" t="s">
        <v>40343</v>
      </c>
      <c r="N4129" t="s">
        <v>42669</v>
      </c>
      <c r="O4129" t="s">
        <v>42670</v>
      </c>
      <c r="P4129">
        <v>0</v>
      </c>
      <c r="Q4129">
        <v>0</v>
      </c>
      <c r="R4129" t="s">
        <v>42676</v>
      </c>
      <c r="S4129" t="s">
        <v>42809</v>
      </c>
      <c r="T4129" t="s">
        <v>44652</v>
      </c>
      <c r="U4129" t="s">
        <v>48220</v>
      </c>
      <c r="W4129" t="s">
        <v>40343</v>
      </c>
      <c r="X4129" t="s">
        <v>42677</v>
      </c>
    </row>
    <row r="4130" spans="1:24">
      <c r="A4130">
        <f>HYPERLINK("https://www.philgeps.gov.ph/GEPSNONPILOT/Tender/SplashBidNoticeAbstractUI.aspx?menuIndex=3&amp;refID=7187468&amp;Result=3","7187468")</f>
        <v>0</v>
      </c>
      <c r="B4130" t="s">
        <v>1500</v>
      </c>
      <c r="C4130" t="s">
        <v>7481</v>
      </c>
      <c r="D4130" t="s">
        <v>17194</v>
      </c>
      <c r="E4130" t="s">
        <v>20859</v>
      </c>
      <c r="F4130" t="s">
        <v>29372</v>
      </c>
      <c r="G4130" t="s">
        <v>29380</v>
      </c>
      <c r="H4130" t="s">
        <v>11048</v>
      </c>
      <c r="I4130" t="s">
        <v>5383</v>
      </c>
      <c r="J4130" t="s">
        <v>32290</v>
      </c>
      <c r="K4130" t="s">
        <v>38510</v>
      </c>
      <c r="M4130" t="s">
        <v>40344</v>
      </c>
      <c r="N4130" t="s">
        <v>42669</v>
      </c>
      <c r="O4130" t="s">
        <v>42670</v>
      </c>
      <c r="P4130">
        <v>0</v>
      </c>
      <c r="Q4130">
        <v>5</v>
      </c>
      <c r="R4130" t="s">
        <v>42676</v>
      </c>
      <c r="S4130" t="s">
        <v>42809</v>
      </c>
      <c r="T4130" t="s">
        <v>44399</v>
      </c>
      <c r="U4130" t="s">
        <v>48221</v>
      </c>
      <c r="W4130" t="s">
        <v>40344</v>
      </c>
      <c r="X4130" t="s">
        <v>42677</v>
      </c>
    </row>
    <row r="4131" spans="1:24">
      <c r="A4131">
        <f>HYPERLINK("https://www.philgeps.gov.ph/GEPSNONPILOT/Tender/SplashBidNoticeAbstractUI.aspx?menuIndex=3&amp;refID=7187457&amp;Result=3","7187457")</f>
        <v>0</v>
      </c>
      <c r="B4131" t="s">
        <v>1501</v>
      </c>
      <c r="C4131" t="s">
        <v>7482</v>
      </c>
      <c r="D4131" t="s">
        <v>17179</v>
      </c>
      <c r="E4131" t="s">
        <v>20860</v>
      </c>
      <c r="F4131" t="s">
        <v>29372</v>
      </c>
      <c r="G4131" t="s">
        <v>29380</v>
      </c>
      <c r="H4131" t="s">
        <v>11048</v>
      </c>
      <c r="I4131" t="s">
        <v>9469</v>
      </c>
      <c r="J4131" t="s">
        <v>29540</v>
      </c>
      <c r="K4131" t="s">
        <v>38485</v>
      </c>
      <c r="M4131" t="s">
        <v>40345</v>
      </c>
      <c r="N4131" t="s">
        <v>42669</v>
      </c>
      <c r="O4131" t="s">
        <v>42670</v>
      </c>
      <c r="P4131">
        <v>0</v>
      </c>
      <c r="Q4131">
        <v>3</v>
      </c>
      <c r="R4131" t="s">
        <v>42676</v>
      </c>
      <c r="S4131" t="s">
        <v>42809</v>
      </c>
      <c r="T4131" t="s">
        <v>44450</v>
      </c>
      <c r="U4131" t="s">
        <v>48222</v>
      </c>
      <c r="W4131" t="s">
        <v>40345</v>
      </c>
      <c r="X4131" t="s">
        <v>42677</v>
      </c>
    </row>
    <row r="4132" spans="1:24">
      <c r="A4132">
        <f>HYPERLINK("https://www.philgeps.gov.ph/GEPSNONPILOT/Tender/SplashBidNoticeAbstractUI.aspx?menuIndex=3&amp;refID=7187440&amp;Result=3","7187440")</f>
        <v>0</v>
      </c>
      <c r="B4132" t="s">
        <v>898</v>
      </c>
      <c r="C4132" t="s">
        <v>7483</v>
      </c>
      <c r="D4132" t="s">
        <v>17142</v>
      </c>
      <c r="E4132" t="s">
        <v>20861</v>
      </c>
      <c r="F4132" t="s">
        <v>29372</v>
      </c>
      <c r="G4132" t="s">
        <v>29379</v>
      </c>
      <c r="H4132" t="s">
        <v>11048</v>
      </c>
      <c r="I4132" t="s">
        <v>29403</v>
      </c>
      <c r="J4132" t="s">
        <v>32291</v>
      </c>
      <c r="K4132" t="s">
        <v>38490</v>
      </c>
      <c r="M4132" t="s">
        <v>39691</v>
      </c>
      <c r="N4132" t="s">
        <v>42669</v>
      </c>
      <c r="O4132" t="s">
        <v>42670</v>
      </c>
      <c r="P4132">
        <v>0</v>
      </c>
      <c r="Q4132">
        <v>0</v>
      </c>
      <c r="R4132" t="s">
        <v>42676</v>
      </c>
      <c r="S4132" t="s">
        <v>42809</v>
      </c>
      <c r="T4132" t="s">
        <v>44417</v>
      </c>
      <c r="U4132" t="s">
        <v>48223</v>
      </c>
      <c r="V4132" t="s">
        <v>56576</v>
      </c>
      <c r="W4132" t="s">
        <v>39691</v>
      </c>
      <c r="X4132" t="s">
        <v>42677</v>
      </c>
    </row>
    <row r="4133" spans="1:24">
      <c r="A4133">
        <f>HYPERLINK("https://www.philgeps.gov.ph/GEPSNONPILOT/Tender/SplashBidNoticeAbstractUI.aspx?menuIndex=3&amp;refID=7187501&amp;Result=3","7187501")</f>
        <v>0</v>
      </c>
      <c r="B4133" t="s">
        <v>1184</v>
      </c>
      <c r="C4133" t="s">
        <v>7484</v>
      </c>
      <c r="D4133" t="s">
        <v>17205</v>
      </c>
      <c r="E4133" t="s">
        <v>20862</v>
      </c>
      <c r="F4133" t="s">
        <v>29372</v>
      </c>
      <c r="G4133" t="s">
        <v>29379</v>
      </c>
      <c r="H4133" t="s">
        <v>11048</v>
      </c>
      <c r="I4133" t="s">
        <v>4709</v>
      </c>
      <c r="J4133" t="s">
        <v>32292</v>
      </c>
      <c r="K4133" t="s">
        <v>38488</v>
      </c>
      <c r="M4133" t="s">
        <v>40000</v>
      </c>
      <c r="N4133" t="s">
        <v>42669</v>
      </c>
      <c r="O4133" t="s">
        <v>42670</v>
      </c>
      <c r="P4133">
        <v>0</v>
      </c>
      <c r="Q4133">
        <v>3</v>
      </c>
      <c r="R4133" t="s">
        <v>42676</v>
      </c>
      <c r="S4133" t="s">
        <v>42809</v>
      </c>
      <c r="T4133" t="s">
        <v>44429</v>
      </c>
      <c r="U4133" t="s">
        <v>48224</v>
      </c>
      <c r="W4133" t="s">
        <v>40000</v>
      </c>
      <c r="X4133" t="s">
        <v>42677</v>
      </c>
    </row>
    <row r="4134" spans="1:24">
      <c r="A4134">
        <f>HYPERLINK("https://www.philgeps.gov.ph/GEPSNONPILOT/Tender/SplashBidNoticeAbstractUI.aspx?menuIndex=3&amp;refID=7187497&amp;Result=3","7187497")</f>
        <v>0</v>
      </c>
      <c r="B4134" t="s">
        <v>1502</v>
      </c>
      <c r="C4134" t="s">
        <v>7485</v>
      </c>
      <c r="D4134" t="s">
        <v>17213</v>
      </c>
      <c r="E4134" t="s">
        <v>20863</v>
      </c>
      <c r="F4134" t="s">
        <v>29372</v>
      </c>
      <c r="G4134" t="s">
        <v>29383</v>
      </c>
      <c r="H4134" t="s">
        <v>11048</v>
      </c>
      <c r="I4134" t="s">
        <v>29393</v>
      </c>
      <c r="J4134" t="s">
        <v>29929</v>
      </c>
      <c r="K4134" t="s">
        <v>38488</v>
      </c>
      <c r="M4134" t="s">
        <v>40346</v>
      </c>
      <c r="N4134" t="s">
        <v>42669</v>
      </c>
      <c r="O4134" t="s">
        <v>42670</v>
      </c>
      <c r="P4134">
        <v>0</v>
      </c>
      <c r="Q4134">
        <v>1</v>
      </c>
      <c r="R4134" t="s">
        <v>42676</v>
      </c>
      <c r="S4134" t="s">
        <v>42809</v>
      </c>
      <c r="T4134" t="s">
        <v>44482</v>
      </c>
      <c r="U4134" t="s">
        <v>48225</v>
      </c>
      <c r="W4134" t="s">
        <v>40346</v>
      </c>
      <c r="X4134" t="s">
        <v>42677</v>
      </c>
    </row>
    <row r="4135" spans="1:24">
      <c r="A4135">
        <f>HYPERLINK("https://www.philgeps.gov.ph/GEPSNONPILOT/Tender/SplashBidNoticeAbstractUI.aspx?menuIndex=3&amp;refID=7187473&amp;Result=3","7187473")</f>
        <v>0</v>
      </c>
      <c r="B4135" t="s">
        <v>1479</v>
      </c>
      <c r="C4135" t="s">
        <v>7486</v>
      </c>
      <c r="D4135" t="s">
        <v>17156</v>
      </c>
      <c r="E4135" t="s">
        <v>20864</v>
      </c>
      <c r="F4135" t="s">
        <v>29372</v>
      </c>
      <c r="G4135" t="s">
        <v>29380</v>
      </c>
      <c r="H4135" t="s">
        <v>29389</v>
      </c>
      <c r="I4135" t="s">
        <v>10408</v>
      </c>
      <c r="J4135" t="s">
        <v>32293</v>
      </c>
      <c r="K4135" t="s">
        <v>38523</v>
      </c>
      <c r="M4135" t="s">
        <v>40322</v>
      </c>
      <c r="N4135" t="s">
        <v>42669</v>
      </c>
      <c r="O4135" t="s">
        <v>42670</v>
      </c>
      <c r="P4135">
        <v>0</v>
      </c>
      <c r="Q4135">
        <v>1</v>
      </c>
      <c r="R4135" t="s">
        <v>42676</v>
      </c>
      <c r="S4135" t="s">
        <v>42809</v>
      </c>
      <c r="T4135" t="s">
        <v>44376</v>
      </c>
      <c r="U4135" t="s">
        <v>48226</v>
      </c>
      <c r="V4135" t="s">
        <v>56771</v>
      </c>
      <c r="W4135" t="s">
        <v>40322</v>
      </c>
      <c r="X4135" t="s">
        <v>42677</v>
      </c>
    </row>
    <row r="4136" spans="1:24">
      <c r="A4136">
        <f>HYPERLINK("https://www.philgeps.gov.ph/GEPSNONPILOT/Tender/SplashBidNoticeAbstractUI.aspx?menuIndex=3&amp;refID=7187496&amp;Result=3","7187496")</f>
        <v>0</v>
      </c>
      <c r="B4136" t="s">
        <v>1499</v>
      </c>
      <c r="C4136" t="s">
        <v>7487</v>
      </c>
      <c r="D4136" t="s">
        <v>17231</v>
      </c>
      <c r="E4136" t="s">
        <v>20865</v>
      </c>
      <c r="F4136" t="s">
        <v>29372</v>
      </c>
      <c r="G4136" t="s">
        <v>29381</v>
      </c>
      <c r="H4136" t="s">
        <v>11048</v>
      </c>
      <c r="I4136" t="s">
        <v>4709</v>
      </c>
      <c r="J4136" t="s">
        <v>32294</v>
      </c>
      <c r="K4136" t="s">
        <v>38496</v>
      </c>
      <c r="M4136" t="s">
        <v>40343</v>
      </c>
      <c r="N4136" t="s">
        <v>42669</v>
      </c>
      <c r="O4136" t="s">
        <v>42670</v>
      </c>
      <c r="P4136">
        <v>0</v>
      </c>
      <c r="Q4136">
        <v>0</v>
      </c>
      <c r="R4136" t="s">
        <v>42676</v>
      </c>
      <c r="S4136" t="s">
        <v>42809</v>
      </c>
      <c r="T4136" t="s">
        <v>44652</v>
      </c>
      <c r="U4136" t="s">
        <v>48227</v>
      </c>
      <c r="W4136" t="s">
        <v>40343</v>
      </c>
      <c r="X4136" t="s">
        <v>42677</v>
      </c>
    </row>
    <row r="4137" spans="1:24">
      <c r="A4137">
        <f>HYPERLINK("https://www.philgeps.gov.ph/GEPSNONPILOT/Tender/SplashBidNoticeAbstractUI.aspx?menuIndex=3&amp;refID=7187495&amp;Result=3","7187495")</f>
        <v>0</v>
      </c>
      <c r="B4137" t="s">
        <v>1470</v>
      </c>
      <c r="C4137" t="s">
        <v>7488</v>
      </c>
      <c r="D4137" t="s">
        <v>17153</v>
      </c>
      <c r="E4137" t="s">
        <v>20866</v>
      </c>
      <c r="F4137" t="s">
        <v>29372</v>
      </c>
      <c r="G4137" t="s">
        <v>29380</v>
      </c>
      <c r="H4137" t="s">
        <v>11048</v>
      </c>
      <c r="I4137" t="s">
        <v>3839</v>
      </c>
      <c r="J4137" t="s">
        <v>30728</v>
      </c>
      <c r="K4137" t="s">
        <v>38485</v>
      </c>
      <c r="M4137" t="s">
        <v>40313</v>
      </c>
      <c r="N4137" t="s">
        <v>42669</v>
      </c>
      <c r="O4137" t="s">
        <v>42670</v>
      </c>
      <c r="P4137">
        <v>0</v>
      </c>
      <c r="Q4137">
        <v>4</v>
      </c>
      <c r="R4137" t="s">
        <v>42676</v>
      </c>
      <c r="S4137" t="s">
        <v>42809</v>
      </c>
      <c r="T4137" t="s">
        <v>44443</v>
      </c>
      <c r="U4137" t="s">
        <v>48146</v>
      </c>
      <c r="V4137" t="s">
        <v>56769</v>
      </c>
      <c r="W4137" t="s">
        <v>40313</v>
      </c>
      <c r="X4137" t="s">
        <v>42677</v>
      </c>
    </row>
    <row r="4138" spans="1:24">
      <c r="A4138">
        <f>HYPERLINK("https://www.philgeps.gov.ph/GEPSNONPILOT/Tender/SplashBidNoticeAbstractUI.aspx?menuIndex=3&amp;refID=7187494&amp;Result=3","7187494")</f>
        <v>0</v>
      </c>
      <c r="B4138" t="s">
        <v>1503</v>
      </c>
      <c r="C4138" t="s">
        <v>7489</v>
      </c>
      <c r="D4138" t="s">
        <v>17194</v>
      </c>
      <c r="E4138" t="s">
        <v>20867</v>
      </c>
      <c r="F4138" t="s">
        <v>29372</v>
      </c>
      <c r="G4138" t="s">
        <v>29379</v>
      </c>
      <c r="H4138" t="s">
        <v>11048</v>
      </c>
      <c r="I4138" t="s">
        <v>4486</v>
      </c>
      <c r="J4138" t="s">
        <v>29708</v>
      </c>
      <c r="K4138" t="s">
        <v>38485</v>
      </c>
      <c r="M4138" t="s">
        <v>40347</v>
      </c>
      <c r="N4138" t="s">
        <v>42669</v>
      </c>
      <c r="O4138" t="s">
        <v>42670</v>
      </c>
      <c r="P4138">
        <v>0</v>
      </c>
      <c r="Q4138">
        <v>2</v>
      </c>
      <c r="R4138" t="s">
        <v>42676</v>
      </c>
      <c r="S4138" t="s">
        <v>42809</v>
      </c>
      <c r="T4138" t="s">
        <v>44653</v>
      </c>
      <c r="U4138" t="s">
        <v>48228</v>
      </c>
      <c r="W4138" t="s">
        <v>40347</v>
      </c>
      <c r="X4138" t="s">
        <v>42677</v>
      </c>
    </row>
    <row r="4139" spans="1:24">
      <c r="A4139">
        <f>HYPERLINK("https://www.philgeps.gov.ph/GEPSNONPILOT/Tender/SplashBidNoticeAbstractUI.aspx?menuIndex=3&amp;refID=7187489&amp;Result=3","7187489")</f>
        <v>0</v>
      </c>
      <c r="B4139" t="s">
        <v>908</v>
      </c>
      <c r="C4139" t="s">
        <v>7490</v>
      </c>
      <c r="D4139" t="s">
        <v>17160</v>
      </c>
      <c r="E4139" t="s">
        <v>20868</v>
      </c>
      <c r="F4139" t="s">
        <v>29372</v>
      </c>
      <c r="G4139" t="s">
        <v>29380</v>
      </c>
      <c r="H4139" t="s">
        <v>11048</v>
      </c>
      <c r="I4139" t="s">
        <v>9469</v>
      </c>
      <c r="J4139" t="s">
        <v>32295</v>
      </c>
      <c r="K4139" t="s">
        <v>38485</v>
      </c>
      <c r="M4139" t="s">
        <v>39701</v>
      </c>
      <c r="N4139" t="s">
        <v>42669</v>
      </c>
      <c r="O4139" t="s">
        <v>42670</v>
      </c>
      <c r="P4139">
        <v>0</v>
      </c>
      <c r="Q4139">
        <v>1</v>
      </c>
      <c r="R4139" t="s">
        <v>42676</v>
      </c>
      <c r="S4139" t="s">
        <v>42809</v>
      </c>
      <c r="T4139" t="s">
        <v>44559</v>
      </c>
      <c r="U4139" t="s">
        <v>48229</v>
      </c>
      <c r="W4139" t="s">
        <v>39701</v>
      </c>
      <c r="X4139" t="s">
        <v>42677</v>
      </c>
    </row>
    <row r="4140" spans="1:24">
      <c r="A4140">
        <f>HYPERLINK("https://www.philgeps.gov.ph/GEPSNONPILOT/Tender/SplashBidNoticeAbstractUI.aspx?menuIndex=3&amp;refID=7187488&amp;Result=3","7187488")</f>
        <v>0</v>
      </c>
      <c r="B4140" t="s">
        <v>129</v>
      </c>
      <c r="C4140" t="s">
        <v>7491</v>
      </c>
      <c r="E4140" t="s">
        <v>20869</v>
      </c>
      <c r="F4140" t="s">
        <v>29372</v>
      </c>
      <c r="G4140" t="s">
        <v>29383</v>
      </c>
      <c r="H4140" t="s">
        <v>11048</v>
      </c>
      <c r="I4140" t="s">
        <v>14920</v>
      </c>
      <c r="J4140" t="s">
        <v>29644</v>
      </c>
      <c r="K4140" t="s">
        <v>38490</v>
      </c>
      <c r="M4140" t="s">
        <v>38884</v>
      </c>
      <c r="N4140" t="s">
        <v>42669</v>
      </c>
      <c r="O4140" t="s">
        <v>42670</v>
      </c>
      <c r="P4140">
        <v>0</v>
      </c>
      <c r="Q4140">
        <v>0</v>
      </c>
      <c r="R4140" t="s">
        <v>42676</v>
      </c>
      <c r="S4140" t="s">
        <v>42809</v>
      </c>
      <c r="T4140" t="s">
        <v>44417</v>
      </c>
      <c r="U4140" t="s">
        <v>48230</v>
      </c>
      <c r="W4140" t="s">
        <v>38884</v>
      </c>
      <c r="X4140" t="s">
        <v>42677</v>
      </c>
    </row>
    <row r="4141" spans="1:24">
      <c r="A4141">
        <f>HYPERLINK("https://www.philgeps.gov.ph/GEPSNONPILOT/Tender/SplashBidNoticeAbstractUI.aspx?menuIndex=3&amp;refID=7187500&amp;Result=3","7187500")</f>
        <v>0</v>
      </c>
      <c r="B4141" t="s">
        <v>1504</v>
      </c>
      <c r="C4141" t="s">
        <v>7492</v>
      </c>
      <c r="D4141" t="s">
        <v>17170</v>
      </c>
      <c r="E4141" t="s">
        <v>20870</v>
      </c>
      <c r="F4141" t="s">
        <v>29372</v>
      </c>
      <c r="G4141" t="s">
        <v>29379</v>
      </c>
      <c r="H4141" t="s">
        <v>11048</v>
      </c>
      <c r="I4141" t="s">
        <v>9642</v>
      </c>
      <c r="J4141" t="s">
        <v>30140</v>
      </c>
      <c r="K4141" t="s">
        <v>38510</v>
      </c>
      <c r="M4141" t="s">
        <v>40348</v>
      </c>
      <c r="N4141" t="s">
        <v>42669</v>
      </c>
      <c r="O4141" t="s">
        <v>42670</v>
      </c>
      <c r="P4141">
        <v>0</v>
      </c>
      <c r="Q4141">
        <v>1</v>
      </c>
      <c r="R4141" t="s">
        <v>42676</v>
      </c>
      <c r="S4141" t="s">
        <v>42809</v>
      </c>
      <c r="T4141" t="s">
        <v>44488</v>
      </c>
      <c r="U4141" t="s">
        <v>48231</v>
      </c>
      <c r="W4141" t="s">
        <v>40348</v>
      </c>
      <c r="X4141" t="s">
        <v>42677</v>
      </c>
    </row>
    <row r="4142" spans="1:24">
      <c r="A4142">
        <f>HYPERLINK("https://www.philgeps.gov.ph/GEPSNONPILOT/Tender/SplashBidNoticeAbstractUI.aspx?menuIndex=3&amp;refID=7187472&amp;Result=3","7187472")</f>
        <v>0</v>
      </c>
      <c r="B4142" t="s">
        <v>1383</v>
      </c>
      <c r="C4142" t="s">
        <v>7493</v>
      </c>
      <c r="D4142" t="s">
        <v>17169</v>
      </c>
      <c r="E4142" t="s">
        <v>20592</v>
      </c>
      <c r="F4142" t="s">
        <v>29372</v>
      </c>
      <c r="G4142" t="s">
        <v>29380</v>
      </c>
      <c r="H4142" t="s">
        <v>29389</v>
      </c>
      <c r="I4142" t="s">
        <v>10408</v>
      </c>
      <c r="J4142" t="s">
        <v>32120</v>
      </c>
      <c r="K4142" t="s">
        <v>38495</v>
      </c>
      <c r="M4142" t="s">
        <v>40220</v>
      </c>
      <c r="N4142" t="s">
        <v>42669</v>
      </c>
      <c r="O4142" t="s">
        <v>42670</v>
      </c>
      <c r="P4142">
        <v>0</v>
      </c>
      <c r="Q4142">
        <v>1</v>
      </c>
      <c r="R4142" t="s">
        <v>42676</v>
      </c>
      <c r="S4142" t="s">
        <v>42809</v>
      </c>
      <c r="T4142" t="s">
        <v>44587</v>
      </c>
      <c r="U4142" t="s">
        <v>47960</v>
      </c>
      <c r="V4142" t="s">
        <v>56786</v>
      </c>
      <c r="W4142" t="s">
        <v>40220</v>
      </c>
      <c r="X4142" t="s">
        <v>42677</v>
      </c>
    </row>
    <row r="4143" spans="1:24">
      <c r="A4143">
        <f>HYPERLINK("https://www.philgeps.gov.ph/GEPSNONPILOT/Tender/SplashBidNoticeAbstractUI.aspx?menuIndex=3&amp;refID=7187382&amp;Result=3","7187382")</f>
        <v>0</v>
      </c>
      <c r="B4143" t="s">
        <v>1505</v>
      </c>
      <c r="C4143" t="s">
        <v>7494</v>
      </c>
      <c r="D4143" t="s">
        <v>17167</v>
      </c>
      <c r="E4143" t="s">
        <v>17533</v>
      </c>
      <c r="F4143" t="s">
        <v>29372</v>
      </c>
      <c r="G4143" t="s">
        <v>29380</v>
      </c>
      <c r="H4143" t="s">
        <v>11048</v>
      </c>
      <c r="I4143" t="s">
        <v>4709</v>
      </c>
      <c r="J4143" t="s">
        <v>32296</v>
      </c>
      <c r="K4143" t="s">
        <v>38510</v>
      </c>
      <c r="M4143" t="s">
        <v>40349</v>
      </c>
      <c r="N4143" t="s">
        <v>42669</v>
      </c>
      <c r="O4143" t="s">
        <v>42670</v>
      </c>
      <c r="P4143">
        <v>0</v>
      </c>
      <c r="Q4143">
        <v>1</v>
      </c>
      <c r="R4143" t="s">
        <v>42676</v>
      </c>
      <c r="S4143" t="s">
        <v>42809</v>
      </c>
      <c r="T4143" t="s">
        <v>44654</v>
      </c>
      <c r="U4143" t="s">
        <v>46036</v>
      </c>
      <c r="V4143" t="s">
        <v>56787</v>
      </c>
      <c r="W4143" t="s">
        <v>40349</v>
      </c>
      <c r="X4143" t="s">
        <v>42677</v>
      </c>
    </row>
    <row r="4144" spans="1:24">
      <c r="A4144">
        <f>HYPERLINK("https://www.philgeps.gov.ph/GEPSNONPILOT/Tender/SplashBidNoticeAbstractUI.aspx?menuIndex=3&amp;refID=7187507&amp;Result=3","7187507")</f>
        <v>0</v>
      </c>
      <c r="B4144" t="s">
        <v>1506</v>
      </c>
      <c r="C4144" t="s">
        <v>7495</v>
      </c>
      <c r="D4144" t="s">
        <v>17158</v>
      </c>
      <c r="E4144" t="s">
        <v>20779</v>
      </c>
      <c r="F4144" t="s">
        <v>29372</v>
      </c>
      <c r="G4144" t="s">
        <v>29380</v>
      </c>
      <c r="H4144" t="s">
        <v>11048</v>
      </c>
      <c r="I4144" t="s">
        <v>4709</v>
      </c>
      <c r="J4144" t="s">
        <v>32297</v>
      </c>
      <c r="K4144" t="s">
        <v>38488</v>
      </c>
      <c r="M4144" t="s">
        <v>40350</v>
      </c>
      <c r="N4144" t="s">
        <v>42669</v>
      </c>
      <c r="O4144" t="s">
        <v>42670</v>
      </c>
      <c r="P4144">
        <v>0</v>
      </c>
      <c r="Q4144">
        <v>0</v>
      </c>
      <c r="R4144" t="s">
        <v>42676</v>
      </c>
      <c r="S4144" t="s">
        <v>42809</v>
      </c>
      <c r="T4144" t="s">
        <v>44530</v>
      </c>
      <c r="U4144" t="s">
        <v>48232</v>
      </c>
      <c r="W4144" t="s">
        <v>40350</v>
      </c>
      <c r="X4144" t="s">
        <v>42677</v>
      </c>
    </row>
    <row r="4145" spans="1:24">
      <c r="A4145">
        <f>HYPERLINK("https://www.philgeps.gov.ph/GEPSNONPILOT/Tender/SplashBidNoticeAbstractUI.aspx?menuIndex=3&amp;refID=7187508&amp;Result=3","7187508")</f>
        <v>0</v>
      </c>
      <c r="B4145" t="s">
        <v>1500</v>
      </c>
      <c r="C4145" t="s">
        <v>7496</v>
      </c>
      <c r="D4145" t="s">
        <v>17194</v>
      </c>
      <c r="E4145" t="s">
        <v>20871</v>
      </c>
      <c r="F4145" t="s">
        <v>29372</v>
      </c>
      <c r="G4145" t="s">
        <v>29379</v>
      </c>
      <c r="H4145" t="s">
        <v>11048</v>
      </c>
      <c r="I4145" t="s">
        <v>29426</v>
      </c>
      <c r="J4145" t="s">
        <v>29799</v>
      </c>
      <c r="K4145" t="s">
        <v>38510</v>
      </c>
      <c r="M4145" t="s">
        <v>40344</v>
      </c>
      <c r="N4145" t="s">
        <v>42669</v>
      </c>
      <c r="O4145" t="s">
        <v>42670</v>
      </c>
      <c r="P4145">
        <v>0</v>
      </c>
      <c r="Q4145">
        <v>0</v>
      </c>
      <c r="R4145" t="s">
        <v>42676</v>
      </c>
      <c r="S4145" t="s">
        <v>42809</v>
      </c>
      <c r="T4145" t="s">
        <v>44399</v>
      </c>
      <c r="U4145" t="s">
        <v>48233</v>
      </c>
      <c r="W4145" t="s">
        <v>40344</v>
      </c>
      <c r="X4145" t="s">
        <v>42677</v>
      </c>
    </row>
    <row r="4146" spans="1:24">
      <c r="A4146">
        <f>HYPERLINK("https://www.philgeps.gov.ph/GEPSNONPILOT/Tender/SplashBidNoticeAbstractUI.aspx?menuIndex=3&amp;refID=7187491&amp;Result=3","7187491")</f>
        <v>0</v>
      </c>
      <c r="B4146" t="s">
        <v>934</v>
      </c>
      <c r="C4146" t="s">
        <v>7497</v>
      </c>
      <c r="D4146" t="s">
        <v>17175</v>
      </c>
      <c r="E4146" t="s">
        <v>20872</v>
      </c>
      <c r="F4146" t="s">
        <v>29372</v>
      </c>
      <c r="G4146" t="s">
        <v>29380</v>
      </c>
      <c r="H4146" t="s">
        <v>11048</v>
      </c>
      <c r="I4146" t="s">
        <v>9469</v>
      </c>
      <c r="J4146" t="s">
        <v>29728</v>
      </c>
      <c r="K4146" t="s">
        <v>38490</v>
      </c>
      <c r="M4146" t="s">
        <v>39729</v>
      </c>
      <c r="N4146" t="s">
        <v>42669</v>
      </c>
      <c r="O4146" t="s">
        <v>42670</v>
      </c>
      <c r="P4146">
        <v>0</v>
      </c>
      <c r="Q4146">
        <v>3</v>
      </c>
      <c r="R4146" t="s">
        <v>42676</v>
      </c>
      <c r="S4146" t="s">
        <v>42809</v>
      </c>
      <c r="T4146" t="s">
        <v>44655</v>
      </c>
      <c r="U4146" t="s">
        <v>48234</v>
      </c>
      <c r="W4146" t="s">
        <v>39729</v>
      </c>
      <c r="X4146" t="s">
        <v>42677</v>
      </c>
    </row>
    <row r="4147" spans="1:24">
      <c r="A4147">
        <f>HYPERLINK("https://www.philgeps.gov.ph/GEPSNONPILOT/Tender/SplashBidNoticeAbstractUI.aspx?menuIndex=3&amp;refID=7187505&amp;Result=3","7187505")</f>
        <v>0</v>
      </c>
      <c r="B4147" t="s">
        <v>129</v>
      </c>
      <c r="C4147" t="s">
        <v>7498</v>
      </c>
      <c r="E4147" t="s">
        <v>20873</v>
      </c>
      <c r="F4147" t="s">
        <v>29372</v>
      </c>
      <c r="G4147" t="s">
        <v>29383</v>
      </c>
      <c r="H4147" t="s">
        <v>11048</v>
      </c>
      <c r="I4147" t="s">
        <v>29433</v>
      </c>
      <c r="J4147" t="s">
        <v>32298</v>
      </c>
      <c r="K4147" t="s">
        <v>38490</v>
      </c>
      <c r="M4147" t="s">
        <v>38884</v>
      </c>
      <c r="N4147" t="s">
        <v>42669</v>
      </c>
      <c r="O4147" t="s">
        <v>42670</v>
      </c>
      <c r="P4147">
        <v>0</v>
      </c>
      <c r="Q4147">
        <v>7</v>
      </c>
      <c r="R4147" t="s">
        <v>42676</v>
      </c>
      <c r="S4147" t="s">
        <v>42809</v>
      </c>
      <c r="T4147" t="s">
        <v>44429</v>
      </c>
      <c r="U4147" t="s">
        <v>48235</v>
      </c>
      <c r="W4147" t="s">
        <v>38884</v>
      </c>
      <c r="X4147" t="s">
        <v>42677</v>
      </c>
    </row>
    <row r="4148" spans="1:24">
      <c r="A4148">
        <f>HYPERLINK("https://www.philgeps.gov.ph/GEPSNONPILOT/Tender/SplashBidNoticeAbstractUI.aspx?menuIndex=3&amp;refID=7187502&amp;Result=3","7187502")</f>
        <v>0</v>
      </c>
      <c r="B4148" t="s">
        <v>1463</v>
      </c>
      <c r="C4148" t="s">
        <v>7499</v>
      </c>
      <c r="D4148" t="s">
        <v>17170</v>
      </c>
      <c r="E4148" t="s">
        <v>7499</v>
      </c>
      <c r="F4148" t="s">
        <v>29372</v>
      </c>
      <c r="G4148" t="s">
        <v>29379</v>
      </c>
      <c r="H4148" t="s">
        <v>11048</v>
      </c>
      <c r="I4148" t="s">
        <v>9642</v>
      </c>
      <c r="J4148" t="s">
        <v>32299</v>
      </c>
      <c r="K4148" t="s">
        <v>38491</v>
      </c>
      <c r="M4148" t="s">
        <v>40306</v>
      </c>
      <c r="N4148" t="s">
        <v>42669</v>
      </c>
      <c r="O4148" t="s">
        <v>42670</v>
      </c>
      <c r="P4148">
        <v>0</v>
      </c>
      <c r="Q4148">
        <v>6</v>
      </c>
      <c r="R4148" t="s">
        <v>42676</v>
      </c>
      <c r="S4148" t="s">
        <v>42809</v>
      </c>
      <c r="T4148" t="s">
        <v>44401</v>
      </c>
      <c r="U4148" t="s">
        <v>45836</v>
      </c>
      <c r="W4148" t="s">
        <v>40306</v>
      </c>
      <c r="X4148" t="s">
        <v>42677</v>
      </c>
    </row>
    <row r="4149" spans="1:24">
      <c r="A4149">
        <f>HYPERLINK("https://www.philgeps.gov.ph/GEPSNONPILOT/Tender/SplashBidNoticeAbstractUI.aspx?menuIndex=3&amp;refID=7187485&amp;Result=3","7187485")</f>
        <v>0</v>
      </c>
      <c r="B4149" t="s">
        <v>1435</v>
      </c>
      <c r="C4149" t="s">
        <v>7500</v>
      </c>
      <c r="D4149" t="s">
        <v>17194</v>
      </c>
      <c r="E4149" t="s">
        <v>18689</v>
      </c>
      <c r="F4149" t="s">
        <v>29375</v>
      </c>
      <c r="G4149" t="s">
        <v>29380</v>
      </c>
      <c r="H4149" t="s">
        <v>11048</v>
      </c>
      <c r="I4149" t="s">
        <v>29456</v>
      </c>
      <c r="J4149" t="s">
        <v>29692</v>
      </c>
      <c r="K4149" t="s">
        <v>38491</v>
      </c>
      <c r="M4149" t="s">
        <v>40275</v>
      </c>
      <c r="N4149" t="s">
        <v>42669</v>
      </c>
      <c r="O4149" t="s">
        <v>42670</v>
      </c>
      <c r="P4149">
        <v>0</v>
      </c>
      <c r="Q4149">
        <v>0</v>
      </c>
      <c r="R4149" t="s">
        <v>42676</v>
      </c>
      <c r="S4149" t="s">
        <v>42809</v>
      </c>
      <c r="T4149" t="s">
        <v>44474</v>
      </c>
      <c r="U4149" t="s">
        <v>48236</v>
      </c>
      <c r="W4149" t="s">
        <v>40275</v>
      </c>
      <c r="X4149" t="s">
        <v>42677</v>
      </c>
    </row>
    <row r="4150" spans="1:24">
      <c r="A4150">
        <f>HYPERLINK("https://www.philgeps.gov.ph/GEPSNONPILOT/Tender/SplashBidNoticeAbstractUI.aspx?menuIndex=3&amp;refID=7187512&amp;Result=3","7187512")</f>
        <v>0</v>
      </c>
      <c r="B4150" t="s">
        <v>544</v>
      </c>
      <c r="C4150" t="s">
        <v>7501</v>
      </c>
      <c r="D4150" t="s">
        <v>17153</v>
      </c>
      <c r="E4150" t="s">
        <v>20874</v>
      </c>
      <c r="F4150" t="s">
        <v>29372</v>
      </c>
      <c r="G4150" t="s">
        <v>29383</v>
      </c>
      <c r="H4150" t="s">
        <v>11048</v>
      </c>
      <c r="I4150" t="s">
        <v>14920</v>
      </c>
      <c r="J4150" t="s">
        <v>31317</v>
      </c>
      <c r="K4150" t="s">
        <v>38490</v>
      </c>
      <c r="M4150" t="s">
        <v>39312</v>
      </c>
      <c r="N4150" t="s">
        <v>42669</v>
      </c>
      <c r="O4150" t="s">
        <v>42670</v>
      </c>
      <c r="P4150">
        <v>0</v>
      </c>
      <c r="Q4150">
        <v>1</v>
      </c>
      <c r="R4150" t="s">
        <v>42676</v>
      </c>
      <c r="S4150" t="s">
        <v>42809</v>
      </c>
      <c r="T4150" t="s">
        <v>44386</v>
      </c>
      <c r="U4150" t="s">
        <v>48237</v>
      </c>
      <c r="W4150" t="s">
        <v>39312</v>
      </c>
      <c r="X4150" t="s">
        <v>42677</v>
      </c>
    </row>
    <row r="4151" spans="1:24">
      <c r="A4151">
        <f>HYPERLINK("https://www.philgeps.gov.ph/GEPSNONPILOT/Tender/SplashBidNoticeAbstractUI.aspx?menuIndex=3&amp;refID=7187531&amp;Result=3","7187531")</f>
        <v>0</v>
      </c>
      <c r="B4151" t="s">
        <v>1094</v>
      </c>
      <c r="C4151" t="s">
        <v>7502</v>
      </c>
      <c r="D4151" t="s">
        <v>17213</v>
      </c>
      <c r="E4151" t="s">
        <v>20875</v>
      </c>
      <c r="F4151" t="s">
        <v>29372</v>
      </c>
      <c r="G4151" t="s">
        <v>29380</v>
      </c>
      <c r="H4151" t="s">
        <v>11048</v>
      </c>
      <c r="I4151" t="s">
        <v>29428</v>
      </c>
      <c r="J4151" t="s">
        <v>32300</v>
      </c>
      <c r="K4151" t="s">
        <v>38488</v>
      </c>
      <c r="L4151" t="s">
        <v>1094</v>
      </c>
      <c r="M4151" t="s">
        <v>39901</v>
      </c>
      <c r="N4151" t="s">
        <v>42669</v>
      </c>
      <c r="O4151" t="s">
        <v>42670</v>
      </c>
      <c r="P4151">
        <v>0</v>
      </c>
      <c r="Q4151">
        <v>0</v>
      </c>
      <c r="R4151" t="s">
        <v>42676</v>
      </c>
      <c r="S4151" t="s">
        <v>42809</v>
      </c>
      <c r="T4151" t="s">
        <v>44546</v>
      </c>
      <c r="U4151" t="s">
        <v>48238</v>
      </c>
      <c r="V4151" t="s">
        <v>56627</v>
      </c>
      <c r="W4151" t="s">
        <v>39901</v>
      </c>
      <c r="X4151" t="s">
        <v>42677</v>
      </c>
    </row>
    <row r="4152" spans="1:24">
      <c r="A4152">
        <f>HYPERLINK("https://www.philgeps.gov.ph/GEPSNONPILOT/Tender/SplashBidNoticeAbstractUI.aspx?menuIndex=3&amp;refID=7187530&amp;Result=3","7187530")</f>
        <v>0</v>
      </c>
      <c r="B4152" t="s">
        <v>1502</v>
      </c>
      <c r="C4152" t="s">
        <v>7503</v>
      </c>
      <c r="D4152" t="s">
        <v>17213</v>
      </c>
      <c r="E4152" t="s">
        <v>20876</v>
      </c>
      <c r="F4152" t="s">
        <v>29372</v>
      </c>
      <c r="G4152" t="s">
        <v>29383</v>
      </c>
      <c r="H4152" t="s">
        <v>11048</v>
      </c>
      <c r="I4152" t="s">
        <v>3670</v>
      </c>
      <c r="J4152" t="s">
        <v>32301</v>
      </c>
      <c r="K4152" t="s">
        <v>38510</v>
      </c>
      <c r="M4152" t="s">
        <v>40346</v>
      </c>
      <c r="N4152" t="s">
        <v>42669</v>
      </c>
      <c r="O4152" t="s">
        <v>42670</v>
      </c>
      <c r="P4152">
        <v>0</v>
      </c>
      <c r="Q4152">
        <v>0</v>
      </c>
      <c r="R4152" t="s">
        <v>42676</v>
      </c>
      <c r="S4152" t="s">
        <v>42809</v>
      </c>
      <c r="T4152" t="s">
        <v>44482</v>
      </c>
      <c r="U4152" t="s">
        <v>48239</v>
      </c>
      <c r="W4152" t="s">
        <v>40346</v>
      </c>
      <c r="X4152" t="s">
        <v>42677</v>
      </c>
    </row>
    <row r="4153" spans="1:24">
      <c r="A4153">
        <f>HYPERLINK("https://www.philgeps.gov.ph/GEPSNONPILOT/Tender/SplashBidNoticeAbstractUI.aspx?menuIndex=3&amp;refID=7187503&amp;Result=3","7187503")</f>
        <v>0</v>
      </c>
      <c r="B4153" t="s">
        <v>1458</v>
      </c>
      <c r="C4153" t="s">
        <v>7504</v>
      </c>
      <c r="D4153" t="s">
        <v>17207</v>
      </c>
      <c r="E4153" t="s">
        <v>17947</v>
      </c>
      <c r="F4153" t="s">
        <v>29372</v>
      </c>
      <c r="G4153" t="s">
        <v>29380</v>
      </c>
      <c r="H4153" t="s">
        <v>29389</v>
      </c>
      <c r="I4153" t="s">
        <v>10408</v>
      </c>
      <c r="J4153" t="s">
        <v>32302</v>
      </c>
      <c r="K4153" t="s">
        <v>38513</v>
      </c>
      <c r="M4153" t="s">
        <v>40301</v>
      </c>
      <c r="N4153" t="s">
        <v>42669</v>
      </c>
      <c r="O4153" t="s">
        <v>42670</v>
      </c>
      <c r="P4153">
        <v>0</v>
      </c>
      <c r="Q4153">
        <v>0</v>
      </c>
      <c r="R4153" t="s">
        <v>42676</v>
      </c>
      <c r="S4153" t="s">
        <v>42809</v>
      </c>
      <c r="T4153" t="s">
        <v>44646</v>
      </c>
      <c r="U4153" t="s">
        <v>48240</v>
      </c>
      <c r="V4153" t="s">
        <v>56761</v>
      </c>
      <c r="W4153" t="s">
        <v>40301</v>
      </c>
      <c r="X4153" t="s">
        <v>42677</v>
      </c>
    </row>
    <row r="4154" spans="1:24">
      <c r="A4154">
        <f>HYPERLINK("https://www.philgeps.gov.ph/GEPSNONPILOT/Tender/SplashBidNoticeAbstractUI.aspx?menuIndex=3&amp;refID=7187415&amp;Result=3","7187415")</f>
        <v>0</v>
      </c>
      <c r="B4154" t="s">
        <v>719</v>
      </c>
      <c r="C4154" t="s">
        <v>7505</v>
      </c>
      <c r="D4154" t="s">
        <v>17170</v>
      </c>
      <c r="E4154" t="s">
        <v>20877</v>
      </c>
      <c r="F4154" t="s">
        <v>29372</v>
      </c>
      <c r="G4154" t="s">
        <v>29383</v>
      </c>
      <c r="H4154" t="s">
        <v>11048</v>
      </c>
      <c r="I4154" t="s">
        <v>29411</v>
      </c>
      <c r="J4154" t="s">
        <v>32303</v>
      </c>
      <c r="K4154" t="s">
        <v>38518</v>
      </c>
      <c r="M4154" t="s">
        <v>39499</v>
      </c>
      <c r="N4154" t="s">
        <v>42669</v>
      </c>
      <c r="O4154" t="s">
        <v>42670</v>
      </c>
      <c r="P4154">
        <v>0</v>
      </c>
      <c r="Q4154">
        <v>2</v>
      </c>
      <c r="R4154" t="s">
        <v>42676</v>
      </c>
      <c r="S4154" t="s">
        <v>42809</v>
      </c>
      <c r="T4154" t="s">
        <v>44378</v>
      </c>
      <c r="U4154" t="s">
        <v>48241</v>
      </c>
      <c r="W4154" t="s">
        <v>39499</v>
      </c>
      <c r="X4154" t="s">
        <v>42677</v>
      </c>
    </row>
    <row r="4155" spans="1:24">
      <c r="A4155">
        <f>HYPERLINK("https://www.philgeps.gov.ph/GEPSNONPILOT/Tender/SplashBidNoticeAbstractUI.aspx?menuIndex=3&amp;refID=7187542&amp;Result=3","7187542")</f>
        <v>0</v>
      </c>
      <c r="B4155" t="s">
        <v>1470</v>
      </c>
      <c r="C4155" t="s">
        <v>7506</v>
      </c>
      <c r="D4155" t="s">
        <v>17153</v>
      </c>
      <c r="E4155" t="s">
        <v>20878</v>
      </c>
      <c r="F4155" t="s">
        <v>29372</v>
      </c>
      <c r="G4155" t="s">
        <v>29380</v>
      </c>
      <c r="H4155" t="s">
        <v>11048</v>
      </c>
      <c r="I4155" t="s">
        <v>4709</v>
      </c>
      <c r="J4155" t="s">
        <v>32304</v>
      </c>
      <c r="K4155" t="s">
        <v>38485</v>
      </c>
      <c r="M4155" t="s">
        <v>40313</v>
      </c>
      <c r="N4155" t="s">
        <v>42669</v>
      </c>
      <c r="O4155" t="s">
        <v>42670</v>
      </c>
      <c r="P4155">
        <v>0</v>
      </c>
      <c r="Q4155">
        <v>0</v>
      </c>
      <c r="R4155" t="s">
        <v>42676</v>
      </c>
      <c r="S4155" t="s">
        <v>42809</v>
      </c>
      <c r="T4155" t="s">
        <v>44443</v>
      </c>
      <c r="U4155" t="s">
        <v>48146</v>
      </c>
      <c r="V4155" t="s">
        <v>56769</v>
      </c>
      <c r="W4155" t="s">
        <v>40313</v>
      </c>
      <c r="X4155" t="s">
        <v>42677</v>
      </c>
    </row>
    <row r="4156" spans="1:24">
      <c r="A4156">
        <f>HYPERLINK("https://www.philgeps.gov.ph/GEPSNONPILOT/Tender/SplashBidNoticeAbstractUI.aspx?menuIndex=3&amp;refID=7187478&amp;Result=3","7187478")</f>
        <v>0</v>
      </c>
      <c r="B4156" t="s">
        <v>544</v>
      </c>
      <c r="C4156" t="s">
        <v>7507</v>
      </c>
      <c r="D4156" t="s">
        <v>17194</v>
      </c>
      <c r="E4156" t="s">
        <v>20879</v>
      </c>
      <c r="F4156" t="s">
        <v>29372</v>
      </c>
      <c r="G4156" t="s">
        <v>29383</v>
      </c>
      <c r="H4156" t="s">
        <v>11048</v>
      </c>
      <c r="I4156" t="s">
        <v>4487</v>
      </c>
      <c r="J4156" t="s">
        <v>32305</v>
      </c>
      <c r="K4156" t="s">
        <v>38490</v>
      </c>
      <c r="M4156" t="s">
        <v>40276</v>
      </c>
      <c r="N4156" t="s">
        <v>42669</v>
      </c>
      <c r="O4156" t="s">
        <v>42670</v>
      </c>
      <c r="P4156">
        <v>0</v>
      </c>
      <c r="Q4156">
        <v>3</v>
      </c>
      <c r="R4156" t="s">
        <v>42676</v>
      </c>
      <c r="S4156" t="s">
        <v>42809</v>
      </c>
      <c r="T4156" t="s">
        <v>44512</v>
      </c>
      <c r="U4156" t="s">
        <v>48242</v>
      </c>
      <c r="W4156" t="s">
        <v>40276</v>
      </c>
      <c r="X4156" t="s">
        <v>42677</v>
      </c>
    </row>
    <row r="4157" spans="1:24">
      <c r="A4157">
        <f>HYPERLINK("https://www.philgeps.gov.ph/GEPSNONPILOT/Tender/SplashBidNoticeAbstractUI.aspx?menuIndex=3&amp;refID=7187470&amp;Result=3","7187470")</f>
        <v>0</v>
      </c>
      <c r="B4157" t="s">
        <v>1470</v>
      </c>
      <c r="C4157" t="s">
        <v>7508</v>
      </c>
      <c r="D4157" t="s">
        <v>17153</v>
      </c>
      <c r="E4157" t="s">
        <v>20880</v>
      </c>
      <c r="F4157" t="s">
        <v>29372</v>
      </c>
      <c r="G4157" t="s">
        <v>29380</v>
      </c>
      <c r="H4157" t="s">
        <v>11048</v>
      </c>
      <c r="I4157" t="s">
        <v>8208</v>
      </c>
      <c r="J4157" t="s">
        <v>29694</v>
      </c>
      <c r="K4157" t="s">
        <v>38485</v>
      </c>
      <c r="M4157" t="s">
        <v>40313</v>
      </c>
      <c r="N4157" t="s">
        <v>42669</v>
      </c>
      <c r="O4157" t="s">
        <v>42670</v>
      </c>
      <c r="P4157">
        <v>0</v>
      </c>
      <c r="Q4157">
        <v>1</v>
      </c>
      <c r="R4157" t="s">
        <v>42676</v>
      </c>
      <c r="S4157" t="s">
        <v>42809</v>
      </c>
      <c r="T4157" t="s">
        <v>44443</v>
      </c>
      <c r="U4157" t="s">
        <v>48146</v>
      </c>
      <c r="V4157" t="s">
        <v>56769</v>
      </c>
      <c r="W4157" t="s">
        <v>40313</v>
      </c>
      <c r="X4157" t="s">
        <v>42677</v>
      </c>
    </row>
    <row r="4158" spans="1:24">
      <c r="A4158">
        <f>HYPERLINK("https://www.philgeps.gov.ph/GEPSNONPILOT/Tender/SplashBidNoticeAbstractUI.aspx?menuIndex=3&amp;refID=7187538&amp;Result=3","7187538")</f>
        <v>0</v>
      </c>
      <c r="B4158" t="s">
        <v>905</v>
      </c>
      <c r="C4158" t="s">
        <v>7509</v>
      </c>
      <c r="D4158" t="s">
        <v>17151</v>
      </c>
      <c r="E4158" t="s">
        <v>20881</v>
      </c>
      <c r="F4158" t="s">
        <v>29372</v>
      </c>
      <c r="G4158" t="s">
        <v>29379</v>
      </c>
      <c r="H4158" t="s">
        <v>11048</v>
      </c>
      <c r="I4158" t="s">
        <v>8208</v>
      </c>
      <c r="J4158" t="s">
        <v>29529</v>
      </c>
      <c r="K4158" t="s">
        <v>38513</v>
      </c>
      <c r="M4158" t="s">
        <v>39698</v>
      </c>
      <c r="N4158" t="s">
        <v>42669</v>
      </c>
      <c r="O4158" t="s">
        <v>42670</v>
      </c>
      <c r="P4158">
        <v>0</v>
      </c>
      <c r="Q4158">
        <v>0</v>
      </c>
      <c r="R4158" t="s">
        <v>42676</v>
      </c>
      <c r="S4158" t="s">
        <v>42809</v>
      </c>
      <c r="T4158" t="s">
        <v>44491</v>
      </c>
      <c r="U4158" t="s">
        <v>48243</v>
      </c>
      <c r="W4158" t="s">
        <v>39698</v>
      </c>
      <c r="X4158" t="s">
        <v>42677</v>
      </c>
    </row>
    <row r="4159" spans="1:24">
      <c r="A4159">
        <f>HYPERLINK("https://www.philgeps.gov.ph/GEPSNONPILOT/Tender/SplashBidNoticeAbstractUI.aspx?menuIndex=3&amp;refID=7187509&amp;Result=3","7187509")</f>
        <v>0</v>
      </c>
      <c r="B4159" t="s">
        <v>1203</v>
      </c>
      <c r="C4159" t="s">
        <v>7510</v>
      </c>
      <c r="D4159" t="s">
        <v>17213</v>
      </c>
      <c r="E4159" t="s">
        <v>20882</v>
      </c>
      <c r="F4159" t="s">
        <v>29372</v>
      </c>
      <c r="G4159" t="s">
        <v>29379</v>
      </c>
      <c r="H4159" t="s">
        <v>11048</v>
      </c>
      <c r="I4159" t="s">
        <v>4486</v>
      </c>
      <c r="J4159" t="s">
        <v>32306</v>
      </c>
      <c r="K4159" t="s">
        <v>38485</v>
      </c>
      <c r="M4159" t="s">
        <v>40020</v>
      </c>
      <c r="N4159" t="s">
        <v>42669</v>
      </c>
      <c r="O4159" t="s">
        <v>42670</v>
      </c>
      <c r="P4159">
        <v>0</v>
      </c>
      <c r="Q4159">
        <v>0</v>
      </c>
      <c r="R4159" t="s">
        <v>42676</v>
      </c>
      <c r="S4159" t="s">
        <v>42809</v>
      </c>
      <c r="T4159" t="s">
        <v>44493</v>
      </c>
      <c r="U4159" t="s">
        <v>48244</v>
      </c>
      <c r="W4159" t="s">
        <v>58040</v>
      </c>
      <c r="X4159" t="s">
        <v>42677</v>
      </c>
    </row>
    <row r="4160" spans="1:24">
      <c r="A4160">
        <f>HYPERLINK("https://www.philgeps.gov.ph/GEPSNONPILOT/Tender/SplashBidNoticeAbstractUI.aspx?menuIndex=3&amp;refID=7187533&amp;Result=3","7187533")</f>
        <v>0</v>
      </c>
      <c r="B4160" t="s">
        <v>1493</v>
      </c>
      <c r="C4160" t="s">
        <v>7511</v>
      </c>
      <c r="D4160" t="s">
        <v>17183</v>
      </c>
      <c r="E4160" t="s">
        <v>20883</v>
      </c>
      <c r="F4160" t="s">
        <v>29372</v>
      </c>
      <c r="G4160" t="s">
        <v>29379</v>
      </c>
      <c r="H4160" t="s">
        <v>11048</v>
      </c>
      <c r="I4160" t="s">
        <v>4709</v>
      </c>
      <c r="J4160" t="s">
        <v>32307</v>
      </c>
      <c r="K4160" t="s">
        <v>38488</v>
      </c>
      <c r="M4160" t="s">
        <v>40336</v>
      </c>
      <c r="N4160" t="s">
        <v>42669</v>
      </c>
      <c r="O4160" t="s">
        <v>42670</v>
      </c>
      <c r="P4160">
        <v>0</v>
      </c>
      <c r="Q4160">
        <v>0</v>
      </c>
      <c r="R4160" t="s">
        <v>42676</v>
      </c>
      <c r="S4160" t="s">
        <v>42809</v>
      </c>
      <c r="T4160" t="s">
        <v>44401</v>
      </c>
      <c r="U4160" t="s">
        <v>48203</v>
      </c>
      <c r="W4160" t="s">
        <v>40336</v>
      </c>
      <c r="X4160" t="s">
        <v>42677</v>
      </c>
    </row>
    <row r="4161" spans="1:24">
      <c r="A4161">
        <f>HYPERLINK("https://www.philgeps.gov.ph/GEPSNONPILOT/Tender/SplashBidNoticeAbstractUI.aspx?menuIndex=3&amp;refID=7187528&amp;Result=3","7187528")</f>
        <v>0</v>
      </c>
      <c r="B4161" t="s">
        <v>1490</v>
      </c>
      <c r="C4161" t="s">
        <v>7512</v>
      </c>
      <c r="D4161" t="s">
        <v>17144</v>
      </c>
      <c r="E4161" t="s">
        <v>20884</v>
      </c>
      <c r="F4161" t="s">
        <v>29372</v>
      </c>
      <c r="G4161" t="s">
        <v>29380</v>
      </c>
      <c r="H4161" t="s">
        <v>11048</v>
      </c>
      <c r="I4161" t="s">
        <v>4709</v>
      </c>
      <c r="J4161" t="s">
        <v>32308</v>
      </c>
      <c r="K4161" t="s">
        <v>38485</v>
      </c>
      <c r="M4161" t="s">
        <v>40333</v>
      </c>
      <c r="N4161" t="s">
        <v>42669</v>
      </c>
      <c r="O4161" t="s">
        <v>42670</v>
      </c>
      <c r="P4161">
        <v>0</v>
      </c>
      <c r="Q4161">
        <v>1</v>
      </c>
      <c r="R4161" t="s">
        <v>42676</v>
      </c>
      <c r="S4161" t="s">
        <v>42809</v>
      </c>
      <c r="T4161" t="s">
        <v>44544</v>
      </c>
      <c r="U4161" t="s">
        <v>48245</v>
      </c>
      <c r="W4161" t="s">
        <v>40333</v>
      </c>
      <c r="X4161" t="s">
        <v>42677</v>
      </c>
    </row>
    <row r="4162" spans="1:24">
      <c r="A4162">
        <f>HYPERLINK("https://www.philgeps.gov.ph/GEPSNONPILOT/Tender/SplashBidNoticeAbstractUI.aspx?menuIndex=3&amp;refID=7187526&amp;Result=3","7187526")</f>
        <v>0</v>
      </c>
      <c r="B4162" t="s">
        <v>25</v>
      </c>
      <c r="C4162" t="s">
        <v>7513</v>
      </c>
      <c r="D4162" t="s">
        <v>17142</v>
      </c>
      <c r="E4162" t="s">
        <v>7513</v>
      </c>
      <c r="F4162" t="s">
        <v>29372</v>
      </c>
      <c r="G4162" t="s">
        <v>29383</v>
      </c>
      <c r="H4162" t="s">
        <v>11048</v>
      </c>
      <c r="I4162" t="s">
        <v>3670</v>
      </c>
      <c r="J4162" t="s">
        <v>30175</v>
      </c>
      <c r="K4162" t="s">
        <v>38485</v>
      </c>
      <c r="M4162" t="s">
        <v>38778</v>
      </c>
      <c r="N4162" t="s">
        <v>42669</v>
      </c>
      <c r="O4162" t="s">
        <v>42670</v>
      </c>
      <c r="P4162">
        <v>0</v>
      </c>
      <c r="Q4162">
        <v>0</v>
      </c>
      <c r="R4162" t="s">
        <v>42676</v>
      </c>
      <c r="S4162" t="s">
        <v>42809</v>
      </c>
      <c r="T4162" t="s">
        <v>44432</v>
      </c>
      <c r="U4162" t="s">
        <v>48246</v>
      </c>
      <c r="W4162" t="s">
        <v>38778</v>
      </c>
      <c r="X4162" t="s">
        <v>42677</v>
      </c>
    </row>
    <row r="4163" spans="1:24">
      <c r="A4163">
        <f>HYPERLINK("https://www.philgeps.gov.ph/GEPSNONPILOT/Tender/SplashBidNoticeAbstractUI.aspx?menuIndex=3&amp;refID=7187520&amp;Result=3","7187520")</f>
        <v>0</v>
      </c>
      <c r="B4163" t="s">
        <v>1434</v>
      </c>
      <c r="C4163" t="s">
        <v>7475</v>
      </c>
      <c r="D4163" t="s">
        <v>17198</v>
      </c>
      <c r="E4163" t="s">
        <v>20885</v>
      </c>
      <c r="F4163" t="s">
        <v>29372</v>
      </c>
      <c r="G4163" t="s">
        <v>29379</v>
      </c>
      <c r="H4163" t="s">
        <v>11048</v>
      </c>
      <c r="I4163" t="s">
        <v>9469</v>
      </c>
      <c r="J4163" t="s">
        <v>29555</v>
      </c>
      <c r="K4163" t="s">
        <v>38491</v>
      </c>
      <c r="M4163" t="s">
        <v>40274</v>
      </c>
      <c r="N4163" t="s">
        <v>42669</v>
      </c>
      <c r="O4163" t="s">
        <v>42670</v>
      </c>
      <c r="P4163">
        <v>0</v>
      </c>
      <c r="Q4163">
        <v>0</v>
      </c>
      <c r="R4163" t="s">
        <v>42676</v>
      </c>
      <c r="S4163" t="s">
        <v>42809</v>
      </c>
      <c r="T4163" t="s">
        <v>44371</v>
      </c>
      <c r="U4163" t="s">
        <v>48064</v>
      </c>
      <c r="V4163" t="s">
        <v>56749</v>
      </c>
      <c r="W4163" t="s">
        <v>40274</v>
      </c>
      <c r="X4163" t="s">
        <v>42677</v>
      </c>
    </row>
    <row r="4164" spans="1:24">
      <c r="A4164">
        <f>HYPERLINK("https://www.philgeps.gov.ph/GEPSNONPILOT/Tender/SplashBidNoticeAbstractUI.aspx?menuIndex=3&amp;refID=7187483&amp;Result=3","7187483")</f>
        <v>0</v>
      </c>
      <c r="B4164" t="s">
        <v>1493</v>
      </c>
      <c r="C4164" t="s">
        <v>7514</v>
      </c>
      <c r="D4164" t="s">
        <v>17183</v>
      </c>
      <c r="E4164" t="s">
        <v>20886</v>
      </c>
      <c r="F4164" t="s">
        <v>29372</v>
      </c>
      <c r="G4164" t="s">
        <v>29379</v>
      </c>
      <c r="H4164" t="s">
        <v>11048</v>
      </c>
      <c r="I4164" t="s">
        <v>29424</v>
      </c>
      <c r="J4164" t="s">
        <v>32309</v>
      </c>
      <c r="K4164" t="s">
        <v>38488</v>
      </c>
      <c r="M4164" t="s">
        <v>40336</v>
      </c>
      <c r="N4164" t="s">
        <v>42669</v>
      </c>
      <c r="O4164" t="s">
        <v>42670</v>
      </c>
      <c r="P4164">
        <v>0</v>
      </c>
      <c r="Q4164">
        <v>3</v>
      </c>
      <c r="R4164" t="s">
        <v>42676</v>
      </c>
      <c r="S4164" t="s">
        <v>42809</v>
      </c>
      <c r="T4164" t="s">
        <v>44401</v>
      </c>
      <c r="U4164" t="s">
        <v>48203</v>
      </c>
      <c r="W4164" t="s">
        <v>40336</v>
      </c>
      <c r="X4164" t="s">
        <v>42677</v>
      </c>
    </row>
    <row r="4165" spans="1:24">
      <c r="A4165">
        <f>HYPERLINK("https://www.philgeps.gov.ph/GEPSNONPILOT/Tender/SplashBidNoticeAbstractUI.aspx?menuIndex=3&amp;refID=7187529&amp;Result=3","7187529")</f>
        <v>0</v>
      </c>
      <c r="B4165" t="s">
        <v>1507</v>
      </c>
      <c r="C4165" t="s">
        <v>7515</v>
      </c>
      <c r="D4165" t="s">
        <v>17161</v>
      </c>
      <c r="E4165" t="s">
        <v>20887</v>
      </c>
      <c r="F4165" t="s">
        <v>29372</v>
      </c>
      <c r="G4165" t="s">
        <v>29379</v>
      </c>
      <c r="H4165" t="s">
        <v>11048</v>
      </c>
      <c r="I4165" t="s">
        <v>3597</v>
      </c>
      <c r="J4165" t="s">
        <v>32310</v>
      </c>
      <c r="K4165" t="s">
        <v>38490</v>
      </c>
      <c r="M4165" t="s">
        <v>40351</v>
      </c>
      <c r="N4165" t="s">
        <v>42669</v>
      </c>
      <c r="O4165" t="s">
        <v>42670</v>
      </c>
      <c r="P4165">
        <v>0</v>
      </c>
      <c r="Q4165">
        <v>1</v>
      </c>
      <c r="R4165" t="s">
        <v>42676</v>
      </c>
      <c r="S4165" t="s">
        <v>42809</v>
      </c>
      <c r="T4165" t="s">
        <v>44454</v>
      </c>
      <c r="U4165" t="s">
        <v>48247</v>
      </c>
      <c r="W4165" t="s">
        <v>40351</v>
      </c>
      <c r="X4165" t="s">
        <v>42677</v>
      </c>
    </row>
    <row r="4166" spans="1:24">
      <c r="A4166">
        <f>HYPERLINK("https://www.philgeps.gov.ph/GEPSNONPILOT/Tender/SplashBidNoticeAbstractUI.aspx?menuIndex=3&amp;refID=7187524&amp;Result=3","7187524")</f>
        <v>0</v>
      </c>
      <c r="B4166" t="s">
        <v>1435</v>
      </c>
      <c r="C4166" t="s">
        <v>7516</v>
      </c>
      <c r="D4166" t="s">
        <v>17194</v>
      </c>
      <c r="E4166" t="s">
        <v>19228</v>
      </c>
      <c r="F4166" t="s">
        <v>29375</v>
      </c>
      <c r="G4166" t="s">
        <v>29380</v>
      </c>
      <c r="H4166" t="s">
        <v>11048</v>
      </c>
      <c r="I4166" t="s">
        <v>5383</v>
      </c>
      <c r="J4166" t="s">
        <v>31337</v>
      </c>
      <c r="K4166" t="s">
        <v>38491</v>
      </c>
      <c r="M4166" t="s">
        <v>40275</v>
      </c>
      <c r="N4166" t="s">
        <v>42669</v>
      </c>
      <c r="O4166" t="s">
        <v>42670</v>
      </c>
      <c r="P4166">
        <v>0</v>
      </c>
      <c r="Q4166">
        <v>1</v>
      </c>
      <c r="R4166" t="s">
        <v>42676</v>
      </c>
      <c r="S4166" t="s">
        <v>42809</v>
      </c>
      <c r="T4166" t="s">
        <v>44474</v>
      </c>
      <c r="U4166" t="s">
        <v>48248</v>
      </c>
      <c r="W4166" t="s">
        <v>40275</v>
      </c>
      <c r="X4166" t="s">
        <v>42677</v>
      </c>
    </row>
    <row r="4167" spans="1:24">
      <c r="A4167">
        <f>HYPERLINK("https://www.philgeps.gov.ph/GEPSNONPILOT/Tender/SplashBidNoticeAbstractUI.aspx?menuIndex=3&amp;refID=7187521&amp;Result=3","7187521")</f>
        <v>0</v>
      </c>
      <c r="B4167" t="s">
        <v>1508</v>
      </c>
      <c r="C4167" t="s">
        <v>7517</v>
      </c>
      <c r="D4167" t="s">
        <v>17194</v>
      </c>
      <c r="E4167" t="s">
        <v>20888</v>
      </c>
      <c r="F4167" t="s">
        <v>29372</v>
      </c>
      <c r="G4167" t="s">
        <v>29380</v>
      </c>
      <c r="H4167" t="s">
        <v>29389</v>
      </c>
      <c r="I4167" t="s">
        <v>10408</v>
      </c>
      <c r="J4167" t="s">
        <v>32311</v>
      </c>
      <c r="K4167" t="s">
        <v>38496</v>
      </c>
      <c r="M4167" t="s">
        <v>40352</v>
      </c>
      <c r="N4167" t="s">
        <v>42669</v>
      </c>
      <c r="O4167" t="s">
        <v>42670</v>
      </c>
      <c r="P4167">
        <v>0</v>
      </c>
      <c r="Q4167">
        <v>0</v>
      </c>
      <c r="R4167" t="s">
        <v>42676</v>
      </c>
      <c r="S4167" t="s">
        <v>42809</v>
      </c>
      <c r="T4167" t="s">
        <v>44544</v>
      </c>
      <c r="U4167" t="s">
        <v>48249</v>
      </c>
      <c r="W4167" t="s">
        <v>40352</v>
      </c>
      <c r="X4167" t="s">
        <v>42677</v>
      </c>
    </row>
    <row r="4168" spans="1:24">
      <c r="A4168">
        <f>HYPERLINK("https://www.philgeps.gov.ph/GEPSNONPILOT/Tender/SplashBidNoticeAbstractUI.aspx?menuIndex=3&amp;refID=7187515&amp;Result=3","7187515")</f>
        <v>0</v>
      </c>
      <c r="B4168" t="s">
        <v>1509</v>
      </c>
      <c r="C4168" t="s">
        <v>7518</v>
      </c>
      <c r="D4168" t="s">
        <v>17207</v>
      </c>
      <c r="E4168" t="s">
        <v>17947</v>
      </c>
      <c r="F4168" t="s">
        <v>29372</v>
      </c>
      <c r="G4168" t="s">
        <v>29380</v>
      </c>
      <c r="H4168" t="s">
        <v>11048</v>
      </c>
      <c r="I4168" t="s">
        <v>4709</v>
      </c>
      <c r="J4168" t="s">
        <v>32312</v>
      </c>
      <c r="K4168" t="s">
        <v>38485</v>
      </c>
      <c r="M4168" t="s">
        <v>40353</v>
      </c>
      <c r="N4168" t="s">
        <v>42669</v>
      </c>
      <c r="O4168" t="s">
        <v>42670</v>
      </c>
      <c r="P4168">
        <v>0</v>
      </c>
      <c r="Q4168">
        <v>0</v>
      </c>
      <c r="R4168" t="s">
        <v>42676</v>
      </c>
      <c r="S4168" t="s">
        <v>42809</v>
      </c>
      <c r="T4168" t="s">
        <v>44371</v>
      </c>
      <c r="U4168" t="s">
        <v>48250</v>
      </c>
      <c r="W4168" t="s">
        <v>40353</v>
      </c>
      <c r="X4168" t="s">
        <v>42677</v>
      </c>
    </row>
    <row r="4169" spans="1:24">
      <c r="A4169">
        <f>HYPERLINK("https://www.philgeps.gov.ph/GEPSNONPILOT/Tender/SplashBidNoticeAbstractUI.aspx?menuIndex=3&amp;refID=7187516&amp;Result=3","7187516")</f>
        <v>0</v>
      </c>
      <c r="B4169" t="s">
        <v>1510</v>
      </c>
      <c r="C4169" t="s">
        <v>7519</v>
      </c>
      <c r="D4169" t="s">
        <v>17180</v>
      </c>
      <c r="E4169" t="s">
        <v>17571</v>
      </c>
      <c r="F4169" t="s">
        <v>29372</v>
      </c>
      <c r="G4169" t="s">
        <v>29380</v>
      </c>
      <c r="H4169" t="s">
        <v>11048</v>
      </c>
      <c r="I4169" t="s">
        <v>9469</v>
      </c>
      <c r="J4169" t="s">
        <v>29555</v>
      </c>
      <c r="K4169" t="s">
        <v>38510</v>
      </c>
      <c r="M4169" t="s">
        <v>40354</v>
      </c>
      <c r="N4169" t="s">
        <v>42669</v>
      </c>
      <c r="O4169" t="s">
        <v>42670</v>
      </c>
      <c r="P4169">
        <v>0</v>
      </c>
      <c r="Q4169">
        <v>0</v>
      </c>
      <c r="R4169" t="s">
        <v>42676</v>
      </c>
      <c r="S4169" t="s">
        <v>42809</v>
      </c>
      <c r="T4169" t="s">
        <v>44530</v>
      </c>
      <c r="U4169" t="s">
        <v>48251</v>
      </c>
      <c r="W4169" t="s">
        <v>40354</v>
      </c>
      <c r="X4169" t="s">
        <v>42677</v>
      </c>
    </row>
    <row r="4170" spans="1:24">
      <c r="A4170">
        <f>HYPERLINK("https://www.philgeps.gov.ph/GEPSNONPILOT/Tender/SplashBidNoticeAbstractUI.aspx?menuIndex=3&amp;refID=7187519&amp;Result=3","7187519")</f>
        <v>0</v>
      </c>
      <c r="B4170" t="s">
        <v>1501</v>
      </c>
      <c r="C4170" t="s">
        <v>7520</v>
      </c>
      <c r="D4170" t="s">
        <v>17179</v>
      </c>
      <c r="E4170" t="s">
        <v>20860</v>
      </c>
      <c r="F4170" t="s">
        <v>29372</v>
      </c>
      <c r="G4170" t="s">
        <v>29380</v>
      </c>
      <c r="H4170" t="s">
        <v>11048</v>
      </c>
      <c r="I4170" t="s">
        <v>9469</v>
      </c>
      <c r="J4170" t="s">
        <v>32053</v>
      </c>
      <c r="K4170" t="s">
        <v>38485</v>
      </c>
      <c r="M4170" t="s">
        <v>40345</v>
      </c>
      <c r="N4170" t="s">
        <v>42669</v>
      </c>
      <c r="O4170" t="s">
        <v>42670</v>
      </c>
      <c r="P4170">
        <v>0</v>
      </c>
      <c r="Q4170">
        <v>0</v>
      </c>
      <c r="R4170" t="s">
        <v>42676</v>
      </c>
      <c r="S4170" t="s">
        <v>42809</v>
      </c>
      <c r="T4170" t="s">
        <v>44450</v>
      </c>
      <c r="U4170" t="s">
        <v>48252</v>
      </c>
      <c r="W4170" t="s">
        <v>40345</v>
      </c>
      <c r="X4170" t="s">
        <v>42677</v>
      </c>
    </row>
    <row r="4171" spans="1:24">
      <c r="A4171">
        <f>HYPERLINK("https://www.philgeps.gov.ph/GEPSNONPILOT/Tender/SplashBidNoticeAbstractUI.aspx?menuIndex=3&amp;refID=7187543&amp;Result=3","7187543")</f>
        <v>0</v>
      </c>
      <c r="B4171" t="s">
        <v>1511</v>
      </c>
      <c r="C4171" t="s">
        <v>7521</v>
      </c>
      <c r="D4171" t="s">
        <v>17178</v>
      </c>
      <c r="E4171" t="s">
        <v>20889</v>
      </c>
      <c r="F4171" t="s">
        <v>29372</v>
      </c>
      <c r="G4171" t="s">
        <v>29380</v>
      </c>
      <c r="H4171" t="s">
        <v>11048</v>
      </c>
      <c r="I4171" t="s">
        <v>4709</v>
      </c>
      <c r="J4171" t="s">
        <v>32313</v>
      </c>
      <c r="K4171" t="s">
        <v>38488</v>
      </c>
      <c r="M4171" t="s">
        <v>40355</v>
      </c>
      <c r="N4171" t="s">
        <v>42669</v>
      </c>
      <c r="O4171" t="s">
        <v>42670</v>
      </c>
      <c r="P4171">
        <v>0</v>
      </c>
      <c r="Q4171">
        <v>0</v>
      </c>
      <c r="R4171" t="s">
        <v>42676</v>
      </c>
      <c r="S4171" t="s">
        <v>42809</v>
      </c>
      <c r="T4171" t="s">
        <v>44386</v>
      </c>
      <c r="U4171" t="s">
        <v>48253</v>
      </c>
      <c r="W4171" t="s">
        <v>40355</v>
      </c>
      <c r="X4171" t="s">
        <v>42677</v>
      </c>
    </row>
    <row r="4172" spans="1:24">
      <c r="A4172">
        <f>HYPERLINK("https://www.philgeps.gov.ph/GEPSNONPILOT/Tender/SplashBidNoticeAbstractUI.aspx?menuIndex=3&amp;refID=7187561&amp;Result=3","7187561")</f>
        <v>0</v>
      </c>
      <c r="B4172" t="s">
        <v>1493</v>
      </c>
      <c r="C4172" t="s">
        <v>7522</v>
      </c>
      <c r="D4172" t="s">
        <v>17183</v>
      </c>
      <c r="E4172" t="s">
        <v>20890</v>
      </c>
      <c r="F4172" t="s">
        <v>29372</v>
      </c>
      <c r="G4172" t="s">
        <v>29379</v>
      </c>
      <c r="H4172" t="s">
        <v>11048</v>
      </c>
      <c r="I4172" t="s">
        <v>4709</v>
      </c>
      <c r="J4172" t="s">
        <v>32314</v>
      </c>
      <c r="K4172" t="s">
        <v>38488</v>
      </c>
      <c r="M4172" t="s">
        <v>40336</v>
      </c>
      <c r="N4172" t="s">
        <v>42669</v>
      </c>
      <c r="O4172" t="s">
        <v>42670</v>
      </c>
      <c r="P4172">
        <v>0</v>
      </c>
      <c r="Q4172">
        <v>3</v>
      </c>
      <c r="R4172" t="s">
        <v>42676</v>
      </c>
      <c r="S4172" t="s">
        <v>42809</v>
      </c>
      <c r="T4172" t="s">
        <v>44401</v>
      </c>
      <c r="U4172" t="s">
        <v>48203</v>
      </c>
      <c r="W4172" t="s">
        <v>40336</v>
      </c>
      <c r="X4172" t="s">
        <v>42677</v>
      </c>
    </row>
    <row r="4173" spans="1:24">
      <c r="A4173">
        <f>HYPERLINK("https://www.philgeps.gov.ph/GEPSNONPILOT/Tender/SplashBidNoticeAbstractUI.aspx?menuIndex=3&amp;refID=7187517&amp;Result=3","7187517")</f>
        <v>0</v>
      </c>
      <c r="B4173" t="s">
        <v>1512</v>
      </c>
      <c r="C4173" t="s">
        <v>7523</v>
      </c>
      <c r="D4173" t="s">
        <v>17206</v>
      </c>
      <c r="E4173" t="s">
        <v>20891</v>
      </c>
      <c r="F4173" t="s">
        <v>29372</v>
      </c>
      <c r="G4173" t="s">
        <v>29380</v>
      </c>
      <c r="H4173" t="s">
        <v>11048</v>
      </c>
      <c r="I4173" t="s">
        <v>4487</v>
      </c>
      <c r="J4173" t="s">
        <v>32315</v>
      </c>
      <c r="K4173" t="s">
        <v>38490</v>
      </c>
      <c r="M4173" t="s">
        <v>40356</v>
      </c>
      <c r="N4173" t="s">
        <v>42669</v>
      </c>
      <c r="O4173" t="s">
        <v>42670</v>
      </c>
      <c r="P4173">
        <v>0</v>
      </c>
      <c r="Q4173">
        <v>2</v>
      </c>
      <c r="R4173" t="s">
        <v>42676</v>
      </c>
      <c r="S4173" t="s">
        <v>42809</v>
      </c>
      <c r="T4173" t="s">
        <v>44656</v>
      </c>
      <c r="U4173" t="s">
        <v>48254</v>
      </c>
      <c r="V4173" t="s">
        <v>56788</v>
      </c>
      <c r="W4173" t="s">
        <v>40356</v>
      </c>
      <c r="X4173" t="s">
        <v>42677</v>
      </c>
    </row>
    <row r="4174" spans="1:24">
      <c r="A4174">
        <f>HYPERLINK("https://www.philgeps.gov.ph/GEPSNONPILOT/Tender/SplashBidNoticeAbstractUI.aspx?menuIndex=3&amp;refID=7187559&amp;Result=3","7187559")</f>
        <v>0</v>
      </c>
      <c r="B4174" t="s">
        <v>1419</v>
      </c>
      <c r="C4174" t="s">
        <v>7524</v>
      </c>
      <c r="D4174" t="s">
        <v>17155</v>
      </c>
      <c r="E4174" t="s">
        <v>20892</v>
      </c>
      <c r="F4174" t="s">
        <v>29372</v>
      </c>
      <c r="G4174" t="s">
        <v>29383</v>
      </c>
      <c r="H4174" t="s">
        <v>11048</v>
      </c>
      <c r="I4174" t="s">
        <v>29404</v>
      </c>
      <c r="J4174" t="s">
        <v>31053</v>
      </c>
      <c r="K4174" t="s">
        <v>38534</v>
      </c>
      <c r="M4174" t="s">
        <v>40258</v>
      </c>
      <c r="N4174" t="s">
        <v>42669</v>
      </c>
      <c r="O4174" t="s">
        <v>42670</v>
      </c>
      <c r="P4174">
        <v>0</v>
      </c>
      <c r="Q4174">
        <v>0</v>
      </c>
      <c r="R4174" t="s">
        <v>42676</v>
      </c>
      <c r="S4174" t="s">
        <v>42809</v>
      </c>
      <c r="T4174" t="s">
        <v>44427</v>
      </c>
      <c r="U4174" t="s">
        <v>48255</v>
      </c>
      <c r="V4174" t="s">
        <v>56789</v>
      </c>
      <c r="W4174" t="s">
        <v>40258</v>
      </c>
      <c r="X4174" t="s">
        <v>42677</v>
      </c>
    </row>
    <row r="4175" spans="1:24">
      <c r="A4175">
        <f>HYPERLINK("https://www.philgeps.gov.ph/GEPSNONPILOT/Tender/SplashBidNoticeAbstractUI.aspx?menuIndex=3&amp;refID=7187540&amp;Result=3","7187540")</f>
        <v>0</v>
      </c>
      <c r="B4175" t="s">
        <v>1513</v>
      </c>
      <c r="C4175" t="s">
        <v>7525</v>
      </c>
      <c r="D4175" t="s">
        <v>17171</v>
      </c>
      <c r="E4175" t="s">
        <v>20893</v>
      </c>
      <c r="F4175" t="s">
        <v>29372</v>
      </c>
      <c r="G4175" t="s">
        <v>29380</v>
      </c>
      <c r="H4175" t="s">
        <v>11048</v>
      </c>
      <c r="I4175" t="s">
        <v>29417</v>
      </c>
      <c r="J4175" t="s">
        <v>32316</v>
      </c>
      <c r="K4175" t="s">
        <v>38490</v>
      </c>
      <c r="M4175" t="s">
        <v>40357</v>
      </c>
      <c r="N4175" t="s">
        <v>42669</v>
      </c>
      <c r="O4175" t="s">
        <v>42670</v>
      </c>
      <c r="P4175">
        <v>0</v>
      </c>
      <c r="Q4175">
        <v>0</v>
      </c>
      <c r="R4175" t="s">
        <v>42676</v>
      </c>
      <c r="S4175" t="s">
        <v>42809</v>
      </c>
      <c r="T4175" t="s">
        <v>44360</v>
      </c>
      <c r="U4175" t="s">
        <v>48256</v>
      </c>
      <c r="V4175" t="s">
        <v>56790</v>
      </c>
      <c r="W4175" t="s">
        <v>40357</v>
      </c>
      <c r="X4175" t="s">
        <v>42677</v>
      </c>
    </row>
    <row r="4176" spans="1:24">
      <c r="A4176">
        <f>HYPERLINK("https://www.philgeps.gov.ph/GEPSNONPILOT/Tender/SplashBidNoticeAbstractUI.aspx?menuIndex=3&amp;refID=7187558&amp;Result=3","7187558")</f>
        <v>0</v>
      </c>
      <c r="B4176" t="s">
        <v>1514</v>
      </c>
      <c r="C4176" t="s">
        <v>7526</v>
      </c>
      <c r="D4176" t="s">
        <v>17226</v>
      </c>
      <c r="E4176" t="s">
        <v>20894</v>
      </c>
      <c r="F4176" t="s">
        <v>29372</v>
      </c>
      <c r="G4176" t="s">
        <v>29380</v>
      </c>
      <c r="H4176" t="s">
        <v>11048</v>
      </c>
      <c r="I4176" t="s">
        <v>3670</v>
      </c>
      <c r="J4176" t="s">
        <v>32317</v>
      </c>
      <c r="K4176" t="s">
        <v>38490</v>
      </c>
      <c r="M4176" t="s">
        <v>40358</v>
      </c>
      <c r="N4176" t="s">
        <v>42669</v>
      </c>
      <c r="O4176" t="s">
        <v>42670</v>
      </c>
      <c r="P4176">
        <v>0</v>
      </c>
      <c r="Q4176">
        <v>0</v>
      </c>
      <c r="R4176" t="s">
        <v>42676</v>
      </c>
      <c r="S4176" t="s">
        <v>42809</v>
      </c>
      <c r="T4176" t="s">
        <v>44525</v>
      </c>
      <c r="U4176" t="s">
        <v>48257</v>
      </c>
      <c r="V4176" t="s">
        <v>56791</v>
      </c>
      <c r="W4176" t="s">
        <v>40358</v>
      </c>
      <c r="X4176" t="s">
        <v>42677</v>
      </c>
    </row>
    <row r="4177" spans="1:24">
      <c r="A4177">
        <f>HYPERLINK("https://www.philgeps.gov.ph/GEPSNONPILOT/Tender/SplashBidNoticeAbstractUI.aspx?menuIndex=3&amp;refID=7187555&amp;Result=3","7187555")</f>
        <v>0</v>
      </c>
      <c r="B4177" t="s">
        <v>1515</v>
      </c>
      <c r="C4177" t="s">
        <v>7527</v>
      </c>
      <c r="D4177" t="s">
        <v>17174</v>
      </c>
      <c r="E4177" t="s">
        <v>20895</v>
      </c>
      <c r="F4177" t="s">
        <v>29376</v>
      </c>
      <c r="G4177" t="s">
        <v>29383</v>
      </c>
      <c r="H4177" t="s">
        <v>29389</v>
      </c>
      <c r="I4177" t="s">
        <v>10408</v>
      </c>
      <c r="J4177" t="s">
        <v>32318</v>
      </c>
      <c r="K4177" t="s">
        <v>38628</v>
      </c>
      <c r="M4177" t="s">
        <v>40359</v>
      </c>
      <c r="N4177" t="s">
        <v>42669</v>
      </c>
      <c r="O4177" t="s">
        <v>42670</v>
      </c>
      <c r="P4177">
        <v>0</v>
      </c>
      <c r="Q4177">
        <v>1</v>
      </c>
      <c r="R4177" t="s">
        <v>42676</v>
      </c>
      <c r="S4177" t="s">
        <v>42809</v>
      </c>
      <c r="T4177" t="s">
        <v>44419</v>
      </c>
      <c r="U4177" t="s">
        <v>48258</v>
      </c>
      <c r="W4177" t="s">
        <v>40359</v>
      </c>
      <c r="X4177" t="s">
        <v>42677</v>
      </c>
    </row>
    <row r="4178" spans="1:24">
      <c r="A4178">
        <f>HYPERLINK("https://www.philgeps.gov.ph/GEPSNONPILOT/Tender/SplashBidNoticeAbstractUI.aspx?menuIndex=3&amp;refID=7187553&amp;Result=3","7187553")</f>
        <v>0</v>
      </c>
      <c r="B4178" t="s">
        <v>1515</v>
      </c>
      <c r="C4178" t="s">
        <v>7528</v>
      </c>
      <c r="D4178" t="s">
        <v>17174</v>
      </c>
      <c r="E4178" t="s">
        <v>20896</v>
      </c>
      <c r="F4178" t="s">
        <v>29372</v>
      </c>
      <c r="G4178" t="s">
        <v>29379</v>
      </c>
      <c r="H4178" t="s">
        <v>11048</v>
      </c>
      <c r="I4178" t="s">
        <v>29395</v>
      </c>
      <c r="J4178" t="s">
        <v>32319</v>
      </c>
      <c r="K4178" t="s">
        <v>38629</v>
      </c>
      <c r="M4178" t="s">
        <v>40360</v>
      </c>
      <c r="N4178" t="s">
        <v>42669</v>
      </c>
      <c r="O4178" t="s">
        <v>42670</v>
      </c>
      <c r="P4178">
        <v>0</v>
      </c>
      <c r="Q4178">
        <v>1</v>
      </c>
      <c r="R4178" t="s">
        <v>42676</v>
      </c>
      <c r="S4178" t="s">
        <v>42809</v>
      </c>
      <c r="T4178" t="s">
        <v>44432</v>
      </c>
      <c r="U4178" t="s">
        <v>48259</v>
      </c>
      <c r="W4178" t="s">
        <v>40360</v>
      </c>
      <c r="X4178" t="s">
        <v>42677</v>
      </c>
    </row>
    <row r="4179" spans="1:24">
      <c r="A4179">
        <f>HYPERLINK("https://www.philgeps.gov.ph/GEPSNONPILOT/Tender/SplashBidNoticeAbstractUI.aspx?menuIndex=3&amp;refID=7187552&amp;Result=3","7187552")</f>
        <v>0</v>
      </c>
      <c r="B4179" t="s">
        <v>1516</v>
      </c>
      <c r="C4179" t="s">
        <v>7529</v>
      </c>
      <c r="D4179" t="s">
        <v>17182</v>
      </c>
      <c r="E4179" t="s">
        <v>20897</v>
      </c>
      <c r="F4179" t="s">
        <v>29372</v>
      </c>
      <c r="G4179" t="s">
        <v>29380</v>
      </c>
      <c r="H4179" t="s">
        <v>11048</v>
      </c>
      <c r="I4179" t="s">
        <v>29393</v>
      </c>
      <c r="J4179" t="s">
        <v>32320</v>
      </c>
      <c r="K4179" t="s">
        <v>38567</v>
      </c>
      <c r="M4179" t="s">
        <v>40361</v>
      </c>
      <c r="N4179" t="s">
        <v>42669</v>
      </c>
      <c r="O4179" t="s">
        <v>42670</v>
      </c>
      <c r="P4179">
        <v>0</v>
      </c>
      <c r="Q4179">
        <v>0</v>
      </c>
      <c r="R4179" t="s">
        <v>42676</v>
      </c>
      <c r="S4179" t="s">
        <v>42809</v>
      </c>
      <c r="T4179" t="s">
        <v>44485</v>
      </c>
      <c r="U4179" t="s">
        <v>48260</v>
      </c>
      <c r="W4179" t="s">
        <v>40361</v>
      </c>
      <c r="X4179" t="s">
        <v>42677</v>
      </c>
    </row>
    <row r="4180" spans="1:24">
      <c r="A4180">
        <f>HYPERLINK("https://www.philgeps.gov.ph/GEPSNONPILOT/Tender/SplashBidNoticeAbstractUI.aspx?menuIndex=3&amp;refID=7187550&amp;Result=3","7187550")</f>
        <v>0</v>
      </c>
      <c r="B4180" t="s">
        <v>129</v>
      </c>
      <c r="C4180" t="s">
        <v>7530</v>
      </c>
      <c r="E4180" t="s">
        <v>20898</v>
      </c>
      <c r="F4180" t="s">
        <v>29372</v>
      </c>
      <c r="G4180" t="s">
        <v>29383</v>
      </c>
      <c r="H4180" t="s">
        <v>11048</v>
      </c>
      <c r="I4180" t="s">
        <v>29433</v>
      </c>
      <c r="J4180" t="s">
        <v>32321</v>
      </c>
      <c r="K4180" t="s">
        <v>38490</v>
      </c>
      <c r="M4180" t="s">
        <v>38884</v>
      </c>
      <c r="N4180" t="s">
        <v>42669</v>
      </c>
      <c r="O4180" t="s">
        <v>42670</v>
      </c>
      <c r="P4180">
        <v>0</v>
      </c>
      <c r="Q4180">
        <v>5</v>
      </c>
      <c r="R4180" t="s">
        <v>42676</v>
      </c>
      <c r="S4180" t="s">
        <v>42809</v>
      </c>
      <c r="T4180" t="s">
        <v>44417</v>
      </c>
      <c r="U4180" t="s">
        <v>48261</v>
      </c>
      <c r="W4180" t="s">
        <v>38884</v>
      </c>
      <c r="X4180" t="s">
        <v>42677</v>
      </c>
    </row>
    <row r="4181" spans="1:24">
      <c r="A4181">
        <f>HYPERLINK("https://www.philgeps.gov.ph/GEPSNONPILOT/Tender/SplashBidNoticeAbstractUI.aspx?menuIndex=3&amp;refID=7187513&amp;Result=3","7187513")</f>
        <v>0</v>
      </c>
      <c r="B4181" t="s">
        <v>959</v>
      </c>
      <c r="C4181" t="s">
        <v>7531</v>
      </c>
      <c r="D4181" t="s">
        <v>17145</v>
      </c>
      <c r="E4181" t="s">
        <v>20899</v>
      </c>
      <c r="F4181" t="s">
        <v>29372</v>
      </c>
      <c r="G4181" t="s">
        <v>29380</v>
      </c>
      <c r="H4181" t="s">
        <v>11048</v>
      </c>
      <c r="I4181" t="s">
        <v>9469</v>
      </c>
      <c r="J4181" t="s">
        <v>31958</v>
      </c>
      <c r="K4181" t="s">
        <v>38485</v>
      </c>
      <c r="M4181" t="s">
        <v>39755</v>
      </c>
      <c r="N4181" t="s">
        <v>42669</v>
      </c>
      <c r="O4181" t="s">
        <v>42670</v>
      </c>
      <c r="P4181">
        <v>0</v>
      </c>
      <c r="Q4181">
        <v>4</v>
      </c>
      <c r="R4181" t="s">
        <v>42676</v>
      </c>
      <c r="S4181" t="s">
        <v>42809</v>
      </c>
      <c r="T4181" t="s">
        <v>44504</v>
      </c>
      <c r="U4181" t="s">
        <v>48262</v>
      </c>
      <c r="W4181" t="s">
        <v>39755</v>
      </c>
      <c r="X4181" t="s">
        <v>42677</v>
      </c>
    </row>
    <row r="4182" spans="1:24">
      <c r="A4182">
        <f>HYPERLINK("https://www.philgeps.gov.ph/GEPSNONPILOT/Tender/SplashBidNoticeAbstractUI.aspx?menuIndex=3&amp;refID=7187570&amp;Result=3","7187570")</f>
        <v>0</v>
      </c>
      <c r="B4182" t="s">
        <v>1248</v>
      </c>
      <c r="C4182" t="s">
        <v>7532</v>
      </c>
      <c r="D4182" t="s">
        <v>17145</v>
      </c>
      <c r="E4182" t="s">
        <v>20900</v>
      </c>
      <c r="F4182" t="s">
        <v>29372</v>
      </c>
      <c r="G4182" t="s">
        <v>29379</v>
      </c>
      <c r="H4182" t="s">
        <v>29389</v>
      </c>
      <c r="I4182" t="s">
        <v>10408</v>
      </c>
      <c r="J4182" t="s">
        <v>32322</v>
      </c>
      <c r="K4182" t="s">
        <v>38485</v>
      </c>
      <c r="M4182" t="s">
        <v>40073</v>
      </c>
      <c r="N4182" t="s">
        <v>42669</v>
      </c>
      <c r="O4182" t="s">
        <v>42670</v>
      </c>
      <c r="P4182">
        <v>0</v>
      </c>
      <c r="Q4182">
        <v>3</v>
      </c>
      <c r="R4182" t="s">
        <v>42676</v>
      </c>
      <c r="S4182" t="s">
        <v>42809</v>
      </c>
      <c r="T4182" t="s">
        <v>44371</v>
      </c>
      <c r="U4182" t="s">
        <v>48263</v>
      </c>
      <c r="W4182" t="s">
        <v>40073</v>
      </c>
      <c r="X4182" t="s">
        <v>42677</v>
      </c>
    </row>
    <row r="4183" spans="1:24">
      <c r="A4183">
        <f>HYPERLINK("https://www.philgeps.gov.ph/GEPSNONPILOT/Tender/SplashBidNoticeAbstractUI.aspx?menuIndex=3&amp;refID=7187569&amp;Result=3","7187569")</f>
        <v>0</v>
      </c>
      <c r="B4183" t="s">
        <v>1517</v>
      </c>
      <c r="C4183" t="s">
        <v>7533</v>
      </c>
      <c r="D4183" t="s">
        <v>17147</v>
      </c>
      <c r="E4183" t="s">
        <v>20901</v>
      </c>
      <c r="F4183" t="s">
        <v>29372</v>
      </c>
      <c r="G4183" t="s">
        <v>29379</v>
      </c>
      <c r="H4183" t="s">
        <v>11048</v>
      </c>
      <c r="I4183" t="s">
        <v>4709</v>
      </c>
      <c r="J4183" t="s">
        <v>30039</v>
      </c>
      <c r="K4183" t="s">
        <v>38491</v>
      </c>
      <c r="M4183" t="s">
        <v>40362</v>
      </c>
      <c r="N4183" t="s">
        <v>42669</v>
      </c>
      <c r="O4183" t="s">
        <v>42670</v>
      </c>
      <c r="P4183">
        <v>0</v>
      </c>
      <c r="Q4183">
        <v>0</v>
      </c>
      <c r="R4183" t="s">
        <v>42676</v>
      </c>
      <c r="S4183" t="s">
        <v>42809</v>
      </c>
      <c r="T4183" t="s">
        <v>44488</v>
      </c>
      <c r="U4183" t="s">
        <v>48264</v>
      </c>
      <c r="V4183" t="s">
        <v>56792</v>
      </c>
      <c r="W4183" t="s">
        <v>40362</v>
      </c>
      <c r="X4183" t="s">
        <v>42677</v>
      </c>
    </row>
    <row r="4184" spans="1:24">
      <c r="A4184">
        <f>HYPERLINK("https://www.philgeps.gov.ph/GEPSNONPILOT/Tender/SplashBidNoticeAbstractUI.aspx?menuIndex=3&amp;refID=7187549&amp;Result=3","7187549")</f>
        <v>0</v>
      </c>
      <c r="B4184" t="s">
        <v>1435</v>
      </c>
      <c r="C4184" t="s">
        <v>7534</v>
      </c>
      <c r="D4184" t="s">
        <v>17194</v>
      </c>
      <c r="E4184" t="s">
        <v>19270</v>
      </c>
      <c r="F4184" t="s">
        <v>29375</v>
      </c>
      <c r="G4184" t="s">
        <v>29380</v>
      </c>
      <c r="H4184" t="s">
        <v>11048</v>
      </c>
      <c r="I4184" t="s">
        <v>5383</v>
      </c>
      <c r="J4184" t="s">
        <v>32323</v>
      </c>
      <c r="K4184" t="s">
        <v>38491</v>
      </c>
      <c r="M4184" t="s">
        <v>40275</v>
      </c>
      <c r="N4184" t="s">
        <v>42669</v>
      </c>
      <c r="O4184" t="s">
        <v>42670</v>
      </c>
      <c r="P4184">
        <v>0</v>
      </c>
      <c r="Q4184">
        <v>1</v>
      </c>
      <c r="R4184" t="s">
        <v>42676</v>
      </c>
      <c r="S4184" t="s">
        <v>42809</v>
      </c>
      <c r="T4184" t="s">
        <v>44474</v>
      </c>
      <c r="U4184" t="s">
        <v>48068</v>
      </c>
      <c r="W4184" t="s">
        <v>40275</v>
      </c>
      <c r="X4184" t="s">
        <v>42677</v>
      </c>
    </row>
    <row r="4185" spans="1:24">
      <c r="A4185">
        <f>HYPERLINK("https://www.philgeps.gov.ph/GEPSNONPILOT/Tender/SplashBidNoticeAbstractUI.aspx?menuIndex=3&amp;refID=7187541&amp;Result=3","7187541")</f>
        <v>0</v>
      </c>
      <c r="B4185" t="s">
        <v>1477</v>
      </c>
      <c r="C4185" t="s">
        <v>7535</v>
      </c>
      <c r="D4185" t="s">
        <v>17181</v>
      </c>
      <c r="E4185" t="s">
        <v>17965</v>
      </c>
      <c r="F4185" t="s">
        <v>29372</v>
      </c>
      <c r="G4185" t="s">
        <v>29380</v>
      </c>
      <c r="H4185" t="s">
        <v>11048</v>
      </c>
      <c r="I4185" t="s">
        <v>29443</v>
      </c>
      <c r="J4185" t="s">
        <v>29708</v>
      </c>
      <c r="K4185" t="s">
        <v>38485</v>
      </c>
      <c r="M4185" t="s">
        <v>40320</v>
      </c>
      <c r="N4185" t="s">
        <v>42669</v>
      </c>
      <c r="O4185" t="s">
        <v>42670</v>
      </c>
      <c r="P4185">
        <v>0</v>
      </c>
      <c r="Q4185">
        <v>0</v>
      </c>
      <c r="R4185" t="s">
        <v>42676</v>
      </c>
      <c r="S4185" t="s">
        <v>42809</v>
      </c>
      <c r="T4185" t="s">
        <v>44649</v>
      </c>
      <c r="U4185" t="s">
        <v>48265</v>
      </c>
      <c r="W4185" t="s">
        <v>40320</v>
      </c>
      <c r="X4185" t="s">
        <v>42677</v>
      </c>
    </row>
    <row r="4186" spans="1:24">
      <c r="A4186">
        <f>HYPERLINK("https://www.philgeps.gov.ph/GEPSNONPILOT/Tender/SplashBidNoticeAbstractUI.aspx?menuIndex=3&amp;refID=7187565&amp;Result=3","7187565")</f>
        <v>0</v>
      </c>
      <c r="B4186" t="s">
        <v>679</v>
      </c>
      <c r="C4186" t="s">
        <v>7536</v>
      </c>
      <c r="D4186" t="s">
        <v>17175</v>
      </c>
      <c r="E4186" t="s">
        <v>20902</v>
      </c>
      <c r="F4186" t="s">
        <v>29372</v>
      </c>
      <c r="G4186" t="s">
        <v>29380</v>
      </c>
      <c r="H4186" t="s">
        <v>11048</v>
      </c>
      <c r="I4186" t="s">
        <v>3839</v>
      </c>
      <c r="J4186" t="s">
        <v>30026</v>
      </c>
      <c r="K4186" t="s">
        <v>38510</v>
      </c>
      <c r="M4186" t="s">
        <v>39455</v>
      </c>
      <c r="N4186" t="s">
        <v>42669</v>
      </c>
      <c r="O4186" t="s">
        <v>42670</v>
      </c>
      <c r="P4186">
        <v>0</v>
      </c>
      <c r="Q4186">
        <v>0</v>
      </c>
      <c r="R4186" t="s">
        <v>42676</v>
      </c>
      <c r="S4186" t="s">
        <v>42809</v>
      </c>
      <c r="T4186" t="s">
        <v>44361</v>
      </c>
      <c r="U4186" t="s">
        <v>48266</v>
      </c>
      <c r="W4186" t="s">
        <v>39455</v>
      </c>
      <c r="X4186" t="s">
        <v>42677</v>
      </c>
    </row>
    <row r="4187" spans="1:24">
      <c r="A4187">
        <f>HYPERLINK("https://www.philgeps.gov.ph/GEPSNONPILOT/Tender/SplashBidNoticeAbstractUI.aspx?menuIndex=3&amp;refID=7187562&amp;Result=3","7187562")</f>
        <v>0</v>
      </c>
      <c r="B4187" t="s">
        <v>76</v>
      </c>
      <c r="C4187" t="s">
        <v>7537</v>
      </c>
      <c r="D4187" t="s">
        <v>17168</v>
      </c>
      <c r="E4187" t="s">
        <v>20903</v>
      </c>
      <c r="F4187" t="s">
        <v>29372</v>
      </c>
      <c r="G4187" t="s">
        <v>29380</v>
      </c>
      <c r="H4187" t="s">
        <v>11048</v>
      </c>
      <c r="I4187" t="s">
        <v>3629</v>
      </c>
      <c r="J4187" t="s">
        <v>32324</v>
      </c>
      <c r="K4187" t="s">
        <v>38488</v>
      </c>
      <c r="M4187" t="s">
        <v>38830</v>
      </c>
      <c r="N4187" t="s">
        <v>42669</v>
      </c>
      <c r="O4187" t="s">
        <v>42670</v>
      </c>
      <c r="P4187">
        <v>0</v>
      </c>
      <c r="Q4187">
        <v>0</v>
      </c>
      <c r="R4187" t="s">
        <v>42676</v>
      </c>
      <c r="S4187" t="s">
        <v>42809</v>
      </c>
      <c r="T4187" t="s">
        <v>44572</v>
      </c>
      <c r="U4187" t="s">
        <v>48267</v>
      </c>
      <c r="W4187" t="s">
        <v>38830</v>
      </c>
      <c r="X4187" t="s">
        <v>42677</v>
      </c>
    </row>
    <row r="4188" spans="1:24">
      <c r="A4188">
        <f>HYPERLINK("https://www.philgeps.gov.ph/GEPSNONPILOT/Tender/SplashBidNoticeAbstractUI.aspx?menuIndex=3&amp;refID=7187544&amp;Result=3","7187544")</f>
        <v>0</v>
      </c>
      <c r="B4188" t="s">
        <v>1503</v>
      </c>
      <c r="C4188" t="s">
        <v>7489</v>
      </c>
      <c r="D4188" t="s">
        <v>17194</v>
      </c>
      <c r="E4188" t="s">
        <v>20904</v>
      </c>
      <c r="F4188" t="s">
        <v>29372</v>
      </c>
      <c r="G4188" t="s">
        <v>29379</v>
      </c>
      <c r="H4188" t="s">
        <v>11048</v>
      </c>
      <c r="I4188" t="s">
        <v>4486</v>
      </c>
      <c r="J4188" t="s">
        <v>32325</v>
      </c>
      <c r="K4188" t="s">
        <v>38485</v>
      </c>
      <c r="M4188" t="s">
        <v>40347</v>
      </c>
      <c r="N4188" t="s">
        <v>42669</v>
      </c>
      <c r="O4188" t="s">
        <v>42670</v>
      </c>
      <c r="P4188">
        <v>0</v>
      </c>
      <c r="Q4188">
        <v>1</v>
      </c>
      <c r="R4188" t="s">
        <v>42676</v>
      </c>
      <c r="S4188" t="s">
        <v>42809</v>
      </c>
      <c r="T4188" t="s">
        <v>44653</v>
      </c>
      <c r="U4188" t="s">
        <v>48228</v>
      </c>
      <c r="W4188" t="s">
        <v>40347</v>
      </c>
      <c r="X4188" t="s">
        <v>42677</v>
      </c>
    </row>
    <row r="4189" spans="1:24">
      <c r="A4189">
        <f>HYPERLINK("https://www.philgeps.gov.ph/GEPSNONPILOT/Tender/SplashBidNoticeAbstractUI.aspx?menuIndex=3&amp;refID=7187568&amp;Result=3","7187568")</f>
        <v>0</v>
      </c>
      <c r="B4189" t="s">
        <v>375</v>
      </c>
      <c r="C4189" t="s">
        <v>7538</v>
      </c>
      <c r="D4189" t="s">
        <v>17141</v>
      </c>
      <c r="E4189" t="s">
        <v>18484</v>
      </c>
      <c r="F4189" t="s">
        <v>29372</v>
      </c>
      <c r="G4189" t="s">
        <v>29379</v>
      </c>
      <c r="H4189" t="s">
        <v>11048</v>
      </c>
      <c r="I4189" t="s">
        <v>4709</v>
      </c>
      <c r="J4189" t="s">
        <v>32326</v>
      </c>
      <c r="K4189" t="s">
        <v>38488</v>
      </c>
      <c r="M4189" t="s">
        <v>39136</v>
      </c>
      <c r="N4189" t="s">
        <v>42669</v>
      </c>
      <c r="O4189" t="s">
        <v>42670</v>
      </c>
      <c r="P4189">
        <v>0</v>
      </c>
      <c r="Q4189">
        <v>1</v>
      </c>
      <c r="R4189" t="s">
        <v>42676</v>
      </c>
      <c r="S4189" t="s">
        <v>42809</v>
      </c>
      <c r="T4189" t="s">
        <v>44401</v>
      </c>
      <c r="U4189" t="s">
        <v>48268</v>
      </c>
      <c r="W4189" t="s">
        <v>58011</v>
      </c>
      <c r="X4189" t="s">
        <v>42677</v>
      </c>
    </row>
    <row r="4190" spans="1:24">
      <c r="A4190">
        <f>HYPERLINK("https://www.philgeps.gov.ph/GEPSNONPILOT/Tender/SplashBidNoticeAbstractUI.aspx?menuIndex=3&amp;refID=7187566&amp;Result=3","7187566")</f>
        <v>0</v>
      </c>
      <c r="B4190" t="s">
        <v>934</v>
      </c>
      <c r="C4190" t="s">
        <v>7539</v>
      </c>
      <c r="D4190" t="s">
        <v>17175</v>
      </c>
      <c r="E4190" t="s">
        <v>20905</v>
      </c>
      <c r="F4190" t="s">
        <v>29372</v>
      </c>
      <c r="G4190" t="s">
        <v>29380</v>
      </c>
      <c r="H4190" t="s">
        <v>11048</v>
      </c>
      <c r="I4190" t="s">
        <v>9469</v>
      </c>
      <c r="J4190" t="s">
        <v>30907</v>
      </c>
      <c r="K4190" t="s">
        <v>38490</v>
      </c>
      <c r="M4190" t="s">
        <v>39729</v>
      </c>
      <c r="N4190" t="s">
        <v>42669</v>
      </c>
      <c r="O4190" t="s">
        <v>42670</v>
      </c>
      <c r="P4190">
        <v>0</v>
      </c>
      <c r="Q4190">
        <v>3</v>
      </c>
      <c r="R4190" t="s">
        <v>42676</v>
      </c>
      <c r="S4190" t="s">
        <v>42809</v>
      </c>
      <c r="T4190" t="s">
        <v>44655</v>
      </c>
      <c r="U4190" t="s">
        <v>48269</v>
      </c>
      <c r="W4190" t="s">
        <v>39729</v>
      </c>
      <c r="X4190" t="s">
        <v>42677</v>
      </c>
    </row>
    <row r="4191" spans="1:24">
      <c r="A4191">
        <f>HYPERLINK("https://www.philgeps.gov.ph/GEPSNONPILOT/Tender/SplashBidNoticeAbstractUI.aspx?menuIndex=3&amp;refID=7187571&amp;Result=3","7187571")</f>
        <v>0</v>
      </c>
      <c r="B4191" t="s">
        <v>1470</v>
      </c>
      <c r="C4191" t="s">
        <v>7540</v>
      </c>
      <c r="D4191" t="s">
        <v>17153</v>
      </c>
      <c r="E4191" t="s">
        <v>20906</v>
      </c>
      <c r="F4191" t="s">
        <v>29372</v>
      </c>
      <c r="G4191" t="s">
        <v>29380</v>
      </c>
      <c r="H4191" t="s">
        <v>11048</v>
      </c>
      <c r="I4191" t="s">
        <v>4709</v>
      </c>
      <c r="J4191" t="s">
        <v>29680</v>
      </c>
      <c r="K4191" t="s">
        <v>38485</v>
      </c>
      <c r="M4191" t="s">
        <v>40313</v>
      </c>
      <c r="N4191" t="s">
        <v>42669</v>
      </c>
      <c r="O4191" t="s">
        <v>42670</v>
      </c>
      <c r="P4191">
        <v>0</v>
      </c>
      <c r="Q4191">
        <v>0</v>
      </c>
      <c r="R4191" t="s">
        <v>42676</v>
      </c>
      <c r="S4191" t="s">
        <v>42809</v>
      </c>
      <c r="T4191" t="s">
        <v>44443</v>
      </c>
      <c r="U4191" t="s">
        <v>48146</v>
      </c>
      <c r="V4191" t="s">
        <v>56769</v>
      </c>
      <c r="W4191" t="s">
        <v>40313</v>
      </c>
      <c r="X4191" t="s">
        <v>42677</v>
      </c>
    </row>
    <row r="4192" spans="1:24">
      <c r="A4192">
        <f>HYPERLINK("https://www.philgeps.gov.ph/GEPSNONPILOT/Tender/SplashBidNoticeAbstractUI.aspx?menuIndex=3&amp;refID=7187592&amp;Result=3","7187592")</f>
        <v>0</v>
      </c>
      <c r="B4192" t="s">
        <v>1518</v>
      </c>
      <c r="C4192" t="s">
        <v>7541</v>
      </c>
      <c r="D4192" t="s">
        <v>17160</v>
      </c>
      <c r="E4192" t="s">
        <v>20907</v>
      </c>
      <c r="F4192" t="s">
        <v>29372</v>
      </c>
      <c r="G4192" t="s">
        <v>29379</v>
      </c>
      <c r="H4192" t="s">
        <v>11048</v>
      </c>
      <c r="I4192" t="s">
        <v>29446</v>
      </c>
      <c r="J4192" t="s">
        <v>29571</v>
      </c>
      <c r="K4192" t="s">
        <v>38510</v>
      </c>
      <c r="M4192" t="s">
        <v>40363</v>
      </c>
      <c r="N4192" t="s">
        <v>42669</v>
      </c>
      <c r="O4192" t="s">
        <v>42670</v>
      </c>
      <c r="P4192">
        <v>0</v>
      </c>
      <c r="Q4192">
        <v>2</v>
      </c>
      <c r="R4192" t="s">
        <v>42676</v>
      </c>
      <c r="S4192" t="s">
        <v>42809</v>
      </c>
      <c r="T4192" t="s">
        <v>44489</v>
      </c>
      <c r="U4192" t="s">
        <v>48270</v>
      </c>
      <c r="W4192" t="s">
        <v>40363</v>
      </c>
      <c r="X4192" t="s">
        <v>42677</v>
      </c>
    </row>
    <row r="4193" spans="1:24">
      <c r="A4193">
        <f>HYPERLINK("https://www.philgeps.gov.ph/GEPSNONPILOT/Tender/SplashBidNoticeAbstractUI.aspx?menuIndex=3&amp;refID=7187589&amp;Result=3","7187589")</f>
        <v>0</v>
      </c>
      <c r="B4193" t="s">
        <v>1331</v>
      </c>
      <c r="C4193" t="s">
        <v>7542</v>
      </c>
      <c r="D4193" t="s">
        <v>17168</v>
      </c>
      <c r="E4193" t="s">
        <v>20908</v>
      </c>
      <c r="F4193" t="s">
        <v>29372</v>
      </c>
      <c r="G4193" t="s">
        <v>29380</v>
      </c>
      <c r="H4193" t="s">
        <v>29389</v>
      </c>
      <c r="I4193" t="s">
        <v>10408</v>
      </c>
      <c r="J4193" t="s">
        <v>32327</v>
      </c>
      <c r="K4193" t="s">
        <v>38630</v>
      </c>
      <c r="M4193" t="s">
        <v>40167</v>
      </c>
      <c r="N4193" t="s">
        <v>42669</v>
      </c>
      <c r="O4193" t="s">
        <v>42670</v>
      </c>
      <c r="P4193">
        <v>0</v>
      </c>
      <c r="Q4193">
        <v>0</v>
      </c>
      <c r="R4193" t="s">
        <v>42676</v>
      </c>
      <c r="S4193" t="s">
        <v>42809</v>
      </c>
      <c r="T4193" t="s">
        <v>44504</v>
      </c>
      <c r="U4193" t="s">
        <v>48271</v>
      </c>
      <c r="W4193" t="s">
        <v>40167</v>
      </c>
      <c r="X4193" t="s">
        <v>42677</v>
      </c>
    </row>
    <row r="4194" spans="1:24">
      <c r="A4194">
        <f>HYPERLINK("https://www.philgeps.gov.ph/GEPSNONPILOT/Tender/SplashBidNoticeAbstractUI.aspx?menuIndex=3&amp;refID=7187584&amp;Result=3","7187584")</f>
        <v>0</v>
      </c>
      <c r="B4194" t="s">
        <v>1499</v>
      </c>
      <c r="C4194" t="s">
        <v>7543</v>
      </c>
      <c r="D4194" t="s">
        <v>17231</v>
      </c>
      <c r="E4194" t="s">
        <v>20909</v>
      </c>
      <c r="F4194" t="s">
        <v>29372</v>
      </c>
      <c r="G4194" t="s">
        <v>29381</v>
      </c>
      <c r="H4194" t="s">
        <v>11048</v>
      </c>
      <c r="I4194" t="s">
        <v>3695</v>
      </c>
      <c r="J4194" t="s">
        <v>30036</v>
      </c>
      <c r="K4194" t="s">
        <v>38496</v>
      </c>
      <c r="M4194" t="s">
        <v>40343</v>
      </c>
      <c r="N4194" t="s">
        <v>42669</v>
      </c>
      <c r="O4194" t="s">
        <v>42670</v>
      </c>
      <c r="P4194">
        <v>0</v>
      </c>
      <c r="Q4194">
        <v>0</v>
      </c>
      <c r="R4194" t="s">
        <v>42676</v>
      </c>
      <c r="S4194" t="s">
        <v>42809</v>
      </c>
      <c r="T4194" t="s">
        <v>44652</v>
      </c>
      <c r="U4194" t="s">
        <v>48272</v>
      </c>
      <c r="W4194" t="s">
        <v>40343</v>
      </c>
      <c r="X4194" t="s">
        <v>42677</v>
      </c>
    </row>
    <row r="4195" spans="1:24">
      <c r="A4195">
        <f>HYPERLINK("https://www.philgeps.gov.ph/GEPSNONPILOT/Tender/SplashBidNoticeAbstractUI.aspx?menuIndex=3&amp;refID=7187545&amp;Result=3","7187545")</f>
        <v>0</v>
      </c>
      <c r="B4195" t="s">
        <v>1051</v>
      </c>
      <c r="C4195" t="s">
        <v>7544</v>
      </c>
      <c r="D4195" t="s">
        <v>17174</v>
      </c>
      <c r="E4195" t="s">
        <v>20910</v>
      </c>
      <c r="F4195" t="s">
        <v>29372</v>
      </c>
      <c r="G4195" t="s">
        <v>29380</v>
      </c>
      <c r="H4195" t="s">
        <v>11048</v>
      </c>
      <c r="I4195" t="s">
        <v>14920</v>
      </c>
      <c r="J4195" t="s">
        <v>32328</v>
      </c>
      <c r="K4195" t="s">
        <v>38486</v>
      </c>
      <c r="M4195" t="s">
        <v>39858</v>
      </c>
      <c r="N4195" t="s">
        <v>42669</v>
      </c>
      <c r="O4195" t="s">
        <v>42670</v>
      </c>
      <c r="P4195">
        <v>0</v>
      </c>
      <c r="Q4195">
        <v>0</v>
      </c>
      <c r="R4195" t="s">
        <v>42676</v>
      </c>
      <c r="S4195" t="s">
        <v>42809</v>
      </c>
      <c r="T4195" t="s">
        <v>44394</v>
      </c>
      <c r="U4195" t="s">
        <v>48273</v>
      </c>
      <c r="W4195" t="s">
        <v>39858</v>
      </c>
      <c r="X4195" t="s">
        <v>42677</v>
      </c>
    </row>
    <row r="4196" spans="1:24">
      <c r="A4196">
        <f>HYPERLINK("https://www.philgeps.gov.ph/GEPSNONPILOT/Tender/SplashBidNoticeAbstractUI.aspx?menuIndex=3&amp;refID=7187567&amp;Result=3","7187567")</f>
        <v>0</v>
      </c>
      <c r="B4196" t="s">
        <v>1383</v>
      </c>
      <c r="C4196" t="s">
        <v>7545</v>
      </c>
      <c r="D4196" t="s">
        <v>17169</v>
      </c>
      <c r="E4196" t="s">
        <v>20592</v>
      </c>
      <c r="F4196" t="s">
        <v>29372</v>
      </c>
      <c r="G4196" t="s">
        <v>29380</v>
      </c>
      <c r="H4196" t="s">
        <v>29389</v>
      </c>
      <c r="I4196" t="s">
        <v>10408</v>
      </c>
      <c r="J4196" t="s">
        <v>32329</v>
      </c>
      <c r="K4196" t="s">
        <v>38522</v>
      </c>
      <c r="M4196" t="s">
        <v>40220</v>
      </c>
      <c r="N4196" t="s">
        <v>42669</v>
      </c>
      <c r="O4196" t="s">
        <v>42670</v>
      </c>
      <c r="P4196">
        <v>0</v>
      </c>
      <c r="Q4196">
        <v>1</v>
      </c>
      <c r="R4196" t="s">
        <v>42676</v>
      </c>
      <c r="S4196" t="s">
        <v>42809</v>
      </c>
      <c r="T4196" t="s">
        <v>44587</v>
      </c>
      <c r="U4196" t="s">
        <v>47960</v>
      </c>
      <c r="V4196" t="s">
        <v>56793</v>
      </c>
      <c r="W4196" t="s">
        <v>40220</v>
      </c>
      <c r="X4196" t="s">
        <v>42677</v>
      </c>
    </row>
    <row r="4197" spans="1:24">
      <c r="A4197">
        <f>HYPERLINK("https://www.philgeps.gov.ph/GEPSNONPILOT/Tender/SplashBidNoticeAbstractUI.aspx?menuIndex=3&amp;refID=7187590&amp;Result=3","7187590")</f>
        <v>0</v>
      </c>
      <c r="B4197" t="s">
        <v>1435</v>
      </c>
      <c r="C4197" t="s">
        <v>7516</v>
      </c>
      <c r="D4197" t="s">
        <v>17194</v>
      </c>
      <c r="E4197" t="s">
        <v>20907</v>
      </c>
      <c r="F4197" t="s">
        <v>29375</v>
      </c>
      <c r="G4197" t="s">
        <v>29380</v>
      </c>
      <c r="H4197" t="s">
        <v>11048</v>
      </c>
      <c r="I4197" t="s">
        <v>8614</v>
      </c>
      <c r="J4197" t="s">
        <v>32330</v>
      </c>
      <c r="K4197" t="s">
        <v>38491</v>
      </c>
      <c r="M4197" t="s">
        <v>40275</v>
      </c>
      <c r="N4197" t="s">
        <v>42669</v>
      </c>
      <c r="O4197" t="s">
        <v>42670</v>
      </c>
      <c r="P4197">
        <v>0</v>
      </c>
      <c r="Q4197">
        <v>1</v>
      </c>
      <c r="R4197" t="s">
        <v>42676</v>
      </c>
      <c r="S4197" t="s">
        <v>42809</v>
      </c>
      <c r="T4197" t="s">
        <v>44474</v>
      </c>
      <c r="U4197" t="s">
        <v>48068</v>
      </c>
      <c r="W4197" t="s">
        <v>40275</v>
      </c>
      <c r="X4197" t="s">
        <v>42677</v>
      </c>
    </row>
    <row r="4198" spans="1:24">
      <c r="A4198">
        <f>HYPERLINK("https://www.philgeps.gov.ph/GEPSNONPILOT/Tender/SplashBidNoticeAbstractUI.aspx?menuIndex=3&amp;refID=7187587&amp;Result=3","7187587")</f>
        <v>0</v>
      </c>
      <c r="B4198" t="s">
        <v>1159</v>
      </c>
      <c r="C4198" t="s">
        <v>7546</v>
      </c>
      <c r="D4198" t="s">
        <v>17145</v>
      </c>
      <c r="E4198" t="s">
        <v>20911</v>
      </c>
      <c r="F4198" t="s">
        <v>29372</v>
      </c>
      <c r="G4198" t="s">
        <v>29380</v>
      </c>
      <c r="H4198" t="s">
        <v>11048</v>
      </c>
      <c r="I4198" t="s">
        <v>29415</v>
      </c>
      <c r="J4198" t="s">
        <v>32331</v>
      </c>
      <c r="K4198" t="s">
        <v>38495</v>
      </c>
      <c r="M4198" t="s">
        <v>39973</v>
      </c>
      <c r="N4198" t="s">
        <v>42669</v>
      </c>
      <c r="O4198" t="s">
        <v>42670</v>
      </c>
      <c r="P4198">
        <v>0</v>
      </c>
      <c r="Q4198">
        <v>2</v>
      </c>
      <c r="R4198" t="s">
        <v>42676</v>
      </c>
      <c r="S4198" t="s">
        <v>42809</v>
      </c>
      <c r="T4198" t="s">
        <v>44460</v>
      </c>
      <c r="U4198" t="s">
        <v>48274</v>
      </c>
      <c r="V4198" t="s">
        <v>56794</v>
      </c>
      <c r="W4198" t="s">
        <v>39973</v>
      </c>
      <c r="X4198" t="s">
        <v>42677</v>
      </c>
    </row>
    <row r="4199" spans="1:24">
      <c r="A4199">
        <f>HYPERLINK("https://www.philgeps.gov.ph/GEPSNONPILOT/Tender/SplashBidNoticeAbstractUI.aspx?menuIndex=3&amp;refID=7187606&amp;Result=3","7187606")</f>
        <v>0</v>
      </c>
      <c r="B4199" t="s">
        <v>54</v>
      </c>
      <c r="C4199" t="s">
        <v>7547</v>
      </c>
      <c r="D4199" t="s">
        <v>17162</v>
      </c>
      <c r="E4199" t="s">
        <v>20912</v>
      </c>
      <c r="F4199" t="s">
        <v>29372</v>
      </c>
      <c r="G4199" t="s">
        <v>29379</v>
      </c>
      <c r="H4199" t="s">
        <v>11048</v>
      </c>
      <c r="I4199" t="s">
        <v>3629</v>
      </c>
      <c r="J4199" t="s">
        <v>31209</v>
      </c>
      <c r="K4199" t="s">
        <v>38510</v>
      </c>
      <c r="L4199" t="s">
        <v>54</v>
      </c>
      <c r="M4199" t="s">
        <v>40364</v>
      </c>
      <c r="N4199" t="s">
        <v>42669</v>
      </c>
      <c r="O4199" t="s">
        <v>42670</v>
      </c>
      <c r="P4199">
        <v>0</v>
      </c>
      <c r="Q4199">
        <v>0</v>
      </c>
      <c r="R4199" t="s">
        <v>42676</v>
      </c>
      <c r="S4199" t="s">
        <v>42809</v>
      </c>
      <c r="T4199" t="s">
        <v>44488</v>
      </c>
      <c r="U4199" t="s">
        <v>48275</v>
      </c>
      <c r="W4199" t="s">
        <v>40364</v>
      </c>
      <c r="X4199" t="s">
        <v>42677</v>
      </c>
    </row>
    <row r="4200" spans="1:24">
      <c r="A4200">
        <f>HYPERLINK("https://www.philgeps.gov.ph/GEPSNONPILOT/Tender/SplashBidNoticeAbstractUI.aspx?menuIndex=3&amp;refID=7187582&amp;Result=3","7187582")</f>
        <v>0</v>
      </c>
      <c r="B4200" t="s">
        <v>138</v>
      </c>
      <c r="C4200" t="s">
        <v>7548</v>
      </c>
      <c r="D4200" t="s">
        <v>17141</v>
      </c>
      <c r="E4200" t="s">
        <v>20913</v>
      </c>
      <c r="F4200" t="s">
        <v>29372</v>
      </c>
      <c r="G4200" t="s">
        <v>29379</v>
      </c>
      <c r="H4200" t="s">
        <v>11048</v>
      </c>
      <c r="I4200" t="s">
        <v>3670</v>
      </c>
      <c r="J4200" t="s">
        <v>32332</v>
      </c>
      <c r="K4200" t="s">
        <v>38490</v>
      </c>
      <c r="M4200" t="s">
        <v>40365</v>
      </c>
      <c r="N4200" t="s">
        <v>42669</v>
      </c>
      <c r="O4200" t="s">
        <v>42670</v>
      </c>
      <c r="P4200">
        <v>0</v>
      </c>
      <c r="Q4200">
        <v>0</v>
      </c>
      <c r="R4200" t="s">
        <v>42676</v>
      </c>
      <c r="S4200" t="s">
        <v>42809</v>
      </c>
      <c r="T4200" t="s">
        <v>44387</v>
      </c>
      <c r="U4200" t="s">
        <v>48276</v>
      </c>
      <c r="W4200" t="s">
        <v>40365</v>
      </c>
      <c r="X4200" t="s">
        <v>42677</v>
      </c>
    </row>
    <row r="4201" spans="1:24">
      <c r="A4201">
        <f>HYPERLINK("https://www.philgeps.gov.ph/GEPSNONPILOT/Tender/SplashBidNoticeAbstractUI.aspx?menuIndex=3&amp;refID=7187601&amp;Result=3","7187601")</f>
        <v>0</v>
      </c>
      <c r="B4201" t="s">
        <v>1519</v>
      </c>
      <c r="C4201" t="s">
        <v>7549</v>
      </c>
      <c r="D4201" t="s">
        <v>17199</v>
      </c>
      <c r="E4201" t="s">
        <v>17347</v>
      </c>
      <c r="F4201" t="s">
        <v>29372</v>
      </c>
      <c r="G4201" t="s">
        <v>29380</v>
      </c>
      <c r="H4201" t="s">
        <v>29389</v>
      </c>
      <c r="I4201" t="s">
        <v>10408</v>
      </c>
      <c r="J4201" t="s">
        <v>29724</v>
      </c>
      <c r="K4201" t="s">
        <v>38631</v>
      </c>
      <c r="M4201" t="s">
        <v>40366</v>
      </c>
      <c r="N4201" t="s">
        <v>42669</v>
      </c>
      <c r="O4201" t="s">
        <v>42670</v>
      </c>
      <c r="P4201">
        <v>0</v>
      </c>
      <c r="Q4201">
        <v>0</v>
      </c>
      <c r="R4201" t="s">
        <v>42676</v>
      </c>
      <c r="S4201" t="s">
        <v>42809</v>
      </c>
      <c r="T4201" t="s">
        <v>44563</v>
      </c>
      <c r="U4201" t="s">
        <v>48277</v>
      </c>
      <c r="V4201" t="s">
        <v>56795</v>
      </c>
      <c r="W4201" t="s">
        <v>40366</v>
      </c>
      <c r="X4201" t="s">
        <v>42677</v>
      </c>
    </row>
    <row r="4202" spans="1:24">
      <c r="A4202">
        <f>HYPERLINK("https://www.philgeps.gov.ph/GEPSNONPILOT/Tender/SplashBidNoticeAbstractUI.aspx?menuIndex=3&amp;refID=7187599&amp;Result=3","7187599")</f>
        <v>0</v>
      </c>
      <c r="B4202" t="s">
        <v>679</v>
      </c>
      <c r="C4202" t="s">
        <v>7550</v>
      </c>
      <c r="D4202" t="s">
        <v>17175</v>
      </c>
      <c r="E4202" t="s">
        <v>20914</v>
      </c>
      <c r="F4202" t="s">
        <v>29372</v>
      </c>
      <c r="G4202" t="s">
        <v>29380</v>
      </c>
      <c r="H4202" t="s">
        <v>11048</v>
      </c>
      <c r="I4202" t="s">
        <v>3839</v>
      </c>
      <c r="J4202" t="s">
        <v>30024</v>
      </c>
      <c r="K4202" t="s">
        <v>38510</v>
      </c>
      <c r="M4202" t="s">
        <v>39455</v>
      </c>
      <c r="N4202" t="s">
        <v>42669</v>
      </c>
      <c r="O4202" t="s">
        <v>42670</v>
      </c>
      <c r="P4202">
        <v>0</v>
      </c>
      <c r="Q4202">
        <v>0</v>
      </c>
      <c r="R4202" t="s">
        <v>42676</v>
      </c>
      <c r="S4202" t="s">
        <v>42809</v>
      </c>
      <c r="T4202" t="s">
        <v>44361</v>
      </c>
      <c r="U4202" t="s">
        <v>48278</v>
      </c>
      <c r="W4202" t="s">
        <v>39455</v>
      </c>
      <c r="X4202" t="s">
        <v>42677</v>
      </c>
    </row>
    <row r="4203" spans="1:24">
      <c r="A4203">
        <f>HYPERLINK("https://www.philgeps.gov.ph/GEPSNONPILOT/Tender/SplashBidNoticeAbstractUI.aspx?menuIndex=3&amp;refID=7187597&amp;Result=3","7187597")</f>
        <v>0</v>
      </c>
      <c r="B4203" t="s">
        <v>375</v>
      </c>
      <c r="C4203" t="s">
        <v>7551</v>
      </c>
      <c r="D4203" t="s">
        <v>17141</v>
      </c>
      <c r="E4203" t="s">
        <v>18479</v>
      </c>
      <c r="F4203" t="s">
        <v>29372</v>
      </c>
      <c r="G4203" t="s">
        <v>29379</v>
      </c>
      <c r="H4203" t="s">
        <v>11048</v>
      </c>
      <c r="I4203" t="s">
        <v>4709</v>
      </c>
      <c r="J4203" t="s">
        <v>32333</v>
      </c>
      <c r="K4203" t="s">
        <v>38488</v>
      </c>
      <c r="M4203" t="s">
        <v>39136</v>
      </c>
      <c r="N4203" t="s">
        <v>42669</v>
      </c>
      <c r="O4203" t="s">
        <v>42670</v>
      </c>
      <c r="P4203">
        <v>0</v>
      </c>
      <c r="Q4203">
        <v>2</v>
      </c>
      <c r="R4203" t="s">
        <v>42676</v>
      </c>
      <c r="S4203" t="s">
        <v>42809</v>
      </c>
      <c r="T4203" t="s">
        <v>44401</v>
      </c>
      <c r="U4203" t="s">
        <v>48279</v>
      </c>
      <c r="W4203" t="s">
        <v>58011</v>
      </c>
      <c r="X4203" t="s">
        <v>42677</v>
      </c>
    </row>
    <row r="4204" spans="1:24">
      <c r="A4204">
        <f>HYPERLINK("https://www.philgeps.gov.ph/GEPSNONPILOT/Tender/SplashBidNoticeAbstractUI.aspx?menuIndex=3&amp;refID=7187551&amp;Result=3","7187551")</f>
        <v>0</v>
      </c>
      <c r="B4204" t="s">
        <v>1502</v>
      </c>
      <c r="C4204" t="s">
        <v>7552</v>
      </c>
      <c r="D4204" t="s">
        <v>17213</v>
      </c>
      <c r="E4204" t="s">
        <v>20915</v>
      </c>
      <c r="F4204" t="s">
        <v>29372</v>
      </c>
      <c r="G4204" t="s">
        <v>29383</v>
      </c>
      <c r="H4204" t="s">
        <v>11048</v>
      </c>
      <c r="I4204" t="s">
        <v>3629</v>
      </c>
      <c r="J4204" t="s">
        <v>30674</v>
      </c>
      <c r="K4204" t="s">
        <v>38485</v>
      </c>
      <c r="M4204" t="s">
        <v>40346</v>
      </c>
      <c r="N4204" t="s">
        <v>42669</v>
      </c>
      <c r="O4204" t="s">
        <v>42670</v>
      </c>
      <c r="P4204">
        <v>0</v>
      </c>
      <c r="Q4204">
        <v>1</v>
      </c>
      <c r="R4204" t="s">
        <v>42676</v>
      </c>
      <c r="S4204" t="s">
        <v>42809</v>
      </c>
      <c r="T4204" t="s">
        <v>44482</v>
      </c>
      <c r="U4204" t="s">
        <v>48280</v>
      </c>
      <c r="W4204" t="s">
        <v>40346</v>
      </c>
      <c r="X4204" t="s">
        <v>42677</v>
      </c>
    </row>
    <row r="4205" spans="1:24">
      <c r="A4205">
        <f>HYPERLINK("https://www.philgeps.gov.ph/GEPSNONPILOT/Tender/SplashBidNoticeAbstractUI.aspx?menuIndex=3&amp;refID=7187604&amp;Result=3","7187604")</f>
        <v>0</v>
      </c>
      <c r="B4205" t="s">
        <v>1470</v>
      </c>
      <c r="C4205" t="s">
        <v>7553</v>
      </c>
      <c r="D4205" t="s">
        <v>17229</v>
      </c>
      <c r="E4205" t="s">
        <v>20828</v>
      </c>
      <c r="F4205" t="s">
        <v>29372</v>
      </c>
      <c r="G4205" t="s">
        <v>29380</v>
      </c>
      <c r="H4205" t="s">
        <v>11048</v>
      </c>
      <c r="I4205" t="s">
        <v>4709</v>
      </c>
      <c r="J4205" t="s">
        <v>29555</v>
      </c>
      <c r="K4205" t="s">
        <v>38485</v>
      </c>
      <c r="M4205" t="s">
        <v>40313</v>
      </c>
      <c r="N4205" t="s">
        <v>42669</v>
      </c>
      <c r="O4205" t="s">
        <v>42670</v>
      </c>
      <c r="P4205">
        <v>0</v>
      </c>
      <c r="Q4205">
        <v>0</v>
      </c>
      <c r="R4205" t="s">
        <v>42676</v>
      </c>
      <c r="S4205" t="s">
        <v>42809</v>
      </c>
      <c r="T4205" t="s">
        <v>44443</v>
      </c>
      <c r="U4205" t="s">
        <v>48146</v>
      </c>
      <c r="V4205" t="s">
        <v>56769</v>
      </c>
      <c r="W4205" t="s">
        <v>40313</v>
      </c>
      <c r="X4205" t="s">
        <v>42677</v>
      </c>
    </row>
    <row r="4206" spans="1:24">
      <c r="A4206">
        <f>HYPERLINK("https://www.philgeps.gov.ph/GEPSNONPILOT/Tender/SplashBidNoticeAbstractUI.aspx?menuIndex=3&amp;refID=7187596&amp;Result=3","7187596")</f>
        <v>0</v>
      </c>
      <c r="B4206" t="s">
        <v>1520</v>
      </c>
      <c r="C4206" t="s">
        <v>7554</v>
      </c>
      <c r="D4206" t="s">
        <v>17141</v>
      </c>
      <c r="E4206" t="s">
        <v>20916</v>
      </c>
      <c r="F4206" t="s">
        <v>29372</v>
      </c>
      <c r="G4206" t="s">
        <v>29380</v>
      </c>
      <c r="H4206" t="s">
        <v>11048</v>
      </c>
      <c r="I4206" t="s">
        <v>4709</v>
      </c>
      <c r="J4206" t="s">
        <v>32334</v>
      </c>
      <c r="K4206" t="s">
        <v>38535</v>
      </c>
      <c r="M4206" t="s">
        <v>40367</v>
      </c>
      <c r="N4206" t="s">
        <v>42669</v>
      </c>
      <c r="O4206" t="s">
        <v>42670</v>
      </c>
      <c r="P4206">
        <v>0</v>
      </c>
      <c r="Q4206">
        <v>4</v>
      </c>
      <c r="R4206" t="s">
        <v>42676</v>
      </c>
      <c r="S4206" t="s">
        <v>42809</v>
      </c>
      <c r="T4206" t="s">
        <v>44394</v>
      </c>
      <c r="U4206" t="s">
        <v>48281</v>
      </c>
      <c r="W4206" t="s">
        <v>40367</v>
      </c>
      <c r="X4206" t="s">
        <v>42677</v>
      </c>
    </row>
    <row r="4207" spans="1:24">
      <c r="A4207">
        <f>HYPERLINK("https://www.philgeps.gov.ph/GEPSNONPILOT/Tender/SplashBidNoticeAbstractUI.aspx?menuIndex=3&amp;refID=7187578&amp;Result=3","7187578")</f>
        <v>0</v>
      </c>
      <c r="B4207" t="s">
        <v>884</v>
      </c>
      <c r="C4207" t="s">
        <v>7555</v>
      </c>
      <c r="D4207" t="s">
        <v>17170</v>
      </c>
      <c r="E4207" t="s">
        <v>20917</v>
      </c>
      <c r="F4207" t="s">
        <v>29372</v>
      </c>
      <c r="G4207" t="s">
        <v>29380</v>
      </c>
      <c r="H4207" t="s">
        <v>11048</v>
      </c>
      <c r="I4207" t="s">
        <v>9469</v>
      </c>
      <c r="J4207" t="s">
        <v>29625</v>
      </c>
      <c r="K4207" t="s">
        <v>38485</v>
      </c>
      <c r="M4207" t="s">
        <v>39676</v>
      </c>
      <c r="N4207" t="s">
        <v>42669</v>
      </c>
      <c r="O4207" t="s">
        <v>42670</v>
      </c>
      <c r="P4207">
        <v>0</v>
      </c>
      <c r="Q4207">
        <v>0</v>
      </c>
      <c r="R4207" t="s">
        <v>42676</v>
      </c>
      <c r="S4207" t="s">
        <v>42809</v>
      </c>
      <c r="T4207" t="s">
        <v>44371</v>
      </c>
      <c r="U4207" t="s">
        <v>48282</v>
      </c>
      <c r="W4207" t="s">
        <v>39676</v>
      </c>
      <c r="X4207" t="s">
        <v>42677</v>
      </c>
    </row>
    <row r="4208" spans="1:24">
      <c r="A4208">
        <f>HYPERLINK("https://www.philgeps.gov.ph/GEPSNONPILOT/Tender/SplashBidNoticeAbstractUI.aspx?menuIndex=3&amp;refID=7187574&amp;Result=3","7187574")</f>
        <v>0</v>
      </c>
      <c r="B4208" t="s">
        <v>1521</v>
      </c>
      <c r="C4208" t="s">
        <v>7556</v>
      </c>
      <c r="D4208" t="s">
        <v>17186</v>
      </c>
      <c r="E4208" t="s">
        <v>20918</v>
      </c>
      <c r="F4208" t="s">
        <v>29372</v>
      </c>
      <c r="G4208" t="s">
        <v>29380</v>
      </c>
      <c r="H4208" t="s">
        <v>29389</v>
      </c>
      <c r="I4208" t="s">
        <v>10408</v>
      </c>
      <c r="J4208" t="s">
        <v>32335</v>
      </c>
      <c r="K4208" t="s">
        <v>38490</v>
      </c>
      <c r="M4208" t="s">
        <v>40368</v>
      </c>
      <c r="N4208" t="s">
        <v>42669</v>
      </c>
      <c r="O4208" t="s">
        <v>42670</v>
      </c>
      <c r="P4208">
        <v>0</v>
      </c>
      <c r="Q4208">
        <v>0</v>
      </c>
      <c r="R4208" t="s">
        <v>42676</v>
      </c>
      <c r="S4208" t="s">
        <v>42809</v>
      </c>
      <c r="T4208" t="s">
        <v>44373</v>
      </c>
      <c r="U4208" t="s">
        <v>48283</v>
      </c>
      <c r="W4208" t="s">
        <v>40368</v>
      </c>
      <c r="X4208" t="s">
        <v>42677</v>
      </c>
    </row>
    <row r="4209" spans="1:24">
      <c r="A4209">
        <f>HYPERLINK("https://www.philgeps.gov.ph/GEPSNONPILOT/Tender/SplashBidNoticeAbstractUI.aspx?menuIndex=3&amp;refID=7187600&amp;Result=3","7187600")</f>
        <v>0</v>
      </c>
      <c r="B4209" t="s">
        <v>1500</v>
      </c>
      <c r="C4209" t="s">
        <v>7557</v>
      </c>
      <c r="D4209" t="s">
        <v>17194</v>
      </c>
      <c r="E4209" t="s">
        <v>20919</v>
      </c>
      <c r="F4209" t="s">
        <v>29372</v>
      </c>
      <c r="G4209" t="s">
        <v>29379</v>
      </c>
      <c r="H4209" t="s">
        <v>11048</v>
      </c>
      <c r="I4209" t="s">
        <v>5383</v>
      </c>
      <c r="J4209" t="s">
        <v>29680</v>
      </c>
      <c r="K4209" t="s">
        <v>38510</v>
      </c>
      <c r="M4209" t="s">
        <v>40344</v>
      </c>
      <c r="N4209" t="s">
        <v>42669</v>
      </c>
      <c r="O4209" t="s">
        <v>42670</v>
      </c>
      <c r="P4209">
        <v>0</v>
      </c>
      <c r="Q4209">
        <v>1</v>
      </c>
      <c r="R4209" t="s">
        <v>42676</v>
      </c>
      <c r="S4209" t="s">
        <v>42809</v>
      </c>
      <c r="T4209" t="s">
        <v>44399</v>
      </c>
      <c r="U4209" t="s">
        <v>48284</v>
      </c>
      <c r="W4209" t="s">
        <v>40344</v>
      </c>
      <c r="X4209" t="s">
        <v>42677</v>
      </c>
    </row>
    <row r="4210" spans="1:24">
      <c r="A4210">
        <f>HYPERLINK("https://www.philgeps.gov.ph/GEPSNONPILOT/Tender/SplashBidNoticeAbstractUI.aspx?menuIndex=3&amp;refID=7187573&amp;Result=3","7187573")</f>
        <v>0</v>
      </c>
      <c r="B4210" t="s">
        <v>1522</v>
      </c>
      <c r="C4210" t="s">
        <v>7558</v>
      </c>
      <c r="D4210" t="s">
        <v>17174</v>
      </c>
      <c r="E4210" t="s">
        <v>20920</v>
      </c>
      <c r="F4210" t="s">
        <v>29372</v>
      </c>
      <c r="G4210" t="s">
        <v>29380</v>
      </c>
      <c r="H4210" t="s">
        <v>29389</v>
      </c>
      <c r="I4210" t="s">
        <v>10408</v>
      </c>
      <c r="J4210" t="s">
        <v>29724</v>
      </c>
      <c r="K4210" t="s">
        <v>38522</v>
      </c>
      <c r="M4210" t="s">
        <v>40369</v>
      </c>
      <c r="N4210" t="s">
        <v>42669</v>
      </c>
      <c r="O4210" t="s">
        <v>42670</v>
      </c>
      <c r="P4210">
        <v>0</v>
      </c>
      <c r="Q4210">
        <v>0</v>
      </c>
      <c r="R4210" t="s">
        <v>42676</v>
      </c>
      <c r="S4210" t="s">
        <v>42809</v>
      </c>
      <c r="T4210" t="s">
        <v>44415</v>
      </c>
      <c r="U4210" t="s">
        <v>48285</v>
      </c>
      <c r="W4210" t="s">
        <v>40369</v>
      </c>
      <c r="X4210" t="s">
        <v>42677</v>
      </c>
    </row>
    <row r="4211" spans="1:24">
      <c r="A4211">
        <f>HYPERLINK("https://www.philgeps.gov.ph/GEPSNONPILOT/Tender/SplashBidNoticeAbstractUI.aspx?menuIndex=3&amp;refID=7187607&amp;Result=3","7187607")</f>
        <v>0</v>
      </c>
      <c r="B4211" t="s">
        <v>1383</v>
      </c>
      <c r="C4211" t="s">
        <v>7559</v>
      </c>
      <c r="D4211" t="s">
        <v>17169</v>
      </c>
      <c r="E4211" t="s">
        <v>20592</v>
      </c>
      <c r="F4211" t="s">
        <v>29372</v>
      </c>
      <c r="G4211" t="s">
        <v>29380</v>
      </c>
      <c r="H4211" t="s">
        <v>29389</v>
      </c>
      <c r="I4211" t="s">
        <v>10408</v>
      </c>
      <c r="J4211" t="s">
        <v>32103</v>
      </c>
      <c r="K4211" t="s">
        <v>38496</v>
      </c>
      <c r="M4211" t="s">
        <v>40220</v>
      </c>
      <c r="N4211" t="s">
        <v>42669</v>
      </c>
      <c r="O4211" t="s">
        <v>42670</v>
      </c>
      <c r="P4211">
        <v>0</v>
      </c>
      <c r="Q4211">
        <v>2</v>
      </c>
      <c r="R4211" t="s">
        <v>42676</v>
      </c>
      <c r="S4211" t="s">
        <v>42809</v>
      </c>
      <c r="T4211" t="s">
        <v>44587</v>
      </c>
      <c r="U4211" t="s">
        <v>47960</v>
      </c>
      <c r="V4211" t="s">
        <v>56796</v>
      </c>
      <c r="W4211" t="s">
        <v>40220</v>
      </c>
      <c r="X4211" t="s">
        <v>42677</v>
      </c>
    </row>
    <row r="4212" spans="1:24">
      <c r="A4212">
        <f>HYPERLINK("https://www.philgeps.gov.ph/GEPSNONPILOT/Tender/SplashBidNoticeAbstractUI.aspx?menuIndex=3&amp;refID=7187631&amp;Result=3","7187631")</f>
        <v>0</v>
      </c>
      <c r="B4212" t="s">
        <v>1523</v>
      </c>
      <c r="C4212" t="s">
        <v>7560</v>
      </c>
      <c r="D4212" t="s">
        <v>17153</v>
      </c>
      <c r="E4212" t="s">
        <v>20921</v>
      </c>
      <c r="F4212" t="s">
        <v>29372</v>
      </c>
      <c r="G4212" t="s">
        <v>29380</v>
      </c>
      <c r="H4212" t="s">
        <v>11048</v>
      </c>
      <c r="I4212" t="s">
        <v>4709</v>
      </c>
      <c r="J4212" t="s">
        <v>29942</v>
      </c>
      <c r="K4212" t="s">
        <v>38490</v>
      </c>
      <c r="M4212" t="s">
        <v>40370</v>
      </c>
      <c r="N4212" t="s">
        <v>42669</v>
      </c>
      <c r="O4212" t="s">
        <v>42670</v>
      </c>
      <c r="P4212">
        <v>0</v>
      </c>
      <c r="Q4212">
        <v>0</v>
      </c>
      <c r="R4212" t="s">
        <v>42676</v>
      </c>
      <c r="S4212" t="s">
        <v>42809</v>
      </c>
      <c r="T4212" t="s">
        <v>44470</v>
      </c>
      <c r="U4212" t="s">
        <v>48286</v>
      </c>
      <c r="W4212" t="s">
        <v>40370</v>
      </c>
      <c r="X4212" t="s">
        <v>42677</v>
      </c>
    </row>
    <row r="4213" spans="1:24">
      <c r="A4213">
        <f>HYPERLINK("https://www.philgeps.gov.ph/GEPSNONPILOT/Tender/SplashBidNoticeAbstractUI.aspx?menuIndex=3&amp;refID=7187630&amp;Result=3","7187630")</f>
        <v>0</v>
      </c>
      <c r="B4213" t="s">
        <v>1524</v>
      </c>
      <c r="C4213" t="s">
        <v>7561</v>
      </c>
      <c r="D4213" t="s">
        <v>17194</v>
      </c>
      <c r="E4213" t="s">
        <v>20922</v>
      </c>
      <c r="F4213" t="s">
        <v>29372</v>
      </c>
      <c r="G4213" t="s">
        <v>29380</v>
      </c>
      <c r="H4213" t="s">
        <v>11048</v>
      </c>
      <c r="I4213" t="s">
        <v>8208</v>
      </c>
      <c r="J4213" t="s">
        <v>32336</v>
      </c>
      <c r="K4213" t="s">
        <v>38491</v>
      </c>
      <c r="M4213" t="s">
        <v>40371</v>
      </c>
      <c r="N4213" t="s">
        <v>42669</v>
      </c>
      <c r="O4213" t="s">
        <v>42670</v>
      </c>
      <c r="P4213">
        <v>0</v>
      </c>
      <c r="Q4213">
        <v>0</v>
      </c>
      <c r="R4213" t="s">
        <v>42676</v>
      </c>
      <c r="S4213" t="s">
        <v>42809</v>
      </c>
      <c r="T4213" t="s">
        <v>44386</v>
      </c>
      <c r="U4213" t="s">
        <v>48287</v>
      </c>
      <c r="W4213" t="s">
        <v>40371</v>
      </c>
      <c r="X4213" t="s">
        <v>42677</v>
      </c>
    </row>
    <row r="4214" spans="1:24">
      <c r="A4214">
        <f>HYPERLINK("https://www.philgeps.gov.ph/GEPSNONPILOT/Tender/SplashBidNoticeAbstractUI.aspx?menuIndex=3&amp;refID=7187623&amp;Result=3","7187623")</f>
        <v>0</v>
      </c>
      <c r="B4214" t="s">
        <v>1463</v>
      </c>
      <c r="C4214" t="s">
        <v>7562</v>
      </c>
      <c r="D4214" t="s">
        <v>17170</v>
      </c>
      <c r="E4214" t="s">
        <v>7562</v>
      </c>
      <c r="F4214" t="s">
        <v>29372</v>
      </c>
      <c r="G4214" t="s">
        <v>29379</v>
      </c>
      <c r="H4214" t="s">
        <v>11048</v>
      </c>
      <c r="I4214" t="s">
        <v>4709</v>
      </c>
      <c r="J4214" t="s">
        <v>32337</v>
      </c>
      <c r="K4214" t="s">
        <v>38491</v>
      </c>
      <c r="M4214" t="s">
        <v>40306</v>
      </c>
      <c r="N4214" t="s">
        <v>42669</v>
      </c>
      <c r="O4214" t="s">
        <v>42670</v>
      </c>
      <c r="P4214">
        <v>0</v>
      </c>
      <c r="Q4214">
        <v>3</v>
      </c>
      <c r="R4214" t="s">
        <v>42676</v>
      </c>
      <c r="S4214" t="s">
        <v>42809</v>
      </c>
      <c r="T4214" t="s">
        <v>44429</v>
      </c>
      <c r="U4214" t="s">
        <v>45836</v>
      </c>
      <c r="W4214" t="s">
        <v>40306</v>
      </c>
      <c r="X4214" t="s">
        <v>42677</v>
      </c>
    </row>
    <row r="4215" spans="1:24">
      <c r="A4215">
        <f>HYPERLINK("https://www.philgeps.gov.ph/GEPSNONPILOT/Tender/SplashBidNoticeAbstractUI.aspx?menuIndex=3&amp;refID=7187580&amp;Result=3","7187580")</f>
        <v>0</v>
      </c>
      <c r="B4215" t="s">
        <v>25</v>
      </c>
      <c r="C4215" t="s">
        <v>7563</v>
      </c>
      <c r="D4215" t="s">
        <v>17142</v>
      </c>
      <c r="E4215" t="s">
        <v>7563</v>
      </c>
      <c r="F4215" t="s">
        <v>29372</v>
      </c>
      <c r="G4215" t="s">
        <v>29379</v>
      </c>
      <c r="H4215" t="s">
        <v>11048</v>
      </c>
      <c r="I4215" t="s">
        <v>3670</v>
      </c>
      <c r="J4215" t="s">
        <v>32338</v>
      </c>
      <c r="K4215" t="s">
        <v>38485</v>
      </c>
      <c r="M4215" t="s">
        <v>38778</v>
      </c>
      <c r="N4215" t="s">
        <v>42669</v>
      </c>
      <c r="O4215" t="s">
        <v>42670</v>
      </c>
      <c r="P4215">
        <v>0</v>
      </c>
      <c r="Q4215">
        <v>0</v>
      </c>
      <c r="R4215" t="s">
        <v>42676</v>
      </c>
      <c r="S4215" t="s">
        <v>42809</v>
      </c>
      <c r="T4215" t="s">
        <v>44387</v>
      </c>
      <c r="U4215" t="s">
        <v>48288</v>
      </c>
      <c r="W4215" t="s">
        <v>38778</v>
      </c>
      <c r="X4215" t="s">
        <v>42677</v>
      </c>
    </row>
    <row r="4216" spans="1:24">
      <c r="A4216">
        <f>HYPERLINK("https://www.philgeps.gov.ph/GEPSNONPILOT/Tender/SplashBidNoticeAbstractUI.aspx?menuIndex=3&amp;refID=7187622&amp;Result=3","7187622")</f>
        <v>0</v>
      </c>
      <c r="B4216" t="s">
        <v>586</v>
      </c>
      <c r="C4216" t="s">
        <v>7564</v>
      </c>
      <c r="D4216" t="s">
        <v>17161</v>
      </c>
      <c r="E4216" t="s">
        <v>20923</v>
      </c>
      <c r="F4216" t="s">
        <v>29372</v>
      </c>
      <c r="G4216" t="s">
        <v>29383</v>
      </c>
      <c r="H4216" t="s">
        <v>11048</v>
      </c>
      <c r="I4216" t="s">
        <v>29407</v>
      </c>
      <c r="J4216" t="s">
        <v>32339</v>
      </c>
      <c r="K4216" t="s">
        <v>38490</v>
      </c>
      <c r="M4216" t="s">
        <v>39355</v>
      </c>
      <c r="N4216" t="s">
        <v>42669</v>
      </c>
      <c r="O4216" t="s">
        <v>42670</v>
      </c>
      <c r="P4216">
        <v>0</v>
      </c>
      <c r="Q4216">
        <v>4</v>
      </c>
      <c r="R4216" t="s">
        <v>42676</v>
      </c>
      <c r="S4216" t="s">
        <v>42809</v>
      </c>
      <c r="T4216" t="s">
        <v>44488</v>
      </c>
      <c r="U4216" t="s">
        <v>48289</v>
      </c>
      <c r="W4216" t="s">
        <v>39355</v>
      </c>
      <c r="X4216" t="s">
        <v>42677</v>
      </c>
    </row>
    <row r="4217" spans="1:24">
      <c r="A4217">
        <f>HYPERLINK("https://www.philgeps.gov.ph/GEPSNONPILOT/Tender/SplashBidNoticeAbstractUI.aspx?menuIndex=3&amp;refID=7187619&amp;Result=3","7187619")</f>
        <v>0</v>
      </c>
      <c r="B4217" t="s">
        <v>684</v>
      </c>
      <c r="C4217" t="s">
        <v>7565</v>
      </c>
      <c r="D4217" t="s">
        <v>17231</v>
      </c>
      <c r="E4217" t="s">
        <v>20924</v>
      </c>
      <c r="F4217" t="s">
        <v>29372</v>
      </c>
      <c r="G4217" t="s">
        <v>29379</v>
      </c>
      <c r="H4217" t="s">
        <v>11048</v>
      </c>
      <c r="I4217" t="s">
        <v>29415</v>
      </c>
      <c r="J4217" t="s">
        <v>32340</v>
      </c>
      <c r="K4217" t="s">
        <v>38488</v>
      </c>
      <c r="M4217" t="s">
        <v>39779</v>
      </c>
      <c r="N4217" t="s">
        <v>42669</v>
      </c>
      <c r="O4217" t="s">
        <v>42670</v>
      </c>
      <c r="P4217">
        <v>0</v>
      </c>
      <c r="Q4217">
        <v>5</v>
      </c>
      <c r="R4217" t="s">
        <v>42676</v>
      </c>
      <c r="S4217" t="s">
        <v>42809</v>
      </c>
      <c r="T4217" t="s">
        <v>44488</v>
      </c>
      <c r="U4217" t="s">
        <v>48290</v>
      </c>
      <c r="V4217" t="s">
        <v>45789</v>
      </c>
      <c r="W4217" t="s">
        <v>39779</v>
      </c>
      <c r="X4217" t="s">
        <v>42677</v>
      </c>
    </row>
    <row r="4218" spans="1:24">
      <c r="A4218">
        <f>HYPERLINK("https://www.philgeps.gov.ph/GEPSNONPILOT/Tender/SplashBidNoticeAbstractUI.aspx?menuIndex=3&amp;refID=7187644&amp;Result=3","7187644")</f>
        <v>0</v>
      </c>
      <c r="B4218" t="s">
        <v>375</v>
      </c>
      <c r="C4218" t="s">
        <v>7566</v>
      </c>
      <c r="D4218" t="s">
        <v>17141</v>
      </c>
      <c r="E4218" t="s">
        <v>20925</v>
      </c>
      <c r="F4218" t="s">
        <v>29372</v>
      </c>
      <c r="G4218" t="s">
        <v>29379</v>
      </c>
      <c r="H4218" t="s">
        <v>11048</v>
      </c>
      <c r="I4218" t="s">
        <v>5383</v>
      </c>
      <c r="J4218" t="s">
        <v>32341</v>
      </c>
      <c r="K4218" t="s">
        <v>38488</v>
      </c>
      <c r="M4218" t="s">
        <v>39136</v>
      </c>
      <c r="N4218" t="s">
        <v>42669</v>
      </c>
      <c r="O4218" t="s">
        <v>42670</v>
      </c>
      <c r="P4218">
        <v>0</v>
      </c>
      <c r="Q4218">
        <v>3</v>
      </c>
      <c r="R4218" t="s">
        <v>42676</v>
      </c>
      <c r="S4218" t="s">
        <v>42809</v>
      </c>
      <c r="T4218" t="s">
        <v>44401</v>
      </c>
      <c r="U4218" t="s">
        <v>46808</v>
      </c>
      <c r="W4218" t="s">
        <v>58011</v>
      </c>
      <c r="X4218" t="s">
        <v>42677</v>
      </c>
    </row>
    <row r="4219" spans="1:24">
      <c r="A4219">
        <f>HYPERLINK("https://www.philgeps.gov.ph/GEPSNONPILOT/Tender/SplashBidNoticeAbstractUI.aspx?menuIndex=3&amp;refID=7187627&amp;Result=3","7187627")</f>
        <v>0</v>
      </c>
      <c r="B4219" t="s">
        <v>375</v>
      </c>
      <c r="C4219" t="s">
        <v>7567</v>
      </c>
      <c r="D4219" t="s">
        <v>17141</v>
      </c>
      <c r="E4219" t="s">
        <v>20926</v>
      </c>
      <c r="F4219" t="s">
        <v>29372</v>
      </c>
      <c r="G4219" t="s">
        <v>29379</v>
      </c>
      <c r="H4219" t="s">
        <v>11048</v>
      </c>
      <c r="I4219" t="s">
        <v>4709</v>
      </c>
      <c r="J4219" t="s">
        <v>32342</v>
      </c>
      <c r="K4219" t="s">
        <v>38488</v>
      </c>
      <c r="M4219" t="s">
        <v>39136</v>
      </c>
      <c r="N4219" t="s">
        <v>42669</v>
      </c>
      <c r="O4219" t="s">
        <v>42670</v>
      </c>
      <c r="P4219">
        <v>0</v>
      </c>
      <c r="Q4219">
        <v>1</v>
      </c>
      <c r="R4219" t="s">
        <v>42676</v>
      </c>
      <c r="S4219" t="s">
        <v>42809</v>
      </c>
      <c r="T4219" t="s">
        <v>44401</v>
      </c>
      <c r="U4219" t="s">
        <v>48291</v>
      </c>
      <c r="W4219" t="s">
        <v>58011</v>
      </c>
      <c r="X4219" t="s">
        <v>42677</v>
      </c>
    </row>
    <row r="4220" spans="1:24">
      <c r="A4220">
        <f>HYPERLINK("https://www.philgeps.gov.ph/GEPSNONPILOT/Tender/SplashBidNoticeAbstractUI.aspx?menuIndex=3&amp;refID=7187643&amp;Result=3","7187643")</f>
        <v>0</v>
      </c>
      <c r="B4220" t="s">
        <v>1488</v>
      </c>
      <c r="C4220" t="s">
        <v>7568</v>
      </c>
      <c r="D4220" t="s">
        <v>17205</v>
      </c>
      <c r="E4220" t="s">
        <v>20927</v>
      </c>
      <c r="F4220" t="s">
        <v>29372</v>
      </c>
      <c r="G4220" t="s">
        <v>29379</v>
      </c>
      <c r="H4220" t="s">
        <v>11048</v>
      </c>
      <c r="I4220" t="s">
        <v>5383</v>
      </c>
      <c r="J4220" t="s">
        <v>29799</v>
      </c>
      <c r="K4220" t="s">
        <v>38528</v>
      </c>
      <c r="M4220" t="s">
        <v>40331</v>
      </c>
      <c r="N4220" t="s">
        <v>42669</v>
      </c>
      <c r="O4220" t="s">
        <v>42670</v>
      </c>
      <c r="P4220">
        <v>0</v>
      </c>
      <c r="Q4220">
        <v>0</v>
      </c>
      <c r="R4220" t="s">
        <v>42676</v>
      </c>
      <c r="S4220" t="s">
        <v>42809</v>
      </c>
      <c r="T4220" t="s">
        <v>44401</v>
      </c>
      <c r="U4220" t="s">
        <v>48292</v>
      </c>
      <c r="W4220" t="s">
        <v>40331</v>
      </c>
      <c r="X4220" t="s">
        <v>42677</v>
      </c>
    </row>
    <row r="4221" spans="1:24">
      <c r="A4221">
        <f>HYPERLINK("https://www.philgeps.gov.ph/GEPSNONPILOT/Tender/SplashBidNoticeAbstractUI.aspx?menuIndex=3&amp;refID=7187642&amp;Result=3","7187642")</f>
        <v>0</v>
      </c>
      <c r="B4221" t="s">
        <v>1525</v>
      </c>
      <c r="C4221" t="s">
        <v>7569</v>
      </c>
      <c r="D4221" t="s">
        <v>17167</v>
      </c>
      <c r="E4221" t="s">
        <v>20928</v>
      </c>
      <c r="F4221" t="s">
        <v>29372</v>
      </c>
      <c r="G4221" t="s">
        <v>29379</v>
      </c>
      <c r="H4221" t="s">
        <v>11048</v>
      </c>
      <c r="I4221" t="s">
        <v>29403</v>
      </c>
      <c r="J4221" t="s">
        <v>32343</v>
      </c>
      <c r="K4221" t="s">
        <v>38485</v>
      </c>
      <c r="M4221" t="s">
        <v>40372</v>
      </c>
      <c r="N4221" t="s">
        <v>42669</v>
      </c>
      <c r="O4221" t="s">
        <v>42670</v>
      </c>
      <c r="P4221">
        <v>0</v>
      </c>
      <c r="Q4221">
        <v>0</v>
      </c>
      <c r="R4221" t="s">
        <v>42676</v>
      </c>
      <c r="S4221" t="s">
        <v>42809</v>
      </c>
      <c r="T4221" t="s">
        <v>44382</v>
      </c>
      <c r="U4221" t="s">
        <v>47361</v>
      </c>
      <c r="W4221" t="s">
        <v>40372</v>
      </c>
      <c r="X4221" t="s">
        <v>42677</v>
      </c>
    </row>
    <row r="4222" spans="1:24">
      <c r="A4222">
        <f>HYPERLINK("https://www.philgeps.gov.ph/GEPSNONPILOT/Tender/SplashBidNoticeAbstractUI.aspx?menuIndex=3&amp;refID=7187581&amp;Result=3","7187581")</f>
        <v>0</v>
      </c>
      <c r="B4222" t="s">
        <v>1526</v>
      </c>
      <c r="C4222" t="s">
        <v>7570</v>
      </c>
      <c r="D4222" t="s">
        <v>17158</v>
      </c>
      <c r="E4222" t="s">
        <v>20929</v>
      </c>
      <c r="F4222" t="s">
        <v>29372</v>
      </c>
      <c r="G4222" t="s">
        <v>29380</v>
      </c>
      <c r="H4222" t="s">
        <v>29389</v>
      </c>
      <c r="I4222" t="s">
        <v>4709</v>
      </c>
      <c r="J4222" t="s">
        <v>32344</v>
      </c>
      <c r="K4222" t="s">
        <v>38485</v>
      </c>
      <c r="M4222" t="s">
        <v>40373</v>
      </c>
      <c r="N4222" t="s">
        <v>42669</v>
      </c>
      <c r="O4222" t="s">
        <v>42670</v>
      </c>
      <c r="P4222">
        <v>0</v>
      </c>
      <c r="Q4222">
        <v>1</v>
      </c>
      <c r="R4222" t="s">
        <v>42676</v>
      </c>
      <c r="S4222" t="s">
        <v>42809</v>
      </c>
      <c r="T4222" t="s">
        <v>44657</v>
      </c>
      <c r="U4222" t="s">
        <v>48293</v>
      </c>
      <c r="V4222" t="s">
        <v>56797</v>
      </c>
      <c r="W4222" t="s">
        <v>40373</v>
      </c>
      <c r="X4222" t="s">
        <v>42677</v>
      </c>
    </row>
    <row r="4223" spans="1:24">
      <c r="A4223">
        <f>HYPERLINK("https://www.philgeps.gov.ph/GEPSNONPILOT/Tender/SplashBidNoticeAbstractUI.aspx?menuIndex=3&amp;refID=7187633&amp;Result=3","7187633")</f>
        <v>0</v>
      </c>
      <c r="B4223" t="s">
        <v>1019</v>
      </c>
      <c r="C4223" t="s">
        <v>7571</v>
      </c>
      <c r="D4223" t="s">
        <v>17143</v>
      </c>
      <c r="E4223" t="s">
        <v>20930</v>
      </c>
      <c r="F4223" t="s">
        <v>29372</v>
      </c>
      <c r="G4223" t="s">
        <v>29379</v>
      </c>
      <c r="H4223" t="s">
        <v>11048</v>
      </c>
      <c r="I4223" t="s">
        <v>3839</v>
      </c>
      <c r="J4223" t="s">
        <v>32345</v>
      </c>
      <c r="K4223" t="s">
        <v>38485</v>
      </c>
      <c r="M4223" t="s">
        <v>40374</v>
      </c>
      <c r="N4223" t="s">
        <v>42669</v>
      </c>
      <c r="O4223" t="s">
        <v>42670</v>
      </c>
      <c r="P4223">
        <v>0</v>
      </c>
      <c r="Q4223">
        <v>1</v>
      </c>
      <c r="R4223" t="s">
        <v>42676</v>
      </c>
      <c r="S4223" t="s">
        <v>42809</v>
      </c>
      <c r="T4223" t="s">
        <v>44488</v>
      </c>
      <c r="U4223" t="s">
        <v>48294</v>
      </c>
      <c r="V4223" t="s">
        <v>56798</v>
      </c>
      <c r="W4223" t="s">
        <v>40374</v>
      </c>
      <c r="X4223" t="s">
        <v>42677</v>
      </c>
    </row>
    <row r="4224" spans="1:24">
      <c r="A4224">
        <f>HYPERLINK("https://www.philgeps.gov.ph/GEPSNONPILOT/Tender/SplashBidNoticeAbstractUI.aspx?menuIndex=3&amp;refID=7187598&amp;Result=3","7187598")</f>
        <v>0</v>
      </c>
      <c r="B4224" t="s">
        <v>908</v>
      </c>
      <c r="C4224" t="s">
        <v>7572</v>
      </c>
      <c r="D4224" t="s">
        <v>17160</v>
      </c>
      <c r="E4224" t="s">
        <v>20931</v>
      </c>
      <c r="F4224" t="s">
        <v>29372</v>
      </c>
      <c r="G4224" t="s">
        <v>29380</v>
      </c>
      <c r="H4224" t="s">
        <v>29389</v>
      </c>
      <c r="I4224" t="s">
        <v>10408</v>
      </c>
      <c r="J4224" t="s">
        <v>29724</v>
      </c>
      <c r="K4224" t="s">
        <v>38622</v>
      </c>
      <c r="M4224" t="s">
        <v>39701</v>
      </c>
      <c r="N4224" t="s">
        <v>42669</v>
      </c>
      <c r="O4224" t="s">
        <v>42670</v>
      </c>
      <c r="P4224">
        <v>0</v>
      </c>
      <c r="Q4224">
        <v>0</v>
      </c>
      <c r="R4224" t="s">
        <v>42676</v>
      </c>
      <c r="S4224" t="s">
        <v>42809</v>
      </c>
      <c r="T4224" t="s">
        <v>44587</v>
      </c>
      <c r="U4224" t="s">
        <v>48295</v>
      </c>
      <c r="W4224" t="s">
        <v>39701</v>
      </c>
      <c r="X4224" t="s">
        <v>42677</v>
      </c>
    </row>
    <row r="4225" spans="1:24">
      <c r="A4225">
        <f>HYPERLINK("https://www.philgeps.gov.ph/GEPSNONPILOT/Tender/SplashBidNoticeAbstractUI.aspx?menuIndex=3&amp;refID=7187632&amp;Result=3","7187632")</f>
        <v>0</v>
      </c>
      <c r="B4225" t="s">
        <v>1331</v>
      </c>
      <c r="C4225" t="s">
        <v>7573</v>
      </c>
      <c r="D4225" t="s">
        <v>17168</v>
      </c>
      <c r="E4225" t="s">
        <v>20932</v>
      </c>
      <c r="F4225" t="s">
        <v>29372</v>
      </c>
      <c r="G4225" t="s">
        <v>29379</v>
      </c>
      <c r="H4225" t="s">
        <v>11048</v>
      </c>
      <c r="I4225" t="s">
        <v>29429</v>
      </c>
      <c r="J4225" t="s">
        <v>32346</v>
      </c>
      <c r="K4225" t="s">
        <v>38490</v>
      </c>
      <c r="M4225" t="s">
        <v>40375</v>
      </c>
      <c r="N4225" t="s">
        <v>42669</v>
      </c>
      <c r="O4225" t="s">
        <v>42670</v>
      </c>
      <c r="P4225">
        <v>0</v>
      </c>
      <c r="Q4225">
        <v>1</v>
      </c>
      <c r="R4225" t="s">
        <v>42676</v>
      </c>
      <c r="S4225" t="s">
        <v>42809</v>
      </c>
      <c r="T4225" t="s">
        <v>44371</v>
      </c>
      <c r="U4225" t="s">
        <v>48296</v>
      </c>
      <c r="W4225" t="s">
        <v>40375</v>
      </c>
      <c r="X4225" t="s">
        <v>42677</v>
      </c>
    </row>
    <row r="4226" spans="1:24">
      <c r="A4226">
        <f>HYPERLINK("https://www.philgeps.gov.ph/GEPSNONPILOT/Tender/SplashBidNoticeAbstractUI.aspx?menuIndex=3&amp;refID=7187617&amp;Result=3","7187617")</f>
        <v>0</v>
      </c>
      <c r="B4226" t="s">
        <v>1527</v>
      </c>
      <c r="C4226" t="s">
        <v>7574</v>
      </c>
      <c r="D4226" t="s">
        <v>17155</v>
      </c>
      <c r="E4226" t="s">
        <v>20933</v>
      </c>
      <c r="F4226" t="s">
        <v>29372</v>
      </c>
      <c r="G4226" t="s">
        <v>29380</v>
      </c>
      <c r="H4226" t="s">
        <v>29389</v>
      </c>
      <c r="I4226" t="s">
        <v>10408</v>
      </c>
      <c r="J4226" t="s">
        <v>32347</v>
      </c>
      <c r="K4226" t="s">
        <v>38527</v>
      </c>
      <c r="M4226" t="s">
        <v>40376</v>
      </c>
      <c r="N4226" t="s">
        <v>42669</v>
      </c>
      <c r="O4226" t="s">
        <v>42670</v>
      </c>
      <c r="P4226">
        <v>0</v>
      </c>
      <c r="Q4226">
        <v>0</v>
      </c>
      <c r="R4226" t="s">
        <v>42676</v>
      </c>
      <c r="S4226" t="s">
        <v>42809</v>
      </c>
      <c r="T4226" t="s">
        <v>44631</v>
      </c>
      <c r="U4226" t="s">
        <v>48297</v>
      </c>
      <c r="W4226" t="s">
        <v>40376</v>
      </c>
      <c r="X4226" t="s">
        <v>42677</v>
      </c>
    </row>
    <row r="4227" spans="1:24">
      <c r="A4227">
        <f>HYPERLINK("https://www.philgeps.gov.ph/GEPSNONPILOT/Tender/SplashBidNoticeAbstractUI.aspx?menuIndex=3&amp;refID=7187616&amp;Result=3","7187616")</f>
        <v>0</v>
      </c>
      <c r="B4227" t="s">
        <v>1502</v>
      </c>
      <c r="C4227" t="s">
        <v>7575</v>
      </c>
      <c r="D4227" t="s">
        <v>17213</v>
      </c>
      <c r="E4227" t="s">
        <v>20934</v>
      </c>
      <c r="F4227" t="s">
        <v>29372</v>
      </c>
      <c r="G4227" t="s">
        <v>29383</v>
      </c>
      <c r="H4227" t="s">
        <v>11048</v>
      </c>
      <c r="I4227" t="s">
        <v>14920</v>
      </c>
      <c r="J4227" t="s">
        <v>29752</v>
      </c>
      <c r="K4227" t="s">
        <v>38489</v>
      </c>
      <c r="M4227" t="s">
        <v>40346</v>
      </c>
      <c r="N4227" t="s">
        <v>42669</v>
      </c>
      <c r="O4227" t="s">
        <v>42670</v>
      </c>
      <c r="P4227">
        <v>0</v>
      </c>
      <c r="Q4227">
        <v>0</v>
      </c>
      <c r="R4227" t="s">
        <v>42676</v>
      </c>
      <c r="S4227" t="s">
        <v>42809</v>
      </c>
      <c r="T4227" t="s">
        <v>44436</v>
      </c>
      <c r="U4227" t="s">
        <v>48298</v>
      </c>
      <c r="W4227" t="s">
        <v>40346</v>
      </c>
      <c r="X4227" t="s">
        <v>42677</v>
      </c>
    </row>
    <row r="4228" spans="1:24">
      <c r="A4228">
        <f>HYPERLINK("https://www.philgeps.gov.ph/GEPSNONPILOT/Tender/SplashBidNoticeAbstractUI.aspx?menuIndex=3&amp;refID=7187614&amp;Result=3","7187614")</f>
        <v>0</v>
      </c>
      <c r="B4228" t="s">
        <v>1528</v>
      </c>
      <c r="C4228" t="s">
        <v>7576</v>
      </c>
      <c r="D4228" t="s">
        <v>17178</v>
      </c>
      <c r="E4228" t="s">
        <v>20935</v>
      </c>
      <c r="F4228" t="s">
        <v>29372</v>
      </c>
      <c r="G4228" t="s">
        <v>29380</v>
      </c>
      <c r="H4228" t="s">
        <v>11048</v>
      </c>
      <c r="I4228" t="s">
        <v>29437</v>
      </c>
      <c r="J4228" t="s">
        <v>29721</v>
      </c>
      <c r="K4228" t="s">
        <v>38490</v>
      </c>
      <c r="M4228" t="s">
        <v>40377</v>
      </c>
      <c r="N4228" t="s">
        <v>42669</v>
      </c>
      <c r="O4228" t="s">
        <v>42670</v>
      </c>
      <c r="P4228">
        <v>0</v>
      </c>
      <c r="Q4228">
        <v>0</v>
      </c>
      <c r="R4228" t="s">
        <v>42676</v>
      </c>
      <c r="S4228" t="s">
        <v>42809</v>
      </c>
      <c r="T4228" t="s">
        <v>44452</v>
      </c>
      <c r="U4228" t="s">
        <v>48299</v>
      </c>
      <c r="V4228" t="s">
        <v>56799</v>
      </c>
      <c r="W4228" t="s">
        <v>40377</v>
      </c>
      <c r="X4228" t="s">
        <v>42677</v>
      </c>
    </row>
    <row r="4229" spans="1:24">
      <c r="A4229">
        <f>HYPERLINK("https://www.philgeps.gov.ph/GEPSNONPILOT/Tender/SplashBidNoticeAbstractUI.aspx?menuIndex=3&amp;refID=7187613&amp;Result=3","7187613")</f>
        <v>0</v>
      </c>
      <c r="B4229" t="s">
        <v>547</v>
      </c>
      <c r="C4229" t="s">
        <v>7577</v>
      </c>
      <c r="E4229" t="s">
        <v>20936</v>
      </c>
      <c r="F4229" t="s">
        <v>29372</v>
      </c>
      <c r="G4229" t="s">
        <v>29379</v>
      </c>
      <c r="H4229" t="s">
        <v>11048</v>
      </c>
      <c r="I4229" t="s">
        <v>29419</v>
      </c>
      <c r="J4229" t="s">
        <v>32348</v>
      </c>
      <c r="K4229" t="s">
        <v>38485</v>
      </c>
      <c r="M4229" t="s">
        <v>39363</v>
      </c>
      <c r="N4229" t="s">
        <v>42669</v>
      </c>
      <c r="O4229" t="s">
        <v>42670</v>
      </c>
      <c r="P4229">
        <v>0</v>
      </c>
      <c r="Q4229">
        <v>1</v>
      </c>
      <c r="R4229" t="s">
        <v>42676</v>
      </c>
      <c r="S4229" t="s">
        <v>42809</v>
      </c>
      <c r="T4229" t="s">
        <v>44456</v>
      </c>
      <c r="U4229" t="s">
        <v>48300</v>
      </c>
      <c r="W4229" t="s">
        <v>58018</v>
      </c>
      <c r="X4229" t="s">
        <v>42677</v>
      </c>
    </row>
    <row r="4230" spans="1:24">
      <c r="A4230">
        <f>HYPERLINK("https://www.philgeps.gov.ph/GEPSNONPILOT/Tender/SplashBidNoticeAbstractUI.aspx?menuIndex=3&amp;refID=7187637&amp;Result=3","7187637")</f>
        <v>0</v>
      </c>
      <c r="B4230" t="s">
        <v>1529</v>
      </c>
      <c r="C4230" t="s">
        <v>7578</v>
      </c>
      <c r="D4230" t="s">
        <v>17162</v>
      </c>
      <c r="E4230" t="s">
        <v>20937</v>
      </c>
      <c r="F4230" t="s">
        <v>29372</v>
      </c>
      <c r="G4230" t="s">
        <v>29379</v>
      </c>
      <c r="H4230" t="s">
        <v>11048</v>
      </c>
      <c r="I4230" t="s">
        <v>3670</v>
      </c>
      <c r="J4230" t="s">
        <v>32349</v>
      </c>
      <c r="K4230" t="s">
        <v>38490</v>
      </c>
      <c r="M4230" t="s">
        <v>40378</v>
      </c>
      <c r="N4230" t="s">
        <v>42669</v>
      </c>
      <c r="O4230" t="s">
        <v>42670</v>
      </c>
      <c r="P4230">
        <v>0</v>
      </c>
      <c r="Q4230">
        <v>2</v>
      </c>
      <c r="R4230" t="s">
        <v>42676</v>
      </c>
      <c r="S4230" t="s">
        <v>42809</v>
      </c>
      <c r="T4230" t="s">
        <v>44481</v>
      </c>
      <c r="U4230" t="s">
        <v>48301</v>
      </c>
      <c r="W4230" t="s">
        <v>40378</v>
      </c>
      <c r="X4230" t="s">
        <v>42677</v>
      </c>
    </row>
    <row r="4231" spans="1:24">
      <c r="A4231">
        <f>HYPERLINK("https://www.philgeps.gov.ph/GEPSNONPILOT/Tender/SplashBidNoticeAbstractUI.aspx?menuIndex=3&amp;refID=7187634&amp;Result=3","7187634")</f>
        <v>0</v>
      </c>
      <c r="B4231" t="s">
        <v>1383</v>
      </c>
      <c r="C4231" t="s">
        <v>7579</v>
      </c>
      <c r="D4231" t="s">
        <v>17169</v>
      </c>
      <c r="E4231" t="s">
        <v>20592</v>
      </c>
      <c r="F4231" t="s">
        <v>29372</v>
      </c>
      <c r="G4231" t="s">
        <v>29380</v>
      </c>
      <c r="H4231" t="s">
        <v>29389</v>
      </c>
      <c r="I4231" t="s">
        <v>10408</v>
      </c>
      <c r="J4231" t="s">
        <v>32350</v>
      </c>
      <c r="K4231" t="s">
        <v>38525</v>
      </c>
      <c r="M4231" t="s">
        <v>40220</v>
      </c>
      <c r="N4231" t="s">
        <v>42669</v>
      </c>
      <c r="O4231" t="s">
        <v>42670</v>
      </c>
      <c r="P4231">
        <v>0</v>
      </c>
      <c r="Q4231">
        <v>1</v>
      </c>
      <c r="R4231" t="s">
        <v>42676</v>
      </c>
      <c r="S4231" t="s">
        <v>42809</v>
      </c>
      <c r="T4231" t="s">
        <v>44587</v>
      </c>
      <c r="U4231" t="s">
        <v>47960</v>
      </c>
      <c r="V4231" t="s">
        <v>56800</v>
      </c>
      <c r="W4231" t="s">
        <v>40220</v>
      </c>
      <c r="X4231" t="s">
        <v>42677</v>
      </c>
    </row>
    <row r="4232" spans="1:24">
      <c r="A4232">
        <f>HYPERLINK("https://www.philgeps.gov.ph/GEPSNONPILOT/Tender/SplashBidNoticeAbstractUI.aspx?menuIndex=3&amp;refID=7187647&amp;Result=3","7187647")</f>
        <v>0</v>
      </c>
      <c r="B4232" t="s">
        <v>1470</v>
      </c>
      <c r="C4232" t="s">
        <v>7580</v>
      </c>
      <c r="D4232" t="s">
        <v>17153</v>
      </c>
      <c r="E4232" t="s">
        <v>20927</v>
      </c>
      <c r="F4232" t="s">
        <v>29372</v>
      </c>
      <c r="G4232" t="s">
        <v>29380</v>
      </c>
      <c r="H4232" t="s">
        <v>11048</v>
      </c>
      <c r="I4232" t="s">
        <v>4709</v>
      </c>
      <c r="J4232" t="s">
        <v>32351</v>
      </c>
      <c r="K4232" t="s">
        <v>38485</v>
      </c>
      <c r="M4232" t="s">
        <v>40313</v>
      </c>
      <c r="N4232" t="s">
        <v>42669</v>
      </c>
      <c r="O4232" t="s">
        <v>42670</v>
      </c>
      <c r="P4232">
        <v>0</v>
      </c>
      <c r="Q4232">
        <v>0</v>
      </c>
      <c r="R4232" t="s">
        <v>42676</v>
      </c>
      <c r="S4232" t="s">
        <v>42809</v>
      </c>
      <c r="T4232" t="s">
        <v>44443</v>
      </c>
      <c r="U4232" t="s">
        <v>48146</v>
      </c>
      <c r="V4232" t="s">
        <v>56769</v>
      </c>
      <c r="W4232" t="s">
        <v>40313</v>
      </c>
      <c r="X4232" t="s">
        <v>42677</v>
      </c>
    </row>
    <row r="4233" spans="1:24">
      <c r="A4233">
        <f>HYPERLINK("https://www.philgeps.gov.ph/GEPSNONPILOT/Tender/SplashBidNoticeAbstractUI.aspx?menuIndex=3&amp;refID=7187624&amp;Result=3","7187624")</f>
        <v>0</v>
      </c>
      <c r="B4233" t="s">
        <v>1530</v>
      </c>
      <c r="C4233" t="s">
        <v>7581</v>
      </c>
      <c r="D4233" t="s">
        <v>17147</v>
      </c>
      <c r="E4233" t="s">
        <v>20938</v>
      </c>
      <c r="F4233" t="s">
        <v>29372</v>
      </c>
      <c r="G4233" t="s">
        <v>29380</v>
      </c>
      <c r="H4233" t="s">
        <v>29389</v>
      </c>
      <c r="I4233" t="s">
        <v>10408</v>
      </c>
      <c r="J4233" t="s">
        <v>32352</v>
      </c>
      <c r="K4233" t="s">
        <v>38495</v>
      </c>
      <c r="M4233" t="s">
        <v>40379</v>
      </c>
      <c r="N4233" t="s">
        <v>42669</v>
      </c>
      <c r="O4233" t="s">
        <v>42670</v>
      </c>
      <c r="P4233">
        <v>0</v>
      </c>
      <c r="Q4233">
        <v>0</v>
      </c>
      <c r="R4233" t="s">
        <v>42676</v>
      </c>
      <c r="S4233" t="s">
        <v>42809</v>
      </c>
      <c r="T4233" t="s">
        <v>44482</v>
      </c>
      <c r="U4233" t="s">
        <v>48302</v>
      </c>
      <c r="V4233" t="s">
        <v>56801</v>
      </c>
      <c r="W4233" t="s">
        <v>40379</v>
      </c>
      <c r="X4233" t="s">
        <v>42677</v>
      </c>
    </row>
    <row r="4234" spans="1:24">
      <c r="A4234">
        <f>HYPERLINK("https://www.philgeps.gov.ph/GEPSNONPILOT/Tender/SplashBidNoticeAbstractUI.aspx?menuIndex=3&amp;refID=7187670&amp;Result=3","7187670")</f>
        <v>0</v>
      </c>
      <c r="B4234" t="s">
        <v>586</v>
      </c>
      <c r="C4234" t="s">
        <v>7582</v>
      </c>
      <c r="D4234" t="s">
        <v>17161</v>
      </c>
      <c r="E4234" t="s">
        <v>20939</v>
      </c>
      <c r="F4234" t="s">
        <v>29372</v>
      </c>
      <c r="G4234" t="s">
        <v>29383</v>
      </c>
      <c r="H4234" t="s">
        <v>11048</v>
      </c>
      <c r="I4234" t="s">
        <v>5383</v>
      </c>
      <c r="J4234" t="s">
        <v>32353</v>
      </c>
      <c r="K4234" t="s">
        <v>38490</v>
      </c>
      <c r="M4234" t="s">
        <v>39355</v>
      </c>
      <c r="N4234" t="s">
        <v>42669</v>
      </c>
      <c r="O4234" t="s">
        <v>42670</v>
      </c>
      <c r="P4234">
        <v>0</v>
      </c>
      <c r="Q4234">
        <v>0</v>
      </c>
      <c r="R4234" t="s">
        <v>42676</v>
      </c>
      <c r="S4234" t="s">
        <v>42809</v>
      </c>
      <c r="T4234" t="s">
        <v>44488</v>
      </c>
      <c r="U4234" t="s">
        <v>48303</v>
      </c>
      <c r="W4234" t="s">
        <v>39355</v>
      </c>
      <c r="X4234" t="s">
        <v>42677</v>
      </c>
    </row>
    <row r="4235" spans="1:24">
      <c r="A4235">
        <f>HYPERLINK("https://www.philgeps.gov.ph/GEPSNONPILOT/Tender/SplashBidNoticeAbstractUI.aspx?menuIndex=3&amp;refID=7187667&amp;Result=3","7187667")</f>
        <v>0</v>
      </c>
      <c r="B4235" t="s">
        <v>1531</v>
      </c>
      <c r="C4235" t="s">
        <v>7583</v>
      </c>
      <c r="D4235" t="s">
        <v>17147</v>
      </c>
      <c r="E4235" t="s">
        <v>20940</v>
      </c>
      <c r="F4235" t="s">
        <v>29373</v>
      </c>
      <c r="G4235" t="s">
        <v>29380</v>
      </c>
      <c r="H4235" t="s">
        <v>29389</v>
      </c>
      <c r="I4235" t="s">
        <v>10408</v>
      </c>
      <c r="J4235" t="s">
        <v>29788</v>
      </c>
      <c r="K4235" t="s">
        <v>38619</v>
      </c>
      <c r="M4235" t="s">
        <v>40380</v>
      </c>
      <c r="N4235" t="s">
        <v>42669</v>
      </c>
      <c r="O4235" t="s">
        <v>42670</v>
      </c>
      <c r="P4235">
        <v>0</v>
      </c>
      <c r="Q4235">
        <v>0</v>
      </c>
      <c r="R4235" t="s">
        <v>42676</v>
      </c>
      <c r="S4235" t="s">
        <v>42809</v>
      </c>
      <c r="T4235" t="s">
        <v>44587</v>
      </c>
      <c r="U4235" t="s">
        <v>48304</v>
      </c>
      <c r="W4235" t="s">
        <v>40380</v>
      </c>
      <c r="X4235" t="s">
        <v>42677</v>
      </c>
    </row>
    <row r="4236" spans="1:24">
      <c r="A4236">
        <f>HYPERLINK("https://www.philgeps.gov.ph/GEPSNONPILOT/Tender/SplashBidNoticeAbstractUI.aspx?menuIndex=3&amp;refID=7187666&amp;Result=3","7187666")</f>
        <v>0</v>
      </c>
      <c r="B4236" t="s">
        <v>1499</v>
      </c>
      <c r="C4236" t="s">
        <v>7584</v>
      </c>
      <c r="D4236" t="s">
        <v>17231</v>
      </c>
      <c r="E4236" t="s">
        <v>20941</v>
      </c>
      <c r="F4236" t="s">
        <v>29372</v>
      </c>
      <c r="G4236" t="s">
        <v>29381</v>
      </c>
      <c r="H4236" t="s">
        <v>11048</v>
      </c>
      <c r="I4236" t="s">
        <v>4709</v>
      </c>
      <c r="J4236" t="s">
        <v>32354</v>
      </c>
      <c r="K4236" t="s">
        <v>38496</v>
      </c>
      <c r="M4236" t="s">
        <v>40343</v>
      </c>
      <c r="N4236" t="s">
        <v>42669</v>
      </c>
      <c r="O4236" t="s">
        <v>42670</v>
      </c>
      <c r="P4236">
        <v>0</v>
      </c>
      <c r="Q4236">
        <v>0</v>
      </c>
      <c r="R4236" t="s">
        <v>42676</v>
      </c>
      <c r="S4236" t="s">
        <v>42809</v>
      </c>
      <c r="T4236" t="s">
        <v>44652</v>
      </c>
      <c r="U4236" t="s">
        <v>48305</v>
      </c>
      <c r="W4236" t="s">
        <v>40343</v>
      </c>
      <c r="X4236" t="s">
        <v>42677</v>
      </c>
    </row>
    <row r="4237" spans="1:24">
      <c r="A4237">
        <f>HYPERLINK("https://www.philgeps.gov.ph/GEPSNONPILOT/Tender/SplashBidNoticeAbstractUI.aspx?menuIndex=3&amp;refID=7187665&amp;Result=3","7187665")</f>
        <v>0</v>
      </c>
      <c r="B4237" t="s">
        <v>1383</v>
      </c>
      <c r="C4237" t="s">
        <v>7585</v>
      </c>
      <c r="D4237" t="s">
        <v>17169</v>
      </c>
      <c r="E4237" t="s">
        <v>20592</v>
      </c>
      <c r="F4237" t="s">
        <v>29372</v>
      </c>
      <c r="G4237" t="s">
        <v>29380</v>
      </c>
      <c r="H4237" t="s">
        <v>29389</v>
      </c>
      <c r="I4237" t="s">
        <v>10408</v>
      </c>
      <c r="J4237" t="s">
        <v>32355</v>
      </c>
      <c r="K4237" t="s">
        <v>38496</v>
      </c>
      <c r="M4237" t="s">
        <v>40220</v>
      </c>
      <c r="N4237" t="s">
        <v>42669</v>
      </c>
      <c r="O4237" t="s">
        <v>42670</v>
      </c>
      <c r="P4237">
        <v>0</v>
      </c>
      <c r="Q4237">
        <v>1</v>
      </c>
      <c r="R4237" t="s">
        <v>42676</v>
      </c>
      <c r="S4237" t="s">
        <v>42809</v>
      </c>
      <c r="T4237" t="s">
        <v>44587</v>
      </c>
      <c r="U4237" t="s">
        <v>47960</v>
      </c>
      <c r="V4237" t="s">
        <v>56802</v>
      </c>
      <c r="W4237" t="s">
        <v>40220</v>
      </c>
      <c r="X4237" t="s">
        <v>42677</v>
      </c>
    </row>
    <row r="4238" spans="1:24">
      <c r="A4238">
        <f>HYPERLINK("https://www.philgeps.gov.ph/GEPSNONPILOT/Tender/SplashBidNoticeAbstractUI.aspx?menuIndex=3&amp;refID=7187662&amp;Result=3","7187662")</f>
        <v>0</v>
      </c>
      <c r="B4238" t="s">
        <v>1404</v>
      </c>
      <c r="C4238" t="s">
        <v>7586</v>
      </c>
      <c r="D4238" t="s">
        <v>17189</v>
      </c>
      <c r="E4238" t="s">
        <v>20942</v>
      </c>
      <c r="F4238" t="s">
        <v>29372</v>
      </c>
      <c r="G4238" t="s">
        <v>29379</v>
      </c>
      <c r="H4238" t="s">
        <v>11048</v>
      </c>
      <c r="I4238" t="s">
        <v>29493</v>
      </c>
      <c r="J4238" t="s">
        <v>29767</v>
      </c>
      <c r="K4238" t="s">
        <v>38538</v>
      </c>
      <c r="M4238" t="s">
        <v>40243</v>
      </c>
      <c r="N4238" t="s">
        <v>42669</v>
      </c>
      <c r="O4238" t="s">
        <v>42670</v>
      </c>
      <c r="P4238">
        <v>0</v>
      </c>
      <c r="Q4238">
        <v>2</v>
      </c>
      <c r="R4238" t="s">
        <v>42676</v>
      </c>
      <c r="S4238" t="s">
        <v>42809</v>
      </c>
      <c r="T4238" t="s">
        <v>44481</v>
      </c>
      <c r="U4238" t="s">
        <v>48306</v>
      </c>
      <c r="W4238" t="s">
        <v>40243</v>
      </c>
      <c r="X4238" t="s">
        <v>42677</v>
      </c>
    </row>
    <row r="4239" spans="1:24">
      <c r="A4239">
        <f>HYPERLINK("https://www.philgeps.gov.ph/GEPSNONPILOT/Tender/SplashBidNoticeAbstractUI.aspx?menuIndex=3&amp;refID=7187660&amp;Result=3","7187660")</f>
        <v>0</v>
      </c>
      <c r="B4239" t="s">
        <v>1523</v>
      </c>
      <c r="C4239" t="s">
        <v>7587</v>
      </c>
      <c r="D4239" t="s">
        <v>17153</v>
      </c>
      <c r="E4239" t="s">
        <v>20943</v>
      </c>
      <c r="F4239" t="s">
        <v>29372</v>
      </c>
      <c r="G4239" t="s">
        <v>29380</v>
      </c>
      <c r="H4239" t="s">
        <v>11048</v>
      </c>
      <c r="I4239" t="s">
        <v>4709</v>
      </c>
      <c r="J4239" t="s">
        <v>32356</v>
      </c>
      <c r="K4239" t="s">
        <v>38490</v>
      </c>
      <c r="M4239" t="s">
        <v>40370</v>
      </c>
      <c r="N4239" t="s">
        <v>42669</v>
      </c>
      <c r="O4239" t="s">
        <v>42670</v>
      </c>
      <c r="P4239">
        <v>0</v>
      </c>
      <c r="Q4239">
        <v>0</v>
      </c>
      <c r="R4239" t="s">
        <v>42676</v>
      </c>
      <c r="S4239" t="s">
        <v>42809</v>
      </c>
      <c r="T4239" t="s">
        <v>44470</v>
      </c>
      <c r="U4239" t="s">
        <v>48286</v>
      </c>
      <c r="W4239" t="s">
        <v>40370</v>
      </c>
      <c r="X4239" t="s">
        <v>42677</v>
      </c>
    </row>
    <row r="4240" spans="1:24">
      <c r="A4240">
        <f>HYPERLINK("https://www.philgeps.gov.ph/GEPSNONPILOT/Tender/SplashBidNoticeAbstractUI.aspx?menuIndex=3&amp;refID=7187668&amp;Result=3","7187668")</f>
        <v>0</v>
      </c>
      <c r="B4240" t="s">
        <v>1532</v>
      </c>
      <c r="C4240" t="s">
        <v>7588</v>
      </c>
      <c r="D4240" t="s">
        <v>17174</v>
      </c>
      <c r="E4240" t="s">
        <v>20944</v>
      </c>
      <c r="F4240" t="s">
        <v>29373</v>
      </c>
      <c r="G4240" t="s">
        <v>29385</v>
      </c>
      <c r="H4240" t="s">
        <v>11048</v>
      </c>
      <c r="I4240" t="s">
        <v>4709</v>
      </c>
      <c r="J4240" t="s">
        <v>32357</v>
      </c>
      <c r="K4240" t="s">
        <v>38510</v>
      </c>
      <c r="M4240" t="s">
        <v>40381</v>
      </c>
      <c r="N4240" t="s">
        <v>42669</v>
      </c>
      <c r="O4240" t="s">
        <v>42670</v>
      </c>
      <c r="P4240">
        <v>0</v>
      </c>
      <c r="Q4240">
        <v>0</v>
      </c>
      <c r="R4240" t="s">
        <v>42676</v>
      </c>
      <c r="S4240" t="s">
        <v>42809</v>
      </c>
      <c r="T4240" t="s">
        <v>44419</v>
      </c>
      <c r="U4240" t="s">
        <v>48307</v>
      </c>
      <c r="W4240" t="s">
        <v>40381</v>
      </c>
      <c r="X4240" t="s">
        <v>42677</v>
      </c>
    </row>
    <row r="4241" spans="1:24">
      <c r="A4241">
        <f>HYPERLINK("https://www.philgeps.gov.ph/GEPSNONPILOT/Tender/SplashBidNoticeAbstractUI.aspx?menuIndex=3&amp;refID=7187679&amp;Result=3","7187679")</f>
        <v>0</v>
      </c>
      <c r="B4241" t="s">
        <v>1493</v>
      </c>
      <c r="C4241" t="s">
        <v>7589</v>
      </c>
      <c r="D4241" t="s">
        <v>17183</v>
      </c>
      <c r="E4241" t="s">
        <v>20945</v>
      </c>
      <c r="F4241" t="s">
        <v>29372</v>
      </c>
      <c r="G4241" t="s">
        <v>29379</v>
      </c>
      <c r="H4241" t="s">
        <v>11048</v>
      </c>
      <c r="I4241" t="s">
        <v>29395</v>
      </c>
      <c r="J4241" t="s">
        <v>32358</v>
      </c>
      <c r="K4241" t="s">
        <v>38488</v>
      </c>
      <c r="M4241" t="s">
        <v>40336</v>
      </c>
      <c r="N4241" t="s">
        <v>42669</v>
      </c>
      <c r="O4241" t="s">
        <v>42670</v>
      </c>
      <c r="P4241">
        <v>0</v>
      </c>
      <c r="Q4241">
        <v>2</v>
      </c>
      <c r="R4241" t="s">
        <v>42676</v>
      </c>
      <c r="S4241" t="s">
        <v>42809</v>
      </c>
      <c r="T4241" t="s">
        <v>44401</v>
      </c>
      <c r="U4241" t="s">
        <v>48203</v>
      </c>
      <c r="W4241" t="s">
        <v>40336</v>
      </c>
      <c r="X4241" t="s">
        <v>42677</v>
      </c>
    </row>
    <row r="4242" spans="1:24">
      <c r="A4242">
        <f>HYPERLINK("https://www.philgeps.gov.ph/GEPSNONPILOT/Tender/SplashBidNoticeAbstractUI.aspx?menuIndex=3&amp;refID=7187678&amp;Result=3","7187678")</f>
        <v>0</v>
      </c>
      <c r="B4242" t="s">
        <v>1533</v>
      </c>
      <c r="C4242" t="s">
        <v>7590</v>
      </c>
      <c r="D4242" t="s">
        <v>17213</v>
      </c>
      <c r="E4242" t="s">
        <v>20946</v>
      </c>
      <c r="F4242" t="s">
        <v>29372</v>
      </c>
      <c r="G4242" t="s">
        <v>29379</v>
      </c>
      <c r="H4242" t="s">
        <v>11048</v>
      </c>
      <c r="I4242" t="s">
        <v>4709</v>
      </c>
      <c r="J4242" t="s">
        <v>32359</v>
      </c>
      <c r="K4242" t="s">
        <v>38488</v>
      </c>
      <c r="M4242" t="s">
        <v>40382</v>
      </c>
      <c r="N4242" t="s">
        <v>42669</v>
      </c>
      <c r="O4242" t="s">
        <v>42670</v>
      </c>
      <c r="P4242">
        <v>0</v>
      </c>
      <c r="Q4242">
        <v>0</v>
      </c>
      <c r="R4242" t="s">
        <v>42676</v>
      </c>
      <c r="S4242" t="s">
        <v>42809</v>
      </c>
      <c r="T4242" t="s">
        <v>44549</v>
      </c>
      <c r="U4242" t="s">
        <v>48308</v>
      </c>
      <c r="W4242" t="s">
        <v>40382</v>
      </c>
      <c r="X4242" t="s">
        <v>42677</v>
      </c>
    </row>
    <row r="4243" spans="1:24">
      <c r="A4243">
        <f>HYPERLINK("https://www.philgeps.gov.ph/GEPSNONPILOT/Tender/SplashBidNoticeAbstractUI.aspx?menuIndex=3&amp;refID=7187626&amp;Result=3","7187626")</f>
        <v>0</v>
      </c>
      <c r="B4243" t="s">
        <v>1500</v>
      </c>
      <c r="C4243" t="s">
        <v>7591</v>
      </c>
      <c r="D4243" t="s">
        <v>17194</v>
      </c>
      <c r="E4243" t="s">
        <v>20947</v>
      </c>
      <c r="F4243" t="s">
        <v>29372</v>
      </c>
      <c r="G4243" t="s">
        <v>29379</v>
      </c>
      <c r="H4243" t="s">
        <v>11048</v>
      </c>
      <c r="I4243" t="s">
        <v>3839</v>
      </c>
      <c r="J4243" t="s">
        <v>30427</v>
      </c>
      <c r="K4243" t="s">
        <v>38510</v>
      </c>
      <c r="M4243" t="s">
        <v>40344</v>
      </c>
      <c r="N4243" t="s">
        <v>42669</v>
      </c>
      <c r="O4243" t="s">
        <v>42670</v>
      </c>
      <c r="P4243">
        <v>0</v>
      </c>
      <c r="Q4243">
        <v>2</v>
      </c>
      <c r="R4243" t="s">
        <v>42676</v>
      </c>
      <c r="S4243" t="s">
        <v>42809</v>
      </c>
      <c r="T4243" t="s">
        <v>44399</v>
      </c>
      <c r="U4243" t="s">
        <v>48233</v>
      </c>
      <c r="W4243" t="s">
        <v>40344</v>
      </c>
      <c r="X4243" t="s">
        <v>42677</v>
      </c>
    </row>
    <row r="4244" spans="1:24">
      <c r="A4244">
        <f>HYPERLINK("https://www.philgeps.gov.ph/GEPSNONPILOT/Tender/SplashBidNoticeAbstractUI.aspx?menuIndex=3&amp;refID=7187669&amp;Result=3","7187669")</f>
        <v>0</v>
      </c>
      <c r="B4244" t="s">
        <v>1463</v>
      </c>
      <c r="C4244" t="s">
        <v>7592</v>
      </c>
      <c r="D4244" t="s">
        <v>17170</v>
      </c>
      <c r="E4244" t="s">
        <v>7592</v>
      </c>
      <c r="F4244" t="s">
        <v>29372</v>
      </c>
      <c r="G4244" t="s">
        <v>29379</v>
      </c>
      <c r="H4244" t="s">
        <v>11048</v>
      </c>
      <c r="I4244" t="s">
        <v>4709</v>
      </c>
      <c r="J4244" t="s">
        <v>32337</v>
      </c>
      <c r="K4244" t="s">
        <v>38491</v>
      </c>
      <c r="M4244" t="s">
        <v>40306</v>
      </c>
      <c r="N4244" t="s">
        <v>42669</v>
      </c>
      <c r="O4244" t="s">
        <v>42670</v>
      </c>
      <c r="P4244">
        <v>0</v>
      </c>
      <c r="Q4244">
        <v>3</v>
      </c>
      <c r="R4244" t="s">
        <v>42676</v>
      </c>
      <c r="S4244" t="s">
        <v>42809</v>
      </c>
      <c r="T4244" t="s">
        <v>44429</v>
      </c>
      <c r="U4244" t="s">
        <v>45836</v>
      </c>
      <c r="W4244" t="s">
        <v>40306</v>
      </c>
      <c r="X4244" t="s">
        <v>42677</v>
      </c>
    </row>
    <row r="4245" spans="1:24">
      <c r="A4245">
        <f>HYPERLINK("https://www.philgeps.gov.ph/GEPSNONPILOT/Tender/SplashBidNoticeAbstractUI.aspx?menuIndex=3&amp;refID=7187649&amp;Result=3","7187649")</f>
        <v>0</v>
      </c>
      <c r="B4245" t="s">
        <v>1534</v>
      </c>
      <c r="C4245" t="s">
        <v>7593</v>
      </c>
      <c r="D4245" t="s">
        <v>17169</v>
      </c>
      <c r="E4245" t="s">
        <v>20948</v>
      </c>
      <c r="F4245" t="s">
        <v>29372</v>
      </c>
      <c r="G4245" t="s">
        <v>29380</v>
      </c>
      <c r="H4245" t="s">
        <v>29389</v>
      </c>
      <c r="I4245" t="s">
        <v>10408</v>
      </c>
      <c r="J4245" t="s">
        <v>32360</v>
      </c>
      <c r="K4245" t="s">
        <v>38488</v>
      </c>
      <c r="M4245" t="s">
        <v>40383</v>
      </c>
      <c r="N4245" t="s">
        <v>42669</v>
      </c>
      <c r="O4245" t="s">
        <v>42670</v>
      </c>
      <c r="P4245">
        <v>0</v>
      </c>
      <c r="Q4245">
        <v>2</v>
      </c>
      <c r="R4245" t="s">
        <v>42676</v>
      </c>
      <c r="S4245" t="s">
        <v>42809</v>
      </c>
      <c r="T4245" t="s">
        <v>44373</v>
      </c>
      <c r="U4245" t="s">
        <v>48309</v>
      </c>
      <c r="W4245" t="s">
        <v>40383</v>
      </c>
      <c r="X4245" t="s">
        <v>42677</v>
      </c>
    </row>
    <row r="4246" spans="1:24">
      <c r="A4246">
        <f>HYPERLINK("https://www.philgeps.gov.ph/GEPSNONPILOT/Tender/SplashBidNoticeAbstractUI.aspx?menuIndex=3&amp;refID=7187658&amp;Result=3","7187658")</f>
        <v>0</v>
      </c>
      <c r="B4246" t="s">
        <v>54</v>
      </c>
      <c r="C4246" t="s">
        <v>7594</v>
      </c>
      <c r="D4246" t="s">
        <v>17162</v>
      </c>
      <c r="E4246" t="s">
        <v>20949</v>
      </c>
      <c r="F4246" t="s">
        <v>29372</v>
      </c>
      <c r="G4246" t="s">
        <v>29379</v>
      </c>
      <c r="H4246" t="s">
        <v>11048</v>
      </c>
      <c r="I4246" t="s">
        <v>3695</v>
      </c>
      <c r="J4246" t="s">
        <v>29595</v>
      </c>
      <c r="K4246" t="s">
        <v>38510</v>
      </c>
      <c r="L4246" t="s">
        <v>54</v>
      </c>
      <c r="M4246" t="s">
        <v>40364</v>
      </c>
      <c r="N4246" t="s">
        <v>42669</v>
      </c>
      <c r="O4246" t="s">
        <v>42670</v>
      </c>
      <c r="P4246">
        <v>0</v>
      </c>
      <c r="Q4246">
        <v>0</v>
      </c>
      <c r="R4246" t="s">
        <v>42676</v>
      </c>
      <c r="S4246" t="s">
        <v>42809</v>
      </c>
      <c r="T4246" t="s">
        <v>44488</v>
      </c>
      <c r="U4246" t="s">
        <v>48310</v>
      </c>
      <c r="W4246" t="s">
        <v>40364</v>
      </c>
      <c r="X4246" t="s">
        <v>42677</v>
      </c>
    </row>
    <row r="4247" spans="1:24">
      <c r="A4247">
        <f>HYPERLINK("https://www.philgeps.gov.ph/GEPSNONPILOT/Tender/SplashBidNoticeAbstractUI.aspx?menuIndex=3&amp;refID=7187675&amp;Result=3","7187675")</f>
        <v>0</v>
      </c>
      <c r="B4247" t="s">
        <v>1479</v>
      </c>
      <c r="C4247" t="s">
        <v>7595</v>
      </c>
      <c r="D4247" t="s">
        <v>17156</v>
      </c>
      <c r="E4247" t="s">
        <v>20950</v>
      </c>
      <c r="F4247" t="s">
        <v>29372</v>
      </c>
      <c r="G4247" t="s">
        <v>29380</v>
      </c>
      <c r="H4247" t="s">
        <v>29389</v>
      </c>
      <c r="I4247" t="s">
        <v>10408</v>
      </c>
      <c r="J4247" t="s">
        <v>32361</v>
      </c>
      <c r="K4247" t="s">
        <v>38533</v>
      </c>
      <c r="M4247" t="s">
        <v>40322</v>
      </c>
      <c r="N4247" t="s">
        <v>42669</v>
      </c>
      <c r="O4247" t="s">
        <v>42670</v>
      </c>
      <c r="P4247">
        <v>0</v>
      </c>
      <c r="Q4247">
        <v>1</v>
      </c>
      <c r="R4247" t="s">
        <v>42676</v>
      </c>
      <c r="S4247" t="s">
        <v>42809</v>
      </c>
      <c r="T4247" t="s">
        <v>44376</v>
      </c>
      <c r="U4247" t="s">
        <v>48311</v>
      </c>
      <c r="V4247" t="s">
        <v>56771</v>
      </c>
      <c r="W4247" t="s">
        <v>40322</v>
      </c>
      <c r="X4247" t="s">
        <v>42677</v>
      </c>
    </row>
    <row r="4248" spans="1:24">
      <c r="A4248">
        <f>HYPERLINK("https://www.philgeps.gov.ph/GEPSNONPILOT/Tender/SplashBidNoticeAbstractUI.aspx?menuIndex=3&amp;refID=7187656&amp;Result=3","7187656")</f>
        <v>0</v>
      </c>
      <c r="B4248" t="s">
        <v>129</v>
      </c>
      <c r="C4248" t="s">
        <v>7596</v>
      </c>
      <c r="E4248" t="s">
        <v>20951</v>
      </c>
      <c r="F4248" t="s">
        <v>29372</v>
      </c>
      <c r="G4248" t="s">
        <v>29383</v>
      </c>
      <c r="H4248" t="s">
        <v>11048</v>
      </c>
      <c r="I4248" t="s">
        <v>29407</v>
      </c>
      <c r="J4248" t="s">
        <v>32362</v>
      </c>
      <c r="K4248" t="s">
        <v>38490</v>
      </c>
      <c r="M4248" t="s">
        <v>38884</v>
      </c>
      <c r="N4248" t="s">
        <v>42669</v>
      </c>
      <c r="O4248" t="s">
        <v>42670</v>
      </c>
      <c r="P4248">
        <v>0</v>
      </c>
      <c r="Q4248">
        <v>2</v>
      </c>
      <c r="R4248" t="s">
        <v>42676</v>
      </c>
      <c r="S4248" t="s">
        <v>42809</v>
      </c>
      <c r="T4248" t="s">
        <v>44417</v>
      </c>
      <c r="U4248" t="s">
        <v>48312</v>
      </c>
      <c r="W4248" t="s">
        <v>38884</v>
      </c>
      <c r="X4248" t="s">
        <v>42677</v>
      </c>
    </row>
    <row r="4249" spans="1:24">
      <c r="A4249">
        <f>HYPERLINK("https://www.philgeps.gov.ph/GEPSNONPILOT/Tender/SplashBidNoticeAbstractUI.aspx?menuIndex=3&amp;refID=7187652&amp;Result=3","7187652")</f>
        <v>0</v>
      </c>
      <c r="B4249" t="s">
        <v>1535</v>
      </c>
      <c r="C4249" t="s">
        <v>7597</v>
      </c>
      <c r="D4249" t="s">
        <v>17177</v>
      </c>
      <c r="E4249" t="s">
        <v>20952</v>
      </c>
      <c r="F4249" t="s">
        <v>29372</v>
      </c>
      <c r="G4249" t="s">
        <v>29379</v>
      </c>
      <c r="H4249" t="s">
        <v>11048</v>
      </c>
      <c r="I4249" t="s">
        <v>29395</v>
      </c>
      <c r="J4249" t="s">
        <v>29822</v>
      </c>
      <c r="K4249" t="s">
        <v>38487</v>
      </c>
      <c r="M4249" t="s">
        <v>40384</v>
      </c>
      <c r="N4249" t="s">
        <v>42669</v>
      </c>
      <c r="O4249" t="s">
        <v>42670</v>
      </c>
      <c r="P4249">
        <v>0</v>
      </c>
      <c r="Q4249">
        <v>3</v>
      </c>
      <c r="R4249" t="s">
        <v>42676</v>
      </c>
      <c r="S4249" t="s">
        <v>42809</v>
      </c>
      <c r="T4249" t="s">
        <v>44401</v>
      </c>
      <c r="U4249" t="s">
        <v>47813</v>
      </c>
      <c r="V4249" t="s">
        <v>56803</v>
      </c>
      <c r="W4249" t="s">
        <v>40384</v>
      </c>
      <c r="X4249" t="s">
        <v>42677</v>
      </c>
    </row>
    <row r="4250" spans="1:24">
      <c r="A4250">
        <f>HYPERLINK("https://www.philgeps.gov.ph/GEPSNONPILOT/Tender/SplashBidNoticeAbstractUI.aspx?menuIndex=3&amp;refID=7187651&amp;Result=3","7187651")</f>
        <v>0</v>
      </c>
      <c r="B4250" t="s">
        <v>138</v>
      </c>
      <c r="C4250" t="s">
        <v>7598</v>
      </c>
      <c r="D4250" t="s">
        <v>17141</v>
      </c>
      <c r="E4250" t="s">
        <v>20953</v>
      </c>
      <c r="F4250" t="s">
        <v>29372</v>
      </c>
      <c r="G4250" t="s">
        <v>29379</v>
      </c>
      <c r="H4250" t="s">
        <v>11048</v>
      </c>
      <c r="I4250" t="s">
        <v>3670</v>
      </c>
      <c r="J4250" t="s">
        <v>32363</v>
      </c>
      <c r="K4250" t="s">
        <v>38490</v>
      </c>
      <c r="M4250" t="s">
        <v>40365</v>
      </c>
      <c r="N4250" t="s">
        <v>42669</v>
      </c>
      <c r="O4250" t="s">
        <v>42670</v>
      </c>
      <c r="P4250">
        <v>0</v>
      </c>
      <c r="Q4250">
        <v>0</v>
      </c>
      <c r="R4250" t="s">
        <v>42676</v>
      </c>
      <c r="S4250" t="s">
        <v>42809</v>
      </c>
      <c r="T4250" t="s">
        <v>44387</v>
      </c>
      <c r="U4250" t="s">
        <v>48313</v>
      </c>
      <c r="W4250" t="s">
        <v>40365</v>
      </c>
      <c r="X4250" t="s">
        <v>42677</v>
      </c>
    </row>
    <row r="4251" spans="1:24">
      <c r="A4251">
        <f>HYPERLINK("https://www.philgeps.gov.ph/GEPSNONPILOT/Tender/SplashBidNoticeAbstractUI.aspx?menuIndex=3&amp;refID=7187648&amp;Result=3","7187648")</f>
        <v>0</v>
      </c>
      <c r="B4251" t="s">
        <v>1536</v>
      </c>
      <c r="C4251" t="s">
        <v>7599</v>
      </c>
      <c r="D4251" t="s">
        <v>17202</v>
      </c>
      <c r="E4251" t="s">
        <v>20954</v>
      </c>
      <c r="F4251" t="s">
        <v>29372</v>
      </c>
      <c r="G4251" t="s">
        <v>29380</v>
      </c>
      <c r="H4251" t="s">
        <v>11048</v>
      </c>
      <c r="I4251" t="s">
        <v>29410</v>
      </c>
      <c r="J4251" t="s">
        <v>30412</v>
      </c>
      <c r="K4251" t="s">
        <v>38491</v>
      </c>
      <c r="M4251" t="s">
        <v>40385</v>
      </c>
      <c r="N4251" t="s">
        <v>42669</v>
      </c>
      <c r="O4251" t="s">
        <v>42670</v>
      </c>
      <c r="P4251">
        <v>0</v>
      </c>
      <c r="Q4251">
        <v>2</v>
      </c>
      <c r="R4251" t="s">
        <v>42676</v>
      </c>
      <c r="S4251" t="s">
        <v>42809</v>
      </c>
      <c r="T4251" t="s">
        <v>44399</v>
      </c>
      <c r="U4251" t="s">
        <v>48314</v>
      </c>
      <c r="V4251" t="s">
        <v>56804</v>
      </c>
      <c r="W4251" t="s">
        <v>40385</v>
      </c>
      <c r="X4251" t="s">
        <v>42677</v>
      </c>
    </row>
    <row r="4252" spans="1:24">
      <c r="A4252">
        <f>HYPERLINK("https://www.philgeps.gov.ph/GEPSNONPILOT/Tender/SplashBidNoticeAbstractUI.aspx?menuIndex=3&amp;refID=7187676&amp;Result=3","7187676")</f>
        <v>0</v>
      </c>
      <c r="B4252" t="s">
        <v>1537</v>
      </c>
      <c r="C4252" t="s">
        <v>7600</v>
      </c>
      <c r="D4252" t="s">
        <v>17180</v>
      </c>
      <c r="E4252" t="s">
        <v>18519</v>
      </c>
      <c r="F4252" t="s">
        <v>29372</v>
      </c>
      <c r="G4252" t="s">
        <v>29380</v>
      </c>
      <c r="H4252" t="s">
        <v>11048</v>
      </c>
      <c r="I4252" t="s">
        <v>4709</v>
      </c>
      <c r="J4252" t="s">
        <v>32364</v>
      </c>
      <c r="K4252" t="s">
        <v>38510</v>
      </c>
      <c r="M4252" t="s">
        <v>40386</v>
      </c>
      <c r="N4252" t="s">
        <v>42669</v>
      </c>
      <c r="O4252" t="s">
        <v>42670</v>
      </c>
      <c r="P4252">
        <v>0</v>
      </c>
      <c r="Q4252">
        <v>1</v>
      </c>
      <c r="R4252" t="s">
        <v>42676</v>
      </c>
      <c r="S4252" t="s">
        <v>42809</v>
      </c>
      <c r="T4252" t="s">
        <v>44525</v>
      </c>
      <c r="U4252" t="s">
        <v>48315</v>
      </c>
      <c r="W4252" t="s">
        <v>40386</v>
      </c>
      <c r="X4252" t="s">
        <v>42677</v>
      </c>
    </row>
    <row r="4253" spans="1:24">
      <c r="A4253">
        <f>HYPERLINK("https://www.philgeps.gov.ph/GEPSNONPILOT/Tender/SplashBidNoticeAbstractUI.aspx?menuIndex=3&amp;refID=7187680&amp;Result=3","7187680")</f>
        <v>0</v>
      </c>
      <c r="B4253" t="s">
        <v>25</v>
      </c>
      <c r="C4253" t="s">
        <v>7601</v>
      </c>
      <c r="D4253" t="s">
        <v>17142</v>
      </c>
      <c r="E4253" t="s">
        <v>7601</v>
      </c>
      <c r="F4253" t="s">
        <v>29372</v>
      </c>
      <c r="G4253" t="s">
        <v>29379</v>
      </c>
      <c r="H4253" t="s">
        <v>11048</v>
      </c>
      <c r="I4253" t="s">
        <v>3629</v>
      </c>
      <c r="J4253" t="s">
        <v>32365</v>
      </c>
      <c r="K4253" t="s">
        <v>38485</v>
      </c>
      <c r="M4253" t="s">
        <v>38778</v>
      </c>
      <c r="N4253" t="s">
        <v>42669</v>
      </c>
      <c r="O4253" t="s">
        <v>42670</v>
      </c>
      <c r="P4253">
        <v>0</v>
      </c>
      <c r="Q4253">
        <v>0</v>
      </c>
      <c r="R4253" t="s">
        <v>42676</v>
      </c>
      <c r="S4253" t="s">
        <v>42809</v>
      </c>
      <c r="T4253" t="s">
        <v>44432</v>
      </c>
      <c r="U4253" t="s">
        <v>48316</v>
      </c>
      <c r="W4253" t="s">
        <v>38778</v>
      </c>
      <c r="X4253" t="s">
        <v>42677</v>
      </c>
    </row>
    <row r="4254" spans="1:24">
      <c r="A4254">
        <f>HYPERLINK("https://www.philgeps.gov.ph/GEPSNONPILOT/Tender/SplashBidNoticeAbstractUI.aspx?menuIndex=3&amp;refID=7187696&amp;Result=3","7187696")</f>
        <v>0</v>
      </c>
      <c r="B4254" t="s">
        <v>1462</v>
      </c>
      <c r="C4254" t="s">
        <v>7602</v>
      </c>
      <c r="D4254" t="s">
        <v>17199</v>
      </c>
      <c r="E4254" t="s">
        <v>20955</v>
      </c>
      <c r="F4254" t="s">
        <v>29372</v>
      </c>
      <c r="G4254" t="s">
        <v>29379</v>
      </c>
      <c r="H4254" t="s">
        <v>11048</v>
      </c>
      <c r="I4254" t="s">
        <v>8208</v>
      </c>
      <c r="J4254" t="s">
        <v>31145</v>
      </c>
      <c r="K4254" t="s">
        <v>38490</v>
      </c>
      <c r="M4254" t="s">
        <v>40305</v>
      </c>
      <c r="N4254" t="s">
        <v>42669</v>
      </c>
      <c r="O4254" t="s">
        <v>42670</v>
      </c>
      <c r="P4254">
        <v>0</v>
      </c>
      <c r="Q4254">
        <v>0</v>
      </c>
      <c r="R4254" t="s">
        <v>42676</v>
      </c>
      <c r="S4254" t="s">
        <v>42809</v>
      </c>
      <c r="T4254" t="s">
        <v>44648</v>
      </c>
      <c r="U4254" t="s">
        <v>48317</v>
      </c>
      <c r="V4254" t="s">
        <v>56764</v>
      </c>
      <c r="W4254" t="s">
        <v>40305</v>
      </c>
      <c r="X4254" t="s">
        <v>42677</v>
      </c>
    </row>
    <row r="4255" spans="1:24">
      <c r="A4255">
        <f>HYPERLINK("https://www.philgeps.gov.ph/GEPSNONPILOT/Tender/SplashBidNoticeAbstractUI.aspx?menuIndex=3&amp;refID=7187653&amp;Result=3","7187653")</f>
        <v>0</v>
      </c>
      <c r="B4255" t="s">
        <v>586</v>
      </c>
      <c r="C4255" t="s">
        <v>7603</v>
      </c>
      <c r="D4255" t="s">
        <v>17161</v>
      </c>
      <c r="E4255" t="s">
        <v>20956</v>
      </c>
      <c r="F4255" t="s">
        <v>29372</v>
      </c>
      <c r="G4255" t="s">
        <v>29383</v>
      </c>
      <c r="H4255" t="s">
        <v>11048</v>
      </c>
      <c r="I4255" t="s">
        <v>5383</v>
      </c>
      <c r="J4255" t="s">
        <v>29526</v>
      </c>
      <c r="K4255" t="s">
        <v>38490</v>
      </c>
      <c r="M4255" t="s">
        <v>39355</v>
      </c>
      <c r="N4255" t="s">
        <v>42669</v>
      </c>
      <c r="O4255" t="s">
        <v>42670</v>
      </c>
      <c r="P4255">
        <v>0</v>
      </c>
      <c r="Q4255">
        <v>0</v>
      </c>
      <c r="R4255" t="s">
        <v>42676</v>
      </c>
      <c r="S4255" t="s">
        <v>42809</v>
      </c>
      <c r="T4255" t="s">
        <v>44488</v>
      </c>
      <c r="U4255" t="s">
        <v>48318</v>
      </c>
      <c r="W4255" t="s">
        <v>39355</v>
      </c>
      <c r="X4255" t="s">
        <v>42677</v>
      </c>
    </row>
    <row r="4256" spans="1:24">
      <c r="A4256">
        <f>HYPERLINK("https://www.philgeps.gov.ph/GEPSNONPILOT/Tender/SplashBidNoticeAbstractUI.aspx?menuIndex=3&amp;refID=7187694&amp;Result=3","7187694")</f>
        <v>0</v>
      </c>
      <c r="B4256" t="s">
        <v>1538</v>
      </c>
      <c r="C4256" t="s">
        <v>7604</v>
      </c>
      <c r="D4256" t="s">
        <v>17196</v>
      </c>
      <c r="E4256" t="s">
        <v>20957</v>
      </c>
      <c r="F4256" t="s">
        <v>29372</v>
      </c>
      <c r="G4256" t="s">
        <v>29380</v>
      </c>
      <c r="H4256" t="s">
        <v>11048</v>
      </c>
      <c r="I4256" t="s">
        <v>29412</v>
      </c>
      <c r="J4256" t="s">
        <v>29609</v>
      </c>
      <c r="K4256" t="s">
        <v>38485</v>
      </c>
      <c r="M4256" t="s">
        <v>40387</v>
      </c>
      <c r="N4256" t="s">
        <v>42669</v>
      </c>
      <c r="O4256" t="s">
        <v>42670</v>
      </c>
      <c r="P4256">
        <v>0</v>
      </c>
      <c r="Q4256">
        <v>7</v>
      </c>
      <c r="R4256" t="s">
        <v>42676</v>
      </c>
      <c r="S4256" t="s">
        <v>42809</v>
      </c>
      <c r="T4256" t="s">
        <v>44658</v>
      </c>
      <c r="U4256" t="s">
        <v>48319</v>
      </c>
      <c r="W4256" t="s">
        <v>40387</v>
      </c>
      <c r="X4256" t="s">
        <v>42677</v>
      </c>
    </row>
    <row r="4257" spans="1:24">
      <c r="A4257">
        <f>HYPERLINK("https://www.philgeps.gov.ph/GEPSNONPILOT/Tender/SplashBidNoticeAbstractUI.aspx?menuIndex=3&amp;refID=7187687&amp;Result=3","7187687")</f>
        <v>0</v>
      </c>
      <c r="B4257" t="s">
        <v>1530</v>
      </c>
      <c r="C4257" t="s">
        <v>7605</v>
      </c>
      <c r="D4257" t="s">
        <v>17147</v>
      </c>
      <c r="E4257" t="s">
        <v>20958</v>
      </c>
      <c r="F4257" t="s">
        <v>29372</v>
      </c>
      <c r="G4257" t="s">
        <v>29380</v>
      </c>
      <c r="H4257" t="s">
        <v>29389</v>
      </c>
      <c r="I4257" t="s">
        <v>10408</v>
      </c>
      <c r="J4257" t="s">
        <v>32366</v>
      </c>
      <c r="K4257" t="s">
        <v>38522</v>
      </c>
      <c r="M4257" t="s">
        <v>40379</v>
      </c>
      <c r="N4257" t="s">
        <v>42669</v>
      </c>
      <c r="O4257" t="s">
        <v>42670</v>
      </c>
      <c r="P4257">
        <v>0</v>
      </c>
      <c r="Q4257">
        <v>0</v>
      </c>
      <c r="R4257" t="s">
        <v>42676</v>
      </c>
      <c r="S4257" t="s">
        <v>42809</v>
      </c>
      <c r="T4257" t="s">
        <v>44482</v>
      </c>
      <c r="U4257" t="s">
        <v>48320</v>
      </c>
      <c r="V4257" t="s">
        <v>56805</v>
      </c>
      <c r="W4257" t="s">
        <v>40379</v>
      </c>
      <c r="X4257" t="s">
        <v>42677</v>
      </c>
    </row>
    <row r="4258" spans="1:24">
      <c r="A4258">
        <f>HYPERLINK("https://www.philgeps.gov.ph/GEPSNONPILOT/Tender/SplashBidNoticeAbstractUI.aspx?menuIndex=3&amp;refID=7187705&amp;Result=3","7187705")</f>
        <v>0</v>
      </c>
      <c r="B4258" t="s">
        <v>1539</v>
      </c>
      <c r="C4258" t="s">
        <v>7606</v>
      </c>
      <c r="D4258" t="s">
        <v>17144</v>
      </c>
      <c r="E4258" t="s">
        <v>20959</v>
      </c>
      <c r="F4258" t="s">
        <v>29373</v>
      </c>
      <c r="G4258" t="s">
        <v>29379</v>
      </c>
      <c r="H4258" t="s">
        <v>29389</v>
      </c>
      <c r="I4258" t="s">
        <v>29395</v>
      </c>
      <c r="J4258" t="s">
        <v>32367</v>
      </c>
      <c r="K4258" t="s">
        <v>38485</v>
      </c>
      <c r="M4258" t="s">
        <v>40388</v>
      </c>
      <c r="N4258" t="s">
        <v>42669</v>
      </c>
      <c r="O4258" t="s">
        <v>42670</v>
      </c>
      <c r="P4258">
        <v>0</v>
      </c>
      <c r="Q4258">
        <v>1</v>
      </c>
      <c r="R4258" t="s">
        <v>42676</v>
      </c>
      <c r="S4258" t="s">
        <v>42809</v>
      </c>
      <c r="T4258" t="s">
        <v>44373</v>
      </c>
      <c r="U4258" t="s">
        <v>48321</v>
      </c>
      <c r="W4258" t="s">
        <v>58047</v>
      </c>
      <c r="X4258" t="s">
        <v>42677</v>
      </c>
    </row>
    <row r="4259" spans="1:24">
      <c r="A4259">
        <f>HYPERLINK("https://www.philgeps.gov.ph/GEPSNONPILOT/Tender/SplashBidNoticeAbstractUI.aspx?menuIndex=3&amp;refID=7187698&amp;Result=3","7187698")</f>
        <v>0</v>
      </c>
      <c r="B4259" t="s">
        <v>586</v>
      </c>
      <c r="C4259" t="s">
        <v>7607</v>
      </c>
      <c r="D4259" t="s">
        <v>17161</v>
      </c>
      <c r="E4259" t="s">
        <v>20960</v>
      </c>
      <c r="F4259" t="s">
        <v>29372</v>
      </c>
      <c r="G4259" t="s">
        <v>29379</v>
      </c>
      <c r="H4259" t="s">
        <v>11048</v>
      </c>
      <c r="I4259" t="s">
        <v>3629</v>
      </c>
      <c r="J4259" t="s">
        <v>32368</v>
      </c>
      <c r="K4259" t="s">
        <v>38490</v>
      </c>
      <c r="M4259" t="s">
        <v>39355</v>
      </c>
      <c r="N4259" t="s">
        <v>42669</v>
      </c>
      <c r="O4259" t="s">
        <v>42670</v>
      </c>
      <c r="P4259">
        <v>0</v>
      </c>
      <c r="Q4259">
        <v>0</v>
      </c>
      <c r="R4259" t="s">
        <v>42676</v>
      </c>
      <c r="S4259" t="s">
        <v>42809</v>
      </c>
      <c r="T4259" t="s">
        <v>44488</v>
      </c>
      <c r="U4259" t="s">
        <v>48322</v>
      </c>
      <c r="W4259" t="s">
        <v>39355</v>
      </c>
      <c r="X4259" t="s">
        <v>42677</v>
      </c>
    </row>
    <row r="4260" spans="1:24">
      <c r="A4260">
        <f>HYPERLINK("https://www.philgeps.gov.ph/GEPSNONPILOT/Tender/SplashBidNoticeAbstractUI.aspx?menuIndex=3&amp;refID=7187695&amp;Result=3","7187695")</f>
        <v>0</v>
      </c>
      <c r="B4260" t="s">
        <v>1540</v>
      </c>
      <c r="C4260" t="s">
        <v>7608</v>
      </c>
      <c r="D4260" t="s">
        <v>17154</v>
      </c>
      <c r="E4260" t="s">
        <v>20961</v>
      </c>
      <c r="F4260" t="s">
        <v>29372</v>
      </c>
      <c r="G4260" t="s">
        <v>29379</v>
      </c>
      <c r="H4260" t="s">
        <v>29391</v>
      </c>
      <c r="I4260" t="s">
        <v>29391</v>
      </c>
      <c r="J4260" t="s">
        <v>31317</v>
      </c>
      <c r="K4260" t="s">
        <v>38486</v>
      </c>
      <c r="M4260" t="s">
        <v>40389</v>
      </c>
      <c r="N4260" t="s">
        <v>42669</v>
      </c>
      <c r="O4260" t="s">
        <v>42670</v>
      </c>
      <c r="P4260">
        <v>0</v>
      </c>
      <c r="Q4260">
        <v>4</v>
      </c>
      <c r="R4260" t="s">
        <v>42676</v>
      </c>
      <c r="S4260" t="s">
        <v>42809</v>
      </c>
      <c r="T4260" t="s">
        <v>44659</v>
      </c>
      <c r="U4260" t="s">
        <v>48323</v>
      </c>
      <c r="W4260" t="s">
        <v>40389</v>
      </c>
      <c r="X4260" t="s">
        <v>42677</v>
      </c>
    </row>
    <row r="4261" spans="1:24">
      <c r="A4261">
        <f>HYPERLINK("https://www.philgeps.gov.ph/GEPSNONPILOT/Tender/SplashBidNoticeAbstractUI.aspx?menuIndex=3&amp;refID=7187683&amp;Result=3","7187683")</f>
        <v>0</v>
      </c>
      <c r="B4261" t="s">
        <v>375</v>
      </c>
      <c r="C4261" t="s">
        <v>7609</v>
      </c>
      <c r="D4261" t="s">
        <v>17141</v>
      </c>
      <c r="E4261" t="s">
        <v>20962</v>
      </c>
      <c r="F4261" t="s">
        <v>29372</v>
      </c>
      <c r="G4261" t="s">
        <v>29379</v>
      </c>
      <c r="H4261" t="s">
        <v>11048</v>
      </c>
      <c r="I4261" t="s">
        <v>29406</v>
      </c>
      <c r="J4261" t="s">
        <v>32369</v>
      </c>
      <c r="K4261" t="s">
        <v>38488</v>
      </c>
      <c r="M4261" t="s">
        <v>39136</v>
      </c>
      <c r="N4261" t="s">
        <v>42669</v>
      </c>
      <c r="O4261" t="s">
        <v>42670</v>
      </c>
      <c r="P4261">
        <v>0</v>
      </c>
      <c r="Q4261">
        <v>6</v>
      </c>
      <c r="R4261" t="s">
        <v>42676</v>
      </c>
      <c r="S4261" t="s">
        <v>42809</v>
      </c>
      <c r="T4261" t="s">
        <v>44401</v>
      </c>
      <c r="U4261" t="s">
        <v>48324</v>
      </c>
      <c r="W4261" t="s">
        <v>58011</v>
      </c>
      <c r="X4261" t="s">
        <v>42677</v>
      </c>
    </row>
    <row r="4262" spans="1:24">
      <c r="A4262">
        <f>HYPERLINK("https://www.philgeps.gov.ph/GEPSNONPILOT/Tender/SplashBidNoticeAbstractUI.aspx?menuIndex=3&amp;refID=7187692&amp;Result=3","7187692")</f>
        <v>0</v>
      </c>
      <c r="B4262" t="s">
        <v>1515</v>
      </c>
      <c r="C4262" t="s">
        <v>7610</v>
      </c>
      <c r="D4262" t="s">
        <v>17174</v>
      </c>
      <c r="E4262" t="s">
        <v>20963</v>
      </c>
      <c r="F4262" t="s">
        <v>29372</v>
      </c>
      <c r="G4262" t="s">
        <v>29379</v>
      </c>
      <c r="H4262" t="s">
        <v>11048</v>
      </c>
      <c r="I4262" t="s">
        <v>3839</v>
      </c>
      <c r="J4262" t="s">
        <v>32370</v>
      </c>
      <c r="K4262" t="s">
        <v>38488</v>
      </c>
      <c r="M4262" t="s">
        <v>40360</v>
      </c>
      <c r="N4262" t="s">
        <v>42669</v>
      </c>
      <c r="O4262" t="s">
        <v>42670</v>
      </c>
      <c r="P4262">
        <v>0</v>
      </c>
      <c r="Q4262">
        <v>2</v>
      </c>
      <c r="R4262" t="s">
        <v>42676</v>
      </c>
      <c r="S4262" t="s">
        <v>42809</v>
      </c>
      <c r="T4262" t="s">
        <v>44432</v>
      </c>
      <c r="U4262" t="s">
        <v>48325</v>
      </c>
      <c r="W4262" t="s">
        <v>40360</v>
      </c>
      <c r="X4262" t="s">
        <v>42677</v>
      </c>
    </row>
    <row r="4263" spans="1:24">
      <c r="A4263">
        <f>HYPERLINK("https://www.philgeps.gov.ph/GEPSNONPILOT/Tender/SplashBidNoticeAbstractUI.aspx?menuIndex=3&amp;refID=7187560&amp;Result=3","7187560")</f>
        <v>0</v>
      </c>
      <c r="B4263" t="s">
        <v>1541</v>
      </c>
      <c r="C4263" t="s">
        <v>7611</v>
      </c>
      <c r="D4263" t="s">
        <v>17189</v>
      </c>
      <c r="E4263" t="s">
        <v>17479</v>
      </c>
      <c r="F4263" t="s">
        <v>29372</v>
      </c>
      <c r="G4263" t="s">
        <v>29379</v>
      </c>
      <c r="H4263" t="s">
        <v>11048</v>
      </c>
      <c r="I4263" t="s">
        <v>4487</v>
      </c>
      <c r="J4263" t="s">
        <v>32371</v>
      </c>
      <c r="K4263" t="s">
        <v>38491</v>
      </c>
      <c r="M4263" t="s">
        <v>40390</v>
      </c>
      <c r="N4263" t="s">
        <v>42669</v>
      </c>
      <c r="O4263" t="s">
        <v>42670</v>
      </c>
      <c r="P4263">
        <v>0</v>
      </c>
      <c r="Q4263">
        <v>0</v>
      </c>
      <c r="R4263" t="s">
        <v>42676</v>
      </c>
      <c r="S4263" t="s">
        <v>42809</v>
      </c>
      <c r="T4263" t="s">
        <v>44660</v>
      </c>
      <c r="U4263" t="s">
        <v>48326</v>
      </c>
      <c r="W4263" t="s">
        <v>40390</v>
      </c>
      <c r="X4263" t="s">
        <v>42677</v>
      </c>
    </row>
    <row r="4264" spans="1:24">
      <c r="A4264">
        <f>HYPERLINK("https://www.philgeps.gov.ph/GEPSNONPILOT/Tender/SplashBidNoticeAbstractUI.aspx?menuIndex=3&amp;refID=7187720&amp;Result=3","7187720")</f>
        <v>0</v>
      </c>
      <c r="B4264" t="s">
        <v>1542</v>
      </c>
      <c r="C4264" t="s">
        <v>7612</v>
      </c>
      <c r="D4264" t="s">
        <v>17153</v>
      </c>
      <c r="E4264" t="s">
        <v>20964</v>
      </c>
      <c r="F4264" t="s">
        <v>29372</v>
      </c>
      <c r="G4264" t="s">
        <v>29380</v>
      </c>
      <c r="H4264" t="s">
        <v>11048</v>
      </c>
      <c r="I4264" t="s">
        <v>29398</v>
      </c>
      <c r="J4264" t="s">
        <v>32372</v>
      </c>
      <c r="K4264" t="s">
        <v>38496</v>
      </c>
      <c r="M4264" t="s">
        <v>40391</v>
      </c>
      <c r="N4264" t="s">
        <v>42669</v>
      </c>
      <c r="O4264" t="s">
        <v>42670</v>
      </c>
      <c r="P4264">
        <v>0</v>
      </c>
      <c r="Q4264">
        <v>2</v>
      </c>
      <c r="R4264" t="s">
        <v>42676</v>
      </c>
      <c r="S4264" t="s">
        <v>42809</v>
      </c>
      <c r="T4264" t="s">
        <v>44418</v>
      </c>
      <c r="U4264" t="s">
        <v>48327</v>
      </c>
      <c r="W4264" t="s">
        <v>40391</v>
      </c>
      <c r="X4264" t="s">
        <v>42677</v>
      </c>
    </row>
    <row r="4265" spans="1:24">
      <c r="A4265">
        <f>HYPERLINK("https://www.philgeps.gov.ph/GEPSNONPILOT/Tender/SplashBidNoticeAbstractUI.aspx?menuIndex=3&amp;refID=7187717&amp;Result=3","7187717")</f>
        <v>0</v>
      </c>
      <c r="B4265" t="s">
        <v>1543</v>
      </c>
      <c r="C4265" t="s">
        <v>7613</v>
      </c>
      <c r="E4265" t="s">
        <v>20965</v>
      </c>
      <c r="F4265" t="s">
        <v>29372</v>
      </c>
      <c r="G4265" t="s">
        <v>29380</v>
      </c>
      <c r="H4265" t="s">
        <v>11048</v>
      </c>
      <c r="I4265" t="s">
        <v>3839</v>
      </c>
      <c r="J4265" t="s">
        <v>32373</v>
      </c>
      <c r="K4265" t="s">
        <v>38490</v>
      </c>
      <c r="M4265" t="s">
        <v>40392</v>
      </c>
      <c r="N4265" t="s">
        <v>42669</v>
      </c>
      <c r="O4265" t="s">
        <v>42670</v>
      </c>
      <c r="P4265">
        <v>0</v>
      </c>
      <c r="Q4265">
        <v>16</v>
      </c>
      <c r="R4265" t="s">
        <v>42676</v>
      </c>
      <c r="S4265" t="s">
        <v>42809</v>
      </c>
      <c r="T4265" t="s">
        <v>44439</v>
      </c>
      <c r="U4265" t="s">
        <v>48328</v>
      </c>
      <c r="W4265" t="s">
        <v>40392</v>
      </c>
      <c r="X4265" t="s">
        <v>42677</v>
      </c>
    </row>
    <row r="4266" spans="1:24">
      <c r="A4266">
        <f>HYPERLINK("https://www.philgeps.gov.ph/GEPSNONPILOT/Tender/SplashBidNoticeAbstractUI.aspx?menuIndex=3&amp;refID=7187716&amp;Result=3","7187716")</f>
        <v>0</v>
      </c>
      <c r="B4266" t="s">
        <v>129</v>
      </c>
      <c r="C4266" t="s">
        <v>7614</v>
      </c>
      <c r="E4266" t="s">
        <v>20966</v>
      </c>
      <c r="F4266" t="s">
        <v>29372</v>
      </c>
      <c r="G4266" t="s">
        <v>29383</v>
      </c>
      <c r="H4266" t="s">
        <v>11048</v>
      </c>
      <c r="I4266" t="s">
        <v>29407</v>
      </c>
      <c r="J4266" t="s">
        <v>29752</v>
      </c>
      <c r="K4266" t="s">
        <v>38490</v>
      </c>
      <c r="M4266" t="s">
        <v>38884</v>
      </c>
      <c r="N4266" t="s">
        <v>42669</v>
      </c>
      <c r="O4266" t="s">
        <v>42670</v>
      </c>
      <c r="P4266">
        <v>0</v>
      </c>
      <c r="Q4266">
        <v>4</v>
      </c>
      <c r="R4266" t="s">
        <v>42676</v>
      </c>
      <c r="S4266" t="s">
        <v>42809</v>
      </c>
      <c r="T4266" t="s">
        <v>44417</v>
      </c>
      <c r="U4266" t="s">
        <v>48329</v>
      </c>
      <c r="W4266" t="s">
        <v>38884</v>
      </c>
      <c r="X4266" t="s">
        <v>42677</v>
      </c>
    </row>
    <row r="4267" spans="1:24">
      <c r="A4267">
        <f>HYPERLINK("https://www.philgeps.gov.ph/GEPSNONPILOT/Tender/SplashBidNoticeAbstractUI.aspx?menuIndex=3&amp;refID=7187718&amp;Result=3","7187718")</f>
        <v>0</v>
      </c>
      <c r="B4267" t="s">
        <v>25</v>
      </c>
      <c r="C4267" t="s">
        <v>7615</v>
      </c>
      <c r="D4267" t="s">
        <v>17142</v>
      </c>
      <c r="E4267" t="s">
        <v>7615</v>
      </c>
      <c r="F4267" t="s">
        <v>29372</v>
      </c>
      <c r="G4267" t="s">
        <v>29383</v>
      </c>
      <c r="H4267" t="s">
        <v>11048</v>
      </c>
      <c r="I4267" t="s">
        <v>14920</v>
      </c>
      <c r="J4267" t="s">
        <v>32374</v>
      </c>
      <c r="K4267" t="s">
        <v>38485</v>
      </c>
      <c r="M4267" t="s">
        <v>38778</v>
      </c>
      <c r="N4267" t="s">
        <v>42669</v>
      </c>
      <c r="O4267" t="s">
        <v>42670</v>
      </c>
      <c r="P4267">
        <v>0</v>
      </c>
      <c r="Q4267">
        <v>0</v>
      </c>
      <c r="R4267" t="s">
        <v>42676</v>
      </c>
      <c r="S4267" t="s">
        <v>42809</v>
      </c>
      <c r="T4267" t="s">
        <v>44387</v>
      </c>
      <c r="U4267" t="s">
        <v>48330</v>
      </c>
      <c r="W4267" t="s">
        <v>38778</v>
      </c>
      <c r="X4267" t="s">
        <v>42677</v>
      </c>
    </row>
    <row r="4268" spans="1:24">
      <c r="A4268">
        <f>HYPERLINK("https://www.philgeps.gov.ph/GEPSNONPILOT/Tender/SplashBidNoticeAbstractUI.aspx?menuIndex=3&amp;refID=7187713&amp;Result=3","7187713")</f>
        <v>0</v>
      </c>
      <c r="B4268" t="s">
        <v>544</v>
      </c>
      <c r="C4268" t="s">
        <v>7616</v>
      </c>
      <c r="D4268" t="s">
        <v>17153</v>
      </c>
      <c r="E4268" t="s">
        <v>20967</v>
      </c>
      <c r="F4268" t="s">
        <v>29372</v>
      </c>
      <c r="G4268" t="s">
        <v>29379</v>
      </c>
      <c r="H4268" t="s">
        <v>11048</v>
      </c>
      <c r="I4268" t="s">
        <v>29403</v>
      </c>
      <c r="J4268" t="s">
        <v>32375</v>
      </c>
      <c r="K4268" t="s">
        <v>38490</v>
      </c>
      <c r="M4268" t="s">
        <v>39312</v>
      </c>
      <c r="N4268" t="s">
        <v>42669</v>
      </c>
      <c r="O4268" t="s">
        <v>42670</v>
      </c>
      <c r="P4268">
        <v>0</v>
      </c>
      <c r="Q4268">
        <v>0</v>
      </c>
      <c r="R4268" t="s">
        <v>42676</v>
      </c>
      <c r="S4268" t="s">
        <v>42809</v>
      </c>
      <c r="T4268" t="s">
        <v>44493</v>
      </c>
      <c r="U4268" t="s">
        <v>48331</v>
      </c>
      <c r="W4268" t="s">
        <v>39312</v>
      </c>
      <c r="X4268" t="s">
        <v>42677</v>
      </c>
    </row>
    <row r="4269" spans="1:24">
      <c r="A4269">
        <f>HYPERLINK("https://www.philgeps.gov.ph/GEPSNONPILOT/Tender/SplashBidNoticeAbstractUI.aspx?menuIndex=3&amp;refID=7187731&amp;Result=3","7187731")</f>
        <v>0</v>
      </c>
      <c r="B4269" t="s">
        <v>1544</v>
      </c>
      <c r="C4269" t="s">
        <v>7617</v>
      </c>
      <c r="D4269" t="s">
        <v>17141</v>
      </c>
      <c r="E4269" t="s">
        <v>20968</v>
      </c>
      <c r="F4269" t="s">
        <v>29372</v>
      </c>
      <c r="G4269" t="s">
        <v>29379</v>
      </c>
      <c r="H4269" t="s">
        <v>11048</v>
      </c>
      <c r="I4269" t="s">
        <v>3629</v>
      </c>
      <c r="J4269" t="s">
        <v>29692</v>
      </c>
      <c r="K4269" t="s">
        <v>38488</v>
      </c>
      <c r="M4269" t="s">
        <v>40393</v>
      </c>
      <c r="N4269" t="s">
        <v>42669</v>
      </c>
      <c r="O4269" t="s">
        <v>42670</v>
      </c>
      <c r="P4269">
        <v>0</v>
      </c>
      <c r="Q4269">
        <v>1</v>
      </c>
      <c r="R4269" t="s">
        <v>42676</v>
      </c>
      <c r="S4269" t="s">
        <v>42809</v>
      </c>
      <c r="T4269" t="s">
        <v>44456</v>
      </c>
      <c r="U4269" t="s">
        <v>48332</v>
      </c>
      <c r="W4269" t="s">
        <v>40393</v>
      </c>
      <c r="X4269" t="s">
        <v>42677</v>
      </c>
    </row>
    <row r="4270" spans="1:24">
      <c r="A4270">
        <f>HYPERLINK("https://www.philgeps.gov.ph/GEPSNONPILOT/Tender/SplashBidNoticeAbstractUI.aspx?menuIndex=3&amp;refID=7187728&amp;Result=3","7187728")</f>
        <v>0</v>
      </c>
      <c r="B4270" t="s">
        <v>338</v>
      </c>
      <c r="C4270" t="s">
        <v>7618</v>
      </c>
      <c r="D4270" t="s">
        <v>17141</v>
      </c>
      <c r="E4270" t="s">
        <v>20969</v>
      </c>
      <c r="F4270" t="s">
        <v>29372</v>
      </c>
      <c r="G4270" t="s">
        <v>29379</v>
      </c>
      <c r="H4270" t="s">
        <v>11048</v>
      </c>
      <c r="I4270" t="s">
        <v>29409</v>
      </c>
      <c r="J4270" t="s">
        <v>29555</v>
      </c>
      <c r="K4270" t="s">
        <v>38485</v>
      </c>
      <c r="M4270" t="s">
        <v>40394</v>
      </c>
      <c r="N4270" t="s">
        <v>42669</v>
      </c>
      <c r="O4270" t="s">
        <v>42670</v>
      </c>
      <c r="P4270">
        <v>0</v>
      </c>
      <c r="Q4270">
        <v>17</v>
      </c>
      <c r="R4270" t="s">
        <v>42676</v>
      </c>
      <c r="S4270" t="s">
        <v>42809</v>
      </c>
      <c r="T4270" t="s">
        <v>44432</v>
      </c>
      <c r="U4270" t="s">
        <v>48333</v>
      </c>
      <c r="W4270" t="s">
        <v>40394</v>
      </c>
      <c r="X4270" t="s">
        <v>42677</v>
      </c>
    </row>
    <row r="4271" spans="1:24">
      <c r="A4271">
        <f>HYPERLINK("https://www.philgeps.gov.ph/GEPSNONPILOT/Tender/SplashBidNoticeAbstractUI.aspx?menuIndex=3&amp;refID=7187767&amp;Result=3","7187767")</f>
        <v>0</v>
      </c>
      <c r="B4271" t="s">
        <v>1545</v>
      </c>
      <c r="C4271" t="s">
        <v>7619</v>
      </c>
      <c r="D4271" t="s">
        <v>17153</v>
      </c>
      <c r="E4271" t="s">
        <v>20970</v>
      </c>
      <c r="F4271" t="s">
        <v>29373</v>
      </c>
      <c r="G4271" t="s">
        <v>29381</v>
      </c>
      <c r="H4271" t="s">
        <v>11048</v>
      </c>
      <c r="I4271" t="s">
        <v>9642</v>
      </c>
      <c r="J4271" t="s">
        <v>32376</v>
      </c>
      <c r="K4271" t="s">
        <v>38490</v>
      </c>
      <c r="M4271" t="s">
        <v>40395</v>
      </c>
      <c r="N4271" t="s">
        <v>42669</v>
      </c>
      <c r="O4271" t="s">
        <v>42670</v>
      </c>
      <c r="P4271">
        <v>0</v>
      </c>
      <c r="Q4271">
        <v>4</v>
      </c>
      <c r="R4271" t="s">
        <v>42676</v>
      </c>
      <c r="S4271" t="s">
        <v>42809</v>
      </c>
      <c r="T4271" t="s">
        <v>44394</v>
      </c>
      <c r="U4271" t="s">
        <v>48334</v>
      </c>
      <c r="W4271" t="s">
        <v>40395</v>
      </c>
      <c r="X4271" t="s">
        <v>42677</v>
      </c>
    </row>
    <row r="4272" spans="1:24">
      <c r="A4272">
        <f>HYPERLINK("https://www.philgeps.gov.ph/GEPSNONPILOT/Tender/SplashBidNoticeAbstractUI.aspx?menuIndex=3&amp;refID=7187719&amp;Result=3","7187719")</f>
        <v>0</v>
      </c>
      <c r="B4272" t="s">
        <v>375</v>
      </c>
      <c r="C4272" t="s">
        <v>7620</v>
      </c>
      <c r="D4272" t="s">
        <v>17141</v>
      </c>
      <c r="E4272" t="s">
        <v>20971</v>
      </c>
      <c r="F4272" t="s">
        <v>29372</v>
      </c>
      <c r="G4272" t="s">
        <v>29379</v>
      </c>
      <c r="H4272" t="s">
        <v>11048</v>
      </c>
      <c r="I4272" t="s">
        <v>3629</v>
      </c>
      <c r="J4272" t="s">
        <v>32377</v>
      </c>
      <c r="K4272" t="s">
        <v>38488</v>
      </c>
      <c r="M4272" t="s">
        <v>39136</v>
      </c>
      <c r="N4272" t="s">
        <v>42669</v>
      </c>
      <c r="O4272" t="s">
        <v>42670</v>
      </c>
      <c r="P4272">
        <v>0</v>
      </c>
      <c r="Q4272">
        <v>0</v>
      </c>
      <c r="R4272" t="s">
        <v>42676</v>
      </c>
      <c r="S4272" t="s">
        <v>42809</v>
      </c>
      <c r="T4272" t="s">
        <v>44401</v>
      </c>
      <c r="U4272" t="s">
        <v>48335</v>
      </c>
      <c r="W4272" t="s">
        <v>58011</v>
      </c>
      <c r="X4272" t="s">
        <v>42677</v>
      </c>
    </row>
    <row r="4273" spans="1:24">
      <c r="A4273">
        <f>HYPERLINK("https://www.philgeps.gov.ph/GEPSNONPILOT/Tender/SplashBidNoticeAbstractUI.aspx?menuIndex=3&amp;refID=7187708&amp;Result=3","7187708")</f>
        <v>0</v>
      </c>
      <c r="B4273" t="s">
        <v>1470</v>
      </c>
      <c r="C4273" t="s">
        <v>7621</v>
      </c>
      <c r="D4273" t="s">
        <v>17153</v>
      </c>
      <c r="E4273" t="s">
        <v>20972</v>
      </c>
      <c r="F4273" t="s">
        <v>29372</v>
      </c>
      <c r="G4273" t="s">
        <v>29380</v>
      </c>
      <c r="H4273" t="s">
        <v>11048</v>
      </c>
      <c r="I4273" t="s">
        <v>4709</v>
      </c>
      <c r="J4273" t="s">
        <v>29680</v>
      </c>
      <c r="K4273" t="s">
        <v>38485</v>
      </c>
      <c r="M4273" t="s">
        <v>40313</v>
      </c>
      <c r="N4273" t="s">
        <v>42669</v>
      </c>
      <c r="O4273" t="s">
        <v>42670</v>
      </c>
      <c r="P4273">
        <v>0</v>
      </c>
      <c r="Q4273">
        <v>0</v>
      </c>
      <c r="R4273" t="s">
        <v>42676</v>
      </c>
      <c r="S4273" t="s">
        <v>42809</v>
      </c>
      <c r="T4273" t="s">
        <v>44443</v>
      </c>
      <c r="U4273" t="s">
        <v>48146</v>
      </c>
      <c r="V4273" t="s">
        <v>56769</v>
      </c>
      <c r="W4273" t="s">
        <v>40313</v>
      </c>
      <c r="X4273" t="s">
        <v>42677</v>
      </c>
    </row>
    <row r="4274" spans="1:24">
      <c r="A4274">
        <f>HYPERLINK("https://www.philgeps.gov.ph/GEPSNONPILOT/Tender/SplashBidNoticeAbstractUI.aspx?menuIndex=3&amp;refID=7187686&amp;Result=3","7187686")</f>
        <v>0</v>
      </c>
      <c r="B4274" t="s">
        <v>1383</v>
      </c>
      <c r="C4274" t="s">
        <v>7622</v>
      </c>
      <c r="D4274" t="s">
        <v>17169</v>
      </c>
      <c r="E4274" t="s">
        <v>20592</v>
      </c>
      <c r="F4274" t="s">
        <v>29372</v>
      </c>
      <c r="G4274" t="s">
        <v>29380</v>
      </c>
      <c r="H4274" t="s">
        <v>29389</v>
      </c>
      <c r="I4274" t="s">
        <v>10408</v>
      </c>
      <c r="J4274" t="s">
        <v>32106</v>
      </c>
      <c r="K4274" t="s">
        <v>38487</v>
      </c>
      <c r="M4274" t="s">
        <v>40220</v>
      </c>
      <c r="N4274" t="s">
        <v>42669</v>
      </c>
      <c r="O4274" t="s">
        <v>42670</v>
      </c>
      <c r="P4274">
        <v>0</v>
      </c>
      <c r="Q4274">
        <v>1</v>
      </c>
      <c r="R4274" t="s">
        <v>42676</v>
      </c>
      <c r="S4274" t="s">
        <v>42809</v>
      </c>
      <c r="T4274" t="s">
        <v>44587</v>
      </c>
      <c r="U4274" t="s">
        <v>47960</v>
      </c>
      <c r="V4274" t="s">
        <v>56806</v>
      </c>
      <c r="W4274" t="s">
        <v>40220</v>
      </c>
      <c r="X4274" t="s">
        <v>42677</v>
      </c>
    </row>
    <row r="4275" spans="1:24">
      <c r="A4275">
        <f>HYPERLINK("https://www.philgeps.gov.ph/GEPSNONPILOT/Tender/SplashBidNoticeAbstractUI.aspx?menuIndex=3&amp;refID=7187765&amp;Result=3","7187765")</f>
        <v>0</v>
      </c>
      <c r="B4275" t="s">
        <v>1546</v>
      </c>
      <c r="C4275" t="s">
        <v>7623</v>
      </c>
      <c r="D4275" t="s">
        <v>17187</v>
      </c>
      <c r="E4275" t="s">
        <v>20973</v>
      </c>
      <c r="F4275" t="s">
        <v>29372</v>
      </c>
      <c r="G4275" t="s">
        <v>29379</v>
      </c>
      <c r="H4275" t="s">
        <v>11048</v>
      </c>
      <c r="I4275" t="s">
        <v>29398</v>
      </c>
      <c r="J4275" t="s">
        <v>32378</v>
      </c>
      <c r="K4275" t="s">
        <v>38489</v>
      </c>
      <c r="M4275" t="s">
        <v>40396</v>
      </c>
      <c r="N4275" t="s">
        <v>42669</v>
      </c>
      <c r="O4275" t="s">
        <v>42670</v>
      </c>
      <c r="P4275">
        <v>0</v>
      </c>
      <c r="Q4275">
        <v>1</v>
      </c>
      <c r="R4275" t="s">
        <v>42676</v>
      </c>
      <c r="S4275" t="s">
        <v>42809</v>
      </c>
      <c r="T4275" t="s">
        <v>44560</v>
      </c>
      <c r="U4275" t="s">
        <v>48336</v>
      </c>
      <c r="W4275" t="s">
        <v>40396</v>
      </c>
      <c r="X4275" t="s">
        <v>42677</v>
      </c>
    </row>
    <row r="4276" spans="1:24">
      <c r="A4276">
        <f>HYPERLINK("https://www.philgeps.gov.ph/GEPSNONPILOT/Tender/SplashBidNoticeAbstractUI.aspx?menuIndex=3&amp;refID=7187732&amp;Result=3","7187732")</f>
        <v>0</v>
      </c>
      <c r="B4276" t="s">
        <v>1547</v>
      </c>
      <c r="C4276" t="s">
        <v>7624</v>
      </c>
      <c r="D4276" t="s">
        <v>17164</v>
      </c>
      <c r="E4276" t="s">
        <v>20974</v>
      </c>
      <c r="F4276" t="s">
        <v>29372</v>
      </c>
      <c r="G4276" t="s">
        <v>29380</v>
      </c>
      <c r="H4276" t="s">
        <v>11048</v>
      </c>
      <c r="I4276" t="s">
        <v>4709</v>
      </c>
      <c r="J4276" t="s">
        <v>32379</v>
      </c>
      <c r="K4276" t="s">
        <v>38485</v>
      </c>
      <c r="M4276" t="s">
        <v>40397</v>
      </c>
      <c r="N4276" t="s">
        <v>42669</v>
      </c>
      <c r="O4276" t="s">
        <v>42670</v>
      </c>
      <c r="P4276">
        <v>0</v>
      </c>
      <c r="Q4276">
        <v>0</v>
      </c>
      <c r="R4276" t="s">
        <v>42676</v>
      </c>
      <c r="S4276" t="s">
        <v>42809</v>
      </c>
      <c r="T4276" t="s">
        <v>44476</v>
      </c>
      <c r="U4276" t="s">
        <v>48337</v>
      </c>
      <c r="V4276" t="s">
        <v>56807</v>
      </c>
      <c r="W4276" t="s">
        <v>40397</v>
      </c>
      <c r="X4276" t="s">
        <v>42677</v>
      </c>
    </row>
    <row r="4277" spans="1:24">
      <c r="A4277">
        <f>HYPERLINK("https://www.philgeps.gov.ph/GEPSNONPILOT/Tender/SplashBidNoticeAbstractUI.aspx?menuIndex=3&amp;refID=7187760&amp;Result=3","7187760")</f>
        <v>0</v>
      </c>
      <c r="B4277" t="s">
        <v>1470</v>
      </c>
      <c r="C4277" t="s">
        <v>7625</v>
      </c>
      <c r="D4277" t="s">
        <v>17153</v>
      </c>
      <c r="E4277" t="s">
        <v>20975</v>
      </c>
      <c r="F4277" t="s">
        <v>29372</v>
      </c>
      <c r="G4277" t="s">
        <v>29380</v>
      </c>
      <c r="H4277" t="s">
        <v>11048</v>
      </c>
      <c r="I4277" t="s">
        <v>3629</v>
      </c>
      <c r="J4277" t="s">
        <v>32380</v>
      </c>
      <c r="K4277" t="s">
        <v>38485</v>
      </c>
      <c r="M4277" t="s">
        <v>40313</v>
      </c>
      <c r="N4277" t="s">
        <v>42669</v>
      </c>
      <c r="O4277" t="s">
        <v>42670</v>
      </c>
      <c r="P4277">
        <v>0</v>
      </c>
      <c r="Q4277">
        <v>0</v>
      </c>
      <c r="R4277" t="s">
        <v>42676</v>
      </c>
      <c r="S4277" t="s">
        <v>42809</v>
      </c>
      <c r="T4277" t="s">
        <v>44661</v>
      </c>
      <c r="U4277" t="s">
        <v>48146</v>
      </c>
      <c r="V4277" t="s">
        <v>56769</v>
      </c>
      <c r="W4277" t="s">
        <v>40313</v>
      </c>
      <c r="X4277" t="s">
        <v>42677</v>
      </c>
    </row>
    <row r="4278" spans="1:24">
      <c r="A4278">
        <f>HYPERLINK("https://www.philgeps.gov.ph/GEPSNONPILOT/Tender/SplashBidNoticeAbstractUI.aspx?menuIndex=3&amp;refID=7187726&amp;Result=3","7187726")</f>
        <v>0</v>
      </c>
      <c r="B4278" t="s">
        <v>1465</v>
      </c>
      <c r="C4278" t="s">
        <v>7626</v>
      </c>
      <c r="D4278" t="s">
        <v>17205</v>
      </c>
      <c r="E4278" t="s">
        <v>20976</v>
      </c>
      <c r="F4278" t="s">
        <v>29372</v>
      </c>
      <c r="G4278" t="s">
        <v>29380</v>
      </c>
      <c r="H4278" t="s">
        <v>11048</v>
      </c>
      <c r="I4278" t="s">
        <v>29395</v>
      </c>
      <c r="J4278" t="s">
        <v>32381</v>
      </c>
      <c r="K4278" t="s">
        <v>38485</v>
      </c>
      <c r="M4278" t="s">
        <v>40308</v>
      </c>
      <c r="N4278" t="s">
        <v>42669</v>
      </c>
      <c r="O4278" t="s">
        <v>42670</v>
      </c>
      <c r="P4278">
        <v>0</v>
      </c>
      <c r="Q4278">
        <v>2</v>
      </c>
      <c r="R4278" t="s">
        <v>42676</v>
      </c>
      <c r="S4278" t="s">
        <v>42809</v>
      </c>
      <c r="T4278" t="s">
        <v>44650</v>
      </c>
      <c r="U4278" t="s">
        <v>48338</v>
      </c>
      <c r="W4278" t="s">
        <v>40308</v>
      </c>
      <c r="X4278" t="s">
        <v>42677</v>
      </c>
    </row>
    <row r="4279" spans="1:24">
      <c r="A4279">
        <f>HYPERLINK("https://www.philgeps.gov.ph/GEPSNONPILOT/Tender/SplashBidNoticeAbstractUI.aspx?menuIndex=3&amp;refID=7187768&amp;Result=3","7187768")</f>
        <v>0</v>
      </c>
      <c r="B4279" t="s">
        <v>1548</v>
      </c>
      <c r="C4279" t="s">
        <v>7627</v>
      </c>
      <c r="D4279" t="s">
        <v>17206</v>
      </c>
      <c r="E4279" t="s">
        <v>7627</v>
      </c>
      <c r="F4279" t="s">
        <v>29372</v>
      </c>
      <c r="G4279" t="s">
        <v>29382</v>
      </c>
      <c r="H4279" t="s">
        <v>11048</v>
      </c>
      <c r="I4279" t="s">
        <v>3670</v>
      </c>
      <c r="J4279" t="s">
        <v>31666</v>
      </c>
      <c r="K4279" t="s">
        <v>38490</v>
      </c>
      <c r="M4279" t="s">
        <v>40398</v>
      </c>
      <c r="N4279" t="s">
        <v>42669</v>
      </c>
      <c r="O4279" t="s">
        <v>42670</v>
      </c>
      <c r="P4279">
        <v>0</v>
      </c>
      <c r="Q4279">
        <v>0</v>
      </c>
      <c r="R4279" t="s">
        <v>42676</v>
      </c>
      <c r="S4279" t="s">
        <v>42809</v>
      </c>
      <c r="T4279" t="s">
        <v>44488</v>
      </c>
      <c r="U4279" t="s">
        <v>48339</v>
      </c>
      <c r="W4279" t="s">
        <v>40398</v>
      </c>
      <c r="X4279" t="s">
        <v>42677</v>
      </c>
    </row>
    <row r="4280" spans="1:24">
      <c r="A4280">
        <f>HYPERLINK("https://www.philgeps.gov.ph/GEPSNONPILOT/Tender/SplashBidNoticeAbstractUI.aspx?menuIndex=3&amp;refID=7187762&amp;Result=3","7187762")</f>
        <v>0</v>
      </c>
      <c r="B4280" t="s">
        <v>1493</v>
      </c>
      <c r="C4280" t="s">
        <v>7628</v>
      </c>
      <c r="D4280" t="s">
        <v>17183</v>
      </c>
      <c r="E4280" t="s">
        <v>20977</v>
      </c>
      <c r="F4280" t="s">
        <v>29372</v>
      </c>
      <c r="G4280" t="s">
        <v>29379</v>
      </c>
      <c r="H4280" t="s">
        <v>11048</v>
      </c>
      <c r="I4280" t="s">
        <v>29464</v>
      </c>
      <c r="J4280" t="s">
        <v>32382</v>
      </c>
      <c r="K4280" t="s">
        <v>38488</v>
      </c>
      <c r="M4280" t="s">
        <v>40336</v>
      </c>
      <c r="N4280" t="s">
        <v>42669</v>
      </c>
      <c r="O4280" t="s">
        <v>42670</v>
      </c>
      <c r="P4280">
        <v>0</v>
      </c>
      <c r="Q4280">
        <v>5</v>
      </c>
      <c r="R4280" t="s">
        <v>42676</v>
      </c>
      <c r="S4280" t="s">
        <v>42809</v>
      </c>
      <c r="T4280" t="s">
        <v>44401</v>
      </c>
      <c r="U4280" t="s">
        <v>48203</v>
      </c>
      <c r="W4280" t="s">
        <v>40336</v>
      </c>
      <c r="X4280" t="s">
        <v>42677</v>
      </c>
    </row>
    <row r="4281" spans="1:24">
      <c r="A4281">
        <f>HYPERLINK("https://www.philgeps.gov.ph/GEPSNONPILOT/Tender/SplashBidNoticeAbstractUI.aspx?menuIndex=3&amp;refID=7187775&amp;Result=3","7187775")</f>
        <v>0</v>
      </c>
      <c r="B4281" t="s">
        <v>1549</v>
      </c>
      <c r="C4281" t="s">
        <v>7629</v>
      </c>
      <c r="E4281" t="s">
        <v>20978</v>
      </c>
      <c r="F4281" t="s">
        <v>29372</v>
      </c>
      <c r="G4281" t="s">
        <v>29380</v>
      </c>
      <c r="H4281" t="s">
        <v>11048</v>
      </c>
      <c r="I4281" t="s">
        <v>4709</v>
      </c>
      <c r="J4281" t="s">
        <v>32383</v>
      </c>
      <c r="K4281" t="s">
        <v>38485</v>
      </c>
      <c r="M4281" t="s">
        <v>40399</v>
      </c>
      <c r="N4281" t="s">
        <v>42669</v>
      </c>
      <c r="O4281" t="s">
        <v>42670</v>
      </c>
      <c r="P4281">
        <v>0</v>
      </c>
      <c r="Q4281">
        <v>1</v>
      </c>
      <c r="R4281" t="s">
        <v>42676</v>
      </c>
      <c r="S4281" t="s">
        <v>42809</v>
      </c>
      <c r="T4281" t="s">
        <v>44450</v>
      </c>
      <c r="U4281" t="s">
        <v>46442</v>
      </c>
      <c r="W4281" t="s">
        <v>40399</v>
      </c>
      <c r="X4281" t="s">
        <v>42677</v>
      </c>
    </row>
    <row r="4282" spans="1:24">
      <c r="A4282">
        <f>HYPERLINK("https://www.philgeps.gov.ph/GEPSNONPILOT/Tender/SplashBidNoticeAbstractUI.aspx?menuIndex=3&amp;refID=7187754&amp;Result=3","7187754")</f>
        <v>0</v>
      </c>
      <c r="B4282" t="s">
        <v>1550</v>
      </c>
      <c r="C4282" t="s">
        <v>3524</v>
      </c>
      <c r="D4282" t="s">
        <v>17212</v>
      </c>
      <c r="E4282" t="s">
        <v>20979</v>
      </c>
      <c r="F4282" t="s">
        <v>29372</v>
      </c>
      <c r="G4282" t="s">
        <v>29380</v>
      </c>
      <c r="H4282" t="s">
        <v>29389</v>
      </c>
      <c r="I4282" t="s">
        <v>10408</v>
      </c>
      <c r="J4282" t="s">
        <v>29799</v>
      </c>
      <c r="K4282" t="s">
        <v>38489</v>
      </c>
      <c r="M4282" t="s">
        <v>40400</v>
      </c>
      <c r="N4282" t="s">
        <v>42669</v>
      </c>
      <c r="O4282" t="s">
        <v>42670</v>
      </c>
      <c r="P4282">
        <v>0</v>
      </c>
      <c r="Q4282">
        <v>0</v>
      </c>
      <c r="R4282" t="s">
        <v>42676</v>
      </c>
      <c r="S4282" t="s">
        <v>42809</v>
      </c>
      <c r="T4282" t="s">
        <v>44371</v>
      </c>
      <c r="U4282" t="s">
        <v>48340</v>
      </c>
      <c r="W4282" t="s">
        <v>40400</v>
      </c>
      <c r="X4282" t="s">
        <v>42677</v>
      </c>
    </row>
    <row r="4283" spans="1:24">
      <c r="A4283">
        <f>HYPERLINK("https://www.philgeps.gov.ph/GEPSNONPILOT/Tender/SplashBidNoticeAbstractUI.aspx?menuIndex=3&amp;refID=7187742&amp;Result=3","7187742")</f>
        <v>0</v>
      </c>
      <c r="B4283" t="s">
        <v>547</v>
      </c>
      <c r="C4283" t="s">
        <v>7630</v>
      </c>
      <c r="E4283" t="s">
        <v>20980</v>
      </c>
      <c r="F4283" t="s">
        <v>29372</v>
      </c>
      <c r="G4283" t="s">
        <v>29379</v>
      </c>
      <c r="H4283" t="s">
        <v>11048</v>
      </c>
      <c r="I4283" t="s">
        <v>29394</v>
      </c>
      <c r="J4283" t="s">
        <v>29729</v>
      </c>
      <c r="K4283" t="s">
        <v>38485</v>
      </c>
      <c r="M4283" t="s">
        <v>39363</v>
      </c>
      <c r="N4283" t="s">
        <v>42669</v>
      </c>
      <c r="O4283" t="s">
        <v>42670</v>
      </c>
      <c r="P4283">
        <v>0</v>
      </c>
      <c r="Q4283">
        <v>1</v>
      </c>
      <c r="R4283" t="s">
        <v>42676</v>
      </c>
      <c r="S4283" t="s">
        <v>42809</v>
      </c>
      <c r="T4283" t="s">
        <v>44456</v>
      </c>
      <c r="U4283" t="s">
        <v>48341</v>
      </c>
      <c r="W4283" t="s">
        <v>58018</v>
      </c>
      <c r="X4283" t="s">
        <v>42677</v>
      </c>
    </row>
    <row r="4284" spans="1:24">
      <c r="A4284">
        <f>HYPERLINK("https://www.philgeps.gov.ph/GEPSNONPILOT/Tender/SplashBidNoticeAbstractUI.aspx?menuIndex=3&amp;refID=7187772&amp;Result=3","7187772")</f>
        <v>0</v>
      </c>
      <c r="B4284" t="s">
        <v>1551</v>
      </c>
      <c r="C4284" t="s">
        <v>7631</v>
      </c>
      <c r="D4284" t="s">
        <v>17173</v>
      </c>
      <c r="E4284" t="s">
        <v>20981</v>
      </c>
      <c r="F4284" t="s">
        <v>29372</v>
      </c>
      <c r="G4284" t="s">
        <v>29383</v>
      </c>
      <c r="H4284" t="s">
        <v>11048</v>
      </c>
      <c r="I4284" t="s">
        <v>29424</v>
      </c>
      <c r="J4284" t="s">
        <v>30319</v>
      </c>
      <c r="K4284" t="s">
        <v>38491</v>
      </c>
      <c r="M4284" t="s">
        <v>40401</v>
      </c>
      <c r="N4284" t="s">
        <v>42669</v>
      </c>
      <c r="O4284" t="s">
        <v>42670</v>
      </c>
      <c r="P4284">
        <v>0</v>
      </c>
      <c r="Q4284">
        <v>1</v>
      </c>
      <c r="R4284" t="s">
        <v>42676</v>
      </c>
      <c r="S4284" t="s">
        <v>42809</v>
      </c>
      <c r="T4284" t="s">
        <v>44525</v>
      </c>
      <c r="U4284" t="s">
        <v>48342</v>
      </c>
      <c r="W4284" t="s">
        <v>40401</v>
      </c>
      <c r="X4284" t="s">
        <v>42677</v>
      </c>
    </row>
    <row r="4285" spans="1:24">
      <c r="A4285">
        <f>HYPERLINK("https://www.philgeps.gov.ph/GEPSNONPILOT/Tender/SplashBidNoticeAbstractUI.aspx?menuIndex=3&amp;refID=7187739&amp;Result=3","7187739")</f>
        <v>0</v>
      </c>
      <c r="B4285" t="s">
        <v>1552</v>
      </c>
      <c r="C4285" t="s">
        <v>7632</v>
      </c>
      <c r="D4285" t="s">
        <v>17187</v>
      </c>
      <c r="E4285" t="s">
        <v>20982</v>
      </c>
      <c r="F4285" t="s">
        <v>29372</v>
      </c>
      <c r="G4285" t="s">
        <v>29380</v>
      </c>
      <c r="H4285" t="s">
        <v>11048</v>
      </c>
      <c r="I4285" t="s">
        <v>8614</v>
      </c>
      <c r="J4285" t="s">
        <v>32384</v>
      </c>
      <c r="K4285" t="s">
        <v>38496</v>
      </c>
      <c r="M4285" t="s">
        <v>40402</v>
      </c>
      <c r="N4285" t="s">
        <v>42669</v>
      </c>
      <c r="O4285" t="s">
        <v>42670</v>
      </c>
      <c r="P4285">
        <v>0</v>
      </c>
      <c r="Q4285">
        <v>5</v>
      </c>
      <c r="R4285" t="s">
        <v>42676</v>
      </c>
      <c r="S4285" t="s">
        <v>42809</v>
      </c>
      <c r="T4285" t="s">
        <v>44563</v>
      </c>
      <c r="U4285" t="s">
        <v>48343</v>
      </c>
      <c r="W4285" t="s">
        <v>40402</v>
      </c>
      <c r="X4285" t="s">
        <v>42677</v>
      </c>
    </row>
    <row r="4286" spans="1:24">
      <c r="A4286">
        <f>HYPERLINK("https://www.philgeps.gov.ph/GEPSNONPILOT/Tender/SplashBidNoticeAbstractUI.aspx?menuIndex=3&amp;refID=7187758&amp;Result=3","7187758")</f>
        <v>0</v>
      </c>
      <c r="B4286" t="s">
        <v>1384</v>
      </c>
      <c r="C4286" t="s">
        <v>7633</v>
      </c>
      <c r="D4286" t="s">
        <v>17191</v>
      </c>
      <c r="E4286" t="s">
        <v>20983</v>
      </c>
      <c r="F4286" t="s">
        <v>29372</v>
      </c>
      <c r="G4286" t="s">
        <v>29382</v>
      </c>
      <c r="H4286" t="s">
        <v>11048</v>
      </c>
      <c r="I4286" t="s">
        <v>29407</v>
      </c>
      <c r="J4286" t="s">
        <v>32385</v>
      </c>
      <c r="K4286" t="s">
        <v>38485</v>
      </c>
      <c r="M4286" t="s">
        <v>40222</v>
      </c>
      <c r="N4286" t="s">
        <v>42669</v>
      </c>
      <c r="O4286" t="s">
        <v>42670</v>
      </c>
      <c r="P4286">
        <v>0</v>
      </c>
      <c r="Q4286">
        <v>1</v>
      </c>
      <c r="R4286" t="s">
        <v>42676</v>
      </c>
      <c r="S4286" t="s">
        <v>42809</v>
      </c>
      <c r="T4286" t="s">
        <v>44401</v>
      </c>
      <c r="U4286" t="s">
        <v>48344</v>
      </c>
      <c r="W4286" t="s">
        <v>40222</v>
      </c>
      <c r="X4286" t="s">
        <v>42677</v>
      </c>
    </row>
    <row r="4287" spans="1:24">
      <c r="A4287">
        <f>HYPERLINK("https://www.philgeps.gov.ph/GEPSNONPILOT/Tender/SplashBidNoticeAbstractUI.aspx?menuIndex=3&amp;refID=7187735&amp;Result=3","7187735")</f>
        <v>0</v>
      </c>
      <c r="B4287" t="s">
        <v>129</v>
      </c>
      <c r="C4287" t="s">
        <v>7634</v>
      </c>
      <c r="E4287" t="s">
        <v>20984</v>
      </c>
      <c r="F4287" t="s">
        <v>29372</v>
      </c>
      <c r="G4287" t="s">
        <v>29383</v>
      </c>
      <c r="H4287" t="s">
        <v>11048</v>
      </c>
      <c r="I4287" t="s">
        <v>29407</v>
      </c>
      <c r="J4287" t="s">
        <v>31623</v>
      </c>
      <c r="K4287" t="s">
        <v>38490</v>
      </c>
      <c r="M4287" t="s">
        <v>38884</v>
      </c>
      <c r="N4287" t="s">
        <v>42669</v>
      </c>
      <c r="O4287" t="s">
        <v>42670</v>
      </c>
      <c r="P4287">
        <v>0</v>
      </c>
      <c r="Q4287">
        <v>3</v>
      </c>
      <c r="R4287" t="s">
        <v>42676</v>
      </c>
      <c r="S4287" t="s">
        <v>42809</v>
      </c>
      <c r="T4287" t="s">
        <v>44417</v>
      </c>
      <c r="U4287" t="s">
        <v>48345</v>
      </c>
      <c r="W4287" t="s">
        <v>38884</v>
      </c>
      <c r="X4287" t="s">
        <v>42677</v>
      </c>
    </row>
    <row r="4288" spans="1:24">
      <c r="A4288">
        <f>HYPERLINK("https://www.philgeps.gov.ph/GEPSNONPILOT/Tender/SplashBidNoticeAbstractUI.aspx?menuIndex=3&amp;refID=7187773&amp;Result=3","7187773")</f>
        <v>0</v>
      </c>
      <c r="B4288" t="s">
        <v>1499</v>
      </c>
      <c r="C4288" t="s">
        <v>7635</v>
      </c>
      <c r="D4288" t="s">
        <v>17231</v>
      </c>
      <c r="E4288" t="s">
        <v>20985</v>
      </c>
      <c r="F4288" t="s">
        <v>29372</v>
      </c>
      <c r="G4288" t="s">
        <v>29381</v>
      </c>
      <c r="H4288" t="s">
        <v>11048</v>
      </c>
      <c r="I4288" t="s">
        <v>4709</v>
      </c>
      <c r="J4288" t="s">
        <v>32386</v>
      </c>
      <c r="K4288" t="s">
        <v>38496</v>
      </c>
      <c r="M4288" t="s">
        <v>40343</v>
      </c>
      <c r="N4288" t="s">
        <v>42669</v>
      </c>
      <c r="O4288" t="s">
        <v>42670</v>
      </c>
      <c r="P4288">
        <v>0</v>
      </c>
      <c r="Q4288">
        <v>0</v>
      </c>
      <c r="R4288" t="s">
        <v>42676</v>
      </c>
      <c r="S4288" t="s">
        <v>42809</v>
      </c>
      <c r="T4288" t="s">
        <v>44652</v>
      </c>
      <c r="U4288" t="s">
        <v>48346</v>
      </c>
      <c r="W4288" t="s">
        <v>40343</v>
      </c>
      <c r="X4288" t="s">
        <v>42677</v>
      </c>
    </row>
    <row r="4289" spans="1:24">
      <c r="A4289">
        <f>HYPERLINK("https://www.philgeps.gov.ph/GEPSNONPILOT/Tender/SplashBidNoticeAbstractUI.aspx?menuIndex=3&amp;refID=7187809&amp;Result=3","7187809")</f>
        <v>0</v>
      </c>
      <c r="B4289" t="s">
        <v>1551</v>
      </c>
      <c r="C4289" t="s">
        <v>7636</v>
      </c>
      <c r="D4289" t="s">
        <v>17173</v>
      </c>
      <c r="E4289" t="s">
        <v>20986</v>
      </c>
      <c r="F4289" t="s">
        <v>29372</v>
      </c>
      <c r="G4289" t="s">
        <v>29383</v>
      </c>
      <c r="H4289" t="s">
        <v>11048</v>
      </c>
      <c r="I4289" t="s">
        <v>29424</v>
      </c>
      <c r="J4289" t="s">
        <v>30319</v>
      </c>
      <c r="K4289" t="s">
        <v>38491</v>
      </c>
      <c r="M4289" t="s">
        <v>40401</v>
      </c>
      <c r="N4289" t="s">
        <v>42669</v>
      </c>
      <c r="O4289" t="s">
        <v>42670</v>
      </c>
      <c r="P4289">
        <v>0</v>
      </c>
      <c r="Q4289">
        <v>0</v>
      </c>
      <c r="R4289" t="s">
        <v>42676</v>
      </c>
      <c r="S4289" t="s">
        <v>42809</v>
      </c>
      <c r="T4289" t="s">
        <v>44552</v>
      </c>
      <c r="U4289" t="s">
        <v>48347</v>
      </c>
      <c r="W4289" t="s">
        <v>40401</v>
      </c>
      <c r="X4289" t="s">
        <v>42677</v>
      </c>
    </row>
    <row r="4290" spans="1:24">
      <c r="A4290">
        <f>HYPERLINK("https://www.philgeps.gov.ph/GEPSNONPILOT/Tender/SplashBidNoticeAbstractUI.aspx?menuIndex=3&amp;refID=7187749&amp;Result=3","7187749")</f>
        <v>0</v>
      </c>
      <c r="B4290" t="s">
        <v>1553</v>
      </c>
      <c r="C4290" t="s">
        <v>7637</v>
      </c>
      <c r="D4290" t="s">
        <v>17162</v>
      </c>
      <c r="E4290" t="s">
        <v>20987</v>
      </c>
      <c r="F4290" t="s">
        <v>29372</v>
      </c>
      <c r="G4290" t="s">
        <v>29380</v>
      </c>
      <c r="H4290" t="s">
        <v>11048</v>
      </c>
      <c r="I4290" t="s">
        <v>4709</v>
      </c>
      <c r="J4290" t="s">
        <v>32387</v>
      </c>
      <c r="K4290" t="s">
        <v>38510</v>
      </c>
      <c r="M4290" t="s">
        <v>40403</v>
      </c>
      <c r="N4290" t="s">
        <v>42669</v>
      </c>
      <c r="O4290" t="s">
        <v>42670</v>
      </c>
      <c r="P4290">
        <v>0</v>
      </c>
      <c r="Q4290">
        <v>4</v>
      </c>
      <c r="R4290" t="s">
        <v>42676</v>
      </c>
      <c r="S4290" t="s">
        <v>42809</v>
      </c>
      <c r="T4290" t="s">
        <v>44480</v>
      </c>
      <c r="U4290" t="s">
        <v>48348</v>
      </c>
      <c r="W4290" t="s">
        <v>40403</v>
      </c>
      <c r="X4290" t="s">
        <v>42677</v>
      </c>
    </row>
    <row r="4291" spans="1:24">
      <c r="A4291">
        <f>HYPERLINK("https://www.philgeps.gov.ph/GEPSNONPILOT/Tender/SplashBidNoticeAbstractUI.aspx?menuIndex=3&amp;refID=7187738&amp;Result=3","7187738")</f>
        <v>0</v>
      </c>
      <c r="B4291" t="s">
        <v>1470</v>
      </c>
      <c r="C4291" t="s">
        <v>7638</v>
      </c>
      <c r="D4291" t="s">
        <v>17153</v>
      </c>
      <c r="E4291" t="s">
        <v>20988</v>
      </c>
      <c r="F4291" t="s">
        <v>29372</v>
      </c>
      <c r="G4291" t="s">
        <v>29380</v>
      </c>
      <c r="H4291" t="s">
        <v>11048</v>
      </c>
      <c r="I4291" t="s">
        <v>4709</v>
      </c>
      <c r="J4291" t="s">
        <v>29526</v>
      </c>
      <c r="K4291" t="s">
        <v>38485</v>
      </c>
      <c r="M4291" t="s">
        <v>40313</v>
      </c>
      <c r="N4291" t="s">
        <v>42669</v>
      </c>
      <c r="O4291" t="s">
        <v>42670</v>
      </c>
      <c r="P4291">
        <v>0</v>
      </c>
      <c r="Q4291">
        <v>0</v>
      </c>
      <c r="R4291" t="s">
        <v>42676</v>
      </c>
      <c r="S4291" t="s">
        <v>42809</v>
      </c>
      <c r="T4291" t="s">
        <v>44443</v>
      </c>
      <c r="U4291" t="s">
        <v>48146</v>
      </c>
      <c r="V4291" t="s">
        <v>56769</v>
      </c>
      <c r="W4291" t="s">
        <v>40313</v>
      </c>
      <c r="X4291" t="s">
        <v>42677</v>
      </c>
    </row>
    <row r="4292" spans="1:24">
      <c r="A4292">
        <f>HYPERLINK("https://www.philgeps.gov.ph/GEPSNONPILOT/Tender/SplashBidNoticeAbstractUI.aspx?menuIndex=3&amp;refID=7187831&amp;Result=3","7187831")</f>
        <v>0</v>
      </c>
      <c r="B4292" t="s">
        <v>1462</v>
      </c>
      <c r="C4292" t="s">
        <v>7639</v>
      </c>
      <c r="D4292" t="s">
        <v>17199</v>
      </c>
      <c r="E4292" t="s">
        <v>20989</v>
      </c>
      <c r="F4292" t="s">
        <v>29372</v>
      </c>
      <c r="G4292" t="s">
        <v>29379</v>
      </c>
      <c r="H4292" t="s">
        <v>11048</v>
      </c>
      <c r="I4292" t="s">
        <v>3670</v>
      </c>
      <c r="J4292" t="s">
        <v>30451</v>
      </c>
      <c r="K4292" t="s">
        <v>38490</v>
      </c>
      <c r="M4292" t="s">
        <v>40305</v>
      </c>
      <c r="N4292" t="s">
        <v>42669</v>
      </c>
      <c r="O4292" t="s">
        <v>42670</v>
      </c>
      <c r="P4292">
        <v>0</v>
      </c>
      <c r="Q4292">
        <v>0</v>
      </c>
      <c r="R4292" t="s">
        <v>42676</v>
      </c>
      <c r="S4292" t="s">
        <v>42809</v>
      </c>
      <c r="T4292" t="s">
        <v>44648</v>
      </c>
      <c r="U4292" t="s">
        <v>48349</v>
      </c>
      <c r="V4292" t="s">
        <v>56764</v>
      </c>
      <c r="W4292" t="s">
        <v>40305</v>
      </c>
      <c r="X4292" t="s">
        <v>42677</v>
      </c>
    </row>
    <row r="4293" spans="1:24">
      <c r="A4293">
        <f>HYPERLINK("https://www.philgeps.gov.ph/GEPSNONPILOT/Tender/SplashBidNoticeAbstractUI.aspx?menuIndex=3&amp;refID=7187829&amp;Result=3","7187829")</f>
        <v>0</v>
      </c>
      <c r="B4293" t="s">
        <v>503</v>
      </c>
      <c r="C4293" t="s">
        <v>7640</v>
      </c>
      <c r="D4293" t="s">
        <v>17156</v>
      </c>
      <c r="E4293" t="s">
        <v>20990</v>
      </c>
      <c r="F4293" t="s">
        <v>29372</v>
      </c>
      <c r="G4293" t="s">
        <v>29379</v>
      </c>
      <c r="H4293" t="s">
        <v>11048</v>
      </c>
      <c r="I4293" t="s">
        <v>29433</v>
      </c>
      <c r="J4293" t="s">
        <v>30427</v>
      </c>
      <c r="K4293" t="s">
        <v>38485</v>
      </c>
      <c r="M4293" t="s">
        <v>39268</v>
      </c>
      <c r="N4293" t="s">
        <v>42669</v>
      </c>
      <c r="O4293" t="s">
        <v>42670</v>
      </c>
      <c r="P4293">
        <v>0</v>
      </c>
      <c r="Q4293">
        <v>1</v>
      </c>
      <c r="R4293" t="s">
        <v>42676</v>
      </c>
      <c r="S4293" t="s">
        <v>42809</v>
      </c>
      <c r="T4293" t="s">
        <v>44399</v>
      </c>
      <c r="U4293" t="s">
        <v>48350</v>
      </c>
      <c r="W4293" t="s">
        <v>39268</v>
      </c>
      <c r="X4293" t="s">
        <v>42677</v>
      </c>
    </row>
    <row r="4294" spans="1:24">
      <c r="A4294">
        <f>HYPERLINK("https://www.philgeps.gov.ph/GEPSNONPILOT/Tender/SplashBidNoticeAbstractUI.aspx?menuIndex=3&amp;refID=7187734&amp;Result=3","7187734")</f>
        <v>0</v>
      </c>
      <c r="B4294" t="s">
        <v>1384</v>
      </c>
      <c r="C4294" t="s">
        <v>7641</v>
      </c>
      <c r="D4294" t="s">
        <v>17191</v>
      </c>
      <c r="E4294" t="s">
        <v>20991</v>
      </c>
      <c r="F4294" t="s">
        <v>29372</v>
      </c>
      <c r="G4294" t="s">
        <v>29382</v>
      </c>
      <c r="H4294" t="s">
        <v>11048</v>
      </c>
      <c r="I4294" t="s">
        <v>3695</v>
      </c>
      <c r="J4294" t="s">
        <v>32388</v>
      </c>
      <c r="K4294" t="s">
        <v>38485</v>
      </c>
      <c r="M4294" t="s">
        <v>40222</v>
      </c>
      <c r="N4294" t="s">
        <v>42669</v>
      </c>
      <c r="O4294" t="s">
        <v>42670</v>
      </c>
      <c r="P4294">
        <v>0</v>
      </c>
      <c r="Q4294">
        <v>0</v>
      </c>
      <c r="R4294" t="s">
        <v>42676</v>
      </c>
      <c r="S4294" t="s">
        <v>42809</v>
      </c>
      <c r="T4294" t="s">
        <v>44401</v>
      </c>
      <c r="U4294" t="s">
        <v>48351</v>
      </c>
      <c r="W4294" t="s">
        <v>40222</v>
      </c>
      <c r="X4294" t="s">
        <v>42677</v>
      </c>
    </row>
    <row r="4295" spans="1:24">
      <c r="A4295">
        <f>HYPERLINK("https://www.philgeps.gov.ph/GEPSNONPILOT/Tender/SplashBidNoticeAbstractUI.aspx?menuIndex=3&amp;refID=7187828&amp;Result=3","7187828")</f>
        <v>0</v>
      </c>
      <c r="B4295" t="s">
        <v>1554</v>
      </c>
      <c r="C4295" t="s">
        <v>7642</v>
      </c>
      <c r="D4295" t="s">
        <v>17141</v>
      </c>
      <c r="E4295" t="s">
        <v>20992</v>
      </c>
      <c r="F4295" t="s">
        <v>29372</v>
      </c>
      <c r="G4295" t="s">
        <v>29380</v>
      </c>
      <c r="H4295" t="s">
        <v>11048</v>
      </c>
      <c r="I4295" t="s">
        <v>29449</v>
      </c>
      <c r="J4295" t="s">
        <v>32389</v>
      </c>
      <c r="K4295" t="s">
        <v>38490</v>
      </c>
      <c r="M4295" t="s">
        <v>40404</v>
      </c>
      <c r="N4295" t="s">
        <v>42669</v>
      </c>
      <c r="O4295" t="s">
        <v>42670</v>
      </c>
      <c r="P4295">
        <v>0</v>
      </c>
      <c r="Q4295">
        <v>6</v>
      </c>
      <c r="R4295" t="s">
        <v>42676</v>
      </c>
      <c r="S4295" t="s">
        <v>42809</v>
      </c>
      <c r="T4295" t="s">
        <v>44460</v>
      </c>
      <c r="U4295" t="s">
        <v>48352</v>
      </c>
      <c r="W4295" t="s">
        <v>40404</v>
      </c>
      <c r="X4295" t="s">
        <v>42677</v>
      </c>
    </row>
    <row r="4296" spans="1:24">
      <c r="A4296">
        <f>HYPERLINK("https://www.philgeps.gov.ph/GEPSNONPILOT/Tender/SplashBidNoticeAbstractUI.aspx?menuIndex=3&amp;refID=7187781&amp;Result=3","7187781")</f>
        <v>0</v>
      </c>
      <c r="B4296" t="s">
        <v>1543</v>
      </c>
      <c r="C4296" t="s">
        <v>7643</v>
      </c>
      <c r="E4296" t="s">
        <v>20993</v>
      </c>
      <c r="F4296" t="s">
        <v>29372</v>
      </c>
      <c r="G4296" t="s">
        <v>29380</v>
      </c>
      <c r="H4296" t="s">
        <v>11048</v>
      </c>
      <c r="I4296" t="s">
        <v>29396</v>
      </c>
      <c r="J4296" t="s">
        <v>32390</v>
      </c>
      <c r="K4296" t="s">
        <v>38490</v>
      </c>
      <c r="M4296" t="s">
        <v>40392</v>
      </c>
      <c r="N4296" t="s">
        <v>42669</v>
      </c>
      <c r="O4296" t="s">
        <v>42670</v>
      </c>
      <c r="P4296">
        <v>0</v>
      </c>
      <c r="Q4296">
        <v>0</v>
      </c>
      <c r="R4296" t="s">
        <v>42676</v>
      </c>
      <c r="S4296" t="s">
        <v>42809</v>
      </c>
      <c r="T4296" t="s">
        <v>44439</v>
      </c>
      <c r="U4296" t="s">
        <v>48353</v>
      </c>
      <c r="W4296" t="s">
        <v>40392</v>
      </c>
      <c r="X4296" t="s">
        <v>42677</v>
      </c>
    </row>
    <row r="4297" spans="1:24">
      <c r="A4297">
        <f>HYPERLINK("https://www.philgeps.gov.ph/GEPSNONPILOT/Tender/SplashBidNoticeAbstractUI.aspx?menuIndex=3&amp;refID=7187820&amp;Result=3","7187820")</f>
        <v>0</v>
      </c>
      <c r="B4297" t="s">
        <v>1555</v>
      </c>
      <c r="C4297" t="s">
        <v>7644</v>
      </c>
      <c r="D4297" t="s">
        <v>17171</v>
      </c>
      <c r="E4297" t="s">
        <v>20994</v>
      </c>
      <c r="F4297" t="s">
        <v>29372</v>
      </c>
      <c r="G4297" t="s">
        <v>29379</v>
      </c>
      <c r="H4297" t="s">
        <v>11048</v>
      </c>
      <c r="I4297" t="s">
        <v>29494</v>
      </c>
      <c r="J4297" t="s">
        <v>32391</v>
      </c>
      <c r="K4297" t="s">
        <v>38485</v>
      </c>
      <c r="M4297" t="s">
        <v>40405</v>
      </c>
      <c r="N4297" t="s">
        <v>42669</v>
      </c>
      <c r="O4297" t="s">
        <v>42670</v>
      </c>
      <c r="P4297">
        <v>0</v>
      </c>
      <c r="Q4297">
        <v>1</v>
      </c>
      <c r="R4297" t="s">
        <v>42676</v>
      </c>
      <c r="S4297" t="s">
        <v>42809</v>
      </c>
      <c r="T4297" t="s">
        <v>44399</v>
      </c>
      <c r="U4297" t="s">
        <v>48354</v>
      </c>
      <c r="W4297" t="s">
        <v>40405</v>
      </c>
      <c r="X4297" t="s">
        <v>42677</v>
      </c>
    </row>
    <row r="4298" spans="1:24">
      <c r="A4298">
        <f>HYPERLINK("https://www.philgeps.gov.ph/GEPSNONPILOT/Tender/SplashBidNoticeAbstractUI.aspx?menuIndex=3&amp;refID=7187817&amp;Result=3","7187817")</f>
        <v>0</v>
      </c>
      <c r="B4298" t="s">
        <v>1556</v>
      </c>
      <c r="C4298" t="s">
        <v>7645</v>
      </c>
      <c r="D4298" t="s">
        <v>17205</v>
      </c>
      <c r="E4298" t="s">
        <v>20995</v>
      </c>
      <c r="F4298" t="s">
        <v>29372</v>
      </c>
      <c r="G4298" t="s">
        <v>29380</v>
      </c>
      <c r="H4298" t="s">
        <v>11048</v>
      </c>
      <c r="I4298" t="s">
        <v>5383</v>
      </c>
      <c r="J4298" t="s">
        <v>32392</v>
      </c>
      <c r="K4298" t="s">
        <v>38485</v>
      </c>
      <c r="M4298" t="s">
        <v>40406</v>
      </c>
      <c r="N4298" t="s">
        <v>42669</v>
      </c>
      <c r="O4298" t="s">
        <v>42670</v>
      </c>
      <c r="P4298">
        <v>0</v>
      </c>
      <c r="Q4298">
        <v>4</v>
      </c>
      <c r="R4298" t="s">
        <v>42676</v>
      </c>
      <c r="S4298" t="s">
        <v>42809</v>
      </c>
      <c r="T4298" t="s">
        <v>44587</v>
      </c>
      <c r="U4298" t="s">
        <v>48355</v>
      </c>
      <c r="W4298" t="s">
        <v>40406</v>
      </c>
      <c r="X4298" t="s">
        <v>42677</v>
      </c>
    </row>
    <row r="4299" spans="1:24">
      <c r="A4299">
        <f>HYPERLINK("https://www.philgeps.gov.ph/GEPSNONPILOT/Tender/SplashBidNoticeAbstractUI.aspx?menuIndex=3&amp;refID=7187816&amp;Result=3","7187816")</f>
        <v>0</v>
      </c>
      <c r="B4299" t="s">
        <v>1493</v>
      </c>
      <c r="C4299" t="s">
        <v>7646</v>
      </c>
      <c r="D4299" t="s">
        <v>17183</v>
      </c>
      <c r="E4299" t="s">
        <v>20996</v>
      </c>
      <c r="F4299" t="s">
        <v>29372</v>
      </c>
      <c r="G4299" t="s">
        <v>29379</v>
      </c>
      <c r="H4299" t="s">
        <v>11048</v>
      </c>
      <c r="I4299" t="s">
        <v>4709</v>
      </c>
      <c r="J4299" t="s">
        <v>32393</v>
      </c>
      <c r="K4299" t="s">
        <v>38488</v>
      </c>
      <c r="M4299" t="s">
        <v>40336</v>
      </c>
      <c r="N4299" t="s">
        <v>42669</v>
      </c>
      <c r="O4299" t="s">
        <v>42670</v>
      </c>
      <c r="P4299">
        <v>0</v>
      </c>
      <c r="Q4299">
        <v>2</v>
      </c>
      <c r="R4299" t="s">
        <v>42676</v>
      </c>
      <c r="S4299" t="s">
        <v>42809</v>
      </c>
      <c r="T4299" t="s">
        <v>44401</v>
      </c>
      <c r="U4299" t="s">
        <v>48203</v>
      </c>
      <c r="W4299" t="s">
        <v>40336</v>
      </c>
      <c r="X4299" t="s">
        <v>42677</v>
      </c>
    </row>
    <row r="4300" spans="1:24">
      <c r="A4300">
        <f>HYPERLINK("https://www.philgeps.gov.ph/GEPSNONPILOT/Tender/SplashBidNoticeAbstractUI.aspx?menuIndex=3&amp;refID=7187807&amp;Result=3","7187807")</f>
        <v>0</v>
      </c>
      <c r="B4300" t="s">
        <v>375</v>
      </c>
      <c r="C4300" t="s">
        <v>7647</v>
      </c>
      <c r="D4300" t="s">
        <v>17141</v>
      </c>
      <c r="E4300" t="s">
        <v>20997</v>
      </c>
      <c r="F4300" t="s">
        <v>29372</v>
      </c>
      <c r="G4300" t="s">
        <v>29379</v>
      </c>
      <c r="H4300" t="s">
        <v>11048</v>
      </c>
      <c r="I4300" t="s">
        <v>5383</v>
      </c>
      <c r="J4300" t="s">
        <v>30107</v>
      </c>
      <c r="K4300" t="s">
        <v>38488</v>
      </c>
      <c r="M4300" t="s">
        <v>39136</v>
      </c>
      <c r="N4300" t="s">
        <v>42669</v>
      </c>
      <c r="O4300" t="s">
        <v>42670</v>
      </c>
      <c r="P4300">
        <v>0</v>
      </c>
      <c r="Q4300">
        <v>9</v>
      </c>
      <c r="R4300" t="s">
        <v>42676</v>
      </c>
      <c r="S4300" t="s">
        <v>42809</v>
      </c>
      <c r="T4300" t="s">
        <v>44401</v>
      </c>
      <c r="U4300" t="s">
        <v>48356</v>
      </c>
      <c r="W4300" t="s">
        <v>58011</v>
      </c>
      <c r="X4300" t="s">
        <v>42677</v>
      </c>
    </row>
    <row r="4301" spans="1:24">
      <c r="A4301">
        <f>HYPERLINK("https://www.philgeps.gov.ph/GEPSNONPILOT/Tender/SplashBidNoticeAbstractUI.aspx?menuIndex=3&amp;refID=7187825&amp;Result=3","7187825")</f>
        <v>0</v>
      </c>
      <c r="B4301" t="s">
        <v>1557</v>
      </c>
      <c r="C4301" t="s">
        <v>7648</v>
      </c>
      <c r="D4301" t="s">
        <v>17186</v>
      </c>
      <c r="E4301" t="s">
        <v>20998</v>
      </c>
      <c r="F4301" t="s">
        <v>29372</v>
      </c>
      <c r="G4301" t="s">
        <v>29380</v>
      </c>
      <c r="H4301" t="s">
        <v>11048</v>
      </c>
      <c r="I4301" t="s">
        <v>29407</v>
      </c>
      <c r="J4301" t="s">
        <v>32394</v>
      </c>
      <c r="K4301" t="s">
        <v>38485</v>
      </c>
      <c r="M4301" t="s">
        <v>40407</v>
      </c>
      <c r="N4301" t="s">
        <v>42669</v>
      </c>
      <c r="O4301" t="s">
        <v>42670</v>
      </c>
      <c r="P4301">
        <v>0</v>
      </c>
      <c r="Q4301">
        <v>5</v>
      </c>
      <c r="R4301" t="s">
        <v>42676</v>
      </c>
      <c r="S4301" t="s">
        <v>42809</v>
      </c>
      <c r="T4301" t="s">
        <v>44399</v>
      </c>
      <c r="U4301" t="s">
        <v>48357</v>
      </c>
      <c r="W4301" t="s">
        <v>40407</v>
      </c>
      <c r="X4301" t="s">
        <v>42677</v>
      </c>
    </row>
    <row r="4302" spans="1:24">
      <c r="A4302">
        <f>HYPERLINK("https://www.philgeps.gov.ph/GEPSNONPILOT/Tender/SplashBidNoticeAbstractUI.aspx?menuIndex=3&amp;refID=7187751&amp;Result=3","7187751")</f>
        <v>0</v>
      </c>
      <c r="B4302" t="s">
        <v>1479</v>
      </c>
      <c r="C4302" t="s">
        <v>7649</v>
      </c>
      <c r="D4302" t="s">
        <v>17156</v>
      </c>
      <c r="E4302" t="s">
        <v>20999</v>
      </c>
      <c r="F4302" t="s">
        <v>29372</v>
      </c>
      <c r="G4302" t="s">
        <v>29380</v>
      </c>
      <c r="H4302" t="s">
        <v>29389</v>
      </c>
      <c r="I4302" t="s">
        <v>10408</v>
      </c>
      <c r="J4302" t="s">
        <v>32395</v>
      </c>
      <c r="K4302" t="s">
        <v>38583</v>
      </c>
      <c r="M4302" t="s">
        <v>40322</v>
      </c>
      <c r="N4302" t="s">
        <v>42669</v>
      </c>
      <c r="O4302" t="s">
        <v>42670</v>
      </c>
      <c r="P4302">
        <v>0</v>
      </c>
      <c r="Q4302">
        <v>6</v>
      </c>
      <c r="R4302" t="s">
        <v>42676</v>
      </c>
      <c r="S4302" t="s">
        <v>42809</v>
      </c>
      <c r="T4302" t="s">
        <v>44376</v>
      </c>
      <c r="U4302" t="s">
        <v>48358</v>
      </c>
      <c r="V4302" t="s">
        <v>56771</v>
      </c>
      <c r="W4302" t="s">
        <v>40322</v>
      </c>
      <c r="X4302" t="s">
        <v>42677</v>
      </c>
    </row>
    <row r="4303" spans="1:24">
      <c r="A4303">
        <f>HYPERLINK("https://www.philgeps.gov.ph/GEPSNONPILOT/Tender/SplashBidNoticeAbstractUI.aspx?menuIndex=3&amp;refID=7187796&amp;Result=3","7187796")</f>
        <v>0</v>
      </c>
      <c r="B4303" t="s">
        <v>1549</v>
      </c>
      <c r="C4303" t="s">
        <v>7650</v>
      </c>
      <c r="E4303" t="s">
        <v>21000</v>
      </c>
      <c r="F4303" t="s">
        <v>29372</v>
      </c>
      <c r="G4303" t="s">
        <v>29380</v>
      </c>
      <c r="H4303" t="s">
        <v>11048</v>
      </c>
      <c r="I4303" t="s">
        <v>4709</v>
      </c>
      <c r="J4303" t="s">
        <v>32396</v>
      </c>
      <c r="K4303" t="s">
        <v>38485</v>
      </c>
      <c r="M4303" t="s">
        <v>40399</v>
      </c>
      <c r="N4303" t="s">
        <v>42669</v>
      </c>
      <c r="O4303" t="s">
        <v>42670</v>
      </c>
      <c r="P4303">
        <v>0</v>
      </c>
      <c r="Q4303">
        <v>1</v>
      </c>
      <c r="R4303" t="s">
        <v>42676</v>
      </c>
      <c r="S4303" t="s">
        <v>42809</v>
      </c>
      <c r="T4303" t="s">
        <v>44450</v>
      </c>
      <c r="U4303" t="s">
        <v>46442</v>
      </c>
      <c r="W4303" t="s">
        <v>40399</v>
      </c>
      <c r="X4303" t="s">
        <v>42677</v>
      </c>
    </row>
    <row r="4304" spans="1:24">
      <c r="A4304">
        <f>HYPERLINK("https://www.philgeps.gov.ph/GEPSNONPILOT/Tender/SplashBidNoticeAbstractUI.aspx?menuIndex=3&amp;refID=7187819&amp;Result=3","7187819")</f>
        <v>0</v>
      </c>
      <c r="B4304" t="s">
        <v>1558</v>
      </c>
      <c r="C4304" t="s">
        <v>7651</v>
      </c>
      <c r="D4304" t="s">
        <v>17171</v>
      </c>
      <c r="E4304" t="s">
        <v>21001</v>
      </c>
      <c r="F4304" t="s">
        <v>29372</v>
      </c>
      <c r="G4304" t="s">
        <v>29380</v>
      </c>
      <c r="H4304" t="s">
        <v>11048</v>
      </c>
      <c r="I4304" t="s">
        <v>3670</v>
      </c>
      <c r="J4304" t="s">
        <v>32397</v>
      </c>
      <c r="K4304" t="s">
        <v>38534</v>
      </c>
      <c r="M4304" t="s">
        <v>40408</v>
      </c>
      <c r="N4304" t="s">
        <v>42669</v>
      </c>
      <c r="O4304" t="s">
        <v>42670</v>
      </c>
      <c r="P4304">
        <v>0</v>
      </c>
      <c r="Q4304">
        <v>2</v>
      </c>
      <c r="R4304" t="s">
        <v>42676</v>
      </c>
      <c r="S4304" t="s">
        <v>42809</v>
      </c>
      <c r="T4304" t="s">
        <v>44430</v>
      </c>
      <c r="U4304" t="s">
        <v>48359</v>
      </c>
      <c r="W4304" t="s">
        <v>40408</v>
      </c>
      <c r="X4304" t="s">
        <v>42677</v>
      </c>
    </row>
    <row r="4305" spans="1:24">
      <c r="A4305">
        <f>HYPERLINK("https://www.philgeps.gov.ph/GEPSNONPILOT/Tender/SplashBidNoticeAbstractUI.aspx?menuIndex=3&amp;refID=7187821&amp;Result=3","7187821")</f>
        <v>0</v>
      </c>
      <c r="B4305" t="s">
        <v>1559</v>
      </c>
      <c r="C4305" t="s">
        <v>7652</v>
      </c>
      <c r="E4305" t="s">
        <v>21002</v>
      </c>
      <c r="F4305" t="s">
        <v>29372</v>
      </c>
      <c r="G4305" t="s">
        <v>29380</v>
      </c>
      <c r="H4305" t="s">
        <v>29389</v>
      </c>
      <c r="I4305" t="s">
        <v>10408</v>
      </c>
      <c r="J4305" t="s">
        <v>32398</v>
      </c>
      <c r="K4305" t="s">
        <v>38490</v>
      </c>
      <c r="M4305" t="s">
        <v>40409</v>
      </c>
      <c r="N4305" t="s">
        <v>42669</v>
      </c>
      <c r="O4305" t="s">
        <v>42670</v>
      </c>
      <c r="P4305">
        <v>0</v>
      </c>
      <c r="Q4305">
        <v>0</v>
      </c>
      <c r="R4305" t="s">
        <v>42676</v>
      </c>
      <c r="S4305" t="s">
        <v>42809</v>
      </c>
      <c r="T4305" t="s">
        <v>44394</v>
      </c>
      <c r="U4305" t="s">
        <v>48360</v>
      </c>
      <c r="W4305" t="s">
        <v>40409</v>
      </c>
      <c r="X4305" t="s">
        <v>42677</v>
      </c>
    </row>
    <row r="4306" spans="1:24">
      <c r="A4306">
        <f>HYPERLINK("https://www.philgeps.gov.ph/GEPSNONPILOT/Tender/SplashBidNoticeAbstractUI.aspx?menuIndex=3&amp;refID=7187794&amp;Result=3","7187794")</f>
        <v>0</v>
      </c>
      <c r="B4306" t="s">
        <v>1470</v>
      </c>
      <c r="C4306" t="s">
        <v>7653</v>
      </c>
      <c r="D4306" t="s">
        <v>17153</v>
      </c>
      <c r="E4306" t="s">
        <v>21003</v>
      </c>
      <c r="F4306" t="s">
        <v>29372</v>
      </c>
      <c r="G4306" t="s">
        <v>29380</v>
      </c>
      <c r="H4306" t="s">
        <v>11048</v>
      </c>
      <c r="I4306" t="s">
        <v>8208</v>
      </c>
      <c r="J4306" t="s">
        <v>30107</v>
      </c>
      <c r="K4306" t="s">
        <v>38485</v>
      </c>
      <c r="M4306" t="s">
        <v>40313</v>
      </c>
      <c r="N4306" t="s">
        <v>42669</v>
      </c>
      <c r="O4306" t="s">
        <v>42670</v>
      </c>
      <c r="P4306">
        <v>0</v>
      </c>
      <c r="Q4306">
        <v>1</v>
      </c>
      <c r="R4306" t="s">
        <v>42676</v>
      </c>
      <c r="S4306" t="s">
        <v>42809</v>
      </c>
      <c r="T4306" t="s">
        <v>44443</v>
      </c>
      <c r="U4306" t="s">
        <v>48146</v>
      </c>
      <c r="V4306" t="s">
        <v>56769</v>
      </c>
      <c r="W4306" t="s">
        <v>40313</v>
      </c>
      <c r="X4306" t="s">
        <v>42677</v>
      </c>
    </row>
    <row r="4307" spans="1:24">
      <c r="A4307">
        <f>HYPERLINK("https://www.philgeps.gov.ph/GEPSNONPILOT/Tender/SplashBidNoticeAbstractUI.aspx?menuIndex=3&amp;refID=7187786&amp;Result=3","7187786")</f>
        <v>0</v>
      </c>
      <c r="B4307" t="s">
        <v>1549</v>
      </c>
      <c r="C4307" t="s">
        <v>7654</v>
      </c>
      <c r="E4307" t="s">
        <v>21004</v>
      </c>
      <c r="F4307" t="s">
        <v>29372</v>
      </c>
      <c r="G4307" t="s">
        <v>29380</v>
      </c>
      <c r="H4307" t="s">
        <v>11048</v>
      </c>
      <c r="I4307" t="s">
        <v>4709</v>
      </c>
      <c r="J4307" t="s">
        <v>32399</v>
      </c>
      <c r="K4307" t="s">
        <v>38485</v>
      </c>
      <c r="M4307" t="s">
        <v>40399</v>
      </c>
      <c r="N4307" t="s">
        <v>42669</v>
      </c>
      <c r="O4307" t="s">
        <v>42670</v>
      </c>
      <c r="P4307">
        <v>0</v>
      </c>
      <c r="Q4307">
        <v>0</v>
      </c>
      <c r="R4307" t="s">
        <v>42676</v>
      </c>
      <c r="S4307" t="s">
        <v>42809</v>
      </c>
      <c r="T4307" t="s">
        <v>44450</v>
      </c>
      <c r="U4307" t="s">
        <v>46442</v>
      </c>
      <c r="W4307" t="s">
        <v>40399</v>
      </c>
      <c r="X4307" t="s">
        <v>42677</v>
      </c>
    </row>
    <row r="4308" spans="1:24">
      <c r="A4308">
        <f>HYPERLINK("https://www.philgeps.gov.ph/GEPSNONPILOT/Tender/SplashBidNoticeAbstractUI.aspx?menuIndex=3&amp;refID=7187699&amp;Result=3","7187699")</f>
        <v>0</v>
      </c>
      <c r="B4308" t="s">
        <v>1554</v>
      </c>
      <c r="C4308" t="s">
        <v>7642</v>
      </c>
      <c r="D4308" t="s">
        <v>17141</v>
      </c>
      <c r="E4308" t="s">
        <v>21005</v>
      </c>
      <c r="F4308" t="s">
        <v>29372</v>
      </c>
      <c r="G4308" t="s">
        <v>29381</v>
      </c>
      <c r="H4308" t="s">
        <v>11048</v>
      </c>
      <c r="I4308" t="s">
        <v>29407</v>
      </c>
      <c r="J4308" t="s">
        <v>32400</v>
      </c>
      <c r="K4308" t="s">
        <v>38490</v>
      </c>
      <c r="M4308" t="s">
        <v>40404</v>
      </c>
      <c r="N4308" t="s">
        <v>42669</v>
      </c>
      <c r="O4308" t="s">
        <v>42670</v>
      </c>
      <c r="P4308">
        <v>0</v>
      </c>
      <c r="Q4308">
        <v>20</v>
      </c>
      <c r="R4308" t="s">
        <v>42676</v>
      </c>
      <c r="S4308" t="s">
        <v>42809</v>
      </c>
      <c r="T4308" t="s">
        <v>44460</v>
      </c>
      <c r="U4308" t="s">
        <v>48352</v>
      </c>
      <c r="W4308" t="s">
        <v>40404</v>
      </c>
      <c r="X4308" t="s">
        <v>42677</v>
      </c>
    </row>
    <row r="4309" spans="1:24">
      <c r="A4309">
        <f>HYPERLINK("https://www.philgeps.gov.ph/GEPSNONPILOT/Tender/SplashBidNoticeAbstractUI.aspx?menuIndex=3&amp;refID=7187783&amp;Result=3","7187783")</f>
        <v>0</v>
      </c>
      <c r="B4309" t="s">
        <v>1560</v>
      </c>
      <c r="C4309" t="s">
        <v>7655</v>
      </c>
      <c r="D4309" t="s">
        <v>17156</v>
      </c>
      <c r="E4309" t="s">
        <v>17291</v>
      </c>
      <c r="F4309" t="s">
        <v>29372</v>
      </c>
      <c r="G4309" t="s">
        <v>29379</v>
      </c>
      <c r="H4309" t="s">
        <v>11048</v>
      </c>
      <c r="I4309" t="s">
        <v>29423</v>
      </c>
      <c r="J4309" t="s">
        <v>32401</v>
      </c>
      <c r="K4309" t="s">
        <v>38490</v>
      </c>
      <c r="M4309" t="s">
        <v>40410</v>
      </c>
      <c r="N4309" t="s">
        <v>42669</v>
      </c>
      <c r="O4309" t="s">
        <v>42670</v>
      </c>
      <c r="P4309">
        <v>0</v>
      </c>
      <c r="Q4309">
        <v>0</v>
      </c>
      <c r="R4309" t="s">
        <v>42676</v>
      </c>
      <c r="S4309" t="s">
        <v>42809</v>
      </c>
      <c r="T4309" t="s">
        <v>44432</v>
      </c>
      <c r="U4309" t="s">
        <v>48361</v>
      </c>
      <c r="V4309" t="s">
        <v>56488</v>
      </c>
      <c r="W4309" t="s">
        <v>40410</v>
      </c>
      <c r="X4309" t="s">
        <v>42677</v>
      </c>
    </row>
    <row r="4310" spans="1:24">
      <c r="A4310">
        <f>HYPERLINK("https://www.philgeps.gov.ph/GEPSNONPILOT/Tender/SplashBidNoticeAbstractUI.aspx?menuIndex=3&amp;refID=7187800&amp;Result=3","7187800")</f>
        <v>0</v>
      </c>
      <c r="B4310" t="s">
        <v>1561</v>
      </c>
      <c r="C4310" t="s">
        <v>7656</v>
      </c>
      <c r="D4310" t="s">
        <v>17170</v>
      </c>
      <c r="E4310" t="s">
        <v>21006</v>
      </c>
      <c r="F4310" t="s">
        <v>29372</v>
      </c>
      <c r="G4310" t="s">
        <v>29379</v>
      </c>
      <c r="H4310" t="s">
        <v>11048</v>
      </c>
      <c r="I4310" t="s">
        <v>5383</v>
      </c>
      <c r="J4310" t="s">
        <v>29679</v>
      </c>
      <c r="K4310" t="s">
        <v>38491</v>
      </c>
      <c r="M4310" t="s">
        <v>40411</v>
      </c>
      <c r="N4310" t="s">
        <v>42669</v>
      </c>
      <c r="O4310" t="s">
        <v>42670</v>
      </c>
      <c r="P4310">
        <v>0</v>
      </c>
      <c r="Q4310">
        <v>1</v>
      </c>
      <c r="R4310" t="s">
        <v>42676</v>
      </c>
      <c r="S4310" t="s">
        <v>42809</v>
      </c>
      <c r="T4310" t="s">
        <v>44394</v>
      </c>
      <c r="U4310" t="s">
        <v>48362</v>
      </c>
      <c r="W4310" t="s">
        <v>40411</v>
      </c>
      <c r="X4310" t="s">
        <v>42677</v>
      </c>
    </row>
    <row r="4311" spans="1:24">
      <c r="A4311">
        <f>HYPERLINK("https://www.philgeps.gov.ph/GEPSNONPILOT/Tender/SplashBidNoticeAbstractUI.aspx?menuIndex=3&amp;refID=7187787&amp;Result=3","7187787")</f>
        <v>0</v>
      </c>
      <c r="B4311" t="s">
        <v>1504</v>
      </c>
      <c r="C4311" t="s">
        <v>7657</v>
      </c>
      <c r="D4311" t="s">
        <v>17170</v>
      </c>
      <c r="E4311" t="s">
        <v>21007</v>
      </c>
      <c r="F4311" t="s">
        <v>29372</v>
      </c>
      <c r="G4311" t="s">
        <v>29379</v>
      </c>
      <c r="H4311" t="s">
        <v>11048</v>
      </c>
      <c r="I4311" t="s">
        <v>4487</v>
      </c>
      <c r="J4311" t="s">
        <v>32402</v>
      </c>
      <c r="K4311" t="s">
        <v>38510</v>
      </c>
      <c r="M4311" t="s">
        <v>40348</v>
      </c>
      <c r="N4311" t="s">
        <v>42669</v>
      </c>
      <c r="O4311" t="s">
        <v>42670</v>
      </c>
      <c r="P4311">
        <v>0</v>
      </c>
      <c r="Q4311">
        <v>1</v>
      </c>
      <c r="R4311" t="s">
        <v>42676</v>
      </c>
      <c r="S4311" t="s">
        <v>42809</v>
      </c>
      <c r="T4311" t="s">
        <v>44488</v>
      </c>
      <c r="U4311" t="s">
        <v>48363</v>
      </c>
      <c r="W4311" t="s">
        <v>40348</v>
      </c>
      <c r="X4311" t="s">
        <v>42677</v>
      </c>
    </row>
    <row r="4312" spans="1:24">
      <c r="A4312">
        <f>HYPERLINK("https://www.philgeps.gov.ph/GEPSNONPILOT/Tender/SplashBidNoticeAbstractUI.aspx?menuIndex=3&amp;refID=7187790&amp;Result=3","7187790")</f>
        <v>0</v>
      </c>
      <c r="B4312" t="s">
        <v>544</v>
      </c>
      <c r="C4312" t="s">
        <v>7658</v>
      </c>
      <c r="D4312" t="s">
        <v>17153</v>
      </c>
      <c r="E4312" t="s">
        <v>21008</v>
      </c>
      <c r="F4312" t="s">
        <v>29372</v>
      </c>
      <c r="G4312" t="s">
        <v>29383</v>
      </c>
      <c r="H4312" t="s">
        <v>11048</v>
      </c>
      <c r="I4312" t="s">
        <v>29407</v>
      </c>
      <c r="J4312" t="s">
        <v>32403</v>
      </c>
      <c r="K4312" t="s">
        <v>38490</v>
      </c>
      <c r="M4312" t="s">
        <v>39312</v>
      </c>
      <c r="N4312" t="s">
        <v>42669</v>
      </c>
      <c r="O4312" t="s">
        <v>42670</v>
      </c>
      <c r="P4312">
        <v>0</v>
      </c>
      <c r="Q4312">
        <v>4</v>
      </c>
      <c r="R4312" t="s">
        <v>42676</v>
      </c>
      <c r="S4312" t="s">
        <v>42809</v>
      </c>
      <c r="T4312" t="s">
        <v>44493</v>
      </c>
      <c r="U4312" t="s">
        <v>48364</v>
      </c>
      <c r="W4312" t="s">
        <v>39312</v>
      </c>
      <c r="X4312" t="s">
        <v>42677</v>
      </c>
    </row>
    <row r="4313" spans="1:24">
      <c r="A4313">
        <f>HYPERLINK("https://www.philgeps.gov.ph/GEPSNONPILOT/Tender/SplashBidNoticeAbstractUI.aspx?menuIndex=3&amp;refID=7187803&amp;Result=3","7187803")</f>
        <v>0</v>
      </c>
      <c r="B4313" t="s">
        <v>130</v>
      </c>
      <c r="C4313" t="s">
        <v>7659</v>
      </c>
      <c r="D4313" t="s">
        <v>17185</v>
      </c>
      <c r="E4313" t="s">
        <v>21009</v>
      </c>
      <c r="F4313" t="s">
        <v>29372</v>
      </c>
      <c r="G4313" t="s">
        <v>29379</v>
      </c>
      <c r="H4313" t="s">
        <v>11048</v>
      </c>
      <c r="I4313" t="s">
        <v>29464</v>
      </c>
      <c r="J4313" t="s">
        <v>32404</v>
      </c>
      <c r="K4313" t="s">
        <v>38528</v>
      </c>
      <c r="M4313" t="s">
        <v>40300</v>
      </c>
      <c r="N4313" t="s">
        <v>42669</v>
      </c>
      <c r="O4313" t="s">
        <v>42670</v>
      </c>
      <c r="P4313">
        <v>0</v>
      </c>
      <c r="Q4313">
        <v>1</v>
      </c>
      <c r="R4313" t="s">
        <v>42676</v>
      </c>
      <c r="S4313" t="s">
        <v>42809</v>
      </c>
      <c r="T4313" t="s">
        <v>44491</v>
      </c>
      <c r="U4313" t="s">
        <v>48365</v>
      </c>
      <c r="W4313" t="s">
        <v>40300</v>
      </c>
      <c r="X4313" t="s">
        <v>42677</v>
      </c>
    </row>
    <row r="4314" spans="1:24">
      <c r="A4314">
        <f>HYPERLINK("https://www.philgeps.gov.ph/GEPSNONPILOT/Tender/SplashBidNoticeAbstractUI.aspx?menuIndex=3&amp;refID=7187701&amp;Result=3","7187701")</f>
        <v>0</v>
      </c>
      <c r="B4314" t="s">
        <v>1562</v>
      </c>
      <c r="C4314" t="s">
        <v>7660</v>
      </c>
      <c r="D4314" t="s">
        <v>17167</v>
      </c>
      <c r="E4314" t="s">
        <v>21010</v>
      </c>
      <c r="F4314" t="s">
        <v>29372</v>
      </c>
      <c r="G4314" t="s">
        <v>29380</v>
      </c>
      <c r="H4314" t="s">
        <v>11048</v>
      </c>
      <c r="I4314" t="s">
        <v>9469</v>
      </c>
      <c r="J4314" t="s">
        <v>32405</v>
      </c>
      <c r="K4314" t="s">
        <v>38485</v>
      </c>
      <c r="M4314" t="s">
        <v>40412</v>
      </c>
      <c r="N4314" t="s">
        <v>42669</v>
      </c>
      <c r="O4314" t="s">
        <v>42670</v>
      </c>
      <c r="P4314">
        <v>0</v>
      </c>
      <c r="Q4314">
        <v>4</v>
      </c>
      <c r="R4314" t="s">
        <v>42676</v>
      </c>
      <c r="S4314" t="s">
        <v>42809</v>
      </c>
      <c r="T4314" t="s">
        <v>44374</v>
      </c>
      <c r="U4314" t="s">
        <v>48366</v>
      </c>
      <c r="V4314" t="s">
        <v>56808</v>
      </c>
      <c r="W4314" t="s">
        <v>40412</v>
      </c>
      <c r="X4314" t="s">
        <v>42677</v>
      </c>
    </row>
    <row r="4315" spans="1:24">
      <c r="A4315">
        <f>HYPERLINK("https://www.philgeps.gov.ph/GEPSNONPILOT/Tender/SplashBidNoticeAbstractUI.aspx?menuIndex=3&amp;refID=7187834&amp;Result=3","7187834")</f>
        <v>0</v>
      </c>
      <c r="B4315" t="s">
        <v>1563</v>
      </c>
      <c r="C4315" t="s">
        <v>7661</v>
      </c>
      <c r="D4315" t="s">
        <v>17201</v>
      </c>
      <c r="E4315" t="s">
        <v>21011</v>
      </c>
      <c r="F4315" t="s">
        <v>29372</v>
      </c>
      <c r="G4315" t="s">
        <v>29380</v>
      </c>
      <c r="H4315" t="s">
        <v>29389</v>
      </c>
      <c r="I4315" t="s">
        <v>10408</v>
      </c>
      <c r="J4315" t="s">
        <v>30161</v>
      </c>
      <c r="K4315" t="s">
        <v>38516</v>
      </c>
      <c r="L4315" t="s">
        <v>1563</v>
      </c>
      <c r="M4315" t="s">
        <v>40413</v>
      </c>
      <c r="N4315" t="s">
        <v>42669</v>
      </c>
      <c r="O4315" t="s">
        <v>42670</v>
      </c>
      <c r="P4315">
        <v>0</v>
      </c>
      <c r="Q4315">
        <v>0</v>
      </c>
      <c r="R4315" t="s">
        <v>42676</v>
      </c>
      <c r="S4315" t="s">
        <v>42809</v>
      </c>
      <c r="T4315" t="s">
        <v>44504</v>
      </c>
      <c r="U4315" t="s">
        <v>48367</v>
      </c>
      <c r="W4315" t="s">
        <v>40413</v>
      </c>
      <c r="X4315" t="s">
        <v>42677</v>
      </c>
    </row>
    <row r="4316" spans="1:24">
      <c r="A4316">
        <f>HYPERLINK("https://www.philgeps.gov.ph/GEPSNONPILOT/Tender/SplashBidNoticeAbstractUI.aspx?menuIndex=3&amp;refID=7187842&amp;Result=3","7187842")</f>
        <v>0</v>
      </c>
      <c r="B4316" t="s">
        <v>684</v>
      </c>
      <c r="C4316" t="s">
        <v>7662</v>
      </c>
      <c r="D4316" t="s">
        <v>17188</v>
      </c>
      <c r="E4316" t="s">
        <v>21012</v>
      </c>
      <c r="F4316" t="s">
        <v>29372</v>
      </c>
      <c r="G4316" t="s">
        <v>29379</v>
      </c>
      <c r="H4316" t="s">
        <v>11048</v>
      </c>
      <c r="I4316" t="s">
        <v>29394</v>
      </c>
      <c r="J4316" t="s">
        <v>29555</v>
      </c>
      <c r="K4316" t="s">
        <v>38488</v>
      </c>
      <c r="M4316" t="s">
        <v>39779</v>
      </c>
      <c r="N4316" t="s">
        <v>42669</v>
      </c>
      <c r="O4316" t="s">
        <v>42670</v>
      </c>
      <c r="P4316">
        <v>0</v>
      </c>
      <c r="Q4316">
        <v>7</v>
      </c>
      <c r="R4316" t="s">
        <v>42676</v>
      </c>
      <c r="S4316" t="s">
        <v>42809</v>
      </c>
      <c r="T4316" t="s">
        <v>44651</v>
      </c>
      <c r="U4316" t="s">
        <v>48368</v>
      </c>
      <c r="V4316" t="s">
        <v>45789</v>
      </c>
      <c r="W4316" t="s">
        <v>39779</v>
      </c>
      <c r="X4316" t="s">
        <v>42677</v>
      </c>
    </row>
    <row r="4317" spans="1:24">
      <c r="A4317">
        <f>HYPERLINK("https://www.philgeps.gov.ph/GEPSNONPILOT/Tender/SplashBidNoticeAbstractUI.aspx?menuIndex=3&amp;refID=7187841&amp;Result=3","7187841")</f>
        <v>0</v>
      </c>
      <c r="B4317" t="s">
        <v>1546</v>
      </c>
      <c r="C4317" t="s">
        <v>7663</v>
      </c>
      <c r="D4317" t="s">
        <v>17187</v>
      </c>
      <c r="E4317" t="s">
        <v>21013</v>
      </c>
      <c r="F4317" t="s">
        <v>29372</v>
      </c>
      <c r="G4317" t="s">
        <v>29383</v>
      </c>
      <c r="H4317" t="s">
        <v>11048</v>
      </c>
      <c r="I4317" t="s">
        <v>4486</v>
      </c>
      <c r="J4317" t="s">
        <v>32406</v>
      </c>
      <c r="K4317" t="s">
        <v>38489</v>
      </c>
      <c r="M4317" t="s">
        <v>40396</v>
      </c>
      <c r="N4317" t="s">
        <v>42669</v>
      </c>
      <c r="O4317" t="s">
        <v>42670</v>
      </c>
      <c r="P4317">
        <v>0</v>
      </c>
      <c r="Q4317">
        <v>1</v>
      </c>
      <c r="R4317" t="s">
        <v>42676</v>
      </c>
      <c r="S4317" t="s">
        <v>42809</v>
      </c>
      <c r="T4317" t="s">
        <v>44560</v>
      </c>
      <c r="U4317" t="s">
        <v>48369</v>
      </c>
      <c r="W4317" t="s">
        <v>40396</v>
      </c>
      <c r="X4317" t="s">
        <v>42677</v>
      </c>
    </row>
    <row r="4318" spans="1:24">
      <c r="A4318">
        <f>HYPERLINK("https://www.philgeps.gov.ph/GEPSNONPILOT/Tender/SplashBidNoticeAbstractUI.aspx?menuIndex=3&amp;refID=7187852&amp;Result=3","7187852")</f>
        <v>0</v>
      </c>
      <c r="B4318" t="s">
        <v>1564</v>
      </c>
      <c r="C4318" t="s">
        <v>7664</v>
      </c>
      <c r="D4318" t="s">
        <v>17171</v>
      </c>
      <c r="E4318" t="s">
        <v>17533</v>
      </c>
      <c r="F4318" t="s">
        <v>29372</v>
      </c>
      <c r="G4318" t="s">
        <v>29379</v>
      </c>
      <c r="H4318" t="s">
        <v>29390</v>
      </c>
      <c r="I4318" t="s">
        <v>4487</v>
      </c>
      <c r="J4318" t="s">
        <v>32407</v>
      </c>
      <c r="K4318" t="s">
        <v>38537</v>
      </c>
      <c r="M4318" t="s">
        <v>40414</v>
      </c>
      <c r="N4318" t="s">
        <v>42669</v>
      </c>
      <c r="O4318" t="s">
        <v>42670</v>
      </c>
      <c r="P4318">
        <v>0</v>
      </c>
      <c r="Q4318">
        <v>4</v>
      </c>
      <c r="R4318" t="s">
        <v>42676</v>
      </c>
      <c r="S4318" t="s">
        <v>42809</v>
      </c>
      <c r="T4318" t="s">
        <v>44430</v>
      </c>
      <c r="U4318" t="s">
        <v>48370</v>
      </c>
      <c r="W4318" t="s">
        <v>40414</v>
      </c>
      <c r="X4318" t="s">
        <v>42677</v>
      </c>
    </row>
    <row r="4319" spans="1:24">
      <c r="A4319">
        <f>HYPERLINK("https://www.philgeps.gov.ph/GEPSNONPILOT/Tender/SplashBidNoticeAbstractUI.aspx?menuIndex=3&amp;refID=7187840&amp;Result=3","7187840")</f>
        <v>0</v>
      </c>
      <c r="B4319" t="s">
        <v>1504</v>
      </c>
      <c r="C4319" t="s">
        <v>7665</v>
      </c>
      <c r="D4319" t="s">
        <v>17170</v>
      </c>
      <c r="E4319" t="s">
        <v>21014</v>
      </c>
      <c r="F4319" t="s">
        <v>29372</v>
      </c>
      <c r="G4319" t="s">
        <v>29379</v>
      </c>
      <c r="H4319" t="s">
        <v>11048</v>
      </c>
      <c r="I4319" t="s">
        <v>4487</v>
      </c>
      <c r="J4319" t="s">
        <v>32408</v>
      </c>
      <c r="K4319" t="s">
        <v>38510</v>
      </c>
      <c r="M4319" t="s">
        <v>40348</v>
      </c>
      <c r="N4319" t="s">
        <v>42669</v>
      </c>
      <c r="O4319" t="s">
        <v>42670</v>
      </c>
      <c r="P4319">
        <v>0</v>
      </c>
      <c r="Q4319">
        <v>2</v>
      </c>
      <c r="R4319" t="s">
        <v>42676</v>
      </c>
      <c r="S4319" t="s">
        <v>42809</v>
      </c>
      <c r="T4319" t="s">
        <v>44488</v>
      </c>
      <c r="U4319" t="s">
        <v>48371</v>
      </c>
      <c r="W4319" t="s">
        <v>40348</v>
      </c>
      <c r="X4319" t="s">
        <v>42677</v>
      </c>
    </row>
    <row r="4320" spans="1:24">
      <c r="A4320">
        <f>HYPERLINK("https://www.philgeps.gov.ph/GEPSNONPILOT/Tender/SplashBidNoticeAbstractUI.aspx?menuIndex=3&amp;refID=7187837&amp;Result=3","7187837")</f>
        <v>0</v>
      </c>
      <c r="B4320" t="s">
        <v>669</v>
      </c>
      <c r="C4320" t="s">
        <v>7666</v>
      </c>
      <c r="D4320" t="s">
        <v>17147</v>
      </c>
      <c r="E4320" t="s">
        <v>21015</v>
      </c>
      <c r="F4320" t="s">
        <v>29372</v>
      </c>
      <c r="G4320" t="s">
        <v>29381</v>
      </c>
      <c r="H4320" t="s">
        <v>11048</v>
      </c>
      <c r="I4320" t="s">
        <v>29444</v>
      </c>
      <c r="J4320" t="s">
        <v>32409</v>
      </c>
      <c r="K4320" t="s">
        <v>38488</v>
      </c>
      <c r="M4320" t="s">
        <v>39445</v>
      </c>
      <c r="N4320" t="s">
        <v>42669</v>
      </c>
      <c r="O4320" t="s">
        <v>42670</v>
      </c>
      <c r="P4320">
        <v>0</v>
      </c>
      <c r="Q4320">
        <v>1</v>
      </c>
      <c r="R4320" t="s">
        <v>42676</v>
      </c>
      <c r="S4320" t="s">
        <v>42809</v>
      </c>
      <c r="T4320" t="s">
        <v>44580</v>
      </c>
      <c r="U4320" t="s">
        <v>48372</v>
      </c>
      <c r="V4320" t="s">
        <v>56531</v>
      </c>
      <c r="W4320" t="s">
        <v>39445</v>
      </c>
      <c r="X4320" t="s">
        <v>42677</v>
      </c>
    </row>
    <row r="4321" spans="1:24">
      <c r="A4321">
        <f>HYPERLINK("https://www.philgeps.gov.ph/GEPSNONPILOT/Tender/SplashBidNoticeAbstractUI.aspx?menuIndex=3&amp;refID=7187835&amp;Result=3","7187835")</f>
        <v>0</v>
      </c>
      <c r="B4321" t="s">
        <v>1565</v>
      </c>
      <c r="C4321" t="s">
        <v>7667</v>
      </c>
      <c r="D4321" t="s">
        <v>17156</v>
      </c>
      <c r="E4321" t="s">
        <v>21016</v>
      </c>
      <c r="F4321" t="s">
        <v>29372</v>
      </c>
      <c r="G4321" t="s">
        <v>29380</v>
      </c>
      <c r="H4321" t="s">
        <v>11048</v>
      </c>
      <c r="I4321" t="s">
        <v>9469</v>
      </c>
      <c r="J4321" t="s">
        <v>29924</v>
      </c>
      <c r="K4321" t="s">
        <v>38487</v>
      </c>
      <c r="M4321" t="s">
        <v>40415</v>
      </c>
      <c r="N4321" t="s">
        <v>42669</v>
      </c>
      <c r="O4321" t="s">
        <v>42670</v>
      </c>
      <c r="P4321">
        <v>0</v>
      </c>
      <c r="Q4321">
        <v>1</v>
      </c>
      <c r="R4321" t="s">
        <v>42676</v>
      </c>
      <c r="S4321" t="s">
        <v>42809</v>
      </c>
      <c r="T4321" t="s">
        <v>44662</v>
      </c>
      <c r="U4321" t="s">
        <v>48373</v>
      </c>
      <c r="W4321" t="s">
        <v>40415</v>
      </c>
      <c r="X4321" t="s">
        <v>42677</v>
      </c>
    </row>
    <row r="4322" spans="1:24">
      <c r="A4322">
        <f>HYPERLINK("https://www.philgeps.gov.ph/GEPSNONPILOT/Tender/SplashBidNoticeAbstractUI.aspx?menuIndex=3&amp;refID=7187871&amp;Result=3","7187871")</f>
        <v>0</v>
      </c>
      <c r="B4322" t="s">
        <v>1566</v>
      </c>
      <c r="C4322" t="s">
        <v>7668</v>
      </c>
      <c r="E4322" t="s">
        <v>21017</v>
      </c>
      <c r="F4322" t="s">
        <v>29372</v>
      </c>
      <c r="G4322" t="s">
        <v>29380</v>
      </c>
      <c r="H4322" t="s">
        <v>11048</v>
      </c>
      <c r="I4322" t="s">
        <v>29398</v>
      </c>
      <c r="J4322" t="s">
        <v>32410</v>
      </c>
      <c r="K4322" t="s">
        <v>38490</v>
      </c>
      <c r="M4322" t="s">
        <v>40416</v>
      </c>
      <c r="N4322" t="s">
        <v>42669</v>
      </c>
      <c r="O4322" t="s">
        <v>42670</v>
      </c>
      <c r="P4322">
        <v>0</v>
      </c>
      <c r="Q4322">
        <v>1</v>
      </c>
      <c r="R4322" t="s">
        <v>42676</v>
      </c>
      <c r="S4322" t="s">
        <v>42809</v>
      </c>
      <c r="T4322" t="s">
        <v>44663</v>
      </c>
      <c r="U4322" t="s">
        <v>48374</v>
      </c>
      <c r="W4322" t="s">
        <v>40416</v>
      </c>
      <c r="X4322" t="s">
        <v>42677</v>
      </c>
    </row>
    <row r="4323" spans="1:24">
      <c r="A4323">
        <f>HYPERLINK("https://www.philgeps.gov.ph/GEPSNONPILOT/Tender/SplashBidNoticeAbstractUI.aspx?menuIndex=3&amp;refID=7187866&amp;Result=3","7187866")</f>
        <v>0</v>
      </c>
      <c r="B4323" t="s">
        <v>503</v>
      </c>
      <c r="C4323" t="s">
        <v>7669</v>
      </c>
      <c r="D4323" t="s">
        <v>17156</v>
      </c>
      <c r="E4323" t="s">
        <v>21018</v>
      </c>
      <c r="F4323" t="s">
        <v>29372</v>
      </c>
      <c r="G4323" t="s">
        <v>29379</v>
      </c>
      <c r="H4323" t="s">
        <v>11048</v>
      </c>
      <c r="I4323" t="s">
        <v>29433</v>
      </c>
      <c r="J4323" t="s">
        <v>31805</v>
      </c>
      <c r="K4323" t="s">
        <v>38485</v>
      </c>
      <c r="M4323" t="s">
        <v>39268</v>
      </c>
      <c r="N4323" t="s">
        <v>42669</v>
      </c>
      <c r="O4323" t="s">
        <v>42670</v>
      </c>
      <c r="P4323">
        <v>0</v>
      </c>
      <c r="Q4323">
        <v>10</v>
      </c>
      <c r="R4323" t="s">
        <v>42676</v>
      </c>
      <c r="S4323" t="s">
        <v>42809</v>
      </c>
      <c r="T4323" t="s">
        <v>44399</v>
      </c>
      <c r="U4323" t="s">
        <v>48375</v>
      </c>
      <c r="W4323" t="s">
        <v>39268</v>
      </c>
      <c r="X4323" t="s">
        <v>42677</v>
      </c>
    </row>
    <row r="4324" spans="1:24">
      <c r="A4324">
        <f>HYPERLINK("https://www.philgeps.gov.ph/GEPSNONPILOT/Tender/SplashBidNoticeAbstractUI.aspx?menuIndex=3&amp;refID=7187865&amp;Result=3","7187865")</f>
        <v>0</v>
      </c>
      <c r="B4324" t="s">
        <v>110</v>
      </c>
      <c r="C4324" t="s">
        <v>7670</v>
      </c>
      <c r="D4324" t="s">
        <v>17165</v>
      </c>
      <c r="E4324" t="s">
        <v>21019</v>
      </c>
      <c r="F4324" t="s">
        <v>29372</v>
      </c>
      <c r="G4324" t="s">
        <v>29381</v>
      </c>
      <c r="H4324" t="s">
        <v>11048</v>
      </c>
      <c r="I4324" t="s">
        <v>29433</v>
      </c>
      <c r="J4324" t="s">
        <v>32411</v>
      </c>
      <c r="K4324" t="s">
        <v>38510</v>
      </c>
      <c r="L4324" t="s">
        <v>110</v>
      </c>
      <c r="M4324" t="s">
        <v>38865</v>
      </c>
      <c r="N4324" t="s">
        <v>42669</v>
      </c>
      <c r="O4324" t="s">
        <v>42670</v>
      </c>
      <c r="P4324">
        <v>0</v>
      </c>
      <c r="Q4324">
        <v>16</v>
      </c>
      <c r="R4324" t="s">
        <v>42676</v>
      </c>
      <c r="S4324" t="s">
        <v>42809</v>
      </c>
      <c r="T4324" t="s">
        <v>44387</v>
      </c>
      <c r="U4324" t="s">
        <v>45036</v>
      </c>
      <c r="V4324" t="s">
        <v>56354</v>
      </c>
      <c r="W4324" t="s">
        <v>38865</v>
      </c>
      <c r="X4324" t="s">
        <v>42677</v>
      </c>
    </row>
    <row r="4325" spans="1:24">
      <c r="A4325">
        <f>HYPERLINK("https://www.philgeps.gov.ph/GEPSNONPILOT/Tender/SplashBidNoticeAbstractUI.aspx?menuIndex=3&amp;refID=7187859&amp;Result=3","7187859")</f>
        <v>0</v>
      </c>
      <c r="B4325" t="s">
        <v>1566</v>
      </c>
      <c r="C4325" t="s">
        <v>3839</v>
      </c>
      <c r="E4325" t="s">
        <v>21020</v>
      </c>
      <c r="F4325" t="s">
        <v>29372</v>
      </c>
      <c r="G4325" t="s">
        <v>29380</v>
      </c>
      <c r="H4325" t="s">
        <v>11048</v>
      </c>
      <c r="I4325" t="s">
        <v>3839</v>
      </c>
      <c r="J4325" t="s">
        <v>30145</v>
      </c>
      <c r="K4325" t="s">
        <v>38490</v>
      </c>
      <c r="M4325" t="s">
        <v>40416</v>
      </c>
      <c r="N4325" t="s">
        <v>42669</v>
      </c>
      <c r="O4325" t="s">
        <v>42670</v>
      </c>
      <c r="P4325">
        <v>0</v>
      </c>
      <c r="Q4325">
        <v>0</v>
      </c>
      <c r="R4325" t="s">
        <v>42676</v>
      </c>
      <c r="S4325" t="s">
        <v>42809</v>
      </c>
      <c r="T4325" t="s">
        <v>44663</v>
      </c>
      <c r="U4325" t="s">
        <v>48376</v>
      </c>
      <c r="W4325" t="s">
        <v>40416</v>
      </c>
      <c r="X4325" t="s">
        <v>42677</v>
      </c>
    </row>
    <row r="4326" spans="1:24">
      <c r="A4326">
        <f>HYPERLINK("https://www.philgeps.gov.ph/GEPSNONPILOT/Tender/SplashBidNoticeAbstractUI.aspx?menuIndex=3&amp;refID=7187843&amp;Result=3","7187843")</f>
        <v>0</v>
      </c>
      <c r="B4326" t="s">
        <v>1567</v>
      </c>
      <c r="C4326" t="s">
        <v>7671</v>
      </c>
      <c r="D4326" t="s">
        <v>17168</v>
      </c>
      <c r="E4326" t="s">
        <v>17399</v>
      </c>
      <c r="F4326" t="s">
        <v>29372</v>
      </c>
      <c r="G4326" t="s">
        <v>29380</v>
      </c>
      <c r="H4326" t="s">
        <v>11048</v>
      </c>
      <c r="I4326" t="s">
        <v>4709</v>
      </c>
      <c r="J4326" t="s">
        <v>32412</v>
      </c>
      <c r="K4326" t="s">
        <v>38510</v>
      </c>
      <c r="M4326" t="s">
        <v>40417</v>
      </c>
      <c r="N4326" t="s">
        <v>42669</v>
      </c>
      <c r="O4326" t="s">
        <v>42670</v>
      </c>
      <c r="P4326">
        <v>0</v>
      </c>
      <c r="Q4326">
        <v>0</v>
      </c>
      <c r="R4326" t="s">
        <v>42676</v>
      </c>
      <c r="S4326" t="s">
        <v>42809</v>
      </c>
      <c r="T4326" t="s">
        <v>44387</v>
      </c>
      <c r="U4326" t="s">
        <v>48377</v>
      </c>
      <c r="W4326" t="s">
        <v>40417</v>
      </c>
      <c r="X4326" t="s">
        <v>42677</v>
      </c>
    </row>
    <row r="4327" spans="1:24">
      <c r="A4327">
        <f>HYPERLINK("https://www.philgeps.gov.ph/GEPSNONPILOT/Tender/SplashBidNoticeAbstractUI.aspx?menuIndex=3&amp;refID=7187857&amp;Result=3","7187857")</f>
        <v>0</v>
      </c>
      <c r="B4327" t="s">
        <v>1568</v>
      </c>
      <c r="C4327" t="s">
        <v>7672</v>
      </c>
      <c r="D4327" t="s">
        <v>17174</v>
      </c>
      <c r="E4327" t="s">
        <v>21021</v>
      </c>
      <c r="F4327" t="s">
        <v>29372</v>
      </c>
      <c r="G4327" t="s">
        <v>29380</v>
      </c>
      <c r="H4327" t="s">
        <v>11048</v>
      </c>
      <c r="I4327" t="s">
        <v>3839</v>
      </c>
      <c r="J4327" t="s">
        <v>31210</v>
      </c>
      <c r="K4327" t="s">
        <v>38510</v>
      </c>
      <c r="L4327" t="s">
        <v>1568</v>
      </c>
      <c r="M4327" t="s">
        <v>40418</v>
      </c>
      <c r="N4327" t="s">
        <v>42669</v>
      </c>
      <c r="O4327" t="s">
        <v>42670</v>
      </c>
      <c r="P4327">
        <v>0</v>
      </c>
      <c r="Q4327">
        <v>2</v>
      </c>
      <c r="R4327" t="s">
        <v>42676</v>
      </c>
      <c r="S4327" t="s">
        <v>42809</v>
      </c>
      <c r="T4327" t="s">
        <v>44444</v>
      </c>
      <c r="U4327" t="s">
        <v>48378</v>
      </c>
      <c r="V4327" t="s">
        <v>56809</v>
      </c>
      <c r="W4327" t="s">
        <v>40418</v>
      </c>
      <c r="X4327" t="s">
        <v>42677</v>
      </c>
    </row>
    <row r="4328" spans="1:24">
      <c r="A4328">
        <f>HYPERLINK("https://www.philgeps.gov.ph/GEPSNONPILOT/Tender/SplashBidNoticeAbstractUI.aspx?menuIndex=3&amp;refID=7187855&amp;Result=3","7187855")</f>
        <v>0</v>
      </c>
      <c r="B4328" t="s">
        <v>1470</v>
      </c>
      <c r="C4328" t="s">
        <v>7673</v>
      </c>
      <c r="D4328" t="s">
        <v>17153</v>
      </c>
      <c r="E4328" t="s">
        <v>21022</v>
      </c>
      <c r="F4328" t="s">
        <v>29372</v>
      </c>
      <c r="G4328" t="s">
        <v>29380</v>
      </c>
      <c r="H4328" t="s">
        <v>11048</v>
      </c>
      <c r="I4328" t="s">
        <v>4486</v>
      </c>
      <c r="J4328" t="s">
        <v>29564</v>
      </c>
      <c r="K4328" t="s">
        <v>38485</v>
      </c>
      <c r="M4328" t="s">
        <v>40313</v>
      </c>
      <c r="N4328" t="s">
        <v>42669</v>
      </c>
      <c r="O4328" t="s">
        <v>42670</v>
      </c>
      <c r="P4328">
        <v>0</v>
      </c>
      <c r="Q4328">
        <v>0</v>
      </c>
      <c r="R4328" t="s">
        <v>42676</v>
      </c>
      <c r="S4328" t="s">
        <v>42809</v>
      </c>
      <c r="T4328" t="s">
        <v>44443</v>
      </c>
      <c r="U4328" t="s">
        <v>48146</v>
      </c>
      <c r="V4328" t="s">
        <v>56769</v>
      </c>
      <c r="W4328" t="s">
        <v>40313</v>
      </c>
      <c r="X4328" t="s">
        <v>42677</v>
      </c>
    </row>
    <row r="4329" spans="1:24">
      <c r="A4329">
        <f>HYPERLINK("https://www.philgeps.gov.ph/GEPSNONPILOT/Tender/SplashBidNoticeAbstractUI.aspx?menuIndex=3&amp;refID=7187853&amp;Result=3","7187853")</f>
        <v>0</v>
      </c>
      <c r="B4329" t="s">
        <v>1560</v>
      </c>
      <c r="C4329" t="s">
        <v>7674</v>
      </c>
      <c r="D4329" t="s">
        <v>17156</v>
      </c>
      <c r="E4329" t="s">
        <v>17290</v>
      </c>
      <c r="F4329" t="s">
        <v>29372</v>
      </c>
      <c r="G4329" t="s">
        <v>29379</v>
      </c>
      <c r="H4329" t="s">
        <v>11048</v>
      </c>
      <c r="I4329" t="s">
        <v>29396</v>
      </c>
      <c r="J4329" t="s">
        <v>29764</v>
      </c>
      <c r="K4329" t="s">
        <v>38490</v>
      </c>
      <c r="M4329" t="s">
        <v>40410</v>
      </c>
      <c r="N4329" t="s">
        <v>42669</v>
      </c>
      <c r="O4329" t="s">
        <v>42670</v>
      </c>
      <c r="P4329">
        <v>0</v>
      </c>
      <c r="Q4329">
        <v>0</v>
      </c>
      <c r="R4329" t="s">
        <v>42676</v>
      </c>
      <c r="S4329" t="s">
        <v>42809</v>
      </c>
      <c r="T4329" t="s">
        <v>44432</v>
      </c>
      <c r="U4329" t="s">
        <v>48379</v>
      </c>
      <c r="V4329" t="s">
        <v>56488</v>
      </c>
      <c r="W4329" t="s">
        <v>40410</v>
      </c>
      <c r="X4329" t="s">
        <v>42677</v>
      </c>
    </row>
    <row r="4330" spans="1:24">
      <c r="A4330">
        <f>HYPERLINK("https://www.philgeps.gov.ph/GEPSNONPILOT/Tender/SplashBidNoticeAbstractUI.aspx?menuIndex=3&amp;refID=7187850&amp;Result=3","7187850")</f>
        <v>0</v>
      </c>
      <c r="B4330" t="s">
        <v>503</v>
      </c>
      <c r="C4330" t="s">
        <v>7675</v>
      </c>
      <c r="D4330" t="s">
        <v>17156</v>
      </c>
      <c r="E4330" t="s">
        <v>21023</v>
      </c>
      <c r="F4330" t="s">
        <v>29372</v>
      </c>
      <c r="G4330" t="s">
        <v>29379</v>
      </c>
      <c r="H4330" t="s">
        <v>11048</v>
      </c>
      <c r="I4330" t="s">
        <v>29415</v>
      </c>
      <c r="J4330" t="s">
        <v>29590</v>
      </c>
      <c r="K4330" t="s">
        <v>38485</v>
      </c>
      <c r="M4330" t="s">
        <v>39268</v>
      </c>
      <c r="N4330" t="s">
        <v>42669</v>
      </c>
      <c r="O4330" t="s">
        <v>42670</v>
      </c>
      <c r="P4330">
        <v>0</v>
      </c>
      <c r="Q4330">
        <v>0</v>
      </c>
      <c r="R4330" t="s">
        <v>42676</v>
      </c>
      <c r="S4330" t="s">
        <v>42809</v>
      </c>
      <c r="T4330" t="s">
        <v>44399</v>
      </c>
      <c r="U4330" t="s">
        <v>48380</v>
      </c>
      <c r="W4330" t="s">
        <v>39268</v>
      </c>
      <c r="X4330" t="s">
        <v>42677</v>
      </c>
    </row>
    <row r="4331" spans="1:24">
      <c r="A4331">
        <f>HYPERLINK("https://www.philgeps.gov.ph/GEPSNONPILOT/Tender/SplashBidNoticeAbstractUI.aspx?menuIndex=3&amp;refID=7187899&amp;Result=3","7187899")</f>
        <v>0</v>
      </c>
      <c r="B4331" t="s">
        <v>1569</v>
      </c>
      <c r="C4331" t="s">
        <v>7676</v>
      </c>
      <c r="D4331" t="s">
        <v>17169</v>
      </c>
      <c r="E4331" t="s">
        <v>21024</v>
      </c>
      <c r="F4331" t="s">
        <v>29372</v>
      </c>
      <c r="G4331" t="s">
        <v>29382</v>
      </c>
      <c r="H4331" t="s">
        <v>11048</v>
      </c>
      <c r="I4331" t="s">
        <v>4487</v>
      </c>
      <c r="J4331" t="s">
        <v>32413</v>
      </c>
      <c r="K4331" t="s">
        <v>38518</v>
      </c>
      <c r="M4331" t="s">
        <v>40419</v>
      </c>
      <c r="N4331" t="s">
        <v>42669</v>
      </c>
      <c r="O4331" t="s">
        <v>42670</v>
      </c>
      <c r="P4331">
        <v>0</v>
      </c>
      <c r="Q4331">
        <v>14</v>
      </c>
      <c r="R4331" t="s">
        <v>42676</v>
      </c>
      <c r="S4331" t="s">
        <v>42809</v>
      </c>
      <c r="T4331" t="s">
        <v>44385</v>
      </c>
      <c r="U4331" t="s">
        <v>48381</v>
      </c>
      <c r="W4331" t="s">
        <v>40419</v>
      </c>
      <c r="X4331" t="s">
        <v>42677</v>
      </c>
    </row>
    <row r="4332" spans="1:24">
      <c r="A4332">
        <f>HYPERLINK("https://www.philgeps.gov.ph/GEPSNONPILOT/Tender/SplashBidNoticeAbstractUI.aspx?menuIndex=3&amp;refID=7187893&amp;Result=3","7187893")</f>
        <v>0</v>
      </c>
      <c r="B4332" t="s">
        <v>844</v>
      </c>
      <c r="C4332" t="s">
        <v>7677</v>
      </c>
      <c r="D4332" t="s">
        <v>17143</v>
      </c>
      <c r="E4332" t="s">
        <v>21025</v>
      </c>
      <c r="F4332" t="s">
        <v>29373</v>
      </c>
      <c r="G4332" t="s">
        <v>29380</v>
      </c>
      <c r="H4332" t="s">
        <v>11048</v>
      </c>
      <c r="I4332" t="s">
        <v>3670</v>
      </c>
      <c r="J4332" t="s">
        <v>32414</v>
      </c>
      <c r="K4332" t="s">
        <v>38485</v>
      </c>
      <c r="M4332" t="s">
        <v>39634</v>
      </c>
      <c r="N4332" t="s">
        <v>42669</v>
      </c>
      <c r="O4332" t="s">
        <v>42670</v>
      </c>
      <c r="P4332">
        <v>0</v>
      </c>
      <c r="Q4332">
        <v>6</v>
      </c>
      <c r="R4332" t="s">
        <v>42676</v>
      </c>
      <c r="S4332" t="s">
        <v>42809</v>
      </c>
      <c r="T4332" t="s">
        <v>44593</v>
      </c>
      <c r="U4332" t="s">
        <v>48382</v>
      </c>
      <c r="W4332" t="s">
        <v>39634</v>
      </c>
      <c r="X4332" t="s">
        <v>42677</v>
      </c>
    </row>
    <row r="4333" spans="1:24">
      <c r="A4333">
        <f>HYPERLINK("https://www.philgeps.gov.ph/GEPSNONPILOT/Tender/SplashBidNoticeAbstractUI.aspx?menuIndex=3&amp;refID=7187872&amp;Result=3","7187872")</f>
        <v>0</v>
      </c>
      <c r="B4333" t="s">
        <v>1383</v>
      </c>
      <c r="C4333" t="s">
        <v>7678</v>
      </c>
      <c r="D4333" t="s">
        <v>17169</v>
      </c>
      <c r="E4333" t="s">
        <v>20592</v>
      </c>
      <c r="F4333" t="s">
        <v>29372</v>
      </c>
      <c r="G4333" t="s">
        <v>29380</v>
      </c>
      <c r="H4333" t="s">
        <v>29389</v>
      </c>
      <c r="I4333" t="s">
        <v>10408</v>
      </c>
      <c r="J4333" t="s">
        <v>32415</v>
      </c>
      <c r="K4333" t="s">
        <v>38496</v>
      </c>
      <c r="M4333" t="s">
        <v>40220</v>
      </c>
      <c r="N4333" t="s">
        <v>42669</v>
      </c>
      <c r="O4333" t="s">
        <v>42670</v>
      </c>
      <c r="P4333">
        <v>0</v>
      </c>
      <c r="Q4333">
        <v>1</v>
      </c>
      <c r="R4333" t="s">
        <v>42676</v>
      </c>
      <c r="S4333" t="s">
        <v>42809</v>
      </c>
      <c r="T4333" t="s">
        <v>44587</v>
      </c>
      <c r="U4333" t="s">
        <v>47960</v>
      </c>
      <c r="V4333" t="s">
        <v>56810</v>
      </c>
      <c r="W4333" t="s">
        <v>40220</v>
      </c>
      <c r="X4333" t="s">
        <v>42677</v>
      </c>
    </row>
    <row r="4334" spans="1:24">
      <c r="A4334">
        <f>HYPERLINK("https://www.philgeps.gov.ph/GEPSNONPILOT/Tender/SplashBidNoticeAbstractUI.aspx?menuIndex=3&amp;refID=7187888&amp;Result=3","7187888")</f>
        <v>0</v>
      </c>
      <c r="B4334" t="s">
        <v>503</v>
      </c>
      <c r="C4334" t="s">
        <v>7679</v>
      </c>
      <c r="D4334" t="s">
        <v>17156</v>
      </c>
      <c r="E4334" t="s">
        <v>20990</v>
      </c>
      <c r="F4334" t="s">
        <v>29372</v>
      </c>
      <c r="G4334" t="s">
        <v>29379</v>
      </c>
      <c r="H4334" t="s">
        <v>11048</v>
      </c>
      <c r="I4334" t="s">
        <v>4486</v>
      </c>
      <c r="J4334" t="s">
        <v>32416</v>
      </c>
      <c r="K4334" t="s">
        <v>38485</v>
      </c>
      <c r="M4334" t="s">
        <v>39268</v>
      </c>
      <c r="N4334" t="s">
        <v>42669</v>
      </c>
      <c r="O4334" t="s">
        <v>42670</v>
      </c>
      <c r="P4334">
        <v>0</v>
      </c>
      <c r="Q4334">
        <v>1</v>
      </c>
      <c r="R4334" t="s">
        <v>42676</v>
      </c>
      <c r="S4334" t="s">
        <v>42809</v>
      </c>
      <c r="T4334" t="s">
        <v>44399</v>
      </c>
      <c r="U4334" t="s">
        <v>48383</v>
      </c>
      <c r="W4334" t="s">
        <v>39268</v>
      </c>
      <c r="X4334" t="s">
        <v>42677</v>
      </c>
    </row>
    <row r="4335" spans="1:24">
      <c r="A4335">
        <f>HYPERLINK("https://www.philgeps.gov.ph/GEPSNONPILOT/Tender/SplashBidNoticeAbstractUI.aspx?menuIndex=3&amp;refID=7187887&amp;Result=3","7187887")</f>
        <v>0</v>
      </c>
      <c r="B4335" t="s">
        <v>1561</v>
      </c>
      <c r="C4335" t="s">
        <v>7680</v>
      </c>
      <c r="D4335" t="s">
        <v>17170</v>
      </c>
      <c r="E4335" t="s">
        <v>21026</v>
      </c>
      <c r="F4335" t="s">
        <v>29372</v>
      </c>
      <c r="G4335" t="s">
        <v>29379</v>
      </c>
      <c r="H4335" t="s">
        <v>11048</v>
      </c>
      <c r="I4335" t="s">
        <v>29493</v>
      </c>
      <c r="J4335" t="s">
        <v>29685</v>
      </c>
      <c r="K4335" t="s">
        <v>38491</v>
      </c>
      <c r="M4335" t="s">
        <v>40411</v>
      </c>
      <c r="N4335" t="s">
        <v>42669</v>
      </c>
      <c r="O4335" t="s">
        <v>42670</v>
      </c>
      <c r="P4335">
        <v>0</v>
      </c>
      <c r="Q4335">
        <v>0</v>
      </c>
      <c r="R4335" t="s">
        <v>42676</v>
      </c>
      <c r="S4335" t="s">
        <v>42809</v>
      </c>
      <c r="T4335" t="s">
        <v>44399</v>
      </c>
      <c r="U4335" t="s">
        <v>48362</v>
      </c>
      <c r="W4335" t="s">
        <v>40411</v>
      </c>
      <c r="X4335" t="s">
        <v>42677</v>
      </c>
    </row>
    <row r="4336" spans="1:24">
      <c r="A4336">
        <f>HYPERLINK("https://www.philgeps.gov.ph/GEPSNONPILOT/Tender/SplashBidNoticeAbstractUI.aspx?menuIndex=3&amp;refID=7187883&amp;Result=3","7187883")</f>
        <v>0</v>
      </c>
      <c r="B4336" t="s">
        <v>1569</v>
      </c>
      <c r="C4336" t="s">
        <v>7681</v>
      </c>
      <c r="D4336" t="s">
        <v>17169</v>
      </c>
      <c r="E4336" t="s">
        <v>18702</v>
      </c>
      <c r="F4336" t="s">
        <v>29372</v>
      </c>
      <c r="G4336" t="s">
        <v>29379</v>
      </c>
      <c r="H4336" t="s">
        <v>11048</v>
      </c>
      <c r="I4336" t="s">
        <v>29407</v>
      </c>
      <c r="J4336" t="s">
        <v>29980</v>
      </c>
      <c r="K4336" t="s">
        <v>38518</v>
      </c>
      <c r="M4336" t="s">
        <v>40419</v>
      </c>
      <c r="N4336" t="s">
        <v>42669</v>
      </c>
      <c r="O4336" t="s">
        <v>42670</v>
      </c>
      <c r="P4336">
        <v>0</v>
      </c>
      <c r="Q4336">
        <v>8</v>
      </c>
      <c r="R4336" t="s">
        <v>42676</v>
      </c>
      <c r="S4336" t="s">
        <v>42809</v>
      </c>
      <c r="T4336" t="s">
        <v>44385</v>
      </c>
      <c r="U4336" t="s">
        <v>48384</v>
      </c>
      <c r="W4336" t="s">
        <v>40419</v>
      </c>
      <c r="X4336" t="s">
        <v>42677</v>
      </c>
    </row>
    <row r="4337" spans="1:24">
      <c r="A4337">
        <f>HYPERLINK("https://www.philgeps.gov.ph/GEPSNONPILOT/Tender/SplashBidNoticeAbstractUI.aspx?menuIndex=3&amp;refID=7187882&amp;Result=3","7187882")</f>
        <v>0</v>
      </c>
      <c r="B4337" t="s">
        <v>1383</v>
      </c>
      <c r="C4337" t="s">
        <v>7682</v>
      </c>
      <c r="D4337" t="s">
        <v>17169</v>
      </c>
      <c r="E4337" t="s">
        <v>20592</v>
      </c>
      <c r="F4337" t="s">
        <v>29372</v>
      </c>
      <c r="G4337" t="s">
        <v>29380</v>
      </c>
      <c r="H4337" t="s">
        <v>29389</v>
      </c>
      <c r="I4337" t="s">
        <v>10408</v>
      </c>
      <c r="J4337" t="s">
        <v>32103</v>
      </c>
      <c r="K4337" t="s">
        <v>38496</v>
      </c>
      <c r="M4337" t="s">
        <v>40220</v>
      </c>
      <c r="N4337" t="s">
        <v>42669</v>
      </c>
      <c r="O4337" t="s">
        <v>42670</v>
      </c>
      <c r="P4337">
        <v>0</v>
      </c>
      <c r="Q4337">
        <v>1</v>
      </c>
      <c r="R4337" t="s">
        <v>42676</v>
      </c>
      <c r="S4337" t="s">
        <v>42809</v>
      </c>
      <c r="T4337" t="s">
        <v>44587</v>
      </c>
      <c r="U4337" t="s">
        <v>47960</v>
      </c>
      <c r="V4337" t="s">
        <v>56811</v>
      </c>
      <c r="W4337" t="s">
        <v>40220</v>
      </c>
      <c r="X4337" t="s">
        <v>42677</v>
      </c>
    </row>
    <row r="4338" spans="1:24">
      <c r="A4338">
        <f>HYPERLINK("https://www.philgeps.gov.ph/GEPSNONPILOT/Tender/SplashBidNoticeAbstractUI.aspx?menuIndex=3&amp;refID=7187849&amp;Result=3","7187849")</f>
        <v>0</v>
      </c>
      <c r="B4338" t="s">
        <v>1554</v>
      </c>
      <c r="C4338" t="s">
        <v>7642</v>
      </c>
      <c r="D4338" t="s">
        <v>17141</v>
      </c>
      <c r="E4338" t="s">
        <v>21027</v>
      </c>
      <c r="F4338" t="s">
        <v>29372</v>
      </c>
      <c r="G4338" t="s">
        <v>29380</v>
      </c>
      <c r="H4338" t="s">
        <v>11048</v>
      </c>
      <c r="I4338" t="s">
        <v>29414</v>
      </c>
      <c r="J4338" t="s">
        <v>32417</v>
      </c>
      <c r="K4338" t="s">
        <v>38490</v>
      </c>
      <c r="M4338" t="s">
        <v>40404</v>
      </c>
      <c r="N4338" t="s">
        <v>42669</v>
      </c>
      <c r="O4338" t="s">
        <v>42670</v>
      </c>
      <c r="P4338">
        <v>0</v>
      </c>
      <c r="Q4338">
        <v>44</v>
      </c>
      <c r="R4338" t="s">
        <v>42676</v>
      </c>
      <c r="S4338" t="s">
        <v>42809</v>
      </c>
      <c r="T4338" t="s">
        <v>44460</v>
      </c>
      <c r="U4338" t="s">
        <v>48352</v>
      </c>
      <c r="W4338" t="s">
        <v>40404</v>
      </c>
      <c r="X4338" t="s">
        <v>42677</v>
      </c>
    </row>
    <row r="4339" spans="1:24">
      <c r="A4339">
        <f>HYPERLINK("https://www.philgeps.gov.ph/GEPSNONPILOT/Tender/SplashBidNoticeAbstractUI.aspx?menuIndex=3&amp;refID=7187878&amp;Result=3","7187878")</f>
        <v>0</v>
      </c>
      <c r="B4339" t="s">
        <v>1570</v>
      </c>
      <c r="C4339" t="s">
        <v>3841</v>
      </c>
      <c r="D4339" t="s">
        <v>17178</v>
      </c>
      <c r="E4339" t="s">
        <v>21028</v>
      </c>
      <c r="F4339" t="s">
        <v>29372</v>
      </c>
      <c r="G4339" t="s">
        <v>29380</v>
      </c>
      <c r="H4339" t="s">
        <v>11048</v>
      </c>
      <c r="I4339" t="s">
        <v>3952</v>
      </c>
      <c r="J4339" t="s">
        <v>32418</v>
      </c>
      <c r="K4339" t="s">
        <v>38485</v>
      </c>
      <c r="M4339" t="s">
        <v>40420</v>
      </c>
      <c r="N4339" t="s">
        <v>42669</v>
      </c>
      <c r="O4339" t="s">
        <v>42670</v>
      </c>
      <c r="P4339">
        <v>0</v>
      </c>
      <c r="Q4339">
        <v>1</v>
      </c>
      <c r="R4339" t="s">
        <v>42676</v>
      </c>
      <c r="S4339" t="s">
        <v>42809</v>
      </c>
      <c r="T4339" t="s">
        <v>44525</v>
      </c>
      <c r="U4339" t="s">
        <v>48385</v>
      </c>
      <c r="W4339" t="s">
        <v>40420</v>
      </c>
      <c r="X4339" t="s">
        <v>42677</v>
      </c>
    </row>
    <row r="4340" spans="1:24">
      <c r="A4340">
        <f>HYPERLINK("https://www.philgeps.gov.ph/GEPSNONPILOT/Tender/SplashBidNoticeAbstractUI.aspx?menuIndex=3&amp;refID=7187873&amp;Result=3","7187873")</f>
        <v>0</v>
      </c>
      <c r="B4340" t="s">
        <v>1554</v>
      </c>
      <c r="C4340" t="s">
        <v>7642</v>
      </c>
      <c r="D4340" t="s">
        <v>17141</v>
      </c>
      <c r="E4340" t="s">
        <v>21029</v>
      </c>
      <c r="F4340" t="s">
        <v>29372</v>
      </c>
      <c r="G4340" t="s">
        <v>29380</v>
      </c>
      <c r="H4340" t="s">
        <v>11048</v>
      </c>
      <c r="I4340" t="s">
        <v>3670</v>
      </c>
      <c r="J4340" t="s">
        <v>32419</v>
      </c>
      <c r="K4340" t="s">
        <v>38490</v>
      </c>
      <c r="M4340" t="s">
        <v>40404</v>
      </c>
      <c r="N4340" t="s">
        <v>42669</v>
      </c>
      <c r="O4340" t="s">
        <v>42670</v>
      </c>
      <c r="P4340">
        <v>0</v>
      </c>
      <c r="Q4340">
        <v>11</v>
      </c>
      <c r="R4340" t="s">
        <v>42676</v>
      </c>
      <c r="S4340" t="s">
        <v>42809</v>
      </c>
      <c r="T4340" t="s">
        <v>44460</v>
      </c>
      <c r="U4340" t="s">
        <v>48352</v>
      </c>
      <c r="W4340" t="s">
        <v>40404</v>
      </c>
      <c r="X4340" t="s">
        <v>42677</v>
      </c>
    </row>
    <row r="4341" spans="1:24">
      <c r="A4341">
        <f>HYPERLINK("https://www.philgeps.gov.ph/GEPSNONPILOT/Tender/SplashBidNoticeAbstractUI.aspx?menuIndex=3&amp;refID=7187915&amp;Result=3","7187915")</f>
        <v>0</v>
      </c>
      <c r="B4341" t="s">
        <v>503</v>
      </c>
      <c r="C4341" t="s">
        <v>7683</v>
      </c>
      <c r="D4341" t="s">
        <v>17156</v>
      </c>
      <c r="E4341" t="s">
        <v>21030</v>
      </c>
      <c r="F4341" t="s">
        <v>29372</v>
      </c>
      <c r="G4341" t="s">
        <v>29379</v>
      </c>
      <c r="H4341" t="s">
        <v>29389</v>
      </c>
      <c r="I4341" t="s">
        <v>10408</v>
      </c>
      <c r="J4341" t="s">
        <v>32420</v>
      </c>
      <c r="K4341" t="s">
        <v>38530</v>
      </c>
      <c r="M4341" t="s">
        <v>39268</v>
      </c>
      <c r="N4341" t="s">
        <v>42669</v>
      </c>
      <c r="O4341" t="s">
        <v>42670</v>
      </c>
      <c r="P4341">
        <v>0</v>
      </c>
      <c r="Q4341">
        <v>0</v>
      </c>
      <c r="R4341" t="s">
        <v>42676</v>
      </c>
      <c r="S4341" t="s">
        <v>42809</v>
      </c>
      <c r="T4341" t="s">
        <v>44399</v>
      </c>
      <c r="U4341" t="s">
        <v>48386</v>
      </c>
      <c r="W4341" t="s">
        <v>39268</v>
      </c>
      <c r="X4341" t="s">
        <v>42677</v>
      </c>
    </row>
    <row r="4342" spans="1:24">
      <c r="A4342">
        <f>HYPERLINK("https://www.philgeps.gov.ph/GEPSNONPILOT/Tender/SplashBidNoticeAbstractUI.aspx?menuIndex=3&amp;refID=7187914&amp;Result=3","7187914")</f>
        <v>0</v>
      </c>
      <c r="B4342" t="s">
        <v>901</v>
      </c>
      <c r="C4342" t="s">
        <v>7684</v>
      </c>
      <c r="D4342" t="s">
        <v>17170</v>
      </c>
      <c r="E4342" t="s">
        <v>21031</v>
      </c>
      <c r="F4342" t="s">
        <v>29372</v>
      </c>
      <c r="G4342" t="s">
        <v>29379</v>
      </c>
      <c r="H4342" t="s">
        <v>11048</v>
      </c>
      <c r="I4342" t="s">
        <v>8614</v>
      </c>
      <c r="J4342" t="s">
        <v>32421</v>
      </c>
      <c r="K4342" t="s">
        <v>38491</v>
      </c>
      <c r="M4342" t="s">
        <v>39694</v>
      </c>
      <c r="N4342" t="s">
        <v>42669</v>
      </c>
      <c r="O4342" t="s">
        <v>42670</v>
      </c>
      <c r="P4342">
        <v>0</v>
      </c>
      <c r="Q4342">
        <v>3</v>
      </c>
      <c r="R4342" t="s">
        <v>42676</v>
      </c>
      <c r="S4342" t="s">
        <v>42809</v>
      </c>
      <c r="T4342" t="s">
        <v>44427</v>
      </c>
      <c r="U4342" t="s">
        <v>48387</v>
      </c>
      <c r="W4342" t="s">
        <v>39694</v>
      </c>
      <c r="X4342" t="s">
        <v>42677</v>
      </c>
    </row>
    <row r="4343" spans="1:24">
      <c r="A4343">
        <f>HYPERLINK("https://www.philgeps.gov.ph/GEPSNONPILOT/Tender/SplashBidNoticeAbstractUI.aspx?menuIndex=3&amp;refID=7187913&amp;Result=3","7187913")</f>
        <v>0</v>
      </c>
      <c r="B4343" t="s">
        <v>234</v>
      </c>
      <c r="C4343" t="s">
        <v>7685</v>
      </c>
      <c r="D4343" t="s">
        <v>17141</v>
      </c>
      <c r="E4343" t="s">
        <v>21032</v>
      </c>
      <c r="F4343" t="s">
        <v>29373</v>
      </c>
      <c r="G4343" t="s">
        <v>29379</v>
      </c>
      <c r="H4343" t="s">
        <v>11048</v>
      </c>
      <c r="I4343" t="s">
        <v>29431</v>
      </c>
      <c r="J4343" t="s">
        <v>29804</v>
      </c>
      <c r="K4343" t="s">
        <v>38485</v>
      </c>
      <c r="M4343" t="s">
        <v>38993</v>
      </c>
      <c r="N4343" t="s">
        <v>42669</v>
      </c>
      <c r="O4343" t="s">
        <v>42670</v>
      </c>
      <c r="P4343">
        <v>0</v>
      </c>
      <c r="Q4343">
        <v>1</v>
      </c>
      <c r="R4343" t="s">
        <v>42676</v>
      </c>
      <c r="S4343" t="s">
        <v>42809</v>
      </c>
      <c r="T4343" t="s">
        <v>44563</v>
      </c>
      <c r="U4343" t="s">
        <v>48388</v>
      </c>
      <c r="W4343" t="s">
        <v>38993</v>
      </c>
      <c r="X4343" t="s">
        <v>42677</v>
      </c>
    </row>
    <row r="4344" spans="1:24">
      <c r="A4344">
        <f>HYPERLINK("https://www.philgeps.gov.ph/GEPSNONPILOT/Tender/SplashBidNoticeAbstractUI.aspx?menuIndex=3&amp;refID=7187886&amp;Result=3","7187886")</f>
        <v>0</v>
      </c>
      <c r="B4344" t="s">
        <v>1566</v>
      </c>
      <c r="C4344" t="s">
        <v>7686</v>
      </c>
      <c r="E4344" t="s">
        <v>21033</v>
      </c>
      <c r="F4344" t="s">
        <v>29372</v>
      </c>
      <c r="G4344" t="s">
        <v>29380</v>
      </c>
      <c r="H4344" t="s">
        <v>11048</v>
      </c>
      <c r="I4344" t="s">
        <v>29393</v>
      </c>
      <c r="J4344" t="s">
        <v>29600</v>
      </c>
      <c r="K4344" t="s">
        <v>38490</v>
      </c>
      <c r="M4344" t="s">
        <v>40416</v>
      </c>
      <c r="N4344" t="s">
        <v>42669</v>
      </c>
      <c r="O4344" t="s">
        <v>42670</v>
      </c>
      <c r="P4344">
        <v>0</v>
      </c>
      <c r="Q4344">
        <v>0</v>
      </c>
      <c r="R4344" t="s">
        <v>42676</v>
      </c>
      <c r="S4344" t="s">
        <v>42809</v>
      </c>
      <c r="T4344" t="s">
        <v>44663</v>
      </c>
      <c r="U4344" t="s">
        <v>48389</v>
      </c>
      <c r="W4344" t="s">
        <v>40416</v>
      </c>
      <c r="X4344" t="s">
        <v>42677</v>
      </c>
    </row>
    <row r="4345" spans="1:24">
      <c r="A4345">
        <f>HYPERLINK("https://www.philgeps.gov.ph/GEPSNONPILOT/Tender/SplashBidNoticeAbstractUI.aspx?menuIndex=3&amp;refID=7187909&amp;Result=3","7187909")</f>
        <v>0</v>
      </c>
      <c r="B4345" t="s">
        <v>1470</v>
      </c>
      <c r="C4345" t="s">
        <v>7687</v>
      </c>
      <c r="D4345" t="s">
        <v>17153</v>
      </c>
      <c r="E4345" t="s">
        <v>21034</v>
      </c>
      <c r="F4345" t="s">
        <v>29372</v>
      </c>
      <c r="G4345" t="s">
        <v>29380</v>
      </c>
      <c r="H4345" t="s">
        <v>11048</v>
      </c>
      <c r="I4345" t="s">
        <v>29394</v>
      </c>
      <c r="J4345" t="s">
        <v>32422</v>
      </c>
      <c r="K4345" t="s">
        <v>38485</v>
      </c>
      <c r="M4345" t="s">
        <v>40313</v>
      </c>
      <c r="N4345" t="s">
        <v>42669</v>
      </c>
      <c r="O4345" t="s">
        <v>42670</v>
      </c>
      <c r="P4345">
        <v>0</v>
      </c>
      <c r="Q4345">
        <v>2</v>
      </c>
      <c r="R4345" t="s">
        <v>42676</v>
      </c>
      <c r="S4345" t="s">
        <v>42809</v>
      </c>
      <c r="T4345" t="s">
        <v>44443</v>
      </c>
      <c r="U4345" t="s">
        <v>48146</v>
      </c>
      <c r="V4345" t="s">
        <v>56812</v>
      </c>
      <c r="W4345" t="s">
        <v>40313</v>
      </c>
      <c r="X4345" t="s">
        <v>42677</v>
      </c>
    </row>
    <row r="4346" spans="1:24">
      <c r="A4346">
        <f>HYPERLINK("https://www.philgeps.gov.ph/GEPSNONPILOT/Tender/SplashBidNoticeAbstractUI.aspx?menuIndex=3&amp;refID=7187844&amp;Result=3","7187844")</f>
        <v>0</v>
      </c>
      <c r="B4346" t="s">
        <v>815</v>
      </c>
      <c r="C4346" t="s">
        <v>7688</v>
      </c>
      <c r="D4346" t="s">
        <v>17180</v>
      </c>
      <c r="E4346" t="s">
        <v>21035</v>
      </c>
      <c r="F4346" t="s">
        <v>29372</v>
      </c>
      <c r="G4346" t="s">
        <v>29379</v>
      </c>
      <c r="H4346" t="s">
        <v>11048</v>
      </c>
      <c r="I4346" t="s">
        <v>4709</v>
      </c>
      <c r="J4346" t="s">
        <v>32423</v>
      </c>
      <c r="K4346" t="s">
        <v>38490</v>
      </c>
      <c r="M4346" t="s">
        <v>39601</v>
      </c>
      <c r="N4346" t="s">
        <v>42669</v>
      </c>
      <c r="O4346" t="s">
        <v>42670</v>
      </c>
      <c r="P4346">
        <v>0</v>
      </c>
      <c r="Q4346">
        <v>1</v>
      </c>
      <c r="R4346" t="s">
        <v>42676</v>
      </c>
      <c r="S4346" t="s">
        <v>42809</v>
      </c>
      <c r="T4346" t="s">
        <v>44432</v>
      </c>
      <c r="U4346" t="s">
        <v>48390</v>
      </c>
      <c r="W4346" t="s">
        <v>39601</v>
      </c>
      <c r="X4346" t="s">
        <v>42677</v>
      </c>
    </row>
    <row r="4347" spans="1:24">
      <c r="A4347">
        <f>HYPERLINK("https://www.philgeps.gov.ph/GEPSNONPILOT/Tender/SplashBidNoticeAbstractUI.aspx?menuIndex=3&amp;refID=7187864&amp;Result=3","7187864")</f>
        <v>0</v>
      </c>
      <c r="B4347" t="s">
        <v>1554</v>
      </c>
      <c r="C4347" t="s">
        <v>7642</v>
      </c>
      <c r="D4347" t="s">
        <v>17141</v>
      </c>
      <c r="E4347" t="s">
        <v>21036</v>
      </c>
      <c r="F4347" t="s">
        <v>29372</v>
      </c>
      <c r="G4347" t="s">
        <v>29380</v>
      </c>
      <c r="H4347" t="s">
        <v>11048</v>
      </c>
      <c r="I4347" t="s">
        <v>29395</v>
      </c>
      <c r="J4347" t="s">
        <v>32424</v>
      </c>
      <c r="K4347" t="s">
        <v>38490</v>
      </c>
      <c r="M4347" t="s">
        <v>40404</v>
      </c>
      <c r="N4347" t="s">
        <v>42669</v>
      </c>
      <c r="O4347" t="s">
        <v>42670</v>
      </c>
      <c r="P4347">
        <v>0</v>
      </c>
      <c r="Q4347">
        <v>3</v>
      </c>
      <c r="R4347" t="s">
        <v>42676</v>
      </c>
      <c r="S4347" t="s">
        <v>42809</v>
      </c>
      <c r="T4347" t="s">
        <v>44460</v>
      </c>
      <c r="U4347" t="s">
        <v>48352</v>
      </c>
      <c r="W4347" t="s">
        <v>40404</v>
      </c>
      <c r="X4347" t="s">
        <v>42677</v>
      </c>
    </row>
    <row r="4348" spans="1:24">
      <c r="A4348">
        <f>HYPERLINK("https://www.philgeps.gov.ph/GEPSNONPILOT/Tender/SplashBidNoticeAbstractUI.aspx?menuIndex=3&amp;refID=7187903&amp;Result=3","7187903")</f>
        <v>0</v>
      </c>
      <c r="B4348" t="s">
        <v>1571</v>
      </c>
      <c r="C4348" t="s">
        <v>7689</v>
      </c>
      <c r="D4348" t="s">
        <v>17216</v>
      </c>
      <c r="E4348" t="s">
        <v>21037</v>
      </c>
      <c r="F4348" t="s">
        <v>29372</v>
      </c>
      <c r="G4348" t="s">
        <v>29383</v>
      </c>
      <c r="H4348" t="s">
        <v>11048</v>
      </c>
      <c r="I4348" t="s">
        <v>8208</v>
      </c>
      <c r="J4348" t="s">
        <v>32425</v>
      </c>
      <c r="K4348" t="s">
        <v>38528</v>
      </c>
      <c r="M4348" t="s">
        <v>40421</v>
      </c>
      <c r="N4348" t="s">
        <v>42669</v>
      </c>
      <c r="O4348" t="s">
        <v>42670</v>
      </c>
      <c r="P4348">
        <v>0</v>
      </c>
      <c r="Q4348">
        <v>0</v>
      </c>
      <c r="R4348" t="s">
        <v>42676</v>
      </c>
      <c r="S4348" t="s">
        <v>42809</v>
      </c>
      <c r="T4348" t="s">
        <v>44427</v>
      </c>
      <c r="U4348" t="s">
        <v>48391</v>
      </c>
      <c r="W4348" t="s">
        <v>40421</v>
      </c>
      <c r="X4348" t="s">
        <v>42677</v>
      </c>
    </row>
    <row r="4349" spans="1:24">
      <c r="A4349">
        <f>HYPERLINK("https://www.philgeps.gov.ph/GEPSNONPILOT/Tender/SplashBidNoticeAbstractUI.aspx?menuIndex=3&amp;refID=7187902&amp;Result=3","7187902")</f>
        <v>0</v>
      </c>
      <c r="B4349" t="s">
        <v>1107</v>
      </c>
      <c r="C4349" t="s">
        <v>7690</v>
      </c>
      <c r="D4349" t="s">
        <v>17161</v>
      </c>
      <c r="E4349" t="s">
        <v>21038</v>
      </c>
      <c r="F4349" t="s">
        <v>29372</v>
      </c>
      <c r="G4349" t="s">
        <v>29379</v>
      </c>
      <c r="H4349" t="s">
        <v>11048</v>
      </c>
      <c r="I4349" t="s">
        <v>29394</v>
      </c>
      <c r="J4349" t="s">
        <v>29595</v>
      </c>
      <c r="K4349" t="s">
        <v>38490</v>
      </c>
      <c r="M4349" t="s">
        <v>39916</v>
      </c>
      <c r="N4349" t="s">
        <v>42669</v>
      </c>
      <c r="O4349" t="s">
        <v>42670</v>
      </c>
      <c r="P4349">
        <v>0</v>
      </c>
      <c r="Q4349">
        <v>1</v>
      </c>
      <c r="R4349" t="s">
        <v>42676</v>
      </c>
      <c r="S4349" t="s">
        <v>42809</v>
      </c>
      <c r="T4349" t="s">
        <v>44427</v>
      </c>
      <c r="U4349" t="s">
        <v>48392</v>
      </c>
      <c r="W4349" t="s">
        <v>39916</v>
      </c>
      <c r="X4349" t="s">
        <v>42677</v>
      </c>
    </row>
    <row r="4350" spans="1:24">
      <c r="A4350">
        <f>HYPERLINK("https://www.philgeps.gov.ph/GEPSNONPILOT/Tender/SplashBidNoticeAbstractUI.aspx?menuIndex=3&amp;refID=7187900&amp;Result=3","7187900")</f>
        <v>0</v>
      </c>
      <c r="B4350" t="s">
        <v>1566</v>
      </c>
      <c r="C4350" t="s">
        <v>7686</v>
      </c>
      <c r="E4350" t="s">
        <v>21039</v>
      </c>
      <c r="F4350" t="s">
        <v>29372</v>
      </c>
      <c r="G4350" t="s">
        <v>29380</v>
      </c>
      <c r="H4350" t="s">
        <v>11048</v>
      </c>
      <c r="I4350" t="s">
        <v>29393</v>
      </c>
      <c r="J4350" t="s">
        <v>29587</v>
      </c>
      <c r="K4350" t="s">
        <v>38490</v>
      </c>
      <c r="M4350" t="s">
        <v>40416</v>
      </c>
      <c r="N4350" t="s">
        <v>42669</v>
      </c>
      <c r="O4350" t="s">
        <v>42670</v>
      </c>
      <c r="P4350">
        <v>0</v>
      </c>
      <c r="Q4350">
        <v>0</v>
      </c>
      <c r="R4350" t="s">
        <v>42676</v>
      </c>
      <c r="S4350" t="s">
        <v>42809</v>
      </c>
      <c r="T4350" t="s">
        <v>44663</v>
      </c>
      <c r="U4350" t="s">
        <v>48393</v>
      </c>
      <c r="W4350" t="s">
        <v>40416</v>
      </c>
      <c r="X4350" t="s">
        <v>42677</v>
      </c>
    </row>
    <row r="4351" spans="1:24">
      <c r="A4351">
        <f>HYPERLINK("https://www.philgeps.gov.ph/GEPSNONPILOT/Tender/SplashBidNoticeAbstractUI.aspx?menuIndex=3&amp;refID=7187897&amp;Result=3","7187897")</f>
        <v>0</v>
      </c>
      <c r="B4351" t="s">
        <v>1383</v>
      </c>
      <c r="C4351" t="s">
        <v>7691</v>
      </c>
      <c r="D4351" t="s">
        <v>17169</v>
      </c>
      <c r="E4351" t="s">
        <v>20592</v>
      </c>
      <c r="F4351" t="s">
        <v>29372</v>
      </c>
      <c r="G4351" t="s">
        <v>29380</v>
      </c>
      <c r="H4351" t="s">
        <v>29389</v>
      </c>
      <c r="I4351" t="s">
        <v>10408</v>
      </c>
      <c r="J4351" t="s">
        <v>32117</v>
      </c>
      <c r="K4351" t="s">
        <v>38487</v>
      </c>
      <c r="M4351" t="s">
        <v>40220</v>
      </c>
      <c r="N4351" t="s">
        <v>42669</v>
      </c>
      <c r="O4351" t="s">
        <v>42670</v>
      </c>
      <c r="P4351">
        <v>0</v>
      </c>
      <c r="Q4351">
        <v>1</v>
      </c>
      <c r="R4351" t="s">
        <v>42676</v>
      </c>
      <c r="S4351" t="s">
        <v>42809</v>
      </c>
      <c r="T4351" t="s">
        <v>44587</v>
      </c>
      <c r="U4351" t="s">
        <v>47960</v>
      </c>
      <c r="V4351" t="s">
        <v>56813</v>
      </c>
      <c r="W4351" t="s">
        <v>40220</v>
      </c>
      <c r="X4351" t="s">
        <v>42677</v>
      </c>
    </row>
    <row r="4352" spans="1:24">
      <c r="A4352">
        <f>HYPERLINK("https://www.philgeps.gov.ph/GEPSNONPILOT/Tender/SplashBidNoticeAbstractUI.aspx?menuIndex=3&amp;refID=7187910&amp;Result=3","7187910")</f>
        <v>0</v>
      </c>
      <c r="B4352" t="s">
        <v>1572</v>
      </c>
      <c r="C4352" t="s">
        <v>7692</v>
      </c>
      <c r="D4352" t="s">
        <v>17205</v>
      </c>
      <c r="E4352" t="s">
        <v>21040</v>
      </c>
      <c r="F4352" t="s">
        <v>29372</v>
      </c>
      <c r="G4352" t="s">
        <v>29380</v>
      </c>
      <c r="H4352" t="s">
        <v>11048</v>
      </c>
      <c r="I4352" t="s">
        <v>3839</v>
      </c>
      <c r="J4352" t="s">
        <v>32426</v>
      </c>
      <c r="K4352" t="s">
        <v>38510</v>
      </c>
      <c r="M4352" t="s">
        <v>40422</v>
      </c>
      <c r="N4352" t="s">
        <v>42669</v>
      </c>
      <c r="O4352" t="s">
        <v>42670</v>
      </c>
      <c r="P4352">
        <v>0</v>
      </c>
      <c r="Q4352">
        <v>6</v>
      </c>
      <c r="R4352" t="s">
        <v>42676</v>
      </c>
      <c r="S4352" t="s">
        <v>42809</v>
      </c>
      <c r="T4352" t="s">
        <v>44631</v>
      </c>
      <c r="U4352" t="s">
        <v>48394</v>
      </c>
      <c r="W4352" t="s">
        <v>40422</v>
      </c>
      <c r="X4352" t="s">
        <v>42677</v>
      </c>
    </row>
    <row r="4353" spans="1:24">
      <c r="A4353">
        <f>HYPERLINK("https://www.philgeps.gov.ph/GEPSNONPILOT/Tender/SplashBidNoticeAbstractUI.aspx?menuIndex=3&amp;refID=7187851&amp;Result=3","7187851")</f>
        <v>0</v>
      </c>
      <c r="B4353" t="s">
        <v>1573</v>
      </c>
      <c r="C4353" t="s">
        <v>7693</v>
      </c>
      <c r="D4353" t="s">
        <v>17194</v>
      </c>
      <c r="E4353" t="s">
        <v>21041</v>
      </c>
      <c r="F4353" t="s">
        <v>29372</v>
      </c>
      <c r="G4353" t="s">
        <v>29379</v>
      </c>
      <c r="H4353" t="s">
        <v>11048</v>
      </c>
      <c r="I4353" t="s">
        <v>4709</v>
      </c>
      <c r="J4353" t="s">
        <v>29764</v>
      </c>
      <c r="K4353" t="s">
        <v>38488</v>
      </c>
      <c r="M4353" t="s">
        <v>40423</v>
      </c>
      <c r="N4353" t="s">
        <v>42669</v>
      </c>
      <c r="O4353" t="s">
        <v>42670</v>
      </c>
      <c r="P4353">
        <v>0</v>
      </c>
      <c r="Q4353">
        <v>0</v>
      </c>
      <c r="R4353" t="s">
        <v>42676</v>
      </c>
      <c r="S4353" t="s">
        <v>42809</v>
      </c>
      <c r="T4353" t="s">
        <v>44488</v>
      </c>
      <c r="U4353" t="s">
        <v>48395</v>
      </c>
      <c r="V4353" t="s">
        <v>56814</v>
      </c>
      <c r="W4353" t="s">
        <v>40423</v>
      </c>
      <c r="X4353" t="s">
        <v>42677</v>
      </c>
    </row>
    <row r="4354" spans="1:24">
      <c r="A4354">
        <f>HYPERLINK("https://www.philgeps.gov.ph/GEPSNONPILOT/Tender/SplashBidNoticeAbstractUI.aspx?menuIndex=3&amp;refID=7187936&amp;Result=3","7187936")</f>
        <v>0</v>
      </c>
      <c r="B4354" t="s">
        <v>530</v>
      </c>
      <c r="C4354" t="s">
        <v>7694</v>
      </c>
      <c r="D4354" t="s">
        <v>17201</v>
      </c>
      <c r="E4354" t="s">
        <v>21042</v>
      </c>
      <c r="F4354" t="s">
        <v>29372</v>
      </c>
      <c r="G4354" t="s">
        <v>29380</v>
      </c>
      <c r="H4354" t="s">
        <v>11048</v>
      </c>
      <c r="I4354" t="s">
        <v>3629</v>
      </c>
      <c r="J4354" t="s">
        <v>29604</v>
      </c>
      <c r="K4354" t="s">
        <v>38485</v>
      </c>
      <c r="M4354" t="s">
        <v>39297</v>
      </c>
      <c r="N4354" t="s">
        <v>42669</v>
      </c>
      <c r="O4354" t="s">
        <v>42670</v>
      </c>
      <c r="P4354">
        <v>0</v>
      </c>
      <c r="Q4354">
        <v>2</v>
      </c>
      <c r="R4354" t="s">
        <v>42676</v>
      </c>
      <c r="S4354" t="s">
        <v>42809</v>
      </c>
      <c r="T4354" t="s">
        <v>44418</v>
      </c>
      <c r="U4354" t="s">
        <v>46011</v>
      </c>
      <c r="W4354" t="s">
        <v>39297</v>
      </c>
      <c r="X4354" t="s">
        <v>42677</v>
      </c>
    </row>
    <row r="4355" spans="1:24">
      <c r="A4355">
        <f>HYPERLINK("https://www.philgeps.gov.ph/GEPSNONPILOT/Tender/SplashBidNoticeAbstractUI.aspx?menuIndex=3&amp;refID=7187935&amp;Result=3","7187935")</f>
        <v>0</v>
      </c>
      <c r="B4355" t="s">
        <v>1574</v>
      </c>
      <c r="C4355" t="s">
        <v>7695</v>
      </c>
      <c r="D4355" t="s">
        <v>17141</v>
      </c>
      <c r="E4355" t="s">
        <v>21043</v>
      </c>
      <c r="F4355" t="s">
        <v>29372</v>
      </c>
      <c r="G4355" t="s">
        <v>29383</v>
      </c>
      <c r="H4355" t="s">
        <v>11048</v>
      </c>
      <c r="I4355" t="s">
        <v>29407</v>
      </c>
      <c r="J4355" t="s">
        <v>29642</v>
      </c>
      <c r="K4355" t="s">
        <v>38490</v>
      </c>
      <c r="M4355" t="s">
        <v>40424</v>
      </c>
      <c r="N4355" t="s">
        <v>42669</v>
      </c>
      <c r="O4355" t="s">
        <v>42670</v>
      </c>
      <c r="P4355">
        <v>0</v>
      </c>
      <c r="Q4355">
        <v>21</v>
      </c>
      <c r="R4355" t="s">
        <v>42676</v>
      </c>
      <c r="S4355" t="s">
        <v>42809</v>
      </c>
      <c r="T4355" t="s">
        <v>44566</v>
      </c>
      <c r="U4355" t="s">
        <v>48396</v>
      </c>
      <c r="W4355" t="s">
        <v>40424</v>
      </c>
      <c r="X4355" t="s">
        <v>42677</v>
      </c>
    </row>
    <row r="4356" spans="1:24">
      <c r="A4356">
        <f>HYPERLINK("https://www.philgeps.gov.ph/GEPSNONPILOT/Tender/SplashBidNoticeAbstractUI.aspx?menuIndex=3&amp;refID=7187916&amp;Result=3","7187916")</f>
        <v>0</v>
      </c>
      <c r="B4356" t="s">
        <v>1383</v>
      </c>
      <c r="C4356" t="s">
        <v>7696</v>
      </c>
      <c r="D4356" t="s">
        <v>17169</v>
      </c>
      <c r="E4356" t="s">
        <v>20592</v>
      </c>
      <c r="F4356" t="s">
        <v>29372</v>
      </c>
      <c r="G4356" t="s">
        <v>29380</v>
      </c>
      <c r="H4356" t="s">
        <v>29389</v>
      </c>
      <c r="I4356" t="s">
        <v>10408</v>
      </c>
      <c r="J4356" t="s">
        <v>32427</v>
      </c>
      <c r="K4356" t="s">
        <v>38487</v>
      </c>
      <c r="M4356" t="s">
        <v>40220</v>
      </c>
      <c r="N4356" t="s">
        <v>42669</v>
      </c>
      <c r="O4356" t="s">
        <v>42670</v>
      </c>
      <c r="P4356">
        <v>0</v>
      </c>
      <c r="Q4356">
        <v>1</v>
      </c>
      <c r="R4356" t="s">
        <v>42676</v>
      </c>
      <c r="S4356" t="s">
        <v>42809</v>
      </c>
      <c r="T4356" t="s">
        <v>44587</v>
      </c>
      <c r="U4356" t="s">
        <v>47960</v>
      </c>
      <c r="V4356" t="s">
        <v>56815</v>
      </c>
      <c r="W4356" t="s">
        <v>40220</v>
      </c>
      <c r="X4356" t="s">
        <v>42677</v>
      </c>
    </row>
    <row r="4357" spans="1:24">
      <c r="A4357">
        <f>HYPERLINK("https://www.philgeps.gov.ph/GEPSNONPILOT/Tender/SplashBidNoticeAbstractUI.aspx?menuIndex=3&amp;refID=7187930&amp;Result=3","7187930")</f>
        <v>0</v>
      </c>
      <c r="B4357" t="s">
        <v>1561</v>
      </c>
      <c r="C4357" t="s">
        <v>7697</v>
      </c>
      <c r="E4357" t="s">
        <v>21044</v>
      </c>
      <c r="F4357" t="s">
        <v>29374</v>
      </c>
      <c r="G4357" t="s">
        <v>29379</v>
      </c>
      <c r="H4357" t="s">
        <v>11048</v>
      </c>
      <c r="I4357" t="s">
        <v>29491</v>
      </c>
      <c r="J4357" t="s">
        <v>29692</v>
      </c>
      <c r="K4357" t="s">
        <v>38491</v>
      </c>
      <c r="M4357" t="s">
        <v>40411</v>
      </c>
      <c r="N4357" t="s">
        <v>42669</v>
      </c>
      <c r="O4357" t="s">
        <v>42670</v>
      </c>
      <c r="P4357">
        <v>0</v>
      </c>
      <c r="Q4357">
        <v>1</v>
      </c>
      <c r="R4357" t="s">
        <v>42676</v>
      </c>
      <c r="S4357" t="s">
        <v>42809</v>
      </c>
      <c r="T4357" t="s">
        <v>44394</v>
      </c>
      <c r="U4357" t="s">
        <v>48397</v>
      </c>
      <c r="W4357" t="s">
        <v>40411</v>
      </c>
      <c r="X4357" t="s">
        <v>42677</v>
      </c>
    </row>
    <row r="4358" spans="1:24">
      <c r="A4358">
        <f>HYPERLINK("https://www.philgeps.gov.ph/GEPSNONPILOT/Tender/SplashBidNoticeAbstractUI.aspx?menuIndex=3&amp;refID=7187925&amp;Result=3","7187925")</f>
        <v>0</v>
      </c>
      <c r="B4358" t="s">
        <v>719</v>
      </c>
      <c r="C4358" t="s">
        <v>7698</v>
      </c>
      <c r="D4358" t="s">
        <v>17170</v>
      </c>
      <c r="E4358" t="s">
        <v>21045</v>
      </c>
      <c r="F4358" t="s">
        <v>29372</v>
      </c>
      <c r="G4358" t="s">
        <v>29380</v>
      </c>
      <c r="H4358" t="s">
        <v>11048</v>
      </c>
      <c r="I4358" t="s">
        <v>29399</v>
      </c>
      <c r="J4358" t="s">
        <v>32428</v>
      </c>
      <c r="K4358" t="s">
        <v>38503</v>
      </c>
      <c r="M4358" t="s">
        <v>39593</v>
      </c>
      <c r="N4358" t="s">
        <v>42669</v>
      </c>
      <c r="O4358" t="s">
        <v>42670</v>
      </c>
      <c r="P4358">
        <v>0</v>
      </c>
      <c r="Q4358">
        <v>7</v>
      </c>
      <c r="R4358" t="s">
        <v>42676</v>
      </c>
      <c r="S4358" t="s">
        <v>42809</v>
      </c>
      <c r="T4358" t="s">
        <v>44577</v>
      </c>
      <c r="U4358" t="s">
        <v>48398</v>
      </c>
      <c r="W4358" t="s">
        <v>39593</v>
      </c>
      <c r="X4358" t="s">
        <v>42677</v>
      </c>
    </row>
    <row r="4359" spans="1:24">
      <c r="A4359">
        <f>HYPERLINK("https://www.philgeps.gov.ph/GEPSNONPILOT/Tender/SplashBidNoticeAbstractUI.aspx?menuIndex=3&amp;refID=7187919&amp;Result=3","7187919")</f>
        <v>0</v>
      </c>
      <c r="B4359" t="s">
        <v>1515</v>
      </c>
      <c r="C4359" t="s">
        <v>7699</v>
      </c>
      <c r="D4359" t="s">
        <v>17174</v>
      </c>
      <c r="E4359" t="s">
        <v>21046</v>
      </c>
      <c r="F4359" t="s">
        <v>29372</v>
      </c>
      <c r="G4359" t="s">
        <v>29379</v>
      </c>
      <c r="H4359" t="s">
        <v>11048</v>
      </c>
      <c r="I4359" t="s">
        <v>29430</v>
      </c>
      <c r="J4359" t="s">
        <v>32429</v>
      </c>
      <c r="K4359" t="s">
        <v>38490</v>
      </c>
      <c r="M4359" t="s">
        <v>40360</v>
      </c>
      <c r="N4359" t="s">
        <v>42669</v>
      </c>
      <c r="O4359" t="s">
        <v>42670</v>
      </c>
      <c r="P4359">
        <v>0</v>
      </c>
      <c r="Q4359">
        <v>2</v>
      </c>
      <c r="R4359" t="s">
        <v>42676</v>
      </c>
      <c r="S4359" t="s">
        <v>42809</v>
      </c>
      <c r="T4359" t="s">
        <v>44432</v>
      </c>
      <c r="U4359" t="s">
        <v>48399</v>
      </c>
      <c r="W4359" t="s">
        <v>40360</v>
      </c>
      <c r="X4359" t="s">
        <v>42677</v>
      </c>
    </row>
    <row r="4360" spans="1:24">
      <c r="A4360">
        <f>HYPERLINK("https://www.philgeps.gov.ph/GEPSNONPILOT/Tender/SplashBidNoticeAbstractUI.aspx?menuIndex=3&amp;refID=7187918&amp;Result=3","7187918")</f>
        <v>0</v>
      </c>
      <c r="B4360" t="s">
        <v>1569</v>
      </c>
      <c r="C4360" t="s">
        <v>7700</v>
      </c>
      <c r="D4360" t="s">
        <v>17169</v>
      </c>
      <c r="E4360" t="s">
        <v>21047</v>
      </c>
      <c r="F4360" t="s">
        <v>29372</v>
      </c>
      <c r="G4360" t="s">
        <v>29382</v>
      </c>
      <c r="H4360" t="s">
        <v>11048</v>
      </c>
      <c r="I4360" t="s">
        <v>4487</v>
      </c>
      <c r="J4360" t="s">
        <v>32430</v>
      </c>
      <c r="K4360" t="s">
        <v>38518</v>
      </c>
      <c r="M4360" t="s">
        <v>40419</v>
      </c>
      <c r="N4360" t="s">
        <v>42669</v>
      </c>
      <c r="O4360" t="s">
        <v>42670</v>
      </c>
      <c r="P4360">
        <v>0</v>
      </c>
      <c r="Q4360">
        <v>12</v>
      </c>
      <c r="R4360" t="s">
        <v>42676</v>
      </c>
      <c r="S4360" t="s">
        <v>42809</v>
      </c>
      <c r="T4360" t="s">
        <v>44385</v>
      </c>
      <c r="U4360" t="s">
        <v>48400</v>
      </c>
      <c r="W4360" t="s">
        <v>40419</v>
      </c>
      <c r="X4360" t="s">
        <v>42677</v>
      </c>
    </row>
    <row r="4361" spans="1:24">
      <c r="A4361">
        <f>HYPERLINK("https://www.philgeps.gov.ph/GEPSNONPILOT/Tender/SplashBidNoticeAbstractUI.aspx?menuIndex=3&amp;refID=7187917&amp;Result=3","7187917")</f>
        <v>0</v>
      </c>
      <c r="B4361" t="s">
        <v>1575</v>
      </c>
      <c r="C4361" t="s">
        <v>7701</v>
      </c>
      <c r="D4361" t="s">
        <v>17170</v>
      </c>
      <c r="E4361" t="s">
        <v>19042</v>
      </c>
      <c r="F4361" t="s">
        <v>29372</v>
      </c>
      <c r="G4361" t="s">
        <v>29382</v>
      </c>
      <c r="H4361" t="s">
        <v>11048</v>
      </c>
      <c r="I4361" t="s">
        <v>3629</v>
      </c>
      <c r="J4361" t="s">
        <v>30212</v>
      </c>
      <c r="K4361" t="s">
        <v>38485</v>
      </c>
      <c r="M4361" t="s">
        <v>40425</v>
      </c>
      <c r="N4361" t="s">
        <v>42669</v>
      </c>
      <c r="O4361" t="s">
        <v>42670</v>
      </c>
      <c r="P4361">
        <v>0</v>
      </c>
      <c r="Q4361">
        <v>0</v>
      </c>
      <c r="R4361" t="s">
        <v>42676</v>
      </c>
      <c r="S4361" t="s">
        <v>42809</v>
      </c>
      <c r="T4361" t="s">
        <v>44382</v>
      </c>
      <c r="U4361" t="s">
        <v>48401</v>
      </c>
      <c r="W4361" t="s">
        <v>40425</v>
      </c>
      <c r="X4361" t="s">
        <v>42677</v>
      </c>
    </row>
    <row r="4362" spans="1:24">
      <c r="A4362">
        <f>HYPERLINK("https://www.philgeps.gov.ph/GEPSNONPILOT/Tender/SplashBidNoticeAbstractUI.aspx?menuIndex=3&amp;refID=7187904&amp;Result=3","7187904")</f>
        <v>0</v>
      </c>
      <c r="B4362" t="s">
        <v>503</v>
      </c>
      <c r="C4362" t="s">
        <v>7702</v>
      </c>
      <c r="D4362" t="s">
        <v>17156</v>
      </c>
      <c r="E4362" t="s">
        <v>21048</v>
      </c>
      <c r="F4362" t="s">
        <v>29372</v>
      </c>
      <c r="G4362" t="s">
        <v>29379</v>
      </c>
      <c r="H4362" t="s">
        <v>11048</v>
      </c>
      <c r="I4362" t="s">
        <v>29394</v>
      </c>
      <c r="J4362" t="s">
        <v>29604</v>
      </c>
      <c r="K4362" t="s">
        <v>38485</v>
      </c>
      <c r="M4362" t="s">
        <v>39268</v>
      </c>
      <c r="N4362" t="s">
        <v>42669</v>
      </c>
      <c r="O4362" t="s">
        <v>42670</v>
      </c>
      <c r="P4362">
        <v>0</v>
      </c>
      <c r="Q4362">
        <v>1</v>
      </c>
      <c r="R4362" t="s">
        <v>42676</v>
      </c>
      <c r="S4362" t="s">
        <v>42809</v>
      </c>
      <c r="T4362" t="s">
        <v>44399</v>
      </c>
      <c r="U4362" t="s">
        <v>48402</v>
      </c>
      <c r="W4362" t="s">
        <v>39268</v>
      </c>
      <c r="X4362" t="s">
        <v>42677</v>
      </c>
    </row>
    <row r="4363" spans="1:24">
      <c r="A4363">
        <f>HYPERLINK("https://www.philgeps.gov.ph/GEPSNONPILOT/Tender/SplashBidNoticeAbstractUI.aspx?menuIndex=3&amp;refID=7187942&amp;Result=3","7187942")</f>
        <v>0</v>
      </c>
      <c r="B4363" t="s">
        <v>1383</v>
      </c>
      <c r="C4363" t="s">
        <v>7703</v>
      </c>
      <c r="D4363" t="s">
        <v>17169</v>
      </c>
      <c r="E4363" t="s">
        <v>20592</v>
      </c>
      <c r="F4363" t="s">
        <v>29372</v>
      </c>
      <c r="G4363" t="s">
        <v>29380</v>
      </c>
      <c r="H4363" t="s">
        <v>29389</v>
      </c>
      <c r="I4363" t="s">
        <v>10408</v>
      </c>
      <c r="J4363" t="s">
        <v>32431</v>
      </c>
      <c r="K4363" t="s">
        <v>38533</v>
      </c>
      <c r="M4363" t="s">
        <v>40220</v>
      </c>
      <c r="N4363" t="s">
        <v>42669</v>
      </c>
      <c r="O4363" t="s">
        <v>42670</v>
      </c>
      <c r="P4363">
        <v>0</v>
      </c>
      <c r="Q4363">
        <v>2</v>
      </c>
      <c r="R4363" t="s">
        <v>42676</v>
      </c>
      <c r="S4363" t="s">
        <v>42809</v>
      </c>
      <c r="T4363" t="s">
        <v>44587</v>
      </c>
      <c r="U4363" t="s">
        <v>47960</v>
      </c>
      <c r="V4363" t="s">
        <v>56816</v>
      </c>
      <c r="W4363" t="s">
        <v>40220</v>
      </c>
      <c r="X4363" t="s">
        <v>42677</v>
      </c>
    </row>
    <row r="4364" spans="1:24">
      <c r="A4364">
        <f>HYPERLINK("https://www.philgeps.gov.ph/GEPSNONPILOT/Tender/SplashBidNoticeAbstractUI.aspx?menuIndex=3&amp;refID=7187931&amp;Result=3","7187931")</f>
        <v>0</v>
      </c>
      <c r="B4364" t="s">
        <v>1465</v>
      </c>
      <c r="C4364" t="s">
        <v>7704</v>
      </c>
      <c r="D4364" t="s">
        <v>17205</v>
      </c>
      <c r="E4364" t="s">
        <v>21049</v>
      </c>
      <c r="F4364" t="s">
        <v>29372</v>
      </c>
      <c r="G4364" t="s">
        <v>29380</v>
      </c>
      <c r="H4364" t="s">
        <v>11048</v>
      </c>
      <c r="I4364" t="s">
        <v>8208</v>
      </c>
      <c r="J4364" t="s">
        <v>32432</v>
      </c>
      <c r="K4364" t="s">
        <v>38564</v>
      </c>
      <c r="M4364" t="s">
        <v>40308</v>
      </c>
      <c r="N4364" t="s">
        <v>42669</v>
      </c>
      <c r="O4364" t="s">
        <v>42670</v>
      </c>
      <c r="P4364">
        <v>0</v>
      </c>
      <c r="Q4364">
        <v>0</v>
      </c>
      <c r="R4364" t="s">
        <v>42676</v>
      </c>
      <c r="S4364" t="s">
        <v>42809</v>
      </c>
      <c r="T4364" t="s">
        <v>44650</v>
      </c>
      <c r="U4364" t="s">
        <v>48403</v>
      </c>
      <c r="W4364" t="s">
        <v>40308</v>
      </c>
      <c r="X4364" t="s">
        <v>42677</v>
      </c>
    </row>
    <row r="4365" spans="1:24">
      <c r="A4365">
        <f>HYPERLINK("https://www.philgeps.gov.ph/GEPSNONPILOT/Tender/SplashBidNoticeAbstractUI.aspx?menuIndex=3&amp;refID=7187924&amp;Result=3","7187924")</f>
        <v>0</v>
      </c>
      <c r="B4365" t="s">
        <v>1515</v>
      </c>
      <c r="C4365" t="s">
        <v>7705</v>
      </c>
      <c r="D4365" t="s">
        <v>17174</v>
      </c>
      <c r="E4365" t="s">
        <v>21050</v>
      </c>
      <c r="F4365" t="s">
        <v>29376</v>
      </c>
      <c r="G4365" t="s">
        <v>29383</v>
      </c>
      <c r="H4365" t="s">
        <v>29389</v>
      </c>
      <c r="I4365" t="s">
        <v>10408</v>
      </c>
      <c r="J4365" t="s">
        <v>31013</v>
      </c>
      <c r="K4365" t="s">
        <v>38632</v>
      </c>
      <c r="M4365" t="s">
        <v>40359</v>
      </c>
      <c r="N4365" t="s">
        <v>42669</v>
      </c>
      <c r="O4365" t="s">
        <v>42670</v>
      </c>
      <c r="Q4365">
        <v>1</v>
      </c>
      <c r="R4365" t="s">
        <v>42676</v>
      </c>
      <c r="S4365" t="s">
        <v>42817</v>
      </c>
      <c r="T4365" t="s">
        <v>44419</v>
      </c>
      <c r="U4365" t="s">
        <v>48404</v>
      </c>
      <c r="W4365" t="s">
        <v>40359</v>
      </c>
      <c r="X4365" t="s">
        <v>42677</v>
      </c>
    </row>
    <row r="4366" spans="1:24">
      <c r="A4366">
        <f>HYPERLINK("https://www.philgeps.gov.ph/GEPSNONPILOT/Tender/SplashBidNoticeAbstractUI.aspx?menuIndex=3&amp;refID=7187948&amp;Result=3","7187948")</f>
        <v>0</v>
      </c>
      <c r="B4366" t="s">
        <v>1576</v>
      </c>
      <c r="C4366" t="s">
        <v>7706</v>
      </c>
      <c r="D4366" t="s">
        <v>17164</v>
      </c>
      <c r="E4366" t="s">
        <v>21051</v>
      </c>
      <c r="F4366" t="s">
        <v>29372</v>
      </c>
      <c r="G4366" t="s">
        <v>29380</v>
      </c>
      <c r="H4366" t="s">
        <v>11048</v>
      </c>
      <c r="I4366" t="s">
        <v>29415</v>
      </c>
      <c r="J4366" t="s">
        <v>29724</v>
      </c>
      <c r="K4366" t="s">
        <v>38491</v>
      </c>
      <c r="M4366" t="s">
        <v>40426</v>
      </c>
      <c r="N4366" t="s">
        <v>42669</v>
      </c>
      <c r="O4366" t="s">
        <v>42670</v>
      </c>
      <c r="P4366">
        <v>0</v>
      </c>
      <c r="Q4366">
        <v>3</v>
      </c>
      <c r="R4366" t="s">
        <v>42676</v>
      </c>
      <c r="S4366" t="s">
        <v>42809</v>
      </c>
      <c r="T4366" t="s">
        <v>44386</v>
      </c>
      <c r="U4366" t="s">
        <v>48405</v>
      </c>
      <c r="V4366" t="s">
        <v>56817</v>
      </c>
      <c r="W4366" t="s">
        <v>40426</v>
      </c>
      <c r="X4366" t="s">
        <v>42677</v>
      </c>
    </row>
    <row r="4367" spans="1:24">
      <c r="A4367">
        <f>HYPERLINK("https://www.philgeps.gov.ph/GEPSNONPILOT/Tender/SplashBidNoticeAbstractUI.aspx?menuIndex=3&amp;refID=7187946&amp;Result=3","7187946")</f>
        <v>0</v>
      </c>
      <c r="B4367" t="s">
        <v>544</v>
      </c>
      <c r="C4367" t="s">
        <v>4557</v>
      </c>
      <c r="D4367" t="s">
        <v>17194</v>
      </c>
      <c r="E4367" t="s">
        <v>21052</v>
      </c>
      <c r="F4367" t="s">
        <v>29372</v>
      </c>
      <c r="G4367" t="s">
        <v>29383</v>
      </c>
      <c r="H4367" t="s">
        <v>11048</v>
      </c>
      <c r="I4367" t="s">
        <v>5383</v>
      </c>
      <c r="J4367" t="s">
        <v>32433</v>
      </c>
      <c r="K4367" t="s">
        <v>38490</v>
      </c>
      <c r="M4367" t="s">
        <v>40276</v>
      </c>
      <c r="N4367" t="s">
        <v>42669</v>
      </c>
      <c r="O4367" t="s">
        <v>42670</v>
      </c>
      <c r="P4367">
        <v>0</v>
      </c>
      <c r="Q4367">
        <v>1</v>
      </c>
      <c r="R4367" t="s">
        <v>42676</v>
      </c>
      <c r="S4367" t="s">
        <v>42809</v>
      </c>
      <c r="T4367" t="s">
        <v>44512</v>
      </c>
      <c r="U4367" t="s">
        <v>48406</v>
      </c>
      <c r="W4367" t="s">
        <v>40276</v>
      </c>
      <c r="X4367" t="s">
        <v>42677</v>
      </c>
    </row>
    <row r="4368" spans="1:24">
      <c r="A4368">
        <f>HYPERLINK("https://www.philgeps.gov.ph/GEPSNONPILOT/Tender/SplashBidNoticeAbstractUI.aspx?menuIndex=3&amp;refID=7187945&amp;Result=3","7187945")</f>
        <v>0</v>
      </c>
      <c r="B4368" t="s">
        <v>1569</v>
      </c>
      <c r="C4368" t="s">
        <v>7707</v>
      </c>
      <c r="D4368" t="s">
        <v>17169</v>
      </c>
      <c r="E4368" t="s">
        <v>21053</v>
      </c>
      <c r="F4368" t="s">
        <v>29372</v>
      </c>
      <c r="G4368" t="s">
        <v>29379</v>
      </c>
      <c r="H4368" t="s">
        <v>11048</v>
      </c>
      <c r="I4368" t="s">
        <v>3670</v>
      </c>
      <c r="J4368" t="s">
        <v>32434</v>
      </c>
      <c r="K4368" t="s">
        <v>38518</v>
      </c>
      <c r="M4368" t="s">
        <v>40419</v>
      </c>
      <c r="N4368" t="s">
        <v>42669</v>
      </c>
      <c r="O4368" t="s">
        <v>42670</v>
      </c>
      <c r="P4368">
        <v>0</v>
      </c>
      <c r="Q4368">
        <v>5</v>
      </c>
      <c r="R4368" t="s">
        <v>42676</v>
      </c>
      <c r="S4368" t="s">
        <v>42809</v>
      </c>
      <c r="T4368" t="s">
        <v>44385</v>
      </c>
      <c r="U4368" t="s">
        <v>48407</v>
      </c>
      <c r="W4368" t="s">
        <v>40419</v>
      </c>
      <c r="X4368" t="s">
        <v>42677</v>
      </c>
    </row>
    <row r="4369" spans="1:24">
      <c r="A4369">
        <f>HYPERLINK("https://www.philgeps.gov.ph/GEPSNONPILOT/Tender/SplashBidNoticeAbstractUI.aspx?menuIndex=3&amp;refID=7187949&amp;Result=3","7187949")</f>
        <v>0</v>
      </c>
      <c r="B4369" t="s">
        <v>1572</v>
      </c>
      <c r="C4369" t="s">
        <v>7708</v>
      </c>
      <c r="D4369" t="s">
        <v>17178</v>
      </c>
      <c r="E4369" t="s">
        <v>21054</v>
      </c>
      <c r="F4369" t="s">
        <v>29372</v>
      </c>
      <c r="G4369" t="s">
        <v>29380</v>
      </c>
      <c r="H4369" t="s">
        <v>11048</v>
      </c>
      <c r="I4369" t="s">
        <v>3839</v>
      </c>
      <c r="J4369" t="s">
        <v>32435</v>
      </c>
      <c r="K4369" t="s">
        <v>38510</v>
      </c>
      <c r="M4369" t="s">
        <v>40422</v>
      </c>
      <c r="N4369" t="s">
        <v>42669</v>
      </c>
      <c r="O4369" t="s">
        <v>42670</v>
      </c>
      <c r="P4369">
        <v>0</v>
      </c>
      <c r="Q4369">
        <v>5</v>
      </c>
      <c r="R4369" t="s">
        <v>42676</v>
      </c>
      <c r="S4369" t="s">
        <v>42809</v>
      </c>
      <c r="T4369" t="s">
        <v>44664</v>
      </c>
      <c r="U4369" t="s">
        <v>48394</v>
      </c>
      <c r="W4369" t="s">
        <v>40422</v>
      </c>
      <c r="X4369" t="s">
        <v>42677</v>
      </c>
    </row>
    <row r="4370" spans="1:24">
      <c r="A4370">
        <f>HYPERLINK("https://www.philgeps.gov.ph/GEPSNONPILOT/Tender/SplashBidNoticeAbstractUI.aspx?menuIndex=3&amp;refID=7187941&amp;Result=3","7187941")</f>
        <v>0</v>
      </c>
      <c r="B4370" t="s">
        <v>882</v>
      </c>
      <c r="C4370" t="s">
        <v>7709</v>
      </c>
      <c r="E4370" t="s">
        <v>21055</v>
      </c>
      <c r="F4370" t="s">
        <v>29372</v>
      </c>
      <c r="G4370" t="s">
        <v>29379</v>
      </c>
      <c r="H4370" t="s">
        <v>11048</v>
      </c>
      <c r="I4370" t="s">
        <v>29409</v>
      </c>
      <c r="J4370" t="s">
        <v>32436</v>
      </c>
      <c r="K4370" t="s">
        <v>38510</v>
      </c>
      <c r="M4370" t="s">
        <v>39674</v>
      </c>
      <c r="N4370" t="s">
        <v>42669</v>
      </c>
      <c r="O4370" t="s">
        <v>42670</v>
      </c>
      <c r="P4370">
        <v>0</v>
      </c>
      <c r="Q4370">
        <v>13</v>
      </c>
      <c r="R4370" t="s">
        <v>42676</v>
      </c>
      <c r="S4370" t="s">
        <v>42809</v>
      </c>
      <c r="T4370" t="s">
        <v>44526</v>
      </c>
      <c r="U4370" t="s">
        <v>46647</v>
      </c>
      <c r="W4370" t="s">
        <v>39674</v>
      </c>
      <c r="X4370" t="s">
        <v>42677</v>
      </c>
    </row>
    <row r="4371" spans="1:24">
      <c r="A4371">
        <f>HYPERLINK("https://www.philgeps.gov.ph/GEPSNONPILOT/Tender/SplashBidNoticeAbstractUI.aspx?menuIndex=3&amp;refID=7187951&amp;Result=3","7187951")</f>
        <v>0</v>
      </c>
      <c r="B4371" t="s">
        <v>1577</v>
      </c>
      <c r="C4371" t="s">
        <v>3982</v>
      </c>
      <c r="D4371" t="s">
        <v>17171</v>
      </c>
      <c r="E4371" t="s">
        <v>21056</v>
      </c>
      <c r="F4371" t="s">
        <v>29372</v>
      </c>
      <c r="G4371" t="s">
        <v>29383</v>
      </c>
      <c r="H4371" t="s">
        <v>11048</v>
      </c>
      <c r="I4371" t="s">
        <v>29424</v>
      </c>
      <c r="J4371" t="s">
        <v>32437</v>
      </c>
      <c r="K4371" t="s">
        <v>38489</v>
      </c>
      <c r="M4371" t="s">
        <v>40427</v>
      </c>
      <c r="N4371" t="s">
        <v>42669</v>
      </c>
      <c r="O4371" t="s">
        <v>42670</v>
      </c>
      <c r="P4371">
        <v>0</v>
      </c>
      <c r="Q4371">
        <v>2</v>
      </c>
      <c r="R4371" t="s">
        <v>42676</v>
      </c>
      <c r="S4371" t="s">
        <v>42809</v>
      </c>
      <c r="T4371" t="s">
        <v>44425</v>
      </c>
      <c r="U4371" t="s">
        <v>48408</v>
      </c>
      <c r="W4371" t="s">
        <v>40427</v>
      </c>
      <c r="X4371" t="s">
        <v>42677</v>
      </c>
    </row>
    <row r="4372" spans="1:24">
      <c r="A4372">
        <f>HYPERLINK("https://www.philgeps.gov.ph/GEPSNONPILOT/Tender/SplashBidNoticeAbstractUI.aspx?menuIndex=3&amp;refID=7187984&amp;Result=3","7187984")</f>
        <v>0</v>
      </c>
      <c r="B4372" t="s">
        <v>1470</v>
      </c>
      <c r="C4372" t="s">
        <v>7710</v>
      </c>
      <c r="D4372" t="s">
        <v>17153</v>
      </c>
      <c r="E4372" t="s">
        <v>21057</v>
      </c>
      <c r="F4372" t="s">
        <v>29372</v>
      </c>
      <c r="G4372" t="s">
        <v>29380</v>
      </c>
      <c r="H4372" t="s">
        <v>11048</v>
      </c>
      <c r="I4372" t="s">
        <v>29437</v>
      </c>
      <c r="J4372" t="s">
        <v>29590</v>
      </c>
      <c r="K4372" t="s">
        <v>38496</v>
      </c>
      <c r="M4372" t="s">
        <v>40313</v>
      </c>
      <c r="N4372" t="s">
        <v>42669</v>
      </c>
      <c r="O4372" t="s">
        <v>42670</v>
      </c>
      <c r="P4372">
        <v>0</v>
      </c>
      <c r="Q4372">
        <v>0</v>
      </c>
      <c r="R4372" t="s">
        <v>42676</v>
      </c>
      <c r="S4372" t="s">
        <v>42809</v>
      </c>
      <c r="T4372" t="s">
        <v>44443</v>
      </c>
      <c r="U4372" t="s">
        <v>48146</v>
      </c>
      <c r="V4372" t="s">
        <v>56769</v>
      </c>
      <c r="W4372" t="s">
        <v>40313</v>
      </c>
      <c r="X4372" t="s">
        <v>42677</v>
      </c>
    </row>
    <row r="4373" spans="1:24">
      <c r="A4373">
        <f>HYPERLINK("https://www.philgeps.gov.ph/GEPSNONPILOT/Tender/SplashBidNoticeAbstractUI.aspx?menuIndex=3&amp;refID=7187980&amp;Result=3","7187980")</f>
        <v>0</v>
      </c>
      <c r="B4373" t="s">
        <v>1383</v>
      </c>
      <c r="C4373" t="s">
        <v>7711</v>
      </c>
      <c r="D4373" t="s">
        <v>17169</v>
      </c>
      <c r="E4373" t="s">
        <v>20592</v>
      </c>
      <c r="F4373" t="s">
        <v>29372</v>
      </c>
      <c r="G4373" t="s">
        <v>29380</v>
      </c>
      <c r="H4373" t="s">
        <v>29389</v>
      </c>
      <c r="I4373" t="s">
        <v>10408</v>
      </c>
      <c r="J4373" t="s">
        <v>29543</v>
      </c>
      <c r="K4373" t="s">
        <v>38496</v>
      </c>
      <c r="M4373" t="s">
        <v>40220</v>
      </c>
      <c r="N4373" t="s">
        <v>42669</v>
      </c>
      <c r="O4373" t="s">
        <v>42670</v>
      </c>
      <c r="P4373">
        <v>0</v>
      </c>
      <c r="Q4373">
        <v>0</v>
      </c>
      <c r="R4373" t="s">
        <v>42676</v>
      </c>
      <c r="S4373" t="s">
        <v>42809</v>
      </c>
      <c r="T4373" t="s">
        <v>44587</v>
      </c>
      <c r="U4373" t="s">
        <v>47960</v>
      </c>
      <c r="V4373" t="s">
        <v>56818</v>
      </c>
      <c r="W4373" t="s">
        <v>40220</v>
      </c>
      <c r="X4373" t="s">
        <v>42677</v>
      </c>
    </row>
    <row r="4374" spans="1:24">
      <c r="A4374">
        <f>HYPERLINK("https://www.philgeps.gov.ph/GEPSNONPILOT/Tender/SplashBidNoticeAbstractUI.aspx?menuIndex=3&amp;refID=7187978&amp;Result=3","7187978")</f>
        <v>0</v>
      </c>
      <c r="B4374" t="s">
        <v>684</v>
      </c>
      <c r="C4374" t="s">
        <v>7712</v>
      </c>
      <c r="D4374" t="s">
        <v>17188</v>
      </c>
      <c r="E4374" t="s">
        <v>21058</v>
      </c>
      <c r="F4374" t="s">
        <v>29372</v>
      </c>
      <c r="G4374" t="s">
        <v>29379</v>
      </c>
      <c r="H4374" t="s">
        <v>11048</v>
      </c>
      <c r="I4374" t="s">
        <v>29428</v>
      </c>
      <c r="J4374" t="s">
        <v>30223</v>
      </c>
      <c r="K4374" t="s">
        <v>38488</v>
      </c>
      <c r="M4374" t="s">
        <v>39779</v>
      </c>
      <c r="N4374" t="s">
        <v>42669</v>
      </c>
      <c r="O4374" t="s">
        <v>42670</v>
      </c>
      <c r="P4374">
        <v>0</v>
      </c>
      <c r="Q4374">
        <v>0</v>
      </c>
      <c r="R4374" t="s">
        <v>42676</v>
      </c>
      <c r="S4374" t="s">
        <v>42809</v>
      </c>
      <c r="T4374" t="s">
        <v>44651</v>
      </c>
      <c r="U4374" t="s">
        <v>48409</v>
      </c>
      <c r="V4374" t="s">
        <v>45789</v>
      </c>
      <c r="W4374" t="s">
        <v>39779</v>
      </c>
      <c r="X4374" t="s">
        <v>42677</v>
      </c>
    </row>
    <row r="4375" spans="1:24">
      <c r="A4375">
        <f>HYPERLINK("https://www.philgeps.gov.ph/GEPSNONPILOT/Tender/SplashBidNoticeAbstractUI.aspx?menuIndex=3&amp;refID=7187975&amp;Result=3","7187975")</f>
        <v>0</v>
      </c>
      <c r="B4375" t="s">
        <v>1561</v>
      </c>
      <c r="C4375" t="s">
        <v>7713</v>
      </c>
      <c r="D4375" t="s">
        <v>17170</v>
      </c>
      <c r="E4375" t="s">
        <v>21059</v>
      </c>
      <c r="F4375" t="s">
        <v>29372</v>
      </c>
      <c r="G4375" t="s">
        <v>29380</v>
      </c>
      <c r="H4375" t="s">
        <v>11048</v>
      </c>
      <c r="I4375" t="s">
        <v>3839</v>
      </c>
      <c r="J4375" t="s">
        <v>29767</v>
      </c>
      <c r="K4375" t="s">
        <v>38491</v>
      </c>
      <c r="M4375" t="s">
        <v>40411</v>
      </c>
      <c r="N4375" t="s">
        <v>42669</v>
      </c>
      <c r="O4375" t="s">
        <v>42670</v>
      </c>
      <c r="P4375">
        <v>0</v>
      </c>
      <c r="Q4375">
        <v>1</v>
      </c>
      <c r="R4375" t="s">
        <v>42676</v>
      </c>
      <c r="S4375" t="s">
        <v>42809</v>
      </c>
      <c r="T4375" t="s">
        <v>44665</v>
      </c>
      <c r="U4375" t="s">
        <v>48410</v>
      </c>
      <c r="W4375" t="s">
        <v>40411</v>
      </c>
      <c r="X4375" t="s">
        <v>42677</v>
      </c>
    </row>
    <row r="4376" spans="1:24">
      <c r="A4376">
        <f>HYPERLINK("https://www.philgeps.gov.ph/GEPSNONPILOT/Tender/SplashBidNoticeAbstractUI.aspx?menuIndex=3&amp;refID=7187943&amp;Result=3","7187943")</f>
        <v>0</v>
      </c>
      <c r="B4376" t="s">
        <v>1540</v>
      </c>
      <c r="C4376" t="s">
        <v>7714</v>
      </c>
      <c r="D4376" t="s">
        <v>17154</v>
      </c>
      <c r="E4376" t="s">
        <v>21060</v>
      </c>
      <c r="F4376" t="s">
        <v>29372</v>
      </c>
      <c r="G4376" t="s">
        <v>29379</v>
      </c>
      <c r="H4376" t="s">
        <v>29391</v>
      </c>
      <c r="I4376" t="s">
        <v>29391</v>
      </c>
      <c r="J4376" t="s">
        <v>29694</v>
      </c>
      <c r="K4376" t="s">
        <v>38486</v>
      </c>
      <c r="M4376" t="s">
        <v>40389</v>
      </c>
      <c r="N4376" t="s">
        <v>42669</v>
      </c>
      <c r="O4376" t="s">
        <v>42670</v>
      </c>
      <c r="P4376">
        <v>0</v>
      </c>
      <c r="Q4376">
        <v>2</v>
      </c>
      <c r="R4376" t="s">
        <v>42676</v>
      </c>
      <c r="S4376" t="s">
        <v>42809</v>
      </c>
      <c r="T4376" t="s">
        <v>44659</v>
      </c>
      <c r="U4376" t="s">
        <v>48411</v>
      </c>
      <c r="W4376" t="s">
        <v>40389</v>
      </c>
      <c r="X4376" t="s">
        <v>42677</v>
      </c>
    </row>
    <row r="4377" spans="1:24">
      <c r="A4377">
        <f>HYPERLINK("https://www.philgeps.gov.ph/GEPSNONPILOT/Tender/SplashBidNoticeAbstractUI.aspx?menuIndex=3&amp;refID=7187970&amp;Result=3","7187970")</f>
        <v>0</v>
      </c>
      <c r="B4377" t="s">
        <v>1383</v>
      </c>
      <c r="C4377" t="s">
        <v>7715</v>
      </c>
      <c r="D4377" t="s">
        <v>17169</v>
      </c>
      <c r="E4377" t="s">
        <v>20592</v>
      </c>
      <c r="F4377" t="s">
        <v>29372</v>
      </c>
      <c r="G4377" t="s">
        <v>29380</v>
      </c>
      <c r="H4377" t="s">
        <v>29389</v>
      </c>
      <c r="I4377" t="s">
        <v>10408</v>
      </c>
      <c r="J4377" t="s">
        <v>30161</v>
      </c>
      <c r="K4377" t="s">
        <v>38496</v>
      </c>
      <c r="M4377" t="s">
        <v>40220</v>
      </c>
      <c r="N4377" t="s">
        <v>42669</v>
      </c>
      <c r="O4377" t="s">
        <v>42670</v>
      </c>
      <c r="P4377">
        <v>0</v>
      </c>
      <c r="Q4377">
        <v>0</v>
      </c>
      <c r="R4377" t="s">
        <v>42676</v>
      </c>
      <c r="S4377" t="s">
        <v>42809</v>
      </c>
      <c r="T4377" t="s">
        <v>44587</v>
      </c>
      <c r="U4377" t="s">
        <v>47960</v>
      </c>
      <c r="V4377" t="s">
        <v>56819</v>
      </c>
      <c r="W4377" t="s">
        <v>40220</v>
      </c>
      <c r="X4377" t="s">
        <v>42677</v>
      </c>
    </row>
    <row r="4378" spans="1:24">
      <c r="A4378">
        <f>HYPERLINK("https://www.philgeps.gov.ph/GEPSNONPILOT/Tender/SplashBidNoticeAbstractUI.aspx?menuIndex=3&amp;refID=7187950&amp;Result=3","7187950")</f>
        <v>0</v>
      </c>
      <c r="B4378" t="s">
        <v>1428</v>
      </c>
      <c r="C4378" t="s">
        <v>7716</v>
      </c>
      <c r="D4378" t="s">
        <v>17171</v>
      </c>
      <c r="E4378" t="s">
        <v>21061</v>
      </c>
      <c r="F4378" t="s">
        <v>29372</v>
      </c>
      <c r="G4378" t="s">
        <v>29380</v>
      </c>
      <c r="H4378" t="s">
        <v>11048</v>
      </c>
      <c r="I4378" t="s">
        <v>4709</v>
      </c>
      <c r="J4378" t="s">
        <v>32438</v>
      </c>
      <c r="K4378" t="s">
        <v>38488</v>
      </c>
      <c r="M4378" t="s">
        <v>40268</v>
      </c>
      <c r="N4378" t="s">
        <v>42669</v>
      </c>
      <c r="O4378" t="s">
        <v>42670</v>
      </c>
      <c r="P4378">
        <v>0</v>
      </c>
      <c r="Q4378">
        <v>5</v>
      </c>
      <c r="R4378" t="s">
        <v>42676</v>
      </c>
      <c r="S4378" t="s">
        <v>42809</v>
      </c>
      <c r="T4378" t="s">
        <v>44525</v>
      </c>
      <c r="U4378" t="s">
        <v>48412</v>
      </c>
      <c r="W4378" t="s">
        <v>40268</v>
      </c>
      <c r="X4378" t="s">
        <v>42677</v>
      </c>
    </row>
    <row r="4379" spans="1:24">
      <c r="A4379">
        <f>HYPERLINK("https://www.philgeps.gov.ph/GEPSNONPILOT/Tender/SplashBidNoticeAbstractUI.aspx?menuIndex=3&amp;refID=7187967&amp;Result=3","7187967")</f>
        <v>0</v>
      </c>
      <c r="B4379" t="s">
        <v>1578</v>
      </c>
      <c r="C4379" t="s">
        <v>7717</v>
      </c>
      <c r="D4379" t="s">
        <v>17192</v>
      </c>
      <c r="E4379" t="s">
        <v>17533</v>
      </c>
      <c r="F4379" t="s">
        <v>29372</v>
      </c>
      <c r="G4379" t="s">
        <v>29380</v>
      </c>
      <c r="H4379" t="s">
        <v>11048</v>
      </c>
      <c r="I4379" t="s">
        <v>4709</v>
      </c>
      <c r="J4379" t="s">
        <v>29708</v>
      </c>
      <c r="K4379" t="s">
        <v>38556</v>
      </c>
      <c r="M4379" t="s">
        <v>40428</v>
      </c>
      <c r="N4379" t="s">
        <v>42669</v>
      </c>
      <c r="O4379" t="s">
        <v>42670</v>
      </c>
      <c r="P4379">
        <v>0</v>
      </c>
      <c r="Q4379">
        <v>0</v>
      </c>
      <c r="R4379" t="s">
        <v>42676</v>
      </c>
      <c r="S4379" t="s">
        <v>42809</v>
      </c>
      <c r="T4379" t="s">
        <v>44399</v>
      </c>
      <c r="U4379" t="s">
        <v>48413</v>
      </c>
      <c r="W4379" t="s">
        <v>40428</v>
      </c>
      <c r="X4379" t="s">
        <v>42677</v>
      </c>
    </row>
    <row r="4380" spans="1:24">
      <c r="A4380">
        <f>HYPERLINK("https://www.philgeps.gov.ph/GEPSNONPILOT/Tender/SplashBidNoticeAbstractUI.aspx?menuIndex=3&amp;refID=7187952&amp;Result=3","7187952")</f>
        <v>0</v>
      </c>
      <c r="B4380" t="s">
        <v>882</v>
      </c>
      <c r="C4380" t="s">
        <v>7718</v>
      </c>
      <c r="D4380" t="s">
        <v>17190</v>
      </c>
      <c r="E4380" t="s">
        <v>21062</v>
      </c>
      <c r="F4380" t="s">
        <v>29372</v>
      </c>
      <c r="G4380" t="s">
        <v>29379</v>
      </c>
      <c r="H4380" t="s">
        <v>11048</v>
      </c>
      <c r="I4380" t="s">
        <v>8208</v>
      </c>
      <c r="J4380" t="s">
        <v>32439</v>
      </c>
      <c r="K4380" t="s">
        <v>38586</v>
      </c>
      <c r="M4380" t="s">
        <v>39674</v>
      </c>
      <c r="N4380" t="s">
        <v>42669</v>
      </c>
      <c r="O4380" t="s">
        <v>42670</v>
      </c>
      <c r="P4380">
        <v>0</v>
      </c>
      <c r="Q4380">
        <v>0</v>
      </c>
      <c r="R4380" t="s">
        <v>42676</v>
      </c>
      <c r="S4380" t="s">
        <v>42809</v>
      </c>
      <c r="T4380" t="s">
        <v>44526</v>
      </c>
      <c r="U4380" t="s">
        <v>46647</v>
      </c>
      <c r="W4380" t="s">
        <v>39674</v>
      </c>
      <c r="X4380" t="s">
        <v>42677</v>
      </c>
    </row>
    <row r="4381" spans="1:24">
      <c r="A4381">
        <f>HYPERLINK("https://www.philgeps.gov.ph/GEPSNONPILOT/Tender/SplashBidNoticeAbstractUI.aspx?menuIndex=3&amp;refID=7187989&amp;Result=3","7187989")</f>
        <v>0</v>
      </c>
      <c r="B4381" t="s">
        <v>1544</v>
      </c>
      <c r="C4381" t="s">
        <v>7719</v>
      </c>
      <c r="D4381" t="s">
        <v>17141</v>
      </c>
      <c r="E4381" t="s">
        <v>21063</v>
      </c>
      <c r="F4381" t="s">
        <v>29372</v>
      </c>
      <c r="G4381" t="s">
        <v>29379</v>
      </c>
      <c r="H4381" t="s">
        <v>11048</v>
      </c>
      <c r="I4381" t="s">
        <v>29494</v>
      </c>
      <c r="J4381" t="s">
        <v>30024</v>
      </c>
      <c r="K4381" t="s">
        <v>38488</v>
      </c>
      <c r="M4381" t="s">
        <v>40393</v>
      </c>
      <c r="N4381" t="s">
        <v>42669</v>
      </c>
      <c r="O4381" t="s">
        <v>42670</v>
      </c>
      <c r="P4381">
        <v>0</v>
      </c>
      <c r="Q4381">
        <v>2</v>
      </c>
      <c r="R4381" t="s">
        <v>42676</v>
      </c>
      <c r="S4381" t="s">
        <v>42809</v>
      </c>
      <c r="T4381" t="s">
        <v>44456</v>
      </c>
      <c r="U4381" t="s">
        <v>48414</v>
      </c>
      <c r="W4381" t="s">
        <v>40393</v>
      </c>
      <c r="X4381" t="s">
        <v>42677</v>
      </c>
    </row>
    <row r="4382" spans="1:24">
      <c r="A4382">
        <f>HYPERLINK("https://www.philgeps.gov.ph/GEPSNONPILOT/Tender/SplashBidNoticeAbstractUI.aspx?menuIndex=3&amp;refID=7187987&amp;Result=3","7187987")</f>
        <v>0</v>
      </c>
      <c r="B4382" t="s">
        <v>1579</v>
      </c>
      <c r="C4382" t="s">
        <v>7720</v>
      </c>
      <c r="D4382" t="s">
        <v>17175</v>
      </c>
      <c r="E4382" t="s">
        <v>21064</v>
      </c>
      <c r="F4382" t="s">
        <v>29372</v>
      </c>
      <c r="G4382" t="s">
        <v>29379</v>
      </c>
      <c r="H4382" t="s">
        <v>11048</v>
      </c>
      <c r="I4382" t="s">
        <v>29401</v>
      </c>
      <c r="J4382" t="s">
        <v>29694</v>
      </c>
      <c r="K4382" t="s">
        <v>38490</v>
      </c>
      <c r="M4382" t="s">
        <v>40429</v>
      </c>
      <c r="N4382" t="s">
        <v>42669</v>
      </c>
      <c r="O4382" t="s">
        <v>42670</v>
      </c>
      <c r="P4382">
        <v>0</v>
      </c>
      <c r="Q4382">
        <v>2</v>
      </c>
      <c r="R4382" t="s">
        <v>42676</v>
      </c>
      <c r="S4382" t="s">
        <v>42809</v>
      </c>
      <c r="T4382" t="s">
        <v>44371</v>
      </c>
      <c r="U4382" t="s">
        <v>48415</v>
      </c>
      <c r="W4382" t="s">
        <v>40429</v>
      </c>
      <c r="X4382" t="s">
        <v>42677</v>
      </c>
    </row>
    <row r="4383" spans="1:24">
      <c r="A4383">
        <f>HYPERLINK("https://www.philgeps.gov.ph/GEPSNONPILOT/Tender/SplashBidNoticeAbstractUI.aspx?menuIndex=3&amp;refID=7187944&amp;Result=3","7187944")</f>
        <v>0</v>
      </c>
      <c r="B4383" t="s">
        <v>1580</v>
      </c>
      <c r="C4383" t="s">
        <v>7721</v>
      </c>
      <c r="D4383" t="s">
        <v>17197</v>
      </c>
      <c r="E4383" t="s">
        <v>21065</v>
      </c>
      <c r="F4383" t="s">
        <v>29372</v>
      </c>
      <c r="G4383" t="s">
        <v>29380</v>
      </c>
      <c r="H4383" t="s">
        <v>11048</v>
      </c>
      <c r="I4383" t="s">
        <v>4709</v>
      </c>
      <c r="J4383" t="s">
        <v>32440</v>
      </c>
      <c r="K4383" t="s">
        <v>38485</v>
      </c>
      <c r="M4383" t="s">
        <v>40430</v>
      </c>
      <c r="N4383" t="s">
        <v>42669</v>
      </c>
      <c r="O4383" t="s">
        <v>42670</v>
      </c>
      <c r="P4383">
        <v>0</v>
      </c>
      <c r="Q4383">
        <v>0</v>
      </c>
      <c r="R4383" t="s">
        <v>42676</v>
      </c>
      <c r="S4383" t="s">
        <v>42809</v>
      </c>
      <c r="T4383" t="s">
        <v>44539</v>
      </c>
      <c r="U4383" t="s">
        <v>48416</v>
      </c>
      <c r="W4383" t="s">
        <v>40430</v>
      </c>
      <c r="X4383" t="s">
        <v>42677</v>
      </c>
    </row>
    <row r="4384" spans="1:24">
      <c r="A4384">
        <f>HYPERLINK("https://www.philgeps.gov.ph/GEPSNONPILOT/Tender/SplashBidNoticeAbstractUI.aspx?menuIndex=3&amp;refID=7187938&amp;Result=3","7187938")</f>
        <v>0</v>
      </c>
      <c r="B4384" t="s">
        <v>1531</v>
      </c>
      <c r="C4384" t="s">
        <v>7722</v>
      </c>
      <c r="D4384" t="s">
        <v>17147</v>
      </c>
      <c r="E4384" t="s">
        <v>20940</v>
      </c>
      <c r="F4384" t="s">
        <v>29375</v>
      </c>
      <c r="G4384" t="s">
        <v>29380</v>
      </c>
      <c r="H4384" t="s">
        <v>11048</v>
      </c>
      <c r="I4384" t="s">
        <v>4709</v>
      </c>
      <c r="J4384" t="s">
        <v>32441</v>
      </c>
      <c r="K4384" t="s">
        <v>38518</v>
      </c>
      <c r="M4384" t="s">
        <v>40380</v>
      </c>
      <c r="N4384" t="s">
        <v>42669</v>
      </c>
      <c r="O4384" t="s">
        <v>42670</v>
      </c>
      <c r="P4384">
        <v>0</v>
      </c>
      <c r="Q4384">
        <v>0</v>
      </c>
      <c r="R4384" t="s">
        <v>42676</v>
      </c>
      <c r="S4384" t="s">
        <v>42809</v>
      </c>
      <c r="T4384" t="s">
        <v>44666</v>
      </c>
      <c r="U4384" t="s">
        <v>48417</v>
      </c>
      <c r="W4384" t="s">
        <v>40380</v>
      </c>
      <c r="X4384" t="s">
        <v>42677</v>
      </c>
    </row>
    <row r="4385" spans="1:24">
      <c r="A4385">
        <f>HYPERLINK("https://www.philgeps.gov.ph/GEPSNONPILOT/Tender/SplashBidNoticeAbstractUI.aspx?menuIndex=3&amp;refID=7187966&amp;Result=3","7187966")</f>
        <v>0</v>
      </c>
      <c r="B4385" t="s">
        <v>1581</v>
      </c>
      <c r="C4385" t="s">
        <v>7723</v>
      </c>
      <c r="D4385" t="s">
        <v>17141</v>
      </c>
      <c r="E4385" t="s">
        <v>17870</v>
      </c>
      <c r="F4385" t="s">
        <v>29372</v>
      </c>
      <c r="G4385" t="s">
        <v>29380</v>
      </c>
      <c r="H4385" t="s">
        <v>11048</v>
      </c>
      <c r="I4385" t="s">
        <v>29395</v>
      </c>
      <c r="J4385" t="s">
        <v>29555</v>
      </c>
      <c r="K4385" t="s">
        <v>38489</v>
      </c>
      <c r="M4385" t="s">
        <v>40431</v>
      </c>
      <c r="N4385" t="s">
        <v>42669</v>
      </c>
      <c r="O4385" t="s">
        <v>42670</v>
      </c>
      <c r="P4385">
        <v>0</v>
      </c>
      <c r="Q4385">
        <v>3</v>
      </c>
      <c r="R4385" t="s">
        <v>42676</v>
      </c>
      <c r="S4385" t="s">
        <v>42809</v>
      </c>
      <c r="T4385" t="s">
        <v>44371</v>
      </c>
      <c r="U4385" t="s">
        <v>48418</v>
      </c>
      <c r="V4385" t="s">
        <v>56406</v>
      </c>
      <c r="W4385" t="s">
        <v>40431</v>
      </c>
      <c r="X4385" t="s">
        <v>42677</v>
      </c>
    </row>
    <row r="4386" spans="1:24">
      <c r="A4386">
        <f>HYPERLINK("https://www.philgeps.gov.ph/GEPSNONPILOT/Tender/SplashBidNoticeAbstractUI.aspx?menuIndex=3&amp;refID=7187963&amp;Result=3","7187963")</f>
        <v>0</v>
      </c>
      <c r="B4386" t="s">
        <v>882</v>
      </c>
      <c r="C4386" t="s">
        <v>7724</v>
      </c>
      <c r="D4386" t="s">
        <v>17157</v>
      </c>
      <c r="E4386" t="s">
        <v>21066</v>
      </c>
      <c r="F4386" t="s">
        <v>29372</v>
      </c>
      <c r="G4386" t="s">
        <v>29379</v>
      </c>
      <c r="H4386" t="s">
        <v>11048</v>
      </c>
      <c r="I4386" t="s">
        <v>8208</v>
      </c>
      <c r="J4386" t="s">
        <v>31358</v>
      </c>
      <c r="K4386" t="s">
        <v>38586</v>
      </c>
      <c r="M4386" t="s">
        <v>39674</v>
      </c>
      <c r="N4386" t="s">
        <v>42669</v>
      </c>
      <c r="O4386" t="s">
        <v>42670</v>
      </c>
      <c r="P4386">
        <v>0</v>
      </c>
      <c r="Q4386">
        <v>1</v>
      </c>
      <c r="R4386" t="s">
        <v>42676</v>
      </c>
      <c r="S4386" t="s">
        <v>42809</v>
      </c>
      <c r="T4386" t="s">
        <v>44526</v>
      </c>
      <c r="U4386" t="s">
        <v>46647</v>
      </c>
      <c r="W4386" t="s">
        <v>39674</v>
      </c>
      <c r="X4386" t="s">
        <v>42677</v>
      </c>
    </row>
    <row r="4387" spans="1:24">
      <c r="A4387">
        <f>HYPERLINK("https://www.philgeps.gov.ph/GEPSNONPILOT/Tender/SplashBidNoticeAbstractUI.aspx?menuIndex=3&amp;refID=7187958&amp;Result=3","7187958")</f>
        <v>0</v>
      </c>
      <c r="B4387" t="s">
        <v>1410</v>
      </c>
      <c r="C4387" t="s">
        <v>7725</v>
      </c>
      <c r="D4387" t="s">
        <v>17167</v>
      </c>
      <c r="E4387" t="s">
        <v>21067</v>
      </c>
      <c r="F4387" t="s">
        <v>29372</v>
      </c>
      <c r="G4387" t="s">
        <v>29383</v>
      </c>
      <c r="H4387" t="s">
        <v>11048</v>
      </c>
      <c r="I4387" t="s">
        <v>29407</v>
      </c>
      <c r="J4387" t="s">
        <v>32442</v>
      </c>
      <c r="K4387" t="s">
        <v>38491</v>
      </c>
      <c r="M4387" t="s">
        <v>40249</v>
      </c>
      <c r="N4387" t="s">
        <v>42669</v>
      </c>
      <c r="O4387" t="s">
        <v>42670</v>
      </c>
      <c r="P4387">
        <v>0</v>
      </c>
      <c r="Q4387">
        <v>0</v>
      </c>
      <c r="R4387" t="s">
        <v>42676</v>
      </c>
      <c r="S4387" t="s">
        <v>42809</v>
      </c>
      <c r="T4387" t="s">
        <v>44548</v>
      </c>
      <c r="U4387" t="s">
        <v>48419</v>
      </c>
      <c r="W4387" t="s">
        <v>40249</v>
      </c>
      <c r="X4387" t="s">
        <v>42677</v>
      </c>
    </row>
    <row r="4388" spans="1:24">
      <c r="A4388">
        <f>HYPERLINK("https://www.philgeps.gov.ph/GEPSNONPILOT/Tender/SplashBidNoticeAbstractUI.aspx?menuIndex=3&amp;refID=7187955&amp;Result=3","7187955")</f>
        <v>0</v>
      </c>
      <c r="B4388" t="s">
        <v>1383</v>
      </c>
      <c r="C4388" t="s">
        <v>7726</v>
      </c>
      <c r="D4388" t="s">
        <v>17169</v>
      </c>
      <c r="E4388" t="s">
        <v>20592</v>
      </c>
      <c r="F4388" t="s">
        <v>29372</v>
      </c>
      <c r="G4388" t="s">
        <v>29380</v>
      </c>
      <c r="H4388" t="s">
        <v>29389</v>
      </c>
      <c r="I4388" t="s">
        <v>10408</v>
      </c>
      <c r="J4388" t="s">
        <v>29543</v>
      </c>
      <c r="K4388" t="s">
        <v>38633</v>
      </c>
      <c r="M4388" t="s">
        <v>40220</v>
      </c>
      <c r="N4388" t="s">
        <v>42669</v>
      </c>
      <c r="O4388" t="s">
        <v>42670</v>
      </c>
      <c r="P4388">
        <v>0</v>
      </c>
      <c r="Q4388">
        <v>0</v>
      </c>
      <c r="R4388" t="s">
        <v>42676</v>
      </c>
      <c r="S4388" t="s">
        <v>42809</v>
      </c>
      <c r="T4388" t="s">
        <v>44587</v>
      </c>
      <c r="U4388" t="s">
        <v>47960</v>
      </c>
      <c r="V4388" t="s">
        <v>56820</v>
      </c>
      <c r="W4388" t="s">
        <v>40220</v>
      </c>
      <c r="X4388" t="s">
        <v>42677</v>
      </c>
    </row>
    <row r="4389" spans="1:24">
      <c r="A4389">
        <f>HYPERLINK("https://www.philgeps.gov.ph/GEPSNONPILOT/Tender/SplashBidNoticeAbstractUI.aspx?menuIndex=3&amp;refID=7187954&amp;Result=3","7187954")</f>
        <v>0</v>
      </c>
      <c r="B4389" t="s">
        <v>878</v>
      </c>
      <c r="C4389" t="s">
        <v>7727</v>
      </c>
      <c r="D4389" t="s">
        <v>17161</v>
      </c>
      <c r="E4389" t="s">
        <v>21068</v>
      </c>
      <c r="F4389" t="s">
        <v>29372</v>
      </c>
      <c r="G4389" t="s">
        <v>29380</v>
      </c>
      <c r="H4389" t="s">
        <v>11048</v>
      </c>
      <c r="I4389" t="s">
        <v>9469</v>
      </c>
      <c r="J4389" t="s">
        <v>32443</v>
      </c>
      <c r="K4389" t="s">
        <v>38496</v>
      </c>
      <c r="M4389" t="s">
        <v>39670</v>
      </c>
      <c r="N4389" t="s">
        <v>42669</v>
      </c>
      <c r="O4389" t="s">
        <v>42670</v>
      </c>
      <c r="P4389">
        <v>0</v>
      </c>
      <c r="Q4389">
        <v>3</v>
      </c>
      <c r="R4389" t="s">
        <v>42676</v>
      </c>
      <c r="S4389" t="s">
        <v>42809</v>
      </c>
      <c r="T4389" t="s">
        <v>44539</v>
      </c>
      <c r="U4389" t="s">
        <v>48420</v>
      </c>
      <c r="W4389" t="s">
        <v>39670</v>
      </c>
      <c r="X4389" t="s">
        <v>42677</v>
      </c>
    </row>
    <row r="4390" spans="1:24">
      <c r="A4390">
        <f>HYPERLINK("https://www.philgeps.gov.ph/GEPSNONPILOT/Tender/SplashBidNoticeAbstractUI.aspx?menuIndex=3&amp;refID=7187973&amp;Result=3","7187973")</f>
        <v>0</v>
      </c>
      <c r="B4390" t="s">
        <v>882</v>
      </c>
      <c r="C4390" t="s">
        <v>7728</v>
      </c>
      <c r="D4390" t="s">
        <v>17176</v>
      </c>
      <c r="E4390" t="s">
        <v>21069</v>
      </c>
      <c r="F4390" t="s">
        <v>29372</v>
      </c>
      <c r="G4390" t="s">
        <v>29379</v>
      </c>
      <c r="H4390" t="s">
        <v>11048</v>
      </c>
      <c r="I4390" t="s">
        <v>8208</v>
      </c>
      <c r="J4390" t="s">
        <v>31906</v>
      </c>
      <c r="K4390" t="s">
        <v>38586</v>
      </c>
      <c r="M4390" t="s">
        <v>39674</v>
      </c>
      <c r="N4390" t="s">
        <v>42669</v>
      </c>
      <c r="O4390" t="s">
        <v>42670</v>
      </c>
      <c r="P4390">
        <v>0</v>
      </c>
      <c r="Q4390">
        <v>1</v>
      </c>
      <c r="R4390" t="s">
        <v>42676</v>
      </c>
      <c r="S4390" t="s">
        <v>42809</v>
      </c>
      <c r="T4390" t="s">
        <v>44512</v>
      </c>
      <c r="U4390" t="s">
        <v>46647</v>
      </c>
      <c r="W4390" t="s">
        <v>39674</v>
      </c>
      <c r="X4390" t="s">
        <v>42677</v>
      </c>
    </row>
    <row r="4391" spans="1:24">
      <c r="A4391">
        <f>HYPERLINK("https://www.philgeps.gov.ph/GEPSNONPILOT/Tender/SplashBidNoticeAbstractUI.aspx?menuIndex=3&amp;refID=7187985&amp;Result=3","7187985")</f>
        <v>0</v>
      </c>
      <c r="B4391" t="s">
        <v>1359</v>
      </c>
      <c r="C4391" t="s">
        <v>7729</v>
      </c>
      <c r="D4391" t="s">
        <v>17172</v>
      </c>
      <c r="E4391" t="s">
        <v>21070</v>
      </c>
      <c r="F4391" t="s">
        <v>29372</v>
      </c>
      <c r="G4391" t="s">
        <v>29380</v>
      </c>
      <c r="H4391" t="s">
        <v>29389</v>
      </c>
      <c r="I4391" t="s">
        <v>10408</v>
      </c>
      <c r="J4391" t="s">
        <v>32444</v>
      </c>
      <c r="K4391" t="s">
        <v>38634</v>
      </c>
      <c r="M4391" t="s">
        <v>40196</v>
      </c>
      <c r="N4391" t="s">
        <v>42669</v>
      </c>
      <c r="O4391" t="s">
        <v>42670</v>
      </c>
      <c r="P4391">
        <v>0</v>
      </c>
      <c r="Q4391">
        <v>0</v>
      </c>
      <c r="R4391" t="s">
        <v>42676</v>
      </c>
      <c r="S4391" t="s">
        <v>42809</v>
      </c>
      <c r="T4391" t="s">
        <v>44368</v>
      </c>
      <c r="U4391" t="s">
        <v>48421</v>
      </c>
      <c r="V4391" t="s">
        <v>56821</v>
      </c>
      <c r="W4391" t="s">
        <v>40196</v>
      </c>
      <c r="X4391" t="s">
        <v>42677</v>
      </c>
    </row>
    <row r="4392" spans="1:24">
      <c r="A4392">
        <f>HYPERLINK("https://www.philgeps.gov.ph/GEPSNONPILOT/Tender/SplashBidNoticeAbstractUI.aspx?menuIndex=3&amp;refID=7187981&amp;Result=3","7187981")</f>
        <v>0</v>
      </c>
      <c r="B4392" t="s">
        <v>882</v>
      </c>
      <c r="C4392" t="s">
        <v>7730</v>
      </c>
      <c r="E4392" t="s">
        <v>21071</v>
      </c>
      <c r="F4392" t="s">
        <v>29372</v>
      </c>
      <c r="G4392" t="s">
        <v>29379</v>
      </c>
      <c r="H4392" t="s">
        <v>11048</v>
      </c>
      <c r="I4392" t="s">
        <v>8208</v>
      </c>
      <c r="J4392" t="s">
        <v>32445</v>
      </c>
      <c r="K4392" t="s">
        <v>38586</v>
      </c>
      <c r="M4392" t="s">
        <v>39674</v>
      </c>
      <c r="N4392" t="s">
        <v>42669</v>
      </c>
      <c r="O4392" t="s">
        <v>42670</v>
      </c>
      <c r="P4392">
        <v>0</v>
      </c>
      <c r="Q4392">
        <v>5</v>
      </c>
      <c r="R4392" t="s">
        <v>42676</v>
      </c>
      <c r="S4392" t="s">
        <v>42809</v>
      </c>
      <c r="T4392" t="s">
        <v>44526</v>
      </c>
      <c r="U4392" t="s">
        <v>46647</v>
      </c>
      <c r="W4392" t="s">
        <v>39674</v>
      </c>
      <c r="X4392" t="s">
        <v>42677</v>
      </c>
    </row>
    <row r="4393" spans="1:24">
      <c r="A4393">
        <f>HYPERLINK("https://www.philgeps.gov.ph/GEPSNONPILOT/Tender/SplashBidNoticeAbstractUI.aspx?menuIndex=3&amp;refID=7187988&amp;Result=3","7187988")</f>
        <v>0</v>
      </c>
      <c r="B4393" t="s">
        <v>1383</v>
      </c>
      <c r="C4393" t="s">
        <v>7731</v>
      </c>
      <c r="D4393" t="s">
        <v>17169</v>
      </c>
      <c r="E4393" t="s">
        <v>20592</v>
      </c>
      <c r="F4393" t="s">
        <v>29372</v>
      </c>
      <c r="G4393" t="s">
        <v>29380</v>
      </c>
      <c r="H4393" t="s">
        <v>29389</v>
      </c>
      <c r="I4393" t="s">
        <v>10408</v>
      </c>
      <c r="J4393" t="s">
        <v>29543</v>
      </c>
      <c r="K4393" t="s">
        <v>38496</v>
      </c>
      <c r="M4393" t="s">
        <v>40220</v>
      </c>
      <c r="N4393" t="s">
        <v>42669</v>
      </c>
      <c r="O4393" t="s">
        <v>42670</v>
      </c>
      <c r="P4393">
        <v>0</v>
      </c>
      <c r="Q4393">
        <v>0</v>
      </c>
      <c r="R4393" t="s">
        <v>42676</v>
      </c>
      <c r="S4393" t="s">
        <v>42809</v>
      </c>
      <c r="T4393" t="s">
        <v>44587</v>
      </c>
      <c r="U4393" t="s">
        <v>47960</v>
      </c>
      <c r="V4393" t="s">
        <v>56822</v>
      </c>
      <c r="W4393" t="s">
        <v>40220</v>
      </c>
      <c r="X4393" t="s">
        <v>42677</v>
      </c>
    </row>
    <row r="4394" spans="1:24">
      <c r="A4394">
        <f>HYPERLINK("https://www.philgeps.gov.ph/GEPSNONPILOT/Tender/SplashBidNoticeAbstractUI.aspx?menuIndex=3&amp;refID=7187994&amp;Result=3","7187994")</f>
        <v>0</v>
      </c>
      <c r="B4394" t="s">
        <v>1582</v>
      </c>
      <c r="C4394" t="s">
        <v>7732</v>
      </c>
      <c r="D4394" t="s">
        <v>17193</v>
      </c>
      <c r="E4394" t="s">
        <v>21072</v>
      </c>
      <c r="F4394" t="s">
        <v>29372</v>
      </c>
      <c r="G4394" t="s">
        <v>29380</v>
      </c>
      <c r="H4394" t="s">
        <v>29391</v>
      </c>
      <c r="I4394" t="s">
        <v>10408</v>
      </c>
      <c r="J4394" t="s">
        <v>29694</v>
      </c>
      <c r="K4394" t="s">
        <v>38538</v>
      </c>
      <c r="M4394" t="s">
        <v>40432</v>
      </c>
      <c r="N4394" t="s">
        <v>42669</v>
      </c>
      <c r="O4394" t="s">
        <v>42670</v>
      </c>
      <c r="P4394">
        <v>0</v>
      </c>
      <c r="Q4394">
        <v>0</v>
      </c>
      <c r="R4394" t="s">
        <v>42676</v>
      </c>
      <c r="S4394" t="s">
        <v>42809</v>
      </c>
      <c r="T4394" t="s">
        <v>44667</v>
      </c>
      <c r="U4394" t="s">
        <v>48422</v>
      </c>
      <c r="W4394" t="s">
        <v>40432</v>
      </c>
      <c r="X4394" t="s">
        <v>42677</v>
      </c>
    </row>
    <row r="4395" spans="1:24">
      <c r="A4395">
        <f>HYPERLINK("https://www.philgeps.gov.ph/GEPSNONPILOT/Tender/SplashBidNoticeAbstractUI.aspx?menuIndex=3&amp;refID=7187999&amp;Result=3","7187999")</f>
        <v>0</v>
      </c>
      <c r="B4395" t="s">
        <v>1383</v>
      </c>
      <c r="C4395" t="s">
        <v>7733</v>
      </c>
      <c r="D4395" t="s">
        <v>17169</v>
      </c>
      <c r="E4395" t="s">
        <v>20592</v>
      </c>
      <c r="F4395" t="s">
        <v>29372</v>
      </c>
      <c r="G4395" t="s">
        <v>29380</v>
      </c>
      <c r="H4395" t="s">
        <v>29389</v>
      </c>
      <c r="I4395" t="s">
        <v>10408</v>
      </c>
      <c r="J4395" t="s">
        <v>32103</v>
      </c>
      <c r="K4395" t="s">
        <v>38496</v>
      </c>
      <c r="M4395" t="s">
        <v>40220</v>
      </c>
      <c r="N4395" t="s">
        <v>42669</v>
      </c>
      <c r="O4395" t="s">
        <v>42670</v>
      </c>
      <c r="P4395">
        <v>0</v>
      </c>
      <c r="Q4395">
        <v>1</v>
      </c>
      <c r="R4395" t="s">
        <v>42676</v>
      </c>
      <c r="S4395" t="s">
        <v>42809</v>
      </c>
      <c r="T4395" t="s">
        <v>44587</v>
      </c>
      <c r="U4395" t="s">
        <v>47960</v>
      </c>
      <c r="V4395" t="s">
        <v>56823</v>
      </c>
      <c r="W4395" t="s">
        <v>40220</v>
      </c>
      <c r="X4395" t="s">
        <v>42677</v>
      </c>
    </row>
    <row r="4396" spans="1:24">
      <c r="A4396">
        <f>HYPERLINK("https://www.philgeps.gov.ph/GEPSNONPILOT/Tender/SplashBidNoticeAbstractUI.aspx?menuIndex=3&amp;refID=7188024&amp;Result=3","7188024")</f>
        <v>0</v>
      </c>
      <c r="B4396" t="s">
        <v>1583</v>
      </c>
      <c r="C4396" t="s">
        <v>7734</v>
      </c>
      <c r="D4396" t="s">
        <v>17201</v>
      </c>
      <c r="E4396" t="s">
        <v>21073</v>
      </c>
      <c r="F4396" t="s">
        <v>29372</v>
      </c>
      <c r="G4396" t="s">
        <v>29380</v>
      </c>
      <c r="H4396" t="s">
        <v>11048</v>
      </c>
      <c r="I4396" t="s">
        <v>4487</v>
      </c>
      <c r="J4396" t="s">
        <v>30616</v>
      </c>
      <c r="K4396" t="s">
        <v>38488</v>
      </c>
      <c r="L4396" t="s">
        <v>1583</v>
      </c>
      <c r="M4396" t="s">
        <v>40433</v>
      </c>
      <c r="N4396" t="s">
        <v>42669</v>
      </c>
      <c r="O4396" t="s">
        <v>42670</v>
      </c>
      <c r="P4396">
        <v>0</v>
      </c>
      <c r="Q4396">
        <v>1</v>
      </c>
      <c r="R4396" t="s">
        <v>42676</v>
      </c>
      <c r="S4396" t="s">
        <v>42809</v>
      </c>
      <c r="T4396" t="s">
        <v>44463</v>
      </c>
      <c r="U4396" t="s">
        <v>48423</v>
      </c>
      <c r="V4396" t="s">
        <v>56824</v>
      </c>
      <c r="W4396" t="s">
        <v>40433</v>
      </c>
      <c r="X4396" t="s">
        <v>42677</v>
      </c>
    </row>
    <row r="4397" spans="1:24">
      <c r="A4397">
        <f>HYPERLINK("https://www.philgeps.gov.ph/GEPSNONPILOT/Tender/SplashBidNoticeAbstractUI.aspx?menuIndex=3&amp;refID=7188019&amp;Result=3","7188019")</f>
        <v>0</v>
      </c>
      <c r="B4397" t="s">
        <v>1421</v>
      </c>
      <c r="C4397" t="s">
        <v>7735</v>
      </c>
      <c r="D4397" t="s">
        <v>17158</v>
      </c>
      <c r="E4397" t="s">
        <v>21074</v>
      </c>
      <c r="F4397" t="s">
        <v>29372</v>
      </c>
      <c r="G4397" t="s">
        <v>29380</v>
      </c>
      <c r="H4397" t="s">
        <v>29389</v>
      </c>
      <c r="I4397" t="s">
        <v>10408</v>
      </c>
      <c r="J4397" t="s">
        <v>29619</v>
      </c>
      <c r="K4397" t="s">
        <v>38504</v>
      </c>
      <c r="M4397" t="s">
        <v>40260</v>
      </c>
      <c r="N4397" t="s">
        <v>42669</v>
      </c>
      <c r="O4397" t="s">
        <v>42670</v>
      </c>
      <c r="P4397">
        <v>0</v>
      </c>
      <c r="Q4397">
        <v>0</v>
      </c>
      <c r="R4397" t="s">
        <v>42676</v>
      </c>
      <c r="S4397" t="s">
        <v>42809</v>
      </c>
      <c r="T4397" t="s">
        <v>44379</v>
      </c>
      <c r="U4397" t="s">
        <v>48424</v>
      </c>
      <c r="W4397" t="s">
        <v>40260</v>
      </c>
      <c r="X4397" t="s">
        <v>42677</v>
      </c>
    </row>
    <row r="4398" spans="1:24">
      <c r="A4398">
        <f>HYPERLINK("https://www.philgeps.gov.ph/GEPSNONPILOT/Tender/SplashBidNoticeAbstractUI.aspx?menuIndex=3&amp;refID=7188016&amp;Result=3","7188016")</f>
        <v>0</v>
      </c>
      <c r="B4398" t="s">
        <v>1580</v>
      </c>
      <c r="C4398" t="s">
        <v>7736</v>
      </c>
      <c r="D4398" t="s">
        <v>17197</v>
      </c>
      <c r="E4398" t="s">
        <v>21075</v>
      </c>
      <c r="F4398" t="s">
        <v>29372</v>
      </c>
      <c r="G4398" t="s">
        <v>29380</v>
      </c>
      <c r="H4398" t="s">
        <v>11048</v>
      </c>
      <c r="I4398" t="s">
        <v>4709</v>
      </c>
      <c r="J4398" t="s">
        <v>32446</v>
      </c>
      <c r="K4398" t="s">
        <v>38485</v>
      </c>
      <c r="M4398" t="s">
        <v>40430</v>
      </c>
      <c r="N4398" t="s">
        <v>42669</v>
      </c>
      <c r="O4398" t="s">
        <v>42670</v>
      </c>
      <c r="P4398">
        <v>0</v>
      </c>
      <c r="Q4398">
        <v>0</v>
      </c>
      <c r="R4398" t="s">
        <v>42676</v>
      </c>
      <c r="S4398" t="s">
        <v>42809</v>
      </c>
      <c r="T4398" t="s">
        <v>44539</v>
      </c>
      <c r="U4398" t="s">
        <v>48425</v>
      </c>
      <c r="W4398" t="s">
        <v>40430</v>
      </c>
      <c r="X4398" t="s">
        <v>42677</v>
      </c>
    </row>
    <row r="4399" spans="1:24">
      <c r="A4399">
        <f>HYPERLINK("https://www.philgeps.gov.ph/GEPSNONPILOT/Tender/SplashBidNoticeAbstractUI.aspx?menuIndex=3&amp;refID=7188009&amp;Result=3","7188009")</f>
        <v>0</v>
      </c>
      <c r="B4399" t="s">
        <v>1584</v>
      </c>
      <c r="C4399" t="s">
        <v>7737</v>
      </c>
      <c r="D4399" t="s">
        <v>17170</v>
      </c>
      <c r="E4399" t="s">
        <v>21076</v>
      </c>
      <c r="F4399" t="s">
        <v>29372</v>
      </c>
      <c r="G4399" t="s">
        <v>29382</v>
      </c>
      <c r="H4399" t="s">
        <v>11048</v>
      </c>
      <c r="I4399" t="s">
        <v>8614</v>
      </c>
      <c r="J4399" t="s">
        <v>30026</v>
      </c>
      <c r="K4399" t="s">
        <v>38491</v>
      </c>
      <c r="M4399" t="s">
        <v>40434</v>
      </c>
      <c r="N4399" t="s">
        <v>42669</v>
      </c>
      <c r="O4399" t="s">
        <v>42670</v>
      </c>
      <c r="P4399">
        <v>0</v>
      </c>
      <c r="Q4399">
        <v>2</v>
      </c>
      <c r="R4399" t="s">
        <v>42676</v>
      </c>
      <c r="S4399" t="s">
        <v>42809</v>
      </c>
      <c r="T4399" t="s">
        <v>44394</v>
      </c>
      <c r="U4399" t="s">
        <v>48426</v>
      </c>
      <c r="V4399" t="s">
        <v>56825</v>
      </c>
      <c r="W4399" t="s">
        <v>40434</v>
      </c>
      <c r="X4399" t="s">
        <v>42677</v>
      </c>
    </row>
    <row r="4400" spans="1:24">
      <c r="A4400">
        <f>HYPERLINK("https://www.philgeps.gov.ph/GEPSNONPILOT/Tender/SplashBidNoticeAbstractUI.aspx?menuIndex=3&amp;refID=7187996&amp;Result=3","7187996")</f>
        <v>0</v>
      </c>
      <c r="B4400" t="s">
        <v>1573</v>
      </c>
      <c r="C4400" t="s">
        <v>7738</v>
      </c>
      <c r="D4400" t="s">
        <v>17194</v>
      </c>
      <c r="E4400" t="s">
        <v>21077</v>
      </c>
      <c r="F4400" t="s">
        <v>29372</v>
      </c>
      <c r="G4400" t="s">
        <v>29379</v>
      </c>
      <c r="H4400" t="s">
        <v>11048</v>
      </c>
      <c r="I4400" t="s">
        <v>29464</v>
      </c>
      <c r="J4400" t="s">
        <v>32447</v>
      </c>
      <c r="K4400" t="s">
        <v>38488</v>
      </c>
      <c r="M4400" t="s">
        <v>40435</v>
      </c>
      <c r="N4400" t="s">
        <v>42669</v>
      </c>
      <c r="O4400" t="s">
        <v>42670</v>
      </c>
      <c r="P4400">
        <v>0</v>
      </c>
      <c r="Q4400">
        <v>1</v>
      </c>
      <c r="R4400" t="s">
        <v>42676</v>
      </c>
      <c r="S4400" t="s">
        <v>42809</v>
      </c>
      <c r="T4400" t="s">
        <v>44488</v>
      </c>
      <c r="U4400" t="s">
        <v>48395</v>
      </c>
      <c r="V4400" t="s">
        <v>56826</v>
      </c>
      <c r="W4400" t="s">
        <v>40435</v>
      </c>
      <c r="X4400" t="s">
        <v>42677</v>
      </c>
    </row>
    <row r="4401" spans="1:24">
      <c r="A4401">
        <f>HYPERLINK("https://www.philgeps.gov.ph/GEPSNONPILOT/Tender/SplashBidNoticeAbstractUI.aspx?menuIndex=3&amp;refID=7188006&amp;Result=3","7188006")</f>
        <v>0</v>
      </c>
      <c r="B4401" t="s">
        <v>1515</v>
      </c>
      <c r="C4401" t="s">
        <v>7739</v>
      </c>
      <c r="D4401" t="s">
        <v>17174</v>
      </c>
      <c r="E4401" t="s">
        <v>21078</v>
      </c>
      <c r="F4401" t="s">
        <v>29372</v>
      </c>
      <c r="G4401" t="s">
        <v>29379</v>
      </c>
      <c r="H4401" t="s">
        <v>11048</v>
      </c>
      <c r="I4401" t="s">
        <v>3839</v>
      </c>
      <c r="J4401" t="s">
        <v>32448</v>
      </c>
      <c r="K4401" t="s">
        <v>38490</v>
      </c>
      <c r="M4401" t="s">
        <v>40360</v>
      </c>
      <c r="N4401" t="s">
        <v>42669</v>
      </c>
      <c r="O4401" t="s">
        <v>42670</v>
      </c>
      <c r="P4401">
        <v>0</v>
      </c>
      <c r="Q4401">
        <v>1</v>
      </c>
      <c r="R4401" t="s">
        <v>42676</v>
      </c>
      <c r="S4401" t="s">
        <v>42809</v>
      </c>
      <c r="T4401" t="s">
        <v>44432</v>
      </c>
      <c r="U4401" t="s">
        <v>48427</v>
      </c>
      <c r="W4401" t="s">
        <v>40360</v>
      </c>
      <c r="X4401" t="s">
        <v>42677</v>
      </c>
    </row>
    <row r="4402" spans="1:24">
      <c r="A4402">
        <f>HYPERLINK("https://www.philgeps.gov.ph/GEPSNONPILOT/Tender/SplashBidNoticeAbstractUI.aspx?menuIndex=3&amp;refID=7188018&amp;Result=3","7188018")</f>
        <v>0</v>
      </c>
      <c r="B4402" t="s">
        <v>882</v>
      </c>
      <c r="C4402" t="s">
        <v>7740</v>
      </c>
      <c r="D4402" t="s">
        <v>17207</v>
      </c>
      <c r="E4402" t="s">
        <v>21079</v>
      </c>
      <c r="F4402" t="s">
        <v>29372</v>
      </c>
      <c r="G4402" t="s">
        <v>29379</v>
      </c>
      <c r="H4402" t="s">
        <v>11048</v>
      </c>
      <c r="I4402" t="s">
        <v>8208</v>
      </c>
      <c r="J4402" t="s">
        <v>30579</v>
      </c>
      <c r="K4402" t="s">
        <v>38586</v>
      </c>
      <c r="M4402" t="s">
        <v>39674</v>
      </c>
      <c r="N4402" t="s">
        <v>42669</v>
      </c>
      <c r="O4402" t="s">
        <v>42670</v>
      </c>
      <c r="P4402">
        <v>0</v>
      </c>
      <c r="Q4402">
        <v>0</v>
      </c>
      <c r="R4402" t="s">
        <v>42676</v>
      </c>
      <c r="S4402" t="s">
        <v>42809</v>
      </c>
      <c r="T4402" t="s">
        <v>44526</v>
      </c>
      <c r="U4402" t="s">
        <v>46647</v>
      </c>
      <c r="W4402" t="s">
        <v>39674</v>
      </c>
      <c r="X4402" t="s">
        <v>42677</v>
      </c>
    </row>
    <row r="4403" spans="1:24">
      <c r="A4403">
        <f>HYPERLINK("https://www.philgeps.gov.ph/GEPSNONPILOT/Tender/SplashBidNoticeAbstractUI.aspx?menuIndex=3&amp;refID=7188000&amp;Result=3","7188000")</f>
        <v>0</v>
      </c>
      <c r="B4403" t="s">
        <v>1585</v>
      </c>
      <c r="C4403" t="s">
        <v>7741</v>
      </c>
      <c r="D4403" t="s">
        <v>17199</v>
      </c>
      <c r="E4403" t="s">
        <v>21080</v>
      </c>
      <c r="F4403" t="s">
        <v>29372</v>
      </c>
      <c r="G4403" t="s">
        <v>29379</v>
      </c>
      <c r="H4403" t="s">
        <v>11048</v>
      </c>
      <c r="I4403" t="s">
        <v>3839</v>
      </c>
      <c r="J4403" t="s">
        <v>29752</v>
      </c>
      <c r="K4403" t="s">
        <v>38485</v>
      </c>
      <c r="M4403" t="s">
        <v>40436</v>
      </c>
      <c r="N4403" t="s">
        <v>42669</v>
      </c>
      <c r="O4403" t="s">
        <v>42670</v>
      </c>
      <c r="P4403">
        <v>0</v>
      </c>
      <c r="Q4403">
        <v>4</v>
      </c>
      <c r="R4403" t="s">
        <v>42676</v>
      </c>
      <c r="S4403" t="s">
        <v>42809</v>
      </c>
      <c r="T4403" t="s">
        <v>44493</v>
      </c>
      <c r="U4403" t="s">
        <v>48428</v>
      </c>
      <c r="W4403" t="s">
        <v>40436</v>
      </c>
      <c r="X4403" t="s">
        <v>42677</v>
      </c>
    </row>
    <row r="4404" spans="1:24">
      <c r="A4404">
        <f>HYPERLINK("https://www.philgeps.gov.ph/GEPSNONPILOT/Tender/SplashBidNoticeAbstractUI.aspx?menuIndex=3&amp;refID=7188053&amp;Result=3","7188053")</f>
        <v>0</v>
      </c>
      <c r="B4404" t="s">
        <v>1586</v>
      </c>
      <c r="C4404" t="s">
        <v>7742</v>
      </c>
      <c r="D4404" t="s">
        <v>17143</v>
      </c>
      <c r="E4404" t="s">
        <v>21081</v>
      </c>
      <c r="F4404" t="s">
        <v>29372</v>
      </c>
      <c r="G4404" t="s">
        <v>29379</v>
      </c>
      <c r="H4404" t="s">
        <v>11048</v>
      </c>
      <c r="I4404" t="s">
        <v>14920</v>
      </c>
      <c r="J4404" t="s">
        <v>32449</v>
      </c>
      <c r="K4404" t="s">
        <v>38511</v>
      </c>
      <c r="M4404" t="s">
        <v>40437</v>
      </c>
      <c r="N4404" t="s">
        <v>42669</v>
      </c>
      <c r="O4404" t="s">
        <v>42670</v>
      </c>
      <c r="P4404">
        <v>0</v>
      </c>
      <c r="Q4404">
        <v>0</v>
      </c>
      <c r="R4404" t="s">
        <v>42676</v>
      </c>
      <c r="S4404" t="s">
        <v>42809</v>
      </c>
      <c r="T4404" t="s">
        <v>44491</v>
      </c>
      <c r="U4404" t="s">
        <v>48429</v>
      </c>
      <c r="W4404" t="s">
        <v>40437</v>
      </c>
      <c r="X4404" t="s">
        <v>42677</v>
      </c>
    </row>
    <row r="4405" spans="1:24">
      <c r="A4405">
        <f>HYPERLINK("https://www.philgeps.gov.ph/GEPSNONPILOT/Tender/SplashBidNoticeAbstractUI.aspx?menuIndex=3&amp;refID=7188028&amp;Result=3","7188028")</f>
        <v>0</v>
      </c>
      <c r="B4405" t="s">
        <v>882</v>
      </c>
      <c r="C4405" t="s">
        <v>7743</v>
      </c>
      <c r="D4405" t="s">
        <v>17210</v>
      </c>
      <c r="E4405" t="s">
        <v>21082</v>
      </c>
      <c r="F4405" t="s">
        <v>29372</v>
      </c>
      <c r="G4405" t="s">
        <v>29379</v>
      </c>
      <c r="H4405" t="s">
        <v>11048</v>
      </c>
      <c r="I4405" t="s">
        <v>8208</v>
      </c>
      <c r="J4405" t="s">
        <v>30522</v>
      </c>
      <c r="K4405" t="s">
        <v>38586</v>
      </c>
      <c r="M4405" t="s">
        <v>39674</v>
      </c>
      <c r="N4405" t="s">
        <v>42669</v>
      </c>
      <c r="O4405" t="s">
        <v>42670</v>
      </c>
      <c r="P4405">
        <v>0</v>
      </c>
      <c r="Q4405">
        <v>1</v>
      </c>
      <c r="R4405" t="s">
        <v>42676</v>
      </c>
      <c r="S4405" t="s">
        <v>42809</v>
      </c>
      <c r="T4405" t="s">
        <v>44526</v>
      </c>
      <c r="U4405" t="s">
        <v>46647</v>
      </c>
      <c r="W4405" t="s">
        <v>39674</v>
      </c>
      <c r="X4405" t="s">
        <v>42677</v>
      </c>
    </row>
    <row r="4406" spans="1:24">
      <c r="A4406">
        <f>HYPERLINK("https://www.philgeps.gov.ph/GEPSNONPILOT/Tender/SplashBidNoticeAbstractUI.aspx?menuIndex=3&amp;refID=7188022&amp;Result=3","7188022")</f>
        <v>0</v>
      </c>
      <c r="B4406" t="s">
        <v>1470</v>
      </c>
      <c r="C4406" t="s">
        <v>7744</v>
      </c>
      <c r="D4406" t="s">
        <v>17153</v>
      </c>
      <c r="E4406" t="s">
        <v>21083</v>
      </c>
      <c r="F4406" t="s">
        <v>29372</v>
      </c>
      <c r="G4406" t="s">
        <v>29380</v>
      </c>
      <c r="H4406" t="s">
        <v>11048</v>
      </c>
      <c r="I4406" t="s">
        <v>29406</v>
      </c>
      <c r="J4406" t="s">
        <v>29934</v>
      </c>
      <c r="K4406" t="s">
        <v>38485</v>
      </c>
      <c r="M4406" t="s">
        <v>40313</v>
      </c>
      <c r="N4406" t="s">
        <v>42669</v>
      </c>
      <c r="O4406" t="s">
        <v>42670</v>
      </c>
      <c r="P4406">
        <v>0</v>
      </c>
      <c r="Q4406">
        <v>1</v>
      </c>
      <c r="R4406" t="s">
        <v>42676</v>
      </c>
      <c r="S4406" t="s">
        <v>42809</v>
      </c>
      <c r="T4406" t="s">
        <v>44443</v>
      </c>
      <c r="U4406" t="s">
        <v>48146</v>
      </c>
      <c r="V4406" t="s">
        <v>56769</v>
      </c>
      <c r="W4406" t="s">
        <v>40313</v>
      </c>
      <c r="X4406" t="s">
        <v>42677</v>
      </c>
    </row>
    <row r="4407" spans="1:24">
      <c r="A4407">
        <f>HYPERLINK("https://www.philgeps.gov.ph/GEPSNONPILOT/Tender/SplashBidNoticeAbstractUI.aspx?menuIndex=3&amp;refID=7188045&amp;Result=3","7188045")</f>
        <v>0</v>
      </c>
      <c r="B4407" t="s">
        <v>1587</v>
      </c>
      <c r="C4407" t="s">
        <v>7745</v>
      </c>
      <c r="D4407" t="s">
        <v>17199</v>
      </c>
      <c r="E4407" t="s">
        <v>21084</v>
      </c>
      <c r="F4407" t="s">
        <v>29372</v>
      </c>
      <c r="G4407" t="s">
        <v>29379</v>
      </c>
      <c r="H4407" t="s">
        <v>11048</v>
      </c>
      <c r="I4407" t="s">
        <v>4487</v>
      </c>
      <c r="J4407" t="s">
        <v>32450</v>
      </c>
      <c r="K4407" t="s">
        <v>38518</v>
      </c>
      <c r="M4407" t="s">
        <v>40438</v>
      </c>
      <c r="N4407" t="s">
        <v>42669</v>
      </c>
      <c r="O4407" t="s">
        <v>42670</v>
      </c>
      <c r="P4407">
        <v>0</v>
      </c>
      <c r="Q4407">
        <v>4</v>
      </c>
      <c r="R4407" t="s">
        <v>42676</v>
      </c>
      <c r="S4407" t="s">
        <v>42809</v>
      </c>
      <c r="T4407" t="s">
        <v>44493</v>
      </c>
      <c r="U4407" t="s">
        <v>47212</v>
      </c>
      <c r="W4407" t="s">
        <v>40438</v>
      </c>
      <c r="X4407" t="s">
        <v>42677</v>
      </c>
    </row>
    <row r="4408" spans="1:24">
      <c r="A4408">
        <f>HYPERLINK("https://www.philgeps.gov.ph/GEPSNONPILOT/Tender/SplashBidNoticeAbstractUI.aspx?menuIndex=3&amp;refID=7188036&amp;Result=3","7188036")</f>
        <v>0</v>
      </c>
      <c r="B4408" t="s">
        <v>1588</v>
      </c>
      <c r="C4408" t="s">
        <v>7746</v>
      </c>
      <c r="D4408" t="s">
        <v>17192</v>
      </c>
      <c r="E4408" t="s">
        <v>18813</v>
      </c>
      <c r="F4408" t="s">
        <v>29372</v>
      </c>
      <c r="G4408" t="s">
        <v>29379</v>
      </c>
      <c r="H4408" t="s">
        <v>29389</v>
      </c>
      <c r="I4408" t="s">
        <v>29453</v>
      </c>
      <c r="J4408" t="s">
        <v>30026</v>
      </c>
      <c r="K4408" t="s">
        <v>38524</v>
      </c>
      <c r="M4408" t="s">
        <v>40439</v>
      </c>
      <c r="N4408" t="s">
        <v>42669</v>
      </c>
      <c r="O4408" t="s">
        <v>42670</v>
      </c>
      <c r="P4408">
        <v>0</v>
      </c>
      <c r="Q4408">
        <v>0</v>
      </c>
      <c r="R4408" t="s">
        <v>42676</v>
      </c>
      <c r="S4408" t="s">
        <v>42809</v>
      </c>
      <c r="T4408" t="s">
        <v>44592</v>
      </c>
      <c r="U4408" t="s">
        <v>48430</v>
      </c>
      <c r="W4408" t="s">
        <v>40439</v>
      </c>
      <c r="X4408" t="s">
        <v>42677</v>
      </c>
    </row>
    <row r="4409" spans="1:24">
      <c r="A4409">
        <f>HYPERLINK("https://www.philgeps.gov.ph/GEPSNONPILOT/Tender/SplashBidNoticeAbstractUI.aspx?menuIndex=3&amp;refID=7188041&amp;Result=3","7188041")</f>
        <v>0</v>
      </c>
      <c r="B4409" t="s">
        <v>1589</v>
      </c>
      <c r="C4409" t="s">
        <v>7747</v>
      </c>
      <c r="D4409" t="s">
        <v>17142</v>
      </c>
      <c r="E4409" t="s">
        <v>21085</v>
      </c>
      <c r="F4409" t="s">
        <v>29372</v>
      </c>
      <c r="G4409" t="s">
        <v>29383</v>
      </c>
      <c r="H4409" t="s">
        <v>11048</v>
      </c>
      <c r="I4409" t="s">
        <v>5383</v>
      </c>
      <c r="J4409" t="s">
        <v>32451</v>
      </c>
      <c r="K4409" t="s">
        <v>38488</v>
      </c>
      <c r="M4409" t="s">
        <v>40440</v>
      </c>
      <c r="N4409" t="s">
        <v>42669</v>
      </c>
      <c r="O4409" t="s">
        <v>42670</v>
      </c>
      <c r="P4409">
        <v>0</v>
      </c>
      <c r="Q4409">
        <v>6</v>
      </c>
      <c r="R4409" t="s">
        <v>42676</v>
      </c>
      <c r="S4409" t="s">
        <v>42809</v>
      </c>
      <c r="T4409" t="s">
        <v>44417</v>
      </c>
      <c r="U4409" t="s">
        <v>48431</v>
      </c>
      <c r="V4409" t="s">
        <v>56827</v>
      </c>
      <c r="W4409" t="s">
        <v>40440</v>
      </c>
      <c r="X4409" t="s">
        <v>42677</v>
      </c>
    </row>
    <row r="4410" spans="1:24">
      <c r="A4410">
        <f>HYPERLINK("https://www.philgeps.gov.ph/GEPSNONPILOT/Tender/SplashBidNoticeAbstractUI.aspx?menuIndex=3&amp;refID=7188057&amp;Result=3","7188057")</f>
        <v>0</v>
      </c>
      <c r="B4410" t="s">
        <v>795</v>
      </c>
      <c r="C4410" t="s">
        <v>7748</v>
      </c>
      <c r="D4410" t="s">
        <v>17167</v>
      </c>
      <c r="E4410" t="s">
        <v>21086</v>
      </c>
      <c r="F4410" t="s">
        <v>29372</v>
      </c>
      <c r="G4410" t="s">
        <v>29380</v>
      </c>
      <c r="H4410" t="s">
        <v>11048</v>
      </c>
      <c r="I4410" t="s">
        <v>10408</v>
      </c>
      <c r="J4410" t="s">
        <v>32452</v>
      </c>
      <c r="K4410" t="s">
        <v>38485</v>
      </c>
      <c r="M4410" t="s">
        <v>39579</v>
      </c>
      <c r="N4410" t="s">
        <v>42669</v>
      </c>
      <c r="O4410" t="s">
        <v>42670</v>
      </c>
      <c r="P4410">
        <v>0</v>
      </c>
      <c r="Q4410">
        <v>0</v>
      </c>
      <c r="R4410" t="s">
        <v>42676</v>
      </c>
      <c r="S4410" t="s">
        <v>42809</v>
      </c>
      <c r="T4410" t="s">
        <v>44544</v>
      </c>
      <c r="U4410" t="s">
        <v>48432</v>
      </c>
      <c r="W4410" t="s">
        <v>39579</v>
      </c>
      <c r="X4410" t="s">
        <v>42677</v>
      </c>
    </row>
    <row r="4411" spans="1:24">
      <c r="A4411">
        <f>HYPERLINK("https://www.philgeps.gov.ph/GEPSNONPILOT/Tender/SplashBidNoticeAbstractUI.aspx?menuIndex=3&amp;refID=7188027&amp;Result=3","7188027")</f>
        <v>0</v>
      </c>
      <c r="B4411" t="s">
        <v>1590</v>
      </c>
      <c r="C4411" t="s">
        <v>7749</v>
      </c>
      <c r="D4411" t="s">
        <v>17155</v>
      </c>
      <c r="E4411" t="s">
        <v>21087</v>
      </c>
      <c r="F4411" t="s">
        <v>29372</v>
      </c>
      <c r="G4411" t="s">
        <v>29379</v>
      </c>
      <c r="H4411" t="s">
        <v>11048</v>
      </c>
      <c r="I4411" t="s">
        <v>8208</v>
      </c>
      <c r="J4411" t="s">
        <v>30220</v>
      </c>
      <c r="K4411" t="s">
        <v>38518</v>
      </c>
      <c r="M4411" t="s">
        <v>40441</v>
      </c>
      <c r="N4411" t="s">
        <v>42669</v>
      </c>
      <c r="O4411" t="s">
        <v>42670</v>
      </c>
      <c r="P4411">
        <v>0</v>
      </c>
      <c r="Q4411">
        <v>0</v>
      </c>
      <c r="R4411" t="s">
        <v>42676</v>
      </c>
      <c r="S4411" t="s">
        <v>42809</v>
      </c>
      <c r="T4411" t="s">
        <v>44570</v>
      </c>
      <c r="U4411" t="s">
        <v>47046</v>
      </c>
      <c r="W4411" t="s">
        <v>40441</v>
      </c>
      <c r="X4411" t="s">
        <v>42677</v>
      </c>
    </row>
    <row r="4412" spans="1:24">
      <c r="A4412">
        <f>HYPERLINK("https://www.philgeps.gov.ph/GEPSNONPILOT/Tender/SplashBidNoticeAbstractUI.aspx?menuIndex=3&amp;refID=7188038&amp;Result=3","7188038")</f>
        <v>0</v>
      </c>
      <c r="B4412" t="s">
        <v>1591</v>
      </c>
      <c r="C4412" t="s">
        <v>7750</v>
      </c>
      <c r="E4412" t="s">
        <v>21088</v>
      </c>
      <c r="F4412" t="s">
        <v>29372</v>
      </c>
      <c r="G4412" t="s">
        <v>29380</v>
      </c>
      <c r="H4412" t="s">
        <v>11048</v>
      </c>
      <c r="I4412" t="s">
        <v>4709</v>
      </c>
      <c r="J4412" t="s">
        <v>32453</v>
      </c>
      <c r="K4412" t="s">
        <v>38488</v>
      </c>
      <c r="M4412" t="s">
        <v>40442</v>
      </c>
      <c r="N4412" t="s">
        <v>42669</v>
      </c>
      <c r="O4412" t="s">
        <v>42670</v>
      </c>
      <c r="P4412">
        <v>0</v>
      </c>
      <c r="Q4412">
        <v>1</v>
      </c>
      <c r="R4412" t="s">
        <v>42676</v>
      </c>
      <c r="S4412" t="s">
        <v>42809</v>
      </c>
      <c r="T4412" t="s">
        <v>44476</v>
      </c>
      <c r="U4412" t="s">
        <v>48433</v>
      </c>
      <c r="V4412" t="s">
        <v>56828</v>
      </c>
      <c r="W4412" t="s">
        <v>40442</v>
      </c>
      <c r="X4412" t="s">
        <v>42677</v>
      </c>
    </row>
    <row r="4413" spans="1:24">
      <c r="A4413">
        <f>HYPERLINK("https://www.philgeps.gov.ph/GEPSNONPILOT/Tender/SplashBidNoticeAbstractUI.aspx?menuIndex=3&amp;refID=7188074&amp;Result=3","7188074")</f>
        <v>0</v>
      </c>
      <c r="B4413" t="s">
        <v>712</v>
      </c>
      <c r="C4413" t="s">
        <v>7751</v>
      </c>
      <c r="D4413" t="s">
        <v>17175</v>
      </c>
      <c r="E4413" t="s">
        <v>21089</v>
      </c>
      <c r="F4413" t="s">
        <v>29372</v>
      </c>
      <c r="G4413" t="s">
        <v>29379</v>
      </c>
      <c r="H4413" t="s">
        <v>11048</v>
      </c>
      <c r="I4413" t="s">
        <v>29402</v>
      </c>
      <c r="J4413" t="s">
        <v>32454</v>
      </c>
      <c r="K4413" t="s">
        <v>38491</v>
      </c>
      <c r="M4413" t="s">
        <v>40443</v>
      </c>
      <c r="N4413" t="s">
        <v>42669</v>
      </c>
      <c r="O4413" t="s">
        <v>42670</v>
      </c>
      <c r="P4413">
        <v>0</v>
      </c>
      <c r="Q4413">
        <v>0</v>
      </c>
      <c r="R4413" t="s">
        <v>42676</v>
      </c>
      <c r="S4413" t="s">
        <v>42809</v>
      </c>
      <c r="T4413" t="s">
        <v>44488</v>
      </c>
      <c r="U4413" t="s">
        <v>48434</v>
      </c>
      <c r="W4413" t="s">
        <v>40443</v>
      </c>
      <c r="X4413" t="s">
        <v>42677</v>
      </c>
    </row>
    <row r="4414" spans="1:24">
      <c r="A4414">
        <f>HYPERLINK("https://www.philgeps.gov.ph/GEPSNONPILOT/Tender/SplashBidNoticeAbstractUI.aspx?menuIndex=3&amp;refID=7188073&amp;Result=3","7188073")</f>
        <v>0</v>
      </c>
      <c r="B4414" t="s">
        <v>1136</v>
      </c>
      <c r="C4414" t="s">
        <v>7752</v>
      </c>
      <c r="D4414" t="s">
        <v>17145</v>
      </c>
      <c r="E4414" t="s">
        <v>21090</v>
      </c>
      <c r="F4414" t="s">
        <v>29372</v>
      </c>
      <c r="G4414" t="s">
        <v>29384</v>
      </c>
      <c r="H4414" t="s">
        <v>11048</v>
      </c>
      <c r="I4414" t="s">
        <v>3839</v>
      </c>
      <c r="J4414" t="s">
        <v>32455</v>
      </c>
      <c r="K4414" t="s">
        <v>38538</v>
      </c>
      <c r="M4414" t="s">
        <v>39948</v>
      </c>
      <c r="N4414" t="s">
        <v>42669</v>
      </c>
      <c r="O4414" t="s">
        <v>42670</v>
      </c>
      <c r="P4414">
        <v>0</v>
      </c>
      <c r="Q4414">
        <v>5</v>
      </c>
      <c r="R4414" t="s">
        <v>42676</v>
      </c>
      <c r="S4414" t="s">
        <v>42809</v>
      </c>
      <c r="T4414" t="s">
        <v>44468</v>
      </c>
      <c r="U4414" t="s">
        <v>48435</v>
      </c>
      <c r="W4414" t="s">
        <v>58034</v>
      </c>
      <c r="X4414" t="s">
        <v>42677</v>
      </c>
    </row>
    <row r="4415" spans="1:24">
      <c r="A4415">
        <f>HYPERLINK("https://www.philgeps.gov.ph/GEPSNONPILOT/Tender/SplashBidNoticeAbstractUI.aspx?menuIndex=3&amp;refID=7188072&amp;Result=3","7188072")</f>
        <v>0</v>
      </c>
      <c r="B4415" t="s">
        <v>1592</v>
      </c>
      <c r="C4415" t="s">
        <v>7753</v>
      </c>
      <c r="D4415" t="s">
        <v>17153</v>
      </c>
      <c r="E4415" t="s">
        <v>21091</v>
      </c>
      <c r="F4415" t="s">
        <v>29372</v>
      </c>
      <c r="G4415" t="s">
        <v>29379</v>
      </c>
      <c r="H4415" t="s">
        <v>11048</v>
      </c>
      <c r="I4415" t="s">
        <v>29458</v>
      </c>
      <c r="J4415" t="s">
        <v>29799</v>
      </c>
      <c r="K4415" t="s">
        <v>38485</v>
      </c>
      <c r="M4415" t="s">
        <v>40444</v>
      </c>
      <c r="N4415" t="s">
        <v>42669</v>
      </c>
      <c r="O4415" t="s">
        <v>42670</v>
      </c>
      <c r="P4415">
        <v>0</v>
      </c>
      <c r="Q4415">
        <v>2</v>
      </c>
      <c r="R4415" t="s">
        <v>42676</v>
      </c>
      <c r="S4415" t="s">
        <v>42809</v>
      </c>
      <c r="T4415" t="s">
        <v>44481</v>
      </c>
      <c r="U4415" t="s">
        <v>48436</v>
      </c>
      <c r="W4415" t="s">
        <v>40444</v>
      </c>
      <c r="X4415" t="s">
        <v>42677</v>
      </c>
    </row>
    <row r="4416" spans="1:24">
      <c r="A4416">
        <f>HYPERLINK("https://www.philgeps.gov.ph/GEPSNONPILOT/Tender/SplashBidNoticeAbstractUI.aspx?menuIndex=3&amp;refID=7188075&amp;Result=3","7188075")</f>
        <v>0</v>
      </c>
      <c r="B4416" t="s">
        <v>1593</v>
      </c>
      <c r="C4416" t="s">
        <v>7754</v>
      </c>
      <c r="D4416" t="s">
        <v>17143</v>
      </c>
      <c r="E4416" t="s">
        <v>21092</v>
      </c>
      <c r="F4416" t="s">
        <v>29372</v>
      </c>
      <c r="G4416" t="s">
        <v>29379</v>
      </c>
      <c r="H4416" t="s">
        <v>11048</v>
      </c>
      <c r="I4416" t="s">
        <v>29465</v>
      </c>
      <c r="J4416" t="s">
        <v>32456</v>
      </c>
      <c r="K4416" t="s">
        <v>38511</v>
      </c>
      <c r="M4416" t="s">
        <v>40445</v>
      </c>
      <c r="N4416" t="s">
        <v>42669</v>
      </c>
      <c r="O4416" t="s">
        <v>42670</v>
      </c>
      <c r="P4416">
        <v>0</v>
      </c>
      <c r="Q4416">
        <v>1</v>
      </c>
      <c r="R4416" t="s">
        <v>42676</v>
      </c>
      <c r="S4416" t="s">
        <v>42809</v>
      </c>
      <c r="T4416" t="s">
        <v>44488</v>
      </c>
      <c r="U4416" t="s">
        <v>48437</v>
      </c>
      <c r="W4416" t="s">
        <v>40445</v>
      </c>
      <c r="X4416" t="s">
        <v>42677</v>
      </c>
    </row>
    <row r="4417" spans="1:24">
      <c r="A4417">
        <f>HYPERLINK("https://www.philgeps.gov.ph/GEPSNONPILOT/Tender/SplashBidNoticeAbstractUI.aspx?menuIndex=3&amp;refID=7188021&amp;Result=3","7188021")</f>
        <v>0</v>
      </c>
      <c r="B4417" t="s">
        <v>544</v>
      </c>
      <c r="C4417" t="s">
        <v>7755</v>
      </c>
      <c r="D4417" t="s">
        <v>17153</v>
      </c>
      <c r="E4417" t="s">
        <v>21093</v>
      </c>
      <c r="F4417" t="s">
        <v>29372</v>
      </c>
      <c r="G4417" t="s">
        <v>29383</v>
      </c>
      <c r="H4417" t="s">
        <v>11048</v>
      </c>
      <c r="I4417" t="s">
        <v>29407</v>
      </c>
      <c r="J4417" t="s">
        <v>30864</v>
      </c>
      <c r="K4417" t="s">
        <v>38490</v>
      </c>
      <c r="M4417" t="s">
        <v>39312</v>
      </c>
      <c r="N4417" t="s">
        <v>42669</v>
      </c>
      <c r="O4417" t="s">
        <v>42670</v>
      </c>
      <c r="P4417">
        <v>0</v>
      </c>
      <c r="Q4417">
        <v>6</v>
      </c>
      <c r="R4417" t="s">
        <v>42676</v>
      </c>
      <c r="S4417" t="s">
        <v>42809</v>
      </c>
      <c r="T4417" t="s">
        <v>44493</v>
      </c>
      <c r="U4417" t="s">
        <v>48438</v>
      </c>
      <c r="W4417" t="s">
        <v>39312</v>
      </c>
      <c r="X4417" t="s">
        <v>42677</v>
      </c>
    </row>
    <row r="4418" spans="1:24">
      <c r="A4418">
        <f>HYPERLINK("https://www.philgeps.gov.ph/GEPSNONPILOT/Tender/SplashBidNoticeAbstractUI.aspx?menuIndex=3&amp;refID=7188003&amp;Result=3","7188003")</f>
        <v>0</v>
      </c>
      <c r="B4418" t="s">
        <v>1594</v>
      </c>
      <c r="C4418" t="s">
        <v>7756</v>
      </c>
      <c r="D4418" t="s">
        <v>17177</v>
      </c>
      <c r="E4418" t="s">
        <v>17794</v>
      </c>
      <c r="F4418" t="s">
        <v>29372</v>
      </c>
      <c r="G4418" t="s">
        <v>29380</v>
      </c>
      <c r="H4418" t="s">
        <v>11048</v>
      </c>
      <c r="I4418" t="s">
        <v>9642</v>
      </c>
      <c r="J4418" t="s">
        <v>30710</v>
      </c>
      <c r="K4418" t="s">
        <v>38487</v>
      </c>
      <c r="M4418" t="s">
        <v>40446</v>
      </c>
      <c r="N4418" t="s">
        <v>42669</v>
      </c>
      <c r="O4418" t="s">
        <v>42670</v>
      </c>
      <c r="P4418">
        <v>0</v>
      </c>
      <c r="Q4418">
        <v>5</v>
      </c>
      <c r="R4418" t="s">
        <v>42676</v>
      </c>
      <c r="S4418" t="s">
        <v>42809</v>
      </c>
      <c r="T4418" t="s">
        <v>44539</v>
      </c>
      <c r="U4418" t="s">
        <v>48439</v>
      </c>
      <c r="W4418" t="s">
        <v>40446</v>
      </c>
      <c r="X4418" t="s">
        <v>42677</v>
      </c>
    </row>
    <row r="4419" spans="1:24">
      <c r="A4419">
        <f>HYPERLINK("https://www.philgeps.gov.ph/GEPSNONPILOT/Tender/SplashBidNoticeAbstractUI.aspx?menuIndex=3&amp;refID=7188096&amp;Result=3","7188096")</f>
        <v>0</v>
      </c>
      <c r="B4419" t="s">
        <v>795</v>
      </c>
      <c r="C4419" t="s">
        <v>7757</v>
      </c>
      <c r="D4419" t="s">
        <v>17167</v>
      </c>
      <c r="E4419" t="s">
        <v>21094</v>
      </c>
      <c r="F4419" t="s">
        <v>29372</v>
      </c>
      <c r="G4419" t="s">
        <v>29380</v>
      </c>
      <c r="H4419" t="s">
        <v>11048</v>
      </c>
      <c r="I4419" t="s">
        <v>3839</v>
      </c>
      <c r="J4419" t="s">
        <v>32457</v>
      </c>
      <c r="K4419" t="s">
        <v>38485</v>
      </c>
      <c r="M4419" t="s">
        <v>39579</v>
      </c>
      <c r="N4419" t="s">
        <v>42669</v>
      </c>
      <c r="O4419" t="s">
        <v>42670</v>
      </c>
      <c r="P4419">
        <v>0</v>
      </c>
      <c r="Q4419">
        <v>1</v>
      </c>
      <c r="R4419" t="s">
        <v>42676</v>
      </c>
      <c r="S4419" t="s">
        <v>42809</v>
      </c>
      <c r="T4419" t="s">
        <v>44544</v>
      </c>
      <c r="U4419" t="s">
        <v>48440</v>
      </c>
      <c r="W4419" t="s">
        <v>39579</v>
      </c>
      <c r="X4419" t="s">
        <v>42677</v>
      </c>
    </row>
    <row r="4420" spans="1:24">
      <c r="A4420">
        <f>HYPERLINK("https://www.philgeps.gov.ph/GEPSNONPILOT/Tender/SplashBidNoticeAbstractUI.aspx?menuIndex=3&amp;refID=7188080&amp;Result=3","7188080")</f>
        <v>0</v>
      </c>
      <c r="B4420" t="s">
        <v>1595</v>
      </c>
      <c r="C4420" t="s">
        <v>7758</v>
      </c>
      <c r="D4420" t="s">
        <v>17205</v>
      </c>
      <c r="E4420" t="s">
        <v>17714</v>
      </c>
      <c r="F4420" t="s">
        <v>29372</v>
      </c>
      <c r="G4420" t="s">
        <v>29380</v>
      </c>
      <c r="H4420" t="s">
        <v>11048</v>
      </c>
      <c r="I4420" t="s">
        <v>29417</v>
      </c>
      <c r="J4420" t="s">
        <v>32458</v>
      </c>
      <c r="K4420" t="s">
        <v>38485</v>
      </c>
      <c r="M4420" t="s">
        <v>40447</v>
      </c>
      <c r="N4420" t="s">
        <v>42669</v>
      </c>
      <c r="O4420" t="s">
        <v>42670</v>
      </c>
      <c r="P4420">
        <v>0</v>
      </c>
      <c r="Q4420">
        <v>0</v>
      </c>
      <c r="R4420" t="s">
        <v>42676</v>
      </c>
      <c r="S4420" t="s">
        <v>42809</v>
      </c>
      <c r="T4420" t="s">
        <v>44378</v>
      </c>
      <c r="U4420" t="s">
        <v>48441</v>
      </c>
      <c r="W4420" t="s">
        <v>40447</v>
      </c>
      <c r="X4420" t="s">
        <v>42677</v>
      </c>
    </row>
    <row r="4421" spans="1:24">
      <c r="A4421">
        <f>HYPERLINK("https://www.philgeps.gov.ph/GEPSNONPILOT/Tender/SplashBidNoticeAbstractUI.aspx?menuIndex=3&amp;refID=7188094&amp;Result=3","7188094")</f>
        <v>0</v>
      </c>
      <c r="B4421" t="s">
        <v>1596</v>
      </c>
      <c r="C4421" t="s">
        <v>7759</v>
      </c>
      <c r="D4421" t="s">
        <v>17204</v>
      </c>
      <c r="E4421" t="s">
        <v>21095</v>
      </c>
      <c r="F4421" t="s">
        <v>29372</v>
      </c>
      <c r="G4421" t="s">
        <v>29382</v>
      </c>
      <c r="H4421" t="s">
        <v>11048</v>
      </c>
      <c r="I4421" t="s">
        <v>3952</v>
      </c>
      <c r="J4421" t="s">
        <v>32459</v>
      </c>
      <c r="K4421" t="s">
        <v>38488</v>
      </c>
      <c r="M4421" t="s">
        <v>40448</v>
      </c>
      <c r="N4421" t="s">
        <v>42669</v>
      </c>
      <c r="O4421" t="s">
        <v>42670</v>
      </c>
      <c r="P4421">
        <v>0</v>
      </c>
      <c r="Q4421">
        <v>0</v>
      </c>
      <c r="R4421" t="s">
        <v>42676</v>
      </c>
      <c r="S4421" t="s">
        <v>42809</v>
      </c>
      <c r="T4421" t="s">
        <v>44401</v>
      </c>
      <c r="U4421" t="s">
        <v>48442</v>
      </c>
      <c r="W4421" t="s">
        <v>58048</v>
      </c>
      <c r="X4421" t="s">
        <v>42677</v>
      </c>
    </row>
    <row r="4422" spans="1:24">
      <c r="A4422">
        <f>HYPERLINK("https://www.philgeps.gov.ph/GEPSNONPILOT/Tender/SplashBidNoticeAbstractUI.aspx?menuIndex=3&amp;refID=7188071&amp;Result=3","7188071")</f>
        <v>0</v>
      </c>
      <c r="B4422" t="s">
        <v>1597</v>
      </c>
      <c r="C4422" t="s">
        <v>7760</v>
      </c>
      <c r="D4422" t="s">
        <v>17168</v>
      </c>
      <c r="E4422" t="s">
        <v>21096</v>
      </c>
      <c r="F4422" t="s">
        <v>29372</v>
      </c>
      <c r="G4422" t="s">
        <v>29380</v>
      </c>
      <c r="H4422" t="s">
        <v>11048</v>
      </c>
      <c r="I4422" t="s">
        <v>29425</v>
      </c>
      <c r="J4422" t="s">
        <v>29721</v>
      </c>
      <c r="K4422" t="s">
        <v>38485</v>
      </c>
      <c r="M4422" t="s">
        <v>40449</v>
      </c>
      <c r="N4422" t="s">
        <v>42669</v>
      </c>
      <c r="O4422" t="s">
        <v>42670</v>
      </c>
      <c r="P4422">
        <v>0</v>
      </c>
      <c r="Q4422">
        <v>2</v>
      </c>
      <c r="R4422" t="s">
        <v>42676</v>
      </c>
      <c r="S4422" t="s">
        <v>42809</v>
      </c>
      <c r="T4422" t="s">
        <v>44419</v>
      </c>
      <c r="U4422" t="s">
        <v>48443</v>
      </c>
      <c r="V4422" t="s">
        <v>56829</v>
      </c>
      <c r="W4422" t="s">
        <v>40449</v>
      </c>
      <c r="X4422" t="s">
        <v>42677</v>
      </c>
    </row>
    <row r="4423" spans="1:24">
      <c r="A4423">
        <f>HYPERLINK("https://www.philgeps.gov.ph/GEPSNONPILOT/Tender/SplashBidNoticeAbstractUI.aspx?menuIndex=3&amp;refID=7188087&amp;Result=3","7188087")</f>
        <v>0</v>
      </c>
      <c r="B4423" t="s">
        <v>589</v>
      </c>
      <c r="C4423" t="s">
        <v>7761</v>
      </c>
      <c r="D4423" t="s">
        <v>17168</v>
      </c>
      <c r="E4423" t="s">
        <v>21097</v>
      </c>
      <c r="F4423" t="s">
        <v>29372</v>
      </c>
      <c r="G4423" t="s">
        <v>29379</v>
      </c>
      <c r="H4423" t="s">
        <v>11048</v>
      </c>
      <c r="I4423" t="s">
        <v>6417</v>
      </c>
      <c r="J4423" t="s">
        <v>29767</v>
      </c>
      <c r="K4423" t="s">
        <v>38538</v>
      </c>
      <c r="M4423" t="s">
        <v>40450</v>
      </c>
      <c r="N4423" t="s">
        <v>42669</v>
      </c>
      <c r="O4423" t="s">
        <v>42670</v>
      </c>
      <c r="P4423">
        <v>0</v>
      </c>
      <c r="Q4423">
        <v>0</v>
      </c>
      <c r="R4423" t="s">
        <v>42676</v>
      </c>
      <c r="S4423" t="s">
        <v>42809</v>
      </c>
      <c r="T4423" t="s">
        <v>44427</v>
      </c>
      <c r="U4423" t="s">
        <v>48444</v>
      </c>
      <c r="V4423" t="s">
        <v>56610</v>
      </c>
      <c r="W4423" t="s">
        <v>40450</v>
      </c>
      <c r="X4423" t="s">
        <v>42677</v>
      </c>
    </row>
    <row r="4424" spans="1:24">
      <c r="A4424">
        <f>HYPERLINK("https://www.philgeps.gov.ph/GEPSNONPILOT/Tender/SplashBidNoticeAbstractUI.aspx?menuIndex=3&amp;refID=7188085&amp;Result=3","7188085")</f>
        <v>0</v>
      </c>
      <c r="B4424" t="s">
        <v>1593</v>
      </c>
      <c r="C4424" t="s">
        <v>7762</v>
      </c>
      <c r="D4424" t="s">
        <v>17143</v>
      </c>
      <c r="E4424" t="s">
        <v>21098</v>
      </c>
      <c r="F4424" t="s">
        <v>29372</v>
      </c>
      <c r="G4424" t="s">
        <v>29379</v>
      </c>
      <c r="H4424" t="s">
        <v>11048</v>
      </c>
      <c r="I4424" t="s">
        <v>29407</v>
      </c>
      <c r="J4424" t="s">
        <v>32460</v>
      </c>
      <c r="K4424" t="s">
        <v>38485</v>
      </c>
      <c r="M4424" t="s">
        <v>40445</v>
      </c>
      <c r="N4424" t="s">
        <v>42669</v>
      </c>
      <c r="O4424" t="s">
        <v>42670</v>
      </c>
      <c r="P4424">
        <v>0</v>
      </c>
      <c r="Q4424">
        <v>6</v>
      </c>
      <c r="R4424" t="s">
        <v>42676</v>
      </c>
      <c r="S4424" t="s">
        <v>42809</v>
      </c>
      <c r="T4424" t="s">
        <v>44488</v>
      </c>
      <c r="U4424" t="s">
        <v>48437</v>
      </c>
      <c r="W4424" t="s">
        <v>40445</v>
      </c>
      <c r="X4424" t="s">
        <v>42677</v>
      </c>
    </row>
    <row r="4425" spans="1:24">
      <c r="A4425">
        <f>HYPERLINK("https://www.philgeps.gov.ph/GEPSNONPILOT/Tender/SplashBidNoticeAbstractUI.aspx?menuIndex=3&amp;refID=7188082&amp;Result=3","7188082")</f>
        <v>0</v>
      </c>
      <c r="B4425" t="s">
        <v>1598</v>
      </c>
      <c r="C4425" t="s">
        <v>7763</v>
      </c>
      <c r="D4425" t="s">
        <v>17148</v>
      </c>
      <c r="E4425" t="s">
        <v>17533</v>
      </c>
      <c r="F4425" t="s">
        <v>29372</v>
      </c>
      <c r="G4425" t="s">
        <v>29380</v>
      </c>
      <c r="H4425" t="s">
        <v>29389</v>
      </c>
      <c r="I4425" t="s">
        <v>10408</v>
      </c>
      <c r="J4425" t="s">
        <v>32461</v>
      </c>
      <c r="K4425" t="s">
        <v>38523</v>
      </c>
      <c r="M4425" t="s">
        <v>40451</v>
      </c>
      <c r="N4425" t="s">
        <v>42669</v>
      </c>
      <c r="O4425" t="s">
        <v>42670</v>
      </c>
      <c r="P4425">
        <v>0</v>
      </c>
      <c r="Q4425">
        <v>56</v>
      </c>
      <c r="R4425" t="s">
        <v>42676</v>
      </c>
      <c r="S4425" t="s">
        <v>42809</v>
      </c>
      <c r="T4425" t="s">
        <v>44450</v>
      </c>
      <c r="U4425" t="s">
        <v>48445</v>
      </c>
      <c r="W4425" t="s">
        <v>58049</v>
      </c>
      <c r="X4425" t="s">
        <v>42677</v>
      </c>
    </row>
    <row r="4426" spans="1:24">
      <c r="A4426">
        <f>HYPERLINK("https://www.philgeps.gov.ph/GEPSNONPILOT/Tender/SplashBidNoticeAbstractUI.aspx?menuIndex=3&amp;refID=7188069&amp;Result=3","7188069")</f>
        <v>0</v>
      </c>
      <c r="B4426" t="s">
        <v>593</v>
      </c>
      <c r="C4426" t="s">
        <v>7764</v>
      </c>
      <c r="D4426" t="s">
        <v>17188</v>
      </c>
      <c r="E4426" t="s">
        <v>21099</v>
      </c>
      <c r="F4426" t="s">
        <v>29372</v>
      </c>
      <c r="G4426" t="s">
        <v>29380</v>
      </c>
      <c r="H4426" t="s">
        <v>29389</v>
      </c>
      <c r="I4426" t="s">
        <v>29454</v>
      </c>
      <c r="J4426" t="s">
        <v>29829</v>
      </c>
      <c r="K4426" t="s">
        <v>38533</v>
      </c>
      <c r="M4426" t="s">
        <v>39364</v>
      </c>
      <c r="N4426" t="s">
        <v>42669</v>
      </c>
      <c r="O4426" t="s">
        <v>42670</v>
      </c>
      <c r="P4426">
        <v>0</v>
      </c>
      <c r="Q4426">
        <v>2</v>
      </c>
      <c r="R4426" t="s">
        <v>42676</v>
      </c>
      <c r="S4426" t="s">
        <v>42809</v>
      </c>
      <c r="T4426" t="s">
        <v>44668</v>
      </c>
      <c r="U4426" t="s">
        <v>48446</v>
      </c>
      <c r="V4426" t="s">
        <v>56830</v>
      </c>
      <c r="W4426" t="s">
        <v>39364</v>
      </c>
      <c r="X4426" t="s">
        <v>42677</v>
      </c>
    </row>
    <row r="4427" spans="1:24">
      <c r="A4427">
        <f>HYPERLINK("https://www.philgeps.gov.ph/GEPSNONPILOT/Tender/SplashBidNoticeAbstractUI.aspx?menuIndex=3&amp;refID=7188067&amp;Result=3","7188067")</f>
        <v>0</v>
      </c>
      <c r="B4427" t="s">
        <v>1589</v>
      </c>
      <c r="C4427" t="s">
        <v>7765</v>
      </c>
      <c r="D4427" t="s">
        <v>17142</v>
      </c>
      <c r="E4427" t="s">
        <v>21100</v>
      </c>
      <c r="F4427" t="s">
        <v>29372</v>
      </c>
      <c r="G4427" t="s">
        <v>29379</v>
      </c>
      <c r="H4427" t="s">
        <v>11048</v>
      </c>
      <c r="I4427" t="s">
        <v>29436</v>
      </c>
      <c r="J4427" t="s">
        <v>31139</v>
      </c>
      <c r="K4427" t="s">
        <v>38485</v>
      </c>
      <c r="M4427" t="s">
        <v>40440</v>
      </c>
      <c r="N4427" t="s">
        <v>42669</v>
      </c>
      <c r="O4427" t="s">
        <v>42670</v>
      </c>
      <c r="P4427">
        <v>0</v>
      </c>
      <c r="Q4427">
        <v>14</v>
      </c>
      <c r="R4427" t="s">
        <v>42676</v>
      </c>
      <c r="S4427" t="s">
        <v>42809</v>
      </c>
      <c r="T4427" t="s">
        <v>44417</v>
      </c>
      <c r="U4427" t="s">
        <v>48447</v>
      </c>
      <c r="V4427" t="s">
        <v>56831</v>
      </c>
      <c r="W4427" t="s">
        <v>40440</v>
      </c>
      <c r="X4427" t="s">
        <v>42677</v>
      </c>
    </row>
    <row r="4428" spans="1:24">
      <c r="A4428">
        <f>HYPERLINK("https://www.philgeps.gov.ph/GEPSNONPILOT/Tender/SplashBidNoticeAbstractUI.aspx?menuIndex=3&amp;refID=7188064&amp;Result=3","7188064")</f>
        <v>0</v>
      </c>
      <c r="B4428" t="s">
        <v>1599</v>
      </c>
      <c r="C4428" t="s">
        <v>7766</v>
      </c>
      <c r="D4428" t="s">
        <v>17158</v>
      </c>
      <c r="E4428" t="s">
        <v>21101</v>
      </c>
      <c r="F4428" t="s">
        <v>29372</v>
      </c>
      <c r="G4428" t="s">
        <v>29380</v>
      </c>
      <c r="H4428" t="s">
        <v>29389</v>
      </c>
      <c r="I4428" t="s">
        <v>10408</v>
      </c>
      <c r="J4428" t="s">
        <v>32462</v>
      </c>
      <c r="K4428" t="s">
        <v>38526</v>
      </c>
      <c r="M4428" t="s">
        <v>40452</v>
      </c>
      <c r="N4428" t="s">
        <v>42669</v>
      </c>
      <c r="O4428" t="s">
        <v>42670</v>
      </c>
      <c r="P4428">
        <v>0</v>
      </c>
      <c r="Q4428">
        <v>1</v>
      </c>
      <c r="R4428" t="s">
        <v>42676</v>
      </c>
      <c r="S4428" t="s">
        <v>42809</v>
      </c>
      <c r="T4428" t="s">
        <v>44368</v>
      </c>
      <c r="U4428" t="s">
        <v>48448</v>
      </c>
      <c r="V4428" t="s">
        <v>56832</v>
      </c>
      <c r="W4428" t="s">
        <v>40452</v>
      </c>
      <c r="X4428" t="s">
        <v>42677</v>
      </c>
    </row>
    <row r="4429" spans="1:24">
      <c r="A4429">
        <f>HYPERLINK("https://www.philgeps.gov.ph/GEPSNONPILOT/Tender/SplashBidNoticeAbstractUI.aspx?menuIndex=3&amp;refID=7188061&amp;Result=3","7188061")</f>
        <v>0</v>
      </c>
      <c r="B4429" t="s">
        <v>1470</v>
      </c>
      <c r="C4429" t="s">
        <v>7767</v>
      </c>
      <c r="D4429" t="s">
        <v>17153</v>
      </c>
      <c r="E4429" t="s">
        <v>21102</v>
      </c>
      <c r="F4429" t="s">
        <v>29372</v>
      </c>
      <c r="G4429" t="s">
        <v>29380</v>
      </c>
      <c r="H4429" t="s">
        <v>11048</v>
      </c>
      <c r="I4429" t="s">
        <v>29407</v>
      </c>
      <c r="J4429" t="s">
        <v>29680</v>
      </c>
      <c r="K4429" t="s">
        <v>38485</v>
      </c>
      <c r="M4429" t="s">
        <v>40313</v>
      </c>
      <c r="N4429" t="s">
        <v>42669</v>
      </c>
      <c r="O4429" t="s">
        <v>42670</v>
      </c>
      <c r="P4429">
        <v>0</v>
      </c>
      <c r="Q4429">
        <v>3</v>
      </c>
      <c r="R4429" t="s">
        <v>42676</v>
      </c>
      <c r="S4429" t="s">
        <v>42809</v>
      </c>
      <c r="T4429" t="s">
        <v>44443</v>
      </c>
      <c r="U4429" t="s">
        <v>48146</v>
      </c>
      <c r="V4429" t="s">
        <v>56769</v>
      </c>
      <c r="W4429" t="s">
        <v>40313</v>
      </c>
      <c r="X4429" t="s">
        <v>42677</v>
      </c>
    </row>
    <row r="4430" spans="1:24">
      <c r="A4430">
        <f>HYPERLINK("https://www.philgeps.gov.ph/GEPSNONPILOT/Tender/SplashBidNoticeAbstractUI.aspx?menuIndex=3&amp;refID=7188089&amp;Result=3","7188089")</f>
        <v>0</v>
      </c>
      <c r="B4430" t="s">
        <v>110</v>
      </c>
      <c r="C4430" t="s">
        <v>7768</v>
      </c>
      <c r="D4430" t="s">
        <v>17165</v>
      </c>
      <c r="E4430" t="s">
        <v>21103</v>
      </c>
      <c r="F4430" t="s">
        <v>29372</v>
      </c>
      <c r="G4430" t="s">
        <v>29381</v>
      </c>
      <c r="H4430" t="s">
        <v>11048</v>
      </c>
      <c r="I4430" t="s">
        <v>29433</v>
      </c>
      <c r="J4430" t="s">
        <v>32463</v>
      </c>
      <c r="K4430" t="s">
        <v>38510</v>
      </c>
      <c r="L4430" t="s">
        <v>110</v>
      </c>
      <c r="M4430" t="s">
        <v>38865</v>
      </c>
      <c r="N4430" t="s">
        <v>42669</v>
      </c>
      <c r="O4430" t="s">
        <v>42670</v>
      </c>
      <c r="P4430">
        <v>0</v>
      </c>
      <c r="Q4430">
        <v>17</v>
      </c>
      <c r="R4430" t="s">
        <v>42676</v>
      </c>
      <c r="S4430" t="s">
        <v>42809</v>
      </c>
      <c r="T4430" t="s">
        <v>44387</v>
      </c>
      <c r="U4430" t="s">
        <v>45036</v>
      </c>
      <c r="V4430" t="s">
        <v>56354</v>
      </c>
      <c r="W4430" t="s">
        <v>38865</v>
      </c>
      <c r="X4430" t="s">
        <v>42677</v>
      </c>
    </row>
    <row r="4431" spans="1:24">
      <c r="A4431">
        <f>HYPERLINK("https://www.philgeps.gov.ph/GEPSNONPILOT/Tender/SplashBidNoticeAbstractUI.aspx?menuIndex=3&amp;refID=7188032&amp;Result=3","7188032")</f>
        <v>0</v>
      </c>
      <c r="B4431" t="s">
        <v>1404</v>
      </c>
      <c r="C4431" t="s">
        <v>7769</v>
      </c>
      <c r="D4431" t="s">
        <v>17189</v>
      </c>
      <c r="E4431" t="s">
        <v>21104</v>
      </c>
      <c r="F4431" t="s">
        <v>29372</v>
      </c>
      <c r="G4431" t="s">
        <v>29379</v>
      </c>
      <c r="H4431" t="s">
        <v>11048</v>
      </c>
      <c r="I4431" t="s">
        <v>3629</v>
      </c>
      <c r="J4431" t="s">
        <v>30212</v>
      </c>
      <c r="K4431" t="s">
        <v>38538</v>
      </c>
      <c r="M4431" t="s">
        <v>40243</v>
      </c>
      <c r="N4431" t="s">
        <v>42669</v>
      </c>
      <c r="O4431" t="s">
        <v>42670</v>
      </c>
      <c r="P4431">
        <v>0</v>
      </c>
      <c r="Q4431">
        <v>0</v>
      </c>
      <c r="R4431" t="s">
        <v>42676</v>
      </c>
      <c r="S4431" t="s">
        <v>42809</v>
      </c>
      <c r="T4431" t="s">
        <v>44481</v>
      </c>
      <c r="U4431" t="s">
        <v>48449</v>
      </c>
      <c r="W4431" t="s">
        <v>40243</v>
      </c>
      <c r="X4431" t="s">
        <v>42677</v>
      </c>
    </row>
    <row r="4432" spans="1:24">
      <c r="A4432">
        <f>HYPERLINK("https://www.philgeps.gov.ph/GEPSNONPILOT/Tender/SplashBidNoticeAbstractUI.aspx?menuIndex=3&amp;refID=7188095&amp;Result=3","7188095")</f>
        <v>0</v>
      </c>
      <c r="B4432" t="s">
        <v>1600</v>
      </c>
      <c r="C4432" t="s">
        <v>7770</v>
      </c>
      <c r="D4432" t="s">
        <v>17153</v>
      </c>
      <c r="E4432" t="s">
        <v>20572</v>
      </c>
      <c r="F4432" t="s">
        <v>29372</v>
      </c>
      <c r="G4432" t="s">
        <v>29380</v>
      </c>
      <c r="H4432" t="s">
        <v>29389</v>
      </c>
      <c r="I4432" t="s">
        <v>10408</v>
      </c>
      <c r="J4432" t="s">
        <v>30088</v>
      </c>
      <c r="K4432" t="s">
        <v>38487</v>
      </c>
      <c r="M4432" t="s">
        <v>40453</v>
      </c>
      <c r="N4432" t="s">
        <v>42669</v>
      </c>
      <c r="O4432" t="s">
        <v>42670</v>
      </c>
      <c r="P4432">
        <v>0</v>
      </c>
      <c r="Q4432">
        <v>0</v>
      </c>
      <c r="R4432" t="s">
        <v>42676</v>
      </c>
      <c r="S4432" t="s">
        <v>42809</v>
      </c>
      <c r="T4432" t="s">
        <v>44443</v>
      </c>
      <c r="U4432" t="s">
        <v>48146</v>
      </c>
      <c r="W4432" t="s">
        <v>40453</v>
      </c>
      <c r="X4432" t="s">
        <v>42677</v>
      </c>
    </row>
    <row r="4433" spans="1:24">
      <c r="A4433">
        <f>HYPERLINK("https://www.philgeps.gov.ph/GEPSNONPILOT/Tender/SplashBidNoticeAbstractUI.aspx?menuIndex=3&amp;refID=7188059&amp;Result=3","7188059")</f>
        <v>0</v>
      </c>
      <c r="B4433" t="s">
        <v>1561</v>
      </c>
      <c r="C4433" t="s">
        <v>7771</v>
      </c>
      <c r="D4433" t="s">
        <v>17170</v>
      </c>
      <c r="E4433" t="s">
        <v>21105</v>
      </c>
      <c r="F4433" t="s">
        <v>29372</v>
      </c>
      <c r="G4433" t="s">
        <v>29379</v>
      </c>
      <c r="H4433" t="s">
        <v>11048</v>
      </c>
      <c r="I4433" t="s">
        <v>29426</v>
      </c>
      <c r="J4433" t="s">
        <v>29680</v>
      </c>
      <c r="K4433" t="s">
        <v>38491</v>
      </c>
      <c r="M4433" t="s">
        <v>40411</v>
      </c>
      <c r="N4433" t="s">
        <v>42669</v>
      </c>
      <c r="O4433" t="s">
        <v>42670</v>
      </c>
      <c r="P4433">
        <v>0</v>
      </c>
      <c r="Q4433">
        <v>3</v>
      </c>
      <c r="R4433" t="s">
        <v>42676</v>
      </c>
      <c r="S4433" t="s">
        <v>42809</v>
      </c>
      <c r="T4433" t="s">
        <v>44399</v>
      </c>
      <c r="U4433" t="s">
        <v>48450</v>
      </c>
      <c r="W4433" t="s">
        <v>40411</v>
      </c>
      <c r="X4433" t="s">
        <v>42677</v>
      </c>
    </row>
    <row r="4434" spans="1:24">
      <c r="A4434">
        <f>HYPERLINK("https://www.philgeps.gov.ph/GEPSNONPILOT/Tender/SplashBidNoticeAbstractUI.aspx?menuIndex=3&amp;refID=7188079&amp;Result=3","7188079")</f>
        <v>0</v>
      </c>
      <c r="B4434" t="s">
        <v>1470</v>
      </c>
      <c r="C4434" t="s">
        <v>7772</v>
      </c>
      <c r="D4434" t="s">
        <v>17153</v>
      </c>
      <c r="E4434" t="s">
        <v>20840</v>
      </c>
      <c r="F4434" t="s">
        <v>29372</v>
      </c>
      <c r="G4434" t="s">
        <v>29380</v>
      </c>
      <c r="H4434" t="s">
        <v>29391</v>
      </c>
      <c r="I4434" t="s">
        <v>8208</v>
      </c>
      <c r="J4434" t="s">
        <v>29590</v>
      </c>
      <c r="K4434" t="s">
        <v>38485</v>
      </c>
      <c r="M4434" t="s">
        <v>40313</v>
      </c>
      <c r="N4434" t="s">
        <v>42669</v>
      </c>
      <c r="O4434" t="s">
        <v>42670</v>
      </c>
      <c r="P4434">
        <v>0</v>
      </c>
      <c r="Q4434">
        <v>1</v>
      </c>
      <c r="R4434" t="s">
        <v>42676</v>
      </c>
      <c r="S4434" t="s">
        <v>42809</v>
      </c>
      <c r="T4434" t="s">
        <v>44443</v>
      </c>
      <c r="U4434" t="s">
        <v>48146</v>
      </c>
      <c r="V4434" t="s">
        <v>56769</v>
      </c>
      <c r="W4434" t="s">
        <v>40313</v>
      </c>
      <c r="X4434" t="s">
        <v>42677</v>
      </c>
    </row>
    <row r="4435" spans="1:24">
      <c r="A4435">
        <f>HYPERLINK("https://www.philgeps.gov.ph/GEPSNONPILOT/Tender/SplashBidNoticeAbstractUI.aspx?menuIndex=3&amp;refID=7188097&amp;Result=3","7188097")</f>
        <v>0</v>
      </c>
      <c r="B4435" t="s">
        <v>131</v>
      </c>
      <c r="C4435" t="s">
        <v>3768</v>
      </c>
      <c r="D4435" t="s">
        <v>17178</v>
      </c>
      <c r="E4435" t="s">
        <v>21106</v>
      </c>
      <c r="F4435" t="s">
        <v>29372</v>
      </c>
      <c r="G4435" t="s">
        <v>29383</v>
      </c>
      <c r="H4435" t="s">
        <v>11048</v>
      </c>
      <c r="I4435" t="s">
        <v>9642</v>
      </c>
      <c r="J4435" t="s">
        <v>30036</v>
      </c>
      <c r="K4435" t="s">
        <v>38490</v>
      </c>
      <c r="M4435" t="s">
        <v>38886</v>
      </c>
      <c r="N4435" t="s">
        <v>42669</v>
      </c>
      <c r="O4435" t="s">
        <v>42670</v>
      </c>
      <c r="P4435">
        <v>0</v>
      </c>
      <c r="Q4435">
        <v>2</v>
      </c>
      <c r="R4435" t="s">
        <v>42676</v>
      </c>
      <c r="S4435" t="s">
        <v>42809</v>
      </c>
      <c r="T4435" t="s">
        <v>44570</v>
      </c>
      <c r="U4435" t="s">
        <v>48451</v>
      </c>
      <c r="V4435" t="s">
        <v>56833</v>
      </c>
      <c r="W4435" t="s">
        <v>38886</v>
      </c>
      <c r="X4435" t="s">
        <v>42677</v>
      </c>
    </row>
    <row r="4436" spans="1:24">
      <c r="A4436">
        <f>HYPERLINK("https://www.philgeps.gov.ph/GEPSNONPILOT/Tender/SplashBidNoticeAbstractUI.aspx?menuIndex=3&amp;refID=7188109&amp;Result=3","7188109")</f>
        <v>0</v>
      </c>
      <c r="B4436" t="s">
        <v>1601</v>
      </c>
      <c r="C4436" t="s">
        <v>7773</v>
      </c>
      <c r="D4436" t="s">
        <v>17162</v>
      </c>
      <c r="E4436" t="s">
        <v>17347</v>
      </c>
      <c r="F4436" t="s">
        <v>29372</v>
      </c>
      <c r="G4436" t="s">
        <v>29380</v>
      </c>
      <c r="H4436" t="s">
        <v>29389</v>
      </c>
      <c r="I4436" t="s">
        <v>10408</v>
      </c>
      <c r="J4436" t="s">
        <v>32464</v>
      </c>
      <c r="K4436" t="s">
        <v>38485</v>
      </c>
      <c r="M4436" t="s">
        <v>40454</v>
      </c>
      <c r="N4436" t="s">
        <v>42669</v>
      </c>
      <c r="O4436" t="s">
        <v>42670</v>
      </c>
      <c r="P4436">
        <v>0</v>
      </c>
      <c r="Q4436">
        <v>0</v>
      </c>
      <c r="R4436" t="s">
        <v>42676</v>
      </c>
      <c r="S4436" t="s">
        <v>42809</v>
      </c>
      <c r="T4436" t="s">
        <v>44387</v>
      </c>
      <c r="U4436" t="s">
        <v>44902</v>
      </c>
      <c r="V4436" t="s">
        <v>56834</v>
      </c>
      <c r="W4436" t="s">
        <v>40454</v>
      </c>
      <c r="X4436" t="s">
        <v>42677</v>
      </c>
    </row>
    <row r="4437" spans="1:24">
      <c r="A4437">
        <f>HYPERLINK("https://www.philgeps.gov.ph/GEPSNONPILOT/Tender/SplashBidNoticeAbstractUI.aspx?menuIndex=3&amp;refID=7188118&amp;Result=3","7188118")</f>
        <v>0</v>
      </c>
      <c r="B4437" t="s">
        <v>1602</v>
      </c>
      <c r="C4437" t="s">
        <v>7774</v>
      </c>
      <c r="D4437" t="s">
        <v>17169</v>
      </c>
      <c r="E4437" t="s">
        <v>19635</v>
      </c>
      <c r="F4437" t="s">
        <v>29372</v>
      </c>
      <c r="G4437" t="s">
        <v>29380</v>
      </c>
      <c r="H4437" t="s">
        <v>29389</v>
      </c>
      <c r="I4437" t="s">
        <v>10408</v>
      </c>
      <c r="J4437" t="s">
        <v>29590</v>
      </c>
      <c r="K4437" t="s">
        <v>38496</v>
      </c>
      <c r="M4437" t="s">
        <v>40455</v>
      </c>
      <c r="N4437" t="s">
        <v>42669</v>
      </c>
      <c r="O4437" t="s">
        <v>42670</v>
      </c>
      <c r="P4437">
        <v>0</v>
      </c>
      <c r="Q4437">
        <v>0</v>
      </c>
      <c r="R4437" t="s">
        <v>42676</v>
      </c>
      <c r="S4437" t="s">
        <v>42809</v>
      </c>
      <c r="T4437" t="s">
        <v>44394</v>
      </c>
      <c r="U4437" t="s">
        <v>48452</v>
      </c>
      <c r="W4437" t="s">
        <v>40455</v>
      </c>
      <c r="X4437" t="s">
        <v>42677</v>
      </c>
    </row>
    <row r="4438" spans="1:24">
      <c r="A4438">
        <f>HYPERLINK("https://www.philgeps.gov.ph/GEPSNONPILOT/Tender/SplashBidNoticeAbstractUI.aspx?menuIndex=3&amp;refID=7188108&amp;Result=3","7188108")</f>
        <v>0</v>
      </c>
      <c r="B4438" t="s">
        <v>1602</v>
      </c>
      <c r="C4438" t="s">
        <v>6272</v>
      </c>
      <c r="D4438" t="s">
        <v>17169</v>
      </c>
      <c r="E4438" t="s">
        <v>19628</v>
      </c>
      <c r="F4438" t="s">
        <v>29372</v>
      </c>
      <c r="G4438" t="s">
        <v>29380</v>
      </c>
      <c r="H4438" t="s">
        <v>29389</v>
      </c>
      <c r="I4438" t="s">
        <v>10408</v>
      </c>
      <c r="J4438" t="s">
        <v>29609</v>
      </c>
      <c r="K4438" t="s">
        <v>38496</v>
      </c>
      <c r="M4438" t="s">
        <v>40455</v>
      </c>
      <c r="N4438" t="s">
        <v>42669</v>
      </c>
      <c r="O4438" t="s">
        <v>42670</v>
      </c>
      <c r="P4438">
        <v>0</v>
      </c>
      <c r="Q4438">
        <v>0</v>
      </c>
      <c r="R4438" t="s">
        <v>42676</v>
      </c>
      <c r="S4438" t="s">
        <v>42809</v>
      </c>
      <c r="T4438" t="s">
        <v>44386</v>
      </c>
      <c r="U4438" t="s">
        <v>48452</v>
      </c>
      <c r="W4438" t="s">
        <v>40455</v>
      </c>
      <c r="X4438" t="s">
        <v>42677</v>
      </c>
    </row>
    <row r="4439" spans="1:24">
      <c r="A4439">
        <f>HYPERLINK("https://www.philgeps.gov.ph/GEPSNONPILOT/Tender/SplashBidNoticeAbstractUI.aspx?menuIndex=3&amp;refID=7188106&amp;Result=3","7188106")</f>
        <v>0</v>
      </c>
      <c r="B4439" t="s">
        <v>131</v>
      </c>
      <c r="C4439" t="s">
        <v>7775</v>
      </c>
      <c r="D4439" t="s">
        <v>17178</v>
      </c>
      <c r="E4439" t="s">
        <v>21107</v>
      </c>
      <c r="F4439" t="s">
        <v>29372</v>
      </c>
      <c r="G4439" t="s">
        <v>29379</v>
      </c>
      <c r="H4439" t="s">
        <v>11048</v>
      </c>
      <c r="I4439" t="s">
        <v>29395</v>
      </c>
      <c r="J4439" t="s">
        <v>32465</v>
      </c>
      <c r="K4439" t="s">
        <v>38490</v>
      </c>
      <c r="M4439" t="s">
        <v>38886</v>
      </c>
      <c r="N4439" t="s">
        <v>42669</v>
      </c>
      <c r="O4439" t="s">
        <v>42670</v>
      </c>
      <c r="P4439">
        <v>0</v>
      </c>
      <c r="Q4439">
        <v>0</v>
      </c>
      <c r="R4439" t="s">
        <v>42676</v>
      </c>
      <c r="S4439" t="s">
        <v>42809</v>
      </c>
      <c r="T4439" t="s">
        <v>44570</v>
      </c>
      <c r="U4439" t="s">
        <v>48453</v>
      </c>
      <c r="V4439" t="s">
        <v>56835</v>
      </c>
      <c r="W4439" t="s">
        <v>38886</v>
      </c>
      <c r="X4439" t="s">
        <v>42677</v>
      </c>
    </row>
    <row r="4440" spans="1:24">
      <c r="A4440">
        <f>HYPERLINK("https://www.philgeps.gov.ph/GEPSNONPILOT/Tender/SplashBidNoticeAbstractUI.aspx?menuIndex=3&amp;refID=7188105&amp;Result=3","7188105")</f>
        <v>0</v>
      </c>
      <c r="B4440" t="s">
        <v>1603</v>
      </c>
      <c r="C4440" t="s">
        <v>7776</v>
      </c>
      <c r="D4440" t="s">
        <v>17222</v>
      </c>
      <c r="E4440" t="s">
        <v>17404</v>
      </c>
      <c r="F4440" t="s">
        <v>29372</v>
      </c>
      <c r="G4440" t="s">
        <v>29379</v>
      </c>
      <c r="H4440" t="s">
        <v>11048</v>
      </c>
      <c r="I4440" t="s">
        <v>29440</v>
      </c>
      <c r="J4440" t="s">
        <v>32466</v>
      </c>
      <c r="K4440" t="s">
        <v>38488</v>
      </c>
      <c r="M4440" t="s">
        <v>40456</v>
      </c>
      <c r="N4440" t="s">
        <v>42669</v>
      </c>
      <c r="O4440" t="s">
        <v>42670</v>
      </c>
      <c r="P4440">
        <v>0</v>
      </c>
      <c r="Q4440">
        <v>0</v>
      </c>
      <c r="R4440" t="s">
        <v>42676</v>
      </c>
      <c r="S4440" t="s">
        <v>42809</v>
      </c>
      <c r="T4440" t="s">
        <v>44389</v>
      </c>
      <c r="U4440" t="s">
        <v>48454</v>
      </c>
      <c r="W4440" t="s">
        <v>40456</v>
      </c>
      <c r="X4440" t="s">
        <v>42677</v>
      </c>
    </row>
    <row r="4441" spans="1:24">
      <c r="A4441">
        <f>HYPERLINK("https://www.philgeps.gov.ph/GEPSNONPILOT/Tender/SplashBidNoticeAbstractUI.aspx?menuIndex=3&amp;refID=7188101&amp;Result=3","7188101")</f>
        <v>0</v>
      </c>
      <c r="B4441" t="s">
        <v>1591</v>
      </c>
      <c r="C4441" t="s">
        <v>7777</v>
      </c>
      <c r="E4441" t="s">
        <v>21108</v>
      </c>
      <c r="F4441" t="s">
        <v>29372</v>
      </c>
      <c r="G4441" t="s">
        <v>29383</v>
      </c>
      <c r="H4441" t="s">
        <v>11048</v>
      </c>
      <c r="I4441" t="s">
        <v>4709</v>
      </c>
      <c r="J4441" t="s">
        <v>32467</v>
      </c>
      <c r="K4441" t="s">
        <v>38488</v>
      </c>
      <c r="M4441" t="s">
        <v>40442</v>
      </c>
      <c r="N4441" t="s">
        <v>42669</v>
      </c>
      <c r="O4441" t="s">
        <v>42670</v>
      </c>
      <c r="P4441">
        <v>0</v>
      </c>
      <c r="Q4441">
        <v>0</v>
      </c>
      <c r="R4441" t="s">
        <v>42676</v>
      </c>
      <c r="S4441" t="s">
        <v>42809</v>
      </c>
      <c r="T4441" t="s">
        <v>44525</v>
      </c>
      <c r="U4441" t="s">
        <v>48455</v>
      </c>
      <c r="V4441" t="s">
        <v>56836</v>
      </c>
      <c r="W4441" t="s">
        <v>40442</v>
      </c>
      <c r="X4441" t="s">
        <v>42677</v>
      </c>
    </row>
    <row r="4442" spans="1:24">
      <c r="A4442">
        <f>HYPERLINK("https://www.philgeps.gov.ph/GEPSNONPILOT/Tender/SplashBidNoticeAbstractUI.aspx?menuIndex=3&amp;refID=7188100&amp;Result=3","7188100")</f>
        <v>0</v>
      </c>
      <c r="B4442" t="s">
        <v>131</v>
      </c>
      <c r="C4442" t="s">
        <v>7778</v>
      </c>
      <c r="D4442" t="s">
        <v>17178</v>
      </c>
      <c r="E4442" t="s">
        <v>21109</v>
      </c>
      <c r="F4442" t="s">
        <v>29372</v>
      </c>
      <c r="G4442" t="s">
        <v>29383</v>
      </c>
      <c r="H4442" t="s">
        <v>11048</v>
      </c>
      <c r="I4442" t="s">
        <v>29394</v>
      </c>
      <c r="J4442" t="s">
        <v>32468</v>
      </c>
      <c r="K4442" t="s">
        <v>38490</v>
      </c>
      <c r="M4442" t="s">
        <v>38886</v>
      </c>
      <c r="N4442" t="s">
        <v>42669</v>
      </c>
      <c r="O4442" t="s">
        <v>42670</v>
      </c>
      <c r="P4442">
        <v>0</v>
      </c>
      <c r="Q4442">
        <v>2</v>
      </c>
      <c r="R4442" t="s">
        <v>42676</v>
      </c>
      <c r="S4442" t="s">
        <v>42809</v>
      </c>
      <c r="T4442" t="s">
        <v>44570</v>
      </c>
      <c r="U4442" t="s">
        <v>48456</v>
      </c>
      <c r="V4442" t="s">
        <v>56837</v>
      </c>
      <c r="W4442" t="s">
        <v>38886</v>
      </c>
      <c r="X4442" t="s">
        <v>42677</v>
      </c>
    </row>
    <row r="4443" spans="1:24">
      <c r="A4443">
        <f>HYPERLINK("https://www.philgeps.gov.ph/GEPSNONPILOT/Tender/SplashBidNoticeAbstractUI.aspx?menuIndex=3&amp;refID=7188104&amp;Result=3","7188104")</f>
        <v>0</v>
      </c>
      <c r="B4443" t="s">
        <v>593</v>
      </c>
      <c r="C4443" t="s">
        <v>7779</v>
      </c>
      <c r="D4443" t="s">
        <v>17188</v>
      </c>
      <c r="E4443" t="s">
        <v>21110</v>
      </c>
      <c r="F4443" t="s">
        <v>29372</v>
      </c>
      <c r="G4443" t="s">
        <v>29380</v>
      </c>
      <c r="H4443" t="s">
        <v>11048</v>
      </c>
      <c r="I4443" t="s">
        <v>9469</v>
      </c>
      <c r="J4443" t="s">
        <v>32469</v>
      </c>
      <c r="K4443" t="s">
        <v>38495</v>
      </c>
      <c r="M4443" t="s">
        <v>39364</v>
      </c>
      <c r="N4443" t="s">
        <v>42669</v>
      </c>
      <c r="O4443" t="s">
        <v>42670</v>
      </c>
      <c r="P4443">
        <v>0</v>
      </c>
      <c r="Q4443">
        <v>10</v>
      </c>
      <c r="R4443" t="s">
        <v>42676</v>
      </c>
      <c r="S4443" t="s">
        <v>42809</v>
      </c>
      <c r="T4443" t="s">
        <v>44669</v>
      </c>
      <c r="U4443" t="s">
        <v>48457</v>
      </c>
      <c r="V4443" t="s">
        <v>56838</v>
      </c>
      <c r="W4443" t="s">
        <v>39364</v>
      </c>
      <c r="X4443" t="s">
        <v>42677</v>
      </c>
    </row>
    <row r="4444" spans="1:24">
      <c r="A4444">
        <f>HYPERLINK("https://www.philgeps.gov.ph/GEPSNONPILOT/Tender/SplashBidNoticeAbstractUI.aspx?menuIndex=3&amp;refID=7188113&amp;Result=3","7188113")</f>
        <v>0</v>
      </c>
      <c r="B4444" t="s">
        <v>1604</v>
      </c>
      <c r="C4444" t="s">
        <v>7780</v>
      </c>
      <c r="D4444" t="s">
        <v>17187</v>
      </c>
      <c r="E4444" t="s">
        <v>21111</v>
      </c>
      <c r="F4444" t="s">
        <v>29372</v>
      </c>
      <c r="G4444" t="s">
        <v>29380</v>
      </c>
      <c r="H4444" t="s">
        <v>11048</v>
      </c>
      <c r="I4444" t="s">
        <v>29413</v>
      </c>
      <c r="J4444" t="s">
        <v>29526</v>
      </c>
      <c r="K4444" t="s">
        <v>38491</v>
      </c>
      <c r="M4444" t="s">
        <v>40457</v>
      </c>
      <c r="N4444" t="s">
        <v>42669</v>
      </c>
      <c r="O4444" t="s">
        <v>42670</v>
      </c>
      <c r="P4444">
        <v>0</v>
      </c>
      <c r="Q4444">
        <v>1</v>
      </c>
      <c r="R4444" t="s">
        <v>42676</v>
      </c>
      <c r="S4444" t="s">
        <v>42809</v>
      </c>
      <c r="T4444" t="s">
        <v>44480</v>
      </c>
      <c r="U4444" t="s">
        <v>48458</v>
      </c>
      <c r="W4444" t="s">
        <v>40457</v>
      </c>
      <c r="X4444" t="s">
        <v>42677</v>
      </c>
    </row>
    <row r="4445" spans="1:24">
      <c r="A4445">
        <f>HYPERLINK("https://www.philgeps.gov.ph/GEPSNONPILOT/Tender/SplashBidNoticeAbstractUI.aspx?menuIndex=3&amp;refID=7188132&amp;Result=3","7188132")</f>
        <v>0</v>
      </c>
      <c r="B4445" t="s">
        <v>1383</v>
      </c>
      <c r="C4445" t="s">
        <v>7781</v>
      </c>
      <c r="D4445" t="s">
        <v>17169</v>
      </c>
      <c r="E4445" t="s">
        <v>20592</v>
      </c>
      <c r="F4445" t="s">
        <v>29372</v>
      </c>
      <c r="G4445" t="s">
        <v>29380</v>
      </c>
      <c r="H4445" t="s">
        <v>29389</v>
      </c>
      <c r="I4445" t="s">
        <v>10408</v>
      </c>
      <c r="J4445" t="s">
        <v>32103</v>
      </c>
      <c r="K4445" t="s">
        <v>38496</v>
      </c>
      <c r="M4445" t="s">
        <v>40220</v>
      </c>
      <c r="N4445" t="s">
        <v>42669</v>
      </c>
      <c r="O4445" t="s">
        <v>42670</v>
      </c>
      <c r="P4445">
        <v>0</v>
      </c>
      <c r="Q4445">
        <v>1</v>
      </c>
      <c r="R4445" t="s">
        <v>42676</v>
      </c>
      <c r="S4445" t="s">
        <v>42809</v>
      </c>
      <c r="T4445" t="s">
        <v>44587</v>
      </c>
      <c r="U4445" t="s">
        <v>47960</v>
      </c>
      <c r="V4445" t="s">
        <v>56839</v>
      </c>
      <c r="W4445" t="s">
        <v>40220</v>
      </c>
      <c r="X4445" t="s">
        <v>42677</v>
      </c>
    </row>
    <row r="4446" spans="1:24">
      <c r="A4446">
        <f>HYPERLINK("https://www.philgeps.gov.ph/GEPSNONPILOT/Tender/SplashBidNoticeAbstractUI.aspx?menuIndex=3&amp;refID=7188131&amp;Result=3","7188131")</f>
        <v>0</v>
      </c>
      <c r="B4446" t="s">
        <v>110</v>
      </c>
      <c r="C4446" t="s">
        <v>7782</v>
      </c>
      <c r="D4446" t="s">
        <v>17165</v>
      </c>
      <c r="E4446" t="s">
        <v>21112</v>
      </c>
      <c r="F4446" t="s">
        <v>29372</v>
      </c>
      <c r="G4446" t="s">
        <v>29381</v>
      </c>
      <c r="H4446" t="s">
        <v>11048</v>
      </c>
      <c r="I4446" t="s">
        <v>29433</v>
      </c>
      <c r="J4446" t="s">
        <v>32470</v>
      </c>
      <c r="K4446" t="s">
        <v>38510</v>
      </c>
      <c r="L4446" t="s">
        <v>110</v>
      </c>
      <c r="M4446" t="s">
        <v>38865</v>
      </c>
      <c r="N4446" t="s">
        <v>42669</v>
      </c>
      <c r="O4446" t="s">
        <v>42670</v>
      </c>
      <c r="P4446">
        <v>0</v>
      </c>
      <c r="Q4446">
        <v>17</v>
      </c>
      <c r="R4446" t="s">
        <v>42676</v>
      </c>
      <c r="S4446" t="s">
        <v>42809</v>
      </c>
      <c r="T4446" t="s">
        <v>44387</v>
      </c>
      <c r="U4446" t="s">
        <v>45036</v>
      </c>
      <c r="V4446" t="s">
        <v>56354</v>
      </c>
      <c r="W4446" t="s">
        <v>38865</v>
      </c>
      <c r="X4446" t="s">
        <v>42677</v>
      </c>
    </row>
    <row r="4447" spans="1:24">
      <c r="A4447">
        <f>HYPERLINK("https://www.philgeps.gov.ph/GEPSNONPILOT/Tender/SplashBidNoticeAbstractUI.aspx?menuIndex=3&amp;refID=7188107&amp;Result=3","7188107")</f>
        <v>0</v>
      </c>
      <c r="B4447" t="s">
        <v>1398</v>
      </c>
      <c r="C4447" t="s">
        <v>7783</v>
      </c>
      <c r="D4447" t="s">
        <v>17212</v>
      </c>
      <c r="E4447" t="s">
        <v>21113</v>
      </c>
      <c r="F4447" t="s">
        <v>29372</v>
      </c>
      <c r="G4447" t="s">
        <v>29379</v>
      </c>
      <c r="H4447" t="s">
        <v>11048</v>
      </c>
      <c r="I4447" t="s">
        <v>29395</v>
      </c>
      <c r="J4447" t="s">
        <v>30130</v>
      </c>
      <c r="K4447" t="s">
        <v>38491</v>
      </c>
      <c r="M4447" t="s">
        <v>40237</v>
      </c>
      <c r="N4447" t="s">
        <v>42669</v>
      </c>
      <c r="O4447" t="s">
        <v>42670</v>
      </c>
      <c r="P4447">
        <v>0</v>
      </c>
      <c r="Q4447">
        <v>0</v>
      </c>
      <c r="R4447" t="s">
        <v>42676</v>
      </c>
      <c r="S4447" t="s">
        <v>42809</v>
      </c>
      <c r="T4447" t="s">
        <v>44489</v>
      </c>
      <c r="U4447" t="s">
        <v>48459</v>
      </c>
      <c r="W4447" t="s">
        <v>40237</v>
      </c>
      <c r="X4447" t="s">
        <v>42677</v>
      </c>
    </row>
    <row r="4448" spans="1:24">
      <c r="A4448">
        <f>HYPERLINK("https://www.philgeps.gov.ph/GEPSNONPILOT/Tender/SplashBidNoticeAbstractUI.aspx?menuIndex=3&amp;refID=7188126&amp;Result=3","7188126")</f>
        <v>0</v>
      </c>
      <c r="B4448" t="s">
        <v>1359</v>
      </c>
      <c r="C4448" t="s">
        <v>7784</v>
      </c>
      <c r="D4448" t="s">
        <v>17172</v>
      </c>
      <c r="E4448" t="s">
        <v>21114</v>
      </c>
      <c r="F4448" t="s">
        <v>29372</v>
      </c>
      <c r="G4448" t="s">
        <v>29380</v>
      </c>
      <c r="H4448" t="s">
        <v>29389</v>
      </c>
      <c r="I4448" t="s">
        <v>10408</v>
      </c>
      <c r="J4448" t="s">
        <v>32471</v>
      </c>
      <c r="K4448" t="s">
        <v>38635</v>
      </c>
      <c r="M4448" t="s">
        <v>40196</v>
      </c>
      <c r="N4448" t="s">
        <v>42669</v>
      </c>
      <c r="O4448" t="s">
        <v>42670</v>
      </c>
      <c r="P4448">
        <v>0</v>
      </c>
      <c r="Q4448">
        <v>0</v>
      </c>
      <c r="R4448" t="s">
        <v>42676</v>
      </c>
      <c r="S4448" t="s">
        <v>42809</v>
      </c>
      <c r="T4448" t="s">
        <v>44368</v>
      </c>
      <c r="U4448" t="s">
        <v>48460</v>
      </c>
      <c r="V4448" t="s">
        <v>56821</v>
      </c>
      <c r="W4448" t="s">
        <v>40196</v>
      </c>
      <c r="X4448" t="s">
        <v>42677</v>
      </c>
    </row>
    <row r="4449" spans="1:24">
      <c r="A4449">
        <f>HYPERLINK("https://www.philgeps.gov.ph/GEPSNONPILOT/Tender/SplashBidNoticeAbstractUI.aspx?menuIndex=3&amp;refID=7188120&amp;Result=3","7188120")</f>
        <v>0</v>
      </c>
      <c r="B4449" t="s">
        <v>131</v>
      </c>
      <c r="C4449" t="s">
        <v>7785</v>
      </c>
      <c r="D4449" t="s">
        <v>17178</v>
      </c>
      <c r="E4449" t="s">
        <v>21115</v>
      </c>
      <c r="F4449" t="s">
        <v>29372</v>
      </c>
      <c r="G4449" t="s">
        <v>29379</v>
      </c>
      <c r="H4449" t="s">
        <v>11048</v>
      </c>
      <c r="I4449" t="s">
        <v>3695</v>
      </c>
      <c r="J4449" t="s">
        <v>32472</v>
      </c>
      <c r="K4449" t="s">
        <v>38490</v>
      </c>
      <c r="M4449" t="s">
        <v>38886</v>
      </c>
      <c r="N4449" t="s">
        <v>42669</v>
      </c>
      <c r="O4449" t="s">
        <v>42670</v>
      </c>
      <c r="P4449">
        <v>0</v>
      </c>
      <c r="Q4449">
        <v>4</v>
      </c>
      <c r="R4449" t="s">
        <v>42676</v>
      </c>
      <c r="S4449" t="s">
        <v>42809</v>
      </c>
      <c r="T4449" t="s">
        <v>44570</v>
      </c>
      <c r="U4449" t="s">
        <v>48461</v>
      </c>
      <c r="V4449" t="s">
        <v>56840</v>
      </c>
      <c r="W4449" t="s">
        <v>38886</v>
      </c>
      <c r="X4449" t="s">
        <v>42677</v>
      </c>
    </row>
    <row r="4450" spans="1:24">
      <c r="A4450">
        <f>HYPERLINK("https://www.philgeps.gov.ph/GEPSNONPILOT/Tender/SplashBidNoticeAbstractUI.aspx?menuIndex=3&amp;refID=7188127&amp;Result=3","7188127")</f>
        <v>0</v>
      </c>
      <c r="B4450" t="s">
        <v>927</v>
      </c>
      <c r="C4450" t="s">
        <v>7786</v>
      </c>
      <c r="D4450" t="s">
        <v>17225</v>
      </c>
      <c r="E4450" t="s">
        <v>21116</v>
      </c>
      <c r="F4450" t="s">
        <v>29372</v>
      </c>
      <c r="G4450" t="s">
        <v>29380</v>
      </c>
      <c r="H4450" t="s">
        <v>11048</v>
      </c>
      <c r="I4450" t="s">
        <v>4709</v>
      </c>
      <c r="J4450" t="s">
        <v>32473</v>
      </c>
      <c r="K4450" t="s">
        <v>38510</v>
      </c>
      <c r="M4450" t="s">
        <v>39722</v>
      </c>
      <c r="N4450" t="s">
        <v>42669</v>
      </c>
      <c r="O4450" t="s">
        <v>42670</v>
      </c>
      <c r="P4450">
        <v>0</v>
      </c>
      <c r="Q4450">
        <v>0</v>
      </c>
      <c r="R4450" t="s">
        <v>42676</v>
      </c>
      <c r="S4450" t="s">
        <v>42809</v>
      </c>
      <c r="T4450" t="s">
        <v>44542</v>
      </c>
      <c r="U4450" t="s">
        <v>47813</v>
      </c>
      <c r="V4450" t="s">
        <v>56690</v>
      </c>
      <c r="W4450" t="s">
        <v>39722</v>
      </c>
      <c r="X4450" t="s">
        <v>42677</v>
      </c>
    </row>
    <row r="4451" spans="1:24">
      <c r="A4451">
        <f>HYPERLINK("https://www.philgeps.gov.ph/GEPSNONPILOT/Tender/SplashBidNoticeAbstractUI.aspx?menuIndex=3&amp;refID=7188155&amp;Result=3","7188155")</f>
        <v>0</v>
      </c>
      <c r="B4451" t="s">
        <v>1605</v>
      </c>
      <c r="C4451" t="s">
        <v>7787</v>
      </c>
      <c r="D4451" t="s">
        <v>17197</v>
      </c>
      <c r="E4451" t="s">
        <v>21117</v>
      </c>
      <c r="F4451" t="s">
        <v>29372</v>
      </c>
      <c r="G4451" t="s">
        <v>29379</v>
      </c>
      <c r="H4451" t="s">
        <v>11048</v>
      </c>
      <c r="I4451" t="s">
        <v>3839</v>
      </c>
      <c r="J4451" t="s">
        <v>31306</v>
      </c>
      <c r="K4451" t="s">
        <v>38485</v>
      </c>
      <c r="M4451" t="s">
        <v>40458</v>
      </c>
      <c r="N4451" t="s">
        <v>42669</v>
      </c>
      <c r="O4451" t="s">
        <v>42670</v>
      </c>
      <c r="P4451">
        <v>0</v>
      </c>
      <c r="Q4451">
        <v>6</v>
      </c>
      <c r="R4451" t="s">
        <v>42676</v>
      </c>
      <c r="S4451" t="s">
        <v>42809</v>
      </c>
      <c r="T4451" t="s">
        <v>44530</v>
      </c>
      <c r="U4451" t="s">
        <v>48462</v>
      </c>
      <c r="W4451" t="s">
        <v>40458</v>
      </c>
      <c r="X4451" t="s">
        <v>42677</v>
      </c>
    </row>
    <row r="4452" spans="1:24">
      <c r="A4452">
        <f>HYPERLINK("https://www.philgeps.gov.ph/GEPSNONPILOT/Tender/SplashBidNoticeAbstractUI.aspx?menuIndex=3&amp;refID=7188125&amp;Result=3","7188125")</f>
        <v>0</v>
      </c>
      <c r="B4452" t="s">
        <v>1383</v>
      </c>
      <c r="C4452" t="s">
        <v>7788</v>
      </c>
      <c r="D4452" t="s">
        <v>17169</v>
      </c>
      <c r="E4452" t="s">
        <v>20592</v>
      </c>
      <c r="F4452" t="s">
        <v>29372</v>
      </c>
      <c r="G4452" t="s">
        <v>29380</v>
      </c>
      <c r="H4452" t="s">
        <v>29389</v>
      </c>
      <c r="I4452" t="s">
        <v>10408</v>
      </c>
      <c r="J4452" t="s">
        <v>32350</v>
      </c>
      <c r="K4452" t="s">
        <v>38496</v>
      </c>
      <c r="M4452" t="s">
        <v>40220</v>
      </c>
      <c r="N4452" t="s">
        <v>42669</v>
      </c>
      <c r="O4452" t="s">
        <v>42670</v>
      </c>
      <c r="P4452">
        <v>0</v>
      </c>
      <c r="Q4452">
        <v>1</v>
      </c>
      <c r="R4452" t="s">
        <v>42676</v>
      </c>
      <c r="S4452" t="s">
        <v>42809</v>
      </c>
      <c r="T4452" t="s">
        <v>44587</v>
      </c>
      <c r="U4452" t="s">
        <v>47960</v>
      </c>
      <c r="V4452" t="s">
        <v>56841</v>
      </c>
      <c r="W4452" t="s">
        <v>40220</v>
      </c>
      <c r="X4452" t="s">
        <v>42677</v>
      </c>
    </row>
    <row r="4453" spans="1:24">
      <c r="A4453">
        <f>HYPERLINK("https://www.philgeps.gov.ph/GEPSNONPILOT/Tender/SplashBidNoticeAbstractUI.aspx?menuIndex=3&amp;refID=7188151&amp;Result=3","7188151")</f>
        <v>0</v>
      </c>
      <c r="B4453" t="s">
        <v>39</v>
      </c>
      <c r="C4453" t="s">
        <v>7789</v>
      </c>
      <c r="D4453" t="s">
        <v>17152</v>
      </c>
      <c r="E4453" t="s">
        <v>21118</v>
      </c>
      <c r="F4453" t="s">
        <v>29372</v>
      </c>
      <c r="G4453" t="s">
        <v>29380</v>
      </c>
      <c r="H4453" t="s">
        <v>29389</v>
      </c>
      <c r="I4453" t="s">
        <v>10408</v>
      </c>
      <c r="J4453" t="s">
        <v>32474</v>
      </c>
      <c r="K4453" t="s">
        <v>38629</v>
      </c>
      <c r="M4453" t="s">
        <v>38812</v>
      </c>
      <c r="N4453" t="s">
        <v>42669</v>
      </c>
      <c r="O4453" t="s">
        <v>42670</v>
      </c>
      <c r="P4453">
        <v>0</v>
      </c>
      <c r="Q4453">
        <v>2</v>
      </c>
      <c r="R4453" t="s">
        <v>42676</v>
      </c>
      <c r="S4453" t="s">
        <v>42809</v>
      </c>
      <c r="T4453" t="s">
        <v>44446</v>
      </c>
      <c r="U4453" t="s">
        <v>48463</v>
      </c>
      <c r="W4453" t="s">
        <v>38812</v>
      </c>
      <c r="X4453" t="s">
        <v>42677</v>
      </c>
    </row>
    <row r="4454" spans="1:24">
      <c r="A4454">
        <f>HYPERLINK("https://www.philgeps.gov.ph/GEPSNONPILOT/Tender/SplashBidNoticeAbstractUI.aspx?menuIndex=3&amp;refID=7188149&amp;Result=3","7188149")</f>
        <v>0</v>
      </c>
      <c r="B4454" t="s">
        <v>927</v>
      </c>
      <c r="C4454" t="s">
        <v>7790</v>
      </c>
      <c r="E4454" t="s">
        <v>21119</v>
      </c>
      <c r="F4454" t="s">
        <v>29372</v>
      </c>
      <c r="G4454" t="s">
        <v>29380</v>
      </c>
      <c r="H4454" t="s">
        <v>11048</v>
      </c>
      <c r="I4454" t="s">
        <v>4709</v>
      </c>
      <c r="J4454" t="s">
        <v>32342</v>
      </c>
      <c r="K4454" t="s">
        <v>38510</v>
      </c>
      <c r="M4454" t="s">
        <v>39722</v>
      </c>
      <c r="N4454" t="s">
        <v>42669</v>
      </c>
      <c r="O4454" t="s">
        <v>42670</v>
      </c>
      <c r="P4454">
        <v>0</v>
      </c>
      <c r="Q4454">
        <v>0</v>
      </c>
      <c r="R4454" t="s">
        <v>42676</v>
      </c>
      <c r="S4454" t="s">
        <v>42809</v>
      </c>
      <c r="T4454" t="s">
        <v>44542</v>
      </c>
      <c r="U4454" t="s">
        <v>47813</v>
      </c>
      <c r="V4454" t="s">
        <v>56690</v>
      </c>
      <c r="W4454" t="s">
        <v>39722</v>
      </c>
      <c r="X4454" t="s">
        <v>42677</v>
      </c>
    </row>
    <row r="4455" spans="1:24">
      <c r="A4455">
        <f>HYPERLINK("https://www.philgeps.gov.ph/GEPSNONPILOT/Tender/SplashBidNoticeAbstractUI.aspx?menuIndex=3&amp;refID=7188110&amp;Result=3","7188110")</f>
        <v>0</v>
      </c>
      <c r="B4455" t="s">
        <v>131</v>
      </c>
      <c r="C4455" t="s">
        <v>7104</v>
      </c>
      <c r="D4455" t="s">
        <v>17178</v>
      </c>
      <c r="E4455" t="s">
        <v>21120</v>
      </c>
      <c r="F4455" t="s">
        <v>29372</v>
      </c>
      <c r="G4455" t="s">
        <v>29379</v>
      </c>
      <c r="H4455" t="s">
        <v>11048</v>
      </c>
      <c r="I4455" t="s">
        <v>5383</v>
      </c>
      <c r="J4455" t="s">
        <v>32475</v>
      </c>
      <c r="K4455" t="s">
        <v>38490</v>
      </c>
      <c r="M4455" t="s">
        <v>38886</v>
      </c>
      <c r="N4455" t="s">
        <v>42669</v>
      </c>
      <c r="O4455" t="s">
        <v>42670</v>
      </c>
      <c r="P4455">
        <v>0</v>
      </c>
      <c r="Q4455">
        <v>1</v>
      </c>
      <c r="R4455" t="s">
        <v>42676</v>
      </c>
      <c r="S4455" t="s">
        <v>42809</v>
      </c>
      <c r="T4455" t="s">
        <v>44570</v>
      </c>
      <c r="U4455" t="s">
        <v>48464</v>
      </c>
      <c r="V4455" t="s">
        <v>56842</v>
      </c>
      <c r="W4455" t="s">
        <v>38886</v>
      </c>
      <c r="X4455" t="s">
        <v>42677</v>
      </c>
    </row>
    <row r="4456" spans="1:24">
      <c r="A4456">
        <f>HYPERLINK("https://www.philgeps.gov.ph/GEPSNONPILOT/Tender/SplashBidNoticeAbstractUI.aspx?menuIndex=3&amp;refID=7188147&amp;Result=3","7188147")</f>
        <v>0</v>
      </c>
      <c r="B4456" t="s">
        <v>1606</v>
      </c>
      <c r="C4456" t="s">
        <v>7791</v>
      </c>
      <c r="D4456" t="s">
        <v>17141</v>
      </c>
      <c r="E4456" t="s">
        <v>21121</v>
      </c>
      <c r="F4456" t="s">
        <v>29372</v>
      </c>
      <c r="G4456" t="s">
        <v>29379</v>
      </c>
      <c r="H4456" t="s">
        <v>11048</v>
      </c>
      <c r="I4456" t="s">
        <v>29407</v>
      </c>
      <c r="J4456" t="s">
        <v>32476</v>
      </c>
      <c r="K4456" t="s">
        <v>38491</v>
      </c>
      <c r="M4456" t="s">
        <v>40459</v>
      </c>
      <c r="N4456" t="s">
        <v>42669</v>
      </c>
      <c r="O4456" t="s">
        <v>42670</v>
      </c>
      <c r="P4456">
        <v>0</v>
      </c>
      <c r="Q4456">
        <v>1</v>
      </c>
      <c r="R4456" t="s">
        <v>42676</v>
      </c>
      <c r="S4456" t="s">
        <v>42809</v>
      </c>
      <c r="T4456" t="s">
        <v>44580</v>
      </c>
      <c r="U4456" t="s">
        <v>48465</v>
      </c>
      <c r="W4456" t="s">
        <v>40459</v>
      </c>
      <c r="X4456" t="s">
        <v>42677</v>
      </c>
    </row>
    <row r="4457" spans="1:24">
      <c r="A4457">
        <f>HYPERLINK("https://www.philgeps.gov.ph/GEPSNONPILOT/Tender/SplashBidNoticeAbstractUI.aspx?menuIndex=3&amp;refID=7188144&amp;Result=3","7188144")</f>
        <v>0</v>
      </c>
      <c r="B4457" t="s">
        <v>110</v>
      </c>
      <c r="C4457" t="s">
        <v>7792</v>
      </c>
      <c r="D4457" t="s">
        <v>17165</v>
      </c>
      <c r="E4457" t="s">
        <v>21122</v>
      </c>
      <c r="F4457" t="s">
        <v>29372</v>
      </c>
      <c r="G4457" t="s">
        <v>29381</v>
      </c>
      <c r="H4457" t="s">
        <v>11048</v>
      </c>
      <c r="I4457" t="s">
        <v>4709</v>
      </c>
      <c r="J4457" t="s">
        <v>32477</v>
      </c>
      <c r="K4457" t="s">
        <v>38510</v>
      </c>
      <c r="L4457" t="s">
        <v>110</v>
      </c>
      <c r="M4457" t="s">
        <v>38865</v>
      </c>
      <c r="N4457" t="s">
        <v>42669</v>
      </c>
      <c r="O4457" t="s">
        <v>42670</v>
      </c>
      <c r="P4457">
        <v>0</v>
      </c>
      <c r="Q4457">
        <v>0</v>
      </c>
      <c r="R4457" t="s">
        <v>42676</v>
      </c>
      <c r="S4457" t="s">
        <v>42809</v>
      </c>
      <c r="T4457" t="s">
        <v>44387</v>
      </c>
      <c r="U4457" t="s">
        <v>48466</v>
      </c>
      <c r="V4457" t="s">
        <v>56354</v>
      </c>
      <c r="W4457" t="s">
        <v>38865</v>
      </c>
      <c r="X4457" t="s">
        <v>42677</v>
      </c>
    </row>
    <row r="4458" spans="1:24">
      <c r="A4458">
        <f>HYPERLINK("https://www.philgeps.gov.ph/GEPSNONPILOT/Tender/SplashBidNoticeAbstractUI.aspx?menuIndex=3&amp;refID=7188142&amp;Result=3","7188142")</f>
        <v>0</v>
      </c>
      <c r="B4458" t="s">
        <v>927</v>
      </c>
      <c r="C4458" t="s">
        <v>7793</v>
      </c>
      <c r="D4458" t="s">
        <v>17225</v>
      </c>
      <c r="E4458" t="s">
        <v>21123</v>
      </c>
      <c r="F4458" t="s">
        <v>29372</v>
      </c>
      <c r="G4458" t="s">
        <v>29380</v>
      </c>
      <c r="H4458" t="s">
        <v>11048</v>
      </c>
      <c r="I4458" t="s">
        <v>4709</v>
      </c>
      <c r="J4458" t="s">
        <v>32478</v>
      </c>
      <c r="K4458" t="s">
        <v>38510</v>
      </c>
      <c r="M4458" t="s">
        <v>39722</v>
      </c>
      <c r="N4458" t="s">
        <v>42669</v>
      </c>
      <c r="O4458" t="s">
        <v>42670</v>
      </c>
      <c r="P4458">
        <v>0</v>
      </c>
      <c r="Q4458">
        <v>0</v>
      </c>
      <c r="R4458" t="s">
        <v>42676</v>
      </c>
      <c r="S4458" t="s">
        <v>42809</v>
      </c>
      <c r="T4458" t="s">
        <v>44542</v>
      </c>
      <c r="U4458" t="s">
        <v>47813</v>
      </c>
      <c r="V4458" t="s">
        <v>56690</v>
      </c>
      <c r="W4458" t="s">
        <v>39722</v>
      </c>
      <c r="X4458" t="s">
        <v>42677</v>
      </c>
    </row>
    <row r="4459" spans="1:24">
      <c r="A4459">
        <f>HYPERLINK("https://www.philgeps.gov.ph/GEPSNONPILOT/Tender/SplashBidNoticeAbstractUI.aspx?menuIndex=3&amp;refID=7188152&amp;Result=3","7188152")</f>
        <v>0</v>
      </c>
      <c r="B4459" t="s">
        <v>1607</v>
      </c>
      <c r="C4459" t="s">
        <v>7794</v>
      </c>
      <c r="D4459" t="s">
        <v>17160</v>
      </c>
      <c r="E4459" t="s">
        <v>21124</v>
      </c>
      <c r="F4459" t="s">
        <v>29372</v>
      </c>
      <c r="G4459" t="s">
        <v>29380</v>
      </c>
      <c r="H4459" t="s">
        <v>11048</v>
      </c>
      <c r="I4459" t="s">
        <v>29409</v>
      </c>
      <c r="J4459" t="s">
        <v>32479</v>
      </c>
      <c r="K4459" t="s">
        <v>38485</v>
      </c>
      <c r="M4459" t="s">
        <v>40460</v>
      </c>
      <c r="N4459" t="s">
        <v>42669</v>
      </c>
      <c r="O4459" t="s">
        <v>42670</v>
      </c>
      <c r="P4459">
        <v>0</v>
      </c>
      <c r="Q4459">
        <v>3</v>
      </c>
      <c r="R4459" t="s">
        <v>42676</v>
      </c>
      <c r="S4459" t="s">
        <v>42809</v>
      </c>
      <c r="T4459" t="s">
        <v>44587</v>
      </c>
      <c r="U4459" t="s">
        <v>48467</v>
      </c>
      <c r="W4459" t="s">
        <v>40460</v>
      </c>
      <c r="X4459" t="s">
        <v>42677</v>
      </c>
    </row>
    <row r="4460" spans="1:24">
      <c r="A4460">
        <f>HYPERLINK("https://www.philgeps.gov.ph/GEPSNONPILOT/Tender/SplashBidNoticeAbstractUI.aspx?menuIndex=3&amp;refID=7188141&amp;Result=3","7188141")</f>
        <v>0</v>
      </c>
      <c r="B4460" t="s">
        <v>1608</v>
      </c>
      <c r="C4460" t="s">
        <v>7795</v>
      </c>
      <c r="D4460" t="s">
        <v>17166</v>
      </c>
      <c r="E4460" t="s">
        <v>21125</v>
      </c>
      <c r="F4460" t="s">
        <v>29372</v>
      </c>
      <c r="G4460" t="s">
        <v>29385</v>
      </c>
      <c r="H4460" t="s">
        <v>11048</v>
      </c>
      <c r="I4460" t="s">
        <v>14920</v>
      </c>
      <c r="J4460" t="s">
        <v>29555</v>
      </c>
      <c r="K4460" t="s">
        <v>38511</v>
      </c>
      <c r="M4460" t="s">
        <v>40461</v>
      </c>
      <c r="N4460" t="s">
        <v>42669</v>
      </c>
      <c r="O4460" t="s">
        <v>42670</v>
      </c>
      <c r="P4460">
        <v>0</v>
      </c>
      <c r="Q4460">
        <v>0</v>
      </c>
      <c r="R4460" t="s">
        <v>42676</v>
      </c>
      <c r="S4460" t="s">
        <v>42809</v>
      </c>
      <c r="T4460" t="s">
        <v>44394</v>
      </c>
      <c r="U4460" t="s">
        <v>48468</v>
      </c>
      <c r="W4460" t="s">
        <v>40461</v>
      </c>
      <c r="X4460" t="s">
        <v>42677</v>
      </c>
    </row>
    <row r="4461" spans="1:24">
      <c r="A4461">
        <f>HYPERLINK("https://www.philgeps.gov.ph/GEPSNONPILOT/Tender/SplashBidNoticeAbstractUI.aspx?menuIndex=3&amp;refID=7188137&amp;Result=3","7188137")</f>
        <v>0</v>
      </c>
      <c r="B4461" t="s">
        <v>1383</v>
      </c>
      <c r="C4461" t="s">
        <v>7796</v>
      </c>
      <c r="D4461" t="s">
        <v>17169</v>
      </c>
      <c r="E4461" t="s">
        <v>20592</v>
      </c>
      <c r="F4461" t="s">
        <v>29372</v>
      </c>
      <c r="G4461" t="s">
        <v>29380</v>
      </c>
      <c r="H4461" t="s">
        <v>29389</v>
      </c>
      <c r="I4461" t="s">
        <v>10408</v>
      </c>
      <c r="J4461" t="s">
        <v>32350</v>
      </c>
      <c r="K4461" t="s">
        <v>38496</v>
      </c>
      <c r="M4461" t="s">
        <v>40220</v>
      </c>
      <c r="N4461" t="s">
        <v>42669</v>
      </c>
      <c r="O4461" t="s">
        <v>42670</v>
      </c>
      <c r="P4461">
        <v>0</v>
      </c>
      <c r="Q4461">
        <v>1</v>
      </c>
      <c r="R4461" t="s">
        <v>42676</v>
      </c>
      <c r="S4461" t="s">
        <v>42809</v>
      </c>
      <c r="T4461" t="s">
        <v>44587</v>
      </c>
      <c r="U4461" t="s">
        <v>47960</v>
      </c>
      <c r="V4461" t="s">
        <v>56843</v>
      </c>
      <c r="W4461" t="s">
        <v>40220</v>
      </c>
      <c r="X4461" t="s">
        <v>42677</v>
      </c>
    </row>
    <row r="4462" spans="1:24">
      <c r="A4462">
        <f>HYPERLINK("https://www.philgeps.gov.ph/GEPSNONPILOT/Tender/SplashBidNoticeAbstractUI.aspx?menuIndex=3&amp;refID=7188134&amp;Result=3","7188134")</f>
        <v>0</v>
      </c>
      <c r="B4462" t="s">
        <v>927</v>
      </c>
      <c r="C4462" t="s">
        <v>7797</v>
      </c>
      <c r="D4462" t="s">
        <v>17225</v>
      </c>
      <c r="E4462" t="s">
        <v>21126</v>
      </c>
      <c r="F4462" t="s">
        <v>29372</v>
      </c>
      <c r="G4462" t="s">
        <v>29380</v>
      </c>
      <c r="H4462" t="s">
        <v>11048</v>
      </c>
      <c r="I4462" t="s">
        <v>4709</v>
      </c>
      <c r="J4462" t="s">
        <v>32480</v>
      </c>
      <c r="K4462" t="s">
        <v>38510</v>
      </c>
      <c r="M4462" t="s">
        <v>39722</v>
      </c>
      <c r="N4462" t="s">
        <v>42669</v>
      </c>
      <c r="O4462" t="s">
        <v>42670</v>
      </c>
      <c r="P4462">
        <v>0</v>
      </c>
      <c r="Q4462">
        <v>0</v>
      </c>
      <c r="R4462" t="s">
        <v>42676</v>
      </c>
      <c r="S4462" t="s">
        <v>42809</v>
      </c>
      <c r="T4462" t="s">
        <v>44542</v>
      </c>
      <c r="U4462" t="s">
        <v>47813</v>
      </c>
      <c r="V4462" t="s">
        <v>56690</v>
      </c>
      <c r="W4462" t="s">
        <v>39722</v>
      </c>
      <c r="X4462" t="s">
        <v>42677</v>
      </c>
    </row>
    <row r="4463" spans="1:24">
      <c r="A4463">
        <f>HYPERLINK("https://www.philgeps.gov.ph/GEPSNONPILOT/Tender/SplashBidNoticeAbstractUI.aspx?menuIndex=3&amp;refID=7188157&amp;Result=3","7188157")</f>
        <v>0</v>
      </c>
      <c r="B4463" t="s">
        <v>1609</v>
      </c>
      <c r="C4463" t="s">
        <v>7798</v>
      </c>
      <c r="E4463" t="s">
        <v>21127</v>
      </c>
      <c r="F4463" t="s">
        <v>29372</v>
      </c>
      <c r="G4463" t="s">
        <v>29380</v>
      </c>
      <c r="H4463" t="s">
        <v>29389</v>
      </c>
      <c r="I4463" t="s">
        <v>29398</v>
      </c>
      <c r="J4463" t="s">
        <v>32481</v>
      </c>
      <c r="K4463" t="s">
        <v>38490</v>
      </c>
      <c r="M4463" t="s">
        <v>40462</v>
      </c>
      <c r="N4463" t="s">
        <v>42669</v>
      </c>
      <c r="O4463" t="s">
        <v>42670</v>
      </c>
      <c r="P4463">
        <v>0</v>
      </c>
      <c r="Q4463">
        <v>2</v>
      </c>
      <c r="R4463" t="s">
        <v>42676</v>
      </c>
      <c r="S4463" t="s">
        <v>42809</v>
      </c>
      <c r="T4463" t="s">
        <v>44631</v>
      </c>
      <c r="U4463" t="s">
        <v>48469</v>
      </c>
      <c r="W4463" t="s">
        <v>40462</v>
      </c>
      <c r="X4463" t="s">
        <v>42677</v>
      </c>
    </row>
    <row r="4464" spans="1:24">
      <c r="A4464">
        <f>HYPERLINK("https://www.philgeps.gov.ph/GEPSNONPILOT/Tender/SplashBidNoticeAbstractUI.aspx?menuIndex=3&amp;refID=7188171&amp;Result=3","7188171")</f>
        <v>0</v>
      </c>
      <c r="B4464" t="s">
        <v>927</v>
      </c>
      <c r="C4464" t="s">
        <v>7799</v>
      </c>
      <c r="D4464" t="s">
        <v>17225</v>
      </c>
      <c r="E4464" t="s">
        <v>21128</v>
      </c>
      <c r="F4464" t="s">
        <v>29372</v>
      </c>
      <c r="G4464" t="s">
        <v>29380</v>
      </c>
      <c r="H4464" t="s">
        <v>11048</v>
      </c>
      <c r="I4464" t="s">
        <v>4709</v>
      </c>
      <c r="J4464" t="s">
        <v>32482</v>
      </c>
      <c r="K4464" t="s">
        <v>38510</v>
      </c>
      <c r="M4464" t="s">
        <v>39722</v>
      </c>
      <c r="N4464" t="s">
        <v>42669</v>
      </c>
      <c r="O4464" t="s">
        <v>42670</v>
      </c>
      <c r="P4464">
        <v>0</v>
      </c>
      <c r="Q4464">
        <v>0</v>
      </c>
      <c r="R4464" t="s">
        <v>42676</v>
      </c>
      <c r="S4464" t="s">
        <v>42809</v>
      </c>
      <c r="T4464" t="s">
        <v>44542</v>
      </c>
      <c r="U4464" t="s">
        <v>47813</v>
      </c>
      <c r="V4464" t="s">
        <v>56690</v>
      </c>
      <c r="W4464" t="s">
        <v>39722</v>
      </c>
      <c r="X4464" t="s">
        <v>42677</v>
      </c>
    </row>
    <row r="4465" spans="1:24">
      <c r="A4465">
        <f>HYPERLINK("https://www.philgeps.gov.ph/GEPSNONPILOT/Tender/SplashBidNoticeAbstractUI.aspx?menuIndex=3&amp;refID=7188164&amp;Result=3","7188164")</f>
        <v>0</v>
      </c>
      <c r="B4465" t="s">
        <v>1610</v>
      </c>
      <c r="C4465" t="s">
        <v>7800</v>
      </c>
      <c r="D4465" t="s">
        <v>17178</v>
      </c>
      <c r="E4465" t="s">
        <v>21129</v>
      </c>
      <c r="F4465" t="s">
        <v>29372</v>
      </c>
      <c r="G4465" t="s">
        <v>29383</v>
      </c>
      <c r="H4465" t="s">
        <v>11048</v>
      </c>
      <c r="I4465" t="s">
        <v>29393</v>
      </c>
      <c r="J4465" t="s">
        <v>32483</v>
      </c>
      <c r="K4465" t="s">
        <v>38485</v>
      </c>
      <c r="M4465" t="s">
        <v>40463</v>
      </c>
      <c r="N4465" t="s">
        <v>42669</v>
      </c>
      <c r="O4465" t="s">
        <v>42670</v>
      </c>
      <c r="P4465">
        <v>0</v>
      </c>
      <c r="Q4465">
        <v>0</v>
      </c>
      <c r="R4465" t="s">
        <v>42676</v>
      </c>
      <c r="S4465" t="s">
        <v>42809</v>
      </c>
      <c r="T4465" t="s">
        <v>44387</v>
      </c>
      <c r="U4465" t="s">
        <v>48470</v>
      </c>
      <c r="W4465" t="s">
        <v>40463</v>
      </c>
      <c r="X4465" t="s">
        <v>42677</v>
      </c>
    </row>
    <row r="4466" spans="1:24">
      <c r="A4466">
        <f>HYPERLINK("https://www.philgeps.gov.ph/GEPSNONPILOT/Tender/SplashBidNoticeAbstractUI.aspx?menuIndex=3&amp;refID=7188176&amp;Result=3","7188176")</f>
        <v>0</v>
      </c>
      <c r="B4466" t="s">
        <v>1610</v>
      </c>
      <c r="C4466" t="s">
        <v>7801</v>
      </c>
      <c r="D4466" t="s">
        <v>17178</v>
      </c>
      <c r="E4466" t="s">
        <v>21130</v>
      </c>
      <c r="F4466" t="s">
        <v>29372</v>
      </c>
      <c r="G4466" t="s">
        <v>29380</v>
      </c>
      <c r="H4466" t="s">
        <v>11048</v>
      </c>
      <c r="I4466" t="s">
        <v>14920</v>
      </c>
      <c r="J4466" t="s">
        <v>32484</v>
      </c>
      <c r="K4466" t="s">
        <v>38485</v>
      </c>
      <c r="M4466" t="s">
        <v>40463</v>
      </c>
      <c r="N4466" t="s">
        <v>42669</v>
      </c>
      <c r="O4466" t="s">
        <v>42670</v>
      </c>
      <c r="P4466">
        <v>0</v>
      </c>
      <c r="Q4466">
        <v>0</v>
      </c>
      <c r="R4466" t="s">
        <v>42676</v>
      </c>
      <c r="S4466" t="s">
        <v>42809</v>
      </c>
      <c r="T4466" t="s">
        <v>44434</v>
      </c>
      <c r="U4466" t="s">
        <v>48471</v>
      </c>
      <c r="W4466" t="s">
        <v>40463</v>
      </c>
      <c r="X4466" t="s">
        <v>42677</v>
      </c>
    </row>
    <row r="4467" spans="1:24">
      <c r="A4467">
        <f>HYPERLINK("https://www.philgeps.gov.ph/GEPSNONPILOT/Tender/SplashBidNoticeAbstractUI.aspx?menuIndex=3&amp;refID=7188160&amp;Result=3","7188160")</f>
        <v>0</v>
      </c>
      <c r="B4467" t="s">
        <v>1611</v>
      </c>
      <c r="C4467" t="s">
        <v>7802</v>
      </c>
      <c r="D4467" t="s">
        <v>17141</v>
      </c>
      <c r="E4467" t="s">
        <v>21131</v>
      </c>
      <c r="F4467" t="s">
        <v>29372</v>
      </c>
      <c r="G4467" t="s">
        <v>29379</v>
      </c>
      <c r="H4467" t="s">
        <v>11048</v>
      </c>
      <c r="I4467" t="s">
        <v>29485</v>
      </c>
      <c r="J4467" t="s">
        <v>29532</v>
      </c>
      <c r="K4467" t="s">
        <v>38538</v>
      </c>
      <c r="M4467" t="s">
        <v>40464</v>
      </c>
      <c r="N4467" t="s">
        <v>42669</v>
      </c>
      <c r="O4467" t="s">
        <v>42670</v>
      </c>
      <c r="P4467">
        <v>0</v>
      </c>
      <c r="Q4467">
        <v>2</v>
      </c>
      <c r="R4467" t="s">
        <v>42676</v>
      </c>
      <c r="S4467" t="s">
        <v>42809</v>
      </c>
      <c r="T4467" t="s">
        <v>44454</v>
      </c>
      <c r="U4467" t="s">
        <v>48472</v>
      </c>
      <c r="W4467" t="s">
        <v>40464</v>
      </c>
      <c r="X4467" t="s">
        <v>42677</v>
      </c>
    </row>
    <row r="4468" spans="1:24">
      <c r="A4468">
        <f>HYPERLINK("https://www.philgeps.gov.ph/GEPSNONPILOT/Tender/SplashBidNoticeAbstractUI.aspx?menuIndex=3&amp;refID=7188150&amp;Result=3","7188150")</f>
        <v>0</v>
      </c>
      <c r="B4468" t="s">
        <v>1612</v>
      </c>
      <c r="C4468" t="s">
        <v>7803</v>
      </c>
      <c r="D4468" t="s">
        <v>17153</v>
      </c>
      <c r="E4468" t="s">
        <v>21132</v>
      </c>
      <c r="F4468" t="s">
        <v>29372</v>
      </c>
      <c r="G4468" t="s">
        <v>29383</v>
      </c>
      <c r="H4468" t="s">
        <v>11048</v>
      </c>
      <c r="I4468" t="s">
        <v>3839</v>
      </c>
      <c r="J4468" t="s">
        <v>32485</v>
      </c>
      <c r="K4468" t="s">
        <v>38487</v>
      </c>
      <c r="M4468" t="s">
        <v>40465</v>
      </c>
      <c r="N4468" t="s">
        <v>42669</v>
      </c>
      <c r="O4468" t="s">
        <v>42670</v>
      </c>
      <c r="P4468">
        <v>0</v>
      </c>
      <c r="Q4468">
        <v>0</v>
      </c>
      <c r="R4468" t="s">
        <v>42676</v>
      </c>
      <c r="S4468" t="s">
        <v>42809</v>
      </c>
      <c r="T4468" t="s">
        <v>44371</v>
      </c>
      <c r="U4468" t="s">
        <v>48473</v>
      </c>
      <c r="W4468" t="s">
        <v>40465</v>
      </c>
      <c r="X4468" t="s">
        <v>42677</v>
      </c>
    </row>
    <row r="4469" spans="1:24">
      <c r="A4469">
        <f>HYPERLINK("https://www.philgeps.gov.ph/GEPSNONPILOT/Tender/SplashBidNoticeAbstractUI.aspx?menuIndex=3&amp;refID=7188158&amp;Result=3","7188158")</f>
        <v>0</v>
      </c>
      <c r="B4469" t="s">
        <v>1359</v>
      </c>
      <c r="C4469" t="s">
        <v>7804</v>
      </c>
      <c r="D4469" t="s">
        <v>17172</v>
      </c>
      <c r="E4469" t="s">
        <v>21133</v>
      </c>
      <c r="F4469" t="s">
        <v>29372</v>
      </c>
      <c r="G4469" t="s">
        <v>29380</v>
      </c>
      <c r="H4469" t="s">
        <v>29389</v>
      </c>
      <c r="I4469" t="s">
        <v>10408</v>
      </c>
      <c r="J4469" t="s">
        <v>32486</v>
      </c>
      <c r="K4469" t="s">
        <v>38636</v>
      </c>
      <c r="M4469" t="s">
        <v>40196</v>
      </c>
      <c r="N4469" t="s">
        <v>42669</v>
      </c>
      <c r="O4469" t="s">
        <v>42670</v>
      </c>
      <c r="Q4469">
        <v>0</v>
      </c>
      <c r="R4469" t="s">
        <v>42676</v>
      </c>
      <c r="S4469" t="s">
        <v>42818</v>
      </c>
      <c r="T4469" t="s">
        <v>44368</v>
      </c>
      <c r="U4469" t="s">
        <v>48474</v>
      </c>
      <c r="V4469" t="s">
        <v>56821</v>
      </c>
      <c r="W4469" t="s">
        <v>40196</v>
      </c>
      <c r="X4469" t="s">
        <v>42677</v>
      </c>
    </row>
    <row r="4470" spans="1:24">
      <c r="A4470">
        <f>HYPERLINK("https://www.philgeps.gov.ph/GEPSNONPILOT/Tender/SplashBidNoticeAbstractUI.aspx?menuIndex=3&amp;refID=7188136&amp;Result=3","7188136")</f>
        <v>0</v>
      </c>
      <c r="B4470" t="s">
        <v>1613</v>
      </c>
      <c r="C4470" t="s">
        <v>7805</v>
      </c>
      <c r="D4470" t="s">
        <v>17151</v>
      </c>
      <c r="E4470" t="s">
        <v>19078</v>
      </c>
      <c r="F4470" t="s">
        <v>29372</v>
      </c>
      <c r="G4470" t="s">
        <v>29382</v>
      </c>
      <c r="H4470" t="s">
        <v>11048</v>
      </c>
      <c r="I4470" t="s">
        <v>29412</v>
      </c>
      <c r="J4470" t="s">
        <v>32487</v>
      </c>
      <c r="K4470" t="s">
        <v>38491</v>
      </c>
      <c r="M4470" t="s">
        <v>40466</v>
      </c>
      <c r="N4470" t="s">
        <v>42669</v>
      </c>
      <c r="O4470" t="s">
        <v>42670</v>
      </c>
      <c r="P4470">
        <v>0</v>
      </c>
      <c r="Q4470">
        <v>0</v>
      </c>
      <c r="R4470" t="s">
        <v>42676</v>
      </c>
      <c r="S4470" t="s">
        <v>42809</v>
      </c>
      <c r="T4470" t="s">
        <v>44488</v>
      </c>
      <c r="U4470" t="s">
        <v>48475</v>
      </c>
      <c r="W4470" t="s">
        <v>40466</v>
      </c>
      <c r="X4470" t="s">
        <v>42677</v>
      </c>
    </row>
    <row r="4471" spans="1:24">
      <c r="A4471">
        <f>HYPERLINK("https://www.philgeps.gov.ph/GEPSNONPILOT/Tender/SplashBidNoticeAbstractUI.aspx?menuIndex=3&amp;refID=7188192&amp;Result=3","7188192")</f>
        <v>0</v>
      </c>
      <c r="B4471" t="s">
        <v>1614</v>
      </c>
      <c r="C4471" t="s">
        <v>7806</v>
      </c>
      <c r="D4471" t="s">
        <v>17197</v>
      </c>
      <c r="E4471" t="s">
        <v>20696</v>
      </c>
      <c r="F4471" t="s">
        <v>29372</v>
      </c>
      <c r="G4471" t="s">
        <v>29379</v>
      </c>
      <c r="H4471" t="s">
        <v>11048</v>
      </c>
      <c r="I4471" t="s">
        <v>4709</v>
      </c>
      <c r="J4471" t="s">
        <v>29625</v>
      </c>
      <c r="K4471" t="s">
        <v>38490</v>
      </c>
      <c r="M4471" t="s">
        <v>40467</v>
      </c>
      <c r="N4471" t="s">
        <v>42669</v>
      </c>
      <c r="O4471" t="s">
        <v>42670</v>
      </c>
      <c r="P4471">
        <v>0</v>
      </c>
      <c r="Q4471">
        <v>0</v>
      </c>
      <c r="R4471" t="s">
        <v>42676</v>
      </c>
      <c r="S4471" t="s">
        <v>42809</v>
      </c>
      <c r="T4471" t="s">
        <v>44481</v>
      </c>
      <c r="U4471" t="s">
        <v>48476</v>
      </c>
      <c r="W4471" t="s">
        <v>40467</v>
      </c>
      <c r="X4471" t="s">
        <v>42677</v>
      </c>
    </row>
    <row r="4472" spans="1:24">
      <c r="A4472">
        <f>HYPERLINK("https://www.philgeps.gov.ph/GEPSNONPILOT/Tender/SplashBidNoticeAbstractUI.aspx?menuIndex=3&amp;refID=7188187&amp;Result=3","7188187")</f>
        <v>0</v>
      </c>
      <c r="B4472" t="s">
        <v>1383</v>
      </c>
      <c r="C4472" t="s">
        <v>7807</v>
      </c>
      <c r="D4472" t="s">
        <v>17169</v>
      </c>
      <c r="E4472" t="s">
        <v>20592</v>
      </c>
      <c r="F4472" t="s">
        <v>29372</v>
      </c>
      <c r="G4472" t="s">
        <v>29380</v>
      </c>
      <c r="H4472" t="s">
        <v>29389</v>
      </c>
      <c r="I4472" t="s">
        <v>10408</v>
      </c>
      <c r="J4472" t="s">
        <v>32120</v>
      </c>
      <c r="K4472" t="s">
        <v>38495</v>
      </c>
      <c r="M4472" t="s">
        <v>40220</v>
      </c>
      <c r="N4472" t="s">
        <v>42669</v>
      </c>
      <c r="O4472" t="s">
        <v>42670</v>
      </c>
      <c r="P4472">
        <v>0</v>
      </c>
      <c r="Q4472">
        <v>1</v>
      </c>
      <c r="R4472" t="s">
        <v>42676</v>
      </c>
      <c r="S4472" t="s">
        <v>42809</v>
      </c>
      <c r="T4472" t="s">
        <v>44587</v>
      </c>
      <c r="U4472" t="s">
        <v>47960</v>
      </c>
      <c r="V4472" t="s">
        <v>56844</v>
      </c>
      <c r="W4472" t="s">
        <v>40220</v>
      </c>
      <c r="X4472" t="s">
        <v>42677</v>
      </c>
    </row>
    <row r="4473" spans="1:24">
      <c r="A4473">
        <f>HYPERLINK("https://www.philgeps.gov.ph/GEPSNONPILOT/Tender/SplashBidNoticeAbstractUI.aspx?menuIndex=3&amp;refID=7188163&amp;Result=3","7188163")</f>
        <v>0</v>
      </c>
      <c r="B4473" t="s">
        <v>927</v>
      </c>
      <c r="C4473" t="s">
        <v>7808</v>
      </c>
      <c r="D4473" t="s">
        <v>17225</v>
      </c>
      <c r="E4473" t="s">
        <v>21134</v>
      </c>
      <c r="F4473" t="s">
        <v>29372</v>
      </c>
      <c r="G4473" t="s">
        <v>29380</v>
      </c>
      <c r="H4473" t="s">
        <v>11048</v>
      </c>
      <c r="I4473" t="s">
        <v>4709</v>
      </c>
      <c r="J4473" t="s">
        <v>32488</v>
      </c>
      <c r="K4473" t="s">
        <v>38510</v>
      </c>
      <c r="M4473" t="s">
        <v>39722</v>
      </c>
      <c r="N4473" t="s">
        <v>42669</v>
      </c>
      <c r="O4473" t="s">
        <v>42670</v>
      </c>
      <c r="P4473">
        <v>0</v>
      </c>
      <c r="Q4473">
        <v>0</v>
      </c>
      <c r="R4473" t="s">
        <v>42676</v>
      </c>
      <c r="S4473" t="s">
        <v>42809</v>
      </c>
      <c r="T4473" t="s">
        <v>44542</v>
      </c>
      <c r="U4473" t="s">
        <v>47813</v>
      </c>
      <c r="V4473" t="s">
        <v>56690</v>
      </c>
      <c r="W4473" t="s">
        <v>39722</v>
      </c>
      <c r="X4473" t="s">
        <v>42677</v>
      </c>
    </row>
    <row r="4474" spans="1:24">
      <c r="A4474">
        <f>HYPERLINK("https://www.philgeps.gov.ph/GEPSNONPILOT/Tender/SplashBidNoticeAbstractUI.aspx?menuIndex=3&amp;refID=7188182&amp;Result=3","7188182")</f>
        <v>0</v>
      </c>
      <c r="B4474" t="s">
        <v>1615</v>
      </c>
      <c r="C4474" t="s">
        <v>7809</v>
      </c>
      <c r="D4474" t="s">
        <v>17170</v>
      </c>
      <c r="E4474" t="s">
        <v>18689</v>
      </c>
      <c r="F4474" t="s">
        <v>29372</v>
      </c>
      <c r="G4474" t="s">
        <v>29383</v>
      </c>
      <c r="H4474" t="s">
        <v>11048</v>
      </c>
      <c r="I4474" t="s">
        <v>4486</v>
      </c>
      <c r="J4474" t="s">
        <v>29571</v>
      </c>
      <c r="K4474" t="s">
        <v>38490</v>
      </c>
      <c r="M4474" t="s">
        <v>40468</v>
      </c>
      <c r="N4474" t="s">
        <v>42669</v>
      </c>
      <c r="O4474" t="s">
        <v>42670</v>
      </c>
      <c r="P4474">
        <v>0</v>
      </c>
      <c r="Q4474">
        <v>2</v>
      </c>
      <c r="R4474" t="s">
        <v>42676</v>
      </c>
      <c r="S4474" t="s">
        <v>42809</v>
      </c>
      <c r="T4474" t="s">
        <v>44491</v>
      </c>
      <c r="U4474" t="s">
        <v>48477</v>
      </c>
      <c r="W4474" t="s">
        <v>40468</v>
      </c>
      <c r="X4474" t="s">
        <v>42677</v>
      </c>
    </row>
    <row r="4475" spans="1:24">
      <c r="A4475">
        <f>HYPERLINK("https://www.philgeps.gov.ph/GEPSNONPILOT/Tender/SplashBidNoticeAbstractUI.aspx?menuIndex=3&amp;refID=7188195&amp;Result=3","7188195")</f>
        <v>0</v>
      </c>
      <c r="B4475" t="s">
        <v>1383</v>
      </c>
      <c r="C4475" t="s">
        <v>7810</v>
      </c>
      <c r="D4475" t="s">
        <v>17169</v>
      </c>
      <c r="E4475" t="s">
        <v>20592</v>
      </c>
      <c r="F4475" t="s">
        <v>29372</v>
      </c>
      <c r="G4475" t="s">
        <v>29380</v>
      </c>
      <c r="H4475" t="s">
        <v>29389</v>
      </c>
      <c r="I4475" t="s">
        <v>10408</v>
      </c>
      <c r="J4475" t="s">
        <v>29543</v>
      </c>
      <c r="K4475" t="s">
        <v>38496</v>
      </c>
      <c r="M4475" t="s">
        <v>40220</v>
      </c>
      <c r="N4475" t="s">
        <v>42669</v>
      </c>
      <c r="O4475" t="s">
        <v>42670</v>
      </c>
      <c r="P4475">
        <v>0</v>
      </c>
      <c r="Q4475">
        <v>0</v>
      </c>
      <c r="R4475" t="s">
        <v>42676</v>
      </c>
      <c r="S4475" t="s">
        <v>42809</v>
      </c>
      <c r="T4475" t="s">
        <v>44587</v>
      </c>
      <c r="U4475" t="s">
        <v>47960</v>
      </c>
      <c r="V4475" t="s">
        <v>56845</v>
      </c>
      <c r="W4475" t="s">
        <v>40220</v>
      </c>
      <c r="X4475" t="s">
        <v>42677</v>
      </c>
    </row>
    <row r="4476" spans="1:24">
      <c r="A4476">
        <f>HYPERLINK("https://www.philgeps.gov.ph/GEPSNONPILOT/Tender/SplashBidNoticeAbstractUI.aspx?menuIndex=3&amp;refID=7188179&amp;Result=3","7188179")</f>
        <v>0</v>
      </c>
      <c r="B4476" t="s">
        <v>1383</v>
      </c>
      <c r="C4476" t="s">
        <v>7811</v>
      </c>
      <c r="D4476" t="s">
        <v>17169</v>
      </c>
      <c r="E4476" t="s">
        <v>20592</v>
      </c>
      <c r="F4476" t="s">
        <v>29372</v>
      </c>
      <c r="G4476" t="s">
        <v>29380</v>
      </c>
      <c r="H4476" t="s">
        <v>29389</v>
      </c>
      <c r="I4476" t="s">
        <v>10408</v>
      </c>
      <c r="J4476" t="s">
        <v>32489</v>
      </c>
      <c r="K4476" t="s">
        <v>38496</v>
      </c>
      <c r="M4476" t="s">
        <v>40220</v>
      </c>
      <c r="N4476" t="s">
        <v>42669</v>
      </c>
      <c r="O4476" t="s">
        <v>42670</v>
      </c>
      <c r="P4476">
        <v>0</v>
      </c>
      <c r="Q4476">
        <v>1</v>
      </c>
      <c r="R4476" t="s">
        <v>42676</v>
      </c>
      <c r="S4476" t="s">
        <v>42809</v>
      </c>
      <c r="T4476" t="s">
        <v>44587</v>
      </c>
      <c r="U4476" t="s">
        <v>47960</v>
      </c>
      <c r="V4476" t="s">
        <v>56846</v>
      </c>
      <c r="W4476" t="s">
        <v>40220</v>
      </c>
      <c r="X4476" t="s">
        <v>42677</v>
      </c>
    </row>
    <row r="4477" spans="1:24">
      <c r="A4477">
        <f>HYPERLINK("https://www.philgeps.gov.ph/GEPSNONPILOT/Tender/SplashBidNoticeAbstractUI.aspx?menuIndex=3&amp;refID=7188177&amp;Result=3","7188177")</f>
        <v>0</v>
      </c>
      <c r="B4477" t="s">
        <v>1616</v>
      </c>
      <c r="C4477" t="s">
        <v>7812</v>
      </c>
      <c r="D4477" t="s">
        <v>17153</v>
      </c>
      <c r="E4477" t="s">
        <v>21135</v>
      </c>
      <c r="F4477" t="s">
        <v>29372</v>
      </c>
      <c r="G4477" t="s">
        <v>29382</v>
      </c>
      <c r="H4477" t="s">
        <v>11048</v>
      </c>
      <c r="I4477" t="s">
        <v>5383</v>
      </c>
      <c r="J4477" t="s">
        <v>29529</v>
      </c>
      <c r="K4477" t="s">
        <v>38489</v>
      </c>
      <c r="M4477" t="s">
        <v>40469</v>
      </c>
      <c r="N4477" t="s">
        <v>42669</v>
      </c>
      <c r="O4477" t="s">
        <v>42670</v>
      </c>
      <c r="P4477">
        <v>0</v>
      </c>
      <c r="Q4477">
        <v>0</v>
      </c>
      <c r="R4477" t="s">
        <v>42676</v>
      </c>
      <c r="S4477" t="s">
        <v>42809</v>
      </c>
      <c r="T4477" t="s">
        <v>44429</v>
      </c>
      <c r="U4477" t="s">
        <v>48478</v>
      </c>
      <c r="W4477" t="s">
        <v>40469</v>
      </c>
      <c r="X4477" t="s">
        <v>42677</v>
      </c>
    </row>
    <row r="4478" spans="1:24">
      <c r="A4478">
        <f>HYPERLINK("https://www.philgeps.gov.ph/GEPSNONPILOT/Tender/SplashBidNoticeAbstractUI.aspx?menuIndex=3&amp;refID=7188214&amp;Result=3","7188214")</f>
        <v>0</v>
      </c>
      <c r="B4478" t="s">
        <v>1586</v>
      </c>
      <c r="C4478" t="s">
        <v>7813</v>
      </c>
      <c r="D4478" t="s">
        <v>17143</v>
      </c>
      <c r="E4478" t="s">
        <v>21136</v>
      </c>
      <c r="F4478" t="s">
        <v>29372</v>
      </c>
      <c r="G4478" t="s">
        <v>29379</v>
      </c>
      <c r="H4478" t="s">
        <v>11048</v>
      </c>
      <c r="I4478" t="s">
        <v>14920</v>
      </c>
      <c r="J4478" t="s">
        <v>32490</v>
      </c>
      <c r="K4478" t="s">
        <v>38528</v>
      </c>
      <c r="M4478" t="s">
        <v>40437</v>
      </c>
      <c r="N4478" t="s">
        <v>42669</v>
      </c>
      <c r="O4478" t="s">
        <v>42670</v>
      </c>
      <c r="P4478">
        <v>0</v>
      </c>
      <c r="Q4478">
        <v>0</v>
      </c>
      <c r="R4478" t="s">
        <v>42676</v>
      </c>
      <c r="S4478" t="s">
        <v>42809</v>
      </c>
      <c r="T4478" t="s">
        <v>44491</v>
      </c>
      <c r="U4478" t="s">
        <v>48479</v>
      </c>
      <c r="W4478" t="s">
        <v>40437</v>
      </c>
      <c r="X4478" t="s">
        <v>42677</v>
      </c>
    </row>
    <row r="4479" spans="1:24">
      <c r="A4479">
        <f>HYPERLINK("https://www.philgeps.gov.ph/GEPSNONPILOT/Tender/SplashBidNoticeAbstractUI.aspx?menuIndex=3&amp;refID=7188184&amp;Result=3","7188184")</f>
        <v>0</v>
      </c>
      <c r="B4479" t="s">
        <v>1617</v>
      </c>
      <c r="C4479" t="s">
        <v>7814</v>
      </c>
      <c r="D4479" t="s">
        <v>17163</v>
      </c>
      <c r="E4479" t="s">
        <v>21137</v>
      </c>
      <c r="F4479" t="s">
        <v>29372</v>
      </c>
      <c r="G4479" t="s">
        <v>29380</v>
      </c>
      <c r="H4479" t="s">
        <v>11048</v>
      </c>
      <c r="I4479" t="s">
        <v>29433</v>
      </c>
      <c r="J4479" t="s">
        <v>29788</v>
      </c>
      <c r="K4479" t="s">
        <v>38490</v>
      </c>
      <c r="M4479" t="s">
        <v>40470</v>
      </c>
      <c r="N4479" t="s">
        <v>42669</v>
      </c>
      <c r="O4479" t="s">
        <v>42670</v>
      </c>
      <c r="P4479">
        <v>0</v>
      </c>
      <c r="Q4479">
        <v>7</v>
      </c>
      <c r="R4479" t="s">
        <v>42676</v>
      </c>
      <c r="S4479" t="s">
        <v>42809</v>
      </c>
      <c r="T4479" t="s">
        <v>44619</v>
      </c>
      <c r="U4479" t="s">
        <v>48480</v>
      </c>
      <c r="W4479" t="s">
        <v>40470</v>
      </c>
      <c r="X4479" t="s">
        <v>42677</v>
      </c>
    </row>
    <row r="4480" spans="1:24">
      <c r="A4480">
        <f>HYPERLINK("https://www.philgeps.gov.ph/GEPSNONPILOT/Tender/SplashBidNoticeAbstractUI.aspx?menuIndex=3&amp;refID=7188190&amp;Result=3","7188190")</f>
        <v>0</v>
      </c>
      <c r="B4480" t="s">
        <v>1383</v>
      </c>
      <c r="C4480" t="s">
        <v>7815</v>
      </c>
      <c r="D4480" t="s">
        <v>17169</v>
      </c>
      <c r="E4480" t="s">
        <v>20592</v>
      </c>
      <c r="F4480" t="s">
        <v>29372</v>
      </c>
      <c r="G4480" t="s">
        <v>29380</v>
      </c>
      <c r="H4480" t="s">
        <v>29389</v>
      </c>
      <c r="I4480" t="s">
        <v>10408</v>
      </c>
      <c r="J4480" t="s">
        <v>29801</v>
      </c>
      <c r="K4480" t="s">
        <v>38496</v>
      </c>
      <c r="M4480" t="s">
        <v>40220</v>
      </c>
      <c r="N4480" t="s">
        <v>42669</v>
      </c>
      <c r="O4480" t="s">
        <v>42670</v>
      </c>
      <c r="P4480">
        <v>0</v>
      </c>
      <c r="Q4480">
        <v>0</v>
      </c>
      <c r="R4480" t="s">
        <v>42676</v>
      </c>
      <c r="S4480" t="s">
        <v>42809</v>
      </c>
      <c r="T4480" t="s">
        <v>44587</v>
      </c>
      <c r="U4480" t="s">
        <v>47960</v>
      </c>
      <c r="V4480" t="s">
        <v>56847</v>
      </c>
      <c r="W4480" t="s">
        <v>40220</v>
      </c>
      <c r="X4480" t="s">
        <v>42677</v>
      </c>
    </row>
    <row r="4481" spans="1:24">
      <c r="A4481">
        <f>HYPERLINK("https://www.philgeps.gov.ph/GEPSNONPILOT/Tender/SplashBidNoticeAbstractUI.aspx?menuIndex=3&amp;refID=7188178&amp;Result=3","7188178")</f>
        <v>0</v>
      </c>
      <c r="B4481" t="s">
        <v>1618</v>
      </c>
      <c r="C4481" t="s">
        <v>7816</v>
      </c>
      <c r="D4481" t="s">
        <v>17153</v>
      </c>
      <c r="E4481" t="s">
        <v>21138</v>
      </c>
      <c r="F4481" t="s">
        <v>29372</v>
      </c>
      <c r="G4481" t="s">
        <v>29379</v>
      </c>
      <c r="H4481" t="s">
        <v>11048</v>
      </c>
      <c r="I4481" t="s">
        <v>8208</v>
      </c>
      <c r="J4481" t="s">
        <v>30440</v>
      </c>
      <c r="K4481" t="s">
        <v>38489</v>
      </c>
      <c r="M4481" t="s">
        <v>40471</v>
      </c>
      <c r="N4481" t="s">
        <v>42669</v>
      </c>
      <c r="O4481" t="s">
        <v>42670</v>
      </c>
      <c r="P4481">
        <v>0</v>
      </c>
      <c r="Q4481">
        <v>0</v>
      </c>
      <c r="R4481" t="s">
        <v>42676</v>
      </c>
      <c r="S4481" t="s">
        <v>42809</v>
      </c>
      <c r="T4481" t="s">
        <v>44429</v>
      </c>
      <c r="U4481" t="s">
        <v>48481</v>
      </c>
      <c r="W4481" t="s">
        <v>40471</v>
      </c>
      <c r="X4481" t="s">
        <v>42677</v>
      </c>
    </row>
    <row r="4482" spans="1:24">
      <c r="A4482">
        <f>HYPERLINK("https://www.philgeps.gov.ph/GEPSNONPILOT/Tender/SplashBidNoticeAbstractUI.aspx?menuIndex=3&amp;refID=7188175&amp;Result=3","7188175")</f>
        <v>0</v>
      </c>
      <c r="B4482" t="s">
        <v>1614</v>
      </c>
      <c r="C4482" t="s">
        <v>7817</v>
      </c>
      <c r="D4482" t="s">
        <v>17197</v>
      </c>
      <c r="E4482" t="s">
        <v>20669</v>
      </c>
      <c r="F4482" t="s">
        <v>29372</v>
      </c>
      <c r="G4482" t="s">
        <v>29379</v>
      </c>
      <c r="H4482" t="s">
        <v>11048</v>
      </c>
      <c r="I4482" t="s">
        <v>4709</v>
      </c>
      <c r="J4482" t="s">
        <v>29929</v>
      </c>
      <c r="K4482" t="s">
        <v>38490</v>
      </c>
      <c r="M4482" t="s">
        <v>40467</v>
      </c>
      <c r="N4482" t="s">
        <v>42669</v>
      </c>
      <c r="O4482" t="s">
        <v>42670</v>
      </c>
      <c r="P4482">
        <v>0</v>
      </c>
      <c r="Q4482">
        <v>0</v>
      </c>
      <c r="R4482" t="s">
        <v>42676</v>
      </c>
      <c r="S4482" t="s">
        <v>42809</v>
      </c>
      <c r="T4482" t="s">
        <v>44425</v>
      </c>
      <c r="U4482" t="s">
        <v>48476</v>
      </c>
      <c r="W4482" t="s">
        <v>40467</v>
      </c>
      <c r="X4482" t="s">
        <v>42677</v>
      </c>
    </row>
    <row r="4483" spans="1:24">
      <c r="A4483">
        <f>HYPERLINK("https://www.philgeps.gov.ph/GEPSNONPILOT/Tender/SplashBidNoticeAbstractUI.aspx?menuIndex=3&amp;refID=7188208&amp;Result=3","7188208")</f>
        <v>0</v>
      </c>
      <c r="B4483" t="s">
        <v>1524</v>
      </c>
      <c r="C4483" t="s">
        <v>7818</v>
      </c>
      <c r="D4483" t="s">
        <v>17194</v>
      </c>
      <c r="E4483" t="s">
        <v>21139</v>
      </c>
      <c r="F4483" t="s">
        <v>29372</v>
      </c>
      <c r="G4483" t="s">
        <v>29380</v>
      </c>
      <c r="H4483" t="s">
        <v>11048</v>
      </c>
      <c r="I4483" t="s">
        <v>4709</v>
      </c>
      <c r="J4483" t="s">
        <v>32491</v>
      </c>
      <c r="K4483" t="s">
        <v>38491</v>
      </c>
      <c r="M4483" t="s">
        <v>40371</v>
      </c>
      <c r="N4483" t="s">
        <v>42669</v>
      </c>
      <c r="O4483" t="s">
        <v>42670</v>
      </c>
      <c r="P4483">
        <v>0</v>
      </c>
      <c r="Q4483">
        <v>0</v>
      </c>
      <c r="R4483" t="s">
        <v>42676</v>
      </c>
      <c r="S4483" t="s">
        <v>42809</v>
      </c>
      <c r="T4483" t="s">
        <v>44386</v>
      </c>
      <c r="U4483" t="s">
        <v>48482</v>
      </c>
      <c r="W4483" t="s">
        <v>40371</v>
      </c>
      <c r="X4483" t="s">
        <v>42677</v>
      </c>
    </row>
    <row r="4484" spans="1:24">
      <c r="A4484">
        <f>HYPERLINK("https://www.philgeps.gov.ph/GEPSNONPILOT/Tender/SplashBidNoticeAbstractUI.aspx?menuIndex=3&amp;refID=7188205&amp;Result=3","7188205")</f>
        <v>0</v>
      </c>
      <c r="B4484" t="s">
        <v>1599</v>
      </c>
      <c r="C4484" t="s">
        <v>7819</v>
      </c>
      <c r="D4484" t="s">
        <v>17158</v>
      </c>
      <c r="E4484" t="s">
        <v>21140</v>
      </c>
      <c r="F4484" t="s">
        <v>29372</v>
      </c>
      <c r="G4484" t="s">
        <v>29380</v>
      </c>
      <c r="H4484" t="s">
        <v>29389</v>
      </c>
      <c r="I4484" t="s">
        <v>10408</v>
      </c>
      <c r="J4484" t="s">
        <v>32492</v>
      </c>
      <c r="K4484" t="s">
        <v>38523</v>
      </c>
      <c r="M4484" t="s">
        <v>40452</v>
      </c>
      <c r="N4484" t="s">
        <v>42669</v>
      </c>
      <c r="O4484" t="s">
        <v>42670</v>
      </c>
      <c r="P4484">
        <v>0</v>
      </c>
      <c r="Q4484">
        <v>0</v>
      </c>
      <c r="R4484" t="s">
        <v>42676</v>
      </c>
      <c r="S4484" t="s">
        <v>42809</v>
      </c>
      <c r="T4484" t="s">
        <v>44368</v>
      </c>
      <c r="U4484" t="s">
        <v>48483</v>
      </c>
      <c r="V4484" t="s">
        <v>56848</v>
      </c>
      <c r="W4484" t="s">
        <v>40452</v>
      </c>
      <c r="X4484" t="s">
        <v>42677</v>
      </c>
    </row>
    <row r="4485" spans="1:24">
      <c r="A4485">
        <f>HYPERLINK("https://www.philgeps.gov.ph/GEPSNONPILOT/Tender/SplashBidNoticeAbstractUI.aspx?menuIndex=3&amp;refID=7188203&amp;Result=3","7188203")</f>
        <v>0</v>
      </c>
      <c r="B4485" t="s">
        <v>1619</v>
      </c>
      <c r="C4485" t="s">
        <v>7820</v>
      </c>
      <c r="D4485" t="s">
        <v>17180</v>
      </c>
      <c r="E4485" t="s">
        <v>21141</v>
      </c>
      <c r="F4485" t="s">
        <v>29372</v>
      </c>
      <c r="G4485" t="s">
        <v>29380</v>
      </c>
      <c r="H4485" t="s">
        <v>11048</v>
      </c>
      <c r="I4485" t="s">
        <v>4709</v>
      </c>
      <c r="J4485" t="s">
        <v>32493</v>
      </c>
      <c r="K4485" t="s">
        <v>38538</v>
      </c>
      <c r="M4485" t="s">
        <v>40472</v>
      </c>
      <c r="N4485" t="s">
        <v>42669</v>
      </c>
      <c r="O4485" t="s">
        <v>42670</v>
      </c>
      <c r="P4485">
        <v>0</v>
      </c>
      <c r="Q4485">
        <v>1</v>
      </c>
      <c r="R4485" t="s">
        <v>42676</v>
      </c>
      <c r="S4485" t="s">
        <v>42809</v>
      </c>
      <c r="T4485" t="s">
        <v>44394</v>
      </c>
      <c r="U4485" t="s">
        <v>48484</v>
      </c>
      <c r="W4485" t="s">
        <v>40472</v>
      </c>
      <c r="X4485" t="s">
        <v>42677</v>
      </c>
    </row>
    <row r="4486" spans="1:24">
      <c r="A4486">
        <f>HYPERLINK("https://www.philgeps.gov.ph/GEPSNONPILOT/Tender/SplashBidNoticeAbstractUI.aspx?menuIndex=3&amp;refID=7188201&amp;Result=3","7188201")</f>
        <v>0</v>
      </c>
      <c r="B4486" t="s">
        <v>1171</v>
      </c>
      <c r="C4486" t="s">
        <v>7821</v>
      </c>
      <c r="D4486" t="s">
        <v>17166</v>
      </c>
      <c r="E4486" t="s">
        <v>21142</v>
      </c>
      <c r="F4486" t="s">
        <v>29372</v>
      </c>
      <c r="G4486" t="s">
        <v>29383</v>
      </c>
      <c r="H4486" t="s">
        <v>11048</v>
      </c>
      <c r="I4486" t="s">
        <v>29396</v>
      </c>
      <c r="J4486" t="s">
        <v>29571</v>
      </c>
      <c r="K4486" t="s">
        <v>38485</v>
      </c>
      <c r="M4486" t="s">
        <v>39986</v>
      </c>
      <c r="N4486" t="s">
        <v>42669</v>
      </c>
      <c r="O4486" t="s">
        <v>42670</v>
      </c>
      <c r="P4486">
        <v>0</v>
      </c>
      <c r="Q4486">
        <v>3</v>
      </c>
      <c r="R4486" t="s">
        <v>42676</v>
      </c>
      <c r="S4486" t="s">
        <v>42809</v>
      </c>
      <c r="T4486" t="s">
        <v>44549</v>
      </c>
      <c r="U4486" t="s">
        <v>48485</v>
      </c>
      <c r="W4486" t="s">
        <v>39986</v>
      </c>
      <c r="X4486" t="s">
        <v>42677</v>
      </c>
    </row>
    <row r="4487" spans="1:24">
      <c r="A4487">
        <f>HYPERLINK("https://www.philgeps.gov.ph/GEPSNONPILOT/Tender/SplashBidNoticeAbstractUI.aspx?menuIndex=3&amp;refID=7188200&amp;Result=3","7188200")</f>
        <v>0</v>
      </c>
      <c r="B4487" t="s">
        <v>1620</v>
      </c>
      <c r="C4487" t="s">
        <v>7822</v>
      </c>
      <c r="E4487" t="s">
        <v>21143</v>
      </c>
      <c r="F4487" t="s">
        <v>29372</v>
      </c>
      <c r="G4487" t="s">
        <v>29380</v>
      </c>
      <c r="H4487" t="s">
        <v>11048</v>
      </c>
      <c r="I4487" t="s">
        <v>14920</v>
      </c>
      <c r="J4487" t="s">
        <v>32494</v>
      </c>
      <c r="K4487" t="s">
        <v>38490</v>
      </c>
      <c r="M4487" t="s">
        <v>40473</v>
      </c>
      <c r="N4487" t="s">
        <v>42669</v>
      </c>
      <c r="O4487" t="s">
        <v>42670</v>
      </c>
      <c r="P4487">
        <v>0</v>
      </c>
      <c r="Q4487">
        <v>4</v>
      </c>
      <c r="R4487" t="s">
        <v>42676</v>
      </c>
      <c r="S4487" t="s">
        <v>42809</v>
      </c>
      <c r="T4487" t="s">
        <v>44504</v>
      </c>
      <c r="U4487" t="s">
        <v>48486</v>
      </c>
      <c r="V4487" t="s">
        <v>56849</v>
      </c>
      <c r="W4487" t="s">
        <v>40473</v>
      </c>
      <c r="X4487" t="s">
        <v>42677</v>
      </c>
    </row>
    <row r="4488" spans="1:24">
      <c r="A4488">
        <f>HYPERLINK("https://www.philgeps.gov.ph/GEPSNONPILOT/Tender/SplashBidNoticeAbstractUI.aspx?menuIndex=3&amp;refID=7188207&amp;Result=3","7188207")</f>
        <v>0</v>
      </c>
      <c r="B4488" t="s">
        <v>1383</v>
      </c>
      <c r="C4488" t="s">
        <v>7823</v>
      </c>
      <c r="D4488" t="s">
        <v>17169</v>
      </c>
      <c r="E4488" t="s">
        <v>20592</v>
      </c>
      <c r="F4488" t="s">
        <v>29372</v>
      </c>
      <c r="G4488" t="s">
        <v>29380</v>
      </c>
      <c r="H4488" t="s">
        <v>29389</v>
      </c>
      <c r="I4488" t="s">
        <v>10408</v>
      </c>
      <c r="J4488" t="s">
        <v>32495</v>
      </c>
      <c r="K4488" t="s">
        <v>38495</v>
      </c>
      <c r="M4488" t="s">
        <v>40220</v>
      </c>
      <c r="N4488" t="s">
        <v>42669</v>
      </c>
      <c r="O4488" t="s">
        <v>42670</v>
      </c>
      <c r="P4488">
        <v>0</v>
      </c>
      <c r="Q4488">
        <v>1</v>
      </c>
      <c r="R4488" t="s">
        <v>42676</v>
      </c>
      <c r="S4488" t="s">
        <v>42809</v>
      </c>
      <c r="T4488" t="s">
        <v>44587</v>
      </c>
      <c r="U4488" t="s">
        <v>47960</v>
      </c>
      <c r="V4488" t="s">
        <v>56850</v>
      </c>
      <c r="W4488" t="s">
        <v>40220</v>
      </c>
      <c r="X4488" t="s">
        <v>42677</v>
      </c>
    </row>
    <row r="4489" spans="1:24">
      <c r="A4489">
        <f>HYPERLINK("https://www.philgeps.gov.ph/GEPSNONPILOT/Tender/SplashBidNoticeAbstractUI.aspx?menuIndex=3&amp;refID=7188199&amp;Result=3","7188199")</f>
        <v>0</v>
      </c>
      <c r="B4489" t="s">
        <v>1383</v>
      </c>
      <c r="C4489" t="s">
        <v>7824</v>
      </c>
      <c r="D4489" t="s">
        <v>17169</v>
      </c>
      <c r="E4489" t="s">
        <v>20592</v>
      </c>
      <c r="F4489" t="s">
        <v>29372</v>
      </c>
      <c r="G4489" t="s">
        <v>29380</v>
      </c>
      <c r="H4489" t="s">
        <v>29389</v>
      </c>
      <c r="I4489" t="s">
        <v>10408</v>
      </c>
      <c r="J4489" t="s">
        <v>32496</v>
      </c>
      <c r="K4489" t="s">
        <v>38495</v>
      </c>
      <c r="M4489" t="s">
        <v>40220</v>
      </c>
      <c r="N4489" t="s">
        <v>42669</v>
      </c>
      <c r="O4489" t="s">
        <v>42670</v>
      </c>
      <c r="P4489">
        <v>0</v>
      </c>
      <c r="Q4489">
        <v>0</v>
      </c>
      <c r="R4489" t="s">
        <v>42676</v>
      </c>
      <c r="S4489" t="s">
        <v>42809</v>
      </c>
      <c r="T4489" t="s">
        <v>44587</v>
      </c>
      <c r="U4489" t="s">
        <v>47960</v>
      </c>
      <c r="V4489" t="s">
        <v>56851</v>
      </c>
      <c r="W4489" t="s">
        <v>40220</v>
      </c>
      <c r="X4489" t="s">
        <v>42677</v>
      </c>
    </row>
    <row r="4490" spans="1:24">
      <c r="A4490">
        <f>HYPERLINK("https://www.philgeps.gov.ph/GEPSNONPILOT/Tender/SplashBidNoticeAbstractUI.aspx?menuIndex=3&amp;refID=7188202&amp;Result=3","7188202")</f>
        <v>0</v>
      </c>
      <c r="B4490" t="s">
        <v>1595</v>
      </c>
      <c r="C4490" t="s">
        <v>7825</v>
      </c>
      <c r="D4490" t="s">
        <v>17205</v>
      </c>
      <c r="E4490" t="s">
        <v>17434</v>
      </c>
      <c r="F4490" t="s">
        <v>29372</v>
      </c>
      <c r="G4490" t="s">
        <v>29380</v>
      </c>
      <c r="H4490" t="s">
        <v>11048</v>
      </c>
      <c r="I4490" t="s">
        <v>4709</v>
      </c>
      <c r="J4490" t="s">
        <v>32497</v>
      </c>
      <c r="K4490" t="s">
        <v>38485</v>
      </c>
      <c r="M4490" t="s">
        <v>40447</v>
      </c>
      <c r="N4490" t="s">
        <v>42669</v>
      </c>
      <c r="O4490" t="s">
        <v>42670</v>
      </c>
      <c r="P4490">
        <v>0</v>
      </c>
      <c r="Q4490">
        <v>0</v>
      </c>
      <c r="R4490" t="s">
        <v>42676</v>
      </c>
      <c r="S4490" t="s">
        <v>42809</v>
      </c>
      <c r="T4490" t="s">
        <v>44378</v>
      </c>
      <c r="U4490" t="s">
        <v>48487</v>
      </c>
      <c r="W4490" t="s">
        <v>40447</v>
      </c>
      <c r="X4490" t="s">
        <v>42677</v>
      </c>
    </row>
    <row r="4491" spans="1:24">
      <c r="A4491">
        <f>HYPERLINK("https://www.philgeps.gov.ph/GEPSNONPILOT/Tender/SplashBidNoticeAbstractUI.aspx?menuIndex=3&amp;refID=7188245&amp;Result=3","7188245")</f>
        <v>0</v>
      </c>
      <c r="B4491" t="s">
        <v>951</v>
      </c>
      <c r="C4491" t="s">
        <v>7826</v>
      </c>
      <c r="D4491" t="s">
        <v>17166</v>
      </c>
      <c r="E4491" t="s">
        <v>21144</v>
      </c>
      <c r="F4491" t="s">
        <v>29372</v>
      </c>
      <c r="G4491" t="s">
        <v>29383</v>
      </c>
      <c r="H4491" t="s">
        <v>11048</v>
      </c>
      <c r="I4491" t="s">
        <v>29392</v>
      </c>
      <c r="J4491" t="s">
        <v>32498</v>
      </c>
      <c r="K4491" t="s">
        <v>38490</v>
      </c>
      <c r="M4491" t="s">
        <v>39747</v>
      </c>
      <c r="N4491" t="s">
        <v>42669</v>
      </c>
      <c r="O4491" t="s">
        <v>42670</v>
      </c>
      <c r="P4491">
        <v>0</v>
      </c>
      <c r="Q4491">
        <v>3</v>
      </c>
      <c r="R4491" t="s">
        <v>42676</v>
      </c>
      <c r="S4491" t="s">
        <v>42809</v>
      </c>
      <c r="T4491" t="s">
        <v>44560</v>
      </c>
      <c r="U4491" t="s">
        <v>48488</v>
      </c>
      <c r="W4491" t="s">
        <v>39747</v>
      </c>
      <c r="X4491" t="s">
        <v>42677</v>
      </c>
    </row>
    <row r="4492" spans="1:24">
      <c r="A4492">
        <f>HYPERLINK("https://www.philgeps.gov.ph/GEPSNONPILOT/Tender/SplashBidNoticeAbstractUI.aspx?menuIndex=3&amp;refID=7188112&amp;Result=3","7188112")</f>
        <v>0</v>
      </c>
      <c r="B4492" t="s">
        <v>1606</v>
      </c>
      <c r="C4492" t="s">
        <v>7827</v>
      </c>
      <c r="D4492" t="s">
        <v>17141</v>
      </c>
      <c r="E4492" t="s">
        <v>21145</v>
      </c>
      <c r="F4492" t="s">
        <v>29372</v>
      </c>
      <c r="G4492" t="s">
        <v>29379</v>
      </c>
      <c r="H4492" t="s">
        <v>11048</v>
      </c>
      <c r="I4492" t="s">
        <v>3839</v>
      </c>
      <c r="J4492" t="s">
        <v>32499</v>
      </c>
      <c r="K4492" t="s">
        <v>38491</v>
      </c>
      <c r="M4492" t="s">
        <v>40459</v>
      </c>
      <c r="N4492" t="s">
        <v>42669</v>
      </c>
      <c r="O4492" t="s">
        <v>42670</v>
      </c>
      <c r="P4492">
        <v>0</v>
      </c>
      <c r="Q4492">
        <v>1</v>
      </c>
      <c r="R4492" t="s">
        <v>42676</v>
      </c>
      <c r="S4492" t="s">
        <v>42809</v>
      </c>
      <c r="T4492" t="s">
        <v>44580</v>
      </c>
      <c r="U4492" t="s">
        <v>48489</v>
      </c>
      <c r="W4492" t="s">
        <v>40459</v>
      </c>
      <c r="X4492" t="s">
        <v>42677</v>
      </c>
    </row>
    <row r="4493" spans="1:24">
      <c r="A4493">
        <f>HYPERLINK("https://www.philgeps.gov.ph/GEPSNONPILOT/Tender/SplashBidNoticeAbstractUI.aspx?menuIndex=3&amp;refID=7188244&amp;Result=3","7188244")</f>
        <v>0</v>
      </c>
      <c r="B4493" t="s">
        <v>369</v>
      </c>
      <c r="C4493" t="s">
        <v>5982</v>
      </c>
      <c r="D4493" t="s">
        <v>17141</v>
      </c>
      <c r="E4493" t="s">
        <v>21146</v>
      </c>
      <c r="F4493" t="s">
        <v>29372</v>
      </c>
      <c r="G4493" t="s">
        <v>29379</v>
      </c>
      <c r="H4493" t="s">
        <v>11048</v>
      </c>
      <c r="I4493" t="s">
        <v>4486</v>
      </c>
      <c r="J4493" t="s">
        <v>30066</v>
      </c>
      <c r="K4493" t="s">
        <v>38491</v>
      </c>
      <c r="M4493" t="s">
        <v>39398</v>
      </c>
      <c r="N4493" t="s">
        <v>42669</v>
      </c>
      <c r="O4493" t="s">
        <v>42670</v>
      </c>
      <c r="P4493">
        <v>0</v>
      </c>
      <c r="Q4493">
        <v>4</v>
      </c>
      <c r="R4493" t="s">
        <v>42676</v>
      </c>
      <c r="S4493" t="s">
        <v>42809</v>
      </c>
      <c r="T4493" t="s">
        <v>44488</v>
      </c>
      <c r="U4493" t="s">
        <v>48490</v>
      </c>
      <c r="W4493" t="s">
        <v>39398</v>
      </c>
      <c r="X4493" t="s">
        <v>42677</v>
      </c>
    </row>
    <row r="4494" spans="1:24">
      <c r="A4494">
        <f>HYPERLINK("https://www.philgeps.gov.ph/GEPSNONPILOT/Tender/SplashBidNoticeAbstractUI.aspx?menuIndex=3&amp;refID=7188238&amp;Result=3","7188238")</f>
        <v>0</v>
      </c>
      <c r="B4494" t="s">
        <v>35</v>
      </c>
      <c r="C4494" t="s">
        <v>7828</v>
      </c>
      <c r="D4494" t="s">
        <v>17149</v>
      </c>
      <c r="E4494" t="s">
        <v>21147</v>
      </c>
      <c r="F4494" t="s">
        <v>29372</v>
      </c>
      <c r="G4494" t="s">
        <v>29381</v>
      </c>
      <c r="H4494" t="s">
        <v>11048</v>
      </c>
      <c r="I4494" t="s">
        <v>7828</v>
      </c>
      <c r="J4494" t="s">
        <v>29590</v>
      </c>
      <c r="K4494" t="s">
        <v>38488</v>
      </c>
      <c r="M4494" t="s">
        <v>40474</v>
      </c>
      <c r="N4494" t="s">
        <v>42669</v>
      </c>
      <c r="O4494" t="s">
        <v>42670</v>
      </c>
      <c r="P4494">
        <v>0</v>
      </c>
      <c r="Q4494">
        <v>3</v>
      </c>
      <c r="R4494" t="s">
        <v>42676</v>
      </c>
      <c r="S4494" t="s">
        <v>42809</v>
      </c>
      <c r="T4494" t="s">
        <v>44570</v>
      </c>
      <c r="U4494" t="s">
        <v>48491</v>
      </c>
      <c r="W4494" t="s">
        <v>40474</v>
      </c>
      <c r="X4494" t="s">
        <v>42677</v>
      </c>
    </row>
    <row r="4495" spans="1:24">
      <c r="A4495">
        <f>HYPERLINK("https://www.philgeps.gov.ph/GEPSNONPILOT/Tender/SplashBidNoticeAbstractUI.aspx?menuIndex=3&amp;refID=7188236&amp;Result=3","7188236")</f>
        <v>0</v>
      </c>
      <c r="B4495" t="s">
        <v>1614</v>
      </c>
      <c r="C4495" t="s">
        <v>7829</v>
      </c>
      <c r="D4495" t="s">
        <v>17197</v>
      </c>
      <c r="E4495" t="s">
        <v>21148</v>
      </c>
      <c r="F4495" t="s">
        <v>29372</v>
      </c>
      <c r="G4495" t="s">
        <v>29380</v>
      </c>
      <c r="H4495" t="s">
        <v>11048</v>
      </c>
      <c r="I4495" t="s">
        <v>4709</v>
      </c>
      <c r="J4495" t="s">
        <v>29587</v>
      </c>
      <c r="K4495" t="s">
        <v>38490</v>
      </c>
      <c r="M4495" t="s">
        <v>40467</v>
      </c>
      <c r="N4495" t="s">
        <v>42669</v>
      </c>
      <c r="O4495" t="s">
        <v>42670</v>
      </c>
      <c r="P4495">
        <v>0</v>
      </c>
      <c r="Q4495">
        <v>0</v>
      </c>
      <c r="R4495" t="s">
        <v>42676</v>
      </c>
      <c r="S4495" t="s">
        <v>42809</v>
      </c>
      <c r="T4495" t="s">
        <v>44532</v>
      </c>
      <c r="U4495" t="s">
        <v>48476</v>
      </c>
      <c r="W4495" t="s">
        <v>40467</v>
      </c>
      <c r="X4495" t="s">
        <v>42677</v>
      </c>
    </row>
    <row r="4496" spans="1:24">
      <c r="A4496">
        <f>HYPERLINK("https://www.philgeps.gov.ph/GEPSNONPILOT/Tender/SplashBidNoticeAbstractUI.aspx?menuIndex=3&amp;refID=7188209&amp;Result=3","7188209")</f>
        <v>0</v>
      </c>
      <c r="B4496" t="s">
        <v>1593</v>
      </c>
      <c r="C4496" t="s">
        <v>7830</v>
      </c>
      <c r="D4496" t="s">
        <v>17143</v>
      </c>
      <c r="E4496" t="s">
        <v>18810</v>
      </c>
      <c r="F4496" t="s">
        <v>29372</v>
      </c>
      <c r="G4496" t="s">
        <v>29379</v>
      </c>
      <c r="H4496" t="s">
        <v>11048</v>
      </c>
      <c r="I4496" t="s">
        <v>3670</v>
      </c>
      <c r="J4496" t="s">
        <v>32500</v>
      </c>
      <c r="K4496" t="s">
        <v>38485</v>
      </c>
      <c r="M4496" t="s">
        <v>40445</v>
      </c>
      <c r="N4496" t="s">
        <v>42669</v>
      </c>
      <c r="O4496" t="s">
        <v>42670</v>
      </c>
      <c r="P4496">
        <v>0</v>
      </c>
      <c r="Q4496">
        <v>1</v>
      </c>
      <c r="R4496" t="s">
        <v>42676</v>
      </c>
      <c r="S4496" t="s">
        <v>42809</v>
      </c>
      <c r="T4496" t="s">
        <v>44488</v>
      </c>
      <c r="U4496" t="s">
        <v>48437</v>
      </c>
      <c r="W4496" t="s">
        <v>40445</v>
      </c>
      <c r="X4496" t="s">
        <v>42677</v>
      </c>
    </row>
    <row r="4497" spans="1:24">
      <c r="A4497">
        <f>HYPERLINK("https://www.philgeps.gov.ph/GEPSNONPILOT/Tender/SplashBidNoticeAbstractUI.aspx?menuIndex=3&amp;refID=7188235&amp;Result=3","7188235")</f>
        <v>0</v>
      </c>
      <c r="B4497" t="s">
        <v>739</v>
      </c>
      <c r="C4497" t="s">
        <v>7831</v>
      </c>
      <c r="D4497" t="s">
        <v>17158</v>
      </c>
      <c r="E4497" t="s">
        <v>21149</v>
      </c>
      <c r="F4497" t="s">
        <v>29372</v>
      </c>
      <c r="G4497" t="s">
        <v>29380</v>
      </c>
      <c r="H4497" t="s">
        <v>29389</v>
      </c>
      <c r="I4497" t="s">
        <v>10408</v>
      </c>
      <c r="J4497" t="s">
        <v>32501</v>
      </c>
      <c r="K4497" t="s">
        <v>38522</v>
      </c>
      <c r="M4497" t="s">
        <v>39520</v>
      </c>
      <c r="N4497" t="s">
        <v>42669</v>
      </c>
      <c r="O4497" t="s">
        <v>42670</v>
      </c>
      <c r="P4497">
        <v>0</v>
      </c>
      <c r="Q4497">
        <v>0</v>
      </c>
      <c r="R4497" t="s">
        <v>42676</v>
      </c>
      <c r="S4497" t="s">
        <v>42809</v>
      </c>
      <c r="T4497" t="s">
        <v>44476</v>
      </c>
      <c r="U4497" t="s">
        <v>48492</v>
      </c>
      <c r="W4497" t="s">
        <v>39520</v>
      </c>
      <c r="X4497" t="s">
        <v>42677</v>
      </c>
    </row>
    <row r="4498" spans="1:24">
      <c r="A4498">
        <f>HYPERLINK("https://www.philgeps.gov.ph/GEPSNONPILOT/Tender/SplashBidNoticeAbstractUI.aspx?menuIndex=3&amp;refID=7188232&amp;Result=3","7188232")</f>
        <v>0</v>
      </c>
      <c r="B4498" t="s">
        <v>1607</v>
      </c>
      <c r="C4498" t="s">
        <v>7832</v>
      </c>
      <c r="D4498" t="s">
        <v>17160</v>
      </c>
      <c r="E4498" t="s">
        <v>21124</v>
      </c>
      <c r="F4498" t="s">
        <v>29372</v>
      </c>
      <c r="G4498" t="s">
        <v>29380</v>
      </c>
      <c r="H4498" t="s">
        <v>11048</v>
      </c>
      <c r="I4498" t="s">
        <v>3670</v>
      </c>
      <c r="J4498" t="s">
        <v>32502</v>
      </c>
      <c r="K4498" t="s">
        <v>38485</v>
      </c>
      <c r="M4498" t="s">
        <v>40460</v>
      </c>
      <c r="N4498" t="s">
        <v>42669</v>
      </c>
      <c r="O4498" t="s">
        <v>42670</v>
      </c>
      <c r="P4498">
        <v>0</v>
      </c>
      <c r="Q4498">
        <v>4</v>
      </c>
      <c r="R4498" t="s">
        <v>42676</v>
      </c>
      <c r="S4498" t="s">
        <v>42809</v>
      </c>
      <c r="T4498" t="s">
        <v>44587</v>
      </c>
      <c r="U4498" t="s">
        <v>48493</v>
      </c>
      <c r="W4498" t="s">
        <v>40460</v>
      </c>
      <c r="X4498" t="s">
        <v>42677</v>
      </c>
    </row>
    <row r="4499" spans="1:24">
      <c r="A4499">
        <f>HYPERLINK("https://www.philgeps.gov.ph/GEPSNONPILOT/Tender/SplashBidNoticeAbstractUI.aspx?menuIndex=3&amp;refID=7188115&amp;Result=3","7188115")</f>
        <v>0</v>
      </c>
      <c r="B4499" t="s">
        <v>1383</v>
      </c>
      <c r="C4499" t="s">
        <v>7833</v>
      </c>
      <c r="D4499" t="s">
        <v>17169</v>
      </c>
      <c r="E4499" t="s">
        <v>21150</v>
      </c>
      <c r="F4499" t="s">
        <v>29372</v>
      </c>
      <c r="G4499" t="s">
        <v>29380</v>
      </c>
      <c r="H4499" t="s">
        <v>29389</v>
      </c>
      <c r="I4499" t="s">
        <v>10408</v>
      </c>
      <c r="J4499" t="s">
        <v>32103</v>
      </c>
      <c r="K4499" t="s">
        <v>38496</v>
      </c>
      <c r="M4499" t="s">
        <v>40220</v>
      </c>
      <c r="N4499" t="s">
        <v>42669</v>
      </c>
      <c r="O4499" t="s">
        <v>42670</v>
      </c>
      <c r="P4499">
        <v>0</v>
      </c>
      <c r="Q4499">
        <v>1</v>
      </c>
      <c r="R4499" t="s">
        <v>42676</v>
      </c>
      <c r="S4499" t="s">
        <v>42809</v>
      </c>
      <c r="T4499" t="s">
        <v>44587</v>
      </c>
      <c r="U4499" t="s">
        <v>47960</v>
      </c>
      <c r="V4499" t="s">
        <v>56852</v>
      </c>
      <c r="W4499" t="s">
        <v>40220</v>
      </c>
      <c r="X4499" t="s">
        <v>42677</v>
      </c>
    </row>
    <row r="4500" spans="1:24">
      <c r="A4500">
        <f>HYPERLINK("https://www.philgeps.gov.ph/GEPSNONPILOT/Tender/SplashBidNoticeAbstractUI.aspx?menuIndex=3&amp;refID=7188217&amp;Result=3","7188217")</f>
        <v>0</v>
      </c>
      <c r="B4500" t="s">
        <v>1615</v>
      </c>
      <c r="C4500" t="s">
        <v>7834</v>
      </c>
      <c r="D4500" t="s">
        <v>17170</v>
      </c>
      <c r="E4500" t="s">
        <v>19228</v>
      </c>
      <c r="F4500" t="s">
        <v>29372</v>
      </c>
      <c r="G4500" t="s">
        <v>29383</v>
      </c>
      <c r="H4500" t="s">
        <v>11048</v>
      </c>
      <c r="I4500" t="s">
        <v>3695</v>
      </c>
      <c r="J4500" t="s">
        <v>32503</v>
      </c>
      <c r="K4500" t="s">
        <v>38490</v>
      </c>
      <c r="M4500" t="s">
        <v>40468</v>
      </c>
      <c r="N4500" t="s">
        <v>42669</v>
      </c>
      <c r="O4500" t="s">
        <v>42670</v>
      </c>
      <c r="P4500">
        <v>0</v>
      </c>
      <c r="Q4500">
        <v>2</v>
      </c>
      <c r="R4500" t="s">
        <v>42676</v>
      </c>
      <c r="S4500" t="s">
        <v>42809</v>
      </c>
      <c r="T4500" t="s">
        <v>44491</v>
      </c>
      <c r="U4500" t="s">
        <v>48494</v>
      </c>
      <c r="W4500" t="s">
        <v>40468</v>
      </c>
      <c r="X4500" t="s">
        <v>42677</v>
      </c>
    </row>
    <row r="4501" spans="1:24">
      <c r="A4501">
        <f>HYPERLINK("https://www.philgeps.gov.ph/GEPSNONPILOT/Tender/SplashBidNoticeAbstractUI.aspx?menuIndex=3&amp;refID=7188251&amp;Result=3","7188251")</f>
        <v>0</v>
      </c>
      <c r="B4501" t="s">
        <v>934</v>
      </c>
      <c r="C4501" t="s">
        <v>7835</v>
      </c>
      <c r="D4501" t="s">
        <v>17175</v>
      </c>
      <c r="E4501" t="s">
        <v>21151</v>
      </c>
      <c r="F4501" t="s">
        <v>29372</v>
      </c>
      <c r="G4501" t="s">
        <v>29380</v>
      </c>
      <c r="H4501" t="s">
        <v>11048</v>
      </c>
      <c r="I4501" t="s">
        <v>9469</v>
      </c>
      <c r="J4501" t="s">
        <v>32504</v>
      </c>
      <c r="K4501" t="s">
        <v>38490</v>
      </c>
      <c r="M4501" t="s">
        <v>39729</v>
      </c>
      <c r="N4501" t="s">
        <v>42669</v>
      </c>
      <c r="O4501" t="s">
        <v>42670</v>
      </c>
      <c r="P4501">
        <v>0</v>
      </c>
      <c r="Q4501">
        <v>1</v>
      </c>
      <c r="R4501" t="s">
        <v>42676</v>
      </c>
      <c r="S4501" t="s">
        <v>42809</v>
      </c>
      <c r="T4501" t="s">
        <v>44444</v>
      </c>
      <c r="U4501" t="s">
        <v>48495</v>
      </c>
      <c r="W4501" t="s">
        <v>39729</v>
      </c>
      <c r="X4501" t="s">
        <v>42677</v>
      </c>
    </row>
    <row r="4502" spans="1:24">
      <c r="A4502">
        <f>HYPERLINK("https://www.philgeps.gov.ph/GEPSNONPILOT/Tender/SplashBidNoticeAbstractUI.aspx?menuIndex=3&amp;refID=7188212&amp;Result=3","7188212")</f>
        <v>0</v>
      </c>
      <c r="B4502" t="s">
        <v>1606</v>
      </c>
      <c r="C4502" t="s">
        <v>7836</v>
      </c>
      <c r="D4502" t="s">
        <v>17141</v>
      </c>
      <c r="E4502" t="s">
        <v>21152</v>
      </c>
      <c r="F4502" t="s">
        <v>29372</v>
      </c>
      <c r="G4502" t="s">
        <v>29379</v>
      </c>
      <c r="H4502" t="s">
        <v>11048</v>
      </c>
      <c r="I4502" t="s">
        <v>3839</v>
      </c>
      <c r="J4502" t="s">
        <v>29525</v>
      </c>
      <c r="K4502" t="s">
        <v>38491</v>
      </c>
      <c r="M4502" t="s">
        <v>40459</v>
      </c>
      <c r="N4502" t="s">
        <v>42669</v>
      </c>
      <c r="O4502" t="s">
        <v>42670</v>
      </c>
      <c r="P4502">
        <v>0</v>
      </c>
      <c r="Q4502">
        <v>0</v>
      </c>
      <c r="R4502" t="s">
        <v>42676</v>
      </c>
      <c r="S4502" t="s">
        <v>42809</v>
      </c>
      <c r="T4502" t="s">
        <v>44580</v>
      </c>
      <c r="U4502" t="s">
        <v>48496</v>
      </c>
      <c r="W4502" t="s">
        <v>40459</v>
      </c>
      <c r="X4502" t="s">
        <v>42677</v>
      </c>
    </row>
    <row r="4503" spans="1:24">
      <c r="A4503">
        <f>HYPERLINK("https://www.philgeps.gov.ph/GEPSNONPILOT/Tender/SplashBidNoticeAbstractUI.aspx?menuIndex=3&amp;refID=7188246&amp;Result=3","7188246")</f>
        <v>0</v>
      </c>
      <c r="B4503" t="s">
        <v>35</v>
      </c>
      <c r="C4503" t="s">
        <v>7837</v>
      </c>
      <c r="D4503" t="s">
        <v>17149</v>
      </c>
      <c r="E4503" t="s">
        <v>21153</v>
      </c>
      <c r="F4503" t="s">
        <v>29372</v>
      </c>
      <c r="G4503" t="s">
        <v>29379</v>
      </c>
      <c r="H4503" t="s">
        <v>11048</v>
      </c>
      <c r="I4503" t="s">
        <v>29495</v>
      </c>
      <c r="J4503" t="s">
        <v>32505</v>
      </c>
      <c r="K4503" t="s">
        <v>38488</v>
      </c>
      <c r="M4503" t="s">
        <v>40474</v>
      </c>
      <c r="N4503" t="s">
        <v>42669</v>
      </c>
      <c r="O4503" t="s">
        <v>42670</v>
      </c>
      <c r="P4503">
        <v>0</v>
      </c>
      <c r="Q4503">
        <v>0</v>
      </c>
      <c r="R4503" t="s">
        <v>42676</v>
      </c>
      <c r="S4503" t="s">
        <v>42809</v>
      </c>
      <c r="T4503" t="s">
        <v>44570</v>
      </c>
      <c r="U4503" t="s">
        <v>48497</v>
      </c>
      <c r="W4503" t="s">
        <v>40474</v>
      </c>
      <c r="X4503" t="s">
        <v>42677</v>
      </c>
    </row>
    <row r="4504" spans="1:24">
      <c r="A4504">
        <f>HYPERLINK("https://www.philgeps.gov.ph/GEPSNONPILOT/Tender/SplashBidNoticeAbstractUI.aspx?menuIndex=3&amp;refID=7188230&amp;Result=3","7188230")</f>
        <v>0</v>
      </c>
      <c r="B4504" t="s">
        <v>1579</v>
      </c>
      <c r="C4504" t="s">
        <v>7838</v>
      </c>
      <c r="E4504" t="s">
        <v>21154</v>
      </c>
      <c r="F4504" t="s">
        <v>29372</v>
      </c>
      <c r="G4504" t="s">
        <v>29379</v>
      </c>
      <c r="H4504" t="s">
        <v>11048</v>
      </c>
      <c r="I4504" t="s">
        <v>29444</v>
      </c>
      <c r="J4504" t="s">
        <v>29526</v>
      </c>
      <c r="K4504" t="s">
        <v>38490</v>
      </c>
      <c r="M4504" t="s">
        <v>40429</v>
      </c>
      <c r="N4504" t="s">
        <v>42669</v>
      </c>
      <c r="O4504" t="s">
        <v>42670</v>
      </c>
      <c r="P4504">
        <v>0</v>
      </c>
      <c r="Q4504">
        <v>2</v>
      </c>
      <c r="R4504" t="s">
        <v>42676</v>
      </c>
      <c r="S4504" t="s">
        <v>42809</v>
      </c>
      <c r="T4504" t="s">
        <v>44394</v>
      </c>
      <c r="U4504" t="s">
        <v>48498</v>
      </c>
      <c r="W4504" t="s">
        <v>40429</v>
      </c>
      <c r="X4504" t="s">
        <v>42677</v>
      </c>
    </row>
    <row r="4505" spans="1:24">
      <c r="A4505">
        <f>HYPERLINK("https://www.philgeps.gov.ph/GEPSNONPILOT/Tender/SplashBidNoticeAbstractUI.aspx?menuIndex=3&amp;refID=7188248&amp;Result=3","7188248")</f>
        <v>0</v>
      </c>
      <c r="B4505" t="s">
        <v>1621</v>
      </c>
      <c r="C4505" t="s">
        <v>7839</v>
      </c>
      <c r="D4505" t="s">
        <v>17161</v>
      </c>
      <c r="E4505" t="s">
        <v>21155</v>
      </c>
      <c r="F4505" t="s">
        <v>29372</v>
      </c>
      <c r="G4505" t="s">
        <v>29380</v>
      </c>
      <c r="H4505" t="s">
        <v>11048</v>
      </c>
      <c r="I4505" t="s">
        <v>3670</v>
      </c>
      <c r="J4505" t="s">
        <v>30412</v>
      </c>
      <c r="K4505" t="s">
        <v>38488</v>
      </c>
      <c r="M4505" t="s">
        <v>40475</v>
      </c>
      <c r="N4505" t="s">
        <v>42669</v>
      </c>
      <c r="O4505" t="s">
        <v>42670</v>
      </c>
      <c r="P4505">
        <v>0</v>
      </c>
      <c r="Q4505">
        <v>1</v>
      </c>
      <c r="R4505" t="s">
        <v>42676</v>
      </c>
      <c r="S4505" t="s">
        <v>42809</v>
      </c>
      <c r="T4505" t="s">
        <v>44439</v>
      </c>
      <c r="U4505" t="s">
        <v>48499</v>
      </c>
      <c r="W4505" t="s">
        <v>40475</v>
      </c>
      <c r="X4505" t="s">
        <v>42677</v>
      </c>
    </row>
    <row r="4506" spans="1:24">
      <c r="A4506">
        <f>HYPERLINK("https://www.philgeps.gov.ph/GEPSNONPILOT/Tender/SplashBidNoticeAbstractUI.aspx?menuIndex=3&amp;refID=7188249&amp;Result=3","7188249")</f>
        <v>0</v>
      </c>
      <c r="B4506" t="s">
        <v>1615</v>
      </c>
      <c r="C4506" t="s">
        <v>7840</v>
      </c>
      <c r="D4506" t="s">
        <v>17170</v>
      </c>
      <c r="E4506" t="s">
        <v>19270</v>
      </c>
      <c r="F4506" t="s">
        <v>29372</v>
      </c>
      <c r="G4506" t="s">
        <v>29383</v>
      </c>
      <c r="H4506" t="s">
        <v>11048</v>
      </c>
      <c r="I4506" t="s">
        <v>7828</v>
      </c>
      <c r="J4506" t="s">
        <v>29571</v>
      </c>
      <c r="K4506" t="s">
        <v>38490</v>
      </c>
      <c r="M4506" t="s">
        <v>40468</v>
      </c>
      <c r="N4506" t="s">
        <v>42669</v>
      </c>
      <c r="O4506" t="s">
        <v>42670</v>
      </c>
      <c r="P4506">
        <v>0</v>
      </c>
      <c r="Q4506">
        <v>3</v>
      </c>
      <c r="R4506" t="s">
        <v>42676</v>
      </c>
      <c r="S4506" t="s">
        <v>42809</v>
      </c>
      <c r="T4506" t="s">
        <v>44491</v>
      </c>
      <c r="U4506" t="s">
        <v>48500</v>
      </c>
      <c r="W4506" t="s">
        <v>40468</v>
      </c>
      <c r="X4506" t="s">
        <v>42677</v>
      </c>
    </row>
    <row r="4507" spans="1:24">
      <c r="A4507">
        <f>HYPERLINK("https://www.philgeps.gov.ph/GEPSNONPILOT/Tender/SplashBidNoticeAbstractUI.aspx?menuIndex=3&amp;refID=7188227&amp;Result=3","7188227")</f>
        <v>0</v>
      </c>
      <c r="B4507" t="s">
        <v>1417</v>
      </c>
      <c r="C4507" t="s">
        <v>7841</v>
      </c>
      <c r="D4507" t="s">
        <v>17161</v>
      </c>
      <c r="E4507" t="s">
        <v>21156</v>
      </c>
      <c r="F4507" t="s">
        <v>29372</v>
      </c>
      <c r="G4507" t="s">
        <v>29380</v>
      </c>
      <c r="H4507" t="s">
        <v>11048</v>
      </c>
      <c r="I4507" t="s">
        <v>4709</v>
      </c>
      <c r="J4507" t="s">
        <v>32506</v>
      </c>
      <c r="K4507" t="s">
        <v>38510</v>
      </c>
      <c r="M4507" t="s">
        <v>40256</v>
      </c>
      <c r="N4507" t="s">
        <v>42669</v>
      </c>
      <c r="O4507" t="s">
        <v>42670</v>
      </c>
      <c r="P4507">
        <v>0</v>
      </c>
      <c r="Q4507">
        <v>0</v>
      </c>
      <c r="R4507" t="s">
        <v>42676</v>
      </c>
      <c r="S4507" t="s">
        <v>42809</v>
      </c>
      <c r="T4507" t="s">
        <v>44371</v>
      </c>
      <c r="U4507" t="s">
        <v>48501</v>
      </c>
      <c r="W4507" t="s">
        <v>40256</v>
      </c>
      <c r="X4507" t="s">
        <v>42677</v>
      </c>
    </row>
    <row r="4508" spans="1:24">
      <c r="A4508">
        <f>HYPERLINK("https://www.philgeps.gov.ph/GEPSNONPILOT/Tender/SplashBidNoticeAbstractUI.aspx?menuIndex=3&amp;refID=7188234&amp;Result=3","7188234")</f>
        <v>0</v>
      </c>
      <c r="B4508" t="s">
        <v>1586</v>
      </c>
      <c r="C4508" t="s">
        <v>7842</v>
      </c>
      <c r="D4508" t="s">
        <v>17143</v>
      </c>
      <c r="E4508" t="s">
        <v>21157</v>
      </c>
      <c r="F4508" t="s">
        <v>29372</v>
      </c>
      <c r="G4508" t="s">
        <v>29379</v>
      </c>
      <c r="H4508" t="s">
        <v>11048</v>
      </c>
      <c r="I4508" t="s">
        <v>3695</v>
      </c>
      <c r="J4508" t="s">
        <v>30048</v>
      </c>
      <c r="K4508" t="s">
        <v>38489</v>
      </c>
      <c r="M4508" t="s">
        <v>40437</v>
      </c>
      <c r="N4508" t="s">
        <v>42669</v>
      </c>
      <c r="O4508" t="s">
        <v>42670</v>
      </c>
      <c r="P4508">
        <v>0</v>
      </c>
      <c r="Q4508">
        <v>2</v>
      </c>
      <c r="R4508" t="s">
        <v>42676</v>
      </c>
      <c r="S4508" t="s">
        <v>42809</v>
      </c>
      <c r="T4508" t="s">
        <v>44491</v>
      </c>
      <c r="U4508" t="s">
        <v>48502</v>
      </c>
      <c r="W4508" t="s">
        <v>40437</v>
      </c>
      <c r="X4508" t="s">
        <v>42677</v>
      </c>
    </row>
    <row r="4509" spans="1:24">
      <c r="A4509">
        <f>HYPERLINK("https://www.philgeps.gov.ph/GEPSNONPILOT/Tender/SplashBidNoticeAbstractUI.aspx?menuIndex=3&amp;refID=7188220&amp;Result=3","7188220")</f>
        <v>0</v>
      </c>
      <c r="B4509" t="s">
        <v>1622</v>
      </c>
      <c r="C4509" t="s">
        <v>7843</v>
      </c>
      <c r="D4509" t="s">
        <v>17193</v>
      </c>
      <c r="E4509" t="s">
        <v>20721</v>
      </c>
      <c r="F4509" t="s">
        <v>29372</v>
      </c>
      <c r="G4509" t="s">
        <v>29379</v>
      </c>
      <c r="H4509" t="s">
        <v>11048</v>
      </c>
      <c r="I4509" t="s">
        <v>8208</v>
      </c>
      <c r="J4509" t="s">
        <v>31854</v>
      </c>
      <c r="K4509" t="s">
        <v>38489</v>
      </c>
      <c r="M4509" t="s">
        <v>40476</v>
      </c>
      <c r="N4509" t="s">
        <v>42669</v>
      </c>
      <c r="O4509" t="s">
        <v>42670</v>
      </c>
      <c r="P4509">
        <v>0</v>
      </c>
      <c r="Q4509">
        <v>8</v>
      </c>
      <c r="R4509" t="s">
        <v>42676</v>
      </c>
      <c r="S4509" t="s">
        <v>42809</v>
      </c>
      <c r="T4509" t="s">
        <v>44414</v>
      </c>
      <c r="U4509" t="s">
        <v>48503</v>
      </c>
      <c r="W4509" t="s">
        <v>40476</v>
      </c>
      <c r="X4509" t="s">
        <v>42677</v>
      </c>
    </row>
    <row r="4510" spans="1:24">
      <c r="A4510">
        <f>HYPERLINK("https://www.philgeps.gov.ph/GEPSNONPILOT/Tender/SplashBidNoticeAbstractUI.aspx?menuIndex=3&amp;refID=7188256&amp;Result=3","7188256")</f>
        <v>0</v>
      </c>
      <c r="B4510" t="s">
        <v>35</v>
      </c>
      <c r="C4510" t="s">
        <v>7844</v>
      </c>
      <c r="D4510" t="s">
        <v>17149</v>
      </c>
      <c r="E4510" t="s">
        <v>21158</v>
      </c>
      <c r="F4510" t="s">
        <v>29372</v>
      </c>
      <c r="G4510" t="s">
        <v>29379</v>
      </c>
      <c r="H4510" t="s">
        <v>11048</v>
      </c>
      <c r="I4510" t="s">
        <v>3670</v>
      </c>
      <c r="J4510" t="s">
        <v>29799</v>
      </c>
      <c r="K4510" t="s">
        <v>38488</v>
      </c>
      <c r="M4510" t="s">
        <v>40474</v>
      </c>
      <c r="N4510" t="s">
        <v>42669</v>
      </c>
      <c r="O4510" t="s">
        <v>42670</v>
      </c>
      <c r="P4510">
        <v>0</v>
      </c>
      <c r="Q4510">
        <v>0</v>
      </c>
      <c r="R4510" t="s">
        <v>42676</v>
      </c>
      <c r="S4510" t="s">
        <v>42809</v>
      </c>
      <c r="T4510" t="s">
        <v>44570</v>
      </c>
      <c r="U4510" t="s">
        <v>48504</v>
      </c>
      <c r="W4510" t="s">
        <v>40474</v>
      </c>
      <c r="X4510" t="s">
        <v>42677</v>
      </c>
    </row>
    <row r="4511" spans="1:24">
      <c r="A4511">
        <f>HYPERLINK("https://www.philgeps.gov.ph/GEPSNONPILOT/Tender/SplashBidNoticeAbstractUI.aspx?menuIndex=3&amp;refID=7188233&amp;Result=3","7188233")</f>
        <v>0</v>
      </c>
      <c r="B4511" t="s">
        <v>951</v>
      </c>
      <c r="C4511" t="s">
        <v>7845</v>
      </c>
      <c r="D4511" t="s">
        <v>17166</v>
      </c>
      <c r="E4511" t="s">
        <v>21159</v>
      </c>
      <c r="F4511" t="s">
        <v>29372</v>
      </c>
      <c r="G4511" t="s">
        <v>29383</v>
      </c>
      <c r="H4511" t="s">
        <v>11048</v>
      </c>
      <c r="I4511" t="s">
        <v>4235</v>
      </c>
      <c r="J4511" t="s">
        <v>32507</v>
      </c>
      <c r="K4511" t="s">
        <v>38490</v>
      </c>
      <c r="M4511" t="s">
        <v>39747</v>
      </c>
      <c r="N4511" t="s">
        <v>42669</v>
      </c>
      <c r="O4511" t="s">
        <v>42670</v>
      </c>
      <c r="P4511">
        <v>0</v>
      </c>
      <c r="Q4511">
        <v>0</v>
      </c>
      <c r="R4511" t="s">
        <v>42676</v>
      </c>
      <c r="S4511" t="s">
        <v>42809</v>
      </c>
      <c r="T4511" t="s">
        <v>44560</v>
      </c>
      <c r="U4511" t="s">
        <v>48505</v>
      </c>
      <c r="W4511" t="s">
        <v>39747</v>
      </c>
      <c r="X4511" t="s">
        <v>42677</v>
      </c>
    </row>
    <row r="4512" spans="1:24">
      <c r="A4512">
        <f>HYPERLINK("https://www.philgeps.gov.ph/GEPSNONPILOT/Tender/SplashBidNoticeAbstractUI.aspx?menuIndex=3&amp;refID=7188250&amp;Result=3","7188250")</f>
        <v>0</v>
      </c>
      <c r="B4512" t="s">
        <v>1623</v>
      </c>
      <c r="C4512" t="s">
        <v>7846</v>
      </c>
      <c r="D4512" t="s">
        <v>17199</v>
      </c>
      <c r="E4512" t="s">
        <v>21160</v>
      </c>
      <c r="F4512" t="s">
        <v>29372</v>
      </c>
      <c r="G4512" t="s">
        <v>29383</v>
      </c>
      <c r="H4512" t="s">
        <v>11048</v>
      </c>
      <c r="I4512" t="s">
        <v>5383</v>
      </c>
      <c r="J4512" t="s">
        <v>30224</v>
      </c>
      <c r="K4512" t="s">
        <v>38510</v>
      </c>
      <c r="M4512" t="s">
        <v>40477</v>
      </c>
      <c r="N4512" t="s">
        <v>42669</v>
      </c>
      <c r="O4512" t="s">
        <v>42670</v>
      </c>
      <c r="P4512">
        <v>0</v>
      </c>
      <c r="Q4512">
        <v>0</v>
      </c>
      <c r="R4512" t="s">
        <v>42676</v>
      </c>
      <c r="S4512" t="s">
        <v>42809</v>
      </c>
      <c r="T4512" t="s">
        <v>44430</v>
      </c>
      <c r="U4512" t="s">
        <v>48506</v>
      </c>
      <c r="W4512" t="s">
        <v>40477</v>
      </c>
      <c r="X4512" t="s">
        <v>42677</v>
      </c>
    </row>
    <row r="4513" spans="1:24">
      <c r="A4513">
        <f>HYPERLINK("https://www.philgeps.gov.ph/GEPSNONPILOT/Tender/SplashBidNoticeAbstractUI.aspx?menuIndex=3&amp;refID=7188225&amp;Result=3","7188225")</f>
        <v>0</v>
      </c>
      <c r="B4513" t="s">
        <v>1624</v>
      </c>
      <c r="C4513" t="s">
        <v>7847</v>
      </c>
      <c r="E4513" t="s">
        <v>21161</v>
      </c>
      <c r="F4513" t="s">
        <v>29372</v>
      </c>
      <c r="G4513" t="s">
        <v>29380</v>
      </c>
      <c r="H4513" t="s">
        <v>11048</v>
      </c>
      <c r="I4513" t="s">
        <v>29425</v>
      </c>
      <c r="J4513" t="s">
        <v>32508</v>
      </c>
      <c r="K4513" t="s">
        <v>38488</v>
      </c>
      <c r="L4513" t="s">
        <v>1624</v>
      </c>
      <c r="M4513" t="s">
        <v>40478</v>
      </c>
      <c r="N4513" t="s">
        <v>42669</v>
      </c>
      <c r="O4513" t="s">
        <v>42670</v>
      </c>
      <c r="P4513">
        <v>0</v>
      </c>
      <c r="Q4513">
        <v>2</v>
      </c>
      <c r="R4513" t="s">
        <v>42676</v>
      </c>
      <c r="S4513" t="s">
        <v>42809</v>
      </c>
      <c r="T4513" t="s">
        <v>44542</v>
      </c>
      <c r="U4513" t="s">
        <v>48507</v>
      </c>
      <c r="V4513" t="s">
        <v>56853</v>
      </c>
      <c r="W4513" t="s">
        <v>40478</v>
      </c>
      <c r="X4513" t="s">
        <v>42677</v>
      </c>
    </row>
    <row r="4514" spans="1:24">
      <c r="A4514">
        <f>HYPERLINK("https://www.philgeps.gov.ph/GEPSNONPILOT/Tender/SplashBidNoticeAbstractUI.aspx?menuIndex=3&amp;refID=7188219&amp;Result=3","7188219")</f>
        <v>0</v>
      </c>
      <c r="B4514" t="s">
        <v>1614</v>
      </c>
      <c r="C4514" t="s">
        <v>7848</v>
      </c>
      <c r="D4514" t="s">
        <v>17197</v>
      </c>
      <c r="E4514" t="s">
        <v>21162</v>
      </c>
      <c r="F4514" t="s">
        <v>29372</v>
      </c>
      <c r="G4514" t="s">
        <v>29379</v>
      </c>
      <c r="H4514" t="s">
        <v>11048</v>
      </c>
      <c r="I4514" t="s">
        <v>4709</v>
      </c>
      <c r="J4514" t="s">
        <v>29625</v>
      </c>
      <c r="K4514" t="s">
        <v>38490</v>
      </c>
      <c r="M4514" t="s">
        <v>40467</v>
      </c>
      <c r="N4514" t="s">
        <v>42669</v>
      </c>
      <c r="O4514" t="s">
        <v>42670</v>
      </c>
      <c r="P4514">
        <v>0</v>
      </c>
      <c r="Q4514">
        <v>0</v>
      </c>
      <c r="R4514" t="s">
        <v>42676</v>
      </c>
      <c r="S4514" t="s">
        <v>42809</v>
      </c>
      <c r="T4514" t="s">
        <v>44385</v>
      </c>
      <c r="U4514" t="s">
        <v>48476</v>
      </c>
      <c r="W4514" t="s">
        <v>40467</v>
      </c>
      <c r="X4514" t="s">
        <v>42677</v>
      </c>
    </row>
    <row r="4515" spans="1:24">
      <c r="A4515">
        <f>HYPERLINK("https://www.philgeps.gov.ph/GEPSNONPILOT/Tender/SplashBidNoticeAbstractUI.aspx?menuIndex=3&amp;refID=7188268&amp;Result=3","7188268")</f>
        <v>0</v>
      </c>
      <c r="B4515" t="s">
        <v>1615</v>
      </c>
      <c r="C4515" t="s">
        <v>7849</v>
      </c>
      <c r="D4515" t="s">
        <v>17170</v>
      </c>
      <c r="E4515" t="s">
        <v>20907</v>
      </c>
      <c r="F4515" t="s">
        <v>29372</v>
      </c>
      <c r="G4515" t="s">
        <v>29383</v>
      </c>
      <c r="H4515" t="s">
        <v>11048</v>
      </c>
      <c r="I4515" t="s">
        <v>5383</v>
      </c>
      <c r="J4515" t="s">
        <v>31800</v>
      </c>
      <c r="K4515" t="s">
        <v>38490</v>
      </c>
      <c r="M4515" t="s">
        <v>40468</v>
      </c>
      <c r="N4515" t="s">
        <v>42669</v>
      </c>
      <c r="O4515" t="s">
        <v>42670</v>
      </c>
      <c r="P4515">
        <v>0</v>
      </c>
      <c r="Q4515">
        <v>5</v>
      </c>
      <c r="R4515" t="s">
        <v>42676</v>
      </c>
      <c r="S4515" t="s">
        <v>42809</v>
      </c>
      <c r="T4515" t="s">
        <v>44491</v>
      </c>
      <c r="U4515" t="s">
        <v>48508</v>
      </c>
      <c r="W4515" t="s">
        <v>40468</v>
      </c>
      <c r="X4515" t="s">
        <v>42677</v>
      </c>
    </row>
    <row r="4516" spans="1:24">
      <c r="A4516">
        <f>HYPERLINK("https://www.philgeps.gov.ph/GEPSNONPILOT/Tender/SplashBidNoticeAbstractUI.aspx?menuIndex=3&amp;refID=7188274&amp;Result=3","7188274")</f>
        <v>0</v>
      </c>
      <c r="B4516" t="s">
        <v>684</v>
      </c>
      <c r="C4516" t="s">
        <v>7850</v>
      </c>
      <c r="D4516" t="s">
        <v>17188</v>
      </c>
      <c r="E4516" t="s">
        <v>21163</v>
      </c>
      <c r="F4516" t="s">
        <v>29372</v>
      </c>
      <c r="G4516" t="s">
        <v>29379</v>
      </c>
      <c r="H4516" t="s">
        <v>11048</v>
      </c>
      <c r="I4516" t="s">
        <v>29428</v>
      </c>
      <c r="J4516" t="s">
        <v>29929</v>
      </c>
      <c r="K4516" t="s">
        <v>38488</v>
      </c>
      <c r="M4516" t="s">
        <v>39779</v>
      </c>
      <c r="N4516" t="s">
        <v>42669</v>
      </c>
      <c r="O4516" t="s">
        <v>42670</v>
      </c>
      <c r="P4516">
        <v>0</v>
      </c>
      <c r="Q4516">
        <v>0</v>
      </c>
      <c r="R4516" t="s">
        <v>42676</v>
      </c>
      <c r="S4516" t="s">
        <v>42809</v>
      </c>
      <c r="T4516" t="s">
        <v>44493</v>
      </c>
      <c r="U4516" t="s">
        <v>48509</v>
      </c>
      <c r="V4516" t="s">
        <v>45789</v>
      </c>
      <c r="W4516" t="s">
        <v>39779</v>
      </c>
      <c r="X4516" t="s">
        <v>42677</v>
      </c>
    </row>
    <row r="4517" spans="1:24">
      <c r="A4517">
        <f>HYPERLINK("https://www.philgeps.gov.ph/GEPSNONPILOT/Tender/SplashBidNoticeAbstractUI.aspx?menuIndex=3&amp;refID=7188267&amp;Result=3","7188267")</f>
        <v>0</v>
      </c>
      <c r="B4517" t="s">
        <v>1625</v>
      </c>
      <c r="C4517" t="s">
        <v>7851</v>
      </c>
      <c r="D4517" t="s">
        <v>17199</v>
      </c>
      <c r="E4517" t="s">
        <v>21164</v>
      </c>
      <c r="F4517" t="s">
        <v>29372</v>
      </c>
      <c r="G4517" t="s">
        <v>29379</v>
      </c>
      <c r="H4517" t="s">
        <v>11048</v>
      </c>
      <c r="I4517" t="s">
        <v>14920</v>
      </c>
      <c r="J4517" t="s">
        <v>32509</v>
      </c>
      <c r="K4517" t="s">
        <v>38490</v>
      </c>
      <c r="M4517" t="s">
        <v>40479</v>
      </c>
      <c r="N4517" t="s">
        <v>42669</v>
      </c>
      <c r="O4517" t="s">
        <v>42670</v>
      </c>
      <c r="P4517">
        <v>0</v>
      </c>
      <c r="Q4517">
        <v>0</v>
      </c>
      <c r="R4517" t="s">
        <v>42676</v>
      </c>
      <c r="S4517" t="s">
        <v>42809</v>
      </c>
      <c r="T4517" t="s">
        <v>44394</v>
      </c>
      <c r="U4517" t="s">
        <v>48510</v>
      </c>
      <c r="W4517" t="s">
        <v>40479</v>
      </c>
      <c r="X4517" t="s">
        <v>42677</v>
      </c>
    </row>
    <row r="4518" spans="1:24">
      <c r="A4518">
        <f>HYPERLINK("https://www.philgeps.gov.ph/GEPSNONPILOT/Tender/SplashBidNoticeAbstractUI.aspx?menuIndex=3&amp;refID=7188272&amp;Result=3","7188272")</f>
        <v>0</v>
      </c>
      <c r="B4518" t="s">
        <v>1626</v>
      </c>
      <c r="C4518" t="s">
        <v>7852</v>
      </c>
      <c r="D4518" t="s">
        <v>17173</v>
      </c>
      <c r="E4518" t="s">
        <v>21165</v>
      </c>
      <c r="F4518" t="s">
        <v>29372</v>
      </c>
      <c r="G4518" t="s">
        <v>29380</v>
      </c>
      <c r="H4518" t="s">
        <v>11048</v>
      </c>
      <c r="I4518" t="s">
        <v>3839</v>
      </c>
      <c r="J4518" t="s">
        <v>32510</v>
      </c>
      <c r="K4518" t="s">
        <v>38485</v>
      </c>
      <c r="M4518" t="s">
        <v>40480</v>
      </c>
      <c r="N4518" t="s">
        <v>42669</v>
      </c>
      <c r="O4518" t="s">
        <v>42670</v>
      </c>
      <c r="P4518">
        <v>0</v>
      </c>
      <c r="Q4518">
        <v>4</v>
      </c>
      <c r="R4518" t="s">
        <v>42676</v>
      </c>
      <c r="S4518" t="s">
        <v>42809</v>
      </c>
      <c r="T4518" t="s">
        <v>44368</v>
      </c>
      <c r="U4518" t="s">
        <v>48511</v>
      </c>
      <c r="W4518" t="s">
        <v>40480</v>
      </c>
      <c r="X4518" t="s">
        <v>42677</v>
      </c>
    </row>
    <row r="4519" spans="1:24">
      <c r="A4519">
        <f>HYPERLINK("https://www.philgeps.gov.ph/GEPSNONPILOT/Tender/SplashBidNoticeAbstractUI.aspx?menuIndex=3&amp;refID=7188288&amp;Result=3","7188288")</f>
        <v>0</v>
      </c>
      <c r="B4519" t="s">
        <v>1417</v>
      </c>
      <c r="C4519" t="s">
        <v>7853</v>
      </c>
      <c r="D4519" t="s">
        <v>17161</v>
      </c>
      <c r="E4519" t="s">
        <v>21166</v>
      </c>
      <c r="F4519" t="s">
        <v>29372</v>
      </c>
      <c r="G4519" t="s">
        <v>29380</v>
      </c>
      <c r="H4519" t="s">
        <v>11048</v>
      </c>
      <c r="I4519" t="s">
        <v>9469</v>
      </c>
      <c r="J4519" t="s">
        <v>32511</v>
      </c>
      <c r="K4519" t="s">
        <v>38490</v>
      </c>
      <c r="M4519" t="s">
        <v>40481</v>
      </c>
      <c r="N4519" t="s">
        <v>42669</v>
      </c>
      <c r="O4519" t="s">
        <v>42670</v>
      </c>
      <c r="P4519">
        <v>0</v>
      </c>
      <c r="Q4519">
        <v>3</v>
      </c>
      <c r="R4519" t="s">
        <v>42676</v>
      </c>
      <c r="S4519" t="s">
        <v>42809</v>
      </c>
      <c r="T4519" t="s">
        <v>44358</v>
      </c>
      <c r="U4519" t="s">
        <v>48512</v>
      </c>
      <c r="W4519" t="s">
        <v>40481</v>
      </c>
      <c r="X4519" t="s">
        <v>42677</v>
      </c>
    </row>
    <row r="4520" spans="1:24">
      <c r="A4520">
        <f>HYPERLINK("https://www.philgeps.gov.ph/GEPSNONPILOT/Tender/SplashBidNoticeAbstractUI.aspx?menuIndex=3&amp;refID=7188282&amp;Result=3","7188282")</f>
        <v>0</v>
      </c>
      <c r="B4520" t="s">
        <v>35</v>
      </c>
      <c r="C4520" t="s">
        <v>7854</v>
      </c>
      <c r="D4520" t="s">
        <v>17149</v>
      </c>
      <c r="E4520" t="s">
        <v>21167</v>
      </c>
      <c r="F4520" t="s">
        <v>29372</v>
      </c>
      <c r="G4520" t="s">
        <v>29379</v>
      </c>
      <c r="H4520" t="s">
        <v>11048</v>
      </c>
      <c r="I4520" t="s">
        <v>4709</v>
      </c>
      <c r="J4520" t="s">
        <v>32512</v>
      </c>
      <c r="K4520" t="s">
        <v>38488</v>
      </c>
      <c r="M4520" t="s">
        <v>40474</v>
      </c>
      <c r="N4520" t="s">
        <v>42669</v>
      </c>
      <c r="O4520" t="s">
        <v>42670</v>
      </c>
      <c r="P4520">
        <v>0</v>
      </c>
      <c r="Q4520">
        <v>0</v>
      </c>
      <c r="R4520" t="s">
        <v>42676</v>
      </c>
      <c r="S4520" t="s">
        <v>42809</v>
      </c>
      <c r="T4520" t="s">
        <v>44570</v>
      </c>
      <c r="U4520" t="s">
        <v>48504</v>
      </c>
      <c r="W4520" t="s">
        <v>40474</v>
      </c>
      <c r="X4520" t="s">
        <v>42677</v>
      </c>
    </row>
    <row r="4521" spans="1:24">
      <c r="A4521">
        <f>HYPERLINK("https://www.philgeps.gov.ph/GEPSNONPILOT/Tender/SplashBidNoticeAbstractUI.aspx?menuIndex=3&amp;refID=7188218&amp;Result=3","7188218")</f>
        <v>0</v>
      </c>
      <c r="B4521" t="s">
        <v>1627</v>
      </c>
      <c r="C4521" t="s">
        <v>7855</v>
      </c>
      <c r="D4521" t="s">
        <v>17169</v>
      </c>
      <c r="E4521" t="s">
        <v>17482</v>
      </c>
      <c r="F4521" t="s">
        <v>29372</v>
      </c>
      <c r="G4521" t="s">
        <v>29380</v>
      </c>
      <c r="H4521" t="s">
        <v>29390</v>
      </c>
      <c r="I4521" t="s">
        <v>29418</v>
      </c>
      <c r="J4521" t="s">
        <v>29708</v>
      </c>
      <c r="K4521" t="s">
        <v>38488</v>
      </c>
      <c r="M4521" t="s">
        <v>40482</v>
      </c>
      <c r="N4521" t="s">
        <v>42669</v>
      </c>
      <c r="O4521" t="s">
        <v>42670</v>
      </c>
      <c r="P4521">
        <v>0</v>
      </c>
      <c r="Q4521">
        <v>2</v>
      </c>
      <c r="R4521" t="s">
        <v>42676</v>
      </c>
      <c r="S4521" t="s">
        <v>42809</v>
      </c>
      <c r="T4521" t="s">
        <v>44386</v>
      </c>
      <c r="U4521" t="s">
        <v>48513</v>
      </c>
      <c r="W4521" t="s">
        <v>40482</v>
      </c>
      <c r="X4521" t="s">
        <v>42677</v>
      </c>
    </row>
    <row r="4522" spans="1:24">
      <c r="A4522">
        <f>HYPERLINK("https://www.philgeps.gov.ph/GEPSNONPILOT/Tender/SplashBidNoticeAbstractUI.aspx?menuIndex=3&amp;refID=7188278&amp;Result=3","7188278")</f>
        <v>0</v>
      </c>
      <c r="B4522" t="s">
        <v>1628</v>
      </c>
      <c r="C4522" t="s">
        <v>7856</v>
      </c>
      <c r="D4522" t="s">
        <v>17144</v>
      </c>
      <c r="E4522" t="s">
        <v>21168</v>
      </c>
      <c r="F4522" t="s">
        <v>29372</v>
      </c>
      <c r="G4522" t="s">
        <v>29379</v>
      </c>
      <c r="H4522" t="s">
        <v>11048</v>
      </c>
      <c r="I4522" t="s">
        <v>29476</v>
      </c>
      <c r="J4522" t="s">
        <v>29708</v>
      </c>
      <c r="K4522" t="s">
        <v>38485</v>
      </c>
      <c r="M4522" t="s">
        <v>40483</v>
      </c>
      <c r="N4522" t="s">
        <v>42669</v>
      </c>
      <c r="O4522" t="s">
        <v>42670</v>
      </c>
      <c r="P4522">
        <v>0</v>
      </c>
      <c r="Q4522">
        <v>4</v>
      </c>
      <c r="R4522" t="s">
        <v>42676</v>
      </c>
      <c r="S4522" t="s">
        <v>42809</v>
      </c>
      <c r="T4522" t="s">
        <v>44394</v>
      </c>
      <c r="U4522" t="s">
        <v>48514</v>
      </c>
      <c r="W4522" t="s">
        <v>40483</v>
      </c>
      <c r="X4522" t="s">
        <v>42677</v>
      </c>
    </row>
    <row r="4523" spans="1:24">
      <c r="A4523">
        <f>HYPERLINK("https://www.philgeps.gov.ph/GEPSNONPILOT/Tender/SplashBidNoticeAbstractUI.aspx?menuIndex=3&amp;refID=7188253&amp;Result=3","7188253")</f>
        <v>0</v>
      </c>
      <c r="B4523" t="s">
        <v>1417</v>
      </c>
      <c r="C4523" t="s">
        <v>7857</v>
      </c>
      <c r="D4523" t="s">
        <v>17161</v>
      </c>
      <c r="E4523" t="s">
        <v>21169</v>
      </c>
      <c r="F4523" t="s">
        <v>29372</v>
      </c>
      <c r="G4523" t="s">
        <v>29380</v>
      </c>
      <c r="H4523" t="s">
        <v>11048</v>
      </c>
      <c r="I4523" t="s">
        <v>4709</v>
      </c>
      <c r="J4523" t="s">
        <v>32513</v>
      </c>
      <c r="K4523" t="s">
        <v>38510</v>
      </c>
      <c r="M4523" t="s">
        <v>40256</v>
      </c>
      <c r="N4523" t="s">
        <v>42669</v>
      </c>
      <c r="O4523" t="s">
        <v>42670</v>
      </c>
      <c r="P4523">
        <v>0</v>
      </c>
      <c r="Q4523">
        <v>0</v>
      </c>
      <c r="R4523" t="s">
        <v>42676</v>
      </c>
      <c r="S4523" t="s">
        <v>42809</v>
      </c>
      <c r="T4523" t="s">
        <v>44371</v>
      </c>
      <c r="U4523" t="s">
        <v>48515</v>
      </c>
      <c r="W4523" t="s">
        <v>40256</v>
      </c>
      <c r="X4523" t="s">
        <v>42677</v>
      </c>
    </row>
    <row r="4524" spans="1:24">
      <c r="A4524">
        <f>HYPERLINK("https://www.philgeps.gov.ph/GEPSNONPILOT/Tender/SplashBidNoticeAbstractUI.aspx?menuIndex=3&amp;refID=7188266&amp;Result=3","7188266")</f>
        <v>0</v>
      </c>
      <c r="B4524" t="s">
        <v>1417</v>
      </c>
      <c r="C4524" t="s">
        <v>7858</v>
      </c>
      <c r="D4524" t="s">
        <v>17161</v>
      </c>
      <c r="E4524" t="s">
        <v>21170</v>
      </c>
      <c r="F4524" t="s">
        <v>29372</v>
      </c>
      <c r="G4524" t="s">
        <v>29380</v>
      </c>
      <c r="H4524" t="s">
        <v>11048</v>
      </c>
      <c r="I4524" t="s">
        <v>9469</v>
      </c>
      <c r="J4524" t="s">
        <v>32514</v>
      </c>
      <c r="K4524" t="s">
        <v>38490</v>
      </c>
      <c r="M4524" t="s">
        <v>40481</v>
      </c>
      <c r="N4524" t="s">
        <v>42669</v>
      </c>
      <c r="O4524" t="s">
        <v>42670</v>
      </c>
      <c r="P4524">
        <v>0</v>
      </c>
      <c r="Q4524">
        <v>3</v>
      </c>
      <c r="R4524" t="s">
        <v>42676</v>
      </c>
      <c r="S4524" t="s">
        <v>42809</v>
      </c>
      <c r="T4524" t="s">
        <v>44358</v>
      </c>
      <c r="U4524" t="s">
        <v>48516</v>
      </c>
      <c r="W4524" t="s">
        <v>40481</v>
      </c>
      <c r="X4524" t="s">
        <v>42677</v>
      </c>
    </row>
    <row r="4525" spans="1:24">
      <c r="A4525">
        <f>HYPERLINK("https://www.philgeps.gov.ph/GEPSNONPILOT/Tender/SplashBidNoticeAbstractUI.aspx?menuIndex=3&amp;refID=7188275&amp;Result=3","7188275")</f>
        <v>0</v>
      </c>
      <c r="B4525" t="s">
        <v>951</v>
      </c>
      <c r="C4525" t="s">
        <v>7859</v>
      </c>
      <c r="D4525" t="s">
        <v>17166</v>
      </c>
      <c r="E4525" t="s">
        <v>21171</v>
      </c>
      <c r="F4525" t="s">
        <v>29372</v>
      </c>
      <c r="G4525" t="s">
        <v>29383</v>
      </c>
      <c r="H4525" t="s">
        <v>11048</v>
      </c>
      <c r="I4525" t="s">
        <v>29407</v>
      </c>
      <c r="J4525" t="s">
        <v>29721</v>
      </c>
      <c r="K4525" t="s">
        <v>38490</v>
      </c>
      <c r="M4525" t="s">
        <v>39747</v>
      </c>
      <c r="N4525" t="s">
        <v>42669</v>
      </c>
      <c r="O4525" t="s">
        <v>42670</v>
      </c>
      <c r="P4525">
        <v>0</v>
      </c>
      <c r="Q4525">
        <v>11</v>
      </c>
      <c r="R4525" t="s">
        <v>42676</v>
      </c>
      <c r="S4525" t="s">
        <v>42809</v>
      </c>
      <c r="T4525" t="s">
        <v>44560</v>
      </c>
      <c r="U4525" t="s">
        <v>48517</v>
      </c>
      <c r="W4525" t="s">
        <v>39747</v>
      </c>
      <c r="X4525" t="s">
        <v>42677</v>
      </c>
    </row>
    <row r="4526" spans="1:24">
      <c r="A4526">
        <f>HYPERLINK("https://www.philgeps.gov.ph/GEPSNONPILOT/Tender/SplashBidNoticeAbstractUI.aspx?menuIndex=3&amp;refID=7188265&amp;Result=3","7188265")</f>
        <v>0</v>
      </c>
      <c r="B4526" t="s">
        <v>739</v>
      </c>
      <c r="C4526" t="s">
        <v>7860</v>
      </c>
      <c r="D4526" t="s">
        <v>17158</v>
      </c>
      <c r="E4526" t="s">
        <v>21172</v>
      </c>
      <c r="F4526" t="s">
        <v>29372</v>
      </c>
      <c r="G4526" t="s">
        <v>29380</v>
      </c>
      <c r="H4526" t="s">
        <v>11048</v>
      </c>
      <c r="I4526" t="s">
        <v>29403</v>
      </c>
      <c r="J4526" t="s">
        <v>32515</v>
      </c>
      <c r="K4526" t="s">
        <v>38487</v>
      </c>
      <c r="M4526" t="s">
        <v>39520</v>
      </c>
      <c r="N4526" t="s">
        <v>42669</v>
      </c>
      <c r="O4526" t="s">
        <v>42670</v>
      </c>
      <c r="P4526">
        <v>0</v>
      </c>
      <c r="Q4526">
        <v>1</v>
      </c>
      <c r="R4526" t="s">
        <v>42676</v>
      </c>
      <c r="S4526" t="s">
        <v>42809</v>
      </c>
      <c r="T4526" t="s">
        <v>44476</v>
      </c>
      <c r="U4526" t="s">
        <v>48492</v>
      </c>
      <c r="W4526" t="s">
        <v>39520</v>
      </c>
      <c r="X4526" t="s">
        <v>42677</v>
      </c>
    </row>
    <row r="4527" spans="1:24">
      <c r="A4527">
        <f>HYPERLINK("https://www.philgeps.gov.ph/GEPSNONPILOT/Tender/SplashBidNoticeAbstractUI.aspx?menuIndex=3&amp;refID=7188271&amp;Result=3","7188271")</f>
        <v>0</v>
      </c>
      <c r="B4527" t="s">
        <v>1621</v>
      </c>
      <c r="C4527" t="s">
        <v>7861</v>
      </c>
      <c r="D4527" t="s">
        <v>17161</v>
      </c>
      <c r="E4527" t="s">
        <v>21173</v>
      </c>
      <c r="F4527" t="s">
        <v>29372</v>
      </c>
      <c r="G4527" t="s">
        <v>29380</v>
      </c>
      <c r="H4527" t="s">
        <v>11048</v>
      </c>
      <c r="I4527" t="s">
        <v>3670</v>
      </c>
      <c r="J4527" t="s">
        <v>29619</v>
      </c>
      <c r="K4527" t="s">
        <v>38488</v>
      </c>
      <c r="M4527" t="s">
        <v>40475</v>
      </c>
      <c r="N4527" t="s">
        <v>42669</v>
      </c>
      <c r="O4527" t="s">
        <v>42670</v>
      </c>
      <c r="P4527">
        <v>0</v>
      </c>
      <c r="Q4527">
        <v>3</v>
      </c>
      <c r="R4527" t="s">
        <v>42676</v>
      </c>
      <c r="S4527" t="s">
        <v>42809</v>
      </c>
      <c r="T4527" t="s">
        <v>44439</v>
      </c>
      <c r="U4527" t="s">
        <v>48518</v>
      </c>
      <c r="W4527" t="s">
        <v>40475</v>
      </c>
      <c r="X4527" t="s">
        <v>42677</v>
      </c>
    </row>
    <row r="4528" spans="1:24">
      <c r="A4528">
        <f>HYPERLINK("https://www.philgeps.gov.ph/GEPSNONPILOT/Tender/SplashBidNoticeAbstractUI.aspx?menuIndex=3&amp;refID=7188259&amp;Result=3","7188259")</f>
        <v>0</v>
      </c>
      <c r="B4528" t="s">
        <v>1629</v>
      </c>
      <c r="C4528" t="s">
        <v>7862</v>
      </c>
      <c r="D4528" t="s">
        <v>17189</v>
      </c>
      <c r="E4528" t="s">
        <v>21174</v>
      </c>
      <c r="F4528" t="s">
        <v>29372</v>
      </c>
      <c r="G4528" t="s">
        <v>29383</v>
      </c>
      <c r="H4528" t="s">
        <v>11048</v>
      </c>
      <c r="I4528" t="s">
        <v>5383</v>
      </c>
      <c r="J4528" t="s">
        <v>32516</v>
      </c>
      <c r="K4528" t="s">
        <v>38490</v>
      </c>
      <c r="M4528" t="s">
        <v>40484</v>
      </c>
      <c r="N4528" t="s">
        <v>42669</v>
      </c>
      <c r="O4528" t="s">
        <v>42670</v>
      </c>
      <c r="P4528">
        <v>0</v>
      </c>
      <c r="Q4528">
        <v>3</v>
      </c>
      <c r="R4528" t="s">
        <v>42676</v>
      </c>
      <c r="S4528" t="s">
        <v>42809</v>
      </c>
      <c r="T4528" t="s">
        <v>44382</v>
      </c>
      <c r="U4528" t="s">
        <v>48519</v>
      </c>
      <c r="W4528" t="s">
        <v>40484</v>
      </c>
      <c r="X4528" t="s">
        <v>42677</v>
      </c>
    </row>
    <row r="4529" spans="1:24">
      <c r="A4529">
        <f>HYPERLINK("https://www.philgeps.gov.ph/GEPSNONPILOT/Tender/SplashBidNoticeAbstractUI.aspx?menuIndex=3&amp;refID=7188281&amp;Result=3","7188281")</f>
        <v>0</v>
      </c>
      <c r="B4529" t="s">
        <v>1412</v>
      </c>
      <c r="C4529" t="s">
        <v>7863</v>
      </c>
      <c r="D4529" t="s">
        <v>17226</v>
      </c>
      <c r="E4529" t="s">
        <v>21175</v>
      </c>
      <c r="F4529" t="s">
        <v>29372</v>
      </c>
      <c r="G4529" t="s">
        <v>29380</v>
      </c>
      <c r="H4529" t="s">
        <v>29389</v>
      </c>
      <c r="I4529" t="s">
        <v>10408</v>
      </c>
      <c r="J4529" t="s">
        <v>32517</v>
      </c>
      <c r="K4529" t="s">
        <v>38541</v>
      </c>
      <c r="M4529" t="s">
        <v>40251</v>
      </c>
      <c r="N4529" t="s">
        <v>42669</v>
      </c>
      <c r="O4529" t="s">
        <v>42670</v>
      </c>
      <c r="P4529">
        <v>0</v>
      </c>
      <c r="Q4529">
        <v>0</v>
      </c>
      <c r="R4529" t="s">
        <v>42676</v>
      </c>
      <c r="S4529" t="s">
        <v>42809</v>
      </c>
      <c r="T4529" t="s">
        <v>44525</v>
      </c>
      <c r="U4529" t="s">
        <v>48027</v>
      </c>
      <c r="W4529" t="s">
        <v>40251</v>
      </c>
      <c r="X4529" t="s">
        <v>42677</v>
      </c>
    </row>
    <row r="4530" spans="1:24">
      <c r="A4530">
        <f>HYPERLINK("https://www.philgeps.gov.ph/GEPSNONPILOT/Tender/SplashBidNoticeAbstractUI.aspx?menuIndex=3&amp;refID=7188258&amp;Result=3","7188258")</f>
        <v>0</v>
      </c>
      <c r="B4530" t="s">
        <v>1344</v>
      </c>
      <c r="C4530" t="s">
        <v>7864</v>
      </c>
      <c r="D4530" t="s">
        <v>17144</v>
      </c>
      <c r="E4530" t="s">
        <v>21176</v>
      </c>
      <c r="F4530" t="s">
        <v>29372</v>
      </c>
      <c r="G4530" t="s">
        <v>29379</v>
      </c>
      <c r="H4530" t="s">
        <v>11048</v>
      </c>
      <c r="I4530" t="s">
        <v>29433</v>
      </c>
      <c r="J4530" t="s">
        <v>29799</v>
      </c>
      <c r="K4530" t="s">
        <v>38510</v>
      </c>
      <c r="M4530" t="s">
        <v>40485</v>
      </c>
      <c r="N4530" t="s">
        <v>42669</v>
      </c>
      <c r="O4530" t="s">
        <v>42670</v>
      </c>
      <c r="P4530">
        <v>0</v>
      </c>
      <c r="Q4530">
        <v>4</v>
      </c>
      <c r="R4530" t="s">
        <v>42676</v>
      </c>
      <c r="S4530" t="s">
        <v>42809</v>
      </c>
      <c r="T4530" t="s">
        <v>44462</v>
      </c>
      <c r="U4530" t="s">
        <v>48520</v>
      </c>
      <c r="W4530" t="s">
        <v>40485</v>
      </c>
      <c r="X4530" t="s">
        <v>42677</v>
      </c>
    </row>
    <row r="4531" spans="1:24">
      <c r="A4531">
        <f>HYPERLINK("https://www.philgeps.gov.ph/GEPSNONPILOT/Tender/SplashBidNoticeAbstractUI.aspx?menuIndex=3&amp;refID=7188279&amp;Result=3","7188279")</f>
        <v>0</v>
      </c>
      <c r="B4531" t="s">
        <v>1417</v>
      </c>
      <c r="C4531" t="s">
        <v>7865</v>
      </c>
      <c r="D4531" t="s">
        <v>17161</v>
      </c>
      <c r="E4531" t="s">
        <v>21177</v>
      </c>
      <c r="F4531" t="s">
        <v>29372</v>
      </c>
      <c r="G4531" t="s">
        <v>29380</v>
      </c>
      <c r="H4531" t="s">
        <v>11048</v>
      </c>
      <c r="I4531" t="s">
        <v>29429</v>
      </c>
      <c r="J4531" t="s">
        <v>32518</v>
      </c>
      <c r="K4531" t="s">
        <v>38510</v>
      </c>
      <c r="M4531" t="s">
        <v>40256</v>
      </c>
      <c r="N4531" t="s">
        <v>42669</v>
      </c>
      <c r="O4531" t="s">
        <v>42670</v>
      </c>
      <c r="P4531">
        <v>0</v>
      </c>
      <c r="Q4531">
        <v>2</v>
      </c>
      <c r="R4531" t="s">
        <v>42676</v>
      </c>
      <c r="S4531" t="s">
        <v>42809</v>
      </c>
      <c r="T4531" t="s">
        <v>44371</v>
      </c>
      <c r="U4531" t="s">
        <v>48521</v>
      </c>
      <c r="W4531" t="s">
        <v>40256</v>
      </c>
      <c r="X4531" t="s">
        <v>42677</v>
      </c>
    </row>
    <row r="4532" spans="1:24">
      <c r="A4532">
        <f>HYPERLINK("https://www.philgeps.gov.ph/GEPSNONPILOT/Tender/SplashBidNoticeAbstractUI.aspx?menuIndex=3&amp;refID=7188263&amp;Result=3","7188263")</f>
        <v>0</v>
      </c>
      <c r="B4532" t="s">
        <v>613</v>
      </c>
      <c r="C4532" t="s">
        <v>7866</v>
      </c>
      <c r="D4532" t="s">
        <v>17205</v>
      </c>
      <c r="E4532" t="s">
        <v>21178</v>
      </c>
      <c r="F4532" t="s">
        <v>29372</v>
      </c>
      <c r="G4532" t="s">
        <v>29383</v>
      </c>
      <c r="H4532" t="s">
        <v>11048</v>
      </c>
      <c r="I4532" t="s">
        <v>29496</v>
      </c>
      <c r="J4532" t="s">
        <v>32519</v>
      </c>
      <c r="K4532" t="s">
        <v>38490</v>
      </c>
      <c r="M4532" t="s">
        <v>39384</v>
      </c>
      <c r="N4532" t="s">
        <v>42669</v>
      </c>
      <c r="O4532" t="s">
        <v>42670</v>
      </c>
      <c r="P4532">
        <v>0</v>
      </c>
      <c r="Q4532">
        <v>5</v>
      </c>
      <c r="R4532" t="s">
        <v>42676</v>
      </c>
      <c r="S4532" t="s">
        <v>42809</v>
      </c>
      <c r="T4532" t="s">
        <v>44512</v>
      </c>
      <c r="U4532" t="s">
        <v>48522</v>
      </c>
      <c r="V4532" t="s">
        <v>56514</v>
      </c>
      <c r="W4532" t="s">
        <v>39384</v>
      </c>
      <c r="X4532" t="s">
        <v>42677</v>
      </c>
    </row>
    <row r="4533" spans="1:24">
      <c r="A4533">
        <f>HYPERLINK("https://www.philgeps.gov.ph/GEPSNONPILOT/Tender/SplashBidNoticeAbstractUI.aspx?menuIndex=3&amp;refID=7188257&amp;Result=3","7188257")</f>
        <v>0</v>
      </c>
      <c r="B4533" t="s">
        <v>1630</v>
      </c>
      <c r="C4533" t="s">
        <v>7867</v>
      </c>
      <c r="D4533" t="s">
        <v>17169</v>
      </c>
      <c r="E4533" t="s">
        <v>19666</v>
      </c>
      <c r="F4533" t="s">
        <v>29372</v>
      </c>
      <c r="G4533" t="s">
        <v>29380</v>
      </c>
      <c r="H4533" t="s">
        <v>29389</v>
      </c>
      <c r="I4533" t="s">
        <v>10408</v>
      </c>
      <c r="J4533" t="s">
        <v>32520</v>
      </c>
      <c r="K4533" t="s">
        <v>38485</v>
      </c>
      <c r="M4533" t="s">
        <v>40486</v>
      </c>
      <c r="N4533" t="s">
        <v>42669</v>
      </c>
      <c r="O4533" t="s">
        <v>42670</v>
      </c>
      <c r="P4533">
        <v>0</v>
      </c>
      <c r="Q4533">
        <v>0</v>
      </c>
      <c r="R4533" t="s">
        <v>42676</v>
      </c>
      <c r="S4533" t="s">
        <v>42809</v>
      </c>
      <c r="T4533" t="s">
        <v>44386</v>
      </c>
      <c r="U4533" t="s">
        <v>48523</v>
      </c>
      <c r="W4533" t="s">
        <v>40486</v>
      </c>
      <c r="X4533" t="s">
        <v>42677</v>
      </c>
    </row>
    <row r="4534" spans="1:24">
      <c r="A4534">
        <f>HYPERLINK("https://www.philgeps.gov.ph/GEPSNONPILOT/Tender/SplashBidNoticeAbstractUI.aspx?menuIndex=3&amp;refID=7188273&amp;Result=3","7188273")</f>
        <v>0</v>
      </c>
      <c r="B4534" t="s">
        <v>35</v>
      </c>
      <c r="C4534" t="s">
        <v>7868</v>
      </c>
      <c r="D4534" t="s">
        <v>17149</v>
      </c>
      <c r="E4534" t="s">
        <v>21179</v>
      </c>
      <c r="F4534" t="s">
        <v>29372</v>
      </c>
      <c r="G4534" t="s">
        <v>29379</v>
      </c>
      <c r="H4534" t="s">
        <v>11048</v>
      </c>
      <c r="I4534" t="s">
        <v>4709</v>
      </c>
      <c r="J4534" t="s">
        <v>32521</v>
      </c>
      <c r="K4534" t="s">
        <v>38488</v>
      </c>
      <c r="M4534" t="s">
        <v>40474</v>
      </c>
      <c r="N4534" t="s">
        <v>42669</v>
      </c>
      <c r="O4534" t="s">
        <v>42670</v>
      </c>
      <c r="P4534">
        <v>0</v>
      </c>
      <c r="Q4534">
        <v>0</v>
      </c>
      <c r="R4534" t="s">
        <v>42676</v>
      </c>
      <c r="S4534" t="s">
        <v>42809</v>
      </c>
      <c r="T4534" t="s">
        <v>44570</v>
      </c>
      <c r="U4534" t="s">
        <v>48504</v>
      </c>
      <c r="W4534" t="s">
        <v>40474</v>
      </c>
      <c r="X4534" t="s">
        <v>42677</v>
      </c>
    </row>
    <row r="4535" spans="1:24">
      <c r="A4535">
        <f>HYPERLINK("https://www.philgeps.gov.ph/GEPSNONPILOT/Tender/SplashBidNoticeAbstractUI.aspx?menuIndex=3&amp;refID=7188289&amp;Result=3","7188289")</f>
        <v>0</v>
      </c>
      <c r="B4535" t="s">
        <v>1631</v>
      </c>
      <c r="C4535" t="s">
        <v>7869</v>
      </c>
      <c r="D4535" t="s">
        <v>17196</v>
      </c>
      <c r="E4535" t="s">
        <v>21180</v>
      </c>
      <c r="F4535" t="s">
        <v>29372</v>
      </c>
      <c r="G4535" t="s">
        <v>29380</v>
      </c>
      <c r="H4535" t="s">
        <v>11048</v>
      </c>
      <c r="I4535" t="s">
        <v>9469</v>
      </c>
      <c r="J4535" t="s">
        <v>29543</v>
      </c>
      <c r="K4535" t="s">
        <v>38538</v>
      </c>
      <c r="M4535" t="s">
        <v>40487</v>
      </c>
      <c r="N4535" t="s">
        <v>42669</v>
      </c>
      <c r="O4535" t="s">
        <v>42670</v>
      </c>
      <c r="P4535">
        <v>0</v>
      </c>
      <c r="Q4535">
        <v>0</v>
      </c>
      <c r="R4535" t="s">
        <v>42676</v>
      </c>
      <c r="S4535" t="s">
        <v>42809</v>
      </c>
      <c r="T4535" t="s">
        <v>44527</v>
      </c>
      <c r="U4535" t="s">
        <v>48524</v>
      </c>
      <c r="V4535" t="s">
        <v>56854</v>
      </c>
      <c r="W4535" t="s">
        <v>40487</v>
      </c>
      <c r="X4535" t="s">
        <v>42677</v>
      </c>
    </row>
    <row r="4536" spans="1:24">
      <c r="A4536">
        <f>HYPERLINK("https://www.philgeps.gov.ph/GEPSNONPILOT/Tender/SplashBidNoticeAbstractUI.aspx?menuIndex=3&amp;refID=7188303&amp;Result=3","7188303")</f>
        <v>0</v>
      </c>
      <c r="B4536" t="s">
        <v>1626</v>
      </c>
      <c r="C4536" t="s">
        <v>7870</v>
      </c>
      <c r="D4536" t="s">
        <v>17173</v>
      </c>
      <c r="E4536" t="s">
        <v>21181</v>
      </c>
      <c r="F4536" t="s">
        <v>29372</v>
      </c>
      <c r="G4536" t="s">
        <v>29380</v>
      </c>
      <c r="H4536" t="s">
        <v>11048</v>
      </c>
      <c r="I4536" t="s">
        <v>3670</v>
      </c>
      <c r="J4536" t="s">
        <v>32522</v>
      </c>
      <c r="K4536" t="s">
        <v>38485</v>
      </c>
      <c r="M4536" t="s">
        <v>40480</v>
      </c>
      <c r="N4536" t="s">
        <v>42669</v>
      </c>
      <c r="O4536" t="s">
        <v>42670</v>
      </c>
      <c r="P4536">
        <v>0</v>
      </c>
      <c r="Q4536">
        <v>1</v>
      </c>
      <c r="R4536" t="s">
        <v>42676</v>
      </c>
      <c r="S4536" t="s">
        <v>42809</v>
      </c>
      <c r="T4536" t="s">
        <v>44368</v>
      </c>
      <c r="U4536" t="s">
        <v>48525</v>
      </c>
      <c r="W4536" t="s">
        <v>40480</v>
      </c>
      <c r="X4536" t="s">
        <v>42677</v>
      </c>
    </row>
    <row r="4537" spans="1:24">
      <c r="A4537">
        <f>HYPERLINK("https://www.philgeps.gov.ph/GEPSNONPILOT/Tender/SplashBidNoticeAbstractUI.aspx?menuIndex=3&amp;refID=7188293&amp;Result=3","7188293")</f>
        <v>0</v>
      </c>
      <c r="B4537" t="s">
        <v>1586</v>
      </c>
      <c r="C4537" t="s">
        <v>7871</v>
      </c>
      <c r="D4537" t="s">
        <v>17143</v>
      </c>
      <c r="E4537" t="s">
        <v>21182</v>
      </c>
      <c r="F4537" t="s">
        <v>29372</v>
      </c>
      <c r="G4537" t="s">
        <v>29379</v>
      </c>
      <c r="H4537" t="s">
        <v>11048</v>
      </c>
      <c r="I4537" t="s">
        <v>29412</v>
      </c>
      <c r="J4537" t="s">
        <v>29555</v>
      </c>
      <c r="K4537" t="s">
        <v>38489</v>
      </c>
      <c r="M4537" t="s">
        <v>40437</v>
      </c>
      <c r="N4537" t="s">
        <v>42669</v>
      </c>
      <c r="O4537" t="s">
        <v>42670</v>
      </c>
      <c r="P4537">
        <v>0</v>
      </c>
      <c r="Q4537">
        <v>0</v>
      </c>
      <c r="R4537" t="s">
        <v>42676</v>
      </c>
      <c r="S4537" t="s">
        <v>42809</v>
      </c>
      <c r="T4537" t="s">
        <v>44491</v>
      </c>
      <c r="U4537" t="s">
        <v>48526</v>
      </c>
      <c r="W4537" t="s">
        <v>40437</v>
      </c>
      <c r="X4537" t="s">
        <v>42677</v>
      </c>
    </row>
    <row r="4538" spans="1:24">
      <c r="A4538">
        <f>HYPERLINK("https://www.philgeps.gov.ph/GEPSNONPILOT/Tender/SplashBidNoticeAbstractUI.aspx?menuIndex=3&amp;refID=7188291&amp;Result=3","7188291")</f>
        <v>0</v>
      </c>
      <c r="B4538" t="s">
        <v>1626</v>
      </c>
      <c r="C4538" t="s">
        <v>7872</v>
      </c>
      <c r="D4538" t="s">
        <v>17173</v>
      </c>
      <c r="E4538" t="s">
        <v>21183</v>
      </c>
      <c r="F4538" t="s">
        <v>29372</v>
      </c>
      <c r="G4538" t="s">
        <v>29380</v>
      </c>
      <c r="H4538" t="s">
        <v>11048</v>
      </c>
      <c r="I4538" t="s">
        <v>3670</v>
      </c>
      <c r="J4538" t="s">
        <v>32523</v>
      </c>
      <c r="K4538" t="s">
        <v>38485</v>
      </c>
      <c r="M4538" t="s">
        <v>40480</v>
      </c>
      <c r="N4538" t="s">
        <v>42669</v>
      </c>
      <c r="O4538" t="s">
        <v>42670</v>
      </c>
      <c r="P4538">
        <v>0</v>
      </c>
      <c r="Q4538">
        <v>1</v>
      </c>
      <c r="R4538" t="s">
        <v>42676</v>
      </c>
      <c r="S4538" t="s">
        <v>42809</v>
      </c>
      <c r="T4538" t="s">
        <v>44368</v>
      </c>
      <c r="U4538" t="s">
        <v>48525</v>
      </c>
      <c r="W4538" t="s">
        <v>40480</v>
      </c>
      <c r="X4538" t="s">
        <v>42677</v>
      </c>
    </row>
    <row r="4539" spans="1:24">
      <c r="A4539">
        <f>HYPERLINK("https://www.philgeps.gov.ph/GEPSNONPILOT/Tender/SplashBidNoticeAbstractUI.aspx?menuIndex=3&amp;refID=7188295&amp;Result=3","7188295")</f>
        <v>0</v>
      </c>
      <c r="B4539" t="s">
        <v>1632</v>
      </c>
      <c r="C4539" t="s">
        <v>7873</v>
      </c>
      <c r="D4539" t="s">
        <v>17174</v>
      </c>
      <c r="E4539" t="s">
        <v>21184</v>
      </c>
      <c r="F4539" t="s">
        <v>29372</v>
      </c>
      <c r="G4539" t="s">
        <v>29379</v>
      </c>
      <c r="H4539" t="s">
        <v>11048</v>
      </c>
      <c r="I4539" t="s">
        <v>6417</v>
      </c>
      <c r="J4539" t="s">
        <v>29767</v>
      </c>
      <c r="K4539" t="s">
        <v>38528</v>
      </c>
      <c r="M4539" t="s">
        <v>40488</v>
      </c>
      <c r="N4539" t="s">
        <v>42669</v>
      </c>
      <c r="O4539" t="s">
        <v>42670</v>
      </c>
      <c r="P4539">
        <v>0</v>
      </c>
      <c r="Q4539">
        <v>0</v>
      </c>
      <c r="R4539" t="s">
        <v>42676</v>
      </c>
      <c r="S4539" t="s">
        <v>42809</v>
      </c>
      <c r="T4539" t="s">
        <v>44488</v>
      </c>
      <c r="U4539" t="s">
        <v>48527</v>
      </c>
      <c r="W4539" t="s">
        <v>40488</v>
      </c>
      <c r="X4539" t="s">
        <v>42677</v>
      </c>
    </row>
    <row r="4540" spans="1:24">
      <c r="A4540">
        <f>HYPERLINK("https://www.philgeps.gov.ph/GEPSNONPILOT/Tender/SplashBidNoticeAbstractUI.aspx?menuIndex=3&amp;refID=7188298&amp;Result=3","7188298")</f>
        <v>0</v>
      </c>
      <c r="B4540" t="s">
        <v>1633</v>
      </c>
      <c r="C4540" t="s">
        <v>5246</v>
      </c>
      <c r="D4540" t="s">
        <v>17169</v>
      </c>
      <c r="E4540" t="s">
        <v>19716</v>
      </c>
      <c r="F4540" t="s">
        <v>29372</v>
      </c>
      <c r="G4540" t="s">
        <v>29380</v>
      </c>
      <c r="H4540" t="s">
        <v>29389</v>
      </c>
      <c r="I4540" t="s">
        <v>10408</v>
      </c>
      <c r="J4540" t="s">
        <v>32524</v>
      </c>
      <c r="K4540" t="s">
        <v>38485</v>
      </c>
      <c r="M4540" t="s">
        <v>40489</v>
      </c>
      <c r="N4540" t="s">
        <v>42669</v>
      </c>
      <c r="O4540" t="s">
        <v>42670</v>
      </c>
      <c r="P4540">
        <v>0</v>
      </c>
      <c r="Q4540">
        <v>0</v>
      </c>
      <c r="R4540" t="s">
        <v>42676</v>
      </c>
      <c r="S4540" t="s">
        <v>42809</v>
      </c>
      <c r="T4540" t="s">
        <v>44386</v>
      </c>
      <c r="U4540" t="s">
        <v>48528</v>
      </c>
      <c r="W4540" t="s">
        <v>40489</v>
      </c>
      <c r="X4540" t="s">
        <v>42677</v>
      </c>
    </row>
    <row r="4541" spans="1:24">
      <c r="A4541">
        <f>HYPERLINK("https://www.philgeps.gov.ph/GEPSNONPILOT/Tender/SplashBidNoticeAbstractUI.aspx?menuIndex=3&amp;refID=7188322&amp;Result=3","7188322")</f>
        <v>0</v>
      </c>
      <c r="B4541" t="s">
        <v>1634</v>
      </c>
      <c r="C4541" t="s">
        <v>7874</v>
      </c>
      <c r="D4541" t="s">
        <v>17169</v>
      </c>
      <c r="E4541" t="s">
        <v>21185</v>
      </c>
      <c r="F4541" t="s">
        <v>29372</v>
      </c>
      <c r="G4541" t="s">
        <v>29380</v>
      </c>
      <c r="H4541" t="s">
        <v>29389</v>
      </c>
      <c r="I4541" t="s">
        <v>10408</v>
      </c>
      <c r="J4541" t="s">
        <v>32525</v>
      </c>
      <c r="K4541" t="s">
        <v>38503</v>
      </c>
      <c r="M4541" t="s">
        <v>40490</v>
      </c>
      <c r="N4541" t="s">
        <v>42669</v>
      </c>
      <c r="O4541" t="s">
        <v>42670</v>
      </c>
      <c r="P4541">
        <v>0</v>
      </c>
      <c r="Q4541">
        <v>0</v>
      </c>
      <c r="R4541" t="s">
        <v>42676</v>
      </c>
      <c r="S4541" t="s">
        <v>42809</v>
      </c>
      <c r="T4541" t="s">
        <v>44382</v>
      </c>
      <c r="U4541" t="s">
        <v>48529</v>
      </c>
      <c r="W4541" t="s">
        <v>40490</v>
      </c>
      <c r="X4541" t="s">
        <v>42677</v>
      </c>
    </row>
    <row r="4542" spans="1:24">
      <c r="A4542">
        <f>HYPERLINK("https://www.philgeps.gov.ph/GEPSNONPILOT/Tender/SplashBidNoticeAbstractUI.aspx?menuIndex=3&amp;refID=7188320&amp;Result=3","7188320")</f>
        <v>0</v>
      </c>
      <c r="B4542" t="s">
        <v>1635</v>
      </c>
      <c r="C4542" t="s">
        <v>7875</v>
      </c>
      <c r="D4542" t="s">
        <v>17192</v>
      </c>
      <c r="E4542" t="s">
        <v>17533</v>
      </c>
      <c r="F4542" t="s">
        <v>29372</v>
      </c>
      <c r="G4542" t="s">
        <v>29380</v>
      </c>
      <c r="H4542" t="s">
        <v>11048</v>
      </c>
      <c r="I4542" t="s">
        <v>4709</v>
      </c>
      <c r="J4542" t="s">
        <v>31263</v>
      </c>
      <c r="K4542" t="s">
        <v>38535</v>
      </c>
      <c r="M4542" t="s">
        <v>40491</v>
      </c>
      <c r="N4542" t="s">
        <v>42669</v>
      </c>
      <c r="O4542" t="s">
        <v>42670</v>
      </c>
      <c r="P4542">
        <v>0</v>
      </c>
      <c r="Q4542">
        <v>0</v>
      </c>
      <c r="R4542" t="s">
        <v>42676</v>
      </c>
      <c r="S4542" t="s">
        <v>42809</v>
      </c>
      <c r="T4542" t="s">
        <v>44670</v>
      </c>
      <c r="U4542" t="s">
        <v>48530</v>
      </c>
      <c r="W4542" t="s">
        <v>40491</v>
      </c>
      <c r="X4542" t="s">
        <v>42677</v>
      </c>
    </row>
    <row r="4543" spans="1:24">
      <c r="A4543">
        <f>HYPERLINK("https://www.philgeps.gov.ph/GEPSNONPILOT/Tender/SplashBidNoticeAbstractUI.aspx?menuIndex=3&amp;refID=7188321&amp;Result=3","7188321")</f>
        <v>0</v>
      </c>
      <c r="B4543" t="s">
        <v>1613</v>
      </c>
      <c r="C4543" t="s">
        <v>7876</v>
      </c>
      <c r="D4543" t="s">
        <v>17151</v>
      </c>
      <c r="E4543" t="s">
        <v>18590</v>
      </c>
      <c r="F4543" t="s">
        <v>29372</v>
      </c>
      <c r="G4543" t="s">
        <v>29382</v>
      </c>
      <c r="H4543" t="s">
        <v>11048</v>
      </c>
      <c r="I4543" t="s">
        <v>29412</v>
      </c>
      <c r="J4543" t="s">
        <v>30083</v>
      </c>
      <c r="K4543" t="s">
        <v>38528</v>
      </c>
      <c r="M4543" t="s">
        <v>40466</v>
      </c>
      <c r="N4543" t="s">
        <v>42669</v>
      </c>
      <c r="O4543" t="s">
        <v>42670</v>
      </c>
      <c r="P4543">
        <v>0</v>
      </c>
      <c r="Q4543">
        <v>0</v>
      </c>
      <c r="R4543" t="s">
        <v>42676</v>
      </c>
      <c r="S4543" t="s">
        <v>42809</v>
      </c>
      <c r="T4543" t="s">
        <v>44401</v>
      </c>
      <c r="U4543" t="s">
        <v>48531</v>
      </c>
      <c r="W4543" t="s">
        <v>40466</v>
      </c>
      <c r="X4543" t="s">
        <v>42677</v>
      </c>
    </row>
    <row r="4544" spans="1:24">
      <c r="A4544">
        <f>HYPERLINK("https://www.philgeps.gov.ph/GEPSNONPILOT/Tender/SplashBidNoticeAbstractUI.aspx?menuIndex=3&amp;refID=7188317&amp;Result=3","7188317")</f>
        <v>0</v>
      </c>
      <c r="B4544" t="s">
        <v>1465</v>
      </c>
      <c r="C4544" t="s">
        <v>7877</v>
      </c>
      <c r="D4544" t="s">
        <v>17205</v>
      </c>
      <c r="E4544" t="s">
        <v>21186</v>
      </c>
      <c r="F4544" t="s">
        <v>29372</v>
      </c>
      <c r="G4544" t="s">
        <v>29380</v>
      </c>
      <c r="H4544" t="s">
        <v>29389</v>
      </c>
      <c r="I4544" t="s">
        <v>10408</v>
      </c>
      <c r="J4544" t="s">
        <v>32526</v>
      </c>
      <c r="K4544" t="s">
        <v>38564</v>
      </c>
      <c r="M4544" t="s">
        <v>40308</v>
      </c>
      <c r="N4544" t="s">
        <v>42669</v>
      </c>
      <c r="O4544" t="s">
        <v>42670</v>
      </c>
      <c r="P4544">
        <v>0</v>
      </c>
      <c r="Q4544">
        <v>35</v>
      </c>
      <c r="R4544" t="s">
        <v>42676</v>
      </c>
      <c r="S4544" t="s">
        <v>42809</v>
      </c>
      <c r="T4544" t="s">
        <v>44622</v>
      </c>
      <c r="U4544" t="s">
        <v>48532</v>
      </c>
      <c r="W4544" t="s">
        <v>40308</v>
      </c>
      <c r="X4544" t="s">
        <v>42677</v>
      </c>
    </row>
    <row r="4545" spans="1:24">
      <c r="A4545">
        <f>HYPERLINK("https://www.philgeps.gov.ph/GEPSNONPILOT/Tender/SplashBidNoticeAbstractUI.aspx?menuIndex=3&amp;refID=7188315&amp;Result=3","7188315")</f>
        <v>0</v>
      </c>
      <c r="B4545" t="s">
        <v>1383</v>
      </c>
      <c r="C4545" t="s">
        <v>7878</v>
      </c>
      <c r="D4545" t="s">
        <v>17169</v>
      </c>
      <c r="E4545" t="s">
        <v>20592</v>
      </c>
      <c r="F4545" t="s">
        <v>29372</v>
      </c>
      <c r="G4545" t="s">
        <v>29380</v>
      </c>
      <c r="H4545" t="s">
        <v>29389</v>
      </c>
      <c r="I4545" t="s">
        <v>10408</v>
      </c>
      <c r="J4545" t="s">
        <v>32527</v>
      </c>
      <c r="K4545" t="s">
        <v>38522</v>
      </c>
      <c r="M4545" t="s">
        <v>40220</v>
      </c>
      <c r="N4545" t="s">
        <v>42669</v>
      </c>
      <c r="O4545" t="s">
        <v>42670</v>
      </c>
      <c r="P4545">
        <v>0</v>
      </c>
      <c r="Q4545">
        <v>2</v>
      </c>
      <c r="R4545" t="s">
        <v>42676</v>
      </c>
      <c r="S4545" t="s">
        <v>42809</v>
      </c>
      <c r="T4545" t="s">
        <v>44587</v>
      </c>
      <c r="U4545" t="s">
        <v>47960</v>
      </c>
      <c r="V4545" t="s">
        <v>56855</v>
      </c>
      <c r="W4545" t="s">
        <v>40220</v>
      </c>
      <c r="X4545" t="s">
        <v>42677</v>
      </c>
    </row>
    <row r="4546" spans="1:24">
      <c r="A4546">
        <f>HYPERLINK("https://www.philgeps.gov.ph/GEPSNONPILOT/Tender/SplashBidNoticeAbstractUI.aspx?menuIndex=3&amp;refID=7188312&amp;Result=3","7188312")</f>
        <v>0</v>
      </c>
      <c r="B4546" t="s">
        <v>1636</v>
      </c>
      <c r="C4546" t="s">
        <v>7879</v>
      </c>
      <c r="D4546" t="s">
        <v>17167</v>
      </c>
      <c r="E4546" t="s">
        <v>21187</v>
      </c>
      <c r="F4546" t="s">
        <v>29372</v>
      </c>
      <c r="G4546" t="s">
        <v>29380</v>
      </c>
      <c r="H4546" t="s">
        <v>11048</v>
      </c>
      <c r="I4546" t="s">
        <v>4709</v>
      </c>
      <c r="J4546" t="s">
        <v>32528</v>
      </c>
      <c r="K4546" t="s">
        <v>38489</v>
      </c>
      <c r="M4546" t="s">
        <v>40492</v>
      </c>
      <c r="N4546" t="s">
        <v>42669</v>
      </c>
      <c r="O4546" t="s">
        <v>42670</v>
      </c>
      <c r="P4546">
        <v>0</v>
      </c>
      <c r="Q4546">
        <v>0</v>
      </c>
      <c r="R4546" t="s">
        <v>42676</v>
      </c>
      <c r="S4546" t="s">
        <v>42809</v>
      </c>
      <c r="T4546" t="s">
        <v>44357</v>
      </c>
      <c r="U4546" t="s">
        <v>48533</v>
      </c>
      <c r="W4546" t="s">
        <v>40492</v>
      </c>
      <c r="X4546" t="s">
        <v>42677</v>
      </c>
    </row>
    <row r="4547" spans="1:24">
      <c r="A4547">
        <f>HYPERLINK("https://www.philgeps.gov.ph/GEPSNONPILOT/Tender/SplashBidNoticeAbstractUI.aspx?menuIndex=3&amp;refID=7188311&amp;Result=3","7188311")</f>
        <v>0</v>
      </c>
      <c r="B4547" t="s">
        <v>1575</v>
      </c>
      <c r="C4547" t="s">
        <v>7880</v>
      </c>
      <c r="D4547" t="s">
        <v>17170</v>
      </c>
      <c r="E4547" t="s">
        <v>21188</v>
      </c>
      <c r="F4547" t="s">
        <v>29372</v>
      </c>
      <c r="G4547" t="s">
        <v>29381</v>
      </c>
      <c r="H4547" t="s">
        <v>11048</v>
      </c>
      <c r="I4547" t="s">
        <v>29398</v>
      </c>
      <c r="J4547" t="s">
        <v>32529</v>
      </c>
      <c r="K4547" t="s">
        <v>38485</v>
      </c>
      <c r="M4547" t="s">
        <v>40425</v>
      </c>
      <c r="N4547" t="s">
        <v>42669</v>
      </c>
      <c r="O4547" t="s">
        <v>42670</v>
      </c>
      <c r="P4547">
        <v>0</v>
      </c>
      <c r="Q4547">
        <v>5</v>
      </c>
      <c r="R4547" t="s">
        <v>42676</v>
      </c>
      <c r="S4547" t="s">
        <v>42809</v>
      </c>
      <c r="T4547" t="s">
        <v>44382</v>
      </c>
      <c r="U4547" t="s">
        <v>48534</v>
      </c>
      <c r="W4547" t="s">
        <v>40425</v>
      </c>
      <c r="X4547" t="s">
        <v>42677</v>
      </c>
    </row>
    <row r="4548" spans="1:24">
      <c r="A4548">
        <f>HYPERLINK("https://www.philgeps.gov.ph/GEPSNONPILOT/Tender/SplashBidNoticeAbstractUI.aspx?menuIndex=3&amp;refID=7188325&amp;Result=3","7188325")</f>
        <v>0</v>
      </c>
      <c r="B4548" t="s">
        <v>1383</v>
      </c>
      <c r="C4548" t="s">
        <v>7881</v>
      </c>
      <c r="D4548" t="s">
        <v>17169</v>
      </c>
      <c r="E4548" t="s">
        <v>20592</v>
      </c>
      <c r="F4548" t="s">
        <v>29372</v>
      </c>
      <c r="G4548" t="s">
        <v>29380</v>
      </c>
      <c r="H4548" t="s">
        <v>29389</v>
      </c>
      <c r="I4548" t="s">
        <v>10408</v>
      </c>
      <c r="J4548" t="s">
        <v>32530</v>
      </c>
      <c r="K4548" t="s">
        <v>38564</v>
      </c>
      <c r="M4548" t="s">
        <v>40220</v>
      </c>
      <c r="N4548" t="s">
        <v>42669</v>
      </c>
      <c r="O4548" t="s">
        <v>42670</v>
      </c>
      <c r="P4548">
        <v>0</v>
      </c>
      <c r="Q4548">
        <v>2</v>
      </c>
      <c r="R4548" t="s">
        <v>42676</v>
      </c>
      <c r="S4548" t="s">
        <v>42809</v>
      </c>
      <c r="T4548" t="s">
        <v>44587</v>
      </c>
      <c r="U4548" t="s">
        <v>47960</v>
      </c>
      <c r="V4548" t="s">
        <v>56856</v>
      </c>
      <c r="W4548" t="s">
        <v>40220</v>
      </c>
      <c r="X4548" t="s">
        <v>42677</v>
      </c>
    </row>
    <row r="4549" spans="1:24">
      <c r="A4549">
        <f>HYPERLINK("https://www.philgeps.gov.ph/GEPSNONPILOT/Tender/SplashBidNoticeAbstractUI.aspx?menuIndex=3&amp;refID=7188330&amp;Result=3","7188330")</f>
        <v>0</v>
      </c>
      <c r="B4549" t="s">
        <v>964</v>
      </c>
      <c r="C4549" t="s">
        <v>7882</v>
      </c>
      <c r="D4549" t="s">
        <v>17205</v>
      </c>
      <c r="E4549" t="s">
        <v>21189</v>
      </c>
      <c r="F4549" t="s">
        <v>29372</v>
      </c>
      <c r="G4549" t="s">
        <v>29379</v>
      </c>
      <c r="H4549" t="s">
        <v>29389</v>
      </c>
      <c r="I4549" t="s">
        <v>10408</v>
      </c>
      <c r="J4549" t="s">
        <v>32531</v>
      </c>
      <c r="K4549" t="s">
        <v>38490</v>
      </c>
      <c r="M4549" t="s">
        <v>39760</v>
      </c>
      <c r="N4549" t="s">
        <v>42669</v>
      </c>
      <c r="O4549" t="s">
        <v>42670</v>
      </c>
      <c r="P4549">
        <v>0</v>
      </c>
      <c r="Q4549">
        <v>2</v>
      </c>
      <c r="R4549" t="s">
        <v>42676</v>
      </c>
      <c r="S4549" t="s">
        <v>42809</v>
      </c>
      <c r="T4549" t="s">
        <v>44469</v>
      </c>
      <c r="U4549" t="s">
        <v>46836</v>
      </c>
      <c r="V4549" t="s">
        <v>56601</v>
      </c>
      <c r="W4549" t="s">
        <v>39760</v>
      </c>
      <c r="X4549" t="s">
        <v>42677</v>
      </c>
    </row>
    <row r="4550" spans="1:24">
      <c r="A4550">
        <f>HYPERLINK("https://www.philgeps.gov.ph/GEPSNONPILOT/Tender/SplashBidNoticeAbstractUI.aspx?menuIndex=3&amp;refID=7188327&amp;Result=3","7188327")</f>
        <v>0</v>
      </c>
      <c r="B4550" t="s">
        <v>717</v>
      </c>
      <c r="C4550" t="s">
        <v>7883</v>
      </c>
      <c r="D4550" t="s">
        <v>17171</v>
      </c>
      <c r="E4550" t="s">
        <v>21190</v>
      </c>
      <c r="F4550" t="s">
        <v>29372</v>
      </c>
      <c r="G4550" t="s">
        <v>29379</v>
      </c>
      <c r="H4550" t="s">
        <v>11048</v>
      </c>
      <c r="I4550" t="s">
        <v>29407</v>
      </c>
      <c r="J4550" t="s">
        <v>32532</v>
      </c>
      <c r="K4550" t="s">
        <v>38490</v>
      </c>
      <c r="M4550" t="s">
        <v>39496</v>
      </c>
      <c r="N4550" t="s">
        <v>42669</v>
      </c>
      <c r="O4550" t="s">
        <v>42670</v>
      </c>
      <c r="P4550">
        <v>0</v>
      </c>
      <c r="Q4550">
        <v>4</v>
      </c>
      <c r="R4550" t="s">
        <v>42676</v>
      </c>
      <c r="S4550" t="s">
        <v>42809</v>
      </c>
      <c r="T4550" t="s">
        <v>44457</v>
      </c>
      <c r="U4550" t="s">
        <v>46336</v>
      </c>
      <c r="W4550" t="s">
        <v>39496</v>
      </c>
      <c r="X4550" t="s">
        <v>42677</v>
      </c>
    </row>
    <row r="4551" spans="1:24">
      <c r="A4551">
        <f>HYPERLINK("https://www.philgeps.gov.ph/GEPSNONPILOT/Tender/SplashBidNoticeAbstractUI.aspx?menuIndex=3&amp;refID=7188290&amp;Result=3","7188290")</f>
        <v>0</v>
      </c>
      <c r="B4551" t="s">
        <v>1637</v>
      </c>
      <c r="C4551" t="s">
        <v>7884</v>
      </c>
      <c r="D4551" t="s">
        <v>17199</v>
      </c>
      <c r="E4551" t="s">
        <v>21191</v>
      </c>
      <c r="F4551" t="s">
        <v>29372</v>
      </c>
      <c r="G4551" t="s">
        <v>29380</v>
      </c>
      <c r="H4551" t="s">
        <v>29389</v>
      </c>
      <c r="I4551" t="s">
        <v>10408</v>
      </c>
      <c r="J4551" t="s">
        <v>32533</v>
      </c>
      <c r="K4551" t="s">
        <v>38496</v>
      </c>
      <c r="M4551" t="s">
        <v>40493</v>
      </c>
      <c r="N4551" t="s">
        <v>42669</v>
      </c>
      <c r="O4551" t="s">
        <v>42670</v>
      </c>
      <c r="P4551">
        <v>0</v>
      </c>
      <c r="Q4551">
        <v>0</v>
      </c>
      <c r="R4551" t="s">
        <v>42676</v>
      </c>
      <c r="S4551" t="s">
        <v>42809</v>
      </c>
      <c r="T4551" t="s">
        <v>44525</v>
      </c>
      <c r="U4551" t="s">
        <v>48535</v>
      </c>
      <c r="W4551" t="s">
        <v>40493</v>
      </c>
      <c r="X4551" t="s">
        <v>42677</v>
      </c>
    </row>
    <row r="4552" spans="1:24">
      <c r="A4552">
        <f>HYPERLINK("https://www.philgeps.gov.ph/GEPSNONPILOT/Tender/SplashBidNoticeAbstractUI.aspx?menuIndex=3&amp;refID=7188351&amp;Result=3","7188351")</f>
        <v>0</v>
      </c>
      <c r="B4552" t="s">
        <v>1638</v>
      </c>
      <c r="C4552" t="s">
        <v>7885</v>
      </c>
      <c r="D4552" t="s">
        <v>17213</v>
      </c>
      <c r="E4552" t="s">
        <v>21192</v>
      </c>
      <c r="F4552" t="s">
        <v>29372</v>
      </c>
      <c r="G4552" t="s">
        <v>29383</v>
      </c>
      <c r="H4552" t="s">
        <v>11048</v>
      </c>
      <c r="I4552" t="s">
        <v>8208</v>
      </c>
      <c r="J4552" t="s">
        <v>30212</v>
      </c>
      <c r="K4552" t="s">
        <v>38490</v>
      </c>
      <c r="M4552" t="s">
        <v>40494</v>
      </c>
      <c r="N4552" t="s">
        <v>42669</v>
      </c>
      <c r="O4552" t="s">
        <v>42670</v>
      </c>
      <c r="P4552">
        <v>0</v>
      </c>
      <c r="Q4552">
        <v>0</v>
      </c>
      <c r="R4552" t="s">
        <v>42676</v>
      </c>
      <c r="S4552" t="s">
        <v>42809</v>
      </c>
      <c r="T4552" t="s">
        <v>44470</v>
      </c>
      <c r="U4552" t="s">
        <v>48536</v>
      </c>
      <c r="W4552" t="s">
        <v>58050</v>
      </c>
      <c r="X4552" t="s">
        <v>42677</v>
      </c>
    </row>
    <row r="4553" spans="1:24">
      <c r="A4553">
        <f>HYPERLINK("https://www.philgeps.gov.ph/GEPSNONPILOT/Tender/SplashBidNoticeAbstractUI.aspx?menuIndex=3&amp;refID=7188369&amp;Result=3","7188369")</f>
        <v>0</v>
      </c>
      <c r="B4553" t="s">
        <v>902</v>
      </c>
      <c r="C4553" t="s">
        <v>7886</v>
      </c>
      <c r="D4553" t="s">
        <v>17205</v>
      </c>
      <c r="E4553" t="s">
        <v>21193</v>
      </c>
      <c r="F4553" t="s">
        <v>29372</v>
      </c>
      <c r="G4553" t="s">
        <v>29380</v>
      </c>
      <c r="H4553" t="s">
        <v>11048</v>
      </c>
      <c r="I4553" t="s">
        <v>29395</v>
      </c>
      <c r="J4553" t="s">
        <v>32534</v>
      </c>
      <c r="K4553" t="s">
        <v>38490</v>
      </c>
      <c r="M4553" t="s">
        <v>39695</v>
      </c>
      <c r="N4553" t="s">
        <v>42669</v>
      </c>
      <c r="O4553" t="s">
        <v>42670</v>
      </c>
      <c r="P4553">
        <v>0</v>
      </c>
      <c r="Q4553">
        <v>1</v>
      </c>
      <c r="R4553" t="s">
        <v>42676</v>
      </c>
      <c r="S4553" t="s">
        <v>42809</v>
      </c>
      <c r="T4553" t="s">
        <v>44450</v>
      </c>
      <c r="U4553" t="s">
        <v>46678</v>
      </c>
      <c r="W4553" t="s">
        <v>39695</v>
      </c>
      <c r="X4553" t="s">
        <v>42677</v>
      </c>
    </row>
    <row r="4554" spans="1:24">
      <c r="A4554">
        <f>HYPERLINK("https://www.philgeps.gov.ph/GEPSNONPILOT/Tender/SplashBidNoticeAbstractUI.aspx?menuIndex=3&amp;refID=7188308&amp;Result=3","7188308")</f>
        <v>0</v>
      </c>
      <c r="B4554" t="s">
        <v>35</v>
      </c>
      <c r="C4554" t="s">
        <v>7887</v>
      </c>
      <c r="D4554" t="s">
        <v>17149</v>
      </c>
      <c r="E4554" t="s">
        <v>21194</v>
      </c>
      <c r="F4554" t="s">
        <v>29372</v>
      </c>
      <c r="G4554" t="s">
        <v>29379</v>
      </c>
      <c r="H4554" t="s">
        <v>11048</v>
      </c>
      <c r="I4554" t="s">
        <v>4709</v>
      </c>
      <c r="J4554" t="s">
        <v>30194</v>
      </c>
      <c r="K4554" t="s">
        <v>38488</v>
      </c>
      <c r="M4554" t="s">
        <v>40474</v>
      </c>
      <c r="N4554" t="s">
        <v>42669</v>
      </c>
      <c r="O4554" t="s">
        <v>42670</v>
      </c>
      <c r="P4554">
        <v>0</v>
      </c>
      <c r="Q4554">
        <v>0</v>
      </c>
      <c r="R4554" t="s">
        <v>42676</v>
      </c>
      <c r="S4554" t="s">
        <v>42809</v>
      </c>
      <c r="T4554" t="s">
        <v>44570</v>
      </c>
      <c r="U4554" t="s">
        <v>48504</v>
      </c>
      <c r="W4554" t="s">
        <v>40474</v>
      </c>
      <c r="X4554" t="s">
        <v>42677</v>
      </c>
    </row>
    <row r="4555" spans="1:24">
      <c r="A4555">
        <f>HYPERLINK("https://www.philgeps.gov.ph/GEPSNONPILOT/Tender/SplashBidNoticeAbstractUI.aspx?menuIndex=3&amp;refID=7188354&amp;Result=3","7188354")</f>
        <v>0</v>
      </c>
      <c r="B4555" t="s">
        <v>1524</v>
      </c>
      <c r="C4555" t="s">
        <v>7888</v>
      </c>
      <c r="D4555" t="s">
        <v>17194</v>
      </c>
      <c r="E4555" t="s">
        <v>21195</v>
      </c>
      <c r="F4555" t="s">
        <v>29372</v>
      </c>
      <c r="G4555" t="s">
        <v>29380</v>
      </c>
      <c r="H4555" t="s">
        <v>11048</v>
      </c>
      <c r="I4555" t="s">
        <v>3839</v>
      </c>
      <c r="J4555" t="s">
        <v>29692</v>
      </c>
      <c r="K4555" t="s">
        <v>38491</v>
      </c>
      <c r="M4555" t="s">
        <v>40371</v>
      </c>
      <c r="N4555" t="s">
        <v>42669</v>
      </c>
      <c r="O4555" t="s">
        <v>42670</v>
      </c>
      <c r="P4555">
        <v>0</v>
      </c>
      <c r="Q4555">
        <v>0</v>
      </c>
      <c r="R4555" t="s">
        <v>42676</v>
      </c>
      <c r="S4555" t="s">
        <v>42809</v>
      </c>
      <c r="T4555" t="s">
        <v>44386</v>
      </c>
      <c r="U4555" t="s">
        <v>48537</v>
      </c>
      <c r="W4555" t="s">
        <v>40371</v>
      </c>
      <c r="X4555" t="s">
        <v>42677</v>
      </c>
    </row>
    <row r="4556" spans="1:24">
      <c r="A4556">
        <f>HYPERLINK("https://www.philgeps.gov.ph/GEPSNONPILOT/Tender/SplashBidNoticeAbstractUI.aspx?menuIndex=3&amp;refID=7188352&amp;Result=3","7188352")</f>
        <v>0</v>
      </c>
      <c r="B4556" t="s">
        <v>1639</v>
      </c>
      <c r="C4556" t="s">
        <v>7889</v>
      </c>
      <c r="D4556" t="s">
        <v>17184</v>
      </c>
      <c r="E4556" t="s">
        <v>21196</v>
      </c>
      <c r="F4556" t="s">
        <v>29372</v>
      </c>
      <c r="G4556" t="s">
        <v>29379</v>
      </c>
      <c r="H4556" t="s">
        <v>11048</v>
      </c>
      <c r="I4556" t="s">
        <v>29398</v>
      </c>
      <c r="J4556" t="s">
        <v>32535</v>
      </c>
      <c r="K4556" t="s">
        <v>38485</v>
      </c>
      <c r="M4556" t="s">
        <v>40495</v>
      </c>
      <c r="N4556" t="s">
        <v>42669</v>
      </c>
      <c r="O4556" t="s">
        <v>42670</v>
      </c>
      <c r="P4556">
        <v>0</v>
      </c>
      <c r="Q4556">
        <v>10</v>
      </c>
      <c r="R4556" t="s">
        <v>42676</v>
      </c>
      <c r="S4556" t="s">
        <v>42809</v>
      </c>
      <c r="T4556" t="s">
        <v>44394</v>
      </c>
      <c r="U4556" t="s">
        <v>48538</v>
      </c>
      <c r="W4556" t="s">
        <v>40495</v>
      </c>
      <c r="X4556" t="s">
        <v>42677</v>
      </c>
    </row>
    <row r="4557" spans="1:24">
      <c r="A4557">
        <f>HYPERLINK("https://www.philgeps.gov.ph/GEPSNONPILOT/Tender/SplashBidNoticeAbstractUI.aspx?menuIndex=3&amp;refID=7188301&amp;Result=3","7188301")</f>
        <v>0</v>
      </c>
      <c r="B4557" t="s">
        <v>1383</v>
      </c>
      <c r="C4557" t="s">
        <v>7890</v>
      </c>
      <c r="D4557" t="s">
        <v>17169</v>
      </c>
      <c r="E4557" t="s">
        <v>20592</v>
      </c>
      <c r="F4557" t="s">
        <v>29372</v>
      </c>
      <c r="G4557" t="s">
        <v>29380</v>
      </c>
      <c r="H4557" t="s">
        <v>29389</v>
      </c>
      <c r="I4557" t="s">
        <v>10408</v>
      </c>
      <c r="J4557" t="s">
        <v>32536</v>
      </c>
      <c r="K4557" t="s">
        <v>38522</v>
      </c>
      <c r="M4557" t="s">
        <v>40220</v>
      </c>
      <c r="N4557" t="s">
        <v>42669</v>
      </c>
      <c r="O4557" t="s">
        <v>42670</v>
      </c>
      <c r="P4557">
        <v>0</v>
      </c>
      <c r="Q4557">
        <v>2</v>
      </c>
      <c r="R4557" t="s">
        <v>42676</v>
      </c>
      <c r="S4557" t="s">
        <v>42809</v>
      </c>
      <c r="T4557" t="s">
        <v>44587</v>
      </c>
      <c r="U4557" t="s">
        <v>47960</v>
      </c>
      <c r="V4557" t="s">
        <v>56857</v>
      </c>
      <c r="W4557" t="s">
        <v>40220</v>
      </c>
      <c r="X4557" t="s">
        <v>42677</v>
      </c>
    </row>
    <row r="4558" spans="1:24">
      <c r="A4558">
        <f>HYPERLINK("https://www.philgeps.gov.ph/GEPSNONPILOT/Tender/SplashBidNoticeAbstractUI.aspx?menuIndex=3&amp;refID=7188360&amp;Result=3","7188360")</f>
        <v>0</v>
      </c>
      <c r="B4558" t="s">
        <v>964</v>
      </c>
      <c r="C4558" t="s">
        <v>7891</v>
      </c>
      <c r="D4558" t="s">
        <v>17205</v>
      </c>
      <c r="E4558" t="s">
        <v>21197</v>
      </c>
      <c r="F4558" t="s">
        <v>29372</v>
      </c>
      <c r="G4558" t="s">
        <v>29380</v>
      </c>
      <c r="H4558" t="s">
        <v>29389</v>
      </c>
      <c r="I4558" t="s">
        <v>10408</v>
      </c>
      <c r="J4558" t="s">
        <v>30787</v>
      </c>
      <c r="K4558" t="s">
        <v>38490</v>
      </c>
      <c r="M4558" t="s">
        <v>39760</v>
      </c>
      <c r="N4558" t="s">
        <v>42669</v>
      </c>
      <c r="O4558" t="s">
        <v>42670</v>
      </c>
      <c r="P4558">
        <v>0</v>
      </c>
      <c r="Q4558">
        <v>14</v>
      </c>
      <c r="R4558" t="s">
        <v>42676</v>
      </c>
      <c r="S4558" t="s">
        <v>42809</v>
      </c>
      <c r="T4558" t="s">
        <v>44502</v>
      </c>
      <c r="U4558" t="s">
        <v>48539</v>
      </c>
      <c r="V4558" t="s">
        <v>56601</v>
      </c>
      <c r="W4558" t="s">
        <v>39760</v>
      </c>
      <c r="X4558" t="s">
        <v>42677</v>
      </c>
    </row>
    <row r="4559" spans="1:24">
      <c r="A4559">
        <f>HYPERLINK("https://www.philgeps.gov.ph/GEPSNONPILOT/Tender/SplashBidNoticeAbstractUI.aspx?menuIndex=3&amp;refID=7188350&amp;Result=3","7188350")</f>
        <v>0</v>
      </c>
      <c r="B4559" t="s">
        <v>1640</v>
      </c>
      <c r="C4559" t="s">
        <v>7892</v>
      </c>
      <c r="D4559" t="s">
        <v>17192</v>
      </c>
      <c r="E4559" t="s">
        <v>21198</v>
      </c>
      <c r="F4559" t="s">
        <v>29372</v>
      </c>
      <c r="G4559" t="s">
        <v>29383</v>
      </c>
      <c r="H4559" t="s">
        <v>11048</v>
      </c>
      <c r="I4559" t="s">
        <v>3629</v>
      </c>
      <c r="J4559" t="s">
        <v>30585</v>
      </c>
      <c r="K4559" t="s">
        <v>38488</v>
      </c>
      <c r="M4559" t="s">
        <v>40496</v>
      </c>
      <c r="N4559" t="s">
        <v>42669</v>
      </c>
      <c r="O4559" t="s">
        <v>42670</v>
      </c>
      <c r="P4559">
        <v>0</v>
      </c>
      <c r="Q4559">
        <v>0</v>
      </c>
      <c r="R4559" t="s">
        <v>42676</v>
      </c>
      <c r="S4559" t="s">
        <v>42809</v>
      </c>
      <c r="T4559" t="s">
        <v>44469</v>
      </c>
      <c r="U4559" t="s">
        <v>48540</v>
      </c>
      <c r="W4559" t="s">
        <v>40496</v>
      </c>
      <c r="X4559" t="s">
        <v>42677</v>
      </c>
    </row>
    <row r="4560" spans="1:24">
      <c r="A4560">
        <f>HYPERLINK("https://www.philgeps.gov.ph/GEPSNONPILOT/Tender/SplashBidNoticeAbstractUI.aspx?menuIndex=3&amp;refID=7188356&amp;Result=3","7188356")</f>
        <v>0</v>
      </c>
      <c r="B4560" t="s">
        <v>369</v>
      </c>
      <c r="C4560" t="s">
        <v>5982</v>
      </c>
      <c r="D4560" t="s">
        <v>17141</v>
      </c>
      <c r="E4560" t="s">
        <v>21199</v>
      </c>
      <c r="F4560" t="s">
        <v>29372</v>
      </c>
      <c r="G4560" t="s">
        <v>29379</v>
      </c>
      <c r="H4560" t="s">
        <v>11048</v>
      </c>
      <c r="I4560" t="s">
        <v>4486</v>
      </c>
      <c r="J4560" t="s">
        <v>30066</v>
      </c>
      <c r="K4560" t="s">
        <v>38491</v>
      </c>
      <c r="M4560" t="s">
        <v>39398</v>
      </c>
      <c r="N4560" t="s">
        <v>42669</v>
      </c>
      <c r="O4560" t="s">
        <v>42670</v>
      </c>
      <c r="P4560">
        <v>0</v>
      </c>
      <c r="Q4560">
        <v>3</v>
      </c>
      <c r="R4560" t="s">
        <v>42676</v>
      </c>
      <c r="S4560" t="s">
        <v>42809</v>
      </c>
      <c r="T4560" t="s">
        <v>44488</v>
      </c>
      <c r="U4560" t="s">
        <v>48490</v>
      </c>
      <c r="W4560" t="s">
        <v>39398</v>
      </c>
      <c r="X4560" t="s">
        <v>42677</v>
      </c>
    </row>
    <row r="4561" spans="1:24">
      <c r="A4561">
        <f>HYPERLINK("https://www.philgeps.gov.ph/GEPSNONPILOT/Tender/SplashBidNoticeAbstractUI.aspx?menuIndex=3&amp;refID=7188348&amp;Result=3","7188348")</f>
        <v>0</v>
      </c>
      <c r="B4561" t="s">
        <v>577</v>
      </c>
      <c r="C4561" t="s">
        <v>7893</v>
      </c>
      <c r="D4561" t="s">
        <v>17164</v>
      </c>
      <c r="E4561" t="s">
        <v>21200</v>
      </c>
      <c r="F4561" t="s">
        <v>29372</v>
      </c>
      <c r="G4561" t="s">
        <v>29383</v>
      </c>
      <c r="H4561" t="s">
        <v>11048</v>
      </c>
      <c r="I4561" t="s">
        <v>3670</v>
      </c>
      <c r="J4561" t="s">
        <v>32537</v>
      </c>
      <c r="K4561" t="s">
        <v>38490</v>
      </c>
      <c r="L4561" t="s">
        <v>577</v>
      </c>
      <c r="M4561" t="s">
        <v>39346</v>
      </c>
      <c r="N4561" t="s">
        <v>42669</v>
      </c>
      <c r="O4561" t="s">
        <v>42670</v>
      </c>
      <c r="P4561">
        <v>0</v>
      </c>
      <c r="Q4561">
        <v>1</v>
      </c>
      <c r="R4561" t="s">
        <v>42676</v>
      </c>
      <c r="S4561" t="s">
        <v>42809</v>
      </c>
      <c r="T4561" t="s">
        <v>44427</v>
      </c>
      <c r="U4561" t="s">
        <v>46774</v>
      </c>
      <c r="W4561" t="s">
        <v>39346</v>
      </c>
      <c r="X4561" t="s">
        <v>42677</v>
      </c>
    </row>
    <row r="4562" spans="1:24">
      <c r="A4562">
        <f>HYPERLINK("https://www.philgeps.gov.ph/GEPSNONPILOT/Tender/SplashBidNoticeAbstractUI.aspx?menuIndex=3&amp;refID=7188347&amp;Result=3","7188347")</f>
        <v>0</v>
      </c>
      <c r="B4562" t="s">
        <v>1566</v>
      </c>
      <c r="C4562" t="s">
        <v>5265</v>
      </c>
      <c r="E4562" t="s">
        <v>21201</v>
      </c>
      <c r="F4562" t="s">
        <v>29372</v>
      </c>
      <c r="G4562" t="s">
        <v>29380</v>
      </c>
      <c r="H4562" t="s">
        <v>11048</v>
      </c>
      <c r="I4562" t="s">
        <v>4709</v>
      </c>
      <c r="J4562" t="s">
        <v>32538</v>
      </c>
      <c r="K4562" t="s">
        <v>38490</v>
      </c>
      <c r="M4562" t="s">
        <v>40416</v>
      </c>
      <c r="N4562" t="s">
        <v>42669</v>
      </c>
      <c r="O4562" t="s">
        <v>42670</v>
      </c>
      <c r="P4562">
        <v>0</v>
      </c>
      <c r="Q4562">
        <v>0</v>
      </c>
      <c r="R4562" t="s">
        <v>42676</v>
      </c>
      <c r="S4562" t="s">
        <v>42809</v>
      </c>
      <c r="T4562" t="s">
        <v>44663</v>
      </c>
      <c r="U4562" t="s">
        <v>48541</v>
      </c>
      <c r="W4562" t="s">
        <v>40416</v>
      </c>
      <c r="X4562" t="s">
        <v>42677</v>
      </c>
    </row>
    <row r="4563" spans="1:24">
      <c r="A4563">
        <f>HYPERLINK("https://www.philgeps.gov.ph/GEPSNONPILOT/Tender/SplashBidNoticeAbstractUI.aspx?menuIndex=3&amp;refID=7188344&amp;Result=3","7188344")</f>
        <v>0</v>
      </c>
      <c r="B4563" t="s">
        <v>1515</v>
      </c>
      <c r="C4563" t="s">
        <v>7894</v>
      </c>
      <c r="D4563" t="s">
        <v>17174</v>
      </c>
      <c r="E4563" t="s">
        <v>21202</v>
      </c>
      <c r="F4563" t="s">
        <v>29372</v>
      </c>
      <c r="G4563" t="s">
        <v>29379</v>
      </c>
      <c r="H4563" t="s">
        <v>11048</v>
      </c>
      <c r="I4563" t="s">
        <v>3629</v>
      </c>
      <c r="J4563" t="s">
        <v>32539</v>
      </c>
      <c r="K4563" t="s">
        <v>38530</v>
      </c>
      <c r="M4563" t="s">
        <v>40360</v>
      </c>
      <c r="N4563" t="s">
        <v>42669</v>
      </c>
      <c r="O4563" t="s">
        <v>42670</v>
      </c>
      <c r="P4563">
        <v>0</v>
      </c>
      <c r="Q4563">
        <v>2</v>
      </c>
      <c r="R4563" t="s">
        <v>42676</v>
      </c>
      <c r="S4563" t="s">
        <v>42809</v>
      </c>
      <c r="T4563" t="s">
        <v>44432</v>
      </c>
      <c r="U4563" t="s">
        <v>48542</v>
      </c>
      <c r="W4563" t="s">
        <v>40360</v>
      </c>
      <c r="X4563" t="s">
        <v>42677</v>
      </c>
    </row>
    <row r="4564" spans="1:24">
      <c r="A4564">
        <f>HYPERLINK("https://www.philgeps.gov.ph/GEPSNONPILOT/Tender/SplashBidNoticeAbstractUI.aspx?menuIndex=3&amp;refID=7188341&amp;Result=3","7188341")</f>
        <v>0</v>
      </c>
      <c r="B4564" t="s">
        <v>1325</v>
      </c>
      <c r="C4564" t="s">
        <v>7895</v>
      </c>
      <c r="D4564" t="s">
        <v>17163</v>
      </c>
      <c r="E4564" t="s">
        <v>20988</v>
      </c>
      <c r="F4564" t="s">
        <v>29372</v>
      </c>
      <c r="G4564" t="s">
        <v>29380</v>
      </c>
      <c r="H4564" t="s">
        <v>29389</v>
      </c>
      <c r="I4564" t="s">
        <v>10408</v>
      </c>
      <c r="J4564" t="s">
        <v>29801</v>
      </c>
      <c r="K4564" t="s">
        <v>38487</v>
      </c>
      <c r="M4564" t="s">
        <v>40161</v>
      </c>
      <c r="N4564" t="s">
        <v>42669</v>
      </c>
      <c r="O4564" t="s">
        <v>42670</v>
      </c>
      <c r="P4564">
        <v>0</v>
      </c>
      <c r="Q4564">
        <v>18</v>
      </c>
      <c r="R4564" t="s">
        <v>42676</v>
      </c>
      <c r="S4564" t="s">
        <v>42809</v>
      </c>
      <c r="T4564" t="s">
        <v>44378</v>
      </c>
      <c r="U4564" t="s">
        <v>48543</v>
      </c>
      <c r="V4564" t="s">
        <v>56691</v>
      </c>
      <c r="W4564" t="s">
        <v>40161</v>
      </c>
      <c r="X4564" t="s">
        <v>42677</v>
      </c>
    </row>
    <row r="4565" spans="1:24">
      <c r="A4565">
        <f>HYPERLINK("https://www.philgeps.gov.ph/GEPSNONPILOT/Tender/SplashBidNoticeAbstractUI.aspx?menuIndex=3&amp;refID=7188300&amp;Result=3","7188300")</f>
        <v>0</v>
      </c>
      <c r="B4565" t="s">
        <v>1641</v>
      </c>
      <c r="C4565" t="s">
        <v>7896</v>
      </c>
      <c r="D4565" t="s">
        <v>17142</v>
      </c>
      <c r="E4565" t="s">
        <v>21203</v>
      </c>
      <c r="F4565" t="s">
        <v>29372</v>
      </c>
      <c r="G4565" t="s">
        <v>29380</v>
      </c>
      <c r="H4565" t="s">
        <v>11048</v>
      </c>
      <c r="I4565" t="s">
        <v>3695</v>
      </c>
      <c r="J4565" t="s">
        <v>30363</v>
      </c>
      <c r="K4565" t="s">
        <v>38510</v>
      </c>
      <c r="M4565" t="s">
        <v>40497</v>
      </c>
      <c r="N4565" t="s">
        <v>42669</v>
      </c>
      <c r="O4565" t="s">
        <v>42670</v>
      </c>
      <c r="P4565">
        <v>0</v>
      </c>
      <c r="Q4565">
        <v>2</v>
      </c>
      <c r="R4565" t="s">
        <v>42676</v>
      </c>
      <c r="S4565" t="s">
        <v>42809</v>
      </c>
      <c r="T4565" t="s">
        <v>44530</v>
      </c>
      <c r="U4565" t="s">
        <v>48544</v>
      </c>
      <c r="W4565" t="s">
        <v>40497</v>
      </c>
      <c r="X4565" t="s">
        <v>42677</v>
      </c>
    </row>
    <row r="4566" spans="1:24">
      <c r="A4566">
        <f>HYPERLINK("https://www.philgeps.gov.ph/GEPSNONPILOT/Tender/SplashBidNoticeAbstractUI.aspx?menuIndex=3&amp;refID=7188338&amp;Result=3","7188338")</f>
        <v>0</v>
      </c>
      <c r="B4566" t="s">
        <v>1642</v>
      </c>
      <c r="C4566" t="s">
        <v>7897</v>
      </c>
      <c r="D4566" t="s">
        <v>17192</v>
      </c>
      <c r="E4566" t="s">
        <v>21204</v>
      </c>
      <c r="F4566" t="s">
        <v>29372</v>
      </c>
      <c r="G4566" t="s">
        <v>29379</v>
      </c>
      <c r="H4566" t="s">
        <v>11048</v>
      </c>
      <c r="I4566" t="s">
        <v>3695</v>
      </c>
      <c r="J4566" t="s">
        <v>32540</v>
      </c>
      <c r="K4566" t="s">
        <v>38485</v>
      </c>
      <c r="M4566" t="s">
        <v>40498</v>
      </c>
      <c r="N4566" t="s">
        <v>42669</v>
      </c>
      <c r="O4566" t="s">
        <v>42670</v>
      </c>
      <c r="P4566">
        <v>0</v>
      </c>
      <c r="Q4566">
        <v>1</v>
      </c>
      <c r="R4566" t="s">
        <v>42676</v>
      </c>
      <c r="S4566" t="s">
        <v>42809</v>
      </c>
      <c r="T4566" t="s">
        <v>44488</v>
      </c>
      <c r="U4566" t="s">
        <v>45803</v>
      </c>
      <c r="W4566" t="s">
        <v>40498</v>
      </c>
      <c r="X4566" t="s">
        <v>42677</v>
      </c>
    </row>
    <row r="4567" spans="1:24">
      <c r="A4567">
        <f>HYPERLINK("https://www.philgeps.gov.ph/GEPSNONPILOT/Tender/SplashBidNoticeAbstractUI.aspx?menuIndex=3&amp;refID=7188340&amp;Result=3","7188340")</f>
        <v>0</v>
      </c>
      <c r="B4567" t="s">
        <v>1579</v>
      </c>
      <c r="C4567" t="s">
        <v>7898</v>
      </c>
      <c r="D4567" t="s">
        <v>17175</v>
      </c>
      <c r="E4567" t="s">
        <v>21205</v>
      </c>
      <c r="F4567" t="s">
        <v>29372</v>
      </c>
      <c r="G4567" t="s">
        <v>29379</v>
      </c>
      <c r="H4567" t="s">
        <v>11048</v>
      </c>
      <c r="I4567" t="s">
        <v>29394</v>
      </c>
      <c r="J4567" t="s">
        <v>29680</v>
      </c>
      <c r="K4567" t="s">
        <v>38490</v>
      </c>
      <c r="M4567" t="s">
        <v>40429</v>
      </c>
      <c r="N4567" t="s">
        <v>42669</v>
      </c>
      <c r="O4567" t="s">
        <v>42670</v>
      </c>
      <c r="P4567">
        <v>0</v>
      </c>
      <c r="Q4567">
        <v>1</v>
      </c>
      <c r="R4567" t="s">
        <v>42676</v>
      </c>
      <c r="S4567" t="s">
        <v>42809</v>
      </c>
      <c r="T4567" t="s">
        <v>44371</v>
      </c>
      <c r="U4567" t="s">
        <v>48545</v>
      </c>
      <c r="W4567" t="s">
        <v>40429</v>
      </c>
      <c r="X4567" t="s">
        <v>42677</v>
      </c>
    </row>
    <row r="4568" spans="1:24">
      <c r="A4568">
        <f>HYPERLINK("https://www.philgeps.gov.ph/GEPSNONPILOT/Tender/SplashBidNoticeAbstractUI.aspx?menuIndex=3&amp;refID=7188334&amp;Result=3","7188334")</f>
        <v>0</v>
      </c>
      <c r="B4568" t="s">
        <v>577</v>
      </c>
      <c r="C4568" t="s">
        <v>7899</v>
      </c>
      <c r="D4568" t="s">
        <v>17164</v>
      </c>
      <c r="E4568" t="s">
        <v>21206</v>
      </c>
      <c r="F4568" t="s">
        <v>29372</v>
      </c>
      <c r="G4568" t="s">
        <v>29379</v>
      </c>
      <c r="H4568" t="s">
        <v>11048</v>
      </c>
      <c r="I4568" t="s">
        <v>3839</v>
      </c>
      <c r="J4568" t="s">
        <v>29751</v>
      </c>
      <c r="K4568" t="s">
        <v>38490</v>
      </c>
      <c r="L4568" t="s">
        <v>577</v>
      </c>
      <c r="M4568" t="s">
        <v>39346</v>
      </c>
      <c r="N4568" t="s">
        <v>42669</v>
      </c>
      <c r="O4568" t="s">
        <v>42670</v>
      </c>
      <c r="P4568">
        <v>0</v>
      </c>
      <c r="Q4568">
        <v>2</v>
      </c>
      <c r="R4568" t="s">
        <v>42676</v>
      </c>
      <c r="S4568" t="s">
        <v>42809</v>
      </c>
      <c r="T4568" t="s">
        <v>44427</v>
      </c>
      <c r="U4568" t="s">
        <v>46774</v>
      </c>
      <c r="W4568" t="s">
        <v>39346</v>
      </c>
      <c r="X4568" t="s">
        <v>42677</v>
      </c>
    </row>
    <row r="4569" spans="1:24">
      <c r="A4569">
        <f>HYPERLINK("https://www.philgeps.gov.ph/GEPSNONPILOT/Tender/SplashBidNoticeAbstractUI.aspx?menuIndex=3&amp;refID=7188336&amp;Result=3","7188336")</f>
        <v>0</v>
      </c>
      <c r="B4569" t="s">
        <v>1383</v>
      </c>
      <c r="C4569" t="s">
        <v>7900</v>
      </c>
      <c r="D4569" t="s">
        <v>17169</v>
      </c>
      <c r="E4569" t="s">
        <v>20592</v>
      </c>
      <c r="F4569" t="s">
        <v>29372</v>
      </c>
      <c r="G4569" t="s">
        <v>29380</v>
      </c>
      <c r="H4569" t="s">
        <v>29389</v>
      </c>
      <c r="I4569" t="s">
        <v>10408</v>
      </c>
      <c r="J4569" t="s">
        <v>32541</v>
      </c>
      <c r="K4569" t="s">
        <v>38526</v>
      </c>
      <c r="M4569" t="s">
        <v>40220</v>
      </c>
      <c r="N4569" t="s">
        <v>42669</v>
      </c>
      <c r="O4569" t="s">
        <v>42670</v>
      </c>
      <c r="P4569">
        <v>0</v>
      </c>
      <c r="Q4569">
        <v>3</v>
      </c>
      <c r="R4569" t="s">
        <v>42676</v>
      </c>
      <c r="S4569" t="s">
        <v>42809</v>
      </c>
      <c r="T4569" t="s">
        <v>44587</v>
      </c>
      <c r="U4569" t="s">
        <v>47960</v>
      </c>
      <c r="V4569" t="s">
        <v>56858</v>
      </c>
      <c r="W4569" t="s">
        <v>40220</v>
      </c>
      <c r="X4569" t="s">
        <v>42677</v>
      </c>
    </row>
    <row r="4570" spans="1:24">
      <c r="A4570">
        <f>HYPERLINK("https://www.philgeps.gov.ph/GEPSNONPILOT/Tender/SplashBidNoticeAbstractUI.aspx?menuIndex=3&amp;refID=7188346&amp;Result=3","7188346")</f>
        <v>0</v>
      </c>
      <c r="B4570" t="s">
        <v>824</v>
      </c>
      <c r="C4570" t="s">
        <v>7901</v>
      </c>
      <c r="D4570" t="s">
        <v>17177</v>
      </c>
      <c r="E4570" t="s">
        <v>21207</v>
      </c>
      <c r="F4570" t="s">
        <v>29372</v>
      </c>
      <c r="G4570" t="s">
        <v>29383</v>
      </c>
      <c r="H4570" t="s">
        <v>11048</v>
      </c>
      <c r="I4570" t="s">
        <v>29469</v>
      </c>
      <c r="J4570" t="s">
        <v>29811</v>
      </c>
      <c r="K4570" t="s">
        <v>38488</v>
      </c>
      <c r="M4570" t="s">
        <v>39610</v>
      </c>
      <c r="N4570" t="s">
        <v>42669</v>
      </c>
      <c r="O4570" t="s">
        <v>42670</v>
      </c>
      <c r="P4570">
        <v>0</v>
      </c>
      <c r="Q4570">
        <v>1</v>
      </c>
      <c r="R4570" t="s">
        <v>42676</v>
      </c>
      <c r="S4570" t="s">
        <v>42809</v>
      </c>
      <c r="T4570" t="s">
        <v>44382</v>
      </c>
      <c r="U4570" t="s">
        <v>46536</v>
      </c>
      <c r="W4570" t="s">
        <v>39610</v>
      </c>
      <c r="X4570" t="s">
        <v>42677</v>
      </c>
    </row>
    <row r="4571" spans="1:24">
      <c r="A4571">
        <f>HYPERLINK("https://www.philgeps.gov.ph/GEPSNONPILOT/Tender/SplashBidNoticeAbstractUI.aspx?menuIndex=3&amp;refID=7188343&amp;Result=3","7188343")</f>
        <v>0</v>
      </c>
      <c r="B4571" t="s">
        <v>1643</v>
      </c>
      <c r="C4571" t="s">
        <v>7902</v>
      </c>
      <c r="D4571" t="s">
        <v>17168</v>
      </c>
      <c r="E4571" t="s">
        <v>21208</v>
      </c>
      <c r="F4571" t="s">
        <v>29378</v>
      </c>
      <c r="G4571" t="s">
        <v>29386</v>
      </c>
      <c r="H4571" t="s">
        <v>29391</v>
      </c>
      <c r="I4571" t="s">
        <v>29391</v>
      </c>
      <c r="J4571" t="s">
        <v>30889</v>
      </c>
      <c r="K4571" t="s">
        <v>38486</v>
      </c>
      <c r="M4571" t="s">
        <v>40499</v>
      </c>
      <c r="N4571" t="s">
        <v>42669</v>
      </c>
      <c r="O4571" t="s">
        <v>42670</v>
      </c>
      <c r="P4571">
        <v>0</v>
      </c>
      <c r="Q4571">
        <v>0</v>
      </c>
      <c r="R4571" t="s">
        <v>42676</v>
      </c>
      <c r="S4571" t="s">
        <v>42809</v>
      </c>
      <c r="T4571" t="s">
        <v>44384</v>
      </c>
      <c r="U4571" t="s">
        <v>48546</v>
      </c>
      <c r="W4571" t="s">
        <v>40499</v>
      </c>
      <c r="X4571" t="s">
        <v>42677</v>
      </c>
    </row>
    <row r="4572" spans="1:24">
      <c r="A4572">
        <f>HYPERLINK("https://www.philgeps.gov.ph/GEPSNONPILOT/Tender/SplashBidNoticeAbstractUI.aspx?menuIndex=3&amp;refID=7188392&amp;Result=3","7188392")</f>
        <v>0</v>
      </c>
      <c r="B4572" t="s">
        <v>1644</v>
      </c>
      <c r="C4572" t="s">
        <v>7903</v>
      </c>
      <c r="D4572" t="s">
        <v>17222</v>
      </c>
      <c r="E4572" t="s">
        <v>21209</v>
      </c>
      <c r="F4572" t="s">
        <v>29372</v>
      </c>
      <c r="G4572" t="s">
        <v>29379</v>
      </c>
      <c r="H4572" t="s">
        <v>11048</v>
      </c>
      <c r="I4572" t="s">
        <v>4487</v>
      </c>
      <c r="J4572" t="s">
        <v>32542</v>
      </c>
      <c r="K4572" t="s">
        <v>38491</v>
      </c>
      <c r="M4572" t="s">
        <v>40500</v>
      </c>
      <c r="N4572" t="s">
        <v>42669</v>
      </c>
      <c r="O4572" t="s">
        <v>42670</v>
      </c>
      <c r="P4572">
        <v>0</v>
      </c>
      <c r="Q4572">
        <v>0</v>
      </c>
      <c r="R4572" t="s">
        <v>42676</v>
      </c>
      <c r="S4572" t="s">
        <v>42809</v>
      </c>
      <c r="T4572" t="s">
        <v>44382</v>
      </c>
      <c r="U4572" t="s">
        <v>48547</v>
      </c>
      <c r="W4572" t="s">
        <v>40500</v>
      </c>
      <c r="X4572" t="s">
        <v>42677</v>
      </c>
    </row>
    <row r="4573" spans="1:24">
      <c r="A4573">
        <f>HYPERLINK("https://www.philgeps.gov.ph/GEPSNONPILOT/Tender/SplashBidNoticeAbstractUI.aspx?menuIndex=3&amp;refID=7188305&amp;Result=3","7188305")</f>
        <v>0</v>
      </c>
      <c r="B4573" t="s">
        <v>1645</v>
      </c>
      <c r="C4573" t="s">
        <v>7904</v>
      </c>
      <c r="D4573" t="s">
        <v>17191</v>
      </c>
      <c r="E4573" t="s">
        <v>21210</v>
      </c>
      <c r="F4573" t="s">
        <v>29372</v>
      </c>
      <c r="G4573" t="s">
        <v>29380</v>
      </c>
      <c r="H4573" t="s">
        <v>29389</v>
      </c>
      <c r="I4573" t="s">
        <v>10408</v>
      </c>
      <c r="J4573" t="s">
        <v>32543</v>
      </c>
      <c r="K4573" t="s">
        <v>38637</v>
      </c>
      <c r="L4573" t="s">
        <v>1645</v>
      </c>
      <c r="M4573" t="s">
        <v>40501</v>
      </c>
      <c r="N4573" t="s">
        <v>42669</v>
      </c>
      <c r="O4573" t="s">
        <v>42670</v>
      </c>
      <c r="P4573">
        <v>0</v>
      </c>
      <c r="Q4573">
        <v>0</v>
      </c>
      <c r="R4573" t="s">
        <v>42676</v>
      </c>
      <c r="S4573" t="s">
        <v>42809</v>
      </c>
      <c r="T4573" t="s">
        <v>44503</v>
      </c>
      <c r="U4573" t="s">
        <v>48548</v>
      </c>
      <c r="V4573" t="s">
        <v>56859</v>
      </c>
      <c r="W4573" t="s">
        <v>58051</v>
      </c>
      <c r="X4573" t="s">
        <v>42677</v>
      </c>
    </row>
    <row r="4574" spans="1:24">
      <c r="A4574">
        <f>HYPERLINK("https://www.philgeps.gov.ph/GEPSNONPILOT/Tender/SplashBidNoticeAbstractUI.aspx?menuIndex=3&amp;refID=7188390&amp;Result=3","7188390")</f>
        <v>0</v>
      </c>
      <c r="B4574" t="s">
        <v>1344</v>
      </c>
      <c r="C4574" t="s">
        <v>7905</v>
      </c>
      <c r="D4574" t="s">
        <v>17144</v>
      </c>
      <c r="E4574" t="s">
        <v>21211</v>
      </c>
      <c r="F4574" t="s">
        <v>29372</v>
      </c>
      <c r="G4574" t="s">
        <v>29379</v>
      </c>
      <c r="H4574" t="s">
        <v>11048</v>
      </c>
      <c r="I4574" t="s">
        <v>29398</v>
      </c>
      <c r="J4574" t="s">
        <v>29532</v>
      </c>
      <c r="K4574" t="s">
        <v>38510</v>
      </c>
      <c r="M4574" t="s">
        <v>40485</v>
      </c>
      <c r="N4574" t="s">
        <v>42669</v>
      </c>
      <c r="O4574" t="s">
        <v>42670</v>
      </c>
      <c r="P4574">
        <v>0</v>
      </c>
      <c r="Q4574">
        <v>2</v>
      </c>
      <c r="R4574" t="s">
        <v>42676</v>
      </c>
      <c r="S4574" t="s">
        <v>42809</v>
      </c>
      <c r="T4574" t="s">
        <v>44462</v>
      </c>
      <c r="U4574" t="s">
        <v>48549</v>
      </c>
      <c r="W4574" t="s">
        <v>40485</v>
      </c>
      <c r="X4574" t="s">
        <v>42677</v>
      </c>
    </row>
    <row r="4575" spans="1:24">
      <c r="A4575">
        <f>HYPERLINK("https://www.philgeps.gov.ph/GEPSNONPILOT/Tender/SplashBidNoticeAbstractUI.aspx?menuIndex=3&amp;refID=7188326&amp;Result=3","7188326")</f>
        <v>0</v>
      </c>
      <c r="B4575" t="s">
        <v>579</v>
      </c>
      <c r="C4575" t="s">
        <v>7906</v>
      </c>
      <c r="D4575" t="s">
        <v>17141</v>
      </c>
      <c r="E4575" t="s">
        <v>21212</v>
      </c>
      <c r="F4575" t="s">
        <v>29373</v>
      </c>
      <c r="G4575" t="s">
        <v>29380</v>
      </c>
      <c r="H4575" t="s">
        <v>11048</v>
      </c>
      <c r="I4575" t="s">
        <v>29473</v>
      </c>
      <c r="J4575" t="s">
        <v>29549</v>
      </c>
      <c r="K4575" t="s">
        <v>38485</v>
      </c>
      <c r="M4575" t="s">
        <v>39348</v>
      </c>
      <c r="N4575" t="s">
        <v>42669</v>
      </c>
      <c r="O4575" t="s">
        <v>42670</v>
      </c>
      <c r="P4575">
        <v>0</v>
      </c>
      <c r="Q4575">
        <v>4</v>
      </c>
      <c r="R4575" t="s">
        <v>42676</v>
      </c>
      <c r="S4575" t="s">
        <v>42809</v>
      </c>
      <c r="T4575" t="s">
        <v>44557</v>
      </c>
      <c r="U4575" t="s">
        <v>48550</v>
      </c>
      <c r="V4575" t="s">
        <v>56504</v>
      </c>
      <c r="W4575" t="s">
        <v>39348</v>
      </c>
      <c r="X4575" t="s">
        <v>42677</v>
      </c>
    </row>
    <row r="4576" spans="1:24">
      <c r="A4576">
        <f>HYPERLINK("https://www.philgeps.gov.ph/GEPSNONPILOT/Tender/SplashBidNoticeAbstractUI.aspx?menuIndex=3&amp;refID=7188383&amp;Result=3","7188383")</f>
        <v>0</v>
      </c>
      <c r="B4576" t="s">
        <v>1646</v>
      </c>
      <c r="C4576" t="s">
        <v>7907</v>
      </c>
      <c r="D4576" t="s">
        <v>17205</v>
      </c>
      <c r="E4576" t="s">
        <v>21213</v>
      </c>
      <c r="F4576" t="s">
        <v>29372</v>
      </c>
      <c r="G4576" t="s">
        <v>29382</v>
      </c>
      <c r="H4576" t="s">
        <v>11048</v>
      </c>
      <c r="I4576" t="s">
        <v>3670</v>
      </c>
      <c r="J4576" t="s">
        <v>32544</v>
      </c>
      <c r="K4576" t="s">
        <v>38491</v>
      </c>
      <c r="M4576" t="s">
        <v>40502</v>
      </c>
      <c r="N4576" t="s">
        <v>42669</v>
      </c>
      <c r="O4576" t="s">
        <v>42670</v>
      </c>
      <c r="P4576">
        <v>0</v>
      </c>
      <c r="Q4576">
        <v>6</v>
      </c>
      <c r="R4576" t="s">
        <v>42676</v>
      </c>
      <c r="S4576" t="s">
        <v>42809</v>
      </c>
      <c r="T4576" t="s">
        <v>44378</v>
      </c>
      <c r="U4576" t="s">
        <v>48551</v>
      </c>
      <c r="V4576" t="s">
        <v>56860</v>
      </c>
      <c r="W4576" t="s">
        <v>40502</v>
      </c>
      <c r="X4576" t="s">
        <v>42677</v>
      </c>
    </row>
    <row r="4577" spans="1:24">
      <c r="A4577">
        <f>HYPERLINK("https://www.philgeps.gov.ph/GEPSNONPILOT/Tender/SplashBidNoticeAbstractUI.aspx?menuIndex=3&amp;refID=7188382&amp;Result=3","7188382")</f>
        <v>0</v>
      </c>
      <c r="B4577" t="s">
        <v>1647</v>
      </c>
      <c r="C4577" t="s">
        <v>7908</v>
      </c>
      <c r="E4577" t="s">
        <v>21214</v>
      </c>
      <c r="F4577" t="s">
        <v>29372</v>
      </c>
      <c r="G4577" t="s">
        <v>29379</v>
      </c>
      <c r="H4577" t="s">
        <v>29391</v>
      </c>
      <c r="I4577" t="s">
        <v>29462</v>
      </c>
      <c r="J4577" t="s">
        <v>32545</v>
      </c>
      <c r="K4577" t="s">
        <v>38490</v>
      </c>
      <c r="M4577" t="s">
        <v>40503</v>
      </c>
      <c r="N4577" t="s">
        <v>42669</v>
      </c>
      <c r="O4577" t="s">
        <v>42670</v>
      </c>
      <c r="P4577">
        <v>0</v>
      </c>
      <c r="Q4577">
        <v>0</v>
      </c>
      <c r="R4577" t="s">
        <v>42676</v>
      </c>
      <c r="S4577" t="s">
        <v>42809</v>
      </c>
      <c r="T4577" t="s">
        <v>44417</v>
      </c>
      <c r="U4577" t="s">
        <v>48552</v>
      </c>
      <c r="W4577" t="s">
        <v>40503</v>
      </c>
      <c r="X4577" t="s">
        <v>42677</v>
      </c>
    </row>
    <row r="4578" spans="1:24">
      <c r="A4578">
        <f>HYPERLINK("https://www.philgeps.gov.ph/GEPSNONPILOT/Tender/SplashBidNoticeAbstractUI.aspx?menuIndex=3&amp;refID=7188296&amp;Result=3","7188296")</f>
        <v>0</v>
      </c>
      <c r="B4578" t="s">
        <v>1648</v>
      </c>
      <c r="C4578" t="s">
        <v>7909</v>
      </c>
      <c r="D4578" t="s">
        <v>17148</v>
      </c>
      <c r="E4578" t="s">
        <v>21215</v>
      </c>
      <c r="F4578" t="s">
        <v>29372</v>
      </c>
      <c r="G4578" t="s">
        <v>29380</v>
      </c>
      <c r="H4578" t="s">
        <v>29390</v>
      </c>
      <c r="I4578" t="s">
        <v>29409</v>
      </c>
      <c r="J4578" t="s">
        <v>29590</v>
      </c>
      <c r="K4578" t="s">
        <v>38485</v>
      </c>
      <c r="M4578" t="s">
        <v>40504</v>
      </c>
      <c r="N4578" t="s">
        <v>42669</v>
      </c>
      <c r="O4578" t="s">
        <v>42670</v>
      </c>
      <c r="P4578">
        <v>0</v>
      </c>
      <c r="Q4578">
        <v>5</v>
      </c>
      <c r="R4578" t="s">
        <v>42676</v>
      </c>
      <c r="S4578" t="s">
        <v>42809</v>
      </c>
      <c r="T4578" t="s">
        <v>44419</v>
      </c>
      <c r="U4578" t="s">
        <v>48553</v>
      </c>
      <c r="V4578" t="s">
        <v>56861</v>
      </c>
      <c r="W4578" t="s">
        <v>40504</v>
      </c>
      <c r="X4578" t="s">
        <v>42677</v>
      </c>
    </row>
    <row r="4579" spans="1:24">
      <c r="A4579">
        <f>HYPERLINK("https://www.philgeps.gov.ph/GEPSNONPILOT/Tender/SplashBidNoticeAbstractUI.aspx?menuIndex=3&amp;refID=7188391&amp;Result=3","7188391")</f>
        <v>0</v>
      </c>
      <c r="B4579" t="s">
        <v>1205</v>
      </c>
      <c r="C4579" t="s">
        <v>7910</v>
      </c>
      <c r="D4579" t="s">
        <v>17164</v>
      </c>
      <c r="E4579" t="s">
        <v>21216</v>
      </c>
      <c r="F4579" t="s">
        <v>29372</v>
      </c>
      <c r="G4579" t="s">
        <v>29380</v>
      </c>
      <c r="H4579" t="s">
        <v>29389</v>
      </c>
      <c r="I4579" t="s">
        <v>10408</v>
      </c>
      <c r="J4579" t="s">
        <v>32546</v>
      </c>
      <c r="K4579" t="s">
        <v>38485</v>
      </c>
      <c r="M4579" t="s">
        <v>40022</v>
      </c>
      <c r="N4579" t="s">
        <v>42669</v>
      </c>
      <c r="O4579" t="s">
        <v>42670</v>
      </c>
      <c r="P4579">
        <v>0</v>
      </c>
      <c r="Q4579">
        <v>0</v>
      </c>
      <c r="R4579" t="s">
        <v>42676</v>
      </c>
      <c r="S4579" t="s">
        <v>42809</v>
      </c>
      <c r="T4579" t="s">
        <v>44503</v>
      </c>
      <c r="U4579" t="s">
        <v>48554</v>
      </c>
      <c r="W4579" t="s">
        <v>40022</v>
      </c>
      <c r="X4579" t="s">
        <v>42677</v>
      </c>
    </row>
    <row r="4580" spans="1:24">
      <c r="A4580">
        <f>HYPERLINK("https://www.philgeps.gov.ph/GEPSNONPILOT/Tender/SplashBidNoticeAbstractUI.aspx?menuIndex=3&amp;refID=7188389&amp;Result=3","7188389")</f>
        <v>0</v>
      </c>
      <c r="B4580" t="s">
        <v>1649</v>
      </c>
      <c r="C4580" t="s">
        <v>7911</v>
      </c>
      <c r="D4580" t="s">
        <v>17179</v>
      </c>
      <c r="E4580" t="s">
        <v>20439</v>
      </c>
      <c r="F4580" t="s">
        <v>29372</v>
      </c>
      <c r="G4580" t="s">
        <v>29380</v>
      </c>
      <c r="H4580" t="s">
        <v>29389</v>
      </c>
      <c r="I4580" t="s">
        <v>10408</v>
      </c>
      <c r="J4580" t="s">
        <v>32547</v>
      </c>
      <c r="K4580" t="s">
        <v>38496</v>
      </c>
      <c r="M4580" t="s">
        <v>40505</v>
      </c>
      <c r="N4580" t="s">
        <v>42669</v>
      </c>
      <c r="O4580" t="s">
        <v>42670</v>
      </c>
      <c r="P4580">
        <v>0</v>
      </c>
      <c r="Q4580">
        <v>0</v>
      </c>
      <c r="R4580" t="s">
        <v>42676</v>
      </c>
      <c r="S4580" t="s">
        <v>42809</v>
      </c>
      <c r="T4580" t="s">
        <v>44671</v>
      </c>
      <c r="U4580" t="s">
        <v>48555</v>
      </c>
      <c r="V4580" t="s">
        <v>56862</v>
      </c>
      <c r="W4580" t="s">
        <v>40505</v>
      </c>
      <c r="X4580" t="s">
        <v>42677</v>
      </c>
    </row>
    <row r="4581" spans="1:24">
      <c r="A4581">
        <f>HYPERLINK("https://www.philgeps.gov.ph/GEPSNONPILOT/Tender/SplashBidNoticeAbstractUI.aspx?menuIndex=3&amp;refID=7188398&amp;Result=3","7188398")</f>
        <v>0</v>
      </c>
      <c r="B4581" t="s">
        <v>1393</v>
      </c>
      <c r="C4581" t="s">
        <v>7912</v>
      </c>
      <c r="D4581" t="s">
        <v>17160</v>
      </c>
      <c r="E4581" t="s">
        <v>21217</v>
      </c>
      <c r="F4581" t="s">
        <v>29372</v>
      </c>
      <c r="G4581" t="s">
        <v>29380</v>
      </c>
      <c r="H4581" t="s">
        <v>29389</v>
      </c>
      <c r="I4581" t="s">
        <v>10408</v>
      </c>
      <c r="J4581" t="s">
        <v>32548</v>
      </c>
      <c r="K4581" t="s">
        <v>38485</v>
      </c>
      <c r="M4581" t="s">
        <v>40231</v>
      </c>
      <c r="N4581" t="s">
        <v>42669</v>
      </c>
      <c r="O4581" t="s">
        <v>42670</v>
      </c>
      <c r="P4581">
        <v>0</v>
      </c>
      <c r="Q4581">
        <v>5</v>
      </c>
      <c r="R4581" t="s">
        <v>42676</v>
      </c>
      <c r="S4581" t="s">
        <v>42809</v>
      </c>
      <c r="T4581" t="s">
        <v>44600</v>
      </c>
      <c r="U4581" t="s">
        <v>48556</v>
      </c>
      <c r="W4581" t="s">
        <v>40231</v>
      </c>
      <c r="X4581" t="s">
        <v>42677</v>
      </c>
    </row>
    <row r="4582" spans="1:24">
      <c r="A4582">
        <f>HYPERLINK("https://www.philgeps.gov.ph/GEPSNONPILOT/Tender/SplashBidNoticeAbstractUI.aspx?menuIndex=3&amp;refID=7188381&amp;Result=3","7188381")</f>
        <v>0</v>
      </c>
      <c r="B4582" t="s">
        <v>684</v>
      </c>
      <c r="C4582" t="s">
        <v>7913</v>
      </c>
      <c r="D4582" t="s">
        <v>17188</v>
      </c>
      <c r="E4582" t="s">
        <v>21218</v>
      </c>
      <c r="F4582" t="s">
        <v>29372</v>
      </c>
      <c r="G4582" t="s">
        <v>29379</v>
      </c>
      <c r="H4582" t="s">
        <v>11048</v>
      </c>
      <c r="I4582" t="s">
        <v>29395</v>
      </c>
      <c r="J4582" t="s">
        <v>30232</v>
      </c>
      <c r="K4582" t="s">
        <v>38488</v>
      </c>
      <c r="M4582" t="s">
        <v>39779</v>
      </c>
      <c r="N4582" t="s">
        <v>42669</v>
      </c>
      <c r="O4582" t="s">
        <v>42670</v>
      </c>
      <c r="P4582">
        <v>0</v>
      </c>
      <c r="Q4582">
        <v>0</v>
      </c>
      <c r="R4582" t="s">
        <v>42676</v>
      </c>
      <c r="S4582" t="s">
        <v>42809</v>
      </c>
      <c r="T4582" t="s">
        <v>44651</v>
      </c>
      <c r="U4582" t="s">
        <v>48557</v>
      </c>
      <c r="V4582" t="s">
        <v>45789</v>
      </c>
      <c r="W4582" t="s">
        <v>39779</v>
      </c>
      <c r="X4582" t="s">
        <v>42677</v>
      </c>
    </row>
    <row r="4583" spans="1:24">
      <c r="A4583">
        <f>HYPERLINK("https://www.philgeps.gov.ph/GEPSNONPILOT/Tender/SplashBidNoticeAbstractUI.aspx?menuIndex=3&amp;refID=7188397&amp;Result=3","7188397")</f>
        <v>0</v>
      </c>
      <c r="B4583" t="s">
        <v>669</v>
      </c>
      <c r="C4583" t="s">
        <v>7914</v>
      </c>
      <c r="D4583" t="s">
        <v>17147</v>
      </c>
      <c r="E4583" t="s">
        <v>21219</v>
      </c>
      <c r="F4583" t="s">
        <v>29372</v>
      </c>
      <c r="G4583" t="s">
        <v>29381</v>
      </c>
      <c r="H4583" t="s">
        <v>11048</v>
      </c>
      <c r="I4583" t="s">
        <v>29414</v>
      </c>
      <c r="J4583" t="s">
        <v>32549</v>
      </c>
      <c r="K4583" t="s">
        <v>38496</v>
      </c>
      <c r="M4583" t="s">
        <v>40506</v>
      </c>
      <c r="N4583" t="s">
        <v>42669</v>
      </c>
      <c r="O4583" t="s">
        <v>42670</v>
      </c>
      <c r="P4583">
        <v>0</v>
      </c>
      <c r="Q4583">
        <v>8</v>
      </c>
      <c r="R4583" t="s">
        <v>42676</v>
      </c>
      <c r="S4583" t="s">
        <v>42809</v>
      </c>
      <c r="T4583" t="s">
        <v>44580</v>
      </c>
      <c r="U4583" t="s">
        <v>48558</v>
      </c>
      <c r="V4583" t="s">
        <v>56531</v>
      </c>
      <c r="W4583" t="s">
        <v>40506</v>
      </c>
      <c r="X4583" t="s">
        <v>42677</v>
      </c>
    </row>
    <row r="4584" spans="1:24">
      <c r="A4584">
        <f>HYPERLINK("https://www.philgeps.gov.ph/GEPSNONPILOT/Tender/SplashBidNoticeAbstractUI.aspx?menuIndex=3&amp;refID=7188379&amp;Result=3","7188379")</f>
        <v>0</v>
      </c>
      <c r="B4584" t="s">
        <v>1638</v>
      </c>
      <c r="C4584" t="s">
        <v>7915</v>
      </c>
      <c r="D4584" t="s">
        <v>17213</v>
      </c>
      <c r="E4584" t="s">
        <v>21220</v>
      </c>
      <c r="F4584" t="s">
        <v>29372</v>
      </c>
      <c r="G4584" t="s">
        <v>29383</v>
      </c>
      <c r="H4584" t="s">
        <v>11048</v>
      </c>
      <c r="I4584" t="s">
        <v>8208</v>
      </c>
      <c r="J4584" t="s">
        <v>30113</v>
      </c>
      <c r="K4584" t="s">
        <v>38490</v>
      </c>
      <c r="M4584" t="s">
        <v>40494</v>
      </c>
      <c r="N4584" t="s">
        <v>42669</v>
      </c>
      <c r="O4584" t="s">
        <v>42670</v>
      </c>
      <c r="P4584">
        <v>0</v>
      </c>
      <c r="Q4584">
        <v>0</v>
      </c>
      <c r="R4584" t="s">
        <v>42676</v>
      </c>
      <c r="S4584" t="s">
        <v>42809</v>
      </c>
      <c r="T4584" t="s">
        <v>44470</v>
      </c>
      <c r="U4584" t="s">
        <v>48559</v>
      </c>
      <c r="W4584" t="s">
        <v>58050</v>
      </c>
      <c r="X4584" t="s">
        <v>42677</v>
      </c>
    </row>
    <row r="4585" spans="1:24">
      <c r="A4585">
        <f>HYPERLINK("https://www.philgeps.gov.ph/GEPSNONPILOT/Tender/SplashBidNoticeAbstractUI.aspx?menuIndex=3&amp;refID=7188400&amp;Result=3","7188400")</f>
        <v>0</v>
      </c>
      <c r="B4585" t="s">
        <v>1566</v>
      </c>
      <c r="C4585" t="s">
        <v>3898</v>
      </c>
      <c r="E4585" t="s">
        <v>21221</v>
      </c>
      <c r="F4585" t="s">
        <v>29372</v>
      </c>
      <c r="G4585" t="s">
        <v>29379</v>
      </c>
      <c r="H4585" t="s">
        <v>11048</v>
      </c>
      <c r="I4585" t="s">
        <v>29433</v>
      </c>
      <c r="J4585" t="s">
        <v>31606</v>
      </c>
      <c r="K4585" t="s">
        <v>38490</v>
      </c>
      <c r="M4585" t="s">
        <v>40416</v>
      </c>
      <c r="N4585" t="s">
        <v>42669</v>
      </c>
      <c r="O4585" t="s">
        <v>42670</v>
      </c>
      <c r="P4585">
        <v>0</v>
      </c>
      <c r="Q4585">
        <v>5</v>
      </c>
      <c r="R4585" t="s">
        <v>42676</v>
      </c>
      <c r="S4585" t="s">
        <v>42809</v>
      </c>
      <c r="T4585" t="s">
        <v>44672</v>
      </c>
      <c r="U4585" t="s">
        <v>48560</v>
      </c>
      <c r="W4585" t="s">
        <v>40416</v>
      </c>
      <c r="X4585" t="s">
        <v>42677</v>
      </c>
    </row>
    <row r="4586" spans="1:24">
      <c r="A4586">
        <f>HYPERLINK("https://www.philgeps.gov.ph/GEPSNONPILOT/Tender/SplashBidNoticeAbstractUI.aspx?menuIndex=3&amp;refID=7188374&amp;Result=3","7188374")</f>
        <v>0</v>
      </c>
      <c r="B4586" t="s">
        <v>1650</v>
      </c>
      <c r="C4586" t="s">
        <v>7916</v>
      </c>
      <c r="D4586" t="s">
        <v>17162</v>
      </c>
      <c r="E4586" t="s">
        <v>17479</v>
      </c>
      <c r="F4586" t="s">
        <v>29372</v>
      </c>
      <c r="G4586" t="s">
        <v>29380</v>
      </c>
      <c r="H4586" t="s">
        <v>11048</v>
      </c>
      <c r="I4586" t="s">
        <v>3670</v>
      </c>
      <c r="J4586" t="s">
        <v>32550</v>
      </c>
      <c r="K4586" t="s">
        <v>38485</v>
      </c>
      <c r="M4586" t="s">
        <v>40507</v>
      </c>
      <c r="N4586" t="s">
        <v>42669</v>
      </c>
      <c r="O4586" t="s">
        <v>42670</v>
      </c>
      <c r="P4586">
        <v>0</v>
      </c>
      <c r="Q4586">
        <v>4</v>
      </c>
      <c r="R4586" t="s">
        <v>42676</v>
      </c>
      <c r="S4586" t="s">
        <v>42809</v>
      </c>
      <c r="T4586" t="s">
        <v>44480</v>
      </c>
      <c r="U4586" t="s">
        <v>48561</v>
      </c>
      <c r="W4586" t="s">
        <v>40507</v>
      </c>
      <c r="X4586" t="s">
        <v>42677</v>
      </c>
    </row>
    <row r="4587" spans="1:24">
      <c r="A4587">
        <f>HYPERLINK("https://www.philgeps.gov.ph/GEPSNONPILOT/Tender/SplashBidNoticeAbstractUI.aspx?menuIndex=3&amp;refID=7188372&amp;Result=3","7188372")</f>
        <v>0</v>
      </c>
      <c r="B4587" t="s">
        <v>1651</v>
      </c>
      <c r="C4587" t="s">
        <v>7917</v>
      </c>
      <c r="D4587" t="s">
        <v>17163</v>
      </c>
      <c r="E4587" t="s">
        <v>21222</v>
      </c>
      <c r="F4587" t="s">
        <v>29376</v>
      </c>
      <c r="G4587" t="s">
        <v>29383</v>
      </c>
      <c r="H4587" t="s">
        <v>11048</v>
      </c>
      <c r="I4587" t="s">
        <v>29403</v>
      </c>
      <c r="J4587" t="s">
        <v>32551</v>
      </c>
      <c r="K4587" t="s">
        <v>38490</v>
      </c>
      <c r="M4587" t="s">
        <v>40508</v>
      </c>
      <c r="N4587" t="s">
        <v>42669</v>
      </c>
      <c r="O4587" t="s">
        <v>42670</v>
      </c>
      <c r="P4587">
        <v>0</v>
      </c>
      <c r="Q4587">
        <v>0</v>
      </c>
      <c r="R4587" t="s">
        <v>42676</v>
      </c>
      <c r="S4587" t="s">
        <v>42809</v>
      </c>
      <c r="T4587" t="s">
        <v>44488</v>
      </c>
      <c r="U4587" t="s">
        <v>48562</v>
      </c>
      <c r="W4587" t="s">
        <v>40508</v>
      </c>
      <c r="X4587" t="s">
        <v>42677</v>
      </c>
    </row>
    <row r="4588" spans="1:24">
      <c r="A4588">
        <f>HYPERLINK("https://www.philgeps.gov.ph/GEPSNONPILOT/Tender/SplashBidNoticeAbstractUI.aspx?menuIndex=3&amp;refID=7188394&amp;Result=3","7188394")</f>
        <v>0</v>
      </c>
      <c r="B4588" t="s">
        <v>579</v>
      </c>
      <c r="C4588" t="s">
        <v>7918</v>
      </c>
      <c r="D4588" t="s">
        <v>17141</v>
      </c>
      <c r="E4588" t="s">
        <v>21223</v>
      </c>
      <c r="F4588" t="s">
        <v>29373</v>
      </c>
      <c r="G4588" t="s">
        <v>29380</v>
      </c>
      <c r="H4588" t="s">
        <v>11048</v>
      </c>
      <c r="I4588" t="s">
        <v>29473</v>
      </c>
      <c r="J4588" t="s">
        <v>29590</v>
      </c>
      <c r="K4588" t="s">
        <v>38485</v>
      </c>
      <c r="M4588" t="s">
        <v>39348</v>
      </c>
      <c r="N4588" t="s">
        <v>42669</v>
      </c>
      <c r="O4588" t="s">
        <v>42670</v>
      </c>
      <c r="P4588">
        <v>0</v>
      </c>
      <c r="Q4588">
        <v>5</v>
      </c>
      <c r="R4588" t="s">
        <v>42676</v>
      </c>
      <c r="S4588" t="s">
        <v>42809</v>
      </c>
      <c r="T4588" t="s">
        <v>44547</v>
      </c>
      <c r="U4588" t="s">
        <v>48563</v>
      </c>
      <c r="V4588" t="s">
        <v>56504</v>
      </c>
      <c r="W4588" t="s">
        <v>39348</v>
      </c>
      <c r="X4588" t="s">
        <v>42677</v>
      </c>
    </row>
    <row r="4589" spans="1:24">
      <c r="A4589">
        <f>HYPERLINK("https://www.philgeps.gov.ph/GEPSNONPILOT/Tender/SplashBidNoticeAbstractUI.aspx?menuIndex=3&amp;refID=7188401&amp;Result=3","7188401")</f>
        <v>0</v>
      </c>
      <c r="B4589" t="s">
        <v>1652</v>
      </c>
      <c r="C4589" t="s">
        <v>7919</v>
      </c>
      <c r="D4589" t="s">
        <v>17165</v>
      </c>
      <c r="E4589" t="s">
        <v>7919</v>
      </c>
      <c r="F4589" t="s">
        <v>29372</v>
      </c>
      <c r="G4589" t="s">
        <v>29379</v>
      </c>
      <c r="H4589" t="s">
        <v>29389</v>
      </c>
      <c r="I4589" t="s">
        <v>10408</v>
      </c>
      <c r="J4589" t="s">
        <v>29644</v>
      </c>
      <c r="K4589" t="s">
        <v>38485</v>
      </c>
      <c r="M4589" t="s">
        <v>40509</v>
      </c>
      <c r="N4589" t="s">
        <v>42669</v>
      </c>
      <c r="O4589" t="s">
        <v>42670</v>
      </c>
      <c r="P4589">
        <v>0</v>
      </c>
      <c r="Q4589">
        <v>1</v>
      </c>
      <c r="R4589" t="s">
        <v>42676</v>
      </c>
      <c r="S4589" t="s">
        <v>42809</v>
      </c>
      <c r="T4589" t="s">
        <v>44357</v>
      </c>
      <c r="U4589" t="s">
        <v>48564</v>
      </c>
      <c r="V4589" t="s">
        <v>56863</v>
      </c>
      <c r="W4589" t="s">
        <v>40509</v>
      </c>
      <c r="X4589" t="s">
        <v>42677</v>
      </c>
    </row>
    <row r="4590" spans="1:24">
      <c r="A4590">
        <f>HYPERLINK("https://www.philgeps.gov.ph/GEPSNONPILOT/Tender/SplashBidNoticeAbstractUI.aspx?menuIndex=3&amp;refID=7188403&amp;Result=3","7188403")</f>
        <v>0</v>
      </c>
      <c r="B4590" t="s">
        <v>1383</v>
      </c>
      <c r="C4590" t="s">
        <v>7920</v>
      </c>
      <c r="D4590" t="s">
        <v>17169</v>
      </c>
      <c r="E4590" t="s">
        <v>20592</v>
      </c>
      <c r="F4590" t="s">
        <v>29372</v>
      </c>
      <c r="G4590" t="s">
        <v>29380</v>
      </c>
      <c r="H4590" t="s">
        <v>29389</v>
      </c>
      <c r="I4590" t="s">
        <v>10408</v>
      </c>
      <c r="J4590" t="s">
        <v>32552</v>
      </c>
      <c r="K4590" t="s">
        <v>38522</v>
      </c>
      <c r="M4590" t="s">
        <v>40220</v>
      </c>
      <c r="N4590" t="s">
        <v>42669</v>
      </c>
      <c r="O4590" t="s">
        <v>42670</v>
      </c>
      <c r="P4590">
        <v>0</v>
      </c>
      <c r="Q4590">
        <v>0</v>
      </c>
      <c r="R4590" t="s">
        <v>42676</v>
      </c>
      <c r="S4590" t="s">
        <v>42809</v>
      </c>
      <c r="T4590" t="s">
        <v>44587</v>
      </c>
      <c r="U4590" t="s">
        <v>47960</v>
      </c>
      <c r="V4590" t="s">
        <v>56864</v>
      </c>
      <c r="W4590" t="s">
        <v>40220</v>
      </c>
      <c r="X4590" t="s">
        <v>42677</v>
      </c>
    </row>
    <row r="4591" spans="1:24">
      <c r="A4591">
        <f>HYPERLINK("https://www.philgeps.gov.ph/GEPSNONPILOT/Tender/SplashBidNoticeAbstractUI.aspx?menuIndex=3&amp;refID=7188425&amp;Result=3","7188425")</f>
        <v>0</v>
      </c>
      <c r="B4591" t="s">
        <v>1653</v>
      </c>
      <c r="C4591" t="s">
        <v>7921</v>
      </c>
      <c r="D4591" t="s">
        <v>17141</v>
      </c>
      <c r="E4591" t="s">
        <v>21224</v>
      </c>
      <c r="F4591" t="s">
        <v>29372</v>
      </c>
      <c r="G4591" t="s">
        <v>29380</v>
      </c>
      <c r="H4591" t="s">
        <v>11048</v>
      </c>
      <c r="I4591" t="s">
        <v>29421</v>
      </c>
      <c r="J4591" t="s">
        <v>29555</v>
      </c>
      <c r="K4591" t="s">
        <v>38490</v>
      </c>
      <c r="M4591" t="s">
        <v>40510</v>
      </c>
      <c r="N4591" t="s">
        <v>42669</v>
      </c>
      <c r="O4591" t="s">
        <v>42670</v>
      </c>
      <c r="P4591">
        <v>0</v>
      </c>
      <c r="Q4591">
        <v>1</v>
      </c>
      <c r="R4591" t="s">
        <v>42676</v>
      </c>
      <c r="S4591" t="s">
        <v>42809</v>
      </c>
      <c r="T4591" t="s">
        <v>44399</v>
      </c>
      <c r="U4591" t="s">
        <v>48565</v>
      </c>
      <c r="W4591" t="s">
        <v>40510</v>
      </c>
      <c r="X4591" t="s">
        <v>42677</v>
      </c>
    </row>
    <row r="4592" spans="1:24">
      <c r="A4592">
        <f>HYPERLINK("https://www.philgeps.gov.ph/GEPSNONPILOT/Tender/SplashBidNoticeAbstractUI.aspx?menuIndex=3&amp;refID=7188373&amp;Result=3","7188373")</f>
        <v>0</v>
      </c>
      <c r="B4592" t="s">
        <v>1641</v>
      </c>
      <c r="C4592" t="s">
        <v>7922</v>
      </c>
      <c r="D4592" t="s">
        <v>17142</v>
      </c>
      <c r="E4592" t="s">
        <v>18987</v>
      </c>
      <c r="F4592" t="s">
        <v>29372</v>
      </c>
      <c r="G4592" t="s">
        <v>29380</v>
      </c>
      <c r="H4592" t="s">
        <v>29389</v>
      </c>
      <c r="I4592" t="s">
        <v>10408</v>
      </c>
      <c r="J4592" t="s">
        <v>29724</v>
      </c>
      <c r="K4592" t="s">
        <v>38564</v>
      </c>
      <c r="M4592" t="s">
        <v>40497</v>
      </c>
      <c r="N4592" t="s">
        <v>42669</v>
      </c>
      <c r="O4592" t="s">
        <v>42670</v>
      </c>
      <c r="P4592">
        <v>0</v>
      </c>
      <c r="Q4592">
        <v>2</v>
      </c>
      <c r="R4592" t="s">
        <v>42676</v>
      </c>
      <c r="S4592" t="s">
        <v>42809</v>
      </c>
      <c r="T4592" t="s">
        <v>44497</v>
      </c>
      <c r="U4592" t="s">
        <v>48566</v>
      </c>
      <c r="W4592" t="s">
        <v>40497</v>
      </c>
      <c r="X4592" t="s">
        <v>42677</v>
      </c>
    </row>
    <row r="4593" spans="1:24">
      <c r="A4593">
        <f>HYPERLINK("https://www.philgeps.gov.ph/GEPSNONPILOT/Tender/SplashBidNoticeAbstractUI.aspx?menuIndex=3&amp;refID=7188402&amp;Result=3","7188402")</f>
        <v>0</v>
      </c>
      <c r="B4593" t="s">
        <v>1654</v>
      </c>
      <c r="C4593" t="s">
        <v>7923</v>
      </c>
      <c r="D4593" t="s">
        <v>17153</v>
      </c>
      <c r="E4593" t="s">
        <v>21225</v>
      </c>
      <c r="F4593" t="s">
        <v>29373</v>
      </c>
      <c r="G4593" t="s">
        <v>29379</v>
      </c>
      <c r="H4593" t="s">
        <v>11048</v>
      </c>
      <c r="I4593" t="s">
        <v>3629</v>
      </c>
      <c r="J4593" t="s">
        <v>32553</v>
      </c>
      <c r="K4593" t="s">
        <v>38485</v>
      </c>
      <c r="M4593" t="s">
        <v>40511</v>
      </c>
      <c r="N4593" t="s">
        <v>42669</v>
      </c>
      <c r="O4593" t="s">
        <v>42670</v>
      </c>
      <c r="P4593">
        <v>0</v>
      </c>
      <c r="Q4593">
        <v>0</v>
      </c>
      <c r="R4593" t="s">
        <v>42676</v>
      </c>
      <c r="S4593" t="s">
        <v>42809</v>
      </c>
      <c r="T4593" t="s">
        <v>44386</v>
      </c>
      <c r="U4593" t="s">
        <v>48567</v>
      </c>
      <c r="W4593" t="s">
        <v>40511</v>
      </c>
      <c r="X4593" t="s">
        <v>42677</v>
      </c>
    </row>
    <row r="4594" spans="1:24">
      <c r="A4594">
        <f>HYPERLINK("https://www.philgeps.gov.ph/GEPSNONPILOT/Tender/SplashBidNoticeAbstractUI.aspx?menuIndex=3&amp;refID=7188378&amp;Result=3","7188378")</f>
        <v>0</v>
      </c>
      <c r="B4594" t="s">
        <v>1655</v>
      </c>
      <c r="C4594" t="s">
        <v>7924</v>
      </c>
      <c r="D4594" t="s">
        <v>17216</v>
      </c>
      <c r="E4594" t="s">
        <v>7924</v>
      </c>
      <c r="F4594" t="s">
        <v>29372</v>
      </c>
      <c r="G4594" t="s">
        <v>29383</v>
      </c>
      <c r="H4594" t="s">
        <v>11048</v>
      </c>
      <c r="I4594" t="s">
        <v>29410</v>
      </c>
      <c r="J4594" t="s">
        <v>30934</v>
      </c>
      <c r="K4594" t="s">
        <v>38488</v>
      </c>
      <c r="M4594" t="s">
        <v>40512</v>
      </c>
      <c r="N4594" t="s">
        <v>42669</v>
      </c>
      <c r="O4594" t="s">
        <v>42670</v>
      </c>
      <c r="P4594">
        <v>0</v>
      </c>
      <c r="Q4594">
        <v>1</v>
      </c>
      <c r="R4594" t="s">
        <v>42676</v>
      </c>
      <c r="S4594" t="s">
        <v>42809</v>
      </c>
      <c r="T4594" t="s">
        <v>44382</v>
      </c>
      <c r="U4594" t="s">
        <v>48568</v>
      </c>
      <c r="W4594" t="s">
        <v>40512</v>
      </c>
      <c r="X4594" t="s">
        <v>42677</v>
      </c>
    </row>
    <row r="4595" spans="1:24">
      <c r="A4595">
        <f>HYPERLINK("https://www.philgeps.gov.ph/GEPSNONPILOT/Tender/SplashBidNoticeAbstractUI.aspx?menuIndex=3&amp;refID=7188424&amp;Result=3","7188424")</f>
        <v>0</v>
      </c>
      <c r="B4595" t="s">
        <v>1644</v>
      </c>
      <c r="C4595" t="s">
        <v>7925</v>
      </c>
      <c r="D4595" t="s">
        <v>17222</v>
      </c>
      <c r="E4595" t="s">
        <v>21226</v>
      </c>
      <c r="F4595" t="s">
        <v>29372</v>
      </c>
      <c r="G4595" t="s">
        <v>29379</v>
      </c>
      <c r="H4595" t="s">
        <v>11048</v>
      </c>
      <c r="I4595" t="s">
        <v>4487</v>
      </c>
      <c r="J4595" t="s">
        <v>32554</v>
      </c>
      <c r="K4595" t="s">
        <v>38491</v>
      </c>
      <c r="M4595" t="s">
        <v>40500</v>
      </c>
      <c r="N4595" t="s">
        <v>42669</v>
      </c>
      <c r="O4595" t="s">
        <v>42670</v>
      </c>
      <c r="P4595">
        <v>0</v>
      </c>
      <c r="Q4595">
        <v>0</v>
      </c>
      <c r="R4595" t="s">
        <v>42676</v>
      </c>
      <c r="S4595" t="s">
        <v>42809</v>
      </c>
      <c r="T4595" t="s">
        <v>44382</v>
      </c>
      <c r="U4595" t="s">
        <v>48569</v>
      </c>
      <c r="W4595" t="s">
        <v>40500</v>
      </c>
      <c r="X4595" t="s">
        <v>42677</v>
      </c>
    </row>
    <row r="4596" spans="1:24">
      <c r="A4596">
        <f>HYPERLINK("https://www.philgeps.gov.ph/GEPSNONPILOT/Tender/SplashBidNoticeAbstractUI.aspx?menuIndex=3&amp;refID=7188434&amp;Result=3","7188434")</f>
        <v>0</v>
      </c>
      <c r="B4596" t="s">
        <v>1656</v>
      </c>
      <c r="C4596" t="s">
        <v>7926</v>
      </c>
      <c r="D4596" t="s">
        <v>17141</v>
      </c>
      <c r="E4596" t="s">
        <v>20094</v>
      </c>
      <c r="F4596" t="s">
        <v>29372</v>
      </c>
      <c r="G4596" t="s">
        <v>29379</v>
      </c>
      <c r="H4596" t="s">
        <v>29389</v>
      </c>
      <c r="I4596" t="s">
        <v>29429</v>
      </c>
      <c r="J4596" t="s">
        <v>30596</v>
      </c>
      <c r="K4596" t="s">
        <v>38488</v>
      </c>
      <c r="M4596" t="s">
        <v>40513</v>
      </c>
      <c r="N4596" t="s">
        <v>42669</v>
      </c>
      <c r="O4596" t="s">
        <v>42670</v>
      </c>
      <c r="P4596">
        <v>0</v>
      </c>
      <c r="Q4596">
        <v>3</v>
      </c>
      <c r="R4596" t="s">
        <v>42676</v>
      </c>
      <c r="S4596" t="s">
        <v>42809</v>
      </c>
      <c r="T4596" t="s">
        <v>44554</v>
      </c>
      <c r="U4596" t="s">
        <v>48570</v>
      </c>
      <c r="W4596" t="s">
        <v>40513</v>
      </c>
      <c r="X4596" t="s">
        <v>42677</v>
      </c>
    </row>
    <row r="4597" spans="1:24">
      <c r="A4597">
        <f>HYPERLINK("https://www.philgeps.gov.ph/GEPSNONPILOT/Tender/SplashBidNoticeAbstractUI.aspx?menuIndex=3&amp;refID=7188432&amp;Result=3","7188432")</f>
        <v>0</v>
      </c>
      <c r="B4597" t="s">
        <v>836</v>
      </c>
      <c r="C4597" t="s">
        <v>7927</v>
      </c>
      <c r="D4597" t="s">
        <v>17160</v>
      </c>
      <c r="E4597" t="s">
        <v>21227</v>
      </c>
      <c r="F4597" t="s">
        <v>29372</v>
      </c>
      <c r="G4597" t="s">
        <v>29380</v>
      </c>
      <c r="H4597" t="s">
        <v>29389</v>
      </c>
      <c r="I4597" t="s">
        <v>10408</v>
      </c>
      <c r="J4597" t="s">
        <v>29543</v>
      </c>
      <c r="K4597" t="s">
        <v>38487</v>
      </c>
      <c r="M4597" t="s">
        <v>40514</v>
      </c>
      <c r="N4597" t="s">
        <v>42669</v>
      </c>
      <c r="O4597" t="s">
        <v>42670</v>
      </c>
      <c r="P4597">
        <v>0</v>
      </c>
      <c r="Q4597">
        <v>1</v>
      </c>
      <c r="R4597" t="s">
        <v>42676</v>
      </c>
      <c r="S4597" t="s">
        <v>42809</v>
      </c>
      <c r="T4597" t="s">
        <v>44587</v>
      </c>
      <c r="U4597" t="s">
        <v>48571</v>
      </c>
      <c r="W4597" t="s">
        <v>40514</v>
      </c>
      <c r="X4597" t="s">
        <v>42677</v>
      </c>
    </row>
    <row r="4598" spans="1:24">
      <c r="A4598">
        <f>HYPERLINK("https://www.philgeps.gov.ph/GEPSNONPILOT/Tender/SplashBidNoticeAbstractUI.aspx?menuIndex=3&amp;refID=7188371&amp;Result=3","7188371")</f>
        <v>0</v>
      </c>
      <c r="B4598" t="s">
        <v>1657</v>
      </c>
      <c r="C4598" t="s">
        <v>7928</v>
      </c>
      <c r="D4598" t="s">
        <v>17222</v>
      </c>
      <c r="E4598" t="s">
        <v>21228</v>
      </c>
      <c r="F4598" t="s">
        <v>29372</v>
      </c>
      <c r="G4598" t="s">
        <v>29380</v>
      </c>
      <c r="H4598" t="s">
        <v>11048</v>
      </c>
      <c r="I4598" t="s">
        <v>10408</v>
      </c>
      <c r="J4598" t="s">
        <v>32555</v>
      </c>
      <c r="K4598" t="s">
        <v>38525</v>
      </c>
      <c r="M4598" t="s">
        <v>40515</v>
      </c>
      <c r="N4598" t="s">
        <v>42669</v>
      </c>
      <c r="O4598" t="s">
        <v>42670</v>
      </c>
      <c r="P4598">
        <v>0</v>
      </c>
      <c r="Q4598">
        <v>0</v>
      </c>
      <c r="R4598" t="s">
        <v>42676</v>
      </c>
      <c r="S4598" t="s">
        <v>42809</v>
      </c>
      <c r="T4598" t="s">
        <v>44463</v>
      </c>
      <c r="U4598" t="s">
        <v>48572</v>
      </c>
      <c r="W4598" t="s">
        <v>40515</v>
      </c>
      <c r="X4598" t="s">
        <v>42677</v>
      </c>
    </row>
    <row r="4599" spans="1:24">
      <c r="A4599">
        <f>HYPERLINK("https://www.philgeps.gov.ph/GEPSNONPILOT/Tender/SplashBidNoticeAbstractUI.aspx?menuIndex=3&amp;refID=7188430&amp;Result=3","7188430")</f>
        <v>0</v>
      </c>
      <c r="B4599" t="s">
        <v>1383</v>
      </c>
      <c r="C4599" t="s">
        <v>7929</v>
      </c>
      <c r="D4599" t="s">
        <v>17169</v>
      </c>
      <c r="E4599" t="s">
        <v>20592</v>
      </c>
      <c r="F4599" t="s">
        <v>29372</v>
      </c>
      <c r="G4599" t="s">
        <v>29380</v>
      </c>
      <c r="H4599" t="s">
        <v>29389</v>
      </c>
      <c r="I4599" t="s">
        <v>10408</v>
      </c>
      <c r="J4599" t="s">
        <v>32556</v>
      </c>
      <c r="K4599" t="s">
        <v>38564</v>
      </c>
      <c r="M4599" t="s">
        <v>40220</v>
      </c>
      <c r="N4599" t="s">
        <v>42669</v>
      </c>
      <c r="O4599" t="s">
        <v>42670</v>
      </c>
      <c r="P4599">
        <v>0</v>
      </c>
      <c r="Q4599">
        <v>2</v>
      </c>
      <c r="R4599" t="s">
        <v>42676</v>
      </c>
      <c r="S4599" t="s">
        <v>42809</v>
      </c>
      <c r="T4599" t="s">
        <v>44587</v>
      </c>
      <c r="U4599" t="s">
        <v>47960</v>
      </c>
      <c r="V4599" t="s">
        <v>56865</v>
      </c>
      <c r="W4599" t="s">
        <v>40220</v>
      </c>
      <c r="X4599" t="s">
        <v>42677</v>
      </c>
    </row>
    <row r="4600" spans="1:24">
      <c r="A4600">
        <f>HYPERLINK("https://www.philgeps.gov.ph/GEPSNONPILOT/Tender/SplashBidNoticeAbstractUI.aspx?menuIndex=3&amp;refID=7188426&amp;Result=3","7188426")</f>
        <v>0</v>
      </c>
      <c r="B4600" t="s">
        <v>1658</v>
      </c>
      <c r="C4600" t="s">
        <v>7930</v>
      </c>
      <c r="D4600" t="s">
        <v>17171</v>
      </c>
      <c r="E4600" t="s">
        <v>21229</v>
      </c>
      <c r="F4600" t="s">
        <v>29372</v>
      </c>
      <c r="G4600" t="s">
        <v>29384</v>
      </c>
      <c r="H4600" t="s">
        <v>11048</v>
      </c>
      <c r="I4600" t="s">
        <v>4487</v>
      </c>
      <c r="J4600" t="s">
        <v>32557</v>
      </c>
      <c r="K4600" t="s">
        <v>38489</v>
      </c>
      <c r="M4600" t="s">
        <v>40516</v>
      </c>
      <c r="N4600" t="s">
        <v>42669</v>
      </c>
      <c r="O4600" t="s">
        <v>42670</v>
      </c>
      <c r="P4600">
        <v>0</v>
      </c>
      <c r="Q4600">
        <v>5</v>
      </c>
      <c r="R4600" t="s">
        <v>42676</v>
      </c>
      <c r="S4600" t="s">
        <v>42809</v>
      </c>
      <c r="T4600" t="s">
        <v>44515</v>
      </c>
      <c r="U4600" t="s">
        <v>48573</v>
      </c>
      <c r="V4600" t="s">
        <v>56866</v>
      </c>
      <c r="W4600" t="s">
        <v>40516</v>
      </c>
      <c r="X4600" t="s">
        <v>42677</v>
      </c>
    </row>
    <row r="4601" spans="1:24">
      <c r="A4601">
        <f>HYPERLINK("https://www.philgeps.gov.ph/GEPSNONPILOT/Tender/SplashBidNoticeAbstractUI.aspx?menuIndex=3&amp;refID=7188422&amp;Result=3","7188422")</f>
        <v>0</v>
      </c>
      <c r="B4601" t="s">
        <v>1659</v>
      </c>
      <c r="C4601" t="s">
        <v>7931</v>
      </c>
      <c r="D4601" t="s">
        <v>17171</v>
      </c>
      <c r="E4601" t="s">
        <v>21230</v>
      </c>
      <c r="F4601" t="s">
        <v>29372</v>
      </c>
      <c r="G4601" t="s">
        <v>29379</v>
      </c>
      <c r="H4601" t="s">
        <v>11048</v>
      </c>
      <c r="I4601" t="s">
        <v>29497</v>
      </c>
      <c r="J4601" t="s">
        <v>32558</v>
      </c>
      <c r="K4601" t="s">
        <v>38490</v>
      </c>
      <c r="M4601" t="s">
        <v>40517</v>
      </c>
      <c r="N4601" t="s">
        <v>42669</v>
      </c>
      <c r="O4601" t="s">
        <v>42670</v>
      </c>
      <c r="P4601">
        <v>0</v>
      </c>
      <c r="Q4601">
        <v>4</v>
      </c>
      <c r="R4601" t="s">
        <v>42676</v>
      </c>
      <c r="S4601" t="s">
        <v>42809</v>
      </c>
      <c r="T4601" t="s">
        <v>44581</v>
      </c>
      <c r="U4601" t="s">
        <v>48574</v>
      </c>
      <c r="V4601" t="s">
        <v>56867</v>
      </c>
      <c r="W4601" t="s">
        <v>40517</v>
      </c>
      <c r="X4601" t="s">
        <v>42677</v>
      </c>
    </row>
    <row r="4602" spans="1:24">
      <c r="A4602">
        <f>HYPERLINK("https://www.philgeps.gov.ph/GEPSNONPILOT/Tender/SplashBidNoticeAbstractUI.aspx?menuIndex=3&amp;refID=7188385&amp;Result=3","7188385")</f>
        <v>0</v>
      </c>
      <c r="B4602" t="s">
        <v>1660</v>
      </c>
      <c r="C4602" t="s">
        <v>7932</v>
      </c>
      <c r="D4602" t="s">
        <v>17188</v>
      </c>
      <c r="E4602" t="s">
        <v>21231</v>
      </c>
      <c r="F4602" t="s">
        <v>29372</v>
      </c>
      <c r="G4602" t="s">
        <v>29380</v>
      </c>
      <c r="H4602" t="s">
        <v>11048</v>
      </c>
      <c r="I4602" t="s">
        <v>29415</v>
      </c>
      <c r="J4602" t="s">
        <v>32559</v>
      </c>
      <c r="K4602" t="s">
        <v>38488</v>
      </c>
      <c r="M4602" t="s">
        <v>40518</v>
      </c>
      <c r="N4602" t="s">
        <v>42669</v>
      </c>
      <c r="O4602" t="s">
        <v>42670</v>
      </c>
      <c r="P4602">
        <v>0</v>
      </c>
      <c r="Q4602">
        <v>0</v>
      </c>
      <c r="R4602" t="s">
        <v>42676</v>
      </c>
      <c r="S4602" t="s">
        <v>42809</v>
      </c>
      <c r="T4602" t="s">
        <v>44419</v>
      </c>
      <c r="U4602" t="s">
        <v>48575</v>
      </c>
      <c r="W4602" t="s">
        <v>40518</v>
      </c>
      <c r="X4602" t="s">
        <v>42677</v>
      </c>
    </row>
    <row r="4603" spans="1:24">
      <c r="A4603">
        <f>HYPERLINK("https://www.philgeps.gov.ph/GEPSNONPILOT/Tender/SplashBidNoticeAbstractUI.aspx?menuIndex=3&amp;refID=7188416&amp;Result=3","7188416")</f>
        <v>0</v>
      </c>
      <c r="B4603" t="s">
        <v>1566</v>
      </c>
      <c r="C4603" t="s">
        <v>4356</v>
      </c>
      <c r="E4603" t="s">
        <v>21232</v>
      </c>
      <c r="F4603" t="s">
        <v>29372</v>
      </c>
      <c r="G4603" t="s">
        <v>29379</v>
      </c>
      <c r="H4603" t="s">
        <v>11048</v>
      </c>
      <c r="I4603" t="s">
        <v>29407</v>
      </c>
      <c r="J4603" t="s">
        <v>30524</v>
      </c>
      <c r="K4603" t="s">
        <v>38490</v>
      </c>
      <c r="M4603" t="s">
        <v>40416</v>
      </c>
      <c r="N4603" t="s">
        <v>42669</v>
      </c>
      <c r="O4603" t="s">
        <v>42670</v>
      </c>
      <c r="P4603">
        <v>0</v>
      </c>
      <c r="Q4603">
        <v>1</v>
      </c>
      <c r="R4603" t="s">
        <v>42676</v>
      </c>
      <c r="S4603" t="s">
        <v>42809</v>
      </c>
      <c r="T4603" t="s">
        <v>44672</v>
      </c>
      <c r="U4603" t="s">
        <v>48576</v>
      </c>
      <c r="W4603" t="s">
        <v>40416</v>
      </c>
      <c r="X4603" t="s">
        <v>42677</v>
      </c>
    </row>
    <row r="4604" spans="1:24">
      <c r="A4604">
        <f>HYPERLINK("https://www.philgeps.gov.ph/GEPSNONPILOT/Tender/SplashBidNoticeAbstractUI.aspx?menuIndex=3&amp;refID=7188431&amp;Result=3","7188431")</f>
        <v>0</v>
      </c>
      <c r="B4604" t="s">
        <v>1638</v>
      </c>
      <c r="C4604" t="s">
        <v>7933</v>
      </c>
      <c r="D4604" t="s">
        <v>17213</v>
      </c>
      <c r="E4604" t="s">
        <v>21233</v>
      </c>
      <c r="F4604" t="s">
        <v>29372</v>
      </c>
      <c r="G4604" t="s">
        <v>29383</v>
      </c>
      <c r="H4604" t="s">
        <v>11048</v>
      </c>
      <c r="I4604" t="s">
        <v>29400</v>
      </c>
      <c r="J4604" t="s">
        <v>29822</v>
      </c>
      <c r="K4604" t="s">
        <v>38490</v>
      </c>
      <c r="M4604" t="s">
        <v>40494</v>
      </c>
      <c r="N4604" t="s">
        <v>42669</v>
      </c>
      <c r="O4604" t="s">
        <v>42670</v>
      </c>
      <c r="P4604">
        <v>0</v>
      </c>
      <c r="Q4604">
        <v>1</v>
      </c>
      <c r="R4604" t="s">
        <v>42676</v>
      </c>
      <c r="S4604" t="s">
        <v>42809</v>
      </c>
      <c r="T4604" t="s">
        <v>44470</v>
      </c>
      <c r="U4604" t="s">
        <v>48577</v>
      </c>
      <c r="W4604" t="s">
        <v>58050</v>
      </c>
      <c r="X4604" t="s">
        <v>42677</v>
      </c>
    </row>
    <row r="4605" spans="1:24">
      <c r="A4605">
        <f>HYPERLINK("https://www.philgeps.gov.ph/GEPSNONPILOT/Tender/SplashBidNoticeAbstractUI.aspx?menuIndex=3&amp;refID=7188414&amp;Result=3","7188414")</f>
        <v>0</v>
      </c>
      <c r="B4605" t="s">
        <v>1515</v>
      </c>
      <c r="C4605" t="s">
        <v>7934</v>
      </c>
      <c r="D4605" t="s">
        <v>17174</v>
      </c>
      <c r="E4605" t="s">
        <v>21234</v>
      </c>
      <c r="F4605" t="s">
        <v>29372</v>
      </c>
      <c r="G4605" t="s">
        <v>29379</v>
      </c>
      <c r="H4605" t="s">
        <v>11048</v>
      </c>
      <c r="I4605" t="s">
        <v>3629</v>
      </c>
      <c r="J4605" t="s">
        <v>32560</v>
      </c>
      <c r="K4605" t="s">
        <v>38530</v>
      </c>
      <c r="M4605" t="s">
        <v>40360</v>
      </c>
      <c r="N4605" t="s">
        <v>42669</v>
      </c>
      <c r="O4605" t="s">
        <v>42670</v>
      </c>
      <c r="P4605">
        <v>0</v>
      </c>
      <c r="Q4605">
        <v>1</v>
      </c>
      <c r="R4605" t="s">
        <v>42676</v>
      </c>
      <c r="S4605" t="s">
        <v>42809</v>
      </c>
      <c r="T4605" t="s">
        <v>44432</v>
      </c>
      <c r="U4605" t="s">
        <v>48578</v>
      </c>
      <c r="W4605" t="s">
        <v>40360</v>
      </c>
      <c r="X4605" t="s">
        <v>42677</v>
      </c>
    </row>
    <row r="4606" spans="1:24">
      <c r="A4606">
        <f>HYPERLINK("https://www.philgeps.gov.ph/GEPSNONPILOT/Tender/SplashBidNoticeAbstractUI.aspx?menuIndex=3&amp;refID=7188411&amp;Result=3","7188411")</f>
        <v>0</v>
      </c>
      <c r="B4606" t="s">
        <v>1088</v>
      </c>
      <c r="C4606" t="s">
        <v>7935</v>
      </c>
      <c r="D4606" t="s">
        <v>17170</v>
      </c>
      <c r="E4606" t="s">
        <v>21235</v>
      </c>
      <c r="F4606" t="s">
        <v>29372</v>
      </c>
      <c r="G4606" t="s">
        <v>29380</v>
      </c>
      <c r="H4606" t="s">
        <v>29389</v>
      </c>
      <c r="I4606" t="s">
        <v>29453</v>
      </c>
      <c r="J4606" t="s">
        <v>32561</v>
      </c>
      <c r="K4606" t="s">
        <v>38638</v>
      </c>
      <c r="M4606" t="s">
        <v>39895</v>
      </c>
      <c r="N4606" t="s">
        <v>42669</v>
      </c>
      <c r="O4606" t="s">
        <v>42670</v>
      </c>
      <c r="P4606">
        <v>0</v>
      </c>
      <c r="Q4606">
        <v>5</v>
      </c>
      <c r="R4606" t="s">
        <v>42676</v>
      </c>
      <c r="S4606" t="s">
        <v>42809</v>
      </c>
      <c r="T4606" t="s">
        <v>44673</v>
      </c>
      <c r="U4606" t="s">
        <v>48579</v>
      </c>
      <c r="W4606" t="s">
        <v>39895</v>
      </c>
      <c r="X4606" t="s">
        <v>42677</v>
      </c>
    </row>
    <row r="4607" spans="1:24">
      <c r="A4607">
        <f>HYPERLINK("https://www.philgeps.gov.ph/GEPSNONPILOT/Tender/SplashBidNoticeAbstractUI.aspx?menuIndex=3&amp;refID=7188465&amp;Result=3","7188465")</f>
        <v>0</v>
      </c>
      <c r="B4607" t="s">
        <v>1446</v>
      </c>
      <c r="C4607" t="s">
        <v>7936</v>
      </c>
      <c r="D4607" t="s">
        <v>17204</v>
      </c>
      <c r="E4607" t="s">
        <v>7924</v>
      </c>
      <c r="F4607" t="s">
        <v>29372</v>
      </c>
      <c r="G4607" t="s">
        <v>29379</v>
      </c>
      <c r="H4607" t="s">
        <v>11048</v>
      </c>
      <c r="I4607" t="s">
        <v>29466</v>
      </c>
      <c r="J4607" t="s">
        <v>29692</v>
      </c>
      <c r="K4607" t="s">
        <v>38491</v>
      </c>
      <c r="M4607" t="s">
        <v>40287</v>
      </c>
      <c r="N4607" t="s">
        <v>42669</v>
      </c>
      <c r="O4607" t="s">
        <v>42670</v>
      </c>
      <c r="P4607">
        <v>0</v>
      </c>
      <c r="Q4607">
        <v>1</v>
      </c>
      <c r="R4607" t="s">
        <v>42676</v>
      </c>
      <c r="S4607" t="s">
        <v>42809</v>
      </c>
      <c r="T4607" t="s">
        <v>44469</v>
      </c>
      <c r="U4607" t="s">
        <v>48580</v>
      </c>
      <c r="W4607" t="s">
        <v>40287</v>
      </c>
      <c r="X4607" t="s">
        <v>42677</v>
      </c>
    </row>
    <row r="4608" spans="1:24">
      <c r="A4608">
        <f>HYPERLINK("https://www.philgeps.gov.ph/GEPSNONPILOT/Tender/SplashBidNoticeAbstractUI.aspx?menuIndex=3&amp;refID=7188418&amp;Result=3","7188418")</f>
        <v>0</v>
      </c>
      <c r="B4608" t="s">
        <v>1383</v>
      </c>
      <c r="C4608" t="s">
        <v>7937</v>
      </c>
      <c r="D4608" t="s">
        <v>17169</v>
      </c>
      <c r="E4608" t="s">
        <v>20592</v>
      </c>
      <c r="F4608" t="s">
        <v>29372</v>
      </c>
      <c r="G4608" t="s">
        <v>29380</v>
      </c>
      <c r="H4608" t="s">
        <v>29389</v>
      </c>
      <c r="I4608" t="s">
        <v>10408</v>
      </c>
      <c r="J4608" t="s">
        <v>32562</v>
      </c>
      <c r="K4608" t="s">
        <v>38485</v>
      </c>
      <c r="M4608" t="s">
        <v>40220</v>
      </c>
      <c r="N4608" t="s">
        <v>42669</v>
      </c>
      <c r="O4608" t="s">
        <v>42670</v>
      </c>
      <c r="P4608">
        <v>0</v>
      </c>
      <c r="Q4608">
        <v>0</v>
      </c>
      <c r="R4608" t="s">
        <v>42676</v>
      </c>
      <c r="S4608" t="s">
        <v>42809</v>
      </c>
      <c r="T4608" t="s">
        <v>44587</v>
      </c>
      <c r="U4608" t="s">
        <v>47960</v>
      </c>
      <c r="V4608" t="s">
        <v>56868</v>
      </c>
      <c r="W4608" t="s">
        <v>40220</v>
      </c>
      <c r="X4608" t="s">
        <v>42677</v>
      </c>
    </row>
    <row r="4609" spans="1:24">
      <c r="A4609">
        <f>HYPERLINK("https://www.philgeps.gov.ph/GEPSNONPILOT/Tender/SplashBidNoticeAbstractUI.aspx?menuIndex=3&amp;refID=7188417&amp;Result=3","7188417")</f>
        <v>0</v>
      </c>
      <c r="B4609" t="s">
        <v>1632</v>
      </c>
      <c r="C4609" t="s">
        <v>7938</v>
      </c>
      <c r="D4609" t="s">
        <v>17174</v>
      </c>
      <c r="E4609" t="s">
        <v>21236</v>
      </c>
      <c r="F4609" t="s">
        <v>29372</v>
      </c>
      <c r="G4609" t="s">
        <v>29379</v>
      </c>
      <c r="H4609" t="s">
        <v>11048</v>
      </c>
      <c r="I4609" t="s">
        <v>29407</v>
      </c>
      <c r="J4609" t="s">
        <v>32563</v>
      </c>
      <c r="K4609" t="s">
        <v>38528</v>
      </c>
      <c r="M4609" t="s">
        <v>40488</v>
      </c>
      <c r="N4609" t="s">
        <v>42669</v>
      </c>
      <c r="O4609" t="s">
        <v>42670</v>
      </c>
      <c r="P4609">
        <v>0</v>
      </c>
      <c r="Q4609">
        <v>2</v>
      </c>
      <c r="R4609" t="s">
        <v>42676</v>
      </c>
      <c r="S4609" t="s">
        <v>42809</v>
      </c>
      <c r="T4609" t="s">
        <v>44488</v>
      </c>
      <c r="U4609" t="s">
        <v>48581</v>
      </c>
      <c r="W4609" t="s">
        <v>40488</v>
      </c>
      <c r="X4609" t="s">
        <v>42677</v>
      </c>
    </row>
    <row r="4610" spans="1:24">
      <c r="A4610">
        <f>HYPERLINK("https://www.philgeps.gov.ph/GEPSNONPILOT/Tender/SplashBidNoticeAbstractUI.aspx?menuIndex=3&amp;refID=7188472&amp;Result=3","7188472")</f>
        <v>0</v>
      </c>
      <c r="B4610" t="s">
        <v>579</v>
      </c>
      <c r="C4610" t="s">
        <v>7939</v>
      </c>
      <c r="D4610" t="s">
        <v>17141</v>
      </c>
      <c r="E4610" t="s">
        <v>21237</v>
      </c>
      <c r="F4610" t="s">
        <v>29373</v>
      </c>
      <c r="G4610" t="s">
        <v>29380</v>
      </c>
      <c r="H4610" t="s">
        <v>11048</v>
      </c>
      <c r="I4610" t="s">
        <v>29473</v>
      </c>
      <c r="J4610" t="s">
        <v>29708</v>
      </c>
      <c r="K4610" t="s">
        <v>38485</v>
      </c>
      <c r="M4610" t="s">
        <v>39348</v>
      </c>
      <c r="N4610" t="s">
        <v>42669</v>
      </c>
      <c r="O4610" t="s">
        <v>42670</v>
      </c>
      <c r="P4610">
        <v>0</v>
      </c>
      <c r="Q4610">
        <v>0</v>
      </c>
      <c r="R4610" t="s">
        <v>42676</v>
      </c>
      <c r="S4610" t="s">
        <v>42809</v>
      </c>
      <c r="T4610" t="s">
        <v>44517</v>
      </c>
      <c r="U4610" t="s">
        <v>48582</v>
      </c>
      <c r="V4610" t="s">
        <v>56504</v>
      </c>
      <c r="W4610" t="s">
        <v>39348</v>
      </c>
      <c r="X4610" t="s">
        <v>42677</v>
      </c>
    </row>
    <row r="4611" spans="1:24">
      <c r="A4611">
        <f>HYPERLINK("https://www.philgeps.gov.ph/GEPSNONPILOT/Tender/SplashBidNoticeAbstractUI.aspx?menuIndex=3&amp;refID=7188433&amp;Result=3","7188433")</f>
        <v>0</v>
      </c>
      <c r="B4611" t="s">
        <v>1661</v>
      </c>
      <c r="C4611" t="s">
        <v>7940</v>
      </c>
      <c r="D4611" t="s">
        <v>17160</v>
      </c>
      <c r="E4611" t="s">
        <v>21238</v>
      </c>
      <c r="F4611" t="s">
        <v>29372</v>
      </c>
      <c r="G4611" t="s">
        <v>29380</v>
      </c>
      <c r="H4611" t="s">
        <v>11048</v>
      </c>
      <c r="I4611" t="s">
        <v>4709</v>
      </c>
      <c r="J4611" t="s">
        <v>31865</v>
      </c>
      <c r="K4611" t="s">
        <v>38488</v>
      </c>
      <c r="M4611" t="s">
        <v>40519</v>
      </c>
      <c r="N4611" t="s">
        <v>42669</v>
      </c>
      <c r="O4611" t="s">
        <v>42670</v>
      </c>
      <c r="P4611">
        <v>0</v>
      </c>
      <c r="Q4611">
        <v>0</v>
      </c>
      <c r="R4611" t="s">
        <v>42676</v>
      </c>
      <c r="S4611" t="s">
        <v>42809</v>
      </c>
      <c r="T4611" t="s">
        <v>44387</v>
      </c>
      <c r="U4611" t="s">
        <v>48583</v>
      </c>
      <c r="W4611" t="s">
        <v>40519</v>
      </c>
      <c r="X4611" t="s">
        <v>42677</v>
      </c>
    </row>
    <row r="4612" spans="1:24">
      <c r="A4612">
        <f>HYPERLINK("https://www.philgeps.gov.ph/GEPSNONPILOT/Tender/SplashBidNoticeAbstractUI.aspx?menuIndex=3&amp;refID=7188428&amp;Result=3","7188428")</f>
        <v>0</v>
      </c>
      <c r="B4612" t="s">
        <v>579</v>
      </c>
      <c r="C4612" t="s">
        <v>7941</v>
      </c>
      <c r="D4612" t="s">
        <v>17141</v>
      </c>
      <c r="E4612" t="s">
        <v>21239</v>
      </c>
      <c r="F4612" t="s">
        <v>29373</v>
      </c>
      <c r="G4612" t="s">
        <v>29380</v>
      </c>
      <c r="H4612" t="s">
        <v>11048</v>
      </c>
      <c r="I4612" t="s">
        <v>29473</v>
      </c>
      <c r="J4612" t="s">
        <v>29708</v>
      </c>
      <c r="K4612" t="s">
        <v>38485</v>
      </c>
      <c r="M4612" t="s">
        <v>39348</v>
      </c>
      <c r="N4612" t="s">
        <v>42669</v>
      </c>
      <c r="O4612" t="s">
        <v>42670</v>
      </c>
      <c r="P4612">
        <v>0</v>
      </c>
      <c r="Q4612">
        <v>0</v>
      </c>
      <c r="R4612" t="s">
        <v>42676</v>
      </c>
      <c r="S4612" t="s">
        <v>42809</v>
      </c>
      <c r="T4612" t="s">
        <v>44437</v>
      </c>
      <c r="U4612" t="s">
        <v>48584</v>
      </c>
      <c r="V4612" t="s">
        <v>56504</v>
      </c>
      <c r="W4612" t="s">
        <v>39348</v>
      </c>
      <c r="X4612" t="s">
        <v>42677</v>
      </c>
    </row>
    <row r="4613" spans="1:24">
      <c r="A4613">
        <f>HYPERLINK("https://www.philgeps.gov.ph/GEPSNONPILOT/Tender/SplashBidNoticeAbstractUI.aspx?menuIndex=3&amp;refID=7188464&amp;Result=3","7188464")</f>
        <v>0</v>
      </c>
      <c r="B4613" t="s">
        <v>1638</v>
      </c>
      <c r="C4613" t="s">
        <v>7942</v>
      </c>
      <c r="D4613" t="s">
        <v>17213</v>
      </c>
      <c r="E4613" t="s">
        <v>21240</v>
      </c>
      <c r="F4613" t="s">
        <v>29372</v>
      </c>
      <c r="G4613" t="s">
        <v>29383</v>
      </c>
      <c r="H4613" t="s">
        <v>11048</v>
      </c>
      <c r="I4613" t="s">
        <v>3952</v>
      </c>
      <c r="J4613" t="s">
        <v>32564</v>
      </c>
      <c r="K4613" t="s">
        <v>38490</v>
      </c>
      <c r="M4613" t="s">
        <v>40494</v>
      </c>
      <c r="N4613" t="s">
        <v>42669</v>
      </c>
      <c r="O4613" t="s">
        <v>42670</v>
      </c>
      <c r="P4613">
        <v>0</v>
      </c>
      <c r="Q4613">
        <v>2</v>
      </c>
      <c r="R4613" t="s">
        <v>42676</v>
      </c>
      <c r="S4613" t="s">
        <v>42809</v>
      </c>
      <c r="T4613" t="s">
        <v>44470</v>
      </c>
      <c r="U4613" t="s">
        <v>48585</v>
      </c>
      <c r="W4613" t="s">
        <v>58050</v>
      </c>
      <c r="X4613" t="s">
        <v>42677</v>
      </c>
    </row>
    <row r="4614" spans="1:24">
      <c r="A4614">
        <f>HYPERLINK("https://www.philgeps.gov.ph/GEPSNONPILOT/Tender/SplashBidNoticeAbstractUI.aspx?menuIndex=3&amp;refID=7188462&amp;Result=3","7188462")</f>
        <v>0</v>
      </c>
      <c r="B4614" t="s">
        <v>1662</v>
      </c>
      <c r="C4614" t="s">
        <v>7943</v>
      </c>
      <c r="D4614" t="s">
        <v>17149</v>
      </c>
      <c r="E4614" t="s">
        <v>21241</v>
      </c>
      <c r="F4614" t="s">
        <v>29372</v>
      </c>
      <c r="G4614" t="s">
        <v>29383</v>
      </c>
      <c r="H4614" t="s">
        <v>11048</v>
      </c>
      <c r="I4614" t="s">
        <v>29491</v>
      </c>
      <c r="J4614" t="s">
        <v>32565</v>
      </c>
      <c r="K4614" t="s">
        <v>38491</v>
      </c>
      <c r="M4614" t="s">
        <v>40520</v>
      </c>
      <c r="N4614" t="s">
        <v>42669</v>
      </c>
      <c r="O4614" t="s">
        <v>42670</v>
      </c>
      <c r="P4614">
        <v>0</v>
      </c>
      <c r="Q4614">
        <v>1</v>
      </c>
      <c r="R4614" t="s">
        <v>42676</v>
      </c>
      <c r="S4614" t="s">
        <v>42809</v>
      </c>
      <c r="T4614" t="s">
        <v>44488</v>
      </c>
      <c r="U4614" t="s">
        <v>48586</v>
      </c>
      <c r="W4614" t="s">
        <v>40520</v>
      </c>
      <c r="X4614" t="s">
        <v>42677</v>
      </c>
    </row>
    <row r="4615" spans="1:24">
      <c r="A4615">
        <f>HYPERLINK("https://www.philgeps.gov.ph/GEPSNONPILOT/Tender/SplashBidNoticeAbstractUI.aspx?menuIndex=3&amp;refID=7188466&amp;Result=3","7188466")</f>
        <v>0</v>
      </c>
      <c r="B4615" t="s">
        <v>1397</v>
      </c>
      <c r="C4615" t="s">
        <v>7944</v>
      </c>
      <c r="D4615" t="s">
        <v>17213</v>
      </c>
      <c r="E4615" t="s">
        <v>21242</v>
      </c>
      <c r="F4615" t="s">
        <v>29372</v>
      </c>
      <c r="G4615" t="s">
        <v>29379</v>
      </c>
      <c r="H4615" t="s">
        <v>11048</v>
      </c>
      <c r="I4615" t="s">
        <v>4709</v>
      </c>
      <c r="J4615" t="s">
        <v>32566</v>
      </c>
      <c r="K4615" t="s">
        <v>38485</v>
      </c>
      <c r="M4615" t="s">
        <v>40236</v>
      </c>
      <c r="N4615" t="s">
        <v>42669</v>
      </c>
      <c r="O4615" t="s">
        <v>42670</v>
      </c>
      <c r="P4615">
        <v>0</v>
      </c>
      <c r="Q4615">
        <v>0</v>
      </c>
      <c r="R4615" t="s">
        <v>42676</v>
      </c>
      <c r="S4615" t="s">
        <v>42809</v>
      </c>
      <c r="T4615" t="s">
        <v>44430</v>
      </c>
      <c r="U4615" t="s">
        <v>48587</v>
      </c>
      <c r="W4615" t="s">
        <v>40236</v>
      </c>
      <c r="X4615" t="s">
        <v>42677</v>
      </c>
    </row>
    <row r="4616" spans="1:24">
      <c r="A4616">
        <f>HYPERLINK("https://www.philgeps.gov.ph/GEPSNONPILOT/Tender/SplashBidNoticeAbstractUI.aspx?menuIndex=3&amp;refID=7188460&amp;Result=3","7188460")</f>
        <v>0</v>
      </c>
      <c r="B4616" t="s">
        <v>1528</v>
      </c>
      <c r="C4616" t="s">
        <v>7945</v>
      </c>
      <c r="D4616" t="s">
        <v>17178</v>
      </c>
      <c r="E4616" t="s">
        <v>21243</v>
      </c>
      <c r="F4616" t="s">
        <v>29372</v>
      </c>
      <c r="G4616" t="s">
        <v>29380</v>
      </c>
      <c r="H4616" t="s">
        <v>29389</v>
      </c>
      <c r="I4616" t="s">
        <v>10408</v>
      </c>
      <c r="J4616" t="s">
        <v>32013</v>
      </c>
      <c r="K4616" t="s">
        <v>38496</v>
      </c>
      <c r="M4616" t="s">
        <v>40521</v>
      </c>
      <c r="N4616" t="s">
        <v>42669</v>
      </c>
      <c r="O4616" t="s">
        <v>42670</v>
      </c>
      <c r="P4616">
        <v>0</v>
      </c>
      <c r="Q4616">
        <v>0</v>
      </c>
      <c r="R4616" t="s">
        <v>42676</v>
      </c>
      <c r="S4616" t="s">
        <v>42809</v>
      </c>
      <c r="T4616" t="s">
        <v>44452</v>
      </c>
      <c r="U4616" t="s">
        <v>48588</v>
      </c>
      <c r="V4616" t="s">
        <v>56869</v>
      </c>
      <c r="W4616" t="s">
        <v>40377</v>
      </c>
      <c r="X4616" t="s">
        <v>42677</v>
      </c>
    </row>
    <row r="4617" spans="1:24">
      <c r="A4617">
        <f>HYPERLINK("https://www.philgeps.gov.ph/GEPSNONPILOT/Tender/SplashBidNoticeAbstractUI.aspx?menuIndex=3&amp;refID=7188454&amp;Result=3","7188454")</f>
        <v>0</v>
      </c>
      <c r="B4617" t="s">
        <v>1653</v>
      </c>
      <c r="C4617" t="s">
        <v>7946</v>
      </c>
      <c r="D4617" t="s">
        <v>17141</v>
      </c>
      <c r="E4617" t="s">
        <v>21244</v>
      </c>
      <c r="F4617" t="s">
        <v>29372</v>
      </c>
      <c r="G4617" t="s">
        <v>29380</v>
      </c>
      <c r="H4617" t="s">
        <v>11048</v>
      </c>
      <c r="I4617" t="s">
        <v>29421</v>
      </c>
      <c r="J4617" t="s">
        <v>30764</v>
      </c>
      <c r="K4617" t="s">
        <v>38490</v>
      </c>
      <c r="M4617" t="s">
        <v>40510</v>
      </c>
      <c r="N4617" t="s">
        <v>42669</v>
      </c>
      <c r="O4617" t="s">
        <v>42670</v>
      </c>
      <c r="P4617">
        <v>0</v>
      </c>
      <c r="Q4617">
        <v>3</v>
      </c>
      <c r="R4617" t="s">
        <v>42676</v>
      </c>
      <c r="S4617" t="s">
        <v>42809</v>
      </c>
      <c r="T4617" t="s">
        <v>44399</v>
      </c>
      <c r="U4617" t="s">
        <v>48589</v>
      </c>
      <c r="W4617" t="s">
        <v>40510</v>
      </c>
      <c r="X4617" t="s">
        <v>42677</v>
      </c>
    </row>
    <row r="4618" spans="1:24">
      <c r="A4618">
        <f>HYPERLINK("https://www.philgeps.gov.ph/GEPSNONPILOT/Tender/SplashBidNoticeAbstractUI.aspx?menuIndex=3&amp;refID=7188470&amp;Result=3","7188470")</f>
        <v>0</v>
      </c>
      <c r="B4618" t="s">
        <v>586</v>
      </c>
      <c r="C4618" t="s">
        <v>7947</v>
      </c>
      <c r="D4618" t="s">
        <v>17161</v>
      </c>
      <c r="E4618" t="s">
        <v>21245</v>
      </c>
      <c r="F4618" t="s">
        <v>29372</v>
      </c>
      <c r="G4618" t="s">
        <v>29379</v>
      </c>
      <c r="H4618" t="s">
        <v>11048</v>
      </c>
      <c r="I4618" t="s">
        <v>29409</v>
      </c>
      <c r="J4618" t="s">
        <v>29680</v>
      </c>
      <c r="K4618" t="s">
        <v>38490</v>
      </c>
      <c r="M4618" t="s">
        <v>39355</v>
      </c>
      <c r="N4618" t="s">
        <v>42669</v>
      </c>
      <c r="O4618" t="s">
        <v>42670</v>
      </c>
      <c r="P4618">
        <v>0</v>
      </c>
      <c r="Q4618">
        <v>2</v>
      </c>
      <c r="R4618" t="s">
        <v>42676</v>
      </c>
      <c r="S4618" t="s">
        <v>42809</v>
      </c>
      <c r="T4618" t="s">
        <v>44488</v>
      </c>
      <c r="U4618" t="s">
        <v>48590</v>
      </c>
      <c r="W4618" t="s">
        <v>39355</v>
      </c>
      <c r="X4618" t="s">
        <v>42677</v>
      </c>
    </row>
    <row r="4619" spans="1:24">
      <c r="A4619">
        <f>HYPERLINK("https://www.philgeps.gov.ph/GEPSNONPILOT/Tender/SplashBidNoticeAbstractUI.aspx?menuIndex=3&amp;refID=7188453&amp;Result=3","7188453")</f>
        <v>0</v>
      </c>
      <c r="B4619" t="s">
        <v>1480</v>
      </c>
      <c r="C4619" t="s">
        <v>7948</v>
      </c>
      <c r="D4619" t="s">
        <v>17170</v>
      </c>
      <c r="E4619" t="s">
        <v>21246</v>
      </c>
      <c r="F4619" t="s">
        <v>29372</v>
      </c>
      <c r="G4619" t="s">
        <v>29380</v>
      </c>
      <c r="H4619" t="s">
        <v>11048</v>
      </c>
      <c r="I4619" t="s">
        <v>9469</v>
      </c>
      <c r="J4619" t="s">
        <v>30310</v>
      </c>
      <c r="K4619" t="s">
        <v>38495</v>
      </c>
      <c r="M4619" t="s">
        <v>40323</v>
      </c>
      <c r="N4619" t="s">
        <v>42669</v>
      </c>
      <c r="O4619" t="s">
        <v>42670</v>
      </c>
      <c r="P4619">
        <v>0</v>
      </c>
      <c r="Q4619">
        <v>4</v>
      </c>
      <c r="R4619" t="s">
        <v>42676</v>
      </c>
      <c r="S4619" t="s">
        <v>42809</v>
      </c>
      <c r="T4619" t="s">
        <v>44376</v>
      </c>
      <c r="U4619" t="s">
        <v>48591</v>
      </c>
      <c r="V4619" t="s">
        <v>56773</v>
      </c>
      <c r="W4619" t="s">
        <v>40323</v>
      </c>
      <c r="X4619" t="s">
        <v>42677</v>
      </c>
    </row>
    <row r="4620" spans="1:24">
      <c r="A4620">
        <f>HYPERLINK("https://www.philgeps.gov.ph/GEPSNONPILOT/Tender/SplashBidNoticeAbstractUI.aspx?menuIndex=3&amp;refID=7188450&amp;Result=3","7188450")</f>
        <v>0</v>
      </c>
      <c r="B4620" t="s">
        <v>1344</v>
      </c>
      <c r="C4620" t="s">
        <v>7949</v>
      </c>
      <c r="D4620" t="s">
        <v>17144</v>
      </c>
      <c r="E4620" t="s">
        <v>21247</v>
      </c>
      <c r="F4620" t="s">
        <v>29372</v>
      </c>
      <c r="G4620" t="s">
        <v>29379</v>
      </c>
      <c r="H4620" t="s">
        <v>11048</v>
      </c>
      <c r="I4620" t="s">
        <v>3629</v>
      </c>
      <c r="J4620" t="s">
        <v>32567</v>
      </c>
      <c r="K4620" t="s">
        <v>38510</v>
      </c>
      <c r="M4620" t="s">
        <v>40485</v>
      </c>
      <c r="N4620" t="s">
        <v>42669</v>
      </c>
      <c r="O4620" t="s">
        <v>42670</v>
      </c>
      <c r="P4620">
        <v>0</v>
      </c>
      <c r="Q4620">
        <v>0</v>
      </c>
      <c r="R4620" t="s">
        <v>42676</v>
      </c>
      <c r="S4620" t="s">
        <v>42809</v>
      </c>
      <c r="T4620" t="s">
        <v>44462</v>
      </c>
      <c r="U4620" t="s">
        <v>48592</v>
      </c>
      <c r="W4620" t="s">
        <v>40485</v>
      </c>
      <c r="X4620" t="s">
        <v>42677</v>
      </c>
    </row>
    <row r="4621" spans="1:24">
      <c r="A4621">
        <f>HYPERLINK("https://www.philgeps.gov.ph/GEPSNONPILOT/Tender/SplashBidNoticeAbstractUI.aspx?menuIndex=3&amp;refID=7188449&amp;Result=3","7188449")</f>
        <v>0</v>
      </c>
      <c r="B4621" t="s">
        <v>1663</v>
      </c>
      <c r="C4621" t="s">
        <v>7950</v>
      </c>
      <c r="D4621" t="s">
        <v>17177</v>
      </c>
      <c r="E4621" t="s">
        <v>21248</v>
      </c>
      <c r="F4621" t="s">
        <v>29373</v>
      </c>
      <c r="G4621" t="s">
        <v>29379</v>
      </c>
      <c r="H4621" t="s">
        <v>11048</v>
      </c>
      <c r="I4621" t="s">
        <v>3597</v>
      </c>
      <c r="J4621" t="s">
        <v>32568</v>
      </c>
      <c r="K4621" t="s">
        <v>38488</v>
      </c>
      <c r="M4621" t="s">
        <v>40522</v>
      </c>
      <c r="N4621" t="s">
        <v>42669</v>
      </c>
      <c r="O4621" t="s">
        <v>42670</v>
      </c>
      <c r="P4621">
        <v>0</v>
      </c>
      <c r="Q4621">
        <v>2</v>
      </c>
      <c r="R4621" t="s">
        <v>42676</v>
      </c>
      <c r="S4621" t="s">
        <v>42809</v>
      </c>
      <c r="T4621" t="s">
        <v>44371</v>
      </c>
      <c r="U4621" t="s">
        <v>48593</v>
      </c>
      <c r="W4621" t="s">
        <v>40522</v>
      </c>
      <c r="X4621" t="s">
        <v>42677</v>
      </c>
    </row>
    <row r="4622" spans="1:24">
      <c r="A4622">
        <f>HYPERLINK("https://www.philgeps.gov.ph/GEPSNONPILOT/Tender/SplashBidNoticeAbstractUI.aspx?menuIndex=3&amp;refID=7188395&amp;Result=3","7188395")</f>
        <v>0</v>
      </c>
      <c r="B4622" t="s">
        <v>1638</v>
      </c>
      <c r="C4622" t="s">
        <v>7951</v>
      </c>
      <c r="D4622" t="s">
        <v>17213</v>
      </c>
      <c r="E4622" t="s">
        <v>21249</v>
      </c>
      <c r="F4622" t="s">
        <v>29372</v>
      </c>
      <c r="G4622" t="s">
        <v>29383</v>
      </c>
      <c r="H4622" t="s">
        <v>11048</v>
      </c>
      <c r="I4622" t="s">
        <v>29393</v>
      </c>
      <c r="J4622" t="s">
        <v>32569</v>
      </c>
      <c r="K4622" t="s">
        <v>38490</v>
      </c>
      <c r="M4622" t="s">
        <v>40494</v>
      </c>
      <c r="N4622" t="s">
        <v>42669</v>
      </c>
      <c r="O4622" t="s">
        <v>42670</v>
      </c>
      <c r="P4622">
        <v>0</v>
      </c>
      <c r="Q4622">
        <v>0</v>
      </c>
      <c r="R4622" t="s">
        <v>42676</v>
      </c>
      <c r="S4622" t="s">
        <v>42809</v>
      </c>
      <c r="T4622" t="s">
        <v>44470</v>
      </c>
      <c r="U4622" t="s">
        <v>48594</v>
      </c>
      <c r="W4622" t="s">
        <v>58050</v>
      </c>
      <c r="X4622" t="s">
        <v>42677</v>
      </c>
    </row>
    <row r="4623" spans="1:24">
      <c r="A4623">
        <f>HYPERLINK("https://www.philgeps.gov.ph/GEPSNONPILOT/Tender/SplashBidNoticeAbstractUI.aspx?menuIndex=3&amp;refID=7188467&amp;Result=3","7188467")</f>
        <v>0</v>
      </c>
      <c r="B4623" t="s">
        <v>1653</v>
      </c>
      <c r="C4623" t="s">
        <v>7952</v>
      </c>
      <c r="D4623" t="s">
        <v>17141</v>
      </c>
      <c r="E4623" t="s">
        <v>21250</v>
      </c>
      <c r="F4623" t="s">
        <v>29372</v>
      </c>
      <c r="G4623" t="s">
        <v>29380</v>
      </c>
      <c r="H4623" t="s">
        <v>11048</v>
      </c>
      <c r="I4623" t="s">
        <v>29421</v>
      </c>
      <c r="J4623" t="s">
        <v>30056</v>
      </c>
      <c r="K4623" t="s">
        <v>38490</v>
      </c>
      <c r="M4623" t="s">
        <v>40510</v>
      </c>
      <c r="N4623" t="s">
        <v>42669</v>
      </c>
      <c r="O4623" t="s">
        <v>42670</v>
      </c>
      <c r="P4623">
        <v>0</v>
      </c>
      <c r="Q4623">
        <v>2</v>
      </c>
      <c r="R4623" t="s">
        <v>42676</v>
      </c>
      <c r="S4623" t="s">
        <v>42809</v>
      </c>
      <c r="T4623" t="s">
        <v>44399</v>
      </c>
      <c r="U4623" t="s">
        <v>48595</v>
      </c>
      <c r="W4623" t="s">
        <v>40510</v>
      </c>
      <c r="X4623" t="s">
        <v>42677</v>
      </c>
    </row>
    <row r="4624" spans="1:24">
      <c r="A4624">
        <f>HYPERLINK("https://www.philgeps.gov.ph/GEPSNONPILOT/Tender/SplashBidNoticeAbstractUI.aspx?menuIndex=3&amp;refID=7188463&amp;Result=3","7188463")</f>
        <v>0</v>
      </c>
      <c r="B4624" t="s">
        <v>1664</v>
      </c>
      <c r="C4624" t="s">
        <v>7953</v>
      </c>
      <c r="D4624" t="s">
        <v>17174</v>
      </c>
      <c r="E4624" t="s">
        <v>21251</v>
      </c>
      <c r="F4624" t="s">
        <v>29372</v>
      </c>
      <c r="G4624" t="s">
        <v>29379</v>
      </c>
      <c r="H4624" t="s">
        <v>11048</v>
      </c>
      <c r="I4624" t="s">
        <v>29423</v>
      </c>
      <c r="J4624" t="s">
        <v>29824</v>
      </c>
      <c r="K4624" t="s">
        <v>38518</v>
      </c>
      <c r="M4624" t="s">
        <v>40523</v>
      </c>
      <c r="N4624" t="s">
        <v>42669</v>
      </c>
      <c r="O4624" t="s">
        <v>42670</v>
      </c>
      <c r="P4624">
        <v>0</v>
      </c>
      <c r="Q4624">
        <v>3</v>
      </c>
      <c r="R4624" t="s">
        <v>42676</v>
      </c>
      <c r="S4624" t="s">
        <v>42809</v>
      </c>
      <c r="T4624" t="s">
        <v>44468</v>
      </c>
      <c r="U4624" t="s">
        <v>48596</v>
      </c>
      <c r="W4624" t="s">
        <v>40523</v>
      </c>
      <c r="X4624" t="s">
        <v>42677</v>
      </c>
    </row>
    <row r="4625" spans="1:24">
      <c r="A4625">
        <f>HYPERLINK("https://www.philgeps.gov.ph/GEPSNONPILOT/Tender/SplashBidNoticeAbstractUI.aspx?menuIndex=3&amp;refID=7188516&amp;Result=3","7188516")</f>
        <v>0</v>
      </c>
      <c r="B4625" t="s">
        <v>1665</v>
      </c>
      <c r="C4625" t="s">
        <v>7954</v>
      </c>
      <c r="D4625" t="s">
        <v>17147</v>
      </c>
      <c r="E4625" t="s">
        <v>21252</v>
      </c>
      <c r="F4625" t="s">
        <v>29372</v>
      </c>
      <c r="G4625" t="s">
        <v>29380</v>
      </c>
      <c r="H4625" t="s">
        <v>29389</v>
      </c>
      <c r="I4625" t="s">
        <v>10408</v>
      </c>
      <c r="J4625" t="s">
        <v>29543</v>
      </c>
      <c r="K4625" t="s">
        <v>38522</v>
      </c>
      <c r="M4625" t="s">
        <v>40524</v>
      </c>
      <c r="N4625" t="s">
        <v>42669</v>
      </c>
      <c r="O4625" t="s">
        <v>42670</v>
      </c>
      <c r="P4625">
        <v>0</v>
      </c>
      <c r="Q4625">
        <v>0</v>
      </c>
      <c r="R4625" t="s">
        <v>42676</v>
      </c>
      <c r="S4625" t="s">
        <v>42809</v>
      </c>
      <c r="T4625" t="s">
        <v>44476</v>
      </c>
      <c r="U4625" t="s">
        <v>48597</v>
      </c>
      <c r="V4625" t="s">
        <v>56870</v>
      </c>
      <c r="W4625" t="s">
        <v>40524</v>
      </c>
      <c r="X4625" t="s">
        <v>42677</v>
      </c>
    </row>
    <row r="4626" spans="1:24">
      <c r="A4626">
        <f>HYPERLINK("https://www.philgeps.gov.ph/GEPSNONPILOT/Tender/SplashBidNoticeAbstractUI.aspx?menuIndex=3&amp;refID=7188508&amp;Result=3","7188508")</f>
        <v>0</v>
      </c>
      <c r="B4626" t="s">
        <v>1383</v>
      </c>
      <c r="C4626" t="s">
        <v>7955</v>
      </c>
      <c r="D4626" t="s">
        <v>17169</v>
      </c>
      <c r="E4626" t="s">
        <v>20592</v>
      </c>
      <c r="F4626" t="s">
        <v>29372</v>
      </c>
      <c r="G4626" t="s">
        <v>29380</v>
      </c>
      <c r="H4626" t="s">
        <v>29389</v>
      </c>
      <c r="I4626" t="s">
        <v>10408</v>
      </c>
      <c r="J4626" t="s">
        <v>32570</v>
      </c>
      <c r="K4626" t="s">
        <v>38533</v>
      </c>
      <c r="M4626" t="s">
        <v>40220</v>
      </c>
      <c r="N4626" t="s">
        <v>42669</v>
      </c>
      <c r="O4626" t="s">
        <v>42670</v>
      </c>
      <c r="P4626">
        <v>0</v>
      </c>
      <c r="Q4626">
        <v>3</v>
      </c>
      <c r="R4626" t="s">
        <v>42676</v>
      </c>
      <c r="S4626" t="s">
        <v>42809</v>
      </c>
      <c r="T4626" t="s">
        <v>44587</v>
      </c>
      <c r="U4626" t="s">
        <v>47960</v>
      </c>
      <c r="V4626" t="s">
        <v>56871</v>
      </c>
      <c r="W4626" t="s">
        <v>40220</v>
      </c>
      <c r="X4626" t="s">
        <v>42677</v>
      </c>
    </row>
    <row r="4627" spans="1:24">
      <c r="A4627">
        <f>HYPERLINK("https://www.philgeps.gov.ph/GEPSNONPILOT/Tender/SplashBidNoticeAbstractUI.aspx?menuIndex=3&amp;refID=7188506&amp;Result=3","7188506")</f>
        <v>0</v>
      </c>
      <c r="B4627" t="s">
        <v>1638</v>
      </c>
      <c r="C4627" t="s">
        <v>7956</v>
      </c>
      <c r="D4627" t="s">
        <v>17213</v>
      </c>
      <c r="E4627" t="s">
        <v>21253</v>
      </c>
      <c r="F4627" t="s">
        <v>29372</v>
      </c>
      <c r="G4627" t="s">
        <v>29383</v>
      </c>
      <c r="H4627" t="s">
        <v>11048</v>
      </c>
      <c r="I4627" t="s">
        <v>5383</v>
      </c>
      <c r="J4627" t="s">
        <v>32571</v>
      </c>
      <c r="K4627" t="s">
        <v>38490</v>
      </c>
      <c r="M4627" t="s">
        <v>40494</v>
      </c>
      <c r="N4627" t="s">
        <v>42669</v>
      </c>
      <c r="O4627" t="s">
        <v>42670</v>
      </c>
      <c r="P4627">
        <v>0</v>
      </c>
      <c r="Q4627">
        <v>0</v>
      </c>
      <c r="R4627" t="s">
        <v>42676</v>
      </c>
      <c r="S4627" t="s">
        <v>42809</v>
      </c>
      <c r="T4627" t="s">
        <v>44470</v>
      </c>
      <c r="U4627" t="s">
        <v>48598</v>
      </c>
      <c r="W4627" t="s">
        <v>58050</v>
      </c>
      <c r="X4627" t="s">
        <v>42677</v>
      </c>
    </row>
    <row r="4628" spans="1:24">
      <c r="A4628">
        <f>HYPERLINK("https://www.philgeps.gov.ph/GEPSNONPILOT/Tender/SplashBidNoticeAbstractUI.aspx?menuIndex=3&amp;refID=7188435&amp;Result=3","7188435")</f>
        <v>0</v>
      </c>
      <c r="B4628" t="s">
        <v>1666</v>
      </c>
      <c r="C4628" t="s">
        <v>7957</v>
      </c>
      <c r="D4628" t="s">
        <v>17142</v>
      </c>
      <c r="E4628" t="s">
        <v>17648</v>
      </c>
      <c r="F4628" t="s">
        <v>29372</v>
      </c>
      <c r="G4628" t="s">
        <v>29380</v>
      </c>
      <c r="H4628" t="s">
        <v>11048</v>
      </c>
      <c r="I4628" t="s">
        <v>29417</v>
      </c>
      <c r="J4628" t="s">
        <v>32572</v>
      </c>
      <c r="K4628" t="s">
        <v>38491</v>
      </c>
      <c r="M4628" t="s">
        <v>40525</v>
      </c>
      <c r="N4628" t="s">
        <v>42669</v>
      </c>
      <c r="O4628" t="s">
        <v>42670</v>
      </c>
      <c r="P4628">
        <v>0</v>
      </c>
      <c r="Q4628">
        <v>1</v>
      </c>
      <c r="R4628" t="s">
        <v>42676</v>
      </c>
      <c r="S4628" t="s">
        <v>42809</v>
      </c>
      <c r="T4628" t="s">
        <v>44378</v>
      </c>
      <c r="U4628" t="s">
        <v>48599</v>
      </c>
      <c r="W4628" t="s">
        <v>40525</v>
      </c>
      <c r="X4628" t="s">
        <v>42677</v>
      </c>
    </row>
    <row r="4629" spans="1:24">
      <c r="A4629">
        <f>HYPERLINK("https://www.philgeps.gov.ph/GEPSNONPILOT/Tender/SplashBidNoticeAbstractUI.aspx?menuIndex=3&amp;refID=7188501&amp;Result=3","7188501")</f>
        <v>0</v>
      </c>
      <c r="B4629" t="s">
        <v>1667</v>
      </c>
      <c r="C4629" t="s">
        <v>7593</v>
      </c>
      <c r="D4629" t="s">
        <v>17169</v>
      </c>
      <c r="E4629" t="s">
        <v>21254</v>
      </c>
      <c r="F4629" t="s">
        <v>29372</v>
      </c>
      <c r="G4629" t="s">
        <v>29380</v>
      </c>
      <c r="H4629" t="s">
        <v>29389</v>
      </c>
      <c r="I4629" t="s">
        <v>10408</v>
      </c>
      <c r="J4629" t="s">
        <v>32573</v>
      </c>
      <c r="K4629" t="s">
        <v>38488</v>
      </c>
      <c r="M4629" t="s">
        <v>40526</v>
      </c>
      <c r="N4629" t="s">
        <v>42669</v>
      </c>
      <c r="O4629" t="s">
        <v>42670</v>
      </c>
      <c r="P4629">
        <v>0</v>
      </c>
      <c r="Q4629">
        <v>2</v>
      </c>
      <c r="R4629" t="s">
        <v>42676</v>
      </c>
      <c r="S4629" t="s">
        <v>42809</v>
      </c>
      <c r="T4629" t="s">
        <v>44397</v>
      </c>
      <c r="U4629" t="s">
        <v>48600</v>
      </c>
      <c r="W4629" t="s">
        <v>40526</v>
      </c>
      <c r="X4629" t="s">
        <v>42677</v>
      </c>
    </row>
    <row r="4630" spans="1:24">
      <c r="A4630">
        <f>HYPERLINK("https://www.philgeps.gov.ph/GEPSNONPILOT/Tender/SplashBidNoticeAbstractUI.aspx?menuIndex=3&amp;refID=7188510&amp;Result=3","7188510")</f>
        <v>0</v>
      </c>
      <c r="B4630" t="s">
        <v>1668</v>
      </c>
      <c r="C4630" t="s">
        <v>7200</v>
      </c>
      <c r="D4630" t="s">
        <v>17150</v>
      </c>
      <c r="E4630" t="s">
        <v>21255</v>
      </c>
      <c r="F4630" t="s">
        <v>29372</v>
      </c>
      <c r="G4630" t="s">
        <v>29380</v>
      </c>
      <c r="H4630" t="s">
        <v>29389</v>
      </c>
      <c r="I4630" t="s">
        <v>10408</v>
      </c>
      <c r="J4630" t="s">
        <v>32574</v>
      </c>
      <c r="K4630" t="s">
        <v>38485</v>
      </c>
      <c r="M4630" t="s">
        <v>40527</v>
      </c>
      <c r="N4630" t="s">
        <v>42669</v>
      </c>
      <c r="O4630" t="s">
        <v>42670</v>
      </c>
      <c r="P4630">
        <v>0</v>
      </c>
      <c r="Q4630">
        <v>0</v>
      </c>
      <c r="R4630" t="s">
        <v>42676</v>
      </c>
      <c r="S4630" t="s">
        <v>42809</v>
      </c>
      <c r="T4630" t="s">
        <v>44437</v>
      </c>
      <c r="U4630" t="s">
        <v>48601</v>
      </c>
      <c r="V4630" t="s">
        <v>56872</v>
      </c>
      <c r="W4630" t="s">
        <v>40527</v>
      </c>
      <c r="X4630" t="s">
        <v>42677</v>
      </c>
    </row>
    <row r="4631" spans="1:24">
      <c r="A4631">
        <f>HYPERLINK("https://www.philgeps.gov.ph/GEPSNONPILOT/Tender/SplashBidNoticeAbstractUI.aspx?menuIndex=3&amp;refID=7188500&amp;Result=3","7188500")</f>
        <v>0</v>
      </c>
      <c r="B4631" t="s">
        <v>1640</v>
      </c>
      <c r="C4631" t="s">
        <v>7958</v>
      </c>
      <c r="D4631" t="s">
        <v>17192</v>
      </c>
      <c r="E4631" t="s">
        <v>21256</v>
      </c>
      <c r="F4631" t="s">
        <v>29372</v>
      </c>
      <c r="G4631" t="s">
        <v>29383</v>
      </c>
      <c r="H4631" t="s">
        <v>11048</v>
      </c>
      <c r="I4631" t="s">
        <v>4709</v>
      </c>
      <c r="J4631" t="s">
        <v>32575</v>
      </c>
      <c r="K4631" t="s">
        <v>38488</v>
      </c>
      <c r="M4631" t="s">
        <v>40496</v>
      </c>
      <c r="N4631" t="s">
        <v>42669</v>
      </c>
      <c r="O4631" t="s">
        <v>42670</v>
      </c>
      <c r="P4631">
        <v>0</v>
      </c>
      <c r="Q4631">
        <v>1</v>
      </c>
      <c r="R4631" t="s">
        <v>42676</v>
      </c>
      <c r="S4631" t="s">
        <v>42809</v>
      </c>
      <c r="T4631" t="s">
        <v>44469</v>
      </c>
      <c r="U4631" t="s">
        <v>48602</v>
      </c>
      <c r="W4631" t="s">
        <v>40496</v>
      </c>
      <c r="X4631" t="s">
        <v>42677</v>
      </c>
    </row>
    <row r="4632" spans="1:24">
      <c r="A4632">
        <f>HYPERLINK("https://www.philgeps.gov.ph/GEPSNONPILOT/Tender/SplashBidNoticeAbstractUI.aspx?menuIndex=3&amp;refID=7188497&amp;Result=3","7188497")</f>
        <v>0</v>
      </c>
      <c r="B4632" t="s">
        <v>579</v>
      </c>
      <c r="C4632" t="s">
        <v>7959</v>
      </c>
      <c r="D4632" t="s">
        <v>17141</v>
      </c>
      <c r="E4632" t="s">
        <v>21257</v>
      </c>
      <c r="F4632" t="s">
        <v>29373</v>
      </c>
      <c r="G4632" t="s">
        <v>29380</v>
      </c>
      <c r="H4632" t="s">
        <v>11048</v>
      </c>
      <c r="I4632" t="s">
        <v>29473</v>
      </c>
      <c r="J4632" t="s">
        <v>29708</v>
      </c>
      <c r="K4632" t="s">
        <v>38485</v>
      </c>
      <c r="M4632" t="s">
        <v>39348</v>
      </c>
      <c r="N4632" t="s">
        <v>42669</v>
      </c>
      <c r="O4632" t="s">
        <v>42670</v>
      </c>
      <c r="P4632">
        <v>0</v>
      </c>
      <c r="Q4632">
        <v>0</v>
      </c>
      <c r="R4632" t="s">
        <v>42676</v>
      </c>
      <c r="S4632" t="s">
        <v>42809</v>
      </c>
      <c r="T4632" t="s">
        <v>44662</v>
      </c>
      <c r="U4632" t="s">
        <v>48603</v>
      </c>
      <c r="V4632" t="s">
        <v>56504</v>
      </c>
      <c r="W4632" t="s">
        <v>39348</v>
      </c>
      <c r="X4632" t="s">
        <v>42677</v>
      </c>
    </row>
    <row r="4633" spans="1:24">
      <c r="A4633">
        <f>HYPERLINK("https://www.philgeps.gov.ph/GEPSNONPILOT/Tender/SplashBidNoticeAbstractUI.aspx?menuIndex=3&amp;refID=7188494&amp;Result=3","7188494")</f>
        <v>0</v>
      </c>
      <c r="B4633" t="s">
        <v>1669</v>
      </c>
      <c r="C4633" t="s">
        <v>7960</v>
      </c>
      <c r="D4633" t="s">
        <v>17174</v>
      </c>
      <c r="E4633" t="s">
        <v>21258</v>
      </c>
      <c r="F4633" t="s">
        <v>29372</v>
      </c>
      <c r="G4633" t="s">
        <v>29380</v>
      </c>
      <c r="H4633" t="s">
        <v>11048</v>
      </c>
      <c r="I4633" t="s">
        <v>4709</v>
      </c>
      <c r="J4633" t="s">
        <v>31263</v>
      </c>
      <c r="K4633" t="s">
        <v>38491</v>
      </c>
      <c r="M4633" t="s">
        <v>40528</v>
      </c>
      <c r="N4633" t="s">
        <v>42669</v>
      </c>
      <c r="O4633" t="s">
        <v>42670</v>
      </c>
      <c r="P4633">
        <v>0</v>
      </c>
      <c r="Q4633">
        <v>0</v>
      </c>
      <c r="R4633" t="s">
        <v>42676</v>
      </c>
      <c r="S4633" t="s">
        <v>42809</v>
      </c>
      <c r="T4633" t="s">
        <v>44399</v>
      </c>
      <c r="U4633" t="s">
        <v>45957</v>
      </c>
      <c r="W4633" t="s">
        <v>40528</v>
      </c>
      <c r="X4633" t="s">
        <v>42677</v>
      </c>
    </row>
    <row r="4634" spans="1:24">
      <c r="A4634">
        <f>HYPERLINK("https://www.philgeps.gov.ph/GEPSNONPILOT/Tender/SplashBidNoticeAbstractUI.aspx?menuIndex=3&amp;refID=7188471&amp;Result=3","7188471")</f>
        <v>0</v>
      </c>
      <c r="B4634" t="s">
        <v>1670</v>
      </c>
      <c r="C4634" t="s">
        <v>7961</v>
      </c>
      <c r="D4634" t="s">
        <v>17141</v>
      </c>
      <c r="E4634" t="s">
        <v>21259</v>
      </c>
      <c r="F4634" t="s">
        <v>29372</v>
      </c>
      <c r="G4634" t="s">
        <v>29383</v>
      </c>
      <c r="H4634" t="s">
        <v>11048</v>
      </c>
      <c r="I4634" t="s">
        <v>29449</v>
      </c>
      <c r="J4634" t="s">
        <v>32576</v>
      </c>
      <c r="K4634" t="s">
        <v>38490</v>
      </c>
      <c r="M4634" t="s">
        <v>40529</v>
      </c>
      <c r="N4634" t="s">
        <v>42669</v>
      </c>
      <c r="O4634" t="s">
        <v>42670</v>
      </c>
      <c r="P4634">
        <v>0</v>
      </c>
      <c r="Q4634">
        <v>9</v>
      </c>
      <c r="R4634" t="s">
        <v>42676</v>
      </c>
      <c r="S4634" t="s">
        <v>42809</v>
      </c>
      <c r="T4634" t="s">
        <v>44454</v>
      </c>
      <c r="U4634" t="s">
        <v>48604</v>
      </c>
      <c r="W4634" t="s">
        <v>40529</v>
      </c>
      <c r="X4634" t="s">
        <v>42677</v>
      </c>
    </row>
    <row r="4635" spans="1:24">
      <c r="A4635">
        <f>HYPERLINK("https://www.philgeps.gov.ph/GEPSNONPILOT/Tender/SplashBidNoticeAbstractUI.aspx?menuIndex=3&amp;refID=7188489&amp;Result=3","7188489")</f>
        <v>0</v>
      </c>
      <c r="B4635" t="s">
        <v>1638</v>
      </c>
      <c r="C4635" t="s">
        <v>7962</v>
      </c>
      <c r="D4635" t="s">
        <v>17213</v>
      </c>
      <c r="E4635" t="s">
        <v>21260</v>
      </c>
      <c r="F4635" t="s">
        <v>29372</v>
      </c>
      <c r="G4635" t="s">
        <v>29383</v>
      </c>
      <c r="H4635" t="s">
        <v>11048</v>
      </c>
      <c r="I4635" t="s">
        <v>5383</v>
      </c>
      <c r="J4635" t="s">
        <v>32577</v>
      </c>
      <c r="K4635" t="s">
        <v>38490</v>
      </c>
      <c r="M4635" t="s">
        <v>40494</v>
      </c>
      <c r="N4635" t="s">
        <v>42669</v>
      </c>
      <c r="O4635" t="s">
        <v>42670</v>
      </c>
      <c r="P4635">
        <v>0</v>
      </c>
      <c r="Q4635">
        <v>2</v>
      </c>
      <c r="R4635" t="s">
        <v>42676</v>
      </c>
      <c r="S4635" t="s">
        <v>42809</v>
      </c>
      <c r="T4635" t="s">
        <v>44470</v>
      </c>
      <c r="U4635" t="s">
        <v>48605</v>
      </c>
      <c r="W4635" t="s">
        <v>58050</v>
      </c>
      <c r="X4635" t="s">
        <v>42677</v>
      </c>
    </row>
    <row r="4636" spans="1:24">
      <c r="A4636">
        <f>HYPERLINK("https://www.philgeps.gov.ph/GEPSNONPILOT/Tender/SplashBidNoticeAbstractUI.aspx?menuIndex=3&amp;refID=7188507&amp;Result=3","7188507")</f>
        <v>0</v>
      </c>
      <c r="B4636" t="s">
        <v>586</v>
      </c>
      <c r="C4636" t="s">
        <v>7963</v>
      </c>
      <c r="D4636" t="s">
        <v>17161</v>
      </c>
      <c r="E4636" t="s">
        <v>21261</v>
      </c>
      <c r="F4636" t="s">
        <v>29372</v>
      </c>
      <c r="G4636" t="s">
        <v>29379</v>
      </c>
      <c r="H4636" t="s">
        <v>11048</v>
      </c>
      <c r="I4636" t="s">
        <v>29414</v>
      </c>
      <c r="J4636" t="s">
        <v>30036</v>
      </c>
      <c r="K4636" t="s">
        <v>38490</v>
      </c>
      <c r="M4636" t="s">
        <v>39355</v>
      </c>
      <c r="N4636" t="s">
        <v>42669</v>
      </c>
      <c r="O4636" t="s">
        <v>42670</v>
      </c>
      <c r="P4636">
        <v>0</v>
      </c>
      <c r="Q4636">
        <v>8</v>
      </c>
      <c r="R4636" t="s">
        <v>42676</v>
      </c>
      <c r="S4636" t="s">
        <v>42809</v>
      </c>
      <c r="T4636" t="s">
        <v>44488</v>
      </c>
      <c r="U4636" t="s">
        <v>48606</v>
      </c>
      <c r="W4636" t="s">
        <v>39355</v>
      </c>
      <c r="X4636" t="s">
        <v>42677</v>
      </c>
    </row>
    <row r="4637" spans="1:24">
      <c r="A4637">
        <f>HYPERLINK("https://www.philgeps.gov.ph/GEPSNONPILOT/Tender/SplashBidNoticeAbstractUI.aspx?menuIndex=3&amp;refID=7188555&amp;Result=3","7188555")</f>
        <v>0</v>
      </c>
      <c r="B4637" t="s">
        <v>219</v>
      </c>
      <c r="C4637" t="s">
        <v>7964</v>
      </c>
      <c r="D4637" t="s">
        <v>17176</v>
      </c>
      <c r="E4637" t="s">
        <v>21262</v>
      </c>
      <c r="F4637" t="s">
        <v>29372</v>
      </c>
      <c r="G4637" t="s">
        <v>29380</v>
      </c>
      <c r="H4637" t="s">
        <v>11048</v>
      </c>
      <c r="I4637" t="s">
        <v>4709</v>
      </c>
      <c r="J4637" t="s">
        <v>32578</v>
      </c>
      <c r="K4637" t="s">
        <v>38488</v>
      </c>
      <c r="M4637" t="s">
        <v>38978</v>
      </c>
      <c r="N4637" t="s">
        <v>42669</v>
      </c>
      <c r="O4637" t="s">
        <v>42670</v>
      </c>
      <c r="P4637">
        <v>0</v>
      </c>
      <c r="Q4637">
        <v>0</v>
      </c>
      <c r="R4637" t="s">
        <v>42676</v>
      </c>
      <c r="S4637" t="s">
        <v>42809</v>
      </c>
      <c r="T4637" t="s">
        <v>44378</v>
      </c>
      <c r="U4637" t="s">
        <v>45627</v>
      </c>
      <c r="W4637" t="s">
        <v>38978</v>
      </c>
      <c r="X4637" t="s">
        <v>42677</v>
      </c>
    </row>
    <row r="4638" spans="1:24">
      <c r="A4638">
        <f>HYPERLINK("https://www.philgeps.gov.ph/GEPSNONPILOT/Tender/SplashBidNoticeAbstractUI.aspx?menuIndex=3&amp;refID=7188550&amp;Result=3","7188550")</f>
        <v>0</v>
      </c>
      <c r="B4638" t="s">
        <v>1383</v>
      </c>
      <c r="C4638" t="s">
        <v>7965</v>
      </c>
      <c r="D4638" t="s">
        <v>17169</v>
      </c>
      <c r="E4638" t="s">
        <v>20592</v>
      </c>
      <c r="F4638" t="s">
        <v>29372</v>
      </c>
      <c r="G4638" t="s">
        <v>29380</v>
      </c>
      <c r="H4638" t="s">
        <v>29389</v>
      </c>
      <c r="I4638" t="s">
        <v>10408</v>
      </c>
      <c r="J4638" t="s">
        <v>32579</v>
      </c>
      <c r="K4638" t="s">
        <v>38522</v>
      </c>
      <c r="M4638" t="s">
        <v>40220</v>
      </c>
      <c r="N4638" t="s">
        <v>42669</v>
      </c>
      <c r="O4638" t="s">
        <v>42670</v>
      </c>
      <c r="P4638">
        <v>0</v>
      </c>
      <c r="Q4638">
        <v>1</v>
      </c>
      <c r="R4638" t="s">
        <v>42676</v>
      </c>
      <c r="S4638" t="s">
        <v>42809</v>
      </c>
      <c r="T4638" t="s">
        <v>44587</v>
      </c>
      <c r="U4638" t="s">
        <v>47960</v>
      </c>
      <c r="V4638" t="s">
        <v>56873</v>
      </c>
      <c r="W4638" t="s">
        <v>40220</v>
      </c>
      <c r="X4638" t="s">
        <v>42677</v>
      </c>
    </row>
    <row r="4639" spans="1:24">
      <c r="A4639">
        <f>HYPERLINK("https://www.philgeps.gov.ph/GEPSNONPILOT/Tender/SplashBidNoticeAbstractUI.aspx?menuIndex=3&amp;refID=7188493&amp;Result=3","7188493")</f>
        <v>0</v>
      </c>
      <c r="B4639" t="s">
        <v>1625</v>
      </c>
      <c r="C4639" t="s">
        <v>7966</v>
      </c>
      <c r="D4639" t="s">
        <v>17199</v>
      </c>
      <c r="E4639" t="s">
        <v>21263</v>
      </c>
      <c r="F4639" t="s">
        <v>29372</v>
      </c>
      <c r="G4639" t="s">
        <v>29379</v>
      </c>
      <c r="H4639" t="s">
        <v>11048</v>
      </c>
      <c r="I4639" t="s">
        <v>29407</v>
      </c>
      <c r="J4639" t="s">
        <v>29823</v>
      </c>
      <c r="K4639" t="s">
        <v>38490</v>
      </c>
      <c r="M4639" t="s">
        <v>40479</v>
      </c>
      <c r="N4639" t="s">
        <v>42669</v>
      </c>
      <c r="O4639" t="s">
        <v>42670</v>
      </c>
      <c r="P4639">
        <v>0</v>
      </c>
      <c r="Q4639">
        <v>8</v>
      </c>
      <c r="R4639" t="s">
        <v>42676</v>
      </c>
      <c r="S4639" t="s">
        <v>42809</v>
      </c>
      <c r="T4639" t="s">
        <v>44631</v>
      </c>
      <c r="U4639" t="s">
        <v>48510</v>
      </c>
      <c r="W4639" t="s">
        <v>40479</v>
      </c>
      <c r="X4639" t="s">
        <v>42677</v>
      </c>
    </row>
    <row r="4640" spans="1:24">
      <c r="A4640">
        <f>HYPERLINK("https://www.philgeps.gov.ph/GEPSNONPILOT/Tender/SplashBidNoticeAbstractUI.aspx?menuIndex=3&amp;refID=7188512&amp;Result=3","7188512")</f>
        <v>0</v>
      </c>
      <c r="B4640" t="s">
        <v>886</v>
      </c>
      <c r="C4640" t="s">
        <v>7967</v>
      </c>
      <c r="D4640" t="s">
        <v>17189</v>
      </c>
      <c r="E4640" t="s">
        <v>21264</v>
      </c>
      <c r="F4640" t="s">
        <v>29372</v>
      </c>
      <c r="G4640" t="s">
        <v>29379</v>
      </c>
      <c r="H4640" t="s">
        <v>11048</v>
      </c>
      <c r="I4640" t="s">
        <v>8208</v>
      </c>
      <c r="J4640" t="s">
        <v>32580</v>
      </c>
      <c r="K4640" t="s">
        <v>38489</v>
      </c>
      <c r="M4640" t="s">
        <v>39678</v>
      </c>
      <c r="N4640" t="s">
        <v>42669</v>
      </c>
      <c r="O4640" t="s">
        <v>42670</v>
      </c>
      <c r="P4640">
        <v>0</v>
      </c>
      <c r="Q4640">
        <v>0</v>
      </c>
      <c r="R4640" t="s">
        <v>42676</v>
      </c>
      <c r="S4640" t="s">
        <v>42809</v>
      </c>
      <c r="T4640" t="s">
        <v>44493</v>
      </c>
      <c r="U4640" t="s">
        <v>46659</v>
      </c>
      <c r="W4640" t="s">
        <v>39678</v>
      </c>
      <c r="X4640" t="s">
        <v>42677</v>
      </c>
    </row>
    <row r="4641" spans="1:24">
      <c r="A4641">
        <f>HYPERLINK("https://www.philgeps.gov.ph/GEPSNONPILOT/Tender/SplashBidNoticeAbstractUI.aspx?menuIndex=3&amp;refID=7188549&amp;Result=3","7188549")</f>
        <v>0</v>
      </c>
      <c r="B4641" t="s">
        <v>1638</v>
      </c>
      <c r="C4641" t="s">
        <v>7968</v>
      </c>
      <c r="D4641" t="s">
        <v>17213</v>
      </c>
      <c r="E4641" t="s">
        <v>21265</v>
      </c>
      <c r="F4641" t="s">
        <v>29372</v>
      </c>
      <c r="G4641" t="s">
        <v>29383</v>
      </c>
      <c r="H4641" t="s">
        <v>11048</v>
      </c>
      <c r="I4641" t="s">
        <v>3839</v>
      </c>
      <c r="J4641" t="s">
        <v>31287</v>
      </c>
      <c r="K4641" t="s">
        <v>38490</v>
      </c>
      <c r="M4641" t="s">
        <v>40494</v>
      </c>
      <c r="N4641" t="s">
        <v>42669</v>
      </c>
      <c r="O4641" t="s">
        <v>42670</v>
      </c>
      <c r="P4641">
        <v>0</v>
      </c>
      <c r="Q4641">
        <v>0</v>
      </c>
      <c r="R4641" t="s">
        <v>42676</v>
      </c>
      <c r="S4641" t="s">
        <v>42809</v>
      </c>
      <c r="T4641" t="s">
        <v>44470</v>
      </c>
      <c r="U4641" t="s">
        <v>48607</v>
      </c>
      <c r="W4641" t="s">
        <v>58050</v>
      </c>
      <c r="X4641" t="s">
        <v>42677</v>
      </c>
    </row>
    <row r="4642" spans="1:24">
      <c r="A4642">
        <f>HYPERLINK("https://www.philgeps.gov.ph/GEPSNONPILOT/Tender/SplashBidNoticeAbstractUI.aspx?menuIndex=3&amp;refID=7188546&amp;Result=3","7188546")</f>
        <v>0</v>
      </c>
      <c r="B4642" t="s">
        <v>1671</v>
      </c>
      <c r="C4642" t="s">
        <v>7969</v>
      </c>
      <c r="E4642" t="s">
        <v>21266</v>
      </c>
      <c r="F4642" t="s">
        <v>29372</v>
      </c>
      <c r="G4642" t="s">
        <v>29380</v>
      </c>
      <c r="H4642" t="s">
        <v>29389</v>
      </c>
      <c r="I4642" t="s">
        <v>10408</v>
      </c>
      <c r="J4642" t="s">
        <v>32581</v>
      </c>
      <c r="K4642" t="s">
        <v>38639</v>
      </c>
      <c r="M4642" t="s">
        <v>40530</v>
      </c>
      <c r="N4642" t="s">
        <v>42669</v>
      </c>
      <c r="O4642" t="s">
        <v>42670</v>
      </c>
      <c r="Q4642">
        <v>6</v>
      </c>
      <c r="R4642" t="s">
        <v>42676</v>
      </c>
      <c r="S4642" t="s">
        <v>42819</v>
      </c>
      <c r="T4642" t="s">
        <v>44363</v>
      </c>
      <c r="U4642" t="s">
        <v>48608</v>
      </c>
      <c r="W4642" t="s">
        <v>40530</v>
      </c>
      <c r="X4642" t="s">
        <v>42677</v>
      </c>
    </row>
    <row r="4643" spans="1:24">
      <c r="A4643">
        <f>HYPERLINK("https://www.philgeps.gov.ph/GEPSNONPILOT/Tender/SplashBidNoticeAbstractUI.aspx?menuIndex=3&amp;refID=7188492&amp;Result=3","7188492")</f>
        <v>0</v>
      </c>
      <c r="B4643" t="s">
        <v>1672</v>
      </c>
      <c r="C4643" t="s">
        <v>7970</v>
      </c>
      <c r="D4643" t="s">
        <v>17193</v>
      </c>
      <c r="E4643" t="s">
        <v>21267</v>
      </c>
      <c r="F4643" t="s">
        <v>29372</v>
      </c>
      <c r="G4643" t="s">
        <v>29379</v>
      </c>
      <c r="H4643" t="s">
        <v>11048</v>
      </c>
      <c r="I4643" t="s">
        <v>4487</v>
      </c>
      <c r="J4643" t="s">
        <v>32582</v>
      </c>
      <c r="K4643" t="s">
        <v>38485</v>
      </c>
      <c r="M4643" t="s">
        <v>40531</v>
      </c>
      <c r="N4643" t="s">
        <v>42669</v>
      </c>
      <c r="O4643" t="s">
        <v>42670</v>
      </c>
      <c r="P4643">
        <v>0</v>
      </c>
      <c r="Q4643">
        <v>3</v>
      </c>
      <c r="R4643" t="s">
        <v>42676</v>
      </c>
      <c r="S4643" t="s">
        <v>42809</v>
      </c>
      <c r="T4643" t="s">
        <v>44427</v>
      </c>
      <c r="U4643" t="s">
        <v>48609</v>
      </c>
      <c r="V4643" t="s">
        <v>56874</v>
      </c>
      <c r="W4643" t="s">
        <v>40531</v>
      </c>
      <c r="X4643" t="s">
        <v>42677</v>
      </c>
    </row>
    <row r="4644" spans="1:24">
      <c r="A4644">
        <f>HYPERLINK("https://www.philgeps.gov.ph/GEPSNONPILOT/Tender/SplashBidNoticeAbstractUI.aspx?menuIndex=3&amp;refID=7188545&amp;Result=3","7188545")</f>
        <v>0</v>
      </c>
      <c r="B4644" t="s">
        <v>1649</v>
      </c>
      <c r="C4644" t="s">
        <v>7971</v>
      </c>
      <c r="D4644" t="s">
        <v>17179</v>
      </c>
      <c r="E4644" t="s">
        <v>21268</v>
      </c>
      <c r="F4644" t="s">
        <v>29372</v>
      </c>
      <c r="G4644" t="s">
        <v>29380</v>
      </c>
      <c r="H4644" t="s">
        <v>29389</v>
      </c>
      <c r="I4644" t="s">
        <v>10408</v>
      </c>
      <c r="J4644" t="s">
        <v>32583</v>
      </c>
      <c r="K4644" t="s">
        <v>38491</v>
      </c>
      <c r="M4644" t="s">
        <v>40505</v>
      </c>
      <c r="N4644" t="s">
        <v>42669</v>
      </c>
      <c r="O4644" t="s">
        <v>42670</v>
      </c>
      <c r="P4644">
        <v>0</v>
      </c>
      <c r="Q4644">
        <v>0</v>
      </c>
      <c r="R4644" t="s">
        <v>42676</v>
      </c>
      <c r="S4644" t="s">
        <v>42809</v>
      </c>
      <c r="T4644" t="s">
        <v>44569</v>
      </c>
      <c r="U4644" t="s">
        <v>48610</v>
      </c>
      <c r="V4644" t="s">
        <v>56875</v>
      </c>
      <c r="W4644" t="s">
        <v>40505</v>
      </c>
      <c r="X4644" t="s">
        <v>42677</v>
      </c>
    </row>
    <row r="4645" spans="1:24">
      <c r="A4645">
        <f>HYPERLINK("https://www.philgeps.gov.ph/GEPSNONPILOT/Tender/SplashBidNoticeAbstractUI.aspx?menuIndex=3&amp;refID=7188543&amp;Result=3","7188543")</f>
        <v>0</v>
      </c>
      <c r="B4645" t="s">
        <v>1673</v>
      </c>
      <c r="C4645" t="s">
        <v>7972</v>
      </c>
      <c r="D4645" t="s">
        <v>17144</v>
      </c>
      <c r="E4645" t="s">
        <v>21269</v>
      </c>
      <c r="F4645" t="s">
        <v>29375</v>
      </c>
      <c r="G4645" t="s">
        <v>29379</v>
      </c>
      <c r="H4645" t="s">
        <v>11048</v>
      </c>
      <c r="I4645" t="s">
        <v>29409</v>
      </c>
      <c r="J4645" t="s">
        <v>29708</v>
      </c>
      <c r="K4645" t="s">
        <v>38510</v>
      </c>
      <c r="M4645" t="s">
        <v>40532</v>
      </c>
      <c r="N4645" t="s">
        <v>42669</v>
      </c>
      <c r="O4645" t="s">
        <v>42670</v>
      </c>
      <c r="P4645">
        <v>0</v>
      </c>
      <c r="Q4645">
        <v>7</v>
      </c>
      <c r="R4645" t="s">
        <v>42676</v>
      </c>
      <c r="S4645" t="s">
        <v>42809</v>
      </c>
      <c r="T4645" t="s">
        <v>44382</v>
      </c>
      <c r="U4645" t="s">
        <v>48611</v>
      </c>
      <c r="V4645" t="s">
        <v>56876</v>
      </c>
      <c r="W4645" t="s">
        <v>40532</v>
      </c>
      <c r="X4645" t="s">
        <v>42677</v>
      </c>
    </row>
    <row r="4646" spans="1:24">
      <c r="A4646">
        <f>HYPERLINK("https://www.philgeps.gov.ph/GEPSNONPILOT/Tender/SplashBidNoticeAbstractUI.aspx?menuIndex=3&amp;refID=7188537&amp;Result=3","7188537")</f>
        <v>0</v>
      </c>
      <c r="B4646" t="s">
        <v>1674</v>
      </c>
      <c r="C4646" t="s">
        <v>7973</v>
      </c>
      <c r="D4646" t="s">
        <v>17174</v>
      </c>
      <c r="E4646" t="s">
        <v>17755</v>
      </c>
      <c r="F4646" t="s">
        <v>29372</v>
      </c>
      <c r="G4646" t="s">
        <v>29380</v>
      </c>
      <c r="H4646" t="s">
        <v>11048</v>
      </c>
      <c r="I4646" t="s">
        <v>4709</v>
      </c>
      <c r="J4646" t="s">
        <v>32584</v>
      </c>
      <c r="K4646" t="s">
        <v>38491</v>
      </c>
      <c r="L4646" t="s">
        <v>1674</v>
      </c>
      <c r="M4646" t="s">
        <v>40533</v>
      </c>
      <c r="N4646" t="s">
        <v>42669</v>
      </c>
      <c r="O4646" t="s">
        <v>42670</v>
      </c>
      <c r="P4646">
        <v>0</v>
      </c>
      <c r="Q4646">
        <v>0</v>
      </c>
      <c r="R4646" t="s">
        <v>42676</v>
      </c>
      <c r="S4646" t="s">
        <v>42809</v>
      </c>
      <c r="T4646" t="s">
        <v>44399</v>
      </c>
      <c r="U4646" t="s">
        <v>48612</v>
      </c>
      <c r="W4646" t="s">
        <v>40533</v>
      </c>
      <c r="X4646" t="s">
        <v>42677</v>
      </c>
    </row>
    <row r="4647" spans="1:24">
      <c r="A4647">
        <f>HYPERLINK("https://www.philgeps.gov.ph/GEPSNONPILOT/Tender/SplashBidNoticeAbstractUI.aspx?menuIndex=3&amp;refID=7188504&amp;Result=3","7188504")</f>
        <v>0</v>
      </c>
      <c r="B4647" t="s">
        <v>1653</v>
      </c>
      <c r="C4647" t="s">
        <v>7974</v>
      </c>
      <c r="D4647" t="s">
        <v>17141</v>
      </c>
      <c r="E4647" t="s">
        <v>21270</v>
      </c>
      <c r="F4647" t="s">
        <v>29372</v>
      </c>
      <c r="G4647" t="s">
        <v>29380</v>
      </c>
      <c r="H4647" t="s">
        <v>11048</v>
      </c>
      <c r="I4647" t="s">
        <v>29421</v>
      </c>
      <c r="J4647" t="s">
        <v>32585</v>
      </c>
      <c r="K4647" t="s">
        <v>38490</v>
      </c>
      <c r="M4647" t="s">
        <v>40510</v>
      </c>
      <c r="N4647" t="s">
        <v>42669</v>
      </c>
      <c r="O4647" t="s">
        <v>42670</v>
      </c>
      <c r="P4647">
        <v>0</v>
      </c>
      <c r="Q4647">
        <v>2</v>
      </c>
      <c r="R4647" t="s">
        <v>42676</v>
      </c>
      <c r="S4647" t="s">
        <v>42809</v>
      </c>
      <c r="T4647" t="s">
        <v>44399</v>
      </c>
      <c r="U4647" t="s">
        <v>48613</v>
      </c>
      <c r="W4647" t="s">
        <v>40510</v>
      </c>
      <c r="X4647" t="s">
        <v>42677</v>
      </c>
    </row>
    <row r="4648" spans="1:24">
      <c r="A4648">
        <f>HYPERLINK("https://www.philgeps.gov.ph/GEPSNONPILOT/Tender/SplashBidNoticeAbstractUI.aspx?menuIndex=3&amp;refID=7188548&amp;Result=3","7188548")</f>
        <v>0</v>
      </c>
      <c r="B4648" t="s">
        <v>1639</v>
      </c>
      <c r="C4648" t="s">
        <v>7975</v>
      </c>
      <c r="D4648" t="s">
        <v>17184</v>
      </c>
      <c r="E4648" t="s">
        <v>21271</v>
      </c>
      <c r="F4648" t="s">
        <v>29372</v>
      </c>
      <c r="G4648" t="s">
        <v>29382</v>
      </c>
      <c r="H4648" t="s">
        <v>11048</v>
      </c>
      <c r="I4648" t="s">
        <v>29398</v>
      </c>
      <c r="J4648" t="s">
        <v>32586</v>
      </c>
      <c r="K4648" t="s">
        <v>38485</v>
      </c>
      <c r="M4648" t="s">
        <v>40495</v>
      </c>
      <c r="N4648" t="s">
        <v>42669</v>
      </c>
      <c r="O4648" t="s">
        <v>42670</v>
      </c>
      <c r="P4648">
        <v>0</v>
      </c>
      <c r="Q4648">
        <v>9</v>
      </c>
      <c r="R4648" t="s">
        <v>42676</v>
      </c>
      <c r="S4648" t="s">
        <v>42809</v>
      </c>
      <c r="T4648" t="s">
        <v>44399</v>
      </c>
      <c r="U4648" t="s">
        <v>48614</v>
      </c>
      <c r="W4648" t="s">
        <v>40495</v>
      </c>
      <c r="X4648" t="s">
        <v>42677</v>
      </c>
    </row>
    <row r="4649" spans="1:24">
      <c r="A4649">
        <f>HYPERLINK("https://www.philgeps.gov.ph/GEPSNONPILOT/Tender/SplashBidNoticeAbstractUI.aspx?menuIndex=3&amp;refID=7188527&amp;Result=3","7188527")</f>
        <v>0</v>
      </c>
      <c r="B4649" t="s">
        <v>1675</v>
      </c>
      <c r="C4649" t="s">
        <v>7976</v>
      </c>
      <c r="D4649" t="s">
        <v>17160</v>
      </c>
      <c r="E4649" t="s">
        <v>21272</v>
      </c>
      <c r="F4649" t="s">
        <v>29372</v>
      </c>
      <c r="G4649" t="s">
        <v>29380</v>
      </c>
      <c r="H4649" t="s">
        <v>11048</v>
      </c>
      <c r="I4649" t="s">
        <v>29447</v>
      </c>
      <c r="J4649" t="s">
        <v>29724</v>
      </c>
      <c r="K4649" t="s">
        <v>38491</v>
      </c>
      <c r="M4649" t="s">
        <v>40534</v>
      </c>
      <c r="N4649" t="s">
        <v>42669</v>
      </c>
      <c r="O4649" t="s">
        <v>42670</v>
      </c>
      <c r="P4649">
        <v>0</v>
      </c>
      <c r="Q4649">
        <v>3</v>
      </c>
      <c r="R4649" t="s">
        <v>42676</v>
      </c>
      <c r="S4649" t="s">
        <v>42809</v>
      </c>
      <c r="T4649" t="s">
        <v>44382</v>
      </c>
      <c r="U4649" t="s">
        <v>48615</v>
      </c>
      <c r="W4649" t="s">
        <v>40534</v>
      </c>
      <c r="X4649" t="s">
        <v>42677</v>
      </c>
    </row>
    <row r="4650" spans="1:24">
      <c r="A4650">
        <f>HYPERLINK("https://www.philgeps.gov.ph/GEPSNONPILOT/Tender/SplashBidNoticeAbstractUI.aspx?menuIndex=3&amp;refID=7188539&amp;Result=3","7188539")</f>
        <v>0</v>
      </c>
      <c r="B4650" t="s">
        <v>1383</v>
      </c>
      <c r="C4650" t="s">
        <v>7977</v>
      </c>
      <c r="D4650" t="s">
        <v>17169</v>
      </c>
      <c r="E4650" t="s">
        <v>20592</v>
      </c>
      <c r="F4650" t="s">
        <v>29372</v>
      </c>
      <c r="G4650" t="s">
        <v>29380</v>
      </c>
      <c r="H4650" t="s">
        <v>29389</v>
      </c>
      <c r="I4650" t="s">
        <v>10408</v>
      </c>
      <c r="J4650" t="s">
        <v>32587</v>
      </c>
      <c r="K4650" t="s">
        <v>38522</v>
      </c>
      <c r="M4650" t="s">
        <v>40220</v>
      </c>
      <c r="N4650" t="s">
        <v>42669</v>
      </c>
      <c r="O4650" t="s">
        <v>42670</v>
      </c>
      <c r="P4650">
        <v>0</v>
      </c>
      <c r="Q4650">
        <v>1</v>
      </c>
      <c r="R4650" t="s">
        <v>42676</v>
      </c>
      <c r="S4650" t="s">
        <v>42809</v>
      </c>
      <c r="T4650" t="s">
        <v>44587</v>
      </c>
      <c r="U4650" t="s">
        <v>47960</v>
      </c>
      <c r="V4650" t="s">
        <v>56877</v>
      </c>
      <c r="W4650" t="s">
        <v>40220</v>
      </c>
      <c r="X4650" t="s">
        <v>42677</v>
      </c>
    </row>
    <row r="4651" spans="1:24">
      <c r="A4651">
        <f>HYPERLINK("https://www.philgeps.gov.ph/GEPSNONPILOT/Tender/SplashBidNoticeAbstractUI.aspx?menuIndex=3&amp;refID=7188538&amp;Result=3","7188538")</f>
        <v>0</v>
      </c>
      <c r="B4651" t="s">
        <v>1341</v>
      </c>
      <c r="C4651" t="s">
        <v>7978</v>
      </c>
      <c r="D4651" t="s">
        <v>17141</v>
      </c>
      <c r="E4651" t="s">
        <v>21273</v>
      </c>
      <c r="F4651" t="s">
        <v>29372</v>
      </c>
      <c r="G4651" t="s">
        <v>29383</v>
      </c>
      <c r="H4651" t="s">
        <v>11048</v>
      </c>
      <c r="I4651" t="s">
        <v>3695</v>
      </c>
      <c r="J4651" t="s">
        <v>32588</v>
      </c>
      <c r="K4651" t="s">
        <v>38490</v>
      </c>
      <c r="M4651" t="s">
        <v>40535</v>
      </c>
      <c r="N4651" t="s">
        <v>42669</v>
      </c>
      <c r="O4651" t="s">
        <v>42670</v>
      </c>
      <c r="P4651">
        <v>0</v>
      </c>
      <c r="Q4651">
        <v>5</v>
      </c>
      <c r="R4651" t="s">
        <v>42676</v>
      </c>
      <c r="S4651" t="s">
        <v>42809</v>
      </c>
      <c r="T4651" t="s">
        <v>44512</v>
      </c>
      <c r="U4651" t="s">
        <v>48616</v>
      </c>
      <c r="W4651" t="s">
        <v>40535</v>
      </c>
      <c r="X4651" t="s">
        <v>42677</v>
      </c>
    </row>
    <row r="4652" spans="1:24">
      <c r="A4652">
        <f>HYPERLINK("https://www.philgeps.gov.ph/GEPSNONPILOT/Tender/SplashBidNoticeAbstractUI.aspx?menuIndex=3&amp;refID=7188528&amp;Result=3","7188528")</f>
        <v>0</v>
      </c>
      <c r="B4652" t="s">
        <v>1344</v>
      </c>
      <c r="C4652" t="s">
        <v>7979</v>
      </c>
      <c r="D4652" t="s">
        <v>17144</v>
      </c>
      <c r="E4652" t="s">
        <v>21274</v>
      </c>
      <c r="F4652" t="s">
        <v>29372</v>
      </c>
      <c r="G4652" t="s">
        <v>29379</v>
      </c>
      <c r="H4652" t="s">
        <v>11048</v>
      </c>
      <c r="I4652" t="s">
        <v>3629</v>
      </c>
      <c r="J4652" t="s">
        <v>32589</v>
      </c>
      <c r="K4652" t="s">
        <v>38510</v>
      </c>
      <c r="M4652" t="s">
        <v>40485</v>
      </c>
      <c r="N4652" t="s">
        <v>42669</v>
      </c>
      <c r="O4652" t="s">
        <v>42670</v>
      </c>
      <c r="P4652">
        <v>0</v>
      </c>
      <c r="Q4652">
        <v>2</v>
      </c>
      <c r="R4652" t="s">
        <v>42676</v>
      </c>
      <c r="S4652" t="s">
        <v>42809</v>
      </c>
      <c r="T4652" t="s">
        <v>44462</v>
      </c>
      <c r="U4652" t="s">
        <v>48617</v>
      </c>
      <c r="W4652" t="s">
        <v>40485</v>
      </c>
      <c r="X4652" t="s">
        <v>42677</v>
      </c>
    </row>
    <row r="4653" spans="1:24">
      <c r="A4653">
        <f>HYPERLINK("https://www.philgeps.gov.ph/GEPSNONPILOT/Tender/SplashBidNoticeAbstractUI.aspx?menuIndex=3&amp;refID=7188554&amp;Result=3","7188554")</f>
        <v>0</v>
      </c>
      <c r="B4653" t="s">
        <v>75</v>
      </c>
      <c r="C4653" t="s">
        <v>7980</v>
      </c>
      <c r="D4653" t="s">
        <v>17153</v>
      </c>
      <c r="E4653" t="s">
        <v>21275</v>
      </c>
      <c r="F4653" t="s">
        <v>29372</v>
      </c>
      <c r="G4653" t="s">
        <v>29379</v>
      </c>
      <c r="H4653" t="s">
        <v>11048</v>
      </c>
      <c r="I4653" t="s">
        <v>8208</v>
      </c>
      <c r="J4653" t="s">
        <v>30798</v>
      </c>
      <c r="K4653" t="s">
        <v>38491</v>
      </c>
      <c r="M4653" t="s">
        <v>38829</v>
      </c>
      <c r="N4653" t="s">
        <v>42669</v>
      </c>
      <c r="O4653" t="s">
        <v>42670</v>
      </c>
      <c r="P4653">
        <v>0</v>
      </c>
      <c r="Q4653">
        <v>0</v>
      </c>
      <c r="R4653" t="s">
        <v>42676</v>
      </c>
      <c r="S4653" t="s">
        <v>42809</v>
      </c>
      <c r="T4653" t="s">
        <v>44425</v>
      </c>
      <c r="U4653" t="s">
        <v>48618</v>
      </c>
      <c r="W4653" t="s">
        <v>38829</v>
      </c>
      <c r="X4653" t="s">
        <v>42677</v>
      </c>
    </row>
    <row r="4654" spans="1:24">
      <c r="A4654">
        <f>HYPERLINK("https://www.philgeps.gov.ph/GEPSNONPILOT/Tender/SplashBidNoticeAbstractUI.aspx?menuIndex=3&amp;refID=7188589&amp;Result=3","7188589")</f>
        <v>0</v>
      </c>
      <c r="B4654" t="s">
        <v>1676</v>
      </c>
      <c r="C4654" t="s">
        <v>7981</v>
      </c>
      <c r="D4654" t="s">
        <v>17155</v>
      </c>
      <c r="E4654" t="s">
        <v>21276</v>
      </c>
      <c r="F4654" t="s">
        <v>29372</v>
      </c>
      <c r="G4654" t="s">
        <v>29379</v>
      </c>
      <c r="H4654" t="s">
        <v>11048</v>
      </c>
      <c r="I4654" t="s">
        <v>3670</v>
      </c>
      <c r="J4654" t="s">
        <v>32590</v>
      </c>
      <c r="K4654" t="s">
        <v>38488</v>
      </c>
      <c r="M4654" t="s">
        <v>40536</v>
      </c>
      <c r="N4654" t="s">
        <v>42669</v>
      </c>
      <c r="O4654" t="s">
        <v>42670</v>
      </c>
      <c r="P4654">
        <v>0</v>
      </c>
      <c r="Q4654">
        <v>1</v>
      </c>
      <c r="R4654" t="s">
        <v>42676</v>
      </c>
      <c r="S4654" t="s">
        <v>42809</v>
      </c>
      <c r="T4654" t="s">
        <v>44432</v>
      </c>
      <c r="U4654" t="s">
        <v>48619</v>
      </c>
      <c r="W4654" t="s">
        <v>40536</v>
      </c>
      <c r="X4654" t="s">
        <v>42677</v>
      </c>
    </row>
    <row r="4655" spans="1:24">
      <c r="A4655">
        <f>HYPERLINK("https://www.philgeps.gov.ph/GEPSNONPILOT/Tender/SplashBidNoticeAbstractUI.aspx?menuIndex=3&amp;refID=7188586&amp;Result=3","7188586")</f>
        <v>0</v>
      </c>
      <c r="B4655" t="s">
        <v>75</v>
      </c>
      <c r="C4655" t="s">
        <v>7982</v>
      </c>
      <c r="D4655" t="s">
        <v>17153</v>
      </c>
      <c r="E4655" t="s">
        <v>21277</v>
      </c>
      <c r="F4655" t="s">
        <v>29372</v>
      </c>
      <c r="G4655" t="s">
        <v>29379</v>
      </c>
      <c r="H4655" t="s">
        <v>11048</v>
      </c>
      <c r="I4655" t="s">
        <v>8614</v>
      </c>
      <c r="J4655" t="s">
        <v>29555</v>
      </c>
      <c r="K4655" t="s">
        <v>38491</v>
      </c>
      <c r="M4655" t="s">
        <v>38829</v>
      </c>
      <c r="N4655" t="s">
        <v>42669</v>
      </c>
      <c r="O4655" t="s">
        <v>42670</v>
      </c>
      <c r="P4655">
        <v>0</v>
      </c>
      <c r="Q4655">
        <v>0</v>
      </c>
      <c r="R4655" t="s">
        <v>42676</v>
      </c>
      <c r="S4655" t="s">
        <v>42809</v>
      </c>
      <c r="T4655" t="s">
        <v>44674</v>
      </c>
      <c r="U4655" t="s">
        <v>48620</v>
      </c>
      <c r="W4655" t="s">
        <v>38829</v>
      </c>
      <c r="X4655" t="s">
        <v>42677</v>
      </c>
    </row>
    <row r="4656" spans="1:24">
      <c r="A4656">
        <f>HYPERLINK("https://www.philgeps.gov.ph/GEPSNONPILOT/Tender/SplashBidNoticeAbstractUI.aspx?menuIndex=3&amp;refID=7188588&amp;Result=3","7188588")</f>
        <v>0</v>
      </c>
      <c r="B4656" t="s">
        <v>219</v>
      </c>
      <c r="C4656" t="s">
        <v>7983</v>
      </c>
      <c r="D4656" t="s">
        <v>17176</v>
      </c>
      <c r="E4656" t="s">
        <v>21278</v>
      </c>
      <c r="F4656" t="s">
        <v>29372</v>
      </c>
      <c r="G4656" t="s">
        <v>29380</v>
      </c>
      <c r="H4656" t="s">
        <v>11048</v>
      </c>
      <c r="I4656" t="s">
        <v>4709</v>
      </c>
      <c r="J4656" t="s">
        <v>32591</v>
      </c>
      <c r="K4656" t="s">
        <v>38488</v>
      </c>
      <c r="M4656" t="s">
        <v>38978</v>
      </c>
      <c r="N4656" t="s">
        <v>42669</v>
      </c>
      <c r="O4656" t="s">
        <v>42670</v>
      </c>
      <c r="P4656">
        <v>0</v>
      </c>
      <c r="Q4656">
        <v>0</v>
      </c>
      <c r="R4656" t="s">
        <v>42676</v>
      </c>
      <c r="S4656" t="s">
        <v>42809</v>
      </c>
      <c r="T4656" t="s">
        <v>44378</v>
      </c>
      <c r="U4656" t="s">
        <v>45627</v>
      </c>
      <c r="W4656" t="s">
        <v>38978</v>
      </c>
      <c r="X4656" t="s">
        <v>42677</v>
      </c>
    </row>
    <row r="4657" spans="1:24">
      <c r="A4657">
        <f>HYPERLINK("https://www.philgeps.gov.ph/GEPSNONPILOT/Tender/SplashBidNoticeAbstractUI.aspx?menuIndex=3&amp;refID=7188583&amp;Result=3","7188583")</f>
        <v>0</v>
      </c>
      <c r="B4657" t="s">
        <v>1383</v>
      </c>
      <c r="C4657" t="s">
        <v>7984</v>
      </c>
      <c r="D4657" t="s">
        <v>17169</v>
      </c>
      <c r="E4657" t="s">
        <v>20592</v>
      </c>
      <c r="F4657" t="s">
        <v>29372</v>
      </c>
      <c r="G4657" t="s">
        <v>29380</v>
      </c>
      <c r="H4657" t="s">
        <v>29389</v>
      </c>
      <c r="I4657" t="s">
        <v>10408</v>
      </c>
      <c r="J4657" t="s">
        <v>32592</v>
      </c>
      <c r="K4657" t="s">
        <v>38495</v>
      </c>
      <c r="M4657" t="s">
        <v>40220</v>
      </c>
      <c r="N4657" t="s">
        <v>42669</v>
      </c>
      <c r="O4657" t="s">
        <v>42670</v>
      </c>
      <c r="P4657">
        <v>0</v>
      </c>
      <c r="Q4657">
        <v>0</v>
      </c>
      <c r="R4657" t="s">
        <v>42676</v>
      </c>
      <c r="S4657" t="s">
        <v>42809</v>
      </c>
      <c r="T4657" t="s">
        <v>44587</v>
      </c>
      <c r="U4657" t="s">
        <v>47960</v>
      </c>
      <c r="V4657" t="s">
        <v>56878</v>
      </c>
      <c r="W4657" t="s">
        <v>40220</v>
      </c>
      <c r="X4657" t="s">
        <v>42677</v>
      </c>
    </row>
    <row r="4658" spans="1:24">
      <c r="A4658">
        <f>HYPERLINK("https://www.philgeps.gov.ph/GEPSNONPILOT/Tender/SplashBidNoticeAbstractUI.aspx?menuIndex=3&amp;refID=7188581&amp;Result=3","7188581")</f>
        <v>0</v>
      </c>
      <c r="B4658" t="s">
        <v>1638</v>
      </c>
      <c r="C4658" t="s">
        <v>7985</v>
      </c>
      <c r="D4658" t="s">
        <v>17213</v>
      </c>
      <c r="E4658" t="s">
        <v>21279</v>
      </c>
      <c r="F4658" t="s">
        <v>29372</v>
      </c>
      <c r="G4658" t="s">
        <v>29383</v>
      </c>
      <c r="H4658" t="s">
        <v>11048</v>
      </c>
      <c r="I4658" t="s">
        <v>3695</v>
      </c>
      <c r="J4658" t="s">
        <v>29555</v>
      </c>
      <c r="K4658" t="s">
        <v>38490</v>
      </c>
      <c r="M4658" t="s">
        <v>40494</v>
      </c>
      <c r="N4658" t="s">
        <v>42669</v>
      </c>
      <c r="O4658" t="s">
        <v>42670</v>
      </c>
      <c r="P4658">
        <v>0</v>
      </c>
      <c r="Q4658">
        <v>0</v>
      </c>
      <c r="R4658" t="s">
        <v>42676</v>
      </c>
      <c r="S4658" t="s">
        <v>42809</v>
      </c>
      <c r="T4658" t="s">
        <v>44470</v>
      </c>
      <c r="U4658" t="s">
        <v>48621</v>
      </c>
      <c r="W4658" t="s">
        <v>58050</v>
      </c>
      <c r="X4658" t="s">
        <v>42677</v>
      </c>
    </row>
    <row r="4659" spans="1:24">
      <c r="A4659">
        <f>HYPERLINK("https://www.philgeps.gov.ph/GEPSNONPILOT/Tender/SplashBidNoticeAbstractUI.aspx?menuIndex=3&amp;refID=7188580&amp;Result=3","7188580")</f>
        <v>0</v>
      </c>
      <c r="B4659" t="s">
        <v>1677</v>
      </c>
      <c r="C4659" t="s">
        <v>7986</v>
      </c>
      <c r="D4659" t="s">
        <v>17153</v>
      </c>
      <c r="E4659" t="s">
        <v>21280</v>
      </c>
      <c r="F4659" t="s">
        <v>29372</v>
      </c>
      <c r="G4659" t="s">
        <v>29379</v>
      </c>
      <c r="H4659" t="s">
        <v>11048</v>
      </c>
      <c r="I4659" t="s">
        <v>14920</v>
      </c>
      <c r="J4659" t="s">
        <v>30496</v>
      </c>
      <c r="K4659" t="s">
        <v>38490</v>
      </c>
      <c r="M4659" t="s">
        <v>40537</v>
      </c>
      <c r="N4659" t="s">
        <v>42669</v>
      </c>
      <c r="O4659" t="s">
        <v>42670</v>
      </c>
      <c r="P4659">
        <v>0</v>
      </c>
      <c r="Q4659">
        <v>0</v>
      </c>
      <c r="R4659" t="s">
        <v>42676</v>
      </c>
      <c r="S4659" t="s">
        <v>42809</v>
      </c>
      <c r="T4659" t="s">
        <v>44401</v>
      </c>
      <c r="U4659" t="s">
        <v>48622</v>
      </c>
      <c r="W4659" t="s">
        <v>40537</v>
      </c>
      <c r="X4659" t="s">
        <v>42677</v>
      </c>
    </row>
    <row r="4660" spans="1:24">
      <c r="A4660">
        <f>HYPERLINK("https://www.philgeps.gov.ph/GEPSNONPILOT/Tender/SplashBidNoticeAbstractUI.aspx?menuIndex=3&amp;refID=7188579&amp;Result=3","7188579")</f>
        <v>0</v>
      </c>
      <c r="B4660" t="s">
        <v>1635</v>
      </c>
      <c r="C4660" t="s">
        <v>7987</v>
      </c>
      <c r="D4660" t="s">
        <v>17192</v>
      </c>
      <c r="E4660" t="s">
        <v>17540</v>
      </c>
      <c r="F4660" t="s">
        <v>29372</v>
      </c>
      <c r="G4660" t="s">
        <v>29380</v>
      </c>
      <c r="H4660" t="s">
        <v>11048</v>
      </c>
      <c r="I4660" t="s">
        <v>4709</v>
      </c>
      <c r="J4660" t="s">
        <v>30232</v>
      </c>
      <c r="K4660" t="s">
        <v>38537</v>
      </c>
      <c r="M4660" t="s">
        <v>40491</v>
      </c>
      <c r="N4660" t="s">
        <v>42669</v>
      </c>
      <c r="O4660" t="s">
        <v>42670</v>
      </c>
      <c r="P4660">
        <v>0</v>
      </c>
      <c r="Q4660">
        <v>0</v>
      </c>
      <c r="R4660" t="s">
        <v>42676</v>
      </c>
      <c r="S4660" t="s">
        <v>42809</v>
      </c>
      <c r="T4660" t="s">
        <v>44399</v>
      </c>
      <c r="U4660" t="s">
        <v>48623</v>
      </c>
      <c r="W4660" t="s">
        <v>40491</v>
      </c>
      <c r="X4660" t="s">
        <v>42677</v>
      </c>
    </row>
    <row r="4661" spans="1:24">
      <c r="A4661">
        <f>HYPERLINK("https://www.philgeps.gov.ph/GEPSNONPILOT/Tender/SplashBidNoticeAbstractUI.aspx?menuIndex=3&amp;refID=7188584&amp;Result=3","7188584")</f>
        <v>0</v>
      </c>
      <c r="B4661" t="s">
        <v>530</v>
      </c>
      <c r="C4661" t="s">
        <v>7988</v>
      </c>
      <c r="D4661" t="s">
        <v>17201</v>
      </c>
      <c r="E4661" t="s">
        <v>21281</v>
      </c>
      <c r="F4661" t="s">
        <v>29372</v>
      </c>
      <c r="G4661" t="s">
        <v>29379</v>
      </c>
      <c r="H4661" t="s">
        <v>11048</v>
      </c>
      <c r="I4661" t="s">
        <v>29415</v>
      </c>
      <c r="J4661" t="s">
        <v>32593</v>
      </c>
      <c r="K4661" t="s">
        <v>38518</v>
      </c>
      <c r="M4661" t="s">
        <v>39297</v>
      </c>
      <c r="N4661" t="s">
        <v>42669</v>
      </c>
      <c r="O4661" t="s">
        <v>42670</v>
      </c>
      <c r="P4661">
        <v>0</v>
      </c>
      <c r="Q4661">
        <v>2</v>
      </c>
      <c r="R4661" t="s">
        <v>42676</v>
      </c>
      <c r="S4661" t="s">
        <v>42809</v>
      </c>
      <c r="T4661" t="s">
        <v>44570</v>
      </c>
      <c r="U4661" t="s">
        <v>46011</v>
      </c>
      <c r="W4661" t="s">
        <v>39297</v>
      </c>
      <c r="X4661" t="s">
        <v>42677</v>
      </c>
    </row>
    <row r="4662" spans="1:24">
      <c r="A4662">
        <f>HYPERLINK("https://www.philgeps.gov.ph/GEPSNONPILOT/Tender/SplashBidNoticeAbstractUI.aspx?menuIndex=3&amp;refID=7188577&amp;Result=3","7188577")</f>
        <v>0</v>
      </c>
      <c r="B4662" t="s">
        <v>901</v>
      </c>
      <c r="C4662" t="s">
        <v>7989</v>
      </c>
      <c r="D4662" t="s">
        <v>17170</v>
      </c>
      <c r="E4662" t="s">
        <v>21282</v>
      </c>
      <c r="F4662" t="s">
        <v>29372</v>
      </c>
      <c r="G4662" t="s">
        <v>29379</v>
      </c>
      <c r="H4662" t="s">
        <v>11048</v>
      </c>
      <c r="I4662" t="s">
        <v>3629</v>
      </c>
      <c r="J4662" t="s">
        <v>32594</v>
      </c>
      <c r="K4662" t="s">
        <v>38491</v>
      </c>
      <c r="M4662" t="s">
        <v>39694</v>
      </c>
      <c r="N4662" t="s">
        <v>42669</v>
      </c>
      <c r="O4662" t="s">
        <v>42670</v>
      </c>
      <c r="P4662">
        <v>0</v>
      </c>
      <c r="Q4662">
        <v>0</v>
      </c>
      <c r="R4662" t="s">
        <v>42676</v>
      </c>
      <c r="S4662" t="s">
        <v>42809</v>
      </c>
      <c r="T4662" t="s">
        <v>44427</v>
      </c>
      <c r="U4662" t="s">
        <v>48624</v>
      </c>
      <c r="W4662" t="s">
        <v>39694</v>
      </c>
      <c r="X4662" t="s">
        <v>42677</v>
      </c>
    </row>
    <row r="4663" spans="1:24">
      <c r="A4663">
        <f>HYPERLINK("https://www.philgeps.gov.ph/GEPSNONPILOT/Tender/SplashBidNoticeAbstractUI.aspx?menuIndex=3&amp;refID=7188575&amp;Result=3","7188575")</f>
        <v>0</v>
      </c>
      <c r="B4663" t="s">
        <v>1678</v>
      </c>
      <c r="C4663" t="s">
        <v>7990</v>
      </c>
      <c r="D4663" t="s">
        <v>17174</v>
      </c>
      <c r="E4663" t="s">
        <v>21283</v>
      </c>
      <c r="F4663" t="s">
        <v>29372</v>
      </c>
      <c r="G4663" t="s">
        <v>29379</v>
      </c>
      <c r="H4663" t="s">
        <v>11048</v>
      </c>
      <c r="I4663" t="s">
        <v>29481</v>
      </c>
      <c r="J4663" t="s">
        <v>29571</v>
      </c>
      <c r="K4663" t="s">
        <v>38485</v>
      </c>
      <c r="M4663" t="s">
        <v>40538</v>
      </c>
      <c r="N4663" t="s">
        <v>42669</v>
      </c>
      <c r="O4663" t="s">
        <v>42670</v>
      </c>
      <c r="P4663">
        <v>0</v>
      </c>
      <c r="Q4663">
        <v>1</v>
      </c>
      <c r="R4663" t="s">
        <v>42676</v>
      </c>
      <c r="S4663" t="s">
        <v>42809</v>
      </c>
      <c r="T4663" t="s">
        <v>44488</v>
      </c>
      <c r="U4663" t="s">
        <v>48625</v>
      </c>
      <c r="W4663" t="s">
        <v>40538</v>
      </c>
      <c r="X4663" t="s">
        <v>42677</v>
      </c>
    </row>
    <row r="4664" spans="1:24">
      <c r="A4664">
        <f>HYPERLINK("https://www.philgeps.gov.ph/GEPSNONPILOT/Tender/SplashBidNoticeAbstractUI.aspx?menuIndex=3&amp;refID=7188574&amp;Result=3","7188574")</f>
        <v>0</v>
      </c>
      <c r="B4664" t="s">
        <v>1665</v>
      </c>
      <c r="C4664" t="s">
        <v>7991</v>
      </c>
      <c r="D4664" t="s">
        <v>17147</v>
      </c>
      <c r="E4664" t="s">
        <v>21284</v>
      </c>
      <c r="F4664" t="s">
        <v>29372</v>
      </c>
      <c r="G4664" t="s">
        <v>29379</v>
      </c>
      <c r="H4664" t="s">
        <v>29389</v>
      </c>
      <c r="I4664" t="s">
        <v>10408</v>
      </c>
      <c r="J4664" t="s">
        <v>32595</v>
      </c>
      <c r="K4664" t="s">
        <v>38496</v>
      </c>
      <c r="M4664" t="s">
        <v>40524</v>
      </c>
      <c r="N4664" t="s">
        <v>42669</v>
      </c>
      <c r="O4664" t="s">
        <v>42670</v>
      </c>
      <c r="P4664">
        <v>0</v>
      </c>
      <c r="Q4664">
        <v>0</v>
      </c>
      <c r="R4664" t="s">
        <v>42676</v>
      </c>
      <c r="S4664" t="s">
        <v>42809</v>
      </c>
      <c r="T4664" t="s">
        <v>44399</v>
      </c>
      <c r="U4664" t="s">
        <v>48626</v>
      </c>
      <c r="V4664" t="s">
        <v>56870</v>
      </c>
      <c r="W4664" t="s">
        <v>40524</v>
      </c>
      <c r="X4664" t="s">
        <v>42677</v>
      </c>
    </row>
    <row r="4665" spans="1:24">
      <c r="A4665">
        <f>HYPERLINK("https://www.philgeps.gov.ph/GEPSNONPILOT/Tender/SplashBidNoticeAbstractUI.aspx?menuIndex=3&amp;refID=7188578&amp;Result=3","7188578")</f>
        <v>0</v>
      </c>
      <c r="B4665" t="s">
        <v>1671</v>
      </c>
      <c r="C4665" t="s">
        <v>7992</v>
      </c>
      <c r="E4665" t="s">
        <v>21285</v>
      </c>
      <c r="F4665" t="s">
        <v>29372</v>
      </c>
      <c r="G4665" t="s">
        <v>29380</v>
      </c>
      <c r="H4665" t="s">
        <v>29389</v>
      </c>
      <c r="I4665" t="s">
        <v>10408</v>
      </c>
      <c r="J4665" t="s">
        <v>32596</v>
      </c>
      <c r="K4665" t="s">
        <v>38640</v>
      </c>
      <c r="M4665" t="s">
        <v>40530</v>
      </c>
      <c r="N4665" t="s">
        <v>42669</v>
      </c>
      <c r="O4665" t="s">
        <v>42670</v>
      </c>
      <c r="Q4665">
        <v>3</v>
      </c>
      <c r="R4665" t="s">
        <v>42676</v>
      </c>
      <c r="S4665" t="s">
        <v>42820</v>
      </c>
      <c r="T4665" t="s">
        <v>44363</v>
      </c>
      <c r="U4665" t="s">
        <v>48627</v>
      </c>
      <c r="W4665" t="s">
        <v>40530</v>
      </c>
      <c r="X4665" t="s">
        <v>42677</v>
      </c>
    </row>
    <row r="4666" spans="1:24">
      <c r="A4666">
        <f>HYPERLINK("https://www.philgeps.gov.ph/GEPSNONPILOT/Tender/SplashBidNoticeAbstractUI.aspx?menuIndex=3&amp;refID=7188568&amp;Result=3","7188568")</f>
        <v>0</v>
      </c>
      <c r="B4666" t="s">
        <v>1679</v>
      </c>
      <c r="C4666" t="s">
        <v>7993</v>
      </c>
      <c r="D4666" t="s">
        <v>17141</v>
      </c>
      <c r="E4666" t="s">
        <v>21286</v>
      </c>
      <c r="F4666" t="s">
        <v>29372</v>
      </c>
      <c r="G4666" t="s">
        <v>29380</v>
      </c>
      <c r="H4666" t="s">
        <v>11048</v>
      </c>
      <c r="I4666" t="s">
        <v>8614</v>
      </c>
      <c r="J4666" t="s">
        <v>32597</v>
      </c>
      <c r="K4666" t="s">
        <v>38496</v>
      </c>
      <c r="M4666" t="s">
        <v>40539</v>
      </c>
      <c r="N4666" t="s">
        <v>42669</v>
      </c>
      <c r="O4666" t="s">
        <v>42670</v>
      </c>
      <c r="P4666">
        <v>0</v>
      </c>
      <c r="Q4666">
        <v>23</v>
      </c>
      <c r="R4666" t="s">
        <v>42676</v>
      </c>
      <c r="S4666" t="s">
        <v>42809</v>
      </c>
      <c r="T4666" t="s">
        <v>44664</v>
      </c>
      <c r="U4666" t="s">
        <v>48628</v>
      </c>
      <c r="W4666" t="s">
        <v>40539</v>
      </c>
      <c r="X4666" t="s">
        <v>42677</v>
      </c>
    </row>
    <row r="4667" spans="1:24">
      <c r="A4667">
        <f>HYPERLINK("https://www.philgeps.gov.ph/GEPSNONPILOT/Tender/SplashBidNoticeAbstractUI.aspx?menuIndex=3&amp;refID=7188563&amp;Result=3","7188563")</f>
        <v>0</v>
      </c>
      <c r="B4667" t="s">
        <v>1598</v>
      </c>
      <c r="C4667" t="s">
        <v>7994</v>
      </c>
      <c r="D4667" t="s">
        <v>17148</v>
      </c>
      <c r="E4667" t="s">
        <v>17540</v>
      </c>
      <c r="F4667" t="s">
        <v>29372</v>
      </c>
      <c r="G4667" t="s">
        <v>29380</v>
      </c>
      <c r="H4667" t="s">
        <v>29389</v>
      </c>
      <c r="I4667" t="s">
        <v>10408</v>
      </c>
      <c r="J4667" t="s">
        <v>31485</v>
      </c>
      <c r="K4667" t="s">
        <v>38533</v>
      </c>
      <c r="M4667" t="s">
        <v>40451</v>
      </c>
      <c r="N4667" t="s">
        <v>42669</v>
      </c>
      <c r="O4667" t="s">
        <v>42670</v>
      </c>
      <c r="P4667">
        <v>0</v>
      </c>
      <c r="Q4667">
        <v>57</v>
      </c>
      <c r="R4667" t="s">
        <v>42676</v>
      </c>
      <c r="S4667" t="s">
        <v>42809</v>
      </c>
      <c r="T4667" t="s">
        <v>44450</v>
      </c>
      <c r="U4667" t="s">
        <v>48629</v>
      </c>
      <c r="W4667" t="s">
        <v>58049</v>
      </c>
      <c r="X4667" t="s">
        <v>42677</v>
      </c>
    </row>
    <row r="4668" spans="1:24">
      <c r="A4668">
        <f>HYPERLINK("https://www.philgeps.gov.ph/GEPSNONPILOT/Tender/SplashBidNoticeAbstractUI.aspx?menuIndex=3&amp;refID=7188592&amp;Result=3","7188592")</f>
        <v>0</v>
      </c>
      <c r="B4668" t="s">
        <v>1671</v>
      </c>
      <c r="C4668" t="s">
        <v>7995</v>
      </c>
      <c r="E4668" t="s">
        <v>21287</v>
      </c>
      <c r="F4668" t="s">
        <v>29372</v>
      </c>
      <c r="G4668" t="s">
        <v>29380</v>
      </c>
      <c r="H4668" t="s">
        <v>29389</v>
      </c>
      <c r="I4668" t="s">
        <v>10408</v>
      </c>
      <c r="J4668" t="s">
        <v>32598</v>
      </c>
      <c r="K4668" t="s">
        <v>38635</v>
      </c>
      <c r="M4668" t="s">
        <v>40530</v>
      </c>
      <c r="N4668" t="s">
        <v>42669</v>
      </c>
      <c r="O4668" t="s">
        <v>42670</v>
      </c>
      <c r="Q4668">
        <v>3</v>
      </c>
      <c r="R4668" t="s">
        <v>42676</v>
      </c>
      <c r="S4668" t="s">
        <v>42821</v>
      </c>
      <c r="T4668" t="s">
        <v>44363</v>
      </c>
      <c r="U4668" t="s">
        <v>48630</v>
      </c>
      <c r="W4668" t="s">
        <v>40530</v>
      </c>
      <c r="X4668" t="s">
        <v>42677</v>
      </c>
    </row>
    <row r="4669" spans="1:24">
      <c r="A4669">
        <f>HYPERLINK("https://www.philgeps.gov.ph/GEPSNONPILOT/Tender/SplashBidNoticeAbstractUI.aspx?menuIndex=3&amp;refID=7188582&amp;Result=3","7188582")</f>
        <v>0</v>
      </c>
      <c r="B4669" t="s">
        <v>717</v>
      </c>
      <c r="C4669" t="s">
        <v>7996</v>
      </c>
      <c r="D4669" t="s">
        <v>17171</v>
      </c>
      <c r="E4669" t="s">
        <v>21288</v>
      </c>
      <c r="F4669" t="s">
        <v>29372</v>
      </c>
      <c r="G4669" t="s">
        <v>29379</v>
      </c>
      <c r="H4669" t="s">
        <v>11048</v>
      </c>
      <c r="I4669" t="s">
        <v>3952</v>
      </c>
      <c r="J4669" t="s">
        <v>32599</v>
      </c>
      <c r="K4669" t="s">
        <v>38490</v>
      </c>
      <c r="M4669" t="s">
        <v>39496</v>
      </c>
      <c r="N4669" t="s">
        <v>42669</v>
      </c>
      <c r="O4669" t="s">
        <v>42670</v>
      </c>
      <c r="P4669">
        <v>0</v>
      </c>
      <c r="Q4669">
        <v>1</v>
      </c>
      <c r="R4669" t="s">
        <v>42676</v>
      </c>
      <c r="S4669" t="s">
        <v>42809</v>
      </c>
      <c r="T4669" t="s">
        <v>44527</v>
      </c>
      <c r="U4669" t="s">
        <v>48631</v>
      </c>
      <c r="W4669" t="s">
        <v>39496</v>
      </c>
      <c r="X4669" t="s">
        <v>42677</v>
      </c>
    </row>
    <row r="4670" spans="1:24">
      <c r="A4670">
        <f>HYPERLINK("https://www.philgeps.gov.ph/GEPSNONPILOT/Tender/SplashBidNoticeAbstractUI.aspx?menuIndex=3&amp;refID=7188557&amp;Result=3","7188557")</f>
        <v>0</v>
      </c>
      <c r="B4670" t="s">
        <v>1522</v>
      </c>
      <c r="C4670" t="s">
        <v>7997</v>
      </c>
      <c r="D4670" t="s">
        <v>17174</v>
      </c>
      <c r="E4670" t="s">
        <v>21289</v>
      </c>
      <c r="F4670" t="s">
        <v>29372</v>
      </c>
      <c r="G4670" t="s">
        <v>29380</v>
      </c>
      <c r="H4670" t="s">
        <v>29389</v>
      </c>
      <c r="I4670" t="s">
        <v>10408</v>
      </c>
      <c r="J4670" t="s">
        <v>29801</v>
      </c>
      <c r="K4670" t="s">
        <v>38522</v>
      </c>
      <c r="M4670" t="s">
        <v>40369</v>
      </c>
      <c r="N4670" t="s">
        <v>42669</v>
      </c>
      <c r="O4670" t="s">
        <v>42670</v>
      </c>
      <c r="P4670">
        <v>0</v>
      </c>
      <c r="Q4670">
        <v>0</v>
      </c>
      <c r="R4670" t="s">
        <v>42676</v>
      </c>
      <c r="S4670" t="s">
        <v>42809</v>
      </c>
      <c r="T4670" t="s">
        <v>44415</v>
      </c>
      <c r="U4670" t="s">
        <v>48632</v>
      </c>
      <c r="W4670" t="s">
        <v>40369</v>
      </c>
      <c r="X4670" t="s">
        <v>42677</v>
      </c>
    </row>
    <row r="4671" spans="1:24">
      <c r="A4671">
        <f>HYPERLINK("https://www.philgeps.gov.ph/GEPSNONPILOT/Tender/SplashBidNoticeAbstractUI.aspx?menuIndex=3&amp;refID=7188567&amp;Result=3","7188567")</f>
        <v>0</v>
      </c>
      <c r="B4671" t="s">
        <v>1625</v>
      </c>
      <c r="C4671" t="s">
        <v>7998</v>
      </c>
      <c r="D4671" t="s">
        <v>17199</v>
      </c>
      <c r="E4671" t="s">
        <v>21290</v>
      </c>
      <c r="F4671" t="s">
        <v>29372</v>
      </c>
      <c r="G4671" t="s">
        <v>29379</v>
      </c>
      <c r="H4671" t="s">
        <v>11048</v>
      </c>
      <c r="I4671" t="s">
        <v>29403</v>
      </c>
      <c r="J4671" t="s">
        <v>32600</v>
      </c>
      <c r="K4671" t="s">
        <v>38490</v>
      </c>
      <c r="M4671" t="s">
        <v>40479</v>
      </c>
      <c r="N4671" t="s">
        <v>42669</v>
      </c>
      <c r="O4671" t="s">
        <v>42670</v>
      </c>
      <c r="P4671">
        <v>0</v>
      </c>
      <c r="Q4671">
        <v>0</v>
      </c>
      <c r="R4671" t="s">
        <v>42676</v>
      </c>
      <c r="S4671" t="s">
        <v>42809</v>
      </c>
      <c r="T4671" t="s">
        <v>44631</v>
      </c>
      <c r="U4671" t="s">
        <v>48510</v>
      </c>
      <c r="W4671" t="s">
        <v>40479</v>
      </c>
      <c r="X4671" t="s">
        <v>42677</v>
      </c>
    </row>
    <row r="4672" spans="1:24">
      <c r="A4672">
        <f>HYPERLINK("https://www.philgeps.gov.ph/GEPSNONPILOT/Tender/SplashBidNoticeAbstractUI.aspx?menuIndex=3&amp;refID=7188523&amp;Result=3","7188523")</f>
        <v>0</v>
      </c>
      <c r="B4672" t="s">
        <v>1680</v>
      </c>
      <c r="C4672" t="s">
        <v>7999</v>
      </c>
      <c r="D4672" t="s">
        <v>17194</v>
      </c>
      <c r="E4672" t="s">
        <v>21291</v>
      </c>
      <c r="F4672" t="s">
        <v>29372</v>
      </c>
      <c r="G4672" t="s">
        <v>29380</v>
      </c>
      <c r="H4672" t="s">
        <v>29389</v>
      </c>
      <c r="I4672" t="s">
        <v>29391</v>
      </c>
      <c r="J4672" t="s">
        <v>32601</v>
      </c>
      <c r="K4672" t="s">
        <v>38525</v>
      </c>
      <c r="L4672" t="s">
        <v>1680</v>
      </c>
      <c r="M4672" t="s">
        <v>40540</v>
      </c>
      <c r="N4672" t="s">
        <v>42669</v>
      </c>
      <c r="O4672" t="s">
        <v>42670</v>
      </c>
      <c r="P4672">
        <v>0</v>
      </c>
      <c r="Q4672">
        <v>0</v>
      </c>
      <c r="R4672" t="s">
        <v>42676</v>
      </c>
      <c r="S4672" t="s">
        <v>42809</v>
      </c>
      <c r="T4672" t="s">
        <v>44375</v>
      </c>
      <c r="U4672" t="s">
        <v>48633</v>
      </c>
      <c r="V4672" t="s">
        <v>56879</v>
      </c>
      <c r="W4672" t="s">
        <v>40540</v>
      </c>
      <c r="X4672" t="s">
        <v>42677</v>
      </c>
    </row>
    <row r="4673" spans="1:24">
      <c r="A4673">
        <f>HYPERLINK("https://www.philgeps.gov.ph/GEPSNONPILOT/Tender/SplashBidNoticeAbstractUI.aspx?menuIndex=3&amp;refID=7188520&amp;Result=3","7188520")</f>
        <v>0</v>
      </c>
      <c r="B4673" t="s">
        <v>586</v>
      </c>
      <c r="C4673" t="s">
        <v>8000</v>
      </c>
      <c r="D4673" t="s">
        <v>17161</v>
      </c>
      <c r="E4673" t="s">
        <v>21292</v>
      </c>
      <c r="F4673" t="s">
        <v>29372</v>
      </c>
      <c r="G4673" t="s">
        <v>29379</v>
      </c>
      <c r="H4673" t="s">
        <v>11048</v>
      </c>
      <c r="I4673" t="s">
        <v>29395</v>
      </c>
      <c r="J4673" t="s">
        <v>32602</v>
      </c>
      <c r="K4673" t="s">
        <v>38490</v>
      </c>
      <c r="M4673" t="s">
        <v>39355</v>
      </c>
      <c r="N4673" t="s">
        <v>42669</v>
      </c>
      <c r="O4673" t="s">
        <v>42670</v>
      </c>
      <c r="P4673">
        <v>0</v>
      </c>
      <c r="Q4673">
        <v>0</v>
      </c>
      <c r="R4673" t="s">
        <v>42676</v>
      </c>
      <c r="S4673" t="s">
        <v>42809</v>
      </c>
      <c r="T4673" t="s">
        <v>44488</v>
      </c>
      <c r="U4673" t="s">
        <v>48634</v>
      </c>
      <c r="W4673" t="s">
        <v>39355</v>
      </c>
      <c r="X4673" t="s">
        <v>42677</v>
      </c>
    </row>
    <row r="4674" spans="1:24">
      <c r="A4674">
        <f>HYPERLINK("https://www.philgeps.gov.ph/GEPSNONPILOT/Tender/SplashBidNoticeAbstractUI.aspx?menuIndex=3&amp;refID=7188519&amp;Result=3","7188519")</f>
        <v>0</v>
      </c>
      <c r="B4674" t="s">
        <v>1383</v>
      </c>
      <c r="C4674" t="s">
        <v>8001</v>
      </c>
      <c r="D4674" t="s">
        <v>17169</v>
      </c>
      <c r="E4674" t="s">
        <v>20592</v>
      </c>
      <c r="F4674" t="s">
        <v>29372</v>
      </c>
      <c r="G4674" t="s">
        <v>29380</v>
      </c>
      <c r="H4674" t="s">
        <v>29389</v>
      </c>
      <c r="I4674" t="s">
        <v>10408</v>
      </c>
      <c r="J4674" t="s">
        <v>32603</v>
      </c>
      <c r="K4674" t="s">
        <v>38522</v>
      </c>
      <c r="M4674" t="s">
        <v>40220</v>
      </c>
      <c r="N4674" t="s">
        <v>42669</v>
      </c>
      <c r="O4674" t="s">
        <v>42670</v>
      </c>
      <c r="P4674">
        <v>0</v>
      </c>
      <c r="Q4674">
        <v>2</v>
      </c>
      <c r="R4674" t="s">
        <v>42676</v>
      </c>
      <c r="S4674" t="s">
        <v>42809</v>
      </c>
      <c r="T4674" t="s">
        <v>44587</v>
      </c>
      <c r="U4674" t="s">
        <v>47960</v>
      </c>
      <c r="V4674" t="s">
        <v>56880</v>
      </c>
      <c r="W4674" t="s">
        <v>40220</v>
      </c>
      <c r="X4674" t="s">
        <v>42677</v>
      </c>
    </row>
    <row r="4675" spans="1:24">
      <c r="A4675">
        <f>HYPERLINK("https://www.philgeps.gov.ph/GEPSNONPILOT/Tender/SplashBidNoticeAbstractUI.aspx?menuIndex=3&amp;refID=7188517&amp;Result=3","7188517")</f>
        <v>0</v>
      </c>
      <c r="B4675" t="s">
        <v>1591</v>
      </c>
      <c r="C4675" t="s">
        <v>8002</v>
      </c>
      <c r="E4675" t="s">
        <v>21293</v>
      </c>
      <c r="F4675" t="s">
        <v>29372</v>
      </c>
      <c r="G4675" t="s">
        <v>29383</v>
      </c>
      <c r="H4675" t="s">
        <v>11048</v>
      </c>
      <c r="I4675" t="s">
        <v>4709</v>
      </c>
      <c r="J4675" t="s">
        <v>32604</v>
      </c>
      <c r="K4675" t="s">
        <v>38488</v>
      </c>
      <c r="M4675" t="s">
        <v>40442</v>
      </c>
      <c r="N4675" t="s">
        <v>42669</v>
      </c>
      <c r="O4675" t="s">
        <v>42670</v>
      </c>
      <c r="P4675">
        <v>0</v>
      </c>
      <c r="Q4675">
        <v>0</v>
      </c>
      <c r="R4675" t="s">
        <v>42676</v>
      </c>
      <c r="S4675" t="s">
        <v>42809</v>
      </c>
      <c r="T4675" t="s">
        <v>44525</v>
      </c>
      <c r="U4675" t="s">
        <v>48455</v>
      </c>
      <c r="V4675" t="s">
        <v>56836</v>
      </c>
      <c r="W4675" t="s">
        <v>40442</v>
      </c>
      <c r="X4675" t="s">
        <v>42677</v>
      </c>
    </row>
    <row r="4676" spans="1:24">
      <c r="A4676">
        <f>HYPERLINK("https://www.philgeps.gov.ph/GEPSNONPILOT/Tender/SplashBidNoticeAbstractUI.aspx?menuIndex=3&amp;refID=7188524&amp;Result=3","7188524")</f>
        <v>0</v>
      </c>
      <c r="B4676" t="s">
        <v>1667</v>
      </c>
      <c r="C4676" t="s">
        <v>8003</v>
      </c>
      <c r="D4676" t="s">
        <v>17169</v>
      </c>
      <c r="E4676" t="s">
        <v>20948</v>
      </c>
      <c r="F4676" t="s">
        <v>29372</v>
      </c>
      <c r="G4676" t="s">
        <v>29380</v>
      </c>
      <c r="H4676" t="s">
        <v>29389</v>
      </c>
      <c r="I4676" t="s">
        <v>10408</v>
      </c>
      <c r="J4676" t="s">
        <v>32605</v>
      </c>
      <c r="K4676" t="s">
        <v>38488</v>
      </c>
      <c r="M4676" t="s">
        <v>40526</v>
      </c>
      <c r="N4676" t="s">
        <v>42669</v>
      </c>
      <c r="O4676" t="s">
        <v>42670</v>
      </c>
      <c r="P4676">
        <v>0</v>
      </c>
      <c r="Q4676">
        <v>2</v>
      </c>
      <c r="R4676" t="s">
        <v>42676</v>
      </c>
      <c r="S4676" t="s">
        <v>42809</v>
      </c>
      <c r="T4676" t="s">
        <v>44397</v>
      </c>
      <c r="U4676" t="s">
        <v>48635</v>
      </c>
      <c r="W4676" t="s">
        <v>40526</v>
      </c>
      <c r="X4676" t="s">
        <v>42677</v>
      </c>
    </row>
    <row r="4677" spans="1:24">
      <c r="A4677">
        <f>HYPERLINK("https://www.philgeps.gov.ph/GEPSNONPILOT/Tender/SplashBidNoticeAbstractUI.aspx?menuIndex=3&amp;refID=7188521&amp;Result=3","7188521")</f>
        <v>0</v>
      </c>
      <c r="B4677" t="s">
        <v>1681</v>
      </c>
      <c r="C4677" t="s">
        <v>8004</v>
      </c>
      <c r="D4677" t="s">
        <v>17160</v>
      </c>
      <c r="E4677" t="s">
        <v>21294</v>
      </c>
      <c r="F4677" t="s">
        <v>29372</v>
      </c>
      <c r="G4677" t="s">
        <v>29380</v>
      </c>
      <c r="H4677" t="s">
        <v>11048</v>
      </c>
      <c r="I4677" t="s">
        <v>4709</v>
      </c>
      <c r="J4677" t="s">
        <v>32606</v>
      </c>
      <c r="K4677" t="s">
        <v>38488</v>
      </c>
      <c r="M4677" t="s">
        <v>40541</v>
      </c>
      <c r="N4677" t="s">
        <v>42669</v>
      </c>
      <c r="O4677" t="s">
        <v>42670</v>
      </c>
      <c r="P4677">
        <v>0</v>
      </c>
      <c r="Q4677">
        <v>0</v>
      </c>
      <c r="R4677" t="s">
        <v>42676</v>
      </c>
      <c r="S4677" t="s">
        <v>42809</v>
      </c>
      <c r="T4677" t="s">
        <v>44387</v>
      </c>
      <c r="U4677" t="s">
        <v>48636</v>
      </c>
      <c r="W4677" t="s">
        <v>40541</v>
      </c>
      <c r="X4677" t="s">
        <v>42677</v>
      </c>
    </row>
    <row r="4678" spans="1:24">
      <c r="A4678">
        <f>HYPERLINK("https://www.philgeps.gov.ph/GEPSNONPILOT/Tender/SplashBidNoticeAbstractUI.aspx?menuIndex=3&amp;refID=7188483&amp;Result=3","7188483")</f>
        <v>0</v>
      </c>
      <c r="B4678" t="s">
        <v>669</v>
      </c>
      <c r="C4678" t="s">
        <v>8005</v>
      </c>
      <c r="D4678" t="s">
        <v>17147</v>
      </c>
      <c r="E4678" t="s">
        <v>21295</v>
      </c>
      <c r="F4678" t="s">
        <v>29372</v>
      </c>
      <c r="G4678" t="s">
        <v>29381</v>
      </c>
      <c r="H4678" t="s">
        <v>11048</v>
      </c>
      <c r="I4678" t="s">
        <v>29433</v>
      </c>
      <c r="J4678" t="s">
        <v>30585</v>
      </c>
      <c r="K4678" t="s">
        <v>38488</v>
      </c>
      <c r="M4678" t="s">
        <v>40506</v>
      </c>
      <c r="N4678" t="s">
        <v>42669</v>
      </c>
      <c r="O4678" t="s">
        <v>42670</v>
      </c>
      <c r="P4678">
        <v>0</v>
      </c>
      <c r="Q4678">
        <v>2</v>
      </c>
      <c r="R4678" t="s">
        <v>42676</v>
      </c>
      <c r="S4678" t="s">
        <v>42809</v>
      </c>
      <c r="T4678" t="s">
        <v>44580</v>
      </c>
      <c r="U4678" t="s">
        <v>48637</v>
      </c>
      <c r="V4678" t="s">
        <v>56531</v>
      </c>
      <c r="W4678" t="s">
        <v>40506</v>
      </c>
      <c r="X4678" t="s">
        <v>42677</v>
      </c>
    </row>
    <row r="4679" spans="1:24">
      <c r="A4679">
        <f>HYPERLINK("https://www.philgeps.gov.ph/GEPSNONPILOT/Tender/SplashBidNoticeAbstractUI.aspx?menuIndex=3&amp;refID=7188476&amp;Result=3","7188476")</f>
        <v>0</v>
      </c>
      <c r="B4679" t="s">
        <v>836</v>
      </c>
      <c r="C4679" t="s">
        <v>8006</v>
      </c>
      <c r="D4679" t="s">
        <v>17160</v>
      </c>
      <c r="E4679" t="s">
        <v>21296</v>
      </c>
      <c r="F4679" t="s">
        <v>29372</v>
      </c>
      <c r="G4679" t="s">
        <v>29380</v>
      </c>
      <c r="H4679" t="s">
        <v>29389</v>
      </c>
      <c r="I4679" t="s">
        <v>10408</v>
      </c>
      <c r="J4679" t="s">
        <v>29924</v>
      </c>
      <c r="K4679" t="s">
        <v>38518</v>
      </c>
      <c r="M4679" t="s">
        <v>40514</v>
      </c>
      <c r="N4679" t="s">
        <v>42669</v>
      </c>
      <c r="O4679" t="s">
        <v>42670</v>
      </c>
      <c r="P4679">
        <v>0</v>
      </c>
      <c r="Q4679">
        <v>1</v>
      </c>
      <c r="R4679" t="s">
        <v>42676</v>
      </c>
      <c r="S4679" t="s">
        <v>42809</v>
      </c>
      <c r="T4679" t="s">
        <v>44587</v>
      </c>
      <c r="U4679" t="s">
        <v>48638</v>
      </c>
      <c r="W4679" t="s">
        <v>40514</v>
      </c>
      <c r="X4679" t="s">
        <v>42677</v>
      </c>
    </row>
    <row r="4680" spans="1:24">
      <c r="A4680">
        <f>HYPERLINK("https://www.philgeps.gov.ph/GEPSNONPILOT/Tender/SplashBidNoticeAbstractUI.aspx?menuIndex=3&amp;refID=7188475&amp;Result=3","7188475")</f>
        <v>0</v>
      </c>
      <c r="B4680" t="s">
        <v>1682</v>
      </c>
      <c r="C4680" t="s">
        <v>3942</v>
      </c>
      <c r="D4680" t="s">
        <v>17164</v>
      </c>
      <c r="E4680" t="s">
        <v>21297</v>
      </c>
      <c r="F4680" t="s">
        <v>29372</v>
      </c>
      <c r="G4680" t="s">
        <v>29379</v>
      </c>
      <c r="H4680" t="s">
        <v>11048</v>
      </c>
      <c r="I4680" t="s">
        <v>5383</v>
      </c>
      <c r="J4680" t="s">
        <v>32607</v>
      </c>
      <c r="K4680" t="s">
        <v>38510</v>
      </c>
      <c r="M4680" t="s">
        <v>40542</v>
      </c>
      <c r="N4680" t="s">
        <v>42669</v>
      </c>
      <c r="O4680" t="s">
        <v>42670</v>
      </c>
      <c r="P4680">
        <v>0</v>
      </c>
      <c r="Q4680">
        <v>0</v>
      </c>
      <c r="R4680" t="s">
        <v>42676</v>
      </c>
      <c r="S4680" t="s">
        <v>42809</v>
      </c>
      <c r="T4680" t="s">
        <v>44488</v>
      </c>
      <c r="U4680" t="s">
        <v>48639</v>
      </c>
      <c r="W4680" t="s">
        <v>40542</v>
      </c>
      <c r="X4680" t="s">
        <v>42677</v>
      </c>
    </row>
    <row r="4681" spans="1:24">
      <c r="A4681">
        <f>HYPERLINK("https://www.philgeps.gov.ph/GEPSNONPILOT/Tender/SplashBidNoticeAbstractUI.aspx?menuIndex=3&amp;refID=7188562&amp;Result=3","7188562")</f>
        <v>0</v>
      </c>
      <c r="B4681" t="s">
        <v>1683</v>
      </c>
      <c r="C4681" t="s">
        <v>8007</v>
      </c>
      <c r="D4681" t="s">
        <v>17191</v>
      </c>
      <c r="E4681" t="s">
        <v>21298</v>
      </c>
      <c r="F4681" t="s">
        <v>29372</v>
      </c>
      <c r="G4681" t="s">
        <v>29380</v>
      </c>
      <c r="H4681" t="s">
        <v>11048</v>
      </c>
      <c r="I4681" t="s">
        <v>4486</v>
      </c>
      <c r="J4681" t="s">
        <v>29729</v>
      </c>
      <c r="K4681" t="s">
        <v>38485</v>
      </c>
      <c r="M4681" t="s">
        <v>40543</v>
      </c>
      <c r="N4681" t="s">
        <v>42669</v>
      </c>
      <c r="O4681" t="s">
        <v>42670</v>
      </c>
      <c r="P4681">
        <v>0</v>
      </c>
      <c r="Q4681">
        <v>1</v>
      </c>
      <c r="R4681" t="s">
        <v>42676</v>
      </c>
      <c r="S4681" t="s">
        <v>42809</v>
      </c>
      <c r="T4681" t="s">
        <v>44409</v>
      </c>
      <c r="U4681" t="s">
        <v>48640</v>
      </c>
      <c r="W4681" t="s">
        <v>40543</v>
      </c>
      <c r="X4681" t="s">
        <v>42677</v>
      </c>
    </row>
    <row r="4682" spans="1:24">
      <c r="A4682">
        <f>HYPERLINK("https://www.philgeps.gov.ph/GEPSNONPILOT/Tender/SplashBidNoticeAbstractUI.aspx?menuIndex=3&amp;refID=7188448&amp;Result=3","7188448")</f>
        <v>0</v>
      </c>
      <c r="B4682" t="s">
        <v>1672</v>
      </c>
      <c r="C4682" t="s">
        <v>8008</v>
      </c>
      <c r="D4682" t="s">
        <v>17193</v>
      </c>
      <c r="E4682" t="s">
        <v>21299</v>
      </c>
      <c r="F4682" t="s">
        <v>29372</v>
      </c>
      <c r="G4682" t="s">
        <v>29379</v>
      </c>
      <c r="H4682" t="s">
        <v>11048</v>
      </c>
      <c r="I4682" t="s">
        <v>5383</v>
      </c>
      <c r="J4682" t="s">
        <v>32608</v>
      </c>
      <c r="K4682" t="s">
        <v>38485</v>
      </c>
      <c r="M4682" t="s">
        <v>40531</v>
      </c>
      <c r="N4682" t="s">
        <v>42669</v>
      </c>
      <c r="O4682" t="s">
        <v>42670</v>
      </c>
      <c r="P4682">
        <v>0</v>
      </c>
      <c r="Q4682">
        <v>4</v>
      </c>
      <c r="R4682" t="s">
        <v>42676</v>
      </c>
      <c r="S4682" t="s">
        <v>42809</v>
      </c>
      <c r="T4682" t="s">
        <v>44427</v>
      </c>
      <c r="U4682" t="s">
        <v>48641</v>
      </c>
      <c r="V4682" t="s">
        <v>56881</v>
      </c>
      <c r="W4682" t="s">
        <v>40531</v>
      </c>
      <c r="X4682" t="s">
        <v>42677</v>
      </c>
    </row>
    <row r="4683" spans="1:24">
      <c r="A4683">
        <f>HYPERLINK("https://www.philgeps.gov.ph/GEPSNONPILOT/Tender/SplashBidNoticeAbstractUI.aspx?menuIndex=3&amp;refID=7188440&amp;Result=3","7188440")</f>
        <v>0</v>
      </c>
      <c r="B4683" t="s">
        <v>1684</v>
      </c>
      <c r="C4683" t="s">
        <v>8009</v>
      </c>
      <c r="D4683" t="s">
        <v>17188</v>
      </c>
      <c r="E4683" t="s">
        <v>21300</v>
      </c>
      <c r="F4683" t="s">
        <v>29372</v>
      </c>
      <c r="G4683" t="s">
        <v>29379</v>
      </c>
      <c r="H4683" t="s">
        <v>11048</v>
      </c>
      <c r="I4683" t="s">
        <v>4709</v>
      </c>
      <c r="J4683" t="s">
        <v>32609</v>
      </c>
      <c r="K4683" t="s">
        <v>38510</v>
      </c>
      <c r="M4683" t="s">
        <v>40544</v>
      </c>
      <c r="N4683" t="s">
        <v>42669</v>
      </c>
      <c r="O4683" t="s">
        <v>42670</v>
      </c>
      <c r="P4683">
        <v>0</v>
      </c>
      <c r="Q4683">
        <v>0</v>
      </c>
      <c r="R4683" t="s">
        <v>42676</v>
      </c>
      <c r="S4683" t="s">
        <v>42809</v>
      </c>
      <c r="T4683" t="s">
        <v>44427</v>
      </c>
      <c r="U4683" t="s">
        <v>48642</v>
      </c>
      <c r="V4683" t="s">
        <v>56882</v>
      </c>
      <c r="W4683" t="s">
        <v>40544</v>
      </c>
      <c r="X4683" t="s">
        <v>42677</v>
      </c>
    </row>
    <row r="4684" spans="1:24">
      <c r="A4684">
        <f>HYPERLINK("https://www.philgeps.gov.ph/GEPSNONPILOT/Tender/SplashBidNoticeAbstractUI.aspx?menuIndex=3&amp;refID=7188487&amp;Result=3","7188487")</f>
        <v>0</v>
      </c>
      <c r="B4684" t="s">
        <v>346</v>
      </c>
      <c r="C4684" t="s">
        <v>8010</v>
      </c>
      <c r="D4684" t="s">
        <v>17156</v>
      </c>
      <c r="E4684" t="s">
        <v>21301</v>
      </c>
      <c r="F4684" t="s">
        <v>29372</v>
      </c>
      <c r="G4684" t="s">
        <v>29380</v>
      </c>
      <c r="H4684" t="s">
        <v>29389</v>
      </c>
      <c r="I4684" t="s">
        <v>10408</v>
      </c>
      <c r="J4684" t="s">
        <v>32610</v>
      </c>
      <c r="K4684" t="s">
        <v>38514</v>
      </c>
      <c r="L4684" t="s">
        <v>346</v>
      </c>
      <c r="M4684" t="s">
        <v>40545</v>
      </c>
      <c r="N4684" t="s">
        <v>42669</v>
      </c>
      <c r="O4684" t="s">
        <v>42670</v>
      </c>
      <c r="P4684">
        <v>0</v>
      </c>
      <c r="Q4684">
        <v>1</v>
      </c>
      <c r="R4684" t="s">
        <v>42676</v>
      </c>
      <c r="S4684" t="s">
        <v>42809</v>
      </c>
      <c r="T4684" t="s">
        <v>44368</v>
      </c>
      <c r="U4684" t="s">
        <v>48643</v>
      </c>
      <c r="V4684" t="s">
        <v>56883</v>
      </c>
      <c r="W4684" t="s">
        <v>40545</v>
      </c>
      <c r="X4684" t="s">
        <v>42677</v>
      </c>
    </row>
    <row r="4685" spans="1:24">
      <c r="A4685">
        <f>HYPERLINK("https://www.philgeps.gov.ph/GEPSNONPILOT/Tender/SplashBidNoticeAbstractUI.aspx?menuIndex=3&amp;refID=7188486&amp;Result=3","7188486")</f>
        <v>0</v>
      </c>
      <c r="B4685" t="s">
        <v>1685</v>
      </c>
      <c r="C4685" t="s">
        <v>8011</v>
      </c>
      <c r="D4685" t="s">
        <v>17163</v>
      </c>
      <c r="E4685" t="s">
        <v>18026</v>
      </c>
      <c r="F4685" t="s">
        <v>29372</v>
      </c>
      <c r="G4685" t="s">
        <v>29382</v>
      </c>
      <c r="H4685" t="s">
        <v>29390</v>
      </c>
      <c r="I4685" t="s">
        <v>29434</v>
      </c>
      <c r="J4685" t="s">
        <v>29799</v>
      </c>
      <c r="K4685" t="s">
        <v>38538</v>
      </c>
      <c r="M4685" t="s">
        <v>40546</v>
      </c>
      <c r="N4685" t="s">
        <v>42669</v>
      </c>
      <c r="O4685" t="s">
        <v>42670</v>
      </c>
      <c r="P4685">
        <v>0</v>
      </c>
      <c r="Q4685">
        <v>2</v>
      </c>
      <c r="R4685" t="s">
        <v>42676</v>
      </c>
      <c r="S4685" t="s">
        <v>42809</v>
      </c>
      <c r="T4685" t="s">
        <v>44394</v>
      </c>
      <c r="U4685" t="s">
        <v>48644</v>
      </c>
      <c r="W4685" t="s">
        <v>40546</v>
      </c>
      <c r="X4685" t="s">
        <v>42677</v>
      </c>
    </row>
    <row r="4686" spans="1:24">
      <c r="A4686">
        <f>HYPERLINK("https://www.philgeps.gov.ph/GEPSNONPILOT/Tender/SplashBidNoticeAbstractUI.aspx?menuIndex=3&amp;refID=7188436&amp;Result=3","7188436")</f>
        <v>0</v>
      </c>
      <c r="B4686" t="s">
        <v>530</v>
      </c>
      <c r="C4686" t="s">
        <v>8012</v>
      </c>
      <c r="D4686" t="s">
        <v>17201</v>
      </c>
      <c r="E4686" t="s">
        <v>21302</v>
      </c>
      <c r="F4686" t="s">
        <v>29372</v>
      </c>
      <c r="G4686" t="s">
        <v>29380</v>
      </c>
      <c r="H4686" t="s">
        <v>11048</v>
      </c>
      <c r="I4686" t="s">
        <v>8614</v>
      </c>
      <c r="J4686" t="s">
        <v>32611</v>
      </c>
      <c r="K4686" t="s">
        <v>38485</v>
      </c>
      <c r="M4686" t="s">
        <v>39297</v>
      </c>
      <c r="N4686" t="s">
        <v>42669</v>
      </c>
      <c r="O4686" t="s">
        <v>42670</v>
      </c>
      <c r="P4686">
        <v>0</v>
      </c>
      <c r="Q4686">
        <v>6</v>
      </c>
      <c r="R4686" t="s">
        <v>42676</v>
      </c>
      <c r="S4686" t="s">
        <v>42809</v>
      </c>
      <c r="T4686" t="s">
        <v>44418</v>
      </c>
      <c r="U4686" t="s">
        <v>46011</v>
      </c>
      <c r="W4686" t="s">
        <v>39297</v>
      </c>
      <c r="X4686" t="s">
        <v>42677</v>
      </c>
    </row>
    <row r="4687" spans="1:24">
      <c r="A4687">
        <f>HYPERLINK("https://www.philgeps.gov.ph/GEPSNONPILOT/Tender/SplashBidNoticeAbstractUI.aspx?menuIndex=3&amp;refID=7188446&amp;Result=3","7188446")</f>
        <v>0</v>
      </c>
      <c r="B4687" t="s">
        <v>1682</v>
      </c>
      <c r="C4687" t="s">
        <v>3950</v>
      </c>
      <c r="D4687" t="s">
        <v>17164</v>
      </c>
      <c r="E4687" t="s">
        <v>21303</v>
      </c>
      <c r="F4687" t="s">
        <v>29372</v>
      </c>
      <c r="G4687" t="s">
        <v>29379</v>
      </c>
      <c r="H4687" t="s">
        <v>11048</v>
      </c>
      <c r="I4687" t="s">
        <v>29407</v>
      </c>
      <c r="J4687" t="s">
        <v>32612</v>
      </c>
      <c r="K4687" t="s">
        <v>38510</v>
      </c>
      <c r="M4687" t="s">
        <v>40542</v>
      </c>
      <c r="N4687" t="s">
        <v>42669</v>
      </c>
      <c r="O4687" t="s">
        <v>42670</v>
      </c>
      <c r="P4687">
        <v>0</v>
      </c>
      <c r="Q4687">
        <v>2</v>
      </c>
      <c r="R4687" t="s">
        <v>42676</v>
      </c>
      <c r="S4687" t="s">
        <v>42809</v>
      </c>
      <c r="T4687" t="s">
        <v>44488</v>
      </c>
      <c r="U4687" t="s">
        <v>48645</v>
      </c>
      <c r="W4687" t="s">
        <v>40542</v>
      </c>
      <c r="X4687" t="s">
        <v>42677</v>
      </c>
    </row>
    <row r="4688" spans="1:24">
      <c r="A4688">
        <f>HYPERLINK("https://www.philgeps.gov.ph/GEPSNONPILOT/Tender/SplashBidNoticeAbstractUI.aspx?menuIndex=3&amp;refID=7188409&amp;Result=3","7188409")</f>
        <v>0</v>
      </c>
      <c r="B4688" t="s">
        <v>1686</v>
      </c>
      <c r="C4688" t="s">
        <v>8013</v>
      </c>
      <c r="D4688" t="s">
        <v>17141</v>
      </c>
      <c r="E4688" t="s">
        <v>21304</v>
      </c>
      <c r="F4688" t="s">
        <v>29372</v>
      </c>
      <c r="G4688" t="s">
        <v>29380</v>
      </c>
      <c r="H4688" t="s">
        <v>11048</v>
      </c>
      <c r="I4688" t="s">
        <v>8614</v>
      </c>
      <c r="J4688" t="s">
        <v>29829</v>
      </c>
      <c r="K4688" t="s">
        <v>38518</v>
      </c>
      <c r="M4688" t="s">
        <v>40547</v>
      </c>
      <c r="N4688" t="s">
        <v>42669</v>
      </c>
      <c r="O4688" t="s">
        <v>42670</v>
      </c>
      <c r="P4688">
        <v>0</v>
      </c>
      <c r="Q4688">
        <v>9</v>
      </c>
      <c r="R4688" t="s">
        <v>42676</v>
      </c>
      <c r="S4688" t="s">
        <v>42809</v>
      </c>
      <c r="T4688" t="s">
        <v>44442</v>
      </c>
      <c r="U4688" t="s">
        <v>48646</v>
      </c>
      <c r="W4688" t="s">
        <v>40547</v>
      </c>
      <c r="X4688" t="s">
        <v>42677</v>
      </c>
    </row>
    <row r="4689" spans="1:24">
      <c r="A4689">
        <f>HYPERLINK("https://www.philgeps.gov.ph/GEPSNONPILOT/Tender/SplashBidNoticeAbstractUI.aspx?menuIndex=3&amp;refID=7188439&amp;Result=3","7188439")</f>
        <v>0</v>
      </c>
      <c r="B4689" t="s">
        <v>1687</v>
      </c>
      <c r="C4689" t="s">
        <v>8014</v>
      </c>
      <c r="D4689" t="s">
        <v>17163</v>
      </c>
      <c r="E4689" t="s">
        <v>17266</v>
      </c>
      <c r="F4689" t="s">
        <v>29372</v>
      </c>
      <c r="G4689" t="s">
        <v>29380</v>
      </c>
      <c r="H4689" t="s">
        <v>29389</v>
      </c>
      <c r="I4689" t="s">
        <v>10408</v>
      </c>
      <c r="J4689" t="s">
        <v>29609</v>
      </c>
      <c r="K4689" t="s">
        <v>38496</v>
      </c>
      <c r="M4689" t="s">
        <v>40548</v>
      </c>
      <c r="N4689" t="s">
        <v>42669</v>
      </c>
      <c r="O4689" t="s">
        <v>42670</v>
      </c>
      <c r="P4689">
        <v>0</v>
      </c>
      <c r="Q4689">
        <v>1</v>
      </c>
      <c r="R4689" t="s">
        <v>42676</v>
      </c>
      <c r="S4689" t="s">
        <v>42809</v>
      </c>
      <c r="T4689" t="s">
        <v>44485</v>
      </c>
      <c r="U4689" t="s">
        <v>48647</v>
      </c>
      <c r="W4689" t="s">
        <v>40548</v>
      </c>
      <c r="X4689" t="s">
        <v>42677</v>
      </c>
    </row>
    <row r="4690" spans="1:24">
      <c r="A4690">
        <f>HYPERLINK("https://www.philgeps.gov.ph/GEPSNONPILOT/Tender/SplashBidNoticeAbstractUI.aspx?menuIndex=3&amp;refID=7188410&amp;Result=3","7188410")</f>
        <v>0</v>
      </c>
      <c r="B4690" t="s">
        <v>1644</v>
      </c>
      <c r="C4690" t="s">
        <v>8015</v>
      </c>
      <c r="D4690" t="s">
        <v>17222</v>
      </c>
      <c r="E4690" t="s">
        <v>21305</v>
      </c>
      <c r="F4690" t="s">
        <v>29372</v>
      </c>
      <c r="G4690" t="s">
        <v>29379</v>
      </c>
      <c r="H4690" t="s">
        <v>11048</v>
      </c>
      <c r="I4690" t="s">
        <v>4487</v>
      </c>
      <c r="J4690" t="s">
        <v>32613</v>
      </c>
      <c r="K4690" t="s">
        <v>38491</v>
      </c>
      <c r="M4690" t="s">
        <v>40500</v>
      </c>
      <c r="N4690" t="s">
        <v>42669</v>
      </c>
      <c r="O4690" t="s">
        <v>42670</v>
      </c>
      <c r="P4690">
        <v>0</v>
      </c>
      <c r="Q4690">
        <v>0</v>
      </c>
      <c r="R4690" t="s">
        <v>42676</v>
      </c>
      <c r="S4690" t="s">
        <v>42809</v>
      </c>
      <c r="T4690" t="s">
        <v>44382</v>
      </c>
      <c r="U4690" t="s">
        <v>48648</v>
      </c>
      <c r="W4690" t="s">
        <v>40500</v>
      </c>
      <c r="X4690" t="s">
        <v>42677</v>
      </c>
    </row>
    <row r="4691" spans="1:24">
      <c r="A4691">
        <f>HYPERLINK("https://www.philgeps.gov.ph/GEPSNONPILOT/Tender/SplashBidNoticeAbstractUI.aspx?menuIndex=3&amp;refID=7188407&amp;Result=3","7188407")</f>
        <v>0</v>
      </c>
      <c r="B4691" t="s">
        <v>1665</v>
      </c>
      <c r="C4691" t="s">
        <v>8016</v>
      </c>
      <c r="D4691" t="s">
        <v>17147</v>
      </c>
      <c r="E4691" t="s">
        <v>21306</v>
      </c>
      <c r="F4691" t="s">
        <v>29372</v>
      </c>
      <c r="G4691" t="s">
        <v>29380</v>
      </c>
      <c r="H4691" t="s">
        <v>11048</v>
      </c>
      <c r="I4691" t="s">
        <v>29469</v>
      </c>
      <c r="J4691" t="s">
        <v>32614</v>
      </c>
      <c r="K4691" t="s">
        <v>38485</v>
      </c>
      <c r="M4691" t="s">
        <v>40524</v>
      </c>
      <c r="N4691" t="s">
        <v>42669</v>
      </c>
      <c r="O4691" t="s">
        <v>42670</v>
      </c>
      <c r="P4691">
        <v>0</v>
      </c>
      <c r="Q4691">
        <v>4</v>
      </c>
      <c r="R4691" t="s">
        <v>42676</v>
      </c>
      <c r="S4691" t="s">
        <v>42809</v>
      </c>
      <c r="T4691" t="s">
        <v>44476</v>
      </c>
      <c r="U4691" t="s">
        <v>48649</v>
      </c>
      <c r="V4691" t="s">
        <v>56870</v>
      </c>
      <c r="W4691" t="s">
        <v>40524</v>
      </c>
      <c r="X4691" t="s">
        <v>42677</v>
      </c>
    </row>
    <row r="4692" spans="1:24">
      <c r="A4692">
        <f>HYPERLINK("https://www.philgeps.gov.ph/GEPSNONPILOT/Tender/SplashBidNoticeAbstractUI.aspx?menuIndex=3&amp;refID=7188593&amp;Result=3","7188593")</f>
        <v>0</v>
      </c>
      <c r="B4692" t="s">
        <v>1688</v>
      </c>
      <c r="C4692" t="s">
        <v>8017</v>
      </c>
      <c r="D4692" t="s">
        <v>17174</v>
      </c>
      <c r="E4692" t="s">
        <v>21307</v>
      </c>
      <c r="F4692" t="s">
        <v>29372</v>
      </c>
      <c r="G4692" t="s">
        <v>29379</v>
      </c>
      <c r="H4692" t="s">
        <v>11048</v>
      </c>
      <c r="I4692" t="s">
        <v>29488</v>
      </c>
      <c r="J4692" t="s">
        <v>29636</v>
      </c>
      <c r="K4692" t="s">
        <v>38510</v>
      </c>
      <c r="M4692" t="s">
        <v>40549</v>
      </c>
      <c r="N4692" t="s">
        <v>42669</v>
      </c>
      <c r="O4692" t="s">
        <v>42670</v>
      </c>
      <c r="P4692">
        <v>0</v>
      </c>
      <c r="Q4692">
        <v>0</v>
      </c>
      <c r="R4692" t="s">
        <v>42676</v>
      </c>
      <c r="S4692" t="s">
        <v>42809</v>
      </c>
      <c r="T4692" t="s">
        <v>44371</v>
      </c>
      <c r="U4692" t="s">
        <v>48650</v>
      </c>
      <c r="W4692" t="s">
        <v>40549</v>
      </c>
      <c r="X4692" t="s">
        <v>42677</v>
      </c>
    </row>
    <row r="4693" spans="1:24">
      <c r="A4693">
        <f>HYPERLINK("https://www.philgeps.gov.ph/GEPSNONPILOT/Tender/SplashBidNoticeAbstractUI.aspx?menuIndex=3&amp;refID=7188620&amp;Result=3","7188620")</f>
        <v>0</v>
      </c>
      <c r="B4693" t="s">
        <v>1689</v>
      </c>
      <c r="C4693" t="s">
        <v>8018</v>
      </c>
      <c r="D4693" t="s">
        <v>17204</v>
      </c>
      <c r="E4693" t="s">
        <v>19270</v>
      </c>
      <c r="F4693" t="s">
        <v>29372</v>
      </c>
      <c r="G4693" t="s">
        <v>29380</v>
      </c>
      <c r="H4693" t="s">
        <v>11048</v>
      </c>
      <c r="I4693" t="s">
        <v>10408</v>
      </c>
      <c r="J4693" t="s">
        <v>29788</v>
      </c>
      <c r="K4693" t="s">
        <v>38495</v>
      </c>
      <c r="M4693" t="s">
        <v>40550</v>
      </c>
      <c r="N4693" t="s">
        <v>42669</v>
      </c>
      <c r="O4693" t="s">
        <v>42670</v>
      </c>
      <c r="P4693">
        <v>0</v>
      </c>
      <c r="Q4693">
        <v>0</v>
      </c>
      <c r="R4693" t="s">
        <v>42676</v>
      </c>
      <c r="S4693" t="s">
        <v>42809</v>
      </c>
      <c r="T4693" t="s">
        <v>44544</v>
      </c>
      <c r="U4693" t="s">
        <v>48651</v>
      </c>
      <c r="V4693" t="s">
        <v>56884</v>
      </c>
      <c r="W4693" t="s">
        <v>40550</v>
      </c>
      <c r="X4693" t="s">
        <v>42677</v>
      </c>
    </row>
    <row r="4694" spans="1:24">
      <c r="A4694">
        <f>HYPERLINK("https://www.philgeps.gov.ph/GEPSNONPILOT/Tender/SplashBidNoticeAbstractUI.aspx?menuIndex=3&amp;refID=7188598&amp;Result=3","7188598")</f>
        <v>0</v>
      </c>
      <c r="B4694" t="s">
        <v>1383</v>
      </c>
      <c r="C4694" t="s">
        <v>8019</v>
      </c>
      <c r="D4694" t="s">
        <v>17169</v>
      </c>
      <c r="E4694" t="s">
        <v>20592</v>
      </c>
      <c r="F4694" t="s">
        <v>29372</v>
      </c>
      <c r="G4694" t="s">
        <v>29380</v>
      </c>
      <c r="H4694" t="s">
        <v>29389</v>
      </c>
      <c r="I4694" t="s">
        <v>10408</v>
      </c>
      <c r="J4694" t="s">
        <v>32615</v>
      </c>
      <c r="K4694" t="s">
        <v>38523</v>
      </c>
      <c r="M4694" t="s">
        <v>40220</v>
      </c>
      <c r="N4694" t="s">
        <v>42669</v>
      </c>
      <c r="O4694" t="s">
        <v>42670</v>
      </c>
      <c r="P4694">
        <v>0</v>
      </c>
      <c r="Q4694">
        <v>1</v>
      </c>
      <c r="R4694" t="s">
        <v>42676</v>
      </c>
      <c r="S4694" t="s">
        <v>42809</v>
      </c>
      <c r="T4694" t="s">
        <v>44587</v>
      </c>
      <c r="U4694" t="s">
        <v>47960</v>
      </c>
      <c r="V4694" t="s">
        <v>56885</v>
      </c>
      <c r="W4694" t="s">
        <v>40220</v>
      </c>
      <c r="X4694" t="s">
        <v>42677</v>
      </c>
    </row>
    <row r="4695" spans="1:24">
      <c r="A4695">
        <f>HYPERLINK("https://www.philgeps.gov.ph/GEPSNONPILOT/Tender/SplashBidNoticeAbstractUI.aspx?menuIndex=3&amp;refID=7188619&amp;Result=3","7188619")</f>
        <v>0</v>
      </c>
      <c r="B4695" t="s">
        <v>361</v>
      </c>
      <c r="C4695" t="s">
        <v>8020</v>
      </c>
      <c r="D4695" t="s">
        <v>17170</v>
      </c>
      <c r="E4695" t="s">
        <v>21308</v>
      </c>
      <c r="F4695" t="s">
        <v>29372</v>
      </c>
      <c r="G4695" t="s">
        <v>29381</v>
      </c>
      <c r="H4695" t="s">
        <v>11048</v>
      </c>
      <c r="I4695" t="s">
        <v>29498</v>
      </c>
      <c r="J4695" t="s">
        <v>32616</v>
      </c>
      <c r="K4695" t="s">
        <v>38538</v>
      </c>
      <c r="M4695" t="s">
        <v>39121</v>
      </c>
      <c r="N4695" t="s">
        <v>42669</v>
      </c>
      <c r="O4695" t="s">
        <v>42670</v>
      </c>
      <c r="P4695">
        <v>0</v>
      </c>
      <c r="Q4695">
        <v>12</v>
      </c>
      <c r="R4695" t="s">
        <v>42676</v>
      </c>
      <c r="S4695" t="s">
        <v>42809</v>
      </c>
      <c r="T4695" t="s">
        <v>44417</v>
      </c>
      <c r="U4695" t="s">
        <v>48652</v>
      </c>
      <c r="V4695" t="s">
        <v>56886</v>
      </c>
      <c r="W4695" t="s">
        <v>39121</v>
      </c>
      <c r="X4695" t="s">
        <v>42677</v>
      </c>
    </row>
    <row r="4696" spans="1:24">
      <c r="A4696">
        <f>HYPERLINK("https://www.philgeps.gov.ph/GEPSNONPILOT/Tender/SplashBidNoticeAbstractUI.aspx?menuIndex=3&amp;refID=7188617&amp;Result=3","7188617")</f>
        <v>0</v>
      </c>
      <c r="B4696" t="s">
        <v>1383</v>
      </c>
      <c r="C4696" t="s">
        <v>8021</v>
      </c>
      <c r="D4696" t="s">
        <v>17169</v>
      </c>
      <c r="E4696" t="s">
        <v>20592</v>
      </c>
      <c r="F4696" t="s">
        <v>29372</v>
      </c>
      <c r="G4696" t="s">
        <v>29380</v>
      </c>
      <c r="H4696" t="s">
        <v>29389</v>
      </c>
      <c r="I4696" t="s">
        <v>10408</v>
      </c>
      <c r="J4696" t="s">
        <v>32617</v>
      </c>
      <c r="K4696" t="s">
        <v>38533</v>
      </c>
      <c r="M4696" t="s">
        <v>40220</v>
      </c>
      <c r="N4696" t="s">
        <v>42669</v>
      </c>
      <c r="O4696" t="s">
        <v>42670</v>
      </c>
      <c r="P4696">
        <v>0</v>
      </c>
      <c r="Q4696">
        <v>1</v>
      </c>
      <c r="R4696" t="s">
        <v>42676</v>
      </c>
      <c r="S4696" t="s">
        <v>42809</v>
      </c>
      <c r="T4696" t="s">
        <v>44587</v>
      </c>
      <c r="U4696" t="s">
        <v>47960</v>
      </c>
      <c r="V4696" t="s">
        <v>56887</v>
      </c>
      <c r="W4696" t="s">
        <v>40220</v>
      </c>
      <c r="X4696" t="s">
        <v>42677</v>
      </c>
    </row>
    <row r="4697" spans="1:24">
      <c r="A4697">
        <f>HYPERLINK("https://www.philgeps.gov.ph/GEPSNONPILOT/Tender/SplashBidNoticeAbstractUI.aspx?menuIndex=3&amp;refID=7188614&amp;Result=3","7188614")</f>
        <v>0</v>
      </c>
      <c r="B4697" t="s">
        <v>219</v>
      </c>
      <c r="C4697" t="s">
        <v>8022</v>
      </c>
      <c r="D4697" t="s">
        <v>17176</v>
      </c>
      <c r="E4697" t="s">
        <v>21309</v>
      </c>
      <c r="F4697" t="s">
        <v>29372</v>
      </c>
      <c r="G4697" t="s">
        <v>29380</v>
      </c>
      <c r="H4697" t="s">
        <v>11048</v>
      </c>
      <c r="I4697" t="s">
        <v>4709</v>
      </c>
      <c r="J4697" t="s">
        <v>32618</v>
      </c>
      <c r="K4697" t="s">
        <v>38488</v>
      </c>
      <c r="M4697" t="s">
        <v>38978</v>
      </c>
      <c r="N4697" t="s">
        <v>42669</v>
      </c>
      <c r="O4697" t="s">
        <v>42670</v>
      </c>
      <c r="P4697">
        <v>0</v>
      </c>
      <c r="Q4697">
        <v>0</v>
      </c>
      <c r="R4697" t="s">
        <v>42676</v>
      </c>
      <c r="S4697" t="s">
        <v>42809</v>
      </c>
      <c r="T4697" t="s">
        <v>44378</v>
      </c>
      <c r="U4697" t="s">
        <v>45627</v>
      </c>
      <c r="W4697" t="s">
        <v>38978</v>
      </c>
      <c r="X4697" t="s">
        <v>42677</v>
      </c>
    </row>
    <row r="4698" spans="1:24">
      <c r="A4698">
        <f>HYPERLINK("https://www.philgeps.gov.ph/GEPSNONPILOT/Tender/SplashBidNoticeAbstractUI.aspx?menuIndex=3&amp;refID=7188533&amp;Result=3","7188533")</f>
        <v>0</v>
      </c>
      <c r="B4698" t="s">
        <v>1638</v>
      </c>
      <c r="C4698" t="s">
        <v>8023</v>
      </c>
      <c r="D4698" t="s">
        <v>17213</v>
      </c>
      <c r="E4698" t="s">
        <v>21310</v>
      </c>
      <c r="F4698" t="s">
        <v>29372</v>
      </c>
      <c r="G4698" t="s">
        <v>29383</v>
      </c>
      <c r="H4698" t="s">
        <v>11048</v>
      </c>
      <c r="I4698" t="s">
        <v>8208</v>
      </c>
      <c r="J4698" t="s">
        <v>32619</v>
      </c>
      <c r="K4698" t="s">
        <v>38490</v>
      </c>
      <c r="M4698" t="s">
        <v>40494</v>
      </c>
      <c r="N4698" t="s">
        <v>42669</v>
      </c>
      <c r="O4698" t="s">
        <v>42670</v>
      </c>
      <c r="P4698">
        <v>0</v>
      </c>
      <c r="Q4698">
        <v>0</v>
      </c>
      <c r="R4698" t="s">
        <v>42676</v>
      </c>
      <c r="S4698" t="s">
        <v>42809</v>
      </c>
      <c r="T4698" t="s">
        <v>44470</v>
      </c>
      <c r="U4698" t="s">
        <v>48653</v>
      </c>
      <c r="W4698" t="s">
        <v>58050</v>
      </c>
      <c r="X4698" t="s">
        <v>42677</v>
      </c>
    </row>
    <row r="4699" spans="1:24">
      <c r="A4699">
        <f>HYPERLINK("https://www.philgeps.gov.ph/GEPSNONPILOT/Tender/SplashBidNoticeAbstractUI.aspx?menuIndex=3&amp;refID=7188612&amp;Result=3","7188612")</f>
        <v>0</v>
      </c>
      <c r="B4699" t="s">
        <v>1665</v>
      </c>
      <c r="C4699" t="s">
        <v>8024</v>
      </c>
      <c r="D4699" t="s">
        <v>17147</v>
      </c>
      <c r="E4699" t="s">
        <v>21311</v>
      </c>
      <c r="F4699" t="s">
        <v>29372</v>
      </c>
      <c r="G4699" t="s">
        <v>29380</v>
      </c>
      <c r="H4699" t="s">
        <v>29389</v>
      </c>
      <c r="I4699" t="s">
        <v>10408</v>
      </c>
      <c r="J4699" t="s">
        <v>29543</v>
      </c>
      <c r="K4699" t="s">
        <v>38522</v>
      </c>
      <c r="M4699" t="s">
        <v>40524</v>
      </c>
      <c r="N4699" t="s">
        <v>42669</v>
      </c>
      <c r="O4699" t="s">
        <v>42670</v>
      </c>
      <c r="P4699">
        <v>0</v>
      </c>
      <c r="Q4699">
        <v>0</v>
      </c>
      <c r="R4699" t="s">
        <v>42676</v>
      </c>
      <c r="S4699" t="s">
        <v>42809</v>
      </c>
      <c r="T4699" t="s">
        <v>44476</v>
      </c>
      <c r="U4699" t="s">
        <v>48654</v>
      </c>
      <c r="V4699" t="s">
        <v>56870</v>
      </c>
      <c r="W4699" t="s">
        <v>40524</v>
      </c>
      <c r="X4699" t="s">
        <v>42677</v>
      </c>
    </row>
    <row r="4700" spans="1:24">
      <c r="A4700">
        <f>HYPERLINK("https://www.philgeps.gov.ph/GEPSNONPILOT/Tender/SplashBidNoticeAbstractUI.aspx?menuIndex=3&amp;refID=7188615&amp;Result=3","7188615")</f>
        <v>0</v>
      </c>
      <c r="B4700" t="s">
        <v>1341</v>
      </c>
      <c r="C4700" t="s">
        <v>8025</v>
      </c>
      <c r="D4700" t="s">
        <v>17141</v>
      </c>
      <c r="E4700" t="s">
        <v>21312</v>
      </c>
      <c r="F4700" t="s">
        <v>29372</v>
      </c>
      <c r="G4700" t="s">
        <v>29383</v>
      </c>
      <c r="H4700" t="s">
        <v>11048</v>
      </c>
      <c r="I4700" t="s">
        <v>3695</v>
      </c>
      <c r="J4700" t="s">
        <v>32620</v>
      </c>
      <c r="K4700" t="s">
        <v>38490</v>
      </c>
      <c r="M4700" t="s">
        <v>40535</v>
      </c>
      <c r="N4700" t="s">
        <v>42669</v>
      </c>
      <c r="O4700" t="s">
        <v>42670</v>
      </c>
      <c r="P4700">
        <v>0</v>
      </c>
      <c r="Q4700">
        <v>2</v>
      </c>
      <c r="R4700" t="s">
        <v>42676</v>
      </c>
      <c r="S4700" t="s">
        <v>42809</v>
      </c>
      <c r="T4700" t="s">
        <v>44512</v>
      </c>
      <c r="U4700" t="s">
        <v>48655</v>
      </c>
      <c r="W4700" t="s">
        <v>40535</v>
      </c>
      <c r="X4700" t="s">
        <v>42677</v>
      </c>
    </row>
    <row r="4701" spans="1:24">
      <c r="A4701">
        <f>HYPERLINK("https://www.philgeps.gov.ph/GEPSNONPILOT/Tender/SplashBidNoticeAbstractUI.aspx?menuIndex=3&amp;refID=7188600&amp;Result=3","7188600")</f>
        <v>0</v>
      </c>
      <c r="B4701" t="s">
        <v>886</v>
      </c>
      <c r="C4701" t="s">
        <v>8026</v>
      </c>
      <c r="D4701" t="s">
        <v>17189</v>
      </c>
      <c r="E4701" t="s">
        <v>21313</v>
      </c>
      <c r="F4701" t="s">
        <v>29372</v>
      </c>
      <c r="G4701" t="s">
        <v>29379</v>
      </c>
      <c r="H4701" t="s">
        <v>11048</v>
      </c>
      <c r="I4701" t="s">
        <v>3695</v>
      </c>
      <c r="J4701" t="s">
        <v>32621</v>
      </c>
      <c r="K4701" t="s">
        <v>38489</v>
      </c>
      <c r="M4701" t="s">
        <v>39678</v>
      </c>
      <c r="N4701" t="s">
        <v>42669</v>
      </c>
      <c r="O4701" t="s">
        <v>42670</v>
      </c>
      <c r="P4701">
        <v>0</v>
      </c>
      <c r="Q4701">
        <v>7</v>
      </c>
      <c r="R4701" t="s">
        <v>42676</v>
      </c>
      <c r="S4701" t="s">
        <v>42809</v>
      </c>
      <c r="T4701" t="s">
        <v>44493</v>
      </c>
      <c r="U4701" t="s">
        <v>46659</v>
      </c>
      <c r="W4701" t="s">
        <v>39678</v>
      </c>
      <c r="X4701" t="s">
        <v>42677</v>
      </c>
    </row>
    <row r="4702" spans="1:24">
      <c r="A4702">
        <f>HYPERLINK("https://www.philgeps.gov.ph/GEPSNONPILOT/Tender/SplashBidNoticeAbstractUI.aspx?menuIndex=3&amp;refID=7188630&amp;Result=3","7188630")</f>
        <v>0</v>
      </c>
      <c r="B4702" t="s">
        <v>74</v>
      </c>
      <c r="C4702" t="s">
        <v>8027</v>
      </c>
      <c r="D4702" t="s">
        <v>17169</v>
      </c>
      <c r="E4702" t="s">
        <v>21314</v>
      </c>
      <c r="F4702" t="s">
        <v>29372</v>
      </c>
      <c r="G4702" t="s">
        <v>29380</v>
      </c>
      <c r="H4702" t="s">
        <v>11048</v>
      </c>
      <c r="I4702" t="s">
        <v>29464</v>
      </c>
      <c r="J4702" t="s">
        <v>32622</v>
      </c>
      <c r="K4702" t="s">
        <v>38485</v>
      </c>
      <c r="L4702" t="s">
        <v>74</v>
      </c>
      <c r="M4702" t="s">
        <v>40551</v>
      </c>
      <c r="N4702" t="s">
        <v>42669</v>
      </c>
      <c r="O4702" t="s">
        <v>42670</v>
      </c>
      <c r="P4702">
        <v>0</v>
      </c>
      <c r="Q4702">
        <v>4</v>
      </c>
      <c r="R4702" t="s">
        <v>42676</v>
      </c>
      <c r="S4702" t="s">
        <v>42809</v>
      </c>
      <c r="T4702" t="s">
        <v>44664</v>
      </c>
      <c r="U4702" t="s">
        <v>48656</v>
      </c>
      <c r="W4702" t="s">
        <v>40551</v>
      </c>
      <c r="X4702" t="s">
        <v>42677</v>
      </c>
    </row>
    <row r="4703" spans="1:24">
      <c r="A4703">
        <f>HYPERLINK("https://www.philgeps.gov.ph/GEPSNONPILOT/Tender/SplashBidNoticeAbstractUI.aspx?menuIndex=3&amp;refID=7188640&amp;Result=3","7188640")</f>
        <v>0</v>
      </c>
      <c r="B4703" t="s">
        <v>1664</v>
      </c>
      <c r="C4703" t="s">
        <v>8028</v>
      </c>
      <c r="D4703" t="s">
        <v>17174</v>
      </c>
      <c r="E4703" t="s">
        <v>21315</v>
      </c>
      <c r="F4703" t="s">
        <v>29372</v>
      </c>
      <c r="G4703" t="s">
        <v>29379</v>
      </c>
      <c r="H4703" t="s">
        <v>11048</v>
      </c>
      <c r="I4703" t="s">
        <v>29454</v>
      </c>
      <c r="J4703" t="s">
        <v>32623</v>
      </c>
      <c r="K4703" t="s">
        <v>38485</v>
      </c>
      <c r="M4703" t="s">
        <v>40523</v>
      </c>
      <c r="N4703" t="s">
        <v>42669</v>
      </c>
      <c r="O4703" t="s">
        <v>42670</v>
      </c>
      <c r="P4703">
        <v>0</v>
      </c>
      <c r="Q4703">
        <v>1</v>
      </c>
      <c r="R4703" t="s">
        <v>42676</v>
      </c>
      <c r="S4703" t="s">
        <v>42809</v>
      </c>
      <c r="T4703" t="s">
        <v>44468</v>
      </c>
      <c r="U4703" t="s">
        <v>48596</v>
      </c>
      <c r="W4703" t="s">
        <v>40523</v>
      </c>
      <c r="X4703" t="s">
        <v>42677</v>
      </c>
    </row>
    <row r="4704" spans="1:24">
      <c r="A4704">
        <f>HYPERLINK("https://www.philgeps.gov.ph/GEPSNONPILOT/Tender/SplashBidNoticeAbstractUI.aspx?menuIndex=3&amp;refID=7188608&amp;Result=3","7188608")</f>
        <v>0</v>
      </c>
      <c r="B4704" t="s">
        <v>1690</v>
      </c>
      <c r="C4704" t="s">
        <v>8029</v>
      </c>
      <c r="D4704" t="s">
        <v>17189</v>
      </c>
      <c r="E4704" t="s">
        <v>17994</v>
      </c>
      <c r="F4704" t="s">
        <v>29372</v>
      </c>
      <c r="G4704" t="s">
        <v>29379</v>
      </c>
      <c r="H4704" t="s">
        <v>11048</v>
      </c>
      <c r="I4704" t="s">
        <v>29412</v>
      </c>
      <c r="J4704" t="s">
        <v>29590</v>
      </c>
      <c r="K4704" t="s">
        <v>38528</v>
      </c>
      <c r="L4704" t="s">
        <v>1690</v>
      </c>
      <c r="M4704" t="s">
        <v>40552</v>
      </c>
      <c r="N4704" t="s">
        <v>42669</v>
      </c>
      <c r="O4704" t="s">
        <v>42670</v>
      </c>
      <c r="P4704">
        <v>0</v>
      </c>
      <c r="Q4704">
        <v>1</v>
      </c>
      <c r="R4704" t="s">
        <v>42676</v>
      </c>
      <c r="S4704" t="s">
        <v>42809</v>
      </c>
      <c r="T4704" t="s">
        <v>44389</v>
      </c>
      <c r="U4704" t="s">
        <v>48657</v>
      </c>
      <c r="W4704" t="s">
        <v>40552</v>
      </c>
      <c r="X4704" t="s">
        <v>42677</v>
      </c>
    </row>
    <row r="4705" spans="1:24">
      <c r="A4705">
        <f>HYPERLINK("https://www.philgeps.gov.ph/GEPSNONPILOT/Tender/SplashBidNoticeAbstractUI.aspx?menuIndex=3&amp;refID=7188603&amp;Result=3","7188603")</f>
        <v>0</v>
      </c>
      <c r="B4705" t="s">
        <v>1061</v>
      </c>
      <c r="C4705" t="s">
        <v>8030</v>
      </c>
      <c r="D4705" t="s">
        <v>17174</v>
      </c>
      <c r="E4705" t="s">
        <v>21316</v>
      </c>
      <c r="F4705" t="s">
        <v>29372</v>
      </c>
      <c r="G4705" t="s">
        <v>29380</v>
      </c>
      <c r="H4705" t="s">
        <v>11048</v>
      </c>
      <c r="I4705" t="s">
        <v>4709</v>
      </c>
      <c r="J4705" t="s">
        <v>32624</v>
      </c>
      <c r="K4705" t="s">
        <v>38485</v>
      </c>
      <c r="M4705" t="s">
        <v>39868</v>
      </c>
      <c r="N4705" t="s">
        <v>42669</v>
      </c>
      <c r="O4705" t="s">
        <v>42670</v>
      </c>
      <c r="P4705">
        <v>0</v>
      </c>
      <c r="Q4705">
        <v>0</v>
      </c>
      <c r="R4705" t="s">
        <v>42676</v>
      </c>
      <c r="S4705" t="s">
        <v>42809</v>
      </c>
      <c r="T4705" t="s">
        <v>44371</v>
      </c>
      <c r="U4705" t="s">
        <v>48658</v>
      </c>
      <c r="W4705" t="s">
        <v>39868</v>
      </c>
      <c r="X4705" t="s">
        <v>42677</v>
      </c>
    </row>
    <row r="4706" spans="1:24">
      <c r="A4706">
        <f>HYPERLINK("https://www.philgeps.gov.ph/GEPSNONPILOT/Tender/SplashBidNoticeAbstractUI.aspx?menuIndex=3&amp;refID=7188637&amp;Result=3","7188637")</f>
        <v>0</v>
      </c>
      <c r="B4706" t="s">
        <v>1617</v>
      </c>
      <c r="C4706" t="s">
        <v>8031</v>
      </c>
      <c r="D4706" t="s">
        <v>17163</v>
      </c>
      <c r="E4706" t="s">
        <v>21317</v>
      </c>
      <c r="F4706" t="s">
        <v>29372</v>
      </c>
      <c r="G4706" t="s">
        <v>29380</v>
      </c>
      <c r="H4706" t="s">
        <v>11048</v>
      </c>
      <c r="I4706" t="s">
        <v>29452</v>
      </c>
      <c r="J4706" t="s">
        <v>31893</v>
      </c>
      <c r="K4706" t="s">
        <v>38490</v>
      </c>
      <c r="M4706" t="s">
        <v>40470</v>
      </c>
      <c r="N4706" t="s">
        <v>42669</v>
      </c>
      <c r="O4706" t="s">
        <v>42670</v>
      </c>
      <c r="P4706">
        <v>0</v>
      </c>
      <c r="Q4706">
        <v>0</v>
      </c>
      <c r="R4706" t="s">
        <v>42676</v>
      </c>
      <c r="S4706" t="s">
        <v>42809</v>
      </c>
      <c r="T4706" t="s">
        <v>44619</v>
      </c>
      <c r="U4706" t="s">
        <v>48659</v>
      </c>
      <c r="W4706" t="s">
        <v>40470</v>
      </c>
      <c r="X4706" t="s">
        <v>42677</v>
      </c>
    </row>
    <row r="4707" spans="1:24">
      <c r="A4707">
        <f>HYPERLINK("https://www.philgeps.gov.ph/GEPSNONPILOT/Tender/SplashBidNoticeAbstractUI.aspx?menuIndex=3&amp;refID=7188636&amp;Result=3","7188636")</f>
        <v>0</v>
      </c>
      <c r="B4707" t="s">
        <v>1691</v>
      </c>
      <c r="C4707" t="s">
        <v>8032</v>
      </c>
      <c r="D4707" t="s">
        <v>17175</v>
      </c>
      <c r="E4707" t="s">
        <v>21318</v>
      </c>
      <c r="F4707" t="s">
        <v>29372</v>
      </c>
      <c r="G4707" t="s">
        <v>29380</v>
      </c>
      <c r="H4707" t="s">
        <v>11048</v>
      </c>
      <c r="I4707" t="s">
        <v>3670</v>
      </c>
      <c r="J4707" t="s">
        <v>32625</v>
      </c>
      <c r="K4707" t="s">
        <v>38510</v>
      </c>
      <c r="M4707" t="s">
        <v>40553</v>
      </c>
      <c r="N4707" t="s">
        <v>42669</v>
      </c>
      <c r="O4707" t="s">
        <v>42670</v>
      </c>
      <c r="P4707">
        <v>0</v>
      </c>
      <c r="Q4707">
        <v>1</v>
      </c>
      <c r="R4707" t="s">
        <v>42676</v>
      </c>
      <c r="S4707" t="s">
        <v>42809</v>
      </c>
      <c r="T4707" t="s">
        <v>44382</v>
      </c>
      <c r="U4707" t="s">
        <v>48660</v>
      </c>
      <c r="V4707" t="s">
        <v>56888</v>
      </c>
      <c r="W4707" t="s">
        <v>40553</v>
      </c>
      <c r="X4707" t="s">
        <v>42677</v>
      </c>
    </row>
    <row r="4708" spans="1:24">
      <c r="A4708">
        <f>HYPERLINK("https://www.philgeps.gov.ph/GEPSNONPILOT/Tender/SplashBidNoticeAbstractUI.aspx?menuIndex=3&amp;refID=7188635&amp;Result=3","7188635")</f>
        <v>0</v>
      </c>
      <c r="B4708" t="s">
        <v>1688</v>
      </c>
      <c r="C4708" t="s">
        <v>8033</v>
      </c>
      <c r="D4708" t="s">
        <v>17174</v>
      </c>
      <c r="E4708" t="s">
        <v>21319</v>
      </c>
      <c r="F4708" t="s">
        <v>29372</v>
      </c>
      <c r="G4708" t="s">
        <v>29382</v>
      </c>
      <c r="H4708" t="s">
        <v>11048</v>
      </c>
      <c r="I4708" t="s">
        <v>4487</v>
      </c>
      <c r="J4708" t="s">
        <v>32626</v>
      </c>
      <c r="K4708" t="s">
        <v>38510</v>
      </c>
      <c r="M4708" t="s">
        <v>40549</v>
      </c>
      <c r="N4708" t="s">
        <v>42669</v>
      </c>
      <c r="O4708" t="s">
        <v>42670</v>
      </c>
      <c r="P4708">
        <v>0</v>
      </c>
      <c r="Q4708">
        <v>1</v>
      </c>
      <c r="R4708" t="s">
        <v>42676</v>
      </c>
      <c r="S4708" t="s">
        <v>42809</v>
      </c>
      <c r="T4708" t="s">
        <v>44371</v>
      </c>
      <c r="U4708" t="s">
        <v>48650</v>
      </c>
      <c r="W4708" t="s">
        <v>40549</v>
      </c>
      <c r="X4708" t="s">
        <v>42677</v>
      </c>
    </row>
    <row r="4709" spans="1:24">
      <c r="A4709">
        <f>HYPERLINK("https://www.philgeps.gov.ph/GEPSNONPILOT/Tender/SplashBidNoticeAbstractUI.aspx?menuIndex=3&amp;refID=7188632&amp;Result=3","7188632")</f>
        <v>0</v>
      </c>
      <c r="B4709" t="s">
        <v>1676</v>
      </c>
      <c r="C4709" t="s">
        <v>8034</v>
      </c>
      <c r="D4709" t="s">
        <v>17155</v>
      </c>
      <c r="E4709" t="s">
        <v>21320</v>
      </c>
      <c r="F4709" t="s">
        <v>29372</v>
      </c>
      <c r="G4709" t="s">
        <v>29379</v>
      </c>
      <c r="H4709" t="s">
        <v>11048</v>
      </c>
      <c r="I4709" t="s">
        <v>5383</v>
      </c>
      <c r="J4709" t="s">
        <v>32627</v>
      </c>
      <c r="K4709" t="s">
        <v>38488</v>
      </c>
      <c r="M4709" t="s">
        <v>40536</v>
      </c>
      <c r="N4709" t="s">
        <v>42669</v>
      </c>
      <c r="O4709" t="s">
        <v>42670</v>
      </c>
      <c r="P4709">
        <v>0</v>
      </c>
      <c r="Q4709">
        <v>1</v>
      </c>
      <c r="R4709" t="s">
        <v>42676</v>
      </c>
      <c r="S4709" t="s">
        <v>42809</v>
      </c>
      <c r="T4709" t="s">
        <v>44432</v>
      </c>
      <c r="U4709" t="s">
        <v>48661</v>
      </c>
      <c r="W4709" t="s">
        <v>40536</v>
      </c>
      <c r="X4709" t="s">
        <v>42677</v>
      </c>
    </row>
    <row r="4710" spans="1:24">
      <c r="A4710">
        <f>HYPERLINK("https://www.philgeps.gov.ph/GEPSNONPILOT/Tender/SplashBidNoticeAbstractUI.aspx?menuIndex=3&amp;refID=7188628&amp;Result=3","7188628")</f>
        <v>0</v>
      </c>
      <c r="B4710" t="s">
        <v>1692</v>
      </c>
      <c r="C4710" t="s">
        <v>8035</v>
      </c>
      <c r="D4710" t="s">
        <v>17158</v>
      </c>
      <c r="E4710" t="s">
        <v>21321</v>
      </c>
      <c r="F4710" t="s">
        <v>29372</v>
      </c>
      <c r="G4710" t="s">
        <v>29380</v>
      </c>
      <c r="H4710" t="s">
        <v>11048</v>
      </c>
      <c r="I4710" t="s">
        <v>4709</v>
      </c>
      <c r="J4710" t="s">
        <v>32628</v>
      </c>
      <c r="K4710" t="s">
        <v>38490</v>
      </c>
      <c r="M4710" t="s">
        <v>40554</v>
      </c>
      <c r="N4710" t="s">
        <v>42669</v>
      </c>
      <c r="O4710" t="s">
        <v>42670</v>
      </c>
      <c r="P4710">
        <v>0</v>
      </c>
      <c r="Q4710">
        <v>0</v>
      </c>
      <c r="R4710" t="s">
        <v>42676</v>
      </c>
      <c r="S4710" t="s">
        <v>42809</v>
      </c>
      <c r="T4710" t="s">
        <v>44470</v>
      </c>
      <c r="U4710" t="s">
        <v>48662</v>
      </c>
      <c r="W4710" t="s">
        <v>40554</v>
      </c>
      <c r="X4710" t="s">
        <v>42677</v>
      </c>
    </row>
    <row r="4711" spans="1:24">
      <c r="A4711">
        <f>HYPERLINK("https://www.philgeps.gov.ph/GEPSNONPILOT/Tender/SplashBidNoticeAbstractUI.aspx?menuIndex=3&amp;refID=7188634&amp;Result=3","7188634")</f>
        <v>0</v>
      </c>
      <c r="B4711" t="s">
        <v>1693</v>
      </c>
      <c r="C4711" t="s">
        <v>8036</v>
      </c>
      <c r="D4711" t="s">
        <v>17226</v>
      </c>
      <c r="E4711" t="s">
        <v>21322</v>
      </c>
      <c r="F4711" t="s">
        <v>29372</v>
      </c>
      <c r="G4711" t="s">
        <v>29381</v>
      </c>
      <c r="H4711" t="s">
        <v>11048</v>
      </c>
      <c r="I4711" t="s">
        <v>4709</v>
      </c>
      <c r="J4711" t="s">
        <v>32629</v>
      </c>
      <c r="K4711" t="s">
        <v>38488</v>
      </c>
      <c r="M4711" t="s">
        <v>40555</v>
      </c>
      <c r="N4711" t="s">
        <v>42669</v>
      </c>
      <c r="O4711" t="s">
        <v>42670</v>
      </c>
      <c r="P4711">
        <v>0</v>
      </c>
      <c r="Q4711">
        <v>0</v>
      </c>
      <c r="R4711" t="s">
        <v>42676</v>
      </c>
      <c r="S4711" t="s">
        <v>42809</v>
      </c>
      <c r="T4711" t="s">
        <v>44481</v>
      </c>
      <c r="U4711" t="s">
        <v>48663</v>
      </c>
      <c r="W4711" t="s">
        <v>40555</v>
      </c>
      <c r="X4711" t="s">
        <v>42677</v>
      </c>
    </row>
    <row r="4712" spans="1:24">
      <c r="A4712">
        <f>HYPERLINK("https://www.philgeps.gov.ph/GEPSNONPILOT/Tender/SplashBidNoticeAbstractUI.aspx?menuIndex=3&amp;refID=7188646&amp;Result=3","7188646")</f>
        <v>0</v>
      </c>
      <c r="B4712" t="s">
        <v>852</v>
      </c>
      <c r="C4712" t="s">
        <v>8037</v>
      </c>
      <c r="D4712" t="s">
        <v>17190</v>
      </c>
      <c r="E4712" t="s">
        <v>19104</v>
      </c>
      <c r="F4712" t="s">
        <v>29372</v>
      </c>
      <c r="G4712" t="s">
        <v>29379</v>
      </c>
      <c r="H4712" t="s">
        <v>11048</v>
      </c>
      <c r="I4712" t="s">
        <v>29407</v>
      </c>
      <c r="J4712" t="s">
        <v>32630</v>
      </c>
      <c r="K4712" t="s">
        <v>38485</v>
      </c>
      <c r="M4712" t="s">
        <v>39642</v>
      </c>
      <c r="N4712" t="s">
        <v>42669</v>
      </c>
      <c r="O4712" t="s">
        <v>42670</v>
      </c>
      <c r="P4712">
        <v>0</v>
      </c>
      <c r="Q4712">
        <v>18</v>
      </c>
      <c r="R4712" t="s">
        <v>42676</v>
      </c>
      <c r="S4712" t="s">
        <v>42809</v>
      </c>
      <c r="T4712" t="s">
        <v>44653</v>
      </c>
      <c r="U4712" t="s">
        <v>48664</v>
      </c>
      <c r="W4712" t="s">
        <v>39642</v>
      </c>
      <c r="X4712" t="s">
        <v>42677</v>
      </c>
    </row>
    <row r="4713" spans="1:24">
      <c r="A4713">
        <f>HYPERLINK("https://www.philgeps.gov.ph/GEPSNONPILOT/Tender/SplashBidNoticeAbstractUI.aspx?menuIndex=3&amp;refID=7188627&amp;Result=3","7188627")</f>
        <v>0</v>
      </c>
      <c r="B4713" t="s">
        <v>1638</v>
      </c>
      <c r="C4713" t="s">
        <v>8038</v>
      </c>
      <c r="D4713" t="s">
        <v>17213</v>
      </c>
      <c r="E4713" t="s">
        <v>21323</v>
      </c>
      <c r="F4713" t="s">
        <v>29372</v>
      </c>
      <c r="G4713" t="s">
        <v>29383</v>
      </c>
      <c r="H4713" t="s">
        <v>11048</v>
      </c>
      <c r="I4713" t="s">
        <v>5383</v>
      </c>
      <c r="J4713" t="s">
        <v>32631</v>
      </c>
      <c r="K4713" t="s">
        <v>38490</v>
      </c>
      <c r="M4713" t="s">
        <v>40494</v>
      </c>
      <c r="N4713" t="s">
        <v>42669</v>
      </c>
      <c r="O4713" t="s">
        <v>42670</v>
      </c>
      <c r="P4713">
        <v>0</v>
      </c>
      <c r="Q4713">
        <v>1</v>
      </c>
      <c r="R4713" t="s">
        <v>42676</v>
      </c>
      <c r="S4713" t="s">
        <v>42809</v>
      </c>
      <c r="T4713" t="s">
        <v>44470</v>
      </c>
      <c r="U4713" t="s">
        <v>48665</v>
      </c>
      <c r="W4713" t="s">
        <v>58050</v>
      </c>
      <c r="X4713" t="s">
        <v>42677</v>
      </c>
    </row>
    <row r="4714" spans="1:24">
      <c r="A4714">
        <f>HYPERLINK("https://www.philgeps.gov.ph/GEPSNONPILOT/Tender/SplashBidNoticeAbstractUI.aspx?menuIndex=3&amp;refID=7188665&amp;Result=3","7188665")</f>
        <v>0</v>
      </c>
      <c r="B4714" t="s">
        <v>530</v>
      </c>
      <c r="C4714" t="s">
        <v>8039</v>
      </c>
      <c r="D4714" t="s">
        <v>17201</v>
      </c>
      <c r="E4714" t="s">
        <v>21324</v>
      </c>
      <c r="F4714" t="s">
        <v>29372</v>
      </c>
      <c r="G4714" t="s">
        <v>29379</v>
      </c>
      <c r="H4714" t="s">
        <v>11048</v>
      </c>
      <c r="I4714" t="s">
        <v>29433</v>
      </c>
      <c r="J4714" t="s">
        <v>32632</v>
      </c>
      <c r="K4714" t="s">
        <v>38485</v>
      </c>
      <c r="M4714" t="s">
        <v>39297</v>
      </c>
      <c r="N4714" t="s">
        <v>42669</v>
      </c>
      <c r="O4714" t="s">
        <v>42670</v>
      </c>
      <c r="P4714">
        <v>0</v>
      </c>
      <c r="Q4714">
        <v>15</v>
      </c>
      <c r="R4714" t="s">
        <v>42676</v>
      </c>
      <c r="S4714" t="s">
        <v>42809</v>
      </c>
      <c r="T4714" t="s">
        <v>44570</v>
      </c>
      <c r="U4714" t="s">
        <v>46011</v>
      </c>
      <c r="W4714" t="s">
        <v>39297</v>
      </c>
      <c r="X4714" t="s">
        <v>42677</v>
      </c>
    </row>
    <row r="4715" spans="1:24">
      <c r="A4715">
        <f>HYPERLINK("https://www.philgeps.gov.ph/GEPSNONPILOT/Tender/SplashBidNoticeAbstractUI.aspx?menuIndex=3&amp;refID=7188641&amp;Result=3","7188641")</f>
        <v>0</v>
      </c>
      <c r="B4715" t="s">
        <v>1383</v>
      </c>
      <c r="C4715" t="s">
        <v>8040</v>
      </c>
      <c r="D4715" t="s">
        <v>17169</v>
      </c>
      <c r="E4715" t="s">
        <v>20592</v>
      </c>
      <c r="F4715" t="s">
        <v>29372</v>
      </c>
      <c r="G4715" t="s">
        <v>29380</v>
      </c>
      <c r="H4715" t="s">
        <v>29389</v>
      </c>
      <c r="I4715" t="s">
        <v>10408</v>
      </c>
      <c r="J4715" t="s">
        <v>32106</v>
      </c>
      <c r="K4715" t="s">
        <v>38487</v>
      </c>
      <c r="M4715" t="s">
        <v>40220</v>
      </c>
      <c r="N4715" t="s">
        <v>42669</v>
      </c>
      <c r="O4715" t="s">
        <v>42670</v>
      </c>
      <c r="P4715">
        <v>0</v>
      </c>
      <c r="Q4715">
        <v>1</v>
      </c>
      <c r="R4715" t="s">
        <v>42676</v>
      </c>
      <c r="S4715" t="s">
        <v>42809</v>
      </c>
      <c r="T4715" t="s">
        <v>44587</v>
      </c>
      <c r="U4715" t="s">
        <v>47960</v>
      </c>
      <c r="V4715" t="s">
        <v>56889</v>
      </c>
      <c r="W4715" t="s">
        <v>40220</v>
      </c>
      <c r="X4715" t="s">
        <v>42677</v>
      </c>
    </row>
    <row r="4716" spans="1:24">
      <c r="A4716">
        <f>HYPERLINK("https://www.philgeps.gov.ph/GEPSNONPILOT/Tender/SplashBidNoticeAbstractUI.aspx?menuIndex=3&amp;refID=7188659&amp;Result=3","7188659")</f>
        <v>0</v>
      </c>
      <c r="B4716" t="s">
        <v>1632</v>
      </c>
      <c r="C4716" t="s">
        <v>8041</v>
      </c>
      <c r="D4716" t="s">
        <v>17174</v>
      </c>
      <c r="E4716" t="s">
        <v>21325</v>
      </c>
      <c r="F4716" t="s">
        <v>29372</v>
      </c>
      <c r="G4716" t="s">
        <v>29379</v>
      </c>
      <c r="H4716" t="s">
        <v>11048</v>
      </c>
      <c r="I4716" t="s">
        <v>29407</v>
      </c>
      <c r="J4716" t="s">
        <v>29820</v>
      </c>
      <c r="K4716" t="s">
        <v>38528</v>
      </c>
      <c r="M4716" t="s">
        <v>40488</v>
      </c>
      <c r="N4716" t="s">
        <v>42669</v>
      </c>
      <c r="O4716" t="s">
        <v>42670</v>
      </c>
      <c r="P4716">
        <v>0</v>
      </c>
      <c r="Q4716">
        <v>1</v>
      </c>
      <c r="R4716" t="s">
        <v>42676</v>
      </c>
      <c r="S4716" t="s">
        <v>42809</v>
      </c>
      <c r="T4716" t="s">
        <v>44488</v>
      </c>
      <c r="U4716" t="s">
        <v>48666</v>
      </c>
      <c r="W4716" t="s">
        <v>40488</v>
      </c>
      <c r="X4716" t="s">
        <v>42677</v>
      </c>
    </row>
    <row r="4717" spans="1:24">
      <c r="A4717">
        <f>HYPERLINK("https://www.philgeps.gov.ph/GEPSNONPILOT/Tender/SplashBidNoticeAbstractUI.aspx?menuIndex=3&amp;refID=7188622&amp;Result=3","7188622")</f>
        <v>0</v>
      </c>
      <c r="B4717" t="s">
        <v>1694</v>
      </c>
      <c r="C4717" t="s">
        <v>8042</v>
      </c>
      <c r="D4717" t="s">
        <v>17192</v>
      </c>
      <c r="E4717" t="s">
        <v>17289</v>
      </c>
      <c r="F4717" t="s">
        <v>29372</v>
      </c>
      <c r="G4717" t="s">
        <v>29380</v>
      </c>
      <c r="H4717" t="s">
        <v>11048</v>
      </c>
      <c r="I4717" t="s">
        <v>4709</v>
      </c>
      <c r="J4717" t="s">
        <v>29657</v>
      </c>
      <c r="K4717" t="s">
        <v>38535</v>
      </c>
      <c r="M4717" t="s">
        <v>40556</v>
      </c>
      <c r="N4717" t="s">
        <v>42669</v>
      </c>
      <c r="O4717" t="s">
        <v>42670</v>
      </c>
      <c r="P4717">
        <v>0</v>
      </c>
      <c r="Q4717">
        <v>0</v>
      </c>
      <c r="R4717" t="s">
        <v>42676</v>
      </c>
      <c r="S4717" t="s">
        <v>42809</v>
      </c>
      <c r="T4717" t="s">
        <v>44399</v>
      </c>
      <c r="U4717" t="s">
        <v>48667</v>
      </c>
      <c r="W4717" t="s">
        <v>40556</v>
      </c>
      <c r="X4717" t="s">
        <v>42677</v>
      </c>
    </row>
    <row r="4718" spans="1:24">
      <c r="A4718">
        <f>HYPERLINK("https://www.philgeps.gov.ph/GEPSNONPILOT/Tender/SplashBidNoticeAbstractUI.aspx?menuIndex=3&amp;refID=7188658&amp;Result=3","7188658")</f>
        <v>0</v>
      </c>
      <c r="B4718" t="s">
        <v>125</v>
      </c>
      <c r="C4718" t="s">
        <v>8043</v>
      </c>
      <c r="D4718" t="s">
        <v>17177</v>
      </c>
      <c r="E4718" t="s">
        <v>21326</v>
      </c>
      <c r="F4718" t="s">
        <v>29372</v>
      </c>
      <c r="G4718" t="s">
        <v>29379</v>
      </c>
      <c r="H4718" t="s">
        <v>11048</v>
      </c>
      <c r="I4718" t="s">
        <v>3839</v>
      </c>
      <c r="J4718" t="s">
        <v>30440</v>
      </c>
      <c r="K4718" t="s">
        <v>38491</v>
      </c>
      <c r="M4718" t="s">
        <v>38880</v>
      </c>
      <c r="N4718" t="s">
        <v>42669</v>
      </c>
      <c r="O4718" t="s">
        <v>42670</v>
      </c>
      <c r="P4718">
        <v>0</v>
      </c>
      <c r="Q4718">
        <v>6</v>
      </c>
      <c r="R4718" t="s">
        <v>42676</v>
      </c>
      <c r="S4718" t="s">
        <v>42809</v>
      </c>
      <c r="T4718" t="s">
        <v>44432</v>
      </c>
      <c r="U4718" t="s">
        <v>48668</v>
      </c>
      <c r="W4718" t="s">
        <v>38880</v>
      </c>
      <c r="X4718" t="s">
        <v>42677</v>
      </c>
    </row>
    <row r="4719" spans="1:24">
      <c r="A4719">
        <f>HYPERLINK("https://www.philgeps.gov.ph/GEPSNONPILOT/Tender/SplashBidNoticeAbstractUI.aspx?menuIndex=3&amp;refID=7188654&amp;Result=3","7188654")</f>
        <v>0</v>
      </c>
      <c r="B4719" t="s">
        <v>1695</v>
      </c>
      <c r="C4719" t="s">
        <v>8044</v>
      </c>
      <c r="D4719" t="s">
        <v>17187</v>
      </c>
      <c r="E4719" t="s">
        <v>21327</v>
      </c>
      <c r="F4719" t="s">
        <v>29372</v>
      </c>
      <c r="G4719" t="s">
        <v>29380</v>
      </c>
      <c r="H4719" t="s">
        <v>29389</v>
      </c>
      <c r="I4719" t="s">
        <v>10408</v>
      </c>
      <c r="J4719" t="s">
        <v>29590</v>
      </c>
      <c r="K4719" t="s">
        <v>38487</v>
      </c>
      <c r="M4719" t="s">
        <v>40557</v>
      </c>
      <c r="N4719" t="s">
        <v>42669</v>
      </c>
      <c r="O4719" t="s">
        <v>42670</v>
      </c>
      <c r="P4719">
        <v>0</v>
      </c>
      <c r="Q4719">
        <v>1</v>
      </c>
      <c r="R4719" t="s">
        <v>42676</v>
      </c>
      <c r="S4719" t="s">
        <v>42809</v>
      </c>
      <c r="T4719" t="s">
        <v>44600</v>
      </c>
      <c r="U4719" t="s">
        <v>48669</v>
      </c>
      <c r="W4719" t="s">
        <v>40557</v>
      </c>
      <c r="X4719" t="s">
        <v>42677</v>
      </c>
    </row>
    <row r="4720" spans="1:24">
      <c r="A4720">
        <f>HYPERLINK("https://www.philgeps.gov.ph/GEPSNONPILOT/Tender/SplashBidNoticeAbstractUI.aspx?menuIndex=3&amp;refID=7188663&amp;Result=3","7188663")</f>
        <v>0</v>
      </c>
      <c r="B4720" t="s">
        <v>1696</v>
      </c>
      <c r="C4720" t="s">
        <v>8045</v>
      </c>
      <c r="D4720" t="s">
        <v>17205</v>
      </c>
      <c r="E4720" t="s">
        <v>21328</v>
      </c>
      <c r="F4720" t="s">
        <v>29372</v>
      </c>
      <c r="G4720" t="s">
        <v>29380</v>
      </c>
      <c r="H4720" t="s">
        <v>29389</v>
      </c>
      <c r="I4720" t="s">
        <v>10408</v>
      </c>
      <c r="J4720" t="s">
        <v>32633</v>
      </c>
      <c r="K4720" t="s">
        <v>38487</v>
      </c>
      <c r="M4720" t="s">
        <v>40558</v>
      </c>
      <c r="N4720" t="s">
        <v>42669</v>
      </c>
      <c r="O4720" t="s">
        <v>42670</v>
      </c>
      <c r="P4720">
        <v>0</v>
      </c>
      <c r="Q4720">
        <v>6</v>
      </c>
      <c r="R4720" t="s">
        <v>42676</v>
      </c>
      <c r="S4720" t="s">
        <v>42809</v>
      </c>
      <c r="T4720" t="s">
        <v>44364</v>
      </c>
      <c r="U4720" t="s">
        <v>48670</v>
      </c>
      <c r="W4720" t="s">
        <v>40558</v>
      </c>
      <c r="X4720" t="s">
        <v>42677</v>
      </c>
    </row>
    <row r="4721" spans="1:24">
      <c r="A4721">
        <f>HYPERLINK("https://www.philgeps.gov.ph/GEPSNONPILOT/Tender/SplashBidNoticeAbstractUI.aspx?menuIndex=3&amp;refID=7188664&amp;Result=3","7188664")</f>
        <v>0</v>
      </c>
      <c r="B4721" t="s">
        <v>1344</v>
      </c>
      <c r="C4721" t="s">
        <v>8046</v>
      </c>
      <c r="D4721" t="s">
        <v>17144</v>
      </c>
      <c r="E4721" t="s">
        <v>21329</v>
      </c>
      <c r="F4721" t="s">
        <v>29372</v>
      </c>
      <c r="G4721" t="s">
        <v>29379</v>
      </c>
      <c r="H4721" t="s">
        <v>11048</v>
      </c>
      <c r="I4721" t="s">
        <v>29408</v>
      </c>
      <c r="J4721" t="s">
        <v>30432</v>
      </c>
      <c r="K4721" t="s">
        <v>38510</v>
      </c>
      <c r="M4721" t="s">
        <v>40485</v>
      </c>
      <c r="N4721" t="s">
        <v>42669</v>
      </c>
      <c r="O4721" t="s">
        <v>42670</v>
      </c>
      <c r="P4721">
        <v>0</v>
      </c>
      <c r="Q4721">
        <v>0</v>
      </c>
      <c r="R4721" t="s">
        <v>42676</v>
      </c>
      <c r="S4721" t="s">
        <v>42809</v>
      </c>
      <c r="T4721" t="s">
        <v>44462</v>
      </c>
      <c r="U4721" t="s">
        <v>48671</v>
      </c>
      <c r="W4721" t="s">
        <v>40485</v>
      </c>
      <c r="X4721" t="s">
        <v>42677</v>
      </c>
    </row>
    <row r="4722" spans="1:24">
      <c r="A4722">
        <f>HYPERLINK("https://www.philgeps.gov.ph/GEPSNONPILOT/Tender/SplashBidNoticeAbstractUI.aspx?menuIndex=3&amp;refID=7188662&amp;Result=3","7188662")</f>
        <v>0</v>
      </c>
      <c r="B4722" t="s">
        <v>1697</v>
      </c>
      <c r="C4722" t="s">
        <v>4777</v>
      </c>
      <c r="D4722" t="s">
        <v>17141</v>
      </c>
      <c r="E4722" t="s">
        <v>21330</v>
      </c>
      <c r="F4722" t="s">
        <v>29372</v>
      </c>
      <c r="G4722" t="s">
        <v>29379</v>
      </c>
      <c r="H4722" t="s">
        <v>11048</v>
      </c>
      <c r="I4722" t="s">
        <v>5383</v>
      </c>
      <c r="J4722" t="s">
        <v>29644</v>
      </c>
      <c r="K4722" t="s">
        <v>38488</v>
      </c>
      <c r="M4722" t="s">
        <v>40559</v>
      </c>
      <c r="N4722" t="s">
        <v>42669</v>
      </c>
      <c r="O4722" t="s">
        <v>42670</v>
      </c>
      <c r="P4722">
        <v>0</v>
      </c>
      <c r="Q4722">
        <v>2</v>
      </c>
      <c r="R4722" t="s">
        <v>42676</v>
      </c>
      <c r="S4722" t="s">
        <v>42809</v>
      </c>
      <c r="T4722" t="s">
        <v>44401</v>
      </c>
      <c r="U4722" t="s">
        <v>48672</v>
      </c>
      <c r="V4722" t="s">
        <v>56890</v>
      </c>
      <c r="W4722" t="s">
        <v>40559</v>
      </c>
      <c r="X4722" t="s">
        <v>42677</v>
      </c>
    </row>
    <row r="4723" spans="1:24">
      <c r="A4723">
        <f>HYPERLINK("https://www.philgeps.gov.ph/GEPSNONPILOT/Tender/SplashBidNoticeAbstractUI.aspx?menuIndex=3&amp;refID=7188514&amp;Result=3","7188514")</f>
        <v>0</v>
      </c>
      <c r="B4723" t="s">
        <v>1412</v>
      </c>
      <c r="C4723" t="s">
        <v>8047</v>
      </c>
      <c r="D4723" t="s">
        <v>17226</v>
      </c>
      <c r="E4723" t="s">
        <v>21331</v>
      </c>
      <c r="F4723" t="s">
        <v>29372</v>
      </c>
      <c r="G4723" t="s">
        <v>29380</v>
      </c>
      <c r="H4723" t="s">
        <v>29389</v>
      </c>
      <c r="I4723" t="s">
        <v>10408</v>
      </c>
      <c r="J4723" t="s">
        <v>32634</v>
      </c>
      <c r="K4723" t="s">
        <v>38496</v>
      </c>
      <c r="M4723" t="s">
        <v>40251</v>
      </c>
      <c r="N4723" t="s">
        <v>42669</v>
      </c>
      <c r="O4723" t="s">
        <v>42670</v>
      </c>
      <c r="P4723">
        <v>0</v>
      </c>
      <c r="Q4723">
        <v>0</v>
      </c>
      <c r="R4723" t="s">
        <v>42676</v>
      </c>
      <c r="S4723" t="s">
        <v>42809</v>
      </c>
      <c r="T4723" t="s">
        <v>44476</v>
      </c>
      <c r="U4723" t="s">
        <v>48027</v>
      </c>
      <c r="W4723" t="s">
        <v>40251</v>
      </c>
      <c r="X4723" t="s">
        <v>42677</v>
      </c>
    </row>
    <row r="4724" spans="1:24">
      <c r="A4724">
        <f>HYPERLINK("https://www.philgeps.gov.ph/GEPSNONPILOT/Tender/SplashBidNoticeAbstractUI.aspx?menuIndex=3&amp;refID=7188668&amp;Result=3","7188668")</f>
        <v>0</v>
      </c>
      <c r="B4724" t="s">
        <v>1698</v>
      </c>
      <c r="C4724" t="s">
        <v>8048</v>
      </c>
      <c r="D4724" t="s">
        <v>17170</v>
      </c>
      <c r="E4724" t="s">
        <v>21332</v>
      </c>
      <c r="F4724" t="s">
        <v>29372</v>
      </c>
      <c r="G4724" t="s">
        <v>29380</v>
      </c>
      <c r="H4724" t="s">
        <v>11048</v>
      </c>
      <c r="I4724" t="s">
        <v>9469</v>
      </c>
      <c r="J4724" t="s">
        <v>29822</v>
      </c>
      <c r="K4724" t="s">
        <v>38491</v>
      </c>
      <c r="M4724" t="s">
        <v>40560</v>
      </c>
      <c r="N4724" t="s">
        <v>42669</v>
      </c>
      <c r="O4724" t="s">
        <v>42670</v>
      </c>
      <c r="P4724">
        <v>0</v>
      </c>
      <c r="Q4724">
        <v>0</v>
      </c>
      <c r="R4724" t="s">
        <v>42676</v>
      </c>
      <c r="S4724" t="s">
        <v>42809</v>
      </c>
      <c r="T4724" t="s">
        <v>44382</v>
      </c>
      <c r="U4724" t="s">
        <v>48673</v>
      </c>
      <c r="W4724" t="s">
        <v>40560</v>
      </c>
      <c r="X4724" t="s">
        <v>42677</v>
      </c>
    </row>
    <row r="4725" spans="1:24">
      <c r="A4725">
        <f>HYPERLINK("https://www.philgeps.gov.ph/GEPSNONPILOT/Tender/SplashBidNoticeAbstractUI.aspx?menuIndex=3&amp;refID=7188653&amp;Result=3","7188653")</f>
        <v>0</v>
      </c>
      <c r="B4725" t="s">
        <v>1383</v>
      </c>
      <c r="C4725" t="s">
        <v>8049</v>
      </c>
      <c r="D4725" t="s">
        <v>17169</v>
      </c>
      <c r="E4725" t="s">
        <v>20592</v>
      </c>
      <c r="F4725" t="s">
        <v>29372</v>
      </c>
      <c r="G4725" t="s">
        <v>29380</v>
      </c>
      <c r="H4725" t="s">
        <v>29389</v>
      </c>
      <c r="I4725" t="s">
        <v>10408</v>
      </c>
      <c r="J4725" t="s">
        <v>32635</v>
      </c>
      <c r="K4725" t="s">
        <v>38540</v>
      </c>
      <c r="M4725" t="s">
        <v>40220</v>
      </c>
      <c r="N4725" t="s">
        <v>42669</v>
      </c>
      <c r="O4725" t="s">
        <v>42670</v>
      </c>
      <c r="P4725">
        <v>0</v>
      </c>
      <c r="Q4725">
        <v>1</v>
      </c>
      <c r="R4725" t="s">
        <v>42676</v>
      </c>
      <c r="S4725" t="s">
        <v>42809</v>
      </c>
      <c r="T4725" t="s">
        <v>44587</v>
      </c>
      <c r="U4725" t="s">
        <v>47960</v>
      </c>
      <c r="V4725" t="s">
        <v>56891</v>
      </c>
      <c r="W4725" t="s">
        <v>40220</v>
      </c>
      <c r="X4725" t="s">
        <v>42677</v>
      </c>
    </row>
    <row r="4726" spans="1:24">
      <c r="A4726">
        <f>HYPERLINK("https://www.philgeps.gov.ph/GEPSNONPILOT/Tender/SplashBidNoticeAbstractUI.aspx?menuIndex=3&amp;refID=7188650&amp;Result=3","7188650")</f>
        <v>0</v>
      </c>
      <c r="B4726" t="s">
        <v>1676</v>
      </c>
      <c r="C4726" t="s">
        <v>8050</v>
      </c>
      <c r="D4726" t="s">
        <v>17155</v>
      </c>
      <c r="E4726" t="s">
        <v>21333</v>
      </c>
      <c r="F4726" t="s">
        <v>29372</v>
      </c>
      <c r="G4726" t="s">
        <v>29379</v>
      </c>
      <c r="H4726" t="s">
        <v>11048</v>
      </c>
      <c r="I4726" t="s">
        <v>29423</v>
      </c>
      <c r="J4726" t="s">
        <v>29708</v>
      </c>
      <c r="K4726" t="s">
        <v>38488</v>
      </c>
      <c r="M4726" t="s">
        <v>40536</v>
      </c>
      <c r="N4726" t="s">
        <v>42669</v>
      </c>
      <c r="O4726" t="s">
        <v>42670</v>
      </c>
      <c r="P4726">
        <v>0</v>
      </c>
      <c r="Q4726">
        <v>0</v>
      </c>
      <c r="R4726" t="s">
        <v>42676</v>
      </c>
      <c r="S4726" t="s">
        <v>42809</v>
      </c>
      <c r="T4726" t="s">
        <v>44432</v>
      </c>
      <c r="U4726" t="s">
        <v>48674</v>
      </c>
      <c r="W4726" t="s">
        <v>40536</v>
      </c>
      <c r="X4726" t="s">
        <v>42677</v>
      </c>
    </row>
    <row r="4727" spans="1:24">
      <c r="A4727">
        <f>HYPERLINK("https://www.philgeps.gov.ph/GEPSNONPILOT/Tender/SplashBidNoticeAbstractUI.aspx?menuIndex=3&amp;refID=7188649&amp;Result=3","7188649")</f>
        <v>0</v>
      </c>
      <c r="B4727" t="s">
        <v>1665</v>
      </c>
      <c r="C4727" t="s">
        <v>8051</v>
      </c>
      <c r="D4727" t="s">
        <v>17147</v>
      </c>
      <c r="E4727" t="s">
        <v>21334</v>
      </c>
      <c r="F4727" t="s">
        <v>29372</v>
      </c>
      <c r="G4727" t="s">
        <v>29380</v>
      </c>
      <c r="H4727" t="s">
        <v>29389</v>
      </c>
      <c r="I4727" t="s">
        <v>10408</v>
      </c>
      <c r="J4727" t="s">
        <v>32636</v>
      </c>
      <c r="K4727" t="s">
        <v>38522</v>
      </c>
      <c r="M4727" t="s">
        <v>40524</v>
      </c>
      <c r="N4727" t="s">
        <v>42669</v>
      </c>
      <c r="O4727" t="s">
        <v>42670</v>
      </c>
      <c r="P4727">
        <v>0</v>
      </c>
      <c r="Q4727">
        <v>0</v>
      </c>
      <c r="R4727" t="s">
        <v>42676</v>
      </c>
      <c r="S4727" t="s">
        <v>42809</v>
      </c>
      <c r="T4727" t="s">
        <v>44476</v>
      </c>
      <c r="U4727" t="s">
        <v>48675</v>
      </c>
      <c r="V4727" t="s">
        <v>56870</v>
      </c>
      <c r="W4727" t="s">
        <v>40524</v>
      </c>
      <c r="X4727" t="s">
        <v>42677</v>
      </c>
    </row>
    <row r="4728" spans="1:24">
      <c r="A4728">
        <f>HYPERLINK("https://www.philgeps.gov.ph/GEPSNONPILOT/Tender/SplashBidNoticeAbstractUI.aspx?menuIndex=3&amp;refID=7188672&amp;Result=3","7188672")</f>
        <v>0</v>
      </c>
      <c r="B4728" t="s">
        <v>1383</v>
      </c>
      <c r="C4728" t="s">
        <v>8052</v>
      </c>
      <c r="D4728" t="s">
        <v>17169</v>
      </c>
      <c r="E4728" t="s">
        <v>20592</v>
      </c>
      <c r="F4728" t="s">
        <v>29372</v>
      </c>
      <c r="G4728" t="s">
        <v>29380</v>
      </c>
      <c r="H4728" t="s">
        <v>29389</v>
      </c>
      <c r="I4728" t="s">
        <v>10408</v>
      </c>
      <c r="J4728" t="s">
        <v>32637</v>
      </c>
      <c r="K4728" t="s">
        <v>38522</v>
      </c>
      <c r="M4728" t="s">
        <v>40220</v>
      </c>
      <c r="N4728" t="s">
        <v>42669</v>
      </c>
      <c r="O4728" t="s">
        <v>42670</v>
      </c>
      <c r="P4728">
        <v>0</v>
      </c>
      <c r="Q4728">
        <v>1</v>
      </c>
      <c r="R4728" t="s">
        <v>42676</v>
      </c>
      <c r="S4728" t="s">
        <v>42809</v>
      </c>
      <c r="T4728" t="s">
        <v>44587</v>
      </c>
      <c r="U4728" t="s">
        <v>47960</v>
      </c>
      <c r="V4728" t="s">
        <v>56892</v>
      </c>
      <c r="W4728" t="s">
        <v>40220</v>
      </c>
      <c r="X4728" t="s">
        <v>42677</v>
      </c>
    </row>
    <row r="4729" spans="1:24">
      <c r="A4729">
        <f>HYPERLINK("https://www.philgeps.gov.ph/GEPSNONPILOT/Tender/SplashBidNoticeAbstractUI.aspx?menuIndex=3&amp;refID=7188642&amp;Result=3","7188642")</f>
        <v>0</v>
      </c>
      <c r="B4729" t="s">
        <v>1699</v>
      </c>
      <c r="C4729" t="s">
        <v>8053</v>
      </c>
      <c r="D4729" t="s">
        <v>17180</v>
      </c>
      <c r="E4729" t="s">
        <v>21335</v>
      </c>
      <c r="F4729" t="s">
        <v>29372</v>
      </c>
      <c r="G4729" t="s">
        <v>29379</v>
      </c>
      <c r="H4729" t="s">
        <v>11048</v>
      </c>
      <c r="I4729" t="s">
        <v>3839</v>
      </c>
      <c r="J4729" t="s">
        <v>29595</v>
      </c>
      <c r="K4729" t="s">
        <v>38510</v>
      </c>
      <c r="M4729" t="s">
        <v>40561</v>
      </c>
      <c r="N4729" t="s">
        <v>42669</v>
      </c>
      <c r="O4729" t="s">
        <v>42670</v>
      </c>
      <c r="P4729">
        <v>0</v>
      </c>
      <c r="Q4729">
        <v>2</v>
      </c>
      <c r="R4729" t="s">
        <v>42676</v>
      </c>
      <c r="S4729" t="s">
        <v>42809</v>
      </c>
      <c r="T4729" t="s">
        <v>44454</v>
      </c>
      <c r="U4729" t="s">
        <v>48676</v>
      </c>
      <c r="W4729" t="s">
        <v>40561</v>
      </c>
      <c r="X4729" t="s">
        <v>42677</v>
      </c>
    </row>
    <row r="4730" spans="1:24">
      <c r="A4730">
        <f>HYPERLINK("https://www.philgeps.gov.ph/GEPSNONPILOT/Tender/SplashBidNoticeAbstractUI.aspx?menuIndex=3&amp;refID=7188651&amp;Result=3","7188651")</f>
        <v>0</v>
      </c>
      <c r="B4730" t="s">
        <v>1700</v>
      </c>
      <c r="C4730" t="s">
        <v>8054</v>
      </c>
      <c r="D4730" t="s">
        <v>17189</v>
      </c>
      <c r="E4730" t="s">
        <v>21336</v>
      </c>
      <c r="F4730" t="s">
        <v>29373</v>
      </c>
      <c r="G4730" t="s">
        <v>29383</v>
      </c>
      <c r="H4730" t="s">
        <v>11048</v>
      </c>
      <c r="I4730" t="s">
        <v>3670</v>
      </c>
      <c r="J4730" t="s">
        <v>29549</v>
      </c>
      <c r="K4730" t="s">
        <v>38528</v>
      </c>
      <c r="M4730" t="s">
        <v>40562</v>
      </c>
      <c r="N4730" t="s">
        <v>42669</v>
      </c>
      <c r="O4730" t="s">
        <v>42670</v>
      </c>
      <c r="P4730">
        <v>0</v>
      </c>
      <c r="Q4730">
        <v>0</v>
      </c>
      <c r="R4730" t="s">
        <v>42676</v>
      </c>
      <c r="S4730" t="s">
        <v>42809</v>
      </c>
      <c r="T4730" t="s">
        <v>44378</v>
      </c>
      <c r="U4730" t="s">
        <v>48677</v>
      </c>
      <c r="W4730" t="s">
        <v>40562</v>
      </c>
      <c r="X4730" t="s">
        <v>42677</v>
      </c>
    </row>
    <row r="4731" spans="1:24">
      <c r="A4731">
        <f>HYPERLINK("https://www.philgeps.gov.ph/GEPSNONPILOT/Tender/SplashBidNoticeAbstractUI.aspx?menuIndex=3&amp;refID=7188670&amp;Result=3","7188670")</f>
        <v>0</v>
      </c>
      <c r="B4731" t="s">
        <v>1638</v>
      </c>
      <c r="C4731" t="s">
        <v>8055</v>
      </c>
      <c r="D4731" t="s">
        <v>17213</v>
      </c>
      <c r="E4731" t="s">
        <v>21337</v>
      </c>
      <c r="F4731" t="s">
        <v>29372</v>
      </c>
      <c r="G4731" t="s">
        <v>29383</v>
      </c>
      <c r="H4731" t="s">
        <v>11048</v>
      </c>
      <c r="I4731" t="s">
        <v>29433</v>
      </c>
      <c r="J4731" t="s">
        <v>29555</v>
      </c>
      <c r="K4731" t="s">
        <v>38490</v>
      </c>
      <c r="M4731" t="s">
        <v>40494</v>
      </c>
      <c r="N4731" t="s">
        <v>42669</v>
      </c>
      <c r="O4731" t="s">
        <v>42670</v>
      </c>
      <c r="P4731">
        <v>0</v>
      </c>
      <c r="Q4731">
        <v>10</v>
      </c>
      <c r="R4731" t="s">
        <v>42676</v>
      </c>
      <c r="S4731" t="s">
        <v>42809</v>
      </c>
      <c r="T4731" t="s">
        <v>44470</v>
      </c>
      <c r="U4731" t="s">
        <v>48678</v>
      </c>
      <c r="W4731" t="s">
        <v>58050</v>
      </c>
      <c r="X4731" t="s">
        <v>42677</v>
      </c>
    </row>
    <row r="4732" spans="1:24">
      <c r="A4732">
        <f>HYPERLINK("https://www.philgeps.gov.ph/GEPSNONPILOT/Tender/SplashBidNoticeAbstractUI.aspx?menuIndex=3&amp;refID=7188688&amp;Result=3","7188688")</f>
        <v>0</v>
      </c>
      <c r="B4732" t="s">
        <v>1701</v>
      </c>
      <c r="C4732" t="s">
        <v>8056</v>
      </c>
      <c r="D4732" t="s">
        <v>17141</v>
      </c>
      <c r="E4732" t="s">
        <v>21338</v>
      </c>
      <c r="F4732" t="s">
        <v>29372</v>
      </c>
      <c r="G4732" t="s">
        <v>29379</v>
      </c>
      <c r="H4732" t="s">
        <v>11048</v>
      </c>
      <c r="I4732" t="s">
        <v>8614</v>
      </c>
      <c r="J4732" t="s">
        <v>29590</v>
      </c>
      <c r="K4732" t="s">
        <v>38567</v>
      </c>
      <c r="M4732" t="s">
        <v>40563</v>
      </c>
      <c r="N4732" t="s">
        <v>42669</v>
      </c>
      <c r="O4732" t="s">
        <v>42670</v>
      </c>
      <c r="P4732">
        <v>0</v>
      </c>
      <c r="Q4732">
        <v>5</v>
      </c>
      <c r="R4732" t="s">
        <v>42676</v>
      </c>
      <c r="S4732" t="s">
        <v>42809</v>
      </c>
      <c r="T4732" t="s">
        <v>44462</v>
      </c>
      <c r="U4732" t="s">
        <v>48679</v>
      </c>
      <c r="V4732" t="s">
        <v>56893</v>
      </c>
      <c r="W4732" t="s">
        <v>40563</v>
      </c>
      <c r="X4732" t="s">
        <v>42677</v>
      </c>
    </row>
    <row r="4733" spans="1:24">
      <c r="A4733">
        <f>HYPERLINK("https://www.philgeps.gov.ph/GEPSNONPILOT/Tender/SplashBidNoticeAbstractUI.aspx?menuIndex=3&amp;refID=7188669&amp;Result=3","7188669")</f>
        <v>0</v>
      </c>
      <c r="B4733" t="s">
        <v>717</v>
      </c>
      <c r="C4733" t="s">
        <v>8057</v>
      </c>
      <c r="D4733" t="s">
        <v>17171</v>
      </c>
      <c r="E4733" t="s">
        <v>21339</v>
      </c>
      <c r="F4733" t="s">
        <v>29372</v>
      </c>
      <c r="G4733" t="s">
        <v>29379</v>
      </c>
      <c r="H4733" t="s">
        <v>11048</v>
      </c>
      <c r="I4733" t="s">
        <v>4709</v>
      </c>
      <c r="J4733" t="s">
        <v>32638</v>
      </c>
      <c r="K4733" t="s">
        <v>38490</v>
      </c>
      <c r="M4733" t="s">
        <v>39496</v>
      </c>
      <c r="N4733" t="s">
        <v>42669</v>
      </c>
      <c r="O4733" t="s">
        <v>42670</v>
      </c>
      <c r="P4733">
        <v>0</v>
      </c>
      <c r="Q4733">
        <v>0</v>
      </c>
      <c r="R4733" t="s">
        <v>42676</v>
      </c>
      <c r="S4733" t="s">
        <v>42809</v>
      </c>
      <c r="T4733" t="s">
        <v>44433</v>
      </c>
      <c r="U4733" t="s">
        <v>48631</v>
      </c>
      <c r="W4733" t="s">
        <v>39496</v>
      </c>
      <c r="X4733" t="s">
        <v>42677</v>
      </c>
    </row>
    <row r="4734" spans="1:24">
      <c r="A4734">
        <f>HYPERLINK("https://www.philgeps.gov.ph/GEPSNONPILOT/Tender/SplashBidNoticeAbstractUI.aspx?menuIndex=3&amp;refID=7188644&amp;Result=3","7188644")</f>
        <v>0</v>
      </c>
      <c r="B4734" t="s">
        <v>1702</v>
      </c>
      <c r="C4734" t="s">
        <v>8058</v>
      </c>
      <c r="D4734" t="s">
        <v>17170</v>
      </c>
      <c r="E4734" t="s">
        <v>17533</v>
      </c>
      <c r="F4734" t="s">
        <v>29372</v>
      </c>
      <c r="G4734" t="s">
        <v>29380</v>
      </c>
      <c r="H4734" t="s">
        <v>11048</v>
      </c>
      <c r="I4734" t="s">
        <v>29417</v>
      </c>
      <c r="J4734" t="s">
        <v>31666</v>
      </c>
      <c r="K4734" t="s">
        <v>38490</v>
      </c>
      <c r="M4734" t="s">
        <v>40564</v>
      </c>
      <c r="N4734" t="s">
        <v>42669</v>
      </c>
      <c r="O4734" t="s">
        <v>42670</v>
      </c>
      <c r="P4734">
        <v>0</v>
      </c>
      <c r="Q4734">
        <v>1</v>
      </c>
      <c r="R4734" t="s">
        <v>42676</v>
      </c>
      <c r="S4734" t="s">
        <v>42809</v>
      </c>
      <c r="T4734" t="s">
        <v>44568</v>
      </c>
      <c r="U4734" t="s">
        <v>48680</v>
      </c>
      <c r="W4734" t="s">
        <v>40564</v>
      </c>
      <c r="X4734" t="s">
        <v>42677</v>
      </c>
    </row>
    <row r="4735" spans="1:24">
      <c r="A4735">
        <f>HYPERLINK("https://www.philgeps.gov.ph/GEPSNONPILOT/Tender/SplashBidNoticeAbstractUI.aspx?menuIndex=3&amp;refID=7188671&amp;Result=3","7188671")</f>
        <v>0</v>
      </c>
      <c r="B4735" t="s">
        <v>1675</v>
      </c>
      <c r="C4735" t="s">
        <v>8059</v>
      </c>
      <c r="D4735" t="s">
        <v>17160</v>
      </c>
      <c r="E4735" t="s">
        <v>21340</v>
      </c>
      <c r="F4735" t="s">
        <v>29372</v>
      </c>
      <c r="G4735" t="s">
        <v>29380</v>
      </c>
      <c r="H4735" t="s">
        <v>11048</v>
      </c>
      <c r="I4735" t="s">
        <v>29447</v>
      </c>
      <c r="J4735" t="s">
        <v>30161</v>
      </c>
      <c r="K4735" t="s">
        <v>38491</v>
      </c>
      <c r="M4735" t="s">
        <v>40534</v>
      </c>
      <c r="N4735" t="s">
        <v>42669</v>
      </c>
      <c r="O4735" t="s">
        <v>42670</v>
      </c>
      <c r="P4735">
        <v>0</v>
      </c>
      <c r="Q4735">
        <v>3</v>
      </c>
      <c r="R4735" t="s">
        <v>42676</v>
      </c>
      <c r="S4735" t="s">
        <v>42809</v>
      </c>
      <c r="T4735" t="s">
        <v>44382</v>
      </c>
      <c r="U4735" t="s">
        <v>48681</v>
      </c>
      <c r="W4735" t="s">
        <v>40534</v>
      </c>
      <c r="X4735" t="s">
        <v>42677</v>
      </c>
    </row>
    <row r="4736" spans="1:24">
      <c r="A4736">
        <f>HYPERLINK("https://www.philgeps.gov.ph/GEPSNONPILOT/Tender/SplashBidNoticeAbstractUI.aspx?menuIndex=3&amp;refID=7188667&amp;Result=3","7188667")</f>
        <v>0</v>
      </c>
      <c r="B4736" t="s">
        <v>1693</v>
      </c>
      <c r="C4736" t="s">
        <v>8060</v>
      </c>
      <c r="D4736" t="s">
        <v>17226</v>
      </c>
      <c r="E4736" t="s">
        <v>21341</v>
      </c>
      <c r="F4736" t="s">
        <v>29372</v>
      </c>
      <c r="G4736" t="s">
        <v>29381</v>
      </c>
      <c r="H4736" t="s">
        <v>11048</v>
      </c>
      <c r="I4736" t="s">
        <v>4709</v>
      </c>
      <c r="J4736" t="s">
        <v>32639</v>
      </c>
      <c r="K4736" t="s">
        <v>38488</v>
      </c>
      <c r="M4736" t="s">
        <v>40555</v>
      </c>
      <c r="N4736" t="s">
        <v>42669</v>
      </c>
      <c r="O4736" t="s">
        <v>42670</v>
      </c>
      <c r="P4736">
        <v>0</v>
      </c>
      <c r="Q4736">
        <v>0</v>
      </c>
      <c r="R4736" t="s">
        <v>42676</v>
      </c>
      <c r="S4736" t="s">
        <v>42809</v>
      </c>
      <c r="T4736" t="s">
        <v>44481</v>
      </c>
      <c r="U4736" t="s">
        <v>48682</v>
      </c>
      <c r="W4736" t="s">
        <v>40555</v>
      </c>
      <c r="X4736" t="s">
        <v>42677</v>
      </c>
    </row>
    <row r="4737" spans="1:24">
      <c r="A4737">
        <f>HYPERLINK("https://www.philgeps.gov.ph/GEPSNONPILOT/Tender/SplashBidNoticeAbstractUI.aspx?menuIndex=3&amp;refID=7188693&amp;Result=3","7188693")</f>
        <v>0</v>
      </c>
      <c r="B4737" t="s">
        <v>1703</v>
      </c>
      <c r="C4737" t="s">
        <v>3816</v>
      </c>
      <c r="D4737" t="s">
        <v>17143</v>
      </c>
      <c r="E4737" t="s">
        <v>21342</v>
      </c>
      <c r="F4737" t="s">
        <v>29372</v>
      </c>
      <c r="G4737" t="s">
        <v>29380</v>
      </c>
      <c r="H4737" t="s">
        <v>11048</v>
      </c>
      <c r="I4737" t="s">
        <v>5383</v>
      </c>
      <c r="J4737" t="s">
        <v>32640</v>
      </c>
      <c r="K4737" t="s">
        <v>38488</v>
      </c>
      <c r="M4737" t="s">
        <v>40565</v>
      </c>
      <c r="N4737" t="s">
        <v>42669</v>
      </c>
      <c r="O4737" t="s">
        <v>42670</v>
      </c>
      <c r="P4737">
        <v>0</v>
      </c>
      <c r="Q4737">
        <v>2</v>
      </c>
      <c r="R4737" t="s">
        <v>42676</v>
      </c>
      <c r="S4737" t="s">
        <v>42809</v>
      </c>
      <c r="T4737" t="s">
        <v>44527</v>
      </c>
      <c r="U4737" t="s">
        <v>45402</v>
      </c>
      <c r="W4737" t="s">
        <v>40565</v>
      </c>
      <c r="X4737" t="s">
        <v>42677</v>
      </c>
    </row>
    <row r="4738" spans="1:24">
      <c r="A4738">
        <f>HYPERLINK("https://www.philgeps.gov.ph/GEPSNONPILOT/Tender/SplashBidNoticeAbstractUI.aspx?menuIndex=3&amp;refID=7188692&amp;Result=3","7188692")</f>
        <v>0</v>
      </c>
      <c r="B4738" t="s">
        <v>1704</v>
      </c>
      <c r="C4738" t="s">
        <v>8061</v>
      </c>
      <c r="D4738" t="s">
        <v>17203</v>
      </c>
      <c r="E4738" t="s">
        <v>21343</v>
      </c>
      <c r="F4738" t="s">
        <v>29372</v>
      </c>
      <c r="G4738" t="s">
        <v>29380</v>
      </c>
      <c r="H4738" t="s">
        <v>11048</v>
      </c>
      <c r="I4738" t="s">
        <v>5383</v>
      </c>
      <c r="J4738" t="s">
        <v>32641</v>
      </c>
      <c r="K4738" t="s">
        <v>38491</v>
      </c>
      <c r="M4738" t="s">
        <v>40566</v>
      </c>
      <c r="N4738" t="s">
        <v>42669</v>
      </c>
      <c r="O4738" t="s">
        <v>42670</v>
      </c>
      <c r="P4738">
        <v>0</v>
      </c>
      <c r="Q4738">
        <v>0</v>
      </c>
      <c r="R4738" t="s">
        <v>42676</v>
      </c>
      <c r="S4738" t="s">
        <v>42809</v>
      </c>
      <c r="T4738" t="s">
        <v>44480</v>
      </c>
      <c r="U4738" t="s">
        <v>48683</v>
      </c>
      <c r="W4738" t="s">
        <v>40566</v>
      </c>
      <c r="X4738" t="s">
        <v>42677</v>
      </c>
    </row>
    <row r="4739" spans="1:24">
      <c r="A4739">
        <f>HYPERLINK("https://www.philgeps.gov.ph/GEPSNONPILOT/Tender/SplashBidNoticeAbstractUI.aspx?menuIndex=3&amp;refID=7188687&amp;Result=3","7188687")</f>
        <v>0</v>
      </c>
      <c r="B4739" t="s">
        <v>1705</v>
      </c>
      <c r="C4739" t="s">
        <v>8062</v>
      </c>
      <c r="D4739" t="s">
        <v>17192</v>
      </c>
      <c r="E4739" t="s">
        <v>20137</v>
      </c>
      <c r="F4739" t="s">
        <v>29372</v>
      </c>
      <c r="G4739" t="s">
        <v>29380</v>
      </c>
      <c r="H4739" t="s">
        <v>29389</v>
      </c>
      <c r="I4739" t="s">
        <v>10408</v>
      </c>
      <c r="J4739" t="s">
        <v>29587</v>
      </c>
      <c r="K4739" t="s">
        <v>38504</v>
      </c>
      <c r="M4739" t="s">
        <v>40567</v>
      </c>
      <c r="N4739" t="s">
        <v>42669</v>
      </c>
      <c r="O4739" t="s">
        <v>42670</v>
      </c>
      <c r="P4739">
        <v>0</v>
      </c>
      <c r="Q4739">
        <v>0</v>
      </c>
      <c r="R4739" t="s">
        <v>42676</v>
      </c>
      <c r="S4739" t="s">
        <v>42809</v>
      </c>
      <c r="T4739" t="s">
        <v>44378</v>
      </c>
      <c r="U4739" t="s">
        <v>47751</v>
      </c>
      <c r="V4739" t="s">
        <v>56894</v>
      </c>
      <c r="W4739" t="s">
        <v>40567</v>
      </c>
      <c r="X4739" t="s">
        <v>42677</v>
      </c>
    </row>
    <row r="4740" spans="1:24">
      <c r="A4740">
        <f>HYPERLINK("https://www.philgeps.gov.ph/GEPSNONPILOT/Tender/SplashBidNoticeAbstractUI.aspx?menuIndex=3&amp;refID=7188684&amp;Result=3","7188684")</f>
        <v>0</v>
      </c>
      <c r="B4740" t="s">
        <v>869</v>
      </c>
      <c r="C4740" t="s">
        <v>8063</v>
      </c>
      <c r="D4740" t="s">
        <v>17142</v>
      </c>
      <c r="E4740" t="s">
        <v>21344</v>
      </c>
      <c r="F4740" t="s">
        <v>29372</v>
      </c>
      <c r="G4740" t="s">
        <v>29380</v>
      </c>
      <c r="H4740" t="s">
        <v>11048</v>
      </c>
      <c r="I4740" t="s">
        <v>3670</v>
      </c>
      <c r="J4740" t="s">
        <v>32642</v>
      </c>
      <c r="K4740" t="s">
        <v>38485</v>
      </c>
      <c r="M4740" t="s">
        <v>40568</v>
      </c>
      <c r="N4740" t="s">
        <v>42669</v>
      </c>
      <c r="O4740" t="s">
        <v>42670</v>
      </c>
      <c r="P4740">
        <v>0</v>
      </c>
      <c r="Q4740">
        <v>9</v>
      </c>
      <c r="R4740" t="s">
        <v>42676</v>
      </c>
      <c r="S4740" t="s">
        <v>42809</v>
      </c>
      <c r="T4740" t="s">
        <v>44495</v>
      </c>
      <c r="U4740" t="s">
        <v>48684</v>
      </c>
      <c r="W4740" t="s">
        <v>40568</v>
      </c>
      <c r="X4740" t="s">
        <v>42677</v>
      </c>
    </row>
    <row r="4741" spans="1:24">
      <c r="A4741">
        <f>HYPERLINK("https://www.philgeps.gov.ph/GEPSNONPILOT/Tender/SplashBidNoticeAbstractUI.aspx?menuIndex=3&amp;refID=7188655&amp;Result=3","7188655")</f>
        <v>0</v>
      </c>
      <c r="B4741" t="s">
        <v>1688</v>
      </c>
      <c r="C4741" t="s">
        <v>8064</v>
      </c>
      <c r="D4741" t="s">
        <v>17174</v>
      </c>
      <c r="E4741" t="s">
        <v>21345</v>
      </c>
      <c r="F4741" t="s">
        <v>29372</v>
      </c>
      <c r="G4741" t="s">
        <v>29382</v>
      </c>
      <c r="H4741" t="s">
        <v>11048</v>
      </c>
      <c r="I4741" t="s">
        <v>4487</v>
      </c>
      <c r="J4741" t="s">
        <v>32643</v>
      </c>
      <c r="K4741" t="s">
        <v>38510</v>
      </c>
      <c r="M4741" t="s">
        <v>40549</v>
      </c>
      <c r="N4741" t="s">
        <v>42669</v>
      </c>
      <c r="O4741" t="s">
        <v>42670</v>
      </c>
      <c r="P4741">
        <v>0</v>
      </c>
      <c r="Q4741">
        <v>0</v>
      </c>
      <c r="R4741" t="s">
        <v>42676</v>
      </c>
      <c r="S4741" t="s">
        <v>42809</v>
      </c>
      <c r="T4741" t="s">
        <v>44371</v>
      </c>
      <c r="U4741" t="s">
        <v>48650</v>
      </c>
      <c r="W4741" t="s">
        <v>40549</v>
      </c>
      <c r="X4741" t="s">
        <v>42677</v>
      </c>
    </row>
    <row r="4742" spans="1:24">
      <c r="A4742">
        <f>HYPERLINK("https://www.philgeps.gov.ph/GEPSNONPILOT/Tender/SplashBidNoticeAbstractUI.aspx?menuIndex=3&amp;refID=7188685&amp;Result=3","7188685")</f>
        <v>0</v>
      </c>
      <c r="B4742" t="s">
        <v>886</v>
      </c>
      <c r="C4742" t="s">
        <v>8065</v>
      </c>
      <c r="D4742" t="s">
        <v>17189</v>
      </c>
      <c r="E4742" t="s">
        <v>21346</v>
      </c>
      <c r="F4742" t="s">
        <v>29372</v>
      </c>
      <c r="G4742" t="s">
        <v>29379</v>
      </c>
      <c r="H4742" t="s">
        <v>11048</v>
      </c>
      <c r="I4742" t="s">
        <v>29409</v>
      </c>
      <c r="J4742" t="s">
        <v>32644</v>
      </c>
      <c r="K4742" t="s">
        <v>38489</v>
      </c>
      <c r="M4742" t="s">
        <v>39678</v>
      </c>
      <c r="N4742" t="s">
        <v>42669</v>
      </c>
      <c r="O4742" t="s">
        <v>42670</v>
      </c>
      <c r="P4742">
        <v>0</v>
      </c>
      <c r="Q4742">
        <v>1</v>
      </c>
      <c r="R4742" t="s">
        <v>42676</v>
      </c>
      <c r="S4742" t="s">
        <v>42809</v>
      </c>
      <c r="T4742" t="s">
        <v>44493</v>
      </c>
      <c r="U4742" t="s">
        <v>46659</v>
      </c>
      <c r="W4742" t="s">
        <v>39678</v>
      </c>
      <c r="X4742" t="s">
        <v>42677</v>
      </c>
    </row>
    <row r="4743" spans="1:24">
      <c r="A4743">
        <f>HYPERLINK("https://www.philgeps.gov.ph/GEPSNONPILOT/Tender/SplashBidNoticeAbstractUI.aspx?menuIndex=3&amp;refID=7188681&amp;Result=3","7188681")</f>
        <v>0</v>
      </c>
      <c r="B4743" t="s">
        <v>1706</v>
      </c>
      <c r="C4743" t="s">
        <v>8066</v>
      </c>
      <c r="E4743" t="s">
        <v>17533</v>
      </c>
      <c r="F4743" t="s">
        <v>29373</v>
      </c>
      <c r="G4743" t="s">
        <v>29379</v>
      </c>
      <c r="H4743" t="s">
        <v>11048</v>
      </c>
      <c r="I4743" t="s">
        <v>4487</v>
      </c>
      <c r="J4743" t="s">
        <v>30586</v>
      </c>
      <c r="K4743" t="s">
        <v>38490</v>
      </c>
      <c r="M4743" t="s">
        <v>40569</v>
      </c>
      <c r="N4743" t="s">
        <v>42669</v>
      </c>
      <c r="O4743" t="s">
        <v>42670</v>
      </c>
      <c r="P4743">
        <v>0</v>
      </c>
      <c r="Q4743">
        <v>1</v>
      </c>
      <c r="R4743" t="s">
        <v>42676</v>
      </c>
      <c r="S4743" t="s">
        <v>42809</v>
      </c>
      <c r="T4743" t="s">
        <v>44430</v>
      </c>
      <c r="U4743" t="s">
        <v>48685</v>
      </c>
      <c r="W4743" t="s">
        <v>40569</v>
      </c>
      <c r="X4743" t="s">
        <v>42677</v>
      </c>
    </row>
    <row r="4744" spans="1:24">
      <c r="A4744">
        <f>HYPERLINK("https://www.philgeps.gov.ph/GEPSNONPILOT/Tender/SplashBidNoticeAbstractUI.aspx?menuIndex=3&amp;refID=7188680&amp;Result=3","7188680")</f>
        <v>0</v>
      </c>
      <c r="B4744" t="s">
        <v>1698</v>
      </c>
      <c r="C4744" t="s">
        <v>8067</v>
      </c>
      <c r="D4744" t="s">
        <v>17170</v>
      </c>
      <c r="E4744" t="s">
        <v>21347</v>
      </c>
      <c r="F4744" t="s">
        <v>29372</v>
      </c>
      <c r="G4744" t="s">
        <v>29380</v>
      </c>
      <c r="H4744" t="s">
        <v>11048</v>
      </c>
      <c r="I4744" t="s">
        <v>9469</v>
      </c>
      <c r="J4744" t="s">
        <v>29625</v>
      </c>
      <c r="K4744" t="s">
        <v>38491</v>
      </c>
      <c r="M4744" t="s">
        <v>40560</v>
      </c>
      <c r="N4744" t="s">
        <v>42669</v>
      </c>
      <c r="O4744" t="s">
        <v>42670</v>
      </c>
      <c r="P4744">
        <v>0</v>
      </c>
      <c r="Q4744">
        <v>0</v>
      </c>
      <c r="R4744" t="s">
        <v>42676</v>
      </c>
      <c r="S4744" t="s">
        <v>42809</v>
      </c>
      <c r="T4744" t="s">
        <v>44382</v>
      </c>
      <c r="U4744" t="s">
        <v>48673</v>
      </c>
      <c r="W4744" t="s">
        <v>40560</v>
      </c>
      <c r="X4744" t="s">
        <v>42677</v>
      </c>
    </row>
    <row r="4745" spans="1:24">
      <c r="A4745">
        <f>HYPERLINK("https://www.philgeps.gov.ph/GEPSNONPILOT/Tender/SplashBidNoticeAbstractUI.aspx?menuIndex=3&amp;refID=7188691&amp;Result=3","7188691")</f>
        <v>0</v>
      </c>
      <c r="B4745" t="s">
        <v>1698</v>
      </c>
      <c r="C4745" t="s">
        <v>8068</v>
      </c>
      <c r="D4745" t="s">
        <v>17170</v>
      </c>
      <c r="E4745" t="s">
        <v>21348</v>
      </c>
      <c r="F4745" t="s">
        <v>29372</v>
      </c>
      <c r="G4745" t="s">
        <v>29380</v>
      </c>
      <c r="H4745" t="s">
        <v>11048</v>
      </c>
      <c r="I4745" t="s">
        <v>29400</v>
      </c>
      <c r="J4745" t="s">
        <v>32645</v>
      </c>
      <c r="K4745" t="s">
        <v>38491</v>
      </c>
      <c r="M4745" t="s">
        <v>40560</v>
      </c>
      <c r="N4745" t="s">
        <v>42669</v>
      </c>
      <c r="O4745" t="s">
        <v>42670</v>
      </c>
      <c r="P4745">
        <v>0</v>
      </c>
      <c r="Q4745">
        <v>4</v>
      </c>
      <c r="R4745" t="s">
        <v>42676</v>
      </c>
      <c r="S4745" t="s">
        <v>42809</v>
      </c>
      <c r="T4745" t="s">
        <v>44382</v>
      </c>
      <c r="U4745" t="s">
        <v>48673</v>
      </c>
      <c r="W4745" t="s">
        <v>40560</v>
      </c>
      <c r="X4745" t="s">
        <v>42677</v>
      </c>
    </row>
    <row r="4746" spans="1:24">
      <c r="A4746">
        <f>HYPERLINK("https://www.philgeps.gov.ph/GEPSNONPILOT/Tender/SplashBidNoticeAbstractUI.aspx?menuIndex=3&amp;refID=7188679&amp;Result=3","7188679")</f>
        <v>0</v>
      </c>
      <c r="B4746" t="s">
        <v>62</v>
      </c>
      <c r="C4746" t="s">
        <v>8069</v>
      </c>
      <c r="D4746" t="s">
        <v>17167</v>
      </c>
      <c r="E4746" t="s">
        <v>21349</v>
      </c>
      <c r="F4746" t="s">
        <v>29372</v>
      </c>
      <c r="G4746" t="s">
        <v>29379</v>
      </c>
      <c r="H4746" t="s">
        <v>11048</v>
      </c>
      <c r="I4746" t="s">
        <v>3695</v>
      </c>
      <c r="J4746" t="s">
        <v>32646</v>
      </c>
      <c r="K4746" t="s">
        <v>38488</v>
      </c>
      <c r="M4746" t="s">
        <v>38816</v>
      </c>
      <c r="N4746" t="s">
        <v>42669</v>
      </c>
      <c r="O4746" t="s">
        <v>42670</v>
      </c>
      <c r="P4746">
        <v>0</v>
      </c>
      <c r="Q4746">
        <v>0</v>
      </c>
      <c r="R4746" t="s">
        <v>42676</v>
      </c>
      <c r="S4746" t="s">
        <v>42809</v>
      </c>
      <c r="T4746" t="s">
        <v>44488</v>
      </c>
      <c r="U4746" t="s">
        <v>48686</v>
      </c>
      <c r="W4746" t="s">
        <v>38816</v>
      </c>
      <c r="X4746" t="s">
        <v>42677</v>
      </c>
    </row>
    <row r="4747" spans="1:24">
      <c r="A4747">
        <f>HYPERLINK("https://www.philgeps.gov.ph/GEPSNONPILOT/Tender/SplashBidNoticeAbstractUI.aspx?menuIndex=3&amp;refID=7188676&amp;Result=3","7188676")</f>
        <v>0</v>
      </c>
      <c r="B4747" t="s">
        <v>1707</v>
      </c>
      <c r="C4747" t="s">
        <v>8070</v>
      </c>
      <c r="D4747" t="s">
        <v>17143</v>
      </c>
      <c r="E4747" t="s">
        <v>21350</v>
      </c>
      <c r="F4747" t="s">
        <v>29372</v>
      </c>
      <c r="G4747" t="s">
        <v>29379</v>
      </c>
      <c r="H4747" t="s">
        <v>11048</v>
      </c>
      <c r="I4747" t="s">
        <v>8208</v>
      </c>
      <c r="J4747" t="s">
        <v>32647</v>
      </c>
      <c r="K4747" t="s">
        <v>38488</v>
      </c>
      <c r="M4747" t="s">
        <v>40570</v>
      </c>
      <c r="N4747" t="s">
        <v>42669</v>
      </c>
      <c r="O4747" t="s">
        <v>42670</v>
      </c>
      <c r="P4747">
        <v>0</v>
      </c>
      <c r="Q4747">
        <v>0</v>
      </c>
      <c r="R4747" t="s">
        <v>42676</v>
      </c>
      <c r="S4747" t="s">
        <v>42809</v>
      </c>
      <c r="T4747" t="s">
        <v>44394</v>
      </c>
      <c r="U4747" t="s">
        <v>48687</v>
      </c>
      <c r="W4747" t="s">
        <v>40570</v>
      </c>
      <c r="X4747" t="s">
        <v>42677</v>
      </c>
    </row>
    <row r="4748" spans="1:24">
      <c r="A4748">
        <f>HYPERLINK("https://www.philgeps.gov.ph/GEPSNONPILOT/Tender/SplashBidNoticeAbstractUI.aspx?menuIndex=3&amp;refID=7188674&amp;Result=3","7188674")</f>
        <v>0</v>
      </c>
      <c r="B4748" t="s">
        <v>1648</v>
      </c>
      <c r="C4748" t="s">
        <v>8071</v>
      </c>
      <c r="D4748" t="s">
        <v>17148</v>
      </c>
      <c r="E4748" t="s">
        <v>21351</v>
      </c>
      <c r="F4748" t="s">
        <v>29372</v>
      </c>
      <c r="G4748" t="s">
        <v>29380</v>
      </c>
      <c r="H4748" t="s">
        <v>29389</v>
      </c>
      <c r="I4748" t="s">
        <v>10408</v>
      </c>
      <c r="J4748" t="s">
        <v>32648</v>
      </c>
      <c r="K4748" t="s">
        <v>38515</v>
      </c>
      <c r="M4748" t="s">
        <v>40504</v>
      </c>
      <c r="N4748" t="s">
        <v>42669</v>
      </c>
      <c r="O4748" t="s">
        <v>42670</v>
      </c>
      <c r="P4748">
        <v>0</v>
      </c>
      <c r="Q4748">
        <v>13</v>
      </c>
      <c r="R4748" t="s">
        <v>42676</v>
      </c>
      <c r="S4748" t="s">
        <v>42809</v>
      </c>
      <c r="T4748" t="s">
        <v>44419</v>
      </c>
      <c r="U4748" t="s">
        <v>48688</v>
      </c>
      <c r="V4748" t="s">
        <v>56895</v>
      </c>
      <c r="W4748" t="s">
        <v>40504</v>
      </c>
      <c r="X4748" t="s">
        <v>42677</v>
      </c>
    </row>
    <row r="4749" spans="1:24">
      <c r="A4749">
        <f>HYPERLINK("https://www.philgeps.gov.ph/GEPSNONPILOT/Tender/SplashBidNoticeAbstractUI.aspx?menuIndex=3&amp;refID=7188673&amp;Result=3","7188673")</f>
        <v>0</v>
      </c>
      <c r="B4749" t="s">
        <v>1689</v>
      </c>
      <c r="C4749" t="s">
        <v>8072</v>
      </c>
      <c r="D4749" t="s">
        <v>17204</v>
      </c>
      <c r="E4749" t="s">
        <v>20907</v>
      </c>
      <c r="F4749" t="s">
        <v>29372</v>
      </c>
      <c r="G4749" t="s">
        <v>29380</v>
      </c>
      <c r="H4749" t="s">
        <v>11048</v>
      </c>
      <c r="I4749" t="s">
        <v>10408</v>
      </c>
      <c r="J4749" t="s">
        <v>30056</v>
      </c>
      <c r="K4749" t="s">
        <v>38496</v>
      </c>
      <c r="M4749" t="s">
        <v>40550</v>
      </c>
      <c r="N4749" t="s">
        <v>42669</v>
      </c>
      <c r="O4749" t="s">
        <v>42670</v>
      </c>
      <c r="P4749">
        <v>0</v>
      </c>
      <c r="Q4749">
        <v>0</v>
      </c>
      <c r="R4749" t="s">
        <v>42676</v>
      </c>
      <c r="S4749" t="s">
        <v>42809</v>
      </c>
      <c r="T4749" t="s">
        <v>44544</v>
      </c>
      <c r="U4749" t="s">
        <v>48689</v>
      </c>
      <c r="V4749" t="s">
        <v>56884</v>
      </c>
      <c r="W4749" t="s">
        <v>40550</v>
      </c>
      <c r="X4749" t="s">
        <v>42677</v>
      </c>
    </row>
    <row r="4750" spans="1:24">
      <c r="A4750">
        <f>HYPERLINK("https://www.philgeps.gov.ph/GEPSNONPILOT/Tender/SplashBidNoticeAbstractUI.aspx?menuIndex=3&amp;refID=7188694&amp;Result=3","7188694")</f>
        <v>0</v>
      </c>
      <c r="B4750" t="s">
        <v>1708</v>
      </c>
      <c r="C4750" t="s">
        <v>8073</v>
      </c>
      <c r="D4750" t="s">
        <v>17141</v>
      </c>
      <c r="E4750" t="s">
        <v>21352</v>
      </c>
      <c r="F4750" t="s">
        <v>29372</v>
      </c>
      <c r="G4750" t="s">
        <v>29379</v>
      </c>
      <c r="H4750" t="s">
        <v>11048</v>
      </c>
      <c r="I4750" t="s">
        <v>29449</v>
      </c>
      <c r="J4750" t="s">
        <v>29751</v>
      </c>
      <c r="K4750" t="s">
        <v>38491</v>
      </c>
      <c r="M4750" t="s">
        <v>40571</v>
      </c>
      <c r="N4750" t="s">
        <v>42669</v>
      </c>
      <c r="O4750" t="s">
        <v>42670</v>
      </c>
      <c r="P4750">
        <v>0</v>
      </c>
      <c r="Q4750">
        <v>9</v>
      </c>
      <c r="R4750" t="s">
        <v>42676</v>
      </c>
      <c r="S4750" t="s">
        <v>42809</v>
      </c>
      <c r="T4750" t="s">
        <v>44429</v>
      </c>
      <c r="U4750" t="s">
        <v>48690</v>
      </c>
      <c r="W4750" t="s">
        <v>40571</v>
      </c>
      <c r="X4750" t="s">
        <v>42677</v>
      </c>
    </row>
    <row r="4751" spans="1:24">
      <c r="A4751">
        <f>HYPERLINK("https://www.philgeps.gov.ph/GEPSNONPILOT/Tender/SplashBidNoticeAbstractUI.aspx?menuIndex=3&amp;refID=7188712&amp;Result=3","7188712")</f>
        <v>0</v>
      </c>
      <c r="B4751" t="s">
        <v>1709</v>
      </c>
      <c r="C4751" t="s">
        <v>8074</v>
      </c>
      <c r="D4751" t="s">
        <v>17202</v>
      </c>
      <c r="E4751" t="s">
        <v>21353</v>
      </c>
      <c r="F4751" t="s">
        <v>29372</v>
      </c>
      <c r="G4751" t="s">
        <v>29380</v>
      </c>
      <c r="H4751" t="s">
        <v>29389</v>
      </c>
      <c r="I4751" t="s">
        <v>10408</v>
      </c>
      <c r="J4751" t="s">
        <v>32649</v>
      </c>
      <c r="K4751" t="s">
        <v>38522</v>
      </c>
      <c r="M4751" t="s">
        <v>40572</v>
      </c>
      <c r="N4751" t="s">
        <v>42669</v>
      </c>
      <c r="O4751" t="s">
        <v>42670</v>
      </c>
      <c r="P4751">
        <v>0</v>
      </c>
      <c r="Q4751">
        <v>1</v>
      </c>
      <c r="R4751" t="s">
        <v>42676</v>
      </c>
      <c r="S4751" t="s">
        <v>42809</v>
      </c>
      <c r="T4751" t="s">
        <v>44450</v>
      </c>
      <c r="U4751" t="s">
        <v>48691</v>
      </c>
      <c r="W4751" t="s">
        <v>40572</v>
      </c>
      <c r="X4751" t="s">
        <v>42677</v>
      </c>
    </row>
    <row r="4752" spans="1:24">
      <c r="A4752">
        <f>HYPERLINK("https://www.philgeps.gov.ph/GEPSNONPILOT/Tender/SplashBidNoticeAbstractUI.aspx?menuIndex=3&amp;refID=7188682&amp;Result=3","7188682")</f>
        <v>0</v>
      </c>
      <c r="B4752" t="s">
        <v>1710</v>
      </c>
      <c r="C4752" t="s">
        <v>8075</v>
      </c>
      <c r="E4752" t="s">
        <v>21354</v>
      </c>
      <c r="F4752" t="s">
        <v>29372</v>
      </c>
      <c r="G4752" t="s">
        <v>29382</v>
      </c>
      <c r="H4752" t="s">
        <v>11048</v>
      </c>
      <c r="I4752" t="s">
        <v>4487</v>
      </c>
      <c r="J4752" t="s">
        <v>32650</v>
      </c>
      <c r="K4752" t="s">
        <v>38488</v>
      </c>
      <c r="M4752" t="s">
        <v>40573</v>
      </c>
      <c r="N4752" t="s">
        <v>42669</v>
      </c>
      <c r="O4752" t="s">
        <v>42670</v>
      </c>
      <c r="P4752">
        <v>0</v>
      </c>
      <c r="Q4752">
        <v>1</v>
      </c>
      <c r="R4752" t="s">
        <v>42676</v>
      </c>
      <c r="S4752" t="s">
        <v>42809</v>
      </c>
      <c r="T4752" t="s">
        <v>44429</v>
      </c>
      <c r="U4752" t="s">
        <v>48692</v>
      </c>
      <c r="W4752" t="s">
        <v>40573</v>
      </c>
      <c r="X4752" t="s">
        <v>42677</v>
      </c>
    </row>
    <row r="4753" spans="1:24">
      <c r="A4753">
        <f>HYPERLINK("https://www.philgeps.gov.ph/GEPSNONPILOT/Tender/SplashBidNoticeAbstractUI.aspx?menuIndex=3&amp;refID=7188710&amp;Result=3","7188710")</f>
        <v>0</v>
      </c>
      <c r="B4753" t="s">
        <v>1698</v>
      </c>
      <c r="C4753" t="s">
        <v>3950</v>
      </c>
      <c r="D4753" t="s">
        <v>17170</v>
      </c>
      <c r="E4753" t="s">
        <v>21355</v>
      </c>
      <c r="F4753" t="s">
        <v>29372</v>
      </c>
      <c r="G4753" t="s">
        <v>29380</v>
      </c>
      <c r="H4753" t="s">
        <v>11048</v>
      </c>
      <c r="I4753" t="s">
        <v>29400</v>
      </c>
      <c r="J4753" t="s">
        <v>32651</v>
      </c>
      <c r="K4753" t="s">
        <v>38491</v>
      </c>
      <c r="M4753" t="s">
        <v>40560</v>
      </c>
      <c r="N4753" t="s">
        <v>42669</v>
      </c>
      <c r="O4753" t="s">
        <v>42670</v>
      </c>
      <c r="P4753">
        <v>0</v>
      </c>
      <c r="Q4753">
        <v>4</v>
      </c>
      <c r="R4753" t="s">
        <v>42676</v>
      </c>
      <c r="S4753" t="s">
        <v>42809</v>
      </c>
      <c r="T4753" t="s">
        <v>44382</v>
      </c>
      <c r="U4753" t="s">
        <v>48673</v>
      </c>
      <c r="W4753" t="s">
        <v>40560</v>
      </c>
      <c r="X4753" t="s">
        <v>42677</v>
      </c>
    </row>
    <row r="4754" spans="1:24">
      <c r="A4754">
        <f>HYPERLINK("https://www.philgeps.gov.ph/GEPSNONPILOT/Tender/SplashBidNoticeAbstractUI.aspx?menuIndex=3&amp;refID=7188709&amp;Result=3","7188709")</f>
        <v>0</v>
      </c>
      <c r="B4754" t="s">
        <v>1677</v>
      </c>
      <c r="C4754" t="s">
        <v>8076</v>
      </c>
      <c r="D4754" t="s">
        <v>17153</v>
      </c>
      <c r="E4754" t="s">
        <v>21356</v>
      </c>
      <c r="F4754" t="s">
        <v>29372</v>
      </c>
      <c r="G4754" t="s">
        <v>29379</v>
      </c>
      <c r="H4754" t="s">
        <v>11048</v>
      </c>
      <c r="I4754" t="s">
        <v>14920</v>
      </c>
      <c r="J4754" t="s">
        <v>29823</v>
      </c>
      <c r="K4754" t="s">
        <v>38490</v>
      </c>
      <c r="M4754" t="s">
        <v>40537</v>
      </c>
      <c r="N4754" t="s">
        <v>42669</v>
      </c>
      <c r="O4754" t="s">
        <v>42670</v>
      </c>
      <c r="P4754">
        <v>0</v>
      </c>
      <c r="Q4754">
        <v>0</v>
      </c>
      <c r="R4754" t="s">
        <v>42676</v>
      </c>
      <c r="S4754" t="s">
        <v>42809</v>
      </c>
      <c r="T4754" t="s">
        <v>44401</v>
      </c>
      <c r="U4754" t="s">
        <v>48622</v>
      </c>
      <c r="W4754" t="s">
        <v>40537</v>
      </c>
      <c r="X4754" t="s">
        <v>42677</v>
      </c>
    </row>
    <row r="4755" spans="1:24">
      <c r="A4755">
        <f>HYPERLINK("https://www.philgeps.gov.ph/GEPSNONPILOT/Tender/SplashBidNoticeAbstractUI.aspx?menuIndex=3&amp;refID=7188706&amp;Result=3","7188706")</f>
        <v>0</v>
      </c>
      <c r="B4755" t="s">
        <v>1695</v>
      </c>
      <c r="C4755" t="s">
        <v>8077</v>
      </c>
      <c r="D4755" t="s">
        <v>17187</v>
      </c>
      <c r="E4755" t="s">
        <v>21357</v>
      </c>
      <c r="F4755" t="s">
        <v>29372</v>
      </c>
      <c r="G4755" t="s">
        <v>29380</v>
      </c>
      <c r="H4755" t="s">
        <v>29389</v>
      </c>
      <c r="I4755" t="s">
        <v>10408</v>
      </c>
      <c r="J4755" t="s">
        <v>29590</v>
      </c>
      <c r="K4755" t="s">
        <v>38531</v>
      </c>
      <c r="M4755" t="s">
        <v>40557</v>
      </c>
      <c r="N4755" t="s">
        <v>42669</v>
      </c>
      <c r="O4755" t="s">
        <v>42670</v>
      </c>
      <c r="P4755">
        <v>0</v>
      </c>
      <c r="Q4755">
        <v>1</v>
      </c>
      <c r="R4755" t="s">
        <v>42676</v>
      </c>
      <c r="S4755" t="s">
        <v>42809</v>
      </c>
      <c r="T4755" t="s">
        <v>44600</v>
      </c>
      <c r="U4755" t="s">
        <v>48669</v>
      </c>
      <c r="W4755" t="s">
        <v>40557</v>
      </c>
      <c r="X4755" t="s">
        <v>42677</v>
      </c>
    </row>
    <row r="4756" spans="1:24">
      <c r="A4756">
        <f>HYPERLINK("https://www.philgeps.gov.ph/GEPSNONPILOT/Tender/SplashBidNoticeAbstractUI.aspx?menuIndex=3&amp;refID=7188704&amp;Result=3","7188704")</f>
        <v>0</v>
      </c>
      <c r="B4756" t="s">
        <v>1711</v>
      </c>
      <c r="C4756" t="s">
        <v>8078</v>
      </c>
      <c r="D4756" t="s">
        <v>17187</v>
      </c>
      <c r="E4756" t="s">
        <v>19197</v>
      </c>
      <c r="F4756" t="s">
        <v>29372</v>
      </c>
      <c r="G4756" t="s">
        <v>29380</v>
      </c>
      <c r="H4756" t="s">
        <v>11048</v>
      </c>
      <c r="I4756" t="s">
        <v>4487</v>
      </c>
      <c r="J4756" t="s">
        <v>32652</v>
      </c>
      <c r="K4756" t="s">
        <v>38491</v>
      </c>
      <c r="M4756" t="s">
        <v>40574</v>
      </c>
      <c r="N4756" t="s">
        <v>42669</v>
      </c>
      <c r="O4756" t="s">
        <v>42670</v>
      </c>
      <c r="P4756">
        <v>0</v>
      </c>
      <c r="Q4756">
        <v>1</v>
      </c>
      <c r="R4756" t="s">
        <v>42676</v>
      </c>
      <c r="S4756" t="s">
        <v>42809</v>
      </c>
      <c r="T4756" t="s">
        <v>44386</v>
      </c>
      <c r="U4756" t="s">
        <v>48693</v>
      </c>
      <c r="W4756" t="s">
        <v>40574</v>
      </c>
      <c r="X4756" t="s">
        <v>42677</v>
      </c>
    </row>
    <row r="4757" spans="1:24">
      <c r="A4757">
        <f>HYPERLINK("https://www.philgeps.gov.ph/GEPSNONPILOT/Tender/SplashBidNoticeAbstractUI.aspx?menuIndex=3&amp;refID=7188699&amp;Result=3","7188699")</f>
        <v>0</v>
      </c>
      <c r="B4757" t="s">
        <v>1162</v>
      </c>
      <c r="C4757" t="s">
        <v>8079</v>
      </c>
      <c r="D4757" t="s">
        <v>17180</v>
      </c>
      <c r="E4757" t="s">
        <v>21358</v>
      </c>
      <c r="F4757" t="s">
        <v>29372</v>
      </c>
      <c r="G4757" t="s">
        <v>29379</v>
      </c>
      <c r="H4757" t="s">
        <v>11048</v>
      </c>
      <c r="I4757" t="s">
        <v>29396</v>
      </c>
      <c r="J4757" t="s">
        <v>29532</v>
      </c>
      <c r="K4757" t="s">
        <v>38490</v>
      </c>
      <c r="M4757" t="s">
        <v>39977</v>
      </c>
      <c r="N4757" t="s">
        <v>42669</v>
      </c>
      <c r="O4757" t="s">
        <v>42670</v>
      </c>
      <c r="P4757">
        <v>0</v>
      </c>
      <c r="Q4757">
        <v>0</v>
      </c>
      <c r="R4757" t="s">
        <v>42676</v>
      </c>
      <c r="S4757" t="s">
        <v>42809</v>
      </c>
      <c r="T4757" t="s">
        <v>44401</v>
      </c>
      <c r="U4757" t="s">
        <v>48694</v>
      </c>
      <c r="W4757" t="s">
        <v>39977</v>
      </c>
      <c r="X4757" t="s">
        <v>42677</v>
      </c>
    </row>
    <row r="4758" spans="1:24">
      <c r="A4758">
        <f>HYPERLINK("https://www.philgeps.gov.ph/GEPSNONPILOT/Tender/SplashBidNoticeAbstractUI.aspx?menuIndex=3&amp;refID=7188675&amp;Result=3","7188675")</f>
        <v>0</v>
      </c>
      <c r="B4758" t="s">
        <v>1110</v>
      </c>
      <c r="C4758" t="s">
        <v>8080</v>
      </c>
      <c r="D4758" t="s">
        <v>17182</v>
      </c>
      <c r="E4758" t="s">
        <v>21359</v>
      </c>
      <c r="F4758" t="s">
        <v>29372</v>
      </c>
      <c r="G4758" t="s">
        <v>29380</v>
      </c>
      <c r="H4758" t="s">
        <v>11048</v>
      </c>
      <c r="I4758" t="s">
        <v>29396</v>
      </c>
      <c r="J4758" t="s">
        <v>32653</v>
      </c>
      <c r="K4758" t="s">
        <v>38580</v>
      </c>
      <c r="M4758" t="s">
        <v>39919</v>
      </c>
      <c r="N4758" t="s">
        <v>42669</v>
      </c>
      <c r="O4758" t="s">
        <v>42670</v>
      </c>
      <c r="P4758">
        <v>0</v>
      </c>
      <c r="Q4758">
        <v>1</v>
      </c>
      <c r="R4758" t="s">
        <v>42676</v>
      </c>
      <c r="S4758" t="s">
        <v>42809</v>
      </c>
      <c r="T4758" t="s">
        <v>44675</v>
      </c>
      <c r="U4758" t="s">
        <v>47234</v>
      </c>
      <c r="W4758" t="s">
        <v>39919</v>
      </c>
      <c r="X4758" t="s">
        <v>42677</v>
      </c>
    </row>
    <row r="4759" spans="1:24">
      <c r="A4759">
        <f>HYPERLINK("https://www.philgeps.gov.ph/GEPSNONPILOT/Tender/SplashBidNoticeAbstractUI.aspx?menuIndex=3&amp;refID=7188724&amp;Result=3","7188724")</f>
        <v>0</v>
      </c>
      <c r="B4759" t="s">
        <v>238</v>
      </c>
      <c r="C4759" t="s">
        <v>8081</v>
      </c>
      <c r="D4759" t="s">
        <v>17187</v>
      </c>
      <c r="E4759" t="s">
        <v>21360</v>
      </c>
      <c r="F4759" t="s">
        <v>29372</v>
      </c>
      <c r="G4759" t="s">
        <v>29383</v>
      </c>
      <c r="H4759" t="s">
        <v>11048</v>
      </c>
      <c r="I4759" t="s">
        <v>5383</v>
      </c>
      <c r="J4759" t="s">
        <v>32654</v>
      </c>
      <c r="K4759" t="s">
        <v>38490</v>
      </c>
      <c r="M4759" t="s">
        <v>38997</v>
      </c>
      <c r="N4759" t="s">
        <v>42669</v>
      </c>
      <c r="O4759" t="s">
        <v>42670</v>
      </c>
      <c r="P4759">
        <v>0</v>
      </c>
      <c r="Q4759">
        <v>4</v>
      </c>
      <c r="R4759" t="s">
        <v>42676</v>
      </c>
      <c r="S4759" t="s">
        <v>42809</v>
      </c>
      <c r="T4759" t="s">
        <v>44454</v>
      </c>
      <c r="U4759" t="s">
        <v>44993</v>
      </c>
      <c r="W4759" t="s">
        <v>38997</v>
      </c>
      <c r="X4759" t="s">
        <v>42677</v>
      </c>
    </row>
    <row r="4760" spans="1:24">
      <c r="A4760">
        <f>HYPERLINK("https://www.philgeps.gov.ph/GEPSNONPILOT/Tender/SplashBidNoticeAbstractUI.aspx?menuIndex=3&amp;refID=7188683&amp;Result=3","7188683")</f>
        <v>0</v>
      </c>
      <c r="B4760" t="s">
        <v>1383</v>
      </c>
      <c r="C4760" t="s">
        <v>8082</v>
      </c>
      <c r="D4760" t="s">
        <v>17169</v>
      </c>
      <c r="E4760" t="s">
        <v>20592</v>
      </c>
      <c r="F4760" t="s">
        <v>29372</v>
      </c>
      <c r="G4760" t="s">
        <v>29380</v>
      </c>
      <c r="H4760" t="s">
        <v>29389</v>
      </c>
      <c r="I4760" t="s">
        <v>10408</v>
      </c>
      <c r="J4760" t="s">
        <v>32655</v>
      </c>
      <c r="K4760" t="s">
        <v>38522</v>
      </c>
      <c r="M4760" t="s">
        <v>40220</v>
      </c>
      <c r="N4760" t="s">
        <v>42669</v>
      </c>
      <c r="O4760" t="s">
        <v>42670</v>
      </c>
      <c r="P4760">
        <v>0</v>
      </c>
      <c r="Q4760">
        <v>1</v>
      </c>
      <c r="R4760" t="s">
        <v>42676</v>
      </c>
      <c r="S4760" t="s">
        <v>42809</v>
      </c>
      <c r="T4760" t="s">
        <v>44587</v>
      </c>
      <c r="U4760" t="s">
        <v>47960</v>
      </c>
      <c r="V4760" t="s">
        <v>56896</v>
      </c>
      <c r="W4760" t="s">
        <v>40220</v>
      </c>
      <c r="X4760" t="s">
        <v>42677</v>
      </c>
    </row>
    <row r="4761" spans="1:24">
      <c r="A4761">
        <f>HYPERLINK("https://www.philgeps.gov.ph/GEPSNONPILOT/Tender/SplashBidNoticeAbstractUI.aspx?menuIndex=3&amp;refID=7188723&amp;Result=3","7188723")</f>
        <v>0</v>
      </c>
      <c r="B4761" t="s">
        <v>1712</v>
      </c>
      <c r="C4761" t="s">
        <v>6414</v>
      </c>
      <c r="D4761" t="s">
        <v>17177</v>
      </c>
      <c r="E4761" t="s">
        <v>21361</v>
      </c>
      <c r="F4761" t="s">
        <v>29372</v>
      </c>
      <c r="G4761" t="s">
        <v>29380</v>
      </c>
      <c r="H4761" t="s">
        <v>11048</v>
      </c>
      <c r="I4761" t="s">
        <v>5383</v>
      </c>
      <c r="J4761" t="s">
        <v>32656</v>
      </c>
      <c r="K4761" t="s">
        <v>38510</v>
      </c>
      <c r="M4761" t="s">
        <v>40575</v>
      </c>
      <c r="N4761" t="s">
        <v>42669</v>
      </c>
      <c r="O4761" t="s">
        <v>42670</v>
      </c>
      <c r="P4761">
        <v>0</v>
      </c>
      <c r="Q4761">
        <v>3</v>
      </c>
      <c r="R4761" t="s">
        <v>42676</v>
      </c>
      <c r="S4761" t="s">
        <v>42809</v>
      </c>
      <c r="T4761" t="s">
        <v>44476</v>
      </c>
      <c r="U4761" t="s">
        <v>48695</v>
      </c>
      <c r="W4761" t="s">
        <v>40575</v>
      </c>
      <c r="X4761" t="s">
        <v>42677</v>
      </c>
    </row>
    <row r="4762" spans="1:24">
      <c r="A4762">
        <f>HYPERLINK("https://www.philgeps.gov.ph/GEPSNONPILOT/Tender/SplashBidNoticeAbstractUI.aspx?menuIndex=3&amp;refID=7188722&amp;Result=3","7188722")</f>
        <v>0</v>
      </c>
      <c r="B4762" t="s">
        <v>869</v>
      </c>
      <c r="C4762" t="s">
        <v>8083</v>
      </c>
      <c r="D4762" t="s">
        <v>17142</v>
      </c>
      <c r="E4762" t="s">
        <v>21362</v>
      </c>
      <c r="F4762" t="s">
        <v>29372</v>
      </c>
      <c r="G4762" t="s">
        <v>29380</v>
      </c>
      <c r="H4762" t="s">
        <v>11048</v>
      </c>
      <c r="I4762" t="s">
        <v>3670</v>
      </c>
      <c r="J4762" t="s">
        <v>32080</v>
      </c>
      <c r="K4762" t="s">
        <v>38485</v>
      </c>
      <c r="M4762" t="s">
        <v>40568</v>
      </c>
      <c r="N4762" t="s">
        <v>42669</v>
      </c>
      <c r="O4762" t="s">
        <v>42670</v>
      </c>
      <c r="P4762">
        <v>0</v>
      </c>
      <c r="Q4762">
        <v>8</v>
      </c>
      <c r="R4762" t="s">
        <v>42676</v>
      </c>
      <c r="S4762" t="s">
        <v>42809</v>
      </c>
      <c r="T4762" t="s">
        <v>44482</v>
      </c>
      <c r="U4762" t="s">
        <v>48696</v>
      </c>
      <c r="W4762" t="s">
        <v>40568</v>
      </c>
      <c r="X4762" t="s">
        <v>42677</v>
      </c>
    </row>
    <row r="4763" spans="1:24">
      <c r="A4763">
        <f>HYPERLINK("https://www.philgeps.gov.ph/GEPSNONPILOT/Tender/SplashBidNoticeAbstractUI.aspx?menuIndex=3&amp;refID=7188721&amp;Result=3","7188721")</f>
        <v>0</v>
      </c>
      <c r="B4763" t="s">
        <v>1675</v>
      </c>
      <c r="C4763" t="s">
        <v>8084</v>
      </c>
      <c r="D4763" t="s">
        <v>17160</v>
      </c>
      <c r="E4763" t="s">
        <v>21363</v>
      </c>
      <c r="F4763" t="s">
        <v>29372</v>
      </c>
      <c r="G4763" t="s">
        <v>29380</v>
      </c>
      <c r="H4763" t="s">
        <v>11048</v>
      </c>
      <c r="I4763" t="s">
        <v>3839</v>
      </c>
      <c r="J4763" t="s">
        <v>30107</v>
      </c>
      <c r="K4763" t="s">
        <v>38491</v>
      </c>
      <c r="M4763" t="s">
        <v>40534</v>
      </c>
      <c r="N4763" t="s">
        <v>42669</v>
      </c>
      <c r="O4763" t="s">
        <v>42670</v>
      </c>
      <c r="P4763">
        <v>0</v>
      </c>
      <c r="Q4763">
        <v>2</v>
      </c>
      <c r="R4763" t="s">
        <v>42676</v>
      </c>
      <c r="S4763" t="s">
        <v>42809</v>
      </c>
      <c r="T4763" t="s">
        <v>44382</v>
      </c>
      <c r="U4763" t="s">
        <v>48697</v>
      </c>
      <c r="W4763" t="s">
        <v>40534</v>
      </c>
      <c r="X4763" t="s">
        <v>42677</v>
      </c>
    </row>
    <row r="4764" spans="1:24">
      <c r="A4764">
        <f>HYPERLINK("https://www.philgeps.gov.ph/GEPSNONPILOT/Tender/SplashBidNoticeAbstractUI.aspx?menuIndex=3&amp;refID=7188718&amp;Result=3","7188718")</f>
        <v>0</v>
      </c>
      <c r="B4764" t="s">
        <v>1713</v>
      </c>
      <c r="C4764" t="s">
        <v>8085</v>
      </c>
      <c r="D4764" t="s">
        <v>17192</v>
      </c>
      <c r="E4764" t="s">
        <v>17289</v>
      </c>
      <c r="F4764" t="s">
        <v>29372</v>
      </c>
      <c r="G4764" t="s">
        <v>29387</v>
      </c>
      <c r="H4764" t="s">
        <v>11048</v>
      </c>
      <c r="I4764" t="s">
        <v>4709</v>
      </c>
      <c r="J4764" t="s">
        <v>29555</v>
      </c>
      <c r="K4764" t="s">
        <v>38528</v>
      </c>
      <c r="M4764" t="s">
        <v>40576</v>
      </c>
      <c r="N4764" t="s">
        <v>42669</v>
      </c>
      <c r="O4764" t="s">
        <v>42670</v>
      </c>
      <c r="P4764">
        <v>0</v>
      </c>
      <c r="Q4764">
        <v>0</v>
      </c>
      <c r="R4764" t="s">
        <v>42676</v>
      </c>
      <c r="S4764" t="s">
        <v>42809</v>
      </c>
      <c r="T4764" t="s">
        <v>44399</v>
      </c>
      <c r="U4764" t="s">
        <v>48698</v>
      </c>
      <c r="W4764" t="s">
        <v>40576</v>
      </c>
      <c r="X4764" t="s">
        <v>42677</v>
      </c>
    </row>
    <row r="4765" spans="1:24">
      <c r="A4765">
        <f>HYPERLINK("https://www.philgeps.gov.ph/GEPSNONPILOT/Tender/SplashBidNoticeAbstractUI.aspx?menuIndex=3&amp;refID=7188716&amp;Result=3","7188716")</f>
        <v>0</v>
      </c>
      <c r="B4765" t="s">
        <v>1554</v>
      </c>
      <c r="C4765" t="s">
        <v>7642</v>
      </c>
      <c r="D4765" t="s">
        <v>17141</v>
      </c>
      <c r="E4765" t="s">
        <v>21364</v>
      </c>
      <c r="F4765" t="s">
        <v>29372</v>
      </c>
      <c r="G4765" t="s">
        <v>29380</v>
      </c>
      <c r="H4765" t="s">
        <v>11048</v>
      </c>
      <c r="I4765" t="s">
        <v>29414</v>
      </c>
      <c r="J4765" t="s">
        <v>29829</v>
      </c>
      <c r="K4765" t="s">
        <v>38490</v>
      </c>
      <c r="M4765" t="s">
        <v>40404</v>
      </c>
      <c r="N4765" t="s">
        <v>42669</v>
      </c>
      <c r="O4765" t="s">
        <v>42670</v>
      </c>
      <c r="P4765">
        <v>0</v>
      </c>
      <c r="Q4765">
        <v>43</v>
      </c>
      <c r="R4765" t="s">
        <v>42676</v>
      </c>
      <c r="S4765" t="s">
        <v>42809</v>
      </c>
      <c r="T4765" t="s">
        <v>44460</v>
      </c>
      <c r="U4765" t="s">
        <v>48352</v>
      </c>
      <c r="W4765" t="s">
        <v>40404</v>
      </c>
      <c r="X4765" t="s">
        <v>42677</v>
      </c>
    </row>
    <row r="4766" spans="1:24">
      <c r="A4766">
        <f>HYPERLINK("https://www.philgeps.gov.ph/GEPSNONPILOT/Tender/SplashBidNoticeAbstractUI.aspx?menuIndex=3&amp;refID=7188715&amp;Result=3","7188715")</f>
        <v>0</v>
      </c>
      <c r="B4766" t="s">
        <v>1344</v>
      </c>
      <c r="C4766" t="s">
        <v>8086</v>
      </c>
      <c r="D4766" t="s">
        <v>17144</v>
      </c>
      <c r="E4766" t="s">
        <v>21365</v>
      </c>
      <c r="F4766" t="s">
        <v>29372</v>
      </c>
      <c r="G4766" t="s">
        <v>29379</v>
      </c>
      <c r="H4766" t="s">
        <v>11048</v>
      </c>
      <c r="I4766" t="s">
        <v>29433</v>
      </c>
      <c r="J4766" t="s">
        <v>30735</v>
      </c>
      <c r="K4766" t="s">
        <v>38510</v>
      </c>
      <c r="M4766" t="s">
        <v>40485</v>
      </c>
      <c r="N4766" t="s">
        <v>42669</v>
      </c>
      <c r="O4766" t="s">
        <v>42670</v>
      </c>
      <c r="P4766">
        <v>0</v>
      </c>
      <c r="Q4766">
        <v>4</v>
      </c>
      <c r="R4766" t="s">
        <v>42676</v>
      </c>
      <c r="S4766" t="s">
        <v>42809</v>
      </c>
      <c r="T4766" t="s">
        <v>44462</v>
      </c>
      <c r="U4766" t="s">
        <v>48699</v>
      </c>
      <c r="W4766" t="s">
        <v>40485</v>
      </c>
      <c r="X4766" t="s">
        <v>42677</v>
      </c>
    </row>
    <row r="4767" spans="1:24">
      <c r="A4767">
        <f>HYPERLINK("https://www.philgeps.gov.ph/GEPSNONPILOT/Tender/SplashBidNoticeAbstractUI.aspx?menuIndex=3&amp;refID=7188713&amp;Result=3","7188713")</f>
        <v>0</v>
      </c>
      <c r="B4767" t="s">
        <v>886</v>
      </c>
      <c r="C4767" t="s">
        <v>8087</v>
      </c>
      <c r="D4767" t="s">
        <v>17189</v>
      </c>
      <c r="E4767" t="s">
        <v>21366</v>
      </c>
      <c r="F4767" t="s">
        <v>29372</v>
      </c>
      <c r="G4767" t="s">
        <v>29379</v>
      </c>
      <c r="H4767" t="s">
        <v>11048</v>
      </c>
      <c r="I4767" t="s">
        <v>4709</v>
      </c>
      <c r="J4767" t="s">
        <v>29590</v>
      </c>
      <c r="K4767" t="s">
        <v>38489</v>
      </c>
      <c r="M4767" t="s">
        <v>39678</v>
      </c>
      <c r="N4767" t="s">
        <v>42669</v>
      </c>
      <c r="O4767" t="s">
        <v>42670</v>
      </c>
      <c r="P4767">
        <v>0</v>
      </c>
      <c r="Q4767">
        <v>1</v>
      </c>
      <c r="R4767" t="s">
        <v>42676</v>
      </c>
      <c r="S4767" t="s">
        <v>42809</v>
      </c>
      <c r="T4767" t="s">
        <v>44493</v>
      </c>
      <c r="U4767" t="s">
        <v>46659</v>
      </c>
      <c r="W4767" t="s">
        <v>39678</v>
      </c>
      <c r="X4767" t="s">
        <v>42677</v>
      </c>
    </row>
    <row r="4768" spans="1:24">
      <c r="A4768">
        <f>HYPERLINK("https://www.philgeps.gov.ph/GEPSNONPILOT/Tender/SplashBidNoticeAbstractUI.aspx?menuIndex=3&amp;refID=7188701&amp;Result=3","7188701")</f>
        <v>0</v>
      </c>
      <c r="B4768" t="s">
        <v>1638</v>
      </c>
      <c r="C4768" t="s">
        <v>8088</v>
      </c>
      <c r="D4768" t="s">
        <v>17213</v>
      </c>
      <c r="E4768" t="s">
        <v>21367</v>
      </c>
      <c r="F4768" t="s">
        <v>29372</v>
      </c>
      <c r="G4768" t="s">
        <v>29383</v>
      </c>
      <c r="H4768" t="s">
        <v>11048</v>
      </c>
      <c r="I4768" t="s">
        <v>5383</v>
      </c>
      <c r="J4768" t="s">
        <v>32657</v>
      </c>
      <c r="K4768" t="s">
        <v>38490</v>
      </c>
      <c r="M4768" t="s">
        <v>40494</v>
      </c>
      <c r="N4768" t="s">
        <v>42669</v>
      </c>
      <c r="O4768" t="s">
        <v>42670</v>
      </c>
      <c r="P4768">
        <v>0</v>
      </c>
      <c r="Q4768">
        <v>1</v>
      </c>
      <c r="R4768" t="s">
        <v>42676</v>
      </c>
      <c r="S4768" t="s">
        <v>42809</v>
      </c>
      <c r="T4768" t="s">
        <v>44470</v>
      </c>
      <c r="U4768" t="s">
        <v>48700</v>
      </c>
      <c r="W4768" t="s">
        <v>58050</v>
      </c>
      <c r="X4768" t="s">
        <v>42677</v>
      </c>
    </row>
    <row r="4769" spans="1:24">
      <c r="A4769">
        <f>HYPERLINK("https://www.philgeps.gov.ph/GEPSNONPILOT/Tender/SplashBidNoticeAbstractUI.aspx?menuIndex=3&amp;refID=7188698&amp;Result=3","7188698")</f>
        <v>0</v>
      </c>
      <c r="B4769" t="s">
        <v>125</v>
      </c>
      <c r="C4769" t="s">
        <v>8089</v>
      </c>
      <c r="D4769" t="s">
        <v>17177</v>
      </c>
      <c r="E4769" t="s">
        <v>21001</v>
      </c>
      <c r="F4769" t="s">
        <v>29372</v>
      </c>
      <c r="G4769" t="s">
        <v>29379</v>
      </c>
      <c r="H4769" t="s">
        <v>29389</v>
      </c>
      <c r="I4769" t="s">
        <v>10408</v>
      </c>
      <c r="J4769" t="s">
        <v>32658</v>
      </c>
      <c r="K4769" t="s">
        <v>38485</v>
      </c>
      <c r="M4769" t="s">
        <v>38880</v>
      </c>
      <c r="N4769" t="s">
        <v>42669</v>
      </c>
      <c r="O4769" t="s">
        <v>42670</v>
      </c>
      <c r="P4769">
        <v>0</v>
      </c>
      <c r="Q4769">
        <v>3</v>
      </c>
      <c r="R4769" t="s">
        <v>42676</v>
      </c>
      <c r="S4769" t="s">
        <v>42809</v>
      </c>
      <c r="T4769" t="s">
        <v>44432</v>
      </c>
      <c r="U4769" t="s">
        <v>48701</v>
      </c>
      <c r="W4769" t="s">
        <v>38880</v>
      </c>
      <c r="X4769" t="s">
        <v>42677</v>
      </c>
    </row>
    <row r="4770" spans="1:24">
      <c r="A4770">
        <f>HYPERLINK("https://www.philgeps.gov.ph/GEPSNONPILOT/Tender/SplashBidNoticeAbstractUI.aspx?menuIndex=3&amp;refID=7188705&amp;Result=3","7188705")</f>
        <v>0</v>
      </c>
      <c r="B4770" t="s">
        <v>1632</v>
      </c>
      <c r="C4770" t="s">
        <v>8090</v>
      </c>
      <c r="D4770" t="s">
        <v>17174</v>
      </c>
      <c r="E4770" t="s">
        <v>21368</v>
      </c>
      <c r="F4770" t="s">
        <v>29372</v>
      </c>
      <c r="G4770" t="s">
        <v>29379</v>
      </c>
      <c r="H4770" t="s">
        <v>11048</v>
      </c>
      <c r="I4770" t="s">
        <v>29426</v>
      </c>
      <c r="J4770" t="s">
        <v>29555</v>
      </c>
      <c r="K4770" t="s">
        <v>38528</v>
      </c>
      <c r="M4770" t="s">
        <v>40488</v>
      </c>
      <c r="N4770" t="s">
        <v>42669</v>
      </c>
      <c r="O4770" t="s">
        <v>42670</v>
      </c>
      <c r="P4770">
        <v>0</v>
      </c>
      <c r="Q4770">
        <v>0</v>
      </c>
      <c r="R4770" t="s">
        <v>42676</v>
      </c>
      <c r="S4770" t="s">
        <v>42809</v>
      </c>
      <c r="T4770" t="s">
        <v>44488</v>
      </c>
      <c r="U4770" t="s">
        <v>48702</v>
      </c>
      <c r="W4770" t="s">
        <v>40488</v>
      </c>
      <c r="X4770" t="s">
        <v>42677</v>
      </c>
    </row>
    <row r="4771" spans="1:24">
      <c r="A4771">
        <f>HYPERLINK("https://www.philgeps.gov.ph/GEPSNONPILOT/Tender/SplashBidNoticeAbstractUI.aspx?menuIndex=3&amp;refID=7188727&amp;Result=3","7188727")</f>
        <v>0</v>
      </c>
      <c r="B4771" t="s">
        <v>1705</v>
      </c>
      <c r="C4771" t="s">
        <v>8091</v>
      </c>
      <c r="D4771" t="s">
        <v>17192</v>
      </c>
      <c r="E4771" t="s">
        <v>17294</v>
      </c>
      <c r="F4771" t="s">
        <v>29372</v>
      </c>
      <c r="G4771" t="s">
        <v>29380</v>
      </c>
      <c r="H4771" t="s">
        <v>29389</v>
      </c>
      <c r="I4771" t="s">
        <v>10408</v>
      </c>
      <c r="J4771" t="s">
        <v>32659</v>
      </c>
      <c r="K4771" t="s">
        <v>38596</v>
      </c>
      <c r="M4771" t="s">
        <v>40567</v>
      </c>
      <c r="N4771" t="s">
        <v>42669</v>
      </c>
      <c r="O4771" t="s">
        <v>42670</v>
      </c>
      <c r="P4771">
        <v>0</v>
      </c>
      <c r="Q4771">
        <v>0</v>
      </c>
      <c r="R4771" t="s">
        <v>42676</v>
      </c>
      <c r="S4771" t="s">
        <v>42809</v>
      </c>
      <c r="T4771" t="s">
        <v>44365</v>
      </c>
      <c r="U4771" t="s">
        <v>47751</v>
      </c>
      <c r="V4771" t="s">
        <v>56897</v>
      </c>
      <c r="W4771" t="s">
        <v>40567</v>
      </c>
      <c r="X4771" t="s">
        <v>42677</v>
      </c>
    </row>
    <row r="4772" spans="1:24">
      <c r="A4772">
        <f>HYPERLINK("https://www.philgeps.gov.ph/GEPSNONPILOT/Tender/SplashBidNoticeAbstractUI.aspx?menuIndex=3&amp;refID=7188750&amp;Result=3","7188750")</f>
        <v>0</v>
      </c>
      <c r="B4772" t="s">
        <v>586</v>
      </c>
      <c r="C4772" t="s">
        <v>8092</v>
      </c>
      <c r="D4772" t="s">
        <v>17161</v>
      </c>
      <c r="E4772" t="s">
        <v>21369</v>
      </c>
      <c r="F4772" t="s">
        <v>29372</v>
      </c>
      <c r="G4772" t="s">
        <v>29379</v>
      </c>
      <c r="H4772" t="s">
        <v>11048</v>
      </c>
      <c r="I4772" t="s">
        <v>3629</v>
      </c>
      <c r="J4772" t="s">
        <v>30225</v>
      </c>
      <c r="K4772" t="s">
        <v>38490</v>
      </c>
      <c r="M4772" t="s">
        <v>39355</v>
      </c>
      <c r="N4772" t="s">
        <v>42669</v>
      </c>
      <c r="O4772" t="s">
        <v>42670</v>
      </c>
      <c r="P4772">
        <v>0</v>
      </c>
      <c r="Q4772">
        <v>0</v>
      </c>
      <c r="R4772" t="s">
        <v>42676</v>
      </c>
      <c r="S4772" t="s">
        <v>42809</v>
      </c>
      <c r="T4772" t="s">
        <v>44488</v>
      </c>
      <c r="U4772" t="s">
        <v>48703</v>
      </c>
      <c r="W4772" t="s">
        <v>39355</v>
      </c>
      <c r="X4772" t="s">
        <v>42677</v>
      </c>
    </row>
    <row r="4773" spans="1:24">
      <c r="A4773">
        <f>HYPERLINK("https://www.philgeps.gov.ph/GEPSNONPILOT/Tender/SplashBidNoticeAbstractUI.aspx?menuIndex=3&amp;refID=7188746&amp;Result=3","7188746")</f>
        <v>0</v>
      </c>
      <c r="B4773" t="s">
        <v>1676</v>
      </c>
      <c r="C4773" t="s">
        <v>8093</v>
      </c>
      <c r="D4773" t="s">
        <v>17155</v>
      </c>
      <c r="E4773" t="s">
        <v>21370</v>
      </c>
      <c r="F4773" t="s">
        <v>29372</v>
      </c>
      <c r="G4773" t="s">
        <v>29379</v>
      </c>
      <c r="H4773" t="s">
        <v>11048</v>
      </c>
      <c r="I4773" t="s">
        <v>8208</v>
      </c>
      <c r="J4773" t="s">
        <v>31288</v>
      </c>
      <c r="K4773" t="s">
        <v>38488</v>
      </c>
      <c r="M4773" t="s">
        <v>40536</v>
      </c>
      <c r="N4773" t="s">
        <v>42669</v>
      </c>
      <c r="O4773" t="s">
        <v>42670</v>
      </c>
      <c r="P4773">
        <v>0</v>
      </c>
      <c r="Q4773">
        <v>0</v>
      </c>
      <c r="R4773" t="s">
        <v>42676</v>
      </c>
      <c r="S4773" t="s">
        <v>42809</v>
      </c>
      <c r="T4773" t="s">
        <v>44432</v>
      </c>
      <c r="U4773" t="s">
        <v>48704</v>
      </c>
      <c r="W4773" t="s">
        <v>40536</v>
      </c>
      <c r="X4773" t="s">
        <v>42677</v>
      </c>
    </row>
    <row r="4774" spans="1:24">
      <c r="A4774">
        <f>HYPERLINK("https://www.philgeps.gov.ph/GEPSNONPILOT/Tender/SplashBidNoticeAbstractUI.aspx?menuIndex=3&amp;refID=7188749&amp;Result=3","7188749")</f>
        <v>0</v>
      </c>
      <c r="B4774" t="s">
        <v>1714</v>
      </c>
      <c r="C4774" t="s">
        <v>8094</v>
      </c>
      <c r="D4774" t="s">
        <v>17166</v>
      </c>
      <c r="E4774" t="s">
        <v>21371</v>
      </c>
      <c r="F4774" t="s">
        <v>29372</v>
      </c>
      <c r="G4774" t="s">
        <v>29380</v>
      </c>
      <c r="H4774" t="s">
        <v>11048</v>
      </c>
      <c r="I4774" t="s">
        <v>29398</v>
      </c>
      <c r="J4774" t="s">
        <v>30674</v>
      </c>
      <c r="K4774" t="s">
        <v>38488</v>
      </c>
      <c r="M4774" t="s">
        <v>40577</v>
      </c>
      <c r="N4774" t="s">
        <v>42669</v>
      </c>
      <c r="O4774" t="s">
        <v>42670</v>
      </c>
      <c r="P4774">
        <v>0</v>
      </c>
      <c r="Q4774">
        <v>2</v>
      </c>
      <c r="R4774" t="s">
        <v>42676</v>
      </c>
      <c r="S4774" t="s">
        <v>42809</v>
      </c>
      <c r="T4774" t="s">
        <v>44371</v>
      </c>
      <c r="U4774" t="s">
        <v>48705</v>
      </c>
      <c r="W4774" t="s">
        <v>40577</v>
      </c>
      <c r="X4774" t="s">
        <v>42677</v>
      </c>
    </row>
    <row r="4775" spans="1:24">
      <c r="A4775">
        <f>HYPERLINK("https://www.philgeps.gov.ph/GEPSNONPILOT/Tender/SplashBidNoticeAbstractUI.aspx?menuIndex=3&amp;refID=7188745&amp;Result=3","7188745")</f>
        <v>0</v>
      </c>
      <c r="B4775" t="s">
        <v>776</v>
      </c>
      <c r="C4775" t="s">
        <v>8095</v>
      </c>
      <c r="D4775" t="s">
        <v>17169</v>
      </c>
      <c r="E4775" t="s">
        <v>21372</v>
      </c>
      <c r="F4775" t="s">
        <v>29372</v>
      </c>
      <c r="G4775" t="s">
        <v>29379</v>
      </c>
      <c r="H4775" t="s">
        <v>11048</v>
      </c>
      <c r="I4775" t="s">
        <v>5383</v>
      </c>
      <c r="J4775" t="s">
        <v>29799</v>
      </c>
      <c r="K4775" t="s">
        <v>38485</v>
      </c>
      <c r="L4775" t="s">
        <v>776</v>
      </c>
      <c r="M4775" t="s">
        <v>40190</v>
      </c>
      <c r="N4775" t="s">
        <v>42669</v>
      </c>
      <c r="O4775" t="s">
        <v>42670</v>
      </c>
      <c r="P4775">
        <v>0</v>
      </c>
      <c r="Q4775">
        <v>2</v>
      </c>
      <c r="R4775" t="s">
        <v>42676</v>
      </c>
      <c r="S4775" t="s">
        <v>42809</v>
      </c>
      <c r="T4775" t="s">
        <v>44368</v>
      </c>
      <c r="U4775" t="s">
        <v>48706</v>
      </c>
      <c r="W4775" t="s">
        <v>40190</v>
      </c>
      <c r="X4775" t="s">
        <v>42677</v>
      </c>
    </row>
    <row r="4776" spans="1:24">
      <c r="A4776">
        <f>HYPERLINK("https://www.philgeps.gov.ph/GEPSNONPILOT/Tender/SplashBidNoticeAbstractUI.aspx?menuIndex=3&amp;refID=7188743&amp;Result=3","7188743")</f>
        <v>0</v>
      </c>
      <c r="B4776" t="s">
        <v>1695</v>
      </c>
      <c r="C4776" t="s">
        <v>8096</v>
      </c>
      <c r="D4776" t="s">
        <v>17187</v>
      </c>
      <c r="E4776" t="s">
        <v>21373</v>
      </c>
      <c r="F4776" t="s">
        <v>29372</v>
      </c>
      <c r="G4776" t="s">
        <v>29380</v>
      </c>
      <c r="H4776" t="s">
        <v>29389</v>
      </c>
      <c r="I4776" t="s">
        <v>10408</v>
      </c>
      <c r="J4776" t="s">
        <v>32660</v>
      </c>
      <c r="K4776" t="s">
        <v>38515</v>
      </c>
      <c r="M4776" t="s">
        <v>40557</v>
      </c>
      <c r="N4776" t="s">
        <v>42669</v>
      </c>
      <c r="O4776" t="s">
        <v>42670</v>
      </c>
      <c r="P4776">
        <v>0</v>
      </c>
      <c r="Q4776">
        <v>0</v>
      </c>
      <c r="R4776" t="s">
        <v>42676</v>
      </c>
      <c r="S4776" t="s">
        <v>42809</v>
      </c>
      <c r="T4776" t="s">
        <v>44600</v>
      </c>
      <c r="U4776" t="s">
        <v>48669</v>
      </c>
      <c r="W4776" t="s">
        <v>40557</v>
      </c>
      <c r="X4776" t="s">
        <v>42677</v>
      </c>
    </row>
    <row r="4777" spans="1:24">
      <c r="A4777">
        <f>HYPERLINK("https://www.philgeps.gov.ph/GEPSNONPILOT/Tender/SplashBidNoticeAbstractUI.aspx?menuIndex=3&amp;refID=7188741&amp;Result=3","7188741")</f>
        <v>0</v>
      </c>
      <c r="B4777" t="s">
        <v>1715</v>
      </c>
      <c r="C4777" t="s">
        <v>8097</v>
      </c>
      <c r="D4777" t="s">
        <v>17163</v>
      </c>
      <c r="E4777" t="s">
        <v>21374</v>
      </c>
      <c r="F4777" t="s">
        <v>29372</v>
      </c>
      <c r="G4777" t="s">
        <v>29379</v>
      </c>
      <c r="H4777" t="s">
        <v>11048</v>
      </c>
      <c r="I4777" t="s">
        <v>29426</v>
      </c>
      <c r="J4777" t="s">
        <v>29929</v>
      </c>
      <c r="K4777" t="s">
        <v>38488</v>
      </c>
      <c r="M4777" t="s">
        <v>40578</v>
      </c>
      <c r="N4777" t="s">
        <v>42669</v>
      </c>
      <c r="O4777" t="s">
        <v>42670</v>
      </c>
      <c r="P4777">
        <v>0</v>
      </c>
      <c r="Q4777">
        <v>5</v>
      </c>
      <c r="R4777" t="s">
        <v>42676</v>
      </c>
      <c r="S4777" t="s">
        <v>42809</v>
      </c>
      <c r="T4777" t="s">
        <v>44401</v>
      </c>
      <c r="U4777" t="s">
        <v>48707</v>
      </c>
      <c r="W4777" t="s">
        <v>40578</v>
      </c>
      <c r="X4777" t="s">
        <v>42677</v>
      </c>
    </row>
    <row r="4778" spans="1:24">
      <c r="A4778">
        <f>HYPERLINK("https://www.philgeps.gov.ph/GEPSNONPILOT/Tender/SplashBidNoticeAbstractUI.aspx?menuIndex=3&amp;refID=7188735&amp;Result=3","7188735")</f>
        <v>0</v>
      </c>
      <c r="B4778" t="s">
        <v>886</v>
      </c>
      <c r="C4778" t="s">
        <v>8098</v>
      </c>
      <c r="D4778" t="s">
        <v>17189</v>
      </c>
      <c r="E4778" t="s">
        <v>21375</v>
      </c>
      <c r="F4778" t="s">
        <v>29372</v>
      </c>
      <c r="G4778" t="s">
        <v>29379</v>
      </c>
      <c r="H4778" t="s">
        <v>11048</v>
      </c>
      <c r="I4778" t="s">
        <v>8208</v>
      </c>
      <c r="J4778" t="s">
        <v>32661</v>
      </c>
      <c r="K4778" t="s">
        <v>38489</v>
      </c>
      <c r="M4778" t="s">
        <v>39678</v>
      </c>
      <c r="N4778" t="s">
        <v>42669</v>
      </c>
      <c r="O4778" t="s">
        <v>42670</v>
      </c>
      <c r="P4778">
        <v>0</v>
      </c>
      <c r="Q4778">
        <v>0</v>
      </c>
      <c r="R4778" t="s">
        <v>42676</v>
      </c>
      <c r="S4778" t="s">
        <v>42809</v>
      </c>
      <c r="T4778" t="s">
        <v>44493</v>
      </c>
      <c r="U4778" t="s">
        <v>46659</v>
      </c>
      <c r="W4778" t="s">
        <v>39678</v>
      </c>
      <c r="X4778" t="s">
        <v>42677</v>
      </c>
    </row>
    <row r="4779" spans="1:24">
      <c r="A4779">
        <f>HYPERLINK("https://www.philgeps.gov.ph/GEPSNONPILOT/Tender/SplashBidNoticeAbstractUI.aspx?menuIndex=3&amp;refID=7188689&amp;Result=3","7188689")</f>
        <v>0</v>
      </c>
      <c r="B4779" t="s">
        <v>1480</v>
      </c>
      <c r="C4779" t="s">
        <v>8099</v>
      </c>
      <c r="D4779" t="s">
        <v>17170</v>
      </c>
      <c r="E4779" t="s">
        <v>21376</v>
      </c>
      <c r="F4779" t="s">
        <v>29372</v>
      </c>
      <c r="G4779" t="s">
        <v>29380</v>
      </c>
      <c r="H4779" t="s">
        <v>11048</v>
      </c>
      <c r="I4779" t="s">
        <v>29423</v>
      </c>
      <c r="J4779" t="s">
        <v>29590</v>
      </c>
      <c r="K4779" t="s">
        <v>38551</v>
      </c>
      <c r="M4779" t="s">
        <v>40323</v>
      </c>
      <c r="N4779" t="s">
        <v>42669</v>
      </c>
      <c r="O4779" t="s">
        <v>42670</v>
      </c>
      <c r="P4779">
        <v>0</v>
      </c>
      <c r="Q4779">
        <v>3</v>
      </c>
      <c r="R4779" t="s">
        <v>42676</v>
      </c>
      <c r="S4779" t="s">
        <v>42809</v>
      </c>
      <c r="T4779" t="s">
        <v>44376</v>
      </c>
      <c r="U4779" t="s">
        <v>48708</v>
      </c>
      <c r="V4779" t="s">
        <v>56773</v>
      </c>
      <c r="W4779" t="s">
        <v>40323</v>
      </c>
      <c r="X4779" t="s">
        <v>42677</v>
      </c>
    </row>
    <row r="4780" spans="1:24">
      <c r="A4780">
        <f>HYPERLINK("https://www.philgeps.gov.ph/GEPSNONPILOT/Tender/SplashBidNoticeAbstractUI.aspx?menuIndex=3&amp;refID=7188765&amp;Result=3","7188765")</f>
        <v>0</v>
      </c>
      <c r="B4780" t="s">
        <v>1693</v>
      </c>
      <c r="C4780" t="s">
        <v>8100</v>
      </c>
      <c r="D4780" t="s">
        <v>17226</v>
      </c>
      <c r="E4780" t="s">
        <v>21377</v>
      </c>
      <c r="F4780" t="s">
        <v>29372</v>
      </c>
      <c r="G4780" t="s">
        <v>29379</v>
      </c>
      <c r="H4780" t="s">
        <v>11048</v>
      </c>
      <c r="I4780" t="s">
        <v>29407</v>
      </c>
      <c r="J4780" t="s">
        <v>29680</v>
      </c>
      <c r="K4780" t="s">
        <v>38488</v>
      </c>
      <c r="M4780" t="s">
        <v>40555</v>
      </c>
      <c r="N4780" t="s">
        <v>42669</v>
      </c>
      <c r="O4780" t="s">
        <v>42670</v>
      </c>
      <c r="P4780">
        <v>0</v>
      </c>
      <c r="Q4780">
        <v>1</v>
      </c>
      <c r="R4780" t="s">
        <v>42676</v>
      </c>
      <c r="S4780" t="s">
        <v>42809</v>
      </c>
      <c r="T4780" t="s">
        <v>44481</v>
      </c>
      <c r="U4780" t="s">
        <v>48709</v>
      </c>
      <c r="W4780" t="s">
        <v>40555</v>
      </c>
      <c r="X4780" t="s">
        <v>42677</v>
      </c>
    </row>
    <row r="4781" spans="1:24">
      <c r="A4781">
        <f>HYPERLINK("https://www.philgeps.gov.ph/GEPSNONPILOT/Tender/SplashBidNoticeAbstractUI.aspx?menuIndex=3&amp;refID=7188695&amp;Result=3","7188695")</f>
        <v>0</v>
      </c>
      <c r="B4781" t="s">
        <v>1356</v>
      </c>
      <c r="C4781" t="s">
        <v>8101</v>
      </c>
      <c r="D4781" t="s">
        <v>17211</v>
      </c>
      <c r="E4781" t="s">
        <v>21378</v>
      </c>
      <c r="F4781" t="s">
        <v>29372</v>
      </c>
      <c r="G4781" t="s">
        <v>29380</v>
      </c>
      <c r="H4781" t="s">
        <v>29389</v>
      </c>
      <c r="I4781" t="s">
        <v>29453</v>
      </c>
      <c r="J4781" t="s">
        <v>32662</v>
      </c>
      <c r="K4781" t="s">
        <v>38490</v>
      </c>
      <c r="M4781" t="s">
        <v>40193</v>
      </c>
      <c r="N4781" t="s">
        <v>42669</v>
      </c>
      <c r="O4781" t="s">
        <v>42670</v>
      </c>
      <c r="P4781">
        <v>0</v>
      </c>
      <c r="Q4781">
        <v>0</v>
      </c>
      <c r="R4781" t="s">
        <v>42676</v>
      </c>
      <c r="S4781" t="s">
        <v>42809</v>
      </c>
      <c r="T4781" t="s">
        <v>44446</v>
      </c>
      <c r="U4781" t="s">
        <v>48710</v>
      </c>
      <c r="V4781" t="s">
        <v>56898</v>
      </c>
      <c r="W4781" t="s">
        <v>58044</v>
      </c>
      <c r="X4781" t="s">
        <v>42677</v>
      </c>
    </row>
    <row r="4782" spans="1:24">
      <c r="A4782">
        <f>HYPERLINK("https://www.philgeps.gov.ph/GEPSNONPILOT/Tender/SplashBidNoticeAbstractUI.aspx?menuIndex=3&amp;refID=7188760&amp;Result=3","7188760")</f>
        <v>0</v>
      </c>
      <c r="B4782" t="s">
        <v>1716</v>
      </c>
      <c r="C4782" t="s">
        <v>8102</v>
      </c>
      <c r="D4782" t="s">
        <v>17174</v>
      </c>
      <c r="E4782" t="s">
        <v>21379</v>
      </c>
      <c r="F4782" t="s">
        <v>29372</v>
      </c>
      <c r="G4782" t="s">
        <v>29382</v>
      </c>
      <c r="H4782" t="s">
        <v>11048</v>
      </c>
      <c r="I4782" t="s">
        <v>4487</v>
      </c>
      <c r="J4782" t="s">
        <v>32399</v>
      </c>
      <c r="K4782" t="s">
        <v>38538</v>
      </c>
      <c r="L4782" t="s">
        <v>1716</v>
      </c>
      <c r="M4782" t="s">
        <v>40579</v>
      </c>
      <c r="N4782" t="s">
        <v>42669</v>
      </c>
      <c r="O4782" t="s">
        <v>42670</v>
      </c>
      <c r="P4782">
        <v>0</v>
      </c>
      <c r="Q4782">
        <v>1</v>
      </c>
      <c r="R4782" t="s">
        <v>42676</v>
      </c>
      <c r="S4782" t="s">
        <v>42809</v>
      </c>
      <c r="T4782" t="s">
        <v>44493</v>
      </c>
      <c r="U4782" t="s">
        <v>48711</v>
      </c>
      <c r="W4782" t="s">
        <v>40579</v>
      </c>
      <c r="X4782" t="s">
        <v>42677</v>
      </c>
    </row>
    <row r="4783" spans="1:24">
      <c r="A4783">
        <f>HYPERLINK("https://www.philgeps.gov.ph/GEPSNONPILOT/Tender/SplashBidNoticeAbstractUI.aspx?menuIndex=3&amp;refID=7188756&amp;Result=3","7188756")</f>
        <v>0</v>
      </c>
      <c r="B4783" t="s">
        <v>1717</v>
      </c>
      <c r="C4783" t="s">
        <v>8103</v>
      </c>
      <c r="D4783" t="s">
        <v>17170</v>
      </c>
      <c r="E4783" t="s">
        <v>17477</v>
      </c>
      <c r="F4783" t="s">
        <v>29372</v>
      </c>
      <c r="G4783" t="s">
        <v>29383</v>
      </c>
      <c r="H4783" t="s">
        <v>11048</v>
      </c>
      <c r="I4783" t="s">
        <v>29398</v>
      </c>
      <c r="J4783" t="s">
        <v>32663</v>
      </c>
      <c r="K4783" t="s">
        <v>38485</v>
      </c>
      <c r="M4783" t="s">
        <v>40580</v>
      </c>
      <c r="N4783" t="s">
        <v>42669</v>
      </c>
      <c r="O4783" t="s">
        <v>42670</v>
      </c>
      <c r="P4783">
        <v>0</v>
      </c>
      <c r="Q4783">
        <v>10</v>
      </c>
      <c r="R4783" t="s">
        <v>42676</v>
      </c>
      <c r="S4783" t="s">
        <v>42809</v>
      </c>
      <c r="T4783" t="s">
        <v>44429</v>
      </c>
      <c r="U4783" t="s">
        <v>48712</v>
      </c>
      <c r="V4783" t="s">
        <v>56899</v>
      </c>
      <c r="W4783" t="s">
        <v>40580</v>
      </c>
      <c r="X4783" t="s">
        <v>42677</v>
      </c>
    </row>
    <row r="4784" spans="1:24">
      <c r="A4784">
        <f>HYPERLINK("https://www.philgeps.gov.ph/GEPSNONPILOT/Tender/SplashBidNoticeAbstractUI.aspx?menuIndex=3&amp;refID=7188736&amp;Result=3","7188736")</f>
        <v>0</v>
      </c>
      <c r="B4784" t="s">
        <v>937</v>
      </c>
      <c r="C4784" t="s">
        <v>8104</v>
      </c>
      <c r="E4784" t="s">
        <v>21380</v>
      </c>
      <c r="F4784" t="s">
        <v>29372</v>
      </c>
      <c r="G4784" t="s">
        <v>29380</v>
      </c>
      <c r="H4784" t="s">
        <v>29391</v>
      </c>
      <c r="I4784" t="s">
        <v>10408</v>
      </c>
      <c r="J4784" t="s">
        <v>32664</v>
      </c>
      <c r="K4784" t="s">
        <v>38490</v>
      </c>
      <c r="M4784" t="s">
        <v>39732</v>
      </c>
      <c r="N4784" t="s">
        <v>42669</v>
      </c>
      <c r="O4784" t="s">
        <v>42670</v>
      </c>
      <c r="P4784">
        <v>0</v>
      </c>
      <c r="Q4784">
        <v>7</v>
      </c>
      <c r="R4784" t="s">
        <v>42676</v>
      </c>
      <c r="S4784" t="s">
        <v>42809</v>
      </c>
      <c r="T4784" t="s">
        <v>44371</v>
      </c>
      <c r="U4784" t="s">
        <v>48713</v>
      </c>
      <c r="W4784" t="s">
        <v>39732</v>
      </c>
      <c r="X4784" t="s">
        <v>42677</v>
      </c>
    </row>
    <row r="4785" spans="1:24">
      <c r="A4785">
        <f>HYPERLINK("https://www.philgeps.gov.ph/GEPSNONPILOT/Tender/SplashBidNoticeAbstractUI.aspx?menuIndex=3&amp;refID=7188648&amp;Result=3","7188648")</f>
        <v>0</v>
      </c>
      <c r="B4785" t="s">
        <v>1617</v>
      </c>
      <c r="C4785" t="s">
        <v>8105</v>
      </c>
      <c r="D4785" t="s">
        <v>17163</v>
      </c>
      <c r="E4785" t="s">
        <v>21317</v>
      </c>
      <c r="F4785" t="s">
        <v>29372</v>
      </c>
      <c r="G4785" t="s">
        <v>29380</v>
      </c>
      <c r="H4785" t="s">
        <v>11048</v>
      </c>
      <c r="I4785" t="s">
        <v>9642</v>
      </c>
      <c r="J4785" t="s">
        <v>32665</v>
      </c>
      <c r="K4785" t="s">
        <v>38490</v>
      </c>
      <c r="M4785" t="s">
        <v>40470</v>
      </c>
      <c r="N4785" t="s">
        <v>42669</v>
      </c>
      <c r="O4785" t="s">
        <v>42670</v>
      </c>
      <c r="P4785">
        <v>0</v>
      </c>
      <c r="Q4785">
        <v>8</v>
      </c>
      <c r="R4785" t="s">
        <v>42676</v>
      </c>
      <c r="S4785" t="s">
        <v>42809</v>
      </c>
      <c r="T4785" t="s">
        <v>44619</v>
      </c>
      <c r="U4785" t="s">
        <v>48659</v>
      </c>
      <c r="W4785" t="s">
        <v>40470</v>
      </c>
      <c r="X4785" t="s">
        <v>42677</v>
      </c>
    </row>
    <row r="4786" spans="1:24">
      <c r="A4786">
        <f>HYPERLINK("https://www.philgeps.gov.ph/GEPSNONPILOT/Tender/SplashBidNoticeAbstractUI.aspx?menuIndex=3&amp;refID=7188703&amp;Result=3","7188703")</f>
        <v>0</v>
      </c>
      <c r="B4786" t="s">
        <v>1676</v>
      </c>
      <c r="C4786" t="s">
        <v>8106</v>
      </c>
      <c r="D4786" t="s">
        <v>17155</v>
      </c>
      <c r="E4786" t="s">
        <v>21381</v>
      </c>
      <c r="F4786" t="s">
        <v>29372</v>
      </c>
      <c r="G4786" t="s">
        <v>29379</v>
      </c>
      <c r="H4786" t="s">
        <v>11048</v>
      </c>
      <c r="I4786" t="s">
        <v>8208</v>
      </c>
      <c r="J4786" t="s">
        <v>30346</v>
      </c>
      <c r="K4786" t="s">
        <v>38488</v>
      </c>
      <c r="M4786" t="s">
        <v>40536</v>
      </c>
      <c r="N4786" t="s">
        <v>42669</v>
      </c>
      <c r="O4786" t="s">
        <v>42670</v>
      </c>
      <c r="P4786">
        <v>0</v>
      </c>
      <c r="Q4786">
        <v>1</v>
      </c>
      <c r="R4786" t="s">
        <v>42676</v>
      </c>
      <c r="S4786" t="s">
        <v>42809</v>
      </c>
      <c r="T4786" t="s">
        <v>44432</v>
      </c>
      <c r="U4786" t="s">
        <v>48714</v>
      </c>
      <c r="W4786" t="s">
        <v>40536</v>
      </c>
      <c r="X4786" t="s">
        <v>42677</v>
      </c>
    </row>
    <row r="4787" spans="1:24">
      <c r="A4787">
        <f>HYPERLINK("https://www.philgeps.gov.ph/GEPSNONPILOT/Tender/SplashBidNoticeAbstractUI.aspx?menuIndex=3&amp;refID=7188751&amp;Result=3","7188751")</f>
        <v>0</v>
      </c>
      <c r="B4787" t="s">
        <v>544</v>
      </c>
      <c r="C4787" t="s">
        <v>8107</v>
      </c>
      <c r="D4787" t="s">
        <v>17153</v>
      </c>
      <c r="E4787" t="s">
        <v>21382</v>
      </c>
      <c r="F4787" t="s">
        <v>29372</v>
      </c>
      <c r="G4787" t="s">
        <v>29383</v>
      </c>
      <c r="H4787" t="s">
        <v>11048</v>
      </c>
      <c r="I4787" t="s">
        <v>29396</v>
      </c>
      <c r="J4787" t="s">
        <v>32666</v>
      </c>
      <c r="K4787" t="s">
        <v>38490</v>
      </c>
      <c r="M4787" t="s">
        <v>39312</v>
      </c>
      <c r="N4787" t="s">
        <v>42669</v>
      </c>
      <c r="O4787" t="s">
        <v>42670</v>
      </c>
      <c r="P4787">
        <v>0</v>
      </c>
      <c r="Q4787">
        <v>0</v>
      </c>
      <c r="R4787" t="s">
        <v>42676</v>
      </c>
      <c r="S4787" t="s">
        <v>42809</v>
      </c>
      <c r="T4787" t="s">
        <v>44493</v>
      </c>
      <c r="U4787" t="s">
        <v>48715</v>
      </c>
      <c r="W4787" t="s">
        <v>39312</v>
      </c>
      <c r="X4787" t="s">
        <v>42677</v>
      </c>
    </row>
    <row r="4788" spans="1:24">
      <c r="A4788">
        <f>HYPERLINK("https://www.philgeps.gov.ph/GEPSNONPILOT/Tender/SplashBidNoticeAbstractUI.aspx?menuIndex=3&amp;refID=7188732&amp;Result=3","7188732")</f>
        <v>0</v>
      </c>
      <c r="B4788" t="s">
        <v>1718</v>
      </c>
      <c r="C4788" t="s">
        <v>8108</v>
      </c>
      <c r="D4788" t="s">
        <v>17184</v>
      </c>
      <c r="E4788" t="s">
        <v>21383</v>
      </c>
      <c r="F4788" t="s">
        <v>29372</v>
      </c>
      <c r="G4788" t="s">
        <v>29380</v>
      </c>
      <c r="H4788" t="s">
        <v>11048</v>
      </c>
      <c r="I4788" t="s">
        <v>29414</v>
      </c>
      <c r="J4788" t="s">
        <v>30161</v>
      </c>
      <c r="K4788" t="s">
        <v>38485</v>
      </c>
      <c r="M4788" t="s">
        <v>40581</v>
      </c>
      <c r="N4788" t="s">
        <v>42669</v>
      </c>
      <c r="O4788" t="s">
        <v>42670</v>
      </c>
      <c r="P4788">
        <v>0</v>
      </c>
      <c r="Q4788">
        <v>9</v>
      </c>
      <c r="R4788" t="s">
        <v>42676</v>
      </c>
      <c r="S4788" t="s">
        <v>42809</v>
      </c>
      <c r="T4788" t="s">
        <v>44539</v>
      </c>
      <c r="U4788" t="s">
        <v>48716</v>
      </c>
      <c r="W4788" t="s">
        <v>40581</v>
      </c>
      <c r="X4788" t="s">
        <v>42677</v>
      </c>
    </row>
    <row r="4789" spans="1:24">
      <c r="A4789">
        <f>HYPERLINK("https://www.philgeps.gov.ph/GEPSNONPILOT/Tender/SplashBidNoticeAbstractUI.aspx?menuIndex=3&amp;refID=7188768&amp;Result=3","7188768")</f>
        <v>0</v>
      </c>
      <c r="B4789" t="s">
        <v>869</v>
      </c>
      <c r="C4789" t="s">
        <v>8109</v>
      </c>
      <c r="D4789" t="s">
        <v>17142</v>
      </c>
      <c r="E4789" t="s">
        <v>21384</v>
      </c>
      <c r="F4789" t="s">
        <v>29372</v>
      </c>
      <c r="G4789" t="s">
        <v>29380</v>
      </c>
      <c r="H4789" t="s">
        <v>11048</v>
      </c>
      <c r="I4789" t="s">
        <v>3670</v>
      </c>
      <c r="J4789" t="s">
        <v>29615</v>
      </c>
      <c r="K4789" t="s">
        <v>38488</v>
      </c>
      <c r="M4789" t="s">
        <v>40568</v>
      </c>
      <c r="N4789" t="s">
        <v>42669</v>
      </c>
      <c r="O4789" t="s">
        <v>42670</v>
      </c>
      <c r="P4789">
        <v>0</v>
      </c>
      <c r="Q4789">
        <v>9</v>
      </c>
      <c r="R4789" t="s">
        <v>42676</v>
      </c>
      <c r="S4789" t="s">
        <v>42809</v>
      </c>
      <c r="T4789" t="s">
        <v>44563</v>
      </c>
      <c r="U4789" t="s">
        <v>48717</v>
      </c>
      <c r="W4789" t="s">
        <v>40568</v>
      </c>
      <c r="X4789" t="s">
        <v>42677</v>
      </c>
    </row>
    <row r="4790" spans="1:24">
      <c r="A4790">
        <f>HYPERLINK("https://www.philgeps.gov.ph/GEPSNONPILOT/Tender/SplashBidNoticeAbstractUI.aspx?menuIndex=3&amp;refID=7188767&amp;Result=3","7188767")</f>
        <v>0</v>
      </c>
      <c r="B4790" t="s">
        <v>1429</v>
      </c>
      <c r="C4790" t="s">
        <v>8110</v>
      </c>
      <c r="D4790" t="s">
        <v>17188</v>
      </c>
      <c r="E4790" t="s">
        <v>21385</v>
      </c>
      <c r="F4790" t="s">
        <v>29372</v>
      </c>
      <c r="G4790" t="s">
        <v>29379</v>
      </c>
      <c r="H4790" t="s">
        <v>11048</v>
      </c>
      <c r="I4790" t="s">
        <v>3670</v>
      </c>
      <c r="J4790" t="s">
        <v>29799</v>
      </c>
      <c r="K4790" t="s">
        <v>38491</v>
      </c>
      <c r="M4790" t="s">
        <v>40269</v>
      </c>
      <c r="N4790" t="s">
        <v>42669</v>
      </c>
      <c r="O4790" t="s">
        <v>42670</v>
      </c>
      <c r="P4790">
        <v>0</v>
      </c>
      <c r="Q4790">
        <v>2</v>
      </c>
      <c r="R4790" t="s">
        <v>42676</v>
      </c>
      <c r="S4790" t="s">
        <v>42809</v>
      </c>
      <c r="T4790" t="s">
        <v>44512</v>
      </c>
      <c r="U4790" t="s">
        <v>48056</v>
      </c>
      <c r="W4790" t="s">
        <v>40269</v>
      </c>
      <c r="X4790" t="s">
        <v>42677</v>
      </c>
    </row>
    <row r="4791" spans="1:24">
      <c r="A4791">
        <f>HYPERLINK("https://www.philgeps.gov.ph/GEPSNONPILOT/Tender/SplashBidNoticeAbstractUI.aspx?menuIndex=3&amp;refID=7188766&amp;Result=3","7188766")</f>
        <v>0</v>
      </c>
      <c r="B4791" t="s">
        <v>1094</v>
      </c>
      <c r="C4791" t="s">
        <v>8111</v>
      </c>
      <c r="D4791" t="s">
        <v>17213</v>
      </c>
      <c r="E4791" t="s">
        <v>21386</v>
      </c>
      <c r="F4791" t="s">
        <v>29372</v>
      </c>
      <c r="G4791" t="s">
        <v>29379</v>
      </c>
      <c r="H4791" t="s">
        <v>11048</v>
      </c>
      <c r="I4791" t="s">
        <v>29404</v>
      </c>
      <c r="J4791" t="s">
        <v>32667</v>
      </c>
      <c r="K4791" t="s">
        <v>38491</v>
      </c>
      <c r="L4791" t="s">
        <v>1094</v>
      </c>
      <c r="M4791" t="s">
        <v>39901</v>
      </c>
      <c r="N4791" t="s">
        <v>42669</v>
      </c>
      <c r="O4791" t="s">
        <v>42670</v>
      </c>
      <c r="P4791">
        <v>0</v>
      </c>
      <c r="Q4791">
        <v>2</v>
      </c>
      <c r="R4791" t="s">
        <v>42676</v>
      </c>
      <c r="S4791" t="s">
        <v>42809</v>
      </c>
      <c r="T4791" t="s">
        <v>44570</v>
      </c>
      <c r="U4791" t="s">
        <v>48718</v>
      </c>
      <c r="V4791" t="s">
        <v>56671</v>
      </c>
      <c r="W4791" t="s">
        <v>39901</v>
      </c>
      <c r="X4791" t="s">
        <v>42677</v>
      </c>
    </row>
    <row r="4792" spans="1:24">
      <c r="A4792">
        <f>HYPERLINK("https://www.philgeps.gov.ph/GEPSNONPILOT/Tender/SplashBidNoticeAbstractUI.aspx?menuIndex=3&amp;refID=7188726&amp;Result=3","7188726")</f>
        <v>0</v>
      </c>
      <c r="B4792" t="s">
        <v>579</v>
      </c>
      <c r="C4792" t="s">
        <v>8112</v>
      </c>
      <c r="D4792" t="s">
        <v>17141</v>
      </c>
      <c r="E4792" t="s">
        <v>21387</v>
      </c>
      <c r="F4792" t="s">
        <v>29373</v>
      </c>
      <c r="G4792" t="s">
        <v>29380</v>
      </c>
      <c r="H4792" t="s">
        <v>11048</v>
      </c>
      <c r="I4792" t="s">
        <v>29473</v>
      </c>
      <c r="J4792" t="s">
        <v>29708</v>
      </c>
      <c r="K4792" t="s">
        <v>38485</v>
      </c>
      <c r="M4792" t="s">
        <v>39348</v>
      </c>
      <c r="N4792" t="s">
        <v>42669</v>
      </c>
      <c r="O4792" t="s">
        <v>42670</v>
      </c>
      <c r="P4792">
        <v>0</v>
      </c>
      <c r="Q4792">
        <v>0</v>
      </c>
      <c r="R4792" t="s">
        <v>42676</v>
      </c>
      <c r="S4792" t="s">
        <v>42809</v>
      </c>
      <c r="T4792" t="s">
        <v>44443</v>
      </c>
      <c r="U4792" t="s">
        <v>48719</v>
      </c>
      <c r="V4792" t="s">
        <v>56504</v>
      </c>
      <c r="W4792" t="s">
        <v>39348</v>
      </c>
      <c r="X4792" t="s">
        <v>42677</v>
      </c>
    </row>
    <row r="4793" spans="1:24">
      <c r="A4793">
        <f>HYPERLINK("https://www.philgeps.gov.ph/GEPSNONPILOT/Tender/SplashBidNoticeAbstractUI.aspx?menuIndex=3&amp;refID=7188803&amp;Result=3","7188803")</f>
        <v>0</v>
      </c>
      <c r="B4793" t="s">
        <v>586</v>
      </c>
      <c r="C4793" t="s">
        <v>8113</v>
      </c>
      <c r="D4793" t="s">
        <v>17161</v>
      </c>
      <c r="E4793" t="s">
        <v>21388</v>
      </c>
      <c r="F4793" t="s">
        <v>29372</v>
      </c>
      <c r="G4793" t="s">
        <v>29379</v>
      </c>
      <c r="H4793" t="s">
        <v>11048</v>
      </c>
      <c r="I4793" t="s">
        <v>3629</v>
      </c>
      <c r="J4793" t="s">
        <v>31236</v>
      </c>
      <c r="K4793" t="s">
        <v>38490</v>
      </c>
      <c r="M4793" t="s">
        <v>39355</v>
      </c>
      <c r="N4793" t="s">
        <v>42669</v>
      </c>
      <c r="O4793" t="s">
        <v>42670</v>
      </c>
      <c r="P4793">
        <v>0</v>
      </c>
      <c r="Q4793">
        <v>0</v>
      </c>
      <c r="R4793" t="s">
        <v>42676</v>
      </c>
      <c r="S4793" t="s">
        <v>42809</v>
      </c>
      <c r="T4793" t="s">
        <v>44488</v>
      </c>
      <c r="U4793" t="s">
        <v>48720</v>
      </c>
      <c r="W4793" t="s">
        <v>39355</v>
      </c>
      <c r="X4793" t="s">
        <v>42677</v>
      </c>
    </row>
    <row r="4794" spans="1:24">
      <c r="A4794">
        <f>HYPERLINK("https://www.philgeps.gov.ph/GEPSNONPILOT/Tender/SplashBidNoticeAbstractUI.aspx?menuIndex=3&amp;refID=7188733&amp;Result=3","7188733")</f>
        <v>0</v>
      </c>
      <c r="B4794" t="s">
        <v>216</v>
      </c>
      <c r="C4794" t="s">
        <v>8114</v>
      </c>
      <c r="D4794" t="s">
        <v>17183</v>
      </c>
      <c r="E4794" t="s">
        <v>17897</v>
      </c>
      <c r="F4794" t="s">
        <v>29372</v>
      </c>
      <c r="G4794" t="s">
        <v>29380</v>
      </c>
      <c r="H4794" t="s">
        <v>11048</v>
      </c>
      <c r="I4794" t="s">
        <v>29394</v>
      </c>
      <c r="J4794" t="s">
        <v>29811</v>
      </c>
      <c r="K4794" t="s">
        <v>38485</v>
      </c>
      <c r="M4794" t="s">
        <v>38974</v>
      </c>
      <c r="N4794" t="s">
        <v>42669</v>
      </c>
      <c r="O4794" t="s">
        <v>42670</v>
      </c>
      <c r="P4794">
        <v>0</v>
      </c>
      <c r="Q4794">
        <v>6</v>
      </c>
      <c r="R4794" t="s">
        <v>42676</v>
      </c>
      <c r="S4794" t="s">
        <v>42809</v>
      </c>
      <c r="T4794" t="s">
        <v>44482</v>
      </c>
      <c r="U4794" t="s">
        <v>48721</v>
      </c>
      <c r="W4794" t="s">
        <v>38974</v>
      </c>
      <c r="X4794" t="s">
        <v>42677</v>
      </c>
    </row>
    <row r="4795" spans="1:24">
      <c r="A4795">
        <f>HYPERLINK("https://www.philgeps.gov.ph/GEPSNONPILOT/Tender/SplashBidNoticeAbstractUI.aspx?menuIndex=3&amp;refID=7188731&amp;Result=3","7188731")</f>
        <v>0</v>
      </c>
      <c r="B4795" t="s">
        <v>1719</v>
      </c>
      <c r="C4795" t="s">
        <v>8115</v>
      </c>
      <c r="D4795" t="s">
        <v>17177</v>
      </c>
      <c r="E4795" t="s">
        <v>21389</v>
      </c>
      <c r="F4795" t="s">
        <v>29372</v>
      </c>
      <c r="G4795" t="s">
        <v>29379</v>
      </c>
      <c r="H4795" t="s">
        <v>11048</v>
      </c>
      <c r="I4795" t="s">
        <v>29396</v>
      </c>
      <c r="J4795" t="s">
        <v>31734</v>
      </c>
      <c r="K4795" t="s">
        <v>38486</v>
      </c>
      <c r="M4795" t="s">
        <v>40582</v>
      </c>
      <c r="N4795" t="s">
        <v>42669</v>
      </c>
      <c r="O4795" t="s">
        <v>42670</v>
      </c>
      <c r="P4795">
        <v>0</v>
      </c>
      <c r="Q4795">
        <v>0</v>
      </c>
      <c r="R4795" t="s">
        <v>42676</v>
      </c>
      <c r="S4795" t="s">
        <v>42809</v>
      </c>
      <c r="T4795" t="s">
        <v>44432</v>
      </c>
      <c r="U4795" t="s">
        <v>48722</v>
      </c>
      <c r="W4795" t="s">
        <v>40582</v>
      </c>
      <c r="X4795" t="s">
        <v>42677</v>
      </c>
    </row>
    <row r="4796" spans="1:24">
      <c r="A4796">
        <f>HYPERLINK("https://www.philgeps.gov.ph/GEPSNONPILOT/Tender/SplashBidNoticeAbstractUI.aspx?menuIndex=3&amp;refID=7188800&amp;Result=3","7188800")</f>
        <v>0</v>
      </c>
      <c r="B4796" t="s">
        <v>1720</v>
      </c>
      <c r="C4796" t="s">
        <v>8116</v>
      </c>
      <c r="D4796" t="s">
        <v>17189</v>
      </c>
      <c r="E4796" t="s">
        <v>19402</v>
      </c>
      <c r="F4796" t="s">
        <v>29372</v>
      </c>
      <c r="G4796" t="s">
        <v>29380</v>
      </c>
      <c r="H4796" t="s">
        <v>11048</v>
      </c>
      <c r="I4796" t="s">
        <v>8614</v>
      </c>
      <c r="J4796" t="s">
        <v>30014</v>
      </c>
      <c r="K4796" t="s">
        <v>38510</v>
      </c>
      <c r="M4796" t="s">
        <v>40583</v>
      </c>
      <c r="N4796" t="s">
        <v>42669</v>
      </c>
      <c r="O4796" t="s">
        <v>42670</v>
      </c>
      <c r="P4796">
        <v>0</v>
      </c>
      <c r="Q4796">
        <v>2</v>
      </c>
      <c r="R4796" t="s">
        <v>42676</v>
      </c>
      <c r="S4796" t="s">
        <v>42809</v>
      </c>
      <c r="T4796" t="s">
        <v>44631</v>
      </c>
      <c r="U4796" t="s">
        <v>48723</v>
      </c>
      <c r="V4796" t="s">
        <v>56900</v>
      </c>
      <c r="W4796" t="s">
        <v>40583</v>
      </c>
      <c r="X4796" t="s">
        <v>42677</v>
      </c>
    </row>
    <row r="4797" spans="1:24">
      <c r="A4797">
        <f>HYPERLINK("https://www.philgeps.gov.ph/GEPSNONPILOT/Tender/SplashBidNoticeAbstractUI.aspx?menuIndex=3&amp;refID=7188759&amp;Result=3","7188759")</f>
        <v>0</v>
      </c>
      <c r="B4797" t="s">
        <v>1721</v>
      </c>
      <c r="C4797" t="s">
        <v>8117</v>
      </c>
      <c r="D4797" t="s">
        <v>17194</v>
      </c>
      <c r="E4797" t="s">
        <v>21390</v>
      </c>
      <c r="F4797" t="s">
        <v>29372</v>
      </c>
      <c r="G4797" t="s">
        <v>29380</v>
      </c>
      <c r="H4797" t="s">
        <v>11048</v>
      </c>
      <c r="I4797" t="s">
        <v>9469</v>
      </c>
      <c r="J4797" t="s">
        <v>32668</v>
      </c>
      <c r="K4797" t="s">
        <v>38488</v>
      </c>
      <c r="M4797" t="s">
        <v>40584</v>
      </c>
      <c r="N4797" t="s">
        <v>42669</v>
      </c>
      <c r="O4797" t="s">
        <v>42670</v>
      </c>
      <c r="P4797">
        <v>0</v>
      </c>
      <c r="Q4797">
        <v>1</v>
      </c>
      <c r="R4797" t="s">
        <v>42676</v>
      </c>
      <c r="S4797" t="s">
        <v>42809</v>
      </c>
      <c r="T4797" t="s">
        <v>44497</v>
      </c>
      <c r="U4797" t="s">
        <v>48724</v>
      </c>
      <c r="W4797" t="s">
        <v>58052</v>
      </c>
      <c r="X4797" t="s">
        <v>42677</v>
      </c>
    </row>
    <row r="4798" spans="1:24">
      <c r="A4798">
        <f>HYPERLINK("https://www.philgeps.gov.ph/GEPSNONPILOT/Tender/SplashBidNoticeAbstractUI.aspx?menuIndex=3&amp;refID=7188757&amp;Result=3","7188757")</f>
        <v>0</v>
      </c>
      <c r="B4798" t="s">
        <v>1632</v>
      </c>
      <c r="C4798" t="s">
        <v>8118</v>
      </c>
      <c r="D4798" t="s">
        <v>17174</v>
      </c>
      <c r="E4798" t="s">
        <v>21391</v>
      </c>
      <c r="F4798" t="s">
        <v>29372</v>
      </c>
      <c r="G4798" t="s">
        <v>29379</v>
      </c>
      <c r="H4798" t="s">
        <v>11048</v>
      </c>
      <c r="I4798" t="s">
        <v>29407</v>
      </c>
      <c r="J4798" t="s">
        <v>32669</v>
      </c>
      <c r="K4798" t="s">
        <v>38528</v>
      </c>
      <c r="M4798" t="s">
        <v>40488</v>
      </c>
      <c r="N4798" t="s">
        <v>42669</v>
      </c>
      <c r="O4798" t="s">
        <v>42670</v>
      </c>
      <c r="P4798">
        <v>0</v>
      </c>
      <c r="Q4798">
        <v>3</v>
      </c>
      <c r="R4798" t="s">
        <v>42676</v>
      </c>
      <c r="S4798" t="s">
        <v>42809</v>
      </c>
      <c r="T4798" t="s">
        <v>44488</v>
      </c>
      <c r="U4798" t="s">
        <v>48725</v>
      </c>
      <c r="W4798" t="s">
        <v>40488</v>
      </c>
      <c r="X4798" t="s">
        <v>42677</v>
      </c>
    </row>
    <row r="4799" spans="1:24">
      <c r="A4799">
        <f>HYPERLINK("https://www.philgeps.gov.ph/GEPSNONPILOT/Tender/SplashBidNoticeAbstractUI.aspx?menuIndex=3&amp;refID=7188795&amp;Result=3","7188795")</f>
        <v>0</v>
      </c>
      <c r="B4799" t="s">
        <v>586</v>
      </c>
      <c r="C4799" t="s">
        <v>8119</v>
      </c>
      <c r="D4799" t="s">
        <v>17161</v>
      </c>
      <c r="E4799" t="s">
        <v>21392</v>
      </c>
      <c r="F4799" t="s">
        <v>29372</v>
      </c>
      <c r="G4799" t="s">
        <v>29379</v>
      </c>
      <c r="H4799" t="s">
        <v>11048</v>
      </c>
      <c r="I4799" t="s">
        <v>29393</v>
      </c>
      <c r="J4799" t="s">
        <v>30752</v>
      </c>
      <c r="K4799" t="s">
        <v>38490</v>
      </c>
      <c r="M4799" t="s">
        <v>39355</v>
      </c>
      <c r="N4799" t="s">
        <v>42669</v>
      </c>
      <c r="O4799" t="s">
        <v>42670</v>
      </c>
      <c r="P4799">
        <v>0</v>
      </c>
      <c r="Q4799">
        <v>0</v>
      </c>
      <c r="R4799" t="s">
        <v>42676</v>
      </c>
      <c r="S4799" t="s">
        <v>42809</v>
      </c>
      <c r="T4799" t="s">
        <v>44488</v>
      </c>
      <c r="U4799" t="s">
        <v>48726</v>
      </c>
      <c r="W4799" t="s">
        <v>39355</v>
      </c>
      <c r="X4799" t="s">
        <v>42677</v>
      </c>
    </row>
    <row r="4800" spans="1:24">
      <c r="A4800">
        <f>HYPERLINK("https://www.philgeps.gov.ph/GEPSNONPILOT/Tender/SplashBidNoticeAbstractUI.aspx?menuIndex=3&amp;refID=7188794&amp;Result=3","7188794")</f>
        <v>0</v>
      </c>
      <c r="B4800" t="s">
        <v>1676</v>
      </c>
      <c r="C4800" t="s">
        <v>8120</v>
      </c>
      <c r="D4800" t="s">
        <v>17155</v>
      </c>
      <c r="E4800" t="s">
        <v>21393</v>
      </c>
      <c r="F4800" t="s">
        <v>29372</v>
      </c>
      <c r="G4800" t="s">
        <v>29379</v>
      </c>
      <c r="H4800" t="s">
        <v>11048</v>
      </c>
      <c r="I4800" t="s">
        <v>29499</v>
      </c>
      <c r="J4800" t="s">
        <v>32670</v>
      </c>
      <c r="K4800" t="s">
        <v>38488</v>
      </c>
      <c r="M4800" t="s">
        <v>40536</v>
      </c>
      <c r="N4800" t="s">
        <v>42669</v>
      </c>
      <c r="O4800" t="s">
        <v>42670</v>
      </c>
      <c r="P4800">
        <v>0</v>
      </c>
      <c r="Q4800">
        <v>0</v>
      </c>
      <c r="R4800" t="s">
        <v>42676</v>
      </c>
      <c r="S4800" t="s">
        <v>42809</v>
      </c>
      <c r="T4800" t="s">
        <v>44432</v>
      </c>
      <c r="U4800" t="s">
        <v>48727</v>
      </c>
      <c r="W4800" t="s">
        <v>40536</v>
      </c>
      <c r="X4800" t="s">
        <v>42677</v>
      </c>
    </row>
    <row r="4801" spans="1:24">
      <c r="A4801">
        <f>HYPERLINK("https://www.philgeps.gov.ph/GEPSNONPILOT/Tender/SplashBidNoticeAbstractUI.aspx?menuIndex=3&amp;refID=7188802&amp;Result=3","7188802")</f>
        <v>0</v>
      </c>
      <c r="B4801" t="s">
        <v>1722</v>
      </c>
      <c r="C4801" t="s">
        <v>8121</v>
      </c>
      <c r="E4801" t="s">
        <v>21394</v>
      </c>
      <c r="F4801" t="s">
        <v>29372</v>
      </c>
      <c r="G4801" t="s">
        <v>29379</v>
      </c>
      <c r="H4801" t="s">
        <v>11048</v>
      </c>
      <c r="I4801" t="s">
        <v>3670</v>
      </c>
      <c r="J4801" t="s">
        <v>32671</v>
      </c>
      <c r="K4801" t="s">
        <v>38491</v>
      </c>
      <c r="M4801" t="s">
        <v>40585</v>
      </c>
      <c r="N4801" t="s">
        <v>42669</v>
      </c>
      <c r="O4801" t="s">
        <v>42670</v>
      </c>
      <c r="P4801">
        <v>0</v>
      </c>
      <c r="Q4801">
        <v>2</v>
      </c>
      <c r="R4801" t="s">
        <v>42676</v>
      </c>
      <c r="S4801" t="s">
        <v>42809</v>
      </c>
      <c r="T4801" t="s">
        <v>44512</v>
      </c>
      <c r="U4801" t="s">
        <v>48728</v>
      </c>
      <c r="W4801" t="s">
        <v>40585</v>
      </c>
      <c r="X4801" t="s">
        <v>42677</v>
      </c>
    </row>
    <row r="4802" spans="1:24">
      <c r="A4802">
        <f>HYPERLINK("https://www.philgeps.gov.ph/GEPSNONPILOT/Tender/SplashBidNoticeAbstractUI.aspx?menuIndex=3&amp;refID=7188785&amp;Result=3","7188785")</f>
        <v>0</v>
      </c>
      <c r="B4802" t="s">
        <v>586</v>
      </c>
      <c r="C4802" t="s">
        <v>8122</v>
      </c>
      <c r="D4802" t="s">
        <v>17161</v>
      </c>
      <c r="E4802" t="s">
        <v>21395</v>
      </c>
      <c r="F4802" t="s">
        <v>29372</v>
      </c>
      <c r="G4802" t="s">
        <v>29379</v>
      </c>
      <c r="H4802" t="s">
        <v>11048</v>
      </c>
      <c r="I4802" t="s">
        <v>3629</v>
      </c>
      <c r="J4802" t="s">
        <v>30886</v>
      </c>
      <c r="K4802" t="s">
        <v>38490</v>
      </c>
      <c r="M4802" t="s">
        <v>39355</v>
      </c>
      <c r="N4802" t="s">
        <v>42669</v>
      </c>
      <c r="O4802" t="s">
        <v>42670</v>
      </c>
      <c r="P4802">
        <v>0</v>
      </c>
      <c r="Q4802">
        <v>0</v>
      </c>
      <c r="R4802" t="s">
        <v>42676</v>
      </c>
      <c r="S4802" t="s">
        <v>42809</v>
      </c>
      <c r="T4802" t="s">
        <v>44488</v>
      </c>
      <c r="U4802" t="s">
        <v>48729</v>
      </c>
      <c r="W4802" t="s">
        <v>39355</v>
      </c>
      <c r="X4802" t="s">
        <v>42677</v>
      </c>
    </row>
    <row r="4803" spans="1:24">
      <c r="A4803">
        <f>HYPERLINK("https://www.philgeps.gov.ph/GEPSNONPILOT/Tender/SplashBidNoticeAbstractUI.aspx?menuIndex=3&amp;refID=7188797&amp;Result=3","7188797")</f>
        <v>0</v>
      </c>
      <c r="B4803" t="s">
        <v>1655</v>
      </c>
      <c r="C4803" t="s">
        <v>8123</v>
      </c>
      <c r="D4803" t="s">
        <v>17216</v>
      </c>
      <c r="E4803" t="s">
        <v>8123</v>
      </c>
      <c r="F4803" t="s">
        <v>29372</v>
      </c>
      <c r="G4803" t="s">
        <v>29379</v>
      </c>
      <c r="H4803" t="s">
        <v>11048</v>
      </c>
      <c r="I4803" t="s">
        <v>29410</v>
      </c>
      <c r="J4803" t="s">
        <v>32672</v>
      </c>
      <c r="K4803" t="s">
        <v>38488</v>
      </c>
      <c r="M4803" t="s">
        <v>40512</v>
      </c>
      <c r="N4803" t="s">
        <v>42669</v>
      </c>
      <c r="O4803" t="s">
        <v>42670</v>
      </c>
      <c r="P4803">
        <v>0</v>
      </c>
      <c r="Q4803">
        <v>1</v>
      </c>
      <c r="R4803" t="s">
        <v>42676</v>
      </c>
      <c r="S4803" t="s">
        <v>42809</v>
      </c>
      <c r="T4803" t="s">
        <v>44382</v>
      </c>
      <c r="U4803" t="s">
        <v>48730</v>
      </c>
      <c r="W4803" t="s">
        <v>40512</v>
      </c>
      <c r="X4803" t="s">
        <v>42677</v>
      </c>
    </row>
    <row r="4804" spans="1:24">
      <c r="A4804">
        <f>HYPERLINK("https://www.philgeps.gov.ph/GEPSNONPILOT/Tender/SplashBidNoticeAbstractUI.aspx?menuIndex=3&amp;refID=7188793&amp;Result=3","7188793")</f>
        <v>0</v>
      </c>
      <c r="B4804" t="s">
        <v>1028</v>
      </c>
      <c r="C4804" t="s">
        <v>8124</v>
      </c>
      <c r="D4804" t="s">
        <v>17226</v>
      </c>
      <c r="E4804" t="s">
        <v>21396</v>
      </c>
      <c r="F4804" t="s">
        <v>29372</v>
      </c>
      <c r="G4804" t="s">
        <v>29380</v>
      </c>
      <c r="H4804" t="s">
        <v>29389</v>
      </c>
      <c r="I4804" t="s">
        <v>10408</v>
      </c>
      <c r="J4804" t="s">
        <v>32673</v>
      </c>
      <c r="K4804" t="s">
        <v>38622</v>
      </c>
      <c r="M4804" t="s">
        <v>40586</v>
      </c>
      <c r="N4804" t="s">
        <v>42669</v>
      </c>
      <c r="O4804" t="s">
        <v>42670</v>
      </c>
      <c r="P4804">
        <v>0</v>
      </c>
      <c r="Q4804">
        <v>0</v>
      </c>
      <c r="R4804" t="s">
        <v>42676</v>
      </c>
      <c r="S4804" t="s">
        <v>42809</v>
      </c>
      <c r="T4804" t="s">
        <v>44368</v>
      </c>
      <c r="U4804" t="s">
        <v>48731</v>
      </c>
      <c r="W4804" t="s">
        <v>40586</v>
      </c>
      <c r="X4804" t="s">
        <v>42677</v>
      </c>
    </row>
    <row r="4805" spans="1:24">
      <c r="A4805">
        <f>HYPERLINK("https://www.philgeps.gov.ph/GEPSNONPILOT/Tender/SplashBidNoticeAbstractUI.aspx?menuIndex=3&amp;refID=7188783&amp;Result=3","7188783")</f>
        <v>0</v>
      </c>
      <c r="B4805" t="s">
        <v>1717</v>
      </c>
      <c r="C4805" t="s">
        <v>8125</v>
      </c>
      <c r="D4805" t="s">
        <v>17170</v>
      </c>
      <c r="E4805" t="s">
        <v>18519</v>
      </c>
      <c r="F4805" t="s">
        <v>29372</v>
      </c>
      <c r="G4805" t="s">
        <v>29383</v>
      </c>
      <c r="H4805" t="s">
        <v>11048</v>
      </c>
      <c r="I4805" t="s">
        <v>4709</v>
      </c>
      <c r="J4805" t="s">
        <v>32674</v>
      </c>
      <c r="K4805" t="s">
        <v>38485</v>
      </c>
      <c r="M4805" t="s">
        <v>40580</v>
      </c>
      <c r="N4805" t="s">
        <v>42669</v>
      </c>
      <c r="O4805" t="s">
        <v>42670</v>
      </c>
      <c r="P4805">
        <v>0</v>
      </c>
      <c r="Q4805">
        <v>0</v>
      </c>
      <c r="R4805" t="s">
        <v>42676</v>
      </c>
      <c r="S4805" t="s">
        <v>42809</v>
      </c>
      <c r="T4805" t="s">
        <v>44401</v>
      </c>
      <c r="U4805" t="s">
        <v>48732</v>
      </c>
      <c r="V4805" t="s">
        <v>56899</v>
      </c>
      <c r="W4805" t="s">
        <v>40580</v>
      </c>
      <c r="X4805" t="s">
        <v>42677</v>
      </c>
    </row>
    <row r="4806" spans="1:24">
      <c r="A4806">
        <f>HYPERLINK("https://www.philgeps.gov.ph/GEPSNONPILOT/Tender/SplashBidNoticeAbstractUI.aspx?menuIndex=3&amp;refID=7188772&amp;Result=3","7188772")</f>
        <v>0</v>
      </c>
      <c r="B4806" t="s">
        <v>1723</v>
      </c>
      <c r="C4806" t="s">
        <v>8126</v>
      </c>
      <c r="D4806" t="s">
        <v>17194</v>
      </c>
      <c r="E4806" t="s">
        <v>21397</v>
      </c>
      <c r="F4806" t="s">
        <v>29372</v>
      </c>
      <c r="G4806" t="s">
        <v>29380</v>
      </c>
      <c r="H4806" t="s">
        <v>29389</v>
      </c>
      <c r="I4806" t="s">
        <v>10408</v>
      </c>
      <c r="J4806" t="s">
        <v>29780</v>
      </c>
      <c r="K4806" t="s">
        <v>38496</v>
      </c>
      <c r="M4806" t="s">
        <v>40587</v>
      </c>
      <c r="N4806" t="s">
        <v>42669</v>
      </c>
      <c r="O4806" t="s">
        <v>42670</v>
      </c>
      <c r="P4806">
        <v>0</v>
      </c>
      <c r="Q4806">
        <v>0</v>
      </c>
      <c r="R4806" t="s">
        <v>42676</v>
      </c>
      <c r="S4806" t="s">
        <v>42809</v>
      </c>
      <c r="T4806" t="s">
        <v>44446</v>
      </c>
      <c r="U4806" t="s">
        <v>48733</v>
      </c>
      <c r="W4806" t="s">
        <v>40587</v>
      </c>
      <c r="X4806" t="s">
        <v>42677</v>
      </c>
    </row>
    <row r="4807" spans="1:24">
      <c r="A4807">
        <f>HYPERLINK("https://www.philgeps.gov.ph/GEPSNONPILOT/Tender/SplashBidNoticeAbstractUI.aspx?menuIndex=3&amp;refID=7188786&amp;Result=3","7188786")</f>
        <v>0</v>
      </c>
      <c r="B4807" t="s">
        <v>530</v>
      </c>
      <c r="C4807" t="s">
        <v>8127</v>
      </c>
      <c r="D4807" t="s">
        <v>17201</v>
      </c>
      <c r="E4807" t="s">
        <v>21398</v>
      </c>
      <c r="F4807" t="s">
        <v>29372</v>
      </c>
      <c r="G4807" t="s">
        <v>29379</v>
      </c>
      <c r="H4807" t="s">
        <v>11048</v>
      </c>
      <c r="I4807" t="s">
        <v>4487</v>
      </c>
      <c r="J4807" t="s">
        <v>32675</v>
      </c>
      <c r="K4807" t="s">
        <v>38518</v>
      </c>
      <c r="M4807" t="s">
        <v>39297</v>
      </c>
      <c r="N4807" t="s">
        <v>42669</v>
      </c>
      <c r="O4807" t="s">
        <v>42670</v>
      </c>
      <c r="P4807">
        <v>0</v>
      </c>
      <c r="Q4807">
        <v>1</v>
      </c>
      <c r="R4807" t="s">
        <v>42676</v>
      </c>
      <c r="S4807" t="s">
        <v>42809</v>
      </c>
      <c r="T4807" t="s">
        <v>44570</v>
      </c>
      <c r="U4807" t="s">
        <v>46011</v>
      </c>
      <c r="W4807" t="s">
        <v>39297</v>
      </c>
      <c r="X4807" t="s">
        <v>42677</v>
      </c>
    </row>
    <row r="4808" spans="1:24">
      <c r="A4808">
        <f>HYPERLINK("https://www.philgeps.gov.ph/GEPSNONPILOT/Tender/SplashBidNoticeAbstractUI.aspx?menuIndex=3&amp;refID=7188769&amp;Result=3","7188769")</f>
        <v>0</v>
      </c>
      <c r="B4808" t="s">
        <v>886</v>
      </c>
      <c r="C4808" t="s">
        <v>8128</v>
      </c>
      <c r="D4808" t="s">
        <v>17189</v>
      </c>
      <c r="E4808" t="s">
        <v>21399</v>
      </c>
      <c r="F4808" t="s">
        <v>29372</v>
      </c>
      <c r="G4808" t="s">
        <v>29379</v>
      </c>
      <c r="H4808" t="s">
        <v>11048</v>
      </c>
      <c r="I4808" t="s">
        <v>8208</v>
      </c>
      <c r="J4808" t="s">
        <v>32676</v>
      </c>
      <c r="K4808" t="s">
        <v>38489</v>
      </c>
      <c r="M4808" t="s">
        <v>39678</v>
      </c>
      <c r="N4808" t="s">
        <v>42669</v>
      </c>
      <c r="O4808" t="s">
        <v>42670</v>
      </c>
      <c r="P4808">
        <v>0</v>
      </c>
      <c r="Q4808">
        <v>0</v>
      </c>
      <c r="R4808" t="s">
        <v>42676</v>
      </c>
      <c r="S4808" t="s">
        <v>42809</v>
      </c>
      <c r="T4808" t="s">
        <v>44493</v>
      </c>
      <c r="U4808" t="s">
        <v>46659</v>
      </c>
      <c r="W4808" t="s">
        <v>39678</v>
      </c>
      <c r="X4808" t="s">
        <v>42677</v>
      </c>
    </row>
    <row r="4809" spans="1:24">
      <c r="A4809">
        <f>HYPERLINK("https://www.philgeps.gov.ph/GEPSNONPILOT/Tender/SplashBidNoticeAbstractUI.aspx?menuIndex=3&amp;refID=7188831&amp;Result=3","7188831")</f>
        <v>0</v>
      </c>
      <c r="B4809" t="s">
        <v>1724</v>
      </c>
      <c r="C4809" t="s">
        <v>8129</v>
      </c>
      <c r="E4809" t="s">
        <v>21400</v>
      </c>
      <c r="F4809" t="s">
        <v>29372</v>
      </c>
      <c r="G4809" t="s">
        <v>29380</v>
      </c>
      <c r="H4809" t="s">
        <v>11048</v>
      </c>
      <c r="I4809" t="s">
        <v>10408</v>
      </c>
      <c r="J4809" t="s">
        <v>29829</v>
      </c>
      <c r="K4809" t="s">
        <v>38490</v>
      </c>
      <c r="M4809" t="s">
        <v>40588</v>
      </c>
      <c r="N4809" t="s">
        <v>42669</v>
      </c>
      <c r="O4809" t="s">
        <v>42670</v>
      </c>
      <c r="P4809">
        <v>0</v>
      </c>
      <c r="Q4809">
        <v>5</v>
      </c>
      <c r="R4809" t="s">
        <v>42676</v>
      </c>
      <c r="S4809" t="s">
        <v>42809</v>
      </c>
      <c r="T4809" t="s">
        <v>44459</v>
      </c>
      <c r="U4809" t="s">
        <v>48734</v>
      </c>
      <c r="W4809" t="s">
        <v>40588</v>
      </c>
      <c r="X4809" t="s">
        <v>42677</v>
      </c>
    </row>
    <row r="4810" spans="1:24">
      <c r="A4810">
        <f>HYPERLINK("https://www.philgeps.gov.ph/GEPSNONPILOT/Tender/SplashBidNoticeAbstractUI.aspx?menuIndex=3&amp;refID=7188773&amp;Result=3","7188773")</f>
        <v>0</v>
      </c>
      <c r="B4810" t="s">
        <v>1709</v>
      </c>
      <c r="C4810" t="s">
        <v>8130</v>
      </c>
      <c r="D4810" t="s">
        <v>17202</v>
      </c>
      <c r="E4810" t="s">
        <v>21401</v>
      </c>
      <c r="F4810" t="s">
        <v>29372</v>
      </c>
      <c r="G4810" t="s">
        <v>29380</v>
      </c>
      <c r="H4810" t="s">
        <v>29389</v>
      </c>
      <c r="I4810" t="s">
        <v>10408</v>
      </c>
      <c r="J4810" t="s">
        <v>32677</v>
      </c>
      <c r="K4810" t="s">
        <v>38522</v>
      </c>
      <c r="M4810" t="s">
        <v>40572</v>
      </c>
      <c r="N4810" t="s">
        <v>42669</v>
      </c>
      <c r="O4810" t="s">
        <v>42670</v>
      </c>
      <c r="P4810">
        <v>0</v>
      </c>
      <c r="Q4810">
        <v>1</v>
      </c>
      <c r="R4810" t="s">
        <v>42676</v>
      </c>
      <c r="S4810" t="s">
        <v>42809</v>
      </c>
      <c r="T4810" t="s">
        <v>44450</v>
      </c>
      <c r="U4810" t="s">
        <v>48691</v>
      </c>
      <c r="W4810" t="s">
        <v>40572</v>
      </c>
      <c r="X4810" t="s">
        <v>42677</v>
      </c>
    </row>
    <row r="4811" spans="1:24">
      <c r="A4811">
        <f>HYPERLINK("https://www.philgeps.gov.ph/GEPSNONPILOT/Tender/SplashBidNoticeAbstractUI.aspx?menuIndex=3&amp;refID=7188804&amp;Result=3","7188804")</f>
        <v>0</v>
      </c>
      <c r="B4811" t="s">
        <v>544</v>
      </c>
      <c r="C4811" t="s">
        <v>8131</v>
      </c>
      <c r="D4811" t="s">
        <v>17194</v>
      </c>
      <c r="E4811" t="s">
        <v>21402</v>
      </c>
      <c r="F4811" t="s">
        <v>29372</v>
      </c>
      <c r="G4811" t="s">
        <v>29383</v>
      </c>
      <c r="H4811" t="s">
        <v>11048</v>
      </c>
      <c r="I4811" t="s">
        <v>29407</v>
      </c>
      <c r="J4811" t="s">
        <v>32678</v>
      </c>
      <c r="K4811" t="s">
        <v>38490</v>
      </c>
      <c r="M4811" t="s">
        <v>40276</v>
      </c>
      <c r="N4811" t="s">
        <v>42669</v>
      </c>
      <c r="O4811" t="s">
        <v>42670</v>
      </c>
      <c r="P4811">
        <v>0</v>
      </c>
      <c r="Q4811">
        <v>2</v>
      </c>
      <c r="R4811" t="s">
        <v>42676</v>
      </c>
      <c r="S4811" t="s">
        <v>42809</v>
      </c>
      <c r="T4811" t="s">
        <v>44512</v>
      </c>
      <c r="U4811" t="s">
        <v>48735</v>
      </c>
      <c r="W4811" t="s">
        <v>40276</v>
      </c>
      <c r="X4811" t="s">
        <v>42677</v>
      </c>
    </row>
    <row r="4812" spans="1:24">
      <c r="A4812">
        <f>HYPERLINK("https://www.philgeps.gov.ph/GEPSNONPILOT/Tender/SplashBidNoticeAbstractUI.aspx?menuIndex=3&amp;refID=7188828&amp;Result=3","7188828")</f>
        <v>0</v>
      </c>
      <c r="B4812" t="s">
        <v>1725</v>
      </c>
      <c r="C4812" t="s">
        <v>8132</v>
      </c>
      <c r="D4812" t="s">
        <v>17151</v>
      </c>
      <c r="E4812" t="s">
        <v>21403</v>
      </c>
      <c r="F4812" t="s">
        <v>29372</v>
      </c>
      <c r="G4812" t="s">
        <v>29380</v>
      </c>
      <c r="H4812" t="s">
        <v>11048</v>
      </c>
      <c r="I4812" t="s">
        <v>4709</v>
      </c>
      <c r="J4812" t="s">
        <v>32679</v>
      </c>
      <c r="K4812" t="s">
        <v>38489</v>
      </c>
      <c r="M4812" t="s">
        <v>40589</v>
      </c>
      <c r="N4812" t="s">
        <v>42669</v>
      </c>
      <c r="O4812" t="s">
        <v>42670</v>
      </c>
      <c r="P4812">
        <v>0</v>
      </c>
      <c r="Q4812">
        <v>0</v>
      </c>
      <c r="R4812" t="s">
        <v>42676</v>
      </c>
      <c r="S4812" t="s">
        <v>42809</v>
      </c>
      <c r="T4812" t="s">
        <v>44364</v>
      </c>
      <c r="U4812" t="s">
        <v>48736</v>
      </c>
      <c r="W4812" t="s">
        <v>40589</v>
      </c>
      <c r="X4812" t="s">
        <v>42677</v>
      </c>
    </row>
    <row r="4813" spans="1:24">
      <c r="A4813">
        <f>HYPERLINK("https://www.philgeps.gov.ph/GEPSNONPILOT/Tender/SplashBidNoticeAbstractUI.aspx?menuIndex=3&amp;refID=7188774&amp;Result=3","7188774")</f>
        <v>0</v>
      </c>
      <c r="B4813" t="s">
        <v>586</v>
      </c>
      <c r="C4813" t="s">
        <v>8133</v>
      </c>
      <c r="D4813" t="s">
        <v>17161</v>
      </c>
      <c r="E4813" t="s">
        <v>21404</v>
      </c>
      <c r="F4813" t="s">
        <v>29372</v>
      </c>
      <c r="G4813" t="s">
        <v>29379</v>
      </c>
      <c r="H4813" t="s">
        <v>11048</v>
      </c>
      <c r="I4813" t="s">
        <v>3670</v>
      </c>
      <c r="J4813" t="s">
        <v>32680</v>
      </c>
      <c r="K4813" t="s">
        <v>38490</v>
      </c>
      <c r="M4813" t="s">
        <v>39355</v>
      </c>
      <c r="N4813" t="s">
        <v>42669</v>
      </c>
      <c r="O4813" t="s">
        <v>42670</v>
      </c>
      <c r="P4813">
        <v>0</v>
      </c>
      <c r="Q4813">
        <v>0</v>
      </c>
      <c r="R4813" t="s">
        <v>42676</v>
      </c>
      <c r="S4813" t="s">
        <v>42809</v>
      </c>
      <c r="T4813" t="s">
        <v>44488</v>
      </c>
      <c r="U4813" t="s">
        <v>48737</v>
      </c>
      <c r="W4813" t="s">
        <v>39355</v>
      </c>
      <c r="X4813" t="s">
        <v>42677</v>
      </c>
    </row>
    <row r="4814" spans="1:24">
      <c r="A4814">
        <f>HYPERLINK("https://www.philgeps.gov.ph/GEPSNONPILOT/Tender/SplashBidNoticeAbstractUI.aspx?menuIndex=3&amp;refID=7188829&amp;Result=3","7188829")</f>
        <v>0</v>
      </c>
      <c r="B4814" t="s">
        <v>392</v>
      </c>
      <c r="C4814" t="s">
        <v>8134</v>
      </c>
      <c r="D4814" t="s">
        <v>17143</v>
      </c>
      <c r="E4814" t="s">
        <v>21405</v>
      </c>
      <c r="F4814" t="s">
        <v>29372</v>
      </c>
      <c r="G4814" t="s">
        <v>29380</v>
      </c>
      <c r="H4814" t="s">
        <v>11048</v>
      </c>
      <c r="I4814" t="s">
        <v>29404</v>
      </c>
      <c r="J4814" t="s">
        <v>29619</v>
      </c>
      <c r="K4814" t="s">
        <v>38485</v>
      </c>
      <c r="M4814" t="s">
        <v>39155</v>
      </c>
      <c r="N4814" t="s">
        <v>42669</v>
      </c>
      <c r="O4814" t="s">
        <v>42670</v>
      </c>
      <c r="P4814">
        <v>0</v>
      </c>
      <c r="Q4814">
        <v>1</v>
      </c>
      <c r="R4814" t="s">
        <v>42676</v>
      </c>
      <c r="S4814" t="s">
        <v>42809</v>
      </c>
      <c r="T4814" t="s">
        <v>44676</v>
      </c>
      <c r="U4814" t="s">
        <v>48075</v>
      </c>
      <c r="V4814" t="s">
        <v>56901</v>
      </c>
      <c r="W4814" t="s">
        <v>39155</v>
      </c>
      <c r="X4814" t="s">
        <v>42677</v>
      </c>
    </row>
    <row r="4815" spans="1:24">
      <c r="A4815">
        <f>HYPERLINK("https://www.philgeps.gov.ph/GEPSNONPILOT/Tender/SplashBidNoticeAbstractUI.aspx?menuIndex=3&amp;refID=7188826&amp;Result=3","7188826")</f>
        <v>0</v>
      </c>
      <c r="B4815" t="s">
        <v>1726</v>
      </c>
      <c r="C4815" t="s">
        <v>8135</v>
      </c>
      <c r="D4815" t="s">
        <v>17202</v>
      </c>
      <c r="E4815" t="s">
        <v>21406</v>
      </c>
      <c r="F4815" t="s">
        <v>29372</v>
      </c>
      <c r="G4815" t="s">
        <v>29380</v>
      </c>
      <c r="H4815" t="s">
        <v>29389</v>
      </c>
      <c r="I4815" t="s">
        <v>10408</v>
      </c>
      <c r="J4815" t="s">
        <v>29729</v>
      </c>
      <c r="K4815" t="s">
        <v>38496</v>
      </c>
      <c r="M4815" t="s">
        <v>40590</v>
      </c>
      <c r="N4815" t="s">
        <v>42669</v>
      </c>
      <c r="O4815" t="s">
        <v>42670</v>
      </c>
      <c r="P4815">
        <v>0</v>
      </c>
      <c r="Q4815">
        <v>0</v>
      </c>
      <c r="R4815" t="s">
        <v>42676</v>
      </c>
      <c r="S4815" t="s">
        <v>42809</v>
      </c>
      <c r="T4815" t="s">
        <v>44412</v>
      </c>
      <c r="U4815" t="s">
        <v>48738</v>
      </c>
      <c r="V4815" t="s">
        <v>56902</v>
      </c>
      <c r="W4815" t="s">
        <v>40590</v>
      </c>
      <c r="X4815" t="s">
        <v>42677</v>
      </c>
    </row>
    <row r="4816" spans="1:24">
      <c r="A4816">
        <f>HYPERLINK("https://www.philgeps.gov.ph/GEPSNONPILOT/Tender/SplashBidNoticeAbstractUI.aspx?menuIndex=3&amp;refID=7188846&amp;Result=3","7188846")</f>
        <v>0</v>
      </c>
      <c r="B4816" t="s">
        <v>1341</v>
      </c>
      <c r="C4816" t="s">
        <v>8136</v>
      </c>
      <c r="D4816" t="s">
        <v>17141</v>
      </c>
      <c r="E4816" t="s">
        <v>21407</v>
      </c>
      <c r="F4816" t="s">
        <v>29372</v>
      </c>
      <c r="G4816" t="s">
        <v>29383</v>
      </c>
      <c r="H4816" t="s">
        <v>11048</v>
      </c>
      <c r="I4816" t="s">
        <v>3695</v>
      </c>
      <c r="J4816" t="s">
        <v>32681</v>
      </c>
      <c r="K4816" t="s">
        <v>38490</v>
      </c>
      <c r="M4816" t="s">
        <v>40535</v>
      </c>
      <c r="N4816" t="s">
        <v>42669</v>
      </c>
      <c r="O4816" t="s">
        <v>42670</v>
      </c>
      <c r="P4816">
        <v>0</v>
      </c>
      <c r="Q4816">
        <v>2</v>
      </c>
      <c r="R4816" t="s">
        <v>42676</v>
      </c>
      <c r="S4816" t="s">
        <v>42809</v>
      </c>
      <c r="T4816" t="s">
        <v>44512</v>
      </c>
      <c r="U4816" t="s">
        <v>48739</v>
      </c>
      <c r="W4816" t="s">
        <v>40535</v>
      </c>
      <c r="X4816" t="s">
        <v>42677</v>
      </c>
    </row>
    <row r="4817" spans="1:24">
      <c r="A4817">
        <f>HYPERLINK("https://www.philgeps.gov.ph/GEPSNONPILOT/Tender/SplashBidNoticeAbstractUI.aspx?menuIndex=3&amp;refID=7188844&amp;Result=3","7188844")</f>
        <v>0</v>
      </c>
      <c r="B4817" t="s">
        <v>1727</v>
      </c>
      <c r="C4817" t="s">
        <v>8137</v>
      </c>
      <c r="D4817" t="s">
        <v>17193</v>
      </c>
      <c r="E4817" t="s">
        <v>21408</v>
      </c>
      <c r="F4817" t="s">
        <v>29372</v>
      </c>
      <c r="G4817" t="s">
        <v>29380</v>
      </c>
      <c r="H4817" t="s">
        <v>29389</v>
      </c>
      <c r="I4817" t="s">
        <v>10408</v>
      </c>
      <c r="J4817" t="s">
        <v>30056</v>
      </c>
      <c r="K4817" t="s">
        <v>38490</v>
      </c>
      <c r="M4817" t="s">
        <v>40591</v>
      </c>
      <c r="N4817" t="s">
        <v>42669</v>
      </c>
      <c r="O4817" t="s">
        <v>42670</v>
      </c>
      <c r="P4817">
        <v>0</v>
      </c>
      <c r="Q4817">
        <v>0</v>
      </c>
      <c r="R4817" t="s">
        <v>42676</v>
      </c>
      <c r="S4817" t="s">
        <v>42809</v>
      </c>
      <c r="T4817" t="s">
        <v>44539</v>
      </c>
      <c r="U4817" t="s">
        <v>48740</v>
      </c>
      <c r="W4817" t="s">
        <v>40591</v>
      </c>
      <c r="X4817" t="s">
        <v>42677</v>
      </c>
    </row>
    <row r="4818" spans="1:24">
      <c r="A4818">
        <f>HYPERLINK("https://www.philgeps.gov.ph/GEPSNONPILOT/Tender/SplashBidNoticeAbstractUI.aspx?menuIndex=3&amp;refID=7188778&amp;Result=3","7188778")</f>
        <v>0</v>
      </c>
      <c r="B4818" t="s">
        <v>1676</v>
      </c>
      <c r="C4818" t="s">
        <v>8120</v>
      </c>
      <c r="D4818" t="s">
        <v>17155</v>
      </c>
      <c r="E4818" t="s">
        <v>21409</v>
      </c>
      <c r="F4818" t="s">
        <v>29372</v>
      </c>
      <c r="G4818" t="s">
        <v>29379</v>
      </c>
      <c r="H4818" t="s">
        <v>11048</v>
      </c>
      <c r="I4818" t="s">
        <v>29499</v>
      </c>
      <c r="J4818" t="s">
        <v>29571</v>
      </c>
      <c r="K4818" t="s">
        <v>38488</v>
      </c>
      <c r="M4818" t="s">
        <v>40536</v>
      </c>
      <c r="N4818" t="s">
        <v>42669</v>
      </c>
      <c r="O4818" t="s">
        <v>42670</v>
      </c>
      <c r="P4818">
        <v>0</v>
      </c>
      <c r="Q4818">
        <v>0</v>
      </c>
      <c r="R4818" t="s">
        <v>42676</v>
      </c>
      <c r="S4818" t="s">
        <v>42809</v>
      </c>
      <c r="T4818" t="s">
        <v>44432</v>
      </c>
      <c r="U4818" t="s">
        <v>48741</v>
      </c>
      <c r="W4818" t="s">
        <v>40536</v>
      </c>
      <c r="X4818" t="s">
        <v>42677</v>
      </c>
    </row>
    <row r="4819" spans="1:24">
      <c r="A4819">
        <f>HYPERLINK("https://www.philgeps.gov.ph/GEPSNONPILOT/Tender/SplashBidNoticeAbstractUI.aspx?menuIndex=3&amp;refID=7188840&amp;Result=3","7188840")</f>
        <v>0</v>
      </c>
      <c r="B4819" t="s">
        <v>1728</v>
      </c>
      <c r="C4819" t="s">
        <v>8138</v>
      </c>
      <c r="D4819" t="s">
        <v>17192</v>
      </c>
      <c r="E4819" t="s">
        <v>21410</v>
      </c>
      <c r="F4819" t="s">
        <v>29372</v>
      </c>
      <c r="G4819" t="s">
        <v>29379</v>
      </c>
      <c r="H4819" t="s">
        <v>29389</v>
      </c>
      <c r="I4819" t="s">
        <v>10408</v>
      </c>
      <c r="J4819" t="s">
        <v>29555</v>
      </c>
      <c r="K4819" t="s">
        <v>38490</v>
      </c>
      <c r="M4819" t="s">
        <v>40592</v>
      </c>
      <c r="N4819" t="s">
        <v>42669</v>
      </c>
      <c r="O4819" t="s">
        <v>42670</v>
      </c>
      <c r="P4819">
        <v>0</v>
      </c>
      <c r="Q4819">
        <v>2</v>
      </c>
      <c r="R4819" t="s">
        <v>42676</v>
      </c>
      <c r="S4819" t="s">
        <v>42809</v>
      </c>
      <c r="T4819" t="s">
        <v>44491</v>
      </c>
      <c r="U4819" t="s">
        <v>48742</v>
      </c>
      <c r="W4819" t="s">
        <v>40592</v>
      </c>
      <c r="X4819" t="s">
        <v>42677</v>
      </c>
    </row>
    <row r="4820" spans="1:24">
      <c r="A4820">
        <f>HYPERLINK("https://www.philgeps.gov.ph/GEPSNONPILOT/Tender/SplashBidNoticeAbstractUI.aspx?menuIndex=3&amp;refID=7188834&amp;Result=3","7188834")</f>
        <v>0</v>
      </c>
      <c r="B4820" t="s">
        <v>1729</v>
      </c>
      <c r="C4820" t="s">
        <v>8139</v>
      </c>
      <c r="D4820" t="s">
        <v>17177</v>
      </c>
      <c r="E4820" t="s">
        <v>21411</v>
      </c>
      <c r="F4820" t="s">
        <v>29372</v>
      </c>
      <c r="G4820" t="s">
        <v>29380</v>
      </c>
      <c r="H4820" t="s">
        <v>29389</v>
      </c>
      <c r="I4820" t="s">
        <v>10408</v>
      </c>
      <c r="J4820" t="s">
        <v>32682</v>
      </c>
      <c r="K4820" t="s">
        <v>38485</v>
      </c>
      <c r="M4820" t="s">
        <v>40593</v>
      </c>
      <c r="N4820" t="s">
        <v>42669</v>
      </c>
      <c r="O4820" t="s">
        <v>42670</v>
      </c>
      <c r="P4820">
        <v>0</v>
      </c>
      <c r="Q4820">
        <v>0</v>
      </c>
      <c r="R4820" t="s">
        <v>42676</v>
      </c>
      <c r="S4820" t="s">
        <v>42809</v>
      </c>
      <c r="T4820" t="s">
        <v>44482</v>
      </c>
      <c r="U4820" t="s">
        <v>48743</v>
      </c>
      <c r="W4820" t="s">
        <v>40593</v>
      </c>
      <c r="X4820" t="s">
        <v>42677</v>
      </c>
    </row>
    <row r="4821" spans="1:24">
      <c r="A4821">
        <f>HYPERLINK("https://www.philgeps.gov.ph/GEPSNONPILOT/Tender/SplashBidNoticeAbstractUI.aspx?menuIndex=3&amp;refID=7188788&amp;Result=3","7188788")</f>
        <v>0</v>
      </c>
      <c r="B4821" t="s">
        <v>1730</v>
      </c>
      <c r="C4821" t="s">
        <v>8140</v>
      </c>
      <c r="D4821" t="s">
        <v>17188</v>
      </c>
      <c r="E4821" t="s">
        <v>20823</v>
      </c>
      <c r="F4821" t="s">
        <v>29372</v>
      </c>
      <c r="G4821" t="s">
        <v>29380</v>
      </c>
      <c r="H4821" t="s">
        <v>29389</v>
      </c>
      <c r="I4821" t="s">
        <v>10408</v>
      </c>
      <c r="J4821" t="s">
        <v>29708</v>
      </c>
      <c r="K4821" t="s">
        <v>38491</v>
      </c>
      <c r="M4821" t="s">
        <v>40594</v>
      </c>
      <c r="N4821" t="s">
        <v>42669</v>
      </c>
      <c r="O4821" t="s">
        <v>42670</v>
      </c>
      <c r="P4821">
        <v>0</v>
      </c>
      <c r="Q4821">
        <v>0</v>
      </c>
      <c r="R4821" t="s">
        <v>42676</v>
      </c>
      <c r="S4821" t="s">
        <v>42809</v>
      </c>
      <c r="T4821" t="s">
        <v>44371</v>
      </c>
      <c r="U4821" t="s">
        <v>48744</v>
      </c>
      <c r="W4821" t="s">
        <v>40594</v>
      </c>
      <c r="X4821" t="s">
        <v>42677</v>
      </c>
    </row>
    <row r="4822" spans="1:24">
      <c r="A4822">
        <f>HYPERLINK("https://www.philgeps.gov.ph/GEPSNONPILOT/Tender/SplashBidNoticeAbstractUI.aspx?menuIndex=3&amp;refID=7188838&amp;Result=3","7188838")</f>
        <v>0</v>
      </c>
      <c r="B4822" t="s">
        <v>1712</v>
      </c>
      <c r="C4822" t="s">
        <v>8141</v>
      </c>
      <c r="D4822" t="s">
        <v>17177</v>
      </c>
      <c r="E4822" t="s">
        <v>21412</v>
      </c>
      <c r="F4822" t="s">
        <v>29372</v>
      </c>
      <c r="G4822" t="s">
        <v>29379</v>
      </c>
      <c r="H4822" t="s">
        <v>11048</v>
      </c>
      <c r="I4822" t="s">
        <v>14920</v>
      </c>
      <c r="J4822" t="s">
        <v>31569</v>
      </c>
      <c r="K4822" t="s">
        <v>38510</v>
      </c>
      <c r="M4822" t="s">
        <v>40575</v>
      </c>
      <c r="N4822" t="s">
        <v>42669</v>
      </c>
      <c r="O4822" t="s">
        <v>42670</v>
      </c>
      <c r="Q4822">
        <v>0</v>
      </c>
      <c r="R4822" t="s">
        <v>42676</v>
      </c>
      <c r="S4822" t="s">
        <v>42822</v>
      </c>
      <c r="T4822" t="s">
        <v>44629</v>
      </c>
      <c r="U4822" t="s">
        <v>48745</v>
      </c>
      <c r="W4822" t="s">
        <v>40575</v>
      </c>
      <c r="X4822" t="s">
        <v>42677</v>
      </c>
    </row>
    <row r="4823" spans="1:24">
      <c r="A4823">
        <f>HYPERLINK("https://www.philgeps.gov.ph/GEPSNONPILOT/Tender/SplashBidNoticeAbstractUI.aspx?menuIndex=3&amp;refID=7188833&amp;Result=3","7188833")</f>
        <v>0</v>
      </c>
      <c r="B4823" t="s">
        <v>1731</v>
      </c>
      <c r="C4823" t="s">
        <v>8142</v>
      </c>
      <c r="D4823" t="s">
        <v>17212</v>
      </c>
      <c r="E4823" t="s">
        <v>21413</v>
      </c>
      <c r="F4823" t="s">
        <v>29372</v>
      </c>
      <c r="G4823" t="s">
        <v>29379</v>
      </c>
      <c r="H4823" t="s">
        <v>29390</v>
      </c>
      <c r="I4823" t="s">
        <v>29409</v>
      </c>
      <c r="J4823" t="s">
        <v>31001</v>
      </c>
      <c r="K4823" t="s">
        <v>38485</v>
      </c>
      <c r="M4823" t="s">
        <v>40595</v>
      </c>
      <c r="N4823" t="s">
        <v>42669</v>
      </c>
      <c r="O4823" t="s">
        <v>42670</v>
      </c>
      <c r="P4823">
        <v>0</v>
      </c>
      <c r="Q4823">
        <v>0</v>
      </c>
      <c r="R4823" t="s">
        <v>42676</v>
      </c>
      <c r="S4823" t="s">
        <v>42809</v>
      </c>
      <c r="T4823" t="s">
        <v>44432</v>
      </c>
      <c r="U4823" t="s">
        <v>48746</v>
      </c>
      <c r="W4823" t="s">
        <v>40595</v>
      </c>
      <c r="X4823" t="s">
        <v>42677</v>
      </c>
    </row>
    <row r="4824" spans="1:24">
      <c r="A4824">
        <f>HYPERLINK("https://www.philgeps.gov.ph/GEPSNONPILOT/Tender/SplashBidNoticeAbstractUI.aspx?menuIndex=3&amp;refID=7188825&amp;Result=3","7188825")</f>
        <v>0</v>
      </c>
      <c r="B4824" t="s">
        <v>316</v>
      </c>
      <c r="C4824" t="s">
        <v>8143</v>
      </c>
      <c r="D4824" t="s">
        <v>17212</v>
      </c>
      <c r="E4824" t="s">
        <v>21414</v>
      </c>
      <c r="F4824" t="s">
        <v>29372</v>
      </c>
      <c r="G4824" t="s">
        <v>29380</v>
      </c>
      <c r="H4824" t="s">
        <v>11048</v>
      </c>
      <c r="I4824" t="s">
        <v>5383</v>
      </c>
      <c r="J4824" t="s">
        <v>32683</v>
      </c>
      <c r="K4824" t="s">
        <v>38490</v>
      </c>
      <c r="M4824" t="s">
        <v>39075</v>
      </c>
      <c r="N4824" t="s">
        <v>42669</v>
      </c>
      <c r="O4824" t="s">
        <v>42670</v>
      </c>
      <c r="P4824">
        <v>0</v>
      </c>
      <c r="Q4824">
        <v>6</v>
      </c>
      <c r="R4824" t="s">
        <v>42676</v>
      </c>
      <c r="S4824" t="s">
        <v>42809</v>
      </c>
      <c r="T4824" t="s">
        <v>44542</v>
      </c>
      <c r="U4824" t="s">
        <v>48747</v>
      </c>
      <c r="W4824" t="s">
        <v>39075</v>
      </c>
      <c r="X4824" t="s">
        <v>42677</v>
      </c>
    </row>
    <row r="4825" spans="1:24">
      <c r="A4825">
        <f>HYPERLINK("https://www.philgeps.gov.ph/GEPSNONPILOT/Tender/SplashBidNoticeAbstractUI.aspx?menuIndex=3&amp;refID=7188791&amp;Result=3","7188791")</f>
        <v>0</v>
      </c>
      <c r="B4825" t="s">
        <v>1457</v>
      </c>
      <c r="C4825" t="s">
        <v>8144</v>
      </c>
      <c r="D4825" t="s">
        <v>17174</v>
      </c>
      <c r="E4825" t="s">
        <v>21415</v>
      </c>
      <c r="F4825" t="s">
        <v>29372</v>
      </c>
      <c r="G4825" t="s">
        <v>29379</v>
      </c>
      <c r="H4825" t="s">
        <v>11048</v>
      </c>
      <c r="I4825" t="s">
        <v>4487</v>
      </c>
      <c r="J4825" t="s">
        <v>29619</v>
      </c>
      <c r="K4825" t="s">
        <v>38488</v>
      </c>
      <c r="M4825" t="s">
        <v>40299</v>
      </c>
      <c r="N4825" t="s">
        <v>42669</v>
      </c>
      <c r="O4825" t="s">
        <v>42670</v>
      </c>
      <c r="P4825">
        <v>0</v>
      </c>
      <c r="Q4825">
        <v>4</v>
      </c>
      <c r="R4825" t="s">
        <v>42676</v>
      </c>
      <c r="S4825" t="s">
        <v>42809</v>
      </c>
      <c r="T4825" t="s">
        <v>44491</v>
      </c>
      <c r="U4825" t="s">
        <v>48748</v>
      </c>
      <c r="W4825" t="s">
        <v>40299</v>
      </c>
      <c r="X4825" t="s">
        <v>42677</v>
      </c>
    </row>
    <row r="4826" spans="1:24">
      <c r="A4826">
        <f>HYPERLINK("https://www.philgeps.gov.ph/GEPSNONPILOT/Tender/SplashBidNoticeAbstractUI.aspx?menuIndex=3&amp;refID=7188837&amp;Result=3","7188837")</f>
        <v>0</v>
      </c>
      <c r="B4826" t="s">
        <v>669</v>
      </c>
      <c r="C4826" t="s">
        <v>8145</v>
      </c>
      <c r="D4826" t="s">
        <v>17147</v>
      </c>
      <c r="E4826" t="s">
        <v>21416</v>
      </c>
      <c r="F4826" t="s">
        <v>29372</v>
      </c>
      <c r="G4826" t="s">
        <v>29379</v>
      </c>
      <c r="H4826" t="s">
        <v>11048</v>
      </c>
      <c r="I4826" t="s">
        <v>3839</v>
      </c>
      <c r="J4826" t="s">
        <v>29526</v>
      </c>
      <c r="K4826" t="s">
        <v>38488</v>
      </c>
      <c r="M4826" t="s">
        <v>39445</v>
      </c>
      <c r="N4826" t="s">
        <v>42669</v>
      </c>
      <c r="O4826" t="s">
        <v>42670</v>
      </c>
      <c r="P4826">
        <v>0</v>
      </c>
      <c r="Q4826">
        <v>3</v>
      </c>
      <c r="R4826" t="s">
        <v>42676</v>
      </c>
      <c r="S4826" t="s">
        <v>42809</v>
      </c>
      <c r="T4826" t="s">
        <v>44524</v>
      </c>
      <c r="U4826" t="s">
        <v>48749</v>
      </c>
      <c r="V4826" t="s">
        <v>56531</v>
      </c>
      <c r="W4826" t="s">
        <v>39445</v>
      </c>
      <c r="X4826" t="s">
        <v>42677</v>
      </c>
    </row>
    <row r="4827" spans="1:24">
      <c r="A4827">
        <f>HYPERLINK("https://www.philgeps.gov.ph/GEPSNONPILOT/Tender/SplashBidNoticeAbstractUI.aspx?menuIndex=3&amp;refID=7188888&amp;Result=3","7188888")</f>
        <v>0</v>
      </c>
      <c r="B4827" t="s">
        <v>1732</v>
      </c>
      <c r="C4827" t="s">
        <v>8146</v>
      </c>
      <c r="D4827" t="s">
        <v>17164</v>
      </c>
      <c r="E4827" t="s">
        <v>21417</v>
      </c>
      <c r="F4827" t="s">
        <v>29372</v>
      </c>
      <c r="G4827" t="s">
        <v>29381</v>
      </c>
      <c r="H4827" t="s">
        <v>29389</v>
      </c>
      <c r="I4827" t="s">
        <v>29417</v>
      </c>
      <c r="J4827" t="s">
        <v>32684</v>
      </c>
      <c r="K4827" t="s">
        <v>38488</v>
      </c>
      <c r="M4827" t="s">
        <v>40596</v>
      </c>
      <c r="N4827" t="s">
        <v>42669</v>
      </c>
      <c r="O4827" t="s">
        <v>42670</v>
      </c>
      <c r="P4827">
        <v>0</v>
      </c>
      <c r="Q4827">
        <v>1</v>
      </c>
      <c r="R4827" t="s">
        <v>42676</v>
      </c>
      <c r="S4827" t="s">
        <v>42809</v>
      </c>
      <c r="T4827" t="s">
        <v>44371</v>
      </c>
      <c r="U4827" t="s">
        <v>48750</v>
      </c>
      <c r="W4827" t="s">
        <v>40596</v>
      </c>
      <c r="X4827" t="s">
        <v>42677</v>
      </c>
    </row>
    <row r="4828" spans="1:24">
      <c r="A4828">
        <f>HYPERLINK("https://www.philgeps.gov.ph/GEPSNONPILOT/Tender/SplashBidNoticeAbstractUI.aspx?menuIndex=3&amp;refID=7188817&amp;Result=3","7188817")</f>
        <v>0</v>
      </c>
      <c r="B4828" t="s">
        <v>1676</v>
      </c>
      <c r="C4828" t="s">
        <v>8147</v>
      </c>
      <c r="D4828" t="s">
        <v>17155</v>
      </c>
      <c r="E4828" t="s">
        <v>21418</v>
      </c>
      <c r="F4828" t="s">
        <v>29372</v>
      </c>
      <c r="G4828" t="s">
        <v>29381</v>
      </c>
      <c r="H4828" t="s">
        <v>11048</v>
      </c>
      <c r="I4828" t="s">
        <v>3695</v>
      </c>
      <c r="J4828" t="s">
        <v>32685</v>
      </c>
      <c r="K4828" t="s">
        <v>38488</v>
      </c>
      <c r="M4828" t="s">
        <v>40536</v>
      </c>
      <c r="N4828" t="s">
        <v>42669</v>
      </c>
      <c r="O4828" t="s">
        <v>42670</v>
      </c>
      <c r="P4828">
        <v>0</v>
      </c>
      <c r="Q4828">
        <v>0</v>
      </c>
      <c r="R4828" t="s">
        <v>42676</v>
      </c>
      <c r="S4828" t="s">
        <v>42809</v>
      </c>
      <c r="T4828" t="s">
        <v>44432</v>
      </c>
      <c r="U4828" t="s">
        <v>48751</v>
      </c>
      <c r="W4828" t="s">
        <v>40536</v>
      </c>
      <c r="X4828" t="s">
        <v>42677</v>
      </c>
    </row>
    <row r="4829" spans="1:24">
      <c r="A4829">
        <f>HYPERLINK("https://www.philgeps.gov.ph/GEPSNONPILOT/Tender/SplashBidNoticeAbstractUI.aspx?menuIndex=3&amp;refID=7188884&amp;Result=3","7188884")</f>
        <v>0</v>
      </c>
      <c r="B4829" t="s">
        <v>616</v>
      </c>
      <c r="C4829" t="s">
        <v>8148</v>
      </c>
      <c r="D4829" t="s">
        <v>17143</v>
      </c>
      <c r="E4829" t="s">
        <v>21419</v>
      </c>
      <c r="F4829" t="s">
        <v>29372</v>
      </c>
      <c r="G4829" t="s">
        <v>29379</v>
      </c>
      <c r="H4829" t="s">
        <v>29389</v>
      </c>
      <c r="I4829" t="s">
        <v>10408</v>
      </c>
      <c r="J4829" t="s">
        <v>32686</v>
      </c>
      <c r="K4829" t="s">
        <v>38495</v>
      </c>
      <c r="M4829" t="s">
        <v>40597</v>
      </c>
      <c r="N4829" t="s">
        <v>42669</v>
      </c>
      <c r="O4829" t="s">
        <v>42670</v>
      </c>
      <c r="Q4829">
        <v>1</v>
      </c>
      <c r="R4829" t="s">
        <v>42676</v>
      </c>
      <c r="S4829" t="s">
        <v>42823</v>
      </c>
      <c r="T4829" t="s">
        <v>44509</v>
      </c>
      <c r="U4829" t="s">
        <v>48752</v>
      </c>
      <c r="W4829" t="s">
        <v>40597</v>
      </c>
      <c r="X4829" t="s">
        <v>42677</v>
      </c>
    </row>
    <row r="4830" spans="1:24">
      <c r="A4830">
        <f>HYPERLINK("https://www.philgeps.gov.ph/GEPSNONPILOT/Tender/SplashBidNoticeAbstractUI.aspx?menuIndex=3&amp;refID=7188883&amp;Result=3","7188883")</f>
        <v>0</v>
      </c>
      <c r="B4830" t="s">
        <v>1733</v>
      </c>
      <c r="C4830" t="s">
        <v>8149</v>
      </c>
      <c r="D4830" t="s">
        <v>17174</v>
      </c>
      <c r="E4830" t="s">
        <v>21420</v>
      </c>
      <c r="F4830" t="s">
        <v>29372</v>
      </c>
      <c r="G4830" t="s">
        <v>29380</v>
      </c>
      <c r="H4830" t="s">
        <v>29389</v>
      </c>
      <c r="I4830" t="s">
        <v>10408</v>
      </c>
      <c r="J4830" t="s">
        <v>32687</v>
      </c>
      <c r="K4830" t="s">
        <v>38526</v>
      </c>
      <c r="M4830" t="s">
        <v>40598</v>
      </c>
      <c r="N4830" t="s">
        <v>42669</v>
      </c>
      <c r="O4830" t="s">
        <v>42670</v>
      </c>
      <c r="P4830">
        <v>0</v>
      </c>
      <c r="Q4830">
        <v>0</v>
      </c>
      <c r="R4830" t="s">
        <v>42676</v>
      </c>
      <c r="S4830" t="s">
        <v>42809</v>
      </c>
      <c r="T4830" t="s">
        <v>44544</v>
      </c>
      <c r="U4830" t="s">
        <v>48753</v>
      </c>
      <c r="W4830" t="s">
        <v>40598</v>
      </c>
      <c r="X4830" t="s">
        <v>42677</v>
      </c>
    </row>
    <row r="4831" spans="1:24">
      <c r="A4831">
        <f>HYPERLINK("https://www.philgeps.gov.ph/GEPSNONPILOT/Tender/SplashBidNoticeAbstractUI.aspx?menuIndex=3&amp;refID=7188816&amp;Result=3","7188816")</f>
        <v>0</v>
      </c>
      <c r="B4831" t="s">
        <v>1709</v>
      </c>
      <c r="C4831" t="s">
        <v>8150</v>
      </c>
      <c r="D4831" t="s">
        <v>17202</v>
      </c>
      <c r="E4831" t="s">
        <v>21421</v>
      </c>
      <c r="F4831" t="s">
        <v>29372</v>
      </c>
      <c r="G4831" t="s">
        <v>29380</v>
      </c>
      <c r="H4831" t="s">
        <v>29389</v>
      </c>
      <c r="I4831" t="s">
        <v>10408</v>
      </c>
      <c r="J4831" t="s">
        <v>32058</v>
      </c>
      <c r="K4831" t="s">
        <v>38564</v>
      </c>
      <c r="M4831" t="s">
        <v>40572</v>
      </c>
      <c r="N4831" t="s">
        <v>42669</v>
      </c>
      <c r="O4831" t="s">
        <v>42670</v>
      </c>
      <c r="P4831">
        <v>0</v>
      </c>
      <c r="Q4831">
        <v>1</v>
      </c>
      <c r="R4831" t="s">
        <v>42676</v>
      </c>
      <c r="S4831" t="s">
        <v>42809</v>
      </c>
      <c r="T4831" t="s">
        <v>44450</v>
      </c>
      <c r="U4831" t="s">
        <v>48691</v>
      </c>
      <c r="W4831" t="s">
        <v>40572</v>
      </c>
      <c r="X4831" t="s">
        <v>42677</v>
      </c>
    </row>
    <row r="4832" spans="1:24">
      <c r="A4832">
        <f>HYPERLINK("https://www.philgeps.gov.ph/GEPSNONPILOT/Tender/SplashBidNoticeAbstractUI.aspx?menuIndex=3&amp;refID=7188879&amp;Result=3","7188879")</f>
        <v>0</v>
      </c>
      <c r="B4832" t="s">
        <v>1202</v>
      </c>
      <c r="C4832" t="s">
        <v>8151</v>
      </c>
      <c r="E4832" t="s">
        <v>21422</v>
      </c>
      <c r="F4832" t="s">
        <v>29372</v>
      </c>
      <c r="G4832" t="s">
        <v>29382</v>
      </c>
      <c r="H4832" t="s">
        <v>11048</v>
      </c>
      <c r="I4832" t="s">
        <v>4487</v>
      </c>
      <c r="J4832" t="s">
        <v>32688</v>
      </c>
      <c r="K4832" t="s">
        <v>38490</v>
      </c>
      <c r="M4832" t="s">
        <v>40019</v>
      </c>
      <c r="N4832" t="s">
        <v>42669</v>
      </c>
      <c r="O4832" t="s">
        <v>42670</v>
      </c>
      <c r="P4832">
        <v>0</v>
      </c>
      <c r="Q4832">
        <v>5</v>
      </c>
      <c r="R4832" t="s">
        <v>42676</v>
      </c>
      <c r="S4832" t="s">
        <v>42809</v>
      </c>
      <c r="T4832" t="s">
        <v>44432</v>
      </c>
      <c r="U4832" t="s">
        <v>48754</v>
      </c>
      <c r="W4832" t="s">
        <v>40019</v>
      </c>
      <c r="X4832" t="s">
        <v>42677</v>
      </c>
    </row>
    <row r="4833" spans="1:24">
      <c r="A4833">
        <f>HYPERLINK("https://www.philgeps.gov.ph/GEPSNONPILOT/Tender/SplashBidNoticeAbstractUI.aspx?menuIndex=3&amp;refID=7188878&amp;Result=3","7188878")</f>
        <v>0</v>
      </c>
      <c r="B4833" t="s">
        <v>1732</v>
      </c>
      <c r="C4833" t="s">
        <v>8152</v>
      </c>
      <c r="D4833" t="s">
        <v>17164</v>
      </c>
      <c r="E4833" t="s">
        <v>21423</v>
      </c>
      <c r="F4833" t="s">
        <v>29372</v>
      </c>
      <c r="G4833" t="s">
        <v>29381</v>
      </c>
      <c r="H4833" t="s">
        <v>29389</v>
      </c>
      <c r="I4833" t="s">
        <v>10408</v>
      </c>
      <c r="J4833" t="s">
        <v>32328</v>
      </c>
      <c r="K4833" t="s">
        <v>38488</v>
      </c>
      <c r="M4833" t="s">
        <v>40596</v>
      </c>
      <c r="N4833" t="s">
        <v>42669</v>
      </c>
      <c r="O4833" t="s">
        <v>42670</v>
      </c>
      <c r="P4833">
        <v>0</v>
      </c>
      <c r="Q4833">
        <v>0</v>
      </c>
      <c r="R4833" t="s">
        <v>42676</v>
      </c>
      <c r="S4833" t="s">
        <v>42809</v>
      </c>
      <c r="T4833" t="s">
        <v>44387</v>
      </c>
      <c r="U4833" t="s">
        <v>48755</v>
      </c>
      <c r="W4833" t="s">
        <v>40596</v>
      </c>
      <c r="X4833" t="s">
        <v>42677</v>
      </c>
    </row>
    <row r="4834" spans="1:24">
      <c r="A4834">
        <f>HYPERLINK("https://www.philgeps.gov.ph/GEPSNONPILOT/Tender/SplashBidNoticeAbstractUI.aspx?menuIndex=3&amp;refID=7188875&amp;Result=3","7188875")</f>
        <v>0</v>
      </c>
      <c r="B4834" t="s">
        <v>579</v>
      </c>
      <c r="C4834" t="s">
        <v>8153</v>
      </c>
      <c r="D4834" t="s">
        <v>17141</v>
      </c>
      <c r="E4834" t="s">
        <v>21424</v>
      </c>
      <c r="F4834" t="s">
        <v>29373</v>
      </c>
      <c r="G4834" t="s">
        <v>29380</v>
      </c>
      <c r="H4834" t="s">
        <v>11048</v>
      </c>
      <c r="I4834" t="s">
        <v>29473</v>
      </c>
      <c r="J4834" t="s">
        <v>29708</v>
      </c>
      <c r="K4834" t="s">
        <v>38485</v>
      </c>
      <c r="M4834" t="s">
        <v>39348</v>
      </c>
      <c r="N4834" t="s">
        <v>42669</v>
      </c>
      <c r="O4834" t="s">
        <v>42670</v>
      </c>
      <c r="P4834">
        <v>0</v>
      </c>
      <c r="Q4834">
        <v>1</v>
      </c>
      <c r="R4834" t="s">
        <v>42676</v>
      </c>
      <c r="S4834" t="s">
        <v>42809</v>
      </c>
      <c r="T4834" t="s">
        <v>44450</v>
      </c>
      <c r="U4834" t="s">
        <v>48756</v>
      </c>
      <c r="V4834" t="s">
        <v>56504</v>
      </c>
      <c r="W4834" t="s">
        <v>39348</v>
      </c>
      <c r="X4834" t="s">
        <v>42677</v>
      </c>
    </row>
    <row r="4835" spans="1:24">
      <c r="A4835">
        <f>HYPERLINK("https://www.philgeps.gov.ph/GEPSNONPILOT/Tender/SplashBidNoticeAbstractUI.aspx?menuIndex=3&amp;refID=7188762&amp;Result=3","7188762")</f>
        <v>0</v>
      </c>
      <c r="B4835" t="s">
        <v>1726</v>
      </c>
      <c r="C4835" t="s">
        <v>8154</v>
      </c>
      <c r="D4835" t="s">
        <v>17202</v>
      </c>
      <c r="E4835" t="s">
        <v>21425</v>
      </c>
      <c r="F4835" t="s">
        <v>29372</v>
      </c>
      <c r="G4835" t="s">
        <v>29380</v>
      </c>
      <c r="H4835" t="s">
        <v>29389</v>
      </c>
      <c r="I4835" t="s">
        <v>10408</v>
      </c>
      <c r="J4835" t="s">
        <v>32689</v>
      </c>
      <c r="K4835" t="s">
        <v>38496</v>
      </c>
      <c r="M4835" t="s">
        <v>40590</v>
      </c>
      <c r="N4835" t="s">
        <v>42669</v>
      </c>
      <c r="O4835" t="s">
        <v>42670</v>
      </c>
      <c r="P4835">
        <v>0</v>
      </c>
      <c r="Q4835">
        <v>1</v>
      </c>
      <c r="R4835" t="s">
        <v>42676</v>
      </c>
      <c r="S4835" t="s">
        <v>42809</v>
      </c>
      <c r="T4835" t="s">
        <v>44412</v>
      </c>
      <c r="U4835" t="s">
        <v>48757</v>
      </c>
      <c r="V4835" t="s">
        <v>56902</v>
      </c>
      <c r="W4835" t="s">
        <v>40590</v>
      </c>
      <c r="X4835" t="s">
        <v>42677</v>
      </c>
    </row>
    <row r="4836" spans="1:24">
      <c r="A4836">
        <f>HYPERLINK("https://www.philgeps.gov.ph/GEPSNONPILOT/Tender/SplashBidNoticeAbstractUI.aspx?menuIndex=3&amp;refID=7188870&amp;Result=3","7188870")</f>
        <v>0</v>
      </c>
      <c r="B4836" t="s">
        <v>1728</v>
      </c>
      <c r="C4836" t="s">
        <v>8155</v>
      </c>
      <c r="D4836" t="s">
        <v>17192</v>
      </c>
      <c r="E4836" t="s">
        <v>21426</v>
      </c>
      <c r="F4836" t="s">
        <v>29372</v>
      </c>
      <c r="G4836" t="s">
        <v>29379</v>
      </c>
      <c r="H4836" t="s">
        <v>11048</v>
      </c>
      <c r="I4836" t="s">
        <v>29447</v>
      </c>
      <c r="J4836" t="s">
        <v>29625</v>
      </c>
      <c r="K4836" t="s">
        <v>38490</v>
      </c>
      <c r="M4836" t="s">
        <v>40592</v>
      </c>
      <c r="N4836" t="s">
        <v>42669</v>
      </c>
      <c r="O4836" t="s">
        <v>42670</v>
      </c>
      <c r="P4836">
        <v>0</v>
      </c>
      <c r="Q4836">
        <v>8</v>
      </c>
      <c r="R4836" t="s">
        <v>42676</v>
      </c>
      <c r="S4836" t="s">
        <v>42809</v>
      </c>
      <c r="T4836" t="s">
        <v>44399</v>
      </c>
      <c r="U4836" t="s">
        <v>48758</v>
      </c>
      <c r="W4836" t="s">
        <v>40592</v>
      </c>
      <c r="X4836" t="s">
        <v>42677</v>
      </c>
    </row>
    <row r="4837" spans="1:24">
      <c r="A4837">
        <f>HYPERLINK("https://www.philgeps.gov.ph/GEPSNONPILOT/Tender/SplashBidNoticeAbstractUI.aspx?menuIndex=3&amp;refID=7188868&amp;Result=3","7188868")</f>
        <v>0</v>
      </c>
      <c r="B4837" t="s">
        <v>1734</v>
      </c>
      <c r="C4837" t="s">
        <v>8156</v>
      </c>
      <c r="D4837" t="s">
        <v>17167</v>
      </c>
      <c r="E4837" t="s">
        <v>21427</v>
      </c>
      <c r="F4837" t="s">
        <v>29372</v>
      </c>
      <c r="G4837" t="s">
        <v>29383</v>
      </c>
      <c r="H4837" t="s">
        <v>11048</v>
      </c>
      <c r="I4837" t="s">
        <v>29456</v>
      </c>
      <c r="J4837" t="s">
        <v>32690</v>
      </c>
      <c r="K4837" t="s">
        <v>38510</v>
      </c>
      <c r="M4837" t="s">
        <v>40599</v>
      </c>
      <c r="N4837" t="s">
        <v>42669</v>
      </c>
      <c r="O4837" t="s">
        <v>42670</v>
      </c>
      <c r="P4837">
        <v>0</v>
      </c>
      <c r="Q4837">
        <v>2</v>
      </c>
      <c r="R4837" t="s">
        <v>42676</v>
      </c>
      <c r="S4837" t="s">
        <v>42809</v>
      </c>
      <c r="T4837" t="s">
        <v>44481</v>
      </c>
      <c r="U4837" t="s">
        <v>48759</v>
      </c>
      <c r="V4837" t="s">
        <v>56903</v>
      </c>
      <c r="W4837" t="s">
        <v>40599</v>
      </c>
      <c r="X4837" t="s">
        <v>42677</v>
      </c>
    </row>
    <row r="4838" spans="1:24">
      <c r="A4838">
        <f>HYPERLINK("https://www.philgeps.gov.ph/GEPSNONPILOT/Tender/SplashBidNoticeAbstractUI.aspx?menuIndex=3&amp;refID=7188861&amp;Result=3","7188861")</f>
        <v>0</v>
      </c>
      <c r="B4838" t="s">
        <v>1372</v>
      </c>
      <c r="C4838" t="s">
        <v>8157</v>
      </c>
      <c r="D4838" t="s">
        <v>17209</v>
      </c>
      <c r="E4838" t="s">
        <v>21428</v>
      </c>
      <c r="F4838" t="s">
        <v>29372</v>
      </c>
      <c r="G4838" t="s">
        <v>29379</v>
      </c>
      <c r="H4838" t="s">
        <v>11048</v>
      </c>
      <c r="I4838" t="s">
        <v>3839</v>
      </c>
      <c r="J4838" t="s">
        <v>32691</v>
      </c>
      <c r="K4838" t="s">
        <v>38488</v>
      </c>
      <c r="M4838" t="s">
        <v>40209</v>
      </c>
      <c r="N4838" t="s">
        <v>42669</v>
      </c>
      <c r="O4838" t="s">
        <v>42670</v>
      </c>
      <c r="P4838">
        <v>0</v>
      </c>
      <c r="Q4838">
        <v>2</v>
      </c>
      <c r="R4838" t="s">
        <v>42676</v>
      </c>
      <c r="S4838" t="s">
        <v>42809</v>
      </c>
      <c r="T4838" t="s">
        <v>44417</v>
      </c>
      <c r="U4838" t="s">
        <v>48760</v>
      </c>
      <c r="W4838" t="s">
        <v>40209</v>
      </c>
      <c r="X4838" t="s">
        <v>42677</v>
      </c>
    </row>
    <row r="4839" spans="1:24">
      <c r="A4839">
        <f>HYPERLINK("https://www.philgeps.gov.ph/GEPSNONPILOT/Tender/SplashBidNoticeAbstractUI.aspx?menuIndex=3&amp;refID=7188860&amp;Result=3","7188860")</f>
        <v>0</v>
      </c>
      <c r="B4839" t="s">
        <v>1735</v>
      </c>
      <c r="C4839" t="s">
        <v>8158</v>
      </c>
      <c r="D4839" t="s">
        <v>17168</v>
      </c>
      <c r="E4839" t="s">
        <v>19663</v>
      </c>
      <c r="F4839" t="s">
        <v>29372</v>
      </c>
      <c r="G4839" t="s">
        <v>29379</v>
      </c>
      <c r="H4839" t="s">
        <v>11048</v>
      </c>
      <c r="I4839" t="s">
        <v>4487</v>
      </c>
      <c r="J4839" t="s">
        <v>32692</v>
      </c>
      <c r="K4839" t="s">
        <v>38487</v>
      </c>
      <c r="M4839" t="s">
        <v>40600</v>
      </c>
      <c r="N4839" t="s">
        <v>42669</v>
      </c>
      <c r="O4839" t="s">
        <v>42670</v>
      </c>
      <c r="P4839">
        <v>0</v>
      </c>
      <c r="Q4839">
        <v>14</v>
      </c>
      <c r="R4839" t="s">
        <v>42676</v>
      </c>
      <c r="S4839" t="s">
        <v>42809</v>
      </c>
      <c r="T4839" t="s">
        <v>44401</v>
      </c>
      <c r="U4839" t="s">
        <v>48761</v>
      </c>
      <c r="W4839" t="s">
        <v>40600</v>
      </c>
      <c r="X4839" t="s">
        <v>42677</v>
      </c>
    </row>
    <row r="4840" spans="1:24">
      <c r="A4840">
        <f>HYPERLINK("https://www.philgeps.gov.ph/GEPSNONPILOT/Tender/SplashBidNoticeAbstractUI.aspx?menuIndex=3&amp;refID=7188857&amp;Result=3","7188857")</f>
        <v>0</v>
      </c>
      <c r="B4840" t="s">
        <v>1736</v>
      </c>
      <c r="C4840" t="s">
        <v>8159</v>
      </c>
      <c r="D4840" t="s">
        <v>17181</v>
      </c>
      <c r="E4840" t="s">
        <v>18595</v>
      </c>
      <c r="F4840" t="s">
        <v>29372</v>
      </c>
      <c r="G4840" t="s">
        <v>29380</v>
      </c>
      <c r="H4840" t="s">
        <v>11048</v>
      </c>
      <c r="I4840" t="s">
        <v>4709</v>
      </c>
      <c r="J4840" t="s">
        <v>32693</v>
      </c>
      <c r="K4840" t="s">
        <v>38488</v>
      </c>
      <c r="M4840" t="s">
        <v>40601</v>
      </c>
      <c r="N4840" t="s">
        <v>42669</v>
      </c>
      <c r="O4840" t="s">
        <v>42670</v>
      </c>
      <c r="P4840">
        <v>0</v>
      </c>
      <c r="Q4840">
        <v>0</v>
      </c>
      <c r="R4840" t="s">
        <v>42676</v>
      </c>
      <c r="S4840" t="s">
        <v>42809</v>
      </c>
      <c r="T4840" t="s">
        <v>44517</v>
      </c>
      <c r="U4840" t="s">
        <v>48762</v>
      </c>
      <c r="W4840" t="s">
        <v>40601</v>
      </c>
      <c r="X4840" t="s">
        <v>42677</v>
      </c>
    </row>
    <row r="4841" spans="1:24">
      <c r="A4841">
        <f>HYPERLINK("https://www.philgeps.gov.ph/GEPSNONPILOT/Tender/SplashBidNoticeAbstractUI.aspx?menuIndex=3&amp;refID=7188855&amp;Result=3","7188855")</f>
        <v>0</v>
      </c>
      <c r="B4841" t="s">
        <v>1094</v>
      </c>
      <c r="C4841" t="s">
        <v>8160</v>
      </c>
      <c r="D4841" t="s">
        <v>17213</v>
      </c>
      <c r="E4841" t="s">
        <v>21429</v>
      </c>
      <c r="F4841" t="s">
        <v>29372</v>
      </c>
      <c r="G4841" t="s">
        <v>29379</v>
      </c>
      <c r="H4841" t="s">
        <v>11048</v>
      </c>
      <c r="I4841" t="s">
        <v>29404</v>
      </c>
      <c r="J4841" t="s">
        <v>30540</v>
      </c>
      <c r="K4841" t="s">
        <v>38491</v>
      </c>
      <c r="L4841" t="s">
        <v>1094</v>
      </c>
      <c r="M4841" t="s">
        <v>39901</v>
      </c>
      <c r="N4841" t="s">
        <v>42669</v>
      </c>
      <c r="O4841" t="s">
        <v>42670</v>
      </c>
      <c r="P4841">
        <v>0</v>
      </c>
      <c r="Q4841">
        <v>2</v>
      </c>
      <c r="R4841" t="s">
        <v>42676</v>
      </c>
      <c r="S4841" t="s">
        <v>42809</v>
      </c>
      <c r="T4841" t="s">
        <v>44570</v>
      </c>
      <c r="U4841" t="s">
        <v>48763</v>
      </c>
      <c r="V4841" t="s">
        <v>56671</v>
      </c>
      <c r="W4841" t="s">
        <v>39901</v>
      </c>
      <c r="X4841" t="s">
        <v>42677</v>
      </c>
    </row>
    <row r="4842" spans="1:24">
      <c r="A4842">
        <f>HYPERLINK("https://www.philgeps.gov.ph/GEPSNONPILOT/Tender/SplashBidNoticeAbstractUI.aspx?menuIndex=3&amp;refID=7188877&amp;Result=3","7188877")</f>
        <v>0</v>
      </c>
      <c r="B4842" t="s">
        <v>52</v>
      </c>
      <c r="C4842" t="s">
        <v>8161</v>
      </c>
      <c r="D4842" t="s">
        <v>17192</v>
      </c>
      <c r="E4842" t="s">
        <v>21430</v>
      </c>
      <c r="F4842" t="s">
        <v>29372</v>
      </c>
      <c r="G4842" t="s">
        <v>29379</v>
      </c>
      <c r="H4842" t="s">
        <v>11048</v>
      </c>
      <c r="I4842" t="s">
        <v>14920</v>
      </c>
      <c r="J4842" t="s">
        <v>29721</v>
      </c>
      <c r="K4842" t="s">
        <v>38522</v>
      </c>
      <c r="M4842" t="s">
        <v>38805</v>
      </c>
      <c r="N4842" t="s">
        <v>42669</v>
      </c>
      <c r="O4842" t="s">
        <v>42670</v>
      </c>
      <c r="P4842">
        <v>0</v>
      </c>
      <c r="Q4842">
        <v>5</v>
      </c>
      <c r="R4842" t="s">
        <v>42676</v>
      </c>
      <c r="S4842" t="s">
        <v>42809</v>
      </c>
      <c r="T4842" t="s">
        <v>44431</v>
      </c>
      <c r="U4842" t="s">
        <v>48764</v>
      </c>
      <c r="W4842" t="s">
        <v>38805</v>
      </c>
      <c r="X4842" t="s">
        <v>42677</v>
      </c>
    </row>
    <row r="4843" spans="1:24">
      <c r="A4843">
        <f>HYPERLINK("https://www.philgeps.gov.ph/GEPSNONPILOT/Tender/SplashBidNoticeAbstractUI.aspx?menuIndex=3&amp;refID=7188872&amp;Result=3","7188872")</f>
        <v>0</v>
      </c>
      <c r="B4843" t="s">
        <v>1726</v>
      </c>
      <c r="C4843" t="s">
        <v>8162</v>
      </c>
      <c r="D4843" t="s">
        <v>17202</v>
      </c>
      <c r="E4843" t="s">
        <v>21431</v>
      </c>
      <c r="F4843" t="s">
        <v>29372</v>
      </c>
      <c r="G4843" t="s">
        <v>29380</v>
      </c>
      <c r="H4843" t="s">
        <v>29389</v>
      </c>
      <c r="I4843" t="s">
        <v>10408</v>
      </c>
      <c r="J4843" t="s">
        <v>29590</v>
      </c>
      <c r="K4843" t="s">
        <v>38487</v>
      </c>
      <c r="M4843" t="s">
        <v>40590</v>
      </c>
      <c r="N4843" t="s">
        <v>42669</v>
      </c>
      <c r="O4843" t="s">
        <v>42670</v>
      </c>
      <c r="P4843">
        <v>0</v>
      </c>
      <c r="Q4843">
        <v>0</v>
      </c>
      <c r="R4843" t="s">
        <v>42676</v>
      </c>
      <c r="S4843" t="s">
        <v>42809</v>
      </c>
      <c r="T4843" t="s">
        <v>44412</v>
      </c>
      <c r="U4843" t="s">
        <v>48765</v>
      </c>
      <c r="V4843" t="s">
        <v>56902</v>
      </c>
      <c r="W4843" t="s">
        <v>40590</v>
      </c>
      <c r="X4843" t="s">
        <v>42677</v>
      </c>
    </row>
    <row r="4844" spans="1:24">
      <c r="A4844">
        <f>HYPERLINK("https://www.philgeps.gov.ph/GEPSNONPILOT/Tender/SplashBidNoticeAbstractUI.aspx?menuIndex=3&amp;refID=7188935&amp;Result=3","7188935")</f>
        <v>0</v>
      </c>
      <c r="B4844" t="s">
        <v>1341</v>
      </c>
      <c r="C4844" t="s">
        <v>8163</v>
      </c>
      <c r="D4844" t="s">
        <v>17141</v>
      </c>
      <c r="E4844" t="s">
        <v>21432</v>
      </c>
      <c r="F4844" t="s">
        <v>29372</v>
      </c>
      <c r="G4844" t="s">
        <v>29383</v>
      </c>
      <c r="H4844" t="s">
        <v>11048</v>
      </c>
      <c r="I4844" t="s">
        <v>3695</v>
      </c>
      <c r="J4844" t="s">
        <v>29650</v>
      </c>
      <c r="K4844" t="s">
        <v>38490</v>
      </c>
      <c r="M4844" t="s">
        <v>40535</v>
      </c>
      <c r="N4844" t="s">
        <v>42669</v>
      </c>
      <c r="O4844" t="s">
        <v>42670</v>
      </c>
      <c r="P4844">
        <v>0</v>
      </c>
      <c r="Q4844">
        <v>2</v>
      </c>
      <c r="R4844" t="s">
        <v>42676</v>
      </c>
      <c r="S4844" t="s">
        <v>42809</v>
      </c>
      <c r="T4844" t="s">
        <v>44512</v>
      </c>
      <c r="U4844" t="s">
        <v>48766</v>
      </c>
      <c r="W4844" t="s">
        <v>40535</v>
      </c>
      <c r="X4844" t="s">
        <v>42677</v>
      </c>
    </row>
    <row r="4845" spans="1:24">
      <c r="A4845">
        <f>HYPERLINK("https://www.philgeps.gov.ph/GEPSNONPILOT/Tender/SplashBidNoticeAbstractUI.aspx?menuIndex=3&amp;refID=7188864&amp;Result=3","7188864")</f>
        <v>0</v>
      </c>
      <c r="B4845" t="s">
        <v>1737</v>
      </c>
      <c r="C4845" t="s">
        <v>8164</v>
      </c>
      <c r="D4845" t="s">
        <v>17221</v>
      </c>
      <c r="E4845" t="s">
        <v>21433</v>
      </c>
      <c r="F4845" t="s">
        <v>29372</v>
      </c>
      <c r="G4845" t="s">
        <v>29383</v>
      </c>
      <c r="H4845" t="s">
        <v>11048</v>
      </c>
      <c r="I4845" t="s">
        <v>29409</v>
      </c>
      <c r="J4845" t="s">
        <v>29571</v>
      </c>
      <c r="K4845" t="s">
        <v>38491</v>
      </c>
      <c r="M4845" t="s">
        <v>40602</v>
      </c>
      <c r="N4845" t="s">
        <v>42669</v>
      </c>
      <c r="O4845" t="s">
        <v>42670</v>
      </c>
      <c r="P4845">
        <v>0</v>
      </c>
      <c r="Q4845">
        <v>1</v>
      </c>
      <c r="R4845" t="s">
        <v>42676</v>
      </c>
      <c r="S4845" t="s">
        <v>42809</v>
      </c>
      <c r="T4845" t="s">
        <v>44525</v>
      </c>
      <c r="U4845" t="s">
        <v>48767</v>
      </c>
      <c r="W4845" t="s">
        <v>40602</v>
      </c>
      <c r="X4845" t="s">
        <v>42677</v>
      </c>
    </row>
    <row r="4846" spans="1:24">
      <c r="A4846">
        <f>HYPERLINK("https://www.philgeps.gov.ph/GEPSNONPILOT/Tender/SplashBidNoticeAbstractUI.aspx?menuIndex=3&amp;refID=7188932&amp;Result=3","7188932")</f>
        <v>0</v>
      </c>
      <c r="B4846" t="s">
        <v>1738</v>
      </c>
      <c r="C4846" t="s">
        <v>8165</v>
      </c>
      <c r="D4846" t="s">
        <v>17166</v>
      </c>
      <c r="E4846" t="s">
        <v>21434</v>
      </c>
      <c r="F4846" t="s">
        <v>29372</v>
      </c>
      <c r="G4846" t="s">
        <v>29380</v>
      </c>
      <c r="H4846" t="s">
        <v>29389</v>
      </c>
      <c r="I4846" t="s">
        <v>10408</v>
      </c>
      <c r="J4846" t="s">
        <v>29543</v>
      </c>
      <c r="K4846" t="s">
        <v>38496</v>
      </c>
      <c r="M4846" t="s">
        <v>40603</v>
      </c>
      <c r="N4846" t="s">
        <v>42669</v>
      </c>
      <c r="O4846" t="s">
        <v>42670</v>
      </c>
      <c r="P4846">
        <v>0</v>
      </c>
      <c r="Q4846">
        <v>0</v>
      </c>
      <c r="R4846" t="s">
        <v>42676</v>
      </c>
      <c r="S4846" t="s">
        <v>42809</v>
      </c>
      <c r="T4846" t="s">
        <v>44368</v>
      </c>
      <c r="U4846" t="s">
        <v>48768</v>
      </c>
      <c r="V4846" t="s">
        <v>56904</v>
      </c>
      <c r="W4846" t="s">
        <v>40603</v>
      </c>
      <c r="X4846" t="s">
        <v>42677</v>
      </c>
    </row>
    <row r="4847" spans="1:24">
      <c r="A4847">
        <f>HYPERLINK("https://www.philgeps.gov.ph/GEPSNONPILOT/Tender/SplashBidNoticeAbstractUI.aspx?menuIndex=3&amp;refID=7188928&amp;Result=3","7188928")</f>
        <v>0</v>
      </c>
      <c r="B4847" t="s">
        <v>1739</v>
      </c>
      <c r="C4847" t="s">
        <v>8166</v>
      </c>
      <c r="D4847" t="s">
        <v>17165</v>
      </c>
      <c r="E4847" t="s">
        <v>21435</v>
      </c>
      <c r="F4847" t="s">
        <v>29372</v>
      </c>
      <c r="G4847" t="s">
        <v>29379</v>
      </c>
      <c r="H4847" t="s">
        <v>11048</v>
      </c>
      <c r="I4847" t="s">
        <v>8208</v>
      </c>
      <c r="J4847" t="s">
        <v>30434</v>
      </c>
      <c r="K4847" t="s">
        <v>38491</v>
      </c>
      <c r="M4847" t="s">
        <v>40604</v>
      </c>
      <c r="N4847" t="s">
        <v>42669</v>
      </c>
      <c r="O4847" t="s">
        <v>42670</v>
      </c>
      <c r="P4847">
        <v>0</v>
      </c>
      <c r="Q4847">
        <v>0</v>
      </c>
      <c r="R4847" t="s">
        <v>42676</v>
      </c>
      <c r="S4847" t="s">
        <v>42809</v>
      </c>
      <c r="T4847" t="s">
        <v>44401</v>
      </c>
      <c r="U4847" t="s">
        <v>48769</v>
      </c>
      <c r="W4847" t="s">
        <v>40604</v>
      </c>
      <c r="X4847" t="s">
        <v>42677</v>
      </c>
    </row>
    <row r="4848" spans="1:24">
      <c r="A4848">
        <f>HYPERLINK("https://www.philgeps.gov.ph/GEPSNONPILOT/Tender/SplashBidNoticeAbstractUI.aspx?menuIndex=3&amp;refID=7188930&amp;Result=3","7188930")</f>
        <v>0</v>
      </c>
      <c r="B4848" t="s">
        <v>1716</v>
      </c>
      <c r="C4848" t="s">
        <v>8041</v>
      </c>
      <c r="D4848" t="s">
        <v>17174</v>
      </c>
      <c r="E4848" t="s">
        <v>21436</v>
      </c>
      <c r="F4848" t="s">
        <v>29372</v>
      </c>
      <c r="G4848" t="s">
        <v>29382</v>
      </c>
      <c r="H4848" t="s">
        <v>11048</v>
      </c>
      <c r="I4848" t="s">
        <v>29407</v>
      </c>
      <c r="J4848" t="s">
        <v>30232</v>
      </c>
      <c r="K4848" t="s">
        <v>38538</v>
      </c>
      <c r="L4848" t="s">
        <v>1716</v>
      </c>
      <c r="M4848" t="s">
        <v>40579</v>
      </c>
      <c r="N4848" t="s">
        <v>42669</v>
      </c>
      <c r="O4848" t="s">
        <v>42670</v>
      </c>
      <c r="P4848">
        <v>0</v>
      </c>
      <c r="Q4848">
        <v>2</v>
      </c>
      <c r="R4848" t="s">
        <v>42676</v>
      </c>
      <c r="S4848" t="s">
        <v>42809</v>
      </c>
      <c r="T4848" t="s">
        <v>44493</v>
      </c>
      <c r="U4848" t="s">
        <v>48711</v>
      </c>
      <c r="W4848" t="s">
        <v>40579</v>
      </c>
      <c r="X4848" t="s">
        <v>42677</v>
      </c>
    </row>
    <row r="4849" spans="1:24">
      <c r="A4849">
        <f>HYPERLINK("https://www.philgeps.gov.ph/GEPSNONPILOT/Tender/SplashBidNoticeAbstractUI.aspx?menuIndex=3&amp;refID=7188927&amp;Result=3","7188927")</f>
        <v>0</v>
      </c>
      <c r="B4849" t="s">
        <v>684</v>
      </c>
      <c r="C4849" t="s">
        <v>8167</v>
      </c>
      <c r="D4849" t="s">
        <v>17198</v>
      </c>
      <c r="E4849" t="s">
        <v>21437</v>
      </c>
      <c r="F4849" t="s">
        <v>29372</v>
      </c>
      <c r="G4849" t="s">
        <v>29379</v>
      </c>
      <c r="H4849" t="s">
        <v>11048</v>
      </c>
      <c r="I4849" t="s">
        <v>4486</v>
      </c>
      <c r="J4849" t="s">
        <v>31859</v>
      </c>
      <c r="K4849" t="s">
        <v>38491</v>
      </c>
      <c r="M4849" t="s">
        <v>39779</v>
      </c>
      <c r="N4849" t="s">
        <v>42669</v>
      </c>
      <c r="O4849" t="s">
        <v>42670</v>
      </c>
      <c r="P4849">
        <v>0</v>
      </c>
      <c r="Q4849">
        <v>1</v>
      </c>
      <c r="R4849" t="s">
        <v>42676</v>
      </c>
      <c r="S4849" t="s">
        <v>42809</v>
      </c>
      <c r="T4849" t="s">
        <v>44394</v>
      </c>
      <c r="U4849" t="s">
        <v>48770</v>
      </c>
      <c r="W4849" t="s">
        <v>39779</v>
      </c>
      <c r="X4849" t="s">
        <v>42677</v>
      </c>
    </row>
    <row r="4850" spans="1:24">
      <c r="A4850">
        <f>HYPERLINK("https://www.philgeps.gov.ph/GEPSNONPILOT/Tender/SplashBidNoticeAbstractUI.aspx?menuIndex=3&amp;refID=7188915&amp;Result=3","7188915")</f>
        <v>0</v>
      </c>
      <c r="B4850" t="s">
        <v>1722</v>
      </c>
      <c r="C4850" t="s">
        <v>8168</v>
      </c>
      <c r="E4850" t="s">
        <v>21438</v>
      </c>
      <c r="F4850" t="s">
        <v>29372</v>
      </c>
      <c r="G4850" t="s">
        <v>29379</v>
      </c>
      <c r="H4850" t="s">
        <v>11048</v>
      </c>
      <c r="I4850" t="s">
        <v>4709</v>
      </c>
      <c r="J4850" t="s">
        <v>32694</v>
      </c>
      <c r="K4850" t="s">
        <v>38491</v>
      </c>
      <c r="M4850" t="s">
        <v>40585</v>
      </c>
      <c r="N4850" t="s">
        <v>42669</v>
      </c>
      <c r="O4850" t="s">
        <v>42670</v>
      </c>
      <c r="P4850">
        <v>0</v>
      </c>
      <c r="Q4850">
        <v>0</v>
      </c>
      <c r="R4850" t="s">
        <v>42676</v>
      </c>
      <c r="S4850" t="s">
        <v>42809</v>
      </c>
      <c r="T4850" t="s">
        <v>44512</v>
      </c>
      <c r="U4850" t="s">
        <v>48771</v>
      </c>
      <c r="W4850" t="s">
        <v>40585</v>
      </c>
      <c r="X4850" t="s">
        <v>42677</v>
      </c>
    </row>
    <row r="4851" spans="1:24">
      <c r="A4851">
        <f>HYPERLINK("https://www.philgeps.gov.ph/GEPSNONPILOT/Tender/SplashBidNoticeAbstractUI.aspx?menuIndex=3&amp;refID=7188914&amp;Result=3","7188914")</f>
        <v>0</v>
      </c>
      <c r="B4851" t="s">
        <v>1728</v>
      </c>
      <c r="C4851" t="s">
        <v>8169</v>
      </c>
      <c r="D4851" t="s">
        <v>17192</v>
      </c>
      <c r="E4851" t="s">
        <v>21439</v>
      </c>
      <c r="F4851" t="s">
        <v>29372</v>
      </c>
      <c r="G4851" t="s">
        <v>29379</v>
      </c>
      <c r="H4851" t="s">
        <v>11048</v>
      </c>
      <c r="I4851" t="s">
        <v>29458</v>
      </c>
      <c r="J4851" t="s">
        <v>30169</v>
      </c>
      <c r="K4851" t="s">
        <v>38490</v>
      </c>
      <c r="M4851" t="s">
        <v>40592</v>
      </c>
      <c r="N4851" t="s">
        <v>42669</v>
      </c>
      <c r="O4851" t="s">
        <v>42670</v>
      </c>
      <c r="P4851">
        <v>0</v>
      </c>
      <c r="Q4851">
        <v>2</v>
      </c>
      <c r="R4851" t="s">
        <v>42676</v>
      </c>
      <c r="S4851" t="s">
        <v>42809</v>
      </c>
      <c r="T4851" t="s">
        <v>44481</v>
      </c>
      <c r="U4851" t="s">
        <v>48758</v>
      </c>
      <c r="W4851" t="s">
        <v>40592</v>
      </c>
      <c r="X4851" t="s">
        <v>42677</v>
      </c>
    </row>
    <row r="4852" spans="1:24">
      <c r="A4852">
        <f>HYPERLINK("https://www.philgeps.gov.ph/GEPSNONPILOT/Tender/SplashBidNoticeAbstractUI.aspx?menuIndex=3&amp;refID=7188854&amp;Result=3","7188854")</f>
        <v>0</v>
      </c>
      <c r="B4852" t="s">
        <v>1714</v>
      </c>
      <c r="C4852" t="s">
        <v>8170</v>
      </c>
      <c r="D4852" t="s">
        <v>17166</v>
      </c>
      <c r="E4852" t="s">
        <v>20047</v>
      </c>
      <c r="F4852" t="s">
        <v>29372</v>
      </c>
      <c r="G4852" t="s">
        <v>29380</v>
      </c>
      <c r="H4852" t="s">
        <v>11048</v>
      </c>
      <c r="I4852" t="s">
        <v>29466</v>
      </c>
      <c r="J4852" t="s">
        <v>31317</v>
      </c>
      <c r="K4852" t="s">
        <v>38552</v>
      </c>
      <c r="M4852" t="s">
        <v>40577</v>
      </c>
      <c r="N4852" t="s">
        <v>42669</v>
      </c>
      <c r="O4852" t="s">
        <v>42670</v>
      </c>
      <c r="P4852">
        <v>0</v>
      </c>
      <c r="Q4852">
        <v>3</v>
      </c>
      <c r="R4852" t="s">
        <v>42676</v>
      </c>
      <c r="S4852" t="s">
        <v>42809</v>
      </c>
      <c r="T4852" t="s">
        <v>44371</v>
      </c>
      <c r="U4852" t="s">
        <v>48705</v>
      </c>
      <c r="W4852" t="s">
        <v>40577</v>
      </c>
      <c r="X4852" t="s">
        <v>42677</v>
      </c>
    </row>
    <row r="4853" spans="1:24">
      <c r="A4853">
        <f>HYPERLINK("https://www.philgeps.gov.ph/GEPSNONPILOT/Tender/SplashBidNoticeAbstractUI.aspx?menuIndex=3&amp;refID=7188912&amp;Result=3","7188912")</f>
        <v>0</v>
      </c>
      <c r="B4853" t="s">
        <v>1727</v>
      </c>
      <c r="C4853" t="s">
        <v>8171</v>
      </c>
      <c r="D4853" t="s">
        <v>17193</v>
      </c>
      <c r="E4853" t="s">
        <v>21440</v>
      </c>
      <c r="F4853" t="s">
        <v>29372</v>
      </c>
      <c r="G4853" t="s">
        <v>29380</v>
      </c>
      <c r="H4853" t="s">
        <v>29389</v>
      </c>
      <c r="I4853" t="s">
        <v>10408</v>
      </c>
      <c r="J4853" t="s">
        <v>32695</v>
      </c>
      <c r="K4853" t="s">
        <v>38490</v>
      </c>
      <c r="M4853" t="s">
        <v>40591</v>
      </c>
      <c r="N4853" t="s">
        <v>42669</v>
      </c>
      <c r="O4853" t="s">
        <v>42670</v>
      </c>
      <c r="P4853">
        <v>0</v>
      </c>
      <c r="Q4853">
        <v>0</v>
      </c>
      <c r="R4853" t="s">
        <v>42676</v>
      </c>
      <c r="S4853" t="s">
        <v>42809</v>
      </c>
      <c r="T4853" t="s">
        <v>44457</v>
      </c>
      <c r="U4853" t="s">
        <v>48772</v>
      </c>
      <c r="W4853" t="s">
        <v>40591</v>
      </c>
      <c r="X4853" t="s">
        <v>42677</v>
      </c>
    </row>
    <row r="4854" spans="1:24">
      <c r="A4854">
        <f>HYPERLINK("https://www.philgeps.gov.ph/GEPSNONPILOT/Tender/SplashBidNoticeAbstractUI.aspx?menuIndex=3&amp;refID=7188836&amp;Result=3","7188836")</f>
        <v>0</v>
      </c>
      <c r="B4854" t="s">
        <v>1740</v>
      </c>
      <c r="C4854" t="s">
        <v>8172</v>
      </c>
      <c r="D4854" t="s">
        <v>17196</v>
      </c>
      <c r="E4854" t="s">
        <v>21441</v>
      </c>
      <c r="F4854" t="s">
        <v>29372</v>
      </c>
      <c r="G4854" t="s">
        <v>29383</v>
      </c>
      <c r="H4854" t="s">
        <v>11048</v>
      </c>
      <c r="I4854" t="s">
        <v>5383</v>
      </c>
      <c r="J4854" t="s">
        <v>32696</v>
      </c>
      <c r="K4854" t="s">
        <v>38490</v>
      </c>
      <c r="M4854" t="s">
        <v>40605</v>
      </c>
      <c r="N4854" t="s">
        <v>42669</v>
      </c>
      <c r="O4854" t="s">
        <v>42670</v>
      </c>
      <c r="P4854">
        <v>0</v>
      </c>
      <c r="Q4854">
        <v>1</v>
      </c>
      <c r="R4854" t="s">
        <v>42676</v>
      </c>
      <c r="S4854" t="s">
        <v>42809</v>
      </c>
      <c r="T4854" t="s">
        <v>44371</v>
      </c>
      <c r="U4854" t="s">
        <v>48773</v>
      </c>
      <c r="V4854" t="s">
        <v>56905</v>
      </c>
      <c r="W4854" t="s">
        <v>58053</v>
      </c>
      <c r="X4854" t="s">
        <v>42677</v>
      </c>
    </row>
    <row r="4855" spans="1:24">
      <c r="A4855">
        <f>HYPERLINK("https://www.philgeps.gov.ph/GEPSNONPILOT/Tender/SplashBidNoticeAbstractUI.aspx?menuIndex=3&amp;refID=7188907&amp;Result=3","7188907")</f>
        <v>0</v>
      </c>
      <c r="B4855" t="s">
        <v>1741</v>
      </c>
      <c r="C4855" t="s">
        <v>8173</v>
      </c>
      <c r="D4855" t="s">
        <v>17150</v>
      </c>
      <c r="E4855" t="s">
        <v>21442</v>
      </c>
      <c r="F4855" t="s">
        <v>29372</v>
      </c>
      <c r="G4855" t="s">
        <v>29380</v>
      </c>
      <c r="H4855" t="s">
        <v>29389</v>
      </c>
      <c r="I4855" t="s">
        <v>10408</v>
      </c>
      <c r="J4855" t="s">
        <v>29788</v>
      </c>
      <c r="K4855" t="s">
        <v>38525</v>
      </c>
      <c r="M4855" t="s">
        <v>40606</v>
      </c>
      <c r="N4855" t="s">
        <v>42669</v>
      </c>
      <c r="O4855" t="s">
        <v>42670</v>
      </c>
      <c r="P4855">
        <v>0</v>
      </c>
      <c r="Q4855">
        <v>1</v>
      </c>
      <c r="R4855" t="s">
        <v>42676</v>
      </c>
      <c r="S4855" t="s">
        <v>42809</v>
      </c>
      <c r="T4855" t="s">
        <v>44476</v>
      </c>
      <c r="U4855" t="s">
        <v>48774</v>
      </c>
      <c r="V4855" t="s">
        <v>56906</v>
      </c>
      <c r="W4855" t="s">
        <v>40606</v>
      </c>
      <c r="X4855" t="s">
        <v>42677</v>
      </c>
    </row>
    <row r="4856" spans="1:24">
      <c r="A4856">
        <f>HYPERLINK("https://www.philgeps.gov.ph/GEPSNONPILOT/Tender/SplashBidNoticeAbstractUI.aspx?menuIndex=3&amp;refID=7188904&amp;Result=3","7188904")</f>
        <v>0</v>
      </c>
      <c r="B4856" t="s">
        <v>1738</v>
      </c>
      <c r="C4856" t="s">
        <v>8174</v>
      </c>
      <c r="D4856" t="s">
        <v>17166</v>
      </c>
      <c r="E4856" t="s">
        <v>21443</v>
      </c>
      <c r="F4856" t="s">
        <v>29372</v>
      </c>
      <c r="G4856" t="s">
        <v>29380</v>
      </c>
      <c r="H4856" t="s">
        <v>29389</v>
      </c>
      <c r="I4856" t="s">
        <v>10408</v>
      </c>
      <c r="J4856" t="s">
        <v>29543</v>
      </c>
      <c r="K4856" t="s">
        <v>38496</v>
      </c>
      <c r="M4856" t="s">
        <v>40603</v>
      </c>
      <c r="N4856" t="s">
        <v>42669</v>
      </c>
      <c r="O4856" t="s">
        <v>42670</v>
      </c>
      <c r="P4856">
        <v>0</v>
      </c>
      <c r="Q4856">
        <v>0</v>
      </c>
      <c r="R4856" t="s">
        <v>42676</v>
      </c>
      <c r="S4856" t="s">
        <v>42809</v>
      </c>
      <c r="T4856" t="s">
        <v>44368</v>
      </c>
      <c r="U4856" t="s">
        <v>48768</v>
      </c>
      <c r="V4856" t="s">
        <v>56904</v>
      </c>
      <c r="W4856" t="s">
        <v>40603</v>
      </c>
      <c r="X4856" t="s">
        <v>42677</v>
      </c>
    </row>
    <row r="4857" spans="1:24">
      <c r="A4857">
        <f>HYPERLINK("https://www.philgeps.gov.ph/GEPSNONPILOT/Tender/SplashBidNoticeAbstractUI.aspx?menuIndex=3&amp;refID=7188898&amp;Result=3","7188898")</f>
        <v>0</v>
      </c>
      <c r="B4857" t="s">
        <v>1676</v>
      </c>
      <c r="C4857" t="s">
        <v>8175</v>
      </c>
      <c r="D4857" t="s">
        <v>17155</v>
      </c>
      <c r="E4857" t="s">
        <v>21444</v>
      </c>
      <c r="F4857" t="s">
        <v>29372</v>
      </c>
      <c r="G4857" t="s">
        <v>29381</v>
      </c>
      <c r="H4857" t="s">
        <v>11048</v>
      </c>
      <c r="I4857" t="s">
        <v>3695</v>
      </c>
      <c r="J4857" t="s">
        <v>32697</v>
      </c>
      <c r="K4857" t="s">
        <v>38488</v>
      </c>
      <c r="M4857" t="s">
        <v>40536</v>
      </c>
      <c r="N4857" t="s">
        <v>42669</v>
      </c>
      <c r="O4857" t="s">
        <v>42670</v>
      </c>
      <c r="P4857">
        <v>0</v>
      </c>
      <c r="Q4857">
        <v>0</v>
      </c>
      <c r="R4857" t="s">
        <v>42676</v>
      </c>
      <c r="S4857" t="s">
        <v>42809</v>
      </c>
      <c r="T4857" t="s">
        <v>44432</v>
      </c>
      <c r="U4857" t="s">
        <v>48775</v>
      </c>
      <c r="W4857" t="s">
        <v>40536</v>
      </c>
      <c r="X4857" t="s">
        <v>42677</v>
      </c>
    </row>
    <row r="4858" spans="1:24">
      <c r="A4858">
        <f>HYPERLINK("https://www.philgeps.gov.ph/GEPSNONPILOT/Tender/SplashBidNoticeAbstractUI.aspx?menuIndex=3&amp;refID=7188896&amp;Result=3","7188896")</f>
        <v>0</v>
      </c>
      <c r="B4858" t="s">
        <v>1742</v>
      </c>
      <c r="C4858" t="s">
        <v>8176</v>
      </c>
      <c r="D4858" t="s">
        <v>17197</v>
      </c>
      <c r="E4858" t="s">
        <v>21445</v>
      </c>
      <c r="F4858" t="s">
        <v>29372</v>
      </c>
      <c r="G4858" t="s">
        <v>29380</v>
      </c>
      <c r="H4858" t="s">
        <v>11048</v>
      </c>
      <c r="I4858" t="s">
        <v>29452</v>
      </c>
      <c r="J4858" t="s">
        <v>31897</v>
      </c>
      <c r="K4858" t="s">
        <v>38488</v>
      </c>
      <c r="M4858" t="s">
        <v>40607</v>
      </c>
      <c r="N4858" t="s">
        <v>42669</v>
      </c>
      <c r="O4858" t="s">
        <v>42670</v>
      </c>
      <c r="P4858">
        <v>0</v>
      </c>
      <c r="Q4858">
        <v>3</v>
      </c>
      <c r="R4858" t="s">
        <v>42676</v>
      </c>
      <c r="S4858" t="s">
        <v>42809</v>
      </c>
      <c r="T4858" t="s">
        <v>44573</v>
      </c>
      <c r="U4858" t="s">
        <v>48776</v>
      </c>
      <c r="W4858" t="s">
        <v>40607</v>
      </c>
      <c r="X4858" t="s">
        <v>42677</v>
      </c>
    </row>
    <row r="4859" spans="1:24">
      <c r="A4859">
        <f>HYPERLINK("https://www.philgeps.gov.ph/GEPSNONPILOT/Tender/SplashBidNoticeAbstractUI.aspx?menuIndex=3&amp;refID=7188895&amp;Result=3","7188895")</f>
        <v>0</v>
      </c>
      <c r="B4859" t="s">
        <v>1743</v>
      </c>
      <c r="C4859" t="s">
        <v>8177</v>
      </c>
      <c r="D4859" t="s">
        <v>17156</v>
      </c>
      <c r="E4859" t="s">
        <v>21446</v>
      </c>
      <c r="F4859" t="s">
        <v>29372</v>
      </c>
      <c r="G4859" t="s">
        <v>29379</v>
      </c>
      <c r="H4859" t="s">
        <v>11048</v>
      </c>
      <c r="I4859" t="s">
        <v>29396</v>
      </c>
      <c r="J4859" t="s">
        <v>32698</v>
      </c>
      <c r="K4859" t="s">
        <v>38522</v>
      </c>
      <c r="M4859" t="s">
        <v>40608</v>
      </c>
      <c r="N4859" t="s">
        <v>42669</v>
      </c>
      <c r="O4859" t="s">
        <v>42670</v>
      </c>
      <c r="P4859">
        <v>0</v>
      </c>
      <c r="Q4859">
        <v>0</v>
      </c>
      <c r="R4859" t="s">
        <v>42676</v>
      </c>
      <c r="S4859" t="s">
        <v>42809</v>
      </c>
      <c r="T4859" t="s">
        <v>44631</v>
      </c>
      <c r="U4859" t="s">
        <v>48777</v>
      </c>
      <c r="W4859" t="s">
        <v>40608</v>
      </c>
      <c r="X4859" t="s">
        <v>42677</v>
      </c>
    </row>
    <row r="4860" spans="1:24">
      <c r="A4860">
        <f>HYPERLINK("https://www.philgeps.gov.ph/GEPSNONPILOT/Tender/SplashBidNoticeAbstractUI.aspx?menuIndex=3&amp;refID=7188839&amp;Result=3","7188839")</f>
        <v>0</v>
      </c>
      <c r="B4860" t="s">
        <v>1707</v>
      </c>
      <c r="C4860" t="s">
        <v>8178</v>
      </c>
      <c r="D4860" t="s">
        <v>17143</v>
      </c>
      <c r="E4860" t="s">
        <v>21447</v>
      </c>
      <c r="F4860" t="s">
        <v>29372</v>
      </c>
      <c r="G4860" t="s">
        <v>29379</v>
      </c>
      <c r="H4860" t="s">
        <v>11048</v>
      </c>
      <c r="I4860" t="s">
        <v>29394</v>
      </c>
      <c r="J4860" t="s">
        <v>32699</v>
      </c>
      <c r="K4860" t="s">
        <v>38488</v>
      </c>
      <c r="M4860" t="s">
        <v>40570</v>
      </c>
      <c r="N4860" t="s">
        <v>42669</v>
      </c>
      <c r="O4860" t="s">
        <v>42670</v>
      </c>
      <c r="P4860">
        <v>0</v>
      </c>
      <c r="Q4860">
        <v>2</v>
      </c>
      <c r="R4860" t="s">
        <v>42676</v>
      </c>
      <c r="S4860" t="s">
        <v>42809</v>
      </c>
      <c r="T4860" t="s">
        <v>44394</v>
      </c>
      <c r="U4860" t="s">
        <v>48778</v>
      </c>
      <c r="W4860" t="s">
        <v>40570</v>
      </c>
      <c r="X4860" t="s">
        <v>42677</v>
      </c>
    </row>
    <row r="4861" spans="1:24">
      <c r="A4861">
        <f>HYPERLINK("https://www.philgeps.gov.ph/GEPSNONPILOT/Tender/SplashBidNoticeAbstractUI.aspx?menuIndex=3&amp;refID=7188909&amp;Result=3","7188909")</f>
        <v>0</v>
      </c>
      <c r="B4861" t="s">
        <v>1744</v>
      </c>
      <c r="C4861" t="s">
        <v>8179</v>
      </c>
      <c r="D4861" t="s">
        <v>17142</v>
      </c>
      <c r="E4861" t="s">
        <v>8179</v>
      </c>
      <c r="F4861" t="s">
        <v>29372</v>
      </c>
      <c r="G4861" t="s">
        <v>29379</v>
      </c>
      <c r="H4861" t="s">
        <v>29389</v>
      </c>
      <c r="I4861" t="s">
        <v>10408</v>
      </c>
      <c r="J4861" t="s">
        <v>32700</v>
      </c>
      <c r="K4861" t="s">
        <v>38488</v>
      </c>
      <c r="M4861" t="s">
        <v>40609</v>
      </c>
      <c r="N4861" t="s">
        <v>42669</v>
      </c>
      <c r="O4861" t="s">
        <v>42670</v>
      </c>
      <c r="P4861">
        <v>0</v>
      </c>
      <c r="Q4861">
        <v>3</v>
      </c>
      <c r="R4861" t="s">
        <v>42676</v>
      </c>
      <c r="S4861" t="s">
        <v>42809</v>
      </c>
      <c r="T4861" t="s">
        <v>44549</v>
      </c>
      <c r="U4861" t="s">
        <v>48779</v>
      </c>
      <c r="W4861" t="s">
        <v>40609</v>
      </c>
      <c r="X4861" t="s">
        <v>42677</v>
      </c>
    </row>
    <row r="4862" spans="1:24">
      <c r="A4862">
        <f>HYPERLINK("https://www.philgeps.gov.ph/GEPSNONPILOT/Tender/SplashBidNoticeAbstractUI.aspx?menuIndex=3&amp;refID=7188922&amp;Result=3","7188922")</f>
        <v>0</v>
      </c>
      <c r="B4862" t="s">
        <v>52</v>
      </c>
      <c r="C4862" t="s">
        <v>8180</v>
      </c>
      <c r="D4862" t="s">
        <v>17192</v>
      </c>
      <c r="E4862" t="s">
        <v>21448</v>
      </c>
      <c r="F4862" t="s">
        <v>29372</v>
      </c>
      <c r="G4862" t="s">
        <v>29379</v>
      </c>
      <c r="H4862" t="s">
        <v>11048</v>
      </c>
      <c r="I4862" t="s">
        <v>14920</v>
      </c>
      <c r="J4862" t="s">
        <v>29965</v>
      </c>
      <c r="K4862" t="s">
        <v>38522</v>
      </c>
      <c r="M4862" t="s">
        <v>38805</v>
      </c>
      <c r="N4862" t="s">
        <v>42669</v>
      </c>
      <c r="O4862" t="s">
        <v>42670</v>
      </c>
      <c r="P4862">
        <v>0</v>
      </c>
      <c r="Q4862">
        <v>2</v>
      </c>
      <c r="R4862" t="s">
        <v>42676</v>
      </c>
      <c r="S4862" t="s">
        <v>42809</v>
      </c>
      <c r="T4862" t="s">
        <v>44431</v>
      </c>
      <c r="U4862" t="s">
        <v>48780</v>
      </c>
      <c r="W4862" t="s">
        <v>38805</v>
      </c>
      <c r="X4862" t="s">
        <v>42677</v>
      </c>
    </row>
    <row r="4863" spans="1:24">
      <c r="A4863">
        <f>HYPERLINK("https://www.philgeps.gov.ph/GEPSNONPILOT/Tender/SplashBidNoticeAbstractUI.aspx?menuIndex=3&amp;refID=7188925&amp;Result=3","7188925")</f>
        <v>0</v>
      </c>
      <c r="B4863" t="s">
        <v>674</v>
      </c>
      <c r="C4863" t="s">
        <v>8181</v>
      </c>
      <c r="D4863" t="s">
        <v>17164</v>
      </c>
      <c r="E4863" t="s">
        <v>21449</v>
      </c>
      <c r="F4863" t="s">
        <v>29372</v>
      </c>
      <c r="G4863" t="s">
        <v>29380</v>
      </c>
      <c r="H4863" t="s">
        <v>11048</v>
      </c>
      <c r="I4863" t="s">
        <v>29395</v>
      </c>
      <c r="J4863" t="s">
        <v>30161</v>
      </c>
      <c r="K4863" t="s">
        <v>38495</v>
      </c>
      <c r="M4863" t="s">
        <v>39450</v>
      </c>
      <c r="N4863" t="s">
        <v>42669</v>
      </c>
      <c r="O4863" t="s">
        <v>42670</v>
      </c>
      <c r="P4863">
        <v>0</v>
      </c>
      <c r="Q4863">
        <v>1</v>
      </c>
      <c r="R4863" t="s">
        <v>42676</v>
      </c>
      <c r="S4863" t="s">
        <v>42809</v>
      </c>
      <c r="T4863" t="s">
        <v>44544</v>
      </c>
      <c r="U4863" t="s">
        <v>48781</v>
      </c>
      <c r="W4863" t="s">
        <v>39450</v>
      </c>
      <c r="X4863" t="s">
        <v>42677</v>
      </c>
    </row>
    <row r="4864" spans="1:24">
      <c r="A4864">
        <f>HYPERLINK("https://www.philgeps.gov.ph/GEPSNONPILOT/Tender/SplashBidNoticeAbstractUI.aspx?menuIndex=3&amp;refID=7188973&amp;Result=3","7188973")</f>
        <v>0</v>
      </c>
      <c r="B4864" t="s">
        <v>1741</v>
      </c>
      <c r="C4864" t="s">
        <v>8182</v>
      </c>
      <c r="D4864" t="s">
        <v>17150</v>
      </c>
      <c r="E4864" t="s">
        <v>21450</v>
      </c>
      <c r="F4864" t="s">
        <v>29372</v>
      </c>
      <c r="G4864" t="s">
        <v>29380</v>
      </c>
      <c r="H4864" t="s">
        <v>29389</v>
      </c>
      <c r="I4864" t="s">
        <v>10408</v>
      </c>
      <c r="J4864" t="s">
        <v>32701</v>
      </c>
      <c r="K4864" t="s">
        <v>38533</v>
      </c>
      <c r="M4864" t="s">
        <v>40606</v>
      </c>
      <c r="N4864" t="s">
        <v>42669</v>
      </c>
      <c r="O4864" t="s">
        <v>42670</v>
      </c>
      <c r="P4864">
        <v>0</v>
      </c>
      <c r="Q4864">
        <v>0</v>
      </c>
      <c r="R4864" t="s">
        <v>42676</v>
      </c>
      <c r="S4864" t="s">
        <v>42809</v>
      </c>
      <c r="T4864" t="s">
        <v>44559</v>
      </c>
      <c r="U4864" t="s">
        <v>48782</v>
      </c>
      <c r="V4864" t="s">
        <v>56906</v>
      </c>
      <c r="W4864" t="s">
        <v>40606</v>
      </c>
      <c r="X4864" t="s">
        <v>42677</v>
      </c>
    </row>
    <row r="4865" spans="1:24">
      <c r="A4865">
        <f>HYPERLINK("https://www.philgeps.gov.ph/GEPSNONPILOT/Tender/SplashBidNoticeAbstractUI.aspx?menuIndex=3&amp;refID=7188987&amp;Result=3","7188987")</f>
        <v>0</v>
      </c>
      <c r="B4865" t="s">
        <v>1676</v>
      </c>
      <c r="C4865" t="s">
        <v>8183</v>
      </c>
      <c r="D4865" t="s">
        <v>17155</v>
      </c>
      <c r="E4865" t="s">
        <v>21451</v>
      </c>
      <c r="F4865" t="s">
        <v>29372</v>
      </c>
      <c r="G4865" t="s">
        <v>29379</v>
      </c>
      <c r="H4865" t="s">
        <v>11048</v>
      </c>
      <c r="I4865" t="s">
        <v>3670</v>
      </c>
      <c r="J4865" t="s">
        <v>32702</v>
      </c>
      <c r="K4865" t="s">
        <v>38488</v>
      </c>
      <c r="M4865" t="s">
        <v>40536</v>
      </c>
      <c r="N4865" t="s">
        <v>42669</v>
      </c>
      <c r="O4865" t="s">
        <v>42670</v>
      </c>
      <c r="P4865">
        <v>0</v>
      </c>
      <c r="Q4865">
        <v>0</v>
      </c>
      <c r="R4865" t="s">
        <v>42676</v>
      </c>
      <c r="S4865" t="s">
        <v>42809</v>
      </c>
      <c r="T4865" t="s">
        <v>44432</v>
      </c>
      <c r="U4865" t="s">
        <v>48783</v>
      </c>
      <c r="W4865" t="s">
        <v>40536</v>
      </c>
      <c r="X4865" t="s">
        <v>42677</v>
      </c>
    </row>
    <row r="4866" spans="1:24">
      <c r="A4866">
        <f>HYPERLINK("https://www.philgeps.gov.ph/GEPSNONPILOT/Tender/SplashBidNoticeAbstractUI.aspx?menuIndex=3&amp;refID=7188979&amp;Result=3","7188979")</f>
        <v>0</v>
      </c>
      <c r="B4866" t="s">
        <v>1094</v>
      </c>
      <c r="C4866" t="s">
        <v>8184</v>
      </c>
      <c r="D4866" t="s">
        <v>17213</v>
      </c>
      <c r="E4866" t="s">
        <v>21452</v>
      </c>
      <c r="F4866" t="s">
        <v>29372</v>
      </c>
      <c r="G4866" t="s">
        <v>29379</v>
      </c>
      <c r="H4866" t="s">
        <v>11048</v>
      </c>
      <c r="I4866" t="s">
        <v>29419</v>
      </c>
      <c r="J4866" t="s">
        <v>31164</v>
      </c>
      <c r="K4866" t="s">
        <v>38491</v>
      </c>
      <c r="L4866" t="s">
        <v>1094</v>
      </c>
      <c r="M4866" t="s">
        <v>39901</v>
      </c>
      <c r="N4866" t="s">
        <v>42669</v>
      </c>
      <c r="O4866" t="s">
        <v>42670</v>
      </c>
      <c r="P4866">
        <v>0</v>
      </c>
      <c r="Q4866">
        <v>3</v>
      </c>
      <c r="R4866" t="s">
        <v>42676</v>
      </c>
      <c r="S4866" t="s">
        <v>42809</v>
      </c>
      <c r="T4866" t="s">
        <v>44570</v>
      </c>
      <c r="U4866" t="s">
        <v>48784</v>
      </c>
      <c r="V4866" t="s">
        <v>56671</v>
      </c>
      <c r="W4866" t="s">
        <v>39901</v>
      </c>
      <c r="X4866" t="s">
        <v>42677</v>
      </c>
    </row>
    <row r="4867" spans="1:24">
      <c r="A4867">
        <f>HYPERLINK("https://www.philgeps.gov.ph/GEPSNONPILOT/Tender/SplashBidNoticeAbstractUI.aspx?menuIndex=3&amp;refID=7188978&amp;Result=3","7188978")</f>
        <v>0</v>
      </c>
      <c r="B4867" t="s">
        <v>1745</v>
      </c>
      <c r="C4867" t="s">
        <v>8185</v>
      </c>
      <c r="E4867" t="s">
        <v>21453</v>
      </c>
      <c r="F4867" t="s">
        <v>29372</v>
      </c>
      <c r="G4867" t="s">
        <v>29380</v>
      </c>
      <c r="H4867" t="s">
        <v>11048</v>
      </c>
      <c r="I4867" t="s">
        <v>4709</v>
      </c>
      <c r="J4867" t="s">
        <v>32703</v>
      </c>
      <c r="K4867" t="s">
        <v>38490</v>
      </c>
      <c r="M4867" t="s">
        <v>40610</v>
      </c>
      <c r="N4867" t="s">
        <v>42669</v>
      </c>
      <c r="O4867" t="s">
        <v>42670</v>
      </c>
      <c r="P4867">
        <v>0</v>
      </c>
      <c r="Q4867">
        <v>0</v>
      </c>
      <c r="R4867" t="s">
        <v>42676</v>
      </c>
      <c r="S4867" t="s">
        <v>42809</v>
      </c>
      <c r="T4867" t="s">
        <v>44470</v>
      </c>
      <c r="U4867" t="s">
        <v>48785</v>
      </c>
      <c r="W4867" t="s">
        <v>40610</v>
      </c>
      <c r="X4867" t="s">
        <v>42677</v>
      </c>
    </row>
    <row r="4868" spans="1:24">
      <c r="A4868">
        <f>HYPERLINK("https://www.philgeps.gov.ph/GEPSNONPILOT/Tender/SplashBidNoticeAbstractUI.aspx?menuIndex=3&amp;refID=7188874&amp;Result=3","7188874")</f>
        <v>0</v>
      </c>
      <c r="B4868" t="s">
        <v>1341</v>
      </c>
      <c r="C4868" t="s">
        <v>8186</v>
      </c>
      <c r="D4868" t="s">
        <v>17141</v>
      </c>
      <c r="E4868" t="s">
        <v>21454</v>
      </c>
      <c r="F4868" t="s">
        <v>29372</v>
      </c>
      <c r="G4868" t="s">
        <v>29383</v>
      </c>
      <c r="H4868" t="s">
        <v>11048</v>
      </c>
      <c r="I4868" t="s">
        <v>3695</v>
      </c>
      <c r="J4868" t="s">
        <v>30024</v>
      </c>
      <c r="K4868" t="s">
        <v>38490</v>
      </c>
      <c r="M4868" t="s">
        <v>40535</v>
      </c>
      <c r="N4868" t="s">
        <v>42669</v>
      </c>
      <c r="O4868" t="s">
        <v>42670</v>
      </c>
      <c r="P4868">
        <v>0</v>
      </c>
      <c r="Q4868">
        <v>1</v>
      </c>
      <c r="R4868" t="s">
        <v>42676</v>
      </c>
      <c r="S4868" t="s">
        <v>42809</v>
      </c>
      <c r="T4868" t="s">
        <v>44512</v>
      </c>
      <c r="U4868" t="s">
        <v>48786</v>
      </c>
      <c r="W4868" t="s">
        <v>40535</v>
      </c>
      <c r="X4868" t="s">
        <v>42677</v>
      </c>
    </row>
    <row r="4869" spans="1:24">
      <c r="A4869">
        <f>HYPERLINK("https://www.philgeps.gov.ph/GEPSNONPILOT/Tender/SplashBidNoticeAbstractUI.aspx?menuIndex=3&amp;refID=7188964&amp;Result=3","7188964")</f>
        <v>0</v>
      </c>
      <c r="B4869" t="s">
        <v>1746</v>
      </c>
      <c r="C4869" t="s">
        <v>8187</v>
      </c>
      <c r="D4869" t="s">
        <v>17206</v>
      </c>
      <c r="E4869" t="s">
        <v>21455</v>
      </c>
      <c r="F4869" t="s">
        <v>29375</v>
      </c>
      <c r="G4869" t="s">
        <v>29383</v>
      </c>
      <c r="H4869" t="s">
        <v>11048</v>
      </c>
      <c r="I4869" t="s">
        <v>29398</v>
      </c>
      <c r="J4869" t="s">
        <v>29625</v>
      </c>
      <c r="K4869" t="s">
        <v>38510</v>
      </c>
      <c r="M4869" t="s">
        <v>40611</v>
      </c>
      <c r="N4869" t="s">
        <v>42669</v>
      </c>
      <c r="O4869" t="s">
        <v>42670</v>
      </c>
      <c r="P4869">
        <v>0</v>
      </c>
      <c r="Q4869">
        <v>3</v>
      </c>
      <c r="R4869" t="s">
        <v>42676</v>
      </c>
      <c r="S4869" t="s">
        <v>42809</v>
      </c>
      <c r="T4869" t="s">
        <v>44677</v>
      </c>
      <c r="U4869" t="s">
        <v>48787</v>
      </c>
      <c r="W4869" t="s">
        <v>40611</v>
      </c>
      <c r="X4869" t="s">
        <v>42677</v>
      </c>
    </row>
    <row r="4870" spans="1:24">
      <c r="A4870">
        <f>HYPERLINK("https://www.philgeps.gov.ph/GEPSNONPILOT/Tender/SplashBidNoticeAbstractUI.aspx?menuIndex=3&amp;refID=7188962&amp;Result=3","7188962")</f>
        <v>0</v>
      </c>
      <c r="B4870" t="s">
        <v>1446</v>
      </c>
      <c r="C4870" t="s">
        <v>8188</v>
      </c>
      <c r="D4870" t="s">
        <v>17204</v>
      </c>
      <c r="E4870" t="s">
        <v>21456</v>
      </c>
      <c r="F4870" t="s">
        <v>29372</v>
      </c>
      <c r="G4870" t="s">
        <v>29380</v>
      </c>
      <c r="H4870" t="s">
        <v>29389</v>
      </c>
      <c r="I4870" t="s">
        <v>10408</v>
      </c>
      <c r="J4870" t="s">
        <v>31159</v>
      </c>
      <c r="K4870" t="s">
        <v>38496</v>
      </c>
      <c r="M4870" t="s">
        <v>40287</v>
      </c>
      <c r="N4870" t="s">
        <v>42669</v>
      </c>
      <c r="O4870" t="s">
        <v>42670</v>
      </c>
      <c r="P4870">
        <v>0</v>
      </c>
      <c r="Q4870">
        <v>2</v>
      </c>
      <c r="R4870" t="s">
        <v>42676</v>
      </c>
      <c r="S4870" t="s">
        <v>42809</v>
      </c>
      <c r="T4870" t="s">
        <v>44472</v>
      </c>
      <c r="U4870" t="s">
        <v>48788</v>
      </c>
      <c r="W4870" t="s">
        <v>40287</v>
      </c>
      <c r="X4870" t="s">
        <v>42677</v>
      </c>
    </row>
    <row r="4871" spans="1:24">
      <c r="A4871">
        <f>HYPERLINK("https://www.philgeps.gov.ph/GEPSNONPILOT/Tender/SplashBidNoticeAbstractUI.aspx?menuIndex=3&amp;refID=7188960&amp;Result=3","7188960")</f>
        <v>0</v>
      </c>
      <c r="B4871" t="s">
        <v>617</v>
      </c>
      <c r="C4871" t="s">
        <v>8189</v>
      </c>
      <c r="D4871" t="s">
        <v>17215</v>
      </c>
      <c r="E4871" t="s">
        <v>21457</v>
      </c>
      <c r="F4871" t="s">
        <v>29372</v>
      </c>
      <c r="G4871" t="s">
        <v>29380</v>
      </c>
      <c r="H4871" t="s">
        <v>11048</v>
      </c>
      <c r="I4871" t="s">
        <v>4487</v>
      </c>
      <c r="J4871" t="s">
        <v>29555</v>
      </c>
      <c r="K4871" t="s">
        <v>38485</v>
      </c>
      <c r="M4871" t="s">
        <v>39388</v>
      </c>
      <c r="N4871" t="s">
        <v>42669</v>
      </c>
      <c r="O4871" t="s">
        <v>42670</v>
      </c>
      <c r="P4871">
        <v>0</v>
      </c>
      <c r="Q4871">
        <v>1</v>
      </c>
      <c r="R4871" t="s">
        <v>42676</v>
      </c>
      <c r="S4871" t="s">
        <v>42809</v>
      </c>
      <c r="T4871" t="s">
        <v>44565</v>
      </c>
      <c r="U4871" t="s">
        <v>48789</v>
      </c>
      <c r="V4871" t="s">
        <v>56513</v>
      </c>
      <c r="W4871" t="s">
        <v>39388</v>
      </c>
      <c r="X4871" t="s">
        <v>42677</v>
      </c>
    </row>
    <row r="4872" spans="1:24">
      <c r="A4872">
        <f>HYPERLINK("https://www.philgeps.gov.ph/GEPSNONPILOT/Tender/SplashBidNoticeAbstractUI.aspx?menuIndex=3&amp;refID=7188958&amp;Result=3","7188958")</f>
        <v>0</v>
      </c>
      <c r="B4872" t="s">
        <v>1738</v>
      </c>
      <c r="C4872" t="s">
        <v>8190</v>
      </c>
      <c r="D4872" t="s">
        <v>17166</v>
      </c>
      <c r="E4872" t="s">
        <v>21458</v>
      </c>
      <c r="F4872" t="s">
        <v>29372</v>
      </c>
      <c r="G4872" t="s">
        <v>29380</v>
      </c>
      <c r="H4872" t="s">
        <v>29389</v>
      </c>
      <c r="I4872" t="s">
        <v>10408</v>
      </c>
      <c r="J4872" t="s">
        <v>29774</v>
      </c>
      <c r="K4872" t="s">
        <v>38495</v>
      </c>
      <c r="M4872" t="s">
        <v>40603</v>
      </c>
      <c r="N4872" t="s">
        <v>42669</v>
      </c>
      <c r="O4872" t="s">
        <v>42670</v>
      </c>
      <c r="P4872">
        <v>0</v>
      </c>
      <c r="Q4872">
        <v>0</v>
      </c>
      <c r="R4872" t="s">
        <v>42676</v>
      </c>
      <c r="S4872" t="s">
        <v>42809</v>
      </c>
      <c r="T4872" t="s">
        <v>44368</v>
      </c>
      <c r="U4872" t="s">
        <v>48768</v>
      </c>
      <c r="V4872" t="s">
        <v>56904</v>
      </c>
      <c r="W4872" t="s">
        <v>40603</v>
      </c>
      <c r="X4872" t="s">
        <v>42677</v>
      </c>
    </row>
    <row r="4873" spans="1:24">
      <c r="A4873">
        <f>HYPERLINK("https://www.philgeps.gov.ph/GEPSNONPILOT/Tender/SplashBidNoticeAbstractUI.aspx?menuIndex=3&amp;refID=7188957&amp;Result=3","7188957")</f>
        <v>0</v>
      </c>
      <c r="B4873" t="s">
        <v>1712</v>
      </c>
      <c r="C4873" t="s">
        <v>8191</v>
      </c>
      <c r="D4873" t="s">
        <v>17177</v>
      </c>
      <c r="E4873" t="s">
        <v>21459</v>
      </c>
      <c r="F4873" t="s">
        <v>29372</v>
      </c>
      <c r="G4873" t="s">
        <v>29379</v>
      </c>
      <c r="H4873" t="s">
        <v>11048</v>
      </c>
      <c r="I4873" t="s">
        <v>29394</v>
      </c>
      <c r="J4873" t="s">
        <v>32704</v>
      </c>
      <c r="K4873" t="s">
        <v>38510</v>
      </c>
      <c r="M4873" t="s">
        <v>40575</v>
      </c>
      <c r="N4873" t="s">
        <v>42669</v>
      </c>
      <c r="O4873" t="s">
        <v>42670</v>
      </c>
      <c r="P4873">
        <v>0</v>
      </c>
      <c r="Q4873">
        <v>1</v>
      </c>
      <c r="R4873" t="s">
        <v>42676</v>
      </c>
      <c r="S4873" t="s">
        <v>42809</v>
      </c>
      <c r="T4873" t="s">
        <v>44629</v>
      </c>
      <c r="U4873" t="s">
        <v>48790</v>
      </c>
      <c r="W4873" t="s">
        <v>40575</v>
      </c>
      <c r="X4873" t="s">
        <v>42677</v>
      </c>
    </row>
    <row r="4874" spans="1:24">
      <c r="A4874">
        <f>HYPERLINK("https://www.philgeps.gov.ph/GEPSNONPILOT/Tender/SplashBidNoticeAbstractUI.aspx?menuIndex=3&amp;refID=7188956&amp;Result=3","7188956")</f>
        <v>0</v>
      </c>
      <c r="B4874" t="s">
        <v>1524</v>
      </c>
      <c r="C4874" t="s">
        <v>8192</v>
      </c>
      <c r="D4874" t="s">
        <v>17194</v>
      </c>
      <c r="E4874" t="s">
        <v>21460</v>
      </c>
      <c r="F4874" t="s">
        <v>29372</v>
      </c>
      <c r="G4874" t="s">
        <v>29380</v>
      </c>
      <c r="H4874" t="s">
        <v>11048</v>
      </c>
      <c r="I4874" t="s">
        <v>4487</v>
      </c>
      <c r="J4874" t="s">
        <v>32705</v>
      </c>
      <c r="K4874" t="s">
        <v>38491</v>
      </c>
      <c r="M4874" t="s">
        <v>40371</v>
      </c>
      <c r="N4874" t="s">
        <v>42669</v>
      </c>
      <c r="O4874" t="s">
        <v>42670</v>
      </c>
      <c r="P4874">
        <v>0</v>
      </c>
      <c r="Q4874">
        <v>0</v>
      </c>
      <c r="R4874" t="s">
        <v>42676</v>
      </c>
      <c r="S4874" t="s">
        <v>42809</v>
      </c>
      <c r="T4874" t="s">
        <v>44386</v>
      </c>
      <c r="U4874" t="s">
        <v>48791</v>
      </c>
      <c r="W4874" t="s">
        <v>40371</v>
      </c>
      <c r="X4874" t="s">
        <v>42677</v>
      </c>
    </row>
    <row r="4875" spans="1:24">
      <c r="A4875">
        <f>HYPERLINK("https://www.philgeps.gov.ph/GEPSNONPILOT/Tender/SplashBidNoticeAbstractUI.aspx?menuIndex=3&amp;refID=7188951&amp;Result=3","7188951")</f>
        <v>0</v>
      </c>
      <c r="B4875" t="s">
        <v>1747</v>
      </c>
      <c r="C4875" t="s">
        <v>8193</v>
      </c>
      <c r="D4875" t="s">
        <v>17148</v>
      </c>
      <c r="E4875" t="s">
        <v>19747</v>
      </c>
      <c r="F4875" t="s">
        <v>29372</v>
      </c>
      <c r="G4875" t="s">
        <v>29380</v>
      </c>
      <c r="H4875" t="s">
        <v>11048</v>
      </c>
      <c r="I4875" t="s">
        <v>10408</v>
      </c>
      <c r="J4875" t="s">
        <v>32706</v>
      </c>
      <c r="K4875" t="s">
        <v>38510</v>
      </c>
      <c r="M4875" t="s">
        <v>40612</v>
      </c>
      <c r="N4875" t="s">
        <v>42669</v>
      </c>
      <c r="O4875" t="s">
        <v>42670</v>
      </c>
      <c r="P4875">
        <v>0</v>
      </c>
      <c r="Q4875">
        <v>0</v>
      </c>
      <c r="R4875" t="s">
        <v>42676</v>
      </c>
      <c r="S4875" t="s">
        <v>42809</v>
      </c>
      <c r="T4875" t="s">
        <v>44386</v>
      </c>
      <c r="U4875" t="s">
        <v>48792</v>
      </c>
      <c r="W4875" t="s">
        <v>40612</v>
      </c>
      <c r="X4875" t="s">
        <v>42677</v>
      </c>
    </row>
    <row r="4876" spans="1:24">
      <c r="A4876">
        <f>HYPERLINK("https://www.philgeps.gov.ph/GEPSNONPILOT/Tender/SplashBidNoticeAbstractUI.aspx?menuIndex=3&amp;refID=7189017&amp;Result=3","7189017")</f>
        <v>0</v>
      </c>
      <c r="B4876" t="s">
        <v>1748</v>
      </c>
      <c r="C4876" t="s">
        <v>5590</v>
      </c>
      <c r="D4876" t="s">
        <v>17154</v>
      </c>
      <c r="E4876" t="s">
        <v>21461</v>
      </c>
      <c r="F4876" t="s">
        <v>29372</v>
      </c>
      <c r="G4876" t="s">
        <v>29379</v>
      </c>
      <c r="H4876" t="s">
        <v>29390</v>
      </c>
      <c r="I4876" t="s">
        <v>29409</v>
      </c>
      <c r="J4876" t="s">
        <v>32707</v>
      </c>
      <c r="K4876" t="s">
        <v>38510</v>
      </c>
      <c r="M4876" t="s">
        <v>40613</v>
      </c>
      <c r="N4876" t="s">
        <v>42669</v>
      </c>
      <c r="O4876" t="s">
        <v>42670</v>
      </c>
      <c r="P4876">
        <v>0</v>
      </c>
      <c r="Q4876">
        <v>4</v>
      </c>
      <c r="R4876" t="s">
        <v>42676</v>
      </c>
      <c r="S4876" t="s">
        <v>42809</v>
      </c>
      <c r="T4876" t="s">
        <v>44432</v>
      </c>
      <c r="U4876" t="s">
        <v>48793</v>
      </c>
      <c r="W4876" t="s">
        <v>40613</v>
      </c>
      <c r="X4876" t="s">
        <v>42677</v>
      </c>
    </row>
    <row r="4877" spans="1:24">
      <c r="A4877">
        <f>HYPERLINK("https://www.philgeps.gov.ph/GEPSNONPILOT/Tender/SplashBidNoticeAbstractUI.aspx?menuIndex=3&amp;refID=7189048&amp;Result=3","7189048")</f>
        <v>0</v>
      </c>
      <c r="B4877" t="s">
        <v>1094</v>
      </c>
      <c r="C4877" t="s">
        <v>8194</v>
      </c>
      <c r="D4877" t="s">
        <v>17213</v>
      </c>
      <c r="E4877" t="s">
        <v>21462</v>
      </c>
      <c r="F4877" t="s">
        <v>29372</v>
      </c>
      <c r="G4877" t="s">
        <v>29383</v>
      </c>
      <c r="H4877" t="s">
        <v>11048</v>
      </c>
      <c r="I4877" t="s">
        <v>8794</v>
      </c>
      <c r="J4877" t="s">
        <v>32708</v>
      </c>
      <c r="K4877" t="s">
        <v>38491</v>
      </c>
      <c r="L4877" t="s">
        <v>1094</v>
      </c>
      <c r="M4877" t="s">
        <v>39901</v>
      </c>
      <c r="N4877" t="s">
        <v>42669</v>
      </c>
      <c r="O4877" t="s">
        <v>42670</v>
      </c>
      <c r="P4877">
        <v>0</v>
      </c>
      <c r="Q4877">
        <v>1</v>
      </c>
      <c r="R4877" t="s">
        <v>42676</v>
      </c>
      <c r="S4877" t="s">
        <v>42809</v>
      </c>
      <c r="T4877" t="s">
        <v>44570</v>
      </c>
      <c r="U4877" t="s">
        <v>48794</v>
      </c>
      <c r="V4877" t="s">
        <v>56671</v>
      </c>
      <c r="W4877" t="s">
        <v>39901</v>
      </c>
      <c r="X4877" t="s">
        <v>42677</v>
      </c>
    </row>
    <row r="4878" spans="1:24">
      <c r="A4878">
        <f>HYPERLINK("https://www.philgeps.gov.ph/GEPSNONPILOT/Tender/SplashBidNoticeAbstractUI.aspx?menuIndex=3&amp;refID=7188965&amp;Result=3","7188965")</f>
        <v>0</v>
      </c>
      <c r="B4878" t="s">
        <v>1743</v>
      </c>
      <c r="C4878" t="s">
        <v>8195</v>
      </c>
      <c r="D4878" t="s">
        <v>17200</v>
      </c>
      <c r="E4878" t="s">
        <v>21463</v>
      </c>
      <c r="F4878" t="s">
        <v>29372</v>
      </c>
      <c r="G4878" t="s">
        <v>29379</v>
      </c>
      <c r="H4878" t="s">
        <v>11048</v>
      </c>
      <c r="I4878" t="s">
        <v>8208</v>
      </c>
      <c r="J4878" t="s">
        <v>29799</v>
      </c>
      <c r="K4878" t="s">
        <v>38491</v>
      </c>
      <c r="M4878" t="s">
        <v>40608</v>
      </c>
      <c r="N4878" t="s">
        <v>42669</v>
      </c>
      <c r="O4878" t="s">
        <v>42670</v>
      </c>
      <c r="P4878">
        <v>0</v>
      </c>
      <c r="Q4878">
        <v>0</v>
      </c>
      <c r="R4878" t="s">
        <v>42676</v>
      </c>
      <c r="S4878" t="s">
        <v>42809</v>
      </c>
      <c r="T4878" t="s">
        <v>44554</v>
      </c>
      <c r="U4878" t="s">
        <v>48795</v>
      </c>
      <c r="W4878" t="s">
        <v>40608</v>
      </c>
      <c r="X4878" t="s">
        <v>42677</v>
      </c>
    </row>
    <row r="4879" spans="1:24">
      <c r="A4879">
        <f>HYPERLINK("https://www.philgeps.gov.ph/GEPSNONPILOT/Tender/SplashBidNoticeAbstractUI.aspx?menuIndex=3&amp;refID=7189047&amp;Result=3","7189047")</f>
        <v>0</v>
      </c>
      <c r="B4879" t="s">
        <v>1749</v>
      </c>
      <c r="C4879" t="s">
        <v>8196</v>
      </c>
      <c r="D4879" t="s">
        <v>17205</v>
      </c>
      <c r="E4879" t="s">
        <v>21464</v>
      </c>
      <c r="F4879" t="s">
        <v>29372</v>
      </c>
      <c r="G4879" t="s">
        <v>29379</v>
      </c>
      <c r="H4879" t="s">
        <v>11048</v>
      </c>
      <c r="I4879" t="s">
        <v>29410</v>
      </c>
      <c r="J4879" t="s">
        <v>32709</v>
      </c>
      <c r="K4879" t="s">
        <v>38495</v>
      </c>
      <c r="M4879" t="s">
        <v>40614</v>
      </c>
      <c r="N4879" t="s">
        <v>42669</v>
      </c>
      <c r="O4879" t="s">
        <v>42670</v>
      </c>
      <c r="P4879">
        <v>0</v>
      </c>
      <c r="Q4879">
        <v>1</v>
      </c>
      <c r="R4879" t="s">
        <v>42676</v>
      </c>
      <c r="S4879" t="s">
        <v>42809</v>
      </c>
      <c r="T4879" t="s">
        <v>44678</v>
      </c>
      <c r="U4879" t="s">
        <v>48796</v>
      </c>
      <c r="W4879" t="s">
        <v>40614</v>
      </c>
      <c r="X4879" t="s">
        <v>42677</v>
      </c>
    </row>
    <row r="4880" spans="1:24">
      <c r="A4880">
        <f>HYPERLINK("https://www.philgeps.gov.ph/GEPSNONPILOT/Tender/SplashBidNoticeAbstractUI.aspx?menuIndex=3&amp;refID=7189036&amp;Result=3","7189036")</f>
        <v>0</v>
      </c>
      <c r="B4880" t="s">
        <v>1183</v>
      </c>
      <c r="C4880" t="s">
        <v>8197</v>
      </c>
      <c r="D4880" t="s">
        <v>17171</v>
      </c>
      <c r="E4880" t="s">
        <v>21465</v>
      </c>
      <c r="F4880" t="s">
        <v>29372</v>
      </c>
      <c r="G4880" t="s">
        <v>29379</v>
      </c>
      <c r="H4880" t="s">
        <v>11048</v>
      </c>
      <c r="I4880" t="s">
        <v>29407</v>
      </c>
      <c r="J4880" t="s">
        <v>31286</v>
      </c>
      <c r="K4880" t="s">
        <v>38510</v>
      </c>
      <c r="M4880" t="s">
        <v>39998</v>
      </c>
      <c r="N4880" t="s">
        <v>42669</v>
      </c>
      <c r="O4880" t="s">
        <v>42670</v>
      </c>
      <c r="P4880">
        <v>0</v>
      </c>
      <c r="Q4880">
        <v>3</v>
      </c>
      <c r="R4880" t="s">
        <v>42676</v>
      </c>
      <c r="S4880" t="s">
        <v>42809</v>
      </c>
      <c r="T4880" t="s">
        <v>44432</v>
      </c>
      <c r="U4880" t="s">
        <v>48797</v>
      </c>
      <c r="W4880" t="s">
        <v>42631</v>
      </c>
      <c r="X4880" t="s">
        <v>42677</v>
      </c>
    </row>
    <row r="4881" spans="1:24">
      <c r="A4881">
        <f>HYPERLINK("https://www.philgeps.gov.ph/GEPSNONPILOT/Tender/SplashBidNoticeAbstractUI.aspx?menuIndex=3&amp;refID=7189034&amp;Result=3","7189034")</f>
        <v>0</v>
      </c>
      <c r="B4881" t="s">
        <v>1750</v>
      </c>
      <c r="C4881" t="s">
        <v>8198</v>
      </c>
      <c r="D4881" t="s">
        <v>17143</v>
      </c>
      <c r="E4881" t="s">
        <v>19556</v>
      </c>
      <c r="F4881" t="s">
        <v>29372</v>
      </c>
      <c r="G4881" t="s">
        <v>29380</v>
      </c>
      <c r="H4881" t="s">
        <v>29389</v>
      </c>
      <c r="I4881" t="s">
        <v>10408</v>
      </c>
      <c r="J4881" t="s">
        <v>32710</v>
      </c>
      <c r="K4881" t="s">
        <v>38514</v>
      </c>
      <c r="M4881" t="s">
        <v>40615</v>
      </c>
      <c r="N4881" t="s">
        <v>42669</v>
      </c>
      <c r="O4881" t="s">
        <v>42670</v>
      </c>
      <c r="P4881">
        <v>0</v>
      </c>
      <c r="Q4881">
        <v>0</v>
      </c>
      <c r="R4881" t="s">
        <v>42676</v>
      </c>
      <c r="S4881" t="s">
        <v>42809</v>
      </c>
      <c r="T4881" t="s">
        <v>44679</v>
      </c>
      <c r="U4881" t="s">
        <v>47253</v>
      </c>
      <c r="W4881" t="s">
        <v>40615</v>
      </c>
      <c r="X4881" t="s">
        <v>42677</v>
      </c>
    </row>
    <row r="4882" spans="1:24">
      <c r="A4882">
        <f>HYPERLINK("https://www.philgeps.gov.ph/GEPSNONPILOT/Tender/SplashBidNoticeAbstractUI.aspx?menuIndex=3&amp;refID=7188975&amp;Result=3","7188975")</f>
        <v>0</v>
      </c>
      <c r="B4882" t="s">
        <v>1750</v>
      </c>
      <c r="C4882" t="s">
        <v>8199</v>
      </c>
      <c r="D4882" t="s">
        <v>17143</v>
      </c>
      <c r="E4882" t="s">
        <v>19400</v>
      </c>
      <c r="F4882" t="s">
        <v>29372</v>
      </c>
      <c r="G4882" t="s">
        <v>29380</v>
      </c>
      <c r="H4882" t="s">
        <v>29389</v>
      </c>
      <c r="I4882" t="s">
        <v>10408</v>
      </c>
      <c r="J4882" t="s">
        <v>32711</v>
      </c>
      <c r="K4882" t="s">
        <v>38641</v>
      </c>
      <c r="M4882" t="s">
        <v>40615</v>
      </c>
      <c r="N4882" t="s">
        <v>42669</v>
      </c>
      <c r="O4882" t="s">
        <v>42670</v>
      </c>
      <c r="P4882">
        <v>0</v>
      </c>
      <c r="Q4882">
        <v>0</v>
      </c>
      <c r="R4882" t="s">
        <v>42676</v>
      </c>
      <c r="S4882" t="s">
        <v>42809</v>
      </c>
      <c r="T4882" t="s">
        <v>44679</v>
      </c>
      <c r="U4882" t="s">
        <v>47253</v>
      </c>
      <c r="W4882" t="s">
        <v>40615</v>
      </c>
      <c r="X4882" t="s">
        <v>42677</v>
      </c>
    </row>
    <row r="4883" spans="1:24">
      <c r="A4883">
        <f>HYPERLINK("https://www.philgeps.gov.ph/GEPSNONPILOT/Tender/SplashBidNoticeAbstractUI.aspx?menuIndex=3&amp;refID=7189025&amp;Result=3","7189025")</f>
        <v>0</v>
      </c>
      <c r="B4883" t="s">
        <v>1728</v>
      </c>
      <c r="C4883" t="s">
        <v>8200</v>
      </c>
      <c r="D4883" t="s">
        <v>17192</v>
      </c>
      <c r="E4883" t="s">
        <v>21466</v>
      </c>
      <c r="F4883" t="s">
        <v>29372</v>
      </c>
      <c r="G4883" t="s">
        <v>29382</v>
      </c>
      <c r="H4883" t="s">
        <v>11048</v>
      </c>
      <c r="I4883" t="s">
        <v>29433</v>
      </c>
      <c r="J4883" t="s">
        <v>29799</v>
      </c>
      <c r="K4883" t="s">
        <v>38490</v>
      </c>
      <c r="M4883" t="s">
        <v>40592</v>
      </c>
      <c r="N4883" t="s">
        <v>42669</v>
      </c>
      <c r="O4883" t="s">
        <v>42670</v>
      </c>
      <c r="P4883">
        <v>0</v>
      </c>
      <c r="Q4883">
        <v>10</v>
      </c>
      <c r="R4883" t="s">
        <v>42676</v>
      </c>
      <c r="S4883" t="s">
        <v>42809</v>
      </c>
      <c r="T4883" t="s">
        <v>44399</v>
      </c>
      <c r="U4883" t="s">
        <v>48798</v>
      </c>
      <c r="W4883" t="s">
        <v>40592</v>
      </c>
      <c r="X4883" t="s">
        <v>42677</v>
      </c>
    </row>
    <row r="4884" spans="1:24">
      <c r="A4884">
        <f>HYPERLINK("https://www.philgeps.gov.ph/GEPSNONPILOT/Tender/SplashBidNoticeAbstractUI.aspx?menuIndex=3&amp;refID=7189018&amp;Result=3","7189018")</f>
        <v>0</v>
      </c>
      <c r="B4884" t="s">
        <v>1693</v>
      </c>
      <c r="C4884" t="s">
        <v>4038</v>
      </c>
      <c r="D4884" t="s">
        <v>17226</v>
      </c>
      <c r="E4884" t="s">
        <v>21467</v>
      </c>
      <c r="F4884" t="s">
        <v>29372</v>
      </c>
      <c r="G4884" t="s">
        <v>29379</v>
      </c>
      <c r="H4884" t="s">
        <v>11048</v>
      </c>
      <c r="I4884" t="s">
        <v>3839</v>
      </c>
      <c r="J4884" t="s">
        <v>29571</v>
      </c>
      <c r="K4884" t="s">
        <v>38488</v>
      </c>
      <c r="M4884" t="s">
        <v>40555</v>
      </c>
      <c r="N4884" t="s">
        <v>42669</v>
      </c>
      <c r="O4884" t="s">
        <v>42670</v>
      </c>
      <c r="P4884">
        <v>0</v>
      </c>
      <c r="Q4884">
        <v>0</v>
      </c>
      <c r="R4884" t="s">
        <v>42676</v>
      </c>
      <c r="S4884" t="s">
        <v>42809</v>
      </c>
      <c r="T4884" t="s">
        <v>44481</v>
      </c>
      <c r="U4884" t="s">
        <v>48799</v>
      </c>
      <c r="W4884" t="s">
        <v>40555</v>
      </c>
      <c r="X4884" t="s">
        <v>42677</v>
      </c>
    </row>
    <row r="4885" spans="1:24">
      <c r="A4885">
        <f>HYPERLINK("https://www.philgeps.gov.ph/GEPSNONPILOT/Tender/SplashBidNoticeAbstractUI.aspx?menuIndex=3&amp;refID=7189013&amp;Result=3","7189013")</f>
        <v>0</v>
      </c>
      <c r="B4885" t="s">
        <v>1751</v>
      </c>
      <c r="C4885" t="s">
        <v>8201</v>
      </c>
      <c r="D4885" t="s">
        <v>17165</v>
      </c>
      <c r="E4885" t="s">
        <v>21468</v>
      </c>
      <c r="F4885" t="s">
        <v>29372</v>
      </c>
      <c r="G4885" t="s">
        <v>29380</v>
      </c>
      <c r="H4885" t="s">
        <v>11048</v>
      </c>
      <c r="I4885" t="s">
        <v>4486</v>
      </c>
      <c r="J4885" t="s">
        <v>32667</v>
      </c>
      <c r="K4885" t="s">
        <v>38488</v>
      </c>
      <c r="M4885" t="s">
        <v>40616</v>
      </c>
      <c r="N4885" t="s">
        <v>42669</v>
      </c>
      <c r="O4885" t="s">
        <v>42670</v>
      </c>
      <c r="P4885">
        <v>0</v>
      </c>
      <c r="Q4885">
        <v>4</v>
      </c>
      <c r="R4885" t="s">
        <v>42676</v>
      </c>
      <c r="S4885" t="s">
        <v>42809</v>
      </c>
      <c r="T4885" t="s">
        <v>44525</v>
      </c>
      <c r="U4885" t="s">
        <v>48800</v>
      </c>
      <c r="W4885" t="s">
        <v>40616</v>
      </c>
      <c r="X4885" t="s">
        <v>42677</v>
      </c>
    </row>
    <row r="4886" spans="1:24">
      <c r="A4886">
        <f>HYPERLINK("https://www.philgeps.gov.ph/GEPSNONPILOT/Tender/SplashBidNoticeAbstractUI.aspx?menuIndex=3&amp;refID=7189009&amp;Result=3","7189009")</f>
        <v>0</v>
      </c>
      <c r="B4886" t="s">
        <v>1752</v>
      </c>
      <c r="C4886" t="s">
        <v>8202</v>
      </c>
      <c r="D4886" t="s">
        <v>17170</v>
      </c>
      <c r="E4886" t="s">
        <v>21469</v>
      </c>
      <c r="F4886" t="s">
        <v>29372</v>
      </c>
      <c r="G4886" t="s">
        <v>29379</v>
      </c>
      <c r="H4886" t="s">
        <v>11048</v>
      </c>
      <c r="I4886" t="s">
        <v>29407</v>
      </c>
      <c r="J4886" t="s">
        <v>32712</v>
      </c>
      <c r="K4886" t="s">
        <v>38528</v>
      </c>
      <c r="M4886" t="s">
        <v>40617</v>
      </c>
      <c r="N4886" t="s">
        <v>42669</v>
      </c>
      <c r="O4886" t="s">
        <v>42670</v>
      </c>
      <c r="P4886">
        <v>0</v>
      </c>
      <c r="Q4886">
        <v>5</v>
      </c>
      <c r="R4886" t="s">
        <v>42676</v>
      </c>
      <c r="S4886" t="s">
        <v>42809</v>
      </c>
      <c r="T4886" t="s">
        <v>44512</v>
      </c>
      <c r="U4886" t="s">
        <v>48801</v>
      </c>
      <c r="W4886" t="s">
        <v>40617</v>
      </c>
      <c r="X4886" t="s">
        <v>42677</v>
      </c>
    </row>
    <row r="4887" spans="1:24">
      <c r="A4887">
        <f>HYPERLINK("https://www.philgeps.gov.ph/GEPSNONPILOT/Tender/SplashBidNoticeAbstractUI.aspx?menuIndex=3&amp;refID=7189006&amp;Result=3","7189006")</f>
        <v>0</v>
      </c>
      <c r="B4887" t="s">
        <v>1701</v>
      </c>
      <c r="C4887" t="s">
        <v>8203</v>
      </c>
      <c r="D4887" t="s">
        <v>17141</v>
      </c>
      <c r="E4887" t="s">
        <v>21470</v>
      </c>
      <c r="F4887" t="s">
        <v>29372</v>
      </c>
      <c r="G4887" t="s">
        <v>29379</v>
      </c>
      <c r="H4887" t="s">
        <v>11048</v>
      </c>
      <c r="I4887" t="s">
        <v>8614</v>
      </c>
      <c r="J4887" t="s">
        <v>29555</v>
      </c>
      <c r="K4887" t="s">
        <v>38580</v>
      </c>
      <c r="M4887" t="s">
        <v>40563</v>
      </c>
      <c r="N4887" t="s">
        <v>42669</v>
      </c>
      <c r="O4887" t="s">
        <v>42670</v>
      </c>
      <c r="P4887">
        <v>0</v>
      </c>
      <c r="Q4887">
        <v>10</v>
      </c>
      <c r="R4887" t="s">
        <v>42676</v>
      </c>
      <c r="S4887" t="s">
        <v>42809</v>
      </c>
      <c r="T4887" t="s">
        <v>44566</v>
      </c>
      <c r="U4887" t="s">
        <v>48802</v>
      </c>
      <c r="V4887" t="s">
        <v>56907</v>
      </c>
      <c r="W4887" t="s">
        <v>40563</v>
      </c>
      <c r="X4887" t="s">
        <v>42677</v>
      </c>
    </row>
    <row r="4888" spans="1:24">
      <c r="A4888">
        <f>HYPERLINK("https://www.philgeps.gov.ph/GEPSNONPILOT/Tender/SplashBidNoticeAbstractUI.aspx?menuIndex=3&amp;refID=7189040&amp;Result=3","7189040")</f>
        <v>0</v>
      </c>
      <c r="B4888" t="s">
        <v>1753</v>
      </c>
      <c r="C4888" t="s">
        <v>8204</v>
      </c>
      <c r="D4888" t="s">
        <v>17211</v>
      </c>
      <c r="E4888" t="s">
        <v>21471</v>
      </c>
      <c r="F4888" t="s">
        <v>29372</v>
      </c>
      <c r="G4888" t="s">
        <v>29380</v>
      </c>
      <c r="H4888" t="s">
        <v>11048</v>
      </c>
      <c r="I4888" t="s">
        <v>4709</v>
      </c>
      <c r="J4888" t="s">
        <v>32713</v>
      </c>
      <c r="K4888" t="s">
        <v>38487</v>
      </c>
      <c r="M4888" t="s">
        <v>40618</v>
      </c>
      <c r="N4888" t="s">
        <v>42669</v>
      </c>
      <c r="O4888" t="s">
        <v>42670</v>
      </c>
      <c r="P4888">
        <v>0</v>
      </c>
      <c r="Q4888">
        <v>0</v>
      </c>
      <c r="R4888" t="s">
        <v>42676</v>
      </c>
      <c r="S4888" t="s">
        <v>42809</v>
      </c>
      <c r="T4888" t="s">
        <v>44453</v>
      </c>
      <c r="U4888" t="s">
        <v>48803</v>
      </c>
      <c r="V4888" t="s">
        <v>56908</v>
      </c>
      <c r="W4888" t="s">
        <v>40618</v>
      </c>
      <c r="X4888" t="s">
        <v>42677</v>
      </c>
    </row>
    <row r="4889" spans="1:24">
      <c r="A4889">
        <f>HYPERLINK("https://www.philgeps.gov.ph/GEPSNONPILOT/Tender/SplashBidNoticeAbstractUI.aspx?menuIndex=3&amp;refID=7189004&amp;Result=3","7189004")</f>
        <v>0</v>
      </c>
      <c r="B4889" t="s">
        <v>712</v>
      </c>
      <c r="C4889" t="s">
        <v>8205</v>
      </c>
      <c r="D4889" t="s">
        <v>17175</v>
      </c>
      <c r="E4889" t="s">
        <v>21472</v>
      </c>
      <c r="F4889" t="s">
        <v>29372</v>
      </c>
      <c r="G4889" t="s">
        <v>29380</v>
      </c>
      <c r="H4889" t="s">
        <v>11048</v>
      </c>
      <c r="I4889" t="s">
        <v>10408</v>
      </c>
      <c r="J4889" t="s">
        <v>32714</v>
      </c>
      <c r="K4889" t="s">
        <v>38510</v>
      </c>
      <c r="M4889" t="s">
        <v>39491</v>
      </c>
      <c r="N4889" t="s">
        <v>42669</v>
      </c>
      <c r="O4889" t="s">
        <v>42670</v>
      </c>
      <c r="P4889">
        <v>0</v>
      </c>
      <c r="Q4889">
        <v>0</v>
      </c>
      <c r="R4889" t="s">
        <v>42676</v>
      </c>
      <c r="S4889" t="s">
        <v>42809</v>
      </c>
      <c r="T4889" t="s">
        <v>44503</v>
      </c>
      <c r="U4889" t="s">
        <v>48804</v>
      </c>
      <c r="V4889" t="s">
        <v>56538</v>
      </c>
      <c r="W4889" t="s">
        <v>39491</v>
      </c>
      <c r="X4889" t="s">
        <v>42677</v>
      </c>
    </row>
    <row r="4890" spans="1:24">
      <c r="A4890">
        <f>HYPERLINK("https://www.philgeps.gov.ph/GEPSNONPILOT/Tender/SplashBidNoticeAbstractUI.aspx?menuIndex=3&amp;refID=7188972&amp;Result=3","7188972")</f>
        <v>0</v>
      </c>
      <c r="B4890" t="s">
        <v>1754</v>
      </c>
      <c r="C4890" t="s">
        <v>8206</v>
      </c>
      <c r="D4890" t="s">
        <v>17170</v>
      </c>
      <c r="E4890" t="s">
        <v>21473</v>
      </c>
      <c r="F4890" t="s">
        <v>29372</v>
      </c>
      <c r="G4890" t="s">
        <v>29380</v>
      </c>
      <c r="H4890" t="s">
        <v>11048</v>
      </c>
      <c r="I4890" t="s">
        <v>29469</v>
      </c>
      <c r="J4890" t="s">
        <v>29529</v>
      </c>
      <c r="K4890" t="s">
        <v>38488</v>
      </c>
      <c r="L4890" t="s">
        <v>1754</v>
      </c>
      <c r="M4890" t="s">
        <v>40619</v>
      </c>
      <c r="N4890" t="s">
        <v>42669</v>
      </c>
      <c r="O4890" t="s">
        <v>42670</v>
      </c>
      <c r="P4890">
        <v>0</v>
      </c>
      <c r="Q4890">
        <v>0</v>
      </c>
      <c r="R4890" t="s">
        <v>42676</v>
      </c>
      <c r="S4890" t="s">
        <v>42809</v>
      </c>
      <c r="T4890" t="s">
        <v>44412</v>
      </c>
      <c r="U4890" t="s">
        <v>48805</v>
      </c>
      <c r="W4890" t="s">
        <v>40619</v>
      </c>
      <c r="X4890" t="s">
        <v>42677</v>
      </c>
    </row>
    <row r="4891" spans="1:24">
      <c r="A4891">
        <f>HYPERLINK("https://www.philgeps.gov.ph/GEPSNONPILOT/Tender/SplashBidNoticeAbstractUI.aspx?menuIndex=3&amp;refID=7188998&amp;Result=3","7188998")</f>
        <v>0</v>
      </c>
      <c r="B4891" t="s">
        <v>1707</v>
      </c>
      <c r="C4891" t="s">
        <v>8207</v>
      </c>
      <c r="D4891" t="s">
        <v>17143</v>
      </c>
      <c r="E4891" t="s">
        <v>21474</v>
      </c>
      <c r="F4891" t="s">
        <v>29372</v>
      </c>
      <c r="G4891" t="s">
        <v>29379</v>
      </c>
      <c r="H4891" t="s">
        <v>11048</v>
      </c>
      <c r="I4891" t="s">
        <v>29404</v>
      </c>
      <c r="J4891" t="s">
        <v>30232</v>
      </c>
      <c r="K4891" t="s">
        <v>38488</v>
      </c>
      <c r="M4891" t="s">
        <v>40570</v>
      </c>
      <c r="N4891" t="s">
        <v>42669</v>
      </c>
      <c r="O4891" t="s">
        <v>42670</v>
      </c>
      <c r="P4891">
        <v>0</v>
      </c>
      <c r="Q4891">
        <v>1</v>
      </c>
      <c r="R4891" t="s">
        <v>42676</v>
      </c>
      <c r="S4891" t="s">
        <v>42809</v>
      </c>
      <c r="T4891" t="s">
        <v>44394</v>
      </c>
      <c r="U4891" t="s">
        <v>48806</v>
      </c>
      <c r="W4891" t="s">
        <v>40570</v>
      </c>
      <c r="X4891" t="s">
        <v>42677</v>
      </c>
    </row>
    <row r="4892" spans="1:24">
      <c r="A4892">
        <f>HYPERLINK("https://www.philgeps.gov.ph/GEPSNONPILOT/Tender/SplashBidNoticeAbstractUI.aspx?menuIndex=3&amp;refID=7189016&amp;Result=3","7189016")</f>
        <v>0</v>
      </c>
      <c r="B4892" t="s">
        <v>981</v>
      </c>
      <c r="C4892" t="s">
        <v>8208</v>
      </c>
      <c r="D4892" t="s">
        <v>17152</v>
      </c>
      <c r="E4892" t="s">
        <v>21475</v>
      </c>
      <c r="F4892" t="s">
        <v>29372</v>
      </c>
      <c r="G4892" t="s">
        <v>29380</v>
      </c>
      <c r="H4892" t="s">
        <v>11048</v>
      </c>
      <c r="I4892" t="s">
        <v>8208</v>
      </c>
      <c r="J4892" t="s">
        <v>29708</v>
      </c>
      <c r="K4892" t="s">
        <v>38490</v>
      </c>
      <c r="M4892" t="s">
        <v>39778</v>
      </c>
      <c r="N4892" t="s">
        <v>42669</v>
      </c>
      <c r="O4892" t="s">
        <v>42670</v>
      </c>
      <c r="P4892">
        <v>0</v>
      </c>
      <c r="Q4892">
        <v>0</v>
      </c>
      <c r="R4892" t="s">
        <v>42676</v>
      </c>
      <c r="S4892" t="s">
        <v>42809</v>
      </c>
      <c r="T4892" t="s">
        <v>44468</v>
      </c>
      <c r="U4892" t="s">
        <v>48807</v>
      </c>
      <c r="W4892" t="s">
        <v>39778</v>
      </c>
      <c r="X4892" t="s">
        <v>42677</v>
      </c>
    </row>
    <row r="4893" spans="1:24">
      <c r="A4893">
        <f>HYPERLINK("https://www.philgeps.gov.ph/GEPSNONPILOT/Tender/SplashBidNoticeAbstractUI.aspx?menuIndex=3&amp;refID=7188971&amp;Result=3","7188971")</f>
        <v>0</v>
      </c>
      <c r="B4893" t="s">
        <v>1755</v>
      </c>
      <c r="C4893" t="s">
        <v>8209</v>
      </c>
      <c r="D4893" t="s">
        <v>17158</v>
      </c>
      <c r="E4893" t="s">
        <v>21476</v>
      </c>
      <c r="F4893" t="s">
        <v>29372</v>
      </c>
      <c r="G4893" t="s">
        <v>29380</v>
      </c>
      <c r="H4893" t="s">
        <v>11048</v>
      </c>
      <c r="I4893" t="s">
        <v>3839</v>
      </c>
      <c r="J4893" t="s">
        <v>29532</v>
      </c>
      <c r="K4893" t="s">
        <v>38488</v>
      </c>
      <c r="L4893" t="s">
        <v>1755</v>
      </c>
      <c r="M4893" t="s">
        <v>40620</v>
      </c>
      <c r="N4893" t="s">
        <v>42669</v>
      </c>
      <c r="O4893" t="s">
        <v>42670</v>
      </c>
      <c r="P4893">
        <v>0</v>
      </c>
      <c r="Q4893">
        <v>2</v>
      </c>
      <c r="R4893" t="s">
        <v>42676</v>
      </c>
      <c r="S4893" t="s">
        <v>42809</v>
      </c>
      <c r="T4893" t="s">
        <v>44542</v>
      </c>
      <c r="U4893" t="s">
        <v>48808</v>
      </c>
      <c r="W4893" t="s">
        <v>40620</v>
      </c>
      <c r="X4893" t="s">
        <v>42677</v>
      </c>
    </row>
    <row r="4894" spans="1:24">
      <c r="A4894">
        <f>HYPERLINK("https://www.philgeps.gov.ph/GEPSNONPILOT/Tender/SplashBidNoticeAbstractUI.aspx?menuIndex=3&amp;refID=7188989&amp;Result=3","7188989")</f>
        <v>0</v>
      </c>
      <c r="B4894" t="s">
        <v>669</v>
      </c>
      <c r="C4894" t="s">
        <v>8210</v>
      </c>
      <c r="D4894" t="s">
        <v>17147</v>
      </c>
      <c r="E4894" t="s">
        <v>21477</v>
      </c>
      <c r="F4894" t="s">
        <v>29372</v>
      </c>
      <c r="G4894" t="s">
        <v>29382</v>
      </c>
      <c r="H4894" t="s">
        <v>11048</v>
      </c>
      <c r="I4894" t="s">
        <v>5383</v>
      </c>
      <c r="J4894" t="s">
        <v>32715</v>
      </c>
      <c r="K4894" t="s">
        <v>38488</v>
      </c>
      <c r="M4894" t="s">
        <v>39445</v>
      </c>
      <c r="N4894" t="s">
        <v>42669</v>
      </c>
      <c r="O4894" t="s">
        <v>42670</v>
      </c>
      <c r="P4894">
        <v>0</v>
      </c>
      <c r="Q4894">
        <v>1</v>
      </c>
      <c r="R4894" t="s">
        <v>42676</v>
      </c>
      <c r="S4894" t="s">
        <v>42809</v>
      </c>
      <c r="T4894" t="s">
        <v>44524</v>
      </c>
      <c r="U4894" t="s">
        <v>48809</v>
      </c>
      <c r="V4894" t="s">
        <v>56531</v>
      </c>
      <c r="W4894" t="s">
        <v>39445</v>
      </c>
      <c r="X4894" t="s">
        <v>42677</v>
      </c>
    </row>
    <row r="4895" spans="1:24">
      <c r="A4895">
        <f>HYPERLINK("https://www.philgeps.gov.ph/GEPSNONPILOT/Tender/SplashBidNoticeAbstractUI.aspx?menuIndex=3&amp;refID=7189091&amp;Result=3","7189091")</f>
        <v>0</v>
      </c>
      <c r="B4895" t="s">
        <v>1707</v>
      </c>
      <c r="C4895" t="s">
        <v>8211</v>
      </c>
      <c r="D4895" t="s">
        <v>17143</v>
      </c>
      <c r="E4895" t="s">
        <v>21478</v>
      </c>
      <c r="F4895" t="s">
        <v>29372</v>
      </c>
      <c r="G4895" t="s">
        <v>29379</v>
      </c>
      <c r="H4895" t="s">
        <v>11048</v>
      </c>
      <c r="I4895" t="s">
        <v>29393</v>
      </c>
      <c r="J4895" t="s">
        <v>29721</v>
      </c>
      <c r="K4895" t="s">
        <v>38488</v>
      </c>
      <c r="M4895" t="s">
        <v>40570</v>
      </c>
      <c r="N4895" t="s">
        <v>42669</v>
      </c>
      <c r="O4895" t="s">
        <v>42670</v>
      </c>
      <c r="P4895">
        <v>0</v>
      </c>
      <c r="Q4895">
        <v>0</v>
      </c>
      <c r="R4895" t="s">
        <v>42676</v>
      </c>
      <c r="S4895" t="s">
        <v>42809</v>
      </c>
      <c r="T4895" t="s">
        <v>44394</v>
      </c>
      <c r="U4895" t="s">
        <v>48810</v>
      </c>
      <c r="W4895" t="s">
        <v>40570</v>
      </c>
      <c r="X4895" t="s">
        <v>42677</v>
      </c>
    </row>
    <row r="4896" spans="1:24">
      <c r="A4896">
        <f>HYPERLINK("https://www.philgeps.gov.ph/GEPSNONPILOT/Tender/SplashBidNoticeAbstractUI.aspx?menuIndex=3&amp;refID=7188906&amp;Result=3","7188906")</f>
        <v>0</v>
      </c>
      <c r="B4896" t="s">
        <v>1341</v>
      </c>
      <c r="C4896" t="s">
        <v>8212</v>
      </c>
      <c r="D4896" t="s">
        <v>17141</v>
      </c>
      <c r="E4896" t="s">
        <v>21479</v>
      </c>
      <c r="F4896" t="s">
        <v>29372</v>
      </c>
      <c r="G4896" t="s">
        <v>29383</v>
      </c>
      <c r="H4896" t="s">
        <v>11048</v>
      </c>
      <c r="I4896" t="s">
        <v>3695</v>
      </c>
      <c r="J4896" t="s">
        <v>32716</v>
      </c>
      <c r="K4896" t="s">
        <v>38490</v>
      </c>
      <c r="M4896" t="s">
        <v>40535</v>
      </c>
      <c r="N4896" t="s">
        <v>42669</v>
      </c>
      <c r="O4896" t="s">
        <v>42670</v>
      </c>
      <c r="P4896">
        <v>0</v>
      </c>
      <c r="Q4896">
        <v>1</v>
      </c>
      <c r="R4896" t="s">
        <v>42676</v>
      </c>
      <c r="S4896" t="s">
        <v>42809</v>
      </c>
      <c r="T4896" t="s">
        <v>44512</v>
      </c>
      <c r="U4896" t="s">
        <v>48811</v>
      </c>
      <c r="W4896" t="s">
        <v>40535</v>
      </c>
      <c r="X4896" t="s">
        <v>42677</v>
      </c>
    </row>
    <row r="4897" spans="1:24">
      <c r="A4897">
        <f>HYPERLINK("https://www.philgeps.gov.ph/GEPSNONPILOT/Tender/SplashBidNoticeAbstractUI.aspx?menuIndex=3&amp;refID=7189090&amp;Result=3","7189090")</f>
        <v>0</v>
      </c>
      <c r="B4897" t="s">
        <v>533</v>
      </c>
      <c r="C4897" t="s">
        <v>8213</v>
      </c>
      <c r="E4897" t="s">
        <v>21480</v>
      </c>
      <c r="F4897" t="s">
        <v>29376</v>
      </c>
      <c r="G4897" t="s">
        <v>29383</v>
      </c>
      <c r="H4897" t="s">
        <v>11048</v>
      </c>
      <c r="I4897" t="s">
        <v>8208</v>
      </c>
      <c r="J4897" t="s">
        <v>32717</v>
      </c>
      <c r="K4897" t="s">
        <v>38490</v>
      </c>
      <c r="M4897" t="s">
        <v>40621</v>
      </c>
      <c r="N4897" t="s">
        <v>42669</v>
      </c>
      <c r="O4897" t="s">
        <v>42670</v>
      </c>
      <c r="P4897">
        <v>0</v>
      </c>
      <c r="Q4897">
        <v>0</v>
      </c>
      <c r="R4897" t="s">
        <v>42676</v>
      </c>
      <c r="S4897" t="s">
        <v>42809</v>
      </c>
      <c r="T4897" t="s">
        <v>44387</v>
      </c>
      <c r="U4897" t="s">
        <v>48812</v>
      </c>
      <c r="W4897" t="s">
        <v>39300</v>
      </c>
      <c r="X4897" t="s">
        <v>42677</v>
      </c>
    </row>
    <row r="4898" spans="1:24">
      <c r="A4898">
        <f>HYPERLINK("https://www.philgeps.gov.ph/GEPSNONPILOT/Tender/SplashBidNoticeAbstractUI.aspx?menuIndex=3&amp;refID=7189084&amp;Result=3","7189084")</f>
        <v>0</v>
      </c>
      <c r="B4898" t="s">
        <v>1732</v>
      </c>
      <c r="C4898" t="s">
        <v>8214</v>
      </c>
      <c r="D4898" t="s">
        <v>17164</v>
      </c>
      <c r="E4898" t="s">
        <v>21481</v>
      </c>
      <c r="F4898" t="s">
        <v>29372</v>
      </c>
      <c r="G4898" t="s">
        <v>29380</v>
      </c>
      <c r="H4898" t="s">
        <v>29389</v>
      </c>
      <c r="I4898" t="s">
        <v>10408</v>
      </c>
      <c r="J4898" t="s">
        <v>30412</v>
      </c>
      <c r="K4898" t="s">
        <v>38488</v>
      </c>
      <c r="M4898" t="s">
        <v>40596</v>
      </c>
      <c r="N4898" t="s">
        <v>42669</v>
      </c>
      <c r="O4898" t="s">
        <v>42670</v>
      </c>
      <c r="P4898">
        <v>0</v>
      </c>
      <c r="Q4898">
        <v>0</v>
      </c>
      <c r="R4898" t="s">
        <v>42676</v>
      </c>
      <c r="S4898" t="s">
        <v>42809</v>
      </c>
      <c r="T4898" t="s">
        <v>44446</v>
      </c>
      <c r="U4898" t="s">
        <v>48813</v>
      </c>
      <c r="W4898" t="s">
        <v>40596</v>
      </c>
      <c r="X4898" t="s">
        <v>42677</v>
      </c>
    </row>
    <row r="4899" spans="1:24">
      <c r="A4899">
        <f>HYPERLINK("https://www.philgeps.gov.ph/GEPSNONPILOT/Tender/SplashBidNoticeAbstractUI.aspx?menuIndex=3&amp;refID=7189083&amp;Result=3","7189083")</f>
        <v>0</v>
      </c>
      <c r="B4899" t="s">
        <v>1676</v>
      </c>
      <c r="C4899" t="s">
        <v>8215</v>
      </c>
      <c r="D4899" t="s">
        <v>17155</v>
      </c>
      <c r="E4899" t="s">
        <v>21482</v>
      </c>
      <c r="F4899" t="s">
        <v>29372</v>
      </c>
      <c r="G4899" t="s">
        <v>29379</v>
      </c>
      <c r="H4899" t="s">
        <v>11048</v>
      </c>
      <c r="I4899" t="s">
        <v>29493</v>
      </c>
      <c r="J4899" t="s">
        <v>29929</v>
      </c>
      <c r="K4899" t="s">
        <v>38488</v>
      </c>
      <c r="M4899" t="s">
        <v>40536</v>
      </c>
      <c r="N4899" t="s">
        <v>42669</v>
      </c>
      <c r="O4899" t="s">
        <v>42670</v>
      </c>
      <c r="P4899">
        <v>0</v>
      </c>
      <c r="Q4899">
        <v>2</v>
      </c>
      <c r="R4899" t="s">
        <v>42676</v>
      </c>
      <c r="S4899" t="s">
        <v>42809</v>
      </c>
      <c r="T4899" t="s">
        <v>44432</v>
      </c>
      <c r="U4899" t="s">
        <v>48814</v>
      </c>
      <c r="W4899" t="s">
        <v>40536</v>
      </c>
      <c r="X4899" t="s">
        <v>42677</v>
      </c>
    </row>
    <row r="4900" spans="1:24">
      <c r="A4900">
        <f>HYPERLINK("https://www.philgeps.gov.ph/GEPSNONPILOT/Tender/SplashBidNoticeAbstractUI.aspx?menuIndex=3&amp;refID=7188991&amp;Result=3","7188991")</f>
        <v>0</v>
      </c>
      <c r="B4900" t="s">
        <v>1738</v>
      </c>
      <c r="C4900" t="s">
        <v>8216</v>
      </c>
      <c r="D4900" t="s">
        <v>17166</v>
      </c>
      <c r="E4900" t="s">
        <v>21483</v>
      </c>
      <c r="F4900" t="s">
        <v>29372</v>
      </c>
      <c r="G4900" t="s">
        <v>29380</v>
      </c>
      <c r="H4900" t="s">
        <v>29389</v>
      </c>
      <c r="I4900" t="s">
        <v>10408</v>
      </c>
      <c r="J4900" t="s">
        <v>30161</v>
      </c>
      <c r="K4900" t="s">
        <v>38495</v>
      </c>
      <c r="M4900" t="s">
        <v>40603</v>
      </c>
      <c r="N4900" t="s">
        <v>42669</v>
      </c>
      <c r="O4900" t="s">
        <v>42670</v>
      </c>
      <c r="P4900">
        <v>0</v>
      </c>
      <c r="Q4900">
        <v>0</v>
      </c>
      <c r="R4900" t="s">
        <v>42676</v>
      </c>
      <c r="S4900" t="s">
        <v>42809</v>
      </c>
      <c r="T4900" t="s">
        <v>44368</v>
      </c>
      <c r="U4900" t="s">
        <v>48768</v>
      </c>
      <c r="V4900" t="s">
        <v>56904</v>
      </c>
      <c r="W4900" t="s">
        <v>40603</v>
      </c>
      <c r="X4900" t="s">
        <v>42677</v>
      </c>
    </row>
    <row r="4901" spans="1:24">
      <c r="A4901">
        <f>HYPERLINK("https://www.philgeps.gov.ph/GEPSNONPILOT/Tender/SplashBidNoticeAbstractUI.aspx?menuIndex=3&amp;refID=7189076&amp;Result=3","7189076")</f>
        <v>0</v>
      </c>
      <c r="B4901" t="s">
        <v>1756</v>
      </c>
      <c r="C4901" t="s">
        <v>8217</v>
      </c>
      <c r="D4901" t="s">
        <v>17196</v>
      </c>
      <c r="E4901" t="s">
        <v>21484</v>
      </c>
      <c r="F4901" t="s">
        <v>29372</v>
      </c>
      <c r="G4901" t="s">
        <v>29380</v>
      </c>
      <c r="H4901" t="s">
        <v>11048</v>
      </c>
      <c r="I4901" t="s">
        <v>9469</v>
      </c>
      <c r="J4901" t="s">
        <v>32718</v>
      </c>
      <c r="K4901" t="s">
        <v>38485</v>
      </c>
      <c r="M4901" t="s">
        <v>40622</v>
      </c>
      <c r="N4901" t="s">
        <v>42669</v>
      </c>
      <c r="O4901" t="s">
        <v>42670</v>
      </c>
      <c r="P4901">
        <v>0</v>
      </c>
      <c r="Q4901">
        <v>5</v>
      </c>
      <c r="R4901" t="s">
        <v>42676</v>
      </c>
      <c r="S4901" t="s">
        <v>42809</v>
      </c>
      <c r="T4901" t="s">
        <v>44680</v>
      </c>
      <c r="U4901" t="s">
        <v>48815</v>
      </c>
      <c r="V4901" t="s">
        <v>56909</v>
      </c>
      <c r="W4901" t="s">
        <v>58054</v>
      </c>
      <c r="X4901" t="s">
        <v>42677</v>
      </c>
    </row>
    <row r="4902" spans="1:24">
      <c r="A4902">
        <f>HYPERLINK("https://www.philgeps.gov.ph/GEPSNONPILOT/Tender/SplashBidNoticeAbstractUI.aspx?menuIndex=3&amp;refID=7189075&amp;Result=3","7189075")</f>
        <v>0</v>
      </c>
      <c r="B4902" t="s">
        <v>1372</v>
      </c>
      <c r="C4902" t="s">
        <v>8218</v>
      </c>
      <c r="D4902" t="s">
        <v>17209</v>
      </c>
      <c r="E4902" t="s">
        <v>21485</v>
      </c>
      <c r="F4902" t="s">
        <v>29372</v>
      </c>
      <c r="G4902" t="s">
        <v>29379</v>
      </c>
      <c r="H4902" t="s">
        <v>11048</v>
      </c>
      <c r="I4902" t="s">
        <v>3839</v>
      </c>
      <c r="J4902" t="s">
        <v>32719</v>
      </c>
      <c r="K4902" t="s">
        <v>38488</v>
      </c>
      <c r="M4902" t="s">
        <v>40209</v>
      </c>
      <c r="N4902" t="s">
        <v>42669</v>
      </c>
      <c r="O4902" t="s">
        <v>42670</v>
      </c>
      <c r="P4902">
        <v>0</v>
      </c>
      <c r="Q4902">
        <v>2</v>
      </c>
      <c r="R4902" t="s">
        <v>42676</v>
      </c>
      <c r="S4902" t="s">
        <v>42809</v>
      </c>
      <c r="T4902" t="s">
        <v>44382</v>
      </c>
      <c r="U4902" t="s">
        <v>48816</v>
      </c>
      <c r="W4902" t="s">
        <v>40209</v>
      </c>
      <c r="X4902" t="s">
        <v>42677</v>
      </c>
    </row>
    <row r="4903" spans="1:24">
      <c r="A4903">
        <f>HYPERLINK("https://www.philgeps.gov.ph/GEPSNONPILOT/Tender/SplashBidNoticeAbstractUI.aspx?menuIndex=3&amp;refID=7189070&amp;Result=3","7189070")</f>
        <v>0</v>
      </c>
      <c r="B4903" t="s">
        <v>1393</v>
      </c>
      <c r="C4903" t="s">
        <v>8219</v>
      </c>
      <c r="D4903" t="s">
        <v>17160</v>
      </c>
      <c r="E4903" t="s">
        <v>21486</v>
      </c>
      <c r="F4903" t="s">
        <v>29372</v>
      </c>
      <c r="G4903" t="s">
        <v>29380</v>
      </c>
      <c r="H4903" t="s">
        <v>29389</v>
      </c>
      <c r="I4903" t="s">
        <v>10408</v>
      </c>
      <c r="J4903" t="s">
        <v>32720</v>
      </c>
      <c r="K4903" t="s">
        <v>38606</v>
      </c>
      <c r="M4903" t="s">
        <v>40231</v>
      </c>
      <c r="N4903" t="s">
        <v>42669</v>
      </c>
      <c r="O4903" t="s">
        <v>42670</v>
      </c>
      <c r="P4903">
        <v>0</v>
      </c>
      <c r="Q4903">
        <v>2</v>
      </c>
      <c r="R4903" t="s">
        <v>42676</v>
      </c>
      <c r="S4903" t="s">
        <v>42809</v>
      </c>
      <c r="T4903" t="s">
        <v>44600</v>
      </c>
      <c r="U4903" t="s">
        <v>48817</v>
      </c>
      <c r="W4903" t="s">
        <v>40231</v>
      </c>
      <c r="X4903" t="s">
        <v>42677</v>
      </c>
    </row>
    <row r="4904" spans="1:24">
      <c r="A4904">
        <f>HYPERLINK("https://www.philgeps.gov.ph/GEPSNONPILOT/Tender/SplashBidNoticeAbstractUI.aspx?menuIndex=3&amp;refID=7189069&amp;Result=3","7189069")</f>
        <v>0</v>
      </c>
      <c r="B4904" t="s">
        <v>1750</v>
      </c>
      <c r="C4904" t="s">
        <v>8220</v>
      </c>
      <c r="D4904" t="s">
        <v>17143</v>
      </c>
      <c r="E4904" t="s">
        <v>21487</v>
      </c>
      <c r="F4904" t="s">
        <v>29372</v>
      </c>
      <c r="G4904" t="s">
        <v>29380</v>
      </c>
      <c r="H4904" t="s">
        <v>29389</v>
      </c>
      <c r="I4904" t="s">
        <v>10408</v>
      </c>
      <c r="J4904" t="s">
        <v>32721</v>
      </c>
      <c r="K4904" t="s">
        <v>38642</v>
      </c>
      <c r="M4904" t="s">
        <v>40615</v>
      </c>
      <c r="N4904" t="s">
        <v>42669</v>
      </c>
      <c r="O4904" t="s">
        <v>42670</v>
      </c>
      <c r="P4904">
        <v>0</v>
      </c>
      <c r="Q4904">
        <v>0</v>
      </c>
      <c r="R4904" t="s">
        <v>42676</v>
      </c>
      <c r="S4904" t="s">
        <v>42809</v>
      </c>
      <c r="T4904" t="s">
        <v>44679</v>
      </c>
      <c r="U4904" t="s">
        <v>47253</v>
      </c>
      <c r="W4904" t="s">
        <v>40615</v>
      </c>
      <c r="X4904" t="s">
        <v>42677</v>
      </c>
    </row>
    <row r="4905" spans="1:24">
      <c r="A4905">
        <f>HYPERLINK("https://www.philgeps.gov.ph/GEPSNONPILOT/Tender/SplashBidNoticeAbstractUI.aspx?menuIndex=3&amp;refID=7189066&amp;Result=3","7189066")</f>
        <v>0</v>
      </c>
      <c r="B4905" t="s">
        <v>459</v>
      </c>
      <c r="C4905" t="s">
        <v>8221</v>
      </c>
      <c r="D4905" t="s">
        <v>17193</v>
      </c>
      <c r="E4905" t="s">
        <v>21488</v>
      </c>
      <c r="F4905" t="s">
        <v>29372</v>
      </c>
      <c r="G4905" t="s">
        <v>29380</v>
      </c>
      <c r="H4905" t="s">
        <v>11048</v>
      </c>
      <c r="I4905" t="s">
        <v>9469</v>
      </c>
      <c r="J4905" t="s">
        <v>32079</v>
      </c>
      <c r="K4905" t="s">
        <v>38522</v>
      </c>
      <c r="M4905" t="s">
        <v>40623</v>
      </c>
      <c r="N4905" t="s">
        <v>42669</v>
      </c>
      <c r="O4905" t="s">
        <v>42670</v>
      </c>
      <c r="P4905">
        <v>0</v>
      </c>
      <c r="Q4905">
        <v>12</v>
      </c>
      <c r="R4905" t="s">
        <v>42676</v>
      </c>
      <c r="S4905" t="s">
        <v>42809</v>
      </c>
      <c r="T4905" t="s">
        <v>44460</v>
      </c>
      <c r="U4905" t="s">
        <v>48818</v>
      </c>
      <c r="W4905" t="s">
        <v>40623</v>
      </c>
      <c r="X4905" t="s">
        <v>42677</v>
      </c>
    </row>
    <row r="4906" spans="1:24">
      <c r="A4906">
        <f>HYPERLINK("https://www.philgeps.gov.ph/GEPSNONPILOT/Tender/SplashBidNoticeAbstractUI.aspx?menuIndex=3&amp;refID=7188992&amp;Result=3","7188992")</f>
        <v>0</v>
      </c>
      <c r="B4906" t="s">
        <v>1341</v>
      </c>
      <c r="C4906" t="s">
        <v>8222</v>
      </c>
      <c r="D4906" t="s">
        <v>17141</v>
      </c>
      <c r="E4906" t="s">
        <v>21489</v>
      </c>
      <c r="F4906" t="s">
        <v>29372</v>
      </c>
      <c r="G4906" t="s">
        <v>29383</v>
      </c>
      <c r="H4906" t="s">
        <v>11048</v>
      </c>
      <c r="I4906" t="s">
        <v>29407</v>
      </c>
      <c r="J4906" t="s">
        <v>32722</v>
      </c>
      <c r="K4906" t="s">
        <v>38490</v>
      </c>
      <c r="M4906" t="s">
        <v>40535</v>
      </c>
      <c r="N4906" t="s">
        <v>42669</v>
      </c>
      <c r="O4906" t="s">
        <v>42670</v>
      </c>
      <c r="P4906">
        <v>0</v>
      </c>
      <c r="Q4906">
        <v>1</v>
      </c>
      <c r="R4906" t="s">
        <v>42676</v>
      </c>
      <c r="S4906" t="s">
        <v>42809</v>
      </c>
      <c r="T4906" t="s">
        <v>44512</v>
      </c>
      <c r="U4906" t="s">
        <v>48819</v>
      </c>
      <c r="W4906" t="s">
        <v>40535</v>
      </c>
      <c r="X4906" t="s">
        <v>42677</v>
      </c>
    </row>
    <row r="4907" spans="1:24">
      <c r="A4907">
        <f>HYPERLINK("https://www.philgeps.gov.ph/GEPSNONPILOT/Tender/SplashBidNoticeAbstractUI.aspx?menuIndex=3&amp;refID=7189060&amp;Result=3","7189060")</f>
        <v>0</v>
      </c>
      <c r="B4907" t="s">
        <v>1028</v>
      </c>
      <c r="C4907" t="s">
        <v>8223</v>
      </c>
      <c r="D4907" t="s">
        <v>17226</v>
      </c>
      <c r="E4907" t="s">
        <v>21490</v>
      </c>
      <c r="F4907" t="s">
        <v>29372</v>
      </c>
      <c r="G4907" t="s">
        <v>29380</v>
      </c>
      <c r="H4907" t="s">
        <v>29389</v>
      </c>
      <c r="I4907" t="s">
        <v>10408</v>
      </c>
      <c r="J4907" t="s">
        <v>32723</v>
      </c>
      <c r="K4907" t="s">
        <v>38631</v>
      </c>
      <c r="M4907" t="s">
        <v>40586</v>
      </c>
      <c r="N4907" t="s">
        <v>42669</v>
      </c>
      <c r="O4907" t="s">
        <v>42670</v>
      </c>
      <c r="P4907">
        <v>0</v>
      </c>
      <c r="Q4907">
        <v>1</v>
      </c>
      <c r="R4907" t="s">
        <v>42676</v>
      </c>
      <c r="S4907" t="s">
        <v>42809</v>
      </c>
      <c r="T4907" t="s">
        <v>44368</v>
      </c>
      <c r="U4907" t="s">
        <v>48731</v>
      </c>
      <c r="W4907" t="s">
        <v>40586</v>
      </c>
      <c r="X4907" t="s">
        <v>42677</v>
      </c>
    </row>
    <row r="4908" spans="1:24">
      <c r="A4908">
        <f>HYPERLINK("https://www.philgeps.gov.ph/GEPSNONPILOT/Tender/SplashBidNoticeAbstractUI.aspx?menuIndex=3&amp;refID=7188988&amp;Result=3","7188988")</f>
        <v>0</v>
      </c>
      <c r="B4908" t="s">
        <v>1757</v>
      </c>
      <c r="C4908" t="s">
        <v>8224</v>
      </c>
      <c r="D4908" t="s">
        <v>17178</v>
      </c>
      <c r="E4908" t="s">
        <v>21491</v>
      </c>
      <c r="F4908" t="s">
        <v>29372</v>
      </c>
      <c r="G4908" t="s">
        <v>29379</v>
      </c>
      <c r="H4908" t="s">
        <v>11048</v>
      </c>
      <c r="I4908" t="s">
        <v>29465</v>
      </c>
      <c r="J4908" t="s">
        <v>32724</v>
      </c>
      <c r="K4908" t="s">
        <v>38508</v>
      </c>
      <c r="M4908" t="s">
        <v>40624</v>
      </c>
      <c r="N4908" t="s">
        <v>42669</v>
      </c>
      <c r="O4908" t="s">
        <v>42670</v>
      </c>
      <c r="P4908">
        <v>0</v>
      </c>
      <c r="Q4908">
        <v>0</v>
      </c>
      <c r="R4908" t="s">
        <v>42676</v>
      </c>
      <c r="S4908" t="s">
        <v>42809</v>
      </c>
      <c r="T4908" t="s">
        <v>44429</v>
      </c>
      <c r="U4908" t="s">
        <v>48820</v>
      </c>
      <c r="W4908" t="s">
        <v>40624</v>
      </c>
      <c r="X4908" t="s">
        <v>42677</v>
      </c>
    </row>
    <row r="4909" spans="1:24">
      <c r="A4909">
        <f>HYPERLINK("https://www.philgeps.gov.ph/GEPSNONPILOT/Tender/SplashBidNoticeAbstractUI.aspx?menuIndex=3&amp;refID=7189059&amp;Result=3","7189059")</f>
        <v>0</v>
      </c>
      <c r="B4909" t="s">
        <v>444</v>
      </c>
      <c r="C4909" t="s">
        <v>8225</v>
      </c>
      <c r="D4909" t="s">
        <v>17199</v>
      </c>
      <c r="E4909" t="s">
        <v>21492</v>
      </c>
      <c r="F4909" t="s">
        <v>29372</v>
      </c>
      <c r="G4909" t="s">
        <v>29379</v>
      </c>
      <c r="H4909" t="s">
        <v>11048</v>
      </c>
      <c r="I4909" t="s">
        <v>29420</v>
      </c>
      <c r="J4909" t="s">
        <v>29708</v>
      </c>
      <c r="K4909" t="s">
        <v>38490</v>
      </c>
      <c r="M4909" t="s">
        <v>39208</v>
      </c>
      <c r="N4909" t="s">
        <v>42669</v>
      </c>
      <c r="O4909" t="s">
        <v>42670</v>
      </c>
      <c r="P4909">
        <v>0</v>
      </c>
      <c r="Q4909">
        <v>3</v>
      </c>
      <c r="R4909" t="s">
        <v>42676</v>
      </c>
      <c r="S4909" t="s">
        <v>42809</v>
      </c>
      <c r="T4909" t="s">
        <v>44512</v>
      </c>
      <c r="U4909" t="s">
        <v>45837</v>
      </c>
      <c r="W4909" t="s">
        <v>39208</v>
      </c>
      <c r="X4909" t="s">
        <v>42677</v>
      </c>
    </row>
    <row r="4910" spans="1:24">
      <c r="A4910">
        <f>HYPERLINK("https://www.philgeps.gov.ph/GEPSNONPILOT/Tender/SplashBidNoticeAbstractUI.aspx?menuIndex=3&amp;refID=7189074&amp;Result=3","7189074")</f>
        <v>0</v>
      </c>
      <c r="B4910" t="s">
        <v>1758</v>
      </c>
      <c r="C4910" t="s">
        <v>8226</v>
      </c>
      <c r="D4910" t="s">
        <v>17205</v>
      </c>
      <c r="E4910" t="s">
        <v>21493</v>
      </c>
      <c r="F4910" t="s">
        <v>29372</v>
      </c>
      <c r="G4910" t="s">
        <v>29383</v>
      </c>
      <c r="H4910" t="s">
        <v>11048</v>
      </c>
      <c r="I4910" t="s">
        <v>29407</v>
      </c>
      <c r="J4910" t="s">
        <v>32725</v>
      </c>
      <c r="K4910" t="s">
        <v>38490</v>
      </c>
      <c r="M4910" t="s">
        <v>40625</v>
      </c>
      <c r="N4910" t="s">
        <v>42669</v>
      </c>
      <c r="O4910" t="s">
        <v>42670</v>
      </c>
      <c r="P4910">
        <v>0</v>
      </c>
      <c r="Q4910">
        <v>3</v>
      </c>
      <c r="R4910" t="s">
        <v>42676</v>
      </c>
      <c r="S4910" t="s">
        <v>42809</v>
      </c>
      <c r="T4910" t="s">
        <v>44512</v>
      </c>
      <c r="U4910" t="s">
        <v>48821</v>
      </c>
      <c r="W4910" t="s">
        <v>58055</v>
      </c>
      <c r="X4910" t="s">
        <v>42677</v>
      </c>
    </row>
    <row r="4911" spans="1:24">
      <c r="A4911">
        <f>HYPERLINK("https://www.philgeps.gov.ph/GEPSNONPILOT/Tender/SplashBidNoticeAbstractUI.aspx?menuIndex=3&amp;refID=7189097&amp;Result=3","7189097")</f>
        <v>0</v>
      </c>
      <c r="B4911" t="s">
        <v>589</v>
      </c>
      <c r="C4911" t="s">
        <v>8227</v>
      </c>
      <c r="D4911" t="s">
        <v>17168</v>
      </c>
      <c r="E4911" t="s">
        <v>21494</v>
      </c>
      <c r="F4911" t="s">
        <v>29372</v>
      </c>
      <c r="G4911" t="s">
        <v>29380</v>
      </c>
      <c r="H4911" t="s">
        <v>11048</v>
      </c>
      <c r="I4911" t="s">
        <v>29411</v>
      </c>
      <c r="J4911" t="s">
        <v>32726</v>
      </c>
      <c r="K4911" t="s">
        <v>38538</v>
      </c>
      <c r="M4911" t="s">
        <v>40450</v>
      </c>
      <c r="N4911" t="s">
        <v>42669</v>
      </c>
      <c r="O4911" t="s">
        <v>42670</v>
      </c>
      <c r="P4911">
        <v>0</v>
      </c>
      <c r="Q4911">
        <v>1</v>
      </c>
      <c r="R4911" t="s">
        <v>42676</v>
      </c>
      <c r="S4911" t="s">
        <v>42809</v>
      </c>
      <c r="T4911" t="s">
        <v>44460</v>
      </c>
      <c r="U4911" t="s">
        <v>48822</v>
      </c>
      <c r="V4911" t="s">
        <v>56910</v>
      </c>
      <c r="W4911" t="s">
        <v>40450</v>
      </c>
      <c r="X4911" t="s">
        <v>42677</v>
      </c>
    </row>
    <row r="4912" spans="1:24">
      <c r="A4912">
        <f>HYPERLINK("https://www.philgeps.gov.ph/GEPSNONPILOT/Tender/SplashBidNoticeAbstractUI.aspx?menuIndex=3&amp;refID=7189137&amp;Result=3","7189137")</f>
        <v>0</v>
      </c>
      <c r="B4912" t="s">
        <v>1759</v>
      </c>
      <c r="C4912" t="s">
        <v>8228</v>
      </c>
      <c r="D4912" t="s">
        <v>17192</v>
      </c>
      <c r="E4912" t="s">
        <v>18813</v>
      </c>
      <c r="F4912" t="s">
        <v>29372</v>
      </c>
      <c r="G4912" t="s">
        <v>29379</v>
      </c>
      <c r="H4912" t="s">
        <v>11048</v>
      </c>
      <c r="I4912" t="s">
        <v>29452</v>
      </c>
      <c r="J4912" t="s">
        <v>29590</v>
      </c>
      <c r="K4912" t="s">
        <v>38528</v>
      </c>
      <c r="M4912" t="s">
        <v>40626</v>
      </c>
      <c r="N4912" t="s">
        <v>42669</v>
      </c>
      <c r="O4912" t="s">
        <v>42670</v>
      </c>
      <c r="P4912">
        <v>0</v>
      </c>
      <c r="Q4912">
        <v>1</v>
      </c>
      <c r="R4912" t="s">
        <v>42676</v>
      </c>
      <c r="S4912" t="s">
        <v>42809</v>
      </c>
      <c r="T4912" t="s">
        <v>44592</v>
      </c>
      <c r="U4912" t="s">
        <v>48823</v>
      </c>
      <c r="W4912" t="s">
        <v>40626</v>
      </c>
      <c r="X4912" t="s">
        <v>42677</v>
      </c>
    </row>
    <row r="4913" spans="1:24">
      <c r="A4913">
        <f>HYPERLINK("https://www.philgeps.gov.ph/GEPSNONPILOT/Tender/SplashBidNoticeAbstractUI.aspx?menuIndex=3&amp;refID=7189012&amp;Result=3","7189012")</f>
        <v>0</v>
      </c>
      <c r="B4913" t="s">
        <v>1676</v>
      </c>
      <c r="C4913" t="s">
        <v>8229</v>
      </c>
      <c r="D4913" t="s">
        <v>17155</v>
      </c>
      <c r="E4913" t="s">
        <v>21495</v>
      </c>
      <c r="F4913" t="s">
        <v>29372</v>
      </c>
      <c r="G4913" t="s">
        <v>29379</v>
      </c>
      <c r="H4913" t="s">
        <v>11048</v>
      </c>
      <c r="I4913" t="s">
        <v>3629</v>
      </c>
      <c r="J4913" t="s">
        <v>32727</v>
      </c>
      <c r="K4913" t="s">
        <v>38488</v>
      </c>
      <c r="M4913" t="s">
        <v>40536</v>
      </c>
      <c r="N4913" t="s">
        <v>42669</v>
      </c>
      <c r="O4913" t="s">
        <v>42670</v>
      </c>
      <c r="P4913">
        <v>0</v>
      </c>
      <c r="Q4913">
        <v>0</v>
      </c>
      <c r="R4913" t="s">
        <v>42676</v>
      </c>
      <c r="S4913" t="s">
        <v>42809</v>
      </c>
      <c r="T4913" t="s">
        <v>44432</v>
      </c>
      <c r="U4913" t="s">
        <v>48824</v>
      </c>
      <c r="W4913" t="s">
        <v>40536</v>
      </c>
      <c r="X4913" t="s">
        <v>42677</v>
      </c>
    </row>
    <row r="4914" spans="1:24">
      <c r="A4914">
        <f>HYPERLINK("https://www.philgeps.gov.ph/GEPSNONPILOT/Tender/SplashBidNoticeAbstractUI.aspx?menuIndex=3&amp;refID=7189136&amp;Result=3","7189136")</f>
        <v>0</v>
      </c>
      <c r="B4914" t="s">
        <v>1750</v>
      </c>
      <c r="C4914" t="s">
        <v>8230</v>
      </c>
      <c r="D4914" t="s">
        <v>17143</v>
      </c>
      <c r="E4914" t="s">
        <v>20057</v>
      </c>
      <c r="F4914" t="s">
        <v>29372</v>
      </c>
      <c r="G4914" t="s">
        <v>29380</v>
      </c>
      <c r="H4914" t="s">
        <v>29389</v>
      </c>
      <c r="I4914" t="s">
        <v>10408</v>
      </c>
      <c r="J4914" t="s">
        <v>32728</v>
      </c>
      <c r="K4914" t="s">
        <v>38643</v>
      </c>
      <c r="M4914" t="s">
        <v>40615</v>
      </c>
      <c r="N4914" t="s">
        <v>42669</v>
      </c>
      <c r="O4914" t="s">
        <v>42670</v>
      </c>
      <c r="P4914">
        <v>0</v>
      </c>
      <c r="Q4914">
        <v>1</v>
      </c>
      <c r="R4914" t="s">
        <v>42676</v>
      </c>
      <c r="S4914" t="s">
        <v>42809</v>
      </c>
      <c r="T4914" t="s">
        <v>44679</v>
      </c>
      <c r="U4914" t="s">
        <v>48825</v>
      </c>
      <c r="W4914" t="s">
        <v>40615</v>
      </c>
      <c r="X4914" t="s">
        <v>42677</v>
      </c>
    </row>
    <row r="4915" spans="1:24">
      <c r="A4915">
        <f>HYPERLINK("https://www.philgeps.gov.ph/GEPSNONPILOT/Tender/SplashBidNoticeAbstractUI.aspx?menuIndex=3&amp;refID=7189068&amp;Result=3","7189068")</f>
        <v>0</v>
      </c>
      <c r="B4915" t="s">
        <v>1183</v>
      </c>
      <c r="C4915" t="s">
        <v>8231</v>
      </c>
      <c r="D4915" t="s">
        <v>17171</v>
      </c>
      <c r="E4915" t="s">
        <v>17515</v>
      </c>
      <c r="F4915" t="s">
        <v>29372</v>
      </c>
      <c r="G4915" t="s">
        <v>29379</v>
      </c>
      <c r="H4915" t="s">
        <v>11048</v>
      </c>
      <c r="I4915" t="s">
        <v>29407</v>
      </c>
      <c r="J4915" t="s">
        <v>32729</v>
      </c>
      <c r="K4915" t="s">
        <v>38510</v>
      </c>
      <c r="M4915" t="s">
        <v>39998</v>
      </c>
      <c r="N4915" t="s">
        <v>42669</v>
      </c>
      <c r="O4915" t="s">
        <v>42670</v>
      </c>
      <c r="P4915">
        <v>0</v>
      </c>
      <c r="Q4915">
        <v>3</v>
      </c>
      <c r="R4915" t="s">
        <v>42676</v>
      </c>
      <c r="S4915" t="s">
        <v>42809</v>
      </c>
      <c r="T4915" t="s">
        <v>44432</v>
      </c>
      <c r="U4915" t="s">
        <v>48826</v>
      </c>
      <c r="W4915" t="s">
        <v>42631</v>
      </c>
      <c r="X4915" t="s">
        <v>42677</v>
      </c>
    </row>
    <row r="4916" spans="1:24">
      <c r="A4916">
        <f>HYPERLINK("https://www.philgeps.gov.ph/GEPSNONPILOT/Tender/SplashBidNoticeAbstractUI.aspx?menuIndex=3&amp;refID=7189138&amp;Result=3","7189138")</f>
        <v>0</v>
      </c>
      <c r="B4916" t="s">
        <v>1341</v>
      </c>
      <c r="C4916" t="s">
        <v>8232</v>
      </c>
      <c r="D4916" t="s">
        <v>17141</v>
      </c>
      <c r="E4916" t="s">
        <v>21496</v>
      </c>
      <c r="F4916" t="s">
        <v>29372</v>
      </c>
      <c r="G4916" t="s">
        <v>29383</v>
      </c>
      <c r="H4916" t="s">
        <v>11048</v>
      </c>
      <c r="I4916" t="s">
        <v>4486</v>
      </c>
      <c r="J4916" t="s">
        <v>30024</v>
      </c>
      <c r="K4916" t="s">
        <v>38490</v>
      </c>
      <c r="M4916" t="s">
        <v>40535</v>
      </c>
      <c r="N4916" t="s">
        <v>42669</v>
      </c>
      <c r="O4916" t="s">
        <v>42670</v>
      </c>
      <c r="P4916">
        <v>0</v>
      </c>
      <c r="Q4916">
        <v>9</v>
      </c>
      <c r="R4916" t="s">
        <v>42676</v>
      </c>
      <c r="S4916" t="s">
        <v>42809</v>
      </c>
      <c r="T4916" t="s">
        <v>44512</v>
      </c>
      <c r="U4916" t="s">
        <v>48827</v>
      </c>
      <c r="W4916" t="s">
        <v>40535</v>
      </c>
      <c r="X4916" t="s">
        <v>42677</v>
      </c>
    </row>
    <row r="4917" spans="1:24">
      <c r="A4917">
        <f>HYPERLINK("https://www.philgeps.gov.ph/GEPSNONPILOT/Tender/SplashBidNoticeAbstractUI.aspx?menuIndex=3&amp;refID=7189133&amp;Result=3","7189133")</f>
        <v>0</v>
      </c>
      <c r="B4917" t="s">
        <v>1760</v>
      </c>
      <c r="C4917" t="s">
        <v>8233</v>
      </c>
      <c r="D4917" t="s">
        <v>17195</v>
      </c>
      <c r="E4917" t="s">
        <v>21497</v>
      </c>
      <c r="F4917" t="s">
        <v>29372</v>
      </c>
      <c r="G4917" t="s">
        <v>29380</v>
      </c>
      <c r="H4917" t="s">
        <v>11048</v>
      </c>
      <c r="I4917" t="s">
        <v>3839</v>
      </c>
      <c r="J4917" t="s">
        <v>31876</v>
      </c>
      <c r="K4917" t="s">
        <v>38489</v>
      </c>
      <c r="M4917" t="s">
        <v>40627</v>
      </c>
      <c r="N4917" t="s">
        <v>42669</v>
      </c>
      <c r="O4917" t="s">
        <v>42670</v>
      </c>
      <c r="P4917">
        <v>0</v>
      </c>
      <c r="Q4917">
        <v>3</v>
      </c>
      <c r="R4917" t="s">
        <v>42676</v>
      </c>
      <c r="S4917" t="s">
        <v>42809</v>
      </c>
      <c r="T4917" t="s">
        <v>44371</v>
      </c>
      <c r="U4917" t="s">
        <v>48828</v>
      </c>
      <c r="W4917" t="s">
        <v>40627</v>
      </c>
      <c r="X4917" t="s">
        <v>42677</v>
      </c>
    </row>
    <row r="4918" spans="1:24">
      <c r="A4918">
        <f>HYPERLINK("https://www.philgeps.gov.ph/GEPSNONPILOT/Tender/SplashBidNoticeAbstractUI.aspx?menuIndex=3&amp;refID=7189129&amp;Result=3","7189129")</f>
        <v>0</v>
      </c>
      <c r="B4918" t="s">
        <v>1761</v>
      </c>
      <c r="C4918" t="s">
        <v>8234</v>
      </c>
      <c r="D4918" t="s">
        <v>17141</v>
      </c>
      <c r="E4918" t="s">
        <v>21498</v>
      </c>
      <c r="F4918" t="s">
        <v>29372</v>
      </c>
      <c r="G4918" t="s">
        <v>29382</v>
      </c>
      <c r="H4918" t="s">
        <v>11048</v>
      </c>
      <c r="I4918" t="s">
        <v>5383</v>
      </c>
      <c r="J4918" t="s">
        <v>32730</v>
      </c>
      <c r="K4918" t="s">
        <v>38491</v>
      </c>
      <c r="M4918" t="s">
        <v>40628</v>
      </c>
      <c r="N4918" t="s">
        <v>42669</v>
      </c>
      <c r="O4918" t="s">
        <v>42670</v>
      </c>
      <c r="P4918">
        <v>0</v>
      </c>
      <c r="Q4918">
        <v>5</v>
      </c>
      <c r="R4918" t="s">
        <v>42676</v>
      </c>
      <c r="S4918" t="s">
        <v>42809</v>
      </c>
      <c r="T4918" t="s">
        <v>44481</v>
      </c>
      <c r="U4918" t="s">
        <v>48829</v>
      </c>
      <c r="W4918" t="s">
        <v>58056</v>
      </c>
      <c r="X4918" t="s">
        <v>42677</v>
      </c>
    </row>
    <row r="4919" spans="1:24">
      <c r="A4919">
        <f>HYPERLINK("https://www.philgeps.gov.ph/GEPSNONPILOT/Tender/SplashBidNoticeAbstractUI.aspx?menuIndex=3&amp;refID=7189132&amp;Result=3","7189132")</f>
        <v>0</v>
      </c>
      <c r="B4919" t="s">
        <v>91</v>
      </c>
      <c r="C4919" t="s">
        <v>8235</v>
      </c>
      <c r="D4919" t="s">
        <v>17176</v>
      </c>
      <c r="E4919" t="s">
        <v>21499</v>
      </c>
      <c r="F4919" t="s">
        <v>29372</v>
      </c>
      <c r="G4919" t="s">
        <v>29380</v>
      </c>
      <c r="H4919" t="s">
        <v>11048</v>
      </c>
      <c r="I4919" t="s">
        <v>9469</v>
      </c>
      <c r="J4919" t="s">
        <v>29937</v>
      </c>
      <c r="K4919" t="s">
        <v>38485</v>
      </c>
      <c r="M4919" t="s">
        <v>38845</v>
      </c>
      <c r="N4919" t="s">
        <v>42669</v>
      </c>
      <c r="O4919" t="s">
        <v>42670</v>
      </c>
      <c r="P4919">
        <v>0</v>
      </c>
      <c r="Q4919">
        <v>4</v>
      </c>
      <c r="R4919" t="s">
        <v>42676</v>
      </c>
      <c r="S4919" t="s">
        <v>42809</v>
      </c>
      <c r="T4919" t="s">
        <v>44546</v>
      </c>
      <c r="U4919" t="s">
        <v>48830</v>
      </c>
      <c r="W4919" t="s">
        <v>38845</v>
      </c>
      <c r="X4919" t="s">
        <v>42677</v>
      </c>
    </row>
    <row r="4920" spans="1:24">
      <c r="A4920">
        <f>HYPERLINK("https://www.philgeps.gov.ph/GEPSNONPILOT/Tender/SplashBidNoticeAbstractUI.aspx?menuIndex=3&amp;refID=7189127&amp;Result=3","7189127")</f>
        <v>0</v>
      </c>
      <c r="B4920" t="s">
        <v>671</v>
      </c>
      <c r="C4920" t="s">
        <v>8236</v>
      </c>
      <c r="E4920" t="s">
        <v>21500</v>
      </c>
      <c r="F4920" t="s">
        <v>29372</v>
      </c>
      <c r="G4920" t="s">
        <v>29379</v>
      </c>
      <c r="H4920" t="s">
        <v>11048</v>
      </c>
      <c r="I4920" t="s">
        <v>3839</v>
      </c>
      <c r="J4920" t="s">
        <v>29799</v>
      </c>
      <c r="K4920" t="s">
        <v>38490</v>
      </c>
      <c r="M4920" t="s">
        <v>39447</v>
      </c>
      <c r="N4920" t="s">
        <v>42669</v>
      </c>
      <c r="O4920" t="s">
        <v>42670</v>
      </c>
      <c r="P4920">
        <v>0</v>
      </c>
      <c r="Q4920">
        <v>3</v>
      </c>
      <c r="R4920" t="s">
        <v>42676</v>
      </c>
      <c r="S4920" t="s">
        <v>42809</v>
      </c>
      <c r="T4920" t="s">
        <v>44427</v>
      </c>
      <c r="U4920" t="s">
        <v>48831</v>
      </c>
      <c r="W4920" t="s">
        <v>39447</v>
      </c>
      <c r="X4920" t="s">
        <v>42677</v>
      </c>
    </row>
    <row r="4921" spans="1:24">
      <c r="A4921">
        <f>HYPERLINK("https://www.philgeps.gov.ph/GEPSNONPILOT/Tender/SplashBidNoticeAbstractUI.aspx?menuIndex=3&amp;refID=7189121&amp;Result=3","7189121")</f>
        <v>0</v>
      </c>
      <c r="B4921" t="s">
        <v>459</v>
      </c>
      <c r="C4921" t="s">
        <v>8237</v>
      </c>
      <c r="D4921" t="s">
        <v>17193</v>
      </c>
      <c r="E4921" t="s">
        <v>21501</v>
      </c>
      <c r="F4921" t="s">
        <v>29372</v>
      </c>
      <c r="G4921" t="s">
        <v>29380</v>
      </c>
      <c r="H4921" t="s">
        <v>11048</v>
      </c>
      <c r="I4921" t="s">
        <v>29395</v>
      </c>
      <c r="J4921" t="s">
        <v>32731</v>
      </c>
      <c r="K4921" t="s">
        <v>38488</v>
      </c>
      <c r="M4921" t="s">
        <v>40623</v>
      </c>
      <c r="N4921" t="s">
        <v>42669</v>
      </c>
      <c r="O4921" t="s">
        <v>42670</v>
      </c>
      <c r="P4921">
        <v>0</v>
      </c>
      <c r="Q4921">
        <v>5</v>
      </c>
      <c r="R4921" t="s">
        <v>42676</v>
      </c>
      <c r="S4921" t="s">
        <v>42809</v>
      </c>
      <c r="T4921" t="s">
        <v>44460</v>
      </c>
      <c r="U4921" t="s">
        <v>48832</v>
      </c>
      <c r="W4921" t="s">
        <v>40623</v>
      </c>
      <c r="X4921" t="s">
        <v>42677</v>
      </c>
    </row>
    <row r="4922" spans="1:24">
      <c r="A4922">
        <f>HYPERLINK("https://www.philgeps.gov.ph/GEPSNONPILOT/Tender/SplashBidNoticeAbstractUI.aspx?menuIndex=3&amp;refID=7189120&amp;Result=3","7189120")</f>
        <v>0</v>
      </c>
      <c r="B4922" t="s">
        <v>589</v>
      </c>
      <c r="C4922" t="s">
        <v>8238</v>
      </c>
      <c r="D4922" t="s">
        <v>17168</v>
      </c>
      <c r="E4922" t="s">
        <v>21502</v>
      </c>
      <c r="F4922" t="s">
        <v>29372</v>
      </c>
      <c r="G4922" t="s">
        <v>29380</v>
      </c>
      <c r="H4922" t="s">
        <v>11048</v>
      </c>
      <c r="I4922" t="s">
        <v>29425</v>
      </c>
      <c r="J4922" t="s">
        <v>29924</v>
      </c>
      <c r="K4922" t="s">
        <v>38488</v>
      </c>
      <c r="M4922" t="s">
        <v>40450</v>
      </c>
      <c r="N4922" t="s">
        <v>42669</v>
      </c>
      <c r="O4922" t="s">
        <v>42670</v>
      </c>
      <c r="P4922">
        <v>0</v>
      </c>
      <c r="Q4922">
        <v>4</v>
      </c>
      <c r="R4922" t="s">
        <v>42676</v>
      </c>
      <c r="S4922" t="s">
        <v>42809</v>
      </c>
      <c r="T4922" t="s">
        <v>44460</v>
      </c>
      <c r="U4922" t="s">
        <v>48833</v>
      </c>
      <c r="V4922" t="s">
        <v>56911</v>
      </c>
      <c r="W4922" t="s">
        <v>40450</v>
      </c>
      <c r="X4922" t="s">
        <v>42677</v>
      </c>
    </row>
    <row r="4923" spans="1:24">
      <c r="A4923">
        <f>HYPERLINK("https://www.philgeps.gov.ph/GEPSNONPILOT/Tender/SplashBidNoticeAbstractUI.aspx?menuIndex=3&amp;refID=7189115&amp;Result=3","7189115")</f>
        <v>0</v>
      </c>
      <c r="B4923" t="s">
        <v>1676</v>
      </c>
      <c r="C4923" t="s">
        <v>8239</v>
      </c>
      <c r="D4923" t="s">
        <v>17155</v>
      </c>
      <c r="E4923" t="s">
        <v>21503</v>
      </c>
      <c r="F4923" t="s">
        <v>29372</v>
      </c>
      <c r="G4923" t="s">
        <v>29379</v>
      </c>
      <c r="H4923" t="s">
        <v>11048</v>
      </c>
      <c r="I4923" t="s">
        <v>29407</v>
      </c>
      <c r="J4923" t="s">
        <v>32732</v>
      </c>
      <c r="K4923" t="s">
        <v>38488</v>
      </c>
      <c r="M4923" t="s">
        <v>40536</v>
      </c>
      <c r="N4923" t="s">
        <v>42669</v>
      </c>
      <c r="O4923" t="s">
        <v>42670</v>
      </c>
      <c r="P4923">
        <v>0</v>
      </c>
      <c r="Q4923">
        <v>3</v>
      </c>
      <c r="R4923" t="s">
        <v>42676</v>
      </c>
      <c r="S4923" t="s">
        <v>42809</v>
      </c>
      <c r="T4923" t="s">
        <v>44432</v>
      </c>
      <c r="U4923" t="s">
        <v>48834</v>
      </c>
      <c r="W4923" t="s">
        <v>40536</v>
      </c>
      <c r="X4923" t="s">
        <v>42677</v>
      </c>
    </row>
    <row r="4924" spans="1:24">
      <c r="A4924">
        <f>HYPERLINK("https://www.philgeps.gov.ph/GEPSNONPILOT/Tender/SplashBidNoticeAbstractUI.aspx?menuIndex=3&amp;refID=7189113&amp;Result=3","7189113")</f>
        <v>0</v>
      </c>
      <c r="B4924" t="s">
        <v>1762</v>
      </c>
      <c r="C4924" t="s">
        <v>8240</v>
      </c>
      <c r="E4924" t="s">
        <v>21504</v>
      </c>
      <c r="F4924" t="s">
        <v>29372</v>
      </c>
      <c r="G4924" t="s">
        <v>29380</v>
      </c>
      <c r="H4924" t="s">
        <v>11048</v>
      </c>
      <c r="I4924" t="s">
        <v>29479</v>
      </c>
      <c r="J4924" t="s">
        <v>32733</v>
      </c>
      <c r="K4924" t="s">
        <v>38490</v>
      </c>
      <c r="M4924" t="s">
        <v>40629</v>
      </c>
      <c r="N4924" t="s">
        <v>42669</v>
      </c>
      <c r="O4924" t="s">
        <v>42670</v>
      </c>
      <c r="P4924">
        <v>0</v>
      </c>
      <c r="Q4924">
        <v>10</v>
      </c>
      <c r="R4924" t="s">
        <v>42676</v>
      </c>
      <c r="S4924" t="s">
        <v>42809</v>
      </c>
      <c r="T4924" t="s">
        <v>44450</v>
      </c>
      <c r="U4924" t="s">
        <v>48835</v>
      </c>
      <c r="W4924" t="s">
        <v>40629</v>
      </c>
      <c r="X4924" t="s">
        <v>42677</v>
      </c>
    </row>
    <row r="4925" spans="1:24">
      <c r="A4925">
        <f>HYPERLINK("https://www.philgeps.gov.ph/GEPSNONPILOT/Tender/SplashBidNoticeAbstractUI.aspx?menuIndex=3&amp;refID=7189109&amp;Result=3","7189109")</f>
        <v>0</v>
      </c>
      <c r="B4925" t="s">
        <v>1183</v>
      </c>
      <c r="C4925" t="s">
        <v>8241</v>
      </c>
      <c r="D4925" t="s">
        <v>17171</v>
      </c>
      <c r="E4925" t="s">
        <v>21505</v>
      </c>
      <c r="F4925" t="s">
        <v>29372</v>
      </c>
      <c r="G4925" t="s">
        <v>29379</v>
      </c>
      <c r="H4925" t="s">
        <v>11048</v>
      </c>
      <c r="I4925" t="s">
        <v>10408</v>
      </c>
      <c r="J4925" t="s">
        <v>32734</v>
      </c>
      <c r="K4925" t="s">
        <v>38551</v>
      </c>
      <c r="M4925" t="s">
        <v>39998</v>
      </c>
      <c r="N4925" t="s">
        <v>42669</v>
      </c>
      <c r="O4925" t="s">
        <v>42670</v>
      </c>
      <c r="P4925">
        <v>0</v>
      </c>
      <c r="Q4925">
        <v>0</v>
      </c>
      <c r="R4925" t="s">
        <v>42676</v>
      </c>
      <c r="S4925" t="s">
        <v>42809</v>
      </c>
      <c r="T4925" t="s">
        <v>44432</v>
      </c>
      <c r="U4925" t="s">
        <v>48836</v>
      </c>
      <c r="W4925" t="s">
        <v>42631</v>
      </c>
      <c r="X4925" t="s">
        <v>42677</v>
      </c>
    </row>
    <row r="4926" spans="1:24">
      <c r="A4926">
        <f>HYPERLINK("https://www.philgeps.gov.ph/GEPSNONPILOT/Tender/SplashBidNoticeAbstractUI.aspx?menuIndex=3&amp;refID=7189131&amp;Result=3","7189131")</f>
        <v>0</v>
      </c>
      <c r="B4926" t="s">
        <v>1233</v>
      </c>
      <c r="C4926" t="s">
        <v>8242</v>
      </c>
      <c r="E4926" t="s">
        <v>21506</v>
      </c>
      <c r="F4926" t="s">
        <v>29372</v>
      </c>
      <c r="G4926" t="s">
        <v>29379</v>
      </c>
      <c r="H4926" t="s">
        <v>11048</v>
      </c>
      <c r="I4926" t="s">
        <v>3629</v>
      </c>
      <c r="J4926" t="s">
        <v>30026</v>
      </c>
      <c r="K4926" t="s">
        <v>38490</v>
      </c>
      <c r="M4926" t="s">
        <v>40054</v>
      </c>
      <c r="N4926" t="s">
        <v>42669</v>
      </c>
      <c r="O4926" t="s">
        <v>42670</v>
      </c>
      <c r="P4926">
        <v>0</v>
      </c>
      <c r="Q4926">
        <v>1</v>
      </c>
      <c r="R4926" t="s">
        <v>42676</v>
      </c>
      <c r="S4926" t="s">
        <v>42809</v>
      </c>
      <c r="T4926" t="s">
        <v>44488</v>
      </c>
      <c r="U4926" t="s">
        <v>48837</v>
      </c>
      <c r="W4926" t="s">
        <v>58057</v>
      </c>
      <c r="X4926" t="s">
        <v>42677</v>
      </c>
    </row>
    <row r="4927" spans="1:24">
      <c r="A4927">
        <f>HYPERLINK("https://www.philgeps.gov.ph/GEPSNONPILOT/Tender/SplashBidNoticeAbstractUI.aspx?menuIndex=3&amp;refID=7189077&amp;Result=3","7189077")</f>
        <v>0</v>
      </c>
      <c r="B4927" t="s">
        <v>589</v>
      </c>
      <c r="C4927" t="s">
        <v>8243</v>
      </c>
      <c r="D4927" t="s">
        <v>17168</v>
      </c>
      <c r="E4927" t="s">
        <v>21507</v>
      </c>
      <c r="F4927" t="s">
        <v>29372</v>
      </c>
      <c r="G4927" t="s">
        <v>29380</v>
      </c>
      <c r="H4927" t="s">
        <v>11048</v>
      </c>
      <c r="I4927" t="s">
        <v>29400</v>
      </c>
      <c r="J4927" t="s">
        <v>29769</v>
      </c>
      <c r="K4927" t="s">
        <v>38485</v>
      </c>
      <c r="M4927" t="s">
        <v>40450</v>
      </c>
      <c r="N4927" t="s">
        <v>42669</v>
      </c>
      <c r="O4927" t="s">
        <v>42670</v>
      </c>
      <c r="P4927">
        <v>0</v>
      </c>
      <c r="Q4927">
        <v>1</v>
      </c>
      <c r="R4927" t="s">
        <v>42676</v>
      </c>
      <c r="S4927" t="s">
        <v>42809</v>
      </c>
      <c r="T4927" t="s">
        <v>44460</v>
      </c>
      <c r="U4927" t="s">
        <v>48838</v>
      </c>
      <c r="V4927" t="s">
        <v>56910</v>
      </c>
      <c r="W4927" t="s">
        <v>40450</v>
      </c>
      <c r="X4927" t="s">
        <v>42677</v>
      </c>
    </row>
    <row r="4928" spans="1:24">
      <c r="A4928">
        <f>HYPERLINK("https://www.philgeps.gov.ph/GEPSNONPILOT/Tender/SplashBidNoticeAbstractUI.aspx?menuIndex=3&amp;refID=7189128&amp;Result=3","7189128")</f>
        <v>0</v>
      </c>
      <c r="B4928" t="s">
        <v>1094</v>
      </c>
      <c r="C4928" t="s">
        <v>8244</v>
      </c>
      <c r="D4928" t="s">
        <v>17213</v>
      </c>
      <c r="E4928" t="s">
        <v>21508</v>
      </c>
      <c r="F4928" t="s">
        <v>29372</v>
      </c>
      <c r="G4928" t="s">
        <v>29383</v>
      </c>
      <c r="H4928" t="s">
        <v>11048</v>
      </c>
      <c r="I4928" t="s">
        <v>29404</v>
      </c>
      <c r="J4928" t="s">
        <v>30220</v>
      </c>
      <c r="K4928" t="s">
        <v>38491</v>
      </c>
      <c r="L4928" t="s">
        <v>1094</v>
      </c>
      <c r="M4928" t="s">
        <v>39901</v>
      </c>
      <c r="N4928" t="s">
        <v>42669</v>
      </c>
      <c r="O4928" t="s">
        <v>42670</v>
      </c>
      <c r="P4928">
        <v>0</v>
      </c>
      <c r="Q4928">
        <v>2</v>
      </c>
      <c r="R4928" t="s">
        <v>42676</v>
      </c>
      <c r="S4928" t="s">
        <v>42809</v>
      </c>
      <c r="T4928" t="s">
        <v>44570</v>
      </c>
      <c r="U4928" t="s">
        <v>48839</v>
      </c>
      <c r="V4928" t="s">
        <v>56671</v>
      </c>
      <c r="W4928" t="s">
        <v>39901</v>
      </c>
      <c r="X4928" t="s">
        <v>42677</v>
      </c>
    </row>
    <row r="4929" spans="1:24">
      <c r="A4929">
        <f>HYPERLINK("https://www.philgeps.gov.ph/GEPSNONPILOT/Tender/SplashBidNoticeAbstractUI.aspx?menuIndex=3&amp;refID=7189107&amp;Result=3","7189107")</f>
        <v>0</v>
      </c>
      <c r="B4929" t="s">
        <v>1763</v>
      </c>
      <c r="C4929" t="s">
        <v>8245</v>
      </c>
      <c r="D4929" t="s">
        <v>17156</v>
      </c>
      <c r="E4929" t="s">
        <v>21509</v>
      </c>
      <c r="F4929" t="s">
        <v>29372</v>
      </c>
      <c r="G4929" t="s">
        <v>29383</v>
      </c>
      <c r="H4929" t="s">
        <v>11048</v>
      </c>
      <c r="I4929" t="s">
        <v>29433</v>
      </c>
      <c r="J4929" t="s">
        <v>29571</v>
      </c>
      <c r="K4929" t="s">
        <v>38485</v>
      </c>
      <c r="M4929" t="s">
        <v>40630</v>
      </c>
      <c r="N4929" t="s">
        <v>42669</v>
      </c>
      <c r="O4929" t="s">
        <v>42670</v>
      </c>
      <c r="P4929">
        <v>0</v>
      </c>
      <c r="Q4929">
        <v>14</v>
      </c>
      <c r="R4929" t="s">
        <v>42676</v>
      </c>
      <c r="S4929" t="s">
        <v>42809</v>
      </c>
      <c r="T4929" t="s">
        <v>44496</v>
      </c>
      <c r="U4929" t="s">
        <v>48840</v>
      </c>
      <c r="W4929" t="s">
        <v>40630</v>
      </c>
      <c r="X4929" t="s">
        <v>42677</v>
      </c>
    </row>
    <row r="4930" spans="1:24">
      <c r="A4930">
        <f>HYPERLINK("https://www.philgeps.gov.ph/GEPSNONPILOT/Tender/SplashBidNoticeAbstractUI.aspx?menuIndex=3&amp;refID=7189177&amp;Result=3","7189177")</f>
        <v>0</v>
      </c>
      <c r="B4930" t="s">
        <v>1183</v>
      </c>
      <c r="C4930" t="s">
        <v>8246</v>
      </c>
      <c r="D4930" t="s">
        <v>17171</v>
      </c>
      <c r="E4930" t="s">
        <v>21510</v>
      </c>
      <c r="F4930" t="s">
        <v>29372</v>
      </c>
      <c r="G4930" t="s">
        <v>29379</v>
      </c>
      <c r="H4930" t="s">
        <v>11048</v>
      </c>
      <c r="I4930" t="s">
        <v>29407</v>
      </c>
      <c r="J4930" t="s">
        <v>29708</v>
      </c>
      <c r="K4930" t="s">
        <v>38510</v>
      </c>
      <c r="M4930" t="s">
        <v>39998</v>
      </c>
      <c r="N4930" t="s">
        <v>42669</v>
      </c>
      <c r="O4930" t="s">
        <v>42670</v>
      </c>
      <c r="P4930">
        <v>0</v>
      </c>
      <c r="Q4930">
        <v>3</v>
      </c>
      <c r="R4930" t="s">
        <v>42676</v>
      </c>
      <c r="S4930" t="s">
        <v>42809</v>
      </c>
      <c r="T4930" t="s">
        <v>44432</v>
      </c>
      <c r="U4930" t="s">
        <v>48841</v>
      </c>
      <c r="W4930" t="s">
        <v>42631</v>
      </c>
      <c r="X4930" t="s">
        <v>42677</v>
      </c>
    </row>
    <row r="4931" spans="1:24">
      <c r="A4931">
        <f>HYPERLINK("https://www.philgeps.gov.ph/GEPSNONPILOT/Tender/SplashBidNoticeAbstractUI.aspx?menuIndex=3&amp;refID=7189119&amp;Result=3","7189119")</f>
        <v>0</v>
      </c>
      <c r="B4931" t="s">
        <v>961</v>
      </c>
      <c r="C4931" t="s">
        <v>8247</v>
      </c>
      <c r="D4931" t="s">
        <v>17148</v>
      </c>
      <c r="E4931" t="s">
        <v>21511</v>
      </c>
      <c r="F4931" t="s">
        <v>29372</v>
      </c>
      <c r="G4931" t="s">
        <v>29383</v>
      </c>
      <c r="H4931" t="s">
        <v>11048</v>
      </c>
      <c r="I4931" t="s">
        <v>3952</v>
      </c>
      <c r="J4931" t="s">
        <v>30100</v>
      </c>
      <c r="K4931" t="s">
        <v>38485</v>
      </c>
      <c r="M4931" t="s">
        <v>39757</v>
      </c>
      <c r="N4931" t="s">
        <v>42669</v>
      </c>
      <c r="O4931" t="s">
        <v>42670</v>
      </c>
      <c r="P4931">
        <v>0</v>
      </c>
      <c r="Q4931">
        <v>7</v>
      </c>
      <c r="R4931" t="s">
        <v>42676</v>
      </c>
      <c r="S4931" t="s">
        <v>42809</v>
      </c>
      <c r="T4931" t="s">
        <v>44401</v>
      </c>
      <c r="U4931" t="s">
        <v>48842</v>
      </c>
      <c r="W4931" t="s">
        <v>39757</v>
      </c>
      <c r="X4931" t="s">
        <v>42677</v>
      </c>
    </row>
    <row r="4932" spans="1:24">
      <c r="A4932">
        <f>HYPERLINK("https://www.philgeps.gov.ph/GEPSNONPILOT/Tender/SplashBidNoticeAbstractUI.aspx?menuIndex=3&amp;refID=7189104&amp;Result=3","7189104")</f>
        <v>0</v>
      </c>
      <c r="B4932" t="s">
        <v>1469</v>
      </c>
      <c r="C4932" t="s">
        <v>8248</v>
      </c>
      <c r="D4932" t="s">
        <v>17141</v>
      </c>
      <c r="E4932" t="s">
        <v>21512</v>
      </c>
      <c r="F4932" t="s">
        <v>29372</v>
      </c>
      <c r="G4932" t="s">
        <v>29379</v>
      </c>
      <c r="H4932" t="s">
        <v>11048</v>
      </c>
      <c r="I4932" t="s">
        <v>9642</v>
      </c>
      <c r="J4932" t="s">
        <v>32735</v>
      </c>
      <c r="K4932" t="s">
        <v>38489</v>
      </c>
      <c r="M4932" t="s">
        <v>40312</v>
      </c>
      <c r="N4932" t="s">
        <v>42669</v>
      </c>
      <c r="O4932" t="s">
        <v>42670</v>
      </c>
      <c r="P4932">
        <v>0</v>
      </c>
      <c r="Q4932">
        <v>9</v>
      </c>
      <c r="R4932" t="s">
        <v>42676</v>
      </c>
      <c r="S4932" t="s">
        <v>42809</v>
      </c>
      <c r="T4932" t="s">
        <v>44386</v>
      </c>
      <c r="U4932" t="s">
        <v>48843</v>
      </c>
      <c r="W4932" t="s">
        <v>40312</v>
      </c>
      <c r="X4932" t="s">
        <v>42677</v>
      </c>
    </row>
    <row r="4933" spans="1:24">
      <c r="A4933">
        <f>HYPERLINK("https://www.philgeps.gov.ph/GEPSNONPILOT/Tender/SplashBidNoticeAbstractUI.aspx?menuIndex=3&amp;refID=7189165&amp;Result=3","7189165")</f>
        <v>0</v>
      </c>
      <c r="B4933" t="s">
        <v>91</v>
      </c>
      <c r="C4933" t="s">
        <v>8249</v>
      </c>
      <c r="D4933" t="s">
        <v>17176</v>
      </c>
      <c r="E4933" t="s">
        <v>21513</v>
      </c>
      <c r="F4933" t="s">
        <v>29372</v>
      </c>
      <c r="G4933" t="s">
        <v>29380</v>
      </c>
      <c r="H4933" t="s">
        <v>11048</v>
      </c>
      <c r="I4933" t="s">
        <v>9469</v>
      </c>
      <c r="J4933" t="s">
        <v>32736</v>
      </c>
      <c r="K4933" t="s">
        <v>38485</v>
      </c>
      <c r="M4933" t="s">
        <v>38845</v>
      </c>
      <c r="N4933" t="s">
        <v>42669</v>
      </c>
      <c r="O4933" t="s">
        <v>42670</v>
      </c>
      <c r="P4933">
        <v>0</v>
      </c>
      <c r="Q4933">
        <v>8</v>
      </c>
      <c r="R4933" t="s">
        <v>42676</v>
      </c>
      <c r="S4933" t="s">
        <v>42809</v>
      </c>
      <c r="T4933" t="s">
        <v>44546</v>
      </c>
      <c r="U4933" t="s">
        <v>48844</v>
      </c>
      <c r="W4933" t="s">
        <v>38845</v>
      </c>
      <c r="X4933" t="s">
        <v>42677</v>
      </c>
    </row>
    <row r="4934" spans="1:24">
      <c r="A4934">
        <f>HYPERLINK("https://www.philgeps.gov.ph/GEPSNONPILOT/Tender/SplashBidNoticeAbstractUI.aspx?menuIndex=3&amp;refID=7189173&amp;Result=3","7189173")</f>
        <v>0</v>
      </c>
      <c r="B4934" t="s">
        <v>459</v>
      </c>
      <c r="C4934" t="s">
        <v>8250</v>
      </c>
      <c r="D4934" t="s">
        <v>17193</v>
      </c>
      <c r="E4934" t="s">
        <v>21514</v>
      </c>
      <c r="F4934" t="s">
        <v>29372</v>
      </c>
      <c r="G4934" t="s">
        <v>29380</v>
      </c>
      <c r="H4934" t="s">
        <v>11048</v>
      </c>
      <c r="I4934" t="s">
        <v>29476</v>
      </c>
      <c r="J4934" t="s">
        <v>30751</v>
      </c>
      <c r="K4934" t="s">
        <v>38488</v>
      </c>
      <c r="M4934" t="s">
        <v>40623</v>
      </c>
      <c r="N4934" t="s">
        <v>42669</v>
      </c>
      <c r="O4934" t="s">
        <v>42670</v>
      </c>
      <c r="P4934">
        <v>0</v>
      </c>
      <c r="Q4934">
        <v>11</v>
      </c>
      <c r="R4934" t="s">
        <v>42676</v>
      </c>
      <c r="S4934" t="s">
        <v>42809</v>
      </c>
      <c r="T4934" t="s">
        <v>44460</v>
      </c>
      <c r="U4934" t="s">
        <v>48845</v>
      </c>
      <c r="W4934" t="s">
        <v>40623</v>
      </c>
      <c r="X4934" t="s">
        <v>42677</v>
      </c>
    </row>
    <row r="4935" spans="1:24">
      <c r="A4935">
        <f>HYPERLINK("https://www.philgeps.gov.ph/GEPSNONPILOT/Tender/SplashBidNoticeAbstractUI.aspx?menuIndex=3&amp;refID=7189164&amp;Result=3","7189164")</f>
        <v>0</v>
      </c>
      <c r="B4935" t="s">
        <v>1761</v>
      </c>
      <c r="C4935" t="s">
        <v>8251</v>
      </c>
      <c r="D4935" t="s">
        <v>17141</v>
      </c>
      <c r="E4935" t="s">
        <v>21515</v>
      </c>
      <c r="F4935" t="s">
        <v>29372</v>
      </c>
      <c r="G4935" t="s">
        <v>29379</v>
      </c>
      <c r="H4935" t="s">
        <v>11048</v>
      </c>
      <c r="I4935" t="s">
        <v>5383</v>
      </c>
      <c r="J4935" t="s">
        <v>32737</v>
      </c>
      <c r="K4935" t="s">
        <v>38491</v>
      </c>
      <c r="M4935" t="s">
        <v>40628</v>
      </c>
      <c r="N4935" t="s">
        <v>42669</v>
      </c>
      <c r="O4935" t="s">
        <v>42670</v>
      </c>
      <c r="P4935">
        <v>0</v>
      </c>
      <c r="Q4935">
        <v>1</v>
      </c>
      <c r="R4935" t="s">
        <v>42676</v>
      </c>
      <c r="S4935" t="s">
        <v>42809</v>
      </c>
      <c r="T4935" t="s">
        <v>44481</v>
      </c>
      <c r="U4935" t="s">
        <v>48846</v>
      </c>
      <c r="W4935" t="s">
        <v>58056</v>
      </c>
      <c r="X4935" t="s">
        <v>42677</v>
      </c>
    </row>
    <row r="4936" spans="1:24">
      <c r="A4936">
        <f>HYPERLINK("https://www.philgeps.gov.ph/GEPSNONPILOT/Tender/SplashBidNoticeAbstractUI.aspx?menuIndex=3&amp;refID=7189160&amp;Result=3","7189160")</f>
        <v>0</v>
      </c>
      <c r="B4936" t="s">
        <v>1764</v>
      </c>
      <c r="C4936" t="s">
        <v>8252</v>
      </c>
      <c r="D4936" t="s">
        <v>17185</v>
      </c>
      <c r="E4936" t="s">
        <v>21516</v>
      </c>
      <c r="F4936" t="s">
        <v>29372</v>
      </c>
      <c r="G4936" t="s">
        <v>29379</v>
      </c>
      <c r="H4936" t="s">
        <v>11048</v>
      </c>
      <c r="I4936" t="s">
        <v>8208</v>
      </c>
      <c r="J4936" t="s">
        <v>30519</v>
      </c>
      <c r="K4936" t="s">
        <v>38488</v>
      </c>
      <c r="M4936" t="s">
        <v>40631</v>
      </c>
      <c r="N4936" t="s">
        <v>42669</v>
      </c>
      <c r="O4936" t="s">
        <v>42670</v>
      </c>
      <c r="P4936">
        <v>0</v>
      </c>
      <c r="Q4936">
        <v>1</v>
      </c>
      <c r="R4936" t="s">
        <v>42676</v>
      </c>
      <c r="S4936" t="s">
        <v>42809</v>
      </c>
      <c r="T4936" t="s">
        <v>44441</v>
      </c>
      <c r="U4936" t="s">
        <v>48847</v>
      </c>
      <c r="W4936" t="s">
        <v>40631</v>
      </c>
      <c r="X4936" t="s">
        <v>42677</v>
      </c>
    </row>
    <row r="4937" spans="1:24">
      <c r="A4937">
        <f>HYPERLINK("https://www.philgeps.gov.ph/GEPSNONPILOT/Tender/SplashBidNoticeAbstractUI.aspx?menuIndex=3&amp;refID=7189159&amp;Result=3","7189159")</f>
        <v>0</v>
      </c>
      <c r="B4937" t="s">
        <v>186</v>
      </c>
      <c r="C4937" t="s">
        <v>8253</v>
      </c>
      <c r="D4937" t="s">
        <v>17198</v>
      </c>
      <c r="E4937" t="s">
        <v>21517</v>
      </c>
      <c r="F4937" t="s">
        <v>29372</v>
      </c>
      <c r="G4937" t="s">
        <v>29380</v>
      </c>
      <c r="H4937" t="s">
        <v>11048</v>
      </c>
      <c r="I4937" t="s">
        <v>29394</v>
      </c>
      <c r="J4937" t="s">
        <v>32738</v>
      </c>
      <c r="K4937" t="s">
        <v>38518</v>
      </c>
      <c r="M4937" t="s">
        <v>38943</v>
      </c>
      <c r="N4937" t="s">
        <v>42669</v>
      </c>
      <c r="O4937" t="s">
        <v>42670</v>
      </c>
      <c r="P4937">
        <v>0</v>
      </c>
      <c r="Q4937">
        <v>0</v>
      </c>
      <c r="R4937" t="s">
        <v>42676</v>
      </c>
      <c r="S4937" t="s">
        <v>42809</v>
      </c>
      <c r="T4937" t="s">
        <v>44446</v>
      </c>
      <c r="U4937" t="s">
        <v>48848</v>
      </c>
      <c r="W4937" t="s">
        <v>38943</v>
      </c>
      <c r="X4937" t="s">
        <v>42677</v>
      </c>
    </row>
    <row r="4938" spans="1:24">
      <c r="A4938">
        <f>HYPERLINK("https://www.philgeps.gov.ph/GEPSNONPILOT/Tender/SplashBidNoticeAbstractUI.aspx?menuIndex=3&amp;refID=7189167&amp;Result=3","7189167")</f>
        <v>0</v>
      </c>
      <c r="B4938" t="s">
        <v>865</v>
      </c>
      <c r="C4938" t="s">
        <v>8254</v>
      </c>
      <c r="E4938" t="s">
        <v>21518</v>
      </c>
      <c r="F4938" t="s">
        <v>29372</v>
      </c>
      <c r="G4938" t="s">
        <v>29379</v>
      </c>
      <c r="H4938" t="s">
        <v>11048</v>
      </c>
      <c r="I4938" t="s">
        <v>3670</v>
      </c>
      <c r="J4938" t="s">
        <v>32739</v>
      </c>
      <c r="K4938" t="s">
        <v>38490</v>
      </c>
      <c r="M4938" t="s">
        <v>39657</v>
      </c>
      <c r="N4938" t="s">
        <v>42669</v>
      </c>
      <c r="O4938" t="s">
        <v>42670</v>
      </c>
      <c r="P4938">
        <v>0</v>
      </c>
      <c r="Q4938">
        <v>1</v>
      </c>
      <c r="R4938" t="s">
        <v>42676</v>
      </c>
      <c r="S4938" t="s">
        <v>42809</v>
      </c>
      <c r="T4938" t="s">
        <v>44429</v>
      </c>
      <c r="U4938" t="s">
        <v>48849</v>
      </c>
      <c r="W4938" t="s">
        <v>39657</v>
      </c>
      <c r="X4938" t="s">
        <v>42677</v>
      </c>
    </row>
    <row r="4939" spans="1:24">
      <c r="A4939">
        <f>HYPERLINK("https://www.philgeps.gov.ph/GEPSNONPILOT/Tender/SplashBidNoticeAbstractUI.aspx?menuIndex=3&amp;refID=7189172&amp;Result=3","7189172")</f>
        <v>0</v>
      </c>
      <c r="B4939" t="s">
        <v>1543</v>
      </c>
      <c r="C4939" t="s">
        <v>8255</v>
      </c>
      <c r="E4939" t="s">
        <v>21519</v>
      </c>
      <c r="F4939" t="s">
        <v>29372</v>
      </c>
      <c r="G4939" t="s">
        <v>29379</v>
      </c>
      <c r="H4939" t="s">
        <v>11048</v>
      </c>
      <c r="I4939" t="s">
        <v>9642</v>
      </c>
      <c r="J4939" t="s">
        <v>32740</v>
      </c>
      <c r="K4939" t="s">
        <v>38490</v>
      </c>
      <c r="M4939" t="s">
        <v>40392</v>
      </c>
      <c r="N4939" t="s">
        <v>42669</v>
      </c>
      <c r="O4939" t="s">
        <v>42670</v>
      </c>
      <c r="P4939">
        <v>0</v>
      </c>
      <c r="Q4939">
        <v>7</v>
      </c>
      <c r="R4939" t="s">
        <v>42676</v>
      </c>
      <c r="S4939" t="s">
        <v>42809</v>
      </c>
      <c r="T4939" t="s">
        <v>44375</v>
      </c>
      <c r="U4939" t="s">
        <v>48850</v>
      </c>
      <c r="V4939" t="s">
        <v>56912</v>
      </c>
      <c r="W4939" t="s">
        <v>40392</v>
      </c>
      <c r="X4939" t="s">
        <v>42677</v>
      </c>
    </row>
    <row r="4940" spans="1:24">
      <c r="A4940">
        <f>HYPERLINK("https://www.philgeps.gov.ph/GEPSNONPILOT/Tender/SplashBidNoticeAbstractUI.aspx?menuIndex=3&amp;refID=7189152&amp;Result=3","7189152")</f>
        <v>0</v>
      </c>
      <c r="B4940" t="s">
        <v>617</v>
      </c>
      <c r="C4940" t="s">
        <v>8256</v>
      </c>
      <c r="D4940" t="s">
        <v>17215</v>
      </c>
      <c r="E4940" t="s">
        <v>21520</v>
      </c>
      <c r="F4940" t="s">
        <v>29372</v>
      </c>
      <c r="G4940" t="s">
        <v>29380</v>
      </c>
      <c r="H4940" t="s">
        <v>11048</v>
      </c>
      <c r="I4940" t="s">
        <v>29394</v>
      </c>
      <c r="J4940" t="s">
        <v>29587</v>
      </c>
      <c r="K4940" t="s">
        <v>38485</v>
      </c>
      <c r="M4940" t="s">
        <v>39388</v>
      </c>
      <c r="N4940" t="s">
        <v>42669</v>
      </c>
      <c r="O4940" t="s">
        <v>42670</v>
      </c>
      <c r="P4940">
        <v>0</v>
      </c>
      <c r="Q4940">
        <v>1</v>
      </c>
      <c r="R4940" t="s">
        <v>42676</v>
      </c>
      <c r="S4940" t="s">
        <v>42809</v>
      </c>
      <c r="T4940" t="s">
        <v>44480</v>
      </c>
      <c r="U4940" t="s">
        <v>48851</v>
      </c>
      <c r="V4940" t="s">
        <v>56513</v>
      </c>
      <c r="W4940" t="s">
        <v>39388</v>
      </c>
      <c r="X4940" t="s">
        <v>42677</v>
      </c>
    </row>
    <row r="4941" spans="1:24">
      <c r="A4941">
        <f>HYPERLINK("https://www.philgeps.gov.ph/GEPSNONPILOT/Tender/SplashBidNoticeAbstractUI.aspx?menuIndex=3&amp;refID=7189151&amp;Result=3","7189151")</f>
        <v>0</v>
      </c>
      <c r="B4941" t="s">
        <v>91</v>
      </c>
      <c r="C4941" t="s">
        <v>8257</v>
      </c>
      <c r="D4941" t="s">
        <v>17176</v>
      </c>
      <c r="E4941" t="s">
        <v>21521</v>
      </c>
      <c r="F4941" t="s">
        <v>29372</v>
      </c>
      <c r="G4941" t="s">
        <v>29380</v>
      </c>
      <c r="H4941" t="s">
        <v>11048</v>
      </c>
      <c r="I4941" t="s">
        <v>9469</v>
      </c>
      <c r="J4941" t="s">
        <v>29937</v>
      </c>
      <c r="K4941" t="s">
        <v>38485</v>
      </c>
      <c r="M4941" t="s">
        <v>38845</v>
      </c>
      <c r="N4941" t="s">
        <v>42669</v>
      </c>
      <c r="O4941" t="s">
        <v>42670</v>
      </c>
      <c r="P4941">
        <v>0</v>
      </c>
      <c r="Q4941">
        <v>3</v>
      </c>
      <c r="R4941" t="s">
        <v>42676</v>
      </c>
      <c r="S4941" t="s">
        <v>42809</v>
      </c>
      <c r="T4941" t="s">
        <v>44546</v>
      </c>
      <c r="U4941" t="s">
        <v>48852</v>
      </c>
      <c r="W4941" t="s">
        <v>38845</v>
      </c>
      <c r="X4941" t="s">
        <v>42677</v>
      </c>
    </row>
    <row r="4942" spans="1:24">
      <c r="A4942">
        <f>HYPERLINK("https://www.philgeps.gov.ph/GEPSNONPILOT/Tender/SplashBidNoticeAbstractUI.aspx?menuIndex=3&amp;refID=7189162&amp;Result=3","7189162")</f>
        <v>0</v>
      </c>
      <c r="B4942" t="s">
        <v>579</v>
      </c>
      <c r="C4942" t="s">
        <v>8258</v>
      </c>
      <c r="D4942" t="s">
        <v>17141</v>
      </c>
      <c r="E4942" t="s">
        <v>21522</v>
      </c>
      <c r="F4942" t="s">
        <v>29373</v>
      </c>
      <c r="G4942" t="s">
        <v>29380</v>
      </c>
      <c r="H4942" t="s">
        <v>11048</v>
      </c>
      <c r="I4942" t="s">
        <v>29473</v>
      </c>
      <c r="J4942" t="s">
        <v>29708</v>
      </c>
      <c r="K4942" t="s">
        <v>38485</v>
      </c>
      <c r="M4942" t="s">
        <v>39348</v>
      </c>
      <c r="N4942" t="s">
        <v>42669</v>
      </c>
      <c r="O4942" t="s">
        <v>42670</v>
      </c>
      <c r="P4942">
        <v>0</v>
      </c>
      <c r="Q4942">
        <v>1</v>
      </c>
      <c r="R4942" t="s">
        <v>42676</v>
      </c>
      <c r="S4942" t="s">
        <v>42809</v>
      </c>
      <c r="T4942" t="s">
        <v>44539</v>
      </c>
      <c r="U4942" t="s">
        <v>48853</v>
      </c>
      <c r="V4942" t="s">
        <v>56504</v>
      </c>
      <c r="W4942" t="s">
        <v>39348</v>
      </c>
      <c r="X4942" t="s">
        <v>42677</v>
      </c>
    </row>
    <row r="4943" spans="1:24">
      <c r="A4943">
        <f>HYPERLINK("https://www.philgeps.gov.ph/GEPSNONPILOT/Tender/SplashBidNoticeAbstractUI.aspx?menuIndex=3&amp;refID=7189216&amp;Result=3","7189216")</f>
        <v>0</v>
      </c>
      <c r="B4943" t="s">
        <v>1765</v>
      </c>
      <c r="C4943" t="s">
        <v>8259</v>
      </c>
      <c r="D4943" t="s">
        <v>17183</v>
      </c>
      <c r="E4943" t="s">
        <v>21280</v>
      </c>
      <c r="F4943" t="s">
        <v>29372</v>
      </c>
      <c r="G4943" t="s">
        <v>29380</v>
      </c>
      <c r="H4943" t="s">
        <v>11048</v>
      </c>
      <c r="I4943" t="s">
        <v>5383</v>
      </c>
      <c r="J4943" t="s">
        <v>32741</v>
      </c>
      <c r="K4943" t="s">
        <v>38510</v>
      </c>
      <c r="M4943" t="s">
        <v>40632</v>
      </c>
      <c r="N4943" t="s">
        <v>42669</v>
      </c>
      <c r="O4943" t="s">
        <v>42670</v>
      </c>
      <c r="P4943">
        <v>0</v>
      </c>
      <c r="Q4943">
        <v>2</v>
      </c>
      <c r="R4943" t="s">
        <v>42676</v>
      </c>
      <c r="S4943" t="s">
        <v>42809</v>
      </c>
      <c r="T4943" t="s">
        <v>44470</v>
      </c>
      <c r="U4943" t="s">
        <v>48854</v>
      </c>
      <c r="W4943" t="s">
        <v>40632</v>
      </c>
      <c r="X4943" t="s">
        <v>42677</v>
      </c>
    </row>
    <row r="4944" spans="1:24">
      <c r="A4944">
        <f>HYPERLINK("https://www.philgeps.gov.ph/GEPSNONPILOT/Tender/SplashBidNoticeAbstractUI.aspx?menuIndex=3&amp;refID=7189111&amp;Result=3","7189111")</f>
        <v>0</v>
      </c>
      <c r="B4944" t="s">
        <v>1341</v>
      </c>
      <c r="C4944" t="s">
        <v>8260</v>
      </c>
      <c r="D4944" t="s">
        <v>17141</v>
      </c>
      <c r="E4944" t="s">
        <v>21523</v>
      </c>
      <c r="F4944" t="s">
        <v>29372</v>
      </c>
      <c r="G4944" t="s">
        <v>29383</v>
      </c>
      <c r="H4944" t="s">
        <v>11048</v>
      </c>
      <c r="I4944" t="s">
        <v>5383</v>
      </c>
      <c r="J4944" t="s">
        <v>29675</v>
      </c>
      <c r="K4944" t="s">
        <v>38490</v>
      </c>
      <c r="M4944" t="s">
        <v>40535</v>
      </c>
      <c r="N4944" t="s">
        <v>42669</v>
      </c>
      <c r="O4944" t="s">
        <v>42670</v>
      </c>
      <c r="P4944">
        <v>0</v>
      </c>
      <c r="Q4944">
        <v>6</v>
      </c>
      <c r="R4944" t="s">
        <v>42676</v>
      </c>
      <c r="S4944" t="s">
        <v>42809</v>
      </c>
      <c r="T4944" t="s">
        <v>44512</v>
      </c>
      <c r="U4944" t="s">
        <v>48855</v>
      </c>
      <c r="W4944" t="s">
        <v>40535</v>
      </c>
      <c r="X4944" t="s">
        <v>42677</v>
      </c>
    </row>
    <row r="4945" spans="1:24">
      <c r="A4945">
        <f>HYPERLINK("https://www.philgeps.gov.ph/GEPSNONPILOT/Tender/SplashBidNoticeAbstractUI.aspx?menuIndex=3&amp;refID=7189168&amp;Result=3","7189168")</f>
        <v>0</v>
      </c>
      <c r="B4945" t="s">
        <v>1766</v>
      </c>
      <c r="C4945" t="s">
        <v>8261</v>
      </c>
      <c r="D4945" t="s">
        <v>17141</v>
      </c>
      <c r="E4945" t="s">
        <v>21524</v>
      </c>
      <c r="F4945" t="s">
        <v>29372</v>
      </c>
      <c r="G4945" t="s">
        <v>29383</v>
      </c>
      <c r="H4945" t="s">
        <v>11048</v>
      </c>
      <c r="I4945" t="s">
        <v>3670</v>
      </c>
      <c r="J4945" t="s">
        <v>32742</v>
      </c>
      <c r="K4945" t="s">
        <v>38491</v>
      </c>
      <c r="M4945" t="s">
        <v>40633</v>
      </c>
      <c r="N4945" t="s">
        <v>42669</v>
      </c>
      <c r="O4945" t="s">
        <v>42670</v>
      </c>
      <c r="P4945">
        <v>0</v>
      </c>
      <c r="Q4945">
        <v>3</v>
      </c>
      <c r="R4945" t="s">
        <v>42676</v>
      </c>
      <c r="S4945" t="s">
        <v>42809</v>
      </c>
      <c r="T4945" t="s">
        <v>44530</v>
      </c>
      <c r="U4945" t="s">
        <v>48856</v>
      </c>
      <c r="W4945" t="s">
        <v>40633</v>
      </c>
      <c r="X4945" t="s">
        <v>42677</v>
      </c>
    </row>
    <row r="4946" spans="1:24">
      <c r="A4946">
        <f>HYPERLINK("https://www.philgeps.gov.ph/GEPSNONPILOT/Tender/SplashBidNoticeAbstractUI.aspx?menuIndex=3&amp;refID=7189214&amp;Result=3","7189214")</f>
        <v>0</v>
      </c>
      <c r="B4946" t="s">
        <v>1183</v>
      </c>
      <c r="C4946" t="s">
        <v>8262</v>
      </c>
      <c r="D4946" t="s">
        <v>17171</v>
      </c>
      <c r="E4946" t="s">
        <v>21525</v>
      </c>
      <c r="F4946" t="s">
        <v>29372</v>
      </c>
      <c r="G4946" t="s">
        <v>29379</v>
      </c>
      <c r="H4946" t="s">
        <v>11048</v>
      </c>
      <c r="I4946" t="s">
        <v>29407</v>
      </c>
      <c r="J4946" t="s">
        <v>31159</v>
      </c>
      <c r="K4946" t="s">
        <v>38510</v>
      </c>
      <c r="M4946" t="s">
        <v>39998</v>
      </c>
      <c r="N4946" t="s">
        <v>42669</v>
      </c>
      <c r="O4946" t="s">
        <v>42670</v>
      </c>
      <c r="P4946">
        <v>0</v>
      </c>
      <c r="Q4946">
        <v>1</v>
      </c>
      <c r="R4946" t="s">
        <v>42676</v>
      </c>
      <c r="S4946" t="s">
        <v>42809</v>
      </c>
      <c r="T4946" t="s">
        <v>44432</v>
      </c>
      <c r="U4946" t="s">
        <v>48857</v>
      </c>
      <c r="W4946" t="s">
        <v>42631</v>
      </c>
      <c r="X4946" t="s">
        <v>42677</v>
      </c>
    </row>
    <row r="4947" spans="1:24">
      <c r="A4947">
        <f>HYPERLINK("https://www.philgeps.gov.ph/GEPSNONPILOT/Tender/SplashBidNoticeAbstractUI.aspx?menuIndex=3&amp;refID=7189150&amp;Result=3","7189150")</f>
        <v>0</v>
      </c>
      <c r="B4947" t="s">
        <v>952</v>
      </c>
      <c r="C4947" t="s">
        <v>8263</v>
      </c>
      <c r="E4947" t="s">
        <v>21526</v>
      </c>
      <c r="F4947" t="s">
        <v>29372</v>
      </c>
      <c r="G4947" t="s">
        <v>29379</v>
      </c>
      <c r="H4947" t="s">
        <v>11048</v>
      </c>
      <c r="I4947" t="s">
        <v>3629</v>
      </c>
      <c r="J4947" t="s">
        <v>32743</v>
      </c>
      <c r="K4947" t="s">
        <v>38495</v>
      </c>
      <c r="M4947" t="s">
        <v>39748</v>
      </c>
      <c r="N4947" t="s">
        <v>42669</v>
      </c>
      <c r="O4947" t="s">
        <v>42670</v>
      </c>
      <c r="P4947">
        <v>0</v>
      </c>
      <c r="Q4947">
        <v>0</v>
      </c>
      <c r="R4947" t="s">
        <v>42676</v>
      </c>
      <c r="S4947" t="s">
        <v>42809</v>
      </c>
      <c r="T4947" t="s">
        <v>44512</v>
      </c>
      <c r="U4947" t="s">
        <v>48858</v>
      </c>
      <c r="W4947" t="s">
        <v>39748</v>
      </c>
      <c r="X4947" t="s">
        <v>42677</v>
      </c>
    </row>
    <row r="4948" spans="1:24">
      <c r="A4948">
        <f>HYPERLINK("https://www.philgeps.gov.ph/GEPSNONPILOT/Tender/SplashBidNoticeAbstractUI.aspx?menuIndex=3&amp;refID=7189213&amp;Result=3","7189213")</f>
        <v>0</v>
      </c>
      <c r="B4948" t="s">
        <v>91</v>
      </c>
      <c r="C4948" t="s">
        <v>8264</v>
      </c>
      <c r="D4948" t="s">
        <v>17176</v>
      </c>
      <c r="E4948" t="s">
        <v>21527</v>
      </c>
      <c r="F4948" t="s">
        <v>29372</v>
      </c>
      <c r="G4948" t="s">
        <v>29380</v>
      </c>
      <c r="H4948" t="s">
        <v>11048</v>
      </c>
      <c r="I4948" t="s">
        <v>29408</v>
      </c>
      <c r="J4948" t="s">
        <v>29615</v>
      </c>
      <c r="K4948" t="s">
        <v>38485</v>
      </c>
      <c r="M4948" t="s">
        <v>38845</v>
      </c>
      <c r="N4948" t="s">
        <v>42669</v>
      </c>
      <c r="O4948" t="s">
        <v>42670</v>
      </c>
      <c r="P4948">
        <v>0</v>
      </c>
      <c r="Q4948">
        <v>0</v>
      </c>
      <c r="R4948" t="s">
        <v>42676</v>
      </c>
      <c r="S4948" t="s">
        <v>42809</v>
      </c>
      <c r="T4948" t="s">
        <v>44546</v>
      </c>
      <c r="U4948" t="s">
        <v>48859</v>
      </c>
      <c r="W4948" t="s">
        <v>38845</v>
      </c>
      <c r="X4948" t="s">
        <v>42677</v>
      </c>
    </row>
    <row r="4949" spans="1:24">
      <c r="A4949">
        <f>HYPERLINK("https://www.philgeps.gov.ph/GEPSNONPILOT/Tender/SplashBidNoticeAbstractUI.aspx?menuIndex=3&amp;refID=7189212&amp;Result=3","7189212")</f>
        <v>0</v>
      </c>
      <c r="B4949" t="s">
        <v>1729</v>
      </c>
      <c r="C4949" t="s">
        <v>8265</v>
      </c>
      <c r="D4949" t="s">
        <v>17177</v>
      </c>
      <c r="E4949" t="s">
        <v>21411</v>
      </c>
      <c r="F4949" t="s">
        <v>29372</v>
      </c>
      <c r="G4949" t="s">
        <v>29380</v>
      </c>
      <c r="H4949" t="s">
        <v>29389</v>
      </c>
      <c r="I4949" t="s">
        <v>10408</v>
      </c>
      <c r="J4949" t="s">
        <v>32744</v>
      </c>
      <c r="K4949" t="s">
        <v>38485</v>
      </c>
      <c r="M4949" t="s">
        <v>40593</v>
      </c>
      <c r="N4949" t="s">
        <v>42669</v>
      </c>
      <c r="O4949" t="s">
        <v>42670</v>
      </c>
      <c r="P4949">
        <v>0</v>
      </c>
      <c r="Q4949">
        <v>0</v>
      </c>
      <c r="R4949" t="s">
        <v>42676</v>
      </c>
      <c r="S4949" t="s">
        <v>42809</v>
      </c>
      <c r="T4949" t="s">
        <v>44482</v>
      </c>
      <c r="U4949" t="s">
        <v>48860</v>
      </c>
      <c r="W4949" t="s">
        <v>40593</v>
      </c>
      <c r="X4949" t="s">
        <v>42677</v>
      </c>
    </row>
    <row r="4950" spans="1:24">
      <c r="A4950">
        <f>HYPERLINK("https://www.philgeps.gov.ph/GEPSNONPILOT/Tender/SplashBidNoticeAbstractUI.aspx?menuIndex=3&amp;refID=7189201&amp;Result=3","7189201")</f>
        <v>0</v>
      </c>
      <c r="B4950" t="s">
        <v>1756</v>
      </c>
      <c r="C4950" t="s">
        <v>8266</v>
      </c>
      <c r="D4950" t="s">
        <v>17196</v>
      </c>
      <c r="E4950" t="s">
        <v>21528</v>
      </c>
      <c r="F4950" t="s">
        <v>29372</v>
      </c>
      <c r="G4950" t="s">
        <v>29380</v>
      </c>
      <c r="H4950" t="s">
        <v>11048</v>
      </c>
      <c r="I4950" t="s">
        <v>8614</v>
      </c>
      <c r="J4950" t="s">
        <v>32745</v>
      </c>
      <c r="K4950" t="s">
        <v>38485</v>
      </c>
      <c r="M4950" t="s">
        <v>40622</v>
      </c>
      <c r="N4950" t="s">
        <v>42669</v>
      </c>
      <c r="O4950" t="s">
        <v>42670</v>
      </c>
      <c r="P4950">
        <v>0</v>
      </c>
      <c r="Q4950">
        <v>0</v>
      </c>
      <c r="R4950" t="s">
        <v>42676</v>
      </c>
      <c r="S4950" t="s">
        <v>42809</v>
      </c>
      <c r="T4950" t="s">
        <v>44508</v>
      </c>
      <c r="U4950" t="s">
        <v>48861</v>
      </c>
      <c r="V4950" t="s">
        <v>56913</v>
      </c>
      <c r="W4950" t="s">
        <v>58054</v>
      </c>
      <c r="X4950" t="s">
        <v>42677</v>
      </c>
    </row>
    <row r="4951" spans="1:24">
      <c r="A4951">
        <f>HYPERLINK("https://www.philgeps.gov.ph/GEPSNONPILOT/Tender/SplashBidNoticeAbstractUI.aspx?menuIndex=3&amp;refID=7189061&amp;Result=3","7189061")</f>
        <v>0</v>
      </c>
      <c r="B4951" t="s">
        <v>589</v>
      </c>
      <c r="C4951" t="s">
        <v>8267</v>
      </c>
      <c r="D4951" t="s">
        <v>17168</v>
      </c>
      <c r="E4951" t="s">
        <v>21529</v>
      </c>
      <c r="F4951" t="s">
        <v>29372</v>
      </c>
      <c r="G4951" t="s">
        <v>29380</v>
      </c>
      <c r="H4951" t="s">
        <v>11048</v>
      </c>
      <c r="I4951" t="s">
        <v>29400</v>
      </c>
      <c r="J4951" t="s">
        <v>32746</v>
      </c>
      <c r="K4951" t="s">
        <v>38485</v>
      </c>
      <c r="M4951" t="s">
        <v>40450</v>
      </c>
      <c r="N4951" t="s">
        <v>42669</v>
      </c>
      <c r="O4951" t="s">
        <v>42670</v>
      </c>
      <c r="P4951">
        <v>0</v>
      </c>
      <c r="Q4951">
        <v>2</v>
      </c>
      <c r="R4951" t="s">
        <v>42676</v>
      </c>
      <c r="S4951" t="s">
        <v>42809</v>
      </c>
      <c r="T4951" t="s">
        <v>44460</v>
      </c>
      <c r="U4951" t="s">
        <v>48862</v>
      </c>
      <c r="V4951" t="s">
        <v>56910</v>
      </c>
      <c r="W4951" t="s">
        <v>40450</v>
      </c>
      <c r="X4951" t="s">
        <v>42677</v>
      </c>
    </row>
    <row r="4952" spans="1:24">
      <c r="A4952">
        <f>HYPERLINK("https://www.philgeps.gov.ph/GEPSNONPILOT/Tender/SplashBidNoticeAbstractUI.aspx?menuIndex=3&amp;refID=7189215&amp;Result=3","7189215")</f>
        <v>0</v>
      </c>
      <c r="B4952" t="s">
        <v>1404</v>
      </c>
      <c r="C4952" t="s">
        <v>8268</v>
      </c>
      <c r="D4952" t="s">
        <v>17189</v>
      </c>
      <c r="E4952" t="s">
        <v>21530</v>
      </c>
      <c r="F4952" t="s">
        <v>29372</v>
      </c>
      <c r="G4952" t="s">
        <v>29383</v>
      </c>
      <c r="H4952" t="s">
        <v>11048</v>
      </c>
      <c r="I4952" t="s">
        <v>4487</v>
      </c>
      <c r="J4952" t="s">
        <v>32747</v>
      </c>
      <c r="K4952" t="s">
        <v>38538</v>
      </c>
      <c r="M4952" t="s">
        <v>40243</v>
      </c>
      <c r="N4952" t="s">
        <v>42669</v>
      </c>
      <c r="O4952" t="s">
        <v>42670</v>
      </c>
      <c r="P4952">
        <v>0</v>
      </c>
      <c r="Q4952">
        <v>0</v>
      </c>
      <c r="R4952" t="s">
        <v>42676</v>
      </c>
      <c r="S4952" t="s">
        <v>42809</v>
      </c>
      <c r="T4952" t="s">
        <v>44481</v>
      </c>
      <c r="U4952" t="s">
        <v>48863</v>
      </c>
      <c r="W4952" t="s">
        <v>40243</v>
      </c>
      <c r="X4952" t="s">
        <v>42677</v>
      </c>
    </row>
    <row r="4953" spans="1:24">
      <c r="A4953">
        <f>HYPERLINK("https://www.philgeps.gov.ph/GEPSNONPILOT/Tender/SplashBidNoticeAbstractUI.aspx?menuIndex=3&amp;refID=7189197&amp;Result=3","7189197")</f>
        <v>0</v>
      </c>
      <c r="B4953" t="s">
        <v>865</v>
      </c>
      <c r="C4953" t="s">
        <v>8269</v>
      </c>
      <c r="E4953" t="s">
        <v>21531</v>
      </c>
      <c r="F4953" t="s">
        <v>29372</v>
      </c>
      <c r="G4953" t="s">
        <v>29379</v>
      </c>
      <c r="H4953" t="s">
        <v>11048</v>
      </c>
      <c r="I4953" t="s">
        <v>3597</v>
      </c>
      <c r="J4953" t="s">
        <v>31763</v>
      </c>
      <c r="K4953" t="s">
        <v>38490</v>
      </c>
      <c r="M4953" t="s">
        <v>39657</v>
      </c>
      <c r="N4953" t="s">
        <v>42669</v>
      </c>
      <c r="O4953" t="s">
        <v>42670</v>
      </c>
      <c r="P4953">
        <v>0</v>
      </c>
      <c r="Q4953">
        <v>10</v>
      </c>
      <c r="R4953" t="s">
        <v>42676</v>
      </c>
      <c r="S4953" t="s">
        <v>42809</v>
      </c>
      <c r="T4953" t="s">
        <v>44429</v>
      </c>
      <c r="U4953" t="s">
        <v>48864</v>
      </c>
      <c r="W4953" t="s">
        <v>39657</v>
      </c>
      <c r="X4953" t="s">
        <v>42677</v>
      </c>
    </row>
    <row r="4954" spans="1:24">
      <c r="A4954">
        <f>HYPERLINK("https://www.philgeps.gov.ph/GEPSNONPILOT/Tender/SplashBidNoticeAbstractUI.aspx?menuIndex=3&amp;refID=7189195&amp;Result=3","7189195")</f>
        <v>0</v>
      </c>
      <c r="B4954" t="s">
        <v>1750</v>
      </c>
      <c r="C4954" t="s">
        <v>8270</v>
      </c>
      <c r="D4954" t="s">
        <v>17143</v>
      </c>
      <c r="E4954" t="s">
        <v>20078</v>
      </c>
      <c r="F4954" t="s">
        <v>29372</v>
      </c>
      <c r="G4954" t="s">
        <v>29380</v>
      </c>
      <c r="H4954" t="s">
        <v>11048</v>
      </c>
      <c r="I4954" t="s">
        <v>29407</v>
      </c>
      <c r="J4954" t="s">
        <v>32638</v>
      </c>
      <c r="K4954" t="s">
        <v>38485</v>
      </c>
      <c r="M4954" t="s">
        <v>40615</v>
      </c>
      <c r="N4954" t="s">
        <v>42669</v>
      </c>
      <c r="O4954" t="s">
        <v>42670</v>
      </c>
      <c r="P4954">
        <v>0</v>
      </c>
      <c r="Q4954">
        <v>4</v>
      </c>
      <c r="R4954" t="s">
        <v>42676</v>
      </c>
      <c r="S4954" t="s">
        <v>42809</v>
      </c>
      <c r="T4954" t="s">
        <v>44679</v>
      </c>
      <c r="U4954" t="s">
        <v>48865</v>
      </c>
      <c r="W4954" t="s">
        <v>40615</v>
      </c>
      <c r="X4954" t="s">
        <v>42677</v>
      </c>
    </row>
    <row r="4955" spans="1:24">
      <c r="A4955">
        <f>HYPERLINK("https://www.philgeps.gov.ph/GEPSNONPILOT/Tender/SplashBidNoticeAbstractUI.aspx?menuIndex=3&amp;refID=7189194&amp;Result=3","7189194")</f>
        <v>0</v>
      </c>
      <c r="B4955" t="s">
        <v>52</v>
      </c>
      <c r="C4955" t="s">
        <v>8271</v>
      </c>
      <c r="D4955" t="s">
        <v>17192</v>
      </c>
      <c r="E4955" t="s">
        <v>21532</v>
      </c>
      <c r="F4955" t="s">
        <v>29372</v>
      </c>
      <c r="G4955" t="s">
        <v>29379</v>
      </c>
      <c r="H4955" t="s">
        <v>11048</v>
      </c>
      <c r="I4955" t="s">
        <v>14920</v>
      </c>
      <c r="J4955" t="s">
        <v>32748</v>
      </c>
      <c r="K4955" t="s">
        <v>38522</v>
      </c>
      <c r="M4955" t="s">
        <v>38805</v>
      </c>
      <c r="N4955" t="s">
        <v>42669</v>
      </c>
      <c r="O4955" t="s">
        <v>42670</v>
      </c>
      <c r="P4955">
        <v>0</v>
      </c>
      <c r="Q4955">
        <v>3</v>
      </c>
      <c r="R4955" t="s">
        <v>42676</v>
      </c>
      <c r="S4955" t="s">
        <v>42809</v>
      </c>
      <c r="T4955" t="s">
        <v>44431</v>
      </c>
      <c r="U4955" t="s">
        <v>48866</v>
      </c>
      <c r="W4955" t="s">
        <v>38805</v>
      </c>
      <c r="X4955" t="s">
        <v>42677</v>
      </c>
    </row>
    <row r="4956" spans="1:24">
      <c r="A4956">
        <f>HYPERLINK("https://www.philgeps.gov.ph/GEPSNONPILOT/Tender/SplashBidNoticeAbstractUI.aspx?menuIndex=3&amp;refID=7189192&amp;Result=3","7189192")</f>
        <v>0</v>
      </c>
      <c r="B4956" t="s">
        <v>1707</v>
      </c>
      <c r="C4956" t="s">
        <v>8272</v>
      </c>
      <c r="D4956" t="s">
        <v>17143</v>
      </c>
      <c r="E4956" t="s">
        <v>21533</v>
      </c>
      <c r="F4956" t="s">
        <v>29372</v>
      </c>
      <c r="G4956" t="s">
        <v>29379</v>
      </c>
      <c r="H4956" t="s">
        <v>11048</v>
      </c>
      <c r="I4956" t="s">
        <v>5383</v>
      </c>
      <c r="J4956" t="s">
        <v>32749</v>
      </c>
      <c r="K4956" t="s">
        <v>38488</v>
      </c>
      <c r="M4956" t="s">
        <v>40570</v>
      </c>
      <c r="N4956" t="s">
        <v>42669</v>
      </c>
      <c r="O4956" t="s">
        <v>42670</v>
      </c>
      <c r="P4956">
        <v>0</v>
      </c>
      <c r="Q4956">
        <v>2</v>
      </c>
      <c r="R4956" t="s">
        <v>42676</v>
      </c>
      <c r="S4956" t="s">
        <v>42809</v>
      </c>
      <c r="T4956" t="s">
        <v>44394</v>
      </c>
      <c r="U4956" t="s">
        <v>48867</v>
      </c>
      <c r="W4956" t="s">
        <v>40570</v>
      </c>
      <c r="X4956" t="s">
        <v>42677</v>
      </c>
    </row>
    <row r="4957" spans="1:24">
      <c r="A4957">
        <f>HYPERLINK("https://www.philgeps.gov.ph/GEPSNONPILOT/Tender/SplashBidNoticeAbstractUI.aspx?menuIndex=3&amp;refID=7189191&amp;Result=3","7189191")</f>
        <v>0</v>
      </c>
      <c r="B4957" t="s">
        <v>671</v>
      </c>
      <c r="C4957" t="s">
        <v>8273</v>
      </c>
      <c r="E4957" t="s">
        <v>21534</v>
      </c>
      <c r="F4957" t="s">
        <v>29372</v>
      </c>
      <c r="G4957" t="s">
        <v>29379</v>
      </c>
      <c r="H4957" t="s">
        <v>11048</v>
      </c>
      <c r="I4957" t="s">
        <v>3839</v>
      </c>
      <c r="J4957" t="s">
        <v>29571</v>
      </c>
      <c r="K4957" t="s">
        <v>38490</v>
      </c>
      <c r="M4957" t="s">
        <v>39447</v>
      </c>
      <c r="N4957" t="s">
        <v>42669</v>
      </c>
      <c r="O4957" t="s">
        <v>42670</v>
      </c>
      <c r="P4957">
        <v>0</v>
      </c>
      <c r="Q4957">
        <v>2</v>
      </c>
      <c r="R4957" t="s">
        <v>42676</v>
      </c>
      <c r="S4957" t="s">
        <v>42809</v>
      </c>
      <c r="T4957" t="s">
        <v>44427</v>
      </c>
      <c r="U4957" t="s">
        <v>48868</v>
      </c>
      <c r="W4957" t="s">
        <v>39447</v>
      </c>
      <c r="X4957" t="s">
        <v>42677</v>
      </c>
    </row>
    <row r="4958" spans="1:24">
      <c r="A4958">
        <f>HYPERLINK("https://www.philgeps.gov.ph/GEPSNONPILOT/Tender/SplashBidNoticeAbstractUI.aspx?menuIndex=3&amp;refID=7189190&amp;Result=3","7189190")</f>
        <v>0</v>
      </c>
      <c r="B4958" t="s">
        <v>961</v>
      </c>
      <c r="C4958" t="s">
        <v>8274</v>
      </c>
      <c r="D4958" t="s">
        <v>17148</v>
      </c>
      <c r="E4958" t="s">
        <v>17782</v>
      </c>
      <c r="F4958" t="s">
        <v>29372</v>
      </c>
      <c r="G4958" t="s">
        <v>29383</v>
      </c>
      <c r="H4958" t="s">
        <v>11048</v>
      </c>
      <c r="I4958" t="s">
        <v>29456</v>
      </c>
      <c r="J4958" t="s">
        <v>29625</v>
      </c>
      <c r="K4958" t="s">
        <v>38510</v>
      </c>
      <c r="M4958" t="s">
        <v>39757</v>
      </c>
      <c r="N4958" t="s">
        <v>42669</v>
      </c>
      <c r="O4958" t="s">
        <v>42670</v>
      </c>
      <c r="P4958">
        <v>0</v>
      </c>
      <c r="Q4958">
        <v>5</v>
      </c>
      <c r="R4958" t="s">
        <v>42676</v>
      </c>
      <c r="S4958" t="s">
        <v>42809</v>
      </c>
      <c r="T4958" t="s">
        <v>44401</v>
      </c>
      <c r="U4958" t="s">
        <v>48842</v>
      </c>
      <c r="W4958" t="s">
        <v>39757</v>
      </c>
      <c r="X4958" t="s">
        <v>42677</v>
      </c>
    </row>
    <row r="4959" spans="1:24">
      <c r="A4959">
        <f>HYPERLINK("https://www.philgeps.gov.ph/GEPSNONPILOT/Tender/SplashBidNoticeAbstractUI.aspx?menuIndex=3&amp;refID=7189185&amp;Result=3","7189185")</f>
        <v>0</v>
      </c>
      <c r="B4959" t="s">
        <v>669</v>
      </c>
      <c r="C4959" t="s">
        <v>8275</v>
      </c>
      <c r="D4959" t="s">
        <v>17147</v>
      </c>
      <c r="E4959" t="s">
        <v>21535</v>
      </c>
      <c r="F4959" t="s">
        <v>29372</v>
      </c>
      <c r="G4959" t="s">
        <v>29381</v>
      </c>
      <c r="H4959" t="s">
        <v>11048</v>
      </c>
      <c r="I4959" t="s">
        <v>4709</v>
      </c>
      <c r="J4959" t="s">
        <v>32750</v>
      </c>
      <c r="K4959" t="s">
        <v>38488</v>
      </c>
      <c r="M4959" t="s">
        <v>40064</v>
      </c>
      <c r="N4959" t="s">
        <v>42669</v>
      </c>
      <c r="O4959" t="s">
        <v>42670</v>
      </c>
      <c r="P4959">
        <v>0</v>
      </c>
      <c r="Q4959">
        <v>0</v>
      </c>
      <c r="R4959" t="s">
        <v>42676</v>
      </c>
      <c r="S4959" t="s">
        <v>42809</v>
      </c>
      <c r="T4959" t="s">
        <v>44580</v>
      </c>
      <c r="U4959" t="s">
        <v>48869</v>
      </c>
      <c r="V4959" t="s">
        <v>56531</v>
      </c>
      <c r="W4959" t="s">
        <v>40064</v>
      </c>
      <c r="X4959" t="s">
        <v>42677</v>
      </c>
    </row>
    <row r="4960" spans="1:24">
      <c r="A4960">
        <f>HYPERLINK("https://www.philgeps.gov.ph/GEPSNONPILOT/Tender/SplashBidNoticeAbstractUI.aspx?menuIndex=3&amp;refID=7189206&amp;Result=3","7189206")</f>
        <v>0</v>
      </c>
      <c r="B4960" t="s">
        <v>1767</v>
      </c>
      <c r="C4960" t="s">
        <v>8276</v>
      </c>
      <c r="D4960" t="s">
        <v>17202</v>
      </c>
      <c r="E4960" t="s">
        <v>21536</v>
      </c>
      <c r="F4960" t="s">
        <v>29372</v>
      </c>
      <c r="G4960" t="s">
        <v>29379</v>
      </c>
      <c r="H4960" t="s">
        <v>11048</v>
      </c>
      <c r="I4960" t="s">
        <v>5383</v>
      </c>
      <c r="J4960" t="s">
        <v>29694</v>
      </c>
      <c r="K4960" t="s">
        <v>38489</v>
      </c>
      <c r="M4960" t="s">
        <v>40634</v>
      </c>
      <c r="N4960" t="s">
        <v>42669</v>
      </c>
      <c r="O4960" t="s">
        <v>42670</v>
      </c>
      <c r="P4960">
        <v>0</v>
      </c>
      <c r="Q4960">
        <v>0</v>
      </c>
      <c r="R4960" t="s">
        <v>42676</v>
      </c>
      <c r="S4960" t="s">
        <v>42809</v>
      </c>
      <c r="T4960" t="s">
        <v>44386</v>
      </c>
      <c r="U4960" t="s">
        <v>48870</v>
      </c>
      <c r="W4960" t="s">
        <v>40634</v>
      </c>
      <c r="X4960" t="s">
        <v>42677</v>
      </c>
    </row>
    <row r="4961" spans="1:24">
      <c r="A4961">
        <f>HYPERLINK("https://www.philgeps.gov.ph/GEPSNONPILOT/Tender/SplashBidNoticeAbstractUI.aspx?menuIndex=3&amp;refID=7189241&amp;Result=3","7189241")</f>
        <v>0</v>
      </c>
      <c r="B4961" t="s">
        <v>91</v>
      </c>
      <c r="C4961" t="s">
        <v>8277</v>
      </c>
      <c r="D4961" t="s">
        <v>17176</v>
      </c>
      <c r="E4961" t="s">
        <v>21537</v>
      </c>
      <c r="F4961" t="s">
        <v>29372</v>
      </c>
      <c r="G4961" t="s">
        <v>29380</v>
      </c>
      <c r="H4961" t="s">
        <v>11048</v>
      </c>
      <c r="I4961" t="s">
        <v>29423</v>
      </c>
      <c r="J4961" t="s">
        <v>29937</v>
      </c>
      <c r="K4961" t="s">
        <v>38485</v>
      </c>
      <c r="M4961" t="s">
        <v>38845</v>
      </c>
      <c r="N4961" t="s">
        <v>42669</v>
      </c>
      <c r="O4961" t="s">
        <v>42670</v>
      </c>
      <c r="P4961">
        <v>0</v>
      </c>
      <c r="Q4961">
        <v>2</v>
      </c>
      <c r="R4961" t="s">
        <v>42676</v>
      </c>
      <c r="S4961" t="s">
        <v>42809</v>
      </c>
      <c r="T4961" t="s">
        <v>44546</v>
      </c>
      <c r="U4961" t="s">
        <v>48871</v>
      </c>
      <c r="W4961" t="s">
        <v>38845</v>
      </c>
      <c r="X4961" t="s">
        <v>42677</v>
      </c>
    </row>
    <row r="4962" spans="1:24">
      <c r="A4962">
        <f>HYPERLINK("https://www.philgeps.gov.ph/GEPSNONPILOT/Tender/SplashBidNoticeAbstractUI.aspx?menuIndex=3&amp;refID=7189261&amp;Result=3","7189261")</f>
        <v>0</v>
      </c>
      <c r="B4962" t="s">
        <v>1341</v>
      </c>
      <c r="C4962" t="s">
        <v>8278</v>
      </c>
      <c r="D4962" t="s">
        <v>17141</v>
      </c>
      <c r="E4962" t="s">
        <v>21538</v>
      </c>
      <c r="F4962" t="s">
        <v>29372</v>
      </c>
      <c r="G4962" t="s">
        <v>29383</v>
      </c>
      <c r="H4962" t="s">
        <v>11048</v>
      </c>
      <c r="I4962" t="s">
        <v>4486</v>
      </c>
      <c r="J4962" t="s">
        <v>29675</v>
      </c>
      <c r="K4962" t="s">
        <v>38490</v>
      </c>
      <c r="M4962" t="s">
        <v>40535</v>
      </c>
      <c r="N4962" t="s">
        <v>42669</v>
      </c>
      <c r="O4962" t="s">
        <v>42670</v>
      </c>
      <c r="P4962">
        <v>0</v>
      </c>
      <c r="Q4962">
        <v>1</v>
      </c>
      <c r="R4962" t="s">
        <v>42676</v>
      </c>
      <c r="S4962" t="s">
        <v>42809</v>
      </c>
      <c r="T4962" t="s">
        <v>44512</v>
      </c>
      <c r="U4962" t="s">
        <v>48872</v>
      </c>
      <c r="W4962" t="s">
        <v>40535</v>
      </c>
      <c r="X4962" t="s">
        <v>42677</v>
      </c>
    </row>
    <row r="4963" spans="1:24">
      <c r="A4963">
        <f>HYPERLINK("https://www.philgeps.gov.ph/GEPSNONPILOT/Tender/SplashBidNoticeAbstractUI.aspx?menuIndex=3&amp;refID=7189158&amp;Result=3","7189158")</f>
        <v>0</v>
      </c>
      <c r="B4963" t="s">
        <v>1756</v>
      </c>
      <c r="C4963" t="s">
        <v>8279</v>
      </c>
      <c r="D4963" t="s">
        <v>17196</v>
      </c>
      <c r="E4963" t="s">
        <v>21539</v>
      </c>
      <c r="F4963" t="s">
        <v>29372</v>
      </c>
      <c r="G4963" t="s">
        <v>29380</v>
      </c>
      <c r="H4963" t="s">
        <v>11048</v>
      </c>
      <c r="I4963" t="s">
        <v>5383</v>
      </c>
      <c r="J4963" t="s">
        <v>32751</v>
      </c>
      <c r="K4963" t="s">
        <v>38485</v>
      </c>
      <c r="M4963" t="s">
        <v>40622</v>
      </c>
      <c r="N4963" t="s">
        <v>42669</v>
      </c>
      <c r="O4963" t="s">
        <v>42670</v>
      </c>
      <c r="P4963">
        <v>0</v>
      </c>
      <c r="Q4963">
        <v>0</v>
      </c>
      <c r="R4963" t="s">
        <v>42676</v>
      </c>
      <c r="S4963" t="s">
        <v>42809</v>
      </c>
      <c r="T4963" t="s">
        <v>44508</v>
      </c>
      <c r="U4963" t="s">
        <v>48873</v>
      </c>
      <c r="V4963" t="s">
        <v>56913</v>
      </c>
      <c r="W4963" t="s">
        <v>58054</v>
      </c>
      <c r="X4963" t="s">
        <v>42677</v>
      </c>
    </row>
    <row r="4964" spans="1:24">
      <c r="A4964">
        <f>HYPERLINK("https://www.philgeps.gov.ph/GEPSNONPILOT/Tender/SplashBidNoticeAbstractUI.aspx?menuIndex=3&amp;refID=7189202&amp;Result=3","7189202")</f>
        <v>0</v>
      </c>
      <c r="B4964" t="s">
        <v>1768</v>
      </c>
      <c r="C4964" t="s">
        <v>8280</v>
      </c>
      <c r="D4964" t="s">
        <v>17174</v>
      </c>
      <c r="E4964" t="s">
        <v>18716</v>
      </c>
      <c r="F4964" t="s">
        <v>29372</v>
      </c>
      <c r="G4964" t="s">
        <v>29380</v>
      </c>
      <c r="H4964" t="s">
        <v>11048</v>
      </c>
      <c r="I4964" t="s">
        <v>4709</v>
      </c>
      <c r="J4964" t="s">
        <v>32752</v>
      </c>
      <c r="K4964" t="s">
        <v>38518</v>
      </c>
      <c r="M4964" t="s">
        <v>40635</v>
      </c>
      <c r="N4964" t="s">
        <v>42669</v>
      </c>
      <c r="O4964" t="s">
        <v>42670</v>
      </c>
      <c r="P4964">
        <v>0</v>
      </c>
      <c r="Q4964">
        <v>0</v>
      </c>
      <c r="R4964" t="s">
        <v>42676</v>
      </c>
      <c r="S4964" t="s">
        <v>42809</v>
      </c>
      <c r="T4964" t="s">
        <v>44470</v>
      </c>
      <c r="U4964" t="s">
        <v>48874</v>
      </c>
      <c r="W4964" t="s">
        <v>40635</v>
      </c>
      <c r="X4964" t="s">
        <v>42677</v>
      </c>
    </row>
    <row r="4965" spans="1:24">
      <c r="A4965">
        <f>HYPERLINK("https://www.philgeps.gov.ph/GEPSNONPILOT/Tender/SplashBidNoticeAbstractUI.aspx?menuIndex=3&amp;refID=7189258&amp;Result=3","7189258")</f>
        <v>0</v>
      </c>
      <c r="B4965" t="s">
        <v>1404</v>
      </c>
      <c r="C4965" t="s">
        <v>8281</v>
      </c>
      <c r="D4965" t="s">
        <v>17189</v>
      </c>
      <c r="E4965" t="s">
        <v>21540</v>
      </c>
      <c r="F4965" t="s">
        <v>29372</v>
      </c>
      <c r="G4965" t="s">
        <v>29379</v>
      </c>
      <c r="H4965" t="s">
        <v>11048</v>
      </c>
      <c r="I4965" t="s">
        <v>3670</v>
      </c>
      <c r="J4965" t="s">
        <v>32753</v>
      </c>
      <c r="K4965" t="s">
        <v>38538</v>
      </c>
      <c r="M4965" t="s">
        <v>40243</v>
      </c>
      <c r="N4965" t="s">
        <v>42669</v>
      </c>
      <c r="O4965" t="s">
        <v>42670</v>
      </c>
      <c r="P4965">
        <v>0</v>
      </c>
      <c r="Q4965">
        <v>0</v>
      </c>
      <c r="R4965" t="s">
        <v>42676</v>
      </c>
      <c r="S4965" t="s">
        <v>42809</v>
      </c>
      <c r="T4965" t="s">
        <v>44481</v>
      </c>
      <c r="U4965" t="s">
        <v>48875</v>
      </c>
      <c r="W4965" t="s">
        <v>40243</v>
      </c>
      <c r="X4965" t="s">
        <v>42677</v>
      </c>
    </row>
    <row r="4966" spans="1:24">
      <c r="A4966">
        <f>HYPERLINK("https://www.philgeps.gov.ph/GEPSNONPILOT/Tender/SplashBidNoticeAbstractUI.aspx?menuIndex=3&amp;refID=7189253&amp;Result=3","7189253")</f>
        <v>0</v>
      </c>
      <c r="B4966" t="s">
        <v>669</v>
      </c>
      <c r="C4966" t="s">
        <v>8282</v>
      </c>
      <c r="D4966" t="s">
        <v>17147</v>
      </c>
      <c r="E4966" t="s">
        <v>21541</v>
      </c>
      <c r="F4966" t="s">
        <v>29372</v>
      </c>
      <c r="G4966" t="s">
        <v>29381</v>
      </c>
      <c r="H4966" t="s">
        <v>11048</v>
      </c>
      <c r="I4966" t="s">
        <v>9469</v>
      </c>
      <c r="J4966" t="s">
        <v>29774</v>
      </c>
      <c r="K4966" t="s">
        <v>38485</v>
      </c>
      <c r="M4966" t="s">
        <v>40064</v>
      </c>
      <c r="N4966" t="s">
        <v>42669</v>
      </c>
      <c r="O4966" t="s">
        <v>42670</v>
      </c>
      <c r="P4966">
        <v>0</v>
      </c>
      <c r="Q4966">
        <v>0</v>
      </c>
      <c r="R4966" t="s">
        <v>42676</v>
      </c>
      <c r="S4966" t="s">
        <v>42809</v>
      </c>
      <c r="T4966" t="s">
        <v>44580</v>
      </c>
      <c r="U4966" t="s">
        <v>48876</v>
      </c>
      <c r="V4966" t="s">
        <v>56531</v>
      </c>
      <c r="W4966" t="s">
        <v>40064</v>
      </c>
      <c r="X4966" t="s">
        <v>42677</v>
      </c>
    </row>
    <row r="4967" spans="1:24">
      <c r="A4967">
        <f>HYPERLINK("https://www.philgeps.gov.ph/GEPSNONPILOT/Tender/SplashBidNoticeAbstractUI.aspx?menuIndex=3&amp;refID=7189251&amp;Result=3","7189251")</f>
        <v>0</v>
      </c>
      <c r="B4967" t="s">
        <v>1769</v>
      </c>
      <c r="C4967" t="s">
        <v>8283</v>
      </c>
      <c r="D4967" t="s">
        <v>17165</v>
      </c>
      <c r="E4967" t="s">
        <v>21542</v>
      </c>
      <c r="F4967" t="s">
        <v>29372</v>
      </c>
      <c r="G4967" t="s">
        <v>29382</v>
      </c>
      <c r="H4967" t="s">
        <v>11048</v>
      </c>
      <c r="I4967" t="s">
        <v>5383</v>
      </c>
      <c r="J4967" t="s">
        <v>32754</v>
      </c>
      <c r="K4967" t="s">
        <v>38490</v>
      </c>
      <c r="M4967" t="s">
        <v>40636</v>
      </c>
      <c r="N4967" t="s">
        <v>42669</v>
      </c>
      <c r="O4967" t="s">
        <v>42670</v>
      </c>
      <c r="P4967">
        <v>0</v>
      </c>
      <c r="Q4967">
        <v>6</v>
      </c>
      <c r="R4967" t="s">
        <v>42676</v>
      </c>
      <c r="S4967" t="s">
        <v>42809</v>
      </c>
      <c r="T4967" t="s">
        <v>44417</v>
      </c>
      <c r="U4967" t="s">
        <v>48877</v>
      </c>
      <c r="W4967" t="s">
        <v>40636</v>
      </c>
      <c r="X4967" t="s">
        <v>42677</v>
      </c>
    </row>
    <row r="4968" spans="1:24">
      <c r="A4968">
        <f>HYPERLINK("https://www.philgeps.gov.ph/GEPSNONPILOT/Tender/SplashBidNoticeAbstractUI.aspx?menuIndex=3&amp;refID=7189245&amp;Result=3","7189245")</f>
        <v>0</v>
      </c>
      <c r="B4968" t="s">
        <v>1446</v>
      </c>
      <c r="C4968" t="s">
        <v>8284</v>
      </c>
      <c r="D4968" t="s">
        <v>17204</v>
      </c>
      <c r="E4968" t="s">
        <v>21543</v>
      </c>
      <c r="F4968" t="s">
        <v>29372</v>
      </c>
      <c r="G4968" t="s">
        <v>29380</v>
      </c>
      <c r="H4968" t="s">
        <v>29389</v>
      </c>
      <c r="I4968" t="s">
        <v>10408</v>
      </c>
      <c r="J4968" t="s">
        <v>32755</v>
      </c>
      <c r="K4968" t="s">
        <v>38531</v>
      </c>
      <c r="M4968" t="s">
        <v>40287</v>
      </c>
      <c r="N4968" t="s">
        <v>42669</v>
      </c>
      <c r="O4968" t="s">
        <v>42670</v>
      </c>
      <c r="P4968">
        <v>0</v>
      </c>
      <c r="Q4968">
        <v>3</v>
      </c>
      <c r="R4968" t="s">
        <v>42676</v>
      </c>
      <c r="S4968" t="s">
        <v>42809</v>
      </c>
      <c r="T4968" t="s">
        <v>44472</v>
      </c>
      <c r="U4968" t="s">
        <v>48878</v>
      </c>
      <c r="W4968" t="s">
        <v>40287</v>
      </c>
      <c r="X4968" t="s">
        <v>42677</v>
      </c>
    </row>
    <row r="4969" spans="1:24">
      <c r="A4969">
        <f>HYPERLINK("https://www.philgeps.gov.ph/GEPSNONPILOT/Tender/SplashBidNoticeAbstractUI.aspx?menuIndex=3&amp;refID=7189243&amp;Result=3","7189243")</f>
        <v>0</v>
      </c>
      <c r="B4969" t="s">
        <v>1770</v>
      </c>
      <c r="C4969" t="s">
        <v>8285</v>
      </c>
      <c r="E4969" t="s">
        <v>21544</v>
      </c>
      <c r="F4969" t="s">
        <v>29372</v>
      </c>
      <c r="G4969" t="s">
        <v>29379</v>
      </c>
      <c r="H4969" t="s">
        <v>11048</v>
      </c>
      <c r="I4969" t="s">
        <v>4709</v>
      </c>
      <c r="J4969" t="s">
        <v>32756</v>
      </c>
      <c r="K4969" t="s">
        <v>38490</v>
      </c>
      <c r="M4969" t="s">
        <v>40637</v>
      </c>
      <c r="N4969" t="s">
        <v>42669</v>
      </c>
      <c r="O4969" t="s">
        <v>42670</v>
      </c>
      <c r="P4969">
        <v>0</v>
      </c>
      <c r="Q4969">
        <v>1</v>
      </c>
      <c r="R4969" t="s">
        <v>42676</v>
      </c>
      <c r="S4969" t="s">
        <v>42809</v>
      </c>
      <c r="T4969" t="s">
        <v>44371</v>
      </c>
      <c r="U4969" t="s">
        <v>48879</v>
      </c>
      <c r="W4969" t="s">
        <v>40637</v>
      </c>
      <c r="X4969" t="s">
        <v>42677</v>
      </c>
    </row>
    <row r="4970" spans="1:24">
      <c r="A4970">
        <f>HYPERLINK("https://www.philgeps.gov.ph/GEPSNONPILOT/Tender/SplashBidNoticeAbstractUI.aspx?menuIndex=3&amp;refID=7189254&amp;Result=3","7189254")</f>
        <v>0</v>
      </c>
      <c r="B4970" t="s">
        <v>968</v>
      </c>
      <c r="C4970" t="s">
        <v>8286</v>
      </c>
      <c r="D4970" t="s">
        <v>17197</v>
      </c>
      <c r="E4970" t="s">
        <v>21545</v>
      </c>
      <c r="F4970" t="s">
        <v>29372</v>
      </c>
      <c r="G4970" t="s">
        <v>29380</v>
      </c>
      <c r="H4970" t="s">
        <v>29389</v>
      </c>
      <c r="I4970" t="s">
        <v>10408</v>
      </c>
      <c r="J4970" t="s">
        <v>32757</v>
      </c>
      <c r="K4970" t="s">
        <v>38522</v>
      </c>
      <c r="M4970" t="s">
        <v>39764</v>
      </c>
      <c r="N4970" t="s">
        <v>42669</v>
      </c>
      <c r="O4970" t="s">
        <v>42670</v>
      </c>
      <c r="P4970">
        <v>0</v>
      </c>
      <c r="Q4970">
        <v>0</v>
      </c>
      <c r="R4970" t="s">
        <v>42676</v>
      </c>
      <c r="S4970" t="s">
        <v>42809</v>
      </c>
      <c r="T4970" t="s">
        <v>44539</v>
      </c>
      <c r="U4970" t="s">
        <v>48880</v>
      </c>
      <c r="W4970" t="s">
        <v>39764</v>
      </c>
      <c r="X4970" t="s">
        <v>42677</v>
      </c>
    </row>
    <row r="4971" spans="1:24">
      <c r="A4971">
        <f>HYPERLINK("https://www.philgeps.gov.ph/GEPSNONPILOT/Tender/SplashBidNoticeAbstractUI.aspx?menuIndex=3&amp;refID=7189240&amp;Result=3","7189240")</f>
        <v>0</v>
      </c>
      <c r="B4971" t="s">
        <v>1771</v>
      </c>
      <c r="C4971" t="s">
        <v>8287</v>
      </c>
      <c r="D4971" t="s">
        <v>17188</v>
      </c>
      <c r="E4971" t="s">
        <v>21546</v>
      </c>
      <c r="F4971" t="s">
        <v>29372</v>
      </c>
      <c r="G4971" t="s">
        <v>29380</v>
      </c>
      <c r="H4971" t="s">
        <v>29389</v>
      </c>
      <c r="I4971" t="s">
        <v>10408</v>
      </c>
      <c r="J4971" t="s">
        <v>32758</v>
      </c>
      <c r="K4971" t="s">
        <v>38490</v>
      </c>
      <c r="M4971" t="s">
        <v>40638</v>
      </c>
      <c r="N4971" t="s">
        <v>42669</v>
      </c>
      <c r="O4971" t="s">
        <v>42670</v>
      </c>
      <c r="P4971">
        <v>0</v>
      </c>
      <c r="Q4971">
        <v>0</v>
      </c>
      <c r="R4971" t="s">
        <v>42676</v>
      </c>
      <c r="S4971" t="s">
        <v>42809</v>
      </c>
      <c r="T4971" t="s">
        <v>44460</v>
      </c>
      <c r="U4971" t="s">
        <v>48881</v>
      </c>
      <c r="W4971" t="s">
        <v>40638</v>
      </c>
      <c r="X4971" t="s">
        <v>42677</v>
      </c>
    </row>
    <row r="4972" spans="1:24">
      <c r="A4972">
        <f>HYPERLINK("https://www.philgeps.gov.ph/GEPSNONPILOT/Tender/SplashBidNoticeAbstractUI.aspx?menuIndex=3&amp;refID=7189237&amp;Result=3","7189237")</f>
        <v>0</v>
      </c>
      <c r="B4972" t="s">
        <v>1183</v>
      </c>
      <c r="C4972" t="s">
        <v>8288</v>
      </c>
      <c r="D4972" t="s">
        <v>17171</v>
      </c>
      <c r="E4972" t="s">
        <v>21547</v>
      </c>
      <c r="F4972" t="s">
        <v>29372</v>
      </c>
      <c r="G4972" t="s">
        <v>29379</v>
      </c>
      <c r="H4972" t="s">
        <v>11048</v>
      </c>
      <c r="I4972" t="s">
        <v>29393</v>
      </c>
      <c r="J4972" t="s">
        <v>30914</v>
      </c>
      <c r="K4972" t="s">
        <v>38487</v>
      </c>
      <c r="M4972" t="s">
        <v>39998</v>
      </c>
      <c r="N4972" t="s">
        <v>42669</v>
      </c>
      <c r="O4972" t="s">
        <v>42670</v>
      </c>
      <c r="P4972">
        <v>0</v>
      </c>
      <c r="Q4972">
        <v>0</v>
      </c>
      <c r="R4972" t="s">
        <v>42676</v>
      </c>
      <c r="S4972" t="s">
        <v>42809</v>
      </c>
      <c r="T4972" t="s">
        <v>44432</v>
      </c>
      <c r="U4972" t="s">
        <v>48882</v>
      </c>
      <c r="W4972" t="s">
        <v>42631</v>
      </c>
      <c r="X4972" t="s">
        <v>42677</v>
      </c>
    </row>
    <row r="4973" spans="1:24">
      <c r="A4973">
        <f>HYPERLINK("https://www.philgeps.gov.ph/GEPSNONPILOT/Tender/SplashBidNoticeAbstractUI.aspx?menuIndex=3&amp;refID=7189233&amp;Result=3","7189233")</f>
        <v>0</v>
      </c>
      <c r="B4973" t="s">
        <v>186</v>
      </c>
      <c r="C4973" t="s">
        <v>8289</v>
      </c>
      <c r="D4973" t="s">
        <v>17198</v>
      </c>
      <c r="E4973" t="s">
        <v>21548</v>
      </c>
      <c r="F4973" t="s">
        <v>29372</v>
      </c>
      <c r="G4973" t="s">
        <v>29380</v>
      </c>
      <c r="H4973" t="s">
        <v>11048</v>
      </c>
      <c r="I4973" t="s">
        <v>4709</v>
      </c>
      <c r="J4973" t="s">
        <v>32759</v>
      </c>
      <c r="K4973" t="s">
        <v>38488</v>
      </c>
      <c r="M4973" t="s">
        <v>38943</v>
      </c>
      <c r="N4973" t="s">
        <v>42669</v>
      </c>
      <c r="O4973" t="s">
        <v>42670</v>
      </c>
      <c r="P4973">
        <v>0</v>
      </c>
      <c r="Q4973">
        <v>0</v>
      </c>
      <c r="R4973" t="s">
        <v>42676</v>
      </c>
      <c r="S4973" t="s">
        <v>42809</v>
      </c>
      <c r="T4973" t="s">
        <v>44446</v>
      </c>
      <c r="U4973" t="s">
        <v>48883</v>
      </c>
      <c r="W4973" t="s">
        <v>38943</v>
      </c>
      <c r="X4973" t="s">
        <v>42677</v>
      </c>
    </row>
    <row r="4974" spans="1:24">
      <c r="A4974">
        <f>HYPERLINK("https://www.philgeps.gov.ph/GEPSNONPILOT/Tender/SplashBidNoticeAbstractUI.aspx?menuIndex=3&amp;refID=7189232&amp;Result=3","7189232")</f>
        <v>0</v>
      </c>
      <c r="B4974" t="s">
        <v>1094</v>
      </c>
      <c r="C4974" t="s">
        <v>8290</v>
      </c>
      <c r="D4974" t="s">
        <v>17213</v>
      </c>
      <c r="E4974" t="s">
        <v>21549</v>
      </c>
      <c r="F4974" t="s">
        <v>29372</v>
      </c>
      <c r="G4974" t="s">
        <v>29383</v>
      </c>
      <c r="H4974" t="s">
        <v>11048</v>
      </c>
      <c r="I4974" t="s">
        <v>29394</v>
      </c>
      <c r="J4974" t="s">
        <v>31053</v>
      </c>
      <c r="K4974" t="s">
        <v>38491</v>
      </c>
      <c r="L4974" t="s">
        <v>1094</v>
      </c>
      <c r="M4974" t="s">
        <v>39901</v>
      </c>
      <c r="N4974" t="s">
        <v>42669</v>
      </c>
      <c r="O4974" t="s">
        <v>42670</v>
      </c>
      <c r="P4974">
        <v>0</v>
      </c>
      <c r="Q4974">
        <v>2</v>
      </c>
      <c r="R4974" t="s">
        <v>42676</v>
      </c>
      <c r="S4974" t="s">
        <v>42809</v>
      </c>
      <c r="T4974" t="s">
        <v>44570</v>
      </c>
      <c r="U4974" t="s">
        <v>48884</v>
      </c>
      <c r="V4974" t="s">
        <v>56671</v>
      </c>
      <c r="W4974" t="s">
        <v>39901</v>
      </c>
      <c r="X4974" t="s">
        <v>42677</v>
      </c>
    </row>
    <row r="4975" spans="1:24">
      <c r="A4975">
        <f>HYPERLINK("https://www.philgeps.gov.ph/GEPSNONPILOT/Tender/SplashBidNoticeAbstractUI.aspx?menuIndex=3&amp;refID=7189227&amp;Result=3","7189227")</f>
        <v>0</v>
      </c>
      <c r="B4975" t="s">
        <v>465</v>
      </c>
      <c r="C4975" t="s">
        <v>8291</v>
      </c>
      <c r="D4975" t="s">
        <v>17168</v>
      </c>
      <c r="E4975" t="s">
        <v>21550</v>
      </c>
      <c r="F4975" t="s">
        <v>29372</v>
      </c>
      <c r="G4975" t="s">
        <v>29380</v>
      </c>
      <c r="H4975" t="s">
        <v>11048</v>
      </c>
      <c r="I4975" t="s">
        <v>29407</v>
      </c>
      <c r="J4975" t="s">
        <v>32760</v>
      </c>
      <c r="K4975" t="s">
        <v>38490</v>
      </c>
      <c r="M4975" t="s">
        <v>39229</v>
      </c>
      <c r="N4975" t="s">
        <v>42669</v>
      </c>
      <c r="O4975" t="s">
        <v>42670</v>
      </c>
      <c r="P4975">
        <v>0</v>
      </c>
      <c r="Q4975">
        <v>26</v>
      </c>
      <c r="R4975" t="s">
        <v>42676</v>
      </c>
      <c r="S4975" t="s">
        <v>42809</v>
      </c>
      <c r="T4975" t="s">
        <v>44450</v>
      </c>
      <c r="U4975" t="s">
        <v>48885</v>
      </c>
      <c r="W4975" t="s">
        <v>39229</v>
      </c>
      <c r="X4975" t="s">
        <v>42677</v>
      </c>
    </row>
    <row r="4976" spans="1:24">
      <c r="A4976">
        <f>HYPERLINK("https://www.philgeps.gov.ph/GEPSNONPILOT/Tender/SplashBidNoticeAbstractUI.aspx?menuIndex=3&amp;refID=7189224&amp;Result=3","7189224")</f>
        <v>0</v>
      </c>
      <c r="B4976" t="s">
        <v>1750</v>
      </c>
      <c r="C4976" t="s">
        <v>8292</v>
      </c>
      <c r="D4976" t="s">
        <v>17143</v>
      </c>
      <c r="E4976" t="s">
        <v>21551</v>
      </c>
      <c r="F4976" t="s">
        <v>29372</v>
      </c>
      <c r="G4976" t="s">
        <v>29380</v>
      </c>
      <c r="H4976" t="s">
        <v>11048</v>
      </c>
      <c r="I4976" t="s">
        <v>29407</v>
      </c>
      <c r="J4976" t="s">
        <v>32761</v>
      </c>
      <c r="K4976" t="s">
        <v>38485</v>
      </c>
      <c r="M4976" t="s">
        <v>40615</v>
      </c>
      <c r="N4976" t="s">
        <v>42669</v>
      </c>
      <c r="O4976" t="s">
        <v>42670</v>
      </c>
      <c r="P4976">
        <v>0</v>
      </c>
      <c r="Q4976">
        <v>4</v>
      </c>
      <c r="R4976" t="s">
        <v>42676</v>
      </c>
      <c r="S4976" t="s">
        <v>42809</v>
      </c>
      <c r="T4976" t="s">
        <v>44679</v>
      </c>
      <c r="U4976" t="s">
        <v>48576</v>
      </c>
      <c r="W4976" t="s">
        <v>40615</v>
      </c>
      <c r="X4976" t="s">
        <v>42677</v>
      </c>
    </row>
    <row r="4977" spans="1:24">
      <c r="A4977">
        <f>HYPERLINK("https://www.philgeps.gov.ph/GEPSNONPILOT/Tender/SplashBidNoticeAbstractUI.aspx?menuIndex=3&amp;refID=7189256&amp;Result=3","7189256")</f>
        <v>0</v>
      </c>
      <c r="B4977" t="s">
        <v>1750</v>
      </c>
      <c r="C4977" t="s">
        <v>8293</v>
      </c>
      <c r="D4977" t="s">
        <v>17143</v>
      </c>
      <c r="E4977" t="s">
        <v>21552</v>
      </c>
      <c r="F4977" t="s">
        <v>29372</v>
      </c>
      <c r="G4977" t="s">
        <v>29380</v>
      </c>
      <c r="H4977" t="s">
        <v>29389</v>
      </c>
      <c r="I4977" t="s">
        <v>10408</v>
      </c>
      <c r="J4977" t="s">
        <v>29829</v>
      </c>
      <c r="K4977" t="s">
        <v>38533</v>
      </c>
      <c r="M4977" t="s">
        <v>40615</v>
      </c>
      <c r="N4977" t="s">
        <v>42669</v>
      </c>
      <c r="O4977" t="s">
        <v>42670</v>
      </c>
      <c r="P4977">
        <v>0</v>
      </c>
      <c r="Q4977">
        <v>0</v>
      </c>
      <c r="R4977" t="s">
        <v>42676</v>
      </c>
      <c r="S4977" t="s">
        <v>42809</v>
      </c>
      <c r="T4977" t="s">
        <v>44679</v>
      </c>
      <c r="U4977" t="s">
        <v>47253</v>
      </c>
      <c r="W4977" t="s">
        <v>40615</v>
      </c>
      <c r="X4977" t="s">
        <v>42677</v>
      </c>
    </row>
    <row r="4978" spans="1:24">
      <c r="A4978">
        <f>HYPERLINK("https://www.philgeps.gov.ph/GEPSNONPILOT/Tender/SplashBidNoticeAbstractUI.aspx?menuIndex=3&amp;refID=7189294&amp;Result=3","7189294")</f>
        <v>0</v>
      </c>
      <c r="B4978" t="s">
        <v>1543</v>
      </c>
      <c r="C4978" t="s">
        <v>8294</v>
      </c>
      <c r="E4978" t="s">
        <v>21553</v>
      </c>
      <c r="F4978" t="s">
        <v>29372</v>
      </c>
      <c r="G4978" t="s">
        <v>29379</v>
      </c>
      <c r="H4978" t="s">
        <v>11048</v>
      </c>
      <c r="I4978" t="s">
        <v>29464</v>
      </c>
      <c r="J4978" t="s">
        <v>32762</v>
      </c>
      <c r="K4978" t="s">
        <v>38490</v>
      </c>
      <c r="M4978" t="s">
        <v>40392</v>
      </c>
      <c r="N4978" t="s">
        <v>42669</v>
      </c>
      <c r="O4978" t="s">
        <v>42670</v>
      </c>
      <c r="P4978">
        <v>0</v>
      </c>
      <c r="Q4978">
        <v>8</v>
      </c>
      <c r="R4978" t="s">
        <v>42676</v>
      </c>
      <c r="S4978" t="s">
        <v>42809</v>
      </c>
      <c r="T4978" t="s">
        <v>44375</v>
      </c>
      <c r="U4978" t="s">
        <v>48886</v>
      </c>
      <c r="V4978" t="s">
        <v>56912</v>
      </c>
      <c r="W4978" t="s">
        <v>40392</v>
      </c>
      <c r="X4978" t="s">
        <v>42677</v>
      </c>
    </row>
    <row r="4979" spans="1:24">
      <c r="A4979">
        <f>HYPERLINK("https://www.philgeps.gov.ph/GEPSNONPILOT/Tender/SplashBidNoticeAbstractUI.aspx?menuIndex=3&amp;refID=7189299&amp;Result=3","7189299")</f>
        <v>0</v>
      </c>
      <c r="B4979" t="s">
        <v>1554</v>
      </c>
      <c r="C4979" t="s">
        <v>7642</v>
      </c>
      <c r="D4979" t="s">
        <v>17141</v>
      </c>
      <c r="E4979" t="s">
        <v>21554</v>
      </c>
      <c r="F4979" t="s">
        <v>29372</v>
      </c>
      <c r="G4979" t="s">
        <v>29380</v>
      </c>
      <c r="H4979" t="s">
        <v>11048</v>
      </c>
      <c r="I4979" t="s">
        <v>29405</v>
      </c>
      <c r="J4979" t="s">
        <v>32763</v>
      </c>
      <c r="K4979" t="s">
        <v>38490</v>
      </c>
      <c r="M4979" t="s">
        <v>40404</v>
      </c>
      <c r="N4979" t="s">
        <v>42669</v>
      </c>
      <c r="O4979" t="s">
        <v>42670</v>
      </c>
      <c r="P4979">
        <v>0</v>
      </c>
      <c r="Q4979">
        <v>24</v>
      </c>
      <c r="R4979" t="s">
        <v>42676</v>
      </c>
      <c r="S4979" t="s">
        <v>42809</v>
      </c>
      <c r="T4979" t="s">
        <v>44460</v>
      </c>
      <c r="U4979" t="s">
        <v>48352</v>
      </c>
      <c r="W4979" t="s">
        <v>40404</v>
      </c>
      <c r="X4979" t="s">
        <v>42677</v>
      </c>
    </row>
    <row r="4980" spans="1:24">
      <c r="A4980">
        <f>HYPERLINK("https://www.philgeps.gov.ph/GEPSNONPILOT/Tender/SplashBidNoticeAbstractUI.aspx?menuIndex=3&amp;refID=7189200&amp;Result=3","7189200")</f>
        <v>0</v>
      </c>
      <c r="B4980" t="s">
        <v>186</v>
      </c>
      <c r="C4980" t="s">
        <v>8295</v>
      </c>
      <c r="D4980" t="s">
        <v>17198</v>
      </c>
      <c r="E4980" t="s">
        <v>21555</v>
      </c>
      <c r="F4980" t="s">
        <v>29372</v>
      </c>
      <c r="G4980" t="s">
        <v>29380</v>
      </c>
      <c r="H4980" t="s">
        <v>11048</v>
      </c>
      <c r="I4980" t="s">
        <v>5383</v>
      </c>
      <c r="J4980" t="s">
        <v>32764</v>
      </c>
      <c r="K4980" t="s">
        <v>38489</v>
      </c>
      <c r="M4980" t="s">
        <v>38943</v>
      </c>
      <c r="N4980" t="s">
        <v>42669</v>
      </c>
      <c r="O4980" t="s">
        <v>42670</v>
      </c>
      <c r="P4980">
        <v>0</v>
      </c>
      <c r="Q4980">
        <v>0</v>
      </c>
      <c r="R4980" t="s">
        <v>42676</v>
      </c>
      <c r="S4980" t="s">
        <v>42809</v>
      </c>
      <c r="T4980" t="s">
        <v>44446</v>
      </c>
      <c r="U4980" t="s">
        <v>48887</v>
      </c>
      <c r="W4980" t="s">
        <v>38943</v>
      </c>
      <c r="X4980" t="s">
        <v>42677</v>
      </c>
    </row>
    <row r="4981" spans="1:24">
      <c r="A4981">
        <f>HYPERLINK("https://www.philgeps.gov.ph/GEPSNONPILOT/Tender/SplashBidNoticeAbstractUI.aspx?menuIndex=3&amp;refID=7189296&amp;Result=3","7189296")</f>
        <v>0</v>
      </c>
      <c r="B4981" t="s">
        <v>838</v>
      </c>
      <c r="C4981" t="s">
        <v>8296</v>
      </c>
      <c r="D4981" t="s">
        <v>17193</v>
      </c>
      <c r="E4981" t="s">
        <v>21556</v>
      </c>
      <c r="F4981" t="s">
        <v>29372</v>
      </c>
      <c r="G4981" t="s">
        <v>29379</v>
      </c>
      <c r="H4981" t="s">
        <v>29389</v>
      </c>
      <c r="I4981" t="s">
        <v>10408</v>
      </c>
      <c r="J4981" t="s">
        <v>29543</v>
      </c>
      <c r="K4981" t="s">
        <v>38544</v>
      </c>
      <c r="M4981" t="s">
        <v>40639</v>
      </c>
      <c r="N4981" t="s">
        <v>42669</v>
      </c>
      <c r="O4981" t="s">
        <v>42670</v>
      </c>
      <c r="P4981">
        <v>0</v>
      </c>
      <c r="Q4981">
        <v>0</v>
      </c>
      <c r="R4981" t="s">
        <v>42676</v>
      </c>
      <c r="S4981" t="s">
        <v>42809</v>
      </c>
      <c r="T4981" t="s">
        <v>44580</v>
      </c>
      <c r="U4981" t="s">
        <v>48888</v>
      </c>
      <c r="W4981" t="s">
        <v>58058</v>
      </c>
      <c r="X4981" t="s">
        <v>42677</v>
      </c>
    </row>
    <row r="4982" spans="1:24">
      <c r="A4982">
        <f>HYPERLINK("https://www.philgeps.gov.ph/GEPSNONPILOT/Tender/SplashBidNoticeAbstractUI.aspx?menuIndex=3&amp;refID=7189295&amp;Result=3","7189295")</f>
        <v>0</v>
      </c>
      <c r="B4982" t="s">
        <v>1772</v>
      </c>
      <c r="C4982" t="s">
        <v>8297</v>
      </c>
      <c r="D4982" t="s">
        <v>17180</v>
      </c>
      <c r="E4982" t="s">
        <v>21557</v>
      </c>
      <c r="F4982" t="s">
        <v>29372</v>
      </c>
      <c r="G4982" t="s">
        <v>29379</v>
      </c>
      <c r="H4982" t="s">
        <v>11048</v>
      </c>
      <c r="I4982" t="s">
        <v>4486</v>
      </c>
      <c r="J4982" t="s">
        <v>32765</v>
      </c>
      <c r="K4982" t="s">
        <v>38485</v>
      </c>
      <c r="M4982" t="s">
        <v>40640</v>
      </c>
      <c r="N4982" t="s">
        <v>42669</v>
      </c>
      <c r="O4982" t="s">
        <v>42670</v>
      </c>
      <c r="P4982">
        <v>0</v>
      </c>
      <c r="Q4982">
        <v>3</v>
      </c>
      <c r="R4982" t="s">
        <v>42676</v>
      </c>
      <c r="S4982" t="s">
        <v>42809</v>
      </c>
      <c r="T4982" t="s">
        <v>44401</v>
      </c>
      <c r="U4982" t="s">
        <v>48889</v>
      </c>
      <c r="W4982" t="s">
        <v>40640</v>
      </c>
      <c r="X4982" t="s">
        <v>42677</v>
      </c>
    </row>
    <row r="4983" spans="1:24">
      <c r="A4983">
        <f>HYPERLINK("https://www.philgeps.gov.ph/GEPSNONPILOT/Tender/SplashBidNoticeAbstractUI.aspx?menuIndex=3&amp;refID=7189290&amp;Result=3","7189290")</f>
        <v>0</v>
      </c>
      <c r="B4983" t="s">
        <v>1773</v>
      </c>
      <c r="C4983" t="s">
        <v>8298</v>
      </c>
      <c r="D4983" t="s">
        <v>17180</v>
      </c>
      <c r="E4983" t="s">
        <v>21558</v>
      </c>
      <c r="F4983" t="s">
        <v>29372</v>
      </c>
      <c r="G4983" t="s">
        <v>29379</v>
      </c>
      <c r="H4983" t="s">
        <v>11048</v>
      </c>
      <c r="I4983" t="s">
        <v>29426</v>
      </c>
      <c r="J4983" t="s">
        <v>32766</v>
      </c>
      <c r="K4983" t="s">
        <v>38487</v>
      </c>
      <c r="M4983" t="s">
        <v>40641</v>
      </c>
      <c r="N4983" t="s">
        <v>42669</v>
      </c>
      <c r="O4983" t="s">
        <v>42670</v>
      </c>
      <c r="P4983">
        <v>0</v>
      </c>
      <c r="Q4983">
        <v>2</v>
      </c>
      <c r="R4983" t="s">
        <v>42676</v>
      </c>
      <c r="S4983" t="s">
        <v>42809</v>
      </c>
      <c r="T4983" t="s">
        <v>44399</v>
      </c>
      <c r="U4983" t="s">
        <v>48890</v>
      </c>
      <c r="W4983" t="s">
        <v>40641</v>
      </c>
      <c r="X4983" t="s">
        <v>42677</v>
      </c>
    </row>
    <row r="4984" spans="1:24">
      <c r="A4984">
        <f>HYPERLINK("https://www.philgeps.gov.ph/GEPSNONPILOT/Tender/SplashBidNoticeAbstractUI.aspx?menuIndex=3&amp;refID=7189283&amp;Result=3","7189283")</f>
        <v>0</v>
      </c>
      <c r="B4984" t="s">
        <v>1774</v>
      </c>
      <c r="C4984" t="s">
        <v>8299</v>
      </c>
      <c r="D4984" t="s">
        <v>17179</v>
      </c>
      <c r="E4984" t="s">
        <v>21559</v>
      </c>
      <c r="F4984" t="s">
        <v>29372</v>
      </c>
      <c r="G4984" t="s">
        <v>29380</v>
      </c>
      <c r="H4984" t="s">
        <v>11048</v>
      </c>
      <c r="I4984" t="s">
        <v>3839</v>
      </c>
      <c r="J4984" t="s">
        <v>29822</v>
      </c>
      <c r="K4984" t="s">
        <v>38485</v>
      </c>
      <c r="M4984" t="s">
        <v>40642</v>
      </c>
      <c r="N4984" t="s">
        <v>42669</v>
      </c>
      <c r="O4984" t="s">
        <v>42670</v>
      </c>
      <c r="P4984">
        <v>0</v>
      </c>
      <c r="Q4984">
        <v>3</v>
      </c>
      <c r="R4984" t="s">
        <v>42676</v>
      </c>
      <c r="S4984" t="s">
        <v>42809</v>
      </c>
      <c r="T4984" t="s">
        <v>44366</v>
      </c>
      <c r="U4984" t="s">
        <v>48891</v>
      </c>
      <c r="W4984" t="s">
        <v>40642</v>
      </c>
      <c r="X4984" t="s">
        <v>42677</v>
      </c>
    </row>
    <row r="4985" spans="1:24">
      <c r="A4985">
        <f>HYPERLINK("https://www.philgeps.gov.ph/GEPSNONPILOT/Tender/SplashBidNoticeAbstractUI.aspx?menuIndex=3&amp;refID=7189187&amp;Result=3","7189187")</f>
        <v>0</v>
      </c>
      <c r="B4985" t="s">
        <v>91</v>
      </c>
      <c r="C4985" t="s">
        <v>8300</v>
      </c>
      <c r="D4985" t="s">
        <v>17176</v>
      </c>
      <c r="E4985" t="s">
        <v>21560</v>
      </c>
      <c r="F4985" t="s">
        <v>29372</v>
      </c>
      <c r="G4985" t="s">
        <v>29380</v>
      </c>
      <c r="H4985" t="s">
        <v>11048</v>
      </c>
      <c r="I4985" t="s">
        <v>9469</v>
      </c>
      <c r="J4985" t="s">
        <v>29734</v>
      </c>
      <c r="K4985" t="s">
        <v>38485</v>
      </c>
      <c r="M4985" t="s">
        <v>38845</v>
      </c>
      <c r="N4985" t="s">
        <v>42669</v>
      </c>
      <c r="O4985" t="s">
        <v>42670</v>
      </c>
      <c r="P4985">
        <v>0</v>
      </c>
      <c r="Q4985">
        <v>2</v>
      </c>
      <c r="R4985" t="s">
        <v>42676</v>
      </c>
      <c r="S4985" t="s">
        <v>42809</v>
      </c>
      <c r="T4985" t="s">
        <v>44546</v>
      </c>
      <c r="U4985" t="s">
        <v>48892</v>
      </c>
      <c r="W4985" t="s">
        <v>38845</v>
      </c>
      <c r="X4985" t="s">
        <v>42677</v>
      </c>
    </row>
    <row r="4986" spans="1:24">
      <c r="A4986">
        <f>HYPERLINK("https://www.philgeps.gov.ph/GEPSNONPILOT/Tender/SplashBidNoticeAbstractUI.aspx?menuIndex=3&amp;refID=7189298&amp;Result=3","7189298")</f>
        <v>0</v>
      </c>
      <c r="B4986" t="s">
        <v>1183</v>
      </c>
      <c r="C4986" t="s">
        <v>8301</v>
      </c>
      <c r="D4986" t="s">
        <v>17171</v>
      </c>
      <c r="E4986" t="s">
        <v>17968</v>
      </c>
      <c r="F4986" t="s">
        <v>29372</v>
      </c>
      <c r="G4986" t="s">
        <v>29379</v>
      </c>
      <c r="H4986" t="s">
        <v>11048</v>
      </c>
      <c r="I4986" t="s">
        <v>29407</v>
      </c>
      <c r="J4986" t="s">
        <v>32767</v>
      </c>
      <c r="K4986" t="s">
        <v>38510</v>
      </c>
      <c r="M4986" t="s">
        <v>39998</v>
      </c>
      <c r="N4986" t="s">
        <v>42669</v>
      </c>
      <c r="O4986" t="s">
        <v>42670</v>
      </c>
      <c r="P4986">
        <v>0</v>
      </c>
      <c r="Q4986">
        <v>2</v>
      </c>
      <c r="R4986" t="s">
        <v>42676</v>
      </c>
      <c r="S4986" t="s">
        <v>42809</v>
      </c>
      <c r="T4986" t="s">
        <v>44432</v>
      </c>
      <c r="U4986" t="s">
        <v>48893</v>
      </c>
      <c r="W4986" t="s">
        <v>42631</v>
      </c>
      <c r="X4986" t="s">
        <v>42677</v>
      </c>
    </row>
    <row r="4987" spans="1:24">
      <c r="A4987">
        <f>HYPERLINK("https://www.philgeps.gov.ph/GEPSNONPILOT/Tender/SplashBidNoticeAbstractUI.aspx?menuIndex=3&amp;refID=7189279&amp;Result=3","7189279")</f>
        <v>0</v>
      </c>
      <c r="B4987" t="s">
        <v>91</v>
      </c>
      <c r="C4987" t="s">
        <v>8302</v>
      </c>
      <c r="D4987" t="s">
        <v>17176</v>
      </c>
      <c r="E4987" t="s">
        <v>21561</v>
      </c>
      <c r="F4987" t="s">
        <v>29372</v>
      </c>
      <c r="G4987" t="s">
        <v>29380</v>
      </c>
      <c r="H4987" t="s">
        <v>11048</v>
      </c>
      <c r="I4987" t="s">
        <v>3670</v>
      </c>
      <c r="J4987" t="s">
        <v>32768</v>
      </c>
      <c r="K4987" t="s">
        <v>38510</v>
      </c>
      <c r="M4987" t="s">
        <v>38845</v>
      </c>
      <c r="N4987" t="s">
        <v>42669</v>
      </c>
      <c r="O4987" t="s">
        <v>42670</v>
      </c>
      <c r="P4987">
        <v>0</v>
      </c>
      <c r="Q4987">
        <v>1</v>
      </c>
      <c r="R4987" t="s">
        <v>42676</v>
      </c>
      <c r="S4987" t="s">
        <v>42809</v>
      </c>
      <c r="T4987" t="s">
        <v>44546</v>
      </c>
      <c r="U4987" t="s">
        <v>48894</v>
      </c>
      <c r="W4987" t="s">
        <v>38845</v>
      </c>
      <c r="X4987" t="s">
        <v>42677</v>
      </c>
    </row>
    <row r="4988" spans="1:24">
      <c r="A4988">
        <f>HYPERLINK("https://www.philgeps.gov.ph/GEPSNONPILOT/Tender/SplashBidNoticeAbstractUI.aspx?menuIndex=3&amp;refID=7189276&amp;Result=3","7189276")</f>
        <v>0</v>
      </c>
      <c r="B4988" t="s">
        <v>1775</v>
      </c>
      <c r="C4988" t="s">
        <v>8303</v>
      </c>
      <c r="D4988" t="s">
        <v>17204</v>
      </c>
      <c r="E4988" t="s">
        <v>21562</v>
      </c>
      <c r="F4988" t="s">
        <v>29372</v>
      </c>
      <c r="G4988" t="s">
        <v>29383</v>
      </c>
      <c r="H4988" t="s">
        <v>11048</v>
      </c>
      <c r="I4988" t="s">
        <v>29395</v>
      </c>
      <c r="J4988" t="s">
        <v>32769</v>
      </c>
      <c r="K4988" t="s">
        <v>38489</v>
      </c>
      <c r="M4988" t="s">
        <v>40643</v>
      </c>
      <c r="N4988" t="s">
        <v>42669</v>
      </c>
      <c r="O4988" t="s">
        <v>42670</v>
      </c>
      <c r="P4988">
        <v>0</v>
      </c>
      <c r="Q4988">
        <v>0</v>
      </c>
      <c r="R4988" t="s">
        <v>42676</v>
      </c>
      <c r="S4988" t="s">
        <v>42809</v>
      </c>
      <c r="T4988" t="s">
        <v>44425</v>
      </c>
      <c r="U4988" t="s">
        <v>48895</v>
      </c>
      <c r="W4988" t="s">
        <v>40643</v>
      </c>
      <c r="X4988" t="s">
        <v>42677</v>
      </c>
    </row>
    <row r="4989" spans="1:24">
      <c r="A4989">
        <f>HYPERLINK("https://www.philgeps.gov.ph/GEPSNONPILOT/Tender/SplashBidNoticeAbstractUI.aspx?menuIndex=3&amp;refID=7189273&amp;Result=3","7189273")</f>
        <v>0</v>
      </c>
      <c r="B4989" t="s">
        <v>1776</v>
      </c>
      <c r="C4989" t="s">
        <v>8304</v>
      </c>
      <c r="D4989" t="s">
        <v>17183</v>
      </c>
      <c r="E4989" t="s">
        <v>17648</v>
      </c>
      <c r="F4989" t="s">
        <v>29372</v>
      </c>
      <c r="G4989" t="s">
        <v>29380</v>
      </c>
      <c r="H4989" t="s">
        <v>29389</v>
      </c>
      <c r="I4989" t="s">
        <v>10408</v>
      </c>
      <c r="J4989" t="s">
        <v>32770</v>
      </c>
      <c r="K4989" t="s">
        <v>38490</v>
      </c>
      <c r="M4989" t="s">
        <v>40644</v>
      </c>
      <c r="N4989" t="s">
        <v>42669</v>
      </c>
      <c r="O4989" t="s">
        <v>42670</v>
      </c>
      <c r="P4989">
        <v>0</v>
      </c>
      <c r="Q4989">
        <v>0</v>
      </c>
      <c r="R4989" t="s">
        <v>42676</v>
      </c>
      <c r="S4989" t="s">
        <v>42809</v>
      </c>
      <c r="T4989" t="s">
        <v>44394</v>
      </c>
      <c r="U4989" t="s">
        <v>45957</v>
      </c>
      <c r="W4989" t="s">
        <v>40644</v>
      </c>
      <c r="X4989" t="s">
        <v>42677</v>
      </c>
    </row>
    <row r="4990" spans="1:24">
      <c r="A4990">
        <f>HYPERLINK("https://www.philgeps.gov.ph/GEPSNONPILOT/Tender/SplashBidNoticeAbstractUI.aspx?menuIndex=3&amp;refID=7189225&amp;Result=3","7189225")</f>
        <v>0</v>
      </c>
      <c r="B4990" t="s">
        <v>1543</v>
      </c>
      <c r="C4990" t="s">
        <v>8305</v>
      </c>
      <c r="E4990" t="s">
        <v>21563</v>
      </c>
      <c r="F4990" t="s">
        <v>29372</v>
      </c>
      <c r="G4990" t="s">
        <v>29379</v>
      </c>
      <c r="H4990" t="s">
        <v>11048</v>
      </c>
      <c r="I4990" t="s">
        <v>29425</v>
      </c>
      <c r="J4990" t="s">
        <v>32771</v>
      </c>
      <c r="K4990" t="s">
        <v>38490</v>
      </c>
      <c r="M4990" t="s">
        <v>40392</v>
      </c>
      <c r="N4990" t="s">
        <v>42669</v>
      </c>
      <c r="O4990" t="s">
        <v>42670</v>
      </c>
      <c r="P4990">
        <v>0</v>
      </c>
      <c r="Q4990">
        <v>3</v>
      </c>
      <c r="R4990" t="s">
        <v>42676</v>
      </c>
      <c r="S4990" t="s">
        <v>42809</v>
      </c>
      <c r="T4990" t="s">
        <v>44375</v>
      </c>
      <c r="U4990" t="s">
        <v>48896</v>
      </c>
      <c r="V4990" t="s">
        <v>56912</v>
      </c>
      <c r="W4990" t="s">
        <v>40392</v>
      </c>
      <c r="X4990" t="s">
        <v>42677</v>
      </c>
    </row>
    <row r="4991" spans="1:24">
      <c r="A4991">
        <f>HYPERLINK("https://www.philgeps.gov.ph/GEPSNONPILOT/Tender/SplashBidNoticeAbstractUI.aspx?menuIndex=3&amp;refID=7189271&amp;Result=3","7189271")</f>
        <v>0</v>
      </c>
      <c r="B4991" t="s">
        <v>1777</v>
      </c>
      <c r="C4991" t="s">
        <v>8306</v>
      </c>
      <c r="D4991" t="s">
        <v>17192</v>
      </c>
      <c r="E4991" t="s">
        <v>18813</v>
      </c>
      <c r="F4991" t="s">
        <v>29372</v>
      </c>
      <c r="G4991" t="s">
        <v>29380</v>
      </c>
      <c r="H4991" t="s">
        <v>29389</v>
      </c>
      <c r="I4991" t="s">
        <v>29453</v>
      </c>
      <c r="J4991" t="s">
        <v>29708</v>
      </c>
      <c r="K4991" t="s">
        <v>38644</v>
      </c>
      <c r="M4991" t="s">
        <v>40645</v>
      </c>
      <c r="N4991" t="s">
        <v>42669</v>
      </c>
      <c r="O4991" t="s">
        <v>42670</v>
      </c>
      <c r="P4991">
        <v>0</v>
      </c>
      <c r="Q4991">
        <v>0</v>
      </c>
      <c r="R4991" t="s">
        <v>42676</v>
      </c>
      <c r="S4991" t="s">
        <v>42809</v>
      </c>
      <c r="T4991" t="s">
        <v>44592</v>
      </c>
      <c r="U4991" t="s">
        <v>48897</v>
      </c>
      <c r="W4991" t="s">
        <v>40645</v>
      </c>
      <c r="X4991" t="s">
        <v>42677</v>
      </c>
    </row>
    <row r="4992" spans="1:24">
      <c r="A4992">
        <f>HYPERLINK("https://www.philgeps.gov.ph/GEPSNONPILOT/Tender/SplashBidNoticeAbstractUI.aspx?menuIndex=3&amp;refID=7189284&amp;Result=3","7189284")</f>
        <v>0</v>
      </c>
      <c r="B4992" t="s">
        <v>1183</v>
      </c>
      <c r="C4992" t="s">
        <v>8307</v>
      </c>
      <c r="D4992" t="s">
        <v>17171</v>
      </c>
      <c r="E4992" t="s">
        <v>17951</v>
      </c>
      <c r="F4992" t="s">
        <v>29372</v>
      </c>
      <c r="G4992" t="s">
        <v>29379</v>
      </c>
      <c r="H4992" t="s">
        <v>11048</v>
      </c>
      <c r="I4992" t="s">
        <v>29407</v>
      </c>
      <c r="J4992" t="s">
        <v>32772</v>
      </c>
      <c r="K4992" t="s">
        <v>38510</v>
      </c>
      <c r="M4992" t="s">
        <v>39998</v>
      </c>
      <c r="N4992" t="s">
        <v>42669</v>
      </c>
      <c r="O4992" t="s">
        <v>42670</v>
      </c>
      <c r="P4992">
        <v>0</v>
      </c>
      <c r="Q4992">
        <v>1</v>
      </c>
      <c r="R4992" t="s">
        <v>42676</v>
      </c>
      <c r="S4992" t="s">
        <v>42809</v>
      </c>
      <c r="T4992" t="s">
        <v>44432</v>
      </c>
      <c r="U4992" t="s">
        <v>48898</v>
      </c>
      <c r="W4992" t="s">
        <v>42631</v>
      </c>
      <c r="X4992" t="s">
        <v>42677</v>
      </c>
    </row>
    <row r="4993" spans="1:24">
      <c r="A4993">
        <f>HYPERLINK("https://www.philgeps.gov.ph/GEPSNONPILOT/Tender/SplashBidNoticeAbstractUI.aspx?menuIndex=3&amp;refID=7189247&amp;Result=3","7189247")</f>
        <v>0</v>
      </c>
      <c r="B4993" t="s">
        <v>1778</v>
      </c>
      <c r="C4993" t="s">
        <v>8308</v>
      </c>
      <c r="D4993" t="s">
        <v>17216</v>
      </c>
      <c r="E4993" t="s">
        <v>21564</v>
      </c>
      <c r="F4993" t="s">
        <v>29372</v>
      </c>
      <c r="G4993" t="s">
        <v>29380</v>
      </c>
      <c r="H4993" t="s">
        <v>11048</v>
      </c>
      <c r="I4993" t="s">
        <v>29400</v>
      </c>
      <c r="J4993" t="s">
        <v>32773</v>
      </c>
      <c r="K4993" t="s">
        <v>38522</v>
      </c>
      <c r="M4993" t="s">
        <v>40646</v>
      </c>
      <c r="N4993" t="s">
        <v>42669</v>
      </c>
      <c r="O4993" t="s">
        <v>42670</v>
      </c>
      <c r="P4993">
        <v>0</v>
      </c>
      <c r="Q4993">
        <v>33</v>
      </c>
      <c r="R4993" t="s">
        <v>42676</v>
      </c>
      <c r="S4993" t="s">
        <v>42809</v>
      </c>
      <c r="T4993" t="s">
        <v>44365</v>
      </c>
      <c r="U4993" t="s">
        <v>48899</v>
      </c>
      <c r="W4993" t="s">
        <v>40646</v>
      </c>
      <c r="X4993" t="s">
        <v>42677</v>
      </c>
    </row>
    <row r="4994" spans="1:24">
      <c r="A4994">
        <f>HYPERLINK("https://www.philgeps.gov.ph/GEPSNONPILOT/Tender/SplashBidNoticeAbstractUI.aspx?menuIndex=3&amp;refID=7189268&amp;Result=3","7189268")</f>
        <v>0</v>
      </c>
      <c r="B4994" t="s">
        <v>1446</v>
      </c>
      <c r="C4994" t="s">
        <v>8309</v>
      </c>
      <c r="D4994" t="s">
        <v>17204</v>
      </c>
      <c r="E4994" t="s">
        <v>21565</v>
      </c>
      <c r="F4994" t="s">
        <v>29372</v>
      </c>
      <c r="G4994" t="s">
        <v>29380</v>
      </c>
      <c r="H4994" t="s">
        <v>11048</v>
      </c>
      <c r="I4994" t="s">
        <v>10408</v>
      </c>
      <c r="J4994" t="s">
        <v>32774</v>
      </c>
      <c r="K4994" t="s">
        <v>38496</v>
      </c>
      <c r="M4994" t="s">
        <v>40287</v>
      </c>
      <c r="N4994" t="s">
        <v>42669</v>
      </c>
      <c r="O4994" t="s">
        <v>42670</v>
      </c>
      <c r="P4994">
        <v>0</v>
      </c>
      <c r="Q4994">
        <v>1</v>
      </c>
      <c r="R4994" t="s">
        <v>42676</v>
      </c>
      <c r="S4994" t="s">
        <v>42809</v>
      </c>
      <c r="T4994" t="s">
        <v>44472</v>
      </c>
      <c r="U4994" t="s">
        <v>48900</v>
      </c>
      <c r="W4994" t="s">
        <v>40287</v>
      </c>
      <c r="X4994" t="s">
        <v>42677</v>
      </c>
    </row>
    <row r="4995" spans="1:24">
      <c r="A4995">
        <f>HYPERLINK("https://www.philgeps.gov.ph/GEPSNONPILOT/Tender/SplashBidNoticeAbstractUI.aspx?menuIndex=3&amp;refID=7189274&amp;Result=3","7189274")</f>
        <v>0</v>
      </c>
      <c r="B4995" t="s">
        <v>1779</v>
      </c>
      <c r="C4995" t="s">
        <v>3524</v>
      </c>
      <c r="D4995" t="s">
        <v>17158</v>
      </c>
      <c r="E4995" t="s">
        <v>17347</v>
      </c>
      <c r="F4995" t="s">
        <v>29372</v>
      </c>
      <c r="G4995" t="s">
        <v>29380</v>
      </c>
      <c r="H4995" t="s">
        <v>29389</v>
      </c>
      <c r="I4995" t="s">
        <v>10408</v>
      </c>
      <c r="J4995" t="s">
        <v>32775</v>
      </c>
      <c r="K4995" t="s">
        <v>38496</v>
      </c>
      <c r="M4995" t="s">
        <v>40647</v>
      </c>
      <c r="N4995" t="s">
        <v>42669</v>
      </c>
      <c r="O4995" t="s">
        <v>42670</v>
      </c>
      <c r="P4995">
        <v>0</v>
      </c>
      <c r="Q4995">
        <v>0</v>
      </c>
      <c r="R4995" t="s">
        <v>42676</v>
      </c>
      <c r="S4995" t="s">
        <v>42809</v>
      </c>
      <c r="T4995" t="s">
        <v>44476</v>
      </c>
      <c r="U4995" t="s">
        <v>48901</v>
      </c>
      <c r="W4995" t="s">
        <v>40647</v>
      </c>
      <c r="X4995" t="s">
        <v>42677</v>
      </c>
    </row>
    <row r="4996" spans="1:24">
      <c r="A4996">
        <f>HYPERLINK("https://www.philgeps.gov.ph/GEPSNONPILOT/Tender/SplashBidNoticeAbstractUI.aspx?menuIndex=3&amp;refID=7189331&amp;Result=3","7189331")</f>
        <v>0</v>
      </c>
      <c r="B4996" t="s">
        <v>1780</v>
      </c>
      <c r="C4996" t="s">
        <v>8310</v>
      </c>
      <c r="D4996" t="s">
        <v>17170</v>
      </c>
      <c r="E4996" t="s">
        <v>21566</v>
      </c>
      <c r="F4996" t="s">
        <v>29372</v>
      </c>
      <c r="G4996" t="s">
        <v>29379</v>
      </c>
      <c r="H4996" t="s">
        <v>11048</v>
      </c>
      <c r="I4996" t="s">
        <v>3839</v>
      </c>
      <c r="J4996" t="s">
        <v>32776</v>
      </c>
      <c r="K4996" t="s">
        <v>38485</v>
      </c>
      <c r="M4996" t="s">
        <v>40648</v>
      </c>
      <c r="N4996" t="s">
        <v>42669</v>
      </c>
      <c r="O4996" t="s">
        <v>42670</v>
      </c>
      <c r="P4996">
        <v>0</v>
      </c>
      <c r="Q4996">
        <v>0</v>
      </c>
      <c r="R4996" t="s">
        <v>42676</v>
      </c>
      <c r="S4996" t="s">
        <v>42809</v>
      </c>
      <c r="T4996" t="s">
        <v>44681</v>
      </c>
      <c r="U4996" t="s">
        <v>48902</v>
      </c>
      <c r="W4996" t="s">
        <v>40648</v>
      </c>
      <c r="X4996" t="s">
        <v>42677</v>
      </c>
    </row>
    <row r="4997" spans="1:24">
      <c r="A4997">
        <f>HYPERLINK("https://www.philgeps.gov.ph/GEPSNONPILOT/Tender/SplashBidNoticeAbstractUI.aspx?menuIndex=3&amp;refID=7189329&amp;Result=3","7189329")</f>
        <v>0</v>
      </c>
      <c r="B4997" t="s">
        <v>1663</v>
      </c>
      <c r="C4997" t="s">
        <v>8311</v>
      </c>
      <c r="D4997" t="s">
        <v>17177</v>
      </c>
      <c r="E4997" t="s">
        <v>21567</v>
      </c>
      <c r="F4997" t="s">
        <v>29373</v>
      </c>
      <c r="G4997" t="s">
        <v>29380</v>
      </c>
      <c r="H4997" t="s">
        <v>11048</v>
      </c>
      <c r="I4997" t="s">
        <v>29407</v>
      </c>
      <c r="J4997" t="s">
        <v>32777</v>
      </c>
      <c r="K4997" t="s">
        <v>38485</v>
      </c>
      <c r="M4997" t="s">
        <v>40522</v>
      </c>
      <c r="N4997" t="s">
        <v>42669</v>
      </c>
      <c r="O4997" t="s">
        <v>42670</v>
      </c>
      <c r="P4997">
        <v>0</v>
      </c>
      <c r="Q4997">
        <v>5</v>
      </c>
      <c r="R4997" t="s">
        <v>42676</v>
      </c>
      <c r="S4997" t="s">
        <v>42809</v>
      </c>
      <c r="T4997" t="s">
        <v>44542</v>
      </c>
      <c r="U4997" t="s">
        <v>48903</v>
      </c>
      <c r="V4997" t="s">
        <v>56914</v>
      </c>
      <c r="W4997" t="s">
        <v>40522</v>
      </c>
      <c r="X4997" t="s">
        <v>42677</v>
      </c>
    </row>
    <row r="4998" spans="1:24">
      <c r="A4998">
        <f>HYPERLINK("https://www.philgeps.gov.ph/GEPSNONPILOT/Tender/SplashBidNoticeAbstractUI.aspx?menuIndex=3&amp;refID=7189325&amp;Result=3","7189325")</f>
        <v>0</v>
      </c>
      <c r="B4998" t="s">
        <v>1691</v>
      </c>
      <c r="C4998" t="s">
        <v>8312</v>
      </c>
      <c r="D4998" t="s">
        <v>17175</v>
      </c>
      <c r="E4998" t="s">
        <v>21568</v>
      </c>
      <c r="F4998" t="s">
        <v>29372</v>
      </c>
      <c r="G4998" t="s">
        <v>29380</v>
      </c>
      <c r="H4998" t="s">
        <v>11048</v>
      </c>
      <c r="I4998" t="s">
        <v>29400</v>
      </c>
      <c r="J4998" t="s">
        <v>32778</v>
      </c>
      <c r="K4998" t="s">
        <v>38510</v>
      </c>
      <c r="M4998" t="s">
        <v>40553</v>
      </c>
      <c r="N4998" t="s">
        <v>42669</v>
      </c>
      <c r="O4998" t="s">
        <v>42670</v>
      </c>
      <c r="P4998">
        <v>0</v>
      </c>
      <c r="Q4998">
        <v>3</v>
      </c>
      <c r="R4998" t="s">
        <v>42676</v>
      </c>
      <c r="S4998" t="s">
        <v>42809</v>
      </c>
      <c r="T4998" t="s">
        <v>44382</v>
      </c>
      <c r="U4998" t="s">
        <v>48904</v>
      </c>
      <c r="V4998" t="s">
        <v>56888</v>
      </c>
      <c r="W4998" t="s">
        <v>40553</v>
      </c>
      <c r="X4998" t="s">
        <v>42677</v>
      </c>
    </row>
    <row r="4999" spans="1:24">
      <c r="A4999">
        <f>HYPERLINK("https://www.philgeps.gov.ph/GEPSNONPILOT/Tender/SplashBidNoticeAbstractUI.aspx?menuIndex=3&amp;refID=7189270&amp;Result=3","7189270")</f>
        <v>0</v>
      </c>
      <c r="B4999" t="s">
        <v>1233</v>
      </c>
      <c r="C4999" t="s">
        <v>8313</v>
      </c>
      <c r="E4999" t="s">
        <v>21569</v>
      </c>
      <c r="F4999" t="s">
        <v>29372</v>
      </c>
      <c r="G4999" t="s">
        <v>29380</v>
      </c>
      <c r="H4999" t="s">
        <v>29389</v>
      </c>
      <c r="I4999" t="s">
        <v>10408</v>
      </c>
      <c r="J4999" t="s">
        <v>32779</v>
      </c>
      <c r="K4999" t="s">
        <v>38490</v>
      </c>
      <c r="M4999" t="s">
        <v>40054</v>
      </c>
      <c r="N4999" t="s">
        <v>42669</v>
      </c>
      <c r="O4999" t="s">
        <v>42670</v>
      </c>
      <c r="P4999">
        <v>0</v>
      </c>
      <c r="Q4999">
        <v>11</v>
      </c>
      <c r="R4999" t="s">
        <v>42676</v>
      </c>
      <c r="S4999" t="s">
        <v>42809</v>
      </c>
      <c r="T4999" t="s">
        <v>44368</v>
      </c>
      <c r="U4999" t="s">
        <v>48905</v>
      </c>
      <c r="W4999" t="s">
        <v>58041</v>
      </c>
      <c r="X4999" t="s">
        <v>42677</v>
      </c>
    </row>
    <row r="5000" spans="1:24">
      <c r="A5000">
        <f>HYPERLINK("https://www.philgeps.gov.ph/GEPSNONPILOT/Tender/SplashBidNoticeAbstractUI.aspx?menuIndex=3&amp;refID=7189337&amp;Result=3","7189337")</f>
        <v>0</v>
      </c>
      <c r="B5000" t="s">
        <v>1024</v>
      </c>
      <c r="C5000" t="s">
        <v>8314</v>
      </c>
      <c r="D5000" t="s">
        <v>17166</v>
      </c>
      <c r="E5000" t="s">
        <v>21570</v>
      </c>
      <c r="F5000" t="s">
        <v>29372</v>
      </c>
      <c r="G5000" t="s">
        <v>29379</v>
      </c>
      <c r="H5000" t="s">
        <v>11048</v>
      </c>
      <c r="I5000" t="s">
        <v>29394</v>
      </c>
      <c r="J5000" t="s">
        <v>32780</v>
      </c>
      <c r="K5000" t="s">
        <v>38517</v>
      </c>
      <c r="M5000" t="s">
        <v>39824</v>
      </c>
      <c r="N5000" t="s">
        <v>42669</v>
      </c>
      <c r="O5000" t="s">
        <v>42670</v>
      </c>
      <c r="P5000">
        <v>0</v>
      </c>
      <c r="Q5000">
        <v>4</v>
      </c>
      <c r="R5000" t="s">
        <v>42676</v>
      </c>
      <c r="S5000" t="s">
        <v>42809</v>
      </c>
      <c r="T5000" t="s">
        <v>44493</v>
      </c>
      <c r="U5000" t="s">
        <v>48906</v>
      </c>
      <c r="V5000" t="s">
        <v>56915</v>
      </c>
      <c r="W5000" t="s">
        <v>39824</v>
      </c>
      <c r="X5000" t="s">
        <v>42677</v>
      </c>
    </row>
    <row r="5001" spans="1:24">
      <c r="A5001">
        <f>HYPERLINK("https://www.philgeps.gov.ph/GEPSNONPILOT/Tender/SplashBidNoticeAbstractUI.aspx?menuIndex=3&amp;refID=7189275&amp;Result=3","7189275")</f>
        <v>0</v>
      </c>
      <c r="B5001" t="s">
        <v>836</v>
      </c>
      <c r="C5001" t="s">
        <v>8315</v>
      </c>
      <c r="D5001" t="s">
        <v>17160</v>
      </c>
      <c r="E5001" t="s">
        <v>21571</v>
      </c>
      <c r="F5001" t="s">
        <v>29372</v>
      </c>
      <c r="G5001" t="s">
        <v>29379</v>
      </c>
      <c r="H5001" t="s">
        <v>11048</v>
      </c>
      <c r="I5001" t="s">
        <v>4487</v>
      </c>
      <c r="J5001" t="s">
        <v>32781</v>
      </c>
      <c r="K5001" t="s">
        <v>38489</v>
      </c>
      <c r="M5001" t="s">
        <v>39625</v>
      </c>
      <c r="N5001" t="s">
        <v>42669</v>
      </c>
      <c r="O5001" t="s">
        <v>42670</v>
      </c>
      <c r="P5001">
        <v>0</v>
      </c>
      <c r="Q5001">
        <v>4</v>
      </c>
      <c r="R5001" t="s">
        <v>42676</v>
      </c>
      <c r="S5001" t="s">
        <v>42809</v>
      </c>
      <c r="T5001" t="s">
        <v>44548</v>
      </c>
      <c r="U5001" t="s">
        <v>48907</v>
      </c>
      <c r="W5001" t="s">
        <v>39625</v>
      </c>
      <c r="X5001" t="s">
        <v>42677</v>
      </c>
    </row>
    <row r="5002" spans="1:24">
      <c r="A5002">
        <f>HYPERLINK("https://www.philgeps.gov.ph/GEPSNONPILOT/Tender/SplashBidNoticeAbstractUI.aspx?menuIndex=3&amp;refID=7189322&amp;Result=3","7189322")</f>
        <v>0</v>
      </c>
      <c r="B5002" t="s">
        <v>873</v>
      </c>
      <c r="C5002" t="s">
        <v>8316</v>
      </c>
      <c r="D5002" t="s">
        <v>17145</v>
      </c>
      <c r="E5002" t="s">
        <v>21572</v>
      </c>
      <c r="F5002" t="s">
        <v>29372</v>
      </c>
      <c r="G5002" t="s">
        <v>29380</v>
      </c>
      <c r="H5002" t="s">
        <v>11048</v>
      </c>
      <c r="I5002" t="s">
        <v>29425</v>
      </c>
      <c r="J5002" t="s">
        <v>29590</v>
      </c>
      <c r="K5002" t="s">
        <v>38487</v>
      </c>
      <c r="M5002" t="s">
        <v>39665</v>
      </c>
      <c r="N5002" t="s">
        <v>42669</v>
      </c>
      <c r="O5002" t="s">
        <v>42670</v>
      </c>
      <c r="P5002">
        <v>0</v>
      </c>
      <c r="Q5002">
        <v>1</v>
      </c>
      <c r="R5002" t="s">
        <v>42676</v>
      </c>
      <c r="S5002" t="s">
        <v>42809</v>
      </c>
      <c r="T5002" t="s">
        <v>44446</v>
      </c>
      <c r="U5002" t="s">
        <v>48908</v>
      </c>
      <c r="W5002" t="s">
        <v>39665</v>
      </c>
      <c r="X5002" t="s">
        <v>42677</v>
      </c>
    </row>
    <row r="5003" spans="1:24">
      <c r="A5003">
        <f>HYPERLINK("https://www.philgeps.gov.ph/GEPSNONPILOT/Tender/SplashBidNoticeAbstractUI.aspx?menuIndex=3&amp;refID=7189327&amp;Result=3","7189327")</f>
        <v>0</v>
      </c>
      <c r="B5003" t="s">
        <v>1319</v>
      </c>
      <c r="C5003" t="s">
        <v>8317</v>
      </c>
      <c r="D5003" t="s">
        <v>17141</v>
      </c>
      <c r="E5003" t="s">
        <v>21573</v>
      </c>
      <c r="F5003" t="s">
        <v>29372</v>
      </c>
      <c r="G5003" t="s">
        <v>29380</v>
      </c>
      <c r="H5003" t="s">
        <v>11048</v>
      </c>
      <c r="I5003" t="s">
        <v>4486</v>
      </c>
      <c r="J5003" t="s">
        <v>32782</v>
      </c>
      <c r="K5003" t="s">
        <v>38490</v>
      </c>
      <c r="M5003" t="s">
        <v>40151</v>
      </c>
      <c r="N5003" t="s">
        <v>42669</v>
      </c>
      <c r="O5003" t="s">
        <v>42670</v>
      </c>
      <c r="P5003">
        <v>0</v>
      </c>
      <c r="Q5003">
        <v>11</v>
      </c>
      <c r="R5003" t="s">
        <v>42676</v>
      </c>
      <c r="S5003" t="s">
        <v>42809</v>
      </c>
      <c r="T5003" t="s">
        <v>44636</v>
      </c>
      <c r="U5003" t="s">
        <v>48909</v>
      </c>
      <c r="W5003" t="s">
        <v>40151</v>
      </c>
      <c r="X5003" t="s">
        <v>42677</v>
      </c>
    </row>
    <row r="5004" spans="1:24">
      <c r="A5004">
        <f>HYPERLINK("https://www.philgeps.gov.ph/GEPSNONPILOT/Tender/SplashBidNoticeAbstractUI.aspx?menuIndex=3&amp;refID=7189320&amp;Result=3","7189320")</f>
        <v>0</v>
      </c>
      <c r="B5004" t="s">
        <v>836</v>
      </c>
      <c r="C5004" t="s">
        <v>8318</v>
      </c>
      <c r="D5004" t="s">
        <v>17160</v>
      </c>
      <c r="E5004" t="s">
        <v>21574</v>
      </c>
      <c r="F5004" t="s">
        <v>29372</v>
      </c>
      <c r="G5004" t="s">
        <v>29379</v>
      </c>
      <c r="H5004" t="s">
        <v>11048</v>
      </c>
      <c r="I5004" t="s">
        <v>4709</v>
      </c>
      <c r="J5004" t="s">
        <v>32783</v>
      </c>
      <c r="K5004" t="s">
        <v>38489</v>
      </c>
      <c r="M5004" t="s">
        <v>39625</v>
      </c>
      <c r="N5004" t="s">
        <v>42669</v>
      </c>
      <c r="O5004" t="s">
        <v>42670</v>
      </c>
      <c r="P5004">
        <v>0</v>
      </c>
      <c r="Q5004">
        <v>0</v>
      </c>
      <c r="R5004" t="s">
        <v>42676</v>
      </c>
      <c r="S5004" t="s">
        <v>42809</v>
      </c>
      <c r="T5004" t="s">
        <v>44548</v>
      </c>
      <c r="U5004" t="s">
        <v>48910</v>
      </c>
      <c r="W5004" t="s">
        <v>39625</v>
      </c>
      <c r="X5004" t="s">
        <v>42677</v>
      </c>
    </row>
    <row r="5005" spans="1:24">
      <c r="A5005">
        <f>HYPERLINK("https://www.philgeps.gov.ph/GEPSNONPILOT/Tender/SplashBidNoticeAbstractUI.aspx?menuIndex=3&amp;refID=7189319&amp;Result=3","7189319")</f>
        <v>0</v>
      </c>
      <c r="B5005" t="s">
        <v>680</v>
      </c>
      <c r="C5005" t="s">
        <v>8319</v>
      </c>
      <c r="D5005" t="s">
        <v>17196</v>
      </c>
      <c r="E5005" t="s">
        <v>21575</v>
      </c>
      <c r="F5005" t="s">
        <v>29372</v>
      </c>
      <c r="G5005" t="s">
        <v>29380</v>
      </c>
      <c r="H5005" t="s">
        <v>29390</v>
      </c>
      <c r="I5005" t="s">
        <v>29409</v>
      </c>
      <c r="J5005" t="s">
        <v>32784</v>
      </c>
      <c r="K5005" t="s">
        <v>38588</v>
      </c>
      <c r="M5005" t="s">
        <v>40649</v>
      </c>
      <c r="N5005" t="s">
        <v>42669</v>
      </c>
      <c r="O5005" t="s">
        <v>42670</v>
      </c>
      <c r="P5005">
        <v>0</v>
      </c>
      <c r="Q5005">
        <v>3</v>
      </c>
      <c r="R5005" t="s">
        <v>42676</v>
      </c>
      <c r="S5005" t="s">
        <v>42809</v>
      </c>
      <c r="T5005" t="s">
        <v>44374</v>
      </c>
      <c r="U5005" t="s">
        <v>48911</v>
      </c>
      <c r="W5005" t="s">
        <v>58059</v>
      </c>
      <c r="X5005" t="s">
        <v>42677</v>
      </c>
    </row>
    <row r="5006" spans="1:24">
      <c r="A5006">
        <f>HYPERLINK("https://www.philgeps.gov.ph/GEPSNONPILOT/Tender/SplashBidNoticeAbstractUI.aspx?menuIndex=3&amp;refID=7189321&amp;Result=3","7189321")</f>
        <v>0</v>
      </c>
      <c r="B5006" t="s">
        <v>91</v>
      </c>
      <c r="C5006" t="s">
        <v>8320</v>
      </c>
      <c r="D5006" t="s">
        <v>17176</v>
      </c>
      <c r="E5006" t="s">
        <v>21576</v>
      </c>
      <c r="F5006" t="s">
        <v>29372</v>
      </c>
      <c r="G5006" t="s">
        <v>29380</v>
      </c>
      <c r="H5006" t="s">
        <v>11048</v>
      </c>
      <c r="I5006" t="s">
        <v>4486</v>
      </c>
      <c r="J5006" t="s">
        <v>32785</v>
      </c>
      <c r="K5006" t="s">
        <v>38510</v>
      </c>
      <c r="M5006" t="s">
        <v>38845</v>
      </c>
      <c r="N5006" t="s">
        <v>42669</v>
      </c>
      <c r="O5006" t="s">
        <v>42670</v>
      </c>
      <c r="P5006">
        <v>0</v>
      </c>
      <c r="Q5006">
        <v>1</v>
      </c>
      <c r="R5006" t="s">
        <v>42676</v>
      </c>
      <c r="S5006" t="s">
        <v>42809</v>
      </c>
      <c r="T5006" t="s">
        <v>44546</v>
      </c>
      <c r="U5006" t="s">
        <v>48912</v>
      </c>
      <c r="W5006" t="s">
        <v>38845</v>
      </c>
      <c r="X5006" t="s">
        <v>42677</v>
      </c>
    </row>
    <row r="5007" spans="1:24">
      <c r="A5007">
        <f>HYPERLINK("https://www.philgeps.gov.ph/GEPSNONPILOT/Tender/SplashBidNoticeAbstractUI.aspx?menuIndex=3&amp;refID=7189309&amp;Result=3","7189309")</f>
        <v>0</v>
      </c>
      <c r="B5007" t="s">
        <v>684</v>
      </c>
      <c r="C5007" t="s">
        <v>8321</v>
      </c>
      <c r="D5007" t="s">
        <v>17188</v>
      </c>
      <c r="E5007" t="s">
        <v>21577</v>
      </c>
      <c r="F5007" t="s">
        <v>29372</v>
      </c>
      <c r="G5007" t="s">
        <v>29382</v>
      </c>
      <c r="H5007" t="s">
        <v>11048</v>
      </c>
      <c r="I5007" t="s">
        <v>4487</v>
      </c>
      <c r="J5007" t="s">
        <v>29657</v>
      </c>
      <c r="K5007" t="s">
        <v>38488</v>
      </c>
      <c r="M5007" t="s">
        <v>39779</v>
      </c>
      <c r="N5007" t="s">
        <v>42669</v>
      </c>
      <c r="O5007" t="s">
        <v>42670</v>
      </c>
      <c r="P5007">
        <v>0</v>
      </c>
      <c r="Q5007">
        <v>3</v>
      </c>
      <c r="R5007" t="s">
        <v>42676</v>
      </c>
      <c r="S5007" t="s">
        <v>42809</v>
      </c>
      <c r="T5007" t="s">
        <v>44493</v>
      </c>
      <c r="U5007" t="s">
        <v>48913</v>
      </c>
      <c r="V5007" t="s">
        <v>45789</v>
      </c>
      <c r="W5007" t="s">
        <v>39779</v>
      </c>
      <c r="X5007" t="s">
        <v>42677</v>
      </c>
    </row>
    <row r="5008" spans="1:24">
      <c r="A5008">
        <f>HYPERLINK("https://www.philgeps.gov.ph/GEPSNONPILOT/Tender/SplashBidNoticeAbstractUI.aspx?menuIndex=3&amp;refID=7189323&amp;Result=3","7189323")</f>
        <v>0</v>
      </c>
      <c r="B5008" t="s">
        <v>1183</v>
      </c>
      <c r="C5008" t="s">
        <v>8322</v>
      </c>
      <c r="D5008" t="s">
        <v>17171</v>
      </c>
      <c r="E5008" t="s">
        <v>17970</v>
      </c>
      <c r="F5008" t="s">
        <v>29372</v>
      </c>
      <c r="G5008" t="s">
        <v>29379</v>
      </c>
      <c r="H5008" t="s">
        <v>11048</v>
      </c>
      <c r="I5008" t="s">
        <v>14920</v>
      </c>
      <c r="J5008" t="s">
        <v>32786</v>
      </c>
      <c r="K5008" t="s">
        <v>38567</v>
      </c>
      <c r="M5008" t="s">
        <v>39998</v>
      </c>
      <c r="N5008" t="s">
        <v>42669</v>
      </c>
      <c r="O5008" t="s">
        <v>42670</v>
      </c>
      <c r="P5008">
        <v>0</v>
      </c>
      <c r="Q5008">
        <v>0</v>
      </c>
      <c r="R5008" t="s">
        <v>42676</v>
      </c>
      <c r="S5008" t="s">
        <v>42809</v>
      </c>
      <c r="T5008" t="s">
        <v>44432</v>
      </c>
      <c r="U5008" t="s">
        <v>48914</v>
      </c>
      <c r="W5008" t="s">
        <v>42631</v>
      </c>
      <c r="X5008" t="s">
        <v>42677</v>
      </c>
    </row>
    <row r="5009" spans="1:24">
      <c r="A5009">
        <f>HYPERLINK("https://www.philgeps.gov.ph/GEPSNONPILOT/Tender/SplashBidNoticeAbstractUI.aspx?menuIndex=3&amp;refID=7189307&amp;Result=3","7189307")</f>
        <v>0</v>
      </c>
      <c r="B5009" t="s">
        <v>1781</v>
      </c>
      <c r="C5009" t="s">
        <v>8323</v>
      </c>
      <c r="D5009" t="s">
        <v>17162</v>
      </c>
      <c r="E5009" t="s">
        <v>17347</v>
      </c>
      <c r="F5009" t="s">
        <v>29372</v>
      </c>
      <c r="G5009" t="s">
        <v>29380</v>
      </c>
      <c r="H5009" t="s">
        <v>29389</v>
      </c>
      <c r="I5009" t="s">
        <v>10408</v>
      </c>
      <c r="J5009" t="s">
        <v>32787</v>
      </c>
      <c r="K5009" t="s">
        <v>38503</v>
      </c>
      <c r="M5009" t="s">
        <v>40650</v>
      </c>
      <c r="N5009" t="s">
        <v>42669</v>
      </c>
      <c r="O5009" t="s">
        <v>42670</v>
      </c>
      <c r="P5009">
        <v>0</v>
      </c>
      <c r="Q5009">
        <v>2</v>
      </c>
      <c r="R5009" t="s">
        <v>42676</v>
      </c>
      <c r="S5009" t="s">
        <v>42809</v>
      </c>
      <c r="T5009" t="s">
        <v>44387</v>
      </c>
      <c r="U5009" t="s">
        <v>48915</v>
      </c>
      <c r="V5009" t="s">
        <v>56916</v>
      </c>
      <c r="W5009" t="s">
        <v>40650</v>
      </c>
      <c r="X5009" t="s">
        <v>42677</v>
      </c>
    </row>
    <row r="5010" spans="1:24">
      <c r="A5010">
        <f>HYPERLINK("https://www.philgeps.gov.ph/GEPSNONPILOT/Tender/SplashBidNoticeAbstractUI.aspx?menuIndex=3&amp;refID=7189306&amp;Result=3","7189306")</f>
        <v>0</v>
      </c>
      <c r="B5010" t="s">
        <v>1750</v>
      </c>
      <c r="C5010" t="s">
        <v>8324</v>
      </c>
      <c r="D5010" t="s">
        <v>17143</v>
      </c>
      <c r="E5010" t="s">
        <v>21578</v>
      </c>
      <c r="F5010" t="s">
        <v>29372</v>
      </c>
      <c r="G5010" t="s">
        <v>29380</v>
      </c>
      <c r="H5010" t="s">
        <v>29389</v>
      </c>
      <c r="I5010" t="s">
        <v>10408</v>
      </c>
      <c r="J5010" t="s">
        <v>29543</v>
      </c>
      <c r="K5010" t="s">
        <v>38487</v>
      </c>
      <c r="M5010" t="s">
        <v>40615</v>
      </c>
      <c r="N5010" t="s">
        <v>42669</v>
      </c>
      <c r="O5010" t="s">
        <v>42670</v>
      </c>
      <c r="P5010">
        <v>0</v>
      </c>
      <c r="Q5010">
        <v>1</v>
      </c>
      <c r="R5010" t="s">
        <v>42676</v>
      </c>
      <c r="S5010" t="s">
        <v>42809</v>
      </c>
      <c r="T5010" t="s">
        <v>44679</v>
      </c>
      <c r="U5010" t="s">
        <v>48916</v>
      </c>
      <c r="W5010" t="s">
        <v>40615</v>
      </c>
      <c r="X5010" t="s">
        <v>42677</v>
      </c>
    </row>
    <row r="5011" spans="1:24">
      <c r="A5011">
        <f>HYPERLINK("https://www.philgeps.gov.ph/GEPSNONPILOT/Tender/SplashBidNoticeAbstractUI.aspx?menuIndex=3&amp;refID=7189304&amp;Result=3","7189304")</f>
        <v>0</v>
      </c>
      <c r="B5011" t="s">
        <v>1782</v>
      </c>
      <c r="C5011" t="s">
        <v>8325</v>
      </c>
      <c r="D5011" t="s">
        <v>17177</v>
      </c>
      <c r="E5011" t="s">
        <v>21579</v>
      </c>
      <c r="F5011" t="s">
        <v>29372</v>
      </c>
      <c r="G5011" t="s">
        <v>29380</v>
      </c>
      <c r="H5011" t="s">
        <v>11048</v>
      </c>
      <c r="I5011" t="s">
        <v>5383</v>
      </c>
      <c r="J5011" t="s">
        <v>32788</v>
      </c>
      <c r="K5011" t="s">
        <v>38485</v>
      </c>
      <c r="M5011" t="s">
        <v>40651</v>
      </c>
      <c r="N5011" t="s">
        <v>42669</v>
      </c>
      <c r="O5011" t="s">
        <v>42670</v>
      </c>
      <c r="P5011">
        <v>0</v>
      </c>
      <c r="Q5011">
        <v>8</v>
      </c>
      <c r="R5011" t="s">
        <v>42676</v>
      </c>
      <c r="S5011" t="s">
        <v>42809</v>
      </c>
      <c r="T5011" t="s">
        <v>44682</v>
      </c>
      <c r="U5011" t="s">
        <v>48917</v>
      </c>
      <c r="W5011" t="s">
        <v>40651</v>
      </c>
      <c r="X5011" t="s">
        <v>42677</v>
      </c>
    </row>
    <row r="5012" spans="1:24">
      <c r="A5012">
        <f>HYPERLINK("https://www.philgeps.gov.ph/GEPSNONPILOT/Tender/SplashBidNoticeAbstractUI.aspx?menuIndex=3&amp;refID=7189301&amp;Result=3","7189301")</f>
        <v>0</v>
      </c>
      <c r="B5012" t="s">
        <v>1783</v>
      </c>
      <c r="C5012" t="s">
        <v>8326</v>
      </c>
      <c r="D5012" t="s">
        <v>17165</v>
      </c>
      <c r="E5012" t="s">
        <v>21580</v>
      </c>
      <c r="F5012" t="s">
        <v>29376</v>
      </c>
      <c r="G5012" t="s">
        <v>29383</v>
      </c>
      <c r="H5012" t="s">
        <v>11048</v>
      </c>
      <c r="I5012" t="s">
        <v>29491</v>
      </c>
      <c r="J5012" t="s">
        <v>32789</v>
      </c>
      <c r="K5012" t="s">
        <v>38488</v>
      </c>
      <c r="M5012" t="s">
        <v>40652</v>
      </c>
      <c r="N5012" t="s">
        <v>42669</v>
      </c>
      <c r="O5012" t="s">
        <v>42670</v>
      </c>
      <c r="P5012">
        <v>0</v>
      </c>
      <c r="Q5012">
        <v>2</v>
      </c>
      <c r="R5012" t="s">
        <v>42676</v>
      </c>
      <c r="S5012" t="s">
        <v>42809</v>
      </c>
      <c r="T5012" t="s">
        <v>44417</v>
      </c>
      <c r="U5012" t="s">
        <v>48918</v>
      </c>
      <c r="W5012" t="s">
        <v>40652</v>
      </c>
      <c r="X5012" t="s">
        <v>42677</v>
      </c>
    </row>
    <row r="5013" spans="1:24">
      <c r="A5013">
        <f>HYPERLINK("https://www.philgeps.gov.ph/GEPSNONPILOT/Tender/SplashBidNoticeAbstractUI.aspx?menuIndex=3&amp;refID=7189300&amp;Result=3","7189300")</f>
        <v>0</v>
      </c>
      <c r="B5013" t="s">
        <v>1522</v>
      </c>
      <c r="C5013" t="s">
        <v>8327</v>
      </c>
      <c r="D5013" t="s">
        <v>17174</v>
      </c>
      <c r="E5013" t="s">
        <v>21581</v>
      </c>
      <c r="F5013" t="s">
        <v>29372</v>
      </c>
      <c r="G5013" t="s">
        <v>29380</v>
      </c>
      <c r="H5013" t="s">
        <v>11048</v>
      </c>
      <c r="I5013" t="s">
        <v>3695</v>
      </c>
      <c r="J5013" t="s">
        <v>32790</v>
      </c>
      <c r="K5013" t="s">
        <v>38485</v>
      </c>
      <c r="M5013" t="s">
        <v>40369</v>
      </c>
      <c r="N5013" t="s">
        <v>42669</v>
      </c>
      <c r="O5013" t="s">
        <v>42670</v>
      </c>
      <c r="P5013">
        <v>0</v>
      </c>
      <c r="Q5013">
        <v>1</v>
      </c>
      <c r="R5013" t="s">
        <v>42676</v>
      </c>
      <c r="S5013" t="s">
        <v>42809</v>
      </c>
      <c r="T5013" t="s">
        <v>44375</v>
      </c>
      <c r="U5013" t="s">
        <v>48919</v>
      </c>
      <c r="W5013" t="s">
        <v>40369</v>
      </c>
      <c r="X5013" t="s">
        <v>42677</v>
      </c>
    </row>
    <row r="5014" spans="1:24">
      <c r="A5014">
        <f>HYPERLINK("https://www.philgeps.gov.ph/GEPSNONPILOT/Tender/SplashBidNoticeAbstractUI.aspx?menuIndex=3&amp;refID=7189317&amp;Result=3","7189317")</f>
        <v>0</v>
      </c>
      <c r="B5014" t="s">
        <v>1784</v>
      </c>
      <c r="C5014" t="s">
        <v>8328</v>
      </c>
      <c r="D5014" t="s">
        <v>17200</v>
      </c>
      <c r="E5014" t="s">
        <v>21582</v>
      </c>
      <c r="F5014" t="s">
        <v>29372</v>
      </c>
      <c r="G5014" t="s">
        <v>29379</v>
      </c>
      <c r="H5014" t="s">
        <v>11048</v>
      </c>
      <c r="I5014" t="s">
        <v>8208</v>
      </c>
      <c r="J5014" t="s">
        <v>31047</v>
      </c>
      <c r="K5014" t="s">
        <v>38489</v>
      </c>
      <c r="M5014" t="s">
        <v>40653</v>
      </c>
      <c r="N5014" t="s">
        <v>42669</v>
      </c>
      <c r="O5014" t="s">
        <v>42670</v>
      </c>
      <c r="P5014">
        <v>0</v>
      </c>
      <c r="Q5014">
        <v>0</v>
      </c>
      <c r="R5014" t="s">
        <v>42676</v>
      </c>
      <c r="S5014" t="s">
        <v>42809</v>
      </c>
      <c r="T5014" t="s">
        <v>44488</v>
      </c>
      <c r="U5014" t="s">
        <v>48920</v>
      </c>
      <c r="W5014" t="s">
        <v>40653</v>
      </c>
      <c r="X5014" t="s">
        <v>42677</v>
      </c>
    </row>
    <row r="5015" spans="1:24">
      <c r="A5015">
        <f>HYPERLINK("https://www.philgeps.gov.ph/GEPSNONPILOT/Tender/SplashBidNoticeAbstractUI.aspx?menuIndex=3&amp;refID=7189265&amp;Result=3","7189265")</f>
        <v>0</v>
      </c>
      <c r="B5015" t="s">
        <v>1183</v>
      </c>
      <c r="C5015" t="s">
        <v>8329</v>
      </c>
      <c r="D5015" t="s">
        <v>17171</v>
      </c>
      <c r="E5015" t="s">
        <v>21583</v>
      </c>
      <c r="F5015" t="s">
        <v>29372</v>
      </c>
      <c r="G5015" t="s">
        <v>29379</v>
      </c>
      <c r="H5015" t="s">
        <v>11048</v>
      </c>
      <c r="I5015" t="s">
        <v>29407</v>
      </c>
      <c r="J5015" t="s">
        <v>29965</v>
      </c>
      <c r="K5015" t="s">
        <v>38510</v>
      </c>
      <c r="M5015" t="s">
        <v>39998</v>
      </c>
      <c r="N5015" t="s">
        <v>42669</v>
      </c>
      <c r="O5015" t="s">
        <v>42670</v>
      </c>
      <c r="P5015">
        <v>0</v>
      </c>
      <c r="Q5015">
        <v>2</v>
      </c>
      <c r="R5015" t="s">
        <v>42676</v>
      </c>
      <c r="S5015" t="s">
        <v>42809</v>
      </c>
      <c r="T5015" t="s">
        <v>44432</v>
      </c>
      <c r="U5015" t="s">
        <v>48921</v>
      </c>
      <c r="W5015" t="s">
        <v>42631</v>
      </c>
      <c r="X5015" t="s">
        <v>42677</v>
      </c>
    </row>
    <row r="5016" spans="1:24">
      <c r="A5016">
        <f>HYPERLINK("https://www.philgeps.gov.ph/GEPSNONPILOT/Tender/SplashBidNoticeAbstractUI.aspx?menuIndex=3&amp;refID=7189264&amp;Result=3","7189264")</f>
        <v>0</v>
      </c>
      <c r="B5016" t="s">
        <v>52</v>
      </c>
      <c r="C5016" t="s">
        <v>8330</v>
      </c>
      <c r="D5016" t="s">
        <v>17192</v>
      </c>
      <c r="E5016" t="s">
        <v>21584</v>
      </c>
      <c r="F5016" t="s">
        <v>29372</v>
      </c>
      <c r="G5016" t="s">
        <v>29379</v>
      </c>
      <c r="H5016" t="s">
        <v>11048</v>
      </c>
      <c r="I5016" t="s">
        <v>14920</v>
      </c>
      <c r="J5016" t="s">
        <v>32791</v>
      </c>
      <c r="K5016" t="s">
        <v>38522</v>
      </c>
      <c r="M5016" t="s">
        <v>38805</v>
      </c>
      <c r="N5016" t="s">
        <v>42669</v>
      </c>
      <c r="O5016" t="s">
        <v>42670</v>
      </c>
      <c r="P5016">
        <v>0</v>
      </c>
      <c r="Q5016">
        <v>3</v>
      </c>
      <c r="R5016" t="s">
        <v>42676</v>
      </c>
      <c r="S5016" t="s">
        <v>42809</v>
      </c>
      <c r="T5016" t="s">
        <v>44431</v>
      </c>
      <c r="U5016" t="s">
        <v>48922</v>
      </c>
      <c r="W5016" t="s">
        <v>38805</v>
      </c>
      <c r="X5016" t="s">
        <v>42677</v>
      </c>
    </row>
    <row r="5017" spans="1:24">
      <c r="A5017">
        <f>HYPERLINK("https://www.philgeps.gov.ph/GEPSNONPILOT/Tender/SplashBidNoticeAbstractUI.aspx?menuIndex=3&amp;refID=7189308&amp;Result=3","7189308")</f>
        <v>0</v>
      </c>
      <c r="B5017" t="s">
        <v>669</v>
      </c>
      <c r="C5017" t="s">
        <v>8331</v>
      </c>
      <c r="D5017" t="s">
        <v>17147</v>
      </c>
      <c r="E5017" t="s">
        <v>21585</v>
      </c>
      <c r="F5017" t="s">
        <v>29372</v>
      </c>
      <c r="G5017" t="s">
        <v>29381</v>
      </c>
      <c r="H5017" t="s">
        <v>11048</v>
      </c>
      <c r="I5017" t="s">
        <v>9469</v>
      </c>
      <c r="J5017" t="s">
        <v>30161</v>
      </c>
      <c r="K5017" t="s">
        <v>38485</v>
      </c>
      <c r="M5017" t="s">
        <v>40064</v>
      </c>
      <c r="N5017" t="s">
        <v>42669</v>
      </c>
      <c r="O5017" t="s">
        <v>42670</v>
      </c>
      <c r="P5017">
        <v>0</v>
      </c>
      <c r="Q5017">
        <v>0</v>
      </c>
      <c r="R5017" t="s">
        <v>42676</v>
      </c>
      <c r="S5017" t="s">
        <v>42809</v>
      </c>
      <c r="T5017" t="s">
        <v>44580</v>
      </c>
      <c r="U5017" t="s">
        <v>48876</v>
      </c>
      <c r="V5017" t="s">
        <v>56531</v>
      </c>
      <c r="W5017" t="s">
        <v>40064</v>
      </c>
      <c r="X5017" t="s">
        <v>42677</v>
      </c>
    </row>
    <row r="5018" spans="1:24">
      <c r="A5018">
        <f>HYPERLINK("https://www.philgeps.gov.ph/GEPSNONPILOT/Tender/SplashBidNoticeAbstractUI.aspx?menuIndex=3&amp;refID=7189287&amp;Result=3","7189287")</f>
        <v>0</v>
      </c>
      <c r="B5018" t="s">
        <v>1785</v>
      </c>
      <c r="C5018" t="s">
        <v>8332</v>
      </c>
      <c r="D5018" t="s">
        <v>17188</v>
      </c>
      <c r="E5018" t="s">
        <v>21586</v>
      </c>
      <c r="F5018" t="s">
        <v>29372</v>
      </c>
      <c r="G5018" t="s">
        <v>29380</v>
      </c>
      <c r="H5018" t="s">
        <v>11048</v>
      </c>
      <c r="I5018" t="s">
        <v>8614</v>
      </c>
      <c r="J5018" t="s">
        <v>29555</v>
      </c>
      <c r="K5018" t="s">
        <v>38488</v>
      </c>
      <c r="M5018" t="s">
        <v>40654</v>
      </c>
      <c r="N5018" t="s">
        <v>42669</v>
      </c>
      <c r="O5018" t="s">
        <v>42670</v>
      </c>
      <c r="P5018">
        <v>0</v>
      </c>
      <c r="Q5018">
        <v>0</v>
      </c>
      <c r="R5018" t="s">
        <v>42676</v>
      </c>
      <c r="S5018" t="s">
        <v>42809</v>
      </c>
      <c r="T5018" t="s">
        <v>44368</v>
      </c>
      <c r="U5018" t="s">
        <v>48923</v>
      </c>
      <c r="W5018" t="s">
        <v>40654</v>
      </c>
      <c r="X5018" t="s">
        <v>42677</v>
      </c>
    </row>
    <row r="5019" spans="1:24">
      <c r="A5019">
        <f>HYPERLINK("https://www.philgeps.gov.ph/GEPSNONPILOT/Tender/SplashBidNoticeAbstractUI.aspx?menuIndex=3&amp;refID=7189262&amp;Result=3","7189262")</f>
        <v>0</v>
      </c>
      <c r="B5019" t="s">
        <v>231</v>
      </c>
      <c r="C5019" t="s">
        <v>8333</v>
      </c>
      <c r="D5019" t="s">
        <v>17166</v>
      </c>
      <c r="E5019" t="s">
        <v>21587</v>
      </c>
      <c r="F5019" t="s">
        <v>29372</v>
      </c>
      <c r="G5019" t="s">
        <v>29380</v>
      </c>
      <c r="H5019" t="s">
        <v>11048</v>
      </c>
      <c r="I5019" t="s">
        <v>29458</v>
      </c>
      <c r="J5019" t="s">
        <v>32792</v>
      </c>
      <c r="K5019" t="s">
        <v>38490</v>
      </c>
      <c r="M5019" t="s">
        <v>40655</v>
      </c>
      <c r="N5019" t="s">
        <v>42669</v>
      </c>
      <c r="O5019" t="s">
        <v>42670</v>
      </c>
      <c r="P5019">
        <v>0</v>
      </c>
      <c r="Q5019">
        <v>9</v>
      </c>
      <c r="R5019" t="s">
        <v>42676</v>
      </c>
      <c r="S5019" t="s">
        <v>42809</v>
      </c>
      <c r="T5019" t="s">
        <v>44683</v>
      </c>
      <c r="U5019" t="s">
        <v>48924</v>
      </c>
      <c r="V5019" t="s">
        <v>56917</v>
      </c>
      <c r="W5019" t="s">
        <v>40655</v>
      </c>
      <c r="X5019" t="s">
        <v>42677</v>
      </c>
    </row>
    <row r="5020" spans="1:24">
      <c r="A5020">
        <f>HYPERLINK("https://www.philgeps.gov.ph/GEPSNONPILOT/Tender/SplashBidNoticeAbstractUI.aspx?menuIndex=3&amp;refID=7189008&amp;Result=3","7189008")</f>
        <v>0</v>
      </c>
      <c r="B5020" t="s">
        <v>1750</v>
      </c>
      <c r="C5020" t="s">
        <v>8334</v>
      </c>
      <c r="D5020" t="s">
        <v>17143</v>
      </c>
      <c r="E5020" t="s">
        <v>19465</v>
      </c>
      <c r="F5020" t="s">
        <v>29372</v>
      </c>
      <c r="G5020" t="s">
        <v>29380</v>
      </c>
      <c r="H5020" t="s">
        <v>29389</v>
      </c>
      <c r="I5020" t="s">
        <v>10408</v>
      </c>
      <c r="J5020" t="s">
        <v>32711</v>
      </c>
      <c r="K5020" t="s">
        <v>38641</v>
      </c>
      <c r="M5020" t="s">
        <v>40615</v>
      </c>
      <c r="N5020" t="s">
        <v>42669</v>
      </c>
      <c r="O5020" t="s">
        <v>42670</v>
      </c>
      <c r="P5020">
        <v>0</v>
      </c>
      <c r="Q5020">
        <v>1</v>
      </c>
      <c r="R5020" t="s">
        <v>42676</v>
      </c>
      <c r="S5020" t="s">
        <v>42809</v>
      </c>
      <c r="T5020" t="s">
        <v>44679</v>
      </c>
      <c r="U5020" t="s">
        <v>47253</v>
      </c>
      <c r="W5020" t="s">
        <v>40615</v>
      </c>
      <c r="X5020" t="s">
        <v>42677</v>
      </c>
    </row>
    <row r="5021" spans="1:24">
      <c r="A5021">
        <f>HYPERLINK("https://www.philgeps.gov.ph/GEPSNONPILOT/Tender/SplashBidNoticeAbstractUI.aspx?menuIndex=3&amp;refID=7189367&amp;Result=3","7189367")</f>
        <v>0</v>
      </c>
      <c r="B5021" t="s">
        <v>1183</v>
      </c>
      <c r="C5021" t="s">
        <v>8335</v>
      </c>
      <c r="D5021" t="s">
        <v>17171</v>
      </c>
      <c r="E5021" t="s">
        <v>21588</v>
      </c>
      <c r="F5021" t="s">
        <v>29372</v>
      </c>
      <c r="G5021" t="s">
        <v>29379</v>
      </c>
      <c r="H5021" t="s">
        <v>11048</v>
      </c>
      <c r="I5021" t="s">
        <v>29407</v>
      </c>
      <c r="J5021" t="s">
        <v>32793</v>
      </c>
      <c r="K5021" t="s">
        <v>38510</v>
      </c>
      <c r="M5021" t="s">
        <v>39998</v>
      </c>
      <c r="N5021" t="s">
        <v>42669</v>
      </c>
      <c r="O5021" t="s">
        <v>42670</v>
      </c>
      <c r="P5021">
        <v>0</v>
      </c>
      <c r="Q5021">
        <v>1</v>
      </c>
      <c r="R5021" t="s">
        <v>42676</v>
      </c>
      <c r="S5021" t="s">
        <v>42809</v>
      </c>
      <c r="T5021" t="s">
        <v>44432</v>
      </c>
      <c r="U5021" t="s">
        <v>48925</v>
      </c>
      <c r="W5021" t="s">
        <v>42631</v>
      </c>
      <c r="X5021" t="s">
        <v>42677</v>
      </c>
    </row>
    <row r="5022" spans="1:24">
      <c r="A5022">
        <f>HYPERLINK("https://www.philgeps.gov.ph/GEPSNONPILOT/Tender/SplashBidNoticeAbstractUI.aspx?menuIndex=3&amp;refID=7189365&amp;Result=3","7189365")</f>
        <v>0</v>
      </c>
      <c r="B5022" t="s">
        <v>1786</v>
      </c>
      <c r="C5022" t="s">
        <v>8336</v>
      </c>
      <c r="D5022" t="s">
        <v>17221</v>
      </c>
      <c r="E5022" t="s">
        <v>21589</v>
      </c>
      <c r="F5022" t="s">
        <v>29372</v>
      </c>
      <c r="G5022" t="s">
        <v>29383</v>
      </c>
      <c r="H5022" t="s">
        <v>11048</v>
      </c>
      <c r="I5022" t="s">
        <v>29479</v>
      </c>
      <c r="J5022" t="s">
        <v>32794</v>
      </c>
      <c r="K5022" t="s">
        <v>38510</v>
      </c>
      <c r="M5022" t="s">
        <v>40656</v>
      </c>
      <c r="N5022" t="s">
        <v>42669</v>
      </c>
      <c r="O5022" t="s">
        <v>42670</v>
      </c>
      <c r="Q5022">
        <v>1</v>
      </c>
      <c r="R5022" t="s">
        <v>42676</v>
      </c>
      <c r="S5022" t="s">
        <v>42824</v>
      </c>
      <c r="T5022" t="s">
        <v>44394</v>
      </c>
      <c r="U5022" t="s">
        <v>48926</v>
      </c>
      <c r="W5022" t="s">
        <v>40656</v>
      </c>
      <c r="X5022" t="s">
        <v>42677</v>
      </c>
    </row>
    <row r="5023" spans="1:24">
      <c r="A5023">
        <f>HYPERLINK("https://www.philgeps.gov.ph/GEPSNONPILOT/Tender/SplashBidNoticeAbstractUI.aspx?menuIndex=3&amp;refID=7189363&amp;Result=3","7189363")</f>
        <v>0</v>
      </c>
      <c r="B5023" t="s">
        <v>1410</v>
      </c>
      <c r="C5023" t="s">
        <v>8337</v>
      </c>
      <c r="D5023" t="s">
        <v>17167</v>
      </c>
      <c r="E5023" t="s">
        <v>21590</v>
      </c>
      <c r="F5023" t="s">
        <v>29372</v>
      </c>
      <c r="G5023" t="s">
        <v>29383</v>
      </c>
      <c r="H5023" t="s">
        <v>11048</v>
      </c>
      <c r="I5023" t="s">
        <v>4709</v>
      </c>
      <c r="J5023" t="s">
        <v>32795</v>
      </c>
      <c r="K5023" t="s">
        <v>38491</v>
      </c>
      <c r="M5023" t="s">
        <v>40249</v>
      </c>
      <c r="N5023" t="s">
        <v>42669</v>
      </c>
      <c r="O5023" t="s">
        <v>42670</v>
      </c>
      <c r="P5023">
        <v>0</v>
      </c>
      <c r="Q5023">
        <v>1</v>
      </c>
      <c r="R5023" t="s">
        <v>42676</v>
      </c>
      <c r="S5023" t="s">
        <v>42809</v>
      </c>
      <c r="T5023" t="s">
        <v>44548</v>
      </c>
      <c r="U5023" t="s">
        <v>48927</v>
      </c>
      <c r="W5023" t="s">
        <v>40249</v>
      </c>
      <c r="X5023" t="s">
        <v>42677</v>
      </c>
    </row>
    <row r="5024" spans="1:24">
      <c r="A5024">
        <f>HYPERLINK("https://www.philgeps.gov.ph/GEPSNONPILOT/Tender/SplashBidNoticeAbstractUI.aspx?menuIndex=3&amp;refID=7189368&amp;Result=3","7189368")</f>
        <v>0</v>
      </c>
      <c r="B5024" t="s">
        <v>52</v>
      </c>
      <c r="C5024" t="s">
        <v>8338</v>
      </c>
      <c r="D5024" t="s">
        <v>17192</v>
      </c>
      <c r="E5024" t="s">
        <v>21591</v>
      </c>
      <c r="F5024" t="s">
        <v>29372</v>
      </c>
      <c r="G5024" t="s">
        <v>29379</v>
      </c>
      <c r="H5024" t="s">
        <v>11048</v>
      </c>
      <c r="I5024" t="s">
        <v>14920</v>
      </c>
      <c r="J5024" t="s">
        <v>31159</v>
      </c>
      <c r="K5024" t="s">
        <v>38522</v>
      </c>
      <c r="M5024" t="s">
        <v>38805</v>
      </c>
      <c r="N5024" t="s">
        <v>42669</v>
      </c>
      <c r="O5024" t="s">
        <v>42670</v>
      </c>
      <c r="P5024">
        <v>0</v>
      </c>
      <c r="Q5024">
        <v>2</v>
      </c>
      <c r="R5024" t="s">
        <v>42676</v>
      </c>
      <c r="S5024" t="s">
        <v>42809</v>
      </c>
      <c r="T5024" t="s">
        <v>44431</v>
      </c>
      <c r="U5024" t="s">
        <v>48928</v>
      </c>
      <c r="W5024" t="s">
        <v>38805</v>
      </c>
      <c r="X5024" t="s">
        <v>42677</v>
      </c>
    </row>
    <row r="5025" spans="1:24">
      <c r="A5025">
        <f>HYPERLINK("https://www.philgeps.gov.ph/GEPSNONPILOT/Tender/SplashBidNoticeAbstractUI.aspx?menuIndex=3&amp;refID=7189313&amp;Result=3","7189313")</f>
        <v>0</v>
      </c>
      <c r="B5025" t="s">
        <v>1771</v>
      </c>
      <c r="C5025" t="s">
        <v>8339</v>
      </c>
      <c r="D5025" t="s">
        <v>17188</v>
      </c>
      <c r="E5025" t="s">
        <v>21592</v>
      </c>
      <c r="F5025" t="s">
        <v>29372</v>
      </c>
      <c r="G5025" t="s">
        <v>29380</v>
      </c>
      <c r="H5025" t="s">
        <v>29389</v>
      </c>
      <c r="I5025" t="s">
        <v>10408</v>
      </c>
      <c r="J5025" t="s">
        <v>32796</v>
      </c>
      <c r="K5025" t="s">
        <v>38490</v>
      </c>
      <c r="M5025" t="s">
        <v>40638</v>
      </c>
      <c r="N5025" t="s">
        <v>42669</v>
      </c>
      <c r="O5025" t="s">
        <v>42670</v>
      </c>
      <c r="P5025">
        <v>0</v>
      </c>
      <c r="Q5025">
        <v>0</v>
      </c>
      <c r="R5025" t="s">
        <v>42676</v>
      </c>
      <c r="S5025" t="s">
        <v>42809</v>
      </c>
      <c r="T5025" t="s">
        <v>44460</v>
      </c>
      <c r="U5025" t="s">
        <v>48929</v>
      </c>
      <c r="W5025" t="s">
        <v>40638</v>
      </c>
      <c r="X5025" t="s">
        <v>42677</v>
      </c>
    </row>
    <row r="5026" spans="1:24">
      <c r="A5026">
        <f>HYPERLINK("https://www.philgeps.gov.ph/GEPSNONPILOT/Tender/SplashBidNoticeAbstractUI.aspx?menuIndex=3&amp;refID=7189355&amp;Result=3","7189355")</f>
        <v>0</v>
      </c>
      <c r="B5026" t="s">
        <v>1785</v>
      </c>
      <c r="C5026" t="s">
        <v>8340</v>
      </c>
      <c r="D5026" t="s">
        <v>17188</v>
      </c>
      <c r="E5026" t="s">
        <v>21593</v>
      </c>
      <c r="F5026" t="s">
        <v>29372</v>
      </c>
      <c r="G5026" t="s">
        <v>29379</v>
      </c>
      <c r="H5026" t="s">
        <v>11048</v>
      </c>
      <c r="I5026" t="s">
        <v>29430</v>
      </c>
      <c r="J5026" t="s">
        <v>29922</v>
      </c>
      <c r="K5026" t="s">
        <v>38488</v>
      </c>
      <c r="M5026" t="s">
        <v>40654</v>
      </c>
      <c r="N5026" t="s">
        <v>42669</v>
      </c>
      <c r="O5026" t="s">
        <v>42670</v>
      </c>
      <c r="P5026">
        <v>0</v>
      </c>
      <c r="Q5026">
        <v>3</v>
      </c>
      <c r="R5026" t="s">
        <v>42676</v>
      </c>
      <c r="S5026" t="s">
        <v>42809</v>
      </c>
      <c r="T5026" t="s">
        <v>44386</v>
      </c>
      <c r="U5026" t="s">
        <v>48930</v>
      </c>
      <c r="W5026" t="s">
        <v>40654</v>
      </c>
      <c r="X5026" t="s">
        <v>42677</v>
      </c>
    </row>
    <row r="5027" spans="1:24">
      <c r="A5027">
        <f>HYPERLINK("https://www.philgeps.gov.ph/GEPSNONPILOT/Tender/SplashBidNoticeAbstractUI.aspx?menuIndex=3&amp;refID=7189370&amp;Result=3","7189370")</f>
        <v>0</v>
      </c>
      <c r="B5027" t="s">
        <v>1429</v>
      </c>
      <c r="C5027" t="s">
        <v>8341</v>
      </c>
      <c r="D5027" t="s">
        <v>17188</v>
      </c>
      <c r="E5027" t="s">
        <v>21594</v>
      </c>
      <c r="F5027" t="s">
        <v>29372</v>
      </c>
      <c r="G5027" t="s">
        <v>29379</v>
      </c>
      <c r="H5027" t="s">
        <v>11048</v>
      </c>
      <c r="I5027" t="s">
        <v>3670</v>
      </c>
      <c r="J5027" t="s">
        <v>31758</v>
      </c>
      <c r="K5027" t="s">
        <v>38491</v>
      </c>
      <c r="M5027" t="s">
        <v>40269</v>
      </c>
      <c r="N5027" t="s">
        <v>42669</v>
      </c>
      <c r="O5027" t="s">
        <v>42670</v>
      </c>
      <c r="P5027">
        <v>0</v>
      </c>
      <c r="Q5027">
        <v>0</v>
      </c>
      <c r="R5027" t="s">
        <v>42676</v>
      </c>
      <c r="S5027" t="s">
        <v>42809</v>
      </c>
      <c r="T5027" t="s">
        <v>44512</v>
      </c>
      <c r="U5027" t="s">
        <v>48056</v>
      </c>
      <c r="W5027" t="s">
        <v>40269</v>
      </c>
      <c r="X5027" t="s">
        <v>42677</v>
      </c>
    </row>
    <row r="5028" spans="1:24">
      <c r="A5028">
        <f>HYPERLINK("https://www.philgeps.gov.ph/GEPSNONPILOT/Tender/SplashBidNoticeAbstractUI.aspx?menuIndex=3&amp;refID=7189366&amp;Result=3","7189366")</f>
        <v>0</v>
      </c>
      <c r="B5028" t="s">
        <v>1787</v>
      </c>
      <c r="C5028" t="s">
        <v>8342</v>
      </c>
      <c r="D5028" t="s">
        <v>17170</v>
      </c>
      <c r="E5028" t="s">
        <v>21595</v>
      </c>
      <c r="F5028" t="s">
        <v>29372</v>
      </c>
      <c r="G5028" t="s">
        <v>29379</v>
      </c>
      <c r="H5028" t="s">
        <v>11048</v>
      </c>
      <c r="I5028" t="s">
        <v>29395</v>
      </c>
      <c r="J5028" t="s">
        <v>32797</v>
      </c>
      <c r="K5028" t="s">
        <v>38490</v>
      </c>
      <c r="M5028" t="s">
        <v>40657</v>
      </c>
      <c r="N5028" t="s">
        <v>42669</v>
      </c>
      <c r="O5028" t="s">
        <v>42670</v>
      </c>
      <c r="P5028">
        <v>0</v>
      </c>
      <c r="Q5028">
        <v>0</v>
      </c>
      <c r="R5028" t="s">
        <v>42676</v>
      </c>
      <c r="S5028" t="s">
        <v>42809</v>
      </c>
      <c r="T5028" t="s">
        <v>44389</v>
      </c>
      <c r="U5028" t="s">
        <v>48931</v>
      </c>
      <c r="W5028" t="s">
        <v>40657</v>
      </c>
      <c r="X5028" t="s">
        <v>42677</v>
      </c>
    </row>
    <row r="5029" spans="1:24">
      <c r="A5029">
        <f>HYPERLINK("https://www.philgeps.gov.ph/GEPSNONPILOT/Tender/SplashBidNoticeAbstractUI.aspx?menuIndex=3&amp;refID=7189354&amp;Result=3","7189354")</f>
        <v>0</v>
      </c>
      <c r="B5029" t="s">
        <v>838</v>
      </c>
      <c r="C5029" t="s">
        <v>8343</v>
      </c>
      <c r="D5029" t="s">
        <v>17193</v>
      </c>
      <c r="E5029" t="s">
        <v>21596</v>
      </c>
      <c r="F5029" t="s">
        <v>29372</v>
      </c>
      <c r="G5029" t="s">
        <v>29379</v>
      </c>
      <c r="H5029" t="s">
        <v>29389</v>
      </c>
      <c r="I5029" t="s">
        <v>10408</v>
      </c>
      <c r="J5029" t="s">
        <v>29543</v>
      </c>
      <c r="K5029" t="s">
        <v>38645</v>
      </c>
      <c r="M5029" t="s">
        <v>40639</v>
      </c>
      <c r="N5029" t="s">
        <v>42669</v>
      </c>
      <c r="O5029" t="s">
        <v>42670</v>
      </c>
      <c r="P5029">
        <v>0</v>
      </c>
      <c r="Q5029">
        <v>0</v>
      </c>
      <c r="R5029" t="s">
        <v>42676</v>
      </c>
      <c r="S5029" t="s">
        <v>42809</v>
      </c>
      <c r="T5029" t="s">
        <v>44580</v>
      </c>
      <c r="U5029" t="s">
        <v>48888</v>
      </c>
      <c r="W5029" t="s">
        <v>58058</v>
      </c>
      <c r="X5029" t="s">
        <v>42677</v>
      </c>
    </row>
    <row r="5030" spans="1:24">
      <c r="A5030">
        <f>HYPERLINK("https://www.philgeps.gov.ph/GEPSNONPILOT/Tender/SplashBidNoticeAbstractUI.aspx?menuIndex=3&amp;refID=7189364&amp;Result=3","7189364")</f>
        <v>0</v>
      </c>
      <c r="B5030" t="s">
        <v>1772</v>
      </c>
      <c r="C5030" t="s">
        <v>8344</v>
      </c>
      <c r="D5030" t="s">
        <v>17180</v>
      </c>
      <c r="E5030" t="s">
        <v>21597</v>
      </c>
      <c r="F5030" t="s">
        <v>29372</v>
      </c>
      <c r="G5030" t="s">
        <v>29379</v>
      </c>
      <c r="H5030" t="s">
        <v>11048</v>
      </c>
      <c r="I5030" t="s">
        <v>3839</v>
      </c>
      <c r="J5030" t="s">
        <v>31854</v>
      </c>
      <c r="K5030" t="s">
        <v>38485</v>
      </c>
      <c r="M5030" t="s">
        <v>40640</v>
      </c>
      <c r="N5030" t="s">
        <v>42669</v>
      </c>
      <c r="O5030" t="s">
        <v>42670</v>
      </c>
      <c r="P5030">
        <v>0</v>
      </c>
      <c r="Q5030">
        <v>3</v>
      </c>
      <c r="R5030" t="s">
        <v>42676</v>
      </c>
      <c r="S5030" t="s">
        <v>42809</v>
      </c>
      <c r="T5030" t="s">
        <v>44653</v>
      </c>
      <c r="U5030" t="s">
        <v>48889</v>
      </c>
      <c r="W5030" t="s">
        <v>40640</v>
      </c>
      <c r="X5030" t="s">
        <v>42677</v>
      </c>
    </row>
    <row r="5031" spans="1:24">
      <c r="A5031">
        <f>HYPERLINK("https://www.philgeps.gov.ph/GEPSNONPILOT/Tender/SplashBidNoticeAbstractUI.aspx?menuIndex=3&amp;refID=7189347&amp;Result=3","7189347")</f>
        <v>0</v>
      </c>
      <c r="B5031" t="s">
        <v>453</v>
      </c>
      <c r="C5031" t="s">
        <v>8345</v>
      </c>
      <c r="D5031" t="s">
        <v>17173</v>
      </c>
      <c r="E5031" t="s">
        <v>21598</v>
      </c>
      <c r="F5031" t="s">
        <v>29372</v>
      </c>
      <c r="G5031" t="s">
        <v>29379</v>
      </c>
      <c r="H5031" t="s">
        <v>11048</v>
      </c>
      <c r="I5031" t="s">
        <v>4709</v>
      </c>
      <c r="J5031" t="s">
        <v>32798</v>
      </c>
      <c r="K5031" t="s">
        <v>38488</v>
      </c>
      <c r="M5031" t="s">
        <v>39217</v>
      </c>
      <c r="N5031" t="s">
        <v>42669</v>
      </c>
      <c r="O5031" t="s">
        <v>42670</v>
      </c>
      <c r="P5031">
        <v>0</v>
      </c>
      <c r="Q5031">
        <v>0</v>
      </c>
      <c r="R5031" t="s">
        <v>42676</v>
      </c>
      <c r="S5031" t="s">
        <v>42809</v>
      </c>
      <c r="T5031" t="s">
        <v>44493</v>
      </c>
      <c r="U5031" t="s">
        <v>48932</v>
      </c>
      <c r="W5031" t="s">
        <v>39217</v>
      </c>
      <c r="X5031" t="s">
        <v>42677</v>
      </c>
    </row>
    <row r="5032" spans="1:24">
      <c r="A5032">
        <f>HYPERLINK("https://www.philgeps.gov.ph/GEPSNONPILOT/Tender/SplashBidNoticeAbstractUI.aspx?menuIndex=3&amp;refID=7189360&amp;Result=3","7189360")</f>
        <v>0</v>
      </c>
      <c r="B5032" t="s">
        <v>1750</v>
      </c>
      <c r="C5032" t="s">
        <v>8346</v>
      </c>
      <c r="D5032" t="s">
        <v>17143</v>
      </c>
      <c r="E5032" t="s">
        <v>21599</v>
      </c>
      <c r="F5032" t="s">
        <v>29372</v>
      </c>
      <c r="G5032" t="s">
        <v>29380</v>
      </c>
      <c r="H5032" t="s">
        <v>11048</v>
      </c>
      <c r="I5032" t="s">
        <v>29407</v>
      </c>
      <c r="J5032" t="s">
        <v>32799</v>
      </c>
      <c r="K5032" t="s">
        <v>38485</v>
      </c>
      <c r="M5032" t="s">
        <v>40615</v>
      </c>
      <c r="N5032" t="s">
        <v>42669</v>
      </c>
      <c r="O5032" t="s">
        <v>42670</v>
      </c>
      <c r="P5032">
        <v>0</v>
      </c>
      <c r="Q5032">
        <v>2</v>
      </c>
      <c r="R5032" t="s">
        <v>42676</v>
      </c>
      <c r="S5032" t="s">
        <v>42809</v>
      </c>
      <c r="T5032" t="s">
        <v>44679</v>
      </c>
      <c r="U5032" t="s">
        <v>48560</v>
      </c>
      <c r="W5032" t="s">
        <v>40615</v>
      </c>
      <c r="X5032" t="s">
        <v>42677</v>
      </c>
    </row>
    <row r="5033" spans="1:24">
      <c r="A5033">
        <f>HYPERLINK("https://www.philgeps.gov.ph/GEPSNONPILOT/Tender/SplashBidNoticeAbstractUI.aspx?menuIndex=3&amp;refID=7189369&amp;Result=3","7189369")</f>
        <v>0</v>
      </c>
      <c r="B5033" t="s">
        <v>1774</v>
      </c>
      <c r="C5033" t="s">
        <v>8347</v>
      </c>
      <c r="D5033" t="s">
        <v>17179</v>
      </c>
      <c r="E5033" t="s">
        <v>21600</v>
      </c>
      <c r="F5033" t="s">
        <v>29372</v>
      </c>
      <c r="G5033" t="s">
        <v>29380</v>
      </c>
      <c r="H5033" t="s">
        <v>11048</v>
      </c>
      <c r="I5033" t="s">
        <v>3839</v>
      </c>
      <c r="J5033" t="s">
        <v>32800</v>
      </c>
      <c r="K5033" t="s">
        <v>38485</v>
      </c>
      <c r="M5033" t="s">
        <v>40642</v>
      </c>
      <c r="N5033" t="s">
        <v>42669</v>
      </c>
      <c r="O5033" t="s">
        <v>42670</v>
      </c>
      <c r="P5033">
        <v>0</v>
      </c>
      <c r="Q5033">
        <v>5</v>
      </c>
      <c r="R5033" t="s">
        <v>42676</v>
      </c>
      <c r="S5033" t="s">
        <v>42809</v>
      </c>
      <c r="T5033" t="s">
        <v>44366</v>
      </c>
      <c r="U5033" t="s">
        <v>48891</v>
      </c>
      <c r="W5033" t="s">
        <v>40642</v>
      </c>
      <c r="X5033" t="s">
        <v>42677</v>
      </c>
    </row>
    <row r="5034" spans="1:24">
      <c r="A5034">
        <f>HYPERLINK("https://www.philgeps.gov.ph/GEPSNONPILOT/Tender/SplashBidNoticeAbstractUI.aspx?menuIndex=3&amp;refID=7189359&amp;Result=3","7189359")</f>
        <v>0</v>
      </c>
      <c r="B5034" t="s">
        <v>1775</v>
      </c>
      <c r="C5034" t="s">
        <v>8348</v>
      </c>
      <c r="D5034" t="s">
        <v>17204</v>
      </c>
      <c r="E5034" t="s">
        <v>21601</v>
      </c>
      <c r="F5034" t="s">
        <v>29372</v>
      </c>
      <c r="G5034" t="s">
        <v>29383</v>
      </c>
      <c r="H5034" t="s">
        <v>11048</v>
      </c>
      <c r="I5034" t="s">
        <v>29395</v>
      </c>
      <c r="J5034" t="s">
        <v>32801</v>
      </c>
      <c r="K5034" t="s">
        <v>38489</v>
      </c>
      <c r="M5034" t="s">
        <v>40643</v>
      </c>
      <c r="N5034" t="s">
        <v>42669</v>
      </c>
      <c r="O5034" t="s">
        <v>42670</v>
      </c>
      <c r="P5034">
        <v>0</v>
      </c>
      <c r="Q5034">
        <v>0</v>
      </c>
      <c r="R5034" t="s">
        <v>42676</v>
      </c>
      <c r="S5034" t="s">
        <v>42809</v>
      </c>
      <c r="T5034" t="s">
        <v>44425</v>
      </c>
      <c r="U5034" t="s">
        <v>48933</v>
      </c>
      <c r="W5034" t="s">
        <v>40643</v>
      </c>
      <c r="X5034" t="s">
        <v>42677</v>
      </c>
    </row>
    <row r="5035" spans="1:24">
      <c r="A5035">
        <f>HYPERLINK("https://www.philgeps.gov.ph/GEPSNONPILOT/Tender/SplashBidNoticeAbstractUI.aspx?menuIndex=3&amp;refID=7189396&amp;Result=3","7189396")</f>
        <v>0</v>
      </c>
      <c r="B5035" t="s">
        <v>1788</v>
      </c>
      <c r="C5035" t="s">
        <v>8349</v>
      </c>
      <c r="D5035" t="s">
        <v>17204</v>
      </c>
      <c r="E5035" t="s">
        <v>21602</v>
      </c>
      <c r="F5035" t="s">
        <v>29372</v>
      </c>
      <c r="G5035" t="s">
        <v>29380</v>
      </c>
      <c r="H5035" t="s">
        <v>11048</v>
      </c>
      <c r="I5035" t="s">
        <v>4709</v>
      </c>
      <c r="J5035" t="s">
        <v>32802</v>
      </c>
      <c r="K5035" t="s">
        <v>38485</v>
      </c>
      <c r="M5035" t="s">
        <v>40658</v>
      </c>
      <c r="N5035" t="s">
        <v>42669</v>
      </c>
      <c r="O5035" t="s">
        <v>42670</v>
      </c>
      <c r="P5035">
        <v>0</v>
      </c>
      <c r="Q5035">
        <v>1</v>
      </c>
      <c r="R5035" t="s">
        <v>42676</v>
      </c>
      <c r="S5035" t="s">
        <v>42809</v>
      </c>
      <c r="T5035" t="s">
        <v>44468</v>
      </c>
      <c r="U5035" t="s">
        <v>48934</v>
      </c>
      <c r="W5035" t="s">
        <v>40658</v>
      </c>
      <c r="X5035" t="s">
        <v>42677</v>
      </c>
    </row>
    <row r="5036" spans="1:24">
      <c r="A5036">
        <f>HYPERLINK("https://www.philgeps.gov.ph/GEPSNONPILOT/Tender/SplashBidNoticeAbstractUI.aspx?menuIndex=3&amp;refID=7189395&amp;Result=3","7189395")</f>
        <v>0</v>
      </c>
      <c r="B5036" t="s">
        <v>1789</v>
      </c>
      <c r="C5036" t="s">
        <v>8350</v>
      </c>
      <c r="D5036" t="s">
        <v>17183</v>
      </c>
      <c r="E5036" t="s">
        <v>21603</v>
      </c>
      <c r="F5036" t="s">
        <v>29372</v>
      </c>
      <c r="G5036" t="s">
        <v>29380</v>
      </c>
      <c r="H5036" t="s">
        <v>11048</v>
      </c>
      <c r="I5036" t="s">
        <v>3670</v>
      </c>
      <c r="J5036" t="s">
        <v>30764</v>
      </c>
      <c r="K5036" t="s">
        <v>38488</v>
      </c>
      <c r="M5036" t="s">
        <v>40659</v>
      </c>
      <c r="N5036" t="s">
        <v>42669</v>
      </c>
      <c r="O5036" t="s">
        <v>42670</v>
      </c>
      <c r="P5036">
        <v>0</v>
      </c>
      <c r="Q5036">
        <v>5</v>
      </c>
      <c r="R5036" t="s">
        <v>42676</v>
      </c>
      <c r="S5036" t="s">
        <v>42809</v>
      </c>
      <c r="T5036" t="s">
        <v>44371</v>
      </c>
      <c r="U5036" t="s">
        <v>48935</v>
      </c>
      <c r="W5036" t="s">
        <v>40659</v>
      </c>
      <c r="X5036" t="s">
        <v>42677</v>
      </c>
    </row>
    <row r="5037" spans="1:24">
      <c r="A5037">
        <f>HYPERLINK("https://www.philgeps.gov.ph/GEPSNONPILOT/Tender/SplashBidNoticeAbstractUI.aspx?menuIndex=3&amp;refID=7189394&amp;Result=3","7189394")</f>
        <v>0</v>
      </c>
      <c r="B5037" t="s">
        <v>453</v>
      </c>
      <c r="C5037" t="s">
        <v>4640</v>
      </c>
      <c r="D5037" t="s">
        <v>17173</v>
      </c>
      <c r="E5037" t="s">
        <v>21604</v>
      </c>
      <c r="F5037" t="s">
        <v>29372</v>
      </c>
      <c r="G5037" t="s">
        <v>29380</v>
      </c>
      <c r="H5037" t="s">
        <v>11048</v>
      </c>
      <c r="I5037" t="s">
        <v>3695</v>
      </c>
      <c r="J5037" t="s">
        <v>32803</v>
      </c>
      <c r="K5037" t="s">
        <v>38485</v>
      </c>
      <c r="M5037" t="s">
        <v>39217</v>
      </c>
      <c r="N5037" t="s">
        <v>42669</v>
      </c>
      <c r="O5037" t="s">
        <v>42670</v>
      </c>
      <c r="P5037">
        <v>0</v>
      </c>
      <c r="Q5037">
        <v>2</v>
      </c>
      <c r="R5037" t="s">
        <v>42676</v>
      </c>
      <c r="S5037" t="s">
        <v>42809</v>
      </c>
      <c r="T5037" t="s">
        <v>44544</v>
      </c>
      <c r="U5037" t="s">
        <v>48936</v>
      </c>
      <c r="W5037" t="s">
        <v>39217</v>
      </c>
      <c r="X5037" t="s">
        <v>42677</v>
      </c>
    </row>
    <row r="5038" spans="1:24">
      <c r="A5038">
        <f>HYPERLINK("https://www.philgeps.gov.ph/GEPSNONPILOT/Tender/SplashBidNoticeAbstractUI.aspx?menuIndex=3&amp;refID=7189392&amp;Result=3","7189392")</f>
        <v>0</v>
      </c>
      <c r="B5038" t="s">
        <v>1088</v>
      </c>
      <c r="C5038" t="s">
        <v>8351</v>
      </c>
      <c r="E5038" t="s">
        <v>21605</v>
      </c>
      <c r="F5038" t="s">
        <v>29372</v>
      </c>
      <c r="G5038" t="s">
        <v>29380</v>
      </c>
      <c r="H5038" t="s">
        <v>11048</v>
      </c>
      <c r="I5038" t="s">
        <v>9469</v>
      </c>
      <c r="J5038" t="s">
        <v>30811</v>
      </c>
      <c r="K5038" t="s">
        <v>38485</v>
      </c>
      <c r="M5038" t="s">
        <v>40660</v>
      </c>
      <c r="N5038" t="s">
        <v>42669</v>
      </c>
      <c r="O5038" t="s">
        <v>42670</v>
      </c>
      <c r="P5038">
        <v>0</v>
      </c>
      <c r="Q5038">
        <v>6</v>
      </c>
      <c r="R5038" t="s">
        <v>42676</v>
      </c>
      <c r="S5038" t="s">
        <v>42809</v>
      </c>
      <c r="T5038" t="s">
        <v>44668</v>
      </c>
      <c r="U5038" t="s">
        <v>48937</v>
      </c>
      <c r="W5038" t="s">
        <v>41517</v>
      </c>
      <c r="X5038" t="s">
        <v>42677</v>
      </c>
    </row>
    <row r="5039" spans="1:24">
      <c r="A5039">
        <f>HYPERLINK("https://www.philgeps.gov.ph/GEPSNONPILOT/Tender/SplashBidNoticeAbstractUI.aspx?menuIndex=3&amp;refID=7189390&amp;Result=3","7189390")</f>
        <v>0</v>
      </c>
      <c r="B5039" t="s">
        <v>1790</v>
      </c>
      <c r="C5039" t="s">
        <v>8352</v>
      </c>
      <c r="D5039" t="s">
        <v>17172</v>
      </c>
      <c r="E5039" t="s">
        <v>21606</v>
      </c>
      <c r="F5039" t="s">
        <v>29372</v>
      </c>
      <c r="G5039" t="s">
        <v>29380</v>
      </c>
      <c r="H5039" t="s">
        <v>11048</v>
      </c>
      <c r="I5039" t="s">
        <v>4709</v>
      </c>
      <c r="J5039" t="s">
        <v>32804</v>
      </c>
      <c r="K5039" t="s">
        <v>38491</v>
      </c>
      <c r="M5039" t="s">
        <v>40661</v>
      </c>
      <c r="N5039" t="s">
        <v>42669</v>
      </c>
      <c r="O5039" t="s">
        <v>42670</v>
      </c>
      <c r="P5039">
        <v>0</v>
      </c>
      <c r="Q5039">
        <v>1</v>
      </c>
      <c r="R5039" t="s">
        <v>42676</v>
      </c>
      <c r="S5039" t="s">
        <v>42809</v>
      </c>
      <c r="T5039" t="s">
        <v>44448</v>
      </c>
      <c r="U5039" t="s">
        <v>48938</v>
      </c>
      <c r="W5039" t="s">
        <v>40661</v>
      </c>
      <c r="X5039" t="s">
        <v>42677</v>
      </c>
    </row>
    <row r="5040" spans="1:24">
      <c r="A5040">
        <f>HYPERLINK("https://www.philgeps.gov.ph/GEPSNONPILOT/Tender/SplashBidNoticeAbstractUI.aspx?menuIndex=3&amp;refID=7189387&amp;Result=3","7189387")</f>
        <v>0</v>
      </c>
      <c r="B5040" t="s">
        <v>465</v>
      </c>
      <c r="C5040" t="s">
        <v>8353</v>
      </c>
      <c r="D5040" t="s">
        <v>17168</v>
      </c>
      <c r="E5040" t="s">
        <v>21607</v>
      </c>
      <c r="F5040" t="s">
        <v>29372</v>
      </c>
      <c r="G5040" t="s">
        <v>29380</v>
      </c>
      <c r="H5040" t="s">
        <v>29389</v>
      </c>
      <c r="I5040" t="s">
        <v>10408</v>
      </c>
      <c r="J5040" t="s">
        <v>32805</v>
      </c>
      <c r="K5040" t="s">
        <v>38490</v>
      </c>
      <c r="M5040" t="s">
        <v>39229</v>
      </c>
      <c r="N5040" t="s">
        <v>42669</v>
      </c>
      <c r="O5040" t="s">
        <v>42670</v>
      </c>
      <c r="P5040">
        <v>0</v>
      </c>
      <c r="Q5040">
        <v>1</v>
      </c>
      <c r="R5040" t="s">
        <v>42676</v>
      </c>
      <c r="S5040" t="s">
        <v>42809</v>
      </c>
      <c r="T5040" t="s">
        <v>44542</v>
      </c>
      <c r="U5040" t="s">
        <v>48939</v>
      </c>
      <c r="W5040" t="s">
        <v>39229</v>
      </c>
      <c r="X5040" t="s">
        <v>42677</v>
      </c>
    </row>
    <row r="5041" spans="1:24">
      <c r="A5041">
        <f>HYPERLINK("https://www.philgeps.gov.ph/GEPSNONPILOT/Tender/SplashBidNoticeAbstractUI.aspx?menuIndex=3&amp;refID=7189386&amp;Result=3","7189386")</f>
        <v>0</v>
      </c>
      <c r="B5041" t="s">
        <v>339</v>
      </c>
      <c r="C5041" t="s">
        <v>8354</v>
      </c>
      <c r="D5041" t="s">
        <v>17156</v>
      </c>
      <c r="E5041" t="s">
        <v>8354</v>
      </c>
      <c r="F5041" t="s">
        <v>29372</v>
      </c>
      <c r="G5041" t="s">
        <v>29380</v>
      </c>
      <c r="H5041" t="s">
        <v>11048</v>
      </c>
      <c r="I5041" t="s">
        <v>29452</v>
      </c>
      <c r="J5041" t="s">
        <v>32806</v>
      </c>
      <c r="K5041" t="s">
        <v>38485</v>
      </c>
      <c r="M5041" t="s">
        <v>39651</v>
      </c>
      <c r="N5041" t="s">
        <v>42669</v>
      </c>
      <c r="O5041" t="s">
        <v>42670</v>
      </c>
      <c r="P5041">
        <v>0</v>
      </c>
      <c r="Q5041">
        <v>1</v>
      </c>
      <c r="R5041" t="s">
        <v>42676</v>
      </c>
      <c r="S5041" t="s">
        <v>42809</v>
      </c>
      <c r="T5041" t="s">
        <v>44684</v>
      </c>
      <c r="U5041" t="s">
        <v>48940</v>
      </c>
      <c r="W5041" t="s">
        <v>39651</v>
      </c>
      <c r="X5041" t="s">
        <v>42677</v>
      </c>
    </row>
    <row r="5042" spans="1:24">
      <c r="A5042">
        <f>HYPERLINK("https://www.philgeps.gov.ph/GEPSNONPILOT/Tender/SplashBidNoticeAbstractUI.aspx?menuIndex=3&amp;refID=7189385&amp;Result=3","7189385")</f>
        <v>0</v>
      </c>
      <c r="B5042" t="s">
        <v>1522</v>
      </c>
      <c r="C5042" t="s">
        <v>8355</v>
      </c>
      <c r="D5042" t="s">
        <v>17174</v>
      </c>
      <c r="E5042" t="s">
        <v>21608</v>
      </c>
      <c r="F5042" t="s">
        <v>29372</v>
      </c>
      <c r="G5042" t="s">
        <v>29380</v>
      </c>
      <c r="H5042" t="s">
        <v>29390</v>
      </c>
      <c r="I5042" t="s">
        <v>29396</v>
      </c>
      <c r="J5042" t="s">
        <v>30046</v>
      </c>
      <c r="K5042" t="s">
        <v>38510</v>
      </c>
      <c r="M5042" t="s">
        <v>40369</v>
      </c>
      <c r="N5042" t="s">
        <v>42669</v>
      </c>
      <c r="O5042" t="s">
        <v>42670</v>
      </c>
      <c r="P5042">
        <v>0</v>
      </c>
      <c r="Q5042">
        <v>0</v>
      </c>
      <c r="R5042" t="s">
        <v>42676</v>
      </c>
      <c r="S5042" t="s">
        <v>42809</v>
      </c>
      <c r="T5042" t="s">
        <v>44375</v>
      </c>
      <c r="U5042" t="s">
        <v>48941</v>
      </c>
      <c r="W5042" t="s">
        <v>40369</v>
      </c>
      <c r="X5042" t="s">
        <v>42677</v>
      </c>
    </row>
    <row r="5043" spans="1:24">
      <c r="A5043">
        <f>HYPERLINK("https://www.philgeps.gov.ph/GEPSNONPILOT/Tender/SplashBidNoticeAbstractUI.aspx?menuIndex=3&amp;refID=7189384&amp;Result=3","7189384")</f>
        <v>0</v>
      </c>
      <c r="B5043" t="s">
        <v>838</v>
      </c>
      <c r="C5043" t="s">
        <v>8356</v>
      </c>
      <c r="D5043" t="s">
        <v>17193</v>
      </c>
      <c r="E5043" t="s">
        <v>21609</v>
      </c>
      <c r="F5043" t="s">
        <v>29372</v>
      </c>
      <c r="G5043" t="s">
        <v>29379</v>
      </c>
      <c r="H5043" t="s">
        <v>29389</v>
      </c>
      <c r="I5043" t="s">
        <v>10408</v>
      </c>
      <c r="J5043" t="s">
        <v>29543</v>
      </c>
      <c r="K5043" t="s">
        <v>38541</v>
      </c>
      <c r="M5043" t="s">
        <v>40639</v>
      </c>
      <c r="N5043" t="s">
        <v>42669</v>
      </c>
      <c r="O5043" t="s">
        <v>42670</v>
      </c>
      <c r="P5043">
        <v>0</v>
      </c>
      <c r="Q5043">
        <v>0</v>
      </c>
      <c r="R5043" t="s">
        <v>42676</v>
      </c>
      <c r="S5043" t="s">
        <v>42809</v>
      </c>
      <c r="T5043" t="s">
        <v>44580</v>
      </c>
      <c r="U5043" t="s">
        <v>48888</v>
      </c>
      <c r="W5043" t="s">
        <v>58058</v>
      </c>
      <c r="X5043" t="s">
        <v>42677</v>
      </c>
    </row>
    <row r="5044" spans="1:24">
      <c r="A5044">
        <f>HYPERLINK("https://www.philgeps.gov.ph/GEPSNONPILOT/Tender/SplashBidNoticeAbstractUI.aspx?menuIndex=3&amp;refID=7189382&amp;Result=3","7189382")</f>
        <v>0</v>
      </c>
      <c r="B5044" t="s">
        <v>1002</v>
      </c>
      <c r="C5044" t="s">
        <v>8357</v>
      </c>
      <c r="D5044" t="s">
        <v>17165</v>
      </c>
      <c r="E5044" t="s">
        <v>21610</v>
      </c>
      <c r="F5044" t="s">
        <v>29372</v>
      </c>
      <c r="G5044" t="s">
        <v>29380</v>
      </c>
      <c r="H5044" t="s">
        <v>29389</v>
      </c>
      <c r="I5044" t="s">
        <v>10408</v>
      </c>
      <c r="J5044" t="s">
        <v>32807</v>
      </c>
      <c r="K5044" t="s">
        <v>38523</v>
      </c>
      <c r="M5044" t="s">
        <v>39802</v>
      </c>
      <c r="N5044" t="s">
        <v>42669</v>
      </c>
      <c r="O5044" t="s">
        <v>42670</v>
      </c>
      <c r="P5044">
        <v>0</v>
      </c>
      <c r="Q5044">
        <v>1</v>
      </c>
      <c r="R5044" t="s">
        <v>42676</v>
      </c>
      <c r="S5044" t="s">
        <v>42809</v>
      </c>
      <c r="T5044" t="s">
        <v>44368</v>
      </c>
      <c r="U5044" t="s">
        <v>48942</v>
      </c>
      <c r="W5044" t="s">
        <v>39802</v>
      </c>
      <c r="X5044" t="s">
        <v>42677</v>
      </c>
    </row>
    <row r="5045" spans="1:24">
      <c r="A5045">
        <f>HYPERLINK("https://www.philgeps.gov.ph/GEPSNONPILOT/Tender/SplashBidNoticeAbstractUI.aspx?menuIndex=3&amp;refID=7189397&amp;Result=3","7189397")</f>
        <v>0</v>
      </c>
      <c r="B5045" t="s">
        <v>1791</v>
      </c>
      <c r="C5045" t="s">
        <v>8358</v>
      </c>
      <c r="D5045" t="s">
        <v>17202</v>
      </c>
      <c r="E5045" t="s">
        <v>21187</v>
      </c>
      <c r="F5045" t="s">
        <v>29372</v>
      </c>
      <c r="G5045" t="s">
        <v>29380</v>
      </c>
      <c r="H5045" t="s">
        <v>29389</v>
      </c>
      <c r="I5045" t="s">
        <v>29417</v>
      </c>
      <c r="J5045" t="s">
        <v>32808</v>
      </c>
      <c r="K5045" t="s">
        <v>38485</v>
      </c>
      <c r="M5045" t="s">
        <v>40662</v>
      </c>
      <c r="N5045" t="s">
        <v>42669</v>
      </c>
      <c r="O5045" t="s">
        <v>42670</v>
      </c>
      <c r="P5045">
        <v>0</v>
      </c>
      <c r="Q5045">
        <v>1</v>
      </c>
      <c r="R5045" t="s">
        <v>42676</v>
      </c>
      <c r="S5045" t="s">
        <v>42809</v>
      </c>
      <c r="T5045" t="s">
        <v>44527</v>
      </c>
      <c r="U5045" t="s">
        <v>48943</v>
      </c>
      <c r="W5045" t="s">
        <v>40662</v>
      </c>
      <c r="X5045" t="s">
        <v>42677</v>
      </c>
    </row>
    <row r="5046" spans="1:24">
      <c r="A5046">
        <f>HYPERLINK("https://www.philgeps.gov.ph/GEPSNONPILOT/Tender/SplashBidNoticeAbstractUI.aspx?menuIndex=3&amp;refID=7189421&amp;Result=3","7189421")</f>
        <v>0</v>
      </c>
      <c r="B5046" t="s">
        <v>1774</v>
      </c>
      <c r="C5046" t="s">
        <v>8359</v>
      </c>
      <c r="D5046" t="s">
        <v>17179</v>
      </c>
      <c r="E5046" t="s">
        <v>21611</v>
      </c>
      <c r="F5046" t="s">
        <v>29372</v>
      </c>
      <c r="G5046" t="s">
        <v>29380</v>
      </c>
      <c r="H5046" t="s">
        <v>11048</v>
      </c>
      <c r="I5046" t="s">
        <v>5383</v>
      </c>
      <c r="J5046" t="s">
        <v>32809</v>
      </c>
      <c r="K5046" t="s">
        <v>38485</v>
      </c>
      <c r="M5046" t="s">
        <v>40642</v>
      </c>
      <c r="N5046" t="s">
        <v>42669</v>
      </c>
      <c r="O5046" t="s">
        <v>42670</v>
      </c>
      <c r="P5046">
        <v>0</v>
      </c>
      <c r="Q5046">
        <v>3</v>
      </c>
      <c r="R5046" t="s">
        <v>42676</v>
      </c>
      <c r="S5046" t="s">
        <v>42809</v>
      </c>
      <c r="T5046" t="s">
        <v>44366</v>
      </c>
      <c r="U5046" t="s">
        <v>48891</v>
      </c>
      <c r="W5046" t="s">
        <v>40642</v>
      </c>
      <c r="X5046" t="s">
        <v>42677</v>
      </c>
    </row>
    <row r="5047" spans="1:24">
      <c r="A5047">
        <f>HYPERLINK("https://www.philgeps.gov.ph/GEPSNONPILOT/Tender/SplashBidNoticeAbstractUI.aspx?menuIndex=3&amp;refID=7189403&amp;Result=3","7189403")</f>
        <v>0</v>
      </c>
      <c r="B5047" t="s">
        <v>1775</v>
      </c>
      <c r="C5047" t="s">
        <v>8360</v>
      </c>
      <c r="D5047" t="s">
        <v>17204</v>
      </c>
      <c r="E5047" t="s">
        <v>21612</v>
      </c>
      <c r="F5047" t="s">
        <v>29372</v>
      </c>
      <c r="G5047" t="s">
        <v>29383</v>
      </c>
      <c r="H5047" t="s">
        <v>11048</v>
      </c>
      <c r="I5047" t="s">
        <v>29395</v>
      </c>
      <c r="J5047" t="s">
        <v>32810</v>
      </c>
      <c r="K5047" t="s">
        <v>38489</v>
      </c>
      <c r="M5047" t="s">
        <v>40643</v>
      </c>
      <c r="N5047" t="s">
        <v>42669</v>
      </c>
      <c r="O5047" t="s">
        <v>42670</v>
      </c>
      <c r="P5047">
        <v>0</v>
      </c>
      <c r="Q5047">
        <v>0</v>
      </c>
      <c r="R5047" t="s">
        <v>42676</v>
      </c>
      <c r="S5047" t="s">
        <v>42809</v>
      </c>
      <c r="T5047" t="s">
        <v>44425</v>
      </c>
      <c r="U5047" t="s">
        <v>48944</v>
      </c>
      <c r="W5047" t="s">
        <v>40643</v>
      </c>
      <c r="X5047" t="s">
        <v>42677</v>
      </c>
    </row>
    <row r="5048" spans="1:24">
      <c r="A5048">
        <f>HYPERLINK("https://www.philgeps.gov.ph/GEPSNONPILOT/Tender/SplashBidNoticeAbstractUI.aspx?menuIndex=3&amp;refID=7189438&amp;Result=3","7189438")</f>
        <v>0</v>
      </c>
      <c r="B5048" t="s">
        <v>922</v>
      </c>
      <c r="C5048" t="s">
        <v>8361</v>
      </c>
      <c r="D5048" t="s">
        <v>17144</v>
      </c>
      <c r="E5048" t="s">
        <v>21613</v>
      </c>
      <c r="F5048" t="s">
        <v>29372</v>
      </c>
      <c r="G5048" t="s">
        <v>29379</v>
      </c>
      <c r="H5048" t="s">
        <v>11048</v>
      </c>
      <c r="I5048" t="s">
        <v>9642</v>
      </c>
      <c r="J5048" t="s">
        <v>32811</v>
      </c>
      <c r="K5048" t="s">
        <v>38491</v>
      </c>
      <c r="M5048" t="s">
        <v>39717</v>
      </c>
      <c r="N5048" t="s">
        <v>42669</v>
      </c>
      <c r="O5048" t="s">
        <v>42670</v>
      </c>
      <c r="P5048">
        <v>0</v>
      </c>
      <c r="Q5048">
        <v>3</v>
      </c>
      <c r="R5048" t="s">
        <v>42676</v>
      </c>
      <c r="S5048" t="s">
        <v>42809</v>
      </c>
      <c r="T5048" t="s">
        <v>44496</v>
      </c>
      <c r="U5048" t="s">
        <v>48945</v>
      </c>
      <c r="W5048" t="s">
        <v>39717</v>
      </c>
      <c r="X5048" t="s">
        <v>42677</v>
      </c>
    </row>
    <row r="5049" spans="1:24">
      <c r="A5049">
        <f>HYPERLINK("https://www.philgeps.gov.ph/GEPSNONPILOT/Tender/SplashBidNoticeAbstractUI.aspx?menuIndex=3&amp;refID=7189436&amp;Result=3","7189436")</f>
        <v>0</v>
      </c>
      <c r="B5049" t="s">
        <v>836</v>
      </c>
      <c r="C5049" t="s">
        <v>8362</v>
      </c>
      <c r="D5049" t="s">
        <v>17160</v>
      </c>
      <c r="E5049" t="s">
        <v>21614</v>
      </c>
      <c r="F5049" t="s">
        <v>29372</v>
      </c>
      <c r="G5049" t="s">
        <v>29379</v>
      </c>
      <c r="H5049" t="s">
        <v>11048</v>
      </c>
      <c r="I5049" t="s">
        <v>29403</v>
      </c>
      <c r="J5049" t="s">
        <v>32812</v>
      </c>
      <c r="K5049" t="s">
        <v>38489</v>
      </c>
      <c r="M5049" t="s">
        <v>39625</v>
      </c>
      <c r="N5049" t="s">
        <v>42669</v>
      </c>
      <c r="O5049" t="s">
        <v>42670</v>
      </c>
      <c r="P5049">
        <v>0</v>
      </c>
      <c r="Q5049">
        <v>1</v>
      </c>
      <c r="R5049" t="s">
        <v>42676</v>
      </c>
      <c r="S5049" t="s">
        <v>42809</v>
      </c>
      <c r="T5049" t="s">
        <v>44548</v>
      </c>
      <c r="U5049" t="s">
        <v>48946</v>
      </c>
      <c r="W5049" t="s">
        <v>39625</v>
      </c>
      <c r="X5049" t="s">
        <v>42677</v>
      </c>
    </row>
    <row r="5050" spans="1:24">
      <c r="A5050">
        <f>HYPERLINK("https://www.philgeps.gov.ph/GEPSNONPILOT/Tender/SplashBidNoticeAbstractUI.aspx?menuIndex=3&amp;refID=7189348&amp;Result=3","7189348")</f>
        <v>0</v>
      </c>
      <c r="B5050" t="s">
        <v>1763</v>
      </c>
      <c r="C5050" t="s">
        <v>8363</v>
      </c>
      <c r="D5050" t="s">
        <v>17156</v>
      </c>
      <c r="E5050" t="s">
        <v>21615</v>
      </c>
      <c r="F5050" t="s">
        <v>29372</v>
      </c>
      <c r="G5050" t="s">
        <v>29380</v>
      </c>
      <c r="H5050" t="s">
        <v>11048</v>
      </c>
      <c r="I5050" t="s">
        <v>9642</v>
      </c>
      <c r="J5050" t="s">
        <v>31110</v>
      </c>
      <c r="K5050" t="s">
        <v>38485</v>
      </c>
      <c r="M5050" t="s">
        <v>40630</v>
      </c>
      <c r="N5050" t="s">
        <v>42669</v>
      </c>
      <c r="O5050" t="s">
        <v>42670</v>
      </c>
      <c r="P5050">
        <v>0</v>
      </c>
      <c r="Q5050">
        <v>6</v>
      </c>
      <c r="R5050" t="s">
        <v>42676</v>
      </c>
      <c r="S5050" t="s">
        <v>42809</v>
      </c>
      <c r="T5050" t="s">
        <v>44365</v>
      </c>
      <c r="U5050" t="s">
        <v>48947</v>
      </c>
      <c r="V5050" t="s">
        <v>56918</v>
      </c>
      <c r="W5050" t="s">
        <v>40630</v>
      </c>
      <c r="X5050" t="s">
        <v>42677</v>
      </c>
    </row>
    <row r="5051" spans="1:24">
      <c r="A5051">
        <f>HYPERLINK("https://www.philgeps.gov.ph/GEPSNONPILOT/Tender/SplashBidNoticeAbstractUI.aspx?menuIndex=3&amp;refID=7189431&amp;Result=3","7189431")</f>
        <v>0</v>
      </c>
      <c r="B5051" t="s">
        <v>586</v>
      </c>
      <c r="C5051" t="s">
        <v>8364</v>
      </c>
      <c r="D5051" t="s">
        <v>17161</v>
      </c>
      <c r="E5051" t="s">
        <v>21616</v>
      </c>
      <c r="F5051" t="s">
        <v>29372</v>
      </c>
      <c r="G5051" t="s">
        <v>29383</v>
      </c>
      <c r="H5051" t="s">
        <v>11048</v>
      </c>
      <c r="I5051" t="s">
        <v>5383</v>
      </c>
      <c r="J5051" t="s">
        <v>32813</v>
      </c>
      <c r="K5051" t="s">
        <v>38490</v>
      </c>
      <c r="M5051" t="s">
        <v>39355</v>
      </c>
      <c r="N5051" t="s">
        <v>42669</v>
      </c>
      <c r="O5051" t="s">
        <v>42670</v>
      </c>
      <c r="P5051">
        <v>0</v>
      </c>
      <c r="Q5051">
        <v>0</v>
      </c>
      <c r="R5051" t="s">
        <v>42676</v>
      </c>
      <c r="S5051" t="s">
        <v>42809</v>
      </c>
      <c r="T5051" t="s">
        <v>44488</v>
      </c>
      <c r="U5051" t="s">
        <v>48948</v>
      </c>
      <c r="W5051" t="s">
        <v>39355</v>
      </c>
      <c r="X5051" t="s">
        <v>42677</v>
      </c>
    </row>
    <row r="5052" spans="1:24">
      <c r="A5052">
        <f>HYPERLINK("https://www.philgeps.gov.ph/GEPSNONPILOT/Tender/SplashBidNoticeAbstractUI.aspx?menuIndex=3&amp;refID=7189429&amp;Result=3","7189429")</f>
        <v>0</v>
      </c>
      <c r="B5052" t="s">
        <v>339</v>
      </c>
      <c r="C5052" t="s">
        <v>8365</v>
      </c>
      <c r="D5052" t="s">
        <v>17156</v>
      </c>
      <c r="E5052" t="s">
        <v>8365</v>
      </c>
      <c r="F5052" t="s">
        <v>29372</v>
      </c>
      <c r="G5052" t="s">
        <v>29380</v>
      </c>
      <c r="H5052" t="s">
        <v>11048</v>
      </c>
      <c r="I5052" t="s">
        <v>29452</v>
      </c>
      <c r="J5052" t="s">
        <v>30815</v>
      </c>
      <c r="K5052" t="s">
        <v>38533</v>
      </c>
      <c r="M5052" t="s">
        <v>39651</v>
      </c>
      <c r="N5052" t="s">
        <v>42669</v>
      </c>
      <c r="O5052" t="s">
        <v>42670</v>
      </c>
      <c r="P5052">
        <v>0</v>
      </c>
      <c r="Q5052">
        <v>3</v>
      </c>
      <c r="R5052" t="s">
        <v>42676</v>
      </c>
      <c r="S5052" t="s">
        <v>42809</v>
      </c>
      <c r="T5052" t="s">
        <v>44684</v>
      </c>
      <c r="U5052" t="s">
        <v>48949</v>
      </c>
      <c r="W5052" t="s">
        <v>39651</v>
      </c>
      <c r="X5052" t="s">
        <v>42677</v>
      </c>
    </row>
    <row r="5053" spans="1:24">
      <c r="A5053">
        <f>HYPERLINK("https://www.philgeps.gov.ph/GEPSNONPILOT/Tender/SplashBidNoticeAbstractUI.aspx?menuIndex=3&amp;refID=7189423&amp;Result=3","7189423")</f>
        <v>0</v>
      </c>
      <c r="B5053" t="s">
        <v>453</v>
      </c>
      <c r="C5053" t="s">
        <v>8366</v>
      </c>
      <c r="D5053" t="s">
        <v>17173</v>
      </c>
      <c r="E5053" t="s">
        <v>21617</v>
      </c>
      <c r="F5053" t="s">
        <v>29372</v>
      </c>
      <c r="G5053" t="s">
        <v>29380</v>
      </c>
      <c r="H5053" t="s">
        <v>11048</v>
      </c>
      <c r="I5053" t="s">
        <v>29407</v>
      </c>
      <c r="J5053" t="s">
        <v>32814</v>
      </c>
      <c r="K5053" t="s">
        <v>38488</v>
      </c>
      <c r="M5053" t="s">
        <v>39217</v>
      </c>
      <c r="N5053" t="s">
        <v>42669</v>
      </c>
      <c r="O5053" t="s">
        <v>42670</v>
      </c>
      <c r="P5053">
        <v>0</v>
      </c>
      <c r="Q5053">
        <v>1</v>
      </c>
      <c r="R5053" t="s">
        <v>42676</v>
      </c>
      <c r="S5053" t="s">
        <v>42809</v>
      </c>
      <c r="T5053" t="s">
        <v>44544</v>
      </c>
      <c r="U5053" t="s">
        <v>48950</v>
      </c>
      <c r="W5053" t="s">
        <v>39217</v>
      </c>
      <c r="X5053" t="s">
        <v>42677</v>
      </c>
    </row>
    <row r="5054" spans="1:24">
      <c r="A5054">
        <f>HYPERLINK("https://www.philgeps.gov.ph/GEPSNONPILOT/Tender/SplashBidNoticeAbstractUI.aspx?menuIndex=3&amp;refID=7189437&amp;Result=3","7189437")</f>
        <v>0</v>
      </c>
      <c r="B5054" t="s">
        <v>1792</v>
      </c>
      <c r="C5054" t="s">
        <v>8367</v>
      </c>
      <c r="D5054" t="s">
        <v>17141</v>
      </c>
      <c r="E5054" t="s">
        <v>21618</v>
      </c>
      <c r="F5054" t="s">
        <v>29372</v>
      </c>
      <c r="G5054" t="s">
        <v>29380</v>
      </c>
      <c r="H5054" t="s">
        <v>29389</v>
      </c>
      <c r="I5054" t="s">
        <v>29426</v>
      </c>
      <c r="J5054" t="s">
        <v>32815</v>
      </c>
      <c r="K5054" t="s">
        <v>38490</v>
      </c>
      <c r="M5054" t="s">
        <v>40663</v>
      </c>
      <c r="N5054" t="s">
        <v>42669</v>
      </c>
      <c r="O5054" t="s">
        <v>42670</v>
      </c>
      <c r="P5054">
        <v>0</v>
      </c>
      <c r="Q5054">
        <v>4</v>
      </c>
      <c r="R5054" t="s">
        <v>42676</v>
      </c>
      <c r="S5054" t="s">
        <v>42809</v>
      </c>
      <c r="T5054" t="s">
        <v>44503</v>
      </c>
      <c r="U5054" t="s">
        <v>48951</v>
      </c>
      <c r="V5054" t="s">
        <v>56919</v>
      </c>
      <c r="W5054" t="s">
        <v>40663</v>
      </c>
      <c r="X5054" t="s">
        <v>42677</v>
      </c>
    </row>
    <row r="5055" spans="1:24">
      <c r="A5055">
        <f>HYPERLINK("https://www.philgeps.gov.ph/GEPSNONPILOT/Tender/SplashBidNoticeAbstractUI.aspx?menuIndex=3&amp;refID=7189353&amp;Result=3","7189353")</f>
        <v>0</v>
      </c>
      <c r="B5055" t="s">
        <v>738</v>
      </c>
      <c r="C5055" t="s">
        <v>8368</v>
      </c>
      <c r="E5055" t="s">
        <v>21619</v>
      </c>
      <c r="F5055" t="s">
        <v>29372</v>
      </c>
      <c r="G5055" t="s">
        <v>29379</v>
      </c>
      <c r="H5055" t="s">
        <v>11048</v>
      </c>
      <c r="I5055" t="s">
        <v>3629</v>
      </c>
      <c r="J5055" t="s">
        <v>30232</v>
      </c>
      <c r="K5055" t="s">
        <v>38490</v>
      </c>
      <c r="M5055" t="s">
        <v>39519</v>
      </c>
      <c r="N5055" t="s">
        <v>42669</v>
      </c>
      <c r="O5055" t="s">
        <v>42670</v>
      </c>
      <c r="P5055">
        <v>0</v>
      </c>
      <c r="Q5055">
        <v>2</v>
      </c>
      <c r="R5055" t="s">
        <v>42676</v>
      </c>
      <c r="S5055" t="s">
        <v>42809</v>
      </c>
      <c r="T5055" t="s">
        <v>44417</v>
      </c>
      <c r="U5055" t="s">
        <v>48952</v>
      </c>
      <c r="W5055" t="s">
        <v>39519</v>
      </c>
      <c r="X5055" t="s">
        <v>42677</v>
      </c>
    </row>
    <row r="5056" spans="1:24">
      <c r="A5056">
        <f>HYPERLINK("https://www.philgeps.gov.ph/GEPSNONPILOT/Tender/SplashBidNoticeAbstractUI.aspx?menuIndex=3&amp;refID=7189428&amp;Result=3","7189428")</f>
        <v>0</v>
      </c>
      <c r="B5056" t="s">
        <v>838</v>
      </c>
      <c r="C5056" t="s">
        <v>8369</v>
      </c>
      <c r="D5056" t="s">
        <v>17193</v>
      </c>
      <c r="E5056" t="s">
        <v>21620</v>
      </c>
      <c r="F5056" t="s">
        <v>29372</v>
      </c>
      <c r="G5056" t="s">
        <v>29379</v>
      </c>
      <c r="H5056" t="s">
        <v>29389</v>
      </c>
      <c r="I5056" t="s">
        <v>10408</v>
      </c>
      <c r="J5056" t="s">
        <v>29543</v>
      </c>
      <c r="K5056" t="s">
        <v>38503</v>
      </c>
      <c r="M5056" t="s">
        <v>40639</v>
      </c>
      <c r="N5056" t="s">
        <v>42669</v>
      </c>
      <c r="O5056" t="s">
        <v>42670</v>
      </c>
      <c r="P5056">
        <v>0</v>
      </c>
      <c r="Q5056">
        <v>0</v>
      </c>
      <c r="R5056" t="s">
        <v>42676</v>
      </c>
      <c r="S5056" t="s">
        <v>42809</v>
      </c>
      <c r="T5056" t="s">
        <v>44580</v>
      </c>
      <c r="U5056" t="s">
        <v>48888</v>
      </c>
      <c r="W5056" t="s">
        <v>58058</v>
      </c>
      <c r="X5056" t="s">
        <v>42677</v>
      </c>
    </row>
    <row r="5057" spans="1:24">
      <c r="A5057">
        <f>HYPERLINK("https://www.philgeps.gov.ph/GEPSNONPILOT/Tender/SplashBidNoticeAbstractUI.aspx?menuIndex=3&amp;refID=7189401&amp;Result=3","7189401")</f>
        <v>0</v>
      </c>
      <c r="B5057" t="s">
        <v>91</v>
      </c>
      <c r="C5057" t="s">
        <v>8370</v>
      </c>
      <c r="D5057" t="s">
        <v>17176</v>
      </c>
      <c r="E5057" t="s">
        <v>21621</v>
      </c>
      <c r="F5057" t="s">
        <v>29372</v>
      </c>
      <c r="G5057" t="s">
        <v>29380</v>
      </c>
      <c r="H5057" t="s">
        <v>11048</v>
      </c>
      <c r="I5057" t="s">
        <v>29394</v>
      </c>
      <c r="J5057" t="s">
        <v>29561</v>
      </c>
      <c r="K5057" t="s">
        <v>38510</v>
      </c>
      <c r="M5057" t="s">
        <v>38845</v>
      </c>
      <c r="N5057" t="s">
        <v>42669</v>
      </c>
      <c r="O5057" t="s">
        <v>42670</v>
      </c>
      <c r="P5057">
        <v>0</v>
      </c>
      <c r="Q5057">
        <v>2</v>
      </c>
      <c r="R5057" t="s">
        <v>42676</v>
      </c>
      <c r="S5057" t="s">
        <v>42809</v>
      </c>
      <c r="T5057" t="s">
        <v>44546</v>
      </c>
      <c r="U5057" t="s">
        <v>48953</v>
      </c>
      <c r="W5057" t="s">
        <v>38845</v>
      </c>
      <c r="X5057" t="s">
        <v>42677</v>
      </c>
    </row>
    <row r="5058" spans="1:24">
      <c r="A5058">
        <f>HYPERLINK("https://www.philgeps.gov.ph/GEPSNONPILOT/Tender/SplashBidNoticeAbstractUI.aspx?menuIndex=3&amp;refID=7189415&amp;Result=3","7189415")</f>
        <v>0</v>
      </c>
      <c r="B5058" t="s">
        <v>1242</v>
      </c>
      <c r="C5058" t="s">
        <v>8371</v>
      </c>
      <c r="D5058" t="s">
        <v>17183</v>
      </c>
      <c r="E5058" t="s">
        <v>21622</v>
      </c>
      <c r="F5058" t="s">
        <v>29372</v>
      </c>
      <c r="G5058" t="s">
        <v>29383</v>
      </c>
      <c r="H5058" t="s">
        <v>11048</v>
      </c>
      <c r="I5058" t="s">
        <v>29407</v>
      </c>
      <c r="J5058" t="s">
        <v>32816</v>
      </c>
      <c r="K5058" t="s">
        <v>38490</v>
      </c>
      <c r="M5058" t="s">
        <v>40065</v>
      </c>
      <c r="N5058" t="s">
        <v>42669</v>
      </c>
      <c r="O5058" t="s">
        <v>42670</v>
      </c>
      <c r="P5058">
        <v>0</v>
      </c>
      <c r="Q5058">
        <v>21</v>
      </c>
      <c r="R5058" t="s">
        <v>42676</v>
      </c>
      <c r="S5058" t="s">
        <v>42809</v>
      </c>
      <c r="T5058" t="s">
        <v>44424</v>
      </c>
      <c r="U5058" t="s">
        <v>48954</v>
      </c>
      <c r="W5058" t="s">
        <v>40065</v>
      </c>
      <c r="X5058" t="s">
        <v>42677</v>
      </c>
    </row>
    <row r="5059" spans="1:24">
      <c r="A5059">
        <f>HYPERLINK("https://www.philgeps.gov.ph/GEPSNONPILOT/Tender/SplashBidNoticeAbstractUI.aspx?menuIndex=3&amp;refID=7189422&amp;Result=3","7189422")</f>
        <v>0</v>
      </c>
      <c r="B5059" t="s">
        <v>1772</v>
      </c>
      <c r="C5059" t="s">
        <v>8372</v>
      </c>
      <c r="D5059" t="s">
        <v>17180</v>
      </c>
      <c r="E5059" t="s">
        <v>21623</v>
      </c>
      <c r="F5059" t="s">
        <v>29372</v>
      </c>
      <c r="G5059" t="s">
        <v>29379</v>
      </c>
      <c r="H5059" t="s">
        <v>11048</v>
      </c>
      <c r="I5059" t="s">
        <v>29476</v>
      </c>
      <c r="J5059" t="s">
        <v>32817</v>
      </c>
      <c r="K5059" t="s">
        <v>38485</v>
      </c>
      <c r="M5059" t="s">
        <v>40640</v>
      </c>
      <c r="N5059" t="s">
        <v>42669</v>
      </c>
      <c r="O5059" t="s">
        <v>42670</v>
      </c>
      <c r="Q5059">
        <v>7</v>
      </c>
      <c r="R5059" t="s">
        <v>42676</v>
      </c>
      <c r="S5059" t="s">
        <v>42825</v>
      </c>
      <c r="T5059" t="s">
        <v>44560</v>
      </c>
      <c r="U5059" t="s">
        <v>48889</v>
      </c>
      <c r="W5059" t="s">
        <v>40640</v>
      </c>
      <c r="X5059" t="s">
        <v>42677</v>
      </c>
    </row>
    <row r="5060" spans="1:24">
      <c r="A5060">
        <f>HYPERLINK("https://www.philgeps.gov.ph/GEPSNONPILOT/Tender/SplashBidNoticeAbstractUI.aspx?menuIndex=3&amp;refID=7189413&amp;Result=3","7189413")</f>
        <v>0</v>
      </c>
      <c r="B5060" t="s">
        <v>530</v>
      </c>
      <c r="C5060" t="s">
        <v>8373</v>
      </c>
      <c r="D5060" t="s">
        <v>17201</v>
      </c>
      <c r="E5060" t="s">
        <v>21624</v>
      </c>
      <c r="F5060" t="s">
        <v>29372</v>
      </c>
      <c r="G5060" t="s">
        <v>29380</v>
      </c>
      <c r="H5060" t="s">
        <v>11048</v>
      </c>
      <c r="I5060" t="s">
        <v>4487</v>
      </c>
      <c r="J5060" t="s">
        <v>32818</v>
      </c>
      <c r="K5060" t="s">
        <v>38485</v>
      </c>
      <c r="M5060" t="s">
        <v>39297</v>
      </c>
      <c r="N5060" t="s">
        <v>42669</v>
      </c>
      <c r="O5060" t="s">
        <v>42670</v>
      </c>
      <c r="P5060">
        <v>0</v>
      </c>
      <c r="Q5060">
        <v>5</v>
      </c>
      <c r="R5060" t="s">
        <v>42676</v>
      </c>
      <c r="S5060" t="s">
        <v>42809</v>
      </c>
      <c r="T5060" t="s">
        <v>44418</v>
      </c>
      <c r="U5060" t="s">
        <v>46011</v>
      </c>
      <c r="W5060" t="s">
        <v>39297</v>
      </c>
      <c r="X5060" t="s">
        <v>42677</v>
      </c>
    </row>
    <row r="5061" spans="1:24">
      <c r="A5061">
        <f>HYPERLINK("https://www.philgeps.gov.ph/GEPSNONPILOT/Tender/SplashBidNoticeAbstractUI.aspx?menuIndex=3&amp;refID=7189315&amp;Result=3","7189315")</f>
        <v>0</v>
      </c>
      <c r="B5061" t="s">
        <v>433</v>
      </c>
      <c r="C5061" t="s">
        <v>8374</v>
      </c>
      <c r="D5061" t="s">
        <v>17188</v>
      </c>
      <c r="E5061" t="s">
        <v>21625</v>
      </c>
      <c r="F5061" t="s">
        <v>29372</v>
      </c>
      <c r="G5061" t="s">
        <v>29379</v>
      </c>
      <c r="H5061" t="s">
        <v>11048</v>
      </c>
      <c r="I5061" t="s">
        <v>4709</v>
      </c>
      <c r="J5061" t="s">
        <v>32819</v>
      </c>
      <c r="K5061" t="s">
        <v>38518</v>
      </c>
      <c r="M5061" t="s">
        <v>39197</v>
      </c>
      <c r="N5061" t="s">
        <v>42669</v>
      </c>
      <c r="O5061" t="s">
        <v>42670</v>
      </c>
      <c r="P5061">
        <v>0</v>
      </c>
      <c r="Q5061">
        <v>1</v>
      </c>
      <c r="R5061" t="s">
        <v>42676</v>
      </c>
      <c r="S5061" t="s">
        <v>42809</v>
      </c>
      <c r="T5061" t="s">
        <v>44496</v>
      </c>
      <c r="U5061" t="s">
        <v>48955</v>
      </c>
      <c r="W5061" t="s">
        <v>39197</v>
      </c>
      <c r="X5061" t="s">
        <v>42677</v>
      </c>
    </row>
    <row r="5062" spans="1:24">
      <c r="A5062">
        <f>HYPERLINK("https://www.philgeps.gov.ph/GEPSNONPILOT/Tender/SplashBidNoticeAbstractUI.aspx?menuIndex=3&amp;refID=7189411&amp;Result=3","7189411")</f>
        <v>0</v>
      </c>
      <c r="B5062" t="s">
        <v>91</v>
      </c>
      <c r="C5062" t="s">
        <v>8375</v>
      </c>
      <c r="D5062" t="s">
        <v>17176</v>
      </c>
      <c r="E5062" t="s">
        <v>21626</v>
      </c>
      <c r="F5062" t="s">
        <v>29372</v>
      </c>
      <c r="G5062" t="s">
        <v>29380</v>
      </c>
      <c r="H5062" t="s">
        <v>11048</v>
      </c>
      <c r="I5062" t="s">
        <v>29444</v>
      </c>
      <c r="J5062" t="s">
        <v>32820</v>
      </c>
      <c r="K5062" t="s">
        <v>38510</v>
      </c>
      <c r="M5062" t="s">
        <v>38845</v>
      </c>
      <c r="N5062" t="s">
        <v>42669</v>
      </c>
      <c r="O5062" t="s">
        <v>42670</v>
      </c>
      <c r="P5062">
        <v>0</v>
      </c>
      <c r="Q5062">
        <v>2</v>
      </c>
      <c r="R5062" t="s">
        <v>42676</v>
      </c>
      <c r="S5062" t="s">
        <v>42809</v>
      </c>
      <c r="T5062" t="s">
        <v>44546</v>
      </c>
      <c r="U5062" t="s">
        <v>48956</v>
      </c>
      <c r="W5062" t="s">
        <v>38845</v>
      </c>
      <c r="X5062" t="s">
        <v>42677</v>
      </c>
    </row>
    <row r="5063" spans="1:24">
      <c r="A5063">
        <f>HYPERLINK("https://www.philgeps.gov.ph/GEPSNONPILOT/Tender/SplashBidNoticeAbstractUI.aspx?menuIndex=3&amp;refID=7189416&amp;Result=3","7189416")</f>
        <v>0</v>
      </c>
      <c r="B5063" t="s">
        <v>922</v>
      </c>
      <c r="C5063" t="s">
        <v>8376</v>
      </c>
      <c r="D5063" t="s">
        <v>17144</v>
      </c>
      <c r="E5063" t="s">
        <v>21627</v>
      </c>
      <c r="F5063" t="s">
        <v>29372</v>
      </c>
      <c r="G5063" t="s">
        <v>29379</v>
      </c>
      <c r="H5063" t="s">
        <v>11048</v>
      </c>
      <c r="I5063" t="s">
        <v>4486</v>
      </c>
      <c r="J5063" t="s">
        <v>32821</v>
      </c>
      <c r="K5063" t="s">
        <v>38491</v>
      </c>
      <c r="M5063" t="s">
        <v>39717</v>
      </c>
      <c r="N5063" t="s">
        <v>42669</v>
      </c>
      <c r="O5063" t="s">
        <v>42670</v>
      </c>
      <c r="P5063">
        <v>0</v>
      </c>
      <c r="Q5063">
        <v>1</v>
      </c>
      <c r="R5063" t="s">
        <v>42676</v>
      </c>
      <c r="S5063" t="s">
        <v>42809</v>
      </c>
      <c r="T5063" t="s">
        <v>44496</v>
      </c>
      <c r="U5063" t="s">
        <v>46717</v>
      </c>
      <c r="W5063" t="s">
        <v>39717</v>
      </c>
      <c r="X5063" t="s">
        <v>42677</v>
      </c>
    </row>
    <row r="5064" spans="1:24">
      <c r="A5064">
        <f>HYPERLINK("https://www.philgeps.gov.ph/GEPSNONPILOT/Tender/SplashBidNoticeAbstractUI.aspx?menuIndex=3&amp;refID=7189409&amp;Result=3","7189409")</f>
        <v>0</v>
      </c>
      <c r="B5064" t="s">
        <v>836</v>
      </c>
      <c r="C5064" t="s">
        <v>8377</v>
      </c>
      <c r="D5064" t="s">
        <v>17160</v>
      </c>
      <c r="E5064" t="s">
        <v>21628</v>
      </c>
      <c r="F5064" t="s">
        <v>29372</v>
      </c>
      <c r="G5064" t="s">
        <v>29379</v>
      </c>
      <c r="H5064" t="s">
        <v>11048</v>
      </c>
      <c r="I5064" t="s">
        <v>4709</v>
      </c>
      <c r="J5064" t="s">
        <v>32822</v>
      </c>
      <c r="K5064" t="s">
        <v>38489</v>
      </c>
      <c r="M5064" t="s">
        <v>39625</v>
      </c>
      <c r="N5064" t="s">
        <v>42669</v>
      </c>
      <c r="O5064" t="s">
        <v>42670</v>
      </c>
      <c r="P5064">
        <v>0</v>
      </c>
      <c r="Q5064">
        <v>0</v>
      </c>
      <c r="R5064" t="s">
        <v>42676</v>
      </c>
      <c r="S5064" t="s">
        <v>42809</v>
      </c>
      <c r="T5064" t="s">
        <v>44548</v>
      </c>
      <c r="U5064" t="s">
        <v>48957</v>
      </c>
      <c r="W5064" t="s">
        <v>39625</v>
      </c>
      <c r="X5064" t="s">
        <v>42677</v>
      </c>
    </row>
    <row r="5065" spans="1:24">
      <c r="A5065">
        <f>HYPERLINK("https://www.philgeps.gov.ph/GEPSNONPILOT/Tender/SplashBidNoticeAbstractUI.aspx?menuIndex=3&amp;refID=7189407&amp;Result=3","7189407")</f>
        <v>0</v>
      </c>
      <c r="B5065" t="s">
        <v>1773</v>
      </c>
      <c r="C5065" t="s">
        <v>8378</v>
      </c>
      <c r="D5065" t="s">
        <v>17180</v>
      </c>
      <c r="E5065" t="s">
        <v>21629</v>
      </c>
      <c r="F5065" t="s">
        <v>29372</v>
      </c>
      <c r="G5065" t="s">
        <v>29379</v>
      </c>
      <c r="H5065" t="s">
        <v>11048</v>
      </c>
      <c r="I5065" t="s">
        <v>29405</v>
      </c>
      <c r="J5065" t="s">
        <v>31763</v>
      </c>
      <c r="K5065" t="s">
        <v>38496</v>
      </c>
      <c r="M5065" t="s">
        <v>40641</v>
      </c>
      <c r="N5065" t="s">
        <v>42669</v>
      </c>
      <c r="O5065" t="s">
        <v>42670</v>
      </c>
      <c r="P5065">
        <v>0</v>
      </c>
      <c r="Q5065">
        <v>10</v>
      </c>
      <c r="R5065" t="s">
        <v>42676</v>
      </c>
      <c r="S5065" t="s">
        <v>42809</v>
      </c>
      <c r="T5065" t="s">
        <v>44399</v>
      </c>
      <c r="U5065" t="s">
        <v>48958</v>
      </c>
      <c r="W5065" t="s">
        <v>40641</v>
      </c>
      <c r="X5065" t="s">
        <v>42677</v>
      </c>
    </row>
    <row r="5066" spans="1:24">
      <c r="A5066">
        <f>HYPERLINK("https://www.philgeps.gov.ph/GEPSNONPILOT/Tender/SplashBidNoticeAbstractUI.aspx?menuIndex=3&amp;refID=7189406&amp;Result=3","7189406")</f>
        <v>0</v>
      </c>
      <c r="B5066" t="s">
        <v>1793</v>
      </c>
      <c r="C5066" t="s">
        <v>8379</v>
      </c>
      <c r="D5066" t="s">
        <v>17160</v>
      </c>
      <c r="E5066" t="s">
        <v>21630</v>
      </c>
      <c r="F5066" t="s">
        <v>29372</v>
      </c>
      <c r="G5066" t="s">
        <v>29380</v>
      </c>
      <c r="H5066" t="s">
        <v>29389</v>
      </c>
      <c r="I5066" t="s">
        <v>10408</v>
      </c>
      <c r="J5066" t="s">
        <v>29590</v>
      </c>
      <c r="K5066" t="s">
        <v>38488</v>
      </c>
      <c r="M5066" t="s">
        <v>40664</v>
      </c>
      <c r="N5066" t="s">
        <v>42669</v>
      </c>
      <c r="O5066" t="s">
        <v>42670</v>
      </c>
      <c r="P5066">
        <v>0</v>
      </c>
      <c r="Q5066">
        <v>1</v>
      </c>
      <c r="R5066" t="s">
        <v>42676</v>
      </c>
      <c r="S5066" t="s">
        <v>42809</v>
      </c>
      <c r="T5066" t="s">
        <v>44424</v>
      </c>
      <c r="U5066" t="s">
        <v>48959</v>
      </c>
      <c r="W5066" t="s">
        <v>40664</v>
      </c>
      <c r="X5066" t="s">
        <v>42677</v>
      </c>
    </row>
    <row r="5067" spans="1:24">
      <c r="A5067">
        <f>HYPERLINK("https://www.philgeps.gov.ph/GEPSNONPILOT/Tender/SplashBidNoticeAbstractUI.aspx?menuIndex=3&amp;refID=7189405&amp;Result=3","7189405")</f>
        <v>0</v>
      </c>
      <c r="B5067" t="s">
        <v>838</v>
      </c>
      <c r="C5067" t="s">
        <v>8380</v>
      </c>
      <c r="D5067" t="s">
        <v>17193</v>
      </c>
      <c r="E5067" t="s">
        <v>21631</v>
      </c>
      <c r="F5067" t="s">
        <v>29372</v>
      </c>
      <c r="G5067" t="s">
        <v>29379</v>
      </c>
      <c r="H5067" t="s">
        <v>29389</v>
      </c>
      <c r="I5067" t="s">
        <v>10408</v>
      </c>
      <c r="J5067" t="s">
        <v>29543</v>
      </c>
      <c r="K5067" t="s">
        <v>38521</v>
      </c>
      <c r="M5067" t="s">
        <v>40639</v>
      </c>
      <c r="N5067" t="s">
        <v>42669</v>
      </c>
      <c r="O5067" t="s">
        <v>42670</v>
      </c>
      <c r="P5067">
        <v>0</v>
      </c>
      <c r="Q5067">
        <v>0</v>
      </c>
      <c r="R5067" t="s">
        <v>42676</v>
      </c>
      <c r="S5067" t="s">
        <v>42809</v>
      </c>
      <c r="T5067" t="s">
        <v>44580</v>
      </c>
      <c r="U5067" t="s">
        <v>48888</v>
      </c>
      <c r="W5067" t="s">
        <v>58058</v>
      </c>
      <c r="X5067" t="s">
        <v>42677</v>
      </c>
    </row>
    <row r="5068" spans="1:24">
      <c r="A5068">
        <f>HYPERLINK("https://www.philgeps.gov.ph/GEPSNONPILOT/Tender/SplashBidNoticeAbstractUI.aspx?menuIndex=3&amp;refID=7189378&amp;Result=3","7189378")</f>
        <v>0</v>
      </c>
      <c r="B5068" t="s">
        <v>684</v>
      </c>
      <c r="C5068" t="s">
        <v>8381</v>
      </c>
      <c r="D5068" t="s">
        <v>17188</v>
      </c>
      <c r="E5068" t="s">
        <v>21632</v>
      </c>
      <c r="F5068" t="s">
        <v>29372</v>
      </c>
      <c r="G5068" t="s">
        <v>29379</v>
      </c>
      <c r="H5068" t="s">
        <v>11048</v>
      </c>
      <c r="I5068" t="s">
        <v>29444</v>
      </c>
      <c r="J5068" t="s">
        <v>29571</v>
      </c>
      <c r="K5068" t="s">
        <v>38496</v>
      </c>
      <c r="M5068" t="s">
        <v>39779</v>
      </c>
      <c r="N5068" t="s">
        <v>42669</v>
      </c>
      <c r="O5068" t="s">
        <v>42670</v>
      </c>
      <c r="P5068">
        <v>0</v>
      </c>
      <c r="Q5068">
        <v>0</v>
      </c>
      <c r="R5068" t="s">
        <v>42676</v>
      </c>
      <c r="S5068" t="s">
        <v>42809</v>
      </c>
      <c r="T5068" t="s">
        <v>44488</v>
      </c>
      <c r="U5068" t="s">
        <v>48960</v>
      </c>
      <c r="V5068" t="s">
        <v>45789</v>
      </c>
      <c r="W5068" t="s">
        <v>39779</v>
      </c>
      <c r="X5068" t="s">
        <v>42677</v>
      </c>
    </row>
    <row r="5069" spans="1:24">
      <c r="A5069">
        <f>HYPERLINK("https://www.philgeps.gov.ph/GEPSNONPILOT/Tender/SplashBidNoticeAbstractUI.aspx?menuIndex=3&amp;refID=7189440&amp;Result=3","7189440")</f>
        <v>0</v>
      </c>
      <c r="B5069" t="s">
        <v>1700</v>
      </c>
      <c r="C5069" t="s">
        <v>8382</v>
      </c>
      <c r="D5069" t="s">
        <v>17189</v>
      </c>
      <c r="E5069" t="s">
        <v>21633</v>
      </c>
      <c r="F5069" t="s">
        <v>29372</v>
      </c>
      <c r="G5069" t="s">
        <v>29383</v>
      </c>
      <c r="H5069" t="s">
        <v>11048</v>
      </c>
      <c r="I5069" t="s">
        <v>3670</v>
      </c>
      <c r="J5069" t="s">
        <v>29526</v>
      </c>
      <c r="K5069" t="s">
        <v>38528</v>
      </c>
      <c r="M5069" t="s">
        <v>40562</v>
      </c>
      <c r="N5069" t="s">
        <v>42669</v>
      </c>
      <c r="O5069" t="s">
        <v>42670</v>
      </c>
      <c r="P5069">
        <v>0</v>
      </c>
      <c r="Q5069">
        <v>0</v>
      </c>
      <c r="R5069" t="s">
        <v>42676</v>
      </c>
      <c r="S5069" t="s">
        <v>42809</v>
      </c>
      <c r="T5069" t="s">
        <v>44394</v>
      </c>
      <c r="U5069" t="s">
        <v>48961</v>
      </c>
      <c r="W5069" t="s">
        <v>40562</v>
      </c>
      <c r="X5069" t="s">
        <v>42677</v>
      </c>
    </row>
    <row r="5070" spans="1:24">
      <c r="A5070">
        <f>HYPERLINK("https://www.philgeps.gov.ph/GEPSNONPILOT/Tender/SplashBidNoticeAbstractUI.aspx?menuIndex=3&amp;refID=7189420&amp;Result=3","7189420")</f>
        <v>0</v>
      </c>
      <c r="B5070" t="s">
        <v>1794</v>
      </c>
      <c r="C5070" t="s">
        <v>8383</v>
      </c>
      <c r="D5070" t="s">
        <v>17144</v>
      </c>
      <c r="E5070" t="s">
        <v>21634</v>
      </c>
      <c r="F5070" t="s">
        <v>29372</v>
      </c>
      <c r="G5070" t="s">
        <v>29379</v>
      </c>
      <c r="H5070" t="s">
        <v>11048</v>
      </c>
      <c r="I5070" t="s">
        <v>3839</v>
      </c>
      <c r="J5070" t="s">
        <v>32823</v>
      </c>
      <c r="K5070" t="s">
        <v>38491</v>
      </c>
      <c r="M5070" t="s">
        <v>40665</v>
      </c>
      <c r="N5070" t="s">
        <v>42669</v>
      </c>
      <c r="O5070" t="s">
        <v>42670</v>
      </c>
      <c r="P5070">
        <v>0</v>
      </c>
      <c r="Q5070">
        <v>1</v>
      </c>
      <c r="R5070" t="s">
        <v>42676</v>
      </c>
      <c r="S5070" t="s">
        <v>42809</v>
      </c>
      <c r="T5070" t="s">
        <v>44382</v>
      </c>
      <c r="U5070" t="s">
        <v>48962</v>
      </c>
      <c r="V5070" t="s">
        <v>56920</v>
      </c>
      <c r="W5070" t="s">
        <v>40665</v>
      </c>
      <c r="X5070" t="s">
        <v>42677</v>
      </c>
    </row>
    <row r="5071" spans="1:24">
      <c r="A5071">
        <f>HYPERLINK("https://www.philgeps.gov.ph/GEPSNONPILOT/Tender/SplashBidNoticeAbstractUI.aspx?menuIndex=3&amp;refID=7189377&amp;Result=3","7189377")</f>
        <v>0</v>
      </c>
      <c r="B5071" t="s">
        <v>1372</v>
      </c>
      <c r="C5071" t="s">
        <v>8384</v>
      </c>
      <c r="D5071" t="s">
        <v>17209</v>
      </c>
      <c r="E5071" t="s">
        <v>19190</v>
      </c>
      <c r="F5071" t="s">
        <v>29372</v>
      </c>
      <c r="G5071" t="s">
        <v>29380</v>
      </c>
      <c r="H5071" t="s">
        <v>11048</v>
      </c>
      <c r="I5071" t="s">
        <v>29419</v>
      </c>
      <c r="J5071" t="s">
        <v>30302</v>
      </c>
      <c r="K5071" t="s">
        <v>38485</v>
      </c>
      <c r="M5071" t="s">
        <v>40209</v>
      </c>
      <c r="N5071" t="s">
        <v>42669</v>
      </c>
      <c r="O5071" t="s">
        <v>42670</v>
      </c>
      <c r="P5071">
        <v>0</v>
      </c>
      <c r="Q5071">
        <v>3</v>
      </c>
      <c r="R5071" t="s">
        <v>42676</v>
      </c>
      <c r="S5071" t="s">
        <v>42809</v>
      </c>
      <c r="T5071" t="s">
        <v>44446</v>
      </c>
      <c r="U5071" t="s">
        <v>48963</v>
      </c>
      <c r="W5071" t="s">
        <v>40209</v>
      </c>
      <c r="X5071" t="s">
        <v>42677</v>
      </c>
    </row>
    <row r="5072" spans="1:24">
      <c r="A5072">
        <f>HYPERLINK("https://www.philgeps.gov.ph/GEPSNONPILOT/Tender/SplashBidNoticeAbstractUI.aspx?menuIndex=3&amp;refID=7189383&amp;Result=3","7189383")</f>
        <v>0</v>
      </c>
      <c r="B5072" t="s">
        <v>1795</v>
      </c>
      <c r="C5072" t="s">
        <v>8385</v>
      </c>
      <c r="D5072" t="s">
        <v>17170</v>
      </c>
      <c r="E5072" t="s">
        <v>8385</v>
      </c>
      <c r="F5072" t="s">
        <v>29372</v>
      </c>
      <c r="G5072" t="s">
        <v>29379</v>
      </c>
      <c r="H5072" t="s">
        <v>11048</v>
      </c>
      <c r="I5072" t="s">
        <v>3839</v>
      </c>
      <c r="J5072" t="s">
        <v>32824</v>
      </c>
      <c r="K5072" t="s">
        <v>38490</v>
      </c>
      <c r="M5072" t="s">
        <v>40666</v>
      </c>
      <c r="N5072" t="s">
        <v>42669</v>
      </c>
      <c r="O5072" t="s">
        <v>42670</v>
      </c>
      <c r="P5072">
        <v>0</v>
      </c>
      <c r="Q5072">
        <v>3</v>
      </c>
      <c r="R5072" t="s">
        <v>42676</v>
      </c>
      <c r="S5072" t="s">
        <v>42809</v>
      </c>
      <c r="T5072" t="s">
        <v>44456</v>
      </c>
      <c r="U5072" t="s">
        <v>48964</v>
      </c>
      <c r="W5072" t="s">
        <v>40666</v>
      </c>
      <c r="X5072" t="s">
        <v>42677</v>
      </c>
    </row>
    <row r="5073" spans="1:24">
      <c r="A5073">
        <f>HYPERLINK("https://www.philgeps.gov.ph/GEPSNONPILOT/Tender/SplashBidNoticeAbstractUI.aspx?menuIndex=3&amp;refID=7189452&amp;Result=3","7189452")</f>
        <v>0</v>
      </c>
      <c r="B5073" t="s">
        <v>1691</v>
      </c>
      <c r="C5073" t="s">
        <v>8386</v>
      </c>
      <c r="D5073" t="s">
        <v>17175</v>
      </c>
      <c r="E5073" t="s">
        <v>21635</v>
      </c>
      <c r="F5073" t="s">
        <v>29372</v>
      </c>
      <c r="G5073" t="s">
        <v>29379</v>
      </c>
      <c r="H5073" t="s">
        <v>11048</v>
      </c>
      <c r="I5073" t="s">
        <v>5383</v>
      </c>
      <c r="J5073" t="s">
        <v>29526</v>
      </c>
      <c r="K5073" t="s">
        <v>38510</v>
      </c>
      <c r="M5073" t="s">
        <v>40553</v>
      </c>
      <c r="N5073" t="s">
        <v>42669</v>
      </c>
      <c r="O5073" t="s">
        <v>42670</v>
      </c>
      <c r="P5073">
        <v>0</v>
      </c>
      <c r="Q5073">
        <v>0</v>
      </c>
      <c r="R5073" t="s">
        <v>42676</v>
      </c>
      <c r="S5073" t="s">
        <v>42809</v>
      </c>
      <c r="T5073" t="s">
        <v>44512</v>
      </c>
      <c r="U5073" t="s">
        <v>48965</v>
      </c>
      <c r="V5073" t="s">
        <v>56921</v>
      </c>
      <c r="W5073" t="s">
        <v>40553</v>
      </c>
      <c r="X5073" t="s">
        <v>42677</v>
      </c>
    </row>
    <row r="5074" spans="1:24">
      <c r="A5074">
        <f>HYPERLINK("https://www.philgeps.gov.ph/GEPSNONPILOT/Tender/SplashBidNoticeAbstractUI.aspx?menuIndex=3&amp;refID=7189460&amp;Result=3","7189460")</f>
        <v>0</v>
      </c>
      <c r="B5074" t="s">
        <v>1322</v>
      </c>
      <c r="C5074" t="s">
        <v>8387</v>
      </c>
      <c r="D5074" t="s">
        <v>17144</v>
      </c>
      <c r="E5074" t="s">
        <v>17870</v>
      </c>
      <c r="F5074" t="s">
        <v>29372</v>
      </c>
      <c r="G5074" t="s">
        <v>29380</v>
      </c>
      <c r="H5074" t="s">
        <v>11048</v>
      </c>
      <c r="I5074" t="s">
        <v>29412</v>
      </c>
      <c r="J5074" t="s">
        <v>32825</v>
      </c>
      <c r="K5074" t="s">
        <v>38528</v>
      </c>
      <c r="M5074" t="s">
        <v>40158</v>
      </c>
      <c r="N5074" t="s">
        <v>42669</v>
      </c>
      <c r="O5074" t="s">
        <v>42670</v>
      </c>
      <c r="P5074">
        <v>0</v>
      </c>
      <c r="Q5074">
        <v>0</v>
      </c>
      <c r="R5074" t="s">
        <v>42676</v>
      </c>
      <c r="S5074" t="s">
        <v>42809</v>
      </c>
      <c r="T5074" t="s">
        <v>44635</v>
      </c>
      <c r="U5074" t="s">
        <v>48966</v>
      </c>
      <c r="W5074" t="s">
        <v>40158</v>
      </c>
      <c r="X5074" t="s">
        <v>42677</v>
      </c>
    </row>
    <row r="5075" spans="1:24">
      <c r="A5075">
        <f>HYPERLINK("https://www.philgeps.gov.ph/GEPSNONPILOT/Tender/SplashBidNoticeAbstractUI.aspx?menuIndex=3&amp;refID=7189459&amp;Result=3","7189459")</f>
        <v>0</v>
      </c>
      <c r="B5075" t="s">
        <v>738</v>
      </c>
      <c r="C5075" t="s">
        <v>8388</v>
      </c>
      <c r="E5075" t="s">
        <v>21636</v>
      </c>
      <c r="F5075" t="s">
        <v>29372</v>
      </c>
      <c r="G5075" t="s">
        <v>29379</v>
      </c>
      <c r="H5075" t="s">
        <v>11048</v>
      </c>
      <c r="I5075" t="s">
        <v>29393</v>
      </c>
      <c r="J5075" t="s">
        <v>29555</v>
      </c>
      <c r="K5075" t="s">
        <v>38490</v>
      </c>
      <c r="M5075" t="s">
        <v>39519</v>
      </c>
      <c r="N5075" t="s">
        <v>42669</v>
      </c>
      <c r="O5075" t="s">
        <v>42670</v>
      </c>
      <c r="P5075">
        <v>0</v>
      </c>
      <c r="Q5075">
        <v>0</v>
      </c>
      <c r="R5075" t="s">
        <v>42676</v>
      </c>
      <c r="S5075" t="s">
        <v>42809</v>
      </c>
      <c r="T5075" t="s">
        <v>44417</v>
      </c>
      <c r="U5075" t="s">
        <v>48967</v>
      </c>
      <c r="W5075" t="s">
        <v>39519</v>
      </c>
      <c r="X5075" t="s">
        <v>42677</v>
      </c>
    </row>
    <row r="5076" spans="1:24">
      <c r="A5076">
        <f>HYPERLINK("https://www.philgeps.gov.ph/GEPSNONPILOT/Tender/SplashBidNoticeAbstractUI.aspx?menuIndex=3&amp;refID=7189381&amp;Result=3","7189381")</f>
        <v>0</v>
      </c>
      <c r="B5076" t="s">
        <v>91</v>
      </c>
      <c r="C5076" t="s">
        <v>8389</v>
      </c>
      <c r="D5076" t="s">
        <v>17176</v>
      </c>
      <c r="E5076" t="s">
        <v>21637</v>
      </c>
      <c r="F5076" t="s">
        <v>29372</v>
      </c>
      <c r="G5076" t="s">
        <v>29380</v>
      </c>
      <c r="H5076" t="s">
        <v>11048</v>
      </c>
      <c r="I5076" t="s">
        <v>3629</v>
      </c>
      <c r="J5076" t="s">
        <v>32826</v>
      </c>
      <c r="K5076" t="s">
        <v>38510</v>
      </c>
      <c r="M5076" t="s">
        <v>38845</v>
      </c>
      <c r="N5076" t="s">
        <v>42669</v>
      </c>
      <c r="O5076" t="s">
        <v>42670</v>
      </c>
      <c r="P5076">
        <v>0</v>
      </c>
      <c r="Q5076">
        <v>1</v>
      </c>
      <c r="R5076" t="s">
        <v>42676</v>
      </c>
      <c r="S5076" t="s">
        <v>42809</v>
      </c>
      <c r="T5076" t="s">
        <v>44546</v>
      </c>
      <c r="U5076" t="s">
        <v>48968</v>
      </c>
      <c r="W5076" t="s">
        <v>38845</v>
      </c>
      <c r="X5076" t="s">
        <v>42677</v>
      </c>
    </row>
    <row r="5077" spans="1:24">
      <c r="A5077">
        <f>HYPERLINK("https://www.philgeps.gov.ph/GEPSNONPILOT/Tender/SplashBidNoticeAbstractUI.aspx?menuIndex=3&amp;refID=7189457&amp;Result=3","7189457")</f>
        <v>0</v>
      </c>
      <c r="B5077" t="s">
        <v>1772</v>
      </c>
      <c r="C5077" t="s">
        <v>8390</v>
      </c>
      <c r="D5077" t="s">
        <v>17180</v>
      </c>
      <c r="E5077" t="s">
        <v>21638</v>
      </c>
      <c r="F5077" t="s">
        <v>29372</v>
      </c>
      <c r="G5077" t="s">
        <v>29382</v>
      </c>
      <c r="H5077" t="s">
        <v>11048</v>
      </c>
      <c r="I5077" t="s">
        <v>5383</v>
      </c>
      <c r="J5077" t="s">
        <v>32827</v>
      </c>
      <c r="K5077" t="s">
        <v>38485</v>
      </c>
      <c r="M5077" t="s">
        <v>40640</v>
      </c>
      <c r="N5077" t="s">
        <v>42669</v>
      </c>
      <c r="O5077" t="s">
        <v>42670</v>
      </c>
      <c r="P5077">
        <v>0</v>
      </c>
      <c r="Q5077">
        <v>8</v>
      </c>
      <c r="R5077" t="s">
        <v>42676</v>
      </c>
      <c r="S5077" t="s">
        <v>42809</v>
      </c>
      <c r="T5077" t="s">
        <v>44480</v>
      </c>
      <c r="U5077" t="s">
        <v>48889</v>
      </c>
      <c r="W5077" t="s">
        <v>40640</v>
      </c>
      <c r="X5077" t="s">
        <v>42677</v>
      </c>
    </row>
    <row r="5078" spans="1:24">
      <c r="A5078">
        <f>HYPERLINK("https://www.philgeps.gov.ph/GEPSNONPILOT/Tender/SplashBidNoticeAbstractUI.aspx?menuIndex=3&amp;refID=7189379&amp;Result=3","7189379")</f>
        <v>0</v>
      </c>
      <c r="B5078" t="s">
        <v>836</v>
      </c>
      <c r="C5078" t="s">
        <v>8391</v>
      </c>
      <c r="D5078" t="s">
        <v>17160</v>
      </c>
      <c r="E5078" t="s">
        <v>21639</v>
      </c>
      <c r="F5078" t="s">
        <v>29372</v>
      </c>
      <c r="G5078" t="s">
        <v>29379</v>
      </c>
      <c r="H5078" t="s">
        <v>11048</v>
      </c>
      <c r="I5078" t="s">
        <v>29393</v>
      </c>
      <c r="J5078" t="s">
        <v>32828</v>
      </c>
      <c r="K5078" t="s">
        <v>38489</v>
      </c>
      <c r="M5078" t="s">
        <v>39625</v>
      </c>
      <c r="N5078" t="s">
        <v>42669</v>
      </c>
      <c r="O5078" t="s">
        <v>42670</v>
      </c>
      <c r="P5078">
        <v>0</v>
      </c>
      <c r="Q5078">
        <v>0</v>
      </c>
      <c r="R5078" t="s">
        <v>42676</v>
      </c>
      <c r="S5078" t="s">
        <v>42809</v>
      </c>
      <c r="T5078" t="s">
        <v>44548</v>
      </c>
      <c r="U5078" t="s">
        <v>48969</v>
      </c>
      <c r="W5078" t="s">
        <v>39625</v>
      </c>
      <c r="X5078" t="s">
        <v>42677</v>
      </c>
    </row>
    <row r="5079" spans="1:24">
      <c r="A5079">
        <f>HYPERLINK("https://www.philgeps.gov.ph/GEPSNONPILOT/Tender/SplashBidNoticeAbstractUI.aspx?menuIndex=3&amp;refID=7189456&amp;Result=3","7189456")</f>
        <v>0</v>
      </c>
      <c r="B5079" t="s">
        <v>1406</v>
      </c>
      <c r="C5079" t="s">
        <v>8392</v>
      </c>
      <c r="D5079" t="s">
        <v>17173</v>
      </c>
      <c r="E5079" t="s">
        <v>21640</v>
      </c>
      <c r="F5079" t="s">
        <v>29372</v>
      </c>
      <c r="G5079" t="s">
        <v>29379</v>
      </c>
      <c r="H5079" t="s">
        <v>29391</v>
      </c>
      <c r="I5079" t="s">
        <v>29391</v>
      </c>
      <c r="J5079" t="s">
        <v>32829</v>
      </c>
      <c r="K5079" t="s">
        <v>38518</v>
      </c>
      <c r="M5079" t="s">
        <v>40245</v>
      </c>
      <c r="N5079" t="s">
        <v>42669</v>
      </c>
      <c r="O5079" t="s">
        <v>42670</v>
      </c>
      <c r="P5079">
        <v>0</v>
      </c>
      <c r="Q5079">
        <v>2</v>
      </c>
      <c r="R5079" t="s">
        <v>42676</v>
      </c>
      <c r="S5079" t="s">
        <v>42809</v>
      </c>
      <c r="T5079" t="s">
        <v>44387</v>
      </c>
      <c r="U5079" t="s">
        <v>48970</v>
      </c>
      <c r="V5079" t="s">
        <v>56922</v>
      </c>
      <c r="W5079" t="s">
        <v>40245</v>
      </c>
      <c r="X5079" t="s">
        <v>42677</v>
      </c>
    </row>
    <row r="5080" spans="1:24">
      <c r="A5080">
        <f>HYPERLINK("https://www.philgeps.gov.ph/GEPSNONPILOT/Tender/SplashBidNoticeAbstractUI.aspx?menuIndex=3&amp;refID=7189412&amp;Result=3","7189412")</f>
        <v>0</v>
      </c>
      <c r="B5080" t="s">
        <v>52</v>
      </c>
      <c r="C5080" t="s">
        <v>8393</v>
      </c>
      <c r="D5080" t="s">
        <v>17192</v>
      </c>
      <c r="E5080" t="s">
        <v>21641</v>
      </c>
      <c r="F5080" t="s">
        <v>29372</v>
      </c>
      <c r="G5080" t="s">
        <v>29379</v>
      </c>
      <c r="H5080" t="s">
        <v>11048</v>
      </c>
      <c r="I5080" t="s">
        <v>14920</v>
      </c>
      <c r="J5080" t="s">
        <v>30813</v>
      </c>
      <c r="K5080" t="s">
        <v>38522</v>
      </c>
      <c r="M5080" t="s">
        <v>38805</v>
      </c>
      <c r="N5080" t="s">
        <v>42669</v>
      </c>
      <c r="O5080" t="s">
        <v>42670</v>
      </c>
      <c r="P5080">
        <v>0</v>
      </c>
      <c r="Q5080">
        <v>3</v>
      </c>
      <c r="R5080" t="s">
        <v>42676</v>
      </c>
      <c r="S5080" t="s">
        <v>42809</v>
      </c>
      <c r="T5080" t="s">
        <v>44431</v>
      </c>
      <c r="U5080" t="s">
        <v>48971</v>
      </c>
      <c r="W5080" t="s">
        <v>38805</v>
      </c>
      <c r="X5080" t="s">
        <v>42677</v>
      </c>
    </row>
    <row r="5081" spans="1:24">
      <c r="A5081">
        <f>HYPERLINK("https://www.philgeps.gov.ph/GEPSNONPILOT/Tender/SplashBidNoticeAbstractUI.aspx?menuIndex=3&amp;refID=7189453&amp;Result=3","7189453")</f>
        <v>0</v>
      </c>
      <c r="B5081" t="s">
        <v>1796</v>
      </c>
      <c r="C5081" t="s">
        <v>8394</v>
      </c>
      <c r="D5081" t="s">
        <v>17174</v>
      </c>
      <c r="E5081" t="s">
        <v>20779</v>
      </c>
      <c r="F5081" t="s">
        <v>29372</v>
      </c>
      <c r="G5081" t="s">
        <v>29380</v>
      </c>
      <c r="H5081" t="s">
        <v>11048</v>
      </c>
      <c r="I5081" t="s">
        <v>29395</v>
      </c>
      <c r="J5081" t="s">
        <v>32830</v>
      </c>
      <c r="K5081" t="s">
        <v>38510</v>
      </c>
      <c r="M5081" t="s">
        <v>40667</v>
      </c>
      <c r="N5081" t="s">
        <v>42669</v>
      </c>
      <c r="O5081" t="s">
        <v>42670</v>
      </c>
      <c r="P5081">
        <v>0</v>
      </c>
      <c r="Q5081">
        <v>0</v>
      </c>
      <c r="R5081" t="s">
        <v>42676</v>
      </c>
      <c r="S5081" t="s">
        <v>42809</v>
      </c>
      <c r="T5081" t="s">
        <v>44527</v>
      </c>
      <c r="U5081" t="s">
        <v>48972</v>
      </c>
      <c r="W5081" t="s">
        <v>40986</v>
      </c>
      <c r="X5081" t="s">
        <v>42677</v>
      </c>
    </row>
    <row r="5082" spans="1:24">
      <c r="A5082">
        <f>HYPERLINK("https://www.philgeps.gov.ph/GEPSNONPILOT/Tender/SplashBidNoticeAbstractUI.aspx?menuIndex=3&amp;refID=7189461&amp;Result=3","7189461")</f>
        <v>0</v>
      </c>
      <c r="B5082" t="s">
        <v>1797</v>
      </c>
      <c r="C5082" t="s">
        <v>8395</v>
      </c>
      <c r="D5082" t="s">
        <v>17201</v>
      </c>
      <c r="E5082" t="s">
        <v>21642</v>
      </c>
      <c r="F5082" t="s">
        <v>29372</v>
      </c>
      <c r="G5082" t="s">
        <v>29380</v>
      </c>
      <c r="H5082" t="s">
        <v>29389</v>
      </c>
      <c r="I5082" t="s">
        <v>10408</v>
      </c>
      <c r="J5082" t="s">
        <v>32831</v>
      </c>
      <c r="K5082" t="s">
        <v>38496</v>
      </c>
      <c r="M5082" t="s">
        <v>40668</v>
      </c>
      <c r="N5082" t="s">
        <v>42669</v>
      </c>
      <c r="O5082" t="s">
        <v>42670</v>
      </c>
      <c r="P5082">
        <v>0</v>
      </c>
      <c r="Q5082">
        <v>0</v>
      </c>
      <c r="R5082" t="s">
        <v>42676</v>
      </c>
      <c r="S5082" t="s">
        <v>42809</v>
      </c>
      <c r="T5082" t="s">
        <v>44446</v>
      </c>
      <c r="U5082" t="s">
        <v>48973</v>
      </c>
      <c r="V5082" t="s">
        <v>56923</v>
      </c>
      <c r="W5082" t="s">
        <v>40668</v>
      </c>
      <c r="X5082" t="s">
        <v>42677</v>
      </c>
    </row>
    <row r="5083" spans="1:24">
      <c r="A5083">
        <f>HYPERLINK("https://www.philgeps.gov.ph/GEPSNONPILOT/Tender/SplashBidNoticeAbstractUI.aspx?menuIndex=3&amp;refID=7189449&amp;Result=3","7189449")</f>
        <v>0</v>
      </c>
      <c r="B5083" t="s">
        <v>1798</v>
      </c>
      <c r="C5083" t="s">
        <v>8396</v>
      </c>
      <c r="D5083" t="s">
        <v>17166</v>
      </c>
      <c r="E5083" t="s">
        <v>19439</v>
      </c>
      <c r="F5083" t="s">
        <v>29372</v>
      </c>
      <c r="G5083" t="s">
        <v>29383</v>
      </c>
      <c r="H5083" t="s">
        <v>11048</v>
      </c>
      <c r="I5083" t="s">
        <v>4487</v>
      </c>
      <c r="J5083" t="s">
        <v>32832</v>
      </c>
      <c r="K5083" t="s">
        <v>38535</v>
      </c>
      <c r="M5083" t="s">
        <v>40669</v>
      </c>
      <c r="N5083" t="s">
        <v>42669</v>
      </c>
      <c r="O5083" t="s">
        <v>42670</v>
      </c>
      <c r="P5083">
        <v>0</v>
      </c>
      <c r="Q5083">
        <v>1</v>
      </c>
      <c r="R5083" t="s">
        <v>42676</v>
      </c>
      <c r="S5083" t="s">
        <v>42809</v>
      </c>
      <c r="T5083" t="s">
        <v>44378</v>
      </c>
      <c r="U5083" t="s">
        <v>48974</v>
      </c>
      <c r="W5083" t="s">
        <v>40669</v>
      </c>
      <c r="X5083" t="s">
        <v>42677</v>
      </c>
    </row>
    <row r="5084" spans="1:24">
      <c r="A5084">
        <f>HYPERLINK("https://www.philgeps.gov.ph/GEPSNONPILOT/Tender/SplashBidNoticeAbstractUI.aspx?menuIndex=3&amp;refID=7189450&amp;Result=3","7189450")</f>
        <v>0</v>
      </c>
      <c r="B5084" t="s">
        <v>453</v>
      </c>
      <c r="C5084" t="s">
        <v>8397</v>
      </c>
      <c r="D5084" t="s">
        <v>17173</v>
      </c>
      <c r="E5084" t="s">
        <v>21643</v>
      </c>
      <c r="F5084" t="s">
        <v>29372</v>
      </c>
      <c r="G5084" t="s">
        <v>29380</v>
      </c>
      <c r="H5084" t="s">
        <v>11048</v>
      </c>
      <c r="I5084" t="s">
        <v>9469</v>
      </c>
      <c r="J5084" t="s">
        <v>29788</v>
      </c>
      <c r="K5084" t="s">
        <v>38485</v>
      </c>
      <c r="M5084" t="s">
        <v>39217</v>
      </c>
      <c r="N5084" t="s">
        <v>42669</v>
      </c>
      <c r="O5084" t="s">
        <v>42670</v>
      </c>
      <c r="P5084">
        <v>0</v>
      </c>
      <c r="Q5084">
        <v>4</v>
      </c>
      <c r="R5084" t="s">
        <v>42676</v>
      </c>
      <c r="S5084" t="s">
        <v>42809</v>
      </c>
      <c r="T5084" t="s">
        <v>44544</v>
      </c>
      <c r="U5084" t="s">
        <v>48975</v>
      </c>
      <c r="W5084" t="s">
        <v>39217</v>
      </c>
      <c r="X5084" t="s">
        <v>42677</v>
      </c>
    </row>
    <row r="5085" spans="1:24">
      <c r="A5085">
        <f>HYPERLINK("https://www.philgeps.gov.ph/GEPSNONPILOT/Tender/SplashBidNoticeAbstractUI.aspx?menuIndex=3&amp;refID=7189448&amp;Result=3","7189448")</f>
        <v>0</v>
      </c>
      <c r="B5085" t="s">
        <v>339</v>
      </c>
      <c r="C5085" t="s">
        <v>8398</v>
      </c>
      <c r="D5085" t="s">
        <v>17156</v>
      </c>
      <c r="E5085" t="s">
        <v>21644</v>
      </c>
      <c r="F5085" t="s">
        <v>29372</v>
      </c>
      <c r="G5085" t="s">
        <v>29380</v>
      </c>
      <c r="H5085" t="s">
        <v>11048</v>
      </c>
      <c r="I5085" t="s">
        <v>29452</v>
      </c>
      <c r="J5085" t="s">
        <v>32833</v>
      </c>
      <c r="K5085" t="s">
        <v>38496</v>
      </c>
      <c r="M5085" t="s">
        <v>39651</v>
      </c>
      <c r="N5085" t="s">
        <v>42669</v>
      </c>
      <c r="O5085" t="s">
        <v>42670</v>
      </c>
      <c r="P5085">
        <v>0</v>
      </c>
      <c r="Q5085">
        <v>0</v>
      </c>
      <c r="R5085" t="s">
        <v>42676</v>
      </c>
      <c r="S5085" t="s">
        <v>42809</v>
      </c>
      <c r="T5085" t="s">
        <v>44684</v>
      </c>
      <c r="U5085" t="s">
        <v>48976</v>
      </c>
      <c r="W5085" t="s">
        <v>39651</v>
      </c>
      <c r="X5085" t="s">
        <v>42677</v>
      </c>
    </row>
    <row r="5086" spans="1:24">
      <c r="A5086">
        <f>HYPERLINK("https://www.philgeps.gov.ph/GEPSNONPILOT/Tender/SplashBidNoticeAbstractUI.aspx?menuIndex=3&amp;refID=7189454&amp;Result=3","7189454")</f>
        <v>0</v>
      </c>
      <c r="B5086" t="s">
        <v>1663</v>
      </c>
      <c r="C5086" t="s">
        <v>8399</v>
      </c>
      <c r="D5086" t="s">
        <v>17177</v>
      </c>
      <c r="E5086" t="s">
        <v>21645</v>
      </c>
      <c r="F5086" t="s">
        <v>29373</v>
      </c>
      <c r="G5086" t="s">
        <v>29380</v>
      </c>
      <c r="H5086" t="s">
        <v>11048</v>
      </c>
      <c r="I5086" t="s">
        <v>29407</v>
      </c>
      <c r="J5086" t="s">
        <v>30100</v>
      </c>
      <c r="K5086" t="s">
        <v>38485</v>
      </c>
      <c r="M5086" t="s">
        <v>40522</v>
      </c>
      <c r="N5086" t="s">
        <v>42669</v>
      </c>
      <c r="O5086" t="s">
        <v>42670</v>
      </c>
      <c r="P5086">
        <v>0</v>
      </c>
      <c r="Q5086">
        <v>5</v>
      </c>
      <c r="R5086" t="s">
        <v>42676</v>
      </c>
      <c r="S5086" t="s">
        <v>42809</v>
      </c>
      <c r="T5086" t="s">
        <v>44542</v>
      </c>
      <c r="U5086" t="s">
        <v>48903</v>
      </c>
      <c r="V5086" t="s">
        <v>56914</v>
      </c>
      <c r="W5086" t="s">
        <v>40522</v>
      </c>
      <c r="X5086" t="s">
        <v>42677</v>
      </c>
    </row>
    <row r="5087" spans="1:24">
      <c r="A5087">
        <f>HYPERLINK("https://www.philgeps.gov.ph/GEPSNONPILOT/Tender/SplashBidNoticeAbstractUI.aspx?menuIndex=3&amp;refID=7189408&amp;Result=3","7189408")</f>
        <v>0</v>
      </c>
      <c r="B5087" t="s">
        <v>339</v>
      </c>
      <c r="C5087" t="s">
        <v>8400</v>
      </c>
      <c r="D5087" t="s">
        <v>17156</v>
      </c>
      <c r="E5087" t="s">
        <v>8400</v>
      </c>
      <c r="F5087" t="s">
        <v>29372</v>
      </c>
      <c r="G5087" t="s">
        <v>29380</v>
      </c>
      <c r="H5087" t="s">
        <v>11048</v>
      </c>
      <c r="I5087" t="s">
        <v>8614</v>
      </c>
      <c r="J5087" t="s">
        <v>29801</v>
      </c>
      <c r="K5087" t="s">
        <v>38485</v>
      </c>
      <c r="M5087" t="s">
        <v>39651</v>
      </c>
      <c r="N5087" t="s">
        <v>42669</v>
      </c>
      <c r="O5087" t="s">
        <v>42670</v>
      </c>
      <c r="P5087">
        <v>0</v>
      </c>
      <c r="Q5087">
        <v>2</v>
      </c>
      <c r="R5087" t="s">
        <v>42676</v>
      </c>
      <c r="S5087" t="s">
        <v>42809</v>
      </c>
      <c r="T5087" t="s">
        <v>44684</v>
      </c>
      <c r="U5087" t="s">
        <v>48977</v>
      </c>
      <c r="W5087" t="s">
        <v>39651</v>
      </c>
      <c r="X5087" t="s">
        <v>42677</v>
      </c>
    </row>
    <row r="5088" spans="1:24">
      <c r="A5088">
        <f>HYPERLINK("https://www.philgeps.gov.ph/GEPSNONPILOT/Tender/SplashBidNoticeAbstractUI.aspx?menuIndex=3&amp;refID=7189451&amp;Result=3","7189451")</f>
        <v>0</v>
      </c>
      <c r="B5088" t="s">
        <v>511</v>
      </c>
      <c r="C5088" t="s">
        <v>8401</v>
      </c>
      <c r="D5088" t="s">
        <v>17163</v>
      </c>
      <c r="E5088" t="s">
        <v>21646</v>
      </c>
      <c r="F5088" t="s">
        <v>29372</v>
      </c>
      <c r="G5088" t="s">
        <v>29383</v>
      </c>
      <c r="H5088" t="s">
        <v>11048</v>
      </c>
      <c r="I5088" t="s">
        <v>29400</v>
      </c>
      <c r="J5088" t="s">
        <v>32834</v>
      </c>
      <c r="K5088" t="s">
        <v>38490</v>
      </c>
      <c r="M5088" t="s">
        <v>39278</v>
      </c>
      <c r="N5088" t="s">
        <v>42669</v>
      </c>
      <c r="O5088" t="s">
        <v>42670</v>
      </c>
      <c r="P5088">
        <v>0</v>
      </c>
      <c r="Q5088">
        <v>7</v>
      </c>
      <c r="R5088" t="s">
        <v>42676</v>
      </c>
      <c r="S5088" t="s">
        <v>42809</v>
      </c>
      <c r="T5088" t="s">
        <v>44378</v>
      </c>
      <c r="U5088" t="s">
        <v>48978</v>
      </c>
      <c r="V5088" t="s">
        <v>56483</v>
      </c>
      <c r="W5088" t="s">
        <v>39278</v>
      </c>
      <c r="X5088" t="s">
        <v>42677</v>
      </c>
    </row>
    <row r="5089" spans="1:24">
      <c r="A5089">
        <f>HYPERLINK("https://www.philgeps.gov.ph/GEPSNONPILOT/Tender/SplashBidNoticeAbstractUI.aspx?menuIndex=3&amp;refID=7189442&amp;Result=3","7189442")</f>
        <v>0</v>
      </c>
      <c r="B5089" t="s">
        <v>838</v>
      </c>
      <c r="C5089" t="s">
        <v>8402</v>
      </c>
      <c r="D5089" t="s">
        <v>17193</v>
      </c>
      <c r="E5089" t="s">
        <v>21647</v>
      </c>
      <c r="F5089" t="s">
        <v>29372</v>
      </c>
      <c r="G5089" t="s">
        <v>29379</v>
      </c>
      <c r="H5089" t="s">
        <v>29389</v>
      </c>
      <c r="I5089" t="s">
        <v>10408</v>
      </c>
      <c r="J5089" t="s">
        <v>29590</v>
      </c>
      <c r="K5089" t="s">
        <v>38550</v>
      </c>
      <c r="M5089" t="s">
        <v>40639</v>
      </c>
      <c r="N5089" t="s">
        <v>42669</v>
      </c>
      <c r="O5089" t="s">
        <v>42670</v>
      </c>
      <c r="P5089">
        <v>0</v>
      </c>
      <c r="Q5089">
        <v>0</v>
      </c>
      <c r="R5089" t="s">
        <v>42676</v>
      </c>
      <c r="S5089" t="s">
        <v>42809</v>
      </c>
      <c r="T5089" t="s">
        <v>44580</v>
      </c>
      <c r="U5089" t="s">
        <v>48888</v>
      </c>
      <c r="W5089" t="s">
        <v>58058</v>
      </c>
      <c r="X5089" t="s">
        <v>42677</v>
      </c>
    </row>
    <row r="5090" spans="1:24">
      <c r="A5090">
        <f>HYPERLINK("https://www.philgeps.gov.ph/GEPSNONPILOT/Tender/SplashBidNoticeAbstractUI.aspx?menuIndex=3&amp;refID=7189375&amp;Result=3","7189375")</f>
        <v>0</v>
      </c>
      <c r="B5090" t="s">
        <v>1412</v>
      </c>
      <c r="C5090" t="s">
        <v>8403</v>
      </c>
      <c r="D5090" t="s">
        <v>17226</v>
      </c>
      <c r="E5090" t="s">
        <v>21648</v>
      </c>
      <c r="F5090" t="s">
        <v>29372</v>
      </c>
      <c r="G5090" t="s">
        <v>29380</v>
      </c>
      <c r="H5090" t="s">
        <v>11048</v>
      </c>
      <c r="I5090" t="s">
        <v>3839</v>
      </c>
      <c r="J5090" t="s">
        <v>32835</v>
      </c>
      <c r="K5090" t="s">
        <v>38510</v>
      </c>
      <c r="M5090" t="s">
        <v>40251</v>
      </c>
      <c r="N5090" t="s">
        <v>42669</v>
      </c>
      <c r="O5090" t="s">
        <v>42670</v>
      </c>
      <c r="P5090">
        <v>0</v>
      </c>
      <c r="Q5090">
        <v>3</v>
      </c>
      <c r="R5090" t="s">
        <v>42676</v>
      </c>
      <c r="S5090" t="s">
        <v>42809</v>
      </c>
      <c r="T5090" t="s">
        <v>44399</v>
      </c>
      <c r="U5090" t="s">
        <v>48027</v>
      </c>
      <c r="W5090" t="s">
        <v>40251</v>
      </c>
      <c r="X5090" t="s">
        <v>42677</v>
      </c>
    </row>
    <row r="5091" spans="1:24">
      <c r="A5091">
        <f>HYPERLINK("https://www.philgeps.gov.ph/GEPSNONPILOT/Tender/SplashBidNoticeAbstractUI.aspx?menuIndex=3&amp;refID=7189458&amp;Result=3","7189458")</f>
        <v>0</v>
      </c>
      <c r="B5091" t="s">
        <v>1163</v>
      </c>
      <c r="C5091" t="s">
        <v>8404</v>
      </c>
      <c r="D5091" t="s">
        <v>17193</v>
      </c>
      <c r="E5091" t="s">
        <v>21649</v>
      </c>
      <c r="F5091" t="s">
        <v>29372</v>
      </c>
      <c r="G5091" t="s">
        <v>29380</v>
      </c>
      <c r="H5091" t="s">
        <v>11048</v>
      </c>
      <c r="I5091" t="s">
        <v>3839</v>
      </c>
      <c r="J5091" t="s">
        <v>32836</v>
      </c>
      <c r="K5091" t="s">
        <v>38488</v>
      </c>
      <c r="M5091" t="s">
        <v>39978</v>
      </c>
      <c r="N5091" t="s">
        <v>42669</v>
      </c>
      <c r="O5091" t="s">
        <v>42670</v>
      </c>
      <c r="P5091">
        <v>0</v>
      </c>
      <c r="Q5091">
        <v>4</v>
      </c>
      <c r="R5091" t="s">
        <v>42676</v>
      </c>
      <c r="S5091" t="s">
        <v>42809</v>
      </c>
      <c r="T5091" t="s">
        <v>44368</v>
      </c>
      <c r="U5091" t="s">
        <v>48979</v>
      </c>
      <c r="V5091" t="s">
        <v>56924</v>
      </c>
      <c r="W5091" t="s">
        <v>58036</v>
      </c>
      <c r="X5091" t="s">
        <v>42677</v>
      </c>
    </row>
    <row r="5092" spans="1:24">
      <c r="A5092">
        <f>HYPERLINK("https://www.philgeps.gov.ph/GEPSNONPILOT/Tender/SplashBidNoticeAbstractUI.aspx?menuIndex=3&amp;refID=7189346&amp;Result=3","7189346")</f>
        <v>0</v>
      </c>
      <c r="B5092" t="s">
        <v>617</v>
      </c>
      <c r="C5092" t="s">
        <v>8405</v>
      </c>
      <c r="D5092" t="s">
        <v>17215</v>
      </c>
      <c r="E5092" t="s">
        <v>21650</v>
      </c>
      <c r="F5092" t="s">
        <v>29372</v>
      </c>
      <c r="G5092" t="s">
        <v>29380</v>
      </c>
      <c r="H5092" t="s">
        <v>29389</v>
      </c>
      <c r="I5092" t="s">
        <v>29394</v>
      </c>
      <c r="J5092" t="s">
        <v>32837</v>
      </c>
      <c r="K5092" t="s">
        <v>38485</v>
      </c>
      <c r="M5092" t="s">
        <v>39388</v>
      </c>
      <c r="N5092" t="s">
        <v>42669</v>
      </c>
      <c r="O5092" t="s">
        <v>42670</v>
      </c>
      <c r="P5092">
        <v>0</v>
      </c>
      <c r="Q5092">
        <v>2</v>
      </c>
      <c r="R5092" t="s">
        <v>42676</v>
      </c>
      <c r="S5092" t="s">
        <v>42809</v>
      </c>
      <c r="T5092" t="s">
        <v>44431</v>
      </c>
      <c r="U5092" t="s">
        <v>48980</v>
      </c>
      <c r="V5092" t="s">
        <v>56513</v>
      </c>
      <c r="W5092" t="s">
        <v>39388</v>
      </c>
      <c r="X5092" t="s">
        <v>42677</v>
      </c>
    </row>
    <row r="5093" spans="1:24">
      <c r="A5093">
        <f>HYPERLINK("https://www.philgeps.gov.ph/GEPSNONPILOT/Tender/SplashBidNoticeAbstractUI.aspx?menuIndex=3&amp;refID=7189447&amp;Result=3","7189447")</f>
        <v>0</v>
      </c>
      <c r="B5093" t="s">
        <v>1799</v>
      </c>
      <c r="C5093" t="s">
        <v>8406</v>
      </c>
      <c r="D5093" t="s">
        <v>17163</v>
      </c>
      <c r="E5093" t="s">
        <v>21651</v>
      </c>
      <c r="F5093" t="s">
        <v>29372</v>
      </c>
      <c r="G5093" t="s">
        <v>29379</v>
      </c>
      <c r="H5093" t="s">
        <v>11048</v>
      </c>
      <c r="I5093" t="s">
        <v>29409</v>
      </c>
      <c r="J5093" t="s">
        <v>32838</v>
      </c>
      <c r="K5093" t="s">
        <v>38528</v>
      </c>
      <c r="M5093" t="s">
        <v>40670</v>
      </c>
      <c r="N5093" t="s">
        <v>42669</v>
      </c>
      <c r="O5093" t="s">
        <v>42670</v>
      </c>
      <c r="P5093">
        <v>0</v>
      </c>
      <c r="Q5093">
        <v>2</v>
      </c>
      <c r="R5093" t="s">
        <v>42676</v>
      </c>
      <c r="S5093" t="s">
        <v>42809</v>
      </c>
      <c r="T5093" t="s">
        <v>44512</v>
      </c>
      <c r="U5093" t="s">
        <v>48981</v>
      </c>
      <c r="W5093" t="s">
        <v>40670</v>
      </c>
      <c r="X5093" t="s">
        <v>42677</v>
      </c>
    </row>
    <row r="5094" spans="1:24">
      <c r="A5094">
        <f>HYPERLINK("https://www.philgeps.gov.ph/GEPSNONPILOT/Tender/SplashBidNoticeAbstractUI.aspx?menuIndex=3&amp;refID=7189343&amp;Result=3","7189343")</f>
        <v>0</v>
      </c>
      <c r="B5094" t="s">
        <v>1183</v>
      </c>
      <c r="C5094" t="s">
        <v>8407</v>
      </c>
      <c r="D5094" t="s">
        <v>17171</v>
      </c>
      <c r="E5094" t="s">
        <v>21652</v>
      </c>
      <c r="F5094" t="s">
        <v>29372</v>
      </c>
      <c r="G5094" t="s">
        <v>29379</v>
      </c>
      <c r="H5094" t="s">
        <v>11048</v>
      </c>
      <c r="I5094" t="s">
        <v>29407</v>
      </c>
      <c r="J5094" t="s">
        <v>30087</v>
      </c>
      <c r="K5094" t="s">
        <v>38510</v>
      </c>
      <c r="M5094" t="s">
        <v>39998</v>
      </c>
      <c r="N5094" t="s">
        <v>42669</v>
      </c>
      <c r="O5094" t="s">
        <v>42670</v>
      </c>
      <c r="P5094">
        <v>0</v>
      </c>
      <c r="Q5094">
        <v>1</v>
      </c>
      <c r="R5094" t="s">
        <v>42676</v>
      </c>
      <c r="S5094" t="s">
        <v>42809</v>
      </c>
      <c r="T5094" t="s">
        <v>44432</v>
      </c>
      <c r="U5094" t="s">
        <v>48982</v>
      </c>
      <c r="W5094" t="s">
        <v>42631</v>
      </c>
      <c r="X5094" t="s">
        <v>42677</v>
      </c>
    </row>
    <row r="5095" spans="1:24">
      <c r="A5095">
        <f>HYPERLINK("https://www.philgeps.gov.ph/GEPSNONPILOT/Tender/SplashBidNoticeAbstractUI.aspx?menuIndex=3&amp;refID=7189487&amp;Result=3","7189487")</f>
        <v>0</v>
      </c>
      <c r="B5095" t="s">
        <v>1794</v>
      </c>
      <c r="C5095" t="s">
        <v>8408</v>
      </c>
      <c r="D5095" t="s">
        <v>17200</v>
      </c>
      <c r="E5095" t="s">
        <v>21653</v>
      </c>
      <c r="F5095" t="s">
        <v>29372</v>
      </c>
      <c r="G5095" t="s">
        <v>29379</v>
      </c>
      <c r="H5095" t="s">
        <v>11048</v>
      </c>
      <c r="I5095" t="s">
        <v>8208</v>
      </c>
      <c r="J5095" t="s">
        <v>32839</v>
      </c>
      <c r="K5095" t="s">
        <v>38491</v>
      </c>
      <c r="M5095" t="s">
        <v>40665</v>
      </c>
      <c r="N5095" t="s">
        <v>42669</v>
      </c>
      <c r="O5095" t="s">
        <v>42670</v>
      </c>
      <c r="P5095">
        <v>0</v>
      </c>
      <c r="Q5095">
        <v>0</v>
      </c>
      <c r="R5095" t="s">
        <v>42676</v>
      </c>
      <c r="S5095" t="s">
        <v>42809</v>
      </c>
      <c r="T5095" t="s">
        <v>44382</v>
      </c>
      <c r="U5095" t="s">
        <v>48962</v>
      </c>
      <c r="V5095" t="s">
        <v>56925</v>
      </c>
      <c r="W5095" t="s">
        <v>40665</v>
      </c>
      <c r="X5095" t="s">
        <v>42677</v>
      </c>
    </row>
    <row r="5096" spans="1:24">
      <c r="A5096">
        <f>HYPERLINK("https://www.philgeps.gov.ph/GEPSNONPILOT/Tender/SplashBidNoticeAbstractUI.aspx?menuIndex=3&amp;refID=7189501&amp;Result=3","7189501")</f>
        <v>0</v>
      </c>
      <c r="B5096" t="s">
        <v>1797</v>
      </c>
      <c r="C5096" t="s">
        <v>8409</v>
      </c>
      <c r="D5096" t="s">
        <v>17201</v>
      </c>
      <c r="E5096" t="s">
        <v>21654</v>
      </c>
      <c r="F5096" t="s">
        <v>29372</v>
      </c>
      <c r="G5096" t="s">
        <v>29380</v>
      </c>
      <c r="H5096" t="s">
        <v>29389</v>
      </c>
      <c r="I5096" t="s">
        <v>10408</v>
      </c>
      <c r="J5096" t="s">
        <v>32840</v>
      </c>
      <c r="K5096" t="s">
        <v>38646</v>
      </c>
      <c r="M5096" t="s">
        <v>40668</v>
      </c>
      <c r="N5096" t="s">
        <v>42669</v>
      </c>
      <c r="O5096" t="s">
        <v>42670</v>
      </c>
      <c r="P5096">
        <v>0</v>
      </c>
      <c r="Q5096">
        <v>0</v>
      </c>
      <c r="R5096" t="s">
        <v>42676</v>
      </c>
      <c r="S5096" t="s">
        <v>42809</v>
      </c>
      <c r="T5096" t="s">
        <v>44446</v>
      </c>
      <c r="U5096" t="s">
        <v>48973</v>
      </c>
      <c r="V5096" t="s">
        <v>56926</v>
      </c>
      <c r="W5096" t="s">
        <v>40668</v>
      </c>
      <c r="X5096" t="s">
        <v>42677</v>
      </c>
    </row>
    <row r="5097" spans="1:24">
      <c r="A5097">
        <f>HYPERLINK("https://www.philgeps.gov.ph/GEPSNONPILOT/Tender/SplashBidNoticeAbstractUI.aspx?menuIndex=3&amp;refID=7189441&amp;Result=3","7189441")</f>
        <v>0</v>
      </c>
      <c r="B5097" t="s">
        <v>738</v>
      </c>
      <c r="C5097" t="s">
        <v>8410</v>
      </c>
      <c r="E5097" t="s">
        <v>21655</v>
      </c>
      <c r="F5097" t="s">
        <v>29372</v>
      </c>
      <c r="G5097" t="s">
        <v>29379</v>
      </c>
      <c r="H5097" t="s">
        <v>11048</v>
      </c>
      <c r="I5097" t="s">
        <v>29393</v>
      </c>
      <c r="J5097" t="s">
        <v>32841</v>
      </c>
      <c r="K5097" t="s">
        <v>38490</v>
      </c>
      <c r="M5097" t="s">
        <v>39519</v>
      </c>
      <c r="N5097" t="s">
        <v>42669</v>
      </c>
      <c r="O5097" t="s">
        <v>42670</v>
      </c>
      <c r="P5097">
        <v>0</v>
      </c>
      <c r="Q5097">
        <v>0</v>
      </c>
      <c r="R5097" t="s">
        <v>42676</v>
      </c>
      <c r="S5097" t="s">
        <v>42809</v>
      </c>
      <c r="T5097" t="s">
        <v>44417</v>
      </c>
      <c r="U5097" t="s">
        <v>48983</v>
      </c>
      <c r="W5097" t="s">
        <v>39519</v>
      </c>
      <c r="X5097" t="s">
        <v>42677</v>
      </c>
    </row>
    <row r="5098" spans="1:24">
      <c r="A5098">
        <f>HYPERLINK("https://www.philgeps.gov.ph/GEPSNONPILOT/Tender/SplashBidNoticeAbstractUI.aspx?menuIndex=3&amp;refID=7189496&amp;Result=3","7189496")</f>
        <v>0</v>
      </c>
      <c r="B5098" t="s">
        <v>1800</v>
      </c>
      <c r="C5098" t="s">
        <v>8411</v>
      </c>
      <c r="D5098" t="s">
        <v>17159</v>
      </c>
      <c r="E5098" t="s">
        <v>21656</v>
      </c>
      <c r="F5098" t="s">
        <v>29372</v>
      </c>
      <c r="G5098" t="s">
        <v>29380</v>
      </c>
      <c r="H5098" t="s">
        <v>29389</v>
      </c>
      <c r="I5098" t="s">
        <v>4709</v>
      </c>
      <c r="J5098" t="s">
        <v>29619</v>
      </c>
      <c r="K5098" t="s">
        <v>38485</v>
      </c>
      <c r="M5098" t="s">
        <v>40671</v>
      </c>
      <c r="N5098" t="s">
        <v>42669</v>
      </c>
      <c r="O5098" t="s">
        <v>42670</v>
      </c>
      <c r="P5098">
        <v>0</v>
      </c>
      <c r="Q5098">
        <v>0</v>
      </c>
      <c r="R5098" t="s">
        <v>42676</v>
      </c>
      <c r="S5098" t="s">
        <v>42809</v>
      </c>
      <c r="T5098" t="s">
        <v>44470</v>
      </c>
      <c r="U5098" t="s">
        <v>48984</v>
      </c>
      <c r="W5098" t="s">
        <v>40671</v>
      </c>
      <c r="X5098" t="s">
        <v>42677</v>
      </c>
    </row>
    <row r="5099" spans="1:24">
      <c r="A5099">
        <f>HYPERLINK("https://www.philgeps.gov.ph/GEPSNONPILOT/Tender/SplashBidNoticeAbstractUI.aspx?menuIndex=3&amp;refID=7189497&amp;Result=3","7189497")</f>
        <v>0</v>
      </c>
      <c r="B5099" t="s">
        <v>1801</v>
      </c>
      <c r="C5099" t="s">
        <v>8412</v>
      </c>
      <c r="D5099" t="s">
        <v>17193</v>
      </c>
      <c r="E5099" t="s">
        <v>17269</v>
      </c>
      <c r="F5099" t="s">
        <v>29372</v>
      </c>
      <c r="G5099" t="s">
        <v>29379</v>
      </c>
      <c r="H5099" t="s">
        <v>11048</v>
      </c>
      <c r="I5099" t="s">
        <v>29425</v>
      </c>
      <c r="J5099" t="s">
        <v>32842</v>
      </c>
      <c r="K5099" t="s">
        <v>38485</v>
      </c>
      <c r="M5099" t="s">
        <v>40672</v>
      </c>
      <c r="N5099" t="s">
        <v>42669</v>
      </c>
      <c r="O5099" t="s">
        <v>42670</v>
      </c>
      <c r="P5099">
        <v>0</v>
      </c>
      <c r="Q5099">
        <v>4</v>
      </c>
      <c r="R5099" t="s">
        <v>42676</v>
      </c>
      <c r="S5099" t="s">
        <v>42809</v>
      </c>
      <c r="T5099" t="s">
        <v>44427</v>
      </c>
      <c r="U5099" t="s">
        <v>48985</v>
      </c>
      <c r="V5099" t="s">
        <v>56927</v>
      </c>
      <c r="W5099" t="s">
        <v>40672</v>
      </c>
      <c r="X5099" t="s">
        <v>42677</v>
      </c>
    </row>
    <row r="5100" spans="1:24">
      <c r="A5100">
        <f>HYPERLINK("https://www.philgeps.gov.ph/GEPSNONPILOT/Tender/SplashBidNoticeAbstractUI.aspx?menuIndex=3&amp;refID=7189492&amp;Result=3","7189492")</f>
        <v>0</v>
      </c>
      <c r="B5100" t="s">
        <v>1802</v>
      </c>
      <c r="C5100" t="s">
        <v>3670</v>
      </c>
      <c r="D5100" t="s">
        <v>17141</v>
      </c>
      <c r="E5100" t="s">
        <v>21657</v>
      </c>
      <c r="F5100" t="s">
        <v>29372</v>
      </c>
      <c r="G5100" t="s">
        <v>29380</v>
      </c>
      <c r="H5100" t="s">
        <v>11048</v>
      </c>
      <c r="I5100" t="s">
        <v>3670</v>
      </c>
      <c r="J5100" t="s">
        <v>32843</v>
      </c>
      <c r="K5100" t="s">
        <v>38490</v>
      </c>
      <c r="M5100" t="s">
        <v>40673</v>
      </c>
      <c r="N5100" t="s">
        <v>42669</v>
      </c>
      <c r="O5100" t="s">
        <v>42670</v>
      </c>
      <c r="P5100">
        <v>0</v>
      </c>
      <c r="Q5100">
        <v>5</v>
      </c>
      <c r="R5100" t="s">
        <v>42676</v>
      </c>
      <c r="S5100" t="s">
        <v>42809</v>
      </c>
      <c r="T5100" t="s">
        <v>44386</v>
      </c>
      <c r="U5100" t="s">
        <v>48986</v>
      </c>
      <c r="W5100" t="s">
        <v>40673</v>
      </c>
      <c r="X5100" t="s">
        <v>42677</v>
      </c>
    </row>
    <row r="5101" spans="1:24">
      <c r="A5101">
        <f>HYPERLINK("https://www.philgeps.gov.ph/GEPSNONPILOT/Tender/SplashBidNoticeAbstractUI.aspx?menuIndex=3&amp;refID=7189444&amp;Result=3","7189444")</f>
        <v>0</v>
      </c>
      <c r="B5101" t="s">
        <v>1797</v>
      </c>
      <c r="C5101" t="s">
        <v>8413</v>
      </c>
      <c r="D5101" t="s">
        <v>17201</v>
      </c>
      <c r="E5101" t="s">
        <v>21658</v>
      </c>
      <c r="F5101" t="s">
        <v>29372</v>
      </c>
      <c r="G5101" t="s">
        <v>29380</v>
      </c>
      <c r="H5101" t="s">
        <v>29389</v>
      </c>
      <c r="I5101" t="s">
        <v>10408</v>
      </c>
      <c r="J5101" t="s">
        <v>32844</v>
      </c>
      <c r="K5101" t="s">
        <v>38495</v>
      </c>
      <c r="M5101" t="s">
        <v>40668</v>
      </c>
      <c r="N5101" t="s">
        <v>42669</v>
      </c>
      <c r="O5101" t="s">
        <v>42670</v>
      </c>
      <c r="P5101">
        <v>0</v>
      </c>
      <c r="Q5101">
        <v>0</v>
      </c>
      <c r="R5101" t="s">
        <v>42676</v>
      </c>
      <c r="S5101" t="s">
        <v>42809</v>
      </c>
      <c r="T5101" t="s">
        <v>44446</v>
      </c>
      <c r="U5101" t="s">
        <v>48973</v>
      </c>
      <c r="V5101" t="s">
        <v>56928</v>
      </c>
      <c r="W5101" t="s">
        <v>40668</v>
      </c>
      <c r="X5101" t="s">
        <v>42677</v>
      </c>
    </row>
    <row r="5102" spans="1:24">
      <c r="A5102">
        <f>HYPERLINK("https://www.philgeps.gov.ph/GEPSNONPILOT/Tender/SplashBidNoticeAbstractUI.aspx?menuIndex=3&amp;refID=7189489&amp;Result=3","7189489")</f>
        <v>0</v>
      </c>
      <c r="B5102" t="s">
        <v>1803</v>
      </c>
      <c r="C5102" t="s">
        <v>8414</v>
      </c>
      <c r="D5102" t="s">
        <v>17153</v>
      </c>
      <c r="E5102" t="s">
        <v>21659</v>
      </c>
      <c r="F5102" t="s">
        <v>29372</v>
      </c>
      <c r="G5102" t="s">
        <v>29380</v>
      </c>
      <c r="H5102" t="s">
        <v>29389</v>
      </c>
      <c r="I5102" t="s">
        <v>10408</v>
      </c>
      <c r="J5102" t="s">
        <v>29526</v>
      </c>
      <c r="K5102" t="s">
        <v>38535</v>
      </c>
      <c r="M5102" t="s">
        <v>40674</v>
      </c>
      <c r="N5102" t="s">
        <v>42669</v>
      </c>
      <c r="O5102" t="s">
        <v>42670</v>
      </c>
      <c r="P5102">
        <v>0</v>
      </c>
      <c r="Q5102">
        <v>0</v>
      </c>
      <c r="R5102" t="s">
        <v>42676</v>
      </c>
      <c r="S5102" t="s">
        <v>42809</v>
      </c>
      <c r="T5102" t="s">
        <v>44371</v>
      </c>
      <c r="U5102" t="s">
        <v>48987</v>
      </c>
      <c r="W5102" t="s">
        <v>40674</v>
      </c>
      <c r="X5102" t="s">
        <v>42677</v>
      </c>
    </row>
    <row r="5103" spans="1:24">
      <c r="A5103">
        <f>HYPERLINK("https://www.philgeps.gov.ph/GEPSNONPILOT/Tender/SplashBidNoticeAbstractUI.aspx?menuIndex=3&amp;refID=7189488&amp;Result=3","7189488")</f>
        <v>0</v>
      </c>
      <c r="B5103" t="s">
        <v>1797</v>
      </c>
      <c r="C5103" t="s">
        <v>8415</v>
      </c>
      <c r="D5103" t="s">
        <v>17201</v>
      </c>
      <c r="E5103" t="s">
        <v>21660</v>
      </c>
      <c r="F5103" t="s">
        <v>29372</v>
      </c>
      <c r="G5103" t="s">
        <v>29380</v>
      </c>
      <c r="H5103" t="s">
        <v>29389</v>
      </c>
      <c r="I5103" t="s">
        <v>10408</v>
      </c>
      <c r="J5103" t="s">
        <v>32845</v>
      </c>
      <c r="K5103" t="s">
        <v>38485</v>
      </c>
      <c r="M5103" t="s">
        <v>40668</v>
      </c>
      <c r="N5103" t="s">
        <v>42669</v>
      </c>
      <c r="O5103" t="s">
        <v>42670</v>
      </c>
      <c r="P5103">
        <v>0</v>
      </c>
      <c r="Q5103">
        <v>0</v>
      </c>
      <c r="R5103" t="s">
        <v>42676</v>
      </c>
      <c r="S5103" t="s">
        <v>42809</v>
      </c>
      <c r="T5103" t="s">
        <v>44446</v>
      </c>
      <c r="U5103" t="s">
        <v>48973</v>
      </c>
      <c r="V5103" t="s">
        <v>56929</v>
      </c>
      <c r="W5103" t="s">
        <v>40668</v>
      </c>
      <c r="X5103" t="s">
        <v>42677</v>
      </c>
    </row>
    <row r="5104" spans="1:24">
      <c r="A5104">
        <f>HYPERLINK("https://www.philgeps.gov.ph/GEPSNONPILOT/Tender/SplashBidNoticeAbstractUI.aspx?menuIndex=3&amp;refID=7189484&amp;Result=3","7189484")</f>
        <v>0</v>
      </c>
      <c r="B5104" t="s">
        <v>1804</v>
      </c>
      <c r="C5104" t="s">
        <v>8416</v>
      </c>
      <c r="D5104" t="s">
        <v>17213</v>
      </c>
      <c r="E5104" t="s">
        <v>21661</v>
      </c>
      <c r="F5104" t="s">
        <v>29372</v>
      </c>
      <c r="G5104" t="s">
        <v>29380</v>
      </c>
      <c r="H5104" t="s">
        <v>11048</v>
      </c>
      <c r="I5104" t="s">
        <v>29398</v>
      </c>
      <c r="J5104" t="s">
        <v>32846</v>
      </c>
      <c r="K5104" t="s">
        <v>38485</v>
      </c>
      <c r="M5104" t="s">
        <v>40675</v>
      </c>
      <c r="N5104" t="s">
        <v>42669</v>
      </c>
      <c r="O5104" t="s">
        <v>42670</v>
      </c>
      <c r="P5104">
        <v>0</v>
      </c>
      <c r="Q5104">
        <v>10</v>
      </c>
      <c r="R5104" t="s">
        <v>42676</v>
      </c>
      <c r="S5104" t="s">
        <v>42809</v>
      </c>
      <c r="T5104" t="s">
        <v>44685</v>
      </c>
      <c r="U5104" t="s">
        <v>48988</v>
      </c>
      <c r="W5104" t="s">
        <v>40675</v>
      </c>
      <c r="X5104" t="s">
        <v>42677</v>
      </c>
    </row>
    <row r="5105" spans="1:24">
      <c r="A5105">
        <f>HYPERLINK("https://www.philgeps.gov.ph/GEPSNONPILOT/Tender/SplashBidNoticeAbstractUI.aspx?menuIndex=3&amp;refID=7189495&amp;Result=3","7189495")</f>
        <v>0</v>
      </c>
      <c r="B5105" t="s">
        <v>511</v>
      </c>
      <c r="C5105" t="s">
        <v>8417</v>
      </c>
      <c r="D5105" t="s">
        <v>17163</v>
      </c>
      <c r="E5105" t="s">
        <v>21662</v>
      </c>
      <c r="F5105" t="s">
        <v>29372</v>
      </c>
      <c r="G5105" t="s">
        <v>29383</v>
      </c>
      <c r="H5105" t="s">
        <v>11048</v>
      </c>
      <c r="I5105" t="s">
        <v>29407</v>
      </c>
      <c r="J5105" t="s">
        <v>32847</v>
      </c>
      <c r="K5105" t="s">
        <v>38490</v>
      </c>
      <c r="M5105" t="s">
        <v>39278</v>
      </c>
      <c r="N5105" t="s">
        <v>42669</v>
      </c>
      <c r="O5105" t="s">
        <v>42670</v>
      </c>
      <c r="P5105">
        <v>0</v>
      </c>
      <c r="Q5105">
        <v>9</v>
      </c>
      <c r="R5105" t="s">
        <v>42676</v>
      </c>
      <c r="S5105" t="s">
        <v>42809</v>
      </c>
      <c r="T5105" t="s">
        <v>44378</v>
      </c>
      <c r="U5105" t="s">
        <v>48989</v>
      </c>
      <c r="V5105" t="s">
        <v>56483</v>
      </c>
      <c r="W5105" t="s">
        <v>39278</v>
      </c>
      <c r="X5105" t="s">
        <v>42677</v>
      </c>
    </row>
    <row r="5106" spans="1:24">
      <c r="A5106">
        <f>HYPERLINK("https://www.philgeps.gov.ph/GEPSNONPILOT/Tender/SplashBidNoticeAbstractUI.aspx?menuIndex=3&amp;refID=7189373&amp;Result=3","7189373")</f>
        <v>0</v>
      </c>
      <c r="B5106" t="s">
        <v>1805</v>
      </c>
      <c r="C5106" t="s">
        <v>8418</v>
      </c>
      <c r="D5106" t="s">
        <v>17194</v>
      </c>
      <c r="E5106" t="s">
        <v>21663</v>
      </c>
      <c r="F5106" t="s">
        <v>29372</v>
      </c>
      <c r="G5106" t="s">
        <v>29380</v>
      </c>
      <c r="H5106" t="s">
        <v>11048</v>
      </c>
      <c r="I5106" t="s">
        <v>4709</v>
      </c>
      <c r="J5106" t="s">
        <v>32848</v>
      </c>
      <c r="K5106" t="s">
        <v>38510</v>
      </c>
      <c r="M5106" t="s">
        <v>40676</v>
      </c>
      <c r="N5106" t="s">
        <v>42669</v>
      </c>
      <c r="O5106" t="s">
        <v>42670</v>
      </c>
      <c r="P5106">
        <v>0</v>
      </c>
      <c r="Q5106">
        <v>0</v>
      </c>
      <c r="R5106" t="s">
        <v>42676</v>
      </c>
      <c r="S5106" t="s">
        <v>42809</v>
      </c>
      <c r="T5106" t="s">
        <v>44542</v>
      </c>
      <c r="U5106" t="s">
        <v>48990</v>
      </c>
      <c r="W5106" t="s">
        <v>40676</v>
      </c>
      <c r="X5106" t="s">
        <v>42677</v>
      </c>
    </row>
    <row r="5107" spans="1:24">
      <c r="A5107">
        <f>HYPERLINK("https://www.philgeps.gov.ph/GEPSNONPILOT/Tender/SplashBidNoticeAbstractUI.aspx?menuIndex=3&amp;refID=7189494&amp;Result=3","7189494")</f>
        <v>0</v>
      </c>
      <c r="B5107" t="s">
        <v>339</v>
      </c>
      <c r="C5107" t="s">
        <v>8419</v>
      </c>
      <c r="D5107" t="s">
        <v>17200</v>
      </c>
      <c r="E5107" t="s">
        <v>8419</v>
      </c>
      <c r="F5107" t="s">
        <v>29372</v>
      </c>
      <c r="G5107" t="s">
        <v>29380</v>
      </c>
      <c r="H5107" t="s">
        <v>11048</v>
      </c>
      <c r="I5107" t="s">
        <v>9469</v>
      </c>
      <c r="J5107" t="s">
        <v>32849</v>
      </c>
      <c r="K5107" t="s">
        <v>38485</v>
      </c>
      <c r="M5107" t="s">
        <v>39651</v>
      </c>
      <c r="N5107" t="s">
        <v>42669</v>
      </c>
      <c r="O5107" t="s">
        <v>42670</v>
      </c>
      <c r="P5107">
        <v>0</v>
      </c>
      <c r="Q5107">
        <v>2</v>
      </c>
      <c r="R5107" t="s">
        <v>42676</v>
      </c>
      <c r="S5107" t="s">
        <v>42809</v>
      </c>
      <c r="T5107" t="s">
        <v>44684</v>
      </c>
      <c r="U5107" t="s">
        <v>48991</v>
      </c>
      <c r="W5107" t="s">
        <v>39651</v>
      </c>
      <c r="X5107" t="s">
        <v>42677</v>
      </c>
    </row>
    <row r="5108" spans="1:24">
      <c r="A5108">
        <f>HYPERLINK("https://www.philgeps.gov.ph/GEPSNONPILOT/Tender/SplashBidNoticeAbstractUI.aspx?menuIndex=3&amp;refID=7189482&amp;Result=3","7189482")</f>
        <v>0</v>
      </c>
      <c r="B5108" t="s">
        <v>1806</v>
      </c>
      <c r="C5108" t="s">
        <v>8420</v>
      </c>
      <c r="D5108" t="s">
        <v>17166</v>
      </c>
      <c r="E5108" t="s">
        <v>18595</v>
      </c>
      <c r="F5108" t="s">
        <v>29372</v>
      </c>
      <c r="G5108" t="s">
        <v>29380</v>
      </c>
      <c r="H5108" t="s">
        <v>11048</v>
      </c>
      <c r="I5108" t="s">
        <v>4709</v>
      </c>
      <c r="J5108" t="s">
        <v>32850</v>
      </c>
      <c r="K5108" t="s">
        <v>38488</v>
      </c>
      <c r="M5108" t="s">
        <v>40677</v>
      </c>
      <c r="N5108" t="s">
        <v>42669</v>
      </c>
      <c r="O5108" t="s">
        <v>42670</v>
      </c>
      <c r="P5108">
        <v>0</v>
      </c>
      <c r="Q5108">
        <v>3</v>
      </c>
      <c r="R5108" t="s">
        <v>42676</v>
      </c>
      <c r="S5108" t="s">
        <v>42809</v>
      </c>
      <c r="T5108" t="s">
        <v>44382</v>
      </c>
      <c r="U5108" t="s">
        <v>48992</v>
      </c>
      <c r="W5108" t="s">
        <v>40677</v>
      </c>
      <c r="X5108" t="s">
        <v>42677</v>
      </c>
    </row>
    <row r="5109" spans="1:24">
      <c r="A5109">
        <f>HYPERLINK("https://www.philgeps.gov.ph/GEPSNONPILOT/Tender/SplashBidNoticeAbstractUI.aspx?menuIndex=3&amp;refID=7189539&amp;Result=3","7189539")</f>
        <v>0</v>
      </c>
      <c r="B5109" t="s">
        <v>1598</v>
      </c>
      <c r="C5109" t="s">
        <v>8421</v>
      </c>
      <c r="D5109" t="s">
        <v>17148</v>
      </c>
      <c r="E5109" t="s">
        <v>19078</v>
      </c>
      <c r="F5109" t="s">
        <v>29372</v>
      </c>
      <c r="G5109" t="s">
        <v>29380</v>
      </c>
      <c r="H5109" t="s">
        <v>11048</v>
      </c>
      <c r="I5109" t="s">
        <v>9469</v>
      </c>
      <c r="J5109" t="s">
        <v>29543</v>
      </c>
      <c r="K5109" t="s">
        <v>38522</v>
      </c>
      <c r="M5109" t="s">
        <v>40451</v>
      </c>
      <c r="N5109" t="s">
        <v>42669</v>
      </c>
      <c r="O5109" t="s">
        <v>42670</v>
      </c>
      <c r="P5109">
        <v>0</v>
      </c>
      <c r="Q5109">
        <v>5</v>
      </c>
      <c r="R5109" t="s">
        <v>42676</v>
      </c>
      <c r="S5109" t="s">
        <v>42809</v>
      </c>
      <c r="T5109" t="s">
        <v>44450</v>
      </c>
      <c r="U5109" t="s">
        <v>48993</v>
      </c>
      <c r="W5109" t="s">
        <v>58049</v>
      </c>
      <c r="X5109" t="s">
        <v>42677</v>
      </c>
    </row>
    <row r="5110" spans="1:24">
      <c r="A5110">
        <f>HYPERLINK("https://www.philgeps.gov.ph/GEPSNONPILOT/Tender/SplashBidNoticeAbstractUI.aspx?menuIndex=3&amp;refID=7189536&amp;Result=3","7189536")</f>
        <v>0</v>
      </c>
      <c r="B5110" t="s">
        <v>1807</v>
      </c>
      <c r="C5110" t="s">
        <v>8422</v>
      </c>
      <c r="D5110" t="s">
        <v>17192</v>
      </c>
      <c r="E5110" t="s">
        <v>21664</v>
      </c>
      <c r="F5110" t="s">
        <v>29372</v>
      </c>
      <c r="G5110" t="s">
        <v>29379</v>
      </c>
      <c r="H5110" t="s">
        <v>11048</v>
      </c>
      <c r="I5110" t="s">
        <v>3670</v>
      </c>
      <c r="J5110" t="s">
        <v>32851</v>
      </c>
      <c r="K5110" t="s">
        <v>38490</v>
      </c>
      <c r="M5110" t="s">
        <v>40678</v>
      </c>
      <c r="N5110" t="s">
        <v>42669</v>
      </c>
      <c r="O5110" t="s">
        <v>42670</v>
      </c>
      <c r="P5110">
        <v>0</v>
      </c>
      <c r="Q5110">
        <v>0</v>
      </c>
      <c r="R5110" t="s">
        <v>42676</v>
      </c>
      <c r="S5110" t="s">
        <v>42809</v>
      </c>
      <c r="T5110" t="s">
        <v>44469</v>
      </c>
      <c r="U5110" t="s">
        <v>48994</v>
      </c>
      <c r="W5110" t="s">
        <v>40678</v>
      </c>
      <c r="X5110" t="s">
        <v>42677</v>
      </c>
    </row>
    <row r="5111" spans="1:24">
      <c r="A5111">
        <f>HYPERLINK("https://www.philgeps.gov.ph/GEPSNONPILOT/Tender/SplashBidNoticeAbstractUI.aspx?menuIndex=3&amp;refID=7189486&amp;Result=3","7189486")</f>
        <v>0</v>
      </c>
      <c r="B5111" t="s">
        <v>1768</v>
      </c>
      <c r="C5111" t="s">
        <v>8423</v>
      </c>
      <c r="D5111" t="s">
        <v>17174</v>
      </c>
      <c r="E5111" t="s">
        <v>18716</v>
      </c>
      <c r="F5111" t="s">
        <v>29372</v>
      </c>
      <c r="G5111" t="s">
        <v>29380</v>
      </c>
      <c r="H5111" t="s">
        <v>11048</v>
      </c>
      <c r="I5111" t="s">
        <v>14920</v>
      </c>
      <c r="J5111" t="s">
        <v>30710</v>
      </c>
      <c r="K5111" t="s">
        <v>38518</v>
      </c>
      <c r="M5111" t="s">
        <v>40635</v>
      </c>
      <c r="N5111" t="s">
        <v>42669</v>
      </c>
      <c r="O5111" t="s">
        <v>42670</v>
      </c>
      <c r="P5111">
        <v>0</v>
      </c>
      <c r="Q5111">
        <v>0</v>
      </c>
      <c r="R5111" t="s">
        <v>42676</v>
      </c>
      <c r="S5111" t="s">
        <v>42809</v>
      </c>
      <c r="T5111" t="s">
        <v>44470</v>
      </c>
      <c r="U5111" t="s">
        <v>48995</v>
      </c>
      <c r="W5111" t="s">
        <v>40635</v>
      </c>
      <c r="X5111" t="s">
        <v>42677</v>
      </c>
    </row>
    <row r="5112" spans="1:24">
      <c r="A5112">
        <f>HYPERLINK("https://www.philgeps.gov.ph/GEPSNONPILOT/Tender/SplashBidNoticeAbstractUI.aspx?menuIndex=3&amp;refID=7189534&amp;Result=3","7189534")</f>
        <v>0</v>
      </c>
      <c r="B5112" t="s">
        <v>1648</v>
      </c>
      <c r="C5112" t="s">
        <v>8424</v>
      </c>
      <c r="D5112" t="s">
        <v>17148</v>
      </c>
      <c r="E5112" t="s">
        <v>21665</v>
      </c>
      <c r="F5112" t="s">
        <v>29372</v>
      </c>
      <c r="G5112" t="s">
        <v>29380</v>
      </c>
      <c r="H5112" t="s">
        <v>29389</v>
      </c>
      <c r="I5112" t="s">
        <v>10408</v>
      </c>
      <c r="J5112" t="s">
        <v>32852</v>
      </c>
      <c r="K5112" t="s">
        <v>38533</v>
      </c>
      <c r="M5112" t="s">
        <v>40504</v>
      </c>
      <c r="N5112" t="s">
        <v>42669</v>
      </c>
      <c r="O5112" t="s">
        <v>42670</v>
      </c>
      <c r="Q5112">
        <v>50</v>
      </c>
      <c r="R5112" t="s">
        <v>42676</v>
      </c>
      <c r="S5112" t="s">
        <v>42826</v>
      </c>
      <c r="T5112" t="s">
        <v>44363</v>
      </c>
      <c r="U5112" t="s">
        <v>48996</v>
      </c>
      <c r="V5112" t="s">
        <v>56930</v>
      </c>
      <c r="W5112" t="s">
        <v>40504</v>
      </c>
      <c r="X5112" t="s">
        <v>42677</v>
      </c>
    </row>
    <row r="5113" spans="1:24">
      <c r="A5113">
        <f>HYPERLINK("https://www.philgeps.gov.ph/GEPSNONPILOT/Tender/SplashBidNoticeAbstractUI.aspx?menuIndex=3&amp;refID=7189481&amp;Result=3","7189481")</f>
        <v>0</v>
      </c>
      <c r="B5113" t="s">
        <v>1790</v>
      </c>
      <c r="C5113" t="s">
        <v>8425</v>
      </c>
      <c r="D5113" t="s">
        <v>17172</v>
      </c>
      <c r="E5113" t="s">
        <v>21666</v>
      </c>
      <c r="F5113" t="s">
        <v>29372</v>
      </c>
      <c r="G5113" t="s">
        <v>29380</v>
      </c>
      <c r="H5113" t="s">
        <v>11048</v>
      </c>
      <c r="I5113" t="s">
        <v>4709</v>
      </c>
      <c r="J5113" t="s">
        <v>29526</v>
      </c>
      <c r="K5113" t="s">
        <v>38491</v>
      </c>
      <c r="M5113" t="s">
        <v>40661</v>
      </c>
      <c r="N5113" t="s">
        <v>42669</v>
      </c>
      <c r="O5113" t="s">
        <v>42670</v>
      </c>
      <c r="P5113">
        <v>0</v>
      </c>
      <c r="Q5113">
        <v>1</v>
      </c>
      <c r="R5113" t="s">
        <v>42676</v>
      </c>
      <c r="S5113" t="s">
        <v>42809</v>
      </c>
      <c r="T5113" t="s">
        <v>44448</v>
      </c>
      <c r="U5113" t="s">
        <v>48997</v>
      </c>
      <c r="W5113" t="s">
        <v>40661</v>
      </c>
      <c r="X5113" t="s">
        <v>42677</v>
      </c>
    </row>
    <row r="5114" spans="1:24">
      <c r="A5114">
        <f>HYPERLINK("https://www.philgeps.gov.ph/GEPSNONPILOT/Tender/SplashBidNoticeAbstractUI.aspx?menuIndex=3&amp;refID=7189530&amp;Result=3","7189530")</f>
        <v>0</v>
      </c>
      <c r="B5114" t="s">
        <v>231</v>
      </c>
      <c r="C5114" t="s">
        <v>8426</v>
      </c>
      <c r="D5114" t="s">
        <v>17166</v>
      </c>
      <c r="E5114" t="s">
        <v>21667</v>
      </c>
      <c r="F5114" t="s">
        <v>29372</v>
      </c>
      <c r="G5114" t="s">
        <v>29380</v>
      </c>
      <c r="H5114" t="s">
        <v>11048</v>
      </c>
      <c r="I5114" t="s">
        <v>29431</v>
      </c>
      <c r="J5114" t="s">
        <v>29543</v>
      </c>
      <c r="K5114" t="s">
        <v>38490</v>
      </c>
      <c r="M5114" t="s">
        <v>40655</v>
      </c>
      <c r="N5114" t="s">
        <v>42669</v>
      </c>
      <c r="O5114" t="s">
        <v>42670</v>
      </c>
      <c r="P5114">
        <v>0</v>
      </c>
      <c r="Q5114">
        <v>5</v>
      </c>
      <c r="R5114" t="s">
        <v>42676</v>
      </c>
      <c r="S5114" t="s">
        <v>42809</v>
      </c>
      <c r="T5114" t="s">
        <v>44683</v>
      </c>
      <c r="U5114" t="s">
        <v>48998</v>
      </c>
      <c r="V5114" t="s">
        <v>56917</v>
      </c>
      <c r="W5114" t="s">
        <v>40655</v>
      </c>
      <c r="X5114" t="s">
        <v>42677</v>
      </c>
    </row>
    <row r="5115" spans="1:24">
      <c r="A5115">
        <f>HYPERLINK("https://www.philgeps.gov.ph/GEPSNONPILOT/Tender/SplashBidNoticeAbstractUI.aspx?menuIndex=3&amp;refID=7189533&amp;Result=3","7189533")</f>
        <v>0</v>
      </c>
      <c r="B5115" t="s">
        <v>530</v>
      </c>
      <c r="C5115" t="s">
        <v>8427</v>
      </c>
      <c r="D5115" t="s">
        <v>17201</v>
      </c>
      <c r="E5115" t="s">
        <v>21668</v>
      </c>
      <c r="F5115" t="s">
        <v>29372</v>
      </c>
      <c r="G5115" t="s">
        <v>29380</v>
      </c>
      <c r="H5115" t="s">
        <v>11048</v>
      </c>
      <c r="I5115" t="s">
        <v>29491</v>
      </c>
      <c r="J5115" t="s">
        <v>32853</v>
      </c>
      <c r="K5115" t="s">
        <v>38485</v>
      </c>
      <c r="M5115" t="s">
        <v>39297</v>
      </c>
      <c r="N5115" t="s">
        <v>42669</v>
      </c>
      <c r="O5115" t="s">
        <v>42670</v>
      </c>
      <c r="P5115">
        <v>0</v>
      </c>
      <c r="Q5115">
        <v>7</v>
      </c>
      <c r="R5115" t="s">
        <v>42676</v>
      </c>
      <c r="S5115" t="s">
        <v>42809</v>
      </c>
      <c r="T5115" t="s">
        <v>44418</v>
      </c>
      <c r="U5115" t="s">
        <v>46011</v>
      </c>
      <c r="W5115" t="s">
        <v>39297</v>
      </c>
      <c r="X5115" t="s">
        <v>42677</v>
      </c>
    </row>
    <row r="5116" spans="1:24">
      <c r="A5116">
        <f>HYPERLINK("https://www.philgeps.gov.ph/GEPSNONPILOT/Tender/SplashBidNoticeAbstractUI.aspx?menuIndex=3&amp;refID=7189522&amp;Result=3","7189522")</f>
        <v>0</v>
      </c>
      <c r="B5116" t="s">
        <v>1808</v>
      </c>
      <c r="C5116" t="s">
        <v>8428</v>
      </c>
      <c r="D5116" t="s">
        <v>17222</v>
      </c>
      <c r="E5116" t="s">
        <v>21669</v>
      </c>
      <c r="F5116" t="s">
        <v>29372</v>
      </c>
      <c r="G5116" t="s">
        <v>29380</v>
      </c>
      <c r="H5116" t="s">
        <v>29389</v>
      </c>
      <c r="I5116" t="s">
        <v>29453</v>
      </c>
      <c r="J5116" t="s">
        <v>32854</v>
      </c>
      <c r="K5116" t="s">
        <v>38496</v>
      </c>
      <c r="M5116" t="s">
        <v>40679</v>
      </c>
      <c r="N5116" t="s">
        <v>42669</v>
      </c>
      <c r="O5116" t="s">
        <v>42670</v>
      </c>
      <c r="P5116">
        <v>0</v>
      </c>
      <c r="Q5116">
        <v>0</v>
      </c>
      <c r="R5116" t="s">
        <v>42676</v>
      </c>
      <c r="S5116" t="s">
        <v>42809</v>
      </c>
      <c r="T5116" t="s">
        <v>44542</v>
      </c>
      <c r="U5116" t="s">
        <v>48999</v>
      </c>
      <c r="W5116" t="s">
        <v>40679</v>
      </c>
      <c r="X5116" t="s">
        <v>42677</v>
      </c>
    </row>
    <row r="5117" spans="1:24">
      <c r="A5117">
        <f>HYPERLINK("https://www.philgeps.gov.ph/GEPSNONPILOT/Tender/SplashBidNoticeAbstractUI.aspx?menuIndex=3&amp;refID=7189521&amp;Result=3","7189521")</f>
        <v>0</v>
      </c>
      <c r="B5117" t="s">
        <v>812</v>
      </c>
      <c r="C5117" t="s">
        <v>8429</v>
      </c>
      <c r="D5117" t="s">
        <v>17163</v>
      </c>
      <c r="E5117" t="s">
        <v>21670</v>
      </c>
      <c r="F5117" t="s">
        <v>29372</v>
      </c>
      <c r="G5117" t="s">
        <v>29379</v>
      </c>
      <c r="H5117" t="s">
        <v>11048</v>
      </c>
      <c r="I5117" t="s">
        <v>29418</v>
      </c>
      <c r="J5117" t="s">
        <v>29555</v>
      </c>
      <c r="K5117" t="s">
        <v>38485</v>
      </c>
      <c r="M5117" t="s">
        <v>39598</v>
      </c>
      <c r="N5117" t="s">
        <v>42669</v>
      </c>
      <c r="O5117" t="s">
        <v>42670</v>
      </c>
      <c r="P5117">
        <v>0</v>
      </c>
      <c r="Q5117">
        <v>3</v>
      </c>
      <c r="R5117" t="s">
        <v>42676</v>
      </c>
      <c r="S5117" t="s">
        <v>42809</v>
      </c>
      <c r="T5117" t="s">
        <v>44469</v>
      </c>
      <c r="U5117" t="s">
        <v>49000</v>
      </c>
      <c r="W5117" t="s">
        <v>39598</v>
      </c>
      <c r="X5117" t="s">
        <v>42677</v>
      </c>
    </row>
    <row r="5118" spans="1:24">
      <c r="A5118">
        <f>HYPERLINK("https://www.philgeps.gov.ph/GEPSNONPILOT/Tender/SplashBidNoticeAbstractUI.aspx?menuIndex=3&amp;refID=7189519&amp;Result=3","7189519")</f>
        <v>0</v>
      </c>
      <c r="B5118" t="s">
        <v>1809</v>
      </c>
      <c r="C5118" t="s">
        <v>8430</v>
      </c>
      <c r="D5118" t="s">
        <v>17180</v>
      </c>
      <c r="E5118" t="s">
        <v>21671</v>
      </c>
      <c r="F5118" t="s">
        <v>29372</v>
      </c>
      <c r="G5118" t="s">
        <v>29379</v>
      </c>
      <c r="H5118" t="s">
        <v>11048</v>
      </c>
      <c r="I5118" t="s">
        <v>29395</v>
      </c>
      <c r="J5118" t="s">
        <v>32855</v>
      </c>
      <c r="K5118" t="s">
        <v>38510</v>
      </c>
      <c r="M5118" t="s">
        <v>40680</v>
      </c>
      <c r="N5118" t="s">
        <v>42669</v>
      </c>
      <c r="O5118" t="s">
        <v>42670</v>
      </c>
      <c r="P5118">
        <v>0</v>
      </c>
      <c r="Q5118">
        <v>0</v>
      </c>
      <c r="R5118" t="s">
        <v>42676</v>
      </c>
      <c r="S5118" t="s">
        <v>42809</v>
      </c>
      <c r="T5118" t="s">
        <v>44417</v>
      </c>
      <c r="U5118" t="s">
        <v>49001</v>
      </c>
      <c r="W5118" t="s">
        <v>40680</v>
      </c>
      <c r="X5118" t="s">
        <v>42677</v>
      </c>
    </row>
    <row r="5119" spans="1:24">
      <c r="A5119">
        <f>HYPERLINK("https://www.philgeps.gov.ph/GEPSNONPILOT/Tender/SplashBidNoticeAbstractUI.aspx?menuIndex=3&amp;refID=7189537&amp;Result=3","7189537")</f>
        <v>0</v>
      </c>
      <c r="B5119" t="s">
        <v>1810</v>
      </c>
      <c r="C5119" t="s">
        <v>8431</v>
      </c>
      <c r="D5119" t="s">
        <v>17168</v>
      </c>
      <c r="E5119" t="s">
        <v>21672</v>
      </c>
      <c r="F5119" t="s">
        <v>29372</v>
      </c>
      <c r="G5119" t="s">
        <v>29380</v>
      </c>
      <c r="H5119" t="s">
        <v>29391</v>
      </c>
      <c r="I5119" t="s">
        <v>29391</v>
      </c>
      <c r="J5119" t="s">
        <v>32856</v>
      </c>
      <c r="K5119" t="s">
        <v>38557</v>
      </c>
      <c r="M5119" t="s">
        <v>40681</v>
      </c>
      <c r="N5119" t="s">
        <v>42669</v>
      </c>
      <c r="O5119" t="s">
        <v>42670</v>
      </c>
      <c r="P5119">
        <v>0</v>
      </c>
      <c r="Q5119">
        <v>2</v>
      </c>
      <c r="R5119" t="s">
        <v>42676</v>
      </c>
      <c r="S5119" t="s">
        <v>42809</v>
      </c>
      <c r="T5119" t="s">
        <v>44470</v>
      </c>
      <c r="U5119" t="s">
        <v>49002</v>
      </c>
      <c r="W5119" t="s">
        <v>40681</v>
      </c>
      <c r="X5119" t="s">
        <v>42677</v>
      </c>
    </row>
    <row r="5120" spans="1:24">
      <c r="A5120">
        <f>HYPERLINK("https://www.philgeps.gov.ph/GEPSNONPILOT/Tender/SplashBidNoticeAbstractUI.aspx?menuIndex=3&amp;refID=7189518&amp;Result=3","7189518")</f>
        <v>0</v>
      </c>
      <c r="B5120" t="s">
        <v>922</v>
      </c>
      <c r="C5120" t="s">
        <v>8432</v>
      </c>
      <c r="D5120" t="s">
        <v>17144</v>
      </c>
      <c r="E5120" t="s">
        <v>21673</v>
      </c>
      <c r="F5120" t="s">
        <v>29372</v>
      </c>
      <c r="G5120" t="s">
        <v>29379</v>
      </c>
      <c r="H5120" t="s">
        <v>11048</v>
      </c>
      <c r="I5120" t="s">
        <v>9642</v>
      </c>
      <c r="J5120" t="s">
        <v>32857</v>
      </c>
      <c r="K5120" t="s">
        <v>38491</v>
      </c>
      <c r="M5120" t="s">
        <v>39717</v>
      </c>
      <c r="N5120" t="s">
        <v>42669</v>
      </c>
      <c r="O5120" t="s">
        <v>42670</v>
      </c>
      <c r="P5120">
        <v>0</v>
      </c>
      <c r="Q5120">
        <v>1</v>
      </c>
      <c r="R5120" t="s">
        <v>42676</v>
      </c>
      <c r="S5120" t="s">
        <v>42809</v>
      </c>
      <c r="T5120" t="s">
        <v>44496</v>
      </c>
      <c r="U5120" t="s">
        <v>49003</v>
      </c>
      <c r="W5120" t="s">
        <v>39717</v>
      </c>
      <c r="X5120" t="s">
        <v>42677</v>
      </c>
    </row>
    <row r="5121" spans="1:24">
      <c r="A5121">
        <f>HYPERLINK("https://www.philgeps.gov.ph/GEPSNONPILOT/Tender/SplashBidNoticeAbstractUI.aspx?menuIndex=3&amp;refID=7189517&amp;Result=3","7189517")</f>
        <v>0</v>
      </c>
      <c r="B5121" t="s">
        <v>1811</v>
      </c>
      <c r="C5121" t="s">
        <v>8433</v>
      </c>
      <c r="D5121" t="s">
        <v>17142</v>
      </c>
      <c r="E5121" t="s">
        <v>21674</v>
      </c>
      <c r="F5121" t="s">
        <v>29372</v>
      </c>
      <c r="G5121" t="s">
        <v>29380</v>
      </c>
      <c r="H5121" t="s">
        <v>29389</v>
      </c>
      <c r="I5121" t="s">
        <v>10408</v>
      </c>
      <c r="J5121" t="s">
        <v>32858</v>
      </c>
      <c r="K5121" t="s">
        <v>38487</v>
      </c>
      <c r="M5121" t="s">
        <v>40682</v>
      </c>
      <c r="N5121" t="s">
        <v>42669</v>
      </c>
      <c r="O5121" t="s">
        <v>42670</v>
      </c>
      <c r="P5121">
        <v>0</v>
      </c>
      <c r="Q5121">
        <v>3</v>
      </c>
      <c r="R5121" t="s">
        <v>42676</v>
      </c>
      <c r="S5121" t="s">
        <v>42809</v>
      </c>
      <c r="T5121" t="s">
        <v>44542</v>
      </c>
      <c r="U5121" t="s">
        <v>49004</v>
      </c>
      <c r="V5121" t="s">
        <v>56931</v>
      </c>
      <c r="W5121" t="s">
        <v>40682</v>
      </c>
      <c r="X5121" t="s">
        <v>42677</v>
      </c>
    </row>
    <row r="5122" spans="1:24">
      <c r="A5122">
        <f>HYPERLINK("https://www.philgeps.gov.ph/GEPSNONPILOT/Tender/SplashBidNoticeAbstractUI.aspx?menuIndex=3&amp;refID=7189510&amp;Result=3","7189510")</f>
        <v>0</v>
      </c>
      <c r="B5122" t="s">
        <v>1368</v>
      </c>
      <c r="C5122" t="s">
        <v>8434</v>
      </c>
      <c r="D5122" t="s">
        <v>17177</v>
      </c>
      <c r="E5122" t="s">
        <v>21675</v>
      </c>
      <c r="F5122" t="s">
        <v>29372</v>
      </c>
      <c r="G5122" t="s">
        <v>29379</v>
      </c>
      <c r="H5122" t="s">
        <v>11048</v>
      </c>
      <c r="I5122" t="s">
        <v>4709</v>
      </c>
      <c r="J5122" t="s">
        <v>32859</v>
      </c>
      <c r="K5122" t="s">
        <v>38551</v>
      </c>
      <c r="M5122" t="s">
        <v>40205</v>
      </c>
      <c r="N5122" t="s">
        <v>42669</v>
      </c>
      <c r="O5122" t="s">
        <v>42670</v>
      </c>
      <c r="P5122">
        <v>0</v>
      </c>
      <c r="Q5122">
        <v>1</v>
      </c>
      <c r="R5122" t="s">
        <v>42676</v>
      </c>
      <c r="S5122" t="s">
        <v>42809</v>
      </c>
      <c r="T5122" t="s">
        <v>44417</v>
      </c>
      <c r="U5122" t="s">
        <v>49005</v>
      </c>
      <c r="W5122" t="s">
        <v>40205</v>
      </c>
      <c r="X5122" t="s">
        <v>42677</v>
      </c>
    </row>
    <row r="5123" spans="1:24">
      <c r="A5123">
        <f>HYPERLINK("https://www.philgeps.gov.ph/GEPSNONPILOT/Tender/SplashBidNoticeAbstractUI.aspx?menuIndex=3&amp;refID=7189509&amp;Result=3","7189509")</f>
        <v>0</v>
      </c>
      <c r="B5123" t="s">
        <v>617</v>
      </c>
      <c r="C5123" t="s">
        <v>8435</v>
      </c>
      <c r="D5123" t="s">
        <v>17215</v>
      </c>
      <c r="E5123" t="s">
        <v>21676</v>
      </c>
      <c r="F5123" t="s">
        <v>29372</v>
      </c>
      <c r="G5123" t="s">
        <v>29380</v>
      </c>
      <c r="H5123" t="s">
        <v>11048</v>
      </c>
      <c r="I5123" t="s">
        <v>29404</v>
      </c>
      <c r="J5123" t="s">
        <v>32860</v>
      </c>
      <c r="K5123" t="s">
        <v>38485</v>
      </c>
      <c r="M5123" t="s">
        <v>39388</v>
      </c>
      <c r="N5123" t="s">
        <v>42669</v>
      </c>
      <c r="O5123" t="s">
        <v>42670</v>
      </c>
      <c r="P5123">
        <v>0</v>
      </c>
      <c r="Q5123">
        <v>0</v>
      </c>
      <c r="R5123" t="s">
        <v>42676</v>
      </c>
      <c r="S5123" t="s">
        <v>42809</v>
      </c>
      <c r="T5123" t="s">
        <v>44456</v>
      </c>
      <c r="U5123" t="s">
        <v>49006</v>
      </c>
      <c r="V5123" t="s">
        <v>56513</v>
      </c>
      <c r="W5123" t="s">
        <v>39388</v>
      </c>
      <c r="X5123" t="s">
        <v>42677</v>
      </c>
    </row>
    <row r="5124" spans="1:24">
      <c r="A5124">
        <f>HYPERLINK("https://www.philgeps.gov.ph/GEPSNONPILOT/Tender/SplashBidNoticeAbstractUI.aspx?menuIndex=3&amp;refID=7189508&amp;Result=3","7189508")</f>
        <v>0</v>
      </c>
      <c r="B5124" t="s">
        <v>1802</v>
      </c>
      <c r="C5124" t="s">
        <v>8436</v>
      </c>
      <c r="D5124" t="s">
        <v>17141</v>
      </c>
      <c r="E5124" t="s">
        <v>21677</v>
      </c>
      <c r="F5124" t="s">
        <v>29372</v>
      </c>
      <c r="G5124" t="s">
        <v>29380</v>
      </c>
      <c r="H5124" t="s">
        <v>11048</v>
      </c>
      <c r="I5124" t="s">
        <v>9469</v>
      </c>
      <c r="J5124" t="s">
        <v>31260</v>
      </c>
      <c r="K5124" t="s">
        <v>38490</v>
      </c>
      <c r="M5124" t="s">
        <v>40673</v>
      </c>
      <c r="N5124" t="s">
        <v>42669</v>
      </c>
      <c r="O5124" t="s">
        <v>42670</v>
      </c>
      <c r="P5124">
        <v>0</v>
      </c>
      <c r="Q5124">
        <v>4</v>
      </c>
      <c r="R5124" t="s">
        <v>42676</v>
      </c>
      <c r="S5124" t="s">
        <v>42809</v>
      </c>
      <c r="T5124" t="s">
        <v>44386</v>
      </c>
      <c r="U5124" t="s">
        <v>49007</v>
      </c>
      <c r="W5124" t="s">
        <v>40673</v>
      </c>
      <c r="X5124" t="s">
        <v>42677</v>
      </c>
    </row>
    <row r="5125" spans="1:24">
      <c r="A5125">
        <f>HYPERLINK("https://www.philgeps.gov.ph/GEPSNONPILOT/Tender/SplashBidNoticeAbstractUI.aspx?menuIndex=3&amp;refID=7189503&amp;Result=3","7189503")</f>
        <v>0</v>
      </c>
      <c r="B5125" t="s">
        <v>1812</v>
      </c>
      <c r="C5125" t="s">
        <v>8437</v>
      </c>
      <c r="D5125" t="s">
        <v>17194</v>
      </c>
      <c r="E5125" t="s">
        <v>21678</v>
      </c>
      <c r="F5125" t="s">
        <v>29372</v>
      </c>
      <c r="G5125" t="s">
        <v>29381</v>
      </c>
      <c r="H5125" t="s">
        <v>11048</v>
      </c>
      <c r="I5125" t="s">
        <v>3839</v>
      </c>
      <c r="J5125" t="s">
        <v>29555</v>
      </c>
      <c r="K5125" t="s">
        <v>38490</v>
      </c>
      <c r="M5125" t="s">
        <v>40683</v>
      </c>
      <c r="N5125" t="s">
        <v>42669</v>
      </c>
      <c r="O5125" t="s">
        <v>42670</v>
      </c>
      <c r="P5125">
        <v>0</v>
      </c>
      <c r="Q5125">
        <v>0</v>
      </c>
      <c r="R5125" t="s">
        <v>42676</v>
      </c>
      <c r="S5125" t="s">
        <v>42809</v>
      </c>
      <c r="T5125" t="s">
        <v>44354</v>
      </c>
      <c r="U5125" t="s">
        <v>49008</v>
      </c>
      <c r="W5125" t="s">
        <v>40683</v>
      </c>
      <c r="X5125" t="s">
        <v>42677</v>
      </c>
    </row>
    <row r="5126" spans="1:24">
      <c r="A5126">
        <f>HYPERLINK("https://www.philgeps.gov.ph/GEPSNONPILOT/Tender/SplashBidNoticeAbstractUI.aspx?menuIndex=3&amp;refID=7189344&amp;Result=3","7189344")</f>
        <v>0</v>
      </c>
      <c r="B5126" t="s">
        <v>1781</v>
      </c>
      <c r="C5126" t="s">
        <v>8438</v>
      </c>
      <c r="D5126" t="s">
        <v>17162</v>
      </c>
      <c r="E5126" t="s">
        <v>17870</v>
      </c>
      <c r="F5126" t="s">
        <v>29372</v>
      </c>
      <c r="G5126" t="s">
        <v>29380</v>
      </c>
      <c r="H5126" t="s">
        <v>11048</v>
      </c>
      <c r="I5126" t="s">
        <v>3670</v>
      </c>
      <c r="J5126" t="s">
        <v>32861</v>
      </c>
      <c r="K5126" t="s">
        <v>38510</v>
      </c>
      <c r="M5126" t="s">
        <v>40650</v>
      </c>
      <c r="N5126" t="s">
        <v>42669</v>
      </c>
      <c r="O5126" t="s">
        <v>42670</v>
      </c>
      <c r="P5126">
        <v>0</v>
      </c>
      <c r="Q5126">
        <v>3</v>
      </c>
      <c r="R5126" t="s">
        <v>42676</v>
      </c>
      <c r="S5126" t="s">
        <v>42809</v>
      </c>
      <c r="T5126" t="s">
        <v>44387</v>
      </c>
      <c r="U5126" t="s">
        <v>49009</v>
      </c>
      <c r="V5126" t="s">
        <v>56932</v>
      </c>
      <c r="W5126" t="s">
        <v>40650</v>
      </c>
      <c r="X5126" t="s">
        <v>42677</v>
      </c>
    </row>
    <row r="5127" spans="1:24">
      <c r="A5127">
        <f>HYPERLINK("https://www.philgeps.gov.ph/GEPSNONPILOT/Tender/SplashBidNoticeAbstractUI.aspx?menuIndex=3&amp;refID=7189563&amp;Result=3","7189563")</f>
        <v>0</v>
      </c>
      <c r="B5127" t="s">
        <v>1812</v>
      </c>
      <c r="C5127" t="s">
        <v>8439</v>
      </c>
      <c r="D5127" t="s">
        <v>17194</v>
      </c>
      <c r="E5127" t="s">
        <v>21679</v>
      </c>
      <c r="F5127" t="s">
        <v>29372</v>
      </c>
      <c r="G5127" t="s">
        <v>29379</v>
      </c>
      <c r="H5127" t="s">
        <v>11048</v>
      </c>
      <c r="I5127" t="s">
        <v>8208</v>
      </c>
      <c r="J5127" t="s">
        <v>29922</v>
      </c>
      <c r="K5127" t="s">
        <v>38490</v>
      </c>
      <c r="M5127" t="s">
        <v>40683</v>
      </c>
      <c r="N5127" t="s">
        <v>42669</v>
      </c>
      <c r="O5127" t="s">
        <v>42670</v>
      </c>
      <c r="P5127">
        <v>0</v>
      </c>
      <c r="Q5127">
        <v>0</v>
      </c>
      <c r="R5127" t="s">
        <v>42676</v>
      </c>
      <c r="S5127" t="s">
        <v>42809</v>
      </c>
      <c r="T5127" t="s">
        <v>44354</v>
      </c>
      <c r="U5127" t="s">
        <v>49010</v>
      </c>
      <c r="W5127" t="s">
        <v>40683</v>
      </c>
      <c r="X5127" t="s">
        <v>42677</v>
      </c>
    </row>
    <row r="5128" spans="1:24">
      <c r="A5128">
        <f>HYPERLINK("https://www.philgeps.gov.ph/GEPSNONPILOT/Tender/SplashBidNoticeAbstractUI.aspx?menuIndex=3&amp;refID=7189515&amp;Result=3","7189515")</f>
        <v>0</v>
      </c>
      <c r="B5128" t="s">
        <v>186</v>
      </c>
      <c r="C5128" t="s">
        <v>8440</v>
      </c>
      <c r="D5128" t="s">
        <v>17198</v>
      </c>
      <c r="E5128" t="s">
        <v>21680</v>
      </c>
      <c r="F5128" t="s">
        <v>29372</v>
      </c>
      <c r="G5128" t="s">
        <v>29380</v>
      </c>
      <c r="H5128" t="s">
        <v>11048</v>
      </c>
      <c r="I5128" t="s">
        <v>9469</v>
      </c>
      <c r="J5128" t="s">
        <v>30787</v>
      </c>
      <c r="K5128" t="s">
        <v>38485</v>
      </c>
      <c r="M5128" t="s">
        <v>38943</v>
      </c>
      <c r="N5128" t="s">
        <v>42669</v>
      </c>
      <c r="O5128" t="s">
        <v>42670</v>
      </c>
      <c r="P5128">
        <v>0</v>
      </c>
      <c r="Q5128">
        <v>1</v>
      </c>
      <c r="R5128" t="s">
        <v>42676</v>
      </c>
      <c r="S5128" t="s">
        <v>42809</v>
      </c>
      <c r="T5128" t="s">
        <v>44446</v>
      </c>
      <c r="U5128" t="s">
        <v>49011</v>
      </c>
      <c r="W5128" t="s">
        <v>38943</v>
      </c>
      <c r="X5128" t="s">
        <v>42677</v>
      </c>
    </row>
    <row r="5129" spans="1:24">
      <c r="A5129">
        <f>HYPERLINK("https://www.philgeps.gov.ph/GEPSNONPILOT/Tender/SplashBidNoticeAbstractUI.aspx?menuIndex=3&amp;refID=7189575&amp;Result=3","7189575")</f>
        <v>0</v>
      </c>
      <c r="B5129" t="s">
        <v>1488</v>
      </c>
      <c r="C5129" t="s">
        <v>8441</v>
      </c>
      <c r="D5129" t="s">
        <v>17205</v>
      </c>
      <c r="E5129" t="s">
        <v>20988</v>
      </c>
      <c r="F5129" t="s">
        <v>29372</v>
      </c>
      <c r="G5129" t="s">
        <v>29380</v>
      </c>
      <c r="H5129" t="s">
        <v>11048</v>
      </c>
      <c r="I5129" t="s">
        <v>9469</v>
      </c>
      <c r="J5129" t="s">
        <v>30161</v>
      </c>
      <c r="K5129" t="s">
        <v>38528</v>
      </c>
      <c r="M5129" t="s">
        <v>40331</v>
      </c>
      <c r="N5129" t="s">
        <v>42669</v>
      </c>
      <c r="O5129" t="s">
        <v>42670</v>
      </c>
      <c r="P5129">
        <v>0</v>
      </c>
      <c r="Q5129">
        <v>2</v>
      </c>
      <c r="R5129" t="s">
        <v>42676</v>
      </c>
      <c r="S5129" t="s">
        <v>42809</v>
      </c>
      <c r="T5129" t="s">
        <v>44355</v>
      </c>
      <c r="U5129" t="s">
        <v>49012</v>
      </c>
      <c r="V5129" t="s">
        <v>56777</v>
      </c>
      <c r="W5129" t="s">
        <v>40331</v>
      </c>
      <c r="X5129" t="s">
        <v>42677</v>
      </c>
    </row>
    <row r="5130" spans="1:24">
      <c r="A5130">
        <f>HYPERLINK("https://www.philgeps.gov.ph/GEPSNONPILOT/Tender/SplashBidNoticeAbstractUI.aspx?menuIndex=3&amp;refID=7189506&amp;Result=3","7189506")</f>
        <v>0</v>
      </c>
      <c r="B5130" t="s">
        <v>1813</v>
      </c>
      <c r="C5130" t="s">
        <v>8442</v>
      </c>
      <c r="D5130" t="s">
        <v>17180</v>
      </c>
      <c r="E5130" t="s">
        <v>21681</v>
      </c>
      <c r="F5130" t="s">
        <v>29372</v>
      </c>
      <c r="G5130" t="s">
        <v>29379</v>
      </c>
      <c r="H5130" t="s">
        <v>11048</v>
      </c>
      <c r="I5130" t="s">
        <v>29401</v>
      </c>
      <c r="J5130" t="s">
        <v>30032</v>
      </c>
      <c r="K5130" t="s">
        <v>38490</v>
      </c>
      <c r="M5130" t="s">
        <v>40684</v>
      </c>
      <c r="N5130" t="s">
        <v>42669</v>
      </c>
      <c r="O5130" t="s">
        <v>42670</v>
      </c>
      <c r="P5130">
        <v>0</v>
      </c>
      <c r="Q5130">
        <v>1</v>
      </c>
      <c r="R5130" t="s">
        <v>42676</v>
      </c>
      <c r="S5130" t="s">
        <v>42809</v>
      </c>
      <c r="T5130" t="s">
        <v>44382</v>
      </c>
      <c r="U5130" t="s">
        <v>49013</v>
      </c>
      <c r="W5130" t="s">
        <v>40684</v>
      </c>
      <c r="X5130" t="s">
        <v>42677</v>
      </c>
    </row>
    <row r="5131" spans="1:24">
      <c r="A5131">
        <f>HYPERLINK("https://www.philgeps.gov.ph/GEPSNONPILOT/Tender/SplashBidNoticeAbstractUI.aspx?menuIndex=3&amp;refID=7189572&amp;Result=3","7189572")</f>
        <v>0</v>
      </c>
      <c r="B5131" t="s">
        <v>895</v>
      </c>
      <c r="C5131" t="s">
        <v>8443</v>
      </c>
      <c r="D5131" t="s">
        <v>17197</v>
      </c>
      <c r="E5131" t="s">
        <v>21682</v>
      </c>
      <c r="F5131" t="s">
        <v>29372</v>
      </c>
      <c r="G5131" t="s">
        <v>29379</v>
      </c>
      <c r="H5131" t="s">
        <v>29390</v>
      </c>
      <c r="I5131" t="s">
        <v>29407</v>
      </c>
      <c r="J5131" t="s">
        <v>29619</v>
      </c>
      <c r="K5131" t="s">
        <v>38510</v>
      </c>
      <c r="M5131" t="s">
        <v>39688</v>
      </c>
      <c r="N5131" t="s">
        <v>42669</v>
      </c>
      <c r="O5131" t="s">
        <v>42670</v>
      </c>
      <c r="P5131">
        <v>0</v>
      </c>
      <c r="Q5131">
        <v>2</v>
      </c>
      <c r="R5131" t="s">
        <v>42676</v>
      </c>
      <c r="S5131" t="s">
        <v>42809</v>
      </c>
      <c r="T5131" t="s">
        <v>44382</v>
      </c>
      <c r="U5131" t="s">
        <v>49014</v>
      </c>
      <c r="W5131" t="s">
        <v>39688</v>
      </c>
      <c r="X5131" t="s">
        <v>42677</v>
      </c>
    </row>
    <row r="5132" spans="1:24">
      <c r="A5132">
        <f>HYPERLINK("https://www.philgeps.gov.ph/GEPSNONPILOT/Tender/SplashBidNoticeAbstractUI.aspx?menuIndex=3&amp;refID=7189571&amp;Result=3","7189571")</f>
        <v>0</v>
      </c>
      <c r="B5132" t="s">
        <v>1503</v>
      </c>
      <c r="C5132" t="s">
        <v>8444</v>
      </c>
      <c r="D5132" t="s">
        <v>17194</v>
      </c>
      <c r="E5132" t="s">
        <v>21683</v>
      </c>
      <c r="F5132" t="s">
        <v>29372</v>
      </c>
      <c r="G5132" t="s">
        <v>29379</v>
      </c>
      <c r="H5132" t="s">
        <v>11048</v>
      </c>
      <c r="I5132" t="s">
        <v>29393</v>
      </c>
      <c r="J5132" t="s">
        <v>32862</v>
      </c>
      <c r="K5132" t="s">
        <v>38485</v>
      </c>
      <c r="M5132" t="s">
        <v>40347</v>
      </c>
      <c r="N5132" t="s">
        <v>42669</v>
      </c>
      <c r="O5132" t="s">
        <v>42670</v>
      </c>
      <c r="P5132">
        <v>0</v>
      </c>
      <c r="Q5132">
        <v>0</v>
      </c>
      <c r="R5132" t="s">
        <v>42676</v>
      </c>
      <c r="S5132" t="s">
        <v>42809</v>
      </c>
      <c r="T5132" t="s">
        <v>44653</v>
      </c>
      <c r="U5132" t="s">
        <v>49015</v>
      </c>
      <c r="W5132" t="s">
        <v>40347</v>
      </c>
      <c r="X5132" t="s">
        <v>42677</v>
      </c>
    </row>
    <row r="5133" spans="1:24">
      <c r="A5133">
        <f>HYPERLINK("https://www.philgeps.gov.ph/GEPSNONPILOT/Tender/SplashBidNoticeAbstractUI.aspx?menuIndex=3&amp;refID=7189569&amp;Result=3","7189569")</f>
        <v>0</v>
      </c>
      <c r="B5133" t="s">
        <v>1813</v>
      </c>
      <c r="C5133" t="s">
        <v>8445</v>
      </c>
      <c r="D5133" t="s">
        <v>17180</v>
      </c>
      <c r="E5133" t="s">
        <v>21684</v>
      </c>
      <c r="F5133" t="s">
        <v>29372</v>
      </c>
      <c r="G5133" t="s">
        <v>29379</v>
      </c>
      <c r="H5133" t="s">
        <v>11048</v>
      </c>
      <c r="I5133" t="s">
        <v>29433</v>
      </c>
      <c r="J5133" t="s">
        <v>29526</v>
      </c>
      <c r="K5133" t="s">
        <v>38490</v>
      </c>
      <c r="M5133" t="s">
        <v>40684</v>
      </c>
      <c r="N5133" t="s">
        <v>42669</v>
      </c>
      <c r="O5133" t="s">
        <v>42670</v>
      </c>
      <c r="P5133">
        <v>0</v>
      </c>
      <c r="Q5133">
        <v>3</v>
      </c>
      <c r="R5133" t="s">
        <v>42676</v>
      </c>
      <c r="S5133" t="s">
        <v>42809</v>
      </c>
      <c r="T5133" t="s">
        <v>44394</v>
      </c>
      <c r="U5133" t="s">
        <v>49016</v>
      </c>
      <c r="W5133" t="s">
        <v>40684</v>
      </c>
      <c r="X5133" t="s">
        <v>42677</v>
      </c>
    </row>
    <row r="5134" spans="1:24">
      <c r="A5134">
        <f>HYPERLINK("https://www.philgeps.gov.ph/GEPSNONPILOT/Tender/SplashBidNoticeAbstractUI.aspx?menuIndex=3&amp;refID=7189540&amp;Result=3","7189540")</f>
        <v>0</v>
      </c>
      <c r="B5134" t="s">
        <v>1488</v>
      </c>
      <c r="C5134" t="s">
        <v>8446</v>
      </c>
      <c r="D5134" t="s">
        <v>17205</v>
      </c>
      <c r="E5134" t="s">
        <v>20972</v>
      </c>
      <c r="F5134" t="s">
        <v>29372</v>
      </c>
      <c r="G5134" t="s">
        <v>29379</v>
      </c>
      <c r="H5134" t="s">
        <v>11048</v>
      </c>
      <c r="I5134" t="s">
        <v>4709</v>
      </c>
      <c r="J5134" t="s">
        <v>32863</v>
      </c>
      <c r="K5134" t="s">
        <v>38528</v>
      </c>
      <c r="M5134" t="s">
        <v>40331</v>
      </c>
      <c r="N5134" t="s">
        <v>42669</v>
      </c>
      <c r="O5134" t="s">
        <v>42670</v>
      </c>
      <c r="P5134">
        <v>0</v>
      </c>
      <c r="Q5134">
        <v>0</v>
      </c>
      <c r="R5134" t="s">
        <v>42676</v>
      </c>
      <c r="S5134" t="s">
        <v>42809</v>
      </c>
      <c r="T5134" t="s">
        <v>44401</v>
      </c>
      <c r="U5134" t="s">
        <v>49017</v>
      </c>
      <c r="W5134" t="s">
        <v>40331</v>
      </c>
      <c r="X5134" t="s">
        <v>42677</v>
      </c>
    </row>
    <row r="5135" spans="1:24">
      <c r="A5135">
        <f>HYPERLINK("https://www.philgeps.gov.ph/GEPSNONPILOT/Tender/SplashBidNoticeAbstractUI.aspx?menuIndex=3&amp;refID=7189567&amp;Result=3","7189567")</f>
        <v>0</v>
      </c>
      <c r="B5135" t="s">
        <v>1814</v>
      </c>
      <c r="C5135" t="s">
        <v>8447</v>
      </c>
      <c r="D5135" t="s">
        <v>17141</v>
      </c>
      <c r="E5135" t="s">
        <v>21685</v>
      </c>
      <c r="F5135" t="s">
        <v>29372</v>
      </c>
      <c r="G5135" t="s">
        <v>29379</v>
      </c>
      <c r="H5135" t="s">
        <v>11048</v>
      </c>
      <c r="I5135" t="s">
        <v>29433</v>
      </c>
      <c r="J5135" t="s">
        <v>30331</v>
      </c>
      <c r="K5135" t="s">
        <v>38491</v>
      </c>
      <c r="M5135" t="s">
        <v>40685</v>
      </c>
      <c r="N5135" t="s">
        <v>42669</v>
      </c>
      <c r="O5135" t="s">
        <v>42670</v>
      </c>
      <c r="P5135">
        <v>0</v>
      </c>
      <c r="Q5135">
        <v>3</v>
      </c>
      <c r="R5135" t="s">
        <v>42676</v>
      </c>
      <c r="S5135" t="s">
        <v>42809</v>
      </c>
      <c r="T5135" t="s">
        <v>44488</v>
      </c>
      <c r="U5135" t="s">
        <v>49018</v>
      </c>
      <c r="W5135" t="s">
        <v>40685</v>
      </c>
      <c r="X5135" t="s">
        <v>42677</v>
      </c>
    </row>
    <row r="5136" spans="1:24">
      <c r="A5136">
        <f>HYPERLINK("https://www.philgeps.gov.ph/GEPSNONPILOT/Tender/SplashBidNoticeAbstractUI.aspx?menuIndex=3&amp;refID=7189528&amp;Result=3","7189528")</f>
        <v>0</v>
      </c>
      <c r="B5136" t="s">
        <v>1815</v>
      </c>
      <c r="C5136" t="s">
        <v>8448</v>
      </c>
      <c r="D5136" t="s">
        <v>17165</v>
      </c>
      <c r="E5136" t="s">
        <v>19053</v>
      </c>
      <c r="F5136" t="s">
        <v>29372</v>
      </c>
      <c r="G5136" t="s">
        <v>29379</v>
      </c>
      <c r="H5136" t="s">
        <v>11048</v>
      </c>
      <c r="I5136" t="s">
        <v>29455</v>
      </c>
      <c r="J5136" t="s">
        <v>32864</v>
      </c>
      <c r="K5136" t="s">
        <v>38490</v>
      </c>
      <c r="M5136" t="s">
        <v>40686</v>
      </c>
      <c r="N5136" t="s">
        <v>42669</v>
      </c>
      <c r="O5136" t="s">
        <v>42670</v>
      </c>
      <c r="P5136">
        <v>0</v>
      </c>
      <c r="Q5136">
        <v>0</v>
      </c>
      <c r="R5136" t="s">
        <v>42676</v>
      </c>
      <c r="S5136" t="s">
        <v>42809</v>
      </c>
      <c r="T5136" t="s">
        <v>44555</v>
      </c>
      <c r="U5136" t="s">
        <v>49019</v>
      </c>
      <c r="W5136" t="s">
        <v>40686</v>
      </c>
      <c r="X5136" t="s">
        <v>42677</v>
      </c>
    </row>
    <row r="5137" spans="1:24">
      <c r="A5137">
        <f>HYPERLINK("https://www.philgeps.gov.ph/GEPSNONPILOT/Tender/SplashBidNoticeAbstractUI.aspx?menuIndex=3&amp;refID=7189566&amp;Result=3","7189566")</f>
        <v>0</v>
      </c>
      <c r="B5137" t="s">
        <v>1816</v>
      </c>
      <c r="C5137" t="s">
        <v>8449</v>
      </c>
      <c r="D5137" t="s">
        <v>17199</v>
      </c>
      <c r="E5137" t="s">
        <v>19036</v>
      </c>
      <c r="F5137" t="s">
        <v>29372</v>
      </c>
      <c r="G5137" t="s">
        <v>29379</v>
      </c>
      <c r="H5137" t="s">
        <v>11048</v>
      </c>
      <c r="I5137" t="s">
        <v>3860</v>
      </c>
      <c r="J5137" t="s">
        <v>32865</v>
      </c>
      <c r="K5137" t="s">
        <v>38510</v>
      </c>
      <c r="M5137" t="s">
        <v>40687</v>
      </c>
      <c r="N5137" t="s">
        <v>42669</v>
      </c>
      <c r="O5137" t="s">
        <v>42670</v>
      </c>
      <c r="P5137">
        <v>0</v>
      </c>
      <c r="Q5137">
        <v>1</v>
      </c>
      <c r="R5137" t="s">
        <v>42676</v>
      </c>
      <c r="S5137" t="s">
        <v>42809</v>
      </c>
      <c r="T5137" t="s">
        <v>44432</v>
      </c>
      <c r="U5137" t="s">
        <v>49020</v>
      </c>
      <c r="W5137" t="s">
        <v>40687</v>
      </c>
      <c r="X5137" t="s">
        <v>42677</v>
      </c>
    </row>
    <row r="5138" spans="1:24">
      <c r="A5138">
        <f>HYPERLINK("https://www.philgeps.gov.ph/GEPSNONPILOT/Tender/SplashBidNoticeAbstractUI.aspx?menuIndex=3&amp;refID=7189564&amp;Result=3","7189564")</f>
        <v>0</v>
      </c>
      <c r="B5138" t="s">
        <v>1798</v>
      </c>
      <c r="C5138" t="s">
        <v>8450</v>
      </c>
      <c r="D5138" t="s">
        <v>17166</v>
      </c>
      <c r="E5138" t="s">
        <v>21686</v>
      </c>
      <c r="F5138" t="s">
        <v>29372</v>
      </c>
      <c r="G5138" t="s">
        <v>29383</v>
      </c>
      <c r="H5138" t="s">
        <v>11048</v>
      </c>
      <c r="I5138" t="s">
        <v>4487</v>
      </c>
      <c r="J5138" t="s">
        <v>32832</v>
      </c>
      <c r="K5138" t="s">
        <v>38535</v>
      </c>
      <c r="M5138" t="s">
        <v>40669</v>
      </c>
      <c r="N5138" t="s">
        <v>42669</v>
      </c>
      <c r="O5138" t="s">
        <v>42670</v>
      </c>
      <c r="P5138">
        <v>0</v>
      </c>
      <c r="Q5138">
        <v>3</v>
      </c>
      <c r="R5138" t="s">
        <v>42676</v>
      </c>
      <c r="S5138" t="s">
        <v>42809</v>
      </c>
      <c r="T5138" t="s">
        <v>44378</v>
      </c>
      <c r="U5138" t="s">
        <v>48974</v>
      </c>
      <c r="W5138" t="s">
        <v>40669</v>
      </c>
      <c r="X5138" t="s">
        <v>42677</v>
      </c>
    </row>
    <row r="5139" spans="1:24">
      <c r="A5139">
        <f>HYPERLINK("https://www.philgeps.gov.ph/GEPSNONPILOT/Tender/SplashBidNoticeAbstractUI.aspx?menuIndex=3&amp;refID=7189556&amp;Result=3","7189556")</f>
        <v>0</v>
      </c>
      <c r="B5139" t="s">
        <v>1790</v>
      </c>
      <c r="C5139" t="s">
        <v>8451</v>
      </c>
      <c r="D5139" t="s">
        <v>17172</v>
      </c>
      <c r="E5139" t="s">
        <v>21687</v>
      </c>
      <c r="F5139" t="s">
        <v>29372</v>
      </c>
      <c r="G5139" t="s">
        <v>29380</v>
      </c>
      <c r="H5139" t="s">
        <v>11048</v>
      </c>
      <c r="I5139" t="s">
        <v>3952</v>
      </c>
      <c r="J5139" t="s">
        <v>31317</v>
      </c>
      <c r="K5139" t="s">
        <v>38491</v>
      </c>
      <c r="M5139" t="s">
        <v>40661</v>
      </c>
      <c r="N5139" t="s">
        <v>42669</v>
      </c>
      <c r="O5139" t="s">
        <v>42670</v>
      </c>
      <c r="P5139">
        <v>0</v>
      </c>
      <c r="Q5139">
        <v>2</v>
      </c>
      <c r="R5139" t="s">
        <v>42676</v>
      </c>
      <c r="S5139" t="s">
        <v>42809</v>
      </c>
      <c r="T5139" t="s">
        <v>44448</v>
      </c>
      <c r="U5139" t="s">
        <v>49021</v>
      </c>
      <c r="W5139" t="s">
        <v>40661</v>
      </c>
      <c r="X5139" t="s">
        <v>42677</v>
      </c>
    </row>
    <row r="5140" spans="1:24">
      <c r="A5140">
        <f>HYPERLINK("https://www.philgeps.gov.ph/GEPSNONPILOT/Tender/SplashBidNoticeAbstractUI.aspx?menuIndex=3&amp;refID=7189446&amp;Result=3","7189446")</f>
        <v>0</v>
      </c>
      <c r="B5140" t="s">
        <v>1794</v>
      </c>
      <c r="C5140" t="s">
        <v>8452</v>
      </c>
      <c r="D5140" t="s">
        <v>17203</v>
      </c>
      <c r="E5140" t="s">
        <v>21688</v>
      </c>
      <c r="F5140" t="s">
        <v>29372</v>
      </c>
      <c r="G5140" t="s">
        <v>29379</v>
      </c>
      <c r="H5140" t="s">
        <v>11048</v>
      </c>
      <c r="I5140" t="s">
        <v>29465</v>
      </c>
      <c r="J5140" t="s">
        <v>32866</v>
      </c>
      <c r="K5140" t="s">
        <v>38491</v>
      </c>
      <c r="M5140" t="s">
        <v>40665</v>
      </c>
      <c r="N5140" t="s">
        <v>42669</v>
      </c>
      <c r="O5140" t="s">
        <v>42670</v>
      </c>
      <c r="P5140">
        <v>0</v>
      </c>
      <c r="Q5140">
        <v>0</v>
      </c>
      <c r="R5140" t="s">
        <v>42676</v>
      </c>
      <c r="S5140" t="s">
        <v>42809</v>
      </c>
      <c r="T5140" t="s">
        <v>44382</v>
      </c>
      <c r="U5140" t="s">
        <v>48962</v>
      </c>
      <c r="W5140" t="s">
        <v>40665</v>
      </c>
      <c r="X5140" t="s">
        <v>42677</v>
      </c>
    </row>
    <row r="5141" spans="1:24">
      <c r="A5141">
        <f>HYPERLINK("https://www.philgeps.gov.ph/GEPSNONPILOT/Tender/SplashBidNoticeAbstractUI.aspx?menuIndex=3&amp;refID=7189555&amp;Result=3","7189555")</f>
        <v>0</v>
      </c>
      <c r="B5141" t="s">
        <v>1817</v>
      </c>
      <c r="C5141" t="s">
        <v>8453</v>
      </c>
      <c r="D5141" t="s">
        <v>17153</v>
      </c>
      <c r="E5141" t="s">
        <v>21689</v>
      </c>
      <c r="F5141" t="s">
        <v>29372</v>
      </c>
      <c r="G5141" t="s">
        <v>29379</v>
      </c>
      <c r="H5141" t="s">
        <v>11048</v>
      </c>
      <c r="I5141" t="s">
        <v>3839</v>
      </c>
      <c r="J5141" t="s">
        <v>29767</v>
      </c>
      <c r="K5141" t="s">
        <v>38488</v>
      </c>
      <c r="M5141" t="s">
        <v>40688</v>
      </c>
      <c r="N5141" t="s">
        <v>42669</v>
      </c>
      <c r="O5141" t="s">
        <v>42670</v>
      </c>
      <c r="P5141">
        <v>0</v>
      </c>
      <c r="Q5141">
        <v>0</v>
      </c>
      <c r="R5141" t="s">
        <v>42676</v>
      </c>
      <c r="S5141" t="s">
        <v>42809</v>
      </c>
      <c r="T5141" t="s">
        <v>44401</v>
      </c>
      <c r="U5141" t="s">
        <v>49022</v>
      </c>
      <c r="W5141" t="s">
        <v>40688</v>
      </c>
      <c r="X5141" t="s">
        <v>42677</v>
      </c>
    </row>
    <row r="5142" spans="1:24">
      <c r="A5142">
        <f>HYPERLINK("https://www.philgeps.gov.ph/GEPSNONPILOT/Tender/SplashBidNoticeAbstractUI.aspx?menuIndex=3&amp;refID=7189554&amp;Result=3","7189554")</f>
        <v>0</v>
      </c>
      <c r="B5142" t="s">
        <v>1324</v>
      </c>
      <c r="C5142" t="s">
        <v>8454</v>
      </c>
      <c r="D5142" t="s">
        <v>17173</v>
      </c>
      <c r="E5142" t="s">
        <v>21690</v>
      </c>
      <c r="F5142" t="s">
        <v>29372</v>
      </c>
      <c r="G5142" t="s">
        <v>29379</v>
      </c>
      <c r="H5142" t="s">
        <v>11048</v>
      </c>
      <c r="I5142" t="s">
        <v>3670</v>
      </c>
      <c r="J5142" t="s">
        <v>32867</v>
      </c>
      <c r="K5142" t="s">
        <v>38485</v>
      </c>
      <c r="M5142" t="s">
        <v>40160</v>
      </c>
      <c r="N5142" t="s">
        <v>42669</v>
      </c>
      <c r="O5142" t="s">
        <v>42670</v>
      </c>
      <c r="P5142">
        <v>0</v>
      </c>
      <c r="Q5142">
        <v>0</v>
      </c>
      <c r="R5142" t="s">
        <v>42676</v>
      </c>
      <c r="S5142" t="s">
        <v>42809</v>
      </c>
      <c r="T5142" t="s">
        <v>44480</v>
      </c>
      <c r="U5142" t="s">
        <v>49023</v>
      </c>
      <c r="W5142" t="s">
        <v>40160</v>
      </c>
      <c r="X5142" t="s">
        <v>42677</v>
      </c>
    </row>
    <row r="5143" spans="1:24">
      <c r="A5143">
        <f>HYPERLINK("https://www.philgeps.gov.ph/GEPSNONPILOT/Tender/SplashBidNoticeAbstractUI.aspx?menuIndex=3&amp;refID=7189551&amp;Result=3","7189551")</f>
        <v>0</v>
      </c>
      <c r="B5143" t="s">
        <v>1818</v>
      </c>
      <c r="C5143" t="s">
        <v>8455</v>
      </c>
      <c r="D5143" t="s">
        <v>17163</v>
      </c>
      <c r="E5143" t="s">
        <v>21691</v>
      </c>
      <c r="F5143" t="s">
        <v>29372</v>
      </c>
      <c r="G5143" t="s">
        <v>29379</v>
      </c>
      <c r="H5143" t="s">
        <v>11048</v>
      </c>
      <c r="I5143" t="s">
        <v>4487</v>
      </c>
      <c r="J5143" t="s">
        <v>32868</v>
      </c>
      <c r="K5143" t="s">
        <v>38485</v>
      </c>
      <c r="M5143" t="s">
        <v>40689</v>
      </c>
      <c r="N5143" t="s">
        <v>42669</v>
      </c>
      <c r="O5143" t="s">
        <v>42670</v>
      </c>
      <c r="P5143">
        <v>0</v>
      </c>
      <c r="Q5143">
        <v>2</v>
      </c>
      <c r="R5143" t="s">
        <v>42676</v>
      </c>
      <c r="S5143" t="s">
        <v>42809</v>
      </c>
      <c r="T5143" t="s">
        <v>44387</v>
      </c>
      <c r="U5143" t="s">
        <v>49024</v>
      </c>
      <c r="W5143" t="s">
        <v>40689</v>
      </c>
      <c r="X5143" t="s">
        <v>42677</v>
      </c>
    </row>
    <row r="5144" spans="1:24">
      <c r="A5144">
        <f>HYPERLINK("https://www.philgeps.gov.ph/GEPSNONPILOT/Tender/SplashBidNoticeAbstractUI.aspx?menuIndex=3&amp;refID=7189546&amp;Result=3","7189546")</f>
        <v>0</v>
      </c>
      <c r="B5144" t="s">
        <v>1799</v>
      </c>
      <c r="C5144" t="s">
        <v>8456</v>
      </c>
      <c r="D5144" t="s">
        <v>17163</v>
      </c>
      <c r="E5144" t="s">
        <v>21692</v>
      </c>
      <c r="F5144" t="s">
        <v>29372</v>
      </c>
      <c r="G5144" t="s">
        <v>29379</v>
      </c>
      <c r="H5144" t="s">
        <v>11048</v>
      </c>
      <c r="I5144" t="s">
        <v>29409</v>
      </c>
      <c r="J5144" t="s">
        <v>32869</v>
      </c>
      <c r="K5144" t="s">
        <v>38528</v>
      </c>
      <c r="M5144" t="s">
        <v>40670</v>
      </c>
      <c r="N5144" t="s">
        <v>42669</v>
      </c>
      <c r="O5144" t="s">
        <v>42670</v>
      </c>
      <c r="P5144">
        <v>0</v>
      </c>
      <c r="Q5144">
        <v>1</v>
      </c>
      <c r="R5144" t="s">
        <v>42676</v>
      </c>
      <c r="S5144" t="s">
        <v>42809</v>
      </c>
      <c r="T5144" t="s">
        <v>44512</v>
      </c>
      <c r="U5144" t="s">
        <v>49025</v>
      </c>
      <c r="W5144" t="s">
        <v>40670</v>
      </c>
      <c r="X5144" t="s">
        <v>42677</v>
      </c>
    </row>
    <row r="5145" spans="1:24">
      <c r="A5145">
        <f>HYPERLINK("https://www.philgeps.gov.ph/GEPSNONPILOT/Tender/SplashBidNoticeAbstractUI.aspx?menuIndex=3&amp;refID=7189527&amp;Result=3","7189527")</f>
        <v>0</v>
      </c>
      <c r="B5145" t="s">
        <v>1819</v>
      </c>
      <c r="C5145" t="s">
        <v>8457</v>
      </c>
      <c r="D5145" t="s">
        <v>17161</v>
      </c>
      <c r="E5145" t="s">
        <v>21693</v>
      </c>
      <c r="F5145" t="s">
        <v>29372</v>
      </c>
      <c r="G5145" t="s">
        <v>29380</v>
      </c>
      <c r="H5145" t="s">
        <v>11048</v>
      </c>
      <c r="I5145" t="s">
        <v>29407</v>
      </c>
      <c r="J5145" t="s">
        <v>32870</v>
      </c>
      <c r="K5145" t="s">
        <v>38510</v>
      </c>
      <c r="M5145" t="s">
        <v>40690</v>
      </c>
      <c r="N5145" t="s">
        <v>42669</v>
      </c>
      <c r="O5145" t="s">
        <v>42670</v>
      </c>
      <c r="P5145">
        <v>0</v>
      </c>
      <c r="Q5145">
        <v>5</v>
      </c>
      <c r="R5145" t="s">
        <v>42676</v>
      </c>
      <c r="S5145" t="s">
        <v>42809</v>
      </c>
      <c r="T5145" t="s">
        <v>44542</v>
      </c>
      <c r="U5145" t="s">
        <v>49026</v>
      </c>
      <c r="W5145" t="s">
        <v>40690</v>
      </c>
      <c r="X5145" t="s">
        <v>42677</v>
      </c>
    </row>
    <row r="5146" spans="1:24">
      <c r="A5146">
        <f>HYPERLINK("https://www.philgeps.gov.ph/GEPSNONPILOT/Tender/SplashBidNoticeAbstractUI.aspx?menuIndex=3&amp;refID=7189542&amp;Result=3","7189542")</f>
        <v>0</v>
      </c>
      <c r="B5146" t="s">
        <v>1615</v>
      </c>
      <c r="C5146" t="s">
        <v>8458</v>
      </c>
      <c r="D5146" t="s">
        <v>17170</v>
      </c>
      <c r="E5146" t="s">
        <v>17283</v>
      </c>
      <c r="F5146" t="s">
        <v>29372</v>
      </c>
      <c r="G5146" t="s">
        <v>29380</v>
      </c>
      <c r="H5146" t="s">
        <v>11048</v>
      </c>
      <c r="I5146" t="s">
        <v>3839</v>
      </c>
      <c r="J5146" t="s">
        <v>30100</v>
      </c>
      <c r="K5146" t="s">
        <v>38490</v>
      </c>
      <c r="M5146" t="s">
        <v>40468</v>
      </c>
      <c r="N5146" t="s">
        <v>42669</v>
      </c>
      <c r="O5146" t="s">
        <v>42670</v>
      </c>
      <c r="P5146">
        <v>0</v>
      </c>
      <c r="Q5146">
        <v>7</v>
      </c>
      <c r="R5146" t="s">
        <v>42676</v>
      </c>
      <c r="S5146" t="s">
        <v>42809</v>
      </c>
      <c r="T5146" t="s">
        <v>44459</v>
      </c>
      <c r="U5146" t="s">
        <v>49027</v>
      </c>
      <c r="W5146" t="s">
        <v>40468</v>
      </c>
      <c r="X5146" t="s">
        <v>42677</v>
      </c>
    </row>
    <row r="5147" spans="1:24">
      <c r="A5147">
        <f>HYPERLINK("https://www.philgeps.gov.ph/GEPSNONPILOT/Tender/SplashBidNoticeAbstractUI.aspx?menuIndex=3&amp;refID=7189475&amp;Result=3","7189475")</f>
        <v>0</v>
      </c>
      <c r="B5147" t="s">
        <v>1820</v>
      </c>
      <c r="C5147" t="s">
        <v>8459</v>
      </c>
      <c r="E5147" t="s">
        <v>21694</v>
      </c>
      <c r="F5147" t="s">
        <v>29372</v>
      </c>
      <c r="G5147" t="s">
        <v>29379</v>
      </c>
      <c r="H5147" t="s">
        <v>11048</v>
      </c>
      <c r="I5147" t="s">
        <v>29398</v>
      </c>
      <c r="J5147" t="s">
        <v>30434</v>
      </c>
      <c r="K5147" t="s">
        <v>38488</v>
      </c>
      <c r="M5147" t="s">
        <v>40691</v>
      </c>
      <c r="N5147" t="s">
        <v>42669</v>
      </c>
      <c r="O5147" t="s">
        <v>42670</v>
      </c>
      <c r="P5147">
        <v>0</v>
      </c>
      <c r="Q5147">
        <v>9</v>
      </c>
      <c r="R5147" t="s">
        <v>42676</v>
      </c>
      <c r="S5147" t="s">
        <v>42809</v>
      </c>
      <c r="T5147" t="s">
        <v>44454</v>
      </c>
      <c r="U5147" t="s">
        <v>49028</v>
      </c>
      <c r="V5147" t="s">
        <v>56933</v>
      </c>
      <c r="W5147" t="s">
        <v>40691</v>
      </c>
      <c r="X5147" t="s">
        <v>42677</v>
      </c>
    </row>
    <row r="5148" spans="1:24">
      <c r="A5148">
        <f>HYPERLINK("https://www.philgeps.gov.ph/GEPSNONPILOT/Tender/SplashBidNoticeAbstractUI.aspx?menuIndex=3&amp;refID=7189570&amp;Result=3","7189570")</f>
        <v>0</v>
      </c>
      <c r="B5148" t="s">
        <v>512</v>
      </c>
      <c r="C5148" t="s">
        <v>8460</v>
      </c>
      <c r="D5148" t="s">
        <v>17193</v>
      </c>
      <c r="E5148" t="s">
        <v>21695</v>
      </c>
      <c r="F5148" t="s">
        <v>29372</v>
      </c>
      <c r="G5148" t="s">
        <v>29379</v>
      </c>
      <c r="H5148" t="s">
        <v>11048</v>
      </c>
      <c r="I5148" t="s">
        <v>4487</v>
      </c>
      <c r="J5148" t="s">
        <v>30212</v>
      </c>
      <c r="K5148" t="s">
        <v>38491</v>
      </c>
      <c r="M5148" t="s">
        <v>39279</v>
      </c>
      <c r="N5148" t="s">
        <v>42669</v>
      </c>
      <c r="O5148" t="s">
        <v>42670</v>
      </c>
      <c r="P5148">
        <v>0</v>
      </c>
      <c r="Q5148">
        <v>3</v>
      </c>
      <c r="R5148" t="s">
        <v>42676</v>
      </c>
      <c r="S5148" t="s">
        <v>42809</v>
      </c>
      <c r="T5148" t="s">
        <v>44432</v>
      </c>
      <c r="U5148" t="s">
        <v>49029</v>
      </c>
      <c r="W5148" t="s">
        <v>39279</v>
      </c>
      <c r="X5148" t="s">
        <v>42677</v>
      </c>
    </row>
    <row r="5149" spans="1:24">
      <c r="A5149">
        <f>HYPERLINK("https://www.philgeps.gov.ph/GEPSNONPILOT/Tender/SplashBidNoticeAbstractUI.aspx?menuIndex=3&amp;refID=7189553&amp;Result=3","7189553")</f>
        <v>0</v>
      </c>
      <c r="B5149" t="s">
        <v>1821</v>
      </c>
      <c r="C5149" t="s">
        <v>8461</v>
      </c>
      <c r="D5149" t="s">
        <v>17167</v>
      </c>
      <c r="E5149" t="s">
        <v>21696</v>
      </c>
      <c r="F5149" t="s">
        <v>29372</v>
      </c>
      <c r="G5149" t="s">
        <v>29379</v>
      </c>
      <c r="H5149" t="s">
        <v>11048</v>
      </c>
      <c r="I5149" t="s">
        <v>29461</v>
      </c>
      <c r="J5149" t="s">
        <v>29619</v>
      </c>
      <c r="K5149" t="s">
        <v>38490</v>
      </c>
      <c r="M5149" t="s">
        <v>40692</v>
      </c>
      <c r="N5149" t="s">
        <v>42669</v>
      </c>
      <c r="O5149" t="s">
        <v>42670</v>
      </c>
      <c r="P5149">
        <v>0</v>
      </c>
      <c r="Q5149">
        <v>0</v>
      </c>
      <c r="R5149" t="s">
        <v>42676</v>
      </c>
      <c r="S5149" t="s">
        <v>42809</v>
      </c>
      <c r="T5149" t="s">
        <v>44401</v>
      </c>
      <c r="U5149" t="s">
        <v>49030</v>
      </c>
      <c r="W5149" t="s">
        <v>40692</v>
      </c>
      <c r="X5149" t="s">
        <v>42677</v>
      </c>
    </row>
    <row r="5150" spans="1:24">
      <c r="A5150">
        <f>HYPERLINK("https://www.philgeps.gov.ph/GEPSNONPILOT/Tender/SplashBidNoticeAbstractUI.aspx?menuIndex=3&amp;refID=7189577&amp;Result=3","7189577")</f>
        <v>0</v>
      </c>
      <c r="B5150" t="s">
        <v>1615</v>
      </c>
      <c r="C5150" t="s">
        <v>8462</v>
      </c>
      <c r="D5150" t="s">
        <v>17170</v>
      </c>
      <c r="E5150" t="s">
        <v>17282</v>
      </c>
      <c r="F5150" t="s">
        <v>29372</v>
      </c>
      <c r="G5150" t="s">
        <v>29380</v>
      </c>
      <c r="H5150" t="s">
        <v>11048</v>
      </c>
      <c r="I5150" t="s">
        <v>29398</v>
      </c>
      <c r="J5150" t="s">
        <v>29777</v>
      </c>
      <c r="K5150" t="s">
        <v>38490</v>
      </c>
      <c r="M5150" t="s">
        <v>40468</v>
      </c>
      <c r="N5150" t="s">
        <v>42669</v>
      </c>
      <c r="O5150" t="s">
        <v>42670</v>
      </c>
      <c r="P5150">
        <v>0</v>
      </c>
      <c r="Q5150">
        <v>5</v>
      </c>
      <c r="R5150" t="s">
        <v>42676</v>
      </c>
      <c r="S5150" t="s">
        <v>42809</v>
      </c>
      <c r="T5150" t="s">
        <v>44459</v>
      </c>
      <c r="U5150" t="s">
        <v>49027</v>
      </c>
      <c r="W5150" t="s">
        <v>40468</v>
      </c>
      <c r="X5150" t="s">
        <v>42677</v>
      </c>
    </row>
    <row r="5151" spans="1:24">
      <c r="A5151">
        <f>HYPERLINK("https://www.philgeps.gov.ph/GEPSNONPILOT/Tender/SplashBidNoticeAbstractUI.aspx?menuIndex=3&amp;refID=7189550&amp;Result=3","7189550")</f>
        <v>0</v>
      </c>
      <c r="B5151" t="s">
        <v>1794</v>
      </c>
      <c r="C5151" t="s">
        <v>8463</v>
      </c>
      <c r="D5151" t="s">
        <v>17144</v>
      </c>
      <c r="E5151" t="s">
        <v>21697</v>
      </c>
      <c r="F5151" t="s">
        <v>29372</v>
      </c>
      <c r="G5151" t="s">
        <v>29379</v>
      </c>
      <c r="H5151" t="s">
        <v>11048</v>
      </c>
      <c r="I5151" t="s">
        <v>29437</v>
      </c>
      <c r="J5151" t="s">
        <v>32871</v>
      </c>
      <c r="K5151" t="s">
        <v>38491</v>
      </c>
      <c r="M5151" t="s">
        <v>40665</v>
      </c>
      <c r="N5151" t="s">
        <v>42669</v>
      </c>
      <c r="O5151" t="s">
        <v>42670</v>
      </c>
      <c r="P5151">
        <v>0</v>
      </c>
      <c r="Q5151">
        <v>0</v>
      </c>
      <c r="R5151" t="s">
        <v>42676</v>
      </c>
      <c r="S5151" t="s">
        <v>42809</v>
      </c>
      <c r="T5151" t="s">
        <v>44382</v>
      </c>
      <c r="U5151" t="s">
        <v>48962</v>
      </c>
      <c r="V5151" t="s">
        <v>56925</v>
      </c>
      <c r="W5151" t="s">
        <v>40665</v>
      </c>
      <c r="X5151" t="s">
        <v>42677</v>
      </c>
    </row>
    <row r="5152" spans="1:24">
      <c r="A5152">
        <f>HYPERLINK("https://www.philgeps.gov.ph/GEPSNONPILOT/Tender/SplashBidNoticeAbstractUI.aspx?menuIndex=3&amp;refID=7189548&amp;Result=3","7189548")</f>
        <v>0</v>
      </c>
      <c r="B5152" t="s">
        <v>512</v>
      </c>
      <c r="C5152" t="s">
        <v>8464</v>
      </c>
      <c r="D5152" t="s">
        <v>17193</v>
      </c>
      <c r="E5152" t="s">
        <v>21698</v>
      </c>
      <c r="F5152" t="s">
        <v>29372</v>
      </c>
      <c r="G5152" t="s">
        <v>29379</v>
      </c>
      <c r="H5152" t="s">
        <v>11048</v>
      </c>
      <c r="I5152" t="s">
        <v>29434</v>
      </c>
      <c r="J5152" t="s">
        <v>32872</v>
      </c>
      <c r="K5152" t="s">
        <v>38491</v>
      </c>
      <c r="M5152" t="s">
        <v>39279</v>
      </c>
      <c r="N5152" t="s">
        <v>42669</v>
      </c>
      <c r="O5152" t="s">
        <v>42670</v>
      </c>
      <c r="P5152">
        <v>0</v>
      </c>
      <c r="Q5152">
        <v>0</v>
      </c>
      <c r="R5152" t="s">
        <v>42676</v>
      </c>
      <c r="S5152" t="s">
        <v>42809</v>
      </c>
      <c r="T5152" t="s">
        <v>44387</v>
      </c>
      <c r="U5152" t="s">
        <v>49031</v>
      </c>
      <c r="W5152" t="s">
        <v>39279</v>
      </c>
      <c r="X5152" t="s">
        <v>42677</v>
      </c>
    </row>
    <row r="5153" spans="1:24">
      <c r="A5153">
        <f>HYPERLINK("https://www.philgeps.gov.ph/GEPSNONPILOT/Tender/SplashBidNoticeAbstractUI.aspx?menuIndex=3&amp;refID=7189614&amp;Result=3","7189614")</f>
        <v>0</v>
      </c>
      <c r="B5153" t="s">
        <v>1792</v>
      </c>
      <c r="C5153" t="s">
        <v>8465</v>
      </c>
      <c r="D5153" t="s">
        <v>17141</v>
      </c>
      <c r="E5153" t="s">
        <v>21699</v>
      </c>
      <c r="F5153" t="s">
        <v>29372</v>
      </c>
      <c r="G5153" t="s">
        <v>29380</v>
      </c>
      <c r="H5153" t="s">
        <v>11048</v>
      </c>
      <c r="I5153" t="s">
        <v>29437</v>
      </c>
      <c r="J5153" t="s">
        <v>32873</v>
      </c>
      <c r="K5153" t="s">
        <v>38490</v>
      </c>
      <c r="M5153" t="s">
        <v>40663</v>
      </c>
      <c r="N5153" t="s">
        <v>42669</v>
      </c>
      <c r="O5153" t="s">
        <v>42670</v>
      </c>
      <c r="Q5153">
        <v>6</v>
      </c>
      <c r="R5153" t="s">
        <v>42676</v>
      </c>
      <c r="S5153" t="s">
        <v>42827</v>
      </c>
      <c r="T5153" t="s">
        <v>44503</v>
      </c>
      <c r="U5153" t="s">
        <v>49032</v>
      </c>
      <c r="V5153" t="s">
        <v>56919</v>
      </c>
      <c r="W5153" t="s">
        <v>40663</v>
      </c>
      <c r="X5153" t="s">
        <v>42677</v>
      </c>
    </row>
    <row r="5154" spans="1:24">
      <c r="A5154">
        <f>HYPERLINK("https://www.philgeps.gov.ph/GEPSNONPILOT/Tender/SplashBidNoticeAbstractUI.aspx?menuIndex=3&amp;refID=7189455&amp;Result=3","7189455")</f>
        <v>0</v>
      </c>
      <c r="B5154" t="s">
        <v>838</v>
      </c>
      <c r="C5154" t="s">
        <v>8466</v>
      </c>
      <c r="D5154" t="s">
        <v>17193</v>
      </c>
      <c r="E5154" t="s">
        <v>21700</v>
      </c>
      <c r="F5154" t="s">
        <v>29372</v>
      </c>
      <c r="G5154" t="s">
        <v>29379</v>
      </c>
      <c r="H5154" t="s">
        <v>29389</v>
      </c>
      <c r="I5154" t="s">
        <v>10408</v>
      </c>
      <c r="J5154" t="s">
        <v>29590</v>
      </c>
      <c r="K5154" t="s">
        <v>38550</v>
      </c>
      <c r="M5154" t="s">
        <v>40639</v>
      </c>
      <c r="N5154" t="s">
        <v>42669</v>
      </c>
      <c r="O5154" t="s">
        <v>42670</v>
      </c>
      <c r="P5154">
        <v>0</v>
      </c>
      <c r="Q5154">
        <v>0</v>
      </c>
      <c r="R5154" t="s">
        <v>42676</v>
      </c>
      <c r="S5154" t="s">
        <v>42809</v>
      </c>
      <c r="T5154" t="s">
        <v>44580</v>
      </c>
      <c r="U5154" t="s">
        <v>48888</v>
      </c>
      <c r="W5154" t="s">
        <v>58058</v>
      </c>
      <c r="X5154" t="s">
        <v>42677</v>
      </c>
    </row>
    <row r="5155" spans="1:24">
      <c r="A5155">
        <f>HYPERLINK("https://www.philgeps.gov.ph/GEPSNONPILOT/Tender/SplashBidNoticeAbstractUI.aspx?menuIndex=3&amp;refID=7189502&amp;Result=3","7189502")</f>
        <v>0</v>
      </c>
      <c r="B5155" t="s">
        <v>922</v>
      </c>
      <c r="C5155" t="s">
        <v>8467</v>
      </c>
      <c r="D5155" t="s">
        <v>17144</v>
      </c>
      <c r="E5155" t="s">
        <v>21701</v>
      </c>
      <c r="F5155" t="s">
        <v>29372</v>
      </c>
      <c r="G5155" t="s">
        <v>29379</v>
      </c>
      <c r="H5155" t="s">
        <v>11048</v>
      </c>
      <c r="I5155" t="s">
        <v>9642</v>
      </c>
      <c r="J5155" t="s">
        <v>30032</v>
      </c>
      <c r="K5155" t="s">
        <v>38491</v>
      </c>
      <c r="M5155" t="s">
        <v>39717</v>
      </c>
      <c r="N5155" t="s">
        <v>42669</v>
      </c>
      <c r="O5155" t="s">
        <v>42670</v>
      </c>
      <c r="P5155">
        <v>0</v>
      </c>
      <c r="Q5155">
        <v>2</v>
      </c>
      <c r="R5155" t="s">
        <v>42676</v>
      </c>
      <c r="S5155" t="s">
        <v>42809</v>
      </c>
      <c r="T5155" t="s">
        <v>44496</v>
      </c>
      <c r="U5155" t="s">
        <v>46717</v>
      </c>
      <c r="W5155" t="s">
        <v>39717</v>
      </c>
      <c r="X5155" t="s">
        <v>42677</v>
      </c>
    </row>
    <row r="5156" spans="1:24">
      <c r="A5156">
        <f>HYPERLINK("https://www.philgeps.gov.ph/GEPSNONPILOT/Tender/SplashBidNoticeAbstractUI.aspx?menuIndex=3&amp;refID=7189613&amp;Result=3","7189613")</f>
        <v>0</v>
      </c>
      <c r="B5156" t="s">
        <v>1812</v>
      </c>
      <c r="C5156" t="s">
        <v>8468</v>
      </c>
      <c r="D5156" t="s">
        <v>17194</v>
      </c>
      <c r="E5156" t="s">
        <v>21702</v>
      </c>
      <c r="F5156" t="s">
        <v>29372</v>
      </c>
      <c r="G5156" t="s">
        <v>29379</v>
      </c>
      <c r="H5156" t="s">
        <v>11048</v>
      </c>
      <c r="I5156" t="s">
        <v>3839</v>
      </c>
      <c r="J5156" t="s">
        <v>32726</v>
      </c>
      <c r="K5156" t="s">
        <v>38490</v>
      </c>
      <c r="M5156" t="s">
        <v>40683</v>
      </c>
      <c r="N5156" t="s">
        <v>42669</v>
      </c>
      <c r="O5156" t="s">
        <v>42670</v>
      </c>
      <c r="P5156">
        <v>0</v>
      </c>
      <c r="Q5156">
        <v>1</v>
      </c>
      <c r="R5156" t="s">
        <v>42676</v>
      </c>
      <c r="S5156" t="s">
        <v>42809</v>
      </c>
      <c r="T5156" t="s">
        <v>44354</v>
      </c>
      <c r="U5156" t="s">
        <v>49010</v>
      </c>
      <c r="W5156" t="s">
        <v>40683</v>
      </c>
      <c r="X5156" t="s">
        <v>42677</v>
      </c>
    </row>
    <row r="5157" spans="1:24">
      <c r="A5157">
        <f>HYPERLINK("https://www.philgeps.gov.ph/GEPSNONPILOT/Tender/SplashBidNoticeAbstractUI.aspx?menuIndex=3&amp;refID=7189611&amp;Result=3","7189611")</f>
        <v>0</v>
      </c>
      <c r="B5157" t="s">
        <v>1817</v>
      </c>
      <c r="C5157" t="s">
        <v>8469</v>
      </c>
      <c r="D5157" t="s">
        <v>17153</v>
      </c>
      <c r="E5157" t="s">
        <v>21703</v>
      </c>
      <c r="F5157" t="s">
        <v>29372</v>
      </c>
      <c r="G5157" t="s">
        <v>29379</v>
      </c>
      <c r="H5157" t="s">
        <v>11048</v>
      </c>
      <c r="I5157" t="s">
        <v>9642</v>
      </c>
      <c r="J5157" t="s">
        <v>32874</v>
      </c>
      <c r="K5157" t="s">
        <v>38488</v>
      </c>
      <c r="M5157" t="s">
        <v>40688</v>
      </c>
      <c r="N5157" t="s">
        <v>42669</v>
      </c>
      <c r="O5157" t="s">
        <v>42670</v>
      </c>
      <c r="P5157">
        <v>0</v>
      </c>
      <c r="Q5157">
        <v>1</v>
      </c>
      <c r="R5157" t="s">
        <v>42676</v>
      </c>
      <c r="S5157" t="s">
        <v>42809</v>
      </c>
      <c r="T5157" t="s">
        <v>44401</v>
      </c>
      <c r="U5157" t="s">
        <v>49022</v>
      </c>
      <c r="W5157" t="s">
        <v>40688</v>
      </c>
      <c r="X5157" t="s">
        <v>42677</v>
      </c>
    </row>
    <row r="5158" spans="1:24">
      <c r="A5158">
        <f>HYPERLINK("https://www.philgeps.gov.ph/GEPSNONPILOT/Tender/SplashBidNoticeAbstractUI.aspx?menuIndex=3&amp;refID=7189603&amp;Result=3","7189603")</f>
        <v>0</v>
      </c>
      <c r="B5158" t="s">
        <v>1790</v>
      </c>
      <c r="C5158" t="s">
        <v>8470</v>
      </c>
      <c r="D5158" t="s">
        <v>17172</v>
      </c>
      <c r="E5158" t="s">
        <v>21704</v>
      </c>
      <c r="F5158" t="s">
        <v>29372</v>
      </c>
      <c r="G5158" t="s">
        <v>29380</v>
      </c>
      <c r="H5158" t="s">
        <v>11048</v>
      </c>
      <c r="I5158" t="s">
        <v>29442</v>
      </c>
      <c r="J5158" t="s">
        <v>29555</v>
      </c>
      <c r="K5158" t="s">
        <v>38491</v>
      </c>
      <c r="M5158" t="s">
        <v>40661</v>
      </c>
      <c r="N5158" t="s">
        <v>42669</v>
      </c>
      <c r="O5158" t="s">
        <v>42670</v>
      </c>
      <c r="P5158">
        <v>0</v>
      </c>
      <c r="Q5158">
        <v>0</v>
      </c>
      <c r="R5158" t="s">
        <v>42676</v>
      </c>
      <c r="S5158" t="s">
        <v>42809</v>
      </c>
      <c r="T5158" t="s">
        <v>44448</v>
      </c>
      <c r="U5158" t="s">
        <v>49033</v>
      </c>
      <c r="W5158" t="s">
        <v>40661</v>
      </c>
      <c r="X5158" t="s">
        <v>42677</v>
      </c>
    </row>
    <row r="5159" spans="1:24">
      <c r="A5159">
        <f>HYPERLINK("https://www.philgeps.gov.ph/GEPSNONPILOT/Tender/SplashBidNoticeAbstractUI.aspx?menuIndex=3&amp;refID=7189608&amp;Result=3","7189608")</f>
        <v>0</v>
      </c>
      <c r="B5159" t="s">
        <v>1818</v>
      </c>
      <c r="C5159" t="s">
        <v>8471</v>
      </c>
      <c r="D5159" t="s">
        <v>17163</v>
      </c>
      <c r="E5159" t="s">
        <v>21705</v>
      </c>
      <c r="F5159" t="s">
        <v>29372</v>
      </c>
      <c r="G5159" t="s">
        <v>29379</v>
      </c>
      <c r="H5159" t="s">
        <v>11048</v>
      </c>
      <c r="I5159" t="s">
        <v>7828</v>
      </c>
      <c r="J5159" t="s">
        <v>29549</v>
      </c>
      <c r="K5159" t="s">
        <v>38496</v>
      </c>
      <c r="M5159" t="s">
        <v>40689</v>
      </c>
      <c r="N5159" t="s">
        <v>42669</v>
      </c>
      <c r="O5159" t="s">
        <v>42670</v>
      </c>
      <c r="P5159">
        <v>0</v>
      </c>
      <c r="Q5159">
        <v>7</v>
      </c>
      <c r="R5159" t="s">
        <v>42676</v>
      </c>
      <c r="S5159" t="s">
        <v>42809</v>
      </c>
      <c r="T5159" t="s">
        <v>44427</v>
      </c>
      <c r="U5159" t="s">
        <v>49034</v>
      </c>
      <c r="W5159" t="s">
        <v>40689</v>
      </c>
      <c r="X5159" t="s">
        <v>42677</v>
      </c>
    </row>
    <row r="5160" spans="1:24">
      <c r="A5160">
        <f>HYPERLINK("https://www.philgeps.gov.ph/GEPSNONPILOT/Tender/SplashBidNoticeAbstractUI.aspx?menuIndex=3&amp;refID=7189601&amp;Result=3","7189601")</f>
        <v>0</v>
      </c>
      <c r="B5160" t="s">
        <v>1792</v>
      </c>
      <c r="C5160" t="s">
        <v>8472</v>
      </c>
      <c r="D5160" t="s">
        <v>17141</v>
      </c>
      <c r="E5160" t="s">
        <v>21706</v>
      </c>
      <c r="F5160" t="s">
        <v>29372</v>
      </c>
      <c r="G5160" t="s">
        <v>29380</v>
      </c>
      <c r="H5160" t="s">
        <v>11048</v>
      </c>
      <c r="I5160" t="s">
        <v>29426</v>
      </c>
      <c r="J5160" t="s">
        <v>32875</v>
      </c>
      <c r="K5160" t="s">
        <v>38490</v>
      </c>
      <c r="M5160" t="s">
        <v>40663</v>
      </c>
      <c r="N5160" t="s">
        <v>42669</v>
      </c>
      <c r="O5160" t="s">
        <v>42670</v>
      </c>
      <c r="P5160">
        <v>0</v>
      </c>
      <c r="Q5160">
        <v>10</v>
      </c>
      <c r="R5160" t="s">
        <v>42676</v>
      </c>
      <c r="S5160" t="s">
        <v>42809</v>
      </c>
      <c r="T5160" t="s">
        <v>44503</v>
      </c>
      <c r="U5160" t="s">
        <v>49035</v>
      </c>
      <c r="V5160" t="s">
        <v>56919</v>
      </c>
      <c r="W5160" t="s">
        <v>40663</v>
      </c>
      <c r="X5160" t="s">
        <v>42677</v>
      </c>
    </row>
    <row r="5161" spans="1:24">
      <c r="A5161">
        <f>HYPERLINK("https://www.philgeps.gov.ph/GEPSNONPILOT/Tender/SplashBidNoticeAbstractUI.aspx?menuIndex=3&amp;refID=7189606&amp;Result=3","7189606")</f>
        <v>0</v>
      </c>
      <c r="B5161" t="s">
        <v>1648</v>
      </c>
      <c r="C5161" t="s">
        <v>8473</v>
      </c>
      <c r="D5161" t="s">
        <v>17148</v>
      </c>
      <c r="E5161" t="s">
        <v>21707</v>
      </c>
      <c r="F5161" t="s">
        <v>29372</v>
      </c>
      <c r="G5161" t="s">
        <v>29380</v>
      </c>
      <c r="H5161" t="s">
        <v>11048</v>
      </c>
      <c r="I5161" t="s">
        <v>9469</v>
      </c>
      <c r="J5161" t="s">
        <v>31893</v>
      </c>
      <c r="K5161" t="s">
        <v>38496</v>
      </c>
      <c r="M5161" t="s">
        <v>40504</v>
      </c>
      <c r="N5161" t="s">
        <v>42669</v>
      </c>
      <c r="O5161" t="s">
        <v>42670</v>
      </c>
      <c r="Q5161">
        <v>7</v>
      </c>
      <c r="R5161" t="s">
        <v>42676</v>
      </c>
      <c r="S5161" t="s">
        <v>42828</v>
      </c>
      <c r="T5161" t="s">
        <v>44363</v>
      </c>
      <c r="U5161" t="s">
        <v>49036</v>
      </c>
      <c r="V5161" t="s">
        <v>56934</v>
      </c>
      <c r="W5161" t="s">
        <v>40504</v>
      </c>
      <c r="X5161" t="s">
        <v>42677</v>
      </c>
    </row>
    <row r="5162" spans="1:24">
      <c r="A5162">
        <f>HYPERLINK("https://www.philgeps.gov.ph/GEPSNONPILOT/Tender/SplashBidNoticeAbstractUI.aspx?menuIndex=3&amp;refID=7189600&amp;Result=3","7189600")</f>
        <v>0</v>
      </c>
      <c r="B5162" t="s">
        <v>1822</v>
      </c>
      <c r="C5162" t="s">
        <v>8474</v>
      </c>
      <c r="D5162" t="s">
        <v>17177</v>
      </c>
      <c r="E5162" t="s">
        <v>18290</v>
      </c>
      <c r="F5162" t="s">
        <v>29372</v>
      </c>
      <c r="G5162" t="s">
        <v>29383</v>
      </c>
      <c r="H5162" t="s">
        <v>11048</v>
      </c>
      <c r="I5162" t="s">
        <v>4709</v>
      </c>
      <c r="J5162" t="s">
        <v>30363</v>
      </c>
      <c r="K5162" t="s">
        <v>38510</v>
      </c>
      <c r="M5162" t="s">
        <v>40693</v>
      </c>
      <c r="N5162" t="s">
        <v>42669</v>
      </c>
      <c r="O5162" t="s">
        <v>42670</v>
      </c>
      <c r="P5162">
        <v>0</v>
      </c>
      <c r="Q5162">
        <v>0</v>
      </c>
      <c r="R5162" t="s">
        <v>42676</v>
      </c>
      <c r="S5162" t="s">
        <v>42809</v>
      </c>
      <c r="T5162" t="s">
        <v>44528</v>
      </c>
      <c r="U5162" t="s">
        <v>49037</v>
      </c>
      <c r="W5162" t="s">
        <v>40693</v>
      </c>
      <c r="X5162" t="s">
        <v>42677</v>
      </c>
    </row>
    <row r="5163" spans="1:24">
      <c r="A5163">
        <f>HYPERLINK("https://www.philgeps.gov.ph/GEPSNONPILOT/Tender/SplashBidNoticeAbstractUI.aspx?menuIndex=3&amp;refID=7189595&amp;Result=3","7189595")</f>
        <v>0</v>
      </c>
      <c r="B5163" t="s">
        <v>1812</v>
      </c>
      <c r="C5163" t="s">
        <v>8475</v>
      </c>
      <c r="D5163" t="s">
        <v>17194</v>
      </c>
      <c r="E5163" t="s">
        <v>21708</v>
      </c>
      <c r="F5163" t="s">
        <v>29372</v>
      </c>
      <c r="G5163" t="s">
        <v>29379</v>
      </c>
      <c r="H5163" t="s">
        <v>11048</v>
      </c>
      <c r="I5163" t="s">
        <v>29395</v>
      </c>
      <c r="J5163" t="s">
        <v>32876</v>
      </c>
      <c r="K5163" t="s">
        <v>38490</v>
      </c>
      <c r="M5163" t="s">
        <v>40683</v>
      </c>
      <c r="N5163" t="s">
        <v>42669</v>
      </c>
      <c r="O5163" t="s">
        <v>42670</v>
      </c>
      <c r="P5163">
        <v>0</v>
      </c>
      <c r="Q5163">
        <v>0</v>
      </c>
      <c r="R5163" t="s">
        <v>42676</v>
      </c>
      <c r="S5163" t="s">
        <v>42809</v>
      </c>
      <c r="T5163" t="s">
        <v>44354</v>
      </c>
      <c r="U5163" t="s">
        <v>49010</v>
      </c>
      <c r="W5163" t="s">
        <v>40683</v>
      </c>
      <c r="X5163" t="s">
        <v>42677</v>
      </c>
    </row>
    <row r="5164" spans="1:24">
      <c r="A5164">
        <f>HYPERLINK("https://www.philgeps.gov.ph/GEPSNONPILOT/Tender/SplashBidNoticeAbstractUI.aspx?menuIndex=3&amp;refID=7189561&amp;Result=3","7189561")</f>
        <v>0</v>
      </c>
      <c r="B5164" t="s">
        <v>1810</v>
      </c>
      <c r="C5164" t="s">
        <v>8476</v>
      </c>
      <c r="D5164" t="s">
        <v>17168</v>
      </c>
      <c r="E5164" t="s">
        <v>21709</v>
      </c>
      <c r="F5164" t="s">
        <v>29372</v>
      </c>
      <c r="G5164" t="s">
        <v>29380</v>
      </c>
      <c r="H5164" t="s">
        <v>29391</v>
      </c>
      <c r="I5164" t="s">
        <v>29391</v>
      </c>
      <c r="J5164" t="s">
        <v>32877</v>
      </c>
      <c r="K5164" t="s">
        <v>38504</v>
      </c>
      <c r="M5164" t="s">
        <v>40681</v>
      </c>
      <c r="N5164" t="s">
        <v>42669</v>
      </c>
      <c r="O5164" t="s">
        <v>42670</v>
      </c>
      <c r="P5164">
        <v>0</v>
      </c>
      <c r="Q5164">
        <v>2</v>
      </c>
      <c r="R5164" t="s">
        <v>42676</v>
      </c>
      <c r="S5164" t="s">
        <v>42809</v>
      </c>
      <c r="T5164" t="s">
        <v>44470</v>
      </c>
      <c r="U5164" t="s">
        <v>49038</v>
      </c>
      <c r="W5164" t="s">
        <v>40681</v>
      </c>
      <c r="X5164" t="s">
        <v>42677</v>
      </c>
    </row>
    <row r="5165" spans="1:24">
      <c r="A5165">
        <f>HYPERLINK("https://www.philgeps.gov.ph/GEPSNONPILOT/Tender/SplashBidNoticeAbstractUI.aspx?menuIndex=3&amp;refID=7189591&amp;Result=3","7189591")</f>
        <v>0</v>
      </c>
      <c r="B5165" t="s">
        <v>1823</v>
      </c>
      <c r="C5165" t="s">
        <v>8477</v>
      </c>
      <c r="D5165" t="s">
        <v>17167</v>
      </c>
      <c r="E5165" t="s">
        <v>21710</v>
      </c>
      <c r="F5165" t="s">
        <v>29372</v>
      </c>
      <c r="G5165" t="s">
        <v>29380</v>
      </c>
      <c r="H5165" t="s">
        <v>11048</v>
      </c>
      <c r="I5165" t="s">
        <v>4487</v>
      </c>
      <c r="J5165" t="s">
        <v>32878</v>
      </c>
      <c r="K5165" t="s">
        <v>38485</v>
      </c>
      <c r="M5165" t="s">
        <v>40694</v>
      </c>
      <c r="N5165" t="s">
        <v>42669</v>
      </c>
      <c r="O5165" t="s">
        <v>42670</v>
      </c>
      <c r="P5165">
        <v>0</v>
      </c>
      <c r="Q5165">
        <v>7</v>
      </c>
      <c r="R5165" t="s">
        <v>42676</v>
      </c>
      <c r="S5165" t="s">
        <v>42809</v>
      </c>
      <c r="T5165" t="s">
        <v>44382</v>
      </c>
      <c r="U5165" t="s">
        <v>49039</v>
      </c>
      <c r="W5165" t="s">
        <v>40694</v>
      </c>
      <c r="X5165" t="s">
        <v>42677</v>
      </c>
    </row>
    <row r="5166" spans="1:24">
      <c r="A5166">
        <f>HYPERLINK("https://www.philgeps.gov.ph/GEPSNONPILOT/Tender/SplashBidNoticeAbstractUI.aspx?menuIndex=3&amp;refID=7189590&amp;Result=3","7189590")</f>
        <v>0</v>
      </c>
      <c r="B5166" t="s">
        <v>1324</v>
      </c>
      <c r="C5166" t="s">
        <v>8478</v>
      </c>
      <c r="D5166" t="s">
        <v>17173</v>
      </c>
      <c r="E5166" t="s">
        <v>21711</v>
      </c>
      <c r="F5166" t="s">
        <v>29372</v>
      </c>
      <c r="G5166" t="s">
        <v>29379</v>
      </c>
      <c r="H5166" t="s">
        <v>29389</v>
      </c>
      <c r="I5166" t="s">
        <v>29429</v>
      </c>
      <c r="J5166" t="s">
        <v>32879</v>
      </c>
      <c r="K5166" t="s">
        <v>38496</v>
      </c>
      <c r="M5166" t="s">
        <v>40160</v>
      </c>
      <c r="N5166" t="s">
        <v>42669</v>
      </c>
      <c r="O5166" t="s">
        <v>42670</v>
      </c>
      <c r="P5166">
        <v>0</v>
      </c>
      <c r="Q5166">
        <v>1</v>
      </c>
      <c r="R5166" t="s">
        <v>42676</v>
      </c>
      <c r="S5166" t="s">
        <v>42809</v>
      </c>
      <c r="T5166" t="s">
        <v>44480</v>
      </c>
      <c r="U5166" t="s">
        <v>49023</v>
      </c>
      <c r="W5166" t="s">
        <v>40160</v>
      </c>
      <c r="X5166" t="s">
        <v>42677</v>
      </c>
    </row>
    <row r="5167" spans="1:24">
      <c r="A5167">
        <f>HYPERLINK("https://www.philgeps.gov.ph/GEPSNONPILOT/Tender/SplashBidNoticeAbstractUI.aspx?menuIndex=3&amp;refID=7189474&amp;Result=3","7189474")</f>
        <v>0</v>
      </c>
      <c r="B5167" t="s">
        <v>511</v>
      </c>
      <c r="C5167" t="s">
        <v>8479</v>
      </c>
      <c r="D5167" t="s">
        <v>17163</v>
      </c>
      <c r="E5167" t="s">
        <v>21712</v>
      </c>
      <c r="F5167" t="s">
        <v>29372</v>
      </c>
      <c r="G5167" t="s">
        <v>29383</v>
      </c>
      <c r="H5167" t="s">
        <v>11048</v>
      </c>
      <c r="I5167" t="s">
        <v>5383</v>
      </c>
      <c r="J5167" t="s">
        <v>32880</v>
      </c>
      <c r="K5167" t="s">
        <v>38490</v>
      </c>
      <c r="M5167" t="s">
        <v>39278</v>
      </c>
      <c r="N5167" t="s">
        <v>42669</v>
      </c>
      <c r="O5167" t="s">
        <v>42670</v>
      </c>
      <c r="P5167">
        <v>0</v>
      </c>
      <c r="Q5167">
        <v>7</v>
      </c>
      <c r="R5167" t="s">
        <v>42676</v>
      </c>
      <c r="S5167" t="s">
        <v>42809</v>
      </c>
      <c r="T5167" t="s">
        <v>44378</v>
      </c>
      <c r="U5167" t="s">
        <v>49040</v>
      </c>
      <c r="V5167" t="s">
        <v>56483</v>
      </c>
      <c r="W5167" t="s">
        <v>39278</v>
      </c>
      <c r="X5167" t="s">
        <v>42677</v>
      </c>
    </row>
    <row r="5168" spans="1:24">
      <c r="A5168">
        <f>HYPERLINK("https://www.philgeps.gov.ph/GEPSNONPILOT/Tender/SplashBidNoticeAbstractUI.aspx?menuIndex=3&amp;refID=7189638&amp;Result=3","7189638")</f>
        <v>0</v>
      </c>
      <c r="B5168" t="s">
        <v>1824</v>
      </c>
      <c r="C5168" t="s">
        <v>8480</v>
      </c>
      <c r="E5168" t="s">
        <v>21713</v>
      </c>
      <c r="F5168" t="s">
        <v>29372</v>
      </c>
      <c r="G5168" t="s">
        <v>29379</v>
      </c>
      <c r="H5168" t="s">
        <v>11048</v>
      </c>
      <c r="I5168" t="s">
        <v>3670</v>
      </c>
      <c r="J5168" t="s">
        <v>31368</v>
      </c>
      <c r="K5168" t="s">
        <v>38491</v>
      </c>
      <c r="M5168" t="s">
        <v>40695</v>
      </c>
      <c r="N5168" t="s">
        <v>42669</v>
      </c>
      <c r="O5168" t="s">
        <v>42670</v>
      </c>
      <c r="P5168">
        <v>0</v>
      </c>
      <c r="Q5168">
        <v>5</v>
      </c>
      <c r="R5168" t="s">
        <v>42676</v>
      </c>
      <c r="S5168" t="s">
        <v>42809</v>
      </c>
      <c r="T5168" t="s">
        <v>44401</v>
      </c>
      <c r="U5168" t="s">
        <v>49041</v>
      </c>
      <c r="W5168" t="s">
        <v>40695</v>
      </c>
      <c r="X5168" t="s">
        <v>42677</v>
      </c>
    </row>
    <row r="5169" spans="1:24">
      <c r="A5169">
        <f>HYPERLINK("https://www.philgeps.gov.ph/GEPSNONPILOT/Tender/SplashBidNoticeAbstractUI.aspx?menuIndex=3&amp;refID=7189472&amp;Result=3","7189472")</f>
        <v>0</v>
      </c>
      <c r="B5169" t="s">
        <v>1429</v>
      </c>
      <c r="C5169" t="s">
        <v>8481</v>
      </c>
      <c r="D5169" t="s">
        <v>17188</v>
      </c>
      <c r="E5169" t="s">
        <v>21714</v>
      </c>
      <c r="F5169" t="s">
        <v>29372</v>
      </c>
      <c r="G5169" t="s">
        <v>29379</v>
      </c>
      <c r="H5169" t="s">
        <v>11048</v>
      </c>
      <c r="I5169" t="s">
        <v>29399</v>
      </c>
      <c r="J5169" t="s">
        <v>29799</v>
      </c>
      <c r="K5169" t="s">
        <v>38491</v>
      </c>
      <c r="M5169" t="s">
        <v>40269</v>
      </c>
      <c r="N5169" t="s">
        <v>42669</v>
      </c>
      <c r="O5169" t="s">
        <v>42670</v>
      </c>
      <c r="P5169">
        <v>0</v>
      </c>
      <c r="Q5169">
        <v>2</v>
      </c>
      <c r="R5169" t="s">
        <v>42676</v>
      </c>
      <c r="S5169" t="s">
        <v>42809</v>
      </c>
      <c r="T5169" t="s">
        <v>44512</v>
      </c>
      <c r="U5169" t="s">
        <v>48056</v>
      </c>
      <c r="W5169" t="s">
        <v>40269</v>
      </c>
      <c r="X5169" t="s">
        <v>42677</v>
      </c>
    </row>
    <row r="5170" spans="1:24">
      <c r="A5170">
        <f>HYPERLINK("https://www.philgeps.gov.ph/GEPSNONPILOT/Tender/SplashBidNoticeAbstractUI.aspx?menuIndex=3&amp;refID=7189592&amp;Result=3","7189592")</f>
        <v>0</v>
      </c>
      <c r="B5170" t="s">
        <v>1824</v>
      </c>
      <c r="C5170" t="s">
        <v>8482</v>
      </c>
      <c r="D5170" t="s">
        <v>17160</v>
      </c>
      <c r="E5170" t="s">
        <v>21715</v>
      </c>
      <c r="F5170" t="s">
        <v>29372</v>
      </c>
      <c r="G5170" t="s">
        <v>29383</v>
      </c>
      <c r="H5170" t="s">
        <v>11048</v>
      </c>
      <c r="I5170" t="s">
        <v>4486</v>
      </c>
      <c r="J5170" t="s">
        <v>32881</v>
      </c>
      <c r="K5170" t="s">
        <v>38528</v>
      </c>
      <c r="M5170" t="s">
        <v>40695</v>
      </c>
      <c r="N5170" t="s">
        <v>42669</v>
      </c>
      <c r="O5170" t="s">
        <v>42670</v>
      </c>
      <c r="P5170">
        <v>0</v>
      </c>
      <c r="Q5170">
        <v>3</v>
      </c>
      <c r="R5170" t="s">
        <v>42676</v>
      </c>
      <c r="S5170" t="s">
        <v>42809</v>
      </c>
      <c r="T5170" t="s">
        <v>44401</v>
      </c>
      <c r="U5170" t="s">
        <v>49041</v>
      </c>
      <c r="W5170" t="s">
        <v>40695</v>
      </c>
      <c r="X5170" t="s">
        <v>42677</v>
      </c>
    </row>
    <row r="5171" spans="1:24">
      <c r="A5171">
        <f>HYPERLINK("https://www.philgeps.gov.ph/GEPSNONPILOT/Tender/SplashBidNoticeAbstractUI.aspx?menuIndex=3&amp;refID=7189648&amp;Result=3","7189648")</f>
        <v>0</v>
      </c>
      <c r="B5171" t="s">
        <v>1824</v>
      </c>
      <c r="C5171" t="s">
        <v>8483</v>
      </c>
      <c r="D5171" t="s">
        <v>17160</v>
      </c>
      <c r="E5171" t="s">
        <v>21716</v>
      </c>
      <c r="F5171" t="s">
        <v>29372</v>
      </c>
      <c r="G5171" t="s">
        <v>29383</v>
      </c>
      <c r="H5171" t="s">
        <v>11048</v>
      </c>
      <c r="I5171" t="s">
        <v>3670</v>
      </c>
      <c r="J5171" t="s">
        <v>32882</v>
      </c>
      <c r="K5171" t="s">
        <v>38491</v>
      </c>
      <c r="M5171" t="s">
        <v>40695</v>
      </c>
      <c r="N5171" t="s">
        <v>42669</v>
      </c>
      <c r="O5171" t="s">
        <v>42670</v>
      </c>
      <c r="P5171">
        <v>0</v>
      </c>
      <c r="Q5171">
        <v>3</v>
      </c>
      <c r="R5171" t="s">
        <v>42676</v>
      </c>
      <c r="S5171" t="s">
        <v>42809</v>
      </c>
      <c r="T5171" t="s">
        <v>44401</v>
      </c>
      <c r="U5171" t="s">
        <v>49041</v>
      </c>
      <c r="W5171" t="s">
        <v>40695</v>
      </c>
      <c r="X5171" t="s">
        <v>42677</v>
      </c>
    </row>
    <row r="5172" spans="1:24">
      <c r="A5172">
        <f>HYPERLINK("https://www.philgeps.gov.ph/GEPSNONPILOT/Tender/SplashBidNoticeAbstractUI.aspx?menuIndex=3&amp;refID=7189605&amp;Result=3","7189605")</f>
        <v>0</v>
      </c>
      <c r="B5172" t="s">
        <v>1816</v>
      </c>
      <c r="C5172" t="s">
        <v>8484</v>
      </c>
      <c r="D5172" t="s">
        <v>17199</v>
      </c>
      <c r="E5172" t="s">
        <v>21717</v>
      </c>
      <c r="F5172" t="s">
        <v>29372</v>
      </c>
      <c r="G5172" t="s">
        <v>29379</v>
      </c>
      <c r="H5172" t="s">
        <v>11048</v>
      </c>
      <c r="I5172" t="s">
        <v>3860</v>
      </c>
      <c r="J5172" t="s">
        <v>30000</v>
      </c>
      <c r="K5172" t="s">
        <v>38510</v>
      </c>
      <c r="M5172" t="s">
        <v>40687</v>
      </c>
      <c r="N5172" t="s">
        <v>42669</v>
      </c>
      <c r="O5172" t="s">
        <v>42670</v>
      </c>
      <c r="P5172">
        <v>0</v>
      </c>
      <c r="Q5172">
        <v>0</v>
      </c>
      <c r="R5172" t="s">
        <v>42676</v>
      </c>
      <c r="S5172" t="s">
        <v>42809</v>
      </c>
      <c r="T5172" t="s">
        <v>44432</v>
      </c>
      <c r="U5172" t="s">
        <v>49042</v>
      </c>
      <c r="W5172" t="s">
        <v>40687</v>
      </c>
      <c r="X5172" t="s">
        <v>42677</v>
      </c>
    </row>
    <row r="5173" spans="1:24">
      <c r="A5173">
        <f>HYPERLINK("https://www.philgeps.gov.ph/GEPSNONPILOT/Tender/SplashBidNoticeAbstractUI.aspx?menuIndex=3&amp;refID=7189646&amp;Result=3","7189646")</f>
        <v>0</v>
      </c>
      <c r="B5173" t="s">
        <v>1825</v>
      </c>
      <c r="C5173" t="s">
        <v>3950</v>
      </c>
      <c r="D5173" t="s">
        <v>17204</v>
      </c>
      <c r="E5173" t="s">
        <v>17294</v>
      </c>
      <c r="F5173" t="s">
        <v>29372</v>
      </c>
      <c r="G5173" t="s">
        <v>29380</v>
      </c>
      <c r="H5173" t="s">
        <v>11048</v>
      </c>
      <c r="I5173" t="s">
        <v>29407</v>
      </c>
      <c r="J5173" t="s">
        <v>29708</v>
      </c>
      <c r="K5173" t="s">
        <v>38485</v>
      </c>
      <c r="M5173" t="s">
        <v>40696</v>
      </c>
      <c r="N5173" t="s">
        <v>42669</v>
      </c>
      <c r="O5173" t="s">
        <v>42670</v>
      </c>
      <c r="P5173">
        <v>0</v>
      </c>
      <c r="Q5173">
        <v>8</v>
      </c>
      <c r="R5173" t="s">
        <v>42676</v>
      </c>
      <c r="S5173" t="s">
        <v>42809</v>
      </c>
      <c r="T5173" t="s">
        <v>44449</v>
      </c>
      <c r="U5173" t="s">
        <v>49043</v>
      </c>
      <c r="W5173" t="s">
        <v>40696</v>
      </c>
      <c r="X5173" t="s">
        <v>42677</v>
      </c>
    </row>
    <row r="5174" spans="1:24">
      <c r="A5174">
        <f>HYPERLINK("https://www.philgeps.gov.ph/GEPSNONPILOT/Tender/SplashBidNoticeAbstractUI.aspx?menuIndex=3&amp;refID=7189598&amp;Result=3","7189598")</f>
        <v>0</v>
      </c>
      <c r="B5174" t="s">
        <v>1230</v>
      </c>
      <c r="C5174" t="s">
        <v>8485</v>
      </c>
      <c r="D5174" t="s">
        <v>17180</v>
      </c>
      <c r="E5174" t="s">
        <v>21718</v>
      </c>
      <c r="F5174" t="s">
        <v>29372</v>
      </c>
      <c r="G5174" t="s">
        <v>29380</v>
      </c>
      <c r="H5174" t="s">
        <v>11048</v>
      </c>
      <c r="I5174" t="s">
        <v>29415</v>
      </c>
      <c r="J5174" t="s">
        <v>29543</v>
      </c>
      <c r="K5174" t="s">
        <v>38485</v>
      </c>
      <c r="M5174" t="s">
        <v>40051</v>
      </c>
      <c r="N5174" t="s">
        <v>42669</v>
      </c>
      <c r="O5174" t="s">
        <v>42670</v>
      </c>
      <c r="P5174">
        <v>0</v>
      </c>
      <c r="Q5174">
        <v>7</v>
      </c>
      <c r="R5174" t="s">
        <v>42676</v>
      </c>
      <c r="S5174" t="s">
        <v>42809</v>
      </c>
      <c r="T5174" t="s">
        <v>44394</v>
      </c>
      <c r="U5174" t="s">
        <v>49044</v>
      </c>
      <c r="V5174" t="s">
        <v>56935</v>
      </c>
      <c r="W5174" t="s">
        <v>40051</v>
      </c>
      <c r="X5174" t="s">
        <v>42677</v>
      </c>
    </row>
    <row r="5175" spans="1:24">
      <c r="A5175">
        <f>HYPERLINK("https://www.philgeps.gov.ph/GEPSNONPILOT/Tender/SplashBidNoticeAbstractUI.aspx?menuIndex=3&amp;refID=7189643&amp;Result=3","7189643")</f>
        <v>0</v>
      </c>
      <c r="B5175" t="s">
        <v>1826</v>
      </c>
      <c r="C5175" t="s">
        <v>8486</v>
      </c>
      <c r="D5175" t="s">
        <v>17204</v>
      </c>
      <c r="E5175" t="s">
        <v>21719</v>
      </c>
      <c r="F5175" t="s">
        <v>29372</v>
      </c>
      <c r="G5175" t="s">
        <v>29379</v>
      </c>
      <c r="H5175" t="s">
        <v>11048</v>
      </c>
      <c r="I5175" t="s">
        <v>3629</v>
      </c>
      <c r="J5175" t="s">
        <v>30194</v>
      </c>
      <c r="K5175" t="s">
        <v>38485</v>
      </c>
      <c r="M5175" t="s">
        <v>40697</v>
      </c>
      <c r="N5175" t="s">
        <v>42669</v>
      </c>
      <c r="O5175" t="s">
        <v>42670</v>
      </c>
      <c r="P5175">
        <v>0</v>
      </c>
      <c r="Q5175">
        <v>3</v>
      </c>
      <c r="R5175" t="s">
        <v>42676</v>
      </c>
      <c r="S5175" t="s">
        <v>42809</v>
      </c>
      <c r="T5175" t="s">
        <v>44493</v>
      </c>
      <c r="U5175" t="s">
        <v>49045</v>
      </c>
      <c r="V5175" t="s">
        <v>56936</v>
      </c>
      <c r="W5175" t="s">
        <v>40697</v>
      </c>
      <c r="X5175" t="s">
        <v>42677</v>
      </c>
    </row>
    <row r="5176" spans="1:24">
      <c r="A5176">
        <f>HYPERLINK("https://www.philgeps.gov.ph/GEPSNONPILOT/Tender/SplashBidNoticeAbstractUI.aspx?menuIndex=3&amp;refID=7189615&amp;Result=3","7189615")</f>
        <v>0</v>
      </c>
      <c r="B5176" t="s">
        <v>1225</v>
      </c>
      <c r="C5176" t="s">
        <v>8487</v>
      </c>
      <c r="D5176" t="s">
        <v>17177</v>
      </c>
      <c r="E5176" t="s">
        <v>21720</v>
      </c>
      <c r="F5176" t="s">
        <v>29372</v>
      </c>
      <c r="G5176" t="s">
        <v>29382</v>
      </c>
      <c r="H5176" t="s">
        <v>11048</v>
      </c>
      <c r="I5176" t="s">
        <v>5383</v>
      </c>
      <c r="J5176" t="s">
        <v>32883</v>
      </c>
      <c r="K5176" t="s">
        <v>38518</v>
      </c>
      <c r="M5176" t="s">
        <v>40045</v>
      </c>
      <c r="N5176" t="s">
        <v>42669</v>
      </c>
      <c r="O5176" t="s">
        <v>42670</v>
      </c>
      <c r="P5176">
        <v>0</v>
      </c>
      <c r="Q5176">
        <v>2</v>
      </c>
      <c r="R5176" t="s">
        <v>42676</v>
      </c>
      <c r="S5176" t="s">
        <v>42809</v>
      </c>
      <c r="T5176" t="s">
        <v>44401</v>
      </c>
      <c r="U5176" t="s">
        <v>49046</v>
      </c>
      <c r="W5176" t="s">
        <v>40045</v>
      </c>
      <c r="X5176" t="s">
        <v>42677</v>
      </c>
    </row>
    <row r="5177" spans="1:24">
      <c r="A5177">
        <f>HYPERLINK("https://www.philgeps.gov.ph/GEPSNONPILOT/Tender/SplashBidNoticeAbstractUI.aspx?menuIndex=3&amp;refID=7189593&amp;Result=3","7189593")</f>
        <v>0</v>
      </c>
      <c r="B5177" t="s">
        <v>1086</v>
      </c>
      <c r="C5177" t="s">
        <v>8488</v>
      </c>
      <c r="D5177" t="s">
        <v>17232</v>
      </c>
      <c r="E5177" t="s">
        <v>21721</v>
      </c>
      <c r="F5177" t="s">
        <v>29372</v>
      </c>
      <c r="G5177" t="s">
        <v>29379</v>
      </c>
      <c r="H5177" t="s">
        <v>29390</v>
      </c>
      <c r="I5177" t="s">
        <v>4235</v>
      </c>
      <c r="J5177" t="s">
        <v>30046</v>
      </c>
      <c r="K5177" t="s">
        <v>38567</v>
      </c>
      <c r="M5177" t="s">
        <v>39893</v>
      </c>
      <c r="N5177" t="s">
        <v>42669</v>
      </c>
      <c r="O5177" t="s">
        <v>42670</v>
      </c>
      <c r="P5177">
        <v>0</v>
      </c>
      <c r="Q5177">
        <v>0</v>
      </c>
      <c r="R5177" t="s">
        <v>42676</v>
      </c>
      <c r="S5177" t="s">
        <v>42809</v>
      </c>
      <c r="T5177" t="s">
        <v>44485</v>
      </c>
      <c r="U5177" t="s">
        <v>49047</v>
      </c>
      <c r="W5177" t="s">
        <v>39893</v>
      </c>
      <c r="X5177" t="s">
        <v>42677</v>
      </c>
    </row>
    <row r="5178" spans="1:24">
      <c r="A5178">
        <f>HYPERLINK("https://www.philgeps.gov.ph/GEPSNONPILOT/Tender/SplashBidNoticeAbstractUI.aspx?menuIndex=3&amp;refID=7189634&amp;Result=3","7189634")</f>
        <v>0</v>
      </c>
      <c r="B5178" t="s">
        <v>1794</v>
      </c>
      <c r="C5178" t="s">
        <v>8489</v>
      </c>
      <c r="D5178" t="s">
        <v>17144</v>
      </c>
      <c r="E5178" t="s">
        <v>21722</v>
      </c>
      <c r="F5178" t="s">
        <v>29372</v>
      </c>
      <c r="G5178" t="s">
        <v>29379</v>
      </c>
      <c r="H5178" t="s">
        <v>11048</v>
      </c>
      <c r="I5178" t="s">
        <v>3839</v>
      </c>
      <c r="J5178" t="s">
        <v>29767</v>
      </c>
      <c r="K5178" t="s">
        <v>38491</v>
      </c>
      <c r="M5178" t="s">
        <v>40665</v>
      </c>
      <c r="N5178" t="s">
        <v>42669</v>
      </c>
      <c r="O5178" t="s">
        <v>42670</v>
      </c>
      <c r="P5178">
        <v>0</v>
      </c>
      <c r="Q5178">
        <v>1</v>
      </c>
      <c r="R5178" t="s">
        <v>42676</v>
      </c>
      <c r="S5178" t="s">
        <v>42809</v>
      </c>
      <c r="T5178" t="s">
        <v>44382</v>
      </c>
      <c r="U5178" t="s">
        <v>48962</v>
      </c>
      <c r="V5178" t="s">
        <v>56937</v>
      </c>
      <c r="W5178" t="s">
        <v>40665</v>
      </c>
      <c r="X5178" t="s">
        <v>42677</v>
      </c>
    </row>
    <row r="5179" spans="1:24">
      <c r="A5179">
        <f>HYPERLINK("https://www.philgeps.gov.ph/GEPSNONPILOT/Tender/SplashBidNoticeAbstractUI.aspx?menuIndex=3&amp;refID=7189639&amp;Result=3","7189639")</f>
        <v>0</v>
      </c>
      <c r="B5179" t="s">
        <v>1211</v>
      </c>
      <c r="C5179" t="s">
        <v>8490</v>
      </c>
      <c r="D5179" t="s">
        <v>17160</v>
      </c>
      <c r="E5179" t="s">
        <v>17533</v>
      </c>
      <c r="F5179" t="s">
        <v>29372</v>
      </c>
      <c r="G5179" t="s">
        <v>29380</v>
      </c>
      <c r="H5179" t="s">
        <v>11048</v>
      </c>
      <c r="I5179" t="s">
        <v>29409</v>
      </c>
      <c r="J5179" t="s">
        <v>32884</v>
      </c>
      <c r="K5179" t="s">
        <v>38485</v>
      </c>
      <c r="M5179" t="s">
        <v>40029</v>
      </c>
      <c r="N5179" t="s">
        <v>42669</v>
      </c>
      <c r="O5179" t="s">
        <v>42670</v>
      </c>
      <c r="P5179">
        <v>0</v>
      </c>
      <c r="Q5179">
        <v>6</v>
      </c>
      <c r="R5179" t="s">
        <v>42676</v>
      </c>
      <c r="S5179" t="s">
        <v>42809</v>
      </c>
      <c r="T5179" t="s">
        <v>44605</v>
      </c>
      <c r="U5179" t="s">
        <v>49048</v>
      </c>
      <c r="W5179" t="s">
        <v>40029</v>
      </c>
      <c r="X5179" t="s">
        <v>42677</v>
      </c>
    </row>
    <row r="5180" spans="1:24">
      <c r="A5180">
        <f>HYPERLINK("https://www.philgeps.gov.ph/GEPSNONPILOT/Tender/SplashBidNoticeAbstractUI.aspx?menuIndex=3&amp;refID=7189641&amp;Result=3","7189641")</f>
        <v>0</v>
      </c>
      <c r="B5180" t="s">
        <v>1816</v>
      </c>
      <c r="C5180" t="s">
        <v>8491</v>
      </c>
      <c r="D5180" t="s">
        <v>17199</v>
      </c>
      <c r="E5180" t="s">
        <v>21723</v>
      </c>
      <c r="F5180" t="s">
        <v>29372</v>
      </c>
      <c r="G5180" t="s">
        <v>29382</v>
      </c>
      <c r="H5180" t="s">
        <v>11048</v>
      </c>
      <c r="I5180" t="s">
        <v>29393</v>
      </c>
      <c r="J5180" t="s">
        <v>32885</v>
      </c>
      <c r="K5180" t="s">
        <v>38510</v>
      </c>
      <c r="M5180" t="s">
        <v>40687</v>
      </c>
      <c r="N5180" t="s">
        <v>42669</v>
      </c>
      <c r="O5180" t="s">
        <v>42670</v>
      </c>
      <c r="P5180">
        <v>0</v>
      </c>
      <c r="Q5180">
        <v>0</v>
      </c>
      <c r="R5180" t="s">
        <v>42676</v>
      </c>
      <c r="S5180" t="s">
        <v>42809</v>
      </c>
      <c r="T5180" t="s">
        <v>44432</v>
      </c>
      <c r="U5180" t="s">
        <v>49049</v>
      </c>
      <c r="W5180" t="s">
        <v>40687</v>
      </c>
      <c r="X5180" t="s">
        <v>42677</v>
      </c>
    </row>
    <row r="5181" spans="1:24">
      <c r="A5181">
        <f>HYPERLINK("https://www.philgeps.gov.ph/GEPSNONPILOT/Tender/SplashBidNoticeAbstractUI.aspx?menuIndex=3&amp;refID=7189628&amp;Result=3","7189628")</f>
        <v>0</v>
      </c>
      <c r="B5181" t="s">
        <v>1816</v>
      </c>
      <c r="C5181" t="s">
        <v>8492</v>
      </c>
      <c r="D5181" t="s">
        <v>17199</v>
      </c>
      <c r="E5181" t="s">
        <v>21724</v>
      </c>
      <c r="F5181" t="s">
        <v>29372</v>
      </c>
      <c r="G5181" t="s">
        <v>29382</v>
      </c>
      <c r="H5181" t="s">
        <v>11048</v>
      </c>
      <c r="I5181" t="s">
        <v>29393</v>
      </c>
      <c r="J5181" t="s">
        <v>32886</v>
      </c>
      <c r="K5181" t="s">
        <v>38510</v>
      </c>
      <c r="M5181" t="s">
        <v>40687</v>
      </c>
      <c r="N5181" t="s">
        <v>42669</v>
      </c>
      <c r="O5181" t="s">
        <v>42670</v>
      </c>
      <c r="P5181">
        <v>0</v>
      </c>
      <c r="Q5181">
        <v>0</v>
      </c>
      <c r="R5181" t="s">
        <v>42676</v>
      </c>
      <c r="S5181" t="s">
        <v>42809</v>
      </c>
      <c r="T5181" t="s">
        <v>44432</v>
      </c>
      <c r="U5181" t="s">
        <v>49050</v>
      </c>
      <c r="W5181" t="s">
        <v>40687</v>
      </c>
      <c r="X5181" t="s">
        <v>42677</v>
      </c>
    </row>
    <row r="5182" spans="1:24">
      <c r="A5182">
        <f>HYPERLINK("https://www.philgeps.gov.ph/GEPSNONPILOT/Tender/SplashBidNoticeAbstractUI.aspx?menuIndex=3&amp;refID=7189626&amp;Result=3","7189626")</f>
        <v>0</v>
      </c>
      <c r="B5182" t="s">
        <v>1086</v>
      </c>
      <c r="C5182" t="s">
        <v>8493</v>
      </c>
      <c r="D5182" t="s">
        <v>17141</v>
      </c>
      <c r="E5182" t="s">
        <v>21725</v>
      </c>
      <c r="F5182" t="s">
        <v>29372</v>
      </c>
      <c r="G5182" t="s">
        <v>29379</v>
      </c>
      <c r="H5182" t="s">
        <v>29390</v>
      </c>
      <c r="I5182" t="s">
        <v>29396</v>
      </c>
      <c r="J5182" t="s">
        <v>32786</v>
      </c>
      <c r="K5182" t="s">
        <v>38567</v>
      </c>
      <c r="M5182" t="s">
        <v>39893</v>
      </c>
      <c r="N5182" t="s">
        <v>42669</v>
      </c>
      <c r="O5182" t="s">
        <v>42670</v>
      </c>
      <c r="P5182">
        <v>0</v>
      </c>
      <c r="Q5182">
        <v>1</v>
      </c>
      <c r="R5182" t="s">
        <v>42676</v>
      </c>
      <c r="S5182" t="s">
        <v>42809</v>
      </c>
      <c r="T5182" t="s">
        <v>44686</v>
      </c>
      <c r="U5182" t="s">
        <v>49047</v>
      </c>
      <c r="W5182" t="s">
        <v>39893</v>
      </c>
      <c r="X5182" t="s">
        <v>42677</v>
      </c>
    </row>
    <row r="5183" spans="1:24">
      <c r="A5183">
        <f>HYPERLINK("https://www.philgeps.gov.ph/GEPSNONPILOT/Tender/SplashBidNoticeAbstractUI.aspx?menuIndex=3&amp;refID=7189623&amp;Result=3","7189623")</f>
        <v>0</v>
      </c>
      <c r="B5183" t="s">
        <v>1827</v>
      </c>
      <c r="C5183" t="s">
        <v>8494</v>
      </c>
      <c r="D5183" t="s">
        <v>17141</v>
      </c>
      <c r="E5183" t="s">
        <v>21726</v>
      </c>
      <c r="F5183" t="s">
        <v>29372</v>
      </c>
      <c r="G5183" t="s">
        <v>29380</v>
      </c>
      <c r="H5183" t="s">
        <v>11048</v>
      </c>
      <c r="I5183" t="s">
        <v>3670</v>
      </c>
      <c r="J5183" t="s">
        <v>32887</v>
      </c>
      <c r="K5183" t="s">
        <v>38510</v>
      </c>
      <c r="M5183" t="s">
        <v>40698</v>
      </c>
      <c r="N5183" t="s">
        <v>42669</v>
      </c>
      <c r="O5183" t="s">
        <v>42670</v>
      </c>
      <c r="P5183">
        <v>0</v>
      </c>
      <c r="Q5183">
        <v>3</v>
      </c>
      <c r="R5183" t="s">
        <v>42676</v>
      </c>
      <c r="S5183" t="s">
        <v>42809</v>
      </c>
      <c r="T5183" t="s">
        <v>44378</v>
      </c>
      <c r="U5183" t="s">
        <v>49051</v>
      </c>
      <c r="W5183" t="s">
        <v>40698</v>
      </c>
      <c r="X5183" t="s">
        <v>42677</v>
      </c>
    </row>
    <row r="5184" spans="1:24">
      <c r="A5184">
        <f>HYPERLINK("https://www.philgeps.gov.ph/GEPSNONPILOT/Tender/SplashBidNoticeAbstractUI.aspx?menuIndex=3&amp;refID=7189621&amp;Result=3","7189621")</f>
        <v>0</v>
      </c>
      <c r="B5184" t="s">
        <v>1824</v>
      </c>
      <c r="C5184" t="s">
        <v>8495</v>
      </c>
      <c r="D5184" t="s">
        <v>17160</v>
      </c>
      <c r="E5184" t="s">
        <v>21727</v>
      </c>
      <c r="F5184" t="s">
        <v>29372</v>
      </c>
      <c r="G5184" t="s">
        <v>29379</v>
      </c>
      <c r="H5184" t="s">
        <v>11048</v>
      </c>
      <c r="I5184" t="s">
        <v>5383</v>
      </c>
      <c r="J5184" t="s">
        <v>31263</v>
      </c>
      <c r="K5184" t="s">
        <v>38491</v>
      </c>
      <c r="M5184" t="s">
        <v>40695</v>
      </c>
      <c r="N5184" t="s">
        <v>42669</v>
      </c>
      <c r="O5184" t="s">
        <v>42670</v>
      </c>
      <c r="P5184">
        <v>0</v>
      </c>
      <c r="Q5184">
        <v>4</v>
      </c>
      <c r="R5184" t="s">
        <v>42676</v>
      </c>
      <c r="S5184" t="s">
        <v>42809</v>
      </c>
      <c r="T5184" t="s">
        <v>44401</v>
      </c>
      <c r="U5184" t="s">
        <v>49041</v>
      </c>
      <c r="W5184" t="s">
        <v>40695</v>
      </c>
      <c r="X5184" t="s">
        <v>42677</v>
      </c>
    </row>
    <row r="5185" spans="1:24">
      <c r="A5185">
        <f>HYPERLINK("https://www.philgeps.gov.ph/GEPSNONPILOT/Tender/SplashBidNoticeAbstractUI.aspx?menuIndex=3&amp;refID=7189620&amp;Result=3","7189620")</f>
        <v>0</v>
      </c>
      <c r="B5185" t="s">
        <v>1826</v>
      </c>
      <c r="C5185" t="s">
        <v>8496</v>
      </c>
      <c r="D5185" t="s">
        <v>17204</v>
      </c>
      <c r="E5185" t="s">
        <v>21728</v>
      </c>
      <c r="F5185" t="s">
        <v>29372</v>
      </c>
      <c r="G5185" t="s">
        <v>29379</v>
      </c>
      <c r="H5185" t="s">
        <v>11048</v>
      </c>
      <c r="I5185" t="s">
        <v>3839</v>
      </c>
      <c r="J5185" t="s">
        <v>30427</v>
      </c>
      <c r="K5185" t="s">
        <v>38485</v>
      </c>
      <c r="M5185" t="s">
        <v>40697</v>
      </c>
      <c r="N5185" t="s">
        <v>42669</v>
      </c>
      <c r="O5185" t="s">
        <v>42670</v>
      </c>
      <c r="P5185">
        <v>0</v>
      </c>
      <c r="Q5185">
        <v>1</v>
      </c>
      <c r="R5185" t="s">
        <v>42676</v>
      </c>
      <c r="S5185" t="s">
        <v>42809</v>
      </c>
      <c r="T5185" t="s">
        <v>44493</v>
      </c>
      <c r="U5185" t="s">
        <v>49052</v>
      </c>
      <c r="V5185" t="s">
        <v>56938</v>
      </c>
      <c r="W5185" t="s">
        <v>40697</v>
      </c>
      <c r="X5185" t="s">
        <v>42677</v>
      </c>
    </row>
    <row r="5186" spans="1:24">
      <c r="A5186">
        <f>HYPERLINK("https://www.philgeps.gov.ph/GEPSNONPILOT/Tender/SplashBidNoticeAbstractUI.aspx?menuIndex=3&amp;refID=7189619&amp;Result=3","7189619")</f>
        <v>0</v>
      </c>
      <c r="B5186" t="s">
        <v>1814</v>
      </c>
      <c r="C5186" t="s">
        <v>8497</v>
      </c>
      <c r="D5186" t="s">
        <v>17141</v>
      </c>
      <c r="E5186" t="s">
        <v>21729</v>
      </c>
      <c r="F5186" t="s">
        <v>29372</v>
      </c>
      <c r="G5186" t="s">
        <v>29383</v>
      </c>
      <c r="H5186" t="s">
        <v>11048</v>
      </c>
      <c r="I5186" t="s">
        <v>4487</v>
      </c>
      <c r="J5186" t="s">
        <v>32888</v>
      </c>
      <c r="K5186" t="s">
        <v>38491</v>
      </c>
      <c r="M5186" t="s">
        <v>40685</v>
      </c>
      <c r="N5186" t="s">
        <v>42669</v>
      </c>
      <c r="O5186" t="s">
        <v>42670</v>
      </c>
      <c r="P5186">
        <v>0</v>
      </c>
      <c r="Q5186">
        <v>2</v>
      </c>
      <c r="R5186" t="s">
        <v>42676</v>
      </c>
      <c r="S5186" t="s">
        <v>42809</v>
      </c>
      <c r="T5186" t="s">
        <v>44488</v>
      </c>
      <c r="U5186" t="s">
        <v>49018</v>
      </c>
      <c r="W5186" t="s">
        <v>40685</v>
      </c>
      <c r="X5186" t="s">
        <v>42677</v>
      </c>
    </row>
    <row r="5187" spans="1:24">
      <c r="A5187">
        <f>HYPERLINK("https://www.philgeps.gov.ph/GEPSNONPILOT/Tender/SplashBidNoticeAbstractUI.aspx?menuIndex=3&amp;refID=7189645&amp;Result=3","7189645")</f>
        <v>0</v>
      </c>
      <c r="B5187" t="s">
        <v>1812</v>
      </c>
      <c r="C5187" t="s">
        <v>8498</v>
      </c>
      <c r="D5187" t="s">
        <v>17194</v>
      </c>
      <c r="E5187" t="s">
        <v>21730</v>
      </c>
      <c r="F5187" t="s">
        <v>29372</v>
      </c>
      <c r="G5187" t="s">
        <v>29379</v>
      </c>
      <c r="H5187" t="s">
        <v>11048</v>
      </c>
      <c r="I5187" t="s">
        <v>29407</v>
      </c>
      <c r="J5187" t="s">
        <v>31036</v>
      </c>
      <c r="K5187" t="s">
        <v>38490</v>
      </c>
      <c r="M5187" t="s">
        <v>40683</v>
      </c>
      <c r="N5187" t="s">
        <v>42669</v>
      </c>
      <c r="O5187" t="s">
        <v>42670</v>
      </c>
      <c r="P5187">
        <v>0</v>
      </c>
      <c r="Q5187">
        <v>2</v>
      </c>
      <c r="R5187" t="s">
        <v>42676</v>
      </c>
      <c r="S5187" t="s">
        <v>42809</v>
      </c>
      <c r="T5187" t="s">
        <v>44354</v>
      </c>
      <c r="U5187" t="s">
        <v>49010</v>
      </c>
      <c r="W5187" t="s">
        <v>40683</v>
      </c>
      <c r="X5187" t="s">
        <v>42677</v>
      </c>
    </row>
    <row r="5188" spans="1:24">
      <c r="A5188">
        <f>HYPERLINK("https://www.philgeps.gov.ph/GEPSNONPILOT/Tender/SplashBidNoticeAbstractUI.aspx?menuIndex=3&amp;refID=7189616&amp;Result=3","7189616")</f>
        <v>0</v>
      </c>
      <c r="B5188" t="s">
        <v>512</v>
      </c>
      <c r="C5188" t="s">
        <v>8499</v>
      </c>
      <c r="D5188" t="s">
        <v>17193</v>
      </c>
      <c r="E5188" t="s">
        <v>21731</v>
      </c>
      <c r="F5188" t="s">
        <v>29372</v>
      </c>
      <c r="G5188" t="s">
        <v>29379</v>
      </c>
      <c r="H5188" t="s">
        <v>11048</v>
      </c>
      <c r="I5188" t="s">
        <v>29409</v>
      </c>
      <c r="J5188" t="s">
        <v>32889</v>
      </c>
      <c r="K5188" t="s">
        <v>38488</v>
      </c>
      <c r="M5188" t="s">
        <v>39279</v>
      </c>
      <c r="N5188" t="s">
        <v>42669</v>
      </c>
      <c r="O5188" t="s">
        <v>42670</v>
      </c>
      <c r="P5188">
        <v>0</v>
      </c>
      <c r="Q5188">
        <v>6</v>
      </c>
      <c r="R5188" t="s">
        <v>42676</v>
      </c>
      <c r="S5188" t="s">
        <v>42809</v>
      </c>
      <c r="T5188" t="s">
        <v>44456</v>
      </c>
      <c r="U5188" t="s">
        <v>49053</v>
      </c>
      <c r="W5188" t="s">
        <v>39279</v>
      </c>
      <c r="X5188" t="s">
        <v>42677</v>
      </c>
    </row>
    <row r="5189" spans="1:24">
      <c r="A5189">
        <f>HYPERLINK("https://www.philgeps.gov.ph/GEPSNONPILOT/Tender/SplashBidNoticeAbstractUI.aspx?menuIndex=3&amp;refID=7189586&amp;Result=3","7189586")</f>
        <v>0</v>
      </c>
      <c r="B5189" t="s">
        <v>1794</v>
      </c>
      <c r="C5189" t="s">
        <v>8500</v>
      </c>
      <c r="D5189" t="s">
        <v>17161</v>
      </c>
      <c r="E5189" t="s">
        <v>21732</v>
      </c>
      <c r="F5189" t="s">
        <v>29372</v>
      </c>
      <c r="G5189" t="s">
        <v>29379</v>
      </c>
      <c r="H5189" t="s">
        <v>11048</v>
      </c>
      <c r="I5189" t="s">
        <v>3695</v>
      </c>
      <c r="J5189" t="s">
        <v>32890</v>
      </c>
      <c r="K5189" t="s">
        <v>38491</v>
      </c>
      <c r="M5189" t="s">
        <v>40665</v>
      </c>
      <c r="N5189" t="s">
        <v>42669</v>
      </c>
      <c r="O5189" t="s">
        <v>42670</v>
      </c>
      <c r="P5189">
        <v>0</v>
      </c>
      <c r="Q5189">
        <v>0</v>
      </c>
      <c r="R5189" t="s">
        <v>42676</v>
      </c>
      <c r="S5189" t="s">
        <v>42809</v>
      </c>
      <c r="T5189" t="s">
        <v>44382</v>
      </c>
      <c r="U5189" t="s">
        <v>48962</v>
      </c>
      <c r="V5189" t="s">
        <v>56939</v>
      </c>
      <c r="W5189" t="s">
        <v>40665</v>
      </c>
      <c r="X5189" t="s">
        <v>42677</v>
      </c>
    </row>
    <row r="5190" spans="1:24">
      <c r="A5190">
        <f>HYPERLINK("https://www.philgeps.gov.ph/GEPSNONPILOT/Tender/SplashBidNoticeAbstractUI.aspx?menuIndex=3&amp;refID=7189584&amp;Result=3","7189584")</f>
        <v>0</v>
      </c>
      <c r="B5190" t="s">
        <v>1792</v>
      </c>
      <c r="C5190" t="s">
        <v>8501</v>
      </c>
      <c r="D5190" t="s">
        <v>17141</v>
      </c>
      <c r="E5190" t="s">
        <v>21733</v>
      </c>
      <c r="F5190" t="s">
        <v>29372</v>
      </c>
      <c r="G5190" t="s">
        <v>29380</v>
      </c>
      <c r="H5190" t="s">
        <v>29389</v>
      </c>
      <c r="I5190" t="s">
        <v>10408</v>
      </c>
      <c r="J5190" t="s">
        <v>32891</v>
      </c>
      <c r="K5190" t="s">
        <v>38490</v>
      </c>
      <c r="M5190" t="s">
        <v>40663</v>
      </c>
      <c r="N5190" t="s">
        <v>42669</v>
      </c>
      <c r="O5190" t="s">
        <v>42670</v>
      </c>
      <c r="Q5190">
        <v>6</v>
      </c>
      <c r="R5190" t="s">
        <v>42676</v>
      </c>
      <c r="S5190" t="s">
        <v>42829</v>
      </c>
      <c r="T5190" t="s">
        <v>44503</v>
      </c>
      <c r="U5190" t="s">
        <v>49054</v>
      </c>
      <c r="V5190" t="s">
        <v>56919</v>
      </c>
      <c r="W5190" t="s">
        <v>40663</v>
      </c>
      <c r="X5190" t="s">
        <v>42677</v>
      </c>
    </row>
    <row r="5191" spans="1:24">
      <c r="A5191">
        <f>HYPERLINK("https://www.philgeps.gov.ph/GEPSNONPILOT/Tender/SplashBidNoticeAbstractUI.aspx?menuIndex=3&amp;refID=7189471&amp;Result=3","7189471")</f>
        <v>0</v>
      </c>
      <c r="B5191" t="s">
        <v>1795</v>
      </c>
      <c r="C5191" t="s">
        <v>8502</v>
      </c>
      <c r="D5191" t="s">
        <v>17170</v>
      </c>
      <c r="E5191" t="s">
        <v>21734</v>
      </c>
      <c r="F5191" t="s">
        <v>29372</v>
      </c>
      <c r="G5191" t="s">
        <v>29379</v>
      </c>
      <c r="H5191" t="s">
        <v>11048</v>
      </c>
      <c r="I5191" t="s">
        <v>3839</v>
      </c>
      <c r="J5191" t="s">
        <v>32892</v>
      </c>
      <c r="K5191" t="s">
        <v>38490</v>
      </c>
      <c r="M5191" t="s">
        <v>40666</v>
      </c>
      <c r="N5191" t="s">
        <v>42669</v>
      </c>
      <c r="O5191" t="s">
        <v>42670</v>
      </c>
      <c r="P5191">
        <v>0</v>
      </c>
      <c r="Q5191">
        <v>3</v>
      </c>
      <c r="R5191" t="s">
        <v>42676</v>
      </c>
      <c r="S5191" t="s">
        <v>42809</v>
      </c>
      <c r="T5191" t="s">
        <v>44456</v>
      </c>
      <c r="U5191" t="s">
        <v>49055</v>
      </c>
      <c r="W5191" t="s">
        <v>40666</v>
      </c>
      <c r="X5191" t="s">
        <v>42677</v>
      </c>
    </row>
    <row r="5192" spans="1:24">
      <c r="A5192">
        <f>HYPERLINK("https://www.philgeps.gov.ph/GEPSNONPILOT/Tender/SplashBidNoticeAbstractUI.aspx?menuIndex=3&amp;refID=7189630&amp;Result=3","7189630")</f>
        <v>0</v>
      </c>
      <c r="B5192" t="s">
        <v>1812</v>
      </c>
      <c r="C5192" t="s">
        <v>8503</v>
      </c>
      <c r="D5192" t="s">
        <v>17194</v>
      </c>
      <c r="E5192" t="s">
        <v>21735</v>
      </c>
      <c r="F5192" t="s">
        <v>29372</v>
      </c>
      <c r="G5192" t="s">
        <v>29379</v>
      </c>
      <c r="H5192" t="s">
        <v>11048</v>
      </c>
      <c r="I5192" t="s">
        <v>29432</v>
      </c>
      <c r="J5192" t="s">
        <v>32893</v>
      </c>
      <c r="K5192" t="s">
        <v>38490</v>
      </c>
      <c r="M5192" t="s">
        <v>40683</v>
      </c>
      <c r="N5192" t="s">
        <v>42669</v>
      </c>
      <c r="O5192" t="s">
        <v>42670</v>
      </c>
      <c r="P5192">
        <v>0</v>
      </c>
      <c r="Q5192">
        <v>0</v>
      </c>
      <c r="R5192" t="s">
        <v>42676</v>
      </c>
      <c r="S5192" t="s">
        <v>42809</v>
      </c>
      <c r="T5192" t="s">
        <v>44354</v>
      </c>
      <c r="U5192" t="s">
        <v>49010</v>
      </c>
      <c r="W5192" t="s">
        <v>40683</v>
      </c>
      <c r="X5192" t="s">
        <v>42677</v>
      </c>
    </row>
    <row r="5193" spans="1:24">
      <c r="A5193">
        <f>HYPERLINK("https://www.philgeps.gov.ph/GEPSNONPILOT/Tender/SplashBidNoticeAbstractUI.aspx?menuIndex=3&amp;refID=7189688&amp;Result=3","7189688")</f>
        <v>0</v>
      </c>
      <c r="B5193" t="s">
        <v>1828</v>
      </c>
      <c r="C5193" t="s">
        <v>8504</v>
      </c>
      <c r="D5193" t="s">
        <v>17197</v>
      </c>
      <c r="E5193" t="s">
        <v>21736</v>
      </c>
      <c r="F5193" t="s">
        <v>29372</v>
      </c>
      <c r="G5193" t="s">
        <v>29383</v>
      </c>
      <c r="H5193" t="s">
        <v>11048</v>
      </c>
      <c r="I5193" t="s">
        <v>29407</v>
      </c>
      <c r="J5193" t="s">
        <v>32894</v>
      </c>
      <c r="K5193" t="s">
        <v>38485</v>
      </c>
      <c r="M5193" t="s">
        <v>40699</v>
      </c>
      <c r="N5193" t="s">
        <v>42669</v>
      </c>
      <c r="O5193" t="s">
        <v>42670</v>
      </c>
      <c r="P5193">
        <v>0</v>
      </c>
      <c r="Q5193">
        <v>11</v>
      </c>
      <c r="R5193" t="s">
        <v>42676</v>
      </c>
      <c r="S5193" t="s">
        <v>42809</v>
      </c>
      <c r="T5193" t="s">
        <v>44386</v>
      </c>
      <c r="U5193" t="s">
        <v>49056</v>
      </c>
      <c r="W5193" t="s">
        <v>40699</v>
      </c>
      <c r="X5193" t="s">
        <v>42677</v>
      </c>
    </row>
    <row r="5194" spans="1:24">
      <c r="A5194">
        <f>HYPERLINK("https://www.philgeps.gov.ph/GEPSNONPILOT/Tender/SplashBidNoticeAbstractUI.aspx?menuIndex=3&amp;refID=7189682&amp;Result=3","7189682")</f>
        <v>0</v>
      </c>
      <c r="B5194" t="s">
        <v>1829</v>
      </c>
      <c r="C5194" t="s">
        <v>8505</v>
      </c>
      <c r="D5194" t="s">
        <v>17180</v>
      </c>
      <c r="E5194" t="s">
        <v>21737</v>
      </c>
      <c r="F5194" t="s">
        <v>29372</v>
      </c>
      <c r="G5194" t="s">
        <v>29380</v>
      </c>
      <c r="H5194" t="s">
        <v>11048</v>
      </c>
      <c r="I5194" t="s">
        <v>4709</v>
      </c>
      <c r="J5194" t="s">
        <v>32895</v>
      </c>
      <c r="K5194" t="s">
        <v>38510</v>
      </c>
      <c r="M5194" t="s">
        <v>40700</v>
      </c>
      <c r="N5194" t="s">
        <v>42669</v>
      </c>
      <c r="O5194" t="s">
        <v>42670</v>
      </c>
      <c r="P5194">
        <v>0</v>
      </c>
      <c r="Q5194">
        <v>2</v>
      </c>
      <c r="R5194" t="s">
        <v>42676</v>
      </c>
      <c r="S5194" t="s">
        <v>42809</v>
      </c>
      <c r="T5194" t="s">
        <v>44394</v>
      </c>
      <c r="U5194" t="s">
        <v>49057</v>
      </c>
      <c r="W5194" t="s">
        <v>40700</v>
      </c>
      <c r="X5194" t="s">
        <v>42677</v>
      </c>
    </row>
    <row r="5195" spans="1:24">
      <c r="A5195">
        <f>HYPERLINK("https://www.philgeps.gov.ph/GEPSNONPILOT/Tender/SplashBidNoticeAbstractUI.aspx?menuIndex=3&amp;refID=7189681&amp;Result=3","7189681")</f>
        <v>0</v>
      </c>
      <c r="B5195" t="s">
        <v>1830</v>
      </c>
      <c r="C5195" t="s">
        <v>8506</v>
      </c>
      <c r="D5195" t="s">
        <v>17194</v>
      </c>
      <c r="E5195" t="s">
        <v>21738</v>
      </c>
      <c r="F5195" t="s">
        <v>29372</v>
      </c>
      <c r="G5195" t="s">
        <v>29379</v>
      </c>
      <c r="H5195" t="s">
        <v>11048</v>
      </c>
      <c r="I5195" t="s">
        <v>3597</v>
      </c>
      <c r="J5195" t="s">
        <v>32896</v>
      </c>
      <c r="K5195" t="s">
        <v>38485</v>
      </c>
      <c r="M5195" t="s">
        <v>40701</v>
      </c>
      <c r="N5195" t="s">
        <v>42669</v>
      </c>
      <c r="O5195" t="s">
        <v>42670</v>
      </c>
      <c r="P5195">
        <v>0</v>
      </c>
      <c r="Q5195">
        <v>3</v>
      </c>
      <c r="R5195" t="s">
        <v>42676</v>
      </c>
      <c r="S5195" t="s">
        <v>42809</v>
      </c>
      <c r="T5195" t="s">
        <v>44387</v>
      </c>
      <c r="U5195" t="s">
        <v>49058</v>
      </c>
      <c r="W5195" t="s">
        <v>40701</v>
      </c>
      <c r="X5195" t="s">
        <v>42677</v>
      </c>
    </row>
    <row r="5196" spans="1:24">
      <c r="A5196">
        <f>HYPERLINK("https://www.philgeps.gov.ph/GEPSNONPILOT/Tender/SplashBidNoticeAbstractUI.aspx?menuIndex=3&amp;refID=7189679&amp;Result=3","7189679")</f>
        <v>0</v>
      </c>
      <c r="B5196" t="s">
        <v>1831</v>
      </c>
      <c r="C5196" t="s">
        <v>8507</v>
      </c>
      <c r="D5196" t="s">
        <v>17141</v>
      </c>
      <c r="E5196" t="s">
        <v>21739</v>
      </c>
      <c r="F5196" t="s">
        <v>29372</v>
      </c>
      <c r="G5196" t="s">
        <v>29383</v>
      </c>
      <c r="H5196" t="s">
        <v>11048</v>
      </c>
      <c r="I5196" t="s">
        <v>29439</v>
      </c>
      <c r="J5196" t="s">
        <v>32897</v>
      </c>
      <c r="K5196" t="s">
        <v>38528</v>
      </c>
      <c r="M5196" t="s">
        <v>40702</v>
      </c>
      <c r="N5196" t="s">
        <v>42669</v>
      </c>
      <c r="O5196" t="s">
        <v>42670</v>
      </c>
      <c r="P5196">
        <v>0</v>
      </c>
      <c r="Q5196">
        <v>1</v>
      </c>
      <c r="R5196" t="s">
        <v>42676</v>
      </c>
      <c r="S5196" t="s">
        <v>42809</v>
      </c>
      <c r="T5196" t="s">
        <v>44429</v>
      </c>
      <c r="U5196" t="s">
        <v>49059</v>
      </c>
      <c r="W5196" t="s">
        <v>40702</v>
      </c>
      <c r="X5196" t="s">
        <v>42677</v>
      </c>
    </row>
    <row r="5197" spans="1:24">
      <c r="A5197">
        <f>HYPERLINK("https://www.philgeps.gov.ph/GEPSNONPILOT/Tender/SplashBidNoticeAbstractUI.aspx?menuIndex=3&amp;refID=7189580&amp;Result=3","7189580")</f>
        <v>0</v>
      </c>
      <c r="B5197" t="s">
        <v>1812</v>
      </c>
      <c r="C5197" t="s">
        <v>8508</v>
      </c>
      <c r="D5197" t="s">
        <v>17194</v>
      </c>
      <c r="E5197" t="s">
        <v>21740</v>
      </c>
      <c r="F5197" t="s">
        <v>29372</v>
      </c>
      <c r="G5197" t="s">
        <v>29379</v>
      </c>
      <c r="H5197" t="s">
        <v>11048</v>
      </c>
      <c r="I5197" t="s">
        <v>5383</v>
      </c>
      <c r="J5197" t="s">
        <v>29685</v>
      </c>
      <c r="K5197" t="s">
        <v>38490</v>
      </c>
      <c r="M5197" t="s">
        <v>40683</v>
      </c>
      <c r="N5197" t="s">
        <v>42669</v>
      </c>
      <c r="O5197" t="s">
        <v>42670</v>
      </c>
      <c r="P5197">
        <v>0</v>
      </c>
      <c r="Q5197">
        <v>0</v>
      </c>
      <c r="R5197" t="s">
        <v>42676</v>
      </c>
      <c r="S5197" t="s">
        <v>42809</v>
      </c>
      <c r="T5197" t="s">
        <v>44354</v>
      </c>
      <c r="U5197" t="s">
        <v>49010</v>
      </c>
      <c r="W5197" t="s">
        <v>40683</v>
      </c>
      <c r="X5197" t="s">
        <v>42677</v>
      </c>
    </row>
    <row r="5198" spans="1:24">
      <c r="A5198">
        <f>HYPERLINK("https://www.philgeps.gov.ph/GEPSNONPILOT/Tender/SplashBidNoticeAbstractUI.aspx?menuIndex=3&amp;refID=7189629&amp;Result=3","7189629")</f>
        <v>0</v>
      </c>
      <c r="B5198" t="s">
        <v>1832</v>
      </c>
      <c r="C5198" t="s">
        <v>8509</v>
      </c>
      <c r="E5198" t="s">
        <v>17540</v>
      </c>
      <c r="F5198" t="s">
        <v>29372</v>
      </c>
      <c r="G5198" t="s">
        <v>29383</v>
      </c>
      <c r="H5198" t="s">
        <v>11048</v>
      </c>
      <c r="I5198" t="s">
        <v>4487</v>
      </c>
      <c r="J5198" t="s">
        <v>29587</v>
      </c>
      <c r="K5198" t="s">
        <v>38490</v>
      </c>
      <c r="M5198" t="s">
        <v>40703</v>
      </c>
      <c r="N5198" t="s">
        <v>42669</v>
      </c>
      <c r="O5198" t="s">
        <v>42670</v>
      </c>
      <c r="P5198">
        <v>0</v>
      </c>
      <c r="Q5198">
        <v>1</v>
      </c>
      <c r="R5198" t="s">
        <v>42676</v>
      </c>
      <c r="S5198" t="s">
        <v>42809</v>
      </c>
      <c r="T5198" t="s">
        <v>44427</v>
      </c>
      <c r="U5198" t="s">
        <v>49060</v>
      </c>
      <c r="W5198" t="s">
        <v>40703</v>
      </c>
      <c r="X5198" t="s">
        <v>42677</v>
      </c>
    </row>
    <row r="5199" spans="1:24">
      <c r="A5199">
        <f>HYPERLINK("https://www.philgeps.gov.ph/GEPSNONPILOT/Tender/SplashBidNoticeAbstractUI.aspx?menuIndex=3&amp;refID=7189674&amp;Result=3","7189674")</f>
        <v>0</v>
      </c>
      <c r="B5199" t="s">
        <v>349</v>
      </c>
      <c r="C5199" t="s">
        <v>8510</v>
      </c>
      <c r="D5199" t="s">
        <v>17199</v>
      </c>
      <c r="E5199" t="s">
        <v>8510</v>
      </c>
      <c r="F5199" t="s">
        <v>29372</v>
      </c>
      <c r="G5199" t="s">
        <v>29379</v>
      </c>
      <c r="H5199" t="s">
        <v>11048</v>
      </c>
      <c r="I5199" t="s">
        <v>29403</v>
      </c>
      <c r="J5199" t="s">
        <v>30934</v>
      </c>
      <c r="K5199" t="s">
        <v>38488</v>
      </c>
      <c r="M5199" t="s">
        <v>39108</v>
      </c>
      <c r="N5199" t="s">
        <v>42669</v>
      </c>
      <c r="O5199" t="s">
        <v>42670</v>
      </c>
      <c r="P5199">
        <v>0</v>
      </c>
      <c r="Q5199">
        <v>0</v>
      </c>
      <c r="R5199" t="s">
        <v>42676</v>
      </c>
      <c r="S5199" t="s">
        <v>42809</v>
      </c>
      <c r="T5199" t="s">
        <v>44432</v>
      </c>
      <c r="U5199" t="s">
        <v>49061</v>
      </c>
      <c r="W5199" t="s">
        <v>39108</v>
      </c>
      <c r="X5199" t="s">
        <v>42677</v>
      </c>
    </row>
    <row r="5200" spans="1:24">
      <c r="A5200">
        <f>HYPERLINK("https://www.philgeps.gov.ph/GEPSNONPILOT/Tender/SplashBidNoticeAbstractUI.aspx?menuIndex=3&amp;refID=7189684&amp;Result=3","7189684")</f>
        <v>0</v>
      </c>
      <c r="B5200" t="s">
        <v>1812</v>
      </c>
      <c r="C5200" t="s">
        <v>8511</v>
      </c>
      <c r="D5200" t="s">
        <v>17194</v>
      </c>
      <c r="E5200" t="s">
        <v>21741</v>
      </c>
      <c r="F5200" t="s">
        <v>29372</v>
      </c>
      <c r="G5200" t="s">
        <v>29379</v>
      </c>
      <c r="H5200" t="s">
        <v>11048</v>
      </c>
      <c r="I5200" t="s">
        <v>8208</v>
      </c>
      <c r="J5200" t="s">
        <v>29680</v>
      </c>
      <c r="K5200" t="s">
        <v>38490</v>
      </c>
      <c r="M5200" t="s">
        <v>40683</v>
      </c>
      <c r="N5200" t="s">
        <v>42669</v>
      </c>
      <c r="O5200" t="s">
        <v>42670</v>
      </c>
      <c r="P5200">
        <v>0</v>
      </c>
      <c r="Q5200">
        <v>0</v>
      </c>
      <c r="R5200" t="s">
        <v>42676</v>
      </c>
      <c r="S5200" t="s">
        <v>42809</v>
      </c>
      <c r="T5200" t="s">
        <v>44687</v>
      </c>
      <c r="U5200" t="s">
        <v>49010</v>
      </c>
      <c r="W5200" t="s">
        <v>40683</v>
      </c>
      <c r="X5200" t="s">
        <v>42677</v>
      </c>
    </row>
    <row r="5201" spans="1:24">
      <c r="A5201">
        <f>HYPERLINK("https://www.philgeps.gov.ph/GEPSNONPILOT/Tender/SplashBidNoticeAbstractUI.aspx?menuIndex=3&amp;refID=7189666&amp;Result=3","7189666")</f>
        <v>0</v>
      </c>
      <c r="B5201" t="s">
        <v>1812</v>
      </c>
      <c r="C5201" t="s">
        <v>8512</v>
      </c>
      <c r="D5201" t="s">
        <v>17194</v>
      </c>
      <c r="E5201" t="s">
        <v>21742</v>
      </c>
      <c r="F5201" t="s">
        <v>29372</v>
      </c>
      <c r="G5201" t="s">
        <v>29379</v>
      </c>
      <c r="H5201" t="s">
        <v>11048</v>
      </c>
      <c r="I5201" t="s">
        <v>3839</v>
      </c>
      <c r="J5201" t="s">
        <v>30445</v>
      </c>
      <c r="K5201" t="s">
        <v>38490</v>
      </c>
      <c r="M5201" t="s">
        <v>40683</v>
      </c>
      <c r="N5201" t="s">
        <v>42669</v>
      </c>
      <c r="O5201" t="s">
        <v>42670</v>
      </c>
      <c r="P5201">
        <v>0</v>
      </c>
      <c r="Q5201">
        <v>1</v>
      </c>
      <c r="R5201" t="s">
        <v>42676</v>
      </c>
      <c r="S5201" t="s">
        <v>42809</v>
      </c>
      <c r="T5201" t="s">
        <v>44354</v>
      </c>
      <c r="U5201" t="s">
        <v>49010</v>
      </c>
      <c r="W5201" t="s">
        <v>40683</v>
      </c>
      <c r="X5201" t="s">
        <v>42677</v>
      </c>
    </row>
    <row r="5202" spans="1:24">
      <c r="A5202">
        <f>HYPERLINK("https://www.philgeps.gov.ph/GEPSNONPILOT/Tender/SplashBidNoticeAbstractUI.aspx?menuIndex=3&amp;refID=7189627&amp;Result=3","7189627")</f>
        <v>0</v>
      </c>
      <c r="B5202" t="s">
        <v>1833</v>
      </c>
      <c r="C5202" t="s">
        <v>8513</v>
      </c>
      <c r="D5202" t="s">
        <v>17188</v>
      </c>
      <c r="E5202" t="s">
        <v>21743</v>
      </c>
      <c r="F5202" t="s">
        <v>29373</v>
      </c>
      <c r="G5202" t="s">
        <v>29379</v>
      </c>
      <c r="H5202" t="s">
        <v>11048</v>
      </c>
      <c r="I5202" t="s">
        <v>29394</v>
      </c>
      <c r="J5202" t="s">
        <v>32898</v>
      </c>
      <c r="K5202" t="s">
        <v>38489</v>
      </c>
      <c r="M5202" t="s">
        <v>40704</v>
      </c>
      <c r="N5202" t="s">
        <v>42669</v>
      </c>
      <c r="O5202" t="s">
        <v>42670</v>
      </c>
      <c r="P5202">
        <v>0</v>
      </c>
      <c r="Q5202">
        <v>0</v>
      </c>
      <c r="R5202" t="s">
        <v>42676</v>
      </c>
      <c r="S5202" t="s">
        <v>42809</v>
      </c>
      <c r="T5202" t="s">
        <v>44394</v>
      </c>
      <c r="U5202" t="s">
        <v>49062</v>
      </c>
      <c r="W5202" t="s">
        <v>40704</v>
      </c>
      <c r="X5202" t="s">
        <v>42677</v>
      </c>
    </row>
    <row r="5203" spans="1:24">
      <c r="A5203">
        <f>HYPERLINK("https://www.philgeps.gov.ph/GEPSNONPILOT/Tender/SplashBidNoticeAbstractUI.aspx?menuIndex=3&amp;refID=7189677&amp;Result=3","7189677")</f>
        <v>0</v>
      </c>
      <c r="B5203" t="s">
        <v>895</v>
      </c>
      <c r="C5203" t="s">
        <v>8514</v>
      </c>
      <c r="D5203" t="s">
        <v>17197</v>
      </c>
      <c r="E5203" t="s">
        <v>21744</v>
      </c>
      <c r="F5203" t="s">
        <v>29372</v>
      </c>
      <c r="G5203" t="s">
        <v>29383</v>
      </c>
      <c r="H5203" t="s">
        <v>29390</v>
      </c>
      <c r="I5203" t="s">
        <v>4487</v>
      </c>
      <c r="J5203" t="s">
        <v>29680</v>
      </c>
      <c r="K5203" t="s">
        <v>38510</v>
      </c>
      <c r="M5203" t="s">
        <v>39688</v>
      </c>
      <c r="N5203" t="s">
        <v>42669</v>
      </c>
      <c r="O5203" t="s">
        <v>42670</v>
      </c>
      <c r="P5203">
        <v>0</v>
      </c>
      <c r="Q5203">
        <v>2</v>
      </c>
      <c r="R5203" t="s">
        <v>42676</v>
      </c>
      <c r="S5203" t="s">
        <v>42809</v>
      </c>
      <c r="T5203" t="s">
        <v>44382</v>
      </c>
      <c r="U5203" t="s">
        <v>49063</v>
      </c>
      <c r="W5203" t="s">
        <v>39688</v>
      </c>
      <c r="X5203" t="s">
        <v>42677</v>
      </c>
    </row>
    <row r="5204" spans="1:24">
      <c r="A5204">
        <f>HYPERLINK("https://www.philgeps.gov.ph/GEPSNONPILOT/Tender/SplashBidNoticeAbstractUI.aspx?menuIndex=3&amp;refID=7189663&amp;Result=3","7189663")</f>
        <v>0</v>
      </c>
      <c r="B5204" t="s">
        <v>1834</v>
      </c>
      <c r="C5204" t="s">
        <v>8515</v>
      </c>
      <c r="D5204" t="s">
        <v>17151</v>
      </c>
      <c r="E5204" t="s">
        <v>21745</v>
      </c>
      <c r="F5204" t="s">
        <v>29372</v>
      </c>
      <c r="G5204" t="s">
        <v>29380</v>
      </c>
      <c r="H5204" t="s">
        <v>11048</v>
      </c>
      <c r="I5204" t="s">
        <v>29461</v>
      </c>
      <c r="J5204" t="s">
        <v>29729</v>
      </c>
      <c r="K5204" t="s">
        <v>38491</v>
      </c>
      <c r="M5204" t="s">
        <v>40705</v>
      </c>
      <c r="N5204" t="s">
        <v>42669</v>
      </c>
      <c r="O5204" t="s">
        <v>42670</v>
      </c>
      <c r="P5204">
        <v>0</v>
      </c>
      <c r="Q5204">
        <v>0</v>
      </c>
      <c r="R5204" t="s">
        <v>42676</v>
      </c>
      <c r="S5204" t="s">
        <v>42809</v>
      </c>
      <c r="T5204" t="s">
        <v>44430</v>
      </c>
      <c r="U5204" t="s">
        <v>49064</v>
      </c>
      <c r="W5204" t="s">
        <v>40705</v>
      </c>
      <c r="X5204" t="s">
        <v>42677</v>
      </c>
    </row>
    <row r="5205" spans="1:24">
      <c r="A5205">
        <f>HYPERLINK("https://www.philgeps.gov.ph/GEPSNONPILOT/Tender/SplashBidNoticeAbstractUI.aspx?menuIndex=3&amp;refID=7189647&amp;Result=3","7189647")</f>
        <v>0</v>
      </c>
      <c r="B5205" t="s">
        <v>1612</v>
      </c>
      <c r="C5205" t="s">
        <v>8516</v>
      </c>
      <c r="D5205" t="s">
        <v>17153</v>
      </c>
      <c r="E5205" t="s">
        <v>21746</v>
      </c>
      <c r="F5205" t="s">
        <v>29372</v>
      </c>
      <c r="G5205" t="s">
        <v>29383</v>
      </c>
      <c r="H5205" t="s">
        <v>11048</v>
      </c>
      <c r="I5205" t="s">
        <v>6417</v>
      </c>
      <c r="J5205" t="s">
        <v>29934</v>
      </c>
      <c r="K5205" t="s">
        <v>38485</v>
      </c>
      <c r="M5205" t="s">
        <v>40465</v>
      </c>
      <c r="N5205" t="s">
        <v>42669</v>
      </c>
      <c r="O5205" t="s">
        <v>42670</v>
      </c>
      <c r="P5205">
        <v>0</v>
      </c>
      <c r="Q5205">
        <v>2</v>
      </c>
      <c r="R5205" t="s">
        <v>42676</v>
      </c>
      <c r="S5205" t="s">
        <v>42809</v>
      </c>
      <c r="T5205" t="s">
        <v>44371</v>
      </c>
      <c r="U5205" t="s">
        <v>49065</v>
      </c>
      <c r="W5205" t="s">
        <v>40465</v>
      </c>
      <c r="X5205" t="s">
        <v>42677</v>
      </c>
    </row>
    <row r="5206" spans="1:24">
      <c r="A5206">
        <f>HYPERLINK("https://www.philgeps.gov.ph/GEPSNONPILOT/Tender/SplashBidNoticeAbstractUI.aspx?menuIndex=3&amp;refID=7189662&amp;Result=3","7189662")</f>
        <v>0</v>
      </c>
      <c r="B5206" t="s">
        <v>1831</v>
      </c>
      <c r="C5206" t="s">
        <v>8517</v>
      </c>
      <c r="D5206" t="s">
        <v>17141</v>
      </c>
      <c r="E5206" t="s">
        <v>21747</v>
      </c>
      <c r="F5206" t="s">
        <v>29372</v>
      </c>
      <c r="G5206" t="s">
        <v>29383</v>
      </c>
      <c r="H5206" t="s">
        <v>11048</v>
      </c>
      <c r="I5206" t="s">
        <v>29395</v>
      </c>
      <c r="J5206" t="s">
        <v>32899</v>
      </c>
      <c r="K5206" t="s">
        <v>38528</v>
      </c>
      <c r="M5206" t="s">
        <v>40702</v>
      </c>
      <c r="N5206" t="s">
        <v>42669</v>
      </c>
      <c r="O5206" t="s">
        <v>42670</v>
      </c>
      <c r="P5206">
        <v>0</v>
      </c>
      <c r="Q5206">
        <v>0</v>
      </c>
      <c r="R5206" t="s">
        <v>42676</v>
      </c>
      <c r="S5206" t="s">
        <v>42809</v>
      </c>
      <c r="T5206" t="s">
        <v>44429</v>
      </c>
      <c r="U5206" t="s">
        <v>49066</v>
      </c>
      <c r="W5206" t="s">
        <v>40702</v>
      </c>
      <c r="X5206" t="s">
        <v>42677</v>
      </c>
    </row>
    <row r="5207" spans="1:24">
      <c r="A5207">
        <f>HYPERLINK("https://www.philgeps.gov.ph/GEPSNONPILOT/Tender/SplashBidNoticeAbstractUI.aspx?menuIndex=3&amp;refID=7189692&amp;Result=3","7189692")</f>
        <v>0</v>
      </c>
      <c r="B5207" t="s">
        <v>895</v>
      </c>
      <c r="C5207" t="s">
        <v>8518</v>
      </c>
      <c r="D5207" t="s">
        <v>17197</v>
      </c>
      <c r="E5207" t="s">
        <v>21748</v>
      </c>
      <c r="F5207" t="s">
        <v>29372</v>
      </c>
      <c r="G5207" t="s">
        <v>29379</v>
      </c>
      <c r="H5207" t="s">
        <v>29390</v>
      </c>
      <c r="I5207" t="s">
        <v>29447</v>
      </c>
      <c r="J5207" t="s">
        <v>32563</v>
      </c>
      <c r="K5207" t="s">
        <v>38510</v>
      </c>
      <c r="M5207" t="s">
        <v>39688</v>
      </c>
      <c r="N5207" t="s">
        <v>42669</v>
      </c>
      <c r="O5207" t="s">
        <v>42670</v>
      </c>
      <c r="P5207">
        <v>0</v>
      </c>
      <c r="Q5207">
        <v>1</v>
      </c>
      <c r="R5207" t="s">
        <v>42676</v>
      </c>
      <c r="S5207" t="s">
        <v>42809</v>
      </c>
      <c r="T5207" t="s">
        <v>44382</v>
      </c>
      <c r="U5207" t="s">
        <v>49067</v>
      </c>
      <c r="W5207" t="s">
        <v>39688</v>
      </c>
      <c r="X5207" t="s">
        <v>42677</v>
      </c>
    </row>
    <row r="5208" spans="1:24">
      <c r="A5208">
        <f>HYPERLINK("https://www.philgeps.gov.ph/GEPSNONPILOT/Tender/SplashBidNoticeAbstractUI.aspx?menuIndex=3&amp;refID=7189715&amp;Result=3","7189715")</f>
        <v>0</v>
      </c>
      <c r="B5208" t="s">
        <v>1835</v>
      </c>
      <c r="C5208" t="s">
        <v>8519</v>
      </c>
      <c r="D5208" t="s">
        <v>17171</v>
      </c>
      <c r="E5208" t="s">
        <v>21749</v>
      </c>
      <c r="F5208" t="s">
        <v>29373</v>
      </c>
      <c r="G5208" t="s">
        <v>29379</v>
      </c>
      <c r="H5208" t="s">
        <v>11048</v>
      </c>
      <c r="I5208" t="s">
        <v>5383</v>
      </c>
      <c r="J5208" t="s">
        <v>30026</v>
      </c>
      <c r="K5208" t="s">
        <v>38528</v>
      </c>
      <c r="M5208" t="s">
        <v>40706</v>
      </c>
      <c r="N5208" t="s">
        <v>42669</v>
      </c>
      <c r="O5208" t="s">
        <v>42670</v>
      </c>
      <c r="P5208">
        <v>0</v>
      </c>
      <c r="Q5208">
        <v>1</v>
      </c>
      <c r="R5208" t="s">
        <v>42676</v>
      </c>
      <c r="S5208" t="s">
        <v>42809</v>
      </c>
      <c r="T5208" t="s">
        <v>44394</v>
      </c>
      <c r="U5208" t="s">
        <v>49068</v>
      </c>
      <c r="W5208" t="s">
        <v>40706</v>
      </c>
      <c r="X5208" t="s">
        <v>42677</v>
      </c>
    </row>
    <row r="5209" spans="1:24">
      <c r="A5209">
        <f>HYPERLINK("https://www.philgeps.gov.ph/GEPSNONPILOT/Tender/SplashBidNoticeAbstractUI.aspx?menuIndex=3&amp;refID=7189671&amp;Result=3","7189671")</f>
        <v>0</v>
      </c>
      <c r="B5209" t="s">
        <v>172</v>
      </c>
      <c r="C5209" t="s">
        <v>8520</v>
      </c>
      <c r="D5209" t="s">
        <v>17196</v>
      </c>
      <c r="E5209" t="s">
        <v>21750</v>
      </c>
      <c r="F5209" t="s">
        <v>29372</v>
      </c>
      <c r="G5209" t="s">
        <v>29380</v>
      </c>
      <c r="H5209" t="s">
        <v>29389</v>
      </c>
      <c r="I5209" t="s">
        <v>10408</v>
      </c>
      <c r="J5209" t="s">
        <v>29788</v>
      </c>
      <c r="K5209" t="s">
        <v>38495</v>
      </c>
      <c r="M5209" t="s">
        <v>38929</v>
      </c>
      <c r="N5209" t="s">
        <v>42669</v>
      </c>
      <c r="O5209" t="s">
        <v>42670</v>
      </c>
      <c r="P5209">
        <v>0</v>
      </c>
      <c r="Q5209">
        <v>3</v>
      </c>
      <c r="R5209" t="s">
        <v>42676</v>
      </c>
      <c r="S5209" t="s">
        <v>42809</v>
      </c>
      <c r="T5209" t="s">
        <v>44485</v>
      </c>
      <c r="U5209" t="s">
        <v>49069</v>
      </c>
      <c r="W5209" t="s">
        <v>38929</v>
      </c>
      <c r="X5209" t="s">
        <v>42677</v>
      </c>
    </row>
    <row r="5210" spans="1:24">
      <c r="A5210">
        <f>HYPERLINK("https://www.philgeps.gov.ph/GEPSNONPILOT/Tender/SplashBidNoticeAbstractUI.aspx?menuIndex=3&amp;refID=7189714&amp;Result=3","7189714")</f>
        <v>0</v>
      </c>
      <c r="B5210" t="s">
        <v>1046</v>
      </c>
      <c r="C5210" t="s">
        <v>8521</v>
      </c>
      <c r="D5210" t="s">
        <v>17178</v>
      </c>
      <c r="E5210" t="s">
        <v>21751</v>
      </c>
      <c r="F5210" t="s">
        <v>29372</v>
      </c>
      <c r="G5210" t="s">
        <v>29383</v>
      </c>
      <c r="H5210" t="s">
        <v>11048</v>
      </c>
      <c r="I5210" t="s">
        <v>4709</v>
      </c>
      <c r="J5210" t="s">
        <v>32900</v>
      </c>
      <c r="K5210" t="s">
        <v>38491</v>
      </c>
      <c r="M5210" t="s">
        <v>39851</v>
      </c>
      <c r="N5210" t="s">
        <v>42669</v>
      </c>
      <c r="O5210" t="s">
        <v>42670</v>
      </c>
      <c r="P5210">
        <v>0</v>
      </c>
      <c r="Q5210">
        <v>2</v>
      </c>
      <c r="R5210" t="s">
        <v>42676</v>
      </c>
      <c r="S5210" t="s">
        <v>42809</v>
      </c>
      <c r="T5210" t="s">
        <v>44371</v>
      </c>
      <c r="U5210" t="s">
        <v>49070</v>
      </c>
      <c r="W5210" t="s">
        <v>39851</v>
      </c>
      <c r="X5210" t="s">
        <v>42677</v>
      </c>
    </row>
    <row r="5211" spans="1:24">
      <c r="A5211">
        <f>HYPERLINK("https://www.philgeps.gov.ph/GEPSNONPILOT/Tender/SplashBidNoticeAbstractUI.aspx?menuIndex=3&amp;refID=7189708&amp;Result=3","7189708")</f>
        <v>0</v>
      </c>
      <c r="B5211" t="s">
        <v>1830</v>
      </c>
      <c r="C5211" t="s">
        <v>8522</v>
      </c>
      <c r="D5211" t="s">
        <v>17194</v>
      </c>
      <c r="E5211" t="s">
        <v>21752</v>
      </c>
      <c r="F5211" t="s">
        <v>29372</v>
      </c>
      <c r="G5211" t="s">
        <v>29379</v>
      </c>
      <c r="H5211" t="s">
        <v>11048</v>
      </c>
      <c r="I5211" t="s">
        <v>8614</v>
      </c>
      <c r="J5211" t="s">
        <v>29625</v>
      </c>
      <c r="K5211" t="s">
        <v>38485</v>
      </c>
      <c r="M5211" t="s">
        <v>40701</v>
      </c>
      <c r="N5211" t="s">
        <v>42669</v>
      </c>
      <c r="O5211" t="s">
        <v>42670</v>
      </c>
      <c r="P5211">
        <v>0</v>
      </c>
      <c r="Q5211">
        <v>1</v>
      </c>
      <c r="R5211" t="s">
        <v>42676</v>
      </c>
      <c r="S5211" t="s">
        <v>42809</v>
      </c>
      <c r="T5211" t="s">
        <v>44394</v>
      </c>
      <c r="U5211" t="s">
        <v>49071</v>
      </c>
      <c r="W5211" t="s">
        <v>40701</v>
      </c>
      <c r="X5211" t="s">
        <v>42677</v>
      </c>
    </row>
    <row r="5212" spans="1:24">
      <c r="A5212">
        <f>HYPERLINK("https://www.philgeps.gov.ph/GEPSNONPILOT/Tender/SplashBidNoticeAbstractUI.aspx?menuIndex=3&amp;refID=7189588&amp;Result=3","7189588")</f>
        <v>0</v>
      </c>
      <c r="B5212" t="s">
        <v>512</v>
      </c>
      <c r="C5212" t="s">
        <v>8523</v>
      </c>
      <c r="D5212" t="s">
        <v>17193</v>
      </c>
      <c r="E5212" t="s">
        <v>21695</v>
      </c>
      <c r="F5212" t="s">
        <v>29372</v>
      </c>
      <c r="G5212" t="s">
        <v>29379</v>
      </c>
      <c r="H5212" t="s">
        <v>11048</v>
      </c>
      <c r="I5212" t="s">
        <v>4709</v>
      </c>
      <c r="J5212" t="s">
        <v>32901</v>
      </c>
      <c r="K5212" t="s">
        <v>38491</v>
      </c>
      <c r="M5212" t="s">
        <v>39279</v>
      </c>
      <c r="N5212" t="s">
        <v>42669</v>
      </c>
      <c r="O5212" t="s">
        <v>42670</v>
      </c>
      <c r="P5212">
        <v>0</v>
      </c>
      <c r="Q5212">
        <v>3</v>
      </c>
      <c r="R5212" t="s">
        <v>42676</v>
      </c>
      <c r="S5212" t="s">
        <v>42809</v>
      </c>
      <c r="T5212" t="s">
        <v>44456</v>
      </c>
      <c r="U5212" t="s">
        <v>49072</v>
      </c>
      <c r="W5212" t="s">
        <v>39279</v>
      </c>
      <c r="X5212" t="s">
        <v>42677</v>
      </c>
    </row>
    <row r="5213" spans="1:24">
      <c r="A5213">
        <f>HYPERLINK("https://www.philgeps.gov.ph/GEPSNONPILOT/Tender/SplashBidNoticeAbstractUI.aspx?menuIndex=3&amp;refID=7189707&amp;Result=3","7189707")</f>
        <v>0</v>
      </c>
      <c r="B5213" t="s">
        <v>1835</v>
      </c>
      <c r="C5213" t="s">
        <v>8524</v>
      </c>
      <c r="D5213" t="s">
        <v>17171</v>
      </c>
      <c r="E5213" t="s">
        <v>21753</v>
      </c>
      <c r="F5213" t="s">
        <v>29373</v>
      </c>
      <c r="G5213" t="s">
        <v>29379</v>
      </c>
      <c r="H5213" t="s">
        <v>11048</v>
      </c>
      <c r="I5213" t="s">
        <v>10408</v>
      </c>
      <c r="J5213" t="s">
        <v>29685</v>
      </c>
      <c r="K5213" t="s">
        <v>38489</v>
      </c>
      <c r="M5213" t="s">
        <v>40706</v>
      </c>
      <c r="N5213" t="s">
        <v>42669</v>
      </c>
      <c r="O5213" t="s">
        <v>42670</v>
      </c>
      <c r="P5213">
        <v>0</v>
      </c>
      <c r="Q5213">
        <v>0</v>
      </c>
      <c r="R5213" t="s">
        <v>42676</v>
      </c>
      <c r="S5213" t="s">
        <v>42809</v>
      </c>
      <c r="T5213" t="s">
        <v>44394</v>
      </c>
      <c r="U5213" t="s">
        <v>49073</v>
      </c>
      <c r="W5213" t="s">
        <v>40706</v>
      </c>
      <c r="X5213" t="s">
        <v>42677</v>
      </c>
    </row>
    <row r="5214" spans="1:24">
      <c r="A5214">
        <f>HYPERLINK("https://www.philgeps.gov.ph/GEPSNONPILOT/Tender/SplashBidNoticeAbstractUI.aspx?menuIndex=3&amp;refID=7189669&amp;Result=3","7189669")</f>
        <v>0</v>
      </c>
      <c r="B5214" t="s">
        <v>1830</v>
      </c>
      <c r="C5214" t="s">
        <v>8525</v>
      </c>
      <c r="D5214" t="s">
        <v>17194</v>
      </c>
      <c r="E5214" t="s">
        <v>21754</v>
      </c>
      <c r="F5214" t="s">
        <v>29372</v>
      </c>
      <c r="G5214" t="s">
        <v>29379</v>
      </c>
      <c r="H5214" t="s">
        <v>11048</v>
      </c>
      <c r="I5214" t="s">
        <v>8614</v>
      </c>
      <c r="J5214" t="s">
        <v>29680</v>
      </c>
      <c r="K5214" t="s">
        <v>38485</v>
      </c>
      <c r="M5214" t="s">
        <v>40701</v>
      </c>
      <c r="N5214" t="s">
        <v>42669</v>
      </c>
      <c r="O5214" t="s">
        <v>42670</v>
      </c>
      <c r="P5214">
        <v>0</v>
      </c>
      <c r="Q5214">
        <v>4</v>
      </c>
      <c r="R5214" t="s">
        <v>42676</v>
      </c>
      <c r="S5214" t="s">
        <v>42809</v>
      </c>
      <c r="T5214" t="s">
        <v>44387</v>
      </c>
      <c r="U5214" t="s">
        <v>49074</v>
      </c>
      <c r="W5214" t="s">
        <v>40701</v>
      </c>
      <c r="X5214" t="s">
        <v>42677</v>
      </c>
    </row>
    <row r="5215" spans="1:24">
      <c r="A5215">
        <f>HYPERLINK("https://www.philgeps.gov.ph/GEPSNONPILOT/Tender/SplashBidNoticeAbstractUI.aspx?menuIndex=3&amp;refID=7189705&amp;Result=3","7189705")</f>
        <v>0</v>
      </c>
      <c r="B5215" t="s">
        <v>1046</v>
      </c>
      <c r="C5215" t="s">
        <v>8526</v>
      </c>
      <c r="D5215" t="s">
        <v>17178</v>
      </c>
      <c r="E5215" t="s">
        <v>21755</v>
      </c>
      <c r="F5215" t="s">
        <v>29372</v>
      </c>
      <c r="G5215" t="s">
        <v>29383</v>
      </c>
      <c r="H5215" t="s">
        <v>11048</v>
      </c>
      <c r="I5215" t="s">
        <v>3839</v>
      </c>
      <c r="J5215" t="s">
        <v>32902</v>
      </c>
      <c r="K5215" t="s">
        <v>38491</v>
      </c>
      <c r="M5215" t="s">
        <v>39851</v>
      </c>
      <c r="N5215" t="s">
        <v>42669</v>
      </c>
      <c r="O5215" t="s">
        <v>42670</v>
      </c>
      <c r="P5215">
        <v>0</v>
      </c>
      <c r="Q5215">
        <v>2</v>
      </c>
      <c r="R5215" t="s">
        <v>42676</v>
      </c>
      <c r="S5215" t="s">
        <v>42809</v>
      </c>
      <c r="T5215" t="s">
        <v>44371</v>
      </c>
      <c r="U5215" t="s">
        <v>49075</v>
      </c>
      <c r="W5215" t="s">
        <v>39851</v>
      </c>
      <c r="X5215" t="s">
        <v>42677</v>
      </c>
    </row>
    <row r="5216" spans="1:24">
      <c r="A5216">
        <f>HYPERLINK("https://www.philgeps.gov.ph/GEPSNONPILOT/Tender/SplashBidNoticeAbstractUI.aspx?menuIndex=3&amp;refID=7189667&amp;Result=3","7189667")</f>
        <v>0</v>
      </c>
      <c r="B5216" t="s">
        <v>1836</v>
      </c>
      <c r="C5216" t="s">
        <v>8527</v>
      </c>
      <c r="D5216" t="s">
        <v>17188</v>
      </c>
      <c r="E5216" t="s">
        <v>18285</v>
      </c>
      <c r="F5216" t="s">
        <v>29372</v>
      </c>
      <c r="G5216" t="s">
        <v>29379</v>
      </c>
      <c r="H5216" t="s">
        <v>11048</v>
      </c>
      <c r="I5216" t="s">
        <v>29404</v>
      </c>
      <c r="J5216" t="s">
        <v>30445</v>
      </c>
      <c r="K5216" t="s">
        <v>38528</v>
      </c>
      <c r="M5216" t="s">
        <v>40707</v>
      </c>
      <c r="N5216" t="s">
        <v>42669</v>
      </c>
      <c r="O5216" t="s">
        <v>42670</v>
      </c>
      <c r="P5216">
        <v>0</v>
      </c>
      <c r="Q5216">
        <v>0</v>
      </c>
      <c r="R5216" t="s">
        <v>42676</v>
      </c>
      <c r="S5216" t="s">
        <v>42809</v>
      </c>
      <c r="T5216" t="s">
        <v>44488</v>
      </c>
      <c r="U5216" t="s">
        <v>49076</v>
      </c>
      <c r="V5216" t="s">
        <v>49076</v>
      </c>
      <c r="W5216" t="s">
        <v>40707</v>
      </c>
      <c r="X5216" t="s">
        <v>42677</v>
      </c>
    </row>
    <row r="5217" spans="1:24">
      <c r="A5217">
        <f>HYPERLINK("https://www.philgeps.gov.ph/GEPSNONPILOT/Tender/SplashBidNoticeAbstractUI.aspx?menuIndex=3&amp;refID=7189701&amp;Result=3","7189701")</f>
        <v>0</v>
      </c>
      <c r="B5217" t="s">
        <v>616</v>
      </c>
      <c r="C5217" t="s">
        <v>8528</v>
      </c>
      <c r="D5217" t="s">
        <v>17183</v>
      </c>
      <c r="E5217" t="s">
        <v>21756</v>
      </c>
      <c r="F5217" t="s">
        <v>29372</v>
      </c>
      <c r="G5217" t="s">
        <v>29379</v>
      </c>
      <c r="H5217" t="s">
        <v>29389</v>
      </c>
      <c r="I5217" t="s">
        <v>10408</v>
      </c>
      <c r="J5217" t="s">
        <v>32903</v>
      </c>
      <c r="K5217" t="s">
        <v>38518</v>
      </c>
      <c r="M5217" t="s">
        <v>40027</v>
      </c>
      <c r="N5217" t="s">
        <v>42669</v>
      </c>
      <c r="O5217" t="s">
        <v>42670</v>
      </c>
      <c r="P5217">
        <v>0</v>
      </c>
      <c r="Q5217">
        <v>0</v>
      </c>
      <c r="R5217" t="s">
        <v>42676</v>
      </c>
      <c r="S5217" t="s">
        <v>42809</v>
      </c>
      <c r="T5217" t="s">
        <v>44429</v>
      </c>
      <c r="U5217" t="s">
        <v>49077</v>
      </c>
      <c r="W5217" t="s">
        <v>40027</v>
      </c>
      <c r="X5217" t="s">
        <v>42677</v>
      </c>
    </row>
    <row r="5218" spans="1:24">
      <c r="A5218">
        <f>HYPERLINK("https://www.philgeps.gov.ph/GEPSNONPILOT/Tender/SplashBidNoticeAbstractUI.aspx?menuIndex=3&amp;refID=7189710&amp;Result=3","7189710")</f>
        <v>0</v>
      </c>
      <c r="B5218" t="s">
        <v>1812</v>
      </c>
      <c r="C5218" t="s">
        <v>8529</v>
      </c>
      <c r="D5218" t="s">
        <v>17194</v>
      </c>
      <c r="E5218" t="s">
        <v>21757</v>
      </c>
      <c r="F5218" t="s">
        <v>29372</v>
      </c>
      <c r="G5218" t="s">
        <v>29379</v>
      </c>
      <c r="H5218" t="s">
        <v>11048</v>
      </c>
      <c r="I5218" t="s">
        <v>8208</v>
      </c>
      <c r="J5218" t="s">
        <v>29680</v>
      </c>
      <c r="K5218" t="s">
        <v>38490</v>
      </c>
      <c r="M5218" t="s">
        <v>40683</v>
      </c>
      <c r="N5218" t="s">
        <v>42669</v>
      </c>
      <c r="O5218" t="s">
        <v>42670</v>
      </c>
      <c r="P5218">
        <v>0</v>
      </c>
      <c r="Q5218">
        <v>0</v>
      </c>
      <c r="R5218" t="s">
        <v>42676</v>
      </c>
      <c r="S5218" t="s">
        <v>42809</v>
      </c>
      <c r="T5218" t="s">
        <v>44354</v>
      </c>
      <c r="U5218" t="s">
        <v>49010</v>
      </c>
      <c r="W5218" t="s">
        <v>40683</v>
      </c>
      <c r="X5218" t="s">
        <v>42677</v>
      </c>
    </row>
    <row r="5219" spans="1:24">
      <c r="A5219">
        <f>HYPERLINK("https://www.philgeps.gov.ph/GEPSNONPILOT/Tender/SplashBidNoticeAbstractUI.aspx?menuIndex=3&amp;refID=7189700&amp;Result=3","7189700")</f>
        <v>0</v>
      </c>
      <c r="B5219" t="s">
        <v>1837</v>
      </c>
      <c r="C5219" t="s">
        <v>8530</v>
      </c>
      <c r="D5219" t="s">
        <v>17188</v>
      </c>
      <c r="E5219" t="s">
        <v>17947</v>
      </c>
      <c r="F5219" t="s">
        <v>29372</v>
      </c>
      <c r="G5219" t="s">
        <v>29380</v>
      </c>
      <c r="H5219" t="s">
        <v>11048</v>
      </c>
      <c r="I5219" t="s">
        <v>4709</v>
      </c>
      <c r="J5219" t="s">
        <v>32904</v>
      </c>
      <c r="K5219" t="s">
        <v>38485</v>
      </c>
      <c r="M5219" t="s">
        <v>40708</v>
      </c>
      <c r="N5219" t="s">
        <v>42669</v>
      </c>
      <c r="O5219" t="s">
        <v>42670</v>
      </c>
      <c r="P5219">
        <v>0</v>
      </c>
      <c r="Q5219">
        <v>0</v>
      </c>
      <c r="R5219" t="s">
        <v>42676</v>
      </c>
      <c r="S5219" t="s">
        <v>42809</v>
      </c>
      <c r="T5219" t="s">
        <v>44387</v>
      </c>
      <c r="U5219" t="s">
        <v>47425</v>
      </c>
      <c r="V5219" t="s">
        <v>56940</v>
      </c>
      <c r="W5219" t="s">
        <v>40708</v>
      </c>
      <c r="X5219" t="s">
        <v>42677</v>
      </c>
    </row>
    <row r="5220" spans="1:24">
      <c r="A5220">
        <f>HYPERLINK("https://www.philgeps.gov.ph/GEPSNONPILOT/Tender/SplashBidNoticeAbstractUI.aspx?menuIndex=3&amp;refID=7189697&amp;Result=3","7189697")</f>
        <v>0</v>
      </c>
      <c r="B5220" t="s">
        <v>1812</v>
      </c>
      <c r="C5220" t="s">
        <v>8531</v>
      </c>
      <c r="D5220" t="s">
        <v>17194</v>
      </c>
      <c r="E5220" t="s">
        <v>21758</v>
      </c>
      <c r="F5220" t="s">
        <v>29372</v>
      </c>
      <c r="G5220" t="s">
        <v>29379</v>
      </c>
      <c r="H5220" t="s">
        <v>11048</v>
      </c>
      <c r="I5220" t="s">
        <v>8208</v>
      </c>
      <c r="J5220" t="s">
        <v>30024</v>
      </c>
      <c r="K5220" t="s">
        <v>38490</v>
      </c>
      <c r="M5220" t="s">
        <v>40683</v>
      </c>
      <c r="N5220" t="s">
        <v>42669</v>
      </c>
      <c r="O5220" t="s">
        <v>42670</v>
      </c>
      <c r="P5220">
        <v>0</v>
      </c>
      <c r="Q5220">
        <v>0</v>
      </c>
      <c r="R5220" t="s">
        <v>42676</v>
      </c>
      <c r="S5220" t="s">
        <v>42809</v>
      </c>
      <c r="T5220" t="s">
        <v>44354</v>
      </c>
      <c r="U5220" t="s">
        <v>49010</v>
      </c>
      <c r="W5220" t="s">
        <v>40683</v>
      </c>
      <c r="X5220" t="s">
        <v>42677</v>
      </c>
    </row>
    <row r="5221" spans="1:24">
      <c r="A5221">
        <f>HYPERLINK("https://www.philgeps.gov.ph/GEPSNONPILOT/Tender/SplashBidNoticeAbstractUI.aspx?menuIndex=3&amp;refID=7189706&amp;Result=3","7189706")</f>
        <v>0</v>
      </c>
      <c r="B5221" t="s">
        <v>588</v>
      </c>
      <c r="C5221" t="s">
        <v>8532</v>
      </c>
      <c r="D5221" t="s">
        <v>17196</v>
      </c>
      <c r="E5221" t="s">
        <v>21759</v>
      </c>
      <c r="F5221" t="s">
        <v>29372</v>
      </c>
      <c r="G5221" t="s">
        <v>29380</v>
      </c>
      <c r="H5221" t="s">
        <v>11048</v>
      </c>
      <c r="I5221" t="s">
        <v>29394</v>
      </c>
      <c r="J5221" t="s">
        <v>32905</v>
      </c>
      <c r="K5221" t="s">
        <v>38488</v>
      </c>
      <c r="M5221" t="s">
        <v>39357</v>
      </c>
      <c r="N5221" t="s">
        <v>42669</v>
      </c>
      <c r="O5221" t="s">
        <v>42670</v>
      </c>
      <c r="P5221">
        <v>0</v>
      </c>
      <c r="Q5221">
        <v>2</v>
      </c>
      <c r="R5221" t="s">
        <v>42676</v>
      </c>
      <c r="S5221" t="s">
        <v>42809</v>
      </c>
      <c r="T5221" t="s">
        <v>44680</v>
      </c>
      <c r="U5221" t="s">
        <v>49078</v>
      </c>
      <c r="W5221" t="s">
        <v>39357</v>
      </c>
      <c r="X5221" t="s">
        <v>42677</v>
      </c>
    </row>
    <row r="5222" spans="1:24">
      <c r="A5222">
        <f>HYPERLINK("https://www.philgeps.gov.ph/GEPSNONPILOT/Tender/SplashBidNoticeAbstractUI.aspx?menuIndex=3&amp;refID=7189695&amp;Result=3","7189695")</f>
        <v>0</v>
      </c>
      <c r="B5222" t="s">
        <v>1830</v>
      </c>
      <c r="C5222" t="s">
        <v>8533</v>
      </c>
      <c r="D5222" t="s">
        <v>17194</v>
      </c>
      <c r="E5222" t="s">
        <v>21760</v>
      </c>
      <c r="F5222" t="s">
        <v>29372</v>
      </c>
      <c r="G5222" t="s">
        <v>29379</v>
      </c>
      <c r="H5222" t="s">
        <v>11048</v>
      </c>
      <c r="I5222" t="s">
        <v>8614</v>
      </c>
      <c r="J5222" t="s">
        <v>29625</v>
      </c>
      <c r="K5222" t="s">
        <v>38485</v>
      </c>
      <c r="M5222" t="s">
        <v>40701</v>
      </c>
      <c r="N5222" t="s">
        <v>42669</v>
      </c>
      <c r="O5222" t="s">
        <v>42670</v>
      </c>
      <c r="P5222">
        <v>0</v>
      </c>
      <c r="Q5222">
        <v>1</v>
      </c>
      <c r="R5222" t="s">
        <v>42676</v>
      </c>
      <c r="S5222" t="s">
        <v>42809</v>
      </c>
      <c r="T5222" t="s">
        <v>44387</v>
      </c>
      <c r="U5222" t="s">
        <v>49079</v>
      </c>
      <c r="W5222" t="s">
        <v>40701</v>
      </c>
      <c r="X5222" t="s">
        <v>42677</v>
      </c>
    </row>
    <row r="5223" spans="1:24">
      <c r="A5223">
        <f>HYPERLINK("https://www.philgeps.gov.ph/GEPSNONPILOT/Tender/SplashBidNoticeAbstractUI.aspx?menuIndex=3&amp;refID=7189704&amp;Result=3","7189704")</f>
        <v>0</v>
      </c>
      <c r="B5223" t="s">
        <v>1838</v>
      </c>
      <c r="C5223" t="s">
        <v>8534</v>
      </c>
      <c r="D5223" t="s">
        <v>17188</v>
      </c>
      <c r="E5223" t="s">
        <v>21761</v>
      </c>
      <c r="F5223" t="s">
        <v>29372</v>
      </c>
      <c r="G5223" t="s">
        <v>29379</v>
      </c>
      <c r="H5223" t="s">
        <v>29389</v>
      </c>
      <c r="I5223" t="s">
        <v>10408</v>
      </c>
      <c r="J5223" t="s">
        <v>29708</v>
      </c>
      <c r="K5223" t="s">
        <v>38510</v>
      </c>
      <c r="M5223" t="s">
        <v>40709</v>
      </c>
      <c r="N5223" t="s">
        <v>42669</v>
      </c>
      <c r="O5223" t="s">
        <v>42670</v>
      </c>
      <c r="P5223">
        <v>0</v>
      </c>
      <c r="Q5223">
        <v>0</v>
      </c>
      <c r="R5223" t="s">
        <v>42676</v>
      </c>
      <c r="S5223" t="s">
        <v>42809</v>
      </c>
      <c r="T5223" t="s">
        <v>44378</v>
      </c>
      <c r="U5223" t="s">
        <v>49080</v>
      </c>
      <c r="W5223" t="s">
        <v>40709</v>
      </c>
      <c r="X5223" t="s">
        <v>42677</v>
      </c>
    </row>
    <row r="5224" spans="1:24">
      <c r="A5224">
        <f>HYPERLINK("https://www.philgeps.gov.ph/GEPSNONPILOT/Tender/SplashBidNoticeAbstractUI.aspx?menuIndex=3&amp;refID=7189694&amp;Result=3","7189694")</f>
        <v>0</v>
      </c>
      <c r="B5224" t="s">
        <v>663</v>
      </c>
      <c r="C5224" t="s">
        <v>8535</v>
      </c>
      <c r="D5224" t="s">
        <v>17189</v>
      </c>
      <c r="E5224" t="s">
        <v>21762</v>
      </c>
      <c r="F5224" t="s">
        <v>29372</v>
      </c>
      <c r="G5224" t="s">
        <v>29379</v>
      </c>
      <c r="H5224" t="s">
        <v>11048</v>
      </c>
      <c r="I5224" t="s">
        <v>29395</v>
      </c>
      <c r="J5224" t="s">
        <v>29625</v>
      </c>
      <c r="K5224" t="s">
        <v>38488</v>
      </c>
      <c r="M5224" t="s">
        <v>39439</v>
      </c>
      <c r="N5224" t="s">
        <v>42669</v>
      </c>
      <c r="O5224" t="s">
        <v>42670</v>
      </c>
      <c r="P5224">
        <v>0</v>
      </c>
      <c r="Q5224">
        <v>2</v>
      </c>
      <c r="R5224" t="s">
        <v>42676</v>
      </c>
      <c r="S5224" t="s">
        <v>42809</v>
      </c>
      <c r="T5224" t="s">
        <v>44425</v>
      </c>
      <c r="U5224" t="s">
        <v>49081</v>
      </c>
      <c r="V5224" t="s">
        <v>56941</v>
      </c>
      <c r="W5224" t="s">
        <v>39439</v>
      </c>
      <c r="X5224" t="s">
        <v>42677</v>
      </c>
    </row>
    <row r="5225" spans="1:24">
      <c r="A5225">
        <f>HYPERLINK("https://www.philgeps.gov.ph/GEPSNONPILOT/Tender/SplashBidNoticeAbstractUI.aspx?menuIndex=3&amp;refID=7189702&amp;Result=3","7189702")</f>
        <v>0</v>
      </c>
      <c r="B5225" t="s">
        <v>443</v>
      </c>
      <c r="C5225" t="s">
        <v>8536</v>
      </c>
      <c r="D5225" t="s">
        <v>17170</v>
      </c>
      <c r="E5225" t="s">
        <v>21763</v>
      </c>
      <c r="F5225" t="s">
        <v>29372</v>
      </c>
      <c r="G5225" t="s">
        <v>29380</v>
      </c>
      <c r="H5225" t="s">
        <v>11048</v>
      </c>
      <c r="I5225" t="s">
        <v>4709</v>
      </c>
      <c r="J5225" t="s">
        <v>32906</v>
      </c>
      <c r="K5225" t="s">
        <v>38495</v>
      </c>
      <c r="M5225" t="s">
        <v>39207</v>
      </c>
      <c r="N5225" t="s">
        <v>42669</v>
      </c>
      <c r="O5225" t="s">
        <v>42670</v>
      </c>
      <c r="P5225">
        <v>0</v>
      </c>
      <c r="Q5225">
        <v>0</v>
      </c>
      <c r="R5225" t="s">
        <v>42676</v>
      </c>
      <c r="S5225" t="s">
        <v>42809</v>
      </c>
      <c r="T5225" t="s">
        <v>44360</v>
      </c>
      <c r="U5225" t="s">
        <v>49082</v>
      </c>
      <c r="V5225" t="s">
        <v>56942</v>
      </c>
      <c r="W5225" t="s">
        <v>40136</v>
      </c>
      <c r="X5225" t="s">
        <v>42677</v>
      </c>
    </row>
    <row r="5226" spans="1:24">
      <c r="A5226">
        <f>HYPERLINK("https://www.philgeps.gov.ph/GEPSNONPILOT/Tender/SplashBidNoticeAbstractUI.aspx?menuIndex=3&amp;refID=7189690&amp;Result=3","7189690")</f>
        <v>0</v>
      </c>
      <c r="B5226" t="s">
        <v>663</v>
      </c>
      <c r="C5226" t="s">
        <v>8537</v>
      </c>
      <c r="D5226" t="s">
        <v>17189</v>
      </c>
      <c r="E5226" t="s">
        <v>21764</v>
      </c>
      <c r="F5226" t="s">
        <v>29372</v>
      </c>
      <c r="G5226" t="s">
        <v>29379</v>
      </c>
      <c r="H5226" t="s">
        <v>11048</v>
      </c>
      <c r="I5226" t="s">
        <v>29407</v>
      </c>
      <c r="J5226" t="s">
        <v>29694</v>
      </c>
      <c r="K5226" t="s">
        <v>38488</v>
      </c>
      <c r="M5226" t="s">
        <v>39439</v>
      </c>
      <c r="N5226" t="s">
        <v>42669</v>
      </c>
      <c r="O5226" t="s">
        <v>42670</v>
      </c>
      <c r="P5226">
        <v>0</v>
      </c>
      <c r="Q5226">
        <v>6</v>
      </c>
      <c r="R5226" t="s">
        <v>42676</v>
      </c>
      <c r="S5226" t="s">
        <v>42809</v>
      </c>
      <c r="T5226" t="s">
        <v>44425</v>
      </c>
      <c r="U5226" t="s">
        <v>49083</v>
      </c>
      <c r="V5226" t="s">
        <v>56941</v>
      </c>
      <c r="W5226" t="s">
        <v>39439</v>
      </c>
      <c r="X5226" t="s">
        <v>42677</v>
      </c>
    </row>
    <row r="5227" spans="1:24">
      <c r="A5227">
        <f>HYPERLINK("https://www.philgeps.gov.ph/GEPSNONPILOT/Tender/SplashBidNoticeAbstractUI.aspx?menuIndex=3&amp;refID=7189658&amp;Result=3","7189658")</f>
        <v>0</v>
      </c>
      <c r="B5227" t="s">
        <v>1839</v>
      </c>
      <c r="C5227" t="s">
        <v>8538</v>
      </c>
      <c r="D5227" t="s">
        <v>17141</v>
      </c>
      <c r="E5227" t="s">
        <v>21765</v>
      </c>
      <c r="F5227" t="s">
        <v>29372</v>
      </c>
      <c r="G5227" t="s">
        <v>29379</v>
      </c>
      <c r="H5227" t="s">
        <v>29390</v>
      </c>
      <c r="I5227" t="s">
        <v>29403</v>
      </c>
      <c r="J5227" t="s">
        <v>32907</v>
      </c>
      <c r="K5227" t="s">
        <v>38491</v>
      </c>
      <c r="M5227" t="s">
        <v>40710</v>
      </c>
      <c r="N5227" t="s">
        <v>42669</v>
      </c>
      <c r="O5227" t="s">
        <v>42670</v>
      </c>
      <c r="P5227">
        <v>0</v>
      </c>
      <c r="Q5227">
        <v>1</v>
      </c>
      <c r="R5227" t="s">
        <v>42676</v>
      </c>
      <c r="S5227" t="s">
        <v>42809</v>
      </c>
      <c r="T5227" t="s">
        <v>44512</v>
      </c>
      <c r="U5227" t="s">
        <v>49084</v>
      </c>
      <c r="V5227" t="s">
        <v>56943</v>
      </c>
      <c r="W5227" t="s">
        <v>40710</v>
      </c>
      <c r="X5227" t="s">
        <v>42677</v>
      </c>
    </row>
    <row r="5228" spans="1:24">
      <c r="A5228">
        <f>HYPERLINK("https://www.philgeps.gov.ph/GEPSNONPILOT/Tender/SplashBidNoticeAbstractUI.aspx?menuIndex=3&amp;refID=7189716&amp;Result=3","7189716")</f>
        <v>0</v>
      </c>
      <c r="B5228" t="s">
        <v>1838</v>
      </c>
      <c r="C5228" t="s">
        <v>8539</v>
      </c>
      <c r="D5228" t="s">
        <v>17188</v>
      </c>
      <c r="E5228" t="s">
        <v>21766</v>
      </c>
      <c r="F5228" t="s">
        <v>29372</v>
      </c>
      <c r="G5228" t="s">
        <v>29379</v>
      </c>
      <c r="H5228" t="s">
        <v>29389</v>
      </c>
      <c r="I5228" t="s">
        <v>10408</v>
      </c>
      <c r="J5228" t="s">
        <v>29708</v>
      </c>
      <c r="K5228" t="s">
        <v>38488</v>
      </c>
      <c r="M5228" t="s">
        <v>40709</v>
      </c>
      <c r="N5228" t="s">
        <v>42669</v>
      </c>
      <c r="O5228" t="s">
        <v>42670</v>
      </c>
      <c r="P5228">
        <v>0</v>
      </c>
      <c r="Q5228">
        <v>0</v>
      </c>
      <c r="R5228" t="s">
        <v>42676</v>
      </c>
      <c r="S5228" t="s">
        <v>42809</v>
      </c>
      <c r="T5228" t="s">
        <v>44378</v>
      </c>
      <c r="U5228" t="s">
        <v>49080</v>
      </c>
      <c r="W5228" t="s">
        <v>40709</v>
      </c>
      <c r="X5228" t="s">
        <v>42677</v>
      </c>
    </row>
    <row r="5229" spans="1:24">
      <c r="A5229">
        <f>HYPERLINK("https://www.philgeps.gov.ph/GEPSNONPILOT/Tender/SplashBidNoticeAbstractUI.aspx?menuIndex=3&amp;refID=7189656&amp;Result=3","7189656")</f>
        <v>0</v>
      </c>
      <c r="B5229" t="s">
        <v>1840</v>
      </c>
      <c r="C5229" t="s">
        <v>8540</v>
      </c>
      <c r="D5229" t="s">
        <v>17180</v>
      </c>
      <c r="E5229" t="s">
        <v>21767</v>
      </c>
      <c r="F5229" t="s">
        <v>29372</v>
      </c>
      <c r="G5229" t="s">
        <v>29379</v>
      </c>
      <c r="H5229" t="s">
        <v>11048</v>
      </c>
      <c r="I5229" t="s">
        <v>4486</v>
      </c>
      <c r="J5229" t="s">
        <v>32908</v>
      </c>
      <c r="K5229" t="s">
        <v>38488</v>
      </c>
      <c r="M5229" t="s">
        <v>40711</v>
      </c>
      <c r="N5229" t="s">
        <v>42669</v>
      </c>
      <c r="O5229" t="s">
        <v>42670</v>
      </c>
      <c r="P5229">
        <v>0</v>
      </c>
      <c r="Q5229">
        <v>1</v>
      </c>
      <c r="R5229" t="s">
        <v>42676</v>
      </c>
      <c r="S5229" t="s">
        <v>42809</v>
      </c>
      <c r="T5229" t="s">
        <v>44382</v>
      </c>
      <c r="U5229" t="s">
        <v>49085</v>
      </c>
      <c r="W5229" t="s">
        <v>40711</v>
      </c>
      <c r="X5229" t="s">
        <v>42677</v>
      </c>
    </row>
    <row r="5230" spans="1:24">
      <c r="A5230">
        <f>HYPERLINK("https://www.philgeps.gov.ph/GEPSNONPILOT/Tender/SplashBidNoticeAbstractUI.aspx?menuIndex=3&amp;refID=7189657&amp;Result=3","7189657")</f>
        <v>0</v>
      </c>
      <c r="B5230" t="s">
        <v>1841</v>
      </c>
      <c r="C5230" t="s">
        <v>7434</v>
      </c>
      <c r="E5230" t="s">
        <v>18090</v>
      </c>
      <c r="F5230" t="s">
        <v>29372</v>
      </c>
      <c r="G5230" t="s">
        <v>29380</v>
      </c>
      <c r="H5230" t="s">
        <v>11048</v>
      </c>
      <c r="I5230" t="s">
        <v>4709</v>
      </c>
      <c r="J5230" t="s">
        <v>32909</v>
      </c>
      <c r="K5230" t="s">
        <v>38490</v>
      </c>
      <c r="M5230" t="s">
        <v>40712</v>
      </c>
      <c r="N5230" t="s">
        <v>42669</v>
      </c>
      <c r="O5230" t="s">
        <v>42670</v>
      </c>
      <c r="P5230">
        <v>0</v>
      </c>
      <c r="Q5230">
        <v>0</v>
      </c>
      <c r="R5230" t="s">
        <v>42676</v>
      </c>
      <c r="S5230" t="s">
        <v>42809</v>
      </c>
      <c r="T5230" t="s">
        <v>44470</v>
      </c>
      <c r="U5230" t="s">
        <v>49086</v>
      </c>
      <c r="W5230" t="s">
        <v>40712</v>
      </c>
      <c r="X5230" t="s">
        <v>42677</v>
      </c>
    </row>
    <row r="5231" spans="1:24">
      <c r="A5231">
        <f>HYPERLINK("https://www.philgeps.gov.ph/GEPSNONPILOT/Tender/SplashBidNoticeAbstractUI.aspx?menuIndex=3&amp;refID=7189711&amp;Result=3","7189711")</f>
        <v>0</v>
      </c>
      <c r="B5231" t="s">
        <v>321</v>
      </c>
      <c r="C5231" t="s">
        <v>8541</v>
      </c>
      <c r="D5231" t="s">
        <v>17141</v>
      </c>
      <c r="E5231" t="s">
        <v>21768</v>
      </c>
      <c r="F5231" t="s">
        <v>29372</v>
      </c>
      <c r="G5231" t="s">
        <v>29383</v>
      </c>
      <c r="H5231" t="s">
        <v>11048</v>
      </c>
      <c r="I5231" t="s">
        <v>29424</v>
      </c>
      <c r="J5231" t="s">
        <v>32910</v>
      </c>
      <c r="K5231" t="s">
        <v>38490</v>
      </c>
      <c r="M5231" t="s">
        <v>39080</v>
      </c>
      <c r="N5231" t="s">
        <v>42669</v>
      </c>
      <c r="O5231" t="s">
        <v>42670</v>
      </c>
      <c r="P5231">
        <v>0</v>
      </c>
      <c r="Q5231">
        <v>22</v>
      </c>
      <c r="R5231" t="s">
        <v>42676</v>
      </c>
      <c r="S5231" t="s">
        <v>42809</v>
      </c>
      <c r="T5231" t="s">
        <v>44512</v>
      </c>
      <c r="U5231" t="s">
        <v>49087</v>
      </c>
      <c r="W5231" t="s">
        <v>39080</v>
      </c>
      <c r="X5231" t="s">
        <v>42677</v>
      </c>
    </row>
    <row r="5232" spans="1:24">
      <c r="A5232">
        <f>HYPERLINK("https://www.philgeps.gov.ph/GEPSNONPILOT/Tender/SplashBidNoticeAbstractUI.aspx?menuIndex=3&amp;refID=7189470&amp;Result=3","7189470")</f>
        <v>0</v>
      </c>
      <c r="B5232" t="s">
        <v>1485</v>
      </c>
      <c r="C5232" t="s">
        <v>8542</v>
      </c>
      <c r="D5232" t="s">
        <v>17161</v>
      </c>
      <c r="E5232" t="s">
        <v>19537</v>
      </c>
      <c r="F5232" t="s">
        <v>29372</v>
      </c>
      <c r="G5232" t="s">
        <v>29381</v>
      </c>
      <c r="H5232" t="s">
        <v>11048</v>
      </c>
      <c r="I5232" t="s">
        <v>4709</v>
      </c>
      <c r="J5232" t="s">
        <v>32911</v>
      </c>
      <c r="K5232" t="s">
        <v>38490</v>
      </c>
      <c r="M5232" t="s">
        <v>40328</v>
      </c>
      <c r="N5232" t="s">
        <v>42669</v>
      </c>
      <c r="O5232" t="s">
        <v>42670</v>
      </c>
      <c r="P5232">
        <v>0</v>
      </c>
      <c r="Q5232">
        <v>0</v>
      </c>
      <c r="R5232" t="s">
        <v>42676</v>
      </c>
      <c r="S5232" t="s">
        <v>42809</v>
      </c>
      <c r="T5232" t="s">
        <v>44409</v>
      </c>
      <c r="U5232" t="s">
        <v>49088</v>
      </c>
      <c r="W5232" t="s">
        <v>40328</v>
      </c>
      <c r="X5232" t="s">
        <v>42677</v>
      </c>
    </row>
    <row r="5233" spans="1:24">
      <c r="A5233">
        <f>HYPERLINK("https://www.philgeps.gov.ph/GEPSNONPILOT/Tender/SplashBidNoticeAbstractUI.aspx?menuIndex=3&amp;refID=7189651&amp;Result=3","7189651")</f>
        <v>0</v>
      </c>
      <c r="B5233" t="s">
        <v>1809</v>
      </c>
      <c r="C5233" t="s">
        <v>8543</v>
      </c>
      <c r="D5233" t="s">
        <v>17201</v>
      </c>
      <c r="E5233" t="s">
        <v>21769</v>
      </c>
      <c r="F5233" t="s">
        <v>29372</v>
      </c>
      <c r="G5233" t="s">
        <v>29379</v>
      </c>
      <c r="H5233" t="s">
        <v>11048</v>
      </c>
      <c r="I5233" t="s">
        <v>4709</v>
      </c>
      <c r="J5233" t="s">
        <v>29929</v>
      </c>
      <c r="K5233" t="s">
        <v>38510</v>
      </c>
      <c r="M5233" t="s">
        <v>40680</v>
      </c>
      <c r="N5233" t="s">
        <v>42669</v>
      </c>
      <c r="O5233" t="s">
        <v>42670</v>
      </c>
      <c r="P5233">
        <v>0</v>
      </c>
      <c r="Q5233">
        <v>0</v>
      </c>
      <c r="R5233" t="s">
        <v>42676</v>
      </c>
      <c r="S5233" t="s">
        <v>42809</v>
      </c>
      <c r="T5233" t="s">
        <v>44417</v>
      </c>
      <c r="U5233" t="s">
        <v>49089</v>
      </c>
      <c r="W5233" t="s">
        <v>40680</v>
      </c>
      <c r="X5233" t="s">
        <v>42677</v>
      </c>
    </row>
    <row r="5234" spans="1:24">
      <c r="A5234">
        <f>HYPERLINK("https://www.philgeps.gov.ph/GEPSNONPILOT/Tender/SplashBidNoticeAbstractUI.aspx?menuIndex=3&amp;refID=7189467&amp;Result=3","7189467")</f>
        <v>0</v>
      </c>
      <c r="B5234" t="s">
        <v>52</v>
      </c>
      <c r="C5234" t="s">
        <v>8544</v>
      </c>
      <c r="D5234" t="s">
        <v>17192</v>
      </c>
      <c r="E5234" t="s">
        <v>21770</v>
      </c>
      <c r="F5234" t="s">
        <v>29372</v>
      </c>
      <c r="G5234" t="s">
        <v>29379</v>
      </c>
      <c r="H5234" t="s">
        <v>11048</v>
      </c>
      <c r="I5234" t="s">
        <v>14920</v>
      </c>
      <c r="J5234" t="s">
        <v>32748</v>
      </c>
      <c r="K5234" t="s">
        <v>38522</v>
      </c>
      <c r="M5234" t="s">
        <v>38805</v>
      </c>
      <c r="N5234" t="s">
        <v>42669</v>
      </c>
      <c r="O5234" t="s">
        <v>42670</v>
      </c>
      <c r="P5234">
        <v>0</v>
      </c>
      <c r="Q5234">
        <v>2</v>
      </c>
      <c r="R5234" t="s">
        <v>42676</v>
      </c>
      <c r="S5234" t="s">
        <v>42809</v>
      </c>
      <c r="T5234" t="s">
        <v>44431</v>
      </c>
      <c r="U5234" t="s">
        <v>49090</v>
      </c>
      <c r="W5234" t="s">
        <v>38805</v>
      </c>
      <c r="X5234" t="s">
        <v>42677</v>
      </c>
    </row>
    <row r="5235" spans="1:24">
      <c r="A5235">
        <f>HYPERLINK("https://www.philgeps.gov.ph/GEPSNONPILOT/Tender/SplashBidNoticeAbstractUI.aspx?menuIndex=3&amp;refID=7189661&amp;Result=3","7189661")</f>
        <v>0</v>
      </c>
      <c r="B5235" t="s">
        <v>160</v>
      </c>
      <c r="C5235" t="s">
        <v>8545</v>
      </c>
      <c r="D5235" t="s">
        <v>17193</v>
      </c>
      <c r="E5235" t="s">
        <v>21771</v>
      </c>
      <c r="F5235" t="s">
        <v>29372</v>
      </c>
      <c r="G5235" t="s">
        <v>29379</v>
      </c>
      <c r="H5235" t="s">
        <v>29389</v>
      </c>
      <c r="I5235" t="s">
        <v>10408</v>
      </c>
      <c r="J5235" t="s">
        <v>29604</v>
      </c>
      <c r="K5235" t="s">
        <v>38496</v>
      </c>
      <c r="M5235" t="s">
        <v>38916</v>
      </c>
      <c r="N5235" t="s">
        <v>42669</v>
      </c>
      <c r="O5235" t="s">
        <v>42670</v>
      </c>
      <c r="P5235">
        <v>0</v>
      </c>
      <c r="Q5235">
        <v>0</v>
      </c>
      <c r="R5235" t="s">
        <v>42676</v>
      </c>
      <c r="S5235" t="s">
        <v>42809</v>
      </c>
      <c r="T5235" t="s">
        <v>44399</v>
      </c>
      <c r="U5235" t="s">
        <v>49091</v>
      </c>
      <c r="W5235" t="s">
        <v>38916</v>
      </c>
      <c r="X5235" t="s">
        <v>42677</v>
      </c>
    </row>
    <row r="5236" spans="1:24">
      <c r="A5236">
        <f>HYPERLINK("https://www.philgeps.gov.ph/GEPSNONPILOT/Tender/SplashBidNoticeAbstractUI.aspx?menuIndex=3&amp;refID=7189338&amp;Result=3","7189338")</f>
        <v>0</v>
      </c>
      <c r="B5236" t="s">
        <v>91</v>
      </c>
      <c r="C5236" t="s">
        <v>8546</v>
      </c>
      <c r="D5236" t="s">
        <v>17176</v>
      </c>
      <c r="E5236" t="s">
        <v>21772</v>
      </c>
      <c r="F5236" t="s">
        <v>29372</v>
      </c>
      <c r="G5236" t="s">
        <v>29380</v>
      </c>
      <c r="H5236" t="s">
        <v>11048</v>
      </c>
      <c r="I5236" t="s">
        <v>3670</v>
      </c>
      <c r="J5236" t="s">
        <v>32912</v>
      </c>
      <c r="K5236" t="s">
        <v>38510</v>
      </c>
      <c r="M5236" t="s">
        <v>38845</v>
      </c>
      <c r="N5236" t="s">
        <v>42669</v>
      </c>
      <c r="O5236" t="s">
        <v>42670</v>
      </c>
      <c r="P5236">
        <v>0</v>
      </c>
      <c r="Q5236">
        <v>0</v>
      </c>
      <c r="R5236" t="s">
        <v>42676</v>
      </c>
      <c r="S5236" t="s">
        <v>42809</v>
      </c>
      <c r="T5236" t="s">
        <v>44546</v>
      </c>
      <c r="U5236" t="s">
        <v>49092</v>
      </c>
      <c r="W5236" t="s">
        <v>38845</v>
      </c>
      <c r="X5236" t="s">
        <v>42677</v>
      </c>
    </row>
    <row r="5237" spans="1:24">
      <c r="A5237">
        <f>HYPERLINK("https://www.philgeps.gov.ph/GEPSNONPILOT/Tender/SplashBidNoticeAbstractUI.aspx?menuIndex=3&amp;refID=7189693&amp;Result=3","7189693")</f>
        <v>0</v>
      </c>
      <c r="B5237" t="s">
        <v>1838</v>
      </c>
      <c r="C5237" t="s">
        <v>8547</v>
      </c>
      <c r="D5237" t="s">
        <v>17188</v>
      </c>
      <c r="E5237" t="s">
        <v>21773</v>
      </c>
      <c r="F5237" t="s">
        <v>29372</v>
      </c>
      <c r="G5237" t="s">
        <v>29379</v>
      </c>
      <c r="H5237" t="s">
        <v>29389</v>
      </c>
      <c r="I5237" t="s">
        <v>10408</v>
      </c>
      <c r="J5237" t="s">
        <v>29708</v>
      </c>
      <c r="K5237" t="s">
        <v>38518</v>
      </c>
      <c r="M5237" t="s">
        <v>40709</v>
      </c>
      <c r="N5237" t="s">
        <v>42669</v>
      </c>
      <c r="O5237" t="s">
        <v>42670</v>
      </c>
      <c r="P5237">
        <v>0</v>
      </c>
      <c r="Q5237">
        <v>0</v>
      </c>
      <c r="R5237" t="s">
        <v>42676</v>
      </c>
      <c r="S5237" t="s">
        <v>42809</v>
      </c>
      <c r="T5237" t="s">
        <v>44378</v>
      </c>
      <c r="U5237" t="s">
        <v>49080</v>
      </c>
      <c r="W5237" t="s">
        <v>40709</v>
      </c>
      <c r="X5237" t="s">
        <v>42677</v>
      </c>
    </row>
    <row r="5238" spans="1:24">
      <c r="A5238">
        <f>HYPERLINK("https://www.philgeps.gov.ph/GEPSNONPILOT/Tender/SplashBidNoticeAbstractUI.aspx?menuIndex=3&amp;refID=7189650&amp;Result=3","7189650")</f>
        <v>0</v>
      </c>
      <c r="B5238" t="s">
        <v>1834</v>
      </c>
      <c r="C5238" t="s">
        <v>8548</v>
      </c>
      <c r="D5238" t="s">
        <v>17151</v>
      </c>
      <c r="E5238" t="s">
        <v>21774</v>
      </c>
      <c r="F5238" t="s">
        <v>29372</v>
      </c>
      <c r="G5238" t="s">
        <v>29380</v>
      </c>
      <c r="H5238" t="s">
        <v>11048</v>
      </c>
      <c r="I5238" t="s">
        <v>29465</v>
      </c>
      <c r="J5238" t="s">
        <v>29532</v>
      </c>
      <c r="K5238" t="s">
        <v>38491</v>
      </c>
      <c r="M5238" t="s">
        <v>40705</v>
      </c>
      <c r="N5238" t="s">
        <v>42669</v>
      </c>
      <c r="O5238" t="s">
        <v>42670</v>
      </c>
      <c r="P5238">
        <v>0</v>
      </c>
      <c r="Q5238">
        <v>0</v>
      </c>
      <c r="R5238" t="s">
        <v>42676</v>
      </c>
      <c r="S5238" t="s">
        <v>42809</v>
      </c>
      <c r="T5238" t="s">
        <v>44530</v>
      </c>
      <c r="U5238" t="s">
        <v>49093</v>
      </c>
      <c r="V5238" t="s">
        <v>56944</v>
      </c>
      <c r="W5238" t="s">
        <v>40705</v>
      </c>
      <c r="X5238" t="s">
        <v>42677</v>
      </c>
    </row>
    <row r="5239" spans="1:24">
      <c r="A5239">
        <f>HYPERLINK("https://www.philgeps.gov.ph/GEPSNONPILOT/Tender/SplashBidNoticeAbstractUI.aspx?menuIndex=3&amp;refID=7189654&amp;Result=3","7189654")</f>
        <v>0</v>
      </c>
      <c r="B5239" t="s">
        <v>1842</v>
      </c>
      <c r="C5239" t="s">
        <v>8549</v>
      </c>
      <c r="D5239" t="s">
        <v>17144</v>
      </c>
      <c r="E5239" t="s">
        <v>18757</v>
      </c>
      <c r="F5239" t="s">
        <v>29372</v>
      </c>
      <c r="G5239" t="s">
        <v>29379</v>
      </c>
      <c r="H5239" t="s">
        <v>11048</v>
      </c>
      <c r="I5239" t="s">
        <v>29488</v>
      </c>
      <c r="J5239" t="s">
        <v>32913</v>
      </c>
      <c r="K5239" t="s">
        <v>38486</v>
      </c>
      <c r="M5239" t="s">
        <v>40713</v>
      </c>
      <c r="N5239" t="s">
        <v>42669</v>
      </c>
      <c r="O5239" t="s">
        <v>42670</v>
      </c>
      <c r="P5239">
        <v>0</v>
      </c>
      <c r="Q5239">
        <v>0</v>
      </c>
      <c r="R5239" t="s">
        <v>42676</v>
      </c>
      <c r="S5239" t="s">
        <v>42809</v>
      </c>
      <c r="T5239" t="s">
        <v>44512</v>
      </c>
      <c r="U5239" t="s">
        <v>49094</v>
      </c>
      <c r="W5239" t="s">
        <v>40713</v>
      </c>
      <c r="X5239" t="s">
        <v>42677</v>
      </c>
    </row>
    <row r="5240" spans="1:24">
      <c r="A5240">
        <f>HYPERLINK("https://www.philgeps.gov.ph/GEPSNONPILOT/Tender/SplashBidNoticeAbstractUI.aspx?menuIndex=3&amp;refID=7189462&amp;Result=3","7189462")</f>
        <v>0</v>
      </c>
      <c r="B5240" t="s">
        <v>1803</v>
      </c>
      <c r="C5240" t="s">
        <v>8550</v>
      </c>
      <c r="D5240" t="s">
        <v>17153</v>
      </c>
      <c r="E5240" t="s">
        <v>21775</v>
      </c>
      <c r="F5240" t="s">
        <v>29372</v>
      </c>
      <c r="G5240" t="s">
        <v>29380</v>
      </c>
      <c r="H5240" t="s">
        <v>29389</v>
      </c>
      <c r="I5240" t="s">
        <v>10408</v>
      </c>
      <c r="J5240" t="s">
        <v>29708</v>
      </c>
      <c r="K5240" t="s">
        <v>38510</v>
      </c>
      <c r="M5240" t="s">
        <v>40674</v>
      </c>
      <c r="N5240" t="s">
        <v>42669</v>
      </c>
      <c r="O5240" t="s">
        <v>42670</v>
      </c>
      <c r="P5240">
        <v>0</v>
      </c>
      <c r="Q5240">
        <v>0</v>
      </c>
      <c r="R5240" t="s">
        <v>42676</v>
      </c>
      <c r="S5240" t="s">
        <v>42809</v>
      </c>
      <c r="T5240" t="s">
        <v>44371</v>
      </c>
      <c r="U5240" t="s">
        <v>49095</v>
      </c>
      <c r="W5240" t="s">
        <v>40674</v>
      </c>
      <c r="X5240" t="s">
        <v>42677</v>
      </c>
    </row>
    <row r="5241" spans="1:24">
      <c r="A5241">
        <f>HYPERLINK("https://www.philgeps.gov.ph/GEPSNONPILOT/Tender/SplashBidNoticeAbstractUI.aspx?menuIndex=3&amp;refID=7189698&amp;Result=3","7189698")</f>
        <v>0</v>
      </c>
      <c r="B5241" t="s">
        <v>1817</v>
      </c>
      <c r="C5241" t="s">
        <v>8469</v>
      </c>
      <c r="D5241" t="s">
        <v>17153</v>
      </c>
      <c r="E5241" t="s">
        <v>21776</v>
      </c>
      <c r="F5241" t="s">
        <v>29372</v>
      </c>
      <c r="G5241" t="s">
        <v>29379</v>
      </c>
      <c r="H5241" t="s">
        <v>11048</v>
      </c>
      <c r="I5241" t="s">
        <v>8614</v>
      </c>
      <c r="J5241" t="s">
        <v>32914</v>
      </c>
      <c r="K5241" t="s">
        <v>38488</v>
      </c>
      <c r="M5241" t="s">
        <v>40688</v>
      </c>
      <c r="N5241" t="s">
        <v>42669</v>
      </c>
      <c r="O5241" t="s">
        <v>42670</v>
      </c>
      <c r="P5241">
        <v>0</v>
      </c>
      <c r="Q5241">
        <v>1</v>
      </c>
      <c r="R5241" t="s">
        <v>42676</v>
      </c>
      <c r="S5241" t="s">
        <v>42809</v>
      </c>
      <c r="T5241" t="s">
        <v>44401</v>
      </c>
      <c r="U5241" t="s">
        <v>49022</v>
      </c>
      <c r="W5241" t="s">
        <v>40688</v>
      </c>
      <c r="X5241" t="s">
        <v>42677</v>
      </c>
    </row>
    <row r="5242" spans="1:24">
      <c r="A5242">
        <f>HYPERLINK("https://www.philgeps.gov.ph/GEPSNONPILOT/Tender/SplashBidNoticeAbstractUI.aspx?menuIndex=3&amp;refID=7189180&amp;Result=3","7189180")</f>
        <v>0</v>
      </c>
      <c r="B5242" t="s">
        <v>1771</v>
      </c>
      <c r="C5242" t="s">
        <v>8551</v>
      </c>
      <c r="D5242" t="s">
        <v>17188</v>
      </c>
      <c r="E5242" t="s">
        <v>21777</v>
      </c>
      <c r="F5242" t="s">
        <v>29372</v>
      </c>
      <c r="G5242" t="s">
        <v>29380</v>
      </c>
      <c r="H5242" t="s">
        <v>29389</v>
      </c>
      <c r="I5242" t="s">
        <v>10408</v>
      </c>
      <c r="J5242" t="s">
        <v>32915</v>
      </c>
      <c r="K5242" t="s">
        <v>38490</v>
      </c>
      <c r="M5242" t="s">
        <v>40638</v>
      </c>
      <c r="N5242" t="s">
        <v>42669</v>
      </c>
      <c r="O5242" t="s">
        <v>42670</v>
      </c>
      <c r="P5242">
        <v>0</v>
      </c>
      <c r="Q5242">
        <v>0</v>
      </c>
      <c r="R5242" t="s">
        <v>42676</v>
      </c>
      <c r="S5242" t="s">
        <v>42809</v>
      </c>
      <c r="T5242" t="s">
        <v>44460</v>
      </c>
      <c r="U5242" t="s">
        <v>49096</v>
      </c>
      <c r="W5242" t="s">
        <v>40638</v>
      </c>
      <c r="X5242" t="s">
        <v>42677</v>
      </c>
    </row>
    <row r="5243" spans="1:24">
      <c r="A5243">
        <f>HYPERLINK("https://www.philgeps.gov.ph/GEPSNONPILOT/Tender/SplashBidNoticeAbstractUI.aspx?menuIndex=3&amp;refID=7189179&amp;Result=3","7189179")</f>
        <v>0</v>
      </c>
      <c r="B5243" t="s">
        <v>1843</v>
      </c>
      <c r="C5243" t="s">
        <v>8552</v>
      </c>
      <c r="D5243" t="s">
        <v>17160</v>
      </c>
      <c r="E5243" t="s">
        <v>8552</v>
      </c>
      <c r="F5243" t="s">
        <v>29372</v>
      </c>
      <c r="G5243" t="s">
        <v>29379</v>
      </c>
      <c r="H5243" t="s">
        <v>11048</v>
      </c>
      <c r="I5243" t="s">
        <v>29403</v>
      </c>
      <c r="J5243" t="s">
        <v>32916</v>
      </c>
      <c r="K5243" t="s">
        <v>38510</v>
      </c>
      <c r="M5243" t="s">
        <v>40714</v>
      </c>
      <c r="N5243" t="s">
        <v>42669</v>
      </c>
      <c r="O5243" t="s">
        <v>42670</v>
      </c>
      <c r="P5243">
        <v>0</v>
      </c>
      <c r="Q5243">
        <v>1</v>
      </c>
      <c r="R5243" t="s">
        <v>42676</v>
      </c>
      <c r="S5243" t="s">
        <v>42809</v>
      </c>
      <c r="T5243" t="s">
        <v>44368</v>
      </c>
      <c r="U5243" t="s">
        <v>49097</v>
      </c>
      <c r="W5243" t="s">
        <v>40714</v>
      </c>
      <c r="X5243" t="s">
        <v>42677</v>
      </c>
    </row>
    <row r="5244" spans="1:24">
      <c r="A5244">
        <f>HYPERLINK("https://www.philgeps.gov.ph/GEPSNONPILOT/Tender/SplashBidNoticeAbstractUI.aspx?menuIndex=3&amp;refID=7189740&amp;Result=3","7189740")</f>
        <v>0</v>
      </c>
      <c r="B5244" t="s">
        <v>1844</v>
      </c>
      <c r="C5244" t="s">
        <v>8553</v>
      </c>
      <c r="D5244" t="s">
        <v>17188</v>
      </c>
      <c r="E5244" t="s">
        <v>17648</v>
      </c>
      <c r="F5244" t="s">
        <v>29372</v>
      </c>
      <c r="G5244" t="s">
        <v>29380</v>
      </c>
      <c r="H5244" t="s">
        <v>11048</v>
      </c>
      <c r="I5244" t="s">
        <v>4709</v>
      </c>
      <c r="J5244" t="s">
        <v>32917</v>
      </c>
      <c r="K5244" t="s">
        <v>38485</v>
      </c>
      <c r="M5244" t="s">
        <v>40715</v>
      </c>
      <c r="N5244" t="s">
        <v>42669</v>
      </c>
      <c r="O5244" t="s">
        <v>42670</v>
      </c>
      <c r="P5244">
        <v>0</v>
      </c>
      <c r="Q5244">
        <v>0</v>
      </c>
      <c r="R5244" t="s">
        <v>42676</v>
      </c>
      <c r="S5244" t="s">
        <v>42809</v>
      </c>
      <c r="T5244" t="s">
        <v>44688</v>
      </c>
      <c r="U5244" t="s">
        <v>49098</v>
      </c>
      <c r="V5244" t="s">
        <v>56945</v>
      </c>
      <c r="W5244" t="s">
        <v>40715</v>
      </c>
      <c r="X5244" t="s">
        <v>42677</v>
      </c>
    </row>
    <row r="5245" spans="1:24">
      <c r="A5245">
        <f>HYPERLINK("https://www.philgeps.gov.ph/GEPSNONPILOT/Tender/SplashBidNoticeAbstractUI.aspx?menuIndex=3&amp;refID=7189754&amp;Result=3","7189754")</f>
        <v>0</v>
      </c>
      <c r="B5245" t="s">
        <v>1845</v>
      </c>
      <c r="C5245" t="s">
        <v>8554</v>
      </c>
      <c r="D5245" t="s">
        <v>17187</v>
      </c>
      <c r="E5245" t="s">
        <v>21778</v>
      </c>
      <c r="F5245" t="s">
        <v>29372</v>
      </c>
      <c r="G5245" t="s">
        <v>29383</v>
      </c>
      <c r="H5245" t="s">
        <v>11048</v>
      </c>
      <c r="I5245" t="s">
        <v>29426</v>
      </c>
      <c r="J5245" t="s">
        <v>31263</v>
      </c>
      <c r="K5245" t="s">
        <v>38510</v>
      </c>
      <c r="M5245" t="s">
        <v>40716</v>
      </c>
      <c r="N5245" t="s">
        <v>42669</v>
      </c>
      <c r="O5245" t="s">
        <v>42670</v>
      </c>
      <c r="P5245">
        <v>0</v>
      </c>
      <c r="Q5245">
        <v>5</v>
      </c>
      <c r="R5245" t="s">
        <v>42676</v>
      </c>
      <c r="S5245" t="s">
        <v>42809</v>
      </c>
      <c r="T5245" t="s">
        <v>44417</v>
      </c>
      <c r="U5245" t="s">
        <v>49099</v>
      </c>
      <c r="V5245" t="s">
        <v>56946</v>
      </c>
      <c r="W5245" t="s">
        <v>40716</v>
      </c>
      <c r="X5245" t="s">
        <v>42677</v>
      </c>
    </row>
    <row r="5246" spans="1:24">
      <c r="A5246">
        <f>HYPERLINK("https://www.philgeps.gov.ph/GEPSNONPILOT/Tender/SplashBidNoticeAbstractUI.aspx?menuIndex=3&amp;refID=7189219&amp;Result=3","7189219")</f>
        <v>0</v>
      </c>
      <c r="B5246" t="s">
        <v>1817</v>
      </c>
      <c r="C5246" t="s">
        <v>8555</v>
      </c>
      <c r="D5246" t="s">
        <v>17153</v>
      </c>
      <c r="E5246" t="s">
        <v>21779</v>
      </c>
      <c r="F5246" t="s">
        <v>29372</v>
      </c>
      <c r="G5246" t="s">
        <v>29379</v>
      </c>
      <c r="H5246" t="s">
        <v>11048</v>
      </c>
      <c r="I5246" t="s">
        <v>29426</v>
      </c>
      <c r="J5246" t="s">
        <v>32918</v>
      </c>
      <c r="K5246" t="s">
        <v>38488</v>
      </c>
      <c r="M5246" t="s">
        <v>40688</v>
      </c>
      <c r="N5246" t="s">
        <v>42669</v>
      </c>
      <c r="O5246" t="s">
        <v>42670</v>
      </c>
      <c r="P5246">
        <v>0</v>
      </c>
      <c r="Q5246">
        <v>0</v>
      </c>
      <c r="R5246" t="s">
        <v>42676</v>
      </c>
      <c r="S5246" t="s">
        <v>42809</v>
      </c>
      <c r="T5246" t="s">
        <v>44488</v>
      </c>
      <c r="U5246" t="s">
        <v>49022</v>
      </c>
      <c r="W5246" t="s">
        <v>40688</v>
      </c>
      <c r="X5246" t="s">
        <v>42677</v>
      </c>
    </row>
    <row r="5247" spans="1:24">
      <c r="A5247">
        <f>HYPERLINK("https://www.philgeps.gov.ph/GEPSNONPILOT/Tender/SplashBidNoticeAbstractUI.aspx?menuIndex=3&amp;refID=7189753&amp;Result=3","7189753")</f>
        <v>0</v>
      </c>
      <c r="B5247" t="s">
        <v>1846</v>
      </c>
      <c r="C5247" t="s">
        <v>8556</v>
      </c>
      <c r="E5247" t="s">
        <v>21780</v>
      </c>
      <c r="F5247" t="s">
        <v>29373</v>
      </c>
      <c r="G5247" t="s">
        <v>29379</v>
      </c>
      <c r="H5247" t="s">
        <v>11048</v>
      </c>
      <c r="I5247" t="s">
        <v>29412</v>
      </c>
      <c r="J5247" t="s">
        <v>32919</v>
      </c>
      <c r="K5247" t="s">
        <v>38490</v>
      </c>
      <c r="M5247" t="s">
        <v>40717</v>
      </c>
      <c r="N5247" t="s">
        <v>42669</v>
      </c>
      <c r="O5247" t="s">
        <v>42670</v>
      </c>
      <c r="P5247">
        <v>0</v>
      </c>
      <c r="Q5247">
        <v>1</v>
      </c>
      <c r="R5247" t="s">
        <v>42676</v>
      </c>
      <c r="S5247" t="s">
        <v>42809</v>
      </c>
      <c r="T5247" t="s">
        <v>44389</v>
      </c>
      <c r="U5247" t="s">
        <v>49100</v>
      </c>
      <c r="W5247" t="s">
        <v>40717</v>
      </c>
      <c r="X5247" t="s">
        <v>42677</v>
      </c>
    </row>
    <row r="5248" spans="1:24">
      <c r="A5248">
        <f>HYPERLINK("https://www.philgeps.gov.ph/GEPSNONPILOT/Tender/SplashBidNoticeAbstractUI.aspx?menuIndex=3&amp;refID=7189750&amp;Result=3","7189750")</f>
        <v>0</v>
      </c>
      <c r="B5248" t="s">
        <v>1847</v>
      </c>
      <c r="C5248" t="s">
        <v>8557</v>
      </c>
      <c r="D5248" t="s">
        <v>17141</v>
      </c>
      <c r="E5248" t="s">
        <v>21781</v>
      </c>
      <c r="F5248" t="s">
        <v>29372</v>
      </c>
      <c r="G5248" t="s">
        <v>29379</v>
      </c>
      <c r="H5248" t="s">
        <v>11048</v>
      </c>
      <c r="I5248" t="s">
        <v>8614</v>
      </c>
      <c r="J5248" t="s">
        <v>32920</v>
      </c>
      <c r="K5248" t="s">
        <v>38490</v>
      </c>
      <c r="M5248" t="s">
        <v>40718</v>
      </c>
      <c r="N5248" t="s">
        <v>42669</v>
      </c>
      <c r="O5248" t="s">
        <v>42670</v>
      </c>
      <c r="P5248">
        <v>0</v>
      </c>
      <c r="Q5248">
        <v>5</v>
      </c>
      <c r="R5248" t="s">
        <v>42676</v>
      </c>
      <c r="S5248" t="s">
        <v>42809</v>
      </c>
      <c r="T5248" t="s">
        <v>44441</v>
      </c>
      <c r="U5248" t="s">
        <v>49101</v>
      </c>
      <c r="W5248" t="s">
        <v>40718</v>
      </c>
      <c r="X5248" t="s">
        <v>42677</v>
      </c>
    </row>
    <row r="5249" spans="1:24">
      <c r="A5249">
        <f>HYPERLINK("https://www.philgeps.gov.ph/GEPSNONPILOT/Tender/SplashBidNoticeAbstractUI.aspx?menuIndex=3&amp;refID=7189218&amp;Result=3","7189218")</f>
        <v>0</v>
      </c>
      <c r="B5249" t="s">
        <v>579</v>
      </c>
      <c r="C5249" t="s">
        <v>8558</v>
      </c>
      <c r="D5249" t="s">
        <v>17141</v>
      </c>
      <c r="E5249" t="s">
        <v>21782</v>
      </c>
      <c r="F5249" t="s">
        <v>29373</v>
      </c>
      <c r="G5249" t="s">
        <v>29380</v>
      </c>
      <c r="H5249" t="s">
        <v>11048</v>
      </c>
      <c r="I5249" t="s">
        <v>29473</v>
      </c>
      <c r="J5249" t="s">
        <v>29587</v>
      </c>
      <c r="K5249" t="s">
        <v>38485</v>
      </c>
      <c r="M5249" t="s">
        <v>39348</v>
      </c>
      <c r="N5249" t="s">
        <v>42669</v>
      </c>
      <c r="O5249" t="s">
        <v>42670</v>
      </c>
      <c r="P5249">
        <v>0</v>
      </c>
      <c r="Q5249">
        <v>1</v>
      </c>
      <c r="R5249" t="s">
        <v>42676</v>
      </c>
      <c r="S5249" t="s">
        <v>42809</v>
      </c>
      <c r="T5249" t="s">
        <v>44630</v>
      </c>
      <c r="U5249" t="s">
        <v>49102</v>
      </c>
      <c r="V5249" t="s">
        <v>56504</v>
      </c>
      <c r="W5249" t="s">
        <v>39348</v>
      </c>
      <c r="X5249" t="s">
        <v>42677</v>
      </c>
    </row>
    <row r="5250" spans="1:24">
      <c r="A5250">
        <f>HYPERLINK("https://www.philgeps.gov.ph/GEPSNONPILOT/Tender/SplashBidNoticeAbstractUI.aspx?menuIndex=3&amp;refID=7189743&amp;Result=3","7189743")</f>
        <v>0</v>
      </c>
      <c r="B5250" t="s">
        <v>443</v>
      </c>
      <c r="C5250" t="s">
        <v>8559</v>
      </c>
      <c r="D5250" t="s">
        <v>17161</v>
      </c>
      <c r="E5250" t="s">
        <v>21783</v>
      </c>
      <c r="F5250" t="s">
        <v>29372</v>
      </c>
      <c r="G5250" t="s">
        <v>29380</v>
      </c>
      <c r="H5250" t="s">
        <v>11048</v>
      </c>
      <c r="I5250" t="s">
        <v>29413</v>
      </c>
      <c r="J5250" t="s">
        <v>32921</v>
      </c>
      <c r="K5250" t="s">
        <v>38495</v>
      </c>
      <c r="M5250" t="s">
        <v>39207</v>
      </c>
      <c r="N5250" t="s">
        <v>42669</v>
      </c>
      <c r="O5250" t="s">
        <v>42670</v>
      </c>
      <c r="P5250">
        <v>0</v>
      </c>
      <c r="Q5250">
        <v>5</v>
      </c>
      <c r="R5250" t="s">
        <v>42676</v>
      </c>
      <c r="S5250" t="s">
        <v>42809</v>
      </c>
      <c r="T5250" t="s">
        <v>44388</v>
      </c>
      <c r="U5250" t="s">
        <v>49103</v>
      </c>
      <c r="V5250" t="s">
        <v>56947</v>
      </c>
      <c r="W5250" t="s">
        <v>40136</v>
      </c>
      <c r="X5250" t="s">
        <v>42677</v>
      </c>
    </row>
    <row r="5251" spans="1:24">
      <c r="A5251">
        <f>HYPERLINK("https://www.philgeps.gov.ph/GEPSNONPILOT/Tender/SplashBidNoticeAbstractUI.aspx?menuIndex=3&amp;refID=7189719&amp;Result=3","7189719")</f>
        <v>0</v>
      </c>
      <c r="B5251" t="s">
        <v>1848</v>
      </c>
      <c r="C5251" t="s">
        <v>8560</v>
      </c>
      <c r="D5251" t="s">
        <v>17141</v>
      </c>
      <c r="E5251" t="s">
        <v>21784</v>
      </c>
      <c r="F5251" t="s">
        <v>29372</v>
      </c>
      <c r="G5251" t="s">
        <v>29380</v>
      </c>
      <c r="H5251" t="s">
        <v>11048</v>
      </c>
      <c r="I5251" t="s">
        <v>29433</v>
      </c>
      <c r="J5251" t="s">
        <v>32922</v>
      </c>
      <c r="K5251" t="s">
        <v>38491</v>
      </c>
      <c r="M5251" t="s">
        <v>40719</v>
      </c>
      <c r="N5251" t="s">
        <v>42669</v>
      </c>
      <c r="O5251" t="s">
        <v>42670</v>
      </c>
      <c r="P5251">
        <v>0</v>
      </c>
      <c r="Q5251">
        <v>5</v>
      </c>
      <c r="R5251" t="s">
        <v>42676</v>
      </c>
      <c r="S5251" t="s">
        <v>42809</v>
      </c>
      <c r="T5251" t="s">
        <v>44664</v>
      </c>
      <c r="U5251" t="s">
        <v>49104</v>
      </c>
      <c r="W5251" t="s">
        <v>40719</v>
      </c>
      <c r="X5251" t="s">
        <v>42677</v>
      </c>
    </row>
    <row r="5252" spans="1:24">
      <c r="A5252">
        <f>HYPERLINK("https://www.philgeps.gov.ph/GEPSNONPILOT/Tender/SplashBidNoticeAbstractUI.aspx?menuIndex=3&amp;refID=7189739&amp;Result=3","7189739")</f>
        <v>0</v>
      </c>
      <c r="B5252" t="s">
        <v>589</v>
      </c>
      <c r="C5252" t="s">
        <v>8561</v>
      </c>
      <c r="D5252" t="s">
        <v>17168</v>
      </c>
      <c r="E5252" t="s">
        <v>21785</v>
      </c>
      <c r="F5252" t="s">
        <v>29372</v>
      </c>
      <c r="G5252" t="s">
        <v>29380</v>
      </c>
      <c r="H5252" t="s">
        <v>11048</v>
      </c>
      <c r="I5252" t="s">
        <v>3695</v>
      </c>
      <c r="J5252" t="s">
        <v>32923</v>
      </c>
      <c r="K5252" t="s">
        <v>38538</v>
      </c>
      <c r="M5252" t="s">
        <v>39358</v>
      </c>
      <c r="N5252" t="s">
        <v>42669</v>
      </c>
      <c r="O5252" t="s">
        <v>42670</v>
      </c>
      <c r="P5252">
        <v>0</v>
      </c>
      <c r="Q5252">
        <v>0</v>
      </c>
      <c r="R5252" t="s">
        <v>42676</v>
      </c>
      <c r="S5252" t="s">
        <v>42809</v>
      </c>
      <c r="T5252" t="s">
        <v>44480</v>
      </c>
      <c r="U5252" t="s">
        <v>49105</v>
      </c>
      <c r="V5252" t="s">
        <v>56701</v>
      </c>
      <c r="W5252" t="s">
        <v>39358</v>
      </c>
      <c r="X5252" t="s">
        <v>42677</v>
      </c>
    </row>
    <row r="5253" spans="1:24">
      <c r="A5253">
        <f>HYPERLINK("https://www.philgeps.gov.ph/GEPSNONPILOT/Tender/SplashBidNoticeAbstractUI.aspx?menuIndex=3&amp;refID=7189738&amp;Result=3","7189738")</f>
        <v>0</v>
      </c>
      <c r="B5253" t="s">
        <v>1849</v>
      </c>
      <c r="C5253" t="s">
        <v>8562</v>
      </c>
      <c r="D5253" t="s">
        <v>17156</v>
      </c>
      <c r="E5253" t="s">
        <v>21786</v>
      </c>
      <c r="F5253" t="s">
        <v>29372</v>
      </c>
      <c r="G5253" t="s">
        <v>29380</v>
      </c>
      <c r="H5253" t="s">
        <v>11048</v>
      </c>
      <c r="I5253" t="s">
        <v>4709</v>
      </c>
      <c r="J5253" t="s">
        <v>32924</v>
      </c>
      <c r="K5253" t="s">
        <v>38491</v>
      </c>
      <c r="M5253" t="s">
        <v>40720</v>
      </c>
      <c r="N5253" t="s">
        <v>42669</v>
      </c>
      <c r="O5253" t="s">
        <v>42670</v>
      </c>
      <c r="P5253">
        <v>0</v>
      </c>
      <c r="Q5253">
        <v>1</v>
      </c>
      <c r="R5253" t="s">
        <v>42676</v>
      </c>
      <c r="S5253" t="s">
        <v>42809</v>
      </c>
      <c r="T5253" t="s">
        <v>44399</v>
      </c>
      <c r="U5253" t="s">
        <v>49106</v>
      </c>
      <c r="W5253" t="s">
        <v>40720</v>
      </c>
      <c r="X5253" t="s">
        <v>42677</v>
      </c>
    </row>
    <row r="5254" spans="1:24">
      <c r="A5254">
        <f>HYPERLINK("https://www.philgeps.gov.ph/GEPSNONPILOT/Tender/SplashBidNoticeAbstractUI.aspx?menuIndex=3&amp;refID=7189748&amp;Result=3","7189748")</f>
        <v>0</v>
      </c>
      <c r="B5254" t="s">
        <v>1812</v>
      </c>
      <c r="C5254" t="s">
        <v>8563</v>
      </c>
      <c r="D5254" t="s">
        <v>17194</v>
      </c>
      <c r="E5254" t="s">
        <v>21787</v>
      </c>
      <c r="F5254" t="s">
        <v>29372</v>
      </c>
      <c r="G5254" t="s">
        <v>29379</v>
      </c>
      <c r="H5254" t="s">
        <v>11048</v>
      </c>
      <c r="I5254" t="s">
        <v>3670</v>
      </c>
      <c r="J5254" t="s">
        <v>29526</v>
      </c>
      <c r="K5254" t="s">
        <v>38490</v>
      </c>
      <c r="M5254" t="s">
        <v>40683</v>
      </c>
      <c r="N5254" t="s">
        <v>42669</v>
      </c>
      <c r="O5254" t="s">
        <v>42670</v>
      </c>
      <c r="P5254">
        <v>0</v>
      </c>
      <c r="Q5254">
        <v>0</v>
      </c>
      <c r="R5254" t="s">
        <v>42676</v>
      </c>
      <c r="S5254" t="s">
        <v>42809</v>
      </c>
      <c r="T5254" t="s">
        <v>44354</v>
      </c>
      <c r="U5254" t="s">
        <v>49010</v>
      </c>
      <c r="W5254" t="s">
        <v>40683</v>
      </c>
      <c r="X5254" t="s">
        <v>42677</v>
      </c>
    </row>
    <row r="5255" spans="1:24">
      <c r="A5255">
        <f>HYPERLINK("https://www.philgeps.gov.ph/GEPSNONPILOT/Tender/SplashBidNoticeAbstractUI.aspx?menuIndex=3&amp;refID=7189741&amp;Result=3","7189741")</f>
        <v>0</v>
      </c>
      <c r="B5255" t="s">
        <v>1850</v>
      </c>
      <c r="C5255" t="s">
        <v>8564</v>
      </c>
      <c r="D5255" t="s">
        <v>17160</v>
      </c>
      <c r="E5255" t="s">
        <v>21788</v>
      </c>
      <c r="F5255" t="s">
        <v>29372</v>
      </c>
      <c r="G5255" t="s">
        <v>29379</v>
      </c>
      <c r="H5255" t="s">
        <v>11048</v>
      </c>
      <c r="I5255" t="s">
        <v>29412</v>
      </c>
      <c r="J5255" t="s">
        <v>32925</v>
      </c>
      <c r="K5255" t="s">
        <v>38491</v>
      </c>
      <c r="M5255" t="s">
        <v>40721</v>
      </c>
      <c r="N5255" t="s">
        <v>42669</v>
      </c>
      <c r="O5255" t="s">
        <v>42670</v>
      </c>
      <c r="P5255">
        <v>0</v>
      </c>
      <c r="Q5255">
        <v>0</v>
      </c>
      <c r="R5255" t="s">
        <v>42676</v>
      </c>
      <c r="S5255" t="s">
        <v>42809</v>
      </c>
      <c r="T5255" t="s">
        <v>44401</v>
      </c>
      <c r="U5255" t="s">
        <v>49107</v>
      </c>
      <c r="W5255" t="s">
        <v>40721</v>
      </c>
      <c r="X5255" t="s">
        <v>42677</v>
      </c>
    </row>
    <row r="5256" spans="1:24">
      <c r="A5256">
        <f>HYPERLINK("https://www.philgeps.gov.ph/GEPSNONPILOT/Tender/SplashBidNoticeAbstractUI.aspx?menuIndex=3&amp;refID=7189223&amp;Result=3","7189223")</f>
        <v>0</v>
      </c>
      <c r="B5256" t="s">
        <v>1851</v>
      </c>
      <c r="C5256" t="s">
        <v>8565</v>
      </c>
      <c r="D5256" t="s">
        <v>17150</v>
      </c>
      <c r="E5256" t="s">
        <v>21789</v>
      </c>
      <c r="F5256" t="s">
        <v>29372</v>
      </c>
      <c r="G5256" t="s">
        <v>29382</v>
      </c>
      <c r="H5256" t="s">
        <v>11048</v>
      </c>
      <c r="I5256" t="s">
        <v>5383</v>
      </c>
      <c r="J5256" t="s">
        <v>30679</v>
      </c>
      <c r="K5256" t="s">
        <v>38488</v>
      </c>
      <c r="M5256" t="s">
        <v>40722</v>
      </c>
      <c r="N5256" t="s">
        <v>42669</v>
      </c>
      <c r="O5256" t="s">
        <v>42670</v>
      </c>
      <c r="P5256">
        <v>0</v>
      </c>
      <c r="Q5256">
        <v>1</v>
      </c>
      <c r="R5256" t="s">
        <v>42676</v>
      </c>
      <c r="S5256" t="s">
        <v>42809</v>
      </c>
      <c r="T5256" t="s">
        <v>44385</v>
      </c>
      <c r="U5256" t="s">
        <v>49108</v>
      </c>
      <c r="W5256" t="s">
        <v>40722</v>
      </c>
      <c r="X5256" t="s">
        <v>42677</v>
      </c>
    </row>
    <row r="5257" spans="1:24">
      <c r="A5257">
        <f>HYPERLINK("https://www.philgeps.gov.ph/GEPSNONPILOT/Tender/SplashBidNoticeAbstractUI.aspx?menuIndex=3&amp;refID=7189728&amp;Result=3","7189728")</f>
        <v>0</v>
      </c>
      <c r="B5257" t="s">
        <v>1812</v>
      </c>
      <c r="C5257" t="s">
        <v>8566</v>
      </c>
      <c r="D5257" t="s">
        <v>17194</v>
      </c>
      <c r="E5257" t="s">
        <v>21790</v>
      </c>
      <c r="F5257" t="s">
        <v>29372</v>
      </c>
      <c r="G5257" t="s">
        <v>29379</v>
      </c>
      <c r="H5257" t="s">
        <v>11048</v>
      </c>
      <c r="I5257" t="s">
        <v>29444</v>
      </c>
      <c r="J5257" t="s">
        <v>30010</v>
      </c>
      <c r="K5257" t="s">
        <v>38490</v>
      </c>
      <c r="M5257" t="s">
        <v>40683</v>
      </c>
      <c r="N5257" t="s">
        <v>42669</v>
      </c>
      <c r="O5257" t="s">
        <v>42670</v>
      </c>
      <c r="P5257">
        <v>0</v>
      </c>
      <c r="Q5257">
        <v>1</v>
      </c>
      <c r="R5257" t="s">
        <v>42676</v>
      </c>
      <c r="S5257" t="s">
        <v>42809</v>
      </c>
      <c r="T5257" t="s">
        <v>44354</v>
      </c>
      <c r="U5257" t="s">
        <v>49010</v>
      </c>
      <c r="W5257" t="s">
        <v>40683</v>
      </c>
      <c r="X5257" t="s">
        <v>42677</v>
      </c>
    </row>
    <row r="5258" spans="1:24">
      <c r="A5258">
        <f>HYPERLINK("https://www.philgeps.gov.ph/GEPSNONPILOT/Tender/SplashBidNoticeAbstractUI.aspx?menuIndex=3&amp;refID=7189730&amp;Result=3","7189730")</f>
        <v>0</v>
      </c>
      <c r="B5258" t="s">
        <v>589</v>
      </c>
      <c r="C5258" t="s">
        <v>8567</v>
      </c>
      <c r="D5258" t="s">
        <v>17168</v>
      </c>
      <c r="E5258" t="s">
        <v>21791</v>
      </c>
      <c r="F5258" t="s">
        <v>29372</v>
      </c>
      <c r="G5258" t="s">
        <v>29380</v>
      </c>
      <c r="H5258" t="s">
        <v>11048</v>
      </c>
      <c r="I5258" t="s">
        <v>3695</v>
      </c>
      <c r="J5258" t="s">
        <v>32926</v>
      </c>
      <c r="K5258" t="s">
        <v>38538</v>
      </c>
      <c r="M5258" t="s">
        <v>39358</v>
      </c>
      <c r="N5258" t="s">
        <v>42669</v>
      </c>
      <c r="O5258" t="s">
        <v>42670</v>
      </c>
      <c r="P5258">
        <v>0</v>
      </c>
      <c r="Q5258">
        <v>0</v>
      </c>
      <c r="R5258" t="s">
        <v>42676</v>
      </c>
      <c r="S5258" t="s">
        <v>42809</v>
      </c>
      <c r="T5258" t="s">
        <v>44480</v>
      </c>
      <c r="U5258" t="s">
        <v>49109</v>
      </c>
      <c r="V5258" t="s">
        <v>56701</v>
      </c>
      <c r="W5258" t="s">
        <v>39358</v>
      </c>
      <c r="X5258" t="s">
        <v>42677</v>
      </c>
    </row>
    <row r="5259" spans="1:24">
      <c r="A5259">
        <f>HYPERLINK("https://www.philgeps.gov.ph/GEPSNONPILOT/Tender/SplashBidNoticeAbstractUI.aspx?menuIndex=3&amp;refID=7189726&amp;Result=3","7189726")</f>
        <v>0</v>
      </c>
      <c r="B5259" t="s">
        <v>1817</v>
      </c>
      <c r="C5259" t="s">
        <v>8568</v>
      </c>
      <c r="D5259" t="s">
        <v>17153</v>
      </c>
      <c r="E5259" t="s">
        <v>21792</v>
      </c>
      <c r="F5259" t="s">
        <v>29372</v>
      </c>
      <c r="G5259" t="s">
        <v>29379</v>
      </c>
      <c r="H5259" t="s">
        <v>11048</v>
      </c>
      <c r="I5259" t="s">
        <v>8614</v>
      </c>
      <c r="J5259" t="s">
        <v>32927</v>
      </c>
      <c r="K5259" t="s">
        <v>38488</v>
      </c>
      <c r="M5259" t="s">
        <v>40688</v>
      </c>
      <c r="N5259" t="s">
        <v>42669</v>
      </c>
      <c r="O5259" t="s">
        <v>42670</v>
      </c>
      <c r="P5259">
        <v>0</v>
      </c>
      <c r="Q5259">
        <v>0</v>
      </c>
      <c r="R5259" t="s">
        <v>42676</v>
      </c>
      <c r="S5259" t="s">
        <v>42809</v>
      </c>
      <c r="T5259" t="s">
        <v>44401</v>
      </c>
      <c r="U5259" t="s">
        <v>49022</v>
      </c>
      <c r="W5259" t="s">
        <v>40688</v>
      </c>
      <c r="X5259" t="s">
        <v>42677</v>
      </c>
    </row>
    <row r="5260" spans="1:24">
      <c r="A5260">
        <f>HYPERLINK("https://www.philgeps.gov.ph/GEPSNONPILOT/Tender/SplashBidNoticeAbstractUI.aspx?menuIndex=3&amp;refID=7189735&amp;Result=3","7189735")</f>
        <v>0</v>
      </c>
      <c r="B5260" t="s">
        <v>895</v>
      </c>
      <c r="C5260" t="s">
        <v>8569</v>
      </c>
      <c r="D5260" t="s">
        <v>17197</v>
      </c>
      <c r="E5260" t="s">
        <v>21793</v>
      </c>
      <c r="F5260" t="s">
        <v>29372</v>
      </c>
      <c r="G5260" t="s">
        <v>29379</v>
      </c>
      <c r="H5260" t="s">
        <v>29390</v>
      </c>
      <c r="I5260" t="s">
        <v>3839</v>
      </c>
      <c r="J5260" t="s">
        <v>32928</v>
      </c>
      <c r="K5260" t="s">
        <v>38510</v>
      </c>
      <c r="M5260" t="s">
        <v>39688</v>
      </c>
      <c r="N5260" t="s">
        <v>42669</v>
      </c>
      <c r="O5260" t="s">
        <v>42670</v>
      </c>
      <c r="P5260">
        <v>0</v>
      </c>
      <c r="Q5260">
        <v>0</v>
      </c>
      <c r="R5260" t="s">
        <v>42676</v>
      </c>
      <c r="S5260" t="s">
        <v>42809</v>
      </c>
      <c r="T5260" t="s">
        <v>44382</v>
      </c>
      <c r="U5260" t="s">
        <v>49110</v>
      </c>
      <c r="W5260" t="s">
        <v>39688</v>
      </c>
      <c r="X5260" t="s">
        <v>42677</v>
      </c>
    </row>
    <row r="5261" spans="1:24">
      <c r="A5261">
        <f>HYPERLINK("https://www.philgeps.gov.ph/GEPSNONPILOT/Tender/SplashBidNoticeAbstractUI.aspx?menuIndex=3&amp;refID=7189788&amp;Result=3","7189788")</f>
        <v>0</v>
      </c>
      <c r="B5261" t="s">
        <v>1397</v>
      </c>
      <c r="C5261" t="s">
        <v>8570</v>
      </c>
      <c r="D5261" t="s">
        <v>17213</v>
      </c>
      <c r="E5261" t="s">
        <v>21794</v>
      </c>
      <c r="F5261" t="s">
        <v>29372</v>
      </c>
      <c r="G5261" t="s">
        <v>29379</v>
      </c>
      <c r="H5261" t="s">
        <v>11048</v>
      </c>
      <c r="I5261" t="s">
        <v>29403</v>
      </c>
      <c r="J5261" t="s">
        <v>32929</v>
      </c>
      <c r="K5261" t="s">
        <v>38534</v>
      </c>
      <c r="M5261" t="s">
        <v>40236</v>
      </c>
      <c r="N5261" t="s">
        <v>42669</v>
      </c>
      <c r="O5261" t="s">
        <v>42670</v>
      </c>
      <c r="P5261">
        <v>0</v>
      </c>
      <c r="Q5261">
        <v>0</v>
      </c>
      <c r="R5261" t="s">
        <v>42676</v>
      </c>
      <c r="S5261" t="s">
        <v>42809</v>
      </c>
      <c r="T5261" t="s">
        <v>44389</v>
      </c>
      <c r="U5261" t="s">
        <v>49111</v>
      </c>
      <c r="W5261" t="s">
        <v>40236</v>
      </c>
      <c r="X5261" t="s">
        <v>42677</v>
      </c>
    </row>
    <row r="5262" spans="1:24">
      <c r="A5262">
        <f>HYPERLINK("https://www.philgeps.gov.ph/GEPSNONPILOT/Tender/SplashBidNoticeAbstractUI.aspx?menuIndex=3&amp;refID=7189732&amp;Result=3","7189732")</f>
        <v>0</v>
      </c>
      <c r="B5262" t="s">
        <v>1830</v>
      </c>
      <c r="C5262" t="s">
        <v>8571</v>
      </c>
      <c r="D5262" t="s">
        <v>17194</v>
      </c>
      <c r="E5262" t="s">
        <v>21795</v>
      </c>
      <c r="F5262" t="s">
        <v>29372</v>
      </c>
      <c r="G5262" t="s">
        <v>29379</v>
      </c>
      <c r="H5262" t="s">
        <v>11048</v>
      </c>
      <c r="I5262" t="s">
        <v>9642</v>
      </c>
      <c r="J5262" t="s">
        <v>32930</v>
      </c>
      <c r="K5262" t="s">
        <v>38485</v>
      </c>
      <c r="M5262" t="s">
        <v>40701</v>
      </c>
      <c r="N5262" t="s">
        <v>42669</v>
      </c>
      <c r="O5262" t="s">
        <v>42670</v>
      </c>
      <c r="P5262">
        <v>0</v>
      </c>
      <c r="Q5262">
        <v>2</v>
      </c>
      <c r="R5262" t="s">
        <v>42676</v>
      </c>
      <c r="S5262" t="s">
        <v>42809</v>
      </c>
      <c r="T5262" t="s">
        <v>44387</v>
      </c>
      <c r="U5262" t="s">
        <v>49112</v>
      </c>
      <c r="W5262" t="s">
        <v>40701</v>
      </c>
      <c r="X5262" t="s">
        <v>42677</v>
      </c>
    </row>
    <row r="5263" spans="1:24">
      <c r="A5263">
        <f>HYPERLINK("https://www.philgeps.gov.ph/GEPSNONPILOT/Tender/SplashBidNoticeAbstractUI.aspx?menuIndex=3&amp;refID=7189784&amp;Result=3","7189784")</f>
        <v>0</v>
      </c>
      <c r="B5263" t="s">
        <v>1848</v>
      </c>
      <c r="C5263" t="s">
        <v>8572</v>
      </c>
      <c r="D5263" t="s">
        <v>17141</v>
      </c>
      <c r="E5263" t="s">
        <v>21796</v>
      </c>
      <c r="F5263" t="s">
        <v>29372</v>
      </c>
      <c r="G5263" t="s">
        <v>29380</v>
      </c>
      <c r="H5263" t="s">
        <v>11048</v>
      </c>
      <c r="I5263" t="s">
        <v>29433</v>
      </c>
      <c r="J5263" t="s">
        <v>32931</v>
      </c>
      <c r="K5263" t="s">
        <v>38496</v>
      </c>
      <c r="M5263" t="s">
        <v>40719</v>
      </c>
      <c r="N5263" t="s">
        <v>42669</v>
      </c>
      <c r="O5263" t="s">
        <v>42670</v>
      </c>
      <c r="P5263">
        <v>0</v>
      </c>
      <c r="Q5263">
        <v>6</v>
      </c>
      <c r="R5263" t="s">
        <v>42676</v>
      </c>
      <c r="S5263" t="s">
        <v>42809</v>
      </c>
      <c r="T5263" t="s">
        <v>44689</v>
      </c>
      <c r="U5263" t="s">
        <v>49113</v>
      </c>
      <c r="W5263" t="s">
        <v>40719</v>
      </c>
      <c r="X5263" t="s">
        <v>42677</v>
      </c>
    </row>
    <row r="5264" spans="1:24">
      <c r="A5264">
        <f>HYPERLINK("https://www.philgeps.gov.ph/GEPSNONPILOT/Tender/SplashBidNoticeAbstractUI.aspx?menuIndex=3&amp;refID=7189783&amp;Result=3","7189783")</f>
        <v>0</v>
      </c>
      <c r="B5264" t="s">
        <v>882</v>
      </c>
      <c r="C5264" t="s">
        <v>8573</v>
      </c>
      <c r="D5264" t="s">
        <v>17193</v>
      </c>
      <c r="E5264" t="s">
        <v>21797</v>
      </c>
      <c r="F5264" t="s">
        <v>29372</v>
      </c>
      <c r="G5264" t="s">
        <v>29380</v>
      </c>
      <c r="H5264" t="s">
        <v>11048</v>
      </c>
      <c r="I5264" t="s">
        <v>14920</v>
      </c>
      <c r="J5264" t="s">
        <v>32932</v>
      </c>
      <c r="K5264" t="s">
        <v>38490</v>
      </c>
      <c r="M5264" t="s">
        <v>40723</v>
      </c>
      <c r="N5264" t="s">
        <v>42669</v>
      </c>
      <c r="O5264" t="s">
        <v>42670</v>
      </c>
      <c r="P5264">
        <v>0</v>
      </c>
      <c r="Q5264">
        <v>3</v>
      </c>
      <c r="R5264" t="s">
        <v>42676</v>
      </c>
      <c r="S5264" t="s">
        <v>42809</v>
      </c>
      <c r="T5264" t="s">
        <v>44539</v>
      </c>
      <c r="U5264" t="s">
        <v>49114</v>
      </c>
      <c r="V5264" t="s">
        <v>56948</v>
      </c>
      <c r="W5264" t="s">
        <v>40723</v>
      </c>
      <c r="X5264" t="s">
        <v>42677</v>
      </c>
    </row>
    <row r="5265" spans="1:24">
      <c r="A5265">
        <f>HYPERLINK("https://www.philgeps.gov.ph/GEPSNONPILOT/Tender/SplashBidNoticeAbstractUI.aspx?menuIndex=3&amp;refID=7189781&amp;Result=3","7189781")</f>
        <v>0</v>
      </c>
      <c r="B5265" t="s">
        <v>1287</v>
      </c>
      <c r="C5265" t="s">
        <v>8574</v>
      </c>
      <c r="D5265" t="s">
        <v>17194</v>
      </c>
      <c r="E5265" t="s">
        <v>21798</v>
      </c>
      <c r="F5265" t="s">
        <v>29372</v>
      </c>
      <c r="G5265" t="s">
        <v>29379</v>
      </c>
      <c r="H5265" t="s">
        <v>11048</v>
      </c>
      <c r="I5265" t="s">
        <v>29465</v>
      </c>
      <c r="J5265" t="s">
        <v>29694</v>
      </c>
      <c r="K5265" t="s">
        <v>38490</v>
      </c>
      <c r="M5265" t="s">
        <v>40724</v>
      </c>
      <c r="N5265" t="s">
        <v>42669</v>
      </c>
      <c r="O5265" t="s">
        <v>42670</v>
      </c>
      <c r="P5265">
        <v>0</v>
      </c>
      <c r="Q5265">
        <v>0</v>
      </c>
      <c r="R5265" t="s">
        <v>42676</v>
      </c>
      <c r="S5265" t="s">
        <v>42809</v>
      </c>
      <c r="T5265" t="s">
        <v>44493</v>
      </c>
      <c r="U5265" t="s">
        <v>49115</v>
      </c>
      <c r="W5265" t="s">
        <v>40724</v>
      </c>
      <c r="X5265" t="s">
        <v>42677</v>
      </c>
    </row>
    <row r="5266" spans="1:24">
      <c r="A5266">
        <f>HYPERLINK("https://www.philgeps.gov.ph/GEPSNONPILOT/Tender/SplashBidNoticeAbstractUI.aspx?menuIndex=3&amp;refID=7189733&amp;Result=3","7189733")</f>
        <v>0</v>
      </c>
      <c r="B5266" t="s">
        <v>1255</v>
      </c>
      <c r="C5266" t="s">
        <v>8575</v>
      </c>
      <c r="D5266" t="s">
        <v>17216</v>
      </c>
      <c r="E5266" t="s">
        <v>21799</v>
      </c>
      <c r="F5266" t="s">
        <v>29372</v>
      </c>
      <c r="G5266" t="s">
        <v>29380</v>
      </c>
      <c r="H5266" t="s">
        <v>11048</v>
      </c>
      <c r="I5266" t="s">
        <v>4709</v>
      </c>
      <c r="J5266" t="s">
        <v>32933</v>
      </c>
      <c r="K5266" t="s">
        <v>38488</v>
      </c>
      <c r="M5266" t="s">
        <v>40081</v>
      </c>
      <c r="N5266" t="s">
        <v>42669</v>
      </c>
      <c r="O5266" t="s">
        <v>42670</v>
      </c>
      <c r="P5266">
        <v>0</v>
      </c>
      <c r="Q5266">
        <v>1</v>
      </c>
      <c r="R5266" t="s">
        <v>42676</v>
      </c>
      <c r="S5266" t="s">
        <v>42809</v>
      </c>
      <c r="T5266" t="s">
        <v>44418</v>
      </c>
      <c r="U5266" t="s">
        <v>49116</v>
      </c>
      <c r="W5266" t="s">
        <v>40081</v>
      </c>
      <c r="X5266" t="s">
        <v>42677</v>
      </c>
    </row>
    <row r="5267" spans="1:24">
      <c r="A5267">
        <f>HYPERLINK("https://www.philgeps.gov.ph/GEPSNONPILOT/Tender/SplashBidNoticeAbstractUI.aspx?menuIndex=3&amp;refID=7189780&amp;Result=3","7189780")</f>
        <v>0</v>
      </c>
      <c r="B5267" t="s">
        <v>1852</v>
      </c>
      <c r="C5267" t="s">
        <v>8576</v>
      </c>
      <c r="D5267" t="s">
        <v>17206</v>
      </c>
      <c r="E5267" t="s">
        <v>21800</v>
      </c>
      <c r="F5267" t="s">
        <v>29372</v>
      </c>
      <c r="G5267" t="s">
        <v>29379</v>
      </c>
      <c r="H5267" t="s">
        <v>11048</v>
      </c>
      <c r="I5267" t="s">
        <v>3839</v>
      </c>
      <c r="J5267" t="s">
        <v>32934</v>
      </c>
      <c r="K5267" t="s">
        <v>38490</v>
      </c>
      <c r="M5267" t="s">
        <v>40725</v>
      </c>
      <c r="N5267" t="s">
        <v>42669</v>
      </c>
      <c r="O5267" t="s">
        <v>42670</v>
      </c>
      <c r="P5267">
        <v>0</v>
      </c>
      <c r="Q5267">
        <v>0</v>
      </c>
      <c r="R5267" t="s">
        <v>42676</v>
      </c>
      <c r="S5267" t="s">
        <v>42809</v>
      </c>
      <c r="T5267" t="s">
        <v>44432</v>
      </c>
      <c r="U5267" t="s">
        <v>49117</v>
      </c>
      <c r="W5267" t="s">
        <v>40725</v>
      </c>
      <c r="X5267" t="s">
        <v>42677</v>
      </c>
    </row>
    <row r="5268" spans="1:24">
      <c r="A5268">
        <f>HYPERLINK("https://www.philgeps.gov.ph/GEPSNONPILOT/Tender/SplashBidNoticeAbstractUI.aspx?menuIndex=3&amp;refID=7189778&amp;Result=3","7189778")</f>
        <v>0</v>
      </c>
      <c r="B5268" t="s">
        <v>1853</v>
      </c>
      <c r="C5268" t="s">
        <v>8577</v>
      </c>
      <c r="D5268" t="s">
        <v>17141</v>
      </c>
      <c r="E5268" t="s">
        <v>21801</v>
      </c>
      <c r="F5268" t="s">
        <v>29372</v>
      </c>
      <c r="G5268" t="s">
        <v>29380</v>
      </c>
      <c r="H5268" t="s">
        <v>11048</v>
      </c>
      <c r="I5268" t="s">
        <v>29412</v>
      </c>
      <c r="J5268" t="s">
        <v>32935</v>
      </c>
      <c r="K5268" t="s">
        <v>38489</v>
      </c>
      <c r="M5268" t="s">
        <v>40726</v>
      </c>
      <c r="N5268" t="s">
        <v>42669</v>
      </c>
      <c r="O5268" t="s">
        <v>42670</v>
      </c>
      <c r="P5268">
        <v>0</v>
      </c>
      <c r="Q5268">
        <v>6</v>
      </c>
      <c r="R5268" t="s">
        <v>42676</v>
      </c>
      <c r="S5268" t="s">
        <v>42809</v>
      </c>
      <c r="T5268" t="s">
        <v>44371</v>
      </c>
      <c r="U5268" t="s">
        <v>49118</v>
      </c>
      <c r="V5268" t="s">
        <v>56949</v>
      </c>
      <c r="W5268" t="s">
        <v>40726</v>
      </c>
      <c r="X5268" t="s">
        <v>42677</v>
      </c>
    </row>
    <row r="5269" spans="1:24">
      <c r="A5269">
        <f>HYPERLINK("https://www.philgeps.gov.ph/GEPSNONPILOT/Tender/SplashBidNoticeAbstractUI.aspx?menuIndex=3&amp;refID=7189775&amp;Result=3","7189775")</f>
        <v>0</v>
      </c>
      <c r="B5269" t="s">
        <v>1287</v>
      </c>
      <c r="C5269" t="s">
        <v>8578</v>
      </c>
      <c r="D5269" t="s">
        <v>17153</v>
      </c>
      <c r="E5269" t="s">
        <v>21802</v>
      </c>
      <c r="F5269" t="s">
        <v>29372</v>
      </c>
      <c r="G5269" t="s">
        <v>29379</v>
      </c>
      <c r="H5269" t="s">
        <v>11048</v>
      </c>
      <c r="I5269" t="s">
        <v>29465</v>
      </c>
      <c r="J5269" t="s">
        <v>29694</v>
      </c>
      <c r="K5269" t="s">
        <v>38490</v>
      </c>
      <c r="M5269" t="s">
        <v>40724</v>
      </c>
      <c r="N5269" t="s">
        <v>42669</v>
      </c>
      <c r="O5269" t="s">
        <v>42670</v>
      </c>
      <c r="P5269">
        <v>0</v>
      </c>
      <c r="Q5269">
        <v>1</v>
      </c>
      <c r="R5269" t="s">
        <v>42676</v>
      </c>
      <c r="S5269" t="s">
        <v>42809</v>
      </c>
      <c r="T5269" t="s">
        <v>44493</v>
      </c>
      <c r="U5269" t="s">
        <v>49119</v>
      </c>
      <c r="W5269" t="s">
        <v>40724</v>
      </c>
      <c r="X5269" t="s">
        <v>42677</v>
      </c>
    </row>
    <row r="5270" spans="1:24">
      <c r="A5270">
        <f>HYPERLINK("https://www.philgeps.gov.ph/GEPSNONPILOT/Tender/SplashBidNoticeAbstractUI.aspx?menuIndex=3&amp;refID=7189737&amp;Result=3","7189737")</f>
        <v>0</v>
      </c>
      <c r="B5270" t="s">
        <v>1845</v>
      </c>
      <c r="C5270" t="s">
        <v>8579</v>
      </c>
      <c r="D5270" t="s">
        <v>17187</v>
      </c>
      <c r="E5270" t="s">
        <v>21803</v>
      </c>
      <c r="F5270" t="s">
        <v>29372</v>
      </c>
      <c r="G5270" t="s">
        <v>29383</v>
      </c>
      <c r="H5270" t="s">
        <v>11048</v>
      </c>
      <c r="I5270" t="s">
        <v>29423</v>
      </c>
      <c r="J5270" t="s">
        <v>31129</v>
      </c>
      <c r="K5270" t="s">
        <v>38510</v>
      </c>
      <c r="M5270" t="s">
        <v>40716</v>
      </c>
      <c r="N5270" t="s">
        <v>42669</v>
      </c>
      <c r="O5270" t="s">
        <v>42670</v>
      </c>
      <c r="P5270">
        <v>0</v>
      </c>
      <c r="Q5270">
        <v>3</v>
      </c>
      <c r="R5270" t="s">
        <v>42676</v>
      </c>
      <c r="S5270" t="s">
        <v>42809</v>
      </c>
      <c r="T5270" t="s">
        <v>44417</v>
      </c>
      <c r="U5270" t="s">
        <v>49120</v>
      </c>
      <c r="V5270" t="s">
        <v>56946</v>
      </c>
      <c r="W5270" t="s">
        <v>40716</v>
      </c>
      <c r="X5270" t="s">
        <v>42677</v>
      </c>
    </row>
    <row r="5271" spans="1:24">
      <c r="A5271">
        <f>HYPERLINK("https://www.philgeps.gov.ph/GEPSNONPILOT/Tender/SplashBidNoticeAbstractUI.aspx?menuIndex=3&amp;refID=7189768&amp;Result=3","7189768")</f>
        <v>0</v>
      </c>
      <c r="B5271" t="s">
        <v>1854</v>
      </c>
      <c r="C5271" t="s">
        <v>8580</v>
      </c>
      <c r="D5271" t="s">
        <v>17141</v>
      </c>
      <c r="E5271" t="s">
        <v>21804</v>
      </c>
      <c r="F5271" t="s">
        <v>29372</v>
      </c>
      <c r="G5271" t="s">
        <v>29380</v>
      </c>
      <c r="H5271" t="s">
        <v>11048</v>
      </c>
      <c r="I5271" t="s">
        <v>29400</v>
      </c>
      <c r="J5271" t="s">
        <v>32936</v>
      </c>
      <c r="K5271" t="s">
        <v>38490</v>
      </c>
      <c r="L5271" t="s">
        <v>1854</v>
      </c>
      <c r="M5271" t="s">
        <v>40727</v>
      </c>
      <c r="N5271" t="s">
        <v>42669</v>
      </c>
      <c r="O5271" t="s">
        <v>42670</v>
      </c>
      <c r="P5271">
        <v>0</v>
      </c>
      <c r="Q5271">
        <v>35</v>
      </c>
      <c r="R5271" t="s">
        <v>42676</v>
      </c>
      <c r="S5271" t="s">
        <v>42809</v>
      </c>
      <c r="T5271" t="s">
        <v>44442</v>
      </c>
      <c r="U5271" t="s">
        <v>49121</v>
      </c>
      <c r="W5271" t="s">
        <v>40727</v>
      </c>
      <c r="X5271" t="s">
        <v>42677</v>
      </c>
    </row>
    <row r="5272" spans="1:24">
      <c r="A5272">
        <f>HYPERLINK("https://www.philgeps.gov.ph/GEPSNONPILOT/Tender/SplashBidNoticeAbstractUI.aspx?menuIndex=3&amp;refID=7189765&amp;Result=3","7189765")</f>
        <v>0</v>
      </c>
      <c r="B5272" t="s">
        <v>1855</v>
      </c>
      <c r="C5272" t="s">
        <v>8581</v>
      </c>
      <c r="D5272" t="s">
        <v>17141</v>
      </c>
      <c r="E5272" t="s">
        <v>21805</v>
      </c>
      <c r="F5272" t="s">
        <v>29372</v>
      </c>
      <c r="G5272" t="s">
        <v>29379</v>
      </c>
      <c r="H5272" t="s">
        <v>11048</v>
      </c>
      <c r="I5272" t="s">
        <v>3670</v>
      </c>
      <c r="J5272" t="s">
        <v>29555</v>
      </c>
      <c r="K5272" t="s">
        <v>38485</v>
      </c>
      <c r="M5272" t="s">
        <v>40728</v>
      </c>
      <c r="N5272" t="s">
        <v>42669</v>
      </c>
      <c r="O5272" t="s">
        <v>42670</v>
      </c>
      <c r="P5272">
        <v>0</v>
      </c>
      <c r="Q5272">
        <v>0</v>
      </c>
      <c r="R5272" t="s">
        <v>42676</v>
      </c>
      <c r="S5272" t="s">
        <v>42809</v>
      </c>
      <c r="T5272" t="s">
        <v>44371</v>
      </c>
      <c r="U5272" t="s">
        <v>49122</v>
      </c>
      <c r="W5272" t="s">
        <v>40728</v>
      </c>
      <c r="X5272" t="s">
        <v>42677</v>
      </c>
    </row>
    <row r="5273" spans="1:24">
      <c r="A5273">
        <f>HYPERLINK("https://www.philgeps.gov.ph/GEPSNONPILOT/Tender/SplashBidNoticeAbstractUI.aspx?menuIndex=3&amp;refID=7189776&amp;Result=3","7189776")</f>
        <v>0</v>
      </c>
      <c r="B5273" t="s">
        <v>1854</v>
      </c>
      <c r="C5273" t="s">
        <v>8582</v>
      </c>
      <c r="D5273" t="s">
        <v>17141</v>
      </c>
      <c r="E5273" t="s">
        <v>21806</v>
      </c>
      <c r="F5273" t="s">
        <v>29372</v>
      </c>
      <c r="G5273" t="s">
        <v>29380</v>
      </c>
      <c r="H5273" t="s">
        <v>11048</v>
      </c>
      <c r="I5273" t="s">
        <v>29400</v>
      </c>
      <c r="J5273" t="s">
        <v>32937</v>
      </c>
      <c r="K5273" t="s">
        <v>38490</v>
      </c>
      <c r="L5273" t="s">
        <v>1854</v>
      </c>
      <c r="M5273" t="s">
        <v>40727</v>
      </c>
      <c r="N5273" t="s">
        <v>42669</v>
      </c>
      <c r="O5273" t="s">
        <v>42670</v>
      </c>
      <c r="P5273">
        <v>0</v>
      </c>
      <c r="Q5273">
        <v>11</v>
      </c>
      <c r="R5273" t="s">
        <v>42676</v>
      </c>
      <c r="S5273" t="s">
        <v>42809</v>
      </c>
      <c r="T5273" t="s">
        <v>44442</v>
      </c>
      <c r="U5273" t="s">
        <v>49121</v>
      </c>
      <c r="W5273" t="s">
        <v>40727</v>
      </c>
      <c r="X5273" t="s">
        <v>42677</v>
      </c>
    </row>
    <row r="5274" spans="1:24">
      <c r="A5274">
        <f>HYPERLINK("https://www.philgeps.gov.ph/GEPSNONPILOT/Tender/SplashBidNoticeAbstractUI.aspx?menuIndex=3&amp;refID=7189764&amp;Result=3","7189764")</f>
        <v>0</v>
      </c>
      <c r="B5274" t="s">
        <v>602</v>
      </c>
      <c r="C5274" t="s">
        <v>4662</v>
      </c>
      <c r="D5274" t="s">
        <v>17189</v>
      </c>
      <c r="E5274" t="s">
        <v>18665</v>
      </c>
      <c r="F5274" t="s">
        <v>29375</v>
      </c>
      <c r="G5274" t="s">
        <v>29383</v>
      </c>
      <c r="H5274" t="s">
        <v>11048</v>
      </c>
      <c r="I5274" t="s">
        <v>4487</v>
      </c>
      <c r="J5274" t="s">
        <v>30100</v>
      </c>
      <c r="K5274" t="s">
        <v>38528</v>
      </c>
      <c r="M5274" t="s">
        <v>39373</v>
      </c>
      <c r="N5274" t="s">
        <v>42669</v>
      </c>
      <c r="O5274" t="s">
        <v>42670</v>
      </c>
      <c r="P5274">
        <v>0</v>
      </c>
      <c r="Q5274">
        <v>2</v>
      </c>
      <c r="R5274" t="s">
        <v>42676</v>
      </c>
      <c r="S5274" t="s">
        <v>42809</v>
      </c>
      <c r="T5274" t="s">
        <v>44690</v>
      </c>
      <c r="U5274" t="s">
        <v>49123</v>
      </c>
      <c r="W5274" t="s">
        <v>39373</v>
      </c>
      <c r="X5274" t="s">
        <v>42677</v>
      </c>
    </row>
    <row r="5275" spans="1:24">
      <c r="A5275">
        <f>HYPERLINK("https://www.philgeps.gov.ph/GEPSNONPILOT/Tender/SplashBidNoticeAbstractUI.aspx?menuIndex=3&amp;refID=7189762&amp;Result=3","7189762")</f>
        <v>0</v>
      </c>
      <c r="B5275" t="s">
        <v>1397</v>
      </c>
      <c r="C5275" t="s">
        <v>8583</v>
      </c>
      <c r="E5275" t="s">
        <v>21807</v>
      </c>
      <c r="F5275" t="s">
        <v>29372</v>
      </c>
      <c r="G5275" t="s">
        <v>29384</v>
      </c>
      <c r="H5275" t="s">
        <v>11048</v>
      </c>
      <c r="I5275" t="s">
        <v>29407</v>
      </c>
      <c r="J5275" t="s">
        <v>32938</v>
      </c>
      <c r="K5275" t="s">
        <v>38488</v>
      </c>
      <c r="M5275" t="s">
        <v>40236</v>
      </c>
      <c r="N5275" t="s">
        <v>42669</v>
      </c>
      <c r="O5275" t="s">
        <v>42670</v>
      </c>
      <c r="P5275">
        <v>0</v>
      </c>
      <c r="Q5275">
        <v>5</v>
      </c>
      <c r="R5275" t="s">
        <v>42676</v>
      </c>
      <c r="S5275" t="s">
        <v>42809</v>
      </c>
      <c r="T5275" t="s">
        <v>44559</v>
      </c>
      <c r="U5275" t="s">
        <v>49124</v>
      </c>
      <c r="V5275" t="s">
        <v>56950</v>
      </c>
      <c r="W5275" t="s">
        <v>40236</v>
      </c>
      <c r="X5275" t="s">
        <v>42677</v>
      </c>
    </row>
    <row r="5276" spans="1:24">
      <c r="A5276">
        <f>HYPERLINK("https://www.philgeps.gov.ph/GEPSNONPILOT/Tender/SplashBidNoticeAbstractUI.aspx?menuIndex=3&amp;refID=7189787&amp;Result=3","7189787")</f>
        <v>0</v>
      </c>
      <c r="B5276" t="s">
        <v>1854</v>
      </c>
      <c r="C5276" t="s">
        <v>8584</v>
      </c>
      <c r="D5276" t="s">
        <v>17141</v>
      </c>
      <c r="E5276" t="s">
        <v>21808</v>
      </c>
      <c r="F5276" t="s">
        <v>29372</v>
      </c>
      <c r="G5276" t="s">
        <v>29380</v>
      </c>
      <c r="H5276" t="s">
        <v>11048</v>
      </c>
      <c r="I5276" t="s">
        <v>29407</v>
      </c>
      <c r="J5276" t="s">
        <v>32939</v>
      </c>
      <c r="K5276" t="s">
        <v>38490</v>
      </c>
      <c r="L5276" t="s">
        <v>1854</v>
      </c>
      <c r="M5276" t="s">
        <v>40727</v>
      </c>
      <c r="N5276" t="s">
        <v>42669</v>
      </c>
      <c r="O5276" t="s">
        <v>42670</v>
      </c>
      <c r="P5276">
        <v>0</v>
      </c>
      <c r="Q5276">
        <v>9</v>
      </c>
      <c r="R5276" t="s">
        <v>42676</v>
      </c>
      <c r="S5276" t="s">
        <v>42809</v>
      </c>
      <c r="T5276" t="s">
        <v>44442</v>
      </c>
      <c r="U5276" t="s">
        <v>49121</v>
      </c>
      <c r="W5276" t="s">
        <v>40727</v>
      </c>
      <c r="X5276" t="s">
        <v>42677</v>
      </c>
    </row>
    <row r="5277" spans="1:24">
      <c r="A5277">
        <f>HYPERLINK("https://www.philgeps.gov.ph/GEPSNONPILOT/Tender/SplashBidNoticeAbstractUI.aspx?menuIndex=3&amp;refID=7189760&amp;Result=3","7189760")</f>
        <v>0</v>
      </c>
      <c r="B5277" t="s">
        <v>1847</v>
      </c>
      <c r="C5277" t="s">
        <v>8585</v>
      </c>
      <c r="D5277" t="s">
        <v>17141</v>
      </c>
      <c r="E5277" t="s">
        <v>21809</v>
      </c>
      <c r="F5277" t="s">
        <v>29372</v>
      </c>
      <c r="G5277" t="s">
        <v>29379</v>
      </c>
      <c r="H5277" t="s">
        <v>11048</v>
      </c>
      <c r="I5277" t="s">
        <v>8614</v>
      </c>
      <c r="J5277" t="s">
        <v>29729</v>
      </c>
      <c r="K5277" t="s">
        <v>38490</v>
      </c>
      <c r="M5277" t="s">
        <v>40718</v>
      </c>
      <c r="N5277" t="s">
        <v>42669</v>
      </c>
      <c r="O5277" t="s">
        <v>42670</v>
      </c>
      <c r="P5277">
        <v>0</v>
      </c>
      <c r="Q5277">
        <v>4</v>
      </c>
      <c r="R5277" t="s">
        <v>42676</v>
      </c>
      <c r="S5277" t="s">
        <v>42809</v>
      </c>
      <c r="T5277" t="s">
        <v>44441</v>
      </c>
      <c r="U5277" t="s">
        <v>49125</v>
      </c>
      <c r="W5277" t="s">
        <v>40718</v>
      </c>
      <c r="X5277" t="s">
        <v>42677</v>
      </c>
    </row>
    <row r="5278" spans="1:24">
      <c r="A5278">
        <f>HYPERLINK("https://www.philgeps.gov.ph/GEPSNONPILOT/Tender/SplashBidNoticeAbstractUI.aspx?menuIndex=3&amp;refID=7189755&amp;Result=3","7189755")</f>
        <v>0</v>
      </c>
      <c r="B5278" t="s">
        <v>895</v>
      </c>
      <c r="C5278" t="s">
        <v>8586</v>
      </c>
      <c r="D5278" t="s">
        <v>17197</v>
      </c>
      <c r="E5278" t="s">
        <v>21810</v>
      </c>
      <c r="F5278" t="s">
        <v>29372</v>
      </c>
      <c r="G5278" t="s">
        <v>29379</v>
      </c>
      <c r="H5278" t="s">
        <v>29390</v>
      </c>
      <c r="I5278" t="s">
        <v>3839</v>
      </c>
      <c r="J5278" t="s">
        <v>31983</v>
      </c>
      <c r="K5278" t="s">
        <v>38510</v>
      </c>
      <c r="M5278" t="s">
        <v>39688</v>
      </c>
      <c r="N5278" t="s">
        <v>42669</v>
      </c>
      <c r="O5278" t="s">
        <v>42670</v>
      </c>
      <c r="P5278">
        <v>0</v>
      </c>
      <c r="Q5278">
        <v>0</v>
      </c>
      <c r="R5278" t="s">
        <v>42676</v>
      </c>
      <c r="S5278" t="s">
        <v>42809</v>
      </c>
      <c r="T5278" t="s">
        <v>44382</v>
      </c>
      <c r="U5278" t="s">
        <v>49126</v>
      </c>
      <c r="W5278" t="s">
        <v>39688</v>
      </c>
      <c r="X5278" t="s">
        <v>42677</v>
      </c>
    </row>
    <row r="5279" spans="1:24">
      <c r="A5279">
        <f>HYPERLINK("https://www.philgeps.gov.ph/GEPSNONPILOT/Tender/SplashBidNoticeAbstractUI.aspx?menuIndex=3&amp;refID=7189782&amp;Result=3","7189782")</f>
        <v>0</v>
      </c>
      <c r="B5279" t="s">
        <v>1854</v>
      </c>
      <c r="C5279" t="s">
        <v>8587</v>
      </c>
      <c r="D5279" t="s">
        <v>17141</v>
      </c>
      <c r="E5279" t="s">
        <v>21811</v>
      </c>
      <c r="F5279" t="s">
        <v>29372</v>
      </c>
      <c r="G5279" t="s">
        <v>29380</v>
      </c>
      <c r="H5279" t="s">
        <v>11048</v>
      </c>
      <c r="I5279" t="s">
        <v>29433</v>
      </c>
      <c r="J5279" t="s">
        <v>32940</v>
      </c>
      <c r="K5279" t="s">
        <v>38490</v>
      </c>
      <c r="L5279" t="s">
        <v>1854</v>
      </c>
      <c r="M5279" t="s">
        <v>40727</v>
      </c>
      <c r="N5279" t="s">
        <v>42669</v>
      </c>
      <c r="O5279" t="s">
        <v>42670</v>
      </c>
      <c r="P5279">
        <v>0</v>
      </c>
      <c r="Q5279">
        <v>27</v>
      </c>
      <c r="R5279" t="s">
        <v>42676</v>
      </c>
      <c r="S5279" t="s">
        <v>42809</v>
      </c>
      <c r="T5279" t="s">
        <v>44442</v>
      </c>
      <c r="U5279" t="s">
        <v>49121</v>
      </c>
      <c r="W5279" t="s">
        <v>40727</v>
      </c>
      <c r="X5279" t="s">
        <v>42677</v>
      </c>
    </row>
    <row r="5280" spans="1:24">
      <c r="A5280">
        <f>HYPERLINK("https://www.philgeps.gov.ph/GEPSNONPILOT/Tender/SplashBidNoticeAbstractUI.aspx?menuIndex=3&amp;refID=7189721&amp;Result=3","7189721")</f>
        <v>0</v>
      </c>
      <c r="B5280" t="s">
        <v>1835</v>
      </c>
      <c r="C5280" t="s">
        <v>8588</v>
      </c>
      <c r="D5280" t="s">
        <v>17171</v>
      </c>
      <c r="E5280" t="s">
        <v>21812</v>
      </c>
      <c r="F5280" t="s">
        <v>29373</v>
      </c>
      <c r="G5280" t="s">
        <v>29379</v>
      </c>
      <c r="H5280" t="s">
        <v>11048</v>
      </c>
      <c r="I5280" t="s">
        <v>3839</v>
      </c>
      <c r="J5280" t="s">
        <v>32941</v>
      </c>
      <c r="K5280" t="s">
        <v>38528</v>
      </c>
      <c r="M5280" t="s">
        <v>40706</v>
      </c>
      <c r="N5280" t="s">
        <v>42669</v>
      </c>
      <c r="O5280" t="s">
        <v>42670</v>
      </c>
      <c r="P5280">
        <v>0</v>
      </c>
      <c r="Q5280">
        <v>2</v>
      </c>
      <c r="R5280" t="s">
        <v>42676</v>
      </c>
      <c r="S5280" t="s">
        <v>42809</v>
      </c>
      <c r="T5280" t="s">
        <v>44394</v>
      </c>
      <c r="U5280" t="s">
        <v>49127</v>
      </c>
      <c r="W5280" t="s">
        <v>40706</v>
      </c>
      <c r="X5280" t="s">
        <v>42677</v>
      </c>
    </row>
    <row r="5281" spans="1:24">
      <c r="A5281">
        <f>HYPERLINK("https://www.philgeps.gov.ph/GEPSNONPILOT/Tender/SplashBidNoticeAbstractUI.aspx?menuIndex=3&amp;refID=7189810&amp;Result=3","7189810")</f>
        <v>0</v>
      </c>
      <c r="B5281" t="s">
        <v>1287</v>
      </c>
      <c r="C5281" t="s">
        <v>8589</v>
      </c>
      <c r="D5281" t="s">
        <v>17194</v>
      </c>
      <c r="E5281" t="s">
        <v>19113</v>
      </c>
      <c r="F5281" t="s">
        <v>29372</v>
      </c>
      <c r="G5281" t="s">
        <v>29379</v>
      </c>
      <c r="H5281" t="s">
        <v>11048</v>
      </c>
      <c r="I5281" t="s">
        <v>29465</v>
      </c>
      <c r="J5281" t="s">
        <v>29929</v>
      </c>
      <c r="K5281" t="s">
        <v>38490</v>
      </c>
      <c r="M5281" t="s">
        <v>40724</v>
      </c>
      <c r="N5281" t="s">
        <v>42669</v>
      </c>
      <c r="O5281" t="s">
        <v>42670</v>
      </c>
      <c r="P5281">
        <v>0</v>
      </c>
      <c r="Q5281">
        <v>0</v>
      </c>
      <c r="R5281" t="s">
        <v>42676</v>
      </c>
      <c r="S5281" t="s">
        <v>42809</v>
      </c>
      <c r="T5281" t="s">
        <v>44493</v>
      </c>
      <c r="U5281" t="s">
        <v>49128</v>
      </c>
      <c r="W5281" t="s">
        <v>40724</v>
      </c>
      <c r="X5281" t="s">
        <v>42677</v>
      </c>
    </row>
    <row r="5282" spans="1:24">
      <c r="A5282">
        <f>HYPERLINK("https://www.philgeps.gov.ph/GEPSNONPILOT/Tender/SplashBidNoticeAbstractUI.aspx?menuIndex=3&amp;refID=7189763&amp;Result=3","7189763")</f>
        <v>0</v>
      </c>
      <c r="B5282" t="s">
        <v>1287</v>
      </c>
      <c r="C5282" t="s">
        <v>8590</v>
      </c>
      <c r="D5282" t="s">
        <v>17153</v>
      </c>
      <c r="E5282" t="s">
        <v>21813</v>
      </c>
      <c r="F5282" t="s">
        <v>29372</v>
      </c>
      <c r="G5282" t="s">
        <v>29379</v>
      </c>
      <c r="H5282" t="s">
        <v>11048</v>
      </c>
      <c r="I5282" t="s">
        <v>29407</v>
      </c>
      <c r="J5282" t="s">
        <v>32942</v>
      </c>
      <c r="K5282" t="s">
        <v>38488</v>
      </c>
      <c r="M5282" t="s">
        <v>40724</v>
      </c>
      <c r="N5282" t="s">
        <v>42669</v>
      </c>
      <c r="O5282" t="s">
        <v>42670</v>
      </c>
      <c r="P5282">
        <v>0</v>
      </c>
      <c r="Q5282">
        <v>10</v>
      </c>
      <c r="R5282" t="s">
        <v>42676</v>
      </c>
      <c r="S5282" t="s">
        <v>42809</v>
      </c>
      <c r="T5282" t="s">
        <v>44493</v>
      </c>
      <c r="U5282" t="s">
        <v>49129</v>
      </c>
      <c r="W5282" t="s">
        <v>40724</v>
      </c>
      <c r="X5282" t="s">
        <v>42677</v>
      </c>
    </row>
    <row r="5283" spans="1:24">
      <c r="A5283">
        <f>HYPERLINK("https://www.philgeps.gov.ph/GEPSNONPILOT/Tender/SplashBidNoticeAbstractUI.aspx?menuIndex=3&amp;refID=7189823&amp;Result=3","7189823")</f>
        <v>0</v>
      </c>
      <c r="B5283" t="s">
        <v>1287</v>
      </c>
      <c r="C5283" t="s">
        <v>8591</v>
      </c>
      <c r="D5283" t="s">
        <v>17153</v>
      </c>
      <c r="E5283" t="s">
        <v>20803</v>
      </c>
      <c r="F5283" t="s">
        <v>29372</v>
      </c>
      <c r="G5283" t="s">
        <v>29379</v>
      </c>
      <c r="H5283" t="s">
        <v>11048</v>
      </c>
      <c r="I5283" t="s">
        <v>3839</v>
      </c>
      <c r="J5283" t="s">
        <v>32943</v>
      </c>
      <c r="K5283" t="s">
        <v>38518</v>
      </c>
      <c r="M5283" t="s">
        <v>40724</v>
      </c>
      <c r="N5283" t="s">
        <v>42669</v>
      </c>
      <c r="O5283" t="s">
        <v>42670</v>
      </c>
      <c r="P5283">
        <v>0</v>
      </c>
      <c r="Q5283">
        <v>4</v>
      </c>
      <c r="R5283" t="s">
        <v>42676</v>
      </c>
      <c r="S5283" t="s">
        <v>42809</v>
      </c>
      <c r="T5283" t="s">
        <v>44493</v>
      </c>
      <c r="U5283" t="s">
        <v>49130</v>
      </c>
      <c r="W5283" t="s">
        <v>40724</v>
      </c>
      <c r="X5283" t="s">
        <v>42677</v>
      </c>
    </row>
    <row r="5284" spans="1:24">
      <c r="A5284">
        <f>HYPERLINK("https://www.philgeps.gov.ph/GEPSNONPILOT/Tender/SplashBidNoticeAbstractUI.aspx?menuIndex=3&amp;refID=7189758&amp;Result=3","7189758")</f>
        <v>0</v>
      </c>
      <c r="B5284" t="s">
        <v>1812</v>
      </c>
      <c r="C5284" t="s">
        <v>8592</v>
      </c>
      <c r="D5284" t="s">
        <v>17194</v>
      </c>
      <c r="E5284" t="s">
        <v>21814</v>
      </c>
      <c r="F5284" t="s">
        <v>29372</v>
      </c>
      <c r="G5284" t="s">
        <v>29379</v>
      </c>
      <c r="H5284" t="s">
        <v>11048</v>
      </c>
      <c r="I5284" t="s">
        <v>29451</v>
      </c>
      <c r="J5284" t="s">
        <v>29555</v>
      </c>
      <c r="K5284" t="s">
        <v>38490</v>
      </c>
      <c r="M5284" t="s">
        <v>40683</v>
      </c>
      <c r="N5284" t="s">
        <v>42669</v>
      </c>
      <c r="O5284" t="s">
        <v>42670</v>
      </c>
      <c r="P5284">
        <v>0</v>
      </c>
      <c r="Q5284">
        <v>2</v>
      </c>
      <c r="R5284" t="s">
        <v>42676</v>
      </c>
      <c r="S5284" t="s">
        <v>42809</v>
      </c>
      <c r="T5284" t="s">
        <v>44354</v>
      </c>
      <c r="U5284" t="s">
        <v>49010</v>
      </c>
      <c r="W5284" t="s">
        <v>40683</v>
      </c>
      <c r="X5284" t="s">
        <v>42677</v>
      </c>
    </row>
    <row r="5285" spans="1:24">
      <c r="A5285">
        <f>HYPERLINK("https://www.philgeps.gov.ph/GEPSNONPILOT/Tender/SplashBidNoticeAbstractUI.aspx?menuIndex=3&amp;refID=7189818&amp;Result=3","7189818")</f>
        <v>0</v>
      </c>
      <c r="B5285" t="s">
        <v>1856</v>
      </c>
      <c r="C5285" t="s">
        <v>8593</v>
      </c>
      <c r="E5285" t="s">
        <v>21815</v>
      </c>
      <c r="F5285" t="s">
        <v>29372</v>
      </c>
      <c r="G5285" t="s">
        <v>29381</v>
      </c>
      <c r="H5285" t="s">
        <v>11048</v>
      </c>
      <c r="I5285" t="s">
        <v>29404</v>
      </c>
      <c r="J5285" t="s">
        <v>32944</v>
      </c>
      <c r="K5285" t="s">
        <v>38518</v>
      </c>
      <c r="M5285" t="s">
        <v>40729</v>
      </c>
      <c r="N5285" t="s">
        <v>42669</v>
      </c>
      <c r="O5285" t="s">
        <v>42670</v>
      </c>
      <c r="P5285">
        <v>0</v>
      </c>
      <c r="Q5285">
        <v>0</v>
      </c>
      <c r="R5285" t="s">
        <v>42676</v>
      </c>
      <c r="S5285" t="s">
        <v>42809</v>
      </c>
      <c r="T5285" t="s">
        <v>44414</v>
      </c>
      <c r="U5285" t="s">
        <v>49131</v>
      </c>
      <c r="W5285" t="s">
        <v>40729</v>
      </c>
      <c r="X5285" t="s">
        <v>42677</v>
      </c>
    </row>
    <row r="5286" spans="1:24">
      <c r="A5286">
        <f>HYPERLINK("https://www.philgeps.gov.ph/GEPSNONPILOT/Tender/SplashBidNoticeAbstractUI.aspx?menuIndex=3&amp;refID=7189772&amp;Result=3","7189772")</f>
        <v>0</v>
      </c>
      <c r="B5286" t="s">
        <v>1822</v>
      </c>
      <c r="C5286" t="s">
        <v>8594</v>
      </c>
      <c r="D5286" t="s">
        <v>17177</v>
      </c>
      <c r="E5286" t="s">
        <v>17545</v>
      </c>
      <c r="F5286" t="s">
        <v>29372</v>
      </c>
      <c r="G5286" t="s">
        <v>29383</v>
      </c>
      <c r="H5286" t="s">
        <v>11048</v>
      </c>
      <c r="I5286" t="s">
        <v>4709</v>
      </c>
      <c r="J5286" t="s">
        <v>32945</v>
      </c>
      <c r="K5286" t="s">
        <v>38510</v>
      </c>
      <c r="M5286" t="s">
        <v>40693</v>
      </c>
      <c r="N5286" t="s">
        <v>42669</v>
      </c>
      <c r="O5286" t="s">
        <v>42670</v>
      </c>
      <c r="P5286">
        <v>0</v>
      </c>
      <c r="Q5286">
        <v>0</v>
      </c>
      <c r="R5286" t="s">
        <v>42676</v>
      </c>
      <c r="S5286" t="s">
        <v>42809</v>
      </c>
      <c r="T5286" t="s">
        <v>44544</v>
      </c>
      <c r="U5286" t="s">
        <v>49132</v>
      </c>
      <c r="W5286" t="s">
        <v>40693</v>
      </c>
      <c r="X5286" t="s">
        <v>42677</v>
      </c>
    </row>
    <row r="5287" spans="1:24">
      <c r="A5287">
        <f>HYPERLINK("https://www.philgeps.gov.ph/GEPSNONPILOT/Tender/SplashBidNoticeAbstractUI.aspx?menuIndex=3&amp;refID=7189814&amp;Result=3","7189814")</f>
        <v>0</v>
      </c>
      <c r="B5287" t="s">
        <v>882</v>
      </c>
      <c r="C5287" t="s">
        <v>8595</v>
      </c>
      <c r="D5287" t="s">
        <v>17193</v>
      </c>
      <c r="E5287" t="s">
        <v>21816</v>
      </c>
      <c r="F5287" t="s">
        <v>29372</v>
      </c>
      <c r="G5287" t="s">
        <v>29380</v>
      </c>
      <c r="H5287" t="s">
        <v>11048</v>
      </c>
      <c r="I5287" t="s">
        <v>14920</v>
      </c>
      <c r="J5287" t="s">
        <v>32946</v>
      </c>
      <c r="K5287" t="s">
        <v>38490</v>
      </c>
      <c r="M5287" t="s">
        <v>40723</v>
      </c>
      <c r="N5287" t="s">
        <v>42669</v>
      </c>
      <c r="O5287" t="s">
        <v>42670</v>
      </c>
      <c r="P5287">
        <v>0</v>
      </c>
      <c r="Q5287">
        <v>8</v>
      </c>
      <c r="R5287" t="s">
        <v>42676</v>
      </c>
      <c r="S5287" t="s">
        <v>42809</v>
      </c>
      <c r="T5287" t="s">
        <v>44544</v>
      </c>
      <c r="U5287" t="s">
        <v>49133</v>
      </c>
      <c r="V5287" t="s">
        <v>56948</v>
      </c>
      <c r="W5287" t="s">
        <v>40723</v>
      </c>
      <c r="X5287" t="s">
        <v>42677</v>
      </c>
    </row>
    <row r="5288" spans="1:24">
      <c r="A5288">
        <f>HYPERLINK("https://www.philgeps.gov.ph/GEPSNONPILOT/Tender/SplashBidNoticeAbstractUI.aspx?menuIndex=3&amp;refID=7189816&amp;Result=3","7189816")</f>
        <v>0</v>
      </c>
      <c r="B5288" t="s">
        <v>503</v>
      </c>
      <c r="C5288" t="s">
        <v>8596</v>
      </c>
      <c r="D5288" t="s">
        <v>17156</v>
      </c>
      <c r="E5288" t="s">
        <v>21817</v>
      </c>
      <c r="F5288" t="s">
        <v>29372</v>
      </c>
      <c r="G5288" t="s">
        <v>29379</v>
      </c>
      <c r="H5288" t="s">
        <v>11048</v>
      </c>
      <c r="I5288" t="s">
        <v>3839</v>
      </c>
      <c r="J5288" t="s">
        <v>29619</v>
      </c>
      <c r="K5288" t="s">
        <v>38485</v>
      </c>
      <c r="M5288" t="s">
        <v>39268</v>
      </c>
      <c r="N5288" t="s">
        <v>42669</v>
      </c>
      <c r="O5288" t="s">
        <v>42670</v>
      </c>
      <c r="P5288">
        <v>0</v>
      </c>
      <c r="Q5288">
        <v>5</v>
      </c>
      <c r="R5288" t="s">
        <v>42676</v>
      </c>
      <c r="S5288" t="s">
        <v>42809</v>
      </c>
      <c r="T5288" t="s">
        <v>44399</v>
      </c>
      <c r="U5288" t="s">
        <v>49134</v>
      </c>
      <c r="W5288" t="s">
        <v>39268</v>
      </c>
      <c r="X5288" t="s">
        <v>42677</v>
      </c>
    </row>
    <row r="5289" spans="1:24">
      <c r="A5289">
        <f>HYPERLINK("https://www.philgeps.gov.ph/GEPSNONPILOT/Tender/SplashBidNoticeAbstractUI.aspx?menuIndex=3&amp;refID=7189811&amp;Result=3","7189811")</f>
        <v>0</v>
      </c>
      <c r="B5289" t="s">
        <v>1856</v>
      </c>
      <c r="C5289" t="s">
        <v>8597</v>
      </c>
      <c r="E5289" t="s">
        <v>21818</v>
      </c>
      <c r="F5289" t="s">
        <v>29372</v>
      </c>
      <c r="G5289" t="s">
        <v>29381</v>
      </c>
      <c r="H5289" t="s">
        <v>11048</v>
      </c>
      <c r="I5289" t="s">
        <v>29404</v>
      </c>
      <c r="J5289" t="s">
        <v>32947</v>
      </c>
      <c r="K5289" t="s">
        <v>38518</v>
      </c>
      <c r="M5289" t="s">
        <v>40729</v>
      </c>
      <c r="N5289" t="s">
        <v>42669</v>
      </c>
      <c r="O5289" t="s">
        <v>42670</v>
      </c>
      <c r="P5289">
        <v>0</v>
      </c>
      <c r="Q5289">
        <v>1</v>
      </c>
      <c r="R5289" t="s">
        <v>42676</v>
      </c>
      <c r="S5289" t="s">
        <v>42809</v>
      </c>
      <c r="T5289" t="s">
        <v>44414</v>
      </c>
      <c r="U5289" t="s">
        <v>49131</v>
      </c>
      <c r="W5289" t="s">
        <v>40729</v>
      </c>
      <c r="X5289" t="s">
        <v>42677</v>
      </c>
    </row>
    <row r="5290" spans="1:24">
      <c r="A5290">
        <f>HYPERLINK("https://www.philgeps.gov.ph/GEPSNONPILOT/Tender/SplashBidNoticeAbstractUI.aspx?menuIndex=3&amp;refID=7189759&amp;Result=3","7189759")</f>
        <v>0</v>
      </c>
      <c r="B5290" t="s">
        <v>1857</v>
      </c>
      <c r="C5290" t="s">
        <v>8598</v>
      </c>
      <c r="D5290" t="s">
        <v>17189</v>
      </c>
      <c r="E5290" t="s">
        <v>17730</v>
      </c>
      <c r="F5290" t="s">
        <v>29372</v>
      </c>
      <c r="G5290" t="s">
        <v>29379</v>
      </c>
      <c r="H5290" t="s">
        <v>11048</v>
      </c>
      <c r="I5290" t="s">
        <v>29412</v>
      </c>
      <c r="J5290" t="s">
        <v>32948</v>
      </c>
      <c r="K5290" t="s">
        <v>38490</v>
      </c>
      <c r="M5290" t="s">
        <v>40730</v>
      </c>
      <c r="N5290" t="s">
        <v>42669</v>
      </c>
      <c r="O5290" t="s">
        <v>42670</v>
      </c>
      <c r="P5290">
        <v>0</v>
      </c>
      <c r="Q5290">
        <v>2</v>
      </c>
      <c r="R5290" t="s">
        <v>42676</v>
      </c>
      <c r="S5290" t="s">
        <v>42809</v>
      </c>
      <c r="T5290" t="s">
        <v>44596</v>
      </c>
      <c r="U5290" t="s">
        <v>49135</v>
      </c>
      <c r="W5290" t="s">
        <v>40730</v>
      </c>
      <c r="X5290" t="s">
        <v>42677</v>
      </c>
    </row>
    <row r="5291" spans="1:24">
      <c r="A5291">
        <f>HYPERLINK("https://www.philgeps.gov.ph/GEPSNONPILOT/Tender/SplashBidNoticeAbstractUI.aspx?menuIndex=3&amp;refID=7189806&amp;Result=3","7189806")</f>
        <v>0</v>
      </c>
      <c r="B5291" t="s">
        <v>1854</v>
      </c>
      <c r="C5291" t="s">
        <v>8599</v>
      </c>
      <c r="D5291" t="s">
        <v>17141</v>
      </c>
      <c r="E5291" t="s">
        <v>21819</v>
      </c>
      <c r="F5291" t="s">
        <v>29372</v>
      </c>
      <c r="G5291" t="s">
        <v>29381</v>
      </c>
      <c r="H5291" t="s">
        <v>11048</v>
      </c>
      <c r="I5291" t="s">
        <v>29433</v>
      </c>
      <c r="J5291" t="s">
        <v>32949</v>
      </c>
      <c r="K5291" t="s">
        <v>38490</v>
      </c>
      <c r="L5291" t="s">
        <v>1854</v>
      </c>
      <c r="M5291" t="s">
        <v>40727</v>
      </c>
      <c r="N5291" t="s">
        <v>42669</v>
      </c>
      <c r="O5291" t="s">
        <v>42670</v>
      </c>
      <c r="P5291">
        <v>0</v>
      </c>
      <c r="Q5291">
        <v>3</v>
      </c>
      <c r="R5291" t="s">
        <v>42676</v>
      </c>
      <c r="S5291" t="s">
        <v>42809</v>
      </c>
      <c r="T5291" t="s">
        <v>44442</v>
      </c>
      <c r="U5291" t="s">
        <v>49121</v>
      </c>
      <c r="W5291" t="s">
        <v>40727</v>
      </c>
      <c r="X5291" t="s">
        <v>42677</v>
      </c>
    </row>
    <row r="5292" spans="1:24">
      <c r="A5292">
        <f>HYPERLINK("https://www.philgeps.gov.ph/GEPSNONPILOT/Tender/SplashBidNoticeAbstractUI.aspx?menuIndex=3&amp;refID=7189821&amp;Result=3","7189821")</f>
        <v>0</v>
      </c>
      <c r="B5292" t="s">
        <v>1854</v>
      </c>
      <c r="C5292" t="s">
        <v>8600</v>
      </c>
      <c r="D5292" t="s">
        <v>17141</v>
      </c>
      <c r="E5292" t="s">
        <v>21820</v>
      </c>
      <c r="F5292" t="s">
        <v>29372</v>
      </c>
      <c r="G5292" t="s">
        <v>29381</v>
      </c>
      <c r="H5292" t="s">
        <v>11048</v>
      </c>
      <c r="I5292" t="s">
        <v>29433</v>
      </c>
      <c r="J5292" t="s">
        <v>29625</v>
      </c>
      <c r="K5292" t="s">
        <v>38490</v>
      </c>
      <c r="L5292" t="s">
        <v>1854</v>
      </c>
      <c r="M5292" t="s">
        <v>40727</v>
      </c>
      <c r="N5292" t="s">
        <v>42669</v>
      </c>
      <c r="O5292" t="s">
        <v>42670</v>
      </c>
      <c r="P5292">
        <v>0</v>
      </c>
      <c r="Q5292">
        <v>1</v>
      </c>
      <c r="R5292" t="s">
        <v>42676</v>
      </c>
      <c r="S5292" t="s">
        <v>42809</v>
      </c>
      <c r="T5292" t="s">
        <v>44442</v>
      </c>
      <c r="U5292" t="s">
        <v>49121</v>
      </c>
      <c r="W5292" t="s">
        <v>40727</v>
      </c>
      <c r="X5292" t="s">
        <v>42677</v>
      </c>
    </row>
    <row r="5293" spans="1:24">
      <c r="A5293">
        <f>HYPERLINK("https://www.philgeps.gov.ph/GEPSNONPILOT/Tender/SplashBidNoticeAbstractUI.aspx?menuIndex=3&amp;refID=7189804&amp;Result=3","7189804")</f>
        <v>0</v>
      </c>
      <c r="B5293" t="s">
        <v>1854</v>
      </c>
      <c r="C5293" t="s">
        <v>8601</v>
      </c>
      <c r="D5293" t="s">
        <v>17141</v>
      </c>
      <c r="E5293" t="s">
        <v>21821</v>
      </c>
      <c r="F5293" t="s">
        <v>29372</v>
      </c>
      <c r="G5293" t="s">
        <v>29381</v>
      </c>
      <c r="H5293" t="s">
        <v>11048</v>
      </c>
      <c r="I5293" t="s">
        <v>29433</v>
      </c>
      <c r="J5293" t="s">
        <v>32950</v>
      </c>
      <c r="K5293" t="s">
        <v>38490</v>
      </c>
      <c r="L5293" t="s">
        <v>1854</v>
      </c>
      <c r="M5293" t="s">
        <v>40727</v>
      </c>
      <c r="N5293" t="s">
        <v>42669</v>
      </c>
      <c r="O5293" t="s">
        <v>42670</v>
      </c>
      <c r="P5293">
        <v>0</v>
      </c>
      <c r="Q5293">
        <v>10</v>
      </c>
      <c r="R5293" t="s">
        <v>42676</v>
      </c>
      <c r="S5293" t="s">
        <v>42809</v>
      </c>
      <c r="T5293" t="s">
        <v>44442</v>
      </c>
      <c r="U5293" t="s">
        <v>49121</v>
      </c>
      <c r="W5293" t="s">
        <v>40727</v>
      </c>
      <c r="X5293" t="s">
        <v>42677</v>
      </c>
    </row>
    <row r="5294" spans="1:24">
      <c r="A5294">
        <f>HYPERLINK("https://www.philgeps.gov.ph/GEPSNONPILOT/Tender/SplashBidNoticeAbstractUI.aspx?menuIndex=3&amp;refID=7189801&amp;Result=3","7189801")</f>
        <v>0</v>
      </c>
      <c r="B5294" t="s">
        <v>1854</v>
      </c>
      <c r="C5294" t="s">
        <v>8602</v>
      </c>
      <c r="D5294" t="s">
        <v>17141</v>
      </c>
      <c r="E5294" t="s">
        <v>21822</v>
      </c>
      <c r="F5294" t="s">
        <v>29372</v>
      </c>
      <c r="G5294" t="s">
        <v>29381</v>
      </c>
      <c r="H5294" t="s">
        <v>11048</v>
      </c>
      <c r="I5294" t="s">
        <v>29433</v>
      </c>
      <c r="J5294" t="s">
        <v>32951</v>
      </c>
      <c r="K5294" t="s">
        <v>38490</v>
      </c>
      <c r="L5294" t="s">
        <v>1854</v>
      </c>
      <c r="M5294" t="s">
        <v>40727</v>
      </c>
      <c r="N5294" t="s">
        <v>42669</v>
      </c>
      <c r="O5294" t="s">
        <v>42670</v>
      </c>
      <c r="P5294">
        <v>0</v>
      </c>
      <c r="Q5294">
        <v>5</v>
      </c>
      <c r="R5294" t="s">
        <v>42676</v>
      </c>
      <c r="S5294" t="s">
        <v>42809</v>
      </c>
      <c r="T5294" t="s">
        <v>44442</v>
      </c>
      <c r="U5294" t="s">
        <v>49121</v>
      </c>
      <c r="W5294" t="s">
        <v>40727</v>
      </c>
      <c r="X5294" t="s">
        <v>42677</v>
      </c>
    </row>
    <row r="5295" spans="1:24">
      <c r="A5295">
        <f>HYPERLINK("https://www.philgeps.gov.ph/GEPSNONPILOT/Tender/SplashBidNoticeAbstractUI.aspx?menuIndex=3&amp;refID=7189800&amp;Result=3","7189800")</f>
        <v>0</v>
      </c>
      <c r="B5295" t="s">
        <v>1287</v>
      </c>
      <c r="C5295" t="s">
        <v>8603</v>
      </c>
      <c r="D5295" t="s">
        <v>17153</v>
      </c>
      <c r="E5295" t="s">
        <v>21823</v>
      </c>
      <c r="F5295" t="s">
        <v>29372</v>
      </c>
      <c r="G5295" t="s">
        <v>29379</v>
      </c>
      <c r="H5295" t="s">
        <v>11048</v>
      </c>
      <c r="I5295" t="s">
        <v>29465</v>
      </c>
      <c r="J5295" t="s">
        <v>29929</v>
      </c>
      <c r="K5295" t="s">
        <v>38490</v>
      </c>
      <c r="M5295" t="s">
        <v>40724</v>
      </c>
      <c r="N5295" t="s">
        <v>42669</v>
      </c>
      <c r="O5295" t="s">
        <v>42670</v>
      </c>
      <c r="P5295">
        <v>0</v>
      </c>
      <c r="Q5295">
        <v>1</v>
      </c>
      <c r="R5295" t="s">
        <v>42676</v>
      </c>
      <c r="S5295" t="s">
        <v>42809</v>
      </c>
      <c r="T5295" t="s">
        <v>44493</v>
      </c>
      <c r="U5295" t="s">
        <v>49136</v>
      </c>
      <c r="W5295" t="s">
        <v>40724</v>
      </c>
      <c r="X5295" t="s">
        <v>42677</v>
      </c>
    </row>
    <row r="5296" spans="1:24">
      <c r="A5296">
        <f>HYPERLINK("https://www.philgeps.gov.ph/GEPSNONPILOT/Tender/SplashBidNoticeAbstractUI.aspx?menuIndex=3&amp;refID=7189798&amp;Result=3","7189798")</f>
        <v>0</v>
      </c>
      <c r="B5296" t="s">
        <v>1854</v>
      </c>
      <c r="C5296" t="s">
        <v>8604</v>
      </c>
      <c r="D5296" t="s">
        <v>17141</v>
      </c>
      <c r="E5296" t="s">
        <v>21824</v>
      </c>
      <c r="F5296" t="s">
        <v>29372</v>
      </c>
      <c r="G5296" t="s">
        <v>29381</v>
      </c>
      <c r="H5296" t="s">
        <v>11048</v>
      </c>
      <c r="I5296" t="s">
        <v>29433</v>
      </c>
      <c r="J5296" t="s">
        <v>32952</v>
      </c>
      <c r="K5296" t="s">
        <v>38490</v>
      </c>
      <c r="L5296" t="s">
        <v>1854</v>
      </c>
      <c r="M5296" t="s">
        <v>40727</v>
      </c>
      <c r="N5296" t="s">
        <v>42669</v>
      </c>
      <c r="O5296" t="s">
        <v>42670</v>
      </c>
      <c r="P5296">
        <v>0</v>
      </c>
      <c r="Q5296">
        <v>4</v>
      </c>
      <c r="R5296" t="s">
        <v>42676</v>
      </c>
      <c r="S5296" t="s">
        <v>42809</v>
      </c>
      <c r="T5296" t="s">
        <v>44442</v>
      </c>
      <c r="U5296" t="s">
        <v>49121</v>
      </c>
      <c r="W5296" t="s">
        <v>40727</v>
      </c>
      <c r="X5296" t="s">
        <v>42677</v>
      </c>
    </row>
    <row r="5297" spans="1:24">
      <c r="A5297">
        <f>HYPERLINK("https://www.philgeps.gov.ph/GEPSNONPILOT/Tender/SplashBidNoticeAbstractUI.aspx?menuIndex=3&amp;refID=7189815&amp;Result=3","7189815")</f>
        <v>0</v>
      </c>
      <c r="B5297" t="s">
        <v>1287</v>
      </c>
      <c r="C5297" t="s">
        <v>8605</v>
      </c>
      <c r="D5297" t="s">
        <v>17153</v>
      </c>
      <c r="E5297" t="s">
        <v>21825</v>
      </c>
      <c r="F5297" t="s">
        <v>29372</v>
      </c>
      <c r="G5297" t="s">
        <v>29379</v>
      </c>
      <c r="H5297" t="s">
        <v>11048</v>
      </c>
      <c r="I5297" t="s">
        <v>29433</v>
      </c>
      <c r="J5297" t="s">
        <v>32638</v>
      </c>
      <c r="K5297" t="s">
        <v>38485</v>
      </c>
      <c r="M5297" t="s">
        <v>40724</v>
      </c>
      <c r="N5297" t="s">
        <v>42669</v>
      </c>
      <c r="O5297" t="s">
        <v>42670</v>
      </c>
      <c r="P5297">
        <v>0</v>
      </c>
      <c r="Q5297">
        <v>9</v>
      </c>
      <c r="R5297" t="s">
        <v>42676</v>
      </c>
      <c r="S5297" t="s">
        <v>42809</v>
      </c>
      <c r="T5297" t="s">
        <v>44493</v>
      </c>
      <c r="U5297" t="s">
        <v>49137</v>
      </c>
      <c r="W5297" t="s">
        <v>40724</v>
      </c>
      <c r="X5297" t="s">
        <v>42677</v>
      </c>
    </row>
    <row r="5298" spans="1:24">
      <c r="A5298">
        <f>HYPERLINK("https://www.philgeps.gov.ph/GEPSNONPILOT/Tender/SplashBidNoticeAbstractUI.aspx?menuIndex=3&amp;refID=7189854&amp;Result=3","7189854")</f>
        <v>0</v>
      </c>
      <c r="B5298" t="s">
        <v>1858</v>
      </c>
      <c r="C5298" t="s">
        <v>8606</v>
      </c>
      <c r="E5298" t="s">
        <v>21826</v>
      </c>
      <c r="F5298" t="s">
        <v>29372</v>
      </c>
      <c r="G5298" t="s">
        <v>29379</v>
      </c>
      <c r="H5298" t="s">
        <v>11048</v>
      </c>
      <c r="I5298" t="s">
        <v>29393</v>
      </c>
      <c r="J5298" t="s">
        <v>32953</v>
      </c>
      <c r="K5298" t="s">
        <v>38490</v>
      </c>
      <c r="M5298" t="s">
        <v>40731</v>
      </c>
      <c r="N5298" t="s">
        <v>42669</v>
      </c>
      <c r="O5298" t="s">
        <v>42670</v>
      </c>
      <c r="P5298">
        <v>0</v>
      </c>
      <c r="Q5298">
        <v>0</v>
      </c>
      <c r="R5298" t="s">
        <v>42676</v>
      </c>
      <c r="S5298" t="s">
        <v>42809</v>
      </c>
      <c r="T5298" t="s">
        <v>44491</v>
      </c>
      <c r="U5298" t="s">
        <v>49138</v>
      </c>
      <c r="W5298" t="s">
        <v>40731</v>
      </c>
      <c r="X5298" t="s">
        <v>42677</v>
      </c>
    </row>
    <row r="5299" spans="1:24">
      <c r="A5299">
        <f>HYPERLINK("https://www.philgeps.gov.ph/GEPSNONPILOT/Tender/SplashBidNoticeAbstractUI.aspx?menuIndex=3&amp;refID=7189745&amp;Result=3","7189745")</f>
        <v>0</v>
      </c>
      <c r="B5299" t="s">
        <v>589</v>
      </c>
      <c r="C5299" t="s">
        <v>8607</v>
      </c>
      <c r="D5299" t="s">
        <v>17168</v>
      </c>
      <c r="E5299" t="s">
        <v>21827</v>
      </c>
      <c r="F5299" t="s">
        <v>29372</v>
      </c>
      <c r="G5299" t="s">
        <v>29380</v>
      </c>
      <c r="H5299" t="s">
        <v>11048</v>
      </c>
      <c r="I5299" t="s">
        <v>29433</v>
      </c>
      <c r="J5299" t="s">
        <v>32954</v>
      </c>
      <c r="K5299" t="s">
        <v>38538</v>
      </c>
      <c r="M5299" t="s">
        <v>39358</v>
      </c>
      <c r="N5299" t="s">
        <v>42669</v>
      </c>
      <c r="O5299" t="s">
        <v>42670</v>
      </c>
      <c r="P5299">
        <v>0</v>
      </c>
      <c r="Q5299">
        <v>4</v>
      </c>
      <c r="R5299" t="s">
        <v>42676</v>
      </c>
      <c r="S5299" t="s">
        <v>42809</v>
      </c>
      <c r="T5299" t="s">
        <v>44480</v>
      </c>
      <c r="U5299" t="s">
        <v>49139</v>
      </c>
      <c r="V5299" t="s">
        <v>56701</v>
      </c>
      <c r="W5299" t="s">
        <v>39358</v>
      </c>
      <c r="X5299" t="s">
        <v>42677</v>
      </c>
    </row>
    <row r="5300" spans="1:24">
      <c r="A5300">
        <f>HYPERLINK("https://www.philgeps.gov.ph/GEPSNONPILOT/Tender/SplashBidNoticeAbstractUI.aspx?menuIndex=3&amp;refID=7189851&amp;Result=3","7189851")</f>
        <v>0</v>
      </c>
      <c r="B5300" t="s">
        <v>1287</v>
      </c>
      <c r="C5300" t="s">
        <v>8608</v>
      </c>
      <c r="D5300" t="s">
        <v>17153</v>
      </c>
      <c r="E5300" t="s">
        <v>21828</v>
      </c>
      <c r="F5300" t="s">
        <v>29372</v>
      </c>
      <c r="G5300" t="s">
        <v>29379</v>
      </c>
      <c r="H5300" t="s">
        <v>11048</v>
      </c>
      <c r="I5300" t="s">
        <v>3670</v>
      </c>
      <c r="J5300" t="s">
        <v>32955</v>
      </c>
      <c r="K5300" t="s">
        <v>38488</v>
      </c>
      <c r="M5300" t="s">
        <v>40724</v>
      </c>
      <c r="N5300" t="s">
        <v>42669</v>
      </c>
      <c r="O5300" t="s">
        <v>42670</v>
      </c>
      <c r="P5300">
        <v>0</v>
      </c>
      <c r="Q5300">
        <v>1</v>
      </c>
      <c r="R5300" t="s">
        <v>42676</v>
      </c>
      <c r="S5300" t="s">
        <v>42809</v>
      </c>
      <c r="T5300" t="s">
        <v>44493</v>
      </c>
      <c r="U5300" t="s">
        <v>49140</v>
      </c>
      <c r="W5300" t="s">
        <v>40724</v>
      </c>
      <c r="X5300" t="s">
        <v>42677</v>
      </c>
    </row>
    <row r="5301" spans="1:24">
      <c r="A5301">
        <f>HYPERLINK("https://www.philgeps.gov.ph/GEPSNONPILOT/Tender/SplashBidNoticeAbstractUI.aspx?menuIndex=3&amp;refID=7189850&amp;Result=3","7189850")</f>
        <v>0</v>
      </c>
      <c r="B5301" t="s">
        <v>1858</v>
      </c>
      <c r="C5301" t="s">
        <v>8609</v>
      </c>
      <c r="E5301" t="s">
        <v>21829</v>
      </c>
      <c r="F5301" t="s">
        <v>29372</v>
      </c>
      <c r="G5301" t="s">
        <v>29379</v>
      </c>
      <c r="H5301" t="s">
        <v>11048</v>
      </c>
      <c r="I5301" t="s">
        <v>3839</v>
      </c>
      <c r="J5301" t="s">
        <v>29799</v>
      </c>
      <c r="K5301" t="s">
        <v>38490</v>
      </c>
      <c r="M5301" t="s">
        <v>40731</v>
      </c>
      <c r="N5301" t="s">
        <v>42669</v>
      </c>
      <c r="O5301" t="s">
        <v>42670</v>
      </c>
      <c r="P5301">
        <v>0</v>
      </c>
      <c r="Q5301">
        <v>3</v>
      </c>
      <c r="R5301" t="s">
        <v>42676</v>
      </c>
      <c r="S5301" t="s">
        <v>42809</v>
      </c>
      <c r="T5301" t="s">
        <v>44491</v>
      </c>
      <c r="U5301" t="s">
        <v>49141</v>
      </c>
      <c r="W5301" t="s">
        <v>40731</v>
      </c>
      <c r="X5301" t="s">
        <v>42677</v>
      </c>
    </row>
    <row r="5302" spans="1:24">
      <c r="A5302">
        <f>HYPERLINK("https://www.philgeps.gov.ph/GEPSNONPILOT/Tender/SplashBidNoticeAbstractUI.aspx?menuIndex=3&amp;refID=7189799&amp;Result=3","7189799")</f>
        <v>0</v>
      </c>
      <c r="B5302" t="s">
        <v>349</v>
      </c>
      <c r="C5302" t="s">
        <v>8610</v>
      </c>
      <c r="D5302" t="s">
        <v>17199</v>
      </c>
      <c r="E5302" t="s">
        <v>21830</v>
      </c>
      <c r="F5302" t="s">
        <v>29372</v>
      </c>
      <c r="G5302" t="s">
        <v>29379</v>
      </c>
      <c r="H5302" t="s">
        <v>11048</v>
      </c>
      <c r="I5302" t="s">
        <v>29410</v>
      </c>
      <c r="J5302" t="s">
        <v>32956</v>
      </c>
      <c r="K5302" t="s">
        <v>38488</v>
      </c>
      <c r="M5302" t="s">
        <v>39108</v>
      </c>
      <c r="N5302" t="s">
        <v>42669</v>
      </c>
      <c r="O5302" t="s">
        <v>42670</v>
      </c>
      <c r="P5302">
        <v>0</v>
      </c>
      <c r="Q5302">
        <v>0</v>
      </c>
      <c r="R5302" t="s">
        <v>42676</v>
      </c>
      <c r="S5302" t="s">
        <v>42809</v>
      </c>
      <c r="T5302" t="s">
        <v>44432</v>
      </c>
      <c r="U5302" t="s">
        <v>49061</v>
      </c>
      <c r="W5302" t="s">
        <v>39108</v>
      </c>
      <c r="X5302" t="s">
        <v>42677</v>
      </c>
    </row>
    <row r="5303" spans="1:24">
      <c r="A5303">
        <f>HYPERLINK("https://www.philgeps.gov.ph/GEPSNONPILOT/Tender/SplashBidNoticeAbstractUI.aspx?menuIndex=3&amp;refID=7189846&amp;Result=3","7189846")</f>
        <v>0</v>
      </c>
      <c r="B5303" t="s">
        <v>1287</v>
      </c>
      <c r="C5303" t="s">
        <v>8611</v>
      </c>
      <c r="D5303" t="s">
        <v>17153</v>
      </c>
      <c r="E5303" t="s">
        <v>21831</v>
      </c>
      <c r="F5303" t="s">
        <v>29372</v>
      </c>
      <c r="G5303" t="s">
        <v>29379</v>
      </c>
      <c r="H5303" t="s">
        <v>11048</v>
      </c>
      <c r="I5303" t="s">
        <v>3839</v>
      </c>
      <c r="J5303" t="s">
        <v>29822</v>
      </c>
      <c r="K5303" t="s">
        <v>38485</v>
      </c>
      <c r="M5303" t="s">
        <v>40724</v>
      </c>
      <c r="N5303" t="s">
        <v>42669</v>
      </c>
      <c r="O5303" t="s">
        <v>42670</v>
      </c>
      <c r="P5303">
        <v>0</v>
      </c>
      <c r="Q5303">
        <v>2</v>
      </c>
      <c r="R5303" t="s">
        <v>42676</v>
      </c>
      <c r="S5303" t="s">
        <v>42809</v>
      </c>
      <c r="T5303" t="s">
        <v>44493</v>
      </c>
      <c r="U5303" t="s">
        <v>49142</v>
      </c>
      <c r="W5303" t="s">
        <v>40724</v>
      </c>
      <c r="X5303" t="s">
        <v>42677</v>
      </c>
    </row>
    <row r="5304" spans="1:24">
      <c r="A5304">
        <f>HYPERLINK("https://www.philgeps.gov.ph/GEPSNONPILOT/Tender/SplashBidNoticeAbstractUI.aspx?menuIndex=3&amp;refID=7189809&amp;Result=3","7189809")</f>
        <v>0</v>
      </c>
      <c r="B5304" t="s">
        <v>1859</v>
      </c>
      <c r="C5304" t="s">
        <v>8612</v>
      </c>
      <c r="D5304" t="s">
        <v>17205</v>
      </c>
      <c r="E5304" t="s">
        <v>17533</v>
      </c>
      <c r="F5304" t="s">
        <v>29372</v>
      </c>
      <c r="G5304" t="s">
        <v>29380</v>
      </c>
      <c r="H5304" t="s">
        <v>11048</v>
      </c>
      <c r="I5304" t="s">
        <v>29395</v>
      </c>
      <c r="J5304" t="s">
        <v>32957</v>
      </c>
      <c r="K5304" t="s">
        <v>38488</v>
      </c>
      <c r="M5304" t="s">
        <v>40732</v>
      </c>
      <c r="N5304" t="s">
        <v>42669</v>
      </c>
      <c r="O5304" t="s">
        <v>42670</v>
      </c>
      <c r="P5304">
        <v>0</v>
      </c>
      <c r="Q5304">
        <v>1</v>
      </c>
      <c r="R5304" t="s">
        <v>42676</v>
      </c>
      <c r="S5304" t="s">
        <v>42809</v>
      </c>
      <c r="T5304" t="s">
        <v>44525</v>
      </c>
      <c r="U5304" t="s">
        <v>49143</v>
      </c>
      <c r="W5304" t="s">
        <v>40732</v>
      </c>
      <c r="X5304" t="s">
        <v>42677</v>
      </c>
    </row>
    <row r="5305" spans="1:24">
      <c r="A5305">
        <f>HYPERLINK("https://www.philgeps.gov.ph/GEPSNONPILOT/Tender/SplashBidNoticeAbstractUI.aspx?menuIndex=3&amp;refID=7189843&amp;Result=3","7189843")</f>
        <v>0</v>
      </c>
      <c r="B5305" t="s">
        <v>1287</v>
      </c>
      <c r="C5305" t="s">
        <v>8613</v>
      </c>
      <c r="D5305" t="s">
        <v>17153</v>
      </c>
      <c r="E5305" t="s">
        <v>21832</v>
      </c>
      <c r="F5305" t="s">
        <v>29372</v>
      </c>
      <c r="G5305" t="s">
        <v>29379</v>
      </c>
      <c r="H5305" t="s">
        <v>11048</v>
      </c>
      <c r="I5305" t="s">
        <v>3670</v>
      </c>
      <c r="J5305" t="s">
        <v>32958</v>
      </c>
      <c r="K5305" t="s">
        <v>38485</v>
      </c>
      <c r="M5305" t="s">
        <v>40724</v>
      </c>
      <c r="N5305" t="s">
        <v>42669</v>
      </c>
      <c r="O5305" t="s">
        <v>42670</v>
      </c>
      <c r="P5305">
        <v>0</v>
      </c>
      <c r="Q5305">
        <v>1</v>
      </c>
      <c r="R5305" t="s">
        <v>42676</v>
      </c>
      <c r="S5305" t="s">
        <v>42809</v>
      </c>
      <c r="T5305" t="s">
        <v>44493</v>
      </c>
      <c r="U5305" t="s">
        <v>49144</v>
      </c>
      <c r="W5305" t="s">
        <v>40724</v>
      </c>
      <c r="X5305" t="s">
        <v>42677</v>
      </c>
    </row>
    <row r="5306" spans="1:24">
      <c r="A5306">
        <f>HYPERLINK("https://www.philgeps.gov.ph/GEPSNONPILOT/Tender/SplashBidNoticeAbstractUI.aspx?menuIndex=3&amp;refID=7189842&amp;Result=3","7189842")</f>
        <v>0</v>
      </c>
      <c r="B5306" t="s">
        <v>1858</v>
      </c>
      <c r="C5306" t="s">
        <v>8614</v>
      </c>
      <c r="E5306" t="s">
        <v>21833</v>
      </c>
      <c r="F5306" t="s">
        <v>29372</v>
      </c>
      <c r="G5306" t="s">
        <v>29379</v>
      </c>
      <c r="H5306" t="s">
        <v>11048</v>
      </c>
      <c r="I5306" t="s">
        <v>8614</v>
      </c>
      <c r="J5306" t="s">
        <v>32959</v>
      </c>
      <c r="K5306" t="s">
        <v>38490</v>
      </c>
      <c r="M5306" t="s">
        <v>40731</v>
      </c>
      <c r="N5306" t="s">
        <v>42669</v>
      </c>
      <c r="O5306" t="s">
        <v>42670</v>
      </c>
      <c r="P5306">
        <v>0</v>
      </c>
      <c r="Q5306">
        <v>0</v>
      </c>
      <c r="R5306" t="s">
        <v>42676</v>
      </c>
      <c r="S5306" t="s">
        <v>42809</v>
      </c>
      <c r="T5306" t="s">
        <v>44491</v>
      </c>
      <c r="U5306" t="s">
        <v>49145</v>
      </c>
      <c r="W5306" t="s">
        <v>40731</v>
      </c>
      <c r="X5306" t="s">
        <v>42677</v>
      </c>
    </row>
    <row r="5307" spans="1:24">
      <c r="A5307">
        <f>HYPERLINK("https://www.philgeps.gov.ph/GEPSNONPILOT/Tender/SplashBidNoticeAbstractUI.aspx?menuIndex=3&amp;refID=7189852&amp;Result=3","7189852")</f>
        <v>0</v>
      </c>
      <c r="B5307" t="s">
        <v>1860</v>
      </c>
      <c r="C5307" t="s">
        <v>8615</v>
      </c>
      <c r="D5307" t="s">
        <v>17204</v>
      </c>
      <c r="E5307" t="s">
        <v>21834</v>
      </c>
      <c r="F5307" t="s">
        <v>29372</v>
      </c>
      <c r="G5307" t="s">
        <v>29380</v>
      </c>
      <c r="H5307" t="s">
        <v>11048</v>
      </c>
      <c r="I5307" t="s">
        <v>29412</v>
      </c>
      <c r="J5307" t="s">
        <v>29780</v>
      </c>
      <c r="K5307" t="s">
        <v>38485</v>
      </c>
      <c r="M5307" t="s">
        <v>40733</v>
      </c>
      <c r="N5307" t="s">
        <v>42669</v>
      </c>
      <c r="O5307" t="s">
        <v>42670</v>
      </c>
      <c r="P5307">
        <v>0</v>
      </c>
      <c r="Q5307">
        <v>4</v>
      </c>
      <c r="R5307" t="s">
        <v>42676</v>
      </c>
      <c r="S5307" t="s">
        <v>42809</v>
      </c>
      <c r="T5307" t="s">
        <v>44394</v>
      </c>
      <c r="U5307" t="s">
        <v>49146</v>
      </c>
      <c r="W5307" t="s">
        <v>40733</v>
      </c>
      <c r="X5307" t="s">
        <v>42677</v>
      </c>
    </row>
    <row r="5308" spans="1:24">
      <c r="A5308">
        <f>HYPERLINK("https://www.philgeps.gov.ph/GEPSNONPILOT/Tender/SplashBidNoticeAbstractUI.aspx?menuIndex=3&amp;refID=7189826&amp;Result=3","7189826")</f>
        <v>0</v>
      </c>
      <c r="B5308" t="s">
        <v>596</v>
      </c>
      <c r="C5308" t="s">
        <v>8616</v>
      </c>
      <c r="D5308" t="s">
        <v>17158</v>
      </c>
      <c r="E5308" t="s">
        <v>17550</v>
      </c>
      <c r="F5308" t="s">
        <v>29372</v>
      </c>
      <c r="G5308" t="s">
        <v>29380</v>
      </c>
      <c r="H5308" t="s">
        <v>29389</v>
      </c>
      <c r="I5308" t="s">
        <v>4709</v>
      </c>
      <c r="J5308" t="s">
        <v>32960</v>
      </c>
      <c r="K5308" t="s">
        <v>38488</v>
      </c>
      <c r="M5308" t="s">
        <v>39367</v>
      </c>
      <c r="N5308" t="s">
        <v>42669</v>
      </c>
      <c r="O5308" t="s">
        <v>42670</v>
      </c>
      <c r="P5308">
        <v>0</v>
      </c>
      <c r="Q5308">
        <v>0</v>
      </c>
      <c r="R5308" t="s">
        <v>42676</v>
      </c>
      <c r="S5308" t="s">
        <v>42809</v>
      </c>
      <c r="T5308" t="s">
        <v>44525</v>
      </c>
      <c r="U5308" t="s">
        <v>49147</v>
      </c>
      <c r="V5308" t="s">
        <v>56469</v>
      </c>
      <c r="W5308" t="s">
        <v>39367</v>
      </c>
      <c r="X5308" t="s">
        <v>42677</v>
      </c>
    </row>
    <row r="5309" spans="1:24">
      <c r="A5309">
        <f>HYPERLINK("https://www.philgeps.gov.ph/GEPSNONPILOT/Tender/SplashBidNoticeAbstractUI.aspx?menuIndex=3&amp;refID=7189840&amp;Result=3","7189840")</f>
        <v>0</v>
      </c>
      <c r="B5309" t="s">
        <v>1287</v>
      </c>
      <c r="C5309" t="s">
        <v>8617</v>
      </c>
      <c r="D5309" t="s">
        <v>17153</v>
      </c>
      <c r="E5309" t="s">
        <v>21835</v>
      </c>
      <c r="F5309" t="s">
        <v>29372</v>
      </c>
      <c r="G5309" t="s">
        <v>29379</v>
      </c>
      <c r="H5309" t="s">
        <v>11048</v>
      </c>
      <c r="I5309" t="s">
        <v>8208</v>
      </c>
      <c r="J5309" t="s">
        <v>29625</v>
      </c>
      <c r="K5309" t="s">
        <v>38490</v>
      </c>
      <c r="M5309" t="s">
        <v>40724</v>
      </c>
      <c r="N5309" t="s">
        <v>42669</v>
      </c>
      <c r="O5309" t="s">
        <v>42670</v>
      </c>
      <c r="P5309">
        <v>0</v>
      </c>
      <c r="Q5309">
        <v>1</v>
      </c>
      <c r="R5309" t="s">
        <v>42676</v>
      </c>
      <c r="S5309" t="s">
        <v>42809</v>
      </c>
      <c r="T5309" t="s">
        <v>44493</v>
      </c>
      <c r="U5309" t="s">
        <v>49148</v>
      </c>
      <c r="W5309" t="s">
        <v>40724</v>
      </c>
      <c r="X5309" t="s">
        <v>42677</v>
      </c>
    </row>
    <row r="5310" spans="1:24">
      <c r="A5310">
        <f>HYPERLINK("https://www.philgeps.gov.ph/GEPSNONPILOT/Tender/SplashBidNoticeAbstractUI.aspx?menuIndex=3&amp;refID=7189839&amp;Result=3","7189839")</f>
        <v>0</v>
      </c>
      <c r="B5310" t="s">
        <v>443</v>
      </c>
      <c r="C5310" t="s">
        <v>8618</v>
      </c>
      <c r="D5310" t="s">
        <v>17170</v>
      </c>
      <c r="E5310" t="s">
        <v>21836</v>
      </c>
      <c r="F5310" t="s">
        <v>29372</v>
      </c>
      <c r="G5310" t="s">
        <v>29380</v>
      </c>
      <c r="H5310" t="s">
        <v>11048</v>
      </c>
      <c r="I5310" t="s">
        <v>9469</v>
      </c>
      <c r="J5310" t="s">
        <v>32961</v>
      </c>
      <c r="K5310" t="s">
        <v>38496</v>
      </c>
      <c r="M5310" t="s">
        <v>39207</v>
      </c>
      <c r="N5310" t="s">
        <v>42669</v>
      </c>
      <c r="O5310" t="s">
        <v>42670</v>
      </c>
      <c r="P5310">
        <v>0</v>
      </c>
      <c r="Q5310">
        <v>3</v>
      </c>
      <c r="R5310" t="s">
        <v>42676</v>
      </c>
      <c r="S5310" t="s">
        <v>42809</v>
      </c>
      <c r="T5310" t="s">
        <v>44691</v>
      </c>
      <c r="U5310" t="s">
        <v>49149</v>
      </c>
      <c r="V5310" t="s">
        <v>56942</v>
      </c>
      <c r="W5310" t="s">
        <v>40136</v>
      </c>
      <c r="X5310" t="s">
        <v>42677</v>
      </c>
    </row>
    <row r="5311" spans="1:24">
      <c r="A5311">
        <f>HYPERLINK("https://www.philgeps.gov.ph/GEPSNONPILOT/Tender/SplashBidNoticeAbstractUI.aspx?menuIndex=3&amp;refID=7189812&amp;Result=3","7189812")</f>
        <v>0</v>
      </c>
      <c r="B5311" t="s">
        <v>1854</v>
      </c>
      <c r="C5311" t="s">
        <v>8619</v>
      </c>
      <c r="D5311" t="s">
        <v>17141</v>
      </c>
      <c r="E5311" t="s">
        <v>21837</v>
      </c>
      <c r="F5311" t="s">
        <v>29372</v>
      </c>
      <c r="G5311" t="s">
        <v>29381</v>
      </c>
      <c r="H5311" t="s">
        <v>11048</v>
      </c>
      <c r="I5311" t="s">
        <v>29433</v>
      </c>
      <c r="J5311" t="s">
        <v>32962</v>
      </c>
      <c r="K5311" t="s">
        <v>38490</v>
      </c>
      <c r="L5311" t="s">
        <v>1854</v>
      </c>
      <c r="M5311" t="s">
        <v>40727</v>
      </c>
      <c r="N5311" t="s">
        <v>42669</v>
      </c>
      <c r="O5311" t="s">
        <v>42670</v>
      </c>
      <c r="P5311">
        <v>0</v>
      </c>
      <c r="Q5311">
        <v>10</v>
      </c>
      <c r="R5311" t="s">
        <v>42676</v>
      </c>
      <c r="S5311" t="s">
        <v>42809</v>
      </c>
      <c r="T5311" t="s">
        <v>44442</v>
      </c>
      <c r="U5311" t="s">
        <v>49121</v>
      </c>
      <c r="W5311" t="s">
        <v>40727</v>
      </c>
      <c r="X5311" t="s">
        <v>42677</v>
      </c>
    </row>
    <row r="5312" spans="1:24">
      <c r="A5312">
        <f>HYPERLINK("https://www.philgeps.gov.ph/GEPSNONPILOT/Tender/SplashBidNoticeAbstractUI.aspx?menuIndex=3&amp;refID=7189836&amp;Result=3","7189836")</f>
        <v>0</v>
      </c>
      <c r="B5312" t="s">
        <v>1856</v>
      </c>
      <c r="C5312" t="s">
        <v>8620</v>
      </c>
      <c r="E5312" t="s">
        <v>21838</v>
      </c>
      <c r="F5312" t="s">
        <v>29372</v>
      </c>
      <c r="G5312" t="s">
        <v>29380</v>
      </c>
      <c r="H5312" t="s">
        <v>11048</v>
      </c>
      <c r="I5312" t="s">
        <v>29407</v>
      </c>
      <c r="J5312" t="s">
        <v>32963</v>
      </c>
      <c r="K5312" t="s">
        <v>38488</v>
      </c>
      <c r="M5312" t="s">
        <v>40729</v>
      </c>
      <c r="N5312" t="s">
        <v>42669</v>
      </c>
      <c r="O5312" t="s">
        <v>42670</v>
      </c>
      <c r="P5312">
        <v>0</v>
      </c>
      <c r="Q5312">
        <v>2</v>
      </c>
      <c r="R5312" t="s">
        <v>42676</v>
      </c>
      <c r="S5312" t="s">
        <v>42809</v>
      </c>
      <c r="T5312" t="s">
        <v>44414</v>
      </c>
      <c r="U5312" t="s">
        <v>49150</v>
      </c>
      <c r="W5312" t="s">
        <v>40729</v>
      </c>
      <c r="X5312" t="s">
        <v>42677</v>
      </c>
    </row>
    <row r="5313" spans="1:24">
      <c r="A5313">
        <f>HYPERLINK("https://www.philgeps.gov.ph/GEPSNONPILOT/Tender/SplashBidNoticeAbstractUI.aspx?menuIndex=3&amp;refID=7189832&amp;Result=3","7189832")</f>
        <v>0</v>
      </c>
      <c r="B5313" t="s">
        <v>1856</v>
      </c>
      <c r="C5313" t="s">
        <v>8621</v>
      </c>
      <c r="E5313" t="s">
        <v>21839</v>
      </c>
      <c r="F5313" t="s">
        <v>29372</v>
      </c>
      <c r="G5313" t="s">
        <v>29380</v>
      </c>
      <c r="H5313" t="s">
        <v>11048</v>
      </c>
      <c r="I5313" t="s">
        <v>29433</v>
      </c>
      <c r="J5313" t="s">
        <v>29988</v>
      </c>
      <c r="K5313" t="s">
        <v>38518</v>
      </c>
      <c r="M5313" t="s">
        <v>40729</v>
      </c>
      <c r="N5313" t="s">
        <v>42669</v>
      </c>
      <c r="O5313" t="s">
        <v>42670</v>
      </c>
      <c r="P5313">
        <v>0</v>
      </c>
      <c r="Q5313">
        <v>5</v>
      </c>
      <c r="R5313" t="s">
        <v>42676</v>
      </c>
      <c r="S5313" t="s">
        <v>42809</v>
      </c>
      <c r="T5313" t="s">
        <v>44414</v>
      </c>
      <c r="U5313" t="s">
        <v>49150</v>
      </c>
      <c r="W5313" t="s">
        <v>40729</v>
      </c>
      <c r="X5313" t="s">
        <v>42677</v>
      </c>
    </row>
    <row r="5314" spans="1:24">
      <c r="A5314">
        <f>HYPERLINK("https://www.philgeps.gov.ph/GEPSNONPILOT/Tender/SplashBidNoticeAbstractUI.aspx?menuIndex=3&amp;refID=7189895&amp;Result=3","7189895")</f>
        <v>0</v>
      </c>
      <c r="B5314" t="s">
        <v>1756</v>
      </c>
      <c r="C5314" t="s">
        <v>8622</v>
      </c>
      <c r="D5314" t="s">
        <v>17196</v>
      </c>
      <c r="E5314" t="s">
        <v>21840</v>
      </c>
      <c r="F5314" t="s">
        <v>29372</v>
      </c>
      <c r="G5314" t="s">
        <v>29380</v>
      </c>
      <c r="H5314" t="s">
        <v>29389</v>
      </c>
      <c r="I5314" t="s">
        <v>10408</v>
      </c>
      <c r="J5314" t="s">
        <v>32964</v>
      </c>
      <c r="K5314" t="s">
        <v>38617</v>
      </c>
      <c r="M5314" t="s">
        <v>40622</v>
      </c>
      <c r="N5314" t="s">
        <v>42669</v>
      </c>
      <c r="O5314" t="s">
        <v>42670</v>
      </c>
      <c r="P5314">
        <v>0</v>
      </c>
      <c r="Q5314">
        <v>0</v>
      </c>
      <c r="R5314" t="s">
        <v>42676</v>
      </c>
      <c r="S5314" t="s">
        <v>42809</v>
      </c>
      <c r="T5314" t="s">
        <v>44680</v>
      </c>
      <c r="U5314" t="s">
        <v>49151</v>
      </c>
      <c r="V5314" t="s">
        <v>56951</v>
      </c>
      <c r="W5314" t="s">
        <v>58054</v>
      </c>
      <c r="X5314" t="s">
        <v>42677</v>
      </c>
    </row>
    <row r="5315" spans="1:24">
      <c r="A5315">
        <f>HYPERLINK("https://www.philgeps.gov.ph/GEPSNONPILOT/Tender/SplashBidNoticeAbstractUI.aspx?menuIndex=3&amp;refID=7189892&amp;Result=3","7189892")</f>
        <v>0</v>
      </c>
      <c r="B5315" t="s">
        <v>1861</v>
      </c>
      <c r="C5315" t="s">
        <v>8623</v>
      </c>
      <c r="D5315" t="s">
        <v>17141</v>
      </c>
      <c r="E5315" t="s">
        <v>21841</v>
      </c>
      <c r="F5315" t="s">
        <v>29372</v>
      </c>
      <c r="G5315" t="s">
        <v>29380</v>
      </c>
      <c r="H5315" t="s">
        <v>11048</v>
      </c>
      <c r="I5315" t="s">
        <v>8614</v>
      </c>
      <c r="J5315" t="s">
        <v>32965</v>
      </c>
      <c r="K5315" t="s">
        <v>38563</v>
      </c>
      <c r="M5315" t="s">
        <v>40734</v>
      </c>
      <c r="N5315" t="s">
        <v>42669</v>
      </c>
      <c r="O5315" t="s">
        <v>42670</v>
      </c>
      <c r="P5315">
        <v>0</v>
      </c>
      <c r="Q5315">
        <v>16</v>
      </c>
      <c r="R5315" t="s">
        <v>42676</v>
      </c>
      <c r="S5315" t="s">
        <v>42809</v>
      </c>
      <c r="T5315" t="s">
        <v>44365</v>
      </c>
      <c r="U5315" t="s">
        <v>49152</v>
      </c>
      <c r="W5315" t="s">
        <v>58060</v>
      </c>
      <c r="X5315" t="s">
        <v>42677</v>
      </c>
    </row>
    <row r="5316" spans="1:24">
      <c r="A5316">
        <f>HYPERLINK("https://www.philgeps.gov.ph/GEPSNONPILOT/Tender/SplashBidNoticeAbstractUI.aspx?menuIndex=3&amp;refID=7189890&amp;Result=3","7189890")</f>
        <v>0</v>
      </c>
      <c r="B5316" t="s">
        <v>1287</v>
      </c>
      <c r="C5316" t="s">
        <v>8624</v>
      </c>
      <c r="D5316" t="s">
        <v>17153</v>
      </c>
      <c r="E5316" t="s">
        <v>21842</v>
      </c>
      <c r="F5316" t="s">
        <v>29372</v>
      </c>
      <c r="G5316" t="s">
        <v>29379</v>
      </c>
      <c r="H5316" t="s">
        <v>11048</v>
      </c>
      <c r="I5316" t="s">
        <v>3839</v>
      </c>
      <c r="J5316" t="s">
        <v>29625</v>
      </c>
      <c r="K5316" t="s">
        <v>38485</v>
      </c>
      <c r="M5316" t="s">
        <v>40724</v>
      </c>
      <c r="N5316" t="s">
        <v>42669</v>
      </c>
      <c r="O5316" t="s">
        <v>42670</v>
      </c>
      <c r="P5316">
        <v>0</v>
      </c>
      <c r="Q5316">
        <v>0</v>
      </c>
      <c r="R5316" t="s">
        <v>42676</v>
      </c>
      <c r="S5316" t="s">
        <v>42809</v>
      </c>
      <c r="T5316" t="s">
        <v>44493</v>
      </c>
      <c r="U5316" t="s">
        <v>49153</v>
      </c>
      <c r="W5316" t="s">
        <v>40724</v>
      </c>
      <c r="X5316" t="s">
        <v>42677</v>
      </c>
    </row>
    <row r="5317" spans="1:24">
      <c r="A5317">
        <f>HYPERLINK("https://www.philgeps.gov.ph/GEPSNONPILOT/Tender/SplashBidNoticeAbstractUI.aspx?menuIndex=3&amp;refID=7189837&amp;Result=3","7189837")</f>
        <v>0</v>
      </c>
      <c r="B5317" t="s">
        <v>1285</v>
      </c>
      <c r="C5317" t="s">
        <v>8625</v>
      </c>
      <c r="D5317" t="s">
        <v>17199</v>
      </c>
      <c r="E5317" t="s">
        <v>21843</v>
      </c>
      <c r="F5317" t="s">
        <v>29372</v>
      </c>
      <c r="G5317" t="s">
        <v>29382</v>
      </c>
      <c r="H5317" t="s">
        <v>11048</v>
      </c>
      <c r="I5317" t="s">
        <v>29426</v>
      </c>
      <c r="J5317" t="s">
        <v>29590</v>
      </c>
      <c r="K5317" t="s">
        <v>38485</v>
      </c>
      <c r="M5317" t="s">
        <v>40114</v>
      </c>
      <c r="N5317" t="s">
        <v>42669</v>
      </c>
      <c r="O5317" t="s">
        <v>42670</v>
      </c>
      <c r="P5317">
        <v>0</v>
      </c>
      <c r="Q5317">
        <v>6</v>
      </c>
      <c r="R5317" t="s">
        <v>42676</v>
      </c>
      <c r="S5317" t="s">
        <v>42809</v>
      </c>
      <c r="T5317" t="s">
        <v>44570</v>
      </c>
      <c r="U5317" t="s">
        <v>49154</v>
      </c>
      <c r="V5317" t="s">
        <v>56952</v>
      </c>
      <c r="W5317" t="s">
        <v>40114</v>
      </c>
      <c r="X5317" t="s">
        <v>42677</v>
      </c>
    </row>
    <row r="5318" spans="1:24">
      <c r="A5318">
        <f>HYPERLINK("https://www.philgeps.gov.ph/GEPSNONPILOT/Tender/SplashBidNoticeAbstractUI.aspx?menuIndex=3&amp;refID=7189834&amp;Result=3","7189834")</f>
        <v>0</v>
      </c>
      <c r="B5318" t="s">
        <v>1287</v>
      </c>
      <c r="C5318" t="s">
        <v>8626</v>
      </c>
      <c r="D5318" t="s">
        <v>17194</v>
      </c>
      <c r="E5318" t="s">
        <v>21844</v>
      </c>
      <c r="F5318" t="s">
        <v>29372</v>
      </c>
      <c r="G5318" t="s">
        <v>29379</v>
      </c>
      <c r="H5318" t="s">
        <v>11048</v>
      </c>
      <c r="I5318" t="s">
        <v>29465</v>
      </c>
      <c r="J5318" t="s">
        <v>31252</v>
      </c>
      <c r="K5318" t="s">
        <v>38490</v>
      </c>
      <c r="M5318" t="s">
        <v>40724</v>
      </c>
      <c r="N5318" t="s">
        <v>42669</v>
      </c>
      <c r="O5318" t="s">
        <v>42670</v>
      </c>
      <c r="P5318">
        <v>0</v>
      </c>
      <c r="Q5318">
        <v>0</v>
      </c>
      <c r="R5318" t="s">
        <v>42676</v>
      </c>
      <c r="S5318" t="s">
        <v>42809</v>
      </c>
      <c r="T5318" t="s">
        <v>44493</v>
      </c>
      <c r="U5318" t="s">
        <v>49155</v>
      </c>
      <c r="W5318" t="s">
        <v>40724</v>
      </c>
      <c r="X5318" t="s">
        <v>42677</v>
      </c>
    </row>
    <row r="5319" spans="1:24">
      <c r="A5319">
        <f>HYPERLINK("https://www.philgeps.gov.ph/GEPSNONPILOT/Tender/SplashBidNoticeAbstractUI.aspx?menuIndex=3&amp;refID=7189888&amp;Result=3","7189888")</f>
        <v>0</v>
      </c>
      <c r="B5319" t="s">
        <v>1862</v>
      </c>
      <c r="C5319" t="s">
        <v>8627</v>
      </c>
      <c r="D5319" t="s">
        <v>17166</v>
      </c>
      <c r="E5319" t="s">
        <v>21845</v>
      </c>
      <c r="F5319" t="s">
        <v>29372</v>
      </c>
      <c r="G5319" t="s">
        <v>29380</v>
      </c>
      <c r="H5319" t="s">
        <v>11048</v>
      </c>
      <c r="I5319" t="s">
        <v>8614</v>
      </c>
      <c r="J5319" t="s">
        <v>29555</v>
      </c>
      <c r="K5319" t="s">
        <v>38491</v>
      </c>
      <c r="M5319" t="s">
        <v>40735</v>
      </c>
      <c r="N5319" t="s">
        <v>42669</v>
      </c>
      <c r="O5319" t="s">
        <v>42670</v>
      </c>
      <c r="P5319">
        <v>0</v>
      </c>
      <c r="Q5319">
        <v>0</v>
      </c>
      <c r="R5319" t="s">
        <v>42676</v>
      </c>
      <c r="S5319" t="s">
        <v>42809</v>
      </c>
      <c r="T5319" t="s">
        <v>44394</v>
      </c>
      <c r="U5319" t="s">
        <v>49156</v>
      </c>
      <c r="W5319" t="s">
        <v>40735</v>
      </c>
      <c r="X5319" t="s">
        <v>42677</v>
      </c>
    </row>
    <row r="5320" spans="1:24">
      <c r="A5320">
        <f>HYPERLINK("https://www.philgeps.gov.ph/GEPSNONPILOT/Tender/SplashBidNoticeAbstractUI.aspx?menuIndex=3&amp;refID=7189885&amp;Result=3","7189885")</f>
        <v>0</v>
      </c>
      <c r="B5320" t="s">
        <v>1858</v>
      </c>
      <c r="C5320" t="s">
        <v>4662</v>
      </c>
      <c r="E5320" t="s">
        <v>21846</v>
      </c>
      <c r="F5320" t="s">
        <v>29372</v>
      </c>
      <c r="G5320" t="s">
        <v>29382</v>
      </c>
      <c r="H5320" t="s">
        <v>11048</v>
      </c>
      <c r="I5320" t="s">
        <v>5383</v>
      </c>
      <c r="J5320" t="s">
        <v>32966</v>
      </c>
      <c r="K5320" t="s">
        <v>38490</v>
      </c>
      <c r="M5320" t="s">
        <v>40731</v>
      </c>
      <c r="N5320" t="s">
        <v>42669</v>
      </c>
      <c r="O5320" t="s">
        <v>42670</v>
      </c>
      <c r="P5320">
        <v>0</v>
      </c>
      <c r="Q5320">
        <v>1</v>
      </c>
      <c r="R5320" t="s">
        <v>42676</v>
      </c>
      <c r="S5320" t="s">
        <v>42809</v>
      </c>
      <c r="T5320" t="s">
        <v>44491</v>
      </c>
      <c r="U5320" t="s">
        <v>49157</v>
      </c>
      <c r="W5320" t="s">
        <v>40731</v>
      </c>
      <c r="X5320" t="s">
        <v>42677</v>
      </c>
    </row>
    <row r="5321" spans="1:24">
      <c r="A5321">
        <f>HYPERLINK("https://www.philgeps.gov.ph/GEPSNONPILOT/Tender/SplashBidNoticeAbstractUI.aspx?menuIndex=3&amp;refID=7189891&amp;Result=3","7189891")</f>
        <v>0</v>
      </c>
      <c r="B5321" t="s">
        <v>1756</v>
      </c>
      <c r="C5321" t="s">
        <v>8628</v>
      </c>
      <c r="D5321" t="s">
        <v>17196</v>
      </c>
      <c r="E5321" t="s">
        <v>21847</v>
      </c>
      <c r="F5321" t="s">
        <v>29372</v>
      </c>
      <c r="G5321" t="s">
        <v>29380</v>
      </c>
      <c r="H5321" t="s">
        <v>29389</v>
      </c>
      <c r="I5321" t="s">
        <v>10408</v>
      </c>
      <c r="J5321" t="s">
        <v>32967</v>
      </c>
      <c r="K5321" t="s">
        <v>38493</v>
      </c>
      <c r="M5321" t="s">
        <v>40622</v>
      </c>
      <c r="N5321" t="s">
        <v>42669</v>
      </c>
      <c r="O5321" t="s">
        <v>42670</v>
      </c>
      <c r="P5321">
        <v>0</v>
      </c>
      <c r="Q5321">
        <v>0</v>
      </c>
      <c r="R5321" t="s">
        <v>42676</v>
      </c>
      <c r="S5321" t="s">
        <v>42809</v>
      </c>
      <c r="T5321" t="s">
        <v>44508</v>
      </c>
      <c r="U5321" t="s">
        <v>49158</v>
      </c>
      <c r="V5321" t="s">
        <v>56953</v>
      </c>
      <c r="W5321" t="s">
        <v>58054</v>
      </c>
      <c r="X5321" t="s">
        <v>42677</v>
      </c>
    </row>
    <row r="5322" spans="1:24">
      <c r="A5322">
        <f>HYPERLINK("https://www.philgeps.gov.ph/GEPSNONPILOT/Tender/SplashBidNoticeAbstractUI.aspx?menuIndex=3&amp;refID=7189845&amp;Result=3","7189845")</f>
        <v>0</v>
      </c>
      <c r="B5322" t="s">
        <v>1858</v>
      </c>
      <c r="C5322" t="s">
        <v>8629</v>
      </c>
      <c r="E5322" t="s">
        <v>21848</v>
      </c>
      <c r="F5322" t="s">
        <v>29372</v>
      </c>
      <c r="G5322" t="s">
        <v>29379</v>
      </c>
      <c r="H5322" t="s">
        <v>11048</v>
      </c>
      <c r="I5322" t="s">
        <v>4709</v>
      </c>
      <c r="J5322" t="s">
        <v>32968</v>
      </c>
      <c r="K5322" t="s">
        <v>38490</v>
      </c>
      <c r="M5322" t="s">
        <v>40731</v>
      </c>
      <c r="N5322" t="s">
        <v>42669</v>
      </c>
      <c r="O5322" t="s">
        <v>42670</v>
      </c>
      <c r="P5322">
        <v>0</v>
      </c>
      <c r="Q5322">
        <v>0</v>
      </c>
      <c r="R5322" t="s">
        <v>42676</v>
      </c>
      <c r="S5322" t="s">
        <v>42809</v>
      </c>
      <c r="T5322" t="s">
        <v>44491</v>
      </c>
      <c r="U5322" t="s">
        <v>49159</v>
      </c>
      <c r="W5322" t="s">
        <v>40731</v>
      </c>
      <c r="X5322" t="s">
        <v>42677</v>
      </c>
    </row>
    <row r="5323" spans="1:24">
      <c r="A5323">
        <f>HYPERLINK("https://www.philgeps.gov.ph/GEPSNONPILOT/Tender/SplashBidNoticeAbstractUI.aspx?menuIndex=3&amp;refID=7189882&amp;Result=3","7189882")</f>
        <v>0</v>
      </c>
      <c r="B5323" t="s">
        <v>1138</v>
      </c>
      <c r="C5323" t="s">
        <v>8630</v>
      </c>
      <c r="D5323" t="s">
        <v>17141</v>
      </c>
      <c r="E5323" t="s">
        <v>21849</v>
      </c>
      <c r="F5323" t="s">
        <v>29372</v>
      </c>
      <c r="G5323" t="s">
        <v>29380</v>
      </c>
      <c r="H5323" t="s">
        <v>11048</v>
      </c>
      <c r="I5323" t="s">
        <v>4487</v>
      </c>
      <c r="J5323" t="s">
        <v>32969</v>
      </c>
      <c r="K5323" t="s">
        <v>38485</v>
      </c>
      <c r="M5323" t="s">
        <v>39950</v>
      </c>
      <c r="N5323" t="s">
        <v>42669</v>
      </c>
      <c r="O5323" t="s">
        <v>42670</v>
      </c>
      <c r="P5323">
        <v>0</v>
      </c>
      <c r="Q5323">
        <v>3</v>
      </c>
      <c r="R5323" t="s">
        <v>42676</v>
      </c>
      <c r="S5323" t="s">
        <v>42809</v>
      </c>
      <c r="T5323" t="s">
        <v>44387</v>
      </c>
      <c r="U5323" t="s">
        <v>49160</v>
      </c>
      <c r="W5323" t="s">
        <v>39950</v>
      </c>
      <c r="X5323" t="s">
        <v>42677</v>
      </c>
    </row>
    <row r="5324" spans="1:24">
      <c r="A5324">
        <f>HYPERLINK("https://www.philgeps.gov.ph/GEPSNONPILOT/Tender/SplashBidNoticeAbstractUI.aspx?menuIndex=3&amp;refID=7189881&amp;Result=3","7189881")</f>
        <v>0</v>
      </c>
      <c r="B5324" t="s">
        <v>1858</v>
      </c>
      <c r="C5324" t="s">
        <v>4662</v>
      </c>
      <c r="E5324" t="s">
        <v>21850</v>
      </c>
      <c r="F5324" t="s">
        <v>29372</v>
      </c>
      <c r="G5324" t="s">
        <v>29382</v>
      </c>
      <c r="H5324" t="s">
        <v>11048</v>
      </c>
      <c r="I5324" t="s">
        <v>5383</v>
      </c>
      <c r="J5324" t="s">
        <v>32970</v>
      </c>
      <c r="K5324" t="s">
        <v>38490</v>
      </c>
      <c r="M5324" t="s">
        <v>40731</v>
      </c>
      <c r="N5324" t="s">
        <v>42669</v>
      </c>
      <c r="O5324" t="s">
        <v>42670</v>
      </c>
      <c r="P5324">
        <v>0</v>
      </c>
      <c r="Q5324">
        <v>1</v>
      </c>
      <c r="R5324" t="s">
        <v>42676</v>
      </c>
      <c r="S5324" t="s">
        <v>42809</v>
      </c>
      <c r="T5324" t="s">
        <v>44491</v>
      </c>
      <c r="U5324" t="s">
        <v>49161</v>
      </c>
      <c r="W5324" t="s">
        <v>40731</v>
      </c>
      <c r="X5324" t="s">
        <v>42677</v>
      </c>
    </row>
    <row r="5325" spans="1:24">
      <c r="A5325">
        <f>HYPERLINK("https://www.philgeps.gov.ph/GEPSNONPILOT/Tender/SplashBidNoticeAbstractUI.aspx?menuIndex=3&amp;refID=7189873&amp;Result=3","7189873")</f>
        <v>0</v>
      </c>
      <c r="B5325" t="s">
        <v>1756</v>
      </c>
      <c r="C5325" t="s">
        <v>8631</v>
      </c>
      <c r="D5325" t="s">
        <v>17196</v>
      </c>
      <c r="E5325" t="s">
        <v>21851</v>
      </c>
      <c r="F5325" t="s">
        <v>29372</v>
      </c>
      <c r="G5325" t="s">
        <v>29380</v>
      </c>
      <c r="H5325" t="s">
        <v>29389</v>
      </c>
      <c r="I5325" t="s">
        <v>10408</v>
      </c>
      <c r="J5325" t="s">
        <v>31195</v>
      </c>
      <c r="K5325" t="s">
        <v>38584</v>
      </c>
      <c r="M5325" t="s">
        <v>40622</v>
      </c>
      <c r="N5325" t="s">
        <v>42669</v>
      </c>
      <c r="O5325" t="s">
        <v>42670</v>
      </c>
      <c r="P5325">
        <v>0</v>
      </c>
      <c r="Q5325">
        <v>0</v>
      </c>
      <c r="R5325" t="s">
        <v>42676</v>
      </c>
      <c r="S5325" t="s">
        <v>42809</v>
      </c>
      <c r="T5325" t="s">
        <v>44680</v>
      </c>
      <c r="U5325" t="s">
        <v>49162</v>
      </c>
      <c r="V5325" t="s">
        <v>56951</v>
      </c>
      <c r="W5325" t="s">
        <v>58054</v>
      </c>
      <c r="X5325" t="s">
        <v>42677</v>
      </c>
    </row>
    <row r="5326" spans="1:24">
      <c r="A5326">
        <f>HYPERLINK("https://www.philgeps.gov.ph/GEPSNONPILOT/Tender/SplashBidNoticeAbstractUI.aspx?menuIndex=3&amp;refID=7189889&amp;Result=3","7189889")</f>
        <v>0</v>
      </c>
      <c r="B5326" t="s">
        <v>1863</v>
      </c>
      <c r="C5326" t="s">
        <v>8632</v>
      </c>
      <c r="D5326" t="s">
        <v>17167</v>
      </c>
      <c r="E5326" t="s">
        <v>20878</v>
      </c>
      <c r="F5326" t="s">
        <v>29372</v>
      </c>
      <c r="G5326" t="s">
        <v>29379</v>
      </c>
      <c r="H5326" t="s">
        <v>11048</v>
      </c>
      <c r="I5326" t="s">
        <v>3839</v>
      </c>
      <c r="J5326" t="s">
        <v>32253</v>
      </c>
      <c r="K5326" t="s">
        <v>38485</v>
      </c>
      <c r="M5326" t="s">
        <v>40736</v>
      </c>
      <c r="N5326" t="s">
        <v>42669</v>
      </c>
      <c r="O5326" t="s">
        <v>42670</v>
      </c>
      <c r="P5326">
        <v>0</v>
      </c>
      <c r="Q5326">
        <v>3</v>
      </c>
      <c r="R5326" t="s">
        <v>42676</v>
      </c>
      <c r="S5326" t="s">
        <v>42809</v>
      </c>
      <c r="T5326" t="s">
        <v>44493</v>
      </c>
      <c r="U5326" t="s">
        <v>49163</v>
      </c>
      <c r="W5326" t="s">
        <v>40736</v>
      </c>
      <c r="X5326" t="s">
        <v>42677</v>
      </c>
    </row>
    <row r="5327" spans="1:24">
      <c r="A5327">
        <f>HYPERLINK("https://www.philgeps.gov.ph/GEPSNONPILOT/Tender/SplashBidNoticeAbstractUI.aspx?menuIndex=3&amp;refID=7189342&amp;Result=3","7189342")</f>
        <v>0</v>
      </c>
      <c r="B5327" t="s">
        <v>1779</v>
      </c>
      <c r="C5327" t="s">
        <v>3524</v>
      </c>
      <c r="D5327" t="s">
        <v>17158</v>
      </c>
      <c r="E5327" t="s">
        <v>17870</v>
      </c>
      <c r="F5327" t="s">
        <v>29372</v>
      </c>
      <c r="G5327" t="s">
        <v>29380</v>
      </c>
      <c r="H5327" t="s">
        <v>29389</v>
      </c>
      <c r="I5327" t="s">
        <v>10408</v>
      </c>
      <c r="J5327" t="s">
        <v>29526</v>
      </c>
      <c r="K5327" t="s">
        <v>38496</v>
      </c>
      <c r="M5327" t="s">
        <v>40647</v>
      </c>
      <c r="N5327" t="s">
        <v>42669</v>
      </c>
      <c r="O5327" t="s">
        <v>42670</v>
      </c>
      <c r="P5327">
        <v>0</v>
      </c>
      <c r="Q5327">
        <v>0</v>
      </c>
      <c r="R5327" t="s">
        <v>42676</v>
      </c>
      <c r="S5327" t="s">
        <v>42809</v>
      </c>
      <c r="T5327" t="s">
        <v>44476</v>
      </c>
      <c r="U5327" t="s">
        <v>48901</v>
      </c>
      <c r="W5327" t="s">
        <v>40647</v>
      </c>
      <c r="X5327" t="s">
        <v>42677</v>
      </c>
    </row>
    <row r="5328" spans="1:24">
      <c r="A5328">
        <f>HYPERLINK("https://www.philgeps.gov.ph/GEPSNONPILOT/Tender/SplashBidNoticeAbstractUI.aspx?menuIndex=3&amp;refID=7189871&amp;Result=3","7189871")</f>
        <v>0</v>
      </c>
      <c r="B5328" t="s">
        <v>1858</v>
      </c>
      <c r="C5328" t="s">
        <v>8633</v>
      </c>
      <c r="E5328" t="s">
        <v>21852</v>
      </c>
      <c r="F5328" t="s">
        <v>29372</v>
      </c>
      <c r="G5328" t="s">
        <v>29379</v>
      </c>
      <c r="H5328" t="s">
        <v>11048</v>
      </c>
      <c r="I5328" t="s">
        <v>29393</v>
      </c>
      <c r="J5328" t="s">
        <v>32971</v>
      </c>
      <c r="K5328" t="s">
        <v>38490</v>
      </c>
      <c r="M5328" t="s">
        <v>40731</v>
      </c>
      <c r="N5328" t="s">
        <v>42669</v>
      </c>
      <c r="O5328" t="s">
        <v>42670</v>
      </c>
      <c r="P5328">
        <v>0</v>
      </c>
      <c r="Q5328">
        <v>0</v>
      </c>
      <c r="R5328" t="s">
        <v>42676</v>
      </c>
      <c r="S5328" t="s">
        <v>42809</v>
      </c>
      <c r="T5328" t="s">
        <v>44491</v>
      </c>
      <c r="U5328" t="s">
        <v>49164</v>
      </c>
      <c r="W5328" t="s">
        <v>40731</v>
      </c>
      <c r="X5328" t="s">
        <v>42677</v>
      </c>
    </row>
    <row r="5329" spans="1:24">
      <c r="A5329">
        <f>HYPERLINK("https://www.philgeps.gov.ph/GEPSNONPILOT/Tender/SplashBidNoticeAbstractUI.aspx?menuIndex=3&amp;refID=7189869&amp;Result=3","7189869")</f>
        <v>0</v>
      </c>
      <c r="B5329" t="s">
        <v>1858</v>
      </c>
      <c r="C5329" t="s">
        <v>8634</v>
      </c>
      <c r="E5329" t="s">
        <v>21853</v>
      </c>
      <c r="F5329" t="s">
        <v>29372</v>
      </c>
      <c r="G5329" t="s">
        <v>29379</v>
      </c>
      <c r="H5329" t="s">
        <v>11048</v>
      </c>
      <c r="I5329" t="s">
        <v>3629</v>
      </c>
      <c r="J5329" t="s">
        <v>32972</v>
      </c>
      <c r="K5329" t="s">
        <v>38490</v>
      </c>
      <c r="M5329" t="s">
        <v>40731</v>
      </c>
      <c r="N5329" t="s">
        <v>42669</v>
      </c>
      <c r="O5329" t="s">
        <v>42670</v>
      </c>
      <c r="P5329">
        <v>0</v>
      </c>
      <c r="Q5329">
        <v>0</v>
      </c>
      <c r="R5329" t="s">
        <v>42676</v>
      </c>
      <c r="S5329" t="s">
        <v>42809</v>
      </c>
      <c r="T5329" t="s">
        <v>44491</v>
      </c>
      <c r="U5329" t="s">
        <v>49165</v>
      </c>
      <c r="W5329" t="s">
        <v>40731</v>
      </c>
      <c r="X5329" t="s">
        <v>42677</v>
      </c>
    </row>
    <row r="5330" spans="1:24">
      <c r="A5330">
        <f>HYPERLINK("https://www.philgeps.gov.ph/GEPSNONPILOT/Tender/SplashBidNoticeAbstractUI.aspx?menuIndex=3&amp;refID=7189860&amp;Result=3","7189860")</f>
        <v>0</v>
      </c>
      <c r="B5330" t="s">
        <v>1858</v>
      </c>
      <c r="C5330" t="s">
        <v>8635</v>
      </c>
      <c r="E5330" t="s">
        <v>21854</v>
      </c>
      <c r="F5330" t="s">
        <v>29372</v>
      </c>
      <c r="G5330" t="s">
        <v>29379</v>
      </c>
      <c r="H5330" t="s">
        <v>11048</v>
      </c>
      <c r="I5330" t="s">
        <v>29428</v>
      </c>
      <c r="J5330" t="s">
        <v>32973</v>
      </c>
      <c r="K5330" t="s">
        <v>38490</v>
      </c>
      <c r="M5330" t="s">
        <v>40731</v>
      </c>
      <c r="N5330" t="s">
        <v>42669</v>
      </c>
      <c r="O5330" t="s">
        <v>42670</v>
      </c>
      <c r="P5330">
        <v>0</v>
      </c>
      <c r="Q5330">
        <v>0</v>
      </c>
      <c r="R5330" t="s">
        <v>42676</v>
      </c>
      <c r="S5330" t="s">
        <v>42809</v>
      </c>
      <c r="T5330" t="s">
        <v>44491</v>
      </c>
      <c r="U5330" t="s">
        <v>49166</v>
      </c>
      <c r="W5330" t="s">
        <v>40731</v>
      </c>
      <c r="X5330" t="s">
        <v>42677</v>
      </c>
    </row>
    <row r="5331" spans="1:24">
      <c r="A5331">
        <f>HYPERLINK("https://www.philgeps.gov.ph/GEPSNONPILOT/Tender/SplashBidNoticeAbstractUI.aspx?menuIndex=3&amp;refID=7189867&amp;Result=3","7189867")</f>
        <v>0</v>
      </c>
      <c r="B5331" t="s">
        <v>1864</v>
      </c>
      <c r="C5331" t="s">
        <v>8636</v>
      </c>
      <c r="D5331" t="s">
        <v>17177</v>
      </c>
      <c r="E5331" t="s">
        <v>21855</v>
      </c>
      <c r="F5331" t="s">
        <v>29372</v>
      </c>
      <c r="G5331" t="s">
        <v>29380</v>
      </c>
      <c r="H5331" t="s">
        <v>29389</v>
      </c>
      <c r="I5331" t="s">
        <v>10408</v>
      </c>
      <c r="J5331" t="s">
        <v>32974</v>
      </c>
      <c r="K5331" t="s">
        <v>38644</v>
      </c>
      <c r="M5331" t="s">
        <v>40737</v>
      </c>
      <c r="N5331" t="s">
        <v>42669</v>
      </c>
      <c r="O5331" t="s">
        <v>42670</v>
      </c>
      <c r="P5331">
        <v>0</v>
      </c>
      <c r="Q5331">
        <v>0</v>
      </c>
      <c r="R5331" t="s">
        <v>42676</v>
      </c>
      <c r="S5331" t="s">
        <v>42809</v>
      </c>
      <c r="T5331" t="s">
        <v>44444</v>
      </c>
      <c r="U5331" t="s">
        <v>49167</v>
      </c>
      <c r="W5331" t="s">
        <v>40737</v>
      </c>
      <c r="X5331" t="s">
        <v>42677</v>
      </c>
    </row>
    <row r="5332" spans="1:24">
      <c r="A5332">
        <f>HYPERLINK("https://www.philgeps.gov.ph/GEPSNONPILOT/Tender/SplashBidNoticeAbstractUI.aspx?menuIndex=3&amp;refID=7189874&amp;Result=3","7189874")</f>
        <v>0</v>
      </c>
      <c r="B5332" t="s">
        <v>1858</v>
      </c>
      <c r="C5332" t="s">
        <v>8637</v>
      </c>
      <c r="E5332" t="s">
        <v>21856</v>
      </c>
      <c r="F5332" t="s">
        <v>29372</v>
      </c>
      <c r="G5332" t="s">
        <v>29379</v>
      </c>
      <c r="H5332" t="s">
        <v>11048</v>
      </c>
      <c r="I5332" t="s">
        <v>14920</v>
      </c>
      <c r="J5332" t="s">
        <v>32299</v>
      </c>
      <c r="K5332" t="s">
        <v>38490</v>
      </c>
      <c r="M5332" t="s">
        <v>40731</v>
      </c>
      <c r="N5332" t="s">
        <v>42669</v>
      </c>
      <c r="O5332" t="s">
        <v>42670</v>
      </c>
      <c r="P5332">
        <v>0</v>
      </c>
      <c r="Q5332">
        <v>0</v>
      </c>
      <c r="R5332" t="s">
        <v>42676</v>
      </c>
      <c r="S5332" t="s">
        <v>42809</v>
      </c>
      <c r="T5332" t="s">
        <v>44491</v>
      </c>
      <c r="U5332" t="s">
        <v>49168</v>
      </c>
      <c r="W5332" t="s">
        <v>40731</v>
      </c>
      <c r="X5332" t="s">
        <v>42677</v>
      </c>
    </row>
    <row r="5333" spans="1:24">
      <c r="A5333">
        <f>HYPERLINK("https://www.philgeps.gov.ph/GEPSNONPILOT/Tender/SplashBidNoticeAbstractUI.aspx?menuIndex=3&amp;refID=7189856&amp;Result=3","7189856")</f>
        <v>0</v>
      </c>
      <c r="B5333" t="s">
        <v>1865</v>
      </c>
      <c r="C5333" t="s">
        <v>8636</v>
      </c>
      <c r="D5333" t="s">
        <v>17177</v>
      </c>
      <c r="E5333" t="s">
        <v>21857</v>
      </c>
      <c r="F5333" t="s">
        <v>29372</v>
      </c>
      <c r="G5333" t="s">
        <v>29380</v>
      </c>
      <c r="H5333" t="s">
        <v>29389</v>
      </c>
      <c r="I5333" t="s">
        <v>10408</v>
      </c>
      <c r="J5333" t="s">
        <v>32974</v>
      </c>
      <c r="K5333" t="s">
        <v>38644</v>
      </c>
      <c r="M5333" t="s">
        <v>40738</v>
      </c>
      <c r="N5333" t="s">
        <v>42669</v>
      </c>
      <c r="O5333" t="s">
        <v>42670</v>
      </c>
      <c r="P5333">
        <v>0</v>
      </c>
      <c r="Q5333">
        <v>0</v>
      </c>
      <c r="R5333" t="s">
        <v>42676</v>
      </c>
      <c r="S5333" t="s">
        <v>42809</v>
      </c>
      <c r="T5333" t="s">
        <v>44444</v>
      </c>
      <c r="U5333" t="s">
        <v>49169</v>
      </c>
      <c r="W5333" t="s">
        <v>40738</v>
      </c>
      <c r="X5333" t="s">
        <v>42677</v>
      </c>
    </row>
    <row r="5334" spans="1:24">
      <c r="A5334">
        <f>HYPERLINK("https://www.philgeps.gov.ph/GEPSNONPILOT/Tender/SplashBidNoticeAbstractUI.aspx?menuIndex=3&amp;refID=7189877&amp;Result=3","7189877")</f>
        <v>0</v>
      </c>
      <c r="B5334" t="s">
        <v>1287</v>
      </c>
      <c r="C5334" t="s">
        <v>8638</v>
      </c>
      <c r="D5334" t="s">
        <v>17194</v>
      </c>
      <c r="E5334" t="s">
        <v>21858</v>
      </c>
      <c r="F5334" t="s">
        <v>29372</v>
      </c>
      <c r="G5334" t="s">
        <v>29379</v>
      </c>
      <c r="H5334" t="s">
        <v>11048</v>
      </c>
      <c r="I5334" t="s">
        <v>29394</v>
      </c>
      <c r="J5334" t="s">
        <v>29929</v>
      </c>
      <c r="K5334" t="s">
        <v>38518</v>
      </c>
      <c r="M5334" t="s">
        <v>40724</v>
      </c>
      <c r="N5334" t="s">
        <v>42669</v>
      </c>
      <c r="O5334" t="s">
        <v>42670</v>
      </c>
      <c r="P5334">
        <v>0</v>
      </c>
      <c r="Q5334">
        <v>0</v>
      </c>
      <c r="R5334" t="s">
        <v>42676</v>
      </c>
      <c r="S5334" t="s">
        <v>42809</v>
      </c>
      <c r="T5334" t="s">
        <v>44493</v>
      </c>
      <c r="U5334" t="s">
        <v>49170</v>
      </c>
      <c r="W5334" t="s">
        <v>40724</v>
      </c>
      <c r="X5334" t="s">
        <v>42677</v>
      </c>
    </row>
    <row r="5335" spans="1:24">
      <c r="A5335">
        <f>HYPERLINK("https://www.philgeps.gov.ph/GEPSNONPILOT/Tender/SplashBidNoticeAbstractUI.aspx?menuIndex=3&amp;refID=7189868&amp;Result=3","7189868")</f>
        <v>0</v>
      </c>
      <c r="B5335" t="s">
        <v>1756</v>
      </c>
      <c r="C5335" t="s">
        <v>8639</v>
      </c>
      <c r="D5335" t="s">
        <v>17196</v>
      </c>
      <c r="E5335" t="s">
        <v>21859</v>
      </c>
      <c r="F5335" t="s">
        <v>29372</v>
      </c>
      <c r="G5335" t="s">
        <v>29380</v>
      </c>
      <c r="H5335" t="s">
        <v>29389</v>
      </c>
      <c r="I5335" t="s">
        <v>10408</v>
      </c>
      <c r="J5335" t="s">
        <v>30056</v>
      </c>
      <c r="K5335" t="s">
        <v>38525</v>
      </c>
      <c r="M5335" t="s">
        <v>40622</v>
      </c>
      <c r="N5335" t="s">
        <v>42669</v>
      </c>
      <c r="O5335" t="s">
        <v>42670</v>
      </c>
      <c r="P5335">
        <v>0</v>
      </c>
      <c r="Q5335">
        <v>0</v>
      </c>
      <c r="R5335" t="s">
        <v>42676</v>
      </c>
      <c r="S5335" t="s">
        <v>42809</v>
      </c>
      <c r="T5335" t="s">
        <v>44680</v>
      </c>
      <c r="U5335" t="s">
        <v>49171</v>
      </c>
      <c r="V5335" t="s">
        <v>56951</v>
      </c>
      <c r="W5335" t="s">
        <v>58054</v>
      </c>
      <c r="X5335" t="s">
        <v>42677</v>
      </c>
    </row>
    <row r="5336" spans="1:24">
      <c r="A5336">
        <f>HYPERLINK("https://www.philgeps.gov.ph/GEPSNONPILOT/Tender/SplashBidNoticeAbstractUI.aspx?menuIndex=3&amp;refID=7189831&amp;Result=3","7189831")</f>
        <v>0</v>
      </c>
      <c r="B5336" t="s">
        <v>1287</v>
      </c>
      <c r="C5336" t="s">
        <v>8640</v>
      </c>
      <c r="D5336" t="s">
        <v>17153</v>
      </c>
      <c r="E5336" t="s">
        <v>21860</v>
      </c>
      <c r="F5336" t="s">
        <v>29372</v>
      </c>
      <c r="G5336" t="s">
        <v>29379</v>
      </c>
      <c r="H5336" t="s">
        <v>11048</v>
      </c>
      <c r="I5336" t="s">
        <v>29465</v>
      </c>
      <c r="J5336" t="s">
        <v>30123</v>
      </c>
      <c r="K5336" t="s">
        <v>38490</v>
      </c>
      <c r="M5336" t="s">
        <v>40724</v>
      </c>
      <c r="N5336" t="s">
        <v>42669</v>
      </c>
      <c r="O5336" t="s">
        <v>42670</v>
      </c>
      <c r="P5336">
        <v>0</v>
      </c>
      <c r="Q5336">
        <v>1</v>
      </c>
      <c r="R5336" t="s">
        <v>42676</v>
      </c>
      <c r="S5336" t="s">
        <v>42809</v>
      </c>
      <c r="T5336" t="s">
        <v>44493</v>
      </c>
      <c r="U5336" t="s">
        <v>49172</v>
      </c>
      <c r="W5336" t="s">
        <v>40724</v>
      </c>
      <c r="X5336" t="s">
        <v>42677</v>
      </c>
    </row>
    <row r="5337" spans="1:24">
      <c r="A5337">
        <f>HYPERLINK("https://www.philgeps.gov.ph/GEPSNONPILOT/Tender/SplashBidNoticeAbstractUI.aspx?menuIndex=3&amp;refID=7189828&amp;Result=3","7189828")</f>
        <v>0</v>
      </c>
      <c r="B5337" t="s">
        <v>1856</v>
      </c>
      <c r="C5337" t="s">
        <v>8641</v>
      </c>
      <c r="E5337" t="s">
        <v>21861</v>
      </c>
      <c r="F5337" t="s">
        <v>29372</v>
      </c>
      <c r="G5337" t="s">
        <v>29380</v>
      </c>
      <c r="H5337" t="s">
        <v>11048</v>
      </c>
      <c r="I5337" t="s">
        <v>29407</v>
      </c>
      <c r="J5337" t="s">
        <v>32975</v>
      </c>
      <c r="K5337" t="s">
        <v>38518</v>
      </c>
      <c r="M5337" t="s">
        <v>40729</v>
      </c>
      <c r="N5337" t="s">
        <v>42669</v>
      </c>
      <c r="O5337" t="s">
        <v>42670</v>
      </c>
      <c r="P5337">
        <v>0</v>
      </c>
      <c r="Q5337">
        <v>2</v>
      </c>
      <c r="R5337" t="s">
        <v>42676</v>
      </c>
      <c r="S5337" t="s">
        <v>42809</v>
      </c>
      <c r="T5337" t="s">
        <v>44414</v>
      </c>
      <c r="U5337" t="s">
        <v>49150</v>
      </c>
      <c r="W5337" t="s">
        <v>40729</v>
      </c>
      <c r="X5337" t="s">
        <v>42677</v>
      </c>
    </row>
    <row r="5338" spans="1:24">
      <c r="A5338">
        <f>HYPERLINK("https://www.philgeps.gov.ph/GEPSNONPILOT/Tender/SplashBidNoticeAbstractUI.aspx?menuIndex=3&amp;refID=7189794&amp;Result=3","7189794")</f>
        <v>0</v>
      </c>
      <c r="B5338" t="s">
        <v>1854</v>
      </c>
      <c r="C5338" t="s">
        <v>8642</v>
      </c>
      <c r="D5338" t="s">
        <v>17141</v>
      </c>
      <c r="E5338" t="s">
        <v>21862</v>
      </c>
      <c r="F5338" t="s">
        <v>29372</v>
      </c>
      <c r="G5338" t="s">
        <v>29381</v>
      </c>
      <c r="H5338" t="s">
        <v>11048</v>
      </c>
      <c r="I5338" t="s">
        <v>29433</v>
      </c>
      <c r="J5338" t="s">
        <v>29587</v>
      </c>
      <c r="K5338" t="s">
        <v>38490</v>
      </c>
      <c r="L5338" t="s">
        <v>1854</v>
      </c>
      <c r="M5338" t="s">
        <v>40727</v>
      </c>
      <c r="N5338" t="s">
        <v>42669</v>
      </c>
      <c r="O5338" t="s">
        <v>42670</v>
      </c>
      <c r="P5338">
        <v>0</v>
      </c>
      <c r="Q5338">
        <v>10</v>
      </c>
      <c r="R5338" t="s">
        <v>42676</v>
      </c>
      <c r="S5338" t="s">
        <v>42809</v>
      </c>
      <c r="T5338" t="s">
        <v>44442</v>
      </c>
      <c r="U5338" t="s">
        <v>49121</v>
      </c>
      <c r="W5338" t="s">
        <v>40727</v>
      </c>
      <c r="X5338" t="s">
        <v>42677</v>
      </c>
    </row>
    <row r="5339" spans="1:24">
      <c r="A5339">
        <f>HYPERLINK("https://www.philgeps.gov.ph/GEPSNONPILOT/Tender/SplashBidNoticeAbstractUI.aspx?menuIndex=3&amp;refID=7189793&amp;Result=3","7189793")</f>
        <v>0</v>
      </c>
      <c r="B5339" t="s">
        <v>1287</v>
      </c>
      <c r="C5339" t="s">
        <v>8643</v>
      </c>
      <c r="D5339" t="s">
        <v>17194</v>
      </c>
      <c r="E5339" t="s">
        <v>21863</v>
      </c>
      <c r="F5339" t="s">
        <v>29372</v>
      </c>
      <c r="G5339" t="s">
        <v>29379</v>
      </c>
      <c r="H5339" t="s">
        <v>11048</v>
      </c>
      <c r="I5339" t="s">
        <v>8208</v>
      </c>
      <c r="J5339" t="s">
        <v>29767</v>
      </c>
      <c r="K5339" t="s">
        <v>38490</v>
      </c>
      <c r="M5339" t="s">
        <v>40724</v>
      </c>
      <c r="N5339" t="s">
        <v>42669</v>
      </c>
      <c r="O5339" t="s">
        <v>42670</v>
      </c>
      <c r="P5339">
        <v>0</v>
      </c>
      <c r="Q5339">
        <v>0</v>
      </c>
      <c r="R5339" t="s">
        <v>42676</v>
      </c>
      <c r="S5339" t="s">
        <v>42809</v>
      </c>
      <c r="T5339" t="s">
        <v>44493</v>
      </c>
      <c r="U5339" t="s">
        <v>49173</v>
      </c>
      <c r="W5339" t="s">
        <v>40724</v>
      </c>
      <c r="X5339" t="s">
        <v>42677</v>
      </c>
    </row>
    <row r="5340" spans="1:24">
      <c r="A5340">
        <f>HYPERLINK("https://www.philgeps.gov.ph/GEPSNONPILOT/Tender/SplashBidNoticeAbstractUI.aspx?menuIndex=3&amp;refID=7189791&amp;Result=3","7189791")</f>
        <v>0</v>
      </c>
      <c r="B5340" t="s">
        <v>1854</v>
      </c>
      <c r="C5340" t="s">
        <v>8644</v>
      </c>
      <c r="D5340" t="s">
        <v>17141</v>
      </c>
      <c r="E5340" t="s">
        <v>21864</v>
      </c>
      <c r="F5340" t="s">
        <v>29372</v>
      </c>
      <c r="G5340" t="s">
        <v>29381</v>
      </c>
      <c r="H5340" t="s">
        <v>11048</v>
      </c>
      <c r="I5340" t="s">
        <v>29400</v>
      </c>
      <c r="J5340" t="s">
        <v>32976</v>
      </c>
      <c r="K5340" t="s">
        <v>38490</v>
      </c>
      <c r="L5340" t="s">
        <v>1854</v>
      </c>
      <c r="M5340" t="s">
        <v>40727</v>
      </c>
      <c r="N5340" t="s">
        <v>42669</v>
      </c>
      <c r="O5340" t="s">
        <v>42670</v>
      </c>
      <c r="P5340">
        <v>0</v>
      </c>
      <c r="Q5340">
        <v>7</v>
      </c>
      <c r="R5340" t="s">
        <v>42676</v>
      </c>
      <c r="S5340" t="s">
        <v>42809</v>
      </c>
      <c r="T5340" t="s">
        <v>44442</v>
      </c>
      <c r="U5340" t="s">
        <v>49121</v>
      </c>
      <c r="W5340" t="s">
        <v>40727</v>
      </c>
      <c r="X5340" t="s">
        <v>42677</v>
      </c>
    </row>
    <row r="5341" spans="1:24">
      <c r="A5341">
        <f>HYPERLINK("https://www.philgeps.gov.ph/GEPSNONPILOT/Tender/SplashBidNoticeAbstractUI.aspx?menuIndex=3&amp;refID=7189720&amp;Result=3","7189720")</f>
        <v>0</v>
      </c>
      <c r="B5341" t="s">
        <v>1830</v>
      </c>
      <c r="C5341" t="s">
        <v>8645</v>
      </c>
      <c r="D5341" t="s">
        <v>17194</v>
      </c>
      <c r="E5341" t="s">
        <v>21865</v>
      </c>
      <c r="F5341" t="s">
        <v>29372</v>
      </c>
      <c r="G5341" t="s">
        <v>29379</v>
      </c>
      <c r="H5341" t="s">
        <v>11048</v>
      </c>
      <c r="I5341" t="s">
        <v>8614</v>
      </c>
      <c r="J5341" t="s">
        <v>30440</v>
      </c>
      <c r="K5341" t="s">
        <v>38485</v>
      </c>
      <c r="M5341" t="s">
        <v>40701</v>
      </c>
      <c r="N5341" t="s">
        <v>42669</v>
      </c>
      <c r="O5341" t="s">
        <v>42670</v>
      </c>
      <c r="P5341">
        <v>0</v>
      </c>
      <c r="Q5341">
        <v>1</v>
      </c>
      <c r="R5341" t="s">
        <v>42676</v>
      </c>
      <c r="S5341" t="s">
        <v>42809</v>
      </c>
      <c r="T5341" t="s">
        <v>44387</v>
      </c>
      <c r="U5341" t="s">
        <v>49174</v>
      </c>
      <c r="W5341" t="s">
        <v>40701</v>
      </c>
      <c r="X5341" t="s">
        <v>42677</v>
      </c>
    </row>
    <row r="5342" spans="1:24">
      <c r="A5342">
        <f>HYPERLINK("https://www.philgeps.gov.ph/GEPSNONPILOT/Tender/SplashBidNoticeAbstractUI.aspx?menuIndex=3&amp;refID=7189884&amp;Result=3","7189884")</f>
        <v>0</v>
      </c>
      <c r="B5342" t="s">
        <v>1287</v>
      </c>
      <c r="C5342" t="s">
        <v>8646</v>
      </c>
      <c r="D5342" t="s">
        <v>17195</v>
      </c>
      <c r="E5342" t="s">
        <v>21866</v>
      </c>
      <c r="F5342" t="s">
        <v>29372</v>
      </c>
      <c r="G5342" t="s">
        <v>29379</v>
      </c>
      <c r="H5342" t="s">
        <v>11048</v>
      </c>
      <c r="I5342" t="s">
        <v>29394</v>
      </c>
      <c r="J5342" t="s">
        <v>32977</v>
      </c>
      <c r="K5342" t="s">
        <v>38487</v>
      </c>
      <c r="M5342" t="s">
        <v>40724</v>
      </c>
      <c r="N5342" t="s">
        <v>42669</v>
      </c>
      <c r="O5342" t="s">
        <v>42670</v>
      </c>
      <c r="P5342">
        <v>0</v>
      </c>
      <c r="Q5342">
        <v>2</v>
      </c>
      <c r="R5342" t="s">
        <v>42676</v>
      </c>
      <c r="S5342" t="s">
        <v>42809</v>
      </c>
      <c r="T5342" t="s">
        <v>44493</v>
      </c>
      <c r="U5342" t="s">
        <v>49175</v>
      </c>
      <c r="W5342" t="s">
        <v>40724</v>
      </c>
      <c r="X5342" t="s">
        <v>42677</v>
      </c>
    </row>
    <row r="5343" spans="1:24">
      <c r="A5343">
        <f>HYPERLINK("https://www.philgeps.gov.ph/GEPSNONPILOT/Tender/SplashBidNoticeAbstractUI.aspx?menuIndex=3&amp;refID=7189790&amp;Result=3","7189790")</f>
        <v>0</v>
      </c>
      <c r="B5343" t="s">
        <v>1287</v>
      </c>
      <c r="C5343" t="s">
        <v>8647</v>
      </c>
      <c r="D5343" t="s">
        <v>17195</v>
      </c>
      <c r="E5343" t="s">
        <v>21867</v>
      </c>
      <c r="F5343" t="s">
        <v>29372</v>
      </c>
      <c r="G5343" t="s">
        <v>29379</v>
      </c>
      <c r="H5343" t="s">
        <v>11048</v>
      </c>
      <c r="I5343" t="s">
        <v>29465</v>
      </c>
      <c r="J5343" t="s">
        <v>29529</v>
      </c>
      <c r="K5343" t="s">
        <v>38490</v>
      </c>
      <c r="M5343" t="s">
        <v>40724</v>
      </c>
      <c r="N5343" t="s">
        <v>42669</v>
      </c>
      <c r="O5343" t="s">
        <v>42670</v>
      </c>
      <c r="P5343">
        <v>0</v>
      </c>
      <c r="Q5343">
        <v>0</v>
      </c>
      <c r="R5343" t="s">
        <v>42676</v>
      </c>
      <c r="S5343" t="s">
        <v>42809</v>
      </c>
      <c r="T5343" t="s">
        <v>44493</v>
      </c>
      <c r="U5343" t="s">
        <v>49176</v>
      </c>
      <c r="W5343" t="s">
        <v>40724</v>
      </c>
      <c r="X5343" t="s">
        <v>42677</v>
      </c>
    </row>
    <row r="5344" spans="1:24">
      <c r="A5344">
        <f>HYPERLINK("https://www.philgeps.gov.ph/GEPSNONPILOT/Tender/SplashBidNoticeAbstractUI.aspx?menuIndex=3&amp;refID=7189178&amp;Result=3","7189178")</f>
        <v>0</v>
      </c>
      <c r="B5344" t="s">
        <v>1326</v>
      </c>
      <c r="C5344" t="s">
        <v>8648</v>
      </c>
      <c r="D5344" t="s">
        <v>17189</v>
      </c>
      <c r="E5344" t="s">
        <v>21868</v>
      </c>
      <c r="F5344" t="s">
        <v>29372</v>
      </c>
      <c r="G5344" t="s">
        <v>29380</v>
      </c>
      <c r="H5344" t="s">
        <v>11048</v>
      </c>
      <c r="I5344" t="s">
        <v>4709</v>
      </c>
      <c r="J5344" t="s">
        <v>32978</v>
      </c>
      <c r="K5344" t="s">
        <v>38488</v>
      </c>
      <c r="M5344" t="s">
        <v>40162</v>
      </c>
      <c r="N5344" t="s">
        <v>42669</v>
      </c>
      <c r="O5344" t="s">
        <v>42670</v>
      </c>
      <c r="P5344">
        <v>0</v>
      </c>
      <c r="Q5344">
        <v>1</v>
      </c>
      <c r="R5344" t="s">
        <v>42676</v>
      </c>
      <c r="S5344" t="s">
        <v>42809</v>
      </c>
      <c r="T5344" t="s">
        <v>44371</v>
      </c>
      <c r="U5344" t="s">
        <v>49177</v>
      </c>
      <c r="W5344" t="s">
        <v>40162</v>
      </c>
      <c r="X5344" t="s">
        <v>42677</v>
      </c>
    </row>
    <row r="5345" spans="1:24">
      <c r="A5345">
        <f>HYPERLINK("https://www.philgeps.gov.ph/GEPSNONPILOT/Tender/SplashBidNoticeAbstractUI.aspx?menuIndex=3&amp;refID=7189829&amp;Result=3","7189829")</f>
        <v>0</v>
      </c>
      <c r="B5345" t="s">
        <v>1854</v>
      </c>
      <c r="C5345" t="s">
        <v>8649</v>
      </c>
      <c r="D5345" t="s">
        <v>17141</v>
      </c>
      <c r="E5345" t="s">
        <v>21869</v>
      </c>
      <c r="F5345" t="s">
        <v>29372</v>
      </c>
      <c r="G5345" t="s">
        <v>29381</v>
      </c>
      <c r="H5345" t="s">
        <v>11048</v>
      </c>
      <c r="I5345" t="s">
        <v>29433</v>
      </c>
      <c r="J5345" t="s">
        <v>32979</v>
      </c>
      <c r="K5345" t="s">
        <v>38490</v>
      </c>
      <c r="L5345" t="s">
        <v>1854</v>
      </c>
      <c r="M5345" t="s">
        <v>40727</v>
      </c>
      <c r="N5345" t="s">
        <v>42669</v>
      </c>
      <c r="O5345" t="s">
        <v>42670</v>
      </c>
      <c r="P5345">
        <v>0</v>
      </c>
      <c r="Q5345">
        <v>8</v>
      </c>
      <c r="R5345" t="s">
        <v>42676</v>
      </c>
      <c r="S5345" t="s">
        <v>42809</v>
      </c>
      <c r="T5345" t="s">
        <v>44442</v>
      </c>
      <c r="U5345" t="s">
        <v>49121</v>
      </c>
      <c r="W5345" t="s">
        <v>40727</v>
      </c>
      <c r="X5345" t="s">
        <v>42677</v>
      </c>
    </row>
    <row r="5346" spans="1:24">
      <c r="A5346">
        <f>HYPERLINK("https://www.philgeps.gov.ph/GEPSNONPILOT/Tender/SplashBidNoticeAbstractUI.aspx?menuIndex=3&amp;refID=7189146&amp;Result=3","7189146")</f>
        <v>0</v>
      </c>
      <c r="B5346" t="s">
        <v>1660</v>
      </c>
      <c r="C5346" t="s">
        <v>8650</v>
      </c>
      <c r="D5346" t="s">
        <v>17188</v>
      </c>
      <c r="E5346" t="s">
        <v>21870</v>
      </c>
      <c r="F5346" t="s">
        <v>29372</v>
      </c>
      <c r="G5346" t="s">
        <v>29380</v>
      </c>
      <c r="H5346" t="s">
        <v>11048</v>
      </c>
      <c r="I5346" t="s">
        <v>29423</v>
      </c>
      <c r="J5346" t="s">
        <v>32980</v>
      </c>
      <c r="K5346" t="s">
        <v>38488</v>
      </c>
      <c r="M5346" t="s">
        <v>40518</v>
      </c>
      <c r="N5346" t="s">
        <v>42669</v>
      </c>
      <c r="O5346" t="s">
        <v>42670</v>
      </c>
      <c r="P5346">
        <v>0</v>
      </c>
      <c r="Q5346">
        <v>2</v>
      </c>
      <c r="R5346" t="s">
        <v>42676</v>
      </c>
      <c r="S5346" t="s">
        <v>42809</v>
      </c>
      <c r="T5346" t="s">
        <v>44419</v>
      </c>
      <c r="U5346" t="s">
        <v>49178</v>
      </c>
      <c r="W5346" t="s">
        <v>40518</v>
      </c>
      <c r="X5346" t="s">
        <v>42677</v>
      </c>
    </row>
    <row r="5347" spans="1:24">
      <c r="A5347">
        <f>HYPERLINK("https://www.philgeps.gov.ph/GEPSNONPILOT/Tender/SplashBidNoticeAbstractUI.aspx?menuIndex=3&amp;refID=7189141&amp;Result=3","7189141")</f>
        <v>0</v>
      </c>
      <c r="B5347" t="s">
        <v>1543</v>
      </c>
      <c r="C5347" t="s">
        <v>8651</v>
      </c>
      <c r="E5347" t="s">
        <v>21871</v>
      </c>
      <c r="F5347" t="s">
        <v>29372</v>
      </c>
      <c r="G5347" t="s">
        <v>29379</v>
      </c>
      <c r="H5347" t="s">
        <v>11048</v>
      </c>
      <c r="I5347" t="s">
        <v>3839</v>
      </c>
      <c r="J5347" t="s">
        <v>32981</v>
      </c>
      <c r="K5347" t="s">
        <v>38490</v>
      </c>
      <c r="M5347" t="s">
        <v>40392</v>
      </c>
      <c r="N5347" t="s">
        <v>42669</v>
      </c>
      <c r="O5347" t="s">
        <v>42670</v>
      </c>
      <c r="P5347">
        <v>0</v>
      </c>
      <c r="Q5347">
        <v>3</v>
      </c>
      <c r="R5347" t="s">
        <v>42676</v>
      </c>
      <c r="S5347" t="s">
        <v>42809</v>
      </c>
      <c r="T5347" t="s">
        <v>44375</v>
      </c>
      <c r="U5347" t="s">
        <v>49179</v>
      </c>
      <c r="V5347" t="s">
        <v>56912</v>
      </c>
      <c r="W5347" t="s">
        <v>40392</v>
      </c>
      <c r="X5347" t="s">
        <v>42677</v>
      </c>
    </row>
    <row r="5348" spans="1:24">
      <c r="A5348">
        <f>HYPERLINK("https://www.philgeps.gov.ph/GEPSNONPILOT/Tender/SplashBidNoticeAbstractUI.aspx?menuIndex=3&amp;refID=7189830&amp;Result=3","7189830")</f>
        <v>0</v>
      </c>
      <c r="B5348" t="s">
        <v>1866</v>
      </c>
      <c r="C5348" t="s">
        <v>8652</v>
      </c>
      <c r="D5348" t="s">
        <v>17141</v>
      </c>
      <c r="E5348" t="s">
        <v>21872</v>
      </c>
      <c r="F5348" t="s">
        <v>29372</v>
      </c>
      <c r="G5348" t="s">
        <v>29380</v>
      </c>
      <c r="H5348" t="s">
        <v>11048</v>
      </c>
      <c r="I5348" t="s">
        <v>9642</v>
      </c>
      <c r="J5348" t="s">
        <v>32982</v>
      </c>
      <c r="K5348" t="s">
        <v>38485</v>
      </c>
      <c r="M5348" t="s">
        <v>40739</v>
      </c>
      <c r="N5348" t="s">
        <v>42669</v>
      </c>
      <c r="O5348" t="s">
        <v>42670</v>
      </c>
      <c r="P5348">
        <v>0</v>
      </c>
      <c r="Q5348">
        <v>9</v>
      </c>
      <c r="R5348" t="s">
        <v>42676</v>
      </c>
      <c r="S5348" t="s">
        <v>42809</v>
      </c>
      <c r="T5348" t="s">
        <v>44504</v>
      </c>
      <c r="U5348" t="s">
        <v>49180</v>
      </c>
      <c r="V5348" t="s">
        <v>56954</v>
      </c>
      <c r="W5348" t="s">
        <v>40739</v>
      </c>
      <c r="X5348" t="s">
        <v>42677</v>
      </c>
    </row>
    <row r="5349" spans="1:24">
      <c r="A5349">
        <f>HYPERLINK("https://www.philgeps.gov.ph/GEPSNONPILOT/Tender/SplashBidNoticeAbstractUI.aspx?menuIndex=3&amp;refID=7189140&amp;Result=3","7189140")</f>
        <v>0</v>
      </c>
      <c r="B5349" t="s">
        <v>52</v>
      </c>
      <c r="C5349" t="s">
        <v>8653</v>
      </c>
      <c r="D5349" t="s">
        <v>17192</v>
      </c>
      <c r="E5349" t="s">
        <v>21873</v>
      </c>
      <c r="F5349" t="s">
        <v>29372</v>
      </c>
      <c r="G5349" t="s">
        <v>29379</v>
      </c>
      <c r="H5349" t="s">
        <v>11048</v>
      </c>
      <c r="I5349" t="s">
        <v>14920</v>
      </c>
      <c r="J5349" t="s">
        <v>31159</v>
      </c>
      <c r="K5349" t="s">
        <v>38522</v>
      </c>
      <c r="M5349" t="s">
        <v>38805</v>
      </c>
      <c r="N5349" t="s">
        <v>42669</v>
      </c>
      <c r="O5349" t="s">
        <v>42670</v>
      </c>
      <c r="P5349">
        <v>0</v>
      </c>
      <c r="Q5349">
        <v>2</v>
      </c>
      <c r="R5349" t="s">
        <v>42676</v>
      </c>
      <c r="S5349" t="s">
        <v>42809</v>
      </c>
      <c r="T5349" t="s">
        <v>44431</v>
      </c>
      <c r="U5349" t="s">
        <v>49181</v>
      </c>
      <c r="W5349" t="s">
        <v>38805</v>
      </c>
      <c r="X5349" t="s">
        <v>42677</v>
      </c>
    </row>
    <row r="5350" spans="1:24">
      <c r="A5350">
        <f>HYPERLINK("https://www.philgeps.gov.ph/GEPSNONPILOT/Tender/SplashBidNoticeAbstractUI.aspx?menuIndex=3&amp;refID=7189149&amp;Result=3","7189149")</f>
        <v>0</v>
      </c>
      <c r="B5350" t="s">
        <v>1183</v>
      </c>
      <c r="C5350" t="s">
        <v>8654</v>
      </c>
      <c r="D5350" t="s">
        <v>17171</v>
      </c>
      <c r="E5350" t="s">
        <v>21874</v>
      </c>
      <c r="F5350" t="s">
        <v>29372</v>
      </c>
      <c r="G5350" t="s">
        <v>29379</v>
      </c>
      <c r="H5350" t="s">
        <v>11048</v>
      </c>
      <c r="I5350" t="s">
        <v>3952</v>
      </c>
      <c r="J5350" t="s">
        <v>32983</v>
      </c>
      <c r="K5350" t="s">
        <v>38510</v>
      </c>
      <c r="M5350" t="s">
        <v>39998</v>
      </c>
      <c r="N5350" t="s">
        <v>42669</v>
      </c>
      <c r="O5350" t="s">
        <v>42670</v>
      </c>
      <c r="P5350">
        <v>0</v>
      </c>
      <c r="Q5350">
        <v>1</v>
      </c>
      <c r="R5350" t="s">
        <v>42676</v>
      </c>
      <c r="S5350" t="s">
        <v>42809</v>
      </c>
      <c r="T5350" t="s">
        <v>44432</v>
      </c>
      <c r="U5350" t="s">
        <v>49182</v>
      </c>
      <c r="W5350" t="s">
        <v>42631</v>
      </c>
      <c r="X5350" t="s">
        <v>42677</v>
      </c>
    </row>
    <row r="5351" spans="1:24">
      <c r="A5351">
        <f>HYPERLINK("https://www.philgeps.gov.ph/GEPSNONPILOT/Tender/SplashBidNoticeAbstractUI.aspx?menuIndex=3&amp;refID=7189100&amp;Result=3","7189100")</f>
        <v>0</v>
      </c>
      <c r="B5351" t="s">
        <v>1765</v>
      </c>
      <c r="C5351" t="s">
        <v>8655</v>
      </c>
      <c r="D5351" t="s">
        <v>17183</v>
      </c>
      <c r="E5351" t="s">
        <v>21875</v>
      </c>
      <c r="F5351" t="s">
        <v>29372</v>
      </c>
      <c r="G5351" t="s">
        <v>29380</v>
      </c>
      <c r="H5351" t="s">
        <v>11048</v>
      </c>
      <c r="I5351" t="s">
        <v>5383</v>
      </c>
      <c r="J5351" t="s">
        <v>32984</v>
      </c>
      <c r="K5351" t="s">
        <v>38510</v>
      </c>
      <c r="M5351" t="s">
        <v>40632</v>
      </c>
      <c r="N5351" t="s">
        <v>42669</v>
      </c>
      <c r="O5351" t="s">
        <v>42670</v>
      </c>
      <c r="P5351">
        <v>0</v>
      </c>
      <c r="Q5351">
        <v>5</v>
      </c>
      <c r="R5351" t="s">
        <v>42676</v>
      </c>
      <c r="S5351" t="s">
        <v>42809</v>
      </c>
      <c r="T5351" t="s">
        <v>44357</v>
      </c>
      <c r="U5351" t="s">
        <v>49183</v>
      </c>
      <c r="W5351" t="s">
        <v>40632</v>
      </c>
      <c r="X5351" t="s">
        <v>42677</v>
      </c>
    </row>
    <row r="5352" spans="1:24">
      <c r="A5352">
        <f>HYPERLINK("https://www.philgeps.gov.ph/GEPSNONPILOT/Tender/SplashBidNoticeAbstractUI.aspx?menuIndex=3&amp;refID=7189145&amp;Result=3","7189145")</f>
        <v>0</v>
      </c>
      <c r="B5352" t="s">
        <v>1867</v>
      </c>
      <c r="C5352" t="s">
        <v>8656</v>
      </c>
      <c r="D5352" t="s">
        <v>17170</v>
      </c>
      <c r="E5352" t="s">
        <v>21876</v>
      </c>
      <c r="F5352" t="s">
        <v>29372</v>
      </c>
      <c r="G5352" t="s">
        <v>29380</v>
      </c>
      <c r="H5352" t="s">
        <v>11048</v>
      </c>
      <c r="I5352" t="s">
        <v>4709</v>
      </c>
      <c r="J5352" t="s">
        <v>32985</v>
      </c>
      <c r="K5352" t="s">
        <v>38488</v>
      </c>
      <c r="M5352" t="s">
        <v>40740</v>
      </c>
      <c r="N5352" t="s">
        <v>42669</v>
      </c>
      <c r="O5352" t="s">
        <v>42670</v>
      </c>
      <c r="P5352">
        <v>0</v>
      </c>
      <c r="Q5352">
        <v>0</v>
      </c>
      <c r="R5352" t="s">
        <v>42676</v>
      </c>
      <c r="S5352" t="s">
        <v>42809</v>
      </c>
      <c r="T5352" t="s">
        <v>44371</v>
      </c>
      <c r="U5352" t="s">
        <v>49184</v>
      </c>
      <c r="W5352" t="s">
        <v>40740</v>
      </c>
      <c r="X5352" t="s">
        <v>42677</v>
      </c>
    </row>
    <row r="5353" spans="1:24">
      <c r="A5353">
        <f>HYPERLINK("https://www.philgeps.gov.ph/GEPSNONPILOT/Tender/SplashBidNoticeAbstractUI.aspx?menuIndex=3&amp;refID=7189053&amp;Result=3","7189053")</f>
        <v>0</v>
      </c>
      <c r="B5353" t="s">
        <v>712</v>
      </c>
      <c r="C5353" t="s">
        <v>8205</v>
      </c>
      <c r="D5353" t="s">
        <v>17175</v>
      </c>
      <c r="E5353" t="s">
        <v>21877</v>
      </c>
      <c r="F5353" t="s">
        <v>29372</v>
      </c>
      <c r="G5353" t="s">
        <v>29380</v>
      </c>
      <c r="H5353" t="s">
        <v>11048</v>
      </c>
      <c r="I5353" t="s">
        <v>10408</v>
      </c>
      <c r="J5353" t="s">
        <v>32986</v>
      </c>
      <c r="K5353" t="s">
        <v>38510</v>
      </c>
      <c r="M5353" t="s">
        <v>39491</v>
      </c>
      <c r="N5353" t="s">
        <v>42669</v>
      </c>
      <c r="O5353" t="s">
        <v>42670</v>
      </c>
      <c r="P5353">
        <v>0</v>
      </c>
      <c r="Q5353">
        <v>3</v>
      </c>
      <c r="R5353" t="s">
        <v>42676</v>
      </c>
      <c r="S5353" t="s">
        <v>42809</v>
      </c>
      <c r="T5353" t="s">
        <v>44503</v>
      </c>
      <c r="U5353" t="s">
        <v>49185</v>
      </c>
      <c r="V5353" t="s">
        <v>56538</v>
      </c>
      <c r="W5353" t="s">
        <v>39491</v>
      </c>
      <c r="X5353" t="s">
        <v>42677</v>
      </c>
    </row>
    <row r="5354" spans="1:24">
      <c r="A5354">
        <f>HYPERLINK("https://www.philgeps.gov.ph/GEPSNONPILOT/Tender/SplashBidNoticeAbstractUI.aspx?menuIndex=3&amp;refID=7189049&amp;Result=3","7189049")</f>
        <v>0</v>
      </c>
      <c r="B5354" t="s">
        <v>669</v>
      </c>
      <c r="C5354" t="s">
        <v>8657</v>
      </c>
      <c r="D5354" t="s">
        <v>17147</v>
      </c>
      <c r="E5354" t="s">
        <v>21878</v>
      </c>
      <c r="F5354" t="s">
        <v>29372</v>
      </c>
      <c r="G5354" t="s">
        <v>29382</v>
      </c>
      <c r="H5354" t="s">
        <v>11048</v>
      </c>
      <c r="I5354" t="s">
        <v>29432</v>
      </c>
      <c r="J5354" t="s">
        <v>32987</v>
      </c>
      <c r="K5354" t="s">
        <v>38488</v>
      </c>
      <c r="M5354" t="s">
        <v>39445</v>
      </c>
      <c r="N5354" t="s">
        <v>42669</v>
      </c>
      <c r="O5354" t="s">
        <v>42670</v>
      </c>
      <c r="P5354">
        <v>0</v>
      </c>
      <c r="Q5354">
        <v>1</v>
      </c>
      <c r="R5354" t="s">
        <v>42676</v>
      </c>
      <c r="S5354" t="s">
        <v>42809</v>
      </c>
      <c r="T5354" t="s">
        <v>44524</v>
      </c>
      <c r="U5354" t="s">
        <v>49186</v>
      </c>
      <c r="V5354" t="s">
        <v>56531</v>
      </c>
      <c r="W5354" t="s">
        <v>39445</v>
      </c>
      <c r="X5354" t="s">
        <v>42677</v>
      </c>
    </row>
    <row r="5355" spans="1:24">
      <c r="A5355">
        <f>HYPERLINK("https://www.philgeps.gov.ph/GEPSNONPILOT/Tender/SplashBidNoticeAbstractUI.aspx?menuIndex=3&amp;refID=7189147&amp;Result=3","7189147")</f>
        <v>0</v>
      </c>
      <c r="B5355" t="s">
        <v>1769</v>
      </c>
      <c r="C5355" t="s">
        <v>8658</v>
      </c>
      <c r="D5355" t="s">
        <v>17165</v>
      </c>
      <c r="E5355" t="s">
        <v>21879</v>
      </c>
      <c r="F5355" t="s">
        <v>29372</v>
      </c>
      <c r="G5355" t="s">
        <v>29379</v>
      </c>
      <c r="H5355" t="s">
        <v>11048</v>
      </c>
      <c r="I5355" t="s">
        <v>29489</v>
      </c>
      <c r="J5355" t="s">
        <v>32988</v>
      </c>
      <c r="K5355" t="s">
        <v>38490</v>
      </c>
      <c r="M5355" t="s">
        <v>40636</v>
      </c>
      <c r="N5355" t="s">
        <v>42669</v>
      </c>
      <c r="O5355" t="s">
        <v>42670</v>
      </c>
      <c r="P5355">
        <v>0</v>
      </c>
      <c r="Q5355">
        <v>1</v>
      </c>
      <c r="R5355" t="s">
        <v>42676</v>
      </c>
      <c r="S5355" t="s">
        <v>42809</v>
      </c>
      <c r="T5355" t="s">
        <v>44417</v>
      </c>
      <c r="U5355" t="s">
        <v>49187</v>
      </c>
      <c r="W5355" t="s">
        <v>40636</v>
      </c>
      <c r="X5355" t="s">
        <v>42677</v>
      </c>
    </row>
    <row r="5356" spans="1:24">
      <c r="A5356">
        <f>HYPERLINK("https://www.philgeps.gov.ph/GEPSNONPILOT/Tender/SplashBidNoticeAbstractUI.aspx?menuIndex=3&amp;refID=7188948&amp;Result=3","7188948")</f>
        <v>0</v>
      </c>
      <c r="B5356" t="s">
        <v>1703</v>
      </c>
      <c r="C5356" t="s">
        <v>8659</v>
      </c>
      <c r="D5356" t="s">
        <v>17143</v>
      </c>
      <c r="E5356" t="s">
        <v>21880</v>
      </c>
      <c r="F5356" t="s">
        <v>29372</v>
      </c>
      <c r="G5356" t="s">
        <v>29380</v>
      </c>
      <c r="H5356" t="s">
        <v>11048</v>
      </c>
      <c r="I5356" t="s">
        <v>10408</v>
      </c>
      <c r="J5356" t="s">
        <v>32989</v>
      </c>
      <c r="K5356" t="s">
        <v>38496</v>
      </c>
      <c r="M5356" t="s">
        <v>40565</v>
      </c>
      <c r="N5356" t="s">
        <v>42669</v>
      </c>
      <c r="O5356" t="s">
        <v>42670</v>
      </c>
      <c r="P5356">
        <v>0</v>
      </c>
      <c r="Q5356">
        <v>3</v>
      </c>
      <c r="R5356" t="s">
        <v>42676</v>
      </c>
      <c r="S5356" t="s">
        <v>42809</v>
      </c>
      <c r="T5356" t="s">
        <v>44527</v>
      </c>
      <c r="U5356" t="s">
        <v>49188</v>
      </c>
      <c r="W5356" t="s">
        <v>40565</v>
      </c>
      <c r="X5356" t="s">
        <v>42677</v>
      </c>
    </row>
    <row r="5357" spans="1:24">
      <c r="A5357">
        <f>HYPERLINK("https://www.philgeps.gov.ph/GEPSNONPILOT/Tender/SplashBidNoticeAbstractUI.aspx?menuIndex=3&amp;refID=7188946&amp;Result=3","7188946")</f>
        <v>0</v>
      </c>
      <c r="B5357" t="s">
        <v>1753</v>
      </c>
      <c r="C5357" t="s">
        <v>8660</v>
      </c>
      <c r="D5357" t="s">
        <v>17211</v>
      </c>
      <c r="E5357" t="s">
        <v>21881</v>
      </c>
      <c r="F5357" t="s">
        <v>29372</v>
      </c>
      <c r="G5357" t="s">
        <v>29380</v>
      </c>
      <c r="H5357" t="s">
        <v>11048</v>
      </c>
      <c r="I5357" t="s">
        <v>4709</v>
      </c>
      <c r="J5357" t="s">
        <v>32990</v>
      </c>
      <c r="K5357" t="s">
        <v>38487</v>
      </c>
      <c r="M5357" t="s">
        <v>40618</v>
      </c>
      <c r="N5357" t="s">
        <v>42669</v>
      </c>
      <c r="O5357" t="s">
        <v>42670</v>
      </c>
      <c r="P5357">
        <v>0</v>
      </c>
      <c r="Q5357">
        <v>0</v>
      </c>
      <c r="R5357" t="s">
        <v>42676</v>
      </c>
      <c r="S5357" t="s">
        <v>42809</v>
      </c>
      <c r="T5357" t="s">
        <v>44453</v>
      </c>
      <c r="U5357" t="s">
        <v>49189</v>
      </c>
      <c r="V5357" t="s">
        <v>56955</v>
      </c>
      <c r="W5357" t="s">
        <v>40618</v>
      </c>
      <c r="X5357" t="s">
        <v>42677</v>
      </c>
    </row>
    <row r="5358" spans="1:24">
      <c r="A5358">
        <f>HYPERLINK("https://www.philgeps.gov.ph/GEPSNONPILOT/Tender/SplashBidNoticeAbstractUI.aspx?menuIndex=3&amp;refID=7188936&amp;Result=3","7188936")</f>
        <v>0</v>
      </c>
      <c r="B5358" t="s">
        <v>1750</v>
      </c>
      <c r="C5358" t="s">
        <v>8661</v>
      </c>
      <c r="D5358" t="s">
        <v>17143</v>
      </c>
      <c r="E5358" t="s">
        <v>19402</v>
      </c>
      <c r="F5358" t="s">
        <v>29372</v>
      </c>
      <c r="G5358" t="s">
        <v>29380</v>
      </c>
      <c r="H5358" t="s">
        <v>29389</v>
      </c>
      <c r="I5358" t="s">
        <v>10408</v>
      </c>
      <c r="J5358" t="s">
        <v>29590</v>
      </c>
      <c r="K5358" t="s">
        <v>38496</v>
      </c>
      <c r="M5358" t="s">
        <v>40615</v>
      </c>
      <c r="N5358" t="s">
        <v>42669</v>
      </c>
      <c r="O5358" t="s">
        <v>42670</v>
      </c>
      <c r="P5358">
        <v>0</v>
      </c>
      <c r="Q5358">
        <v>1</v>
      </c>
      <c r="R5358" t="s">
        <v>42676</v>
      </c>
      <c r="S5358" t="s">
        <v>42809</v>
      </c>
      <c r="T5358" t="s">
        <v>44679</v>
      </c>
      <c r="U5358" t="s">
        <v>49190</v>
      </c>
      <c r="W5358" t="s">
        <v>40615</v>
      </c>
      <c r="X5358" t="s">
        <v>42677</v>
      </c>
    </row>
    <row r="5359" spans="1:24">
      <c r="A5359">
        <f>HYPERLINK("https://www.philgeps.gov.ph/GEPSNONPILOT/Tender/SplashBidNoticeAbstractUI.aspx?menuIndex=3&amp;refID=7189055&amp;Result=3","7189055")</f>
        <v>0</v>
      </c>
      <c r="B5359" t="s">
        <v>1868</v>
      </c>
      <c r="C5359" t="s">
        <v>8662</v>
      </c>
      <c r="D5359" t="s">
        <v>17145</v>
      </c>
      <c r="E5359" t="s">
        <v>17399</v>
      </c>
      <c r="F5359" t="s">
        <v>29372</v>
      </c>
      <c r="G5359" t="s">
        <v>29380</v>
      </c>
      <c r="H5359" t="s">
        <v>29389</v>
      </c>
      <c r="I5359" t="s">
        <v>10408</v>
      </c>
      <c r="J5359" t="s">
        <v>32991</v>
      </c>
      <c r="K5359" t="s">
        <v>38647</v>
      </c>
      <c r="M5359" t="s">
        <v>40741</v>
      </c>
      <c r="N5359" t="s">
        <v>42669</v>
      </c>
      <c r="O5359" t="s">
        <v>42670</v>
      </c>
      <c r="P5359">
        <v>0</v>
      </c>
      <c r="Q5359">
        <v>0</v>
      </c>
      <c r="R5359" t="s">
        <v>42676</v>
      </c>
      <c r="S5359" t="s">
        <v>42809</v>
      </c>
      <c r="T5359" t="s">
        <v>44539</v>
      </c>
      <c r="U5359" t="s">
        <v>49191</v>
      </c>
      <c r="W5359" t="s">
        <v>40741</v>
      </c>
      <c r="X5359" t="s">
        <v>42677</v>
      </c>
    </row>
    <row r="5360" spans="1:24">
      <c r="A5360">
        <f>HYPERLINK("https://www.philgeps.gov.ph/GEPSNONPILOT/Tender/SplashBidNoticeAbstractUI.aspx?menuIndex=3&amp;refID=7189934&amp;Result=3","7189934")</f>
        <v>0</v>
      </c>
      <c r="B5360" t="s">
        <v>1869</v>
      </c>
      <c r="C5360" t="s">
        <v>8663</v>
      </c>
      <c r="D5360" t="s">
        <v>17170</v>
      </c>
      <c r="E5360" t="s">
        <v>21882</v>
      </c>
      <c r="F5360" t="s">
        <v>29372</v>
      </c>
      <c r="G5360" t="s">
        <v>29380</v>
      </c>
      <c r="H5360" t="s">
        <v>11048</v>
      </c>
      <c r="I5360" t="s">
        <v>29400</v>
      </c>
      <c r="J5360" t="s">
        <v>32992</v>
      </c>
      <c r="K5360" t="s">
        <v>38485</v>
      </c>
      <c r="M5360" t="s">
        <v>40742</v>
      </c>
      <c r="N5360" t="s">
        <v>42669</v>
      </c>
      <c r="O5360" t="s">
        <v>42670</v>
      </c>
      <c r="P5360">
        <v>0</v>
      </c>
      <c r="Q5360">
        <v>8</v>
      </c>
      <c r="R5360" t="s">
        <v>42676</v>
      </c>
      <c r="S5360" t="s">
        <v>42809</v>
      </c>
      <c r="T5360" t="s">
        <v>44539</v>
      </c>
      <c r="U5360" t="s">
        <v>49192</v>
      </c>
      <c r="W5360" t="s">
        <v>40742</v>
      </c>
      <c r="X5360" t="s">
        <v>42677</v>
      </c>
    </row>
    <row r="5361" spans="1:24">
      <c r="A5361">
        <f>HYPERLINK("https://www.philgeps.gov.ph/GEPSNONPILOT/Tender/SplashBidNoticeAbstractUI.aspx?menuIndex=3&amp;refID=7189052&amp;Result=3","7189052")</f>
        <v>0</v>
      </c>
      <c r="B5361" t="s">
        <v>1676</v>
      </c>
      <c r="C5361" t="s">
        <v>8664</v>
      </c>
      <c r="D5361" t="s">
        <v>17155</v>
      </c>
      <c r="E5361" t="s">
        <v>21883</v>
      </c>
      <c r="F5361" t="s">
        <v>29372</v>
      </c>
      <c r="G5361" t="s">
        <v>29379</v>
      </c>
      <c r="H5361" t="s">
        <v>11048</v>
      </c>
      <c r="I5361" t="s">
        <v>29499</v>
      </c>
      <c r="J5361" t="s">
        <v>31569</v>
      </c>
      <c r="K5361" t="s">
        <v>38488</v>
      </c>
      <c r="M5361" t="s">
        <v>40536</v>
      </c>
      <c r="N5361" t="s">
        <v>42669</v>
      </c>
      <c r="O5361" t="s">
        <v>42670</v>
      </c>
      <c r="P5361">
        <v>0</v>
      </c>
      <c r="Q5361">
        <v>0</v>
      </c>
      <c r="R5361" t="s">
        <v>42676</v>
      </c>
      <c r="S5361" t="s">
        <v>42809</v>
      </c>
      <c r="T5361" t="s">
        <v>44432</v>
      </c>
      <c r="U5361" t="s">
        <v>49193</v>
      </c>
      <c r="W5361" t="s">
        <v>40536</v>
      </c>
      <c r="X5361" t="s">
        <v>42677</v>
      </c>
    </row>
    <row r="5362" spans="1:24">
      <c r="A5362">
        <f>HYPERLINK("https://www.philgeps.gov.ph/GEPSNONPILOT/Tender/SplashBidNoticeAbstractUI.aspx?menuIndex=3&amp;refID=7189929&amp;Result=3","7189929")</f>
        <v>0</v>
      </c>
      <c r="B5362" t="s">
        <v>1870</v>
      </c>
      <c r="C5362" t="s">
        <v>5442</v>
      </c>
      <c r="D5362" t="s">
        <v>17172</v>
      </c>
      <c r="E5362" t="s">
        <v>18026</v>
      </c>
      <c r="F5362" t="s">
        <v>29372</v>
      </c>
      <c r="G5362" t="s">
        <v>29380</v>
      </c>
      <c r="H5362" t="s">
        <v>11048</v>
      </c>
      <c r="I5362" t="s">
        <v>4709</v>
      </c>
      <c r="J5362" t="s">
        <v>32993</v>
      </c>
      <c r="K5362" t="s">
        <v>38510</v>
      </c>
      <c r="M5362" t="s">
        <v>40743</v>
      </c>
      <c r="N5362" t="s">
        <v>42669</v>
      </c>
      <c r="O5362" t="s">
        <v>42670</v>
      </c>
      <c r="P5362">
        <v>0</v>
      </c>
      <c r="Q5362">
        <v>0</v>
      </c>
      <c r="R5362" t="s">
        <v>42676</v>
      </c>
      <c r="S5362" t="s">
        <v>42809</v>
      </c>
      <c r="T5362" t="s">
        <v>44530</v>
      </c>
      <c r="U5362" t="s">
        <v>49194</v>
      </c>
      <c r="W5362" t="s">
        <v>40743</v>
      </c>
      <c r="X5362" t="s">
        <v>42677</v>
      </c>
    </row>
    <row r="5363" spans="1:24">
      <c r="A5363">
        <f>HYPERLINK("https://www.philgeps.gov.ph/GEPSNONPILOT/Tender/SplashBidNoticeAbstractUI.aspx?menuIndex=3&amp;refID=7189928&amp;Result=3","7189928")</f>
        <v>0</v>
      </c>
      <c r="B5363" t="s">
        <v>1309</v>
      </c>
      <c r="C5363" t="s">
        <v>8665</v>
      </c>
      <c r="D5363" t="s">
        <v>17141</v>
      </c>
      <c r="E5363" t="s">
        <v>21884</v>
      </c>
      <c r="F5363" t="s">
        <v>29372</v>
      </c>
      <c r="G5363" t="s">
        <v>29379</v>
      </c>
      <c r="H5363" t="s">
        <v>29391</v>
      </c>
      <c r="I5363" t="s">
        <v>29391</v>
      </c>
      <c r="J5363" t="s">
        <v>29609</v>
      </c>
      <c r="K5363" t="s">
        <v>38490</v>
      </c>
      <c r="M5363" t="s">
        <v>40141</v>
      </c>
      <c r="N5363" t="s">
        <v>42669</v>
      </c>
      <c r="O5363" t="s">
        <v>42670</v>
      </c>
      <c r="P5363">
        <v>0</v>
      </c>
      <c r="Q5363">
        <v>8</v>
      </c>
      <c r="R5363" t="s">
        <v>42676</v>
      </c>
      <c r="S5363" t="s">
        <v>42809</v>
      </c>
      <c r="T5363" t="s">
        <v>44382</v>
      </c>
      <c r="U5363" t="s">
        <v>49195</v>
      </c>
      <c r="W5363" t="s">
        <v>40141</v>
      </c>
      <c r="X5363" t="s">
        <v>42677</v>
      </c>
    </row>
    <row r="5364" spans="1:24">
      <c r="A5364">
        <f>HYPERLINK("https://www.philgeps.gov.ph/GEPSNONPILOT/Tender/SplashBidNoticeAbstractUI.aspx?menuIndex=3&amp;refID=7189933&amp;Result=3","7189933")</f>
        <v>0</v>
      </c>
      <c r="B5364" t="s">
        <v>1871</v>
      </c>
      <c r="C5364" t="s">
        <v>8036</v>
      </c>
      <c r="D5364" t="s">
        <v>17174</v>
      </c>
      <c r="E5364" t="s">
        <v>21885</v>
      </c>
      <c r="F5364" t="s">
        <v>29372</v>
      </c>
      <c r="G5364" t="s">
        <v>29380</v>
      </c>
      <c r="H5364" t="s">
        <v>29389</v>
      </c>
      <c r="I5364" t="s">
        <v>10408</v>
      </c>
      <c r="J5364" t="s">
        <v>32994</v>
      </c>
      <c r="K5364" t="s">
        <v>38487</v>
      </c>
      <c r="M5364" t="s">
        <v>40744</v>
      </c>
      <c r="N5364" t="s">
        <v>42669</v>
      </c>
      <c r="O5364" t="s">
        <v>42670</v>
      </c>
      <c r="P5364">
        <v>0</v>
      </c>
      <c r="Q5364">
        <v>0</v>
      </c>
      <c r="R5364" t="s">
        <v>42676</v>
      </c>
      <c r="S5364" t="s">
        <v>42809</v>
      </c>
      <c r="T5364" t="s">
        <v>44382</v>
      </c>
      <c r="U5364" t="s">
        <v>49196</v>
      </c>
      <c r="V5364" t="s">
        <v>56956</v>
      </c>
      <c r="W5364" t="s">
        <v>40744</v>
      </c>
      <c r="X5364" t="s">
        <v>42677</v>
      </c>
    </row>
    <row r="5365" spans="1:24">
      <c r="A5365">
        <f>HYPERLINK("https://www.philgeps.gov.ph/GEPSNONPILOT/Tender/SplashBidNoticeAbstractUI.aspx?menuIndex=3&amp;refID=7188939&amp;Result=3","7188939")</f>
        <v>0</v>
      </c>
      <c r="B5365" t="s">
        <v>1676</v>
      </c>
      <c r="C5365" t="s">
        <v>8666</v>
      </c>
      <c r="D5365" t="s">
        <v>17155</v>
      </c>
      <c r="E5365" t="s">
        <v>21886</v>
      </c>
      <c r="F5365" t="s">
        <v>29372</v>
      </c>
      <c r="G5365" t="s">
        <v>29379</v>
      </c>
      <c r="H5365" t="s">
        <v>11048</v>
      </c>
      <c r="I5365" t="s">
        <v>3629</v>
      </c>
      <c r="J5365" t="s">
        <v>29571</v>
      </c>
      <c r="K5365" t="s">
        <v>38488</v>
      </c>
      <c r="M5365" t="s">
        <v>40536</v>
      </c>
      <c r="N5365" t="s">
        <v>42669</v>
      </c>
      <c r="O5365" t="s">
        <v>42670</v>
      </c>
      <c r="P5365">
        <v>0</v>
      </c>
      <c r="Q5365">
        <v>1</v>
      </c>
      <c r="R5365" t="s">
        <v>42676</v>
      </c>
      <c r="S5365" t="s">
        <v>42809</v>
      </c>
      <c r="T5365" t="s">
        <v>44432</v>
      </c>
      <c r="U5365" t="s">
        <v>49197</v>
      </c>
      <c r="W5365" t="s">
        <v>40536</v>
      </c>
      <c r="X5365" t="s">
        <v>42677</v>
      </c>
    </row>
    <row r="5366" spans="1:24">
      <c r="A5366">
        <f>HYPERLINK("https://www.philgeps.gov.ph/GEPSNONPILOT/Tender/SplashBidNoticeAbstractUI.aspx?menuIndex=3&amp;refID=7189931&amp;Result=3","7189931")</f>
        <v>0</v>
      </c>
      <c r="B5366" t="s">
        <v>1860</v>
      </c>
      <c r="C5366" t="s">
        <v>8667</v>
      </c>
      <c r="D5366" t="s">
        <v>17204</v>
      </c>
      <c r="E5366" t="s">
        <v>21887</v>
      </c>
      <c r="F5366" t="s">
        <v>29372</v>
      </c>
      <c r="G5366" t="s">
        <v>29380</v>
      </c>
      <c r="H5366" t="s">
        <v>29389</v>
      </c>
      <c r="I5366" t="s">
        <v>10408</v>
      </c>
      <c r="J5366" t="s">
        <v>32995</v>
      </c>
      <c r="K5366" t="s">
        <v>38515</v>
      </c>
      <c r="M5366" t="s">
        <v>40733</v>
      </c>
      <c r="N5366" t="s">
        <v>42669</v>
      </c>
      <c r="O5366" t="s">
        <v>42670</v>
      </c>
      <c r="P5366">
        <v>0</v>
      </c>
      <c r="Q5366">
        <v>0</v>
      </c>
      <c r="R5366" t="s">
        <v>42676</v>
      </c>
      <c r="S5366" t="s">
        <v>42809</v>
      </c>
      <c r="T5366" t="s">
        <v>44394</v>
      </c>
      <c r="U5366" t="s">
        <v>49198</v>
      </c>
      <c r="W5366" t="s">
        <v>40733</v>
      </c>
      <c r="X5366" t="s">
        <v>42677</v>
      </c>
    </row>
    <row r="5367" spans="1:24">
      <c r="A5367">
        <f>HYPERLINK("https://www.philgeps.gov.ph/GEPSNONPILOT/Tender/SplashBidNoticeAbstractUI.aspx?menuIndex=3&amp;refID=7189926&amp;Result=3","7189926")</f>
        <v>0</v>
      </c>
      <c r="B5367" t="s">
        <v>1132</v>
      </c>
      <c r="C5367" t="s">
        <v>8668</v>
      </c>
      <c r="D5367" t="s">
        <v>17204</v>
      </c>
      <c r="E5367" t="s">
        <v>21888</v>
      </c>
      <c r="F5367" t="s">
        <v>29372</v>
      </c>
      <c r="G5367" t="s">
        <v>29380</v>
      </c>
      <c r="H5367" t="s">
        <v>11048</v>
      </c>
      <c r="I5367" t="s">
        <v>4709</v>
      </c>
      <c r="J5367" t="s">
        <v>32996</v>
      </c>
      <c r="K5367" t="s">
        <v>38488</v>
      </c>
      <c r="M5367" t="s">
        <v>39944</v>
      </c>
      <c r="N5367" t="s">
        <v>42669</v>
      </c>
      <c r="O5367" t="s">
        <v>42670</v>
      </c>
      <c r="P5367">
        <v>0</v>
      </c>
      <c r="Q5367">
        <v>0</v>
      </c>
      <c r="R5367" t="s">
        <v>42676</v>
      </c>
      <c r="S5367" t="s">
        <v>42809</v>
      </c>
      <c r="T5367" t="s">
        <v>44584</v>
      </c>
      <c r="U5367" t="s">
        <v>49199</v>
      </c>
      <c r="W5367" t="s">
        <v>39944</v>
      </c>
      <c r="X5367" t="s">
        <v>42677</v>
      </c>
    </row>
    <row r="5368" spans="1:24">
      <c r="A5368">
        <f>HYPERLINK("https://www.philgeps.gov.ph/GEPSNONPILOT/Tender/SplashBidNoticeAbstractUI.aspx?menuIndex=3&amp;refID=7189925&amp;Result=3","7189925")</f>
        <v>0</v>
      </c>
      <c r="B5368" t="s">
        <v>1872</v>
      </c>
      <c r="C5368" t="s">
        <v>8669</v>
      </c>
      <c r="D5368" t="s">
        <v>17172</v>
      </c>
      <c r="E5368" t="s">
        <v>21889</v>
      </c>
      <c r="F5368" t="s">
        <v>29372</v>
      </c>
      <c r="G5368" t="s">
        <v>29380</v>
      </c>
      <c r="H5368" t="s">
        <v>11048</v>
      </c>
      <c r="I5368" t="s">
        <v>4709</v>
      </c>
      <c r="J5368" t="s">
        <v>32997</v>
      </c>
      <c r="K5368" t="s">
        <v>38510</v>
      </c>
      <c r="M5368" t="s">
        <v>40745</v>
      </c>
      <c r="N5368" t="s">
        <v>42669</v>
      </c>
      <c r="O5368" t="s">
        <v>42670</v>
      </c>
      <c r="P5368">
        <v>0</v>
      </c>
      <c r="Q5368">
        <v>0</v>
      </c>
      <c r="R5368" t="s">
        <v>42676</v>
      </c>
      <c r="S5368" t="s">
        <v>42809</v>
      </c>
      <c r="T5368" t="s">
        <v>44387</v>
      </c>
      <c r="U5368" t="s">
        <v>49200</v>
      </c>
      <c r="W5368" t="s">
        <v>40745</v>
      </c>
      <c r="X5368" t="s">
        <v>42677</v>
      </c>
    </row>
    <row r="5369" spans="1:24">
      <c r="A5369">
        <f>HYPERLINK("https://www.philgeps.gov.ph/GEPSNONPILOT/Tender/SplashBidNoticeAbstractUI.aspx?menuIndex=3&amp;refID=7189924&amp;Result=3","7189924")</f>
        <v>0</v>
      </c>
      <c r="B5369" t="s">
        <v>1235</v>
      </c>
      <c r="C5369" t="s">
        <v>8670</v>
      </c>
      <c r="D5369" t="s">
        <v>17191</v>
      </c>
      <c r="E5369" t="s">
        <v>21890</v>
      </c>
      <c r="F5369" t="s">
        <v>29372</v>
      </c>
      <c r="G5369" t="s">
        <v>29379</v>
      </c>
      <c r="H5369" t="s">
        <v>11048</v>
      </c>
      <c r="I5369" t="s">
        <v>8614</v>
      </c>
      <c r="J5369" t="s">
        <v>32998</v>
      </c>
      <c r="K5369" t="s">
        <v>38488</v>
      </c>
      <c r="M5369" t="s">
        <v>40056</v>
      </c>
      <c r="N5369" t="s">
        <v>42669</v>
      </c>
      <c r="O5369" t="s">
        <v>42670</v>
      </c>
      <c r="P5369">
        <v>0</v>
      </c>
      <c r="Q5369">
        <v>4</v>
      </c>
      <c r="R5369" t="s">
        <v>42676</v>
      </c>
      <c r="S5369" t="s">
        <v>42809</v>
      </c>
      <c r="T5369" t="s">
        <v>44454</v>
      </c>
      <c r="U5369" t="s">
        <v>47538</v>
      </c>
      <c r="V5369" t="s">
        <v>56667</v>
      </c>
      <c r="W5369" t="s">
        <v>40056</v>
      </c>
      <c r="X5369" t="s">
        <v>42677</v>
      </c>
    </row>
    <row r="5370" spans="1:24">
      <c r="A5370">
        <f>HYPERLINK("https://www.philgeps.gov.ph/GEPSNONPILOT/Tender/SplashBidNoticeAbstractUI.aspx?menuIndex=3&amp;refID=7189921&amp;Result=3","7189921")</f>
        <v>0</v>
      </c>
      <c r="B5370" t="s">
        <v>1873</v>
      </c>
      <c r="C5370" t="s">
        <v>8671</v>
      </c>
      <c r="D5370" t="s">
        <v>17222</v>
      </c>
      <c r="E5370" t="s">
        <v>21891</v>
      </c>
      <c r="F5370" t="s">
        <v>29372</v>
      </c>
      <c r="G5370" t="s">
        <v>29380</v>
      </c>
      <c r="H5370" t="s">
        <v>11048</v>
      </c>
      <c r="I5370" t="s">
        <v>9469</v>
      </c>
      <c r="J5370" t="s">
        <v>32999</v>
      </c>
      <c r="K5370" t="s">
        <v>38485</v>
      </c>
      <c r="M5370" t="s">
        <v>40746</v>
      </c>
      <c r="N5370" t="s">
        <v>42669</v>
      </c>
      <c r="O5370" t="s">
        <v>42670</v>
      </c>
      <c r="P5370">
        <v>0</v>
      </c>
      <c r="Q5370">
        <v>5</v>
      </c>
      <c r="R5370" t="s">
        <v>42676</v>
      </c>
      <c r="S5370" t="s">
        <v>42809</v>
      </c>
      <c r="T5370" t="s">
        <v>44692</v>
      </c>
      <c r="U5370" t="s">
        <v>49201</v>
      </c>
      <c r="W5370" t="s">
        <v>40746</v>
      </c>
      <c r="X5370" t="s">
        <v>42677</v>
      </c>
    </row>
    <row r="5371" spans="1:24">
      <c r="A5371">
        <f>HYPERLINK("https://www.philgeps.gov.ph/GEPSNONPILOT/Tender/SplashBidNoticeAbstractUI.aspx?menuIndex=3&amp;refID=7189917&amp;Result=3","7189917")</f>
        <v>0</v>
      </c>
      <c r="B5371" t="s">
        <v>1874</v>
      </c>
      <c r="C5371" t="s">
        <v>8672</v>
      </c>
      <c r="D5371" t="s">
        <v>17192</v>
      </c>
      <c r="E5371" t="s">
        <v>21892</v>
      </c>
      <c r="F5371" t="s">
        <v>29372</v>
      </c>
      <c r="G5371" t="s">
        <v>29380</v>
      </c>
      <c r="H5371" t="s">
        <v>29389</v>
      </c>
      <c r="I5371" t="s">
        <v>10408</v>
      </c>
      <c r="J5371" t="s">
        <v>33000</v>
      </c>
      <c r="K5371" t="s">
        <v>38648</v>
      </c>
      <c r="M5371" t="s">
        <v>40747</v>
      </c>
      <c r="N5371" t="s">
        <v>42669</v>
      </c>
      <c r="O5371" t="s">
        <v>42670</v>
      </c>
      <c r="P5371">
        <v>0</v>
      </c>
      <c r="Q5371">
        <v>7</v>
      </c>
      <c r="R5371" t="s">
        <v>42676</v>
      </c>
      <c r="S5371" t="s">
        <v>42809</v>
      </c>
      <c r="T5371" t="s">
        <v>44572</v>
      </c>
      <c r="U5371" t="s">
        <v>49202</v>
      </c>
      <c r="W5371" t="s">
        <v>58061</v>
      </c>
      <c r="X5371" t="s">
        <v>42677</v>
      </c>
    </row>
    <row r="5372" spans="1:24">
      <c r="A5372">
        <f>HYPERLINK("https://www.philgeps.gov.ph/GEPSNONPILOT/Tender/SplashBidNoticeAbstractUI.aspx?menuIndex=3&amp;refID=7189935&amp;Result=3","7189935")</f>
        <v>0</v>
      </c>
      <c r="B5372" t="s">
        <v>1384</v>
      </c>
      <c r="C5372" t="s">
        <v>8673</v>
      </c>
      <c r="D5372" t="s">
        <v>17191</v>
      </c>
      <c r="E5372" t="s">
        <v>21893</v>
      </c>
      <c r="F5372" t="s">
        <v>29372</v>
      </c>
      <c r="G5372" t="s">
        <v>29380</v>
      </c>
      <c r="H5372" t="s">
        <v>11048</v>
      </c>
      <c r="I5372" t="s">
        <v>29393</v>
      </c>
      <c r="J5372" t="s">
        <v>33001</v>
      </c>
      <c r="K5372" t="s">
        <v>38619</v>
      </c>
      <c r="M5372" t="s">
        <v>40222</v>
      </c>
      <c r="N5372" t="s">
        <v>42669</v>
      </c>
      <c r="O5372" t="s">
        <v>42670</v>
      </c>
      <c r="P5372">
        <v>0</v>
      </c>
      <c r="Q5372">
        <v>0</v>
      </c>
      <c r="R5372" t="s">
        <v>42676</v>
      </c>
      <c r="S5372" t="s">
        <v>42809</v>
      </c>
      <c r="T5372" t="s">
        <v>44470</v>
      </c>
      <c r="U5372" t="s">
        <v>49203</v>
      </c>
      <c r="W5372" t="s">
        <v>40222</v>
      </c>
      <c r="X5372" t="s">
        <v>42677</v>
      </c>
    </row>
    <row r="5373" spans="1:24">
      <c r="A5373">
        <f>HYPERLINK("https://www.philgeps.gov.ph/GEPSNONPILOT/Tender/SplashBidNoticeAbstractUI.aspx?menuIndex=3&amp;refID=7188943&amp;Result=3","7188943")</f>
        <v>0</v>
      </c>
      <c r="B5373" t="s">
        <v>1707</v>
      </c>
      <c r="C5373" t="s">
        <v>8674</v>
      </c>
      <c r="D5373" t="s">
        <v>17143</v>
      </c>
      <c r="E5373" t="s">
        <v>21894</v>
      </c>
      <c r="F5373" t="s">
        <v>29372</v>
      </c>
      <c r="G5373" t="s">
        <v>29379</v>
      </c>
      <c r="H5373" t="s">
        <v>11048</v>
      </c>
      <c r="I5373" t="s">
        <v>29428</v>
      </c>
      <c r="J5373" t="s">
        <v>33002</v>
      </c>
      <c r="K5373" t="s">
        <v>38488</v>
      </c>
      <c r="M5373" t="s">
        <v>40570</v>
      </c>
      <c r="N5373" t="s">
        <v>42669</v>
      </c>
      <c r="O5373" t="s">
        <v>42670</v>
      </c>
      <c r="P5373">
        <v>0</v>
      </c>
      <c r="Q5373">
        <v>0</v>
      </c>
      <c r="R5373" t="s">
        <v>42676</v>
      </c>
      <c r="S5373" t="s">
        <v>42809</v>
      </c>
      <c r="T5373" t="s">
        <v>44394</v>
      </c>
      <c r="U5373" t="s">
        <v>49204</v>
      </c>
      <c r="W5373" t="s">
        <v>40570</v>
      </c>
      <c r="X5373" t="s">
        <v>42677</v>
      </c>
    </row>
    <row r="5374" spans="1:24">
      <c r="A5374">
        <f>HYPERLINK("https://www.philgeps.gov.ph/GEPSNONPILOT/Tender/SplashBidNoticeAbstractUI.aspx?menuIndex=3&amp;refID=7189967&amp;Result=3","7189967")</f>
        <v>0</v>
      </c>
      <c r="B5374" t="s">
        <v>1875</v>
      </c>
      <c r="C5374" t="s">
        <v>8675</v>
      </c>
      <c r="D5374" t="s">
        <v>17179</v>
      </c>
      <c r="E5374" t="s">
        <v>21895</v>
      </c>
      <c r="F5374" t="s">
        <v>29372</v>
      </c>
      <c r="G5374" t="s">
        <v>29379</v>
      </c>
      <c r="H5374" t="s">
        <v>11048</v>
      </c>
      <c r="I5374" t="s">
        <v>29395</v>
      </c>
      <c r="J5374" t="s">
        <v>33003</v>
      </c>
      <c r="K5374" t="s">
        <v>38530</v>
      </c>
      <c r="M5374" t="s">
        <v>40748</v>
      </c>
      <c r="N5374" t="s">
        <v>42669</v>
      </c>
      <c r="O5374" t="s">
        <v>42670</v>
      </c>
      <c r="P5374">
        <v>0</v>
      </c>
      <c r="Q5374">
        <v>0</v>
      </c>
      <c r="R5374" t="s">
        <v>42676</v>
      </c>
      <c r="S5374" t="s">
        <v>42809</v>
      </c>
      <c r="T5374" t="s">
        <v>44387</v>
      </c>
      <c r="U5374" t="s">
        <v>49205</v>
      </c>
      <c r="W5374" t="s">
        <v>40748</v>
      </c>
      <c r="X5374" t="s">
        <v>42677</v>
      </c>
    </row>
    <row r="5375" spans="1:24">
      <c r="A5375">
        <f>HYPERLINK("https://www.philgeps.gov.ph/GEPSNONPILOT/Tender/SplashBidNoticeAbstractUI.aspx?menuIndex=3&amp;refID=7189919&amp;Result=3","7189919")</f>
        <v>0</v>
      </c>
      <c r="B5375" t="s">
        <v>136</v>
      </c>
      <c r="C5375" t="s">
        <v>8676</v>
      </c>
      <c r="D5375" t="s">
        <v>17141</v>
      </c>
      <c r="E5375" t="s">
        <v>21896</v>
      </c>
      <c r="F5375" t="s">
        <v>29372</v>
      </c>
      <c r="G5375" t="s">
        <v>29380</v>
      </c>
      <c r="H5375" t="s">
        <v>11048</v>
      </c>
      <c r="I5375" t="s">
        <v>5383</v>
      </c>
      <c r="J5375" t="s">
        <v>33004</v>
      </c>
      <c r="K5375" t="s">
        <v>38489</v>
      </c>
      <c r="M5375" t="s">
        <v>38891</v>
      </c>
      <c r="N5375" t="s">
        <v>42669</v>
      </c>
      <c r="O5375" t="s">
        <v>42670</v>
      </c>
      <c r="P5375">
        <v>0</v>
      </c>
      <c r="Q5375">
        <v>8</v>
      </c>
      <c r="R5375" t="s">
        <v>42676</v>
      </c>
      <c r="S5375" t="s">
        <v>42809</v>
      </c>
      <c r="T5375" t="s">
        <v>44371</v>
      </c>
      <c r="U5375" t="s">
        <v>49206</v>
      </c>
      <c r="V5375" t="s">
        <v>56957</v>
      </c>
      <c r="W5375" t="s">
        <v>38891</v>
      </c>
      <c r="X5375" t="s">
        <v>42677</v>
      </c>
    </row>
    <row r="5376" spans="1:24">
      <c r="A5376">
        <f>HYPERLINK("https://www.philgeps.gov.ph/GEPSNONPILOT/Tender/SplashBidNoticeAbstractUI.aspx?menuIndex=3&amp;refID=7189965&amp;Result=3","7189965")</f>
        <v>0</v>
      </c>
      <c r="B5376" t="s">
        <v>1876</v>
      </c>
      <c r="C5376" t="s">
        <v>8677</v>
      </c>
      <c r="D5376" t="s">
        <v>17163</v>
      </c>
      <c r="E5376" t="s">
        <v>17648</v>
      </c>
      <c r="F5376" t="s">
        <v>29372</v>
      </c>
      <c r="G5376" t="s">
        <v>29379</v>
      </c>
      <c r="H5376" t="s">
        <v>11048</v>
      </c>
      <c r="I5376" t="s">
        <v>29447</v>
      </c>
      <c r="J5376" t="s">
        <v>29532</v>
      </c>
      <c r="K5376" t="s">
        <v>38528</v>
      </c>
      <c r="M5376" t="s">
        <v>40749</v>
      </c>
      <c r="N5376" t="s">
        <v>42669</v>
      </c>
      <c r="O5376" t="s">
        <v>42670</v>
      </c>
      <c r="P5376">
        <v>0</v>
      </c>
      <c r="Q5376">
        <v>2</v>
      </c>
      <c r="R5376" t="s">
        <v>42676</v>
      </c>
      <c r="S5376" t="s">
        <v>42809</v>
      </c>
      <c r="T5376" t="s">
        <v>44454</v>
      </c>
      <c r="U5376" t="s">
        <v>49207</v>
      </c>
      <c r="W5376" t="s">
        <v>40749</v>
      </c>
      <c r="X5376" t="s">
        <v>42677</v>
      </c>
    </row>
    <row r="5377" spans="1:24">
      <c r="A5377">
        <f>HYPERLINK("https://www.philgeps.gov.ph/GEPSNONPILOT/Tender/SplashBidNoticeAbstractUI.aspx?menuIndex=3&amp;refID=7189963&amp;Result=3","7189963")</f>
        <v>0</v>
      </c>
      <c r="B5377" t="s">
        <v>1877</v>
      </c>
      <c r="C5377" t="s">
        <v>8678</v>
      </c>
      <c r="D5377" t="s">
        <v>17153</v>
      </c>
      <c r="E5377" t="s">
        <v>17533</v>
      </c>
      <c r="F5377" t="s">
        <v>29372</v>
      </c>
      <c r="G5377" t="s">
        <v>29380</v>
      </c>
      <c r="H5377" t="s">
        <v>11048</v>
      </c>
      <c r="I5377" t="s">
        <v>4709</v>
      </c>
      <c r="J5377" t="s">
        <v>30674</v>
      </c>
      <c r="K5377" t="s">
        <v>38518</v>
      </c>
      <c r="M5377" t="s">
        <v>40750</v>
      </c>
      <c r="N5377" t="s">
        <v>42669</v>
      </c>
      <c r="O5377" t="s">
        <v>42670</v>
      </c>
      <c r="P5377">
        <v>0</v>
      </c>
      <c r="Q5377">
        <v>0</v>
      </c>
      <c r="R5377" t="s">
        <v>42676</v>
      </c>
      <c r="S5377" t="s">
        <v>42809</v>
      </c>
      <c r="T5377" t="s">
        <v>44393</v>
      </c>
      <c r="U5377" t="s">
        <v>49208</v>
      </c>
      <c r="W5377" t="s">
        <v>40750</v>
      </c>
      <c r="X5377" t="s">
        <v>42677</v>
      </c>
    </row>
    <row r="5378" spans="1:24">
      <c r="A5378">
        <f>HYPERLINK("https://www.philgeps.gov.ph/GEPSNONPILOT/Tender/SplashBidNoticeAbstractUI.aspx?menuIndex=3&amp;refID=7189968&amp;Result=3","7189968")</f>
        <v>0</v>
      </c>
      <c r="B5378" t="s">
        <v>1384</v>
      </c>
      <c r="C5378" t="s">
        <v>8679</v>
      </c>
      <c r="D5378" t="s">
        <v>17191</v>
      </c>
      <c r="E5378" t="s">
        <v>20981</v>
      </c>
      <c r="F5378" t="s">
        <v>29372</v>
      </c>
      <c r="G5378" t="s">
        <v>29380</v>
      </c>
      <c r="H5378" t="s">
        <v>11048</v>
      </c>
      <c r="I5378" t="s">
        <v>14920</v>
      </c>
      <c r="J5378" t="s">
        <v>33005</v>
      </c>
      <c r="K5378" t="s">
        <v>38485</v>
      </c>
      <c r="M5378" t="s">
        <v>40222</v>
      </c>
      <c r="N5378" t="s">
        <v>42669</v>
      </c>
      <c r="O5378" t="s">
        <v>42670</v>
      </c>
      <c r="P5378">
        <v>0</v>
      </c>
      <c r="Q5378">
        <v>0</v>
      </c>
      <c r="R5378" t="s">
        <v>42676</v>
      </c>
      <c r="S5378" t="s">
        <v>42809</v>
      </c>
      <c r="T5378" t="s">
        <v>44542</v>
      </c>
      <c r="U5378" t="s">
        <v>49209</v>
      </c>
      <c r="W5378" t="s">
        <v>40222</v>
      </c>
      <c r="X5378" t="s">
        <v>42677</v>
      </c>
    </row>
    <row r="5379" spans="1:24">
      <c r="A5379">
        <f>HYPERLINK("https://www.philgeps.gov.ph/GEPSNONPILOT/Tender/SplashBidNoticeAbstractUI.aspx?menuIndex=3&amp;refID=7189960&amp;Result=3","7189960")</f>
        <v>0</v>
      </c>
      <c r="B5379" t="s">
        <v>1878</v>
      </c>
      <c r="C5379" t="s">
        <v>8680</v>
      </c>
      <c r="D5379" t="s">
        <v>17185</v>
      </c>
      <c r="E5379" t="s">
        <v>21897</v>
      </c>
      <c r="F5379" t="s">
        <v>29372</v>
      </c>
      <c r="G5379" t="s">
        <v>29380</v>
      </c>
      <c r="H5379" t="s">
        <v>29389</v>
      </c>
      <c r="I5379" t="s">
        <v>29417</v>
      </c>
      <c r="J5379" t="s">
        <v>33006</v>
      </c>
      <c r="K5379" t="s">
        <v>38496</v>
      </c>
      <c r="M5379" t="s">
        <v>40751</v>
      </c>
      <c r="N5379" t="s">
        <v>42669</v>
      </c>
      <c r="O5379" t="s">
        <v>42670</v>
      </c>
      <c r="P5379">
        <v>0</v>
      </c>
      <c r="Q5379">
        <v>1</v>
      </c>
      <c r="R5379" t="s">
        <v>42676</v>
      </c>
      <c r="S5379" t="s">
        <v>42809</v>
      </c>
      <c r="T5379" t="s">
        <v>44476</v>
      </c>
      <c r="U5379" t="s">
        <v>49210</v>
      </c>
      <c r="W5379" t="s">
        <v>40751</v>
      </c>
      <c r="X5379" t="s">
        <v>42677</v>
      </c>
    </row>
    <row r="5380" spans="1:24">
      <c r="A5380">
        <f>HYPERLINK("https://www.philgeps.gov.ph/GEPSNONPILOT/Tender/SplashBidNoticeAbstractUI.aspx?menuIndex=3&amp;refID=7189922&amp;Result=3","7189922")</f>
        <v>0</v>
      </c>
      <c r="B5380" t="s">
        <v>1874</v>
      </c>
      <c r="C5380" t="s">
        <v>8681</v>
      </c>
      <c r="D5380" t="s">
        <v>17192</v>
      </c>
      <c r="E5380" t="s">
        <v>21898</v>
      </c>
      <c r="F5380" t="s">
        <v>29372</v>
      </c>
      <c r="G5380" t="s">
        <v>29380</v>
      </c>
      <c r="H5380" t="s">
        <v>29389</v>
      </c>
      <c r="I5380" t="s">
        <v>10408</v>
      </c>
      <c r="J5380" t="s">
        <v>33007</v>
      </c>
      <c r="K5380" t="s">
        <v>38649</v>
      </c>
      <c r="M5380" t="s">
        <v>40747</v>
      </c>
      <c r="N5380" t="s">
        <v>42669</v>
      </c>
      <c r="O5380" t="s">
        <v>42670</v>
      </c>
      <c r="P5380">
        <v>0</v>
      </c>
      <c r="Q5380">
        <v>6</v>
      </c>
      <c r="R5380" t="s">
        <v>42676</v>
      </c>
      <c r="S5380" t="s">
        <v>42809</v>
      </c>
      <c r="T5380" t="s">
        <v>44572</v>
      </c>
      <c r="U5380" t="s">
        <v>49202</v>
      </c>
      <c r="W5380" t="s">
        <v>58061</v>
      </c>
      <c r="X5380" t="s">
        <v>42677</v>
      </c>
    </row>
    <row r="5381" spans="1:24">
      <c r="A5381">
        <f>HYPERLINK("https://www.philgeps.gov.ph/GEPSNONPILOT/Tender/SplashBidNoticeAbstractUI.aspx?menuIndex=3&amp;refID=7189959&amp;Result=3","7189959")</f>
        <v>0</v>
      </c>
      <c r="B5381" t="s">
        <v>1875</v>
      </c>
      <c r="C5381" t="s">
        <v>8682</v>
      </c>
      <c r="D5381" t="s">
        <v>17179</v>
      </c>
      <c r="E5381" t="s">
        <v>21899</v>
      </c>
      <c r="F5381" t="s">
        <v>29372</v>
      </c>
      <c r="G5381" t="s">
        <v>29379</v>
      </c>
      <c r="H5381" t="s">
        <v>11048</v>
      </c>
      <c r="I5381" t="s">
        <v>29398</v>
      </c>
      <c r="J5381" t="s">
        <v>33008</v>
      </c>
      <c r="K5381" t="s">
        <v>38530</v>
      </c>
      <c r="M5381" t="s">
        <v>40748</v>
      </c>
      <c r="N5381" t="s">
        <v>42669</v>
      </c>
      <c r="O5381" t="s">
        <v>42670</v>
      </c>
      <c r="P5381">
        <v>0</v>
      </c>
      <c r="Q5381">
        <v>0</v>
      </c>
      <c r="R5381" t="s">
        <v>42676</v>
      </c>
      <c r="S5381" t="s">
        <v>42809</v>
      </c>
      <c r="T5381" t="s">
        <v>44387</v>
      </c>
      <c r="U5381" t="s">
        <v>49211</v>
      </c>
      <c r="W5381" t="s">
        <v>40748</v>
      </c>
      <c r="X5381" t="s">
        <v>42677</v>
      </c>
    </row>
    <row r="5382" spans="1:24">
      <c r="A5382">
        <f>HYPERLINK("https://www.philgeps.gov.ph/GEPSNONPILOT/Tender/SplashBidNoticeAbstractUI.aspx?menuIndex=3&amp;refID=7189952&amp;Result=3","7189952")</f>
        <v>0</v>
      </c>
      <c r="B5382" t="s">
        <v>1879</v>
      </c>
      <c r="C5382" t="s">
        <v>8683</v>
      </c>
      <c r="D5382" t="s">
        <v>17141</v>
      </c>
      <c r="E5382" t="s">
        <v>17972</v>
      </c>
      <c r="F5382" t="s">
        <v>29372</v>
      </c>
      <c r="G5382" t="s">
        <v>29380</v>
      </c>
      <c r="H5382" t="s">
        <v>11048</v>
      </c>
      <c r="I5382" t="s">
        <v>29395</v>
      </c>
      <c r="J5382" t="s">
        <v>33009</v>
      </c>
      <c r="K5382" t="s">
        <v>38489</v>
      </c>
      <c r="M5382" t="s">
        <v>40752</v>
      </c>
      <c r="N5382" t="s">
        <v>42669</v>
      </c>
      <c r="O5382" t="s">
        <v>42670</v>
      </c>
      <c r="P5382">
        <v>0</v>
      </c>
      <c r="Q5382">
        <v>6</v>
      </c>
      <c r="R5382" t="s">
        <v>42676</v>
      </c>
      <c r="S5382" t="s">
        <v>42809</v>
      </c>
      <c r="T5382" t="s">
        <v>44386</v>
      </c>
      <c r="U5382" t="s">
        <v>49212</v>
      </c>
      <c r="V5382" t="s">
        <v>56406</v>
      </c>
      <c r="W5382" t="s">
        <v>40752</v>
      </c>
      <c r="X5382" t="s">
        <v>42677</v>
      </c>
    </row>
    <row r="5383" spans="1:24">
      <c r="A5383">
        <f>HYPERLINK("https://www.philgeps.gov.ph/GEPSNONPILOT/Tender/SplashBidNoticeAbstractUI.aspx?menuIndex=3&amp;refID=7189949&amp;Result=3","7189949")</f>
        <v>0</v>
      </c>
      <c r="B5383" t="s">
        <v>1880</v>
      </c>
      <c r="C5383" t="s">
        <v>8684</v>
      </c>
      <c r="D5383" t="s">
        <v>17141</v>
      </c>
      <c r="E5383" t="s">
        <v>17347</v>
      </c>
      <c r="F5383" t="s">
        <v>29372</v>
      </c>
      <c r="G5383" t="s">
        <v>29380</v>
      </c>
      <c r="H5383" t="s">
        <v>11048</v>
      </c>
      <c r="I5383" t="s">
        <v>29413</v>
      </c>
      <c r="J5383" t="s">
        <v>33010</v>
      </c>
      <c r="K5383" t="s">
        <v>38489</v>
      </c>
      <c r="M5383" t="s">
        <v>40753</v>
      </c>
      <c r="N5383" t="s">
        <v>42669</v>
      </c>
      <c r="O5383" t="s">
        <v>42670</v>
      </c>
      <c r="P5383">
        <v>0</v>
      </c>
      <c r="Q5383">
        <v>3</v>
      </c>
      <c r="R5383" t="s">
        <v>42676</v>
      </c>
      <c r="S5383" t="s">
        <v>42809</v>
      </c>
      <c r="T5383" t="s">
        <v>44434</v>
      </c>
      <c r="U5383" t="s">
        <v>49213</v>
      </c>
      <c r="V5383" t="s">
        <v>56406</v>
      </c>
      <c r="W5383" t="s">
        <v>40753</v>
      </c>
      <c r="X5383" t="s">
        <v>42677</v>
      </c>
    </row>
    <row r="5384" spans="1:24">
      <c r="A5384">
        <f>HYPERLINK("https://www.philgeps.gov.ph/GEPSNONPILOT/Tender/SplashBidNoticeAbstractUI.aspx?menuIndex=3&amp;refID=7189962&amp;Result=3","7189962")</f>
        <v>0</v>
      </c>
      <c r="B5384" t="s">
        <v>1881</v>
      </c>
      <c r="C5384" t="s">
        <v>8685</v>
      </c>
      <c r="D5384" t="s">
        <v>17174</v>
      </c>
      <c r="E5384" t="s">
        <v>21900</v>
      </c>
      <c r="F5384" t="s">
        <v>29372</v>
      </c>
      <c r="G5384" t="s">
        <v>29380</v>
      </c>
      <c r="H5384" t="s">
        <v>11048</v>
      </c>
      <c r="I5384" t="s">
        <v>29407</v>
      </c>
      <c r="J5384" t="s">
        <v>30100</v>
      </c>
      <c r="K5384" t="s">
        <v>38489</v>
      </c>
      <c r="M5384" t="s">
        <v>40754</v>
      </c>
      <c r="N5384" t="s">
        <v>42669</v>
      </c>
      <c r="O5384" t="s">
        <v>42670</v>
      </c>
      <c r="P5384">
        <v>0</v>
      </c>
      <c r="Q5384">
        <v>3</v>
      </c>
      <c r="R5384" t="s">
        <v>42676</v>
      </c>
      <c r="S5384" t="s">
        <v>42809</v>
      </c>
      <c r="T5384" t="s">
        <v>44444</v>
      </c>
      <c r="U5384" t="s">
        <v>49214</v>
      </c>
      <c r="W5384" t="s">
        <v>40754</v>
      </c>
      <c r="X5384" t="s">
        <v>42677</v>
      </c>
    </row>
    <row r="5385" spans="1:24">
      <c r="A5385">
        <f>HYPERLINK("https://www.philgeps.gov.ph/GEPSNONPILOT/Tender/SplashBidNoticeAbstractUI.aspx?menuIndex=3&amp;refID=7190002&amp;Result=3","7190002")</f>
        <v>0</v>
      </c>
      <c r="B5385" t="s">
        <v>1860</v>
      </c>
      <c r="C5385" t="s">
        <v>8686</v>
      </c>
      <c r="D5385" t="s">
        <v>17204</v>
      </c>
      <c r="E5385" t="s">
        <v>21901</v>
      </c>
      <c r="F5385" t="s">
        <v>29372</v>
      </c>
      <c r="G5385" t="s">
        <v>29380</v>
      </c>
      <c r="H5385" t="s">
        <v>29389</v>
      </c>
      <c r="I5385" t="s">
        <v>10408</v>
      </c>
      <c r="J5385" t="s">
        <v>33011</v>
      </c>
      <c r="K5385" t="s">
        <v>38577</v>
      </c>
      <c r="M5385" t="s">
        <v>40733</v>
      </c>
      <c r="N5385" t="s">
        <v>42669</v>
      </c>
      <c r="O5385" t="s">
        <v>42670</v>
      </c>
      <c r="P5385">
        <v>0</v>
      </c>
      <c r="Q5385">
        <v>1</v>
      </c>
      <c r="R5385" t="s">
        <v>42676</v>
      </c>
      <c r="S5385" t="s">
        <v>42809</v>
      </c>
      <c r="T5385" t="s">
        <v>44394</v>
      </c>
      <c r="U5385" t="s">
        <v>49215</v>
      </c>
      <c r="W5385" t="s">
        <v>40733</v>
      </c>
      <c r="X5385" t="s">
        <v>42677</v>
      </c>
    </row>
    <row r="5386" spans="1:24">
      <c r="A5386">
        <f>HYPERLINK("https://www.philgeps.gov.ph/GEPSNONPILOT/Tender/SplashBidNoticeAbstractUI.aspx?menuIndex=3&amp;refID=7190001&amp;Result=3","7190001")</f>
        <v>0</v>
      </c>
      <c r="B5386" t="s">
        <v>1316</v>
      </c>
      <c r="C5386" t="s">
        <v>8687</v>
      </c>
      <c r="D5386" t="s">
        <v>17200</v>
      </c>
      <c r="E5386" t="s">
        <v>17794</v>
      </c>
      <c r="F5386" t="s">
        <v>29372</v>
      </c>
      <c r="G5386" t="s">
        <v>29380</v>
      </c>
      <c r="H5386" t="s">
        <v>11048</v>
      </c>
      <c r="I5386" t="s">
        <v>29426</v>
      </c>
      <c r="J5386" t="s">
        <v>33012</v>
      </c>
      <c r="K5386" t="s">
        <v>38485</v>
      </c>
      <c r="M5386" t="s">
        <v>40148</v>
      </c>
      <c r="N5386" t="s">
        <v>42669</v>
      </c>
      <c r="O5386" t="s">
        <v>42670</v>
      </c>
      <c r="P5386">
        <v>0</v>
      </c>
      <c r="Q5386">
        <v>4</v>
      </c>
      <c r="R5386" t="s">
        <v>42676</v>
      </c>
      <c r="S5386" t="s">
        <v>42809</v>
      </c>
      <c r="T5386" t="s">
        <v>44557</v>
      </c>
      <c r="U5386" t="s">
        <v>49216</v>
      </c>
      <c r="W5386" t="s">
        <v>40148</v>
      </c>
      <c r="X5386" t="s">
        <v>42677</v>
      </c>
    </row>
    <row r="5387" spans="1:24">
      <c r="A5387">
        <f>HYPERLINK("https://www.philgeps.gov.ph/GEPSNONPILOT/Tender/SplashBidNoticeAbstractUI.aspx?menuIndex=3&amp;refID=7189956&amp;Result=3","7189956")</f>
        <v>0</v>
      </c>
      <c r="B5387" t="s">
        <v>1388</v>
      </c>
      <c r="C5387" t="s">
        <v>8688</v>
      </c>
      <c r="D5387" t="s">
        <v>17205</v>
      </c>
      <c r="E5387" t="s">
        <v>18255</v>
      </c>
      <c r="F5387" t="s">
        <v>29372</v>
      </c>
      <c r="G5387" t="s">
        <v>29380</v>
      </c>
      <c r="H5387" t="s">
        <v>29389</v>
      </c>
      <c r="I5387" t="s">
        <v>10408</v>
      </c>
      <c r="J5387" t="s">
        <v>29708</v>
      </c>
      <c r="K5387" t="s">
        <v>38491</v>
      </c>
      <c r="M5387" t="s">
        <v>40226</v>
      </c>
      <c r="N5387" t="s">
        <v>42669</v>
      </c>
      <c r="O5387" t="s">
        <v>42670</v>
      </c>
      <c r="P5387">
        <v>0</v>
      </c>
      <c r="Q5387">
        <v>0</v>
      </c>
      <c r="R5387" t="s">
        <v>42676</v>
      </c>
      <c r="S5387" t="s">
        <v>42809</v>
      </c>
      <c r="T5387" t="s">
        <v>44382</v>
      </c>
      <c r="U5387" t="s">
        <v>49217</v>
      </c>
      <c r="V5387" t="s">
        <v>56958</v>
      </c>
      <c r="W5387" t="s">
        <v>40226</v>
      </c>
      <c r="X5387" t="s">
        <v>42677</v>
      </c>
    </row>
    <row r="5388" spans="1:24">
      <c r="A5388">
        <f>HYPERLINK("https://www.philgeps.gov.ph/GEPSNONPILOT/Tender/SplashBidNoticeAbstractUI.aspx?menuIndex=3&amp;refID=7189953&amp;Result=3","7189953")</f>
        <v>0</v>
      </c>
      <c r="B5388" t="s">
        <v>1180</v>
      </c>
      <c r="C5388" t="s">
        <v>8689</v>
      </c>
      <c r="D5388" t="s">
        <v>17170</v>
      </c>
      <c r="E5388" t="s">
        <v>21902</v>
      </c>
      <c r="F5388" t="s">
        <v>29372</v>
      </c>
      <c r="G5388" t="s">
        <v>29380</v>
      </c>
      <c r="H5388" t="s">
        <v>29390</v>
      </c>
      <c r="I5388" t="s">
        <v>29478</v>
      </c>
      <c r="J5388" t="s">
        <v>29573</v>
      </c>
      <c r="K5388" t="s">
        <v>38603</v>
      </c>
      <c r="M5388" t="s">
        <v>39995</v>
      </c>
      <c r="N5388" t="s">
        <v>42669</v>
      </c>
      <c r="O5388" t="s">
        <v>42670</v>
      </c>
      <c r="P5388">
        <v>0</v>
      </c>
      <c r="Q5388">
        <v>6</v>
      </c>
      <c r="R5388" t="s">
        <v>42676</v>
      </c>
      <c r="S5388" t="s">
        <v>42809</v>
      </c>
      <c r="T5388" t="s">
        <v>44368</v>
      </c>
      <c r="U5388" t="s">
        <v>49218</v>
      </c>
      <c r="W5388" t="s">
        <v>39995</v>
      </c>
      <c r="X5388" t="s">
        <v>42677</v>
      </c>
    </row>
    <row r="5389" spans="1:24">
      <c r="A5389">
        <f>HYPERLINK("https://www.philgeps.gov.ph/GEPSNONPILOT/Tender/SplashBidNoticeAbstractUI.aspx?menuIndex=3&amp;refID=7189998&amp;Result=3","7189998")</f>
        <v>0</v>
      </c>
      <c r="B5389" t="s">
        <v>1882</v>
      </c>
      <c r="C5389" t="s">
        <v>8690</v>
      </c>
      <c r="D5389" t="s">
        <v>17197</v>
      </c>
      <c r="E5389" t="s">
        <v>21903</v>
      </c>
      <c r="F5389" t="s">
        <v>29372</v>
      </c>
      <c r="G5389" t="s">
        <v>29380</v>
      </c>
      <c r="H5389" t="s">
        <v>11048</v>
      </c>
      <c r="I5389" t="s">
        <v>10408</v>
      </c>
      <c r="J5389" t="s">
        <v>33013</v>
      </c>
      <c r="K5389" t="s">
        <v>38522</v>
      </c>
      <c r="M5389" t="s">
        <v>40755</v>
      </c>
      <c r="N5389" t="s">
        <v>42669</v>
      </c>
      <c r="O5389" t="s">
        <v>42670</v>
      </c>
      <c r="P5389">
        <v>0</v>
      </c>
      <c r="Q5389">
        <v>0</v>
      </c>
      <c r="R5389" t="s">
        <v>42676</v>
      </c>
      <c r="S5389" t="s">
        <v>42809</v>
      </c>
      <c r="T5389" t="s">
        <v>44368</v>
      </c>
      <c r="U5389" t="s">
        <v>49219</v>
      </c>
      <c r="W5389" t="s">
        <v>40755</v>
      </c>
      <c r="X5389" t="s">
        <v>42677</v>
      </c>
    </row>
    <row r="5390" spans="1:24">
      <c r="A5390">
        <f>HYPERLINK("https://www.philgeps.gov.ph/GEPSNONPILOT/Tender/SplashBidNoticeAbstractUI.aspx?menuIndex=3&amp;refID=7189997&amp;Result=3","7189997")</f>
        <v>0</v>
      </c>
      <c r="B5390" t="s">
        <v>1132</v>
      </c>
      <c r="C5390" t="s">
        <v>6431</v>
      </c>
      <c r="D5390" t="s">
        <v>17204</v>
      </c>
      <c r="E5390" t="s">
        <v>21904</v>
      </c>
      <c r="F5390" t="s">
        <v>29372</v>
      </c>
      <c r="G5390" t="s">
        <v>29380</v>
      </c>
      <c r="H5390" t="s">
        <v>29389</v>
      </c>
      <c r="I5390" t="s">
        <v>10408</v>
      </c>
      <c r="J5390" t="s">
        <v>33014</v>
      </c>
      <c r="K5390" t="s">
        <v>38564</v>
      </c>
      <c r="M5390" t="s">
        <v>39944</v>
      </c>
      <c r="N5390" t="s">
        <v>42669</v>
      </c>
      <c r="O5390" t="s">
        <v>42670</v>
      </c>
      <c r="P5390">
        <v>0</v>
      </c>
      <c r="Q5390">
        <v>1</v>
      </c>
      <c r="R5390" t="s">
        <v>42676</v>
      </c>
      <c r="S5390" t="s">
        <v>42809</v>
      </c>
      <c r="T5390" t="s">
        <v>44693</v>
      </c>
      <c r="U5390" t="s">
        <v>49220</v>
      </c>
      <c r="W5390" t="s">
        <v>39944</v>
      </c>
      <c r="X5390" t="s">
        <v>42677</v>
      </c>
    </row>
    <row r="5391" spans="1:24">
      <c r="A5391">
        <f>HYPERLINK("https://www.philgeps.gov.ph/GEPSNONPILOT/Tender/SplashBidNoticeAbstractUI.aspx?menuIndex=3&amp;refID=7189996&amp;Result=3","7189996")</f>
        <v>0</v>
      </c>
      <c r="B5391" t="s">
        <v>1860</v>
      </c>
      <c r="C5391" t="s">
        <v>8691</v>
      </c>
      <c r="D5391" t="s">
        <v>17204</v>
      </c>
      <c r="E5391" t="s">
        <v>21905</v>
      </c>
      <c r="F5391" t="s">
        <v>29372</v>
      </c>
      <c r="G5391" t="s">
        <v>29380</v>
      </c>
      <c r="H5391" t="s">
        <v>29389</v>
      </c>
      <c r="I5391" t="s">
        <v>10408</v>
      </c>
      <c r="J5391" t="s">
        <v>29788</v>
      </c>
      <c r="K5391" t="s">
        <v>38577</v>
      </c>
      <c r="M5391" t="s">
        <v>40733</v>
      </c>
      <c r="N5391" t="s">
        <v>42669</v>
      </c>
      <c r="O5391" t="s">
        <v>42670</v>
      </c>
      <c r="P5391">
        <v>0</v>
      </c>
      <c r="Q5391">
        <v>1</v>
      </c>
      <c r="R5391" t="s">
        <v>42676</v>
      </c>
      <c r="S5391" t="s">
        <v>42809</v>
      </c>
      <c r="T5391" t="s">
        <v>44394</v>
      </c>
      <c r="U5391" t="s">
        <v>49221</v>
      </c>
      <c r="W5391" t="s">
        <v>40733</v>
      </c>
      <c r="X5391" t="s">
        <v>42677</v>
      </c>
    </row>
    <row r="5392" spans="1:24">
      <c r="A5392">
        <f>HYPERLINK("https://www.philgeps.gov.ph/GEPSNONPILOT/Tender/SplashBidNoticeAbstractUI.aspx?menuIndex=3&amp;refID=7189966&amp;Result=3","7189966")</f>
        <v>0</v>
      </c>
      <c r="B5392" t="s">
        <v>1132</v>
      </c>
      <c r="C5392" t="s">
        <v>8692</v>
      </c>
      <c r="D5392" t="s">
        <v>17204</v>
      </c>
      <c r="E5392" t="s">
        <v>21906</v>
      </c>
      <c r="F5392" t="s">
        <v>29372</v>
      </c>
      <c r="G5392" t="s">
        <v>29380</v>
      </c>
      <c r="H5392" t="s">
        <v>11048</v>
      </c>
      <c r="I5392" t="s">
        <v>3695</v>
      </c>
      <c r="J5392" t="s">
        <v>33015</v>
      </c>
      <c r="K5392" t="s">
        <v>38488</v>
      </c>
      <c r="M5392" t="s">
        <v>39944</v>
      </c>
      <c r="N5392" t="s">
        <v>42669</v>
      </c>
      <c r="O5392" t="s">
        <v>42670</v>
      </c>
      <c r="P5392">
        <v>0</v>
      </c>
      <c r="Q5392">
        <v>8</v>
      </c>
      <c r="R5392" t="s">
        <v>42676</v>
      </c>
      <c r="S5392" t="s">
        <v>42809</v>
      </c>
      <c r="T5392" t="s">
        <v>44693</v>
      </c>
      <c r="U5392" t="s">
        <v>49222</v>
      </c>
      <c r="W5392" t="s">
        <v>39944</v>
      </c>
      <c r="X5392" t="s">
        <v>42677</v>
      </c>
    </row>
    <row r="5393" spans="1:24">
      <c r="A5393">
        <f>HYPERLINK("https://www.philgeps.gov.ph/GEPSNONPILOT/Tender/SplashBidNoticeAbstractUI.aspx?menuIndex=3&amp;refID=7189992&amp;Result=3","7189992")</f>
        <v>0</v>
      </c>
      <c r="B5393" t="s">
        <v>1883</v>
      </c>
      <c r="C5393" t="s">
        <v>8693</v>
      </c>
      <c r="D5393" t="s">
        <v>17141</v>
      </c>
      <c r="E5393" t="s">
        <v>21907</v>
      </c>
      <c r="F5393" t="s">
        <v>29372</v>
      </c>
      <c r="G5393" t="s">
        <v>29380</v>
      </c>
      <c r="H5393" t="s">
        <v>11048</v>
      </c>
      <c r="I5393" t="s">
        <v>8614</v>
      </c>
      <c r="J5393" t="s">
        <v>33016</v>
      </c>
      <c r="K5393" t="s">
        <v>38489</v>
      </c>
      <c r="M5393" t="s">
        <v>40756</v>
      </c>
      <c r="N5393" t="s">
        <v>42669</v>
      </c>
      <c r="O5393" t="s">
        <v>42670</v>
      </c>
      <c r="P5393">
        <v>0</v>
      </c>
      <c r="Q5393">
        <v>8</v>
      </c>
      <c r="R5393" t="s">
        <v>42676</v>
      </c>
      <c r="S5393" t="s">
        <v>42809</v>
      </c>
      <c r="T5393" t="s">
        <v>44371</v>
      </c>
      <c r="U5393" t="s">
        <v>49223</v>
      </c>
      <c r="V5393" t="s">
        <v>56959</v>
      </c>
      <c r="W5393" t="s">
        <v>40756</v>
      </c>
      <c r="X5393" t="s">
        <v>42677</v>
      </c>
    </row>
    <row r="5394" spans="1:24">
      <c r="A5394">
        <f>HYPERLINK("https://www.philgeps.gov.ph/GEPSNONPILOT/Tender/SplashBidNoticeAbstractUI.aspx?menuIndex=3&amp;refID=7190000&amp;Result=3","7190000")</f>
        <v>0</v>
      </c>
      <c r="B5394" t="s">
        <v>1665</v>
      </c>
      <c r="C5394" t="s">
        <v>8694</v>
      </c>
      <c r="D5394" t="s">
        <v>17147</v>
      </c>
      <c r="E5394" t="s">
        <v>21908</v>
      </c>
      <c r="F5394" t="s">
        <v>29372</v>
      </c>
      <c r="G5394" t="s">
        <v>29380</v>
      </c>
      <c r="H5394" t="s">
        <v>29389</v>
      </c>
      <c r="I5394" t="s">
        <v>10408</v>
      </c>
      <c r="J5394" t="s">
        <v>33017</v>
      </c>
      <c r="K5394" t="s">
        <v>38564</v>
      </c>
      <c r="M5394" t="s">
        <v>40524</v>
      </c>
      <c r="N5394" t="s">
        <v>42669</v>
      </c>
      <c r="O5394" t="s">
        <v>42670</v>
      </c>
      <c r="P5394">
        <v>0</v>
      </c>
      <c r="Q5394">
        <v>1</v>
      </c>
      <c r="R5394" t="s">
        <v>42676</v>
      </c>
      <c r="S5394" t="s">
        <v>42809</v>
      </c>
      <c r="T5394" t="s">
        <v>44476</v>
      </c>
      <c r="U5394" t="s">
        <v>49224</v>
      </c>
      <c r="V5394" t="s">
        <v>56960</v>
      </c>
      <c r="W5394" t="s">
        <v>40524</v>
      </c>
      <c r="X5394" t="s">
        <v>42677</v>
      </c>
    </row>
    <row r="5395" spans="1:24">
      <c r="A5395">
        <f>HYPERLINK("https://www.philgeps.gov.ph/GEPSNONPILOT/Tender/SplashBidNoticeAbstractUI.aspx?menuIndex=3&amp;refID=7189054&amp;Result=3","7189054")</f>
        <v>0</v>
      </c>
      <c r="B5395" t="s">
        <v>445</v>
      </c>
      <c r="C5395" t="s">
        <v>8695</v>
      </c>
      <c r="D5395" t="s">
        <v>17194</v>
      </c>
      <c r="E5395" t="s">
        <v>21909</v>
      </c>
      <c r="F5395" t="s">
        <v>29373</v>
      </c>
      <c r="G5395" t="s">
        <v>29379</v>
      </c>
      <c r="H5395" t="s">
        <v>11048</v>
      </c>
      <c r="I5395" t="s">
        <v>29403</v>
      </c>
      <c r="J5395" t="s">
        <v>33018</v>
      </c>
      <c r="K5395" t="s">
        <v>38491</v>
      </c>
      <c r="M5395" t="s">
        <v>39209</v>
      </c>
      <c r="N5395" t="s">
        <v>42669</v>
      </c>
      <c r="O5395" t="s">
        <v>42670</v>
      </c>
      <c r="P5395">
        <v>0</v>
      </c>
      <c r="Q5395">
        <v>1</v>
      </c>
      <c r="R5395" t="s">
        <v>42676</v>
      </c>
      <c r="S5395" t="s">
        <v>42809</v>
      </c>
      <c r="T5395" t="s">
        <v>44399</v>
      </c>
      <c r="U5395" t="s">
        <v>45838</v>
      </c>
      <c r="V5395" t="s">
        <v>56470</v>
      </c>
      <c r="W5395" t="s">
        <v>58015</v>
      </c>
      <c r="X5395" t="s">
        <v>42677</v>
      </c>
    </row>
    <row r="5396" spans="1:24">
      <c r="A5396">
        <f>HYPERLINK("https://www.philgeps.gov.ph/GEPSNONPILOT/Tender/SplashBidNoticeAbstractUI.aspx?menuIndex=3&amp;refID=7189988&amp;Result=3","7189988")</f>
        <v>0</v>
      </c>
      <c r="B5396" t="s">
        <v>1884</v>
      </c>
      <c r="C5396" t="s">
        <v>8696</v>
      </c>
      <c r="E5396" t="s">
        <v>21910</v>
      </c>
      <c r="F5396" t="s">
        <v>29372</v>
      </c>
      <c r="G5396" t="s">
        <v>29380</v>
      </c>
      <c r="H5396" t="s">
        <v>29389</v>
      </c>
      <c r="I5396" t="s">
        <v>10408</v>
      </c>
      <c r="J5396" t="s">
        <v>30845</v>
      </c>
      <c r="K5396" t="s">
        <v>38650</v>
      </c>
      <c r="L5396" t="s">
        <v>1884</v>
      </c>
      <c r="M5396" t="s">
        <v>40757</v>
      </c>
      <c r="N5396" t="s">
        <v>42669</v>
      </c>
      <c r="O5396" t="s">
        <v>42670</v>
      </c>
      <c r="P5396">
        <v>0</v>
      </c>
      <c r="Q5396">
        <v>0</v>
      </c>
      <c r="R5396" t="s">
        <v>42676</v>
      </c>
      <c r="S5396" t="s">
        <v>42809</v>
      </c>
      <c r="T5396" t="s">
        <v>44542</v>
      </c>
      <c r="U5396" t="s">
        <v>49225</v>
      </c>
      <c r="W5396" t="s">
        <v>40757</v>
      </c>
      <c r="X5396" t="s">
        <v>42677</v>
      </c>
    </row>
    <row r="5397" spans="1:24">
      <c r="A5397">
        <f>HYPERLINK("https://www.philgeps.gov.ph/GEPSNONPILOT/Tender/SplashBidNoticeAbstractUI.aspx?menuIndex=3&amp;refID=7189986&amp;Result=3","7189986")</f>
        <v>0</v>
      </c>
      <c r="B5397" t="s">
        <v>1860</v>
      </c>
      <c r="C5397" t="s">
        <v>8697</v>
      </c>
      <c r="D5397" t="s">
        <v>17204</v>
      </c>
      <c r="E5397" t="s">
        <v>21911</v>
      </c>
      <c r="F5397" t="s">
        <v>29372</v>
      </c>
      <c r="G5397" t="s">
        <v>29380</v>
      </c>
      <c r="H5397" t="s">
        <v>29389</v>
      </c>
      <c r="I5397" t="s">
        <v>10408</v>
      </c>
      <c r="J5397" t="s">
        <v>30056</v>
      </c>
      <c r="K5397" t="s">
        <v>38487</v>
      </c>
      <c r="M5397" t="s">
        <v>40733</v>
      </c>
      <c r="N5397" t="s">
        <v>42669</v>
      </c>
      <c r="O5397" t="s">
        <v>42670</v>
      </c>
      <c r="P5397">
        <v>0</v>
      </c>
      <c r="Q5397">
        <v>1</v>
      </c>
      <c r="R5397" t="s">
        <v>42676</v>
      </c>
      <c r="S5397" t="s">
        <v>42809</v>
      </c>
      <c r="T5397" t="s">
        <v>44394</v>
      </c>
      <c r="U5397" t="s">
        <v>49226</v>
      </c>
      <c r="W5397" t="s">
        <v>40733</v>
      </c>
      <c r="X5397" t="s">
        <v>42677</v>
      </c>
    </row>
    <row r="5398" spans="1:24">
      <c r="A5398">
        <f>HYPERLINK("https://www.philgeps.gov.ph/GEPSNONPILOT/Tender/SplashBidNoticeAbstractUI.aspx?menuIndex=3&amp;refID=7189985&amp;Result=3","7189985")</f>
        <v>0</v>
      </c>
      <c r="B5398" t="s">
        <v>1885</v>
      </c>
      <c r="C5398" t="s">
        <v>8698</v>
      </c>
      <c r="D5398" t="s">
        <v>17189</v>
      </c>
      <c r="E5398" t="s">
        <v>21912</v>
      </c>
      <c r="F5398" t="s">
        <v>29372</v>
      </c>
      <c r="G5398" t="s">
        <v>29380</v>
      </c>
      <c r="H5398" t="s">
        <v>11048</v>
      </c>
      <c r="I5398" t="s">
        <v>29449</v>
      </c>
      <c r="J5398" t="s">
        <v>29543</v>
      </c>
      <c r="K5398" t="s">
        <v>38485</v>
      </c>
      <c r="M5398" t="s">
        <v>40758</v>
      </c>
      <c r="N5398" t="s">
        <v>42669</v>
      </c>
      <c r="O5398" t="s">
        <v>42670</v>
      </c>
      <c r="P5398">
        <v>0</v>
      </c>
      <c r="Q5398">
        <v>2</v>
      </c>
      <c r="R5398" t="s">
        <v>42676</v>
      </c>
      <c r="S5398" t="s">
        <v>42809</v>
      </c>
      <c r="T5398" t="s">
        <v>44472</v>
      </c>
      <c r="U5398" t="s">
        <v>49227</v>
      </c>
      <c r="V5398" t="s">
        <v>56961</v>
      </c>
      <c r="W5398" t="s">
        <v>40758</v>
      </c>
      <c r="X5398" t="s">
        <v>42677</v>
      </c>
    </row>
    <row r="5399" spans="1:24">
      <c r="A5399">
        <f>HYPERLINK("https://www.philgeps.gov.ph/GEPSNONPILOT/Tender/SplashBidNoticeAbstractUI.aspx?menuIndex=3&amp;refID=7189990&amp;Result=3","7189990")</f>
        <v>0</v>
      </c>
      <c r="B5399" t="s">
        <v>1132</v>
      </c>
      <c r="C5399" t="s">
        <v>8699</v>
      </c>
      <c r="D5399" t="s">
        <v>17204</v>
      </c>
      <c r="E5399" t="s">
        <v>21913</v>
      </c>
      <c r="F5399" t="s">
        <v>29372</v>
      </c>
      <c r="G5399" t="s">
        <v>29380</v>
      </c>
      <c r="H5399" t="s">
        <v>11048</v>
      </c>
      <c r="I5399" t="s">
        <v>29407</v>
      </c>
      <c r="J5399" t="s">
        <v>33019</v>
      </c>
      <c r="K5399" t="s">
        <v>38488</v>
      </c>
      <c r="M5399" t="s">
        <v>39944</v>
      </c>
      <c r="N5399" t="s">
        <v>42669</v>
      </c>
      <c r="O5399" t="s">
        <v>42670</v>
      </c>
      <c r="P5399">
        <v>0</v>
      </c>
      <c r="Q5399">
        <v>11</v>
      </c>
      <c r="R5399" t="s">
        <v>42676</v>
      </c>
      <c r="S5399" t="s">
        <v>42809</v>
      </c>
      <c r="T5399" t="s">
        <v>44693</v>
      </c>
      <c r="U5399" t="s">
        <v>49228</v>
      </c>
      <c r="W5399" t="s">
        <v>39944</v>
      </c>
      <c r="X5399" t="s">
        <v>42677</v>
      </c>
    </row>
    <row r="5400" spans="1:24">
      <c r="A5400">
        <f>HYPERLINK("https://www.philgeps.gov.ph/GEPSNONPILOT/Tender/SplashBidNoticeAbstractUI.aspx?menuIndex=3&amp;refID=7189981&amp;Result=3","7189981")</f>
        <v>0</v>
      </c>
      <c r="B5400" t="s">
        <v>1180</v>
      </c>
      <c r="C5400" t="s">
        <v>8700</v>
      </c>
      <c r="D5400" t="s">
        <v>17170</v>
      </c>
      <c r="E5400" t="s">
        <v>21914</v>
      </c>
      <c r="F5400" t="s">
        <v>29372</v>
      </c>
      <c r="G5400" t="s">
        <v>29380</v>
      </c>
      <c r="H5400" t="s">
        <v>11048</v>
      </c>
      <c r="I5400" t="s">
        <v>4487</v>
      </c>
      <c r="J5400" t="s">
        <v>33020</v>
      </c>
      <c r="K5400" t="s">
        <v>38485</v>
      </c>
      <c r="M5400" t="s">
        <v>39995</v>
      </c>
      <c r="N5400" t="s">
        <v>42669</v>
      </c>
      <c r="O5400" t="s">
        <v>42670</v>
      </c>
      <c r="P5400">
        <v>0</v>
      </c>
      <c r="Q5400">
        <v>7</v>
      </c>
      <c r="R5400" t="s">
        <v>42676</v>
      </c>
      <c r="S5400" t="s">
        <v>42809</v>
      </c>
      <c r="T5400" t="s">
        <v>44478</v>
      </c>
      <c r="U5400" t="s">
        <v>49229</v>
      </c>
      <c r="W5400" t="s">
        <v>39995</v>
      </c>
      <c r="X5400" t="s">
        <v>42677</v>
      </c>
    </row>
    <row r="5401" spans="1:24">
      <c r="A5401">
        <f>HYPERLINK("https://www.philgeps.gov.ph/GEPSNONPILOT/Tender/SplashBidNoticeAbstractUI.aspx?menuIndex=3&amp;refID=7189975&amp;Result=3","7189975")</f>
        <v>0</v>
      </c>
      <c r="B5401" t="s">
        <v>1886</v>
      </c>
      <c r="C5401" t="s">
        <v>8701</v>
      </c>
      <c r="D5401" t="s">
        <v>17144</v>
      </c>
      <c r="E5401" t="s">
        <v>21915</v>
      </c>
      <c r="F5401" t="s">
        <v>29372</v>
      </c>
      <c r="G5401" t="s">
        <v>29384</v>
      </c>
      <c r="H5401" t="s">
        <v>11048</v>
      </c>
      <c r="I5401" t="s">
        <v>29466</v>
      </c>
      <c r="J5401" t="s">
        <v>33021</v>
      </c>
      <c r="K5401" t="s">
        <v>38496</v>
      </c>
      <c r="M5401" t="s">
        <v>40759</v>
      </c>
      <c r="N5401" t="s">
        <v>42669</v>
      </c>
      <c r="O5401" t="s">
        <v>42670</v>
      </c>
      <c r="P5401">
        <v>0</v>
      </c>
      <c r="Q5401">
        <v>2</v>
      </c>
      <c r="R5401" t="s">
        <v>42676</v>
      </c>
      <c r="S5401" t="s">
        <v>42809</v>
      </c>
      <c r="T5401" t="s">
        <v>44382</v>
      </c>
      <c r="U5401" t="s">
        <v>49230</v>
      </c>
      <c r="V5401" t="s">
        <v>56962</v>
      </c>
      <c r="W5401" t="s">
        <v>40759</v>
      </c>
      <c r="X5401" t="s">
        <v>42677</v>
      </c>
    </row>
    <row r="5402" spans="1:24">
      <c r="A5402">
        <f>HYPERLINK("https://www.philgeps.gov.ph/GEPSNONPILOT/Tender/SplashBidNoticeAbstractUI.aspx?menuIndex=3&amp;refID=7189987&amp;Result=3","7189987")</f>
        <v>0</v>
      </c>
      <c r="B5402" t="s">
        <v>1887</v>
      </c>
      <c r="C5402" t="s">
        <v>8702</v>
      </c>
      <c r="D5402" t="s">
        <v>17163</v>
      </c>
      <c r="E5402" t="s">
        <v>17972</v>
      </c>
      <c r="F5402" t="s">
        <v>29372</v>
      </c>
      <c r="G5402" t="s">
        <v>29379</v>
      </c>
      <c r="H5402" t="s">
        <v>11048</v>
      </c>
      <c r="I5402" t="s">
        <v>3839</v>
      </c>
      <c r="J5402" t="s">
        <v>29680</v>
      </c>
      <c r="K5402" t="s">
        <v>38485</v>
      </c>
      <c r="M5402" t="s">
        <v>40760</v>
      </c>
      <c r="N5402" t="s">
        <v>42669</v>
      </c>
      <c r="O5402" t="s">
        <v>42670</v>
      </c>
      <c r="P5402">
        <v>0</v>
      </c>
      <c r="Q5402">
        <v>6</v>
      </c>
      <c r="R5402" t="s">
        <v>42676</v>
      </c>
      <c r="S5402" t="s">
        <v>42809</v>
      </c>
      <c r="T5402" t="s">
        <v>44468</v>
      </c>
      <c r="U5402" t="s">
        <v>49231</v>
      </c>
      <c r="V5402" t="s">
        <v>56963</v>
      </c>
      <c r="W5402" t="s">
        <v>40760</v>
      </c>
      <c r="X5402" t="s">
        <v>42677</v>
      </c>
    </row>
    <row r="5403" spans="1:24">
      <c r="A5403">
        <f>HYPERLINK("https://www.philgeps.gov.ph/GEPSNONPILOT/Tender/SplashBidNoticeAbstractUI.aspx?menuIndex=3&amp;refID=7189973&amp;Result=3","7189973")</f>
        <v>0</v>
      </c>
      <c r="B5403" t="s">
        <v>119</v>
      </c>
      <c r="C5403" t="s">
        <v>8703</v>
      </c>
      <c r="D5403" t="s">
        <v>17141</v>
      </c>
      <c r="E5403" t="s">
        <v>21916</v>
      </c>
      <c r="F5403" t="s">
        <v>29372</v>
      </c>
      <c r="G5403" t="s">
        <v>29380</v>
      </c>
      <c r="H5403" t="s">
        <v>11048</v>
      </c>
      <c r="I5403" t="s">
        <v>8614</v>
      </c>
      <c r="J5403" t="s">
        <v>32398</v>
      </c>
      <c r="K5403" t="s">
        <v>38575</v>
      </c>
      <c r="M5403" t="s">
        <v>40761</v>
      </c>
      <c r="N5403" t="s">
        <v>42669</v>
      </c>
      <c r="O5403" t="s">
        <v>42670</v>
      </c>
      <c r="P5403">
        <v>0</v>
      </c>
      <c r="Q5403">
        <v>5</v>
      </c>
      <c r="R5403" t="s">
        <v>42676</v>
      </c>
      <c r="S5403" t="s">
        <v>42809</v>
      </c>
      <c r="T5403" t="s">
        <v>44572</v>
      </c>
      <c r="U5403" t="s">
        <v>49232</v>
      </c>
      <c r="W5403" t="s">
        <v>40761</v>
      </c>
      <c r="X5403" t="s">
        <v>42677</v>
      </c>
    </row>
    <row r="5404" spans="1:24">
      <c r="A5404">
        <f>HYPERLINK("https://www.philgeps.gov.ph/GEPSNONPILOT/Tender/SplashBidNoticeAbstractUI.aspx?menuIndex=3&amp;refID=7189970&amp;Result=3","7189970")</f>
        <v>0</v>
      </c>
      <c r="B5404" t="s">
        <v>1887</v>
      </c>
      <c r="C5404" t="s">
        <v>8704</v>
      </c>
      <c r="D5404" t="s">
        <v>17163</v>
      </c>
      <c r="E5404" t="s">
        <v>17870</v>
      </c>
      <c r="F5404" t="s">
        <v>29372</v>
      </c>
      <c r="G5404" t="s">
        <v>29379</v>
      </c>
      <c r="H5404" t="s">
        <v>11048</v>
      </c>
      <c r="I5404" t="s">
        <v>29443</v>
      </c>
      <c r="J5404" t="s">
        <v>29555</v>
      </c>
      <c r="K5404" t="s">
        <v>38485</v>
      </c>
      <c r="M5404" t="s">
        <v>40760</v>
      </c>
      <c r="N5404" t="s">
        <v>42669</v>
      </c>
      <c r="O5404" t="s">
        <v>42670</v>
      </c>
      <c r="P5404">
        <v>0</v>
      </c>
      <c r="Q5404">
        <v>2</v>
      </c>
      <c r="R5404" t="s">
        <v>42676</v>
      </c>
      <c r="S5404" t="s">
        <v>42809</v>
      </c>
      <c r="T5404" t="s">
        <v>44468</v>
      </c>
      <c r="U5404" t="s">
        <v>49233</v>
      </c>
      <c r="V5404" t="s">
        <v>56964</v>
      </c>
      <c r="W5404" t="s">
        <v>40760</v>
      </c>
      <c r="X5404" t="s">
        <v>42677</v>
      </c>
    </row>
    <row r="5405" spans="1:24">
      <c r="A5405">
        <f>HYPERLINK("https://www.philgeps.gov.ph/GEPSNONPILOT/Tender/SplashBidNoticeAbstractUI.aspx?menuIndex=3&amp;refID=7189995&amp;Result=3","7189995")</f>
        <v>0</v>
      </c>
      <c r="B5405" t="s">
        <v>1869</v>
      </c>
      <c r="C5405" t="s">
        <v>8705</v>
      </c>
      <c r="D5405" t="s">
        <v>17170</v>
      </c>
      <c r="E5405" t="s">
        <v>21917</v>
      </c>
      <c r="F5405" t="s">
        <v>29372</v>
      </c>
      <c r="G5405" t="s">
        <v>29380</v>
      </c>
      <c r="H5405" t="s">
        <v>11048</v>
      </c>
      <c r="I5405" t="s">
        <v>29412</v>
      </c>
      <c r="J5405" t="s">
        <v>33022</v>
      </c>
      <c r="K5405" t="s">
        <v>38530</v>
      </c>
      <c r="M5405" t="s">
        <v>40742</v>
      </c>
      <c r="N5405" t="s">
        <v>42669</v>
      </c>
      <c r="O5405" t="s">
        <v>42670</v>
      </c>
      <c r="P5405">
        <v>0</v>
      </c>
      <c r="Q5405">
        <v>5</v>
      </c>
      <c r="R5405" t="s">
        <v>42676</v>
      </c>
      <c r="S5405" t="s">
        <v>42809</v>
      </c>
      <c r="T5405" t="s">
        <v>44542</v>
      </c>
      <c r="U5405" t="s">
        <v>49234</v>
      </c>
      <c r="W5405" t="s">
        <v>40742</v>
      </c>
      <c r="X5405" t="s">
        <v>42677</v>
      </c>
    </row>
    <row r="5406" spans="1:24">
      <c r="A5406">
        <f>HYPERLINK("https://www.philgeps.gov.ph/GEPSNONPILOT/Tender/SplashBidNoticeAbstractUI.aspx?menuIndex=3&amp;refID=7189969&amp;Result=3","7189969")</f>
        <v>0</v>
      </c>
      <c r="B5406" t="s">
        <v>1888</v>
      </c>
      <c r="C5406" t="s">
        <v>8706</v>
      </c>
      <c r="D5406" t="s">
        <v>17160</v>
      </c>
      <c r="E5406" t="s">
        <v>21918</v>
      </c>
      <c r="F5406" t="s">
        <v>29373</v>
      </c>
      <c r="G5406" t="s">
        <v>29380</v>
      </c>
      <c r="H5406" t="s">
        <v>11048</v>
      </c>
      <c r="I5406" t="s">
        <v>3670</v>
      </c>
      <c r="J5406" t="s">
        <v>29929</v>
      </c>
      <c r="K5406" t="s">
        <v>38511</v>
      </c>
      <c r="M5406" t="s">
        <v>40762</v>
      </c>
      <c r="N5406" t="s">
        <v>42669</v>
      </c>
      <c r="O5406" t="s">
        <v>42670</v>
      </c>
      <c r="P5406">
        <v>0</v>
      </c>
      <c r="Q5406">
        <v>2</v>
      </c>
      <c r="R5406" t="s">
        <v>42676</v>
      </c>
      <c r="S5406" t="s">
        <v>42809</v>
      </c>
      <c r="T5406" t="s">
        <v>44694</v>
      </c>
      <c r="U5406" t="s">
        <v>49235</v>
      </c>
      <c r="W5406" t="s">
        <v>40762</v>
      </c>
      <c r="X5406" t="s">
        <v>42677</v>
      </c>
    </row>
    <row r="5407" spans="1:24">
      <c r="A5407">
        <f>HYPERLINK("https://www.philgeps.gov.ph/GEPSNONPILOT/Tender/SplashBidNoticeAbstractUI.aspx?menuIndex=3&amp;refID=7189993&amp;Result=3","7189993")</f>
        <v>0</v>
      </c>
      <c r="B5407" t="s">
        <v>1889</v>
      </c>
      <c r="C5407" t="s">
        <v>8707</v>
      </c>
      <c r="D5407" t="s">
        <v>17199</v>
      </c>
      <c r="E5407" t="s">
        <v>21919</v>
      </c>
      <c r="F5407" t="s">
        <v>29372</v>
      </c>
      <c r="G5407" t="s">
        <v>29380</v>
      </c>
      <c r="H5407" t="s">
        <v>29389</v>
      </c>
      <c r="I5407" t="s">
        <v>10408</v>
      </c>
      <c r="J5407" t="s">
        <v>29829</v>
      </c>
      <c r="K5407" t="s">
        <v>38526</v>
      </c>
      <c r="M5407" t="s">
        <v>40763</v>
      </c>
      <c r="N5407" t="s">
        <v>42669</v>
      </c>
      <c r="O5407" t="s">
        <v>42670</v>
      </c>
      <c r="P5407">
        <v>0</v>
      </c>
      <c r="Q5407">
        <v>0</v>
      </c>
      <c r="R5407" t="s">
        <v>42676</v>
      </c>
      <c r="S5407" t="s">
        <v>42809</v>
      </c>
      <c r="T5407" t="s">
        <v>44409</v>
      </c>
      <c r="U5407" t="s">
        <v>49236</v>
      </c>
      <c r="W5407" t="s">
        <v>40763</v>
      </c>
      <c r="X5407" t="s">
        <v>42677</v>
      </c>
    </row>
    <row r="5408" spans="1:24">
      <c r="A5408">
        <f>HYPERLINK("https://www.philgeps.gov.ph/GEPSNONPILOT/Tender/SplashBidNoticeAbstractUI.aspx?menuIndex=3&amp;refID=7189944&amp;Result=3","7189944")</f>
        <v>0</v>
      </c>
      <c r="B5408" t="s">
        <v>1890</v>
      </c>
      <c r="C5408" t="s">
        <v>8708</v>
      </c>
      <c r="D5408" t="s">
        <v>17141</v>
      </c>
      <c r="E5408" t="s">
        <v>21920</v>
      </c>
      <c r="F5408" t="s">
        <v>29372</v>
      </c>
      <c r="G5408" t="s">
        <v>29380</v>
      </c>
      <c r="H5408" t="s">
        <v>11048</v>
      </c>
      <c r="I5408" t="s">
        <v>3670</v>
      </c>
      <c r="J5408" t="s">
        <v>29694</v>
      </c>
      <c r="K5408" t="s">
        <v>38489</v>
      </c>
      <c r="M5408" t="s">
        <v>40764</v>
      </c>
      <c r="N5408" t="s">
        <v>42669</v>
      </c>
      <c r="O5408" t="s">
        <v>42670</v>
      </c>
      <c r="P5408">
        <v>0</v>
      </c>
      <c r="Q5408">
        <v>4</v>
      </c>
      <c r="R5408" t="s">
        <v>42676</v>
      </c>
      <c r="S5408" t="s">
        <v>42809</v>
      </c>
      <c r="T5408" t="s">
        <v>44470</v>
      </c>
      <c r="U5408" t="s">
        <v>49237</v>
      </c>
      <c r="V5408" t="s">
        <v>56965</v>
      </c>
      <c r="W5408" t="s">
        <v>40764</v>
      </c>
      <c r="X5408" t="s">
        <v>42677</v>
      </c>
    </row>
    <row r="5409" spans="1:24">
      <c r="A5409">
        <f>HYPERLINK("https://www.philgeps.gov.ph/GEPSNONPILOT/Tender/SplashBidNoticeAbstractUI.aspx?menuIndex=3&amp;refID=7189939&amp;Result=3","7189939")</f>
        <v>0</v>
      </c>
      <c r="B5409" t="s">
        <v>1873</v>
      </c>
      <c r="C5409" t="s">
        <v>8709</v>
      </c>
      <c r="D5409" t="s">
        <v>17222</v>
      </c>
      <c r="E5409" t="s">
        <v>21921</v>
      </c>
      <c r="F5409" t="s">
        <v>29372</v>
      </c>
      <c r="G5409" t="s">
        <v>29381</v>
      </c>
      <c r="H5409" t="s">
        <v>11048</v>
      </c>
      <c r="I5409" t="s">
        <v>29414</v>
      </c>
      <c r="J5409" t="s">
        <v>29549</v>
      </c>
      <c r="K5409" t="s">
        <v>38510</v>
      </c>
      <c r="M5409" t="s">
        <v>40746</v>
      </c>
      <c r="N5409" t="s">
        <v>42669</v>
      </c>
      <c r="O5409" t="s">
        <v>42670</v>
      </c>
      <c r="P5409">
        <v>0</v>
      </c>
      <c r="Q5409">
        <v>6</v>
      </c>
      <c r="R5409" t="s">
        <v>42676</v>
      </c>
      <c r="S5409" t="s">
        <v>42809</v>
      </c>
      <c r="T5409" t="s">
        <v>44488</v>
      </c>
      <c r="U5409" t="s">
        <v>49238</v>
      </c>
      <c r="W5409" t="s">
        <v>40746</v>
      </c>
      <c r="X5409" t="s">
        <v>42677</v>
      </c>
    </row>
    <row r="5410" spans="1:24">
      <c r="A5410">
        <f>HYPERLINK("https://www.philgeps.gov.ph/GEPSNONPILOT/Tender/SplashBidNoticeAbstractUI.aspx?menuIndex=3&amp;refID=7189978&amp;Result=3","7189978")</f>
        <v>0</v>
      </c>
      <c r="B5410" t="s">
        <v>1309</v>
      </c>
      <c r="C5410" t="s">
        <v>8710</v>
      </c>
      <c r="D5410" t="s">
        <v>17141</v>
      </c>
      <c r="E5410" t="s">
        <v>21922</v>
      </c>
      <c r="F5410" t="s">
        <v>29372</v>
      </c>
      <c r="G5410" t="s">
        <v>29379</v>
      </c>
      <c r="H5410" t="s">
        <v>11048</v>
      </c>
      <c r="I5410" t="s">
        <v>8614</v>
      </c>
      <c r="J5410" t="s">
        <v>29604</v>
      </c>
      <c r="K5410" t="s">
        <v>38490</v>
      </c>
      <c r="M5410" t="s">
        <v>40141</v>
      </c>
      <c r="N5410" t="s">
        <v>42669</v>
      </c>
      <c r="O5410" t="s">
        <v>42670</v>
      </c>
      <c r="P5410">
        <v>0</v>
      </c>
      <c r="Q5410">
        <v>5</v>
      </c>
      <c r="R5410" t="s">
        <v>42676</v>
      </c>
      <c r="S5410" t="s">
        <v>42809</v>
      </c>
      <c r="T5410" t="s">
        <v>44493</v>
      </c>
      <c r="U5410" t="s">
        <v>49239</v>
      </c>
      <c r="W5410" t="s">
        <v>40141</v>
      </c>
      <c r="X5410" t="s">
        <v>42677</v>
      </c>
    </row>
    <row r="5411" spans="1:24">
      <c r="A5411">
        <f>HYPERLINK("https://www.philgeps.gov.ph/GEPSNONPILOT/Tender/SplashBidNoticeAbstractUI.aspx?menuIndex=3&amp;refID=7189940&amp;Result=3","7189940")</f>
        <v>0</v>
      </c>
      <c r="B5411" t="s">
        <v>1384</v>
      </c>
      <c r="C5411" t="s">
        <v>8711</v>
      </c>
      <c r="D5411" t="s">
        <v>17191</v>
      </c>
      <c r="E5411" t="s">
        <v>20986</v>
      </c>
      <c r="F5411" t="s">
        <v>29372</v>
      </c>
      <c r="G5411" t="s">
        <v>29380</v>
      </c>
      <c r="H5411" t="s">
        <v>11048</v>
      </c>
      <c r="I5411" t="s">
        <v>4487</v>
      </c>
      <c r="J5411" t="s">
        <v>33023</v>
      </c>
      <c r="K5411" t="s">
        <v>38485</v>
      </c>
      <c r="M5411" t="s">
        <v>40222</v>
      </c>
      <c r="N5411" t="s">
        <v>42669</v>
      </c>
      <c r="O5411" t="s">
        <v>42670</v>
      </c>
      <c r="P5411">
        <v>0</v>
      </c>
      <c r="Q5411">
        <v>2</v>
      </c>
      <c r="R5411" t="s">
        <v>42676</v>
      </c>
      <c r="S5411" t="s">
        <v>42809</v>
      </c>
      <c r="T5411" t="s">
        <v>44470</v>
      </c>
      <c r="U5411" t="s">
        <v>49240</v>
      </c>
      <c r="W5411" t="s">
        <v>40222</v>
      </c>
      <c r="X5411" t="s">
        <v>42677</v>
      </c>
    </row>
    <row r="5412" spans="1:24">
      <c r="A5412">
        <f>HYPERLINK("https://www.philgeps.gov.ph/GEPSNONPILOT/Tender/SplashBidNoticeAbstractUI.aspx?menuIndex=3&amp;refID=7189916&amp;Result=3","7189916")</f>
        <v>0</v>
      </c>
      <c r="B5412" t="s">
        <v>1891</v>
      </c>
      <c r="C5412" t="s">
        <v>8712</v>
      </c>
      <c r="D5412" t="s">
        <v>17172</v>
      </c>
      <c r="E5412" t="s">
        <v>17648</v>
      </c>
      <c r="F5412" t="s">
        <v>29372</v>
      </c>
      <c r="G5412" t="s">
        <v>29381</v>
      </c>
      <c r="H5412" t="s">
        <v>29390</v>
      </c>
      <c r="I5412" t="s">
        <v>29409</v>
      </c>
      <c r="J5412" t="s">
        <v>33024</v>
      </c>
      <c r="K5412" t="s">
        <v>38535</v>
      </c>
      <c r="M5412" t="s">
        <v>40765</v>
      </c>
      <c r="N5412" t="s">
        <v>42669</v>
      </c>
      <c r="O5412" t="s">
        <v>42670</v>
      </c>
      <c r="P5412">
        <v>0</v>
      </c>
      <c r="Q5412">
        <v>2</v>
      </c>
      <c r="R5412" t="s">
        <v>42676</v>
      </c>
      <c r="S5412" t="s">
        <v>42809</v>
      </c>
      <c r="T5412" t="s">
        <v>44488</v>
      </c>
      <c r="U5412" t="s">
        <v>49241</v>
      </c>
      <c r="W5412" t="s">
        <v>40765</v>
      </c>
      <c r="X5412" t="s">
        <v>42677</v>
      </c>
    </row>
    <row r="5413" spans="1:24">
      <c r="A5413">
        <f>HYPERLINK("https://www.philgeps.gov.ph/GEPSNONPILOT/Tender/SplashBidNoticeAbstractUI.aspx?menuIndex=3&amp;refID=7189938&amp;Result=3","7189938")</f>
        <v>0</v>
      </c>
      <c r="B5413" t="s">
        <v>1132</v>
      </c>
      <c r="C5413" t="s">
        <v>8713</v>
      </c>
      <c r="D5413" t="s">
        <v>17204</v>
      </c>
      <c r="E5413" t="s">
        <v>21923</v>
      </c>
      <c r="F5413" t="s">
        <v>29372</v>
      </c>
      <c r="G5413" t="s">
        <v>29380</v>
      </c>
      <c r="H5413" t="s">
        <v>11048</v>
      </c>
      <c r="I5413" t="s">
        <v>29395</v>
      </c>
      <c r="J5413" t="s">
        <v>33025</v>
      </c>
      <c r="K5413" t="s">
        <v>38488</v>
      </c>
      <c r="M5413" t="s">
        <v>39944</v>
      </c>
      <c r="N5413" t="s">
        <v>42669</v>
      </c>
      <c r="O5413" t="s">
        <v>42670</v>
      </c>
      <c r="P5413">
        <v>0</v>
      </c>
      <c r="Q5413">
        <v>0</v>
      </c>
      <c r="R5413" t="s">
        <v>42676</v>
      </c>
      <c r="S5413" t="s">
        <v>42809</v>
      </c>
      <c r="T5413" t="s">
        <v>44584</v>
      </c>
      <c r="U5413" t="s">
        <v>49242</v>
      </c>
      <c r="W5413" t="s">
        <v>39944</v>
      </c>
      <c r="X5413" t="s">
        <v>42677</v>
      </c>
    </row>
    <row r="5414" spans="1:24">
      <c r="A5414">
        <f>HYPERLINK("https://www.philgeps.gov.ph/GEPSNONPILOT/Tender/SplashBidNoticeAbstractUI.aspx?menuIndex=3&amp;refID=7189907&amp;Result=3","7189907")</f>
        <v>0</v>
      </c>
      <c r="B5414" t="s">
        <v>1861</v>
      </c>
      <c r="C5414" t="s">
        <v>8714</v>
      </c>
      <c r="D5414" t="s">
        <v>17141</v>
      </c>
      <c r="E5414" t="s">
        <v>21924</v>
      </c>
      <c r="F5414" t="s">
        <v>29372</v>
      </c>
      <c r="G5414" t="s">
        <v>29380</v>
      </c>
      <c r="H5414" t="s">
        <v>11048</v>
      </c>
      <c r="I5414" t="s">
        <v>8614</v>
      </c>
      <c r="J5414" t="s">
        <v>33026</v>
      </c>
      <c r="K5414" t="s">
        <v>38495</v>
      </c>
      <c r="M5414" t="s">
        <v>40734</v>
      </c>
      <c r="N5414" t="s">
        <v>42669</v>
      </c>
      <c r="O5414" t="s">
        <v>42670</v>
      </c>
      <c r="P5414">
        <v>0</v>
      </c>
      <c r="Q5414">
        <v>14</v>
      </c>
      <c r="R5414" t="s">
        <v>42676</v>
      </c>
      <c r="S5414" t="s">
        <v>42809</v>
      </c>
      <c r="T5414" t="s">
        <v>44365</v>
      </c>
      <c r="U5414" t="s">
        <v>49152</v>
      </c>
      <c r="W5414" t="s">
        <v>58060</v>
      </c>
      <c r="X5414" t="s">
        <v>42677</v>
      </c>
    </row>
    <row r="5415" spans="1:24">
      <c r="A5415">
        <f>HYPERLINK("https://www.philgeps.gov.ph/GEPSNONPILOT/Tender/SplashBidNoticeAbstractUI.aspx?menuIndex=3&amp;refID=7189937&amp;Result=3","7189937")</f>
        <v>0</v>
      </c>
      <c r="B5415" t="s">
        <v>1875</v>
      </c>
      <c r="C5415" t="s">
        <v>8715</v>
      </c>
      <c r="D5415" t="s">
        <v>17179</v>
      </c>
      <c r="E5415" t="s">
        <v>21925</v>
      </c>
      <c r="F5415" t="s">
        <v>29372</v>
      </c>
      <c r="G5415" t="s">
        <v>29379</v>
      </c>
      <c r="H5415" t="s">
        <v>11048</v>
      </c>
      <c r="I5415" t="s">
        <v>29432</v>
      </c>
      <c r="J5415" t="s">
        <v>33027</v>
      </c>
      <c r="K5415" t="s">
        <v>38518</v>
      </c>
      <c r="M5415" t="s">
        <v>40748</v>
      </c>
      <c r="N5415" t="s">
        <v>42669</v>
      </c>
      <c r="O5415" t="s">
        <v>42670</v>
      </c>
      <c r="P5415">
        <v>0</v>
      </c>
      <c r="Q5415">
        <v>2</v>
      </c>
      <c r="R5415" t="s">
        <v>42676</v>
      </c>
      <c r="S5415" t="s">
        <v>42809</v>
      </c>
      <c r="T5415" t="s">
        <v>44387</v>
      </c>
      <c r="U5415" t="s">
        <v>49243</v>
      </c>
      <c r="W5415" t="s">
        <v>40748</v>
      </c>
      <c r="X5415" t="s">
        <v>42677</v>
      </c>
    </row>
    <row r="5416" spans="1:24">
      <c r="A5416">
        <f>HYPERLINK("https://www.philgeps.gov.ph/GEPSNONPILOT/Tender/SplashBidNoticeAbstractUI.aspx?menuIndex=3&amp;refID=7189946&amp;Result=3","7189946")</f>
        <v>0</v>
      </c>
      <c r="B5416" t="s">
        <v>1873</v>
      </c>
      <c r="C5416" t="s">
        <v>3816</v>
      </c>
      <c r="D5416" t="s">
        <v>17222</v>
      </c>
      <c r="E5416" t="s">
        <v>21926</v>
      </c>
      <c r="F5416" t="s">
        <v>29372</v>
      </c>
      <c r="G5416" t="s">
        <v>29380</v>
      </c>
      <c r="H5416" t="s">
        <v>11048</v>
      </c>
      <c r="I5416" t="s">
        <v>5383</v>
      </c>
      <c r="J5416" t="s">
        <v>33028</v>
      </c>
      <c r="K5416" t="s">
        <v>38510</v>
      </c>
      <c r="M5416" t="s">
        <v>40746</v>
      </c>
      <c r="N5416" t="s">
        <v>42669</v>
      </c>
      <c r="O5416" t="s">
        <v>42670</v>
      </c>
      <c r="P5416">
        <v>0</v>
      </c>
      <c r="Q5416">
        <v>0</v>
      </c>
      <c r="R5416" t="s">
        <v>42676</v>
      </c>
      <c r="S5416" t="s">
        <v>42809</v>
      </c>
      <c r="T5416" t="s">
        <v>44368</v>
      </c>
      <c r="U5416" t="s">
        <v>49244</v>
      </c>
      <c r="W5416" t="s">
        <v>40746</v>
      </c>
      <c r="X5416" t="s">
        <v>42677</v>
      </c>
    </row>
    <row r="5417" spans="1:24">
      <c r="A5417">
        <f>HYPERLINK("https://www.philgeps.gov.ph/GEPSNONPILOT/Tender/SplashBidNoticeAbstractUI.aspx?menuIndex=3&amp;refID=7189943&amp;Result=3","7189943")</f>
        <v>0</v>
      </c>
      <c r="B5417" t="s">
        <v>1892</v>
      </c>
      <c r="C5417" t="s">
        <v>8716</v>
      </c>
      <c r="D5417" t="s">
        <v>17212</v>
      </c>
      <c r="E5417" t="s">
        <v>17284</v>
      </c>
      <c r="F5417" t="s">
        <v>29372</v>
      </c>
      <c r="G5417" t="s">
        <v>29380</v>
      </c>
      <c r="H5417" t="s">
        <v>29389</v>
      </c>
      <c r="I5417" t="s">
        <v>10408</v>
      </c>
      <c r="J5417" t="s">
        <v>33029</v>
      </c>
      <c r="K5417" t="s">
        <v>38496</v>
      </c>
      <c r="M5417" t="s">
        <v>40766</v>
      </c>
      <c r="N5417" t="s">
        <v>42669</v>
      </c>
      <c r="O5417" t="s">
        <v>42670</v>
      </c>
      <c r="P5417">
        <v>0</v>
      </c>
      <c r="Q5417">
        <v>2</v>
      </c>
      <c r="R5417" t="s">
        <v>42676</v>
      </c>
      <c r="S5417" t="s">
        <v>42809</v>
      </c>
      <c r="T5417" t="s">
        <v>44371</v>
      </c>
      <c r="U5417" t="s">
        <v>49245</v>
      </c>
      <c r="W5417" t="s">
        <v>40766</v>
      </c>
      <c r="X5417" t="s">
        <v>42677</v>
      </c>
    </row>
    <row r="5418" spans="1:24">
      <c r="A5418">
        <f>HYPERLINK("https://www.philgeps.gov.ph/GEPSNONPILOT/Tender/SplashBidNoticeAbstractUI.aspx?menuIndex=3&amp;refID=7189906&amp;Result=3","7189906")</f>
        <v>0</v>
      </c>
      <c r="B5418" t="s">
        <v>1459</v>
      </c>
      <c r="C5418" t="s">
        <v>8717</v>
      </c>
      <c r="D5418" t="s">
        <v>17199</v>
      </c>
      <c r="E5418" t="s">
        <v>21927</v>
      </c>
      <c r="F5418" t="s">
        <v>29372</v>
      </c>
      <c r="G5418" t="s">
        <v>29379</v>
      </c>
      <c r="H5418" t="s">
        <v>11048</v>
      </c>
      <c r="I5418" t="s">
        <v>8208</v>
      </c>
      <c r="J5418" t="s">
        <v>30886</v>
      </c>
      <c r="K5418" t="s">
        <v>38528</v>
      </c>
      <c r="M5418" t="s">
        <v>40302</v>
      </c>
      <c r="N5418" t="s">
        <v>42669</v>
      </c>
      <c r="O5418" t="s">
        <v>42670</v>
      </c>
      <c r="P5418">
        <v>0</v>
      </c>
      <c r="Q5418">
        <v>1</v>
      </c>
      <c r="R5418" t="s">
        <v>42676</v>
      </c>
      <c r="S5418" t="s">
        <v>42809</v>
      </c>
      <c r="T5418" t="s">
        <v>44647</v>
      </c>
      <c r="U5418" t="s">
        <v>48118</v>
      </c>
      <c r="W5418" t="s">
        <v>40302</v>
      </c>
      <c r="X5418" t="s">
        <v>42677</v>
      </c>
    </row>
    <row r="5419" spans="1:24">
      <c r="A5419">
        <f>HYPERLINK("https://www.philgeps.gov.ph/GEPSNONPILOT/Tender/SplashBidNoticeAbstractUI.aspx?menuIndex=3&amp;refID=7189903&amp;Result=3","7189903")</f>
        <v>0</v>
      </c>
      <c r="B5419" t="s">
        <v>1861</v>
      </c>
      <c r="C5419" t="s">
        <v>8718</v>
      </c>
      <c r="D5419" t="s">
        <v>17141</v>
      </c>
      <c r="E5419" t="s">
        <v>21841</v>
      </c>
      <c r="F5419" t="s">
        <v>29372</v>
      </c>
      <c r="G5419" t="s">
        <v>29380</v>
      </c>
      <c r="H5419" t="s">
        <v>11048</v>
      </c>
      <c r="I5419" t="s">
        <v>29446</v>
      </c>
      <c r="J5419" t="s">
        <v>33030</v>
      </c>
      <c r="K5419" t="s">
        <v>38563</v>
      </c>
      <c r="M5419" t="s">
        <v>40734</v>
      </c>
      <c r="N5419" t="s">
        <v>42669</v>
      </c>
      <c r="O5419" t="s">
        <v>42670</v>
      </c>
      <c r="P5419">
        <v>0</v>
      </c>
      <c r="Q5419">
        <v>2</v>
      </c>
      <c r="R5419" t="s">
        <v>42676</v>
      </c>
      <c r="S5419" t="s">
        <v>42809</v>
      </c>
      <c r="T5419" t="s">
        <v>44365</v>
      </c>
      <c r="U5419" t="s">
        <v>49152</v>
      </c>
      <c r="W5419" t="s">
        <v>58060</v>
      </c>
      <c r="X5419" t="s">
        <v>42677</v>
      </c>
    </row>
    <row r="5420" spans="1:24">
      <c r="A5420">
        <f>HYPERLINK("https://www.philgeps.gov.ph/GEPSNONPILOT/Tender/SplashBidNoticeAbstractUI.aspx?menuIndex=3&amp;refID=7189902&amp;Result=3","7189902")</f>
        <v>0</v>
      </c>
      <c r="B5420" t="s">
        <v>1287</v>
      </c>
      <c r="C5420" t="s">
        <v>8719</v>
      </c>
      <c r="D5420" t="s">
        <v>17153</v>
      </c>
      <c r="E5420" t="s">
        <v>21928</v>
      </c>
      <c r="F5420" t="s">
        <v>29372</v>
      </c>
      <c r="G5420" t="s">
        <v>29385</v>
      </c>
      <c r="H5420" t="s">
        <v>11048</v>
      </c>
      <c r="I5420" t="s">
        <v>29409</v>
      </c>
      <c r="J5420" t="s">
        <v>30294</v>
      </c>
      <c r="K5420" t="s">
        <v>38485</v>
      </c>
      <c r="M5420" t="s">
        <v>40724</v>
      </c>
      <c r="N5420" t="s">
        <v>42669</v>
      </c>
      <c r="O5420" t="s">
        <v>42670</v>
      </c>
      <c r="P5420">
        <v>0</v>
      </c>
      <c r="Q5420">
        <v>1</v>
      </c>
      <c r="R5420" t="s">
        <v>42676</v>
      </c>
      <c r="S5420" t="s">
        <v>42809</v>
      </c>
      <c r="T5420" t="s">
        <v>44493</v>
      </c>
      <c r="U5420" t="s">
        <v>49246</v>
      </c>
      <c r="V5420" t="s">
        <v>56966</v>
      </c>
      <c r="W5420" t="s">
        <v>40724</v>
      </c>
      <c r="X5420" t="s">
        <v>42677</v>
      </c>
    </row>
    <row r="5421" spans="1:24">
      <c r="A5421">
        <f>HYPERLINK("https://www.philgeps.gov.ph/GEPSNONPILOT/Tender/SplashBidNoticeAbstractUI.aspx?menuIndex=3&amp;refID=7188892&amp;Result=3","7188892")</f>
        <v>0</v>
      </c>
      <c r="B5421" t="s">
        <v>1728</v>
      </c>
      <c r="C5421" t="s">
        <v>8720</v>
      </c>
      <c r="D5421" t="s">
        <v>17192</v>
      </c>
      <c r="E5421" t="s">
        <v>21929</v>
      </c>
      <c r="F5421" t="s">
        <v>29372</v>
      </c>
      <c r="G5421" t="s">
        <v>29379</v>
      </c>
      <c r="H5421" t="s">
        <v>11048</v>
      </c>
      <c r="I5421" t="s">
        <v>29447</v>
      </c>
      <c r="J5421" t="s">
        <v>33031</v>
      </c>
      <c r="K5421" t="s">
        <v>38490</v>
      </c>
      <c r="M5421" t="s">
        <v>40592</v>
      </c>
      <c r="N5421" t="s">
        <v>42669</v>
      </c>
      <c r="O5421" t="s">
        <v>42670</v>
      </c>
      <c r="P5421">
        <v>0</v>
      </c>
      <c r="Q5421">
        <v>7</v>
      </c>
      <c r="R5421" t="s">
        <v>42676</v>
      </c>
      <c r="S5421" t="s">
        <v>42809</v>
      </c>
      <c r="T5421" t="s">
        <v>44399</v>
      </c>
      <c r="U5421" t="s">
        <v>48758</v>
      </c>
      <c r="W5421" t="s">
        <v>40592</v>
      </c>
      <c r="X5421" t="s">
        <v>42677</v>
      </c>
    </row>
    <row r="5422" spans="1:24">
      <c r="A5422">
        <f>HYPERLINK("https://www.philgeps.gov.ph/GEPSNONPILOT/Tender/SplashBidNoticeAbstractUI.aspx?menuIndex=3&amp;refID=7189909&amp;Result=3","7189909")</f>
        <v>0</v>
      </c>
      <c r="B5422" t="s">
        <v>1893</v>
      </c>
      <c r="C5422" t="s">
        <v>8721</v>
      </c>
      <c r="D5422" t="s">
        <v>17141</v>
      </c>
      <c r="E5422" t="s">
        <v>21047</v>
      </c>
      <c r="F5422" t="s">
        <v>29372</v>
      </c>
      <c r="G5422" t="s">
        <v>29379</v>
      </c>
      <c r="H5422" t="s">
        <v>11048</v>
      </c>
      <c r="I5422" t="s">
        <v>3670</v>
      </c>
      <c r="J5422" t="s">
        <v>33032</v>
      </c>
      <c r="K5422" t="s">
        <v>38491</v>
      </c>
      <c r="M5422" t="s">
        <v>40767</v>
      </c>
      <c r="N5422" t="s">
        <v>42669</v>
      </c>
      <c r="O5422" t="s">
        <v>42670</v>
      </c>
      <c r="P5422">
        <v>0</v>
      </c>
      <c r="Q5422">
        <v>3</v>
      </c>
      <c r="R5422" t="s">
        <v>42676</v>
      </c>
      <c r="S5422" t="s">
        <v>42809</v>
      </c>
      <c r="T5422" t="s">
        <v>44508</v>
      </c>
      <c r="U5422" t="s">
        <v>49247</v>
      </c>
      <c r="W5422" t="s">
        <v>58062</v>
      </c>
      <c r="X5422" t="s">
        <v>42677</v>
      </c>
    </row>
    <row r="5423" spans="1:24">
      <c r="A5423">
        <f>HYPERLINK("https://www.philgeps.gov.ph/GEPSNONPILOT/Tender/SplashBidNoticeAbstractUI.aspx?menuIndex=3&amp;refID=7188891&amp;Result=3","7188891")</f>
        <v>0</v>
      </c>
      <c r="B5423" t="s">
        <v>1319</v>
      </c>
      <c r="C5423" t="s">
        <v>8722</v>
      </c>
      <c r="D5423" t="s">
        <v>17141</v>
      </c>
      <c r="E5423" t="s">
        <v>21930</v>
      </c>
      <c r="F5423" t="s">
        <v>29372</v>
      </c>
      <c r="G5423" t="s">
        <v>29380</v>
      </c>
      <c r="H5423" t="s">
        <v>11048</v>
      </c>
      <c r="I5423" t="s">
        <v>29407</v>
      </c>
      <c r="J5423" t="s">
        <v>33033</v>
      </c>
      <c r="K5423" t="s">
        <v>38490</v>
      </c>
      <c r="M5423" t="s">
        <v>40151</v>
      </c>
      <c r="N5423" t="s">
        <v>42669</v>
      </c>
      <c r="O5423" t="s">
        <v>42670</v>
      </c>
      <c r="P5423">
        <v>0</v>
      </c>
      <c r="Q5423">
        <v>8</v>
      </c>
      <c r="R5423" t="s">
        <v>42676</v>
      </c>
      <c r="S5423" t="s">
        <v>42809</v>
      </c>
      <c r="T5423" t="s">
        <v>44636</v>
      </c>
      <c r="U5423" t="s">
        <v>49248</v>
      </c>
      <c r="W5423" t="s">
        <v>40151</v>
      </c>
      <c r="X5423" t="s">
        <v>42677</v>
      </c>
    </row>
    <row r="5424" spans="1:24">
      <c r="A5424">
        <f>HYPERLINK("https://www.philgeps.gov.ph/GEPSNONPILOT/Tender/SplashBidNoticeAbstractUI.aspx?menuIndex=3&amp;refID=7125605-2&amp;Result=3","7125605-2")</f>
        <v>0</v>
      </c>
      <c r="B5424" t="s">
        <v>754</v>
      </c>
      <c r="C5424" t="s">
        <v>8723</v>
      </c>
      <c r="D5424" t="s">
        <v>17168</v>
      </c>
      <c r="E5424" t="s">
        <v>21931</v>
      </c>
      <c r="F5424" t="s">
        <v>29372</v>
      </c>
      <c r="G5424" t="s">
        <v>29380</v>
      </c>
      <c r="H5424" t="s">
        <v>29391</v>
      </c>
      <c r="I5424" t="s">
        <v>29391</v>
      </c>
      <c r="J5424" t="s">
        <v>33034</v>
      </c>
      <c r="K5424" t="s">
        <v>38488</v>
      </c>
      <c r="M5424" t="s">
        <v>39537</v>
      </c>
      <c r="N5424" t="s">
        <v>42669</v>
      </c>
      <c r="O5424" t="s">
        <v>42670</v>
      </c>
      <c r="P5424">
        <v>0</v>
      </c>
      <c r="Q5424">
        <v>1</v>
      </c>
      <c r="R5424" t="s">
        <v>42677</v>
      </c>
      <c r="S5424" t="s">
        <v>42830</v>
      </c>
      <c r="T5424" t="s">
        <v>44357</v>
      </c>
      <c r="U5424" t="s">
        <v>49249</v>
      </c>
      <c r="W5424" t="s">
        <v>39537</v>
      </c>
      <c r="X5424" t="s">
        <v>42679</v>
      </c>
    </row>
    <row r="5425" spans="1:24">
      <c r="A5425">
        <f>HYPERLINK("https://www.philgeps.gov.ph/GEPSNONPILOT/Tender/SplashBidNoticeAbstractUI.aspx?menuIndex=3&amp;refID=7189910&amp;Result=3","7189910")</f>
        <v>0</v>
      </c>
      <c r="B5425" t="s">
        <v>1894</v>
      </c>
      <c r="C5425" t="s">
        <v>3728</v>
      </c>
      <c r="D5425" t="s">
        <v>17168</v>
      </c>
      <c r="E5425" t="s">
        <v>17399</v>
      </c>
      <c r="F5425" t="s">
        <v>29372</v>
      </c>
      <c r="G5425" t="s">
        <v>29380</v>
      </c>
      <c r="H5425" t="s">
        <v>11048</v>
      </c>
      <c r="I5425" t="s">
        <v>10408</v>
      </c>
      <c r="J5425" t="s">
        <v>32287</v>
      </c>
      <c r="K5425" t="s">
        <v>38490</v>
      </c>
      <c r="M5425" t="s">
        <v>40768</v>
      </c>
      <c r="N5425" t="s">
        <v>42669</v>
      </c>
      <c r="O5425" t="s">
        <v>42670</v>
      </c>
      <c r="P5425">
        <v>0</v>
      </c>
      <c r="Q5425">
        <v>0</v>
      </c>
      <c r="R5425" t="s">
        <v>42676</v>
      </c>
      <c r="S5425" t="s">
        <v>42809</v>
      </c>
      <c r="T5425" t="s">
        <v>44371</v>
      </c>
      <c r="U5425" t="s">
        <v>49250</v>
      </c>
      <c r="W5425" t="s">
        <v>40768</v>
      </c>
      <c r="X5425" t="s">
        <v>42677</v>
      </c>
    </row>
    <row r="5426" spans="1:24">
      <c r="A5426">
        <f>HYPERLINK("https://www.philgeps.gov.ph/GEPSNONPILOT/Tender/SplashBidNoticeAbstractUI.aspx?menuIndex=3&amp;refID=7190034&amp;Result=3","7190034")</f>
        <v>0</v>
      </c>
      <c r="B5426" t="s">
        <v>255</v>
      </c>
      <c r="C5426" t="s">
        <v>8724</v>
      </c>
      <c r="E5426" t="s">
        <v>21932</v>
      </c>
      <c r="F5426" t="s">
        <v>29372</v>
      </c>
      <c r="G5426" t="s">
        <v>29379</v>
      </c>
      <c r="H5426" t="s">
        <v>11048</v>
      </c>
      <c r="I5426" t="s">
        <v>29401</v>
      </c>
      <c r="J5426" t="s">
        <v>29685</v>
      </c>
      <c r="K5426" t="s">
        <v>38490</v>
      </c>
      <c r="M5426" t="s">
        <v>39014</v>
      </c>
      <c r="N5426" t="s">
        <v>42669</v>
      </c>
      <c r="O5426" t="s">
        <v>42670</v>
      </c>
      <c r="P5426">
        <v>0</v>
      </c>
      <c r="Q5426">
        <v>2</v>
      </c>
      <c r="R5426" t="s">
        <v>42676</v>
      </c>
      <c r="S5426" t="s">
        <v>42809</v>
      </c>
      <c r="T5426" t="s">
        <v>44489</v>
      </c>
      <c r="U5426" t="s">
        <v>49251</v>
      </c>
      <c r="W5426" t="s">
        <v>39014</v>
      </c>
      <c r="X5426" t="s">
        <v>42677</v>
      </c>
    </row>
    <row r="5427" spans="1:24">
      <c r="A5427">
        <f>HYPERLINK("https://www.philgeps.gov.ph/GEPSNONPILOT/Tender/SplashBidNoticeAbstractUI.aspx?menuIndex=3&amp;refID=7189855&amp;Result=3","7189855")</f>
        <v>0</v>
      </c>
      <c r="B5427" t="s">
        <v>1287</v>
      </c>
      <c r="C5427" t="s">
        <v>8725</v>
      </c>
      <c r="D5427" t="s">
        <v>17153</v>
      </c>
      <c r="E5427" t="s">
        <v>21933</v>
      </c>
      <c r="F5427" t="s">
        <v>29372</v>
      </c>
      <c r="G5427" t="s">
        <v>29379</v>
      </c>
      <c r="H5427" t="s">
        <v>11048</v>
      </c>
      <c r="I5427" t="s">
        <v>29463</v>
      </c>
      <c r="J5427" t="s">
        <v>33035</v>
      </c>
      <c r="K5427" t="s">
        <v>38485</v>
      </c>
      <c r="M5427" t="s">
        <v>40724</v>
      </c>
      <c r="N5427" t="s">
        <v>42669</v>
      </c>
      <c r="O5427" t="s">
        <v>42670</v>
      </c>
      <c r="P5427">
        <v>0</v>
      </c>
      <c r="Q5427">
        <v>2</v>
      </c>
      <c r="R5427" t="s">
        <v>42676</v>
      </c>
      <c r="S5427" t="s">
        <v>42809</v>
      </c>
      <c r="T5427" t="s">
        <v>44493</v>
      </c>
      <c r="U5427" t="s">
        <v>49252</v>
      </c>
      <c r="W5427" t="s">
        <v>40724</v>
      </c>
      <c r="X5427" t="s">
        <v>42677</v>
      </c>
    </row>
    <row r="5428" spans="1:24">
      <c r="A5428">
        <f>HYPERLINK("https://www.philgeps.gov.ph/GEPSNONPILOT/Tender/SplashBidNoticeAbstractUI.aspx?menuIndex=3&amp;refID=7190026&amp;Result=3","7190026")</f>
        <v>0</v>
      </c>
      <c r="B5428" t="s">
        <v>530</v>
      </c>
      <c r="C5428" t="s">
        <v>8726</v>
      </c>
      <c r="D5428" t="s">
        <v>17201</v>
      </c>
      <c r="E5428" t="s">
        <v>21934</v>
      </c>
      <c r="F5428" t="s">
        <v>29372</v>
      </c>
      <c r="G5428" t="s">
        <v>29380</v>
      </c>
      <c r="H5428" t="s">
        <v>11048</v>
      </c>
      <c r="I5428" t="s">
        <v>4487</v>
      </c>
      <c r="J5428" t="s">
        <v>33036</v>
      </c>
      <c r="K5428" t="s">
        <v>38485</v>
      </c>
      <c r="M5428" t="s">
        <v>39297</v>
      </c>
      <c r="N5428" t="s">
        <v>42669</v>
      </c>
      <c r="O5428" t="s">
        <v>42670</v>
      </c>
      <c r="P5428">
        <v>0</v>
      </c>
      <c r="Q5428">
        <v>6</v>
      </c>
      <c r="R5428" t="s">
        <v>42676</v>
      </c>
      <c r="S5428" t="s">
        <v>42809</v>
      </c>
      <c r="T5428" t="s">
        <v>44418</v>
      </c>
      <c r="U5428" t="s">
        <v>46011</v>
      </c>
      <c r="W5428" t="s">
        <v>39297</v>
      </c>
      <c r="X5428" t="s">
        <v>42677</v>
      </c>
    </row>
    <row r="5429" spans="1:24">
      <c r="A5429">
        <f>HYPERLINK("https://www.philgeps.gov.ph/GEPSNONPILOT/Tender/SplashBidNoticeAbstractUI.aspx?menuIndex=3&amp;refID=7101984&amp;Result=3","7101984")</f>
        <v>0</v>
      </c>
      <c r="B5429" t="s">
        <v>1895</v>
      </c>
      <c r="C5429" t="s">
        <v>8727</v>
      </c>
      <c r="D5429" t="s">
        <v>17199</v>
      </c>
      <c r="E5429" t="s">
        <v>21935</v>
      </c>
      <c r="F5429" t="s">
        <v>29372</v>
      </c>
      <c r="G5429" t="s">
        <v>29380</v>
      </c>
      <c r="H5429" t="s">
        <v>11048</v>
      </c>
      <c r="I5429" t="s">
        <v>9469</v>
      </c>
      <c r="J5429" t="s">
        <v>31086</v>
      </c>
      <c r="K5429" t="s">
        <v>38488</v>
      </c>
      <c r="M5429" t="s">
        <v>40769</v>
      </c>
      <c r="N5429" t="s">
        <v>42669</v>
      </c>
      <c r="O5429" t="s">
        <v>42670</v>
      </c>
      <c r="P5429">
        <v>0</v>
      </c>
      <c r="Q5429">
        <v>0</v>
      </c>
      <c r="R5429" t="s">
        <v>42677</v>
      </c>
      <c r="S5429" t="s">
        <v>42830</v>
      </c>
      <c r="T5429" t="s">
        <v>44429</v>
      </c>
      <c r="U5429" t="s">
        <v>49253</v>
      </c>
      <c r="W5429" t="s">
        <v>40769</v>
      </c>
      <c r="X5429" t="s">
        <v>42710</v>
      </c>
    </row>
    <row r="5430" spans="1:24">
      <c r="A5430">
        <f>HYPERLINK("https://www.philgeps.gov.ph/GEPSNONPILOT/Tender/SplashBidNoticeAbstractUI.aspx?menuIndex=3&amp;refID=7190022&amp;Result=3","7190022")</f>
        <v>0</v>
      </c>
      <c r="B5430" t="s">
        <v>1132</v>
      </c>
      <c r="C5430" t="s">
        <v>8728</v>
      </c>
      <c r="D5430" t="s">
        <v>17204</v>
      </c>
      <c r="E5430" t="s">
        <v>21936</v>
      </c>
      <c r="F5430" t="s">
        <v>29372</v>
      </c>
      <c r="G5430" t="s">
        <v>29380</v>
      </c>
      <c r="H5430" t="s">
        <v>11048</v>
      </c>
      <c r="I5430" t="s">
        <v>4709</v>
      </c>
      <c r="J5430" t="s">
        <v>33037</v>
      </c>
      <c r="K5430" t="s">
        <v>38485</v>
      </c>
      <c r="M5430" t="s">
        <v>39944</v>
      </c>
      <c r="N5430" t="s">
        <v>42669</v>
      </c>
      <c r="O5430" t="s">
        <v>42670</v>
      </c>
      <c r="P5430">
        <v>0</v>
      </c>
      <c r="Q5430">
        <v>0</v>
      </c>
      <c r="R5430" t="s">
        <v>42676</v>
      </c>
      <c r="S5430" t="s">
        <v>42809</v>
      </c>
      <c r="T5430" t="s">
        <v>44693</v>
      </c>
      <c r="U5430" t="s">
        <v>49254</v>
      </c>
      <c r="W5430" t="s">
        <v>39944</v>
      </c>
      <c r="X5430" t="s">
        <v>42677</v>
      </c>
    </row>
    <row r="5431" spans="1:24">
      <c r="A5431">
        <f>HYPERLINK("https://www.philgeps.gov.ph/GEPSNONPILOT/Tender/SplashBidNoticeAbstractUI.aspx?menuIndex=3&amp;refID=6781699&amp;Result=3","6781699")</f>
        <v>0</v>
      </c>
      <c r="B5431" t="s">
        <v>1327</v>
      </c>
      <c r="C5431" t="s">
        <v>8729</v>
      </c>
      <c r="D5431" t="s">
        <v>17141</v>
      </c>
      <c r="E5431" t="s">
        <v>21937</v>
      </c>
      <c r="F5431" t="s">
        <v>29372</v>
      </c>
      <c r="G5431" t="s">
        <v>29379</v>
      </c>
      <c r="H5431" t="s">
        <v>11048</v>
      </c>
      <c r="I5431" t="s">
        <v>29433</v>
      </c>
      <c r="J5431" t="s">
        <v>33038</v>
      </c>
      <c r="K5431" t="s">
        <v>38489</v>
      </c>
      <c r="M5431" t="s">
        <v>40163</v>
      </c>
      <c r="N5431" t="s">
        <v>42669</v>
      </c>
      <c r="O5431" t="s">
        <v>42670</v>
      </c>
      <c r="P5431">
        <v>0</v>
      </c>
      <c r="Q5431">
        <v>2</v>
      </c>
      <c r="R5431" t="s">
        <v>42677</v>
      </c>
      <c r="S5431" t="s">
        <v>42830</v>
      </c>
      <c r="T5431" t="s">
        <v>44429</v>
      </c>
      <c r="U5431" t="s">
        <v>49255</v>
      </c>
      <c r="V5431" t="s">
        <v>56692</v>
      </c>
      <c r="W5431" t="s">
        <v>40163</v>
      </c>
      <c r="X5431" t="s">
        <v>58143</v>
      </c>
    </row>
    <row r="5432" spans="1:24">
      <c r="A5432">
        <f>HYPERLINK("https://www.philgeps.gov.ph/GEPSNONPILOT/Tender/SplashBidNoticeAbstractUI.aspx?menuIndex=3&amp;refID=7190021&amp;Result=3","7190021")</f>
        <v>0</v>
      </c>
      <c r="B5432" t="s">
        <v>1896</v>
      </c>
      <c r="C5432" t="s">
        <v>8730</v>
      </c>
      <c r="D5432" t="s">
        <v>17173</v>
      </c>
      <c r="E5432" t="s">
        <v>21938</v>
      </c>
      <c r="F5432" t="s">
        <v>29372</v>
      </c>
      <c r="G5432" t="s">
        <v>29380</v>
      </c>
      <c r="H5432" t="s">
        <v>29389</v>
      </c>
      <c r="I5432" t="s">
        <v>10408</v>
      </c>
      <c r="J5432" t="s">
        <v>33039</v>
      </c>
      <c r="K5432" t="s">
        <v>38496</v>
      </c>
      <c r="M5432" t="s">
        <v>40770</v>
      </c>
      <c r="N5432" t="s">
        <v>42669</v>
      </c>
      <c r="O5432" t="s">
        <v>42670</v>
      </c>
      <c r="P5432">
        <v>0</v>
      </c>
      <c r="Q5432">
        <v>2</v>
      </c>
      <c r="R5432" t="s">
        <v>42676</v>
      </c>
      <c r="S5432" t="s">
        <v>42809</v>
      </c>
      <c r="T5432" t="s">
        <v>44684</v>
      </c>
      <c r="U5432" t="s">
        <v>49256</v>
      </c>
      <c r="W5432" t="s">
        <v>40770</v>
      </c>
      <c r="X5432" t="s">
        <v>42677</v>
      </c>
    </row>
    <row r="5433" spans="1:24">
      <c r="A5433">
        <f>HYPERLINK("https://www.philgeps.gov.ph/GEPSNONPILOT/Tender/SplashBidNoticeAbstractUI.aspx?menuIndex=3&amp;refID=7190020&amp;Result=3","7190020")</f>
        <v>0</v>
      </c>
      <c r="B5433" t="s">
        <v>1897</v>
      </c>
      <c r="C5433" t="s">
        <v>8731</v>
      </c>
      <c r="D5433" t="s">
        <v>17141</v>
      </c>
      <c r="E5433" t="s">
        <v>18255</v>
      </c>
      <c r="F5433" t="s">
        <v>29372</v>
      </c>
      <c r="G5433" t="s">
        <v>29380</v>
      </c>
      <c r="H5433" t="s">
        <v>11048</v>
      </c>
      <c r="I5433" t="s">
        <v>3670</v>
      </c>
      <c r="J5433" t="s">
        <v>29590</v>
      </c>
      <c r="K5433" t="s">
        <v>38489</v>
      </c>
      <c r="M5433" t="s">
        <v>40771</v>
      </c>
      <c r="N5433" t="s">
        <v>42669</v>
      </c>
      <c r="O5433" t="s">
        <v>42670</v>
      </c>
      <c r="P5433">
        <v>0</v>
      </c>
      <c r="Q5433">
        <v>4</v>
      </c>
      <c r="R5433" t="s">
        <v>42676</v>
      </c>
      <c r="S5433" t="s">
        <v>42809</v>
      </c>
      <c r="T5433" t="s">
        <v>44386</v>
      </c>
      <c r="U5433" t="s">
        <v>49257</v>
      </c>
      <c r="W5433" t="s">
        <v>40771</v>
      </c>
      <c r="X5433" t="s">
        <v>42677</v>
      </c>
    </row>
    <row r="5434" spans="1:24">
      <c r="A5434">
        <f>HYPERLINK("https://www.philgeps.gov.ph/GEPSNONPILOT/Tender/SplashBidNoticeAbstractUI.aspx?menuIndex=3&amp;refID=7189847&amp;Result=3","7189847")</f>
        <v>0</v>
      </c>
      <c r="B5434" t="s">
        <v>1858</v>
      </c>
      <c r="C5434" t="s">
        <v>8732</v>
      </c>
      <c r="E5434" t="s">
        <v>21939</v>
      </c>
      <c r="F5434" t="s">
        <v>29372</v>
      </c>
      <c r="G5434" t="s">
        <v>29379</v>
      </c>
      <c r="H5434" t="s">
        <v>11048</v>
      </c>
      <c r="I5434" t="s">
        <v>3629</v>
      </c>
      <c r="J5434" t="s">
        <v>33040</v>
      </c>
      <c r="K5434" t="s">
        <v>38490</v>
      </c>
      <c r="M5434" t="s">
        <v>40731</v>
      </c>
      <c r="N5434" t="s">
        <v>42669</v>
      </c>
      <c r="O5434" t="s">
        <v>42670</v>
      </c>
      <c r="P5434">
        <v>0</v>
      </c>
      <c r="Q5434">
        <v>0</v>
      </c>
      <c r="R5434" t="s">
        <v>42676</v>
      </c>
      <c r="S5434" t="s">
        <v>42809</v>
      </c>
      <c r="T5434" t="s">
        <v>44491</v>
      </c>
      <c r="U5434" t="s">
        <v>49258</v>
      </c>
      <c r="W5434" t="s">
        <v>40731</v>
      </c>
      <c r="X5434" t="s">
        <v>42677</v>
      </c>
    </row>
    <row r="5435" spans="1:24">
      <c r="A5435">
        <f>HYPERLINK("https://www.philgeps.gov.ph/GEPSNONPILOT/Tender/SplashBidNoticeAbstractUI.aspx?menuIndex=3&amp;refID=7190019&amp;Result=3","7190019")</f>
        <v>0</v>
      </c>
      <c r="B5435" t="s">
        <v>1898</v>
      </c>
      <c r="C5435" t="s">
        <v>8733</v>
      </c>
      <c r="D5435" t="s">
        <v>17205</v>
      </c>
      <c r="E5435" t="s">
        <v>17434</v>
      </c>
      <c r="F5435" t="s">
        <v>29372</v>
      </c>
      <c r="G5435" t="s">
        <v>29382</v>
      </c>
      <c r="H5435" t="s">
        <v>11048</v>
      </c>
      <c r="I5435" t="s">
        <v>29424</v>
      </c>
      <c r="J5435" t="s">
        <v>33041</v>
      </c>
      <c r="K5435" t="s">
        <v>38534</v>
      </c>
      <c r="M5435" t="s">
        <v>40772</v>
      </c>
      <c r="N5435" t="s">
        <v>42669</v>
      </c>
      <c r="O5435" t="s">
        <v>42670</v>
      </c>
      <c r="P5435">
        <v>0</v>
      </c>
      <c r="Q5435">
        <v>1</v>
      </c>
      <c r="R5435" t="s">
        <v>42676</v>
      </c>
      <c r="S5435" t="s">
        <v>42809</v>
      </c>
      <c r="T5435" t="s">
        <v>44386</v>
      </c>
      <c r="U5435" t="s">
        <v>49259</v>
      </c>
      <c r="W5435" t="s">
        <v>40772</v>
      </c>
      <c r="X5435" t="s">
        <v>42677</v>
      </c>
    </row>
    <row r="5436" spans="1:24">
      <c r="A5436">
        <f>HYPERLINK("https://www.philgeps.gov.ph/GEPSNONPILOT/Tender/SplashBidNoticeAbstractUI.aspx?menuIndex=3&amp;refID=7190018&amp;Result=3","7190018")</f>
        <v>0</v>
      </c>
      <c r="B5436" t="s">
        <v>1896</v>
      </c>
      <c r="C5436" t="s">
        <v>8734</v>
      </c>
      <c r="D5436" t="s">
        <v>17173</v>
      </c>
      <c r="E5436" t="s">
        <v>21940</v>
      </c>
      <c r="F5436" t="s">
        <v>29372</v>
      </c>
      <c r="G5436" t="s">
        <v>29380</v>
      </c>
      <c r="H5436" t="s">
        <v>29389</v>
      </c>
      <c r="I5436" t="s">
        <v>10408</v>
      </c>
      <c r="J5436" t="s">
        <v>33042</v>
      </c>
      <c r="K5436" t="s">
        <v>38579</v>
      </c>
      <c r="M5436" t="s">
        <v>40770</v>
      </c>
      <c r="N5436" t="s">
        <v>42669</v>
      </c>
      <c r="O5436" t="s">
        <v>42670</v>
      </c>
      <c r="P5436">
        <v>0</v>
      </c>
      <c r="Q5436">
        <v>1</v>
      </c>
      <c r="R5436" t="s">
        <v>42676</v>
      </c>
      <c r="S5436" t="s">
        <v>42809</v>
      </c>
      <c r="T5436" t="s">
        <v>44684</v>
      </c>
      <c r="U5436" t="s">
        <v>49260</v>
      </c>
      <c r="W5436" t="s">
        <v>40770</v>
      </c>
      <c r="X5436" t="s">
        <v>42677</v>
      </c>
    </row>
    <row r="5437" spans="1:24">
      <c r="A5437">
        <f>HYPERLINK("https://www.philgeps.gov.ph/GEPSNONPILOT/Tender/SplashBidNoticeAbstractUI.aspx?menuIndex=3&amp;refID=7190015&amp;Result=3","7190015")</f>
        <v>0</v>
      </c>
      <c r="B5437" t="s">
        <v>1896</v>
      </c>
      <c r="C5437" t="s">
        <v>8735</v>
      </c>
      <c r="D5437" t="s">
        <v>17173</v>
      </c>
      <c r="E5437" t="s">
        <v>21941</v>
      </c>
      <c r="F5437" t="s">
        <v>29372</v>
      </c>
      <c r="G5437" t="s">
        <v>29380</v>
      </c>
      <c r="H5437" t="s">
        <v>29389</v>
      </c>
      <c r="I5437" t="s">
        <v>10408</v>
      </c>
      <c r="J5437" t="s">
        <v>33043</v>
      </c>
      <c r="K5437" t="s">
        <v>38495</v>
      </c>
      <c r="M5437" t="s">
        <v>40770</v>
      </c>
      <c r="N5437" t="s">
        <v>42669</v>
      </c>
      <c r="O5437" t="s">
        <v>42670</v>
      </c>
      <c r="P5437">
        <v>0</v>
      </c>
      <c r="Q5437">
        <v>0</v>
      </c>
      <c r="R5437" t="s">
        <v>42676</v>
      </c>
      <c r="S5437" t="s">
        <v>42809</v>
      </c>
      <c r="T5437" t="s">
        <v>44684</v>
      </c>
      <c r="U5437" t="s">
        <v>49261</v>
      </c>
      <c r="W5437" t="s">
        <v>40770</v>
      </c>
      <c r="X5437" t="s">
        <v>42677</v>
      </c>
    </row>
    <row r="5438" spans="1:24">
      <c r="A5438">
        <f>HYPERLINK("https://www.philgeps.gov.ph/GEPSNONPILOT/Tender/SplashBidNoticeAbstractUI.aspx?menuIndex=3&amp;refID=7190014&amp;Result=3","7190014")</f>
        <v>0</v>
      </c>
      <c r="B5438" t="s">
        <v>1897</v>
      </c>
      <c r="C5438" t="s">
        <v>8736</v>
      </c>
      <c r="D5438" t="s">
        <v>17141</v>
      </c>
      <c r="E5438" t="s">
        <v>17947</v>
      </c>
      <c r="F5438" t="s">
        <v>29372</v>
      </c>
      <c r="G5438" t="s">
        <v>29380</v>
      </c>
      <c r="H5438" t="s">
        <v>11048</v>
      </c>
      <c r="I5438" t="s">
        <v>5383</v>
      </c>
      <c r="J5438" t="s">
        <v>29590</v>
      </c>
      <c r="K5438" t="s">
        <v>38489</v>
      </c>
      <c r="M5438" t="s">
        <v>40771</v>
      </c>
      <c r="N5438" t="s">
        <v>42669</v>
      </c>
      <c r="O5438" t="s">
        <v>42670</v>
      </c>
      <c r="P5438">
        <v>0</v>
      </c>
      <c r="Q5438">
        <v>6</v>
      </c>
      <c r="R5438" t="s">
        <v>42676</v>
      </c>
      <c r="S5438" t="s">
        <v>42809</v>
      </c>
      <c r="T5438" t="s">
        <v>44386</v>
      </c>
      <c r="U5438" t="s">
        <v>49262</v>
      </c>
      <c r="W5438" t="s">
        <v>40771</v>
      </c>
      <c r="X5438" t="s">
        <v>42677</v>
      </c>
    </row>
    <row r="5439" spans="1:24">
      <c r="A5439">
        <f>HYPERLINK("https://www.philgeps.gov.ph/GEPSNONPILOT/Tender/SplashBidNoticeAbstractUI.aspx?menuIndex=3&amp;refID=7190013&amp;Result=3","7190013")</f>
        <v>0</v>
      </c>
      <c r="B5439" t="s">
        <v>1896</v>
      </c>
      <c r="C5439" t="s">
        <v>8737</v>
      </c>
      <c r="D5439" t="s">
        <v>17173</v>
      </c>
      <c r="E5439" t="s">
        <v>21942</v>
      </c>
      <c r="F5439" t="s">
        <v>29372</v>
      </c>
      <c r="G5439" t="s">
        <v>29380</v>
      </c>
      <c r="H5439" t="s">
        <v>29389</v>
      </c>
      <c r="I5439" t="s">
        <v>10408</v>
      </c>
      <c r="J5439" t="s">
        <v>33044</v>
      </c>
      <c r="K5439" t="s">
        <v>38487</v>
      </c>
      <c r="M5439" t="s">
        <v>40770</v>
      </c>
      <c r="N5439" t="s">
        <v>42669</v>
      </c>
      <c r="O5439" t="s">
        <v>42670</v>
      </c>
      <c r="P5439">
        <v>0</v>
      </c>
      <c r="Q5439">
        <v>0</v>
      </c>
      <c r="R5439" t="s">
        <v>42676</v>
      </c>
      <c r="S5439" t="s">
        <v>42809</v>
      </c>
      <c r="T5439" t="s">
        <v>44684</v>
      </c>
      <c r="U5439" t="s">
        <v>49263</v>
      </c>
      <c r="W5439" t="s">
        <v>40770</v>
      </c>
      <c r="X5439" t="s">
        <v>42677</v>
      </c>
    </row>
    <row r="5440" spans="1:24">
      <c r="A5440">
        <f>HYPERLINK("https://www.philgeps.gov.ph/GEPSNONPILOT/Tender/SplashBidNoticeAbstractUI.aspx?menuIndex=3&amp;refID=7190012&amp;Result=3","7190012")</f>
        <v>0</v>
      </c>
      <c r="B5440" t="s">
        <v>1896</v>
      </c>
      <c r="C5440" t="s">
        <v>8738</v>
      </c>
      <c r="D5440" t="s">
        <v>17173</v>
      </c>
      <c r="E5440" t="s">
        <v>21943</v>
      </c>
      <c r="F5440" t="s">
        <v>29372</v>
      </c>
      <c r="G5440" t="s">
        <v>29380</v>
      </c>
      <c r="H5440" t="s">
        <v>29389</v>
      </c>
      <c r="I5440" t="s">
        <v>10408</v>
      </c>
      <c r="J5440" t="s">
        <v>33045</v>
      </c>
      <c r="K5440" t="s">
        <v>38496</v>
      </c>
      <c r="M5440" t="s">
        <v>40770</v>
      </c>
      <c r="N5440" t="s">
        <v>42669</v>
      </c>
      <c r="O5440" t="s">
        <v>42670</v>
      </c>
      <c r="P5440">
        <v>0</v>
      </c>
      <c r="Q5440">
        <v>0</v>
      </c>
      <c r="R5440" t="s">
        <v>42676</v>
      </c>
      <c r="S5440" t="s">
        <v>42809</v>
      </c>
      <c r="T5440" t="s">
        <v>44684</v>
      </c>
      <c r="U5440" t="s">
        <v>49264</v>
      </c>
      <c r="W5440" t="s">
        <v>40770</v>
      </c>
      <c r="X5440" t="s">
        <v>42677</v>
      </c>
    </row>
    <row r="5441" spans="1:24">
      <c r="A5441">
        <f>HYPERLINK("https://www.philgeps.gov.ph/GEPSNONPILOT/Tender/SplashBidNoticeAbstractUI.aspx?menuIndex=3&amp;refID=7190009&amp;Result=3","7190009")</f>
        <v>0</v>
      </c>
      <c r="B5441" t="s">
        <v>1897</v>
      </c>
      <c r="C5441" t="s">
        <v>8739</v>
      </c>
      <c r="D5441" t="s">
        <v>17141</v>
      </c>
      <c r="E5441" t="s">
        <v>17648</v>
      </c>
      <c r="F5441" t="s">
        <v>29372</v>
      </c>
      <c r="G5441" t="s">
        <v>29380</v>
      </c>
      <c r="H5441" t="s">
        <v>11048</v>
      </c>
      <c r="I5441" t="s">
        <v>3670</v>
      </c>
      <c r="J5441" t="s">
        <v>29590</v>
      </c>
      <c r="K5441" t="s">
        <v>38489</v>
      </c>
      <c r="M5441" t="s">
        <v>40771</v>
      </c>
      <c r="N5441" t="s">
        <v>42669</v>
      </c>
      <c r="O5441" t="s">
        <v>42670</v>
      </c>
      <c r="P5441">
        <v>0</v>
      </c>
      <c r="Q5441">
        <v>5</v>
      </c>
      <c r="R5441" t="s">
        <v>42676</v>
      </c>
      <c r="S5441" t="s">
        <v>42809</v>
      </c>
      <c r="T5441" t="s">
        <v>44386</v>
      </c>
      <c r="U5441" t="s">
        <v>49265</v>
      </c>
      <c r="W5441" t="s">
        <v>40771</v>
      </c>
      <c r="X5441" t="s">
        <v>42677</v>
      </c>
    </row>
    <row r="5442" spans="1:24">
      <c r="A5442">
        <f>HYPERLINK("https://www.philgeps.gov.ph/GEPSNONPILOT/Tender/SplashBidNoticeAbstractUI.aspx?menuIndex=3&amp;refID=7190004&amp;Result=3","7190004")</f>
        <v>0</v>
      </c>
      <c r="B5442" t="s">
        <v>1869</v>
      </c>
      <c r="C5442" t="s">
        <v>8740</v>
      </c>
      <c r="D5442" t="s">
        <v>17170</v>
      </c>
      <c r="E5442" t="s">
        <v>21944</v>
      </c>
      <c r="F5442" t="s">
        <v>29372</v>
      </c>
      <c r="G5442" t="s">
        <v>29380</v>
      </c>
      <c r="H5442" t="s">
        <v>11048</v>
      </c>
      <c r="I5442" t="s">
        <v>29412</v>
      </c>
      <c r="J5442" t="s">
        <v>33046</v>
      </c>
      <c r="K5442" t="s">
        <v>38530</v>
      </c>
      <c r="M5442" t="s">
        <v>40742</v>
      </c>
      <c r="N5442" t="s">
        <v>42669</v>
      </c>
      <c r="O5442" t="s">
        <v>42670</v>
      </c>
      <c r="P5442">
        <v>0</v>
      </c>
      <c r="Q5442">
        <v>6</v>
      </c>
      <c r="R5442" t="s">
        <v>42676</v>
      </c>
      <c r="S5442" t="s">
        <v>42809</v>
      </c>
      <c r="T5442" t="s">
        <v>44544</v>
      </c>
      <c r="U5442" t="s">
        <v>49266</v>
      </c>
      <c r="W5442" t="s">
        <v>40742</v>
      </c>
      <c r="X5442" t="s">
        <v>42677</v>
      </c>
    </row>
    <row r="5443" spans="1:24">
      <c r="A5443">
        <f>HYPERLINK("https://www.philgeps.gov.ph/GEPSNONPILOT/Tender/SplashBidNoticeAbstractUI.aspx?menuIndex=3&amp;refID=7190005&amp;Result=3","7190005")</f>
        <v>0</v>
      </c>
      <c r="B5443" t="s">
        <v>1132</v>
      </c>
      <c r="C5443" t="s">
        <v>8741</v>
      </c>
      <c r="D5443" t="s">
        <v>17204</v>
      </c>
      <c r="E5443" t="s">
        <v>21945</v>
      </c>
      <c r="F5443" t="s">
        <v>29372</v>
      </c>
      <c r="G5443" t="s">
        <v>29380</v>
      </c>
      <c r="H5443" t="s">
        <v>29389</v>
      </c>
      <c r="I5443" t="s">
        <v>10408</v>
      </c>
      <c r="J5443" t="s">
        <v>33047</v>
      </c>
      <c r="K5443" t="s">
        <v>38564</v>
      </c>
      <c r="M5443" t="s">
        <v>39944</v>
      </c>
      <c r="N5443" t="s">
        <v>42669</v>
      </c>
      <c r="O5443" t="s">
        <v>42670</v>
      </c>
      <c r="P5443">
        <v>0</v>
      </c>
      <c r="Q5443">
        <v>1</v>
      </c>
      <c r="R5443" t="s">
        <v>42676</v>
      </c>
      <c r="S5443" t="s">
        <v>42809</v>
      </c>
      <c r="T5443" t="s">
        <v>44693</v>
      </c>
      <c r="U5443" t="s">
        <v>49267</v>
      </c>
      <c r="W5443" t="s">
        <v>39944</v>
      </c>
      <c r="X5443" t="s">
        <v>42677</v>
      </c>
    </row>
    <row r="5444" spans="1:24">
      <c r="A5444">
        <f>HYPERLINK("https://www.philgeps.gov.ph/GEPSNONPILOT/Tender/SplashBidNoticeAbstractUI.aspx?menuIndex=3&amp;refID=7188852&amp;Result=3","7188852")</f>
        <v>0</v>
      </c>
      <c r="B5444" t="s">
        <v>1695</v>
      </c>
      <c r="C5444" t="s">
        <v>8742</v>
      </c>
      <c r="D5444" t="s">
        <v>17187</v>
      </c>
      <c r="E5444" t="s">
        <v>21946</v>
      </c>
      <c r="F5444" t="s">
        <v>29372</v>
      </c>
      <c r="G5444" t="s">
        <v>29380</v>
      </c>
      <c r="H5444" t="s">
        <v>29389</v>
      </c>
      <c r="I5444" t="s">
        <v>10408</v>
      </c>
      <c r="J5444" t="s">
        <v>30161</v>
      </c>
      <c r="K5444" t="s">
        <v>38525</v>
      </c>
      <c r="M5444" t="s">
        <v>40557</v>
      </c>
      <c r="N5444" t="s">
        <v>42669</v>
      </c>
      <c r="O5444" t="s">
        <v>42670</v>
      </c>
      <c r="P5444">
        <v>0</v>
      </c>
      <c r="Q5444">
        <v>1</v>
      </c>
      <c r="R5444" t="s">
        <v>42676</v>
      </c>
      <c r="S5444" t="s">
        <v>42809</v>
      </c>
      <c r="T5444" t="s">
        <v>44368</v>
      </c>
      <c r="U5444" t="s">
        <v>48669</v>
      </c>
      <c r="W5444" t="s">
        <v>40557</v>
      </c>
      <c r="X5444" t="s">
        <v>42677</v>
      </c>
    </row>
    <row r="5445" spans="1:24">
      <c r="A5445">
        <f>HYPERLINK("https://www.philgeps.gov.ph/GEPSNONPILOT/Tender/SplashBidNoticeAbstractUI.aspx?menuIndex=3&amp;refID=7190024&amp;Result=3","7190024")</f>
        <v>0</v>
      </c>
      <c r="B5445" t="s">
        <v>1899</v>
      </c>
      <c r="C5445" t="s">
        <v>8743</v>
      </c>
      <c r="D5445" t="s">
        <v>17178</v>
      </c>
      <c r="E5445" t="s">
        <v>20412</v>
      </c>
      <c r="F5445" t="s">
        <v>29372</v>
      </c>
      <c r="G5445" t="s">
        <v>29380</v>
      </c>
      <c r="H5445" t="s">
        <v>11048</v>
      </c>
      <c r="I5445" t="s">
        <v>4486</v>
      </c>
      <c r="J5445" t="s">
        <v>33048</v>
      </c>
      <c r="K5445" t="s">
        <v>38518</v>
      </c>
      <c r="M5445" t="s">
        <v>40773</v>
      </c>
      <c r="N5445" t="s">
        <v>42669</v>
      </c>
      <c r="O5445" t="s">
        <v>42670</v>
      </c>
      <c r="P5445">
        <v>0</v>
      </c>
      <c r="Q5445">
        <v>2</v>
      </c>
      <c r="R5445" t="s">
        <v>42676</v>
      </c>
      <c r="S5445" t="s">
        <v>42809</v>
      </c>
      <c r="T5445" t="s">
        <v>44386</v>
      </c>
      <c r="U5445" t="s">
        <v>49268</v>
      </c>
      <c r="V5445" t="s">
        <v>56967</v>
      </c>
      <c r="W5445" t="s">
        <v>40773</v>
      </c>
      <c r="X5445" t="s">
        <v>42677</v>
      </c>
    </row>
    <row r="5446" spans="1:24">
      <c r="A5446">
        <f>HYPERLINK("https://www.philgeps.gov.ph/GEPSNONPILOT/Tender/SplashBidNoticeAbstractUI.aspx?menuIndex=3&amp;refID=7188814&amp;Result=3","7188814")</f>
        <v>0</v>
      </c>
      <c r="B5446" t="s">
        <v>1598</v>
      </c>
      <c r="C5446" t="s">
        <v>8744</v>
      </c>
      <c r="D5446" t="s">
        <v>17148</v>
      </c>
      <c r="E5446" t="s">
        <v>17480</v>
      </c>
      <c r="F5446" t="s">
        <v>29372</v>
      </c>
      <c r="G5446" t="s">
        <v>29380</v>
      </c>
      <c r="H5446" t="s">
        <v>29389</v>
      </c>
      <c r="I5446" t="s">
        <v>10408</v>
      </c>
      <c r="J5446" t="s">
        <v>30161</v>
      </c>
      <c r="K5446" t="s">
        <v>38564</v>
      </c>
      <c r="M5446" t="s">
        <v>40451</v>
      </c>
      <c r="N5446" t="s">
        <v>42669</v>
      </c>
      <c r="O5446" t="s">
        <v>42670</v>
      </c>
      <c r="P5446">
        <v>0</v>
      </c>
      <c r="Q5446">
        <v>57</v>
      </c>
      <c r="R5446" t="s">
        <v>42676</v>
      </c>
      <c r="S5446" t="s">
        <v>42809</v>
      </c>
      <c r="T5446" t="s">
        <v>44450</v>
      </c>
      <c r="U5446" t="s">
        <v>49269</v>
      </c>
      <c r="W5446" t="s">
        <v>58049</v>
      </c>
      <c r="X5446" t="s">
        <v>42677</v>
      </c>
    </row>
    <row r="5447" spans="1:24">
      <c r="A5447">
        <f>HYPERLINK("https://www.philgeps.gov.ph/GEPSNONPILOT/Tender/SplashBidNoticeAbstractUI.aspx?menuIndex=3&amp;refID=7190008&amp;Result=3","7190008")</f>
        <v>0</v>
      </c>
      <c r="B5447" t="s">
        <v>1869</v>
      </c>
      <c r="C5447" t="s">
        <v>8745</v>
      </c>
      <c r="D5447" t="s">
        <v>17170</v>
      </c>
      <c r="E5447" t="s">
        <v>21947</v>
      </c>
      <c r="F5447" t="s">
        <v>29372</v>
      </c>
      <c r="G5447" t="s">
        <v>29380</v>
      </c>
      <c r="H5447" t="s">
        <v>11048</v>
      </c>
      <c r="I5447" t="s">
        <v>29412</v>
      </c>
      <c r="J5447" t="s">
        <v>33049</v>
      </c>
      <c r="K5447" t="s">
        <v>38530</v>
      </c>
      <c r="M5447" t="s">
        <v>40742</v>
      </c>
      <c r="N5447" t="s">
        <v>42669</v>
      </c>
      <c r="O5447" t="s">
        <v>42670</v>
      </c>
      <c r="P5447">
        <v>0</v>
      </c>
      <c r="Q5447">
        <v>4</v>
      </c>
      <c r="R5447" t="s">
        <v>42676</v>
      </c>
      <c r="S5447" t="s">
        <v>42809</v>
      </c>
      <c r="T5447" t="s">
        <v>44476</v>
      </c>
      <c r="U5447" t="s">
        <v>49270</v>
      </c>
      <c r="W5447" t="s">
        <v>40742</v>
      </c>
      <c r="X5447" t="s">
        <v>42677</v>
      </c>
    </row>
    <row r="5448" spans="1:24">
      <c r="A5448">
        <f>HYPERLINK("https://www.philgeps.gov.ph/GEPSNONPILOT/Tender/SplashBidNoticeAbstractUI.aspx?menuIndex=3&amp;refID=7188851&amp;Result=3","7188851")</f>
        <v>0</v>
      </c>
      <c r="B5448" t="s">
        <v>916</v>
      </c>
      <c r="C5448" t="s">
        <v>8746</v>
      </c>
      <c r="D5448" t="s">
        <v>17193</v>
      </c>
      <c r="E5448" t="s">
        <v>21948</v>
      </c>
      <c r="F5448" t="s">
        <v>29372</v>
      </c>
      <c r="G5448" t="s">
        <v>29379</v>
      </c>
      <c r="H5448" t="s">
        <v>11048</v>
      </c>
      <c r="I5448" t="s">
        <v>29485</v>
      </c>
      <c r="J5448" t="s">
        <v>29752</v>
      </c>
      <c r="K5448" t="s">
        <v>38510</v>
      </c>
      <c r="M5448" t="s">
        <v>39711</v>
      </c>
      <c r="N5448" t="s">
        <v>42669</v>
      </c>
      <c r="O5448" t="s">
        <v>42670</v>
      </c>
      <c r="Q5448">
        <v>1</v>
      </c>
      <c r="R5448" t="s">
        <v>42676</v>
      </c>
      <c r="S5448" t="s">
        <v>42831</v>
      </c>
      <c r="T5448" t="s">
        <v>44470</v>
      </c>
      <c r="U5448" t="s">
        <v>49271</v>
      </c>
      <c r="W5448" t="s">
        <v>39711</v>
      </c>
      <c r="X5448" t="s">
        <v>42677</v>
      </c>
    </row>
    <row r="5449" spans="1:24">
      <c r="A5449">
        <f>HYPERLINK("https://www.philgeps.gov.ph/GEPSNONPILOT/Tender/SplashBidNoticeAbstractUI.aspx?menuIndex=3&amp;refID=7190025&amp;Result=3","7190025")</f>
        <v>0</v>
      </c>
      <c r="B5449" t="s">
        <v>423</v>
      </c>
      <c r="C5449" t="s">
        <v>8747</v>
      </c>
      <c r="D5449" t="s">
        <v>17216</v>
      </c>
      <c r="E5449" t="s">
        <v>21949</v>
      </c>
      <c r="F5449" t="s">
        <v>29372</v>
      </c>
      <c r="G5449" t="s">
        <v>29380</v>
      </c>
      <c r="H5449" t="s">
        <v>29389</v>
      </c>
      <c r="I5449" t="s">
        <v>29417</v>
      </c>
      <c r="J5449" t="s">
        <v>33050</v>
      </c>
      <c r="K5449" t="s">
        <v>38495</v>
      </c>
      <c r="M5449" t="s">
        <v>39187</v>
      </c>
      <c r="N5449" t="s">
        <v>42669</v>
      </c>
      <c r="O5449" t="s">
        <v>42670</v>
      </c>
      <c r="P5449">
        <v>0</v>
      </c>
      <c r="Q5449">
        <v>4</v>
      </c>
      <c r="R5449" t="s">
        <v>42676</v>
      </c>
      <c r="S5449" t="s">
        <v>42809</v>
      </c>
      <c r="T5449" t="s">
        <v>44695</v>
      </c>
      <c r="U5449" t="s">
        <v>49272</v>
      </c>
      <c r="W5449" t="s">
        <v>39187</v>
      </c>
      <c r="X5449" t="s">
        <v>42677</v>
      </c>
    </row>
    <row r="5450" spans="1:24">
      <c r="A5450">
        <f>HYPERLINK("https://www.philgeps.gov.ph/GEPSNONPILOT/Tender/SplashBidNoticeAbstractUI.aspx?menuIndex=3&amp;refID=7188893&amp;Result=3","7188893")</f>
        <v>0</v>
      </c>
      <c r="B5450" t="s">
        <v>669</v>
      </c>
      <c r="C5450" t="s">
        <v>8748</v>
      </c>
      <c r="D5450" t="s">
        <v>17147</v>
      </c>
      <c r="E5450" t="s">
        <v>21950</v>
      </c>
      <c r="F5450" t="s">
        <v>29372</v>
      </c>
      <c r="G5450" t="s">
        <v>29379</v>
      </c>
      <c r="H5450" t="s">
        <v>11048</v>
      </c>
      <c r="I5450" t="s">
        <v>4709</v>
      </c>
      <c r="J5450" t="s">
        <v>32892</v>
      </c>
      <c r="K5450" t="s">
        <v>38488</v>
      </c>
      <c r="M5450" t="s">
        <v>39445</v>
      </c>
      <c r="N5450" t="s">
        <v>42669</v>
      </c>
      <c r="O5450" t="s">
        <v>42670</v>
      </c>
      <c r="P5450">
        <v>0</v>
      </c>
      <c r="Q5450">
        <v>0</v>
      </c>
      <c r="R5450" t="s">
        <v>42676</v>
      </c>
      <c r="S5450" t="s">
        <v>42809</v>
      </c>
      <c r="T5450" t="s">
        <v>44524</v>
      </c>
      <c r="U5450" t="s">
        <v>49273</v>
      </c>
      <c r="V5450" t="s">
        <v>56531</v>
      </c>
      <c r="W5450" t="s">
        <v>39445</v>
      </c>
      <c r="X5450" t="s">
        <v>42677</v>
      </c>
    </row>
    <row r="5451" spans="1:24">
      <c r="A5451">
        <f>HYPERLINK("https://www.philgeps.gov.ph/GEPSNONPILOT/Tender/SplashBidNoticeAbstractUI.aspx?menuIndex=3&amp;refID=7188850&amp;Result=3","7188850")</f>
        <v>0</v>
      </c>
      <c r="B5451" t="s">
        <v>1676</v>
      </c>
      <c r="C5451" t="s">
        <v>8749</v>
      </c>
      <c r="D5451" t="s">
        <v>17155</v>
      </c>
      <c r="E5451" t="s">
        <v>21951</v>
      </c>
      <c r="F5451" t="s">
        <v>29372</v>
      </c>
      <c r="G5451" t="s">
        <v>29381</v>
      </c>
      <c r="H5451" t="s">
        <v>11048</v>
      </c>
      <c r="I5451" t="s">
        <v>3695</v>
      </c>
      <c r="J5451" t="s">
        <v>33051</v>
      </c>
      <c r="K5451" t="s">
        <v>38488</v>
      </c>
      <c r="M5451" t="s">
        <v>40536</v>
      </c>
      <c r="N5451" t="s">
        <v>42669</v>
      </c>
      <c r="O5451" t="s">
        <v>42670</v>
      </c>
      <c r="P5451">
        <v>0</v>
      </c>
      <c r="Q5451">
        <v>1</v>
      </c>
      <c r="R5451" t="s">
        <v>42676</v>
      </c>
      <c r="S5451" t="s">
        <v>42809</v>
      </c>
      <c r="T5451" t="s">
        <v>44432</v>
      </c>
      <c r="U5451" t="s">
        <v>49274</v>
      </c>
      <c r="W5451" t="s">
        <v>40536</v>
      </c>
      <c r="X5451" t="s">
        <v>42677</v>
      </c>
    </row>
    <row r="5452" spans="1:24">
      <c r="A5452">
        <f>HYPERLINK("https://www.philgeps.gov.ph/GEPSNONPILOT/Tender/SplashBidNoticeAbstractUI.aspx?menuIndex=3&amp;refID=7188813&amp;Result=3","7188813")</f>
        <v>0</v>
      </c>
      <c r="B5452" t="s">
        <v>1727</v>
      </c>
      <c r="C5452" t="s">
        <v>8750</v>
      </c>
      <c r="D5452" t="s">
        <v>17193</v>
      </c>
      <c r="E5452" t="s">
        <v>21952</v>
      </c>
      <c r="F5452" t="s">
        <v>29372</v>
      </c>
      <c r="G5452" t="s">
        <v>29380</v>
      </c>
      <c r="H5452" t="s">
        <v>29389</v>
      </c>
      <c r="I5452" t="s">
        <v>10408</v>
      </c>
      <c r="J5452" t="s">
        <v>33052</v>
      </c>
      <c r="K5452" t="s">
        <v>38490</v>
      </c>
      <c r="M5452" t="s">
        <v>40591</v>
      </c>
      <c r="N5452" t="s">
        <v>42669</v>
      </c>
      <c r="O5452" t="s">
        <v>42670</v>
      </c>
      <c r="P5452">
        <v>0</v>
      </c>
      <c r="Q5452">
        <v>0</v>
      </c>
      <c r="R5452" t="s">
        <v>42676</v>
      </c>
      <c r="S5452" t="s">
        <v>42809</v>
      </c>
      <c r="T5452" t="s">
        <v>44457</v>
      </c>
      <c r="U5452" t="s">
        <v>49275</v>
      </c>
      <c r="W5452" t="s">
        <v>40591</v>
      </c>
      <c r="X5452" t="s">
        <v>42677</v>
      </c>
    </row>
    <row r="5453" spans="1:24">
      <c r="A5453">
        <f>HYPERLINK("https://www.philgeps.gov.ph/GEPSNONPILOT/Tender/SplashBidNoticeAbstractUI.aspx?menuIndex=3&amp;refID=7188810&amp;Result=3","7188810")</f>
        <v>0</v>
      </c>
      <c r="B5453" t="s">
        <v>669</v>
      </c>
      <c r="C5453" t="s">
        <v>8751</v>
      </c>
      <c r="D5453" t="s">
        <v>17147</v>
      </c>
      <c r="E5453" t="s">
        <v>21953</v>
      </c>
      <c r="F5453" t="s">
        <v>29372</v>
      </c>
      <c r="G5453" t="s">
        <v>29379</v>
      </c>
      <c r="H5453" t="s">
        <v>11048</v>
      </c>
      <c r="I5453" t="s">
        <v>8614</v>
      </c>
      <c r="J5453" t="s">
        <v>29799</v>
      </c>
      <c r="K5453" t="s">
        <v>38488</v>
      </c>
      <c r="M5453" t="s">
        <v>39445</v>
      </c>
      <c r="N5453" t="s">
        <v>42669</v>
      </c>
      <c r="O5453" t="s">
        <v>42670</v>
      </c>
      <c r="P5453">
        <v>0</v>
      </c>
      <c r="Q5453">
        <v>0</v>
      </c>
      <c r="R5453" t="s">
        <v>42676</v>
      </c>
      <c r="S5453" t="s">
        <v>42809</v>
      </c>
      <c r="T5453" t="s">
        <v>44524</v>
      </c>
      <c r="U5453" t="s">
        <v>49276</v>
      </c>
      <c r="V5453" t="s">
        <v>56531</v>
      </c>
      <c r="W5453" t="s">
        <v>39445</v>
      </c>
      <c r="X5453" t="s">
        <v>42677</v>
      </c>
    </row>
    <row r="5454" spans="1:24">
      <c r="A5454">
        <f>HYPERLINK("https://www.philgeps.gov.ph/GEPSNONPILOT/Tender/SplashBidNoticeAbstractUI.aspx?menuIndex=3&amp;refID=7166391&amp;Result=3","7166391")</f>
        <v>0</v>
      </c>
      <c r="B5454" t="s">
        <v>1900</v>
      </c>
      <c r="C5454" t="s">
        <v>5629</v>
      </c>
      <c r="D5454" t="s">
        <v>17212</v>
      </c>
      <c r="E5454" t="s">
        <v>21954</v>
      </c>
      <c r="F5454" t="s">
        <v>29372</v>
      </c>
      <c r="G5454" t="s">
        <v>29380</v>
      </c>
      <c r="H5454" t="s">
        <v>29389</v>
      </c>
      <c r="I5454" t="s">
        <v>10408</v>
      </c>
      <c r="J5454" t="s">
        <v>29767</v>
      </c>
      <c r="K5454" t="s">
        <v>38491</v>
      </c>
      <c r="M5454" t="s">
        <v>40774</v>
      </c>
      <c r="N5454" t="s">
        <v>42669</v>
      </c>
      <c r="O5454" t="s">
        <v>42670</v>
      </c>
      <c r="P5454">
        <v>0</v>
      </c>
      <c r="Q5454">
        <v>0</v>
      </c>
      <c r="R5454" t="s">
        <v>42677</v>
      </c>
      <c r="S5454" t="s">
        <v>42830</v>
      </c>
      <c r="T5454" t="s">
        <v>44401</v>
      </c>
      <c r="U5454" t="s">
        <v>49277</v>
      </c>
      <c r="W5454" t="s">
        <v>40774</v>
      </c>
      <c r="X5454" t="s">
        <v>42686</v>
      </c>
    </row>
    <row r="5455" spans="1:24">
      <c r="A5455">
        <f>HYPERLINK("https://www.philgeps.gov.ph/GEPSNONPILOT/Tender/SplashBidNoticeAbstractUI.aspx?menuIndex=3&amp;refID=7133826&amp;Result=3","7133826")</f>
        <v>0</v>
      </c>
      <c r="B5455" t="s">
        <v>374</v>
      </c>
      <c r="C5455" t="s">
        <v>8752</v>
      </c>
      <c r="D5455" t="s">
        <v>17172</v>
      </c>
      <c r="E5455" t="s">
        <v>21955</v>
      </c>
      <c r="F5455" t="s">
        <v>29372</v>
      </c>
      <c r="G5455" t="s">
        <v>29380</v>
      </c>
      <c r="H5455" t="s">
        <v>29389</v>
      </c>
      <c r="I5455" t="s">
        <v>10408</v>
      </c>
      <c r="J5455" t="s">
        <v>33053</v>
      </c>
      <c r="K5455" t="s">
        <v>38526</v>
      </c>
      <c r="M5455" t="s">
        <v>40775</v>
      </c>
      <c r="N5455" t="s">
        <v>42669</v>
      </c>
      <c r="O5455" t="s">
        <v>42670</v>
      </c>
      <c r="P5455">
        <v>0</v>
      </c>
      <c r="Q5455">
        <v>0</v>
      </c>
      <c r="R5455" t="s">
        <v>42677</v>
      </c>
      <c r="S5455" t="s">
        <v>42830</v>
      </c>
      <c r="T5455" t="s">
        <v>44503</v>
      </c>
      <c r="U5455" t="s">
        <v>49278</v>
      </c>
      <c r="V5455" t="s">
        <v>56443</v>
      </c>
      <c r="W5455" t="s">
        <v>40775</v>
      </c>
      <c r="X5455" t="s">
        <v>42702</v>
      </c>
    </row>
    <row r="5456" spans="1:24">
      <c r="A5456">
        <f>HYPERLINK("https://www.philgeps.gov.ph/GEPSNONPILOT/Tender/SplashBidNoticeAbstractUI.aspx?menuIndex=3&amp;refID=7165437&amp;Result=3","7165437")</f>
        <v>0</v>
      </c>
      <c r="B5456" t="s">
        <v>885</v>
      </c>
      <c r="C5456" t="s">
        <v>5629</v>
      </c>
      <c r="D5456" t="s">
        <v>17212</v>
      </c>
      <c r="E5456" t="s">
        <v>21956</v>
      </c>
      <c r="F5456" t="s">
        <v>29372</v>
      </c>
      <c r="G5456" t="s">
        <v>29380</v>
      </c>
      <c r="H5456" t="s">
        <v>29389</v>
      </c>
      <c r="I5456" t="s">
        <v>10408</v>
      </c>
      <c r="J5456" t="s">
        <v>29587</v>
      </c>
      <c r="K5456" t="s">
        <v>38508</v>
      </c>
      <c r="M5456" t="s">
        <v>39677</v>
      </c>
      <c r="N5456" t="s">
        <v>42669</v>
      </c>
      <c r="O5456" t="s">
        <v>42670</v>
      </c>
      <c r="P5456">
        <v>0</v>
      </c>
      <c r="Q5456">
        <v>0</v>
      </c>
      <c r="R5456" t="s">
        <v>42677</v>
      </c>
      <c r="S5456" t="s">
        <v>42830</v>
      </c>
      <c r="T5456" t="s">
        <v>44401</v>
      </c>
      <c r="U5456" t="s">
        <v>49279</v>
      </c>
      <c r="W5456" t="s">
        <v>39677</v>
      </c>
      <c r="X5456" t="s">
        <v>42686</v>
      </c>
    </row>
    <row r="5457" spans="1:24">
      <c r="A5457">
        <f>HYPERLINK("https://www.philgeps.gov.ph/GEPSNONPILOT/Tender/SplashBidNoticeAbstractUI.aspx?menuIndex=3&amp;refID=7165139&amp;Result=3","7165139")</f>
        <v>0</v>
      </c>
      <c r="B5457" t="s">
        <v>1901</v>
      </c>
      <c r="C5457" t="s">
        <v>3524</v>
      </c>
      <c r="D5457" t="s">
        <v>17212</v>
      </c>
      <c r="E5457" t="s">
        <v>21957</v>
      </c>
      <c r="F5457" t="s">
        <v>29372</v>
      </c>
      <c r="G5457" t="s">
        <v>29380</v>
      </c>
      <c r="H5457" t="s">
        <v>29389</v>
      </c>
      <c r="I5457" t="s">
        <v>10408</v>
      </c>
      <c r="J5457" t="s">
        <v>29929</v>
      </c>
      <c r="K5457" t="s">
        <v>38524</v>
      </c>
      <c r="M5457" t="s">
        <v>40776</v>
      </c>
      <c r="N5457" t="s">
        <v>42669</v>
      </c>
      <c r="O5457" t="s">
        <v>42670</v>
      </c>
      <c r="P5457">
        <v>0</v>
      </c>
      <c r="Q5457">
        <v>0</v>
      </c>
      <c r="R5457" t="s">
        <v>42677</v>
      </c>
      <c r="S5457" t="s">
        <v>42830</v>
      </c>
      <c r="T5457" t="s">
        <v>44401</v>
      </c>
      <c r="U5457" t="s">
        <v>49280</v>
      </c>
      <c r="W5457" t="s">
        <v>40776</v>
      </c>
      <c r="X5457" t="s">
        <v>42686</v>
      </c>
    </row>
    <row r="5458" spans="1:24">
      <c r="A5458">
        <f>HYPERLINK("https://www.philgeps.gov.ph/GEPSNONPILOT/Tender/SplashBidNoticeAbstractUI.aspx?menuIndex=3&amp;refID=7163734&amp;Result=3","7163734")</f>
        <v>0</v>
      </c>
      <c r="B5458" t="s">
        <v>613</v>
      </c>
      <c r="C5458" t="s">
        <v>8753</v>
      </c>
      <c r="D5458" t="s">
        <v>17205</v>
      </c>
      <c r="E5458" t="s">
        <v>21958</v>
      </c>
      <c r="F5458" t="s">
        <v>29372</v>
      </c>
      <c r="G5458" t="s">
        <v>29380</v>
      </c>
      <c r="H5458" t="s">
        <v>11048</v>
      </c>
      <c r="I5458" t="s">
        <v>3695</v>
      </c>
      <c r="J5458" t="s">
        <v>33054</v>
      </c>
      <c r="K5458" t="s">
        <v>38490</v>
      </c>
      <c r="M5458" t="s">
        <v>39384</v>
      </c>
      <c r="N5458" t="s">
        <v>42669</v>
      </c>
      <c r="O5458" t="s">
        <v>42670</v>
      </c>
      <c r="P5458">
        <v>0</v>
      </c>
      <c r="Q5458">
        <v>18</v>
      </c>
      <c r="R5458" t="s">
        <v>42677</v>
      </c>
      <c r="S5458" t="s">
        <v>42830</v>
      </c>
      <c r="T5458" t="s">
        <v>44664</v>
      </c>
      <c r="U5458" t="s">
        <v>49281</v>
      </c>
      <c r="V5458" t="s">
        <v>56968</v>
      </c>
      <c r="W5458" t="s">
        <v>39384</v>
      </c>
      <c r="X5458" t="s">
        <v>42689</v>
      </c>
    </row>
    <row r="5459" spans="1:24">
      <c r="A5459">
        <f>HYPERLINK("https://www.philgeps.gov.ph/GEPSNONPILOT/Tender/SplashBidNoticeAbstractUI.aspx?menuIndex=3&amp;refID=7136355&amp;Result=3","7136355")</f>
        <v>0</v>
      </c>
      <c r="B5459" t="s">
        <v>1902</v>
      </c>
      <c r="C5459" t="s">
        <v>8754</v>
      </c>
      <c r="D5459" t="s">
        <v>17201</v>
      </c>
      <c r="E5459" t="s">
        <v>21959</v>
      </c>
      <c r="F5459" t="s">
        <v>29372</v>
      </c>
      <c r="G5459" t="s">
        <v>29380</v>
      </c>
      <c r="H5459" t="s">
        <v>11048</v>
      </c>
      <c r="I5459" t="s">
        <v>29417</v>
      </c>
      <c r="J5459" t="s">
        <v>33055</v>
      </c>
      <c r="K5459" t="s">
        <v>38485</v>
      </c>
      <c r="M5459" t="s">
        <v>40777</v>
      </c>
      <c r="N5459" t="s">
        <v>42669</v>
      </c>
      <c r="O5459" t="s">
        <v>42670</v>
      </c>
      <c r="P5459">
        <v>0</v>
      </c>
      <c r="Q5459">
        <v>0</v>
      </c>
      <c r="R5459" t="s">
        <v>42677</v>
      </c>
      <c r="S5459" t="s">
        <v>42830</v>
      </c>
      <c r="T5459" t="s">
        <v>44365</v>
      </c>
      <c r="U5459" t="s">
        <v>49282</v>
      </c>
      <c r="W5459" t="s">
        <v>40777</v>
      </c>
      <c r="X5459" t="s">
        <v>42700</v>
      </c>
    </row>
    <row r="5460" spans="1:24">
      <c r="A5460">
        <f>HYPERLINK("https://www.philgeps.gov.ph/GEPSNONPILOT/Tender/SplashBidNoticeAbstractUI.aspx?menuIndex=3&amp;refID=7159947&amp;Result=3","7159947")</f>
        <v>0</v>
      </c>
      <c r="B5460" t="s">
        <v>374</v>
      </c>
      <c r="C5460" t="s">
        <v>8755</v>
      </c>
      <c r="D5460" t="s">
        <v>17172</v>
      </c>
      <c r="E5460" t="s">
        <v>21960</v>
      </c>
      <c r="F5460" t="s">
        <v>29372</v>
      </c>
      <c r="G5460" t="s">
        <v>29380</v>
      </c>
      <c r="H5460" t="s">
        <v>29389</v>
      </c>
      <c r="I5460" t="s">
        <v>10408</v>
      </c>
      <c r="J5460" t="s">
        <v>30244</v>
      </c>
      <c r="K5460" t="s">
        <v>38564</v>
      </c>
      <c r="M5460" t="s">
        <v>40775</v>
      </c>
      <c r="N5460" t="s">
        <v>42669</v>
      </c>
      <c r="O5460" t="s">
        <v>42670</v>
      </c>
      <c r="P5460">
        <v>0</v>
      </c>
      <c r="Q5460">
        <v>0</v>
      </c>
      <c r="R5460" t="s">
        <v>42677</v>
      </c>
      <c r="S5460" t="s">
        <v>42830</v>
      </c>
      <c r="T5460" t="s">
        <v>44503</v>
      </c>
      <c r="U5460" t="s">
        <v>49283</v>
      </c>
      <c r="V5460" t="s">
        <v>56443</v>
      </c>
      <c r="W5460" t="s">
        <v>40775</v>
      </c>
      <c r="X5460" t="s">
        <v>42690</v>
      </c>
    </row>
    <row r="5461" spans="1:24">
      <c r="A5461">
        <f>HYPERLINK("https://www.philgeps.gov.ph/GEPSNONPILOT/Tender/SplashBidNoticeAbstractUI.aspx?menuIndex=3&amp;refID=7170246&amp;Result=3","7170246")</f>
        <v>0</v>
      </c>
      <c r="B5461" t="s">
        <v>1903</v>
      </c>
      <c r="C5461" t="s">
        <v>8756</v>
      </c>
      <c r="D5461" t="s">
        <v>17189</v>
      </c>
      <c r="E5461" t="s">
        <v>21961</v>
      </c>
      <c r="F5461" t="s">
        <v>29372</v>
      </c>
      <c r="G5461" t="s">
        <v>29380</v>
      </c>
      <c r="H5461" t="s">
        <v>11048</v>
      </c>
      <c r="I5461" t="s">
        <v>29403</v>
      </c>
      <c r="J5461" t="s">
        <v>29525</v>
      </c>
      <c r="K5461" t="s">
        <v>38510</v>
      </c>
      <c r="M5461" t="s">
        <v>40778</v>
      </c>
      <c r="N5461" t="s">
        <v>42669</v>
      </c>
      <c r="O5461" t="s">
        <v>42670</v>
      </c>
      <c r="P5461">
        <v>0</v>
      </c>
      <c r="Q5461">
        <v>0</v>
      </c>
      <c r="R5461" t="s">
        <v>42677</v>
      </c>
      <c r="S5461" t="s">
        <v>42830</v>
      </c>
      <c r="T5461" t="s">
        <v>44629</v>
      </c>
      <c r="U5461" t="s">
        <v>49284</v>
      </c>
      <c r="V5461" t="s">
        <v>56969</v>
      </c>
      <c r="W5461" t="s">
        <v>40778</v>
      </c>
      <c r="X5461" t="s">
        <v>42685</v>
      </c>
    </row>
    <row r="5462" spans="1:24">
      <c r="A5462">
        <f>HYPERLINK("https://www.philgeps.gov.ph/GEPSNONPILOT/Tender/SplashBidNoticeAbstractUI.aspx?menuIndex=3&amp;refID=7159810&amp;Result=3","7159810")</f>
        <v>0</v>
      </c>
      <c r="B5462" t="s">
        <v>374</v>
      </c>
      <c r="C5462" t="s">
        <v>8757</v>
      </c>
      <c r="D5462" t="s">
        <v>17172</v>
      </c>
      <c r="E5462" t="s">
        <v>21962</v>
      </c>
      <c r="F5462" t="s">
        <v>29372</v>
      </c>
      <c r="G5462" t="s">
        <v>29380</v>
      </c>
      <c r="H5462" t="s">
        <v>29389</v>
      </c>
      <c r="I5462" t="s">
        <v>10408</v>
      </c>
      <c r="J5462" t="s">
        <v>33056</v>
      </c>
      <c r="K5462" t="s">
        <v>38564</v>
      </c>
      <c r="M5462" t="s">
        <v>40775</v>
      </c>
      <c r="N5462" t="s">
        <v>42669</v>
      </c>
      <c r="O5462" t="s">
        <v>42670</v>
      </c>
      <c r="P5462">
        <v>0</v>
      </c>
      <c r="Q5462">
        <v>0</v>
      </c>
      <c r="R5462" t="s">
        <v>42677</v>
      </c>
      <c r="S5462" t="s">
        <v>42830</v>
      </c>
      <c r="T5462" t="s">
        <v>44503</v>
      </c>
      <c r="U5462" t="s">
        <v>49285</v>
      </c>
      <c r="V5462" t="s">
        <v>56443</v>
      </c>
      <c r="W5462" t="s">
        <v>40775</v>
      </c>
      <c r="X5462" t="s">
        <v>42690</v>
      </c>
    </row>
    <row r="5463" spans="1:24">
      <c r="A5463">
        <f>HYPERLINK("https://www.philgeps.gov.ph/GEPSNONPILOT/Tender/SplashBidNoticeAbstractUI.aspx?menuIndex=3&amp;refID=7159180&amp;Result=3","7159180")</f>
        <v>0</v>
      </c>
      <c r="B5463" t="s">
        <v>1904</v>
      </c>
      <c r="C5463" t="s">
        <v>8758</v>
      </c>
      <c r="D5463" t="s">
        <v>17171</v>
      </c>
      <c r="E5463" t="s">
        <v>21963</v>
      </c>
      <c r="F5463" t="s">
        <v>29372</v>
      </c>
      <c r="G5463" t="s">
        <v>29383</v>
      </c>
      <c r="H5463" t="s">
        <v>29389</v>
      </c>
      <c r="I5463" t="s">
        <v>10408</v>
      </c>
      <c r="J5463" t="s">
        <v>33057</v>
      </c>
      <c r="K5463" t="s">
        <v>38496</v>
      </c>
      <c r="M5463" t="s">
        <v>40779</v>
      </c>
      <c r="N5463" t="s">
        <v>42669</v>
      </c>
      <c r="O5463" t="s">
        <v>42670</v>
      </c>
      <c r="P5463">
        <v>0</v>
      </c>
      <c r="Q5463">
        <v>0</v>
      </c>
      <c r="R5463" t="s">
        <v>42677</v>
      </c>
      <c r="S5463" t="s">
        <v>42830</v>
      </c>
      <c r="T5463" t="s">
        <v>44417</v>
      </c>
      <c r="U5463" t="s">
        <v>49286</v>
      </c>
      <c r="W5463" t="s">
        <v>40779</v>
      </c>
      <c r="X5463" t="s">
        <v>42690</v>
      </c>
    </row>
    <row r="5464" spans="1:24">
      <c r="A5464">
        <f>HYPERLINK("https://www.philgeps.gov.ph/GEPSNONPILOT/Tender/SplashBidNoticeAbstractUI.aspx?menuIndex=3&amp;refID=7163138&amp;Result=3","7163138")</f>
        <v>0</v>
      </c>
      <c r="B5464" t="s">
        <v>1905</v>
      </c>
      <c r="C5464" t="s">
        <v>8759</v>
      </c>
      <c r="D5464" t="s">
        <v>17142</v>
      </c>
      <c r="E5464" t="s">
        <v>17347</v>
      </c>
      <c r="F5464" t="s">
        <v>29372</v>
      </c>
      <c r="G5464" t="s">
        <v>29380</v>
      </c>
      <c r="H5464" t="s">
        <v>11048</v>
      </c>
      <c r="I5464" t="s">
        <v>29413</v>
      </c>
      <c r="J5464" t="s">
        <v>29580</v>
      </c>
      <c r="K5464" t="s">
        <v>38496</v>
      </c>
      <c r="M5464" t="s">
        <v>40780</v>
      </c>
      <c r="N5464" t="s">
        <v>42669</v>
      </c>
      <c r="O5464" t="s">
        <v>42670</v>
      </c>
      <c r="P5464">
        <v>0</v>
      </c>
      <c r="Q5464">
        <v>3</v>
      </c>
      <c r="R5464" t="s">
        <v>42677</v>
      </c>
      <c r="S5464" t="s">
        <v>42830</v>
      </c>
      <c r="T5464" t="s">
        <v>44425</v>
      </c>
      <c r="U5464" t="s">
        <v>49287</v>
      </c>
      <c r="W5464" t="s">
        <v>40780</v>
      </c>
      <c r="X5464" t="s">
        <v>42689</v>
      </c>
    </row>
    <row r="5465" spans="1:24">
      <c r="A5465">
        <f>HYPERLINK("https://www.philgeps.gov.ph/GEPSNONPILOT/Tender/SplashBidNoticeAbstractUI.aspx?menuIndex=3&amp;refID=7152555&amp;Result=3","7152555")</f>
        <v>0</v>
      </c>
      <c r="B5465" t="s">
        <v>170</v>
      </c>
      <c r="C5465" t="s">
        <v>8760</v>
      </c>
      <c r="D5465" t="s">
        <v>17195</v>
      </c>
      <c r="E5465" t="s">
        <v>21964</v>
      </c>
      <c r="F5465" t="s">
        <v>29372</v>
      </c>
      <c r="G5465" t="s">
        <v>29379</v>
      </c>
      <c r="H5465" t="s">
        <v>11048</v>
      </c>
      <c r="I5465" t="s">
        <v>3629</v>
      </c>
      <c r="J5465" t="s">
        <v>29625</v>
      </c>
      <c r="K5465" t="s">
        <v>38495</v>
      </c>
      <c r="M5465" t="s">
        <v>38927</v>
      </c>
      <c r="N5465" t="s">
        <v>42669</v>
      </c>
      <c r="O5465" t="s">
        <v>42670</v>
      </c>
      <c r="P5465">
        <v>0</v>
      </c>
      <c r="Q5465">
        <v>0</v>
      </c>
      <c r="R5465" t="s">
        <v>42677</v>
      </c>
      <c r="S5465" t="s">
        <v>42830</v>
      </c>
      <c r="T5465" t="s">
        <v>44408</v>
      </c>
      <c r="U5465" t="s">
        <v>47920</v>
      </c>
      <c r="W5465" t="s">
        <v>38927</v>
      </c>
      <c r="X5465" t="s">
        <v>42692</v>
      </c>
    </row>
    <row r="5466" spans="1:24">
      <c r="A5466">
        <f>HYPERLINK("https://www.philgeps.gov.ph/GEPSNONPILOT/Tender/SplashBidNoticeAbstractUI.aspx?menuIndex=3&amp;refID=7170597&amp;Result=3","7170597")</f>
        <v>0</v>
      </c>
      <c r="B5466" t="s">
        <v>1906</v>
      </c>
      <c r="C5466" t="s">
        <v>8761</v>
      </c>
      <c r="D5466" t="s">
        <v>17195</v>
      </c>
      <c r="E5466" t="s">
        <v>21965</v>
      </c>
      <c r="F5466" t="s">
        <v>29372</v>
      </c>
      <c r="G5466" t="s">
        <v>29380</v>
      </c>
      <c r="H5466" t="s">
        <v>29389</v>
      </c>
      <c r="I5466" t="s">
        <v>4709</v>
      </c>
      <c r="J5466" t="s">
        <v>30829</v>
      </c>
      <c r="K5466" t="s">
        <v>38487</v>
      </c>
      <c r="L5466" t="s">
        <v>1906</v>
      </c>
      <c r="M5466" t="s">
        <v>40781</v>
      </c>
      <c r="N5466" t="s">
        <v>42669</v>
      </c>
      <c r="O5466" t="s">
        <v>42670</v>
      </c>
      <c r="P5466">
        <v>0</v>
      </c>
      <c r="Q5466">
        <v>1</v>
      </c>
      <c r="R5466" t="s">
        <v>42677</v>
      </c>
      <c r="S5466" t="s">
        <v>42830</v>
      </c>
      <c r="T5466" t="s">
        <v>44696</v>
      </c>
      <c r="U5466" t="s">
        <v>49288</v>
      </c>
      <c r="W5466" t="s">
        <v>40781</v>
      </c>
      <c r="X5466" t="s">
        <v>42685</v>
      </c>
    </row>
    <row r="5467" spans="1:24">
      <c r="A5467">
        <f>HYPERLINK("https://www.philgeps.gov.ph/GEPSNONPILOT/Tender/SplashBidNoticeAbstractUI.aspx?menuIndex=3&amp;refID=7170752&amp;Result=3","7170752")</f>
        <v>0</v>
      </c>
      <c r="B5467" t="s">
        <v>1906</v>
      </c>
      <c r="C5467" t="s">
        <v>8762</v>
      </c>
      <c r="D5467" t="s">
        <v>17195</v>
      </c>
      <c r="E5467" t="s">
        <v>21966</v>
      </c>
      <c r="F5467" t="s">
        <v>29372</v>
      </c>
      <c r="G5467" t="s">
        <v>29380</v>
      </c>
      <c r="H5467" t="s">
        <v>11048</v>
      </c>
      <c r="I5467" t="s">
        <v>4709</v>
      </c>
      <c r="J5467" t="s">
        <v>33058</v>
      </c>
      <c r="K5467" t="s">
        <v>38487</v>
      </c>
      <c r="L5467" t="s">
        <v>1906</v>
      </c>
      <c r="M5467" t="s">
        <v>40781</v>
      </c>
      <c r="N5467" t="s">
        <v>42669</v>
      </c>
      <c r="O5467" t="s">
        <v>42670</v>
      </c>
      <c r="P5467">
        <v>0</v>
      </c>
      <c r="Q5467">
        <v>2</v>
      </c>
      <c r="R5467" t="s">
        <v>42677</v>
      </c>
      <c r="S5467" t="s">
        <v>42830</v>
      </c>
      <c r="T5467" t="s">
        <v>44481</v>
      </c>
      <c r="U5467" t="s">
        <v>49289</v>
      </c>
      <c r="W5467" t="s">
        <v>40781</v>
      </c>
      <c r="X5467" t="s">
        <v>42684</v>
      </c>
    </row>
    <row r="5468" spans="1:24">
      <c r="A5468">
        <f>HYPERLINK("https://www.philgeps.gov.ph/GEPSNONPILOT/Tender/SplashBidNoticeAbstractUI.aspx?menuIndex=3&amp;refID=7170748&amp;Result=3","7170748")</f>
        <v>0</v>
      </c>
      <c r="B5468" t="s">
        <v>1906</v>
      </c>
      <c r="C5468" t="s">
        <v>8763</v>
      </c>
      <c r="D5468" t="s">
        <v>17195</v>
      </c>
      <c r="E5468" t="s">
        <v>21967</v>
      </c>
      <c r="F5468" t="s">
        <v>29372</v>
      </c>
      <c r="G5468" t="s">
        <v>29380</v>
      </c>
      <c r="H5468" t="s">
        <v>29389</v>
      </c>
      <c r="I5468" t="s">
        <v>10408</v>
      </c>
      <c r="J5468" t="s">
        <v>33059</v>
      </c>
      <c r="K5468" t="s">
        <v>38488</v>
      </c>
      <c r="L5468" t="s">
        <v>1906</v>
      </c>
      <c r="M5468" t="s">
        <v>40781</v>
      </c>
      <c r="N5468" t="s">
        <v>42669</v>
      </c>
      <c r="O5468" t="s">
        <v>42670</v>
      </c>
      <c r="P5468">
        <v>0</v>
      </c>
      <c r="Q5468">
        <v>2</v>
      </c>
      <c r="R5468" t="s">
        <v>42677</v>
      </c>
      <c r="S5468" t="s">
        <v>42830</v>
      </c>
      <c r="T5468" t="s">
        <v>44481</v>
      </c>
      <c r="U5468" t="s">
        <v>49290</v>
      </c>
      <c r="W5468" t="s">
        <v>40781</v>
      </c>
      <c r="X5468" t="s">
        <v>42684</v>
      </c>
    </row>
    <row r="5469" spans="1:24">
      <c r="A5469">
        <f>HYPERLINK("https://www.philgeps.gov.ph/GEPSNONPILOT/Tender/SplashBidNoticeAbstractUI.aspx?menuIndex=3&amp;refID=7155220&amp;Result=3","7155220")</f>
        <v>0</v>
      </c>
      <c r="B5469" t="s">
        <v>1907</v>
      </c>
      <c r="C5469" t="s">
        <v>8764</v>
      </c>
      <c r="D5469" t="s">
        <v>17211</v>
      </c>
      <c r="E5469" t="s">
        <v>21968</v>
      </c>
      <c r="F5469" t="s">
        <v>29372</v>
      </c>
      <c r="G5469" t="s">
        <v>29380</v>
      </c>
      <c r="H5469" t="s">
        <v>11048</v>
      </c>
      <c r="I5469" t="s">
        <v>29398</v>
      </c>
      <c r="J5469" t="s">
        <v>29619</v>
      </c>
      <c r="K5469" t="s">
        <v>38488</v>
      </c>
      <c r="M5469" t="s">
        <v>40782</v>
      </c>
      <c r="N5469" t="s">
        <v>42669</v>
      </c>
      <c r="O5469" t="s">
        <v>42670</v>
      </c>
      <c r="P5469">
        <v>0</v>
      </c>
      <c r="Q5469">
        <v>4</v>
      </c>
      <c r="R5469" t="s">
        <v>42677</v>
      </c>
      <c r="S5469" t="s">
        <v>42830</v>
      </c>
      <c r="T5469" t="s">
        <v>44697</v>
      </c>
      <c r="U5469" t="s">
        <v>49291</v>
      </c>
      <c r="V5469" t="s">
        <v>56460</v>
      </c>
      <c r="W5469" t="s">
        <v>40782</v>
      </c>
      <c r="X5469" t="s">
        <v>42692</v>
      </c>
    </row>
    <row r="5470" spans="1:24">
      <c r="A5470">
        <f>HYPERLINK("https://www.philgeps.gov.ph/GEPSNONPILOT/Tender/SplashBidNoticeAbstractUI.aspx?menuIndex=3&amp;refID=7168884&amp;Result=3","7168884")</f>
        <v>0</v>
      </c>
      <c r="B5470" t="s">
        <v>1908</v>
      </c>
      <c r="C5470" t="s">
        <v>8765</v>
      </c>
      <c r="D5470" t="s">
        <v>17142</v>
      </c>
      <c r="E5470" t="s">
        <v>21969</v>
      </c>
      <c r="F5470" t="s">
        <v>29372</v>
      </c>
      <c r="G5470" t="s">
        <v>29380</v>
      </c>
      <c r="H5470" t="s">
        <v>29389</v>
      </c>
      <c r="I5470" t="s">
        <v>29417</v>
      </c>
      <c r="J5470" t="s">
        <v>33060</v>
      </c>
      <c r="K5470" t="s">
        <v>38536</v>
      </c>
      <c r="M5470" t="s">
        <v>40783</v>
      </c>
      <c r="N5470" t="s">
        <v>42669</v>
      </c>
      <c r="O5470" t="s">
        <v>42670</v>
      </c>
      <c r="P5470">
        <v>0</v>
      </c>
      <c r="Q5470">
        <v>1</v>
      </c>
      <c r="R5470" t="s">
        <v>42677</v>
      </c>
      <c r="S5470" t="s">
        <v>42830</v>
      </c>
      <c r="T5470" t="s">
        <v>44401</v>
      </c>
      <c r="U5470" t="s">
        <v>49292</v>
      </c>
      <c r="W5470" t="s">
        <v>40783</v>
      </c>
      <c r="X5470" t="s">
        <v>42685</v>
      </c>
    </row>
    <row r="5471" spans="1:24">
      <c r="A5471">
        <f>HYPERLINK("https://www.philgeps.gov.ph/GEPSNONPILOT/Tender/SplashBidNoticeAbstractUI.aspx?menuIndex=3&amp;refID=7189905&amp;Result=3","7189905")</f>
        <v>0</v>
      </c>
      <c r="B5471" t="s">
        <v>1874</v>
      </c>
      <c r="C5471" t="s">
        <v>8766</v>
      </c>
      <c r="D5471" t="s">
        <v>17192</v>
      </c>
      <c r="E5471" t="s">
        <v>21970</v>
      </c>
      <c r="F5471" t="s">
        <v>29372</v>
      </c>
      <c r="G5471" t="s">
        <v>29380</v>
      </c>
      <c r="H5471" t="s">
        <v>29389</v>
      </c>
      <c r="I5471" t="s">
        <v>10408</v>
      </c>
      <c r="J5471" t="s">
        <v>33061</v>
      </c>
      <c r="K5471" t="s">
        <v>38651</v>
      </c>
      <c r="M5471" t="s">
        <v>40747</v>
      </c>
      <c r="N5471" t="s">
        <v>42669</v>
      </c>
      <c r="O5471" t="s">
        <v>42670</v>
      </c>
      <c r="P5471">
        <v>0</v>
      </c>
      <c r="Q5471">
        <v>6</v>
      </c>
      <c r="R5471" t="s">
        <v>42676</v>
      </c>
      <c r="S5471" t="s">
        <v>42809</v>
      </c>
      <c r="T5471" t="s">
        <v>44572</v>
      </c>
      <c r="U5471" t="s">
        <v>49293</v>
      </c>
      <c r="W5471" t="s">
        <v>58061</v>
      </c>
      <c r="X5471" t="s">
        <v>42677</v>
      </c>
    </row>
    <row r="5472" spans="1:24">
      <c r="A5472">
        <f>HYPERLINK("https://www.philgeps.gov.ph/GEPSNONPILOT/Tender/SplashBidNoticeAbstractUI.aspx?menuIndex=3&amp;refID=7177208&amp;Result=3","7177208")</f>
        <v>0</v>
      </c>
      <c r="B5472" t="s">
        <v>25</v>
      </c>
      <c r="C5472" t="s">
        <v>8767</v>
      </c>
      <c r="D5472" t="s">
        <v>17142</v>
      </c>
      <c r="E5472" t="s">
        <v>21971</v>
      </c>
      <c r="F5472" t="s">
        <v>29372</v>
      </c>
      <c r="G5472" t="s">
        <v>29379</v>
      </c>
      <c r="H5472" t="s">
        <v>11048</v>
      </c>
      <c r="I5472" t="s">
        <v>3670</v>
      </c>
      <c r="J5472" t="s">
        <v>30210</v>
      </c>
      <c r="K5472" t="s">
        <v>38485</v>
      </c>
      <c r="M5472" t="s">
        <v>38778</v>
      </c>
      <c r="N5472" t="s">
        <v>42669</v>
      </c>
      <c r="O5472" t="s">
        <v>42670</v>
      </c>
      <c r="P5472">
        <v>0</v>
      </c>
      <c r="Q5472">
        <v>0</v>
      </c>
      <c r="R5472" t="s">
        <v>42677</v>
      </c>
      <c r="S5472" t="s">
        <v>42830</v>
      </c>
      <c r="T5472" t="s">
        <v>44385</v>
      </c>
      <c r="U5472" t="s">
        <v>49294</v>
      </c>
      <c r="W5472" t="s">
        <v>38778</v>
      </c>
      <c r="X5472" t="s">
        <v>42683</v>
      </c>
    </row>
    <row r="5473" spans="1:24">
      <c r="A5473">
        <f>HYPERLINK("https://www.philgeps.gov.ph/GEPSNONPILOT/Tender/SplashBidNoticeAbstractUI.aspx?menuIndex=3&amp;refID=7171271&amp;Result=3","7171271")</f>
        <v>0</v>
      </c>
      <c r="B5473" t="s">
        <v>589</v>
      </c>
      <c r="C5473" t="s">
        <v>8768</v>
      </c>
      <c r="D5473" t="s">
        <v>17168</v>
      </c>
      <c r="E5473" t="s">
        <v>21972</v>
      </c>
      <c r="F5473" t="s">
        <v>29372</v>
      </c>
      <c r="G5473" t="s">
        <v>29380</v>
      </c>
      <c r="H5473" t="s">
        <v>11048</v>
      </c>
      <c r="I5473" t="s">
        <v>29409</v>
      </c>
      <c r="J5473" t="s">
        <v>30032</v>
      </c>
      <c r="K5473" t="s">
        <v>38538</v>
      </c>
      <c r="M5473" t="s">
        <v>39358</v>
      </c>
      <c r="N5473" t="s">
        <v>42669</v>
      </c>
      <c r="O5473" t="s">
        <v>42670</v>
      </c>
      <c r="P5473">
        <v>0</v>
      </c>
      <c r="Q5473">
        <v>6</v>
      </c>
      <c r="R5473" t="s">
        <v>42677</v>
      </c>
      <c r="S5473" t="s">
        <v>42830</v>
      </c>
      <c r="T5473" t="s">
        <v>44427</v>
      </c>
      <c r="U5473" t="s">
        <v>49295</v>
      </c>
      <c r="V5473" t="s">
        <v>56460</v>
      </c>
      <c r="W5473" t="s">
        <v>39358</v>
      </c>
      <c r="X5473" t="s">
        <v>42684</v>
      </c>
    </row>
    <row r="5474" spans="1:24">
      <c r="A5474">
        <f>HYPERLINK("https://www.philgeps.gov.ph/GEPSNONPILOT/Tender/SplashBidNoticeAbstractUI.aspx?menuIndex=3&amp;refID=7175741&amp;Result=3","7175741")</f>
        <v>0</v>
      </c>
      <c r="B5474" t="s">
        <v>1909</v>
      </c>
      <c r="C5474" t="s">
        <v>8769</v>
      </c>
      <c r="D5474" t="s">
        <v>17141</v>
      </c>
      <c r="E5474" t="s">
        <v>19663</v>
      </c>
      <c r="F5474" t="s">
        <v>29372</v>
      </c>
      <c r="G5474" t="s">
        <v>29379</v>
      </c>
      <c r="H5474" t="s">
        <v>11048</v>
      </c>
      <c r="I5474" t="s">
        <v>29409</v>
      </c>
      <c r="J5474" t="s">
        <v>33062</v>
      </c>
      <c r="K5474" t="s">
        <v>38491</v>
      </c>
      <c r="M5474" t="s">
        <v>40784</v>
      </c>
      <c r="N5474" t="s">
        <v>42669</v>
      </c>
      <c r="O5474" t="s">
        <v>42670</v>
      </c>
      <c r="P5474">
        <v>0</v>
      </c>
      <c r="Q5474">
        <v>7</v>
      </c>
      <c r="R5474" t="s">
        <v>42677</v>
      </c>
      <c r="S5474" t="s">
        <v>42830</v>
      </c>
      <c r="T5474" t="s">
        <v>44512</v>
      </c>
      <c r="U5474" t="s">
        <v>49296</v>
      </c>
      <c r="W5474" t="s">
        <v>40784</v>
      </c>
      <c r="X5474" t="s">
        <v>42683</v>
      </c>
    </row>
    <row r="5475" spans="1:24">
      <c r="A5475">
        <f>HYPERLINK("https://www.philgeps.gov.ph/GEPSNONPILOT/Tender/SplashBidNoticeAbstractUI.aspx?menuIndex=3&amp;refID=7175537&amp;Result=3","7175537")</f>
        <v>0</v>
      </c>
      <c r="B5475" t="s">
        <v>1910</v>
      </c>
      <c r="C5475" t="s">
        <v>8770</v>
      </c>
      <c r="D5475" t="s">
        <v>17171</v>
      </c>
      <c r="E5475" t="s">
        <v>18800</v>
      </c>
      <c r="F5475" t="s">
        <v>29372</v>
      </c>
      <c r="G5475" t="s">
        <v>29379</v>
      </c>
      <c r="H5475" t="s">
        <v>11048</v>
      </c>
      <c r="I5475" t="s">
        <v>29455</v>
      </c>
      <c r="J5475" t="s">
        <v>29786</v>
      </c>
      <c r="K5475" t="s">
        <v>38488</v>
      </c>
      <c r="M5475" t="s">
        <v>40785</v>
      </c>
      <c r="N5475" t="s">
        <v>42669</v>
      </c>
      <c r="O5475" t="s">
        <v>42670</v>
      </c>
      <c r="P5475">
        <v>0</v>
      </c>
      <c r="Q5475">
        <v>3</v>
      </c>
      <c r="R5475" t="s">
        <v>42677</v>
      </c>
      <c r="S5475" t="s">
        <v>42830</v>
      </c>
      <c r="T5475" t="s">
        <v>44489</v>
      </c>
      <c r="U5475" t="s">
        <v>49297</v>
      </c>
      <c r="W5475" t="s">
        <v>40785</v>
      </c>
      <c r="X5475" t="s">
        <v>42683</v>
      </c>
    </row>
    <row r="5476" spans="1:24">
      <c r="A5476">
        <f>HYPERLINK("https://www.philgeps.gov.ph/GEPSNONPILOT/Tender/SplashBidNoticeAbstractUI.aspx?menuIndex=3&amp;refID=7172171&amp;Result=3","7172171")</f>
        <v>0</v>
      </c>
      <c r="B5476" t="s">
        <v>40</v>
      </c>
      <c r="C5476" t="s">
        <v>8771</v>
      </c>
      <c r="D5476" t="s">
        <v>17151</v>
      </c>
      <c r="E5476" t="s">
        <v>21973</v>
      </c>
      <c r="F5476" t="s">
        <v>29372</v>
      </c>
      <c r="G5476" t="s">
        <v>29380</v>
      </c>
      <c r="H5476" t="s">
        <v>11048</v>
      </c>
      <c r="I5476" t="s">
        <v>29393</v>
      </c>
      <c r="J5476" t="s">
        <v>29708</v>
      </c>
      <c r="K5476" t="s">
        <v>38488</v>
      </c>
      <c r="M5476" t="s">
        <v>38793</v>
      </c>
      <c r="N5476" t="s">
        <v>42669</v>
      </c>
      <c r="O5476" t="s">
        <v>42670</v>
      </c>
      <c r="P5476">
        <v>0</v>
      </c>
      <c r="Q5476">
        <v>0</v>
      </c>
      <c r="R5476" t="s">
        <v>42677</v>
      </c>
      <c r="S5476" t="s">
        <v>42830</v>
      </c>
      <c r="T5476" t="s">
        <v>44631</v>
      </c>
      <c r="U5476" t="s">
        <v>49298</v>
      </c>
      <c r="V5476" t="s">
        <v>56328</v>
      </c>
      <c r="W5476" t="s">
        <v>38793</v>
      </c>
      <c r="X5476" t="s">
        <v>42684</v>
      </c>
    </row>
    <row r="5477" spans="1:24">
      <c r="A5477">
        <f>HYPERLINK("https://www.philgeps.gov.ph/GEPSNONPILOT/Tender/SplashBidNoticeAbstractUI.aspx?menuIndex=3&amp;refID=7175534&amp;Result=3","7175534")</f>
        <v>0</v>
      </c>
      <c r="B5477" t="s">
        <v>1911</v>
      </c>
      <c r="C5477" t="s">
        <v>8772</v>
      </c>
      <c r="D5477" t="s">
        <v>17233</v>
      </c>
      <c r="E5477" t="s">
        <v>21974</v>
      </c>
      <c r="F5477" t="s">
        <v>29372</v>
      </c>
      <c r="G5477" t="s">
        <v>29380</v>
      </c>
      <c r="H5477" t="s">
        <v>29391</v>
      </c>
      <c r="I5477" t="s">
        <v>29391</v>
      </c>
      <c r="J5477" t="s">
        <v>33063</v>
      </c>
      <c r="K5477" t="s">
        <v>38603</v>
      </c>
      <c r="M5477" t="s">
        <v>40786</v>
      </c>
      <c r="N5477" t="s">
        <v>42669</v>
      </c>
      <c r="O5477" t="s">
        <v>42670</v>
      </c>
      <c r="P5477">
        <v>0</v>
      </c>
      <c r="Q5477">
        <v>5</v>
      </c>
      <c r="R5477" t="s">
        <v>42677</v>
      </c>
      <c r="S5477" t="s">
        <v>42830</v>
      </c>
      <c r="T5477" t="s">
        <v>44371</v>
      </c>
      <c r="U5477" t="s">
        <v>49299</v>
      </c>
      <c r="V5477" t="s">
        <v>56970</v>
      </c>
      <c r="W5477" t="s">
        <v>40786</v>
      </c>
      <c r="X5477" t="s">
        <v>42683</v>
      </c>
    </row>
    <row r="5478" spans="1:24">
      <c r="A5478">
        <f>HYPERLINK("https://www.philgeps.gov.ph/GEPSNONPILOT/Tender/SplashBidNoticeAbstractUI.aspx?menuIndex=3&amp;refID=7175294&amp;Result=3","7175294")</f>
        <v>0</v>
      </c>
      <c r="B5478" t="s">
        <v>1910</v>
      </c>
      <c r="C5478" t="s">
        <v>8773</v>
      </c>
      <c r="D5478" t="s">
        <v>17171</v>
      </c>
      <c r="E5478" t="s">
        <v>17755</v>
      </c>
      <c r="F5478" t="s">
        <v>29372</v>
      </c>
      <c r="G5478" t="s">
        <v>29379</v>
      </c>
      <c r="H5478" t="s">
        <v>11048</v>
      </c>
      <c r="I5478" t="s">
        <v>29398</v>
      </c>
      <c r="J5478" t="s">
        <v>29988</v>
      </c>
      <c r="K5478" t="s">
        <v>38485</v>
      </c>
      <c r="M5478" t="s">
        <v>40785</v>
      </c>
      <c r="N5478" t="s">
        <v>42669</v>
      </c>
      <c r="O5478" t="s">
        <v>42670</v>
      </c>
      <c r="P5478">
        <v>0</v>
      </c>
      <c r="Q5478">
        <v>9</v>
      </c>
      <c r="R5478" t="s">
        <v>42677</v>
      </c>
      <c r="S5478" t="s">
        <v>42830</v>
      </c>
      <c r="T5478" t="s">
        <v>44489</v>
      </c>
      <c r="U5478" t="s">
        <v>49300</v>
      </c>
      <c r="W5478" t="s">
        <v>40785</v>
      </c>
      <c r="X5478" t="s">
        <v>42683</v>
      </c>
    </row>
    <row r="5479" spans="1:24">
      <c r="A5479">
        <f>HYPERLINK("https://www.philgeps.gov.ph/GEPSNONPILOT/Tender/SplashBidNoticeAbstractUI.aspx?menuIndex=3&amp;refID=7177757&amp;Result=3","7177757")</f>
        <v>0</v>
      </c>
      <c r="B5479" t="s">
        <v>1912</v>
      </c>
      <c r="C5479" t="s">
        <v>8774</v>
      </c>
      <c r="D5479" t="s">
        <v>17194</v>
      </c>
      <c r="E5479" t="s">
        <v>21975</v>
      </c>
      <c r="F5479" t="s">
        <v>29372</v>
      </c>
      <c r="G5479" t="s">
        <v>29380</v>
      </c>
      <c r="H5479" t="s">
        <v>11048</v>
      </c>
      <c r="I5479" t="s">
        <v>3839</v>
      </c>
      <c r="J5479" t="s">
        <v>29680</v>
      </c>
      <c r="K5479" t="s">
        <v>38485</v>
      </c>
      <c r="M5479" t="s">
        <v>40787</v>
      </c>
      <c r="N5479" t="s">
        <v>42669</v>
      </c>
      <c r="O5479" t="s">
        <v>42670</v>
      </c>
      <c r="P5479">
        <v>0</v>
      </c>
      <c r="Q5479">
        <v>1</v>
      </c>
      <c r="R5479" t="s">
        <v>42677</v>
      </c>
      <c r="S5479" t="s">
        <v>42830</v>
      </c>
      <c r="T5479" t="s">
        <v>44399</v>
      </c>
      <c r="U5479" t="s">
        <v>49301</v>
      </c>
      <c r="W5479" t="s">
        <v>40787</v>
      </c>
      <c r="X5479" t="s">
        <v>42682</v>
      </c>
    </row>
    <row r="5480" spans="1:24">
      <c r="A5480">
        <f>HYPERLINK("https://www.philgeps.gov.ph/GEPSNONPILOT/Tender/SplashBidNoticeAbstractUI.aspx?menuIndex=3&amp;refID=7177537&amp;Result=3","7177537")</f>
        <v>0</v>
      </c>
      <c r="B5480" t="s">
        <v>266</v>
      </c>
      <c r="C5480" t="s">
        <v>8775</v>
      </c>
      <c r="D5480" t="s">
        <v>17170</v>
      </c>
      <c r="E5480" t="s">
        <v>21976</v>
      </c>
      <c r="F5480" t="s">
        <v>29372</v>
      </c>
      <c r="G5480" t="s">
        <v>29380</v>
      </c>
      <c r="H5480" t="s">
        <v>29389</v>
      </c>
      <c r="I5480" t="s">
        <v>10408</v>
      </c>
      <c r="J5480" t="s">
        <v>30161</v>
      </c>
      <c r="K5480" t="s">
        <v>38495</v>
      </c>
      <c r="M5480" t="s">
        <v>39025</v>
      </c>
      <c r="N5480" t="s">
        <v>42669</v>
      </c>
      <c r="O5480" t="s">
        <v>42670</v>
      </c>
      <c r="P5480">
        <v>0</v>
      </c>
      <c r="Q5480">
        <v>1</v>
      </c>
      <c r="R5480" t="s">
        <v>42677</v>
      </c>
      <c r="S5480" t="s">
        <v>42830</v>
      </c>
      <c r="T5480" t="s">
        <v>44503</v>
      </c>
      <c r="U5480" t="s">
        <v>49302</v>
      </c>
      <c r="W5480" t="s">
        <v>39025</v>
      </c>
      <c r="X5480" t="s">
        <v>42682</v>
      </c>
    </row>
    <row r="5481" spans="1:24">
      <c r="A5481">
        <f>HYPERLINK("https://www.philgeps.gov.ph/GEPSNONPILOT/Tender/SplashBidNoticeAbstractUI.aspx?menuIndex=3&amp;refID=7177517&amp;Result=3","7177517")</f>
        <v>0</v>
      </c>
      <c r="B5481" t="s">
        <v>266</v>
      </c>
      <c r="C5481" t="s">
        <v>8776</v>
      </c>
      <c r="D5481" t="s">
        <v>17170</v>
      </c>
      <c r="E5481" t="s">
        <v>21977</v>
      </c>
      <c r="F5481" t="s">
        <v>29372</v>
      </c>
      <c r="G5481" t="s">
        <v>29380</v>
      </c>
      <c r="H5481" t="s">
        <v>29389</v>
      </c>
      <c r="I5481" t="s">
        <v>10408</v>
      </c>
      <c r="J5481" t="s">
        <v>30161</v>
      </c>
      <c r="K5481" t="s">
        <v>38495</v>
      </c>
      <c r="M5481" t="s">
        <v>39025</v>
      </c>
      <c r="N5481" t="s">
        <v>42669</v>
      </c>
      <c r="O5481" t="s">
        <v>42670</v>
      </c>
      <c r="P5481">
        <v>0</v>
      </c>
      <c r="Q5481">
        <v>1</v>
      </c>
      <c r="R5481" t="s">
        <v>42677</v>
      </c>
      <c r="S5481" t="s">
        <v>42830</v>
      </c>
      <c r="T5481" t="s">
        <v>44503</v>
      </c>
      <c r="U5481" t="s">
        <v>49302</v>
      </c>
      <c r="W5481" t="s">
        <v>39025</v>
      </c>
      <c r="X5481" t="s">
        <v>42682</v>
      </c>
    </row>
    <row r="5482" spans="1:24">
      <c r="A5482">
        <f>HYPERLINK("https://www.philgeps.gov.ph/GEPSNONPILOT/Tender/SplashBidNoticeAbstractUI.aspx?menuIndex=3&amp;refID=7177499&amp;Result=3","7177499")</f>
        <v>0</v>
      </c>
      <c r="B5482" t="s">
        <v>266</v>
      </c>
      <c r="C5482" t="s">
        <v>8777</v>
      </c>
      <c r="D5482" t="s">
        <v>17170</v>
      </c>
      <c r="E5482" t="s">
        <v>21978</v>
      </c>
      <c r="F5482" t="s">
        <v>29372</v>
      </c>
      <c r="G5482" t="s">
        <v>29380</v>
      </c>
      <c r="H5482" t="s">
        <v>29389</v>
      </c>
      <c r="I5482" t="s">
        <v>10408</v>
      </c>
      <c r="J5482" t="s">
        <v>30161</v>
      </c>
      <c r="K5482" t="s">
        <v>38495</v>
      </c>
      <c r="M5482" t="s">
        <v>39025</v>
      </c>
      <c r="N5482" t="s">
        <v>42669</v>
      </c>
      <c r="O5482" t="s">
        <v>42670</v>
      </c>
      <c r="P5482">
        <v>0</v>
      </c>
      <c r="Q5482">
        <v>1</v>
      </c>
      <c r="R5482" t="s">
        <v>42677</v>
      </c>
      <c r="S5482" t="s">
        <v>42830</v>
      </c>
      <c r="T5482" t="s">
        <v>44503</v>
      </c>
      <c r="U5482" t="s">
        <v>49302</v>
      </c>
      <c r="W5482" t="s">
        <v>39025</v>
      </c>
      <c r="X5482" t="s">
        <v>42682</v>
      </c>
    </row>
    <row r="5483" spans="1:24">
      <c r="A5483">
        <f>HYPERLINK("https://www.philgeps.gov.ph/GEPSNONPILOT/Tender/SplashBidNoticeAbstractUI.aspx?menuIndex=3&amp;refID=7177485&amp;Result=3","7177485")</f>
        <v>0</v>
      </c>
      <c r="B5483" t="s">
        <v>266</v>
      </c>
      <c r="C5483" t="s">
        <v>8778</v>
      </c>
      <c r="D5483" t="s">
        <v>17170</v>
      </c>
      <c r="E5483" t="s">
        <v>21979</v>
      </c>
      <c r="F5483" t="s">
        <v>29372</v>
      </c>
      <c r="G5483" t="s">
        <v>29380</v>
      </c>
      <c r="H5483" t="s">
        <v>29389</v>
      </c>
      <c r="I5483" t="s">
        <v>10408</v>
      </c>
      <c r="J5483" t="s">
        <v>29543</v>
      </c>
      <c r="K5483" t="s">
        <v>38495</v>
      </c>
      <c r="M5483" t="s">
        <v>39025</v>
      </c>
      <c r="N5483" t="s">
        <v>42669</v>
      </c>
      <c r="O5483" t="s">
        <v>42670</v>
      </c>
      <c r="P5483">
        <v>0</v>
      </c>
      <c r="Q5483">
        <v>1</v>
      </c>
      <c r="R5483" t="s">
        <v>42677</v>
      </c>
      <c r="S5483" t="s">
        <v>42830</v>
      </c>
      <c r="T5483" t="s">
        <v>44503</v>
      </c>
      <c r="U5483" t="s">
        <v>49303</v>
      </c>
      <c r="W5483" t="s">
        <v>39025</v>
      </c>
      <c r="X5483" t="s">
        <v>42682</v>
      </c>
    </row>
    <row r="5484" spans="1:24">
      <c r="A5484">
        <f>HYPERLINK("https://www.philgeps.gov.ph/GEPSNONPILOT/Tender/SplashBidNoticeAbstractUI.aspx?menuIndex=3&amp;refID=7174867&amp;Result=3","7174867")</f>
        <v>0</v>
      </c>
      <c r="B5484" t="s">
        <v>1913</v>
      </c>
      <c r="C5484" t="s">
        <v>8779</v>
      </c>
      <c r="D5484" t="s">
        <v>17172</v>
      </c>
      <c r="E5484" t="s">
        <v>17399</v>
      </c>
      <c r="F5484" t="s">
        <v>29372</v>
      </c>
      <c r="G5484" t="s">
        <v>29380</v>
      </c>
      <c r="H5484" t="s">
        <v>11048</v>
      </c>
      <c r="I5484" t="s">
        <v>4709</v>
      </c>
      <c r="J5484" t="s">
        <v>33064</v>
      </c>
      <c r="K5484" t="s">
        <v>38491</v>
      </c>
      <c r="M5484" t="s">
        <v>40788</v>
      </c>
      <c r="N5484" t="s">
        <v>42669</v>
      </c>
      <c r="O5484" t="s">
        <v>42670</v>
      </c>
      <c r="P5484">
        <v>0</v>
      </c>
      <c r="Q5484">
        <v>2</v>
      </c>
      <c r="R5484" t="s">
        <v>42677</v>
      </c>
      <c r="S5484" t="s">
        <v>42830</v>
      </c>
      <c r="T5484" t="s">
        <v>44425</v>
      </c>
      <c r="U5484" t="s">
        <v>49304</v>
      </c>
      <c r="W5484" t="s">
        <v>40788</v>
      </c>
      <c r="X5484" t="s">
        <v>42683</v>
      </c>
    </row>
    <row r="5485" spans="1:24">
      <c r="A5485">
        <f>HYPERLINK("https://www.philgeps.gov.ph/GEPSNONPILOT/Tender/SplashBidNoticeAbstractUI.aspx?menuIndex=3&amp;refID=7175631&amp;Result=3","7175631")</f>
        <v>0</v>
      </c>
      <c r="B5485" t="s">
        <v>1911</v>
      </c>
      <c r="C5485" t="s">
        <v>8780</v>
      </c>
      <c r="D5485" t="s">
        <v>17234</v>
      </c>
      <c r="E5485" t="s">
        <v>21980</v>
      </c>
      <c r="F5485" t="s">
        <v>29372</v>
      </c>
      <c r="G5485" t="s">
        <v>29380</v>
      </c>
      <c r="H5485" t="s">
        <v>29391</v>
      </c>
      <c r="I5485" t="s">
        <v>29391</v>
      </c>
      <c r="J5485" t="s">
        <v>33065</v>
      </c>
      <c r="K5485" t="s">
        <v>38566</v>
      </c>
      <c r="M5485" t="s">
        <v>40786</v>
      </c>
      <c r="N5485" t="s">
        <v>42669</v>
      </c>
      <c r="O5485" t="s">
        <v>42670</v>
      </c>
      <c r="P5485">
        <v>0</v>
      </c>
      <c r="Q5485">
        <v>5</v>
      </c>
      <c r="R5485" t="s">
        <v>42677</v>
      </c>
      <c r="S5485" t="s">
        <v>42830</v>
      </c>
      <c r="T5485" t="s">
        <v>44371</v>
      </c>
      <c r="U5485" t="s">
        <v>49305</v>
      </c>
      <c r="V5485" t="s">
        <v>56970</v>
      </c>
      <c r="W5485" t="s">
        <v>40786</v>
      </c>
      <c r="X5485" t="s">
        <v>42683</v>
      </c>
    </row>
    <row r="5486" spans="1:24">
      <c r="A5486">
        <f>HYPERLINK("https://www.philgeps.gov.ph/GEPSNONPILOT/Tender/SplashBidNoticeAbstractUI.aspx?menuIndex=3&amp;refID=7174153&amp;Result=3","7174153")</f>
        <v>0</v>
      </c>
      <c r="B5486" t="s">
        <v>40</v>
      </c>
      <c r="C5486" t="s">
        <v>8781</v>
      </c>
      <c r="D5486" t="s">
        <v>17151</v>
      </c>
      <c r="E5486" t="s">
        <v>21981</v>
      </c>
      <c r="F5486" t="s">
        <v>29372</v>
      </c>
      <c r="G5486" t="s">
        <v>29380</v>
      </c>
      <c r="H5486" t="s">
        <v>11048</v>
      </c>
      <c r="I5486" t="s">
        <v>9469</v>
      </c>
      <c r="J5486" t="s">
        <v>30056</v>
      </c>
      <c r="K5486" t="s">
        <v>38496</v>
      </c>
      <c r="M5486" t="s">
        <v>38793</v>
      </c>
      <c r="N5486" t="s">
        <v>42669</v>
      </c>
      <c r="O5486" t="s">
        <v>42670</v>
      </c>
      <c r="P5486">
        <v>0</v>
      </c>
      <c r="Q5486">
        <v>2</v>
      </c>
      <c r="R5486" t="s">
        <v>42677</v>
      </c>
      <c r="S5486" t="s">
        <v>42830</v>
      </c>
      <c r="T5486" t="s">
        <v>44558</v>
      </c>
      <c r="U5486" t="s">
        <v>49306</v>
      </c>
      <c r="V5486" t="s">
        <v>56328</v>
      </c>
      <c r="W5486" t="s">
        <v>38793</v>
      </c>
      <c r="X5486" t="s">
        <v>42684</v>
      </c>
    </row>
    <row r="5487" spans="1:24">
      <c r="A5487">
        <f>HYPERLINK("https://www.philgeps.gov.ph/GEPSNONPILOT/Tender/SplashBidNoticeAbstractUI.aspx?menuIndex=3&amp;refID=7172717&amp;Result=3","7172717")</f>
        <v>0</v>
      </c>
      <c r="B5487" t="s">
        <v>58</v>
      </c>
      <c r="C5487" t="s">
        <v>8782</v>
      </c>
      <c r="D5487" t="s">
        <v>17189</v>
      </c>
      <c r="E5487" t="s">
        <v>21982</v>
      </c>
      <c r="F5487" t="s">
        <v>29372</v>
      </c>
      <c r="G5487" t="s">
        <v>29384</v>
      </c>
      <c r="H5487" t="s">
        <v>29389</v>
      </c>
      <c r="I5487" t="s">
        <v>10408</v>
      </c>
      <c r="J5487" t="s">
        <v>33066</v>
      </c>
      <c r="K5487" t="s">
        <v>38490</v>
      </c>
      <c r="L5487" t="s">
        <v>58</v>
      </c>
      <c r="M5487" t="s">
        <v>40154</v>
      </c>
      <c r="N5487" t="s">
        <v>42669</v>
      </c>
      <c r="O5487" t="s">
        <v>42670</v>
      </c>
      <c r="Q5487">
        <v>3</v>
      </c>
      <c r="R5487" t="s">
        <v>42677</v>
      </c>
      <c r="S5487" t="s">
        <v>42832</v>
      </c>
      <c r="T5487" t="s">
        <v>44474</v>
      </c>
      <c r="U5487" t="s">
        <v>49307</v>
      </c>
      <c r="W5487" t="s">
        <v>40154</v>
      </c>
      <c r="X5487" t="s">
        <v>42684</v>
      </c>
    </row>
    <row r="5488" spans="1:24">
      <c r="A5488">
        <f>HYPERLINK("https://www.philgeps.gov.ph/GEPSNONPILOT/Tender/SplashBidNoticeAbstractUI.aspx?menuIndex=3&amp;refID=7171676&amp;Result=3","7171676")</f>
        <v>0</v>
      </c>
      <c r="B5488" t="s">
        <v>1903</v>
      </c>
      <c r="C5488" t="s">
        <v>8783</v>
      </c>
      <c r="D5488" t="s">
        <v>17189</v>
      </c>
      <c r="E5488" t="s">
        <v>21983</v>
      </c>
      <c r="F5488" t="s">
        <v>29372</v>
      </c>
      <c r="G5488" t="s">
        <v>29380</v>
      </c>
      <c r="H5488" t="s">
        <v>11048</v>
      </c>
      <c r="I5488" t="s">
        <v>29407</v>
      </c>
      <c r="J5488" t="s">
        <v>33067</v>
      </c>
      <c r="K5488" t="s">
        <v>38510</v>
      </c>
      <c r="M5488" t="s">
        <v>40778</v>
      </c>
      <c r="N5488" t="s">
        <v>42669</v>
      </c>
      <c r="O5488" t="s">
        <v>42670</v>
      </c>
      <c r="P5488">
        <v>0</v>
      </c>
      <c r="Q5488">
        <v>5</v>
      </c>
      <c r="R5488" t="s">
        <v>42677</v>
      </c>
      <c r="S5488" t="s">
        <v>42830</v>
      </c>
      <c r="T5488" t="s">
        <v>44629</v>
      </c>
      <c r="U5488" t="s">
        <v>49284</v>
      </c>
      <c r="V5488" t="s">
        <v>56969</v>
      </c>
      <c r="W5488" t="s">
        <v>40778</v>
      </c>
      <c r="X5488" t="s">
        <v>42684</v>
      </c>
    </row>
    <row r="5489" spans="1:24">
      <c r="A5489">
        <f>HYPERLINK("https://www.philgeps.gov.ph/GEPSNONPILOT/Tender/SplashBidNoticeAbstractUI.aspx?menuIndex=3&amp;refID=7176799&amp;Result=3","7176799")</f>
        <v>0</v>
      </c>
      <c r="B5489" t="s">
        <v>1914</v>
      </c>
      <c r="C5489" t="s">
        <v>8784</v>
      </c>
      <c r="D5489" t="s">
        <v>17197</v>
      </c>
      <c r="E5489" t="s">
        <v>21984</v>
      </c>
      <c r="F5489" t="s">
        <v>29372</v>
      </c>
      <c r="G5489" t="s">
        <v>29384</v>
      </c>
      <c r="H5489" t="s">
        <v>29389</v>
      </c>
      <c r="I5489" t="s">
        <v>10408</v>
      </c>
      <c r="J5489" t="s">
        <v>30308</v>
      </c>
      <c r="K5489" t="s">
        <v>38495</v>
      </c>
      <c r="M5489" t="s">
        <v>40789</v>
      </c>
      <c r="N5489" t="s">
        <v>42669</v>
      </c>
      <c r="O5489" t="s">
        <v>42670</v>
      </c>
      <c r="P5489">
        <v>0</v>
      </c>
      <c r="Q5489">
        <v>4</v>
      </c>
      <c r="R5489" t="s">
        <v>42677</v>
      </c>
      <c r="S5489" t="s">
        <v>42830</v>
      </c>
      <c r="T5489" t="s">
        <v>44517</v>
      </c>
      <c r="U5489" t="s">
        <v>49308</v>
      </c>
      <c r="W5489" t="s">
        <v>40789</v>
      </c>
      <c r="X5489" t="s">
        <v>42683</v>
      </c>
    </row>
    <row r="5490" spans="1:24">
      <c r="A5490">
        <f>HYPERLINK("https://www.philgeps.gov.ph/GEPSNONPILOT/Tender/SplashBidNoticeAbstractUI.aspx?menuIndex=3&amp;refID=7172757&amp;Result=3","7172757")</f>
        <v>0</v>
      </c>
      <c r="B5490" t="s">
        <v>58</v>
      </c>
      <c r="C5490" t="s">
        <v>8785</v>
      </c>
      <c r="D5490" t="s">
        <v>17189</v>
      </c>
      <c r="E5490" t="s">
        <v>21985</v>
      </c>
      <c r="F5490" t="s">
        <v>29372</v>
      </c>
      <c r="G5490" t="s">
        <v>29384</v>
      </c>
      <c r="H5490" t="s">
        <v>29389</v>
      </c>
      <c r="I5490" t="s">
        <v>10408</v>
      </c>
      <c r="J5490" t="s">
        <v>33066</v>
      </c>
      <c r="K5490" t="s">
        <v>38490</v>
      </c>
      <c r="L5490" t="s">
        <v>58</v>
      </c>
      <c r="M5490" t="s">
        <v>40154</v>
      </c>
      <c r="N5490" t="s">
        <v>42669</v>
      </c>
      <c r="O5490" t="s">
        <v>42670</v>
      </c>
      <c r="Q5490">
        <v>3</v>
      </c>
      <c r="R5490" t="s">
        <v>42677</v>
      </c>
      <c r="S5490" t="s">
        <v>42833</v>
      </c>
      <c r="T5490" t="s">
        <v>44474</v>
      </c>
      <c r="U5490" t="s">
        <v>49309</v>
      </c>
      <c r="W5490" t="s">
        <v>40154</v>
      </c>
      <c r="X5490" t="s">
        <v>42684</v>
      </c>
    </row>
    <row r="5491" spans="1:24">
      <c r="A5491">
        <f>HYPERLINK("https://www.philgeps.gov.ph/GEPSNONPILOT/Tender/SplashBidNoticeAbstractUI.aspx?menuIndex=3&amp;refID=7172521&amp;Result=3","7172521")</f>
        <v>0</v>
      </c>
      <c r="B5491" t="s">
        <v>1915</v>
      </c>
      <c r="C5491" t="s">
        <v>8786</v>
      </c>
      <c r="D5491" t="s">
        <v>17143</v>
      </c>
      <c r="E5491" t="s">
        <v>21986</v>
      </c>
      <c r="F5491" t="s">
        <v>29372</v>
      </c>
      <c r="G5491" t="s">
        <v>29380</v>
      </c>
      <c r="H5491" t="s">
        <v>29389</v>
      </c>
      <c r="I5491" t="s">
        <v>10408</v>
      </c>
      <c r="J5491" t="s">
        <v>33068</v>
      </c>
      <c r="K5491" t="s">
        <v>38564</v>
      </c>
      <c r="M5491" t="s">
        <v>40790</v>
      </c>
      <c r="N5491" t="s">
        <v>42669</v>
      </c>
      <c r="O5491" t="s">
        <v>42670</v>
      </c>
      <c r="P5491">
        <v>0</v>
      </c>
      <c r="Q5491">
        <v>2</v>
      </c>
      <c r="R5491" t="s">
        <v>42677</v>
      </c>
      <c r="S5491" t="s">
        <v>42830</v>
      </c>
      <c r="T5491" t="s">
        <v>44405</v>
      </c>
      <c r="U5491" t="s">
        <v>49310</v>
      </c>
      <c r="W5491" t="s">
        <v>40790</v>
      </c>
      <c r="X5491" t="s">
        <v>42684</v>
      </c>
    </row>
    <row r="5492" spans="1:24">
      <c r="A5492">
        <f>HYPERLINK("https://www.philgeps.gov.ph/GEPSNONPILOT/Tender/SplashBidNoticeAbstractUI.aspx?menuIndex=3&amp;refID=7172187&amp;Result=3","7172187")</f>
        <v>0</v>
      </c>
      <c r="B5492" t="s">
        <v>1916</v>
      </c>
      <c r="C5492" t="s">
        <v>8787</v>
      </c>
      <c r="D5492" t="s">
        <v>17161</v>
      </c>
      <c r="E5492" t="s">
        <v>21987</v>
      </c>
      <c r="F5492" t="s">
        <v>29372</v>
      </c>
      <c r="G5492" t="s">
        <v>29380</v>
      </c>
      <c r="H5492" t="s">
        <v>29389</v>
      </c>
      <c r="I5492" t="s">
        <v>10408</v>
      </c>
      <c r="J5492" t="s">
        <v>33069</v>
      </c>
      <c r="K5492" t="s">
        <v>38522</v>
      </c>
      <c r="M5492" t="s">
        <v>40791</v>
      </c>
      <c r="N5492" t="s">
        <v>42669</v>
      </c>
      <c r="O5492" t="s">
        <v>42670</v>
      </c>
      <c r="P5492">
        <v>0</v>
      </c>
      <c r="Q5492">
        <v>1</v>
      </c>
      <c r="R5492" t="s">
        <v>42677</v>
      </c>
      <c r="S5492" t="s">
        <v>42830</v>
      </c>
      <c r="T5492" t="s">
        <v>44378</v>
      </c>
      <c r="U5492" t="s">
        <v>49311</v>
      </c>
      <c r="W5492" t="s">
        <v>40791</v>
      </c>
      <c r="X5492" t="s">
        <v>42684</v>
      </c>
    </row>
    <row r="5493" spans="1:24">
      <c r="A5493">
        <f>HYPERLINK("https://www.philgeps.gov.ph/GEPSNONPILOT/Tender/SplashBidNoticeAbstractUI.aspx?menuIndex=3&amp;refID=7170732&amp;Result=3","7170732")</f>
        <v>0</v>
      </c>
      <c r="B5493" t="s">
        <v>40</v>
      </c>
      <c r="C5493" t="s">
        <v>8788</v>
      </c>
      <c r="D5493" t="s">
        <v>17151</v>
      </c>
      <c r="E5493" t="s">
        <v>21988</v>
      </c>
      <c r="F5493" t="s">
        <v>29372</v>
      </c>
      <c r="G5493" t="s">
        <v>29380</v>
      </c>
      <c r="H5493" t="s">
        <v>11048</v>
      </c>
      <c r="I5493" t="s">
        <v>29399</v>
      </c>
      <c r="J5493" t="s">
        <v>33070</v>
      </c>
      <c r="K5493" t="s">
        <v>38485</v>
      </c>
      <c r="M5493" t="s">
        <v>38793</v>
      </c>
      <c r="N5493" t="s">
        <v>42669</v>
      </c>
      <c r="O5493" t="s">
        <v>42670</v>
      </c>
      <c r="P5493">
        <v>0</v>
      </c>
      <c r="Q5493">
        <v>0</v>
      </c>
      <c r="R5493" t="s">
        <v>42677</v>
      </c>
      <c r="S5493" t="s">
        <v>42830</v>
      </c>
      <c r="T5493" t="s">
        <v>44631</v>
      </c>
      <c r="U5493" t="s">
        <v>49312</v>
      </c>
      <c r="V5493" t="s">
        <v>56517</v>
      </c>
      <c r="W5493" t="s">
        <v>38793</v>
      </c>
      <c r="X5493" t="s">
        <v>42685</v>
      </c>
    </row>
    <row r="5494" spans="1:24">
      <c r="A5494">
        <f>HYPERLINK("https://www.philgeps.gov.ph/GEPSNONPILOT/Tender/SplashBidNoticeAbstractUI.aspx?menuIndex=3&amp;refID=7177772&amp;Result=3","7177772")</f>
        <v>0</v>
      </c>
      <c r="B5494" t="s">
        <v>1912</v>
      </c>
      <c r="C5494" t="s">
        <v>8789</v>
      </c>
      <c r="D5494" t="s">
        <v>17194</v>
      </c>
      <c r="E5494" t="s">
        <v>21989</v>
      </c>
      <c r="F5494" t="s">
        <v>29372</v>
      </c>
      <c r="G5494" t="s">
        <v>29380</v>
      </c>
      <c r="H5494" t="s">
        <v>11048</v>
      </c>
      <c r="I5494" t="s">
        <v>29444</v>
      </c>
      <c r="J5494" t="s">
        <v>33071</v>
      </c>
      <c r="K5494" t="s">
        <v>38485</v>
      </c>
      <c r="M5494" t="s">
        <v>40787</v>
      </c>
      <c r="N5494" t="s">
        <v>42669</v>
      </c>
      <c r="O5494" t="s">
        <v>42670</v>
      </c>
      <c r="P5494">
        <v>0</v>
      </c>
      <c r="Q5494">
        <v>0</v>
      </c>
      <c r="R5494" t="s">
        <v>42677</v>
      </c>
      <c r="S5494" t="s">
        <v>42830</v>
      </c>
      <c r="T5494" t="s">
        <v>44399</v>
      </c>
      <c r="U5494" t="s">
        <v>49313</v>
      </c>
      <c r="W5494" t="s">
        <v>40787</v>
      </c>
      <c r="X5494" t="s">
        <v>42682</v>
      </c>
    </row>
    <row r="5495" spans="1:24">
      <c r="A5495">
        <f>HYPERLINK("https://www.philgeps.gov.ph/GEPSNONPILOT/Tender/SplashBidNoticeAbstractUI.aspx?menuIndex=3&amp;refID=7178644&amp;Result=3","7178644")</f>
        <v>0</v>
      </c>
      <c r="B5495" t="s">
        <v>1917</v>
      </c>
      <c r="C5495" t="s">
        <v>8790</v>
      </c>
      <c r="D5495" t="s">
        <v>17148</v>
      </c>
      <c r="E5495" t="s">
        <v>21990</v>
      </c>
      <c r="F5495" t="s">
        <v>29372</v>
      </c>
      <c r="G5495" t="s">
        <v>29380</v>
      </c>
      <c r="H5495" t="s">
        <v>29389</v>
      </c>
      <c r="I5495" t="s">
        <v>29429</v>
      </c>
      <c r="J5495" t="s">
        <v>33072</v>
      </c>
      <c r="K5495" t="s">
        <v>38496</v>
      </c>
      <c r="M5495" t="s">
        <v>40792</v>
      </c>
      <c r="N5495" t="s">
        <v>42669</v>
      </c>
      <c r="O5495" t="s">
        <v>42670</v>
      </c>
      <c r="P5495">
        <v>0</v>
      </c>
      <c r="Q5495">
        <v>22</v>
      </c>
      <c r="R5495" t="s">
        <v>42677</v>
      </c>
      <c r="S5495" t="s">
        <v>42830</v>
      </c>
      <c r="T5495" t="s">
        <v>44398</v>
      </c>
      <c r="U5495" t="s">
        <v>49314</v>
      </c>
      <c r="W5495" t="s">
        <v>40792</v>
      </c>
      <c r="X5495" t="s">
        <v>42682</v>
      </c>
    </row>
    <row r="5496" spans="1:24">
      <c r="A5496">
        <f>HYPERLINK("https://www.philgeps.gov.ph/GEPSNONPILOT/Tender/SplashBidNoticeAbstractUI.aspx?menuIndex=3&amp;refID=7171289&amp;Result=3","7171289")</f>
        <v>0</v>
      </c>
      <c r="B5496" t="s">
        <v>1903</v>
      </c>
      <c r="C5496" t="s">
        <v>8791</v>
      </c>
      <c r="E5496" t="s">
        <v>21991</v>
      </c>
      <c r="F5496" t="s">
        <v>29372</v>
      </c>
      <c r="G5496" t="s">
        <v>29380</v>
      </c>
      <c r="H5496" t="s">
        <v>11048</v>
      </c>
      <c r="I5496" t="s">
        <v>9469</v>
      </c>
      <c r="J5496" t="s">
        <v>30100</v>
      </c>
      <c r="K5496" t="s">
        <v>38510</v>
      </c>
      <c r="M5496" t="s">
        <v>40778</v>
      </c>
      <c r="N5496" t="s">
        <v>42669</v>
      </c>
      <c r="O5496" t="s">
        <v>42670</v>
      </c>
      <c r="P5496">
        <v>0</v>
      </c>
      <c r="Q5496">
        <v>1</v>
      </c>
      <c r="R5496" t="s">
        <v>42677</v>
      </c>
      <c r="S5496" t="s">
        <v>42830</v>
      </c>
      <c r="T5496" t="s">
        <v>44629</v>
      </c>
      <c r="U5496" t="s">
        <v>49284</v>
      </c>
      <c r="V5496" t="s">
        <v>56969</v>
      </c>
      <c r="W5496" t="s">
        <v>40778</v>
      </c>
      <c r="X5496" t="s">
        <v>42684</v>
      </c>
    </row>
    <row r="5497" spans="1:24">
      <c r="A5497">
        <f>HYPERLINK("https://www.philgeps.gov.ph/GEPSNONPILOT/Tender/SplashBidNoticeAbstractUI.aspx?menuIndex=3&amp;refID=7178599&amp;Result=3","7178599")</f>
        <v>0</v>
      </c>
      <c r="B5497" t="s">
        <v>1917</v>
      </c>
      <c r="C5497" t="s">
        <v>8792</v>
      </c>
      <c r="D5497" t="s">
        <v>17148</v>
      </c>
      <c r="E5497" t="s">
        <v>21992</v>
      </c>
      <c r="F5497" t="s">
        <v>29372</v>
      </c>
      <c r="G5497" t="s">
        <v>29380</v>
      </c>
      <c r="H5497" t="s">
        <v>29389</v>
      </c>
      <c r="I5497" t="s">
        <v>29429</v>
      </c>
      <c r="J5497" t="s">
        <v>33073</v>
      </c>
      <c r="K5497" t="s">
        <v>38487</v>
      </c>
      <c r="M5497" t="s">
        <v>40792</v>
      </c>
      <c r="N5497" t="s">
        <v>42669</v>
      </c>
      <c r="O5497" t="s">
        <v>42670</v>
      </c>
      <c r="P5497">
        <v>0</v>
      </c>
      <c r="Q5497">
        <v>22</v>
      </c>
      <c r="R5497" t="s">
        <v>42677</v>
      </c>
      <c r="S5497" t="s">
        <v>42830</v>
      </c>
      <c r="T5497" t="s">
        <v>44467</v>
      </c>
      <c r="U5497" t="s">
        <v>49315</v>
      </c>
      <c r="W5497" t="s">
        <v>40792</v>
      </c>
      <c r="X5497" t="s">
        <v>42682</v>
      </c>
    </row>
    <row r="5498" spans="1:24">
      <c r="A5498">
        <f>HYPERLINK("https://www.philgeps.gov.ph/GEPSNONPILOT/Tender/SplashBidNoticeAbstractUI.aspx?menuIndex=3&amp;refID=7178463&amp;Result=3","7178463")</f>
        <v>0</v>
      </c>
      <c r="B5498" t="s">
        <v>1397</v>
      </c>
      <c r="C5498" t="s">
        <v>8793</v>
      </c>
      <c r="D5498" t="s">
        <v>17213</v>
      </c>
      <c r="E5498" t="s">
        <v>21993</v>
      </c>
      <c r="F5498" t="s">
        <v>29372</v>
      </c>
      <c r="G5498" t="s">
        <v>29379</v>
      </c>
      <c r="H5498" t="s">
        <v>29390</v>
      </c>
      <c r="I5498" t="s">
        <v>29393</v>
      </c>
      <c r="J5498" t="s">
        <v>29767</v>
      </c>
      <c r="K5498" t="s">
        <v>38534</v>
      </c>
      <c r="M5498" t="s">
        <v>40236</v>
      </c>
      <c r="N5498" t="s">
        <v>42669</v>
      </c>
      <c r="O5498" t="s">
        <v>42670</v>
      </c>
      <c r="P5498">
        <v>0</v>
      </c>
      <c r="Q5498">
        <v>0</v>
      </c>
      <c r="R5498" t="s">
        <v>42677</v>
      </c>
      <c r="S5498" t="s">
        <v>42830</v>
      </c>
      <c r="T5498" t="s">
        <v>44394</v>
      </c>
      <c r="U5498" t="s">
        <v>49316</v>
      </c>
      <c r="W5498" t="s">
        <v>40236</v>
      </c>
      <c r="X5498" t="s">
        <v>42682</v>
      </c>
    </row>
    <row r="5499" spans="1:24">
      <c r="A5499">
        <f>HYPERLINK("https://www.philgeps.gov.ph/GEPSNONPILOT/Tender/SplashBidNoticeAbstractUI.aspx?menuIndex=3&amp;refID=7179044&amp;Result=3","7179044")</f>
        <v>0</v>
      </c>
      <c r="B5499" t="s">
        <v>1151</v>
      </c>
      <c r="C5499" t="s">
        <v>8794</v>
      </c>
      <c r="D5499" t="s">
        <v>17185</v>
      </c>
      <c r="E5499" t="s">
        <v>21994</v>
      </c>
      <c r="F5499" t="s">
        <v>29372</v>
      </c>
      <c r="G5499" t="s">
        <v>29380</v>
      </c>
      <c r="H5499" t="s">
        <v>11048</v>
      </c>
      <c r="I5499" t="s">
        <v>8794</v>
      </c>
      <c r="J5499" t="s">
        <v>30801</v>
      </c>
      <c r="K5499" t="s">
        <v>38485</v>
      </c>
      <c r="M5499" t="s">
        <v>39965</v>
      </c>
      <c r="N5499" t="s">
        <v>42669</v>
      </c>
      <c r="O5499" t="s">
        <v>42670</v>
      </c>
      <c r="P5499">
        <v>0</v>
      </c>
      <c r="Q5499">
        <v>0</v>
      </c>
      <c r="R5499" t="s">
        <v>42677</v>
      </c>
      <c r="S5499" t="s">
        <v>42830</v>
      </c>
      <c r="T5499" t="s">
        <v>44427</v>
      </c>
      <c r="U5499" t="s">
        <v>49317</v>
      </c>
      <c r="W5499" t="s">
        <v>39965</v>
      </c>
      <c r="X5499" t="s">
        <v>42682</v>
      </c>
    </row>
    <row r="5500" spans="1:24">
      <c r="A5500">
        <f>HYPERLINK("https://www.philgeps.gov.ph/GEPSNONPILOT/Tender/SplashBidNoticeAbstractUI.aspx?menuIndex=3&amp;refID=7178423&amp;Result=3","7178423")</f>
        <v>0</v>
      </c>
      <c r="B5500" t="s">
        <v>1918</v>
      </c>
      <c r="C5500" t="s">
        <v>8795</v>
      </c>
      <c r="D5500" t="s">
        <v>17194</v>
      </c>
      <c r="E5500" t="s">
        <v>21995</v>
      </c>
      <c r="F5500" t="s">
        <v>29372</v>
      </c>
      <c r="G5500" t="s">
        <v>29381</v>
      </c>
      <c r="H5500" t="s">
        <v>11048</v>
      </c>
      <c r="I5500" t="s">
        <v>3695</v>
      </c>
      <c r="J5500" t="s">
        <v>33074</v>
      </c>
      <c r="K5500" t="s">
        <v>38488</v>
      </c>
      <c r="L5500" t="s">
        <v>1918</v>
      </c>
      <c r="M5500" t="s">
        <v>40793</v>
      </c>
      <c r="N5500" t="s">
        <v>42669</v>
      </c>
      <c r="O5500" t="s">
        <v>42670</v>
      </c>
      <c r="P5500">
        <v>0</v>
      </c>
      <c r="Q5500">
        <v>10</v>
      </c>
      <c r="R5500" t="s">
        <v>42677</v>
      </c>
      <c r="S5500" t="s">
        <v>42830</v>
      </c>
      <c r="T5500" t="s">
        <v>44566</v>
      </c>
      <c r="U5500" t="s">
        <v>49318</v>
      </c>
      <c r="V5500" t="s">
        <v>56971</v>
      </c>
      <c r="W5500" t="s">
        <v>40793</v>
      </c>
      <c r="X5500" t="s">
        <v>42682</v>
      </c>
    </row>
    <row r="5501" spans="1:24">
      <c r="A5501">
        <f>HYPERLINK("https://www.philgeps.gov.ph/GEPSNONPILOT/Tender/SplashBidNoticeAbstractUI.aspx?menuIndex=3&amp;refID=7177931&amp;Result=3","7177931")</f>
        <v>0</v>
      </c>
      <c r="B5501" t="s">
        <v>1912</v>
      </c>
      <c r="C5501" t="s">
        <v>8796</v>
      </c>
      <c r="D5501" t="s">
        <v>17194</v>
      </c>
      <c r="E5501" t="s">
        <v>21996</v>
      </c>
      <c r="F5501" t="s">
        <v>29372</v>
      </c>
      <c r="G5501" t="s">
        <v>29380</v>
      </c>
      <c r="H5501" t="s">
        <v>11048</v>
      </c>
      <c r="I5501" t="s">
        <v>29395</v>
      </c>
      <c r="J5501" t="s">
        <v>33075</v>
      </c>
      <c r="K5501" t="s">
        <v>38485</v>
      </c>
      <c r="M5501" t="s">
        <v>40787</v>
      </c>
      <c r="N5501" t="s">
        <v>42669</v>
      </c>
      <c r="O5501" t="s">
        <v>42670</v>
      </c>
      <c r="P5501">
        <v>0</v>
      </c>
      <c r="Q5501">
        <v>0</v>
      </c>
      <c r="R5501" t="s">
        <v>42677</v>
      </c>
      <c r="S5501" t="s">
        <v>42830</v>
      </c>
      <c r="T5501" t="s">
        <v>44399</v>
      </c>
      <c r="U5501" t="s">
        <v>49319</v>
      </c>
      <c r="W5501" t="s">
        <v>40787</v>
      </c>
      <c r="X5501" t="s">
        <v>42682</v>
      </c>
    </row>
    <row r="5502" spans="1:24">
      <c r="A5502">
        <f>HYPERLINK("https://www.philgeps.gov.ph/GEPSNONPILOT/Tender/SplashBidNoticeAbstractUI.aspx?menuIndex=3&amp;refID=7178566&amp;Result=3","7178566")</f>
        <v>0</v>
      </c>
      <c r="B5502" t="s">
        <v>1917</v>
      </c>
      <c r="C5502" t="s">
        <v>8797</v>
      </c>
      <c r="D5502" t="s">
        <v>17148</v>
      </c>
      <c r="E5502" t="s">
        <v>21997</v>
      </c>
      <c r="F5502" t="s">
        <v>29372</v>
      </c>
      <c r="G5502" t="s">
        <v>29380</v>
      </c>
      <c r="H5502" t="s">
        <v>29389</v>
      </c>
      <c r="I5502" t="s">
        <v>29429</v>
      </c>
      <c r="J5502" t="s">
        <v>33076</v>
      </c>
      <c r="K5502" t="s">
        <v>38495</v>
      </c>
      <c r="M5502" t="s">
        <v>40792</v>
      </c>
      <c r="N5502" t="s">
        <v>42669</v>
      </c>
      <c r="O5502" t="s">
        <v>42670</v>
      </c>
      <c r="P5502">
        <v>0</v>
      </c>
      <c r="Q5502">
        <v>20</v>
      </c>
      <c r="R5502" t="s">
        <v>42677</v>
      </c>
      <c r="S5502" t="s">
        <v>42830</v>
      </c>
      <c r="T5502" t="s">
        <v>44426</v>
      </c>
      <c r="U5502" t="s">
        <v>49320</v>
      </c>
      <c r="W5502" t="s">
        <v>40792</v>
      </c>
      <c r="X5502" t="s">
        <v>42682</v>
      </c>
    </row>
    <row r="5503" spans="1:24">
      <c r="A5503">
        <f>HYPERLINK("https://www.philgeps.gov.ph/GEPSNONPILOT/Tender/SplashBidNoticeAbstractUI.aspx?menuIndex=3&amp;refID=7177815&amp;Result=3","7177815")</f>
        <v>0</v>
      </c>
      <c r="B5503" t="s">
        <v>1912</v>
      </c>
      <c r="C5503" t="s">
        <v>8798</v>
      </c>
      <c r="D5503" t="s">
        <v>17194</v>
      </c>
      <c r="E5503" t="s">
        <v>21998</v>
      </c>
      <c r="F5503" t="s">
        <v>29372</v>
      </c>
      <c r="G5503" t="s">
        <v>29380</v>
      </c>
      <c r="H5503" t="s">
        <v>11048</v>
      </c>
      <c r="I5503" t="s">
        <v>4709</v>
      </c>
      <c r="J5503" t="s">
        <v>33077</v>
      </c>
      <c r="K5503" t="s">
        <v>38485</v>
      </c>
      <c r="M5503" t="s">
        <v>40787</v>
      </c>
      <c r="N5503" t="s">
        <v>42669</v>
      </c>
      <c r="O5503" t="s">
        <v>42670</v>
      </c>
      <c r="P5503">
        <v>0</v>
      </c>
      <c r="Q5503">
        <v>0</v>
      </c>
      <c r="R5503" t="s">
        <v>42677</v>
      </c>
      <c r="S5503" t="s">
        <v>42830</v>
      </c>
      <c r="T5503" t="s">
        <v>44399</v>
      </c>
      <c r="U5503" t="s">
        <v>49321</v>
      </c>
      <c r="W5503" t="s">
        <v>40787</v>
      </c>
      <c r="X5503" t="s">
        <v>42682</v>
      </c>
    </row>
    <row r="5504" spans="1:24">
      <c r="A5504">
        <f>HYPERLINK("https://www.philgeps.gov.ph/GEPSNONPILOT/Tender/SplashBidNoticeAbstractUI.aspx?menuIndex=3&amp;refID=7178697&amp;Result=3","7178697")</f>
        <v>0</v>
      </c>
      <c r="B5504" t="s">
        <v>1151</v>
      </c>
      <c r="C5504" t="s">
        <v>8799</v>
      </c>
      <c r="D5504" t="s">
        <v>17185</v>
      </c>
      <c r="E5504" t="s">
        <v>21999</v>
      </c>
      <c r="F5504" t="s">
        <v>29372</v>
      </c>
      <c r="G5504" t="s">
        <v>29380</v>
      </c>
      <c r="H5504" t="s">
        <v>11048</v>
      </c>
      <c r="I5504" t="s">
        <v>29452</v>
      </c>
      <c r="J5504" t="s">
        <v>29609</v>
      </c>
      <c r="K5504" t="s">
        <v>38485</v>
      </c>
      <c r="M5504" t="s">
        <v>39965</v>
      </c>
      <c r="N5504" t="s">
        <v>42669</v>
      </c>
      <c r="O5504" t="s">
        <v>42670</v>
      </c>
      <c r="P5504">
        <v>0</v>
      </c>
      <c r="Q5504">
        <v>0</v>
      </c>
      <c r="R5504" t="s">
        <v>42677</v>
      </c>
      <c r="S5504" t="s">
        <v>42830</v>
      </c>
      <c r="T5504" t="s">
        <v>44427</v>
      </c>
      <c r="U5504" t="s">
        <v>49322</v>
      </c>
      <c r="W5504" t="s">
        <v>39965</v>
      </c>
      <c r="X5504" t="s">
        <v>42682</v>
      </c>
    </row>
    <row r="5505" spans="1:24">
      <c r="A5505">
        <f>HYPERLINK("https://www.philgeps.gov.ph/GEPSNONPILOT/Tender/SplashBidNoticeAbstractUI.aspx?menuIndex=3&amp;refID=7179247&amp;Result=3","7179247")</f>
        <v>0</v>
      </c>
      <c r="B5505" t="s">
        <v>1919</v>
      </c>
      <c r="C5505" t="s">
        <v>8800</v>
      </c>
      <c r="D5505" t="s">
        <v>17194</v>
      </c>
      <c r="E5505" t="s">
        <v>22000</v>
      </c>
      <c r="F5505" t="s">
        <v>29372</v>
      </c>
      <c r="G5505" t="s">
        <v>29380</v>
      </c>
      <c r="H5505" t="s">
        <v>11048</v>
      </c>
      <c r="I5505" t="s">
        <v>29407</v>
      </c>
      <c r="J5505" t="s">
        <v>33078</v>
      </c>
      <c r="K5505" t="s">
        <v>38485</v>
      </c>
      <c r="M5505" t="s">
        <v>40794</v>
      </c>
      <c r="N5505" t="s">
        <v>42669</v>
      </c>
      <c r="O5505" t="s">
        <v>42670</v>
      </c>
      <c r="P5505">
        <v>0</v>
      </c>
      <c r="Q5505">
        <v>13</v>
      </c>
      <c r="R5505" t="s">
        <v>42677</v>
      </c>
      <c r="S5505" t="s">
        <v>42830</v>
      </c>
      <c r="T5505" t="s">
        <v>44504</v>
      </c>
      <c r="U5505" t="s">
        <v>49323</v>
      </c>
      <c r="V5505" t="s">
        <v>56972</v>
      </c>
      <c r="W5505" t="s">
        <v>40794</v>
      </c>
      <c r="X5505" t="s">
        <v>42682</v>
      </c>
    </row>
    <row r="5506" spans="1:24">
      <c r="A5506">
        <f>HYPERLINK("https://www.philgeps.gov.ph/GEPSNONPILOT/Tender/SplashBidNoticeAbstractUI.aspx?menuIndex=3&amp;refID=7179228&amp;Result=3","7179228")</f>
        <v>0</v>
      </c>
      <c r="B5506" t="s">
        <v>1151</v>
      </c>
      <c r="C5506" t="s">
        <v>8801</v>
      </c>
      <c r="D5506" t="s">
        <v>17185</v>
      </c>
      <c r="E5506" t="s">
        <v>22001</v>
      </c>
      <c r="F5506" t="s">
        <v>29372</v>
      </c>
      <c r="G5506" t="s">
        <v>29380</v>
      </c>
      <c r="H5506" t="s">
        <v>11048</v>
      </c>
      <c r="I5506" t="s">
        <v>3670</v>
      </c>
      <c r="J5506" t="s">
        <v>30024</v>
      </c>
      <c r="K5506" t="s">
        <v>38485</v>
      </c>
      <c r="M5506" t="s">
        <v>39965</v>
      </c>
      <c r="N5506" t="s">
        <v>42669</v>
      </c>
      <c r="O5506" t="s">
        <v>42670</v>
      </c>
      <c r="P5506">
        <v>0</v>
      </c>
      <c r="Q5506">
        <v>0</v>
      </c>
      <c r="R5506" t="s">
        <v>42677</v>
      </c>
      <c r="S5506" t="s">
        <v>42830</v>
      </c>
      <c r="T5506" t="s">
        <v>44427</v>
      </c>
      <c r="U5506" t="s">
        <v>49324</v>
      </c>
      <c r="W5506" t="s">
        <v>39965</v>
      </c>
      <c r="X5506" t="s">
        <v>42682</v>
      </c>
    </row>
    <row r="5507" spans="1:24">
      <c r="A5507">
        <f>HYPERLINK("https://www.philgeps.gov.ph/GEPSNONPILOT/Tender/SplashBidNoticeAbstractUI.aspx?menuIndex=3&amp;refID=7179237&amp;Result=3","7179237")</f>
        <v>0</v>
      </c>
      <c r="B5507" t="s">
        <v>1919</v>
      </c>
      <c r="C5507" t="s">
        <v>8802</v>
      </c>
      <c r="D5507" t="s">
        <v>17194</v>
      </c>
      <c r="E5507" t="s">
        <v>22002</v>
      </c>
      <c r="F5507" t="s">
        <v>29372</v>
      </c>
      <c r="G5507" t="s">
        <v>29380</v>
      </c>
      <c r="H5507" t="s">
        <v>11048</v>
      </c>
      <c r="I5507" t="s">
        <v>29393</v>
      </c>
      <c r="J5507" t="s">
        <v>29615</v>
      </c>
      <c r="K5507" t="s">
        <v>38485</v>
      </c>
      <c r="M5507" t="s">
        <v>40794</v>
      </c>
      <c r="N5507" t="s">
        <v>42669</v>
      </c>
      <c r="O5507" t="s">
        <v>42670</v>
      </c>
      <c r="P5507">
        <v>0</v>
      </c>
      <c r="Q5507">
        <v>0</v>
      </c>
      <c r="R5507" t="s">
        <v>42677</v>
      </c>
      <c r="S5507" t="s">
        <v>42830</v>
      </c>
      <c r="T5507" t="s">
        <v>44504</v>
      </c>
      <c r="U5507" t="s">
        <v>49323</v>
      </c>
      <c r="V5507" t="s">
        <v>56972</v>
      </c>
      <c r="W5507" t="s">
        <v>40794</v>
      </c>
      <c r="X5507" t="s">
        <v>42682</v>
      </c>
    </row>
    <row r="5508" spans="1:24">
      <c r="A5508">
        <f>HYPERLINK("https://www.philgeps.gov.ph/GEPSNONPILOT/Tender/SplashBidNoticeAbstractUI.aspx?menuIndex=3&amp;refID=7179136&amp;Result=3","7179136")</f>
        <v>0</v>
      </c>
      <c r="B5508" t="s">
        <v>58</v>
      </c>
      <c r="C5508" t="s">
        <v>8803</v>
      </c>
      <c r="D5508" t="s">
        <v>17144</v>
      </c>
      <c r="E5508" t="s">
        <v>22003</v>
      </c>
      <c r="F5508" t="s">
        <v>29372</v>
      </c>
      <c r="G5508" t="s">
        <v>29384</v>
      </c>
      <c r="H5508" t="s">
        <v>29391</v>
      </c>
      <c r="I5508" t="s">
        <v>29391</v>
      </c>
      <c r="J5508" t="s">
        <v>29573</v>
      </c>
      <c r="K5508" t="s">
        <v>38490</v>
      </c>
      <c r="L5508" t="s">
        <v>58</v>
      </c>
      <c r="M5508" t="s">
        <v>40154</v>
      </c>
      <c r="N5508" t="s">
        <v>42669</v>
      </c>
      <c r="O5508" t="s">
        <v>42670</v>
      </c>
      <c r="P5508">
        <v>0</v>
      </c>
      <c r="Q5508">
        <v>3</v>
      </c>
      <c r="R5508" t="s">
        <v>42677</v>
      </c>
      <c r="S5508" t="s">
        <v>42830</v>
      </c>
      <c r="T5508" t="s">
        <v>44698</v>
      </c>
      <c r="U5508" t="s">
        <v>49325</v>
      </c>
      <c r="W5508" t="s">
        <v>40154</v>
      </c>
      <c r="X5508" t="s">
        <v>42682</v>
      </c>
    </row>
    <row r="5509" spans="1:24">
      <c r="A5509">
        <f>HYPERLINK("https://www.philgeps.gov.ph/GEPSNONPILOT/Tender/SplashBidNoticeAbstractUI.aspx?menuIndex=3&amp;refID=7179081&amp;Result=3","7179081")</f>
        <v>0</v>
      </c>
      <c r="B5509" t="s">
        <v>1912</v>
      </c>
      <c r="C5509" t="s">
        <v>8804</v>
      </c>
      <c r="D5509" t="s">
        <v>17194</v>
      </c>
      <c r="E5509" t="s">
        <v>22004</v>
      </c>
      <c r="F5509" t="s">
        <v>29372</v>
      </c>
      <c r="G5509" t="s">
        <v>29380</v>
      </c>
      <c r="H5509" t="s">
        <v>29389</v>
      </c>
      <c r="I5509" t="s">
        <v>10408</v>
      </c>
      <c r="J5509" t="s">
        <v>31546</v>
      </c>
      <c r="K5509" t="s">
        <v>38495</v>
      </c>
      <c r="M5509" t="s">
        <v>40787</v>
      </c>
      <c r="N5509" t="s">
        <v>42669</v>
      </c>
      <c r="O5509" t="s">
        <v>42670</v>
      </c>
      <c r="P5509">
        <v>0</v>
      </c>
      <c r="Q5509">
        <v>0</v>
      </c>
      <c r="R5509" t="s">
        <v>42677</v>
      </c>
      <c r="S5509" t="s">
        <v>42830</v>
      </c>
      <c r="T5509" t="s">
        <v>44399</v>
      </c>
      <c r="U5509" t="s">
        <v>49326</v>
      </c>
      <c r="W5509" t="s">
        <v>40787</v>
      </c>
      <c r="X5509" t="s">
        <v>42682</v>
      </c>
    </row>
    <row r="5510" spans="1:24">
      <c r="A5510">
        <f>HYPERLINK("https://www.philgeps.gov.ph/GEPSNONPILOT/Tender/SplashBidNoticeAbstractUI.aspx?menuIndex=3&amp;refID=7177884&amp;Result=3","7177884")</f>
        <v>0</v>
      </c>
      <c r="B5510" t="s">
        <v>1920</v>
      </c>
      <c r="C5510" t="s">
        <v>8805</v>
      </c>
      <c r="D5510" t="s">
        <v>17170</v>
      </c>
      <c r="E5510" t="s">
        <v>22005</v>
      </c>
      <c r="F5510" t="s">
        <v>29372</v>
      </c>
      <c r="G5510" t="s">
        <v>29380</v>
      </c>
      <c r="H5510" t="s">
        <v>29389</v>
      </c>
      <c r="I5510" t="s">
        <v>10408</v>
      </c>
      <c r="J5510" t="s">
        <v>33079</v>
      </c>
      <c r="K5510" t="s">
        <v>38587</v>
      </c>
      <c r="M5510" t="s">
        <v>40795</v>
      </c>
      <c r="N5510" t="s">
        <v>42669</v>
      </c>
      <c r="O5510" t="s">
        <v>42670</v>
      </c>
      <c r="P5510">
        <v>0</v>
      </c>
      <c r="Q5510">
        <v>12</v>
      </c>
      <c r="R5510" t="s">
        <v>42677</v>
      </c>
      <c r="S5510" t="s">
        <v>42830</v>
      </c>
      <c r="T5510" t="s">
        <v>44517</v>
      </c>
      <c r="U5510" t="s">
        <v>49327</v>
      </c>
      <c r="W5510" t="s">
        <v>40795</v>
      </c>
      <c r="X5510" t="s">
        <v>42682</v>
      </c>
    </row>
    <row r="5511" spans="1:24">
      <c r="A5511">
        <f>HYPERLINK("https://www.philgeps.gov.ph/GEPSNONPILOT/Tender/SplashBidNoticeAbstractUI.aspx?menuIndex=3&amp;refID=7177892&amp;Result=3","7177892")</f>
        <v>0</v>
      </c>
      <c r="B5511" t="s">
        <v>1912</v>
      </c>
      <c r="C5511" t="s">
        <v>8806</v>
      </c>
      <c r="D5511" t="s">
        <v>17194</v>
      </c>
      <c r="E5511" t="s">
        <v>22006</v>
      </c>
      <c r="F5511" t="s">
        <v>29372</v>
      </c>
      <c r="G5511" t="s">
        <v>29380</v>
      </c>
      <c r="H5511" t="s">
        <v>11048</v>
      </c>
      <c r="I5511" t="s">
        <v>3839</v>
      </c>
      <c r="J5511" t="s">
        <v>33080</v>
      </c>
      <c r="K5511" t="s">
        <v>38485</v>
      </c>
      <c r="M5511" t="s">
        <v>40787</v>
      </c>
      <c r="N5511" t="s">
        <v>42669</v>
      </c>
      <c r="O5511" t="s">
        <v>42670</v>
      </c>
      <c r="P5511">
        <v>0</v>
      </c>
      <c r="Q5511">
        <v>1</v>
      </c>
      <c r="R5511" t="s">
        <v>42677</v>
      </c>
      <c r="S5511" t="s">
        <v>42830</v>
      </c>
      <c r="T5511" t="s">
        <v>44399</v>
      </c>
      <c r="U5511" t="s">
        <v>49328</v>
      </c>
      <c r="W5511" t="s">
        <v>40787</v>
      </c>
      <c r="X5511" t="s">
        <v>42682</v>
      </c>
    </row>
    <row r="5512" spans="1:24">
      <c r="A5512">
        <f>HYPERLINK("https://www.philgeps.gov.ph/GEPSNONPILOT/Tender/SplashBidNoticeAbstractUI.aspx?menuIndex=3&amp;refID=7178805&amp;Result=3","7178805")</f>
        <v>0</v>
      </c>
      <c r="B5512" t="s">
        <v>1912</v>
      </c>
      <c r="C5512" t="s">
        <v>8807</v>
      </c>
      <c r="D5512" t="s">
        <v>17194</v>
      </c>
      <c r="E5512" t="s">
        <v>22007</v>
      </c>
      <c r="F5512" t="s">
        <v>29372</v>
      </c>
      <c r="G5512" t="s">
        <v>29380</v>
      </c>
      <c r="H5512" t="s">
        <v>11048</v>
      </c>
      <c r="I5512" t="s">
        <v>4486</v>
      </c>
      <c r="J5512" t="s">
        <v>33081</v>
      </c>
      <c r="K5512" t="s">
        <v>38485</v>
      </c>
      <c r="M5512" t="s">
        <v>40787</v>
      </c>
      <c r="N5512" t="s">
        <v>42669</v>
      </c>
      <c r="O5512" t="s">
        <v>42670</v>
      </c>
      <c r="P5512">
        <v>0</v>
      </c>
      <c r="Q5512">
        <v>2</v>
      </c>
      <c r="R5512" t="s">
        <v>42677</v>
      </c>
      <c r="S5512" t="s">
        <v>42830</v>
      </c>
      <c r="T5512" t="s">
        <v>44399</v>
      </c>
      <c r="U5512" t="s">
        <v>49329</v>
      </c>
      <c r="W5512" t="s">
        <v>40787</v>
      </c>
      <c r="X5512" t="s">
        <v>42682</v>
      </c>
    </row>
    <row r="5513" spans="1:24">
      <c r="A5513">
        <f>HYPERLINK("https://www.philgeps.gov.ph/GEPSNONPILOT/Tender/SplashBidNoticeAbstractUI.aspx?menuIndex=3&amp;refID=7178630&amp;Result=3","7178630")</f>
        <v>0</v>
      </c>
      <c r="B5513" t="s">
        <v>1920</v>
      </c>
      <c r="C5513" t="s">
        <v>8808</v>
      </c>
      <c r="D5513" t="s">
        <v>17170</v>
      </c>
      <c r="E5513" t="s">
        <v>22008</v>
      </c>
      <c r="F5513" t="s">
        <v>29372</v>
      </c>
      <c r="G5513" t="s">
        <v>29380</v>
      </c>
      <c r="H5513" t="s">
        <v>29389</v>
      </c>
      <c r="I5513" t="s">
        <v>29429</v>
      </c>
      <c r="J5513" t="s">
        <v>33082</v>
      </c>
      <c r="K5513" t="s">
        <v>38533</v>
      </c>
      <c r="M5513" t="s">
        <v>40795</v>
      </c>
      <c r="N5513" t="s">
        <v>42669</v>
      </c>
      <c r="O5513" t="s">
        <v>42670</v>
      </c>
      <c r="P5513">
        <v>0</v>
      </c>
      <c r="Q5513">
        <v>2</v>
      </c>
      <c r="R5513" t="s">
        <v>42677</v>
      </c>
      <c r="S5513" t="s">
        <v>42830</v>
      </c>
      <c r="T5513" t="s">
        <v>44517</v>
      </c>
      <c r="U5513" t="s">
        <v>49330</v>
      </c>
      <c r="W5513" t="s">
        <v>40795</v>
      </c>
      <c r="X5513" t="s">
        <v>42682</v>
      </c>
    </row>
    <row r="5514" spans="1:24">
      <c r="A5514">
        <f>HYPERLINK("https://www.philgeps.gov.ph/GEPSNONPILOT/Tender/SplashBidNoticeAbstractUI.aspx?menuIndex=3&amp;refID=7179567&amp;Result=3","7179567")</f>
        <v>0</v>
      </c>
      <c r="B5514" t="s">
        <v>1606</v>
      </c>
      <c r="C5514" t="s">
        <v>8809</v>
      </c>
      <c r="D5514" t="s">
        <v>17141</v>
      </c>
      <c r="E5514" t="s">
        <v>22009</v>
      </c>
      <c r="F5514" t="s">
        <v>29372</v>
      </c>
      <c r="G5514" t="s">
        <v>29380</v>
      </c>
      <c r="H5514" t="s">
        <v>11048</v>
      </c>
      <c r="I5514" t="s">
        <v>3670</v>
      </c>
      <c r="J5514" t="s">
        <v>30335</v>
      </c>
      <c r="K5514" t="s">
        <v>38485</v>
      </c>
      <c r="M5514" t="s">
        <v>40459</v>
      </c>
      <c r="N5514" t="s">
        <v>42669</v>
      </c>
      <c r="O5514" t="s">
        <v>42670</v>
      </c>
      <c r="P5514">
        <v>0</v>
      </c>
      <c r="Q5514">
        <v>7</v>
      </c>
      <c r="R5514" t="s">
        <v>42677</v>
      </c>
      <c r="S5514" t="s">
        <v>42830</v>
      </c>
      <c r="T5514" t="s">
        <v>44450</v>
      </c>
      <c r="U5514" t="s">
        <v>49331</v>
      </c>
      <c r="W5514" t="s">
        <v>40459</v>
      </c>
      <c r="X5514" t="s">
        <v>42682</v>
      </c>
    </row>
    <row r="5515" spans="1:24">
      <c r="A5515">
        <f>HYPERLINK("https://www.philgeps.gov.ph/GEPSNONPILOT/Tender/SplashBidNoticeAbstractUI.aspx?menuIndex=3&amp;refID=7179268&amp;Result=3","7179268")</f>
        <v>0</v>
      </c>
      <c r="B5515" t="s">
        <v>589</v>
      </c>
      <c r="C5515" t="s">
        <v>8810</v>
      </c>
      <c r="D5515" t="s">
        <v>17168</v>
      </c>
      <c r="E5515" t="s">
        <v>22010</v>
      </c>
      <c r="F5515" t="s">
        <v>29372</v>
      </c>
      <c r="G5515" t="s">
        <v>29380</v>
      </c>
      <c r="H5515" t="s">
        <v>11048</v>
      </c>
      <c r="I5515" t="s">
        <v>29414</v>
      </c>
      <c r="J5515" t="s">
        <v>33083</v>
      </c>
      <c r="K5515" t="s">
        <v>38496</v>
      </c>
      <c r="M5515" t="s">
        <v>39485</v>
      </c>
      <c r="N5515" t="s">
        <v>42669</v>
      </c>
      <c r="O5515" t="s">
        <v>42670</v>
      </c>
      <c r="P5515">
        <v>0</v>
      </c>
      <c r="Q5515">
        <v>3</v>
      </c>
      <c r="R5515" t="s">
        <v>42677</v>
      </c>
      <c r="S5515" t="s">
        <v>42830</v>
      </c>
      <c r="T5515" t="s">
        <v>44539</v>
      </c>
      <c r="U5515" t="s">
        <v>49332</v>
      </c>
      <c r="V5515" t="s">
        <v>56973</v>
      </c>
      <c r="W5515" t="s">
        <v>39485</v>
      </c>
      <c r="X5515" t="s">
        <v>42682</v>
      </c>
    </row>
    <row r="5516" spans="1:24">
      <c r="A5516">
        <f>HYPERLINK("https://www.philgeps.gov.ph/GEPSNONPILOT/Tender/SplashBidNoticeAbstractUI.aspx?menuIndex=3&amp;refID=7179530&amp;Result=3","7179530")</f>
        <v>0</v>
      </c>
      <c r="B5516" t="s">
        <v>1606</v>
      </c>
      <c r="C5516" t="s">
        <v>8811</v>
      </c>
      <c r="D5516" t="s">
        <v>17141</v>
      </c>
      <c r="E5516" t="s">
        <v>22011</v>
      </c>
      <c r="F5516" t="s">
        <v>29372</v>
      </c>
      <c r="G5516" t="s">
        <v>29380</v>
      </c>
      <c r="H5516" t="s">
        <v>11048</v>
      </c>
      <c r="I5516" t="s">
        <v>29412</v>
      </c>
      <c r="J5516" t="s">
        <v>33084</v>
      </c>
      <c r="K5516" t="s">
        <v>38485</v>
      </c>
      <c r="M5516" t="s">
        <v>40459</v>
      </c>
      <c r="N5516" t="s">
        <v>42669</v>
      </c>
      <c r="O5516" t="s">
        <v>42670</v>
      </c>
      <c r="P5516">
        <v>0</v>
      </c>
      <c r="Q5516">
        <v>4</v>
      </c>
      <c r="R5516" t="s">
        <v>42677</v>
      </c>
      <c r="S5516" t="s">
        <v>42830</v>
      </c>
      <c r="T5516" t="s">
        <v>44450</v>
      </c>
      <c r="U5516" t="s">
        <v>49333</v>
      </c>
      <c r="W5516" t="s">
        <v>40459</v>
      </c>
      <c r="X5516" t="s">
        <v>42682</v>
      </c>
    </row>
    <row r="5517" spans="1:24">
      <c r="A5517">
        <f>HYPERLINK("https://www.philgeps.gov.ph/GEPSNONPILOT/Tender/SplashBidNoticeAbstractUI.aspx?menuIndex=3&amp;refID=7179342&amp;Result=3","7179342")</f>
        <v>0</v>
      </c>
      <c r="B5517" t="s">
        <v>1151</v>
      </c>
      <c r="C5517" t="s">
        <v>4662</v>
      </c>
      <c r="D5517" t="s">
        <v>17185</v>
      </c>
      <c r="E5517" t="s">
        <v>22012</v>
      </c>
      <c r="F5517" t="s">
        <v>29372</v>
      </c>
      <c r="G5517" t="s">
        <v>29380</v>
      </c>
      <c r="H5517" t="s">
        <v>11048</v>
      </c>
      <c r="I5517" t="s">
        <v>4487</v>
      </c>
      <c r="J5517" t="s">
        <v>33085</v>
      </c>
      <c r="K5517" t="s">
        <v>38485</v>
      </c>
      <c r="M5517" t="s">
        <v>39965</v>
      </c>
      <c r="N5517" t="s">
        <v>42669</v>
      </c>
      <c r="O5517" t="s">
        <v>42670</v>
      </c>
      <c r="P5517">
        <v>0</v>
      </c>
      <c r="Q5517">
        <v>0</v>
      </c>
      <c r="R5517" t="s">
        <v>42677</v>
      </c>
      <c r="S5517" t="s">
        <v>42830</v>
      </c>
      <c r="T5517" t="s">
        <v>44427</v>
      </c>
      <c r="U5517" t="s">
        <v>49334</v>
      </c>
      <c r="W5517" t="s">
        <v>39965</v>
      </c>
      <c r="X5517" t="s">
        <v>42682</v>
      </c>
    </row>
    <row r="5518" spans="1:24">
      <c r="A5518">
        <f>HYPERLINK("https://www.philgeps.gov.ph/GEPSNONPILOT/Tender/SplashBidNoticeAbstractUI.aspx?menuIndex=3&amp;refID=7179304&amp;Result=3","7179304")</f>
        <v>0</v>
      </c>
      <c r="B5518" t="s">
        <v>1151</v>
      </c>
      <c r="C5518" t="s">
        <v>8801</v>
      </c>
      <c r="D5518" t="s">
        <v>17185</v>
      </c>
      <c r="E5518" t="s">
        <v>22013</v>
      </c>
      <c r="F5518" t="s">
        <v>29372</v>
      </c>
      <c r="G5518" t="s">
        <v>29380</v>
      </c>
      <c r="H5518" t="s">
        <v>11048</v>
      </c>
      <c r="I5518" t="s">
        <v>3670</v>
      </c>
      <c r="J5518" t="s">
        <v>30024</v>
      </c>
      <c r="K5518" t="s">
        <v>38485</v>
      </c>
      <c r="M5518" t="s">
        <v>39965</v>
      </c>
      <c r="N5518" t="s">
        <v>42669</v>
      </c>
      <c r="O5518" t="s">
        <v>42670</v>
      </c>
      <c r="P5518">
        <v>0</v>
      </c>
      <c r="Q5518">
        <v>0</v>
      </c>
      <c r="R5518" t="s">
        <v>42677</v>
      </c>
      <c r="S5518" t="s">
        <v>42830</v>
      </c>
      <c r="T5518" t="s">
        <v>44427</v>
      </c>
      <c r="U5518" t="s">
        <v>49335</v>
      </c>
      <c r="W5518" t="s">
        <v>39965</v>
      </c>
      <c r="X5518" t="s">
        <v>42682</v>
      </c>
    </row>
    <row r="5519" spans="1:24">
      <c r="A5519">
        <f>HYPERLINK("https://www.philgeps.gov.ph/GEPSNONPILOT/Tender/SplashBidNoticeAbstractUI.aspx?menuIndex=3&amp;refID=7179301&amp;Result=3","7179301")</f>
        <v>0</v>
      </c>
      <c r="B5519" t="s">
        <v>782</v>
      </c>
      <c r="C5519" t="s">
        <v>8812</v>
      </c>
      <c r="D5519" t="s">
        <v>17204</v>
      </c>
      <c r="E5519" t="s">
        <v>22014</v>
      </c>
      <c r="F5519" t="s">
        <v>29372</v>
      </c>
      <c r="G5519" t="s">
        <v>29380</v>
      </c>
      <c r="H5519" t="s">
        <v>29389</v>
      </c>
      <c r="I5519" t="s">
        <v>10408</v>
      </c>
      <c r="J5519" t="s">
        <v>33086</v>
      </c>
      <c r="K5519" t="s">
        <v>38509</v>
      </c>
      <c r="M5519" t="s">
        <v>40796</v>
      </c>
      <c r="N5519" t="s">
        <v>42669</v>
      </c>
      <c r="O5519" t="s">
        <v>42670</v>
      </c>
      <c r="P5519">
        <v>0</v>
      </c>
      <c r="Q5519">
        <v>5</v>
      </c>
      <c r="R5519" t="s">
        <v>42677</v>
      </c>
      <c r="S5519" t="s">
        <v>42830</v>
      </c>
      <c r="T5519" t="s">
        <v>44365</v>
      </c>
      <c r="U5519" t="s">
        <v>49336</v>
      </c>
      <c r="W5519" t="s">
        <v>58063</v>
      </c>
      <c r="X5519" t="s">
        <v>42682</v>
      </c>
    </row>
    <row r="5520" spans="1:24">
      <c r="A5520">
        <f>HYPERLINK("https://www.philgeps.gov.ph/GEPSNONPILOT/Tender/SplashBidNoticeAbstractUI.aspx?menuIndex=3&amp;refID=7179283&amp;Result=3","7179283")</f>
        <v>0</v>
      </c>
      <c r="B5520" t="s">
        <v>1921</v>
      </c>
      <c r="C5520" t="s">
        <v>8813</v>
      </c>
      <c r="D5520" t="s">
        <v>17141</v>
      </c>
      <c r="E5520" t="s">
        <v>22015</v>
      </c>
      <c r="F5520" t="s">
        <v>29372</v>
      </c>
      <c r="G5520" t="s">
        <v>29380</v>
      </c>
      <c r="H5520" t="s">
        <v>29391</v>
      </c>
      <c r="I5520" t="s">
        <v>29402</v>
      </c>
      <c r="J5520" t="s">
        <v>33087</v>
      </c>
      <c r="K5520" t="s">
        <v>38570</v>
      </c>
      <c r="M5520" t="s">
        <v>40797</v>
      </c>
      <c r="N5520" t="s">
        <v>42669</v>
      </c>
      <c r="O5520" t="s">
        <v>42670</v>
      </c>
      <c r="P5520">
        <v>0</v>
      </c>
      <c r="Q5520">
        <v>4</v>
      </c>
      <c r="R5520" t="s">
        <v>42677</v>
      </c>
      <c r="S5520" t="s">
        <v>42830</v>
      </c>
      <c r="T5520" t="s">
        <v>44513</v>
      </c>
      <c r="U5520" t="s">
        <v>49337</v>
      </c>
      <c r="V5520" t="s">
        <v>56974</v>
      </c>
      <c r="W5520" t="s">
        <v>40797</v>
      </c>
      <c r="X5520" t="s">
        <v>42682</v>
      </c>
    </row>
    <row r="5521" spans="1:24">
      <c r="A5521">
        <f>HYPERLINK("https://www.philgeps.gov.ph/GEPSNONPILOT/Tender/SplashBidNoticeAbstractUI.aspx?menuIndex=3&amp;refID=7179716&amp;Result=3","7179716")</f>
        <v>0</v>
      </c>
      <c r="B5521" t="s">
        <v>1606</v>
      </c>
      <c r="C5521" t="s">
        <v>8814</v>
      </c>
      <c r="D5521" t="s">
        <v>17141</v>
      </c>
      <c r="E5521" t="s">
        <v>22016</v>
      </c>
      <c r="F5521" t="s">
        <v>29372</v>
      </c>
      <c r="G5521" t="s">
        <v>29380</v>
      </c>
      <c r="H5521" t="s">
        <v>29389</v>
      </c>
      <c r="I5521" t="s">
        <v>10408</v>
      </c>
      <c r="J5521" t="s">
        <v>33088</v>
      </c>
      <c r="K5521" t="s">
        <v>38490</v>
      </c>
      <c r="M5521" t="s">
        <v>40459</v>
      </c>
      <c r="N5521" t="s">
        <v>42669</v>
      </c>
      <c r="O5521" t="s">
        <v>42670</v>
      </c>
      <c r="P5521">
        <v>0</v>
      </c>
      <c r="Q5521">
        <v>2</v>
      </c>
      <c r="R5521" t="s">
        <v>42677</v>
      </c>
      <c r="S5521" t="s">
        <v>42830</v>
      </c>
      <c r="T5521" t="s">
        <v>44450</v>
      </c>
      <c r="U5521" t="s">
        <v>49338</v>
      </c>
      <c r="W5521" t="s">
        <v>40459</v>
      </c>
      <c r="X5521" t="s">
        <v>42682</v>
      </c>
    </row>
    <row r="5522" spans="1:24">
      <c r="A5522">
        <f>HYPERLINK("https://www.philgeps.gov.ph/GEPSNONPILOT/Tender/SplashBidNoticeAbstractUI.aspx?menuIndex=3&amp;refID=7179547&amp;Result=3","7179547")</f>
        <v>0</v>
      </c>
      <c r="B5522" t="s">
        <v>1606</v>
      </c>
      <c r="C5522" t="s">
        <v>8815</v>
      </c>
      <c r="D5522" t="s">
        <v>17141</v>
      </c>
      <c r="E5522" t="s">
        <v>22017</v>
      </c>
      <c r="F5522" t="s">
        <v>29372</v>
      </c>
      <c r="G5522" t="s">
        <v>29380</v>
      </c>
      <c r="H5522" t="s">
        <v>11048</v>
      </c>
      <c r="I5522" t="s">
        <v>9469</v>
      </c>
      <c r="J5522" t="s">
        <v>33089</v>
      </c>
      <c r="K5522" t="s">
        <v>38485</v>
      </c>
      <c r="M5522" t="s">
        <v>40459</v>
      </c>
      <c r="N5522" t="s">
        <v>42669</v>
      </c>
      <c r="O5522" t="s">
        <v>42670</v>
      </c>
      <c r="P5522">
        <v>0</v>
      </c>
      <c r="Q5522">
        <v>2</v>
      </c>
      <c r="R5522" t="s">
        <v>42677</v>
      </c>
      <c r="S5522" t="s">
        <v>42830</v>
      </c>
      <c r="T5522" t="s">
        <v>44450</v>
      </c>
      <c r="U5522" t="s">
        <v>49339</v>
      </c>
      <c r="W5522" t="s">
        <v>40459</v>
      </c>
      <c r="X5522" t="s">
        <v>42682</v>
      </c>
    </row>
    <row r="5523" spans="1:24">
      <c r="A5523">
        <f>HYPERLINK("https://www.philgeps.gov.ph/GEPSNONPILOT/Tender/SplashBidNoticeAbstractUI.aspx?menuIndex=3&amp;refID=7179482&amp;Result=3","7179482")</f>
        <v>0</v>
      </c>
      <c r="B5523" t="s">
        <v>1606</v>
      </c>
      <c r="C5523" t="s">
        <v>8816</v>
      </c>
      <c r="D5523" t="s">
        <v>17141</v>
      </c>
      <c r="E5523" t="s">
        <v>22018</v>
      </c>
      <c r="F5523" t="s">
        <v>29372</v>
      </c>
      <c r="G5523" t="s">
        <v>29380</v>
      </c>
      <c r="H5523" t="s">
        <v>11048</v>
      </c>
      <c r="I5523" t="s">
        <v>5383</v>
      </c>
      <c r="J5523" t="s">
        <v>33090</v>
      </c>
      <c r="K5523" t="s">
        <v>38485</v>
      </c>
      <c r="M5523" t="s">
        <v>40459</v>
      </c>
      <c r="N5523" t="s">
        <v>42669</v>
      </c>
      <c r="O5523" t="s">
        <v>42670</v>
      </c>
      <c r="P5523">
        <v>0</v>
      </c>
      <c r="Q5523">
        <v>4</v>
      </c>
      <c r="R5523" t="s">
        <v>42677</v>
      </c>
      <c r="S5523" t="s">
        <v>42830</v>
      </c>
      <c r="T5523" t="s">
        <v>44450</v>
      </c>
      <c r="U5523" t="s">
        <v>49340</v>
      </c>
      <c r="W5523" t="s">
        <v>40459</v>
      </c>
      <c r="X5523" t="s">
        <v>42682</v>
      </c>
    </row>
    <row r="5524" spans="1:24">
      <c r="A5524">
        <f>HYPERLINK("https://www.philgeps.gov.ph/GEPSNONPILOT/Tender/SplashBidNoticeAbstractUI.aspx?menuIndex=3&amp;refID=7179687&amp;Result=3","7179687")</f>
        <v>0</v>
      </c>
      <c r="B5524" t="s">
        <v>1606</v>
      </c>
      <c r="C5524" t="s">
        <v>8817</v>
      </c>
      <c r="D5524" t="s">
        <v>17141</v>
      </c>
      <c r="E5524" t="s">
        <v>22019</v>
      </c>
      <c r="F5524" t="s">
        <v>29372</v>
      </c>
      <c r="G5524" t="s">
        <v>29380</v>
      </c>
      <c r="H5524" t="s">
        <v>29389</v>
      </c>
      <c r="I5524" t="s">
        <v>10408</v>
      </c>
      <c r="J5524" t="s">
        <v>33091</v>
      </c>
      <c r="K5524" t="s">
        <v>38490</v>
      </c>
      <c r="M5524" t="s">
        <v>40459</v>
      </c>
      <c r="N5524" t="s">
        <v>42669</v>
      </c>
      <c r="O5524" t="s">
        <v>42670</v>
      </c>
      <c r="P5524">
        <v>0</v>
      </c>
      <c r="Q5524">
        <v>2</v>
      </c>
      <c r="R5524" t="s">
        <v>42677</v>
      </c>
      <c r="S5524" t="s">
        <v>42830</v>
      </c>
      <c r="T5524" t="s">
        <v>44450</v>
      </c>
      <c r="U5524" t="s">
        <v>49341</v>
      </c>
      <c r="W5524" t="s">
        <v>40459</v>
      </c>
      <c r="X5524" t="s">
        <v>42682</v>
      </c>
    </row>
    <row r="5525" spans="1:24">
      <c r="A5525">
        <f>HYPERLINK("https://www.philgeps.gov.ph/GEPSNONPILOT/Tender/SplashBidNoticeAbstractUI.aspx?menuIndex=3&amp;refID=7179668&amp;Result=3","7179668")</f>
        <v>0</v>
      </c>
      <c r="B5525" t="s">
        <v>1606</v>
      </c>
      <c r="C5525" t="s">
        <v>8818</v>
      </c>
      <c r="D5525" t="s">
        <v>17141</v>
      </c>
      <c r="E5525" t="s">
        <v>22020</v>
      </c>
      <c r="F5525" t="s">
        <v>29372</v>
      </c>
      <c r="G5525" t="s">
        <v>29380</v>
      </c>
      <c r="H5525" t="s">
        <v>29389</v>
      </c>
      <c r="I5525" t="s">
        <v>10408</v>
      </c>
      <c r="J5525" t="s">
        <v>33092</v>
      </c>
      <c r="K5525" t="s">
        <v>38490</v>
      </c>
      <c r="M5525" t="s">
        <v>40459</v>
      </c>
      <c r="N5525" t="s">
        <v>42669</v>
      </c>
      <c r="O5525" t="s">
        <v>42670</v>
      </c>
      <c r="P5525">
        <v>0</v>
      </c>
      <c r="Q5525">
        <v>3</v>
      </c>
      <c r="R5525" t="s">
        <v>42677</v>
      </c>
      <c r="S5525" t="s">
        <v>42830</v>
      </c>
      <c r="T5525" t="s">
        <v>44450</v>
      </c>
      <c r="U5525" t="s">
        <v>49342</v>
      </c>
      <c r="W5525" t="s">
        <v>40459</v>
      </c>
      <c r="X5525" t="s">
        <v>42682</v>
      </c>
    </row>
    <row r="5526" spans="1:24">
      <c r="A5526">
        <f>HYPERLINK("https://www.philgeps.gov.ph/GEPSNONPILOT/Tender/SplashBidNoticeAbstractUI.aspx?menuIndex=3&amp;refID=7178683&amp;Result=3","7178683")</f>
        <v>0</v>
      </c>
      <c r="B5526" t="s">
        <v>1917</v>
      </c>
      <c r="C5526" t="s">
        <v>8819</v>
      </c>
      <c r="D5526" t="s">
        <v>17148</v>
      </c>
      <c r="E5526" t="s">
        <v>22021</v>
      </c>
      <c r="F5526" t="s">
        <v>29372</v>
      </c>
      <c r="G5526" t="s">
        <v>29380</v>
      </c>
      <c r="H5526" t="s">
        <v>29389</v>
      </c>
      <c r="I5526" t="s">
        <v>29429</v>
      </c>
      <c r="J5526" t="s">
        <v>33093</v>
      </c>
      <c r="K5526" t="s">
        <v>38496</v>
      </c>
      <c r="M5526" t="s">
        <v>40792</v>
      </c>
      <c r="N5526" t="s">
        <v>42669</v>
      </c>
      <c r="O5526" t="s">
        <v>42670</v>
      </c>
      <c r="P5526">
        <v>0</v>
      </c>
      <c r="Q5526">
        <v>23</v>
      </c>
      <c r="R5526" t="s">
        <v>42677</v>
      </c>
      <c r="S5526" t="s">
        <v>42830</v>
      </c>
      <c r="T5526" t="s">
        <v>44635</v>
      </c>
      <c r="U5526" t="s">
        <v>49343</v>
      </c>
      <c r="W5526" t="s">
        <v>40792</v>
      </c>
      <c r="X5526" t="s">
        <v>42682</v>
      </c>
    </row>
    <row r="5527" spans="1:24">
      <c r="A5527">
        <f>HYPERLINK("https://www.philgeps.gov.ph/GEPSNONPILOT/Tender/SplashBidNoticeAbstractUI.aspx?menuIndex=3&amp;refID=7179659&amp;Result=3","7179659")</f>
        <v>0</v>
      </c>
      <c r="B5527" t="s">
        <v>1606</v>
      </c>
      <c r="C5527" t="s">
        <v>8820</v>
      </c>
      <c r="D5527" t="s">
        <v>17141</v>
      </c>
      <c r="E5527" t="s">
        <v>22022</v>
      </c>
      <c r="F5527" t="s">
        <v>29372</v>
      </c>
      <c r="G5527" t="s">
        <v>29380</v>
      </c>
      <c r="H5527" t="s">
        <v>29390</v>
      </c>
      <c r="I5527" t="s">
        <v>29440</v>
      </c>
      <c r="J5527" t="s">
        <v>33094</v>
      </c>
      <c r="K5527" t="s">
        <v>38586</v>
      </c>
      <c r="M5527" t="s">
        <v>40459</v>
      </c>
      <c r="N5527" t="s">
        <v>42669</v>
      </c>
      <c r="O5527" t="s">
        <v>42670</v>
      </c>
      <c r="P5527">
        <v>0</v>
      </c>
      <c r="Q5527">
        <v>8</v>
      </c>
      <c r="R5527" t="s">
        <v>42677</v>
      </c>
      <c r="S5527" t="s">
        <v>42830</v>
      </c>
      <c r="T5527" t="s">
        <v>44450</v>
      </c>
      <c r="U5527" t="s">
        <v>49344</v>
      </c>
      <c r="W5527" t="s">
        <v>40459</v>
      </c>
      <c r="X5527" t="s">
        <v>42682</v>
      </c>
    </row>
    <row r="5528" spans="1:24">
      <c r="A5528">
        <f>HYPERLINK("https://www.philgeps.gov.ph/GEPSNONPILOT/Tender/SplashBidNoticeAbstractUI.aspx?menuIndex=3&amp;refID=7179607&amp;Result=3","7179607")</f>
        <v>0</v>
      </c>
      <c r="B5528" t="s">
        <v>1606</v>
      </c>
      <c r="C5528" t="s">
        <v>8821</v>
      </c>
      <c r="D5528" t="s">
        <v>17141</v>
      </c>
      <c r="E5528" t="s">
        <v>22023</v>
      </c>
      <c r="F5528" t="s">
        <v>29372</v>
      </c>
      <c r="G5528" t="s">
        <v>29380</v>
      </c>
      <c r="H5528" t="s">
        <v>11048</v>
      </c>
      <c r="I5528" t="s">
        <v>14920</v>
      </c>
      <c r="J5528" t="s">
        <v>33095</v>
      </c>
      <c r="K5528" t="s">
        <v>38485</v>
      </c>
      <c r="M5528" t="s">
        <v>40459</v>
      </c>
      <c r="N5528" t="s">
        <v>42669</v>
      </c>
      <c r="O5528" t="s">
        <v>42670</v>
      </c>
      <c r="P5528">
        <v>0</v>
      </c>
      <c r="Q5528">
        <v>1</v>
      </c>
      <c r="R5528" t="s">
        <v>42677</v>
      </c>
      <c r="S5528" t="s">
        <v>42830</v>
      </c>
      <c r="T5528" t="s">
        <v>44450</v>
      </c>
      <c r="U5528" t="s">
        <v>49345</v>
      </c>
      <c r="W5528" t="s">
        <v>40459</v>
      </c>
      <c r="X5528" t="s">
        <v>42682</v>
      </c>
    </row>
    <row r="5529" spans="1:24">
      <c r="A5529">
        <f>HYPERLINK("https://www.philgeps.gov.ph/GEPSNONPILOT/Tender/SplashBidNoticeAbstractUI.aspx?menuIndex=3&amp;refID=7179586&amp;Result=3","7179586")</f>
        <v>0</v>
      </c>
      <c r="B5529" t="s">
        <v>1606</v>
      </c>
      <c r="C5529" t="s">
        <v>8822</v>
      </c>
      <c r="D5529" t="s">
        <v>17141</v>
      </c>
      <c r="E5529" t="s">
        <v>22024</v>
      </c>
      <c r="F5529" t="s">
        <v>29372</v>
      </c>
      <c r="G5529" t="s">
        <v>29380</v>
      </c>
      <c r="H5529" t="s">
        <v>11048</v>
      </c>
      <c r="I5529" t="s">
        <v>5383</v>
      </c>
      <c r="J5529" t="s">
        <v>33096</v>
      </c>
      <c r="K5529" t="s">
        <v>38485</v>
      </c>
      <c r="M5529" t="s">
        <v>40459</v>
      </c>
      <c r="N5529" t="s">
        <v>42669</v>
      </c>
      <c r="O5529" t="s">
        <v>42670</v>
      </c>
      <c r="P5529">
        <v>0</v>
      </c>
      <c r="Q5529">
        <v>0</v>
      </c>
      <c r="R5529" t="s">
        <v>42677</v>
      </c>
      <c r="S5529" t="s">
        <v>42830</v>
      </c>
      <c r="T5529" t="s">
        <v>44450</v>
      </c>
      <c r="U5529" t="s">
        <v>49346</v>
      </c>
      <c r="W5529" t="s">
        <v>40459</v>
      </c>
      <c r="X5529" t="s">
        <v>42682</v>
      </c>
    </row>
    <row r="5530" spans="1:24">
      <c r="A5530">
        <f>HYPERLINK("https://www.philgeps.gov.ph/GEPSNONPILOT/Tender/SplashBidNoticeAbstractUI.aspx?menuIndex=3&amp;refID=7179702&amp;Result=3","7179702")</f>
        <v>0</v>
      </c>
      <c r="B5530" t="s">
        <v>1606</v>
      </c>
      <c r="C5530" t="s">
        <v>8823</v>
      </c>
      <c r="D5530" t="s">
        <v>17141</v>
      </c>
      <c r="E5530" t="s">
        <v>22025</v>
      </c>
      <c r="F5530" t="s">
        <v>29372</v>
      </c>
      <c r="G5530" t="s">
        <v>29380</v>
      </c>
      <c r="H5530" t="s">
        <v>29389</v>
      </c>
      <c r="I5530" t="s">
        <v>10408</v>
      </c>
      <c r="J5530" t="s">
        <v>33097</v>
      </c>
      <c r="K5530" t="s">
        <v>38490</v>
      </c>
      <c r="M5530" t="s">
        <v>40459</v>
      </c>
      <c r="N5530" t="s">
        <v>42669</v>
      </c>
      <c r="O5530" t="s">
        <v>42670</v>
      </c>
      <c r="P5530">
        <v>0</v>
      </c>
      <c r="Q5530">
        <v>2</v>
      </c>
      <c r="R5530" t="s">
        <v>42677</v>
      </c>
      <c r="S5530" t="s">
        <v>42830</v>
      </c>
      <c r="T5530" t="s">
        <v>44450</v>
      </c>
      <c r="U5530" t="s">
        <v>49347</v>
      </c>
      <c r="W5530" t="s">
        <v>40459</v>
      </c>
      <c r="X5530" t="s">
        <v>42682</v>
      </c>
    </row>
    <row r="5531" spans="1:24">
      <c r="A5531">
        <f>HYPERLINK("https://www.philgeps.gov.ph/GEPSNONPILOT/Tender/SplashBidNoticeAbstractUI.aspx?menuIndex=3&amp;refID=7179627&amp;Result=3","7179627")</f>
        <v>0</v>
      </c>
      <c r="B5531" t="s">
        <v>1606</v>
      </c>
      <c r="C5531" t="s">
        <v>8824</v>
      </c>
      <c r="D5531" t="s">
        <v>17141</v>
      </c>
      <c r="E5531" t="s">
        <v>22026</v>
      </c>
      <c r="F5531" t="s">
        <v>29372</v>
      </c>
      <c r="G5531" t="s">
        <v>29380</v>
      </c>
      <c r="H5531" t="s">
        <v>11048</v>
      </c>
      <c r="I5531" t="s">
        <v>29407</v>
      </c>
      <c r="J5531" t="s">
        <v>33098</v>
      </c>
      <c r="K5531" t="s">
        <v>38485</v>
      </c>
      <c r="M5531" t="s">
        <v>40459</v>
      </c>
      <c r="N5531" t="s">
        <v>42669</v>
      </c>
      <c r="O5531" t="s">
        <v>42670</v>
      </c>
      <c r="P5531">
        <v>0</v>
      </c>
      <c r="Q5531">
        <v>2</v>
      </c>
      <c r="R5531" t="s">
        <v>42677</v>
      </c>
      <c r="S5531" t="s">
        <v>42830</v>
      </c>
      <c r="T5531" t="s">
        <v>44450</v>
      </c>
      <c r="U5531" t="s">
        <v>49348</v>
      </c>
      <c r="W5531" t="s">
        <v>40459</v>
      </c>
      <c r="X5531" t="s">
        <v>42682</v>
      </c>
    </row>
    <row r="5532" spans="1:24">
      <c r="A5532">
        <f>HYPERLINK("https://www.philgeps.gov.ph/GEPSNONPILOT/Tender/SplashBidNoticeAbstractUI.aspx?menuIndex=3&amp;refID=7179637&amp;Result=3","7179637")</f>
        <v>0</v>
      </c>
      <c r="B5532" t="s">
        <v>1606</v>
      </c>
      <c r="C5532" t="s">
        <v>8825</v>
      </c>
      <c r="D5532" t="s">
        <v>17141</v>
      </c>
      <c r="E5532" t="s">
        <v>22027</v>
      </c>
      <c r="F5532" t="s">
        <v>29372</v>
      </c>
      <c r="G5532" t="s">
        <v>29380</v>
      </c>
      <c r="H5532" t="s">
        <v>11048</v>
      </c>
      <c r="I5532" t="s">
        <v>3952</v>
      </c>
      <c r="J5532" t="s">
        <v>33099</v>
      </c>
      <c r="K5532" t="s">
        <v>38485</v>
      </c>
      <c r="M5532" t="s">
        <v>40459</v>
      </c>
      <c r="N5532" t="s">
        <v>42669</v>
      </c>
      <c r="O5532" t="s">
        <v>42670</v>
      </c>
      <c r="P5532">
        <v>0</v>
      </c>
      <c r="Q5532">
        <v>4</v>
      </c>
      <c r="R5532" t="s">
        <v>42677</v>
      </c>
      <c r="S5532" t="s">
        <v>42830</v>
      </c>
      <c r="T5532" t="s">
        <v>44450</v>
      </c>
      <c r="U5532" t="s">
        <v>49349</v>
      </c>
      <c r="W5532" t="s">
        <v>40459</v>
      </c>
      <c r="X5532" t="s">
        <v>42682</v>
      </c>
    </row>
    <row r="5533" spans="1:24">
      <c r="A5533">
        <f>HYPERLINK("https://www.philgeps.gov.ph/GEPSNONPILOT/Tender/SplashBidNoticeAbstractUI.aspx?menuIndex=3&amp;refID=7180341&amp;Result=3","7180341")</f>
        <v>0</v>
      </c>
      <c r="B5533" t="s">
        <v>1922</v>
      </c>
      <c r="C5533" t="s">
        <v>8826</v>
      </c>
      <c r="D5533" t="s">
        <v>17172</v>
      </c>
      <c r="E5533" t="s">
        <v>22028</v>
      </c>
      <c r="F5533" t="s">
        <v>29372</v>
      </c>
      <c r="G5533" t="s">
        <v>29380</v>
      </c>
      <c r="H5533" t="s">
        <v>11048</v>
      </c>
      <c r="I5533" t="s">
        <v>3695</v>
      </c>
      <c r="J5533" t="s">
        <v>32569</v>
      </c>
      <c r="K5533" t="s">
        <v>38510</v>
      </c>
      <c r="M5533" t="s">
        <v>40798</v>
      </c>
      <c r="N5533" t="s">
        <v>42669</v>
      </c>
      <c r="O5533" t="s">
        <v>42670</v>
      </c>
      <c r="P5533">
        <v>0</v>
      </c>
      <c r="Q5533">
        <v>5</v>
      </c>
      <c r="R5533" t="s">
        <v>42677</v>
      </c>
      <c r="S5533" t="s">
        <v>42830</v>
      </c>
      <c r="T5533" t="s">
        <v>44368</v>
      </c>
      <c r="U5533" t="s">
        <v>49350</v>
      </c>
      <c r="W5533" t="s">
        <v>40798</v>
      </c>
      <c r="X5533" t="s">
        <v>42681</v>
      </c>
    </row>
    <row r="5534" spans="1:24">
      <c r="A5534">
        <f>HYPERLINK("https://www.philgeps.gov.ph/GEPSNONPILOT/Tender/SplashBidNoticeAbstractUI.aspx?menuIndex=3&amp;refID=7179736&amp;Result=3","7179736")</f>
        <v>0</v>
      </c>
      <c r="B5534" t="s">
        <v>1606</v>
      </c>
      <c r="C5534" t="s">
        <v>8827</v>
      </c>
      <c r="D5534" t="s">
        <v>17141</v>
      </c>
      <c r="E5534" t="s">
        <v>22029</v>
      </c>
      <c r="F5534" t="s">
        <v>29372</v>
      </c>
      <c r="G5534" t="s">
        <v>29380</v>
      </c>
      <c r="H5534" t="s">
        <v>29389</v>
      </c>
      <c r="I5534" t="s">
        <v>10408</v>
      </c>
      <c r="J5534" t="s">
        <v>33100</v>
      </c>
      <c r="K5534" t="s">
        <v>38490</v>
      </c>
      <c r="M5534" t="s">
        <v>40459</v>
      </c>
      <c r="N5534" t="s">
        <v>42669</v>
      </c>
      <c r="O5534" t="s">
        <v>42670</v>
      </c>
      <c r="P5534">
        <v>0</v>
      </c>
      <c r="Q5534">
        <v>2</v>
      </c>
      <c r="R5534" t="s">
        <v>42677</v>
      </c>
      <c r="S5534" t="s">
        <v>42830</v>
      </c>
      <c r="T5534" t="s">
        <v>44450</v>
      </c>
      <c r="U5534" t="s">
        <v>49347</v>
      </c>
      <c r="W5534" t="s">
        <v>40459</v>
      </c>
      <c r="X5534" t="s">
        <v>42682</v>
      </c>
    </row>
    <row r="5535" spans="1:24">
      <c r="A5535">
        <f>HYPERLINK("https://www.philgeps.gov.ph/GEPSNONPILOT/Tender/SplashBidNoticeAbstractUI.aspx?menuIndex=3&amp;refID=7180338&amp;Result=3","7180338")</f>
        <v>0</v>
      </c>
      <c r="B5535" t="s">
        <v>1922</v>
      </c>
      <c r="C5535" t="s">
        <v>8828</v>
      </c>
      <c r="D5535" t="s">
        <v>17172</v>
      </c>
      <c r="E5535" t="s">
        <v>22030</v>
      </c>
      <c r="F5535" t="s">
        <v>29372</v>
      </c>
      <c r="G5535" t="s">
        <v>29380</v>
      </c>
      <c r="H5535" t="s">
        <v>11048</v>
      </c>
      <c r="I5535" t="s">
        <v>5383</v>
      </c>
      <c r="J5535" t="s">
        <v>33101</v>
      </c>
      <c r="K5535" t="s">
        <v>38488</v>
      </c>
      <c r="M5535" t="s">
        <v>40798</v>
      </c>
      <c r="N5535" t="s">
        <v>42669</v>
      </c>
      <c r="O5535" t="s">
        <v>42670</v>
      </c>
      <c r="P5535">
        <v>0</v>
      </c>
      <c r="Q5535">
        <v>5</v>
      </c>
      <c r="R5535" t="s">
        <v>42677</v>
      </c>
      <c r="S5535" t="s">
        <v>42830</v>
      </c>
      <c r="T5535" t="s">
        <v>44368</v>
      </c>
      <c r="U5535" t="s">
        <v>49351</v>
      </c>
      <c r="W5535" t="s">
        <v>40798</v>
      </c>
      <c r="X5535" t="s">
        <v>42681</v>
      </c>
    </row>
    <row r="5536" spans="1:24">
      <c r="A5536">
        <f>HYPERLINK("https://www.philgeps.gov.ph/GEPSNONPILOT/Tender/SplashBidNoticeAbstractUI.aspx?menuIndex=3&amp;refID=7180334&amp;Result=3","7180334")</f>
        <v>0</v>
      </c>
      <c r="B5536" t="s">
        <v>1922</v>
      </c>
      <c r="C5536" t="s">
        <v>8829</v>
      </c>
      <c r="D5536" t="s">
        <v>17172</v>
      </c>
      <c r="E5536" t="s">
        <v>22031</v>
      </c>
      <c r="F5536" t="s">
        <v>29372</v>
      </c>
      <c r="G5536" t="s">
        <v>29380</v>
      </c>
      <c r="H5536" t="s">
        <v>11048</v>
      </c>
      <c r="I5536" t="s">
        <v>3839</v>
      </c>
      <c r="J5536" t="s">
        <v>33102</v>
      </c>
      <c r="K5536" t="s">
        <v>38488</v>
      </c>
      <c r="M5536" t="s">
        <v>40798</v>
      </c>
      <c r="N5536" t="s">
        <v>42669</v>
      </c>
      <c r="O5536" t="s">
        <v>42670</v>
      </c>
      <c r="P5536">
        <v>0</v>
      </c>
      <c r="Q5536">
        <v>4</v>
      </c>
      <c r="R5536" t="s">
        <v>42677</v>
      </c>
      <c r="S5536" t="s">
        <v>42830</v>
      </c>
      <c r="T5536" t="s">
        <v>44368</v>
      </c>
      <c r="U5536" t="s">
        <v>49352</v>
      </c>
      <c r="W5536" t="s">
        <v>40798</v>
      </c>
      <c r="X5536" t="s">
        <v>42681</v>
      </c>
    </row>
    <row r="5537" spans="1:24">
      <c r="A5537">
        <f>HYPERLINK("https://www.philgeps.gov.ph/GEPSNONPILOT/Tender/SplashBidNoticeAbstractUI.aspx?menuIndex=3&amp;refID=7179603&amp;Result=3","7179603")</f>
        <v>0</v>
      </c>
      <c r="B5537" t="s">
        <v>86</v>
      </c>
      <c r="C5537" t="s">
        <v>8830</v>
      </c>
      <c r="E5537" t="s">
        <v>22032</v>
      </c>
      <c r="F5537" t="s">
        <v>29372</v>
      </c>
      <c r="G5537" t="s">
        <v>29379</v>
      </c>
      <c r="H5537" t="s">
        <v>11048</v>
      </c>
      <c r="I5537" t="s">
        <v>3670</v>
      </c>
      <c r="J5537" t="s">
        <v>33103</v>
      </c>
      <c r="K5537" t="s">
        <v>38491</v>
      </c>
      <c r="M5537" t="s">
        <v>40799</v>
      </c>
      <c r="N5537" t="s">
        <v>42669</v>
      </c>
      <c r="O5537" t="s">
        <v>42670</v>
      </c>
      <c r="P5537">
        <v>0</v>
      </c>
      <c r="Q5537">
        <v>6</v>
      </c>
      <c r="R5537" t="s">
        <v>42677</v>
      </c>
      <c r="S5537" t="s">
        <v>42830</v>
      </c>
      <c r="T5537" t="s">
        <v>44481</v>
      </c>
      <c r="U5537" t="s">
        <v>49353</v>
      </c>
      <c r="W5537" t="s">
        <v>40799</v>
      </c>
      <c r="X5537" t="s">
        <v>42682</v>
      </c>
    </row>
    <row r="5538" spans="1:24">
      <c r="A5538">
        <f>HYPERLINK("https://www.philgeps.gov.ph/GEPSNONPILOT/Tender/SplashBidNoticeAbstractUI.aspx?menuIndex=3&amp;refID=7179821&amp;Result=3","7179821")</f>
        <v>0</v>
      </c>
      <c r="B5538" t="s">
        <v>1606</v>
      </c>
      <c r="C5538" t="s">
        <v>8831</v>
      </c>
      <c r="D5538" t="s">
        <v>17141</v>
      </c>
      <c r="E5538" t="s">
        <v>22033</v>
      </c>
      <c r="F5538" t="s">
        <v>29372</v>
      </c>
      <c r="G5538" t="s">
        <v>29380</v>
      </c>
      <c r="H5538" t="s">
        <v>29389</v>
      </c>
      <c r="I5538" t="s">
        <v>10408</v>
      </c>
      <c r="J5538" t="s">
        <v>33104</v>
      </c>
      <c r="K5538" t="s">
        <v>38490</v>
      </c>
      <c r="M5538" t="s">
        <v>40459</v>
      </c>
      <c r="N5538" t="s">
        <v>42669</v>
      </c>
      <c r="O5538" t="s">
        <v>42670</v>
      </c>
      <c r="P5538">
        <v>0</v>
      </c>
      <c r="Q5538">
        <v>2</v>
      </c>
      <c r="R5538" t="s">
        <v>42677</v>
      </c>
      <c r="S5538" t="s">
        <v>42830</v>
      </c>
      <c r="T5538" t="s">
        <v>44450</v>
      </c>
      <c r="U5538" t="s">
        <v>49354</v>
      </c>
      <c r="W5538" t="s">
        <v>40459</v>
      </c>
      <c r="X5538" t="s">
        <v>42682</v>
      </c>
    </row>
    <row r="5539" spans="1:24">
      <c r="A5539">
        <f>HYPERLINK("https://www.philgeps.gov.ph/GEPSNONPILOT/Tender/SplashBidNoticeAbstractUI.aspx?menuIndex=3&amp;refID=7179815&amp;Result=3","7179815")</f>
        <v>0</v>
      </c>
      <c r="B5539" t="s">
        <v>1606</v>
      </c>
      <c r="C5539" t="s">
        <v>8832</v>
      </c>
      <c r="D5539" t="s">
        <v>17141</v>
      </c>
      <c r="E5539" t="s">
        <v>22034</v>
      </c>
      <c r="F5539" t="s">
        <v>29372</v>
      </c>
      <c r="G5539" t="s">
        <v>29380</v>
      </c>
      <c r="H5539" t="s">
        <v>29389</v>
      </c>
      <c r="I5539" t="s">
        <v>10408</v>
      </c>
      <c r="J5539" t="s">
        <v>33105</v>
      </c>
      <c r="K5539" t="s">
        <v>38490</v>
      </c>
      <c r="M5539" t="s">
        <v>40459</v>
      </c>
      <c r="N5539" t="s">
        <v>42669</v>
      </c>
      <c r="O5539" t="s">
        <v>42670</v>
      </c>
      <c r="P5539">
        <v>0</v>
      </c>
      <c r="Q5539">
        <v>2</v>
      </c>
      <c r="R5539" t="s">
        <v>42677</v>
      </c>
      <c r="S5539" t="s">
        <v>42830</v>
      </c>
      <c r="T5539" t="s">
        <v>44450</v>
      </c>
      <c r="U5539" t="s">
        <v>49355</v>
      </c>
      <c r="W5539" t="s">
        <v>40459</v>
      </c>
      <c r="X5539" t="s">
        <v>42682</v>
      </c>
    </row>
    <row r="5540" spans="1:24">
      <c r="A5540">
        <f>HYPERLINK("https://www.philgeps.gov.ph/GEPSNONPILOT/Tender/SplashBidNoticeAbstractUI.aspx?menuIndex=3&amp;refID=7179735&amp;Result=3","7179735")</f>
        <v>0</v>
      </c>
      <c r="B5540" t="s">
        <v>1923</v>
      </c>
      <c r="C5540" t="s">
        <v>8833</v>
      </c>
      <c r="D5540" t="s">
        <v>17146</v>
      </c>
      <c r="E5540" t="s">
        <v>22035</v>
      </c>
      <c r="F5540" t="s">
        <v>29372</v>
      </c>
      <c r="G5540" t="s">
        <v>29379</v>
      </c>
      <c r="H5540" t="s">
        <v>29389</v>
      </c>
      <c r="I5540" t="s">
        <v>10408</v>
      </c>
      <c r="J5540" t="s">
        <v>33106</v>
      </c>
      <c r="K5540" t="s">
        <v>38516</v>
      </c>
      <c r="M5540" t="s">
        <v>40800</v>
      </c>
      <c r="N5540" t="s">
        <v>42669</v>
      </c>
      <c r="O5540" t="s">
        <v>42670</v>
      </c>
      <c r="P5540">
        <v>0</v>
      </c>
      <c r="Q5540">
        <v>1</v>
      </c>
      <c r="R5540" t="s">
        <v>42677</v>
      </c>
      <c r="S5540" t="s">
        <v>42830</v>
      </c>
      <c r="T5540" t="s">
        <v>44491</v>
      </c>
      <c r="U5540" t="s">
        <v>49356</v>
      </c>
      <c r="W5540" t="s">
        <v>40800</v>
      </c>
      <c r="X5540" t="s">
        <v>42682</v>
      </c>
    </row>
    <row r="5541" spans="1:24">
      <c r="A5541">
        <f>HYPERLINK("https://www.philgeps.gov.ph/GEPSNONPILOT/Tender/SplashBidNoticeAbstractUI.aspx?menuIndex=3&amp;refID=7179803&amp;Result=3","7179803")</f>
        <v>0</v>
      </c>
      <c r="B5541" t="s">
        <v>1606</v>
      </c>
      <c r="C5541" t="s">
        <v>8834</v>
      </c>
      <c r="D5541" t="s">
        <v>17141</v>
      </c>
      <c r="E5541" t="s">
        <v>22036</v>
      </c>
      <c r="F5541" t="s">
        <v>29372</v>
      </c>
      <c r="G5541" t="s">
        <v>29380</v>
      </c>
      <c r="H5541" t="s">
        <v>29389</v>
      </c>
      <c r="I5541" t="s">
        <v>10408</v>
      </c>
      <c r="J5541" t="s">
        <v>33107</v>
      </c>
      <c r="K5541" t="s">
        <v>38490</v>
      </c>
      <c r="M5541" t="s">
        <v>40459</v>
      </c>
      <c r="N5541" t="s">
        <v>42669</v>
      </c>
      <c r="O5541" t="s">
        <v>42670</v>
      </c>
      <c r="P5541">
        <v>0</v>
      </c>
      <c r="Q5541">
        <v>6</v>
      </c>
      <c r="R5541" t="s">
        <v>42677</v>
      </c>
      <c r="S5541" t="s">
        <v>42830</v>
      </c>
      <c r="T5541" t="s">
        <v>44450</v>
      </c>
      <c r="U5541" t="s">
        <v>49357</v>
      </c>
      <c r="W5541" t="s">
        <v>40459</v>
      </c>
      <c r="X5541" t="s">
        <v>42682</v>
      </c>
    </row>
    <row r="5542" spans="1:24">
      <c r="A5542">
        <f>HYPERLINK("https://www.philgeps.gov.ph/GEPSNONPILOT/Tender/SplashBidNoticeAbstractUI.aspx?menuIndex=3&amp;refID=7180113&amp;Result=3","7180113")</f>
        <v>0</v>
      </c>
      <c r="B5542" t="s">
        <v>399</v>
      </c>
      <c r="C5542" t="s">
        <v>8835</v>
      </c>
      <c r="D5542" t="s">
        <v>17143</v>
      </c>
      <c r="E5542" t="s">
        <v>22037</v>
      </c>
      <c r="F5542" t="s">
        <v>29372</v>
      </c>
      <c r="G5542" t="s">
        <v>29379</v>
      </c>
      <c r="H5542" t="s">
        <v>11048</v>
      </c>
      <c r="I5542" t="s">
        <v>9642</v>
      </c>
      <c r="J5542" t="s">
        <v>33108</v>
      </c>
      <c r="K5542" t="s">
        <v>38488</v>
      </c>
      <c r="M5542" t="s">
        <v>39162</v>
      </c>
      <c r="N5542" t="s">
        <v>42669</v>
      </c>
      <c r="O5542" t="s">
        <v>42670</v>
      </c>
      <c r="P5542">
        <v>0</v>
      </c>
      <c r="Q5542">
        <v>2</v>
      </c>
      <c r="R5542" t="s">
        <v>42677</v>
      </c>
      <c r="S5542" t="s">
        <v>42830</v>
      </c>
      <c r="T5542" t="s">
        <v>44429</v>
      </c>
      <c r="U5542" t="s">
        <v>49358</v>
      </c>
      <c r="W5542" t="s">
        <v>39162</v>
      </c>
      <c r="X5542" t="s">
        <v>42681</v>
      </c>
    </row>
    <row r="5543" spans="1:24">
      <c r="A5543">
        <f>HYPERLINK("https://www.philgeps.gov.ph/GEPSNONPILOT/Tender/SplashBidNoticeAbstractUI.aspx?menuIndex=3&amp;refID=7180339&amp;Result=3","7180339")</f>
        <v>0</v>
      </c>
      <c r="B5543" t="s">
        <v>1922</v>
      </c>
      <c r="C5543" t="s">
        <v>8836</v>
      </c>
      <c r="D5543" t="s">
        <v>17172</v>
      </c>
      <c r="E5543" t="s">
        <v>22038</v>
      </c>
      <c r="F5543" t="s">
        <v>29372</v>
      </c>
      <c r="G5543" t="s">
        <v>29380</v>
      </c>
      <c r="H5543" t="s">
        <v>11048</v>
      </c>
      <c r="I5543" t="s">
        <v>29433</v>
      </c>
      <c r="J5543" t="s">
        <v>29822</v>
      </c>
      <c r="K5543" t="s">
        <v>38510</v>
      </c>
      <c r="M5543" t="s">
        <v>40798</v>
      </c>
      <c r="N5543" t="s">
        <v>42669</v>
      </c>
      <c r="O5543" t="s">
        <v>42670</v>
      </c>
      <c r="P5543">
        <v>0</v>
      </c>
      <c r="Q5543">
        <v>11</v>
      </c>
      <c r="R5543" t="s">
        <v>42677</v>
      </c>
      <c r="S5543" t="s">
        <v>42830</v>
      </c>
      <c r="T5543" t="s">
        <v>44368</v>
      </c>
      <c r="U5543" t="s">
        <v>49359</v>
      </c>
      <c r="W5543" t="s">
        <v>40798</v>
      </c>
      <c r="X5543" t="s">
        <v>42681</v>
      </c>
    </row>
    <row r="5544" spans="1:24">
      <c r="A5544">
        <f>HYPERLINK("https://www.philgeps.gov.ph/GEPSNONPILOT/Tender/SplashBidNoticeAbstractUI.aspx?menuIndex=3&amp;refID=7180590&amp;Result=3","7180590")</f>
        <v>0</v>
      </c>
      <c r="B5544" t="s">
        <v>1924</v>
      </c>
      <c r="C5544" t="s">
        <v>8837</v>
      </c>
      <c r="D5544" t="s">
        <v>17166</v>
      </c>
      <c r="E5544" t="s">
        <v>22039</v>
      </c>
      <c r="F5544" t="s">
        <v>29372</v>
      </c>
      <c r="G5544" t="s">
        <v>29380</v>
      </c>
      <c r="H5544" t="s">
        <v>11048</v>
      </c>
      <c r="I5544" t="s">
        <v>29424</v>
      </c>
      <c r="J5544" t="s">
        <v>33109</v>
      </c>
      <c r="K5544" t="s">
        <v>38491</v>
      </c>
      <c r="M5544" t="s">
        <v>40801</v>
      </c>
      <c r="N5544" t="s">
        <v>42669</v>
      </c>
      <c r="O5544" t="s">
        <v>42670</v>
      </c>
      <c r="P5544">
        <v>0</v>
      </c>
      <c r="Q5544">
        <v>8</v>
      </c>
      <c r="R5544" t="s">
        <v>42677</v>
      </c>
      <c r="S5544" t="s">
        <v>42830</v>
      </c>
      <c r="T5544" t="s">
        <v>44476</v>
      </c>
      <c r="U5544" t="s">
        <v>49360</v>
      </c>
      <c r="V5544" t="s">
        <v>56975</v>
      </c>
      <c r="W5544" t="s">
        <v>40801</v>
      </c>
      <c r="X5544" t="s">
        <v>42680</v>
      </c>
    </row>
    <row r="5545" spans="1:24">
      <c r="A5545">
        <f>HYPERLINK("https://www.philgeps.gov.ph/GEPSNONPILOT/Tender/SplashBidNoticeAbstractUI.aspx?menuIndex=3&amp;refID=7179571&amp;Result=3","7179571")</f>
        <v>0</v>
      </c>
      <c r="B5545" t="s">
        <v>1925</v>
      </c>
      <c r="C5545" t="s">
        <v>8838</v>
      </c>
      <c r="D5545" t="s">
        <v>17222</v>
      </c>
      <c r="E5545" t="s">
        <v>22040</v>
      </c>
      <c r="F5545" t="s">
        <v>29376</v>
      </c>
      <c r="G5545" t="s">
        <v>29384</v>
      </c>
      <c r="H5545" t="s">
        <v>29389</v>
      </c>
      <c r="I5545" t="s">
        <v>10408</v>
      </c>
      <c r="J5545" t="s">
        <v>33110</v>
      </c>
      <c r="K5545" t="s">
        <v>38520</v>
      </c>
      <c r="M5545" t="s">
        <v>40802</v>
      </c>
      <c r="N5545" t="s">
        <v>42669</v>
      </c>
      <c r="O5545" t="s">
        <v>42670</v>
      </c>
      <c r="P5545">
        <v>0</v>
      </c>
      <c r="Q5545">
        <v>1</v>
      </c>
      <c r="R5545" t="s">
        <v>42677</v>
      </c>
      <c r="S5545" t="s">
        <v>42830</v>
      </c>
      <c r="T5545" t="s">
        <v>44699</v>
      </c>
      <c r="U5545" t="s">
        <v>49361</v>
      </c>
      <c r="W5545" t="s">
        <v>40802</v>
      </c>
      <c r="X5545" t="s">
        <v>42682</v>
      </c>
    </row>
    <row r="5546" spans="1:24">
      <c r="A5546">
        <f>HYPERLINK("https://www.philgeps.gov.ph/GEPSNONPILOT/Tender/SplashBidNoticeAbstractUI.aspx?menuIndex=3&amp;refID=7180566&amp;Result=3","7180566")</f>
        <v>0</v>
      </c>
      <c r="B5546" t="s">
        <v>1924</v>
      </c>
      <c r="C5546" t="s">
        <v>8839</v>
      </c>
      <c r="D5546" t="s">
        <v>17166</v>
      </c>
      <c r="E5546" t="s">
        <v>22041</v>
      </c>
      <c r="F5546" t="s">
        <v>29372</v>
      </c>
      <c r="G5546" t="s">
        <v>29380</v>
      </c>
      <c r="H5546" t="s">
        <v>11048</v>
      </c>
      <c r="I5546" t="s">
        <v>3839</v>
      </c>
      <c r="J5546" t="s">
        <v>33111</v>
      </c>
      <c r="K5546" t="s">
        <v>38538</v>
      </c>
      <c r="M5546" t="s">
        <v>40801</v>
      </c>
      <c r="N5546" t="s">
        <v>42669</v>
      </c>
      <c r="O5546" t="s">
        <v>42670</v>
      </c>
      <c r="P5546">
        <v>0</v>
      </c>
      <c r="Q5546">
        <v>18</v>
      </c>
      <c r="R5546" t="s">
        <v>42677</v>
      </c>
      <c r="S5546" t="s">
        <v>42830</v>
      </c>
      <c r="T5546" t="s">
        <v>44476</v>
      </c>
      <c r="U5546" t="s">
        <v>49362</v>
      </c>
      <c r="V5546" t="s">
        <v>56975</v>
      </c>
      <c r="W5546" t="s">
        <v>40801</v>
      </c>
      <c r="X5546" t="s">
        <v>42680</v>
      </c>
    </row>
    <row r="5547" spans="1:24">
      <c r="A5547">
        <f>HYPERLINK("https://www.philgeps.gov.ph/GEPSNONPILOT/Tender/SplashBidNoticeAbstractUI.aspx?menuIndex=3&amp;refID=7180551&amp;Result=3","7180551")</f>
        <v>0</v>
      </c>
      <c r="B5547" t="s">
        <v>1924</v>
      </c>
      <c r="C5547" t="s">
        <v>8840</v>
      </c>
      <c r="D5547" t="s">
        <v>17166</v>
      </c>
      <c r="E5547" t="s">
        <v>22042</v>
      </c>
      <c r="F5547" t="s">
        <v>29372</v>
      </c>
      <c r="G5547" t="s">
        <v>29380</v>
      </c>
      <c r="H5547" t="s">
        <v>11048</v>
      </c>
      <c r="I5547" t="s">
        <v>4709</v>
      </c>
      <c r="J5547" t="s">
        <v>33112</v>
      </c>
      <c r="K5547" t="s">
        <v>38491</v>
      </c>
      <c r="M5547" t="s">
        <v>40801</v>
      </c>
      <c r="N5547" t="s">
        <v>42669</v>
      </c>
      <c r="O5547" t="s">
        <v>42670</v>
      </c>
      <c r="P5547">
        <v>0</v>
      </c>
      <c r="Q5547">
        <v>1</v>
      </c>
      <c r="R5547" t="s">
        <v>42677</v>
      </c>
      <c r="S5547" t="s">
        <v>42830</v>
      </c>
      <c r="T5547" t="s">
        <v>44476</v>
      </c>
      <c r="U5547" t="s">
        <v>49363</v>
      </c>
      <c r="V5547" t="s">
        <v>56975</v>
      </c>
      <c r="W5547" t="s">
        <v>40801</v>
      </c>
      <c r="X5547" t="s">
        <v>42680</v>
      </c>
    </row>
    <row r="5548" spans="1:24">
      <c r="A5548">
        <f>HYPERLINK("https://www.philgeps.gov.ph/GEPSNONPILOT/Tender/SplashBidNoticeAbstractUI.aspx?menuIndex=3&amp;refID=7180538&amp;Result=3","7180538")</f>
        <v>0</v>
      </c>
      <c r="B5548" t="s">
        <v>1924</v>
      </c>
      <c r="C5548" t="s">
        <v>8841</v>
      </c>
      <c r="D5548" t="s">
        <v>17166</v>
      </c>
      <c r="E5548" t="s">
        <v>22043</v>
      </c>
      <c r="F5548" t="s">
        <v>29372</v>
      </c>
      <c r="G5548" t="s">
        <v>29380</v>
      </c>
      <c r="H5548" t="s">
        <v>11048</v>
      </c>
      <c r="I5548" t="s">
        <v>29428</v>
      </c>
      <c r="J5548" t="s">
        <v>33113</v>
      </c>
      <c r="K5548" t="s">
        <v>38491</v>
      </c>
      <c r="M5548" t="s">
        <v>40801</v>
      </c>
      <c r="N5548" t="s">
        <v>42669</v>
      </c>
      <c r="O5548" t="s">
        <v>42670</v>
      </c>
      <c r="P5548">
        <v>0</v>
      </c>
      <c r="Q5548">
        <v>1</v>
      </c>
      <c r="R5548" t="s">
        <v>42677</v>
      </c>
      <c r="S5548" t="s">
        <v>42830</v>
      </c>
      <c r="T5548" t="s">
        <v>44476</v>
      </c>
      <c r="U5548" t="s">
        <v>49364</v>
      </c>
      <c r="V5548" t="s">
        <v>56975</v>
      </c>
      <c r="W5548" t="s">
        <v>40801</v>
      </c>
      <c r="X5548" t="s">
        <v>42680</v>
      </c>
    </row>
    <row r="5549" spans="1:24">
      <c r="A5549">
        <f>HYPERLINK("https://www.philgeps.gov.ph/GEPSNONPILOT/Tender/SplashBidNoticeAbstractUI.aspx?menuIndex=3&amp;refID=7180544&amp;Result=3","7180544")</f>
        <v>0</v>
      </c>
      <c r="B5549" t="s">
        <v>1924</v>
      </c>
      <c r="C5549" t="s">
        <v>8842</v>
      </c>
      <c r="D5549" t="s">
        <v>17166</v>
      </c>
      <c r="E5549" t="s">
        <v>22044</v>
      </c>
      <c r="F5549" t="s">
        <v>29372</v>
      </c>
      <c r="G5549" t="s">
        <v>29380</v>
      </c>
      <c r="H5549" t="s">
        <v>11048</v>
      </c>
      <c r="I5549" t="s">
        <v>3670</v>
      </c>
      <c r="J5549" t="s">
        <v>33114</v>
      </c>
      <c r="K5549" t="s">
        <v>38538</v>
      </c>
      <c r="M5549" t="s">
        <v>40801</v>
      </c>
      <c r="N5549" t="s">
        <v>42669</v>
      </c>
      <c r="O5549" t="s">
        <v>42670</v>
      </c>
      <c r="P5549">
        <v>0</v>
      </c>
      <c r="Q5549">
        <v>1</v>
      </c>
      <c r="R5549" t="s">
        <v>42677</v>
      </c>
      <c r="S5549" t="s">
        <v>42830</v>
      </c>
      <c r="T5549" t="s">
        <v>44476</v>
      </c>
      <c r="U5549" t="s">
        <v>49365</v>
      </c>
      <c r="V5549" t="s">
        <v>56975</v>
      </c>
      <c r="W5549" t="s">
        <v>40801</v>
      </c>
      <c r="X5549" t="s">
        <v>42680</v>
      </c>
    </row>
    <row r="5550" spans="1:24">
      <c r="A5550">
        <f>HYPERLINK("https://www.philgeps.gov.ph/GEPSNONPILOT/Tender/SplashBidNoticeAbstractUI.aspx?menuIndex=3&amp;refID=7180583&amp;Result=3","7180583")</f>
        <v>0</v>
      </c>
      <c r="B5550" t="s">
        <v>1924</v>
      </c>
      <c r="C5550" t="s">
        <v>8843</v>
      </c>
      <c r="D5550" t="s">
        <v>17166</v>
      </c>
      <c r="E5550" t="s">
        <v>22045</v>
      </c>
      <c r="F5550" t="s">
        <v>29372</v>
      </c>
      <c r="G5550" t="s">
        <v>29380</v>
      </c>
      <c r="H5550" t="s">
        <v>11048</v>
      </c>
      <c r="I5550" t="s">
        <v>29424</v>
      </c>
      <c r="J5550" t="s">
        <v>33115</v>
      </c>
      <c r="K5550" t="s">
        <v>38491</v>
      </c>
      <c r="M5550" t="s">
        <v>40801</v>
      </c>
      <c r="N5550" t="s">
        <v>42669</v>
      </c>
      <c r="O5550" t="s">
        <v>42670</v>
      </c>
      <c r="P5550">
        <v>0</v>
      </c>
      <c r="Q5550">
        <v>10</v>
      </c>
      <c r="R5550" t="s">
        <v>42677</v>
      </c>
      <c r="S5550" t="s">
        <v>42830</v>
      </c>
      <c r="T5550" t="s">
        <v>44476</v>
      </c>
      <c r="U5550" t="s">
        <v>49366</v>
      </c>
      <c r="V5550" t="s">
        <v>56975</v>
      </c>
      <c r="W5550" t="s">
        <v>40801</v>
      </c>
      <c r="X5550" t="s">
        <v>42680</v>
      </c>
    </row>
    <row r="5551" spans="1:24">
      <c r="A5551">
        <f>HYPERLINK("https://www.philgeps.gov.ph/GEPSNONPILOT/Tender/SplashBidNoticeAbstractUI.aspx?menuIndex=3&amp;refID=7180593&amp;Result=3","7180593")</f>
        <v>0</v>
      </c>
      <c r="B5551" t="s">
        <v>1924</v>
      </c>
      <c r="C5551" t="s">
        <v>8844</v>
      </c>
      <c r="D5551" t="s">
        <v>17166</v>
      </c>
      <c r="E5551" t="s">
        <v>22046</v>
      </c>
      <c r="F5551" t="s">
        <v>29372</v>
      </c>
      <c r="G5551" t="s">
        <v>29380</v>
      </c>
      <c r="H5551" t="s">
        <v>11048</v>
      </c>
      <c r="I5551" t="s">
        <v>3839</v>
      </c>
      <c r="J5551" t="s">
        <v>33116</v>
      </c>
      <c r="K5551" t="s">
        <v>38551</v>
      </c>
      <c r="M5551" t="s">
        <v>40801</v>
      </c>
      <c r="N5551" t="s">
        <v>42669</v>
      </c>
      <c r="O5551" t="s">
        <v>42670</v>
      </c>
      <c r="P5551">
        <v>0</v>
      </c>
      <c r="Q5551">
        <v>7</v>
      </c>
      <c r="R5551" t="s">
        <v>42677</v>
      </c>
      <c r="S5551" t="s">
        <v>42830</v>
      </c>
      <c r="T5551" t="s">
        <v>44476</v>
      </c>
      <c r="U5551" t="s">
        <v>49367</v>
      </c>
      <c r="V5551" t="s">
        <v>56975</v>
      </c>
      <c r="W5551" t="s">
        <v>40801</v>
      </c>
      <c r="X5551" t="s">
        <v>42680</v>
      </c>
    </row>
    <row r="5552" spans="1:24">
      <c r="A5552">
        <f>HYPERLINK("https://www.philgeps.gov.ph/GEPSNONPILOT/Tender/SplashBidNoticeAbstractUI.aspx?menuIndex=3&amp;refID=7181098&amp;Result=3","7181098")</f>
        <v>0</v>
      </c>
      <c r="B5552" t="s">
        <v>1151</v>
      </c>
      <c r="C5552" t="s">
        <v>8845</v>
      </c>
      <c r="D5552" t="s">
        <v>17185</v>
      </c>
      <c r="E5552" t="s">
        <v>22047</v>
      </c>
      <c r="F5552" t="s">
        <v>29372</v>
      </c>
      <c r="G5552" t="s">
        <v>29380</v>
      </c>
      <c r="H5552" t="s">
        <v>11048</v>
      </c>
      <c r="I5552" t="s">
        <v>29394</v>
      </c>
      <c r="J5552" t="s">
        <v>33117</v>
      </c>
      <c r="K5552" t="s">
        <v>38485</v>
      </c>
      <c r="M5552" t="s">
        <v>39965</v>
      </c>
      <c r="N5552" t="s">
        <v>42669</v>
      </c>
      <c r="O5552" t="s">
        <v>42670</v>
      </c>
      <c r="P5552">
        <v>0</v>
      </c>
      <c r="Q5552">
        <v>1</v>
      </c>
      <c r="R5552" t="s">
        <v>42677</v>
      </c>
      <c r="S5552" t="s">
        <v>42830</v>
      </c>
      <c r="T5552" t="s">
        <v>44446</v>
      </c>
      <c r="U5552" t="s">
        <v>49368</v>
      </c>
      <c r="W5552" t="s">
        <v>39965</v>
      </c>
      <c r="X5552" t="s">
        <v>42679</v>
      </c>
    </row>
    <row r="5553" spans="1:24">
      <c r="A5553">
        <f>HYPERLINK("https://www.philgeps.gov.ph/GEPSNONPILOT/Tender/SplashBidNoticeAbstractUI.aspx?menuIndex=3&amp;refID=7180557&amp;Result=3","7180557")</f>
        <v>0</v>
      </c>
      <c r="B5553" t="s">
        <v>1924</v>
      </c>
      <c r="C5553" t="s">
        <v>8846</v>
      </c>
      <c r="D5553" t="s">
        <v>17166</v>
      </c>
      <c r="E5553" t="s">
        <v>22048</v>
      </c>
      <c r="F5553" t="s">
        <v>29372</v>
      </c>
      <c r="G5553" t="s">
        <v>29380</v>
      </c>
      <c r="H5553" t="s">
        <v>11048</v>
      </c>
      <c r="I5553" t="s">
        <v>29409</v>
      </c>
      <c r="J5553" t="s">
        <v>33118</v>
      </c>
      <c r="K5553" t="s">
        <v>38538</v>
      </c>
      <c r="M5553" t="s">
        <v>40801</v>
      </c>
      <c r="N5553" t="s">
        <v>42669</v>
      </c>
      <c r="O5553" t="s">
        <v>42670</v>
      </c>
      <c r="P5553">
        <v>0</v>
      </c>
      <c r="Q5553">
        <v>10</v>
      </c>
      <c r="R5553" t="s">
        <v>42677</v>
      </c>
      <c r="S5553" t="s">
        <v>42830</v>
      </c>
      <c r="T5553" t="s">
        <v>44476</v>
      </c>
      <c r="U5553" t="s">
        <v>49369</v>
      </c>
      <c r="V5553" t="s">
        <v>56975</v>
      </c>
      <c r="W5553" t="s">
        <v>40801</v>
      </c>
      <c r="X5553" t="s">
        <v>42680</v>
      </c>
    </row>
    <row r="5554" spans="1:24">
      <c r="A5554">
        <f>HYPERLINK("https://www.philgeps.gov.ph/GEPSNONPILOT/Tender/SplashBidNoticeAbstractUI.aspx?menuIndex=3&amp;refID=7181062&amp;Result=3","7181062")</f>
        <v>0</v>
      </c>
      <c r="B5554" t="s">
        <v>1926</v>
      </c>
      <c r="C5554" t="s">
        <v>8847</v>
      </c>
      <c r="D5554" t="s">
        <v>17193</v>
      </c>
      <c r="E5554" t="s">
        <v>22049</v>
      </c>
      <c r="F5554" t="s">
        <v>29372</v>
      </c>
      <c r="G5554" t="s">
        <v>29380</v>
      </c>
      <c r="H5554" t="s">
        <v>11048</v>
      </c>
      <c r="I5554" t="s">
        <v>4709</v>
      </c>
      <c r="J5554" t="s">
        <v>33119</v>
      </c>
      <c r="K5554" t="s">
        <v>38488</v>
      </c>
      <c r="M5554" t="s">
        <v>40803</v>
      </c>
      <c r="N5554" t="s">
        <v>42669</v>
      </c>
      <c r="O5554" t="s">
        <v>42670</v>
      </c>
      <c r="P5554">
        <v>0</v>
      </c>
      <c r="Q5554">
        <v>4</v>
      </c>
      <c r="R5554" t="s">
        <v>42677</v>
      </c>
      <c r="S5554" t="s">
        <v>42830</v>
      </c>
      <c r="T5554" t="s">
        <v>44368</v>
      </c>
      <c r="U5554" t="s">
        <v>49370</v>
      </c>
      <c r="W5554" t="s">
        <v>40803</v>
      </c>
      <c r="X5554" t="s">
        <v>42679</v>
      </c>
    </row>
    <row r="5555" spans="1:24">
      <c r="A5555">
        <f>HYPERLINK("https://www.philgeps.gov.ph/GEPSNONPILOT/Tender/SplashBidNoticeAbstractUI.aspx?menuIndex=3&amp;refID=7181057&amp;Result=3","7181057")</f>
        <v>0</v>
      </c>
      <c r="B5555" t="s">
        <v>1927</v>
      </c>
      <c r="C5555" t="s">
        <v>8848</v>
      </c>
      <c r="D5555" t="s">
        <v>17231</v>
      </c>
      <c r="E5555" t="s">
        <v>22050</v>
      </c>
      <c r="F5555" t="s">
        <v>29372</v>
      </c>
      <c r="G5555" t="s">
        <v>29380</v>
      </c>
      <c r="H5555" t="s">
        <v>11048</v>
      </c>
      <c r="I5555" t="s">
        <v>4709</v>
      </c>
      <c r="J5555" t="s">
        <v>33120</v>
      </c>
      <c r="K5555" t="s">
        <v>38487</v>
      </c>
      <c r="M5555" t="s">
        <v>40804</v>
      </c>
      <c r="N5555" t="s">
        <v>42669</v>
      </c>
      <c r="O5555" t="s">
        <v>42670</v>
      </c>
      <c r="P5555">
        <v>0</v>
      </c>
      <c r="Q5555">
        <v>0</v>
      </c>
      <c r="R5555" t="s">
        <v>42677</v>
      </c>
      <c r="S5555" t="s">
        <v>42830</v>
      </c>
      <c r="T5555" t="s">
        <v>44481</v>
      </c>
      <c r="U5555" t="s">
        <v>49371</v>
      </c>
      <c r="W5555" t="s">
        <v>40804</v>
      </c>
      <c r="X5555" t="s">
        <v>42679</v>
      </c>
    </row>
    <row r="5556" spans="1:24">
      <c r="A5556">
        <f>HYPERLINK("https://www.philgeps.gov.ph/GEPSNONPILOT/Tender/SplashBidNoticeAbstractUI.aspx?menuIndex=3&amp;refID=7180986&amp;Result=3","7180986")</f>
        <v>0</v>
      </c>
      <c r="B5556" t="s">
        <v>1927</v>
      </c>
      <c r="C5556" t="s">
        <v>8849</v>
      </c>
      <c r="D5556" t="s">
        <v>17231</v>
      </c>
      <c r="E5556" t="s">
        <v>22051</v>
      </c>
      <c r="F5556" t="s">
        <v>29372</v>
      </c>
      <c r="G5556" t="s">
        <v>29380</v>
      </c>
      <c r="H5556" t="s">
        <v>11048</v>
      </c>
      <c r="I5556" t="s">
        <v>8614</v>
      </c>
      <c r="J5556" t="s">
        <v>33121</v>
      </c>
      <c r="K5556" t="s">
        <v>38487</v>
      </c>
      <c r="M5556" t="s">
        <v>40804</v>
      </c>
      <c r="N5556" t="s">
        <v>42669</v>
      </c>
      <c r="O5556" t="s">
        <v>42670</v>
      </c>
      <c r="P5556">
        <v>0</v>
      </c>
      <c r="Q5556">
        <v>1</v>
      </c>
      <c r="R5556" t="s">
        <v>42677</v>
      </c>
      <c r="S5556" t="s">
        <v>42830</v>
      </c>
      <c r="T5556" t="s">
        <v>44481</v>
      </c>
      <c r="U5556" t="s">
        <v>49372</v>
      </c>
      <c r="W5556" t="s">
        <v>40804</v>
      </c>
      <c r="X5556" t="s">
        <v>42679</v>
      </c>
    </row>
    <row r="5557" spans="1:24">
      <c r="A5557">
        <f>HYPERLINK("https://www.philgeps.gov.ph/GEPSNONPILOT/Tender/SplashBidNoticeAbstractUI.aspx?menuIndex=3&amp;refID=7180941&amp;Result=3","7180941")</f>
        <v>0</v>
      </c>
      <c r="B5557" t="s">
        <v>675</v>
      </c>
      <c r="C5557" t="s">
        <v>8850</v>
      </c>
      <c r="D5557" t="s">
        <v>17188</v>
      </c>
      <c r="E5557" t="s">
        <v>22052</v>
      </c>
      <c r="F5557" t="s">
        <v>29372</v>
      </c>
      <c r="G5557" t="s">
        <v>29380</v>
      </c>
      <c r="H5557" t="s">
        <v>29389</v>
      </c>
      <c r="I5557" t="s">
        <v>10408</v>
      </c>
      <c r="J5557" t="s">
        <v>33122</v>
      </c>
      <c r="K5557" t="s">
        <v>38571</v>
      </c>
      <c r="M5557" t="s">
        <v>39451</v>
      </c>
      <c r="N5557" t="s">
        <v>42669</v>
      </c>
      <c r="O5557" t="s">
        <v>42670</v>
      </c>
      <c r="Q5557">
        <v>0</v>
      </c>
      <c r="R5557" t="s">
        <v>42677</v>
      </c>
      <c r="S5557" t="s">
        <v>42834</v>
      </c>
      <c r="T5557" t="s">
        <v>44446</v>
      </c>
      <c r="U5557" t="s">
        <v>49373</v>
      </c>
      <c r="W5557" t="s">
        <v>39451</v>
      </c>
      <c r="X5557" t="s">
        <v>42679</v>
      </c>
    </row>
    <row r="5558" spans="1:24">
      <c r="A5558">
        <f>HYPERLINK("https://www.philgeps.gov.ph/GEPSNONPILOT/Tender/SplashBidNoticeAbstractUI.aspx?menuIndex=3&amp;refID=7180927&amp;Result=3","7180927")</f>
        <v>0</v>
      </c>
      <c r="B5558" t="s">
        <v>1928</v>
      </c>
      <c r="C5558" t="s">
        <v>8851</v>
      </c>
      <c r="D5558" t="s">
        <v>17235</v>
      </c>
      <c r="E5558" t="s">
        <v>22053</v>
      </c>
      <c r="F5558" t="s">
        <v>29372</v>
      </c>
      <c r="G5558" t="s">
        <v>29380</v>
      </c>
      <c r="H5558" t="s">
        <v>11048</v>
      </c>
      <c r="I5558" t="s">
        <v>29426</v>
      </c>
      <c r="J5558" t="s">
        <v>33123</v>
      </c>
      <c r="K5558" t="s">
        <v>38496</v>
      </c>
      <c r="M5558" t="s">
        <v>40805</v>
      </c>
      <c r="N5558" t="s">
        <v>42669</v>
      </c>
      <c r="O5558" t="s">
        <v>42670</v>
      </c>
      <c r="P5558">
        <v>0</v>
      </c>
      <c r="Q5558">
        <v>9</v>
      </c>
      <c r="R5558" t="s">
        <v>42677</v>
      </c>
      <c r="S5558" t="s">
        <v>42830</v>
      </c>
      <c r="T5558" t="s">
        <v>44675</v>
      </c>
      <c r="U5558" t="s">
        <v>49374</v>
      </c>
      <c r="W5558" t="s">
        <v>40805</v>
      </c>
      <c r="X5558" t="s">
        <v>42679</v>
      </c>
    </row>
    <row r="5559" spans="1:24">
      <c r="A5559">
        <f>HYPERLINK("https://www.philgeps.gov.ph/GEPSNONPILOT/Tender/SplashBidNoticeAbstractUI.aspx?menuIndex=3&amp;refID=7180594&amp;Result=3","7180594")</f>
        <v>0</v>
      </c>
      <c r="B5559" t="s">
        <v>1924</v>
      </c>
      <c r="C5559" t="s">
        <v>8852</v>
      </c>
      <c r="D5559" t="s">
        <v>17166</v>
      </c>
      <c r="E5559" t="s">
        <v>22054</v>
      </c>
      <c r="F5559" t="s">
        <v>29372</v>
      </c>
      <c r="G5559" t="s">
        <v>29380</v>
      </c>
      <c r="H5559" t="s">
        <v>11048</v>
      </c>
      <c r="I5559" t="s">
        <v>9642</v>
      </c>
      <c r="J5559" t="s">
        <v>33124</v>
      </c>
      <c r="K5559" t="s">
        <v>38538</v>
      </c>
      <c r="M5559" t="s">
        <v>40801</v>
      </c>
      <c r="N5559" t="s">
        <v>42669</v>
      </c>
      <c r="O5559" t="s">
        <v>42670</v>
      </c>
      <c r="P5559">
        <v>0</v>
      </c>
      <c r="Q5559">
        <v>12</v>
      </c>
      <c r="R5559" t="s">
        <v>42677</v>
      </c>
      <c r="S5559" t="s">
        <v>42830</v>
      </c>
      <c r="T5559" t="s">
        <v>44476</v>
      </c>
      <c r="U5559" t="s">
        <v>49375</v>
      </c>
      <c r="V5559" t="s">
        <v>56975</v>
      </c>
      <c r="W5559" t="s">
        <v>40801</v>
      </c>
      <c r="X5559" t="s">
        <v>42680</v>
      </c>
    </row>
    <row r="5560" spans="1:24">
      <c r="A5560">
        <f>HYPERLINK("https://www.philgeps.gov.ph/GEPSNONPILOT/Tender/SplashBidNoticeAbstractUI.aspx?menuIndex=3&amp;refID=7181010&amp;Result=3","7181010")</f>
        <v>0</v>
      </c>
      <c r="B5560" t="s">
        <v>1911</v>
      </c>
      <c r="C5560" t="s">
        <v>8853</v>
      </c>
      <c r="D5560" t="s">
        <v>17180</v>
      </c>
      <c r="E5560" t="s">
        <v>22055</v>
      </c>
      <c r="F5560" t="s">
        <v>29372</v>
      </c>
      <c r="G5560" t="s">
        <v>29384</v>
      </c>
      <c r="H5560" t="s">
        <v>11048</v>
      </c>
      <c r="I5560" t="s">
        <v>3839</v>
      </c>
      <c r="J5560" t="s">
        <v>33125</v>
      </c>
      <c r="K5560" t="s">
        <v>38485</v>
      </c>
      <c r="M5560" t="s">
        <v>40806</v>
      </c>
      <c r="N5560" t="s">
        <v>42669</v>
      </c>
      <c r="O5560" t="s">
        <v>42670</v>
      </c>
      <c r="P5560">
        <v>0</v>
      </c>
      <c r="Q5560">
        <v>3</v>
      </c>
      <c r="R5560" t="s">
        <v>42677</v>
      </c>
      <c r="S5560" t="s">
        <v>42830</v>
      </c>
      <c r="T5560" t="s">
        <v>44542</v>
      </c>
      <c r="U5560" t="s">
        <v>49376</v>
      </c>
      <c r="V5560" t="s">
        <v>56976</v>
      </c>
      <c r="W5560" t="s">
        <v>40806</v>
      </c>
      <c r="X5560" t="s">
        <v>42679</v>
      </c>
    </row>
    <row r="5561" spans="1:24">
      <c r="A5561">
        <f>HYPERLINK("https://www.philgeps.gov.ph/GEPSNONPILOT/Tender/SplashBidNoticeAbstractUI.aspx?menuIndex=3&amp;refID=7180395&amp;Result=3","7180395")</f>
        <v>0</v>
      </c>
      <c r="B5561" t="s">
        <v>1929</v>
      </c>
      <c r="C5561" t="s">
        <v>8854</v>
      </c>
      <c r="D5561" t="s">
        <v>17161</v>
      </c>
      <c r="E5561" t="s">
        <v>20432</v>
      </c>
      <c r="F5561" t="s">
        <v>29372</v>
      </c>
      <c r="G5561" t="s">
        <v>29380</v>
      </c>
      <c r="H5561" t="s">
        <v>11048</v>
      </c>
      <c r="I5561" t="s">
        <v>6417</v>
      </c>
      <c r="J5561" t="s">
        <v>29767</v>
      </c>
      <c r="K5561" t="s">
        <v>38510</v>
      </c>
      <c r="M5561" t="s">
        <v>40807</v>
      </c>
      <c r="N5561" t="s">
        <v>42669</v>
      </c>
      <c r="O5561" t="s">
        <v>42670</v>
      </c>
      <c r="P5561">
        <v>0</v>
      </c>
      <c r="Q5561">
        <v>1</v>
      </c>
      <c r="R5561" t="s">
        <v>42677</v>
      </c>
      <c r="S5561" t="s">
        <v>42830</v>
      </c>
      <c r="T5561" t="s">
        <v>44386</v>
      </c>
      <c r="U5561" t="s">
        <v>49377</v>
      </c>
      <c r="W5561" t="s">
        <v>40807</v>
      </c>
      <c r="X5561" t="s">
        <v>42681</v>
      </c>
    </row>
    <row r="5562" spans="1:24">
      <c r="A5562">
        <f>HYPERLINK("https://www.philgeps.gov.ph/GEPSNONPILOT/Tender/SplashBidNoticeAbstractUI.aspx?menuIndex=3&amp;refID=7181149&amp;Result=3","7181149")</f>
        <v>0</v>
      </c>
      <c r="B5562" t="s">
        <v>408</v>
      </c>
      <c r="C5562" t="s">
        <v>8855</v>
      </c>
      <c r="D5562" t="s">
        <v>17199</v>
      </c>
      <c r="E5562" t="s">
        <v>22056</v>
      </c>
      <c r="F5562" t="s">
        <v>29372</v>
      </c>
      <c r="G5562" t="s">
        <v>29379</v>
      </c>
      <c r="H5562" t="s">
        <v>11048</v>
      </c>
      <c r="I5562" t="s">
        <v>3670</v>
      </c>
      <c r="J5562" t="s">
        <v>33126</v>
      </c>
      <c r="K5562" t="s">
        <v>38490</v>
      </c>
      <c r="M5562" t="s">
        <v>39172</v>
      </c>
      <c r="N5562" t="s">
        <v>42669</v>
      </c>
      <c r="O5562" t="s">
        <v>42670</v>
      </c>
      <c r="P5562">
        <v>0</v>
      </c>
      <c r="Q5562">
        <v>5</v>
      </c>
      <c r="R5562" t="s">
        <v>42677</v>
      </c>
      <c r="S5562" t="s">
        <v>42830</v>
      </c>
      <c r="T5562" t="s">
        <v>44432</v>
      </c>
      <c r="U5562" t="s">
        <v>49378</v>
      </c>
      <c r="V5562" t="s">
        <v>56977</v>
      </c>
      <c r="W5562" t="s">
        <v>39172</v>
      </c>
      <c r="X5562" t="s">
        <v>42679</v>
      </c>
    </row>
    <row r="5563" spans="1:24">
      <c r="A5563">
        <f>HYPERLINK("https://www.philgeps.gov.ph/GEPSNONPILOT/Tender/SplashBidNoticeAbstractUI.aspx?menuIndex=3&amp;refID=7181145&amp;Result=3","7181145")</f>
        <v>0</v>
      </c>
      <c r="B5563" t="s">
        <v>1930</v>
      </c>
      <c r="C5563" t="s">
        <v>8856</v>
      </c>
      <c r="D5563" t="s">
        <v>17185</v>
      </c>
      <c r="E5563" t="s">
        <v>22057</v>
      </c>
      <c r="F5563" t="s">
        <v>29372</v>
      </c>
      <c r="G5563" t="s">
        <v>29380</v>
      </c>
      <c r="H5563" t="s">
        <v>11048</v>
      </c>
      <c r="I5563" t="s">
        <v>3695</v>
      </c>
      <c r="J5563" t="s">
        <v>33127</v>
      </c>
      <c r="K5563" t="s">
        <v>38510</v>
      </c>
      <c r="M5563" t="s">
        <v>40808</v>
      </c>
      <c r="N5563" t="s">
        <v>42669</v>
      </c>
      <c r="O5563" t="s">
        <v>42670</v>
      </c>
      <c r="P5563">
        <v>0</v>
      </c>
      <c r="Q5563">
        <v>7</v>
      </c>
      <c r="R5563" t="s">
        <v>42677</v>
      </c>
      <c r="S5563" t="s">
        <v>42830</v>
      </c>
      <c r="T5563" t="s">
        <v>44664</v>
      </c>
      <c r="U5563" t="s">
        <v>49379</v>
      </c>
      <c r="W5563" t="s">
        <v>40808</v>
      </c>
      <c r="X5563" t="s">
        <v>42679</v>
      </c>
    </row>
    <row r="5564" spans="1:24">
      <c r="A5564">
        <f>HYPERLINK("https://www.philgeps.gov.ph/GEPSNONPILOT/Tender/SplashBidNoticeAbstractUI.aspx?menuIndex=3&amp;refID=7181173&amp;Result=3","7181173")</f>
        <v>0</v>
      </c>
      <c r="B5564" t="s">
        <v>1528</v>
      </c>
      <c r="C5564" t="s">
        <v>8857</v>
      </c>
      <c r="D5564" t="s">
        <v>17178</v>
      </c>
      <c r="E5564" t="s">
        <v>22058</v>
      </c>
      <c r="F5564" t="s">
        <v>29372</v>
      </c>
      <c r="G5564" t="s">
        <v>29380</v>
      </c>
      <c r="H5564" t="s">
        <v>11048</v>
      </c>
      <c r="I5564" t="s">
        <v>9469</v>
      </c>
      <c r="J5564" t="s">
        <v>29801</v>
      </c>
      <c r="K5564" t="s">
        <v>38490</v>
      </c>
      <c r="M5564" t="s">
        <v>40377</v>
      </c>
      <c r="N5564" t="s">
        <v>42669</v>
      </c>
      <c r="O5564" t="s">
        <v>42670</v>
      </c>
      <c r="P5564">
        <v>0</v>
      </c>
      <c r="Q5564">
        <v>3</v>
      </c>
      <c r="R5564" t="s">
        <v>42677</v>
      </c>
      <c r="S5564" t="s">
        <v>42830</v>
      </c>
      <c r="T5564" t="s">
        <v>44452</v>
      </c>
      <c r="U5564" t="s">
        <v>49380</v>
      </c>
      <c r="V5564" t="s">
        <v>56799</v>
      </c>
      <c r="W5564" t="s">
        <v>40377</v>
      </c>
      <c r="X5564" t="s">
        <v>42679</v>
      </c>
    </row>
    <row r="5565" spans="1:24">
      <c r="A5565">
        <f>HYPERLINK("https://www.philgeps.gov.ph/GEPSNONPILOT/Tender/SplashBidNoticeAbstractUI.aspx?menuIndex=3&amp;refID=7180890&amp;Result=3","7180890")</f>
        <v>0</v>
      </c>
      <c r="B5565" t="s">
        <v>1931</v>
      </c>
      <c r="C5565" t="s">
        <v>8858</v>
      </c>
      <c r="D5565" t="s">
        <v>17189</v>
      </c>
      <c r="E5565" t="s">
        <v>17399</v>
      </c>
      <c r="F5565" t="s">
        <v>29372</v>
      </c>
      <c r="G5565" t="s">
        <v>29383</v>
      </c>
      <c r="H5565" t="s">
        <v>29390</v>
      </c>
      <c r="I5565" t="s">
        <v>29412</v>
      </c>
      <c r="J5565" t="s">
        <v>33128</v>
      </c>
      <c r="K5565" t="s">
        <v>38489</v>
      </c>
      <c r="M5565" t="s">
        <v>40809</v>
      </c>
      <c r="N5565" t="s">
        <v>42669</v>
      </c>
      <c r="O5565" t="s">
        <v>42670</v>
      </c>
      <c r="P5565">
        <v>0</v>
      </c>
      <c r="Q5565">
        <v>1</v>
      </c>
      <c r="R5565" t="s">
        <v>42677</v>
      </c>
      <c r="S5565" t="s">
        <v>42830</v>
      </c>
      <c r="T5565" t="s">
        <v>44417</v>
      </c>
      <c r="U5565" t="s">
        <v>49381</v>
      </c>
      <c r="V5565" t="s">
        <v>56978</v>
      </c>
      <c r="W5565" t="s">
        <v>40809</v>
      </c>
      <c r="X5565" t="s">
        <v>42679</v>
      </c>
    </row>
    <row r="5566" spans="1:24">
      <c r="A5566">
        <f>HYPERLINK("https://www.philgeps.gov.ph/GEPSNONPILOT/Tender/SplashBidNoticeAbstractUI.aspx?menuIndex=3&amp;refID=7180602&amp;Result=3","7180602")</f>
        <v>0</v>
      </c>
      <c r="B5566" t="s">
        <v>1924</v>
      </c>
      <c r="C5566" t="s">
        <v>8859</v>
      </c>
      <c r="D5566" t="s">
        <v>17166</v>
      </c>
      <c r="E5566" t="s">
        <v>22059</v>
      </c>
      <c r="F5566" t="s">
        <v>29372</v>
      </c>
      <c r="G5566" t="s">
        <v>29380</v>
      </c>
      <c r="H5566" t="s">
        <v>29389</v>
      </c>
      <c r="I5566" t="s">
        <v>10408</v>
      </c>
      <c r="J5566" t="s">
        <v>33129</v>
      </c>
      <c r="K5566" t="s">
        <v>38523</v>
      </c>
      <c r="M5566" t="s">
        <v>40801</v>
      </c>
      <c r="N5566" t="s">
        <v>42669</v>
      </c>
      <c r="O5566" t="s">
        <v>42670</v>
      </c>
      <c r="P5566">
        <v>0</v>
      </c>
      <c r="Q5566">
        <v>2</v>
      </c>
      <c r="R5566" t="s">
        <v>42677</v>
      </c>
      <c r="S5566" t="s">
        <v>42830</v>
      </c>
      <c r="T5566" t="s">
        <v>44476</v>
      </c>
      <c r="U5566" t="s">
        <v>49382</v>
      </c>
      <c r="V5566" t="s">
        <v>56975</v>
      </c>
      <c r="W5566" t="s">
        <v>40801</v>
      </c>
      <c r="X5566" t="s">
        <v>42680</v>
      </c>
    </row>
    <row r="5567" spans="1:24">
      <c r="A5567">
        <f>HYPERLINK("https://www.philgeps.gov.ph/GEPSNONPILOT/Tender/SplashBidNoticeAbstractUI.aspx?menuIndex=3&amp;refID=7179808&amp;Result=3","7179808")</f>
        <v>0</v>
      </c>
      <c r="B5567" t="s">
        <v>1606</v>
      </c>
      <c r="C5567" t="s">
        <v>8860</v>
      </c>
      <c r="D5567" t="s">
        <v>17141</v>
      </c>
      <c r="E5567" t="s">
        <v>22060</v>
      </c>
      <c r="F5567" t="s">
        <v>29372</v>
      </c>
      <c r="G5567" t="s">
        <v>29380</v>
      </c>
      <c r="H5567" t="s">
        <v>29389</v>
      </c>
      <c r="I5567" t="s">
        <v>10408</v>
      </c>
      <c r="J5567" t="s">
        <v>33130</v>
      </c>
      <c r="K5567" t="s">
        <v>38490</v>
      </c>
      <c r="M5567" t="s">
        <v>40459</v>
      </c>
      <c r="N5567" t="s">
        <v>42669</v>
      </c>
      <c r="O5567" t="s">
        <v>42670</v>
      </c>
      <c r="P5567">
        <v>0</v>
      </c>
      <c r="Q5567">
        <v>2</v>
      </c>
      <c r="R5567" t="s">
        <v>42677</v>
      </c>
      <c r="S5567" t="s">
        <v>42830</v>
      </c>
      <c r="T5567" t="s">
        <v>44450</v>
      </c>
      <c r="U5567" t="s">
        <v>49347</v>
      </c>
      <c r="W5567" t="s">
        <v>40459</v>
      </c>
      <c r="X5567" t="s">
        <v>42682</v>
      </c>
    </row>
    <row r="5568" spans="1:24">
      <c r="A5568">
        <f>HYPERLINK("https://www.philgeps.gov.ph/GEPSNONPILOT/Tender/SplashBidNoticeAbstractUI.aspx?menuIndex=3&amp;refID=7180600&amp;Result=3","7180600")</f>
        <v>0</v>
      </c>
      <c r="B5568" t="s">
        <v>533</v>
      </c>
      <c r="C5568" t="s">
        <v>8861</v>
      </c>
      <c r="E5568" t="s">
        <v>22061</v>
      </c>
      <c r="F5568" t="s">
        <v>29372</v>
      </c>
      <c r="G5568" t="s">
        <v>29380</v>
      </c>
      <c r="H5568" t="s">
        <v>29389</v>
      </c>
      <c r="I5568" t="s">
        <v>10408</v>
      </c>
      <c r="J5568" t="s">
        <v>33131</v>
      </c>
      <c r="K5568" t="s">
        <v>38490</v>
      </c>
      <c r="M5568" t="s">
        <v>40810</v>
      </c>
      <c r="N5568" t="s">
        <v>42669</v>
      </c>
      <c r="O5568" t="s">
        <v>42670</v>
      </c>
      <c r="P5568">
        <v>0</v>
      </c>
      <c r="Q5568">
        <v>6</v>
      </c>
      <c r="R5568" t="s">
        <v>42677</v>
      </c>
      <c r="S5568" t="s">
        <v>42830</v>
      </c>
      <c r="T5568" t="s">
        <v>44355</v>
      </c>
      <c r="U5568" t="s">
        <v>49383</v>
      </c>
      <c r="W5568" t="s">
        <v>40810</v>
      </c>
      <c r="X5568" t="s">
        <v>42680</v>
      </c>
    </row>
    <row r="5569" spans="1:24">
      <c r="A5569">
        <f>HYPERLINK("https://www.philgeps.gov.ph/GEPSNONPILOT/Tender/SplashBidNoticeAbstractUI.aspx?menuIndex=3&amp;refID=7181183&amp;Result=3","7181183")</f>
        <v>0</v>
      </c>
      <c r="B5569" t="s">
        <v>1932</v>
      </c>
      <c r="C5569" t="s">
        <v>8862</v>
      </c>
      <c r="E5569" t="s">
        <v>22062</v>
      </c>
      <c r="F5569" t="s">
        <v>29372</v>
      </c>
      <c r="G5569" t="s">
        <v>29380</v>
      </c>
      <c r="H5569" t="s">
        <v>11048</v>
      </c>
      <c r="I5569" t="s">
        <v>4709</v>
      </c>
      <c r="J5569" t="s">
        <v>33132</v>
      </c>
      <c r="K5569" t="s">
        <v>38490</v>
      </c>
      <c r="M5569" t="s">
        <v>40811</v>
      </c>
      <c r="N5569" t="s">
        <v>42669</v>
      </c>
      <c r="O5569" t="s">
        <v>42670</v>
      </c>
      <c r="P5569">
        <v>0</v>
      </c>
      <c r="Q5569">
        <v>1</v>
      </c>
      <c r="R5569" t="s">
        <v>42677</v>
      </c>
      <c r="S5569" t="s">
        <v>42830</v>
      </c>
      <c r="T5569" t="s">
        <v>44387</v>
      </c>
      <c r="U5569" t="s">
        <v>49384</v>
      </c>
      <c r="V5569" t="s">
        <v>56979</v>
      </c>
      <c r="W5569" t="s">
        <v>40811</v>
      </c>
      <c r="X5569" t="s">
        <v>42679</v>
      </c>
    </row>
    <row r="5570" spans="1:24">
      <c r="A5570">
        <f>HYPERLINK("https://www.philgeps.gov.ph/GEPSNONPILOT/Tender/SplashBidNoticeAbstractUI.aspx?menuIndex=3&amp;refID=7180896&amp;Result=3","7180896")</f>
        <v>0</v>
      </c>
      <c r="B5570" t="s">
        <v>83</v>
      </c>
      <c r="C5570" t="s">
        <v>8863</v>
      </c>
      <c r="D5570" t="s">
        <v>17160</v>
      </c>
      <c r="E5570" t="s">
        <v>22063</v>
      </c>
      <c r="F5570" t="s">
        <v>29372</v>
      </c>
      <c r="G5570" t="s">
        <v>29380</v>
      </c>
      <c r="H5570" t="s">
        <v>29389</v>
      </c>
      <c r="I5570" t="s">
        <v>10408</v>
      </c>
      <c r="J5570" t="s">
        <v>29590</v>
      </c>
      <c r="K5570" t="s">
        <v>38485</v>
      </c>
      <c r="M5570" t="s">
        <v>38837</v>
      </c>
      <c r="N5570" t="s">
        <v>42669</v>
      </c>
      <c r="O5570" t="s">
        <v>42670</v>
      </c>
      <c r="P5570">
        <v>0</v>
      </c>
      <c r="Q5570">
        <v>1</v>
      </c>
      <c r="R5570" t="s">
        <v>42677</v>
      </c>
      <c r="S5570" t="s">
        <v>42830</v>
      </c>
      <c r="T5570" t="s">
        <v>44481</v>
      </c>
      <c r="U5570" t="s">
        <v>49385</v>
      </c>
      <c r="W5570" t="s">
        <v>38837</v>
      </c>
      <c r="X5570" t="s">
        <v>42679</v>
      </c>
    </row>
    <row r="5571" spans="1:24">
      <c r="A5571">
        <f>HYPERLINK("https://www.philgeps.gov.ph/GEPSNONPILOT/Tender/SplashBidNoticeAbstractUI.aspx?menuIndex=3&amp;refID=7181306&amp;Result=3","7181306")</f>
        <v>0</v>
      </c>
      <c r="B5571" t="s">
        <v>1933</v>
      </c>
      <c r="C5571" t="s">
        <v>8864</v>
      </c>
      <c r="D5571" t="s">
        <v>17151</v>
      </c>
      <c r="E5571" t="s">
        <v>22064</v>
      </c>
      <c r="F5571" t="s">
        <v>29372</v>
      </c>
      <c r="G5571" t="s">
        <v>29384</v>
      </c>
      <c r="H5571" t="s">
        <v>11048</v>
      </c>
      <c r="I5571" t="s">
        <v>4709</v>
      </c>
      <c r="J5571" t="s">
        <v>33133</v>
      </c>
      <c r="K5571" t="s">
        <v>38491</v>
      </c>
      <c r="M5571" t="s">
        <v>40812</v>
      </c>
      <c r="N5571" t="s">
        <v>42669</v>
      </c>
      <c r="O5571" t="s">
        <v>42670</v>
      </c>
      <c r="P5571">
        <v>0</v>
      </c>
      <c r="Q5571">
        <v>0</v>
      </c>
      <c r="R5571" t="s">
        <v>42677</v>
      </c>
      <c r="S5571" t="s">
        <v>42830</v>
      </c>
      <c r="T5571" t="s">
        <v>44425</v>
      </c>
      <c r="U5571" t="s">
        <v>49386</v>
      </c>
      <c r="V5571" t="s">
        <v>56980</v>
      </c>
      <c r="W5571" t="s">
        <v>40812</v>
      </c>
      <c r="X5571" t="s">
        <v>42679</v>
      </c>
    </row>
    <row r="5572" spans="1:24">
      <c r="A5572">
        <f>HYPERLINK("https://www.philgeps.gov.ph/GEPSNONPILOT/Tender/SplashBidNoticeAbstractUI.aspx?menuIndex=3&amp;refID=7180604&amp;Result=3","7180604")</f>
        <v>0</v>
      </c>
      <c r="B5572" t="s">
        <v>1934</v>
      </c>
      <c r="C5572" t="s">
        <v>8865</v>
      </c>
      <c r="D5572" t="s">
        <v>17160</v>
      </c>
      <c r="E5572" t="s">
        <v>22065</v>
      </c>
      <c r="F5572" t="s">
        <v>29372</v>
      </c>
      <c r="G5572" t="s">
        <v>29380</v>
      </c>
      <c r="H5572" t="s">
        <v>11048</v>
      </c>
      <c r="I5572" t="s">
        <v>29413</v>
      </c>
      <c r="J5572" t="s">
        <v>31208</v>
      </c>
      <c r="K5572" t="s">
        <v>38518</v>
      </c>
      <c r="M5572" t="s">
        <v>40813</v>
      </c>
      <c r="N5572" t="s">
        <v>42669</v>
      </c>
      <c r="O5572" t="s">
        <v>42670</v>
      </c>
      <c r="P5572">
        <v>0</v>
      </c>
      <c r="Q5572">
        <v>1</v>
      </c>
      <c r="R5572" t="s">
        <v>42677</v>
      </c>
      <c r="S5572" t="s">
        <v>42830</v>
      </c>
      <c r="T5572" t="s">
        <v>44481</v>
      </c>
      <c r="U5572" t="s">
        <v>49387</v>
      </c>
      <c r="W5572" t="s">
        <v>40813</v>
      </c>
      <c r="X5572" t="s">
        <v>42680</v>
      </c>
    </row>
    <row r="5573" spans="1:24">
      <c r="A5573">
        <f>HYPERLINK("https://www.philgeps.gov.ph/GEPSNONPILOT/Tender/SplashBidNoticeAbstractUI.aspx?menuIndex=3&amp;refID=7181276&amp;Result=3","7181276")</f>
        <v>0</v>
      </c>
      <c r="B5573" t="s">
        <v>1935</v>
      </c>
      <c r="C5573" t="s">
        <v>8866</v>
      </c>
      <c r="D5573" t="s">
        <v>17170</v>
      </c>
      <c r="E5573" t="s">
        <v>22066</v>
      </c>
      <c r="F5573" t="s">
        <v>29372</v>
      </c>
      <c r="G5573" t="s">
        <v>29380</v>
      </c>
      <c r="H5573" t="s">
        <v>11048</v>
      </c>
      <c r="I5573" t="s">
        <v>4709</v>
      </c>
      <c r="J5573" t="s">
        <v>33134</v>
      </c>
      <c r="K5573" t="s">
        <v>38490</v>
      </c>
      <c r="M5573" t="s">
        <v>40814</v>
      </c>
      <c r="N5573" t="s">
        <v>42669</v>
      </c>
      <c r="O5573" t="s">
        <v>42670</v>
      </c>
      <c r="Q5573">
        <v>1</v>
      </c>
      <c r="R5573" t="s">
        <v>42677</v>
      </c>
      <c r="S5573" t="s">
        <v>42835</v>
      </c>
      <c r="T5573" t="s">
        <v>44482</v>
      </c>
      <c r="U5573" t="s">
        <v>49388</v>
      </c>
      <c r="W5573" t="s">
        <v>58064</v>
      </c>
      <c r="X5573" t="s">
        <v>42679</v>
      </c>
    </row>
    <row r="5574" spans="1:24">
      <c r="A5574">
        <f>HYPERLINK("https://www.philgeps.gov.ph/GEPSNONPILOT/Tender/SplashBidNoticeAbstractUI.aspx?menuIndex=3&amp;refID=7181469&amp;Result=3","7181469")</f>
        <v>0</v>
      </c>
      <c r="B5574" t="s">
        <v>1151</v>
      </c>
      <c r="C5574" t="s">
        <v>4662</v>
      </c>
      <c r="D5574" t="s">
        <v>17185</v>
      </c>
      <c r="E5574" t="s">
        <v>22067</v>
      </c>
      <c r="F5574" t="s">
        <v>29372</v>
      </c>
      <c r="G5574" t="s">
        <v>29380</v>
      </c>
      <c r="H5574" t="s">
        <v>11048</v>
      </c>
      <c r="I5574" t="s">
        <v>5383</v>
      </c>
      <c r="J5574" t="s">
        <v>33135</v>
      </c>
      <c r="K5574" t="s">
        <v>38485</v>
      </c>
      <c r="M5574" t="s">
        <v>39965</v>
      </c>
      <c r="N5574" t="s">
        <v>42669</v>
      </c>
      <c r="O5574" t="s">
        <v>42670</v>
      </c>
      <c r="P5574">
        <v>0</v>
      </c>
      <c r="Q5574">
        <v>0</v>
      </c>
      <c r="R5574" t="s">
        <v>42677</v>
      </c>
      <c r="S5574" t="s">
        <v>42830</v>
      </c>
      <c r="T5574" t="s">
        <v>44427</v>
      </c>
      <c r="U5574" t="s">
        <v>49389</v>
      </c>
      <c r="W5574" t="s">
        <v>39965</v>
      </c>
      <c r="X5574" t="s">
        <v>42679</v>
      </c>
    </row>
    <row r="5575" spans="1:24">
      <c r="A5575">
        <f>HYPERLINK("https://www.philgeps.gov.ph/GEPSNONPILOT/Tender/SplashBidNoticeAbstractUI.aspx?menuIndex=3&amp;refID=7181461&amp;Result=3","7181461")</f>
        <v>0</v>
      </c>
      <c r="B5575" t="s">
        <v>1151</v>
      </c>
      <c r="C5575" t="s">
        <v>4662</v>
      </c>
      <c r="D5575" t="s">
        <v>17185</v>
      </c>
      <c r="E5575" t="s">
        <v>22068</v>
      </c>
      <c r="F5575" t="s">
        <v>29372</v>
      </c>
      <c r="G5575" t="s">
        <v>29380</v>
      </c>
      <c r="H5575" t="s">
        <v>11048</v>
      </c>
      <c r="I5575" t="s">
        <v>5383</v>
      </c>
      <c r="J5575" t="s">
        <v>33136</v>
      </c>
      <c r="K5575" t="s">
        <v>38485</v>
      </c>
      <c r="M5575" t="s">
        <v>39965</v>
      </c>
      <c r="N5575" t="s">
        <v>42669</v>
      </c>
      <c r="O5575" t="s">
        <v>42670</v>
      </c>
      <c r="P5575">
        <v>0</v>
      </c>
      <c r="Q5575">
        <v>0</v>
      </c>
      <c r="R5575" t="s">
        <v>42677</v>
      </c>
      <c r="S5575" t="s">
        <v>42830</v>
      </c>
      <c r="T5575" t="s">
        <v>44427</v>
      </c>
      <c r="U5575" t="s">
        <v>49390</v>
      </c>
      <c r="W5575" t="s">
        <v>39965</v>
      </c>
      <c r="X5575" t="s">
        <v>42679</v>
      </c>
    </row>
    <row r="5576" spans="1:24">
      <c r="A5576">
        <f>HYPERLINK("https://www.philgeps.gov.ph/GEPSNONPILOT/Tender/SplashBidNoticeAbstractUI.aspx?menuIndex=3&amp;refID=7181480&amp;Result=3","7181480")</f>
        <v>0</v>
      </c>
      <c r="B5576" t="s">
        <v>1927</v>
      </c>
      <c r="C5576" t="s">
        <v>8867</v>
      </c>
      <c r="D5576" t="s">
        <v>17231</v>
      </c>
      <c r="E5576" t="s">
        <v>22069</v>
      </c>
      <c r="F5576" t="s">
        <v>29372</v>
      </c>
      <c r="G5576" t="s">
        <v>29380</v>
      </c>
      <c r="H5576" t="s">
        <v>11048</v>
      </c>
      <c r="I5576" t="s">
        <v>5383</v>
      </c>
      <c r="J5576" t="s">
        <v>31053</v>
      </c>
      <c r="K5576" t="s">
        <v>38487</v>
      </c>
      <c r="M5576" t="s">
        <v>40804</v>
      </c>
      <c r="N5576" t="s">
        <v>42669</v>
      </c>
      <c r="O5576" t="s">
        <v>42670</v>
      </c>
      <c r="P5576">
        <v>0</v>
      </c>
      <c r="Q5576">
        <v>0</v>
      </c>
      <c r="R5576" t="s">
        <v>42677</v>
      </c>
      <c r="S5576" t="s">
        <v>42830</v>
      </c>
      <c r="T5576" t="s">
        <v>44481</v>
      </c>
      <c r="U5576" t="s">
        <v>49391</v>
      </c>
      <c r="W5576" t="s">
        <v>40804</v>
      </c>
      <c r="X5576" t="s">
        <v>42679</v>
      </c>
    </row>
    <row r="5577" spans="1:24">
      <c r="A5577">
        <f>HYPERLINK("https://www.philgeps.gov.ph/GEPSNONPILOT/Tender/SplashBidNoticeAbstractUI.aspx?menuIndex=3&amp;refID=7181432&amp;Result=3","7181432")</f>
        <v>0</v>
      </c>
      <c r="B5577" t="s">
        <v>1151</v>
      </c>
      <c r="C5577" t="s">
        <v>4662</v>
      </c>
      <c r="D5577" t="s">
        <v>17185</v>
      </c>
      <c r="E5577" t="s">
        <v>22070</v>
      </c>
      <c r="F5577" t="s">
        <v>29372</v>
      </c>
      <c r="G5577" t="s">
        <v>29380</v>
      </c>
      <c r="H5577" t="s">
        <v>11048</v>
      </c>
      <c r="I5577" t="s">
        <v>4487</v>
      </c>
      <c r="J5577" t="s">
        <v>30024</v>
      </c>
      <c r="K5577" t="s">
        <v>38485</v>
      </c>
      <c r="M5577" t="s">
        <v>39965</v>
      </c>
      <c r="N5577" t="s">
        <v>42669</v>
      </c>
      <c r="O5577" t="s">
        <v>42670</v>
      </c>
      <c r="P5577">
        <v>0</v>
      </c>
      <c r="Q5577">
        <v>0</v>
      </c>
      <c r="R5577" t="s">
        <v>42677</v>
      </c>
      <c r="S5577" t="s">
        <v>42830</v>
      </c>
      <c r="T5577" t="s">
        <v>44427</v>
      </c>
      <c r="U5577" t="s">
        <v>49392</v>
      </c>
      <c r="W5577" t="s">
        <v>39965</v>
      </c>
      <c r="X5577" t="s">
        <v>42679</v>
      </c>
    </row>
    <row r="5578" spans="1:24">
      <c r="A5578">
        <f>HYPERLINK("https://www.philgeps.gov.ph/GEPSNONPILOT/Tender/SplashBidNoticeAbstractUI.aspx?menuIndex=3&amp;refID=7181408&amp;Result=3","7181408")</f>
        <v>0</v>
      </c>
      <c r="B5578" t="s">
        <v>1927</v>
      </c>
      <c r="C5578" t="s">
        <v>8868</v>
      </c>
      <c r="D5578" t="s">
        <v>17231</v>
      </c>
      <c r="E5578" t="s">
        <v>22071</v>
      </c>
      <c r="F5578" t="s">
        <v>29372</v>
      </c>
      <c r="G5578" t="s">
        <v>29380</v>
      </c>
      <c r="H5578" t="s">
        <v>11048</v>
      </c>
      <c r="I5578" t="s">
        <v>29415</v>
      </c>
      <c r="J5578" t="s">
        <v>30412</v>
      </c>
      <c r="K5578" t="s">
        <v>38496</v>
      </c>
      <c r="M5578" t="s">
        <v>40804</v>
      </c>
      <c r="N5578" t="s">
        <v>42669</v>
      </c>
      <c r="O5578" t="s">
        <v>42670</v>
      </c>
      <c r="P5578">
        <v>0</v>
      </c>
      <c r="Q5578">
        <v>1</v>
      </c>
      <c r="R5578" t="s">
        <v>42677</v>
      </c>
      <c r="S5578" t="s">
        <v>42830</v>
      </c>
      <c r="T5578" t="s">
        <v>44481</v>
      </c>
      <c r="U5578" t="s">
        <v>49393</v>
      </c>
      <c r="W5578" t="s">
        <v>40804</v>
      </c>
      <c r="X5578" t="s">
        <v>42679</v>
      </c>
    </row>
    <row r="5579" spans="1:24">
      <c r="A5579">
        <f>HYPERLINK("https://www.philgeps.gov.ph/GEPSNONPILOT/Tender/SplashBidNoticeAbstractUI.aspx?menuIndex=3&amp;refID=7181308&amp;Result=3","7181308")</f>
        <v>0</v>
      </c>
      <c r="B5579" t="s">
        <v>1125</v>
      </c>
      <c r="C5579" t="s">
        <v>6354</v>
      </c>
      <c r="D5579" t="s">
        <v>17151</v>
      </c>
      <c r="E5579" t="s">
        <v>22072</v>
      </c>
      <c r="F5579" t="s">
        <v>29372</v>
      </c>
      <c r="G5579" t="s">
        <v>29380</v>
      </c>
      <c r="H5579" t="s">
        <v>11048</v>
      </c>
      <c r="I5579" t="s">
        <v>29393</v>
      </c>
      <c r="J5579" t="s">
        <v>33137</v>
      </c>
      <c r="K5579" t="s">
        <v>38491</v>
      </c>
      <c r="M5579" t="s">
        <v>39935</v>
      </c>
      <c r="N5579" t="s">
        <v>42669</v>
      </c>
      <c r="O5579" t="s">
        <v>42670</v>
      </c>
      <c r="P5579">
        <v>0</v>
      </c>
      <c r="Q5579">
        <v>0</v>
      </c>
      <c r="R5579" t="s">
        <v>42677</v>
      </c>
      <c r="S5579" t="s">
        <v>42830</v>
      </c>
      <c r="T5579" t="s">
        <v>44554</v>
      </c>
      <c r="U5579" t="s">
        <v>47278</v>
      </c>
      <c r="V5579" t="s">
        <v>56981</v>
      </c>
      <c r="W5579" t="s">
        <v>39935</v>
      </c>
      <c r="X5579" t="s">
        <v>42679</v>
      </c>
    </row>
    <row r="5580" spans="1:24">
      <c r="A5580">
        <f>HYPERLINK("https://www.philgeps.gov.ph/GEPSNONPILOT/Tender/SplashBidNoticeAbstractUI.aspx?menuIndex=3&amp;refID=7181156&amp;Result=3","7181156")</f>
        <v>0</v>
      </c>
      <c r="B5580" t="s">
        <v>1151</v>
      </c>
      <c r="C5580" t="s">
        <v>8869</v>
      </c>
      <c r="D5580" t="s">
        <v>17185</v>
      </c>
      <c r="E5580" t="s">
        <v>22073</v>
      </c>
      <c r="F5580" t="s">
        <v>29372</v>
      </c>
      <c r="G5580" t="s">
        <v>29380</v>
      </c>
      <c r="H5580" t="s">
        <v>11048</v>
      </c>
      <c r="I5580" t="s">
        <v>29393</v>
      </c>
      <c r="J5580" t="s">
        <v>33138</v>
      </c>
      <c r="K5580" t="s">
        <v>38485</v>
      </c>
      <c r="M5580" t="s">
        <v>39965</v>
      </c>
      <c r="N5580" t="s">
        <v>42669</v>
      </c>
      <c r="O5580" t="s">
        <v>42670</v>
      </c>
      <c r="P5580">
        <v>0</v>
      </c>
      <c r="Q5580">
        <v>0</v>
      </c>
      <c r="R5580" t="s">
        <v>42677</v>
      </c>
      <c r="S5580" t="s">
        <v>42830</v>
      </c>
      <c r="T5580" t="s">
        <v>44446</v>
      </c>
      <c r="U5580" t="s">
        <v>49394</v>
      </c>
      <c r="W5580" t="s">
        <v>39965</v>
      </c>
      <c r="X5580" t="s">
        <v>42679</v>
      </c>
    </row>
    <row r="5581" spans="1:24">
      <c r="A5581">
        <f>HYPERLINK("https://www.philgeps.gov.ph/GEPSNONPILOT/Tender/SplashBidNoticeAbstractUI.aspx?menuIndex=3&amp;refID=7181317&amp;Result=3","7181317")</f>
        <v>0</v>
      </c>
      <c r="B5581" t="s">
        <v>1125</v>
      </c>
      <c r="C5581" t="s">
        <v>8870</v>
      </c>
      <c r="D5581" t="s">
        <v>17151</v>
      </c>
      <c r="E5581" t="s">
        <v>22074</v>
      </c>
      <c r="F5581" t="s">
        <v>29372</v>
      </c>
      <c r="G5581" t="s">
        <v>29380</v>
      </c>
      <c r="H5581" t="s">
        <v>11048</v>
      </c>
      <c r="I5581" t="s">
        <v>3629</v>
      </c>
      <c r="J5581" t="s">
        <v>33139</v>
      </c>
      <c r="K5581" t="s">
        <v>38491</v>
      </c>
      <c r="M5581" t="s">
        <v>39935</v>
      </c>
      <c r="N5581" t="s">
        <v>42669</v>
      </c>
      <c r="O5581" t="s">
        <v>42670</v>
      </c>
      <c r="P5581">
        <v>0</v>
      </c>
      <c r="Q5581">
        <v>1</v>
      </c>
      <c r="R5581" t="s">
        <v>42677</v>
      </c>
      <c r="S5581" t="s">
        <v>42830</v>
      </c>
      <c r="T5581" t="s">
        <v>44554</v>
      </c>
      <c r="U5581" t="s">
        <v>47278</v>
      </c>
      <c r="V5581" t="s">
        <v>56982</v>
      </c>
      <c r="W5581" t="s">
        <v>39935</v>
      </c>
      <c r="X5581" t="s">
        <v>42679</v>
      </c>
    </row>
    <row r="5582" spans="1:24">
      <c r="A5582">
        <f>HYPERLINK("https://www.philgeps.gov.ph/GEPSNONPILOT/Tender/SplashBidNoticeAbstractUI.aspx?menuIndex=3&amp;refID=7181243&amp;Result=3","7181243")</f>
        <v>0</v>
      </c>
      <c r="B5582" t="s">
        <v>1935</v>
      </c>
      <c r="C5582" t="s">
        <v>8871</v>
      </c>
      <c r="D5582" t="s">
        <v>17170</v>
      </c>
      <c r="E5582" t="s">
        <v>22075</v>
      </c>
      <c r="F5582" t="s">
        <v>29372</v>
      </c>
      <c r="G5582" t="s">
        <v>29380</v>
      </c>
      <c r="H5582" t="s">
        <v>11048</v>
      </c>
      <c r="I5582" t="s">
        <v>4709</v>
      </c>
      <c r="J5582" t="s">
        <v>33140</v>
      </c>
      <c r="K5582" t="s">
        <v>38490</v>
      </c>
      <c r="M5582" t="s">
        <v>40814</v>
      </c>
      <c r="N5582" t="s">
        <v>42669</v>
      </c>
      <c r="O5582" t="s">
        <v>42670</v>
      </c>
      <c r="Q5582">
        <v>2</v>
      </c>
      <c r="R5582" t="s">
        <v>42677</v>
      </c>
      <c r="S5582" t="s">
        <v>42836</v>
      </c>
      <c r="T5582" t="s">
        <v>44482</v>
      </c>
      <c r="U5582" t="s">
        <v>49388</v>
      </c>
      <c r="W5582" t="s">
        <v>58064</v>
      </c>
      <c r="X5582" t="s">
        <v>42679</v>
      </c>
    </row>
    <row r="5583" spans="1:24">
      <c r="A5583">
        <f>HYPERLINK("https://www.philgeps.gov.ph/GEPSNONPILOT/Tender/SplashBidNoticeAbstractUI.aspx?menuIndex=3&amp;refID=7180981&amp;Result=3","7180981")</f>
        <v>0</v>
      </c>
      <c r="B5583" t="s">
        <v>1928</v>
      </c>
      <c r="C5583" t="s">
        <v>8872</v>
      </c>
      <c r="D5583" t="s">
        <v>17235</v>
      </c>
      <c r="E5583" t="s">
        <v>22076</v>
      </c>
      <c r="F5583" t="s">
        <v>29372</v>
      </c>
      <c r="G5583" t="s">
        <v>29380</v>
      </c>
      <c r="H5583" t="s">
        <v>29390</v>
      </c>
      <c r="I5583" t="s">
        <v>29484</v>
      </c>
      <c r="J5583" t="s">
        <v>29728</v>
      </c>
      <c r="K5583" t="s">
        <v>38567</v>
      </c>
      <c r="M5583" t="s">
        <v>40805</v>
      </c>
      <c r="N5583" t="s">
        <v>42669</v>
      </c>
      <c r="O5583" t="s">
        <v>42670</v>
      </c>
      <c r="P5583">
        <v>0</v>
      </c>
      <c r="Q5583">
        <v>1</v>
      </c>
      <c r="R5583" t="s">
        <v>42677</v>
      </c>
      <c r="S5583" t="s">
        <v>42830</v>
      </c>
      <c r="T5583" t="s">
        <v>44546</v>
      </c>
      <c r="U5583" t="s">
        <v>49395</v>
      </c>
      <c r="W5583" t="s">
        <v>40805</v>
      </c>
      <c r="X5583" t="s">
        <v>42679</v>
      </c>
    </row>
    <row r="5584" spans="1:24">
      <c r="A5584">
        <f>HYPERLINK("https://www.philgeps.gov.ph/GEPSNONPILOT/Tender/SplashBidNoticeAbstractUI.aspx?menuIndex=3&amp;refID=7181975&amp;Result=3","7181975")</f>
        <v>0</v>
      </c>
      <c r="B5584" t="s">
        <v>1936</v>
      </c>
      <c r="C5584" t="s">
        <v>8873</v>
      </c>
      <c r="D5584" t="s">
        <v>17170</v>
      </c>
      <c r="E5584" t="s">
        <v>22077</v>
      </c>
      <c r="F5584" t="s">
        <v>29372</v>
      </c>
      <c r="G5584" t="s">
        <v>29379</v>
      </c>
      <c r="H5584" t="s">
        <v>11048</v>
      </c>
      <c r="I5584" t="s">
        <v>29440</v>
      </c>
      <c r="J5584" t="s">
        <v>29532</v>
      </c>
      <c r="K5584" t="s">
        <v>38603</v>
      </c>
      <c r="M5584" t="s">
        <v>40815</v>
      </c>
      <c r="N5584" t="s">
        <v>42669</v>
      </c>
      <c r="O5584" t="s">
        <v>42670</v>
      </c>
      <c r="P5584">
        <v>0</v>
      </c>
      <c r="Q5584">
        <v>0</v>
      </c>
      <c r="R5584" t="s">
        <v>42677</v>
      </c>
      <c r="S5584" t="s">
        <v>42830</v>
      </c>
      <c r="T5584" t="s">
        <v>44382</v>
      </c>
      <c r="U5584" t="s">
        <v>49396</v>
      </c>
      <c r="W5584" t="s">
        <v>40815</v>
      </c>
      <c r="X5584" t="s">
        <v>42679</v>
      </c>
    </row>
    <row r="5585" spans="1:24">
      <c r="A5585">
        <f>HYPERLINK("https://www.philgeps.gov.ph/GEPSNONPILOT/Tender/SplashBidNoticeAbstractUI.aspx?menuIndex=3&amp;refID=7181354&amp;Result=3","7181354")</f>
        <v>0</v>
      </c>
      <c r="B5585" t="s">
        <v>304</v>
      </c>
      <c r="C5585" t="s">
        <v>8874</v>
      </c>
      <c r="D5585" t="s">
        <v>17141</v>
      </c>
      <c r="E5585" t="s">
        <v>22078</v>
      </c>
      <c r="F5585" t="s">
        <v>29372</v>
      </c>
      <c r="G5585" t="s">
        <v>29380</v>
      </c>
      <c r="H5585" t="s">
        <v>29389</v>
      </c>
      <c r="I5585" t="s">
        <v>10408</v>
      </c>
      <c r="J5585" t="s">
        <v>33141</v>
      </c>
      <c r="K5585" t="s">
        <v>38487</v>
      </c>
      <c r="M5585" t="s">
        <v>40816</v>
      </c>
      <c r="N5585" t="s">
        <v>42669</v>
      </c>
      <c r="O5585" t="s">
        <v>42670</v>
      </c>
      <c r="Q5585">
        <v>4</v>
      </c>
      <c r="R5585" t="s">
        <v>42677</v>
      </c>
      <c r="S5585" t="s">
        <v>42837</v>
      </c>
      <c r="T5585" t="s">
        <v>44539</v>
      </c>
      <c r="U5585" t="s">
        <v>49397</v>
      </c>
      <c r="V5585" t="s">
        <v>56983</v>
      </c>
      <c r="W5585" t="s">
        <v>40816</v>
      </c>
      <c r="X5585" t="s">
        <v>42679</v>
      </c>
    </row>
    <row r="5586" spans="1:24">
      <c r="A5586">
        <f>HYPERLINK("https://www.philgeps.gov.ph/GEPSNONPILOT/Tender/SplashBidNoticeAbstractUI.aspx?menuIndex=3&amp;refID=7181246&amp;Result=3","7181246")</f>
        <v>0</v>
      </c>
      <c r="B5586" t="s">
        <v>304</v>
      </c>
      <c r="C5586" t="s">
        <v>8875</v>
      </c>
      <c r="D5586" t="s">
        <v>17141</v>
      </c>
      <c r="E5586" t="s">
        <v>22079</v>
      </c>
      <c r="F5586" t="s">
        <v>29372</v>
      </c>
      <c r="G5586" t="s">
        <v>29380</v>
      </c>
      <c r="H5586" t="s">
        <v>29389</v>
      </c>
      <c r="I5586" t="s">
        <v>10408</v>
      </c>
      <c r="J5586" t="s">
        <v>33142</v>
      </c>
      <c r="K5586" t="s">
        <v>38495</v>
      </c>
      <c r="M5586" t="s">
        <v>40816</v>
      </c>
      <c r="N5586" t="s">
        <v>42669</v>
      </c>
      <c r="O5586" t="s">
        <v>42670</v>
      </c>
      <c r="Q5586">
        <v>3</v>
      </c>
      <c r="R5586" t="s">
        <v>42677</v>
      </c>
      <c r="S5586" t="s">
        <v>42838</v>
      </c>
      <c r="T5586" t="s">
        <v>44539</v>
      </c>
      <c r="U5586" t="s">
        <v>49398</v>
      </c>
      <c r="V5586" t="s">
        <v>56983</v>
      </c>
      <c r="W5586" t="s">
        <v>40816</v>
      </c>
      <c r="X5586" t="s">
        <v>42679</v>
      </c>
    </row>
    <row r="5587" spans="1:24">
      <c r="A5587">
        <f>HYPERLINK("https://www.philgeps.gov.ph/GEPSNONPILOT/Tender/SplashBidNoticeAbstractUI.aspx?menuIndex=3&amp;refID=7182067&amp;Result=3","7182067")</f>
        <v>0</v>
      </c>
      <c r="B5587" t="s">
        <v>589</v>
      </c>
      <c r="C5587" t="s">
        <v>8876</v>
      </c>
      <c r="D5587" t="s">
        <v>17168</v>
      </c>
      <c r="E5587" t="s">
        <v>22080</v>
      </c>
      <c r="F5587" t="s">
        <v>29372</v>
      </c>
      <c r="G5587" t="s">
        <v>29380</v>
      </c>
      <c r="H5587" t="s">
        <v>11048</v>
      </c>
      <c r="I5587" t="s">
        <v>29407</v>
      </c>
      <c r="J5587" t="s">
        <v>33143</v>
      </c>
      <c r="K5587" t="s">
        <v>38538</v>
      </c>
      <c r="M5587" t="s">
        <v>40450</v>
      </c>
      <c r="N5587" t="s">
        <v>42669</v>
      </c>
      <c r="O5587" t="s">
        <v>42670</v>
      </c>
      <c r="P5587">
        <v>0</v>
      </c>
      <c r="Q5587">
        <v>1</v>
      </c>
      <c r="R5587" t="s">
        <v>42677</v>
      </c>
      <c r="S5587" t="s">
        <v>42830</v>
      </c>
      <c r="T5587" t="s">
        <v>44427</v>
      </c>
      <c r="U5587" t="s">
        <v>49399</v>
      </c>
      <c r="V5587" t="s">
        <v>56701</v>
      </c>
      <c r="W5587" t="s">
        <v>40450</v>
      </c>
      <c r="X5587" t="s">
        <v>42679</v>
      </c>
    </row>
    <row r="5588" spans="1:24">
      <c r="A5588">
        <f>HYPERLINK("https://www.philgeps.gov.ph/GEPSNONPILOT/Tender/SplashBidNoticeAbstractUI.aspx?menuIndex=3&amp;refID=7181234&amp;Result=3","7181234")</f>
        <v>0</v>
      </c>
      <c r="B5588" t="s">
        <v>1937</v>
      </c>
      <c r="C5588" t="s">
        <v>8877</v>
      </c>
      <c r="D5588" t="s">
        <v>17171</v>
      </c>
      <c r="E5588" t="s">
        <v>22081</v>
      </c>
      <c r="F5588" t="s">
        <v>29372</v>
      </c>
      <c r="G5588" t="s">
        <v>29383</v>
      </c>
      <c r="H5588" t="s">
        <v>29389</v>
      </c>
      <c r="I5588" t="s">
        <v>10408</v>
      </c>
      <c r="J5588" t="s">
        <v>29825</v>
      </c>
      <c r="K5588" t="s">
        <v>38495</v>
      </c>
      <c r="M5588" t="s">
        <v>40817</v>
      </c>
      <c r="N5588" t="s">
        <v>42669</v>
      </c>
      <c r="O5588" t="s">
        <v>42670</v>
      </c>
      <c r="P5588">
        <v>0</v>
      </c>
      <c r="Q5588">
        <v>0</v>
      </c>
      <c r="R5588" t="s">
        <v>42677</v>
      </c>
      <c r="S5588" t="s">
        <v>42830</v>
      </c>
      <c r="T5588" t="s">
        <v>44385</v>
      </c>
      <c r="U5588" t="s">
        <v>49400</v>
      </c>
      <c r="V5588" t="s">
        <v>56984</v>
      </c>
      <c r="W5588" t="s">
        <v>40817</v>
      </c>
      <c r="X5588" t="s">
        <v>42679</v>
      </c>
    </row>
    <row r="5589" spans="1:24">
      <c r="A5589">
        <f>HYPERLINK("https://www.philgeps.gov.ph/GEPSNONPILOT/Tender/SplashBidNoticeAbstractUI.aspx?menuIndex=3&amp;refID=7182057&amp;Result=3","7182057")</f>
        <v>0</v>
      </c>
      <c r="B5589" t="s">
        <v>712</v>
      </c>
      <c r="C5589" t="s">
        <v>8878</v>
      </c>
      <c r="D5589" t="s">
        <v>17175</v>
      </c>
      <c r="E5589" t="s">
        <v>22082</v>
      </c>
      <c r="F5589" t="s">
        <v>29372</v>
      </c>
      <c r="G5589" t="s">
        <v>29379</v>
      </c>
      <c r="H5589" t="s">
        <v>11048</v>
      </c>
      <c r="I5589" t="s">
        <v>14920</v>
      </c>
      <c r="J5589" t="s">
        <v>30832</v>
      </c>
      <c r="K5589" t="s">
        <v>38491</v>
      </c>
      <c r="M5589" t="s">
        <v>40443</v>
      </c>
      <c r="N5589" t="s">
        <v>42669</v>
      </c>
      <c r="O5589" t="s">
        <v>42670</v>
      </c>
      <c r="P5589">
        <v>0</v>
      </c>
      <c r="Q5589">
        <v>2</v>
      </c>
      <c r="R5589" t="s">
        <v>42677</v>
      </c>
      <c r="S5589" t="s">
        <v>42830</v>
      </c>
      <c r="T5589" t="s">
        <v>44488</v>
      </c>
      <c r="U5589" t="s">
        <v>49401</v>
      </c>
      <c r="W5589" t="s">
        <v>40443</v>
      </c>
      <c r="X5589" t="s">
        <v>42679</v>
      </c>
    </row>
    <row r="5590" spans="1:24">
      <c r="A5590">
        <f>HYPERLINK("https://www.philgeps.gov.ph/GEPSNONPILOT/Tender/SplashBidNoticeAbstractUI.aspx?menuIndex=3&amp;refID=7180568&amp;Result=3","7180568")</f>
        <v>0</v>
      </c>
      <c r="B5590" t="s">
        <v>1924</v>
      </c>
      <c r="C5590" t="s">
        <v>8879</v>
      </c>
      <c r="D5590" t="s">
        <v>17166</v>
      </c>
      <c r="E5590" t="s">
        <v>22083</v>
      </c>
      <c r="F5590" t="s">
        <v>29375</v>
      </c>
      <c r="G5590" t="s">
        <v>29380</v>
      </c>
      <c r="H5590" t="s">
        <v>11048</v>
      </c>
      <c r="I5590" t="s">
        <v>29399</v>
      </c>
      <c r="J5590" t="s">
        <v>33144</v>
      </c>
      <c r="K5590" t="s">
        <v>38551</v>
      </c>
      <c r="M5590" t="s">
        <v>40801</v>
      </c>
      <c r="N5590" t="s">
        <v>42669</v>
      </c>
      <c r="O5590" t="s">
        <v>42670</v>
      </c>
      <c r="P5590">
        <v>0</v>
      </c>
      <c r="Q5590">
        <v>8</v>
      </c>
      <c r="R5590" t="s">
        <v>42677</v>
      </c>
      <c r="S5590" t="s">
        <v>42830</v>
      </c>
      <c r="T5590" t="s">
        <v>44476</v>
      </c>
      <c r="U5590" t="s">
        <v>49402</v>
      </c>
      <c r="V5590" t="s">
        <v>56975</v>
      </c>
      <c r="W5590" t="s">
        <v>40801</v>
      </c>
      <c r="X5590" t="s">
        <v>42680</v>
      </c>
    </row>
    <row r="5591" spans="1:24">
      <c r="A5591">
        <f>HYPERLINK("https://www.philgeps.gov.ph/GEPSNONPILOT/Tender/SplashBidNoticeAbstractUI.aspx?menuIndex=3&amp;refID=7181997&amp;Result=3","7181997")</f>
        <v>0</v>
      </c>
      <c r="B5591" t="s">
        <v>1912</v>
      </c>
      <c r="C5591" t="s">
        <v>8880</v>
      </c>
      <c r="D5591" t="s">
        <v>17194</v>
      </c>
      <c r="E5591" t="s">
        <v>22084</v>
      </c>
      <c r="F5591" t="s">
        <v>29372</v>
      </c>
      <c r="G5591" t="s">
        <v>29380</v>
      </c>
      <c r="H5591" t="s">
        <v>11048</v>
      </c>
      <c r="I5591" t="s">
        <v>29395</v>
      </c>
      <c r="J5591" t="s">
        <v>33145</v>
      </c>
      <c r="K5591" t="s">
        <v>38488</v>
      </c>
      <c r="M5591" t="s">
        <v>40787</v>
      </c>
      <c r="N5591" t="s">
        <v>42669</v>
      </c>
      <c r="O5591" t="s">
        <v>42670</v>
      </c>
      <c r="P5591">
        <v>0</v>
      </c>
      <c r="Q5591">
        <v>0</v>
      </c>
      <c r="R5591" t="s">
        <v>42677</v>
      </c>
      <c r="S5591" t="s">
        <v>42830</v>
      </c>
      <c r="T5591" t="s">
        <v>44399</v>
      </c>
      <c r="U5591" t="s">
        <v>49403</v>
      </c>
      <c r="W5591" t="s">
        <v>40787</v>
      </c>
      <c r="X5591" t="s">
        <v>42679</v>
      </c>
    </row>
    <row r="5592" spans="1:24">
      <c r="A5592">
        <f>HYPERLINK("https://www.philgeps.gov.ph/GEPSNONPILOT/Tender/SplashBidNoticeAbstractUI.aspx?menuIndex=3&amp;refID=7181951&amp;Result=3","7181951")</f>
        <v>0</v>
      </c>
      <c r="B5592" t="s">
        <v>589</v>
      </c>
      <c r="C5592" t="s">
        <v>8881</v>
      </c>
      <c r="D5592" t="s">
        <v>17168</v>
      </c>
      <c r="E5592" t="s">
        <v>22085</v>
      </c>
      <c r="F5592" t="s">
        <v>29372</v>
      </c>
      <c r="G5592" t="s">
        <v>29380</v>
      </c>
      <c r="H5592" t="s">
        <v>11048</v>
      </c>
      <c r="I5592" t="s">
        <v>29433</v>
      </c>
      <c r="J5592" t="s">
        <v>33146</v>
      </c>
      <c r="K5592" t="s">
        <v>38538</v>
      </c>
      <c r="M5592" t="s">
        <v>40450</v>
      </c>
      <c r="N5592" t="s">
        <v>42669</v>
      </c>
      <c r="O5592" t="s">
        <v>42670</v>
      </c>
      <c r="P5592">
        <v>0</v>
      </c>
      <c r="Q5592">
        <v>2</v>
      </c>
      <c r="R5592" t="s">
        <v>42677</v>
      </c>
      <c r="S5592" t="s">
        <v>42830</v>
      </c>
      <c r="T5592" t="s">
        <v>44427</v>
      </c>
      <c r="U5592" t="s">
        <v>49404</v>
      </c>
      <c r="V5592" t="s">
        <v>56701</v>
      </c>
      <c r="W5592" t="s">
        <v>40450</v>
      </c>
      <c r="X5592" t="s">
        <v>42679</v>
      </c>
    </row>
    <row r="5593" spans="1:24">
      <c r="A5593">
        <f>HYPERLINK("https://www.philgeps.gov.ph/GEPSNONPILOT/Tender/SplashBidNoticeAbstractUI.aspx?menuIndex=3&amp;refID=7181257&amp;Result=3","7181257")</f>
        <v>0</v>
      </c>
      <c r="B5593" t="s">
        <v>1935</v>
      </c>
      <c r="C5593" t="s">
        <v>8882</v>
      </c>
      <c r="D5593" t="s">
        <v>17170</v>
      </c>
      <c r="E5593" t="s">
        <v>22086</v>
      </c>
      <c r="F5593" t="s">
        <v>29372</v>
      </c>
      <c r="G5593" t="s">
        <v>29380</v>
      </c>
      <c r="H5593" t="s">
        <v>11048</v>
      </c>
      <c r="I5593" t="s">
        <v>4709</v>
      </c>
      <c r="J5593" t="s">
        <v>33147</v>
      </c>
      <c r="K5593" t="s">
        <v>38490</v>
      </c>
      <c r="M5593" t="s">
        <v>40814</v>
      </c>
      <c r="N5593" t="s">
        <v>42669</v>
      </c>
      <c r="O5593" t="s">
        <v>42670</v>
      </c>
      <c r="Q5593">
        <v>1</v>
      </c>
      <c r="R5593" t="s">
        <v>42677</v>
      </c>
      <c r="S5593" t="s">
        <v>42839</v>
      </c>
      <c r="T5593" t="s">
        <v>44482</v>
      </c>
      <c r="U5593" t="s">
        <v>49388</v>
      </c>
      <c r="W5593" t="s">
        <v>58064</v>
      </c>
      <c r="X5593" t="s">
        <v>42679</v>
      </c>
    </row>
    <row r="5594" spans="1:24">
      <c r="A5594">
        <f>HYPERLINK("https://www.philgeps.gov.ph/GEPSNONPILOT/Tender/SplashBidNoticeAbstractUI.aspx?menuIndex=3&amp;refID=7181941&amp;Result=3","7181941")</f>
        <v>0</v>
      </c>
      <c r="B5594" t="s">
        <v>1912</v>
      </c>
      <c r="C5594" t="s">
        <v>8883</v>
      </c>
      <c r="D5594" t="s">
        <v>17194</v>
      </c>
      <c r="E5594" t="s">
        <v>22087</v>
      </c>
      <c r="F5594" t="s">
        <v>29372</v>
      </c>
      <c r="G5594" t="s">
        <v>29380</v>
      </c>
      <c r="H5594" t="s">
        <v>11048</v>
      </c>
      <c r="I5594" t="s">
        <v>29411</v>
      </c>
      <c r="J5594" t="s">
        <v>30014</v>
      </c>
      <c r="K5594" t="s">
        <v>38485</v>
      </c>
      <c r="M5594" t="s">
        <v>40787</v>
      </c>
      <c r="N5594" t="s">
        <v>42669</v>
      </c>
      <c r="O5594" t="s">
        <v>42670</v>
      </c>
      <c r="P5594">
        <v>0</v>
      </c>
      <c r="Q5594">
        <v>1</v>
      </c>
      <c r="R5594" t="s">
        <v>42677</v>
      </c>
      <c r="S5594" t="s">
        <v>42830</v>
      </c>
      <c r="T5594" t="s">
        <v>44399</v>
      </c>
      <c r="U5594" t="s">
        <v>49405</v>
      </c>
      <c r="W5594" t="s">
        <v>40787</v>
      </c>
      <c r="X5594" t="s">
        <v>42679</v>
      </c>
    </row>
    <row r="5595" spans="1:24">
      <c r="A5595">
        <f>HYPERLINK("https://www.philgeps.gov.ph/GEPSNONPILOT/Tender/SplashBidNoticeAbstractUI.aspx?menuIndex=3&amp;refID=7181591&amp;Result=3","7181591")</f>
        <v>0</v>
      </c>
      <c r="B5595" t="s">
        <v>1151</v>
      </c>
      <c r="C5595" t="s">
        <v>4910</v>
      </c>
      <c r="D5595" t="s">
        <v>17185</v>
      </c>
      <c r="E5595" t="s">
        <v>22088</v>
      </c>
      <c r="F5595" t="s">
        <v>29372</v>
      </c>
      <c r="G5595" t="s">
        <v>29380</v>
      </c>
      <c r="H5595" t="s">
        <v>11048</v>
      </c>
      <c r="I5595" t="s">
        <v>9469</v>
      </c>
      <c r="J5595" t="s">
        <v>33148</v>
      </c>
      <c r="K5595" t="s">
        <v>38496</v>
      </c>
      <c r="M5595" t="s">
        <v>39965</v>
      </c>
      <c r="N5595" t="s">
        <v>42669</v>
      </c>
      <c r="O5595" t="s">
        <v>42670</v>
      </c>
      <c r="P5595">
        <v>0</v>
      </c>
      <c r="Q5595">
        <v>1</v>
      </c>
      <c r="R5595" t="s">
        <v>42677</v>
      </c>
      <c r="S5595" t="s">
        <v>42830</v>
      </c>
      <c r="T5595" t="s">
        <v>44427</v>
      </c>
      <c r="U5595" t="s">
        <v>49406</v>
      </c>
      <c r="W5595" t="s">
        <v>39965</v>
      </c>
      <c r="X5595" t="s">
        <v>42679</v>
      </c>
    </row>
    <row r="5596" spans="1:24">
      <c r="A5596">
        <f>HYPERLINK("https://www.philgeps.gov.ph/GEPSNONPILOT/Tender/SplashBidNoticeAbstractUI.aspx?menuIndex=3&amp;refID=7181608&amp;Result=3","7181608")</f>
        <v>0</v>
      </c>
      <c r="B5596" t="s">
        <v>1151</v>
      </c>
      <c r="C5596" t="s">
        <v>8884</v>
      </c>
      <c r="D5596" t="s">
        <v>17185</v>
      </c>
      <c r="E5596" t="s">
        <v>22089</v>
      </c>
      <c r="F5596" t="s">
        <v>29372</v>
      </c>
      <c r="G5596" t="s">
        <v>29380</v>
      </c>
      <c r="H5596" t="s">
        <v>11048</v>
      </c>
      <c r="I5596" t="s">
        <v>29403</v>
      </c>
      <c r="J5596" t="s">
        <v>30752</v>
      </c>
      <c r="K5596" t="s">
        <v>38485</v>
      </c>
      <c r="M5596" t="s">
        <v>39965</v>
      </c>
      <c r="N5596" t="s">
        <v>42669</v>
      </c>
      <c r="O5596" t="s">
        <v>42670</v>
      </c>
      <c r="P5596">
        <v>0</v>
      </c>
      <c r="Q5596">
        <v>1</v>
      </c>
      <c r="R5596" t="s">
        <v>42677</v>
      </c>
      <c r="S5596" t="s">
        <v>42830</v>
      </c>
      <c r="T5596" t="s">
        <v>44427</v>
      </c>
      <c r="U5596" t="s">
        <v>49407</v>
      </c>
      <c r="W5596" t="s">
        <v>39965</v>
      </c>
      <c r="X5596" t="s">
        <v>42679</v>
      </c>
    </row>
    <row r="5597" spans="1:24">
      <c r="A5597">
        <f>HYPERLINK("https://www.philgeps.gov.ph/GEPSNONPILOT/Tender/SplashBidNoticeAbstractUI.aspx?menuIndex=3&amp;refID=7180596&amp;Result=3","7180596")</f>
        <v>0</v>
      </c>
      <c r="B5597" t="s">
        <v>1924</v>
      </c>
      <c r="C5597" t="s">
        <v>8885</v>
      </c>
      <c r="D5597" t="s">
        <v>17166</v>
      </c>
      <c r="E5597" t="s">
        <v>22090</v>
      </c>
      <c r="F5597" t="s">
        <v>29372</v>
      </c>
      <c r="G5597" t="s">
        <v>29380</v>
      </c>
      <c r="H5597" t="s">
        <v>11048</v>
      </c>
      <c r="I5597" t="s">
        <v>29413</v>
      </c>
      <c r="J5597" t="s">
        <v>33149</v>
      </c>
      <c r="K5597" t="s">
        <v>38491</v>
      </c>
      <c r="M5597" t="s">
        <v>40801</v>
      </c>
      <c r="N5597" t="s">
        <v>42669</v>
      </c>
      <c r="O5597" t="s">
        <v>42670</v>
      </c>
      <c r="P5597">
        <v>0</v>
      </c>
      <c r="Q5597">
        <v>5</v>
      </c>
      <c r="R5597" t="s">
        <v>42677</v>
      </c>
      <c r="S5597" t="s">
        <v>42830</v>
      </c>
      <c r="T5597" t="s">
        <v>44476</v>
      </c>
      <c r="U5597" t="s">
        <v>49408</v>
      </c>
      <c r="V5597" t="s">
        <v>56975</v>
      </c>
      <c r="W5597" t="s">
        <v>40801</v>
      </c>
      <c r="X5597" t="s">
        <v>42680</v>
      </c>
    </row>
    <row r="5598" spans="1:24">
      <c r="A5598">
        <f>HYPERLINK("https://www.philgeps.gov.ph/GEPSNONPILOT/Tender/SplashBidNoticeAbstractUI.aspx?menuIndex=3&amp;refID=7181601&amp;Result=3","7181601")</f>
        <v>0</v>
      </c>
      <c r="B5598" t="s">
        <v>1151</v>
      </c>
      <c r="C5598" t="s">
        <v>3839</v>
      </c>
      <c r="D5598" t="s">
        <v>17185</v>
      </c>
      <c r="E5598" t="s">
        <v>22091</v>
      </c>
      <c r="F5598" t="s">
        <v>29372</v>
      </c>
      <c r="G5598" t="s">
        <v>29380</v>
      </c>
      <c r="H5598" t="s">
        <v>11048</v>
      </c>
      <c r="I5598" t="s">
        <v>29410</v>
      </c>
      <c r="J5598" t="s">
        <v>33150</v>
      </c>
      <c r="K5598" t="s">
        <v>38485</v>
      </c>
      <c r="M5598" t="s">
        <v>39965</v>
      </c>
      <c r="N5598" t="s">
        <v>42669</v>
      </c>
      <c r="O5598" t="s">
        <v>42670</v>
      </c>
      <c r="P5598">
        <v>0</v>
      </c>
      <c r="Q5598">
        <v>0</v>
      </c>
      <c r="R5598" t="s">
        <v>42677</v>
      </c>
      <c r="S5598" t="s">
        <v>42830</v>
      </c>
      <c r="T5598" t="s">
        <v>44427</v>
      </c>
      <c r="U5598" t="s">
        <v>49409</v>
      </c>
      <c r="W5598" t="s">
        <v>39965</v>
      </c>
      <c r="X5598" t="s">
        <v>42679</v>
      </c>
    </row>
    <row r="5599" spans="1:24">
      <c r="A5599">
        <f>HYPERLINK("https://www.philgeps.gov.ph/GEPSNONPILOT/Tender/SplashBidNoticeAbstractUI.aspx?menuIndex=3&amp;refID=7181573&amp;Result=3","7181573")</f>
        <v>0</v>
      </c>
      <c r="B5599" t="s">
        <v>1938</v>
      </c>
      <c r="C5599" t="s">
        <v>8886</v>
      </c>
      <c r="D5599" t="s">
        <v>17211</v>
      </c>
      <c r="E5599" t="s">
        <v>22092</v>
      </c>
      <c r="F5599" t="s">
        <v>29372</v>
      </c>
      <c r="G5599" t="s">
        <v>29380</v>
      </c>
      <c r="H5599" t="s">
        <v>11048</v>
      </c>
      <c r="I5599" t="s">
        <v>4709</v>
      </c>
      <c r="J5599" t="s">
        <v>33151</v>
      </c>
      <c r="K5599" t="s">
        <v>38488</v>
      </c>
      <c r="M5599" t="s">
        <v>40818</v>
      </c>
      <c r="N5599" t="s">
        <v>42669</v>
      </c>
      <c r="O5599" t="s">
        <v>42670</v>
      </c>
      <c r="P5599">
        <v>0</v>
      </c>
      <c r="Q5599">
        <v>1</v>
      </c>
      <c r="R5599" t="s">
        <v>42677</v>
      </c>
      <c r="S5599" t="s">
        <v>42830</v>
      </c>
      <c r="T5599" t="s">
        <v>44371</v>
      </c>
      <c r="U5599" t="s">
        <v>49410</v>
      </c>
      <c r="W5599" t="s">
        <v>40818</v>
      </c>
      <c r="X5599" t="s">
        <v>42679</v>
      </c>
    </row>
    <row r="5600" spans="1:24">
      <c r="A5600">
        <f>HYPERLINK("https://www.philgeps.gov.ph/GEPSNONPILOT/Tender/SplashBidNoticeAbstractUI.aspx?menuIndex=3&amp;refID=7181571&amp;Result=3","7181571")</f>
        <v>0</v>
      </c>
      <c r="B5600" t="s">
        <v>1151</v>
      </c>
      <c r="C5600" t="s">
        <v>8887</v>
      </c>
      <c r="D5600" t="s">
        <v>17185</v>
      </c>
      <c r="E5600" t="s">
        <v>22093</v>
      </c>
      <c r="F5600" t="s">
        <v>29372</v>
      </c>
      <c r="G5600" t="s">
        <v>29380</v>
      </c>
      <c r="H5600" t="s">
        <v>11048</v>
      </c>
      <c r="I5600" t="s">
        <v>29423</v>
      </c>
      <c r="J5600" t="s">
        <v>33152</v>
      </c>
      <c r="K5600" t="s">
        <v>38485</v>
      </c>
      <c r="M5600" t="s">
        <v>39965</v>
      </c>
      <c r="N5600" t="s">
        <v>42669</v>
      </c>
      <c r="O5600" t="s">
        <v>42670</v>
      </c>
      <c r="P5600">
        <v>0</v>
      </c>
      <c r="Q5600">
        <v>0</v>
      </c>
      <c r="R5600" t="s">
        <v>42677</v>
      </c>
      <c r="S5600" t="s">
        <v>42830</v>
      </c>
      <c r="T5600" t="s">
        <v>44427</v>
      </c>
      <c r="U5600" t="s">
        <v>49411</v>
      </c>
      <c r="W5600" t="s">
        <v>39965</v>
      </c>
      <c r="X5600" t="s">
        <v>42679</v>
      </c>
    </row>
    <row r="5601" spans="1:24">
      <c r="A5601">
        <f>HYPERLINK("https://www.philgeps.gov.ph/GEPSNONPILOT/Tender/SplashBidNoticeAbstractUI.aspx?menuIndex=3&amp;refID=7182379&amp;Result=3","7182379")</f>
        <v>0</v>
      </c>
      <c r="B5601" t="s">
        <v>589</v>
      </c>
      <c r="C5601" t="s">
        <v>8888</v>
      </c>
      <c r="D5601" t="s">
        <v>17168</v>
      </c>
      <c r="E5601" t="s">
        <v>22094</v>
      </c>
      <c r="F5601" t="s">
        <v>29372</v>
      </c>
      <c r="G5601" t="s">
        <v>29380</v>
      </c>
      <c r="H5601" t="s">
        <v>11048</v>
      </c>
      <c r="I5601" t="s">
        <v>3695</v>
      </c>
      <c r="J5601" t="s">
        <v>33153</v>
      </c>
      <c r="K5601" t="s">
        <v>38538</v>
      </c>
      <c r="M5601" t="s">
        <v>40450</v>
      </c>
      <c r="N5601" t="s">
        <v>42669</v>
      </c>
      <c r="O5601" t="s">
        <v>42670</v>
      </c>
      <c r="P5601">
        <v>0</v>
      </c>
      <c r="Q5601">
        <v>0</v>
      </c>
      <c r="R5601" t="s">
        <v>42677</v>
      </c>
      <c r="S5601" t="s">
        <v>42830</v>
      </c>
      <c r="T5601" t="s">
        <v>44427</v>
      </c>
      <c r="U5601" t="s">
        <v>49412</v>
      </c>
      <c r="V5601" t="s">
        <v>56701</v>
      </c>
      <c r="W5601" t="s">
        <v>40450</v>
      </c>
      <c r="X5601" t="s">
        <v>42679</v>
      </c>
    </row>
    <row r="5602" spans="1:24">
      <c r="A5602">
        <f>HYPERLINK("https://www.philgeps.gov.ph/GEPSNONPILOT/Tender/SplashBidNoticeAbstractUI.aspx?menuIndex=3&amp;refID=7181855&amp;Result=3","7181855")</f>
        <v>0</v>
      </c>
      <c r="B5602" t="s">
        <v>1927</v>
      </c>
      <c r="C5602" t="s">
        <v>8889</v>
      </c>
      <c r="D5602" t="s">
        <v>17231</v>
      </c>
      <c r="E5602" t="s">
        <v>22095</v>
      </c>
      <c r="F5602" t="s">
        <v>29372</v>
      </c>
      <c r="G5602" t="s">
        <v>29380</v>
      </c>
      <c r="H5602" t="s">
        <v>11048</v>
      </c>
      <c r="I5602" t="s">
        <v>4709</v>
      </c>
      <c r="J5602" t="s">
        <v>33154</v>
      </c>
      <c r="K5602" t="s">
        <v>38487</v>
      </c>
      <c r="M5602" t="s">
        <v>40804</v>
      </c>
      <c r="N5602" t="s">
        <v>42669</v>
      </c>
      <c r="O5602" t="s">
        <v>42670</v>
      </c>
      <c r="P5602">
        <v>0</v>
      </c>
      <c r="Q5602">
        <v>0</v>
      </c>
      <c r="R5602" t="s">
        <v>42677</v>
      </c>
      <c r="S5602" t="s">
        <v>42830</v>
      </c>
      <c r="T5602" t="s">
        <v>44481</v>
      </c>
      <c r="U5602" t="s">
        <v>49413</v>
      </c>
      <c r="W5602" t="s">
        <v>40804</v>
      </c>
      <c r="X5602" t="s">
        <v>42679</v>
      </c>
    </row>
    <row r="5603" spans="1:24">
      <c r="A5603">
        <f>HYPERLINK("https://www.philgeps.gov.ph/GEPSNONPILOT/Tender/SplashBidNoticeAbstractUI.aspx?menuIndex=3&amp;refID=7181615&amp;Result=3","7181615")</f>
        <v>0</v>
      </c>
      <c r="B5603" t="s">
        <v>1927</v>
      </c>
      <c r="C5603" t="s">
        <v>8890</v>
      </c>
      <c r="D5603" t="s">
        <v>17231</v>
      </c>
      <c r="E5603" t="s">
        <v>22096</v>
      </c>
      <c r="F5603" t="s">
        <v>29372</v>
      </c>
      <c r="G5603" t="s">
        <v>29380</v>
      </c>
      <c r="H5603" t="s">
        <v>11048</v>
      </c>
      <c r="I5603" t="s">
        <v>3839</v>
      </c>
      <c r="J5603" t="s">
        <v>33155</v>
      </c>
      <c r="K5603" t="s">
        <v>38487</v>
      </c>
      <c r="M5603" t="s">
        <v>40804</v>
      </c>
      <c r="N5603" t="s">
        <v>42669</v>
      </c>
      <c r="O5603" t="s">
        <v>42670</v>
      </c>
      <c r="P5603">
        <v>0</v>
      </c>
      <c r="Q5603">
        <v>0</v>
      </c>
      <c r="R5603" t="s">
        <v>42677</v>
      </c>
      <c r="S5603" t="s">
        <v>42830</v>
      </c>
      <c r="T5603" t="s">
        <v>44481</v>
      </c>
      <c r="U5603" t="s">
        <v>49414</v>
      </c>
      <c r="W5603" t="s">
        <v>40804</v>
      </c>
      <c r="X5603" t="s">
        <v>42679</v>
      </c>
    </row>
    <row r="5604" spans="1:24">
      <c r="A5604">
        <f>HYPERLINK("https://www.philgeps.gov.ph/GEPSNONPILOT/Tender/SplashBidNoticeAbstractUI.aspx?menuIndex=3&amp;refID=7182565&amp;Result=3","7182565")</f>
        <v>0</v>
      </c>
      <c r="B5604" t="s">
        <v>1717</v>
      </c>
      <c r="C5604" t="s">
        <v>8891</v>
      </c>
      <c r="D5604" t="s">
        <v>17170</v>
      </c>
      <c r="E5604" t="s">
        <v>22097</v>
      </c>
      <c r="F5604" t="s">
        <v>29372</v>
      </c>
      <c r="G5604" t="s">
        <v>29380</v>
      </c>
      <c r="H5604" t="s">
        <v>11048</v>
      </c>
      <c r="I5604" t="s">
        <v>29408</v>
      </c>
      <c r="J5604" t="s">
        <v>33156</v>
      </c>
      <c r="K5604" t="s">
        <v>38565</v>
      </c>
      <c r="M5604" t="s">
        <v>40819</v>
      </c>
      <c r="N5604" t="s">
        <v>42669</v>
      </c>
      <c r="O5604" t="s">
        <v>42670</v>
      </c>
      <c r="P5604">
        <v>0</v>
      </c>
      <c r="Q5604">
        <v>1</v>
      </c>
      <c r="R5604" t="s">
        <v>42677</v>
      </c>
      <c r="S5604" t="s">
        <v>42830</v>
      </c>
      <c r="T5604" t="s">
        <v>44450</v>
      </c>
      <c r="U5604" t="s">
        <v>49415</v>
      </c>
      <c r="W5604" t="s">
        <v>40819</v>
      </c>
      <c r="X5604" t="s">
        <v>42679</v>
      </c>
    </row>
    <row r="5605" spans="1:24">
      <c r="A5605">
        <f>HYPERLINK("https://www.philgeps.gov.ph/GEPSNONPILOT/Tender/SplashBidNoticeAbstractUI.aspx?menuIndex=3&amp;refID=7181958&amp;Result=3","7181958")</f>
        <v>0</v>
      </c>
      <c r="B5605" t="s">
        <v>1919</v>
      </c>
      <c r="C5605" t="s">
        <v>8892</v>
      </c>
      <c r="D5605" t="s">
        <v>17194</v>
      </c>
      <c r="E5605" t="s">
        <v>22098</v>
      </c>
      <c r="F5605" t="s">
        <v>29372</v>
      </c>
      <c r="G5605" t="s">
        <v>29380</v>
      </c>
      <c r="H5605" t="s">
        <v>11048</v>
      </c>
      <c r="I5605" t="s">
        <v>4709</v>
      </c>
      <c r="J5605" t="s">
        <v>33157</v>
      </c>
      <c r="K5605" t="s">
        <v>38485</v>
      </c>
      <c r="M5605" t="s">
        <v>40820</v>
      </c>
      <c r="N5605" t="s">
        <v>42669</v>
      </c>
      <c r="O5605" t="s">
        <v>42670</v>
      </c>
      <c r="P5605">
        <v>0</v>
      </c>
      <c r="Q5605">
        <v>1</v>
      </c>
      <c r="R5605" t="s">
        <v>42677</v>
      </c>
      <c r="S5605" t="s">
        <v>42830</v>
      </c>
      <c r="T5605" t="s">
        <v>44504</v>
      </c>
      <c r="U5605" t="s">
        <v>49323</v>
      </c>
      <c r="V5605" t="s">
        <v>56972</v>
      </c>
      <c r="W5605" t="s">
        <v>40820</v>
      </c>
      <c r="X5605" t="s">
        <v>42679</v>
      </c>
    </row>
    <row r="5606" spans="1:24">
      <c r="A5606">
        <f>HYPERLINK("https://www.philgeps.gov.ph/GEPSNONPILOT/Tender/SplashBidNoticeAbstractUI.aspx?menuIndex=3&amp;refID=7181945&amp;Result=3","7181945")</f>
        <v>0</v>
      </c>
      <c r="B5606" t="s">
        <v>1919</v>
      </c>
      <c r="C5606" t="s">
        <v>8893</v>
      </c>
      <c r="D5606" t="s">
        <v>17194</v>
      </c>
      <c r="E5606" t="s">
        <v>22099</v>
      </c>
      <c r="F5606" t="s">
        <v>29372</v>
      </c>
      <c r="G5606" t="s">
        <v>29380</v>
      </c>
      <c r="H5606" t="s">
        <v>11048</v>
      </c>
      <c r="I5606" t="s">
        <v>29417</v>
      </c>
      <c r="J5606" t="s">
        <v>33158</v>
      </c>
      <c r="K5606" t="s">
        <v>38485</v>
      </c>
      <c r="M5606" t="s">
        <v>40820</v>
      </c>
      <c r="N5606" t="s">
        <v>42669</v>
      </c>
      <c r="O5606" t="s">
        <v>42670</v>
      </c>
      <c r="P5606">
        <v>0</v>
      </c>
      <c r="Q5606">
        <v>1</v>
      </c>
      <c r="R5606" t="s">
        <v>42677</v>
      </c>
      <c r="S5606" t="s">
        <v>42830</v>
      </c>
      <c r="T5606" t="s">
        <v>44504</v>
      </c>
      <c r="U5606" t="s">
        <v>49323</v>
      </c>
      <c r="V5606" t="s">
        <v>56972</v>
      </c>
      <c r="W5606" t="s">
        <v>40820</v>
      </c>
      <c r="X5606" t="s">
        <v>42679</v>
      </c>
    </row>
    <row r="5607" spans="1:24">
      <c r="A5607">
        <f>HYPERLINK("https://www.philgeps.gov.ph/GEPSNONPILOT/Tender/SplashBidNoticeAbstractUI.aspx?menuIndex=3&amp;refID=7182537&amp;Result=3","7182537")</f>
        <v>0</v>
      </c>
      <c r="B5607" t="s">
        <v>1939</v>
      </c>
      <c r="C5607" t="s">
        <v>6890</v>
      </c>
      <c r="D5607" t="s">
        <v>17172</v>
      </c>
      <c r="E5607" t="s">
        <v>18026</v>
      </c>
      <c r="F5607" t="s">
        <v>29372</v>
      </c>
      <c r="G5607" t="s">
        <v>29380</v>
      </c>
      <c r="H5607" t="s">
        <v>29389</v>
      </c>
      <c r="I5607" t="s">
        <v>29402</v>
      </c>
      <c r="J5607" t="s">
        <v>29555</v>
      </c>
      <c r="K5607" t="s">
        <v>38487</v>
      </c>
      <c r="M5607" t="s">
        <v>40821</v>
      </c>
      <c r="N5607" t="s">
        <v>42669</v>
      </c>
      <c r="O5607" t="s">
        <v>42670</v>
      </c>
      <c r="P5607">
        <v>0</v>
      </c>
      <c r="Q5607">
        <v>0</v>
      </c>
      <c r="R5607" t="s">
        <v>42677</v>
      </c>
      <c r="S5607" t="s">
        <v>42830</v>
      </c>
      <c r="T5607" t="s">
        <v>44429</v>
      </c>
      <c r="U5607" t="s">
        <v>49416</v>
      </c>
      <c r="W5607" t="s">
        <v>40821</v>
      </c>
      <c r="X5607" t="s">
        <v>42679</v>
      </c>
    </row>
    <row r="5608" spans="1:24">
      <c r="A5608">
        <f>HYPERLINK("https://www.philgeps.gov.ph/GEPSNONPILOT/Tender/SplashBidNoticeAbstractUI.aspx?menuIndex=3&amp;refID=7182406&amp;Result=3","7182406")</f>
        <v>0</v>
      </c>
      <c r="B5608" t="s">
        <v>589</v>
      </c>
      <c r="C5608" t="s">
        <v>8894</v>
      </c>
      <c r="D5608" t="s">
        <v>17168</v>
      </c>
      <c r="E5608" t="s">
        <v>22100</v>
      </c>
      <c r="F5608" t="s">
        <v>29372</v>
      </c>
      <c r="G5608" t="s">
        <v>29380</v>
      </c>
      <c r="H5608" t="s">
        <v>11048</v>
      </c>
      <c r="I5608" t="s">
        <v>29407</v>
      </c>
      <c r="J5608" t="s">
        <v>33159</v>
      </c>
      <c r="K5608" t="s">
        <v>38538</v>
      </c>
      <c r="M5608" t="s">
        <v>40450</v>
      </c>
      <c r="N5608" t="s">
        <v>42669</v>
      </c>
      <c r="O5608" t="s">
        <v>42670</v>
      </c>
      <c r="P5608">
        <v>0</v>
      </c>
      <c r="Q5608">
        <v>1</v>
      </c>
      <c r="R5608" t="s">
        <v>42677</v>
      </c>
      <c r="S5608" t="s">
        <v>42830</v>
      </c>
      <c r="T5608" t="s">
        <v>44427</v>
      </c>
      <c r="U5608" t="s">
        <v>49417</v>
      </c>
      <c r="V5608" t="s">
        <v>56701</v>
      </c>
      <c r="W5608" t="s">
        <v>40450</v>
      </c>
      <c r="X5608" t="s">
        <v>42679</v>
      </c>
    </row>
    <row r="5609" spans="1:24">
      <c r="A5609">
        <f>HYPERLINK("https://www.philgeps.gov.ph/GEPSNONPILOT/Tender/SplashBidNoticeAbstractUI.aspx?menuIndex=3&amp;refID=7182452&amp;Result=3","7182452")</f>
        <v>0</v>
      </c>
      <c r="B5609" t="s">
        <v>589</v>
      </c>
      <c r="C5609" t="s">
        <v>8895</v>
      </c>
      <c r="D5609" t="s">
        <v>17168</v>
      </c>
      <c r="E5609" t="s">
        <v>22101</v>
      </c>
      <c r="F5609" t="s">
        <v>29372</v>
      </c>
      <c r="G5609" t="s">
        <v>29380</v>
      </c>
      <c r="H5609" t="s">
        <v>11048</v>
      </c>
      <c r="I5609" t="s">
        <v>3695</v>
      </c>
      <c r="J5609" t="s">
        <v>33160</v>
      </c>
      <c r="K5609" t="s">
        <v>38538</v>
      </c>
      <c r="M5609" t="s">
        <v>40450</v>
      </c>
      <c r="N5609" t="s">
        <v>42669</v>
      </c>
      <c r="O5609" t="s">
        <v>42670</v>
      </c>
      <c r="P5609">
        <v>0</v>
      </c>
      <c r="Q5609">
        <v>1</v>
      </c>
      <c r="R5609" t="s">
        <v>42677</v>
      </c>
      <c r="S5609" t="s">
        <v>42830</v>
      </c>
      <c r="T5609" t="s">
        <v>44427</v>
      </c>
      <c r="U5609" t="s">
        <v>49418</v>
      </c>
      <c r="V5609" t="s">
        <v>56701</v>
      </c>
      <c r="W5609" t="s">
        <v>40450</v>
      </c>
      <c r="X5609" t="s">
        <v>42679</v>
      </c>
    </row>
    <row r="5610" spans="1:24">
      <c r="A5610">
        <f>HYPERLINK("https://www.philgeps.gov.ph/GEPSNONPILOT/Tender/SplashBidNoticeAbstractUI.aspx?menuIndex=3&amp;refID=7182335&amp;Result=3","7182335")</f>
        <v>0</v>
      </c>
      <c r="B5610" t="s">
        <v>951</v>
      </c>
      <c r="C5610" t="s">
        <v>8896</v>
      </c>
      <c r="D5610" t="s">
        <v>17166</v>
      </c>
      <c r="E5610" t="s">
        <v>22102</v>
      </c>
      <c r="F5610" t="s">
        <v>29372</v>
      </c>
      <c r="G5610" t="s">
        <v>29380</v>
      </c>
      <c r="H5610" t="s">
        <v>29389</v>
      </c>
      <c r="I5610" t="s">
        <v>10408</v>
      </c>
      <c r="J5610" t="s">
        <v>29573</v>
      </c>
      <c r="K5610" t="s">
        <v>38622</v>
      </c>
      <c r="M5610" t="s">
        <v>39747</v>
      </c>
      <c r="N5610" t="s">
        <v>42669</v>
      </c>
      <c r="O5610" t="s">
        <v>42670</v>
      </c>
      <c r="P5610">
        <v>0</v>
      </c>
      <c r="Q5610">
        <v>3</v>
      </c>
      <c r="R5610" t="s">
        <v>42677</v>
      </c>
      <c r="S5610" t="s">
        <v>42830</v>
      </c>
      <c r="T5610" t="s">
        <v>44368</v>
      </c>
      <c r="U5610" t="s">
        <v>49419</v>
      </c>
      <c r="W5610" t="s">
        <v>39747</v>
      </c>
      <c r="X5610" t="s">
        <v>42679</v>
      </c>
    </row>
    <row r="5611" spans="1:24">
      <c r="A5611">
        <f>HYPERLINK("https://www.philgeps.gov.ph/GEPSNONPILOT/Tender/SplashBidNoticeAbstractUI.aspx?menuIndex=3&amp;refID=7182515&amp;Result=3","7182515")</f>
        <v>0</v>
      </c>
      <c r="B5611" t="s">
        <v>589</v>
      </c>
      <c r="C5611" t="s">
        <v>8897</v>
      </c>
      <c r="D5611" t="s">
        <v>17168</v>
      </c>
      <c r="E5611" t="s">
        <v>22103</v>
      </c>
      <c r="F5611" t="s">
        <v>29372</v>
      </c>
      <c r="G5611" t="s">
        <v>29380</v>
      </c>
      <c r="H5611" t="s">
        <v>11048</v>
      </c>
      <c r="I5611" t="s">
        <v>29407</v>
      </c>
      <c r="J5611" t="s">
        <v>33161</v>
      </c>
      <c r="K5611" t="s">
        <v>38538</v>
      </c>
      <c r="M5611" t="s">
        <v>40450</v>
      </c>
      <c r="N5611" t="s">
        <v>42669</v>
      </c>
      <c r="O5611" t="s">
        <v>42670</v>
      </c>
      <c r="P5611">
        <v>0</v>
      </c>
      <c r="Q5611">
        <v>3</v>
      </c>
      <c r="R5611" t="s">
        <v>42677</v>
      </c>
      <c r="S5611" t="s">
        <v>42830</v>
      </c>
      <c r="T5611" t="s">
        <v>44427</v>
      </c>
      <c r="U5611" t="s">
        <v>49420</v>
      </c>
      <c r="V5611" t="s">
        <v>56701</v>
      </c>
      <c r="W5611" t="s">
        <v>40450</v>
      </c>
      <c r="X5611" t="s">
        <v>42679</v>
      </c>
    </row>
    <row r="5612" spans="1:24">
      <c r="A5612">
        <f>HYPERLINK("https://www.philgeps.gov.ph/GEPSNONPILOT/Tender/SplashBidNoticeAbstractUI.aspx?menuIndex=3&amp;refID=7182343&amp;Result=3","7182343")</f>
        <v>0</v>
      </c>
      <c r="B5612" t="s">
        <v>1084</v>
      </c>
      <c r="C5612" t="s">
        <v>8898</v>
      </c>
      <c r="D5612" t="s">
        <v>17179</v>
      </c>
      <c r="E5612" t="s">
        <v>22104</v>
      </c>
      <c r="F5612" t="s">
        <v>29372</v>
      </c>
      <c r="G5612" t="s">
        <v>29379</v>
      </c>
      <c r="H5612" t="s">
        <v>11048</v>
      </c>
      <c r="I5612" t="s">
        <v>8208</v>
      </c>
      <c r="J5612" t="s">
        <v>30191</v>
      </c>
      <c r="K5612" t="s">
        <v>38490</v>
      </c>
      <c r="M5612" t="s">
        <v>39891</v>
      </c>
      <c r="N5612" t="s">
        <v>42669</v>
      </c>
      <c r="O5612" t="s">
        <v>42670</v>
      </c>
      <c r="P5612">
        <v>0</v>
      </c>
      <c r="Q5612">
        <v>1</v>
      </c>
      <c r="R5612" t="s">
        <v>42677</v>
      </c>
      <c r="S5612" t="s">
        <v>42830</v>
      </c>
      <c r="T5612" t="s">
        <v>44491</v>
      </c>
      <c r="U5612" t="s">
        <v>47177</v>
      </c>
      <c r="W5612" t="s">
        <v>39891</v>
      </c>
      <c r="X5612" t="s">
        <v>42679</v>
      </c>
    </row>
    <row r="5613" spans="1:24">
      <c r="A5613">
        <f>HYPERLINK("https://www.philgeps.gov.ph/GEPSNONPILOT/Tender/SplashBidNoticeAbstractUI.aspx?menuIndex=3&amp;refID=7182354&amp;Result=3","7182354")</f>
        <v>0</v>
      </c>
      <c r="B5613" t="s">
        <v>304</v>
      </c>
      <c r="C5613" t="s">
        <v>8899</v>
      </c>
      <c r="D5613" t="s">
        <v>17141</v>
      </c>
      <c r="E5613" t="s">
        <v>22105</v>
      </c>
      <c r="F5613" t="s">
        <v>29372</v>
      </c>
      <c r="G5613" t="s">
        <v>29380</v>
      </c>
      <c r="H5613" t="s">
        <v>11048</v>
      </c>
      <c r="I5613" t="s">
        <v>29424</v>
      </c>
      <c r="J5613" t="s">
        <v>33162</v>
      </c>
      <c r="K5613" t="s">
        <v>38533</v>
      </c>
      <c r="M5613" t="s">
        <v>40816</v>
      </c>
      <c r="N5613" t="s">
        <v>42669</v>
      </c>
      <c r="O5613" t="s">
        <v>42670</v>
      </c>
      <c r="Q5613">
        <v>1</v>
      </c>
      <c r="R5613" t="s">
        <v>42677</v>
      </c>
      <c r="S5613" t="s">
        <v>42840</v>
      </c>
      <c r="T5613" t="s">
        <v>44539</v>
      </c>
      <c r="U5613" t="s">
        <v>49421</v>
      </c>
      <c r="V5613" t="s">
        <v>56983</v>
      </c>
      <c r="W5613" t="s">
        <v>40816</v>
      </c>
      <c r="X5613" t="s">
        <v>42679</v>
      </c>
    </row>
    <row r="5614" spans="1:24">
      <c r="A5614">
        <f>HYPERLINK("https://www.philgeps.gov.ph/GEPSNONPILOT/Tender/SplashBidNoticeAbstractUI.aspx?menuIndex=3&amp;refID=7182296&amp;Result=3","7182296")</f>
        <v>0</v>
      </c>
      <c r="B5614" t="s">
        <v>1940</v>
      </c>
      <c r="C5614" t="s">
        <v>8900</v>
      </c>
      <c r="E5614" t="s">
        <v>22106</v>
      </c>
      <c r="F5614" t="s">
        <v>29373</v>
      </c>
      <c r="G5614" t="s">
        <v>29380</v>
      </c>
      <c r="H5614" t="s">
        <v>29389</v>
      </c>
      <c r="I5614" t="s">
        <v>4709</v>
      </c>
      <c r="J5614" t="s">
        <v>29929</v>
      </c>
      <c r="K5614" t="s">
        <v>38490</v>
      </c>
      <c r="M5614" t="s">
        <v>40822</v>
      </c>
      <c r="N5614" t="s">
        <v>42669</v>
      </c>
      <c r="O5614" t="s">
        <v>42670</v>
      </c>
      <c r="P5614">
        <v>0</v>
      </c>
      <c r="Q5614">
        <v>0</v>
      </c>
      <c r="R5614" t="s">
        <v>42677</v>
      </c>
      <c r="S5614" t="s">
        <v>42830</v>
      </c>
      <c r="T5614" t="s">
        <v>44557</v>
      </c>
      <c r="U5614" t="s">
        <v>49422</v>
      </c>
      <c r="W5614" t="s">
        <v>40822</v>
      </c>
      <c r="X5614" t="s">
        <v>42679</v>
      </c>
    </row>
    <row r="5615" spans="1:24">
      <c r="A5615">
        <f>HYPERLINK("https://www.philgeps.gov.ph/GEPSNONPILOT/Tender/SplashBidNoticeAbstractUI.aspx?menuIndex=3&amp;refID=7182278&amp;Result=3","7182278")</f>
        <v>0</v>
      </c>
      <c r="B5615" t="s">
        <v>589</v>
      </c>
      <c r="C5615" t="s">
        <v>8901</v>
      </c>
      <c r="D5615" t="s">
        <v>17168</v>
      </c>
      <c r="E5615" t="s">
        <v>22107</v>
      </c>
      <c r="F5615" t="s">
        <v>29372</v>
      </c>
      <c r="G5615" t="s">
        <v>29380</v>
      </c>
      <c r="H5615" t="s">
        <v>11048</v>
      </c>
      <c r="I5615" t="s">
        <v>3695</v>
      </c>
      <c r="J5615" t="s">
        <v>33163</v>
      </c>
      <c r="K5615" t="s">
        <v>38538</v>
      </c>
      <c r="M5615" t="s">
        <v>40450</v>
      </c>
      <c r="N5615" t="s">
        <v>42669</v>
      </c>
      <c r="O5615" t="s">
        <v>42670</v>
      </c>
      <c r="P5615">
        <v>0</v>
      </c>
      <c r="Q5615">
        <v>0</v>
      </c>
      <c r="R5615" t="s">
        <v>42677</v>
      </c>
      <c r="S5615" t="s">
        <v>42830</v>
      </c>
      <c r="T5615" t="s">
        <v>44427</v>
      </c>
      <c r="U5615" t="s">
        <v>49423</v>
      </c>
      <c r="V5615" t="s">
        <v>56701</v>
      </c>
      <c r="W5615" t="s">
        <v>40450</v>
      </c>
      <c r="X5615" t="s">
        <v>42679</v>
      </c>
    </row>
    <row r="5616" spans="1:24">
      <c r="A5616">
        <f>HYPERLINK("https://www.philgeps.gov.ph/GEPSNONPILOT/Tender/SplashBidNoticeAbstractUI.aspx?menuIndex=3&amp;refID=7182247&amp;Result=3","7182247")</f>
        <v>0</v>
      </c>
      <c r="B5616" t="s">
        <v>1941</v>
      </c>
      <c r="C5616" t="s">
        <v>8902</v>
      </c>
      <c r="D5616" t="s">
        <v>17201</v>
      </c>
      <c r="E5616" t="s">
        <v>22108</v>
      </c>
      <c r="F5616" t="s">
        <v>29372</v>
      </c>
      <c r="G5616" t="s">
        <v>29380</v>
      </c>
      <c r="H5616" t="s">
        <v>11048</v>
      </c>
      <c r="I5616" t="s">
        <v>29405</v>
      </c>
      <c r="J5616" t="s">
        <v>33164</v>
      </c>
      <c r="K5616" t="s">
        <v>38485</v>
      </c>
      <c r="M5616" t="s">
        <v>40823</v>
      </c>
      <c r="N5616" t="s">
        <v>42669</v>
      </c>
      <c r="O5616" t="s">
        <v>42670</v>
      </c>
      <c r="P5616">
        <v>0</v>
      </c>
      <c r="Q5616">
        <v>6</v>
      </c>
      <c r="R5616" t="s">
        <v>42677</v>
      </c>
      <c r="S5616" t="s">
        <v>42830</v>
      </c>
      <c r="T5616" t="s">
        <v>44368</v>
      </c>
      <c r="U5616" t="s">
        <v>49424</v>
      </c>
      <c r="V5616" t="s">
        <v>56985</v>
      </c>
      <c r="W5616" t="s">
        <v>40823</v>
      </c>
      <c r="X5616" t="s">
        <v>42679</v>
      </c>
    </row>
    <row r="5617" spans="1:24">
      <c r="A5617">
        <f>HYPERLINK("https://www.philgeps.gov.ph/GEPSNONPILOT/Tender/SplashBidNoticeAbstractUI.aspx?menuIndex=3&amp;refID=7182556&amp;Result=3","7182556")</f>
        <v>0</v>
      </c>
      <c r="B5617" t="s">
        <v>1942</v>
      </c>
      <c r="C5617" t="s">
        <v>8903</v>
      </c>
      <c r="D5617" t="s">
        <v>17188</v>
      </c>
      <c r="E5617" t="s">
        <v>22109</v>
      </c>
      <c r="F5617" t="s">
        <v>29372</v>
      </c>
      <c r="G5617" t="s">
        <v>29380</v>
      </c>
      <c r="H5617" t="s">
        <v>29389</v>
      </c>
      <c r="I5617" t="s">
        <v>10408</v>
      </c>
      <c r="J5617" t="s">
        <v>33165</v>
      </c>
      <c r="K5617" t="s">
        <v>38522</v>
      </c>
      <c r="M5617" t="s">
        <v>40824</v>
      </c>
      <c r="N5617" t="s">
        <v>42669</v>
      </c>
      <c r="O5617" t="s">
        <v>42670</v>
      </c>
      <c r="P5617">
        <v>0</v>
      </c>
      <c r="Q5617">
        <v>0</v>
      </c>
      <c r="R5617" t="s">
        <v>42677</v>
      </c>
      <c r="S5617" t="s">
        <v>42830</v>
      </c>
      <c r="T5617" t="s">
        <v>44542</v>
      </c>
      <c r="U5617" t="s">
        <v>49425</v>
      </c>
      <c r="W5617" t="s">
        <v>40824</v>
      </c>
      <c r="X5617" t="s">
        <v>42679</v>
      </c>
    </row>
    <row r="5618" spans="1:24">
      <c r="A5618">
        <f>HYPERLINK("https://www.philgeps.gov.ph/GEPSNONPILOT/Tender/SplashBidNoticeAbstractUI.aspx?menuIndex=3&amp;refID=7182800&amp;Result=3","7182800")</f>
        <v>0</v>
      </c>
      <c r="B5618" t="s">
        <v>1943</v>
      </c>
      <c r="C5618" t="s">
        <v>8904</v>
      </c>
      <c r="D5618" t="s">
        <v>17171</v>
      </c>
      <c r="E5618" t="s">
        <v>22110</v>
      </c>
      <c r="F5618" t="s">
        <v>29372</v>
      </c>
      <c r="G5618" t="s">
        <v>29383</v>
      </c>
      <c r="H5618" t="s">
        <v>11048</v>
      </c>
      <c r="I5618" t="s">
        <v>4487</v>
      </c>
      <c r="J5618" t="s">
        <v>33166</v>
      </c>
      <c r="K5618" t="s">
        <v>38490</v>
      </c>
      <c r="M5618" t="s">
        <v>40825</v>
      </c>
      <c r="N5618" t="s">
        <v>42669</v>
      </c>
      <c r="O5618" t="s">
        <v>42670</v>
      </c>
      <c r="P5618">
        <v>0</v>
      </c>
      <c r="Q5618">
        <v>5</v>
      </c>
      <c r="R5618" t="s">
        <v>42677</v>
      </c>
      <c r="S5618" t="s">
        <v>42830</v>
      </c>
      <c r="T5618" t="s">
        <v>44469</v>
      </c>
      <c r="U5618" t="s">
        <v>49426</v>
      </c>
      <c r="W5618" t="s">
        <v>40825</v>
      </c>
      <c r="X5618" t="s">
        <v>42679</v>
      </c>
    </row>
    <row r="5619" spans="1:24">
      <c r="A5619">
        <f>HYPERLINK("https://www.philgeps.gov.ph/GEPSNONPILOT/Tender/SplashBidNoticeAbstractUI.aspx?menuIndex=3&amp;refID=7183357&amp;Result=3","7183357")</f>
        <v>0</v>
      </c>
      <c r="B5619" t="s">
        <v>1944</v>
      </c>
      <c r="C5619" t="s">
        <v>8905</v>
      </c>
      <c r="D5619" t="s">
        <v>17156</v>
      </c>
      <c r="E5619" t="s">
        <v>22111</v>
      </c>
      <c r="F5619" t="s">
        <v>29372</v>
      </c>
      <c r="G5619" t="s">
        <v>29380</v>
      </c>
      <c r="H5619" t="s">
        <v>11048</v>
      </c>
      <c r="I5619" t="s">
        <v>8614</v>
      </c>
      <c r="J5619" t="s">
        <v>33167</v>
      </c>
      <c r="K5619" t="s">
        <v>38496</v>
      </c>
      <c r="M5619" t="s">
        <v>40826</v>
      </c>
      <c r="N5619" t="s">
        <v>42669</v>
      </c>
      <c r="O5619" t="s">
        <v>42670</v>
      </c>
      <c r="P5619">
        <v>0</v>
      </c>
      <c r="Q5619">
        <v>13</v>
      </c>
      <c r="R5619" t="s">
        <v>42677</v>
      </c>
      <c r="S5619" t="s">
        <v>42830</v>
      </c>
      <c r="T5619" t="s">
        <v>44517</v>
      </c>
      <c r="U5619" t="s">
        <v>49427</v>
      </c>
      <c r="W5619" t="s">
        <v>40826</v>
      </c>
      <c r="X5619" t="s">
        <v>42679</v>
      </c>
    </row>
    <row r="5620" spans="1:24">
      <c r="A5620">
        <f>HYPERLINK("https://www.philgeps.gov.ph/GEPSNONPILOT/Tender/SplashBidNoticeAbstractUI.aspx?menuIndex=3&amp;refID=7182310&amp;Result=3","7182310")</f>
        <v>0</v>
      </c>
      <c r="B5620" t="s">
        <v>304</v>
      </c>
      <c r="C5620" t="s">
        <v>8906</v>
      </c>
      <c r="D5620" t="s">
        <v>17141</v>
      </c>
      <c r="E5620" t="s">
        <v>22112</v>
      </c>
      <c r="F5620" t="s">
        <v>29372</v>
      </c>
      <c r="G5620" t="s">
        <v>29380</v>
      </c>
      <c r="H5620" t="s">
        <v>11048</v>
      </c>
      <c r="I5620" t="s">
        <v>29393</v>
      </c>
      <c r="J5620" t="s">
        <v>33168</v>
      </c>
      <c r="K5620" t="s">
        <v>38580</v>
      </c>
      <c r="M5620" t="s">
        <v>40816</v>
      </c>
      <c r="N5620" t="s">
        <v>42669</v>
      </c>
      <c r="O5620" t="s">
        <v>42670</v>
      </c>
      <c r="Q5620">
        <v>1</v>
      </c>
      <c r="R5620" t="s">
        <v>42677</v>
      </c>
      <c r="S5620" t="s">
        <v>42841</v>
      </c>
      <c r="T5620" t="s">
        <v>44539</v>
      </c>
      <c r="U5620" t="s">
        <v>49428</v>
      </c>
      <c r="V5620" t="s">
        <v>56983</v>
      </c>
      <c r="W5620" t="s">
        <v>40816</v>
      </c>
      <c r="X5620" t="s">
        <v>42679</v>
      </c>
    </row>
    <row r="5621" spans="1:24">
      <c r="A5621">
        <f>HYPERLINK("https://www.philgeps.gov.ph/GEPSNONPILOT/Tender/SplashBidNoticeAbstractUI.aspx?menuIndex=3&amp;refID=7183384&amp;Result=3","7183384")</f>
        <v>0</v>
      </c>
      <c r="B5621" t="s">
        <v>1945</v>
      </c>
      <c r="C5621" t="s">
        <v>8907</v>
      </c>
      <c r="D5621" t="s">
        <v>17216</v>
      </c>
      <c r="E5621" t="s">
        <v>22113</v>
      </c>
      <c r="F5621" t="s">
        <v>29372</v>
      </c>
      <c r="G5621" t="s">
        <v>29380</v>
      </c>
      <c r="H5621" t="s">
        <v>29389</v>
      </c>
      <c r="I5621" t="s">
        <v>10408</v>
      </c>
      <c r="J5621" t="s">
        <v>33169</v>
      </c>
      <c r="K5621" t="s">
        <v>38522</v>
      </c>
      <c r="M5621" t="s">
        <v>40827</v>
      </c>
      <c r="N5621" t="s">
        <v>42669</v>
      </c>
      <c r="O5621" t="s">
        <v>42670</v>
      </c>
      <c r="P5621">
        <v>0</v>
      </c>
      <c r="Q5621">
        <v>0</v>
      </c>
      <c r="R5621" t="s">
        <v>42677</v>
      </c>
      <c r="S5621" t="s">
        <v>42830</v>
      </c>
      <c r="T5621" t="s">
        <v>44417</v>
      </c>
      <c r="U5621" t="s">
        <v>49429</v>
      </c>
      <c r="W5621" t="s">
        <v>40827</v>
      </c>
      <c r="X5621" t="s">
        <v>42679</v>
      </c>
    </row>
    <row r="5622" spans="1:24">
      <c r="A5622">
        <f>HYPERLINK("https://www.philgeps.gov.ph/GEPSNONPILOT/Tender/SplashBidNoticeAbstractUI.aspx?menuIndex=3&amp;refID=7183376&amp;Result=3","7183376")</f>
        <v>0</v>
      </c>
      <c r="B5622" t="s">
        <v>1945</v>
      </c>
      <c r="C5622" t="s">
        <v>8908</v>
      </c>
      <c r="D5622" t="s">
        <v>17216</v>
      </c>
      <c r="E5622" t="s">
        <v>22114</v>
      </c>
      <c r="F5622" t="s">
        <v>29372</v>
      </c>
      <c r="G5622" t="s">
        <v>29380</v>
      </c>
      <c r="H5622" t="s">
        <v>29389</v>
      </c>
      <c r="I5622" t="s">
        <v>10408</v>
      </c>
      <c r="J5622" t="s">
        <v>33170</v>
      </c>
      <c r="K5622" t="s">
        <v>38496</v>
      </c>
      <c r="M5622" t="s">
        <v>40827</v>
      </c>
      <c r="N5622" t="s">
        <v>42669</v>
      </c>
      <c r="O5622" t="s">
        <v>42670</v>
      </c>
      <c r="P5622">
        <v>0</v>
      </c>
      <c r="Q5622">
        <v>0</v>
      </c>
      <c r="R5622" t="s">
        <v>42677</v>
      </c>
      <c r="S5622" t="s">
        <v>42830</v>
      </c>
      <c r="T5622" t="s">
        <v>44417</v>
      </c>
      <c r="U5622" t="s">
        <v>49429</v>
      </c>
      <c r="W5622" t="s">
        <v>40827</v>
      </c>
      <c r="X5622" t="s">
        <v>42679</v>
      </c>
    </row>
    <row r="5623" spans="1:24">
      <c r="A5623">
        <f>HYPERLINK("https://www.philgeps.gov.ph/GEPSNONPILOT/Tender/SplashBidNoticeAbstractUI.aspx?menuIndex=3&amp;refID=7183374&amp;Result=3","7183374")</f>
        <v>0</v>
      </c>
      <c r="B5623" t="s">
        <v>1946</v>
      </c>
      <c r="C5623" t="s">
        <v>8909</v>
      </c>
      <c r="D5623" t="s">
        <v>17194</v>
      </c>
      <c r="E5623" t="s">
        <v>17951</v>
      </c>
      <c r="F5623" t="s">
        <v>29372</v>
      </c>
      <c r="G5623" t="s">
        <v>29380</v>
      </c>
      <c r="H5623" t="s">
        <v>29390</v>
      </c>
      <c r="I5623" t="s">
        <v>9469</v>
      </c>
      <c r="J5623" t="s">
        <v>33171</v>
      </c>
      <c r="K5623" t="s">
        <v>38491</v>
      </c>
      <c r="M5623" t="s">
        <v>40828</v>
      </c>
      <c r="N5623" t="s">
        <v>42669</v>
      </c>
      <c r="O5623" t="s">
        <v>42670</v>
      </c>
      <c r="P5623">
        <v>0</v>
      </c>
      <c r="Q5623">
        <v>1</v>
      </c>
      <c r="R5623" t="s">
        <v>42677</v>
      </c>
      <c r="S5623" t="s">
        <v>42830</v>
      </c>
      <c r="T5623" t="s">
        <v>44530</v>
      </c>
      <c r="U5623" t="s">
        <v>49430</v>
      </c>
      <c r="W5623" t="s">
        <v>40828</v>
      </c>
      <c r="X5623" t="s">
        <v>42679</v>
      </c>
    </row>
    <row r="5624" spans="1:24">
      <c r="A5624">
        <f>HYPERLINK("https://www.philgeps.gov.ph/GEPSNONPILOT/Tender/SplashBidNoticeAbstractUI.aspx?menuIndex=3&amp;refID=7183354&amp;Result=3","7183354")</f>
        <v>0</v>
      </c>
      <c r="B5624" t="s">
        <v>1946</v>
      </c>
      <c r="C5624" t="s">
        <v>8910</v>
      </c>
      <c r="D5624" t="s">
        <v>17194</v>
      </c>
      <c r="E5624" t="s">
        <v>21583</v>
      </c>
      <c r="F5624" t="s">
        <v>29372</v>
      </c>
      <c r="G5624" t="s">
        <v>29380</v>
      </c>
      <c r="H5624" t="s">
        <v>29389</v>
      </c>
      <c r="I5624" t="s">
        <v>29402</v>
      </c>
      <c r="J5624" t="s">
        <v>29529</v>
      </c>
      <c r="K5624" t="s">
        <v>38491</v>
      </c>
      <c r="M5624" t="s">
        <v>40828</v>
      </c>
      <c r="N5624" t="s">
        <v>42669</v>
      </c>
      <c r="O5624" t="s">
        <v>42670</v>
      </c>
      <c r="P5624">
        <v>0</v>
      </c>
      <c r="Q5624">
        <v>0</v>
      </c>
      <c r="R5624" t="s">
        <v>42677</v>
      </c>
      <c r="S5624" t="s">
        <v>42830</v>
      </c>
      <c r="T5624" t="s">
        <v>44530</v>
      </c>
      <c r="U5624" t="s">
        <v>49430</v>
      </c>
      <c r="W5624" t="s">
        <v>40828</v>
      </c>
      <c r="X5624" t="s">
        <v>42679</v>
      </c>
    </row>
    <row r="5625" spans="1:24">
      <c r="A5625">
        <f>HYPERLINK("https://www.philgeps.gov.ph/GEPSNONPILOT/Tender/SplashBidNoticeAbstractUI.aspx?menuIndex=3&amp;refID=7183180&amp;Result=3","7183180")</f>
        <v>0</v>
      </c>
      <c r="B5625" t="s">
        <v>1947</v>
      </c>
      <c r="C5625" t="s">
        <v>8911</v>
      </c>
      <c r="D5625" t="s">
        <v>17194</v>
      </c>
      <c r="E5625" t="s">
        <v>22115</v>
      </c>
      <c r="F5625" t="s">
        <v>29372</v>
      </c>
      <c r="G5625" t="s">
        <v>29380</v>
      </c>
      <c r="H5625" t="s">
        <v>29389</v>
      </c>
      <c r="I5625" t="s">
        <v>10408</v>
      </c>
      <c r="J5625" t="s">
        <v>33172</v>
      </c>
      <c r="K5625" t="s">
        <v>38538</v>
      </c>
      <c r="M5625" t="s">
        <v>40829</v>
      </c>
      <c r="N5625" t="s">
        <v>42669</v>
      </c>
      <c r="O5625" t="s">
        <v>42670</v>
      </c>
      <c r="P5625">
        <v>0</v>
      </c>
      <c r="Q5625">
        <v>0</v>
      </c>
      <c r="R5625" t="s">
        <v>42677</v>
      </c>
      <c r="S5625" t="s">
        <v>42830</v>
      </c>
      <c r="T5625" t="s">
        <v>44375</v>
      </c>
      <c r="U5625" t="s">
        <v>49431</v>
      </c>
      <c r="W5625" t="s">
        <v>40829</v>
      </c>
      <c r="X5625" t="s">
        <v>42679</v>
      </c>
    </row>
    <row r="5626" spans="1:24">
      <c r="A5626">
        <f>HYPERLINK("https://www.philgeps.gov.ph/GEPSNONPILOT/Tender/SplashBidNoticeAbstractUI.aspx?menuIndex=3&amp;refID=7183179&amp;Result=3","7183179")</f>
        <v>0</v>
      </c>
      <c r="B5626" t="s">
        <v>1830</v>
      </c>
      <c r="C5626" t="s">
        <v>8912</v>
      </c>
      <c r="D5626" t="s">
        <v>17194</v>
      </c>
      <c r="E5626" t="s">
        <v>22116</v>
      </c>
      <c r="F5626" t="s">
        <v>29372</v>
      </c>
      <c r="G5626" t="s">
        <v>29380</v>
      </c>
      <c r="H5626" t="s">
        <v>29389</v>
      </c>
      <c r="I5626" t="s">
        <v>10408</v>
      </c>
      <c r="J5626" t="s">
        <v>29937</v>
      </c>
      <c r="K5626" t="s">
        <v>38522</v>
      </c>
      <c r="M5626" t="s">
        <v>40701</v>
      </c>
      <c r="N5626" t="s">
        <v>42669</v>
      </c>
      <c r="O5626" t="s">
        <v>42670</v>
      </c>
      <c r="P5626">
        <v>0</v>
      </c>
      <c r="Q5626">
        <v>0</v>
      </c>
      <c r="R5626" t="s">
        <v>42677</v>
      </c>
      <c r="S5626" t="s">
        <v>42830</v>
      </c>
      <c r="T5626" t="s">
        <v>44446</v>
      </c>
      <c r="U5626" t="s">
        <v>49432</v>
      </c>
      <c r="W5626" t="s">
        <v>40701</v>
      </c>
      <c r="X5626" t="s">
        <v>42679</v>
      </c>
    </row>
    <row r="5627" spans="1:24">
      <c r="A5627">
        <f>HYPERLINK("https://www.philgeps.gov.ph/GEPSNONPILOT/Tender/SplashBidNoticeAbstractUI.aspx?menuIndex=3&amp;refID=7183127&amp;Result=3","7183127")</f>
        <v>0</v>
      </c>
      <c r="B5627" t="s">
        <v>1903</v>
      </c>
      <c r="C5627" t="s">
        <v>8913</v>
      </c>
      <c r="D5627" t="s">
        <v>17189</v>
      </c>
      <c r="E5627" t="s">
        <v>22117</v>
      </c>
      <c r="F5627" t="s">
        <v>29372</v>
      </c>
      <c r="G5627" t="s">
        <v>29379</v>
      </c>
      <c r="H5627" t="s">
        <v>11048</v>
      </c>
      <c r="I5627" t="s">
        <v>4709</v>
      </c>
      <c r="J5627" t="s">
        <v>33173</v>
      </c>
      <c r="K5627" t="s">
        <v>38510</v>
      </c>
      <c r="M5627" t="s">
        <v>40778</v>
      </c>
      <c r="N5627" t="s">
        <v>42669</v>
      </c>
      <c r="O5627" t="s">
        <v>42670</v>
      </c>
      <c r="P5627">
        <v>0</v>
      </c>
      <c r="Q5627">
        <v>0</v>
      </c>
      <c r="R5627" t="s">
        <v>42677</v>
      </c>
      <c r="S5627" t="s">
        <v>42830</v>
      </c>
      <c r="T5627" t="s">
        <v>44629</v>
      </c>
      <c r="U5627" t="s">
        <v>49433</v>
      </c>
      <c r="V5627" t="s">
        <v>56986</v>
      </c>
      <c r="W5627" t="s">
        <v>40778</v>
      </c>
      <c r="X5627" t="s">
        <v>42679</v>
      </c>
    </row>
    <row r="5628" spans="1:24">
      <c r="A5628">
        <f>HYPERLINK("https://www.philgeps.gov.ph/GEPSNONPILOT/Tender/SplashBidNoticeAbstractUI.aspx?menuIndex=3&amp;refID=7183115&amp;Result=3","7183115")</f>
        <v>0</v>
      </c>
      <c r="B5628" t="s">
        <v>1948</v>
      </c>
      <c r="C5628" t="s">
        <v>8914</v>
      </c>
      <c r="E5628" t="s">
        <v>22118</v>
      </c>
      <c r="F5628" t="s">
        <v>29373</v>
      </c>
      <c r="G5628" t="s">
        <v>29383</v>
      </c>
      <c r="H5628" t="s">
        <v>11048</v>
      </c>
      <c r="I5628" t="s">
        <v>29398</v>
      </c>
      <c r="J5628" t="s">
        <v>30302</v>
      </c>
      <c r="K5628" t="s">
        <v>38490</v>
      </c>
      <c r="M5628" t="s">
        <v>40830</v>
      </c>
      <c r="N5628" t="s">
        <v>42669</v>
      </c>
      <c r="O5628" t="s">
        <v>42670</v>
      </c>
      <c r="P5628">
        <v>0</v>
      </c>
      <c r="Q5628">
        <v>15</v>
      </c>
      <c r="R5628" t="s">
        <v>42677</v>
      </c>
      <c r="S5628" t="s">
        <v>42830</v>
      </c>
      <c r="T5628" t="s">
        <v>44493</v>
      </c>
      <c r="U5628" t="s">
        <v>49434</v>
      </c>
      <c r="W5628" t="s">
        <v>40830</v>
      </c>
      <c r="X5628" t="s">
        <v>42679</v>
      </c>
    </row>
    <row r="5629" spans="1:24">
      <c r="A5629">
        <f>HYPERLINK("https://www.philgeps.gov.ph/GEPSNONPILOT/Tender/SplashBidNoticeAbstractUI.aspx?menuIndex=3&amp;refID=7183096&amp;Result=3","7183096")</f>
        <v>0</v>
      </c>
      <c r="B5629" t="s">
        <v>771</v>
      </c>
      <c r="C5629" t="s">
        <v>8915</v>
      </c>
      <c r="D5629" t="s">
        <v>17141</v>
      </c>
      <c r="E5629" t="s">
        <v>22119</v>
      </c>
      <c r="F5629" t="s">
        <v>29372</v>
      </c>
      <c r="G5629" t="s">
        <v>29379</v>
      </c>
      <c r="H5629" t="s">
        <v>11048</v>
      </c>
      <c r="I5629" t="s">
        <v>29411</v>
      </c>
      <c r="J5629" t="s">
        <v>33174</v>
      </c>
      <c r="K5629" t="s">
        <v>38488</v>
      </c>
      <c r="M5629" t="s">
        <v>39555</v>
      </c>
      <c r="N5629" t="s">
        <v>42669</v>
      </c>
      <c r="O5629" t="s">
        <v>42670</v>
      </c>
      <c r="P5629">
        <v>0</v>
      </c>
      <c r="Q5629">
        <v>9</v>
      </c>
      <c r="R5629" t="s">
        <v>42677</v>
      </c>
      <c r="S5629" t="s">
        <v>42830</v>
      </c>
      <c r="T5629" t="s">
        <v>44468</v>
      </c>
      <c r="U5629" t="s">
        <v>46440</v>
      </c>
      <c r="W5629" t="s">
        <v>39555</v>
      </c>
      <c r="X5629" t="s">
        <v>42679</v>
      </c>
    </row>
    <row r="5630" spans="1:24">
      <c r="A5630">
        <f>HYPERLINK("https://www.philgeps.gov.ph/GEPSNONPILOT/Tender/SplashBidNoticeAbstractUI.aspx?menuIndex=3&amp;refID=7183057&amp;Result=3","7183057")</f>
        <v>0</v>
      </c>
      <c r="B5630" t="s">
        <v>1903</v>
      </c>
      <c r="C5630" t="s">
        <v>8916</v>
      </c>
      <c r="D5630" t="s">
        <v>17189</v>
      </c>
      <c r="E5630" t="s">
        <v>22120</v>
      </c>
      <c r="F5630" t="s">
        <v>29372</v>
      </c>
      <c r="G5630" t="s">
        <v>29379</v>
      </c>
      <c r="H5630" t="s">
        <v>11048</v>
      </c>
      <c r="I5630" t="s">
        <v>4709</v>
      </c>
      <c r="J5630" t="s">
        <v>33175</v>
      </c>
      <c r="K5630" t="s">
        <v>38510</v>
      </c>
      <c r="M5630" t="s">
        <v>40778</v>
      </c>
      <c r="N5630" t="s">
        <v>42669</v>
      </c>
      <c r="O5630" t="s">
        <v>42670</v>
      </c>
      <c r="P5630">
        <v>0</v>
      </c>
      <c r="Q5630">
        <v>0</v>
      </c>
      <c r="R5630" t="s">
        <v>42677</v>
      </c>
      <c r="S5630" t="s">
        <v>42830</v>
      </c>
      <c r="T5630" t="s">
        <v>44629</v>
      </c>
      <c r="U5630" t="s">
        <v>49433</v>
      </c>
      <c r="V5630" t="s">
        <v>56986</v>
      </c>
      <c r="W5630" t="s">
        <v>40778</v>
      </c>
      <c r="X5630" t="s">
        <v>42679</v>
      </c>
    </row>
    <row r="5631" spans="1:24">
      <c r="A5631">
        <f>HYPERLINK("https://www.philgeps.gov.ph/GEPSNONPILOT/Tender/SplashBidNoticeAbstractUI.aspx?menuIndex=3&amp;refID=7183024&amp;Result=3","7183024")</f>
        <v>0</v>
      </c>
      <c r="B5631" t="s">
        <v>1949</v>
      </c>
      <c r="C5631" t="s">
        <v>8917</v>
      </c>
      <c r="D5631" t="s">
        <v>17179</v>
      </c>
      <c r="E5631" t="s">
        <v>22121</v>
      </c>
      <c r="F5631" t="s">
        <v>29372</v>
      </c>
      <c r="G5631" t="s">
        <v>29380</v>
      </c>
      <c r="H5631" t="s">
        <v>11048</v>
      </c>
      <c r="I5631" t="s">
        <v>4487</v>
      </c>
      <c r="J5631" t="s">
        <v>31286</v>
      </c>
      <c r="K5631" t="s">
        <v>38488</v>
      </c>
      <c r="M5631" t="s">
        <v>40831</v>
      </c>
      <c r="N5631" t="s">
        <v>42669</v>
      </c>
      <c r="O5631" t="s">
        <v>42670</v>
      </c>
      <c r="P5631">
        <v>0</v>
      </c>
      <c r="Q5631">
        <v>5</v>
      </c>
      <c r="R5631" t="s">
        <v>42677</v>
      </c>
      <c r="S5631" t="s">
        <v>42830</v>
      </c>
      <c r="T5631" t="s">
        <v>44544</v>
      </c>
      <c r="U5631" t="s">
        <v>49435</v>
      </c>
      <c r="W5631" t="s">
        <v>40831</v>
      </c>
      <c r="X5631" t="s">
        <v>42679</v>
      </c>
    </row>
    <row r="5632" spans="1:24">
      <c r="A5632">
        <f>HYPERLINK("https://www.philgeps.gov.ph/GEPSNONPILOT/Tender/SplashBidNoticeAbstractUI.aspx?menuIndex=3&amp;refID=7183363&amp;Result=3","7183363")</f>
        <v>0</v>
      </c>
      <c r="B5632" t="s">
        <v>1945</v>
      </c>
      <c r="C5632" t="s">
        <v>8918</v>
      </c>
      <c r="D5632" t="s">
        <v>17216</v>
      </c>
      <c r="E5632" t="s">
        <v>22122</v>
      </c>
      <c r="F5632" t="s">
        <v>29372</v>
      </c>
      <c r="G5632" t="s">
        <v>29380</v>
      </c>
      <c r="H5632" t="s">
        <v>29389</v>
      </c>
      <c r="I5632" t="s">
        <v>10408</v>
      </c>
      <c r="J5632" t="s">
        <v>33176</v>
      </c>
      <c r="K5632" t="s">
        <v>38502</v>
      </c>
      <c r="M5632" t="s">
        <v>40827</v>
      </c>
      <c r="N5632" t="s">
        <v>42669</v>
      </c>
      <c r="O5632" t="s">
        <v>42670</v>
      </c>
      <c r="P5632">
        <v>0</v>
      </c>
      <c r="Q5632">
        <v>0</v>
      </c>
      <c r="R5632" t="s">
        <v>42677</v>
      </c>
      <c r="S5632" t="s">
        <v>42830</v>
      </c>
      <c r="T5632" t="s">
        <v>44417</v>
      </c>
      <c r="U5632" t="s">
        <v>49429</v>
      </c>
      <c r="W5632" t="s">
        <v>40827</v>
      </c>
      <c r="X5632" t="s">
        <v>42679</v>
      </c>
    </row>
    <row r="5633" spans="1:24">
      <c r="A5633">
        <f>HYPERLINK("https://www.philgeps.gov.ph/GEPSNONPILOT/Tender/SplashBidNoticeAbstractUI.aspx?menuIndex=3&amp;refID=7183011&amp;Result=3","7183011")</f>
        <v>0</v>
      </c>
      <c r="B5633" t="s">
        <v>86</v>
      </c>
      <c r="C5633" t="s">
        <v>8919</v>
      </c>
      <c r="E5633" t="s">
        <v>22123</v>
      </c>
      <c r="F5633" t="s">
        <v>29372</v>
      </c>
      <c r="G5633" t="s">
        <v>29380</v>
      </c>
      <c r="H5633" t="s">
        <v>29389</v>
      </c>
      <c r="I5633" t="s">
        <v>10408</v>
      </c>
      <c r="J5633" t="s">
        <v>33177</v>
      </c>
      <c r="K5633" t="s">
        <v>38652</v>
      </c>
      <c r="M5633" t="s">
        <v>40155</v>
      </c>
      <c r="N5633" t="s">
        <v>42669</v>
      </c>
      <c r="O5633" t="s">
        <v>42670</v>
      </c>
      <c r="P5633">
        <v>0</v>
      </c>
      <c r="Q5633">
        <v>1</v>
      </c>
      <c r="R5633" t="s">
        <v>42677</v>
      </c>
      <c r="S5633" t="s">
        <v>42830</v>
      </c>
      <c r="T5633" t="s">
        <v>44482</v>
      </c>
      <c r="U5633" t="s">
        <v>49436</v>
      </c>
      <c r="W5633" t="s">
        <v>40155</v>
      </c>
      <c r="X5633" t="s">
        <v>42679</v>
      </c>
    </row>
    <row r="5634" spans="1:24">
      <c r="A5634">
        <f>HYPERLINK("https://www.philgeps.gov.ph/GEPSNONPILOT/Tender/SplashBidNoticeAbstractUI.aspx?menuIndex=3&amp;refID=7182255&amp;Result=3","7182255")</f>
        <v>0</v>
      </c>
      <c r="B5634" t="s">
        <v>589</v>
      </c>
      <c r="C5634" t="s">
        <v>8920</v>
      </c>
      <c r="D5634" t="s">
        <v>17168</v>
      </c>
      <c r="E5634" t="s">
        <v>22124</v>
      </c>
      <c r="F5634" t="s">
        <v>29372</v>
      </c>
      <c r="G5634" t="s">
        <v>29380</v>
      </c>
      <c r="H5634" t="s">
        <v>11048</v>
      </c>
      <c r="I5634" t="s">
        <v>3695</v>
      </c>
      <c r="J5634" t="s">
        <v>33178</v>
      </c>
      <c r="K5634" t="s">
        <v>38538</v>
      </c>
      <c r="M5634" t="s">
        <v>40450</v>
      </c>
      <c r="N5634" t="s">
        <v>42669</v>
      </c>
      <c r="O5634" t="s">
        <v>42670</v>
      </c>
      <c r="P5634">
        <v>0</v>
      </c>
      <c r="Q5634">
        <v>0</v>
      </c>
      <c r="R5634" t="s">
        <v>42677</v>
      </c>
      <c r="S5634" t="s">
        <v>42830</v>
      </c>
      <c r="T5634" t="s">
        <v>44427</v>
      </c>
      <c r="U5634" t="s">
        <v>49437</v>
      </c>
      <c r="V5634" t="s">
        <v>56701</v>
      </c>
      <c r="W5634" t="s">
        <v>40450</v>
      </c>
      <c r="X5634" t="s">
        <v>42679</v>
      </c>
    </row>
    <row r="5635" spans="1:24">
      <c r="A5635">
        <f>HYPERLINK("https://www.philgeps.gov.ph/GEPSNONPILOT/Tender/SplashBidNoticeAbstractUI.aspx?menuIndex=3&amp;refID=7181556&amp;Result=3","7181556")</f>
        <v>0</v>
      </c>
      <c r="B5635" t="s">
        <v>1151</v>
      </c>
      <c r="C5635" t="s">
        <v>8921</v>
      </c>
      <c r="D5635" t="s">
        <v>17185</v>
      </c>
      <c r="E5635" t="s">
        <v>22125</v>
      </c>
      <c r="F5635" t="s">
        <v>29372</v>
      </c>
      <c r="G5635" t="s">
        <v>29380</v>
      </c>
      <c r="H5635" t="s">
        <v>29389</v>
      </c>
      <c r="I5635" t="s">
        <v>10408</v>
      </c>
      <c r="J5635" t="s">
        <v>33179</v>
      </c>
      <c r="K5635" t="s">
        <v>38485</v>
      </c>
      <c r="M5635" t="s">
        <v>39965</v>
      </c>
      <c r="N5635" t="s">
        <v>42669</v>
      </c>
      <c r="O5635" t="s">
        <v>42670</v>
      </c>
      <c r="P5635">
        <v>0</v>
      </c>
      <c r="Q5635">
        <v>0</v>
      </c>
      <c r="R5635" t="s">
        <v>42677</v>
      </c>
      <c r="S5635" t="s">
        <v>42830</v>
      </c>
      <c r="T5635" t="s">
        <v>44427</v>
      </c>
      <c r="U5635" t="s">
        <v>49438</v>
      </c>
      <c r="W5635" t="s">
        <v>39965</v>
      </c>
      <c r="X5635" t="s">
        <v>42679</v>
      </c>
    </row>
    <row r="5636" spans="1:24">
      <c r="A5636">
        <f>HYPERLINK("https://www.philgeps.gov.ph/GEPSNONPILOT/Tender/SplashBidNoticeAbstractUI.aspx?menuIndex=3&amp;refID=7182591&amp;Result=3","7182591")</f>
        <v>0</v>
      </c>
      <c r="B5636" t="s">
        <v>589</v>
      </c>
      <c r="C5636" t="s">
        <v>8922</v>
      </c>
      <c r="D5636" t="s">
        <v>17168</v>
      </c>
      <c r="E5636" t="s">
        <v>22126</v>
      </c>
      <c r="F5636" t="s">
        <v>29372</v>
      </c>
      <c r="G5636" t="s">
        <v>29380</v>
      </c>
      <c r="H5636" t="s">
        <v>11048</v>
      </c>
      <c r="I5636" t="s">
        <v>29407</v>
      </c>
      <c r="J5636" t="s">
        <v>33180</v>
      </c>
      <c r="K5636" t="s">
        <v>38538</v>
      </c>
      <c r="M5636" t="s">
        <v>40450</v>
      </c>
      <c r="N5636" t="s">
        <v>42669</v>
      </c>
      <c r="O5636" t="s">
        <v>42670</v>
      </c>
      <c r="P5636">
        <v>0</v>
      </c>
      <c r="Q5636">
        <v>2</v>
      </c>
      <c r="R5636" t="s">
        <v>42677</v>
      </c>
      <c r="S5636" t="s">
        <v>42830</v>
      </c>
      <c r="T5636" t="s">
        <v>44427</v>
      </c>
      <c r="U5636" t="s">
        <v>49439</v>
      </c>
      <c r="V5636" t="s">
        <v>56701</v>
      </c>
      <c r="W5636" t="s">
        <v>40450</v>
      </c>
      <c r="X5636" t="s">
        <v>42679</v>
      </c>
    </row>
    <row r="5637" spans="1:24">
      <c r="A5637">
        <f>HYPERLINK("https://www.philgeps.gov.ph/GEPSNONPILOT/Tender/SplashBidNoticeAbstractUI.aspx?menuIndex=3&amp;refID=7182222&amp;Result=3","7182222")</f>
        <v>0</v>
      </c>
      <c r="B5637" t="s">
        <v>589</v>
      </c>
      <c r="C5637" t="s">
        <v>8923</v>
      </c>
      <c r="D5637" t="s">
        <v>17168</v>
      </c>
      <c r="E5637" t="s">
        <v>22127</v>
      </c>
      <c r="F5637" t="s">
        <v>29372</v>
      </c>
      <c r="G5637" t="s">
        <v>29380</v>
      </c>
      <c r="H5637" t="s">
        <v>11048</v>
      </c>
      <c r="I5637" t="s">
        <v>29433</v>
      </c>
      <c r="J5637" t="s">
        <v>33181</v>
      </c>
      <c r="K5637" t="s">
        <v>38538</v>
      </c>
      <c r="M5637" t="s">
        <v>40450</v>
      </c>
      <c r="N5637" t="s">
        <v>42669</v>
      </c>
      <c r="O5637" t="s">
        <v>42670</v>
      </c>
      <c r="P5637">
        <v>0</v>
      </c>
      <c r="Q5637">
        <v>4</v>
      </c>
      <c r="R5637" t="s">
        <v>42677</v>
      </c>
      <c r="S5637" t="s">
        <v>42830</v>
      </c>
      <c r="T5637" t="s">
        <v>44427</v>
      </c>
      <c r="U5637" t="s">
        <v>49440</v>
      </c>
      <c r="V5637" t="s">
        <v>56701</v>
      </c>
      <c r="W5637" t="s">
        <v>40450</v>
      </c>
      <c r="X5637" t="s">
        <v>42679</v>
      </c>
    </row>
    <row r="5638" spans="1:24">
      <c r="A5638">
        <f>HYPERLINK("https://www.philgeps.gov.ph/GEPSNONPILOT/Tender/SplashBidNoticeAbstractUI.aspx?menuIndex=3&amp;refID=7182220&amp;Result=3","7182220")</f>
        <v>0</v>
      </c>
      <c r="B5638" t="s">
        <v>1912</v>
      </c>
      <c r="C5638" t="s">
        <v>8924</v>
      </c>
      <c r="D5638" t="s">
        <v>17194</v>
      </c>
      <c r="E5638" t="s">
        <v>22128</v>
      </c>
      <c r="F5638" t="s">
        <v>29372</v>
      </c>
      <c r="G5638" t="s">
        <v>29380</v>
      </c>
      <c r="H5638" t="s">
        <v>11048</v>
      </c>
      <c r="I5638" t="s">
        <v>3629</v>
      </c>
      <c r="J5638" t="s">
        <v>33182</v>
      </c>
      <c r="K5638" t="s">
        <v>38485</v>
      </c>
      <c r="M5638" t="s">
        <v>40787</v>
      </c>
      <c r="N5638" t="s">
        <v>42669</v>
      </c>
      <c r="O5638" t="s">
        <v>42670</v>
      </c>
      <c r="P5638">
        <v>0</v>
      </c>
      <c r="Q5638">
        <v>0</v>
      </c>
      <c r="R5638" t="s">
        <v>42677</v>
      </c>
      <c r="S5638" t="s">
        <v>42830</v>
      </c>
      <c r="T5638" t="s">
        <v>44399</v>
      </c>
      <c r="U5638" t="s">
        <v>49441</v>
      </c>
      <c r="W5638" t="s">
        <v>40787</v>
      </c>
      <c r="X5638" t="s">
        <v>42679</v>
      </c>
    </row>
    <row r="5639" spans="1:24">
      <c r="A5639">
        <f>HYPERLINK("https://www.philgeps.gov.ph/GEPSNONPILOT/Tender/SplashBidNoticeAbstractUI.aspx?menuIndex=3&amp;refID=7182803&amp;Result=3","7182803")</f>
        <v>0</v>
      </c>
      <c r="B5639" t="s">
        <v>1950</v>
      </c>
      <c r="C5639" t="s">
        <v>8925</v>
      </c>
      <c r="D5639" t="s">
        <v>17157</v>
      </c>
      <c r="E5639" t="s">
        <v>22129</v>
      </c>
      <c r="F5639" t="s">
        <v>29372</v>
      </c>
      <c r="G5639" t="s">
        <v>29381</v>
      </c>
      <c r="H5639" t="s">
        <v>29389</v>
      </c>
      <c r="I5639" t="s">
        <v>10408</v>
      </c>
      <c r="J5639" t="s">
        <v>33183</v>
      </c>
      <c r="K5639" t="s">
        <v>38521</v>
      </c>
      <c r="M5639" t="s">
        <v>40832</v>
      </c>
      <c r="N5639" t="s">
        <v>42669</v>
      </c>
      <c r="O5639" t="s">
        <v>42670</v>
      </c>
      <c r="P5639">
        <v>0</v>
      </c>
      <c r="Q5639">
        <v>0</v>
      </c>
      <c r="R5639" t="s">
        <v>42677</v>
      </c>
      <c r="S5639" t="s">
        <v>42830</v>
      </c>
      <c r="T5639" t="s">
        <v>44452</v>
      </c>
      <c r="U5639" t="s">
        <v>49442</v>
      </c>
      <c r="W5639" t="s">
        <v>40832</v>
      </c>
      <c r="X5639" t="s">
        <v>42679</v>
      </c>
    </row>
    <row r="5640" spans="1:24">
      <c r="A5640">
        <f>HYPERLINK("https://www.philgeps.gov.ph/GEPSNONPILOT/Tender/SplashBidNoticeAbstractUI.aspx?menuIndex=3&amp;refID=7182186&amp;Result=3","7182186")</f>
        <v>0</v>
      </c>
      <c r="B5640" t="s">
        <v>589</v>
      </c>
      <c r="C5640" t="s">
        <v>8926</v>
      </c>
      <c r="D5640" t="s">
        <v>17168</v>
      </c>
      <c r="E5640" t="s">
        <v>22130</v>
      </c>
      <c r="F5640" t="s">
        <v>29372</v>
      </c>
      <c r="G5640" t="s">
        <v>29380</v>
      </c>
      <c r="H5640" t="s">
        <v>11048</v>
      </c>
      <c r="I5640" t="s">
        <v>3695</v>
      </c>
      <c r="J5640" t="s">
        <v>33184</v>
      </c>
      <c r="K5640" t="s">
        <v>38538</v>
      </c>
      <c r="M5640" t="s">
        <v>40450</v>
      </c>
      <c r="N5640" t="s">
        <v>42669</v>
      </c>
      <c r="O5640" t="s">
        <v>42670</v>
      </c>
      <c r="P5640">
        <v>0</v>
      </c>
      <c r="Q5640">
        <v>1</v>
      </c>
      <c r="R5640" t="s">
        <v>42677</v>
      </c>
      <c r="S5640" t="s">
        <v>42830</v>
      </c>
      <c r="T5640" t="s">
        <v>44427</v>
      </c>
      <c r="U5640" t="s">
        <v>49443</v>
      </c>
      <c r="V5640" t="s">
        <v>56701</v>
      </c>
      <c r="W5640" t="s">
        <v>40450</v>
      </c>
      <c r="X5640" t="s">
        <v>42679</v>
      </c>
    </row>
    <row r="5641" spans="1:24">
      <c r="A5641">
        <f>HYPERLINK("https://www.philgeps.gov.ph/GEPSNONPILOT/Tender/SplashBidNoticeAbstractUI.aspx?menuIndex=3&amp;refID=7182161&amp;Result=3","7182161")</f>
        <v>0</v>
      </c>
      <c r="B5641" t="s">
        <v>589</v>
      </c>
      <c r="C5641" t="s">
        <v>8927</v>
      </c>
      <c r="D5641" t="s">
        <v>17168</v>
      </c>
      <c r="E5641" t="s">
        <v>22131</v>
      </c>
      <c r="F5641" t="s">
        <v>29372</v>
      </c>
      <c r="G5641" t="s">
        <v>29380</v>
      </c>
      <c r="H5641" t="s">
        <v>11048</v>
      </c>
      <c r="I5641" t="s">
        <v>29407</v>
      </c>
      <c r="J5641" t="s">
        <v>29680</v>
      </c>
      <c r="K5641" t="s">
        <v>38538</v>
      </c>
      <c r="M5641" t="s">
        <v>40450</v>
      </c>
      <c r="N5641" t="s">
        <v>42669</v>
      </c>
      <c r="O5641" t="s">
        <v>42670</v>
      </c>
      <c r="P5641">
        <v>0</v>
      </c>
      <c r="Q5641">
        <v>2</v>
      </c>
      <c r="R5641" t="s">
        <v>42677</v>
      </c>
      <c r="S5641" t="s">
        <v>42830</v>
      </c>
      <c r="T5641" t="s">
        <v>44427</v>
      </c>
      <c r="U5641" t="s">
        <v>49444</v>
      </c>
      <c r="V5641" t="s">
        <v>56701</v>
      </c>
      <c r="W5641" t="s">
        <v>40450</v>
      </c>
      <c r="X5641" t="s">
        <v>42679</v>
      </c>
    </row>
    <row r="5642" spans="1:24">
      <c r="A5642">
        <f>HYPERLINK("https://www.philgeps.gov.ph/GEPSNONPILOT/Tender/SplashBidNoticeAbstractUI.aspx?menuIndex=3&amp;refID=7181522&amp;Result=3","7181522")</f>
        <v>0</v>
      </c>
      <c r="B5642" t="s">
        <v>1151</v>
      </c>
      <c r="C5642" t="s">
        <v>8928</v>
      </c>
      <c r="D5642" t="s">
        <v>17185</v>
      </c>
      <c r="E5642" t="s">
        <v>22132</v>
      </c>
      <c r="F5642" t="s">
        <v>29372</v>
      </c>
      <c r="G5642" t="s">
        <v>29380</v>
      </c>
      <c r="H5642" t="s">
        <v>11048</v>
      </c>
      <c r="I5642" t="s">
        <v>29430</v>
      </c>
      <c r="J5642" t="s">
        <v>29526</v>
      </c>
      <c r="K5642" t="s">
        <v>38485</v>
      </c>
      <c r="M5642" t="s">
        <v>39965</v>
      </c>
      <c r="N5642" t="s">
        <v>42669</v>
      </c>
      <c r="O5642" t="s">
        <v>42670</v>
      </c>
      <c r="P5642">
        <v>0</v>
      </c>
      <c r="Q5642">
        <v>2</v>
      </c>
      <c r="R5642" t="s">
        <v>42677</v>
      </c>
      <c r="S5642" t="s">
        <v>42830</v>
      </c>
      <c r="T5642" t="s">
        <v>44427</v>
      </c>
      <c r="U5642" t="s">
        <v>49445</v>
      </c>
      <c r="W5642" t="s">
        <v>39965</v>
      </c>
      <c r="X5642" t="s">
        <v>42679</v>
      </c>
    </row>
    <row r="5643" spans="1:24">
      <c r="A5643">
        <f>HYPERLINK("https://www.philgeps.gov.ph/GEPSNONPILOT/Tender/SplashBidNoticeAbstractUI.aspx?menuIndex=3&amp;refID=7182652&amp;Result=3","7182652")</f>
        <v>0</v>
      </c>
      <c r="B5643" t="s">
        <v>1720</v>
      </c>
      <c r="C5643" t="s">
        <v>8929</v>
      </c>
      <c r="D5643" t="s">
        <v>17189</v>
      </c>
      <c r="E5643" t="s">
        <v>19582</v>
      </c>
      <c r="F5643" t="s">
        <v>29372</v>
      </c>
      <c r="G5643" t="s">
        <v>29380</v>
      </c>
      <c r="H5643" t="s">
        <v>11048</v>
      </c>
      <c r="I5643" t="s">
        <v>29452</v>
      </c>
      <c r="J5643" t="s">
        <v>30310</v>
      </c>
      <c r="K5643" t="s">
        <v>38485</v>
      </c>
      <c r="M5643" t="s">
        <v>40583</v>
      </c>
      <c r="N5643" t="s">
        <v>42669</v>
      </c>
      <c r="O5643" t="s">
        <v>42670</v>
      </c>
      <c r="P5643">
        <v>0</v>
      </c>
      <c r="Q5643">
        <v>2</v>
      </c>
      <c r="R5643" t="s">
        <v>42677</v>
      </c>
      <c r="S5643" t="s">
        <v>42830</v>
      </c>
      <c r="T5643" t="s">
        <v>44666</v>
      </c>
      <c r="U5643" t="s">
        <v>49446</v>
      </c>
      <c r="V5643" t="s">
        <v>56987</v>
      </c>
      <c r="W5643" t="s">
        <v>40583</v>
      </c>
      <c r="X5643" t="s">
        <v>42679</v>
      </c>
    </row>
    <row r="5644" spans="1:24">
      <c r="A5644">
        <f>HYPERLINK("https://www.philgeps.gov.ph/GEPSNONPILOT/Tender/SplashBidNoticeAbstractUI.aspx?menuIndex=3&amp;refID=7181233&amp;Result=3","7181233")</f>
        <v>0</v>
      </c>
      <c r="B5644" t="s">
        <v>1935</v>
      </c>
      <c r="C5644" t="s">
        <v>8930</v>
      </c>
      <c r="D5644" t="s">
        <v>17170</v>
      </c>
      <c r="E5644" t="s">
        <v>22133</v>
      </c>
      <c r="F5644" t="s">
        <v>29372</v>
      </c>
      <c r="G5644" t="s">
        <v>29380</v>
      </c>
      <c r="H5644" t="s">
        <v>11048</v>
      </c>
      <c r="I5644" t="s">
        <v>29393</v>
      </c>
      <c r="J5644" t="s">
        <v>33185</v>
      </c>
      <c r="K5644" t="s">
        <v>38490</v>
      </c>
      <c r="M5644" t="s">
        <v>40814</v>
      </c>
      <c r="N5644" t="s">
        <v>42669</v>
      </c>
      <c r="O5644" t="s">
        <v>42670</v>
      </c>
      <c r="Q5644">
        <v>0</v>
      </c>
      <c r="R5644" t="s">
        <v>42677</v>
      </c>
      <c r="S5644" t="s">
        <v>42842</v>
      </c>
      <c r="T5644" t="s">
        <v>44482</v>
      </c>
      <c r="U5644" t="s">
        <v>49388</v>
      </c>
      <c r="W5644" t="s">
        <v>58064</v>
      </c>
      <c r="X5644" t="s">
        <v>42679</v>
      </c>
    </row>
    <row r="5645" spans="1:24">
      <c r="A5645">
        <f>HYPERLINK("https://www.philgeps.gov.ph/GEPSNONPILOT/Tender/SplashBidNoticeAbstractUI.aspx?menuIndex=3&amp;refID=7182979&amp;Result=3","7182979")</f>
        <v>0</v>
      </c>
      <c r="B5645" t="s">
        <v>771</v>
      </c>
      <c r="C5645" t="s">
        <v>8931</v>
      </c>
      <c r="D5645" t="s">
        <v>17141</v>
      </c>
      <c r="E5645" t="s">
        <v>22134</v>
      </c>
      <c r="F5645" t="s">
        <v>29372</v>
      </c>
      <c r="G5645" t="s">
        <v>29379</v>
      </c>
      <c r="H5645" t="s">
        <v>11048</v>
      </c>
      <c r="I5645" t="s">
        <v>3839</v>
      </c>
      <c r="J5645" t="s">
        <v>29571</v>
      </c>
      <c r="K5645" t="s">
        <v>38488</v>
      </c>
      <c r="M5645" t="s">
        <v>39555</v>
      </c>
      <c r="N5645" t="s">
        <v>42669</v>
      </c>
      <c r="O5645" t="s">
        <v>42670</v>
      </c>
      <c r="P5645">
        <v>0</v>
      </c>
      <c r="Q5645">
        <v>7</v>
      </c>
      <c r="R5645" t="s">
        <v>42677</v>
      </c>
      <c r="S5645" t="s">
        <v>42830</v>
      </c>
      <c r="T5645" t="s">
        <v>44468</v>
      </c>
      <c r="U5645" t="s">
        <v>46440</v>
      </c>
      <c r="W5645" t="s">
        <v>39555</v>
      </c>
      <c r="X5645" t="s">
        <v>42679</v>
      </c>
    </row>
    <row r="5646" spans="1:24">
      <c r="A5646">
        <f>HYPERLINK("https://www.philgeps.gov.ph/GEPSNONPILOT/Tender/SplashBidNoticeAbstractUI.aspx?menuIndex=3&amp;refID=7181218&amp;Result=3","7181218")</f>
        <v>0</v>
      </c>
      <c r="B5646" t="s">
        <v>1935</v>
      </c>
      <c r="C5646" t="s">
        <v>8932</v>
      </c>
      <c r="D5646" t="s">
        <v>17170</v>
      </c>
      <c r="E5646" t="s">
        <v>22135</v>
      </c>
      <c r="F5646" t="s">
        <v>29372</v>
      </c>
      <c r="G5646" t="s">
        <v>29380</v>
      </c>
      <c r="H5646" t="s">
        <v>11048</v>
      </c>
      <c r="I5646" t="s">
        <v>4709</v>
      </c>
      <c r="J5646" t="s">
        <v>33186</v>
      </c>
      <c r="K5646" t="s">
        <v>38490</v>
      </c>
      <c r="M5646" t="s">
        <v>40814</v>
      </c>
      <c r="N5646" t="s">
        <v>42669</v>
      </c>
      <c r="O5646" t="s">
        <v>42670</v>
      </c>
      <c r="Q5646">
        <v>4</v>
      </c>
      <c r="R5646" t="s">
        <v>42677</v>
      </c>
      <c r="S5646" t="s">
        <v>42843</v>
      </c>
      <c r="T5646" t="s">
        <v>44482</v>
      </c>
      <c r="U5646" t="s">
        <v>49388</v>
      </c>
      <c r="W5646" t="s">
        <v>58064</v>
      </c>
      <c r="X5646" t="s">
        <v>42679</v>
      </c>
    </row>
    <row r="5647" spans="1:24">
      <c r="A5647">
        <f>HYPERLINK("https://www.philgeps.gov.ph/GEPSNONPILOT/Tender/SplashBidNoticeAbstractUI.aspx?menuIndex=3&amp;refID=7182938&amp;Result=3","7182938")</f>
        <v>0</v>
      </c>
      <c r="B5647" t="s">
        <v>1951</v>
      </c>
      <c r="C5647" t="s">
        <v>8933</v>
      </c>
      <c r="D5647" t="s">
        <v>17187</v>
      </c>
      <c r="E5647" t="s">
        <v>22136</v>
      </c>
      <c r="F5647" t="s">
        <v>29372</v>
      </c>
      <c r="G5647" t="s">
        <v>29383</v>
      </c>
      <c r="H5647" t="s">
        <v>11048</v>
      </c>
      <c r="I5647" t="s">
        <v>29458</v>
      </c>
      <c r="J5647" t="s">
        <v>32776</v>
      </c>
      <c r="K5647" t="s">
        <v>38491</v>
      </c>
      <c r="M5647" t="s">
        <v>40833</v>
      </c>
      <c r="N5647" t="s">
        <v>42669</v>
      </c>
      <c r="O5647" t="s">
        <v>42670</v>
      </c>
      <c r="P5647">
        <v>0</v>
      </c>
      <c r="Q5647">
        <v>6</v>
      </c>
      <c r="R5647" t="s">
        <v>42677</v>
      </c>
      <c r="S5647" t="s">
        <v>42830</v>
      </c>
      <c r="T5647" t="s">
        <v>44488</v>
      </c>
      <c r="U5647" t="s">
        <v>49447</v>
      </c>
      <c r="W5647" t="s">
        <v>40833</v>
      </c>
      <c r="X5647" t="s">
        <v>42679</v>
      </c>
    </row>
    <row r="5648" spans="1:24">
      <c r="A5648">
        <f>HYPERLINK("https://www.philgeps.gov.ph/GEPSNONPILOT/Tender/SplashBidNoticeAbstractUI.aspx?menuIndex=3&amp;refID=7183392&amp;Result=3","7183392")</f>
        <v>0</v>
      </c>
      <c r="B5648" t="s">
        <v>1952</v>
      </c>
      <c r="C5648" t="s">
        <v>8934</v>
      </c>
      <c r="D5648" t="s">
        <v>17191</v>
      </c>
      <c r="E5648" t="s">
        <v>22137</v>
      </c>
      <c r="F5648" t="s">
        <v>29372</v>
      </c>
      <c r="G5648" t="s">
        <v>29380</v>
      </c>
      <c r="H5648" t="s">
        <v>11048</v>
      </c>
      <c r="I5648" t="s">
        <v>29407</v>
      </c>
      <c r="J5648" t="s">
        <v>29789</v>
      </c>
      <c r="K5648" t="s">
        <v>38488</v>
      </c>
      <c r="M5648" t="s">
        <v>40834</v>
      </c>
      <c r="N5648" t="s">
        <v>42669</v>
      </c>
      <c r="O5648" t="s">
        <v>42670</v>
      </c>
      <c r="P5648">
        <v>0</v>
      </c>
      <c r="Q5648">
        <v>3</v>
      </c>
      <c r="R5648" t="s">
        <v>42677</v>
      </c>
      <c r="S5648" t="s">
        <v>42830</v>
      </c>
      <c r="T5648" t="s">
        <v>44517</v>
      </c>
      <c r="U5648" t="s">
        <v>49448</v>
      </c>
      <c r="W5648" t="s">
        <v>40834</v>
      </c>
      <c r="X5648" t="s">
        <v>42679</v>
      </c>
    </row>
    <row r="5649" spans="1:24">
      <c r="A5649">
        <f>HYPERLINK("https://www.philgeps.gov.ph/GEPSNONPILOT/Tender/SplashBidNoticeAbstractUI.aspx?menuIndex=3&amp;refID=7181514&amp;Result=3","7181514")</f>
        <v>0</v>
      </c>
      <c r="B5649" t="s">
        <v>1953</v>
      </c>
      <c r="C5649" t="s">
        <v>8935</v>
      </c>
      <c r="D5649" t="s">
        <v>17161</v>
      </c>
      <c r="E5649" t="s">
        <v>22138</v>
      </c>
      <c r="F5649" t="s">
        <v>29372</v>
      </c>
      <c r="G5649" t="s">
        <v>29380</v>
      </c>
      <c r="H5649" t="s">
        <v>11048</v>
      </c>
      <c r="I5649" t="s">
        <v>4709</v>
      </c>
      <c r="J5649" t="s">
        <v>33187</v>
      </c>
      <c r="K5649" t="s">
        <v>38485</v>
      </c>
      <c r="M5649" t="s">
        <v>40835</v>
      </c>
      <c r="N5649" t="s">
        <v>42669</v>
      </c>
      <c r="O5649" t="s">
        <v>42670</v>
      </c>
      <c r="P5649">
        <v>0</v>
      </c>
      <c r="Q5649">
        <v>0</v>
      </c>
      <c r="R5649" t="s">
        <v>42677</v>
      </c>
      <c r="S5649" t="s">
        <v>42830</v>
      </c>
      <c r="T5649" t="s">
        <v>44481</v>
      </c>
      <c r="U5649" t="s">
        <v>49449</v>
      </c>
      <c r="V5649" t="s">
        <v>56988</v>
      </c>
      <c r="W5649" t="s">
        <v>40835</v>
      </c>
      <c r="X5649" t="s">
        <v>42679</v>
      </c>
    </row>
    <row r="5650" spans="1:24">
      <c r="A5650">
        <f>HYPERLINK("https://www.philgeps.gov.ph/GEPSNONPILOT/Tender/SplashBidNoticeAbstractUI.aspx?menuIndex=3&amp;refID=7183720&amp;Result=3","7183720")</f>
        <v>0</v>
      </c>
      <c r="B5650" t="s">
        <v>207</v>
      </c>
      <c r="C5650" t="s">
        <v>8936</v>
      </c>
      <c r="D5650" t="s">
        <v>17157</v>
      </c>
      <c r="E5650" t="s">
        <v>22139</v>
      </c>
      <c r="F5650" t="s">
        <v>29372</v>
      </c>
      <c r="G5650" t="s">
        <v>29380</v>
      </c>
      <c r="H5650" t="s">
        <v>29389</v>
      </c>
      <c r="I5650" t="s">
        <v>10408</v>
      </c>
      <c r="J5650" t="s">
        <v>33188</v>
      </c>
      <c r="K5650" t="s">
        <v>38488</v>
      </c>
      <c r="M5650" t="s">
        <v>40836</v>
      </c>
      <c r="N5650" t="s">
        <v>42669</v>
      </c>
      <c r="O5650" t="s">
        <v>42670</v>
      </c>
      <c r="P5650">
        <v>0</v>
      </c>
      <c r="Q5650">
        <v>0</v>
      </c>
      <c r="R5650" t="s">
        <v>42677</v>
      </c>
      <c r="S5650" t="s">
        <v>42830</v>
      </c>
      <c r="T5650" t="s">
        <v>44427</v>
      </c>
      <c r="U5650" t="s">
        <v>49450</v>
      </c>
      <c r="W5650" t="s">
        <v>40836</v>
      </c>
      <c r="X5650" t="s">
        <v>42678</v>
      </c>
    </row>
    <row r="5651" spans="1:24">
      <c r="A5651">
        <f>HYPERLINK("https://www.philgeps.gov.ph/GEPSNONPILOT/Tender/SplashBidNoticeAbstractUI.aspx?menuIndex=3&amp;refID=7183719&amp;Result=3","7183719")</f>
        <v>0</v>
      </c>
      <c r="B5651" t="s">
        <v>1954</v>
      </c>
      <c r="C5651" t="s">
        <v>8937</v>
      </c>
      <c r="D5651" t="s">
        <v>17169</v>
      </c>
      <c r="E5651" t="s">
        <v>22140</v>
      </c>
      <c r="F5651" t="s">
        <v>29372</v>
      </c>
      <c r="G5651" t="s">
        <v>29379</v>
      </c>
      <c r="H5651" t="s">
        <v>29390</v>
      </c>
      <c r="I5651" t="s">
        <v>10408</v>
      </c>
      <c r="J5651" t="s">
        <v>33189</v>
      </c>
      <c r="K5651" t="s">
        <v>38517</v>
      </c>
      <c r="M5651" t="s">
        <v>40837</v>
      </c>
      <c r="N5651" t="s">
        <v>42669</v>
      </c>
      <c r="O5651" t="s">
        <v>42670</v>
      </c>
      <c r="P5651">
        <v>0</v>
      </c>
      <c r="Q5651">
        <v>0</v>
      </c>
      <c r="R5651" t="s">
        <v>42677</v>
      </c>
      <c r="S5651" t="s">
        <v>42830</v>
      </c>
      <c r="T5651" t="s">
        <v>44386</v>
      </c>
      <c r="U5651" t="s">
        <v>49451</v>
      </c>
      <c r="W5651" t="s">
        <v>40837</v>
      </c>
      <c r="X5651" t="s">
        <v>42678</v>
      </c>
    </row>
    <row r="5652" spans="1:24">
      <c r="A5652">
        <f>HYPERLINK("https://www.philgeps.gov.ph/GEPSNONPILOT/Tender/SplashBidNoticeAbstractUI.aspx?menuIndex=3&amp;refID=7183717&amp;Result=3","7183717")</f>
        <v>0</v>
      </c>
      <c r="B5652" t="s">
        <v>1125</v>
      </c>
      <c r="C5652" t="s">
        <v>7192</v>
      </c>
      <c r="D5652" t="s">
        <v>17151</v>
      </c>
      <c r="E5652" t="s">
        <v>22141</v>
      </c>
      <c r="F5652" t="s">
        <v>29372</v>
      </c>
      <c r="G5652" t="s">
        <v>29379</v>
      </c>
      <c r="H5652" t="s">
        <v>11048</v>
      </c>
      <c r="I5652" t="s">
        <v>29393</v>
      </c>
      <c r="J5652" t="s">
        <v>33190</v>
      </c>
      <c r="K5652" t="s">
        <v>38491</v>
      </c>
      <c r="M5652" t="s">
        <v>40235</v>
      </c>
      <c r="N5652" t="s">
        <v>42669</v>
      </c>
      <c r="O5652" t="s">
        <v>42670</v>
      </c>
      <c r="P5652">
        <v>0</v>
      </c>
      <c r="Q5652">
        <v>0</v>
      </c>
      <c r="R5652" t="s">
        <v>42677</v>
      </c>
      <c r="S5652" t="s">
        <v>42830</v>
      </c>
      <c r="T5652" t="s">
        <v>44427</v>
      </c>
      <c r="U5652" t="s">
        <v>49452</v>
      </c>
      <c r="W5652" t="s">
        <v>40235</v>
      </c>
      <c r="X5652" t="s">
        <v>42678</v>
      </c>
    </row>
    <row r="5653" spans="1:24">
      <c r="A5653">
        <f>HYPERLINK("https://www.philgeps.gov.ph/GEPSNONPILOT/Tender/SplashBidNoticeAbstractUI.aspx?menuIndex=3&amp;refID=7183716&amp;Result=3","7183716")</f>
        <v>0</v>
      </c>
      <c r="B5653" t="s">
        <v>1955</v>
      </c>
      <c r="C5653" t="s">
        <v>8938</v>
      </c>
      <c r="D5653" t="s">
        <v>17169</v>
      </c>
      <c r="E5653" t="s">
        <v>22142</v>
      </c>
      <c r="F5653" t="s">
        <v>29372</v>
      </c>
      <c r="G5653" t="s">
        <v>29380</v>
      </c>
      <c r="H5653" t="s">
        <v>29390</v>
      </c>
      <c r="I5653" t="s">
        <v>10408</v>
      </c>
      <c r="J5653" t="s">
        <v>33191</v>
      </c>
      <c r="K5653" t="s">
        <v>38532</v>
      </c>
      <c r="M5653" t="s">
        <v>40838</v>
      </c>
      <c r="N5653" t="s">
        <v>42669</v>
      </c>
      <c r="O5653" t="s">
        <v>42670</v>
      </c>
      <c r="Q5653">
        <v>0</v>
      </c>
      <c r="R5653" t="s">
        <v>42677</v>
      </c>
      <c r="S5653" t="s">
        <v>42844</v>
      </c>
      <c r="T5653" t="s">
        <v>44373</v>
      </c>
      <c r="U5653" t="s">
        <v>49453</v>
      </c>
      <c r="W5653" t="s">
        <v>40838</v>
      </c>
      <c r="X5653" t="s">
        <v>42678</v>
      </c>
    </row>
    <row r="5654" spans="1:24">
      <c r="A5654">
        <f>HYPERLINK("https://www.philgeps.gov.ph/GEPSNONPILOT/Tender/SplashBidNoticeAbstractUI.aspx?menuIndex=3&amp;refID=7181227&amp;Result=3","7181227")</f>
        <v>0</v>
      </c>
      <c r="B5654" t="s">
        <v>1927</v>
      </c>
      <c r="C5654" t="s">
        <v>8939</v>
      </c>
      <c r="D5654" t="s">
        <v>17231</v>
      </c>
      <c r="E5654" t="s">
        <v>22143</v>
      </c>
      <c r="F5654" t="s">
        <v>29372</v>
      </c>
      <c r="G5654" t="s">
        <v>29380</v>
      </c>
      <c r="H5654" t="s">
        <v>11048</v>
      </c>
      <c r="I5654" t="s">
        <v>29394</v>
      </c>
      <c r="J5654" t="s">
        <v>33192</v>
      </c>
      <c r="K5654" t="s">
        <v>38487</v>
      </c>
      <c r="M5654" t="s">
        <v>40804</v>
      </c>
      <c r="N5654" t="s">
        <v>42669</v>
      </c>
      <c r="O5654" t="s">
        <v>42670</v>
      </c>
      <c r="P5654">
        <v>0</v>
      </c>
      <c r="Q5654">
        <v>2</v>
      </c>
      <c r="R5654" t="s">
        <v>42677</v>
      </c>
      <c r="S5654" t="s">
        <v>42830</v>
      </c>
      <c r="T5654" t="s">
        <v>44481</v>
      </c>
      <c r="U5654" t="s">
        <v>49454</v>
      </c>
      <c r="W5654" t="s">
        <v>40804</v>
      </c>
      <c r="X5654" t="s">
        <v>42679</v>
      </c>
    </row>
    <row r="5655" spans="1:24">
      <c r="A5655">
        <f>HYPERLINK("https://www.philgeps.gov.ph/GEPSNONPILOT/Tender/SplashBidNoticeAbstractUI.aspx?menuIndex=3&amp;refID=7181194&amp;Result=3","7181194")</f>
        <v>0</v>
      </c>
      <c r="B5655" t="s">
        <v>1488</v>
      </c>
      <c r="C5655" t="s">
        <v>8940</v>
      </c>
      <c r="D5655" t="s">
        <v>17205</v>
      </c>
      <c r="E5655" t="s">
        <v>20880</v>
      </c>
      <c r="F5655" t="s">
        <v>29372</v>
      </c>
      <c r="G5655" t="s">
        <v>29380</v>
      </c>
      <c r="H5655" t="s">
        <v>29389</v>
      </c>
      <c r="I5655" t="s">
        <v>10408</v>
      </c>
      <c r="J5655" t="s">
        <v>33193</v>
      </c>
      <c r="K5655" t="s">
        <v>38487</v>
      </c>
      <c r="M5655" t="s">
        <v>40331</v>
      </c>
      <c r="N5655" t="s">
        <v>42669</v>
      </c>
      <c r="O5655" t="s">
        <v>42670</v>
      </c>
      <c r="P5655">
        <v>0</v>
      </c>
      <c r="Q5655">
        <v>0</v>
      </c>
      <c r="R5655" t="s">
        <v>42677</v>
      </c>
      <c r="S5655" t="s">
        <v>42830</v>
      </c>
      <c r="T5655" t="s">
        <v>44355</v>
      </c>
      <c r="U5655" t="s">
        <v>49455</v>
      </c>
      <c r="V5655" t="s">
        <v>56989</v>
      </c>
      <c r="W5655" t="s">
        <v>40331</v>
      </c>
      <c r="X5655" t="s">
        <v>42679</v>
      </c>
    </row>
    <row r="5656" spans="1:24">
      <c r="A5656">
        <f>HYPERLINK("https://www.philgeps.gov.ph/GEPSNONPILOT/Tender/SplashBidNoticeAbstractUI.aspx?menuIndex=3&amp;refID=7183699&amp;Result=3","7183699")</f>
        <v>0</v>
      </c>
      <c r="B5656" t="s">
        <v>1956</v>
      </c>
      <c r="C5656" t="s">
        <v>5073</v>
      </c>
      <c r="D5656" t="s">
        <v>17205</v>
      </c>
      <c r="E5656" t="s">
        <v>22144</v>
      </c>
      <c r="F5656" t="s">
        <v>29372</v>
      </c>
      <c r="G5656" t="s">
        <v>29380</v>
      </c>
      <c r="H5656" t="s">
        <v>11048</v>
      </c>
      <c r="I5656" t="s">
        <v>4709</v>
      </c>
      <c r="J5656" t="s">
        <v>33194</v>
      </c>
      <c r="K5656" t="s">
        <v>38491</v>
      </c>
      <c r="M5656" t="s">
        <v>40839</v>
      </c>
      <c r="N5656" t="s">
        <v>42669</v>
      </c>
      <c r="O5656" t="s">
        <v>42670</v>
      </c>
      <c r="P5656">
        <v>0</v>
      </c>
      <c r="Q5656">
        <v>1</v>
      </c>
      <c r="R5656" t="s">
        <v>42677</v>
      </c>
      <c r="S5656" t="s">
        <v>42830</v>
      </c>
      <c r="T5656" t="s">
        <v>44469</v>
      </c>
      <c r="U5656" t="s">
        <v>49456</v>
      </c>
      <c r="W5656" t="s">
        <v>40839</v>
      </c>
      <c r="X5656" t="s">
        <v>42679</v>
      </c>
    </row>
    <row r="5657" spans="1:24">
      <c r="A5657">
        <f>HYPERLINK("https://www.philgeps.gov.ph/GEPSNONPILOT/Tender/SplashBidNoticeAbstractUI.aspx?menuIndex=3&amp;refID=7183697&amp;Result=3","7183697")</f>
        <v>0</v>
      </c>
      <c r="B5657" t="s">
        <v>40</v>
      </c>
      <c r="C5657" t="s">
        <v>8941</v>
      </c>
      <c r="D5657" t="s">
        <v>17151</v>
      </c>
      <c r="E5657" t="s">
        <v>22145</v>
      </c>
      <c r="F5657" t="s">
        <v>29372</v>
      </c>
      <c r="G5657" t="s">
        <v>29380</v>
      </c>
      <c r="H5657" t="s">
        <v>11048</v>
      </c>
      <c r="I5657" t="s">
        <v>29476</v>
      </c>
      <c r="J5657" t="s">
        <v>30161</v>
      </c>
      <c r="K5657" t="s">
        <v>38496</v>
      </c>
      <c r="M5657" t="s">
        <v>38793</v>
      </c>
      <c r="N5657" t="s">
        <v>42669</v>
      </c>
      <c r="O5657" t="s">
        <v>42670</v>
      </c>
      <c r="P5657">
        <v>0</v>
      </c>
      <c r="Q5657">
        <v>9</v>
      </c>
      <c r="R5657" t="s">
        <v>42677</v>
      </c>
      <c r="S5657" t="s">
        <v>42830</v>
      </c>
      <c r="T5657" t="s">
        <v>44558</v>
      </c>
      <c r="U5657" t="s">
        <v>49457</v>
      </c>
      <c r="V5657" t="s">
        <v>56328</v>
      </c>
      <c r="W5657" t="s">
        <v>38793</v>
      </c>
      <c r="X5657" t="s">
        <v>42679</v>
      </c>
    </row>
    <row r="5658" spans="1:24">
      <c r="A5658">
        <f>HYPERLINK("https://www.philgeps.gov.ph/GEPSNONPILOT/Tender/SplashBidNoticeAbstractUI.aspx?menuIndex=3&amp;refID=7183721&amp;Result=3","7183721")</f>
        <v>0</v>
      </c>
      <c r="B5658" t="s">
        <v>1125</v>
      </c>
      <c r="C5658" t="s">
        <v>7192</v>
      </c>
      <c r="D5658" t="s">
        <v>17151</v>
      </c>
      <c r="E5658" t="s">
        <v>22146</v>
      </c>
      <c r="F5658" t="s">
        <v>29372</v>
      </c>
      <c r="G5658" t="s">
        <v>29379</v>
      </c>
      <c r="H5658" t="s">
        <v>11048</v>
      </c>
      <c r="I5658" t="s">
        <v>29393</v>
      </c>
      <c r="J5658" t="s">
        <v>33195</v>
      </c>
      <c r="K5658" t="s">
        <v>38491</v>
      </c>
      <c r="M5658" t="s">
        <v>40235</v>
      </c>
      <c r="N5658" t="s">
        <v>42669</v>
      </c>
      <c r="O5658" t="s">
        <v>42670</v>
      </c>
      <c r="P5658">
        <v>0</v>
      </c>
      <c r="Q5658">
        <v>0</v>
      </c>
      <c r="R5658" t="s">
        <v>42677</v>
      </c>
      <c r="S5658" t="s">
        <v>42830</v>
      </c>
      <c r="T5658" t="s">
        <v>44427</v>
      </c>
      <c r="U5658" t="s">
        <v>49458</v>
      </c>
      <c r="W5658" t="s">
        <v>40235</v>
      </c>
      <c r="X5658" t="s">
        <v>42678</v>
      </c>
    </row>
    <row r="5659" spans="1:24">
      <c r="A5659">
        <f>HYPERLINK("https://www.philgeps.gov.ph/GEPSNONPILOT/Tender/SplashBidNoticeAbstractUI.aspx?menuIndex=3&amp;refID=7183495&amp;Result=3","7183495")</f>
        <v>0</v>
      </c>
      <c r="B5659" t="s">
        <v>1945</v>
      </c>
      <c r="C5659" t="s">
        <v>8942</v>
      </c>
      <c r="D5659" t="s">
        <v>17216</v>
      </c>
      <c r="E5659" t="s">
        <v>22147</v>
      </c>
      <c r="F5659" t="s">
        <v>29372</v>
      </c>
      <c r="G5659" t="s">
        <v>29380</v>
      </c>
      <c r="H5659" t="s">
        <v>11048</v>
      </c>
      <c r="I5659" t="s">
        <v>29442</v>
      </c>
      <c r="J5659" t="s">
        <v>30474</v>
      </c>
      <c r="K5659" t="s">
        <v>38488</v>
      </c>
      <c r="M5659" t="s">
        <v>40827</v>
      </c>
      <c r="N5659" t="s">
        <v>42669</v>
      </c>
      <c r="O5659" t="s">
        <v>42670</v>
      </c>
      <c r="P5659">
        <v>0</v>
      </c>
      <c r="Q5659">
        <v>0</v>
      </c>
      <c r="R5659" t="s">
        <v>42677</v>
      </c>
      <c r="S5659" t="s">
        <v>42830</v>
      </c>
      <c r="T5659" t="s">
        <v>44417</v>
      </c>
      <c r="U5659" t="s">
        <v>49459</v>
      </c>
      <c r="W5659" t="s">
        <v>40827</v>
      </c>
      <c r="X5659" t="s">
        <v>42679</v>
      </c>
    </row>
    <row r="5660" spans="1:24">
      <c r="A5660">
        <f>HYPERLINK("https://www.philgeps.gov.ph/GEPSNONPILOT/Tender/SplashBidNoticeAbstractUI.aspx?menuIndex=3&amp;refID=7183714&amp;Result=3","7183714")</f>
        <v>0</v>
      </c>
      <c r="B5660" t="s">
        <v>1957</v>
      </c>
      <c r="C5660" t="s">
        <v>8943</v>
      </c>
      <c r="D5660" t="s">
        <v>17169</v>
      </c>
      <c r="E5660" t="s">
        <v>22148</v>
      </c>
      <c r="F5660" t="s">
        <v>29372</v>
      </c>
      <c r="G5660" t="s">
        <v>29380</v>
      </c>
      <c r="H5660" t="s">
        <v>29390</v>
      </c>
      <c r="I5660" t="s">
        <v>10408</v>
      </c>
      <c r="J5660" t="s">
        <v>33196</v>
      </c>
      <c r="K5660" t="s">
        <v>38532</v>
      </c>
      <c r="M5660" t="s">
        <v>40840</v>
      </c>
      <c r="N5660" t="s">
        <v>42669</v>
      </c>
      <c r="O5660" t="s">
        <v>42670</v>
      </c>
      <c r="Q5660">
        <v>0</v>
      </c>
      <c r="R5660" t="s">
        <v>42677</v>
      </c>
      <c r="S5660" t="s">
        <v>42845</v>
      </c>
      <c r="T5660" t="s">
        <v>44373</v>
      </c>
      <c r="U5660" t="s">
        <v>49460</v>
      </c>
      <c r="W5660" t="s">
        <v>40840</v>
      </c>
      <c r="X5660" t="s">
        <v>42678</v>
      </c>
    </row>
    <row r="5661" spans="1:24">
      <c r="A5661">
        <f>HYPERLINK("https://www.philgeps.gov.ph/GEPSNONPILOT/Tender/SplashBidNoticeAbstractUI.aspx?menuIndex=3&amp;refID=7183723&amp;Result=3","7183723")</f>
        <v>0</v>
      </c>
      <c r="B5661" t="s">
        <v>1125</v>
      </c>
      <c r="C5661" t="s">
        <v>8944</v>
      </c>
      <c r="D5661" t="s">
        <v>17151</v>
      </c>
      <c r="E5661" t="s">
        <v>22149</v>
      </c>
      <c r="F5661" t="s">
        <v>29372</v>
      </c>
      <c r="G5661" t="s">
        <v>29379</v>
      </c>
      <c r="H5661" t="s">
        <v>11048</v>
      </c>
      <c r="I5661" t="s">
        <v>29393</v>
      </c>
      <c r="J5661" t="s">
        <v>33197</v>
      </c>
      <c r="K5661" t="s">
        <v>38491</v>
      </c>
      <c r="M5661" t="s">
        <v>40235</v>
      </c>
      <c r="N5661" t="s">
        <v>42669</v>
      </c>
      <c r="O5661" t="s">
        <v>42670</v>
      </c>
      <c r="P5661">
        <v>0</v>
      </c>
      <c r="Q5661">
        <v>0</v>
      </c>
      <c r="R5661" t="s">
        <v>42677</v>
      </c>
      <c r="S5661" t="s">
        <v>42830</v>
      </c>
      <c r="T5661" t="s">
        <v>44427</v>
      </c>
      <c r="U5661" t="s">
        <v>49461</v>
      </c>
      <c r="W5661" t="s">
        <v>40235</v>
      </c>
      <c r="X5661" t="s">
        <v>42678</v>
      </c>
    </row>
    <row r="5662" spans="1:24">
      <c r="A5662">
        <f>HYPERLINK("https://www.philgeps.gov.ph/GEPSNONPILOT/Tender/SplashBidNoticeAbstractUI.aspx?menuIndex=3&amp;refID=7183756&amp;Result=3","7183756")</f>
        <v>0</v>
      </c>
      <c r="B5662" t="s">
        <v>529</v>
      </c>
      <c r="C5662" t="s">
        <v>8945</v>
      </c>
      <c r="D5662" t="s">
        <v>17147</v>
      </c>
      <c r="E5662" t="s">
        <v>22150</v>
      </c>
      <c r="F5662" t="s">
        <v>29372</v>
      </c>
      <c r="G5662" t="s">
        <v>29380</v>
      </c>
      <c r="H5662" t="s">
        <v>29389</v>
      </c>
      <c r="I5662" t="s">
        <v>10408</v>
      </c>
      <c r="J5662" t="s">
        <v>29526</v>
      </c>
      <c r="K5662" t="s">
        <v>38488</v>
      </c>
      <c r="M5662" t="s">
        <v>39296</v>
      </c>
      <c r="N5662" t="s">
        <v>42669</v>
      </c>
      <c r="O5662" t="s">
        <v>42670</v>
      </c>
      <c r="P5662">
        <v>0</v>
      </c>
      <c r="Q5662">
        <v>0</v>
      </c>
      <c r="R5662" t="s">
        <v>42677</v>
      </c>
      <c r="S5662" t="s">
        <v>42830</v>
      </c>
      <c r="T5662" t="s">
        <v>44401</v>
      </c>
      <c r="U5662" t="s">
        <v>49462</v>
      </c>
      <c r="W5662" t="s">
        <v>39296</v>
      </c>
      <c r="X5662" t="s">
        <v>42678</v>
      </c>
    </row>
    <row r="5663" spans="1:24">
      <c r="A5663">
        <f>HYPERLINK("https://www.philgeps.gov.ph/GEPSNONPILOT/Tender/SplashBidNoticeAbstractUI.aspx?menuIndex=3&amp;refID=7183753&amp;Result=3","7183753")</f>
        <v>0</v>
      </c>
      <c r="B5663" t="s">
        <v>1958</v>
      </c>
      <c r="C5663" t="s">
        <v>8946</v>
      </c>
      <c r="D5663" t="s">
        <v>17160</v>
      </c>
      <c r="E5663" t="s">
        <v>18645</v>
      </c>
      <c r="F5663" t="s">
        <v>29372</v>
      </c>
      <c r="G5663" t="s">
        <v>29380</v>
      </c>
      <c r="H5663" t="s">
        <v>29389</v>
      </c>
      <c r="I5663" t="s">
        <v>4709</v>
      </c>
      <c r="J5663" t="s">
        <v>33198</v>
      </c>
      <c r="K5663" t="s">
        <v>38491</v>
      </c>
      <c r="M5663" t="s">
        <v>40841</v>
      </c>
      <c r="N5663" t="s">
        <v>42669</v>
      </c>
      <c r="O5663" t="s">
        <v>42670</v>
      </c>
      <c r="P5663">
        <v>0</v>
      </c>
      <c r="Q5663">
        <v>0</v>
      </c>
      <c r="R5663" t="s">
        <v>42677</v>
      </c>
      <c r="S5663" t="s">
        <v>42830</v>
      </c>
      <c r="T5663" t="s">
        <v>44429</v>
      </c>
      <c r="U5663" t="s">
        <v>49463</v>
      </c>
      <c r="W5663" t="s">
        <v>40841</v>
      </c>
      <c r="X5663" t="s">
        <v>42678</v>
      </c>
    </row>
    <row r="5664" spans="1:24">
      <c r="A5664">
        <f>HYPERLINK("https://www.philgeps.gov.ph/GEPSNONPILOT/Tender/SplashBidNoticeAbstractUI.aspx?menuIndex=3&amp;refID=7183638&amp;Result=3","7183638")</f>
        <v>0</v>
      </c>
      <c r="B5664" t="s">
        <v>119</v>
      </c>
      <c r="C5664" t="s">
        <v>8947</v>
      </c>
      <c r="D5664" t="s">
        <v>17141</v>
      </c>
      <c r="E5664" t="s">
        <v>22151</v>
      </c>
      <c r="F5664" t="s">
        <v>29372</v>
      </c>
      <c r="G5664" t="s">
        <v>29380</v>
      </c>
      <c r="H5664" t="s">
        <v>11048</v>
      </c>
      <c r="I5664" t="s">
        <v>8614</v>
      </c>
      <c r="J5664" t="s">
        <v>33199</v>
      </c>
      <c r="K5664" t="s">
        <v>38580</v>
      </c>
      <c r="M5664" t="s">
        <v>40842</v>
      </c>
      <c r="N5664" t="s">
        <v>42669</v>
      </c>
      <c r="O5664" t="s">
        <v>42670</v>
      </c>
      <c r="P5664">
        <v>0</v>
      </c>
      <c r="Q5664">
        <v>6</v>
      </c>
      <c r="R5664" t="s">
        <v>42677</v>
      </c>
      <c r="S5664" t="s">
        <v>42830</v>
      </c>
      <c r="T5664" t="s">
        <v>44563</v>
      </c>
      <c r="U5664" t="s">
        <v>49464</v>
      </c>
      <c r="V5664" t="s">
        <v>56990</v>
      </c>
      <c r="W5664" t="s">
        <v>40842</v>
      </c>
      <c r="X5664" t="s">
        <v>42679</v>
      </c>
    </row>
    <row r="5665" spans="1:24">
      <c r="A5665">
        <f>HYPERLINK("https://www.philgeps.gov.ph/GEPSNONPILOT/Tender/SplashBidNoticeAbstractUI.aspx?menuIndex=3&amp;refID=7183712&amp;Result=3","7183712")</f>
        <v>0</v>
      </c>
      <c r="B5665" t="s">
        <v>1959</v>
      </c>
      <c r="C5665" t="s">
        <v>8948</v>
      </c>
      <c r="D5665" t="s">
        <v>17174</v>
      </c>
      <c r="E5665" t="s">
        <v>22152</v>
      </c>
      <c r="F5665" t="s">
        <v>29372</v>
      </c>
      <c r="G5665" t="s">
        <v>29380</v>
      </c>
      <c r="H5665" t="s">
        <v>11048</v>
      </c>
      <c r="I5665" t="s">
        <v>29426</v>
      </c>
      <c r="J5665" t="s">
        <v>31309</v>
      </c>
      <c r="K5665" t="s">
        <v>38485</v>
      </c>
      <c r="M5665" t="s">
        <v>40843</v>
      </c>
      <c r="N5665" t="s">
        <v>42669</v>
      </c>
      <c r="O5665" t="s">
        <v>42670</v>
      </c>
      <c r="P5665">
        <v>0</v>
      </c>
      <c r="Q5665">
        <v>2</v>
      </c>
      <c r="R5665" t="s">
        <v>42677</v>
      </c>
      <c r="S5665" t="s">
        <v>42830</v>
      </c>
      <c r="T5665" t="s">
        <v>44558</v>
      </c>
      <c r="U5665" t="s">
        <v>49465</v>
      </c>
      <c r="W5665" t="s">
        <v>40843</v>
      </c>
      <c r="X5665" t="s">
        <v>42679</v>
      </c>
    </row>
    <row r="5666" spans="1:24">
      <c r="A5666">
        <f>HYPERLINK("https://www.philgeps.gov.ph/GEPSNONPILOT/Tender/SplashBidNoticeAbstractUI.aspx?menuIndex=3&amp;refID=7183740&amp;Result=3","7183740")</f>
        <v>0</v>
      </c>
      <c r="B5666" t="s">
        <v>207</v>
      </c>
      <c r="C5666" t="s">
        <v>8949</v>
      </c>
      <c r="D5666" t="s">
        <v>17157</v>
      </c>
      <c r="E5666" t="s">
        <v>22153</v>
      </c>
      <c r="F5666" t="s">
        <v>29372</v>
      </c>
      <c r="G5666" t="s">
        <v>29380</v>
      </c>
      <c r="H5666" t="s">
        <v>29389</v>
      </c>
      <c r="I5666" t="s">
        <v>10408</v>
      </c>
      <c r="J5666" t="s">
        <v>33200</v>
      </c>
      <c r="K5666" t="s">
        <v>38510</v>
      </c>
      <c r="M5666" t="s">
        <v>40836</v>
      </c>
      <c r="N5666" t="s">
        <v>42669</v>
      </c>
      <c r="O5666" t="s">
        <v>42670</v>
      </c>
      <c r="P5666">
        <v>0</v>
      </c>
      <c r="Q5666">
        <v>0</v>
      </c>
      <c r="R5666" t="s">
        <v>42677</v>
      </c>
      <c r="S5666" t="s">
        <v>42830</v>
      </c>
      <c r="T5666" t="s">
        <v>44427</v>
      </c>
      <c r="U5666" t="s">
        <v>49450</v>
      </c>
      <c r="W5666" t="s">
        <v>40836</v>
      </c>
      <c r="X5666" t="s">
        <v>42678</v>
      </c>
    </row>
    <row r="5667" spans="1:24">
      <c r="A5667">
        <f>HYPERLINK("https://www.philgeps.gov.ph/GEPSNONPILOT/Tender/SplashBidNoticeAbstractUI.aspx?menuIndex=3&amp;refID=7183524&amp;Result=3","7183524")</f>
        <v>0</v>
      </c>
      <c r="B5667" t="s">
        <v>1960</v>
      </c>
      <c r="C5667" t="s">
        <v>8950</v>
      </c>
      <c r="D5667" t="s">
        <v>17199</v>
      </c>
      <c r="E5667" t="s">
        <v>17870</v>
      </c>
      <c r="F5667" t="s">
        <v>29372</v>
      </c>
      <c r="G5667" t="s">
        <v>29380</v>
      </c>
      <c r="H5667" t="s">
        <v>11048</v>
      </c>
      <c r="I5667" t="s">
        <v>5383</v>
      </c>
      <c r="J5667" t="s">
        <v>33201</v>
      </c>
      <c r="K5667" t="s">
        <v>38485</v>
      </c>
      <c r="M5667" t="s">
        <v>40844</v>
      </c>
      <c r="N5667" t="s">
        <v>42669</v>
      </c>
      <c r="O5667" t="s">
        <v>42670</v>
      </c>
      <c r="P5667">
        <v>0</v>
      </c>
      <c r="Q5667">
        <v>0</v>
      </c>
      <c r="R5667" t="s">
        <v>42677</v>
      </c>
      <c r="S5667" t="s">
        <v>42830</v>
      </c>
      <c r="T5667" t="s">
        <v>44371</v>
      </c>
      <c r="U5667" t="s">
        <v>49466</v>
      </c>
      <c r="W5667" t="s">
        <v>40844</v>
      </c>
      <c r="X5667" t="s">
        <v>42679</v>
      </c>
    </row>
    <row r="5668" spans="1:24">
      <c r="A5668">
        <f>HYPERLINK("https://www.philgeps.gov.ph/GEPSNONPILOT/Tender/SplashBidNoticeAbstractUI.aspx?menuIndex=3&amp;refID=7183738&amp;Result=3","7183738")</f>
        <v>0</v>
      </c>
      <c r="B5668" t="s">
        <v>207</v>
      </c>
      <c r="C5668" t="s">
        <v>8951</v>
      </c>
      <c r="D5668" t="s">
        <v>17157</v>
      </c>
      <c r="E5668" t="s">
        <v>22154</v>
      </c>
      <c r="F5668" t="s">
        <v>29372</v>
      </c>
      <c r="G5668" t="s">
        <v>29380</v>
      </c>
      <c r="H5668" t="s">
        <v>29389</v>
      </c>
      <c r="I5668" t="s">
        <v>10408</v>
      </c>
      <c r="J5668" t="s">
        <v>33202</v>
      </c>
      <c r="K5668" t="s">
        <v>38510</v>
      </c>
      <c r="M5668" t="s">
        <v>40836</v>
      </c>
      <c r="N5668" t="s">
        <v>42669</v>
      </c>
      <c r="O5668" t="s">
        <v>42670</v>
      </c>
      <c r="P5668">
        <v>0</v>
      </c>
      <c r="Q5668">
        <v>0</v>
      </c>
      <c r="R5668" t="s">
        <v>42677</v>
      </c>
      <c r="S5668" t="s">
        <v>42830</v>
      </c>
      <c r="T5668" t="s">
        <v>44427</v>
      </c>
      <c r="U5668" t="s">
        <v>49450</v>
      </c>
      <c r="W5668" t="s">
        <v>40836</v>
      </c>
      <c r="X5668" t="s">
        <v>42678</v>
      </c>
    </row>
    <row r="5669" spans="1:24">
      <c r="A5669">
        <f>HYPERLINK("https://www.philgeps.gov.ph/GEPSNONPILOT/Tender/SplashBidNoticeAbstractUI.aspx?menuIndex=3&amp;refID=7183739&amp;Result=3","7183739")</f>
        <v>0</v>
      </c>
      <c r="B5669" t="s">
        <v>207</v>
      </c>
      <c r="C5669" t="s">
        <v>8952</v>
      </c>
      <c r="D5669" t="s">
        <v>17157</v>
      </c>
      <c r="E5669" t="s">
        <v>22155</v>
      </c>
      <c r="F5669" t="s">
        <v>29372</v>
      </c>
      <c r="G5669" t="s">
        <v>29380</v>
      </c>
      <c r="H5669" t="s">
        <v>29389</v>
      </c>
      <c r="I5669" t="s">
        <v>10408</v>
      </c>
      <c r="J5669" t="s">
        <v>33203</v>
      </c>
      <c r="K5669" t="s">
        <v>38518</v>
      </c>
      <c r="M5669" t="s">
        <v>40836</v>
      </c>
      <c r="N5669" t="s">
        <v>42669</v>
      </c>
      <c r="O5669" t="s">
        <v>42670</v>
      </c>
      <c r="P5669">
        <v>0</v>
      </c>
      <c r="Q5669">
        <v>0</v>
      </c>
      <c r="R5669" t="s">
        <v>42677</v>
      </c>
      <c r="S5669" t="s">
        <v>42830</v>
      </c>
      <c r="T5669" t="s">
        <v>44427</v>
      </c>
      <c r="U5669" t="s">
        <v>49450</v>
      </c>
      <c r="W5669" t="s">
        <v>40836</v>
      </c>
      <c r="X5669" t="s">
        <v>42678</v>
      </c>
    </row>
    <row r="5670" spans="1:24">
      <c r="A5670">
        <f>HYPERLINK("https://www.philgeps.gov.ph/GEPSNONPILOT/Tender/SplashBidNoticeAbstractUI.aspx?menuIndex=3&amp;refID=7183737&amp;Result=3","7183737")</f>
        <v>0</v>
      </c>
      <c r="B5670" t="s">
        <v>207</v>
      </c>
      <c r="C5670" t="s">
        <v>8953</v>
      </c>
      <c r="D5670" t="s">
        <v>17157</v>
      </c>
      <c r="E5670" t="s">
        <v>22156</v>
      </c>
      <c r="F5670" t="s">
        <v>29372</v>
      </c>
      <c r="G5670" t="s">
        <v>29380</v>
      </c>
      <c r="H5670" t="s">
        <v>29389</v>
      </c>
      <c r="I5670" t="s">
        <v>10408</v>
      </c>
      <c r="J5670" t="s">
        <v>33204</v>
      </c>
      <c r="K5670" t="s">
        <v>38518</v>
      </c>
      <c r="M5670" t="s">
        <v>40836</v>
      </c>
      <c r="N5670" t="s">
        <v>42669</v>
      </c>
      <c r="O5670" t="s">
        <v>42670</v>
      </c>
      <c r="P5670">
        <v>0</v>
      </c>
      <c r="Q5670">
        <v>0</v>
      </c>
      <c r="R5670" t="s">
        <v>42677</v>
      </c>
      <c r="S5670" t="s">
        <v>42830</v>
      </c>
      <c r="T5670" t="s">
        <v>44427</v>
      </c>
      <c r="U5670" t="s">
        <v>49450</v>
      </c>
      <c r="W5670" t="s">
        <v>40836</v>
      </c>
      <c r="X5670" t="s">
        <v>42678</v>
      </c>
    </row>
    <row r="5671" spans="1:24">
      <c r="A5671">
        <f>HYPERLINK("https://www.philgeps.gov.ph/GEPSNONPILOT/Tender/SplashBidNoticeAbstractUI.aspx?menuIndex=3&amp;refID=7183752&amp;Result=3","7183752")</f>
        <v>0</v>
      </c>
      <c r="B5671" t="s">
        <v>592</v>
      </c>
      <c r="C5671" t="s">
        <v>8954</v>
      </c>
      <c r="D5671" t="s">
        <v>17160</v>
      </c>
      <c r="E5671" t="s">
        <v>18645</v>
      </c>
      <c r="F5671" t="s">
        <v>29372</v>
      </c>
      <c r="G5671" t="s">
        <v>29380</v>
      </c>
      <c r="H5671" t="s">
        <v>11048</v>
      </c>
      <c r="I5671" t="s">
        <v>4709</v>
      </c>
      <c r="J5671" t="s">
        <v>30709</v>
      </c>
      <c r="K5671" t="s">
        <v>38491</v>
      </c>
      <c r="M5671" t="s">
        <v>39362</v>
      </c>
      <c r="N5671" t="s">
        <v>42669</v>
      </c>
      <c r="O5671" t="s">
        <v>42670</v>
      </c>
      <c r="P5671">
        <v>0</v>
      </c>
      <c r="Q5671">
        <v>0</v>
      </c>
      <c r="R5671" t="s">
        <v>42677</v>
      </c>
      <c r="S5671" t="s">
        <v>42830</v>
      </c>
      <c r="T5671" t="s">
        <v>44429</v>
      </c>
      <c r="U5671" t="s">
        <v>49467</v>
      </c>
      <c r="W5671" t="s">
        <v>39362</v>
      </c>
      <c r="X5671" t="s">
        <v>42678</v>
      </c>
    </row>
    <row r="5672" spans="1:24">
      <c r="A5672">
        <f>HYPERLINK("https://www.philgeps.gov.ph/GEPSNONPILOT/Tender/SplashBidNoticeAbstractUI.aspx?menuIndex=3&amp;refID=7183736&amp;Result=3","7183736")</f>
        <v>0</v>
      </c>
      <c r="B5672" t="s">
        <v>207</v>
      </c>
      <c r="C5672" t="s">
        <v>8955</v>
      </c>
      <c r="D5672" t="s">
        <v>17157</v>
      </c>
      <c r="E5672" t="s">
        <v>22157</v>
      </c>
      <c r="F5672" t="s">
        <v>29372</v>
      </c>
      <c r="G5672" t="s">
        <v>29380</v>
      </c>
      <c r="H5672" t="s">
        <v>29389</v>
      </c>
      <c r="I5672" t="s">
        <v>10408</v>
      </c>
      <c r="J5672" t="s">
        <v>33205</v>
      </c>
      <c r="K5672" t="s">
        <v>38510</v>
      </c>
      <c r="M5672" t="s">
        <v>40836</v>
      </c>
      <c r="N5672" t="s">
        <v>42669</v>
      </c>
      <c r="O5672" t="s">
        <v>42670</v>
      </c>
      <c r="P5672">
        <v>0</v>
      </c>
      <c r="Q5672">
        <v>0</v>
      </c>
      <c r="R5672" t="s">
        <v>42677</v>
      </c>
      <c r="S5672" t="s">
        <v>42830</v>
      </c>
      <c r="T5672" t="s">
        <v>44427</v>
      </c>
      <c r="U5672" t="s">
        <v>49450</v>
      </c>
      <c r="W5672" t="s">
        <v>40836</v>
      </c>
      <c r="X5672" t="s">
        <v>42678</v>
      </c>
    </row>
    <row r="5673" spans="1:24">
      <c r="A5673">
        <f>HYPERLINK("https://www.philgeps.gov.ph/GEPSNONPILOT/Tender/SplashBidNoticeAbstractUI.aspx?menuIndex=3&amp;refID=7183817&amp;Result=3","7183817")</f>
        <v>0</v>
      </c>
      <c r="B5673" t="s">
        <v>427</v>
      </c>
      <c r="C5673" t="s">
        <v>8956</v>
      </c>
      <c r="D5673" t="s">
        <v>17167</v>
      </c>
      <c r="E5673" t="s">
        <v>22158</v>
      </c>
      <c r="F5673" t="s">
        <v>29372</v>
      </c>
      <c r="G5673" t="s">
        <v>29379</v>
      </c>
      <c r="H5673" t="s">
        <v>11048</v>
      </c>
      <c r="I5673" t="s">
        <v>29496</v>
      </c>
      <c r="J5673" t="s">
        <v>33206</v>
      </c>
      <c r="K5673" t="s">
        <v>38488</v>
      </c>
      <c r="M5673" t="s">
        <v>39191</v>
      </c>
      <c r="N5673" t="s">
        <v>42669</v>
      </c>
      <c r="O5673" t="s">
        <v>42670</v>
      </c>
      <c r="P5673">
        <v>0</v>
      </c>
      <c r="Q5673">
        <v>0</v>
      </c>
      <c r="R5673" t="s">
        <v>42677</v>
      </c>
      <c r="S5673" t="s">
        <v>42830</v>
      </c>
      <c r="T5673" t="s">
        <v>44432</v>
      </c>
      <c r="U5673" t="s">
        <v>49468</v>
      </c>
      <c r="W5673" t="s">
        <v>39191</v>
      </c>
      <c r="X5673" t="s">
        <v>42678</v>
      </c>
    </row>
    <row r="5674" spans="1:24">
      <c r="A5674">
        <f>HYPERLINK("https://www.philgeps.gov.ph/GEPSNONPILOT/Tender/SplashBidNoticeAbstractUI.aspx?menuIndex=3&amp;refID=7183735&amp;Result=3","7183735")</f>
        <v>0</v>
      </c>
      <c r="B5674" t="s">
        <v>207</v>
      </c>
      <c r="C5674" t="s">
        <v>8957</v>
      </c>
      <c r="D5674" t="s">
        <v>17157</v>
      </c>
      <c r="E5674" t="s">
        <v>22159</v>
      </c>
      <c r="F5674" t="s">
        <v>29372</v>
      </c>
      <c r="G5674" t="s">
        <v>29380</v>
      </c>
      <c r="H5674" t="s">
        <v>29389</v>
      </c>
      <c r="I5674" t="s">
        <v>10408</v>
      </c>
      <c r="J5674" t="s">
        <v>33207</v>
      </c>
      <c r="K5674" t="s">
        <v>38590</v>
      </c>
      <c r="M5674" t="s">
        <v>40836</v>
      </c>
      <c r="N5674" t="s">
        <v>42669</v>
      </c>
      <c r="O5674" t="s">
        <v>42670</v>
      </c>
      <c r="P5674">
        <v>0</v>
      </c>
      <c r="Q5674">
        <v>0</v>
      </c>
      <c r="R5674" t="s">
        <v>42677</v>
      </c>
      <c r="S5674" t="s">
        <v>42830</v>
      </c>
      <c r="T5674" t="s">
        <v>44427</v>
      </c>
      <c r="U5674" t="s">
        <v>49450</v>
      </c>
      <c r="W5674" t="s">
        <v>40836</v>
      </c>
      <c r="X5674" t="s">
        <v>42678</v>
      </c>
    </row>
    <row r="5675" spans="1:24">
      <c r="A5675">
        <f>HYPERLINK("https://www.philgeps.gov.ph/GEPSNONPILOT/Tender/SplashBidNoticeAbstractUI.aspx?menuIndex=3&amp;refID=7183839&amp;Result=3","7183839")</f>
        <v>0</v>
      </c>
      <c r="B5675" t="s">
        <v>1961</v>
      </c>
      <c r="C5675" t="s">
        <v>8958</v>
      </c>
      <c r="D5675" t="s">
        <v>17189</v>
      </c>
      <c r="E5675" t="s">
        <v>22160</v>
      </c>
      <c r="F5675" t="s">
        <v>29372</v>
      </c>
      <c r="G5675" t="s">
        <v>29379</v>
      </c>
      <c r="H5675" t="s">
        <v>11048</v>
      </c>
      <c r="I5675" t="s">
        <v>4487</v>
      </c>
      <c r="J5675" t="s">
        <v>33208</v>
      </c>
      <c r="K5675" t="s">
        <v>38528</v>
      </c>
      <c r="M5675" t="s">
        <v>40845</v>
      </c>
      <c r="N5675" t="s">
        <v>42669</v>
      </c>
      <c r="O5675" t="s">
        <v>42670</v>
      </c>
      <c r="P5675">
        <v>0</v>
      </c>
      <c r="Q5675">
        <v>1</v>
      </c>
      <c r="R5675" t="s">
        <v>42677</v>
      </c>
      <c r="S5675" t="s">
        <v>42830</v>
      </c>
      <c r="T5675" t="s">
        <v>44469</v>
      </c>
      <c r="U5675" t="s">
        <v>49469</v>
      </c>
      <c r="W5675" t="s">
        <v>40845</v>
      </c>
      <c r="X5675" t="s">
        <v>42678</v>
      </c>
    </row>
    <row r="5676" spans="1:24">
      <c r="A5676">
        <f>HYPERLINK("https://www.philgeps.gov.ph/GEPSNONPILOT/Tender/SplashBidNoticeAbstractUI.aspx?menuIndex=3&amp;refID=7183837&amp;Result=3","7183837")</f>
        <v>0</v>
      </c>
      <c r="B5676" t="s">
        <v>1962</v>
      </c>
      <c r="C5676" t="s">
        <v>8959</v>
      </c>
      <c r="D5676" t="s">
        <v>17212</v>
      </c>
      <c r="E5676" t="s">
        <v>18519</v>
      </c>
      <c r="F5676" t="s">
        <v>29372</v>
      </c>
      <c r="G5676" t="s">
        <v>29379</v>
      </c>
      <c r="H5676" t="s">
        <v>29390</v>
      </c>
      <c r="I5676" t="s">
        <v>29440</v>
      </c>
      <c r="J5676" t="s">
        <v>29799</v>
      </c>
      <c r="K5676" t="s">
        <v>38485</v>
      </c>
      <c r="M5676" t="s">
        <v>40846</v>
      </c>
      <c r="N5676" t="s">
        <v>42669</v>
      </c>
      <c r="O5676" t="s">
        <v>42670</v>
      </c>
      <c r="P5676">
        <v>0</v>
      </c>
      <c r="Q5676">
        <v>1</v>
      </c>
      <c r="R5676" t="s">
        <v>42677</v>
      </c>
      <c r="S5676" t="s">
        <v>42830</v>
      </c>
      <c r="T5676" t="s">
        <v>44387</v>
      </c>
      <c r="U5676" t="s">
        <v>49470</v>
      </c>
      <c r="W5676" t="s">
        <v>40846</v>
      </c>
      <c r="X5676" t="s">
        <v>42678</v>
      </c>
    </row>
    <row r="5677" spans="1:24">
      <c r="A5677">
        <f>HYPERLINK("https://www.philgeps.gov.ph/GEPSNONPILOT/Tender/SplashBidNoticeAbstractUI.aspx?menuIndex=3&amp;refID=7183734&amp;Result=3","7183734")</f>
        <v>0</v>
      </c>
      <c r="B5677" t="s">
        <v>207</v>
      </c>
      <c r="C5677" t="s">
        <v>8960</v>
      </c>
      <c r="D5677" t="s">
        <v>17157</v>
      </c>
      <c r="E5677" t="s">
        <v>22161</v>
      </c>
      <c r="F5677" t="s">
        <v>29372</v>
      </c>
      <c r="G5677" t="s">
        <v>29380</v>
      </c>
      <c r="H5677" t="s">
        <v>29389</v>
      </c>
      <c r="I5677" t="s">
        <v>10408</v>
      </c>
      <c r="J5677" t="s">
        <v>33209</v>
      </c>
      <c r="K5677" t="s">
        <v>38488</v>
      </c>
      <c r="M5677" t="s">
        <v>40836</v>
      </c>
      <c r="N5677" t="s">
        <v>42669</v>
      </c>
      <c r="O5677" t="s">
        <v>42670</v>
      </c>
      <c r="P5677">
        <v>0</v>
      </c>
      <c r="Q5677">
        <v>0</v>
      </c>
      <c r="R5677" t="s">
        <v>42677</v>
      </c>
      <c r="S5677" t="s">
        <v>42830</v>
      </c>
      <c r="T5677" t="s">
        <v>44427</v>
      </c>
      <c r="U5677" t="s">
        <v>49450</v>
      </c>
      <c r="W5677" t="s">
        <v>40836</v>
      </c>
      <c r="X5677" t="s">
        <v>42678</v>
      </c>
    </row>
    <row r="5678" spans="1:24">
      <c r="A5678">
        <f>HYPERLINK("https://www.philgeps.gov.ph/GEPSNONPILOT/Tender/SplashBidNoticeAbstractUI.aspx?menuIndex=3&amp;refID=7183833&amp;Result=3","7183833")</f>
        <v>0</v>
      </c>
      <c r="B5678" t="s">
        <v>1963</v>
      </c>
      <c r="C5678" t="s">
        <v>8961</v>
      </c>
      <c r="D5678" t="s">
        <v>17166</v>
      </c>
      <c r="E5678" t="s">
        <v>22162</v>
      </c>
      <c r="F5678" t="s">
        <v>29372</v>
      </c>
      <c r="G5678" t="s">
        <v>29379</v>
      </c>
      <c r="H5678" t="s">
        <v>11048</v>
      </c>
      <c r="I5678" t="s">
        <v>29470</v>
      </c>
      <c r="J5678" t="s">
        <v>29825</v>
      </c>
      <c r="K5678" t="s">
        <v>38546</v>
      </c>
      <c r="L5678" t="s">
        <v>1963</v>
      </c>
      <c r="M5678" t="s">
        <v>40847</v>
      </c>
      <c r="N5678" t="s">
        <v>42669</v>
      </c>
      <c r="O5678" t="s">
        <v>42670</v>
      </c>
      <c r="P5678">
        <v>0</v>
      </c>
      <c r="Q5678">
        <v>4</v>
      </c>
      <c r="R5678" t="s">
        <v>42677</v>
      </c>
      <c r="S5678" t="s">
        <v>42830</v>
      </c>
      <c r="T5678" t="s">
        <v>44512</v>
      </c>
      <c r="U5678" t="s">
        <v>49471</v>
      </c>
      <c r="W5678" t="s">
        <v>40847</v>
      </c>
      <c r="X5678" t="s">
        <v>42678</v>
      </c>
    </row>
    <row r="5679" spans="1:24">
      <c r="A5679">
        <f>HYPERLINK("https://www.philgeps.gov.ph/GEPSNONPILOT/Tender/SplashBidNoticeAbstractUI.aspx?menuIndex=3&amp;refID=7183825&amp;Result=3","7183825")</f>
        <v>0</v>
      </c>
      <c r="B5679" t="s">
        <v>52</v>
      </c>
      <c r="C5679" t="s">
        <v>8962</v>
      </c>
      <c r="D5679" t="s">
        <v>17164</v>
      </c>
      <c r="E5679" t="s">
        <v>22163</v>
      </c>
      <c r="F5679" t="s">
        <v>29372</v>
      </c>
      <c r="G5679" t="s">
        <v>29379</v>
      </c>
      <c r="H5679" t="s">
        <v>11048</v>
      </c>
      <c r="I5679" t="s">
        <v>14920</v>
      </c>
      <c r="J5679" t="s">
        <v>29761</v>
      </c>
      <c r="K5679" t="s">
        <v>38522</v>
      </c>
      <c r="M5679" t="s">
        <v>40848</v>
      </c>
      <c r="N5679" t="s">
        <v>42669</v>
      </c>
      <c r="O5679" t="s">
        <v>42670</v>
      </c>
      <c r="P5679">
        <v>0</v>
      </c>
      <c r="Q5679">
        <v>4</v>
      </c>
      <c r="R5679" t="s">
        <v>42677</v>
      </c>
      <c r="S5679" t="s">
        <v>42830</v>
      </c>
      <c r="T5679" t="s">
        <v>44489</v>
      </c>
      <c r="U5679" t="s">
        <v>49472</v>
      </c>
      <c r="W5679" t="s">
        <v>40848</v>
      </c>
      <c r="X5679" t="s">
        <v>42678</v>
      </c>
    </row>
    <row r="5680" spans="1:24">
      <c r="A5680">
        <f>HYPERLINK("https://www.philgeps.gov.ph/GEPSNONPILOT/Tender/SplashBidNoticeAbstractUI.aspx?menuIndex=3&amp;refID=7182105&amp;Result=3","7182105")</f>
        <v>0</v>
      </c>
      <c r="B5680" t="s">
        <v>589</v>
      </c>
      <c r="C5680" t="s">
        <v>8963</v>
      </c>
      <c r="D5680" t="s">
        <v>17168</v>
      </c>
      <c r="E5680" t="s">
        <v>22164</v>
      </c>
      <c r="F5680" t="s">
        <v>29372</v>
      </c>
      <c r="G5680" t="s">
        <v>29380</v>
      </c>
      <c r="H5680" t="s">
        <v>11048</v>
      </c>
      <c r="I5680" t="s">
        <v>3695</v>
      </c>
      <c r="J5680" t="s">
        <v>33210</v>
      </c>
      <c r="K5680" t="s">
        <v>38538</v>
      </c>
      <c r="M5680" t="s">
        <v>40450</v>
      </c>
      <c r="N5680" t="s">
        <v>42669</v>
      </c>
      <c r="O5680" t="s">
        <v>42670</v>
      </c>
      <c r="P5680">
        <v>0</v>
      </c>
      <c r="Q5680">
        <v>2</v>
      </c>
      <c r="R5680" t="s">
        <v>42677</v>
      </c>
      <c r="S5680" t="s">
        <v>42830</v>
      </c>
      <c r="T5680" t="s">
        <v>44429</v>
      </c>
      <c r="U5680" t="s">
        <v>49473</v>
      </c>
      <c r="V5680" t="s">
        <v>56701</v>
      </c>
      <c r="W5680" t="s">
        <v>40450</v>
      </c>
      <c r="X5680" t="s">
        <v>42679</v>
      </c>
    </row>
    <row r="5681" spans="1:24">
      <c r="A5681">
        <f>HYPERLINK("https://www.philgeps.gov.ph/GEPSNONPILOT/Tender/SplashBidNoticeAbstractUI.aspx?menuIndex=3&amp;refID=7183820&amp;Result=3","7183820")</f>
        <v>0</v>
      </c>
      <c r="B5681" t="s">
        <v>689</v>
      </c>
      <c r="C5681" t="s">
        <v>8964</v>
      </c>
      <c r="D5681" t="s">
        <v>17216</v>
      </c>
      <c r="E5681" t="s">
        <v>22165</v>
      </c>
      <c r="F5681" t="s">
        <v>29372</v>
      </c>
      <c r="G5681" t="s">
        <v>29383</v>
      </c>
      <c r="H5681" t="s">
        <v>11048</v>
      </c>
      <c r="I5681" t="s">
        <v>29393</v>
      </c>
      <c r="J5681" t="s">
        <v>33211</v>
      </c>
      <c r="K5681" t="s">
        <v>38488</v>
      </c>
      <c r="M5681" t="s">
        <v>39465</v>
      </c>
      <c r="N5681" t="s">
        <v>42669</v>
      </c>
      <c r="O5681" t="s">
        <v>42670</v>
      </c>
      <c r="P5681">
        <v>0</v>
      </c>
      <c r="Q5681">
        <v>0</v>
      </c>
      <c r="R5681" t="s">
        <v>42677</v>
      </c>
      <c r="S5681" t="s">
        <v>42830</v>
      </c>
      <c r="T5681" t="s">
        <v>44489</v>
      </c>
      <c r="U5681" t="s">
        <v>49474</v>
      </c>
      <c r="W5681" t="s">
        <v>39465</v>
      </c>
      <c r="X5681" t="s">
        <v>42678</v>
      </c>
    </row>
    <row r="5682" spans="1:24">
      <c r="A5682">
        <f>HYPERLINK("https://www.philgeps.gov.ph/GEPSNONPILOT/Tender/SplashBidNoticeAbstractUI.aspx?menuIndex=3&amp;refID=7183838&amp;Result=3","7183838")</f>
        <v>0</v>
      </c>
      <c r="B5682" t="s">
        <v>52</v>
      </c>
      <c r="C5682" t="s">
        <v>8965</v>
      </c>
      <c r="D5682" t="s">
        <v>17164</v>
      </c>
      <c r="E5682" t="s">
        <v>22166</v>
      </c>
      <c r="F5682" t="s">
        <v>29372</v>
      </c>
      <c r="G5682" t="s">
        <v>29379</v>
      </c>
      <c r="H5682" t="s">
        <v>11048</v>
      </c>
      <c r="I5682" t="s">
        <v>14920</v>
      </c>
      <c r="J5682" t="s">
        <v>33212</v>
      </c>
      <c r="K5682" t="s">
        <v>38522</v>
      </c>
      <c r="M5682" t="s">
        <v>40848</v>
      </c>
      <c r="N5682" t="s">
        <v>42669</v>
      </c>
      <c r="O5682" t="s">
        <v>42670</v>
      </c>
      <c r="P5682">
        <v>0</v>
      </c>
      <c r="Q5682">
        <v>1</v>
      </c>
      <c r="R5682" t="s">
        <v>42677</v>
      </c>
      <c r="S5682" t="s">
        <v>42830</v>
      </c>
      <c r="T5682" t="s">
        <v>44489</v>
      </c>
      <c r="U5682" t="s">
        <v>49475</v>
      </c>
      <c r="W5682" t="s">
        <v>40848</v>
      </c>
      <c r="X5682" t="s">
        <v>42678</v>
      </c>
    </row>
    <row r="5683" spans="1:24">
      <c r="A5683">
        <f>HYPERLINK("https://www.philgeps.gov.ph/GEPSNONPILOT/Tender/SplashBidNoticeAbstractUI.aspx?menuIndex=3&amp;refID=7183819&amp;Result=3","7183819")</f>
        <v>0</v>
      </c>
      <c r="B5683" t="s">
        <v>1964</v>
      </c>
      <c r="C5683" t="s">
        <v>8966</v>
      </c>
      <c r="D5683" t="s">
        <v>17168</v>
      </c>
      <c r="E5683" t="s">
        <v>22167</v>
      </c>
      <c r="F5683" t="s">
        <v>29372</v>
      </c>
      <c r="G5683" t="s">
        <v>29379</v>
      </c>
      <c r="H5683" t="s">
        <v>11048</v>
      </c>
      <c r="I5683" t="s">
        <v>29432</v>
      </c>
      <c r="J5683" t="s">
        <v>32994</v>
      </c>
      <c r="K5683" t="s">
        <v>38488</v>
      </c>
      <c r="M5683" t="s">
        <v>40849</v>
      </c>
      <c r="N5683" t="s">
        <v>42669</v>
      </c>
      <c r="O5683" t="s">
        <v>42670</v>
      </c>
      <c r="P5683">
        <v>0</v>
      </c>
      <c r="Q5683">
        <v>3</v>
      </c>
      <c r="R5683" t="s">
        <v>42677</v>
      </c>
      <c r="S5683" t="s">
        <v>42830</v>
      </c>
      <c r="T5683" t="s">
        <v>44432</v>
      </c>
      <c r="U5683" t="s">
        <v>49476</v>
      </c>
      <c r="W5683" t="s">
        <v>40849</v>
      </c>
      <c r="X5683" t="s">
        <v>42678</v>
      </c>
    </row>
    <row r="5684" spans="1:24">
      <c r="A5684">
        <f>HYPERLINK("https://www.philgeps.gov.ph/GEPSNONPILOT/Tender/SplashBidNoticeAbstractUI.aspx?menuIndex=3&amp;refID=7183788&amp;Result=3","7183788")</f>
        <v>0</v>
      </c>
      <c r="B5684" t="s">
        <v>1965</v>
      </c>
      <c r="C5684" t="s">
        <v>8967</v>
      </c>
      <c r="D5684" t="s">
        <v>17141</v>
      </c>
      <c r="E5684" t="s">
        <v>22168</v>
      </c>
      <c r="F5684" t="s">
        <v>29372</v>
      </c>
      <c r="G5684" t="s">
        <v>29382</v>
      </c>
      <c r="H5684" t="s">
        <v>11048</v>
      </c>
      <c r="I5684" t="s">
        <v>4487</v>
      </c>
      <c r="J5684" t="s">
        <v>30036</v>
      </c>
      <c r="K5684" t="s">
        <v>38490</v>
      </c>
      <c r="M5684" t="s">
        <v>40850</v>
      </c>
      <c r="N5684" t="s">
        <v>42669</v>
      </c>
      <c r="O5684" t="s">
        <v>42670</v>
      </c>
      <c r="P5684">
        <v>0</v>
      </c>
      <c r="Q5684">
        <v>8</v>
      </c>
      <c r="R5684" t="s">
        <v>42677</v>
      </c>
      <c r="S5684" t="s">
        <v>42830</v>
      </c>
      <c r="T5684" t="s">
        <v>44493</v>
      </c>
      <c r="U5684" t="s">
        <v>49477</v>
      </c>
      <c r="V5684" t="s">
        <v>56991</v>
      </c>
      <c r="W5684" t="s">
        <v>40850</v>
      </c>
      <c r="X5684" t="s">
        <v>42678</v>
      </c>
    </row>
    <row r="5685" spans="1:24">
      <c r="A5685">
        <f>HYPERLINK("https://www.philgeps.gov.ph/GEPSNONPILOT/Tender/SplashBidNoticeAbstractUI.aspx?menuIndex=3&amp;refID=7183805&amp;Result=3","7183805")</f>
        <v>0</v>
      </c>
      <c r="B5685" t="s">
        <v>1966</v>
      </c>
      <c r="C5685" t="s">
        <v>8968</v>
      </c>
      <c r="D5685" t="s">
        <v>17169</v>
      </c>
      <c r="E5685" t="s">
        <v>22169</v>
      </c>
      <c r="F5685" t="s">
        <v>29372</v>
      </c>
      <c r="G5685" t="s">
        <v>29379</v>
      </c>
      <c r="H5685" t="s">
        <v>11048</v>
      </c>
      <c r="I5685" t="s">
        <v>6417</v>
      </c>
      <c r="J5685" t="s">
        <v>33213</v>
      </c>
      <c r="K5685" t="s">
        <v>38487</v>
      </c>
      <c r="M5685" t="s">
        <v>40851</v>
      </c>
      <c r="N5685" t="s">
        <v>42669</v>
      </c>
      <c r="O5685" t="s">
        <v>42670</v>
      </c>
      <c r="P5685">
        <v>0</v>
      </c>
      <c r="Q5685">
        <v>4</v>
      </c>
      <c r="R5685" t="s">
        <v>42677</v>
      </c>
      <c r="S5685" t="s">
        <v>42830</v>
      </c>
      <c r="T5685" t="s">
        <v>44417</v>
      </c>
      <c r="U5685" t="s">
        <v>49478</v>
      </c>
      <c r="W5685" t="s">
        <v>40851</v>
      </c>
      <c r="X5685" t="s">
        <v>42678</v>
      </c>
    </row>
    <row r="5686" spans="1:24">
      <c r="A5686">
        <f>HYPERLINK("https://www.philgeps.gov.ph/GEPSNONPILOT/Tender/SplashBidNoticeAbstractUI.aspx?menuIndex=3&amp;refID=7183733&amp;Result=3","7183733")</f>
        <v>0</v>
      </c>
      <c r="B5686" t="s">
        <v>207</v>
      </c>
      <c r="C5686" t="s">
        <v>8969</v>
      </c>
      <c r="D5686" t="s">
        <v>17157</v>
      </c>
      <c r="E5686" t="s">
        <v>22170</v>
      </c>
      <c r="F5686" t="s">
        <v>29372</v>
      </c>
      <c r="G5686" t="s">
        <v>29380</v>
      </c>
      <c r="H5686" t="s">
        <v>29389</v>
      </c>
      <c r="I5686" t="s">
        <v>10408</v>
      </c>
      <c r="J5686" t="s">
        <v>33214</v>
      </c>
      <c r="K5686" t="s">
        <v>38488</v>
      </c>
      <c r="M5686" t="s">
        <v>40836</v>
      </c>
      <c r="N5686" t="s">
        <v>42669</v>
      </c>
      <c r="O5686" t="s">
        <v>42670</v>
      </c>
      <c r="P5686">
        <v>0</v>
      </c>
      <c r="Q5686">
        <v>0</v>
      </c>
      <c r="R5686" t="s">
        <v>42677</v>
      </c>
      <c r="S5686" t="s">
        <v>42830</v>
      </c>
      <c r="T5686" t="s">
        <v>44427</v>
      </c>
      <c r="U5686" t="s">
        <v>49450</v>
      </c>
      <c r="W5686" t="s">
        <v>40836</v>
      </c>
      <c r="X5686" t="s">
        <v>42678</v>
      </c>
    </row>
    <row r="5687" spans="1:24">
      <c r="A5687">
        <f>HYPERLINK("https://www.philgeps.gov.ph/GEPSNONPILOT/Tender/SplashBidNoticeAbstractUI.aspx?menuIndex=3&amp;refID=7183783&amp;Result=3","7183783")</f>
        <v>0</v>
      </c>
      <c r="B5687" t="s">
        <v>1967</v>
      </c>
      <c r="C5687" t="s">
        <v>8970</v>
      </c>
      <c r="D5687" t="s">
        <v>17172</v>
      </c>
      <c r="E5687" t="s">
        <v>18026</v>
      </c>
      <c r="F5687" t="s">
        <v>29372</v>
      </c>
      <c r="G5687" t="s">
        <v>29380</v>
      </c>
      <c r="H5687" t="s">
        <v>11048</v>
      </c>
      <c r="I5687" t="s">
        <v>4709</v>
      </c>
      <c r="J5687" t="s">
        <v>33215</v>
      </c>
      <c r="K5687" t="s">
        <v>38510</v>
      </c>
      <c r="M5687" t="s">
        <v>40852</v>
      </c>
      <c r="N5687" t="s">
        <v>42669</v>
      </c>
      <c r="O5687" t="s">
        <v>42670</v>
      </c>
      <c r="P5687">
        <v>0</v>
      </c>
      <c r="Q5687">
        <v>0</v>
      </c>
      <c r="R5687" t="s">
        <v>42677</v>
      </c>
      <c r="S5687" t="s">
        <v>42830</v>
      </c>
      <c r="T5687" t="s">
        <v>44386</v>
      </c>
      <c r="U5687" t="s">
        <v>49479</v>
      </c>
      <c r="W5687" t="s">
        <v>40852</v>
      </c>
      <c r="X5687" t="s">
        <v>42678</v>
      </c>
    </row>
    <row r="5688" spans="1:24">
      <c r="A5688">
        <f>HYPERLINK("https://www.philgeps.gov.ph/GEPSNONPILOT/Tender/SplashBidNoticeAbstractUI.aspx?menuIndex=3&amp;refID=7183772&amp;Result=3","7183772")</f>
        <v>0</v>
      </c>
      <c r="B5688" t="s">
        <v>1968</v>
      </c>
      <c r="C5688" t="s">
        <v>8971</v>
      </c>
      <c r="D5688" t="s">
        <v>17171</v>
      </c>
      <c r="E5688" t="s">
        <v>17994</v>
      </c>
      <c r="F5688" t="s">
        <v>29375</v>
      </c>
      <c r="G5688" t="s">
        <v>29380</v>
      </c>
      <c r="H5688" t="s">
        <v>11048</v>
      </c>
      <c r="I5688" t="s">
        <v>29398</v>
      </c>
      <c r="J5688" t="s">
        <v>30083</v>
      </c>
      <c r="K5688" t="s">
        <v>38491</v>
      </c>
      <c r="M5688" t="s">
        <v>40853</v>
      </c>
      <c r="N5688" t="s">
        <v>42669</v>
      </c>
      <c r="O5688" t="s">
        <v>42670</v>
      </c>
      <c r="P5688">
        <v>0</v>
      </c>
      <c r="Q5688">
        <v>1</v>
      </c>
      <c r="R5688" t="s">
        <v>42677</v>
      </c>
      <c r="S5688" t="s">
        <v>42830</v>
      </c>
      <c r="T5688" t="s">
        <v>44532</v>
      </c>
      <c r="U5688" t="s">
        <v>49480</v>
      </c>
      <c r="W5688" t="s">
        <v>40853</v>
      </c>
      <c r="X5688" t="s">
        <v>42678</v>
      </c>
    </row>
    <row r="5689" spans="1:24">
      <c r="A5689">
        <f>HYPERLINK("https://www.philgeps.gov.ph/GEPSNONPILOT/Tender/SplashBidNoticeAbstractUI.aspx?menuIndex=3&amp;refID=7183771&amp;Result=3","7183771")</f>
        <v>0</v>
      </c>
      <c r="B5689" t="s">
        <v>1969</v>
      </c>
      <c r="C5689" t="s">
        <v>8972</v>
      </c>
      <c r="D5689" t="s">
        <v>17171</v>
      </c>
      <c r="E5689" t="s">
        <v>22144</v>
      </c>
      <c r="F5689" t="s">
        <v>29375</v>
      </c>
      <c r="G5689" t="s">
        <v>29380</v>
      </c>
      <c r="H5689" t="s">
        <v>11048</v>
      </c>
      <c r="I5689" t="s">
        <v>29394</v>
      </c>
      <c r="J5689" t="s">
        <v>33216</v>
      </c>
      <c r="K5689" t="s">
        <v>38491</v>
      </c>
      <c r="M5689" t="s">
        <v>40854</v>
      </c>
      <c r="N5689" t="s">
        <v>42669</v>
      </c>
      <c r="O5689" t="s">
        <v>42670</v>
      </c>
      <c r="P5689">
        <v>0</v>
      </c>
      <c r="Q5689">
        <v>1</v>
      </c>
      <c r="R5689" t="s">
        <v>42677</v>
      </c>
      <c r="S5689" t="s">
        <v>42830</v>
      </c>
      <c r="T5689" t="s">
        <v>44442</v>
      </c>
      <c r="U5689" t="s">
        <v>49481</v>
      </c>
      <c r="W5689" t="s">
        <v>40854</v>
      </c>
      <c r="X5689" t="s">
        <v>42678</v>
      </c>
    </row>
    <row r="5690" spans="1:24">
      <c r="A5690">
        <f>HYPERLINK("https://www.philgeps.gov.ph/GEPSNONPILOT/Tender/SplashBidNoticeAbstractUI.aspx?menuIndex=3&amp;refID=7183765&amp;Result=3","7183765")</f>
        <v>0</v>
      </c>
      <c r="B5690" t="s">
        <v>1970</v>
      </c>
      <c r="C5690" t="s">
        <v>8671</v>
      </c>
      <c r="D5690" t="s">
        <v>17199</v>
      </c>
      <c r="E5690" t="s">
        <v>22171</v>
      </c>
      <c r="F5690" t="s">
        <v>29372</v>
      </c>
      <c r="G5690" t="s">
        <v>29380</v>
      </c>
      <c r="H5690" t="s">
        <v>11048</v>
      </c>
      <c r="I5690" t="s">
        <v>9469</v>
      </c>
      <c r="J5690" t="s">
        <v>33217</v>
      </c>
      <c r="K5690" t="s">
        <v>38496</v>
      </c>
      <c r="M5690" t="s">
        <v>40855</v>
      </c>
      <c r="N5690" t="s">
        <v>42669</v>
      </c>
      <c r="O5690" t="s">
        <v>42670</v>
      </c>
      <c r="P5690">
        <v>0</v>
      </c>
      <c r="Q5690">
        <v>2</v>
      </c>
      <c r="R5690" t="s">
        <v>42677</v>
      </c>
      <c r="S5690" t="s">
        <v>42830</v>
      </c>
      <c r="T5690" t="s">
        <v>44472</v>
      </c>
      <c r="U5690" t="s">
        <v>49482</v>
      </c>
      <c r="V5690" t="s">
        <v>56992</v>
      </c>
      <c r="W5690" t="s">
        <v>40855</v>
      </c>
      <c r="X5690" t="s">
        <v>42678</v>
      </c>
    </row>
    <row r="5691" spans="1:24">
      <c r="A5691">
        <f>HYPERLINK("https://www.philgeps.gov.ph/GEPSNONPILOT/Tender/SplashBidNoticeAbstractUI.aspx?menuIndex=3&amp;refID=7183796&amp;Result=3","7183796")</f>
        <v>0</v>
      </c>
      <c r="B5691" t="s">
        <v>264</v>
      </c>
      <c r="C5691" t="s">
        <v>8973</v>
      </c>
      <c r="E5691" t="s">
        <v>22172</v>
      </c>
      <c r="F5691" t="s">
        <v>29372</v>
      </c>
      <c r="G5691" t="s">
        <v>29380</v>
      </c>
      <c r="H5691" t="s">
        <v>11048</v>
      </c>
      <c r="I5691" t="s">
        <v>29407</v>
      </c>
      <c r="J5691" t="s">
        <v>29789</v>
      </c>
      <c r="K5691" t="s">
        <v>38490</v>
      </c>
      <c r="M5691" t="s">
        <v>40856</v>
      </c>
      <c r="N5691" t="s">
        <v>42669</v>
      </c>
      <c r="O5691" t="s">
        <v>42670</v>
      </c>
      <c r="P5691">
        <v>0</v>
      </c>
      <c r="Q5691">
        <v>18</v>
      </c>
      <c r="R5691" t="s">
        <v>42677</v>
      </c>
      <c r="S5691" t="s">
        <v>42830</v>
      </c>
      <c r="T5691" t="s">
        <v>44504</v>
      </c>
      <c r="U5691" t="s">
        <v>49483</v>
      </c>
      <c r="W5691" t="s">
        <v>40856</v>
      </c>
      <c r="X5691" t="s">
        <v>42678</v>
      </c>
    </row>
    <row r="5692" spans="1:24">
      <c r="A5692">
        <f>HYPERLINK("https://www.philgeps.gov.ph/GEPSNONPILOT/Tender/SplashBidNoticeAbstractUI.aspx?menuIndex=3&amp;refID=7182016&amp;Result=3","7182016")</f>
        <v>0</v>
      </c>
      <c r="B5692" t="s">
        <v>589</v>
      </c>
      <c r="C5692" t="s">
        <v>8974</v>
      </c>
      <c r="D5692" t="s">
        <v>17168</v>
      </c>
      <c r="E5692" t="s">
        <v>22173</v>
      </c>
      <c r="F5692" t="s">
        <v>29372</v>
      </c>
      <c r="G5692" t="s">
        <v>29380</v>
      </c>
      <c r="H5692" t="s">
        <v>11048</v>
      </c>
      <c r="I5692" t="s">
        <v>29407</v>
      </c>
      <c r="J5692" t="s">
        <v>33218</v>
      </c>
      <c r="K5692" t="s">
        <v>38538</v>
      </c>
      <c r="M5692" t="s">
        <v>40450</v>
      </c>
      <c r="N5692" t="s">
        <v>42669</v>
      </c>
      <c r="O5692" t="s">
        <v>42670</v>
      </c>
      <c r="P5692">
        <v>0</v>
      </c>
      <c r="Q5692">
        <v>2</v>
      </c>
      <c r="R5692" t="s">
        <v>42677</v>
      </c>
      <c r="S5692" t="s">
        <v>42830</v>
      </c>
      <c r="T5692" t="s">
        <v>44427</v>
      </c>
      <c r="U5692" t="s">
        <v>49484</v>
      </c>
      <c r="V5692" t="s">
        <v>56701</v>
      </c>
      <c r="W5692" t="s">
        <v>40450</v>
      </c>
      <c r="X5692" t="s">
        <v>42679</v>
      </c>
    </row>
    <row r="5693" spans="1:24">
      <c r="A5693">
        <f>HYPERLINK("https://www.philgeps.gov.ph/GEPSNONPILOT/Tender/SplashBidNoticeAbstractUI.aspx?menuIndex=3&amp;refID=7182047&amp;Result=3","7182047")</f>
        <v>0</v>
      </c>
      <c r="B5693" t="s">
        <v>589</v>
      </c>
      <c r="C5693" t="s">
        <v>8975</v>
      </c>
      <c r="D5693" t="s">
        <v>17168</v>
      </c>
      <c r="E5693" t="s">
        <v>22174</v>
      </c>
      <c r="F5693" t="s">
        <v>29372</v>
      </c>
      <c r="G5693" t="s">
        <v>29380</v>
      </c>
      <c r="H5693" t="s">
        <v>11048</v>
      </c>
      <c r="I5693" t="s">
        <v>29407</v>
      </c>
      <c r="J5693" t="s">
        <v>33219</v>
      </c>
      <c r="K5693" t="s">
        <v>38538</v>
      </c>
      <c r="M5693" t="s">
        <v>40450</v>
      </c>
      <c r="N5693" t="s">
        <v>42669</v>
      </c>
      <c r="O5693" t="s">
        <v>42670</v>
      </c>
      <c r="P5693">
        <v>0</v>
      </c>
      <c r="Q5693">
        <v>2</v>
      </c>
      <c r="R5693" t="s">
        <v>42677</v>
      </c>
      <c r="S5693" t="s">
        <v>42830</v>
      </c>
      <c r="T5693" t="s">
        <v>44427</v>
      </c>
      <c r="U5693" t="s">
        <v>49485</v>
      </c>
      <c r="V5693" t="s">
        <v>56701</v>
      </c>
      <c r="W5693" t="s">
        <v>40450</v>
      </c>
      <c r="X5693" t="s">
        <v>42679</v>
      </c>
    </row>
    <row r="5694" spans="1:24">
      <c r="A5694">
        <f>HYPERLINK("https://www.philgeps.gov.ph/GEPSNONPILOT/Tender/SplashBidNoticeAbstractUI.aspx?menuIndex=3&amp;refID=7183876&amp;Result=3","7183876")</f>
        <v>0</v>
      </c>
      <c r="B5694" t="s">
        <v>52</v>
      </c>
      <c r="C5694" t="s">
        <v>8976</v>
      </c>
      <c r="D5694" t="s">
        <v>17164</v>
      </c>
      <c r="E5694" t="s">
        <v>22175</v>
      </c>
      <c r="F5694" t="s">
        <v>29372</v>
      </c>
      <c r="G5694" t="s">
        <v>29379</v>
      </c>
      <c r="H5694" t="s">
        <v>11048</v>
      </c>
      <c r="I5694" t="s">
        <v>14920</v>
      </c>
      <c r="J5694" t="s">
        <v>32952</v>
      </c>
      <c r="K5694" t="s">
        <v>38522</v>
      </c>
      <c r="M5694" t="s">
        <v>40848</v>
      </c>
      <c r="N5694" t="s">
        <v>42669</v>
      </c>
      <c r="O5694" t="s">
        <v>42670</v>
      </c>
      <c r="P5694">
        <v>0</v>
      </c>
      <c r="Q5694">
        <v>0</v>
      </c>
      <c r="R5694" t="s">
        <v>42677</v>
      </c>
      <c r="S5694" t="s">
        <v>42830</v>
      </c>
      <c r="T5694" t="s">
        <v>44489</v>
      </c>
      <c r="U5694" t="s">
        <v>49486</v>
      </c>
      <c r="W5694" t="s">
        <v>40848</v>
      </c>
      <c r="X5694" t="s">
        <v>42678</v>
      </c>
    </row>
    <row r="5695" spans="1:24">
      <c r="A5695">
        <f>HYPERLINK("https://www.philgeps.gov.ph/GEPSNONPILOT/Tender/SplashBidNoticeAbstractUI.aspx?menuIndex=3&amp;refID=7183775&amp;Result=3","7183775")</f>
        <v>0</v>
      </c>
      <c r="B5695" t="s">
        <v>264</v>
      </c>
      <c r="C5695" t="s">
        <v>8977</v>
      </c>
      <c r="E5695" t="s">
        <v>22176</v>
      </c>
      <c r="F5695" t="s">
        <v>29372</v>
      </c>
      <c r="G5695" t="s">
        <v>29380</v>
      </c>
      <c r="H5695" t="s">
        <v>11048</v>
      </c>
      <c r="I5695" t="s">
        <v>29400</v>
      </c>
      <c r="J5695" t="s">
        <v>33220</v>
      </c>
      <c r="K5695" t="s">
        <v>38490</v>
      </c>
      <c r="M5695" t="s">
        <v>40857</v>
      </c>
      <c r="N5695" t="s">
        <v>42669</v>
      </c>
      <c r="O5695" t="s">
        <v>42670</v>
      </c>
      <c r="P5695">
        <v>0</v>
      </c>
      <c r="Q5695">
        <v>36</v>
      </c>
      <c r="R5695" t="s">
        <v>42677</v>
      </c>
      <c r="S5695" t="s">
        <v>42830</v>
      </c>
      <c r="T5695" t="s">
        <v>44446</v>
      </c>
      <c r="U5695" t="s">
        <v>49487</v>
      </c>
      <c r="W5695" t="s">
        <v>40857</v>
      </c>
      <c r="X5695" t="s">
        <v>42678</v>
      </c>
    </row>
    <row r="5696" spans="1:24">
      <c r="A5696">
        <f>HYPERLINK("https://www.philgeps.gov.ph/GEPSNONPILOT/Tender/SplashBidNoticeAbstractUI.aspx?menuIndex=3&amp;refID=7183880&amp;Result=3","7183880")</f>
        <v>0</v>
      </c>
      <c r="B5696" t="s">
        <v>1971</v>
      </c>
      <c r="C5696" t="s">
        <v>8978</v>
      </c>
      <c r="D5696" t="s">
        <v>17199</v>
      </c>
      <c r="E5696" t="s">
        <v>22177</v>
      </c>
      <c r="F5696" t="s">
        <v>29372</v>
      </c>
      <c r="G5696" t="s">
        <v>29379</v>
      </c>
      <c r="H5696" t="s">
        <v>11048</v>
      </c>
      <c r="I5696" t="s">
        <v>8208</v>
      </c>
      <c r="J5696" t="s">
        <v>33221</v>
      </c>
      <c r="K5696" t="s">
        <v>38488</v>
      </c>
      <c r="M5696" t="s">
        <v>40858</v>
      </c>
      <c r="N5696" t="s">
        <v>42669</v>
      </c>
      <c r="O5696" t="s">
        <v>42670</v>
      </c>
      <c r="P5696">
        <v>0</v>
      </c>
      <c r="Q5696">
        <v>1</v>
      </c>
      <c r="R5696" t="s">
        <v>42677</v>
      </c>
      <c r="S5696" t="s">
        <v>42830</v>
      </c>
      <c r="T5696" t="s">
        <v>44548</v>
      </c>
      <c r="U5696" t="s">
        <v>49488</v>
      </c>
      <c r="W5696" t="s">
        <v>40858</v>
      </c>
      <c r="X5696" t="s">
        <v>42678</v>
      </c>
    </row>
    <row r="5697" spans="1:24">
      <c r="A5697">
        <f>HYPERLINK("https://www.philgeps.gov.ph/GEPSNONPILOT/Tender/SplashBidNoticeAbstractUI.aspx?menuIndex=3&amp;refID=7183802&amp;Result=3","7183802")</f>
        <v>0</v>
      </c>
      <c r="B5697" t="s">
        <v>1972</v>
      </c>
      <c r="C5697" t="s">
        <v>5442</v>
      </c>
      <c r="D5697" t="s">
        <v>17172</v>
      </c>
      <c r="E5697" t="s">
        <v>18026</v>
      </c>
      <c r="F5697" t="s">
        <v>29372</v>
      </c>
      <c r="G5697" t="s">
        <v>29380</v>
      </c>
      <c r="H5697" t="s">
        <v>11048</v>
      </c>
      <c r="I5697" t="s">
        <v>4709</v>
      </c>
      <c r="J5697" t="s">
        <v>33222</v>
      </c>
      <c r="K5697" t="s">
        <v>38510</v>
      </c>
      <c r="M5697" t="s">
        <v>40859</v>
      </c>
      <c r="N5697" t="s">
        <v>42669</v>
      </c>
      <c r="O5697" t="s">
        <v>42670</v>
      </c>
      <c r="P5697">
        <v>0</v>
      </c>
      <c r="Q5697">
        <v>0</v>
      </c>
      <c r="R5697" t="s">
        <v>42677</v>
      </c>
      <c r="S5697" t="s">
        <v>42830</v>
      </c>
      <c r="T5697" t="s">
        <v>44386</v>
      </c>
      <c r="U5697" t="s">
        <v>49489</v>
      </c>
      <c r="W5697" t="s">
        <v>40859</v>
      </c>
      <c r="X5697" t="s">
        <v>42678</v>
      </c>
    </row>
    <row r="5698" spans="1:24">
      <c r="A5698">
        <f>HYPERLINK("https://www.philgeps.gov.ph/GEPSNONPILOT/Tender/SplashBidNoticeAbstractUI.aspx?menuIndex=3&amp;refID=7183873&amp;Result=3","7183873")</f>
        <v>0</v>
      </c>
      <c r="B5698" t="s">
        <v>961</v>
      </c>
      <c r="C5698" t="s">
        <v>8979</v>
      </c>
      <c r="D5698" t="s">
        <v>17148</v>
      </c>
      <c r="E5698" t="s">
        <v>22178</v>
      </c>
      <c r="F5698" t="s">
        <v>29372</v>
      </c>
      <c r="G5698" t="s">
        <v>29380</v>
      </c>
      <c r="H5698" t="s">
        <v>29389</v>
      </c>
      <c r="I5698" t="s">
        <v>10408</v>
      </c>
      <c r="J5698" t="s">
        <v>33223</v>
      </c>
      <c r="K5698" t="s">
        <v>38522</v>
      </c>
      <c r="M5698" t="s">
        <v>39757</v>
      </c>
      <c r="N5698" t="s">
        <v>42669</v>
      </c>
      <c r="O5698" t="s">
        <v>42670</v>
      </c>
      <c r="P5698">
        <v>0</v>
      </c>
      <c r="Q5698">
        <v>12</v>
      </c>
      <c r="R5698" t="s">
        <v>42677</v>
      </c>
      <c r="S5698" t="s">
        <v>42830</v>
      </c>
      <c r="T5698" t="s">
        <v>44355</v>
      </c>
      <c r="U5698" t="s">
        <v>49490</v>
      </c>
      <c r="W5698" t="s">
        <v>39757</v>
      </c>
      <c r="X5698" t="s">
        <v>42678</v>
      </c>
    </row>
    <row r="5699" spans="1:24">
      <c r="A5699">
        <f>HYPERLINK("https://www.philgeps.gov.ph/GEPSNONPILOT/Tender/SplashBidNoticeAbstractUI.aspx?menuIndex=3&amp;refID=7183864&amp;Result=3","7183864")</f>
        <v>0</v>
      </c>
      <c r="B5699" t="s">
        <v>1973</v>
      </c>
      <c r="C5699" t="s">
        <v>8980</v>
      </c>
      <c r="D5699" t="s">
        <v>17192</v>
      </c>
      <c r="E5699" t="s">
        <v>17540</v>
      </c>
      <c r="F5699" t="s">
        <v>29372</v>
      </c>
      <c r="G5699" t="s">
        <v>29380</v>
      </c>
      <c r="H5699" t="s">
        <v>11048</v>
      </c>
      <c r="I5699" t="s">
        <v>4709</v>
      </c>
      <c r="J5699" t="s">
        <v>29604</v>
      </c>
      <c r="K5699" t="s">
        <v>38496</v>
      </c>
      <c r="M5699" t="s">
        <v>40860</v>
      </c>
      <c r="N5699" t="s">
        <v>42669</v>
      </c>
      <c r="O5699" t="s">
        <v>42670</v>
      </c>
      <c r="P5699">
        <v>0</v>
      </c>
      <c r="Q5699">
        <v>1</v>
      </c>
      <c r="R5699" t="s">
        <v>42677</v>
      </c>
      <c r="S5699" t="s">
        <v>42830</v>
      </c>
      <c r="T5699" t="s">
        <v>44481</v>
      </c>
      <c r="U5699" t="s">
        <v>49491</v>
      </c>
      <c r="W5699" t="s">
        <v>40860</v>
      </c>
      <c r="X5699" t="s">
        <v>42678</v>
      </c>
    </row>
    <row r="5700" spans="1:24">
      <c r="A5700">
        <f>HYPERLINK("https://www.philgeps.gov.ph/GEPSNONPILOT/Tender/SplashBidNoticeAbstractUI.aspx?menuIndex=3&amp;refID=7183762&amp;Result=3","7183762")</f>
        <v>0</v>
      </c>
      <c r="B5700" t="s">
        <v>1974</v>
      </c>
      <c r="C5700" t="s">
        <v>8981</v>
      </c>
      <c r="D5700" t="s">
        <v>17171</v>
      </c>
      <c r="E5700" t="s">
        <v>17994</v>
      </c>
      <c r="F5700" t="s">
        <v>29375</v>
      </c>
      <c r="G5700" t="s">
        <v>29380</v>
      </c>
      <c r="H5700" t="s">
        <v>11048</v>
      </c>
      <c r="I5700" t="s">
        <v>4709</v>
      </c>
      <c r="J5700" t="s">
        <v>29587</v>
      </c>
      <c r="K5700" t="s">
        <v>38491</v>
      </c>
      <c r="M5700" t="s">
        <v>40861</v>
      </c>
      <c r="N5700" t="s">
        <v>42669</v>
      </c>
      <c r="O5700" t="s">
        <v>42670</v>
      </c>
      <c r="P5700">
        <v>0</v>
      </c>
      <c r="Q5700">
        <v>0</v>
      </c>
      <c r="R5700" t="s">
        <v>42677</v>
      </c>
      <c r="S5700" t="s">
        <v>42830</v>
      </c>
      <c r="T5700" t="s">
        <v>44544</v>
      </c>
      <c r="U5700" t="s">
        <v>49492</v>
      </c>
      <c r="W5700" t="s">
        <v>40861</v>
      </c>
      <c r="X5700" t="s">
        <v>42678</v>
      </c>
    </row>
    <row r="5701" spans="1:24">
      <c r="A5701">
        <f>HYPERLINK("https://www.philgeps.gov.ph/GEPSNONPILOT/Tender/SplashBidNoticeAbstractUI.aspx?menuIndex=3&amp;refID=7183858&amp;Result=3","7183858")</f>
        <v>0</v>
      </c>
      <c r="B5701" t="s">
        <v>392</v>
      </c>
      <c r="C5701" t="s">
        <v>8982</v>
      </c>
      <c r="D5701" t="s">
        <v>17143</v>
      </c>
      <c r="E5701" t="s">
        <v>22179</v>
      </c>
      <c r="F5701" t="s">
        <v>29372</v>
      </c>
      <c r="G5701" t="s">
        <v>29380</v>
      </c>
      <c r="H5701" t="s">
        <v>11048</v>
      </c>
      <c r="I5701" t="s">
        <v>29415</v>
      </c>
      <c r="J5701" t="s">
        <v>33224</v>
      </c>
      <c r="K5701" t="s">
        <v>38485</v>
      </c>
      <c r="M5701" t="s">
        <v>39155</v>
      </c>
      <c r="N5701" t="s">
        <v>42669</v>
      </c>
      <c r="O5701" t="s">
        <v>42670</v>
      </c>
      <c r="P5701">
        <v>0</v>
      </c>
      <c r="Q5701">
        <v>9</v>
      </c>
      <c r="R5701" t="s">
        <v>42677</v>
      </c>
      <c r="S5701" t="s">
        <v>42830</v>
      </c>
      <c r="T5701" t="s">
        <v>44700</v>
      </c>
      <c r="U5701" t="s">
        <v>48075</v>
      </c>
      <c r="V5701" t="s">
        <v>56993</v>
      </c>
      <c r="W5701" t="s">
        <v>39155</v>
      </c>
      <c r="X5701" t="s">
        <v>42678</v>
      </c>
    </row>
    <row r="5702" spans="1:24">
      <c r="A5702">
        <f>HYPERLINK("https://www.philgeps.gov.ph/GEPSNONPILOT/Tender/SplashBidNoticeAbstractUI.aspx?menuIndex=3&amp;refID=7183769&amp;Result=3","7183769")</f>
        <v>0</v>
      </c>
      <c r="B5702" t="s">
        <v>529</v>
      </c>
      <c r="C5702" t="s">
        <v>8983</v>
      </c>
      <c r="D5702" t="s">
        <v>17147</v>
      </c>
      <c r="E5702" t="s">
        <v>22180</v>
      </c>
      <c r="F5702" t="s">
        <v>29372</v>
      </c>
      <c r="G5702" t="s">
        <v>29380</v>
      </c>
      <c r="H5702" t="s">
        <v>11048</v>
      </c>
      <c r="I5702" t="s">
        <v>9469</v>
      </c>
      <c r="J5702" t="s">
        <v>29587</v>
      </c>
      <c r="K5702" t="s">
        <v>38510</v>
      </c>
      <c r="M5702" t="s">
        <v>39296</v>
      </c>
      <c r="N5702" t="s">
        <v>42669</v>
      </c>
      <c r="O5702" t="s">
        <v>42670</v>
      </c>
      <c r="P5702">
        <v>0</v>
      </c>
      <c r="Q5702">
        <v>0</v>
      </c>
      <c r="R5702" t="s">
        <v>42677</v>
      </c>
      <c r="S5702" t="s">
        <v>42830</v>
      </c>
      <c r="T5702" t="s">
        <v>44401</v>
      </c>
      <c r="U5702" t="s">
        <v>49493</v>
      </c>
      <c r="W5702" t="s">
        <v>39296</v>
      </c>
      <c r="X5702" t="s">
        <v>42678</v>
      </c>
    </row>
    <row r="5703" spans="1:24">
      <c r="A5703">
        <f>HYPERLINK("https://www.philgeps.gov.ph/GEPSNONPILOT/Tender/SplashBidNoticeAbstractUI.aspx?menuIndex=3&amp;refID=7183877&amp;Result=3","7183877")</f>
        <v>0</v>
      </c>
      <c r="B5703" t="s">
        <v>1975</v>
      </c>
      <c r="C5703" t="s">
        <v>8984</v>
      </c>
      <c r="D5703" t="s">
        <v>17195</v>
      </c>
      <c r="E5703" t="s">
        <v>22181</v>
      </c>
      <c r="F5703" t="s">
        <v>29372</v>
      </c>
      <c r="G5703" t="s">
        <v>29380</v>
      </c>
      <c r="H5703" t="s">
        <v>29389</v>
      </c>
      <c r="I5703" t="s">
        <v>10408</v>
      </c>
      <c r="J5703" t="s">
        <v>33225</v>
      </c>
      <c r="K5703" t="s">
        <v>38488</v>
      </c>
      <c r="M5703" t="s">
        <v>40862</v>
      </c>
      <c r="N5703" t="s">
        <v>42669</v>
      </c>
      <c r="O5703" t="s">
        <v>42670</v>
      </c>
      <c r="P5703">
        <v>0</v>
      </c>
      <c r="Q5703">
        <v>1</v>
      </c>
      <c r="R5703" t="s">
        <v>42677</v>
      </c>
      <c r="S5703" t="s">
        <v>42830</v>
      </c>
      <c r="T5703" t="s">
        <v>44368</v>
      </c>
      <c r="U5703" t="s">
        <v>49494</v>
      </c>
      <c r="W5703" t="s">
        <v>40862</v>
      </c>
      <c r="X5703" t="s">
        <v>42678</v>
      </c>
    </row>
    <row r="5704" spans="1:24">
      <c r="A5704">
        <f>HYPERLINK("https://www.philgeps.gov.ph/GEPSNONPILOT/Tender/SplashBidNoticeAbstractUI.aspx?menuIndex=3&amp;refID=7183921&amp;Result=3","7183921")</f>
        <v>0</v>
      </c>
      <c r="B5704" t="s">
        <v>1975</v>
      </c>
      <c r="C5704" t="s">
        <v>8985</v>
      </c>
      <c r="D5704" t="s">
        <v>17195</v>
      </c>
      <c r="E5704" t="s">
        <v>22182</v>
      </c>
      <c r="F5704" t="s">
        <v>29372</v>
      </c>
      <c r="G5704" t="s">
        <v>29380</v>
      </c>
      <c r="H5704" t="s">
        <v>29389</v>
      </c>
      <c r="I5704" t="s">
        <v>29453</v>
      </c>
      <c r="J5704" t="s">
        <v>33226</v>
      </c>
      <c r="K5704" t="s">
        <v>38488</v>
      </c>
      <c r="M5704" t="s">
        <v>40862</v>
      </c>
      <c r="N5704" t="s">
        <v>42669</v>
      </c>
      <c r="O5704" t="s">
        <v>42670</v>
      </c>
      <c r="P5704">
        <v>0</v>
      </c>
      <c r="Q5704">
        <v>4</v>
      </c>
      <c r="R5704" t="s">
        <v>42677</v>
      </c>
      <c r="S5704" t="s">
        <v>42830</v>
      </c>
      <c r="T5704" t="s">
        <v>44368</v>
      </c>
      <c r="U5704" t="s">
        <v>49495</v>
      </c>
      <c r="W5704" t="s">
        <v>40862</v>
      </c>
      <c r="X5704" t="s">
        <v>42678</v>
      </c>
    </row>
    <row r="5705" spans="1:24">
      <c r="A5705">
        <f>HYPERLINK("https://www.philgeps.gov.ph/GEPSNONPILOT/Tender/SplashBidNoticeAbstractUI.aspx?menuIndex=3&amp;refID=7183872&amp;Result=3","7183872")</f>
        <v>0</v>
      </c>
      <c r="B5705" t="s">
        <v>1971</v>
      </c>
      <c r="C5705" t="s">
        <v>8986</v>
      </c>
      <c r="D5705" t="s">
        <v>17199</v>
      </c>
      <c r="E5705" t="s">
        <v>22183</v>
      </c>
      <c r="F5705" t="s">
        <v>29372</v>
      </c>
      <c r="G5705" t="s">
        <v>29379</v>
      </c>
      <c r="H5705" t="s">
        <v>11048</v>
      </c>
      <c r="I5705" t="s">
        <v>8208</v>
      </c>
      <c r="J5705" t="s">
        <v>33221</v>
      </c>
      <c r="K5705" t="s">
        <v>38488</v>
      </c>
      <c r="M5705" t="s">
        <v>40858</v>
      </c>
      <c r="N5705" t="s">
        <v>42669</v>
      </c>
      <c r="O5705" t="s">
        <v>42670</v>
      </c>
      <c r="P5705">
        <v>0</v>
      </c>
      <c r="Q5705">
        <v>1</v>
      </c>
      <c r="R5705" t="s">
        <v>42677</v>
      </c>
      <c r="S5705" t="s">
        <v>42830</v>
      </c>
      <c r="T5705" t="s">
        <v>44548</v>
      </c>
      <c r="U5705" t="s">
        <v>49488</v>
      </c>
      <c r="W5705" t="s">
        <v>40858</v>
      </c>
      <c r="X5705" t="s">
        <v>42678</v>
      </c>
    </row>
    <row r="5706" spans="1:24">
      <c r="A5706">
        <f>HYPERLINK("https://www.philgeps.gov.ph/GEPSNONPILOT/Tender/SplashBidNoticeAbstractUI.aspx?menuIndex=3&amp;refID=7183862&amp;Result=3","7183862")</f>
        <v>0</v>
      </c>
      <c r="B5706" t="s">
        <v>1962</v>
      </c>
      <c r="C5706" t="s">
        <v>8987</v>
      </c>
      <c r="D5706" t="s">
        <v>17212</v>
      </c>
      <c r="E5706" t="s">
        <v>20823</v>
      </c>
      <c r="F5706" t="s">
        <v>29372</v>
      </c>
      <c r="G5706" t="s">
        <v>29380</v>
      </c>
      <c r="H5706" t="s">
        <v>29389</v>
      </c>
      <c r="I5706" t="s">
        <v>10408</v>
      </c>
      <c r="J5706" t="s">
        <v>29526</v>
      </c>
      <c r="K5706" t="s">
        <v>38485</v>
      </c>
      <c r="M5706" t="s">
        <v>40846</v>
      </c>
      <c r="N5706" t="s">
        <v>42669</v>
      </c>
      <c r="O5706" t="s">
        <v>42670</v>
      </c>
      <c r="P5706">
        <v>0</v>
      </c>
      <c r="Q5706">
        <v>0</v>
      </c>
      <c r="R5706" t="s">
        <v>42677</v>
      </c>
      <c r="S5706" t="s">
        <v>42830</v>
      </c>
      <c r="T5706" t="s">
        <v>44387</v>
      </c>
      <c r="U5706" t="s">
        <v>49496</v>
      </c>
      <c r="W5706" t="s">
        <v>40846</v>
      </c>
      <c r="X5706" t="s">
        <v>42678</v>
      </c>
    </row>
    <row r="5707" spans="1:24">
      <c r="A5707">
        <f>HYPERLINK("https://www.philgeps.gov.ph/GEPSNONPILOT/Tender/SplashBidNoticeAbstractUI.aspx?menuIndex=3&amp;refID=7183947&amp;Result=3","7183947")</f>
        <v>0</v>
      </c>
      <c r="B5707" t="s">
        <v>1976</v>
      </c>
      <c r="C5707" t="s">
        <v>8988</v>
      </c>
      <c r="D5707" t="s">
        <v>17143</v>
      </c>
      <c r="E5707" t="s">
        <v>22184</v>
      </c>
      <c r="F5707" t="s">
        <v>29372</v>
      </c>
      <c r="G5707" t="s">
        <v>29383</v>
      </c>
      <c r="H5707" t="s">
        <v>11048</v>
      </c>
      <c r="I5707" t="s">
        <v>5383</v>
      </c>
      <c r="J5707" t="s">
        <v>33227</v>
      </c>
      <c r="K5707" t="s">
        <v>38488</v>
      </c>
      <c r="M5707" t="s">
        <v>40863</v>
      </c>
      <c r="N5707" t="s">
        <v>42669</v>
      </c>
      <c r="O5707" t="s">
        <v>42670</v>
      </c>
      <c r="P5707">
        <v>0</v>
      </c>
      <c r="Q5707">
        <v>0</v>
      </c>
      <c r="R5707" t="s">
        <v>42677</v>
      </c>
      <c r="S5707" t="s">
        <v>42830</v>
      </c>
      <c r="T5707" t="s">
        <v>44493</v>
      </c>
      <c r="U5707" t="s">
        <v>49497</v>
      </c>
      <c r="W5707" t="s">
        <v>40863</v>
      </c>
      <c r="X5707" t="s">
        <v>42678</v>
      </c>
    </row>
    <row r="5708" spans="1:24">
      <c r="A5708">
        <f>HYPERLINK("https://www.philgeps.gov.ph/GEPSNONPILOT/Tender/SplashBidNoticeAbstractUI.aspx?menuIndex=3&amp;refID=7183859&amp;Result=3","7183859")</f>
        <v>0</v>
      </c>
      <c r="B5708" t="s">
        <v>1971</v>
      </c>
      <c r="C5708" t="s">
        <v>8989</v>
      </c>
      <c r="D5708" t="s">
        <v>17199</v>
      </c>
      <c r="E5708" t="s">
        <v>22185</v>
      </c>
      <c r="F5708" t="s">
        <v>29372</v>
      </c>
      <c r="G5708" t="s">
        <v>29379</v>
      </c>
      <c r="H5708" t="s">
        <v>11048</v>
      </c>
      <c r="I5708" t="s">
        <v>14920</v>
      </c>
      <c r="J5708" t="s">
        <v>33228</v>
      </c>
      <c r="K5708" t="s">
        <v>38488</v>
      </c>
      <c r="M5708" t="s">
        <v>40858</v>
      </c>
      <c r="N5708" t="s">
        <v>42669</v>
      </c>
      <c r="O5708" t="s">
        <v>42670</v>
      </c>
      <c r="P5708">
        <v>0</v>
      </c>
      <c r="Q5708">
        <v>0</v>
      </c>
      <c r="R5708" t="s">
        <v>42677</v>
      </c>
      <c r="S5708" t="s">
        <v>42830</v>
      </c>
      <c r="T5708" t="s">
        <v>44548</v>
      </c>
      <c r="U5708" t="s">
        <v>49488</v>
      </c>
      <c r="W5708" t="s">
        <v>40858</v>
      </c>
      <c r="X5708" t="s">
        <v>42678</v>
      </c>
    </row>
    <row r="5709" spans="1:24">
      <c r="A5709">
        <f>HYPERLINK("https://www.philgeps.gov.ph/GEPSNONPILOT/Tender/SplashBidNoticeAbstractUI.aspx?menuIndex=3&amp;refID=7183857&amp;Result=3","7183857")</f>
        <v>0</v>
      </c>
      <c r="B5709" t="s">
        <v>1977</v>
      </c>
      <c r="C5709" t="s">
        <v>8990</v>
      </c>
      <c r="D5709" t="s">
        <v>17160</v>
      </c>
      <c r="E5709" t="s">
        <v>22186</v>
      </c>
      <c r="F5709" t="s">
        <v>29372</v>
      </c>
      <c r="G5709" t="s">
        <v>29380</v>
      </c>
      <c r="H5709" t="s">
        <v>29389</v>
      </c>
      <c r="I5709" t="s">
        <v>10408</v>
      </c>
      <c r="J5709" t="s">
        <v>29708</v>
      </c>
      <c r="K5709" t="s">
        <v>38491</v>
      </c>
      <c r="M5709" t="s">
        <v>40864</v>
      </c>
      <c r="N5709" t="s">
        <v>42669</v>
      </c>
      <c r="O5709" t="s">
        <v>42670</v>
      </c>
      <c r="P5709">
        <v>0</v>
      </c>
      <c r="Q5709">
        <v>0</v>
      </c>
      <c r="R5709" t="s">
        <v>42677</v>
      </c>
      <c r="S5709" t="s">
        <v>42830</v>
      </c>
      <c r="T5709" t="s">
        <v>44469</v>
      </c>
      <c r="U5709" t="s">
        <v>49498</v>
      </c>
      <c r="W5709" t="s">
        <v>40864</v>
      </c>
      <c r="X5709" t="s">
        <v>42678</v>
      </c>
    </row>
    <row r="5710" spans="1:24">
      <c r="A5710">
        <f>HYPERLINK("https://www.philgeps.gov.ph/GEPSNONPILOT/Tender/SplashBidNoticeAbstractUI.aspx?menuIndex=3&amp;refID=7183933&amp;Result=3","7183933")</f>
        <v>0</v>
      </c>
      <c r="B5710" t="s">
        <v>52</v>
      </c>
      <c r="C5710" t="s">
        <v>8991</v>
      </c>
      <c r="D5710" t="s">
        <v>17164</v>
      </c>
      <c r="E5710" t="s">
        <v>22187</v>
      </c>
      <c r="F5710" t="s">
        <v>29372</v>
      </c>
      <c r="G5710" t="s">
        <v>29379</v>
      </c>
      <c r="H5710" t="s">
        <v>11048</v>
      </c>
      <c r="I5710" t="s">
        <v>14920</v>
      </c>
      <c r="J5710" t="s">
        <v>32791</v>
      </c>
      <c r="K5710" t="s">
        <v>38522</v>
      </c>
      <c r="M5710" t="s">
        <v>40848</v>
      </c>
      <c r="N5710" t="s">
        <v>42669</v>
      </c>
      <c r="O5710" t="s">
        <v>42670</v>
      </c>
      <c r="P5710">
        <v>0</v>
      </c>
      <c r="Q5710">
        <v>1</v>
      </c>
      <c r="R5710" t="s">
        <v>42677</v>
      </c>
      <c r="S5710" t="s">
        <v>42830</v>
      </c>
      <c r="T5710" t="s">
        <v>44489</v>
      </c>
      <c r="U5710" t="s">
        <v>49499</v>
      </c>
      <c r="W5710" t="s">
        <v>40848</v>
      </c>
      <c r="X5710" t="s">
        <v>42678</v>
      </c>
    </row>
    <row r="5711" spans="1:24">
      <c r="A5711">
        <f>HYPERLINK("https://www.philgeps.gov.ph/GEPSNONPILOT/Tender/SplashBidNoticeAbstractUI.aspx?menuIndex=3&amp;refID=7183932&amp;Result=3","7183932")</f>
        <v>0</v>
      </c>
      <c r="B5711" t="s">
        <v>272</v>
      </c>
      <c r="C5711" t="s">
        <v>8992</v>
      </c>
      <c r="D5711" t="s">
        <v>17206</v>
      </c>
      <c r="E5711" t="s">
        <v>22188</v>
      </c>
      <c r="F5711" t="s">
        <v>29372</v>
      </c>
      <c r="G5711" t="s">
        <v>29379</v>
      </c>
      <c r="H5711" t="s">
        <v>11048</v>
      </c>
      <c r="I5711" t="s">
        <v>3860</v>
      </c>
      <c r="J5711" t="s">
        <v>33229</v>
      </c>
      <c r="K5711" t="s">
        <v>38490</v>
      </c>
      <c r="M5711" t="s">
        <v>39619</v>
      </c>
      <c r="N5711" t="s">
        <v>42669</v>
      </c>
      <c r="O5711" t="s">
        <v>42670</v>
      </c>
      <c r="P5711">
        <v>0</v>
      </c>
      <c r="Q5711">
        <v>1</v>
      </c>
      <c r="R5711" t="s">
        <v>42677</v>
      </c>
      <c r="S5711" t="s">
        <v>42830</v>
      </c>
      <c r="T5711" t="s">
        <v>44493</v>
      </c>
      <c r="U5711" t="s">
        <v>49500</v>
      </c>
      <c r="W5711" t="s">
        <v>39619</v>
      </c>
      <c r="X5711" t="s">
        <v>42678</v>
      </c>
    </row>
    <row r="5712" spans="1:24">
      <c r="A5712">
        <f>HYPERLINK("https://www.philgeps.gov.ph/GEPSNONPILOT/Tender/SplashBidNoticeAbstractUI.aspx?menuIndex=3&amp;refID=7183931&amp;Result=3","7183931")</f>
        <v>0</v>
      </c>
      <c r="B5712" t="s">
        <v>1978</v>
      </c>
      <c r="C5712" t="s">
        <v>8993</v>
      </c>
      <c r="D5712" t="s">
        <v>17164</v>
      </c>
      <c r="E5712" t="s">
        <v>22189</v>
      </c>
      <c r="F5712" t="s">
        <v>29372</v>
      </c>
      <c r="G5712" t="s">
        <v>29380</v>
      </c>
      <c r="H5712" t="s">
        <v>11048</v>
      </c>
      <c r="I5712" t="s">
        <v>29413</v>
      </c>
      <c r="J5712" t="s">
        <v>33230</v>
      </c>
      <c r="K5712" t="s">
        <v>38485</v>
      </c>
      <c r="M5712" t="s">
        <v>40865</v>
      </c>
      <c r="N5712" t="s">
        <v>42669</v>
      </c>
      <c r="O5712" t="s">
        <v>42670</v>
      </c>
      <c r="P5712">
        <v>0</v>
      </c>
      <c r="Q5712">
        <v>1</v>
      </c>
      <c r="R5712" t="s">
        <v>42677</v>
      </c>
      <c r="S5712" t="s">
        <v>42830</v>
      </c>
      <c r="T5712" t="s">
        <v>44474</v>
      </c>
      <c r="U5712" t="s">
        <v>49501</v>
      </c>
      <c r="W5712" t="s">
        <v>40865</v>
      </c>
      <c r="X5712" t="s">
        <v>42678</v>
      </c>
    </row>
    <row r="5713" spans="1:24">
      <c r="A5713">
        <f>HYPERLINK("https://www.philgeps.gov.ph/GEPSNONPILOT/Tender/SplashBidNoticeAbstractUI.aspx?menuIndex=3&amp;refID=7183930&amp;Result=3","7183930")</f>
        <v>0</v>
      </c>
      <c r="B5713" t="s">
        <v>1947</v>
      </c>
      <c r="C5713" t="s">
        <v>8994</v>
      </c>
      <c r="D5713" t="s">
        <v>17194</v>
      </c>
      <c r="E5713" t="s">
        <v>22190</v>
      </c>
      <c r="F5713" t="s">
        <v>29372</v>
      </c>
      <c r="G5713" t="s">
        <v>29380</v>
      </c>
      <c r="H5713" t="s">
        <v>29389</v>
      </c>
      <c r="I5713" t="s">
        <v>10408</v>
      </c>
      <c r="J5713" t="s">
        <v>33231</v>
      </c>
      <c r="K5713" t="s">
        <v>38488</v>
      </c>
      <c r="M5713" t="s">
        <v>40829</v>
      </c>
      <c r="N5713" t="s">
        <v>42669</v>
      </c>
      <c r="O5713" t="s">
        <v>42670</v>
      </c>
      <c r="P5713">
        <v>0</v>
      </c>
      <c r="Q5713">
        <v>0</v>
      </c>
      <c r="R5713" t="s">
        <v>42677</v>
      </c>
      <c r="S5713" t="s">
        <v>42830</v>
      </c>
      <c r="T5713" t="s">
        <v>44375</v>
      </c>
      <c r="U5713" t="s">
        <v>49502</v>
      </c>
      <c r="W5713" t="s">
        <v>40829</v>
      </c>
      <c r="X5713" t="s">
        <v>42678</v>
      </c>
    </row>
    <row r="5714" spans="1:24">
      <c r="A5714">
        <f>HYPERLINK("https://www.philgeps.gov.ph/GEPSNONPILOT/Tender/SplashBidNoticeAbstractUI.aspx?menuIndex=3&amp;refID=7183863&amp;Result=3","7183863")</f>
        <v>0</v>
      </c>
      <c r="B5714" t="s">
        <v>1975</v>
      </c>
      <c r="C5714" t="s">
        <v>8995</v>
      </c>
      <c r="D5714" t="s">
        <v>17195</v>
      </c>
      <c r="E5714" t="s">
        <v>22191</v>
      </c>
      <c r="F5714" t="s">
        <v>29372</v>
      </c>
      <c r="G5714" t="s">
        <v>29380</v>
      </c>
      <c r="H5714" t="s">
        <v>29389</v>
      </c>
      <c r="I5714" t="s">
        <v>10408</v>
      </c>
      <c r="J5714" t="s">
        <v>30412</v>
      </c>
      <c r="K5714" t="s">
        <v>38488</v>
      </c>
      <c r="M5714" t="s">
        <v>40862</v>
      </c>
      <c r="N5714" t="s">
        <v>42669</v>
      </c>
      <c r="O5714" t="s">
        <v>42670</v>
      </c>
      <c r="P5714">
        <v>0</v>
      </c>
      <c r="Q5714">
        <v>2</v>
      </c>
      <c r="R5714" t="s">
        <v>42677</v>
      </c>
      <c r="S5714" t="s">
        <v>42830</v>
      </c>
      <c r="T5714" t="s">
        <v>44368</v>
      </c>
      <c r="U5714" t="s">
        <v>49503</v>
      </c>
      <c r="W5714" t="s">
        <v>40862</v>
      </c>
      <c r="X5714" t="s">
        <v>42678</v>
      </c>
    </row>
    <row r="5715" spans="1:24">
      <c r="A5715">
        <f>HYPERLINK("https://www.philgeps.gov.ph/GEPSNONPILOT/Tender/SplashBidNoticeAbstractUI.aspx?menuIndex=3&amp;refID=7183916&amp;Result=3","7183916")</f>
        <v>0</v>
      </c>
      <c r="B5715" t="s">
        <v>1821</v>
      </c>
      <c r="C5715" t="s">
        <v>8996</v>
      </c>
      <c r="D5715" t="s">
        <v>17167</v>
      </c>
      <c r="E5715" t="s">
        <v>22192</v>
      </c>
      <c r="F5715" t="s">
        <v>29372</v>
      </c>
      <c r="G5715" t="s">
        <v>29379</v>
      </c>
      <c r="H5715" t="s">
        <v>11048</v>
      </c>
      <c r="I5715" t="s">
        <v>29432</v>
      </c>
      <c r="J5715" t="s">
        <v>33232</v>
      </c>
      <c r="K5715" t="s">
        <v>38490</v>
      </c>
      <c r="M5715" t="s">
        <v>40692</v>
      </c>
      <c r="N5715" t="s">
        <v>42669</v>
      </c>
      <c r="O5715" t="s">
        <v>42670</v>
      </c>
      <c r="P5715">
        <v>0</v>
      </c>
      <c r="Q5715">
        <v>3</v>
      </c>
      <c r="R5715" t="s">
        <v>42677</v>
      </c>
      <c r="S5715" t="s">
        <v>42830</v>
      </c>
      <c r="T5715" t="s">
        <v>44491</v>
      </c>
      <c r="U5715" t="s">
        <v>49504</v>
      </c>
      <c r="W5715" t="s">
        <v>40692</v>
      </c>
      <c r="X5715" t="s">
        <v>42678</v>
      </c>
    </row>
    <row r="5716" spans="1:24">
      <c r="A5716">
        <f>HYPERLINK("https://www.philgeps.gov.ph/GEPSNONPILOT/Tender/SplashBidNoticeAbstractUI.aspx?menuIndex=3&amp;refID=7183915&amp;Result=3","7183915")</f>
        <v>0</v>
      </c>
      <c r="B5716" t="s">
        <v>1950</v>
      </c>
      <c r="C5716" t="s">
        <v>8997</v>
      </c>
      <c r="D5716" t="s">
        <v>17157</v>
      </c>
      <c r="E5716" t="s">
        <v>22193</v>
      </c>
      <c r="F5716" t="s">
        <v>29372</v>
      </c>
      <c r="G5716" t="s">
        <v>29381</v>
      </c>
      <c r="H5716" t="s">
        <v>29389</v>
      </c>
      <c r="I5716" t="s">
        <v>10408</v>
      </c>
      <c r="J5716" t="s">
        <v>33233</v>
      </c>
      <c r="K5716" t="s">
        <v>38565</v>
      </c>
      <c r="M5716" t="s">
        <v>40832</v>
      </c>
      <c r="N5716" t="s">
        <v>42669</v>
      </c>
      <c r="O5716" t="s">
        <v>42670</v>
      </c>
      <c r="P5716">
        <v>0</v>
      </c>
      <c r="Q5716">
        <v>0</v>
      </c>
      <c r="R5716" t="s">
        <v>42677</v>
      </c>
      <c r="S5716" t="s">
        <v>42830</v>
      </c>
      <c r="T5716" t="s">
        <v>44452</v>
      </c>
      <c r="U5716" t="s">
        <v>49505</v>
      </c>
      <c r="W5716" t="s">
        <v>40832</v>
      </c>
      <c r="X5716" t="s">
        <v>42678</v>
      </c>
    </row>
    <row r="5717" spans="1:24">
      <c r="A5717">
        <f>HYPERLINK("https://www.philgeps.gov.ph/GEPSNONPILOT/Tender/SplashBidNoticeAbstractUI.aspx?menuIndex=3&amp;refID=7183875&amp;Result=3","7183875")</f>
        <v>0</v>
      </c>
      <c r="B5717" t="s">
        <v>856</v>
      </c>
      <c r="C5717" t="s">
        <v>8998</v>
      </c>
      <c r="D5717" t="s">
        <v>17204</v>
      </c>
      <c r="E5717" t="s">
        <v>22194</v>
      </c>
      <c r="F5717" t="s">
        <v>29372</v>
      </c>
      <c r="G5717" t="s">
        <v>29383</v>
      </c>
      <c r="H5717" t="s">
        <v>11048</v>
      </c>
      <c r="I5717" t="s">
        <v>29398</v>
      </c>
      <c r="J5717" t="s">
        <v>33234</v>
      </c>
      <c r="K5717" t="s">
        <v>38491</v>
      </c>
      <c r="M5717" t="s">
        <v>39646</v>
      </c>
      <c r="N5717" t="s">
        <v>42669</v>
      </c>
      <c r="O5717" t="s">
        <v>42670</v>
      </c>
      <c r="P5717">
        <v>0</v>
      </c>
      <c r="Q5717">
        <v>9</v>
      </c>
      <c r="R5717" t="s">
        <v>42677</v>
      </c>
      <c r="S5717" t="s">
        <v>42830</v>
      </c>
      <c r="T5717" t="s">
        <v>44491</v>
      </c>
      <c r="U5717" t="s">
        <v>49506</v>
      </c>
      <c r="W5717" t="s">
        <v>39646</v>
      </c>
      <c r="X5717" t="s">
        <v>42678</v>
      </c>
    </row>
    <row r="5718" spans="1:24">
      <c r="A5718">
        <f>HYPERLINK("https://www.philgeps.gov.ph/GEPSNONPILOT/Tender/SplashBidNoticeAbstractUI.aspx?menuIndex=3&amp;refID=7183907&amp;Result=3","7183907")</f>
        <v>0</v>
      </c>
      <c r="B5718" t="s">
        <v>1979</v>
      </c>
      <c r="C5718" t="s">
        <v>8999</v>
      </c>
      <c r="D5718" t="s">
        <v>17194</v>
      </c>
      <c r="E5718" t="s">
        <v>22195</v>
      </c>
      <c r="F5718" t="s">
        <v>29372</v>
      </c>
      <c r="G5718" t="s">
        <v>29379</v>
      </c>
      <c r="H5718" t="s">
        <v>11048</v>
      </c>
      <c r="I5718" t="s">
        <v>4486</v>
      </c>
      <c r="J5718" t="s">
        <v>33235</v>
      </c>
      <c r="K5718" t="s">
        <v>38490</v>
      </c>
      <c r="M5718" t="s">
        <v>40866</v>
      </c>
      <c r="N5718" t="s">
        <v>42669</v>
      </c>
      <c r="O5718" t="s">
        <v>42670</v>
      </c>
      <c r="P5718">
        <v>0</v>
      </c>
      <c r="Q5718">
        <v>2</v>
      </c>
      <c r="R5718" t="s">
        <v>42677</v>
      </c>
      <c r="S5718" t="s">
        <v>42830</v>
      </c>
      <c r="T5718" t="s">
        <v>44429</v>
      </c>
      <c r="U5718" t="s">
        <v>49507</v>
      </c>
      <c r="W5718" t="s">
        <v>40866</v>
      </c>
      <c r="X5718" t="s">
        <v>42678</v>
      </c>
    </row>
    <row r="5719" spans="1:24">
      <c r="A5719">
        <f>HYPERLINK("https://www.philgeps.gov.ph/GEPSNONPILOT/Tender/SplashBidNoticeAbstractUI.aspx?menuIndex=3&amp;refID=7183896&amp;Result=3","7183896")</f>
        <v>0</v>
      </c>
      <c r="B5719" t="s">
        <v>1903</v>
      </c>
      <c r="C5719" t="s">
        <v>9000</v>
      </c>
      <c r="D5719" t="s">
        <v>17189</v>
      </c>
      <c r="E5719" t="s">
        <v>22196</v>
      </c>
      <c r="F5719" t="s">
        <v>29372</v>
      </c>
      <c r="G5719" t="s">
        <v>29379</v>
      </c>
      <c r="H5719" t="s">
        <v>11048</v>
      </c>
      <c r="I5719" t="s">
        <v>14920</v>
      </c>
      <c r="J5719" t="s">
        <v>33236</v>
      </c>
      <c r="K5719" t="s">
        <v>38510</v>
      </c>
      <c r="M5719" t="s">
        <v>40778</v>
      </c>
      <c r="N5719" t="s">
        <v>42669</v>
      </c>
      <c r="O5719" t="s">
        <v>42670</v>
      </c>
      <c r="P5719">
        <v>0</v>
      </c>
      <c r="Q5719">
        <v>0</v>
      </c>
      <c r="R5719" t="s">
        <v>42677</v>
      </c>
      <c r="S5719" t="s">
        <v>42830</v>
      </c>
      <c r="T5719" t="s">
        <v>44629</v>
      </c>
      <c r="U5719" t="s">
        <v>49508</v>
      </c>
      <c r="V5719" t="s">
        <v>56994</v>
      </c>
      <c r="W5719" t="s">
        <v>40778</v>
      </c>
      <c r="X5719" t="s">
        <v>42678</v>
      </c>
    </row>
    <row r="5720" spans="1:24">
      <c r="A5720">
        <f>HYPERLINK("https://www.philgeps.gov.ph/GEPSNONPILOT/Tender/SplashBidNoticeAbstractUI.aspx?menuIndex=3&amp;refID=7183855&amp;Result=3","7183855")</f>
        <v>0</v>
      </c>
      <c r="B5720" t="s">
        <v>1980</v>
      </c>
      <c r="C5720" t="s">
        <v>9001</v>
      </c>
      <c r="D5720" t="s">
        <v>17163</v>
      </c>
      <c r="E5720" t="s">
        <v>17480</v>
      </c>
      <c r="F5720" t="s">
        <v>29372</v>
      </c>
      <c r="G5720" t="s">
        <v>29383</v>
      </c>
      <c r="H5720" t="s">
        <v>29390</v>
      </c>
      <c r="I5720" t="s">
        <v>29471</v>
      </c>
      <c r="J5720" t="s">
        <v>29767</v>
      </c>
      <c r="K5720" t="s">
        <v>38491</v>
      </c>
      <c r="M5720" t="s">
        <v>40867</v>
      </c>
      <c r="N5720" t="s">
        <v>42669</v>
      </c>
      <c r="O5720" t="s">
        <v>42670</v>
      </c>
      <c r="P5720">
        <v>0</v>
      </c>
      <c r="Q5720">
        <v>3</v>
      </c>
      <c r="R5720" t="s">
        <v>42677</v>
      </c>
      <c r="S5720" t="s">
        <v>42830</v>
      </c>
      <c r="T5720" t="s">
        <v>44432</v>
      </c>
      <c r="U5720" t="s">
        <v>49509</v>
      </c>
      <c r="V5720" t="s">
        <v>56995</v>
      </c>
      <c r="W5720" t="s">
        <v>40867</v>
      </c>
      <c r="X5720" t="s">
        <v>42678</v>
      </c>
    </row>
    <row r="5721" spans="1:24">
      <c r="A5721">
        <f>HYPERLINK("https://www.philgeps.gov.ph/GEPSNONPILOT/Tender/SplashBidNoticeAbstractUI.aspx?menuIndex=3&amp;refID=7183893&amp;Result=3","7183893")</f>
        <v>0</v>
      </c>
      <c r="B5721" t="s">
        <v>52</v>
      </c>
      <c r="C5721" t="s">
        <v>9002</v>
      </c>
      <c r="D5721" t="s">
        <v>17164</v>
      </c>
      <c r="E5721" t="s">
        <v>22197</v>
      </c>
      <c r="F5721" t="s">
        <v>29372</v>
      </c>
      <c r="G5721" t="s">
        <v>29379</v>
      </c>
      <c r="H5721" t="s">
        <v>11048</v>
      </c>
      <c r="I5721" t="s">
        <v>14920</v>
      </c>
      <c r="J5721" t="s">
        <v>33237</v>
      </c>
      <c r="K5721" t="s">
        <v>38522</v>
      </c>
      <c r="M5721" t="s">
        <v>40848</v>
      </c>
      <c r="N5721" t="s">
        <v>42669</v>
      </c>
      <c r="O5721" t="s">
        <v>42670</v>
      </c>
      <c r="P5721">
        <v>0</v>
      </c>
      <c r="Q5721">
        <v>0</v>
      </c>
      <c r="R5721" t="s">
        <v>42677</v>
      </c>
      <c r="S5721" t="s">
        <v>42830</v>
      </c>
      <c r="T5721" t="s">
        <v>44489</v>
      </c>
      <c r="U5721" t="s">
        <v>49510</v>
      </c>
      <c r="W5721" t="s">
        <v>40848</v>
      </c>
      <c r="X5721" t="s">
        <v>42678</v>
      </c>
    </row>
    <row r="5722" spans="1:24">
      <c r="A5722">
        <f>HYPERLINK("https://www.philgeps.gov.ph/GEPSNONPILOT/Tender/SplashBidNoticeAbstractUI.aspx?menuIndex=3&amp;refID=7183890&amp;Result=3","7183890")</f>
        <v>0</v>
      </c>
      <c r="B5722" t="s">
        <v>1751</v>
      </c>
      <c r="C5722" t="s">
        <v>9003</v>
      </c>
      <c r="D5722" t="s">
        <v>17165</v>
      </c>
      <c r="E5722" t="s">
        <v>22198</v>
      </c>
      <c r="F5722" t="s">
        <v>29372</v>
      </c>
      <c r="G5722" t="s">
        <v>29381</v>
      </c>
      <c r="H5722" t="s">
        <v>11048</v>
      </c>
      <c r="I5722" t="s">
        <v>3629</v>
      </c>
      <c r="J5722" t="s">
        <v>33238</v>
      </c>
      <c r="K5722" t="s">
        <v>38488</v>
      </c>
      <c r="M5722" t="s">
        <v>40616</v>
      </c>
      <c r="N5722" t="s">
        <v>42669</v>
      </c>
      <c r="O5722" t="s">
        <v>42670</v>
      </c>
      <c r="P5722">
        <v>0</v>
      </c>
      <c r="Q5722">
        <v>0</v>
      </c>
      <c r="R5722" t="s">
        <v>42677</v>
      </c>
      <c r="S5722" t="s">
        <v>42830</v>
      </c>
      <c r="T5722" t="s">
        <v>44481</v>
      </c>
      <c r="U5722" t="s">
        <v>49511</v>
      </c>
      <c r="W5722" t="s">
        <v>40616</v>
      </c>
      <c r="X5722" t="s">
        <v>42678</v>
      </c>
    </row>
    <row r="5723" spans="1:24">
      <c r="A5723">
        <f>HYPERLINK("https://www.philgeps.gov.ph/GEPSNONPILOT/Tender/SplashBidNoticeAbstractUI.aspx?menuIndex=3&amp;refID=7183918&amp;Result=3","7183918")</f>
        <v>0</v>
      </c>
      <c r="B5723" t="s">
        <v>1533</v>
      </c>
      <c r="C5723" t="s">
        <v>4038</v>
      </c>
      <c r="D5723" t="s">
        <v>17213</v>
      </c>
      <c r="E5723" t="s">
        <v>22199</v>
      </c>
      <c r="F5723" t="s">
        <v>29372</v>
      </c>
      <c r="G5723" t="s">
        <v>29379</v>
      </c>
      <c r="H5723" t="s">
        <v>11048</v>
      </c>
      <c r="I5723" t="s">
        <v>3839</v>
      </c>
      <c r="J5723" t="s">
        <v>29767</v>
      </c>
      <c r="K5723" t="s">
        <v>38488</v>
      </c>
      <c r="M5723" t="s">
        <v>40382</v>
      </c>
      <c r="N5723" t="s">
        <v>42669</v>
      </c>
      <c r="O5723" t="s">
        <v>42670</v>
      </c>
      <c r="P5723">
        <v>0</v>
      </c>
      <c r="Q5723">
        <v>0</v>
      </c>
      <c r="R5723" t="s">
        <v>42677</v>
      </c>
      <c r="S5723" t="s">
        <v>42830</v>
      </c>
      <c r="T5723" t="s">
        <v>44566</v>
      </c>
      <c r="U5723" t="s">
        <v>47358</v>
      </c>
      <c r="W5723" t="s">
        <v>40382</v>
      </c>
      <c r="X5723" t="s">
        <v>42678</v>
      </c>
    </row>
    <row r="5724" spans="1:24">
      <c r="A5724">
        <f>HYPERLINK("https://www.philgeps.gov.ph/GEPSNONPILOT/Tender/SplashBidNoticeAbstractUI.aspx?menuIndex=3&amp;refID=7183973&amp;Result=3","7183973")</f>
        <v>0</v>
      </c>
      <c r="B5724" t="s">
        <v>1981</v>
      </c>
      <c r="C5724" t="s">
        <v>9004</v>
      </c>
      <c r="D5724" t="s">
        <v>17170</v>
      </c>
      <c r="E5724" t="s">
        <v>22200</v>
      </c>
      <c r="F5724" t="s">
        <v>29372</v>
      </c>
      <c r="G5724" t="s">
        <v>29380</v>
      </c>
      <c r="H5724" t="s">
        <v>11048</v>
      </c>
      <c r="I5724" t="s">
        <v>3695</v>
      </c>
      <c r="J5724" t="s">
        <v>29526</v>
      </c>
      <c r="K5724" t="s">
        <v>38485</v>
      </c>
      <c r="M5724" t="s">
        <v>40868</v>
      </c>
      <c r="N5724" t="s">
        <v>42669</v>
      </c>
      <c r="O5724" t="s">
        <v>42670</v>
      </c>
      <c r="P5724">
        <v>0</v>
      </c>
      <c r="Q5724">
        <v>1</v>
      </c>
      <c r="R5724" t="s">
        <v>42677</v>
      </c>
      <c r="S5724" t="s">
        <v>42830</v>
      </c>
      <c r="T5724" t="s">
        <v>44415</v>
      </c>
      <c r="U5724" t="s">
        <v>49512</v>
      </c>
      <c r="W5724" t="s">
        <v>40868</v>
      </c>
      <c r="X5724" t="s">
        <v>42678</v>
      </c>
    </row>
    <row r="5725" spans="1:24">
      <c r="A5725">
        <f>HYPERLINK("https://www.philgeps.gov.ph/GEPSNONPILOT/Tender/SplashBidNoticeAbstractUI.aspx?menuIndex=3&amp;refID=7183988&amp;Result=3","7183988")</f>
        <v>0</v>
      </c>
      <c r="B5725" t="s">
        <v>433</v>
      </c>
      <c r="C5725" t="s">
        <v>9005</v>
      </c>
      <c r="D5725" t="s">
        <v>17188</v>
      </c>
      <c r="E5725" t="s">
        <v>22201</v>
      </c>
      <c r="F5725" t="s">
        <v>29372</v>
      </c>
      <c r="G5725" t="s">
        <v>29379</v>
      </c>
      <c r="H5725" t="s">
        <v>11048</v>
      </c>
      <c r="I5725" t="s">
        <v>4709</v>
      </c>
      <c r="J5725" t="s">
        <v>33239</v>
      </c>
      <c r="K5725" t="s">
        <v>38485</v>
      </c>
      <c r="M5725" t="s">
        <v>39197</v>
      </c>
      <c r="N5725" t="s">
        <v>42669</v>
      </c>
      <c r="O5725" t="s">
        <v>42670</v>
      </c>
      <c r="P5725">
        <v>0</v>
      </c>
      <c r="Q5725">
        <v>1</v>
      </c>
      <c r="R5725" t="s">
        <v>42677</v>
      </c>
      <c r="S5725" t="s">
        <v>42830</v>
      </c>
      <c r="T5725" t="s">
        <v>44441</v>
      </c>
      <c r="U5725" t="s">
        <v>49513</v>
      </c>
      <c r="W5725" t="s">
        <v>39197</v>
      </c>
      <c r="X5725" t="s">
        <v>42678</v>
      </c>
    </row>
    <row r="5726" spans="1:24">
      <c r="A5726">
        <f>HYPERLINK("https://www.philgeps.gov.ph/GEPSNONPILOT/Tender/SplashBidNoticeAbstractUI.aspx?menuIndex=3&amp;refID=7183909&amp;Result=3","7183909")</f>
        <v>0</v>
      </c>
      <c r="B5726" t="s">
        <v>1964</v>
      </c>
      <c r="C5726" t="s">
        <v>9006</v>
      </c>
      <c r="D5726" t="s">
        <v>17168</v>
      </c>
      <c r="E5726" t="s">
        <v>22202</v>
      </c>
      <c r="F5726" t="s">
        <v>29372</v>
      </c>
      <c r="G5726" t="s">
        <v>29379</v>
      </c>
      <c r="H5726" t="s">
        <v>11048</v>
      </c>
      <c r="I5726" t="s">
        <v>29424</v>
      </c>
      <c r="J5726" t="s">
        <v>33240</v>
      </c>
      <c r="K5726" t="s">
        <v>38488</v>
      </c>
      <c r="M5726" t="s">
        <v>40849</v>
      </c>
      <c r="N5726" t="s">
        <v>42669</v>
      </c>
      <c r="O5726" t="s">
        <v>42670</v>
      </c>
      <c r="P5726">
        <v>0</v>
      </c>
      <c r="Q5726">
        <v>5</v>
      </c>
      <c r="R5726" t="s">
        <v>42677</v>
      </c>
      <c r="S5726" t="s">
        <v>42830</v>
      </c>
      <c r="T5726" t="s">
        <v>44701</v>
      </c>
      <c r="U5726" t="s">
        <v>49514</v>
      </c>
      <c r="W5726" t="s">
        <v>40849</v>
      </c>
      <c r="X5726" t="s">
        <v>42678</v>
      </c>
    </row>
    <row r="5727" spans="1:24">
      <c r="A5727">
        <f>HYPERLINK("https://www.philgeps.gov.ph/GEPSNONPILOT/Tender/SplashBidNoticeAbstractUI.aspx?menuIndex=3&amp;refID=7183987&amp;Result=3","7183987")</f>
        <v>0</v>
      </c>
      <c r="B5727" t="s">
        <v>1982</v>
      </c>
      <c r="C5727" t="s">
        <v>9007</v>
      </c>
      <c r="D5727" t="s">
        <v>17155</v>
      </c>
      <c r="E5727" t="s">
        <v>22203</v>
      </c>
      <c r="F5727" t="s">
        <v>29373</v>
      </c>
      <c r="G5727" t="s">
        <v>29382</v>
      </c>
      <c r="H5727" t="s">
        <v>29390</v>
      </c>
      <c r="I5727" t="s">
        <v>9642</v>
      </c>
      <c r="J5727" t="s">
        <v>33241</v>
      </c>
      <c r="K5727" t="s">
        <v>38491</v>
      </c>
      <c r="M5727" t="s">
        <v>40869</v>
      </c>
      <c r="N5727" t="s">
        <v>42669</v>
      </c>
      <c r="O5727" t="s">
        <v>42670</v>
      </c>
      <c r="P5727">
        <v>0</v>
      </c>
      <c r="Q5727">
        <v>0</v>
      </c>
      <c r="R5727" t="s">
        <v>42677</v>
      </c>
      <c r="S5727" t="s">
        <v>42830</v>
      </c>
      <c r="T5727" t="s">
        <v>44429</v>
      </c>
      <c r="U5727" t="s">
        <v>49515</v>
      </c>
      <c r="W5727" t="s">
        <v>40869</v>
      </c>
      <c r="X5727" t="s">
        <v>42678</v>
      </c>
    </row>
    <row r="5728" spans="1:24">
      <c r="A5728">
        <f>HYPERLINK("https://www.philgeps.gov.ph/GEPSNONPILOT/Tender/SplashBidNoticeAbstractUI.aspx?menuIndex=3&amp;refID=7183984&amp;Result=3","7183984")</f>
        <v>0</v>
      </c>
      <c r="B5728" t="s">
        <v>1983</v>
      </c>
      <c r="C5728" t="s">
        <v>9008</v>
      </c>
      <c r="D5728" t="s">
        <v>17147</v>
      </c>
      <c r="E5728" t="s">
        <v>22204</v>
      </c>
      <c r="F5728" t="s">
        <v>29372</v>
      </c>
      <c r="G5728" t="s">
        <v>29379</v>
      </c>
      <c r="H5728" t="s">
        <v>29389</v>
      </c>
      <c r="I5728" t="s">
        <v>4709</v>
      </c>
      <c r="J5728" t="s">
        <v>33242</v>
      </c>
      <c r="K5728" t="s">
        <v>38518</v>
      </c>
      <c r="M5728" t="s">
        <v>40870</v>
      </c>
      <c r="N5728" t="s">
        <v>42669</v>
      </c>
      <c r="O5728" t="s">
        <v>42670</v>
      </c>
      <c r="P5728">
        <v>0</v>
      </c>
      <c r="Q5728">
        <v>0</v>
      </c>
      <c r="R5728" t="s">
        <v>42677</v>
      </c>
      <c r="S5728" t="s">
        <v>42830</v>
      </c>
      <c r="T5728" t="s">
        <v>44488</v>
      </c>
      <c r="U5728" t="s">
        <v>49516</v>
      </c>
      <c r="V5728" t="s">
        <v>56996</v>
      </c>
      <c r="W5728" t="s">
        <v>40870</v>
      </c>
      <c r="X5728" t="s">
        <v>42678</v>
      </c>
    </row>
    <row r="5729" spans="1:24">
      <c r="A5729">
        <f>HYPERLINK("https://www.philgeps.gov.ph/GEPSNONPILOT/Tender/SplashBidNoticeAbstractUI.aspx?menuIndex=3&amp;refID=7183983&amp;Result=3","7183983")</f>
        <v>0</v>
      </c>
      <c r="B5729" t="s">
        <v>1947</v>
      </c>
      <c r="C5729" t="s">
        <v>9009</v>
      </c>
      <c r="D5729" t="s">
        <v>17194</v>
      </c>
      <c r="E5729" t="s">
        <v>22205</v>
      </c>
      <c r="F5729" t="s">
        <v>29372</v>
      </c>
      <c r="G5729" t="s">
        <v>29380</v>
      </c>
      <c r="H5729" t="s">
        <v>11048</v>
      </c>
      <c r="I5729" t="s">
        <v>4709</v>
      </c>
      <c r="J5729" t="s">
        <v>33243</v>
      </c>
      <c r="K5729" t="s">
        <v>38518</v>
      </c>
      <c r="M5729" t="s">
        <v>40829</v>
      </c>
      <c r="N5729" t="s">
        <v>42669</v>
      </c>
      <c r="O5729" t="s">
        <v>42670</v>
      </c>
      <c r="P5729">
        <v>0</v>
      </c>
      <c r="Q5729">
        <v>0</v>
      </c>
      <c r="R5729" t="s">
        <v>42677</v>
      </c>
      <c r="S5729" t="s">
        <v>42830</v>
      </c>
      <c r="T5729" t="s">
        <v>44375</v>
      </c>
      <c r="U5729" t="s">
        <v>49517</v>
      </c>
      <c r="W5729" t="s">
        <v>40829</v>
      </c>
      <c r="X5729" t="s">
        <v>42678</v>
      </c>
    </row>
    <row r="5730" spans="1:24">
      <c r="A5730">
        <f>HYPERLINK("https://www.philgeps.gov.ph/GEPSNONPILOT/Tender/SplashBidNoticeAbstractUI.aspx?menuIndex=3&amp;refID=7183971&amp;Result=3","7183971")</f>
        <v>0</v>
      </c>
      <c r="B5730" t="s">
        <v>422</v>
      </c>
      <c r="C5730" t="s">
        <v>9010</v>
      </c>
      <c r="E5730" t="s">
        <v>22206</v>
      </c>
      <c r="F5730" t="s">
        <v>29372</v>
      </c>
      <c r="G5730" t="s">
        <v>29383</v>
      </c>
      <c r="H5730" t="s">
        <v>11048</v>
      </c>
      <c r="I5730" t="s">
        <v>29407</v>
      </c>
      <c r="J5730" t="s">
        <v>30412</v>
      </c>
      <c r="K5730" t="s">
        <v>38490</v>
      </c>
      <c r="M5730" t="s">
        <v>39186</v>
      </c>
      <c r="N5730" t="s">
        <v>42669</v>
      </c>
      <c r="O5730" t="s">
        <v>42670</v>
      </c>
      <c r="P5730">
        <v>0</v>
      </c>
      <c r="Q5730">
        <v>4</v>
      </c>
      <c r="R5730" t="s">
        <v>42677</v>
      </c>
      <c r="S5730" t="s">
        <v>42830</v>
      </c>
      <c r="T5730" t="s">
        <v>44488</v>
      </c>
      <c r="U5730" t="s">
        <v>49518</v>
      </c>
      <c r="W5730" t="s">
        <v>39186</v>
      </c>
      <c r="X5730" t="s">
        <v>42678</v>
      </c>
    </row>
    <row r="5731" spans="1:24">
      <c r="A5731">
        <f>HYPERLINK("https://www.philgeps.gov.ph/GEPSNONPILOT/Tender/SplashBidNoticeAbstractUI.aspx?menuIndex=3&amp;refID=7183980&amp;Result=3","7183980")</f>
        <v>0</v>
      </c>
      <c r="B5731" t="s">
        <v>1984</v>
      </c>
      <c r="C5731" t="s">
        <v>9011</v>
      </c>
      <c r="D5731" t="s">
        <v>17174</v>
      </c>
      <c r="E5731" t="s">
        <v>22207</v>
      </c>
      <c r="F5731" t="s">
        <v>29372</v>
      </c>
      <c r="G5731" t="s">
        <v>29380</v>
      </c>
      <c r="H5731" t="s">
        <v>11048</v>
      </c>
      <c r="I5731" t="s">
        <v>4709</v>
      </c>
      <c r="J5731" t="s">
        <v>29694</v>
      </c>
      <c r="K5731" t="s">
        <v>38488</v>
      </c>
      <c r="M5731" t="s">
        <v>40871</v>
      </c>
      <c r="N5731" t="s">
        <v>42669</v>
      </c>
      <c r="O5731" t="s">
        <v>42670</v>
      </c>
      <c r="P5731">
        <v>0</v>
      </c>
      <c r="Q5731">
        <v>0</v>
      </c>
      <c r="R5731" t="s">
        <v>42677</v>
      </c>
      <c r="S5731" t="s">
        <v>42830</v>
      </c>
      <c r="T5731" t="s">
        <v>44401</v>
      </c>
      <c r="U5731" t="s">
        <v>49519</v>
      </c>
      <c r="W5731" t="s">
        <v>40871</v>
      </c>
      <c r="X5731" t="s">
        <v>42678</v>
      </c>
    </row>
    <row r="5732" spans="1:24">
      <c r="A5732">
        <f>HYPERLINK("https://www.philgeps.gov.ph/GEPSNONPILOT/Tender/SplashBidNoticeAbstractUI.aspx?menuIndex=3&amp;refID=7183969&amp;Result=3","7183969")</f>
        <v>0</v>
      </c>
      <c r="B5732" t="s">
        <v>899</v>
      </c>
      <c r="C5732" t="s">
        <v>9012</v>
      </c>
      <c r="D5732" t="s">
        <v>17213</v>
      </c>
      <c r="E5732" t="s">
        <v>22208</v>
      </c>
      <c r="F5732" t="s">
        <v>29372</v>
      </c>
      <c r="G5732" t="s">
        <v>29379</v>
      </c>
      <c r="H5732" t="s">
        <v>11048</v>
      </c>
      <c r="I5732" t="s">
        <v>29433</v>
      </c>
      <c r="J5732" t="s">
        <v>33244</v>
      </c>
      <c r="K5732" t="s">
        <v>38488</v>
      </c>
      <c r="M5732" t="s">
        <v>39692</v>
      </c>
      <c r="N5732" t="s">
        <v>42669</v>
      </c>
      <c r="O5732" t="s">
        <v>42670</v>
      </c>
      <c r="P5732">
        <v>0</v>
      </c>
      <c r="Q5732">
        <v>6</v>
      </c>
      <c r="R5732" t="s">
        <v>42677</v>
      </c>
      <c r="S5732" t="s">
        <v>42830</v>
      </c>
      <c r="T5732" t="s">
        <v>44481</v>
      </c>
      <c r="U5732" t="s">
        <v>49520</v>
      </c>
      <c r="W5732" t="s">
        <v>39692</v>
      </c>
      <c r="X5732" t="s">
        <v>42678</v>
      </c>
    </row>
    <row r="5733" spans="1:24">
      <c r="A5733">
        <f>HYPERLINK("https://www.philgeps.gov.ph/GEPSNONPILOT/Tender/SplashBidNoticeAbstractUI.aspx?menuIndex=3&amp;refID=7183986&amp;Result=3","7183986")</f>
        <v>0</v>
      </c>
      <c r="B5733" t="s">
        <v>871</v>
      </c>
      <c r="C5733" t="s">
        <v>9013</v>
      </c>
      <c r="D5733" t="s">
        <v>17189</v>
      </c>
      <c r="E5733" t="s">
        <v>18616</v>
      </c>
      <c r="F5733" t="s">
        <v>29372</v>
      </c>
      <c r="G5733" t="s">
        <v>29380</v>
      </c>
      <c r="H5733" t="s">
        <v>11048</v>
      </c>
      <c r="I5733" t="s">
        <v>4709</v>
      </c>
      <c r="J5733" t="s">
        <v>33245</v>
      </c>
      <c r="K5733" t="s">
        <v>38488</v>
      </c>
      <c r="M5733" t="s">
        <v>39663</v>
      </c>
      <c r="N5733" t="s">
        <v>42669</v>
      </c>
      <c r="O5733" t="s">
        <v>42670</v>
      </c>
      <c r="P5733">
        <v>0</v>
      </c>
      <c r="Q5733">
        <v>0</v>
      </c>
      <c r="R5733" t="s">
        <v>42677</v>
      </c>
      <c r="S5733" t="s">
        <v>42830</v>
      </c>
      <c r="T5733" t="s">
        <v>44401</v>
      </c>
      <c r="U5733" t="s">
        <v>49521</v>
      </c>
      <c r="V5733" t="s">
        <v>56573</v>
      </c>
      <c r="W5733" t="s">
        <v>39663</v>
      </c>
      <c r="X5733" t="s">
        <v>42678</v>
      </c>
    </row>
    <row r="5734" spans="1:24">
      <c r="A5734">
        <f>HYPERLINK("https://www.philgeps.gov.ph/GEPSNONPILOT/Tender/SplashBidNoticeAbstractUI.aspx?menuIndex=3&amp;refID=7183968&amp;Result=3","7183968")</f>
        <v>0</v>
      </c>
      <c r="B5734" t="s">
        <v>52</v>
      </c>
      <c r="C5734" t="s">
        <v>9014</v>
      </c>
      <c r="D5734" t="s">
        <v>17183</v>
      </c>
      <c r="E5734" t="s">
        <v>22209</v>
      </c>
      <c r="F5734" t="s">
        <v>29372</v>
      </c>
      <c r="G5734" t="s">
        <v>29379</v>
      </c>
      <c r="H5734" t="s">
        <v>11048</v>
      </c>
      <c r="I5734" t="s">
        <v>14920</v>
      </c>
      <c r="J5734" t="s">
        <v>31159</v>
      </c>
      <c r="K5734" t="s">
        <v>38522</v>
      </c>
      <c r="M5734" t="s">
        <v>40848</v>
      </c>
      <c r="N5734" t="s">
        <v>42669</v>
      </c>
      <c r="O5734" t="s">
        <v>42670</v>
      </c>
      <c r="P5734">
        <v>0</v>
      </c>
      <c r="Q5734">
        <v>0</v>
      </c>
      <c r="R5734" t="s">
        <v>42677</v>
      </c>
      <c r="S5734" t="s">
        <v>42830</v>
      </c>
      <c r="T5734" t="s">
        <v>44489</v>
      </c>
      <c r="U5734" t="s">
        <v>49522</v>
      </c>
      <c r="W5734" t="s">
        <v>40848</v>
      </c>
      <c r="X5734" t="s">
        <v>42678</v>
      </c>
    </row>
    <row r="5735" spans="1:24">
      <c r="A5735">
        <f>HYPERLINK("https://www.philgeps.gov.ph/GEPSNONPILOT/Tender/SplashBidNoticeAbstractUI.aspx?menuIndex=3&amp;refID=7183967&amp;Result=3","7183967")</f>
        <v>0</v>
      </c>
      <c r="B5735" t="s">
        <v>1417</v>
      </c>
      <c r="C5735" t="s">
        <v>9015</v>
      </c>
      <c r="D5735" t="s">
        <v>17161</v>
      </c>
      <c r="E5735" t="s">
        <v>22210</v>
      </c>
      <c r="F5735" t="s">
        <v>29372</v>
      </c>
      <c r="G5735" t="s">
        <v>29380</v>
      </c>
      <c r="H5735" t="s">
        <v>11048</v>
      </c>
      <c r="I5735" t="s">
        <v>3670</v>
      </c>
      <c r="J5735" t="s">
        <v>33246</v>
      </c>
      <c r="K5735" t="s">
        <v>38510</v>
      </c>
      <c r="M5735" t="s">
        <v>40256</v>
      </c>
      <c r="N5735" t="s">
        <v>42669</v>
      </c>
      <c r="O5735" t="s">
        <v>42670</v>
      </c>
      <c r="P5735">
        <v>0</v>
      </c>
      <c r="Q5735">
        <v>0</v>
      </c>
      <c r="R5735" t="s">
        <v>42677</v>
      </c>
      <c r="S5735" t="s">
        <v>42830</v>
      </c>
      <c r="T5735" t="s">
        <v>44371</v>
      </c>
      <c r="U5735" t="s">
        <v>49523</v>
      </c>
      <c r="W5735" t="s">
        <v>40256</v>
      </c>
      <c r="X5735" t="s">
        <v>42678</v>
      </c>
    </row>
    <row r="5736" spans="1:24">
      <c r="A5736">
        <f>HYPERLINK("https://www.philgeps.gov.ph/GEPSNONPILOT/Tender/SplashBidNoticeAbstractUI.aspx?menuIndex=3&amp;refID=7183964&amp;Result=3","7183964")</f>
        <v>0</v>
      </c>
      <c r="B5736" t="s">
        <v>1985</v>
      </c>
      <c r="C5736" t="s">
        <v>9016</v>
      </c>
      <c r="D5736" t="s">
        <v>17160</v>
      </c>
      <c r="E5736" t="s">
        <v>22211</v>
      </c>
      <c r="F5736" t="s">
        <v>29372</v>
      </c>
      <c r="G5736" t="s">
        <v>29379</v>
      </c>
      <c r="H5736" t="s">
        <v>29389</v>
      </c>
      <c r="I5736" t="s">
        <v>10408</v>
      </c>
      <c r="J5736" t="s">
        <v>33247</v>
      </c>
      <c r="K5736" t="s">
        <v>38485</v>
      </c>
      <c r="M5736" t="s">
        <v>40872</v>
      </c>
      <c r="N5736" t="s">
        <v>42669</v>
      </c>
      <c r="O5736" t="s">
        <v>42670</v>
      </c>
      <c r="P5736">
        <v>0</v>
      </c>
      <c r="Q5736">
        <v>1</v>
      </c>
      <c r="R5736" t="s">
        <v>42677</v>
      </c>
      <c r="S5736" t="s">
        <v>42830</v>
      </c>
      <c r="T5736" t="s">
        <v>44425</v>
      </c>
      <c r="U5736" t="s">
        <v>49524</v>
      </c>
      <c r="W5736" t="s">
        <v>40872</v>
      </c>
      <c r="X5736" t="s">
        <v>42678</v>
      </c>
    </row>
    <row r="5737" spans="1:24">
      <c r="A5737">
        <f>HYPERLINK("https://www.philgeps.gov.ph/GEPSNONPILOT/Tender/SplashBidNoticeAbstractUI.aspx?menuIndex=3&amp;refID=7183974&amp;Result=3","7183974")</f>
        <v>0</v>
      </c>
      <c r="B5737" t="s">
        <v>1638</v>
      </c>
      <c r="C5737" t="s">
        <v>9017</v>
      </c>
      <c r="D5737" t="s">
        <v>17213</v>
      </c>
      <c r="E5737" t="s">
        <v>22212</v>
      </c>
      <c r="F5737" t="s">
        <v>29372</v>
      </c>
      <c r="G5737" t="s">
        <v>29383</v>
      </c>
      <c r="H5737" t="s">
        <v>11048</v>
      </c>
      <c r="I5737" t="s">
        <v>3629</v>
      </c>
      <c r="J5737" t="s">
        <v>29595</v>
      </c>
      <c r="K5737" t="s">
        <v>38490</v>
      </c>
      <c r="M5737" t="s">
        <v>40494</v>
      </c>
      <c r="N5737" t="s">
        <v>42669</v>
      </c>
      <c r="O5737" t="s">
        <v>42670</v>
      </c>
      <c r="P5737">
        <v>0</v>
      </c>
      <c r="Q5737">
        <v>1</v>
      </c>
      <c r="R5737" t="s">
        <v>42677</v>
      </c>
      <c r="S5737" t="s">
        <v>42830</v>
      </c>
      <c r="T5737" t="s">
        <v>44371</v>
      </c>
      <c r="U5737" t="s">
        <v>49525</v>
      </c>
      <c r="W5737" t="s">
        <v>58050</v>
      </c>
      <c r="X5737" t="s">
        <v>42678</v>
      </c>
    </row>
    <row r="5738" spans="1:24">
      <c r="A5738">
        <f>HYPERLINK("https://www.philgeps.gov.ph/GEPSNONPILOT/Tender/SplashBidNoticeAbstractUI.aspx?menuIndex=3&amp;refID=7183958&amp;Result=3","7183958")</f>
        <v>0</v>
      </c>
      <c r="B5738" t="s">
        <v>1986</v>
      </c>
      <c r="C5738" t="s">
        <v>9018</v>
      </c>
      <c r="D5738" t="s">
        <v>17211</v>
      </c>
      <c r="E5738" t="s">
        <v>22213</v>
      </c>
      <c r="F5738" t="s">
        <v>29372</v>
      </c>
      <c r="G5738" t="s">
        <v>29382</v>
      </c>
      <c r="H5738" t="s">
        <v>11048</v>
      </c>
      <c r="I5738" t="s">
        <v>4486</v>
      </c>
      <c r="J5738" t="s">
        <v>30277</v>
      </c>
      <c r="K5738" t="s">
        <v>38488</v>
      </c>
      <c r="M5738" t="s">
        <v>40873</v>
      </c>
      <c r="N5738" t="s">
        <v>42669</v>
      </c>
      <c r="O5738" t="s">
        <v>42670</v>
      </c>
      <c r="P5738">
        <v>0</v>
      </c>
      <c r="Q5738">
        <v>2</v>
      </c>
      <c r="R5738" t="s">
        <v>42677</v>
      </c>
      <c r="S5738" t="s">
        <v>42830</v>
      </c>
      <c r="T5738" t="s">
        <v>44592</v>
      </c>
      <c r="U5738" t="s">
        <v>49526</v>
      </c>
      <c r="W5738" t="s">
        <v>40873</v>
      </c>
      <c r="X5738" t="s">
        <v>42678</v>
      </c>
    </row>
    <row r="5739" spans="1:24">
      <c r="A5739">
        <f>HYPERLINK("https://www.philgeps.gov.ph/GEPSNONPILOT/Tender/SplashBidNoticeAbstractUI.aspx?menuIndex=3&amp;refID=7183888&amp;Result=3","7183888")</f>
        <v>0</v>
      </c>
      <c r="B5739" t="s">
        <v>1930</v>
      </c>
      <c r="C5739" t="s">
        <v>9019</v>
      </c>
      <c r="D5739" t="s">
        <v>17185</v>
      </c>
      <c r="E5739" t="s">
        <v>19111</v>
      </c>
      <c r="F5739" t="s">
        <v>29372</v>
      </c>
      <c r="G5739" t="s">
        <v>29380</v>
      </c>
      <c r="H5739" t="s">
        <v>11048</v>
      </c>
      <c r="I5739" t="s">
        <v>4709</v>
      </c>
      <c r="J5739" t="s">
        <v>33248</v>
      </c>
      <c r="K5739" t="s">
        <v>38490</v>
      </c>
      <c r="M5739" t="s">
        <v>40874</v>
      </c>
      <c r="N5739" t="s">
        <v>42669</v>
      </c>
      <c r="O5739" t="s">
        <v>42670</v>
      </c>
      <c r="P5739">
        <v>0</v>
      </c>
      <c r="Q5739">
        <v>2</v>
      </c>
      <c r="R5739" t="s">
        <v>42677</v>
      </c>
      <c r="S5739" t="s">
        <v>42830</v>
      </c>
      <c r="T5739" t="s">
        <v>44664</v>
      </c>
      <c r="U5739" t="s">
        <v>49527</v>
      </c>
      <c r="W5739" t="s">
        <v>40874</v>
      </c>
      <c r="X5739" t="s">
        <v>42678</v>
      </c>
    </row>
    <row r="5740" spans="1:24">
      <c r="A5740">
        <f>HYPERLINK("https://www.philgeps.gov.ph/GEPSNONPILOT/Tender/SplashBidNoticeAbstractUI.aspx?menuIndex=3&amp;refID=7183952&amp;Result=3","7183952")</f>
        <v>0</v>
      </c>
      <c r="B5740" t="s">
        <v>1638</v>
      </c>
      <c r="C5740" t="s">
        <v>9020</v>
      </c>
      <c r="D5740" t="s">
        <v>17213</v>
      </c>
      <c r="E5740" t="s">
        <v>22214</v>
      </c>
      <c r="F5740" t="s">
        <v>29372</v>
      </c>
      <c r="G5740" t="s">
        <v>29383</v>
      </c>
      <c r="H5740" t="s">
        <v>11048</v>
      </c>
      <c r="I5740" t="s">
        <v>5383</v>
      </c>
      <c r="J5740" t="s">
        <v>33249</v>
      </c>
      <c r="K5740" t="s">
        <v>38490</v>
      </c>
      <c r="M5740" t="s">
        <v>40494</v>
      </c>
      <c r="N5740" t="s">
        <v>42669</v>
      </c>
      <c r="O5740" t="s">
        <v>42670</v>
      </c>
      <c r="P5740">
        <v>0</v>
      </c>
      <c r="Q5740">
        <v>1</v>
      </c>
      <c r="R5740" t="s">
        <v>42677</v>
      </c>
      <c r="S5740" t="s">
        <v>42830</v>
      </c>
      <c r="T5740" t="s">
        <v>44371</v>
      </c>
      <c r="U5740" t="s">
        <v>49528</v>
      </c>
      <c r="W5740" t="s">
        <v>58050</v>
      </c>
      <c r="X5740" t="s">
        <v>42678</v>
      </c>
    </row>
    <row r="5741" spans="1:24">
      <c r="A5741">
        <f>HYPERLINK("https://www.philgeps.gov.ph/GEPSNONPILOT/Tender/SplashBidNoticeAbstractUI.aspx?menuIndex=3&amp;refID=7183949&amp;Result=3","7183949")</f>
        <v>0</v>
      </c>
      <c r="B5741" t="s">
        <v>1978</v>
      </c>
      <c r="C5741" t="s">
        <v>9021</v>
      </c>
      <c r="D5741" t="s">
        <v>17164</v>
      </c>
      <c r="E5741" t="s">
        <v>22215</v>
      </c>
      <c r="F5741" t="s">
        <v>29372</v>
      </c>
      <c r="G5741" t="s">
        <v>29379</v>
      </c>
      <c r="H5741" t="s">
        <v>29389</v>
      </c>
      <c r="I5741" t="s">
        <v>10408</v>
      </c>
      <c r="J5741" t="s">
        <v>33250</v>
      </c>
      <c r="K5741" t="s">
        <v>38528</v>
      </c>
      <c r="M5741" t="s">
        <v>40865</v>
      </c>
      <c r="N5741" t="s">
        <v>42669</v>
      </c>
      <c r="O5741" t="s">
        <v>42670</v>
      </c>
      <c r="P5741">
        <v>0</v>
      </c>
      <c r="Q5741">
        <v>0</v>
      </c>
      <c r="R5741" t="s">
        <v>42677</v>
      </c>
      <c r="S5741" t="s">
        <v>42830</v>
      </c>
      <c r="T5741" t="s">
        <v>44491</v>
      </c>
      <c r="U5741" t="s">
        <v>49529</v>
      </c>
      <c r="W5741" t="s">
        <v>40865</v>
      </c>
      <c r="X5741" t="s">
        <v>42678</v>
      </c>
    </row>
    <row r="5742" spans="1:24">
      <c r="A5742">
        <f>HYPERLINK("https://www.philgeps.gov.ph/GEPSNONPILOT/Tender/SplashBidNoticeAbstractUI.aspx?menuIndex=3&amp;refID=7183966&amp;Result=3","7183966")</f>
        <v>0</v>
      </c>
      <c r="B5742" t="s">
        <v>1987</v>
      </c>
      <c r="C5742" t="s">
        <v>9022</v>
      </c>
      <c r="D5742" t="s">
        <v>17177</v>
      </c>
      <c r="E5742" t="s">
        <v>22216</v>
      </c>
      <c r="F5742" t="s">
        <v>29373</v>
      </c>
      <c r="G5742" t="s">
        <v>29380</v>
      </c>
      <c r="H5742" t="s">
        <v>11048</v>
      </c>
      <c r="I5742" t="s">
        <v>4709</v>
      </c>
      <c r="J5742" t="s">
        <v>33251</v>
      </c>
      <c r="K5742" t="s">
        <v>38510</v>
      </c>
      <c r="M5742" t="s">
        <v>40875</v>
      </c>
      <c r="N5742" t="s">
        <v>42669</v>
      </c>
      <c r="O5742" t="s">
        <v>42670</v>
      </c>
      <c r="P5742">
        <v>0</v>
      </c>
      <c r="Q5742">
        <v>0</v>
      </c>
      <c r="R5742" t="s">
        <v>42677</v>
      </c>
      <c r="S5742" t="s">
        <v>42830</v>
      </c>
      <c r="T5742" t="s">
        <v>44539</v>
      </c>
      <c r="U5742" t="s">
        <v>49530</v>
      </c>
      <c r="V5742" t="s">
        <v>44974</v>
      </c>
      <c r="W5742" t="s">
        <v>40875</v>
      </c>
      <c r="X5742" t="s">
        <v>42678</v>
      </c>
    </row>
    <row r="5743" spans="1:24">
      <c r="A5743">
        <f>HYPERLINK("https://www.philgeps.gov.ph/GEPSNONPILOT/Tender/SplashBidNoticeAbstractUI.aspx?menuIndex=3&amp;refID=7183948&amp;Result=3","7183948")</f>
        <v>0</v>
      </c>
      <c r="B5743" t="s">
        <v>1975</v>
      </c>
      <c r="C5743" t="s">
        <v>9023</v>
      </c>
      <c r="D5743" t="s">
        <v>17195</v>
      </c>
      <c r="E5743" t="s">
        <v>22217</v>
      </c>
      <c r="F5743" t="s">
        <v>29372</v>
      </c>
      <c r="G5743" t="s">
        <v>29380</v>
      </c>
      <c r="H5743" t="s">
        <v>11048</v>
      </c>
      <c r="I5743" t="s">
        <v>29452</v>
      </c>
      <c r="J5743" t="s">
        <v>30046</v>
      </c>
      <c r="K5743" t="s">
        <v>38488</v>
      </c>
      <c r="M5743" t="s">
        <v>40862</v>
      </c>
      <c r="N5743" t="s">
        <v>42669</v>
      </c>
      <c r="O5743" t="s">
        <v>42670</v>
      </c>
      <c r="P5743">
        <v>0</v>
      </c>
      <c r="Q5743">
        <v>2</v>
      </c>
      <c r="R5743" t="s">
        <v>42677</v>
      </c>
      <c r="S5743" t="s">
        <v>42830</v>
      </c>
      <c r="T5743" t="s">
        <v>44368</v>
      </c>
      <c r="U5743" t="s">
        <v>49531</v>
      </c>
      <c r="W5743" t="s">
        <v>40862</v>
      </c>
      <c r="X5743" t="s">
        <v>42678</v>
      </c>
    </row>
    <row r="5744" spans="1:24">
      <c r="A5744">
        <f>HYPERLINK("https://www.philgeps.gov.ph/GEPSNONPILOT/Tender/SplashBidNoticeAbstractUI.aspx?menuIndex=3&amp;refID=7183884&amp;Result=3","7183884")</f>
        <v>0</v>
      </c>
      <c r="B5744" t="s">
        <v>1988</v>
      </c>
      <c r="C5744" t="s">
        <v>9024</v>
      </c>
      <c r="D5744" t="s">
        <v>17167</v>
      </c>
      <c r="E5744" t="s">
        <v>22218</v>
      </c>
      <c r="F5744" t="s">
        <v>29372</v>
      </c>
      <c r="G5744" t="s">
        <v>29381</v>
      </c>
      <c r="H5744" t="s">
        <v>11048</v>
      </c>
      <c r="I5744" t="s">
        <v>9469</v>
      </c>
      <c r="J5744" t="s">
        <v>33252</v>
      </c>
      <c r="K5744" t="s">
        <v>38488</v>
      </c>
      <c r="M5744" t="s">
        <v>40876</v>
      </c>
      <c r="N5744" t="s">
        <v>42669</v>
      </c>
      <c r="O5744" t="s">
        <v>42670</v>
      </c>
      <c r="P5744">
        <v>0</v>
      </c>
      <c r="Q5744">
        <v>0</v>
      </c>
      <c r="R5744" t="s">
        <v>42677</v>
      </c>
      <c r="S5744" t="s">
        <v>42830</v>
      </c>
      <c r="T5744" t="s">
        <v>44480</v>
      </c>
      <c r="U5744" t="s">
        <v>49532</v>
      </c>
      <c r="W5744" t="s">
        <v>40876</v>
      </c>
      <c r="X5744" t="s">
        <v>42678</v>
      </c>
    </row>
    <row r="5745" spans="1:24">
      <c r="A5745">
        <f>HYPERLINK("https://www.philgeps.gov.ph/GEPSNONPILOT/Tender/SplashBidNoticeAbstractUI.aspx?menuIndex=3&amp;refID=7183955&amp;Result=3","7183955")</f>
        <v>0</v>
      </c>
      <c r="B5745" t="s">
        <v>1981</v>
      </c>
      <c r="C5745" t="s">
        <v>9025</v>
      </c>
      <c r="D5745" t="s">
        <v>17170</v>
      </c>
      <c r="E5745" t="s">
        <v>22219</v>
      </c>
      <c r="F5745" t="s">
        <v>29372</v>
      </c>
      <c r="G5745" t="s">
        <v>29380</v>
      </c>
      <c r="H5745" t="s">
        <v>11048</v>
      </c>
      <c r="I5745" t="s">
        <v>4709</v>
      </c>
      <c r="J5745" t="s">
        <v>33253</v>
      </c>
      <c r="K5745" t="s">
        <v>38485</v>
      </c>
      <c r="M5745" t="s">
        <v>40868</v>
      </c>
      <c r="N5745" t="s">
        <v>42669</v>
      </c>
      <c r="O5745" t="s">
        <v>42670</v>
      </c>
      <c r="P5745">
        <v>0</v>
      </c>
      <c r="Q5745">
        <v>2</v>
      </c>
      <c r="R5745" t="s">
        <v>42677</v>
      </c>
      <c r="S5745" t="s">
        <v>42830</v>
      </c>
      <c r="T5745" t="s">
        <v>44415</v>
      </c>
      <c r="U5745" t="s">
        <v>49533</v>
      </c>
      <c r="W5745" t="s">
        <v>40868</v>
      </c>
      <c r="X5745" t="s">
        <v>42678</v>
      </c>
    </row>
    <row r="5746" spans="1:24">
      <c r="A5746">
        <f>HYPERLINK("https://www.philgeps.gov.ph/GEPSNONPILOT/Tender/SplashBidNoticeAbstractUI.aspx?menuIndex=3&amp;refID=7183850&amp;Result=3","7183850")</f>
        <v>0</v>
      </c>
      <c r="B5746" t="s">
        <v>1989</v>
      </c>
      <c r="C5746" t="s">
        <v>9026</v>
      </c>
      <c r="D5746" t="s">
        <v>17160</v>
      </c>
      <c r="E5746" t="s">
        <v>22220</v>
      </c>
      <c r="F5746" t="s">
        <v>29372</v>
      </c>
      <c r="G5746" t="s">
        <v>29380</v>
      </c>
      <c r="H5746" t="s">
        <v>11048</v>
      </c>
      <c r="I5746" t="s">
        <v>29407</v>
      </c>
      <c r="J5746" t="s">
        <v>31002</v>
      </c>
      <c r="K5746" t="s">
        <v>38489</v>
      </c>
      <c r="M5746" t="s">
        <v>40877</v>
      </c>
      <c r="N5746" t="s">
        <v>42669</v>
      </c>
      <c r="O5746" t="s">
        <v>42670</v>
      </c>
      <c r="P5746">
        <v>0</v>
      </c>
      <c r="Q5746">
        <v>4</v>
      </c>
      <c r="R5746" t="s">
        <v>42677</v>
      </c>
      <c r="S5746" t="s">
        <v>42830</v>
      </c>
      <c r="T5746" t="s">
        <v>44387</v>
      </c>
      <c r="U5746" t="s">
        <v>49534</v>
      </c>
      <c r="W5746" t="s">
        <v>40877</v>
      </c>
      <c r="X5746" t="s">
        <v>42678</v>
      </c>
    </row>
    <row r="5747" spans="1:24">
      <c r="A5747">
        <f>HYPERLINK("https://www.philgeps.gov.ph/GEPSNONPILOT/Tender/SplashBidNoticeAbstractUI.aspx?menuIndex=3&amp;refID=7183989&amp;Result=3","7183989")</f>
        <v>0</v>
      </c>
      <c r="B5747" t="s">
        <v>1751</v>
      </c>
      <c r="C5747" t="s">
        <v>9027</v>
      </c>
      <c r="D5747" t="s">
        <v>17165</v>
      </c>
      <c r="E5747" t="s">
        <v>22221</v>
      </c>
      <c r="F5747" t="s">
        <v>29372</v>
      </c>
      <c r="G5747" t="s">
        <v>29381</v>
      </c>
      <c r="H5747" t="s">
        <v>11048</v>
      </c>
      <c r="I5747" t="s">
        <v>29395</v>
      </c>
      <c r="J5747" t="s">
        <v>33254</v>
      </c>
      <c r="K5747" t="s">
        <v>38488</v>
      </c>
      <c r="M5747" t="s">
        <v>40616</v>
      </c>
      <c r="N5747" t="s">
        <v>42669</v>
      </c>
      <c r="O5747" t="s">
        <v>42670</v>
      </c>
      <c r="P5747">
        <v>0</v>
      </c>
      <c r="Q5747">
        <v>0</v>
      </c>
      <c r="R5747" t="s">
        <v>42677</v>
      </c>
      <c r="S5747" t="s">
        <v>42830</v>
      </c>
      <c r="T5747" t="s">
        <v>44481</v>
      </c>
      <c r="U5747" t="s">
        <v>49511</v>
      </c>
      <c r="W5747" t="s">
        <v>40616</v>
      </c>
      <c r="X5747" t="s">
        <v>42678</v>
      </c>
    </row>
    <row r="5748" spans="1:24">
      <c r="A5748">
        <f>HYPERLINK("https://www.philgeps.gov.ph/GEPSNONPILOT/Tender/SplashBidNoticeAbstractUI.aspx?menuIndex=3&amp;refID=7183852&amp;Result=3","7183852")</f>
        <v>0</v>
      </c>
      <c r="B5748" t="s">
        <v>1990</v>
      </c>
      <c r="C5748" t="s">
        <v>9028</v>
      </c>
      <c r="D5748" t="s">
        <v>17200</v>
      </c>
      <c r="E5748" t="s">
        <v>22222</v>
      </c>
      <c r="F5748" t="s">
        <v>29372</v>
      </c>
      <c r="G5748" t="s">
        <v>29380</v>
      </c>
      <c r="H5748" t="s">
        <v>11048</v>
      </c>
      <c r="I5748" t="s">
        <v>3839</v>
      </c>
      <c r="J5748" t="s">
        <v>29657</v>
      </c>
      <c r="K5748" t="s">
        <v>38510</v>
      </c>
      <c r="M5748" t="s">
        <v>40878</v>
      </c>
      <c r="N5748" t="s">
        <v>42669</v>
      </c>
      <c r="O5748" t="s">
        <v>42670</v>
      </c>
      <c r="P5748">
        <v>0</v>
      </c>
      <c r="Q5748">
        <v>0</v>
      </c>
      <c r="R5748" t="s">
        <v>42677</v>
      </c>
      <c r="S5748" t="s">
        <v>42830</v>
      </c>
      <c r="T5748" t="s">
        <v>44429</v>
      </c>
      <c r="U5748" t="s">
        <v>49535</v>
      </c>
      <c r="W5748" t="s">
        <v>40878</v>
      </c>
      <c r="X5748" t="s">
        <v>42678</v>
      </c>
    </row>
    <row r="5749" spans="1:24">
      <c r="A5749">
        <f>HYPERLINK("https://www.philgeps.gov.ph/GEPSNONPILOT/Tender/SplashBidNoticeAbstractUI.aspx?menuIndex=3&amp;refID=7183851&amp;Result=3","7183851")</f>
        <v>0</v>
      </c>
      <c r="B5749" t="s">
        <v>76</v>
      </c>
      <c r="C5749" t="s">
        <v>9029</v>
      </c>
      <c r="D5749" t="s">
        <v>17168</v>
      </c>
      <c r="E5749" t="s">
        <v>22223</v>
      </c>
      <c r="F5749" t="s">
        <v>29372</v>
      </c>
      <c r="G5749" t="s">
        <v>29380</v>
      </c>
      <c r="H5749" t="s">
        <v>29389</v>
      </c>
      <c r="I5749" t="s">
        <v>10408</v>
      </c>
      <c r="J5749" t="s">
        <v>33255</v>
      </c>
      <c r="K5749" t="s">
        <v>38496</v>
      </c>
      <c r="M5749" t="s">
        <v>40879</v>
      </c>
      <c r="N5749" t="s">
        <v>42669</v>
      </c>
      <c r="O5749" t="s">
        <v>42670</v>
      </c>
      <c r="Q5749">
        <v>2</v>
      </c>
      <c r="R5749" t="s">
        <v>42677</v>
      </c>
      <c r="S5749" t="s">
        <v>42846</v>
      </c>
      <c r="T5749" t="s">
        <v>44413</v>
      </c>
      <c r="U5749" t="s">
        <v>49536</v>
      </c>
      <c r="W5749" t="s">
        <v>40879</v>
      </c>
      <c r="X5749" t="s">
        <v>42678</v>
      </c>
    </row>
    <row r="5750" spans="1:24">
      <c r="A5750">
        <f>HYPERLINK("https://www.philgeps.gov.ph/GEPSNONPILOT/Tender/SplashBidNoticeAbstractUI.aspx?menuIndex=3&amp;refID=7184038&amp;Result=3","7184038")</f>
        <v>0</v>
      </c>
      <c r="B5750" t="s">
        <v>1621</v>
      </c>
      <c r="C5750" t="s">
        <v>9030</v>
      </c>
      <c r="D5750" t="s">
        <v>17161</v>
      </c>
      <c r="E5750" t="s">
        <v>22224</v>
      </c>
      <c r="F5750" t="s">
        <v>29372</v>
      </c>
      <c r="G5750" t="s">
        <v>29380</v>
      </c>
      <c r="H5750" t="s">
        <v>29389</v>
      </c>
      <c r="I5750" t="s">
        <v>10408</v>
      </c>
      <c r="J5750" t="s">
        <v>33256</v>
      </c>
      <c r="K5750" t="s">
        <v>38531</v>
      </c>
      <c r="M5750" t="s">
        <v>40475</v>
      </c>
      <c r="N5750" t="s">
        <v>42669</v>
      </c>
      <c r="O5750" t="s">
        <v>42670</v>
      </c>
      <c r="P5750">
        <v>0</v>
      </c>
      <c r="Q5750">
        <v>1</v>
      </c>
      <c r="R5750" t="s">
        <v>42677</v>
      </c>
      <c r="S5750" t="s">
        <v>42830</v>
      </c>
      <c r="T5750" t="s">
        <v>44542</v>
      </c>
      <c r="U5750" t="s">
        <v>49537</v>
      </c>
      <c r="W5750" t="s">
        <v>40475</v>
      </c>
      <c r="X5750" t="s">
        <v>42678</v>
      </c>
    </row>
    <row r="5751" spans="1:24">
      <c r="A5751">
        <f>HYPERLINK("https://www.philgeps.gov.ph/GEPSNONPILOT/Tender/SplashBidNoticeAbstractUI.aspx?menuIndex=3&amp;refID=7184035&amp;Result=3","7184035")</f>
        <v>0</v>
      </c>
      <c r="B5751" t="s">
        <v>544</v>
      </c>
      <c r="C5751" t="s">
        <v>9031</v>
      </c>
      <c r="D5751" t="s">
        <v>17153</v>
      </c>
      <c r="E5751" t="s">
        <v>22225</v>
      </c>
      <c r="F5751" t="s">
        <v>29372</v>
      </c>
      <c r="G5751" t="s">
        <v>29379</v>
      </c>
      <c r="H5751" t="s">
        <v>11048</v>
      </c>
      <c r="I5751" t="s">
        <v>5383</v>
      </c>
      <c r="J5751" t="s">
        <v>33257</v>
      </c>
      <c r="K5751" t="s">
        <v>38491</v>
      </c>
      <c r="M5751" t="s">
        <v>40880</v>
      </c>
      <c r="N5751" t="s">
        <v>42669</v>
      </c>
      <c r="O5751" t="s">
        <v>42670</v>
      </c>
      <c r="P5751">
        <v>0</v>
      </c>
      <c r="Q5751">
        <v>1</v>
      </c>
      <c r="R5751" t="s">
        <v>42677</v>
      </c>
      <c r="S5751" t="s">
        <v>42830</v>
      </c>
      <c r="T5751" t="s">
        <v>44512</v>
      </c>
      <c r="U5751" t="s">
        <v>49538</v>
      </c>
      <c r="W5751" t="s">
        <v>40880</v>
      </c>
      <c r="X5751" t="s">
        <v>42678</v>
      </c>
    </row>
    <row r="5752" spans="1:24">
      <c r="A5752">
        <f>HYPERLINK("https://www.philgeps.gov.ph/GEPSNONPILOT/Tender/SplashBidNoticeAbstractUI.aspx?menuIndex=3&amp;refID=7183945&amp;Result=3","7183945")</f>
        <v>0</v>
      </c>
      <c r="B5752" t="s">
        <v>422</v>
      </c>
      <c r="C5752" t="s">
        <v>9032</v>
      </c>
      <c r="E5752" t="s">
        <v>22226</v>
      </c>
      <c r="F5752" t="s">
        <v>29372</v>
      </c>
      <c r="G5752" t="s">
        <v>29383</v>
      </c>
      <c r="H5752" t="s">
        <v>11048</v>
      </c>
      <c r="I5752" t="s">
        <v>29407</v>
      </c>
      <c r="J5752" t="s">
        <v>31600</v>
      </c>
      <c r="K5752" t="s">
        <v>38490</v>
      </c>
      <c r="M5752" t="s">
        <v>39186</v>
      </c>
      <c r="N5752" t="s">
        <v>42669</v>
      </c>
      <c r="O5752" t="s">
        <v>42670</v>
      </c>
      <c r="P5752">
        <v>0</v>
      </c>
      <c r="Q5752">
        <v>8</v>
      </c>
      <c r="R5752" t="s">
        <v>42677</v>
      </c>
      <c r="S5752" t="s">
        <v>42830</v>
      </c>
      <c r="T5752" t="s">
        <v>44488</v>
      </c>
      <c r="U5752" t="s">
        <v>49539</v>
      </c>
      <c r="W5752" t="s">
        <v>39186</v>
      </c>
      <c r="X5752" t="s">
        <v>42678</v>
      </c>
    </row>
    <row r="5753" spans="1:24">
      <c r="A5753">
        <f>HYPERLINK("https://www.philgeps.gov.ph/GEPSNONPILOT/Tender/SplashBidNoticeAbstractUI.aspx?menuIndex=3&amp;refID=7184034&amp;Result=3","7184034")</f>
        <v>0</v>
      </c>
      <c r="B5753" t="s">
        <v>1991</v>
      </c>
      <c r="C5753" t="s">
        <v>9033</v>
      </c>
      <c r="D5753" t="s">
        <v>17143</v>
      </c>
      <c r="E5753" t="s">
        <v>22227</v>
      </c>
      <c r="F5753" t="s">
        <v>29373</v>
      </c>
      <c r="G5753" t="s">
        <v>29379</v>
      </c>
      <c r="H5753" t="s">
        <v>11048</v>
      </c>
      <c r="I5753" t="s">
        <v>3839</v>
      </c>
      <c r="J5753" t="s">
        <v>33258</v>
      </c>
      <c r="K5753" t="s">
        <v>38489</v>
      </c>
      <c r="M5753" t="s">
        <v>40881</v>
      </c>
      <c r="N5753" t="s">
        <v>42669</v>
      </c>
      <c r="O5753" t="s">
        <v>42670</v>
      </c>
      <c r="P5753">
        <v>0</v>
      </c>
      <c r="Q5753">
        <v>0</v>
      </c>
      <c r="R5753" t="s">
        <v>42677</v>
      </c>
      <c r="S5753" t="s">
        <v>42830</v>
      </c>
      <c r="T5753" t="s">
        <v>44469</v>
      </c>
      <c r="U5753" t="s">
        <v>49540</v>
      </c>
      <c r="V5753" t="s">
        <v>56997</v>
      </c>
      <c r="W5753" t="s">
        <v>40881</v>
      </c>
      <c r="X5753" t="s">
        <v>42678</v>
      </c>
    </row>
    <row r="5754" spans="1:24">
      <c r="A5754">
        <f>HYPERLINK("https://www.philgeps.gov.ph/GEPSNONPILOT/Tender/SplashBidNoticeAbstractUI.aspx?menuIndex=3&amp;refID=7183913&amp;Result=3","7183913")</f>
        <v>0</v>
      </c>
      <c r="B5754" t="s">
        <v>614</v>
      </c>
      <c r="C5754" t="s">
        <v>9034</v>
      </c>
      <c r="D5754" t="s">
        <v>17202</v>
      </c>
      <c r="E5754" t="s">
        <v>22228</v>
      </c>
      <c r="F5754" t="s">
        <v>29372</v>
      </c>
      <c r="G5754" t="s">
        <v>29380</v>
      </c>
      <c r="H5754" t="s">
        <v>11048</v>
      </c>
      <c r="I5754" t="s">
        <v>3839</v>
      </c>
      <c r="J5754" t="s">
        <v>33259</v>
      </c>
      <c r="K5754" t="s">
        <v>38487</v>
      </c>
      <c r="M5754" t="s">
        <v>39385</v>
      </c>
      <c r="N5754" t="s">
        <v>42669</v>
      </c>
      <c r="O5754" t="s">
        <v>42670</v>
      </c>
      <c r="P5754">
        <v>0</v>
      </c>
      <c r="Q5754">
        <v>5</v>
      </c>
      <c r="R5754" t="s">
        <v>42677</v>
      </c>
      <c r="S5754" t="s">
        <v>42830</v>
      </c>
      <c r="T5754" t="s">
        <v>44401</v>
      </c>
      <c r="U5754" t="s">
        <v>49541</v>
      </c>
      <c r="W5754" t="s">
        <v>39385</v>
      </c>
      <c r="X5754" t="s">
        <v>42678</v>
      </c>
    </row>
    <row r="5755" spans="1:24">
      <c r="A5755">
        <f>HYPERLINK("https://www.philgeps.gov.ph/GEPSNONPILOT/Tender/SplashBidNoticeAbstractUI.aspx?menuIndex=3&amp;refID=7184028&amp;Result=3","7184028")</f>
        <v>0</v>
      </c>
      <c r="B5755" t="s">
        <v>1186</v>
      </c>
      <c r="C5755" t="s">
        <v>9035</v>
      </c>
      <c r="D5755" t="s">
        <v>17175</v>
      </c>
      <c r="E5755" t="s">
        <v>22229</v>
      </c>
      <c r="F5755" t="s">
        <v>29372</v>
      </c>
      <c r="G5755" t="s">
        <v>29380</v>
      </c>
      <c r="H5755" t="s">
        <v>11048</v>
      </c>
      <c r="I5755" t="s">
        <v>4709</v>
      </c>
      <c r="J5755" t="s">
        <v>33260</v>
      </c>
      <c r="K5755" t="s">
        <v>38490</v>
      </c>
      <c r="M5755" t="s">
        <v>40002</v>
      </c>
      <c r="N5755" t="s">
        <v>42669</v>
      </c>
      <c r="O5755" t="s">
        <v>42670</v>
      </c>
      <c r="P5755">
        <v>0</v>
      </c>
      <c r="Q5755">
        <v>0</v>
      </c>
      <c r="R5755" t="s">
        <v>42677</v>
      </c>
      <c r="S5755" t="s">
        <v>42830</v>
      </c>
      <c r="T5755" t="s">
        <v>44399</v>
      </c>
      <c r="U5755" t="s">
        <v>49542</v>
      </c>
      <c r="W5755" t="s">
        <v>40002</v>
      </c>
      <c r="X5755" t="s">
        <v>42678</v>
      </c>
    </row>
    <row r="5756" spans="1:24">
      <c r="A5756">
        <f>HYPERLINK("https://www.philgeps.gov.ph/GEPSNONPILOT/Tender/SplashBidNoticeAbstractUI.aspx?menuIndex=3&amp;refID=7184023&amp;Result=3","7184023")</f>
        <v>0</v>
      </c>
      <c r="B5756" t="s">
        <v>1992</v>
      </c>
      <c r="C5756" t="s">
        <v>9036</v>
      </c>
      <c r="D5756" t="s">
        <v>17178</v>
      </c>
      <c r="E5756" t="s">
        <v>22230</v>
      </c>
      <c r="F5756" t="s">
        <v>29372</v>
      </c>
      <c r="G5756" t="s">
        <v>29379</v>
      </c>
      <c r="H5756" t="s">
        <v>11048</v>
      </c>
      <c r="I5756" t="s">
        <v>3839</v>
      </c>
      <c r="J5756" t="s">
        <v>30175</v>
      </c>
      <c r="K5756" t="s">
        <v>38491</v>
      </c>
      <c r="M5756" t="s">
        <v>40882</v>
      </c>
      <c r="N5756" t="s">
        <v>42669</v>
      </c>
      <c r="O5756" t="s">
        <v>42670</v>
      </c>
      <c r="P5756">
        <v>0</v>
      </c>
      <c r="Q5756">
        <v>0</v>
      </c>
      <c r="R5756" t="s">
        <v>42677</v>
      </c>
      <c r="S5756" t="s">
        <v>42830</v>
      </c>
      <c r="T5756" t="s">
        <v>44425</v>
      </c>
      <c r="U5756" t="s">
        <v>49543</v>
      </c>
      <c r="W5756" t="s">
        <v>40882</v>
      </c>
      <c r="X5756" t="s">
        <v>42678</v>
      </c>
    </row>
    <row r="5757" spans="1:24">
      <c r="A5757">
        <f>HYPERLINK("https://www.philgeps.gov.ph/GEPSNONPILOT/Tender/SplashBidNoticeAbstractUI.aspx?menuIndex=3&amp;refID=7184013&amp;Result=3","7184013")</f>
        <v>0</v>
      </c>
      <c r="B5757" t="s">
        <v>48</v>
      </c>
      <c r="C5757" t="s">
        <v>9037</v>
      </c>
      <c r="D5757" t="s">
        <v>17158</v>
      </c>
      <c r="E5757" t="s">
        <v>22231</v>
      </c>
      <c r="F5757" t="s">
        <v>29372</v>
      </c>
      <c r="G5757" t="s">
        <v>29381</v>
      </c>
      <c r="H5757" t="s">
        <v>11048</v>
      </c>
      <c r="I5757" t="s">
        <v>3670</v>
      </c>
      <c r="J5757" t="s">
        <v>32399</v>
      </c>
      <c r="K5757" t="s">
        <v>38490</v>
      </c>
      <c r="M5757" t="s">
        <v>38801</v>
      </c>
      <c r="N5757" t="s">
        <v>42669</v>
      </c>
      <c r="O5757" t="s">
        <v>42670</v>
      </c>
      <c r="P5757">
        <v>0</v>
      </c>
      <c r="Q5757">
        <v>0</v>
      </c>
      <c r="R5757" t="s">
        <v>42677</v>
      </c>
      <c r="S5757" t="s">
        <v>42830</v>
      </c>
      <c r="T5757" t="s">
        <v>44371</v>
      </c>
      <c r="U5757" t="s">
        <v>49544</v>
      </c>
      <c r="W5757" t="s">
        <v>38801</v>
      </c>
      <c r="X5757" t="s">
        <v>42678</v>
      </c>
    </row>
    <row r="5758" spans="1:24">
      <c r="A5758">
        <f>HYPERLINK("https://www.philgeps.gov.ph/GEPSNONPILOT/Tender/SplashBidNoticeAbstractUI.aspx?menuIndex=3&amp;refID=7184037&amp;Result=3","7184037")</f>
        <v>0</v>
      </c>
      <c r="B5758" t="s">
        <v>1992</v>
      </c>
      <c r="C5758" t="s">
        <v>9038</v>
      </c>
      <c r="D5758" t="s">
        <v>17178</v>
      </c>
      <c r="E5758" t="s">
        <v>22232</v>
      </c>
      <c r="F5758" t="s">
        <v>29372</v>
      </c>
      <c r="G5758" t="s">
        <v>29379</v>
      </c>
      <c r="H5758" t="s">
        <v>11048</v>
      </c>
      <c r="I5758" t="s">
        <v>3670</v>
      </c>
      <c r="J5758" t="s">
        <v>29708</v>
      </c>
      <c r="K5758" t="s">
        <v>38491</v>
      </c>
      <c r="M5758" t="s">
        <v>40882</v>
      </c>
      <c r="N5758" t="s">
        <v>42669</v>
      </c>
      <c r="O5758" t="s">
        <v>42670</v>
      </c>
      <c r="P5758">
        <v>0</v>
      </c>
      <c r="Q5758">
        <v>0</v>
      </c>
      <c r="R5758" t="s">
        <v>42677</v>
      </c>
      <c r="S5758" t="s">
        <v>42830</v>
      </c>
      <c r="T5758" t="s">
        <v>44425</v>
      </c>
      <c r="U5758" t="s">
        <v>49543</v>
      </c>
      <c r="W5758" t="s">
        <v>40882</v>
      </c>
      <c r="X5758" t="s">
        <v>42678</v>
      </c>
    </row>
    <row r="5759" spans="1:24">
      <c r="A5759">
        <f>HYPERLINK("https://www.philgeps.gov.ph/GEPSNONPILOT/Tender/SplashBidNoticeAbstractUI.aspx?menuIndex=3&amp;refID=7184011&amp;Result=3","7184011")</f>
        <v>0</v>
      </c>
      <c r="B5759" t="s">
        <v>1446</v>
      </c>
      <c r="C5759" t="s">
        <v>9039</v>
      </c>
      <c r="D5759" t="s">
        <v>17204</v>
      </c>
      <c r="E5759" t="s">
        <v>22233</v>
      </c>
      <c r="F5759" t="s">
        <v>29372</v>
      </c>
      <c r="G5759" t="s">
        <v>29379</v>
      </c>
      <c r="H5759" t="s">
        <v>11048</v>
      </c>
      <c r="I5759" t="s">
        <v>4709</v>
      </c>
      <c r="J5759" t="s">
        <v>29555</v>
      </c>
      <c r="K5759" t="s">
        <v>38485</v>
      </c>
      <c r="M5759" t="s">
        <v>40287</v>
      </c>
      <c r="N5759" t="s">
        <v>42669</v>
      </c>
      <c r="O5759" t="s">
        <v>42670</v>
      </c>
      <c r="P5759">
        <v>0</v>
      </c>
      <c r="Q5759">
        <v>0</v>
      </c>
      <c r="R5759" t="s">
        <v>42677</v>
      </c>
      <c r="S5759" t="s">
        <v>42830</v>
      </c>
      <c r="T5759" t="s">
        <v>44454</v>
      </c>
      <c r="U5759" t="s">
        <v>49545</v>
      </c>
      <c r="W5759" t="s">
        <v>40287</v>
      </c>
      <c r="X5759" t="s">
        <v>42678</v>
      </c>
    </row>
    <row r="5760" spans="1:24">
      <c r="A5760">
        <f>HYPERLINK("https://www.philgeps.gov.ph/GEPSNONPILOT/Tender/SplashBidNoticeAbstractUI.aspx?menuIndex=3&amp;refID=7184027&amp;Result=3","7184027")</f>
        <v>0</v>
      </c>
      <c r="B5760" t="s">
        <v>899</v>
      </c>
      <c r="C5760" t="s">
        <v>9040</v>
      </c>
      <c r="D5760" t="s">
        <v>17213</v>
      </c>
      <c r="E5760" t="s">
        <v>22234</v>
      </c>
      <c r="F5760" t="s">
        <v>29372</v>
      </c>
      <c r="G5760" t="s">
        <v>29379</v>
      </c>
      <c r="H5760" t="s">
        <v>11048</v>
      </c>
      <c r="I5760" t="s">
        <v>29393</v>
      </c>
      <c r="J5760" t="s">
        <v>29561</v>
      </c>
      <c r="K5760" t="s">
        <v>38488</v>
      </c>
      <c r="M5760" t="s">
        <v>39692</v>
      </c>
      <c r="N5760" t="s">
        <v>42669</v>
      </c>
      <c r="O5760" t="s">
        <v>42670</v>
      </c>
      <c r="P5760">
        <v>0</v>
      </c>
      <c r="Q5760">
        <v>0</v>
      </c>
      <c r="R5760" t="s">
        <v>42677</v>
      </c>
      <c r="S5760" t="s">
        <v>42830</v>
      </c>
      <c r="T5760" t="s">
        <v>44481</v>
      </c>
      <c r="U5760" t="s">
        <v>49546</v>
      </c>
      <c r="W5760" t="s">
        <v>39692</v>
      </c>
      <c r="X5760" t="s">
        <v>42678</v>
      </c>
    </row>
    <row r="5761" spans="1:24">
      <c r="A5761">
        <f>HYPERLINK("https://www.philgeps.gov.ph/GEPSNONPILOT/Tender/SplashBidNoticeAbstractUI.aspx?menuIndex=3&amp;refID=7183944&amp;Result=3","7183944")</f>
        <v>0</v>
      </c>
      <c r="B5761" t="s">
        <v>1993</v>
      </c>
      <c r="C5761" t="s">
        <v>9041</v>
      </c>
      <c r="D5761" t="s">
        <v>17177</v>
      </c>
      <c r="E5761" t="s">
        <v>22235</v>
      </c>
      <c r="F5761" t="s">
        <v>29372</v>
      </c>
      <c r="G5761" t="s">
        <v>29380</v>
      </c>
      <c r="H5761" t="s">
        <v>11048</v>
      </c>
      <c r="I5761" t="s">
        <v>4709</v>
      </c>
      <c r="J5761" t="s">
        <v>33261</v>
      </c>
      <c r="K5761" t="s">
        <v>38485</v>
      </c>
      <c r="M5761" t="s">
        <v>40883</v>
      </c>
      <c r="N5761" t="s">
        <v>42669</v>
      </c>
      <c r="O5761" t="s">
        <v>42670</v>
      </c>
      <c r="P5761">
        <v>0</v>
      </c>
      <c r="Q5761">
        <v>0</v>
      </c>
      <c r="R5761" t="s">
        <v>42677</v>
      </c>
      <c r="S5761" t="s">
        <v>42830</v>
      </c>
      <c r="T5761" t="s">
        <v>44684</v>
      </c>
      <c r="U5761" t="s">
        <v>49547</v>
      </c>
      <c r="W5761" t="s">
        <v>40883</v>
      </c>
      <c r="X5761" t="s">
        <v>42678</v>
      </c>
    </row>
    <row r="5762" spans="1:24">
      <c r="A5762">
        <f>HYPERLINK("https://www.philgeps.gov.ph/GEPSNONPILOT/Tender/SplashBidNoticeAbstractUI.aspx?menuIndex=3&amp;refID=7184007&amp;Result=3","7184007")</f>
        <v>0</v>
      </c>
      <c r="B5762" t="s">
        <v>798</v>
      </c>
      <c r="C5762" t="s">
        <v>9042</v>
      </c>
      <c r="D5762" t="s">
        <v>17188</v>
      </c>
      <c r="E5762" t="s">
        <v>22236</v>
      </c>
      <c r="F5762" t="s">
        <v>29372</v>
      </c>
      <c r="G5762" t="s">
        <v>29383</v>
      </c>
      <c r="H5762" t="s">
        <v>11048</v>
      </c>
      <c r="I5762" t="s">
        <v>29395</v>
      </c>
      <c r="J5762" t="s">
        <v>33262</v>
      </c>
      <c r="K5762" t="s">
        <v>38490</v>
      </c>
      <c r="M5762" t="s">
        <v>39582</v>
      </c>
      <c r="N5762" t="s">
        <v>42669</v>
      </c>
      <c r="O5762" t="s">
        <v>42670</v>
      </c>
      <c r="P5762">
        <v>0</v>
      </c>
      <c r="Q5762">
        <v>0</v>
      </c>
      <c r="R5762" t="s">
        <v>42677</v>
      </c>
      <c r="S5762" t="s">
        <v>42830</v>
      </c>
      <c r="T5762" t="s">
        <v>44625</v>
      </c>
      <c r="U5762" t="s">
        <v>49548</v>
      </c>
      <c r="W5762" t="s">
        <v>39582</v>
      </c>
      <c r="X5762" t="s">
        <v>42678</v>
      </c>
    </row>
    <row r="5763" spans="1:24">
      <c r="A5763">
        <f>HYPERLINK("https://www.philgeps.gov.ph/GEPSNONPILOT/Tender/SplashBidNoticeAbstractUI.aspx?menuIndex=3&amp;refID=7184004&amp;Result=3","7184004")</f>
        <v>0</v>
      </c>
      <c r="B5763" t="s">
        <v>1994</v>
      </c>
      <c r="C5763" t="s">
        <v>8185</v>
      </c>
      <c r="E5763" t="s">
        <v>18090</v>
      </c>
      <c r="F5763" t="s">
        <v>29372</v>
      </c>
      <c r="G5763" t="s">
        <v>29380</v>
      </c>
      <c r="H5763" t="s">
        <v>11048</v>
      </c>
      <c r="I5763" t="s">
        <v>4709</v>
      </c>
      <c r="J5763" t="s">
        <v>33263</v>
      </c>
      <c r="K5763" t="s">
        <v>38490</v>
      </c>
      <c r="M5763" t="s">
        <v>40884</v>
      </c>
      <c r="N5763" t="s">
        <v>42669</v>
      </c>
      <c r="O5763" t="s">
        <v>42670</v>
      </c>
      <c r="P5763">
        <v>0</v>
      </c>
      <c r="Q5763">
        <v>0</v>
      </c>
      <c r="R5763" t="s">
        <v>42677</v>
      </c>
      <c r="S5763" t="s">
        <v>42830</v>
      </c>
      <c r="T5763" t="s">
        <v>44401</v>
      </c>
      <c r="U5763" t="s">
        <v>48785</v>
      </c>
      <c r="W5763" t="s">
        <v>40884</v>
      </c>
      <c r="X5763" t="s">
        <v>42678</v>
      </c>
    </row>
    <row r="5764" spans="1:24">
      <c r="A5764">
        <f>HYPERLINK("https://www.philgeps.gov.ph/GEPSNONPILOT/Tender/SplashBidNoticeAbstractUI.aspx?menuIndex=3&amp;refID=7184016&amp;Result=3","7184016")</f>
        <v>0</v>
      </c>
      <c r="B5764" t="s">
        <v>1964</v>
      </c>
      <c r="C5764" t="s">
        <v>9043</v>
      </c>
      <c r="D5764" t="s">
        <v>17168</v>
      </c>
      <c r="E5764" t="s">
        <v>22237</v>
      </c>
      <c r="F5764" t="s">
        <v>29372</v>
      </c>
      <c r="G5764" t="s">
        <v>29379</v>
      </c>
      <c r="H5764" t="s">
        <v>11048</v>
      </c>
      <c r="I5764" t="s">
        <v>5383</v>
      </c>
      <c r="J5764" t="s">
        <v>33264</v>
      </c>
      <c r="K5764" t="s">
        <v>38488</v>
      </c>
      <c r="M5764" t="s">
        <v>40849</v>
      </c>
      <c r="N5764" t="s">
        <v>42669</v>
      </c>
      <c r="O5764" t="s">
        <v>42670</v>
      </c>
      <c r="P5764">
        <v>0</v>
      </c>
      <c r="Q5764">
        <v>4</v>
      </c>
      <c r="R5764" t="s">
        <v>42677</v>
      </c>
      <c r="S5764" t="s">
        <v>42830</v>
      </c>
      <c r="T5764" t="s">
        <v>44548</v>
      </c>
      <c r="U5764" t="s">
        <v>49549</v>
      </c>
      <c r="W5764" t="s">
        <v>40849</v>
      </c>
      <c r="X5764" t="s">
        <v>42678</v>
      </c>
    </row>
    <row r="5765" spans="1:24">
      <c r="A5765">
        <f>HYPERLINK("https://www.philgeps.gov.ph/GEPSNONPILOT/Tender/SplashBidNoticeAbstractUI.aspx?menuIndex=3&amp;refID=7184065&amp;Result=3","7184065")</f>
        <v>0</v>
      </c>
      <c r="B5765" t="s">
        <v>1995</v>
      </c>
      <c r="C5765" t="s">
        <v>9044</v>
      </c>
      <c r="D5765" t="s">
        <v>17188</v>
      </c>
      <c r="E5765" t="s">
        <v>22238</v>
      </c>
      <c r="F5765" t="s">
        <v>29372</v>
      </c>
      <c r="G5765" t="s">
        <v>29383</v>
      </c>
      <c r="H5765" t="s">
        <v>11048</v>
      </c>
      <c r="I5765" t="s">
        <v>4486</v>
      </c>
      <c r="J5765" t="s">
        <v>30451</v>
      </c>
      <c r="K5765" t="s">
        <v>38485</v>
      </c>
      <c r="M5765" t="s">
        <v>40885</v>
      </c>
      <c r="N5765" t="s">
        <v>42669</v>
      </c>
      <c r="O5765" t="s">
        <v>42670</v>
      </c>
      <c r="P5765">
        <v>0</v>
      </c>
      <c r="Q5765">
        <v>7</v>
      </c>
      <c r="R5765" t="s">
        <v>42677</v>
      </c>
      <c r="S5765" t="s">
        <v>42830</v>
      </c>
      <c r="T5765" t="s">
        <v>44548</v>
      </c>
      <c r="U5765" t="s">
        <v>48075</v>
      </c>
      <c r="W5765" t="s">
        <v>40885</v>
      </c>
      <c r="X5765" t="s">
        <v>42678</v>
      </c>
    </row>
    <row r="5766" spans="1:24">
      <c r="A5766">
        <f>HYPERLINK("https://www.philgeps.gov.ph/GEPSNONPILOT/Tender/SplashBidNoticeAbstractUI.aspx?menuIndex=3&amp;refID=7184008&amp;Result=3","7184008")</f>
        <v>0</v>
      </c>
      <c r="B5766" t="s">
        <v>1996</v>
      </c>
      <c r="C5766" t="s">
        <v>9045</v>
      </c>
      <c r="D5766" t="s">
        <v>17164</v>
      </c>
      <c r="E5766" t="s">
        <v>22239</v>
      </c>
      <c r="F5766" t="s">
        <v>29372</v>
      </c>
      <c r="G5766" t="s">
        <v>29379</v>
      </c>
      <c r="H5766" t="s">
        <v>11048</v>
      </c>
      <c r="I5766" t="s">
        <v>3839</v>
      </c>
      <c r="J5766" t="s">
        <v>30262</v>
      </c>
      <c r="K5766" t="s">
        <v>38488</v>
      </c>
      <c r="M5766" t="s">
        <v>40886</v>
      </c>
      <c r="N5766" t="s">
        <v>42669</v>
      </c>
      <c r="O5766" t="s">
        <v>42670</v>
      </c>
      <c r="P5766">
        <v>0</v>
      </c>
      <c r="Q5766">
        <v>2</v>
      </c>
      <c r="R5766" t="s">
        <v>42677</v>
      </c>
      <c r="S5766" t="s">
        <v>42830</v>
      </c>
      <c r="T5766" t="s">
        <v>44371</v>
      </c>
      <c r="U5766" t="s">
        <v>49550</v>
      </c>
      <c r="W5766" t="s">
        <v>41579</v>
      </c>
      <c r="X5766" t="s">
        <v>42678</v>
      </c>
    </row>
    <row r="5767" spans="1:24">
      <c r="A5767">
        <f>HYPERLINK("https://www.philgeps.gov.ph/GEPSNONPILOT/Tender/SplashBidNoticeAbstractUI.aspx?menuIndex=3&amp;refID=7184081&amp;Result=3","7184081")</f>
        <v>0</v>
      </c>
      <c r="B5767" t="s">
        <v>1997</v>
      </c>
      <c r="C5767" t="s">
        <v>9046</v>
      </c>
      <c r="D5767" t="s">
        <v>17168</v>
      </c>
      <c r="E5767" t="s">
        <v>22240</v>
      </c>
      <c r="F5767" t="s">
        <v>29372</v>
      </c>
      <c r="G5767" t="s">
        <v>29380</v>
      </c>
      <c r="H5767" t="s">
        <v>29389</v>
      </c>
      <c r="I5767" t="s">
        <v>10408</v>
      </c>
      <c r="J5767" t="s">
        <v>29543</v>
      </c>
      <c r="K5767" t="s">
        <v>38490</v>
      </c>
      <c r="M5767" t="s">
        <v>40887</v>
      </c>
      <c r="N5767" t="s">
        <v>42669</v>
      </c>
      <c r="O5767" t="s">
        <v>42670</v>
      </c>
      <c r="P5767">
        <v>0</v>
      </c>
      <c r="Q5767">
        <v>2</v>
      </c>
      <c r="R5767" t="s">
        <v>42677</v>
      </c>
      <c r="S5767" t="s">
        <v>42830</v>
      </c>
      <c r="T5767" t="s">
        <v>44468</v>
      </c>
      <c r="U5767" t="s">
        <v>49551</v>
      </c>
      <c r="W5767" t="s">
        <v>40887</v>
      </c>
      <c r="X5767" t="s">
        <v>42678</v>
      </c>
    </row>
    <row r="5768" spans="1:24">
      <c r="A5768">
        <f>HYPERLINK("https://www.philgeps.gov.ph/GEPSNONPILOT/Tender/SplashBidNoticeAbstractUI.aspx?menuIndex=3&amp;refID=7184017&amp;Result=3","7184017")</f>
        <v>0</v>
      </c>
      <c r="B5768" t="s">
        <v>1963</v>
      </c>
      <c r="C5768" t="s">
        <v>9047</v>
      </c>
      <c r="D5768" t="s">
        <v>17166</v>
      </c>
      <c r="E5768" t="s">
        <v>18886</v>
      </c>
      <c r="F5768" t="s">
        <v>29372</v>
      </c>
      <c r="G5768" t="s">
        <v>29379</v>
      </c>
      <c r="H5768" t="s">
        <v>29390</v>
      </c>
      <c r="I5768" t="s">
        <v>29437</v>
      </c>
      <c r="J5768" t="s">
        <v>29715</v>
      </c>
      <c r="K5768" t="s">
        <v>38495</v>
      </c>
      <c r="L5768" t="s">
        <v>1963</v>
      </c>
      <c r="M5768" t="s">
        <v>40847</v>
      </c>
      <c r="N5768" t="s">
        <v>42669</v>
      </c>
      <c r="O5768" t="s">
        <v>42670</v>
      </c>
      <c r="P5768">
        <v>0</v>
      </c>
      <c r="Q5768">
        <v>4</v>
      </c>
      <c r="R5768" t="s">
        <v>42677</v>
      </c>
      <c r="S5768" t="s">
        <v>42830</v>
      </c>
      <c r="T5768" t="s">
        <v>44512</v>
      </c>
      <c r="U5768" t="s">
        <v>49552</v>
      </c>
      <c r="W5768" t="s">
        <v>40847</v>
      </c>
      <c r="X5768" t="s">
        <v>42678</v>
      </c>
    </row>
    <row r="5769" spans="1:24">
      <c r="A5769">
        <f>HYPERLINK("https://www.philgeps.gov.ph/GEPSNONPILOT/Tender/SplashBidNoticeAbstractUI.aspx?menuIndex=3&amp;refID=7184080&amp;Result=3","7184080")</f>
        <v>0</v>
      </c>
      <c r="B5769" t="s">
        <v>1975</v>
      </c>
      <c r="C5769" t="s">
        <v>9048</v>
      </c>
      <c r="D5769" t="s">
        <v>17195</v>
      </c>
      <c r="E5769" t="s">
        <v>22241</v>
      </c>
      <c r="F5769" t="s">
        <v>29372</v>
      </c>
      <c r="G5769" t="s">
        <v>29380</v>
      </c>
      <c r="H5769" t="s">
        <v>11048</v>
      </c>
      <c r="I5769" t="s">
        <v>10408</v>
      </c>
      <c r="J5769" t="s">
        <v>29708</v>
      </c>
      <c r="K5769" t="s">
        <v>38488</v>
      </c>
      <c r="M5769" t="s">
        <v>40862</v>
      </c>
      <c r="N5769" t="s">
        <v>42669</v>
      </c>
      <c r="O5769" t="s">
        <v>42670</v>
      </c>
      <c r="P5769">
        <v>0</v>
      </c>
      <c r="Q5769">
        <v>3</v>
      </c>
      <c r="R5769" t="s">
        <v>42677</v>
      </c>
      <c r="S5769" t="s">
        <v>42830</v>
      </c>
      <c r="T5769" t="s">
        <v>44368</v>
      </c>
      <c r="U5769" t="s">
        <v>49553</v>
      </c>
      <c r="W5769" t="s">
        <v>40862</v>
      </c>
      <c r="X5769" t="s">
        <v>42678</v>
      </c>
    </row>
    <row r="5770" spans="1:24">
      <c r="A5770">
        <f>HYPERLINK("https://www.philgeps.gov.ph/GEPSNONPILOT/Tender/SplashBidNoticeAbstractUI.aspx?menuIndex=3&amp;refID=7184076&amp;Result=3","7184076")</f>
        <v>0</v>
      </c>
      <c r="B5770" t="s">
        <v>1997</v>
      </c>
      <c r="C5770" t="s">
        <v>9049</v>
      </c>
      <c r="D5770" t="s">
        <v>17168</v>
      </c>
      <c r="E5770" t="s">
        <v>22242</v>
      </c>
      <c r="F5770" t="s">
        <v>29372</v>
      </c>
      <c r="G5770" t="s">
        <v>29380</v>
      </c>
      <c r="H5770" t="s">
        <v>29389</v>
      </c>
      <c r="I5770" t="s">
        <v>10408</v>
      </c>
      <c r="J5770" t="s">
        <v>29590</v>
      </c>
      <c r="K5770" t="s">
        <v>38490</v>
      </c>
      <c r="M5770" t="s">
        <v>40887</v>
      </c>
      <c r="N5770" t="s">
        <v>42669</v>
      </c>
      <c r="O5770" t="s">
        <v>42670</v>
      </c>
      <c r="P5770">
        <v>0</v>
      </c>
      <c r="Q5770">
        <v>1</v>
      </c>
      <c r="R5770" t="s">
        <v>42677</v>
      </c>
      <c r="S5770" t="s">
        <v>42830</v>
      </c>
      <c r="T5770" t="s">
        <v>44468</v>
      </c>
      <c r="U5770" t="s">
        <v>49554</v>
      </c>
      <c r="W5770" t="s">
        <v>40887</v>
      </c>
      <c r="X5770" t="s">
        <v>42678</v>
      </c>
    </row>
    <row r="5771" spans="1:24">
      <c r="A5771">
        <f>HYPERLINK("https://www.philgeps.gov.ph/GEPSNONPILOT/Tender/SplashBidNoticeAbstractUI.aspx?menuIndex=3&amp;refID=7184072&amp;Result=3","7184072")</f>
        <v>0</v>
      </c>
      <c r="B5771" t="s">
        <v>1992</v>
      </c>
      <c r="C5771" t="s">
        <v>4557</v>
      </c>
      <c r="D5771" t="s">
        <v>17178</v>
      </c>
      <c r="E5771" t="s">
        <v>22243</v>
      </c>
      <c r="F5771" t="s">
        <v>29372</v>
      </c>
      <c r="G5771" t="s">
        <v>29379</v>
      </c>
      <c r="H5771" t="s">
        <v>11048</v>
      </c>
      <c r="I5771" t="s">
        <v>5383</v>
      </c>
      <c r="J5771" t="s">
        <v>33265</v>
      </c>
      <c r="K5771" t="s">
        <v>38491</v>
      </c>
      <c r="M5771" t="s">
        <v>40882</v>
      </c>
      <c r="N5771" t="s">
        <v>42669</v>
      </c>
      <c r="O5771" t="s">
        <v>42670</v>
      </c>
      <c r="P5771">
        <v>0</v>
      </c>
      <c r="Q5771">
        <v>2</v>
      </c>
      <c r="R5771" t="s">
        <v>42677</v>
      </c>
      <c r="S5771" t="s">
        <v>42830</v>
      </c>
      <c r="T5771" t="s">
        <v>44425</v>
      </c>
      <c r="U5771" t="s">
        <v>49543</v>
      </c>
      <c r="W5771" t="s">
        <v>40882</v>
      </c>
      <c r="X5771" t="s">
        <v>42678</v>
      </c>
    </row>
    <row r="5772" spans="1:24">
      <c r="A5772">
        <f>HYPERLINK("https://www.philgeps.gov.ph/GEPSNONPILOT/Tender/SplashBidNoticeAbstractUI.aspx?menuIndex=3&amp;refID=7183883&amp;Result=3","7183883")</f>
        <v>0</v>
      </c>
      <c r="B5772" t="s">
        <v>830</v>
      </c>
      <c r="C5772" t="s">
        <v>9050</v>
      </c>
      <c r="D5772" t="s">
        <v>17182</v>
      </c>
      <c r="E5772" t="s">
        <v>22244</v>
      </c>
      <c r="F5772" t="s">
        <v>29373</v>
      </c>
      <c r="G5772" t="s">
        <v>29383</v>
      </c>
      <c r="H5772" t="s">
        <v>11048</v>
      </c>
      <c r="I5772" t="s">
        <v>29439</v>
      </c>
      <c r="J5772" t="s">
        <v>33266</v>
      </c>
      <c r="K5772" t="s">
        <v>38491</v>
      </c>
      <c r="M5772" t="s">
        <v>39617</v>
      </c>
      <c r="N5772" t="s">
        <v>42669</v>
      </c>
      <c r="O5772" t="s">
        <v>42670</v>
      </c>
      <c r="P5772">
        <v>0</v>
      </c>
      <c r="Q5772">
        <v>1</v>
      </c>
      <c r="R5772" t="s">
        <v>42677</v>
      </c>
      <c r="S5772" t="s">
        <v>42830</v>
      </c>
      <c r="T5772" t="s">
        <v>44702</v>
      </c>
      <c r="U5772" t="s">
        <v>49555</v>
      </c>
      <c r="W5772" t="s">
        <v>39617</v>
      </c>
      <c r="X5772" t="s">
        <v>42678</v>
      </c>
    </row>
    <row r="5773" spans="1:24">
      <c r="A5773">
        <f>HYPERLINK("https://www.philgeps.gov.ph/GEPSNONPILOT/Tender/SplashBidNoticeAbstractUI.aspx?menuIndex=3&amp;refID=7184009&amp;Result=3","7184009")</f>
        <v>0</v>
      </c>
      <c r="B5773" t="s">
        <v>52</v>
      </c>
      <c r="C5773" t="s">
        <v>9051</v>
      </c>
      <c r="D5773" t="s">
        <v>17164</v>
      </c>
      <c r="E5773" t="s">
        <v>22245</v>
      </c>
      <c r="F5773" t="s">
        <v>29372</v>
      </c>
      <c r="G5773" t="s">
        <v>29379</v>
      </c>
      <c r="H5773" t="s">
        <v>11048</v>
      </c>
      <c r="I5773" t="s">
        <v>14920</v>
      </c>
      <c r="J5773" t="s">
        <v>30496</v>
      </c>
      <c r="K5773" t="s">
        <v>38522</v>
      </c>
      <c r="M5773" t="s">
        <v>40848</v>
      </c>
      <c r="N5773" t="s">
        <v>42669</v>
      </c>
      <c r="O5773" t="s">
        <v>42670</v>
      </c>
      <c r="P5773">
        <v>0</v>
      </c>
      <c r="Q5773">
        <v>0</v>
      </c>
      <c r="R5773" t="s">
        <v>42677</v>
      </c>
      <c r="S5773" t="s">
        <v>42830</v>
      </c>
      <c r="T5773" t="s">
        <v>44489</v>
      </c>
      <c r="U5773" t="s">
        <v>49556</v>
      </c>
      <c r="W5773" t="s">
        <v>40848</v>
      </c>
      <c r="X5773" t="s">
        <v>42678</v>
      </c>
    </row>
    <row r="5774" spans="1:24">
      <c r="A5774">
        <f>HYPERLINK("https://www.philgeps.gov.ph/GEPSNONPILOT/Tender/SplashBidNoticeAbstractUI.aspx?menuIndex=3&amp;refID=7184060&amp;Result=3","7184060")</f>
        <v>0</v>
      </c>
      <c r="B5774" t="s">
        <v>1780</v>
      </c>
      <c r="C5774" t="s">
        <v>9052</v>
      </c>
      <c r="D5774" t="s">
        <v>17170</v>
      </c>
      <c r="E5774" t="s">
        <v>22246</v>
      </c>
      <c r="F5774" t="s">
        <v>29372</v>
      </c>
      <c r="G5774" t="s">
        <v>29379</v>
      </c>
      <c r="H5774" t="s">
        <v>11048</v>
      </c>
      <c r="I5774" t="s">
        <v>4709</v>
      </c>
      <c r="J5774" t="s">
        <v>31053</v>
      </c>
      <c r="K5774" t="s">
        <v>38485</v>
      </c>
      <c r="M5774" t="s">
        <v>40648</v>
      </c>
      <c r="N5774" t="s">
        <v>42669</v>
      </c>
      <c r="O5774" t="s">
        <v>42670</v>
      </c>
      <c r="P5774">
        <v>0</v>
      </c>
      <c r="Q5774">
        <v>1</v>
      </c>
      <c r="R5774" t="s">
        <v>42677</v>
      </c>
      <c r="S5774" t="s">
        <v>42830</v>
      </c>
      <c r="T5774" t="s">
        <v>44401</v>
      </c>
      <c r="U5774" t="s">
        <v>49557</v>
      </c>
      <c r="W5774" t="s">
        <v>40648</v>
      </c>
      <c r="X5774" t="s">
        <v>42678</v>
      </c>
    </row>
    <row r="5775" spans="1:24">
      <c r="A5775">
        <f>HYPERLINK("https://www.philgeps.gov.ph/GEPSNONPILOT/Tender/SplashBidNoticeAbstractUI.aspx?menuIndex=3&amp;refID=7184057&amp;Result=3","7184057")</f>
        <v>0</v>
      </c>
      <c r="B5775" t="s">
        <v>1906</v>
      </c>
      <c r="C5775" t="s">
        <v>9053</v>
      </c>
      <c r="D5775" t="s">
        <v>17195</v>
      </c>
      <c r="E5775" t="s">
        <v>17479</v>
      </c>
      <c r="F5775" t="s">
        <v>29372</v>
      </c>
      <c r="G5775" t="s">
        <v>29380</v>
      </c>
      <c r="H5775" t="s">
        <v>29389</v>
      </c>
      <c r="I5775" t="s">
        <v>29452</v>
      </c>
      <c r="J5775" t="s">
        <v>33267</v>
      </c>
      <c r="K5775" t="s">
        <v>38487</v>
      </c>
      <c r="L5775" t="s">
        <v>1906</v>
      </c>
      <c r="M5775" t="s">
        <v>40781</v>
      </c>
      <c r="N5775" t="s">
        <v>42669</v>
      </c>
      <c r="O5775" t="s">
        <v>42670</v>
      </c>
      <c r="P5775">
        <v>0</v>
      </c>
      <c r="Q5775">
        <v>1</v>
      </c>
      <c r="R5775" t="s">
        <v>42677</v>
      </c>
      <c r="S5775" t="s">
        <v>42830</v>
      </c>
      <c r="T5775" t="s">
        <v>44429</v>
      </c>
      <c r="U5775" t="s">
        <v>49558</v>
      </c>
      <c r="W5775" t="s">
        <v>40781</v>
      </c>
      <c r="X5775" t="s">
        <v>42678</v>
      </c>
    </row>
    <row r="5776" spans="1:24">
      <c r="A5776">
        <f>HYPERLINK("https://www.philgeps.gov.ph/GEPSNONPILOT/Tender/SplashBidNoticeAbstractUI.aspx?menuIndex=3&amp;refID=7183959&amp;Result=3","7183959")</f>
        <v>0</v>
      </c>
      <c r="B5776" t="s">
        <v>272</v>
      </c>
      <c r="C5776" t="s">
        <v>4213</v>
      </c>
      <c r="D5776" t="s">
        <v>17206</v>
      </c>
      <c r="E5776" t="s">
        <v>22247</v>
      </c>
      <c r="F5776" t="s">
        <v>29372</v>
      </c>
      <c r="G5776" t="s">
        <v>29379</v>
      </c>
      <c r="H5776" t="s">
        <v>11048</v>
      </c>
      <c r="I5776" t="s">
        <v>3695</v>
      </c>
      <c r="J5776" t="s">
        <v>33268</v>
      </c>
      <c r="K5776" t="s">
        <v>38490</v>
      </c>
      <c r="M5776" t="s">
        <v>39619</v>
      </c>
      <c r="N5776" t="s">
        <v>42669</v>
      </c>
      <c r="O5776" t="s">
        <v>42670</v>
      </c>
      <c r="P5776">
        <v>0</v>
      </c>
      <c r="Q5776">
        <v>0</v>
      </c>
      <c r="R5776" t="s">
        <v>42677</v>
      </c>
      <c r="S5776" t="s">
        <v>42830</v>
      </c>
      <c r="T5776" t="s">
        <v>44493</v>
      </c>
      <c r="U5776" t="s">
        <v>46746</v>
      </c>
      <c r="W5776" t="s">
        <v>39619</v>
      </c>
      <c r="X5776" t="s">
        <v>42678</v>
      </c>
    </row>
    <row r="5777" spans="1:24">
      <c r="A5777">
        <f>HYPERLINK("https://www.philgeps.gov.ph/GEPSNONPILOT/Tender/SplashBidNoticeAbstractUI.aspx?menuIndex=3&amp;refID=7184056&amp;Result=3","7184056")</f>
        <v>0</v>
      </c>
      <c r="B5777" t="s">
        <v>1992</v>
      </c>
      <c r="C5777" t="s">
        <v>9054</v>
      </c>
      <c r="D5777" t="s">
        <v>17178</v>
      </c>
      <c r="E5777" t="s">
        <v>22248</v>
      </c>
      <c r="F5777" t="s">
        <v>29372</v>
      </c>
      <c r="G5777" t="s">
        <v>29379</v>
      </c>
      <c r="H5777" t="s">
        <v>11048</v>
      </c>
      <c r="I5777" t="s">
        <v>29395</v>
      </c>
      <c r="J5777" t="s">
        <v>33269</v>
      </c>
      <c r="K5777" t="s">
        <v>38491</v>
      </c>
      <c r="M5777" t="s">
        <v>40882</v>
      </c>
      <c r="N5777" t="s">
        <v>42669</v>
      </c>
      <c r="O5777" t="s">
        <v>42670</v>
      </c>
      <c r="P5777">
        <v>0</v>
      </c>
      <c r="Q5777">
        <v>0</v>
      </c>
      <c r="R5777" t="s">
        <v>42677</v>
      </c>
      <c r="S5777" t="s">
        <v>42830</v>
      </c>
      <c r="T5777" t="s">
        <v>44425</v>
      </c>
      <c r="U5777" t="s">
        <v>49543</v>
      </c>
      <c r="W5777" t="s">
        <v>40882</v>
      </c>
      <c r="X5777" t="s">
        <v>42678</v>
      </c>
    </row>
    <row r="5778" spans="1:24">
      <c r="A5778">
        <f>HYPERLINK("https://www.philgeps.gov.ph/GEPSNONPILOT/Tender/SplashBidNoticeAbstractUI.aspx?menuIndex=3&amp;refID=7184066&amp;Result=3","7184066")</f>
        <v>0</v>
      </c>
      <c r="B5778" t="s">
        <v>1621</v>
      </c>
      <c r="C5778" t="s">
        <v>9055</v>
      </c>
      <c r="D5778" t="s">
        <v>17161</v>
      </c>
      <c r="E5778" t="s">
        <v>22249</v>
      </c>
      <c r="F5778" t="s">
        <v>29372</v>
      </c>
      <c r="G5778" t="s">
        <v>29380</v>
      </c>
      <c r="H5778" t="s">
        <v>29389</v>
      </c>
      <c r="I5778" t="s">
        <v>10408</v>
      </c>
      <c r="J5778" t="s">
        <v>33270</v>
      </c>
      <c r="K5778" t="s">
        <v>38527</v>
      </c>
      <c r="M5778" t="s">
        <v>40475</v>
      </c>
      <c r="N5778" t="s">
        <v>42669</v>
      </c>
      <c r="O5778" t="s">
        <v>42670</v>
      </c>
      <c r="P5778">
        <v>0</v>
      </c>
      <c r="Q5778">
        <v>0</v>
      </c>
      <c r="R5778" t="s">
        <v>42677</v>
      </c>
      <c r="S5778" t="s">
        <v>42830</v>
      </c>
      <c r="T5778" t="s">
        <v>44542</v>
      </c>
      <c r="U5778" t="s">
        <v>49559</v>
      </c>
      <c r="W5778" t="s">
        <v>40475</v>
      </c>
      <c r="X5778" t="s">
        <v>42678</v>
      </c>
    </row>
    <row r="5779" spans="1:24">
      <c r="A5779">
        <f>HYPERLINK("https://www.philgeps.gov.ph/GEPSNONPILOT/Tender/SplashBidNoticeAbstractUI.aspx?menuIndex=3&amp;refID=7184052&amp;Result=3","7184052")</f>
        <v>0</v>
      </c>
      <c r="B5779" t="s">
        <v>899</v>
      </c>
      <c r="C5779" t="s">
        <v>9056</v>
      </c>
      <c r="D5779" t="s">
        <v>17213</v>
      </c>
      <c r="E5779" t="s">
        <v>22250</v>
      </c>
      <c r="F5779" t="s">
        <v>29372</v>
      </c>
      <c r="G5779" t="s">
        <v>29379</v>
      </c>
      <c r="H5779" t="s">
        <v>11048</v>
      </c>
      <c r="I5779" t="s">
        <v>29393</v>
      </c>
      <c r="J5779" t="s">
        <v>29561</v>
      </c>
      <c r="K5779" t="s">
        <v>38488</v>
      </c>
      <c r="M5779" t="s">
        <v>39692</v>
      </c>
      <c r="N5779" t="s">
        <v>42669</v>
      </c>
      <c r="O5779" t="s">
        <v>42670</v>
      </c>
      <c r="P5779">
        <v>0</v>
      </c>
      <c r="Q5779">
        <v>0</v>
      </c>
      <c r="R5779" t="s">
        <v>42677</v>
      </c>
      <c r="S5779" t="s">
        <v>42830</v>
      </c>
      <c r="T5779" t="s">
        <v>44481</v>
      </c>
      <c r="U5779" t="s">
        <v>49546</v>
      </c>
      <c r="W5779" t="s">
        <v>39692</v>
      </c>
      <c r="X5779" t="s">
        <v>42678</v>
      </c>
    </row>
    <row r="5780" spans="1:24">
      <c r="A5780">
        <f>HYPERLINK("https://www.philgeps.gov.ph/GEPSNONPILOT/Tender/SplashBidNoticeAbstractUI.aspx?menuIndex=3&amp;refID=7184051&amp;Result=3","7184051")</f>
        <v>0</v>
      </c>
      <c r="B5780" t="s">
        <v>52</v>
      </c>
      <c r="C5780" t="s">
        <v>9057</v>
      </c>
      <c r="D5780" t="s">
        <v>17164</v>
      </c>
      <c r="E5780" t="s">
        <v>22251</v>
      </c>
      <c r="F5780" t="s">
        <v>29372</v>
      </c>
      <c r="G5780" t="s">
        <v>29379</v>
      </c>
      <c r="H5780" t="s">
        <v>11048</v>
      </c>
      <c r="I5780" t="s">
        <v>14920</v>
      </c>
      <c r="J5780" t="s">
        <v>29743</v>
      </c>
      <c r="K5780" t="s">
        <v>38522</v>
      </c>
      <c r="M5780" t="s">
        <v>40848</v>
      </c>
      <c r="N5780" t="s">
        <v>42669</v>
      </c>
      <c r="O5780" t="s">
        <v>42670</v>
      </c>
      <c r="P5780">
        <v>0</v>
      </c>
      <c r="Q5780">
        <v>1</v>
      </c>
      <c r="R5780" t="s">
        <v>42677</v>
      </c>
      <c r="S5780" t="s">
        <v>42830</v>
      </c>
      <c r="T5780" t="s">
        <v>44489</v>
      </c>
      <c r="U5780" t="s">
        <v>49560</v>
      </c>
      <c r="W5780" t="s">
        <v>40848</v>
      </c>
      <c r="X5780" t="s">
        <v>42678</v>
      </c>
    </row>
    <row r="5781" spans="1:24">
      <c r="A5781">
        <f>HYPERLINK("https://www.philgeps.gov.ph/GEPSNONPILOT/Tender/SplashBidNoticeAbstractUI.aspx?menuIndex=3&amp;refID=7184049&amp;Result=3","7184049")</f>
        <v>0</v>
      </c>
      <c r="B5781" t="s">
        <v>953</v>
      </c>
      <c r="C5781" t="s">
        <v>9058</v>
      </c>
      <c r="D5781" t="s">
        <v>17225</v>
      </c>
      <c r="E5781" t="s">
        <v>22252</v>
      </c>
      <c r="F5781" t="s">
        <v>29372</v>
      </c>
      <c r="G5781" t="s">
        <v>29380</v>
      </c>
      <c r="H5781" t="s">
        <v>11048</v>
      </c>
      <c r="I5781" t="s">
        <v>29455</v>
      </c>
      <c r="J5781" t="s">
        <v>33271</v>
      </c>
      <c r="K5781" t="s">
        <v>38533</v>
      </c>
      <c r="M5781" t="s">
        <v>39749</v>
      </c>
      <c r="N5781" t="s">
        <v>42669</v>
      </c>
      <c r="O5781" t="s">
        <v>42670</v>
      </c>
      <c r="P5781">
        <v>0</v>
      </c>
      <c r="Q5781">
        <v>5</v>
      </c>
      <c r="R5781" t="s">
        <v>42677</v>
      </c>
      <c r="S5781" t="s">
        <v>42830</v>
      </c>
      <c r="T5781" t="s">
        <v>44504</v>
      </c>
      <c r="U5781" t="s">
        <v>49561</v>
      </c>
      <c r="W5781" t="s">
        <v>39749</v>
      </c>
      <c r="X5781" t="s">
        <v>42678</v>
      </c>
    </row>
    <row r="5782" spans="1:24">
      <c r="A5782">
        <f>HYPERLINK("https://www.philgeps.gov.ph/GEPSNONPILOT/Tender/SplashBidNoticeAbstractUI.aspx?menuIndex=3&amp;refID=7184046&amp;Result=3","7184046")</f>
        <v>0</v>
      </c>
      <c r="B5782" t="s">
        <v>1998</v>
      </c>
      <c r="C5782" t="s">
        <v>9059</v>
      </c>
      <c r="D5782" t="s">
        <v>17148</v>
      </c>
      <c r="E5782" t="s">
        <v>22253</v>
      </c>
      <c r="F5782" t="s">
        <v>29372</v>
      </c>
      <c r="G5782" t="s">
        <v>29380</v>
      </c>
      <c r="H5782" t="s">
        <v>11048</v>
      </c>
      <c r="I5782" t="s">
        <v>8614</v>
      </c>
      <c r="J5782" t="s">
        <v>33272</v>
      </c>
      <c r="K5782" t="s">
        <v>38485</v>
      </c>
      <c r="M5782" t="s">
        <v>40888</v>
      </c>
      <c r="N5782" t="s">
        <v>42669</v>
      </c>
      <c r="O5782" t="s">
        <v>42670</v>
      </c>
      <c r="P5782">
        <v>0</v>
      </c>
      <c r="Q5782">
        <v>6</v>
      </c>
      <c r="R5782" t="s">
        <v>42677</v>
      </c>
      <c r="S5782" t="s">
        <v>42830</v>
      </c>
      <c r="T5782" t="s">
        <v>44474</v>
      </c>
      <c r="U5782" t="s">
        <v>49562</v>
      </c>
      <c r="W5782" t="s">
        <v>58065</v>
      </c>
      <c r="X5782" t="s">
        <v>42678</v>
      </c>
    </row>
    <row r="5783" spans="1:24">
      <c r="A5783">
        <f>HYPERLINK("https://www.philgeps.gov.ph/GEPSNONPILOT/Tender/SplashBidNoticeAbstractUI.aspx?menuIndex=3&amp;refID=7184045&amp;Result=3","7184045")</f>
        <v>0</v>
      </c>
      <c r="B5783" t="s">
        <v>1999</v>
      </c>
      <c r="C5783" t="s">
        <v>9060</v>
      </c>
      <c r="D5783" t="s">
        <v>17186</v>
      </c>
      <c r="E5783" t="s">
        <v>22254</v>
      </c>
      <c r="F5783" t="s">
        <v>29372</v>
      </c>
      <c r="G5783" t="s">
        <v>29380</v>
      </c>
      <c r="H5783" t="s">
        <v>29389</v>
      </c>
      <c r="I5783" t="s">
        <v>10408</v>
      </c>
      <c r="J5783" t="s">
        <v>33273</v>
      </c>
      <c r="K5783" t="s">
        <v>38530</v>
      </c>
      <c r="M5783" t="s">
        <v>40889</v>
      </c>
      <c r="N5783" t="s">
        <v>42669</v>
      </c>
      <c r="O5783" t="s">
        <v>42670</v>
      </c>
      <c r="P5783">
        <v>0</v>
      </c>
      <c r="Q5783">
        <v>0</v>
      </c>
      <c r="R5783" t="s">
        <v>42677</v>
      </c>
      <c r="S5783" t="s">
        <v>42830</v>
      </c>
      <c r="T5783" t="s">
        <v>44387</v>
      </c>
      <c r="U5783" t="s">
        <v>49563</v>
      </c>
      <c r="W5783" t="s">
        <v>40889</v>
      </c>
      <c r="X5783" t="s">
        <v>42678</v>
      </c>
    </row>
    <row r="5784" spans="1:24">
      <c r="A5784">
        <f>HYPERLINK("https://www.philgeps.gov.ph/GEPSNONPILOT/Tender/SplashBidNoticeAbstractUI.aspx?menuIndex=3&amp;refID=7184002&amp;Result=3","7184002")</f>
        <v>0</v>
      </c>
      <c r="B5784" t="s">
        <v>2000</v>
      </c>
      <c r="C5784" t="s">
        <v>9061</v>
      </c>
      <c r="D5784" t="s">
        <v>17168</v>
      </c>
      <c r="E5784" t="s">
        <v>22255</v>
      </c>
      <c r="F5784" t="s">
        <v>29372</v>
      </c>
      <c r="G5784" t="s">
        <v>29383</v>
      </c>
      <c r="H5784" t="s">
        <v>11048</v>
      </c>
      <c r="I5784" t="s">
        <v>8208</v>
      </c>
      <c r="J5784" t="s">
        <v>29694</v>
      </c>
      <c r="K5784" t="s">
        <v>38508</v>
      </c>
      <c r="M5784" t="s">
        <v>40890</v>
      </c>
      <c r="N5784" t="s">
        <v>42669</v>
      </c>
      <c r="O5784" t="s">
        <v>42670</v>
      </c>
      <c r="P5784">
        <v>0</v>
      </c>
      <c r="Q5784">
        <v>2</v>
      </c>
      <c r="R5784" t="s">
        <v>42677</v>
      </c>
      <c r="S5784" t="s">
        <v>42830</v>
      </c>
      <c r="T5784" t="s">
        <v>44401</v>
      </c>
      <c r="U5784" t="s">
        <v>49564</v>
      </c>
      <c r="V5784" t="s">
        <v>56998</v>
      </c>
      <c r="W5784" t="s">
        <v>40890</v>
      </c>
      <c r="X5784" t="s">
        <v>42678</v>
      </c>
    </row>
    <row r="5785" spans="1:24">
      <c r="A5785">
        <f>HYPERLINK("https://www.philgeps.gov.ph/GEPSNONPILOT/Tender/SplashBidNoticeAbstractUI.aspx?menuIndex=3&amp;refID=7184058&amp;Result=3","7184058")</f>
        <v>0</v>
      </c>
      <c r="B5785" t="s">
        <v>2001</v>
      </c>
      <c r="C5785" t="s">
        <v>9062</v>
      </c>
      <c r="D5785" t="s">
        <v>17193</v>
      </c>
      <c r="E5785" t="s">
        <v>17648</v>
      </c>
      <c r="F5785" t="s">
        <v>29372</v>
      </c>
      <c r="G5785" t="s">
        <v>29380</v>
      </c>
      <c r="H5785" t="s">
        <v>29389</v>
      </c>
      <c r="I5785" t="s">
        <v>10408</v>
      </c>
      <c r="J5785" t="s">
        <v>33274</v>
      </c>
      <c r="K5785" t="s">
        <v>38606</v>
      </c>
      <c r="M5785" t="s">
        <v>40891</v>
      </c>
      <c r="N5785" t="s">
        <v>42669</v>
      </c>
      <c r="O5785" t="s">
        <v>42670</v>
      </c>
      <c r="P5785">
        <v>0</v>
      </c>
      <c r="Q5785">
        <v>0</v>
      </c>
      <c r="R5785" t="s">
        <v>42677</v>
      </c>
      <c r="S5785" t="s">
        <v>42830</v>
      </c>
      <c r="T5785" t="s">
        <v>44401</v>
      </c>
      <c r="U5785" t="s">
        <v>49565</v>
      </c>
      <c r="W5785" t="s">
        <v>58066</v>
      </c>
      <c r="X5785" t="s">
        <v>42678</v>
      </c>
    </row>
    <row r="5786" spans="1:24">
      <c r="A5786">
        <f>HYPERLINK("https://www.philgeps.gov.ph/GEPSNONPILOT/Tender/SplashBidNoticeAbstractUI.aspx?menuIndex=3&amp;refID=7183994&amp;Result=3","7183994")</f>
        <v>0</v>
      </c>
      <c r="B5786" t="s">
        <v>1980</v>
      </c>
      <c r="C5786" t="s">
        <v>9063</v>
      </c>
      <c r="D5786" t="s">
        <v>17163</v>
      </c>
      <c r="E5786" t="s">
        <v>19078</v>
      </c>
      <c r="F5786" t="s">
        <v>29372</v>
      </c>
      <c r="G5786" t="s">
        <v>29383</v>
      </c>
      <c r="H5786" t="s">
        <v>29389</v>
      </c>
      <c r="I5786" t="s">
        <v>10408</v>
      </c>
      <c r="J5786" t="s">
        <v>33275</v>
      </c>
      <c r="K5786" t="s">
        <v>38491</v>
      </c>
      <c r="M5786" t="s">
        <v>40867</v>
      </c>
      <c r="N5786" t="s">
        <v>42669</v>
      </c>
      <c r="O5786" t="s">
        <v>42670</v>
      </c>
      <c r="P5786">
        <v>0</v>
      </c>
      <c r="Q5786">
        <v>1</v>
      </c>
      <c r="R5786" t="s">
        <v>42677</v>
      </c>
      <c r="S5786" t="s">
        <v>42830</v>
      </c>
      <c r="T5786" t="s">
        <v>44432</v>
      </c>
      <c r="U5786" t="s">
        <v>49566</v>
      </c>
      <c r="V5786" t="s">
        <v>56999</v>
      </c>
      <c r="W5786" t="s">
        <v>40867</v>
      </c>
      <c r="X5786" t="s">
        <v>42678</v>
      </c>
    </row>
    <row r="5787" spans="1:24">
      <c r="A5787">
        <f>HYPERLINK("https://www.philgeps.gov.ph/GEPSNONPILOT/Tender/SplashBidNoticeAbstractUI.aspx?menuIndex=3&amp;refID=7184061&amp;Result=3","7184061")</f>
        <v>0</v>
      </c>
      <c r="B5787" t="s">
        <v>1997</v>
      </c>
      <c r="C5787" t="s">
        <v>9064</v>
      </c>
      <c r="D5787" t="s">
        <v>17168</v>
      </c>
      <c r="E5787" t="s">
        <v>22256</v>
      </c>
      <c r="F5787" t="s">
        <v>29372</v>
      </c>
      <c r="G5787" t="s">
        <v>29380</v>
      </c>
      <c r="H5787" t="s">
        <v>29389</v>
      </c>
      <c r="I5787" t="s">
        <v>10408</v>
      </c>
      <c r="J5787" t="s">
        <v>29724</v>
      </c>
      <c r="K5787" t="s">
        <v>38490</v>
      </c>
      <c r="M5787" t="s">
        <v>40887</v>
      </c>
      <c r="N5787" t="s">
        <v>42669</v>
      </c>
      <c r="O5787" t="s">
        <v>42670</v>
      </c>
      <c r="P5787">
        <v>0</v>
      </c>
      <c r="Q5787">
        <v>3</v>
      </c>
      <c r="R5787" t="s">
        <v>42677</v>
      </c>
      <c r="S5787" t="s">
        <v>42830</v>
      </c>
      <c r="T5787" t="s">
        <v>44468</v>
      </c>
      <c r="U5787" t="s">
        <v>49567</v>
      </c>
      <c r="W5787" t="s">
        <v>40887</v>
      </c>
      <c r="X5787" t="s">
        <v>42678</v>
      </c>
    </row>
    <row r="5788" spans="1:24">
      <c r="A5788">
        <f>HYPERLINK("https://www.philgeps.gov.ph/GEPSNONPILOT/Tender/SplashBidNoticeAbstractUI.aspx?menuIndex=3&amp;refID=7183849&amp;Result=3","7183849")</f>
        <v>0</v>
      </c>
      <c r="B5788" t="s">
        <v>1962</v>
      </c>
      <c r="C5788" t="s">
        <v>9065</v>
      </c>
      <c r="D5788" t="s">
        <v>17212</v>
      </c>
      <c r="E5788" t="s">
        <v>17571</v>
      </c>
      <c r="F5788" t="s">
        <v>29372</v>
      </c>
      <c r="G5788" t="s">
        <v>29379</v>
      </c>
      <c r="H5788" t="s">
        <v>29390</v>
      </c>
      <c r="I5788" t="s">
        <v>29440</v>
      </c>
      <c r="J5788" t="s">
        <v>29571</v>
      </c>
      <c r="K5788" t="s">
        <v>38485</v>
      </c>
      <c r="M5788" t="s">
        <v>40846</v>
      </c>
      <c r="N5788" t="s">
        <v>42669</v>
      </c>
      <c r="O5788" t="s">
        <v>42670</v>
      </c>
      <c r="P5788">
        <v>0</v>
      </c>
      <c r="Q5788">
        <v>4</v>
      </c>
      <c r="R5788" t="s">
        <v>42677</v>
      </c>
      <c r="S5788" t="s">
        <v>42830</v>
      </c>
      <c r="T5788" t="s">
        <v>44387</v>
      </c>
      <c r="U5788" t="s">
        <v>49568</v>
      </c>
      <c r="W5788" t="s">
        <v>40846</v>
      </c>
      <c r="X5788" t="s">
        <v>42678</v>
      </c>
    </row>
    <row r="5789" spans="1:24">
      <c r="A5789">
        <f>HYPERLINK("https://www.philgeps.gov.ph/GEPSNONPILOT/Tender/SplashBidNoticeAbstractUI.aspx?menuIndex=3&amp;refID=7184042&amp;Result=3","7184042")</f>
        <v>0</v>
      </c>
      <c r="B5789" t="s">
        <v>671</v>
      </c>
      <c r="C5789" t="s">
        <v>9066</v>
      </c>
      <c r="E5789" t="s">
        <v>22257</v>
      </c>
      <c r="F5789" t="s">
        <v>29372</v>
      </c>
      <c r="G5789" t="s">
        <v>29379</v>
      </c>
      <c r="H5789" t="s">
        <v>11048</v>
      </c>
      <c r="I5789" t="s">
        <v>3629</v>
      </c>
      <c r="J5789" t="s">
        <v>33178</v>
      </c>
      <c r="K5789" t="s">
        <v>38490</v>
      </c>
      <c r="M5789" t="s">
        <v>39447</v>
      </c>
      <c r="N5789" t="s">
        <v>42669</v>
      </c>
      <c r="O5789" t="s">
        <v>42670</v>
      </c>
      <c r="P5789">
        <v>0</v>
      </c>
      <c r="Q5789">
        <v>1</v>
      </c>
      <c r="R5789" t="s">
        <v>42677</v>
      </c>
      <c r="S5789" t="s">
        <v>42830</v>
      </c>
      <c r="T5789" t="s">
        <v>44432</v>
      </c>
      <c r="U5789" t="s">
        <v>49569</v>
      </c>
      <c r="W5789" t="s">
        <v>39447</v>
      </c>
      <c r="X5789" t="s">
        <v>42678</v>
      </c>
    </row>
    <row r="5790" spans="1:24">
      <c r="A5790">
        <f>HYPERLINK("https://www.philgeps.gov.ph/GEPSNONPILOT/Tender/SplashBidNoticeAbstractUI.aspx?menuIndex=3&amp;refID=7184003&amp;Result=3","7184003")</f>
        <v>0</v>
      </c>
      <c r="B5790" t="s">
        <v>1978</v>
      </c>
      <c r="C5790" t="s">
        <v>9067</v>
      </c>
      <c r="D5790" t="s">
        <v>17164</v>
      </c>
      <c r="E5790" t="s">
        <v>22258</v>
      </c>
      <c r="F5790" t="s">
        <v>29372</v>
      </c>
      <c r="G5790" t="s">
        <v>29381</v>
      </c>
      <c r="H5790" t="s">
        <v>11048</v>
      </c>
      <c r="I5790" t="s">
        <v>4486</v>
      </c>
      <c r="J5790" t="s">
        <v>30710</v>
      </c>
      <c r="K5790" t="s">
        <v>38488</v>
      </c>
      <c r="M5790" t="s">
        <v>40865</v>
      </c>
      <c r="N5790" t="s">
        <v>42669</v>
      </c>
      <c r="O5790" t="s">
        <v>42670</v>
      </c>
      <c r="P5790">
        <v>0</v>
      </c>
      <c r="Q5790">
        <v>0</v>
      </c>
      <c r="R5790" t="s">
        <v>42677</v>
      </c>
      <c r="S5790" t="s">
        <v>42830</v>
      </c>
      <c r="T5790" t="s">
        <v>44491</v>
      </c>
      <c r="U5790" t="s">
        <v>49570</v>
      </c>
      <c r="W5790" t="s">
        <v>40865</v>
      </c>
      <c r="X5790" t="s">
        <v>42678</v>
      </c>
    </row>
    <row r="5791" spans="1:24">
      <c r="A5791">
        <f>HYPERLINK("https://www.philgeps.gov.ph/GEPSNONPILOT/Tender/SplashBidNoticeAbstractUI.aspx?menuIndex=3&amp;refID=7184079&amp;Result=3","7184079")</f>
        <v>0</v>
      </c>
      <c r="B5791" t="s">
        <v>1472</v>
      </c>
      <c r="C5791" t="s">
        <v>6582</v>
      </c>
      <c r="D5791" t="s">
        <v>17170</v>
      </c>
      <c r="E5791" t="s">
        <v>22259</v>
      </c>
      <c r="F5791" t="s">
        <v>29372</v>
      </c>
      <c r="G5791" t="s">
        <v>29379</v>
      </c>
      <c r="H5791" t="s">
        <v>11048</v>
      </c>
      <c r="I5791" t="s">
        <v>29407</v>
      </c>
      <c r="J5791" t="s">
        <v>30010</v>
      </c>
      <c r="K5791" t="s">
        <v>38491</v>
      </c>
      <c r="M5791" t="s">
        <v>40315</v>
      </c>
      <c r="N5791" t="s">
        <v>42669</v>
      </c>
      <c r="O5791" t="s">
        <v>42670</v>
      </c>
      <c r="P5791">
        <v>0</v>
      </c>
      <c r="Q5791">
        <v>5</v>
      </c>
      <c r="R5791" t="s">
        <v>42677</v>
      </c>
      <c r="S5791" t="s">
        <v>42830</v>
      </c>
      <c r="T5791" t="s">
        <v>44432</v>
      </c>
      <c r="U5791" t="s">
        <v>49571</v>
      </c>
      <c r="W5791" t="s">
        <v>40315</v>
      </c>
      <c r="X5791" t="s">
        <v>42678</v>
      </c>
    </row>
    <row r="5792" spans="1:24">
      <c r="A5792">
        <f>HYPERLINK("https://www.philgeps.gov.ph/GEPSNONPILOT/Tender/SplashBidNoticeAbstractUI.aspx?menuIndex=3&amp;refID=7184125&amp;Result=3","7184125")</f>
        <v>0</v>
      </c>
      <c r="B5792" t="s">
        <v>899</v>
      </c>
      <c r="C5792" t="s">
        <v>9068</v>
      </c>
      <c r="D5792" t="s">
        <v>17213</v>
      </c>
      <c r="E5792" t="s">
        <v>22260</v>
      </c>
      <c r="F5792" t="s">
        <v>29372</v>
      </c>
      <c r="G5792" t="s">
        <v>29380</v>
      </c>
      <c r="H5792" t="s">
        <v>11048</v>
      </c>
      <c r="I5792" t="s">
        <v>29393</v>
      </c>
      <c r="J5792" t="s">
        <v>33276</v>
      </c>
      <c r="K5792" t="s">
        <v>38488</v>
      </c>
      <c r="M5792" t="s">
        <v>39692</v>
      </c>
      <c r="N5792" t="s">
        <v>42669</v>
      </c>
      <c r="O5792" t="s">
        <v>42670</v>
      </c>
      <c r="P5792">
        <v>0</v>
      </c>
      <c r="Q5792">
        <v>0</v>
      </c>
      <c r="R5792" t="s">
        <v>42677</v>
      </c>
      <c r="S5792" t="s">
        <v>42830</v>
      </c>
      <c r="T5792" t="s">
        <v>44412</v>
      </c>
      <c r="U5792" t="s">
        <v>49572</v>
      </c>
      <c r="W5792" t="s">
        <v>39692</v>
      </c>
      <c r="X5792" t="s">
        <v>42678</v>
      </c>
    </row>
    <row r="5793" spans="1:24">
      <c r="A5793">
        <f>HYPERLINK("https://www.philgeps.gov.ph/GEPSNONPILOT/Tender/SplashBidNoticeAbstractUI.aspx?menuIndex=3&amp;refID=7184119&amp;Result=3","7184119")</f>
        <v>0</v>
      </c>
      <c r="B5793" t="s">
        <v>2002</v>
      </c>
      <c r="C5793" t="s">
        <v>9069</v>
      </c>
      <c r="D5793" t="s">
        <v>17153</v>
      </c>
      <c r="E5793" t="s">
        <v>22261</v>
      </c>
      <c r="F5793" t="s">
        <v>29372</v>
      </c>
      <c r="G5793" t="s">
        <v>29380</v>
      </c>
      <c r="H5793" t="s">
        <v>29390</v>
      </c>
      <c r="I5793" t="s">
        <v>29403</v>
      </c>
      <c r="J5793" t="s">
        <v>29694</v>
      </c>
      <c r="K5793" t="s">
        <v>38485</v>
      </c>
      <c r="M5793" t="s">
        <v>40892</v>
      </c>
      <c r="N5793" t="s">
        <v>42669</v>
      </c>
      <c r="O5793" t="s">
        <v>42670</v>
      </c>
      <c r="P5793">
        <v>0</v>
      </c>
      <c r="Q5793">
        <v>0</v>
      </c>
      <c r="R5793" t="s">
        <v>42677</v>
      </c>
      <c r="S5793" t="s">
        <v>42830</v>
      </c>
      <c r="T5793" t="s">
        <v>44474</v>
      </c>
      <c r="U5793" t="s">
        <v>49573</v>
      </c>
      <c r="W5793" t="s">
        <v>40892</v>
      </c>
      <c r="X5793" t="s">
        <v>42678</v>
      </c>
    </row>
    <row r="5794" spans="1:24">
      <c r="A5794">
        <f>HYPERLINK("https://www.philgeps.gov.ph/GEPSNONPILOT/Tender/SplashBidNoticeAbstractUI.aspx?menuIndex=3&amp;refID=7184124&amp;Result=3","7184124")</f>
        <v>0</v>
      </c>
      <c r="B5794" t="s">
        <v>1998</v>
      </c>
      <c r="C5794" t="s">
        <v>9070</v>
      </c>
      <c r="D5794" t="s">
        <v>17148</v>
      </c>
      <c r="E5794" t="s">
        <v>22262</v>
      </c>
      <c r="F5794" t="s">
        <v>29372</v>
      </c>
      <c r="G5794" t="s">
        <v>29380</v>
      </c>
      <c r="H5794" t="s">
        <v>11048</v>
      </c>
      <c r="I5794" t="s">
        <v>29407</v>
      </c>
      <c r="J5794" t="s">
        <v>33277</v>
      </c>
      <c r="K5794" t="s">
        <v>38485</v>
      </c>
      <c r="M5794" t="s">
        <v>40888</v>
      </c>
      <c r="N5794" t="s">
        <v>42669</v>
      </c>
      <c r="O5794" t="s">
        <v>42670</v>
      </c>
      <c r="P5794">
        <v>0</v>
      </c>
      <c r="Q5794">
        <v>13</v>
      </c>
      <c r="R5794" t="s">
        <v>42677</v>
      </c>
      <c r="S5794" t="s">
        <v>42830</v>
      </c>
      <c r="T5794" t="s">
        <v>44474</v>
      </c>
      <c r="U5794" t="s">
        <v>49562</v>
      </c>
      <c r="W5794" t="s">
        <v>58065</v>
      </c>
      <c r="X5794" t="s">
        <v>42678</v>
      </c>
    </row>
    <row r="5795" spans="1:24">
      <c r="A5795">
        <f>HYPERLINK("https://www.philgeps.gov.ph/GEPSNONPILOT/Tender/SplashBidNoticeAbstractUI.aspx?menuIndex=3&amp;refID=7184116&amp;Result=3","7184116")</f>
        <v>0</v>
      </c>
      <c r="B5795" t="s">
        <v>1975</v>
      </c>
      <c r="C5795" t="s">
        <v>9071</v>
      </c>
      <c r="D5795" t="s">
        <v>17195</v>
      </c>
      <c r="E5795" t="s">
        <v>22263</v>
      </c>
      <c r="F5795" t="s">
        <v>29372</v>
      </c>
      <c r="G5795" t="s">
        <v>29380</v>
      </c>
      <c r="H5795" t="s">
        <v>11048</v>
      </c>
      <c r="I5795" t="s">
        <v>29393</v>
      </c>
      <c r="J5795" t="s">
        <v>29555</v>
      </c>
      <c r="K5795" t="s">
        <v>38488</v>
      </c>
      <c r="M5795" t="s">
        <v>40862</v>
      </c>
      <c r="N5795" t="s">
        <v>42669</v>
      </c>
      <c r="O5795" t="s">
        <v>42670</v>
      </c>
      <c r="P5795">
        <v>0</v>
      </c>
      <c r="Q5795">
        <v>1</v>
      </c>
      <c r="R5795" t="s">
        <v>42677</v>
      </c>
      <c r="S5795" t="s">
        <v>42830</v>
      </c>
      <c r="T5795" t="s">
        <v>44368</v>
      </c>
      <c r="U5795" t="s">
        <v>49574</v>
      </c>
      <c r="W5795" t="s">
        <v>40862</v>
      </c>
      <c r="X5795" t="s">
        <v>42678</v>
      </c>
    </row>
    <row r="5796" spans="1:24">
      <c r="A5796">
        <f>HYPERLINK("https://www.philgeps.gov.ph/GEPSNONPILOT/Tender/SplashBidNoticeAbstractUI.aspx?menuIndex=3&amp;refID=7184115&amp;Result=3","7184115")</f>
        <v>0</v>
      </c>
      <c r="B5796" t="s">
        <v>632</v>
      </c>
      <c r="C5796" t="s">
        <v>9072</v>
      </c>
      <c r="D5796" t="s">
        <v>17192</v>
      </c>
      <c r="E5796" t="s">
        <v>22264</v>
      </c>
      <c r="F5796" t="s">
        <v>29372</v>
      </c>
      <c r="G5796" t="s">
        <v>29380</v>
      </c>
      <c r="H5796" t="s">
        <v>11048</v>
      </c>
      <c r="I5796" t="s">
        <v>8614</v>
      </c>
      <c r="J5796" t="s">
        <v>33278</v>
      </c>
      <c r="K5796" t="s">
        <v>38485</v>
      </c>
      <c r="M5796" t="s">
        <v>39405</v>
      </c>
      <c r="N5796" t="s">
        <v>42669</v>
      </c>
      <c r="O5796" t="s">
        <v>42670</v>
      </c>
      <c r="P5796">
        <v>0</v>
      </c>
      <c r="Q5796">
        <v>3</v>
      </c>
      <c r="R5796" t="s">
        <v>42677</v>
      </c>
      <c r="S5796" t="s">
        <v>42830</v>
      </c>
      <c r="T5796" t="s">
        <v>44436</v>
      </c>
      <c r="U5796" t="s">
        <v>49575</v>
      </c>
      <c r="W5796" t="s">
        <v>39405</v>
      </c>
      <c r="X5796" t="s">
        <v>42678</v>
      </c>
    </row>
    <row r="5797" spans="1:24">
      <c r="A5797">
        <f>HYPERLINK("https://www.philgeps.gov.ph/GEPSNONPILOT/Tender/SplashBidNoticeAbstractUI.aspx?menuIndex=3&amp;refID=7184114&amp;Result=3","7184114")</f>
        <v>0</v>
      </c>
      <c r="B5797" t="s">
        <v>953</v>
      </c>
      <c r="C5797" t="s">
        <v>9073</v>
      </c>
      <c r="D5797" t="s">
        <v>17225</v>
      </c>
      <c r="E5797" t="s">
        <v>22265</v>
      </c>
      <c r="F5797" t="s">
        <v>29372</v>
      </c>
      <c r="G5797" t="s">
        <v>29380</v>
      </c>
      <c r="H5797" t="s">
        <v>11048</v>
      </c>
      <c r="I5797" t="s">
        <v>3629</v>
      </c>
      <c r="J5797" t="s">
        <v>33279</v>
      </c>
      <c r="K5797" t="s">
        <v>38485</v>
      </c>
      <c r="M5797" t="s">
        <v>39749</v>
      </c>
      <c r="N5797" t="s">
        <v>42669</v>
      </c>
      <c r="O5797" t="s">
        <v>42670</v>
      </c>
      <c r="P5797">
        <v>0</v>
      </c>
      <c r="Q5797">
        <v>0</v>
      </c>
      <c r="R5797" t="s">
        <v>42677</v>
      </c>
      <c r="S5797" t="s">
        <v>42830</v>
      </c>
      <c r="T5797" t="s">
        <v>44387</v>
      </c>
      <c r="U5797" t="s">
        <v>49576</v>
      </c>
      <c r="W5797" t="s">
        <v>39749</v>
      </c>
      <c r="X5797" t="s">
        <v>42678</v>
      </c>
    </row>
    <row r="5798" spans="1:24">
      <c r="A5798">
        <f>HYPERLINK("https://www.philgeps.gov.ph/GEPSNONPILOT/Tender/SplashBidNoticeAbstractUI.aspx?menuIndex=3&amp;refID=7184110&amp;Result=3","7184110")</f>
        <v>0</v>
      </c>
      <c r="B5798" t="s">
        <v>1927</v>
      </c>
      <c r="C5798" t="s">
        <v>9074</v>
      </c>
      <c r="D5798" t="s">
        <v>17231</v>
      </c>
      <c r="E5798" t="s">
        <v>22266</v>
      </c>
      <c r="F5798" t="s">
        <v>29372</v>
      </c>
      <c r="G5798" t="s">
        <v>29380</v>
      </c>
      <c r="H5798" t="s">
        <v>11048</v>
      </c>
      <c r="I5798" t="s">
        <v>4709</v>
      </c>
      <c r="J5798" t="s">
        <v>33280</v>
      </c>
      <c r="K5798" t="s">
        <v>38496</v>
      </c>
      <c r="M5798" t="s">
        <v>40804</v>
      </c>
      <c r="N5798" t="s">
        <v>42669</v>
      </c>
      <c r="O5798" t="s">
        <v>42670</v>
      </c>
      <c r="P5798">
        <v>0</v>
      </c>
      <c r="Q5798">
        <v>0</v>
      </c>
      <c r="R5798" t="s">
        <v>42677</v>
      </c>
      <c r="S5798" t="s">
        <v>42830</v>
      </c>
      <c r="T5798" t="s">
        <v>44481</v>
      </c>
      <c r="U5798" t="s">
        <v>49577</v>
      </c>
      <c r="W5798" t="s">
        <v>40804</v>
      </c>
      <c r="X5798" t="s">
        <v>42678</v>
      </c>
    </row>
    <row r="5799" spans="1:24">
      <c r="A5799">
        <f>HYPERLINK("https://www.philgeps.gov.ph/GEPSNONPILOT/Tender/SplashBidNoticeAbstractUI.aspx?menuIndex=3&amp;refID=7184108&amp;Result=3","7184108")</f>
        <v>0</v>
      </c>
      <c r="B5799" t="s">
        <v>2003</v>
      </c>
      <c r="C5799" t="s">
        <v>9075</v>
      </c>
      <c r="D5799" t="s">
        <v>17201</v>
      </c>
      <c r="E5799" t="s">
        <v>22267</v>
      </c>
      <c r="F5799" t="s">
        <v>29372</v>
      </c>
      <c r="G5799" t="s">
        <v>29379</v>
      </c>
      <c r="H5799" t="s">
        <v>11048</v>
      </c>
      <c r="I5799" t="s">
        <v>8208</v>
      </c>
      <c r="J5799" t="s">
        <v>32691</v>
      </c>
      <c r="K5799" t="s">
        <v>38524</v>
      </c>
      <c r="M5799" t="s">
        <v>40893</v>
      </c>
      <c r="N5799" t="s">
        <v>42669</v>
      </c>
      <c r="O5799" t="s">
        <v>42670</v>
      </c>
      <c r="P5799">
        <v>0</v>
      </c>
      <c r="Q5799">
        <v>0</v>
      </c>
      <c r="R5799" t="s">
        <v>42677</v>
      </c>
      <c r="S5799" t="s">
        <v>42830</v>
      </c>
      <c r="T5799" t="s">
        <v>44401</v>
      </c>
      <c r="U5799" t="s">
        <v>49578</v>
      </c>
      <c r="W5799" t="s">
        <v>40893</v>
      </c>
      <c r="X5799" t="s">
        <v>42678</v>
      </c>
    </row>
    <row r="5800" spans="1:24">
      <c r="A5800">
        <f>HYPERLINK("https://www.philgeps.gov.ph/GEPSNONPILOT/Tender/SplashBidNoticeAbstractUI.aspx?menuIndex=3&amp;refID=7184106&amp;Result=3","7184106")</f>
        <v>0</v>
      </c>
      <c r="B5800" t="s">
        <v>2004</v>
      </c>
      <c r="C5800" t="s">
        <v>9076</v>
      </c>
      <c r="D5800" t="s">
        <v>17200</v>
      </c>
      <c r="E5800" t="s">
        <v>22268</v>
      </c>
      <c r="F5800" t="s">
        <v>29372</v>
      </c>
      <c r="G5800" t="s">
        <v>29380</v>
      </c>
      <c r="H5800" t="s">
        <v>29389</v>
      </c>
      <c r="I5800" t="s">
        <v>4709</v>
      </c>
      <c r="J5800" t="s">
        <v>33281</v>
      </c>
      <c r="K5800" t="s">
        <v>38488</v>
      </c>
      <c r="M5800" t="s">
        <v>40894</v>
      </c>
      <c r="N5800" t="s">
        <v>42669</v>
      </c>
      <c r="O5800" t="s">
        <v>42670</v>
      </c>
      <c r="P5800">
        <v>0</v>
      </c>
      <c r="Q5800">
        <v>0</v>
      </c>
      <c r="R5800" t="s">
        <v>42677</v>
      </c>
      <c r="S5800" t="s">
        <v>42830</v>
      </c>
      <c r="T5800" t="s">
        <v>44504</v>
      </c>
      <c r="U5800" t="s">
        <v>49579</v>
      </c>
      <c r="W5800" t="s">
        <v>40894</v>
      </c>
      <c r="X5800" t="s">
        <v>42678</v>
      </c>
    </row>
    <row r="5801" spans="1:24">
      <c r="A5801">
        <f>HYPERLINK("https://www.philgeps.gov.ph/GEPSNONPILOT/Tender/SplashBidNoticeAbstractUI.aspx?menuIndex=3&amp;refID=7184104&amp;Result=3","7184104")</f>
        <v>0</v>
      </c>
      <c r="B5801" t="s">
        <v>1992</v>
      </c>
      <c r="C5801" t="s">
        <v>9077</v>
      </c>
      <c r="D5801" t="s">
        <v>17178</v>
      </c>
      <c r="E5801" t="s">
        <v>22269</v>
      </c>
      <c r="F5801" t="s">
        <v>29372</v>
      </c>
      <c r="G5801" t="s">
        <v>29379</v>
      </c>
      <c r="H5801" t="s">
        <v>11048</v>
      </c>
      <c r="I5801" t="s">
        <v>14920</v>
      </c>
      <c r="J5801" t="s">
        <v>32722</v>
      </c>
      <c r="K5801" t="s">
        <v>38491</v>
      </c>
      <c r="M5801" t="s">
        <v>40882</v>
      </c>
      <c r="N5801" t="s">
        <v>42669</v>
      </c>
      <c r="O5801" t="s">
        <v>42670</v>
      </c>
      <c r="P5801">
        <v>0</v>
      </c>
      <c r="Q5801">
        <v>0</v>
      </c>
      <c r="R5801" t="s">
        <v>42677</v>
      </c>
      <c r="S5801" t="s">
        <v>42830</v>
      </c>
      <c r="T5801" t="s">
        <v>44425</v>
      </c>
      <c r="U5801" t="s">
        <v>49543</v>
      </c>
      <c r="W5801" t="s">
        <v>40882</v>
      </c>
      <c r="X5801" t="s">
        <v>42678</v>
      </c>
    </row>
    <row r="5802" spans="1:24">
      <c r="A5802">
        <f>HYPERLINK("https://www.philgeps.gov.ph/GEPSNONPILOT/Tender/SplashBidNoticeAbstractUI.aspx?menuIndex=3&amp;refID=7184097&amp;Result=3","7184097")</f>
        <v>0</v>
      </c>
      <c r="B5802" t="s">
        <v>899</v>
      </c>
      <c r="C5802" t="s">
        <v>9078</v>
      </c>
      <c r="D5802" t="s">
        <v>17213</v>
      </c>
      <c r="E5802" t="s">
        <v>22270</v>
      </c>
      <c r="F5802" t="s">
        <v>29372</v>
      </c>
      <c r="G5802" t="s">
        <v>29380</v>
      </c>
      <c r="H5802" t="s">
        <v>11048</v>
      </c>
      <c r="I5802" t="s">
        <v>29393</v>
      </c>
      <c r="J5802" t="s">
        <v>33282</v>
      </c>
      <c r="K5802" t="s">
        <v>38488</v>
      </c>
      <c r="M5802" t="s">
        <v>39692</v>
      </c>
      <c r="N5802" t="s">
        <v>42669</v>
      </c>
      <c r="O5802" t="s">
        <v>42670</v>
      </c>
      <c r="P5802">
        <v>0</v>
      </c>
      <c r="Q5802">
        <v>0</v>
      </c>
      <c r="R5802" t="s">
        <v>42677</v>
      </c>
      <c r="S5802" t="s">
        <v>42830</v>
      </c>
      <c r="T5802" t="s">
        <v>44412</v>
      </c>
      <c r="U5802" t="s">
        <v>49580</v>
      </c>
      <c r="W5802" t="s">
        <v>39692</v>
      </c>
      <c r="X5802" t="s">
        <v>42678</v>
      </c>
    </row>
    <row r="5803" spans="1:24">
      <c r="A5803">
        <f>HYPERLINK("https://www.philgeps.gov.ph/GEPSNONPILOT/Tender/SplashBidNoticeAbstractUI.aspx?menuIndex=3&amp;refID=7184047&amp;Result=3","7184047")</f>
        <v>0</v>
      </c>
      <c r="B5803" t="s">
        <v>264</v>
      </c>
      <c r="C5803" t="s">
        <v>9079</v>
      </c>
      <c r="E5803" t="s">
        <v>22271</v>
      </c>
      <c r="F5803" t="s">
        <v>29372</v>
      </c>
      <c r="G5803" t="s">
        <v>29379</v>
      </c>
      <c r="H5803" t="s">
        <v>11048</v>
      </c>
      <c r="I5803" t="s">
        <v>29407</v>
      </c>
      <c r="J5803" t="s">
        <v>33283</v>
      </c>
      <c r="K5803" t="s">
        <v>38490</v>
      </c>
      <c r="M5803" t="s">
        <v>40895</v>
      </c>
      <c r="N5803" t="s">
        <v>42669</v>
      </c>
      <c r="O5803" t="s">
        <v>42670</v>
      </c>
      <c r="P5803">
        <v>0</v>
      </c>
      <c r="Q5803">
        <v>42</v>
      </c>
      <c r="R5803" t="s">
        <v>42677</v>
      </c>
      <c r="S5803" t="s">
        <v>42830</v>
      </c>
      <c r="T5803" t="s">
        <v>44566</v>
      </c>
      <c r="U5803" t="s">
        <v>49581</v>
      </c>
      <c r="W5803" t="s">
        <v>40895</v>
      </c>
      <c r="X5803" t="s">
        <v>42678</v>
      </c>
    </row>
    <row r="5804" spans="1:24">
      <c r="A5804">
        <f>HYPERLINK("https://www.philgeps.gov.ph/GEPSNONPILOT/Tender/SplashBidNoticeAbstractUI.aspx?menuIndex=3&amp;refID=7184088&amp;Result=3","7184088")</f>
        <v>0</v>
      </c>
      <c r="B5804" t="s">
        <v>1992</v>
      </c>
      <c r="C5804" t="s">
        <v>9080</v>
      </c>
      <c r="D5804" t="s">
        <v>17178</v>
      </c>
      <c r="E5804" t="s">
        <v>22272</v>
      </c>
      <c r="F5804" t="s">
        <v>29372</v>
      </c>
      <c r="G5804" t="s">
        <v>29379</v>
      </c>
      <c r="H5804" t="s">
        <v>11048</v>
      </c>
      <c r="I5804" t="s">
        <v>8208</v>
      </c>
      <c r="J5804" t="s">
        <v>31445</v>
      </c>
      <c r="K5804" t="s">
        <v>38491</v>
      </c>
      <c r="M5804" t="s">
        <v>40882</v>
      </c>
      <c r="N5804" t="s">
        <v>42669</v>
      </c>
      <c r="O5804" t="s">
        <v>42670</v>
      </c>
      <c r="P5804">
        <v>0</v>
      </c>
      <c r="Q5804">
        <v>0</v>
      </c>
      <c r="R5804" t="s">
        <v>42677</v>
      </c>
      <c r="S5804" t="s">
        <v>42830</v>
      </c>
      <c r="T5804" t="s">
        <v>44425</v>
      </c>
      <c r="U5804" t="s">
        <v>49543</v>
      </c>
      <c r="W5804" t="s">
        <v>40882</v>
      </c>
      <c r="X5804" t="s">
        <v>42678</v>
      </c>
    </row>
    <row r="5805" spans="1:24">
      <c r="A5805">
        <f>HYPERLINK("https://www.philgeps.gov.ph/GEPSNONPILOT/Tender/SplashBidNoticeAbstractUI.aspx?menuIndex=3&amp;refID=7184113&amp;Result=3","7184113")</f>
        <v>0</v>
      </c>
      <c r="B5805" t="s">
        <v>1426</v>
      </c>
      <c r="C5805" t="s">
        <v>9081</v>
      </c>
      <c r="D5805" t="s">
        <v>17189</v>
      </c>
      <c r="E5805" t="s">
        <v>22273</v>
      </c>
      <c r="F5805" t="s">
        <v>29372</v>
      </c>
      <c r="G5805" t="s">
        <v>29380</v>
      </c>
      <c r="H5805" t="s">
        <v>29389</v>
      </c>
      <c r="I5805" t="s">
        <v>10408</v>
      </c>
      <c r="J5805" t="s">
        <v>33284</v>
      </c>
      <c r="K5805" t="s">
        <v>38653</v>
      </c>
      <c r="M5805" t="s">
        <v>40266</v>
      </c>
      <c r="N5805" t="s">
        <v>42669</v>
      </c>
      <c r="O5805" t="s">
        <v>42670</v>
      </c>
      <c r="P5805">
        <v>0</v>
      </c>
      <c r="Q5805">
        <v>2</v>
      </c>
      <c r="R5805" t="s">
        <v>42677</v>
      </c>
      <c r="S5805" t="s">
        <v>42830</v>
      </c>
      <c r="T5805" t="s">
        <v>44503</v>
      </c>
      <c r="U5805" t="s">
        <v>49582</v>
      </c>
      <c r="V5805" t="s">
        <v>57000</v>
      </c>
      <c r="W5805" t="s">
        <v>40266</v>
      </c>
      <c r="X5805" t="s">
        <v>42678</v>
      </c>
    </row>
    <row r="5806" spans="1:24">
      <c r="A5806">
        <f>HYPERLINK("https://www.philgeps.gov.ph/GEPSNONPILOT/Tender/SplashBidNoticeAbstractUI.aspx?menuIndex=3&amp;refID=7184137&amp;Result=3","7184137")</f>
        <v>0</v>
      </c>
      <c r="B5806" t="s">
        <v>52</v>
      </c>
      <c r="C5806" t="s">
        <v>9082</v>
      </c>
      <c r="D5806" t="s">
        <v>17164</v>
      </c>
      <c r="E5806" t="s">
        <v>22274</v>
      </c>
      <c r="F5806" t="s">
        <v>29372</v>
      </c>
      <c r="G5806" t="s">
        <v>29379</v>
      </c>
      <c r="H5806" t="s">
        <v>11048</v>
      </c>
      <c r="I5806" t="s">
        <v>14920</v>
      </c>
      <c r="J5806" t="s">
        <v>32159</v>
      </c>
      <c r="K5806" t="s">
        <v>38522</v>
      </c>
      <c r="M5806" t="s">
        <v>40848</v>
      </c>
      <c r="N5806" t="s">
        <v>42669</v>
      </c>
      <c r="O5806" t="s">
        <v>42670</v>
      </c>
      <c r="P5806">
        <v>0</v>
      </c>
      <c r="Q5806">
        <v>0</v>
      </c>
      <c r="R5806" t="s">
        <v>42677</v>
      </c>
      <c r="S5806" t="s">
        <v>42830</v>
      </c>
      <c r="T5806" t="s">
        <v>44489</v>
      </c>
      <c r="U5806" t="s">
        <v>49583</v>
      </c>
      <c r="W5806" t="s">
        <v>40848</v>
      </c>
      <c r="X5806" t="s">
        <v>42678</v>
      </c>
    </row>
    <row r="5807" spans="1:24">
      <c r="A5807">
        <f>HYPERLINK("https://www.philgeps.gov.ph/GEPSNONPILOT/Tender/SplashBidNoticeAbstractUI.aspx?menuIndex=3&amp;refID=7184186&amp;Result=3","7184186")</f>
        <v>0</v>
      </c>
      <c r="B5807" t="s">
        <v>2005</v>
      </c>
      <c r="C5807" t="s">
        <v>9083</v>
      </c>
      <c r="D5807" t="s">
        <v>17193</v>
      </c>
      <c r="E5807" t="s">
        <v>22275</v>
      </c>
      <c r="F5807" t="s">
        <v>29372</v>
      </c>
      <c r="G5807" t="s">
        <v>29379</v>
      </c>
      <c r="H5807" t="s">
        <v>11048</v>
      </c>
      <c r="I5807" t="s">
        <v>3670</v>
      </c>
      <c r="J5807" t="s">
        <v>33285</v>
      </c>
      <c r="K5807" t="s">
        <v>38488</v>
      </c>
      <c r="M5807" t="s">
        <v>40896</v>
      </c>
      <c r="N5807" t="s">
        <v>42669</v>
      </c>
      <c r="O5807" t="s">
        <v>42670</v>
      </c>
      <c r="P5807">
        <v>0</v>
      </c>
      <c r="Q5807">
        <v>5</v>
      </c>
      <c r="R5807" t="s">
        <v>42677</v>
      </c>
      <c r="S5807" t="s">
        <v>42830</v>
      </c>
      <c r="T5807" t="s">
        <v>44401</v>
      </c>
      <c r="U5807" t="s">
        <v>49584</v>
      </c>
      <c r="W5807" t="s">
        <v>40896</v>
      </c>
      <c r="X5807" t="s">
        <v>42678</v>
      </c>
    </row>
    <row r="5808" spans="1:24">
      <c r="A5808">
        <f>HYPERLINK("https://www.philgeps.gov.ph/GEPSNONPILOT/Tender/SplashBidNoticeAbstractUI.aspx?menuIndex=3&amp;refID=7183992&amp;Result=3","7183992")</f>
        <v>0</v>
      </c>
      <c r="B5808" t="s">
        <v>1975</v>
      </c>
      <c r="C5808" t="s">
        <v>9084</v>
      </c>
      <c r="D5808" t="s">
        <v>17195</v>
      </c>
      <c r="E5808" t="s">
        <v>22276</v>
      </c>
      <c r="F5808" t="s">
        <v>29372</v>
      </c>
      <c r="G5808" t="s">
        <v>29380</v>
      </c>
      <c r="H5808" t="s">
        <v>11048</v>
      </c>
      <c r="I5808" t="s">
        <v>10408</v>
      </c>
      <c r="J5808" t="s">
        <v>29587</v>
      </c>
      <c r="K5808" t="s">
        <v>38488</v>
      </c>
      <c r="M5808" t="s">
        <v>40862</v>
      </c>
      <c r="N5808" t="s">
        <v>42669</v>
      </c>
      <c r="O5808" t="s">
        <v>42670</v>
      </c>
      <c r="P5808">
        <v>0</v>
      </c>
      <c r="Q5808">
        <v>3</v>
      </c>
      <c r="R5808" t="s">
        <v>42677</v>
      </c>
      <c r="S5808" t="s">
        <v>42830</v>
      </c>
      <c r="T5808" t="s">
        <v>44368</v>
      </c>
      <c r="U5808" t="s">
        <v>49585</v>
      </c>
      <c r="W5808" t="s">
        <v>40862</v>
      </c>
      <c r="X5808" t="s">
        <v>42678</v>
      </c>
    </row>
    <row r="5809" spans="1:24">
      <c r="A5809">
        <f>HYPERLINK("https://www.philgeps.gov.ph/GEPSNONPILOT/Tender/SplashBidNoticeAbstractUI.aspx?menuIndex=3&amp;refID=7184103&amp;Result=3","7184103")</f>
        <v>0</v>
      </c>
      <c r="B5809" t="s">
        <v>2006</v>
      </c>
      <c r="C5809" t="s">
        <v>9085</v>
      </c>
      <c r="D5809" t="s">
        <v>17143</v>
      </c>
      <c r="E5809" t="s">
        <v>22277</v>
      </c>
      <c r="F5809" t="s">
        <v>29372</v>
      </c>
      <c r="G5809" t="s">
        <v>29379</v>
      </c>
      <c r="H5809" t="s">
        <v>11048</v>
      </c>
      <c r="I5809" t="s">
        <v>29491</v>
      </c>
      <c r="J5809" t="s">
        <v>33286</v>
      </c>
      <c r="K5809" t="s">
        <v>38510</v>
      </c>
      <c r="M5809" t="s">
        <v>40897</v>
      </c>
      <c r="N5809" t="s">
        <v>42669</v>
      </c>
      <c r="O5809" t="s">
        <v>42670</v>
      </c>
      <c r="P5809">
        <v>0</v>
      </c>
      <c r="Q5809">
        <v>7</v>
      </c>
      <c r="R5809" t="s">
        <v>42677</v>
      </c>
      <c r="S5809" t="s">
        <v>42830</v>
      </c>
      <c r="T5809" t="s">
        <v>44401</v>
      </c>
      <c r="U5809" t="s">
        <v>49586</v>
      </c>
      <c r="W5809" t="s">
        <v>40897</v>
      </c>
      <c r="X5809" t="s">
        <v>42678</v>
      </c>
    </row>
    <row r="5810" spans="1:24">
      <c r="A5810">
        <f>HYPERLINK("https://www.philgeps.gov.ph/GEPSNONPILOT/Tender/SplashBidNoticeAbstractUI.aspx?menuIndex=3&amp;refID=7184185&amp;Result=3","7184185")</f>
        <v>0</v>
      </c>
      <c r="B5810" t="s">
        <v>1963</v>
      </c>
      <c r="C5810" t="s">
        <v>9086</v>
      </c>
      <c r="D5810" t="s">
        <v>17166</v>
      </c>
      <c r="E5810" t="s">
        <v>18599</v>
      </c>
      <c r="F5810" t="s">
        <v>29372</v>
      </c>
      <c r="G5810" t="s">
        <v>29383</v>
      </c>
      <c r="H5810" t="s">
        <v>11048</v>
      </c>
      <c r="I5810" t="s">
        <v>29411</v>
      </c>
      <c r="J5810" t="s">
        <v>30010</v>
      </c>
      <c r="K5810" t="s">
        <v>38485</v>
      </c>
      <c r="L5810" t="s">
        <v>1963</v>
      </c>
      <c r="M5810" t="s">
        <v>40847</v>
      </c>
      <c r="N5810" t="s">
        <v>42669</v>
      </c>
      <c r="O5810" t="s">
        <v>42670</v>
      </c>
      <c r="P5810">
        <v>0</v>
      </c>
      <c r="Q5810">
        <v>8</v>
      </c>
      <c r="R5810" t="s">
        <v>42677</v>
      </c>
      <c r="S5810" t="s">
        <v>42830</v>
      </c>
      <c r="T5810" t="s">
        <v>44512</v>
      </c>
      <c r="U5810" t="s">
        <v>49587</v>
      </c>
      <c r="W5810" t="s">
        <v>40847</v>
      </c>
      <c r="X5810" t="s">
        <v>42678</v>
      </c>
    </row>
    <row r="5811" spans="1:24">
      <c r="A5811">
        <f>HYPERLINK("https://www.philgeps.gov.ph/GEPSNONPILOT/Tender/SplashBidNoticeAbstractUI.aspx?menuIndex=3&amp;refID=7184172&amp;Result=3","7184172")</f>
        <v>0</v>
      </c>
      <c r="B5811" t="s">
        <v>2007</v>
      </c>
      <c r="C5811" t="s">
        <v>9087</v>
      </c>
      <c r="D5811" t="s">
        <v>17175</v>
      </c>
      <c r="E5811" t="s">
        <v>22278</v>
      </c>
      <c r="F5811" t="s">
        <v>29372</v>
      </c>
      <c r="G5811" t="s">
        <v>29379</v>
      </c>
      <c r="H5811" t="s">
        <v>11048</v>
      </c>
      <c r="I5811" t="s">
        <v>3629</v>
      </c>
      <c r="J5811" t="s">
        <v>30346</v>
      </c>
      <c r="K5811" t="s">
        <v>38488</v>
      </c>
      <c r="M5811" t="s">
        <v>40898</v>
      </c>
      <c r="N5811" t="s">
        <v>42669</v>
      </c>
      <c r="O5811" t="s">
        <v>42670</v>
      </c>
      <c r="P5811">
        <v>0</v>
      </c>
      <c r="Q5811">
        <v>1</v>
      </c>
      <c r="R5811" t="s">
        <v>42677</v>
      </c>
      <c r="S5811" t="s">
        <v>42830</v>
      </c>
      <c r="T5811" t="s">
        <v>44401</v>
      </c>
      <c r="U5811" t="s">
        <v>49588</v>
      </c>
      <c r="W5811" t="s">
        <v>40898</v>
      </c>
      <c r="X5811" t="s">
        <v>42678</v>
      </c>
    </row>
    <row r="5812" spans="1:24">
      <c r="A5812">
        <f>HYPERLINK("https://www.philgeps.gov.ph/GEPSNONPILOT/Tender/SplashBidNoticeAbstractUI.aspx?menuIndex=3&amp;refID=7184171&amp;Result=3","7184171")</f>
        <v>0</v>
      </c>
      <c r="B5812" t="s">
        <v>445</v>
      </c>
      <c r="C5812" t="s">
        <v>9088</v>
      </c>
      <c r="D5812" t="s">
        <v>17194</v>
      </c>
      <c r="E5812" t="s">
        <v>22279</v>
      </c>
      <c r="F5812" t="s">
        <v>29373</v>
      </c>
      <c r="G5812" t="s">
        <v>29379</v>
      </c>
      <c r="H5812" t="s">
        <v>11048</v>
      </c>
      <c r="I5812" t="s">
        <v>29403</v>
      </c>
      <c r="J5812" t="s">
        <v>30427</v>
      </c>
      <c r="K5812" t="s">
        <v>38491</v>
      </c>
      <c r="M5812" t="s">
        <v>39209</v>
      </c>
      <c r="N5812" t="s">
        <v>42669</v>
      </c>
      <c r="O5812" t="s">
        <v>42670</v>
      </c>
      <c r="P5812">
        <v>0</v>
      </c>
      <c r="Q5812">
        <v>1</v>
      </c>
      <c r="R5812" t="s">
        <v>42677</v>
      </c>
      <c r="S5812" t="s">
        <v>42830</v>
      </c>
      <c r="T5812" t="s">
        <v>44481</v>
      </c>
      <c r="U5812" t="s">
        <v>45838</v>
      </c>
      <c r="V5812" t="s">
        <v>56470</v>
      </c>
      <c r="W5812" t="s">
        <v>58015</v>
      </c>
      <c r="X5812" t="s">
        <v>42678</v>
      </c>
    </row>
    <row r="5813" spans="1:24">
      <c r="A5813">
        <f>HYPERLINK("https://www.philgeps.gov.ph/GEPSNONPILOT/Tender/SplashBidNoticeAbstractUI.aspx?menuIndex=3&amp;refID=7184077&amp;Result=3","7184077")</f>
        <v>0</v>
      </c>
      <c r="B5813" t="s">
        <v>1903</v>
      </c>
      <c r="C5813" t="s">
        <v>9089</v>
      </c>
      <c r="D5813" t="s">
        <v>17189</v>
      </c>
      <c r="E5813" t="s">
        <v>22280</v>
      </c>
      <c r="F5813" t="s">
        <v>29372</v>
      </c>
      <c r="G5813" t="s">
        <v>29379</v>
      </c>
      <c r="H5813" t="s">
        <v>11048</v>
      </c>
      <c r="I5813" t="s">
        <v>14920</v>
      </c>
      <c r="J5813" t="s">
        <v>33287</v>
      </c>
      <c r="K5813" t="s">
        <v>38510</v>
      </c>
      <c r="M5813" t="s">
        <v>40778</v>
      </c>
      <c r="N5813" t="s">
        <v>42669</v>
      </c>
      <c r="O5813" t="s">
        <v>42670</v>
      </c>
      <c r="P5813">
        <v>0</v>
      </c>
      <c r="Q5813">
        <v>1</v>
      </c>
      <c r="R5813" t="s">
        <v>42677</v>
      </c>
      <c r="S5813" t="s">
        <v>42830</v>
      </c>
      <c r="T5813" t="s">
        <v>44629</v>
      </c>
      <c r="U5813" t="s">
        <v>49508</v>
      </c>
      <c r="V5813" t="s">
        <v>56994</v>
      </c>
      <c r="W5813" t="s">
        <v>40778</v>
      </c>
      <c r="X5813" t="s">
        <v>42678</v>
      </c>
    </row>
    <row r="5814" spans="1:24">
      <c r="A5814">
        <f>HYPERLINK("https://www.philgeps.gov.ph/GEPSNONPILOT/Tender/SplashBidNoticeAbstractUI.aspx?menuIndex=3&amp;refID=7184158&amp;Result=3","7184158")</f>
        <v>0</v>
      </c>
      <c r="B5814" t="s">
        <v>76</v>
      </c>
      <c r="C5814" t="s">
        <v>9090</v>
      </c>
      <c r="D5814" t="s">
        <v>17168</v>
      </c>
      <c r="E5814" t="s">
        <v>22281</v>
      </c>
      <c r="F5814" t="s">
        <v>29372</v>
      </c>
      <c r="G5814" t="s">
        <v>29380</v>
      </c>
      <c r="H5814" t="s">
        <v>29389</v>
      </c>
      <c r="I5814" t="s">
        <v>10408</v>
      </c>
      <c r="J5814" t="s">
        <v>33288</v>
      </c>
      <c r="K5814" t="s">
        <v>38503</v>
      </c>
      <c r="M5814" t="s">
        <v>40879</v>
      </c>
      <c r="N5814" t="s">
        <v>42669</v>
      </c>
      <c r="O5814" t="s">
        <v>42670</v>
      </c>
      <c r="P5814">
        <v>0</v>
      </c>
      <c r="Q5814">
        <v>0</v>
      </c>
      <c r="R5814" t="s">
        <v>42677</v>
      </c>
      <c r="S5814" t="s">
        <v>42830</v>
      </c>
      <c r="T5814" t="s">
        <v>44373</v>
      </c>
      <c r="U5814" t="s">
        <v>49589</v>
      </c>
      <c r="W5814" t="s">
        <v>40879</v>
      </c>
      <c r="X5814" t="s">
        <v>42678</v>
      </c>
    </row>
    <row r="5815" spans="1:24">
      <c r="A5815">
        <f>HYPERLINK("https://www.philgeps.gov.ph/GEPSNONPILOT/Tender/SplashBidNoticeAbstractUI.aspx?menuIndex=3&amp;refID=7184187&amp;Result=3","7184187")</f>
        <v>0</v>
      </c>
      <c r="B5815" t="s">
        <v>1488</v>
      </c>
      <c r="C5815" t="s">
        <v>9091</v>
      </c>
      <c r="D5815" t="s">
        <v>17205</v>
      </c>
      <c r="E5815" t="s">
        <v>20906</v>
      </c>
      <c r="F5815" t="s">
        <v>29372</v>
      </c>
      <c r="G5815" t="s">
        <v>29379</v>
      </c>
      <c r="H5815" t="s">
        <v>11048</v>
      </c>
      <c r="I5815" t="s">
        <v>29407</v>
      </c>
      <c r="J5815" t="s">
        <v>32934</v>
      </c>
      <c r="K5815" t="s">
        <v>38528</v>
      </c>
      <c r="M5815" t="s">
        <v>40331</v>
      </c>
      <c r="N5815" t="s">
        <v>42669</v>
      </c>
      <c r="O5815" t="s">
        <v>42670</v>
      </c>
      <c r="P5815">
        <v>0</v>
      </c>
      <c r="Q5815">
        <v>5</v>
      </c>
      <c r="R5815" t="s">
        <v>42677</v>
      </c>
      <c r="S5815" t="s">
        <v>42830</v>
      </c>
      <c r="T5815" t="s">
        <v>44488</v>
      </c>
      <c r="U5815" t="s">
        <v>49590</v>
      </c>
      <c r="W5815" t="s">
        <v>40331</v>
      </c>
      <c r="X5815" t="s">
        <v>42678</v>
      </c>
    </row>
    <row r="5816" spans="1:24">
      <c r="A5816">
        <f>HYPERLINK("https://www.philgeps.gov.ph/GEPSNONPILOT/Tender/SplashBidNoticeAbstractUI.aspx?menuIndex=3&amp;refID=7184154&amp;Result=3","7184154")</f>
        <v>0</v>
      </c>
      <c r="B5816" t="s">
        <v>544</v>
      </c>
      <c r="C5816" t="s">
        <v>9092</v>
      </c>
      <c r="D5816" t="s">
        <v>17153</v>
      </c>
      <c r="E5816" t="s">
        <v>22282</v>
      </c>
      <c r="F5816" t="s">
        <v>29372</v>
      </c>
      <c r="G5816" t="s">
        <v>29379</v>
      </c>
      <c r="H5816" t="s">
        <v>11048</v>
      </c>
      <c r="I5816" t="s">
        <v>8208</v>
      </c>
      <c r="J5816" t="s">
        <v>29650</v>
      </c>
      <c r="K5816" t="s">
        <v>38491</v>
      </c>
      <c r="M5816" t="s">
        <v>40880</v>
      </c>
      <c r="N5816" t="s">
        <v>42669</v>
      </c>
      <c r="O5816" t="s">
        <v>42670</v>
      </c>
      <c r="P5816">
        <v>0</v>
      </c>
      <c r="Q5816">
        <v>0</v>
      </c>
      <c r="R5816" t="s">
        <v>42677</v>
      </c>
      <c r="S5816" t="s">
        <v>42830</v>
      </c>
      <c r="T5816" t="s">
        <v>44512</v>
      </c>
      <c r="U5816" t="s">
        <v>49591</v>
      </c>
      <c r="W5816" t="s">
        <v>40880</v>
      </c>
      <c r="X5816" t="s">
        <v>42678</v>
      </c>
    </row>
    <row r="5817" spans="1:24">
      <c r="A5817">
        <f>HYPERLINK("https://www.philgeps.gov.ph/GEPSNONPILOT/Tender/SplashBidNoticeAbstractUI.aspx?menuIndex=3&amp;refID=7184152&amp;Result=3","7184152")</f>
        <v>0</v>
      </c>
      <c r="B5817" t="s">
        <v>563</v>
      </c>
      <c r="C5817" t="s">
        <v>9093</v>
      </c>
      <c r="D5817" t="s">
        <v>17141</v>
      </c>
      <c r="E5817" t="s">
        <v>17269</v>
      </c>
      <c r="F5817" t="s">
        <v>29372</v>
      </c>
      <c r="G5817" t="s">
        <v>29380</v>
      </c>
      <c r="H5817" t="s">
        <v>11048</v>
      </c>
      <c r="I5817" t="s">
        <v>29412</v>
      </c>
      <c r="J5817" t="s">
        <v>33289</v>
      </c>
      <c r="K5817" t="s">
        <v>38518</v>
      </c>
      <c r="M5817" t="s">
        <v>39332</v>
      </c>
      <c r="N5817" t="s">
        <v>42669</v>
      </c>
      <c r="O5817" t="s">
        <v>42670</v>
      </c>
      <c r="P5817">
        <v>0</v>
      </c>
      <c r="Q5817">
        <v>16</v>
      </c>
      <c r="R5817" t="s">
        <v>42677</v>
      </c>
      <c r="S5817" t="s">
        <v>42830</v>
      </c>
      <c r="T5817" t="s">
        <v>44531</v>
      </c>
      <c r="U5817" t="s">
        <v>49592</v>
      </c>
      <c r="W5817" t="s">
        <v>39332</v>
      </c>
      <c r="X5817" t="s">
        <v>42678</v>
      </c>
    </row>
    <row r="5818" spans="1:24">
      <c r="A5818">
        <f>HYPERLINK("https://www.philgeps.gov.ph/GEPSNONPILOT/Tender/SplashBidNoticeAbstractUI.aspx?menuIndex=3&amp;refID=7184182&amp;Result=3","7184182")</f>
        <v>0</v>
      </c>
      <c r="B5818" t="s">
        <v>2008</v>
      </c>
      <c r="C5818" t="s">
        <v>9094</v>
      </c>
      <c r="D5818" t="s">
        <v>17164</v>
      </c>
      <c r="E5818" t="s">
        <v>21474</v>
      </c>
      <c r="F5818" t="s">
        <v>29372</v>
      </c>
      <c r="G5818" t="s">
        <v>29382</v>
      </c>
      <c r="H5818" t="s">
        <v>11048</v>
      </c>
      <c r="I5818" t="s">
        <v>4709</v>
      </c>
      <c r="J5818" t="s">
        <v>29786</v>
      </c>
      <c r="K5818" t="s">
        <v>38488</v>
      </c>
      <c r="M5818" t="s">
        <v>40899</v>
      </c>
      <c r="N5818" t="s">
        <v>42669</v>
      </c>
      <c r="O5818" t="s">
        <v>42670</v>
      </c>
      <c r="P5818">
        <v>0</v>
      </c>
      <c r="Q5818">
        <v>2</v>
      </c>
      <c r="R5818" t="s">
        <v>42677</v>
      </c>
      <c r="S5818" t="s">
        <v>42830</v>
      </c>
      <c r="T5818" t="s">
        <v>44417</v>
      </c>
      <c r="U5818" t="s">
        <v>49593</v>
      </c>
      <c r="W5818" t="s">
        <v>40899</v>
      </c>
      <c r="X5818" t="s">
        <v>42678</v>
      </c>
    </row>
    <row r="5819" spans="1:24">
      <c r="A5819">
        <f>HYPERLINK("https://www.philgeps.gov.ph/GEPSNONPILOT/Tender/SplashBidNoticeAbstractUI.aspx?menuIndex=3&amp;refID=7184150&amp;Result=3","7184150")</f>
        <v>0</v>
      </c>
      <c r="B5819" t="s">
        <v>2009</v>
      </c>
      <c r="C5819" t="s">
        <v>9095</v>
      </c>
      <c r="D5819" t="s">
        <v>17169</v>
      </c>
      <c r="E5819" t="s">
        <v>17947</v>
      </c>
      <c r="F5819" t="s">
        <v>29372</v>
      </c>
      <c r="G5819" t="s">
        <v>29380</v>
      </c>
      <c r="H5819" t="s">
        <v>11048</v>
      </c>
      <c r="I5819" t="s">
        <v>29398</v>
      </c>
      <c r="J5819" t="s">
        <v>29751</v>
      </c>
      <c r="K5819" t="s">
        <v>38488</v>
      </c>
      <c r="M5819" t="s">
        <v>40900</v>
      </c>
      <c r="N5819" t="s">
        <v>42669</v>
      </c>
      <c r="O5819" t="s">
        <v>42670</v>
      </c>
      <c r="P5819">
        <v>0</v>
      </c>
      <c r="Q5819">
        <v>1</v>
      </c>
      <c r="R5819" t="s">
        <v>42677</v>
      </c>
      <c r="S5819" t="s">
        <v>42830</v>
      </c>
      <c r="T5819" t="s">
        <v>44394</v>
      </c>
      <c r="U5819" t="s">
        <v>49594</v>
      </c>
      <c r="W5819" t="s">
        <v>40900</v>
      </c>
      <c r="X5819" t="s">
        <v>42678</v>
      </c>
    </row>
    <row r="5820" spans="1:24">
      <c r="A5820">
        <f>HYPERLINK("https://www.philgeps.gov.ph/GEPSNONPILOT/Tender/SplashBidNoticeAbstractUI.aspx?menuIndex=3&amp;refID=7184138&amp;Result=3","7184138")</f>
        <v>0</v>
      </c>
      <c r="B5820" t="s">
        <v>2010</v>
      </c>
      <c r="C5820" t="s">
        <v>9096</v>
      </c>
      <c r="D5820" t="s">
        <v>17143</v>
      </c>
      <c r="E5820" t="s">
        <v>22283</v>
      </c>
      <c r="F5820" t="s">
        <v>29372</v>
      </c>
      <c r="G5820" t="s">
        <v>29379</v>
      </c>
      <c r="H5820" t="s">
        <v>11048</v>
      </c>
      <c r="I5820" t="s">
        <v>3839</v>
      </c>
      <c r="J5820" t="s">
        <v>29555</v>
      </c>
      <c r="K5820" t="s">
        <v>38488</v>
      </c>
      <c r="M5820" t="s">
        <v>40901</v>
      </c>
      <c r="N5820" t="s">
        <v>42669</v>
      </c>
      <c r="O5820" t="s">
        <v>42670</v>
      </c>
      <c r="P5820">
        <v>0</v>
      </c>
      <c r="Q5820">
        <v>2</v>
      </c>
      <c r="R5820" t="s">
        <v>42677</v>
      </c>
      <c r="S5820" t="s">
        <v>42830</v>
      </c>
      <c r="T5820" t="s">
        <v>44432</v>
      </c>
      <c r="U5820" t="s">
        <v>49595</v>
      </c>
      <c r="V5820" t="s">
        <v>57001</v>
      </c>
      <c r="W5820" t="s">
        <v>40901</v>
      </c>
      <c r="X5820" t="s">
        <v>42678</v>
      </c>
    </row>
    <row r="5821" spans="1:24">
      <c r="A5821">
        <f>HYPERLINK("https://www.philgeps.gov.ph/GEPSNONPILOT/Tender/SplashBidNoticeAbstractUI.aspx?menuIndex=3&amp;refID=7184156&amp;Result=3","7184156")</f>
        <v>0</v>
      </c>
      <c r="B5821" t="s">
        <v>1377</v>
      </c>
      <c r="C5821" t="s">
        <v>9097</v>
      </c>
      <c r="D5821" t="s">
        <v>17172</v>
      </c>
      <c r="E5821" t="s">
        <v>22284</v>
      </c>
      <c r="F5821" t="s">
        <v>29372</v>
      </c>
      <c r="G5821" t="s">
        <v>29380</v>
      </c>
      <c r="H5821" t="s">
        <v>11048</v>
      </c>
      <c r="I5821" t="s">
        <v>4709</v>
      </c>
      <c r="J5821" t="s">
        <v>33290</v>
      </c>
      <c r="K5821" t="s">
        <v>38510</v>
      </c>
      <c r="M5821" t="s">
        <v>40214</v>
      </c>
      <c r="N5821" t="s">
        <v>42669</v>
      </c>
      <c r="O5821" t="s">
        <v>42670</v>
      </c>
      <c r="P5821">
        <v>0</v>
      </c>
      <c r="Q5821">
        <v>0</v>
      </c>
      <c r="R5821" t="s">
        <v>42677</v>
      </c>
      <c r="S5821" t="s">
        <v>42830</v>
      </c>
      <c r="T5821" t="s">
        <v>44371</v>
      </c>
      <c r="U5821" t="s">
        <v>49596</v>
      </c>
      <c r="W5821" t="s">
        <v>40214</v>
      </c>
      <c r="X5821" t="s">
        <v>42678</v>
      </c>
    </row>
    <row r="5822" spans="1:24">
      <c r="A5822">
        <f>HYPERLINK("https://www.philgeps.gov.ph/GEPSNONPILOT/Tender/SplashBidNoticeAbstractUI.aspx?menuIndex=3&amp;refID=7184177&amp;Result=3","7184177")</f>
        <v>0</v>
      </c>
      <c r="B5822" t="s">
        <v>52</v>
      </c>
      <c r="C5822" t="s">
        <v>9098</v>
      </c>
      <c r="D5822" t="s">
        <v>17164</v>
      </c>
      <c r="E5822" t="s">
        <v>22285</v>
      </c>
      <c r="F5822" t="s">
        <v>29372</v>
      </c>
      <c r="G5822" t="s">
        <v>29379</v>
      </c>
      <c r="H5822" t="s">
        <v>11048</v>
      </c>
      <c r="I5822" t="s">
        <v>14920</v>
      </c>
      <c r="J5822" t="s">
        <v>33291</v>
      </c>
      <c r="K5822" t="s">
        <v>38522</v>
      </c>
      <c r="M5822" t="s">
        <v>40848</v>
      </c>
      <c r="N5822" t="s">
        <v>42669</v>
      </c>
      <c r="O5822" t="s">
        <v>42670</v>
      </c>
      <c r="P5822">
        <v>0</v>
      </c>
      <c r="Q5822">
        <v>0</v>
      </c>
      <c r="R5822" t="s">
        <v>42677</v>
      </c>
      <c r="S5822" t="s">
        <v>42830</v>
      </c>
      <c r="T5822" t="s">
        <v>44489</v>
      </c>
      <c r="U5822" t="s">
        <v>49597</v>
      </c>
      <c r="W5822" t="s">
        <v>40848</v>
      </c>
      <c r="X5822" t="s">
        <v>42678</v>
      </c>
    </row>
    <row r="5823" spans="1:24">
      <c r="A5823">
        <f>HYPERLINK("https://www.philgeps.gov.ph/GEPSNONPILOT/Tender/SplashBidNoticeAbstractUI.aspx?menuIndex=3&amp;refID=7184153&amp;Result=3","7184153")</f>
        <v>0</v>
      </c>
      <c r="B5823" t="s">
        <v>2011</v>
      </c>
      <c r="C5823" t="s">
        <v>9099</v>
      </c>
      <c r="D5823" t="s">
        <v>17157</v>
      </c>
      <c r="E5823" t="s">
        <v>22286</v>
      </c>
      <c r="F5823" t="s">
        <v>29372</v>
      </c>
      <c r="G5823" t="s">
        <v>29380</v>
      </c>
      <c r="H5823" t="s">
        <v>11048</v>
      </c>
      <c r="I5823" t="s">
        <v>3695</v>
      </c>
      <c r="J5823" t="s">
        <v>33292</v>
      </c>
      <c r="K5823" t="s">
        <v>38488</v>
      </c>
      <c r="M5823" t="s">
        <v>40902</v>
      </c>
      <c r="N5823" t="s">
        <v>42669</v>
      </c>
      <c r="O5823" t="s">
        <v>42670</v>
      </c>
      <c r="P5823">
        <v>0</v>
      </c>
      <c r="Q5823">
        <v>4</v>
      </c>
      <c r="R5823" t="s">
        <v>42677</v>
      </c>
      <c r="S5823" t="s">
        <v>42830</v>
      </c>
      <c r="T5823" t="s">
        <v>44703</v>
      </c>
      <c r="U5823" t="s">
        <v>49598</v>
      </c>
      <c r="W5823" t="s">
        <v>41568</v>
      </c>
      <c r="X5823" t="s">
        <v>42678</v>
      </c>
    </row>
    <row r="5824" spans="1:24">
      <c r="A5824">
        <f>HYPERLINK("https://www.philgeps.gov.ph/GEPSNONPILOT/Tender/SplashBidNoticeAbstractUI.aspx?menuIndex=3&amp;refID=7184248&amp;Result=3","7184248")</f>
        <v>0</v>
      </c>
      <c r="B5824" t="s">
        <v>684</v>
      </c>
      <c r="C5824" t="s">
        <v>9100</v>
      </c>
      <c r="D5824" t="s">
        <v>17147</v>
      </c>
      <c r="E5824" t="s">
        <v>22287</v>
      </c>
      <c r="F5824" t="s">
        <v>29372</v>
      </c>
      <c r="G5824" t="s">
        <v>29379</v>
      </c>
      <c r="H5824" t="s">
        <v>29391</v>
      </c>
      <c r="I5824" t="s">
        <v>29391</v>
      </c>
      <c r="J5824" t="s">
        <v>33293</v>
      </c>
      <c r="K5824" t="s">
        <v>38485</v>
      </c>
      <c r="M5824" t="s">
        <v>39790</v>
      </c>
      <c r="N5824" t="s">
        <v>42669</v>
      </c>
      <c r="O5824" t="s">
        <v>42670</v>
      </c>
      <c r="P5824">
        <v>0</v>
      </c>
      <c r="Q5824">
        <v>0</v>
      </c>
      <c r="R5824" t="s">
        <v>42677</v>
      </c>
      <c r="S5824" t="s">
        <v>42830</v>
      </c>
      <c r="T5824" t="s">
        <v>44429</v>
      </c>
      <c r="U5824" t="s">
        <v>49599</v>
      </c>
      <c r="W5824" t="s">
        <v>39790</v>
      </c>
      <c r="X5824" t="s">
        <v>42678</v>
      </c>
    </row>
    <row r="5825" spans="1:24">
      <c r="A5825">
        <f>HYPERLINK("https://www.philgeps.gov.ph/GEPSNONPILOT/Tender/SplashBidNoticeAbstractUI.aspx?menuIndex=3&amp;refID=7184238&amp;Result=3","7184238")</f>
        <v>0</v>
      </c>
      <c r="B5825" t="s">
        <v>671</v>
      </c>
      <c r="C5825" t="s">
        <v>9101</v>
      </c>
      <c r="E5825" t="s">
        <v>22288</v>
      </c>
      <c r="F5825" t="s">
        <v>29372</v>
      </c>
      <c r="G5825" t="s">
        <v>29379</v>
      </c>
      <c r="H5825" t="s">
        <v>11048</v>
      </c>
      <c r="I5825" t="s">
        <v>8208</v>
      </c>
      <c r="J5825" t="s">
        <v>29980</v>
      </c>
      <c r="K5825" t="s">
        <v>38490</v>
      </c>
      <c r="M5825" t="s">
        <v>39447</v>
      </c>
      <c r="N5825" t="s">
        <v>42669</v>
      </c>
      <c r="O5825" t="s">
        <v>42670</v>
      </c>
      <c r="P5825">
        <v>0</v>
      </c>
      <c r="Q5825">
        <v>1</v>
      </c>
      <c r="R5825" t="s">
        <v>42677</v>
      </c>
      <c r="S5825" t="s">
        <v>42830</v>
      </c>
      <c r="T5825" t="s">
        <v>44432</v>
      </c>
      <c r="U5825" t="s">
        <v>49600</v>
      </c>
      <c r="W5825" t="s">
        <v>39447</v>
      </c>
      <c r="X5825" t="s">
        <v>42678</v>
      </c>
    </row>
    <row r="5826" spans="1:24">
      <c r="A5826">
        <f>HYPERLINK("https://www.philgeps.gov.ph/GEPSNONPILOT/Tender/SplashBidNoticeAbstractUI.aspx?menuIndex=3&amp;refID=7184146&amp;Result=3","7184146")</f>
        <v>0</v>
      </c>
      <c r="B5826" t="s">
        <v>2012</v>
      </c>
      <c r="C5826" t="s">
        <v>9102</v>
      </c>
      <c r="D5826" t="s">
        <v>17197</v>
      </c>
      <c r="E5826" t="s">
        <v>22289</v>
      </c>
      <c r="F5826" t="s">
        <v>29372</v>
      </c>
      <c r="G5826" t="s">
        <v>29380</v>
      </c>
      <c r="H5826" t="s">
        <v>29389</v>
      </c>
      <c r="I5826" t="s">
        <v>10408</v>
      </c>
      <c r="J5826" t="s">
        <v>33294</v>
      </c>
      <c r="K5826" t="s">
        <v>38496</v>
      </c>
      <c r="M5826" t="s">
        <v>40903</v>
      </c>
      <c r="N5826" t="s">
        <v>42669</v>
      </c>
      <c r="O5826" t="s">
        <v>42670</v>
      </c>
      <c r="P5826">
        <v>0</v>
      </c>
      <c r="Q5826">
        <v>0</v>
      </c>
      <c r="R5826" t="s">
        <v>42677</v>
      </c>
      <c r="S5826" t="s">
        <v>42830</v>
      </c>
      <c r="T5826" t="s">
        <v>44355</v>
      </c>
      <c r="U5826" t="s">
        <v>49601</v>
      </c>
      <c r="W5826" t="s">
        <v>40903</v>
      </c>
      <c r="X5826" t="s">
        <v>42678</v>
      </c>
    </row>
    <row r="5827" spans="1:24">
      <c r="A5827">
        <f>HYPERLINK("https://www.philgeps.gov.ph/GEPSNONPILOT/Tender/SplashBidNoticeAbstractUI.aspx?menuIndex=3&amp;refID=7184235&amp;Result=3","7184235")</f>
        <v>0</v>
      </c>
      <c r="B5827" t="s">
        <v>593</v>
      </c>
      <c r="C5827" t="s">
        <v>9103</v>
      </c>
      <c r="D5827" t="s">
        <v>17188</v>
      </c>
      <c r="E5827" t="s">
        <v>22290</v>
      </c>
      <c r="F5827" t="s">
        <v>29372</v>
      </c>
      <c r="G5827" t="s">
        <v>29380</v>
      </c>
      <c r="H5827" t="s">
        <v>29389</v>
      </c>
      <c r="I5827" t="s">
        <v>10408</v>
      </c>
      <c r="J5827" t="s">
        <v>33295</v>
      </c>
      <c r="K5827" t="s">
        <v>38563</v>
      </c>
      <c r="M5827" t="s">
        <v>39364</v>
      </c>
      <c r="N5827" t="s">
        <v>42669</v>
      </c>
      <c r="O5827" t="s">
        <v>42670</v>
      </c>
      <c r="Q5827">
        <v>1</v>
      </c>
      <c r="R5827" t="s">
        <v>42677</v>
      </c>
      <c r="S5827" t="s">
        <v>42847</v>
      </c>
      <c r="T5827" t="s">
        <v>44704</v>
      </c>
      <c r="U5827" t="s">
        <v>49602</v>
      </c>
      <c r="V5827" t="s">
        <v>57002</v>
      </c>
      <c r="W5827" t="s">
        <v>39364</v>
      </c>
      <c r="X5827" t="s">
        <v>42678</v>
      </c>
    </row>
    <row r="5828" spans="1:24">
      <c r="A5828">
        <f>HYPERLINK("https://www.philgeps.gov.ph/GEPSNONPILOT/Tender/SplashBidNoticeAbstractUI.aspx?menuIndex=3&amp;refID=7184232&amp;Result=3","7184232")</f>
        <v>0</v>
      </c>
      <c r="B5828" t="s">
        <v>1472</v>
      </c>
      <c r="C5828" t="s">
        <v>9104</v>
      </c>
      <c r="D5828" t="s">
        <v>17170</v>
      </c>
      <c r="E5828" t="s">
        <v>22291</v>
      </c>
      <c r="F5828" t="s">
        <v>29372</v>
      </c>
      <c r="G5828" t="s">
        <v>29383</v>
      </c>
      <c r="H5828" t="s">
        <v>11048</v>
      </c>
      <c r="I5828" t="s">
        <v>29393</v>
      </c>
      <c r="J5828" t="s">
        <v>33296</v>
      </c>
      <c r="K5828" t="s">
        <v>38491</v>
      </c>
      <c r="M5828" t="s">
        <v>40315</v>
      </c>
      <c r="N5828" t="s">
        <v>42669</v>
      </c>
      <c r="O5828" t="s">
        <v>42670</v>
      </c>
      <c r="P5828">
        <v>0</v>
      </c>
      <c r="Q5828">
        <v>0</v>
      </c>
      <c r="R5828" t="s">
        <v>42677</v>
      </c>
      <c r="S5828" t="s">
        <v>42830</v>
      </c>
      <c r="T5828" t="s">
        <v>44432</v>
      </c>
      <c r="U5828" t="s">
        <v>49603</v>
      </c>
      <c r="W5828" t="s">
        <v>40315</v>
      </c>
      <c r="X5828" t="s">
        <v>42678</v>
      </c>
    </row>
    <row r="5829" spans="1:24">
      <c r="A5829">
        <f>HYPERLINK("https://www.philgeps.gov.ph/GEPSNONPILOT/Tender/SplashBidNoticeAbstractUI.aspx?menuIndex=3&amp;refID=7184095&amp;Result=3","7184095")</f>
        <v>0</v>
      </c>
      <c r="B5829" t="s">
        <v>1472</v>
      </c>
      <c r="C5829" t="s">
        <v>9104</v>
      </c>
      <c r="D5829" t="s">
        <v>17170</v>
      </c>
      <c r="E5829" t="s">
        <v>22292</v>
      </c>
      <c r="F5829" t="s">
        <v>29372</v>
      </c>
      <c r="G5829" t="s">
        <v>29383</v>
      </c>
      <c r="H5829" t="s">
        <v>11048</v>
      </c>
      <c r="I5829" t="s">
        <v>29393</v>
      </c>
      <c r="J5829" t="s">
        <v>33297</v>
      </c>
      <c r="K5829" t="s">
        <v>38491</v>
      </c>
      <c r="M5829" t="s">
        <v>40315</v>
      </c>
      <c r="N5829" t="s">
        <v>42669</v>
      </c>
      <c r="O5829" t="s">
        <v>42670</v>
      </c>
      <c r="P5829">
        <v>0</v>
      </c>
      <c r="Q5829">
        <v>0</v>
      </c>
      <c r="R5829" t="s">
        <v>42677</v>
      </c>
      <c r="S5829" t="s">
        <v>42830</v>
      </c>
      <c r="T5829" t="s">
        <v>44432</v>
      </c>
      <c r="U5829" t="s">
        <v>49604</v>
      </c>
      <c r="W5829" t="s">
        <v>40315</v>
      </c>
      <c r="X5829" t="s">
        <v>42678</v>
      </c>
    </row>
    <row r="5830" spans="1:24">
      <c r="A5830">
        <f>HYPERLINK("https://www.philgeps.gov.ph/GEPSNONPILOT/Tender/SplashBidNoticeAbstractUI.aspx?menuIndex=3&amp;refID=7184233&amp;Result=3","7184233")</f>
        <v>0</v>
      </c>
      <c r="B5830" t="s">
        <v>445</v>
      </c>
      <c r="C5830" t="s">
        <v>9105</v>
      </c>
      <c r="D5830" t="s">
        <v>17194</v>
      </c>
      <c r="E5830" t="s">
        <v>22293</v>
      </c>
      <c r="F5830" t="s">
        <v>29373</v>
      </c>
      <c r="G5830" t="s">
        <v>29379</v>
      </c>
      <c r="H5830" t="s">
        <v>11048</v>
      </c>
      <c r="I5830" t="s">
        <v>4709</v>
      </c>
      <c r="J5830" t="s">
        <v>33298</v>
      </c>
      <c r="K5830" t="s">
        <v>38491</v>
      </c>
      <c r="M5830" t="s">
        <v>39209</v>
      </c>
      <c r="N5830" t="s">
        <v>42669</v>
      </c>
      <c r="O5830" t="s">
        <v>42670</v>
      </c>
      <c r="P5830">
        <v>0</v>
      </c>
      <c r="Q5830">
        <v>1</v>
      </c>
      <c r="R5830" t="s">
        <v>42677</v>
      </c>
      <c r="S5830" t="s">
        <v>42830</v>
      </c>
      <c r="T5830" t="s">
        <v>44481</v>
      </c>
      <c r="U5830" t="s">
        <v>45838</v>
      </c>
      <c r="V5830" t="s">
        <v>56470</v>
      </c>
      <c r="W5830" t="s">
        <v>58015</v>
      </c>
      <c r="X5830" t="s">
        <v>42678</v>
      </c>
    </row>
    <row r="5831" spans="1:24">
      <c r="A5831">
        <f>HYPERLINK("https://www.philgeps.gov.ph/GEPSNONPILOT/Tender/SplashBidNoticeAbstractUI.aspx?menuIndex=3&amp;refID=7184222&amp;Result=3","7184222")</f>
        <v>0</v>
      </c>
      <c r="B5831" t="s">
        <v>2013</v>
      </c>
      <c r="C5831" t="s">
        <v>9106</v>
      </c>
      <c r="E5831" t="s">
        <v>22294</v>
      </c>
      <c r="F5831" t="s">
        <v>29372</v>
      </c>
      <c r="G5831" t="s">
        <v>29380</v>
      </c>
      <c r="H5831" t="s">
        <v>29389</v>
      </c>
      <c r="I5831" t="s">
        <v>29429</v>
      </c>
      <c r="J5831" t="s">
        <v>33299</v>
      </c>
      <c r="K5831" t="s">
        <v>38490</v>
      </c>
      <c r="M5831" t="s">
        <v>40904</v>
      </c>
      <c r="N5831" t="s">
        <v>42669</v>
      </c>
      <c r="O5831" t="s">
        <v>42670</v>
      </c>
      <c r="P5831">
        <v>0</v>
      </c>
      <c r="Q5831">
        <v>59</v>
      </c>
      <c r="R5831" t="s">
        <v>42677</v>
      </c>
      <c r="S5831" t="s">
        <v>42830</v>
      </c>
      <c r="T5831" t="s">
        <v>44565</v>
      </c>
      <c r="U5831" t="s">
        <v>49605</v>
      </c>
      <c r="W5831" t="s">
        <v>40904</v>
      </c>
      <c r="X5831" t="s">
        <v>42678</v>
      </c>
    </row>
    <row r="5832" spans="1:24">
      <c r="A5832">
        <f>HYPERLINK("https://www.philgeps.gov.ph/GEPSNONPILOT/Tender/SplashBidNoticeAbstractUI.aspx?menuIndex=3&amp;refID=7184244&amp;Result=3","7184244")</f>
        <v>0</v>
      </c>
      <c r="B5832" t="s">
        <v>2014</v>
      </c>
      <c r="C5832" t="s">
        <v>7593</v>
      </c>
      <c r="D5832" t="s">
        <v>17169</v>
      </c>
      <c r="E5832" t="s">
        <v>20948</v>
      </c>
      <c r="F5832" t="s">
        <v>29372</v>
      </c>
      <c r="G5832" t="s">
        <v>29380</v>
      </c>
      <c r="H5832" t="s">
        <v>29389</v>
      </c>
      <c r="I5832" t="s">
        <v>10408</v>
      </c>
      <c r="J5832" t="s">
        <v>33300</v>
      </c>
      <c r="K5832" t="s">
        <v>38488</v>
      </c>
      <c r="M5832" t="s">
        <v>40905</v>
      </c>
      <c r="N5832" t="s">
        <v>42669</v>
      </c>
      <c r="O5832" t="s">
        <v>42670</v>
      </c>
      <c r="P5832">
        <v>0</v>
      </c>
      <c r="Q5832">
        <v>2</v>
      </c>
      <c r="R5832" t="s">
        <v>42677</v>
      </c>
      <c r="S5832" t="s">
        <v>42830</v>
      </c>
      <c r="T5832" t="s">
        <v>44398</v>
      </c>
      <c r="U5832" t="s">
        <v>49606</v>
      </c>
      <c r="W5832" t="s">
        <v>40905</v>
      </c>
      <c r="X5832" t="s">
        <v>42678</v>
      </c>
    </row>
    <row r="5833" spans="1:24">
      <c r="A5833">
        <f>HYPERLINK("https://www.philgeps.gov.ph/GEPSNONPILOT/Tender/SplashBidNoticeAbstractUI.aspx?menuIndex=3&amp;refID=7184215&amp;Result=3","7184215")</f>
        <v>0</v>
      </c>
      <c r="B5833" t="s">
        <v>2014</v>
      </c>
      <c r="C5833" t="s">
        <v>9107</v>
      </c>
      <c r="D5833" t="s">
        <v>17169</v>
      </c>
      <c r="E5833" t="s">
        <v>21254</v>
      </c>
      <c r="F5833" t="s">
        <v>29372</v>
      </c>
      <c r="G5833" t="s">
        <v>29380</v>
      </c>
      <c r="H5833" t="s">
        <v>29389</v>
      </c>
      <c r="I5833" t="s">
        <v>10408</v>
      </c>
      <c r="J5833" t="s">
        <v>33301</v>
      </c>
      <c r="K5833" t="s">
        <v>38488</v>
      </c>
      <c r="M5833" t="s">
        <v>40905</v>
      </c>
      <c r="N5833" t="s">
        <v>42669</v>
      </c>
      <c r="O5833" t="s">
        <v>42670</v>
      </c>
      <c r="P5833">
        <v>0</v>
      </c>
      <c r="Q5833">
        <v>2</v>
      </c>
      <c r="R5833" t="s">
        <v>42677</v>
      </c>
      <c r="S5833" t="s">
        <v>42830</v>
      </c>
      <c r="T5833" t="s">
        <v>44398</v>
      </c>
      <c r="U5833" t="s">
        <v>49607</v>
      </c>
      <c r="W5833" t="s">
        <v>40905</v>
      </c>
      <c r="X5833" t="s">
        <v>42678</v>
      </c>
    </row>
    <row r="5834" spans="1:24">
      <c r="A5834">
        <f>HYPERLINK("https://www.philgeps.gov.ph/GEPSNONPILOT/Tender/SplashBidNoticeAbstractUI.aspx?menuIndex=3&amp;refID=7184121&amp;Result=3","7184121")</f>
        <v>0</v>
      </c>
      <c r="B5834" t="s">
        <v>1992</v>
      </c>
      <c r="C5834" t="s">
        <v>9108</v>
      </c>
      <c r="D5834" t="s">
        <v>17178</v>
      </c>
      <c r="E5834" t="s">
        <v>22295</v>
      </c>
      <c r="F5834" t="s">
        <v>29372</v>
      </c>
      <c r="G5834" t="s">
        <v>29379</v>
      </c>
      <c r="H5834" t="s">
        <v>11048</v>
      </c>
      <c r="I5834" t="s">
        <v>3670</v>
      </c>
      <c r="J5834" t="s">
        <v>33302</v>
      </c>
      <c r="K5834" t="s">
        <v>38491</v>
      </c>
      <c r="M5834" t="s">
        <v>40882</v>
      </c>
      <c r="N5834" t="s">
        <v>42669</v>
      </c>
      <c r="O5834" t="s">
        <v>42670</v>
      </c>
      <c r="P5834">
        <v>0</v>
      </c>
      <c r="Q5834">
        <v>1</v>
      </c>
      <c r="R5834" t="s">
        <v>42677</v>
      </c>
      <c r="S5834" t="s">
        <v>42830</v>
      </c>
      <c r="T5834" t="s">
        <v>44425</v>
      </c>
      <c r="U5834" t="s">
        <v>49543</v>
      </c>
      <c r="W5834" t="s">
        <v>40882</v>
      </c>
      <c r="X5834" t="s">
        <v>42678</v>
      </c>
    </row>
    <row r="5835" spans="1:24">
      <c r="A5835">
        <f>HYPERLINK("https://www.philgeps.gov.ph/GEPSNONPILOT/Tender/SplashBidNoticeAbstractUI.aspx?menuIndex=3&amp;refID=7184210&amp;Result=3","7184210")</f>
        <v>0</v>
      </c>
      <c r="B5835" t="s">
        <v>1152</v>
      </c>
      <c r="C5835" t="s">
        <v>9109</v>
      </c>
      <c r="D5835" t="s">
        <v>17204</v>
      </c>
      <c r="E5835" t="s">
        <v>22296</v>
      </c>
      <c r="F5835" t="s">
        <v>29372</v>
      </c>
      <c r="G5835" t="s">
        <v>29380</v>
      </c>
      <c r="H5835" t="s">
        <v>11048</v>
      </c>
      <c r="I5835" t="s">
        <v>9469</v>
      </c>
      <c r="J5835" t="s">
        <v>29788</v>
      </c>
      <c r="K5835" t="s">
        <v>38485</v>
      </c>
      <c r="M5835" t="s">
        <v>39966</v>
      </c>
      <c r="N5835" t="s">
        <v>42669</v>
      </c>
      <c r="O5835" t="s">
        <v>42670</v>
      </c>
      <c r="P5835">
        <v>0</v>
      </c>
      <c r="Q5835">
        <v>6</v>
      </c>
      <c r="R5835" t="s">
        <v>42677</v>
      </c>
      <c r="S5835" t="s">
        <v>42830</v>
      </c>
      <c r="T5835" t="s">
        <v>44368</v>
      </c>
      <c r="U5835" t="s">
        <v>49608</v>
      </c>
      <c r="V5835" t="s">
        <v>57003</v>
      </c>
      <c r="W5835" t="s">
        <v>39966</v>
      </c>
      <c r="X5835" t="s">
        <v>42678</v>
      </c>
    </row>
    <row r="5836" spans="1:24">
      <c r="A5836">
        <f>HYPERLINK("https://www.philgeps.gov.ph/GEPSNONPILOT/Tender/SplashBidNoticeAbstractUI.aspx?menuIndex=3&amp;refID=7184202&amp;Result=3","7184202")</f>
        <v>0</v>
      </c>
      <c r="B5836" t="s">
        <v>2015</v>
      </c>
      <c r="C5836" t="s">
        <v>9110</v>
      </c>
      <c r="D5836" t="s">
        <v>17176</v>
      </c>
      <c r="E5836" t="s">
        <v>22297</v>
      </c>
      <c r="F5836" t="s">
        <v>29372</v>
      </c>
      <c r="G5836" t="s">
        <v>29380</v>
      </c>
      <c r="H5836" t="s">
        <v>11048</v>
      </c>
      <c r="I5836" t="s">
        <v>29409</v>
      </c>
      <c r="J5836" t="s">
        <v>29526</v>
      </c>
      <c r="K5836" t="s">
        <v>38490</v>
      </c>
      <c r="L5836" t="s">
        <v>2015</v>
      </c>
      <c r="M5836" t="s">
        <v>40906</v>
      </c>
      <c r="N5836" t="s">
        <v>42669</v>
      </c>
      <c r="O5836" t="s">
        <v>42670</v>
      </c>
      <c r="P5836">
        <v>0</v>
      </c>
      <c r="Q5836">
        <v>4</v>
      </c>
      <c r="R5836" t="s">
        <v>42677</v>
      </c>
      <c r="S5836" t="s">
        <v>42830</v>
      </c>
      <c r="T5836" t="s">
        <v>44524</v>
      </c>
      <c r="U5836" t="s">
        <v>49609</v>
      </c>
      <c r="W5836" t="s">
        <v>40906</v>
      </c>
      <c r="X5836" t="s">
        <v>42678</v>
      </c>
    </row>
    <row r="5837" spans="1:24">
      <c r="A5837">
        <f>HYPERLINK("https://www.philgeps.gov.ph/GEPSNONPILOT/Tender/SplashBidNoticeAbstractUI.aspx?menuIndex=3&amp;refID=7184229&amp;Result=3","7184229")</f>
        <v>0</v>
      </c>
      <c r="B5837" t="s">
        <v>88</v>
      </c>
      <c r="C5837" t="s">
        <v>9111</v>
      </c>
      <c r="D5837" t="s">
        <v>17174</v>
      </c>
      <c r="E5837" t="s">
        <v>18075</v>
      </c>
      <c r="F5837" t="s">
        <v>29372</v>
      </c>
      <c r="G5837" t="s">
        <v>29380</v>
      </c>
      <c r="H5837" t="s">
        <v>11048</v>
      </c>
      <c r="I5837" t="s">
        <v>29398</v>
      </c>
      <c r="J5837" t="s">
        <v>33303</v>
      </c>
      <c r="K5837" t="s">
        <v>38488</v>
      </c>
      <c r="M5837" t="s">
        <v>38842</v>
      </c>
      <c r="N5837" t="s">
        <v>42669</v>
      </c>
      <c r="O5837" t="s">
        <v>42670</v>
      </c>
      <c r="P5837">
        <v>0</v>
      </c>
      <c r="Q5837">
        <v>2</v>
      </c>
      <c r="R5837" t="s">
        <v>42677</v>
      </c>
      <c r="S5837" t="s">
        <v>42830</v>
      </c>
      <c r="T5837" t="s">
        <v>44448</v>
      </c>
      <c r="U5837" t="s">
        <v>49610</v>
      </c>
      <c r="V5837" t="s">
        <v>57004</v>
      </c>
      <c r="W5837" t="s">
        <v>38842</v>
      </c>
      <c r="X5837" t="s">
        <v>42678</v>
      </c>
    </row>
    <row r="5838" spans="1:24">
      <c r="A5838">
        <f>HYPERLINK("https://www.philgeps.gov.ph/GEPSNONPILOT/Tender/SplashBidNoticeAbstractUI.aspx?menuIndex=3&amp;refID=7184246&amp;Result=3","7184246")</f>
        <v>0</v>
      </c>
      <c r="B5838" t="s">
        <v>798</v>
      </c>
      <c r="C5838" t="s">
        <v>9112</v>
      </c>
      <c r="D5838" t="s">
        <v>17188</v>
      </c>
      <c r="E5838" t="s">
        <v>22298</v>
      </c>
      <c r="F5838" t="s">
        <v>29372</v>
      </c>
      <c r="G5838" t="s">
        <v>29383</v>
      </c>
      <c r="H5838" t="s">
        <v>11048</v>
      </c>
      <c r="I5838" t="s">
        <v>4709</v>
      </c>
      <c r="J5838" t="s">
        <v>29642</v>
      </c>
      <c r="K5838" t="s">
        <v>38490</v>
      </c>
      <c r="M5838" t="s">
        <v>39582</v>
      </c>
      <c r="N5838" t="s">
        <v>42669</v>
      </c>
      <c r="O5838" t="s">
        <v>42670</v>
      </c>
      <c r="P5838">
        <v>0</v>
      </c>
      <c r="Q5838">
        <v>1</v>
      </c>
      <c r="R5838" t="s">
        <v>42677</v>
      </c>
      <c r="S5838" t="s">
        <v>42830</v>
      </c>
      <c r="T5838" t="s">
        <v>44429</v>
      </c>
      <c r="U5838" t="s">
        <v>49611</v>
      </c>
      <c r="W5838" t="s">
        <v>39582</v>
      </c>
      <c r="X5838" t="s">
        <v>42678</v>
      </c>
    </row>
    <row r="5839" spans="1:24">
      <c r="A5839">
        <f>HYPERLINK("https://www.philgeps.gov.ph/GEPSNONPILOT/Tender/SplashBidNoticeAbstractUI.aspx?menuIndex=3&amp;refID=7184199&amp;Result=3","7184199")</f>
        <v>0</v>
      </c>
      <c r="B5839" t="s">
        <v>2012</v>
      </c>
      <c r="C5839" t="s">
        <v>9113</v>
      </c>
      <c r="D5839" t="s">
        <v>17197</v>
      </c>
      <c r="E5839" t="s">
        <v>22299</v>
      </c>
      <c r="F5839" t="s">
        <v>29372</v>
      </c>
      <c r="G5839" t="s">
        <v>29380</v>
      </c>
      <c r="H5839" t="s">
        <v>29389</v>
      </c>
      <c r="I5839" t="s">
        <v>10408</v>
      </c>
      <c r="J5839" t="s">
        <v>33304</v>
      </c>
      <c r="K5839" t="s">
        <v>38522</v>
      </c>
      <c r="M5839" t="s">
        <v>40903</v>
      </c>
      <c r="N5839" t="s">
        <v>42669</v>
      </c>
      <c r="O5839" t="s">
        <v>42670</v>
      </c>
      <c r="P5839">
        <v>0</v>
      </c>
      <c r="Q5839">
        <v>0</v>
      </c>
      <c r="R5839" t="s">
        <v>42677</v>
      </c>
      <c r="S5839" t="s">
        <v>42830</v>
      </c>
      <c r="T5839" t="s">
        <v>44355</v>
      </c>
      <c r="U5839" t="s">
        <v>49601</v>
      </c>
      <c r="W5839" t="s">
        <v>40903</v>
      </c>
      <c r="X5839" t="s">
        <v>42678</v>
      </c>
    </row>
    <row r="5840" spans="1:24">
      <c r="A5840">
        <f>HYPERLINK("https://www.philgeps.gov.ph/GEPSNONPILOT/Tender/SplashBidNoticeAbstractUI.aspx?menuIndex=3&amp;refID=7184206&amp;Result=3","7184206")</f>
        <v>0</v>
      </c>
      <c r="B5840" t="s">
        <v>2010</v>
      </c>
      <c r="C5840" t="s">
        <v>9114</v>
      </c>
      <c r="D5840" t="s">
        <v>17143</v>
      </c>
      <c r="E5840" t="s">
        <v>22300</v>
      </c>
      <c r="F5840" t="s">
        <v>29372</v>
      </c>
      <c r="G5840" t="s">
        <v>29379</v>
      </c>
      <c r="H5840" t="s">
        <v>11048</v>
      </c>
      <c r="I5840" t="s">
        <v>4709</v>
      </c>
      <c r="J5840" t="s">
        <v>29929</v>
      </c>
      <c r="K5840" t="s">
        <v>38488</v>
      </c>
      <c r="M5840" t="s">
        <v>40901</v>
      </c>
      <c r="N5840" t="s">
        <v>42669</v>
      </c>
      <c r="O5840" t="s">
        <v>42670</v>
      </c>
      <c r="P5840">
        <v>0</v>
      </c>
      <c r="Q5840">
        <v>0</v>
      </c>
      <c r="R5840" t="s">
        <v>42677</v>
      </c>
      <c r="S5840" t="s">
        <v>42830</v>
      </c>
      <c r="T5840" t="s">
        <v>44432</v>
      </c>
      <c r="U5840" t="s">
        <v>49612</v>
      </c>
      <c r="V5840" t="s">
        <v>57001</v>
      </c>
      <c r="W5840" t="s">
        <v>40901</v>
      </c>
      <c r="X5840" t="s">
        <v>42678</v>
      </c>
    </row>
    <row r="5841" spans="1:24">
      <c r="A5841">
        <f>HYPERLINK("https://www.philgeps.gov.ph/GEPSNONPILOT/Tender/SplashBidNoticeAbstractUI.aspx?menuIndex=3&amp;refID=7184304&amp;Result=3","7184304")</f>
        <v>0</v>
      </c>
      <c r="B5841" t="s">
        <v>790</v>
      </c>
      <c r="C5841" t="s">
        <v>9115</v>
      </c>
      <c r="E5841" t="s">
        <v>22301</v>
      </c>
      <c r="F5841" t="s">
        <v>29372</v>
      </c>
      <c r="G5841" t="s">
        <v>29380</v>
      </c>
      <c r="H5841" t="s">
        <v>29389</v>
      </c>
      <c r="I5841" t="s">
        <v>10408</v>
      </c>
      <c r="J5841" t="s">
        <v>33305</v>
      </c>
      <c r="K5841" t="s">
        <v>38490</v>
      </c>
      <c r="M5841" t="s">
        <v>39574</v>
      </c>
      <c r="N5841" t="s">
        <v>42669</v>
      </c>
      <c r="O5841" t="s">
        <v>42670</v>
      </c>
      <c r="P5841">
        <v>0</v>
      </c>
      <c r="Q5841">
        <v>0</v>
      </c>
      <c r="R5841" t="s">
        <v>42677</v>
      </c>
      <c r="S5841" t="s">
        <v>42830</v>
      </c>
      <c r="T5841" t="s">
        <v>44539</v>
      </c>
      <c r="U5841" t="s">
        <v>49613</v>
      </c>
      <c r="W5841" t="s">
        <v>39574</v>
      </c>
      <c r="X5841" t="s">
        <v>42678</v>
      </c>
    </row>
    <row r="5842" spans="1:24">
      <c r="A5842">
        <f>HYPERLINK("https://www.philgeps.gov.ph/GEPSNONPILOT/Tender/SplashBidNoticeAbstractUI.aspx?menuIndex=3&amp;refID=7184200&amp;Result=3","7184200")</f>
        <v>0</v>
      </c>
      <c r="B5842" t="s">
        <v>445</v>
      </c>
      <c r="C5842" t="s">
        <v>9116</v>
      </c>
      <c r="D5842" t="s">
        <v>17194</v>
      </c>
      <c r="E5842" t="s">
        <v>22302</v>
      </c>
      <c r="F5842" t="s">
        <v>29373</v>
      </c>
      <c r="G5842" t="s">
        <v>29379</v>
      </c>
      <c r="H5842" t="s">
        <v>11048</v>
      </c>
      <c r="I5842" t="s">
        <v>4709</v>
      </c>
      <c r="J5842" t="s">
        <v>30127</v>
      </c>
      <c r="K5842" t="s">
        <v>38491</v>
      </c>
      <c r="M5842" t="s">
        <v>39209</v>
      </c>
      <c r="N5842" t="s">
        <v>42669</v>
      </c>
      <c r="O5842" t="s">
        <v>42670</v>
      </c>
      <c r="P5842">
        <v>0</v>
      </c>
      <c r="Q5842">
        <v>1</v>
      </c>
      <c r="R5842" t="s">
        <v>42677</v>
      </c>
      <c r="S5842" t="s">
        <v>42830</v>
      </c>
      <c r="T5842" t="s">
        <v>44481</v>
      </c>
      <c r="U5842" t="s">
        <v>45838</v>
      </c>
      <c r="V5842" t="s">
        <v>56470</v>
      </c>
      <c r="W5842" t="s">
        <v>58015</v>
      </c>
      <c r="X5842" t="s">
        <v>42678</v>
      </c>
    </row>
    <row r="5843" spans="1:24">
      <c r="A5843">
        <f>HYPERLINK("https://www.philgeps.gov.ph/GEPSNONPILOT/Tender/SplashBidNoticeAbstractUI.aspx?menuIndex=3&amp;refID=7184302&amp;Result=3","7184302")</f>
        <v>0</v>
      </c>
      <c r="B5843" t="s">
        <v>1856</v>
      </c>
      <c r="C5843" t="s">
        <v>9117</v>
      </c>
      <c r="D5843" t="s">
        <v>17144</v>
      </c>
      <c r="E5843" t="s">
        <v>22303</v>
      </c>
      <c r="F5843" t="s">
        <v>29372</v>
      </c>
      <c r="G5843" t="s">
        <v>29379</v>
      </c>
      <c r="H5843" t="s">
        <v>11048</v>
      </c>
      <c r="I5843" t="s">
        <v>29435</v>
      </c>
      <c r="J5843" t="s">
        <v>29730</v>
      </c>
      <c r="K5843" t="s">
        <v>38491</v>
      </c>
      <c r="M5843" t="s">
        <v>40907</v>
      </c>
      <c r="N5843" t="s">
        <v>42669</v>
      </c>
      <c r="O5843" t="s">
        <v>42670</v>
      </c>
      <c r="P5843">
        <v>0</v>
      </c>
      <c r="Q5843">
        <v>4</v>
      </c>
      <c r="R5843" t="s">
        <v>42677</v>
      </c>
      <c r="S5843" t="s">
        <v>42830</v>
      </c>
      <c r="T5843" t="s">
        <v>44493</v>
      </c>
      <c r="U5843" t="s">
        <v>49614</v>
      </c>
      <c r="W5843" t="s">
        <v>40907</v>
      </c>
      <c r="X5843" t="s">
        <v>42678</v>
      </c>
    </row>
    <row r="5844" spans="1:24">
      <c r="A5844">
        <f>HYPERLINK("https://www.philgeps.gov.ph/GEPSNONPILOT/Tender/SplashBidNoticeAbstractUI.aspx?menuIndex=3&amp;refID=7184293&amp;Result=3","7184293")</f>
        <v>0</v>
      </c>
      <c r="B5844" t="s">
        <v>2016</v>
      </c>
      <c r="C5844" t="s">
        <v>9118</v>
      </c>
      <c r="D5844" t="s">
        <v>17182</v>
      </c>
      <c r="E5844" t="s">
        <v>17730</v>
      </c>
      <c r="F5844" t="s">
        <v>29373</v>
      </c>
      <c r="G5844" t="s">
        <v>29380</v>
      </c>
      <c r="H5844" t="s">
        <v>29389</v>
      </c>
      <c r="I5844" t="s">
        <v>10408</v>
      </c>
      <c r="J5844" t="s">
        <v>33306</v>
      </c>
      <c r="K5844" t="s">
        <v>38495</v>
      </c>
      <c r="M5844" t="s">
        <v>40908</v>
      </c>
      <c r="N5844" t="s">
        <v>42669</v>
      </c>
      <c r="O5844" t="s">
        <v>42670</v>
      </c>
      <c r="P5844">
        <v>0</v>
      </c>
      <c r="Q5844">
        <v>25</v>
      </c>
      <c r="R5844" t="s">
        <v>42677</v>
      </c>
      <c r="S5844" t="s">
        <v>42830</v>
      </c>
      <c r="T5844" t="s">
        <v>44422</v>
      </c>
      <c r="U5844" t="s">
        <v>49615</v>
      </c>
      <c r="W5844" t="s">
        <v>40908</v>
      </c>
      <c r="X5844" t="s">
        <v>42678</v>
      </c>
    </row>
    <row r="5845" spans="1:24">
      <c r="A5845">
        <f>HYPERLINK("https://www.philgeps.gov.ph/GEPSNONPILOT/Tender/SplashBidNoticeAbstractUI.aspx?menuIndex=3&amp;refID=7184290&amp;Result=3","7184290")</f>
        <v>0</v>
      </c>
      <c r="B5845" t="s">
        <v>2012</v>
      </c>
      <c r="C5845" t="s">
        <v>9119</v>
      </c>
      <c r="D5845" t="s">
        <v>17197</v>
      </c>
      <c r="E5845" t="s">
        <v>22304</v>
      </c>
      <c r="F5845" t="s">
        <v>29372</v>
      </c>
      <c r="G5845" t="s">
        <v>29380</v>
      </c>
      <c r="H5845" t="s">
        <v>29389</v>
      </c>
      <c r="I5845" t="s">
        <v>10408</v>
      </c>
      <c r="J5845" t="s">
        <v>33307</v>
      </c>
      <c r="K5845" t="s">
        <v>38526</v>
      </c>
      <c r="M5845" t="s">
        <v>40903</v>
      </c>
      <c r="N5845" t="s">
        <v>42669</v>
      </c>
      <c r="O5845" t="s">
        <v>42670</v>
      </c>
      <c r="P5845">
        <v>0</v>
      </c>
      <c r="Q5845">
        <v>0</v>
      </c>
      <c r="R5845" t="s">
        <v>42677</v>
      </c>
      <c r="S5845" t="s">
        <v>42830</v>
      </c>
      <c r="T5845" t="s">
        <v>44355</v>
      </c>
      <c r="U5845" t="s">
        <v>49601</v>
      </c>
      <c r="W5845" t="s">
        <v>40903</v>
      </c>
      <c r="X5845" t="s">
        <v>42678</v>
      </c>
    </row>
    <row r="5846" spans="1:24">
      <c r="A5846">
        <f>HYPERLINK("https://www.philgeps.gov.ph/GEPSNONPILOT/Tender/SplashBidNoticeAbstractUI.aspx?menuIndex=3&amp;refID=7184218&amp;Result=3","7184218")</f>
        <v>0</v>
      </c>
      <c r="B5846" t="s">
        <v>1403</v>
      </c>
      <c r="C5846" t="s">
        <v>9120</v>
      </c>
      <c r="D5846" t="s">
        <v>17144</v>
      </c>
      <c r="E5846" t="s">
        <v>22305</v>
      </c>
      <c r="F5846" t="s">
        <v>29372</v>
      </c>
      <c r="G5846" t="s">
        <v>29379</v>
      </c>
      <c r="H5846" t="s">
        <v>11048</v>
      </c>
      <c r="I5846" t="s">
        <v>8208</v>
      </c>
      <c r="J5846" t="s">
        <v>30496</v>
      </c>
      <c r="K5846" t="s">
        <v>38488</v>
      </c>
      <c r="M5846" t="s">
        <v>40242</v>
      </c>
      <c r="N5846" t="s">
        <v>42669</v>
      </c>
      <c r="O5846" t="s">
        <v>42670</v>
      </c>
      <c r="P5846">
        <v>0</v>
      </c>
      <c r="Q5846">
        <v>1</v>
      </c>
      <c r="R5846" t="s">
        <v>42677</v>
      </c>
      <c r="S5846" t="s">
        <v>42830</v>
      </c>
      <c r="T5846" t="s">
        <v>44491</v>
      </c>
      <c r="U5846" t="s">
        <v>49616</v>
      </c>
      <c r="W5846" t="s">
        <v>40242</v>
      </c>
      <c r="X5846" t="s">
        <v>42678</v>
      </c>
    </row>
    <row r="5847" spans="1:24">
      <c r="A5847">
        <f>HYPERLINK("https://www.philgeps.gov.ph/GEPSNONPILOT/Tender/SplashBidNoticeAbstractUI.aspx?menuIndex=3&amp;refID=7184217&amp;Result=3","7184217")</f>
        <v>0</v>
      </c>
      <c r="B5847" t="s">
        <v>953</v>
      </c>
      <c r="C5847" t="s">
        <v>4100</v>
      </c>
      <c r="D5847" t="s">
        <v>17225</v>
      </c>
      <c r="E5847" t="s">
        <v>22306</v>
      </c>
      <c r="F5847" t="s">
        <v>29372</v>
      </c>
      <c r="G5847" t="s">
        <v>29380</v>
      </c>
      <c r="H5847" t="s">
        <v>11048</v>
      </c>
      <c r="I5847" t="s">
        <v>5383</v>
      </c>
      <c r="J5847" t="s">
        <v>33308</v>
      </c>
      <c r="K5847" t="s">
        <v>38518</v>
      </c>
      <c r="M5847" t="s">
        <v>39749</v>
      </c>
      <c r="N5847" t="s">
        <v>42669</v>
      </c>
      <c r="O5847" t="s">
        <v>42670</v>
      </c>
      <c r="P5847">
        <v>0</v>
      </c>
      <c r="Q5847">
        <v>0</v>
      </c>
      <c r="R5847" t="s">
        <v>42677</v>
      </c>
      <c r="S5847" t="s">
        <v>42830</v>
      </c>
      <c r="T5847" t="s">
        <v>44504</v>
      </c>
      <c r="U5847" t="s">
        <v>49617</v>
      </c>
      <c r="W5847" t="s">
        <v>39749</v>
      </c>
      <c r="X5847" t="s">
        <v>42678</v>
      </c>
    </row>
    <row r="5848" spans="1:24">
      <c r="A5848">
        <f>HYPERLINK("https://www.philgeps.gov.ph/GEPSNONPILOT/Tender/SplashBidNoticeAbstractUI.aspx?menuIndex=3&amp;refID=7184287&amp;Result=3","7184287")</f>
        <v>0</v>
      </c>
      <c r="B5848" t="s">
        <v>959</v>
      </c>
      <c r="C5848" t="s">
        <v>9121</v>
      </c>
      <c r="D5848" t="s">
        <v>17145</v>
      </c>
      <c r="E5848" t="s">
        <v>22307</v>
      </c>
      <c r="F5848" t="s">
        <v>29372</v>
      </c>
      <c r="G5848" t="s">
        <v>29380</v>
      </c>
      <c r="H5848" t="s">
        <v>11048</v>
      </c>
      <c r="I5848" t="s">
        <v>29415</v>
      </c>
      <c r="J5848" t="s">
        <v>33309</v>
      </c>
      <c r="K5848" t="s">
        <v>38495</v>
      </c>
      <c r="M5848" t="s">
        <v>39755</v>
      </c>
      <c r="N5848" t="s">
        <v>42669</v>
      </c>
      <c r="O5848" t="s">
        <v>42670</v>
      </c>
      <c r="P5848">
        <v>0</v>
      </c>
      <c r="Q5848">
        <v>6</v>
      </c>
      <c r="R5848" t="s">
        <v>42677</v>
      </c>
      <c r="S5848" t="s">
        <v>42830</v>
      </c>
      <c r="T5848" t="s">
        <v>44504</v>
      </c>
      <c r="U5848" t="s">
        <v>49618</v>
      </c>
      <c r="W5848" t="s">
        <v>39755</v>
      </c>
      <c r="X5848" t="s">
        <v>42678</v>
      </c>
    </row>
    <row r="5849" spans="1:24">
      <c r="A5849">
        <f>HYPERLINK("https://www.philgeps.gov.ph/GEPSNONPILOT/Tender/SplashBidNoticeAbstractUI.aspx?menuIndex=3&amp;refID=7184195&amp;Result=3","7184195")</f>
        <v>0</v>
      </c>
      <c r="B5849" t="s">
        <v>2017</v>
      </c>
      <c r="C5849" t="s">
        <v>9122</v>
      </c>
      <c r="D5849" t="s">
        <v>17228</v>
      </c>
      <c r="E5849" t="s">
        <v>22308</v>
      </c>
      <c r="F5849" t="s">
        <v>29372</v>
      </c>
      <c r="G5849" t="s">
        <v>29380</v>
      </c>
      <c r="H5849" t="s">
        <v>29389</v>
      </c>
      <c r="I5849" t="s">
        <v>10408</v>
      </c>
      <c r="J5849" t="s">
        <v>33310</v>
      </c>
      <c r="K5849" t="s">
        <v>38614</v>
      </c>
      <c r="M5849" t="s">
        <v>40909</v>
      </c>
      <c r="N5849" t="s">
        <v>42669</v>
      </c>
      <c r="O5849" t="s">
        <v>42670</v>
      </c>
      <c r="P5849">
        <v>0</v>
      </c>
      <c r="Q5849">
        <v>2</v>
      </c>
      <c r="R5849" t="s">
        <v>42677</v>
      </c>
      <c r="S5849" t="s">
        <v>42830</v>
      </c>
      <c r="T5849" t="s">
        <v>44355</v>
      </c>
      <c r="U5849" t="s">
        <v>49619</v>
      </c>
      <c r="W5849" t="s">
        <v>40909</v>
      </c>
      <c r="X5849" t="s">
        <v>42678</v>
      </c>
    </row>
    <row r="5850" spans="1:24">
      <c r="A5850">
        <f>HYPERLINK("https://www.philgeps.gov.ph/GEPSNONPILOT/Tender/SplashBidNoticeAbstractUI.aspx?menuIndex=3&amp;refID=7184286&amp;Result=3","7184286")</f>
        <v>0</v>
      </c>
      <c r="B5850" t="s">
        <v>684</v>
      </c>
      <c r="C5850" t="s">
        <v>9123</v>
      </c>
      <c r="D5850" t="s">
        <v>17147</v>
      </c>
      <c r="E5850" t="s">
        <v>22309</v>
      </c>
      <c r="F5850" t="s">
        <v>29372</v>
      </c>
      <c r="G5850" t="s">
        <v>29379</v>
      </c>
      <c r="H5850" t="s">
        <v>29391</v>
      </c>
      <c r="I5850" t="s">
        <v>29391</v>
      </c>
      <c r="J5850" t="s">
        <v>33311</v>
      </c>
      <c r="K5850" t="s">
        <v>38485</v>
      </c>
      <c r="M5850" t="s">
        <v>39790</v>
      </c>
      <c r="N5850" t="s">
        <v>42669</v>
      </c>
      <c r="O5850" t="s">
        <v>42670</v>
      </c>
      <c r="P5850">
        <v>0</v>
      </c>
      <c r="Q5850">
        <v>0</v>
      </c>
      <c r="R5850" t="s">
        <v>42677</v>
      </c>
      <c r="S5850" t="s">
        <v>42830</v>
      </c>
      <c r="T5850" t="s">
        <v>44429</v>
      </c>
      <c r="U5850" t="s">
        <v>49620</v>
      </c>
      <c r="W5850" t="s">
        <v>39790</v>
      </c>
      <c r="X5850" t="s">
        <v>42678</v>
      </c>
    </row>
    <row r="5851" spans="1:24">
      <c r="A5851">
        <f>HYPERLINK("https://www.philgeps.gov.ph/GEPSNONPILOT/Tender/SplashBidNoticeAbstractUI.aspx?menuIndex=3&amp;refID=7184276&amp;Result=3","7184276")</f>
        <v>0</v>
      </c>
      <c r="B5851" t="s">
        <v>1472</v>
      </c>
      <c r="C5851" t="s">
        <v>9104</v>
      </c>
      <c r="D5851" t="s">
        <v>17170</v>
      </c>
      <c r="E5851" t="s">
        <v>22310</v>
      </c>
      <c r="F5851" t="s">
        <v>29372</v>
      </c>
      <c r="G5851" t="s">
        <v>29383</v>
      </c>
      <c r="H5851" t="s">
        <v>11048</v>
      </c>
      <c r="I5851" t="s">
        <v>29393</v>
      </c>
      <c r="J5851" t="s">
        <v>33312</v>
      </c>
      <c r="K5851" t="s">
        <v>38491</v>
      </c>
      <c r="M5851" t="s">
        <v>40315</v>
      </c>
      <c r="N5851" t="s">
        <v>42669</v>
      </c>
      <c r="O5851" t="s">
        <v>42670</v>
      </c>
      <c r="P5851">
        <v>0</v>
      </c>
      <c r="Q5851">
        <v>0</v>
      </c>
      <c r="R5851" t="s">
        <v>42677</v>
      </c>
      <c r="S5851" t="s">
        <v>42830</v>
      </c>
      <c r="T5851" t="s">
        <v>44432</v>
      </c>
      <c r="U5851" t="s">
        <v>49621</v>
      </c>
      <c r="W5851" t="s">
        <v>40315</v>
      </c>
      <c r="X5851" t="s">
        <v>42678</v>
      </c>
    </row>
    <row r="5852" spans="1:24">
      <c r="A5852">
        <f>HYPERLINK("https://www.philgeps.gov.ph/GEPSNONPILOT/Tender/SplashBidNoticeAbstractUI.aspx?menuIndex=3&amp;refID=7184284&amp;Result=3","7184284")</f>
        <v>0</v>
      </c>
      <c r="B5852" t="s">
        <v>2018</v>
      </c>
      <c r="C5852" t="s">
        <v>9124</v>
      </c>
      <c r="D5852" t="s">
        <v>17144</v>
      </c>
      <c r="E5852" t="s">
        <v>17533</v>
      </c>
      <c r="F5852" t="s">
        <v>29372</v>
      </c>
      <c r="G5852" t="s">
        <v>29380</v>
      </c>
      <c r="H5852" t="s">
        <v>11048</v>
      </c>
      <c r="I5852" t="s">
        <v>8794</v>
      </c>
      <c r="J5852" t="s">
        <v>33313</v>
      </c>
      <c r="K5852" t="s">
        <v>38491</v>
      </c>
      <c r="M5852" t="s">
        <v>40910</v>
      </c>
      <c r="N5852" t="s">
        <v>42669</v>
      </c>
      <c r="O5852" t="s">
        <v>42670</v>
      </c>
      <c r="P5852">
        <v>0</v>
      </c>
      <c r="Q5852">
        <v>2</v>
      </c>
      <c r="R5852" t="s">
        <v>42677</v>
      </c>
      <c r="S5852" t="s">
        <v>42830</v>
      </c>
      <c r="T5852" t="s">
        <v>44476</v>
      </c>
      <c r="U5852" t="s">
        <v>49622</v>
      </c>
      <c r="W5852" t="s">
        <v>40910</v>
      </c>
      <c r="X5852" t="s">
        <v>42678</v>
      </c>
    </row>
    <row r="5853" spans="1:24">
      <c r="A5853">
        <f>HYPERLINK("https://www.philgeps.gov.ph/GEPSNONPILOT/Tender/SplashBidNoticeAbstractUI.aspx?menuIndex=3&amp;refID=7184280&amp;Result=3","7184280")</f>
        <v>0</v>
      </c>
      <c r="B5853" t="s">
        <v>2019</v>
      </c>
      <c r="C5853" t="s">
        <v>9125</v>
      </c>
      <c r="D5853" t="s">
        <v>17168</v>
      </c>
      <c r="E5853" t="s">
        <v>22311</v>
      </c>
      <c r="F5853" t="s">
        <v>29372</v>
      </c>
      <c r="G5853" t="s">
        <v>29380</v>
      </c>
      <c r="H5853" t="s">
        <v>11048</v>
      </c>
      <c r="I5853" t="s">
        <v>9642</v>
      </c>
      <c r="J5853" t="s">
        <v>33314</v>
      </c>
      <c r="K5853" t="s">
        <v>38485</v>
      </c>
      <c r="M5853" t="s">
        <v>40911</v>
      </c>
      <c r="N5853" t="s">
        <v>42669</v>
      </c>
      <c r="O5853" t="s">
        <v>42670</v>
      </c>
      <c r="Q5853">
        <v>3</v>
      </c>
      <c r="R5853" t="s">
        <v>42677</v>
      </c>
      <c r="S5853" t="s">
        <v>42848</v>
      </c>
      <c r="T5853" t="s">
        <v>44409</v>
      </c>
      <c r="U5853" t="s">
        <v>49623</v>
      </c>
      <c r="W5853" t="s">
        <v>40911</v>
      </c>
      <c r="X5853" t="s">
        <v>42678</v>
      </c>
    </row>
    <row r="5854" spans="1:24">
      <c r="A5854">
        <f>HYPERLINK("https://www.philgeps.gov.ph/GEPSNONPILOT/Tender/SplashBidNoticeAbstractUI.aspx?menuIndex=3&amp;refID=7184292&amp;Result=3","7184292")</f>
        <v>0</v>
      </c>
      <c r="B5854" t="s">
        <v>1472</v>
      </c>
      <c r="C5854" t="s">
        <v>9104</v>
      </c>
      <c r="D5854" t="s">
        <v>17170</v>
      </c>
      <c r="E5854" t="s">
        <v>22312</v>
      </c>
      <c r="F5854" t="s">
        <v>29372</v>
      </c>
      <c r="G5854" t="s">
        <v>29383</v>
      </c>
      <c r="H5854" t="s">
        <v>11048</v>
      </c>
      <c r="I5854" t="s">
        <v>29393</v>
      </c>
      <c r="J5854" t="s">
        <v>33315</v>
      </c>
      <c r="K5854" t="s">
        <v>38491</v>
      </c>
      <c r="M5854" t="s">
        <v>40315</v>
      </c>
      <c r="N5854" t="s">
        <v>42669</v>
      </c>
      <c r="O5854" t="s">
        <v>42670</v>
      </c>
      <c r="P5854">
        <v>0</v>
      </c>
      <c r="Q5854">
        <v>0</v>
      </c>
      <c r="R5854" t="s">
        <v>42677</v>
      </c>
      <c r="S5854" t="s">
        <v>42830</v>
      </c>
      <c r="T5854" t="s">
        <v>44432</v>
      </c>
      <c r="U5854" t="s">
        <v>49624</v>
      </c>
      <c r="W5854" t="s">
        <v>40315</v>
      </c>
      <c r="X5854" t="s">
        <v>42678</v>
      </c>
    </row>
    <row r="5855" spans="1:24">
      <c r="A5855">
        <f>HYPERLINK("https://www.philgeps.gov.ph/GEPSNONPILOT/Tender/SplashBidNoticeAbstractUI.aspx?menuIndex=3&amp;refID=7184268&amp;Result=3","7184268")</f>
        <v>0</v>
      </c>
      <c r="B5855" t="s">
        <v>2020</v>
      </c>
      <c r="C5855" t="s">
        <v>9126</v>
      </c>
      <c r="D5855" t="s">
        <v>17177</v>
      </c>
      <c r="E5855" t="s">
        <v>22313</v>
      </c>
      <c r="F5855" t="s">
        <v>29372</v>
      </c>
      <c r="G5855" t="s">
        <v>29379</v>
      </c>
      <c r="H5855" t="s">
        <v>11048</v>
      </c>
      <c r="I5855" t="s">
        <v>3597</v>
      </c>
      <c r="J5855" t="s">
        <v>33316</v>
      </c>
      <c r="K5855" t="s">
        <v>38518</v>
      </c>
      <c r="M5855" t="s">
        <v>40912</v>
      </c>
      <c r="N5855" t="s">
        <v>42669</v>
      </c>
      <c r="O5855" t="s">
        <v>42670</v>
      </c>
      <c r="P5855">
        <v>0</v>
      </c>
      <c r="Q5855">
        <v>5</v>
      </c>
      <c r="R5855" t="s">
        <v>42677</v>
      </c>
      <c r="S5855" t="s">
        <v>42830</v>
      </c>
      <c r="T5855" t="s">
        <v>44488</v>
      </c>
      <c r="U5855" t="s">
        <v>49625</v>
      </c>
      <c r="W5855" t="s">
        <v>40912</v>
      </c>
      <c r="X5855" t="s">
        <v>42678</v>
      </c>
    </row>
    <row r="5856" spans="1:24">
      <c r="A5856">
        <f>HYPERLINK("https://www.philgeps.gov.ph/GEPSNONPILOT/Tender/SplashBidNoticeAbstractUI.aspx?menuIndex=3&amp;refID=7184159&amp;Result=3","7184159")</f>
        <v>0</v>
      </c>
      <c r="B5856" t="s">
        <v>2010</v>
      </c>
      <c r="C5856" t="s">
        <v>9127</v>
      </c>
      <c r="D5856" t="s">
        <v>17143</v>
      </c>
      <c r="E5856" t="s">
        <v>22314</v>
      </c>
      <c r="F5856" t="s">
        <v>29372</v>
      </c>
      <c r="G5856" t="s">
        <v>29379</v>
      </c>
      <c r="H5856" t="s">
        <v>11048</v>
      </c>
      <c r="I5856" t="s">
        <v>29409</v>
      </c>
      <c r="J5856" t="s">
        <v>29929</v>
      </c>
      <c r="K5856" t="s">
        <v>38518</v>
      </c>
      <c r="M5856" t="s">
        <v>40901</v>
      </c>
      <c r="N5856" t="s">
        <v>42669</v>
      </c>
      <c r="O5856" t="s">
        <v>42670</v>
      </c>
      <c r="P5856">
        <v>0</v>
      </c>
      <c r="Q5856">
        <v>3</v>
      </c>
      <c r="R5856" t="s">
        <v>42677</v>
      </c>
      <c r="S5856" t="s">
        <v>42830</v>
      </c>
      <c r="T5856" t="s">
        <v>44432</v>
      </c>
      <c r="U5856" t="s">
        <v>49612</v>
      </c>
      <c r="V5856" t="s">
        <v>57001</v>
      </c>
      <c r="W5856" t="s">
        <v>40901</v>
      </c>
      <c r="X5856" t="s">
        <v>42678</v>
      </c>
    </row>
    <row r="5857" spans="1:24">
      <c r="A5857">
        <f>HYPERLINK("https://www.philgeps.gov.ph/GEPSNONPILOT/Tender/SplashBidNoticeAbstractUI.aspx?menuIndex=3&amp;refID=7184255&amp;Result=3","7184255")</f>
        <v>0</v>
      </c>
      <c r="B5857" t="s">
        <v>73</v>
      </c>
      <c r="C5857" t="s">
        <v>9128</v>
      </c>
      <c r="D5857" t="s">
        <v>17171</v>
      </c>
      <c r="E5857" t="s">
        <v>22315</v>
      </c>
      <c r="F5857" t="s">
        <v>29372</v>
      </c>
      <c r="G5857" t="s">
        <v>29380</v>
      </c>
      <c r="H5857" t="s">
        <v>11048</v>
      </c>
      <c r="I5857" t="s">
        <v>29426</v>
      </c>
      <c r="J5857" t="s">
        <v>33317</v>
      </c>
      <c r="K5857" t="s">
        <v>38485</v>
      </c>
      <c r="M5857" t="s">
        <v>40913</v>
      </c>
      <c r="N5857" t="s">
        <v>42669</v>
      </c>
      <c r="O5857" t="s">
        <v>42670</v>
      </c>
      <c r="P5857">
        <v>0</v>
      </c>
      <c r="Q5857">
        <v>3</v>
      </c>
      <c r="R5857" t="s">
        <v>42677</v>
      </c>
      <c r="S5857" t="s">
        <v>42830</v>
      </c>
      <c r="T5857" t="s">
        <v>44481</v>
      </c>
      <c r="U5857" t="s">
        <v>49626</v>
      </c>
      <c r="W5857" t="s">
        <v>40913</v>
      </c>
      <c r="X5857" t="s">
        <v>42678</v>
      </c>
    </row>
    <row r="5858" spans="1:24">
      <c r="A5858">
        <f>HYPERLINK("https://www.philgeps.gov.ph/GEPSNONPILOT/Tender/SplashBidNoticeAbstractUI.aspx?menuIndex=3&amp;refID=7184212&amp;Result=3","7184212")</f>
        <v>0</v>
      </c>
      <c r="B5858" t="s">
        <v>2021</v>
      </c>
      <c r="C5858" t="s">
        <v>9129</v>
      </c>
      <c r="D5858" t="s">
        <v>17182</v>
      </c>
      <c r="E5858" t="s">
        <v>22316</v>
      </c>
      <c r="F5858" t="s">
        <v>29372</v>
      </c>
      <c r="G5858" t="s">
        <v>29380</v>
      </c>
      <c r="H5858" t="s">
        <v>11048</v>
      </c>
      <c r="I5858" t="s">
        <v>29493</v>
      </c>
      <c r="J5858" t="s">
        <v>33318</v>
      </c>
      <c r="K5858" t="s">
        <v>38533</v>
      </c>
      <c r="M5858" t="s">
        <v>40914</v>
      </c>
      <c r="N5858" t="s">
        <v>42669</v>
      </c>
      <c r="O5858" t="s">
        <v>42670</v>
      </c>
      <c r="P5858">
        <v>0</v>
      </c>
      <c r="Q5858">
        <v>6</v>
      </c>
      <c r="R5858" t="s">
        <v>42677</v>
      </c>
      <c r="S5858" t="s">
        <v>42830</v>
      </c>
      <c r="T5858" t="s">
        <v>44542</v>
      </c>
      <c r="U5858" t="s">
        <v>49627</v>
      </c>
      <c r="W5858" t="s">
        <v>40914</v>
      </c>
      <c r="X5858" t="s">
        <v>42678</v>
      </c>
    </row>
    <row r="5859" spans="1:24">
      <c r="A5859">
        <f>HYPERLINK("https://www.philgeps.gov.ph/GEPSNONPILOT/Tender/SplashBidNoticeAbstractUI.aspx?menuIndex=3&amp;refID=7184277&amp;Result=3","7184277")</f>
        <v>0</v>
      </c>
      <c r="B5859" t="s">
        <v>597</v>
      </c>
      <c r="C5859" t="s">
        <v>9130</v>
      </c>
      <c r="D5859" t="s">
        <v>17179</v>
      </c>
      <c r="E5859" t="s">
        <v>22317</v>
      </c>
      <c r="F5859" t="s">
        <v>29372</v>
      </c>
      <c r="G5859" t="s">
        <v>29381</v>
      </c>
      <c r="H5859" t="s">
        <v>11048</v>
      </c>
      <c r="I5859" t="s">
        <v>4486</v>
      </c>
      <c r="J5859" t="s">
        <v>29619</v>
      </c>
      <c r="K5859" t="s">
        <v>38490</v>
      </c>
      <c r="M5859" t="s">
        <v>39368</v>
      </c>
      <c r="N5859" t="s">
        <v>42669</v>
      </c>
      <c r="O5859" t="s">
        <v>42670</v>
      </c>
      <c r="P5859">
        <v>0</v>
      </c>
      <c r="Q5859">
        <v>1</v>
      </c>
      <c r="R5859" t="s">
        <v>42677</v>
      </c>
      <c r="S5859" t="s">
        <v>42830</v>
      </c>
      <c r="T5859" t="s">
        <v>44434</v>
      </c>
      <c r="U5859" t="s">
        <v>49628</v>
      </c>
      <c r="W5859" t="s">
        <v>39368</v>
      </c>
      <c r="X5859" t="s">
        <v>42678</v>
      </c>
    </row>
    <row r="5860" spans="1:24">
      <c r="A5860">
        <f>HYPERLINK("https://www.philgeps.gov.ph/GEPSNONPILOT/Tender/SplashBidNoticeAbstractUI.aspx?menuIndex=3&amp;refID=7184265&amp;Result=3","7184265")</f>
        <v>0</v>
      </c>
      <c r="B5860" t="s">
        <v>28</v>
      </c>
      <c r="C5860" t="s">
        <v>9131</v>
      </c>
      <c r="E5860" t="s">
        <v>22318</v>
      </c>
      <c r="F5860" t="s">
        <v>29372</v>
      </c>
      <c r="G5860" t="s">
        <v>29380</v>
      </c>
      <c r="H5860" t="s">
        <v>11048</v>
      </c>
      <c r="I5860" t="s">
        <v>29444</v>
      </c>
      <c r="J5860" t="s">
        <v>33319</v>
      </c>
      <c r="K5860" t="s">
        <v>38488</v>
      </c>
      <c r="M5860" t="s">
        <v>38781</v>
      </c>
      <c r="N5860" t="s">
        <v>42669</v>
      </c>
      <c r="O5860" t="s">
        <v>42670</v>
      </c>
      <c r="P5860">
        <v>0</v>
      </c>
      <c r="Q5860">
        <v>2</v>
      </c>
      <c r="R5860" t="s">
        <v>42677</v>
      </c>
      <c r="S5860" t="s">
        <v>42830</v>
      </c>
      <c r="T5860" t="s">
        <v>44427</v>
      </c>
      <c r="U5860" t="s">
        <v>49629</v>
      </c>
      <c r="W5860" t="s">
        <v>38781</v>
      </c>
      <c r="X5860" t="s">
        <v>42678</v>
      </c>
    </row>
    <row r="5861" spans="1:24">
      <c r="A5861">
        <f>HYPERLINK("https://www.philgeps.gov.ph/GEPSNONPILOT/Tender/SplashBidNoticeAbstractUI.aspx?menuIndex=3&amp;refID=7184135&amp;Result=3","7184135")</f>
        <v>0</v>
      </c>
      <c r="B5861" t="s">
        <v>1963</v>
      </c>
      <c r="C5861" t="s">
        <v>9132</v>
      </c>
      <c r="D5861" t="s">
        <v>17166</v>
      </c>
      <c r="E5861" t="s">
        <v>22319</v>
      </c>
      <c r="F5861" t="s">
        <v>29372</v>
      </c>
      <c r="G5861" t="s">
        <v>29379</v>
      </c>
      <c r="H5861" t="s">
        <v>29389</v>
      </c>
      <c r="I5861" t="s">
        <v>29399</v>
      </c>
      <c r="J5861" t="s">
        <v>30036</v>
      </c>
      <c r="K5861" t="s">
        <v>38496</v>
      </c>
      <c r="L5861" t="s">
        <v>1963</v>
      </c>
      <c r="M5861" t="s">
        <v>40847</v>
      </c>
      <c r="N5861" t="s">
        <v>42669</v>
      </c>
      <c r="O5861" t="s">
        <v>42670</v>
      </c>
      <c r="P5861">
        <v>0</v>
      </c>
      <c r="Q5861">
        <v>10</v>
      </c>
      <c r="R5861" t="s">
        <v>42677</v>
      </c>
      <c r="S5861" t="s">
        <v>42830</v>
      </c>
      <c r="T5861" t="s">
        <v>44512</v>
      </c>
      <c r="U5861" t="s">
        <v>49630</v>
      </c>
      <c r="W5861" t="s">
        <v>40847</v>
      </c>
      <c r="X5861" t="s">
        <v>42678</v>
      </c>
    </row>
    <row r="5862" spans="1:24">
      <c r="A5862">
        <f>HYPERLINK("https://www.philgeps.gov.ph/GEPSNONPILOT/Tender/SplashBidNoticeAbstractUI.aspx?menuIndex=3&amp;refID=7184252&amp;Result=3","7184252")</f>
        <v>0</v>
      </c>
      <c r="B5862" t="s">
        <v>2022</v>
      </c>
      <c r="C5862" t="s">
        <v>9133</v>
      </c>
      <c r="E5862" t="s">
        <v>22320</v>
      </c>
      <c r="F5862" t="s">
        <v>29372</v>
      </c>
      <c r="G5862" t="s">
        <v>29380</v>
      </c>
      <c r="H5862" t="s">
        <v>11048</v>
      </c>
      <c r="I5862" t="s">
        <v>4709</v>
      </c>
      <c r="J5862" t="s">
        <v>33320</v>
      </c>
      <c r="K5862" t="s">
        <v>38490</v>
      </c>
      <c r="M5862" t="s">
        <v>40915</v>
      </c>
      <c r="N5862" t="s">
        <v>42669</v>
      </c>
      <c r="O5862" t="s">
        <v>42670</v>
      </c>
      <c r="P5862">
        <v>0</v>
      </c>
      <c r="Q5862">
        <v>3</v>
      </c>
      <c r="R5862" t="s">
        <v>42677</v>
      </c>
      <c r="S5862" t="s">
        <v>42830</v>
      </c>
      <c r="T5862" t="s">
        <v>44358</v>
      </c>
      <c r="U5862" t="s">
        <v>49410</v>
      </c>
      <c r="W5862" t="s">
        <v>40915</v>
      </c>
      <c r="X5862" t="s">
        <v>42678</v>
      </c>
    </row>
    <row r="5863" spans="1:24">
      <c r="A5863">
        <f>HYPERLINK("https://www.philgeps.gov.ph/GEPSNONPILOT/Tender/SplashBidNoticeAbstractUI.aspx?menuIndex=3&amp;refID=7184193&amp;Result=3","7184193")</f>
        <v>0</v>
      </c>
      <c r="B5863" t="s">
        <v>2016</v>
      </c>
      <c r="C5863" t="s">
        <v>9134</v>
      </c>
      <c r="D5863" t="s">
        <v>17182</v>
      </c>
      <c r="E5863" t="s">
        <v>17434</v>
      </c>
      <c r="F5863" t="s">
        <v>29373</v>
      </c>
      <c r="G5863" t="s">
        <v>29380</v>
      </c>
      <c r="H5863" t="s">
        <v>29389</v>
      </c>
      <c r="I5863" t="s">
        <v>10408</v>
      </c>
      <c r="J5863" t="s">
        <v>33321</v>
      </c>
      <c r="K5863" t="s">
        <v>38522</v>
      </c>
      <c r="M5863" t="s">
        <v>40908</v>
      </c>
      <c r="N5863" t="s">
        <v>42669</v>
      </c>
      <c r="O5863" t="s">
        <v>42670</v>
      </c>
      <c r="P5863">
        <v>0</v>
      </c>
      <c r="Q5863">
        <v>26</v>
      </c>
      <c r="R5863" t="s">
        <v>42677</v>
      </c>
      <c r="S5863" t="s">
        <v>42830</v>
      </c>
      <c r="T5863" t="s">
        <v>44422</v>
      </c>
      <c r="U5863" t="s">
        <v>49631</v>
      </c>
      <c r="W5863" t="s">
        <v>40908</v>
      </c>
      <c r="X5863" t="s">
        <v>42678</v>
      </c>
    </row>
    <row r="5864" spans="1:24">
      <c r="A5864">
        <f>HYPERLINK("https://www.philgeps.gov.ph/GEPSNONPILOT/Tender/SplashBidNoticeAbstractUI.aspx?menuIndex=3&amp;refID=7184256&amp;Result=3","7184256")</f>
        <v>0</v>
      </c>
      <c r="B5864" t="s">
        <v>2000</v>
      </c>
      <c r="C5864" t="s">
        <v>9135</v>
      </c>
      <c r="D5864" t="s">
        <v>17168</v>
      </c>
      <c r="E5864" t="s">
        <v>22321</v>
      </c>
      <c r="F5864" t="s">
        <v>29372</v>
      </c>
      <c r="G5864" t="s">
        <v>29383</v>
      </c>
      <c r="H5864" t="s">
        <v>11048</v>
      </c>
      <c r="I5864" t="s">
        <v>3629</v>
      </c>
      <c r="J5864" t="s">
        <v>33322</v>
      </c>
      <c r="K5864" t="s">
        <v>38488</v>
      </c>
      <c r="M5864" t="s">
        <v>40890</v>
      </c>
      <c r="N5864" t="s">
        <v>42669</v>
      </c>
      <c r="O5864" t="s">
        <v>42670</v>
      </c>
      <c r="P5864">
        <v>0</v>
      </c>
      <c r="Q5864">
        <v>0</v>
      </c>
      <c r="R5864" t="s">
        <v>42677</v>
      </c>
      <c r="S5864" t="s">
        <v>42830</v>
      </c>
      <c r="T5864" t="s">
        <v>44401</v>
      </c>
      <c r="U5864" t="s">
        <v>49632</v>
      </c>
      <c r="V5864" t="s">
        <v>57005</v>
      </c>
      <c r="W5864" t="s">
        <v>40890</v>
      </c>
      <c r="X5864" t="s">
        <v>42678</v>
      </c>
    </row>
    <row r="5865" spans="1:24">
      <c r="A5865">
        <f>HYPERLINK("https://www.philgeps.gov.ph/GEPSNONPILOT/Tender/SplashBidNoticeAbstractUI.aspx?menuIndex=3&amp;refID=7184360&amp;Result=3","7184360")</f>
        <v>0</v>
      </c>
      <c r="B5865" t="s">
        <v>1472</v>
      </c>
      <c r="C5865" t="s">
        <v>9136</v>
      </c>
      <c r="D5865" t="s">
        <v>17170</v>
      </c>
      <c r="E5865" t="s">
        <v>22322</v>
      </c>
      <c r="F5865" t="s">
        <v>29372</v>
      </c>
      <c r="G5865" t="s">
        <v>29379</v>
      </c>
      <c r="H5865" t="s">
        <v>29389</v>
      </c>
      <c r="I5865" t="s">
        <v>4709</v>
      </c>
      <c r="J5865" t="s">
        <v>33323</v>
      </c>
      <c r="K5865" t="s">
        <v>38491</v>
      </c>
      <c r="M5865" t="s">
        <v>40315</v>
      </c>
      <c r="N5865" t="s">
        <v>42669</v>
      </c>
      <c r="O5865" t="s">
        <v>42670</v>
      </c>
      <c r="P5865">
        <v>0</v>
      </c>
      <c r="Q5865">
        <v>0</v>
      </c>
      <c r="R5865" t="s">
        <v>42677</v>
      </c>
      <c r="S5865" t="s">
        <v>42830</v>
      </c>
      <c r="T5865" t="s">
        <v>44432</v>
      </c>
      <c r="U5865" t="s">
        <v>49633</v>
      </c>
      <c r="W5865" t="s">
        <v>40315</v>
      </c>
      <c r="X5865" t="s">
        <v>42678</v>
      </c>
    </row>
    <row r="5866" spans="1:24">
      <c r="A5866">
        <f>HYPERLINK("https://www.philgeps.gov.ph/GEPSNONPILOT/Tender/SplashBidNoticeAbstractUI.aspx?menuIndex=3&amp;refID=7184362&amp;Result=3","7184362")</f>
        <v>0</v>
      </c>
      <c r="B5866" t="s">
        <v>2022</v>
      </c>
      <c r="C5866" t="s">
        <v>9137</v>
      </c>
      <c r="E5866" t="s">
        <v>22323</v>
      </c>
      <c r="F5866" t="s">
        <v>29372</v>
      </c>
      <c r="G5866" t="s">
        <v>29380</v>
      </c>
      <c r="H5866" t="s">
        <v>11048</v>
      </c>
      <c r="I5866" t="s">
        <v>4709</v>
      </c>
      <c r="J5866" t="s">
        <v>33324</v>
      </c>
      <c r="K5866" t="s">
        <v>38490</v>
      </c>
      <c r="M5866" t="s">
        <v>40915</v>
      </c>
      <c r="N5866" t="s">
        <v>42669</v>
      </c>
      <c r="O5866" t="s">
        <v>42670</v>
      </c>
      <c r="P5866">
        <v>0</v>
      </c>
      <c r="Q5866">
        <v>1</v>
      </c>
      <c r="R5866" t="s">
        <v>42677</v>
      </c>
      <c r="S5866" t="s">
        <v>42830</v>
      </c>
      <c r="T5866" t="s">
        <v>44358</v>
      </c>
      <c r="U5866" t="s">
        <v>49634</v>
      </c>
      <c r="W5866" t="s">
        <v>40915</v>
      </c>
      <c r="X5866" t="s">
        <v>42678</v>
      </c>
    </row>
    <row r="5867" spans="1:24">
      <c r="A5867">
        <f>HYPERLINK("https://www.philgeps.gov.ph/GEPSNONPILOT/Tender/SplashBidNoticeAbstractUI.aspx?menuIndex=3&amp;refID=7184336&amp;Result=3","7184336")</f>
        <v>0</v>
      </c>
      <c r="B5867" t="s">
        <v>1000</v>
      </c>
      <c r="C5867" t="s">
        <v>9138</v>
      </c>
      <c r="D5867" t="s">
        <v>17141</v>
      </c>
      <c r="E5867" t="s">
        <v>22324</v>
      </c>
      <c r="F5867" t="s">
        <v>29372</v>
      </c>
      <c r="G5867" t="s">
        <v>29379</v>
      </c>
      <c r="H5867" t="s">
        <v>29390</v>
      </c>
      <c r="I5867" t="s">
        <v>29403</v>
      </c>
      <c r="J5867" t="s">
        <v>29929</v>
      </c>
      <c r="K5867" t="s">
        <v>38532</v>
      </c>
      <c r="M5867" t="s">
        <v>40916</v>
      </c>
      <c r="N5867" t="s">
        <v>42669</v>
      </c>
      <c r="O5867" t="s">
        <v>42670</v>
      </c>
      <c r="P5867">
        <v>0</v>
      </c>
      <c r="Q5867">
        <v>2</v>
      </c>
      <c r="R5867" t="s">
        <v>42677</v>
      </c>
      <c r="S5867" t="s">
        <v>42830</v>
      </c>
      <c r="T5867" t="s">
        <v>44705</v>
      </c>
      <c r="U5867" t="s">
        <v>49635</v>
      </c>
      <c r="V5867" t="s">
        <v>57006</v>
      </c>
      <c r="W5867" t="s">
        <v>40916</v>
      </c>
      <c r="X5867" t="s">
        <v>42678</v>
      </c>
    </row>
    <row r="5868" spans="1:24">
      <c r="A5868">
        <f>HYPERLINK("https://www.philgeps.gov.ph/GEPSNONPILOT/Tender/SplashBidNoticeAbstractUI.aspx?menuIndex=3&amp;refID=7184259&amp;Result=3","7184259")</f>
        <v>0</v>
      </c>
      <c r="B5868" t="s">
        <v>2016</v>
      </c>
      <c r="C5868" t="s">
        <v>9139</v>
      </c>
      <c r="D5868" t="s">
        <v>17182</v>
      </c>
      <c r="E5868" t="s">
        <v>17479</v>
      </c>
      <c r="F5868" t="s">
        <v>29373</v>
      </c>
      <c r="G5868" t="s">
        <v>29380</v>
      </c>
      <c r="H5868" t="s">
        <v>29389</v>
      </c>
      <c r="I5868" t="s">
        <v>10408</v>
      </c>
      <c r="J5868" t="s">
        <v>33325</v>
      </c>
      <c r="K5868" t="s">
        <v>38522</v>
      </c>
      <c r="M5868" t="s">
        <v>40908</v>
      </c>
      <c r="N5868" t="s">
        <v>42669</v>
      </c>
      <c r="O5868" t="s">
        <v>42670</v>
      </c>
      <c r="P5868">
        <v>0</v>
      </c>
      <c r="Q5868">
        <v>24</v>
      </c>
      <c r="R5868" t="s">
        <v>42677</v>
      </c>
      <c r="S5868" t="s">
        <v>42830</v>
      </c>
      <c r="T5868" t="s">
        <v>44422</v>
      </c>
      <c r="U5868" t="s">
        <v>49636</v>
      </c>
      <c r="W5868" t="s">
        <v>40908</v>
      </c>
      <c r="X5868" t="s">
        <v>42678</v>
      </c>
    </row>
    <row r="5869" spans="1:24">
      <c r="A5869">
        <f>HYPERLINK("https://www.philgeps.gov.ph/GEPSNONPILOT/Tender/SplashBidNoticeAbstractUI.aspx?menuIndex=3&amp;refID=7184258&amp;Result=3","7184258")</f>
        <v>0</v>
      </c>
      <c r="B5869" t="s">
        <v>445</v>
      </c>
      <c r="C5869" t="s">
        <v>9140</v>
      </c>
      <c r="D5869" t="s">
        <v>17194</v>
      </c>
      <c r="E5869" t="s">
        <v>22325</v>
      </c>
      <c r="F5869" t="s">
        <v>29373</v>
      </c>
      <c r="G5869" t="s">
        <v>29379</v>
      </c>
      <c r="H5869" t="s">
        <v>11048</v>
      </c>
      <c r="I5869" t="s">
        <v>29398</v>
      </c>
      <c r="J5869" t="s">
        <v>29532</v>
      </c>
      <c r="K5869" t="s">
        <v>38485</v>
      </c>
      <c r="M5869" t="s">
        <v>39209</v>
      </c>
      <c r="N5869" t="s">
        <v>42669</v>
      </c>
      <c r="O5869" t="s">
        <v>42670</v>
      </c>
      <c r="P5869">
        <v>0</v>
      </c>
      <c r="Q5869">
        <v>3</v>
      </c>
      <c r="R5869" t="s">
        <v>42677</v>
      </c>
      <c r="S5869" t="s">
        <v>42830</v>
      </c>
      <c r="T5869" t="s">
        <v>44481</v>
      </c>
      <c r="U5869" t="s">
        <v>45838</v>
      </c>
      <c r="V5869" t="s">
        <v>56470</v>
      </c>
      <c r="W5869" t="s">
        <v>58015</v>
      </c>
      <c r="X5869" t="s">
        <v>42678</v>
      </c>
    </row>
    <row r="5870" spans="1:24">
      <c r="A5870">
        <f>HYPERLINK("https://www.philgeps.gov.ph/GEPSNONPILOT/Tender/SplashBidNoticeAbstractUI.aspx?menuIndex=3&amp;refID=7184134&amp;Result=3","7184134")</f>
        <v>0</v>
      </c>
      <c r="B5870" t="s">
        <v>2023</v>
      </c>
      <c r="C5870" t="s">
        <v>9141</v>
      </c>
      <c r="D5870" t="s">
        <v>17168</v>
      </c>
      <c r="E5870" t="s">
        <v>18038</v>
      </c>
      <c r="F5870" t="s">
        <v>29372</v>
      </c>
      <c r="G5870" t="s">
        <v>29380</v>
      </c>
      <c r="H5870" t="s">
        <v>11048</v>
      </c>
      <c r="I5870" t="s">
        <v>29424</v>
      </c>
      <c r="J5870" t="s">
        <v>33326</v>
      </c>
      <c r="K5870" t="s">
        <v>38485</v>
      </c>
      <c r="M5870" t="s">
        <v>40917</v>
      </c>
      <c r="N5870" t="s">
        <v>42669</v>
      </c>
      <c r="O5870" t="s">
        <v>42670</v>
      </c>
      <c r="P5870">
        <v>0</v>
      </c>
      <c r="Q5870">
        <v>3</v>
      </c>
      <c r="R5870" t="s">
        <v>42677</v>
      </c>
      <c r="S5870" t="s">
        <v>42830</v>
      </c>
      <c r="T5870" t="s">
        <v>44355</v>
      </c>
      <c r="U5870" t="s">
        <v>49637</v>
      </c>
      <c r="V5870" t="s">
        <v>57007</v>
      </c>
      <c r="W5870" t="s">
        <v>40917</v>
      </c>
      <c r="X5870" t="s">
        <v>42678</v>
      </c>
    </row>
    <row r="5871" spans="1:24">
      <c r="A5871">
        <f>HYPERLINK("https://www.philgeps.gov.ph/GEPSNONPILOT/Tender/SplashBidNoticeAbstractUI.aspx?menuIndex=3&amp;refID=7184349&amp;Result=3","7184349")</f>
        <v>0</v>
      </c>
      <c r="B5871" t="s">
        <v>2024</v>
      </c>
      <c r="C5871" t="s">
        <v>9142</v>
      </c>
      <c r="D5871" t="s">
        <v>17173</v>
      </c>
      <c r="E5871" t="s">
        <v>22326</v>
      </c>
      <c r="F5871" t="s">
        <v>29372</v>
      </c>
      <c r="G5871" t="s">
        <v>29380</v>
      </c>
      <c r="H5871" t="s">
        <v>29390</v>
      </c>
      <c r="I5871" t="s">
        <v>5383</v>
      </c>
      <c r="J5871" t="s">
        <v>33327</v>
      </c>
      <c r="K5871" t="s">
        <v>38485</v>
      </c>
      <c r="M5871" t="s">
        <v>40918</v>
      </c>
      <c r="N5871" t="s">
        <v>42669</v>
      </c>
      <c r="O5871" t="s">
        <v>42670</v>
      </c>
      <c r="P5871">
        <v>0</v>
      </c>
      <c r="Q5871">
        <v>1</v>
      </c>
      <c r="R5871" t="s">
        <v>42677</v>
      </c>
      <c r="S5871" t="s">
        <v>42830</v>
      </c>
      <c r="T5871" t="s">
        <v>44568</v>
      </c>
      <c r="U5871" t="s">
        <v>49638</v>
      </c>
      <c r="V5871" t="s">
        <v>57008</v>
      </c>
      <c r="W5871" t="s">
        <v>40918</v>
      </c>
      <c r="X5871" t="s">
        <v>42678</v>
      </c>
    </row>
    <row r="5872" spans="1:24">
      <c r="A5872">
        <f>HYPERLINK("https://www.philgeps.gov.ph/GEPSNONPILOT/Tender/SplashBidNoticeAbstractUI.aspx?menuIndex=3&amp;refID=7184330&amp;Result=3","7184330")</f>
        <v>0</v>
      </c>
      <c r="B5872" t="s">
        <v>1573</v>
      </c>
      <c r="C5872" t="s">
        <v>9143</v>
      </c>
      <c r="D5872" t="s">
        <v>17194</v>
      </c>
      <c r="E5872" t="s">
        <v>22327</v>
      </c>
      <c r="F5872" t="s">
        <v>29372</v>
      </c>
      <c r="G5872" t="s">
        <v>29379</v>
      </c>
      <c r="H5872" t="s">
        <v>11048</v>
      </c>
      <c r="I5872" t="s">
        <v>4709</v>
      </c>
      <c r="J5872" t="s">
        <v>33328</v>
      </c>
      <c r="K5872" t="s">
        <v>38491</v>
      </c>
      <c r="M5872" t="s">
        <v>40919</v>
      </c>
      <c r="N5872" t="s">
        <v>42669</v>
      </c>
      <c r="O5872" t="s">
        <v>42670</v>
      </c>
      <c r="P5872">
        <v>0</v>
      </c>
      <c r="Q5872">
        <v>0</v>
      </c>
      <c r="R5872" t="s">
        <v>42677</v>
      </c>
      <c r="S5872" t="s">
        <v>42830</v>
      </c>
      <c r="T5872" t="s">
        <v>44491</v>
      </c>
      <c r="U5872" t="s">
        <v>49639</v>
      </c>
      <c r="W5872" t="s">
        <v>40919</v>
      </c>
      <c r="X5872" t="s">
        <v>42678</v>
      </c>
    </row>
    <row r="5873" spans="1:24">
      <c r="A5873">
        <f>HYPERLINK("https://www.philgeps.gov.ph/GEPSNONPILOT/Tender/SplashBidNoticeAbstractUI.aspx?menuIndex=3&amp;refID=7184263&amp;Result=3","7184263")</f>
        <v>0</v>
      </c>
      <c r="B5873" t="s">
        <v>1376</v>
      </c>
      <c r="C5873" t="s">
        <v>9144</v>
      </c>
      <c r="D5873" t="s">
        <v>17161</v>
      </c>
      <c r="E5873" t="s">
        <v>18886</v>
      </c>
      <c r="F5873" t="s">
        <v>29372</v>
      </c>
      <c r="G5873" t="s">
        <v>29380</v>
      </c>
      <c r="H5873" t="s">
        <v>11048</v>
      </c>
      <c r="I5873" t="s">
        <v>4709</v>
      </c>
      <c r="J5873" t="s">
        <v>33329</v>
      </c>
      <c r="K5873" t="s">
        <v>38491</v>
      </c>
      <c r="M5873" t="s">
        <v>40213</v>
      </c>
      <c r="N5873" t="s">
        <v>42669</v>
      </c>
      <c r="O5873" t="s">
        <v>42670</v>
      </c>
      <c r="P5873">
        <v>0</v>
      </c>
      <c r="Q5873">
        <v>0</v>
      </c>
      <c r="R5873" t="s">
        <v>42677</v>
      </c>
      <c r="S5873" t="s">
        <v>42830</v>
      </c>
      <c r="T5873" t="s">
        <v>44481</v>
      </c>
      <c r="U5873" t="s">
        <v>49640</v>
      </c>
      <c r="V5873" t="s">
        <v>56711</v>
      </c>
      <c r="W5873" t="s">
        <v>40213</v>
      </c>
      <c r="X5873" t="s">
        <v>42678</v>
      </c>
    </row>
    <row r="5874" spans="1:24">
      <c r="A5874">
        <f>HYPERLINK("https://www.philgeps.gov.ph/GEPSNONPILOT/Tender/SplashBidNoticeAbstractUI.aspx?menuIndex=3&amp;refID=7184327&amp;Result=3","7184327")</f>
        <v>0</v>
      </c>
      <c r="B5874" t="s">
        <v>1376</v>
      </c>
      <c r="C5874" t="s">
        <v>9145</v>
      </c>
      <c r="D5874" t="s">
        <v>17161</v>
      </c>
      <c r="E5874" t="s">
        <v>18903</v>
      </c>
      <c r="F5874" t="s">
        <v>29372</v>
      </c>
      <c r="G5874" t="s">
        <v>29380</v>
      </c>
      <c r="H5874" t="s">
        <v>11048</v>
      </c>
      <c r="I5874" t="s">
        <v>3695</v>
      </c>
      <c r="J5874" t="s">
        <v>33330</v>
      </c>
      <c r="K5874" t="s">
        <v>38491</v>
      </c>
      <c r="M5874" t="s">
        <v>40213</v>
      </c>
      <c r="N5874" t="s">
        <v>42669</v>
      </c>
      <c r="O5874" t="s">
        <v>42670</v>
      </c>
      <c r="P5874">
        <v>0</v>
      </c>
      <c r="Q5874">
        <v>2</v>
      </c>
      <c r="R5874" t="s">
        <v>42677</v>
      </c>
      <c r="S5874" t="s">
        <v>42830</v>
      </c>
      <c r="T5874" t="s">
        <v>44429</v>
      </c>
      <c r="U5874" t="s">
        <v>49641</v>
      </c>
      <c r="V5874" t="s">
        <v>56711</v>
      </c>
      <c r="W5874" t="s">
        <v>40213</v>
      </c>
      <c r="X5874" t="s">
        <v>42678</v>
      </c>
    </row>
    <row r="5875" spans="1:24">
      <c r="A5875">
        <f>HYPERLINK("https://www.philgeps.gov.ph/GEPSNONPILOT/Tender/SplashBidNoticeAbstractUI.aspx?menuIndex=3&amp;refID=7184326&amp;Result=3","7184326")</f>
        <v>0</v>
      </c>
      <c r="B5875" t="s">
        <v>2025</v>
      </c>
      <c r="C5875" t="s">
        <v>9146</v>
      </c>
      <c r="D5875" t="s">
        <v>17183</v>
      </c>
      <c r="E5875" t="s">
        <v>22328</v>
      </c>
      <c r="F5875" t="s">
        <v>29372</v>
      </c>
      <c r="G5875" t="s">
        <v>29380</v>
      </c>
      <c r="H5875" t="s">
        <v>11048</v>
      </c>
      <c r="I5875" t="s">
        <v>4709</v>
      </c>
      <c r="J5875" t="s">
        <v>33331</v>
      </c>
      <c r="K5875" t="s">
        <v>38518</v>
      </c>
      <c r="M5875" t="s">
        <v>40920</v>
      </c>
      <c r="N5875" t="s">
        <v>42669</v>
      </c>
      <c r="O5875" t="s">
        <v>42670</v>
      </c>
      <c r="P5875">
        <v>0</v>
      </c>
      <c r="Q5875">
        <v>2</v>
      </c>
      <c r="R5875" t="s">
        <v>42677</v>
      </c>
      <c r="S5875" t="s">
        <v>42830</v>
      </c>
      <c r="T5875" t="s">
        <v>44429</v>
      </c>
      <c r="U5875" t="s">
        <v>49642</v>
      </c>
      <c r="V5875" t="s">
        <v>57009</v>
      </c>
      <c r="W5875" t="s">
        <v>40920</v>
      </c>
      <c r="X5875" t="s">
        <v>42678</v>
      </c>
    </row>
    <row r="5876" spans="1:24">
      <c r="A5876">
        <f>HYPERLINK("https://www.philgeps.gov.ph/GEPSNONPILOT/Tender/SplashBidNoticeAbstractUI.aspx?menuIndex=3&amp;refID=7184363&amp;Result=3","7184363")</f>
        <v>0</v>
      </c>
      <c r="B5876" t="s">
        <v>2021</v>
      </c>
      <c r="C5876" t="s">
        <v>9147</v>
      </c>
      <c r="D5876" t="s">
        <v>17182</v>
      </c>
      <c r="E5876" t="s">
        <v>22329</v>
      </c>
      <c r="F5876" t="s">
        <v>29372</v>
      </c>
      <c r="G5876" t="s">
        <v>29380</v>
      </c>
      <c r="H5876" t="s">
        <v>11048</v>
      </c>
      <c r="I5876" t="s">
        <v>29421</v>
      </c>
      <c r="J5876" t="s">
        <v>33332</v>
      </c>
      <c r="K5876" t="s">
        <v>38495</v>
      </c>
      <c r="M5876" t="s">
        <v>40914</v>
      </c>
      <c r="N5876" t="s">
        <v>42669</v>
      </c>
      <c r="O5876" t="s">
        <v>42670</v>
      </c>
      <c r="P5876">
        <v>0</v>
      </c>
      <c r="Q5876">
        <v>4</v>
      </c>
      <c r="R5876" t="s">
        <v>42677</v>
      </c>
      <c r="S5876" t="s">
        <v>42830</v>
      </c>
      <c r="T5876" t="s">
        <v>44630</v>
      </c>
      <c r="U5876" t="s">
        <v>49643</v>
      </c>
      <c r="W5876" t="s">
        <v>40914</v>
      </c>
      <c r="X5876" t="s">
        <v>42678</v>
      </c>
    </row>
    <row r="5877" spans="1:24">
      <c r="A5877">
        <f>HYPERLINK("https://www.philgeps.gov.ph/GEPSNONPILOT/Tender/SplashBidNoticeAbstractUI.aspx?menuIndex=3&amp;refID=7184425&amp;Result=3","7184425")</f>
        <v>0</v>
      </c>
      <c r="B5877" t="s">
        <v>2026</v>
      </c>
      <c r="C5877" t="s">
        <v>9148</v>
      </c>
      <c r="D5877" t="s">
        <v>17199</v>
      </c>
      <c r="E5877" t="s">
        <v>22330</v>
      </c>
      <c r="F5877" t="s">
        <v>29372</v>
      </c>
      <c r="G5877" t="s">
        <v>29380</v>
      </c>
      <c r="H5877" t="s">
        <v>11048</v>
      </c>
      <c r="I5877" t="s">
        <v>29403</v>
      </c>
      <c r="J5877" t="s">
        <v>33333</v>
      </c>
      <c r="K5877" t="s">
        <v>38489</v>
      </c>
      <c r="M5877" t="s">
        <v>40921</v>
      </c>
      <c r="N5877" t="s">
        <v>42669</v>
      </c>
      <c r="O5877" t="s">
        <v>42670</v>
      </c>
      <c r="P5877">
        <v>0</v>
      </c>
      <c r="Q5877">
        <v>0</v>
      </c>
      <c r="R5877" t="s">
        <v>42677</v>
      </c>
      <c r="S5877" t="s">
        <v>42830</v>
      </c>
      <c r="T5877" t="s">
        <v>44427</v>
      </c>
      <c r="U5877" t="s">
        <v>49644</v>
      </c>
      <c r="W5877" t="s">
        <v>40921</v>
      </c>
      <c r="X5877" t="s">
        <v>42678</v>
      </c>
    </row>
    <row r="5878" spans="1:24">
      <c r="A5878">
        <f>HYPERLINK("https://www.philgeps.gov.ph/GEPSNONPILOT/Tender/SplashBidNoticeAbstractUI.aspx?menuIndex=3&amp;refID=7184333&amp;Result=3","7184333")</f>
        <v>0</v>
      </c>
      <c r="B5878" t="s">
        <v>1469</v>
      </c>
      <c r="C5878" t="s">
        <v>9149</v>
      </c>
      <c r="D5878" t="s">
        <v>17161</v>
      </c>
      <c r="E5878" t="s">
        <v>22331</v>
      </c>
      <c r="F5878" t="s">
        <v>29372</v>
      </c>
      <c r="G5878" t="s">
        <v>29379</v>
      </c>
      <c r="H5878" t="s">
        <v>11048</v>
      </c>
      <c r="I5878" t="s">
        <v>4709</v>
      </c>
      <c r="J5878" t="s">
        <v>33334</v>
      </c>
      <c r="K5878" t="s">
        <v>38489</v>
      </c>
      <c r="M5878" t="s">
        <v>40312</v>
      </c>
      <c r="N5878" t="s">
        <v>42669</v>
      </c>
      <c r="O5878" t="s">
        <v>42670</v>
      </c>
      <c r="P5878">
        <v>0</v>
      </c>
      <c r="Q5878">
        <v>0</v>
      </c>
      <c r="R5878" t="s">
        <v>42677</v>
      </c>
      <c r="S5878" t="s">
        <v>42830</v>
      </c>
      <c r="T5878" t="s">
        <v>44425</v>
      </c>
      <c r="U5878" t="s">
        <v>49645</v>
      </c>
      <c r="W5878" t="s">
        <v>40312</v>
      </c>
      <c r="X5878" t="s">
        <v>42678</v>
      </c>
    </row>
    <row r="5879" spans="1:24">
      <c r="A5879">
        <f>HYPERLINK("https://www.philgeps.gov.ph/GEPSNONPILOT/Tender/SplashBidNoticeAbstractUI.aspx?menuIndex=3&amp;refID=7184331&amp;Result=3","7184331")</f>
        <v>0</v>
      </c>
      <c r="B5879" t="s">
        <v>953</v>
      </c>
      <c r="C5879" t="s">
        <v>4330</v>
      </c>
      <c r="D5879" t="s">
        <v>17225</v>
      </c>
      <c r="E5879" t="s">
        <v>21419</v>
      </c>
      <c r="F5879" t="s">
        <v>29372</v>
      </c>
      <c r="G5879" t="s">
        <v>29380</v>
      </c>
      <c r="H5879" t="s">
        <v>11048</v>
      </c>
      <c r="I5879" t="s">
        <v>3695</v>
      </c>
      <c r="J5879" t="s">
        <v>33335</v>
      </c>
      <c r="K5879" t="s">
        <v>38510</v>
      </c>
      <c r="M5879" t="s">
        <v>39749</v>
      </c>
      <c r="N5879" t="s">
        <v>42669</v>
      </c>
      <c r="O5879" t="s">
        <v>42670</v>
      </c>
      <c r="P5879">
        <v>0</v>
      </c>
      <c r="Q5879">
        <v>3</v>
      </c>
      <c r="R5879" t="s">
        <v>42677</v>
      </c>
      <c r="S5879" t="s">
        <v>42830</v>
      </c>
      <c r="T5879" t="s">
        <v>44504</v>
      </c>
      <c r="U5879" t="s">
        <v>49646</v>
      </c>
      <c r="W5879" t="s">
        <v>39749</v>
      </c>
      <c r="X5879" t="s">
        <v>42678</v>
      </c>
    </row>
    <row r="5880" spans="1:24">
      <c r="A5880">
        <f>HYPERLINK("https://www.philgeps.gov.ph/GEPSNONPILOT/Tender/SplashBidNoticeAbstractUI.aspx?menuIndex=3&amp;refID=7184344&amp;Result=3","7184344")</f>
        <v>0</v>
      </c>
      <c r="B5880" t="s">
        <v>1404</v>
      </c>
      <c r="C5880" t="s">
        <v>9150</v>
      </c>
      <c r="D5880" t="s">
        <v>17189</v>
      </c>
      <c r="E5880" t="s">
        <v>22332</v>
      </c>
      <c r="F5880" t="s">
        <v>29372</v>
      </c>
      <c r="G5880" t="s">
        <v>29379</v>
      </c>
      <c r="H5880" t="s">
        <v>11048</v>
      </c>
      <c r="I5880" t="s">
        <v>10408</v>
      </c>
      <c r="J5880" t="s">
        <v>29708</v>
      </c>
      <c r="K5880" t="s">
        <v>38538</v>
      </c>
      <c r="M5880" t="s">
        <v>40243</v>
      </c>
      <c r="N5880" t="s">
        <v>42669</v>
      </c>
      <c r="O5880" t="s">
        <v>42670</v>
      </c>
      <c r="P5880">
        <v>0</v>
      </c>
      <c r="Q5880">
        <v>0</v>
      </c>
      <c r="R5880" t="s">
        <v>42677</v>
      </c>
      <c r="S5880" t="s">
        <v>42830</v>
      </c>
      <c r="T5880" t="s">
        <v>44491</v>
      </c>
      <c r="U5880" t="s">
        <v>49647</v>
      </c>
      <c r="W5880" t="s">
        <v>40243</v>
      </c>
      <c r="X5880" t="s">
        <v>42678</v>
      </c>
    </row>
    <row r="5881" spans="1:24">
      <c r="A5881">
        <f>HYPERLINK("https://www.philgeps.gov.ph/GEPSNONPILOT/Tender/SplashBidNoticeAbstractUI.aspx?menuIndex=3&amp;refID=7184417&amp;Result=3","7184417")</f>
        <v>0</v>
      </c>
      <c r="B5881" t="s">
        <v>790</v>
      </c>
      <c r="C5881" t="s">
        <v>9151</v>
      </c>
      <c r="E5881" t="s">
        <v>22333</v>
      </c>
      <c r="F5881" t="s">
        <v>29372</v>
      </c>
      <c r="G5881" t="s">
        <v>29380</v>
      </c>
      <c r="H5881" t="s">
        <v>29389</v>
      </c>
      <c r="I5881" t="s">
        <v>10408</v>
      </c>
      <c r="J5881" t="s">
        <v>29526</v>
      </c>
      <c r="K5881" t="s">
        <v>38490</v>
      </c>
      <c r="M5881" t="s">
        <v>39574</v>
      </c>
      <c r="N5881" t="s">
        <v>42669</v>
      </c>
      <c r="O5881" t="s">
        <v>42670</v>
      </c>
      <c r="P5881">
        <v>0</v>
      </c>
      <c r="Q5881">
        <v>0</v>
      </c>
      <c r="R5881" t="s">
        <v>42677</v>
      </c>
      <c r="S5881" t="s">
        <v>42830</v>
      </c>
      <c r="T5881" t="s">
        <v>44539</v>
      </c>
      <c r="U5881" t="s">
        <v>49648</v>
      </c>
      <c r="W5881" t="s">
        <v>39574</v>
      </c>
      <c r="X5881" t="s">
        <v>42678</v>
      </c>
    </row>
    <row r="5882" spans="1:24">
      <c r="A5882">
        <f>HYPERLINK("https://www.philgeps.gov.ph/GEPSNONPILOT/Tender/SplashBidNoticeAbstractUI.aspx?menuIndex=3&amp;refID=7184411&amp;Result=3","7184411")</f>
        <v>0</v>
      </c>
      <c r="B5882" t="s">
        <v>2027</v>
      </c>
      <c r="C5882" t="s">
        <v>9152</v>
      </c>
      <c r="D5882" t="s">
        <v>17226</v>
      </c>
      <c r="E5882" t="s">
        <v>22334</v>
      </c>
      <c r="F5882" t="s">
        <v>29372</v>
      </c>
      <c r="G5882" t="s">
        <v>29380</v>
      </c>
      <c r="H5882" t="s">
        <v>11048</v>
      </c>
      <c r="I5882" t="s">
        <v>4709</v>
      </c>
      <c r="J5882" t="s">
        <v>30412</v>
      </c>
      <c r="K5882" t="s">
        <v>38518</v>
      </c>
      <c r="M5882" t="s">
        <v>40922</v>
      </c>
      <c r="N5882" t="s">
        <v>42669</v>
      </c>
      <c r="O5882" t="s">
        <v>42670</v>
      </c>
      <c r="P5882">
        <v>0</v>
      </c>
      <c r="Q5882">
        <v>0</v>
      </c>
      <c r="R5882" t="s">
        <v>42677</v>
      </c>
      <c r="S5882" t="s">
        <v>42830</v>
      </c>
      <c r="T5882" t="s">
        <v>44371</v>
      </c>
      <c r="U5882" t="s">
        <v>49649</v>
      </c>
      <c r="V5882" t="s">
        <v>57010</v>
      </c>
      <c r="W5882" t="s">
        <v>40922</v>
      </c>
      <c r="X5882" t="s">
        <v>42678</v>
      </c>
    </row>
    <row r="5883" spans="1:24">
      <c r="A5883">
        <f>HYPERLINK("https://www.philgeps.gov.ph/GEPSNONPILOT/Tender/SplashBidNoticeAbstractUI.aspx?menuIndex=3&amp;refID=7184335&amp;Result=3","7184335")</f>
        <v>0</v>
      </c>
      <c r="B5883" t="s">
        <v>2020</v>
      </c>
      <c r="C5883" t="s">
        <v>9153</v>
      </c>
      <c r="D5883" t="s">
        <v>17177</v>
      </c>
      <c r="E5883" t="s">
        <v>22335</v>
      </c>
      <c r="F5883" t="s">
        <v>29372</v>
      </c>
      <c r="G5883" t="s">
        <v>29379</v>
      </c>
      <c r="H5883" t="s">
        <v>29389</v>
      </c>
      <c r="I5883" t="s">
        <v>29418</v>
      </c>
      <c r="J5883" t="s">
        <v>29590</v>
      </c>
      <c r="K5883" t="s">
        <v>38530</v>
      </c>
      <c r="M5883" t="s">
        <v>40912</v>
      </c>
      <c r="N5883" t="s">
        <v>42669</v>
      </c>
      <c r="O5883" t="s">
        <v>42670</v>
      </c>
      <c r="P5883">
        <v>0</v>
      </c>
      <c r="Q5883">
        <v>2</v>
      </c>
      <c r="R5883" t="s">
        <v>42677</v>
      </c>
      <c r="S5883" t="s">
        <v>42830</v>
      </c>
      <c r="T5883" t="s">
        <v>44488</v>
      </c>
      <c r="U5883" t="s">
        <v>49650</v>
      </c>
      <c r="W5883" t="s">
        <v>40912</v>
      </c>
      <c r="X5883" t="s">
        <v>42678</v>
      </c>
    </row>
    <row r="5884" spans="1:24">
      <c r="A5884">
        <f>HYPERLINK("https://www.philgeps.gov.ph/GEPSNONPILOT/Tender/SplashBidNoticeAbstractUI.aspx?menuIndex=3&amp;refID=7184402&amp;Result=3","7184402")</f>
        <v>0</v>
      </c>
      <c r="B5884" t="s">
        <v>2028</v>
      </c>
      <c r="C5884" t="s">
        <v>9154</v>
      </c>
      <c r="D5884" t="s">
        <v>17207</v>
      </c>
      <c r="E5884" t="s">
        <v>22336</v>
      </c>
      <c r="F5884" t="s">
        <v>29372</v>
      </c>
      <c r="G5884" t="s">
        <v>29380</v>
      </c>
      <c r="H5884" t="s">
        <v>29389</v>
      </c>
      <c r="I5884" t="s">
        <v>10408</v>
      </c>
      <c r="J5884" t="s">
        <v>33336</v>
      </c>
      <c r="K5884" t="s">
        <v>38491</v>
      </c>
      <c r="M5884" t="s">
        <v>40923</v>
      </c>
      <c r="N5884" t="s">
        <v>42669</v>
      </c>
      <c r="O5884" t="s">
        <v>42670</v>
      </c>
      <c r="P5884">
        <v>0</v>
      </c>
      <c r="Q5884">
        <v>0</v>
      </c>
      <c r="R5884" t="s">
        <v>42677</v>
      </c>
      <c r="S5884" t="s">
        <v>42830</v>
      </c>
      <c r="T5884" t="s">
        <v>44517</v>
      </c>
      <c r="U5884" t="s">
        <v>49651</v>
      </c>
      <c r="W5884" t="s">
        <v>40923</v>
      </c>
      <c r="X5884" t="s">
        <v>42678</v>
      </c>
    </row>
    <row r="5885" spans="1:24">
      <c r="A5885">
        <f>HYPERLINK("https://www.philgeps.gov.ph/GEPSNONPILOT/Tender/SplashBidNoticeAbstractUI.aspx?menuIndex=3&amp;refID=7184410&amp;Result=3","7184410")</f>
        <v>0</v>
      </c>
      <c r="B5885" t="s">
        <v>2029</v>
      </c>
      <c r="C5885" t="s">
        <v>9155</v>
      </c>
      <c r="E5885" t="s">
        <v>22337</v>
      </c>
      <c r="F5885" t="s">
        <v>29372</v>
      </c>
      <c r="G5885" t="s">
        <v>29380</v>
      </c>
      <c r="H5885" t="s">
        <v>11048</v>
      </c>
      <c r="I5885" t="s">
        <v>29417</v>
      </c>
      <c r="J5885" t="s">
        <v>33337</v>
      </c>
      <c r="K5885" t="s">
        <v>38490</v>
      </c>
      <c r="M5885" t="s">
        <v>40924</v>
      </c>
      <c r="N5885" t="s">
        <v>42669</v>
      </c>
      <c r="O5885" t="s">
        <v>42670</v>
      </c>
      <c r="P5885">
        <v>0</v>
      </c>
      <c r="Q5885">
        <v>5</v>
      </c>
      <c r="R5885" t="s">
        <v>42677</v>
      </c>
      <c r="S5885" t="s">
        <v>42830</v>
      </c>
      <c r="T5885" t="s">
        <v>44449</v>
      </c>
      <c r="U5885" t="s">
        <v>49652</v>
      </c>
      <c r="W5885" t="s">
        <v>40924</v>
      </c>
      <c r="X5885" t="s">
        <v>42678</v>
      </c>
    </row>
    <row r="5886" spans="1:24">
      <c r="A5886">
        <f>HYPERLINK("https://www.philgeps.gov.ph/GEPSNONPILOT/Tender/SplashBidNoticeAbstractUI.aspx?menuIndex=3&amp;refID=7184420&amp;Result=3","7184420")</f>
        <v>0</v>
      </c>
      <c r="B5886" t="s">
        <v>768</v>
      </c>
      <c r="C5886" t="s">
        <v>9156</v>
      </c>
      <c r="D5886" t="s">
        <v>17170</v>
      </c>
      <c r="E5886" t="s">
        <v>22338</v>
      </c>
      <c r="F5886" t="s">
        <v>29372</v>
      </c>
      <c r="G5886" t="s">
        <v>29380</v>
      </c>
      <c r="H5886" t="s">
        <v>11048</v>
      </c>
      <c r="I5886" t="s">
        <v>29401</v>
      </c>
      <c r="J5886" t="s">
        <v>29734</v>
      </c>
      <c r="K5886" t="s">
        <v>38510</v>
      </c>
      <c r="M5886" t="s">
        <v>39552</v>
      </c>
      <c r="N5886" t="s">
        <v>42669</v>
      </c>
      <c r="O5886" t="s">
        <v>42670</v>
      </c>
      <c r="P5886">
        <v>0</v>
      </c>
      <c r="Q5886">
        <v>2</v>
      </c>
      <c r="R5886" t="s">
        <v>42677</v>
      </c>
      <c r="S5886" t="s">
        <v>42830</v>
      </c>
      <c r="T5886" t="s">
        <v>44600</v>
      </c>
      <c r="U5886" t="s">
        <v>49653</v>
      </c>
      <c r="W5886" t="s">
        <v>39552</v>
      </c>
      <c r="X5886" t="s">
        <v>42678</v>
      </c>
    </row>
    <row r="5887" spans="1:24">
      <c r="A5887">
        <f>HYPERLINK("https://www.philgeps.gov.ph/GEPSNONPILOT/Tender/SplashBidNoticeAbstractUI.aspx?menuIndex=3&amp;refID=7184405&amp;Result=3","7184405")</f>
        <v>0</v>
      </c>
      <c r="B5887" t="s">
        <v>1446</v>
      </c>
      <c r="C5887" t="s">
        <v>9157</v>
      </c>
      <c r="D5887" t="s">
        <v>17204</v>
      </c>
      <c r="E5887" t="s">
        <v>22339</v>
      </c>
      <c r="F5887" t="s">
        <v>29372</v>
      </c>
      <c r="G5887" t="s">
        <v>29383</v>
      </c>
      <c r="H5887" t="s">
        <v>11048</v>
      </c>
      <c r="I5887" t="s">
        <v>5383</v>
      </c>
      <c r="J5887" t="s">
        <v>33338</v>
      </c>
      <c r="K5887" t="s">
        <v>38485</v>
      </c>
      <c r="M5887" t="s">
        <v>40287</v>
      </c>
      <c r="N5887" t="s">
        <v>42669</v>
      </c>
      <c r="O5887" t="s">
        <v>42670</v>
      </c>
      <c r="P5887">
        <v>0</v>
      </c>
      <c r="Q5887">
        <v>3</v>
      </c>
      <c r="R5887" t="s">
        <v>42677</v>
      </c>
      <c r="S5887" t="s">
        <v>42830</v>
      </c>
      <c r="T5887" t="s">
        <v>44469</v>
      </c>
      <c r="U5887" t="s">
        <v>49654</v>
      </c>
      <c r="W5887" t="s">
        <v>40287</v>
      </c>
      <c r="X5887" t="s">
        <v>42678</v>
      </c>
    </row>
    <row r="5888" spans="1:24">
      <c r="A5888">
        <f>HYPERLINK("https://www.philgeps.gov.ph/GEPSNONPILOT/Tender/SplashBidNoticeAbstractUI.aspx?menuIndex=3&amp;refID=7184416&amp;Result=3","7184416")</f>
        <v>0</v>
      </c>
      <c r="B5888" t="s">
        <v>717</v>
      </c>
      <c r="C5888" t="s">
        <v>7686</v>
      </c>
      <c r="D5888" t="s">
        <v>17171</v>
      </c>
      <c r="E5888" t="s">
        <v>22340</v>
      </c>
      <c r="F5888" t="s">
        <v>29372</v>
      </c>
      <c r="G5888" t="s">
        <v>29379</v>
      </c>
      <c r="H5888" t="s">
        <v>11048</v>
      </c>
      <c r="I5888" t="s">
        <v>29393</v>
      </c>
      <c r="J5888" t="s">
        <v>33339</v>
      </c>
      <c r="K5888" t="s">
        <v>38490</v>
      </c>
      <c r="M5888" t="s">
        <v>39496</v>
      </c>
      <c r="N5888" t="s">
        <v>42669</v>
      </c>
      <c r="O5888" t="s">
        <v>42670</v>
      </c>
      <c r="P5888">
        <v>0</v>
      </c>
      <c r="Q5888">
        <v>0</v>
      </c>
      <c r="R5888" t="s">
        <v>42677</v>
      </c>
      <c r="S5888" t="s">
        <v>42830</v>
      </c>
      <c r="T5888" t="s">
        <v>44565</v>
      </c>
      <c r="U5888" t="s">
        <v>46336</v>
      </c>
      <c r="W5888" t="s">
        <v>39496</v>
      </c>
      <c r="X5888" t="s">
        <v>42678</v>
      </c>
    </row>
    <row r="5889" spans="1:24">
      <c r="A5889">
        <f>HYPERLINK("https://www.philgeps.gov.ph/GEPSNONPILOT/Tender/SplashBidNoticeAbstractUI.aspx?menuIndex=3&amp;refID=7184387&amp;Result=3","7184387")</f>
        <v>0</v>
      </c>
      <c r="B5889" t="s">
        <v>433</v>
      </c>
      <c r="C5889" t="s">
        <v>9158</v>
      </c>
      <c r="D5889" t="s">
        <v>17178</v>
      </c>
      <c r="E5889" t="s">
        <v>22341</v>
      </c>
      <c r="F5889" t="s">
        <v>29372</v>
      </c>
      <c r="G5889" t="s">
        <v>29379</v>
      </c>
      <c r="H5889" t="s">
        <v>11048</v>
      </c>
      <c r="I5889" t="s">
        <v>29394</v>
      </c>
      <c r="J5889" t="s">
        <v>31772</v>
      </c>
      <c r="K5889" t="s">
        <v>38485</v>
      </c>
      <c r="M5889" t="s">
        <v>39197</v>
      </c>
      <c r="N5889" t="s">
        <v>42669</v>
      </c>
      <c r="O5889" t="s">
        <v>42670</v>
      </c>
      <c r="P5889">
        <v>0</v>
      </c>
      <c r="Q5889">
        <v>0</v>
      </c>
      <c r="R5889" t="s">
        <v>42677</v>
      </c>
      <c r="S5889" t="s">
        <v>42830</v>
      </c>
      <c r="T5889" t="s">
        <v>44441</v>
      </c>
      <c r="U5889" t="s">
        <v>49655</v>
      </c>
      <c r="W5889" t="s">
        <v>39197</v>
      </c>
      <c r="X5889" t="s">
        <v>42678</v>
      </c>
    </row>
    <row r="5890" spans="1:24">
      <c r="A5890">
        <f>HYPERLINK("https://www.philgeps.gov.ph/GEPSNONPILOT/Tender/SplashBidNoticeAbstractUI.aspx?menuIndex=3&amp;refID=7184401&amp;Result=3","7184401")</f>
        <v>0</v>
      </c>
      <c r="B5890" t="s">
        <v>1655</v>
      </c>
      <c r="C5890" t="s">
        <v>9159</v>
      </c>
      <c r="D5890" t="s">
        <v>17216</v>
      </c>
      <c r="E5890" t="s">
        <v>22342</v>
      </c>
      <c r="F5890" t="s">
        <v>29372</v>
      </c>
      <c r="G5890" t="s">
        <v>29379</v>
      </c>
      <c r="H5890" t="s">
        <v>11048</v>
      </c>
      <c r="I5890" t="s">
        <v>4486</v>
      </c>
      <c r="J5890" t="s">
        <v>33340</v>
      </c>
      <c r="K5890" t="s">
        <v>38488</v>
      </c>
      <c r="M5890" t="s">
        <v>40512</v>
      </c>
      <c r="N5890" t="s">
        <v>42669</v>
      </c>
      <c r="O5890" t="s">
        <v>42670</v>
      </c>
      <c r="P5890">
        <v>0</v>
      </c>
      <c r="Q5890">
        <v>2</v>
      </c>
      <c r="R5890" t="s">
        <v>42677</v>
      </c>
      <c r="S5890" t="s">
        <v>42830</v>
      </c>
      <c r="T5890" t="s">
        <v>44417</v>
      </c>
      <c r="U5890" t="s">
        <v>49656</v>
      </c>
      <c r="W5890" t="s">
        <v>40512</v>
      </c>
      <c r="X5890" t="s">
        <v>42678</v>
      </c>
    </row>
    <row r="5891" spans="1:24">
      <c r="A5891">
        <f>HYPERLINK("https://www.philgeps.gov.ph/GEPSNONPILOT/Tender/SplashBidNoticeAbstractUI.aspx?menuIndex=3&amp;refID=7184386&amp;Result=3","7184386")</f>
        <v>0</v>
      </c>
      <c r="B5891" t="s">
        <v>2020</v>
      </c>
      <c r="C5891" t="s">
        <v>9160</v>
      </c>
      <c r="D5891" t="s">
        <v>17177</v>
      </c>
      <c r="E5891" t="s">
        <v>22343</v>
      </c>
      <c r="F5891" t="s">
        <v>29372</v>
      </c>
      <c r="G5891" t="s">
        <v>29379</v>
      </c>
      <c r="H5891" t="s">
        <v>11048</v>
      </c>
      <c r="I5891" t="s">
        <v>5383</v>
      </c>
      <c r="J5891" t="s">
        <v>33341</v>
      </c>
      <c r="K5891" t="s">
        <v>38518</v>
      </c>
      <c r="M5891" t="s">
        <v>40912</v>
      </c>
      <c r="N5891" t="s">
        <v>42669</v>
      </c>
      <c r="O5891" t="s">
        <v>42670</v>
      </c>
      <c r="P5891">
        <v>0</v>
      </c>
      <c r="Q5891">
        <v>1</v>
      </c>
      <c r="R5891" t="s">
        <v>42677</v>
      </c>
      <c r="S5891" t="s">
        <v>42830</v>
      </c>
      <c r="T5891" t="s">
        <v>44488</v>
      </c>
      <c r="U5891" t="s">
        <v>49657</v>
      </c>
      <c r="W5891" t="s">
        <v>40912</v>
      </c>
      <c r="X5891" t="s">
        <v>42678</v>
      </c>
    </row>
    <row r="5892" spans="1:24">
      <c r="A5892">
        <f>HYPERLINK("https://www.philgeps.gov.ph/GEPSNONPILOT/Tender/SplashBidNoticeAbstractUI.aspx?menuIndex=3&amp;refID=7184384&amp;Result=3","7184384")</f>
        <v>0</v>
      </c>
      <c r="B5892" t="s">
        <v>2030</v>
      </c>
      <c r="C5892" t="s">
        <v>9161</v>
      </c>
      <c r="D5892" t="s">
        <v>17166</v>
      </c>
      <c r="E5892" t="s">
        <v>22344</v>
      </c>
      <c r="F5892" t="s">
        <v>29372</v>
      </c>
      <c r="G5892" t="s">
        <v>29380</v>
      </c>
      <c r="H5892" t="s">
        <v>11048</v>
      </c>
      <c r="I5892" t="s">
        <v>3839</v>
      </c>
      <c r="J5892" t="s">
        <v>33342</v>
      </c>
      <c r="K5892" t="s">
        <v>38491</v>
      </c>
      <c r="M5892" t="s">
        <v>40925</v>
      </c>
      <c r="N5892" t="s">
        <v>42669</v>
      </c>
      <c r="O5892" t="s">
        <v>42670</v>
      </c>
      <c r="P5892">
        <v>0</v>
      </c>
      <c r="Q5892">
        <v>8</v>
      </c>
      <c r="R5892" t="s">
        <v>42677</v>
      </c>
      <c r="S5892" t="s">
        <v>42830</v>
      </c>
      <c r="T5892" t="s">
        <v>44365</v>
      </c>
      <c r="U5892" t="s">
        <v>49658</v>
      </c>
      <c r="W5892" t="s">
        <v>40925</v>
      </c>
      <c r="X5892" t="s">
        <v>42678</v>
      </c>
    </row>
    <row r="5893" spans="1:24">
      <c r="A5893">
        <f>HYPERLINK("https://www.philgeps.gov.ph/GEPSNONPILOT/Tender/SplashBidNoticeAbstractUI.aspx?menuIndex=3&amp;refID=7184373&amp;Result=3","7184373")</f>
        <v>0</v>
      </c>
      <c r="B5893" t="s">
        <v>73</v>
      </c>
      <c r="C5893" t="s">
        <v>9162</v>
      </c>
      <c r="D5893" t="s">
        <v>17171</v>
      </c>
      <c r="E5893" t="s">
        <v>22345</v>
      </c>
      <c r="F5893" t="s">
        <v>29372</v>
      </c>
      <c r="G5893" t="s">
        <v>29380</v>
      </c>
      <c r="H5893" t="s">
        <v>11048</v>
      </c>
      <c r="I5893" t="s">
        <v>4487</v>
      </c>
      <c r="J5893" t="s">
        <v>33343</v>
      </c>
      <c r="K5893" t="s">
        <v>38485</v>
      </c>
      <c r="M5893" t="s">
        <v>40913</v>
      </c>
      <c r="N5893" t="s">
        <v>42669</v>
      </c>
      <c r="O5893" t="s">
        <v>42670</v>
      </c>
      <c r="P5893">
        <v>0</v>
      </c>
      <c r="Q5893">
        <v>1</v>
      </c>
      <c r="R5893" t="s">
        <v>42677</v>
      </c>
      <c r="S5893" t="s">
        <v>42830</v>
      </c>
      <c r="T5893" t="s">
        <v>44481</v>
      </c>
      <c r="U5893" t="s">
        <v>49659</v>
      </c>
      <c r="W5893" t="s">
        <v>40913</v>
      </c>
      <c r="X5893" t="s">
        <v>42678</v>
      </c>
    </row>
    <row r="5894" spans="1:24">
      <c r="A5894">
        <f>HYPERLINK("https://www.philgeps.gov.ph/GEPSNONPILOT/Tender/SplashBidNoticeAbstractUI.aspx?menuIndex=3&amp;refID=7184365&amp;Result=3","7184365")</f>
        <v>0</v>
      </c>
      <c r="B5894" t="s">
        <v>1573</v>
      </c>
      <c r="C5894" t="s">
        <v>9163</v>
      </c>
      <c r="D5894" t="s">
        <v>17194</v>
      </c>
      <c r="E5894" t="s">
        <v>22346</v>
      </c>
      <c r="F5894" t="s">
        <v>29372</v>
      </c>
      <c r="G5894" t="s">
        <v>29379</v>
      </c>
      <c r="H5894" t="s">
        <v>11048</v>
      </c>
      <c r="I5894" t="s">
        <v>4709</v>
      </c>
      <c r="J5894" t="s">
        <v>33344</v>
      </c>
      <c r="K5894" t="s">
        <v>38488</v>
      </c>
      <c r="M5894" t="s">
        <v>40919</v>
      </c>
      <c r="N5894" t="s">
        <v>42669</v>
      </c>
      <c r="O5894" t="s">
        <v>42670</v>
      </c>
      <c r="P5894">
        <v>0</v>
      </c>
      <c r="Q5894">
        <v>2</v>
      </c>
      <c r="R5894" t="s">
        <v>42677</v>
      </c>
      <c r="S5894" t="s">
        <v>42830</v>
      </c>
      <c r="T5894" t="s">
        <v>44491</v>
      </c>
      <c r="U5894" t="s">
        <v>49660</v>
      </c>
      <c r="W5894" t="s">
        <v>40919</v>
      </c>
      <c r="X5894" t="s">
        <v>42678</v>
      </c>
    </row>
    <row r="5895" spans="1:24">
      <c r="A5895">
        <f>HYPERLINK("https://www.philgeps.gov.ph/GEPSNONPILOT/Tender/SplashBidNoticeAbstractUI.aspx?menuIndex=3&amp;refID=7184324&amp;Result=3","7184324")</f>
        <v>0</v>
      </c>
      <c r="B5895" t="s">
        <v>1186</v>
      </c>
      <c r="C5895" t="s">
        <v>9164</v>
      </c>
      <c r="D5895" t="s">
        <v>17175</v>
      </c>
      <c r="E5895" t="s">
        <v>22347</v>
      </c>
      <c r="F5895" t="s">
        <v>29372</v>
      </c>
      <c r="G5895" t="s">
        <v>29380</v>
      </c>
      <c r="H5895" t="s">
        <v>11048</v>
      </c>
      <c r="I5895" t="s">
        <v>29394</v>
      </c>
      <c r="J5895" t="s">
        <v>30162</v>
      </c>
      <c r="K5895" t="s">
        <v>38490</v>
      </c>
      <c r="M5895" t="s">
        <v>40002</v>
      </c>
      <c r="N5895" t="s">
        <v>42669</v>
      </c>
      <c r="O5895" t="s">
        <v>42670</v>
      </c>
      <c r="P5895">
        <v>0</v>
      </c>
      <c r="Q5895">
        <v>2</v>
      </c>
      <c r="R5895" t="s">
        <v>42677</v>
      </c>
      <c r="S5895" t="s">
        <v>42830</v>
      </c>
      <c r="T5895" t="s">
        <v>44399</v>
      </c>
      <c r="U5895" t="s">
        <v>49661</v>
      </c>
      <c r="W5895" t="s">
        <v>40002</v>
      </c>
      <c r="X5895" t="s">
        <v>42678</v>
      </c>
    </row>
    <row r="5896" spans="1:24">
      <c r="A5896">
        <f>HYPERLINK("https://www.philgeps.gov.ph/GEPSNONPILOT/Tender/SplashBidNoticeAbstractUI.aspx?menuIndex=3&amp;refID=7184323&amp;Result=3","7184323")</f>
        <v>0</v>
      </c>
      <c r="B5896" t="s">
        <v>1947</v>
      </c>
      <c r="C5896" t="s">
        <v>9165</v>
      </c>
      <c r="D5896" t="s">
        <v>17194</v>
      </c>
      <c r="E5896" t="s">
        <v>22348</v>
      </c>
      <c r="F5896" t="s">
        <v>29372</v>
      </c>
      <c r="G5896" t="s">
        <v>29383</v>
      </c>
      <c r="H5896" t="s">
        <v>11048</v>
      </c>
      <c r="I5896" t="s">
        <v>5383</v>
      </c>
      <c r="J5896" t="s">
        <v>30072</v>
      </c>
      <c r="K5896" t="s">
        <v>38491</v>
      </c>
      <c r="M5896" t="s">
        <v>40829</v>
      </c>
      <c r="N5896" t="s">
        <v>42669</v>
      </c>
      <c r="O5896" t="s">
        <v>42670</v>
      </c>
      <c r="P5896">
        <v>0</v>
      </c>
      <c r="Q5896">
        <v>0</v>
      </c>
      <c r="R5896" t="s">
        <v>42677</v>
      </c>
      <c r="S5896" t="s">
        <v>42830</v>
      </c>
      <c r="T5896" t="s">
        <v>44706</v>
      </c>
      <c r="U5896" t="s">
        <v>49662</v>
      </c>
      <c r="W5896" t="s">
        <v>40829</v>
      </c>
      <c r="X5896" t="s">
        <v>42678</v>
      </c>
    </row>
    <row r="5897" spans="1:24">
      <c r="A5897">
        <f>HYPERLINK("https://www.philgeps.gov.ph/GEPSNONPILOT/Tender/SplashBidNoticeAbstractUI.aspx?menuIndex=3&amp;refID=7184320&amp;Result=3","7184320")</f>
        <v>0</v>
      </c>
      <c r="B5897" t="s">
        <v>684</v>
      </c>
      <c r="C5897" t="s">
        <v>9166</v>
      </c>
      <c r="D5897" t="s">
        <v>17188</v>
      </c>
      <c r="E5897" t="s">
        <v>22349</v>
      </c>
      <c r="F5897" t="s">
        <v>29372</v>
      </c>
      <c r="G5897" t="s">
        <v>29380</v>
      </c>
      <c r="H5897" t="s">
        <v>11048</v>
      </c>
      <c r="I5897" t="s">
        <v>29404</v>
      </c>
      <c r="J5897" t="s">
        <v>33345</v>
      </c>
      <c r="K5897" t="s">
        <v>38496</v>
      </c>
      <c r="M5897" t="s">
        <v>40926</v>
      </c>
      <c r="N5897" t="s">
        <v>42669</v>
      </c>
      <c r="O5897" t="s">
        <v>42670</v>
      </c>
      <c r="P5897">
        <v>0</v>
      </c>
      <c r="Q5897">
        <v>1</v>
      </c>
      <c r="R5897" t="s">
        <v>42677</v>
      </c>
      <c r="S5897" t="s">
        <v>42830</v>
      </c>
      <c r="T5897" t="s">
        <v>44684</v>
      </c>
      <c r="U5897" t="s">
        <v>49663</v>
      </c>
      <c r="V5897" t="s">
        <v>57011</v>
      </c>
      <c r="W5897" t="s">
        <v>40926</v>
      </c>
      <c r="X5897" t="s">
        <v>42678</v>
      </c>
    </row>
    <row r="5898" spans="1:24">
      <c r="A5898">
        <f>HYPERLINK("https://www.philgeps.gov.ph/GEPSNONPILOT/Tender/SplashBidNoticeAbstractUI.aspx?menuIndex=3&amp;refID=7184388&amp;Result=3","7184388")</f>
        <v>0</v>
      </c>
      <c r="B5898" t="s">
        <v>2031</v>
      </c>
      <c r="C5898" t="s">
        <v>9167</v>
      </c>
      <c r="D5898" t="s">
        <v>17185</v>
      </c>
      <c r="E5898" t="s">
        <v>20173</v>
      </c>
      <c r="F5898" t="s">
        <v>29372</v>
      </c>
      <c r="G5898" t="s">
        <v>29380</v>
      </c>
      <c r="H5898" t="s">
        <v>11048</v>
      </c>
      <c r="I5898" t="s">
        <v>10408</v>
      </c>
      <c r="J5898" t="s">
        <v>29526</v>
      </c>
      <c r="K5898" t="s">
        <v>38488</v>
      </c>
      <c r="M5898" t="s">
        <v>40927</v>
      </c>
      <c r="N5898" t="s">
        <v>42669</v>
      </c>
      <c r="O5898" t="s">
        <v>42670</v>
      </c>
      <c r="P5898">
        <v>0</v>
      </c>
      <c r="Q5898">
        <v>0</v>
      </c>
      <c r="R5898" t="s">
        <v>42677</v>
      </c>
      <c r="S5898" t="s">
        <v>42830</v>
      </c>
      <c r="T5898" t="s">
        <v>44480</v>
      </c>
      <c r="U5898" t="s">
        <v>49664</v>
      </c>
      <c r="W5898" t="s">
        <v>40927</v>
      </c>
      <c r="X5898" t="s">
        <v>42678</v>
      </c>
    </row>
    <row r="5899" spans="1:24">
      <c r="A5899">
        <f>HYPERLINK("https://www.philgeps.gov.ph/GEPSNONPILOT/Tender/SplashBidNoticeAbstractUI.aspx?menuIndex=3&amp;refID=7184319&amp;Result=3","7184319")</f>
        <v>0</v>
      </c>
      <c r="B5899" t="s">
        <v>684</v>
      </c>
      <c r="C5899" t="s">
        <v>9168</v>
      </c>
      <c r="D5899" t="s">
        <v>17147</v>
      </c>
      <c r="E5899" t="s">
        <v>22350</v>
      </c>
      <c r="F5899" t="s">
        <v>29372</v>
      </c>
      <c r="G5899" t="s">
        <v>29379</v>
      </c>
      <c r="H5899" t="s">
        <v>29391</v>
      </c>
      <c r="I5899" t="s">
        <v>29391</v>
      </c>
      <c r="J5899" t="s">
        <v>33346</v>
      </c>
      <c r="K5899" t="s">
        <v>38485</v>
      </c>
      <c r="M5899" t="s">
        <v>39790</v>
      </c>
      <c r="N5899" t="s">
        <v>42669</v>
      </c>
      <c r="O5899" t="s">
        <v>42670</v>
      </c>
      <c r="P5899">
        <v>0</v>
      </c>
      <c r="Q5899">
        <v>1</v>
      </c>
      <c r="R5899" t="s">
        <v>42677</v>
      </c>
      <c r="S5899" t="s">
        <v>42830</v>
      </c>
      <c r="T5899" t="s">
        <v>44429</v>
      </c>
      <c r="U5899" t="s">
        <v>49665</v>
      </c>
      <c r="W5899" t="s">
        <v>39790</v>
      </c>
      <c r="X5899" t="s">
        <v>42678</v>
      </c>
    </row>
    <row r="5900" spans="1:24">
      <c r="A5900">
        <f>HYPERLINK("https://www.philgeps.gov.ph/GEPSNONPILOT/Tender/SplashBidNoticeAbstractUI.aspx?menuIndex=3&amp;refID=7184501&amp;Result=3","7184501")</f>
        <v>0</v>
      </c>
      <c r="B5900" t="s">
        <v>1483</v>
      </c>
      <c r="C5900" t="s">
        <v>9169</v>
      </c>
      <c r="E5900" t="s">
        <v>22351</v>
      </c>
      <c r="F5900" t="s">
        <v>29372</v>
      </c>
      <c r="G5900" t="s">
        <v>29379</v>
      </c>
      <c r="H5900" t="s">
        <v>11048</v>
      </c>
      <c r="I5900" t="s">
        <v>29424</v>
      </c>
      <c r="J5900" t="s">
        <v>33347</v>
      </c>
      <c r="K5900" t="s">
        <v>38490</v>
      </c>
      <c r="M5900" t="s">
        <v>40326</v>
      </c>
      <c r="N5900" t="s">
        <v>42669</v>
      </c>
      <c r="O5900" t="s">
        <v>42670</v>
      </c>
      <c r="P5900">
        <v>0</v>
      </c>
      <c r="Q5900">
        <v>9</v>
      </c>
      <c r="R5900" t="s">
        <v>42677</v>
      </c>
      <c r="S5900" t="s">
        <v>42830</v>
      </c>
      <c r="T5900" t="s">
        <v>44432</v>
      </c>
      <c r="U5900" t="s">
        <v>49666</v>
      </c>
      <c r="W5900" t="s">
        <v>40326</v>
      </c>
      <c r="X5900" t="s">
        <v>42678</v>
      </c>
    </row>
    <row r="5901" spans="1:24">
      <c r="A5901">
        <f>HYPERLINK("https://www.philgeps.gov.ph/GEPSNONPILOT/Tender/SplashBidNoticeAbstractUI.aspx?menuIndex=3&amp;refID=7184482&amp;Result=3","7184482")</f>
        <v>0</v>
      </c>
      <c r="B5901" t="s">
        <v>2032</v>
      </c>
      <c r="C5901" t="s">
        <v>9170</v>
      </c>
      <c r="D5901" t="s">
        <v>17163</v>
      </c>
      <c r="E5901" t="s">
        <v>22352</v>
      </c>
      <c r="F5901" t="s">
        <v>29372</v>
      </c>
      <c r="G5901" t="s">
        <v>29379</v>
      </c>
      <c r="H5901" t="s">
        <v>11048</v>
      </c>
      <c r="I5901" t="s">
        <v>4709</v>
      </c>
      <c r="J5901" t="s">
        <v>29708</v>
      </c>
      <c r="K5901" t="s">
        <v>38536</v>
      </c>
      <c r="M5901" t="s">
        <v>40928</v>
      </c>
      <c r="N5901" t="s">
        <v>42669</v>
      </c>
      <c r="O5901" t="s">
        <v>42670</v>
      </c>
      <c r="P5901">
        <v>0</v>
      </c>
      <c r="Q5901">
        <v>0</v>
      </c>
      <c r="R5901" t="s">
        <v>42677</v>
      </c>
      <c r="S5901" t="s">
        <v>42830</v>
      </c>
      <c r="T5901" t="s">
        <v>44401</v>
      </c>
      <c r="U5901" t="s">
        <v>49667</v>
      </c>
      <c r="W5901" t="s">
        <v>40928</v>
      </c>
      <c r="X5901" t="s">
        <v>42678</v>
      </c>
    </row>
    <row r="5902" spans="1:24">
      <c r="A5902">
        <f>HYPERLINK("https://www.philgeps.gov.ph/GEPSNONPILOT/Tender/SplashBidNoticeAbstractUI.aspx?menuIndex=3&amp;refID=7184383&amp;Result=3","7184383")</f>
        <v>0</v>
      </c>
      <c r="B5902" t="s">
        <v>717</v>
      </c>
      <c r="C5902" t="s">
        <v>9171</v>
      </c>
      <c r="D5902" t="s">
        <v>17171</v>
      </c>
      <c r="E5902" t="s">
        <v>22353</v>
      </c>
      <c r="F5902" t="s">
        <v>29372</v>
      </c>
      <c r="G5902" t="s">
        <v>29379</v>
      </c>
      <c r="H5902" t="s">
        <v>11048</v>
      </c>
      <c r="I5902" t="s">
        <v>29499</v>
      </c>
      <c r="J5902" t="s">
        <v>33348</v>
      </c>
      <c r="K5902" t="s">
        <v>38490</v>
      </c>
      <c r="M5902" t="s">
        <v>39496</v>
      </c>
      <c r="N5902" t="s">
        <v>42669</v>
      </c>
      <c r="O5902" t="s">
        <v>42670</v>
      </c>
      <c r="P5902">
        <v>0</v>
      </c>
      <c r="Q5902">
        <v>0</v>
      </c>
      <c r="R5902" t="s">
        <v>42677</v>
      </c>
      <c r="S5902" t="s">
        <v>42830</v>
      </c>
      <c r="T5902" t="s">
        <v>44480</v>
      </c>
      <c r="U5902" t="s">
        <v>47349</v>
      </c>
      <c r="W5902" t="s">
        <v>39496</v>
      </c>
      <c r="X5902" t="s">
        <v>42678</v>
      </c>
    </row>
    <row r="5903" spans="1:24">
      <c r="A5903">
        <f>HYPERLINK("https://www.philgeps.gov.ph/GEPSNONPILOT/Tender/SplashBidNoticeAbstractUI.aspx?menuIndex=3&amp;refID=7184478&amp;Result=3","7184478")</f>
        <v>0</v>
      </c>
      <c r="B5903" t="s">
        <v>2033</v>
      </c>
      <c r="C5903" t="s">
        <v>9172</v>
      </c>
      <c r="D5903" t="s">
        <v>17195</v>
      </c>
      <c r="E5903" t="s">
        <v>22354</v>
      </c>
      <c r="F5903" t="s">
        <v>29372</v>
      </c>
      <c r="G5903" t="s">
        <v>29380</v>
      </c>
      <c r="H5903" t="s">
        <v>11048</v>
      </c>
      <c r="I5903" t="s">
        <v>9469</v>
      </c>
      <c r="J5903" t="s">
        <v>29937</v>
      </c>
      <c r="K5903" t="s">
        <v>38517</v>
      </c>
      <c r="M5903" t="s">
        <v>40929</v>
      </c>
      <c r="N5903" t="s">
        <v>42669</v>
      </c>
      <c r="O5903" t="s">
        <v>42670</v>
      </c>
      <c r="P5903">
        <v>0</v>
      </c>
      <c r="Q5903">
        <v>2</v>
      </c>
      <c r="R5903" t="s">
        <v>42677</v>
      </c>
      <c r="S5903" t="s">
        <v>42830</v>
      </c>
      <c r="T5903" t="s">
        <v>44365</v>
      </c>
      <c r="U5903" t="s">
        <v>49668</v>
      </c>
      <c r="W5903" t="s">
        <v>40929</v>
      </c>
      <c r="X5903" t="s">
        <v>42678</v>
      </c>
    </row>
    <row r="5904" spans="1:24">
      <c r="A5904">
        <f>HYPERLINK("https://www.philgeps.gov.ph/GEPSNONPILOT/Tender/SplashBidNoticeAbstractUI.aspx?menuIndex=3&amp;refID=7184254&amp;Result=3","7184254")</f>
        <v>0</v>
      </c>
      <c r="B5904" t="s">
        <v>1472</v>
      </c>
      <c r="C5904" t="s">
        <v>9104</v>
      </c>
      <c r="D5904" t="s">
        <v>17170</v>
      </c>
      <c r="E5904" t="s">
        <v>22355</v>
      </c>
      <c r="F5904" t="s">
        <v>29372</v>
      </c>
      <c r="G5904" t="s">
        <v>29383</v>
      </c>
      <c r="H5904" t="s">
        <v>11048</v>
      </c>
      <c r="I5904" t="s">
        <v>29393</v>
      </c>
      <c r="J5904" t="s">
        <v>33349</v>
      </c>
      <c r="K5904" t="s">
        <v>38491</v>
      </c>
      <c r="M5904" t="s">
        <v>40315</v>
      </c>
      <c r="N5904" t="s">
        <v>42669</v>
      </c>
      <c r="O5904" t="s">
        <v>42670</v>
      </c>
      <c r="P5904">
        <v>0</v>
      </c>
      <c r="Q5904">
        <v>0</v>
      </c>
      <c r="R5904" t="s">
        <v>42677</v>
      </c>
      <c r="S5904" t="s">
        <v>42830</v>
      </c>
      <c r="T5904" t="s">
        <v>44432</v>
      </c>
      <c r="U5904" t="s">
        <v>49669</v>
      </c>
      <c r="W5904" t="s">
        <v>40315</v>
      </c>
      <c r="X5904" t="s">
        <v>42678</v>
      </c>
    </row>
    <row r="5905" spans="1:24">
      <c r="A5905">
        <f>HYPERLINK("https://www.philgeps.gov.ph/GEPSNONPILOT/Tender/SplashBidNoticeAbstractUI.aspx?menuIndex=3&amp;refID=7184477&amp;Result=3","7184477")</f>
        <v>0</v>
      </c>
      <c r="B5905" t="s">
        <v>2034</v>
      </c>
      <c r="C5905" t="s">
        <v>9173</v>
      </c>
      <c r="D5905" t="s">
        <v>17141</v>
      </c>
      <c r="E5905" t="s">
        <v>22356</v>
      </c>
      <c r="F5905" t="s">
        <v>29372</v>
      </c>
      <c r="G5905" t="s">
        <v>29380</v>
      </c>
      <c r="H5905" t="s">
        <v>11048</v>
      </c>
      <c r="I5905" t="s">
        <v>29426</v>
      </c>
      <c r="J5905" t="s">
        <v>29625</v>
      </c>
      <c r="K5905" t="s">
        <v>38491</v>
      </c>
      <c r="M5905" t="s">
        <v>40930</v>
      </c>
      <c r="N5905" t="s">
        <v>42669</v>
      </c>
      <c r="O5905" t="s">
        <v>42670</v>
      </c>
      <c r="P5905">
        <v>0</v>
      </c>
      <c r="Q5905">
        <v>1</v>
      </c>
      <c r="R5905" t="s">
        <v>42677</v>
      </c>
      <c r="S5905" t="s">
        <v>42830</v>
      </c>
      <c r="T5905" t="s">
        <v>44386</v>
      </c>
      <c r="U5905" t="s">
        <v>49670</v>
      </c>
      <c r="W5905" t="s">
        <v>40930</v>
      </c>
      <c r="X5905" t="s">
        <v>42678</v>
      </c>
    </row>
    <row r="5906" spans="1:24">
      <c r="A5906">
        <f>HYPERLINK("https://www.philgeps.gov.ph/GEPSNONPILOT/Tender/SplashBidNoticeAbstractUI.aspx?menuIndex=3&amp;refID=7184476&amp;Result=3","7184476")</f>
        <v>0</v>
      </c>
      <c r="B5906" t="s">
        <v>2016</v>
      </c>
      <c r="C5906" t="s">
        <v>9174</v>
      </c>
      <c r="D5906" t="s">
        <v>17182</v>
      </c>
      <c r="E5906" t="s">
        <v>19225</v>
      </c>
      <c r="F5906" t="s">
        <v>29373</v>
      </c>
      <c r="G5906" t="s">
        <v>29380</v>
      </c>
      <c r="H5906" t="s">
        <v>29389</v>
      </c>
      <c r="I5906" t="s">
        <v>10408</v>
      </c>
      <c r="J5906" t="s">
        <v>33350</v>
      </c>
      <c r="K5906" t="s">
        <v>38496</v>
      </c>
      <c r="M5906" t="s">
        <v>40908</v>
      </c>
      <c r="N5906" t="s">
        <v>42669</v>
      </c>
      <c r="O5906" t="s">
        <v>42670</v>
      </c>
      <c r="P5906">
        <v>0</v>
      </c>
      <c r="Q5906">
        <v>24</v>
      </c>
      <c r="R5906" t="s">
        <v>42677</v>
      </c>
      <c r="S5906" t="s">
        <v>42830</v>
      </c>
      <c r="T5906" t="s">
        <v>44422</v>
      </c>
      <c r="U5906" t="s">
        <v>49671</v>
      </c>
      <c r="W5906" t="s">
        <v>40908</v>
      </c>
      <c r="X5906" t="s">
        <v>42678</v>
      </c>
    </row>
    <row r="5907" spans="1:24">
      <c r="A5907">
        <f>HYPERLINK("https://www.philgeps.gov.ph/GEPSNONPILOT/Tender/SplashBidNoticeAbstractUI.aspx?menuIndex=3&amp;refID=7184390&amp;Result=3","7184390")</f>
        <v>0</v>
      </c>
      <c r="B5907" t="s">
        <v>2035</v>
      </c>
      <c r="C5907" t="s">
        <v>9175</v>
      </c>
      <c r="D5907" t="s">
        <v>17159</v>
      </c>
      <c r="E5907" t="s">
        <v>17648</v>
      </c>
      <c r="F5907" t="s">
        <v>29372</v>
      </c>
      <c r="G5907" t="s">
        <v>29380</v>
      </c>
      <c r="H5907" t="s">
        <v>11048</v>
      </c>
      <c r="I5907" t="s">
        <v>4709</v>
      </c>
      <c r="J5907" t="s">
        <v>33351</v>
      </c>
      <c r="K5907" t="s">
        <v>38490</v>
      </c>
      <c r="M5907" t="s">
        <v>40931</v>
      </c>
      <c r="N5907" t="s">
        <v>42669</v>
      </c>
      <c r="O5907" t="s">
        <v>42670</v>
      </c>
      <c r="P5907">
        <v>0</v>
      </c>
      <c r="Q5907">
        <v>0</v>
      </c>
      <c r="R5907" t="s">
        <v>42677</v>
      </c>
      <c r="S5907" t="s">
        <v>42830</v>
      </c>
      <c r="T5907" t="s">
        <v>44473</v>
      </c>
      <c r="U5907" t="s">
        <v>49672</v>
      </c>
      <c r="W5907" t="s">
        <v>40931</v>
      </c>
      <c r="X5907" t="s">
        <v>42678</v>
      </c>
    </row>
    <row r="5908" spans="1:24">
      <c r="A5908">
        <f>HYPERLINK("https://www.philgeps.gov.ph/GEPSNONPILOT/Tender/SplashBidNoticeAbstractUI.aspx?menuIndex=3&amp;refID=7184473&amp;Result=3","7184473")</f>
        <v>0</v>
      </c>
      <c r="B5908" t="s">
        <v>2036</v>
      </c>
      <c r="C5908" t="s">
        <v>9176</v>
      </c>
      <c r="D5908" t="s">
        <v>17228</v>
      </c>
      <c r="E5908" t="s">
        <v>22357</v>
      </c>
      <c r="F5908" t="s">
        <v>29372</v>
      </c>
      <c r="G5908" t="s">
        <v>29380</v>
      </c>
      <c r="H5908" t="s">
        <v>29389</v>
      </c>
      <c r="I5908" t="s">
        <v>10408</v>
      </c>
      <c r="J5908" t="s">
        <v>29549</v>
      </c>
      <c r="K5908" t="s">
        <v>38496</v>
      </c>
      <c r="M5908" t="s">
        <v>40932</v>
      </c>
      <c r="N5908" t="s">
        <v>42669</v>
      </c>
      <c r="O5908" t="s">
        <v>42670</v>
      </c>
      <c r="P5908">
        <v>0</v>
      </c>
      <c r="Q5908">
        <v>0</v>
      </c>
      <c r="R5908" t="s">
        <v>42677</v>
      </c>
      <c r="S5908" t="s">
        <v>42830</v>
      </c>
      <c r="T5908" t="s">
        <v>44707</v>
      </c>
      <c r="U5908" t="s">
        <v>49673</v>
      </c>
      <c r="W5908" t="s">
        <v>40932</v>
      </c>
      <c r="X5908" t="s">
        <v>42678</v>
      </c>
    </row>
    <row r="5909" spans="1:24">
      <c r="A5909">
        <f>HYPERLINK("https://www.philgeps.gov.ph/GEPSNONPILOT/Tender/SplashBidNoticeAbstractUI.aspx?menuIndex=3&amp;refID=7184468&amp;Result=3","7184468")</f>
        <v>0</v>
      </c>
      <c r="B5909" t="s">
        <v>2037</v>
      </c>
      <c r="C5909" t="s">
        <v>9177</v>
      </c>
      <c r="D5909" t="s">
        <v>17142</v>
      </c>
      <c r="E5909" t="s">
        <v>22358</v>
      </c>
      <c r="F5909" t="s">
        <v>29372</v>
      </c>
      <c r="G5909" t="s">
        <v>29380</v>
      </c>
      <c r="H5909" t="s">
        <v>29389</v>
      </c>
      <c r="I5909" t="s">
        <v>10408</v>
      </c>
      <c r="J5909" t="s">
        <v>33352</v>
      </c>
      <c r="K5909" t="s">
        <v>38504</v>
      </c>
      <c r="M5909" t="s">
        <v>40933</v>
      </c>
      <c r="N5909" t="s">
        <v>42669</v>
      </c>
      <c r="O5909" t="s">
        <v>42670</v>
      </c>
      <c r="P5909">
        <v>0</v>
      </c>
      <c r="Q5909">
        <v>2</v>
      </c>
      <c r="R5909" t="s">
        <v>42677</v>
      </c>
      <c r="S5909" t="s">
        <v>42830</v>
      </c>
      <c r="T5909" t="s">
        <v>44468</v>
      </c>
      <c r="U5909" t="s">
        <v>49674</v>
      </c>
      <c r="W5909" t="s">
        <v>40933</v>
      </c>
      <c r="X5909" t="s">
        <v>42678</v>
      </c>
    </row>
    <row r="5910" spans="1:24">
      <c r="A5910">
        <f>HYPERLINK("https://www.philgeps.gov.ph/GEPSNONPILOT/Tender/SplashBidNoticeAbstractUI.aspx?menuIndex=3&amp;refID=7184397&amp;Result=3","7184397")</f>
        <v>0</v>
      </c>
      <c r="B5910" t="s">
        <v>959</v>
      </c>
      <c r="C5910" t="s">
        <v>9178</v>
      </c>
      <c r="D5910" t="s">
        <v>17145</v>
      </c>
      <c r="E5910" t="s">
        <v>22359</v>
      </c>
      <c r="F5910" t="s">
        <v>29372</v>
      </c>
      <c r="G5910" t="s">
        <v>29381</v>
      </c>
      <c r="H5910" t="s">
        <v>11048</v>
      </c>
      <c r="I5910" t="s">
        <v>9469</v>
      </c>
      <c r="J5910" t="s">
        <v>33353</v>
      </c>
      <c r="K5910" t="s">
        <v>38485</v>
      </c>
      <c r="M5910" t="s">
        <v>39755</v>
      </c>
      <c r="N5910" t="s">
        <v>42669</v>
      </c>
      <c r="O5910" t="s">
        <v>42670</v>
      </c>
      <c r="P5910">
        <v>0</v>
      </c>
      <c r="Q5910">
        <v>6</v>
      </c>
      <c r="R5910" t="s">
        <v>42677</v>
      </c>
      <c r="S5910" t="s">
        <v>42830</v>
      </c>
      <c r="T5910" t="s">
        <v>44379</v>
      </c>
      <c r="U5910" t="s">
        <v>49675</v>
      </c>
      <c r="W5910" t="s">
        <v>39755</v>
      </c>
      <c r="X5910" t="s">
        <v>42678</v>
      </c>
    </row>
    <row r="5911" spans="1:24">
      <c r="A5911">
        <f>HYPERLINK("https://www.philgeps.gov.ph/GEPSNONPILOT/Tender/SplashBidNoticeAbstractUI.aspx?menuIndex=3&amp;refID=7184460&amp;Result=3","7184460")</f>
        <v>0</v>
      </c>
      <c r="B5911" t="s">
        <v>2029</v>
      </c>
      <c r="C5911" t="s">
        <v>9179</v>
      </c>
      <c r="E5911" t="s">
        <v>22360</v>
      </c>
      <c r="F5911" t="s">
        <v>29372</v>
      </c>
      <c r="G5911" t="s">
        <v>29380</v>
      </c>
      <c r="H5911" t="s">
        <v>11048</v>
      </c>
      <c r="I5911" t="s">
        <v>4709</v>
      </c>
      <c r="J5911" t="s">
        <v>33354</v>
      </c>
      <c r="K5911" t="s">
        <v>38490</v>
      </c>
      <c r="M5911" t="s">
        <v>40924</v>
      </c>
      <c r="N5911" t="s">
        <v>42669</v>
      </c>
      <c r="O5911" t="s">
        <v>42670</v>
      </c>
      <c r="P5911">
        <v>0</v>
      </c>
      <c r="Q5911">
        <v>3</v>
      </c>
      <c r="R5911" t="s">
        <v>42677</v>
      </c>
      <c r="S5911" t="s">
        <v>42830</v>
      </c>
      <c r="T5911" t="s">
        <v>44449</v>
      </c>
      <c r="U5911" t="s">
        <v>49676</v>
      </c>
      <c r="W5911" t="s">
        <v>40924</v>
      </c>
      <c r="X5911" t="s">
        <v>42678</v>
      </c>
    </row>
    <row r="5912" spans="1:24">
      <c r="A5912">
        <f>HYPERLINK("https://www.philgeps.gov.ph/GEPSNONPILOT/Tender/SplashBidNoticeAbstractUI.aspx?menuIndex=3&amp;refID=7184451&amp;Result=3","7184451")</f>
        <v>0</v>
      </c>
      <c r="B5912" t="s">
        <v>1327</v>
      </c>
      <c r="C5912" t="s">
        <v>9180</v>
      </c>
      <c r="D5912" t="s">
        <v>17141</v>
      </c>
      <c r="E5912" t="s">
        <v>22361</v>
      </c>
      <c r="F5912" t="s">
        <v>29372</v>
      </c>
      <c r="G5912" t="s">
        <v>29379</v>
      </c>
      <c r="H5912" t="s">
        <v>11048</v>
      </c>
      <c r="I5912" t="s">
        <v>29407</v>
      </c>
      <c r="J5912" t="s">
        <v>32737</v>
      </c>
      <c r="K5912" t="s">
        <v>38491</v>
      </c>
      <c r="M5912" t="s">
        <v>40163</v>
      </c>
      <c r="N5912" t="s">
        <v>42669</v>
      </c>
      <c r="O5912" t="s">
        <v>42670</v>
      </c>
      <c r="P5912">
        <v>0</v>
      </c>
      <c r="Q5912">
        <v>3</v>
      </c>
      <c r="R5912" t="s">
        <v>42677</v>
      </c>
      <c r="S5912" t="s">
        <v>42830</v>
      </c>
      <c r="T5912" t="s">
        <v>44429</v>
      </c>
      <c r="U5912" t="s">
        <v>49677</v>
      </c>
      <c r="V5912" t="s">
        <v>56692</v>
      </c>
      <c r="W5912" t="s">
        <v>40163</v>
      </c>
      <c r="X5912" t="s">
        <v>42678</v>
      </c>
    </row>
    <row r="5913" spans="1:24">
      <c r="A5913">
        <f>HYPERLINK("https://www.philgeps.gov.ph/GEPSNONPILOT/Tender/SplashBidNoticeAbstractUI.aspx?menuIndex=3&amp;refID=7184449&amp;Result=3","7184449")</f>
        <v>0</v>
      </c>
      <c r="B5913" t="s">
        <v>953</v>
      </c>
      <c r="C5913" t="s">
        <v>4330</v>
      </c>
      <c r="D5913" t="s">
        <v>17225</v>
      </c>
      <c r="E5913" t="s">
        <v>22362</v>
      </c>
      <c r="F5913" t="s">
        <v>29372</v>
      </c>
      <c r="G5913" t="s">
        <v>29380</v>
      </c>
      <c r="H5913" t="s">
        <v>11048</v>
      </c>
      <c r="I5913" t="s">
        <v>3695</v>
      </c>
      <c r="J5913" t="s">
        <v>33355</v>
      </c>
      <c r="K5913" t="s">
        <v>38510</v>
      </c>
      <c r="M5913" t="s">
        <v>39749</v>
      </c>
      <c r="N5913" t="s">
        <v>42669</v>
      </c>
      <c r="O5913" t="s">
        <v>42670</v>
      </c>
      <c r="P5913">
        <v>0</v>
      </c>
      <c r="Q5913">
        <v>1</v>
      </c>
      <c r="R5913" t="s">
        <v>42677</v>
      </c>
      <c r="S5913" t="s">
        <v>42830</v>
      </c>
      <c r="T5913" t="s">
        <v>44387</v>
      </c>
      <c r="U5913" t="s">
        <v>49678</v>
      </c>
      <c r="W5913" t="s">
        <v>39749</v>
      </c>
      <c r="X5913" t="s">
        <v>42678</v>
      </c>
    </row>
    <row r="5914" spans="1:24">
      <c r="A5914">
        <f>HYPERLINK("https://www.philgeps.gov.ph/GEPSNONPILOT/Tender/SplashBidNoticeAbstractUI.aspx?menuIndex=3&amp;refID=7184448&amp;Result=3","7184448")</f>
        <v>0</v>
      </c>
      <c r="B5914" t="s">
        <v>1476</v>
      </c>
      <c r="C5914" t="s">
        <v>9181</v>
      </c>
      <c r="D5914" t="s">
        <v>17153</v>
      </c>
      <c r="E5914" t="s">
        <v>22363</v>
      </c>
      <c r="F5914" t="s">
        <v>29372</v>
      </c>
      <c r="G5914" t="s">
        <v>29380</v>
      </c>
      <c r="H5914" t="s">
        <v>29389</v>
      </c>
      <c r="I5914" t="s">
        <v>10408</v>
      </c>
      <c r="J5914" t="s">
        <v>33356</v>
      </c>
      <c r="K5914" t="s">
        <v>38548</v>
      </c>
      <c r="M5914" t="s">
        <v>40934</v>
      </c>
      <c r="N5914" t="s">
        <v>42669</v>
      </c>
      <c r="O5914" t="s">
        <v>42670</v>
      </c>
      <c r="P5914">
        <v>0</v>
      </c>
      <c r="Q5914">
        <v>3</v>
      </c>
      <c r="R5914" t="s">
        <v>42677</v>
      </c>
      <c r="S5914" t="s">
        <v>42830</v>
      </c>
      <c r="T5914" t="s">
        <v>44368</v>
      </c>
      <c r="U5914" t="s">
        <v>49679</v>
      </c>
      <c r="W5914" t="s">
        <v>40934</v>
      </c>
      <c r="X5914" t="s">
        <v>42678</v>
      </c>
    </row>
    <row r="5915" spans="1:24">
      <c r="A5915">
        <f>HYPERLINK("https://www.philgeps.gov.ph/GEPSNONPILOT/Tender/SplashBidNoticeAbstractUI.aspx?menuIndex=3&amp;refID=7184445&amp;Result=3","7184445")</f>
        <v>0</v>
      </c>
      <c r="B5915" t="s">
        <v>772</v>
      </c>
      <c r="C5915" t="s">
        <v>9182</v>
      </c>
      <c r="D5915" t="s">
        <v>17187</v>
      </c>
      <c r="E5915" t="s">
        <v>22364</v>
      </c>
      <c r="F5915" t="s">
        <v>29372</v>
      </c>
      <c r="G5915" t="s">
        <v>29379</v>
      </c>
      <c r="H5915" t="s">
        <v>11048</v>
      </c>
      <c r="I5915" t="s">
        <v>3597</v>
      </c>
      <c r="J5915" t="s">
        <v>33357</v>
      </c>
      <c r="K5915" t="s">
        <v>38491</v>
      </c>
      <c r="M5915" t="s">
        <v>39556</v>
      </c>
      <c r="N5915" t="s">
        <v>42669</v>
      </c>
      <c r="O5915" t="s">
        <v>42670</v>
      </c>
      <c r="P5915">
        <v>0</v>
      </c>
      <c r="Q5915">
        <v>3</v>
      </c>
      <c r="R5915" t="s">
        <v>42677</v>
      </c>
      <c r="S5915" t="s">
        <v>42830</v>
      </c>
      <c r="T5915" t="s">
        <v>44401</v>
      </c>
      <c r="U5915" t="s">
        <v>46442</v>
      </c>
      <c r="W5915" t="s">
        <v>39556</v>
      </c>
      <c r="X5915" t="s">
        <v>42678</v>
      </c>
    </row>
    <row r="5916" spans="1:24">
      <c r="A5916">
        <f>HYPERLINK("https://www.philgeps.gov.ph/GEPSNONPILOT/Tender/SplashBidNoticeAbstractUI.aspx?menuIndex=3&amp;refID=7184438&amp;Result=3","7184438")</f>
        <v>0</v>
      </c>
      <c r="B5916" t="s">
        <v>2038</v>
      </c>
      <c r="C5916" t="s">
        <v>9183</v>
      </c>
      <c r="D5916" t="s">
        <v>17156</v>
      </c>
      <c r="E5916" t="s">
        <v>22365</v>
      </c>
      <c r="F5916" t="s">
        <v>29372</v>
      </c>
      <c r="G5916" t="s">
        <v>29383</v>
      </c>
      <c r="H5916" t="s">
        <v>11048</v>
      </c>
      <c r="I5916" t="s">
        <v>29396</v>
      </c>
      <c r="J5916" t="s">
        <v>30000</v>
      </c>
      <c r="K5916" t="s">
        <v>38491</v>
      </c>
      <c r="M5916" t="s">
        <v>40935</v>
      </c>
      <c r="N5916" t="s">
        <v>42669</v>
      </c>
      <c r="O5916" t="s">
        <v>42670</v>
      </c>
      <c r="P5916">
        <v>0</v>
      </c>
      <c r="Q5916">
        <v>0</v>
      </c>
      <c r="R5916" t="s">
        <v>42677</v>
      </c>
      <c r="S5916" t="s">
        <v>42830</v>
      </c>
      <c r="T5916" t="s">
        <v>44560</v>
      </c>
      <c r="U5916" t="s">
        <v>49680</v>
      </c>
      <c r="W5916" t="s">
        <v>40935</v>
      </c>
      <c r="X5916" t="s">
        <v>42678</v>
      </c>
    </row>
    <row r="5917" spans="1:24">
      <c r="A5917">
        <f>HYPERLINK("https://www.philgeps.gov.ph/GEPSNONPILOT/Tender/SplashBidNoticeAbstractUI.aspx?menuIndex=3&amp;refID=7184455&amp;Result=3","7184455")</f>
        <v>0</v>
      </c>
      <c r="B5917" t="s">
        <v>1963</v>
      </c>
      <c r="C5917" t="s">
        <v>9184</v>
      </c>
      <c r="D5917" t="s">
        <v>17166</v>
      </c>
      <c r="E5917" t="s">
        <v>22366</v>
      </c>
      <c r="F5917" t="s">
        <v>29372</v>
      </c>
      <c r="G5917" t="s">
        <v>29382</v>
      </c>
      <c r="H5917" t="s">
        <v>11048</v>
      </c>
      <c r="I5917" t="s">
        <v>5383</v>
      </c>
      <c r="J5917" t="s">
        <v>33358</v>
      </c>
      <c r="K5917" t="s">
        <v>38485</v>
      </c>
      <c r="L5917" t="s">
        <v>1963</v>
      </c>
      <c r="M5917" t="s">
        <v>40847</v>
      </c>
      <c r="N5917" t="s">
        <v>42669</v>
      </c>
      <c r="O5917" t="s">
        <v>42670</v>
      </c>
      <c r="P5917">
        <v>0</v>
      </c>
      <c r="Q5917">
        <v>15</v>
      </c>
      <c r="R5917" t="s">
        <v>42677</v>
      </c>
      <c r="S5917" t="s">
        <v>42830</v>
      </c>
      <c r="T5917" t="s">
        <v>44512</v>
      </c>
      <c r="U5917" t="s">
        <v>49681</v>
      </c>
      <c r="W5917" t="s">
        <v>40847</v>
      </c>
      <c r="X5917" t="s">
        <v>42678</v>
      </c>
    </row>
    <row r="5918" spans="1:24">
      <c r="A5918">
        <f>HYPERLINK("https://www.philgeps.gov.ph/GEPSNONPILOT/Tender/SplashBidNoticeAbstractUI.aspx?menuIndex=3&amp;refID=7184427&amp;Result=3","7184427")</f>
        <v>0</v>
      </c>
      <c r="B5918" t="s">
        <v>2039</v>
      </c>
      <c r="C5918" t="s">
        <v>9185</v>
      </c>
      <c r="E5918" t="s">
        <v>22367</v>
      </c>
      <c r="F5918" t="s">
        <v>29372</v>
      </c>
      <c r="G5918" t="s">
        <v>29380</v>
      </c>
      <c r="H5918" t="s">
        <v>11048</v>
      </c>
      <c r="I5918" t="s">
        <v>29407</v>
      </c>
      <c r="J5918" t="s">
        <v>33359</v>
      </c>
      <c r="K5918" t="s">
        <v>38534</v>
      </c>
      <c r="M5918" t="s">
        <v>40936</v>
      </c>
      <c r="N5918" t="s">
        <v>42669</v>
      </c>
      <c r="O5918" t="s">
        <v>42670</v>
      </c>
      <c r="P5918">
        <v>0</v>
      </c>
      <c r="Q5918">
        <v>2</v>
      </c>
      <c r="R5918" t="s">
        <v>42677</v>
      </c>
      <c r="S5918" t="s">
        <v>42830</v>
      </c>
      <c r="T5918" t="s">
        <v>44502</v>
      </c>
      <c r="U5918" t="s">
        <v>49682</v>
      </c>
      <c r="W5918" t="s">
        <v>40936</v>
      </c>
      <c r="X5918" t="s">
        <v>42678</v>
      </c>
    </row>
    <row r="5919" spans="1:24">
      <c r="A5919">
        <f>HYPERLINK("https://www.philgeps.gov.ph/GEPSNONPILOT/Tender/SplashBidNoticeAbstractUI.aspx?menuIndex=3&amp;refID=7184317&amp;Result=3","7184317")</f>
        <v>0</v>
      </c>
      <c r="B5919" t="s">
        <v>73</v>
      </c>
      <c r="C5919" t="s">
        <v>9186</v>
      </c>
      <c r="D5919" t="s">
        <v>17171</v>
      </c>
      <c r="E5919" t="s">
        <v>22368</v>
      </c>
      <c r="F5919" t="s">
        <v>29372</v>
      </c>
      <c r="G5919" t="s">
        <v>29380</v>
      </c>
      <c r="H5919" t="s">
        <v>11048</v>
      </c>
      <c r="I5919" t="s">
        <v>8614</v>
      </c>
      <c r="J5919" t="s">
        <v>29529</v>
      </c>
      <c r="K5919" t="s">
        <v>38485</v>
      </c>
      <c r="M5919" t="s">
        <v>40913</v>
      </c>
      <c r="N5919" t="s">
        <v>42669</v>
      </c>
      <c r="O5919" t="s">
        <v>42670</v>
      </c>
      <c r="P5919">
        <v>0</v>
      </c>
      <c r="Q5919">
        <v>3</v>
      </c>
      <c r="R5919" t="s">
        <v>42677</v>
      </c>
      <c r="S5919" t="s">
        <v>42830</v>
      </c>
      <c r="T5919" t="s">
        <v>44481</v>
      </c>
      <c r="U5919" t="s">
        <v>49683</v>
      </c>
      <c r="W5919" t="s">
        <v>40913</v>
      </c>
      <c r="X5919" t="s">
        <v>42678</v>
      </c>
    </row>
    <row r="5920" spans="1:24">
      <c r="A5920">
        <f>HYPERLINK("https://www.philgeps.gov.ph/GEPSNONPILOT/Tender/SplashBidNoticeAbstractUI.aspx?menuIndex=3&amp;refID=7184398&amp;Result=3","7184398")</f>
        <v>0</v>
      </c>
      <c r="B5920" t="s">
        <v>1948</v>
      </c>
      <c r="C5920" t="s">
        <v>9187</v>
      </c>
      <c r="E5920" t="s">
        <v>22369</v>
      </c>
      <c r="F5920" t="s">
        <v>29373</v>
      </c>
      <c r="G5920" t="s">
        <v>29383</v>
      </c>
      <c r="H5920" t="s">
        <v>11048</v>
      </c>
      <c r="I5920" t="s">
        <v>29398</v>
      </c>
      <c r="J5920" t="s">
        <v>33360</v>
      </c>
      <c r="K5920" t="s">
        <v>38490</v>
      </c>
      <c r="M5920" t="s">
        <v>40830</v>
      </c>
      <c r="N5920" t="s">
        <v>42669</v>
      </c>
      <c r="O5920" t="s">
        <v>42670</v>
      </c>
      <c r="P5920">
        <v>0</v>
      </c>
      <c r="Q5920">
        <v>10</v>
      </c>
      <c r="R5920" t="s">
        <v>42677</v>
      </c>
      <c r="S5920" t="s">
        <v>42830</v>
      </c>
      <c r="T5920" t="s">
        <v>44493</v>
      </c>
      <c r="U5920" t="s">
        <v>49684</v>
      </c>
      <c r="W5920" t="s">
        <v>40830</v>
      </c>
      <c r="X5920" t="s">
        <v>42678</v>
      </c>
    </row>
    <row r="5921" spans="1:24">
      <c r="A5921">
        <f>HYPERLINK("https://www.philgeps.gov.ph/GEPSNONPILOT/Tender/SplashBidNoticeAbstractUI.aspx?menuIndex=3&amp;refID=7184465&amp;Result=3","7184465")</f>
        <v>0</v>
      </c>
      <c r="B5921" t="s">
        <v>1703</v>
      </c>
      <c r="C5921" t="s">
        <v>9188</v>
      </c>
      <c r="D5921" t="s">
        <v>17143</v>
      </c>
      <c r="E5921" t="s">
        <v>22370</v>
      </c>
      <c r="F5921" t="s">
        <v>29372</v>
      </c>
      <c r="G5921" t="s">
        <v>29383</v>
      </c>
      <c r="H5921" t="s">
        <v>11048</v>
      </c>
      <c r="I5921" t="s">
        <v>4487</v>
      </c>
      <c r="J5921" t="s">
        <v>29934</v>
      </c>
      <c r="K5921" t="s">
        <v>38488</v>
      </c>
      <c r="M5921" t="s">
        <v>40565</v>
      </c>
      <c r="N5921" t="s">
        <v>42669</v>
      </c>
      <c r="O5921" t="s">
        <v>42670</v>
      </c>
      <c r="P5921">
        <v>0</v>
      </c>
      <c r="Q5921">
        <v>0</v>
      </c>
      <c r="R5921" t="s">
        <v>42677</v>
      </c>
      <c r="S5921" t="s">
        <v>42830</v>
      </c>
      <c r="T5921" t="s">
        <v>44470</v>
      </c>
      <c r="U5921" t="s">
        <v>49685</v>
      </c>
      <c r="W5921" t="s">
        <v>40565</v>
      </c>
      <c r="X5921" t="s">
        <v>42678</v>
      </c>
    </row>
    <row r="5922" spans="1:24">
      <c r="A5922">
        <f>HYPERLINK("https://www.philgeps.gov.ph/GEPSNONPILOT/Tender/SplashBidNoticeAbstractUI.aspx?menuIndex=3&amp;refID=7184315&amp;Result=3","7184315")</f>
        <v>0</v>
      </c>
      <c r="B5922" t="s">
        <v>2040</v>
      </c>
      <c r="C5922" t="s">
        <v>9189</v>
      </c>
      <c r="D5922" t="s">
        <v>17216</v>
      </c>
      <c r="E5922" t="s">
        <v>22371</v>
      </c>
      <c r="F5922" t="s">
        <v>29372</v>
      </c>
      <c r="G5922" t="s">
        <v>29380</v>
      </c>
      <c r="H5922" t="s">
        <v>29389</v>
      </c>
      <c r="I5922" t="s">
        <v>10408</v>
      </c>
      <c r="J5922" t="s">
        <v>33361</v>
      </c>
      <c r="K5922" t="s">
        <v>38496</v>
      </c>
      <c r="M5922" t="s">
        <v>40937</v>
      </c>
      <c r="N5922" t="s">
        <v>42669</v>
      </c>
      <c r="O5922" t="s">
        <v>42670</v>
      </c>
      <c r="P5922">
        <v>0</v>
      </c>
      <c r="Q5922">
        <v>0</v>
      </c>
      <c r="R5922" t="s">
        <v>42677</v>
      </c>
      <c r="S5922" t="s">
        <v>42830</v>
      </c>
      <c r="T5922" t="s">
        <v>44684</v>
      </c>
      <c r="U5922" t="s">
        <v>49686</v>
      </c>
      <c r="W5922" t="s">
        <v>40937</v>
      </c>
      <c r="X5922" t="s">
        <v>42678</v>
      </c>
    </row>
    <row r="5923" spans="1:24">
      <c r="A5923">
        <f>HYPERLINK("https://www.philgeps.gov.ph/GEPSNONPILOT/Tender/SplashBidNoticeAbstractUI.aspx?menuIndex=3&amp;refID=7184545&amp;Result=3","7184545")</f>
        <v>0</v>
      </c>
      <c r="B5923" t="s">
        <v>2016</v>
      </c>
      <c r="C5923" t="s">
        <v>9190</v>
      </c>
      <c r="D5923" t="s">
        <v>17182</v>
      </c>
      <c r="E5923" t="s">
        <v>19316</v>
      </c>
      <c r="F5923" t="s">
        <v>29373</v>
      </c>
      <c r="G5923" t="s">
        <v>29380</v>
      </c>
      <c r="H5923" t="s">
        <v>29389</v>
      </c>
      <c r="I5923" t="s">
        <v>10408</v>
      </c>
      <c r="J5923" t="s">
        <v>33362</v>
      </c>
      <c r="K5923" t="s">
        <v>38495</v>
      </c>
      <c r="M5923" t="s">
        <v>40908</v>
      </c>
      <c r="N5923" t="s">
        <v>42669</v>
      </c>
      <c r="O5923" t="s">
        <v>42670</v>
      </c>
      <c r="P5923">
        <v>0</v>
      </c>
      <c r="Q5923">
        <v>24</v>
      </c>
      <c r="R5923" t="s">
        <v>42677</v>
      </c>
      <c r="S5923" t="s">
        <v>42830</v>
      </c>
      <c r="T5923" t="s">
        <v>44422</v>
      </c>
      <c r="U5923" t="s">
        <v>49687</v>
      </c>
      <c r="W5923" t="s">
        <v>40908</v>
      </c>
      <c r="X5923" t="s">
        <v>42678</v>
      </c>
    </row>
    <row r="5924" spans="1:24">
      <c r="A5924">
        <f>HYPERLINK("https://www.philgeps.gov.ph/GEPSNONPILOT/Tender/SplashBidNoticeAbstractUI.aspx?menuIndex=3&amp;refID=7184437&amp;Result=3","7184437")</f>
        <v>0</v>
      </c>
      <c r="B5924" t="s">
        <v>1573</v>
      </c>
      <c r="C5924" t="s">
        <v>9191</v>
      </c>
      <c r="D5924" t="s">
        <v>17194</v>
      </c>
      <c r="E5924" t="s">
        <v>22372</v>
      </c>
      <c r="F5924" t="s">
        <v>29372</v>
      </c>
      <c r="G5924" t="s">
        <v>29379</v>
      </c>
      <c r="H5924" t="s">
        <v>11048</v>
      </c>
      <c r="I5924" t="s">
        <v>3597</v>
      </c>
      <c r="J5924" t="s">
        <v>29751</v>
      </c>
      <c r="K5924" t="s">
        <v>38491</v>
      </c>
      <c r="M5924" t="s">
        <v>40919</v>
      </c>
      <c r="N5924" t="s">
        <v>42669</v>
      </c>
      <c r="O5924" t="s">
        <v>42670</v>
      </c>
      <c r="P5924">
        <v>0</v>
      </c>
      <c r="Q5924">
        <v>2</v>
      </c>
      <c r="R5924" t="s">
        <v>42677</v>
      </c>
      <c r="S5924" t="s">
        <v>42830</v>
      </c>
      <c r="T5924" t="s">
        <v>44491</v>
      </c>
      <c r="U5924" t="s">
        <v>49688</v>
      </c>
      <c r="W5924" t="s">
        <v>40919</v>
      </c>
      <c r="X5924" t="s">
        <v>42678</v>
      </c>
    </row>
    <row r="5925" spans="1:24">
      <c r="A5925">
        <f>HYPERLINK("https://www.philgeps.gov.ph/GEPSNONPILOT/Tender/SplashBidNoticeAbstractUI.aspx?menuIndex=3&amp;refID=7184539&amp;Result=3","7184539")</f>
        <v>0</v>
      </c>
      <c r="B5925" t="s">
        <v>1476</v>
      </c>
      <c r="C5925" t="s">
        <v>9192</v>
      </c>
      <c r="D5925" t="s">
        <v>17153</v>
      </c>
      <c r="E5925" t="s">
        <v>22373</v>
      </c>
      <c r="F5925" t="s">
        <v>29372</v>
      </c>
      <c r="G5925" t="s">
        <v>29380</v>
      </c>
      <c r="H5925" t="s">
        <v>29389</v>
      </c>
      <c r="I5925" t="s">
        <v>10408</v>
      </c>
      <c r="J5925" t="s">
        <v>33363</v>
      </c>
      <c r="K5925" t="s">
        <v>38654</v>
      </c>
      <c r="M5925" t="s">
        <v>40934</v>
      </c>
      <c r="N5925" t="s">
        <v>42669</v>
      </c>
      <c r="O5925" t="s">
        <v>42670</v>
      </c>
      <c r="P5925">
        <v>0</v>
      </c>
      <c r="Q5925">
        <v>1</v>
      </c>
      <c r="R5925" t="s">
        <v>42677</v>
      </c>
      <c r="S5925" t="s">
        <v>42830</v>
      </c>
      <c r="T5925" t="s">
        <v>44368</v>
      </c>
      <c r="U5925" t="s">
        <v>49689</v>
      </c>
      <c r="W5925" t="s">
        <v>40934</v>
      </c>
      <c r="X5925" t="s">
        <v>42678</v>
      </c>
    </row>
    <row r="5926" spans="1:24">
      <c r="A5926">
        <f>HYPERLINK("https://www.philgeps.gov.ph/GEPSNONPILOT/Tender/SplashBidNoticeAbstractUI.aspx?menuIndex=3&amp;refID=7184537&amp;Result=3","7184537")</f>
        <v>0</v>
      </c>
      <c r="B5926" t="s">
        <v>2041</v>
      </c>
      <c r="C5926" t="s">
        <v>9193</v>
      </c>
      <c r="D5926" t="s">
        <v>17189</v>
      </c>
      <c r="E5926" t="s">
        <v>22374</v>
      </c>
      <c r="F5926" t="s">
        <v>29373</v>
      </c>
      <c r="G5926" t="s">
        <v>29383</v>
      </c>
      <c r="H5926" t="s">
        <v>11048</v>
      </c>
      <c r="I5926" t="s">
        <v>4487</v>
      </c>
      <c r="J5926" t="s">
        <v>33364</v>
      </c>
      <c r="K5926" t="s">
        <v>38488</v>
      </c>
      <c r="L5926" t="s">
        <v>2041</v>
      </c>
      <c r="M5926" t="s">
        <v>40938</v>
      </c>
      <c r="N5926" t="s">
        <v>42669</v>
      </c>
      <c r="O5926" t="s">
        <v>42670</v>
      </c>
      <c r="P5926">
        <v>0</v>
      </c>
      <c r="Q5926">
        <v>3</v>
      </c>
      <c r="R5926" t="s">
        <v>42677</v>
      </c>
      <c r="S5926" t="s">
        <v>42830</v>
      </c>
      <c r="T5926" t="s">
        <v>44512</v>
      </c>
      <c r="U5926" t="s">
        <v>49690</v>
      </c>
      <c r="V5926" t="s">
        <v>57012</v>
      </c>
      <c r="W5926" t="s">
        <v>40938</v>
      </c>
      <c r="X5926" t="s">
        <v>42678</v>
      </c>
    </row>
    <row r="5927" spans="1:24">
      <c r="A5927">
        <f>HYPERLINK("https://www.philgeps.gov.ph/GEPSNONPILOT/Tender/SplashBidNoticeAbstractUI.aspx?menuIndex=3&amp;refID=7184471&amp;Result=3","7184471")</f>
        <v>0</v>
      </c>
      <c r="B5927" t="s">
        <v>2042</v>
      </c>
      <c r="C5927" t="s">
        <v>9194</v>
      </c>
      <c r="D5927" t="s">
        <v>17156</v>
      </c>
      <c r="E5927" t="s">
        <v>19225</v>
      </c>
      <c r="F5927" t="s">
        <v>29372</v>
      </c>
      <c r="G5927" t="s">
        <v>29380</v>
      </c>
      <c r="H5927" t="s">
        <v>11048</v>
      </c>
      <c r="I5927" t="s">
        <v>10408</v>
      </c>
      <c r="J5927" t="s">
        <v>29801</v>
      </c>
      <c r="K5927" t="s">
        <v>38495</v>
      </c>
      <c r="M5927" t="s">
        <v>40939</v>
      </c>
      <c r="N5927" t="s">
        <v>42669</v>
      </c>
      <c r="O5927" t="s">
        <v>42670</v>
      </c>
      <c r="P5927">
        <v>0</v>
      </c>
      <c r="Q5927">
        <v>0</v>
      </c>
      <c r="R5927" t="s">
        <v>42677</v>
      </c>
      <c r="S5927" t="s">
        <v>42830</v>
      </c>
      <c r="T5927" t="s">
        <v>44527</v>
      </c>
      <c r="U5927" t="s">
        <v>49691</v>
      </c>
      <c r="W5927" t="s">
        <v>40939</v>
      </c>
      <c r="X5927" t="s">
        <v>42678</v>
      </c>
    </row>
    <row r="5928" spans="1:24">
      <c r="A5928">
        <f>HYPERLINK("https://www.philgeps.gov.ph/GEPSNONPILOT/Tender/SplashBidNoticeAbstractUI.aspx?menuIndex=3&amp;refID=7184533&amp;Result=3","7184533")</f>
        <v>0</v>
      </c>
      <c r="B5928" t="s">
        <v>547</v>
      </c>
      <c r="C5928" t="s">
        <v>9195</v>
      </c>
      <c r="E5928" t="s">
        <v>22375</v>
      </c>
      <c r="F5928" t="s">
        <v>29372</v>
      </c>
      <c r="G5928" t="s">
        <v>29379</v>
      </c>
      <c r="H5928" t="s">
        <v>11048</v>
      </c>
      <c r="I5928" t="s">
        <v>29428</v>
      </c>
      <c r="J5928" t="s">
        <v>29555</v>
      </c>
      <c r="K5928" t="s">
        <v>38485</v>
      </c>
      <c r="M5928" t="s">
        <v>39363</v>
      </c>
      <c r="N5928" t="s">
        <v>42669</v>
      </c>
      <c r="O5928" t="s">
        <v>42670</v>
      </c>
      <c r="P5928">
        <v>0</v>
      </c>
      <c r="Q5928">
        <v>0</v>
      </c>
      <c r="R5928" t="s">
        <v>42677</v>
      </c>
      <c r="S5928" t="s">
        <v>42830</v>
      </c>
      <c r="T5928" t="s">
        <v>44456</v>
      </c>
      <c r="U5928" t="s">
        <v>49692</v>
      </c>
      <c r="W5928" t="s">
        <v>58018</v>
      </c>
      <c r="X5928" t="s">
        <v>42678</v>
      </c>
    </row>
    <row r="5929" spans="1:24">
      <c r="A5929">
        <f>HYPERLINK("https://www.philgeps.gov.ph/GEPSNONPILOT/Tender/SplashBidNoticeAbstractUI.aspx?menuIndex=3&amp;refID=7184531&amp;Result=3","7184531")</f>
        <v>0</v>
      </c>
      <c r="B5929" t="s">
        <v>2043</v>
      </c>
      <c r="C5929" t="s">
        <v>9196</v>
      </c>
      <c r="D5929" t="s">
        <v>17170</v>
      </c>
      <c r="E5929" t="s">
        <v>22376</v>
      </c>
      <c r="F5929" t="s">
        <v>29372</v>
      </c>
      <c r="G5929" t="s">
        <v>29381</v>
      </c>
      <c r="H5929" t="s">
        <v>11048</v>
      </c>
      <c r="I5929" t="s">
        <v>29403</v>
      </c>
      <c r="J5929" t="s">
        <v>31263</v>
      </c>
      <c r="K5929" t="s">
        <v>38485</v>
      </c>
      <c r="M5929" t="s">
        <v>40940</v>
      </c>
      <c r="N5929" t="s">
        <v>42669</v>
      </c>
      <c r="O5929" t="s">
        <v>42670</v>
      </c>
      <c r="P5929">
        <v>0</v>
      </c>
      <c r="Q5929">
        <v>0</v>
      </c>
      <c r="R5929" t="s">
        <v>42677</v>
      </c>
      <c r="S5929" t="s">
        <v>42830</v>
      </c>
      <c r="T5929" t="s">
        <v>44401</v>
      </c>
      <c r="U5929" t="s">
        <v>49693</v>
      </c>
      <c r="W5929" t="s">
        <v>40940</v>
      </c>
      <c r="X5929" t="s">
        <v>42678</v>
      </c>
    </row>
    <row r="5930" spans="1:24">
      <c r="A5930">
        <f>HYPERLINK("https://www.philgeps.gov.ph/GEPSNONPILOT/Tender/SplashBidNoticeAbstractUI.aspx?menuIndex=3&amp;refID=7184467&amp;Result=3","7184467")</f>
        <v>0</v>
      </c>
      <c r="B5930" t="s">
        <v>2044</v>
      </c>
      <c r="C5930" t="s">
        <v>5813</v>
      </c>
      <c r="D5930" t="s">
        <v>17170</v>
      </c>
      <c r="E5930" t="s">
        <v>22377</v>
      </c>
      <c r="F5930" t="s">
        <v>29372</v>
      </c>
      <c r="G5930" t="s">
        <v>29380</v>
      </c>
      <c r="H5930" t="s">
        <v>11048</v>
      </c>
      <c r="I5930" t="s">
        <v>4486</v>
      </c>
      <c r="J5930" t="s">
        <v>33365</v>
      </c>
      <c r="K5930" t="s">
        <v>38485</v>
      </c>
      <c r="M5930" t="s">
        <v>40941</v>
      </c>
      <c r="N5930" t="s">
        <v>42669</v>
      </c>
      <c r="O5930" t="s">
        <v>42670</v>
      </c>
      <c r="P5930">
        <v>0</v>
      </c>
      <c r="Q5930">
        <v>7</v>
      </c>
      <c r="R5930" t="s">
        <v>42677</v>
      </c>
      <c r="S5930" t="s">
        <v>42830</v>
      </c>
      <c r="T5930" t="s">
        <v>44474</v>
      </c>
      <c r="U5930" t="s">
        <v>49694</v>
      </c>
      <c r="W5930" t="s">
        <v>40941</v>
      </c>
      <c r="X5930" t="s">
        <v>42678</v>
      </c>
    </row>
    <row r="5931" spans="1:24">
      <c r="A5931">
        <f>HYPERLINK("https://www.philgeps.gov.ph/GEPSNONPILOT/Tender/SplashBidNoticeAbstractUI.aspx?menuIndex=3&amp;refID=7184522&amp;Result=3","7184522")</f>
        <v>0</v>
      </c>
      <c r="B5931" t="s">
        <v>2045</v>
      </c>
      <c r="C5931" t="s">
        <v>9197</v>
      </c>
      <c r="D5931" t="s">
        <v>17169</v>
      </c>
      <c r="E5931" t="s">
        <v>22378</v>
      </c>
      <c r="F5931" t="s">
        <v>29372</v>
      </c>
      <c r="G5931" t="s">
        <v>29380</v>
      </c>
      <c r="H5931" t="s">
        <v>29390</v>
      </c>
      <c r="I5931" t="s">
        <v>29403</v>
      </c>
      <c r="J5931" t="s">
        <v>29555</v>
      </c>
      <c r="K5931" t="s">
        <v>38488</v>
      </c>
      <c r="M5931" t="s">
        <v>40942</v>
      </c>
      <c r="N5931" t="s">
        <v>42669</v>
      </c>
      <c r="O5931" t="s">
        <v>42670</v>
      </c>
      <c r="P5931">
        <v>0</v>
      </c>
      <c r="Q5931">
        <v>0</v>
      </c>
      <c r="R5931" t="s">
        <v>42677</v>
      </c>
      <c r="S5931" t="s">
        <v>42830</v>
      </c>
      <c r="T5931" t="s">
        <v>44425</v>
      </c>
      <c r="U5931" t="s">
        <v>49695</v>
      </c>
      <c r="W5931" t="s">
        <v>40942</v>
      </c>
      <c r="X5931" t="s">
        <v>42678</v>
      </c>
    </row>
    <row r="5932" spans="1:24">
      <c r="A5932">
        <f>HYPERLINK("https://www.philgeps.gov.ph/GEPSNONPILOT/Tender/SplashBidNoticeAbstractUI.aspx?menuIndex=3&amp;refID=7184524&amp;Result=3","7184524")</f>
        <v>0</v>
      </c>
      <c r="B5932" t="s">
        <v>1963</v>
      </c>
      <c r="C5932" t="s">
        <v>9198</v>
      </c>
      <c r="D5932" t="s">
        <v>17166</v>
      </c>
      <c r="E5932" t="s">
        <v>22379</v>
      </c>
      <c r="F5932" t="s">
        <v>29372</v>
      </c>
      <c r="G5932" t="s">
        <v>29379</v>
      </c>
      <c r="H5932" t="s">
        <v>11048</v>
      </c>
      <c r="I5932" t="s">
        <v>29400</v>
      </c>
      <c r="J5932" t="s">
        <v>29526</v>
      </c>
      <c r="K5932" t="s">
        <v>38485</v>
      </c>
      <c r="L5932" t="s">
        <v>1963</v>
      </c>
      <c r="M5932" t="s">
        <v>40847</v>
      </c>
      <c r="N5932" t="s">
        <v>42669</v>
      </c>
      <c r="O5932" t="s">
        <v>42670</v>
      </c>
      <c r="P5932">
        <v>0</v>
      </c>
      <c r="Q5932">
        <v>8</v>
      </c>
      <c r="R5932" t="s">
        <v>42677</v>
      </c>
      <c r="S5932" t="s">
        <v>42830</v>
      </c>
      <c r="T5932" t="s">
        <v>44512</v>
      </c>
      <c r="U5932" t="s">
        <v>49696</v>
      </c>
      <c r="W5932" t="s">
        <v>40847</v>
      </c>
      <c r="X5932" t="s">
        <v>42678</v>
      </c>
    </row>
    <row r="5933" spans="1:24">
      <c r="A5933">
        <f>HYPERLINK("https://www.philgeps.gov.ph/GEPSNONPILOT/Tender/SplashBidNoticeAbstractUI.aspx?menuIndex=3&amp;refID=7184519&amp;Result=3","7184519")</f>
        <v>0</v>
      </c>
      <c r="B5933" t="s">
        <v>1476</v>
      </c>
      <c r="C5933" t="s">
        <v>9199</v>
      </c>
      <c r="D5933" t="s">
        <v>17153</v>
      </c>
      <c r="E5933" t="s">
        <v>22380</v>
      </c>
      <c r="F5933" t="s">
        <v>29372</v>
      </c>
      <c r="G5933" t="s">
        <v>29380</v>
      </c>
      <c r="H5933" t="s">
        <v>29389</v>
      </c>
      <c r="I5933" t="s">
        <v>10408</v>
      </c>
      <c r="J5933" t="s">
        <v>33366</v>
      </c>
      <c r="K5933" t="s">
        <v>38655</v>
      </c>
      <c r="M5933" t="s">
        <v>40934</v>
      </c>
      <c r="N5933" t="s">
        <v>42669</v>
      </c>
      <c r="O5933" t="s">
        <v>42670</v>
      </c>
      <c r="P5933">
        <v>0</v>
      </c>
      <c r="Q5933">
        <v>1</v>
      </c>
      <c r="R5933" t="s">
        <v>42677</v>
      </c>
      <c r="S5933" t="s">
        <v>42830</v>
      </c>
      <c r="T5933" t="s">
        <v>44368</v>
      </c>
      <c r="U5933" t="s">
        <v>49697</v>
      </c>
      <c r="W5933" t="s">
        <v>40934</v>
      </c>
      <c r="X5933" t="s">
        <v>42678</v>
      </c>
    </row>
    <row r="5934" spans="1:24">
      <c r="A5934">
        <f>HYPERLINK("https://www.philgeps.gov.ph/GEPSNONPILOT/Tender/SplashBidNoticeAbstractUI.aspx?menuIndex=3&amp;refID=7184316&amp;Result=3","7184316")</f>
        <v>0</v>
      </c>
      <c r="B5934" t="s">
        <v>2022</v>
      </c>
      <c r="C5934" t="s">
        <v>9200</v>
      </c>
      <c r="E5934" t="s">
        <v>22381</v>
      </c>
      <c r="F5934" t="s">
        <v>29372</v>
      </c>
      <c r="G5934" t="s">
        <v>29380</v>
      </c>
      <c r="H5934" t="s">
        <v>11048</v>
      </c>
      <c r="I5934" t="s">
        <v>4709</v>
      </c>
      <c r="J5934" t="s">
        <v>33367</v>
      </c>
      <c r="K5934" t="s">
        <v>38490</v>
      </c>
      <c r="M5934" t="s">
        <v>40915</v>
      </c>
      <c r="N5934" t="s">
        <v>42669</v>
      </c>
      <c r="O5934" t="s">
        <v>42670</v>
      </c>
      <c r="P5934">
        <v>0</v>
      </c>
      <c r="Q5934">
        <v>0</v>
      </c>
      <c r="R5934" t="s">
        <v>42677</v>
      </c>
      <c r="S5934" t="s">
        <v>42830</v>
      </c>
      <c r="T5934" t="s">
        <v>44358</v>
      </c>
      <c r="U5934" t="s">
        <v>49634</v>
      </c>
      <c r="W5934" t="s">
        <v>40915</v>
      </c>
      <c r="X5934" t="s">
        <v>42678</v>
      </c>
    </row>
    <row r="5935" spans="1:24">
      <c r="A5935">
        <f>HYPERLINK("https://www.philgeps.gov.ph/GEPSNONPILOT/Tender/SplashBidNoticeAbstractUI.aspx?menuIndex=3&amp;refID=7184517&amp;Result=3","7184517")</f>
        <v>0</v>
      </c>
      <c r="B5935" t="s">
        <v>1703</v>
      </c>
      <c r="C5935" t="s">
        <v>9201</v>
      </c>
      <c r="D5935" t="s">
        <v>17143</v>
      </c>
      <c r="E5935" t="s">
        <v>21880</v>
      </c>
      <c r="F5935" t="s">
        <v>29372</v>
      </c>
      <c r="G5935" t="s">
        <v>29383</v>
      </c>
      <c r="H5935" t="s">
        <v>11048</v>
      </c>
      <c r="I5935" t="s">
        <v>14920</v>
      </c>
      <c r="J5935" t="s">
        <v>31048</v>
      </c>
      <c r="K5935" t="s">
        <v>38488</v>
      </c>
      <c r="M5935" t="s">
        <v>40565</v>
      </c>
      <c r="N5935" t="s">
        <v>42669</v>
      </c>
      <c r="O5935" t="s">
        <v>42670</v>
      </c>
      <c r="P5935">
        <v>0</v>
      </c>
      <c r="Q5935">
        <v>0</v>
      </c>
      <c r="R5935" t="s">
        <v>42677</v>
      </c>
      <c r="S5935" t="s">
        <v>42830</v>
      </c>
      <c r="T5935" t="s">
        <v>44470</v>
      </c>
      <c r="U5935" t="s">
        <v>49698</v>
      </c>
      <c r="W5935" t="s">
        <v>40565</v>
      </c>
      <c r="X5935" t="s">
        <v>42678</v>
      </c>
    </row>
    <row r="5936" spans="1:24">
      <c r="A5936">
        <f>HYPERLINK("https://www.philgeps.gov.ph/GEPSNONPILOT/Tender/SplashBidNoticeAbstractUI.aspx?menuIndex=3&amp;refID=7184513&amp;Result=3","7184513")</f>
        <v>0</v>
      </c>
      <c r="B5936" t="s">
        <v>870</v>
      </c>
      <c r="C5936" t="s">
        <v>9202</v>
      </c>
      <c r="D5936" t="s">
        <v>17199</v>
      </c>
      <c r="E5936" t="s">
        <v>22382</v>
      </c>
      <c r="F5936" t="s">
        <v>29372</v>
      </c>
      <c r="G5936" t="s">
        <v>29379</v>
      </c>
      <c r="H5936" t="s">
        <v>11048</v>
      </c>
      <c r="I5936" t="s">
        <v>4486</v>
      </c>
      <c r="J5936" t="s">
        <v>29644</v>
      </c>
      <c r="K5936" t="s">
        <v>38485</v>
      </c>
      <c r="M5936" t="s">
        <v>39662</v>
      </c>
      <c r="N5936" t="s">
        <v>42669</v>
      </c>
      <c r="O5936" t="s">
        <v>42670</v>
      </c>
      <c r="P5936">
        <v>0</v>
      </c>
      <c r="Q5936">
        <v>6</v>
      </c>
      <c r="R5936" t="s">
        <v>42677</v>
      </c>
      <c r="S5936" t="s">
        <v>42830</v>
      </c>
      <c r="T5936" t="s">
        <v>44491</v>
      </c>
      <c r="U5936" t="s">
        <v>46627</v>
      </c>
      <c r="W5936" t="s">
        <v>39662</v>
      </c>
      <c r="X5936" t="s">
        <v>42678</v>
      </c>
    </row>
    <row r="5937" spans="1:24">
      <c r="A5937">
        <f>HYPERLINK("https://www.philgeps.gov.ph/GEPSNONPILOT/Tender/SplashBidNoticeAbstractUI.aspx?menuIndex=3&amp;refID=7184512&amp;Result=3","7184512")</f>
        <v>0</v>
      </c>
      <c r="B5937" t="s">
        <v>2046</v>
      </c>
      <c r="C5937" t="s">
        <v>9203</v>
      </c>
      <c r="D5937" t="s">
        <v>17188</v>
      </c>
      <c r="E5937" t="s">
        <v>22383</v>
      </c>
      <c r="F5937" t="s">
        <v>29372</v>
      </c>
      <c r="G5937" t="s">
        <v>29379</v>
      </c>
      <c r="H5937" t="s">
        <v>11048</v>
      </c>
      <c r="I5937" t="s">
        <v>29426</v>
      </c>
      <c r="J5937" t="s">
        <v>29532</v>
      </c>
      <c r="K5937" t="s">
        <v>38530</v>
      </c>
      <c r="M5937" t="s">
        <v>40943</v>
      </c>
      <c r="N5937" t="s">
        <v>42669</v>
      </c>
      <c r="O5937" t="s">
        <v>42670</v>
      </c>
      <c r="P5937">
        <v>0</v>
      </c>
      <c r="Q5937">
        <v>2</v>
      </c>
      <c r="R5937" t="s">
        <v>42677</v>
      </c>
      <c r="S5937" t="s">
        <v>42830</v>
      </c>
      <c r="T5937" t="s">
        <v>44441</v>
      </c>
      <c r="U5937" t="s">
        <v>49699</v>
      </c>
      <c r="W5937" t="s">
        <v>40943</v>
      </c>
      <c r="X5937" t="s">
        <v>42678</v>
      </c>
    </row>
    <row r="5938" spans="1:24">
      <c r="A5938">
        <f>HYPERLINK("https://www.philgeps.gov.ph/GEPSNONPILOT/Tender/SplashBidNoticeAbstractUI.aspx?menuIndex=3&amp;refID=7184525&amp;Result=3","7184525")</f>
        <v>0</v>
      </c>
      <c r="B5938" t="s">
        <v>1792</v>
      </c>
      <c r="C5938" t="s">
        <v>9204</v>
      </c>
      <c r="D5938" t="s">
        <v>17141</v>
      </c>
      <c r="E5938" t="s">
        <v>22384</v>
      </c>
      <c r="F5938" t="s">
        <v>29372</v>
      </c>
      <c r="G5938" t="s">
        <v>29382</v>
      </c>
      <c r="H5938" t="s">
        <v>11048</v>
      </c>
      <c r="I5938" t="s">
        <v>29468</v>
      </c>
      <c r="J5938" t="s">
        <v>33368</v>
      </c>
      <c r="K5938" t="s">
        <v>38488</v>
      </c>
      <c r="M5938" t="s">
        <v>40944</v>
      </c>
      <c r="N5938" t="s">
        <v>42669</v>
      </c>
      <c r="O5938" t="s">
        <v>42670</v>
      </c>
      <c r="P5938">
        <v>0</v>
      </c>
      <c r="Q5938">
        <v>2</v>
      </c>
      <c r="R5938" t="s">
        <v>42677</v>
      </c>
      <c r="S5938" t="s">
        <v>42830</v>
      </c>
      <c r="T5938" t="s">
        <v>44417</v>
      </c>
      <c r="U5938" t="s">
        <v>49700</v>
      </c>
      <c r="W5938" t="s">
        <v>40944</v>
      </c>
      <c r="X5938" t="s">
        <v>42678</v>
      </c>
    </row>
    <row r="5939" spans="1:24">
      <c r="A5939">
        <f>HYPERLINK("https://www.philgeps.gov.ph/GEPSNONPILOT/Tender/SplashBidNoticeAbstractUI.aspx?menuIndex=3&amp;refID=7184509&amp;Result=3","7184509")</f>
        <v>0</v>
      </c>
      <c r="B5939" t="s">
        <v>2036</v>
      </c>
      <c r="C5939" t="s">
        <v>9205</v>
      </c>
      <c r="D5939" t="s">
        <v>17228</v>
      </c>
      <c r="E5939" t="s">
        <v>22385</v>
      </c>
      <c r="F5939" t="s">
        <v>29372</v>
      </c>
      <c r="G5939" t="s">
        <v>29380</v>
      </c>
      <c r="H5939" t="s">
        <v>29389</v>
      </c>
      <c r="I5939" t="s">
        <v>10408</v>
      </c>
      <c r="J5939" t="s">
        <v>29590</v>
      </c>
      <c r="K5939" t="s">
        <v>38503</v>
      </c>
      <c r="M5939" t="s">
        <v>40932</v>
      </c>
      <c r="N5939" t="s">
        <v>42669</v>
      </c>
      <c r="O5939" t="s">
        <v>42670</v>
      </c>
      <c r="P5939">
        <v>0</v>
      </c>
      <c r="Q5939">
        <v>0</v>
      </c>
      <c r="R5939" t="s">
        <v>42677</v>
      </c>
      <c r="S5939" t="s">
        <v>42830</v>
      </c>
      <c r="T5939" t="s">
        <v>44707</v>
      </c>
      <c r="U5939" t="s">
        <v>49673</v>
      </c>
      <c r="W5939" t="s">
        <v>40932</v>
      </c>
      <c r="X5939" t="s">
        <v>42678</v>
      </c>
    </row>
    <row r="5940" spans="1:24">
      <c r="A5940">
        <f>HYPERLINK("https://www.philgeps.gov.ph/GEPSNONPILOT/Tender/SplashBidNoticeAbstractUI.aspx?menuIndex=3&amp;refID=7184528&amp;Result=3","7184528")</f>
        <v>0</v>
      </c>
      <c r="B5940" t="s">
        <v>2047</v>
      </c>
      <c r="C5940" t="s">
        <v>9206</v>
      </c>
      <c r="D5940" t="s">
        <v>17189</v>
      </c>
      <c r="E5940" t="s">
        <v>22386</v>
      </c>
      <c r="F5940" t="s">
        <v>29372</v>
      </c>
      <c r="G5940" t="s">
        <v>29379</v>
      </c>
      <c r="H5940" t="s">
        <v>11048</v>
      </c>
      <c r="I5940" t="s">
        <v>3952</v>
      </c>
      <c r="J5940" t="s">
        <v>33369</v>
      </c>
      <c r="K5940" t="s">
        <v>38491</v>
      </c>
      <c r="M5940" t="s">
        <v>40945</v>
      </c>
      <c r="N5940" t="s">
        <v>42669</v>
      </c>
      <c r="O5940" t="s">
        <v>42670</v>
      </c>
      <c r="P5940">
        <v>0</v>
      </c>
      <c r="Q5940">
        <v>1</v>
      </c>
      <c r="R5940" t="s">
        <v>42677</v>
      </c>
      <c r="S5940" t="s">
        <v>42830</v>
      </c>
      <c r="T5940" t="s">
        <v>44488</v>
      </c>
      <c r="U5940" t="s">
        <v>49701</v>
      </c>
      <c r="W5940" t="s">
        <v>40945</v>
      </c>
      <c r="X5940" t="s">
        <v>42678</v>
      </c>
    </row>
    <row r="5941" spans="1:24">
      <c r="A5941">
        <f>HYPERLINK("https://www.philgeps.gov.ph/GEPSNONPILOT/Tender/SplashBidNoticeAbstractUI.aspx?menuIndex=3&amp;refID=7184504&amp;Result=3","7184504")</f>
        <v>0</v>
      </c>
      <c r="B5941" t="s">
        <v>772</v>
      </c>
      <c r="C5941" t="s">
        <v>9207</v>
      </c>
      <c r="E5941" t="s">
        <v>22387</v>
      </c>
      <c r="F5941" t="s">
        <v>29372</v>
      </c>
      <c r="G5941" t="s">
        <v>29379</v>
      </c>
      <c r="H5941" t="s">
        <v>29389</v>
      </c>
      <c r="I5941" t="s">
        <v>10408</v>
      </c>
      <c r="J5941" t="s">
        <v>33370</v>
      </c>
      <c r="K5941" t="s">
        <v>38491</v>
      </c>
      <c r="M5941" t="s">
        <v>39556</v>
      </c>
      <c r="N5941" t="s">
        <v>42669</v>
      </c>
      <c r="O5941" t="s">
        <v>42670</v>
      </c>
      <c r="P5941">
        <v>0</v>
      </c>
      <c r="Q5941">
        <v>0</v>
      </c>
      <c r="R5941" t="s">
        <v>42677</v>
      </c>
      <c r="S5941" t="s">
        <v>42830</v>
      </c>
      <c r="T5941" t="s">
        <v>44401</v>
      </c>
      <c r="U5941" t="s">
        <v>46442</v>
      </c>
      <c r="W5941" t="s">
        <v>39556</v>
      </c>
      <c r="X5941" t="s">
        <v>42678</v>
      </c>
    </row>
    <row r="5942" spans="1:24">
      <c r="A5942">
        <f>HYPERLINK("https://www.philgeps.gov.ph/GEPSNONPILOT/Tender/SplashBidNoticeAbstractUI.aspx?menuIndex=3&amp;refID=7184515&amp;Result=3","7184515")</f>
        <v>0</v>
      </c>
      <c r="B5942" t="s">
        <v>1858</v>
      </c>
      <c r="C5942" t="s">
        <v>9208</v>
      </c>
      <c r="E5942" t="s">
        <v>22388</v>
      </c>
      <c r="F5942" t="s">
        <v>29372</v>
      </c>
      <c r="G5942" t="s">
        <v>29379</v>
      </c>
      <c r="H5942" t="s">
        <v>11048</v>
      </c>
      <c r="I5942" t="s">
        <v>29477</v>
      </c>
      <c r="J5942" t="s">
        <v>29529</v>
      </c>
      <c r="K5942" t="s">
        <v>38490</v>
      </c>
      <c r="M5942" t="s">
        <v>40731</v>
      </c>
      <c r="N5942" t="s">
        <v>42669</v>
      </c>
      <c r="O5942" t="s">
        <v>42670</v>
      </c>
      <c r="P5942">
        <v>0</v>
      </c>
      <c r="Q5942">
        <v>3</v>
      </c>
      <c r="R5942" t="s">
        <v>42677</v>
      </c>
      <c r="S5942" t="s">
        <v>42830</v>
      </c>
      <c r="T5942" t="s">
        <v>44491</v>
      </c>
      <c r="U5942" t="s">
        <v>49702</v>
      </c>
      <c r="W5942" t="s">
        <v>40731</v>
      </c>
      <c r="X5942" t="s">
        <v>42678</v>
      </c>
    </row>
    <row r="5943" spans="1:24">
      <c r="A5943">
        <f>HYPERLINK("https://www.philgeps.gov.ph/GEPSNONPILOT/Tender/SplashBidNoticeAbstractUI.aspx?menuIndex=3&amp;refID=7184314&amp;Result=3","7184314")</f>
        <v>0</v>
      </c>
      <c r="B5943" t="s">
        <v>1404</v>
      </c>
      <c r="C5943" t="s">
        <v>9209</v>
      </c>
      <c r="D5943" t="s">
        <v>17189</v>
      </c>
      <c r="E5943" t="s">
        <v>22389</v>
      </c>
      <c r="F5943" t="s">
        <v>29372</v>
      </c>
      <c r="G5943" t="s">
        <v>29379</v>
      </c>
      <c r="H5943" t="s">
        <v>11048</v>
      </c>
      <c r="I5943" t="s">
        <v>10408</v>
      </c>
      <c r="J5943" t="s">
        <v>33371</v>
      </c>
      <c r="K5943" t="s">
        <v>38538</v>
      </c>
      <c r="M5943" t="s">
        <v>40243</v>
      </c>
      <c r="N5943" t="s">
        <v>42669</v>
      </c>
      <c r="O5943" t="s">
        <v>42670</v>
      </c>
      <c r="P5943">
        <v>0</v>
      </c>
      <c r="Q5943">
        <v>0</v>
      </c>
      <c r="R5943" t="s">
        <v>42677</v>
      </c>
      <c r="S5943" t="s">
        <v>42830</v>
      </c>
      <c r="T5943" t="s">
        <v>44491</v>
      </c>
      <c r="U5943" t="s">
        <v>49703</v>
      </c>
      <c r="W5943" t="s">
        <v>40243</v>
      </c>
      <c r="X5943" t="s">
        <v>42678</v>
      </c>
    </row>
    <row r="5944" spans="1:24">
      <c r="A5944">
        <f>HYPERLINK("https://www.philgeps.gov.ph/GEPSNONPILOT/Tender/SplashBidNoticeAbstractUI.aspx?menuIndex=3&amp;refID=7184310&amp;Result=3","7184310")</f>
        <v>0</v>
      </c>
      <c r="B5944" t="s">
        <v>2046</v>
      </c>
      <c r="C5944" t="s">
        <v>9210</v>
      </c>
      <c r="D5944" t="s">
        <v>17188</v>
      </c>
      <c r="E5944" t="s">
        <v>22390</v>
      </c>
      <c r="F5944" t="s">
        <v>29372</v>
      </c>
      <c r="G5944" t="s">
        <v>29379</v>
      </c>
      <c r="H5944" t="s">
        <v>11048</v>
      </c>
      <c r="I5944" t="s">
        <v>9642</v>
      </c>
      <c r="J5944" t="s">
        <v>31317</v>
      </c>
      <c r="K5944" t="s">
        <v>38485</v>
      </c>
      <c r="M5944" t="s">
        <v>40943</v>
      </c>
      <c r="N5944" t="s">
        <v>42669</v>
      </c>
      <c r="O5944" t="s">
        <v>42670</v>
      </c>
      <c r="P5944">
        <v>0</v>
      </c>
      <c r="Q5944">
        <v>9</v>
      </c>
      <c r="R5944" t="s">
        <v>42677</v>
      </c>
      <c r="S5944" t="s">
        <v>42830</v>
      </c>
      <c r="T5944" t="s">
        <v>44441</v>
      </c>
      <c r="U5944" t="s">
        <v>49704</v>
      </c>
      <c r="W5944" t="s">
        <v>40943</v>
      </c>
      <c r="X5944" t="s">
        <v>42678</v>
      </c>
    </row>
    <row r="5945" spans="1:24">
      <c r="A5945">
        <f>HYPERLINK("https://www.philgeps.gov.ph/GEPSNONPILOT/Tender/SplashBidNoticeAbstractUI.aspx?menuIndex=3&amp;refID=7184094&amp;Result=3","7184094")</f>
        <v>0</v>
      </c>
      <c r="B5945" t="s">
        <v>2010</v>
      </c>
      <c r="C5945" t="s">
        <v>9211</v>
      </c>
      <c r="D5945" t="s">
        <v>17143</v>
      </c>
      <c r="E5945" t="s">
        <v>22391</v>
      </c>
      <c r="F5945" t="s">
        <v>29372</v>
      </c>
      <c r="G5945" t="s">
        <v>29379</v>
      </c>
      <c r="H5945" t="s">
        <v>11048</v>
      </c>
      <c r="I5945" t="s">
        <v>3952</v>
      </c>
      <c r="J5945" t="s">
        <v>33372</v>
      </c>
      <c r="K5945" t="s">
        <v>38510</v>
      </c>
      <c r="M5945" t="s">
        <v>40901</v>
      </c>
      <c r="N5945" t="s">
        <v>42669</v>
      </c>
      <c r="O5945" t="s">
        <v>42670</v>
      </c>
      <c r="P5945">
        <v>0</v>
      </c>
      <c r="Q5945">
        <v>3</v>
      </c>
      <c r="R5945" t="s">
        <v>42677</v>
      </c>
      <c r="S5945" t="s">
        <v>42830</v>
      </c>
      <c r="T5945" t="s">
        <v>44432</v>
      </c>
      <c r="U5945" t="s">
        <v>49612</v>
      </c>
      <c r="V5945" t="s">
        <v>57001</v>
      </c>
      <c r="W5945" t="s">
        <v>40901</v>
      </c>
      <c r="X5945" t="s">
        <v>42678</v>
      </c>
    </row>
    <row r="5946" spans="1:24">
      <c r="A5946">
        <f>HYPERLINK("https://www.philgeps.gov.ph/GEPSNONPILOT/Tender/SplashBidNoticeAbstractUI.aspx?menuIndex=3&amp;refID=7184508&amp;Result=3","7184508")</f>
        <v>0</v>
      </c>
      <c r="B5946" t="s">
        <v>1476</v>
      </c>
      <c r="C5946" t="s">
        <v>9212</v>
      </c>
      <c r="D5946" t="s">
        <v>17153</v>
      </c>
      <c r="E5946" t="s">
        <v>22392</v>
      </c>
      <c r="F5946" t="s">
        <v>29372</v>
      </c>
      <c r="G5946" t="s">
        <v>29380</v>
      </c>
      <c r="H5946" t="s">
        <v>29389</v>
      </c>
      <c r="I5946" t="s">
        <v>10408</v>
      </c>
      <c r="J5946" t="s">
        <v>29536</v>
      </c>
      <c r="K5946" t="s">
        <v>38548</v>
      </c>
      <c r="M5946" t="s">
        <v>40934</v>
      </c>
      <c r="N5946" t="s">
        <v>42669</v>
      </c>
      <c r="O5946" t="s">
        <v>42670</v>
      </c>
      <c r="P5946">
        <v>0</v>
      </c>
      <c r="Q5946">
        <v>2</v>
      </c>
      <c r="R5946" t="s">
        <v>42677</v>
      </c>
      <c r="S5946" t="s">
        <v>42830</v>
      </c>
      <c r="T5946" t="s">
        <v>44368</v>
      </c>
      <c r="U5946" t="s">
        <v>49705</v>
      </c>
      <c r="W5946" t="s">
        <v>40934</v>
      </c>
      <c r="X5946" t="s">
        <v>42678</v>
      </c>
    </row>
    <row r="5947" spans="1:24">
      <c r="A5947">
        <f>HYPERLINK("https://www.philgeps.gov.ph/GEPSNONPILOT/Tender/SplashBidNoticeAbstractUI.aspx?menuIndex=3&amp;refID=7184090&amp;Result=3","7184090")</f>
        <v>0</v>
      </c>
      <c r="B5947" t="s">
        <v>1621</v>
      </c>
      <c r="C5947" t="s">
        <v>9213</v>
      </c>
      <c r="D5947" t="s">
        <v>17161</v>
      </c>
      <c r="E5947" t="s">
        <v>22393</v>
      </c>
      <c r="F5947" t="s">
        <v>29372</v>
      </c>
      <c r="G5947" t="s">
        <v>29380</v>
      </c>
      <c r="H5947" t="s">
        <v>29389</v>
      </c>
      <c r="I5947" t="s">
        <v>10408</v>
      </c>
      <c r="J5947" t="s">
        <v>33373</v>
      </c>
      <c r="K5947" t="s">
        <v>38485</v>
      </c>
      <c r="M5947" t="s">
        <v>40475</v>
      </c>
      <c r="N5947" t="s">
        <v>42669</v>
      </c>
      <c r="O5947" t="s">
        <v>42670</v>
      </c>
      <c r="P5947">
        <v>0</v>
      </c>
      <c r="Q5947">
        <v>0</v>
      </c>
      <c r="R5947" t="s">
        <v>42677</v>
      </c>
      <c r="S5947" t="s">
        <v>42830</v>
      </c>
      <c r="T5947" t="s">
        <v>44542</v>
      </c>
      <c r="U5947" t="s">
        <v>49706</v>
      </c>
      <c r="W5947" t="s">
        <v>40475</v>
      </c>
      <c r="X5947" t="s">
        <v>42678</v>
      </c>
    </row>
    <row r="5948" spans="1:24">
      <c r="A5948">
        <f>HYPERLINK("https://www.philgeps.gov.ph/GEPSNONPILOT/Tender/SplashBidNoticeAbstractUI.aspx?menuIndex=3&amp;refID=7184502&amp;Result=3","7184502")</f>
        <v>0</v>
      </c>
      <c r="B5948" t="s">
        <v>1825</v>
      </c>
      <c r="C5948" t="s">
        <v>8003</v>
      </c>
      <c r="D5948" t="s">
        <v>17204</v>
      </c>
      <c r="E5948" t="s">
        <v>21491</v>
      </c>
      <c r="F5948" t="s">
        <v>29372</v>
      </c>
      <c r="G5948" t="s">
        <v>29380</v>
      </c>
      <c r="H5948" t="s">
        <v>29389</v>
      </c>
      <c r="I5948" t="s">
        <v>10408</v>
      </c>
      <c r="J5948" t="s">
        <v>33374</v>
      </c>
      <c r="K5948" t="s">
        <v>38656</v>
      </c>
      <c r="M5948" t="s">
        <v>40696</v>
      </c>
      <c r="N5948" t="s">
        <v>42669</v>
      </c>
      <c r="O5948" t="s">
        <v>42670</v>
      </c>
      <c r="P5948">
        <v>0</v>
      </c>
      <c r="Q5948">
        <v>2</v>
      </c>
      <c r="R5948" t="s">
        <v>42677</v>
      </c>
      <c r="S5948" t="s">
        <v>42830</v>
      </c>
      <c r="T5948" t="s">
        <v>44449</v>
      </c>
      <c r="U5948" t="s">
        <v>49707</v>
      </c>
      <c r="W5948" t="s">
        <v>40696</v>
      </c>
      <c r="X5948" t="s">
        <v>42678</v>
      </c>
    </row>
    <row r="5949" spans="1:24">
      <c r="A5949">
        <f>HYPERLINK("https://www.philgeps.gov.ph/GEPSNONPILOT/Tender/SplashBidNoticeAbstractUI.aspx?menuIndex=3&amp;refID=7184523&amp;Result=3","7184523")</f>
        <v>0</v>
      </c>
      <c r="B5949" t="s">
        <v>2048</v>
      </c>
      <c r="C5949" t="s">
        <v>9214</v>
      </c>
      <c r="D5949" t="s">
        <v>17173</v>
      </c>
      <c r="E5949" t="s">
        <v>18078</v>
      </c>
      <c r="F5949" t="s">
        <v>29372</v>
      </c>
      <c r="G5949" t="s">
        <v>29380</v>
      </c>
      <c r="H5949" t="s">
        <v>29389</v>
      </c>
      <c r="I5949" t="s">
        <v>10408</v>
      </c>
      <c r="J5949" t="s">
        <v>33375</v>
      </c>
      <c r="K5949" t="s">
        <v>38496</v>
      </c>
      <c r="M5949" t="s">
        <v>40946</v>
      </c>
      <c r="N5949" t="s">
        <v>42669</v>
      </c>
      <c r="O5949" t="s">
        <v>42670</v>
      </c>
      <c r="P5949">
        <v>0</v>
      </c>
      <c r="Q5949">
        <v>1</v>
      </c>
      <c r="R5949" t="s">
        <v>42677</v>
      </c>
      <c r="S5949" t="s">
        <v>42830</v>
      </c>
      <c r="T5949" t="s">
        <v>44664</v>
      </c>
      <c r="U5949" t="s">
        <v>49708</v>
      </c>
      <c r="V5949" t="s">
        <v>57013</v>
      </c>
      <c r="W5949" t="s">
        <v>40946</v>
      </c>
      <c r="X5949" t="s">
        <v>42678</v>
      </c>
    </row>
    <row r="5950" spans="1:24">
      <c r="A5950">
        <f>HYPERLINK("https://www.philgeps.gov.ph/GEPSNONPILOT/Tender/SplashBidNoticeAbstractUI.aspx?menuIndex=3&amp;refID=7184128&amp;Result=3","7184128")</f>
        <v>0</v>
      </c>
      <c r="B5950" t="s">
        <v>2017</v>
      </c>
      <c r="C5950" t="s">
        <v>9215</v>
      </c>
      <c r="D5950" t="s">
        <v>17228</v>
      </c>
      <c r="E5950" t="s">
        <v>22394</v>
      </c>
      <c r="F5950" t="s">
        <v>29372</v>
      </c>
      <c r="G5950" t="s">
        <v>29380</v>
      </c>
      <c r="H5950" t="s">
        <v>29389</v>
      </c>
      <c r="I5950" t="s">
        <v>10408</v>
      </c>
      <c r="J5950" t="s">
        <v>33376</v>
      </c>
      <c r="K5950" t="s">
        <v>38495</v>
      </c>
      <c r="M5950" t="s">
        <v>40909</v>
      </c>
      <c r="N5950" t="s">
        <v>42669</v>
      </c>
      <c r="O5950" t="s">
        <v>42670</v>
      </c>
      <c r="P5950">
        <v>0</v>
      </c>
      <c r="Q5950">
        <v>2</v>
      </c>
      <c r="R5950" t="s">
        <v>42677</v>
      </c>
      <c r="S5950" t="s">
        <v>42830</v>
      </c>
      <c r="T5950" t="s">
        <v>44355</v>
      </c>
      <c r="U5950" t="s">
        <v>49709</v>
      </c>
      <c r="W5950" t="s">
        <v>40909</v>
      </c>
      <c r="X5950" t="s">
        <v>42678</v>
      </c>
    </row>
    <row r="5951" spans="1:24">
      <c r="A5951">
        <f>HYPERLINK("https://www.philgeps.gov.ph/GEPSNONPILOT/Tender/SplashBidNoticeAbstractUI.aspx?menuIndex=3&amp;refID=7183845&amp;Result=3","7183845")</f>
        <v>0</v>
      </c>
      <c r="B5951" t="s">
        <v>2049</v>
      </c>
      <c r="C5951" t="s">
        <v>9216</v>
      </c>
      <c r="D5951" t="s">
        <v>17160</v>
      </c>
      <c r="E5951" t="s">
        <v>22395</v>
      </c>
      <c r="F5951" t="s">
        <v>29372</v>
      </c>
      <c r="G5951" t="s">
        <v>29380</v>
      </c>
      <c r="H5951" t="s">
        <v>29389</v>
      </c>
      <c r="I5951" t="s">
        <v>10408</v>
      </c>
      <c r="J5951" t="s">
        <v>29526</v>
      </c>
      <c r="K5951" t="s">
        <v>38491</v>
      </c>
      <c r="M5951" t="s">
        <v>40947</v>
      </c>
      <c r="N5951" t="s">
        <v>42669</v>
      </c>
      <c r="O5951" t="s">
        <v>42670</v>
      </c>
      <c r="P5951">
        <v>0</v>
      </c>
      <c r="Q5951">
        <v>0</v>
      </c>
      <c r="R5951" t="s">
        <v>42677</v>
      </c>
      <c r="S5951" t="s">
        <v>42830</v>
      </c>
      <c r="T5951" t="s">
        <v>44469</v>
      </c>
      <c r="U5951" t="s">
        <v>49710</v>
      </c>
      <c r="W5951" t="s">
        <v>40947</v>
      </c>
      <c r="X5951" t="s">
        <v>42678</v>
      </c>
    </row>
    <row r="5952" spans="1:24">
      <c r="A5952">
        <f>HYPERLINK("https://www.philgeps.gov.ph/GEPSNONPILOT/Tender/SplashBidNoticeAbstractUI.aspx?menuIndex=3&amp;refID=7183844&amp;Result=3","7183844")</f>
        <v>0</v>
      </c>
      <c r="B5952" t="s">
        <v>1417</v>
      </c>
      <c r="C5952" t="s">
        <v>9217</v>
      </c>
      <c r="D5952" t="s">
        <v>17161</v>
      </c>
      <c r="E5952" t="s">
        <v>22396</v>
      </c>
      <c r="F5952" t="s">
        <v>29372</v>
      </c>
      <c r="G5952" t="s">
        <v>29380</v>
      </c>
      <c r="H5952" t="s">
        <v>11048</v>
      </c>
      <c r="I5952" t="s">
        <v>4709</v>
      </c>
      <c r="J5952" t="s">
        <v>33377</v>
      </c>
      <c r="K5952" t="s">
        <v>38510</v>
      </c>
      <c r="M5952" t="s">
        <v>40256</v>
      </c>
      <c r="N5952" t="s">
        <v>42669</v>
      </c>
      <c r="O5952" t="s">
        <v>42670</v>
      </c>
      <c r="P5952">
        <v>0</v>
      </c>
      <c r="Q5952">
        <v>0</v>
      </c>
      <c r="R5952" t="s">
        <v>42677</v>
      </c>
      <c r="S5952" t="s">
        <v>42830</v>
      </c>
      <c r="T5952" t="s">
        <v>44371</v>
      </c>
      <c r="U5952" t="s">
        <v>49711</v>
      </c>
      <c r="W5952" t="s">
        <v>40256</v>
      </c>
      <c r="X5952" t="s">
        <v>42678</v>
      </c>
    </row>
    <row r="5953" spans="1:24">
      <c r="A5953">
        <f>HYPERLINK("https://www.philgeps.gov.ph/GEPSNONPILOT/Tender/SplashBidNoticeAbstractUI.aspx?menuIndex=3&amp;refID=7184089&amp;Result=3","7184089")</f>
        <v>0</v>
      </c>
      <c r="B5953" t="s">
        <v>52</v>
      </c>
      <c r="C5953" t="s">
        <v>9218</v>
      </c>
      <c r="D5953" t="s">
        <v>17164</v>
      </c>
      <c r="E5953" t="s">
        <v>22397</v>
      </c>
      <c r="F5953" t="s">
        <v>29372</v>
      </c>
      <c r="G5953" t="s">
        <v>29379</v>
      </c>
      <c r="H5953" t="s">
        <v>11048</v>
      </c>
      <c r="I5953" t="s">
        <v>14920</v>
      </c>
      <c r="J5953" t="s">
        <v>33378</v>
      </c>
      <c r="K5953" t="s">
        <v>38522</v>
      </c>
      <c r="M5953" t="s">
        <v>40848</v>
      </c>
      <c r="N5953" t="s">
        <v>42669</v>
      </c>
      <c r="O5953" t="s">
        <v>42670</v>
      </c>
      <c r="P5953">
        <v>0</v>
      </c>
      <c r="Q5953">
        <v>0</v>
      </c>
      <c r="R5953" t="s">
        <v>42677</v>
      </c>
      <c r="S5953" t="s">
        <v>42830</v>
      </c>
      <c r="T5953" t="s">
        <v>44489</v>
      </c>
      <c r="U5953" t="s">
        <v>49712</v>
      </c>
      <c r="W5953" t="s">
        <v>40848</v>
      </c>
      <c r="X5953" t="s">
        <v>42678</v>
      </c>
    </row>
    <row r="5954" spans="1:24">
      <c r="A5954">
        <f>HYPERLINK("https://www.philgeps.gov.ph/GEPSNONPILOT/Tender/SplashBidNoticeAbstractUI.aspx?menuIndex=3&amp;refID=7183759&amp;Result=3","7183759")</f>
        <v>0</v>
      </c>
      <c r="B5954" t="s">
        <v>2050</v>
      </c>
      <c r="C5954" t="s">
        <v>9219</v>
      </c>
      <c r="D5954" t="s">
        <v>17205</v>
      </c>
      <c r="E5954" t="s">
        <v>17347</v>
      </c>
      <c r="F5954" t="s">
        <v>29372</v>
      </c>
      <c r="G5954" t="s">
        <v>29380</v>
      </c>
      <c r="H5954" t="s">
        <v>29389</v>
      </c>
      <c r="I5954" t="s">
        <v>10408</v>
      </c>
      <c r="J5954" t="s">
        <v>29619</v>
      </c>
      <c r="K5954" t="s">
        <v>38485</v>
      </c>
      <c r="M5954" t="s">
        <v>40948</v>
      </c>
      <c r="N5954" t="s">
        <v>42669</v>
      </c>
      <c r="O5954" t="s">
        <v>42670</v>
      </c>
      <c r="P5954">
        <v>0</v>
      </c>
      <c r="Q5954">
        <v>2</v>
      </c>
      <c r="R5954" t="s">
        <v>42677</v>
      </c>
      <c r="S5954" t="s">
        <v>42830</v>
      </c>
      <c r="T5954" t="s">
        <v>44456</v>
      </c>
      <c r="U5954" t="s">
        <v>49713</v>
      </c>
      <c r="V5954" t="s">
        <v>57014</v>
      </c>
      <c r="W5954" t="s">
        <v>40948</v>
      </c>
      <c r="X5954" t="s">
        <v>42678</v>
      </c>
    </row>
    <row r="5955" spans="1:24">
      <c r="A5955">
        <f>HYPERLINK("https://www.philgeps.gov.ph/GEPSNONPILOT/Tender/SplashBidNoticeAbstractUI.aspx?menuIndex=3&amp;refID=7183729&amp;Result=3","7183729")</f>
        <v>0</v>
      </c>
      <c r="B5955" t="s">
        <v>2020</v>
      </c>
      <c r="C5955" t="s">
        <v>9220</v>
      </c>
      <c r="D5955" t="s">
        <v>17177</v>
      </c>
      <c r="E5955" t="s">
        <v>22398</v>
      </c>
      <c r="F5955" t="s">
        <v>29372</v>
      </c>
      <c r="G5955" t="s">
        <v>29379</v>
      </c>
      <c r="H5955" t="s">
        <v>29389</v>
      </c>
      <c r="I5955" t="s">
        <v>10408</v>
      </c>
      <c r="J5955" t="s">
        <v>33379</v>
      </c>
      <c r="K5955" t="s">
        <v>38487</v>
      </c>
      <c r="M5955" t="s">
        <v>40912</v>
      </c>
      <c r="N5955" t="s">
        <v>42669</v>
      </c>
      <c r="O5955" t="s">
        <v>42670</v>
      </c>
      <c r="P5955">
        <v>0</v>
      </c>
      <c r="Q5955">
        <v>0</v>
      </c>
      <c r="R5955" t="s">
        <v>42677</v>
      </c>
      <c r="S5955" t="s">
        <v>42830</v>
      </c>
      <c r="T5955" t="s">
        <v>44488</v>
      </c>
      <c r="U5955" t="s">
        <v>49714</v>
      </c>
      <c r="W5955" t="s">
        <v>40912</v>
      </c>
      <c r="X5955" t="s">
        <v>42678</v>
      </c>
    </row>
    <row r="5956" spans="1:24">
      <c r="A5956">
        <f>HYPERLINK("https://www.philgeps.gov.ph/GEPSNONPILOT/Tender/SplashBidNoticeAbstractUI.aspx?menuIndex=3&amp;refID=7183731&amp;Result=3","7183731")</f>
        <v>0</v>
      </c>
      <c r="B5956" t="s">
        <v>1132</v>
      </c>
      <c r="C5956" t="s">
        <v>9221</v>
      </c>
      <c r="D5956" t="s">
        <v>17192</v>
      </c>
      <c r="E5956" t="s">
        <v>22399</v>
      </c>
      <c r="F5956" t="s">
        <v>29372</v>
      </c>
      <c r="G5956" t="s">
        <v>29380</v>
      </c>
      <c r="H5956" t="s">
        <v>11048</v>
      </c>
      <c r="I5956" t="s">
        <v>29426</v>
      </c>
      <c r="J5956" t="s">
        <v>33380</v>
      </c>
      <c r="K5956" t="s">
        <v>38485</v>
      </c>
      <c r="M5956" t="s">
        <v>39944</v>
      </c>
      <c r="N5956" t="s">
        <v>42669</v>
      </c>
      <c r="O5956" t="s">
        <v>42670</v>
      </c>
      <c r="P5956">
        <v>0</v>
      </c>
      <c r="Q5956">
        <v>2</v>
      </c>
      <c r="R5956" t="s">
        <v>42677</v>
      </c>
      <c r="S5956" t="s">
        <v>42830</v>
      </c>
      <c r="T5956" t="s">
        <v>44592</v>
      </c>
      <c r="U5956" t="s">
        <v>49715</v>
      </c>
      <c r="W5956" t="s">
        <v>39944</v>
      </c>
      <c r="X5956" t="s">
        <v>42678</v>
      </c>
    </row>
    <row r="5957" spans="1:24">
      <c r="A5957">
        <f>HYPERLINK("https://www.philgeps.gov.ph/GEPSNONPILOT/Tender/SplashBidNoticeAbstractUI.aspx?menuIndex=3&amp;refID=7183728&amp;Result=3","7183728")</f>
        <v>0</v>
      </c>
      <c r="B5957" t="s">
        <v>207</v>
      </c>
      <c r="C5957" t="s">
        <v>9222</v>
      </c>
      <c r="D5957" t="s">
        <v>17157</v>
      </c>
      <c r="E5957" t="s">
        <v>22400</v>
      </c>
      <c r="F5957" t="s">
        <v>29372</v>
      </c>
      <c r="G5957" t="s">
        <v>29380</v>
      </c>
      <c r="H5957" t="s">
        <v>29389</v>
      </c>
      <c r="I5957" t="s">
        <v>10408</v>
      </c>
      <c r="J5957" t="s">
        <v>33381</v>
      </c>
      <c r="K5957" t="s">
        <v>38590</v>
      </c>
      <c r="M5957" t="s">
        <v>40836</v>
      </c>
      <c r="N5957" t="s">
        <v>42669</v>
      </c>
      <c r="O5957" t="s">
        <v>42670</v>
      </c>
      <c r="P5957">
        <v>0</v>
      </c>
      <c r="Q5957">
        <v>0</v>
      </c>
      <c r="R5957" t="s">
        <v>42677</v>
      </c>
      <c r="S5957" t="s">
        <v>42830</v>
      </c>
      <c r="T5957" t="s">
        <v>44427</v>
      </c>
      <c r="U5957" t="s">
        <v>49450</v>
      </c>
      <c r="W5957" t="s">
        <v>40836</v>
      </c>
      <c r="X5957" t="s">
        <v>42678</v>
      </c>
    </row>
    <row r="5958" spans="1:24">
      <c r="A5958">
        <f>HYPERLINK("https://www.philgeps.gov.ph/GEPSNONPILOT/Tender/SplashBidNoticeAbstractUI.aspx?menuIndex=3&amp;refID=7183725&amp;Result=3","7183725")</f>
        <v>0</v>
      </c>
      <c r="B5958" t="s">
        <v>207</v>
      </c>
      <c r="C5958" t="s">
        <v>9223</v>
      </c>
      <c r="D5958" t="s">
        <v>17157</v>
      </c>
      <c r="E5958" t="s">
        <v>22401</v>
      </c>
      <c r="F5958" t="s">
        <v>29372</v>
      </c>
      <c r="G5958" t="s">
        <v>29380</v>
      </c>
      <c r="H5958" t="s">
        <v>29389</v>
      </c>
      <c r="I5958" t="s">
        <v>10408</v>
      </c>
      <c r="J5958" t="s">
        <v>33382</v>
      </c>
      <c r="K5958" t="s">
        <v>38530</v>
      </c>
      <c r="M5958" t="s">
        <v>40836</v>
      </c>
      <c r="N5958" t="s">
        <v>42669</v>
      </c>
      <c r="O5958" t="s">
        <v>42670</v>
      </c>
      <c r="P5958">
        <v>0</v>
      </c>
      <c r="Q5958">
        <v>0</v>
      </c>
      <c r="R5958" t="s">
        <v>42677</v>
      </c>
      <c r="S5958" t="s">
        <v>42830</v>
      </c>
      <c r="T5958" t="s">
        <v>44427</v>
      </c>
      <c r="U5958" t="s">
        <v>49450</v>
      </c>
      <c r="W5958" t="s">
        <v>40836</v>
      </c>
      <c r="X5958" t="s">
        <v>42678</v>
      </c>
    </row>
    <row r="5959" spans="1:24">
      <c r="A5959">
        <f>HYPERLINK("https://www.philgeps.gov.ph/GEPSNONPILOT/Tender/SplashBidNoticeAbstractUI.aspx?menuIndex=3&amp;refID=7183724&amp;Result=3","7183724")</f>
        <v>0</v>
      </c>
      <c r="B5959" t="s">
        <v>207</v>
      </c>
      <c r="C5959" t="s">
        <v>9224</v>
      </c>
      <c r="D5959" t="s">
        <v>17157</v>
      </c>
      <c r="E5959" t="s">
        <v>22402</v>
      </c>
      <c r="F5959" t="s">
        <v>29372</v>
      </c>
      <c r="G5959" t="s">
        <v>29380</v>
      </c>
      <c r="H5959" t="s">
        <v>29389</v>
      </c>
      <c r="I5959" t="s">
        <v>10408</v>
      </c>
      <c r="J5959" t="s">
        <v>33383</v>
      </c>
      <c r="K5959" t="s">
        <v>38544</v>
      </c>
      <c r="M5959" t="s">
        <v>40836</v>
      </c>
      <c r="N5959" t="s">
        <v>42669</v>
      </c>
      <c r="O5959" t="s">
        <v>42670</v>
      </c>
      <c r="P5959">
        <v>0</v>
      </c>
      <c r="Q5959">
        <v>0</v>
      </c>
      <c r="R5959" t="s">
        <v>42677</v>
      </c>
      <c r="S5959" t="s">
        <v>42830</v>
      </c>
      <c r="T5959" t="s">
        <v>44427</v>
      </c>
      <c r="U5959" t="s">
        <v>49450</v>
      </c>
      <c r="W5959" t="s">
        <v>40836</v>
      </c>
      <c r="X5959" t="s">
        <v>42678</v>
      </c>
    </row>
    <row r="5960" spans="1:24">
      <c r="A5960">
        <f>HYPERLINK("https://www.philgeps.gov.ph/GEPSNONPILOT/Tender/SplashBidNoticeAbstractUI.aspx?menuIndex=3&amp;refID=7184085&amp;Result=3","7184085")</f>
        <v>0</v>
      </c>
      <c r="B5960" t="s">
        <v>1998</v>
      </c>
      <c r="C5960" t="s">
        <v>9225</v>
      </c>
      <c r="D5960" t="s">
        <v>17148</v>
      </c>
      <c r="E5960" t="s">
        <v>22403</v>
      </c>
      <c r="F5960" t="s">
        <v>29372</v>
      </c>
      <c r="G5960" t="s">
        <v>29380</v>
      </c>
      <c r="H5960" t="s">
        <v>11048</v>
      </c>
      <c r="I5960" t="s">
        <v>3695</v>
      </c>
      <c r="J5960" t="s">
        <v>33384</v>
      </c>
      <c r="K5960" t="s">
        <v>38485</v>
      </c>
      <c r="M5960" t="s">
        <v>40888</v>
      </c>
      <c r="N5960" t="s">
        <v>42669</v>
      </c>
      <c r="O5960" t="s">
        <v>42670</v>
      </c>
      <c r="P5960">
        <v>0</v>
      </c>
      <c r="Q5960">
        <v>5</v>
      </c>
      <c r="R5960" t="s">
        <v>42677</v>
      </c>
      <c r="S5960" t="s">
        <v>42830</v>
      </c>
      <c r="T5960" t="s">
        <v>44474</v>
      </c>
      <c r="U5960" t="s">
        <v>49562</v>
      </c>
      <c r="W5960" t="s">
        <v>58065</v>
      </c>
      <c r="X5960" t="s">
        <v>42678</v>
      </c>
    </row>
    <row r="5961" spans="1:24">
      <c r="A5961">
        <f>HYPERLINK("https://www.philgeps.gov.ph/GEPSNONPILOT/Tender/SplashBidNoticeAbstractUI.aspx?menuIndex=3&amp;refID=7183730&amp;Result=3","7183730")</f>
        <v>0</v>
      </c>
      <c r="B5961" t="s">
        <v>207</v>
      </c>
      <c r="C5961" t="s">
        <v>9226</v>
      </c>
      <c r="D5961" t="s">
        <v>17157</v>
      </c>
      <c r="E5961" t="s">
        <v>22404</v>
      </c>
      <c r="F5961" t="s">
        <v>29372</v>
      </c>
      <c r="G5961" t="s">
        <v>29380</v>
      </c>
      <c r="H5961" t="s">
        <v>29389</v>
      </c>
      <c r="I5961" t="s">
        <v>10408</v>
      </c>
      <c r="J5961" t="s">
        <v>33385</v>
      </c>
      <c r="K5961" t="s">
        <v>38518</v>
      </c>
      <c r="M5961" t="s">
        <v>40836</v>
      </c>
      <c r="N5961" t="s">
        <v>42669</v>
      </c>
      <c r="O5961" t="s">
        <v>42670</v>
      </c>
      <c r="P5961">
        <v>0</v>
      </c>
      <c r="Q5961">
        <v>0</v>
      </c>
      <c r="R5961" t="s">
        <v>42677</v>
      </c>
      <c r="S5961" t="s">
        <v>42830</v>
      </c>
      <c r="T5961" t="s">
        <v>44427</v>
      </c>
      <c r="U5961" t="s">
        <v>49450</v>
      </c>
      <c r="W5961" t="s">
        <v>40836</v>
      </c>
      <c r="X5961" t="s">
        <v>42678</v>
      </c>
    </row>
    <row r="5962" spans="1:24">
      <c r="A5962">
        <f>HYPERLINK("https://www.philgeps.gov.ph/GEPSNONPILOT/Tender/SplashBidNoticeAbstractUI.aspx?menuIndex=3&amp;refID=7183726&amp;Result=3","7183726")</f>
        <v>0</v>
      </c>
      <c r="B5962" t="s">
        <v>207</v>
      </c>
      <c r="C5962" t="s">
        <v>9227</v>
      </c>
      <c r="D5962" t="s">
        <v>17157</v>
      </c>
      <c r="E5962" t="s">
        <v>22405</v>
      </c>
      <c r="F5962" t="s">
        <v>29372</v>
      </c>
      <c r="G5962" t="s">
        <v>29380</v>
      </c>
      <c r="H5962" t="s">
        <v>29389</v>
      </c>
      <c r="I5962" t="s">
        <v>10408</v>
      </c>
      <c r="J5962" t="s">
        <v>33386</v>
      </c>
      <c r="K5962" t="s">
        <v>38518</v>
      </c>
      <c r="M5962" t="s">
        <v>40836</v>
      </c>
      <c r="N5962" t="s">
        <v>42669</v>
      </c>
      <c r="O5962" t="s">
        <v>42670</v>
      </c>
      <c r="P5962">
        <v>0</v>
      </c>
      <c r="Q5962">
        <v>0</v>
      </c>
      <c r="R5962" t="s">
        <v>42677</v>
      </c>
      <c r="S5962" t="s">
        <v>42830</v>
      </c>
      <c r="T5962" t="s">
        <v>44427</v>
      </c>
      <c r="U5962" t="s">
        <v>49450</v>
      </c>
      <c r="W5962" t="s">
        <v>40836</v>
      </c>
      <c r="X5962" t="s">
        <v>42678</v>
      </c>
    </row>
    <row r="5963" spans="1:24">
      <c r="A5963">
        <f>HYPERLINK("https://www.philgeps.gov.ph/GEPSNONPILOT/Tender/SplashBidNoticeAbstractUI.aspx?menuIndex=3&amp;refID=7183465&amp;Result=3","7183465")</f>
        <v>0</v>
      </c>
      <c r="B5963" t="s">
        <v>1945</v>
      </c>
      <c r="C5963" t="s">
        <v>9228</v>
      </c>
      <c r="D5963" t="s">
        <v>17216</v>
      </c>
      <c r="E5963" t="s">
        <v>22406</v>
      </c>
      <c r="F5963" t="s">
        <v>29372</v>
      </c>
      <c r="G5963" t="s">
        <v>29380</v>
      </c>
      <c r="H5963" t="s">
        <v>11048</v>
      </c>
      <c r="I5963" t="s">
        <v>3839</v>
      </c>
      <c r="J5963" t="s">
        <v>33387</v>
      </c>
      <c r="K5963" t="s">
        <v>38488</v>
      </c>
      <c r="M5963" t="s">
        <v>40827</v>
      </c>
      <c r="N5963" t="s">
        <v>42669</v>
      </c>
      <c r="O5963" t="s">
        <v>42670</v>
      </c>
      <c r="P5963">
        <v>0</v>
      </c>
      <c r="Q5963">
        <v>10</v>
      </c>
      <c r="R5963" t="s">
        <v>42677</v>
      </c>
      <c r="S5963" t="s">
        <v>42830</v>
      </c>
      <c r="T5963" t="s">
        <v>44417</v>
      </c>
      <c r="U5963" t="s">
        <v>49459</v>
      </c>
      <c r="W5963" t="s">
        <v>40827</v>
      </c>
      <c r="X5963" t="s">
        <v>42679</v>
      </c>
    </row>
    <row r="5964" spans="1:24">
      <c r="A5964">
        <f>HYPERLINK("https://www.philgeps.gov.ph/GEPSNONPILOT/Tender/SplashBidNoticeAbstractUI.aspx?menuIndex=3&amp;refID=7183722&amp;Result=3","7183722")</f>
        <v>0</v>
      </c>
      <c r="B5964" t="s">
        <v>1957</v>
      </c>
      <c r="C5964" t="s">
        <v>9229</v>
      </c>
      <c r="D5964" t="s">
        <v>17169</v>
      </c>
      <c r="E5964" t="s">
        <v>22407</v>
      </c>
      <c r="F5964" t="s">
        <v>29372</v>
      </c>
      <c r="G5964" t="s">
        <v>29379</v>
      </c>
      <c r="H5964" t="s">
        <v>29390</v>
      </c>
      <c r="I5964" t="s">
        <v>10408</v>
      </c>
      <c r="J5964" t="s">
        <v>33388</v>
      </c>
      <c r="K5964" t="s">
        <v>38517</v>
      </c>
      <c r="M5964" t="s">
        <v>40840</v>
      </c>
      <c r="N5964" t="s">
        <v>42669</v>
      </c>
      <c r="O5964" t="s">
        <v>42670</v>
      </c>
      <c r="P5964">
        <v>0</v>
      </c>
      <c r="Q5964">
        <v>0</v>
      </c>
      <c r="R5964" t="s">
        <v>42677</v>
      </c>
      <c r="S5964" t="s">
        <v>42830</v>
      </c>
      <c r="T5964" t="s">
        <v>44386</v>
      </c>
      <c r="U5964" t="s">
        <v>49716</v>
      </c>
      <c r="W5964" t="s">
        <v>40840</v>
      </c>
      <c r="X5964" t="s">
        <v>42678</v>
      </c>
    </row>
    <row r="5965" spans="1:24">
      <c r="A5965">
        <f>HYPERLINK("https://www.philgeps.gov.ph/GEPSNONPILOT/Tender/SplashBidNoticeAbstractUI.aspx?menuIndex=3&amp;refID=7183435&amp;Result=3","7183435")</f>
        <v>0</v>
      </c>
      <c r="B5965" t="s">
        <v>1945</v>
      </c>
      <c r="C5965" t="s">
        <v>9230</v>
      </c>
      <c r="D5965" t="s">
        <v>17216</v>
      </c>
      <c r="E5965" t="s">
        <v>22408</v>
      </c>
      <c r="F5965" t="s">
        <v>29372</v>
      </c>
      <c r="G5965" t="s">
        <v>29380</v>
      </c>
      <c r="H5965" t="s">
        <v>29389</v>
      </c>
      <c r="I5965" t="s">
        <v>10408</v>
      </c>
      <c r="J5965" t="s">
        <v>33389</v>
      </c>
      <c r="K5965" t="s">
        <v>38523</v>
      </c>
      <c r="M5965" t="s">
        <v>40827</v>
      </c>
      <c r="N5965" t="s">
        <v>42669</v>
      </c>
      <c r="O5965" t="s">
        <v>42670</v>
      </c>
      <c r="P5965">
        <v>0</v>
      </c>
      <c r="Q5965">
        <v>0</v>
      </c>
      <c r="R5965" t="s">
        <v>42677</v>
      </c>
      <c r="S5965" t="s">
        <v>42830</v>
      </c>
      <c r="T5965" t="s">
        <v>44417</v>
      </c>
      <c r="U5965" t="s">
        <v>49429</v>
      </c>
      <c r="W5965" t="s">
        <v>40827</v>
      </c>
      <c r="X5965" t="s">
        <v>42679</v>
      </c>
    </row>
    <row r="5966" spans="1:24">
      <c r="A5966">
        <f>HYPERLINK("https://www.philgeps.gov.ph/GEPSNONPILOT/Tender/SplashBidNoticeAbstractUI.aspx?menuIndex=3&amp;refID=7183478&amp;Result=3","7183478")</f>
        <v>0</v>
      </c>
      <c r="B5966" t="s">
        <v>1945</v>
      </c>
      <c r="C5966" t="s">
        <v>9231</v>
      </c>
      <c r="D5966" t="s">
        <v>17216</v>
      </c>
      <c r="E5966" t="s">
        <v>22409</v>
      </c>
      <c r="F5966" t="s">
        <v>29372</v>
      </c>
      <c r="G5966" t="s">
        <v>29380</v>
      </c>
      <c r="H5966" t="s">
        <v>11048</v>
      </c>
      <c r="I5966" t="s">
        <v>29393</v>
      </c>
      <c r="J5966" t="s">
        <v>33390</v>
      </c>
      <c r="K5966" t="s">
        <v>38485</v>
      </c>
      <c r="M5966" t="s">
        <v>40827</v>
      </c>
      <c r="N5966" t="s">
        <v>42669</v>
      </c>
      <c r="O5966" t="s">
        <v>42670</v>
      </c>
      <c r="P5966">
        <v>0</v>
      </c>
      <c r="Q5966">
        <v>0</v>
      </c>
      <c r="R5966" t="s">
        <v>42677</v>
      </c>
      <c r="S5966" t="s">
        <v>42830</v>
      </c>
      <c r="T5966" t="s">
        <v>44417</v>
      </c>
      <c r="U5966" t="s">
        <v>49459</v>
      </c>
      <c r="W5966" t="s">
        <v>40827</v>
      </c>
      <c r="X5966" t="s">
        <v>42679</v>
      </c>
    </row>
    <row r="5967" spans="1:24">
      <c r="A5967">
        <f>HYPERLINK("https://www.philgeps.gov.ph/GEPSNONPILOT/Tender/SplashBidNoticeAbstractUI.aspx?menuIndex=3&amp;refID=7183846&amp;Result=3","7183846")</f>
        <v>0</v>
      </c>
      <c r="B5967" t="s">
        <v>1612</v>
      </c>
      <c r="C5967" t="s">
        <v>9232</v>
      </c>
      <c r="D5967" t="s">
        <v>17153</v>
      </c>
      <c r="E5967" t="s">
        <v>19829</v>
      </c>
      <c r="F5967" t="s">
        <v>29372</v>
      </c>
      <c r="G5967" t="s">
        <v>29383</v>
      </c>
      <c r="H5967" t="s">
        <v>11048</v>
      </c>
      <c r="I5967" t="s">
        <v>5383</v>
      </c>
      <c r="J5967" t="s">
        <v>33391</v>
      </c>
      <c r="K5967" t="s">
        <v>38487</v>
      </c>
      <c r="M5967" t="s">
        <v>40465</v>
      </c>
      <c r="N5967" t="s">
        <v>42669</v>
      </c>
      <c r="O5967" t="s">
        <v>42670</v>
      </c>
      <c r="P5967">
        <v>0</v>
      </c>
      <c r="Q5967">
        <v>0</v>
      </c>
      <c r="R5967" t="s">
        <v>42677</v>
      </c>
      <c r="S5967" t="s">
        <v>42830</v>
      </c>
      <c r="T5967" t="s">
        <v>44401</v>
      </c>
      <c r="U5967" t="s">
        <v>49717</v>
      </c>
      <c r="W5967" t="s">
        <v>40465</v>
      </c>
      <c r="X5967" t="s">
        <v>42678</v>
      </c>
    </row>
    <row r="5968" spans="1:24">
      <c r="A5968">
        <f>HYPERLINK("https://www.philgeps.gov.ph/GEPSNONPILOT/Tender/SplashBidNoticeAbstractUI.aspx?menuIndex=3&amp;refID=7183419&amp;Result=3","7183419")</f>
        <v>0</v>
      </c>
      <c r="B5968" t="s">
        <v>1945</v>
      </c>
      <c r="C5968" t="s">
        <v>9233</v>
      </c>
      <c r="D5968" t="s">
        <v>17216</v>
      </c>
      <c r="E5968" t="s">
        <v>22410</v>
      </c>
      <c r="F5968" t="s">
        <v>29372</v>
      </c>
      <c r="G5968" t="s">
        <v>29380</v>
      </c>
      <c r="H5968" t="s">
        <v>29389</v>
      </c>
      <c r="I5968" t="s">
        <v>10408</v>
      </c>
      <c r="J5968" t="s">
        <v>33392</v>
      </c>
      <c r="K5968" t="s">
        <v>38496</v>
      </c>
      <c r="M5968" t="s">
        <v>40827</v>
      </c>
      <c r="N5968" t="s">
        <v>42669</v>
      </c>
      <c r="O5968" t="s">
        <v>42670</v>
      </c>
      <c r="P5968">
        <v>0</v>
      </c>
      <c r="Q5968">
        <v>4</v>
      </c>
      <c r="R5968" t="s">
        <v>42677</v>
      </c>
      <c r="S5968" t="s">
        <v>42830</v>
      </c>
      <c r="T5968" t="s">
        <v>44417</v>
      </c>
      <c r="U5968" t="s">
        <v>49429</v>
      </c>
      <c r="W5968" t="s">
        <v>40827</v>
      </c>
      <c r="X5968" t="s">
        <v>42679</v>
      </c>
    </row>
    <row r="5969" spans="1:24">
      <c r="A5969">
        <f>HYPERLINK("https://www.philgeps.gov.ph/GEPSNONPILOT/Tender/SplashBidNoticeAbstractUI.aspx?menuIndex=3&amp;refID=7184607&amp;Result=3","7184607")</f>
        <v>0</v>
      </c>
      <c r="B5969" t="s">
        <v>2047</v>
      </c>
      <c r="C5969" t="s">
        <v>9234</v>
      </c>
      <c r="D5969" t="s">
        <v>17189</v>
      </c>
      <c r="E5969" t="s">
        <v>22411</v>
      </c>
      <c r="F5969" t="s">
        <v>29372</v>
      </c>
      <c r="G5969" t="s">
        <v>29379</v>
      </c>
      <c r="H5969" t="s">
        <v>11048</v>
      </c>
      <c r="I5969" t="s">
        <v>8208</v>
      </c>
      <c r="J5969" t="s">
        <v>33393</v>
      </c>
      <c r="K5969" t="s">
        <v>38491</v>
      </c>
      <c r="M5969" t="s">
        <v>40945</v>
      </c>
      <c r="N5969" t="s">
        <v>42669</v>
      </c>
      <c r="O5969" t="s">
        <v>42670</v>
      </c>
      <c r="P5969">
        <v>0</v>
      </c>
      <c r="Q5969">
        <v>0</v>
      </c>
      <c r="R5969" t="s">
        <v>42677</v>
      </c>
      <c r="S5969" t="s">
        <v>42830</v>
      </c>
      <c r="T5969" t="s">
        <v>44488</v>
      </c>
      <c r="U5969" t="s">
        <v>49701</v>
      </c>
      <c r="W5969" t="s">
        <v>40945</v>
      </c>
      <c r="X5969" t="s">
        <v>42678</v>
      </c>
    </row>
    <row r="5970" spans="1:24">
      <c r="A5970">
        <f>HYPERLINK("https://www.philgeps.gov.ph/GEPSNONPILOT/Tender/SplashBidNoticeAbstractUI.aspx?menuIndex=3&amp;refID=7184600&amp;Result=3","7184600")</f>
        <v>0</v>
      </c>
      <c r="B5970" t="s">
        <v>1792</v>
      </c>
      <c r="C5970" t="s">
        <v>9235</v>
      </c>
      <c r="D5970" t="s">
        <v>17141</v>
      </c>
      <c r="E5970" t="s">
        <v>22412</v>
      </c>
      <c r="F5970" t="s">
        <v>29372</v>
      </c>
      <c r="G5970" t="s">
        <v>29379</v>
      </c>
      <c r="H5970" t="s">
        <v>11048</v>
      </c>
      <c r="I5970" t="s">
        <v>29424</v>
      </c>
      <c r="J5970" t="s">
        <v>33394</v>
      </c>
      <c r="K5970" t="s">
        <v>38488</v>
      </c>
      <c r="M5970" t="s">
        <v>40944</v>
      </c>
      <c r="N5970" t="s">
        <v>42669</v>
      </c>
      <c r="O5970" t="s">
        <v>42670</v>
      </c>
      <c r="P5970">
        <v>0</v>
      </c>
      <c r="Q5970">
        <v>1</v>
      </c>
      <c r="R5970" t="s">
        <v>42677</v>
      </c>
      <c r="S5970" t="s">
        <v>42830</v>
      </c>
      <c r="T5970" t="s">
        <v>44417</v>
      </c>
      <c r="U5970" t="s">
        <v>49718</v>
      </c>
      <c r="W5970" t="s">
        <v>40944</v>
      </c>
      <c r="X5970" t="s">
        <v>42678</v>
      </c>
    </row>
    <row r="5971" spans="1:24">
      <c r="A5971">
        <f>HYPERLINK("https://www.philgeps.gov.ph/GEPSNONPILOT/Tender/SplashBidNoticeAbstractUI.aspx?menuIndex=3&amp;refID=7184592&amp;Result=3","7184592")</f>
        <v>0</v>
      </c>
      <c r="B5971" t="s">
        <v>2047</v>
      </c>
      <c r="C5971" t="s">
        <v>9236</v>
      </c>
      <c r="D5971" t="s">
        <v>17189</v>
      </c>
      <c r="E5971" t="s">
        <v>22413</v>
      </c>
      <c r="F5971" t="s">
        <v>29372</v>
      </c>
      <c r="G5971" t="s">
        <v>29379</v>
      </c>
      <c r="H5971" t="s">
        <v>11048</v>
      </c>
      <c r="I5971" t="s">
        <v>29420</v>
      </c>
      <c r="J5971" t="s">
        <v>32014</v>
      </c>
      <c r="K5971" t="s">
        <v>38491</v>
      </c>
      <c r="M5971" t="s">
        <v>40945</v>
      </c>
      <c r="N5971" t="s">
        <v>42669</v>
      </c>
      <c r="O5971" t="s">
        <v>42670</v>
      </c>
      <c r="P5971">
        <v>0</v>
      </c>
      <c r="Q5971">
        <v>2</v>
      </c>
      <c r="R5971" t="s">
        <v>42677</v>
      </c>
      <c r="S5971" t="s">
        <v>42830</v>
      </c>
      <c r="T5971" t="s">
        <v>44488</v>
      </c>
      <c r="U5971" t="s">
        <v>49701</v>
      </c>
      <c r="W5971" t="s">
        <v>40945</v>
      </c>
      <c r="X5971" t="s">
        <v>42678</v>
      </c>
    </row>
    <row r="5972" spans="1:24">
      <c r="A5972">
        <f>HYPERLINK("https://www.philgeps.gov.ph/GEPSNONPILOT/Tender/SplashBidNoticeAbstractUI.aspx?menuIndex=3&amp;refID=7183463&amp;Result=3","7183463")</f>
        <v>0</v>
      </c>
      <c r="B5972" t="s">
        <v>2051</v>
      </c>
      <c r="C5972" t="s">
        <v>9237</v>
      </c>
      <c r="E5972" t="s">
        <v>18969</v>
      </c>
      <c r="F5972" t="s">
        <v>29372</v>
      </c>
      <c r="G5972" t="s">
        <v>29379</v>
      </c>
      <c r="H5972" t="s">
        <v>11048</v>
      </c>
      <c r="I5972" t="s">
        <v>29391</v>
      </c>
      <c r="J5972" t="s">
        <v>29988</v>
      </c>
      <c r="K5972" t="s">
        <v>38490</v>
      </c>
      <c r="M5972" t="s">
        <v>40949</v>
      </c>
      <c r="N5972" t="s">
        <v>42669</v>
      </c>
      <c r="O5972" t="s">
        <v>42670</v>
      </c>
      <c r="P5972">
        <v>0</v>
      </c>
      <c r="Q5972">
        <v>8</v>
      </c>
      <c r="R5972" t="s">
        <v>42677</v>
      </c>
      <c r="S5972" t="s">
        <v>42830</v>
      </c>
      <c r="T5972" t="s">
        <v>44401</v>
      </c>
      <c r="U5972" t="s">
        <v>49719</v>
      </c>
      <c r="W5972" t="s">
        <v>58067</v>
      </c>
      <c r="X5972" t="s">
        <v>42679</v>
      </c>
    </row>
    <row r="5973" spans="1:24">
      <c r="A5973">
        <f>HYPERLINK("https://www.philgeps.gov.ph/GEPSNONPILOT/Tender/SplashBidNoticeAbstractUI.aspx?menuIndex=3&amp;refID=7184582&amp;Result=3","7184582")</f>
        <v>0</v>
      </c>
      <c r="B5973" t="s">
        <v>1792</v>
      </c>
      <c r="C5973" t="s">
        <v>9238</v>
      </c>
      <c r="D5973" t="s">
        <v>17141</v>
      </c>
      <c r="E5973" t="s">
        <v>22414</v>
      </c>
      <c r="F5973" t="s">
        <v>29372</v>
      </c>
      <c r="G5973" t="s">
        <v>29379</v>
      </c>
      <c r="H5973" t="s">
        <v>11048</v>
      </c>
      <c r="I5973" t="s">
        <v>10408</v>
      </c>
      <c r="J5973" t="s">
        <v>33395</v>
      </c>
      <c r="K5973" t="s">
        <v>38488</v>
      </c>
      <c r="M5973" t="s">
        <v>40944</v>
      </c>
      <c r="N5973" t="s">
        <v>42669</v>
      </c>
      <c r="O5973" t="s">
        <v>42670</v>
      </c>
      <c r="P5973">
        <v>0</v>
      </c>
      <c r="Q5973">
        <v>1</v>
      </c>
      <c r="R5973" t="s">
        <v>42677</v>
      </c>
      <c r="S5973" t="s">
        <v>42830</v>
      </c>
      <c r="T5973" t="s">
        <v>44417</v>
      </c>
      <c r="U5973" t="s">
        <v>49720</v>
      </c>
      <c r="W5973" t="s">
        <v>40944</v>
      </c>
      <c r="X5973" t="s">
        <v>42678</v>
      </c>
    </row>
    <row r="5974" spans="1:24">
      <c r="A5974">
        <f>HYPERLINK("https://www.philgeps.gov.ph/GEPSNONPILOT/Tender/SplashBidNoticeAbstractUI.aspx?menuIndex=3&amp;refID=7184577&amp;Result=3","7184577")</f>
        <v>0</v>
      </c>
      <c r="B5974" t="s">
        <v>593</v>
      </c>
      <c r="C5974" t="s">
        <v>9239</v>
      </c>
      <c r="D5974" t="s">
        <v>17188</v>
      </c>
      <c r="E5974" t="s">
        <v>22415</v>
      </c>
      <c r="F5974" t="s">
        <v>29372</v>
      </c>
      <c r="G5974" t="s">
        <v>29383</v>
      </c>
      <c r="H5974" t="s">
        <v>11048</v>
      </c>
      <c r="I5974" t="s">
        <v>29418</v>
      </c>
      <c r="J5974" t="s">
        <v>33396</v>
      </c>
      <c r="K5974" t="s">
        <v>38510</v>
      </c>
      <c r="M5974" t="s">
        <v>39364</v>
      </c>
      <c r="N5974" t="s">
        <v>42669</v>
      </c>
      <c r="O5974" t="s">
        <v>42670</v>
      </c>
      <c r="P5974">
        <v>0</v>
      </c>
      <c r="Q5974">
        <v>1</v>
      </c>
      <c r="R5974" t="s">
        <v>42677</v>
      </c>
      <c r="S5974" t="s">
        <v>42830</v>
      </c>
      <c r="T5974" t="s">
        <v>44493</v>
      </c>
      <c r="U5974" t="s">
        <v>49721</v>
      </c>
      <c r="V5974" t="s">
        <v>57015</v>
      </c>
      <c r="W5974" t="s">
        <v>39364</v>
      </c>
      <c r="X5974" t="s">
        <v>42678</v>
      </c>
    </row>
    <row r="5975" spans="1:24">
      <c r="A5975">
        <f>HYPERLINK("https://www.philgeps.gov.ph/GEPSNONPILOT/Tender/SplashBidNoticeAbstractUI.aspx?menuIndex=3&amp;refID=7184615&amp;Result=3","7184615")</f>
        <v>0</v>
      </c>
      <c r="B5975" t="s">
        <v>2052</v>
      </c>
      <c r="C5975" t="s">
        <v>9240</v>
      </c>
      <c r="D5975" t="s">
        <v>17152</v>
      </c>
      <c r="E5975" t="s">
        <v>22416</v>
      </c>
      <c r="F5975" t="s">
        <v>29372</v>
      </c>
      <c r="G5975" t="s">
        <v>29380</v>
      </c>
      <c r="H5975" t="s">
        <v>11048</v>
      </c>
      <c r="I5975" t="s">
        <v>29423</v>
      </c>
      <c r="J5975" t="s">
        <v>29708</v>
      </c>
      <c r="K5975" t="s">
        <v>38490</v>
      </c>
      <c r="M5975" t="s">
        <v>40950</v>
      </c>
      <c r="N5975" t="s">
        <v>42669</v>
      </c>
      <c r="O5975" t="s">
        <v>42670</v>
      </c>
      <c r="P5975">
        <v>0</v>
      </c>
      <c r="Q5975">
        <v>2</v>
      </c>
      <c r="R5975" t="s">
        <v>42677</v>
      </c>
      <c r="S5975" t="s">
        <v>42830</v>
      </c>
      <c r="T5975" t="s">
        <v>44382</v>
      </c>
      <c r="U5975" t="s">
        <v>49722</v>
      </c>
      <c r="W5975" t="s">
        <v>40950</v>
      </c>
      <c r="X5975" t="s">
        <v>42678</v>
      </c>
    </row>
    <row r="5976" spans="1:24">
      <c r="A5976">
        <f>HYPERLINK("https://www.philgeps.gov.ph/GEPSNONPILOT/Tender/SplashBidNoticeAbstractUI.aspx?menuIndex=3&amp;refID=7183450&amp;Result=3","7183450")</f>
        <v>0</v>
      </c>
      <c r="B5976" t="s">
        <v>1945</v>
      </c>
      <c r="C5976" t="s">
        <v>9241</v>
      </c>
      <c r="D5976" t="s">
        <v>17216</v>
      </c>
      <c r="E5976" t="s">
        <v>22417</v>
      </c>
      <c r="F5976" t="s">
        <v>29372</v>
      </c>
      <c r="G5976" t="s">
        <v>29380</v>
      </c>
      <c r="H5976" t="s">
        <v>11048</v>
      </c>
      <c r="I5976" t="s">
        <v>29416</v>
      </c>
      <c r="J5976" t="s">
        <v>33397</v>
      </c>
      <c r="K5976" t="s">
        <v>38487</v>
      </c>
      <c r="M5976" t="s">
        <v>40827</v>
      </c>
      <c r="N5976" t="s">
        <v>42669</v>
      </c>
      <c r="O5976" t="s">
        <v>42670</v>
      </c>
      <c r="P5976">
        <v>0</v>
      </c>
      <c r="Q5976">
        <v>0</v>
      </c>
      <c r="R5976" t="s">
        <v>42677</v>
      </c>
      <c r="S5976" t="s">
        <v>42830</v>
      </c>
      <c r="T5976" t="s">
        <v>44417</v>
      </c>
      <c r="U5976" t="s">
        <v>49459</v>
      </c>
      <c r="W5976" t="s">
        <v>40827</v>
      </c>
      <c r="X5976" t="s">
        <v>42679</v>
      </c>
    </row>
    <row r="5977" spans="1:24">
      <c r="A5977">
        <f>HYPERLINK("https://www.philgeps.gov.ph/GEPSNONPILOT/Tender/SplashBidNoticeAbstractUI.aspx?menuIndex=3&amp;refID=7184571&amp;Result=3","7184571")</f>
        <v>0</v>
      </c>
      <c r="B5977" t="s">
        <v>2053</v>
      </c>
      <c r="C5977" t="s">
        <v>9242</v>
      </c>
      <c r="E5977" t="s">
        <v>22418</v>
      </c>
      <c r="F5977" t="s">
        <v>29372</v>
      </c>
      <c r="G5977" t="s">
        <v>29379</v>
      </c>
      <c r="H5977" t="s">
        <v>11048</v>
      </c>
      <c r="I5977" t="s">
        <v>3670</v>
      </c>
      <c r="J5977" t="s">
        <v>30093</v>
      </c>
      <c r="K5977" t="s">
        <v>38490</v>
      </c>
      <c r="M5977" t="s">
        <v>40951</v>
      </c>
      <c r="N5977" t="s">
        <v>42669</v>
      </c>
      <c r="O5977" t="s">
        <v>42670</v>
      </c>
      <c r="P5977">
        <v>0</v>
      </c>
      <c r="Q5977">
        <v>1</v>
      </c>
      <c r="R5977" t="s">
        <v>42677</v>
      </c>
      <c r="S5977" t="s">
        <v>42830</v>
      </c>
      <c r="T5977" t="s">
        <v>44401</v>
      </c>
      <c r="U5977" t="s">
        <v>49723</v>
      </c>
      <c r="W5977" t="s">
        <v>40951</v>
      </c>
      <c r="X5977" t="s">
        <v>42678</v>
      </c>
    </row>
    <row r="5978" spans="1:24">
      <c r="A5978">
        <f>HYPERLINK("https://www.philgeps.gov.ph/GEPSNONPILOT/Tender/SplashBidNoticeAbstractUI.aspx?menuIndex=3&amp;refID=7184574&amp;Result=3","7184574")</f>
        <v>0</v>
      </c>
      <c r="B5978" t="s">
        <v>2016</v>
      </c>
      <c r="C5978" t="s">
        <v>9243</v>
      </c>
      <c r="D5978" t="s">
        <v>17182</v>
      </c>
      <c r="E5978" t="s">
        <v>22419</v>
      </c>
      <c r="F5978" t="s">
        <v>29373</v>
      </c>
      <c r="G5978" t="s">
        <v>29380</v>
      </c>
      <c r="H5978" t="s">
        <v>29389</v>
      </c>
      <c r="I5978" t="s">
        <v>10408</v>
      </c>
      <c r="J5978" t="s">
        <v>33398</v>
      </c>
      <c r="K5978" t="s">
        <v>38495</v>
      </c>
      <c r="M5978" t="s">
        <v>40908</v>
      </c>
      <c r="N5978" t="s">
        <v>42669</v>
      </c>
      <c r="O5978" t="s">
        <v>42670</v>
      </c>
      <c r="P5978">
        <v>0</v>
      </c>
      <c r="Q5978">
        <v>24</v>
      </c>
      <c r="R5978" t="s">
        <v>42677</v>
      </c>
      <c r="S5978" t="s">
        <v>42830</v>
      </c>
      <c r="T5978" t="s">
        <v>44422</v>
      </c>
      <c r="U5978" t="s">
        <v>49724</v>
      </c>
      <c r="W5978" t="s">
        <v>40908</v>
      </c>
      <c r="X5978" t="s">
        <v>42678</v>
      </c>
    </row>
    <row r="5979" spans="1:24">
      <c r="A5979">
        <f>HYPERLINK("https://www.philgeps.gov.ph/GEPSNONPILOT/Tender/SplashBidNoticeAbstractUI.aspx?menuIndex=3&amp;refID=7184619&amp;Result=3","7184619")</f>
        <v>0</v>
      </c>
      <c r="B5979" t="s">
        <v>1168</v>
      </c>
      <c r="C5979" t="s">
        <v>9244</v>
      </c>
      <c r="D5979" t="s">
        <v>17156</v>
      </c>
      <c r="E5979" t="s">
        <v>22420</v>
      </c>
      <c r="F5979" t="s">
        <v>29372</v>
      </c>
      <c r="G5979" t="s">
        <v>29379</v>
      </c>
      <c r="H5979" t="s">
        <v>29390</v>
      </c>
      <c r="I5979" t="s">
        <v>29425</v>
      </c>
      <c r="J5979" t="s">
        <v>33399</v>
      </c>
      <c r="K5979" t="s">
        <v>38485</v>
      </c>
      <c r="M5979" t="s">
        <v>39983</v>
      </c>
      <c r="N5979" t="s">
        <v>42669</v>
      </c>
      <c r="O5979" t="s">
        <v>42670</v>
      </c>
      <c r="P5979">
        <v>0</v>
      </c>
      <c r="Q5979">
        <v>1</v>
      </c>
      <c r="R5979" t="s">
        <v>42677</v>
      </c>
      <c r="S5979" t="s">
        <v>42830</v>
      </c>
      <c r="T5979" t="s">
        <v>44397</v>
      </c>
      <c r="U5979" t="s">
        <v>49725</v>
      </c>
      <c r="W5979" t="s">
        <v>39983</v>
      </c>
      <c r="X5979" t="s">
        <v>42678</v>
      </c>
    </row>
    <row r="5980" spans="1:24">
      <c r="A5980">
        <f>HYPERLINK("https://www.philgeps.gov.ph/GEPSNONPILOT/Tender/SplashBidNoticeAbstractUI.aspx?menuIndex=3&amp;refID=7184572&amp;Result=3","7184572")</f>
        <v>0</v>
      </c>
      <c r="B5980" t="s">
        <v>2054</v>
      </c>
      <c r="C5980" t="s">
        <v>9245</v>
      </c>
      <c r="D5980" t="s">
        <v>17194</v>
      </c>
      <c r="E5980" t="s">
        <v>22421</v>
      </c>
      <c r="F5980" t="s">
        <v>29372</v>
      </c>
      <c r="G5980" t="s">
        <v>29382</v>
      </c>
      <c r="H5980" t="s">
        <v>11048</v>
      </c>
      <c r="I5980" t="s">
        <v>29398</v>
      </c>
      <c r="J5980" t="s">
        <v>29708</v>
      </c>
      <c r="K5980" t="s">
        <v>38485</v>
      </c>
      <c r="M5980" t="s">
        <v>40952</v>
      </c>
      <c r="N5980" t="s">
        <v>42669</v>
      </c>
      <c r="O5980" t="s">
        <v>42670</v>
      </c>
      <c r="P5980">
        <v>0</v>
      </c>
      <c r="Q5980">
        <v>14</v>
      </c>
      <c r="R5980" t="s">
        <v>42677</v>
      </c>
      <c r="S5980" t="s">
        <v>42830</v>
      </c>
      <c r="T5980" t="s">
        <v>44432</v>
      </c>
      <c r="U5980" t="s">
        <v>49726</v>
      </c>
      <c r="V5980" t="s">
        <v>56676</v>
      </c>
      <c r="W5980" t="s">
        <v>40952</v>
      </c>
      <c r="X5980" t="s">
        <v>42678</v>
      </c>
    </row>
    <row r="5981" spans="1:24">
      <c r="A5981">
        <f>HYPERLINK("https://www.philgeps.gov.ph/GEPSNONPILOT/Tender/SplashBidNoticeAbstractUI.aspx?menuIndex=3&amp;refID=7184668&amp;Result=3","7184668")</f>
        <v>0</v>
      </c>
      <c r="B5981" t="s">
        <v>2036</v>
      </c>
      <c r="C5981" t="s">
        <v>9246</v>
      </c>
      <c r="D5981" t="s">
        <v>17228</v>
      </c>
      <c r="E5981" t="s">
        <v>22422</v>
      </c>
      <c r="F5981" t="s">
        <v>29372</v>
      </c>
      <c r="G5981" t="s">
        <v>29380</v>
      </c>
      <c r="H5981" t="s">
        <v>11048</v>
      </c>
      <c r="I5981" t="s">
        <v>3839</v>
      </c>
      <c r="J5981" t="s">
        <v>33400</v>
      </c>
      <c r="K5981" t="s">
        <v>38489</v>
      </c>
      <c r="M5981" t="s">
        <v>40932</v>
      </c>
      <c r="N5981" t="s">
        <v>42669</v>
      </c>
      <c r="O5981" t="s">
        <v>42670</v>
      </c>
      <c r="P5981">
        <v>0</v>
      </c>
      <c r="Q5981">
        <v>2</v>
      </c>
      <c r="R5981" t="s">
        <v>42677</v>
      </c>
      <c r="S5981" t="s">
        <v>42830</v>
      </c>
      <c r="T5981" t="s">
        <v>44707</v>
      </c>
      <c r="U5981" t="s">
        <v>49727</v>
      </c>
      <c r="W5981" t="s">
        <v>40932</v>
      </c>
      <c r="X5981" t="s">
        <v>42678</v>
      </c>
    </row>
    <row r="5982" spans="1:24">
      <c r="A5982">
        <f>HYPERLINK("https://www.philgeps.gov.ph/GEPSNONPILOT/Tender/SplashBidNoticeAbstractUI.aspx?menuIndex=3&amp;refID=7184667&amp;Result=3","7184667")</f>
        <v>0</v>
      </c>
      <c r="B5982" t="s">
        <v>790</v>
      </c>
      <c r="C5982" t="s">
        <v>9247</v>
      </c>
      <c r="E5982" t="s">
        <v>22423</v>
      </c>
      <c r="F5982" t="s">
        <v>29372</v>
      </c>
      <c r="G5982" t="s">
        <v>29380</v>
      </c>
      <c r="H5982" t="s">
        <v>29389</v>
      </c>
      <c r="I5982" t="s">
        <v>10408</v>
      </c>
      <c r="J5982" t="s">
        <v>33401</v>
      </c>
      <c r="K5982" t="s">
        <v>38530</v>
      </c>
      <c r="M5982" t="s">
        <v>39574</v>
      </c>
      <c r="N5982" t="s">
        <v>42669</v>
      </c>
      <c r="O5982" t="s">
        <v>42670</v>
      </c>
      <c r="P5982">
        <v>0</v>
      </c>
      <c r="Q5982">
        <v>0</v>
      </c>
      <c r="R5982" t="s">
        <v>42677</v>
      </c>
      <c r="S5982" t="s">
        <v>42830</v>
      </c>
      <c r="T5982" t="s">
        <v>44542</v>
      </c>
      <c r="U5982" t="s">
        <v>49728</v>
      </c>
      <c r="W5982" t="s">
        <v>39574</v>
      </c>
      <c r="X5982" t="s">
        <v>42678</v>
      </c>
    </row>
    <row r="5983" spans="1:24">
      <c r="A5983">
        <f>HYPERLINK("https://www.philgeps.gov.ph/GEPSNONPILOT/Tender/SplashBidNoticeAbstractUI.aspx?menuIndex=3&amp;refID=7184534&amp;Result=3","7184534")</f>
        <v>0</v>
      </c>
      <c r="B5983" t="s">
        <v>2042</v>
      </c>
      <c r="C5983" t="s">
        <v>9248</v>
      </c>
      <c r="D5983" t="s">
        <v>17156</v>
      </c>
      <c r="E5983" t="s">
        <v>19316</v>
      </c>
      <c r="F5983" t="s">
        <v>29372</v>
      </c>
      <c r="G5983" t="s">
        <v>29380</v>
      </c>
      <c r="H5983" t="s">
        <v>11048</v>
      </c>
      <c r="I5983" t="s">
        <v>10408</v>
      </c>
      <c r="J5983" t="s">
        <v>33402</v>
      </c>
      <c r="K5983" t="s">
        <v>38485</v>
      </c>
      <c r="M5983" t="s">
        <v>40939</v>
      </c>
      <c r="N5983" t="s">
        <v>42669</v>
      </c>
      <c r="O5983" t="s">
        <v>42670</v>
      </c>
      <c r="P5983">
        <v>0</v>
      </c>
      <c r="Q5983">
        <v>1</v>
      </c>
      <c r="R5983" t="s">
        <v>42677</v>
      </c>
      <c r="S5983" t="s">
        <v>42830</v>
      </c>
      <c r="T5983" t="s">
        <v>44527</v>
      </c>
      <c r="U5983" t="s">
        <v>49729</v>
      </c>
      <c r="W5983" t="s">
        <v>40939</v>
      </c>
      <c r="X5983" t="s">
        <v>42678</v>
      </c>
    </row>
    <row r="5984" spans="1:24">
      <c r="A5984">
        <f>HYPERLINK("https://www.philgeps.gov.ph/GEPSNONPILOT/Tender/SplashBidNoticeAbstractUI.aspx?menuIndex=3&amp;refID=7184664&amp;Result=3","7184664")</f>
        <v>0</v>
      </c>
      <c r="B5984" t="s">
        <v>1780</v>
      </c>
      <c r="C5984" t="s">
        <v>9249</v>
      </c>
      <c r="D5984" t="s">
        <v>17174</v>
      </c>
      <c r="E5984" t="s">
        <v>22424</v>
      </c>
      <c r="F5984" t="s">
        <v>29372</v>
      </c>
      <c r="G5984" t="s">
        <v>29379</v>
      </c>
      <c r="H5984" t="s">
        <v>11048</v>
      </c>
      <c r="I5984" t="s">
        <v>6417</v>
      </c>
      <c r="J5984" t="s">
        <v>29752</v>
      </c>
      <c r="K5984" t="s">
        <v>38485</v>
      </c>
      <c r="M5984" t="s">
        <v>40648</v>
      </c>
      <c r="N5984" t="s">
        <v>42669</v>
      </c>
      <c r="O5984" t="s">
        <v>42670</v>
      </c>
      <c r="P5984">
        <v>0</v>
      </c>
      <c r="Q5984">
        <v>0</v>
      </c>
      <c r="R5984" t="s">
        <v>42677</v>
      </c>
      <c r="S5984" t="s">
        <v>42830</v>
      </c>
      <c r="T5984" t="s">
        <v>44512</v>
      </c>
      <c r="U5984" t="s">
        <v>49730</v>
      </c>
      <c r="V5984" t="s">
        <v>57016</v>
      </c>
      <c r="W5984" t="s">
        <v>40648</v>
      </c>
      <c r="X5984" t="s">
        <v>42678</v>
      </c>
    </row>
    <row r="5985" spans="1:24">
      <c r="A5985">
        <f>HYPERLINK("https://www.philgeps.gov.ph/GEPSNONPILOT/Tender/SplashBidNoticeAbstractUI.aspx?menuIndex=3&amp;refID=7184569&amp;Result=3","7184569")</f>
        <v>0</v>
      </c>
      <c r="B5985" t="s">
        <v>2055</v>
      </c>
      <c r="C5985" t="s">
        <v>9250</v>
      </c>
      <c r="D5985" t="s">
        <v>17222</v>
      </c>
      <c r="E5985" t="s">
        <v>22425</v>
      </c>
      <c r="F5985" t="s">
        <v>29372</v>
      </c>
      <c r="G5985" t="s">
        <v>29383</v>
      </c>
      <c r="H5985" t="s">
        <v>11048</v>
      </c>
      <c r="I5985" t="s">
        <v>4486</v>
      </c>
      <c r="J5985" t="s">
        <v>30388</v>
      </c>
      <c r="K5985" t="s">
        <v>38488</v>
      </c>
      <c r="M5985" t="s">
        <v>40953</v>
      </c>
      <c r="N5985" t="s">
        <v>42669</v>
      </c>
      <c r="O5985" t="s">
        <v>42670</v>
      </c>
      <c r="P5985">
        <v>0</v>
      </c>
      <c r="Q5985">
        <v>1</v>
      </c>
      <c r="R5985" t="s">
        <v>42677</v>
      </c>
      <c r="S5985" t="s">
        <v>42830</v>
      </c>
      <c r="T5985" t="s">
        <v>44708</v>
      </c>
      <c r="U5985" t="s">
        <v>49731</v>
      </c>
      <c r="W5985" t="s">
        <v>40953</v>
      </c>
      <c r="X5985" t="s">
        <v>42678</v>
      </c>
    </row>
    <row r="5986" spans="1:24">
      <c r="A5986">
        <f>HYPERLINK("https://www.philgeps.gov.ph/GEPSNONPILOT/Tender/SplashBidNoticeAbstractUI.aspx?menuIndex=3&amp;refID=7184588&amp;Result=3","7184588")</f>
        <v>0</v>
      </c>
      <c r="B5986" t="s">
        <v>1397</v>
      </c>
      <c r="C5986" t="s">
        <v>9251</v>
      </c>
      <c r="D5986" t="s">
        <v>17213</v>
      </c>
      <c r="E5986" t="s">
        <v>22426</v>
      </c>
      <c r="F5986" t="s">
        <v>29372</v>
      </c>
      <c r="G5986" t="s">
        <v>29384</v>
      </c>
      <c r="H5986" t="s">
        <v>29390</v>
      </c>
      <c r="I5986" t="s">
        <v>29427</v>
      </c>
      <c r="J5986" t="s">
        <v>29708</v>
      </c>
      <c r="K5986" t="s">
        <v>38485</v>
      </c>
      <c r="M5986" t="s">
        <v>40236</v>
      </c>
      <c r="N5986" t="s">
        <v>42669</v>
      </c>
      <c r="O5986" t="s">
        <v>42670</v>
      </c>
      <c r="P5986">
        <v>0</v>
      </c>
      <c r="Q5986">
        <v>1</v>
      </c>
      <c r="R5986" t="s">
        <v>42677</v>
      </c>
      <c r="S5986" t="s">
        <v>42830</v>
      </c>
      <c r="T5986" t="s">
        <v>44365</v>
      </c>
      <c r="U5986" t="s">
        <v>49732</v>
      </c>
      <c r="W5986" t="s">
        <v>40236</v>
      </c>
      <c r="X5986" t="s">
        <v>42678</v>
      </c>
    </row>
    <row r="5987" spans="1:24">
      <c r="A5987">
        <f>HYPERLINK("https://www.philgeps.gov.ph/GEPSNONPILOT/Tender/SplashBidNoticeAbstractUI.aspx?menuIndex=3&amp;refID=7184654&amp;Result=3","7184654")</f>
        <v>0</v>
      </c>
      <c r="B5987" t="s">
        <v>2016</v>
      </c>
      <c r="C5987" t="s">
        <v>9252</v>
      </c>
      <c r="D5987" t="s">
        <v>17182</v>
      </c>
      <c r="E5987" t="s">
        <v>17579</v>
      </c>
      <c r="F5987" t="s">
        <v>29373</v>
      </c>
      <c r="G5987" t="s">
        <v>29380</v>
      </c>
      <c r="H5987" t="s">
        <v>29389</v>
      </c>
      <c r="I5987" t="s">
        <v>10408</v>
      </c>
      <c r="J5987" t="s">
        <v>33403</v>
      </c>
      <c r="K5987" t="s">
        <v>38496</v>
      </c>
      <c r="M5987" t="s">
        <v>40908</v>
      </c>
      <c r="N5987" t="s">
        <v>42669</v>
      </c>
      <c r="O5987" t="s">
        <v>42670</v>
      </c>
      <c r="P5987">
        <v>0</v>
      </c>
      <c r="Q5987">
        <v>24</v>
      </c>
      <c r="R5987" t="s">
        <v>42677</v>
      </c>
      <c r="S5987" t="s">
        <v>42830</v>
      </c>
      <c r="T5987" t="s">
        <v>44422</v>
      </c>
      <c r="U5987" t="s">
        <v>49733</v>
      </c>
      <c r="W5987" t="s">
        <v>40908</v>
      </c>
      <c r="X5987" t="s">
        <v>42678</v>
      </c>
    </row>
    <row r="5988" spans="1:24">
      <c r="A5988">
        <f>HYPERLINK("https://www.philgeps.gov.ph/GEPSNONPILOT/Tender/SplashBidNoticeAbstractUI.aspx?menuIndex=3&amp;refID=7184489&amp;Result=3","7184489")</f>
        <v>0</v>
      </c>
      <c r="B5988" t="s">
        <v>2029</v>
      </c>
      <c r="C5988" t="s">
        <v>9253</v>
      </c>
      <c r="E5988" t="s">
        <v>22427</v>
      </c>
      <c r="F5988" t="s">
        <v>29372</v>
      </c>
      <c r="G5988" t="s">
        <v>29380</v>
      </c>
      <c r="H5988" t="s">
        <v>11048</v>
      </c>
      <c r="I5988" t="s">
        <v>29396</v>
      </c>
      <c r="J5988" t="s">
        <v>33404</v>
      </c>
      <c r="K5988" t="s">
        <v>38490</v>
      </c>
      <c r="M5988" t="s">
        <v>40924</v>
      </c>
      <c r="N5988" t="s">
        <v>42669</v>
      </c>
      <c r="O5988" t="s">
        <v>42670</v>
      </c>
      <c r="P5988">
        <v>0</v>
      </c>
      <c r="Q5988">
        <v>3</v>
      </c>
      <c r="R5988" t="s">
        <v>42677</v>
      </c>
      <c r="S5988" t="s">
        <v>42830</v>
      </c>
      <c r="T5988" t="s">
        <v>44449</v>
      </c>
      <c r="U5988" t="s">
        <v>49734</v>
      </c>
      <c r="W5988" t="s">
        <v>40924</v>
      </c>
      <c r="X5988" t="s">
        <v>42678</v>
      </c>
    </row>
    <row r="5989" spans="1:24">
      <c r="A5989">
        <f>HYPERLINK("https://www.philgeps.gov.ph/GEPSNONPILOT/Tender/SplashBidNoticeAbstractUI.aspx?menuIndex=3&amp;refID=7184651&amp;Result=3","7184651")</f>
        <v>0</v>
      </c>
      <c r="B5989" t="s">
        <v>398</v>
      </c>
      <c r="C5989" t="s">
        <v>9254</v>
      </c>
      <c r="D5989" t="s">
        <v>17151</v>
      </c>
      <c r="E5989" t="s">
        <v>22428</v>
      </c>
      <c r="F5989" t="s">
        <v>29372</v>
      </c>
      <c r="G5989" t="s">
        <v>29380</v>
      </c>
      <c r="H5989" t="s">
        <v>11048</v>
      </c>
      <c r="I5989" t="s">
        <v>4709</v>
      </c>
      <c r="J5989" t="s">
        <v>33405</v>
      </c>
      <c r="K5989" t="s">
        <v>38538</v>
      </c>
      <c r="M5989" t="s">
        <v>39161</v>
      </c>
      <c r="N5989" t="s">
        <v>42669</v>
      </c>
      <c r="O5989" t="s">
        <v>42670</v>
      </c>
      <c r="P5989">
        <v>0</v>
      </c>
      <c r="Q5989">
        <v>1</v>
      </c>
      <c r="R5989" t="s">
        <v>42677</v>
      </c>
      <c r="S5989" t="s">
        <v>42830</v>
      </c>
      <c r="T5989" t="s">
        <v>44678</v>
      </c>
      <c r="U5989" t="s">
        <v>49735</v>
      </c>
      <c r="V5989" t="s">
        <v>56450</v>
      </c>
      <c r="W5989" t="s">
        <v>39161</v>
      </c>
      <c r="X5989" t="s">
        <v>42678</v>
      </c>
    </row>
    <row r="5990" spans="1:24">
      <c r="A5990">
        <f>HYPERLINK("https://www.philgeps.gov.ph/GEPSNONPILOT/Tender/SplashBidNoticeAbstractUI.aspx?menuIndex=3&amp;refID=7184570&amp;Result=3","7184570")</f>
        <v>0</v>
      </c>
      <c r="B5990" t="s">
        <v>2047</v>
      </c>
      <c r="C5990" t="s">
        <v>9255</v>
      </c>
      <c r="D5990" t="s">
        <v>17189</v>
      </c>
      <c r="E5990" t="s">
        <v>22429</v>
      </c>
      <c r="F5990" t="s">
        <v>29372</v>
      </c>
      <c r="G5990" t="s">
        <v>29379</v>
      </c>
      <c r="H5990" t="s">
        <v>11048</v>
      </c>
      <c r="I5990" t="s">
        <v>3839</v>
      </c>
      <c r="J5990" t="s">
        <v>33406</v>
      </c>
      <c r="K5990" t="s">
        <v>38491</v>
      </c>
      <c r="M5990" t="s">
        <v>40945</v>
      </c>
      <c r="N5990" t="s">
        <v>42669</v>
      </c>
      <c r="O5990" t="s">
        <v>42670</v>
      </c>
      <c r="P5990">
        <v>0</v>
      </c>
      <c r="Q5990">
        <v>2</v>
      </c>
      <c r="R5990" t="s">
        <v>42677</v>
      </c>
      <c r="S5990" t="s">
        <v>42830</v>
      </c>
      <c r="T5990" t="s">
        <v>44488</v>
      </c>
      <c r="U5990" t="s">
        <v>49701</v>
      </c>
      <c r="W5990" t="s">
        <v>40945</v>
      </c>
      <c r="X5990" t="s">
        <v>42678</v>
      </c>
    </row>
    <row r="5991" spans="1:24">
      <c r="A5991">
        <f>HYPERLINK("https://www.philgeps.gov.ph/GEPSNONPILOT/Tender/SplashBidNoticeAbstractUI.aspx?menuIndex=3&amp;refID=7184640&amp;Result=3","7184640")</f>
        <v>0</v>
      </c>
      <c r="B5991" t="s">
        <v>2036</v>
      </c>
      <c r="C5991" t="s">
        <v>9256</v>
      </c>
      <c r="D5991" t="s">
        <v>17228</v>
      </c>
      <c r="E5991" t="s">
        <v>22430</v>
      </c>
      <c r="F5991" t="s">
        <v>29372</v>
      </c>
      <c r="G5991" t="s">
        <v>29380</v>
      </c>
      <c r="H5991" t="s">
        <v>29389</v>
      </c>
      <c r="I5991" t="s">
        <v>10408</v>
      </c>
      <c r="J5991" t="s">
        <v>29604</v>
      </c>
      <c r="K5991" t="s">
        <v>38485</v>
      </c>
      <c r="M5991" t="s">
        <v>40932</v>
      </c>
      <c r="N5991" t="s">
        <v>42669</v>
      </c>
      <c r="O5991" t="s">
        <v>42670</v>
      </c>
      <c r="P5991">
        <v>0</v>
      </c>
      <c r="Q5991">
        <v>0</v>
      </c>
      <c r="R5991" t="s">
        <v>42677</v>
      </c>
      <c r="S5991" t="s">
        <v>42830</v>
      </c>
      <c r="T5991" t="s">
        <v>44707</v>
      </c>
      <c r="U5991" t="s">
        <v>49727</v>
      </c>
      <c r="W5991" t="s">
        <v>40932</v>
      </c>
      <c r="X5991" t="s">
        <v>42678</v>
      </c>
    </row>
    <row r="5992" spans="1:24">
      <c r="A5992">
        <f>HYPERLINK("https://www.philgeps.gov.ph/GEPSNONPILOT/Tender/SplashBidNoticeAbstractUI.aspx?menuIndex=3&amp;refID=7184594&amp;Result=3","7184594")</f>
        <v>0</v>
      </c>
      <c r="B5992" t="s">
        <v>2032</v>
      </c>
      <c r="C5992" t="s">
        <v>9257</v>
      </c>
      <c r="D5992" t="s">
        <v>17163</v>
      </c>
      <c r="E5992" t="s">
        <v>22431</v>
      </c>
      <c r="F5992" t="s">
        <v>29372</v>
      </c>
      <c r="G5992" t="s">
        <v>29379</v>
      </c>
      <c r="H5992" t="s">
        <v>11048</v>
      </c>
      <c r="I5992" t="s">
        <v>4709</v>
      </c>
      <c r="J5992" t="s">
        <v>29526</v>
      </c>
      <c r="K5992" t="s">
        <v>38581</v>
      </c>
      <c r="M5992" t="s">
        <v>40928</v>
      </c>
      <c r="N5992" t="s">
        <v>42669</v>
      </c>
      <c r="O5992" t="s">
        <v>42670</v>
      </c>
      <c r="P5992">
        <v>0</v>
      </c>
      <c r="Q5992">
        <v>0</v>
      </c>
      <c r="R5992" t="s">
        <v>42677</v>
      </c>
      <c r="S5992" t="s">
        <v>42830</v>
      </c>
      <c r="T5992" t="s">
        <v>44429</v>
      </c>
      <c r="U5992" t="s">
        <v>49736</v>
      </c>
      <c r="W5992" t="s">
        <v>40928</v>
      </c>
      <c r="X5992" t="s">
        <v>42678</v>
      </c>
    </row>
    <row r="5993" spans="1:24">
      <c r="A5993">
        <f>HYPERLINK("https://www.philgeps.gov.ph/GEPSNONPILOT/Tender/SplashBidNoticeAbstractUI.aspx?menuIndex=3&amp;refID=7184637&amp;Result=3","7184637")</f>
        <v>0</v>
      </c>
      <c r="B5993" t="s">
        <v>2047</v>
      </c>
      <c r="C5993" t="s">
        <v>9258</v>
      </c>
      <c r="D5993" t="s">
        <v>17189</v>
      </c>
      <c r="E5993" t="s">
        <v>22432</v>
      </c>
      <c r="F5993" t="s">
        <v>29372</v>
      </c>
      <c r="G5993" t="s">
        <v>29379</v>
      </c>
      <c r="H5993" t="s">
        <v>11048</v>
      </c>
      <c r="I5993" t="s">
        <v>5383</v>
      </c>
      <c r="J5993" t="s">
        <v>33407</v>
      </c>
      <c r="K5993" t="s">
        <v>38491</v>
      </c>
      <c r="M5993" t="s">
        <v>40945</v>
      </c>
      <c r="N5993" t="s">
        <v>42669</v>
      </c>
      <c r="O5993" t="s">
        <v>42670</v>
      </c>
      <c r="P5993">
        <v>0</v>
      </c>
      <c r="Q5993">
        <v>4</v>
      </c>
      <c r="R5993" t="s">
        <v>42677</v>
      </c>
      <c r="S5993" t="s">
        <v>42830</v>
      </c>
      <c r="T5993" t="s">
        <v>44488</v>
      </c>
      <c r="U5993" t="s">
        <v>49701</v>
      </c>
      <c r="W5993" t="s">
        <v>40945</v>
      </c>
      <c r="X5993" t="s">
        <v>42678</v>
      </c>
    </row>
    <row r="5994" spans="1:24">
      <c r="A5994">
        <f>HYPERLINK("https://www.philgeps.gov.ph/GEPSNONPILOT/Tender/SplashBidNoticeAbstractUI.aspx?menuIndex=3&amp;refID=7184631&amp;Result=3","7184631")</f>
        <v>0</v>
      </c>
      <c r="B5994" t="s">
        <v>2047</v>
      </c>
      <c r="C5994" t="s">
        <v>9259</v>
      </c>
      <c r="D5994" t="s">
        <v>17189</v>
      </c>
      <c r="E5994" t="s">
        <v>22433</v>
      </c>
      <c r="F5994" t="s">
        <v>29372</v>
      </c>
      <c r="G5994" t="s">
        <v>29379</v>
      </c>
      <c r="H5994" t="s">
        <v>11048</v>
      </c>
      <c r="I5994" t="s">
        <v>4709</v>
      </c>
      <c r="J5994" t="s">
        <v>33408</v>
      </c>
      <c r="K5994" t="s">
        <v>38491</v>
      </c>
      <c r="M5994" t="s">
        <v>40945</v>
      </c>
      <c r="N5994" t="s">
        <v>42669</v>
      </c>
      <c r="O5994" t="s">
        <v>42670</v>
      </c>
      <c r="P5994">
        <v>0</v>
      </c>
      <c r="Q5994">
        <v>0</v>
      </c>
      <c r="R5994" t="s">
        <v>42677</v>
      </c>
      <c r="S5994" t="s">
        <v>42830</v>
      </c>
      <c r="T5994" t="s">
        <v>44488</v>
      </c>
      <c r="U5994" t="s">
        <v>49701</v>
      </c>
      <c r="W5994" t="s">
        <v>40945</v>
      </c>
      <c r="X5994" t="s">
        <v>42678</v>
      </c>
    </row>
    <row r="5995" spans="1:24">
      <c r="A5995">
        <f>HYPERLINK("https://www.philgeps.gov.ph/GEPSNONPILOT/Tender/SplashBidNoticeAbstractUI.aspx?menuIndex=3&amp;refID=7184661&amp;Result=3","7184661")</f>
        <v>0</v>
      </c>
      <c r="B5995" t="s">
        <v>2047</v>
      </c>
      <c r="C5995" t="s">
        <v>9260</v>
      </c>
      <c r="D5995" t="s">
        <v>17189</v>
      </c>
      <c r="E5995" t="s">
        <v>22434</v>
      </c>
      <c r="F5995" t="s">
        <v>29372</v>
      </c>
      <c r="G5995" t="s">
        <v>29379</v>
      </c>
      <c r="H5995" t="s">
        <v>11048</v>
      </c>
      <c r="I5995" t="s">
        <v>4709</v>
      </c>
      <c r="J5995" t="s">
        <v>33409</v>
      </c>
      <c r="K5995" t="s">
        <v>38491</v>
      </c>
      <c r="M5995" t="s">
        <v>40945</v>
      </c>
      <c r="N5995" t="s">
        <v>42669</v>
      </c>
      <c r="O5995" t="s">
        <v>42670</v>
      </c>
      <c r="P5995">
        <v>0</v>
      </c>
      <c r="Q5995">
        <v>1</v>
      </c>
      <c r="R5995" t="s">
        <v>42677</v>
      </c>
      <c r="S5995" t="s">
        <v>42830</v>
      </c>
      <c r="T5995" t="s">
        <v>44488</v>
      </c>
      <c r="U5995" t="s">
        <v>49701</v>
      </c>
      <c r="W5995" t="s">
        <v>40945</v>
      </c>
      <c r="X5995" t="s">
        <v>42678</v>
      </c>
    </row>
    <row r="5996" spans="1:24">
      <c r="A5996">
        <f>HYPERLINK("https://www.philgeps.gov.ph/GEPSNONPILOT/Tender/SplashBidNoticeAbstractUI.aspx?menuIndex=3&amp;refID=7184630&amp;Result=3","7184630")</f>
        <v>0</v>
      </c>
      <c r="B5996" t="s">
        <v>1761</v>
      </c>
      <c r="C5996" t="s">
        <v>9261</v>
      </c>
      <c r="D5996" t="s">
        <v>17141</v>
      </c>
      <c r="E5996" t="s">
        <v>22435</v>
      </c>
      <c r="F5996" t="s">
        <v>29372</v>
      </c>
      <c r="G5996" t="s">
        <v>29379</v>
      </c>
      <c r="H5996" t="s">
        <v>11048</v>
      </c>
      <c r="I5996" t="s">
        <v>10408</v>
      </c>
      <c r="J5996" t="s">
        <v>33410</v>
      </c>
      <c r="K5996" t="s">
        <v>38491</v>
      </c>
      <c r="M5996" t="s">
        <v>40628</v>
      </c>
      <c r="N5996" t="s">
        <v>42669</v>
      </c>
      <c r="O5996" t="s">
        <v>42670</v>
      </c>
      <c r="P5996">
        <v>0</v>
      </c>
      <c r="Q5996">
        <v>5</v>
      </c>
      <c r="R5996" t="s">
        <v>42677</v>
      </c>
      <c r="S5996" t="s">
        <v>42830</v>
      </c>
      <c r="T5996" t="s">
        <v>44491</v>
      </c>
      <c r="U5996" t="s">
        <v>49737</v>
      </c>
      <c r="W5996" t="s">
        <v>58056</v>
      </c>
      <c r="X5996" t="s">
        <v>42678</v>
      </c>
    </row>
    <row r="5997" spans="1:24">
      <c r="A5997">
        <f>HYPERLINK("https://www.philgeps.gov.ph/GEPSNONPILOT/Tender/SplashBidNoticeAbstractUI.aspx?menuIndex=3&amp;refID=7184655&amp;Result=3","7184655")</f>
        <v>0</v>
      </c>
      <c r="B5997" t="s">
        <v>798</v>
      </c>
      <c r="C5997" t="s">
        <v>9262</v>
      </c>
      <c r="D5997" t="s">
        <v>17188</v>
      </c>
      <c r="E5997" t="s">
        <v>22436</v>
      </c>
      <c r="F5997" t="s">
        <v>29372</v>
      </c>
      <c r="G5997" t="s">
        <v>29383</v>
      </c>
      <c r="H5997" t="s">
        <v>11048</v>
      </c>
      <c r="I5997" t="s">
        <v>29424</v>
      </c>
      <c r="J5997" t="s">
        <v>29555</v>
      </c>
      <c r="K5997" t="s">
        <v>38490</v>
      </c>
      <c r="M5997" t="s">
        <v>39582</v>
      </c>
      <c r="N5997" t="s">
        <v>42669</v>
      </c>
      <c r="O5997" t="s">
        <v>42670</v>
      </c>
      <c r="P5997">
        <v>0</v>
      </c>
      <c r="Q5997">
        <v>7</v>
      </c>
      <c r="R5997" t="s">
        <v>42677</v>
      </c>
      <c r="S5997" t="s">
        <v>42830</v>
      </c>
      <c r="T5997" t="s">
        <v>44429</v>
      </c>
      <c r="U5997" t="s">
        <v>49738</v>
      </c>
      <c r="W5997" t="s">
        <v>39582</v>
      </c>
      <c r="X5997" t="s">
        <v>42678</v>
      </c>
    </row>
    <row r="5998" spans="1:24">
      <c r="A5998">
        <f>HYPERLINK("https://www.philgeps.gov.ph/GEPSNONPILOT/Tender/SplashBidNoticeAbstractUI.aspx?menuIndex=3&amp;refID=7184625&amp;Result=3","7184625")</f>
        <v>0</v>
      </c>
      <c r="B5998" t="s">
        <v>2056</v>
      </c>
      <c r="C5998" t="s">
        <v>9263</v>
      </c>
      <c r="D5998" t="s">
        <v>17180</v>
      </c>
      <c r="E5998" t="s">
        <v>22437</v>
      </c>
      <c r="F5998" t="s">
        <v>29372</v>
      </c>
      <c r="G5998" t="s">
        <v>29380</v>
      </c>
      <c r="H5998" t="s">
        <v>11048</v>
      </c>
      <c r="I5998" t="s">
        <v>4709</v>
      </c>
      <c r="J5998" t="s">
        <v>33411</v>
      </c>
      <c r="K5998" t="s">
        <v>38510</v>
      </c>
      <c r="L5998" t="s">
        <v>2056</v>
      </c>
      <c r="M5998" t="s">
        <v>40954</v>
      </c>
      <c r="N5998" t="s">
        <v>42669</v>
      </c>
      <c r="O5998" t="s">
        <v>42670</v>
      </c>
      <c r="P5998">
        <v>0</v>
      </c>
      <c r="Q5998">
        <v>2</v>
      </c>
      <c r="R5998" t="s">
        <v>42677</v>
      </c>
      <c r="S5998" t="s">
        <v>42830</v>
      </c>
      <c r="T5998" t="s">
        <v>44399</v>
      </c>
      <c r="U5998" t="s">
        <v>49739</v>
      </c>
      <c r="W5998" t="s">
        <v>40954</v>
      </c>
      <c r="X5998" t="s">
        <v>42678</v>
      </c>
    </row>
    <row r="5999" spans="1:24">
      <c r="A5999">
        <f>HYPERLINK("https://www.philgeps.gov.ph/GEPSNONPILOT/Tender/SplashBidNoticeAbstractUI.aspx?menuIndex=3&amp;refID=7184564&amp;Result=3","7184564")</f>
        <v>0</v>
      </c>
      <c r="B5999" t="s">
        <v>953</v>
      </c>
      <c r="C5999" t="s">
        <v>4330</v>
      </c>
      <c r="D5999" t="s">
        <v>17225</v>
      </c>
      <c r="E5999" t="s">
        <v>22438</v>
      </c>
      <c r="F5999" t="s">
        <v>29372</v>
      </c>
      <c r="G5999" t="s">
        <v>29380</v>
      </c>
      <c r="H5999" t="s">
        <v>11048</v>
      </c>
      <c r="I5999" t="s">
        <v>3695</v>
      </c>
      <c r="J5999" t="s">
        <v>33412</v>
      </c>
      <c r="K5999" t="s">
        <v>38510</v>
      </c>
      <c r="M5999" t="s">
        <v>39749</v>
      </c>
      <c r="N5999" t="s">
        <v>42669</v>
      </c>
      <c r="O5999" t="s">
        <v>42670</v>
      </c>
      <c r="P5999">
        <v>0</v>
      </c>
      <c r="Q5999">
        <v>0</v>
      </c>
      <c r="R5999" t="s">
        <v>42677</v>
      </c>
      <c r="S5999" t="s">
        <v>42830</v>
      </c>
      <c r="T5999" t="s">
        <v>44387</v>
      </c>
      <c r="U5999" t="s">
        <v>49740</v>
      </c>
      <c r="W5999" t="s">
        <v>39749</v>
      </c>
      <c r="X5999" t="s">
        <v>42678</v>
      </c>
    </row>
    <row r="6000" spans="1:24">
      <c r="A6000">
        <f>HYPERLINK("https://www.philgeps.gov.ph/GEPSNONPILOT/Tender/SplashBidNoticeAbstractUI.aspx?menuIndex=3&amp;refID=7184563&amp;Result=3","7184563")</f>
        <v>0</v>
      </c>
      <c r="B6000" t="s">
        <v>1703</v>
      </c>
      <c r="C6000" t="s">
        <v>9264</v>
      </c>
      <c r="D6000" t="s">
        <v>17143</v>
      </c>
      <c r="E6000" t="s">
        <v>22439</v>
      </c>
      <c r="F6000" t="s">
        <v>29372</v>
      </c>
      <c r="G6000" t="s">
        <v>29383</v>
      </c>
      <c r="H6000" t="s">
        <v>11048</v>
      </c>
      <c r="I6000" t="s">
        <v>14920</v>
      </c>
      <c r="J6000" t="s">
        <v>30802</v>
      </c>
      <c r="K6000" t="s">
        <v>38488</v>
      </c>
      <c r="M6000" t="s">
        <v>40565</v>
      </c>
      <c r="N6000" t="s">
        <v>42669</v>
      </c>
      <c r="O6000" t="s">
        <v>42670</v>
      </c>
      <c r="P6000">
        <v>0</v>
      </c>
      <c r="Q6000">
        <v>0</v>
      </c>
      <c r="R6000" t="s">
        <v>42677</v>
      </c>
      <c r="S6000" t="s">
        <v>42830</v>
      </c>
      <c r="T6000" t="s">
        <v>44470</v>
      </c>
      <c r="U6000" t="s">
        <v>49741</v>
      </c>
      <c r="W6000" t="s">
        <v>40565</v>
      </c>
      <c r="X6000" t="s">
        <v>42678</v>
      </c>
    </row>
    <row r="6001" spans="1:24">
      <c r="A6001">
        <f>HYPERLINK("https://www.philgeps.gov.ph/GEPSNONPILOT/Tender/SplashBidNoticeAbstractUI.aspx?menuIndex=3&amp;refID=7184642&amp;Result=3","7184642")</f>
        <v>0</v>
      </c>
      <c r="B6001" t="s">
        <v>1476</v>
      </c>
      <c r="C6001" t="s">
        <v>9265</v>
      </c>
      <c r="D6001" t="s">
        <v>17153</v>
      </c>
      <c r="E6001" t="s">
        <v>22440</v>
      </c>
      <c r="F6001" t="s">
        <v>29372</v>
      </c>
      <c r="G6001" t="s">
        <v>29380</v>
      </c>
      <c r="H6001" t="s">
        <v>29389</v>
      </c>
      <c r="I6001" t="s">
        <v>10408</v>
      </c>
      <c r="J6001" t="s">
        <v>30244</v>
      </c>
      <c r="K6001" t="s">
        <v>38646</v>
      </c>
      <c r="M6001" t="s">
        <v>40934</v>
      </c>
      <c r="N6001" t="s">
        <v>42669</v>
      </c>
      <c r="O6001" t="s">
        <v>42670</v>
      </c>
      <c r="P6001">
        <v>0</v>
      </c>
      <c r="Q6001">
        <v>0</v>
      </c>
      <c r="R6001" t="s">
        <v>42677</v>
      </c>
      <c r="S6001" t="s">
        <v>42830</v>
      </c>
      <c r="T6001" t="s">
        <v>44368</v>
      </c>
      <c r="U6001" t="s">
        <v>49742</v>
      </c>
      <c r="W6001" t="s">
        <v>40934</v>
      </c>
      <c r="X6001" t="s">
        <v>42678</v>
      </c>
    </row>
    <row r="6002" spans="1:24">
      <c r="A6002">
        <f>HYPERLINK("https://www.philgeps.gov.ph/GEPSNONPILOT/Tender/SplashBidNoticeAbstractUI.aspx?menuIndex=3&amp;refID=7184628&amp;Result=3","7184628")</f>
        <v>0</v>
      </c>
      <c r="B6002" t="s">
        <v>2057</v>
      </c>
      <c r="C6002" t="s">
        <v>9266</v>
      </c>
      <c r="D6002" t="s">
        <v>17179</v>
      </c>
      <c r="E6002" t="s">
        <v>17755</v>
      </c>
      <c r="F6002" t="s">
        <v>29372</v>
      </c>
      <c r="G6002" t="s">
        <v>29383</v>
      </c>
      <c r="H6002" t="s">
        <v>11048</v>
      </c>
      <c r="I6002" t="s">
        <v>29423</v>
      </c>
      <c r="J6002" t="s">
        <v>33413</v>
      </c>
      <c r="K6002" t="s">
        <v>38491</v>
      </c>
      <c r="M6002" t="s">
        <v>40955</v>
      </c>
      <c r="N6002" t="s">
        <v>42669</v>
      </c>
      <c r="O6002" t="s">
        <v>42670</v>
      </c>
      <c r="P6002">
        <v>0</v>
      </c>
      <c r="Q6002">
        <v>7</v>
      </c>
      <c r="R6002" t="s">
        <v>42677</v>
      </c>
      <c r="S6002" t="s">
        <v>42830</v>
      </c>
      <c r="T6002" t="s">
        <v>44382</v>
      </c>
      <c r="U6002" t="s">
        <v>49743</v>
      </c>
      <c r="W6002" t="s">
        <v>40955</v>
      </c>
      <c r="X6002" t="s">
        <v>42678</v>
      </c>
    </row>
    <row r="6003" spans="1:24">
      <c r="A6003">
        <f>HYPERLINK("https://www.philgeps.gov.ph/GEPSNONPILOT/Tender/SplashBidNoticeAbstractUI.aspx?menuIndex=3&amp;refID=7184622&amp;Result=3","7184622")</f>
        <v>0</v>
      </c>
      <c r="B6003" t="s">
        <v>2036</v>
      </c>
      <c r="C6003" t="s">
        <v>9267</v>
      </c>
      <c r="D6003" t="s">
        <v>17228</v>
      </c>
      <c r="E6003" t="s">
        <v>22441</v>
      </c>
      <c r="F6003" t="s">
        <v>29372</v>
      </c>
      <c r="G6003" t="s">
        <v>29380</v>
      </c>
      <c r="H6003" t="s">
        <v>29389</v>
      </c>
      <c r="I6003" t="s">
        <v>10408</v>
      </c>
      <c r="J6003" t="s">
        <v>29604</v>
      </c>
      <c r="K6003" t="s">
        <v>38503</v>
      </c>
      <c r="M6003" t="s">
        <v>40932</v>
      </c>
      <c r="N6003" t="s">
        <v>42669</v>
      </c>
      <c r="O6003" t="s">
        <v>42670</v>
      </c>
      <c r="P6003">
        <v>0</v>
      </c>
      <c r="Q6003">
        <v>0</v>
      </c>
      <c r="R6003" t="s">
        <v>42677</v>
      </c>
      <c r="S6003" t="s">
        <v>42830</v>
      </c>
      <c r="T6003" t="s">
        <v>44707</v>
      </c>
      <c r="U6003" t="s">
        <v>49727</v>
      </c>
      <c r="W6003" t="s">
        <v>40932</v>
      </c>
      <c r="X6003" t="s">
        <v>42678</v>
      </c>
    </row>
    <row r="6004" spans="1:24">
      <c r="A6004">
        <f>HYPERLINK("https://www.philgeps.gov.ph/GEPSNONPILOT/Tender/SplashBidNoticeAbstractUI.aspx?menuIndex=3&amp;refID=7184559&amp;Result=3","7184559")</f>
        <v>0</v>
      </c>
      <c r="B6004" t="s">
        <v>2058</v>
      </c>
      <c r="C6004" t="s">
        <v>9268</v>
      </c>
      <c r="D6004" t="s">
        <v>17159</v>
      </c>
      <c r="E6004" t="s">
        <v>22442</v>
      </c>
      <c r="F6004" t="s">
        <v>29372</v>
      </c>
      <c r="G6004" t="s">
        <v>29380</v>
      </c>
      <c r="H6004" t="s">
        <v>11048</v>
      </c>
      <c r="I6004" t="s">
        <v>29424</v>
      </c>
      <c r="J6004" t="s">
        <v>30100</v>
      </c>
      <c r="K6004" t="s">
        <v>38485</v>
      </c>
      <c r="M6004" t="s">
        <v>40956</v>
      </c>
      <c r="N6004" t="s">
        <v>42669</v>
      </c>
      <c r="O6004" t="s">
        <v>42670</v>
      </c>
      <c r="P6004">
        <v>0</v>
      </c>
      <c r="Q6004">
        <v>2</v>
      </c>
      <c r="R6004" t="s">
        <v>42677</v>
      </c>
      <c r="S6004" t="s">
        <v>42830</v>
      </c>
      <c r="T6004" t="s">
        <v>44470</v>
      </c>
      <c r="U6004" t="s">
        <v>49744</v>
      </c>
      <c r="W6004" t="s">
        <v>40956</v>
      </c>
      <c r="X6004" t="s">
        <v>42678</v>
      </c>
    </row>
    <row r="6005" spans="1:24">
      <c r="A6005">
        <f>HYPERLINK("https://www.philgeps.gov.ph/GEPSNONPILOT/Tender/SplashBidNoticeAbstractUI.aspx?menuIndex=3&amp;refID=7184556&amp;Result=3","7184556")</f>
        <v>0</v>
      </c>
      <c r="B6005" t="s">
        <v>1680</v>
      </c>
      <c r="C6005" t="s">
        <v>9269</v>
      </c>
      <c r="D6005" t="s">
        <v>17194</v>
      </c>
      <c r="E6005" t="s">
        <v>22443</v>
      </c>
      <c r="F6005" t="s">
        <v>29372</v>
      </c>
      <c r="G6005" t="s">
        <v>29380</v>
      </c>
      <c r="H6005" t="s">
        <v>11048</v>
      </c>
      <c r="I6005" t="s">
        <v>29397</v>
      </c>
      <c r="J6005" t="s">
        <v>31347</v>
      </c>
      <c r="K6005" t="s">
        <v>38485</v>
      </c>
      <c r="L6005" t="s">
        <v>1680</v>
      </c>
      <c r="M6005" t="s">
        <v>40540</v>
      </c>
      <c r="N6005" t="s">
        <v>42669</v>
      </c>
      <c r="O6005" t="s">
        <v>42670</v>
      </c>
      <c r="P6005">
        <v>0</v>
      </c>
      <c r="Q6005">
        <v>1</v>
      </c>
      <c r="R6005" t="s">
        <v>42677</v>
      </c>
      <c r="S6005" t="s">
        <v>42830</v>
      </c>
      <c r="T6005" t="s">
        <v>44375</v>
      </c>
      <c r="U6005" t="s">
        <v>49745</v>
      </c>
      <c r="V6005" t="s">
        <v>56879</v>
      </c>
      <c r="W6005" t="s">
        <v>40540</v>
      </c>
      <c r="X6005" t="s">
        <v>42678</v>
      </c>
    </row>
    <row r="6006" spans="1:24">
      <c r="A6006">
        <f>HYPERLINK("https://www.philgeps.gov.ph/GEPSNONPILOT/Tender/SplashBidNoticeAbstractUI.aspx?menuIndex=3&amp;refID=7184549&amp;Result=3","7184549")</f>
        <v>0</v>
      </c>
      <c r="B6006" t="s">
        <v>2047</v>
      </c>
      <c r="C6006" t="s">
        <v>9270</v>
      </c>
      <c r="D6006" t="s">
        <v>17189</v>
      </c>
      <c r="E6006" t="s">
        <v>22444</v>
      </c>
      <c r="F6006" t="s">
        <v>29372</v>
      </c>
      <c r="G6006" t="s">
        <v>29379</v>
      </c>
      <c r="H6006" t="s">
        <v>11048</v>
      </c>
      <c r="I6006" t="s">
        <v>29444</v>
      </c>
      <c r="J6006" t="s">
        <v>33414</v>
      </c>
      <c r="K6006" t="s">
        <v>38491</v>
      </c>
      <c r="M6006" t="s">
        <v>40945</v>
      </c>
      <c r="N6006" t="s">
        <v>42669</v>
      </c>
      <c r="O6006" t="s">
        <v>42670</v>
      </c>
      <c r="P6006">
        <v>0</v>
      </c>
      <c r="Q6006">
        <v>0</v>
      </c>
      <c r="R6006" t="s">
        <v>42677</v>
      </c>
      <c r="S6006" t="s">
        <v>42830</v>
      </c>
      <c r="T6006" t="s">
        <v>44488</v>
      </c>
      <c r="U6006" t="s">
        <v>49701</v>
      </c>
      <c r="W6006" t="s">
        <v>40945</v>
      </c>
      <c r="X6006" t="s">
        <v>42678</v>
      </c>
    </row>
    <row r="6007" spans="1:24">
      <c r="A6007">
        <f>HYPERLINK("https://www.philgeps.gov.ph/GEPSNONPILOT/Tender/SplashBidNoticeAbstractUI.aspx?menuIndex=3&amp;refID=7184634&amp;Result=3","7184634")</f>
        <v>0</v>
      </c>
      <c r="B6007" t="s">
        <v>1517</v>
      </c>
      <c r="C6007" t="s">
        <v>9271</v>
      </c>
      <c r="D6007" t="s">
        <v>17147</v>
      </c>
      <c r="E6007" t="s">
        <v>22445</v>
      </c>
      <c r="F6007" t="s">
        <v>29372</v>
      </c>
      <c r="G6007" t="s">
        <v>29380</v>
      </c>
      <c r="H6007" t="s">
        <v>11048</v>
      </c>
      <c r="I6007" t="s">
        <v>29476</v>
      </c>
      <c r="J6007" t="s">
        <v>33415</v>
      </c>
      <c r="K6007" t="s">
        <v>38485</v>
      </c>
      <c r="M6007" t="s">
        <v>40362</v>
      </c>
      <c r="N6007" t="s">
        <v>42669</v>
      </c>
      <c r="O6007" t="s">
        <v>42670</v>
      </c>
      <c r="P6007">
        <v>0</v>
      </c>
      <c r="Q6007">
        <v>13</v>
      </c>
      <c r="R6007" t="s">
        <v>42677</v>
      </c>
      <c r="S6007" t="s">
        <v>42830</v>
      </c>
      <c r="T6007" t="s">
        <v>44368</v>
      </c>
      <c r="U6007" t="s">
        <v>49746</v>
      </c>
      <c r="V6007" t="s">
        <v>57017</v>
      </c>
      <c r="W6007" t="s">
        <v>40362</v>
      </c>
      <c r="X6007" t="s">
        <v>42678</v>
      </c>
    </row>
    <row r="6008" spans="1:24">
      <c r="A6008">
        <f>HYPERLINK("https://www.philgeps.gov.ph/GEPSNONPILOT/Tender/SplashBidNoticeAbstractUI.aspx?menuIndex=3&amp;refID=7184718&amp;Result=3","7184718")</f>
        <v>0</v>
      </c>
      <c r="B6008" t="s">
        <v>2012</v>
      </c>
      <c r="C6008" t="s">
        <v>9272</v>
      </c>
      <c r="D6008" t="s">
        <v>17197</v>
      </c>
      <c r="E6008" t="s">
        <v>22446</v>
      </c>
      <c r="F6008" t="s">
        <v>29372</v>
      </c>
      <c r="G6008" t="s">
        <v>29380</v>
      </c>
      <c r="H6008" t="s">
        <v>11048</v>
      </c>
      <c r="I6008" t="s">
        <v>29412</v>
      </c>
      <c r="J6008" t="s">
        <v>33416</v>
      </c>
      <c r="K6008" t="s">
        <v>38518</v>
      </c>
      <c r="M6008" t="s">
        <v>40903</v>
      </c>
      <c r="N6008" t="s">
        <v>42669</v>
      </c>
      <c r="O6008" t="s">
        <v>42670</v>
      </c>
      <c r="P6008">
        <v>0</v>
      </c>
      <c r="Q6008">
        <v>7</v>
      </c>
      <c r="R6008" t="s">
        <v>42677</v>
      </c>
      <c r="S6008" t="s">
        <v>42830</v>
      </c>
      <c r="T6008" t="s">
        <v>44355</v>
      </c>
      <c r="U6008" t="s">
        <v>49747</v>
      </c>
      <c r="W6008" t="s">
        <v>40903</v>
      </c>
      <c r="X6008" t="s">
        <v>42678</v>
      </c>
    </row>
    <row r="6009" spans="1:24">
      <c r="A6009">
        <f>HYPERLINK("https://www.philgeps.gov.ph/GEPSNONPILOT/Tender/SplashBidNoticeAbstractUI.aspx?menuIndex=3&amp;refID=7184712&amp;Result=3","7184712")</f>
        <v>0</v>
      </c>
      <c r="B6009" t="s">
        <v>798</v>
      </c>
      <c r="C6009" t="s">
        <v>9273</v>
      </c>
      <c r="D6009" t="s">
        <v>17188</v>
      </c>
      <c r="E6009" t="s">
        <v>22447</v>
      </c>
      <c r="F6009" t="s">
        <v>29372</v>
      </c>
      <c r="G6009" t="s">
        <v>29383</v>
      </c>
      <c r="H6009" t="s">
        <v>11048</v>
      </c>
      <c r="I6009" t="s">
        <v>3629</v>
      </c>
      <c r="J6009" t="s">
        <v>29625</v>
      </c>
      <c r="K6009" t="s">
        <v>38490</v>
      </c>
      <c r="M6009" t="s">
        <v>39582</v>
      </c>
      <c r="N6009" t="s">
        <v>42669</v>
      </c>
      <c r="O6009" t="s">
        <v>42670</v>
      </c>
      <c r="P6009">
        <v>0</v>
      </c>
      <c r="Q6009">
        <v>2</v>
      </c>
      <c r="R6009" t="s">
        <v>42677</v>
      </c>
      <c r="S6009" t="s">
        <v>42830</v>
      </c>
      <c r="T6009" t="s">
        <v>44625</v>
      </c>
      <c r="U6009" t="s">
        <v>49748</v>
      </c>
      <c r="W6009" t="s">
        <v>39582</v>
      </c>
      <c r="X6009" t="s">
        <v>42678</v>
      </c>
    </row>
    <row r="6010" spans="1:24">
      <c r="A6010">
        <f>HYPERLINK("https://www.philgeps.gov.ph/GEPSNONPILOT/Tender/SplashBidNoticeAbstractUI.aspx?menuIndex=3&amp;refID=7184561&amp;Result=3","7184561")</f>
        <v>0</v>
      </c>
      <c r="B6010" t="s">
        <v>1476</v>
      </c>
      <c r="C6010" t="s">
        <v>9274</v>
      </c>
      <c r="D6010" t="s">
        <v>17153</v>
      </c>
      <c r="E6010" t="s">
        <v>22448</v>
      </c>
      <c r="F6010" t="s">
        <v>29372</v>
      </c>
      <c r="G6010" t="s">
        <v>29380</v>
      </c>
      <c r="H6010" t="s">
        <v>29389</v>
      </c>
      <c r="I6010" t="s">
        <v>10408</v>
      </c>
      <c r="J6010" t="s">
        <v>33417</v>
      </c>
      <c r="K6010" t="s">
        <v>38657</v>
      </c>
      <c r="M6010" t="s">
        <v>40934</v>
      </c>
      <c r="N6010" t="s">
        <v>42669</v>
      </c>
      <c r="O6010" t="s">
        <v>42670</v>
      </c>
      <c r="P6010">
        <v>0</v>
      </c>
      <c r="Q6010">
        <v>0</v>
      </c>
      <c r="R6010" t="s">
        <v>42677</v>
      </c>
      <c r="S6010" t="s">
        <v>42830</v>
      </c>
      <c r="T6010" t="s">
        <v>44368</v>
      </c>
      <c r="U6010" t="s">
        <v>49749</v>
      </c>
      <c r="W6010" t="s">
        <v>40934</v>
      </c>
      <c r="X6010" t="s">
        <v>42678</v>
      </c>
    </row>
    <row r="6011" spans="1:24">
      <c r="A6011">
        <f>HYPERLINK("https://www.philgeps.gov.ph/GEPSNONPILOT/Tender/SplashBidNoticeAbstractUI.aspx?menuIndex=3&amp;refID=7184710&amp;Result=3","7184710")</f>
        <v>0</v>
      </c>
      <c r="B6011" t="s">
        <v>2059</v>
      </c>
      <c r="C6011" t="s">
        <v>9275</v>
      </c>
      <c r="D6011" t="s">
        <v>17197</v>
      </c>
      <c r="E6011" t="s">
        <v>22449</v>
      </c>
      <c r="F6011" t="s">
        <v>29372</v>
      </c>
      <c r="G6011" t="s">
        <v>29380</v>
      </c>
      <c r="H6011" t="s">
        <v>11048</v>
      </c>
      <c r="I6011" t="s">
        <v>4487</v>
      </c>
      <c r="J6011" t="s">
        <v>29777</v>
      </c>
      <c r="K6011" t="s">
        <v>38485</v>
      </c>
      <c r="M6011" t="s">
        <v>40957</v>
      </c>
      <c r="N6011" t="s">
        <v>42669</v>
      </c>
      <c r="O6011" t="s">
        <v>42670</v>
      </c>
      <c r="P6011">
        <v>0</v>
      </c>
      <c r="Q6011">
        <v>5</v>
      </c>
      <c r="R6011" t="s">
        <v>42677</v>
      </c>
      <c r="S6011" t="s">
        <v>42830</v>
      </c>
      <c r="T6011" t="s">
        <v>44450</v>
      </c>
      <c r="U6011" t="s">
        <v>49750</v>
      </c>
      <c r="V6011" t="s">
        <v>57018</v>
      </c>
      <c r="W6011" t="s">
        <v>40957</v>
      </c>
      <c r="X6011" t="s">
        <v>42678</v>
      </c>
    </row>
    <row r="6012" spans="1:24">
      <c r="A6012">
        <f>HYPERLINK("https://www.philgeps.gov.ph/GEPSNONPILOT/Tender/SplashBidNoticeAbstractUI.aspx?menuIndex=3&amp;refID=7184711&amp;Result=3","7184711")</f>
        <v>0</v>
      </c>
      <c r="B6012" t="s">
        <v>1791</v>
      </c>
      <c r="C6012" t="s">
        <v>9276</v>
      </c>
      <c r="E6012" t="s">
        <v>21187</v>
      </c>
      <c r="F6012" t="s">
        <v>29372</v>
      </c>
      <c r="G6012" t="s">
        <v>29380</v>
      </c>
      <c r="H6012" t="s">
        <v>29389</v>
      </c>
      <c r="I6012" t="s">
        <v>10408</v>
      </c>
      <c r="J6012" t="s">
        <v>29619</v>
      </c>
      <c r="K6012" t="s">
        <v>38485</v>
      </c>
      <c r="M6012" t="s">
        <v>40662</v>
      </c>
      <c r="N6012" t="s">
        <v>42669</v>
      </c>
      <c r="O6012" t="s">
        <v>42670</v>
      </c>
      <c r="P6012">
        <v>0</v>
      </c>
      <c r="Q6012">
        <v>0</v>
      </c>
      <c r="R6012" t="s">
        <v>42677</v>
      </c>
      <c r="S6012" t="s">
        <v>42830</v>
      </c>
      <c r="T6012" t="s">
        <v>44357</v>
      </c>
      <c r="U6012" t="s">
        <v>49751</v>
      </c>
      <c r="W6012" t="s">
        <v>40662</v>
      </c>
      <c r="X6012" t="s">
        <v>42678</v>
      </c>
    </row>
    <row r="6013" spans="1:24">
      <c r="A6013">
        <f>HYPERLINK("https://www.philgeps.gov.ph/GEPSNONPILOT/Tender/SplashBidNoticeAbstractUI.aspx?menuIndex=3&amp;refID=7184621&amp;Result=3","7184621")</f>
        <v>0</v>
      </c>
      <c r="B6013" t="s">
        <v>2047</v>
      </c>
      <c r="C6013" t="s">
        <v>9277</v>
      </c>
      <c r="D6013" t="s">
        <v>17189</v>
      </c>
      <c r="E6013" t="s">
        <v>22450</v>
      </c>
      <c r="F6013" t="s">
        <v>29372</v>
      </c>
      <c r="G6013" t="s">
        <v>29379</v>
      </c>
      <c r="H6013" t="s">
        <v>11048</v>
      </c>
      <c r="I6013" t="s">
        <v>4709</v>
      </c>
      <c r="J6013" t="s">
        <v>29555</v>
      </c>
      <c r="K6013" t="s">
        <v>38491</v>
      </c>
      <c r="M6013" t="s">
        <v>40945</v>
      </c>
      <c r="N6013" t="s">
        <v>42669</v>
      </c>
      <c r="O6013" t="s">
        <v>42670</v>
      </c>
      <c r="P6013">
        <v>0</v>
      </c>
      <c r="Q6013">
        <v>0</v>
      </c>
      <c r="R6013" t="s">
        <v>42677</v>
      </c>
      <c r="S6013" t="s">
        <v>42830</v>
      </c>
      <c r="T6013" t="s">
        <v>44488</v>
      </c>
      <c r="U6013" t="s">
        <v>49701</v>
      </c>
      <c r="W6013" t="s">
        <v>40945</v>
      </c>
      <c r="X6013" t="s">
        <v>42678</v>
      </c>
    </row>
    <row r="6014" spans="1:24">
      <c r="A6014">
        <f>HYPERLINK("https://www.philgeps.gov.ph/GEPSNONPILOT/Tender/SplashBidNoticeAbstractUI.aspx?menuIndex=3&amp;refID=7184548&amp;Result=3","7184548")</f>
        <v>0</v>
      </c>
      <c r="B6014" t="s">
        <v>2006</v>
      </c>
      <c r="C6014" t="s">
        <v>9278</v>
      </c>
      <c r="D6014" t="s">
        <v>17143</v>
      </c>
      <c r="E6014" t="s">
        <v>22451</v>
      </c>
      <c r="F6014" t="s">
        <v>29372</v>
      </c>
      <c r="G6014" t="s">
        <v>29379</v>
      </c>
      <c r="H6014" t="s">
        <v>11048</v>
      </c>
      <c r="I6014" t="s">
        <v>29426</v>
      </c>
      <c r="J6014" t="s">
        <v>29708</v>
      </c>
      <c r="K6014" t="s">
        <v>38485</v>
      </c>
      <c r="M6014" t="s">
        <v>40897</v>
      </c>
      <c r="N6014" t="s">
        <v>42669</v>
      </c>
      <c r="O6014" t="s">
        <v>42670</v>
      </c>
      <c r="P6014">
        <v>0</v>
      </c>
      <c r="Q6014">
        <v>0</v>
      </c>
      <c r="R6014" t="s">
        <v>42677</v>
      </c>
      <c r="S6014" t="s">
        <v>42830</v>
      </c>
      <c r="T6014" t="s">
        <v>44401</v>
      </c>
      <c r="U6014" t="s">
        <v>49752</v>
      </c>
      <c r="W6014" t="s">
        <v>40897</v>
      </c>
      <c r="X6014" t="s">
        <v>42678</v>
      </c>
    </row>
    <row r="6015" spans="1:24">
      <c r="A6015">
        <f>HYPERLINK("https://www.philgeps.gov.ph/GEPSNONPILOT/Tender/SplashBidNoticeAbstractUI.aspx?menuIndex=3&amp;refID=7184704&amp;Result=3","7184704")</f>
        <v>0</v>
      </c>
      <c r="B6015" t="s">
        <v>1569</v>
      </c>
      <c r="C6015" t="s">
        <v>9279</v>
      </c>
      <c r="D6015" t="s">
        <v>17169</v>
      </c>
      <c r="E6015" t="s">
        <v>22452</v>
      </c>
      <c r="F6015" t="s">
        <v>29372</v>
      </c>
      <c r="G6015" t="s">
        <v>29379</v>
      </c>
      <c r="H6015" t="s">
        <v>11048</v>
      </c>
      <c r="I6015" t="s">
        <v>29397</v>
      </c>
      <c r="J6015" t="s">
        <v>29664</v>
      </c>
      <c r="K6015" t="s">
        <v>38485</v>
      </c>
      <c r="M6015" t="s">
        <v>40419</v>
      </c>
      <c r="N6015" t="s">
        <v>42669</v>
      </c>
      <c r="O6015" t="s">
        <v>42670</v>
      </c>
      <c r="P6015">
        <v>0</v>
      </c>
      <c r="Q6015">
        <v>3</v>
      </c>
      <c r="R6015" t="s">
        <v>42677</v>
      </c>
      <c r="S6015" t="s">
        <v>42830</v>
      </c>
      <c r="T6015" t="s">
        <v>44489</v>
      </c>
      <c r="U6015" t="s">
        <v>49753</v>
      </c>
      <c r="W6015" t="s">
        <v>40419</v>
      </c>
      <c r="X6015" t="s">
        <v>42678</v>
      </c>
    </row>
    <row r="6016" spans="1:24">
      <c r="A6016">
        <f>HYPERLINK("https://www.philgeps.gov.ph/GEPSNONPILOT/Tender/SplashBidNoticeAbstractUI.aspx?menuIndex=3&amp;refID=7184694&amp;Result=3","7184694")</f>
        <v>0</v>
      </c>
      <c r="B6016" t="s">
        <v>2016</v>
      </c>
      <c r="C6016" t="s">
        <v>9280</v>
      </c>
      <c r="D6016" t="s">
        <v>17182</v>
      </c>
      <c r="E6016" t="s">
        <v>19616</v>
      </c>
      <c r="F6016" t="s">
        <v>29373</v>
      </c>
      <c r="G6016" t="s">
        <v>29380</v>
      </c>
      <c r="H6016" t="s">
        <v>29389</v>
      </c>
      <c r="I6016" t="s">
        <v>10408</v>
      </c>
      <c r="J6016" t="s">
        <v>33418</v>
      </c>
      <c r="K6016" t="s">
        <v>38495</v>
      </c>
      <c r="M6016" t="s">
        <v>40908</v>
      </c>
      <c r="N6016" t="s">
        <v>42669</v>
      </c>
      <c r="O6016" t="s">
        <v>42670</v>
      </c>
      <c r="P6016">
        <v>0</v>
      </c>
      <c r="Q6016">
        <v>25</v>
      </c>
      <c r="R6016" t="s">
        <v>42677</v>
      </c>
      <c r="S6016" t="s">
        <v>42830</v>
      </c>
      <c r="T6016" t="s">
        <v>44422</v>
      </c>
      <c r="U6016" t="s">
        <v>49754</v>
      </c>
      <c r="W6016" t="s">
        <v>40908</v>
      </c>
      <c r="X6016" t="s">
        <v>42678</v>
      </c>
    </row>
    <row r="6017" spans="1:24">
      <c r="A6017">
        <f>HYPERLINK("https://www.philgeps.gov.ph/GEPSNONPILOT/Tender/SplashBidNoticeAbstractUI.aspx?menuIndex=3&amp;refID=7184656&amp;Result=3","7184656")</f>
        <v>0</v>
      </c>
      <c r="B6017" t="s">
        <v>73</v>
      </c>
      <c r="C6017" t="s">
        <v>9281</v>
      </c>
      <c r="D6017" t="s">
        <v>17171</v>
      </c>
      <c r="E6017" t="s">
        <v>22453</v>
      </c>
      <c r="F6017" t="s">
        <v>29372</v>
      </c>
      <c r="G6017" t="s">
        <v>29380</v>
      </c>
      <c r="H6017" t="s">
        <v>29389</v>
      </c>
      <c r="I6017" t="s">
        <v>10408</v>
      </c>
      <c r="J6017" t="s">
        <v>29543</v>
      </c>
      <c r="K6017" t="s">
        <v>38490</v>
      </c>
      <c r="M6017" t="s">
        <v>38827</v>
      </c>
      <c r="N6017" t="s">
        <v>42669</v>
      </c>
      <c r="O6017" t="s">
        <v>42670</v>
      </c>
      <c r="P6017">
        <v>0</v>
      </c>
      <c r="Q6017">
        <v>0</v>
      </c>
      <c r="R6017" t="s">
        <v>42677</v>
      </c>
      <c r="S6017" t="s">
        <v>42830</v>
      </c>
      <c r="T6017" t="s">
        <v>44399</v>
      </c>
      <c r="U6017" t="s">
        <v>49755</v>
      </c>
      <c r="W6017" t="s">
        <v>38827</v>
      </c>
      <c r="X6017" t="s">
        <v>42678</v>
      </c>
    </row>
    <row r="6018" spans="1:24">
      <c r="A6018">
        <f>HYPERLINK("https://www.philgeps.gov.ph/GEPSNONPILOT/Tender/SplashBidNoticeAbstractUI.aspx?menuIndex=3&amp;refID=7184693&amp;Result=3","7184693")</f>
        <v>0</v>
      </c>
      <c r="B6018" t="s">
        <v>2041</v>
      </c>
      <c r="C6018" t="s">
        <v>9282</v>
      </c>
      <c r="D6018" t="s">
        <v>17189</v>
      </c>
      <c r="E6018" t="s">
        <v>22454</v>
      </c>
      <c r="F6018" t="s">
        <v>29373</v>
      </c>
      <c r="G6018" t="s">
        <v>29383</v>
      </c>
      <c r="H6018" t="s">
        <v>11048</v>
      </c>
      <c r="I6018" t="s">
        <v>4487</v>
      </c>
      <c r="J6018" t="s">
        <v>33419</v>
      </c>
      <c r="K6018" t="s">
        <v>38488</v>
      </c>
      <c r="L6018" t="s">
        <v>2041</v>
      </c>
      <c r="M6018" t="s">
        <v>40938</v>
      </c>
      <c r="N6018" t="s">
        <v>42669</v>
      </c>
      <c r="O6018" t="s">
        <v>42670</v>
      </c>
      <c r="P6018">
        <v>0</v>
      </c>
      <c r="Q6018">
        <v>1</v>
      </c>
      <c r="R6018" t="s">
        <v>42677</v>
      </c>
      <c r="S6018" t="s">
        <v>42830</v>
      </c>
      <c r="T6018" t="s">
        <v>44512</v>
      </c>
      <c r="U6018" t="s">
        <v>49756</v>
      </c>
      <c r="V6018" t="s">
        <v>57012</v>
      </c>
      <c r="W6018" t="s">
        <v>40938</v>
      </c>
      <c r="X6018" t="s">
        <v>42678</v>
      </c>
    </row>
    <row r="6019" spans="1:24">
      <c r="A6019">
        <f>HYPERLINK("https://www.philgeps.gov.ph/GEPSNONPILOT/Tender/SplashBidNoticeAbstractUI.aspx?menuIndex=3&amp;refID=7184688&amp;Result=3","7184688")</f>
        <v>0</v>
      </c>
      <c r="B6019" t="s">
        <v>2060</v>
      </c>
      <c r="C6019" t="s">
        <v>9283</v>
      </c>
      <c r="D6019" t="s">
        <v>17141</v>
      </c>
      <c r="E6019" t="s">
        <v>22455</v>
      </c>
      <c r="F6019" t="s">
        <v>29372</v>
      </c>
      <c r="G6019" t="s">
        <v>29379</v>
      </c>
      <c r="H6019" t="s">
        <v>11048</v>
      </c>
      <c r="I6019" t="s">
        <v>29429</v>
      </c>
      <c r="J6019" t="s">
        <v>33420</v>
      </c>
      <c r="K6019" t="s">
        <v>38496</v>
      </c>
      <c r="M6019" t="s">
        <v>40958</v>
      </c>
      <c r="N6019" t="s">
        <v>42669</v>
      </c>
      <c r="O6019" t="s">
        <v>42670</v>
      </c>
      <c r="P6019">
        <v>0</v>
      </c>
      <c r="Q6019">
        <v>4</v>
      </c>
      <c r="R6019" t="s">
        <v>42677</v>
      </c>
      <c r="S6019" t="s">
        <v>42830</v>
      </c>
      <c r="T6019" t="s">
        <v>44493</v>
      </c>
      <c r="U6019" t="s">
        <v>49757</v>
      </c>
      <c r="W6019" t="s">
        <v>40958</v>
      </c>
      <c r="X6019" t="s">
        <v>42678</v>
      </c>
    </row>
    <row r="6020" spans="1:24">
      <c r="A6020">
        <f>HYPERLINK("https://www.philgeps.gov.ph/GEPSNONPILOT/Tender/SplashBidNoticeAbstractUI.aspx?menuIndex=3&amp;refID=7184709&amp;Result=3","7184709")</f>
        <v>0</v>
      </c>
      <c r="B6020" t="s">
        <v>2061</v>
      </c>
      <c r="C6020" t="s">
        <v>9284</v>
      </c>
      <c r="D6020" t="s">
        <v>17205</v>
      </c>
      <c r="E6020" t="s">
        <v>22456</v>
      </c>
      <c r="F6020" t="s">
        <v>29372</v>
      </c>
      <c r="G6020" t="s">
        <v>29380</v>
      </c>
      <c r="H6020" t="s">
        <v>11048</v>
      </c>
      <c r="I6020" t="s">
        <v>29485</v>
      </c>
      <c r="J6020" t="s">
        <v>33421</v>
      </c>
      <c r="K6020" t="s">
        <v>38488</v>
      </c>
      <c r="M6020" t="s">
        <v>40959</v>
      </c>
      <c r="N6020" t="s">
        <v>42669</v>
      </c>
      <c r="O6020" t="s">
        <v>42670</v>
      </c>
      <c r="P6020">
        <v>0</v>
      </c>
      <c r="Q6020">
        <v>0</v>
      </c>
      <c r="R6020" t="s">
        <v>42677</v>
      </c>
      <c r="S6020" t="s">
        <v>42830</v>
      </c>
      <c r="T6020" t="s">
        <v>44427</v>
      </c>
      <c r="U6020" t="s">
        <v>49758</v>
      </c>
      <c r="V6020" t="s">
        <v>57019</v>
      </c>
      <c r="W6020" t="s">
        <v>40959</v>
      </c>
      <c r="X6020" t="s">
        <v>42678</v>
      </c>
    </row>
    <row r="6021" spans="1:24">
      <c r="A6021">
        <f>HYPERLINK("https://www.philgeps.gov.ph/GEPSNONPILOT/Tender/SplashBidNoticeAbstractUI.aspx?menuIndex=3&amp;refID=7184706&amp;Result=3","7184706")</f>
        <v>0</v>
      </c>
      <c r="B6021" t="s">
        <v>1668</v>
      </c>
      <c r="C6021" t="s">
        <v>9285</v>
      </c>
      <c r="D6021" t="s">
        <v>17150</v>
      </c>
      <c r="E6021" t="s">
        <v>22457</v>
      </c>
      <c r="F6021" t="s">
        <v>29372</v>
      </c>
      <c r="G6021" t="s">
        <v>29380</v>
      </c>
      <c r="H6021" t="s">
        <v>29389</v>
      </c>
      <c r="I6021" t="s">
        <v>10408</v>
      </c>
      <c r="J6021" t="s">
        <v>33422</v>
      </c>
      <c r="K6021" t="s">
        <v>38495</v>
      </c>
      <c r="M6021" t="s">
        <v>40527</v>
      </c>
      <c r="N6021" t="s">
        <v>42669</v>
      </c>
      <c r="O6021" t="s">
        <v>42670</v>
      </c>
      <c r="P6021">
        <v>0</v>
      </c>
      <c r="Q6021">
        <v>1</v>
      </c>
      <c r="R6021" t="s">
        <v>42677</v>
      </c>
      <c r="S6021" t="s">
        <v>42830</v>
      </c>
      <c r="T6021" t="s">
        <v>44437</v>
      </c>
      <c r="U6021" t="s">
        <v>49759</v>
      </c>
      <c r="V6021" t="s">
        <v>57020</v>
      </c>
      <c r="W6021" t="s">
        <v>40527</v>
      </c>
      <c r="X6021" t="s">
        <v>42678</v>
      </c>
    </row>
    <row r="6022" spans="1:24">
      <c r="A6022">
        <f>HYPERLINK("https://www.philgeps.gov.ph/GEPSNONPILOT/Tender/SplashBidNoticeAbstractUI.aspx?menuIndex=3&amp;refID=7184687&amp;Result=3","7184687")</f>
        <v>0</v>
      </c>
      <c r="B6022" t="s">
        <v>1476</v>
      </c>
      <c r="C6022" t="s">
        <v>9286</v>
      </c>
      <c r="D6022" t="s">
        <v>17153</v>
      </c>
      <c r="E6022" t="s">
        <v>22458</v>
      </c>
      <c r="F6022" t="s">
        <v>29372</v>
      </c>
      <c r="G6022" t="s">
        <v>29380</v>
      </c>
      <c r="H6022" t="s">
        <v>29389</v>
      </c>
      <c r="I6022" t="s">
        <v>10408</v>
      </c>
      <c r="J6022" t="s">
        <v>33423</v>
      </c>
      <c r="K6022" t="s">
        <v>38658</v>
      </c>
      <c r="M6022" t="s">
        <v>40934</v>
      </c>
      <c r="N6022" t="s">
        <v>42669</v>
      </c>
      <c r="O6022" t="s">
        <v>42670</v>
      </c>
      <c r="P6022">
        <v>0</v>
      </c>
      <c r="Q6022">
        <v>0</v>
      </c>
      <c r="R6022" t="s">
        <v>42677</v>
      </c>
      <c r="S6022" t="s">
        <v>42830</v>
      </c>
      <c r="T6022" t="s">
        <v>44368</v>
      </c>
      <c r="U6022" t="s">
        <v>49760</v>
      </c>
      <c r="W6022" t="s">
        <v>40934</v>
      </c>
      <c r="X6022" t="s">
        <v>42678</v>
      </c>
    </row>
    <row r="6023" spans="1:24">
      <c r="A6023">
        <f>HYPERLINK("https://www.philgeps.gov.ph/GEPSNONPILOT/Tender/SplashBidNoticeAbstractUI.aspx?menuIndex=3&amp;refID=7184747&amp;Result=3","7184747")</f>
        <v>0</v>
      </c>
      <c r="B6023" t="s">
        <v>2062</v>
      </c>
      <c r="C6023" t="s">
        <v>9287</v>
      </c>
      <c r="D6023" t="s">
        <v>17177</v>
      </c>
      <c r="E6023" t="s">
        <v>22459</v>
      </c>
      <c r="F6023" t="s">
        <v>29372</v>
      </c>
      <c r="G6023" t="s">
        <v>29379</v>
      </c>
      <c r="H6023" t="s">
        <v>11048</v>
      </c>
      <c r="I6023" t="s">
        <v>29395</v>
      </c>
      <c r="J6023" t="s">
        <v>31642</v>
      </c>
      <c r="K6023" t="s">
        <v>38490</v>
      </c>
      <c r="M6023" t="s">
        <v>40960</v>
      </c>
      <c r="N6023" t="s">
        <v>42669</v>
      </c>
      <c r="O6023" t="s">
        <v>42670</v>
      </c>
      <c r="P6023">
        <v>0</v>
      </c>
      <c r="Q6023">
        <v>2</v>
      </c>
      <c r="R6023" t="s">
        <v>42677</v>
      </c>
      <c r="S6023" t="s">
        <v>42830</v>
      </c>
      <c r="T6023" t="s">
        <v>44481</v>
      </c>
      <c r="U6023" t="s">
        <v>49761</v>
      </c>
      <c r="W6023" t="s">
        <v>40960</v>
      </c>
      <c r="X6023" t="s">
        <v>42678</v>
      </c>
    </row>
    <row r="6024" spans="1:24">
      <c r="A6024">
        <f>HYPERLINK("https://www.philgeps.gov.ph/GEPSNONPILOT/Tender/SplashBidNoticeAbstractUI.aspx?menuIndex=3&amp;refID=7184703&amp;Result=3","7184703")</f>
        <v>0</v>
      </c>
      <c r="B6024" t="s">
        <v>2063</v>
      </c>
      <c r="C6024" t="s">
        <v>9288</v>
      </c>
      <c r="D6024" t="s">
        <v>17197</v>
      </c>
      <c r="E6024" t="s">
        <v>22460</v>
      </c>
      <c r="F6024" t="s">
        <v>29372</v>
      </c>
      <c r="G6024" t="s">
        <v>29379</v>
      </c>
      <c r="H6024" t="s">
        <v>11048</v>
      </c>
      <c r="I6024" t="s">
        <v>29412</v>
      </c>
      <c r="J6024" t="s">
        <v>30412</v>
      </c>
      <c r="K6024" t="s">
        <v>38491</v>
      </c>
      <c r="M6024" t="s">
        <v>40961</v>
      </c>
      <c r="N6024" t="s">
        <v>42669</v>
      </c>
      <c r="O6024" t="s">
        <v>42670</v>
      </c>
      <c r="P6024">
        <v>0</v>
      </c>
      <c r="Q6024">
        <v>2</v>
      </c>
      <c r="R6024" t="s">
        <v>42677</v>
      </c>
      <c r="S6024" t="s">
        <v>42830</v>
      </c>
      <c r="T6024" t="s">
        <v>44427</v>
      </c>
      <c r="U6024" t="s">
        <v>49762</v>
      </c>
      <c r="W6024" t="s">
        <v>40961</v>
      </c>
      <c r="X6024" t="s">
        <v>42678</v>
      </c>
    </row>
    <row r="6025" spans="1:24">
      <c r="A6025">
        <f>HYPERLINK("https://www.philgeps.gov.ph/GEPSNONPILOT/Tender/SplashBidNoticeAbstractUI.aspx?menuIndex=3&amp;refID=7184650&amp;Result=3","7184650")</f>
        <v>0</v>
      </c>
      <c r="B6025" t="s">
        <v>1476</v>
      </c>
      <c r="C6025" t="s">
        <v>9289</v>
      </c>
      <c r="D6025" t="s">
        <v>17153</v>
      </c>
      <c r="E6025" t="s">
        <v>22461</v>
      </c>
      <c r="F6025" t="s">
        <v>29372</v>
      </c>
      <c r="G6025" t="s">
        <v>29380</v>
      </c>
      <c r="H6025" t="s">
        <v>29389</v>
      </c>
      <c r="I6025" t="s">
        <v>10408</v>
      </c>
      <c r="J6025" t="s">
        <v>33424</v>
      </c>
      <c r="K6025" t="s">
        <v>38522</v>
      </c>
      <c r="M6025" t="s">
        <v>40934</v>
      </c>
      <c r="N6025" t="s">
        <v>42669</v>
      </c>
      <c r="O6025" t="s">
        <v>42670</v>
      </c>
      <c r="P6025">
        <v>0</v>
      </c>
      <c r="Q6025">
        <v>0</v>
      </c>
      <c r="R6025" t="s">
        <v>42677</v>
      </c>
      <c r="S6025" t="s">
        <v>42830</v>
      </c>
      <c r="T6025" t="s">
        <v>44368</v>
      </c>
      <c r="U6025" t="s">
        <v>49763</v>
      </c>
      <c r="W6025" t="s">
        <v>40934</v>
      </c>
      <c r="X6025" t="s">
        <v>42678</v>
      </c>
    </row>
    <row r="6026" spans="1:24">
      <c r="A6026">
        <f>HYPERLINK("https://www.philgeps.gov.ph/GEPSNONPILOT/Tender/SplashBidNoticeAbstractUI.aspx?menuIndex=3&amp;refID=7184763&amp;Result=3","7184763")</f>
        <v>0</v>
      </c>
      <c r="B6026" t="s">
        <v>771</v>
      </c>
      <c r="C6026" t="s">
        <v>9290</v>
      </c>
      <c r="D6026" t="s">
        <v>17141</v>
      </c>
      <c r="E6026" t="s">
        <v>22462</v>
      </c>
      <c r="F6026" t="s">
        <v>29372</v>
      </c>
      <c r="G6026" t="s">
        <v>29379</v>
      </c>
      <c r="H6026" t="s">
        <v>11048</v>
      </c>
      <c r="I6026" t="s">
        <v>8614</v>
      </c>
      <c r="J6026" t="s">
        <v>33425</v>
      </c>
      <c r="K6026" t="s">
        <v>38488</v>
      </c>
      <c r="M6026" t="s">
        <v>39555</v>
      </c>
      <c r="N6026" t="s">
        <v>42669</v>
      </c>
      <c r="O6026" t="s">
        <v>42670</v>
      </c>
      <c r="P6026">
        <v>0</v>
      </c>
      <c r="Q6026">
        <v>8</v>
      </c>
      <c r="R6026" t="s">
        <v>42677</v>
      </c>
      <c r="S6026" t="s">
        <v>42830</v>
      </c>
      <c r="T6026" t="s">
        <v>44468</v>
      </c>
      <c r="U6026" t="s">
        <v>46440</v>
      </c>
      <c r="W6026" t="s">
        <v>39555</v>
      </c>
      <c r="X6026" t="s">
        <v>42678</v>
      </c>
    </row>
    <row r="6027" spans="1:24">
      <c r="A6027">
        <f>HYPERLINK("https://www.philgeps.gov.ph/GEPSNONPILOT/Tender/SplashBidNoticeAbstractUI.aspx?menuIndex=3&amp;refID=7184702&amp;Result=3","7184702")</f>
        <v>0</v>
      </c>
      <c r="B6027" t="s">
        <v>294</v>
      </c>
      <c r="C6027" t="s">
        <v>9291</v>
      </c>
      <c r="D6027" t="s">
        <v>17209</v>
      </c>
      <c r="E6027" t="s">
        <v>18005</v>
      </c>
      <c r="F6027" t="s">
        <v>29372</v>
      </c>
      <c r="G6027" t="s">
        <v>29380</v>
      </c>
      <c r="H6027" t="s">
        <v>11048</v>
      </c>
      <c r="I6027" t="s">
        <v>29407</v>
      </c>
      <c r="J6027" t="s">
        <v>33426</v>
      </c>
      <c r="K6027" t="s">
        <v>38485</v>
      </c>
      <c r="M6027" t="s">
        <v>39053</v>
      </c>
      <c r="N6027" t="s">
        <v>42669</v>
      </c>
      <c r="O6027" t="s">
        <v>42670</v>
      </c>
      <c r="P6027">
        <v>0</v>
      </c>
      <c r="Q6027">
        <v>10</v>
      </c>
      <c r="R6027" t="s">
        <v>42677</v>
      </c>
      <c r="S6027" t="s">
        <v>42830</v>
      </c>
      <c r="T6027" t="s">
        <v>44365</v>
      </c>
      <c r="U6027" t="s">
        <v>49764</v>
      </c>
      <c r="W6027" t="s">
        <v>39053</v>
      </c>
      <c r="X6027" t="s">
        <v>42678</v>
      </c>
    </row>
    <row r="6028" spans="1:24">
      <c r="A6028">
        <f>HYPERLINK("https://www.philgeps.gov.ph/GEPSNONPILOT/Tender/SplashBidNoticeAbstractUI.aspx?menuIndex=3&amp;refID=7184769&amp;Result=3","7184769")</f>
        <v>0</v>
      </c>
      <c r="B6028" t="s">
        <v>2064</v>
      </c>
      <c r="C6028" t="s">
        <v>9292</v>
      </c>
      <c r="D6028" t="s">
        <v>17207</v>
      </c>
      <c r="E6028" t="s">
        <v>22463</v>
      </c>
      <c r="F6028" t="s">
        <v>29372</v>
      </c>
      <c r="G6028" t="s">
        <v>29380</v>
      </c>
      <c r="H6028" t="s">
        <v>29389</v>
      </c>
      <c r="I6028" t="s">
        <v>10408</v>
      </c>
      <c r="J6028" t="s">
        <v>30161</v>
      </c>
      <c r="K6028" t="s">
        <v>38495</v>
      </c>
      <c r="M6028" t="s">
        <v>40962</v>
      </c>
      <c r="N6028" t="s">
        <v>42669</v>
      </c>
      <c r="O6028" t="s">
        <v>42670</v>
      </c>
      <c r="P6028">
        <v>0</v>
      </c>
      <c r="Q6028">
        <v>0</v>
      </c>
      <c r="R6028" t="s">
        <v>42677</v>
      </c>
      <c r="S6028" t="s">
        <v>42830</v>
      </c>
      <c r="T6028" t="s">
        <v>44698</v>
      </c>
      <c r="U6028" t="s">
        <v>49765</v>
      </c>
      <c r="W6028" t="s">
        <v>40962</v>
      </c>
      <c r="X6028" t="s">
        <v>42678</v>
      </c>
    </row>
    <row r="6029" spans="1:24">
      <c r="A6029">
        <f>HYPERLINK("https://www.philgeps.gov.ph/GEPSNONPILOT/Tender/SplashBidNoticeAbstractUI.aspx?menuIndex=3&amp;refID=7184764&amp;Result=3","7184764")</f>
        <v>0</v>
      </c>
      <c r="B6029" t="s">
        <v>2062</v>
      </c>
      <c r="C6029" t="s">
        <v>9293</v>
      </c>
      <c r="D6029" t="s">
        <v>17177</v>
      </c>
      <c r="E6029" t="s">
        <v>22464</v>
      </c>
      <c r="F6029" t="s">
        <v>29372</v>
      </c>
      <c r="G6029" t="s">
        <v>29379</v>
      </c>
      <c r="H6029" t="s">
        <v>11048</v>
      </c>
      <c r="I6029" t="s">
        <v>29395</v>
      </c>
      <c r="J6029" t="s">
        <v>30094</v>
      </c>
      <c r="K6029" t="s">
        <v>38490</v>
      </c>
      <c r="M6029" t="s">
        <v>40960</v>
      </c>
      <c r="N6029" t="s">
        <v>42669</v>
      </c>
      <c r="O6029" t="s">
        <v>42670</v>
      </c>
      <c r="P6029">
        <v>0</v>
      </c>
      <c r="Q6029">
        <v>2</v>
      </c>
      <c r="R6029" t="s">
        <v>42677</v>
      </c>
      <c r="S6029" t="s">
        <v>42830</v>
      </c>
      <c r="T6029" t="s">
        <v>44481</v>
      </c>
      <c r="U6029" t="s">
        <v>49761</v>
      </c>
      <c r="W6029" t="s">
        <v>40960</v>
      </c>
      <c r="X6029" t="s">
        <v>42678</v>
      </c>
    </row>
    <row r="6030" spans="1:24">
      <c r="A6030">
        <f>HYPERLINK("https://www.philgeps.gov.ph/GEPSNONPILOT/Tender/SplashBidNoticeAbstractUI.aspx?menuIndex=3&amp;refID=7184765&amp;Result=3","7184765")</f>
        <v>0</v>
      </c>
      <c r="B6030" t="s">
        <v>398</v>
      </c>
      <c r="C6030" t="s">
        <v>9294</v>
      </c>
      <c r="D6030" t="s">
        <v>17151</v>
      </c>
      <c r="E6030" t="s">
        <v>22465</v>
      </c>
      <c r="F6030" t="s">
        <v>29372</v>
      </c>
      <c r="G6030" t="s">
        <v>29380</v>
      </c>
      <c r="H6030" t="s">
        <v>11048</v>
      </c>
      <c r="I6030" t="s">
        <v>3670</v>
      </c>
      <c r="J6030" t="s">
        <v>33427</v>
      </c>
      <c r="K6030" t="s">
        <v>38538</v>
      </c>
      <c r="M6030" t="s">
        <v>39161</v>
      </c>
      <c r="N6030" t="s">
        <v>42669</v>
      </c>
      <c r="O6030" t="s">
        <v>42670</v>
      </c>
      <c r="P6030">
        <v>0</v>
      </c>
      <c r="Q6030">
        <v>2</v>
      </c>
      <c r="R6030" t="s">
        <v>42677</v>
      </c>
      <c r="S6030" t="s">
        <v>42830</v>
      </c>
      <c r="T6030" t="s">
        <v>44709</v>
      </c>
      <c r="U6030" t="s">
        <v>49766</v>
      </c>
      <c r="V6030" t="s">
        <v>56450</v>
      </c>
      <c r="W6030" t="s">
        <v>39161</v>
      </c>
      <c r="X6030" t="s">
        <v>42678</v>
      </c>
    </row>
    <row r="6031" spans="1:24">
      <c r="A6031">
        <f>HYPERLINK("https://www.philgeps.gov.ph/GEPSNONPILOT/Tender/SplashBidNoticeAbstractUI.aspx?menuIndex=3&amp;refID=7184750&amp;Result=3","7184750")</f>
        <v>0</v>
      </c>
      <c r="B6031" t="s">
        <v>1680</v>
      </c>
      <c r="C6031" t="s">
        <v>9295</v>
      </c>
      <c r="D6031" t="s">
        <v>17194</v>
      </c>
      <c r="E6031" t="s">
        <v>22466</v>
      </c>
      <c r="F6031" t="s">
        <v>29372</v>
      </c>
      <c r="G6031" t="s">
        <v>29380</v>
      </c>
      <c r="H6031" t="s">
        <v>11048</v>
      </c>
      <c r="I6031" t="s">
        <v>29397</v>
      </c>
      <c r="J6031" t="s">
        <v>29555</v>
      </c>
      <c r="K6031" t="s">
        <v>38485</v>
      </c>
      <c r="L6031" t="s">
        <v>1680</v>
      </c>
      <c r="M6031" t="s">
        <v>40540</v>
      </c>
      <c r="N6031" t="s">
        <v>42669</v>
      </c>
      <c r="O6031" t="s">
        <v>42670</v>
      </c>
      <c r="P6031">
        <v>0</v>
      </c>
      <c r="Q6031">
        <v>0</v>
      </c>
      <c r="R6031" t="s">
        <v>42677</v>
      </c>
      <c r="S6031" t="s">
        <v>42830</v>
      </c>
      <c r="T6031" t="s">
        <v>44375</v>
      </c>
      <c r="U6031" t="s">
        <v>49767</v>
      </c>
      <c r="V6031" t="s">
        <v>56879</v>
      </c>
      <c r="W6031" t="s">
        <v>40540</v>
      </c>
      <c r="X6031" t="s">
        <v>42678</v>
      </c>
    </row>
    <row r="6032" spans="1:24">
      <c r="A6032">
        <f>HYPERLINK("https://www.philgeps.gov.ph/GEPSNONPILOT/Tender/SplashBidNoticeAbstractUI.aspx?menuIndex=3&amp;refID=7184749&amp;Result=3","7184749")</f>
        <v>0</v>
      </c>
      <c r="B6032" t="s">
        <v>1975</v>
      </c>
      <c r="C6032" t="s">
        <v>9296</v>
      </c>
      <c r="D6032" t="s">
        <v>17195</v>
      </c>
      <c r="E6032" t="s">
        <v>22467</v>
      </c>
      <c r="F6032" t="s">
        <v>29372</v>
      </c>
      <c r="G6032" t="s">
        <v>29380</v>
      </c>
      <c r="H6032" t="s">
        <v>11048</v>
      </c>
      <c r="I6032" t="s">
        <v>29393</v>
      </c>
      <c r="J6032" t="s">
        <v>33428</v>
      </c>
      <c r="K6032" t="s">
        <v>38488</v>
      </c>
      <c r="M6032" t="s">
        <v>40862</v>
      </c>
      <c r="N6032" t="s">
        <v>42669</v>
      </c>
      <c r="O6032" t="s">
        <v>42670</v>
      </c>
      <c r="P6032">
        <v>0</v>
      </c>
      <c r="Q6032">
        <v>1</v>
      </c>
      <c r="R6032" t="s">
        <v>42677</v>
      </c>
      <c r="S6032" t="s">
        <v>42830</v>
      </c>
      <c r="T6032" t="s">
        <v>44368</v>
      </c>
      <c r="U6032" t="s">
        <v>49768</v>
      </c>
      <c r="W6032" t="s">
        <v>40862</v>
      </c>
      <c r="X6032" t="s">
        <v>42678</v>
      </c>
    </row>
    <row r="6033" spans="1:24">
      <c r="A6033">
        <f>HYPERLINK("https://www.philgeps.gov.ph/GEPSNONPILOT/Tender/SplashBidNoticeAbstractUI.aspx?menuIndex=3&amp;refID=7184738&amp;Result=3","7184738")</f>
        <v>0</v>
      </c>
      <c r="B6033" t="s">
        <v>2010</v>
      </c>
      <c r="C6033" t="s">
        <v>9297</v>
      </c>
      <c r="D6033" t="s">
        <v>17143</v>
      </c>
      <c r="E6033" t="s">
        <v>22468</v>
      </c>
      <c r="F6033" t="s">
        <v>29372</v>
      </c>
      <c r="G6033" t="s">
        <v>29379</v>
      </c>
      <c r="H6033" t="s">
        <v>11048</v>
      </c>
      <c r="I6033" t="s">
        <v>29407</v>
      </c>
      <c r="J6033" t="s">
        <v>33429</v>
      </c>
      <c r="K6033" t="s">
        <v>38510</v>
      </c>
      <c r="M6033" t="s">
        <v>40901</v>
      </c>
      <c r="N6033" t="s">
        <v>42669</v>
      </c>
      <c r="O6033" t="s">
        <v>42670</v>
      </c>
      <c r="P6033">
        <v>0</v>
      </c>
      <c r="Q6033">
        <v>6</v>
      </c>
      <c r="R6033" t="s">
        <v>42677</v>
      </c>
      <c r="S6033" t="s">
        <v>42830</v>
      </c>
      <c r="T6033" t="s">
        <v>44432</v>
      </c>
      <c r="U6033" t="s">
        <v>49612</v>
      </c>
      <c r="V6033" t="s">
        <v>57001</v>
      </c>
      <c r="W6033" t="s">
        <v>40901</v>
      </c>
      <c r="X6033" t="s">
        <v>42678</v>
      </c>
    </row>
    <row r="6034" spans="1:24">
      <c r="A6034">
        <f>HYPERLINK("https://www.philgeps.gov.ph/GEPSNONPILOT/Tender/SplashBidNoticeAbstractUI.aspx?menuIndex=3&amp;refID=7184733&amp;Result=3","7184733")</f>
        <v>0</v>
      </c>
      <c r="B6034" t="s">
        <v>2065</v>
      </c>
      <c r="C6034" t="s">
        <v>9298</v>
      </c>
      <c r="D6034" t="s">
        <v>17205</v>
      </c>
      <c r="E6034" t="s">
        <v>22469</v>
      </c>
      <c r="F6034" t="s">
        <v>29372</v>
      </c>
      <c r="G6034" t="s">
        <v>29380</v>
      </c>
      <c r="H6034" t="s">
        <v>29389</v>
      </c>
      <c r="I6034" t="s">
        <v>10408</v>
      </c>
      <c r="J6034" t="s">
        <v>32053</v>
      </c>
      <c r="K6034" t="s">
        <v>38522</v>
      </c>
      <c r="M6034" t="s">
        <v>40963</v>
      </c>
      <c r="N6034" t="s">
        <v>42669</v>
      </c>
      <c r="O6034" t="s">
        <v>42670</v>
      </c>
      <c r="P6034">
        <v>0</v>
      </c>
      <c r="Q6034">
        <v>46</v>
      </c>
      <c r="R6034" t="s">
        <v>42677</v>
      </c>
      <c r="S6034" t="s">
        <v>42830</v>
      </c>
      <c r="T6034" t="s">
        <v>44446</v>
      </c>
      <c r="U6034" t="s">
        <v>49769</v>
      </c>
      <c r="V6034" t="s">
        <v>57021</v>
      </c>
      <c r="W6034" t="s">
        <v>40963</v>
      </c>
      <c r="X6034" t="s">
        <v>42678</v>
      </c>
    </row>
    <row r="6035" spans="1:24">
      <c r="A6035">
        <f>HYPERLINK("https://www.philgeps.gov.ph/GEPSNONPILOT/Tender/SplashBidNoticeAbstractUI.aspx?menuIndex=3&amp;refID=7184730&amp;Result=3","7184730")</f>
        <v>0</v>
      </c>
      <c r="B6035" t="s">
        <v>2016</v>
      </c>
      <c r="C6035" t="s">
        <v>9299</v>
      </c>
      <c r="D6035" t="s">
        <v>17182</v>
      </c>
      <c r="E6035" t="s">
        <v>20094</v>
      </c>
      <c r="F6035" t="s">
        <v>29373</v>
      </c>
      <c r="G6035" t="s">
        <v>29380</v>
      </c>
      <c r="H6035" t="s">
        <v>29389</v>
      </c>
      <c r="I6035" t="s">
        <v>10408</v>
      </c>
      <c r="J6035" t="s">
        <v>33430</v>
      </c>
      <c r="K6035" t="s">
        <v>38495</v>
      </c>
      <c r="M6035" t="s">
        <v>40908</v>
      </c>
      <c r="N6035" t="s">
        <v>42669</v>
      </c>
      <c r="O6035" t="s">
        <v>42670</v>
      </c>
      <c r="P6035">
        <v>0</v>
      </c>
      <c r="Q6035">
        <v>25</v>
      </c>
      <c r="R6035" t="s">
        <v>42677</v>
      </c>
      <c r="S6035" t="s">
        <v>42830</v>
      </c>
      <c r="T6035" t="s">
        <v>44422</v>
      </c>
      <c r="U6035" t="s">
        <v>49770</v>
      </c>
      <c r="W6035" t="s">
        <v>40908</v>
      </c>
      <c r="X6035" t="s">
        <v>42678</v>
      </c>
    </row>
    <row r="6036" spans="1:24">
      <c r="A6036">
        <f>HYPERLINK("https://www.philgeps.gov.ph/GEPSNONPILOT/Tender/SplashBidNoticeAbstractUI.aspx?menuIndex=3&amp;refID=7184726&amp;Result=3","7184726")</f>
        <v>0</v>
      </c>
      <c r="B6036" t="s">
        <v>2066</v>
      </c>
      <c r="C6036" t="s">
        <v>9300</v>
      </c>
      <c r="D6036" t="s">
        <v>17160</v>
      </c>
      <c r="E6036" t="s">
        <v>17972</v>
      </c>
      <c r="F6036" t="s">
        <v>29372</v>
      </c>
      <c r="G6036" t="s">
        <v>29380</v>
      </c>
      <c r="H6036" t="s">
        <v>29389</v>
      </c>
      <c r="I6036" t="s">
        <v>10408</v>
      </c>
      <c r="J6036" t="s">
        <v>29708</v>
      </c>
      <c r="K6036" t="s">
        <v>38496</v>
      </c>
      <c r="M6036" t="s">
        <v>40964</v>
      </c>
      <c r="N6036" t="s">
        <v>42669</v>
      </c>
      <c r="O6036" t="s">
        <v>42670</v>
      </c>
      <c r="P6036">
        <v>0</v>
      </c>
      <c r="Q6036">
        <v>0</v>
      </c>
      <c r="R6036" t="s">
        <v>42677</v>
      </c>
      <c r="S6036" t="s">
        <v>42830</v>
      </c>
      <c r="T6036" t="s">
        <v>44427</v>
      </c>
      <c r="U6036" t="s">
        <v>49771</v>
      </c>
      <c r="V6036" t="s">
        <v>57022</v>
      </c>
      <c r="W6036" t="s">
        <v>40964</v>
      </c>
      <c r="X6036" t="s">
        <v>42678</v>
      </c>
    </row>
    <row r="6037" spans="1:24">
      <c r="A6037">
        <f>HYPERLINK("https://www.philgeps.gov.ph/GEPSNONPILOT/Tender/SplashBidNoticeAbstractUI.aspx?menuIndex=3&amp;refID=7184809&amp;Result=3","7184809")</f>
        <v>0</v>
      </c>
      <c r="B6037" t="s">
        <v>2067</v>
      </c>
      <c r="C6037" t="s">
        <v>9301</v>
      </c>
      <c r="D6037" t="s">
        <v>17160</v>
      </c>
      <c r="E6037" t="s">
        <v>18987</v>
      </c>
      <c r="F6037" t="s">
        <v>29372</v>
      </c>
      <c r="G6037" t="s">
        <v>29379</v>
      </c>
      <c r="H6037" t="s">
        <v>11048</v>
      </c>
      <c r="I6037" t="s">
        <v>29406</v>
      </c>
      <c r="J6037" t="s">
        <v>29799</v>
      </c>
      <c r="K6037" t="s">
        <v>38488</v>
      </c>
      <c r="M6037" t="s">
        <v>40965</v>
      </c>
      <c r="N6037" t="s">
        <v>42669</v>
      </c>
      <c r="O6037" t="s">
        <v>42670</v>
      </c>
      <c r="P6037">
        <v>0</v>
      </c>
      <c r="Q6037">
        <v>3</v>
      </c>
      <c r="R6037" t="s">
        <v>42677</v>
      </c>
      <c r="S6037" t="s">
        <v>42830</v>
      </c>
      <c r="T6037" t="s">
        <v>44427</v>
      </c>
      <c r="U6037" t="s">
        <v>49772</v>
      </c>
      <c r="V6037" t="s">
        <v>57023</v>
      </c>
      <c r="W6037" t="s">
        <v>40965</v>
      </c>
      <c r="X6037" t="s">
        <v>42678</v>
      </c>
    </row>
    <row r="6038" spans="1:24">
      <c r="A6038">
        <f>HYPERLINK("https://www.philgeps.gov.ph/GEPSNONPILOT/Tender/SplashBidNoticeAbstractUI.aspx?menuIndex=3&amp;refID=7184736&amp;Result=3","7184736")</f>
        <v>0</v>
      </c>
      <c r="B6038" t="s">
        <v>2064</v>
      </c>
      <c r="C6038" t="s">
        <v>9302</v>
      </c>
      <c r="D6038" t="s">
        <v>17207</v>
      </c>
      <c r="E6038" t="s">
        <v>22470</v>
      </c>
      <c r="F6038" t="s">
        <v>29372</v>
      </c>
      <c r="G6038" t="s">
        <v>29380</v>
      </c>
      <c r="H6038" t="s">
        <v>29389</v>
      </c>
      <c r="I6038" t="s">
        <v>10408</v>
      </c>
      <c r="J6038" t="s">
        <v>29590</v>
      </c>
      <c r="K6038" t="s">
        <v>38485</v>
      </c>
      <c r="M6038" t="s">
        <v>40962</v>
      </c>
      <c r="N6038" t="s">
        <v>42669</v>
      </c>
      <c r="O6038" t="s">
        <v>42670</v>
      </c>
      <c r="P6038">
        <v>0</v>
      </c>
      <c r="Q6038">
        <v>0</v>
      </c>
      <c r="R6038" t="s">
        <v>42677</v>
      </c>
      <c r="S6038" t="s">
        <v>42830</v>
      </c>
      <c r="T6038" t="s">
        <v>44408</v>
      </c>
      <c r="U6038" t="s">
        <v>49773</v>
      </c>
      <c r="W6038" t="s">
        <v>40962</v>
      </c>
      <c r="X6038" t="s">
        <v>42678</v>
      </c>
    </row>
    <row r="6039" spans="1:24">
      <c r="A6039">
        <f>HYPERLINK("https://www.philgeps.gov.ph/GEPSNONPILOT/Tender/SplashBidNoticeAbstractUI.aspx?menuIndex=3&amp;refID=7184807&amp;Result=3","7184807")</f>
        <v>0</v>
      </c>
      <c r="B6039" t="s">
        <v>838</v>
      </c>
      <c r="C6039" t="s">
        <v>9303</v>
      </c>
      <c r="D6039" t="s">
        <v>17193</v>
      </c>
      <c r="E6039" t="s">
        <v>22471</v>
      </c>
      <c r="F6039" t="s">
        <v>29372</v>
      </c>
      <c r="G6039" t="s">
        <v>29379</v>
      </c>
      <c r="H6039" t="s">
        <v>11048</v>
      </c>
      <c r="I6039" t="s">
        <v>3839</v>
      </c>
      <c r="J6039" t="s">
        <v>29555</v>
      </c>
      <c r="K6039" t="s">
        <v>38485</v>
      </c>
      <c r="M6039" t="s">
        <v>39628</v>
      </c>
      <c r="N6039" t="s">
        <v>42669</v>
      </c>
      <c r="O6039" t="s">
        <v>42670</v>
      </c>
      <c r="P6039">
        <v>0</v>
      </c>
      <c r="Q6039">
        <v>3</v>
      </c>
      <c r="R6039" t="s">
        <v>42677</v>
      </c>
      <c r="S6039" t="s">
        <v>42830</v>
      </c>
      <c r="T6039" t="s">
        <v>44579</v>
      </c>
      <c r="U6039" t="s">
        <v>49774</v>
      </c>
      <c r="W6039" t="s">
        <v>58068</v>
      </c>
      <c r="X6039" t="s">
        <v>42678</v>
      </c>
    </row>
    <row r="6040" spans="1:24">
      <c r="A6040">
        <f>HYPERLINK("https://www.philgeps.gov.ph/GEPSNONPILOT/Tender/SplashBidNoticeAbstractUI.aspx?menuIndex=3&amp;refID=7184707&amp;Result=3","7184707")</f>
        <v>0</v>
      </c>
      <c r="B6040" t="s">
        <v>1476</v>
      </c>
      <c r="C6040" t="s">
        <v>9304</v>
      </c>
      <c r="D6040" t="s">
        <v>17153</v>
      </c>
      <c r="E6040" t="s">
        <v>22472</v>
      </c>
      <c r="F6040" t="s">
        <v>29372</v>
      </c>
      <c r="G6040" t="s">
        <v>29380</v>
      </c>
      <c r="H6040" t="s">
        <v>29389</v>
      </c>
      <c r="I6040" t="s">
        <v>10408</v>
      </c>
      <c r="J6040" t="s">
        <v>33431</v>
      </c>
      <c r="K6040" t="s">
        <v>38494</v>
      </c>
      <c r="M6040" t="s">
        <v>40934</v>
      </c>
      <c r="N6040" t="s">
        <v>42669</v>
      </c>
      <c r="O6040" t="s">
        <v>42670</v>
      </c>
      <c r="P6040">
        <v>0</v>
      </c>
      <c r="Q6040">
        <v>1</v>
      </c>
      <c r="R6040" t="s">
        <v>42677</v>
      </c>
      <c r="S6040" t="s">
        <v>42830</v>
      </c>
      <c r="T6040" t="s">
        <v>44368</v>
      </c>
      <c r="U6040" t="s">
        <v>49775</v>
      </c>
      <c r="W6040" t="s">
        <v>40934</v>
      </c>
      <c r="X6040" t="s">
        <v>42678</v>
      </c>
    </row>
    <row r="6041" spans="1:24">
      <c r="A6041">
        <f>HYPERLINK("https://www.philgeps.gov.ph/GEPSNONPILOT/Tender/SplashBidNoticeAbstractUI.aspx?menuIndex=3&amp;refID=7184797&amp;Result=3","7184797")</f>
        <v>0</v>
      </c>
      <c r="B6041" t="s">
        <v>2010</v>
      </c>
      <c r="C6041" t="s">
        <v>9305</v>
      </c>
      <c r="D6041" t="s">
        <v>17143</v>
      </c>
      <c r="E6041" t="s">
        <v>22473</v>
      </c>
      <c r="F6041" t="s">
        <v>29372</v>
      </c>
      <c r="G6041" t="s">
        <v>29379</v>
      </c>
      <c r="H6041" t="s">
        <v>11048</v>
      </c>
      <c r="I6041" t="s">
        <v>29426</v>
      </c>
      <c r="J6041" t="s">
        <v>33432</v>
      </c>
      <c r="K6041" t="s">
        <v>38488</v>
      </c>
      <c r="M6041" t="s">
        <v>40901</v>
      </c>
      <c r="N6041" t="s">
        <v>42669</v>
      </c>
      <c r="O6041" t="s">
        <v>42670</v>
      </c>
      <c r="P6041">
        <v>0</v>
      </c>
      <c r="Q6041">
        <v>0</v>
      </c>
      <c r="R6041" t="s">
        <v>42677</v>
      </c>
      <c r="S6041" t="s">
        <v>42830</v>
      </c>
      <c r="T6041" t="s">
        <v>44432</v>
      </c>
      <c r="U6041" t="s">
        <v>49612</v>
      </c>
      <c r="V6041" t="s">
        <v>57001</v>
      </c>
      <c r="W6041" t="s">
        <v>40901</v>
      </c>
      <c r="X6041" t="s">
        <v>42678</v>
      </c>
    </row>
    <row r="6042" spans="1:24">
      <c r="A6042">
        <f>HYPERLINK("https://www.philgeps.gov.ph/GEPSNONPILOT/Tender/SplashBidNoticeAbstractUI.aspx?menuIndex=3&amp;refID=7184796&amp;Result=3","7184796")</f>
        <v>0</v>
      </c>
      <c r="B6042" t="s">
        <v>2066</v>
      </c>
      <c r="C6042" t="s">
        <v>9306</v>
      </c>
      <c r="D6042" t="s">
        <v>17160</v>
      </c>
      <c r="E6042" t="s">
        <v>17870</v>
      </c>
      <c r="F6042" t="s">
        <v>29372</v>
      </c>
      <c r="G6042" t="s">
        <v>29380</v>
      </c>
      <c r="H6042" t="s">
        <v>11048</v>
      </c>
      <c r="I6042" t="s">
        <v>8614</v>
      </c>
      <c r="J6042" t="s">
        <v>29555</v>
      </c>
      <c r="K6042" t="s">
        <v>38485</v>
      </c>
      <c r="M6042" t="s">
        <v>40964</v>
      </c>
      <c r="N6042" t="s">
        <v>42669</v>
      </c>
      <c r="O6042" t="s">
        <v>42670</v>
      </c>
      <c r="P6042">
        <v>0</v>
      </c>
      <c r="Q6042">
        <v>3</v>
      </c>
      <c r="R6042" t="s">
        <v>42677</v>
      </c>
      <c r="S6042" t="s">
        <v>42830</v>
      </c>
      <c r="T6042" t="s">
        <v>44549</v>
      </c>
      <c r="U6042" t="s">
        <v>49776</v>
      </c>
      <c r="V6042" t="s">
        <v>57024</v>
      </c>
      <c r="W6042" t="s">
        <v>40964</v>
      </c>
      <c r="X6042" t="s">
        <v>42678</v>
      </c>
    </row>
    <row r="6043" spans="1:24">
      <c r="A6043">
        <f>HYPERLINK("https://www.philgeps.gov.ph/GEPSNONPILOT/Tender/SplashBidNoticeAbstractUI.aspx?menuIndex=3&amp;refID=7184793&amp;Result=3","7184793")</f>
        <v>0</v>
      </c>
      <c r="B6043" t="s">
        <v>39</v>
      </c>
      <c r="C6043" t="s">
        <v>9307</v>
      </c>
      <c r="D6043" t="s">
        <v>17152</v>
      </c>
      <c r="E6043" t="s">
        <v>22474</v>
      </c>
      <c r="F6043" t="s">
        <v>29372</v>
      </c>
      <c r="G6043" t="s">
        <v>29379</v>
      </c>
      <c r="H6043" t="s">
        <v>11048</v>
      </c>
      <c r="I6043" t="s">
        <v>29429</v>
      </c>
      <c r="J6043" t="s">
        <v>31983</v>
      </c>
      <c r="K6043" t="s">
        <v>38491</v>
      </c>
      <c r="M6043" t="s">
        <v>38792</v>
      </c>
      <c r="N6043" t="s">
        <v>42669</v>
      </c>
      <c r="O6043" t="s">
        <v>42670</v>
      </c>
      <c r="P6043">
        <v>0</v>
      </c>
      <c r="Q6043">
        <v>0</v>
      </c>
      <c r="R6043" t="s">
        <v>42677</v>
      </c>
      <c r="S6043" t="s">
        <v>42830</v>
      </c>
      <c r="T6043" t="s">
        <v>44432</v>
      </c>
      <c r="U6043" t="s">
        <v>49777</v>
      </c>
      <c r="W6043" t="s">
        <v>38792</v>
      </c>
      <c r="X6043" t="s">
        <v>42678</v>
      </c>
    </row>
    <row r="6044" spans="1:24">
      <c r="A6044">
        <f>HYPERLINK("https://www.philgeps.gov.ph/GEPSNONPILOT/Tender/SplashBidNoticeAbstractUI.aspx?menuIndex=3&amp;refID=7184790&amp;Result=3","7184790")</f>
        <v>0</v>
      </c>
      <c r="B6044" t="s">
        <v>2064</v>
      </c>
      <c r="C6044" t="s">
        <v>9308</v>
      </c>
      <c r="D6044" t="s">
        <v>17207</v>
      </c>
      <c r="E6044" t="s">
        <v>22475</v>
      </c>
      <c r="F6044" t="s">
        <v>29372</v>
      </c>
      <c r="G6044" t="s">
        <v>29380</v>
      </c>
      <c r="H6044" t="s">
        <v>29389</v>
      </c>
      <c r="I6044" t="s">
        <v>10408</v>
      </c>
      <c r="J6044" t="s">
        <v>29721</v>
      </c>
      <c r="K6044" t="s">
        <v>38503</v>
      </c>
      <c r="M6044" t="s">
        <v>40962</v>
      </c>
      <c r="N6044" t="s">
        <v>42669</v>
      </c>
      <c r="O6044" t="s">
        <v>42670</v>
      </c>
      <c r="P6044">
        <v>0</v>
      </c>
      <c r="Q6044">
        <v>0</v>
      </c>
      <c r="R6044" t="s">
        <v>42677</v>
      </c>
      <c r="S6044" t="s">
        <v>42830</v>
      </c>
      <c r="T6044" t="s">
        <v>44710</v>
      </c>
      <c r="U6044" t="s">
        <v>49778</v>
      </c>
      <c r="W6044" t="s">
        <v>40962</v>
      </c>
      <c r="X6044" t="s">
        <v>42678</v>
      </c>
    </row>
    <row r="6045" spans="1:24">
      <c r="A6045">
        <f>HYPERLINK("https://www.philgeps.gov.ph/GEPSNONPILOT/Tender/SplashBidNoticeAbstractUI.aspx?menuIndex=3&amp;refID=7184789&amp;Result=3","7184789")</f>
        <v>0</v>
      </c>
      <c r="B6045" t="s">
        <v>2068</v>
      </c>
      <c r="C6045" t="s">
        <v>9309</v>
      </c>
      <c r="D6045" t="s">
        <v>17170</v>
      </c>
      <c r="E6045" t="s">
        <v>22476</v>
      </c>
      <c r="F6045" t="s">
        <v>29372</v>
      </c>
      <c r="G6045" t="s">
        <v>29380</v>
      </c>
      <c r="H6045" t="s">
        <v>29389</v>
      </c>
      <c r="I6045" t="s">
        <v>10408</v>
      </c>
      <c r="J6045" t="s">
        <v>33433</v>
      </c>
      <c r="K6045" t="s">
        <v>38488</v>
      </c>
      <c r="M6045" t="s">
        <v>40966</v>
      </c>
      <c r="N6045" t="s">
        <v>42669</v>
      </c>
      <c r="O6045" t="s">
        <v>42670</v>
      </c>
      <c r="P6045">
        <v>0</v>
      </c>
      <c r="Q6045">
        <v>1</v>
      </c>
      <c r="R6045" t="s">
        <v>42677</v>
      </c>
      <c r="S6045" t="s">
        <v>42830</v>
      </c>
      <c r="T6045" t="s">
        <v>44503</v>
      </c>
      <c r="U6045" t="s">
        <v>49779</v>
      </c>
      <c r="V6045" t="s">
        <v>57025</v>
      </c>
      <c r="W6045" t="s">
        <v>40966</v>
      </c>
      <c r="X6045" t="s">
        <v>42678</v>
      </c>
    </row>
    <row r="6046" spans="1:24">
      <c r="A6046">
        <f>HYPERLINK("https://www.philgeps.gov.ph/GEPSNONPILOT/Tender/SplashBidNoticeAbstractUI.aspx?menuIndex=3&amp;refID=7184788&amp;Result=3","7184788")</f>
        <v>0</v>
      </c>
      <c r="B6046" t="s">
        <v>2054</v>
      </c>
      <c r="C6046" t="s">
        <v>9310</v>
      </c>
      <c r="D6046" t="s">
        <v>17194</v>
      </c>
      <c r="E6046" t="s">
        <v>22477</v>
      </c>
      <c r="F6046" t="s">
        <v>29372</v>
      </c>
      <c r="G6046" t="s">
        <v>29382</v>
      </c>
      <c r="H6046" t="s">
        <v>11048</v>
      </c>
      <c r="I6046" t="s">
        <v>29398</v>
      </c>
      <c r="J6046" t="s">
        <v>33281</v>
      </c>
      <c r="K6046" t="s">
        <v>38485</v>
      </c>
      <c r="M6046" t="s">
        <v>40952</v>
      </c>
      <c r="N6046" t="s">
        <v>42669</v>
      </c>
      <c r="O6046" t="s">
        <v>42670</v>
      </c>
      <c r="P6046">
        <v>0</v>
      </c>
      <c r="Q6046">
        <v>8</v>
      </c>
      <c r="R6046" t="s">
        <v>42677</v>
      </c>
      <c r="S6046" t="s">
        <v>42830</v>
      </c>
      <c r="T6046" t="s">
        <v>44488</v>
      </c>
      <c r="U6046" t="s">
        <v>49780</v>
      </c>
      <c r="V6046" t="s">
        <v>56676</v>
      </c>
      <c r="W6046" t="s">
        <v>40952</v>
      </c>
      <c r="X6046" t="s">
        <v>42678</v>
      </c>
    </row>
    <row r="6047" spans="1:24">
      <c r="A6047">
        <f>HYPERLINK("https://www.philgeps.gov.ph/GEPSNONPILOT/Tender/SplashBidNoticeAbstractUI.aspx?menuIndex=3&amp;refID=7184806&amp;Result=3","7184806")</f>
        <v>0</v>
      </c>
      <c r="B6047" t="s">
        <v>771</v>
      </c>
      <c r="C6047" t="s">
        <v>9311</v>
      </c>
      <c r="D6047" t="s">
        <v>17141</v>
      </c>
      <c r="E6047" t="s">
        <v>22478</v>
      </c>
      <c r="F6047" t="s">
        <v>29372</v>
      </c>
      <c r="G6047" t="s">
        <v>29379</v>
      </c>
      <c r="H6047" t="s">
        <v>11048</v>
      </c>
      <c r="I6047" t="s">
        <v>5383</v>
      </c>
      <c r="J6047" t="s">
        <v>33434</v>
      </c>
      <c r="K6047" t="s">
        <v>38488</v>
      </c>
      <c r="M6047" t="s">
        <v>39555</v>
      </c>
      <c r="N6047" t="s">
        <v>42669</v>
      </c>
      <c r="O6047" t="s">
        <v>42670</v>
      </c>
      <c r="P6047">
        <v>0</v>
      </c>
      <c r="Q6047">
        <v>14</v>
      </c>
      <c r="R6047" t="s">
        <v>42677</v>
      </c>
      <c r="S6047" t="s">
        <v>42830</v>
      </c>
      <c r="T6047" t="s">
        <v>44468</v>
      </c>
      <c r="U6047" t="s">
        <v>46440</v>
      </c>
      <c r="W6047" t="s">
        <v>39555</v>
      </c>
      <c r="X6047" t="s">
        <v>42678</v>
      </c>
    </row>
    <row r="6048" spans="1:24">
      <c r="A6048">
        <f>HYPERLINK("https://www.philgeps.gov.ph/GEPSNONPILOT/Tender/SplashBidNoticeAbstractUI.aspx?menuIndex=3&amp;refID=7184787&amp;Result=3","7184787")</f>
        <v>0</v>
      </c>
      <c r="B6048" t="s">
        <v>2069</v>
      </c>
      <c r="C6048" t="s">
        <v>9312</v>
      </c>
      <c r="D6048" t="s">
        <v>17222</v>
      </c>
      <c r="E6048" t="s">
        <v>22479</v>
      </c>
      <c r="F6048" t="s">
        <v>29372</v>
      </c>
      <c r="G6048" t="s">
        <v>29379</v>
      </c>
      <c r="H6048" t="s">
        <v>11048</v>
      </c>
      <c r="I6048" t="s">
        <v>3670</v>
      </c>
      <c r="J6048" t="s">
        <v>32206</v>
      </c>
      <c r="K6048" t="s">
        <v>38488</v>
      </c>
      <c r="M6048" t="s">
        <v>40967</v>
      </c>
      <c r="N6048" t="s">
        <v>42669</v>
      </c>
      <c r="O6048" t="s">
        <v>42670</v>
      </c>
      <c r="P6048">
        <v>0</v>
      </c>
      <c r="Q6048">
        <v>0</v>
      </c>
      <c r="R6048" t="s">
        <v>42677</v>
      </c>
      <c r="S6048" t="s">
        <v>42830</v>
      </c>
      <c r="T6048" t="s">
        <v>44488</v>
      </c>
      <c r="U6048" t="s">
        <v>49781</v>
      </c>
      <c r="W6048" t="s">
        <v>40967</v>
      </c>
      <c r="X6048" t="s">
        <v>42678</v>
      </c>
    </row>
    <row r="6049" spans="1:24">
      <c r="A6049">
        <f>HYPERLINK("https://www.philgeps.gov.ph/GEPSNONPILOT/Tender/SplashBidNoticeAbstractUI.aspx?menuIndex=3&amp;refID=7184843&amp;Result=3","7184843")</f>
        <v>0</v>
      </c>
      <c r="B6049" t="s">
        <v>2070</v>
      </c>
      <c r="C6049" t="s">
        <v>9313</v>
      </c>
      <c r="D6049" t="s">
        <v>17170</v>
      </c>
      <c r="E6049" t="s">
        <v>22480</v>
      </c>
      <c r="F6049" t="s">
        <v>29372</v>
      </c>
      <c r="G6049" t="s">
        <v>29380</v>
      </c>
      <c r="H6049" t="s">
        <v>11048</v>
      </c>
      <c r="I6049" t="s">
        <v>29425</v>
      </c>
      <c r="J6049" t="s">
        <v>30087</v>
      </c>
      <c r="K6049" t="s">
        <v>38485</v>
      </c>
      <c r="M6049" t="s">
        <v>40968</v>
      </c>
      <c r="N6049" t="s">
        <v>42669</v>
      </c>
      <c r="O6049" t="s">
        <v>42670</v>
      </c>
      <c r="P6049">
        <v>0</v>
      </c>
      <c r="Q6049">
        <v>1</v>
      </c>
      <c r="R6049" t="s">
        <v>42677</v>
      </c>
      <c r="S6049" t="s">
        <v>42830</v>
      </c>
      <c r="T6049" t="s">
        <v>44371</v>
      </c>
      <c r="U6049" t="s">
        <v>49782</v>
      </c>
      <c r="V6049" t="s">
        <v>57026</v>
      </c>
      <c r="W6049" t="s">
        <v>40968</v>
      </c>
      <c r="X6049" t="s">
        <v>42678</v>
      </c>
    </row>
    <row r="6050" spans="1:24">
      <c r="A6050">
        <f>HYPERLINK("https://www.philgeps.gov.ph/GEPSNONPILOT/Tender/SplashBidNoticeAbstractUI.aspx?menuIndex=3&amp;refID=7184872&amp;Result=3","7184872")</f>
        <v>0</v>
      </c>
      <c r="B6050" t="s">
        <v>2071</v>
      </c>
      <c r="C6050" t="s">
        <v>9314</v>
      </c>
      <c r="D6050" t="s">
        <v>17210</v>
      </c>
      <c r="E6050" t="s">
        <v>22481</v>
      </c>
      <c r="F6050" t="s">
        <v>29372</v>
      </c>
      <c r="G6050" t="s">
        <v>29380</v>
      </c>
      <c r="H6050" t="s">
        <v>29389</v>
      </c>
      <c r="I6050" t="s">
        <v>10408</v>
      </c>
      <c r="J6050" t="s">
        <v>33435</v>
      </c>
      <c r="K6050" t="s">
        <v>38490</v>
      </c>
      <c r="M6050" t="s">
        <v>40969</v>
      </c>
      <c r="N6050" t="s">
        <v>42669</v>
      </c>
      <c r="O6050" t="s">
        <v>42670</v>
      </c>
      <c r="P6050">
        <v>0</v>
      </c>
      <c r="Q6050">
        <v>0</v>
      </c>
      <c r="R6050" t="s">
        <v>42677</v>
      </c>
      <c r="S6050" t="s">
        <v>42830</v>
      </c>
      <c r="T6050" t="s">
        <v>44539</v>
      </c>
      <c r="U6050" t="s">
        <v>49783</v>
      </c>
      <c r="W6050" t="s">
        <v>40969</v>
      </c>
      <c r="X6050" t="s">
        <v>42678</v>
      </c>
    </row>
    <row r="6051" spans="1:24">
      <c r="A6051">
        <f>HYPERLINK("https://www.philgeps.gov.ph/GEPSNONPILOT/Tender/SplashBidNoticeAbstractUI.aspx?menuIndex=3&amp;refID=7184740&amp;Result=3","7184740")</f>
        <v>0</v>
      </c>
      <c r="B6051" t="s">
        <v>294</v>
      </c>
      <c r="C6051" t="s">
        <v>9315</v>
      </c>
      <c r="D6051" t="s">
        <v>17209</v>
      </c>
      <c r="E6051" t="s">
        <v>17984</v>
      </c>
      <c r="F6051" t="s">
        <v>29372</v>
      </c>
      <c r="G6051" t="s">
        <v>29380</v>
      </c>
      <c r="H6051" t="s">
        <v>11048</v>
      </c>
      <c r="I6051" t="s">
        <v>8614</v>
      </c>
      <c r="J6051" t="s">
        <v>33436</v>
      </c>
      <c r="K6051" t="s">
        <v>38485</v>
      </c>
      <c r="M6051" t="s">
        <v>39053</v>
      </c>
      <c r="N6051" t="s">
        <v>42669</v>
      </c>
      <c r="O6051" t="s">
        <v>42670</v>
      </c>
      <c r="P6051">
        <v>0</v>
      </c>
      <c r="Q6051">
        <v>4</v>
      </c>
      <c r="R6051" t="s">
        <v>42677</v>
      </c>
      <c r="S6051" t="s">
        <v>42830</v>
      </c>
      <c r="T6051" t="s">
        <v>44365</v>
      </c>
      <c r="U6051" t="s">
        <v>49784</v>
      </c>
      <c r="W6051" t="s">
        <v>39053</v>
      </c>
      <c r="X6051" t="s">
        <v>42678</v>
      </c>
    </row>
    <row r="6052" spans="1:24">
      <c r="A6052">
        <f>HYPERLINK("https://www.philgeps.gov.ph/GEPSNONPILOT/Tender/SplashBidNoticeAbstractUI.aspx?menuIndex=3&amp;refID=7184791&amp;Result=3","7184791")</f>
        <v>0</v>
      </c>
      <c r="B6052" t="s">
        <v>2036</v>
      </c>
      <c r="C6052" t="s">
        <v>9246</v>
      </c>
      <c r="D6052" t="s">
        <v>17228</v>
      </c>
      <c r="E6052" t="s">
        <v>22482</v>
      </c>
      <c r="F6052" t="s">
        <v>29372</v>
      </c>
      <c r="G6052" t="s">
        <v>29380</v>
      </c>
      <c r="H6052" t="s">
        <v>11048</v>
      </c>
      <c r="I6052" t="s">
        <v>3839</v>
      </c>
      <c r="J6052" t="s">
        <v>33437</v>
      </c>
      <c r="K6052" t="s">
        <v>38489</v>
      </c>
      <c r="M6052" t="s">
        <v>40932</v>
      </c>
      <c r="N6052" t="s">
        <v>42669</v>
      </c>
      <c r="O6052" t="s">
        <v>42670</v>
      </c>
      <c r="P6052">
        <v>0</v>
      </c>
      <c r="Q6052">
        <v>2</v>
      </c>
      <c r="R6052" t="s">
        <v>42677</v>
      </c>
      <c r="S6052" t="s">
        <v>42830</v>
      </c>
      <c r="T6052" t="s">
        <v>44707</v>
      </c>
      <c r="U6052" t="s">
        <v>49727</v>
      </c>
      <c r="W6052" t="s">
        <v>40932</v>
      </c>
      <c r="X6052" t="s">
        <v>42678</v>
      </c>
    </row>
    <row r="6053" spans="1:24">
      <c r="A6053">
        <f>HYPERLINK("https://www.philgeps.gov.ph/GEPSNONPILOT/Tender/SplashBidNoticeAbstractUI.aspx?menuIndex=3&amp;refID=7184866&amp;Result=3","7184866")</f>
        <v>0</v>
      </c>
      <c r="B6053" t="s">
        <v>2072</v>
      </c>
      <c r="C6053" t="s">
        <v>9316</v>
      </c>
      <c r="D6053" t="s">
        <v>17194</v>
      </c>
      <c r="E6053" t="s">
        <v>22483</v>
      </c>
      <c r="F6053" t="s">
        <v>29372</v>
      </c>
      <c r="G6053" t="s">
        <v>29380</v>
      </c>
      <c r="H6053" t="s">
        <v>29390</v>
      </c>
      <c r="I6053" t="s">
        <v>29417</v>
      </c>
      <c r="J6053" t="s">
        <v>29587</v>
      </c>
      <c r="K6053" t="s">
        <v>38485</v>
      </c>
      <c r="M6053" t="s">
        <v>40970</v>
      </c>
      <c r="N6053" t="s">
        <v>42669</v>
      </c>
      <c r="O6053" t="s">
        <v>42670</v>
      </c>
      <c r="P6053">
        <v>0</v>
      </c>
      <c r="Q6053">
        <v>0</v>
      </c>
      <c r="R6053" t="s">
        <v>42677</v>
      </c>
      <c r="S6053" t="s">
        <v>42830</v>
      </c>
      <c r="T6053" t="s">
        <v>44429</v>
      </c>
      <c r="U6053" t="s">
        <v>49785</v>
      </c>
      <c r="V6053" t="s">
        <v>57027</v>
      </c>
      <c r="W6053" t="s">
        <v>40970</v>
      </c>
      <c r="X6053" t="s">
        <v>42678</v>
      </c>
    </row>
    <row r="6054" spans="1:24">
      <c r="A6054">
        <f>HYPERLINK("https://www.philgeps.gov.ph/GEPSNONPILOT/Tender/SplashBidNoticeAbstractUI.aspx?menuIndex=3&amp;refID=7184799&amp;Result=3","7184799")</f>
        <v>0</v>
      </c>
      <c r="B6054" t="s">
        <v>2073</v>
      </c>
      <c r="C6054" t="s">
        <v>9317</v>
      </c>
      <c r="D6054" t="s">
        <v>17151</v>
      </c>
      <c r="E6054" t="s">
        <v>22484</v>
      </c>
      <c r="F6054" t="s">
        <v>29372</v>
      </c>
      <c r="G6054" t="s">
        <v>29380</v>
      </c>
      <c r="H6054" t="s">
        <v>29389</v>
      </c>
      <c r="I6054" t="s">
        <v>10408</v>
      </c>
      <c r="J6054" t="s">
        <v>33438</v>
      </c>
      <c r="K6054" t="s">
        <v>38502</v>
      </c>
      <c r="M6054" t="s">
        <v>40971</v>
      </c>
      <c r="N6054" t="s">
        <v>42669</v>
      </c>
      <c r="O6054" t="s">
        <v>42670</v>
      </c>
      <c r="P6054">
        <v>0</v>
      </c>
      <c r="Q6054">
        <v>6</v>
      </c>
      <c r="R6054" t="s">
        <v>42677</v>
      </c>
      <c r="S6054" t="s">
        <v>42830</v>
      </c>
      <c r="T6054" t="s">
        <v>44368</v>
      </c>
      <c r="U6054" t="s">
        <v>49786</v>
      </c>
      <c r="V6054" t="s">
        <v>57028</v>
      </c>
      <c r="W6054" t="s">
        <v>40971</v>
      </c>
      <c r="X6054" t="s">
        <v>42678</v>
      </c>
    </row>
    <row r="6055" spans="1:24">
      <c r="A6055">
        <f>HYPERLINK("https://www.philgeps.gov.ph/GEPSNONPILOT/Tender/SplashBidNoticeAbstractUI.aspx?menuIndex=3&amp;refID=7184842&amp;Result=3","7184842")</f>
        <v>0</v>
      </c>
      <c r="B6055" t="s">
        <v>1037</v>
      </c>
      <c r="C6055" t="s">
        <v>9318</v>
      </c>
      <c r="D6055" t="s">
        <v>17188</v>
      </c>
      <c r="E6055" t="s">
        <v>22485</v>
      </c>
      <c r="F6055" t="s">
        <v>29372</v>
      </c>
      <c r="G6055" t="s">
        <v>29380</v>
      </c>
      <c r="H6055" t="s">
        <v>11048</v>
      </c>
      <c r="I6055" t="s">
        <v>4709</v>
      </c>
      <c r="J6055" t="s">
        <v>33439</v>
      </c>
      <c r="K6055" t="s">
        <v>38490</v>
      </c>
      <c r="M6055" t="s">
        <v>39841</v>
      </c>
      <c r="N6055" t="s">
        <v>42669</v>
      </c>
      <c r="O6055" t="s">
        <v>42670</v>
      </c>
      <c r="P6055">
        <v>0</v>
      </c>
      <c r="Q6055">
        <v>0</v>
      </c>
      <c r="R6055" t="s">
        <v>42677</v>
      </c>
      <c r="S6055" t="s">
        <v>42830</v>
      </c>
      <c r="T6055" t="s">
        <v>44549</v>
      </c>
      <c r="U6055" t="s">
        <v>49787</v>
      </c>
      <c r="W6055" t="s">
        <v>39841</v>
      </c>
      <c r="X6055" t="s">
        <v>42678</v>
      </c>
    </row>
    <row r="6056" spans="1:24">
      <c r="A6056">
        <f>HYPERLINK("https://www.philgeps.gov.ph/GEPSNONPILOT/Tender/SplashBidNoticeAbstractUI.aspx?menuIndex=3&amp;refID=7184860&amp;Result=3","7184860")</f>
        <v>0</v>
      </c>
      <c r="B6056" t="s">
        <v>2036</v>
      </c>
      <c r="C6056" t="s">
        <v>9319</v>
      </c>
      <c r="D6056" t="s">
        <v>17228</v>
      </c>
      <c r="E6056" t="s">
        <v>22486</v>
      </c>
      <c r="F6056" t="s">
        <v>29372</v>
      </c>
      <c r="G6056" t="s">
        <v>29380</v>
      </c>
      <c r="H6056" t="s">
        <v>11048</v>
      </c>
      <c r="I6056" t="s">
        <v>29407</v>
      </c>
      <c r="J6056" t="s">
        <v>33440</v>
      </c>
      <c r="K6056" t="s">
        <v>38489</v>
      </c>
      <c r="M6056" t="s">
        <v>40932</v>
      </c>
      <c r="N6056" t="s">
        <v>42669</v>
      </c>
      <c r="O6056" t="s">
        <v>42670</v>
      </c>
      <c r="P6056">
        <v>0</v>
      </c>
      <c r="Q6056">
        <v>3</v>
      </c>
      <c r="R6056" t="s">
        <v>42677</v>
      </c>
      <c r="S6056" t="s">
        <v>42830</v>
      </c>
      <c r="T6056" t="s">
        <v>44707</v>
      </c>
      <c r="U6056" t="s">
        <v>49727</v>
      </c>
      <c r="W6056" t="s">
        <v>40932</v>
      </c>
      <c r="X6056" t="s">
        <v>42678</v>
      </c>
    </row>
    <row r="6057" spans="1:24">
      <c r="A6057">
        <f>HYPERLINK("https://www.philgeps.gov.ph/GEPSNONPILOT/Tender/SplashBidNoticeAbstractUI.aspx?menuIndex=3&amp;refID=7184870&amp;Result=3","7184870")</f>
        <v>0</v>
      </c>
      <c r="B6057" t="s">
        <v>2074</v>
      </c>
      <c r="C6057" t="s">
        <v>9320</v>
      </c>
      <c r="D6057" t="s">
        <v>17184</v>
      </c>
      <c r="E6057" t="s">
        <v>17994</v>
      </c>
      <c r="F6057" t="s">
        <v>29372</v>
      </c>
      <c r="G6057" t="s">
        <v>29380</v>
      </c>
      <c r="H6057" t="s">
        <v>11048</v>
      </c>
      <c r="I6057" t="s">
        <v>4709</v>
      </c>
      <c r="J6057" t="s">
        <v>33441</v>
      </c>
      <c r="K6057" t="s">
        <v>38485</v>
      </c>
      <c r="M6057" t="s">
        <v>40972</v>
      </c>
      <c r="N6057" t="s">
        <v>42669</v>
      </c>
      <c r="O6057" t="s">
        <v>42670</v>
      </c>
      <c r="P6057">
        <v>0</v>
      </c>
      <c r="Q6057">
        <v>0</v>
      </c>
      <c r="R6057" t="s">
        <v>42677</v>
      </c>
      <c r="S6057" t="s">
        <v>42830</v>
      </c>
      <c r="T6057" t="s">
        <v>44355</v>
      </c>
      <c r="U6057" t="s">
        <v>49788</v>
      </c>
      <c r="V6057" t="s">
        <v>57029</v>
      </c>
      <c r="W6057" t="s">
        <v>40972</v>
      </c>
      <c r="X6057" t="s">
        <v>42678</v>
      </c>
    </row>
    <row r="6058" spans="1:24">
      <c r="A6058">
        <f>HYPERLINK("https://www.philgeps.gov.ph/GEPSNONPILOT/Tender/SplashBidNoticeAbstractUI.aspx?menuIndex=3&amp;refID=7184845&amp;Result=3","7184845")</f>
        <v>0</v>
      </c>
      <c r="B6058" t="s">
        <v>2036</v>
      </c>
      <c r="C6058" t="s">
        <v>9321</v>
      </c>
      <c r="D6058" t="s">
        <v>17228</v>
      </c>
      <c r="E6058" t="s">
        <v>21132</v>
      </c>
      <c r="F6058" t="s">
        <v>29372</v>
      </c>
      <c r="G6058" t="s">
        <v>29380</v>
      </c>
      <c r="H6058" t="s">
        <v>29389</v>
      </c>
      <c r="I6058" t="s">
        <v>10408</v>
      </c>
      <c r="J6058" t="s">
        <v>29590</v>
      </c>
      <c r="K6058" t="s">
        <v>38487</v>
      </c>
      <c r="M6058" t="s">
        <v>40932</v>
      </c>
      <c r="N6058" t="s">
        <v>42669</v>
      </c>
      <c r="O6058" t="s">
        <v>42670</v>
      </c>
      <c r="P6058">
        <v>0</v>
      </c>
      <c r="Q6058">
        <v>0</v>
      </c>
      <c r="R6058" t="s">
        <v>42677</v>
      </c>
      <c r="S6058" t="s">
        <v>42830</v>
      </c>
      <c r="T6058" t="s">
        <v>44707</v>
      </c>
      <c r="U6058" t="s">
        <v>49727</v>
      </c>
      <c r="W6058" t="s">
        <v>40932</v>
      </c>
      <c r="X6058" t="s">
        <v>42678</v>
      </c>
    </row>
    <row r="6059" spans="1:24">
      <c r="A6059">
        <f>HYPERLINK("https://www.philgeps.gov.ph/GEPSNONPILOT/Tender/SplashBidNoticeAbstractUI.aspx?menuIndex=3&amp;refID=7184837&amp;Result=3","7184837")</f>
        <v>0</v>
      </c>
      <c r="B6059" t="s">
        <v>398</v>
      </c>
      <c r="C6059" t="s">
        <v>9322</v>
      </c>
      <c r="D6059" t="s">
        <v>17151</v>
      </c>
      <c r="E6059" t="s">
        <v>22487</v>
      </c>
      <c r="F6059" t="s">
        <v>29372</v>
      </c>
      <c r="G6059" t="s">
        <v>29380</v>
      </c>
      <c r="H6059" t="s">
        <v>11048</v>
      </c>
      <c r="I6059" t="s">
        <v>3629</v>
      </c>
      <c r="J6059" t="s">
        <v>29937</v>
      </c>
      <c r="K6059" t="s">
        <v>38485</v>
      </c>
      <c r="M6059" t="s">
        <v>39161</v>
      </c>
      <c r="N6059" t="s">
        <v>42669</v>
      </c>
      <c r="O6059" t="s">
        <v>42670</v>
      </c>
      <c r="P6059">
        <v>0</v>
      </c>
      <c r="Q6059">
        <v>1</v>
      </c>
      <c r="R6059" t="s">
        <v>42677</v>
      </c>
      <c r="S6059" t="s">
        <v>42830</v>
      </c>
      <c r="T6059" t="s">
        <v>44711</v>
      </c>
      <c r="U6059" t="s">
        <v>49789</v>
      </c>
      <c r="V6059" t="s">
        <v>56450</v>
      </c>
      <c r="W6059" t="s">
        <v>39161</v>
      </c>
      <c r="X6059" t="s">
        <v>42678</v>
      </c>
    </row>
    <row r="6060" spans="1:24">
      <c r="A6060">
        <f>HYPERLINK("https://www.philgeps.gov.ph/GEPSNONPILOT/Tender/SplashBidNoticeAbstractUI.aspx?menuIndex=3&amp;refID=7184833&amp;Result=3","7184833")</f>
        <v>0</v>
      </c>
      <c r="B6060" t="s">
        <v>719</v>
      </c>
      <c r="C6060" t="s">
        <v>9323</v>
      </c>
      <c r="D6060" t="s">
        <v>17170</v>
      </c>
      <c r="E6060" t="s">
        <v>22488</v>
      </c>
      <c r="F6060" t="s">
        <v>29372</v>
      </c>
      <c r="G6060" t="s">
        <v>29379</v>
      </c>
      <c r="H6060" t="s">
        <v>11048</v>
      </c>
      <c r="I6060" t="s">
        <v>29410</v>
      </c>
      <c r="J6060" t="s">
        <v>30790</v>
      </c>
      <c r="K6060" t="s">
        <v>38528</v>
      </c>
      <c r="M6060" t="s">
        <v>40973</v>
      </c>
      <c r="N6060" t="s">
        <v>42669</v>
      </c>
      <c r="O6060" t="s">
        <v>42670</v>
      </c>
      <c r="P6060">
        <v>0</v>
      </c>
      <c r="Q6060">
        <v>0</v>
      </c>
      <c r="R6060" t="s">
        <v>42677</v>
      </c>
      <c r="S6060" t="s">
        <v>42830</v>
      </c>
      <c r="T6060" t="s">
        <v>44512</v>
      </c>
      <c r="U6060" t="s">
        <v>49790</v>
      </c>
      <c r="W6060" t="s">
        <v>40973</v>
      </c>
      <c r="X6060" t="s">
        <v>42678</v>
      </c>
    </row>
    <row r="6061" spans="1:24">
      <c r="A6061">
        <f>HYPERLINK("https://www.philgeps.gov.ph/GEPSNONPILOT/Tender/SplashBidNoticeAbstractUI.aspx?menuIndex=3&amp;refID=7184859&amp;Result=3","7184859")</f>
        <v>0</v>
      </c>
      <c r="B6061" t="s">
        <v>2075</v>
      </c>
      <c r="C6061" t="s">
        <v>9324</v>
      </c>
      <c r="D6061" t="s">
        <v>17204</v>
      </c>
      <c r="E6061" t="s">
        <v>22489</v>
      </c>
      <c r="F6061" t="s">
        <v>29372</v>
      </c>
      <c r="G6061" t="s">
        <v>29379</v>
      </c>
      <c r="H6061" t="s">
        <v>11048</v>
      </c>
      <c r="I6061" t="s">
        <v>29418</v>
      </c>
      <c r="J6061" t="s">
        <v>30277</v>
      </c>
      <c r="K6061" t="s">
        <v>38488</v>
      </c>
      <c r="M6061" t="s">
        <v>40974</v>
      </c>
      <c r="N6061" t="s">
        <v>42669</v>
      </c>
      <c r="O6061" t="s">
        <v>42670</v>
      </c>
      <c r="P6061">
        <v>0</v>
      </c>
      <c r="Q6061">
        <v>1</v>
      </c>
      <c r="R6061" t="s">
        <v>42677</v>
      </c>
      <c r="S6061" t="s">
        <v>42830</v>
      </c>
      <c r="T6061" t="s">
        <v>44481</v>
      </c>
      <c r="U6061" t="s">
        <v>49791</v>
      </c>
      <c r="W6061" t="s">
        <v>40974</v>
      </c>
      <c r="X6061" t="s">
        <v>42678</v>
      </c>
    </row>
    <row r="6062" spans="1:24">
      <c r="A6062">
        <f>HYPERLINK("https://www.philgeps.gov.ph/GEPSNONPILOT/Tender/SplashBidNoticeAbstractUI.aspx?menuIndex=3&amp;refID=7184831&amp;Result=3","7184831")</f>
        <v>0</v>
      </c>
      <c r="B6062" t="s">
        <v>838</v>
      </c>
      <c r="C6062" t="s">
        <v>9325</v>
      </c>
      <c r="D6062" t="s">
        <v>17193</v>
      </c>
      <c r="E6062" t="s">
        <v>22490</v>
      </c>
      <c r="F6062" t="s">
        <v>29372</v>
      </c>
      <c r="G6062" t="s">
        <v>29379</v>
      </c>
      <c r="H6062" t="s">
        <v>11048</v>
      </c>
      <c r="I6062" t="s">
        <v>3839</v>
      </c>
      <c r="J6062" t="s">
        <v>29555</v>
      </c>
      <c r="K6062" t="s">
        <v>38485</v>
      </c>
      <c r="M6062" t="s">
        <v>39628</v>
      </c>
      <c r="N6062" t="s">
        <v>42669</v>
      </c>
      <c r="O6062" t="s">
        <v>42670</v>
      </c>
      <c r="P6062">
        <v>0</v>
      </c>
      <c r="Q6062">
        <v>12</v>
      </c>
      <c r="R6062" t="s">
        <v>42677</v>
      </c>
      <c r="S6062" t="s">
        <v>42830</v>
      </c>
      <c r="T6062" t="s">
        <v>44579</v>
      </c>
      <c r="U6062" t="s">
        <v>49792</v>
      </c>
      <c r="W6062" t="s">
        <v>58068</v>
      </c>
      <c r="X6062" t="s">
        <v>42678</v>
      </c>
    </row>
    <row r="6063" spans="1:24">
      <c r="A6063">
        <f>HYPERLINK("https://www.philgeps.gov.ph/GEPSNONPILOT/Tender/SplashBidNoticeAbstractUI.aspx?menuIndex=3&amp;refID=7184828&amp;Result=3","7184828")</f>
        <v>0</v>
      </c>
      <c r="B6063" t="s">
        <v>2073</v>
      </c>
      <c r="C6063" t="s">
        <v>9326</v>
      </c>
      <c r="D6063" t="s">
        <v>17151</v>
      </c>
      <c r="E6063" t="s">
        <v>22491</v>
      </c>
      <c r="F6063" t="s">
        <v>29372</v>
      </c>
      <c r="G6063" t="s">
        <v>29380</v>
      </c>
      <c r="H6063" t="s">
        <v>29389</v>
      </c>
      <c r="I6063" t="s">
        <v>10408</v>
      </c>
      <c r="J6063" t="s">
        <v>31976</v>
      </c>
      <c r="K6063" t="s">
        <v>38533</v>
      </c>
      <c r="M6063" t="s">
        <v>40971</v>
      </c>
      <c r="N6063" t="s">
        <v>42669</v>
      </c>
      <c r="O6063" t="s">
        <v>42670</v>
      </c>
      <c r="P6063">
        <v>0</v>
      </c>
      <c r="Q6063">
        <v>7</v>
      </c>
      <c r="R6063" t="s">
        <v>42677</v>
      </c>
      <c r="S6063" t="s">
        <v>42830</v>
      </c>
      <c r="T6063" t="s">
        <v>44368</v>
      </c>
      <c r="U6063" t="s">
        <v>49793</v>
      </c>
      <c r="V6063" t="s">
        <v>57028</v>
      </c>
      <c r="W6063" t="s">
        <v>40971</v>
      </c>
      <c r="X6063" t="s">
        <v>42678</v>
      </c>
    </row>
    <row r="6064" spans="1:24">
      <c r="A6064">
        <f>HYPERLINK("https://www.philgeps.gov.ph/GEPSNONPILOT/Tender/SplashBidNoticeAbstractUI.aspx?menuIndex=3&amp;refID=7184825&amp;Result=3","7184825")</f>
        <v>0</v>
      </c>
      <c r="B6064" t="s">
        <v>1712</v>
      </c>
      <c r="C6064" t="s">
        <v>9327</v>
      </c>
      <c r="D6064" t="s">
        <v>17177</v>
      </c>
      <c r="E6064" t="s">
        <v>22492</v>
      </c>
      <c r="F6064" t="s">
        <v>29372</v>
      </c>
      <c r="G6064" t="s">
        <v>29380</v>
      </c>
      <c r="H6064" t="s">
        <v>11048</v>
      </c>
      <c r="I6064" t="s">
        <v>3839</v>
      </c>
      <c r="J6064" t="s">
        <v>32133</v>
      </c>
      <c r="K6064" t="s">
        <v>38510</v>
      </c>
      <c r="M6064" t="s">
        <v>40575</v>
      </c>
      <c r="N6064" t="s">
        <v>42669</v>
      </c>
      <c r="O6064" t="s">
        <v>42670</v>
      </c>
      <c r="P6064">
        <v>0</v>
      </c>
      <c r="Q6064">
        <v>1</v>
      </c>
      <c r="R6064" t="s">
        <v>42677</v>
      </c>
      <c r="S6064" t="s">
        <v>42830</v>
      </c>
      <c r="T6064" t="s">
        <v>44450</v>
      </c>
      <c r="U6064" t="s">
        <v>49794</v>
      </c>
      <c r="W6064" t="s">
        <v>40575</v>
      </c>
      <c r="X6064" t="s">
        <v>42678</v>
      </c>
    </row>
    <row r="6065" spans="1:24">
      <c r="A6065">
        <f>HYPERLINK("https://www.philgeps.gov.ph/GEPSNONPILOT/Tender/SplashBidNoticeAbstractUI.aspx?menuIndex=3&amp;refID=7184852&amp;Result=3","7184852")</f>
        <v>0</v>
      </c>
      <c r="B6065" t="s">
        <v>2076</v>
      </c>
      <c r="C6065" t="s">
        <v>9328</v>
      </c>
      <c r="E6065" t="s">
        <v>22493</v>
      </c>
      <c r="F6065" t="s">
        <v>29372</v>
      </c>
      <c r="G6065" t="s">
        <v>29380</v>
      </c>
      <c r="H6065" t="s">
        <v>11048</v>
      </c>
      <c r="I6065" t="s">
        <v>29404</v>
      </c>
      <c r="J6065" t="s">
        <v>33442</v>
      </c>
      <c r="K6065" t="s">
        <v>38490</v>
      </c>
      <c r="M6065" t="s">
        <v>40975</v>
      </c>
      <c r="N6065" t="s">
        <v>42669</v>
      </c>
      <c r="O6065" t="s">
        <v>42670</v>
      </c>
      <c r="P6065">
        <v>0</v>
      </c>
      <c r="Q6065">
        <v>1</v>
      </c>
      <c r="R6065" t="s">
        <v>42677</v>
      </c>
      <c r="S6065" t="s">
        <v>42830</v>
      </c>
      <c r="T6065" t="s">
        <v>44427</v>
      </c>
      <c r="U6065" t="s">
        <v>49795</v>
      </c>
      <c r="W6065" t="s">
        <v>40975</v>
      </c>
      <c r="X6065" t="s">
        <v>42678</v>
      </c>
    </row>
    <row r="6066" spans="1:24">
      <c r="A6066">
        <f>HYPERLINK("https://www.philgeps.gov.ph/GEPSNONPILOT/Tender/SplashBidNoticeAbstractUI.aspx?menuIndex=3&amp;refID=7184867&amp;Result=3","7184867")</f>
        <v>0</v>
      </c>
      <c r="B6066" t="s">
        <v>2075</v>
      </c>
      <c r="C6066" t="s">
        <v>9329</v>
      </c>
      <c r="D6066" t="s">
        <v>17204</v>
      </c>
      <c r="E6066" t="s">
        <v>22494</v>
      </c>
      <c r="F6066" t="s">
        <v>29372</v>
      </c>
      <c r="G6066" t="s">
        <v>29379</v>
      </c>
      <c r="H6066" t="s">
        <v>11048</v>
      </c>
      <c r="I6066" t="s">
        <v>3839</v>
      </c>
      <c r="J6066" t="s">
        <v>30212</v>
      </c>
      <c r="K6066" t="s">
        <v>38491</v>
      </c>
      <c r="M6066" t="s">
        <v>40974</v>
      </c>
      <c r="N6066" t="s">
        <v>42669</v>
      </c>
      <c r="O6066" t="s">
        <v>42670</v>
      </c>
      <c r="P6066">
        <v>0</v>
      </c>
      <c r="Q6066">
        <v>2</v>
      </c>
      <c r="R6066" t="s">
        <v>42677</v>
      </c>
      <c r="S6066" t="s">
        <v>42830</v>
      </c>
      <c r="T6066" t="s">
        <v>44481</v>
      </c>
      <c r="U6066" t="s">
        <v>49791</v>
      </c>
      <c r="W6066" t="s">
        <v>40974</v>
      </c>
      <c r="X6066" t="s">
        <v>42678</v>
      </c>
    </row>
    <row r="6067" spans="1:24">
      <c r="A6067">
        <f>HYPERLINK("https://www.philgeps.gov.ph/GEPSNONPILOT/Tender/SplashBidNoticeAbstractUI.aspx?menuIndex=3&amp;refID=7184906&amp;Result=3","7184906")</f>
        <v>0</v>
      </c>
      <c r="B6067" t="s">
        <v>2077</v>
      </c>
      <c r="C6067" t="s">
        <v>9330</v>
      </c>
      <c r="D6067" t="s">
        <v>17204</v>
      </c>
      <c r="E6067" t="s">
        <v>9330</v>
      </c>
      <c r="F6067" t="s">
        <v>29372</v>
      </c>
      <c r="G6067" t="s">
        <v>29380</v>
      </c>
      <c r="H6067" t="s">
        <v>11048</v>
      </c>
      <c r="I6067" t="s">
        <v>8208</v>
      </c>
      <c r="J6067" t="s">
        <v>33443</v>
      </c>
      <c r="K6067" t="s">
        <v>38564</v>
      </c>
      <c r="M6067" t="s">
        <v>40976</v>
      </c>
      <c r="N6067" t="s">
        <v>42669</v>
      </c>
      <c r="O6067" t="s">
        <v>42670</v>
      </c>
      <c r="P6067">
        <v>0</v>
      </c>
      <c r="Q6067">
        <v>1</v>
      </c>
      <c r="R6067" t="s">
        <v>42677</v>
      </c>
      <c r="S6067" t="s">
        <v>42830</v>
      </c>
      <c r="T6067" t="s">
        <v>44429</v>
      </c>
      <c r="U6067" t="s">
        <v>49796</v>
      </c>
      <c r="V6067" t="s">
        <v>57030</v>
      </c>
      <c r="W6067" t="s">
        <v>40976</v>
      </c>
      <c r="X6067" t="s">
        <v>42678</v>
      </c>
    </row>
    <row r="6068" spans="1:24">
      <c r="A6068">
        <f>HYPERLINK("https://www.philgeps.gov.ph/GEPSNONPILOT/Tender/SplashBidNoticeAbstractUI.aspx?menuIndex=3&amp;refID=7184902&amp;Result=3","7184902")</f>
        <v>0</v>
      </c>
      <c r="B6068" t="s">
        <v>2078</v>
      </c>
      <c r="C6068" t="s">
        <v>9331</v>
      </c>
      <c r="D6068" t="s">
        <v>17178</v>
      </c>
      <c r="E6068" t="s">
        <v>22495</v>
      </c>
      <c r="F6068" t="s">
        <v>29373</v>
      </c>
      <c r="G6068" t="s">
        <v>29380</v>
      </c>
      <c r="H6068" t="s">
        <v>29389</v>
      </c>
      <c r="I6068" t="s">
        <v>3952</v>
      </c>
      <c r="J6068" t="s">
        <v>29804</v>
      </c>
      <c r="K6068" t="s">
        <v>38538</v>
      </c>
      <c r="L6068" t="s">
        <v>2078</v>
      </c>
      <c r="M6068" t="s">
        <v>40977</v>
      </c>
      <c r="N6068" t="s">
        <v>42669</v>
      </c>
      <c r="O6068" t="s">
        <v>42670</v>
      </c>
      <c r="P6068">
        <v>0</v>
      </c>
      <c r="Q6068">
        <v>1</v>
      </c>
      <c r="R6068" t="s">
        <v>42677</v>
      </c>
      <c r="S6068" t="s">
        <v>42830</v>
      </c>
      <c r="T6068" t="s">
        <v>44502</v>
      </c>
      <c r="U6068" t="s">
        <v>49797</v>
      </c>
      <c r="W6068" t="s">
        <v>40977</v>
      </c>
      <c r="X6068" t="s">
        <v>42678</v>
      </c>
    </row>
    <row r="6069" spans="1:24">
      <c r="A6069">
        <f>HYPERLINK("https://www.philgeps.gov.ph/GEPSNONPILOT/Tender/SplashBidNoticeAbstractUI.aspx?menuIndex=3&amp;refID=7184821&amp;Result=3","7184821")</f>
        <v>0</v>
      </c>
      <c r="B6069" t="s">
        <v>160</v>
      </c>
      <c r="C6069" t="s">
        <v>9332</v>
      </c>
      <c r="D6069" t="s">
        <v>17193</v>
      </c>
      <c r="E6069" t="s">
        <v>22496</v>
      </c>
      <c r="F6069" t="s">
        <v>29372</v>
      </c>
      <c r="G6069" t="s">
        <v>29380</v>
      </c>
      <c r="H6069" t="s">
        <v>11048</v>
      </c>
      <c r="I6069" t="s">
        <v>9642</v>
      </c>
      <c r="J6069" t="s">
        <v>33444</v>
      </c>
      <c r="K6069" t="s">
        <v>38496</v>
      </c>
      <c r="M6069" t="s">
        <v>38916</v>
      </c>
      <c r="N6069" t="s">
        <v>42669</v>
      </c>
      <c r="O6069" t="s">
        <v>42670</v>
      </c>
      <c r="P6069">
        <v>0</v>
      </c>
      <c r="Q6069">
        <v>11</v>
      </c>
      <c r="R6069" t="s">
        <v>42677</v>
      </c>
      <c r="S6069" t="s">
        <v>42830</v>
      </c>
      <c r="T6069" t="s">
        <v>44446</v>
      </c>
      <c r="U6069" t="s">
        <v>49798</v>
      </c>
      <c r="W6069" t="s">
        <v>38916</v>
      </c>
      <c r="X6069" t="s">
        <v>42678</v>
      </c>
    </row>
    <row r="6070" spans="1:24">
      <c r="A6070">
        <f>HYPERLINK("https://www.philgeps.gov.ph/GEPSNONPILOT/Tender/SplashBidNoticeAbstractUI.aspx?menuIndex=3&amp;refID=7184857&amp;Result=3","7184857")</f>
        <v>0</v>
      </c>
      <c r="B6070" t="s">
        <v>2079</v>
      </c>
      <c r="C6070" t="s">
        <v>9333</v>
      </c>
      <c r="D6070" t="s">
        <v>17195</v>
      </c>
      <c r="E6070" t="s">
        <v>22497</v>
      </c>
      <c r="F6070" t="s">
        <v>29372</v>
      </c>
      <c r="G6070" t="s">
        <v>29383</v>
      </c>
      <c r="H6070" t="s">
        <v>11048</v>
      </c>
      <c r="I6070" t="s">
        <v>4709</v>
      </c>
      <c r="J6070" t="s">
        <v>33445</v>
      </c>
      <c r="K6070" t="s">
        <v>38488</v>
      </c>
      <c r="M6070" t="s">
        <v>40978</v>
      </c>
      <c r="N6070" t="s">
        <v>42669</v>
      </c>
      <c r="O6070" t="s">
        <v>42670</v>
      </c>
      <c r="P6070">
        <v>0</v>
      </c>
      <c r="Q6070">
        <v>0</v>
      </c>
      <c r="R6070" t="s">
        <v>42677</v>
      </c>
      <c r="S6070" t="s">
        <v>42830</v>
      </c>
      <c r="T6070" t="s">
        <v>44550</v>
      </c>
      <c r="U6070" t="s">
        <v>49799</v>
      </c>
      <c r="W6070" t="s">
        <v>40978</v>
      </c>
      <c r="X6070" t="s">
        <v>42678</v>
      </c>
    </row>
    <row r="6071" spans="1:24">
      <c r="A6071">
        <f>HYPERLINK("https://www.philgeps.gov.ph/GEPSNONPILOT/Tender/SplashBidNoticeAbstractUI.aspx?menuIndex=3&amp;refID=7184900&amp;Result=3","7184900")</f>
        <v>0</v>
      </c>
      <c r="B6071" t="s">
        <v>2010</v>
      </c>
      <c r="C6071" t="s">
        <v>9334</v>
      </c>
      <c r="D6071" t="s">
        <v>17143</v>
      </c>
      <c r="E6071" t="s">
        <v>22498</v>
      </c>
      <c r="F6071" t="s">
        <v>29372</v>
      </c>
      <c r="G6071" t="s">
        <v>29380</v>
      </c>
      <c r="H6071" t="s">
        <v>11048</v>
      </c>
      <c r="I6071" t="s">
        <v>3839</v>
      </c>
      <c r="J6071" t="s">
        <v>33446</v>
      </c>
      <c r="K6071" t="s">
        <v>38488</v>
      </c>
      <c r="M6071" t="s">
        <v>40979</v>
      </c>
      <c r="N6071" t="s">
        <v>42669</v>
      </c>
      <c r="O6071" t="s">
        <v>42670</v>
      </c>
      <c r="P6071">
        <v>0</v>
      </c>
      <c r="Q6071">
        <v>0</v>
      </c>
      <c r="R6071" t="s">
        <v>42677</v>
      </c>
      <c r="S6071" t="s">
        <v>42830</v>
      </c>
      <c r="T6071" t="s">
        <v>44387</v>
      </c>
      <c r="U6071" t="s">
        <v>49800</v>
      </c>
      <c r="V6071" t="s">
        <v>57001</v>
      </c>
      <c r="W6071" t="s">
        <v>40979</v>
      </c>
      <c r="X6071" t="s">
        <v>42678</v>
      </c>
    </row>
    <row r="6072" spans="1:24">
      <c r="A6072">
        <f>HYPERLINK("https://www.philgeps.gov.ph/GEPSNONPILOT/Tender/SplashBidNoticeAbstractUI.aspx?menuIndex=3&amp;refID=7184899&amp;Result=3","7184899")</f>
        <v>0</v>
      </c>
      <c r="B6072" t="s">
        <v>2077</v>
      </c>
      <c r="C6072" t="s">
        <v>9335</v>
      </c>
      <c r="D6072" t="s">
        <v>17204</v>
      </c>
      <c r="E6072" t="s">
        <v>9335</v>
      </c>
      <c r="F6072" t="s">
        <v>29372</v>
      </c>
      <c r="G6072" t="s">
        <v>29380</v>
      </c>
      <c r="H6072" t="s">
        <v>11048</v>
      </c>
      <c r="I6072" t="s">
        <v>3629</v>
      </c>
      <c r="J6072" t="s">
        <v>29922</v>
      </c>
      <c r="K6072" t="s">
        <v>38485</v>
      </c>
      <c r="M6072" t="s">
        <v>40976</v>
      </c>
      <c r="N6072" t="s">
        <v>42669</v>
      </c>
      <c r="O6072" t="s">
        <v>42670</v>
      </c>
      <c r="P6072">
        <v>0</v>
      </c>
      <c r="Q6072">
        <v>1</v>
      </c>
      <c r="R6072" t="s">
        <v>42677</v>
      </c>
      <c r="S6072" t="s">
        <v>42830</v>
      </c>
      <c r="T6072" t="s">
        <v>44429</v>
      </c>
      <c r="U6072" t="s">
        <v>49801</v>
      </c>
      <c r="V6072" t="s">
        <v>57030</v>
      </c>
      <c r="W6072" t="s">
        <v>40976</v>
      </c>
      <c r="X6072" t="s">
        <v>42678</v>
      </c>
    </row>
    <row r="6073" spans="1:24">
      <c r="A6073">
        <f>HYPERLINK("https://www.philgeps.gov.ph/GEPSNONPILOT/Tender/SplashBidNoticeAbstractUI.aspx?menuIndex=3&amp;refID=7184896&amp;Result=3","7184896")</f>
        <v>0</v>
      </c>
      <c r="B6073" t="s">
        <v>2080</v>
      </c>
      <c r="C6073" t="s">
        <v>9336</v>
      </c>
      <c r="D6073" t="s">
        <v>17207</v>
      </c>
      <c r="E6073" t="s">
        <v>17347</v>
      </c>
      <c r="F6073" t="s">
        <v>29372</v>
      </c>
      <c r="G6073" t="s">
        <v>29380</v>
      </c>
      <c r="H6073" t="s">
        <v>11048</v>
      </c>
      <c r="I6073" t="s">
        <v>29487</v>
      </c>
      <c r="J6073" t="s">
        <v>33447</v>
      </c>
      <c r="K6073" t="s">
        <v>38485</v>
      </c>
      <c r="M6073" t="s">
        <v>40980</v>
      </c>
      <c r="N6073" t="s">
        <v>42669</v>
      </c>
      <c r="O6073" t="s">
        <v>42670</v>
      </c>
      <c r="P6073">
        <v>0</v>
      </c>
      <c r="Q6073">
        <v>0</v>
      </c>
      <c r="R6073" t="s">
        <v>42677</v>
      </c>
      <c r="S6073" t="s">
        <v>42830</v>
      </c>
      <c r="T6073" t="s">
        <v>44401</v>
      </c>
      <c r="U6073" t="s">
        <v>49802</v>
      </c>
      <c r="W6073" t="s">
        <v>40980</v>
      </c>
      <c r="X6073" t="s">
        <v>42678</v>
      </c>
    </row>
    <row r="6074" spans="1:24">
      <c r="A6074">
        <f>HYPERLINK("https://www.philgeps.gov.ph/GEPSNONPILOT/Tender/SplashBidNoticeAbstractUI.aspx?menuIndex=3&amp;refID=7184840&amp;Result=3","7184840")</f>
        <v>0</v>
      </c>
      <c r="B6074" t="s">
        <v>1717</v>
      </c>
      <c r="C6074" t="s">
        <v>9337</v>
      </c>
      <c r="D6074" t="s">
        <v>17170</v>
      </c>
      <c r="E6074" t="s">
        <v>19078</v>
      </c>
      <c r="F6074" t="s">
        <v>29372</v>
      </c>
      <c r="G6074" t="s">
        <v>29383</v>
      </c>
      <c r="H6074" t="s">
        <v>11048</v>
      </c>
      <c r="I6074" t="s">
        <v>29398</v>
      </c>
      <c r="J6074" t="s">
        <v>33448</v>
      </c>
      <c r="K6074" t="s">
        <v>38485</v>
      </c>
      <c r="M6074" t="s">
        <v>40580</v>
      </c>
      <c r="N6074" t="s">
        <v>42669</v>
      </c>
      <c r="O6074" t="s">
        <v>42670</v>
      </c>
      <c r="P6074">
        <v>0</v>
      </c>
      <c r="Q6074">
        <v>9</v>
      </c>
      <c r="R6074" t="s">
        <v>42677</v>
      </c>
      <c r="S6074" t="s">
        <v>42830</v>
      </c>
      <c r="T6074" t="s">
        <v>44488</v>
      </c>
      <c r="U6074" t="s">
        <v>49803</v>
      </c>
      <c r="V6074" t="s">
        <v>56899</v>
      </c>
      <c r="W6074" t="s">
        <v>40580</v>
      </c>
      <c r="X6074" t="s">
        <v>42678</v>
      </c>
    </row>
    <row r="6075" spans="1:24">
      <c r="A6075">
        <f>HYPERLINK("https://www.philgeps.gov.ph/GEPSNONPILOT/Tender/SplashBidNoticeAbstractUI.aspx?menuIndex=3&amp;refID=7184889&amp;Result=3","7184889")</f>
        <v>0</v>
      </c>
      <c r="B6075" t="s">
        <v>2077</v>
      </c>
      <c r="C6075" t="s">
        <v>9338</v>
      </c>
      <c r="D6075" t="s">
        <v>17204</v>
      </c>
      <c r="E6075" t="s">
        <v>22499</v>
      </c>
      <c r="F6075" t="s">
        <v>29372</v>
      </c>
      <c r="G6075" t="s">
        <v>29380</v>
      </c>
      <c r="H6075" t="s">
        <v>11048</v>
      </c>
      <c r="I6075" t="s">
        <v>5383</v>
      </c>
      <c r="J6075" t="s">
        <v>33449</v>
      </c>
      <c r="K6075" t="s">
        <v>38496</v>
      </c>
      <c r="M6075" t="s">
        <v>40976</v>
      </c>
      <c r="N6075" t="s">
        <v>42669</v>
      </c>
      <c r="O6075" t="s">
        <v>42670</v>
      </c>
      <c r="P6075">
        <v>0</v>
      </c>
      <c r="Q6075">
        <v>0</v>
      </c>
      <c r="R6075" t="s">
        <v>42677</v>
      </c>
      <c r="S6075" t="s">
        <v>42830</v>
      </c>
      <c r="T6075" t="s">
        <v>44429</v>
      </c>
      <c r="U6075" t="s">
        <v>49804</v>
      </c>
      <c r="V6075" t="s">
        <v>57030</v>
      </c>
      <c r="W6075" t="s">
        <v>40976</v>
      </c>
      <c r="X6075" t="s">
        <v>42678</v>
      </c>
    </row>
    <row r="6076" spans="1:24">
      <c r="A6076">
        <f>HYPERLINK("https://www.philgeps.gov.ph/GEPSNONPILOT/Tender/SplashBidNoticeAbstractUI.aspx?menuIndex=3&amp;refID=7184751&amp;Result=3","7184751")</f>
        <v>0</v>
      </c>
      <c r="B6076" t="s">
        <v>1464</v>
      </c>
      <c r="C6076" t="s">
        <v>9339</v>
      </c>
      <c r="D6076" t="s">
        <v>17169</v>
      </c>
      <c r="E6076" t="s">
        <v>22500</v>
      </c>
      <c r="F6076" t="s">
        <v>29372</v>
      </c>
      <c r="G6076" t="s">
        <v>29383</v>
      </c>
      <c r="H6076" t="s">
        <v>11048</v>
      </c>
      <c r="I6076" t="s">
        <v>5383</v>
      </c>
      <c r="J6076" t="s">
        <v>30886</v>
      </c>
      <c r="K6076" t="s">
        <v>38490</v>
      </c>
      <c r="M6076" t="s">
        <v>40307</v>
      </c>
      <c r="N6076" t="s">
        <v>42669</v>
      </c>
      <c r="O6076" t="s">
        <v>42670</v>
      </c>
      <c r="P6076">
        <v>0</v>
      </c>
      <c r="Q6076">
        <v>1</v>
      </c>
      <c r="R6076" t="s">
        <v>42677</v>
      </c>
      <c r="S6076" t="s">
        <v>42830</v>
      </c>
      <c r="T6076" t="s">
        <v>44441</v>
      </c>
      <c r="U6076" t="s">
        <v>49805</v>
      </c>
      <c r="W6076" t="s">
        <v>40307</v>
      </c>
      <c r="X6076" t="s">
        <v>42678</v>
      </c>
    </row>
    <row r="6077" spans="1:24">
      <c r="A6077">
        <f>HYPERLINK("https://www.philgeps.gov.ph/GEPSNONPILOT/Tender/SplashBidNoticeAbstractUI.aspx?menuIndex=3&amp;refID=7184888&amp;Result=3","7184888")</f>
        <v>0</v>
      </c>
      <c r="B6077" t="s">
        <v>2081</v>
      </c>
      <c r="C6077" t="s">
        <v>9340</v>
      </c>
      <c r="D6077" t="s">
        <v>17141</v>
      </c>
      <c r="E6077" t="s">
        <v>22501</v>
      </c>
      <c r="F6077" t="s">
        <v>29372</v>
      </c>
      <c r="G6077" t="s">
        <v>29379</v>
      </c>
      <c r="H6077" t="s">
        <v>11048</v>
      </c>
      <c r="I6077" t="s">
        <v>4487</v>
      </c>
      <c r="J6077" t="s">
        <v>33450</v>
      </c>
      <c r="K6077" t="s">
        <v>38518</v>
      </c>
      <c r="M6077" t="s">
        <v>40981</v>
      </c>
      <c r="N6077" t="s">
        <v>42669</v>
      </c>
      <c r="O6077" t="s">
        <v>42670</v>
      </c>
      <c r="P6077">
        <v>0</v>
      </c>
      <c r="Q6077">
        <v>14</v>
      </c>
      <c r="R6077" t="s">
        <v>42677</v>
      </c>
      <c r="S6077" t="s">
        <v>42830</v>
      </c>
      <c r="T6077" t="s">
        <v>44488</v>
      </c>
      <c r="U6077" t="s">
        <v>49806</v>
      </c>
      <c r="W6077" t="s">
        <v>40981</v>
      </c>
      <c r="X6077" t="s">
        <v>42678</v>
      </c>
    </row>
    <row r="6078" spans="1:24">
      <c r="A6078">
        <f>HYPERLINK("https://www.philgeps.gov.ph/GEPSNONPILOT/Tender/SplashBidNoticeAbstractUI.aspx?menuIndex=3&amp;refID=7184897&amp;Result=3","7184897")</f>
        <v>0</v>
      </c>
      <c r="B6078" t="s">
        <v>2010</v>
      </c>
      <c r="C6078" t="s">
        <v>9341</v>
      </c>
      <c r="D6078" t="s">
        <v>17143</v>
      </c>
      <c r="E6078" t="s">
        <v>22502</v>
      </c>
      <c r="F6078" t="s">
        <v>29372</v>
      </c>
      <c r="G6078" t="s">
        <v>29380</v>
      </c>
      <c r="H6078" t="s">
        <v>11048</v>
      </c>
      <c r="I6078" t="s">
        <v>5383</v>
      </c>
      <c r="J6078" t="s">
        <v>33451</v>
      </c>
      <c r="K6078" t="s">
        <v>38510</v>
      </c>
      <c r="M6078" t="s">
        <v>40979</v>
      </c>
      <c r="N6078" t="s">
        <v>42669</v>
      </c>
      <c r="O6078" t="s">
        <v>42670</v>
      </c>
      <c r="P6078">
        <v>0</v>
      </c>
      <c r="Q6078">
        <v>0</v>
      </c>
      <c r="R6078" t="s">
        <v>42677</v>
      </c>
      <c r="S6078" t="s">
        <v>42830</v>
      </c>
      <c r="T6078" t="s">
        <v>44387</v>
      </c>
      <c r="U6078" t="s">
        <v>49807</v>
      </c>
      <c r="V6078" t="s">
        <v>57001</v>
      </c>
      <c r="W6078" t="s">
        <v>40979</v>
      </c>
      <c r="X6078" t="s">
        <v>42678</v>
      </c>
    </row>
    <row r="6079" spans="1:24">
      <c r="A6079">
        <f>HYPERLINK("https://www.philgeps.gov.ph/GEPSNONPILOT/Tender/SplashBidNoticeAbstractUI.aspx?menuIndex=3&amp;refID=7184893&amp;Result=3","7184893")</f>
        <v>0</v>
      </c>
      <c r="B6079" t="s">
        <v>2077</v>
      </c>
      <c r="C6079" t="s">
        <v>9342</v>
      </c>
      <c r="D6079" t="s">
        <v>17204</v>
      </c>
      <c r="E6079" t="s">
        <v>9342</v>
      </c>
      <c r="F6079" t="s">
        <v>29372</v>
      </c>
      <c r="G6079" t="s">
        <v>29380</v>
      </c>
      <c r="H6079" t="s">
        <v>11048</v>
      </c>
      <c r="I6079" t="s">
        <v>3839</v>
      </c>
      <c r="J6079" t="s">
        <v>33452</v>
      </c>
      <c r="K6079" t="s">
        <v>38496</v>
      </c>
      <c r="M6079" t="s">
        <v>40976</v>
      </c>
      <c r="N6079" t="s">
        <v>42669</v>
      </c>
      <c r="O6079" t="s">
        <v>42670</v>
      </c>
      <c r="P6079">
        <v>0</v>
      </c>
      <c r="Q6079">
        <v>4</v>
      </c>
      <c r="R6079" t="s">
        <v>42677</v>
      </c>
      <c r="S6079" t="s">
        <v>42830</v>
      </c>
      <c r="T6079" t="s">
        <v>44429</v>
      </c>
      <c r="U6079" t="s">
        <v>49808</v>
      </c>
      <c r="V6079" t="s">
        <v>57030</v>
      </c>
      <c r="W6079" t="s">
        <v>40976</v>
      </c>
      <c r="X6079" t="s">
        <v>42678</v>
      </c>
    </row>
    <row r="6080" spans="1:24">
      <c r="A6080">
        <f>HYPERLINK("https://www.philgeps.gov.ph/GEPSNONPILOT/Tender/SplashBidNoticeAbstractUI.aspx?menuIndex=3&amp;refID=7184883&amp;Result=3","7184883")</f>
        <v>0</v>
      </c>
      <c r="B6080" t="s">
        <v>2082</v>
      </c>
      <c r="C6080" t="s">
        <v>6459</v>
      </c>
      <c r="D6080" t="s">
        <v>17162</v>
      </c>
      <c r="E6080" t="s">
        <v>17347</v>
      </c>
      <c r="F6080" t="s">
        <v>29372</v>
      </c>
      <c r="G6080" t="s">
        <v>29380</v>
      </c>
      <c r="H6080" t="s">
        <v>11048</v>
      </c>
      <c r="I6080" t="s">
        <v>4709</v>
      </c>
      <c r="J6080" t="s">
        <v>33453</v>
      </c>
      <c r="K6080" t="s">
        <v>38538</v>
      </c>
      <c r="M6080" t="s">
        <v>40982</v>
      </c>
      <c r="N6080" t="s">
        <v>42669</v>
      </c>
      <c r="O6080" t="s">
        <v>42670</v>
      </c>
      <c r="P6080">
        <v>0</v>
      </c>
      <c r="Q6080">
        <v>3</v>
      </c>
      <c r="R6080" t="s">
        <v>42677</v>
      </c>
      <c r="S6080" t="s">
        <v>42830</v>
      </c>
      <c r="T6080" t="s">
        <v>44480</v>
      </c>
      <c r="U6080" t="s">
        <v>49809</v>
      </c>
      <c r="W6080" t="s">
        <v>40982</v>
      </c>
      <c r="X6080" t="s">
        <v>42678</v>
      </c>
    </row>
    <row r="6081" spans="1:24">
      <c r="A6081">
        <f>HYPERLINK("https://www.philgeps.gov.ph/GEPSNONPILOT/Tender/SplashBidNoticeAbstractUI.aspx?menuIndex=3&amp;refID=7184766&amp;Result=3","7184766")</f>
        <v>0</v>
      </c>
      <c r="B6081" t="s">
        <v>2060</v>
      </c>
      <c r="C6081" t="s">
        <v>9343</v>
      </c>
      <c r="D6081" t="s">
        <v>17141</v>
      </c>
      <c r="E6081" t="s">
        <v>22503</v>
      </c>
      <c r="F6081" t="s">
        <v>29372</v>
      </c>
      <c r="G6081" t="s">
        <v>29379</v>
      </c>
      <c r="H6081" t="s">
        <v>11048</v>
      </c>
      <c r="I6081" t="s">
        <v>29429</v>
      </c>
      <c r="J6081" t="s">
        <v>31253</v>
      </c>
      <c r="K6081" t="s">
        <v>38485</v>
      </c>
      <c r="M6081" t="s">
        <v>40958</v>
      </c>
      <c r="N6081" t="s">
        <v>42669</v>
      </c>
      <c r="O6081" t="s">
        <v>42670</v>
      </c>
      <c r="P6081">
        <v>0</v>
      </c>
      <c r="Q6081">
        <v>2</v>
      </c>
      <c r="R6081" t="s">
        <v>42677</v>
      </c>
      <c r="S6081" t="s">
        <v>42830</v>
      </c>
      <c r="T6081" t="s">
        <v>44493</v>
      </c>
      <c r="U6081" t="s">
        <v>49810</v>
      </c>
      <c r="W6081" t="s">
        <v>40958</v>
      </c>
      <c r="X6081" t="s">
        <v>42678</v>
      </c>
    </row>
    <row r="6082" spans="1:24">
      <c r="A6082">
        <f>HYPERLINK("https://www.philgeps.gov.ph/GEPSNONPILOT/Tender/SplashBidNoticeAbstractUI.aspx?menuIndex=3&amp;refID=7184910&amp;Result=3","7184910")</f>
        <v>0</v>
      </c>
      <c r="B6082" t="s">
        <v>2083</v>
      </c>
      <c r="C6082" t="s">
        <v>9344</v>
      </c>
      <c r="D6082" t="s">
        <v>17141</v>
      </c>
      <c r="E6082" t="s">
        <v>22504</v>
      </c>
      <c r="F6082" t="s">
        <v>29372</v>
      </c>
      <c r="G6082" t="s">
        <v>29380</v>
      </c>
      <c r="H6082" t="s">
        <v>11048</v>
      </c>
      <c r="I6082" t="s">
        <v>9642</v>
      </c>
      <c r="J6082" t="s">
        <v>29555</v>
      </c>
      <c r="K6082" t="s">
        <v>38491</v>
      </c>
      <c r="M6082" t="s">
        <v>40983</v>
      </c>
      <c r="N6082" t="s">
        <v>42669</v>
      </c>
      <c r="O6082" t="s">
        <v>42670</v>
      </c>
      <c r="P6082">
        <v>0</v>
      </c>
      <c r="Q6082">
        <v>4</v>
      </c>
      <c r="R6082" t="s">
        <v>42677</v>
      </c>
      <c r="S6082" t="s">
        <v>42830</v>
      </c>
      <c r="T6082" t="s">
        <v>44427</v>
      </c>
      <c r="U6082" t="s">
        <v>49811</v>
      </c>
      <c r="W6082" t="s">
        <v>40983</v>
      </c>
      <c r="X6082" t="s">
        <v>42678</v>
      </c>
    </row>
    <row r="6083" spans="1:24">
      <c r="A6083">
        <f>HYPERLINK("https://www.philgeps.gov.ph/GEPSNONPILOT/Tender/SplashBidNoticeAbstractUI.aspx?menuIndex=3&amp;refID=7184968&amp;Result=3","7184968")</f>
        <v>0</v>
      </c>
      <c r="B6083" t="s">
        <v>2084</v>
      </c>
      <c r="C6083" t="s">
        <v>9345</v>
      </c>
      <c r="D6083" t="s">
        <v>17160</v>
      </c>
      <c r="E6083" t="s">
        <v>22505</v>
      </c>
      <c r="F6083" t="s">
        <v>29372</v>
      </c>
      <c r="G6083" t="s">
        <v>29380</v>
      </c>
      <c r="H6083" t="s">
        <v>29389</v>
      </c>
      <c r="I6083" t="s">
        <v>10408</v>
      </c>
      <c r="J6083" t="s">
        <v>33454</v>
      </c>
      <c r="K6083" t="s">
        <v>38496</v>
      </c>
      <c r="M6083" t="s">
        <v>40984</v>
      </c>
      <c r="N6083" t="s">
        <v>42669</v>
      </c>
      <c r="O6083" t="s">
        <v>42670</v>
      </c>
      <c r="P6083">
        <v>0</v>
      </c>
      <c r="Q6083">
        <v>2</v>
      </c>
      <c r="R6083" t="s">
        <v>42677</v>
      </c>
      <c r="S6083" t="s">
        <v>42830</v>
      </c>
      <c r="T6083" t="s">
        <v>44401</v>
      </c>
      <c r="U6083" t="s">
        <v>49812</v>
      </c>
      <c r="V6083" t="s">
        <v>47275</v>
      </c>
      <c r="W6083" t="s">
        <v>40984</v>
      </c>
      <c r="X6083" t="s">
        <v>42678</v>
      </c>
    </row>
    <row r="6084" spans="1:24">
      <c r="A6084">
        <f>HYPERLINK("https://www.philgeps.gov.ph/GEPSNONPILOT/Tender/SplashBidNoticeAbstractUI.aspx?menuIndex=3&amp;refID=7184898&amp;Result=3","7184898")</f>
        <v>0</v>
      </c>
      <c r="B6084" t="s">
        <v>712</v>
      </c>
      <c r="C6084" t="s">
        <v>9346</v>
      </c>
      <c r="D6084" t="s">
        <v>17175</v>
      </c>
      <c r="E6084" t="s">
        <v>22506</v>
      </c>
      <c r="F6084" t="s">
        <v>29372</v>
      </c>
      <c r="G6084" t="s">
        <v>29379</v>
      </c>
      <c r="H6084" t="s">
        <v>11048</v>
      </c>
      <c r="I6084" t="s">
        <v>10408</v>
      </c>
      <c r="J6084" t="s">
        <v>33455</v>
      </c>
      <c r="K6084" t="s">
        <v>38491</v>
      </c>
      <c r="M6084" t="s">
        <v>40443</v>
      </c>
      <c r="N6084" t="s">
        <v>42669</v>
      </c>
      <c r="O6084" t="s">
        <v>42670</v>
      </c>
      <c r="P6084">
        <v>0</v>
      </c>
      <c r="Q6084">
        <v>0</v>
      </c>
      <c r="R6084" t="s">
        <v>42677</v>
      </c>
      <c r="S6084" t="s">
        <v>42830</v>
      </c>
      <c r="T6084" t="s">
        <v>44488</v>
      </c>
      <c r="U6084" t="s">
        <v>49813</v>
      </c>
      <c r="W6084" t="s">
        <v>40443</v>
      </c>
      <c r="X6084" t="s">
        <v>42678</v>
      </c>
    </row>
    <row r="6085" spans="1:24">
      <c r="A6085">
        <f>HYPERLINK("https://www.philgeps.gov.ph/GEPSNONPILOT/Tender/SplashBidNoticeAbstractUI.aspx?menuIndex=3&amp;refID=7184886&amp;Result=3","7184886")</f>
        <v>0</v>
      </c>
      <c r="B6085" t="s">
        <v>1434</v>
      </c>
      <c r="C6085" t="s">
        <v>9347</v>
      </c>
      <c r="D6085" t="s">
        <v>17198</v>
      </c>
      <c r="E6085" t="s">
        <v>22507</v>
      </c>
      <c r="F6085" t="s">
        <v>29372</v>
      </c>
      <c r="G6085" t="s">
        <v>29379</v>
      </c>
      <c r="H6085" t="s">
        <v>11048</v>
      </c>
      <c r="I6085" t="s">
        <v>4487</v>
      </c>
      <c r="J6085" t="s">
        <v>33456</v>
      </c>
      <c r="K6085" t="s">
        <v>38491</v>
      </c>
      <c r="M6085" t="s">
        <v>40274</v>
      </c>
      <c r="N6085" t="s">
        <v>42669</v>
      </c>
      <c r="O6085" t="s">
        <v>42670</v>
      </c>
      <c r="P6085">
        <v>0</v>
      </c>
      <c r="Q6085">
        <v>0</v>
      </c>
      <c r="R6085" t="s">
        <v>42677</v>
      </c>
      <c r="S6085" t="s">
        <v>42830</v>
      </c>
      <c r="T6085" t="s">
        <v>44401</v>
      </c>
      <c r="U6085" t="s">
        <v>48064</v>
      </c>
      <c r="W6085" t="s">
        <v>40274</v>
      </c>
      <c r="X6085" t="s">
        <v>42678</v>
      </c>
    </row>
    <row r="6086" spans="1:24">
      <c r="A6086">
        <f>HYPERLINK("https://www.philgeps.gov.ph/GEPSNONPILOT/Tender/SplashBidNoticeAbstractUI.aspx?menuIndex=3&amp;refID=7184895&amp;Result=3","7184895")</f>
        <v>0</v>
      </c>
      <c r="B6086" t="s">
        <v>2082</v>
      </c>
      <c r="C6086" t="s">
        <v>9348</v>
      </c>
      <c r="D6086" t="s">
        <v>17162</v>
      </c>
      <c r="E6086" t="s">
        <v>17870</v>
      </c>
      <c r="F6086" t="s">
        <v>29372</v>
      </c>
      <c r="G6086" t="s">
        <v>29380</v>
      </c>
      <c r="H6086" t="s">
        <v>11048</v>
      </c>
      <c r="I6086" t="s">
        <v>4709</v>
      </c>
      <c r="J6086" t="s">
        <v>33457</v>
      </c>
      <c r="K6086" t="s">
        <v>38538</v>
      </c>
      <c r="M6086" t="s">
        <v>40982</v>
      </c>
      <c r="N6086" t="s">
        <v>42669</v>
      </c>
      <c r="O6086" t="s">
        <v>42670</v>
      </c>
      <c r="P6086">
        <v>0</v>
      </c>
      <c r="Q6086">
        <v>4</v>
      </c>
      <c r="R6086" t="s">
        <v>42677</v>
      </c>
      <c r="S6086" t="s">
        <v>42830</v>
      </c>
      <c r="T6086" t="s">
        <v>44480</v>
      </c>
      <c r="U6086" t="s">
        <v>49814</v>
      </c>
      <c r="W6086" t="s">
        <v>40982</v>
      </c>
      <c r="X6086" t="s">
        <v>42678</v>
      </c>
    </row>
    <row r="6087" spans="1:24">
      <c r="A6087">
        <f>HYPERLINK("https://www.philgeps.gov.ph/GEPSNONPILOT/Tender/SplashBidNoticeAbstractUI.aspx?menuIndex=3&amp;refID=7184882&amp;Result=3","7184882")</f>
        <v>0</v>
      </c>
      <c r="B6087" t="s">
        <v>2077</v>
      </c>
      <c r="C6087" t="s">
        <v>9349</v>
      </c>
      <c r="D6087" t="s">
        <v>17204</v>
      </c>
      <c r="E6087" t="s">
        <v>22508</v>
      </c>
      <c r="F6087" t="s">
        <v>29372</v>
      </c>
      <c r="G6087" t="s">
        <v>29380</v>
      </c>
      <c r="H6087" t="s">
        <v>29389</v>
      </c>
      <c r="I6087" t="s">
        <v>10408</v>
      </c>
      <c r="J6087" t="s">
        <v>33458</v>
      </c>
      <c r="K6087" t="s">
        <v>38522</v>
      </c>
      <c r="M6087" t="s">
        <v>40976</v>
      </c>
      <c r="N6087" t="s">
        <v>42669</v>
      </c>
      <c r="O6087" t="s">
        <v>42670</v>
      </c>
      <c r="P6087">
        <v>0</v>
      </c>
      <c r="Q6087">
        <v>0</v>
      </c>
      <c r="R6087" t="s">
        <v>42677</v>
      </c>
      <c r="S6087" t="s">
        <v>42830</v>
      </c>
      <c r="T6087" t="s">
        <v>44429</v>
      </c>
      <c r="U6087" t="s">
        <v>49815</v>
      </c>
      <c r="V6087" t="s">
        <v>57030</v>
      </c>
      <c r="W6087" t="s">
        <v>40976</v>
      </c>
      <c r="X6087" t="s">
        <v>42678</v>
      </c>
    </row>
    <row r="6088" spans="1:24">
      <c r="A6088">
        <f>HYPERLINK("https://www.philgeps.gov.ph/GEPSNONPILOT/Tender/SplashBidNoticeAbstractUI.aspx?menuIndex=3&amp;refID=7184957&amp;Result=3","7184957")</f>
        <v>0</v>
      </c>
      <c r="B6088" t="s">
        <v>2085</v>
      </c>
      <c r="C6088" t="s">
        <v>9350</v>
      </c>
      <c r="D6088" t="s">
        <v>17181</v>
      </c>
      <c r="E6088" t="s">
        <v>22509</v>
      </c>
      <c r="F6088" t="s">
        <v>29372</v>
      </c>
      <c r="G6088" t="s">
        <v>29380</v>
      </c>
      <c r="H6088" t="s">
        <v>29389</v>
      </c>
      <c r="I6088" t="s">
        <v>10408</v>
      </c>
      <c r="J6088" t="s">
        <v>33459</v>
      </c>
      <c r="K6088" t="s">
        <v>38522</v>
      </c>
      <c r="M6088" t="s">
        <v>40985</v>
      </c>
      <c r="N6088" t="s">
        <v>42669</v>
      </c>
      <c r="O6088" t="s">
        <v>42670</v>
      </c>
      <c r="P6088">
        <v>0</v>
      </c>
      <c r="Q6088">
        <v>0</v>
      </c>
      <c r="R6088" t="s">
        <v>42677</v>
      </c>
      <c r="S6088" t="s">
        <v>42830</v>
      </c>
      <c r="T6088" t="s">
        <v>44413</v>
      </c>
      <c r="U6088" t="s">
        <v>49816</v>
      </c>
      <c r="W6088" t="s">
        <v>40985</v>
      </c>
      <c r="X6088" t="s">
        <v>42678</v>
      </c>
    </row>
    <row r="6089" spans="1:24">
      <c r="A6089">
        <f>HYPERLINK("https://www.philgeps.gov.ph/GEPSNONPILOT/Tender/SplashBidNoticeAbstractUI.aspx?menuIndex=3&amp;refID=7184953&amp;Result=3","7184953")</f>
        <v>0</v>
      </c>
      <c r="B6089" t="s">
        <v>2010</v>
      </c>
      <c r="C6089" t="s">
        <v>9351</v>
      </c>
      <c r="D6089" t="s">
        <v>17143</v>
      </c>
      <c r="E6089" t="s">
        <v>22510</v>
      </c>
      <c r="F6089" t="s">
        <v>29372</v>
      </c>
      <c r="G6089" t="s">
        <v>29380</v>
      </c>
      <c r="H6089" t="s">
        <v>11048</v>
      </c>
      <c r="I6089" t="s">
        <v>9469</v>
      </c>
      <c r="J6089" t="s">
        <v>29780</v>
      </c>
      <c r="K6089" t="s">
        <v>38488</v>
      </c>
      <c r="M6089" t="s">
        <v>40979</v>
      </c>
      <c r="N6089" t="s">
        <v>42669</v>
      </c>
      <c r="O6089" t="s">
        <v>42670</v>
      </c>
      <c r="P6089">
        <v>0</v>
      </c>
      <c r="Q6089">
        <v>0</v>
      </c>
      <c r="R6089" t="s">
        <v>42677</v>
      </c>
      <c r="S6089" t="s">
        <v>42830</v>
      </c>
      <c r="T6089" t="s">
        <v>44387</v>
      </c>
      <c r="U6089" t="s">
        <v>49817</v>
      </c>
      <c r="V6089" t="s">
        <v>57001</v>
      </c>
      <c r="W6089" t="s">
        <v>40979</v>
      </c>
      <c r="X6089" t="s">
        <v>42678</v>
      </c>
    </row>
    <row r="6090" spans="1:24">
      <c r="A6090">
        <f>HYPERLINK("https://www.philgeps.gov.ph/GEPSNONPILOT/Tender/SplashBidNoticeAbstractUI.aspx?menuIndex=3&amp;refID=7184950&amp;Result=3","7184950")</f>
        <v>0</v>
      </c>
      <c r="B6090" t="s">
        <v>1796</v>
      </c>
      <c r="C6090" t="s">
        <v>9352</v>
      </c>
      <c r="D6090" t="s">
        <v>17174</v>
      </c>
      <c r="E6090" t="s">
        <v>17476</v>
      </c>
      <c r="F6090" t="s">
        <v>29372</v>
      </c>
      <c r="G6090" t="s">
        <v>29380</v>
      </c>
      <c r="H6090" t="s">
        <v>11048</v>
      </c>
      <c r="I6090" t="s">
        <v>29495</v>
      </c>
      <c r="J6090" t="s">
        <v>32079</v>
      </c>
      <c r="K6090" t="s">
        <v>38510</v>
      </c>
      <c r="M6090" t="s">
        <v>40986</v>
      </c>
      <c r="N6090" t="s">
        <v>42669</v>
      </c>
      <c r="O6090" t="s">
        <v>42670</v>
      </c>
      <c r="P6090">
        <v>0</v>
      </c>
      <c r="Q6090">
        <v>0</v>
      </c>
      <c r="R6090" t="s">
        <v>42677</v>
      </c>
      <c r="S6090" t="s">
        <v>42830</v>
      </c>
      <c r="T6090" t="s">
        <v>44515</v>
      </c>
      <c r="U6090" t="s">
        <v>49818</v>
      </c>
      <c r="W6090" t="s">
        <v>40986</v>
      </c>
      <c r="X6090" t="s">
        <v>42678</v>
      </c>
    </row>
    <row r="6091" spans="1:24">
      <c r="A6091">
        <f>HYPERLINK("https://www.philgeps.gov.ph/GEPSNONPILOT/Tender/SplashBidNoticeAbstractUI.aspx?menuIndex=3&amp;refID=7184907&amp;Result=3","7184907")</f>
        <v>0</v>
      </c>
      <c r="B6091" t="s">
        <v>2081</v>
      </c>
      <c r="C6091" t="s">
        <v>9353</v>
      </c>
      <c r="D6091" t="s">
        <v>17141</v>
      </c>
      <c r="E6091" t="s">
        <v>22511</v>
      </c>
      <c r="F6091" t="s">
        <v>29372</v>
      </c>
      <c r="G6091" t="s">
        <v>29379</v>
      </c>
      <c r="H6091" t="s">
        <v>11048</v>
      </c>
      <c r="I6091" t="s">
        <v>3952</v>
      </c>
      <c r="J6091" t="s">
        <v>33460</v>
      </c>
      <c r="K6091" t="s">
        <v>38518</v>
      </c>
      <c r="M6091" t="s">
        <v>40981</v>
      </c>
      <c r="N6091" t="s">
        <v>42669</v>
      </c>
      <c r="O6091" t="s">
        <v>42670</v>
      </c>
      <c r="P6091">
        <v>0</v>
      </c>
      <c r="Q6091">
        <v>15</v>
      </c>
      <c r="R6091" t="s">
        <v>42677</v>
      </c>
      <c r="S6091" t="s">
        <v>42830</v>
      </c>
      <c r="T6091" t="s">
        <v>44488</v>
      </c>
      <c r="U6091" t="s">
        <v>49806</v>
      </c>
      <c r="V6091" t="s">
        <v>57031</v>
      </c>
      <c r="W6091" t="s">
        <v>40981</v>
      </c>
      <c r="X6091" t="s">
        <v>42678</v>
      </c>
    </row>
    <row r="6092" spans="1:24">
      <c r="A6092">
        <f>HYPERLINK("https://www.philgeps.gov.ph/GEPSNONPILOT/Tender/SplashBidNoticeAbstractUI.aspx?menuIndex=3&amp;refID=7184954&amp;Result=3","7184954")</f>
        <v>0</v>
      </c>
      <c r="B6092" t="s">
        <v>398</v>
      </c>
      <c r="C6092" t="s">
        <v>9354</v>
      </c>
      <c r="D6092" t="s">
        <v>17151</v>
      </c>
      <c r="E6092" t="s">
        <v>22512</v>
      </c>
      <c r="F6092" t="s">
        <v>29372</v>
      </c>
      <c r="G6092" t="s">
        <v>29380</v>
      </c>
      <c r="H6092" t="s">
        <v>11048</v>
      </c>
      <c r="I6092" t="s">
        <v>3629</v>
      </c>
      <c r="J6092" t="s">
        <v>33461</v>
      </c>
      <c r="K6092" t="s">
        <v>38510</v>
      </c>
      <c r="M6092" t="s">
        <v>39161</v>
      </c>
      <c r="N6092" t="s">
        <v>42669</v>
      </c>
      <c r="O6092" t="s">
        <v>42670</v>
      </c>
      <c r="P6092">
        <v>0</v>
      </c>
      <c r="Q6092">
        <v>1</v>
      </c>
      <c r="R6092" t="s">
        <v>42677</v>
      </c>
      <c r="S6092" t="s">
        <v>42830</v>
      </c>
      <c r="T6092" t="s">
        <v>44653</v>
      </c>
      <c r="U6092" t="s">
        <v>49819</v>
      </c>
      <c r="V6092" t="s">
        <v>57032</v>
      </c>
      <c r="W6092" t="s">
        <v>39161</v>
      </c>
      <c r="X6092" t="s">
        <v>42678</v>
      </c>
    </row>
    <row r="6093" spans="1:24">
      <c r="A6093">
        <f>HYPERLINK("https://www.philgeps.gov.ph/GEPSNONPILOT/Tender/SplashBidNoticeAbstractUI.aspx?menuIndex=3&amp;refID=7184974&amp;Result=3","7184974")</f>
        <v>0</v>
      </c>
      <c r="B6093" t="s">
        <v>2086</v>
      </c>
      <c r="C6093" t="s">
        <v>9355</v>
      </c>
      <c r="D6093" t="s">
        <v>17142</v>
      </c>
      <c r="E6093" t="s">
        <v>22513</v>
      </c>
      <c r="F6093" t="s">
        <v>29372</v>
      </c>
      <c r="G6093" t="s">
        <v>29380</v>
      </c>
      <c r="H6093" t="s">
        <v>11048</v>
      </c>
      <c r="I6093" t="s">
        <v>3695</v>
      </c>
      <c r="J6093" t="s">
        <v>29555</v>
      </c>
      <c r="K6093" t="s">
        <v>38528</v>
      </c>
      <c r="L6093" t="s">
        <v>2086</v>
      </c>
      <c r="M6093" t="s">
        <v>40987</v>
      </c>
      <c r="N6093" t="s">
        <v>42669</v>
      </c>
      <c r="O6093" t="s">
        <v>42670</v>
      </c>
      <c r="P6093">
        <v>0</v>
      </c>
      <c r="Q6093">
        <v>1</v>
      </c>
      <c r="R6093" t="s">
        <v>42677</v>
      </c>
      <c r="S6093" t="s">
        <v>42830</v>
      </c>
      <c r="T6093" t="s">
        <v>44429</v>
      </c>
      <c r="U6093" t="s">
        <v>49820</v>
      </c>
      <c r="W6093" t="s">
        <v>40987</v>
      </c>
      <c r="X6093" t="s">
        <v>42678</v>
      </c>
    </row>
    <row r="6094" spans="1:24">
      <c r="A6094">
        <f>HYPERLINK("https://www.philgeps.gov.ph/GEPSNONPILOT/Tender/SplashBidNoticeAbstractUI.aspx?menuIndex=3&amp;refID=7184948&amp;Result=3","7184948")</f>
        <v>0</v>
      </c>
      <c r="B6094" t="s">
        <v>2010</v>
      </c>
      <c r="C6094" t="s">
        <v>9356</v>
      </c>
      <c r="D6094" t="s">
        <v>17143</v>
      </c>
      <c r="E6094" t="s">
        <v>22514</v>
      </c>
      <c r="F6094" t="s">
        <v>29372</v>
      </c>
      <c r="G6094" t="s">
        <v>29380</v>
      </c>
      <c r="H6094" t="s">
        <v>11048</v>
      </c>
      <c r="I6094" t="s">
        <v>5383</v>
      </c>
      <c r="J6094" t="s">
        <v>33462</v>
      </c>
      <c r="K6094" t="s">
        <v>38510</v>
      </c>
      <c r="M6094" t="s">
        <v>40979</v>
      </c>
      <c r="N6094" t="s">
        <v>42669</v>
      </c>
      <c r="O6094" t="s">
        <v>42670</v>
      </c>
      <c r="P6094">
        <v>0</v>
      </c>
      <c r="Q6094">
        <v>0</v>
      </c>
      <c r="R6094" t="s">
        <v>42677</v>
      </c>
      <c r="S6094" t="s">
        <v>42830</v>
      </c>
      <c r="T6094" t="s">
        <v>44387</v>
      </c>
      <c r="U6094" t="s">
        <v>49821</v>
      </c>
      <c r="V6094" t="s">
        <v>57001</v>
      </c>
      <c r="W6094" t="s">
        <v>40979</v>
      </c>
      <c r="X6094" t="s">
        <v>42678</v>
      </c>
    </row>
    <row r="6095" spans="1:24">
      <c r="A6095">
        <f>HYPERLINK("https://www.philgeps.gov.ph/GEPSNONPILOT/Tender/SplashBidNoticeAbstractUI.aspx?menuIndex=3&amp;refID=7184961&amp;Result=3","7184961")</f>
        <v>0</v>
      </c>
      <c r="B6095" t="s">
        <v>2087</v>
      </c>
      <c r="C6095" t="s">
        <v>9357</v>
      </c>
      <c r="D6095" t="s">
        <v>17195</v>
      </c>
      <c r="E6095" t="s">
        <v>22515</v>
      </c>
      <c r="F6095" t="s">
        <v>29372</v>
      </c>
      <c r="G6095" t="s">
        <v>29383</v>
      </c>
      <c r="H6095" t="s">
        <v>11048</v>
      </c>
      <c r="I6095" t="s">
        <v>4487</v>
      </c>
      <c r="J6095" t="s">
        <v>33463</v>
      </c>
      <c r="K6095" t="s">
        <v>38485</v>
      </c>
      <c r="M6095" t="s">
        <v>40988</v>
      </c>
      <c r="N6095" t="s">
        <v>42669</v>
      </c>
      <c r="O6095" t="s">
        <v>42670</v>
      </c>
      <c r="P6095">
        <v>0</v>
      </c>
      <c r="Q6095">
        <v>1</v>
      </c>
      <c r="R6095" t="s">
        <v>42677</v>
      </c>
      <c r="S6095" t="s">
        <v>42830</v>
      </c>
      <c r="T6095" t="s">
        <v>44401</v>
      </c>
      <c r="U6095" t="s">
        <v>49822</v>
      </c>
      <c r="W6095" t="s">
        <v>40988</v>
      </c>
      <c r="X6095" t="s">
        <v>42678</v>
      </c>
    </row>
    <row r="6096" spans="1:24">
      <c r="A6096">
        <f>HYPERLINK("https://www.philgeps.gov.ph/GEPSNONPILOT/Tender/SplashBidNoticeAbstractUI.aspx?menuIndex=3&amp;refID=7184928&amp;Result=3","7184928")</f>
        <v>0</v>
      </c>
      <c r="B6096" t="s">
        <v>820</v>
      </c>
      <c r="C6096" t="s">
        <v>9358</v>
      </c>
      <c r="D6096" t="s">
        <v>17165</v>
      </c>
      <c r="E6096" t="s">
        <v>22516</v>
      </c>
      <c r="F6096" t="s">
        <v>29372</v>
      </c>
      <c r="G6096" t="s">
        <v>29379</v>
      </c>
      <c r="H6096" t="s">
        <v>11048</v>
      </c>
      <c r="I6096" t="s">
        <v>29391</v>
      </c>
      <c r="J6096" t="s">
        <v>29549</v>
      </c>
      <c r="K6096" t="s">
        <v>38487</v>
      </c>
      <c r="M6096" t="s">
        <v>40989</v>
      </c>
      <c r="N6096" t="s">
        <v>42669</v>
      </c>
      <c r="O6096" t="s">
        <v>42670</v>
      </c>
      <c r="P6096">
        <v>0</v>
      </c>
      <c r="Q6096">
        <v>3</v>
      </c>
      <c r="R6096" t="s">
        <v>42677</v>
      </c>
      <c r="S6096" t="s">
        <v>42830</v>
      </c>
      <c r="T6096" t="s">
        <v>44427</v>
      </c>
      <c r="U6096" t="s">
        <v>49823</v>
      </c>
      <c r="W6096" t="s">
        <v>40989</v>
      </c>
      <c r="X6096" t="s">
        <v>42678</v>
      </c>
    </row>
    <row r="6097" spans="1:24">
      <c r="A6097">
        <f>HYPERLINK("https://www.philgeps.gov.ph/GEPSNONPILOT/Tender/SplashBidNoticeAbstractUI.aspx?menuIndex=3&amp;refID=7184926&amp;Result=3","7184926")</f>
        <v>0</v>
      </c>
      <c r="B6097" t="s">
        <v>458</v>
      </c>
      <c r="C6097" t="s">
        <v>9359</v>
      </c>
      <c r="D6097" t="s">
        <v>17142</v>
      </c>
      <c r="E6097" t="s">
        <v>22517</v>
      </c>
      <c r="F6097" t="s">
        <v>29372</v>
      </c>
      <c r="G6097" t="s">
        <v>29380</v>
      </c>
      <c r="H6097" t="s">
        <v>11048</v>
      </c>
      <c r="I6097" t="s">
        <v>9469</v>
      </c>
      <c r="J6097" t="s">
        <v>30056</v>
      </c>
      <c r="K6097" t="s">
        <v>38490</v>
      </c>
      <c r="M6097" t="s">
        <v>39222</v>
      </c>
      <c r="N6097" t="s">
        <v>42669</v>
      </c>
      <c r="O6097" t="s">
        <v>42670</v>
      </c>
      <c r="P6097">
        <v>0</v>
      </c>
      <c r="Q6097">
        <v>5</v>
      </c>
      <c r="R6097" t="s">
        <v>42677</v>
      </c>
      <c r="S6097" t="s">
        <v>42830</v>
      </c>
      <c r="T6097" t="s">
        <v>44469</v>
      </c>
      <c r="U6097" t="s">
        <v>49824</v>
      </c>
      <c r="W6097" t="s">
        <v>39222</v>
      </c>
      <c r="X6097" t="s">
        <v>42678</v>
      </c>
    </row>
    <row r="6098" spans="1:24">
      <c r="A6098">
        <f>HYPERLINK("https://www.philgeps.gov.ph/GEPSNONPILOT/Tender/SplashBidNoticeAbstractUI.aspx?menuIndex=3&amp;refID=7184920&amp;Result=3","7184920")</f>
        <v>0</v>
      </c>
      <c r="B6098" t="s">
        <v>2088</v>
      </c>
      <c r="C6098" t="s">
        <v>9360</v>
      </c>
      <c r="D6098" t="s">
        <v>17166</v>
      </c>
      <c r="E6098" t="s">
        <v>17870</v>
      </c>
      <c r="F6098" t="s">
        <v>29372</v>
      </c>
      <c r="G6098" t="s">
        <v>29380</v>
      </c>
      <c r="H6098" t="s">
        <v>11048</v>
      </c>
      <c r="I6098" t="s">
        <v>4709</v>
      </c>
      <c r="J6098" t="s">
        <v>29555</v>
      </c>
      <c r="K6098" t="s">
        <v>38491</v>
      </c>
      <c r="M6098" t="s">
        <v>40990</v>
      </c>
      <c r="N6098" t="s">
        <v>42669</v>
      </c>
      <c r="O6098" t="s">
        <v>42670</v>
      </c>
      <c r="P6098">
        <v>0</v>
      </c>
      <c r="Q6098">
        <v>0</v>
      </c>
      <c r="R6098" t="s">
        <v>42677</v>
      </c>
      <c r="S6098" t="s">
        <v>42830</v>
      </c>
      <c r="T6098" t="s">
        <v>44429</v>
      </c>
      <c r="U6098" t="s">
        <v>49825</v>
      </c>
      <c r="W6098" t="s">
        <v>40990</v>
      </c>
      <c r="X6098" t="s">
        <v>42678</v>
      </c>
    </row>
    <row r="6099" spans="1:24">
      <c r="A6099">
        <f>HYPERLINK("https://www.philgeps.gov.ph/GEPSNONPILOT/Tender/SplashBidNoticeAbstractUI.aspx?menuIndex=3&amp;refID=7184949&amp;Result=3","7184949")</f>
        <v>0</v>
      </c>
      <c r="B6099" t="s">
        <v>1366</v>
      </c>
      <c r="C6099" t="s">
        <v>9361</v>
      </c>
      <c r="D6099" t="s">
        <v>17178</v>
      </c>
      <c r="E6099" t="s">
        <v>17477</v>
      </c>
      <c r="F6099" t="s">
        <v>29375</v>
      </c>
      <c r="G6099" t="s">
        <v>29383</v>
      </c>
      <c r="H6099" t="s">
        <v>11048</v>
      </c>
      <c r="I6099" t="s">
        <v>29426</v>
      </c>
      <c r="J6099" t="s">
        <v>33464</v>
      </c>
      <c r="K6099" t="s">
        <v>38488</v>
      </c>
      <c r="L6099" t="s">
        <v>1366</v>
      </c>
      <c r="M6099" t="s">
        <v>40203</v>
      </c>
      <c r="N6099" t="s">
        <v>42669</v>
      </c>
      <c r="O6099" t="s">
        <v>42670</v>
      </c>
      <c r="P6099">
        <v>0</v>
      </c>
      <c r="Q6099">
        <v>0</v>
      </c>
      <c r="R6099" t="s">
        <v>42677</v>
      </c>
      <c r="S6099" t="s">
        <v>42830</v>
      </c>
      <c r="T6099" t="s">
        <v>44454</v>
      </c>
      <c r="U6099" t="s">
        <v>49826</v>
      </c>
      <c r="W6099" t="s">
        <v>40203</v>
      </c>
      <c r="X6099" t="s">
        <v>42678</v>
      </c>
    </row>
    <row r="6100" spans="1:24">
      <c r="A6100">
        <f>HYPERLINK("https://www.philgeps.gov.ph/GEPSNONPILOT/Tender/SplashBidNoticeAbstractUI.aspx?menuIndex=3&amp;refID=7184913&amp;Result=3","7184913")</f>
        <v>0</v>
      </c>
      <c r="B6100" t="s">
        <v>2083</v>
      </c>
      <c r="C6100" t="s">
        <v>4147</v>
      </c>
      <c r="D6100" t="s">
        <v>17141</v>
      </c>
      <c r="E6100" t="s">
        <v>22518</v>
      </c>
      <c r="F6100" t="s">
        <v>29372</v>
      </c>
      <c r="G6100" t="s">
        <v>29380</v>
      </c>
      <c r="H6100" t="s">
        <v>11048</v>
      </c>
      <c r="I6100" t="s">
        <v>3839</v>
      </c>
      <c r="J6100" t="s">
        <v>29708</v>
      </c>
      <c r="K6100" t="s">
        <v>38491</v>
      </c>
      <c r="M6100" t="s">
        <v>40983</v>
      </c>
      <c r="N6100" t="s">
        <v>42669</v>
      </c>
      <c r="O6100" t="s">
        <v>42670</v>
      </c>
      <c r="P6100">
        <v>0</v>
      </c>
      <c r="Q6100">
        <v>3</v>
      </c>
      <c r="R6100" t="s">
        <v>42677</v>
      </c>
      <c r="S6100" t="s">
        <v>42830</v>
      </c>
      <c r="T6100" t="s">
        <v>44427</v>
      </c>
      <c r="U6100" t="s">
        <v>47358</v>
      </c>
      <c r="W6100" t="s">
        <v>40983</v>
      </c>
      <c r="X6100" t="s">
        <v>42678</v>
      </c>
    </row>
    <row r="6101" spans="1:24">
      <c r="A6101">
        <f>HYPERLINK("https://www.philgeps.gov.ph/GEPSNONPILOT/Tender/SplashBidNoticeAbstractUI.aspx?menuIndex=3&amp;refID=7184941&amp;Result=3","7184941")</f>
        <v>0</v>
      </c>
      <c r="B6101" t="s">
        <v>282</v>
      </c>
      <c r="C6101" t="s">
        <v>9362</v>
      </c>
      <c r="D6101" t="s">
        <v>17209</v>
      </c>
      <c r="E6101" t="s">
        <v>22519</v>
      </c>
      <c r="F6101" t="s">
        <v>29372</v>
      </c>
      <c r="G6101" t="s">
        <v>29380</v>
      </c>
      <c r="H6101" t="s">
        <v>11048</v>
      </c>
      <c r="I6101" t="s">
        <v>4709</v>
      </c>
      <c r="J6101" t="s">
        <v>33465</v>
      </c>
      <c r="K6101" t="s">
        <v>38659</v>
      </c>
      <c r="L6101" t="s">
        <v>282</v>
      </c>
      <c r="M6101" t="s">
        <v>39041</v>
      </c>
      <c r="N6101" t="s">
        <v>42669</v>
      </c>
      <c r="O6101" t="s">
        <v>42670</v>
      </c>
      <c r="P6101">
        <v>0</v>
      </c>
      <c r="Q6101">
        <v>1</v>
      </c>
      <c r="R6101" t="s">
        <v>42677</v>
      </c>
      <c r="S6101" t="s">
        <v>42830</v>
      </c>
      <c r="T6101" t="s">
        <v>44563</v>
      </c>
      <c r="U6101" t="s">
        <v>49827</v>
      </c>
      <c r="W6101" t="s">
        <v>39041</v>
      </c>
      <c r="X6101" t="s">
        <v>42678</v>
      </c>
    </row>
    <row r="6102" spans="1:24">
      <c r="A6102">
        <f>HYPERLINK("https://www.philgeps.gov.ph/GEPSNONPILOT/Tender/SplashBidNoticeAbstractUI.aspx?menuIndex=3&amp;refID=7184877&amp;Result=3","7184877")</f>
        <v>0</v>
      </c>
      <c r="B6102" t="s">
        <v>1078</v>
      </c>
      <c r="C6102" t="s">
        <v>6213</v>
      </c>
      <c r="D6102" t="s">
        <v>17141</v>
      </c>
      <c r="E6102" t="s">
        <v>22419</v>
      </c>
      <c r="F6102" t="s">
        <v>29372</v>
      </c>
      <c r="G6102" t="s">
        <v>29383</v>
      </c>
      <c r="H6102" t="s">
        <v>11048</v>
      </c>
      <c r="I6102" t="s">
        <v>4487</v>
      </c>
      <c r="J6102" t="s">
        <v>29529</v>
      </c>
      <c r="K6102" t="s">
        <v>38528</v>
      </c>
      <c r="M6102" t="s">
        <v>39885</v>
      </c>
      <c r="N6102" t="s">
        <v>42669</v>
      </c>
      <c r="O6102" t="s">
        <v>42670</v>
      </c>
      <c r="P6102">
        <v>0</v>
      </c>
      <c r="Q6102">
        <v>2</v>
      </c>
      <c r="R6102" t="s">
        <v>42677</v>
      </c>
      <c r="S6102" t="s">
        <v>42830</v>
      </c>
      <c r="T6102" t="s">
        <v>44429</v>
      </c>
      <c r="U6102" t="s">
        <v>49828</v>
      </c>
      <c r="W6102" t="s">
        <v>39885</v>
      </c>
      <c r="X6102" t="s">
        <v>42678</v>
      </c>
    </row>
    <row r="6103" spans="1:24">
      <c r="A6103">
        <f>HYPERLINK("https://www.philgeps.gov.ph/GEPSNONPILOT/Tender/SplashBidNoticeAbstractUI.aspx?menuIndex=3&amp;refID=7184876&amp;Result=3","7184876")</f>
        <v>0</v>
      </c>
      <c r="B6103" t="s">
        <v>2089</v>
      </c>
      <c r="C6103" t="s">
        <v>9363</v>
      </c>
      <c r="D6103" t="s">
        <v>17191</v>
      </c>
      <c r="E6103" t="s">
        <v>17533</v>
      </c>
      <c r="F6103" t="s">
        <v>29372</v>
      </c>
      <c r="G6103" t="s">
        <v>29383</v>
      </c>
      <c r="H6103" t="s">
        <v>11048</v>
      </c>
      <c r="I6103" t="s">
        <v>29398</v>
      </c>
      <c r="J6103" t="s">
        <v>31572</v>
      </c>
      <c r="K6103" t="s">
        <v>38485</v>
      </c>
      <c r="M6103" t="s">
        <v>40991</v>
      </c>
      <c r="N6103" t="s">
        <v>42669</v>
      </c>
      <c r="O6103" t="s">
        <v>42670</v>
      </c>
      <c r="P6103">
        <v>0</v>
      </c>
      <c r="Q6103">
        <v>11</v>
      </c>
      <c r="R6103" t="s">
        <v>42677</v>
      </c>
      <c r="S6103" t="s">
        <v>42830</v>
      </c>
      <c r="T6103" t="s">
        <v>44493</v>
      </c>
      <c r="U6103" t="s">
        <v>49829</v>
      </c>
      <c r="W6103" t="s">
        <v>40991</v>
      </c>
      <c r="X6103" t="s">
        <v>42678</v>
      </c>
    </row>
    <row r="6104" spans="1:24">
      <c r="A6104">
        <f>HYPERLINK("https://www.philgeps.gov.ph/GEPSNONPILOT/Tender/SplashBidNoticeAbstractUI.aspx?menuIndex=3&amp;refID=7185014&amp;Result=3","7185014")</f>
        <v>0</v>
      </c>
      <c r="B6104" t="s">
        <v>2047</v>
      </c>
      <c r="C6104" t="s">
        <v>9364</v>
      </c>
      <c r="D6104" t="s">
        <v>17189</v>
      </c>
      <c r="E6104" t="s">
        <v>22520</v>
      </c>
      <c r="F6104" t="s">
        <v>29372</v>
      </c>
      <c r="G6104" t="s">
        <v>29379</v>
      </c>
      <c r="H6104" t="s">
        <v>11048</v>
      </c>
      <c r="I6104" t="s">
        <v>3839</v>
      </c>
      <c r="J6104" t="s">
        <v>29799</v>
      </c>
      <c r="K6104" t="s">
        <v>38491</v>
      </c>
      <c r="M6104" t="s">
        <v>40945</v>
      </c>
      <c r="N6104" t="s">
        <v>42669</v>
      </c>
      <c r="O6104" t="s">
        <v>42670</v>
      </c>
      <c r="P6104">
        <v>0</v>
      </c>
      <c r="Q6104">
        <v>0</v>
      </c>
      <c r="R6104" t="s">
        <v>42677</v>
      </c>
      <c r="S6104" t="s">
        <v>42830</v>
      </c>
      <c r="T6104" t="s">
        <v>44488</v>
      </c>
      <c r="U6104" t="s">
        <v>49701</v>
      </c>
      <c r="W6104" t="s">
        <v>40945</v>
      </c>
      <c r="X6104" t="s">
        <v>42678</v>
      </c>
    </row>
    <row r="6105" spans="1:24">
      <c r="A6105">
        <f>HYPERLINK("https://www.philgeps.gov.ph/GEPSNONPILOT/Tender/SplashBidNoticeAbstractUI.aspx?menuIndex=3&amp;refID=7184917&amp;Result=3","7184917")</f>
        <v>0</v>
      </c>
      <c r="B6105" t="s">
        <v>2081</v>
      </c>
      <c r="C6105" t="s">
        <v>9365</v>
      </c>
      <c r="D6105" t="s">
        <v>17141</v>
      </c>
      <c r="E6105" t="s">
        <v>22521</v>
      </c>
      <c r="F6105" t="s">
        <v>29372</v>
      </c>
      <c r="G6105" t="s">
        <v>29379</v>
      </c>
      <c r="H6105" t="s">
        <v>11048</v>
      </c>
      <c r="I6105" t="s">
        <v>29429</v>
      </c>
      <c r="J6105" t="s">
        <v>33466</v>
      </c>
      <c r="K6105" t="s">
        <v>38518</v>
      </c>
      <c r="M6105" t="s">
        <v>40981</v>
      </c>
      <c r="N6105" t="s">
        <v>42669</v>
      </c>
      <c r="O6105" t="s">
        <v>42670</v>
      </c>
      <c r="P6105">
        <v>0</v>
      </c>
      <c r="Q6105">
        <v>3</v>
      </c>
      <c r="R6105" t="s">
        <v>42677</v>
      </c>
      <c r="S6105" t="s">
        <v>42830</v>
      </c>
      <c r="T6105" t="s">
        <v>44488</v>
      </c>
      <c r="U6105" t="s">
        <v>49830</v>
      </c>
      <c r="V6105" t="s">
        <v>57033</v>
      </c>
      <c r="W6105" t="s">
        <v>40981</v>
      </c>
      <c r="X6105" t="s">
        <v>42678</v>
      </c>
    </row>
    <row r="6106" spans="1:24">
      <c r="A6106">
        <f>HYPERLINK("https://www.philgeps.gov.ph/GEPSNONPILOT/Tender/SplashBidNoticeAbstractUI.aspx?menuIndex=3&amp;refID=7185013&amp;Result=3","7185013")</f>
        <v>0</v>
      </c>
      <c r="B6106" t="s">
        <v>712</v>
      </c>
      <c r="C6106" t="s">
        <v>9366</v>
      </c>
      <c r="D6106" t="s">
        <v>17175</v>
      </c>
      <c r="E6106" t="s">
        <v>22522</v>
      </c>
      <c r="F6106" t="s">
        <v>29372</v>
      </c>
      <c r="G6106" t="s">
        <v>29379</v>
      </c>
      <c r="H6106" t="s">
        <v>11048</v>
      </c>
      <c r="I6106" t="s">
        <v>10408</v>
      </c>
      <c r="J6106" t="s">
        <v>33467</v>
      </c>
      <c r="K6106" t="s">
        <v>38491</v>
      </c>
      <c r="M6106" t="s">
        <v>40443</v>
      </c>
      <c r="N6106" t="s">
        <v>42669</v>
      </c>
      <c r="O6106" t="s">
        <v>42670</v>
      </c>
      <c r="P6106">
        <v>0</v>
      </c>
      <c r="Q6106">
        <v>0</v>
      </c>
      <c r="R6106" t="s">
        <v>42677</v>
      </c>
      <c r="S6106" t="s">
        <v>42830</v>
      </c>
      <c r="T6106" t="s">
        <v>44488</v>
      </c>
      <c r="U6106" t="s">
        <v>49831</v>
      </c>
      <c r="W6106" t="s">
        <v>40443</v>
      </c>
      <c r="X6106" t="s">
        <v>42678</v>
      </c>
    </row>
    <row r="6107" spans="1:24">
      <c r="A6107">
        <f>HYPERLINK("https://www.philgeps.gov.ph/GEPSNONPILOT/Tender/SplashBidNoticeAbstractUI.aspx?menuIndex=3&amp;refID=7184962&amp;Result=3","7184962")</f>
        <v>0</v>
      </c>
      <c r="B6107" t="s">
        <v>2010</v>
      </c>
      <c r="C6107" t="s">
        <v>9367</v>
      </c>
      <c r="D6107" t="s">
        <v>17143</v>
      </c>
      <c r="E6107" t="s">
        <v>22523</v>
      </c>
      <c r="F6107" t="s">
        <v>29372</v>
      </c>
      <c r="G6107" t="s">
        <v>29380</v>
      </c>
      <c r="H6107" t="s">
        <v>11048</v>
      </c>
      <c r="I6107" t="s">
        <v>29400</v>
      </c>
      <c r="J6107" t="s">
        <v>29822</v>
      </c>
      <c r="K6107" t="s">
        <v>38496</v>
      </c>
      <c r="M6107" t="s">
        <v>40979</v>
      </c>
      <c r="N6107" t="s">
        <v>42669</v>
      </c>
      <c r="O6107" t="s">
        <v>42670</v>
      </c>
      <c r="P6107">
        <v>0</v>
      </c>
      <c r="Q6107">
        <v>3</v>
      </c>
      <c r="R6107" t="s">
        <v>42677</v>
      </c>
      <c r="S6107" t="s">
        <v>42830</v>
      </c>
      <c r="T6107" t="s">
        <v>44387</v>
      </c>
      <c r="U6107" t="s">
        <v>49832</v>
      </c>
      <c r="V6107" t="s">
        <v>57001</v>
      </c>
      <c r="W6107" t="s">
        <v>40979</v>
      </c>
      <c r="X6107" t="s">
        <v>42678</v>
      </c>
    </row>
    <row r="6108" spans="1:24">
      <c r="A6108">
        <f>HYPERLINK("https://www.philgeps.gov.ph/GEPSNONPILOT/Tender/SplashBidNoticeAbstractUI.aspx?menuIndex=3&amp;refID=7185012&amp;Result=3","7185012")</f>
        <v>0</v>
      </c>
      <c r="B6108" t="s">
        <v>1796</v>
      </c>
      <c r="C6108" t="s">
        <v>9368</v>
      </c>
      <c r="D6108" t="s">
        <v>17174</v>
      </c>
      <c r="E6108" t="s">
        <v>22524</v>
      </c>
      <c r="F6108" t="s">
        <v>29372</v>
      </c>
      <c r="G6108" t="s">
        <v>29380</v>
      </c>
      <c r="H6108" t="s">
        <v>11048</v>
      </c>
      <c r="I6108" t="s">
        <v>29423</v>
      </c>
      <c r="J6108" t="s">
        <v>33468</v>
      </c>
      <c r="K6108" t="s">
        <v>38510</v>
      </c>
      <c r="M6108" t="s">
        <v>40986</v>
      </c>
      <c r="N6108" t="s">
        <v>42669</v>
      </c>
      <c r="O6108" t="s">
        <v>42670</v>
      </c>
      <c r="P6108">
        <v>0</v>
      </c>
      <c r="Q6108">
        <v>0</v>
      </c>
      <c r="R6108" t="s">
        <v>42677</v>
      </c>
      <c r="S6108" t="s">
        <v>42830</v>
      </c>
      <c r="T6108" t="s">
        <v>44554</v>
      </c>
      <c r="U6108" t="s">
        <v>49833</v>
      </c>
      <c r="W6108" t="s">
        <v>40986</v>
      </c>
      <c r="X6108" t="s">
        <v>42678</v>
      </c>
    </row>
    <row r="6109" spans="1:24">
      <c r="A6109">
        <f>HYPERLINK("https://www.philgeps.gov.ph/GEPSNONPILOT/Tender/SplashBidNoticeAbstractUI.aspx?menuIndex=3&amp;refID=7185010&amp;Result=3","7185010")</f>
        <v>0</v>
      </c>
      <c r="B6109" t="s">
        <v>1625</v>
      </c>
      <c r="C6109" t="s">
        <v>9369</v>
      </c>
      <c r="D6109" t="s">
        <v>17199</v>
      </c>
      <c r="E6109" t="s">
        <v>22525</v>
      </c>
      <c r="F6109" t="s">
        <v>29372</v>
      </c>
      <c r="G6109" t="s">
        <v>29379</v>
      </c>
      <c r="H6109" t="s">
        <v>11048</v>
      </c>
      <c r="I6109" t="s">
        <v>29395</v>
      </c>
      <c r="J6109" t="s">
        <v>33469</v>
      </c>
      <c r="K6109" t="s">
        <v>38490</v>
      </c>
      <c r="M6109" t="s">
        <v>40479</v>
      </c>
      <c r="N6109" t="s">
        <v>42669</v>
      </c>
      <c r="O6109" t="s">
        <v>42670</v>
      </c>
      <c r="P6109">
        <v>0</v>
      </c>
      <c r="Q6109">
        <v>0</v>
      </c>
      <c r="R6109" t="s">
        <v>42677</v>
      </c>
      <c r="S6109" t="s">
        <v>42830</v>
      </c>
      <c r="T6109" t="s">
        <v>44548</v>
      </c>
      <c r="U6109" t="s">
        <v>49834</v>
      </c>
      <c r="W6109" t="s">
        <v>40479</v>
      </c>
      <c r="X6109" t="s">
        <v>42678</v>
      </c>
    </row>
    <row r="6110" spans="1:24">
      <c r="A6110">
        <f>HYPERLINK("https://www.philgeps.gov.ph/GEPSNONPILOT/Tender/SplashBidNoticeAbstractUI.aspx?menuIndex=3&amp;refID=7185008&amp;Result=3","7185008")</f>
        <v>0</v>
      </c>
      <c r="B6110" t="s">
        <v>1919</v>
      </c>
      <c r="C6110" t="s">
        <v>9370</v>
      </c>
      <c r="D6110" t="s">
        <v>17194</v>
      </c>
      <c r="E6110" t="s">
        <v>22526</v>
      </c>
      <c r="F6110" t="s">
        <v>29372</v>
      </c>
      <c r="G6110" t="s">
        <v>29380</v>
      </c>
      <c r="H6110" t="s">
        <v>11048</v>
      </c>
      <c r="I6110" t="s">
        <v>8208</v>
      </c>
      <c r="J6110" t="s">
        <v>33470</v>
      </c>
      <c r="K6110" t="s">
        <v>38534</v>
      </c>
      <c r="M6110" t="s">
        <v>40794</v>
      </c>
      <c r="N6110" t="s">
        <v>42669</v>
      </c>
      <c r="O6110" t="s">
        <v>42670</v>
      </c>
      <c r="P6110">
        <v>0</v>
      </c>
      <c r="Q6110">
        <v>0</v>
      </c>
      <c r="R6110" t="s">
        <v>42677</v>
      </c>
      <c r="S6110" t="s">
        <v>42830</v>
      </c>
      <c r="T6110" t="s">
        <v>44387</v>
      </c>
      <c r="U6110" t="s">
        <v>49835</v>
      </c>
      <c r="V6110" t="s">
        <v>56972</v>
      </c>
      <c r="W6110" t="s">
        <v>40794</v>
      </c>
      <c r="X6110" t="s">
        <v>42678</v>
      </c>
    </row>
    <row r="6111" spans="1:24">
      <c r="A6111">
        <f>HYPERLINK("https://www.philgeps.gov.ph/GEPSNONPILOT/Tender/SplashBidNoticeAbstractUI.aspx?menuIndex=3&amp;refID=7184936&amp;Result=3","7184936")</f>
        <v>0</v>
      </c>
      <c r="B6111" t="s">
        <v>2081</v>
      </c>
      <c r="C6111" t="s">
        <v>9371</v>
      </c>
      <c r="D6111" t="s">
        <v>17141</v>
      </c>
      <c r="E6111" t="s">
        <v>22527</v>
      </c>
      <c r="F6111" t="s">
        <v>29372</v>
      </c>
      <c r="G6111" t="s">
        <v>29379</v>
      </c>
      <c r="H6111" t="s">
        <v>11048</v>
      </c>
      <c r="I6111" t="s">
        <v>3629</v>
      </c>
      <c r="J6111" t="s">
        <v>33471</v>
      </c>
      <c r="K6111" t="s">
        <v>38488</v>
      </c>
      <c r="M6111" t="s">
        <v>40981</v>
      </c>
      <c r="N6111" t="s">
        <v>42669</v>
      </c>
      <c r="O6111" t="s">
        <v>42670</v>
      </c>
      <c r="P6111">
        <v>0</v>
      </c>
      <c r="Q6111">
        <v>8</v>
      </c>
      <c r="R6111" t="s">
        <v>42677</v>
      </c>
      <c r="S6111" t="s">
        <v>42830</v>
      </c>
      <c r="T6111" t="s">
        <v>44488</v>
      </c>
      <c r="U6111" t="s">
        <v>49830</v>
      </c>
      <c r="W6111" t="s">
        <v>40981</v>
      </c>
      <c r="X6111" t="s">
        <v>42678</v>
      </c>
    </row>
    <row r="6112" spans="1:24">
      <c r="A6112">
        <f>HYPERLINK("https://www.philgeps.gov.ph/GEPSNONPILOT/Tender/SplashBidNoticeAbstractUI.aspx?menuIndex=3&amp;refID=7185003&amp;Result=3","7185003")</f>
        <v>0</v>
      </c>
      <c r="B6112" t="s">
        <v>1472</v>
      </c>
      <c r="C6112" t="s">
        <v>9104</v>
      </c>
      <c r="D6112" t="s">
        <v>17170</v>
      </c>
      <c r="E6112" t="s">
        <v>22528</v>
      </c>
      <c r="F6112" t="s">
        <v>29372</v>
      </c>
      <c r="G6112" t="s">
        <v>29383</v>
      </c>
      <c r="H6112" t="s">
        <v>11048</v>
      </c>
      <c r="I6112" t="s">
        <v>29393</v>
      </c>
      <c r="J6112" t="s">
        <v>33472</v>
      </c>
      <c r="K6112" t="s">
        <v>38491</v>
      </c>
      <c r="M6112" t="s">
        <v>40315</v>
      </c>
      <c r="N6112" t="s">
        <v>42669</v>
      </c>
      <c r="O6112" t="s">
        <v>42670</v>
      </c>
      <c r="P6112">
        <v>0</v>
      </c>
      <c r="Q6112">
        <v>0</v>
      </c>
      <c r="R6112" t="s">
        <v>42677</v>
      </c>
      <c r="S6112" t="s">
        <v>42830</v>
      </c>
      <c r="T6112" t="s">
        <v>44432</v>
      </c>
      <c r="U6112" t="s">
        <v>49836</v>
      </c>
      <c r="W6112" t="s">
        <v>40315</v>
      </c>
      <c r="X6112" t="s">
        <v>42678</v>
      </c>
    </row>
    <row r="6113" spans="1:24">
      <c r="A6113">
        <f>HYPERLINK("https://www.philgeps.gov.ph/GEPSNONPILOT/Tender/SplashBidNoticeAbstractUI.aspx?menuIndex=3&amp;refID=7184938&amp;Result=3","7184938")</f>
        <v>0</v>
      </c>
      <c r="B6113" t="s">
        <v>1796</v>
      </c>
      <c r="C6113" t="s">
        <v>9372</v>
      </c>
      <c r="D6113" t="s">
        <v>17174</v>
      </c>
      <c r="E6113" t="s">
        <v>22529</v>
      </c>
      <c r="F6113" t="s">
        <v>29372</v>
      </c>
      <c r="G6113" t="s">
        <v>29380</v>
      </c>
      <c r="H6113" t="s">
        <v>11048</v>
      </c>
      <c r="I6113" t="s">
        <v>29423</v>
      </c>
      <c r="J6113" t="s">
        <v>33473</v>
      </c>
      <c r="K6113" t="s">
        <v>38510</v>
      </c>
      <c r="M6113" t="s">
        <v>40986</v>
      </c>
      <c r="N6113" t="s">
        <v>42669</v>
      </c>
      <c r="O6113" t="s">
        <v>42670</v>
      </c>
      <c r="P6113">
        <v>0</v>
      </c>
      <c r="Q6113">
        <v>0</v>
      </c>
      <c r="R6113" t="s">
        <v>42677</v>
      </c>
      <c r="S6113" t="s">
        <v>42830</v>
      </c>
      <c r="T6113" t="s">
        <v>44554</v>
      </c>
      <c r="U6113" t="s">
        <v>49837</v>
      </c>
      <c r="W6113" t="s">
        <v>40986</v>
      </c>
      <c r="X6113" t="s">
        <v>42678</v>
      </c>
    </row>
    <row r="6114" spans="1:24">
      <c r="A6114">
        <f>HYPERLINK("https://www.philgeps.gov.ph/GEPSNONPILOT/Tender/SplashBidNoticeAbstractUI.aspx?menuIndex=3&amp;refID=7185004&amp;Result=3","7185004")</f>
        <v>0</v>
      </c>
      <c r="B6114" t="s">
        <v>2090</v>
      </c>
      <c r="C6114" t="s">
        <v>9373</v>
      </c>
      <c r="D6114" t="s">
        <v>17205</v>
      </c>
      <c r="E6114" t="s">
        <v>22530</v>
      </c>
      <c r="F6114" t="s">
        <v>29372</v>
      </c>
      <c r="G6114" t="s">
        <v>29380</v>
      </c>
      <c r="H6114" t="s">
        <v>11048</v>
      </c>
      <c r="I6114" t="s">
        <v>4487</v>
      </c>
      <c r="J6114" t="s">
        <v>33474</v>
      </c>
      <c r="K6114" t="s">
        <v>38488</v>
      </c>
      <c r="M6114" t="s">
        <v>40992</v>
      </c>
      <c r="N6114" t="s">
        <v>42669</v>
      </c>
      <c r="O6114" t="s">
        <v>42670</v>
      </c>
      <c r="P6114">
        <v>0</v>
      </c>
      <c r="Q6114">
        <v>5</v>
      </c>
      <c r="R6114" t="s">
        <v>42677</v>
      </c>
      <c r="S6114" t="s">
        <v>42830</v>
      </c>
      <c r="T6114" t="s">
        <v>44355</v>
      </c>
      <c r="U6114" t="s">
        <v>49838</v>
      </c>
      <c r="W6114" t="s">
        <v>40992</v>
      </c>
      <c r="X6114" t="s">
        <v>42678</v>
      </c>
    </row>
    <row r="6115" spans="1:24">
      <c r="A6115">
        <f>HYPERLINK("https://www.philgeps.gov.ph/GEPSNONPILOT/Tender/SplashBidNoticeAbstractUI.aspx?menuIndex=3&amp;refID=7184988&amp;Result=3","7184988")</f>
        <v>0</v>
      </c>
      <c r="B6115" t="s">
        <v>2047</v>
      </c>
      <c r="C6115" t="s">
        <v>9374</v>
      </c>
      <c r="D6115" t="s">
        <v>17189</v>
      </c>
      <c r="E6115" t="s">
        <v>22531</v>
      </c>
      <c r="F6115" t="s">
        <v>29372</v>
      </c>
      <c r="G6115" t="s">
        <v>29379</v>
      </c>
      <c r="H6115" t="s">
        <v>11048</v>
      </c>
      <c r="I6115" t="s">
        <v>8614</v>
      </c>
      <c r="J6115" t="s">
        <v>29526</v>
      </c>
      <c r="K6115" t="s">
        <v>38491</v>
      </c>
      <c r="M6115" t="s">
        <v>40945</v>
      </c>
      <c r="N6115" t="s">
        <v>42669</v>
      </c>
      <c r="O6115" t="s">
        <v>42670</v>
      </c>
      <c r="P6115">
        <v>0</v>
      </c>
      <c r="Q6115">
        <v>1</v>
      </c>
      <c r="R6115" t="s">
        <v>42677</v>
      </c>
      <c r="S6115" t="s">
        <v>42830</v>
      </c>
      <c r="T6115" t="s">
        <v>44488</v>
      </c>
      <c r="U6115" t="s">
        <v>49701</v>
      </c>
      <c r="W6115" t="s">
        <v>40945</v>
      </c>
      <c r="X6115" t="s">
        <v>42678</v>
      </c>
    </row>
    <row r="6116" spans="1:24">
      <c r="A6116">
        <f>HYPERLINK("https://www.philgeps.gov.ph/GEPSNONPILOT/Tender/SplashBidNoticeAbstractUI.aspx?menuIndex=3&amp;refID=7184984&amp;Result=3","7184984")</f>
        <v>0</v>
      </c>
      <c r="B6116" t="s">
        <v>2091</v>
      </c>
      <c r="C6116" t="s">
        <v>9375</v>
      </c>
      <c r="D6116" t="s">
        <v>17169</v>
      </c>
      <c r="E6116" t="s">
        <v>22532</v>
      </c>
      <c r="F6116" t="s">
        <v>29372</v>
      </c>
      <c r="G6116" t="s">
        <v>29380</v>
      </c>
      <c r="H6116" t="s">
        <v>11048</v>
      </c>
      <c r="I6116" t="s">
        <v>29410</v>
      </c>
      <c r="J6116" t="s">
        <v>30036</v>
      </c>
      <c r="K6116" t="s">
        <v>38491</v>
      </c>
      <c r="M6116" t="s">
        <v>40993</v>
      </c>
      <c r="N6116" t="s">
        <v>42669</v>
      </c>
      <c r="O6116" t="s">
        <v>42670</v>
      </c>
      <c r="P6116">
        <v>0</v>
      </c>
      <c r="Q6116">
        <v>3</v>
      </c>
      <c r="R6116" t="s">
        <v>42677</v>
      </c>
      <c r="S6116" t="s">
        <v>42830</v>
      </c>
      <c r="T6116" t="s">
        <v>44712</v>
      </c>
      <c r="U6116" t="s">
        <v>49839</v>
      </c>
      <c r="W6116" t="s">
        <v>40993</v>
      </c>
      <c r="X6116" t="s">
        <v>42678</v>
      </c>
    </row>
    <row r="6117" spans="1:24">
      <c r="A6117">
        <f>HYPERLINK("https://www.philgeps.gov.ph/GEPSNONPILOT/Tender/SplashBidNoticeAbstractUI.aspx?menuIndex=3&amp;refID=7184982&amp;Result=3","7184982")</f>
        <v>0</v>
      </c>
      <c r="B6117" t="s">
        <v>354</v>
      </c>
      <c r="C6117" t="s">
        <v>4949</v>
      </c>
      <c r="D6117" t="s">
        <v>17200</v>
      </c>
      <c r="E6117" t="s">
        <v>22533</v>
      </c>
      <c r="F6117" t="s">
        <v>29372</v>
      </c>
      <c r="G6117" t="s">
        <v>29380</v>
      </c>
      <c r="H6117" t="s">
        <v>29389</v>
      </c>
      <c r="I6117" t="s">
        <v>29453</v>
      </c>
      <c r="J6117" t="s">
        <v>29935</v>
      </c>
      <c r="K6117" t="s">
        <v>38485</v>
      </c>
      <c r="M6117" t="s">
        <v>39113</v>
      </c>
      <c r="N6117" t="s">
        <v>42669</v>
      </c>
      <c r="O6117" t="s">
        <v>42670</v>
      </c>
      <c r="P6117">
        <v>0</v>
      </c>
      <c r="Q6117">
        <v>1</v>
      </c>
      <c r="R6117" t="s">
        <v>42677</v>
      </c>
      <c r="S6117" t="s">
        <v>42830</v>
      </c>
      <c r="T6117" t="s">
        <v>44425</v>
      </c>
      <c r="U6117" t="s">
        <v>49840</v>
      </c>
      <c r="W6117" t="s">
        <v>39113</v>
      </c>
      <c r="X6117" t="s">
        <v>42678</v>
      </c>
    </row>
    <row r="6118" spans="1:24">
      <c r="A6118">
        <f>HYPERLINK("https://www.philgeps.gov.ph/GEPSNONPILOT/Tender/SplashBidNoticeAbstractUI.aspx?menuIndex=3&amp;refID=7184965&amp;Result=3","7184965")</f>
        <v>0</v>
      </c>
      <c r="B6118" t="s">
        <v>2089</v>
      </c>
      <c r="C6118" t="s">
        <v>9376</v>
      </c>
      <c r="D6118" t="s">
        <v>17191</v>
      </c>
      <c r="E6118" t="s">
        <v>17540</v>
      </c>
      <c r="F6118" t="s">
        <v>29372</v>
      </c>
      <c r="G6118" t="s">
        <v>29383</v>
      </c>
      <c r="H6118" t="s">
        <v>11048</v>
      </c>
      <c r="I6118" t="s">
        <v>29396</v>
      </c>
      <c r="J6118" t="s">
        <v>29824</v>
      </c>
      <c r="K6118" t="s">
        <v>38485</v>
      </c>
      <c r="M6118" t="s">
        <v>40991</v>
      </c>
      <c r="N6118" t="s">
        <v>42669</v>
      </c>
      <c r="O6118" t="s">
        <v>42670</v>
      </c>
      <c r="P6118">
        <v>0</v>
      </c>
      <c r="Q6118">
        <v>2</v>
      </c>
      <c r="R6118" t="s">
        <v>42677</v>
      </c>
      <c r="S6118" t="s">
        <v>42830</v>
      </c>
      <c r="T6118" t="s">
        <v>44488</v>
      </c>
      <c r="U6118" t="s">
        <v>49841</v>
      </c>
      <c r="W6118" t="s">
        <v>40991</v>
      </c>
      <c r="X6118" t="s">
        <v>42678</v>
      </c>
    </row>
    <row r="6119" spans="1:24">
      <c r="A6119">
        <f>HYPERLINK("https://www.philgeps.gov.ph/GEPSNONPILOT/Tender/SplashBidNoticeAbstractUI.aspx?menuIndex=3&amp;refID=7184981&amp;Result=3","7184981")</f>
        <v>0</v>
      </c>
      <c r="B6119" t="s">
        <v>2092</v>
      </c>
      <c r="C6119" t="s">
        <v>9377</v>
      </c>
      <c r="D6119" t="s">
        <v>17236</v>
      </c>
      <c r="E6119" t="s">
        <v>22534</v>
      </c>
      <c r="F6119" t="s">
        <v>29372</v>
      </c>
      <c r="G6119" t="s">
        <v>29380</v>
      </c>
      <c r="H6119" t="s">
        <v>11048</v>
      </c>
      <c r="I6119" t="s">
        <v>29394</v>
      </c>
      <c r="J6119" t="s">
        <v>33475</v>
      </c>
      <c r="K6119" t="s">
        <v>38522</v>
      </c>
      <c r="M6119" t="s">
        <v>40994</v>
      </c>
      <c r="N6119" t="s">
        <v>42669</v>
      </c>
      <c r="O6119" t="s">
        <v>42670</v>
      </c>
      <c r="P6119">
        <v>0</v>
      </c>
      <c r="Q6119">
        <v>1</v>
      </c>
      <c r="R6119" t="s">
        <v>42677</v>
      </c>
      <c r="S6119" t="s">
        <v>42830</v>
      </c>
      <c r="T6119" t="s">
        <v>44442</v>
      </c>
      <c r="U6119" t="s">
        <v>49842</v>
      </c>
      <c r="V6119" t="s">
        <v>57034</v>
      </c>
      <c r="W6119" t="s">
        <v>40994</v>
      </c>
      <c r="X6119" t="s">
        <v>42678</v>
      </c>
    </row>
    <row r="6120" spans="1:24">
      <c r="A6120">
        <f>HYPERLINK("https://www.philgeps.gov.ph/GEPSNONPILOT/Tender/SplashBidNoticeAbstractUI.aspx?menuIndex=3&amp;refID=7184980&amp;Result=3","7184980")</f>
        <v>0</v>
      </c>
      <c r="B6120" t="s">
        <v>2093</v>
      </c>
      <c r="C6120" t="s">
        <v>9378</v>
      </c>
      <c r="D6120" t="s">
        <v>17141</v>
      </c>
      <c r="E6120" t="s">
        <v>18255</v>
      </c>
      <c r="F6120" t="s">
        <v>29372</v>
      </c>
      <c r="G6120" t="s">
        <v>29380</v>
      </c>
      <c r="H6120" t="s">
        <v>29391</v>
      </c>
      <c r="I6120" t="s">
        <v>29391</v>
      </c>
      <c r="J6120" t="s">
        <v>33476</v>
      </c>
      <c r="K6120" t="s">
        <v>38495</v>
      </c>
      <c r="M6120" t="s">
        <v>40995</v>
      </c>
      <c r="N6120" t="s">
        <v>42669</v>
      </c>
      <c r="O6120" t="s">
        <v>42670</v>
      </c>
      <c r="P6120">
        <v>0</v>
      </c>
      <c r="Q6120">
        <v>3</v>
      </c>
      <c r="R6120" t="s">
        <v>42677</v>
      </c>
      <c r="S6120" t="s">
        <v>42830</v>
      </c>
      <c r="T6120" t="s">
        <v>44713</v>
      </c>
      <c r="U6120" t="s">
        <v>49843</v>
      </c>
      <c r="V6120" t="s">
        <v>57035</v>
      </c>
      <c r="W6120" t="s">
        <v>40995</v>
      </c>
      <c r="X6120" t="s">
        <v>42678</v>
      </c>
    </row>
    <row r="6121" spans="1:24">
      <c r="A6121">
        <f>HYPERLINK("https://www.philgeps.gov.ph/GEPSNONPILOT/Tender/SplashBidNoticeAbstractUI.aspx?menuIndex=3&amp;refID=7184978&amp;Result=3","7184978")</f>
        <v>0</v>
      </c>
      <c r="B6121" t="s">
        <v>1625</v>
      </c>
      <c r="C6121" t="s">
        <v>9379</v>
      </c>
      <c r="D6121" t="s">
        <v>17199</v>
      </c>
      <c r="E6121" t="s">
        <v>22535</v>
      </c>
      <c r="F6121" t="s">
        <v>29372</v>
      </c>
      <c r="G6121" t="s">
        <v>29379</v>
      </c>
      <c r="H6121" t="s">
        <v>11048</v>
      </c>
      <c r="I6121" t="s">
        <v>29395</v>
      </c>
      <c r="J6121" t="s">
        <v>30212</v>
      </c>
      <c r="K6121" t="s">
        <v>38490</v>
      </c>
      <c r="M6121" t="s">
        <v>40479</v>
      </c>
      <c r="N6121" t="s">
        <v>42669</v>
      </c>
      <c r="O6121" t="s">
        <v>42670</v>
      </c>
      <c r="P6121">
        <v>0</v>
      </c>
      <c r="Q6121">
        <v>0</v>
      </c>
      <c r="R6121" t="s">
        <v>42677</v>
      </c>
      <c r="S6121" t="s">
        <v>42830</v>
      </c>
      <c r="T6121" t="s">
        <v>44548</v>
      </c>
      <c r="U6121" t="s">
        <v>49834</v>
      </c>
      <c r="W6121" t="s">
        <v>40479</v>
      </c>
      <c r="X6121" t="s">
        <v>42678</v>
      </c>
    </row>
    <row r="6122" spans="1:24">
      <c r="A6122">
        <f>HYPERLINK("https://www.philgeps.gov.ph/GEPSNONPILOT/Tender/SplashBidNoticeAbstractUI.aspx?menuIndex=3&amp;refID=7184987&amp;Result=3","7184987")</f>
        <v>0</v>
      </c>
      <c r="B6122" t="s">
        <v>1428</v>
      </c>
      <c r="C6122" t="s">
        <v>9380</v>
      </c>
      <c r="D6122" t="s">
        <v>17171</v>
      </c>
      <c r="E6122" t="s">
        <v>22536</v>
      </c>
      <c r="F6122" t="s">
        <v>29372</v>
      </c>
      <c r="G6122" t="s">
        <v>29380</v>
      </c>
      <c r="H6122" t="s">
        <v>29389</v>
      </c>
      <c r="I6122" t="s">
        <v>10408</v>
      </c>
      <c r="J6122" t="s">
        <v>33477</v>
      </c>
      <c r="K6122" t="s">
        <v>38503</v>
      </c>
      <c r="M6122" t="s">
        <v>40268</v>
      </c>
      <c r="N6122" t="s">
        <v>42669</v>
      </c>
      <c r="O6122" t="s">
        <v>42670</v>
      </c>
      <c r="P6122">
        <v>0</v>
      </c>
      <c r="Q6122">
        <v>3</v>
      </c>
      <c r="R6122" t="s">
        <v>42677</v>
      </c>
      <c r="S6122" t="s">
        <v>42830</v>
      </c>
      <c r="T6122" t="s">
        <v>44664</v>
      </c>
      <c r="U6122" t="s">
        <v>49844</v>
      </c>
      <c r="W6122" t="s">
        <v>40268</v>
      </c>
      <c r="X6122" t="s">
        <v>42678</v>
      </c>
    </row>
    <row r="6123" spans="1:24">
      <c r="A6123">
        <f>HYPERLINK("https://www.philgeps.gov.ph/GEPSNONPILOT/Tender/SplashBidNoticeAbstractUI.aspx?menuIndex=3&amp;refID=7184977&amp;Result=3","7184977")</f>
        <v>0</v>
      </c>
      <c r="B6123" t="s">
        <v>1796</v>
      </c>
      <c r="C6123" t="s">
        <v>9381</v>
      </c>
      <c r="D6123" t="s">
        <v>17174</v>
      </c>
      <c r="E6123" t="s">
        <v>22537</v>
      </c>
      <c r="F6123" t="s">
        <v>29372</v>
      </c>
      <c r="G6123" t="s">
        <v>29380</v>
      </c>
      <c r="H6123" t="s">
        <v>11048</v>
      </c>
      <c r="I6123" t="s">
        <v>29442</v>
      </c>
      <c r="J6123" t="s">
        <v>33478</v>
      </c>
      <c r="K6123" t="s">
        <v>38510</v>
      </c>
      <c r="M6123" t="s">
        <v>40986</v>
      </c>
      <c r="N6123" t="s">
        <v>42669</v>
      </c>
      <c r="O6123" t="s">
        <v>42670</v>
      </c>
      <c r="P6123">
        <v>0</v>
      </c>
      <c r="Q6123">
        <v>3</v>
      </c>
      <c r="R6123" t="s">
        <v>42677</v>
      </c>
      <c r="S6123" t="s">
        <v>42830</v>
      </c>
      <c r="T6123" t="s">
        <v>44554</v>
      </c>
      <c r="U6123" t="s">
        <v>49845</v>
      </c>
      <c r="W6123" t="s">
        <v>40986</v>
      </c>
      <c r="X6123" t="s">
        <v>42678</v>
      </c>
    </row>
    <row r="6124" spans="1:24">
      <c r="A6124">
        <f>HYPERLINK("https://www.philgeps.gov.ph/GEPSNONPILOT/Tender/SplashBidNoticeAbstractUI.aspx?menuIndex=3&amp;refID=7184875&amp;Result=3","7184875")</f>
        <v>0</v>
      </c>
      <c r="B6124" t="s">
        <v>1472</v>
      </c>
      <c r="C6124" t="s">
        <v>9104</v>
      </c>
      <c r="D6124" t="s">
        <v>17170</v>
      </c>
      <c r="E6124" t="s">
        <v>22538</v>
      </c>
      <c r="F6124" t="s">
        <v>29372</v>
      </c>
      <c r="G6124" t="s">
        <v>29383</v>
      </c>
      <c r="H6124" t="s">
        <v>11048</v>
      </c>
      <c r="I6124" t="s">
        <v>29393</v>
      </c>
      <c r="J6124" t="s">
        <v>33479</v>
      </c>
      <c r="K6124" t="s">
        <v>38491</v>
      </c>
      <c r="M6124" t="s">
        <v>40315</v>
      </c>
      <c r="N6124" t="s">
        <v>42669</v>
      </c>
      <c r="O6124" t="s">
        <v>42670</v>
      </c>
      <c r="P6124">
        <v>0</v>
      </c>
      <c r="Q6124">
        <v>0</v>
      </c>
      <c r="R6124" t="s">
        <v>42677</v>
      </c>
      <c r="S6124" t="s">
        <v>42830</v>
      </c>
      <c r="T6124" t="s">
        <v>44432</v>
      </c>
      <c r="U6124" t="s">
        <v>49846</v>
      </c>
      <c r="W6124" t="s">
        <v>40315</v>
      </c>
      <c r="X6124" t="s">
        <v>42678</v>
      </c>
    </row>
    <row r="6125" spans="1:24">
      <c r="A6125">
        <f>HYPERLINK("https://www.philgeps.gov.ph/GEPSNONPILOT/Tender/SplashBidNoticeAbstractUI.aspx?menuIndex=3&amp;refID=7185065&amp;Result=3","7185065")</f>
        <v>0</v>
      </c>
      <c r="B6125" t="s">
        <v>1515</v>
      </c>
      <c r="C6125" t="s">
        <v>9382</v>
      </c>
      <c r="D6125" t="s">
        <v>17174</v>
      </c>
      <c r="E6125" t="s">
        <v>22539</v>
      </c>
      <c r="F6125" t="s">
        <v>29372</v>
      </c>
      <c r="G6125" t="s">
        <v>29379</v>
      </c>
      <c r="H6125" t="s">
        <v>11048</v>
      </c>
      <c r="I6125" t="s">
        <v>8614</v>
      </c>
      <c r="J6125" t="s">
        <v>33480</v>
      </c>
      <c r="K6125" t="s">
        <v>38488</v>
      </c>
      <c r="M6125" t="s">
        <v>40359</v>
      </c>
      <c r="N6125" t="s">
        <v>42669</v>
      </c>
      <c r="O6125" t="s">
        <v>42670</v>
      </c>
      <c r="P6125">
        <v>0</v>
      </c>
      <c r="Q6125">
        <v>1</v>
      </c>
      <c r="R6125" t="s">
        <v>42677</v>
      </c>
      <c r="S6125" t="s">
        <v>42830</v>
      </c>
      <c r="T6125" t="s">
        <v>44432</v>
      </c>
      <c r="U6125" t="s">
        <v>49847</v>
      </c>
      <c r="W6125" t="s">
        <v>40359</v>
      </c>
      <c r="X6125" t="s">
        <v>42678</v>
      </c>
    </row>
    <row r="6126" spans="1:24">
      <c r="A6126">
        <f>HYPERLINK("https://www.philgeps.gov.ph/GEPSNONPILOT/Tender/SplashBidNoticeAbstractUI.aspx?menuIndex=3&amp;refID=7184996&amp;Result=3","7184996")</f>
        <v>0</v>
      </c>
      <c r="B6126" t="s">
        <v>2094</v>
      </c>
      <c r="C6126" t="s">
        <v>9383</v>
      </c>
      <c r="D6126" t="s">
        <v>17142</v>
      </c>
      <c r="E6126" t="s">
        <v>22540</v>
      </c>
      <c r="F6126" t="s">
        <v>29372</v>
      </c>
      <c r="G6126" t="s">
        <v>29380</v>
      </c>
      <c r="H6126" t="s">
        <v>29389</v>
      </c>
      <c r="I6126" t="s">
        <v>10408</v>
      </c>
      <c r="J6126" t="s">
        <v>29555</v>
      </c>
      <c r="K6126" t="s">
        <v>38491</v>
      </c>
      <c r="L6126" t="s">
        <v>2094</v>
      </c>
      <c r="M6126" t="s">
        <v>40996</v>
      </c>
      <c r="N6126" t="s">
        <v>42669</v>
      </c>
      <c r="O6126" t="s">
        <v>42670</v>
      </c>
      <c r="P6126">
        <v>0</v>
      </c>
      <c r="Q6126">
        <v>0</v>
      </c>
      <c r="R6126" t="s">
        <v>42677</v>
      </c>
      <c r="S6126" t="s">
        <v>42830</v>
      </c>
      <c r="T6126" t="s">
        <v>44429</v>
      </c>
      <c r="U6126" t="s">
        <v>49848</v>
      </c>
      <c r="W6126" t="s">
        <v>40996</v>
      </c>
      <c r="X6126" t="s">
        <v>42678</v>
      </c>
    </row>
    <row r="6127" spans="1:24">
      <c r="A6127">
        <f>HYPERLINK("https://www.philgeps.gov.ph/GEPSNONPILOT/Tender/SplashBidNoticeAbstractUI.aspx?menuIndex=3&amp;refID=7185057&amp;Result=3","7185057")</f>
        <v>0</v>
      </c>
      <c r="B6127" t="s">
        <v>2095</v>
      </c>
      <c r="C6127" t="s">
        <v>9384</v>
      </c>
      <c r="D6127" t="s">
        <v>17185</v>
      </c>
      <c r="E6127" t="s">
        <v>22541</v>
      </c>
      <c r="F6127" t="s">
        <v>29372</v>
      </c>
      <c r="G6127" t="s">
        <v>29379</v>
      </c>
      <c r="H6127" t="s">
        <v>11048</v>
      </c>
      <c r="I6127" t="s">
        <v>29486</v>
      </c>
      <c r="J6127" t="s">
        <v>33481</v>
      </c>
      <c r="K6127" t="s">
        <v>38488</v>
      </c>
      <c r="M6127" t="s">
        <v>40997</v>
      </c>
      <c r="N6127" t="s">
        <v>42669</v>
      </c>
      <c r="O6127" t="s">
        <v>42670</v>
      </c>
      <c r="P6127">
        <v>0</v>
      </c>
      <c r="Q6127">
        <v>1</v>
      </c>
      <c r="R6127" t="s">
        <v>42677</v>
      </c>
      <c r="S6127" t="s">
        <v>42830</v>
      </c>
      <c r="T6127" t="s">
        <v>44548</v>
      </c>
      <c r="U6127" t="s">
        <v>49849</v>
      </c>
      <c r="V6127" t="s">
        <v>57036</v>
      </c>
      <c r="W6127" t="s">
        <v>40997</v>
      </c>
      <c r="X6127" t="s">
        <v>42678</v>
      </c>
    </row>
    <row r="6128" spans="1:24">
      <c r="A6128">
        <f>HYPERLINK("https://www.philgeps.gov.ph/GEPSNONPILOT/Tender/SplashBidNoticeAbstractUI.aspx?menuIndex=3&amp;refID=7185053&amp;Result=3","7185053")</f>
        <v>0</v>
      </c>
      <c r="B6128" t="s">
        <v>1919</v>
      </c>
      <c r="C6128" t="s">
        <v>9385</v>
      </c>
      <c r="D6128" t="s">
        <v>17194</v>
      </c>
      <c r="E6128" t="s">
        <v>22542</v>
      </c>
      <c r="F6128" t="s">
        <v>29372</v>
      </c>
      <c r="G6128" t="s">
        <v>29380</v>
      </c>
      <c r="H6128" t="s">
        <v>11048</v>
      </c>
      <c r="I6128" t="s">
        <v>8614</v>
      </c>
      <c r="J6128" t="s">
        <v>30038</v>
      </c>
      <c r="K6128" t="s">
        <v>38485</v>
      </c>
      <c r="M6128" t="s">
        <v>40794</v>
      </c>
      <c r="N6128" t="s">
        <v>42669</v>
      </c>
      <c r="O6128" t="s">
        <v>42670</v>
      </c>
      <c r="P6128">
        <v>0</v>
      </c>
      <c r="Q6128">
        <v>0</v>
      </c>
      <c r="R6128" t="s">
        <v>42677</v>
      </c>
      <c r="S6128" t="s">
        <v>42830</v>
      </c>
      <c r="T6128" t="s">
        <v>44387</v>
      </c>
      <c r="U6128" t="s">
        <v>49835</v>
      </c>
      <c r="V6128" t="s">
        <v>56972</v>
      </c>
      <c r="W6128" t="s">
        <v>40794</v>
      </c>
      <c r="X6128" t="s">
        <v>42678</v>
      </c>
    </row>
    <row r="6129" spans="1:24">
      <c r="A6129">
        <f>HYPERLINK("https://www.philgeps.gov.ph/GEPSNONPILOT/Tender/SplashBidNoticeAbstractUI.aspx?menuIndex=3&amp;refID=7184975&amp;Result=3","7184975")</f>
        <v>0</v>
      </c>
      <c r="B6129" t="s">
        <v>2096</v>
      </c>
      <c r="C6129" t="s">
        <v>9386</v>
      </c>
      <c r="D6129" t="s">
        <v>17187</v>
      </c>
      <c r="E6129" t="s">
        <v>22543</v>
      </c>
      <c r="F6129" t="s">
        <v>29375</v>
      </c>
      <c r="G6129" t="s">
        <v>29380</v>
      </c>
      <c r="H6129" t="s">
        <v>29389</v>
      </c>
      <c r="I6129" t="s">
        <v>4709</v>
      </c>
      <c r="J6129" t="s">
        <v>33482</v>
      </c>
      <c r="K6129" t="s">
        <v>38496</v>
      </c>
      <c r="M6129" t="s">
        <v>40998</v>
      </c>
      <c r="N6129" t="s">
        <v>42669</v>
      </c>
      <c r="O6129" t="s">
        <v>42670</v>
      </c>
      <c r="P6129">
        <v>0</v>
      </c>
      <c r="Q6129">
        <v>1</v>
      </c>
      <c r="R6129" t="s">
        <v>42677</v>
      </c>
      <c r="S6129" t="s">
        <v>42830</v>
      </c>
      <c r="T6129" t="s">
        <v>44527</v>
      </c>
      <c r="U6129" t="s">
        <v>49850</v>
      </c>
      <c r="W6129" t="s">
        <v>40998</v>
      </c>
      <c r="X6129" t="s">
        <v>42678</v>
      </c>
    </row>
    <row r="6130" spans="1:24">
      <c r="A6130">
        <f>HYPERLINK("https://www.philgeps.gov.ph/GEPSNONPILOT/Tender/SplashBidNoticeAbstractUI.aspx?menuIndex=3&amp;refID=7185049&amp;Result=3","7185049")</f>
        <v>0</v>
      </c>
      <c r="B6130" t="s">
        <v>2097</v>
      </c>
      <c r="C6130" t="s">
        <v>9387</v>
      </c>
      <c r="D6130" t="s">
        <v>17189</v>
      </c>
      <c r="E6130" t="s">
        <v>17399</v>
      </c>
      <c r="F6130" t="s">
        <v>29372</v>
      </c>
      <c r="G6130" t="s">
        <v>29383</v>
      </c>
      <c r="H6130" t="s">
        <v>29390</v>
      </c>
      <c r="I6130" t="s">
        <v>29412</v>
      </c>
      <c r="J6130" t="s">
        <v>33483</v>
      </c>
      <c r="K6130" t="s">
        <v>38489</v>
      </c>
      <c r="M6130" t="s">
        <v>40999</v>
      </c>
      <c r="N6130" t="s">
        <v>42669</v>
      </c>
      <c r="O6130" t="s">
        <v>42670</v>
      </c>
      <c r="P6130">
        <v>0</v>
      </c>
      <c r="Q6130">
        <v>1</v>
      </c>
      <c r="R6130" t="s">
        <v>42677</v>
      </c>
      <c r="S6130" t="s">
        <v>42830</v>
      </c>
      <c r="T6130" t="s">
        <v>44512</v>
      </c>
      <c r="U6130" t="s">
        <v>49851</v>
      </c>
      <c r="V6130" t="s">
        <v>56978</v>
      </c>
      <c r="W6130" t="s">
        <v>40999</v>
      </c>
      <c r="X6130" t="s">
        <v>42678</v>
      </c>
    </row>
    <row r="6131" spans="1:24">
      <c r="A6131">
        <f>HYPERLINK("https://www.philgeps.gov.ph/GEPSNONPILOT/Tender/SplashBidNoticeAbstractUI.aspx?menuIndex=3&amp;refID=7185048&amp;Result=3","7185048")</f>
        <v>0</v>
      </c>
      <c r="B6131" t="s">
        <v>1037</v>
      </c>
      <c r="C6131" t="s">
        <v>9388</v>
      </c>
      <c r="D6131" t="s">
        <v>17188</v>
      </c>
      <c r="E6131" t="s">
        <v>22544</v>
      </c>
      <c r="F6131" t="s">
        <v>29372</v>
      </c>
      <c r="G6131" t="s">
        <v>29380</v>
      </c>
      <c r="H6131" t="s">
        <v>29389</v>
      </c>
      <c r="I6131" t="s">
        <v>10408</v>
      </c>
      <c r="J6131" t="s">
        <v>33484</v>
      </c>
      <c r="K6131" t="s">
        <v>38522</v>
      </c>
      <c r="M6131" t="s">
        <v>39841</v>
      </c>
      <c r="N6131" t="s">
        <v>42669</v>
      </c>
      <c r="O6131" t="s">
        <v>42670</v>
      </c>
      <c r="P6131">
        <v>0</v>
      </c>
      <c r="Q6131">
        <v>0</v>
      </c>
      <c r="R6131" t="s">
        <v>42677</v>
      </c>
      <c r="S6131" t="s">
        <v>42830</v>
      </c>
      <c r="T6131" t="s">
        <v>44549</v>
      </c>
      <c r="U6131" t="s">
        <v>49852</v>
      </c>
      <c r="W6131" t="s">
        <v>39841</v>
      </c>
      <c r="X6131" t="s">
        <v>42678</v>
      </c>
    </row>
    <row r="6132" spans="1:24">
      <c r="A6132">
        <f>HYPERLINK("https://www.philgeps.gov.ph/GEPSNONPILOT/Tender/SplashBidNoticeAbstractUI.aspx?menuIndex=3&amp;refID=7185042&amp;Result=3","7185042")</f>
        <v>0</v>
      </c>
      <c r="B6132" t="s">
        <v>1599</v>
      </c>
      <c r="C6132" t="s">
        <v>9389</v>
      </c>
      <c r="D6132" t="s">
        <v>17158</v>
      </c>
      <c r="E6132" t="s">
        <v>22545</v>
      </c>
      <c r="F6132" t="s">
        <v>29372</v>
      </c>
      <c r="G6132" t="s">
        <v>29380</v>
      </c>
      <c r="H6132" t="s">
        <v>11048</v>
      </c>
      <c r="I6132" t="s">
        <v>29393</v>
      </c>
      <c r="J6132" t="s">
        <v>33485</v>
      </c>
      <c r="K6132" t="s">
        <v>38485</v>
      </c>
      <c r="M6132" t="s">
        <v>41000</v>
      </c>
      <c r="N6132" t="s">
        <v>42669</v>
      </c>
      <c r="O6132" t="s">
        <v>42670</v>
      </c>
      <c r="P6132">
        <v>0</v>
      </c>
      <c r="Q6132">
        <v>0</v>
      </c>
      <c r="R6132" t="s">
        <v>42677</v>
      </c>
      <c r="S6132" t="s">
        <v>42830</v>
      </c>
      <c r="T6132" t="s">
        <v>44368</v>
      </c>
      <c r="U6132" t="s">
        <v>49853</v>
      </c>
      <c r="V6132" t="s">
        <v>57037</v>
      </c>
      <c r="W6132" t="s">
        <v>41000</v>
      </c>
      <c r="X6132" t="s">
        <v>42678</v>
      </c>
    </row>
    <row r="6133" spans="1:24">
      <c r="A6133">
        <f>HYPERLINK("https://www.philgeps.gov.ph/GEPSNONPILOT/Tender/SplashBidNoticeAbstractUI.aspx?menuIndex=3&amp;refID=7184994&amp;Result=3","7184994")</f>
        <v>0</v>
      </c>
      <c r="B6133" t="s">
        <v>2098</v>
      </c>
      <c r="C6133" t="s">
        <v>9390</v>
      </c>
      <c r="D6133" t="s">
        <v>17160</v>
      </c>
      <c r="E6133" t="s">
        <v>22546</v>
      </c>
      <c r="F6133" t="s">
        <v>29372</v>
      </c>
      <c r="G6133" t="s">
        <v>29379</v>
      </c>
      <c r="H6133" t="s">
        <v>11048</v>
      </c>
      <c r="I6133" t="s">
        <v>29403</v>
      </c>
      <c r="J6133" t="s">
        <v>30346</v>
      </c>
      <c r="K6133" t="s">
        <v>38491</v>
      </c>
      <c r="M6133" t="s">
        <v>41001</v>
      </c>
      <c r="N6133" t="s">
        <v>42669</v>
      </c>
      <c r="O6133" t="s">
        <v>42670</v>
      </c>
      <c r="P6133">
        <v>0</v>
      </c>
      <c r="Q6133">
        <v>0</v>
      </c>
      <c r="R6133" t="s">
        <v>42677</v>
      </c>
      <c r="S6133" t="s">
        <v>42830</v>
      </c>
      <c r="T6133" t="s">
        <v>44425</v>
      </c>
      <c r="U6133" t="s">
        <v>45197</v>
      </c>
      <c r="W6133" t="s">
        <v>41001</v>
      </c>
      <c r="X6133" t="s">
        <v>42678</v>
      </c>
    </row>
    <row r="6134" spans="1:24">
      <c r="A6134">
        <f>HYPERLINK("https://www.philgeps.gov.ph/GEPSNONPILOT/Tender/SplashBidNoticeAbstractUI.aspx?menuIndex=3&amp;refID=7185038&amp;Result=3","7185038")</f>
        <v>0</v>
      </c>
      <c r="B6134" t="s">
        <v>160</v>
      </c>
      <c r="C6134" t="s">
        <v>9391</v>
      </c>
      <c r="D6134" t="s">
        <v>17193</v>
      </c>
      <c r="E6134" t="s">
        <v>22547</v>
      </c>
      <c r="F6134" t="s">
        <v>29372</v>
      </c>
      <c r="G6134" t="s">
        <v>29380</v>
      </c>
      <c r="H6134" t="s">
        <v>11048</v>
      </c>
      <c r="I6134" t="s">
        <v>9642</v>
      </c>
      <c r="J6134" t="s">
        <v>33486</v>
      </c>
      <c r="K6134" t="s">
        <v>38485</v>
      </c>
      <c r="M6134" t="s">
        <v>38916</v>
      </c>
      <c r="N6134" t="s">
        <v>42669</v>
      </c>
      <c r="O6134" t="s">
        <v>42670</v>
      </c>
      <c r="P6134">
        <v>0</v>
      </c>
      <c r="Q6134">
        <v>10</v>
      </c>
      <c r="R6134" t="s">
        <v>42677</v>
      </c>
      <c r="S6134" t="s">
        <v>42830</v>
      </c>
      <c r="T6134" t="s">
        <v>44446</v>
      </c>
      <c r="U6134" t="s">
        <v>49854</v>
      </c>
      <c r="W6134" t="s">
        <v>38916</v>
      </c>
      <c r="X6134" t="s">
        <v>42678</v>
      </c>
    </row>
    <row r="6135" spans="1:24">
      <c r="A6135">
        <f>HYPERLINK("https://www.philgeps.gov.ph/GEPSNONPILOT/Tender/SplashBidNoticeAbstractUI.aspx?menuIndex=3&amp;refID=7185041&amp;Result=3","7185041")</f>
        <v>0</v>
      </c>
      <c r="B6135" t="s">
        <v>853</v>
      </c>
      <c r="C6135" t="s">
        <v>9392</v>
      </c>
      <c r="D6135" t="s">
        <v>17160</v>
      </c>
      <c r="E6135" t="s">
        <v>22548</v>
      </c>
      <c r="F6135" t="s">
        <v>29372</v>
      </c>
      <c r="G6135" t="s">
        <v>29379</v>
      </c>
      <c r="H6135" t="s">
        <v>29389</v>
      </c>
      <c r="I6135" t="s">
        <v>4709</v>
      </c>
      <c r="J6135" t="s">
        <v>33487</v>
      </c>
      <c r="K6135" t="s">
        <v>38524</v>
      </c>
      <c r="M6135" t="s">
        <v>39643</v>
      </c>
      <c r="N6135" t="s">
        <v>42669</v>
      </c>
      <c r="O6135" t="s">
        <v>42670</v>
      </c>
      <c r="P6135">
        <v>0</v>
      </c>
      <c r="Q6135">
        <v>1</v>
      </c>
      <c r="R6135" t="s">
        <v>42677</v>
      </c>
      <c r="S6135" t="s">
        <v>42830</v>
      </c>
      <c r="T6135" t="s">
        <v>44488</v>
      </c>
      <c r="U6135" t="s">
        <v>49855</v>
      </c>
      <c r="W6135" t="s">
        <v>39643</v>
      </c>
      <c r="X6135" t="s">
        <v>42678</v>
      </c>
    </row>
    <row r="6136" spans="1:24">
      <c r="A6136">
        <f>HYPERLINK("https://www.philgeps.gov.ph/GEPSNONPILOT/Tender/SplashBidNoticeAbstractUI.aspx?menuIndex=3&amp;refID=7185040&amp;Result=3","7185040")</f>
        <v>0</v>
      </c>
      <c r="B6136" t="s">
        <v>433</v>
      </c>
      <c r="C6136" t="s">
        <v>9393</v>
      </c>
      <c r="D6136" t="s">
        <v>17188</v>
      </c>
      <c r="E6136" t="s">
        <v>22549</v>
      </c>
      <c r="F6136" t="s">
        <v>29372</v>
      </c>
      <c r="G6136" t="s">
        <v>29380</v>
      </c>
      <c r="H6136" t="s">
        <v>11048</v>
      </c>
      <c r="I6136" t="s">
        <v>29459</v>
      </c>
      <c r="J6136" t="s">
        <v>33488</v>
      </c>
      <c r="K6136" t="s">
        <v>38496</v>
      </c>
      <c r="M6136" t="s">
        <v>40058</v>
      </c>
      <c r="N6136" t="s">
        <v>42669</v>
      </c>
      <c r="O6136" t="s">
        <v>42670</v>
      </c>
      <c r="P6136">
        <v>0</v>
      </c>
      <c r="Q6136">
        <v>5</v>
      </c>
      <c r="R6136" t="s">
        <v>42677</v>
      </c>
      <c r="S6136" t="s">
        <v>42830</v>
      </c>
      <c r="T6136" t="s">
        <v>44684</v>
      </c>
      <c r="U6136" t="s">
        <v>49856</v>
      </c>
      <c r="W6136" t="s">
        <v>40058</v>
      </c>
      <c r="X6136" t="s">
        <v>42678</v>
      </c>
    </row>
    <row r="6137" spans="1:24">
      <c r="A6137">
        <f>HYPERLINK("https://www.philgeps.gov.ph/GEPSNONPILOT/Tender/SplashBidNoticeAbstractUI.aspx?menuIndex=3&amp;refID=7185039&amp;Result=3","7185039")</f>
        <v>0</v>
      </c>
      <c r="B6137" t="s">
        <v>2099</v>
      </c>
      <c r="C6137" t="s">
        <v>9394</v>
      </c>
      <c r="E6137" t="s">
        <v>21453</v>
      </c>
      <c r="F6137" t="s">
        <v>29372</v>
      </c>
      <c r="G6137" t="s">
        <v>29380</v>
      </c>
      <c r="H6137" t="s">
        <v>11048</v>
      </c>
      <c r="I6137" t="s">
        <v>4709</v>
      </c>
      <c r="J6137" t="s">
        <v>33489</v>
      </c>
      <c r="K6137" t="s">
        <v>38490</v>
      </c>
      <c r="M6137" t="s">
        <v>41002</v>
      </c>
      <c r="N6137" t="s">
        <v>42669</v>
      </c>
      <c r="O6137" t="s">
        <v>42670</v>
      </c>
      <c r="P6137">
        <v>0</v>
      </c>
      <c r="Q6137">
        <v>0</v>
      </c>
      <c r="R6137" t="s">
        <v>42677</v>
      </c>
      <c r="S6137" t="s">
        <v>42830</v>
      </c>
      <c r="T6137" t="s">
        <v>44401</v>
      </c>
      <c r="U6137" t="s">
        <v>49857</v>
      </c>
      <c r="W6137" t="s">
        <v>41002</v>
      </c>
      <c r="X6137" t="s">
        <v>42678</v>
      </c>
    </row>
    <row r="6138" spans="1:24">
      <c r="A6138">
        <f>HYPERLINK("https://www.philgeps.gov.ph/GEPSNONPILOT/Tender/SplashBidNoticeAbstractUI.aspx?menuIndex=3&amp;refID=7185035&amp;Result=3","7185035")</f>
        <v>0</v>
      </c>
      <c r="B6138" t="s">
        <v>2100</v>
      </c>
      <c r="C6138" t="s">
        <v>5629</v>
      </c>
      <c r="D6138" t="s">
        <v>17212</v>
      </c>
      <c r="E6138" t="s">
        <v>22550</v>
      </c>
      <c r="F6138" t="s">
        <v>29372</v>
      </c>
      <c r="G6138" t="s">
        <v>29380</v>
      </c>
      <c r="H6138" t="s">
        <v>29389</v>
      </c>
      <c r="I6138" t="s">
        <v>10408</v>
      </c>
      <c r="J6138" t="s">
        <v>29532</v>
      </c>
      <c r="K6138" t="s">
        <v>38537</v>
      </c>
      <c r="M6138" t="s">
        <v>40261</v>
      </c>
      <c r="N6138" t="s">
        <v>42669</v>
      </c>
      <c r="O6138" t="s">
        <v>42670</v>
      </c>
      <c r="P6138">
        <v>0</v>
      </c>
      <c r="Q6138">
        <v>0</v>
      </c>
      <c r="R6138" t="s">
        <v>42677</v>
      </c>
      <c r="S6138" t="s">
        <v>42830</v>
      </c>
      <c r="T6138" t="s">
        <v>44401</v>
      </c>
      <c r="U6138" t="s">
        <v>49858</v>
      </c>
      <c r="W6138" t="s">
        <v>40261</v>
      </c>
      <c r="X6138" t="s">
        <v>42678</v>
      </c>
    </row>
    <row r="6139" spans="1:24">
      <c r="A6139">
        <f>HYPERLINK("https://www.philgeps.gov.ph/GEPSNONPILOT/Tender/SplashBidNoticeAbstractUI.aspx?menuIndex=3&amp;refID=7185034&amp;Result=3","7185034")</f>
        <v>0</v>
      </c>
      <c r="B6139" t="s">
        <v>1625</v>
      </c>
      <c r="C6139" t="s">
        <v>9395</v>
      </c>
      <c r="D6139" t="s">
        <v>17199</v>
      </c>
      <c r="E6139" t="s">
        <v>22551</v>
      </c>
      <c r="F6139" t="s">
        <v>29372</v>
      </c>
      <c r="G6139" t="s">
        <v>29379</v>
      </c>
      <c r="H6139" t="s">
        <v>11048</v>
      </c>
      <c r="I6139" t="s">
        <v>29403</v>
      </c>
      <c r="J6139" t="s">
        <v>33490</v>
      </c>
      <c r="K6139" t="s">
        <v>38490</v>
      </c>
      <c r="M6139" t="s">
        <v>40479</v>
      </c>
      <c r="N6139" t="s">
        <v>42669</v>
      </c>
      <c r="O6139" t="s">
        <v>42670</v>
      </c>
      <c r="P6139">
        <v>0</v>
      </c>
      <c r="Q6139">
        <v>0</v>
      </c>
      <c r="R6139" t="s">
        <v>42677</v>
      </c>
      <c r="S6139" t="s">
        <v>42830</v>
      </c>
      <c r="T6139" t="s">
        <v>44548</v>
      </c>
      <c r="U6139" t="s">
        <v>49834</v>
      </c>
      <c r="W6139" t="s">
        <v>40479</v>
      </c>
      <c r="X6139" t="s">
        <v>42678</v>
      </c>
    </row>
    <row r="6140" spans="1:24">
      <c r="A6140">
        <f>HYPERLINK("https://www.philgeps.gov.ph/GEPSNONPILOT/Tender/SplashBidNoticeAbstractUI.aspx?menuIndex=3&amp;refID=7185027&amp;Result=3","7185027")</f>
        <v>0</v>
      </c>
      <c r="B6140" t="s">
        <v>2047</v>
      </c>
      <c r="C6140" t="s">
        <v>9396</v>
      </c>
      <c r="D6140" t="s">
        <v>17189</v>
      </c>
      <c r="E6140" t="s">
        <v>22552</v>
      </c>
      <c r="F6140" t="s">
        <v>29372</v>
      </c>
      <c r="G6140" t="s">
        <v>29379</v>
      </c>
      <c r="H6140" t="s">
        <v>11048</v>
      </c>
      <c r="I6140" t="s">
        <v>8614</v>
      </c>
      <c r="J6140" t="s">
        <v>33491</v>
      </c>
      <c r="K6140" t="s">
        <v>38491</v>
      </c>
      <c r="M6140" t="s">
        <v>40945</v>
      </c>
      <c r="N6140" t="s">
        <v>42669</v>
      </c>
      <c r="O6140" t="s">
        <v>42670</v>
      </c>
      <c r="P6140">
        <v>0</v>
      </c>
      <c r="Q6140">
        <v>5</v>
      </c>
      <c r="R6140" t="s">
        <v>42677</v>
      </c>
      <c r="S6140" t="s">
        <v>42830</v>
      </c>
      <c r="T6140" t="s">
        <v>44488</v>
      </c>
      <c r="U6140" t="s">
        <v>49701</v>
      </c>
      <c r="W6140" t="s">
        <v>40945</v>
      </c>
      <c r="X6140" t="s">
        <v>42678</v>
      </c>
    </row>
    <row r="6141" spans="1:24">
      <c r="A6141">
        <f>HYPERLINK("https://www.philgeps.gov.ph/GEPSNONPILOT/Tender/SplashBidNoticeAbstractUI.aspx?menuIndex=3&amp;refID=7185026&amp;Result=3","7185026")</f>
        <v>0</v>
      </c>
      <c r="B6141" t="s">
        <v>2092</v>
      </c>
      <c r="C6141" t="s">
        <v>9397</v>
      </c>
      <c r="D6141" t="s">
        <v>17181</v>
      </c>
      <c r="E6141" t="s">
        <v>22553</v>
      </c>
      <c r="F6141" t="s">
        <v>29372</v>
      </c>
      <c r="G6141" t="s">
        <v>29380</v>
      </c>
      <c r="H6141" t="s">
        <v>11048</v>
      </c>
      <c r="I6141" t="s">
        <v>29404</v>
      </c>
      <c r="J6141" t="s">
        <v>33492</v>
      </c>
      <c r="K6141" t="s">
        <v>38485</v>
      </c>
      <c r="M6141" t="s">
        <v>40994</v>
      </c>
      <c r="N6141" t="s">
        <v>42669</v>
      </c>
      <c r="O6141" t="s">
        <v>42670</v>
      </c>
      <c r="P6141">
        <v>0</v>
      </c>
      <c r="Q6141">
        <v>1</v>
      </c>
      <c r="R6141" t="s">
        <v>42677</v>
      </c>
      <c r="S6141" t="s">
        <v>42830</v>
      </c>
      <c r="T6141" t="s">
        <v>44446</v>
      </c>
      <c r="U6141" t="s">
        <v>49859</v>
      </c>
      <c r="V6141" t="s">
        <v>57034</v>
      </c>
      <c r="W6141" t="s">
        <v>40994</v>
      </c>
      <c r="X6141" t="s">
        <v>42678</v>
      </c>
    </row>
    <row r="6142" spans="1:24">
      <c r="A6142">
        <f>HYPERLINK("https://www.philgeps.gov.ph/GEPSNONPILOT/Tender/SplashBidNoticeAbstractUI.aspx?menuIndex=3&amp;refID=7185001&amp;Result=3","7185001")</f>
        <v>0</v>
      </c>
      <c r="B6142" t="s">
        <v>2047</v>
      </c>
      <c r="C6142" t="s">
        <v>9398</v>
      </c>
      <c r="D6142" t="s">
        <v>17189</v>
      </c>
      <c r="E6142" t="s">
        <v>22554</v>
      </c>
      <c r="F6142" t="s">
        <v>29372</v>
      </c>
      <c r="G6142" t="s">
        <v>29379</v>
      </c>
      <c r="H6142" t="s">
        <v>11048</v>
      </c>
      <c r="I6142" t="s">
        <v>29426</v>
      </c>
      <c r="J6142" t="s">
        <v>29571</v>
      </c>
      <c r="K6142" t="s">
        <v>38491</v>
      </c>
      <c r="M6142" t="s">
        <v>40945</v>
      </c>
      <c r="N6142" t="s">
        <v>42669</v>
      </c>
      <c r="O6142" t="s">
        <v>42670</v>
      </c>
      <c r="P6142">
        <v>0</v>
      </c>
      <c r="Q6142">
        <v>1</v>
      </c>
      <c r="R6142" t="s">
        <v>42677</v>
      </c>
      <c r="S6142" t="s">
        <v>42830</v>
      </c>
      <c r="T6142" t="s">
        <v>44488</v>
      </c>
      <c r="U6142" t="s">
        <v>49701</v>
      </c>
      <c r="W6142" t="s">
        <v>40945</v>
      </c>
      <c r="X6142" t="s">
        <v>42678</v>
      </c>
    </row>
    <row r="6143" spans="1:24">
      <c r="A6143">
        <f>HYPERLINK("https://www.philgeps.gov.ph/GEPSNONPILOT/Tender/SplashBidNoticeAbstractUI.aspx?menuIndex=3&amp;refID=7185022&amp;Result=3","7185022")</f>
        <v>0</v>
      </c>
      <c r="B6143" t="s">
        <v>1712</v>
      </c>
      <c r="C6143" t="s">
        <v>9399</v>
      </c>
      <c r="D6143" t="s">
        <v>17177</v>
      </c>
      <c r="E6143" t="s">
        <v>22555</v>
      </c>
      <c r="F6143" t="s">
        <v>29372</v>
      </c>
      <c r="G6143" t="s">
        <v>29380</v>
      </c>
      <c r="H6143" t="s">
        <v>11048</v>
      </c>
      <c r="I6143" t="s">
        <v>3839</v>
      </c>
      <c r="J6143" t="s">
        <v>29799</v>
      </c>
      <c r="K6143" t="s">
        <v>38510</v>
      </c>
      <c r="M6143" t="s">
        <v>40575</v>
      </c>
      <c r="N6143" t="s">
        <v>42669</v>
      </c>
      <c r="O6143" t="s">
        <v>42670</v>
      </c>
      <c r="P6143">
        <v>0</v>
      </c>
      <c r="Q6143">
        <v>0</v>
      </c>
      <c r="R6143" t="s">
        <v>42677</v>
      </c>
      <c r="S6143" t="s">
        <v>42830</v>
      </c>
      <c r="T6143" t="s">
        <v>44450</v>
      </c>
      <c r="U6143" t="s">
        <v>49860</v>
      </c>
      <c r="W6143" t="s">
        <v>40575</v>
      </c>
      <c r="X6143" t="s">
        <v>42678</v>
      </c>
    </row>
    <row r="6144" spans="1:24">
      <c r="A6144">
        <f>HYPERLINK("https://www.philgeps.gov.ph/GEPSNONPILOT/Tender/SplashBidNoticeAbstractUI.aspx?menuIndex=3&amp;refID=7185028&amp;Result=3","7185028")</f>
        <v>0</v>
      </c>
      <c r="B6144" t="s">
        <v>2101</v>
      </c>
      <c r="C6144" t="s">
        <v>9400</v>
      </c>
      <c r="D6144" t="s">
        <v>17216</v>
      </c>
      <c r="E6144" t="s">
        <v>22556</v>
      </c>
      <c r="F6144" t="s">
        <v>29372</v>
      </c>
      <c r="G6144" t="s">
        <v>29380</v>
      </c>
      <c r="H6144" t="s">
        <v>29389</v>
      </c>
      <c r="I6144" t="s">
        <v>10408</v>
      </c>
      <c r="J6144" t="s">
        <v>33493</v>
      </c>
      <c r="K6144" t="s">
        <v>38624</v>
      </c>
      <c r="M6144" t="s">
        <v>41003</v>
      </c>
      <c r="N6144" t="s">
        <v>42669</v>
      </c>
      <c r="O6144" t="s">
        <v>42670</v>
      </c>
      <c r="P6144">
        <v>0</v>
      </c>
      <c r="Q6144">
        <v>0</v>
      </c>
      <c r="R6144" t="s">
        <v>42677</v>
      </c>
      <c r="S6144" t="s">
        <v>42830</v>
      </c>
      <c r="T6144" t="s">
        <v>44368</v>
      </c>
      <c r="U6144" t="s">
        <v>49861</v>
      </c>
      <c r="W6144" t="s">
        <v>41003</v>
      </c>
      <c r="X6144" t="s">
        <v>42678</v>
      </c>
    </row>
    <row r="6145" spans="1:24">
      <c r="A6145">
        <f>HYPERLINK("https://www.philgeps.gov.ph/GEPSNONPILOT/Tender/SplashBidNoticeAbstractUI.aspx?menuIndex=3&amp;refID=7185036&amp;Result=3","7185036")</f>
        <v>0</v>
      </c>
      <c r="B6145" t="s">
        <v>1919</v>
      </c>
      <c r="C6145" t="s">
        <v>9401</v>
      </c>
      <c r="D6145" t="s">
        <v>17194</v>
      </c>
      <c r="E6145" t="s">
        <v>22557</v>
      </c>
      <c r="F6145" t="s">
        <v>29372</v>
      </c>
      <c r="G6145" t="s">
        <v>29380</v>
      </c>
      <c r="H6145" t="s">
        <v>11048</v>
      </c>
      <c r="I6145" t="s">
        <v>8614</v>
      </c>
      <c r="J6145" t="s">
        <v>30212</v>
      </c>
      <c r="K6145" t="s">
        <v>38485</v>
      </c>
      <c r="M6145" t="s">
        <v>40794</v>
      </c>
      <c r="N6145" t="s">
        <v>42669</v>
      </c>
      <c r="O6145" t="s">
        <v>42670</v>
      </c>
      <c r="P6145">
        <v>0</v>
      </c>
      <c r="Q6145">
        <v>1</v>
      </c>
      <c r="R6145" t="s">
        <v>42677</v>
      </c>
      <c r="S6145" t="s">
        <v>42830</v>
      </c>
      <c r="T6145" t="s">
        <v>44387</v>
      </c>
      <c r="U6145" t="s">
        <v>49835</v>
      </c>
      <c r="V6145" t="s">
        <v>56972</v>
      </c>
      <c r="W6145" t="s">
        <v>40794</v>
      </c>
      <c r="X6145" t="s">
        <v>42678</v>
      </c>
    </row>
    <row r="6146" spans="1:24">
      <c r="A6146">
        <f>HYPERLINK("https://www.philgeps.gov.ph/GEPSNONPILOT/Tender/SplashBidNoticeAbstractUI.aspx?menuIndex=3&amp;refID=7184818&amp;Result=3","7184818")</f>
        <v>0</v>
      </c>
      <c r="B6146" t="s">
        <v>771</v>
      </c>
      <c r="C6146" t="s">
        <v>9402</v>
      </c>
      <c r="D6146" t="s">
        <v>17141</v>
      </c>
      <c r="E6146" t="s">
        <v>22558</v>
      </c>
      <c r="F6146" t="s">
        <v>29372</v>
      </c>
      <c r="G6146" t="s">
        <v>29379</v>
      </c>
      <c r="H6146" t="s">
        <v>11048</v>
      </c>
      <c r="I6146" t="s">
        <v>5383</v>
      </c>
      <c r="J6146" t="s">
        <v>30297</v>
      </c>
      <c r="K6146" t="s">
        <v>38485</v>
      </c>
      <c r="M6146" t="s">
        <v>39555</v>
      </c>
      <c r="N6146" t="s">
        <v>42669</v>
      </c>
      <c r="O6146" t="s">
        <v>42670</v>
      </c>
      <c r="P6146">
        <v>0</v>
      </c>
      <c r="Q6146">
        <v>14</v>
      </c>
      <c r="R6146" t="s">
        <v>42677</v>
      </c>
      <c r="S6146" t="s">
        <v>42830</v>
      </c>
      <c r="T6146" t="s">
        <v>44468</v>
      </c>
      <c r="U6146" t="s">
        <v>46440</v>
      </c>
      <c r="W6146" t="s">
        <v>39555</v>
      </c>
      <c r="X6146" t="s">
        <v>42678</v>
      </c>
    </row>
    <row r="6147" spans="1:24">
      <c r="A6147">
        <f>HYPERLINK("https://www.philgeps.gov.ph/GEPSNONPILOT/Tender/SplashBidNoticeAbstractUI.aspx?menuIndex=3&amp;refID=7185018&amp;Result=3","7185018")</f>
        <v>0</v>
      </c>
      <c r="B6147" t="s">
        <v>1919</v>
      </c>
      <c r="C6147" t="s">
        <v>9403</v>
      </c>
      <c r="D6147" t="s">
        <v>17194</v>
      </c>
      <c r="E6147" t="s">
        <v>22559</v>
      </c>
      <c r="F6147" t="s">
        <v>29372</v>
      </c>
      <c r="G6147" t="s">
        <v>29380</v>
      </c>
      <c r="H6147" t="s">
        <v>11048</v>
      </c>
      <c r="I6147" t="s">
        <v>9642</v>
      </c>
      <c r="J6147" t="s">
        <v>30445</v>
      </c>
      <c r="K6147" t="s">
        <v>38485</v>
      </c>
      <c r="M6147" t="s">
        <v>40794</v>
      </c>
      <c r="N6147" t="s">
        <v>42669</v>
      </c>
      <c r="O6147" t="s">
        <v>42670</v>
      </c>
      <c r="P6147">
        <v>0</v>
      </c>
      <c r="Q6147">
        <v>0</v>
      </c>
      <c r="R6147" t="s">
        <v>42677</v>
      </c>
      <c r="S6147" t="s">
        <v>42830</v>
      </c>
      <c r="T6147" t="s">
        <v>44387</v>
      </c>
      <c r="U6147" t="s">
        <v>49835</v>
      </c>
      <c r="V6147" t="s">
        <v>56972</v>
      </c>
      <c r="W6147" t="s">
        <v>40794</v>
      </c>
      <c r="X6147" t="s">
        <v>42678</v>
      </c>
    </row>
    <row r="6148" spans="1:24">
      <c r="A6148">
        <f>HYPERLINK("https://www.philgeps.gov.ph/GEPSNONPILOT/Tender/SplashBidNoticeAbstractUI.aspx?menuIndex=3&amp;refID=7184813&amp;Result=3","7184813")</f>
        <v>0</v>
      </c>
      <c r="B6148" t="s">
        <v>2073</v>
      </c>
      <c r="C6148" t="s">
        <v>9404</v>
      </c>
      <c r="D6148" t="s">
        <v>17151</v>
      </c>
      <c r="E6148" t="s">
        <v>22560</v>
      </c>
      <c r="F6148" t="s">
        <v>29372</v>
      </c>
      <c r="G6148" t="s">
        <v>29380</v>
      </c>
      <c r="H6148" t="s">
        <v>29389</v>
      </c>
      <c r="I6148" t="s">
        <v>10408</v>
      </c>
      <c r="J6148" t="s">
        <v>33438</v>
      </c>
      <c r="K6148" t="s">
        <v>38660</v>
      </c>
      <c r="M6148" t="s">
        <v>40971</v>
      </c>
      <c r="N6148" t="s">
        <v>42669</v>
      </c>
      <c r="O6148" t="s">
        <v>42670</v>
      </c>
      <c r="P6148">
        <v>0</v>
      </c>
      <c r="Q6148">
        <v>6</v>
      </c>
      <c r="R6148" t="s">
        <v>42677</v>
      </c>
      <c r="S6148" t="s">
        <v>42830</v>
      </c>
      <c r="T6148" t="s">
        <v>44368</v>
      </c>
      <c r="U6148" t="s">
        <v>49862</v>
      </c>
      <c r="V6148" t="s">
        <v>57028</v>
      </c>
      <c r="W6148" t="s">
        <v>40971</v>
      </c>
      <c r="X6148" t="s">
        <v>42678</v>
      </c>
    </row>
    <row r="6149" spans="1:24">
      <c r="A6149">
        <f>HYPERLINK("https://www.philgeps.gov.ph/GEPSNONPILOT/Tender/SplashBidNoticeAbstractUI.aspx?menuIndex=3&amp;refID=7184782&amp;Result=3","7184782")</f>
        <v>0</v>
      </c>
      <c r="B6149" t="s">
        <v>2102</v>
      </c>
      <c r="C6149" t="s">
        <v>9405</v>
      </c>
      <c r="D6149" t="s">
        <v>17153</v>
      </c>
      <c r="E6149" t="s">
        <v>22561</v>
      </c>
      <c r="F6149" t="s">
        <v>29372</v>
      </c>
      <c r="G6149" t="s">
        <v>29379</v>
      </c>
      <c r="H6149" t="s">
        <v>11048</v>
      </c>
      <c r="I6149" t="s">
        <v>29414</v>
      </c>
      <c r="J6149" t="s">
        <v>29736</v>
      </c>
      <c r="K6149" t="s">
        <v>38488</v>
      </c>
      <c r="M6149" t="s">
        <v>41004</v>
      </c>
      <c r="N6149" t="s">
        <v>42669</v>
      </c>
      <c r="O6149" t="s">
        <v>42670</v>
      </c>
      <c r="P6149">
        <v>0</v>
      </c>
      <c r="Q6149">
        <v>7</v>
      </c>
      <c r="R6149" t="s">
        <v>42677</v>
      </c>
      <c r="S6149" t="s">
        <v>42830</v>
      </c>
      <c r="T6149" t="s">
        <v>44512</v>
      </c>
      <c r="U6149" t="s">
        <v>49863</v>
      </c>
      <c r="W6149" t="s">
        <v>41004</v>
      </c>
      <c r="X6149" t="s">
        <v>42678</v>
      </c>
    </row>
    <row r="6150" spans="1:24">
      <c r="A6150">
        <f>HYPERLINK("https://www.philgeps.gov.ph/GEPSNONPILOT/Tender/SplashBidNoticeAbstractUI.aspx?menuIndex=3&amp;refID=7184873&amp;Result=3","7184873")</f>
        <v>0</v>
      </c>
      <c r="B6150" t="s">
        <v>2081</v>
      </c>
      <c r="C6150" t="s">
        <v>9406</v>
      </c>
      <c r="D6150" t="s">
        <v>17141</v>
      </c>
      <c r="E6150" t="s">
        <v>22562</v>
      </c>
      <c r="F6150" t="s">
        <v>29372</v>
      </c>
      <c r="G6150" t="s">
        <v>29379</v>
      </c>
      <c r="H6150" t="s">
        <v>11048</v>
      </c>
      <c r="I6150" t="s">
        <v>4487</v>
      </c>
      <c r="J6150" t="s">
        <v>29532</v>
      </c>
      <c r="K6150" t="s">
        <v>38518</v>
      </c>
      <c r="M6150" t="s">
        <v>40981</v>
      </c>
      <c r="N6150" t="s">
        <v>42669</v>
      </c>
      <c r="O6150" t="s">
        <v>42670</v>
      </c>
      <c r="P6150">
        <v>0</v>
      </c>
      <c r="Q6150">
        <v>19</v>
      </c>
      <c r="R6150" t="s">
        <v>42677</v>
      </c>
      <c r="S6150" t="s">
        <v>42830</v>
      </c>
      <c r="T6150" t="s">
        <v>44488</v>
      </c>
      <c r="U6150" t="s">
        <v>49806</v>
      </c>
      <c r="W6150" t="s">
        <v>40981</v>
      </c>
      <c r="X6150" t="s">
        <v>42678</v>
      </c>
    </row>
    <row r="6151" spans="1:24">
      <c r="A6151">
        <f>HYPERLINK("https://www.philgeps.gov.ph/GEPSNONPILOT/Tender/SplashBidNoticeAbstractUI.aspx?menuIndex=3&amp;refID=7184781&amp;Result=3","7184781")</f>
        <v>0</v>
      </c>
      <c r="B6151" t="s">
        <v>2103</v>
      </c>
      <c r="C6151" t="s">
        <v>9407</v>
      </c>
      <c r="D6151" t="s">
        <v>17205</v>
      </c>
      <c r="E6151" t="s">
        <v>22563</v>
      </c>
      <c r="F6151" t="s">
        <v>29372</v>
      </c>
      <c r="G6151" t="s">
        <v>29383</v>
      </c>
      <c r="H6151" t="s">
        <v>11048</v>
      </c>
      <c r="I6151" t="s">
        <v>4709</v>
      </c>
      <c r="J6151" t="s">
        <v>31208</v>
      </c>
      <c r="K6151" t="s">
        <v>38485</v>
      </c>
      <c r="M6151" t="s">
        <v>41005</v>
      </c>
      <c r="N6151" t="s">
        <v>42669</v>
      </c>
      <c r="O6151" t="s">
        <v>42670</v>
      </c>
      <c r="P6151">
        <v>0</v>
      </c>
      <c r="Q6151">
        <v>1</v>
      </c>
      <c r="R6151" t="s">
        <v>42677</v>
      </c>
      <c r="S6151" t="s">
        <v>42830</v>
      </c>
      <c r="T6151" t="s">
        <v>44512</v>
      </c>
      <c r="U6151" t="s">
        <v>49864</v>
      </c>
      <c r="W6151" t="s">
        <v>41005</v>
      </c>
      <c r="X6151" t="s">
        <v>42678</v>
      </c>
    </row>
    <row r="6152" spans="1:24">
      <c r="A6152">
        <f>HYPERLINK("https://www.philgeps.gov.ph/GEPSNONPILOT/Tender/SplashBidNoticeAbstractUI.aspx?menuIndex=3&amp;refID=7185024&amp;Result=3","7185024")</f>
        <v>0</v>
      </c>
      <c r="B6152" t="s">
        <v>2104</v>
      </c>
      <c r="C6152" t="s">
        <v>9408</v>
      </c>
      <c r="D6152" t="s">
        <v>17174</v>
      </c>
      <c r="E6152" t="s">
        <v>17540</v>
      </c>
      <c r="F6152" t="s">
        <v>29372</v>
      </c>
      <c r="G6152" t="s">
        <v>29381</v>
      </c>
      <c r="H6152" t="s">
        <v>11048</v>
      </c>
      <c r="I6152" t="s">
        <v>29399</v>
      </c>
      <c r="J6152" t="s">
        <v>33494</v>
      </c>
      <c r="K6152" t="s">
        <v>38488</v>
      </c>
      <c r="M6152" t="s">
        <v>41006</v>
      </c>
      <c r="N6152" t="s">
        <v>42669</v>
      </c>
      <c r="O6152" t="s">
        <v>42670</v>
      </c>
      <c r="P6152">
        <v>0</v>
      </c>
      <c r="Q6152">
        <v>2</v>
      </c>
      <c r="R6152" t="s">
        <v>42677</v>
      </c>
      <c r="S6152" t="s">
        <v>42830</v>
      </c>
      <c r="T6152" t="s">
        <v>44450</v>
      </c>
      <c r="U6152" t="s">
        <v>49865</v>
      </c>
      <c r="V6152" t="s">
        <v>57038</v>
      </c>
      <c r="W6152" t="s">
        <v>41006</v>
      </c>
      <c r="X6152" t="s">
        <v>42678</v>
      </c>
    </row>
    <row r="6153" spans="1:24">
      <c r="A6153">
        <f>HYPERLINK("https://www.philgeps.gov.ph/GEPSNONPILOT/Tender/SplashBidNoticeAbstractUI.aspx?menuIndex=3&amp;refID=7184777&amp;Result=3","7184777")</f>
        <v>0</v>
      </c>
      <c r="B6153" t="s">
        <v>2039</v>
      </c>
      <c r="C6153" t="s">
        <v>9409</v>
      </c>
      <c r="E6153" t="s">
        <v>22564</v>
      </c>
      <c r="F6153" t="s">
        <v>29372</v>
      </c>
      <c r="G6153" t="s">
        <v>29380</v>
      </c>
      <c r="H6153" t="s">
        <v>11048</v>
      </c>
      <c r="I6153" t="s">
        <v>4487</v>
      </c>
      <c r="J6153" t="s">
        <v>33495</v>
      </c>
      <c r="K6153" t="s">
        <v>38534</v>
      </c>
      <c r="M6153" t="s">
        <v>40936</v>
      </c>
      <c r="N6153" t="s">
        <v>42669</v>
      </c>
      <c r="O6153" t="s">
        <v>42670</v>
      </c>
      <c r="P6153">
        <v>0</v>
      </c>
      <c r="Q6153">
        <v>0</v>
      </c>
      <c r="R6153" t="s">
        <v>42677</v>
      </c>
      <c r="S6153" t="s">
        <v>42830</v>
      </c>
      <c r="T6153" t="s">
        <v>44502</v>
      </c>
      <c r="U6153" t="s">
        <v>49866</v>
      </c>
      <c r="W6153" t="s">
        <v>40936</v>
      </c>
      <c r="X6153" t="s">
        <v>42678</v>
      </c>
    </row>
    <row r="6154" spans="1:24">
      <c r="A6154">
        <f>HYPERLINK("https://www.philgeps.gov.ph/GEPSNONPILOT/Tender/SplashBidNoticeAbstractUI.aspx?menuIndex=3&amp;refID=7184776&amp;Result=3","7184776")</f>
        <v>0</v>
      </c>
      <c r="B6154" t="s">
        <v>384</v>
      </c>
      <c r="C6154" t="s">
        <v>9410</v>
      </c>
      <c r="D6154" t="s">
        <v>17189</v>
      </c>
      <c r="E6154" t="s">
        <v>9410</v>
      </c>
      <c r="F6154" t="s">
        <v>29375</v>
      </c>
      <c r="G6154" t="s">
        <v>29379</v>
      </c>
      <c r="H6154" t="s">
        <v>11048</v>
      </c>
      <c r="I6154" t="s">
        <v>29412</v>
      </c>
      <c r="J6154" t="s">
        <v>33496</v>
      </c>
      <c r="K6154" t="s">
        <v>38528</v>
      </c>
      <c r="M6154" t="s">
        <v>39146</v>
      </c>
      <c r="N6154" t="s">
        <v>42669</v>
      </c>
      <c r="O6154" t="s">
        <v>42670</v>
      </c>
      <c r="P6154">
        <v>0</v>
      </c>
      <c r="Q6154">
        <v>1</v>
      </c>
      <c r="R6154" t="s">
        <v>42677</v>
      </c>
      <c r="S6154" t="s">
        <v>42830</v>
      </c>
      <c r="T6154" t="s">
        <v>44429</v>
      </c>
      <c r="U6154" t="s">
        <v>49867</v>
      </c>
      <c r="W6154" t="s">
        <v>39146</v>
      </c>
      <c r="X6154" t="s">
        <v>42678</v>
      </c>
    </row>
    <row r="6155" spans="1:24">
      <c r="A6155">
        <f>HYPERLINK("https://www.philgeps.gov.ph/GEPSNONPILOT/Tender/SplashBidNoticeAbstractUI.aspx?menuIndex=3&amp;refID=7184772&amp;Result=3","7184772")</f>
        <v>0</v>
      </c>
      <c r="B6155" t="s">
        <v>719</v>
      </c>
      <c r="C6155" t="s">
        <v>9411</v>
      </c>
      <c r="D6155" t="s">
        <v>17170</v>
      </c>
      <c r="E6155" t="s">
        <v>18642</v>
      </c>
      <c r="F6155" t="s">
        <v>29372</v>
      </c>
      <c r="G6155" t="s">
        <v>29379</v>
      </c>
      <c r="H6155" t="s">
        <v>11048</v>
      </c>
      <c r="I6155" t="s">
        <v>4709</v>
      </c>
      <c r="J6155" t="s">
        <v>33497</v>
      </c>
      <c r="K6155" t="s">
        <v>38528</v>
      </c>
      <c r="M6155" t="s">
        <v>40973</v>
      </c>
      <c r="N6155" t="s">
        <v>42669</v>
      </c>
      <c r="O6155" t="s">
        <v>42670</v>
      </c>
      <c r="P6155">
        <v>0</v>
      </c>
      <c r="Q6155">
        <v>3</v>
      </c>
      <c r="R6155" t="s">
        <v>42677</v>
      </c>
      <c r="S6155" t="s">
        <v>42830</v>
      </c>
      <c r="T6155" t="s">
        <v>44512</v>
      </c>
      <c r="U6155" t="s">
        <v>49790</v>
      </c>
      <c r="W6155" t="s">
        <v>40973</v>
      </c>
      <c r="X6155" t="s">
        <v>42678</v>
      </c>
    </row>
    <row r="6156" spans="1:24">
      <c r="A6156">
        <f>HYPERLINK("https://www.philgeps.gov.ph/GEPSNONPILOT/Tender/SplashBidNoticeAbstractUI.aspx?menuIndex=3&amp;refID=7184771&amp;Result=3","7184771")</f>
        <v>0</v>
      </c>
      <c r="B6156" t="s">
        <v>2016</v>
      </c>
      <c r="C6156" t="s">
        <v>9412</v>
      </c>
      <c r="D6156" t="s">
        <v>17182</v>
      </c>
      <c r="E6156" t="s">
        <v>18964</v>
      </c>
      <c r="F6156" t="s">
        <v>29373</v>
      </c>
      <c r="G6156" t="s">
        <v>29380</v>
      </c>
      <c r="H6156" t="s">
        <v>29389</v>
      </c>
      <c r="I6156" t="s">
        <v>10408</v>
      </c>
      <c r="J6156" t="s">
        <v>33498</v>
      </c>
      <c r="K6156" t="s">
        <v>38495</v>
      </c>
      <c r="M6156" t="s">
        <v>40908</v>
      </c>
      <c r="N6156" t="s">
        <v>42669</v>
      </c>
      <c r="O6156" t="s">
        <v>42670</v>
      </c>
      <c r="P6156">
        <v>0</v>
      </c>
      <c r="Q6156">
        <v>25</v>
      </c>
      <c r="R6156" t="s">
        <v>42677</v>
      </c>
      <c r="S6156" t="s">
        <v>42830</v>
      </c>
      <c r="T6156" t="s">
        <v>44422</v>
      </c>
      <c r="U6156" t="s">
        <v>49868</v>
      </c>
      <c r="W6156" t="s">
        <v>40908</v>
      </c>
      <c r="X6156" t="s">
        <v>42678</v>
      </c>
    </row>
    <row r="6157" spans="1:24">
      <c r="A6157">
        <f>HYPERLINK("https://www.philgeps.gov.ph/GEPSNONPILOT/Tender/SplashBidNoticeAbstractUI.aspx?menuIndex=3&amp;refID=7184724&amp;Result=3","7184724")</f>
        <v>0</v>
      </c>
      <c r="B6157" t="s">
        <v>36</v>
      </c>
      <c r="C6157" t="s">
        <v>9413</v>
      </c>
      <c r="D6157" t="s">
        <v>17150</v>
      </c>
      <c r="E6157" t="s">
        <v>22565</v>
      </c>
      <c r="F6157" t="s">
        <v>29372</v>
      </c>
      <c r="G6157" t="s">
        <v>29380</v>
      </c>
      <c r="H6157" t="s">
        <v>29389</v>
      </c>
      <c r="I6157" t="s">
        <v>29453</v>
      </c>
      <c r="J6157" t="s">
        <v>33499</v>
      </c>
      <c r="K6157" t="s">
        <v>38490</v>
      </c>
      <c r="M6157" t="s">
        <v>38789</v>
      </c>
      <c r="N6157" t="s">
        <v>42669</v>
      </c>
      <c r="O6157" t="s">
        <v>42670</v>
      </c>
      <c r="P6157">
        <v>0</v>
      </c>
      <c r="Q6157">
        <v>0</v>
      </c>
      <c r="R6157" t="s">
        <v>42677</v>
      </c>
      <c r="S6157" t="s">
        <v>42830</v>
      </c>
      <c r="T6157" t="s">
        <v>44434</v>
      </c>
      <c r="U6157" t="s">
        <v>49869</v>
      </c>
      <c r="V6157" t="s">
        <v>56326</v>
      </c>
      <c r="W6157" t="s">
        <v>38789</v>
      </c>
      <c r="X6157" t="s">
        <v>42678</v>
      </c>
    </row>
    <row r="6158" spans="1:24">
      <c r="A6158">
        <f>HYPERLINK("https://www.philgeps.gov.ph/GEPSNONPILOT/Tender/SplashBidNoticeAbstractUI.aspx?menuIndex=3&amp;refID=7184723&amp;Result=3","7184723")</f>
        <v>0</v>
      </c>
      <c r="B6158" t="s">
        <v>2076</v>
      </c>
      <c r="C6158" t="s">
        <v>9414</v>
      </c>
      <c r="E6158" t="s">
        <v>22566</v>
      </c>
      <c r="F6158" t="s">
        <v>29372</v>
      </c>
      <c r="G6158" t="s">
        <v>29380</v>
      </c>
      <c r="H6158" t="s">
        <v>11048</v>
      </c>
      <c r="I6158" t="s">
        <v>4487</v>
      </c>
      <c r="J6158" t="s">
        <v>33500</v>
      </c>
      <c r="K6158" t="s">
        <v>38490</v>
      </c>
      <c r="M6158" t="s">
        <v>40975</v>
      </c>
      <c r="N6158" t="s">
        <v>42669</v>
      </c>
      <c r="O6158" t="s">
        <v>42670</v>
      </c>
      <c r="P6158">
        <v>0</v>
      </c>
      <c r="Q6158">
        <v>4</v>
      </c>
      <c r="R6158" t="s">
        <v>42677</v>
      </c>
      <c r="S6158" t="s">
        <v>42830</v>
      </c>
      <c r="T6158" t="s">
        <v>44517</v>
      </c>
      <c r="U6158" t="s">
        <v>49870</v>
      </c>
      <c r="W6158" t="s">
        <v>40975</v>
      </c>
      <c r="X6158" t="s">
        <v>42678</v>
      </c>
    </row>
    <row r="6159" spans="1:24">
      <c r="A6159">
        <f>HYPERLINK("https://www.philgeps.gov.ph/GEPSNONPILOT/Tender/SplashBidNoticeAbstractUI.aspx?menuIndex=3&amp;refID=7184721&amp;Result=3","7184721")</f>
        <v>0</v>
      </c>
      <c r="B6159" t="s">
        <v>1476</v>
      </c>
      <c r="C6159" t="s">
        <v>9415</v>
      </c>
      <c r="D6159" t="s">
        <v>17153</v>
      </c>
      <c r="E6159" t="s">
        <v>22567</v>
      </c>
      <c r="F6159" t="s">
        <v>29372</v>
      </c>
      <c r="G6159" t="s">
        <v>29380</v>
      </c>
      <c r="H6159" t="s">
        <v>29389</v>
      </c>
      <c r="I6159" t="s">
        <v>10408</v>
      </c>
      <c r="J6159" t="s">
        <v>30161</v>
      </c>
      <c r="K6159" t="s">
        <v>38661</v>
      </c>
      <c r="M6159" t="s">
        <v>40934</v>
      </c>
      <c r="N6159" t="s">
        <v>42669</v>
      </c>
      <c r="O6159" t="s">
        <v>42670</v>
      </c>
      <c r="P6159">
        <v>0</v>
      </c>
      <c r="Q6159">
        <v>0</v>
      </c>
      <c r="R6159" t="s">
        <v>42677</v>
      </c>
      <c r="S6159" t="s">
        <v>42830</v>
      </c>
      <c r="T6159" t="s">
        <v>44368</v>
      </c>
      <c r="U6159" t="s">
        <v>49871</v>
      </c>
      <c r="W6159" t="s">
        <v>40934</v>
      </c>
      <c r="X6159" t="s">
        <v>42678</v>
      </c>
    </row>
    <row r="6160" spans="1:24">
      <c r="A6160">
        <f>HYPERLINK("https://www.philgeps.gov.ph/GEPSNONPILOT/Tender/SplashBidNoticeAbstractUI.aspx?menuIndex=3&amp;refID=7185021&amp;Result=3","7185021")</f>
        <v>0</v>
      </c>
      <c r="B6160" t="s">
        <v>2105</v>
      </c>
      <c r="C6160" t="s">
        <v>9416</v>
      </c>
      <c r="D6160" t="s">
        <v>17192</v>
      </c>
      <c r="E6160" t="s">
        <v>22399</v>
      </c>
      <c r="F6160" t="s">
        <v>29372</v>
      </c>
      <c r="G6160" t="s">
        <v>29380</v>
      </c>
      <c r="H6160" t="s">
        <v>11048</v>
      </c>
      <c r="I6160" t="s">
        <v>5383</v>
      </c>
      <c r="J6160" t="s">
        <v>33501</v>
      </c>
      <c r="K6160" t="s">
        <v>38488</v>
      </c>
      <c r="M6160" t="s">
        <v>41007</v>
      </c>
      <c r="N6160" t="s">
        <v>42669</v>
      </c>
      <c r="O6160" t="s">
        <v>42670</v>
      </c>
      <c r="P6160">
        <v>0</v>
      </c>
      <c r="Q6160">
        <v>1</v>
      </c>
      <c r="R6160" t="s">
        <v>42677</v>
      </c>
      <c r="S6160" t="s">
        <v>42830</v>
      </c>
      <c r="T6160" t="s">
        <v>44368</v>
      </c>
      <c r="U6160" t="s">
        <v>49872</v>
      </c>
      <c r="W6160" t="s">
        <v>41007</v>
      </c>
      <c r="X6160" t="s">
        <v>42678</v>
      </c>
    </row>
    <row r="6161" spans="1:24">
      <c r="A6161">
        <f>HYPERLINK("https://www.philgeps.gov.ph/GEPSNONPILOT/Tender/SplashBidNoticeAbstractUI.aspx?menuIndex=3&amp;refID=7184786&amp;Result=3","7184786")</f>
        <v>0</v>
      </c>
      <c r="B6161" t="s">
        <v>1668</v>
      </c>
      <c r="C6161" t="s">
        <v>9417</v>
      </c>
      <c r="D6161" t="s">
        <v>17150</v>
      </c>
      <c r="E6161" t="s">
        <v>22568</v>
      </c>
      <c r="F6161" t="s">
        <v>29372</v>
      </c>
      <c r="G6161" t="s">
        <v>29380</v>
      </c>
      <c r="H6161" t="s">
        <v>29389</v>
      </c>
      <c r="I6161" t="s">
        <v>10408</v>
      </c>
      <c r="J6161" t="s">
        <v>33502</v>
      </c>
      <c r="K6161" t="s">
        <v>38527</v>
      </c>
      <c r="M6161" t="s">
        <v>40527</v>
      </c>
      <c r="N6161" t="s">
        <v>42669</v>
      </c>
      <c r="O6161" t="s">
        <v>42670</v>
      </c>
      <c r="P6161">
        <v>0</v>
      </c>
      <c r="Q6161">
        <v>0</v>
      </c>
      <c r="R6161" t="s">
        <v>42677</v>
      </c>
      <c r="S6161" t="s">
        <v>42830</v>
      </c>
      <c r="T6161" t="s">
        <v>44437</v>
      </c>
      <c r="U6161" t="s">
        <v>49873</v>
      </c>
      <c r="V6161" t="s">
        <v>57020</v>
      </c>
      <c r="W6161" t="s">
        <v>40527</v>
      </c>
      <c r="X6161" t="s">
        <v>42678</v>
      </c>
    </row>
    <row r="6162" spans="1:24">
      <c r="A6162">
        <f>HYPERLINK("https://www.philgeps.gov.ph/GEPSNONPILOT/Tender/SplashBidNoticeAbstractUI.aspx?menuIndex=3&amp;refID=7185011&amp;Result=3","7185011")</f>
        <v>0</v>
      </c>
      <c r="B6162" t="s">
        <v>1668</v>
      </c>
      <c r="C6162" t="s">
        <v>9418</v>
      </c>
      <c r="D6162" t="s">
        <v>17150</v>
      </c>
      <c r="E6162" t="s">
        <v>22569</v>
      </c>
      <c r="F6162" t="s">
        <v>29372</v>
      </c>
      <c r="G6162" t="s">
        <v>29380</v>
      </c>
      <c r="H6162" t="s">
        <v>11048</v>
      </c>
      <c r="I6162" t="s">
        <v>5383</v>
      </c>
      <c r="J6162" t="s">
        <v>33503</v>
      </c>
      <c r="K6162" t="s">
        <v>38530</v>
      </c>
      <c r="M6162" t="s">
        <v>40527</v>
      </c>
      <c r="N6162" t="s">
        <v>42669</v>
      </c>
      <c r="O6162" t="s">
        <v>42670</v>
      </c>
      <c r="P6162">
        <v>0</v>
      </c>
      <c r="Q6162">
        <v>0</v>
      </c>
      <c r="R6162" t="s">
        <v>42677</v>
      </c>
      <c r="S6162" t="s">
        <v>42830</v>
      </c>
      <c r="T6162" t="s">
        <v>44437</v>
      </c>
      <c r="U6162" t="s">
        <v>49874</v>
      </c>
      <c r="V6162" t="s">
        <v>57020</v>
      </c>
      <c r="W6162" t="s">
        <v>40527</v>
      </c>
      <c r="X6162" t="s">
        <v>42678</v>
      </c>
    </row>
    <row r="6163" spans="1:24">
      <c r="A6163">
        <f>HYPERLINK("https://www.philgeps.gov.ph/GEPSNONPILOT/Tender/SplashBidNoticeAbstractUI.aspx?menuIndex=3&amp;refID=7184678&amp;Result=3","7184678")</f>
        <v>0</v>
      </c>
      <c r="B6163" t="s">
        <v>2106</v>
      </c>
      <c r="C6163" t="s">
        <v>9419</v>
      </c>
      <c r="D6163" t="s">
        <v>17199</v>
      </c>
      <c r="E6163" t="s">
        <v>19019</v>
      </c>
      <c r="F6163" t="s">
        <v>29372</v>
      </c>
      <c r="G6163" t="s">
        <v>29380</v>
      </c>
      <c r="H6163" t="s">
        <v>11048</v>
      </c>
      <c r="I6163" t="s">
        <v>4709</v>
      </c>
      <c r="J6163" t="s">
        <v>33504</v>
      </c>
      <c r="K6163" t="s">
        <v>38485</v>
      </c>
      <c r="M6163" t="s">
        <v>41008</v>
      </c>
      <c r="N6163" t="s">
        <v>42669</v>
      </c>
      <c r="O6163" t="s">
        <v>42670</v>
      </c>
      <c r="P6163">
        <v>0</v>
      </c>
      <c r="Q6163">
        <v>0</v>
      </c>
      <c r="R6163" t="s">
        <v>42677</v>
      </c>
      <c r="S6163" t="s">
        <v>42830</v>
      </c>
      <c r="T6163" t="s">
        <v>44427</v>
      </c>
      <c r="U6163" t="s">
        <v>49875</v>
      </c>
      <c r="W6163" t="s">
        <v>41008</v>
      </c>
      <c r="X6163" t="s">
        <v>42678</v>
      </c>
    </row>
    <row r="6164" spans="1:24">
      <c r="A6164">
        <f>HYPERLINK("https://www.philgeps.gov.ph/GEPSNONPILOT/Tender/SplashBidNoticeAbstractUI.aspx?menuIndex=3&amp;refID=7184778&amp;Result=3","7184778")</f>
        <v>0</v>
      </c>
      <c r="B6164" t="s">
        <v>547</v>
      </c>
      <c r="C6164" t="s">
        <v>9420</v>
      </c>
      <c r="E6164" t="s">
        <v>22570</v>
      </c>
      <c r="F6164" t="s">
        <v>29372</v>
      </c>
      <c r="G6164" t="s">
        <v>29379</v>
      </c>
      <c r="H6164" t="s">
        <v>11048</v>
      </c>
      <c r="I6164" t="s">
        <v>29428</v>
      </c>
      <c r="J6164" t="s">
        <v>33505</v>
      </c>
      <c r="K6164" t="s">
        <v>38485</v>
      </c>
      <c r="M6164" t="s">
        <v>39363</v>
      </c>
      <c r="N6164" t="s">
        <v>42669</v>
      </c>
      <c r="O6164" t="s">
        <v>42670</v>
      </c>
      <c r="P6164">
        <v>0</v>
      </c>
      <c r="Q6164">
        <v>0</v>
      </c>
      <c r="R6164" t="s">
        <v>42677</v>
      </c>
      <c r="S6164" t="s">
        <v>42830</v>
      </c>
      <c r="T6164" t="s">
        <v>44456</v>
      </c>
      <c r="U6164" t="s">
        <v>49876</v>
      </c>
      <c r="W6164" t="s">
        <v>58018</v>
      </c>
      <c r="X6164" t="s">
        <v>42678</v>
      </c>
    </row>
    <row r="6165" spans="1:24">
      <c r="A6165">
        <f>HYPERLINK("https://www.philgeps.gov.ph/GEPSNONPILOT/Tender/SplashBidNoticeAbstractUI.aspx?menuIndex=3&amp;refID=7184675&amp;Result=3","7184675")</f>
        <v>0</v>
      </c>
      <c r="B6165" t="s">
        <v>933</v>
      </c>
      <c r="C6165" t="s">
        <v>9421</v>
      </c>
      <c r="D6165" t="s">
        <v>17170</v>
      </c>
      <c r="E6165" t="s">
        <v>22571</v>
      </c>
      <c r="F6165" t="s">
        <v>29372</v>
      </c>
      <c r="G6165" t="s">
        <v>29379</v>
      </c>
      <c r="H6165" t="s">
        <v>11048</v>
      </c>
      <c r="I6165" t="s">
        <v>8208</v>
      </c>
      <c r="J6165" t="s">
        <v>33506</v>
      </c>
      <c r="K6165" t="s">
        <v>38490</v>
      </c>
      <c r="M6165" t="s">
        <v>41009</v>
      </c>
      <c r="N6165" t="s">
        <v>42669</v>
      </c>
      <c r="O6165" t="s">
        <v>42670</v>
      </c>
      <c r="P6165">
        <v>0</v>
      </c>
      <c r="Q6165">
        <v>0</v>
      </c>
      <c r="R6165" t="s">
        <v>42677</v>
      </c>
      <c r="S6165" t="s">
        <v>42830</v>
      </c>
      <c r="T6165" t="s">
        <v>44493</v>
      </c>
      <c r="U6165" t="s">
        <v>49877</v>
      </c>
      <c r="W6165" t="s">
        <v>41009</v>
      </c>
      <c r="X6165" t="s">
        <v>42678</v>
      </c>
    </row>
    <row r="6166" spans="1:24">
      <c r="A6166">
        <f>HYPERLINK("https://www.philgeps.gov.ph/GEPSNONPILOT/Tender/SplashBidNoticeAbstractUI.aspx?menuIndex=3&amp;refID=7184720&amp;Result=3","7184720")</f>
        <v>0</v>
      </c>
      <c r="B6166" t="s">
        <v>2107</v>
      </c>
      <c r="C6166" t="s">
        <v>9422</v>
      </c>
      <c r="D6166" t="s">
        <v>17188</v>
      </c>
      <c r="E6166" t="s">
        <v>22572</v>
      </c>
      <c r="F6166" t="s">
        <v>29372</v>
      </c>
      <c r="G6166" t="s">
        <v>29380</v>
      </c>
      <c r="H6166" t="s">
        <v>11048</v>
      </c>
      <c r="I6166" t="s">
        <v>4709</v>
      </c>
      <c r="J6166" t="s">
        <v>33507</v>
      </c>
      <c r="K6166" t="s">
        <v>38510</v>
      </c>
      <c r="M6166" t="s">
        <v>41010</v>
      </c>
      <c r="N6166" t="s">
        <v>42669</v>
      </c>
      <c r="O6166" t="s">
        <v>42670</v>
      </c>
      <c r="P6166">
        <v>0</v>
      </c>
      <c r="Q6166">
        <v>0</v>
      </c>
      <c r="R6166" t="s">
        <v>42677</v>
      </c>
      <c r="S6166" t="s">
        <v>42830</v>
      </c>
      <c r="T6166" t="s">
        <v>44427</v>
      </c>
      <c r="U6166" t="s">
        <v>49878</v>
      </c>
      <c r="W6166" t="s">
        <v>41010</v>
      </c>
      <c r="X6166" t="s">
        <v>42678</v>
      </c>
    </row>
    <row r="6167" spans="1:24">
      <c r="A6167">
        <f>HYPERLINK("https://www.philgeps.gov.ph/GEPSNONPILOT/Tender/SplashBidNoticeAbstractUI.aspx?menuIndex=3&amp;refID=7184673&amp;Result=3","7184673")</f>
        <v>0</v>
      </c>
      <c r="B6167" t="s">
        <v>294</v>
      </c>
      <c r="C6167" t="s">
        <v>9423</v>
      </c>
      <c r="D6167" t="s">
        <v>17209</v>
      </c>
      <c r="E6167" t="s">
        <v>17973</v>
      </c>
      <c r="F6167" t="s">
        <v>29372</v>
      </c>
      <c r="G6167" t="s">
        <v>29380</v>
      </c>
      <c r="H6167" t="s">
        <v>11048</v>
      </c>
      <c r="I6167" t="s">
        <v>29407</v>
      </c>
      <c r="J6167" t="s">
        <v>33508</v>
      </c>
      <c r="K6167" t="s">
        <v>38485</v>
      </c>
      <c r="M6167" t="s">
        <v>39053</v>
      </c>
      <c r="N6167" t="s">
        <v>42669</v>
      </c>
      <c r="O6167" t="s">
        <v>42670</v>
      </c>
      <c r="P6167">
        <v>0</v>
      </c>
      <c r="Q6167">
        <v>15</v>
      </c>
      <c r="R6167" t="s">
        <v>42677</v>
      </c>
      <c r="S6167" t="s">
        <v>42830</v>
      </c>
      <c r="T6167" t="s">
        <v>44365</v>
      </c>
      <c r="U6167" t="s">
        <v>49879</v>
      </c>
      <c r="W6167" t="s">
        <v>39053</v>
      </c>
      <c r="X6167" t="s">
        <v>42678</v>
      </c>
    </row>
    <row r="6168" spans="1:24">
      <c r="A6168">
        <f>HYPERLINK("https://www.philgeps.gov.ph/GEPSNONPILOT/Tender/SplashBidNoticeAbstractUI.aspx?menuIndex=3&amp;refID=7184878&amp;Result=3","7184878")</f>
        <v>0</v>
      </c>
      <c r="B6168" t="s">
        <v>39</v>
      </c>
      <c r="C6168" t="s">
        <v>9424</v>
      </c>
      <c r="D6168" t="s">
        <v>17152</v>
      </c>
      <c r="E6168" t="s">
        <v>22573</v>
      </c>
      <c r="F6168" t="s">
        <v>29372</v>
      </c>
      <c r="G6168" t="s">
        <v>29382</v>
      </c>
      <c r="H6168" t="s">
        <v>11048</v>
      </c>
      <c r="I6168" t="s">
        <v>5383</v>
      </c>
      <c r="J6168" t="s">
        <v>30058</v>
      </c>
      <c r="K6168" t="s">
        <v>38491</v>
      </c>
      <c r="M6168" t="s">
        <v>38792</v>
      </c>
      <c r="N6168" t="s">
        <v>42669</v>
      </c>
      <c r="O6168" t="s">
        <v>42670</v>
      </c>
      <c r="P6168">
        <v>0</v>
      </c>
      <c r="Q6168">
        <v>1</v>
      </c>
      <c r="R6168" t="s">
        <v>42677</v>
      </c>
      <c r="S6168" t="s">
        <v>42830</v>
      </c>
      <c r="T6168" t="s">
        <v>44394</v>
      </c>
      <c r="U6168" t="s">
        <v>49880</v>
      </c>
      <c r="W6168" t="s">
        <v>38792</v>
      </c>
      <c r="X6168" t="s">
        <v>42678</v>
      </c>
    </row>
    <row r="6169" spans="1:24">
      <c r="A6169">
        <f>HYPERLINK("https://www.philgeps.gov.ph/GEPSNONPILOT/Tender/SplashBidNoticeAbstractUI.aspx?menuIndex=3&amp;refID=7183403&amp;Result=3","7183403")</f>
        <v>0</v>
      </c>
      <c r="B6169" t="s">
        <v>1945</v>
      </c>
      <c r="C6169" t="s">
        <v>9425</v>
      </c>
      <c r="D6169" t="s">
        <v>17216</v>
      </c>
      <c r="E6169" t="s">
        <v>22574</v>
      </c>
      <c r="F6169" t="s">
        <v>29372</v>
      </c>
      <c r="G6169" t="s">
        <v>29380</v>
      </c>
      <c r="H6169" t="s">
        <v>29389</v>
      </c>
      <c r="I6169" t="s">
        <v>10408</v>
      </c>
      <c r="J6169" t="s">
        <v>33509</v>
      </c>
      <c r="K6169" t="s">
        <v>38564</v>
      </c>
      <c r="M6169" t="s">
        <v>40827</v>
      </c>
      <c r="N6169" t="s">
        <v>42669</v>
      </c>
      <c r="O6169" t="s">
        <v>42670</v>
      </c>
      <c r="P6169">
        <v>0</v>
      </c>
      <c r="Q6169">
        <v>0</v>
      </c>
      <c r="R6169" t="s">
        <v>42677</v>
      </c>
      <c r="S6169" t="s">
        <v>42830</v>
      </c>
      <c r="T6169" t="s">
        <v>44417</v>
      </c>
      <c r="U6169" t="s">
        <v>49429</v>
      </c>
      <c r="W6169" t="s">
        <v>40827</v>
      </c>
      <c r="X6169" t="s">
        <v>42679</v>
      </c>
    </row>
    <row r="6170" spans="1:24">
      <c r="A6170">
        <f>HYPERLINK("https://www.philgeps.gov.ph/GEPSNONPILOT/Tender/SplashBidNoticeAbstractUI.aspx?menuIndex=3&amp;refID=7184681&amp;Result=3","7184681")</f>
        <v>0</v>
      </c>
      <c r="B6170" t="s">
        <v>2108</v>
      </c>
      <c r="C6170" t="s">
        <v>9426</v>
      </c>
      <c r="E6170" t="s">
        <v>22575</v>
      </c>
      <c r="F6170" t="s">
        <v>29372</v>
      </c>
      <c r="G6170" t="s">
        <v>29380</v>
      </c>
      <c r="H6170" t="s">
        <v>11048</v>
      </c>
      <c r="I6170" t="s">
        <v>3695</v>
      </c>
      <c r="J6170" t="s">
        <v>33510</v>
      </c>
      <c r="K6170" t="s">
        <v>38490</v>
      </c>
      <c r="M6170" t="s">
        <v>41011</v>
      </c>
      <c r="N6170" t="s">
        <v>42669</v>
      </c>
      <c r="O6170" t="s">
        <v>42670</v>
      </c>
      <c r="P6170">
        <v>0</v>
      </c>
      <c r="Q6170">
        <v>13</v>
      </c>
      <c r="R6170" t="s">
        <v>42677</v>
      </c>
      <c r="S6170" t="s">
        <v>42830</v>
      </c>
      <c r="T6170" t="s">
        <v>44355</v>
      </c>
      <c r="U6170" t="s">
        <v>49881</v>
      </c>
      <c r="W6170" t="s">
        <v>58069</v>
      </c>
      <c r="X6170" t="s">
        <v>42678</v>
      </c>
    </row>
    <row r="6171" spans="1:24">
      <c r="A6171">
        <f>HYPERLINK("https://www.philgeps.gov.ph/GEPSNONPILOT/Tender/SplashBidNoticeAbstractUI.aspx?menuIndex=3&amp;refID=7184683&amp;Result=3","7184683")</f>
        <v>0</v>
      </c>
      <c r="B6171" t="s">
        <v>2109</v>
      </c>
      <c r="C6171" t="s">
        <v>9427</v>
      </c>
      <c r="D6171" t="s">
        <v>17170</v>
      </c>
      <c r="E6171" t="s">
        <v>22576</v>
      </c>
      <c r="F6171" t="s">
        <v>29372</v>
      </c>
      <c r="G6171" t="s">
        <v>29379</v>
      </c>
      <c r="H6171" t="s">
        <v>11048</v>
      </c>
      <c r="I6171" t="s">
        <v>8614</v>
      </c>
      <c r="J6171" t="s">
        <v>33511</v>
      </c>
      <c r="K6171" t="s">
        <v>38490</v>
      </c>
      <c r="M6171" t="s">
        <v>41012</v>
      </c>
      <c r="N6171" t="s">
        <v>42669</v>
      </c>
      <c r="O6171" t="s">
        <v>42670</v>
      </c>
      <c r="P6171">
        <v>0</v>
      </c>
      <c r="Q6171">
        <v>4</v>
      </c>
      <c r="R6171" t="s">
        <v>42677</v>
      </c>
      <c r="S6171" t="s">
        <v>42830</v>
      </c>
      <c r="T6171" t="s">
        <v>44525</v>
      </c>
      <c r="U6171" t="s">
        <v>49882</v>
      </c>
      <c r="W6171" t="s">
        <v>41012</v>
      </c>
      <c r="X6171" t="s">
        <v>42678</v>
      </c>
    </row>
    <row r="6172" spans="1:24">
      <c r="A6172">
        <f>HYPERLINK("https://www.philgeps.gov.ph/GEPSNONPILOT/Tender/SplashBidNoticeAbstractUI.aspx?menuIndex=3&amp;refID=7184674&amp;Result=3","7184674")</f>
        <v>0</v>
      </c>
      <c r="B6172" t="s">
        <v>2047</v>
      </c>
      <c r="C6172" t="s">
        <v>9428</v>
      </c>
      <c r="D6172" t="s">
        <v>17189</v>
      </c>
      <c r="E6172" t="s">
        <v>22577</v>
      </c>
      <c r="F6172" t="s">
        <v>29372</v>
      </c>
      <c r="G6172" t="s">
        <v>29379</v>
      </c>
      <c r="H6172" t="s">
        <v>11048</v>
      </c>
      <c r="I6172" t="s">
        <v>8208</v>
      </c>
      <c r="J6172" t="s">
        <v>33512</v>
      </c>
      <c r="K6172" t="s">
        <v>38491</v>
      </c>
      <c r="M6172" t="s">
        <v>40945</v>
      </c>
      <c r="N6172" t="s">
        <v>42669</v>
      </c>
      <c r="O6172" t="s">
        <v>42670</v>
      </c>
      <c r="P6172">
        <v>0</v>
      </c>
      <c r="Q6172">
        <v>0</v>
      </c>
      <c r="R6172" t="s">
        <v>42677</v>
      </c>
      <c r="S6172" t="s">
        <v>42830</v>
      </c>
      <c r="T6172" t="s">
        <v>44488</v>
      </c>
      <c r="U6172" t="s">
        <v>49701</v>
      </c>
      <c r="W6172" t="s">
        <v>40945</v>
      </c>
      <c r="X6172" t="s">
        <v>42678</v>
      </c>
    </row>
    <row r="6173" spans="1:24">
      <c r="A6173">
        <f>HYPERLINK("https://www.philgeps.gov.ph/GEPSNONPILOT/Tender/SplashBidNoticeAbstractUI.aspx?menuIndex=3&amp;refID=7181191&amp;Result=3","7181191")</f>
        <v>0</v>
      </c>
      <c r="B6173" t="s">
        <v>2110</v>
      </c>
      <c r="C6173" t="s">
        <v>9429</v>
      </c>
      <c r="D6173" t="s">
        <v>17197</v>
      </c>
      <c r="E6173" t="s">
        <v>19597</v>
      </c>
      <c r="F6173" t="s">
        <v>29372</v>
      </c>
      <c r="G6173" t="s">
        <v>29380</v>
      </c>
      <c r="H6173" t="s">
        <v>29389</v>
      </c>
      <c r="I6173" t="s">
        <v>10408</v>
      </c>
      <c r="J6173" t="s">
        <v>29543</v>
      </c>
      <c r="K6173" t="s">
        <v>38503</v>
      </c>
      <c r="M6173" t="s">
        <v>41013</v>
      </c>
      <c r="N6173" t="s">
        <v>42669</v>
      </c>
      <c r="O6173" t="s">
        <v>42670</v>
      </c>
      <c r="P6173">
        <v>0</v>
      </c>
      <c r="Q6173">
        <v>0</v>
      </c>
      <c r="R6173" t="s">
        <v>42677</v>
      </c>
      <c r="S6173" t="s">
        <v>42830</v>
      </c>
      <c r="T6173" t="s">
        <v>44579</v>
      </c>
      <c r="U6173" t="s">
        <v>49883</v>
      </c>
      <c r="W6173" t="s">
        <v>41013</v>
      </c>
      <c r="X6173" t="s">
        <v>42679</v>
      </c>
    </row>
    <row r="6174" spans="1:24">
      <c r="A6174">
        <f>HYPERLINK("https://www.philgeps.gov.ph/GEPSNONPILOT/Tender/SplashBidNoticeAbstractUI.aspx?menuIndex=3&amp;refID=7184722&amp;Result=3","7184722")</f>
        <v>0</v>
      </c>
      <c r="B6174" t="s">
        <v>2036</v>
      </c>
      <c r="C6174" t="s">
        <v>9430</v>
      </c>
      <c r="D6174" t="s">
        <v>17228</v>
      </c>
      <c r="E6174" t="s">
        <v>22578</v>
      </c>
      <c r="F6174" t="s">
        <v>29372</v>
      </c>
      <c r="G6174" t="s">
        <v>29380</v>
      </c>
      <c r="H6174" t="s">
        <v>11048</v>
      </c>
      <c r="I6174" t="s">
        <v>3860</v>
      </c>
      <c r="J6174" t="s">
        <v>29619</v>
      </c>
      <c r="K6174" t="s">
        <v>38534</v>
      </c>
      <c r="M6174" t="s">
        <v>40932</v>
      </c>
      <c r="N6174" t="s">
        <v>42669</v>
      </c>
      <c r="O6174" t="s">
        <v>42670</v>
      </c>
      <c r="P6174">
        <v>0</v>
      </c>
      <c r="Q6174">
        <v>3</v>
      </c>
      <c r="R6174" t="s">
        <v>42677</v>
      </c>
      <c r="S6174" t="s">
        <v>42830</v>
      </c>
      <c r="T6174" t="s">
        <v>44707</v>
      </c>
      <c r="U6174" t="s">
        <v>49673</v>
      </c>
      <c r="W6174" t="s">
        <v>40932</v>
      </c>
      <c r="X6174" t="s">
        <v>42678</v>
      </c>
    </row>
    <row r="6175" spans="1:24">
      <c r="A6175">
        <f>HYPERLINK("https://www.philgeps.gov.ph/GEPSNONPILOT/Tender/SplashBidNoticeAbstractUI.aspx?menuIndex=3&amp;refID=7185067&amp;Result=3","7185067")</f>
        <v>0</v>
      </c>
      <c r="B6175" t="s">
        <v>2101</v>
      </c>
      <c r="C6175" t="s">
        <v>9431</v>
      </c>
      <c r="D6175" t="s">
        <v>17216</v>
      </c>
      <c r="E6175" t="s">
        <v>22579</v>
      </c>
      <c r="F6175" t="s">
        <v>29372</v>
      </c>
      <c r="G6175" t="s">
        <v>29380</v>
      </c>
      <c r="H6175" t="s">
        <v>29389</v>
      </c>
      <c r="I6175" t="s">
        <v>10408</v>
      </c>
      <c r="J6175" t="s">
        <v>33513</v>
      </c>
      <c r="K6175" t="s">
        <v>38662</v>
      </c>
      <c r="M6175" t="s">
        <v>41003</v>
      </c>
      <c r="N6175" t="s">
        <v>42669</v>
      </c>
      <c r="O6175" t="s">
        <v>42670</v>
      </c>
      <c r="P6175">
        <v>0</v>
      </c>
      <c r="Q6175">
        <v>0</v>
      </c>
      <c r="R6175" t="s">
        <v>42677</v>
      </c>
      <c r="S6175" t="s">
        <v>42830</v>
      </c>
      <c r="T6175" t="s">
        <v>44368</v>
      </c>
      <c r="U6175" t="s">
        <v>49861</v>
      </c>
      <c r="W6175" t="s">
        <v>41003</v>
      </c>
      <c r="X6175" t="s">
        <v>42678</v>
      </c>
    </row>
    <row r="6176" spans="1:24">
      <c r="A6176">
        <f>HYPERLINK("https://www.philgeps.gov.ph/GEPSNONPILOT/Tender/SplashBidNoticeAbstractUI.aspx?menuIndex=3&amp;refID=7185083&amp;Result=3","7185083")</f>
        <v>0</v>
      </c>
      <c r="B6176" t="s">
        <v>1919</v>
      </c>
      <c r="C6176" t="s">
        <v>9432</v>
      </c>
      <c r="D6176" t="s">
        <v>17194</v>
      </c>
      <c r="E6176" t="s">
        <v>22580</v>
      </c>
      <c r="F6176" t="s">
        <v>29372</v>
      </c>
      <c r="G6176" t="s">
        <v>29380</v>
      </c>
      <c r="H6176" t="s">
        <v>11048</v>
      </c>
      <c r="I6176" t="s">
        <v>29394</v>
      </c>
      <c r="J6176" t="s">
        <v>29532</v>
      </c>
      <c r="K6176" t="s">
        <v>38485</v>
      </c>
      <c r="M6176" t="s">
        <v>40794</v>
      </c>
      <c r="N6176" t="s">
        <v>42669</v>
      </c>
      <c r="O6176" t="s">
        <v>42670</v>
      </c>
      <c r="P6176">
        <v>0</v>
      </c>
      <c r="Q6176">
        <v>3</v>
      </c>
      <c r="R6176" t="s">
        <v>42677</v>
      </c>
      <c r="S6176" t="s">
        <v>42830</v>
      </c>
      <c r="T6176" t="s">
        <v>44387</v>
      </c>
      <c r="U6176" t="s">
        <v>49835</v>
      </c>
      <c r="V6176" t="s">
        <v>56972</v>
      </c>
      <c r="W6176" t="s">
        <v>40794</v>
      </c>
      <c r="X6176" t="s">
        <v>42678</v>
      </c>
    </row>
    <row r="6177" spans="1:24">
      <c r="A6177">
        <f>HYPERLINK("https://www.philgeps.gov.ph/GEPSNONPILOT/Tender/SplashBidNoticeAbstractUI.aspx?menuIndex=3&amp;refID=7185079&amp;Result=3","7185079")</f>
        <v>0</v>
      </c>
      <c r="B6177" t="s">
        <v>1712</v>
      </c>
      <c r="C6177" t="s">
        <v>9433</v>
      </c>
      <c r="D6177" t="s">
        <v>17177</v>
      </c>
      <c r="E6177" t="s">
        <v>22581</v>
      </c>
      <c r="F6177" t="s">
        <v>29372</v>
      </c>
      <c r="G6177" t="s">
        <v>29380</v>
      </c>
      <c r="H6177" t="s">
        <v>11048</v>
      </c>
      <c r="I6177" t="s">
        <v>3839</v>
      </c>
      <c r="J6177" t="s">
        <v>30024</v>
      </c>
      <c r="K6177" t="s">
        <v>38510</v>
      </c>
      <c r="M6177" t="s">
        <v>40575</v>
      </c>
      <c r="N6177" t="s">
        <v>42669</v>
      </c>
      <c r="O6177" t="s">
        <v>42670</v>
      </c>
      <c r="P6177">
        <v>0</v>
      </c>
      <c r="Q6177">
        <v>0</v>
      </c>
      <c r="R6177" t="s">
        <v>42677</v>
      </c>
      <c r="S6177" t="s">
        <v>42830</v>
      </c>
      <c r="T6177" t="s">
        <v>44450</v>
      </c>
      <c r="U6177" t="s">
        <v>49884</v>
      </c>
      <c r="W6177" t="s">
        <v>40575</v>
      </c>
      <c r="X6177" t="s">
        <v>42678</v>
      </c>
    </row>
    <row r="6178" spans="1:24">
      <c r="A6178">
        <f>HYPERLINK("https://www.philgeps.gov.ph/GEPSNONPILOT/Tender/SplashBidNoticeAbstractUI.aspx?menuIndex=3&amp;refID=7185074&amp;Result=3","7185074")</f>
        <v>0</v>
      </c>
      <c r="B6178" t="s">
        <v>1668</v>
      </c>
      <c r="C6178" t="s">
        <v>9434</v>
      </c>
      <c r="D6178" t="s">
        <v>17150</v>
      </c>
      <c r="E6178" t="s">
        <v>22582</v>
      </c>
      <c r="F6178" t="s">
        <v>29372</v>
      </c>
      <c r="G6178" t="s">
        <v>29380</v>
      </c>
      <c r="H6178" t="s">
        <v>11048</v>
      </c>
      <c r="I6178" t="s">
        <v>3839</v>
      </c>
      <c r="J6178" t="s">
        <v>33514</v>
      </c>
      <c r="K6178" t="s">
        <v>38530</v>
      </c>
      <c r="M6178" t="s">
        <v>40527</v>
      </c>
      <c r="N6178" t="s">
        <v>42669</v>
      </c>
      <c r="O6178" t="s">
        <v>42670</v>
      </c>
      <c r="P6178">
        <v>0</v>
      </c>
      <c r="Q6178">
        <v>1</v>
      </c>
      <c r="R6178" t="s">
        <v>42677</v>
      </c>
      <c r="S6178" t="s">
        <v>42830</v>
      </c>
      <c r="T6178" t="s">
        <v>44437</v>
      </c>
      <c r="U6178" t="s">
        <v>49885</v>
      </c>
      <c r="V6178" t="s">
        <v>57020</v>
      </c>
      <c r="W6178" t="s">
        <v>40527</v>
      </c>
      <c r="X6178" t="s">
        <v>42678</v>
      </c>
    </row>
    <row r="6179" spans="1:24">
      <c r="A6179">
        <f>HYPERLINK("https://www.philgeps.gov.ph/GEPSNONPILOT/Tender/SplashBidNoticeAbstractUI.aspx?menuIndex=3&amp;refID=7185073&amp;Result=3","7185073")</f>
        <v>0</v>
      </c>
      <c r="B6179" t="s">
        <v>1919</v>
      </c>
      <c r="C6179" t="s">
        <v>9435</v>
      </c>
      <c r="D6179" t="s">
        <v>17194</v>
      </c>
      <c r="E6179" t="s">
        <v>22583</v>
      </c>
      <c r="F6179" t="s">
        <v>29372</v>
      </c>
      <c r="G6179" t="s">
        <v>29380</v>
      </c>
      <c r="H6179" t="s">
        <v>11048</v>
      </c>
      <c r="I6179" t="s">
        <v>5383</v>
      </c>
      <c r="J6179" t="s">
        <v>33515</v>
      </c>
      <c r="K6179" t="s">
        <v>38485</v>
      </c>
      <c r="M6179" t="s">
        <v>40794</v>
      </c>
      <c r="N6179" t="s">
        <v>42669</v>
      </c>
      <c r="O6179" t="s">
        <v>42670</v>
      </c>
      <c r="P6179">
        <v>0</v>
      </c>
      <c r="Q6179">
        <v>1</v>
      </c>
      <c r="R6179" t="s">
        <v>42677</v>
      </c>
      <c r="S6179" t="s">
        <v>42830</v>
      </c>
      <c r="T6179" t="s">
        <v>44387</v>
      </c>
      <c r="U6179" t="s">
        <v>49835</v>
      </c>
      <c r="V6179" t="s">
        <v>56972</v>
      </c>
      <c r="W6179" t="s">
        <v>40794</v>
      </c>
      <c r="X6179" t="s">
        <v>42678</v>
      </c>
    </row>
    <row r="6180" spans="1:24">
      <c r="A6180">
        <f>HYPERLINK("https://www.philgeps.gov.ph/GEPSNONPILOT/Tender/SplashBidNoticeAbstractUI.aspx?menuIndex=3&amp;refID=7185068&amp;Result=3","7185068")</f>
        <v>0</v>
      </c>
      <c r="B6180" t="s">
        <v>2105</v>
      </c>
      <c r="C6180" t="s">
        <v>9436</v>
      </c>
      <c r="D6180" t="s">
        <v>17192</v>
      </c>
      <c r="E6180" t="s">
        <v>22584</v>
      </c>
      <c r="F6180" t="s">
        <v>29372</v>
      </c>
      <c r="G6180" t="s">
        <v>29380</v>
      </c>
      <c r="H6180" t="s">
        <v>11048</v>
      </c>
      <c r="I6180" t="s">
        <v>3670</v>
      </c>
      <c r="J6180" t="s">
        <v>33516</v>
      </c>
      <c r="K6180" t="s">
        <v>38488</v>
      </c>
      <c r="M6180" t="s">
        <v>41007</v>
      </c>
      <c r="N6180" t="s">
        <v>42669</v>
      </c>
      <c r="O6180" t="s">
        <v>42670</v>
      </c>
      <c r="P6180">
        <v>0</v>
      </c>
      <c r="Q6180">
        <v>2</v>
      </c>
      <c r="R6180" t="s">
        <v>42677</v>
      </c>
      <c r="S6180" t="s">
        <v>42830</v>
      </c>
      <c r="T6180" t="s">
        <v>44368</v>
      </c>
      <c r="U6180" t="s">
        <v>49886</v>
      </c>
      <c r="W6180" t="s">
        <v>41007</v>
      </c>
      <c r="X6180" t="s">
        <v>42678</v>
      </c>
    </row>
    <row r="6181" spans="1:24">
      <c r="A6181">
        <f>HYPERLINK("https://www.philgeps.gov.ph/GEPSNONPILOT/Tender/SplashBidNoticeAbstractUI.aspx?menuIndex=3&amp;refID=7185069&amp;Result=3","7185069")</f>
        <v>0</v>
      </c>
      <c r="B6181" t="s">
        <v>899</v>
      </c>
      <c r="C6181" t="s">
        <v>9437</v>
      </c>
      <c r="D6181" t="s">
        <v>17213</v>
      </c>
      <c r="E6181" t="s">
        <v>22585</v>
      </c>
      <c r="F6181" t="s">
        <v>29372</v>
      </c>
      <c r="G6181" t="s">
        <v>29379</v>
      </c>
      <c r="H6181" t="s">
        <v>11048</v>
      </c>
      <c r="I6181" t="s">
        <v>29426</v>
      </c>
      <c r="J6181" t="s">
        <v>33517</v>
      </c>
      <c r="K6181" t="s">
        <v>38488</v>
      </c>
      <c r="M6181" t="s">
        <v>39692</v>
      </c>
      <c r="N6181" t="s">
        <v>42669</v>
      </c>
      <c r="O6181" t="s">
        <v>42670</v>
      </c>
      <c r="P6181">
        <v>0</v>
      </c>
      <c r="Q6181">
        <v>0</v>
      </c>
      <c r="R6181" t="s">
        <v>42677</v>
      </c>
      <c r="S6181" t="s">
        <v>42830</v>
      </c>
      <c r="T6181" t="s">
        <v>44491</v>
      </c>
      <c r="U6181" t="s">
        <v>49887</v>
      </c>
      <c r="W6181" t="s">
        <v>39692</v>
      </c>
      <c r="X6181" t="s">
        <v>42678</v>
      </c>
    </row>
    <row r="6182" spans="1:24">
      <c r="A6182">
        <f>HYPERLINK("https://www.philgeps.gov.ph/GEPSNONPILOT/Tender/SplashBidNoticeAbstractUI.aspx?menuIndex=3&amp;refID=7185107&amp;Result=3","7185107")</f>
        <v>0</v>
      </c>
      <c r="B6182" t="s">
        <v>2111</v>
      </c>
      <c r="C6182" t="s">
        <v>9438</v>
      </c>
      <c r="E6182" t="s">
        <v>22586</v>
      </c>
      <c r="F6182" t="s">
        <v>29372</v>
      </c>
      <c r="G6182" t="s">
        <v>29380</v>
      </c>
      <c r="H6182" t="s">
        <v>29389</v>
      </c>
      <c r="I6182" t="s">
        <v>29417</v>
      </c>
      <c r="J6182" t="s">
        <v>33518</v>
      </c>
      <c r="K6182" t="s">
        <v>38490</v>
      </c>
      <c r="M6182" t="s">
        <v>41014</v>
      </c>
      <c r="N6182" t="s">
        <v>42669</v>
      </c>
      <c r="O6182" t="s">
        <v>42670</v>
      </c>
      <c r="P6182">
        <v>0</v>
      </c>
      <c r="Q6182">
        <v>4</v>
      </c>
      <c r="R6182" t="s">
        <v>42677</v>
      </c>
      <c r="S6182" t="s">
        <v>42830</v>
      </c>
      <c r="T6182" t="s">
        <v>44427</v>
      </c>
      <c r="U6182" t="s">
        <v>49888</v>
      </c>
      <c r="V6182" t="s">
        <v>57039</v>
      </c>
      <c r="W6182" t="s">
        <v>41014</v>
      </c>
      <c r="X6182" t="s">
        <v>42678</v>
      </c>
    </row>
    <row r="6183" spans="1:24">
      <c r="A6183">
        <f>HYPERLINK("https://www.philgeps.gov.ph/GEPSNONPILOT/Tender/SplashBidNoticeAbstractUI.aspx?menuIndex=3&amp;refID=7185105&amp;Result=3","7185105")</f>
        <v>0</v>
      </c>
      <c r="B6183" t="s">
        <v>1796</v>
      </c>
      <c r="C6183" t="s">
        <v>9439</v>
      </c>
      <c r="D6183" t="s">
        <v>17174</v>
      </c>
      <c r="E6183" t="s">
        <v>22587</v>
      </c>
      <c r="F6183" t="s">
        <v>29372</v>
      </c>
      <c r="G6183" t="s">
        <v>29380</v>
      </c>
      <c r="H6183" t="s">
        <v>11048</v>
      </c>
      <c r="I6183" t="s">
        <v>29442</v>
      </c>
      <c r="J6183" t="s">
        <v>33519</v>
      </c>
      <c r="K6183" t="s">
        <v>38510</v>
      </c>
      <c r="M6183" t="s">
        <v>40986</v>
      </c>
      <c r="N6183" t="s">
        <v>42669</v>
      </c>
      <c r="O6183" t="s">
        <v>42670</v>
      </c>
      <c r="P6183">
        <v>0</v>
      </c>
      <c r="Q6183">
        <v>2</v>
      </c>
      <c r="R6183" t="s">
        <v>42677</v>
      </c>
      <c r="S6183" t="s">
        <v>42830</v>
      </c>
      <c r="T6183" t="s">
        <v>44554</v>
      </c>
      <c r="U6183" t="s">
        <v>49889</v>
      </c>
      <c r="W6183" t="s">
        <v>40986</v>
      </c>
      <c r="X6183" t="s">
        <v>42678</v>
      </c>
    </row>
    <row r="6184" spans="1:24">
      <c r="A6184">
        <f>HYPERLINK("https://www.philgeps.gov.ph/GEPSNONPILOT/Tender/SplashBidNoticeAbstractUI.aspx?menuIndex=3&amp;refID=7185102&amp;Result=3","7185102")</f>
        <v>0</v>
      </c>
      <c r="B6184" t="s">
        <v>1037</v>
      </c>
      <c r="C6184" t="s">
        <v>9440</v>
      </c>
      <c r="D6184" t="s">
        <v>17188</v>
      </c>
      <c r="E6184" t="s">
        <v>22588</v>
      </c>
      <c r="F6184" t="s">
        <v>29372</v>
      </c>
      <c r="G6184" t="s">
        <v>29380</v>
      </c>
      <c r="H6184" t="s">
        <v>29389</v>
      </c>
      <c r="I6184" t="s">
        <v>10408</v>
      </c>
      <c r="J6184" t="s">
        <v>33520</v>
      </c>
      <c r="K6184" t="s">
        <v>38522</v>
      </c>
      <c r="M6184" t="s">
        <v>39841</v>
      </c>
      <c r="N6184" t="s">
        <v>42669</v>
      </c>
      <c r="O6184" t="s">
        <v>42670</v>
      </c>
      <c r="P6184">
        <v>0</v>
      </c>
      <c r="Q6184">
        <v>0</v>
      </c>
      <c r="R6184" t="s">
        <v>42677</v>
      </c>
      <c r="S6184" t="s">
        <v>42830</v>
      </c>
      <c r="T6184" t="s">
        <v>44549</v>
      </c>
      <c r="U6184" t="s">
        <v>49890</v>
      </c>
      <c r="W6184" t="s">
        <v>39841</v>
      </c>
      <c r="X6184" t="s">
        <v>42678</v>
      </c>
    </row>
    <row r="6185" spans="1:24">
      <c r="A6185">
        <f>HYPERLINK("https://www.philgeps.gov.ph/GEPSNONPILOT/Tender/SplashBidNoticeAbstractUI.aspx?menuIndex=3&amp;refID=7185072&amp;Result=3","7185072")</f>
        <v>0</v>
      </c>
      <c r="B6185" t="s">
        <v>354</v>
      </c>
      <c r="C6185" t="s">
        <v>4352</v>
      </c>
      <c r="D6185" t="s">
        <v>17200</v>
      </c>
      <c r="E6185" t="s">
        <v>22589</v>
      </c>
      <c r="F6185" t="s">
        <v>29372</v>
      </c>
      <c r="G6185" t="s">
        <v>29380</v>
      </c>
      <c r="H6185" t="s">
        <v>29389</v>
      </c>
      <c r="I6185" t="s">
        <v>29453</v>
      </c>
      <c r="J6185" t="s">
        <v>29935</v>
      </c>
      <c r="K6185" t="s">
        <v>38538</v>
      </c>
      <c r="M6185" t="s">
        <v>39113</v>
      </c>
      <c r="N6185" t="s">
        <v>42669</v>
      </c>
      <c r="O6185" t="s">
        <v>42670</v>
      </c>
      <c r="P6185">
        <v>0</v>
      </c>
      <c r="Q6185">
        <v>1</v>
      </c>
      <c r="R6185" t="s">
        <v>42677</v>
      </c>
      <c r="S6185" t="s">
        <v>42830</v>
      </c>
      <c r="T6185" t="s">
        <v>44425</v>
      </c>
      <c r="U6185" t="s">
        <v>49891</v>
      </c>
      <c r="W6185" t="s">
        <v>39113</v>
      </c>
      <c r="X6185" t="s">
        <v>42678</v>
      </c>
    </row>
    <row r="6186" spans="1:24">
      <c r="A6186">
        <f>HYPERLINK("https://www.philgeps.gov.ph/GEPSNONPILOT/Tender/SplashBidNoticeAbstractUI.aspx?menuIndex=3&amp;refID=7185094&amp;Result=3","7185094")</f>
        <v>0</v>
      </c>
      <c r="B6186" t="s">
        <v>2047</v>
      </c>
      <c r="C6186" t="s">
        <v>9441</v>
      </c>
      <c r="D6186" t="s">
        <v>17189</v>
      </c>
      <c r="E6186" t="s">
        <v>22590</v>
      </c>
      <c r="F6186" t="s">
        <v>29372</v>
      </c>
      <c r="G6186" t="s">
        <v>29379</v>
      </c>
      <c r="H6186" t="s">
        <v>11048</v>
      </c>
      <c r="I6186" t="s">
        <v>8614</v>
      </c>
      <c r="J6186" t="s">
        <v>30036</v>
      </c>
      <c r="K6186" t="s">
        <v>38491</v>
      </c>
      <c r="M6186" t="s">
        <v>40945</v>
      </c>
      <c r="N6186" t="s">
        <v>42669</v>
      </c>
      <c r="O6186" t="s">
        <v>42670</v>
      </c>
      <c r="P6186">
        <v>0</v>
      </c>
      <c r="Q6186">
        <v>7</v>
      </c>
      <c r="R6186" t="s">
        <v>42677</v>
      </c>
      <c r="S6186" t="s">
        <v>42830</v>
      </c>
      <c r="T6186" t="s">
        <v>44488</v>
      </c>
      <c r="U6186" t="s">
        <v>49701</v>
      </c>
      <c r="W6186" t="s">
        <v>40945</v>
      </c>
      <c r="X6186" t="s">
        <v>42678</v>
      </c>
    </row>
    <row r="6187" spans="1:24">
      <c r="A6187">
        <f>HYPERLINK("https://www.philgeps.gov.ph/GEPSNONPILOT/Tender/SplashBidNoticeAbstractUI.aspx?menuIndex=3&amp;refID=7185100&amp;Result=3","7185100")</f>
        <v>0</v>
      </c>
      <c r="B6187" t="s">
        <v>1515</v>
      </c>
      <c r="C6187" t="s">
        <v>9442</v>
      </c>
      <c r="D6187" t="s">
        <v>17174</v>
      </c>
      <c r="E6187" t="s">
        <v>22591</v>
      </c>
      <c r="F6187" t="s">
        <v>29372</v>
      </c>
      <c r="G6187" t="s">
        <v>29379</v>
      </c>
      <c r="H6187" t="s">
        <v>11048</v>
      </c>
      <c r="I6187" t="s">
        <v>3839</v>
      </c>
      <c r="J6187" t="s">
        <v>33521</v>
      </c>
      <c r="K6187" t="s">
        <v>38488</v>
      </c>
      <c r="M6187" t="s">
        <v>40359</v>
      </c>
      <c r="N6187" t="s">
        <v>42669</v>
      </c>
      <c r="O6187" t="s">
        <v>42670</v>
      </c>
      <c r="P6187">
        <v>0</v>
      </c>
      <c r="Q6187">
        <v>2</v>
      </c>
      <c r="R6187" t="s">
        <v>42677</v>
      </c>
      <c r="S6187" t="s">
        <v>42830</v>
      </c>
      <c r="T6187" t="s">
        <v>44432</v>
      </c>
      <c r="U6187" t="s">
        <v>49892</v>
      </c>
      <c r="W6187" t="s">
        <v>40359</v>
      </c>
      <c r="X6187" t="s">
        <v>42678</v>
      </c>
    </row>
    <row r="6188" spans="1:24">
      <c r="A6188">
        <f>HYPERLINK("https://www.philgeps.gov.ph/GEPSNONPILOT/Tender/SplashBidNoticeAbstractUI.aspx?menuIndex=3&amp;refID=7185098&amp;Result=3","7185098")</f>
        <v>0</v>
      </c>
      <c r="B6188" t="s">
        <v>1919</v>
      </c>
      <c r="C6188" t="s">
        <v>9443</v>
      </c>
      <c r="D6188" t="s">
        <v>17194</v>
      </c>
      <c r="E6188" t="s">
        <v>22592</v>
      </c>
      <c r="F6188" t="s">
        <v>29372</v>
      </c>
      <c r="G6188" t="s">
        <v>29380</v>
      </c>
      <c r="H6188" t="s">
        <v>11048</v>
      </c>
      <c r="I6188" t="s">
        <v>3670</v>
      </c>
      <c r="J6188" t="s">
        <v>33522</v>
      </c>
      <c r="K6188" t="s">
        <v>38485</v>
      </c>
      <c r="M6188" t="s">
        <v>40794</v>
      </c>
      <c r="N6188" t="s">
        <v>42669</v>
      </c>
      <c r="O6188" t="s">
        <v>42670</v>
      </c>
      <c r="P6188">
        <v>0</v>
      </c>
      <c r="Q6188">
        <v>0</v>
      </c>
      <c r="R6188" t="s">
        <v>42677</v>
      </c>
      <c r="S6188" t="s">
        <v>42830</v>
      </c>
      <c r="T6188" t="s">
        <v>44387</v>
      </c>
      <c r="U6188" t="s">
        <v>49835</v>
      </c>
      <c r="V6188" t="s">
        <v>56972</v>
      </c>
      <c r="W6188" t="s">
        <v>40794</v>
      </c>
      <c r="X6188" t="s">
        <v>42678</v>
      </c>
    </row>
    <row r="6189" spans="1:24">
      <c r="A6189">
        <f>HYPERLINK("https://www.philgeps.gov.ph/GEPSNONPILOT/Tender/SplashBidNoticeAbstractUI.aspx?menuIndex=3&amp;refID=7185101&amp;Result=3","7185101")</f>
        <v>0</v>
      </c>
      <c r="B6189" t="s">
        <v>891</v>
      </c>
      <c r="C6189" t="s">
        <v>9444</v>
      </c>
      <c r="D6189" t="s">
        <v>17158</v>
      </c>
      <c r="E6189" t="s">
        <v>20558</v>
      </c>
      <c r="F6189" t="s">
        <v>29372</v>
      </c>
      <c r="G6189" t="s">
        <v>29380</v>
      </c>
      <c r="H6189" t="s">
        <v>11048</v>
      </c>
      <c r="I6189" t="s">
        <v>29452</v>
      </c>
      <c r="J6189" t="s">
        <v>29615</v>
      </c>
      <c r="K6189" t="s">
        <v>38488</v>
      </c>
      <c r="M6189" t="s">
        <v>39684</v>
      </c>
      <c r="N6189" t="s">
        <v>42669</v>
      </c>
      <c r="O6189" t="s">
        <v>42670</v>
      </c>
      <c r="P6189">
        <v>0</v>
      </c>
      <c r="Q6189">
        <v>3</v>
      </c>
      <c r="R6189" t="s">
        <v>42677</v>
      </c>
      <c r="S6189" t="s">
        <v>42830</v>
      </c>
      <c r="T6189" t="s">
        <v>44478</v>
      </c>
      <c r="U6189" t="s">
        <v>49893</v>
      </c>
      <c r="W6189" t="s">
        <v>39684</v>
      </c>
      <c r="X6189" t="s">
        <v>42678</v>
      </c>
    </row>
    <row r="6190" spans="1:24">
      <c r="A6190">
        <f>HYPERLINK("https://www.philgeps.gov.ph/GEPSNONPILOT/Tender/SplashBidNoticeAbstractUI.aspx?menuIndex=3&amp;refID=7185095&amp;Result=3","7185095")</f>
        <v>0</v>
      </c>
      <c r="B6190" t="s">
        <v>2069</v>
      </c>
      <c r="C6190" t="s">
        <v>9445</v>
      </c>
      <c r="D6190" t="s">
        <v>17222</v>
      </c>
      <c r="E6190" t="s">
        <v>22593</v>
      </c>
      <c r="F6190" t="s">
        <v>29372</v>
      </c>
      <c r="G6190" t="s">
        <v>29380</v>
      </c>
      <c r="H6190" t="s">
        <v>29389</v>
      </c>
      <c r="I6190" t="s">
        <v>10408</v>
      </c>
      <c r="J6190" t="s">
        <v>33523</v>
      </c>
      <c r="K6190" t="s">
        <v>38496</v>
      </c>
      <c r="M6190" t="s">
        <v>40967</v>
      </c>
      <c r="N6190" t="s">
        <v>42669</v>
      </c>
      <c r="O6190" t="s">
        <v>42670</v>
      </c>
      <c r="P6190">
        <v>0</v>
      </c>
      <c r="Q6190">
        <v>1</v>
      </c>
      <c r="R6190" t="s">
        <v>42677</v>
      </c>
      <c r="S6190" t="s">
        <v>42830</v>
      </c>
      <c r="T6190" t="s">
        <v>44355</v>
      </c>
      <c r="U6190" t="s">
        <v>49894</v>
      </c>
      <c r="W6190" t="s">
        <v>40967</v>
      </c>
      <c r="X6190" t="s">
        <v>42678</v>
      </c>
    </row>
    <row r="6191" spans="1:24">
      <c r="A6191">
        <f>HYPERLINK("https://www.philgeps.gov.ph/GEPSNONPILOT/Tender/SplashBidNoticeAbstractUI.aspx?menuIndex=3&amp;refID=7185131&amp;Result=3","7185131")</f>
        <v>0</v>
      </c>
      <c r="B6191" t="s">
        <v>1668</v>
      </c>
      <c r="C6191" t="s">
        <v>9446</v>
      </c>
      <c r="D6191" t="s">
        <v>17150</v>
      </c>
      <c r="E6191" t="s">
        <v>22594</v>
      </c>
      <c r="F6191" t="s">
        <v>29372</v>
      </c>
      <c r="G6191" t="s">
        <v>29380</v>
      </c>
      <c r="H6191" t="s">
        <v>11048</v>
      </c>
      <c r="I6191" t="s">
        <v>29394</v>
      </c>
      <c r="J6191" t="s">
        <v>33524</v>
      </c>
      <c r="K6191" t="s">
        <v>38530</v>
      </c>
      <c r="M6191" t="s">
        <v>40527</v>
      </c>
      <c r="N6191" t="s">
        <v>42669</v>
      </c>
      <c r="O6191" t="s">
        <v>42670</v>
      </c>
      <c r="P6191">
        <v>0</v>
      </c>
      <c r="Q6191">
        <v>1</v>
      </c>
      <c r="R6191" t="s">
        <v>42677</v>
      </c>
      <c r="S6191" t="s">
        <v>42830</v>
      </c>
      <c r="T6191" t="s">
        <v>44437</v>
      </c>
      <c r="U6191" t="s">
        <v>49895</v>
      </c>
      <c r="V6191" t="s">
        <v>57020</v>
      </c>
      <c r="W6191" t="s">
        <v>40527</v>
      </c>
      <c r="X6191" t="s">
        <v>42678</v>
      </c>
    </row>
    <row r="6192" spans="1:24">
      <c r="A6192">
        <f>HYPERLINK("https://www.philgeps.gov.ph/GEPSNONPILOT/Tender/SplashBidNoticeAbstractUI.aspx?menuIndex=3&amp;refID=7185110&amp;Result=3","7185110")</f>
        <v>0</v>
      </c>
      <c r="B6192" t="s">
        <v>2085</v>
      </c>
      <c r="C6192" t="s">
        <v>9447</v>
      </c>
      <c r="D6192" t="s">
        <v>17181</v>
      </c>
      <c r="E6192" t="s">
        <v>22595</v>
      </c>
      <c r="F6192" t="s">
        <v>29372</v>
      </c>
      <c r="G6192" t="s">
        <v>29380</v>
      </c>
      <c r="H6192" t="s">
        <v>11048</v>
      </c>
      <c r="I6192" t="s">
        <v>8614</v>
      </c>
      <c r="J6192" t="s">
        <v>29587</v>
      </c>
      <c r="K6192" t="s">
        <v>38485</v>
      </c>
      <c r="M6192" t="s">
        <v>40985</v>
      </c>
      <c r="N6192" t="s">
        <v>42669</v>
      </c>
      <c r="O6192" t="s">
        <v>42670</v>
      </c>
      <c r="P6192">
        <v>0</v>
      </c>
      <c r="Q6192">
        <v>1</v>
      </c>
      <c r="R6192" t="s">
        <v>42677</v>
      </c>
      <c r="S6192" t="s">
        <v>42830</v>
      </c>
      <c r="T6192" t="s">
        <v>44413</v>
      </c>
      <c r="U6192" t="s">
        <v>49896</v>
      </c>
      <c r="W6192" t="s">
        <v>40985</v>
      </c>
      <c r="X6192" t="s">
        <v>42678</v>
      </c>
    </row>
    <row r="6193" spans="1:24">
      <c r="A6193">
        <f>HYPERLINK("https://www.philgeps.gov.ph/GEPSNONPILOT/Tender/SplashBidNoticeAbstractUI.aspx?menuIndex=3&amp;refID=7185130&amp;Result=3","7185130")</f>
        <v>0</v>
      </c>
      <c r="B6193" t="s">
        <v>2101</v>
      </c>
      <c r="C6193" t="s">
        <v>9448</v>
      </c>
      <c r="D6193" t="s">
        <v>17216</v>
      </c>
      <c r="E6193" t="s">
        <v>22596</v>
      </c>
      <c r="F6193" t="s">
        <v>29372</v>
      </c>
      <c r="G6193" t="s">
        <v>29380</v>
      </c>
      <c r="H6193" t="s">
        <v>29389</v>
      </c>
      <c r="I6193" t="s">
        <v>10408</v>
      </c>
      <c r="J6193" t="s">
        <v>33525</v>
      </c>
      <c r="K6193" t="s">
        <v>38533</v>
      </c>
      <c r="M6193" t="s">
        <v>41003</v>
      </c>
      <c r="N6193" t="s">
        <v>42669</v>
      </c>
      <c r="O6193" t="s">
        <v>42670</v>
      </c>
      <c r="P6193">
        <v>0</v>
      </c>
      <c r="Q6193">
        <v>0</v>
      </c>
      <c r="R6193" t="s">
        <v>42677</v>
      </c>
      <c r="S6193" t="s">
        <v>42830</v>
      </c>
      <c r="T6193" t="s">
        <v>44368</v>
      </c>
      <c r="U6193" t="s">
        <v>49861</v>
      </c>
      <c r="W6193" t="s">
        <v>41003</v>
      </c>
      <c r="X6193" t="s">
        <v>42678</v>
      </c>
    </row>
    <row r="6194" spans="1:24">
      <c r="A6194">
        <f>HYPERLINK("https://www.philgeps.gov.ph/GEPSNONPILOT/Tender/SplashBidNoticeAbstractUI.aspx?menuIndex=3&amp;refID=7185123&amp;Result=3","7185123")</f>
        <v>0</v>
      </c>
      <c r="B6194" t="s">
        <v>1190</v>
      </c>
      <c r="C6194" t="s">
        <v>9449</v>
      </c>
      <c r="E6194" t="s">
        <v>22597</v>
      </c>
      <c r="F6194" t="s">
        <v>29372</v>
      </c>
      <c r="G6194" t="s">
        <v>29379</v>
      </c>
      <c r="H6194" t="s">
        <v>11048</v>
      </c>
      <c r="I6194" t="s">
        <v>29407</v>
      </c>
      <c r="J6194" t="s">
        <v>33526</v>
      </c>
      <c r="K6194" t="s">
        <v>38490</v>
      </c>
      <c r="M6194" t="s">
        <v>40006</v>
      </c>
      <c r="N6194" t="s">
        <v>42669</v>
      </c>
      <c r="O6194" t="s">
        <v>42670</v>
      </c>
      <c r="P6194">
        <v>0</v>
      </c>
      <c r="Q6194">
        <v>14</v>
      </c>
      <c r="R6194" t="s">
        <v>42677</v>
      </c>
      <c r="S6194" t="s">
        <v>42830</v>
      </c>
      <c r="T6194" t="s">
        <v>44385</v>
      </c>
      <c r="U6194" t="s">
        <v>45789</v>
      </c>
      <c r="W6194" t="s">
        <v>40006</v>
      </c>
      <c r="X6194" t="s">
        <v>42678</v>
      </c>
    </row>
    <row r="6195" spans="1:24">
      <c r="A6195">
        <f>HYPERLINK("https://www.philgeps.gov.ph/GEPSNONPILOT/Tender/SplashBidNoticeAbstractUI.aspx?menuIndex=3&amp;refID=7185122&amp;Result=3","7185122")</f>
        <v>0</v>
      </c>
      <c r="B6195" t="s">
        <v>1718</v>
      </c>
      <c r="C6195" t="s">
        <v>3982</v>
      </c>
      <c r="D6195" t="s">
        <v>17184</v>
      </c>
      <c r="E6195" t="s">
        <v>22598</v>
      </c>
      <c r="F6195" t="s">
        <v>29372</v>
      </c>
      <c r="G6195" t="s">
        <v>29379</v>
      </c>
      <c r="H6195" t="s">
        <v>11048</v>
      </c>
      <c r="I6195" t="s">
        <v>3839</v>
      </c>
      <c r="J6195" t="s">
        <v>30435</v>
      </c>
      <c r="K6195" t="s">
        <v>38510</v>
      </c>
      <c r="M6195" t="s">
        <v>40581</v>
      </c>
      <c r="N6195" t="s">
        <v>42669</v>
      </c>
      <c r="O6195" t="s">
        <v>42670</v>
      </c>
      <c r="P6195">
        <v>0</v>
      </c>
      <c r="Q6195">
        <v>2</v>
      </c>
      <c r="R6195" t="s">
        <v>42677</v>
      </c>
      <c r="S6195" t="s">
        <v>42830</v>
      </c>
      <c r="T6195" t="s">
        <v>44491</v>
      </c>
      <c r="U6195" t="s">
        <v>49897</v>
      </c>
      <c r="W6195" t="s">
        <v>40581</v>
      </c>
      <c r="X6195" t="s">
        <v>42678</v>
      </c>
    </row>
    <row r="6196" spans="1:24">
      <c r="A6196">
        <f>HYPERLINK("https://www.philgeps.gov.ph/GEPSNONPILOT/Tender/SplashBidNoticeAbstractUI.aspx?menuIndex=3&amp;refID=7185132&amp;Result=3","7185132")</f>
        <v>0</v>
      </c>
      <c r="B6196" t="s">
        <v>1919</v>
      </c>
      <c r="C6196" t="s">
        <v>9450</v>
      </c>
      <c r="D6196" t="s">
        <v>17194</v>
      </c>
      <c r="E6196" t="s">
        <v>22599</v>
      </c>
      <c r="F6196" t="s">
        <v>29372</v>
      </c>
      <c r="G6196" t="s">
        <v>29380</v>
      </c>
      <c r="H6196" t="s">
        <v>11048</v>
      </c>
      <c r="I6196" t="s">
        <v>4709</v>
      </c>
      <c r="J6196" t="s">
        <v>33527</v>
      </c>
      <c r="K6196" t="s">
        <v>38485</v>
      </c>
      <c r="M6196" t="s">
        <v>40794</v>
      </c>
      <c r="N6196" t="s">
        <v>42669</v>
      </c>
      <c r="O6196" t="s">
        <v>42670</v>
      </c>
      <c r="P6196">
        <v>0</v>
      </c>
      <c r="Q6196">
        <v>0</v>
      </c>
      <c r="R6196" t="s">
        <v>42677</v>
      </c>
      <c r="S6196" t="s">
        <v>42830</v>
      </c>
      <c r="T6196" t="s">
        <v>44387</v>
      </c>
      <c r="U6196" t="s">
        <v>49835</v>
      </c>
      <c r="V6196" t="s">
        <v>56972</v>
      </c>
      <c r="W6196" t="s">
        <v>40794</v>
      </c>
      <c r="X6196" t="s">
        <v>42678</v>
      </c>
    </row>
    <row r="6197" spans="1:24">
      <c r="A6197">
        <f>HYPERLINK("https://www.philgeps.gov.ph/GEPSNONPILOT/Tender/SplashBidNoticeAbstractUI.aspx?menuIndex=3&amp;refID=7185126&amp;Result=3","7185126")</f>
        <v>0</v>
      </c>
      <c r="B6197" t="s">
        <v>1472</v>
      </c>
      <c r="C6197" t="s">
        <v>3816</v>
      </c>
      <c r="D6197" t="s">
        <v>17170</v>
      </c>
      <c r="E6197" t="s">
        <v>22600</v>
      </c>
      <c r="F6197" t="s">
        <v>29372</v>
      </c>
      <c r="G6197" t="s">
        <v>29382</v>
      </c>
      <c r="H6197" t="s">
        <v>11048</v>
      </c>
      <c r="I6197" t="s">
        <v>5383</v>
      </c>
      <c r="J6197" t="s">
        <v>32918</v>
      </c>
      <c r="K6197" t="s">
        <v>38491</v>
      </c>
      <c r="M6197" t="s">
        <v>40315</v>
      </c>
      <c r="N6197" t="s">
        <v>42669</v>
      </c>
      <c r="O6197" t="s">
        <v>42670</v>
      </c>
      <c r="P6197">
        <v>0</v>
      </c>
      <c r="Q6197">
        <v>4</v>
      </c>
      <c r="R6197" t="s">
        <v>42677</v>
      </c>
      <c r="S6197" t="s">
        <v>42830</v>
      </c>
      <c r="T6197" t="s">
        <v>44432</v>
      </c>
      <c r="U6197" t="s">
        <v>49898</v>
      </c>
      <c r="W6197" t="s">
        <v>40315</v>
      </c>
      <c r="X6197" t="s">
        <v>42678</v>
      </c>
    </row>
    <row r="6198" spans="1:24">
      <c r="A6198">
        <f>HYPERLINK("https://www.philgeps.gov.ph/GEPSNONPILOT/Tender/SplashBidNoticeAbstractUI.aspx?menuIndex=3&amp;refID=7185120&amp;Result=3","7185120")</f>
        <v>0</v>
      </c>
      <c r="B6198" t="s">
        <v>1919</v>
      </c>
      <c r="C6198" t="s">
        <v>9451</v>
      </c>
      <c r="D6198" t="s">
        <v>17194</v>
      </c>
      <c r="E6198" t="s">
        <v>22601</v>
      </c>
      <c r="F6198" t="s">
        <v>29372</v>
      </c>
      <c r="G6198" t="s">
        <v>29380</v>
      </c>
      <c r="H6198" t="s">
        <v>11048</v>
      </c>
      <c r="I6198" t="s">
        <v>3952</v>
      </c>
      <c r="J6198" t="s">
        <v>33528</v>
      </c>
      <c r="K6198" t="s">
        <v>38485</v>
      </c>
      <c r="M6198" t="s">
        <v>40794</v>
      </c>
      <c r="N6198" t="s">
        <v>42669</v>
      </c>
      <c r="O6198" t="s">
        <v>42670</v>
      </c>
      <c r="P6198">
        <v>0</v>
      </c>
      <c r="Q6198">
        <v>0</v>
      </c>
      <c r="R6198" t="s">
        <v>42677</v>
      </c>
      <c r="S6198" t="s">
        <v>42830</v>
      </c>
      <c r="T6198" t="s">
        <v>44387</v>
      </c>
      <c r="U6198" t="s">
        <v>49835</v>
      </c>
      <c r="V6198" t="s">
        <v>56972</v>
      </c>
      <c r="W6198" t="s">
        <v>40794</v>
      </c>
      <c r="X6198" t="s">
        <v>42678</v>
      </c>
    </row>
    <row r="6199" spans="1:24">
      <c r="A6199">
        <f>HYPERLINK("https://www.philgeps.gov.ph/GEPSNONPILOT/Tender/SplashBidNoticeAbstractUI.aspx?menuIndex=3&amp;refID=7185111&amp;Result=3","7185111")</f>
        <v>0</v>
      </c>
      <c r="B6199" t="s">
        <v>90</v>
      </c>
      <c r="C6199" t="s">
        <v>9452</v>
      </c>
      <c r="D6199" t="s">
        <v>17175</v>
      </c>
      <c r="E6199" t="s">
        <v>22602</v>
      </c>
      <c r="F6199" t="s">
        <v>29372</v>
      </c>
      <c r="G6199" t="s">
        <v>29380</v>
      </c>
      <c r="H6199" t="s">
        <v>11048</v>
      </c>
      <c r="I6199" t="s">
        <v>3839</v>
      </c>
      <c r="J6199" t="s">
        <v>29694</v>
      </c>
      <c r="K6199" t="s">
        <v>38485</v>
      </c>
      <c r="M6199" t="s">
        <v>38844</v>
      </c>
      <c r="N6199" t="s">
        <v>42669</v>
      </c>
      <c r="O6199" t="s">
        <v>42670</v>
      </c>
      <c r="P6199">
        <v>0</v>
      </c>
      <c r="Q6199">
        <v>2</v>
      </c>
      <c r="R6199" t="s">
        <v>42677</v>
      </c>
      <c r="S6199" t="s">
        <v>42830</v>
      </c>
      <c r="T6199" t="s">
        <v>44427</v>
      </c>
      <c r="U6199" t="s">
        <v>45000</v>
      </c>
      <c r="V6199" t="s">
        <v>56347</v>
      </c>
      <c r="W6199" t="s">
        <v>38844</v>
      </c>
      <c r="X6199" t="s">
        <v>42678</v>
      </c>
    </row>
    <row r="6200" spans="1:24">
      <c r="A6200">
        <f>HYPERLINK("https://www.philgeps.gov.ph/GEPSNONPILOT/Tender/SplashBidNoticeAbstractUI.aspx?menuIndex=3&amp;refID=7185088&amp;Result=3","7185088")</f>
        <v>0</v>
      </c>
      <c r="B6200" t="s">
        <v>2112</v>
      </c>
      <c r="C6200" t="s">
        <v>9453</v>
      </c>
      <c r="D6200" t="s">
        <v>17177</v>
      </c>
      <c r="E6200" t="s">
        <v>22603</v>
      </c>
      <c r="F6200" t="s">
        <v>29372</v>
      </c>
      <c r="G6200" t="s">
        <v>29380</v>
      </c>
      <c r="H6200" t="s">
        <v>29389</v>
      </c>
      <c r="I6200" t="s">
        <v>10408</v>
      </c>
      <c r="J6200" t="s">
        <v>31309</v>
      </c>
      <c r="K6200" t="s">
        <v>38496</v>
      </c>
      <c r="M6200" t="s">
        <v>41015</v>
      </c>
      <c r="N6200" t="s">
        <v>42669</v>
      </c>
      <c r="O6200" t="s">
        <v>42670</v>
      </c>
      <c r="P6200">
        <v>0</v>
      </c>
      <c r="Q6200">
        <v>0</v>
      </c>
      <c r="R6200" t="s">
        <v>42677</v>
      </c>
      <c r="S6200" t="s">
        <v>42830</v>
      </c>
      <c r="T6200" t="s">
        <v>44439</v>
      </c>
      <c r="U6200" t="s">
        <v>49899</v>
      </c>
      <c r="W6200" t="s">
        <v>41015</v>
      </c>
      <c r="X6200" t="s">
        <v>42678</v>
      </c>
    </row>
    <row r="6201" spans="1:24">
      <c r="A6201">
        <f>HYPERLINK("https://www.philgeps.gov.ph/GEPSNONPILOT/Tender/SplashBidNoticeAbstractUI.aspx?menuIndex=3&amp;refID=7185147&amp;Result=3","7185147")</f>
        <v>0</v>
      </c>
      <c r="B6201" t="s">
        <v>1712</v>
      </c>
      <c r="C6201" t="s">
        <v>9454</v>
      </c>
      <c r="D6201" t="s">
        <v>17177</v>
      </c>
      <c r="E6201" t="s">
        <v>22604</v>
      </c>
      <c r="F6201" t="s">
        <v>29372</v>
      </c>
      <c r="G6201" t="s">
        <v>29380</v>
      </c>
      <c r="H6201" t="s">
        <v>11048</v>
      </c>
      <c r="I6201" t="s">
        <v>4709</v>
      </c>
      <c r="J6201" t="s">
        <v>33529</v>
      </c>
      <c r="K6201" t="s">
        <v>38488</v>
      </c>
      <c r="M6201" t="s">
        <v>40575</v>
      </c>
      <c r="N6201" t="s">
        <v>42669</v>
      </c>
      <c r="O6201" t="s">
        <v>42670</v>
      </c>
      <c r="P6201">
        <v>0</v>
      </c>
      <c r="Q6201">
        <v>0</v>
      </c>
      <c r="R6201" t="s">
        <v>42677</v>
      </c>
      <c r="S6201" t="s">
        <v>42830</v>
      </c>
      <c r="T6201" t="s">
        <v>44450</v>
      </c>
      <c r="U6201" t="s">
        <v>49900</v>
      </c>
      <c r="W6201" t="s">
        <v>40575</v>
      </c>
      <c r="X6201" t="s">
        <v>42678</v>
      </c>
    </row>
    <row r="6202" spans="1:24">
      <c r="A6202">
        <f>HYPERLINK("https://www.philgeps.gov.ph/GEPSNONPILOT/Tender/SplashBidNoticeAbstractUI.aspx?menuIndex=3&amp;refID=7185143&amp;Result=3","7185143")</f>
        <v>0</v>
      </c>
      <c r="B6202" t="s">
        <v>2047</v>
      </c>
      <c r="C6202" t="s">
        <v>9455</v>
      </c>
      <c r="D6202" t="s">
        <v>17189</v>
      </c>
      <c r="E6202" t="s">
        <v>22605</v>
      </c>
      <c r="F6202" t="s">
        <v>29372</v>
      </c>
      <c r="G6202" t="s">
        <v>29379</v>
      </c>
      <c r="H6202" t="s">
        <v>11048</v>
      </c>
      <c r="I6202" t="s">
        <v>8614</v>
      </c>
      <c r="J6202" t="s">
        <v>32144</v>
      </c>
      <c r="K6202" t="s">
        <v>38491</v>
      </c>
      <c r="M6202" t="s">
        <v>40945</v>
      </c>
      <c r="N6202" t="s">
        <v>42669</v>
      </c>
      <c r="O6202" t="s">
        <v>42670</v>
      </c>
      <c r="P6202">
        <v>0</v>
      </c>
      <c r="Q6202">
        <v>2</v>
      </c>
      <c r="R6202" t="s">
        <v>42677</v>
      </c>
      <c r="S6202" t="s">
        <v>42830</v>
      </c>
      <c r="T6202" t="s">
        <v>44488</v>
      </c>
      <c r="U6202" t="s">
        <v>49701</v>
      </c>
      <c r="W6202" t="s">
        <v>40945</v>
      </c>
      <c r="X6202" t="s">
        <v>42678</v>
      </c>
    </row>
    <row r="6203" spans="1:24">
      <c r="A6203">
        <f>HYPERLINK("https://www.philgeps.gov.ph/GEPSNONPILOT/Tender/SplashBidNoticeAbstractUI.aspx?menuIndex=3&amp;refID=7185092&amp;Result=3","7185092")</f>
        <v>0</v>
      </c>
      <c r="B6203" t="s">
        <v>2113</v>
      </c>
      <c r="C6203" t="s">
        <v>9456</v>
      </c>
      <c r="D6203" t="s">
        <v>17161</v>
      </c>
      <c r="E6203" t="s">
        <v>17970</v>
      </c>
      <c r="F6203" t="s">
        <v>29372</v>
      </c>
      <c r="G6203" t="s">
        <v>29379</v>
      </c>
      <c r="H6203" t="s">
        <v>11048</v>
      </c>
      <c r="I6203" t="s">
        <v>3839</v>
      </c>
      <c r="J6203" t="s">
        <v>33530</v>
      </c>
      <c r="K6203" t="s">
        <v>38490</v>
      </c>
      <c r="M6203" t="s">
        <v>41016</v>
      </c>
      <c r="N6203" t="s">
        <v>42669</v>
      </c>
      <c r="O6203" t="s">
        <v>42670</v>
      </c>
      <c r="P6203">
        <v>0</v>
      </c>
      <c r="Q6203">
        <v>1</v>
      </c>
      <c r="R6203" t="s">
        <v>42677</v>
      </c>
      <c r="S6203" t="s">
        <v>42830</v>
      </c>
      <c r="T6203" t="s">
        <v>44401</v>
      </c>
      <c r="U6203" t="s">
        <v>49901</v>
      </c>
      <c r="W6203" t="s">
        <v>41016</v>
      </c>
      <c r="X6203" t="s">
        <v>42678</v>
      </c>
    </row>
    <row r="6204" spans="1:24">
      <c r="A6204">
        <f>HYPERLINK("https://www.philgeps.gov.ph/GEPSNONPILOT/Tender/SplashBidNoticeAbstractUI.aspx?menuIndex=3&amp;refID=7185117&amp;Result=3","7185117")</f>
        <v>0</v>
      </c>
      <c r="B6204" t="s">
        <v>2114</v>
      </c>
      <c r="C6204" t="s">
        <v>9457</v>
      </c>
      <c r="D6204" t="s">
        <v>17153</v>
      </c>
      <c r="E6204" t="s">
        <v>22606</v>
      </c>
      <c r="F6204" t="s">
        <v>29372</v>
      </c>
      <c r="G6204" t="s">
        <v>29380</v>
      </c>
      <c r="H6204" t="s">
        <v>29389</v>
      </c>
      <c r="I6204" t="s">
        <v>10408</v>
      </c>
      <c r="J6204" t="s">
        <v>29980</v>
      </c>
      <c r="K6204" t="s">
        <v>38485</v>
      </c>
      <c r="M6204" t="s">
        <v>41017</v>
      </c>
      <c r="N6204" t="s">
        <v>42669</v>
      </c>
      <c r="O6204" t="s">
        <v>42670</v>
      </c>
      <c r="P6204">
        <v>0</v>
      </c>
      <c r="Q6204">
        <v>0</v>
      </c>
      <c r="R6204" t="s">
        <v>42677</v>
      </c>
      <c r="S6204" t="s">
        <v>42830</v>
      </c>
      <c r="T6204" t="s">
        <v>44481</v>
      </c>
      <c r="U6204" t="s">
        <v>49902</v>
      </c>
      <c r="W6204" t="s">
        <v>41017</v>
      </c>
      <c r="X6204" t="s">
        <v>42678</v>
      </c>
    </row>
    <row r="6205" spans="1:24">
      <c r="A6205">
        <f>HYPERLINK("https://www.philgeps.gov.ph/GEPSNONPILOT/Tender/SplashBidNoticeAbstractUI.aspx?menuIndex=3&amp;refID=7185146&amp;Result=3","7185146")</f>
        <v>0</v>
      </c>
      <c r="B6205" t="s">
        <v>90</v>
      </c>
      <c r="C6205" t="s">
        <v>9458</v>
      </c>
      <c r="D6205" t="s">
        <v>17175</v>
      </c>
      <c r="E6205" t="s">
        <v>22607</v>
      </c>
      <c r="F6205" t="s">
        <v>29372</v>
      </c>
      <c r="G6205" t="s">
        <v>29380</v>
      </c>
      <c r="H6205" t="s">
        <v>11048</v>
      </c>
      <c r="I6205" t="s">
        <v>4709</v>
      </c>
      <c r="J6205" t="s">
        <v>33531</v>
      </c>
      <c r="K6205" t="s">
        <v>38510</v>
      </c>
      <c r="M6205" t="s">
        <v>38844</v>
      </c>
      <c r="N6205" t="s">
        <v>42669</v>
      </c>
      <c r="O6205" t="s">
        <v>42670</v>
      </c>
      <c r="P6205">
        <v>0</v>
      </c>
      <c r="Q6205">
        <v>1</v>
      </c>
      <c r="R6205" t="s">
        <v>42677</v>
      </c>
      <c r="S6205" t="s">
        <v>42830</v>
      </c>
      <c r="T6205" t="s">
        <v>44427</v>
      </c>
      <c r="U6205" t="s">
        <v>45000</v>
      </c>
      <c r="V6205" t="s">
        <v>56347</v>
      </c>
      <c r="W6205" t="s">
        <v>38844</v>
      </c>
      <c r="X6205" t="s">
        <v>42678</v>
      </c>
    </row>
    <row r="6206" spans="1:24">
      <c r="A6206">
        <f>HYPERLINK("https://www.philgeps.gov.ph/GEPSNONPILOT/Tender/SplashBidNoticeAbstractUI.aspx?menuIndex=3&amp;refID=7185114&amp;Result=3","7185114")</f>
        <v>0</v>
      </c>
      <c r="B6206" t="s">
        <v>2115</v>
      </c>
      <c r="C6206" t="s">
        <v>9459</v>
      </c>
      <c r="E6206" t="s">
        <v>22608</v>
      </c>
      <c r="F6206" t="s">
        <v>29372</v>
      </c>
      <c r="G6206" t="s">
        <v>29379</v>
      </c>
      <c r="H6206" t="s">
        <v>11048</v>
      </c>
      <c r="I6206" t="s">
        <v>4486</v>
      </c>
      <c r="J6206" t="s">
        <v>33532</v>
      </c>
      <c r="K6206" t="s">
        <v>38490</v>
      </c>
      <c r="M6206" t="s">
        <v>41018</v>
      </c>
      <c r="N6206" t="s">
        <v>42669</v>
      </c>
      <c r="O6206" t="s">
        <v>42670</v>
      </c>
      <c r="P6206">
        <v>0</v>
      </c>
      <c r="Q6206">
        <v>9</v>
      </c>
      <c r="R6206" t="s">
        <v>42677</v>
      </c>
      <c r="S6206" t="s">
        <v>42830</v>
      </c>
      <c r="T6206" t="s">
        <v>44469</v>
      </c>
      <c r="U6206" t="s">
        <v>49903</v>
      </c>
      <c r="W6206" t="s">
        <v>41018</v>
      </c>
      <c r="X6206" t="s">
        <v>42678</v>
      </c>
    </row>
    <row r="6207" spans="1:24">
      <c r="A6207">
        <f>HYPERLINK("https://www.philgeps.gov.ph/GEPSNONPILOT/Tender/SplashBidNoticeAbstractUI.aspx?menuIndex=3&amp;refID=7185118&amp;Result=3","7185118")</f>
        <v>0</v>
      </c>
      <c r="B6207" t="s">
        <v>2116</v>
      </c>
      <c r="C6207" t="s">
        <v>9460</v>
      </c>
      <c r="E6207" t="s">
        <v>22609</v>
      </c>
      <c r="F6207" t="s">
        <v>29372</v>
      </c>
      <c r="G6207" t="s">
        <v>29383</v>
      </c>
      <c r="H6207" t="s">
        <v>11048</v>
      </c>
      <c r="I6207" t="s">
        <v>29409</v>
      </c>
      <c r="J6207" t="s">
        <v>30674</v>
      </c>
      <c r="K6207" t="s">
        <v>38490</v>
      </c>
      <c r="M6207" t="s">
        <v>41019</v>
      </c>
      <c r="N6207" t="s">
        <v>42669</v>
      </c>
      <c r="O6207" t="s">
        <v>42670</v>
      </c>
      <c r="P6207">
        <v>0</v>
      </c>
      <c r="Q6207">
        <v>5</v>
      </c>
      <c r="R6207" t="s">
        <v>42677</v>
      </c>
      <c r="S6207" t="s">
        <v>42830</v>
      </c>
      <c r="T6207" t="s">
        <v>44469</v>
      </c>
      <c r="U6207" t="s">
        <v>49904</v>
      </c>
      <c r="V6207" t="s">
        <v>57040</v>
      </c>
      <c r="W6207" t="s">
        <v>41019</v>
      </c>
      <c r="X6207" t="s">
        <v>42678</v>
      </c>
    </row>
    <row r="6208" spans="1:24">
      <c r="A6208">
        <f>HYPERLINK("https://www.philgeps.gov.ph/GEPSNONPILOT/Tender/SplashBidNoticeAbstractUI.aspx?menuIndex=3&amp;refID=7185113&amp;Result=3","7185113")</f>
        <v>0</v>
      </c>
      <c r="B6208" t="s">
        <v>120</v>
      </c>
      <c r="C6208" t="s">
        <v>9461</v>
      </c>
      <c r="E6208" t="s">
        <v>22610</v>
      </c>
      <c r="F6208" t="s">
        <v>29372</v>
      </c>
      <c r="G6208" t="s">
        <v>29380</v>
      </c>
      <c r="H6208" t="s">
        <v>29389</v>
      </c>
      <c r="I6208" t="s">
        <v>10408</v>
      </c>
      <c r="J6208" t="s">
        <v>29625</v>
      </c>
      <c r="K6208" t="s">
        <v>38488</v>
      </c>
      <c r="M6208" t="s">
        <v>38875</v>
      </c>
      <c r="N6208" t="s">
        <v>42669</v>
      </c>
      <c r="O6208" t="s">
        <v>42670</v>
      </c>
      <c r="P6208">
        <v>0</v>
      </c>
      <c r="Q6208">
        <v>0</v>
      </c>
      <c r="R6208" t="s">
        <v>42677</v>
      </c>
      <c r="S6208" t="s">
        <v>42830</v>
      </c>
      <c r="T6208" t="s">
        <v>44418</v>
      </c>
      <c r="U6208" t="s">
        <v>49905</v>
      </c>
      <c r="W6208" t="s">
        <v>38875</v>
      </c>
      <c r="X6208" t="s">
        <v>42678</v>
      </c>
    </row>
    <row r="6209" spans="1:24">
      <c r="A6209">
        <f>HYPERLINK("https://www.philgeps.gov.ph/GEPSNONPILOT/Tender/SplashBidNoticeAbstractUI.aspx?menuIndex=3&amp;refID=7185080&amp;Result=3","7185080")</f>
        <v>0</v>
      </c>
      <c r="B6209" t="s">
        <v>2101</v>
      </c>
      <c r="C6209" t="s">
        <v>9462</v>
      </c>
      <c r="D6209" t="s">
        <v>17216</v>
      </c>
      <c r="E6209" t="s">
        <v>22611</v>
      </c>
      <c r="F6209" t="s">
        <v>29372</v>
      </c>
      <c r="G6209" t="s">
        <v>29380</v>
      </c>
      <c r="H6209" t="s">
        <v>29389</v>
      </c>
      <c r="I6209" t="s">
        <v>10408</v>
      </c>
      <c r="J6209" t="s">
        <v>33533</v>
      </c>
      <c r="K6209" t="s">
        <v>38663</v>
      </c>
      <c r="M6209" t="s">
        <v>41020</v>
      </c>
      <c r="N6209" t="s">
        <v>42669</v>
      </c>
      <c r="O6209" t="s">
        <v>42670</v>
      </c>
      <c r="P6209">
        <v>0</v>
      </c>
      <c r="Q6209">
        <v>0</v>
      </c>
      <c r="R6209" t="s">
        <v>42677</v>
      </c>
      <c r="S6209" t="s">
        <v>42830</v>
      </c>
      <c r="T6209" t="s">
        <v>44450</v>
      </c>
      <c r="U6209" t="s">
        <v>49906</v>
      </c>
      <c r="V6209" t="s">
        <v>57041</v>
      </c>
      <c r="W6209" t="s">
        <v>41020</v>
      </c>
      <c r="X6209" t="s">
        <v>42678</v>
      </c>
    </row>
    <row r="6210" spans="1:24">
      <c r="A6210">
        <f>HYPERLINK("https://www.philgeps.gov.ph/GEPSNONPILOT/Tender/SplashBidNoticeAbstractUI.aspx?menuIndex=3&amp;refID=7185154&amp;Result=3","7185154")</f>
        <v>0</v>
      </c>
      <c r="B6210" t="s">
        <v>1751</v>
      </c>
      <c r="C6210" t="s">
        <v>9463</v>
      </c>
      <c r="D6210" t="s">
        <v>17165</v>
      </c>
      <c r="E6210" t="s">
        <v>22612</v>
      </c>
      <c r="F6210" t="s">
        <v>29372</v>
      </c>
      <c r="G6210" t="s">
        <v>29380</v>
      </c>
      <c r="H6210" t="s">
        <v>11048</v>
      </c>
      <c r="I6210" t="s">
        <v>3952</v>
      </c>
      <c r="J6210" t="s">
        <v>33534</v>
      </c>
      <c r="K6210" t="s">
        <v>38488</v>
      </c>
      <c r="M6210" t="s">
        <v>40616</v>
      </c>
      <c r="N6210" t="s">
        <v>42669</v>
      </c>
      <c r="O6210" t="s">
        <v>42670</v>
      </c>
      <c r="P6210">
        <v>0</v>
      </c>
      <c r="Q6210">
        <v>0</v>
      </c>
      <c r="R6210" t="s">
        <v>42677</v>
      </c>
      <c r="S6210" t="s">
        <v>42830</v>
      </c>
      <c r="T6210" t="s">
        <v>44525</v>
      </c>
      <c r="U6210" t="s">
        <v>49907</v>
      </c>
      <c r="W6210" t="s">
        <v>40616</v>
      </c>
      <c r="X6210" t="s">
        <v>42678</v>
      </c>
    </row>
    <row r="6211" spans="1:24">
      <c r="A6211">
        <f>HYPERLINK("https://www.philgeps.gov.ph/GEPSNONPILOT/Tender/SplashBidNoticeAbstractUI.aspx?menuIndex=3&amp;refID=7185153&amp;Result=3","7185153")</f>
        <v>0</v>
      </c>
      <c r="B6211" t="s">
        <v>2117</v>
      </c>
      <c r="C6211" t="s">
        <v>9464</v>
      </c>
      <c r="D6211" t="s">
        <v>17202</v>
      </c>
      <c r="E6211" t="s">
        <v>22613</v>
      </c>
      <c r="F6211" t="s">
        <v>29372</v>
      </c>
      <c r="G6211" t="s">
        <v>29380</v>
      </c>
      <c r="H6211" t="s">
        <v>29389</v>
      </c>
      <c r="I6211" t="s">
        <v>4709</v>
      </c>
      <c r="J6211" t="s">
        <v>29590</v>
      </c>
      <c r="K6211" t="s">
        <v>38487</v>
      </c>
      <c r="M6211" t="s">
        <v>41021</v>
      </c>
      <c r="N6211" t="s">
        <v>42669</v>
      </c>
      <c r="O6211" t="s">
        <v>42670</v>
      </c>
      <c r="P6211">
        <v>0</v>
      </c>
      <c r="Q6211">
        <v>0</v>
      </c>
      <c r="R6211" t="s">
        <v>42677</v>
      </c>
      <c r="S6211" t="s">
        <v>42830</v>
      </c>
      <c r="T6211" t="s">
        <v>44448</v>
      </c>
      <c r="U6211" t="s">
        <v>49908</v>
      </c>
      <c r="V6211" t="s">
        <v>57042</v>
      </c>
      <c r="W6211" t="s">
        <v>41021</v>
      </c>
      <c r="X6211" t="s">
        <v>42678</v>
      </c>
    </row>
    <row r="6212" spans="1:24">
      <c r="A6212">
        <f>HYPERLINK("https://www.philgeps.gov.ph/GEPSNONPILOT/Tender/SplashBidNoticeAbstractUI.aspx?menuIndex=3&amp;refID=7185149&amp;Result=3","7185149")</f>
        <v>0</v>
      </c>
      <c r="B6212" t="s">
        <v>1919</v>
      </c>
      <c r="C6212" t="s">
        <v>9465</v>
      </c>
      <c r="D6212" t="s">
        <v>17194</v>
      </c>
      <c r="E6212" t="s">
        <v>22614</v>
      </c>
      <c r="F6212" t="s">
        <v>29372</v>
      </c>
      <c r="G6212" t="s">
        <v>29380</v>
      </c>
      <c r="H6212" t="s">
        <v>11048</v>
      </c>
      <c r="I6212" t="s">
        <v>4709</v>
      </c>
      <c r="J6212" t="s">
        <v>33535</v>
      </c>
      <c r="K6212" t="s">
        <v>38485</v>
      </c>
      <c r="M6212" t="s">
        <v>40794</v>
      </c>
      <c r="N6212" t="s">
        <v>42669</v>
      </c>
      <c r="O6212" t="s">
        <v>42670</v>
      </c>
      <c r="P6212">
        <v>0</v>
      </c>
      <c r="Q6212">
        <v>0</v>
      </c>
      <c r="R6212" t="s">
        <v>42677</v>
      </c>
      <c r="S6212" t="s">
        <v>42830</v>
      </c>
      <c r="T6212" t="s">
        <v>44387</v>
      </c>
      <c r="U6212" t="s">
        <v>49835</v>
      </c>
      <c r="V6212" t="s">
        <v>56972</v>
      </c>
      <c r="W6212" t="s">
        <v>40794</v>
      </c>
      <c r="X6212" t="s">
        <v>42678</v>
      </c>
    </row>
    <row r="6213" spans="1:24">
      <c r="A6213">
        <f>HYPERLINK("https://www.philgeps.gov.ph/GEPSNONPILOT/Tender/SplashBidNoticeAbstractUI.aspx?menuIndex=3&amp;refID=7185200&amp;Result=3","7185200")</f>
        <v>0</v>
      </c>
      <c r="B6213" t="s">
        <v>2047</v>
      </c>
      <c r="C6213" t="s">
        <v>9466</v>
      </c>
      <c r="D6213" t="s">
        <v>17189</v>
      </c>
      <c r="E6213" t="s">
        <v>22615</v>
      </c>
      <c r="F6213" t="s">
        <v>29372</v>
      </c>
      <c r="G6213" t="s">
        <v>29379</v>
      </c>
      <c r="H6213" t="s">
        <v>11048</v>
      </c>
      <c r="I6213" t="s">
        <v>8614</v>
      </c>
      <c r="J6213" t="s">
        <v>29680</v>
      </c>
      <c r="K6213" t="s">
        <v>38491</v>
      </c>
      <c r="M6213" t="s">
        <v>40945</v>
      </c>
      <c r="N6213" t="s">
        <v>42669</v>
      </c>
      <c r="O6213" t="s">
        <v>42670</v>
      </c>
      <c r="P6213">
        <v>0</v>
      </c>
      <c r="Q6213">
        <v>2</v>
      </c>
      <c r="R6213" t="s">
        <v>42677</v>
      </c>
      <c r="S6213" t="s">
        <v>42830</v>
      </c>
      <c r="T6213" t="s">
        <v>44488</v>
      </c>
      <c r="U6213" t="s">
        <v>49701</v>
      </c>
      <c r="W6213" t="s">
        <v>40945</v>
      </c>
      <c r="X6213" t="s">
        <v>42678</v>
      </c>
    </row>
    <row r="6214" spans="1:24">
      <c r="A6214">
        <f>HYPERLINK("https://www.philgeps.gov.ph/GEPSNONPILOT/Tender/SplashBidNoticeAbstractUI.aspx?menuIndex=3&amp;refID=7185116&amp;Result=3","7185116")</f>
        <v>0</v>
      </c>
      <c r="B6214" t="s">
        <v>2118</v>
      </c>
      <c r="C6214" t="s">
        <v>9467</v>
      </c>
      <c r="D6214" t="s">
        <v>17211</v>
      </c>
      <c r="E6214" t="s">
        <v>22616</v>
      </c>
      <c r="F6214" t="s">
        <v>29372</v>
      </c>
      <c r="G6214" t="s">
        <v>29380</v>
      </c>
      <c r="H6214" t="s">
        <v>29390</v>
      </c>
      <c r="I6214" t="s">
        <v>29407</v>
      </c>
      <c r="J6214" t="s">
        <v>33536</v>
      </c>
      <c r="K6214" t="s">
        <v>38485</v>
      </c>
      <c r="M6214" t="s">
        <v>41022</v>
      </c>
      <c r="N6214" t="s">
        <v>42669</v>
      </c>
      <c r="O6214" t="s">
        <v>42670</v>
      </c>
      <c r="P6214">
        <v>0</v>
      </c>
      <c r="Q6214">
        <v>8</v>
      </c>
      <c r="R6214" t="s">
        <v>42677</v>
      </c>
      <c r="S6214" t="s">
        <v>42830</v>
      </c>
      <c r="T6214" t="s">
        <v>44398</v>
      </c>
      <c r="U6214" t="s">
        <v>49909</v>
      </c>
      <c r="W6214" t="s">
        <v>41022</v>
      </c>
      <c r="X6214" t="s">
        <v>42678</v>
      </c>
    </row>
    <row r="6215" spans="1:24">
      <c r="A6215">
        <f>HYPERLINK("https://www.philgeps.gov.ph/GEPSNONPILOT/Tender/SplashBidNoticeAbstractUI.aspx?menuIndex=3&amp;refID=7185091&amp;Result=3","7185091")</f>
        <v>0</v>
      </c>
      <c r="B6215" t="s">
        <v>2119</v>
      </c>
      <c r="C6215" t="s">
        <v>9468</v>
      </c>
      <c r="D6215" t="s">
        <v>17146</v>
      </c>
      <c r="E6215" t="s">
        <v>22617</v>
      </c>
      <c r="F6215" t="s">
        <v>29372</v>
      </c>
      <c r="G6215" t="s">
        <v>29383</v>
      </c>
      <c r="H6215" t="s">
        <v>11048</v>
      </c>
      <c r="I6215" t="s">
        <v>3670</v>
      </c>
      <c r="J6215" t="s">
        <v>30100</v>
      </c>
      <c r="K6215" t="s">
        <v>38485</v>
      </c>
      <c r="M6215" t="s">
        <v>41023</v>
      </c>
      <c r="N6215" t="s">
        <v>42669</v>
      </c>
      <c r="O6215" t="s">
        <v>42670</v>
      </c>
      <c r="P6215">
        <v>0</v>
      </c>
      <c r="Q6215">
        <v>2</v>
      </c>
      <c r="R6215" t="s">
        <v>42677</v>
      </c>
      <c r="S6215" t="s">
        <v>42830</v>
      </c>
      <c r="T6215" t="s">
        <v>44512</v>
      </c>
      <c r="U6215" t="s">
        <v>49910</v>
      </c>
      <c r="W6215" t="s">
        <v>41023</v>
      </c>
      <c r="X6215" t="s">
        <v>42678</v>
      </c>
    </row>
    <row r="6216" spans="1:24">
      <c r="A6216">
        <f>HYPERLINK("https://www.philgeps.gov.ph/GEPSNONPILOT/Tender/SplashBidNoticeAbstractUI.aspx?menuIndex=3&amp;refID=7185142&amp;Result=3","7185142")</f>
        <v>0</v>
      </c>
      <c r="B6216" t="s">
        <v>1718</v>
      </c>
      <c r="C6216" t="s">
        <v>3982</v>
      </c>
      <c r="D6216" t="s">
        <v>17184</v>
      </c>
      <c r="E6216" t="s">
        <v>22618</v>
      </c>
      <c r="F6216" t="s">
        <v>29372</v>
      </c>
      <c r="G6216" t="s">
        <v>29383</v>
      </c>
      <c r="H6216" t="s">
        <v>11048</v>
      </c>
      <c r="I6216" t="s">
        <v>5383</v>
      </c>
      <c r="J6216" t="s">
        <v>33537</v>
      </c>
      <c r="K6216" t="s">
        <v>38510</v>
      </c>
      <c r="M6216" t="s">
        <v>40581</v>
      </c>
      <c r="N6216" t="s">
        <v>42669</v>
      </c>
      <c r="O6216" t="s">
        <v>42670</v>
      </c>
      <c r="P6216">
        <v>0</v>
      </c>
      <c r="Q6216">
        <v>2</v>
      </c>
      <c r="R6216" t="s">
        <v>42677</v>
      </c>
      <c r="S6216" t="s">
        <v>42830</v>
      </c>
      <c r="T6216" t="s">
        <v>44491</v>
      </c>
      <c r="U6216" t="s">
        <v>49911</v>
      </c>
      <c r="W6216" t="s">
        <v>40581</v>
      </c>
      <c r="X6216" t="s">
        <v>42678</v>
      </c>
    </row>
    <row r="6217" spans="1:24">
      <c r="A6217">
        <f>HYPERLINK("https://www.philgeps.gov.ph/GEPSNONPILOT/Tender/SplashBidNoticeAbstractUI.aspx?menuIndex=3&amp;refID=7185185&amp;Result=3","7185185")</f>
        <v>0</v>
      </c>
      <c r="B6217" t="s">
        <v>2120</v>
      </c>
      <c r="C6217" t="s">
        <v>9469</v>
      </c>
      <c r="D6217" t="s">
        <v>17142</v>
      </c>
      <c r="E6217" t="s">
        <v>19078</v>
      </c>
      <c r="F6217" t="s">
        <v>29372</v>
      </c>
      <c r="G6217" t="s">
        <v>29380</v>
      </c>
      <c r="H6217" t="s">
        <v>11048</v>
      </c>
      <c r="I6217" t="s">
        <v>9469</v>
      </c>
      <c r="J6217" t="s">
        <v>30886</v>
      </c>
      <c r="K6217" t="s">
        <v>38528</v>
      </c>
      <c r="M6217" t="s">
        <v>41024</v>
      </c>
      <c r="N6217" t="s">
        <v>42669</v>
      </c>
      <c r="O6217" t="s">
        <v>42670</v>
      </c>
      <c r="P6217">
        <v>0</v>
      </c>
      <c r="Q6217">
        <v>0</v>
      </c>
      <c r="R6217" t="s">
        <v>42677</v>
      </c>
      <c r="S6217" t="s">
        <v>42830</v>
      </c>
      <c r="T6217" t="s">
        <v>44429</v>
      </c>
      <c r="U6217" t="s">
        <v>49912</v>
      </c>
      <c r="W6217" t="s">
        <v>41024</v>
      </c>
      <c r="X6217" t="s">
        <v>42678</v>
      </c>
    </row>
    <row r="6218" spans="1:24">
      <c r="A6218">
        <f>HYPERLINK("https://www.philgeps.gov.ph/GEPSNONPILOT/Tender/SplashBidNoticeAbstractUI.aspx?menuIndex=3&amp;refID=7185187&amp;Result=3","7185187")</f>
        <v>0</v>
      </c>
      <c r="B6218" t="s">
        <v>90</v>
      </c>
      <c r="C6218" t="s">
        <v>9470</v>
      </c>
      <c r="D6218" t="s">
        <v>17175</v>
      </c>
      <c r="E6218" t="s">
        <v>22619</v>
      </c>
      <c r="F6218" t="s">
        <v>29372</v>
      </c>
      <c r="G6218" t="s">
        <v>29380</v>
      </c>
      <c r="H6218" t="s">
        <v>11048</v>
      </c>
      <c r="I6218" t="s">
        <v>29393</v>
      </c>
      <c r="J6218" t="s">
        <v>33538</v>
      </c>
      <c r="K6218" t="s">
        <v>38488</v>
      </c>
      <c r="M6218" t="s">
        <v>38844</v>
      </c>
      <c r="N6218" t="s">
        <v>42669</v>
      </c>
      <c r="O6218" t="s">
        <v>42670</v>
      </c>
      <c r="P6218">
        <v>0</v>
      </c>
      <c r="Q6218">
        <v>0</v>
      </c>
      <c r="R6218" t="s">
        <v>42677</v>
      </c>
      <c r="S6218" t="s">
        <v>42830</v>
      </c>
      <c r="T6218" t="s">
        <v>44427</v>
      </c>
      <c r="U6218" t="s">
        <v>45000</v>
      </c>
      <c r="V6218" t="s">
        <v>56347</v>
      </c>
      <c r="W6218" t="s">
        <v>38844</v>
      </c>
      <c r="X6218" t="s">
        <v>42678</v>
      </c>
    </row>
    <row r="6219" spans="1:24">
      <c r="A6219">
        <f>HYPERLINK("https://www.philgeps.gov.ph/GEPSNONPILOT/Tender/SplashBidNoticeAbstractUI.aspx?menuIndex=3&amp;refID=7185197&amp;Result=3","7185197")</f>
        <v>0</v>
      </c>
      <c r="B6219" t="s">
        <v>1238</v>
      </c>
      <c r="C6219" t="s">
        <v>4065</v>
      </c>
      <c r="D6219" t="s">
        <v>17145</v>
      </c>
      <c r="E6219" t="s">
        <v>22620</v>
      </c>
      <c r="F6219" t="s">
        <v>29372</v>
      </c>
      <c r="G6219" t="s">
        <v>29380</v>
      </c>
      <c r="H6219" t="s">
        <v>11048</v>
      </c>
      <c r="I6219" t="s">
        <v>5383</v>
      </c>
      <c r="J6219" t="s">
        <v>33539</v>
      </c>
      <c r="K6219" t="s">
        <v>38491</v>
      </c>
      <c r="M6219" t="s">
        <v>40060</v>
      </c>
      <c r="N6219" t="s">
        <v>42669</v>
      </c>
      <c r="O6219" t="s">
        <v>42670</v>
      </c>
      <c r="P6219">
        <v>0</v>
      </c>
      <c r="Q6219">
        <v>7</v>
      </c>
      <c r="R6219" t="s">
        <v>42677</v>
      </c>
      <c r="S6219" t="s">
        <v>42830</v>
      </c>
      <c r="T6219" t="s">
        <v>44524</v>
      </c>
      <c r="U6219" t="s">
        <v>49913</v>
      </c>
      <c r="W6219" t="s">
        <v>40060</v>
      </c>
      <c r="X6219" t="s">
        <v>42678</v>
      </c>
    </row>
    <row r="6220" spans="1:24">
      <c r="A6220">
        <f>HYPERLINK("https://www.philgeps.gov.ph/GEPSNONPILOT/Tender/SplashBidNoticeAbstractUI.aspx?menuIndex=3&amp;refID=7185183&amp;Result=3","7185183")</f>
        <v>0</v>
      </c>
      <c r="B6220" t="s">
        <v>2101</v>
      </c>
      <c r="C6220" t="s">
        <v>9471</v>
      </c>
      <c r="D6220" t="s">
        <v>17216</v>
      </c>
      <c r="E6220" t="s">
        <v>22621</v>
      </c>
      <c r="F6220" t="s">
        <v>29372</v>
      </c>
      <c r="G6220" t="s">
        <v>29380</v>
      </c>
      <c r="H6220" t="s">
        <v>29389</v>
      </c>
      <c r="I6220" t="s">
        <v>10408</v>
      </c>
      <c r="J6220" t="s">
        <v>33540</v>
      </c>
      <c r="K6220" t="s">
        <v>38627</v>
      </c>
      <c r="M6220" t="s">
        <v>41003</v>
      </c>
      <c r="N6220" t="s">
        <v>42669</v>
      </c>
      <c r="O6220" t="s">
        <v>42670</v>
      </c>
      <c r="P6220">
        <v>0</v>
      </c>
      <c r="Q6220">
        <v>0</v>
      </c>
      <c r="R6220" t="s">
        <v>42677</v>
      </c>
      <c r="S6220" t="s">
        <v>42830</v>
      </c>
      <c r="T6220" t="s">
        <v>44368</v>
      </c>
      <c r="U6220" t="s">
        <v>49861</v>
      </c>
      <c r="W6220" t="s">
        <v>41003</v>
      </c>
      <c r="X6220" t="s">
        <v>42678</v>
      </c>
    </row>
    <row r="6221" spans="1:24">
      <c r="A6221">
        <f>HYPERLINK("https://www.philgeps.gov.ph/GEPSNONPILOT/Tender/SplashBidNoticeAbstractUI.aspx?menuIndex=3&amp;refID=7185182&amp;Result=3","7185182")</f>
        <v>0</v>
      </c>
      <c r="B6221" t="s">
        <v>2121</v>
      </c>
      <c r="C6221" t="s">
        <v>9472</v>
      </c>
      <c r="D6221" t="s">
        <v>17159</v>
      </c>
      <c r="E6221" t="s">
        <v>17533</v>
      </c>
      <c r="F6221" t="s">
        <v>29372</v>
      </c>
      <c r="G6221" t="s">
        <v>29380</v>
      </c>
      <c r="H6221" t="s">
        <v>29389</v>
      </c>
      <c r="I6221" t="s">
        <v>10408</v>
      </c>
      <c r="J6221" t="s">
        <v>29555</v>
      </c>
      <c r="K6221" t="s">
        <v>38518</v>
      </c>
      <c r="M6221" t="s">
        <v>41025</v>
      </c>
      <c r="N6221" t="s">
        <v>42669</v>
      </c>
      <c r="O6221" t="s">
        <v>42670</v>
      </c>
      <c r="P6221">
        <v>0</v>
      </c>
      <c r="Q6221">
        <v>0</v>
      </c>
      <c r="R6221" t="s">
        <v>42677</v>
      </c>
      <c r="S6221" t="s">
        <v>42830</v>
      </c>
      <c r="T6221" t="s">
        <v>44427</v>
      </c>
      <c r="U6221" t="s">
        <v>49914</v>
      </c>
      <c r="W6221" t="s">
        <v>41025</v>
      </c>
      <c r="X6221" t="s">
        <v>42678</v>
      </c>
    </row>
    <row r="6222" spans="1:24">
      <c r="A6222">
        <f>HYPERLINK("https://www.philgeps.gov.ph/GEPSNONPILOT/Tender/SplashBidNoticeAbstractUI.aspx?menuIndex=3&amp;refID=7185180&amp;Result=3","7185180")</f>
        <v>0</v>
      </c>
      <c r="B6222" t="s">
        <v>2122</v>
      </c>
      <c r="C6222" t="s">
        <v>9473</v>
      </c>
      <c r="D6222" t="s">
        <v>17183</v>
      </c>
      <c r="E6222" t="s">
        <v>17533</v>
      </c>
      <c r="F6222" t="s">
        <v>29372</v>
      </c>
      <c r="G6222" t="s">
        <v>29380</v>
      </c>
      <c r="H6222" t="s">
        <v>11048</v>
      </c>
      <c r="I6222" t="s">
        <v>3670</v>
      </c>
      <c r="J6222" t="s">
        <v>29799</v>
      </c>
      <c r="K6222" t="s">
        <v>38491</v>
      </c>
      <c r="M6222" t="s">
        <v>41026</v>
      </c>
      <c r="N6222" t="s">
        <v>42669</v>
      </c>
      <c r="O6222" t="s">
        <v>42670</v>
      </c>
      <c r="P6222">
        <v>0</v>
      </c>
      <c r="Q6222">
        <v>0</v>
      </c>
      <c r="R6222" t="s">
        <v>42677</v>
      </c>
      <c r="S6222" t="s">
        <v>42830</v>
      </c>
      <c r="T6222" t="s">
        <v>44401</v>
      </c>
      <c r="U6222" t="s">
        <v>49915</v>
      </c>
      <c r="W6222" t="s">
        <v>41026</v>
      </c>
      <c r="X6222" t="s">
        <v>42678</v>
      </c>
    </row>
    <row r="6223" spans="1:24">
      <c r="A6223">
        <f>HYPERLINK("https://www.philgeps.gov.ph/GEPSNONPILOT/Tender/SplashBidNoticeAbstractUI.aspx?menuIndex=3&amp;refID=7185175&amp;Result=3","7185175")</f>
        <v>0</v>
      </c>
      <c r="B6223" t="s">
        <v>1875</v>
      </c>
      <c r="C6223" t="s">
        <v>9474</v>
      </c>
      <c r="D6223" t="s">
        <v>17179</v>
      </c>
      <c r="E6223" t="s">
        <v>22622</v>
      </c>
      <c r="F6223" t="s">
        <v>29372</v>
      </c>
      <c r="G6223" t="s">
        <v>29379</v>
      </c>
      <c r="H6223" t="s">
        <v>11048</v>
      </c>
      <c r="I6223" t="s">
        <v>4709</v>
      </c>
      <c r="J6223" t="s">
        <v>33541</v>
      </c>
      <c r="K6223" t="s">
        <v>38485</v>
      </c>
      <c r="M6223" t="s">
        <v>40748</v>
      </c>
      <c r="N6223" t="s">
        <v>42669</v>
      </c>
      <c r="O6223" t="s">
        <v>42670</v>
      </c>
      <c r="P6223">
        <v>0</v>
      </c>
      <c r="Q6223">
        <v>0</v>
      </c>
      <c r="R6223" t="s">
        <v>42677</v>
      </c>
      <c r="S6223" t="s">
        <v>42830</v>
      </c>
      <c r="T6223" t="s">
        <v>44427</v>
      </c>
      <c r="U6223" t="s">
        <v>49916</v>
      </c>
      <c r="W6223" t="s">
        <v>40748</v>
      </c>
      <c r="X6223" t="s">
        <v>42678</v>
      </c>
    </row>
    <row r="6224" spans="1:24">
      <c r="A6224">
        <f>HYPERLINK("https://www.philgeps.gov.ph/GEPSNONPILOT/Tender/SplashBidNoticeAbstractUI.aspx?menuIndex=3&amp;refID=7185174&amp;Result=3","7185174")</f>
        <v>0</v>
      </c>
      <c r="B6224" t="s">
        <v>1371</v>
      </c>
      <c r="C6224" t="s">
        <v>9475</v>
      </c>
      <c r="D6224" t="s">
        <v>17141</v>
      </c>
      <c r="E6224" t="s">
        <v>22623</v>
      </c>
      <c r="F6224" t="s">
        <v>29372</v>
      </c>
      <c r="G6224" t="s">
        <v>29383</v>
      </c>
      <c r="H6224" t="s">
        <v>11048</v>
      </c>
      <c r="I6224" t="s">
        <v>29410</v>
      </c>
      <c r="J6224" t="s">
        <v>29619</v>
      </c>
      <c r="K6224" t="s">
        <v>38491</v>
      </c>
      <c r="M6224" t="s">
        <v>41027</v>
      </c>
      <c r="N6224" t="s">
        <v>42669</v>
      </c>
      <c r="O6224" t="s">
        <v>42670</v>
      </c>
      <c r="P6224">
        <v>0</v>
      </c>
      <c r="Q6224">
        <v>7</v>
      </c>
      <c r="R6224" t="s">
        <v>42677</v>
      </c>
      <c r="S6224" t="s">
        <v>42830</v>
      </c>
      <c r="T6224" t="s">
        <v>44512</v>
      </c>
      <c r="U6224" t="s">
        <v>49917</v>
      </c>
      <c r="V6224" t="s">
        <v>57043</v>
      </c>
      <c r="W6224" t="s">
        <v>41027</v>
      </c>
      <c r="X6224" t="s">
        <v>42678</v>
      </c>
    </row>
    <row r="6225" spans="1:24">
      <c r="A6225">
        <f>HYPERLINK("https://www.philgeps.gov.ph/GEPSNONPILOT/Tender/SplashBidNoticeAbstractUI.aspx?menuIndex=3&amp;refID=7185170&amp;Result=3","7185170")</f>
        <v>0</v>
      </c>
      <c r="B6225" t="s">
        <v>1919</v>
      </c>
      <c r="C6225" t="s">
        <v>9476</v>
      </c>
      <c r="D6225" t="s">
        <v>17194</v>
      </c>
      <c r="E6225" t="s">
        <v>22624</v>
      </c>
      <c r="F6225" t="s">
        <v>29372</v>
      </c>
      <c r="G6225" t="s">
        <v>29380</v>
      </c>
      <c r="H6225" t="s">
        <v>11048</v>
      </c>
      <c r="I6225" t="s">
        <v>4709</v>
      </c>
      <c r="J6225" t="s">
        <v>33542</v>
      </c>
      <c r="K6225" t="s">
        <v>38485</v>
      </c>
      <c r="M6225" t="s">
        <v>40794</v>
      </c>
      <c r="N6225" t="s">
        <v>42669</v>
      </c>
      <c r="O6225" t="s">
        <v>42670</v>
      </c>
      <c r="P6225">
        <v>0</v>
      </c>
      <c r="Q6225">
        <v>0</v>
      </c>
      <c r="R6225" t="s">
        <v>42677</v>
      </c>
      <c r="S6225" t="s">
        <v>42830</v>
      </c>
      <c r="T6225" t="s">
        <v>44387</v>
      </c>
      <c r="U6225" t="s">
        <v>49835</v>
      </c>
      <c r="V6225" t="s">
        <v>56972</v>
      </c>
      <c r="W6225" t="s">
        <v>40794</v>
      </c>
      <c r="X6225" t="s">
        <v>42678</v>
      </c>
    </row>
    <row r="6226" spans="1:24">
      <c r="A6226">
        <f>HYPERLINK("https://www.philgeps.gov.ph/GEPSNONPILOT/Tender/SplashBidNoticeAbstractUI.aspx?menuIndex=3&amp;refID=7185164&amp;Result=3","7185164")</f>
        <v>0</v>
      </c>
      <c r="B6226" t="s">
        <v>90</v>
      </c>
      <c r="C6226" t="s">
        <v>9477</v>
      </c>
      <c r="D6226" t="s">
        <v>17175</v>
      </c>
      <c r="E6226" t="s">
        <v>22625</v>
      </c>
      <c r="F6226" t="s">
        <v>29372</v>
      </c>
      <c r="G6226" t="s">
        <v>29380</v>
      </c>
      <c r="H6226" t="s">
        <v>11048</v>
      </c>
      <c r="I6226" t="s">
        <v>4709</v>
      </c>
      <c r="J6226" t="s">
        <v>33543</v>
      </c>
      <c r="K6226" t="s">
        <v>38510</v>
      </c>
      <c r="M6226" t="s">
        <v>38844</v>
      </c>
      <c r="N6226" t="s">
        <v>42669</v>
      </c>
      <c r="O6226" t="s">
        <v>42670</v>
      </c>
      <c r="P6226">
        <v>0</v>
      </c>
      <c r="Q6226">
        <v>1</v>
      </c>
      <c r="R6226" t="s">
        <v>42677</v>
      </c>
      <c r="S6226" t="s">
        <v>42830</v>
      </c>
      <c r="T6226" t="s">
        <v>44427</v>
      </c>
      <c r="U6226" t="s">
        <v>45000</v>
      </c>
      <c r="V6226" t="s">
        <v>56347</v>
      </c>
      <c r="W6226" t="s">
        <v>38844</v>
      </c>
      <c r="X6226" t="s">
        <v>42678</v>
      </c>
    </row>
    <row r="6227" spans="1:24">
      <c r="A6227">
        <f>HYPERLINK("https://www.philgeps.gov.ph/GEPSNONPILOT/Tender/SplashBidNoticeAbstractUI.aspx?menuIndex=3&amp;refID=7185163&amp;Result=3","7185163")</f>
        <v>0</v>
      </c>
      <c r="B6227" t="s">
        <v>2123</v>
      </c>
      <c r="C6227" t="s">
        <v>9478</v>
      </c>
      <c r="D6227" t="s">
        <v>17188</v>
      </c>
      <c r="E6227" t="s">
        <v>17965</v>
      </c>
      <c r="F6227" t="s">
        <v>29372</v>
      </c>
      <c r="G6227" t="s">
        <v>29380</v>
      </c>
      <c r="H6227" t="s">
        <v>11048</v>
      </c>
      <c r="I6227" t="s">
        <v>4709</v>
      </c>
      <c r="J6227" t="s">
        <v>33544</v>
      </c>
      <c r="K6227" t="s">
        <v>38487</v>
      </c>
      <c r="M6227" t="s">
        <v>41028</v>
      </c>
      <c r="N6227" t="s">
        <v>42669</v>
      </c>
      <c r="O6227" t="s">
        <v>42670</v>
      </c>
      <c r="P6227">
        <v>0</v>
      </c>
      <c r="Q6227">
        <v>1</v>
      </c>
      <c r="R6227" t="s">
        <v>42677</v>
      </c>
      <c r="S6227" t="s">
        <v>42830</v>
      </c>
      <c r="T6227" t="s">
        <v>44375</v>
      </c>
      <c r="U6227" t="s">
        <v>49918</v>
      </c>
      <c r="W6227" t="s">
        <v>41028</v>
      </c>
      <c r="X6227" t="s">
        <v>42678</v>
      </c>
    </row>
    <row r="6228" spans="1:24">
      <c r="A6228">
        <f>HYPERLINK("https://www.philgeps.gov.ph/GEPSNONPILOT/Tender/SplashBidNoticeAbstractUI.aspx?menuIndex=3&amp;refID=7185201&amp;Result=3","7185201")</f>
        <v>0</v>
      </c>
      <c r="B6228" t="s">
        <v>2124</v>
      </c>
      <c r="C6228" t="s">
        <v>9479</v>
      </c>
      <c r="D6228" t="s">
        <v>17141</v>
      </c>
      <c r="E6228" t="s">
        <v>22626</v>
      </c>
      <c r="F6228" t="s">
        <v>29372</v>
      </c>
      <c r="G6228" t="s">
        <v>29380</v>
      </c>
      <c r="H6228" t="s">
        <v>11048</v>
      </c>
      <c r="I6228" t="s">
        <v>29407</v>
      </c>
      <c r="J6228" t="s">
        <v>31894</v>
      </c>
      <c r="K6228" t="s">
        <v>38488</v>
      </c>
      <c r="M6228" t="s">
        <v>41029</v>
      </c>
      <c r="N6228" t="s">
        <v>42669</v>
      </c>
      <c r="O6228" t="s">
        <v>42670</v>
      </c>
      <c r="P6228">
        <v>0</v>
      </c>
      <c r="Q6228">
        <v>5</v>
      </c>
      <c r="R6228" t="s">
        <v>42677</v>
      </c>
      <c r="S6228" t="s">
        <v>42830</v>
      </c>
      <c r="T6228" t="s">
        <v>44474</v>
      </c>
      <c r="U6228" t="s">
        <v>49919</v>
      </c>
      <c r="W6228" t="s">
        <v>41029</v>
      </c>
      <c r="X6228" t="s">
        <v>42678</v>
      </c>
    </row>
    <row r="6229" spans="1:24">
      <c r="A6229">
        <f>HYPERLINK("https://www.philgeps.gov.ph/GEPSNONPILOT/Tender/SplashBidNoticeAbstractUI.aspx?menuIndex=3&amp;refID=7185232&amp;Result=3","7185232")</f>
        <v>0</v>
      </c>
      <c r="B6229" t="s">
        <v>1605</v>
      </c>
      <c r="C6229" t="s">
        <v>9480</v>
      </c>
      <c r="D6229" t="s">
        <v>17197</v>
      </c>
      <c r="E6229" t="s">
        <v>22627</v>
      </c>
      <c r="F6229" t="s">
        <v>29372</v>
      </c>
      <c r="G6229" t="s">
        <v>29379</v>
      </c>
      <c r="H6229" t="s">
        <v>11048</v>
      </c>
      <c r="I6229" t="s">
        <v>8614</v>
      </c>
      <c r="J6229" t="s">
        <v>31911</v>
      </c>
      <c r="K6229" t="s">
        <v>38487</v>
      </c>
      <c r="M6229" t="s">
        <v>40458</v>
      </c>
      <c r="N6229" t="s">
        <v>42669</v>
      </c>
      <c r="O6229" t="s">
        <v>42670</v>
      </c>
      <c r="P6229">
        <v>0</v>
      </c>
      <c r="Q6229">
        <v>3</v>
      </c>
      <c r="R6229" t="s">
        <v>42677</v>
      </c>
      <c r="S6229" t="s">
        <v>42830</v>
      </c>
      <c r="T6229" t="s">
        <v>44425</v>
      </c>
      <c r="U6229" t="s">
        <v>49920</v>
      </c>
      <c r="W6229" t="s">
        <v>40458</v>
      </c>
      <c r="X6229" t="s">
        <v>42678</v>
      </c>
    </row>
    <row r="6230" spans="1:24">
      <c r="A6230">
        <f>HYPERLINK("https://www.philgeps.gov.ph/GEPSNONPILOT/Tender/SplashBidNoticeAbstractUI.aspx?menuIndex=3&amp;refID=7185250&amp;Result=3","7185250")</f>
        <v>0</v>
      </c>
      <c r="B6230" t="s">
        <v>2101</v>
      </c>
      <c r="C6230" t="s">
        <v>9481</v>
      </c>
      <c r="D6230" t="s">
        <v>17216</v>
      </c>
      <c r="E6230" t="s">
        <v>22628</v>
      </c>
      <c r="F6230" t="s">
        <v>29372</v>
      </c>
      <c r="G6230" t="s">
        <v>29380</v>
      </c>
      <c r="H6230" t="s">
        <v>11048</v>
      </c>
      <c r="I6230" t="s">
        <v>29399</v>
      </c>
      <c r="J6230" t="s">
        <v>33545</v>
      </c>
      <c r="K6230" t="s">
        <v>38496</v>
      </c>
      <c r="M6230" t="s">
        <v>41003</v>
      </c>
      <c r="N6230" t="s">
        <v>42669</v>
      </c>
      <c r="O6230" t="s">
        <v>42670</v>
      </c>
      <c r="P6230">
        <v>0</v>
      </c>
      <c r="Q6230">
        <v>3</v>
      </c>
      <c r="R6230" t="s">
        <v>42677</v>
      </c>
      <c r="S6230" t="s">
        <v>42830</v>
      </c>
      <c r="T6230" t="s">
        <v>44368</v>
      </c>
      <c r="U6230" t="s">
        <v>49921</v>
      </c>
      <c r="W6230" t="s">
        <v>41003</v>
      </c>
      <c r="X6230" t="s">
        <v>42678</v>
      </c>
    </row>
    <row r="6231" spans="1:24">
      <c r="A6231">
        <f>HYPERLINK("https://www.philgeps.gov.ph/GEPSNONPILOT/Tender/SplashBidNoticeAbstractUI.aspx?menuIndex=3&amp;refID=7185186&amp;Result=3","7185186")</f>
        <v>0</v>
      </c>
      <c r="B6231" t="s">
        <v>430</v>
      </c>
      <c r="C6231" t="s">
        <v>9482</v>
      </c>
      <c r="D6231" t="s">
        <v>17168</v>
      </c>
      <c r="E6231" t="s">
        <v>22629</v>
      </c>
      <c r="F6231" t="s">
        <v>29372</v>
      </c>
      <c r="G6231" t="s">
        <v>29380</v>
      </c>
      <c r="H6231" t="s">
        <v>11048</v>
      </c>
      <c r="I6231" t="s">
        <v>29455</v>
      </c>
      <c r="J6231" t="s">
        <v>30107</v>
      </c>
      <c r="K6231" t="s">
        <v>38485</v>
      </c>
      <c r="M6231" t="s">
        <v>40337</v>
      </c>
      <c r="N6231" t="s">
        <v>42669</v>
      </c>
      <c r="O6231" t="s">
        <v>42670</v>
      </c>
      <c r="P6231">
        <v>0</v>
      </c>
      <c r="Q6231">
        <v>3</v>
      </c>
      <c r="R6231" t="s">
        <v>42677</v>
      </c>
      <c r="S6231" t="s">
        <v>42830</v>
      </c>
      <c r="T6231" t="s">
        <v>44391</v>
      </c>
      <c r="U6231" t="s">
        <v>49922</v>
      </c>
      <c r="W6231" t="s">
        <v>40337</v>
      </c>
      <c r="X6231" t="s">
        <v>42678</v>
      </c>
    </row>
    <row r="6232" spans="1:24">
      <c r="A6232">
        <f>HYPERLINK("https://www.philgeps.gov.ph/GEPSNONPILOT/Tender/SplashBidNoticeAbstractUI.aspx?menuIndex=3&amp;refID=7185249&amp;Result=3","7185249")</f>
        <v>0</v>
      </c>
      <c r="B6232" t="s">
        <v>2125</v>
      </c>
      <c r="C6232" t="s">
        <v>9483</v>
      </c>
      <c r="D6232" t="s">
        <v>17168</v>
      </c>
      <c r="E6232" t="s">
        <v>22630</v>
      </c>
      <c r="F6232" t="s">
        <v>29372</v>
      </c>
      <c r="G6232" t="s">
        <v>29380</v>
      </c>
      <c r="H6232" t="s">
        <v>29389</v>
      </c>
      <c r="I6232" t="s">
        <v>29429</v>
      </c>
      <c r="J6232" t="s">
        <v>33546</v>
      </c>
      <c r="K6232" t="s">
        <v>38564</v>
      </c>
      <c r="M6232" t="s">
        <v>41030</v>
      </c>
      <c r="N6232" t="s">
        <v>42669</v>
      </c>
      <c r="O6232" t="s">
        <v>42670</v>
      </c>
      <c r="P6232">
        <v>0</v>
      </c>
      <c r="Q6232">
        <v>1</v>
      </c>
      <c r="R6232" t="s">
        <v>42677</v>
      </c>
      <c r="S6232" t="s">
        <v>42830</v>
      </c>
      <c r="T6232" t="s">
        <v>44450</v>
      </c>
      <c r="U6232" t="s">
        <v>49923</v>
      </c>
      <c r="W6232" t="s">
        <v>41030</v>
      </c>
      <c r="X6232" t="s">
        <v>42678</v>
      </c>
    </row>
    <row r="6233" spans="1:24">
      <c r="A6233">
        <f>HYPERLINK("https://www.philgeps.gov.ph/GEPSNONPILOT/Tender/SplashBidNoticeAbstractUI.aspx?menuIndex=3&amp;refID=7185247&amp;Result=3","7185247")</f>
        <v>0</v>
      </c>
      <c r="B6233" t="s">
        <v>2047</v>
      </c>
      <c r="C6233" t="s">
        <v>9484</v>
      </c>
      <c r="D6233" t="s">
        <v>17189</v>
      </c>
      <c r="E6233" t="s">
        <v>22631</v>
      </c>
      <c r="F6233" t="s">
        <v>29372</v>
      </c>
      <c r="G6233" t="s">
        <v>29379</v>
      </c>
      <c r="H6233" t="s">
        <v>11048</v>
      </c>
      <c r="I6233" t="s">
        <v>8614</v>
      </c>
      <c r="J6233" t="s">
        <v>33547</v>
      </c>
      <c r="K6233" t="s">
        <v>38491</v>
      </c>
      <c r="M6233" t="s">
        <v>40945</v>
      </c>
      <c r="N6233" t="s">
        <v>42669</v>
      </c>
      <c r="O6233" t="s">
        <v>42670</v>
      </c>
      <c r="P6233">
        <v>0</v>
      </c>
      <c r="Q6233">
        <v>4</v>
      </c>
      <c r="R6233" t="s">
        <v>42677</v>
      </c>
      <c r="S6233" t="s">
        <v>42830</v>
      </c>
      <c r="T6233" t="s">
        <v>44488</v>
      </c>
      <c r="U6233" t="s">
        <v>49701</v>
      </c>
      <c r="W6233" t="s">
        <v>40945</v>
      </c>
      <c r="X6233" t="s">
        <v>42678</v>
      </c>
    </row>
    <row r="6234" spans="1:24">
      <c r="A6234">
        <f>HYPERLINK("https://www.philgeps.gov.ph/GEPSNONPILOT/Tender/SplashBidNoticeAbstractUI.aspx?menuIndex=3&amp;refID=7185245&amp;Result=3","7185245")</f>
        <v>0</v>
      </c>
      <c r="B6234" t="s">
        <v>2126</v>
      </c>
      <c r="C6234" t="s">
        <v>9485</v>
      </c>
      <c r="D6234" t="s">
        <v>17150</v>
      </c>
      <c r="E6234" t="s">
        <v>22632</v>
      </c>
      <c r="F6234" t="s">
        <v>29372</v>
      </c>
      <c r="G6234" t="s">
        <v>29380</v>
      </c>
      <c r="H6234" t="s">
        <v>29389</v>
      </c>
      <c r="I6234" t="s">
        <v>10408</v>
      </c>
      <c r="J6234" t="s">
        <v>33548</v>
      </c>
      <c r="K6234" t="s">
        <v>38495</v>
      </c>
      <c r="M6234" t="s">
        <v>41031</v>
      </c>
      <c r="N6234" t="s">
        <v>42669</v>
      </c>
      <c r="O6234" t="s">
        <v>42670</v>
      </c>
      <c r="P6234">
        <v>0</v>
      </c>
      <c r="Q6234">
        <v>7</v>
      </c>
      <c r="R6234" t="s">
        <v>42677</v>
      </c>
      <c r="S6234" t="s">
        <v>42830</v>
      </c>
      <c r="T6234" t="s">
        <v>44503</v>
      </c>
      <c r="U6234" t="s">
        <v>49924</v>
      </c>
      <c r="W6234" t="s">
        <v>41031</v>
      </c>
      <c r="X6234" t="s">
        <v>42678</v>
      </c>
    </row>
    <row r="6235" spans="1:24">
      <c r="A6235">
        <f>HYPERLINK("https://www.philgeps.gov.ph/GEPSNONPILOT/Tender/SplashBidNoticeAbstractUI.aspx?menuIndex=3&amp;refID=7185235&amp;Result=3","7185235")</f>
        <v>0</v>
      </c>
      <c r="B6235" t="s">
        <v>2127</v>
      </c>
      <c r="C6235" t="s">
        <v>9486</v>
      </c>
      <c r="D6235" t="s">
        <v>17169</v>
      </c>
      <c r="E6235" t="s">
        <v>20948</v>
      </c>
      <c r="F6235" t="s">
        <v>29372</v>
      </c>
      <c r="G6235" t="s">
        <v>29380</v>
      </c>
      <c r="H6235" t="s">
        <v>29389</v>
      </c>
      <c r="I6235" t="s">
        <v>10408</v>
      </c>
      <c r="J6235" t="s">
        <v>33549</v>
      </c>
      <c r="K6235" t="s">
        <v>38488</v>
      </c>
      <c r="M6235" t="s">
        <v>41032</v>
      </c>
      <c r="N6235" t="s">
        <v>42669</v>
      </c>
      <c r="O6235" t="s">
        <v>42670</v>
      </c>
      <c r="P6235">
        <v>0</v>
      </c>
      <c r="Q6235">
        <v>2</v>
      </c>
      <c r="R6235" t="s">
        <v>42677</v>
      </c>
      <c r="S6235" t="s">
        <v>42830</v>
      </c>
      <c r="T6235" t="s">
        <v>44393</v>
      </c>
      <c r="U6235" t="s">
        <v>49925</v>
      </c>
      <c r="W6235" t="s">
        <v>41032</v>
      </c>
      <c r="X6235" t="s">
        <v>42678</v>
      </c>
    </row>
    <row r="6236" spans="1:24">
      <c r="A6236">
        <f>HYPERLINK("https://www.philgeps.gov.ph/GEPSNONPILOT/Tender/SplashBidNoticeAbstractUI.aspx?menuIndex=3&amp;refID=7185234&amp;Result=3","7185234")</f>
        <v>0</v>
      </c>
      <c r="B6236" t="s">
        <v>2128</v>
      </c>
      <c r="C6236" t="s">
        <v>7593</v>
      </c>
      <c r="D6236" t="s">
        <v>17188</v>
      </c>
      <c r="E6236" t="s">
        <v>17994</v>
      </c>
      <c r="F6236" t="s">
        <v>29372</v>
      </c>
      <c r="G6236" t="s">
        <v>29380</v>
      </c>
      <c r="H6236" t="s">
        <v>29389</v>
      </c>
      <c r="I6236" t="s">
        <v>10408</v>
      </c>
      <c r="J6236" t="s">
        <v>33550</v>
      </c>
      <c r="K6236" t="s">
        <v>38518</v>
      </c>
      <c r="M6236" t="s">
        <v>41033</v>
      </c>
      <c r="N6236" t="s">
        <v>42669</v>
      </c>
      <c r="O6236" t="s">
        <v>42670</v>
      </c>
      <c r="P6236">
        <v>0</v>
      </c>
      <c r="Q6236">
        <v>0</v>
      </c>
      <c r="R6236" t="s">
        <v>42677</v>
      </c>
      <c r="S6236" t="s">
        <v>42830</v>
      </c>
      <c r="T6236" t="s">
        <v>44375</v>
      </c>
      <c r="U6236" t="s">
        <v>49926</v>
      </c>
      <c r="W6236" t="s">
        <v>41033</v>
      </c>
      <c r="X6236" t="s">
        <v>42678</v>
      </c>
    </row>
    <row r="6237" spans="1:24">
      <c r="A6237">
        <f>HYPERLINK("https://www.philgeps.gov.ph/GEPSNONPILOT/Tender/SplashBidNoticeAbstractUI.aspx?menuIndex=3&amp;refID=7185231&amp;Result=3","7185231")</f>
        <v>0</v>
      </c>
      <c r="B6237" t="s">
        <v>1238</v>
      </c>
      <c r="C6237" t="s">
        <v>9487</v>
      </c>
      <c r="D6237" t="s">
        <v>17145</v>
      </c>
      <c r="E6237" t="s">
        <v>19960</v>
      </c>
      <c r="F6237" t="s">
        <v>29372</v>
      </c>
      <c r="G6237" t="s">
        <v>29380</v>
      </c>
      <c r="H6237" t="s">
        <v>11048</v>
      </c>
      <c r="I6237" t="s">
        <v>5383</v>
      </c>
      <c r="J6237" t="s">
        <v>33551</v>
      </c>
      <c r="K6237" t="s">
        <v>38491</v>
      </c>
      <c r="M6237" t="s">
        <v>40060</v>
      </c>
      <c r="N6237" t="s">
        <v>42669</v>
      </c>
      <c r="O6237" t="s">
        <v>42670</v>
      </c>
      <c r="P6237">
        <v>0</v>
      </c>
      <c r="Q6237">
        <v>5</v>
      </c>
      <c r="R6237" t="s">
        <v>42677</v>
      </c>
      <c r="S6237" t="s">
        <v>42830</v>
      </c>
      <c r="T6237" t="s">
        <v>44629</v>
      </c>
      <c r="U6237" t="s">
        <v>49927</v>
      </c>
      <c r="W6237" t="s">
        <v>40060</v>
      </c>
      <c r="X6237" t="s">
        <v>42678</v>
      </c>
    </row>
    <row r="6238" spans="1:24">
      <c r="A6238">
        <f>HYPERLINK("https://www.philgeps.gov.ph/GEPSNONPILOT/Tender/SplashBidNoticeAbstractUI.aspx?menuIndex=3&amp;refID=7185228&amp;Result=3","7185228")</f>
        <v>0</v>
      </c>
      <c r="B6238" t="s">
        <v>2129</v>
      </c>
      <c r="C6238" t="s">
        <v>9488</v>
      </c>
      <c r="D6238" t="s">
        <v>17161</v>
      </c>
      <c r="E6238" t="s">
        <v>22633</v>
      </c>
      <c r="F6238" t="s">
        <v>29372</v>
      </c>
      <c r="G6238" t="s">
        <v>29380</v>
      </c>
      <c r="H6238" t="s">
        <v>11048</v>
      </c>
      <c r="I6238" t="s">
        <v>29393</v>
      </c>
      <c r="J6238" t="s">
        <v>29615</v>
      </c>
      <c r="K6238" t="s">
        <v>38490</v>
      </c>
      <c r="M6238" t="s">
        <v>41034</v>
      </c>
      <c r="N6238" t="s">
        <v>42669</v>
      </c>
      <c r="O6238" t="s">
        <v>42670</v>
      </c>
      <c r="P6238">
        <v>0</v>
      </c>
      <c r="Q6238">
        <v>0</v>
      </c>
      <c r="R6238" t="s">
        <v>42677</v>
      </c>
      <c r="S6238" t="s">
        <v>42830</v>
      </c>
      <c r="T6238" t="s">
        <v>44446</v>
      </c>
      <c r="U6238" t="s">
        <v>49928</v>
      </c>
      <c r="W6238" t="s">
        <v>41034</v>
      </c>
      <c r="X6238" t="s">
        <v>42678</v>
      </c>
    </row>
    <row r="6239" spans="1:24">
      <c r="A6239">
        <f>HYPERLINK("https://www.philgeps.gov.ph/GEPSNONPILOT/Tender/SplashBidNoticeAbstractUI.aspx?menuIndex=3&amp;refID=7185227&amp;Result=3","7185227")</f>
        <v>0</v>
      </c>
      <c r="B6239" t="s">
        <v>1796</v>
      </c>
      <c r="C6239" t="s">
        <v>9489</v>
      </c>
      <c r="D6239" t="s">
        <v>17174</v>
      </c>
      <c r="E6239" t="s">
        <v>22634</v>
      </c>
      <c r="F6239" t="s">
        <v>29372</v>
      </c>
      <c r="G6239" t="s">
        <v>29380</v>
      </c>
      <c r="H6239" t="s">
        <v>11048</v>
      </c>
      <c r="I6239" t="s">
        <v>29491</v>
      </c>
      <c r="J6239" t="s">
        <v>33552</v>
      </c>
      <c r="K6239" t="s">
        <v>38510</v>
      </c>
      <c r="M6239" t="s">
        <v>40986</v>
      </c>
      <c r="N6239" t="s">
        <v>42669</v>
      </c>
      <c r="O6239" t="s">
        <v>42670</v>
      </c>
      <c r="P6239">
        <v>0</v>
      </c>
      <c r="Q6239">
        <v>1</v>
      </c>
      <c r="R6239" t="s">
        <v>42677</v>
      </c>
      <c r="S6239" t="s">
        <v>42830</v>
      </c>
      <c r="T6239" t="s">
        <v>44554</v>
      </c>
      <c r="U6239" t="s">
        <v>49929</v>
      </c>
      <c r="W6239" t="s">
        <v>40986</v>
      </c>
      <c r="X6239" t="s">
        <v>42678</v>
      </c>
    </row>
    <row r="6240" spans="1:24">
      <c r="A6240">
        <f>HYPERLINK("https://www.philgeps.gov.ph/GEPSNONPILOT/Tender/SplashBidNoticeAbstractUI.aspx?menuIndex=3&amp;refID=7185226&amp;Result=3","7185226")</f>
        <v>0</v>
      </c>
      <c r="B6240" t="s">
        <v>2047</v>
      </c>
      <c r="C6240" t="s">
        <v>9490</v>
      </c>
      <c r="D6240" t="s">
        <v>17189</v>
      </c>
      <c r="E6240" t="s">
        <v>22635</v>
      </c>
      <c r="F6240" t="s">
        <v>29372</v>
      </c>
      <c r="G6240" t="s">
        <v>29379</v>
      </c>
      <c r="H6240" t="s">
        <v>11048</v>
      </c>
      <c r="I6240" t="s">
        <v>8614</v>
      </c>
      <c r="J6240" t="s">
        <v>29680</v>
      </c>
      <c r="K6240" t="s">
        <v>38491</v>
      </c>
      <c r="M6240" t="s">
        <v>40945</v>
      </c>
      <c r="N6240" t="s">
        <v>42669</v>
      </c>
      <c r="O6240" t="s">
        <v>42670</v>
      </c>
      <c r="P6240">
        <v>0</v>
      </c>
      <c r="Q6240">
        <v>1</v>
      </c>
      <c r="R6240" t="s">
        <v>42677</v>
      </c>
      <c r="S6240" t="s">
        <v>42830</v>
      </c>
      <c r="T6240" t="s">
        <v>44488</v>
      </c>
      <c r="U6240" t="s">
        <v>49701</v>
      </c>
      <c r="W6240" t="s">
        <v>40945</v>
      </c>
      <c r="X6240" t="s">
        <v>42678</v>
      </c>
    </row>
    <row r="6241" spans="1:24">
      <c r="A6241">
        <f>HYPERLINK("https://www.philgeps.gov.ph/GEPSNONPILOT/Tender/SplashBidNoticeAbstractUI.aspx?menuIndex=3&amp;refID=7185222&amp;Result=3","7185222")</f>
        <v>0</v>
      </c>
      <c r="B6241" t="s">
        <v>2127</v>
      </c>
      <c r="C6241" t="s">
        <v>9491</v>
      </c>
      <c r="D6241" t="s">
        <v>17169</v>
      </c>
      <c r="E6241" t="s">
        <v>21254</v>
      </c>
      <c r="F6241" t="s">
        <v>29372</v>
      </c>
      <c r="G6241" t="s">
        <v>29380</v>
      </c>
      <c r="H6241" t="s">
        <v>29389</v>
      </c>
      <c r="I6241" t="s">
        <v>10408</v>
      </c>
      <c r="J6241" t="s">
        <v>33553</v>
      </c>
      <c r="K6241" t="s">
        <v>38488</v>
      </c>
      <c r="M6241" t="s">
        <v>41032</v>
      </c>
      <c r="N6241" t="s">
        <v>42669</v>
      </c>
      <c r="O6241" t="s">
        <v>42670</v>
      </c>
      <c r="P6241">
        <v>0</v>
      </c>
      <c r="Q6241">
        <v>2</v>
      </c>
      <c r="R6241" t="s">
        <v>42677</v>
      </c>
      <c r="S6241" t="s">
        <v>42830</v>
      </c>
      <c r="T6241" t="s">
        <v>44393</v>
      </c>
      <c r="U6241" t="s">
        <v>49930</v>
      </c>
      <c r="W6241" t="s">
        <v>41032</v>
      </c>
      <c r="X6241" t="s">
        <v>42678</v>
      </c>
    </row>
    <row r="6242" spans="1:24">
      <c r="A6242">
        <f>HYPERLINK("https://www.philgeps.gov.ph/GEPSNONPILOT/Tender/SplashBidNoticeAbstractUI.aspx?menuIndex=3&amp;refID=7185243&amp;Result=3","7185243")</f>
        <v>0</v>
      </c>
      <c r="B6242" t="s">
        <v>2124</v>
      </c>
      <c r="C6242" t="s">
        <v>9492</v>
      </c>
      <c r="D6242" t="s">
        <v>17141</v>
      </c>
      <c r="E6242" t="s">
        <v>22636</v>
      </c>
      <c r="F6242" t="s">
        <v>29372</v>
      </c>
      <c r="G6242" t="s">
        <v>29380</v>
      </c>
      <c r="H6242" t="s">
        <v>11048</v>
      </c>
      <c r="I6242" t="s">
        <v>29432</v>
      </c>
      <c r="J6242" t="s">
        <v>29728</v>
      </c>
      <c r="K6242" t="s">
        <v>38488</v>
      </c>
      <c r="M6242" t="s">
        <v>41029</v>
      </c>
      <c r="N6242" t="s">
        <v>42669</v>
      </c>
      <c r="O6242" t="s">
        <v>42670</v>
      </c>
      <c r="P6242">
        <v>0</v>
      </c>
      <c r="Q6242">
        <v>2</v>
      </c>
      <c r="R6242" t="s">
        <v>42677</v>
      </c>
      <c r="S6242" t="s">
        <v>42830</v>
      </c>
      <c r="T6242" t="s">
        <v>44474</v>
      </c>
      <c r="U6242" t="s">
        <v>49931</v>
      </c>
      <c r="W6242" t="s">
        <v>41029</v>
      </c>
      <c r="X6242" t="s">
        <v>42678</v>
      </c>
    </row>
    <row r="6243" spans="1:24">
      <c r="A6243">
        <f>HYPERLINK("https://www.philgeps.gov.ph/GEPSNONPILOT/Tender/SplashBidNoticeAbstractUI.aspx?menuIndex=3&amp;refID=7185208&amp;Result=3","7185208")</f>
        <v>0</v>
      </c>
      <c r="B6243" t="s">
        <v>2121</v>
      </c>
      <c r="C6243" t="s">
        <v>7434</v>
      </c>
      <c r="D6243" t="s">
        <v>17159</v>
      </c>
      <c r="E6243" t="s">
        <v>17540</v>
      </c>
      <c r="F6243" t="s">
        <v>29372</v>
      </c>
      <c r="G6243" t="s">
        <v>29380</v>
      </c>
      <c r="H6243" t="s">
        <v>29389</v>
      </c>
      <c r="I6243" t="s">
        <v>10408</v>
      </c>
      <c r="J6243" t="s">
        <v>33554</v>
      </c>
      <c r="K6243" t="s">
        <v>38518</v>
      </c>
      <c r="M6243" t="s">
        <v>41025</v>
      </c>
      <c r="N6243" t="s">
        <v>42669</v>
      </c>
      <c r="O6243" t="s">
        <v>42670</v>
      </c>
      <c r="P6243">
        <v>0</v>
      </c>
      <c r="Q6243">
        <v>0</v>
      </c>
      <c r="R6243" t="s">
        <v>42677</v>
      </c>
      <c r="S6243" t="s">
        <v>42830</v>
      </c>
      <c r="T6243" t="s">
        <v>44401</v>
      </c>
      <c r="U6243" t="s">
        <v>49932</v>
      </c>
      <c r="W6243" t="s">
        <v>41025</v>
      </c>
      <c r="X6243" t="s">
        <v>42678</v>
      </c>
    </row>
    <row r="6244" spans="1:24">
      <c r="A6244">
        <f>HYPERLINK("https://www.philgeps.gov.ph/GEPSNONPILOT/Tender/SplashBidNoticeAbstractUI.aspx?menuIndex=3&amp;refID=7185207&amp;Result=3","7185207")</f>
        <v>0</v>
      </c>
      <c r="B6244" t="s">
        <v>1446</v>
      </c>
      <c r="C6244" t="s">
        <v>9493</v>
      </c>
      <c r="D6244" t="s">
        <v>17204</v>
      </c>
      <c r="E6244" t="s">
        <v>22637</v>
      </c>
      <c r="F6244" t="s">
        <v>29372</v>
      </c>
      <c r="G6244" t="s">
        <v>29380</v>
      </c>
      <c r="H6244" t="s">
        <v>11048</v>
      </c>
      <c r="I6244" t="s">
        <v>5383</v>
      </c>
      <c r="J6244" t="s">
        <v>33555</v>
      </c>
      <c r="K6244" t="s">
        <v>38485</v>
      </c>
      <c r="M6244" t="s">
        <v>40287</v>
      </c>
      <c r="N6244" t="s">
        <v>42669</v>
      </c>
      <c r="O6244" t="s">
        <v>42670</v>
      </c>
      <c r="P6244">
        <v>0</v>
      </c>
      <c r="Q6244">
        <v>5</v>
      </c>
      <c r="R6244" t="s">
        <v>42677</v>
      </c>
      <c r="S6244" t="s">
        <v>42830</v>
      </c>
      <c r="T6244" t="s">
        <v>44509</v>
      </c>
      <c r="U6244" t="s">
        <v>49933</v>
      </c>
      <c r="W6244" t="s">
        <v>40287</v>
      </c>
      <c r="X6244" t="s">
        <v>42678</v>
      </c>
    </row>
    <row r="6245" spans="1:24">
      <c r="A6245">
        <f>HYPERLINK("https://www.philgeps.gov.ph/GEPSNONPILOT/Tender/SplashBidNoticeAbstractUI.aspx?menuIndex=3&amp;refID=7185204&amp;Result=3","7185204")</f>
        <v>0</v>
      </c>
      <c r="B6245" t="s">
        <v>2126</v>
      </c>
      <c r="C6245" t="s">
        <v>9494</v>
      </c>
      <c r="D6245" t="s">
        <v>17150</v>
      </c>
      <c r="E6245" t="s">
        <v>22638</v>
      </c>
      <c r="F6245" t="s">
        <v>29372</v>
      </c>
      <c r="G6245" t="s">
        <v>29380</v>
      </c>
      <c r="H6245" t="s">
        <v>29389</v>
      </c>
      <c r="I6245" t="s">
        <v>10408</v>
      </c>
      <c r="J6245" t="s">
        <v>33556</v>
      </c>
      <c r="K6245" t="s">
        <v>38495</v>
      </c>
      <c r="M6245" t="s">
        <v>41031</v>
      </c>
      <c r="N6245" t="s">
        <v>42669</v>
      </c>
      <c r="O6245" t="s">
        <v>42670</v>
      </c>
      <c r="P6245">
        <v>0</v>
      </c>
      <c r="Q6245">
        <v>8</v>
      </c>
      <c r="R6245" t="s">
        <v>42677</v>
      </c>
      <c r="S6245" t="s">
        <v>42830</v>
      </c>
      <c r="T6245" t="s">
        <v>44503</v>
      </c>
      <c r="U6245" t="s">
        <v>49934</v>
      </c>
      <c r="W6245" t="s">
        <v>41031</v>
      </c>
      <c r="X6245" t="s">
        <v>42678</v>
      </c>
    </row>
    <row r="6246" spans="1:24">
      <c r="A6246">
        <f>HYPERLINK("https://www.philgeps.gov.ph/GEPSNONPILOT/Tender/SplashBidNoticeAbstractUI.aspx?menuIndex=3&amp;refID=7185220&amp;Result=3","7185220")</f>
        <v>0</v>
      </c>
      <c r="B6246" t="s">
        <v>2130</v>
      </c>
      <c r="C6246" t="s">
        <v>9495</v>
      </c>
      <c r="D6246" t="s">
        <v>17160</v>
      </c>
      <c r="E6246" t="s">
        <v>22639</v>
      </c>
      <c r="F6246" t="s">
        <v>29372</v>
      </c>
      <c r="G6246" t="s">
        <v>29379</v>
      </c>
      <c r="H6246" t="s">
        <v>11048</v>
      </c>
      <c r="I6246" t="s">
        <v>29403</v>
      </c>
      <c r="J6246" t="s">
        <v>33557</v>
      </c>
      <c r="K6246" t="s">
        <v>38485</v>
      </c>
      <c r="M6246" t="s">
        <v>41035</v>
      </c>
      <c r="N6246" t="s">
        <v>42669</v>
      </c>
      <c r="O6246" t="s">
        <v>42670</v>
      </c>
      <c r="P6246">
        <v>0</v>
      </c>
      <c r="Q6246">
        <v>1</v>
      </c>
      <c r="R6246" t="s">
        <v>42677</v>
      </c>
      <c r="S6246" t="s">
        <v>42830</v>
      </c>
      <c r="T6246" t="s">
        <v>44493</v>
      </c>
      <c r="U6246" t="s">
        <v>49935</v>
      </c>
      <c r="W6246" t="s">
        <v>41035</v>
      </c>
      <c r="X6246" t="s">
        <v>42678</v>
      </c>
    </row>
    <row r="6247" spans="1:24">
      <c r="A6247">
        <f>HYPERLINK("https://www.philgeps.gov.ph/GEPSNONPILOT/Tender/SplashBidNoticeAbstractUI.aspx?menuIndex=3&amp;refID=7185155&amp;Result=3","7185155")</f>
        <v>0</v>
      </c>
      <c r="B6247" t="s">
        <v>2112</v>
      </c>
      <c r="C6247" t="s">
        <v>9496</v>
      </c>
      <c r="D6247" t="s">
        <v>17177</v>
      </c>
      <c r="E6247" t="s">
        <v>22640</v>
      </c>
      <c r="F6247" t="s">
        <v>29372</v>
      </c>
      <c r="G6247" t="s">
        <v>29380</v>
      </c>
      <c r="H6247" t="s">
        <v>29389</v>
      </c>
      <c r="I6247" t="s">
        <v>10408</v>
      </c>
      <c r="J6247" t="s">
        <v>33558</v>
      </c>
      <c r="K6247" t="s">
        <v>38495</v>
      </c>
      <c r="M6247" t="s">
        <v>41015</v>
      </c>
      <c r="N6247" t="s">
        <v>42669</v>
      </c>
      <c r="O6247" t="s">
        <v>42670</v>
      </c>
      <c r="P6247">
        <v>0</v>
      </c>
      <c r="Q6247">
        <v>0</v>
      </c>
      <c r="R6247" t="s">
        <v>42677</v>
      </c>
      <c r="S6247" t="s">
        <v>42830</v>
      </c>
      <c r="T6247" t="s">
        <v>44439</v>
      </c>
      <c r="U6247" t="s">
        <v>49936</v>
      </c>
      <c r="W6247" t="s">
        <v>41015</v>
      </c>
      <c r="X6247" t="s">
        <v>42678</v>
      </c>
    </row>
    <row r="6248" spans="1:24">
      <c r="A6248">
        <f>HYPERLINK("https://www.philgeps.gov.ph/GEPSNONPILOT/Tender/SplashBidNoticeAbstractUI.aspx?menuIndex=3&amp;refID=7185162&amp;Result=3","7185162")</f>
        <v>0</v>
      </c>
      <c r="B6248" t="s">
        <v>2047</v>
      </c>
      <c r="C6248" t="s">
        <v>9497</v>
      </c>
      <c r="D6248" t="s">
        <v>17189</v>
      </c>
      <c r="E6248" t="s">
        <v>22641</v>
      </c>
      <c r="F6248" t="s">
        <v>29372</v>
      </c>
      <c r="G6248" t="s">
        <v>29379</v>
      </c>
      <c r="H6248" t="s">
        <v>11048</v>
      </c>
      <c r="I6248" t="s">
        <v>8614</v>
      </c>
      <c r="J6248" t="s">
        <v>29532</v>
      </c>
      <c r="K6248" t="s">
        <v>38491</v>
      </c>
      <c r="M6248" t="s">
        <v>40945</v>
      </c>
      <c r="N6248" t="s">
        <v>42669</v>
      </c>
      <c r="O6248" t="s">
        <v>42670</v>
      </c>
      <c r="P6248">
        <v>0</v>
      </c>
      <c r="Q6248">
        <v>2</v>
      </c>
      <c r="R6248" t="s">
        <v>42677</v>
      </c>
      <c r="S6248" t="s">
        <v>42830</v>
      </c>
      <c r="T6248" t="s">
        <v>44488</v>
      </c>
      <c r="U6248" t="s">
        <v>49701</v>
      </c>
      <c r="W6248" t="s">
        <v>40945</v>
      </c>
      <c r="X6248" t="s">
        <v>42678</v>
      </c>
    </row>
    <row r="6249" spans="1:24">
      <c r="A6249">
        <f>HYPERLINK("https://www.philgeps.gov.ph/GEPSNONPILOT/Tender/SplashBidNoticeAbstractUI.aspx?menuIndex=3&amp;refID=7185206&amp;Result=3","7185206")</f>
        <v>0</v>
      </c>
      <c r="B6249" t="s">
        <v>2131</v>
      </c>
      <c r="C6249" t="s">
        <v>9498</v>
      </c>
      <c r="D6249" t="s">
        <v>17226</v>
      </c>
      <c r="E6249" t="s">
        <v>22642</v>
      </c>
      <c r="F6249" t="s">
        <v>29372</v>
      </c>
      <c r="G6249" t="s">
        <v>29380</v>
      </c>
      <c r="H6249" t="s">
        <v>11048</v>
      </c>
      <c r="I6249" t="s">
        <v>4709</v>
      </c>
      <c r="J6249" t="s">
        <v>33559</v>
      </c>
      <c r="K6249" t="s">
        <v>38528</v>
      </c>
      <c r="M6249" t="s">
        <v>41036</v>
      </c>
      <c r="N6249" t="s">
        <v>42669</v>
      </c>
      <c r="O6249" t="s">
        <v>42670</v>
      </c>
      <c r="P6249">
        <v>0</v>
      </c>
      <c r="Q6249">
        <v>0</v>
      </c>
      <c r="R6249" t="s">
        <v>42677</v>
      </c>
      <c r="S6249" t="s">
        <v>42830</v>
      </c>
      <c r="T6249" t="s">
        <v>44399</v>
      </c>
      <c r="U6249" t="s">
        <v>49937</v>
      </c>
      <c r="W6249" t="s">
        <v>41036</v>
      </c>
      <c r="X6249" t="s">
        <v>42678</v>
      </c>
    </row>
    <row r="6250" spans="1:24">
      <c r="A6250">
        <f>HYPERLINK("https://www.philgeps.gov.ph/GEPSNONPILOT/Tender/SplashBidNoticeAbstractUI.aspx?menuIndex=3&amp;refID=7185161&amp;Result=3","7185161")</f>
        <v>0</v>
      </c>
      <c r="B6250" t="s">
        <v>2132</v>
      </c>
      <c r="C6250" t="s">
        <v>9499</v>
      </c>
      <c r="D6250" t="s">
        <v>17158</v>
      </c>
      <c r="E6250" t="s">
        <v>17648</v>
      </c>
      <c r="F6250" t="s">
        <v>29372</v>
      </c>
      <c r="G6250" t="s">
        <v>29380</v>
      </c>
      <c r="H6250" t="s">
        <v>11048</v>
      </c>
      <c r="I6250" t="s">
        <v>29398</v>
      </c>
      <c r="J6250" t="s">
        <v>33560</v>
      </c>
      <c r="K6250" t="s">
        <v>38488</v>
      </c>
      <c r="M6250" t="s">
        <v>41037</v>
      </c>
      <c r="N6250" t="s">
        <v>42669</v>
      </c>
      <c r="O6250" t="s">
        <v>42670</v>
      </c>
      <c r="P6250">
        <v>0</v>
      </c>
      <c r="Q6250">
        <v>0</v>
      </c>
      <c r="R6250" t="s">
        <v>42677</v>
      </c>
      <c r="S6250" t="s">
        <v>42830</v>
      </c>
      <c r="T6250" t="s">
        <v>44457</v>
      </c>
      <c r="U6250" t="s">
        <v>49938</v>
      </c>
      <c r="W6250" t="s">
        <v>41037</v>
      </c>
      <c r="X6250" t="s">
        <v>42678</v>
      </c>
    </row>
    <row r="6251" spans="1:24">
      <c r="A6251">
        <f>HYPERLINK("https://www.philgeps.gov.ph/GEPSNONPILOT/Tender/SplashBidNoticeAbstractUI.aspx?menuIndex=3&amp;refID=7185181&amp;Result=3","7185181")</f>
        <v>0</v>
      </c>
      <c r="B6251" t="s">
        <v>2047</v>
      </c>
      <c r="C6251" t="s">
        <v>9500</v>
      </c>
      <c r="D6251" t="s">
        <v>17189</v>
      </c>
      <c r="E6251" t="s">
        <v>22643</v>
      </c>
      <c r="F6251" t="s">
        <v>29372</v>
      </c>
      <c r="G6251" t="s">
        <v>29379</v>
      </c>
      <c r="H6251" t="s">
        <v>11048</v>
      </c>
      <c r="I6251" t="s">
        <v>8614</v>
      </c>
      <c r="J6251" t="s">
        <v>29922</v>
      </c>
      <c r="K6251" t="s">
        <v>38491</v>
      </c>
      <c r="M6251" t="s">
        <v>40945</v>
      </c>
      <c r="N6251" t="s">
        <v>42669</v>
      </c>
      <c r="O6251" t="s">
        <v>42670</v>
      </c>
      <c r="P6251">
        <v>0</v>
      </c>
      <c r="Q6251">
        <v>2</v>
      </c>
      <c r="R6251" t="s">
        <v>42677</v>
      </c>
      <c r="S6251" t="s">
        <v>42830</v>
      </c>
      <c r="T6251" t="s">
        <v>44488</v>
      </c>
      <c r="U6251" t="s">
        <v>49701</v>
      </c>
      <c r="W6251" t="s">
        <v>40945</v>
      </c>
      <c r="X6251" t="s">
        <v>42678</v>
      </c>
    </row>
    <row r="6252" spans="1:24">
      <c r="A6252">
        <f>HYPERLINK("https://www.philgeps.gov.ph/GEPSNONPILOT/Tender/SplashBidNoticeAbstractUI.aspx?menuIndex=3&amp;refID=7185202&amp;Result=3","7185202")</f>
        <v>0</v>
      </c>
      <c r="B6252" t="s">
        <v>662</v>
      </c>
      <c r="C6252" t="s">
        <v>9501</v>
      </c>
      <c r="D6252" t="s">
        <v>17211</v>
      </c>
      <c r="E6252" t="s">
        <v>22644</v>
      </c>
      <c r="F6252" t="s">
        <v>29372</v>
      </c>
      <c r="G6252" t="s">
        <v>29380</v>
      </c>
      <c r="H6252" t="s">
        <v>11048</v>
      </c>
      <c r="I6252" t="s">
        <v>29451</v>
      </c>
      <c r="J6252" t="s">
        <v>33561</v>
      </c>
      <c r="K6252" t="s">
        <v>38485</v>
      </c>
      <c r="M6252" t="s">
        <v>39438</v>
      </c>
      <c r="N6252" t="s">
        <v>42669</v>
      </c>
      <c r="O6252" t="s">
        <v>42670</v>
      </c>
      <c r="P6252">
        <v>0</v>
      </c>
      <c r="Q6252">
        <v>3</v>
      </c>
      <c r="R6252" t="s">
        <v>42677</v>
      </c>
      <c r="S6252" t="s">
        <v>42830</v>
      </c>
      <c r="T6252" t="s">
        <v>44371</v>
      </c>
      <c r="U6252" t="s">
        <v>49939</v>
      </c>
      <c r="W6252" t="s">
        <v>39438</v>
      </c>
      <c r="X6252" t="s">
        <v>42678</v>
      </c>
    </row>
    <row r="6253" spans="1:24">
      <c r="A6253">
        <f>HYPERLINK("https://www.philgeps.gov.ph/GEPSNONPILOT/Tender/SplashBidNoticeAbstractUI.aspx?menuIndex=3&amp;refID=7185275&amp;Result=3","7185275")</f>
        <v>0</v>
      </c>
      <c r="B6253" t="s">
        <v>2133</v>
      </c>
      <c r="C6253" t="s">
        <v>9502</v>
      </c>
      <c r="D6253" t="s">
        <v>17183</v>
      </c>
      <c r="E6253" t="s">
        <v>22645</v>
      </c>
      <c r="F6253" t="s">
        <v>29372</v>
      </c>
      <c r="G6253" t="s">
        <v>29380</v>
      </c>
      <c r="H6253" t="s">
        <v>29389</v>
      </c>
      <c r="I6253" t="s">
        <v>4709</v>
      </c>
      <c r="J6253" t="s">
        <v>33562</v>
      </c>
      <c r="K6253" t="s">
        <v>38552</v>
      </c>
      <c r="L6253" t="s">
        <v>2133</v>
      </c>
      <c r="M6253" t="s">
        <v>41038</v>
      </c>
      <c r="N6253" t="s">
        <v>42669</v>
      </c>
      <c r="O6253" t="s">
        <v>42670</v>
      </c>
      <c r="P6253">
        <v>0</v>
      </c>
      <c r="Q6253">
        <v>1</v>
      </c>
      <c r="R6253" t="s">
        <v>42677</v>
      </c>
      <c r="S6253" t="s">
        <v>42830</v>
      </c>
      <c r="T6253" t="s">
        <v>44482</v>
      </c>
      <c r="U6253" t="s">
        <v>49940</v>
      </c>
      <c r="W6253" t="s">
        <v>41038</v>
      </c>
      <c r="X6253" t="s">
        <v>42678</v>
      </c>
    </row>
    <row r="6254" spans="1:24">
      <c r="A6254">
        <f>HYPERLINK("https://www.philgeps.gov.ph/GEPSNONPILOT/Tender/SplashBidNoticeAbstractUI.aspx?menuIndex=3&amp;refID=7185252&amp;Result=3","7185252")</f>
        <v>0</v>
      </c>
      <c r="B6254" t="s">
        <v>547</v>
      </c>
      <c r="C6254" t="s">
        <v>9503</v>
      </c>
      <c r="E6254" t="s">
        <v>22646</v>
      </c>
      <c r="F6254" t="s">
        <v>29372</v>
      </c>
      <c r="G6254" t="s">
        <v>29379</v>
      </c>
      <c r="H6254" t="s">
        <v>11048</v>
      </c>
      <c r="I6254" t="s">
        <v>29428</v>
      </c>
      <c r="J6254" t="s">
        <v>33563</v>
      </c>
      <c r="K6254" t="s">
        <v>38485</v>
      </c>
      <c r="M6254" t="s">
        <v>39363</v>
      </c>
      <c r="N6254" t="s">
        <v>42669</v>
      </c>
      <c r="O6254" t="s">
        <v>42670</v>
      </c>
      <c r="P6254">
        <v>0</v>
      </c>
      <c r="Q6254">
        <v>0</v>
      </c>
      <c r="R6254" t="s">
        <v>42677</v>
      </c>
      <c r="S6254" t="s">
        <v>42830</v>
      </c>
      <c r="T6254" t="s">
        <v>44456</v>
      </c>
      <c r="U6254" t="s">
        <v>49941</v>
      </c>
      <c r="W6254" t="s">
        <v>58018</v>
      </c>
      <c r="X6254" t="s">
        <v>42678</v>
      </c>
    </row>
    <row r="6255" spans="1:24">
      <c r="A6255">
        <f>HYPERLINK("https://www.philgeps.gov.ph/GEPSNONPILOT/Tender/SplashBidNoticeAbstractUI.aspx?menuIndex=3&amp;refID=7185269&amp;Result=3","7185269")</f>
        <v>0</v>
      </c>
      <c r="B6255" t="s">
        <v>2134</v>
      </c>
      <c r="C6255" t="s">
        <v>9504</v>
      </c>
      <c r="D6255" t="s">
        <v>17188</v>
      </c>
      <c r="E6255" t="s">
        <v>17994</v>
      </c>
      <c r="F6255" t="s">
        <v>29372</v>
      </c>
      <c r="G6255" t="s">
        <v>29380</v>
      </c>
      <c r="H6255" t="s">
        <v>29389</v>
      </c>
      <c r="I6255" t="s">
        <v>10408</v>
      </c>
      <c r="J6255" t="s">
        <v>33564</v>
      </c>
      <c r="K6255" t="s">
        <v>38485</v>
      </c>
      <c r="M6255" t="s">
        <v>41039</v>
      </c>
      <c r="N6255" t="s">
        <v>42669</v>
      </c>
      <c r="O6255" t="s">
        <v>42670</v>
      </c>
      <c r="P6255">
        <v>0</v>
      </c>
      <c r="Q6255">
        <v>0</v>
      </c>
      <c r="R6255" t="s">
        <v>42677</v>
      </c>
      <c r="S6255" t="s">
        <v>42830</v>
      </c>
      <c r="T6255" t="s">
        <v>44375</v>
      </c>
      <c r="U6255" t="s">
        <v>49942</v>
      </c>
      <c r="W6255" t="s">
        <v>41039</v>
      </c>
      <c r="X6255" t="s">
        <v>42678</v>
      </c>
    </row>
    <row r="6256" spans="1:24">
      <c r="A6256">
        <f>HYPERLINK("https://www.philgeps.gov.ph/GEPSNONPILOT/Tender/SplashBidNoticeAbstractUI.aspx?menuIndex=3&amp;refID=7185268&amp;Result=3","7185268")</f>
        <v>0</v>
      </c>
      <c r="B6256" t="s">
        <v>1718</v>
      </c>
      <c r="C6256" t="s">
        <v>9505</v>
      </c>
      <c r="D6256" t="s">
        <v>17184</v>
      </c>
      <c r="E6256" t="s">
        <v>22618</v>
      </c>
      <c r="F6256" t="s">
        <v>29372</v>
      </c>
      <c r="G6256" t="s">
        <v>29379</v>
      </c>
      <c r="H6256" t="s">
        <v>11048</v>
      </c>
      <c r="I6256" t="s">
        <v>29420</v>
      </c>
      <c r="J6256" t="s">
        <v>32934</v>
      </c>
      <c r="K6256" t="s">
        <v>38510</v>
      </c>
      <c r="M6256" t="s">
        <v>40581</v>
      </c>
      <c r="N6256" t="s">
        <v>42669</v>
      </c>
      <c r="O6256" t="s">
        <v>42670</v>
      </c>
      <c r="P6256">
        <v>0</v>
      </c>
      <c r="Q6256">
        <v>0</v>
      </c>
      <c r="R6256" t="s">
        <v>42677</v>
      </c>
      <c r="S6256" t="s">
        <v>42830</v>
      </c>
      <c r="T6256" t="s">
        <v>44491</v>
      </c>
      <c r="U6256" t="s">
        <v>49943</v>
      </c>
      <c r="W6256" t="s">
        <v>40581</v>
      </c>
      <c r="X6256" t="s">
        <v>42678</v>
      </c>
    </row>
    <row r="6257" spans="1:24">
      <c r="A6257">
        <f>HYPERLINK("https://www.philgeps.gov.ph/GEPSNONPILOT/Tender/SplashBidNoticeAbstractUI.aspx?menuIndex=3&amp;refID=7185135&amp;Result=3","7185135")</f>
        <v>0</v>
      </c>
      <c r="B6257" t="s">
        <v>1190</v>
      </c>
      <c r="C6257" t="s">
        <v>9506</v>
      </c>
      <c r="E6257" t="s">
        <v>22647</v>
      </c>
      <c r="F6257" t="s">
        <v>29372</v>
      </c>
      <c r="G6257" t="s">
        <v>29379</v>
      </c>
      <c r="H6257" t="s">
        <v>11048</v>
      </c>
      <c r="I6257" t="s">
        <v>3597</v>
      </c>
      <c r="J6257" t="s">
        <v>29799</v>
      </c>
      <c r="K6257" t="s">
        <v>38490</v>
      </c>
      <c r="M6257" t="s">
        <v>40006</v>
      </c>
      <c r="N6257" t="s">
        <v>42669</v>
      </c>
      <c r="O6257" t="s">
        <v>42670</v>
      </c>
      <c r="P6257">
        <v>0</v>
      </c>
      <c r="Q6257">
        <v>5</v>
      </c>
      <c r="R6257" t="s">
        <v>42677</v>
      </c>
      <c r="S6257" t="s">
        <v>42830</v>
      </c>
      <c r="T6257" t="s">
        <v>44385</v>
      </c>
      <c r="U6257" t="s">
        <v>45789</v>
      </c>
      <c r="W6257" t="s">
        <v>40006</v>
      </c>
      <c r="X6257" t="s">
        <v>42678</v>
      </c>
    </row>
    <row r="6258" spans="1:24">
      <c r="A6258">
        <f>HYPERLINK("https://www.philgeps.gov.ph/GEPSNONPILOT/Tender/SplashBidNoticeAbstractUI.aspx?menuIndex=3&amp;refID=7185262&amp;Result=3","7185262")</f>
        <v>0</v>
      </c>
      <c r="B6258" t="s">
        <v>1170</v>
      </c>
      <c r="C6258" t="s">
        <v>9507</v>
      </c>
      <c r="D6258" t="s">
        <v>17169</v>
      </c>
      <c r="E6258" t="s">
        <v>22648</v>
      </c>
      <c r="F6258" t="s">
        <v>29372</v>
      </c>
      <c r="G6258" t="s">
        <v>29379</v>
      </c>
      <c r="H6258" t="s">
        <v>29390</v>
      </c>
      <c r="I6258" t="s">
        <v>29396</v>
      </c>
      <c r="J6258" t="s">
        <v>29799</v>
      </c>
      <c r="K6258" t="s">
        <v>38534</v>
      </c>
      <c r="M6258" t="s">
        <v>39985</v>
      </c>
      <c r="N6258" t="s">
        <v>42669</v>
      </c>
      <c r="O6258" t="s">
        <v>42670</v>
      </c>
      <c r="P6258">
        <v>0</v>
      </c>
      <c r="Q6258">
        <v>2</v>
      </c>
      <c r="R6258" t="s">
        <v>42677</v>
      </c>
      <c r="S6258" t="s">
        <v>42830</v>
      </c>
      <c r="T6258" t="s">
        <v>44454</v>
      </c>
      <c r="U6258" t="s">
        <v>49944</v>
      </c>
      <c r="W6258" t="s">
        <v>39985</v>
      </c>
      <c r="X6258" t="s">
        <v>42678</v>
      </c>
    </row>
    <row r="6259" spans="1:24">
      <c r="A6259">
        <f>HYPERLINK("https://www.philgeps.gov.ph/GEPSNONPILOT/Tender/SplashBidNoticeAbstractUI.aspx?menuIndex=3&amp;refID=7185272&amp;Result=3","7185272")</f>
        <v>0</v>
      </c>
      <c r="B6259" t="s">
        <v>2129</v>
      </c>
      <c r="C6259" t="s">
        <v>7355</v>
      </c>
      <c r="D6259" t="s">
        <v>17161</v>
      </c>
      <c r="E6259" t="s">
        <v>22649</v>
      </c>
      <c r="F6259" t="s">
        <v>29372</v>
      </c>
      <c r="G6259" t="s">
        <v>29380</v>
      </c>
      <c r="H6259" t="s">
        <v>11048</v>
      </c>
      <c r="I6259" t="s">
        <v>3695</v>
      </c>
      <c r="J6259" t="s">
        <v>33565</v>
      </c>
      <c r="K6259" t="s">
        <v>38485</v>
      </c>
      <c r="M6259" t="s">
        <v>41034</v>
      </c>
      <c r="N6259" t="s">
        <v>42669</v>
      </c>
      <c r="O6259" t="s">
        <v>42670</v>
      </c>
      <c r="P6259">
        <v>0</v>
      </c>
      <c r="Q6259">
        <v>7</v>
      </c>
      <c r="R6259" t="s">
        <v>42677</v>
      </c>
      <c r="S6259" t="s">
        <v>42830</v>
      </c>
      <c r="T6259" t="s">
        <v>44446</v>
      </c>
      <c r="U6259" t="s">
        <v>49945</v>
      </c>
      <c r="W6259" t="s">
        <v>41034</v>
      </c>
      <c r="X6259" t="s">
        <v>42678</v>
      </c>
    </row>
    <row r="6260" spans="1:24">
      <c r="A6260">
        <f>HYPERLINK("https://www.philgeps.gov.ph/GEPSNONPILOT/Tender/SplashBidNoticeAbstractUI.aspx?menuIndex=3&amp;refID=7185261&amp;Result=3","7185261")</f>
        <v>0</v>
      </c>
      <c r="B6260" t="s">
        <v>2124</v>
      </c>
      <c r="C6260" t="s">
        <v>9479</v>
      </c>
      <c r="D6260" t="s">
        <v>17141</v>
      </c>
      <c r="E6260" t="s">
        <v>22650</v>
      </c>
      <c r="F6260" t="s">
        <v>29372</v>
      </c>
      <c r="G6260" t="s">
        <v>29380</v>
      </c>
      <c r="H6260" t="s">
        <v>11048</v>
      </c>
      <c r="I6260" t="s">
        <v>29407</v>
      </c>
      <c r="J6260" t="s">
        <v>29721</v>
      </c>
      <c r="K6260" t="s">
        <v>38488</v>
      </c>
      <c r="M6260" t="s">
        <v>41029</v>
      </c>
      <c r="N6260" t="s">
        <v>42669</v>
      </c>
      <c r="O6260" t="s">
        <v>42670</v>
      </c>
      <c r="P6260">
        <v>0</v>
      </c>
      <c r="Q6260">
        <v>2</v>
      </c>
      <c r="R6260" t="s">
        <v>42677</v>
      </c>
      <c r="S6260" t="s">
        <v>42830</v>
      </c>
      <c r="T6260" t="s">
        <v>44474</v>
      </c>
      <c r="U6260" t="s">
        <v>49946</v>
      </c>
      <c r="W6260" t="s">
        <v>41029</v>
      </c>
      <c r="X6260" t="s">
        <v>42678</v>
      </c>
    </row>
    <row r="6261" spans="1:24">
      <c r="A6261">
        <f>HYPERLINK("https://www.philgeps.gov.ph/GEPSNONPILOT/Tender/SplashBidNoticeAbstractUI.aspx?menuIndex=3&amp;refID=7185266&amp;Result=3","7185266")</f>
        <v>0</v>
      </c>
      <c r="B6261" t="s">
        <v>2135</v>
      </c>
      <c r="C6261" t="s">
        <v>9508</v>
      </c>
      <c r="D6261" t="s">
        <v>17159</v>
      </c>
      <c r="E6261" t="s">
        <v>17533</v>
      </c>
      <c r="F6261" t="s">
        <v>29372</v>
      </c>
      <c r="G6261" t="s">
        <v>29380</v>
      </c>
      <c r="H6261" t="s">
        <v>29389</v>
      </c>
      <c r="I6261" t="s">
        <v>10408</v>
      </c>
      <c r="J6261" t="s">
        <v>33566</v>
      </c>
      <c r="K6261" t="s">
        <v>38503</v>
      </c>
      <c r="M6261" t="s">
        <v>41040</v>
      </c>
      <c r="N6261" t="s">
        <v>42669</v>
      </c>
      <c r="O6261" t="s">
        <v>42670</v>
      </c>
      <c r="P6261">
        <v>0</v>
      </c>
      <c r="Q6261">
        <v>0</v>
      </c>
      <c r="R6261" t="s">
        <v>42677</v>
      </c>
      <c r="S6261" t="s">
        <v>42830</v>
      </c>
      <c r="T6261" t="s">
        <v>44427</v>
      </c>
      <c r="U6261" t="s">
        <v>49947</v>
      </c>
      <c r="W6261" t="s">
        <v>41040</v>
      </c>
      <c r="X6261" t="s">
        <v>42678</v>
      </c>
    </row>
    <row r="6262" spans="1:24">
      <c r="A6262">
        <f>HYPERLINK("https://www.philgeps.gov.ph/GEPSNONPILOT/Tender/SplashBidNoticeAbstractUI.aspx?menuIndex=3&amp;refID=7185291&amp;Result=3","7185291")</f>
        <v>0</v>
      </c>
      <c r="B6262" t="s">
        <v>662</v>
      </c>
      <c r="C6262" t="s">
        <v>9509</v>
      </c>
      <c r="D6262" t="s">
        <v>17211</v>
      </c>
      <c r="E6262" t="s">
        <v>22651</v>
      </c>
      <c r="F6262" t="s">
        <v>29372</v>
      </c>
      <c r="G6262" t="s">
        <v>29380</v>
      </c>
      <c r="H6262" t="s">
        <v>11048</v>
      </c>
      <c r="I6262" t="s">
        <v>3839</v>
      </c>
      <c r="J6262" t="s">
        <v>30435</v>
      </c>
      <c r="K6262" t="s">
        <v>38496</v>
      </c>
      <c r="M6262" t="s">
        <v>39438</v>
      </c>
      <c r="N6262" t="s">
        <v>42669</v>
      </c>
      <c r="O6262" t="s">
        <v>42670</v>
      </c>
      <c r="P6262">
        <v>0</v>
      </c>
      <c r="Q6262">
        <v>1</v>
      </c>
      <c r="R6262" t="s">
        <v>42677</v>
      </c>
      <c r="S6262" t="s">
        <v>42830</v>
      </c>
      <c r="T6262" t="s">
        <v>44371</v>
      </c>
      <c r="U6262" t="s">
        <v>49948</v>
      </c>
      <c r="W6262" t="s">
        <v>39438</v>
      </c>
      <c r="X6262" t="s">
        <v>42678</v>
      </c>
    </row>
    <row r="6263" spans="1:24">
      <c r="A6263">
        <f>HYPERLINK("https://www.philgeps.gov.ph/GEPSNONPILOT/Tender/SplashBidNoticeAbstractUI.aspx?menuIndex=3&amp;refID=7185121&amp;Result=3","7185121")</f>
        <v>0</v>
      </c>
      <c r="B6263" t="s">
        <v>2047</v>
      </c>
      <c r="C6263" t="s">
        <v>9510</v>
      </c>
      <c r="D6263" t="s">
        <v>17189</v>
      </c>
      <c r="E6263" t="s">
        <v>22652</v>
      </c>
      <c r="F6263" t="s">
        <v>29372</v>
      </c>
      <c r="G6263" t="s">
        <v>29379</v>
      </c>
      <c r="H6263" t="s">
        <v>11048</v>
      </c>
      <c r="I6263" t="s">
        <v>8614</v>
      </c>
      <c r="J6263" t="s">
        <v>31273</v>
      </c>
      <c r="K6263" t="s">
        <v>38491</v>
      </c>
      <c r="M6263" t="s">
        <v>40945</v>
      </c>
      <c r="N6263" t="s">
        <v>42669</v>
      </c>
      <c r="O6263" t="s">
        <v>42670</v>
      </c>
      <c r="P6263">
        <v>0</v>
      </c>
      <c r="Q6263">
        <v>6</v>
      </c>
      <c r="R6263" t="s">
        <v>42677</v>
      </c>
      <c r="S6263" t="s">
        <v>42830</v>
      </c>
      <c r="T6263" t="s">
        <v>44488</v>
      </c>
      <c r="U6263" t="s">
        <v>49701</v>
      </c>
      <c r="W6263" t="s">
        <v>40945</v>
      </c>
      <c r="X6263" t="s">
        <v>42678</v>
      </c>
    </row>
    <row r="6264" spans="1:24">
      <c r="A6264">
        <f>HYPERLINK("https://www.philgeps.gov.ph/GEPSNONPILOT/Tender/SplashBidNoticeAbstractUI.aspx?menuIndex=3&amp;refID=7185264&amp;Result=3","7185264")</f>
        <v>0</v>
      </c>
      <c r="B6264" t="s">
        <v>2076</v>
      </c>
      <c r="C6264" t="s">
        <v>9511</v>
      </c>
      <c r="E6264" t="s">
        <v>22653</v>
      </c>
      <c r="F6264" t="s">
        <v>29372</v>
      </c>
      <c r="G6264" t="s">
        <v>29380</v>
      </c>
      <c r="H6264" t="s">
        <v>11048</v>
      </c>
      <c r="I6264" t="s">
        <v>3670</v>
      </c>
      <c r="J6264" t="s">
        <v>33567</v>
      </c>
      <c r="K6264" t="s">
        <v>38490</v>
      </c>
      <c r="M6264" t="s">
        <v>40975</v>
      </c>
      <c r="N6264" t="s">
        <v>42669</v>
      </c>
      <c r="O6264" t="s">
        <v>42670</v>
      </c>
      <c r="P6264">
        <v>0</v>
      </c>
      <c r="Q6264">
        <v>2</v>
      </c>
      <c r="R6264" t="s">
        <v>42677</v>
      </c>
      <c r="S6264" t="s">
        <v>42830</v>
      </c>
      <c r="T6264" t="s">
        <v>44427</v>
      </c>
      <c r="U6264" t="s">
        <v>49949</v>
      </c>
      <c r="W6264" t="s">
        <v>40975</v>
      </c>
      <c r="X6264" t="s">
        <v>42678</v>
      </c>
    </row>
    <row r="6265" spans="1:24">
      <c r="A6265">
        <f>HYPERLINK("https://www.philgeps.gov.ph/GEPSNONPILOT/Tender/SplashBidNoticeAbstractUI.aspx?menuIndex=3&amp;refID=7185283&amp;Result=3","7185283")</f>
        <v>0</v>
      </c>
      <c r="B6265" t="s">
        <v>2126</v>
      </c>
      <c r="C6265" t="s">
        <v>9512</v>
      </c>
      <c r="D6265" t="s">
        <v>17150</v>
      </c>
      <c r="E6265" t="s">
        <v>22654</v>
      </c>
      <c r="F6265" t="s">
        <v>29372</v>
      </c>
      <c r="G6265" t="s">
        <v>29380</v>
      </c>
      <c r="H6265" t="s">
        <v>29389</v>
      </c>
      <c r="I6265" t="s">
        <v>10408</v>
      </c>
      <c r="J6265" t="s">
        <v>33568</v>
      </c>
      <c r="K6265" t="s">
        <v>38495</v>
      </c>
      <c r="M6265" t="s">
        <v>41031</v>
      </c>
      <c r="N6265" t="s">
        <v>42669</v>
      </c>
      <c r="O6265" t="s">
        <v>42670</v>
      </c>
      <c r="P6265">
        <v>0</v>
      </c>
      <c r="Q6265">
        <v>3</v>
      </c>
      <c r="R6265" t="s">
        <v>42677</v>
      </c>
      <c r="S6265" t="s">
        <v>42830</v>
      </c>
      <c r="T6265" t="s">
        <v>44503</v>
      </c>
      <c r="U6265" t="s">
        <v>49950</v>
      </c>
      <c r="W6265" t="s">
        <v>41031</v>
      </c>
      <c r="X6265" t="s">
        <v>42678</v>
      </c>
    </row>
    <row r="6266" spans="1:24">
      <c r="A6266">
        <f>HYPERLINK("https://www.philgeps.gov.ph/GEPSNONPILOT/Tender/SplashBidNoticeAbstractUI.aspx?menuIndex=3&amp;refID=7185270&amp;Result=3","7185270")</f>
        <v>0</v>
      </c>
      <c r="B6266" t="s">
        <v>1515</v>
      </c>
      <c r="C6266" t="s">
        <v>9513</v>
      </c>
      <c r="D6266" t="s">
        <v>17174</v>
      </c>
      <c r="E6266" t="s">
        <v>22655</v>
      </c>
      <c r="F6266" t="s">
        <v>29372</v>
      </c>
      <c r="G6266" t="s">
        <v>29379</v>
      </c>
      <c r="H6266" t="s">
        <v>11048</v>
      </c>
      <c r="I6266" t="s">
        <v>29428</v>
      </c>
      <c r="J6266" t="s">
        <v>33569</v>
      </c>
      <c r="K6266" t="s">
        <v>38518</v>
      </c>
      <c r="M6266" t="s">
        <v>40359</v>
      </c>
      <c r="N6266" t="s">
        <v>42669</v>
      </c>
      <c r="O6266" t="s">
        <v>42670</v>
      </c>
      <c r="P6266">
        <v>0</v>
      </c>
      <c r="Q6266">
        <v>0</v>
      </c>
      <c r="R6266" t="s">
        <v>42677</v>
      </c>
      <c r="S6266" t="s">
        <v>42830</v>
      </c>
      <c r="T6266" t="s">
        <v>44432</v>
      </c>
      <c r="U6266" t="s">
        <v>49951</v>
      </c>
      <c r="W6266" t="s">
        <v>40359</v>
      </c>
      <c r="X6266" t="s">
        <v>42678</v>
      </c>
    </row>
    <row r="6267" spans="1:24">
      <c r="A6267">
        <f>HYPERLINK("https://www.philgeps.gov.ph/GEPSNONPILOT/Tender/SplashBidNoticeAbstractUI.aspx?menuIndex=3&amp;refID=7185281&amp;Result=3","7185281")</f>
        <v>0</v>
      </c>
      <c r="B6267" t="s">
        <v>1919</v>
      </c>
      <c r="C6267" t="s">
        <v>9514</v>
      </c>
      <c r="D6267" t="s">
        <v>17194</v>
      </c>
      <c r="E6267" t="s">
        <v>22656</v>
      </c>
      <c r="F6267" t="s">
        <v>29372</v>
      </c>
      <c r="G6267" t="s">
        <v>29380</v>
      </c>
      <c r="H6267" t="s">
        <v>11048</v>
      </c>
      <c r="I6267" t="s">
        <v>4709</v>
      </c>
      <c r="J6267" t="s">
        <v>33570</v>
      </c>
      <c r="K6267" t="s">
        <v>38485</v>
      </c>
      <c r="M6267" t="s">
        <v>40794</v>
      </c>
      <c r="N6267" t="s">
        <v>42669</v>
      </c>
      <c r="O6267" t="s">
        <v>42670</v>
      </c>
      <c r="P6267">
        <v>0</v>
      </c>
      <c r="Q6267">
        <v>0</v>
      </c>
      <c r="R6267" t="s">
        <v>42677</v>
      </c>
      <c r="S6267" t="s">
        <v>42830</v>
      </c>
      <c r="T6267" t="s">
        <v>44387</v>
      </c>
      <c r="U6267" t="s">
        <v>49835</v>
      </c>
      <c r="V6267" t="s">
        <v>56972</v>
      </c>
      <c r="W6267" t="s">
        <v>40794</v>
      </c>
      <c r="X6267" t="s">
        <v>42678</v>
      </c>
    </row>
    <row r="6268" spans="1:24">
      <c r="A6268">
        <f>HYPERLINK("https://www.philgeps.gov.ph/GEPSNONPILOT/Tender/SplashBidNoticeAbstractUI.aspx?menuIndex=3&amp;refID=7185263&amp;Result=3","7185263")</f>
        <v>0</v>
      </c>
      <c r="B6268" t="s">
        <v>1919</v>
      </c>
      <c r="C6268" t="s">
        <v>9515</v>
      </c>
      <c r="D6268" t="s">
        <v>17194</v>
      </c>
      <c r="E6268" t="s">
        <v>22657</v>
      </c>
      <c r="F6268" t="s">
        <v>29372</v>
      </c>
      <c r="G6268" t="s">
        <v>29380</v>
      </c>
      <c r="H6268" t="s">
        <v>11048</v>
      </c>
      <c r="I6268" t="s">
        <v>4709</v>
      </c>
      <c r="J6268" t="s">
        <v>33571</v>
      </c>
      <c r="K6268" t="s">
        <v>38485</v>
      </c>
      <c r="M6268" t="s">
        <v>40794</v>
      </c>
      <c r="N6268" t="s">
        <v>42669</v>
      </c>
      <c r="O6268" t="s">
        <v>42670</v>
      </c>
      <c r="P6268">
        <v>0</v>
      </c>
      <c r="Q6268">
        <v>0</v>
      </c>
      <c r="R6268" t="s">
        <v>42677</v>
      </c>
      <c r="S6268" t="s">
        <v>42830</v>
      </c>
      <c r="T6268" t="s">
        <v>44387</v>
      </c>
      <c r="U6268" t="s">
        <v>49835</v>
      </c>
      <c r="V6268" t="s">
        <v>56972</v>
      </c>
      <c r="W6268" t="s">
        <v>40794</v>
      </c>
      <c r="X6268" t="s">
        <v>42678</v>
      </c>
    </row>
    <row r="6269" spans="1:24">
      <c r="A6269">
        <f>HYPERLINK("https://www.philgeps.gov.ph/GEPSNONPILOT/Tender/SplashBidNoticeAbstractUI.aspx?menuIndex=3&amp;refID=7185256&amp;Result=3","7185256")</f>
        <v>0</v>
      </c>
      <c r="B6269" t="s">
        <v>902</v>
      </c>
      <c r="C6269" t="s">
        <v>9516</v>
      </c>
      <c r="D6269" t="s">
        <v>17205</v>
      </c>
      <c r="E6269" t="s">
        <v>22658</v>
      </c>
      <c r="F6269" t="s">
        <v>29372</v>
      </c>
      <c r="G6269" t="s">
        <v>29380</v>
      </c>
      <c r="H6269" t="s">
        <v>11048</v>
      </c>
      <c r="I6269" t="s">
        <v>3629</v>
      </c>
      <c r="J6269" t="s">
        <v>33572</v>
      </c>
      <c r="K6269" t="s">
        <v>38490</v>
      </c>
      <c r="M6269" t="s">
        <v>39695</v>
      </c>
      <c r="N6269" t="s">
        <v>42669</v>
      </c>
      <c r="O6269" t="s">
        <v>42670</v>
      </c>
      <c r="P6269">
        <v>0</v>
      </c>
      <c r="Q6269">
        <v>1</v>
      </c>
      <c r="R6269" t="s">
        <v>42677</v>
      </c>
      <c r="S6269" t="s">
        <v>42830</v>
      </c>
      <c r="T6269" t="s">
        <v>44481</v>
      </c>
      <c r="U6269" t="s">
        <v>49952</v>
      </c>
      <c r="W6269" t="s">
        <v>39695</v>
      </c>
      <c r="X6269" t="s">
        <v>42678</v>
      </c>
    </row>
    <row r="6270" spans="1:24">
      <c r="A6270">
        <f>HYPERLINK("https://www.philgeps.gov.ph/GEPSNONPILOT/Tender/SplashBidNoticeAbstractUI.aspx?menuIndex=3&amp;refID=7185314&amp;Result=3","7185314")</f>
        <v>0</v>
      </c>
      <c r="B6270" t="s">
        <v>1718</v>
      </c>
      <c r="C6270" t="s">
        <v>6295</v>
      </c>
      <c r="D6270" t="s">
        <v>17184</v>
      </c>
      <c r="E6270" t="s">
        <v>22659</v>
      </c>
      <c r="F6270" t="s">
        <v>29372</v>
      </c>
      <c r="G6270" t="s">
        <v>29379</v>
      </c>
      <c r="H6270" t="s">
        <v>11048</v>
      </c>
      <c r="I6270" t="s">
        <v>3839</v>
      </c>
      <c r="J6270" t="s">
        <v>29532</v>
      </c>
      <c r="K6270" t="s">
        <v>38510</v>
      </c>
      <c r="M6270" t="s">
        <v>40581</v>
      </c>
      <c r="N6270" t="s">
        <v>42669</v>
      </c>
      <c r="O6270" t="s">
        <v>42670</v>
      </c>
      <c r="P6270">
        <v>0</v>
      </c>
      <c r="Q6270">
        <v>2</v>
      </c>
      <c r="R6270" t="s">
        <v>42677</v>
      </c>
      <c r="S6270" t="s">
        <v>42830</v>
      </c>
      <c r="T6270" t="s">
        <v>44491</v>
      </c>
      <c r="U6270" t="s">
        <v>49953</v>
      </c>
      <c r="W6270" t="s">
        <v>40581</v>
      </c>
      <c r="X6270" t="s">
        <v>42678</v>
      </c>
    </row>
    <row r="6271" spans="1:24">
      <c r="A6271">
        <f>HYPERLINK("https://www.philgeps.gov.ph/GEPSNONPILOT/Tender/SplashBidNoticeAbstractUI.aspx?menuIndex=3&amp;refID=7185312&amp;Result=3","7185312")</f>
        <v>0</v>
      </c>
      <c r="B6271" t="s">
        <v>120</v>
      </c>
      <c r="C6271" t="s">
        <v>9517</v>
      </c>
      <c r="E6271" t="s">
        <v>22660</v>
      </c>
      <c r="F6271" t="s">
        <v>29372</v>
      </c>
      <c r="G6271" t="s">
        <v>29380</v>
      </c>
      <c r="H6271" t="s">
        <v>11048</v>
      </c>
      <c r="I6271" t="s">
        <v>4709</v>
      </c>
      <c r="J6271" t="s">
        <v>33573</v>
      </c>
      <c r="K6271" t="s">
        <v>38510</v>
      </c>
      <c r="M6271" t="s">
        <v>38875</v>
      </c>
      <c r="N6271" t="s">
        <v>42669</v>
      </c>
      <c r="O6271" t="s">
        <v>42670</v>
      </c>
      <c r="P6271">
        <v>0</v>
      </c>
      <c r="Q6271">
        <v>0</v>
      </c>
      <c r="R6271" t="s">
        <v>42677</v>
      </c>
      <c r="S6271" t="s">
        <v>42830</v>
      </c>
      <c r="T6271" t="s">
        <v>44418</v>
      </c>
      <c r="U6271" t="s">
        <v>49954</v>
      </c>
      <c r="W6271" t="s">
        <v>38875</v>
      </c>
      <c r="X6271" t="s">
        <v>42678</v>
      </c>
    </row>
    <row r="6272" spans="1:24">
      <c r="A6272">
        <f>HYPERLINK("https://www.philgeps.gov.ph/GEPSNONPILOT/Tender/SplashBidNoticeAbstractUI.aspx?menuIndex=3&amp;refID=7185282&amp;Result=3","7185282")</f>
        <v>0</v>
      </c>
      <c r="B6272" t="s">
        <v>1422</v>
      </c>
      <c r="C6272" t="s">
        <v>5629</v>
      </c>
      <c r="D6272" t="s">
        <v>17212</v>
      </c>
      <c r="E6272" t="s">
        <v>22661</v>
      </c>
      <c r="F6272" t="s">
        <v>29372</v>
      </c>
      <c r="G6272" t="s">
        <v>29380</v>
      </c>
      <c r="H6272" t="s">
        <v>29389</v>
      </c>
      <c r="I6272" t="s">
        <v>10408</v>
      </c>
      <c r="J6272" t="s">
        <v>33574</v>
      </c>
      <c r="K6272" t="s">
        <v>38664</v>
      </c>
      <c r="M6272" t="s">
        <v>40261</v>
      </c>
      <c r="N6272" t="s">
        <v>42669</v>
      </c>
      <c r="O6272" t="s">
        <v>42670</v>
      </c>
      <c r="P6272">
        <v>0</v>
      </c>
      <c r="Q6272">
        <v>0</v>
      </c>
      <c r="R6272" t="s">
        <v>42677</v>
      </c>
      <c r="S6272" t="s">
        <v>42830</v>
      </c>
      <c r="T6272" t="s">
        <v>44401</v>
      </c>
      <c r="U6272" t="s">
        <v>49955</v>
      </c>
      <c r="W6272" t="s">
        <v>40261</v>
      </c>
      <c r="X6272" t="s">
        <v>42678</v>
      </c>
    </row>
    <row r="6273" spans="1:24">
      <c r="A6273">
        <f>HYPERLINK("https://www.philgeps.gov.ph/GEPSNONPILOT/Tender/SplashBidNoticeAbstractUI.aspx?menuIndex=3&amp;refID=7185308&amp;Result=3","7185308")</f>
        <v>0</v>
      </c>
      <c r="B6273" t="s">
        <v>742</v>
      </c>
      <c r="C6273" t="s">
        <v>4356</v>
      </c>
      <c r="D6273" t="s">
        <v>17175</v>
      </c>
      <c r="E6273" t="s">
        <v>22662</v>
      </c>
      <c r="F6273" t="s">
        <v>29372</v>
      </c>
      <c r="G6273" t="s">
        <v>29379</v>
      </c>
      <c r="H6273" t="s">
        <v>11048</v>
      </c>
      <c r="I6273" t="s">
        <v>29407</v>
      </c>
      <c r="J6273" t="s">
        <v>30225</v>
      </c>
      <c r="K6273" t="s">
        <v>38510</v>
      </c>
      <c r="M6273" t="s">
        <v>39523</v>
      </c>
      <c r="N6273" t="s">
        <v>42669</v>
      </c>
      <c r="O6273" t="s">
        <v>42670</v>
      </c>
      <c r="P6273">
        <v>0</v>
      </c>
      <c r="Q6273">
        <v>4</v>
      </c>
      <c r="R6273" t="s">
        <v>42677</v>
      </c>
      <c r="S6273" t="s">
        <v>42830</v>
      </c>
      <c r="T6273" t="s">
        <v>44432</v>
      </c>
      <c r="U6273" t="s">
        <v>49956</v>
      </c>
      <c r="W6273" t="s">
        <v>39523</v>
      </c>
      <c r="X6273" t="s">
        <v>42678</v>
      </c>
    </row>
    <row r="6274" spans="1:24">
      <c r="A6274">
        <f>HYPERLINK("https://www.philgeps.gov.ph/GEPSNONPILOT/Tender/SplashBidNoticeAbstractUI.aspx?menuIndex=3&amp;refID=7185271&amp;Result=3","7185271")</f>
        <v>0</v>
      </c>
      <c r="B6274" t="s">
        <v>2047</v>
      </c>
      <c r="C6274" t="s">
        <v>9518</v>
      </c>
      <c r="D6274" t="s">
        <v>17189</v>
      </c>
      <c r="E6274" t="s">
        <v>22663</v>
      </c>
      <c r="F6274" t="s">
        <v>29372</v>
      </c>
      <c r="G6274" t="s">
        <v>29379</v>
      </c>
      <c r="H6274" t="s">
        <v>11048</v>
      </c>
      <c r="I6274" t="s">
        <v>8614</v>
      </c>
      <c r="J6274" t="s">
        <v>33575</v>
      </c>
      <c r="K6274" t="s">
        <v>38491</v>
      </c>
      <c r="M6274" t="s">
        <v>40945</v>
      </c>
      <c r="N6274" t="s">
        <v>42669</v>
      </c>
      <c r="O6274" t="s">
        <v>42670</v>
      </c>
      <c r="P6274">
        <v>0</v>
      </c>
      <c r="Q6274">
        <v>6</v>
      </c>
      <c r="R6274" t="s">
        <v>42677</v>
      </c>
      <c r="S6274" t="s">
        <v>42830</v>
      </c>
      <c r="T6274" t="s">
        <v>44488</v>
      </c>
      <c r="U6274" t="s">
        <v>49701</v>
      </c>
      <c r="W6274" t="s">
        <v>40945</v>
      </c>
      <c r="X6274" t="s">
        <v>42678</v>
      </c>
    </row>
    <row r="6275" spans="1:24">
      <c r="A6275">
        <f>HYPERLINK("https://www.philgeps.gov.ph/GEPSNONPILOT/Tender/SplashBidNoticeAbstractUI.aspx?menuIndex=3&amp;refID=7185303&amp;Result=3","7185303")</f>
        <v>0</v>
      </c>
      <c r="B6275" t="s">
        <v>1344</v>
      </c>
      <c r="C6275" t="s">
        <v>9519</v>
      </c>
      <c r="D6275" t="s">
        <v>17144</v>
      </c>
      <c r="E6275" t="s">
        <v>22664</v>
      </c>
      <c r="F6275" t="s">
        <v>29372</v>
      </c>
      <c r="G6275" t="s">
        <v>29379</v>
      </c>
      <c r="H6275" t="s">
        <v>11048</v>
      </c>
      <c r="I6275" t="s">
        <v>29398</v>
      </c>
      <c r="J6275" t="s">
        <v>33576</v>
      </c>
      <c r="K6275" t="s">
        <v>38510</v>
      </c>
      <c r="M6275" t="s">
        <v>40485</v>
      </c>
      <c r="N6275" t="s">
        <v>42669</v>
      </c>
      <c r="O6275" t="s">
        <v>42670</v>
      </c>
      <c r="P6275">
        <v>0</v>
      </c>
      <c r="Q6275">
        <v>1</v>
      </c>
      <c r="R6275" t="s">
        <v>42677</v>
      </c>
      <c r="S6275" t="s">
        <v>42830</v>
      </c>
      <c r="T6275" t="s">
        <v>44549</v>
      </c>
      <c r="U6275" t="s">
        <v>49957</v>
      </c>
      <c r="W6275" t="s">
        <v>40485</v>
      </c>
      <c r="X6275" t="s">
        <v>42678</v>
      </c>
    </row>
    <row r="6276" spans="1:24">
      <c r="A6276">
        <f>HYPERLINK("https://www.philgeps.gov.ph/GEPSNONPILOT/Tender/SplashBidNoticeAbstractUI.aspx?menuIndex=3&amp;refID=7185299&amp;Result=3","7185299")</f>
        <v>0</v>
      </c>
      <c r="B6276" t="s">
        <v>2136</v>
      </c>
      <c r="C6276" t="s">
        <v>9520</v>
      </c>
      <c r="E6276" t="s">
        <v>18090</v>
      </c>
      <c r="F6276" t="s">
        <v>29372</v>
      </c>
      <c r="G6276" t="s">
        <v>29380</v>
      </c>
      <c r="H6276" t="s">
        <v>11048</v>
      </c>
      <c r="I6276" t="s">
        <v>4709</v>
      </c>
      <c r="J6276" t="s">
        <v>33577</v>
      </c>
      <c r="K6276" t="s">
        <v>38490</v>
      </c>
      <c r="M6276" t="s">
        <v>41041</v>
      </c>
      <c r="N6276" t="s">
        <v>42669</v>
      </c>
      <c r="O6276" t="s">
        <v>42670</v>
      </c>
      <c r="P6276">
        <v>0</v>
      </c>
      <c r="Q6276">
        <v>0</v>
      </c>
      <c r="R6276" t="s">
        <v>42677</v>
      </c>
      <c r="S6276" t="s">
        <v>42830</v>
      </c>
      <c r="T6276" t="s">
        <v>44401</v>
      </c>
      <c r="U6276" t="s">
        <v>49958</v>
      </c>
      <c r="W6276" t="s">
        <v>41041</v>
      </c>
      <c r="X6276" t="s">
        <v>42678</v>
      </c>
    </row>
    <row r="6277" spans="1:24">
      <c r="A6277">
        <f>HYPERLINK("https://www.philgeps.gov.ph/GEPSNONPILOT/Tender/SplashBidNoticeAbstractUI.aspx?menuIndex=3&amp;refID=7185292&amp;Result=3","7185292")</f>
        <v>0</v>
      </c>
      <c r="B6277" t="s">
        <v>1839</v>
      </c>
      <c r="C6277" t="s">
        <v>9521</v>
      </c>
      <c r="D6277" t="s">
        <v>17162</v>
      </c>
      <c r="E6277" t="s">
        <v>22665</v>
      </c>
      <c r="F6277" t="s">
        <v>29372</v>
      </c>
      <c r="G6277" t="s">
        <v>29379</v>
      </c>
      <c r="H6277" t="s">
        <v>11048</v>
      </c>
      <c r="I6277" t="s">
        <v>8208</v>
      </c>
      <c r="J6277" t="s">
        <v>30596</v>
      </c>
      <c r="K6277" t="s">
        <v>38489</v>
      </c>
      <c r="M6277" t="s">
        <v>40710</v>
      </c>
      <c r="N6277" t="s">
        <v>42669</v>
      </c>
      <c r="O6277" t="s">
        <v>42670</v>
      </c>
      <c r="P6277">
        <v>0</v>
      </c>
      <c r="Q6277">
        <v>1</v>
      </c>
      <c r="R6277" t="s">
        <v>42677</v>
      </c>
      <c r="S6277" t="s">
        <v>42830</v>
      </c>
      <c r="T6277" t="s">
        <v>44512</v>
      </c>
      <c r="U6277" t="s">
        <v>49084</v>
      </c>
      <c r="W6277" t="s">
        <v>40710</v>
      </c>
      <c r="X6277" t="s">
        <v>42678</v>
      </c>
    </row>
    <row r="6278" spans="1:24">
      <c r="A6278">
        <f>HYPERLINK("https://www.philgeps.gov.ph/GEPSNONPILOT/Tender/SplashBidNoticeAbstractUI.aspx?menuIndex=3&amp;refID=7185313&amp;Result=3","7185313")</f>
        <v>0</v>
      </c>
      <c r="B6278" t="s">
        <v>2137</v>
      </c>
      <c r="C6278" t="s">
        <v>9522</v>
      </c>
      <c r="D6278" t="s">
        <v>17168</v>
      </c>
      <c r="E6278" t="s">
        <v>22666</v>
      </c>
      <c r="F6278" t="s">
        <v>29372</v>
      </c>
      <c r="G6278" t="s">
        <v>29383</v>
      </c>
      <c r="H6278" t="s">
        <v>29389</v>
      </c>
      <c r="I6278" t="s">
        <v>29417</v>
      </c>
      <c r="J6278" t="s">
        <v>33578</v>
      </c>
      <c r="K6278" t="s">
        <v>38489</v>
      </c>
      <c r="M6278" t="s">
        <v>41042</v>
      </c>
      <c r="N6278" t="s">
        <v>42669</v>
      </c>
      <c r="O6278" t="s">
        <v>42670</v>
      </c>
      <c r="P6278">
        <v>0</v>
      </c>
      <c r="Q6278">
        <v>0</v>
      </c>
      <c r="R6278" t="s">
        <v>42677</v>
      </c>
      <c r="S6278" t="s">
        <v>42830</v>
      </c>
      <c r="T6278" t="s">
        <v>44512</v>
      </c>
      <c r="U6278" t="s">
        <v>49959</v>
      </c>
      <c r="V6278" t="s">
        <v>57044</v>
      </c>
      <c r="W6278" t="s">
        <v>41042</v>
      </c>
      <c r="X6278" t="s">
        <v>42678</v>
      </c>
    </row>
    <row r="6279" spans="1:24">
      <c r="A6279">
        <f>HYPERLINK("https://www.philgeps.gov.ph/GEPSNONPILOT/Tender/SplashBidNoticeAbstractUI.aspx?menuIndex=3&amp;refID=7185298&amp;Result=3","7185298")</f>
        <v>0</v>
      </c>
      <c r="B6279" t="s">
        <v>902</v>
      </c>
      <c r="C6279" t="s">
        <v>9523</v>
      </c>
      <c r="D6279" t="s">
        <v>17205</v>
      </c>
      <c r="E6279" t="s">
        <v>22667</v>
      </c>
      <c r="F6279" t="s">
        <v>29372</v>
      </c>
      <c r="G6279" t="s">
        <v>29380</v>
      </c>
      <c r="H6279" t="s">
        <v>11048</v>
      </c>
      <c r="I6279" t="s">
        <v>29395</v>
      </c>
      <c r="J6279" t="s">
        <v>33579</v>
      </c>
      <c r="K6279" t="s">
        <v>38490</v>
      </c>
      <c r="M6279" t="s">
        <v>39695</v>
      </c>
      <c r="N6279" t="s">
        <v>42669</v>
      </c>
      <c r="O6279" t="s">
        <v>42670</v>
      </c>
      <c r="P6279">
        <v>0</v>
      </c>
      <c r="Q6279">
        <v>1</v>
      </c>
      <c r="R6279" t="s">
        <v>42677</v>
      </c>
      <c r="S6279" t="s">
        <v>42830</v>
      </c>
      <c r="T6279" t="s">
        <v>44481</v>
      </c>
      <c r="U6279" t="s">
        <v>49952</v>
      </c>
      <c r="W6279" t="s">
        <v>39695</v>
      </c>
      <c r="X6279" t="s">
        <v>42678</v>
      </c>
    </row>
    <row r="6280" spans="1:24">
      <c r="A6280">
        <f>HYPERLINK("https://www.philgeps.gov.ph/GEPSNONPILOT/Tender/SplashBidNoticeAbstractUI.aspx?menuIndex=3&amp;refID=7185284&amp;Result=3","7185284")</f>
        <v>0</v>
      </c>
      <c r="B6280" t="s">
        <v>1796</v>
      </c>
      <c r="C6280" t="s">
        <v>9524</v>
      </c>
      <c r="D6280" t="s">
        <v>17174</v>
      </c>
      <c r="E6280" t="s">
        <v>22668</v>
      </c>
      <c r="F6280" t="s">
        <v>29372</v>
      </c>
      <c r="G6280" t="s">
        <v>29380</v>
      </c>
      <c r="H6280" t="s">
        <v>11048</v>
      </c>
      <c r="I6280" t="s">
        <v>29442</v>
      </c>
      <c r="J6280" t="s">
        <v>33580</v>
      </c>
      <c r="K6280" t="s">
        <v>38510</v>
      </c>
      <c r="M6280" t="s">
        <v>40986</v>
      </c>
      <c r="N6280" t="s">
        <v>42669</v>
      </c>
      <c r="O6280" t="s">
        <v>42670</v>
      </c>
      <c r="P6280">
        <v>0</v>
      </c>
      <c r="Q6280">
        <v>2</v>
      </c>
      <c r="R6280" t="s">
        <v>42677</v>
      </c>
      <c r="S6280" t="s">
        <v>42830</v>
      </c>
      <c r="T6280" t="s">
        <v>44554</v>
      </c>
      <c r="U6280" t="s">
        <v>49960</v>
      </c>
      <c r="W6280" t="s">
        <v>40986</v>
      </c>
      <c r="X6280" t="s">
        <v>42678</v>
      </c>
    </row>
    <row r="6281" spans="1:24">
      <c r="A6281">
        <f>HYPERLINK("https://www.philgeps.gov.ph/GEPSNONPILOT/Tender/SplashBidNoticeAbstractUI.aspx?menuIndex=3&amp;refID=7185333&amp;Result=3","7185333")</f>
        <v>0</v>
      </c>
      <c r="B6281" t="s">
        <v>899</v>
      </c>
      <c r="C6281" t="s">
        <v>9525</v>
      </c>
      <c r="D6281" t="s">
        <v>17213</v>
      </c>
      <c r="E6281" t="s">
        <v>22669</v>
      </c>
      <c r="F6281" t="s">
        <v>29372</v>
      </c>
      <c r="G6281" t="s">
        <v>29379</v>
      </c>
      <c r="H6281" t="s">
        <v>11048</v>
      </c>
      <c r="I6281" t="s">
        <v>3695</v>
      </c>
      <c r="J6281" t="s">
        <v>33581</v>
      </c>
      <c r="K6281" t="s">
        <v>38488</v>
      </c>
      <c r="M6281" t="s">
        <v>39692</v>
      </c>
      <c r="N6281" t="s">
        <v>42669</v>
      </c>
      <c r="O6281" t="s">
        <v>42670</v>
      </c>
      <c r="P6281">
        <v>0</v>
      </c>
      <c r="Q6281">
        <v>0</v>
      </c>
      <c r="R6281" t="s">
        <v>42677</v>
      </c>
      <c r="S6281" t="s">
        <v>42830</v>
      </c>
      <c r="T6281" t="s">
        <v>44481</v>
      </c>
      <c r="U6281" t="s">
        <v>49961</v>
      </c>
      <c r="W6281" t="s">
        <v>39692</v>
      </c>
      <c r="X6281" t="s">
        <v>42678</v>
      </c>
    </row>
    <row r="6282" spans="1:24">
      <c r="A6282">
        <f>HYPERLINK("https://www.philgeps.gov.ph/GEPSNONPILOT/Tender/SplashBidNoticeAbstractUI.aspx?menuIndex=3&amp;refID=7185277&amp;Result=3","7185277")</f>
        <v>0</v>
      </c>
      <c r="B6282" t="s">
        <v>2138</v>
      </c>
      <c r="C6282" t="s">
        <v>9526</v>
      </c>
      <c r="D6282" t="s">
        <v>17161</v>
      </c>
      <c r="E6282" t="s">
        <v>22670</v>
      </c>
      <c r="F6282" t="s">
        <v>29372</v>
      </c>
      <c r="G6282" t="s">
        <v>29379</v>
      </c>
      <c r="H6282" t="s">
        <v>11048</v>
      </c>
      <c r="I6282" t="s">
        <v>29399</v>
      </c>
      <c r="J6282" t="s">
        <v>33582</v>
      </c>
      <c r="K6282" t="s">
        <v>38488</v>
      </c>
      <c r="M6282" t="s">
        <v>41043</v>
      </c>
      <c r="N6282" t="s">
        <v>42669</v>
      </c>
      <c r="O6282" t="s">
        <v>42670</v>
      </c>
      <c r="P6282">
        <v>0</v>
      </c>
      <c r="Q6282">
        <v>0</v>
      </c>
      <c r="R6282" t="s">
        <v>42677</v>
      </c>
      <c r="S6282" t="s">
        <v>42830</v>
      </c>
      <c r="T6282" t="s">
        <v>44430</v>
      </c>
      <c r="U6282" t="s">
        <v>49962</v>
      </c>
      <c r="V6282" t="s">
        <v>57045</v>
      </c>
      <c r="W6282" t="s">
        <v>41043</v>
      </c>
      <c r="X6282" t="s">
        <v>42678</v>
      </c>
    </row>
    <row r="6283" spans="1:24">
      <c r="A6283">
        <f>HYPERLINK("https://www.philgeps.gov.ph/GEPSNONPILOT/Tender/SplashBidNoticeAbstractUI.aspx?menuIndex=3&amp;refID=7185302&amp;Result=3","7185302")</f>
        <v>0</v>
      </c>
      <c r="B6283" t="s">
        <v>2130</v>
      </c>
      <c r="C6283" t="s">
        <v>9527</v>
      </c>
      <c r="D6283" t="s">
        <v>17160</v>
      </c>
      <c r="E6283" t="s">
        <v>22671</v>
      </c>
      <c r="F6283" t="s">
        <v>29372</v>
      </c>
      <c r="G6283" t="s">
        <v>29379</v>
      </c>
      <c r="H6283" t="s">
        <v>11048</v>
      </c>
      <c r="I6283" t="s">
        <v>3629</v>
      </c>
      <c r="J6283" t="s">
        <v>33583</v>
      </c>
      <c r="K6283" t="s">
        <v>38485</v>
      </c>
      <c r="M6283" t="s">
        <v>41035</v>
      </c>
      <c r="N6283" t="s">
        <v>42669</v>
      </c>
      <c r="O6283" t="s">
        <v>42670</v>
      </c>
      <c r="P6283">
        <v>0</v>
      </c>
      <c r="Q6283">
        <v>2</v>
      </c>
      <c r="R6283" t="s">
        <v>42677</v>
      </c>
      <c r="S6283" t="s">
        <v>42830</v>
      </c>
      <c r="T6283" t="s">
        <v>44493</v>
      </c>
      <c r="U6283" t="s">
        <v>49963</v>
      </c>
      <c r="W6283" t="s">
        <v>41035</v>
      </c>
      <c r="X6283" t="s">
        <v>42678</v>
      </c>
    </row>
    <row r="6284" spans="1:24">
      <c r="A6284">
        <f>HYPERLINK("https://www.philgeps.gov.ph/GEPSNONPILOT/Tender/SplashBidNoticeAbstractUI.aspx?menuIndex=3&amp;refID=7185324&amp;Result=3","7185324")</f>
        <v>0</v>
      </c>
      <c r="B6284" t="s">
        <v>2139</v>
      </c>
      <c r="C6284" t="s">
        <v>9528</v>
      </c>
      <c r="D6284" t="s">
        <v>17194</v>
      </c>
      <c r="E6284" t="s">
        <v>20137</v>
      </c>
      <c r="F6284" t="s">
        <v>29372</v>
      </c>
      <c r="G6284" t="s">
        <v>29380</v>
      </c>
      <c r="H6284" t="s">
        <v>11048</v>
      </c>
      <c r="I6284" t="s">
        <v>29430</v>
      </c>
      <c r="J6284" t="s">
        <v>29694</v>
      </c>
      <c r="K6284" t="s">
        <v>38488</v>
      </c>
      <c r="M6284" t="s">
        <v>41044</v>
      </c>
      <c r="N6284" t="s">
        <v>42669</v>
      </c>
      <c r="O6284" t="s">
        <v>42670</v>
      </c>
      <c r="P6284">
        <v>0</v>
      </c>
      <c r="Q6284">
        <v>2</v>
      </c>
      <c r="R6284" t="s">
        <v>42677</v>
      </c>
      <c r="S6284" t="s">
        <v>42830</v>
      </c>
      <c r="T6284" t="s">
        <v>44474</v>
      </c>
      <c r="U6284" t="s">
        <v>49964</v>
      </c>
      <c r="V6284" t="s">
        <v>57046</v>
      </c>
      <c r="W6284" t="s">
        <v>41044</v>
      </c>
      <c r="X6284" t="s">
        <v>42678</v>
      </c>
    </row>
    <row r="6285" spans="1:24">
      <c r="A6285">
        <f>HYPERLINK("https://www.philgeps.gov.ph/GEPSNONPILOT/Tender/SplashBidNoticeAbstractUI.aspx?menuIndex=3&amp;refID=7185304&amp;Result=3","7185304")</f>
        <v>0</v>
      </c>
      <c r="B6285" t="s">
        <v>2140</v>
      </c>
      <c r="C6285" t="s">
        <v>9529</v>
      </c>
      <c r="D6285" t="s">
        <v>17218</v>
      </c>
      <c r="E6285" t="s">
        <v>22672</v>
      </c>
      <c r="F6285" t="s">
        <v>29372</v>
      </c>
      <c r="G6285" t="s">
        <v>29381</v>
      </c>
      <c r="H6285" t="s">
        <v>11048</v>
      </c>
      <c r="I6285" t="s">
        <v>29450</v>
      </c>
      <c r="J6285" t="s">
        <v>29525</v>
      </c>
      <c r="K6285" t="s">
        <v>38485</v>
      </c>
      <c r="M6285" t="s">
        <v>41045</v>
      </c>
      <c r="N6285" t="s">
        <v>42669</v>
      </c>
      <c r="O6285" t="s">
        <v>42670</v>
      </c>
      <c r="P6285">
        <v>0</v>
      </c>
      <c r="Q6285">
        <v>1</v>
      </c>
      <c r="R6285" t="s">
        <v>42677</v>
      </c>
      <c r="S6285" t="s">
        <v>42830</v>
      </c>
      <c r="T6285" t="s">
        <v>44418</v>
      </c>
      <c r="U6285" t="s">
        <v>49965</v>
      </c>
      <c r="V6285" t="s">
        <v>57047</v>
      </c>
      <c r="W6285" t="s">
        <v>41045</v>
      </c>
      <c r="X6285" t="s">
        <v>42678</v>
      </c>
    </row>
    <row r="6286" spans="1:24">
      <c r="A6286">
        <f>HYPERLINK("https://www.philgeps.gov.ph/GEPSNONPILOT/Tender/SplashBidNoticeAbstractUI.aspx?menuIndex=3&amp;refID=7185322&amp;Result=3","7185322")</f>
        <v>0</v>
      </c>
      <c r="B6286" t="s">
        <v>1740</v>
      </c>
      <c r="C6286" t="s">
        <v>9530</v>
      </c>
      <c r="D6286" t="s">
        <v>17196</v>
      </c>
      <c r="E6286" t="s">
        <v>22673</v>
      </c>
      <c r="F6286" t="s">
        <v>29372</v>
      </c>
      <c r="G6286" t="s">
        <v>29380</v>
      </c>
      <c r="H6286" t="s">
        <v>29391</v>
      </c>
      <c r="I6286" t="s">
        <v>29391</v>
      </c>
      <c r="J6286" t="s">
        <v>33584</v>
      </c>
      <c r="K6286" t="s">
        <v>38485</v>
      </c>
      <c r="M6286" t="s">
        <v>40605</v>
      </c>
      <c r="N6286" t="s">
        <v>42669</v>
      </c>
      <c r="O6286" t="s">
        <v>42670</v>
      </c>
      <c r="P6286">
        <v>0</v>
      </c>
      <c r="Q6286">
        <v>7</v>
      </c>
      <c r="R6286" t="s">
        <v>42677</v>
      </c>
      <c r="S6286" t="s">
        <v>42830</v>
      </c>
      <c r="T6286" t="s">
        <v>44401</v>
      </c>
      <c r="U6286" t="s">
        <v>49966</v>
      </c>
      <c r="W6286" t="s">
        <v>58053</v>
      </c>
      <c r="X6286" t="s">
        <v>42678</v>
      </c>
    </row>
    <row r="6287" spans="1:24">
      <c r="A6287">
        <f>HYPERLINK("https://www.philgeps.gov.ph/GEPSNONPILOT/Tender/SplashBidNoticeAbstractUI.aspx?menuIndex=3&amp;refID=7185326&amp;Result=3","7185326")</f>
        <v>0</v>
      </c>
      <c r="B6287" t="s">
        <v>1515</v>
      </c>
      <c r="C6287" t="s">
        <v>9531</v>
      </c>
      <c r="D6287" t="s">
        <v>17174</v>
      </c>
      <c r="E6287" t="s">
        <v>22674</v>
      </c>
      <c r="F6287" t="s">
        <v>29372</v>
      </c>
      <c r="G6287" t="s">
        <v>29379</v>
      </c>
      <c r="H6287" t="s">
        <v>11048</v>
      </c>
      <c r="I6287" t="s">
        <v>3629</v>
      </c>
      <c r="J6287" t="s">
        <v>31107</v>
      </c>
      <c r="K6287" t="s">
        <v>38490</v>
      </c>
      <c r="M6287" t="s">
        <v>40359</v>
      </c>
      <c r="N6287" t="s">
        <v>42669</v>
      </c>
      <c r="O6287" t="s">
        <v>42670</v>
      </c>
      <c r="P6287">
        <v>0</v>
      </c>
      <c r="Q6287">
        <v>0</v>
      </c>
      <c r="R6287" t="s">
        <v>42677</v>
      </c>
      <c r="S6287" t="s">
        <v>42830</v>
      </c>
      <c r="T6287" t="s">
        <v>44432</v>
      </c>
      <c r="U6287" t="s">
        <v>49967</v>
      </c>
      <c r="W6287" t="s">
        <v>40359</v>
      </c>
      <c r="X6287" t="s">
        <v>42678</v>
      </c>
    </row>
    <row r="6288" spans="1:24">
      <c r="A6288">
        <f>HYPERLINK("https://www.philgeps.gov.ph/GEPSNONPILOT/Tender/SplashBidNoticeAbstractUI.aspx?menuIndex=3&amp;refID=7185318&amp;Result=3","7185318")</f>
        <v>0</v>
      </c>
      <c r="B6288" t="s">
        <v>669</v>
      </c>
      <c r="C6288" t="s">
        <v>9532</v>
      </c>
      <c r="D6288" t="s">
        <v>17147</v>
      </c>
      <c r="E6288" t="s">
        <v>22675</v>
      </c>
      <c r="F6288" t="s">
        <v>29372</v>
      </c>
      <c r="G6288" t="s">
        <v>29380</v>
      </c>
      <c r="H6288" t="s">
        <v>29389</v>
      </c>
      <c r="I6288" t="s">
        <v>10408</v>
      </c>
      <c r="J6288" t="s">
        <v>33585</v>
      </c>
      <c r="K6288" t="s">
        <v>38551</v>
      </c>
      <c r="M6288" t="s">
        <v>41046</v>
      </c>
      <c r="N6288" t="s">
        <v>42669</v>
      </c>
      <c r="O6288" t="s">
        <v>42670</v>
      </c>
      <c r="P6288">
        <v>0</v>
      </c>
      <c r="Q6288">
        <v>0</v>
      </c>
      <c r="R6288" t="s">
        <v>42677</v>
      </c>
      <c r="S6288" t="s">
        <v>42830</v>
      </c>
      <c r="T6288" t="s">
        <v>44450</v>
      </c>
      <c r="U6288" t="s">
        <v>49968</v>
      </c>
      <c r="V6288" t="s">
        <v>57048</v>
      </c>
      <c r="W6288" t="s">
        <v>41046</v>
      </c>
      <c r="X6288" t="s">
        <v>42678</v>
      </c>
    </row>
    <row r="6289" spans="1:24">
      <c r="A6289">
        <f>HYPERLINK("https://www.philgeps.gov.ph/GEPSNONPILOT/Tender/SplashBidNoticeAbstractUI.aspx?menuIndex=3&amp;refID=7185293&amp;Result=3","7185293")</f>
        <v>0</v>
      </c>
      <c r="B6289" t="s">
        <v>1919</v>
      </c>
      <c r="C6289" t="s">
        <v>9533</v>
      </c>
      <c r="D6289" t="s">
        <v>17194</v>
      </c>
      <c r="E6289" t="s">
        <v>22676</v>
      </c>
      <c r="F6289" t="s">
        <v>29372</v>
      </c>
      <c r="G6289" t="s">
        <v>29380</v>
      </c>
      <c r="H6289" t="s">
        <v>11048</v>
      </c>
      <c r="I6289" t="s">
        <v>29395</v>
      </c>
      <c r="J6289" t="s">
        <v>33586</v>
      </c>
      <c r="K6289" t="s">
        <v>38485</v>
      </c>
      <c r="M6289" t="s">
        <v>40794</v>
      </c>
      <c r="N6289" t="s">
        <v>42669</v>
      </c>
      <c r="O6289" t="s">
        <v>42670</v>
      </c>
      <c r="P6289">
        <v>0</v>
      </c>
      <c r="Q6289">
        <v>0</v>
      </c>
      <c r="R6289" t="s">
        <v>42677</v>
      </c>
      <c r="S6289" t="s">
        <v>42830</v>
      </c>
      <c r="T6289" t="s">
        <v>44387</v>
      </c>
      <c r="U6289" t="s">
        <v>49835</v>
      </c>
      <c r="V6289" t="s">
        <v>56972</v>
      </c>
      <c r="W6289" t="s">
        <v>40794</v>
      </c>
      <c r="X6289" t="s">
        <v>42678</v>
      </c>
    </row>
    <row r="6290" spans="1:24">
      <c r="A6290">
        <f>HYPERLINK("https://www.philgeps.gov.ph/GEPSNONPILOT/Tender/SplashBidNoticeAbstractUI.aspx?menuIndex=3&amp;refID=7185294&amp;Result=3","7185294")</f>
        <v>0</v>
      </c>
      <c r="B6290" t="s">
        <v>2141</v>
      </c>
      <c r="C6290" t="s">
        <v>5143</v>
      </c>
      <c r="D6290" t="s">
        <v>17191</v>
      </c>
      <c r="E6290" t="s">
        <v>22677</v>
      </c>
      <c r="F6290" t="s">
        <v>29372</v>
      </c>
      <c r="G6290" t="s">
        <v>29380</v>
      </c>
      <c r="H6290" t="s">
        <v>29389</v>
      </c>
      <c r="I6290" t="s">
        <v>10408</v>
      </c>
      <c r="J6290" t="s">
        <v>30056</v>
      </c>
      <c r="K6290" t="s">
        <v>38522</v>
      </c>
      <c r="M6290" t="s">
        <v>41047</v>
      </c>
      <c r="N6290" t="s">
        <v>42669</v>
      </c>
      <c r="O6290" t="s">
        <v>42670</v>
      </c>
      <c r="P6290">
        <v>0</v>
      </c>
      <c r="Q6290">
        <v>4</v>
      </c>
      <c r="R6290" t="s">
        <v>42677</v>
      </c>
      <c r="S6290" t="s">
        <v>42830</v>
      </c>
      <c r="T6290" t="s">
        <v>44684</v>
      </c>
      <c r="U6290" t="s">
        <v>49969</v>
      </c>
      <c r="W6290" t="s">
        <v>41047</v>
      </c>
      <c r="X6290" t="s">
        <v>42678</v>
      </c>
    </row>
    <row r="6291" spans="1:24">
      <c r="A6291">
        <f>HYPERLINK("https://www.philgeps.gov.ph/GEPSNONPILOT/Tender/SplashBidNoticeAbstractUI.aspx?menuIndex=3&amp;refID=7185336&amp;Result=3","7185336")</f>
        <v>0</v>
      </c>
      <c r="B6291" t="s">
        <v>1718</v>
      </c>
      <c r="C6291" t="s">
        <v>9534</v>
      </c>
      <c r="D6291" t="s">
        <v>17184</v>
      </c>
      <c r="E6291" t="s">
        <v>22678</v>
      </c>
      <c r="F6291" t="s">
        <v>29372</v>
      </c>
      <c r="G6291" t="s">
        <v>29379</v>
      </c>
      <c r="H6291" t="s">
        <v>11048</v>
      </c>
      <c r="I6291" t="s">
        <v>3597</v>
      </c>
      <c r="J6291" t="s">
        <v>33587</v>
      </c>
      <c r="K6291" t="s">
        <v>38510</v>
      </c>
      <c r="M6291" t="s">
        <v>40581</v>
      </c>
      <c r="N6291" t="s">
        <v>42669</v>
      </c>
      <c r="O6291" t="s">
        <v>42670</v>
      </c>
      <c r="P6291">
        <v>0</v>
      </c>
      <c r="Q6291">
        <v>4</v>
      </c>
      <c r="R6291" t="s">
        <v>42677</v>
      </c>
      <c r="S6291" t="s">
        <v>42830</v>
      </c>
      <c r="T6291" t="s">
        <v>44491</v>
      </c>
      <c r="U6291" t="s">
        <v>49970</v>
      </c>
      <c r="W6291" t="s">
        <v>40581</v>
      </c>
      <c r="X6291" t="s">
        <v>42678</v>
      </c>
    </row>
    <row r="6292" spans="1:24">
      <c r="A6292">
        <f>HYPERLINK("https://www.philgeps.gov.ph/GEPSNONPILOT/Tender/SplashBidNoticeAbstractUI.aspx?menuIndex=3&amp;refID=7185329&amp;Result=3","7185329")</f>
        <v>0</v>
      </c>
      <c r="B6292" t="s">
        <v>2142</v>
      </c>
      <c r="C6292" t="s">
        <v>9535</v>
      </c>
      <c r="D6292" t="s">
        <v>17188</v>
      </c>
      <c r="E6292" t="s">
        <v>17965</v>
      </c>
      <c r="F6292" t="s">
        <v>29372</v>
      </c>
      <c r="G6292" t="s">
        <v>29380</v>
      </c>
      <c r="H6292" t="s">
        <v>11048</v>
      </c>
      <c r="I6292" t="s">
        <v>9469</v>
      </c>
      <c r="J6292" t="s">
        <v>30010</v>
      </c>
      <c r="K6292" t="s">
        <v>38485</v>
      </c>
      <c r="M6292" t="s">
        <v>41048</v>
      </c>
      <c r="N6292" t="s">
        <v>42669</v>
      </c>
      <c r="O6292" t="s">
        <v>42670</v>
      </c>
      <c r="P6292">
        <v>0</v>
      </c>
      <c r="Q6292">
        <v>0</v>
      </c>
      <c r="R6292" t="s">
        <v>42677</v>
      </c>
      <c r="S6292" t="s">
        <v>42830</v>
      </c>
      <c r="T6292" t="s">
        <v>44375</v>
      </c>
      <c r="U6292" t="s">
        <v>49971</v>
      </c>
      <c r="W6292" t="s">
        <v>41048</v>
      </c>
      <c r="X6292" t="s">
        <v>42678</v>
      </c>
    </row>
    <row r="6293" spans="1:24">
      <c r="A6293">
        <f>HYPERLINK("https://www.philgeps.gov.ph/GEPSNONPILOT/Tender/SplashBidNoticeAbstractUI.aspx?menuIndex=3&amp;refID=7185361&amp;Result=3","7185361")</f>
        <v>0</v>
      </c>
      <c r="B6293" t="s">
        <v>2085</v>
      </c>
      <c r="C6293" t="s">
        <v>9536</v>
      </c>
      <c r="D6293" t="s">
        <v>17181</v>
      </c>
      <c r="E6293" t="s">
        <v>22679</v>
      </c>
      <c r="F6293" t="s">
        <v>29372</v>
      </c>
      <c r="G6293" t="s">
        <v>29380</v>
      </c>
      <c r="H6293" t="s">
        <v>11048</v>
      </c>
      <c r="I6293" t="s">
        <v>3839</v>
      </c>
      <c r="J6293" t="s">
        <v>33588</v>
      </c>
      <c r="K6293" t="s">
        <v>38485</v>
      </c>
      <c r="M6293" t="s">
        <v>40985</v>
      </c>
      <c r="N6293" t="s">
        <v>42669</v>
      </c>
      <c r="O6293" t="s">
        <v>42670</v>
      </c>
      <c r="P6293">
        <v>0</v>
      </c>
      <c r="Q6293">
        <v>3</v>
      </c>
      <c r="R6293" t="s">
        <v>42677</v>
      </c>
      <c r="S6293" t="s">
        <v>42830</v>
      </c>
      <c r="T6293" t="s">
        <v>44413</v>
      </c>
      <c r="U6293" t="s">
        <v>49972</v>
      </c>
      <c r="W6293" t="s">
        <v>40985</v>
      </c>
      <c r="X6293" t="s">
        <v>42678</v>
      </c>
    </row>
    <row r="6294" spans="1:24">
      <c r="A6294">
        <f>HYPERLINK("https://www.philgeps.gov.ph/GEPSNONPILOT/Tender/SplashBidNoticeAbstractUI.aspx?menuIndex=3&amp;refID=7185357&amp;Result=3","7185357")</f>
        <v>0</v>
      </c>
      <c r="B6294" t="s">
        <v>669</v>
      </c>
      <c r="C6294" t="s">
        <v>9537</v>
      </c>
      <c r="D6294" t="s">
        <v>17147</v>
      </c>
      <c r="E6294" t="s">
        <v>22680</v>
      </c>
      <c r="F6294" t="s">
        <v>29372</v>
      </c>
      <c r="G6294" t="s">
        <v>29380</v>
      </c>
      <c r="H6294" t="s">
        <v>29389</v>
      </c>
      <c r="I6294" t="s">
        <v>10408</v>
      </c>
      <c r="J6294" t="s">
        <v>33589</v>
      </c>
      <c r="K6294" t="s">
        <v>38507</v>
      </c>
      <c r="M6294" t="s">
        <v>41046</v>
      </c>
      <c r="N6294" t="s">
        <v>42669</v>
      </c>
      <c r="O6294" t="s">
        <v>42670</v>
      </c>
      <c r="P6294">
        <v>0</v>
      </c>
      <c r="Q6294">
        <v>0</v>
      </c>
      <c r="R6294" t="s">
        <v>42677</v>
      </c>
      <c r="S6294" t="s">
        <v>42830</v>
      </c>
      <c r="T6294" t="s">
        <v>44450</v>
      </c>
      <c r="U6294" t="s">
        <v>49973</v>
      </c>
      <c r="V6294" t="s">
        <v>57049</v>
      </c>
      <c r="W6294" t="s">
        <v>41046</v>
      </c>
      <c r="X6294" t="s">
        <v>42678</v>
      </c>
    </row>
    <row r="6295" spans="1:24">
      <c r="A6295">
        <f>HYPERLINK("https://www.philgeps.gov.ph/GEPSNONPILOT/Tender/SplashBidNoticeAbstractUI.aspx?menuIndex=3&amp;refID=7185352&amp;Result=3","7185352")</f>
        <v>0</v>
      </c>
      <c r="B6295" t="s">
        <v>1796</v>
      </c>
      <c r="C6295" t="s">
        <v>9538</v>
      </c>
      <c r="D6295" t="s">
        <v>17174</v>
      </c>
      <c r="E6295" t="s">
        <v>22681</v>
      </c>
      <c r="F6295" t="s">
        <v>29372</v>
      </c>
      <c r="G6295" t="s">
        <v>29380</v>
      </c>
      <c r="H6295" t="s">
        <v>11048</v>
      </c>
      <c r="I6295" t="s">
        <v>29442</v>
      </c>
      <c r="J6295" t="s">
        <v>33590</v>
      </c>
      <c r="K6295" t="s">
        <v>38510</v>
      </c>
      <c r="M6295" t="s">
        <v>40986</v>
      </c>
      <c r="N6295" t="s">
        <v>42669</v>
      </c>
      <c r="O6295" t="s">
        <v>42670</v>
      </c>
      <c r="P6295">
        <v>0</v>
      </c>
      <c r="Q6295">
        <v>2</v>
      </c>
      <c r="R6295" t="s">
        <v>42677</v>
      </c>
      <c r="S6295" t="s">
        <v>42830</v>
      </c>
      <c r="T6295" t="s">
        <v>44554</v>
      </c>
      <c r="U6295" t="s">
        <v>49974</v>
      </c>
      <c r="W6295" t="s">
        <v>40986</v>
      </c>
      <c r="X6295" t="s">
        <v>42678</v>
      </c>
    </row>
    <row r="6296" spans="1:24">
      <c r="A6296">
        <f>HYPERLINK("https://www.philgeps.gov.ph/GEPSNONPILOT/Tender/SplashBidNoticeAbstractUI.aspx?menuIndex=3&amp;refID=7185348&amp;Result=3","7185348")</f>
        <v>0</v>
      </c>
      <c r="B6296" t="s">
        <v>2143</v>
      </c>
      <c r="C6296" t="s">
        <v>9539</v>
      </c>
      <c r="D6296" t="s">
        <v>17176</v>
      </c>
      <c r="E6296" t="s">
        <v>22682</v>
      </c>
      <c r="F6296" t="s">
        <v>29372</v>
      </c>
      <c r="G6296" t="s">
        <v>29380</v>
      </c>
      <c r="H6296" t="s">
        <v>11048</v>
      </c>
      <c r="I6296" t="s">
        <v>29433</v>
      </c>
      <c r="J6296" t="s">
        <v>29526</v>
      </c>
      <c r="K6296" t="s">
        <v>38490</v>
      </c>
      <c r="M6296" t="s">
        <v>41049</v>
      </c>
      <c r="N6296" t="s">
        <v>42669</v>
      </c>
      <c r="O6296" t="s">
        <v>42670</v>
      </c>
      <c r="P6296">
        <v>0</v>
      </c>
      <c r="Q6296">
        <v>2</v>
      </c>
      <c r="R6296" t="s">
        <v>42677</v>
      </c>
      <c r="S6296" t="s">
        <v>42830</v>
      </c>
      <c r="T6296" t="s">
        <v>44444</v>
      </c>
      <c r="U6296" t="s">
        <v>49975</v>
      </c>
      <c r="W6296" t="s">
        <v>41049</v>
      </c>
      <c r="X6296" t="s">
        <v>42678</v>
      </c>
    </row>
    <row r="6297" spans="1:24">
      <c r="A6297">
        <f>HYPERLINK("https://www.philgeps.gov.ph/GEPSNONPILOT/Tender/SplashBidNoticeAbstractUI.aspx?menuIndex=3&amp;refID=7185286&amp;Result=3","7185286")</f>
        <v>0</v>
      </c>
      <c r="B6297" t="s">
        <v>2144</v>
      </c>
      <c r="C6297" t="s">
        <v>9540</v>
      </c>
      <c r="D6297" t="s">
        <v>17153</v>
      </c>
      <c r="E6297" t="s">
        <v>18032</v>
      </c>
      <c r="F6297" t="s">
        <v>29372</v>
      </c>
      <c r="G6297" t="s">
        <v>29379</v>
      </c>
      <c r="H6297" t="s">
        <v>11048</v>
      </c>
      <c r="I6297" t="s">
        <v>9642</v>
      </c>
      <c r="J6297" t="s">
        <v>33591</v>
      </c>
      <c r="K6297" t="s">
        <v>38518</v>
      </c>
      <c r="M6297" t="s">
        <v>41050</v>
      </c>
      <c r="N6297" t="s">
        <v>42669</v>
      </c>
      <c r="O6297" t="s">
        <v>42670</v>
      </c>
      <c r="P6297">
        <v>0</v>
      </c>
      <c r="Q6297">
        <v>9</v>
      </c>
      <c r="R6297" t="s">
        <v>42677</v>
      </c>
      <c r="S6297" t="s">
        <v>42830</v>
      </c>
      <c r="T6297" t="s">
        <v>44530</v>
      </c>
      <c r="U6297" t="s">
        <v>49976</v>
      </c>
      <c r="W6297" t="s">
        <v>41050</v>
      </c>
      <c r="X6297" t="s">
        <v>42678</v>
      </c>
    </row>
    <row r="6298" spans="1:24">
      <c r="A6298">
        <f>HYPERLINK("https://www.philgeps.gov.ph/GEPSNONPILOT/Tender/SplashBidNoticeAbstractUI.aspx?menuIndex=3&amp;refID=7185347&amp;Result=3","7185347")</f>
        <v>0</v>
      </c>
      <c r="B6298" t="s">
        <v>1225</v>
      </c>
      <c r="C6298" t="s">
        <v>9541</v>
      </c>
      <c r="D6298" t="s">
        <v>17177</v>
      </c>
      <c r="E6298" t="s">
        <v>22683</v>
      </c>
      <c r="F6298" t="s">
        <v>29372</v>
      </c>
      <c r="G6298" t="s">
        <v>29380</v>
      </c>
      <c r="H6298" t="s">
        <v>29391</v>
      </c>
      <c r="I6298" t="s">
        <v>29391</v>
      </c>
      <c r="J6298" t="s">
        <v>33592</v>
      </c>
      <c r="K6298" t="s">
        <v>38533</v>
      </c>
      <c r="M6298" t="s">
        <v>41051</v>
      </c>
      <c r="N6298" t="s">
        <v>42669</v>
      </c>
      <c r="O6298" t="s">
        <v>42670</v>
      </c>
      <c r="P6298">
        <v>0</v>
      </c>
      <c r="Q6298">
        <v>5</v>
      </c>
      <c r="R6298" t="s">
        <v>42677</v>
      </c>
      <c r="S6298" t="s">
        <v>42830</v>
      </c>
      <c r="T6298" t="s">
        <v>44425</v>
      </c>
      <c r="U6298" t="s">
        <v>49977</v>
      </c>
      <c r="W6298" t="s">
        <v>41051</v>
      </c>
      <c r="X6298" t="s">
        <v>42678</v>
      </c>
    </row>
    <row r="6299" spans="1:24">
      <c r="A6299">
        <f>HYPERLINK("https://www.philgeps.gov.ph/GEPSNONPILOT/Tender/SplashBidNoticeAbstractUI.aspx?menuIndex=3&amp;refID=7185373&amp;Result=3","7185373")</f>
        <v>0</v>
      </c>
      <c r="B6299" t="s">
        <v>1751</v>
      </c>
      <c r="C6299" t="s">
        <v>9542</v>
      </c>
      <c r="D6299" t="s">
        <v>17165</v>
      </c>
      <c r="E6299" t="s">
        <v>22684</v>
      </c>
      <c r="F6299" t="s">
        <v>29372</v>
      </c>
      <c r="G6299" t="s">
        <v>29380</v>
      </c>
      <c r="H6299" t="s">
        <v>11048</v>
      </c>
      <c r="I6299" t="s">
        <v>3695</v>
      </c>
      <c r="J6299" t="s">
        <v>33593</v>
      </c>
      <c r="K6299" t="s">
        <v>38488</v>
      </c>
      <c r="M6299" t="s">
        <v>40616</v>
      </c>
      <c r="N6299" t="s">
        <v>42669</v>
      </c>
      <c r="O6299" t="s">
        <v>42670</v>
      </c>
      <c r="P6299">
        <v>0</v>
      </c>
      <c r="Q6299">
        <v>3</v>
      </c>
      <c r="R6299" t="s">
        <v>42677</v>
      </c>
      <c r="S6299" t="s">
        <v>42830</v>
      </c>
      <c r="T6299" t="s">
        <v>44525</v>
      </c>
      <c r="U6299" t="s">
        <v>49978</v>
      </c>
      <c r="W6299" t="s">
        <v>40616</v>
      </c>
      <c r="X6299" t="s">
        <v>42678</v>
      </c>
    </row>
    <row r="6300" spans="1:24">
      <c r="A6300">
        <f>HYPERLINK("https://www.philgeps.gov.ph/GEPSNONPILOT/Tender/SplashBidNoticeAbstractUI.aspx?menuIndex=3&amp;refID=7185328&amp;Result=3","7185328")</f>
        <v>0</v>
      </c>
      <c r="B6300" t="s">
        <v>2133</v>
      </c>
      <c r="C6300" t="s">
        <v>9543</v>
      </c>
      <c r="D6300" t="s">
        <v>17183</v>
      </c>
      <c r="E6300" t="s">
        <v>22685</v>
      </c>
      <c r="F6300" t="s">
        <v>29372</v>
      </c>
      <c r="G6300" t="s">
        <v>29380</v>
      </c>
      <c r="H6300" t="s">
        <v>29389</v>
      </c>
      <c r="I6300" t="s">
        <v>29402</v>
      </c>
      <c r="J6300" t="s">
        <v>33594</v>
      </c>
      <c r="K6300" t="s">
        <v>38508</v>
      </c>
      <c r="L6300" t="s">
        <v>2133</v>
      </c>
      <c r="M6300" t="s">
        <v>41038</v>
      </c>
      <c r="N6300" t="s">
        <v>42669</v>
      </c>
      <c r="O6300" t="s">
        <v>42670</v>
      </c>
      <c r="P6300">
        <v>0</v>
      </c>
      <c r="Q6300">
        <v>0</v>
      </c>
      <c r="R6300" t="s">
        <v>42677</v>
      </c>
      <c r="S6300" t="s">
        <v>42830</v>
      </c>
      <c r="T6300" t="s">
        <v>44482</v>
      </c>
      <c r="U6300" t="s">
        <v>49979</v>
      </c>
      <c r="W6300" t="s">
        <v>41038</v>
      </c>
      <c r="X6300" t="s">
        <v>42678</v>
      </c>
    </row>
    <row r="6301" spans="1:24">
      <c r="A6301">
        <f>HYPERLINK("https://www.philgeps.gov.ph/GEPSNONPILOT/Tender/SplashBidNoticeAbstractUI.aspx?menuIndex=3&amp;refID=7185297&amp;Result=3","7185297")</f>
        <v>0</v>
      </c>
      <c r="B6301" t="s">
        <v>562</v>
      </c>
      <c r="C6301" t="s">
        <v>9544</v>
      </c>
      <c r="D6301" t="s">
        <v>17141</v>
      </c>
      <c r="E6301" t="s">
        <v>22686</v>
      </c>
      <c r="F6301" t="s">
        <v>29372</v>
      </c>
      <c r="G6301" t="s">
        <v>29379</v>
      </c>
      <c r="H6301" t="s">
        <v>11048</v>
      </c>
      <c r="I6301" t="s">
        <v>29395</v>
      </c>
      <c r="J6301" t="s">
        <v>33595</v>
      </c>
      <c r="K6301" t="s">
        <v>38491</v>
      </c>
      <c r="M6301" t="s">
        <v>39331</v>
      </c>
      <c r="N6301" t="s">
        <v>42669</v>
      </c>
      <c r="O6301" t="s">
        <v>42670</v>
      </c>
      <c r="P6301">
        <v>0</v>
      </c>
      <c r="Q6301">
        <v>2</v>
      </c>
      <c r="R6301" t="s">
        <v>42677</v>
      </c>
      <c r="S6301" t="s">
        <v>42830</v>
      </c>
      <c r="T6301" t="s">
        <v>44489</v>
      </c>
      <c r="U6301" t="s">
        <v>49980</v>
      </c>
      <c r="W6301" t="s">
        <v>39331</v>
      </c>
      <c r="X6301" t="s">
        <v>42678</v>
      </c>
    </row>
    <row r="6302" spans="1:24">
      <c r="A6302">
        <f>HYPERLINK("https://www.philgeps.gov.ph/GEPSNONPILOT/Tender/SplashBidNoticeAbstractUI.aspx?menuIndex=3&amp;refID=7185369&amp;Result=3","7185369")</f>
        <v>0</v>
      </c>
      <c r="B6302" t="s">
        <v>1252</v>
      </c>
      <c r="C6302" t="s">
        <v>9545</v>
      </c>
      <c r="D6302" t="s">
        <v>17152</v>
      </c>
      <c r="E6302" t="s">
        <v>22687</v>
      </c>
      <c r="F6302" t="s">
        <v>29372</v>
      </c>
      <c r="G6302" t="s">
        <v>29380</v>
      </c>
      <c r="H6302" t="s">
        <v>11048</v>
      </c>
      <c r="I6302" t="s">
        <v>29393</v>
      </c>
      <c r="J6302" t="s">
        <v>33596</v>
      </c>
      <c r="K6302" t="s">
        <v>38485</v>
      </c>
      <c r="M6302" t="s">
        <v>40078</v>
      </c>
      <c r="N6302" t="s">
        <v>42669</v>
      </c>
      <c r="O6302" t="s">
        <v>42670</v>
      </c>
      <c r="P6302">
        <v>0</v>
      </c>
      <c r="Q6302">
        <v>0</v>
      </c>
      <c r="R6302" t="s">
        <v>42677</v>
      </c>
      <c r="S6302" t="s">
        <v>42830</v>
      </c>
      <c r="T6302" t="s">
        <v>44474</v>
      </c>
      <c r="U6302" t="s">
        <v>49981</v>
      </c>
      <c r="V6302" t="s">
        <v>56672</v>
      </c>
      <c r="W6302" t="s">
        <v>40078</v>
      </c>
      <c r="X6302" t="s">
        <v>42678</v>
      </c>
    </row>
    <row r="6303" spans="1:24">
      <c r="A6303">
        <f>HYPERLINK("https://www.philgeps.gov.ph/GEPSNONPILOT/Tender/SplashBidNoticeAbstractUI.aspx?menuIndex=3&amp;refID=7185359&amp;Result=3","7185359")</f>
        <v>0</v>
      </c>
      <c r="B6303" t="s">
        <v>2133</v>
      </c>
      <c r="C6303" t="s">
        <v>9546</v>
      </c>
      <c r="D6303" t="s">
        <v>17183</v>
      </c>
      <c r="E6303" t="s">
        <v>22688</v>
      </c>
      <c r="F6303" t="s">
        <v>29372</v>
      </c>
      <c r="G6303" t="s">
        <v>29380</v>
      </c>
      <c r="H6303" t="s">
        <v>29389</v>
      </c>
      <c r="I6303" t="s">
        <v>29402</v>
      </c>
      <c r="J6303" t="s">
        <v>33597</v>
      </c>
      <c r="K6303" t="s">
        <v>38555</v>
      </c>
      <c r="L6303" t="s">
        <v>2133</v>
      </c>
      <c r="M6303" t="s">
        <v>41038</v>
      </c>
      <c r="N6303" t="s">
        <v>42669</v>
      </c>
      <c r="O6303" t="s">
        <v>42670</v>
      </c>
      <c r="P6303">
        <v>0</v>
      </c>
      <c r="Q6303">
        <v>0</v>
      </c>
      <c r="R6303" t="s">
        <v>42677</v>
      </c>
      <c r="S6303" t="s">
        <v>42830</v>
      </c>
      <c r="T6303" t="s">
        <v>44482</v>
      </c>
      <c r="U6303" t="s">
        <v>49982</v>
      </c>
      <c r="W6303" t="s">
        <v>41038</v>
      </c>
      <c r="X6303" t="s">
        <v>42678</v>
      </c>
    </row>
    <row r="6304" spans="1:24">
      <c r="A6304">
        <f>HYPERLINK("https://www.philgeps.gov.ph/GEPSNONPILOT/Tender/SplashBidNoticeAbstractUI.aspx?menuIndex=3&amp;refID=7185368&amp;Result=3","7185368")</f>
        <v>0</v>
      </c>
      <c r="B6304" t="s">
        <v>1718</v>
      </c>
      <c r="C6304" t="s">
        <v>9547</v>
      </c>
      <c r="D6304" t="s">
        <v>17184</v>
      </c>
      <c r="E6304" t="s">
        <v>22689</v>
      </c>
      <c r="F6304" t="s">
        <v>29372</v>
      </c>
      <c r="G6304" t="s">
        <v>29379</v>
      </c>
      <c r="H6304" t="s">
        <v>11048</v>
      </c>
      <c r="I6304" t="s">
        <v>3839</v>
      </c>
      <c r="J6304" t="s">
        <v>33471</v>
      </c>
      <c r="K6304" t="s">
        <v>38510</v>
      </c>
      <c r="M6304" t="s">
        <v>40581</v>
      </c>
      <c r="N6304" t="s">
        <v>42669</v>
      </c>
      <c r="O6304" t="s">
        <v>42670</v>
      </c>
      <c r="P6304">
        <v>0</v>
      </c>
      <c r="Q6304">
        <v>2</v>
      </c>
      <c r="R6304" t="s">
        <v>42677</v>
      </c>
      <c r="S6304" t="s">
        <v>42830</v>
      </c>
      <c r="T6304" t="s">
        <v>44491</v>
      </c>
      <c r="U6304" t="s">
        <v>49983</v>
      </c>
      <c r="W6304" t="s">
        <v>40581</v>
      </c>
      <c r="X6304" t="s">
        <v>42678</v>
      </c>
    </row>
    <row r="6305" spans="1:24">
      <c r="A6305">
        <f>HYPERLINK("https://www.philgeps.gov.ph/GEPSNONPILOT/Tender/SplashBidNoticeAbstractUI.aspx?menuIndex=3&amp;refID=7185365&amp;Result=3","7185365")</f>
        <v>0</v>
      </c>
      <c r="B6305" t="s">
        <v>2101</v>
      </c>
      <c r="C6305" t="s">
        <v>9548</v>
      </c>
      <c r="D6305" t="s">
        <v>17216</v>
      </c>
      <c r="E6305" t="s">
        <v>22690</v>
      </c>
      <c r="F6305" t="s">
        <v>29372</v>
      </c>
      <c r="G6305" t="s">
        <v>29380</v>
      </c>
      <c r="H6305" t="s">
        <v>29389</v>
      </c>
      <c r="I6305" t="s">
        <v>10408</v>
      </c>
      <c r="J6305" t="s">
        <v>33598</v>
      </c>
      <c r="K6305" t="s">
        <v>38548</v>
      </c>
      <c r="M6305" t="s">
        <v>41020</v>
      </c>
      <c r="N6305" t="s">
        <v>42669</v>
      </c>
      <c r="O6305" t="s">
        <v>42670</v>
      </c>
      <c r="P6305">
        <v>0</v>
      </c>
      <c r="Q6305">
        <v>0</v>
      </c>
      <c r="R6305" t="s">
        <v>42677</v>
      </c>
      <c r="S6305" t="s">
        <v>42830</v>
      </c>
      <c r="T6305" t="s">
        <v>44450</v>
      </c>
      <c r="U6305" t="s">
        <v>49906</v>
      </c>
      <c r="V6305" t="s">
        <v>57041</v>
      </c>
      <c r="W6305" t="s">
        <v>41020</v>
      </c>
      <c r="X6305" t="s">
        <v>42678</v>
      </c>
    </row>
    <row r="6306" spans="1:24">
      <c r="A6306">
        <f>HYPERLINK("https://www.philgeps.gov.ph/GEPSNONPILOT/Tender/SplashBidNoticeAbstractUI.aspx?menuIndex=3&amp;refID=7185362&amp;Result=3","7185362")</f>
        <v>0</v>
      </c>
      <c r="B6306" t="s">
        <v>2145</v>
      </c>
      <c r="C6306" t="s">
        <v>9549</v>
      </c>
      <c r="D6306" t="s">
        <v>17199</v>
      </c>
      <c r="E6306" t="s">
        <v>22691</v>
      </c>
      <c r="F6306" t="s">
        <v>29372</v>
      </c>
      <c r="G6306" t="s">
        <v>29380</v>
      </c>
      <c r="H6306" t="s">
        <v>11048</v>
      </c>
      <c r="I6306" t="s">
        <v>4709</v>
      </c>
      <c r="J6306" t="s">
        <v>33599</v>
      </c>
      <c r="K6306" t="s">
        <v>38485</v>
      </c>
      <c r="M6306" t="s">
        <v>41052</v>
      </c>
      <c r="N6306" t="s">
        <v>42669</v>
      </c>
      <c r="O6306" t="s">
        <v>42670</v>
      </c>
      <c r="P6306">
        <v>0</v>
      </c>
      <c r="Q6306">
        <v>0</v>
      </c>
      <c r="R6306" t="s">
        <v>42677</v>
      </c>
      <c r="S6306" t="s">
        <v>42830</v>
      </c>
      <c r="T6306" t="s">
        <v>44417</v>
      </c>
      <c r="U6306" t="s">
        <v>49984</v>
      </c>
      <c r="W6306" t="s">
        <v>41052</v>
      </c>
      <c r="X6306" t="s">
        <v>42678</v>
      </c>
    </row>
    <row r="6307" spans="1:24">
      <c r="A6307">
        <f>HYPERLINK("https://www.philgeps.gov.ph/GEPSNONPILOT/Tender/SplashBidNoticeAbstractUI.aspx?menuIndex=3&amp;refID=7185340&amp;Result=3","7185340")</f>
        <v>0</v>
      </c>
      <c r="B6307" t="s">
        <v>2129</v>
      </c>
      <c r="C6307" t="s">
        <v>9550</v>
      </c>
      <c r="D6307" t="s">
        <v>17161</v>
      </c>
      <c r="E6307" t="s">
        <v>22692</v>
      </c>
      <c r="F6307" t="s">
        <v>29372</v>
      </c>
      <c r="G6307" t="s">
        <v>29380</v>
      </c>
      <c r="H6307" t="s">
        <v>11048</v>
      </c>
      <c r="I6307" t="s">
        <v>4709</v>
      </c>
      <c r="J6307" t="s">
        <v>33600</v>
      </c>
      <c r="K6307" t="s">
        <v>38496</v>
      </c>
      <c r="M6307" t="s">
        <v>41034</v>
      </c>
      <c r="N6307" t="s">
        <v>42669</v>
      </c>
      <c r="O6307" t="s">
        <v>42670</v>
      </c>
      <c r="P6307">
        <v>0</v>
      </c>
      <c r="Q6307">
        <v>0</v>
      </c>
      <c r="R6307" t="s">
        <v>42677</v>
      </c>
      <c r="S6307" t="s">
        <v>42830</v>
      </c>
      <c r="T6307" t="s">
        <v>44446</v>
      </c>
      <c r="U6307" t="s">
        <v>49985</v>
      </c>
      <c r="W6307" t="s">
        <v>41034</v>
      </c>
      <c r="X6307" t="s">
        <v>42678</v>
      </c>
    </row>
    <row r="6308" spans="1:24">
      <c r="A6308">
        <f>HYPERLINK("https://www.philgeps.gov.ph/GEPSNONPILOT/Tender/SplashBidNoticeAbstractUI.aspx?menuIndex=3&amp;refID=7185337&amp;Result=3","7185337")</f>
        <v>0</v>
      </c>
      <c r="B6308" t="s">
        <v>1751</v>
      </c>
      <c r="C6308" t="s">
        <v>9551</v>
      </c>
      <c r="D6308" t="s">
        <v>17165</v>
      </c>
      <c r="E6308" t="s">
        <v>22693</v>
      </c>
      <c r="F6308" t="s">
        <v>29372</v>
      </c>
      <c r="G6308" t="s">
        <v>29380</v>
      </c>
      <c r="H6308" t="s">
        <v>11048</v>
      </c>
      <c r="I6308" t="s">
        <v>3695</v>
      </c>
      <c r="J6308" t="s">
        <v>33601</v>
      </c>
      <c r="K6308" t="s">
        <v>38488</v>
      </c>
      <c r="M6308" t="s">
        <v>40616</v>
      </c>
      <c r="N6308" t="s">
        <v>42669</v>
      </c>
      <c r="O6308" t="s">
        <v>42670</v>
      </c>
      <c r="P6308">
        <v>0</v>
      </c>
      <c r="Q6308">
        <v>3</v>
      </c>
      <c r="R6308" t="s">
        <v>42677</v>
      </c>
      <c r="S6308" t="s">
        <v>42830</v>
      </c>
      <c r="T6308" t="s">
        <v>44525</v>
      </c>
      <c r="U6308" t="s">
        <v>49986</v>
      </c>
      <c r="W6308" t="s">
        <v>40616</v>
      </c>
      <c r="X6308" t="s">
        <v>42678</v>
      </c>
    </row>
    <row r="6309" spans="1:24">
      <c r="A6309">
        <f>HYPERLINK("https://www.philgeps.gov.ph/GEPSNONPILOT/Tender/SplashBidNoticeAbstractUI.aspx?menuIndex=3&amp;refID=7185339&amp;Result=3","7185339")</f>
        <v>0</v>
      </c>
      <c r="B6309" t="s">
        <v>902</v>
      </c>
      <c r="C6309" t="s">
        <v>9552</v>
      </c>
      <c r="D6309" t="s">
        <v>17205</v>
      </c>
      <c r="E6309" t="s">
        <v>22694</v>
      </c>
      <c r="F6309" t="s">
        <v>29372</v>
      </c>
      <c r="G6309" t="s">
        <v>29380</v>
      </c>
      <c r="H6309" t="s">
        <v>11048</v>
      </c>
      <c r="I6309" t="s">
        <v>4487</v>
      </c>
      <c r="J6309" t="s">
        <v>33602</v>
      </c>
      <c r="K6309" t="s">
        <v>38490</v>
      </c>
      <c r="M6309" t="s">
        <v>39695</v>
      </c>
      <c r="N6309" t="s">
        <v>42669</v>
      </c>
      <c r="O6309" t="s">
        <v>42670</v>
      </c>
      <c r="P6309">
        <v>0</v>
      </c>
      <c r="Q6309">
        <v>2</v>
      </c>
      <c r="R6309" t="s">
        <v>42677</v>
      </c>
      <c r="S6309" t="s">
        <v>42830</v>
      </c>
      <c r="T6309" t="s">
        <v>44481</v>
      </c>
      <c r="U6309" t="s">
        <v>49952</v>
      </c>
      <c r="W6309" t="s">
        <v>39695</v>
      </c>
      <c r="X6309" t="s">
        <v>42678</v>
      </c>
    </row>
    <row r="6310" spans="1:24">
      <c r="A6310">
        <f>HYPERLINK("https://www.philgeps.gov.ph/GEPSNONPILOT/Tender/SplashBidNoticeAbstractUI.aspx?menuIndex=3&amp;refID=7185356&amp;Result=3","7185356")</f>
        <v>0</v>
      </c>
      <c r="B6310" t="s">
        <v>1515</v>
      </c>
      <c r="C6310" t="s">
        <v>9553</v>
      </c>
      <c r="D6310" t="s">
        <v>17174</v>
      </c>
      <c r="E6310" t="s">
        <v>22695</v>
      </c>
      <c r="F6310" t="s">
        <v>29372</v>
      </c>
      <c r="G6310" t="s">
        <v>29379</v>
      </c>
      <c r="H6310" t="s">
        <v>11048</v>
      </c>
      <c r="I6310" t="s">
        <v>29396</v>
      </c>
      <c r="J6310" t="s">
        <v>29980</v>
      </c>
      <c r="K6310" t="s">
        <v>38488</v>
      </c>
      <c r="M6310" t="s">
        <v>40359</v>
      </c>
      <c r="N6310" t="s">
        <v>42669</v>
      </c>
      <c r="O6310" t="s">
        <v>42670</v>
      </c>
      <c r="P6310">
        <v>0</v>
      </c>
      <c r="Q6310">
        <v>2</v>
      </c>
      <c r="R6310" t="s">
        <v>42677</v>
      </c>
      <c r="S6310" t="s">
        <v>42830</v>
      </c>
      <c r="T6310" t="s">
        <v>44432</v>
      </c>
      <c r="U6310" t="s">
        <v>49987</v>
      </c>
      <c r="W6310" t="s">
        <v>40359</v>
      </c>
      <c r="X6310" t="s">
        <v>42678</v>
      </c>
    </row>
    <row r="6311" spans="1:24">
      <c r="A6311">
        <f>HYPERLINK("https://www.philgeps.gov.ph/GEPSNONPILOT/Tender/SplashBidNoticeAbstractUI.aspx?menuIndex=3&amp;refID=7185374&amp;Result=3","7185374")</f>
        <v>0</v>
      </c>
      <c r="B6311" t="s">
        <v>2146</v>
      </c>
      <c r="C6311" t="s">
        <v>9554</v>
      </c>
      <c r="D6311" t="s">
        <v>17177</v>
      </c>
      <c r="E6311" t="s">
        <v>22696</v>
      </c>
      <c r="F6311" t="s">
        <v>29372</v>
      </c>
      <c r="G6311" t="s">
        <v>29379</v>
      </c>
      <c r="H6311" t="s">
        <v>29389</v>
      </c>
      <c r="I6311" t="s">
        <v>10408</v>
      </c>
      <c r="J6311" t="s">
        <v>29571</v>
      </c>
      <c r="K6311" t="s">
        <v>38490</v>
      </c>
      <c r="M6311" t="s">
        <v>41053</v>
      </c>
      <c r="N6311" t="s">
        <v>42669</v>
      </c>
      <c r="O6311" t="s">
        <v>42670</v>
      </c>
      <c r="P6311">
        <v>0</v>
      </c>
      <c r="Q6311">
        <v>1</v>
      </c>
      <c r="R6311" t="s">
        <v>42677</v>
      </c>
      <c r="S6311" t="s">
        <v>42830</v>
      </c>
      <c r="T6311" t="s">
        <v>44481</v>
      </c>
      <c r="U6311" t="s">
        <v>49988</v>
      </c>
      <c r="W6311" t="s">
        <v>41053</v>
      </c>
      <c r="X6311" t="s">
        <v>42678</v>
      </c>
    </row>
    <row r="6312" spans="1:24">
      <c r="A6312">
        <f>HYPERLINK("https://www.philgeps.gov.ph/GEPSNONPILOT/Tender/SplashBidNoticeAbstractUI.aspx?menuIndex=3&amp;refID=7185364&amp;Result=3","7185364")</f>
        <v>0</v>
      </c>
      <c r="B6312" t="s">
        <v>413</v>
      </c>
      <c r="C6312" t="s">
        <v>9555</v>
      </c>
      <c r="D6312" t="s">
        <v>17141</v>
      </c>
      <c r="E6312" t="s">
        <v>22697</v>
      </c>
      <c r="F6312" t="s">
        <v>29372</v>
      </c>
      <c r="G6312" t="s">
        <v>29382</v>
      </c>
      <c r="H6312" t="s">
        <v>11048</v>
      </c>
      <c r="I6312" t="s">
        <v>3629</v>
      </c>
      <c r="J6312" t="s">
        <v>30145</v>
      </c>
      <c r="K6312" t="s">
        <v>38518</v>
      </c>
      <c r="M6312" t="s">
        <v>39708</v>
      </c>
      <c r="N6312" t="s">
        <v>42669</v>
      </c>
      <c r="O6312" t="s">
        <v>42670</v>
      </c>
      <c r="P6312">
        <v>0</v>
      </c>
      <c r="Q6312">
        <v>5</v>
      </c>
      <c r="R6312" t="s">
        <v>42677</v>
      </c>
      <c r="S6312" t="s">
        <v>42830</v>
      </c>
      <c r="T6312" t="s">
        <v>44481</v>
      </c>
      <c r="U6312" t="s">
        <v>46704</v>
      </c>
      <c r="V6312" t="s">
        <v>57050</v>
      </c>
      <c r="W6312" t="s">
        <v>39708</v>
      </c>
      <c r="X6312" t="s">
        <v>42678</v>
      </c>
    </row>
    <row r="6313" spans="1:24">
      <c r="A6313">
        <f>HYPERLINK("https://www.philgeps.gov.ph/GEPSNONPILOT/Tender/SplashBidNoticeAbstractUI.aspx?menuIndex=3&amp;refID=7185403&amp;Result=3","7185403")</f>
        <v>0</v>
      </c>
      <c r="B6313" t="s">
        <v>2085</v>
      </c>
      <c r="C6313" t="s">
        <v>9556</v>
      </c>
      <c r="D6313" t="s">
        <v>17181</v>
      </c>
      <c r="E6313" t="s">
        <v>22698</v>
      </c>
      <c r="F6313" t="s">
        <v>29372</v>
      </c>
      <c r="G6313" t="s">
        <v>29380</v>
      </c>
      <c r="H6313" t="s">
        <v>11048</v>
      </c>
      <c r="I6313" t="s">
        <v>29434</v>
      </c>
      <c r="J6313" t="s">
        <v>31591</v>
      </c>
      <c r="K6313" t="s">
        <v>38485</v>
      </c>
      <c r="M6313" t="s">
        <v>40985</v>
      </c>
      <c r="N6313" t="s">
        <v>42669</v>
      </c>
      <c r="O6313" t="s">
        <v>42670</v>
      </c>
      <c r="P6313">
        <v>0</v>
      </c>
      <c r="Q6313">
        <v>0</v>
      </c>
      <c r="R6313" t="s">
        <v>42677</v>
      </c>
      <c r="S6313" t="s">
        <v>42830</v>
      </c>
      <c r="T6313" t="s">
        <v>44373</v>
      </c>
      <c r="U6313" t="s">
        <v>49989</v>
      </c>
      <c r="W6313" t="s">
        <v>40985</v>
      </c>
      <c r="X6313" t="s">
        <v>42678</v>
      </c>
    </row>
    <row r="6314" spans="1:24">
      <c r="A6314">
        <f>HYPERLINK("https://www.philgeps.gov.ph/GEPSNONPILOT/Tender/SplashBidNoticeAbstractUI.aspx?menuIndex=3&amp;refID=7185343&amp;Result=3","7185343")</f>
        <v>0</v>
      </c>
      <c r="B6314" t="s">
        <v>1331</v>
      </c>
      <c r="C6314" t="s">
        <v>9557</v>
      </c>
      <c r="D6314" t="s">
        <v>17168</v>
      </c>
      <c r="E6314" t="s">
        <v>22699</v>
      </c>
      <c r="F6314" t="s">
        <v>29372</v>
      </c>
      <c r="G6314" t="s">
        <v>29379</v>
      </c>
      <c r="H6314" t="s">
        <v>11048</v>
      </c>
      <c r="I6314" t="s">
        <v>3670</v>
      </c>
      <c r="J6314" t="s">
        <v>33603</v>
      </c>
      <c r="K6314" t="s">
        <v>38490</v>
      </c>
      <c r="M6314" t="s">
        <v>40375</v>
      </c>
      <c r="N6314" t="s">
        <v>42669</v>
      </c>
      <c r="O6314" t="s">
        <v>42670</v>
      </c>
      <c r="P6314">
        <v>0</v>
      </c>
      <c r="Q6314">
        <v>1</v>
      </c>
      <c r="R6314" t="s">
        <v>42677</v>
      </c>
      <c r="S6314" t="s">
        <v>42830</v>
      </c>
      <c r="T6314" t="s">
        <v>44371</v>
      </c>
      <c r="U6314" t="s">
        <v>48296</v>
      </c>
      <c r="W6314" t="s">
        <v>40375</v>
      </c>
      <c r="X6314" t="s">
        <v>42678</v>
      </c>
    </row>
    <row r="6315" spans="1:24">
      <c r="A6315">
        <f>HYPERLINK("https://www.philgeps.gov.ph/GEPSNONPILOT/Tender/SplashBidNoticeAbstractUI.aspx?menuIndex=3&amp;refID=7185395&amp;Result=3","7185395")</f>
        <v>0</v>
      </c>
      <c r="B6315" t="s">
        <v>1720</v>
      </c>
      <c r="C6315" t="s">
        <v>9558</v>
      </c>
      <c r="D6315" t="s">
        <v>17189</v>
      </c>
      <c r="E6315" t="s">
        <v>19597</v>
      </c>
      <c r="F6315" t="s">
        <v>29372</v>
      </c>
      <c r="G6315" t="s">
        <v>29380</v>
      </c>
      <c r="H6315" t="s">
        <v>11048</v>
      </c>
      <c r="I6315" t="s">
        <v>4709</v>
      </c>
      <c r="J6315" t="s">
        <v>33604</v>
      </c>
      <c r="K6315" t="s">
        <v>38510</v>
      </c>
      <c r="M6315" t="s">
        <v>40583</v>
      </c>
      <c r="N6315" t="s">
        <v>42669</v>
      </c>
      <c r="O6315" t="s">
        <v>42670</v>
      </c>
      <c r="P6315">
        <v>0</v>
      </c>
      <c r="Q6315">
        <v>1</v>
      </c>
      <c r="R6315" t="s">
        <v>42677</v>
      </c>
      <c r="S6315" t="s">
        <v>42830</v>
      </c>
      <c r="T6315" t="s">
        <v>44631</v>
      </c>
      <c r="U6315" t="s">
        <v>49990</v>
      </c>
      <c r="W6315" t="s">
        <v>40583</v>
      </c>
      <c r="X6315" t="s">
        <v>42678</v>
      </c>
    </row>
    <row r="6316" spans="1:24">
      <c r="A6316">
        <f>HYPERLINK("https://www.philgeps.gov.ph/GEPSNONPILOT/Tender/SplashBidNoticeAbstractUI.aspx?menuIndex=3&amp;refID=7185394&amp;Result=3","7185394")</f>
        <v>0</v>
      </c>
      <c r="B6316" t="s">
        <v>745</v>
      </c>
      <c r="C6316" t="s">
        <v>9559</v>
      </c>
      <c r="D6316" t="s">
        <v>17177</v>
      </c>
      <c r="E6316" t="s">
        <v>22700</v>
      </c>
      <c r="F6316" t="s">
        <v>29372</v>
      </c>
      <c r="G6316" t="s">
        <v>29380</v>
      </c>
      <c r="H6316" t="s">
        <v>29389</v>
      </c>
      <c r="I6316" t="s">
        <v>10408</v>
      </c>
      <c r="J6316" t="s">
        <v>33605</v>
      </c>
      <c r="K6316" t="s">
        <v>38495</v>
      </c>
      <c r="M6316" t="s">
        <v>39526</v>
      </c>
      <c r="N6316" t="s">
        <v>42669</v>
      </c>
      <c r="O6316" t="s">
        <v>42670</v>
      </c>
      <c r="P6316">
        <v>0</v>
      </c>
      <c r="Q6316">
        <v>7</v>
      </c>
      <c r="R6316" t="s">
        <v>42677</v>
      </c>
      <c r="S6316" t="s">
        <v>42830</v>
      </c>
      <c r="T6316" t="s">
        <v>44355</v>
      </c>
      <c r="U6316" t="s">
        <v>49991</v>
      </c>
      <c r="W6316" t="s">
        <v>39526</v>
      </c>
      <c r="X6316" t="s">
        <v>42678</v>
      </c>
    </row>
    <row r="6317" spans="1:24">
      <c r="A6317">
        <f>HYPERLINK("https://www.philgeps.gov.ph/GEPSNONPILOT/Tender/SplashBidNoticeAbstractUI.aspx?menuIndex=3&amp;refID=7185367&amp;Result=3","7185367")</f>
        <v>0</v>
      </c>
      <c r="B6317" t="s">
        <v>2147</v>
      </c>
      <c r="C6317" t="s">
        <v>9560</v>
      </c>
      <c r="D6317" t="s">
        <v>17174</v>
      </c>
      <c r="E6317" t="s">
        <v>22701</v>
      </c>
      <c r="F6317" t="s">
        <v>29372</v>
      </c>
      <c r="G6317" t="s">
        <v>29379</v>
      </c>
      <c r="H6317" t="s">
        <v>11048</v>
      </c>
      <c r="I6317" t="s">
        <v>29429</v>
      </c>
      <c r="J6317" t="s">
        <v>33606</v>
      </c>
      <c r="K6317" t="s">
        <v>38557</v>
      </c>
      <c r="M6317" t="s">
        <v>41054</v>
      </c>
      <c r="N6317" t="s">
        <v>42669</v>
      </c>
      <c r="O6317" t="s">
        <v>42670</v>
      </c>
      <c r="Q6317">
        <v>0</v>
      </c>
      <c r="R6317" t="s">
        <v>42677</v>
      </c>
      <c r="S6317" t="s">
        <v>42849</v>
      </c>
      <c r="T6317" t="s">
        <v>44417</v>
      </c>
      <c r="U6317" t="s">
        <v>49992</v>
      </c>
      <c r="W6317" t="s">
        <v>41054</v>
      </c>
      <c r="X6317" t="s">
        <v>42678</v>
      </c>
    </row>
    <row r="6318" spans="1:24">
      <c r="A6318">
        <f>HYPERLINK("https://www.philgeps.gov.ph/GEPSNONPILOT/Tender/SplashBidNoticeAbstractUI.aspx?menuIndex=3&amp;refID=7185389&amp;Result=3","7185389")</f>
        <v>0</v>
      </c>
      <c r="B6318" t="s">
        <v>1446</v>
      </c>
      <c r="C6318" t="s">
        <v>9561</v>
      </c>
      <c r="D6318" t="s">
        <v>17204</v>
      </c>
      <c r="E6318" t="s">
        <v>22702</v>
      </c>
      <c r="F6318" t="s">
        <v>29372</v>
      </c>
      <c r="G6318" t="s">
        <v>29380</v>
      </c>
      <c r="H6318" t="s">
        <v>11048</v>
      </c>
      <c r="I6318" t="s">
        <v>29407</v>
      </c>
      <c r="J6318" t="s">
        <v>33607</v>
      </c>
      <c r="K6318" t="s">
        <v>38485</v>
      </c>
      <c r="M6318" t="s">
        <v>40287</v>
      </c>
      <c r="N6318" t="s">
        <v>42669</v>
      </c>
      <c r="O6318" t="s">
        <v>42670</v>
      </c>
      <c r="P6318">
        <v>0</v>
      </c>
      <c r="Q6318">
        <v>6</v>
      </c>
      <c r="R6318" t="s">
        <v>42677</v>
      </c>
      <c r="S6318" t="s">
        <v>42830</v>
      </c>
      <c r="T6318" t="s">
        <v>44509</v>
      </c>
      <c r="U6318" t="s">
        <v>49993</v>
      </c>
      <c r="W6318" t="s">
        <v>40287</v>
      </c>
      <c r="X6318" t="s">
        <v>42678</v>
      </c>
    </row>
    <row r="6319" spans="1:24">
      <c r="A6319">
        <f>HYPERLINK("https://www.philgeps.gov.ph/GEPSNONPILOT/Tender/SplashBidNoticeAbstractUI.aspx?menuIndex=3&amp;refID=7185376&amp;Result=3","7185376")</f>
        <v>0</v>
      </c>
      <c r="B6319" t="s">
        <v>2140</v>
      </c>
      <c r="C6319" t="s">
        <v>9562</v>
      </c>
      <c r="D6319" t="s">
        <v>17153</v>
      </c>
      <c r="E6319" t="s">
        <v>22703</v>
      </c>
      <c r="F6319" t="s">
        <v>29372</v>
      </c>
      <c r="G6319" t="s">
        <v>29381</v>
      </c>
      <c r="H6319" t="s">
        <v>11048</v>
      </c>
      <c r="I6319" t="s">
        <v>3952</v>
      </c>
      <c r="J6319" t="s">
        <v>33608</v>
      </c>
      <c r="K6319" t="s">
        <v>38496</v>
      </c>
      <c r="M6319" t="s">
        <v>41045</v>
      </c>
      <c r="N6319" t="s">
        <v>42669</v>
      </c>
      <c r="O6319" t="s">
        <v>42670</v>
      </c>
      <c r="P6319">
        <v>0</v>
      </c>
      <c r="Q6319">
        <v>5</v>
      </c>
      <c r="R6319" t="s">
        <v>42677</v>
      </c>
      <c r="S6319" t="s">
        <v>42830</v>
      </c>
      <c r="T6319" t="s">
        <v>44418</v>
      </c>
      <c r="U6319" t="s">
        <v>49965</v>
      </c>
      <c r="V6319" t="s">
        <v>57051</v>
      </c>
      <c r="W6319" t="s">
        <v>41045</v>
      </c>
      <c r="X6319" t="s">
        <v>42678</v>
      </c>
    </row>
    <row r="6320" spans="1:24">
      <c r="A6320">
        <f>HYPERLINK("https://www.philgeps.gov.ph/GEPSNONPILOT/Tender/SplashBidNoticeAbstractUI.aspx?menuIndex=3&amp;refID=7185387&amp;Result=3","7185387")</f>
        <v>0</v>
      </c>
      <c r="B6320" t="s">
        <v>2148</v>
      </c>
      <c r="C6320" t="s">
        <v>9563</v>
      </c>
      <c r="D6320" t="s">
        <v>17169</v>
      </c>
      <c r="E6320" t="s">
        <v>22704</v>
      </c>
      <c r="F6320" t="s">
        <v>29372</v>
      </c>
      <c r="G6320" t="s">
        <v>29380</v>
      </c>
      <c r="H6320" t="s">
        <v>11048</v>
      </c>
      <c r="I6320" t="s">
        <v>3670</v>
      </c>
      <c r="J6320" t="s">
        <v>33609</v>
      </c>
      <c r="K6320" t="s">
        <v>38490</v>
      </c>
      <c r="M6320" t="s">
        <v>41055</v>
      </c>
      <c r="N6320" t="s">
        <v>42669</v>
      </c>
      <c r="O6320" t="s">
        <v>42670</v>
      </c>
      <c r="P6320">
        <v>0</v>
      </c>
      <c r="Q6320">
        <v>0</v>
      </c>
      <c r="R6320" t="s">
        <v>42677</v>
      </c>
      <c r="S6320" t="s">
        <v>42830</v>
      </c>
      <c r="T6320" t="s">
        <v>44481</v>
      </c>
      <c r="U6320" t="s">
        <v>49994</v>
      </c>
      <c r="W6320" t="s">
        <v>41055</v>
      </c>
      <c r="X6320" t="s">
        <v>42678</v>
      </c>
    </row>
    <row r="6321" spans="1:24">
      <c r="A6321">
        <f>HYPERLINK("https://www.philgeps.gov.ph/GEPSNONPILOT/Tender/SplashBidNoticeAbstractUI.aspx?menuIndex=3&amp;refID=7185416&amp;Result=3","7185416")</f>
        <v>0</v>
      </c>
      <c r="B6321" t="s">
        <v>2133</v>
      </c>
      <c r="C6321" t="s">
        <v>9564</v>
      </c>
      <c r="D6321" t="s">
        <v>17183</v>
      </c>
      <c r="E6321" t="s">
        <v>22705</v>
      </c>
      <c r="F6321" t="s">
        <v>29372</v>
      </c>
      <c r="G6321" t="s">
        <v>29380</v>
      </c>
      <c r="H6321" t="s">
        <v>29389</v>
      </c>
      <c r="I6321" t="s">
        <v>29402</v>
      </c>
      <c r="J6321" t="s">
        <v>33610</v>
      </c>
      <c r="K6321" t="s">
        <v>38644</v>
      </c>
      <c r="L6321" t="s">
        <v>2133</v>
      </c>
      <c r="M6321" t="s">
        <v>41038</v>
      </c>
      <c r="N6321" t="s">
        <v>42669</v>
      </c>
      <c r="O6321" t="s">
        <v>42670</v>
      </c>
      <c r="P6321">
        <v>0</v>
      </c>
      <c r="Q6321">
        <v>0</v>
      </c>
      <c r="R6321" t="s">
        <v>42677</v>
      </c>
      <c r="S6321" t="s">
        <v>42830</v>
      </c>
      <c r="T6321" t="s">
        <v>44482</v>
      </c>
      <c r="U6321" t="s">
        <v>49995</v>
      </c>
      <c r="W6321" t="s">
        <v>41038</v>
      </c>
      <c r="X6321" t="s">
        <v>42678</v>
      </c>
    </row>
    <row r="6322" spans="1:24">
      <c r="A6322">
        <f>HYPERLINK("https://www.philgeps.gov.ph/GEPSNONPILOT/Tender/SplashBidNoticeAbstractUI.aspx?menuIndex=3&amp;refID=7185399&amp;Result=3","7185399")</f>
        <v>0</v>
      </c>
      <c r="B6322" t="s">
        <v>413</v>
      </c>
      <c r="C6322" t="s">
        <v>9565</v>
      </c>
      <c r="D6322" t="s">
        <v>17141</v>
      </c>
      <c r="E6322" t="s">
        <v>22706</v>
      </c>
      <c r="F6322" t="s">
        <v>29372</v>
      </c>
      <c r="G6322" t="s">
        <v>29379</v>
      </c>
      <c r="H6322" t="s">
        <v>11048</v>
      </c>
      <c r="I6322" t="s">
        <v>29433</v>
      </c>
      <c r="J6322" t="s">
        <v>30036</v>
      </c>
      <c r="K6322" t="s">
        <v>38485</v>
      </c>
      <c r="M6322" t="s">
        <v>41056</v>
      </c>
      <c r="N6322" t="s">
        <v>42669</v>
      </c>
      <c r="O6322" t="s">
        <v>42670</v>
      </c>
      <c r="P6322">
        <v>0</v>
      </c>
      <c r="Q6322">
        <v>8</v>
      </c>
      <c r="R6322" t="s">
        <v>42677</v>
      </c>
      <c r="S6322" t="s">
        <v>42830</v>
      </c>
      <c r="T6322" t="s">
        <v>44412</v>
      </c>
      <c r="U6322" t="s">
        <v>46704</v>
      </c>
      <c r="V6322" t="s">
        <v>57052</v>
      </c>
      <c r="W6322" t="s">
        <v>41056</v>
      </c>
      <c r="X6322" t="s">
        <v>42678</v>
      </c>
    </row>
    <row r="6323" spans="1:24">
      <c r="A6323">
        <f>HYPERLINK("https://www.philgeps.gov.ph/GEPSNONPILOT/Tender/SplashBidNoticeAbstractUI.aspx?menuIndex=3&amp;refID=7185415&amp;Result=3","7185415")</f>
        <v>0</v>
      </c>
      <c r="B6323" t="s">
        <v>1796</v>
      </c>
      <c r="C6323" t="s">
        <v>9566</v>
      </c>
      <c r="D6323" t="s">
        <v>17174</v>
      </c>
      <c r="E6323" t="s">
        <v>22707</v>
      </c>
      <c r="F6323" t="s">
        <v>29372</v>
      </c>
      <c r="G6323" t="s">
        <v>29380</v>
      </c>
      <c r="H6323" t="s">
        <v>11048</v>
      </c>
      <c r="I6323" t="s">
        <v>29442</v>
      </c>
      <c r="J6323" t="s">
        <v>30742</v>
      </c>
      <c r="K6323" t="s">
        <v>38510</v>
      </c>
      <c r="M6323" t="s">
        <v>40986</v>
      </c>
      <c r="N6323" t="s">
        <v>42669</v>
      </c>
      <c r="O6323" t="s">
        <v>42670</v>
      </c>
      <c r="P6323">
        <v>0</v>
      </c>
      <c r="Q6323">
        <v>1</v>
      </c>
      <c r="R6323" t="s">
        <v>42677</v>
      </c>
      <c r="S6323" t="s">
        <v>42830</v>
      </c>
      <c r="T6323" t="s">
        <v>44554</v>
      </c>
      <c r="U6323" t="s">
        <v>49996</v>
      </c>
      <c r="W6323" t="s">
        <v>40986</v>
      </c>
      <c r="X6323" t="s">
        <v>42678</v>
      </c>
    </row>
    <row r="6324" spans="1:24">
      <c r="A6324">
        <f>HYPERLINK("https://www.philgeps.gov.ph/GEPSNONPILOT/Tender/SplashBidNoticeAbstractUI.aspx?menuIndex=3&amp;refID=7185396&amp;Result=3","7185396")</f>
        <v>0</v>
      </c>
      <c r="B6324" t="s">
        <v>2146</v>
      </c>
      <c r="C6324" t="s">
        <v>9567</v>
      </c>
      <c r="D6324" t="s">
        <v>17177</v>
      </c>
      <c r="E6324" t="s">
        <v>22708</v>
      </c>
      <c r="F6324" t="s">
        <v>29372</v>
      </c>
      <c r="G6324" t="s">
        <v>29379</v>
      </c>
      <c r="H6324" t="s">
        <v>29389</v>
      </c>
      <c r="I6324" t="s">
        <v>10408</v>
      </c>
      <c r="J6324" t="s">
        <v>30194</v>
      </c>
      <c r="K6324" t="s">
        <v>38490</v>
      </c>
      <c r="M6324" t="s">
        <v>41053</v>
      </c>
      <c r="N6324" t="s">
        <v>42669</v>
      </c>
      <c r="O6324" t="s">
        <v>42670</v>
      </c>
      <c r="P6324">
        <v>0</v>
      </c>
      <c r="Q6324">
        <v>1</v>
      </c>
      <c r="R6324" t="s">
        <v>42677</v>
      </c>
      <c r="S6324" t="s">
        <v>42830</v>
      </c>
      <c r="T6324" t="s">
        <v>44481</v>
      </c>
      <c r="U6324" t="s">
        <v>49997</v>
      </c>
      <c r="W6324" t="s">
        <v>41053</v>
      </c>
      <c r="X6324" t="s">
        <v>42678</v>
      </c>
    </row>
    <row r="6325" spans="1:24">
      <c r="A6325">
        <f>HYPERLINK("https://www.philgeps.gov.ph/GEPSNONPILOT/Tender/SplashBidNoticeAbstractUI.aspx?menuIndex=3&amp;refID=7185414&amp;Result=3","7185414")</f>
        <v>0</v>
      </c>
      <c r="B6325" t="s">
        <v>2149</v>
      </c>
      <c r="C6325" t="s">
        <v>9568</v>
      </c>
      <c r="D6325" t="s">
        <v>17142</v>
      </c>
      <c r="E6325" t="s">
        <v>22709</v>
      </c>
      <c r="F6325" t="s">
        <v>29372</v>
      </c>
      <c r="G6325" t="s">
        <v>29380</v>
      </c>
      <c r="H6325" t="s">
        <v>11048</v>
      </c>
      <c r="I6325" t="s">
        <v>9469</v>
      </c>
      <c r="J6325" t="s">
        <v>33611</v>
      </c>
      <c r="K6325" t="s">
        <v>38534</v>
      </c>
      <c r="M6325" t="s">
        <v>41057</v>
      </c>
      <c r="N6325" t="s">
        <v>42669</v>
      </c>
      <c r="O6325" t="s">
        <v>42670</v>
      </c>
      <c r="P6325">
        <v>0</v>
      </c>
      <c r="Q6325">
        <v>0</v>
      </c>
      <c r="R6325" t="s">
        <v>42677</v>
      </c>
      <c r="S6325" t="s">
        <v>42830</v>
      </c>
      <c r="T6325" t="s">
        <v>44429</v>
      </c>
      <c r="U6325" t="s">
        <v>49998</v>
      </c>
      <c r="W6325" t="s">
        <v>41057</v>
      </c>
      <c r="X6325" t="s">
        <v>42678</v>
      </c>
    </row>
    <row r="6326" spans="1:24">
      <c r="A6326">
        <f>HYPERLINK("https://www.philgeps.gov.ph/GEPSNONPILOT/Tender/SplashBidNoticeAbstractUI.aspx?menuIndex=3&amp;refID=7185413&amp;Result=3","7185413")</f>
        <v>0</v>
      </c>
      <c r="B6326" t="s">
        <v>1922</v>
      </c>
      <c r="C6326" t="s">
        <v>9569</v>
      </c>
      <c r="D6326" t="s">
        <v>17172</v>
      </c>
      <c r="E6326" t="s">
        <v>22710</v>
      </c>
      <c r="F6326" t="s">
        <v>29372</v>
      </c>
      <c r="G6326" t="s">
        <v>29380</v>
      </c>
      <c r="H6326" t="s">
        <v>11048</v>
      </c>
      <c r="I6326" t="s">
        <v>3839</v>
      </c>
      <c r="J6326" t="s">
        <v>32201</v>
      </c>
      <c r="K6326" t="s">
        <v>38488</v>
      </c>
      <c r="M6326" t="s">
        <v>40798</v>
      </c>
      <c r="N6326" t="s">
        <v>42669</v>
      </c>
      <c r="O6326" t="s">
        <v>42670</v>
      </c>
      <c r="P6326">
        <v>0</v>
      </c>
      <c r="Q6326">
        <v>3</v>
      </c>
      <c r="R6326" t="s">
        <v>42677</v>
      </c>
      <c r="S6326" t="s">
        <v>42830</v>
      </c>
      <c r="T6326" t="s">
        <v>44368</v>
      </c>
      <c r="U6326" t="s">
        <v>49999</v>
      </c>
      <c r="W6326" t="s">
        <v>40798</v>
      </c>
      <c r="X6326" t="s">
        <v>42678</v>
      </c>
    </row>
    <row r="6327" spans="1:24">
      <c r="A6327">
        <f>HYPERLINK("https://www.philgeps.gov.ph/GEPSNONPILOT/Tender/SplashBidNoticeAbstractUI.aspx?menuIndex=3&amp;refID=7185409&amp;Result=3","7185409")</f>
        <v>0</v>
      </c>
      <c r="B6327" t="s">
        <v>2150</v>
      </c>
      <c r="C6327" t="s">
        <v>9570</v>
      </c>
      <c r="D6327" t="s">
        <v>17179</v>
      </c>
      <c r="E6327" t="s">
        <v>17533</v>
      </c>
      <c r="F6327" t="s">
        <v>29372</v>
      </c>
      <c r="G6327" t="s">
        <v>29380</v>
      </c>
      <c r="H6327" t="s">
        <v>11048</v>
      </c>
      <c r="I6327" t="s">
        <v>4709</v>
      </c>
      <c r="J6327" t="s">
        <v>33612</v>
      </c>
      <c r="K6327" t="s">
        <v>38491</v>
      </c>
      <c r="M6327" t="s">
        <v>41058</v>
      </c>
      <c r="N6327" t="s">
        <v>42669</v>
      </c>
      <c r="O6327" t="s">
        <v>42670</v>
      </c>
      <c r="P6327">
        <v>0</v>
      </c>
      <c r="Q6327">
        <v>0</v>
      </c>
      <c r="R6327" t="s">
        <v>42677</v>
      </c>
      <c r="S6327" t="s">
        <v>42830</v>
      </c>
      <c r="T6327" t="s">
        <v>44517</v>
      </c>
      <c r="U6327" t="s">
        <v>50000</v>
      </c>
      <c r="W6327" t="s">
        <v>41058</v>
      </c>
      <c r="X6327" t="s">
        <v>42678</v>
      </c>
    </row>
    <row r="6328" spans="1:24">
      <c r="A6328">
        <f>HYPERLINK("https://www.philgeps.gov.ph/GEPSNONPILOT/Tender/SplashBidNoticeAbstractUI.aspx?menuIndex=3&amp;refID=7185380&amp;Result=3","7185380")</f>
        <v>0</v>
      </c>
      <c r="B6328" t="s">
        <v>2141</v>
      </c>
      <c r="C6328" t="s">
        <v>9571</v>
      </c>
      <c r="D6328" t="s">
        <v>17191</v>
      </c>
      <c r="E6328" t="s">
        <v>22711</v>
      </c>
      <c r="F6328" t="s">
        <v>29372</v>
      </c>
      <c r="G6328" t="s">
        <v>29380</v>
      </c>
      <c r="H6328" t="s">
        <v>29389</v>
      </c>
      <c r="I6328" t="s">
        <v>10408</v>
      </c>
      <c r="J6328" t="s">
        <v>33613</v>
      </c>
      <c r="K6328" t="s">
        <v>38522</v>
      </c>
      <c r="M6328" t="s">
        <v>41047</v>
      </c>
      <c r="N6328" t="s">
        <v>42669</v>
      </c>
      <c r="O6328" t="s">
        <v>42670</v>
      </c>
      <c r="P6328">
        <v>0</v>
      </c>
      <c r="Q6328">
        <v>4</v>
      </c>
      <c r="R6328" t="s">
        <v>42677</v>
      </c>
      <c r="S6328" t="s">
        <v>42830</v>
      </c>
      <c r="T6328" t="s">
        <v>44684</v>
      </c>
      <c r="U6328" t="s">
        <v>50001</v>
      </c>
      <c r="W6328" t="s">
        <v>41047</v>
      </c>
      <c r="X6328" t="s">
        <v>42678</v>
      </c>
    </row>
    <row r="6329" spans="1:24">
      <c r="A6329">
        <f>HYPERLINK("https://www.philgeps.gov.ph/GEPSNONPILOT/Tender/SplashBidNoticeAbstractUI.aspx?menuIndex=3&amp;refID=7185425&amp;Result=3","7185425")</f>
        <v>0</v>
      </c>
      <c r="B6329" t="s">
        <v>742</v>
      </c>
      <c r="C6329" t="s">
        <v>4356</v>
      </c>
      <c r="D6329" t="s">
        <v>17175</v>
      </c>
      <c r="E6329" t="s">
        <v>22712</v>
      </c>
      <c r="F6329" t="s">
        <v>29372</v>
      </c>
      <c r="G6329" t="s">
        <v>29379</v>
      </c>
      <c r="H6329" t="s">
        <v>11048</v>
      </c>
      <c r="I6329" t="s">
        <v>29407</v>
      </c>
      <c r="J6329" t="s">
        <v>33614</v>
      </c>
      <c r="K6329" t="s">
        <v>38510</v>
      </c>
      <c r="M6329" t="s">
        <v>39523</v>
      </c>
      <c r="N6329" t="s">
        <v>42669</v>
      </c>
      <c r="O6329" t="s">
        <v>42670</v>
      </c>
      <c r="P6329">
        <v>0</v>
      </c>
      <c r="Q6329">
        <v>6</v>
      </c>
      <c r="R6329" t="s">
        <v>42677</v>
      </c>
      <c r="S6329" t="s">
        <v>42830</v>
      </c>
      <c r="T6329" t="s">
        <v>44432</v>
      </c>
      <c r="U6329" t="s">
        <v>50002</v>
      </c>
      <c r="W6329" t="s">
        <v>39523</v>
      </c>
      <c r="X6329" t="s">
        <v>42678</v>
      </c>
    </row>
    <row r="6330" spans="1:24">
      <c r="A6330">
        <f>HYPERLINK("https://www.philgeps.gov.ph/GEPSNONPILOT/Tender/SplashBidNoticeAbstractUI.aspx?menuIndex=3&amp;refID=7185424&amp;Result=3","7185424")</f>
        <v>0</v>
      </c>
      <c r="B6330" t="s">
        <v>2130</v>
      </c>
      <c r="C6330" t="s">
        <v>9572</v>
      </c>
      <c r="D6330" t="s">
        <v>17160</v>
      </c>
      <c r="E6330" t="s">
        <v>22713</v>
      </c>
      <c r="F6330" t="s">
        <v>29372</v>
      </c>
      <c r="G6330" t="s">
        <v>29379</v>
      </c>
      <c r="H6330" t="s">
        <v>11048</v>
      </c>
      <c r="I6330" t="s">
        <v>29399</v>
      </c>
      <c r="J6330" t="s">
        <v>33615</v>
      </c>
      <c r="K6330" t="s">
        <v>38496</v>
      </c>
      <c r="M6330" t="s">
        <v>41035</v>
      </c>
      <c r="N6330" t="s">
        <v>42669</v>
      </c>
      <c r="O6330" t="s">
        <v>42670</v>
      </c>
      <c r="P6330">
        <v>0</v>
      </c>
      <c r="Q6330">
        <v>7</v>
      </c>
      <c r="R6330" t="s">
        <v>42677</v>
      </c>
      <c r="S6330" t="s">
        <v>42830</v>
      </c>
      <c r="T6330" t="s">
        <v>44493</v>
      </c>
      <c r="U6330" t="s">
        <v>50003</v>
      </c>
      <c r="W6330" t="s">
        <v>41035</v>
      </c>
      <c r="X6330" t="s">
        <v>42678</v>
      </c>
    </row>
    <row r="6331" spans="1:24">
      <c r="A6331">
        <f>HYPERLINK("https://www.philgeps.gov.ph/GEPSNONPILOT/Tender/SplashBidNoticeAbstractUI.aspx?menuIndex=3&amp;refID=7185400&amp;Result=3","7185400")</f>
        <v>0</v>
      </c>
      <c r="B6331" t="s">
        <v>2126</v>
      </c>
      <c r="C6331" t="s">
        <v>9573</v>
      </c>
      <c r="D6331" t="s">
        <v>17150</v>
      </c>
      <c r="E6331" t="s">
        <v>22714</v>
      </c>
      <c r="F6331" t="s">
        <v>29372</v>
      </c>
      <c r="G6331" t="s">
        <v>29380</v>
      </c>
      <c r="H6331" t="s">
        <v>29389</v>
      </c>
      <c r="I6331" t="s">
        <v>10408</v>
      </c>
      <c r="J6331" t="s">
        <v>33616</v>
      </c>
      <c r="K6331" t="s">
        <v>38487</v>
      </c>
      <c r="M6331" t="s">
        <v>41031</v>
      </c>
      <c r="N6331" t="s">
        <v>42669</v>
      </c>
      <c r="O6331" t="s">
        <v>42670</v>
      </c>
      <c r="P6331">
        <v>0</v>
      </c>
      <c r="Q6331">
        <v>2</v>
      </c>
      <c r="R6331" t="s">
        <v>42677</v>
      </c>
      <c r="S6331" t="s">
        <v>42830</v>
      </c>
      <c r="T6331" t="s">
        <v>44503</v>
      </c>
      <c r="U6331" t="s">
        <v>50004</v>
      </c>
      <c r="W6331" t="s">
        <v>41031</v>
      </c>
      <c r="X6331" t="s">
        <v>42678</v>
      </c>
    </row>
    <row r="6332" spans="1:24">
      <c r="A6332">
        <f>HYPERLINK("https://www.philgeps.gov.ph/GEPSNONPILOT/Tender/SplashBidNoticeAbstractUI.aspx?menuIndex=3&amp;refID=7185420&amp;Result=3","7185420")</f>
        <v>0</v>
      </c>
      <c r="B6332" t="s">
        <v>1236</v>
      </c>
      <c r="C6332" t="s">
        <v>9574</v>
      </c>
      <c r="D6332" t="s">
        <v>17212</v>
      </c>
      <c r="E6332" t="s">
        <v>22715</v>
      </c>
      <c r="F6332" t="s">
        <v>29372</v>
      </c>
      <c r="G6332" t="s">
        <v>29379</v>
      </c>
      <c r="H6332" t="s">
        <v>29389</v>
      </c>
      <c r="I6332" t="s">
        <v>29429</v>
      </c>
      <c r="J6332" t="s">
        <v>33617</v>
      </c>
      <c r="K6332" t="s">
        <v>38496</v>
      </c>
      <c r="M6332" t="s">
        <v>40057</v>
      </c>
      <c r="N6332" t="s">
        <v>42669</v>
      </c>
      <c r="O6332" t="s">
        <v>42670</v>
      </c>
      <c r="P6332">
        <v>0</v>
      </c>
      <c r="Q6332">
        <v>1</v>
      </c>
      <c r="R6332" t="s">
        <v>42677</v>
      </c>
      <c r="S6332" t="s">
        <v>42830</v>
      </c>
      <c r="T6332" t="s">
        <v>44488</v>
      </c>
      <c r="U6332" t="s">
        <v>50005</v>
      </c>
      <c r="W6332" t="s">
        <v>40057</v>
      </c>
      <c r="X6332" t="s">
        <v>42678</v>
      </c>
    </row>
    <row r="6333" spans="1:24">
      <c r="A6333">
        <f>HYPERLINK("https://www.philgeps.gov.ph/GEPSNONPILOT/Tender/SplashBidNoticeAbstractUI.aspx?menuIndex=3&amp;refID=7185458&amp;Result=3","7185458")</f>
        <v>0</v>
      </c>
      <c r="B6333" t="s">
        <v>2151</v>
      </c>
      <c r="C6333" t="s">
        <v>9575</v>
      </c>
      <c r="E6333" t="s">
        <v>22716</v>
      </c>
      <c r="F6333" t="s">
        <v>29372</v>
      </c>
      <c r="G6333" t="s">
        <v>29380</v>
      </c>
      <c r="H6333" t="s">
        <v>29389</v>
      </c>
      <c r="I6333" t="s">
        <v>10408</v>
      </c>
      <c r="J6333" t="s">
        <v>33618</v>
      </c>
      <c r="K6333" t="s">
        <v>38490</v>
      </c>
      <c r="M6333" t="s">
        <v>41059</v>
      </c>
      <c r="N6333" t="s">
        <v>42669</v>
      </c>
      <c r="O6333" t="s">
        <v>42670</v>
      </c>
      <c r="P6333">
        <v>0</v>
      </c>
      <c r="Q6333">
        <v>1</v>
      </c>
      <c r="R6333" t="s">
        <v>42677</v>
      </c>
      <c r="S6333" t="s">
        <v>42830</v>
      </c>
      <c r="T6333" t="s">
        <v>44368</v>
      </c>
      <c r="U6333" t="s">
        <v>50006</v>
      </c>
      <c r="V6333" t="s">
        <v>57053</v>
      </c>
      <c r="W6333" t="s">
        <v>41059</v>
      </c>
      <c r="X6333" t="s">
        <v>42678</v>
      </c>
    </row>
    <row r="6334" spans="1:24">
      <c r="A6334">
        <f>HYPERLINK("https://www.philgeps.gov.ph/GEPSNONPILOT/Tender/SplashBidNoticeAbstractUI.aspx?menuIndex=3&amp;refID=7185453&amp;Result=3","7185453")</f>
        <v>0</v>
      </c>
      <c r="B6334" t="s">
        <v>2139</v>
      </c>
      <c r="C6334" t="s">
        <v>9576</v>
      </c>
      <c r="D6334" t="s">
        <v>17194</v>
      </c>
      <c r="E6334" t="s">
        <v>18028</v>
      </c>
      <c r="F6334" t="s">
        <v>29372</v>
      </c>
      <c r="G6334" t="s">
        <v>29380</v>
      </c>
      <c r="H6334" t="s">
        <v>11048</v>
      </c>
      <c r="I6334" t="s">
        <v>3839</v>
      </c>
      <c r="J6334" t="s">
        <v>33619</v>
      </c>
      <c r="K6334" t="s">
        <v>38488</v>
      </c>
      <c r="M6334" t="s">
        <v>41044</v>
      </c>
      <c r="N6334" t="s">
        <v>42669</v>
      </c>
      <c r="O6334" t="s">
        <v>42670</v>
      </c>
      <c r="P6334">
        <v>0</v>
      </c>
      <c r="Q6334">
        <v>2</v>
      </c>
      <c r="R6334" t="s">
        <v>42677</v>
      </c>
      <c r="S6334" t="s">
        <v>42830</v>
      </c>
      <c r="T6334" t="s">
        <v>44474</v>
      </c>
      <c r="U6334" t="s">
        <v>50007</v>
      </c>
      <c r="V6334" t="s">
        <v>57054</v>
      </c>
      <c r="W6334" t="s">
        <v>41044</v>
      </c>
      <c r="X6334" t="s">
        <v>42678</v>
      </c>
    </row>
    <row r="6335" spans="1:24">
      <c r="A6335">
        <f>HYPERLINK("https://www.philgeps.gov.ph/GEPSNONPILOT/Tender/SplashBidNoticeAbstractUI.aspx?menuIndex=3&amp;refID=7185381&amp;Result=3","7185381")</f>
        <v>0</v>
      </c>
      <c r="B6335" t="s">
        <v>2152</v>
      </c>
      <c r="C6335" t="s">
        <v>9577</v>
      </c>
      <c r="D6335" t="s">
        <v>17164</v>
      </c>
      <c r="E6335" t="s">
        <v>22717</v>
      </c>
      <c r="F6335" t="s">
        <v>29372</v>
      </c>
      <c r="G6335" t="s">
        <v>29380</v>
      </c>
      <c r="H6335" t="s">
        <v>11048</v>
      </c>
      <c r="I6335" t="s">
        <v>8614</v>
      </c>
      <c r="J6335" t="s">
        <v>33620</v>
      </c>
      <c r="K6335" t="s">
        <v>38495</v>
      </c>
      <c r="M6335" t="s">
        <v>41060</v>
      </c>
      <c r="N6335" t="s">
        <v>42669</v>
      </c>
      <c r="O6335" t="s">
        <v>42670</v>
      </c>
      <c r="P6335">
        <v>0</v>
      </c>
      <c r="Q6335">
        <v>7</v>
      </c>
      <c r="R6335" t="s">
        <v>42677</v>
      </c>
      <c r="S6335" t="s">
        <v>42830</v>
      </c>
      <c r="T6335" t="s">
        <v>44446</v>
      </c>
      <c r="U6335" t="s">
        <v>50008</v>
      </c>
      <c r="W6335" t="s">
        <v>41060</v>
      </c>
      <c r="X6335" t="s">
        <v>42678</v>
      </c>
    </row>
    <row r="6336" spans="1:24">
      <c r="A6336">
        <f>HYPERLINK("https://www.philgeps.gov.ph/GEPSNONPILOT/Tender/SplashBidNoticeAbstractUI.aspx?menuIndex=3&amp;refID=7185383&amp;Result=3","7185383")</f>
        <v>0</v>
      </c>
      <c r="B6336" t="s">
        <v>669</v>
      </c>
      <c r="C6336" t="s">
        <v>9578</v>
      </c>
      <c r="D6336" t="s">
        <v>17147</v>
      </c>
      <c r="E6336" t="s">
        <v>22718</v>
      </c>
      <c r="F6336" t="s">
        <v>29372</v>
      </c>
      <c r="G6336" t="s">
        <v>29380</v>
      </c>
      <c r="H6336" t="s">
        <v>11048</v>
      </c>
      <c r="I6336" t="s">
        <v>8614</v>
      </c>
      <c r="J6336" t="s">
        <v>32146</v>
      </c>
      <c r="K6336" t="s">
        <v>38488</v>
      </c>
      <c r="M6336" t="s">
        <v>39445</v>
      </c>
      <c r="N6336" t="s">
        <v>42669</v>
      </c>
      <c r="O6336" t="s">
        <v>42670</v>
      </c>
      <c r="P6336">
        <v>0</v>
      </c>
      <c r="Q6336">
        <v>3</v>
      </c>
      <c r="R6336" t="s">
        <v>42677</v>
      </c>
      <c r="S6336" t="s">
        <v>42830</v>
      </c>
      <c r="T6336" t="s">
        <v>44643</v>
      </c>
      <c r="U6336" t="s">
        <v>50009</v>
      </c>
      <c r="V6336" t="s">
        <v>56460</v>
      </c>
      <c r="W6336" t="s">
        <v>39445</v>
      </c>
      <c r="X6336" t="s">
        <v>42678</v>
      </c>
    </row>
    <row r="6337" spans="1:24">
      <c r="A6337">
        <f>HYPERLINK("https://www.philgeps.gov.ph/GEPSNONPILOT/Tender/SplashBidNoticeAbstractUI.aspx?menuIndex=3&amp;refID=7185467&amp;Result=3","7185467")</f>
        <v>0</v>
      </c>
      <c r="B6337" t="s">
        <v>2153</v>
      </c>
      <c r="C6337" t="s">
        <v>9579</v>
      </c>
      <c r="D6337" t="s">
        <v>17170</v>
      </c>
      <c r="E6337" t="s">
        <v>22719</v>
      </c>
      <c r="F6337" t="s">
        <v>29372</v>
      </c>
      <c r="G6337" t="s">
        <v>29380</v>
      </c>
      <c r="H6337" t="s">
        <v>11048</v>
      </c>
      <c r="I6337" t="s">
        <v>9469</v>
      </c>
      <c r="J6337" t="s">
        <v>30056</v>
      </c>
      <c r="K6337" t="s">
        <v>38485</v>
      </c>
      <c r="M6337" t="s">
        <v>41061</v>
      </c>
      <c r="N6337" t="s">
        <v>42669</v>
      </c>
      <c r="O6337" t="s">
        <v>42670</v>
      </c>
      <c r="P6337">
        <v>0</v>
      </c>
      <c r="Q6337">
        <v>2</v>
      </c>
      <c r="R6337" t="s">
        <v>42677</v>
      </c>
      <c r="S6337" t="s">
        <v>42830</v>
      </c>
      <c r="T6337" t="s">
        <v>44474</v>
      </c>
      <c r="U6337" t="s">
        <v>50010</v>
      </c>
      <c r="W6337" t="s">
        <v>41061</v>
      </c>
      <c r="X6337" t="s">
        <v>42678</v>
      </c>
    </row>
    <row r="6338" spans="1:24">
      <c r="A6338">
        <f>HYPERLINK("https://www.philgeps.gov.ph/GEPSNONPILOT/Tender/SplashBidNoticeAbstractUI.aspx?menuIndex=3&amp;refID=7185465&amp;Result=3","7185465")</f>
        <v>0</v>
      </c>
      <c r="B6338" t="s">
        <v>1446</v>
      </c>
      <c r="C6338" t="s">
        <v>9580</v>
      </c>
      <c r="D6338" t="s">
        <v>17204</v>
      </c>
      <c r="E6338" t="s">
        <v>22720</v>
      </c>
      <c r="F6338" t="s">
        <v>29372</v>
      </c>
      <c r="G6338" t="s">
        <v>29380</v>
      </c>
      <c r="H6338" t="s">
        <v>11048</v>
      </c>
      <c r="I6338" t="s">
        <v>3695</v>
      </c>
      <c r="J6338" t="s">
        <v>33621</v>
      </c>
      <c r="K6338" t="s">
        <v>38485</v>
      </c>
      <c r="M6338" t="s">
        <v>40287</v>
      </c>
      <c r="N6338" t="s">
        <v>42669</v>
      </c>
      <c r="O6338" t="s">
        <v>42670</v>
      </c>
      <c r="P6338">
        <v>0</v>
      </c>
      <c r="Q6338">
        <v>5</v>
      </c>
      <c r="R6338" t="s">
        <v>42677</v>
      </c>
      <c r="S6338" t="s">
        <v>42830</v>
      </c>
      <c r="T6338" t="s">
        <v>44509</v>
      </c>
      <c r="U6338" t="s">
        <v>50011</v>
      </c>
      <c r="W6338" t="s">
        <v>40287</v>
      </c>
      <c r="X6338" t="s">
        <v>42678</v>
      </c>
    </row>
    <row r="6339" spans="1:24">
      <c r="A6339">
        <f>HYPERLINK("https://www.philgeps.gov.ph/GEPSNONPILOT/Tender/SplashBidNoticeAbstractUI.aspx?menuIndex=3&amp;refID=7185379&amp;Result=3","7185379")</f>
        <v>0</v>
      </c>
      <c r="B6339" t="s">
        <v>2154</v>
      </c>
      <c r="C6339" t="s">
        <v>9581</v>
      </c>
      <c r="D6339" t="s">
        <v>17156</v>
      </c>
      <c r="E6339" t="s">
        <v>22721</v>
      </c>
      <c r="F6339" t="s">
        <v>29372</v>
      </c>
      <c r="G6339" t="s">
        <v>29379</v>
      </c>
      <c r="H6339" t="s">
        <v>11048</v>
      </c>
      <c r="I6339" t="s">
        <v>29413</v>
      </c>
      <c r="J6339" t="s">
        <v>29799</v>
      </c>
      <c r="K6339" t="s">
        <v>38510</v>
      </c>
      <c r="M6339" t="s">
        <v>41062</v>
      </c>
      <c r="N6339" t="s">
        <v>42669</v>
      </c>
      <c r="O6339" t="s">
        <v>42670</v>
      </c>
      <c r="P6339">
        <v>0</v>
      </c>
      <c r="Q6339">
        <v>0</v>
      </c>
      <c r="R6339" t="s">
        <v>42677</v>
      </c>
      <c r="S6339" t="s">
        <v>42830</v>
      </c>
      <c r="T6339" t="s">
        <v>44714</v>
      </c>
      <c r="U6339" t="s">
        <v>50012</v>
      </c>
      <c r="W6339" t="s">
        <v>41062</v>
      </c>
      <c r="X6339" t="s">
        <v>42678</v>
      </c>
    </row>
    <row r="6340" spans="1:24">
      <c r="A6340">
        <f>HYPERLINK("https://www.philgeps.gov.ph/GEPSNONPILOT/Tender/SplashBidNoticeAbstractUI.aspx?menuIndex=3&amp;refID=7185390&amp;Result=3","7185390")</f>
        <v>0</v>
      </c>
      <c r="B6340" t="s">
        <v>1515</v>
      </c>
      <c r="C6340" t="s">
        <v>9582</v>
      </c>
      <c r="D6340" t="s">
        <v>17174</v>
      </c>
      <c r="E6340" t="s">
        <v>22722</v>
      </c>
      <c r="F6340" t="s">
        <v>29372</v>
      </c>
      <c r="G6340" t="s">
        <v>29379</v>
      </c>
      <c r="H6340" t="s">
        <v>11048</v>
      </c>
      <c r="I6340" t="s">
        <v>3839</v>
      </c>
      <c r="J6340" t="s">
        <v>33622</v>
      </c>
      <c r="K6340" t="s">
        <v>38518</v>
      </c>
      <c r="M6340" t="s">
        <v>40359</v>
      </c>
      <c r="N6340" t="s">
        <v>42669</v>
      </c>
      <c r="O6340" t="s">
        <v>42670</v>
      </c>
      <c r="P6340">
        <v>0</v>
      </c>
      <c r="Q6340">
        <v>4</v>
      </c>
      <c r="R6340" t="s">
        <v>42677</v>
      </c>
      <c r="S6340" t="s">
        <v>42830</v>
      </c>
      <c r="T6340" t="s">
        <v>44432</v>
      </c>
      <c r="U6340" t="s">
        <v>50013</v>
      </c>
      <c r="W6340" t="s">
        <v>40359</v>
      </c>
      <c r="X6340" t="s">
        <v>42678</v>
      </c>
    </row>
    <row r="6341" spans="1:24">
      <c r="A6341">
        <f>HYPERLINK("https://www.philgeps.gov.ph/GEPSNONPILOT/Tender/SplashBidNoticeAbstractUI.aspx?menuIndex=3&amp;refID=7185457&amp;Result=3","7185457")</f>
        <v>0</v>
      </c>
      <c r="B6341" t="s">
        <v>1464</v>
      </c>
      <c r="C6341" t="s">
        <v>9583</v>
      </c>
      <c r="D6341" t="s">
        <v>17169</v>
      </c>
      <c r="E6341" t="s">
        <v>22723</v>
      </c>
      <c r="F6341" t="s">
        <v>29372</v>
      </c>
      <c r="G6341" t="s">
        <v>29379</v>
      </c>
      <c r="H6341" t="s">
        <v>11048</v>
      </c>
      <c r="I6341" t="s">
        <v>29399</v>
      </c>
      <c r="J6341" t="s">
        <v>29685</v>
      </c>
      <c r="K6341" t="s">
        <v>38490</v>
      </c>
      <c r="M6341" t="s">
        <v>40307</v>
      </c>
      <c r="N6341" t="s">
        <v>42669</v>
      </c>
      <c r="O6341" t="s">
        <v>42670</v>
      </c>
      <c r="P6341">
        <v>0</v>
      </c>
      <c r="Q6341">
        <v>2</v>
      </c>
      <c r="R6341" t="s">
        <v>42677</v>
      </c>
      <c r="S6341" t="s">
        <v>42830</v>
      </c>
      <c r="T6341" t="s">
        <v>44441</v>
      </c>
      <c r="U6341" t="s">
        <v>50014</v>
      </c>
      <c r="W6341" t="s">
        <v>40307</v>
      </c>
      <c r="X6341" t="s">
        <v>42678</v>
      </c>
    </row>
    <row r="6342" spans="1:24">
      <c r="A6342">
        <f>HYPERLINK("https://www.philgeps.gov.ph/GEPSNONPILOT/Tender/SplashBidNoticeAbstractUI.aspx?menuIndex=3&amp;refID=7185450&amp;Result=3","7185450")</f>
        <v>0</v>
      </c>
      <c r="B6342" t="s">
        <v>1252</v>
      </c>
      <c r="C6342" t="s">
        <v>9584</v>
      </c>
      <c r="D6342" t="s">
        <v>17152</v>
      </c>
      <c r="E6342" t="s">
        <v>22724</v>
      </c>
      <c r="F6342" t="s">
        <v>29372</v>
      </c>
      <c r="G6342" t="s">
        <v>29380</v>
      </c>
      <c r="H6342" t="s">
        <v>11048</v>
      </c>
      <c r="I6342" t="s">
        <v>29393</v>
      </c>
      <c r="J6342" t="s">
        <v>33596</v>
      </c>
      <c r="K6342" t="s">
        <v>38485</v>
      </c>
      <c r="M6342" t="s">
        <v>40078</v>
      </c>
      <c r="N6342" t="s">
        <v>42669</v>
      </c>
      <c r="O6342" t="s">
        <v>42670</v>
      </c>
      <c r="P6342">
        <v>0</v>
      </c>
      <c r="Q6342">
        <v>0</v>
      </c>
      <c r="R6342" t="s">
        <v>42677</v>
      </c>
      <c r="S6342" t="s">
        <v>42830</v>
      </c>
      <c r="T6342" t="s">
        <v>44474</v>
      </c>
      <c r="U6342" t="s">
        <v>49981</v>
      </c>
      <c r="V6342" t="s">
        <v>56672</v>
      </c>
      <c r="W6342" t="s">
        <v>40078</v>
      </c>
      <c r="X6342" t="s">
        <v>42678</v>
      </c>
    </row>
    <row r="6343" spans="1:24">
      <c r="A6343">
        <f>HYPERLINK("https://www.philgeps.gov.ph/GEPSNONPILOT/Tender/SplashBidNoticeAbstractUI.aspx?menuIndex=3&amp;refID=7185443&amp;Result=3","7185443")</f>
        <v>0</v>
      </c>
      <c r="B6343" t="s">
        <v>2022</v>
      </c>
      <c r="C6343" t="s">
        <v>9585</v>
      </c>
      <c r="D6343" t="s">
        <v>17143</v>
      </c>
      <c r="E6343" t="s">
        <v>22725</v>
      </c>
      <c r="F6343" t="s">
        <v>29376</v>
      </c>
      <c r="G6343" t="s">
        <v>29383</v>
      </c>
      <c r="H6343" t="s">
        <v>11048</v>
      </c>
      <c r="I6343" t="s">
        <v>9469</v>
      </c>
      <c r="J6343" t="s">
        <v>33623</v>
      </c>
      <c r="K6343" t="s">
        <v>38495</v>
      </c>
      <c r="M6343" t="s">
        <v>40915</v>
      </c>
      <c r="N6343" t="s">
        <v>42669</v>
      </c>
      <c r="O6343" t="s">
        <v>42670</v>
      </c>
      <c r="P6343">
        <v>0</v>
      </c>
      <c r="Q6343">
        <v>6</v>
      </c>
      <c r="R6343" t="s">
        <v>42677</v>
      </c>
      <c r="S6343" t="s">
        <v>42830</v>
      </c>
      <c r="T6343" t="s">
        <v>44527</v>
      </c>
      <c r="U6343" t="s">
        <v>50015</v>
      </c>
      <c r="W6343" t="s">
        <v>40915</v>
      </c>
      <c r="X6343" t="s">
        <v>42678</v>
      </c>
    </row>
    <row r="6344" spans="1:24">
      <c r="A6344">
        <f>HYPERLINK("https://www.philgeps.gov.ph/GEPSNONPILOT/Tender/SplashBidNoticeAbstractUI.aspx?menuIndex=3&amp;refID=7185437&amp;Result=3","7185437")</f>
        <v>0</v>
      </c>
      <c r="B6344" t="s">
        <v>1875</v>
      </c>
      <c r="C6344" t="s">
        <v>9586</v>
      </c>
      <c r="D6344" t="s">
        <v>17179</v>
      </c>
      <c r="E6344" t="s">
        <v>22726</v>
      </c>
      <c r="F6344" t="s">
        <v>29372</v>
      </c>
      <c r="G6344" t="s">
        <v>29379</v>
      </c>
      <c r="H6344" t="s">
        <v>11048</v>
      </c>
      <c r="I6344" t="s">
        <v>3629</v>
      </c>
      <c r="J6344" t="s">
        <v>29555</v>
      </c>
      <c r="K6344" t="s">
        <v>38530</v>
      </c>
      <c r="M6344" t="s">
        <v>40748</v>
      </c>
      <c r="N6344" t="s">
        <v>42669</v>
      </c>
      <c r="O6344" t="s">
        <v>42670</v>
      </c>
      <c r="P6344">
        <v>0</v>
      </c>
      <c r="Q6344">
        <v>0</v>
      </c>
      <c r="R6344" t="s">
        <v>42677</v>
      </c>
      <c r="S6344" t="s">
        <v>42830</v>
      </c>
      <c r="T6344" t="s">
        <v>44427</v>
      </c>
      <c r="U6344" t="s">
        <v>50016</v>
      </c>
      <c r="W6344" t="s">
        <v>40748</v>
      </c>
      <c r="X6344" t="s">
        <v>42678</v>
      </c>
    </row>
    <row r="6345" spans="1:24">
      <c r="A6345">
        <f>HYPERLINK("https://www.philgeps.gov.ph/GEPSNONPILOT/Tender/SplashBidNoticeAbstractUI.aspx?menuIndex=3&amp;refID=7185353&amp;Result=3","7185353")</f>
        <v>0</v>
      </c>
      <c r="B6345" t="s">
        <v>1446</v>
      </c>
      <c r="C6345" t="s">
        <v>9587</v>
      </c>
      <c r="D6345" t="s">
        <v>17204</v>
      </c>
      <c r="E6345" t="s">
        <v>22727</v>
      </c>
      <c r="F6345" t="s">
        <v>29372</v>
      </c>
      <c r="G6345" t="s">
        <v>29380</v>
      </c>
      <c r="H6345" t="s">
        <v>11048</v>
      </c>
      <c r="I6345" t="s">
        <v>3839</v>
      </c>
      <c r="J6345" t="s">
        <v>33624</v>
      </c>
      <c r="K6345" t="s">
        <v>38485</v>
      </c>
      <c r="M6345" t="s">
        <v>40287</v>
      </c>
      <c r="N6345" t="s">
        <v>42669</v>
      </c>
      <c r="O6345" t="s">
        <v>42670</v>
      </c>
      <c r="P6345">
        <v>0</v>
      </c>
      <c r="Q6345">
        <v>3</v>
      </c>
      <c r="R6345" t="s">
        <v>42677</v>
      </c>
      <c r="S6345" t="s">
        <v>42830</v>
      </c>
      <c r="T6345" t="s">
        <v>44509</v>
      </c>
      <c r="U6345" t="s">
        <v>50017</v>
      </c>
      <c r="W6345" t="s">
        <v>40287</v>
      </c>
      <c r="X6345" t="s">
        <v>42678</v>
      </c>
    </row>
    <row r="6346" spans="1:24">
      <c r="A6346">
        <f>HYPERLINK("https://www.philgeps.gov.ph/GEPSNONPILOT/Tender/SplashBidNoticeAbstractUI.aspx?menuIndex=3&amp;refID=7185461&amp;Result=3","7185461")</f>
        <v>0</v>
      </c>
      <c r="B6346" t="s">
        <v>587</v>
      </c>
      <c r="C6346" t="s">
        <v>9588</v>
      </c>
      <c r="D6346" t="s">
        <v>17161</v>
      </c>
      <c r="E6346" t="s">
        <v>22728</v>
      </c>
      <c r="F6346" t="s">
        <v>29372</v>
      </c>
      <c r="G6346" t="s">
        <v>29381</v>
      </c>
      <c r="H6346" t="s">
        <v>11048</v>
      </c>
      <c r="I6346" t="s">
        <v>4709</v>
      </c>
      <c r="J6346" t="s">
        <v>33625</v>
      </c>
      <c r="K6346" t="s">
        <v>38488</v>
      </c>
      <c r="M6346" t="s">
        <v>41063</v>
      </c>
      <c r="N6346" t="s">
        <v>42669</v>
      </c>
      <c r="O6346" t="s">
        <v>42670</v>
      </c>
      <c r="P6346">
        <v>0</v>
      </c>
      <c r="Q6346">
        <v>1</v>
      </c>
      <c r="R6346" t="s">
        <v>42677</v>
      </c>
      <c r="S6346" t="s">
        <v>42830</v>
      </c>
      <c r="T6346" t="s">
        <v>44512</v>
      </c>
      <c r="U6346" t="s">
        <v>50018</v>
      </c>
      <c r="W6346" t="s">
        <v>41063</v>
      </c>
      <c r="X6346" t="s">
        <v>42678</v>
      </c>
    </row>
    <row r="6347" spans="1:24">
      <c r="A6347">
        <f>HYPERLINK("https://www.philgeps.gov.ph/GEPSNONPILOT/Tender/SplashBidNoticeAbstractUI.aspx?menuIndex=3&amp;refID=7185455&amp;Result=3","7185455")</f>
        <v>0</v>
      </c>
      <c r="B6347" t="s">
        <v>2140</v>
      </c>
      <c r="C6347" t="s">
        <v>9589</v>
      </c>
      <c r="D6347" t="s">
        <v>17153</v>
      </c>
      <c r="E6347" t="s">
        <v>22729</v>
      </c>
      <c r="F6347" t="s">
        <v>29372</v>
      </c>
      <c r="G6347" t="s">
        <v>29381</v>
      </c>
      <c r="H6347" t="s">
        <v>11048</v>
      </c>
      <c r="I6347" t="s">
        <v>29500</v>
      </c>
      <c r="J6347" t="s">
        <v>29590</v>
      </c>
      <c r="K6347" t="s">
        <v>38496</v>
      </c>
      <c r="M6347" t="s">
        <v>41045</v>
      </c>
      <c r="N6347" t="s">
        <v>42669</v>
      </c>
      <c r="O6347" t="s">
        <v>42670</v>
      </c>
      <c r="P6347">
        <v>0</v>
      </c>
      <c r="Q6347">
        <v>5</v>
      </c>
      <c r="R6347" t="s">
        <v>42677</v>
      </c>
      <c r="S6347" t="s">
        <v>42830</v>
      </c>
      <c r="T6347" t="s">
        <v>44418</v>
      </c>
      <c r="U6347" t="s">
        <v>49965</v>
      </c>
      <c r="V6347" t="s">
        <v>57051</v>
      </c>
      <c r="W6347" t="s">
        <v>41045</v>
      </c>
      <c r="X6347" t="s">
        <v>42678</v>
      </c>
    </row>
    <row r="6348" spans="1:24">
      <c r="A6348">
        <f>HYPERLINK("https://www.philgeps.gov.ph/GEPSNONPILOT/Tender/SplashBidNoticeAbstractUI.aspx?menuIndex=3&amp;refID=7185430&amp;Result=3","7185430")</f>
        <v>0</v>
      </c>
      <c r="B6348" t="s">
        <v>2144</v>
      </c>
      <c r="C6348" t="s">
        <v>9590</v>
      </c>
      <c r="D6348" t="s">
        <v>17153</v>
      </c>
      <c r="E6348" t="s">
        <v>18038</v>
      </c>
      <c r="F6348" t="s">
        <v>29372</v>
      </c>
      <c r="G6348" t="s">
        <v>29379</v>
      </c>
      <c r="H6348" t="s">
        <v>11048</v>
      </c>
      <c r="I6348" t="s">
        <v>9642</v>
      </c>
      <c r="J6348" t="s">
        <v>31046</v>
      </c>
      <c r="K6348" t="s">
        <v>38518</v>
      </c>
      <c r="M6348" t="s">
        <v>41050</v>
      </c>
      <c r="N6348" t="s">
        <v>42669</v>
      </c>
      <c r="O6348" t="s">
        <v>42670</v>
      </c>
      <c r="P6348">
        <v>0</v>
      </c>
      <c r="Q6348">
        <v>6</v>
      </c>
      <c r="R6348" t="s">
        <v>42677</v>
      </c>
      <c r="S6348" t="s">
        <v>42830</v>
      </c>
      <c r="T6348" t="s">
        <v>44530</v>
      </c>
      <c r="U6348" t="s">
        <v>49976</v>
      </c>
      <c r="W6348" t="s">
        <v>41050</v>
      </c>
      <c r="X6348" t="s">
        <v>42678</v>
      </c>
    </row>
    <row r="6349" spans="1:24">
      <c r="A6349">
        <f>HYPERLINK("https://www.philgeps.gov.ph/GEPSNONPILOT/Tender/SplashBidNoticeAbstractUI.aspx?menuIndex=3&amp;refID=7185440&amp;Result=3","7185440")</f>
        <v>0</v>
      </c>
      <c r="B6349" t="s">
        <v>2155</v>
      </c>
      <c r="C6349" t="s">
        <v>9591</v>
      </c>
      <c r="D6349" t="s">
        <v>17148</v>
      </c>
      <c r="E6349" t="s">
        <v>22730</v>
      </c>
      <c r="F6349" t="s">
        <v>29372</v>
      </c>
      <c r="G6349" t="s">
        <v>29380</v>
      </c>
      <c r="H6349" t="s">
        <v>29389</v>
      </c>
      <c r="I6349" t="s">
        <v>10408</v>
      </c>
      <c r="J6349" t="s">
        <v>33626</v>
      </c>
      <c r="K6349" t="s">
        <v>38485</v>
      </c>
      <c r="M6349" t="s">
        <v>41064</v>
      </c>
      <c r="N6349" t="s">
        <v>42669</v>
      </c>
      <c r="O6349" t="s">
        <v>42670</v>
      </c>
      <c r="P6349">
        <v>0</v>
      </c>
      <c r="Q6349">
        <v>3</v>
      </c>
      <c r="R6349" t="s">
        <v>42677</v>
      </c>
      <c r="S6349" t="s">
        <v>42830</v>
      </c>
      <c r="T6349" t="s">
        <v>44375</v>
      </c>
      <c r="U6349" t="s">
        <v>50019</v>
      </c>
      <c r="V6349" t="s">
        <v>57055</v>
      </c>
      <c r="W6349" t="s">
        <v>41064</v>
      </c>
      <c r="X6349" t="s">
        <v>42678</v>
      </c>
    </row>
    <row r="6350" spans="1:24">
      <c r="A6350">
        <f>HYPERLINK("https://www.philgeps.gov.ph/GEPSNONPILOT/Tender/SplashBidNoticeAbstractUI.aspx?menuIndex=3&amp;refID=7185462&amp;Result=3","7185462")</f>
        <v>0</v>
      </c>
      <c r="B6350" t="s">
        <v>1419</v>
      </c>
      <c r="C6350" t="s">
        <v>9592</v>
      </c>
      <c r="D6350" t="s">
        <v>17143</v>
      </c>
      <c r="E6350" t="s">
        <v>22731</v>
      </c>
      <c r="F6350" t="s">
        <v>29372</v>
      </c>
      <c r="G6350" t="s">
        <v>29383</v>
      </c>
      <c r="H6350" t="s">
        <v>11048</v>
      </c>
      <c r="I6350" t="s">
        <v>29404</v>
      </c>
      <c r="J6350" t="s">
        <v>31053</v>
      </c>
      <c r="K6350" t="s">
        <v>38534</v>
      </c>
      <c r="M6350" t="s">
        <v>40258</v>
      </c>
      <c r="N6350" t="s">
        <v>42669</v>
      </c>
      <c r="O6350" t="s">
        <v>42670</v>
      </c>
      <c r="P6350">
        <v>0</v>
      </c>
      <c r="Q6350">
        <v>0</v>
      </c>
      <c r="R6350" t="s">
        <v>42677</v>
      </c>
      <c r="S6350" t="s">
        <v>42830</v>
      </c>
      <c r="T6350" t="s">
        <v>44401</v>
      </c>
      <c r="U6350" t="s">
        <v>50020</v>
      </c>
      <c r="V6350" t="s">
        <v>57056</v>
      </c>
      <c r="W6350" t="s">
        <v>40258</v>
      </c>
      <c r="X6350" t="s">
        <v>42678</v>
      </c>
    </row>
    <row r="6351" spans="1:24">
      <c r="A6351">
        <f>HYPERLINK("https://www.philgeps.gov.ph/GEPSNONPILOT/Tender/SplashBidNoticeAbstractUI.aspx?menuIndex=3&amp;refID=7185433&amp;Result=3","7185433")</f>
        <v>0</v>
      </c>
      <c r="B6351" t="s">
        <v>1446</v>
      </c>
      <c r="C6351" t="s">
        <v>9593</v>
      </c>
      <c r="D6351" t="s">
        <v>17204</v>
      </c>
      <c r="E6351" t="s">
        <v>22732</v>
      </c>
      <c r="F6351" t="s">
        <v>29372</v>
      </c>
      <c r="G6351" t="s">
        <v>29380</v>
      </c>
      <c r="H6351" t="s">
        <v>11048</v>
      </c>
      <c r="I6351" t="s">
        <v>3695</v>
      </c>
      <c r="J6351" t="s">
        <v>33627</v>
      </c>
      <c r="K6351" t="s">
        <v>38485</v>
      </c>
      <c r="M6351" t="s">
        <v>40287</v>
      </c>
      <c r="N6351" t="s">
        <v>42669</v>
      </c>
      <c r="O6351" t="s">
        <v>42670</v>
      </c>
      <c r="P6351">
        <v>0</v>
      </c>
      <c r="Q6351">
        <v>4</v>
      </c>
      <c r="R6351" t="s">
        <v>42677</v>
      </c>
      <c r="S6351" t="s">
        <v>42830</v>
      </c>
      <c r="T6351" t="s">
        <v>44509</v>
      </c>
      <c r="U6351" t="s">
        <v>50021</v>
      </c>
      <c r="W6351" t="s">
        <v>40287</v>
      </c>
      <c r="X6351" t="s">
        <v>42678</v>
      </c>
    </row>
    <row r="6352" spans="1:24">
      <c r="A6352">
        <f>HYPERLINK("https://www.philgeps.gov.ph/GEPSNONPILOT/Tender/SplashBidNoticeAbstractUI.aspx?menuIndex=3&amp;refID=7185501&amp;Result=3","7185501")</f>
        <v>0</v>
      </c>
      <c r="B6352" t="s">
        <v>2151</v>
      </c>
      <c r="C6352" t="s">
        <v>9594</v>
      </c>
      <c r="E6352" t="s">
        <v>22733</v>
      </c>
      <c r="F6352" t="s">
        <v>29372</v>
      </c>
      <c r="G6352" t="s">
        <v>29380</v>
      </c>
      <c r="H6352" t="s">
        <v>29389</v>
      </c>
      <c r="I6352" t="s">
        <v>10408</v>
      </c>
      <c r="J6352" t="s">
        <v>33628</v>
      </c>
      <c r="K6352" t="s">
        <v>38490</v>
      </c>
      <c r="M6352" t="s">
        <v>41059</v>
      </c>
      <c r="N6352" t="s">
        <v>42669</v>
      </c>
      <c r="O6352" t="s">
        <v>42670</v>
      </c>
      <c r="P6352">
        <v>0</v>
      </c>
      <c r="Q6352">
        <v>2</v>
      </c>
      <c r="R6352" t="s">
        <v>42677</v>
      </c>
      <c r="S6352" t="s">
        <v>42830</v>
      </c>
      <c r="T6352" t="s">
        <v>44368</v>
      </c>
      <c r="U6352" t="s">
        <v>50022</v>
      </c>
      <c r="V6352" t="s">
        <v>57057</v>
      </c>
      <c r="W6352" t="s">
        <v>41059</v>
      </c>
      <c r="X6352" t="s">
        <v>42678</v>
      </c>
    </row>
    <row r="6353" spans="1:24">
      <c r="A6353">
        <f>HYPERLINK("https://www.philgeps.gov.ph/GEPSNONPILOT/Tender/SplashBidNoticeAbstractUI.aspx?menuIndex=3&amp;refID=7185460&amp;Result=3","7185460")</f>
        <v>0</v>
      </c>
      <c r="B6353" t="s">
        <v>1007</v>
      </c>
      <c r="C6353" t="s">
        <v>9595</v>
      </c>
      <c r="D6353" t="s">
        <v>17164</v>
      </c>
      <c r="E6353" t="s">
        <v>22734</v>
      </c>
      <c r="F6353" t="s">
        <v>29372</v>
      </c>
      <c r="G6353" t="s">
        <v>29380</v>
      </c>
      <c r="H6353" t="s">
        <v>11048</v>
      </c>
      <c r="I6353" t="s">
        <v>3839</v>
      </c>
      <c r="J6353" t="s">
        <v>29526</v>
      </c>
      <c r="K6353" t="s">
        <v>38485</v>
      </c>
      <c r="M6353" t="s">
        <v>39807</v>
      </c>
      <c r="N6353" t="s">
        <v>42669</v>
      </c>
      <c r="O6353" t="s">
        <v>42670</v>
      </c>
      <c r="P6353">
        <v>0</v>
      </c>
      <c r="Q6353">
        <v>3</v>
      </c>
      <c r="R6353" t="s">
        <v>42677</v>
      </c>
      <c r="S6353" t="s">
        <v>42830</v>
      </c>
      <c r="T6353" t="s">
        <v>44389</v>
      </c>
      <c r="U6353" t="s">
        <v>50023</v>
      </c>
      <c r="W6353" t="s">
        <v>39807</v>
      </c>
      <c r="X6353" t="s">
        <v>42678</v>
      </c>
    </row>
    <row r="6354" spans="1:24">
      <c r="A6354">
        <f>HYPERLINK("https://www.philgeps.gov.ph/GEPSNONPILOT/Tender/SplashBidNoticeAbstractUI.aspx?menuIndex=3&amp;refID=7185431&amp;Result=3","7185431")</f>
        <v>0</v>
      </c>
      <c r="B6354" t="s">
        <v>669</v>
      </c>
      <c r="C6354" t="s">
        <v>9596</v>
      </c>
      <c r="D6354" t="s">
        <v>17147</v>
      </c>
      <c r="E6354" t="s">
        <v>22735</v>
      </c>
      <c r="F6354" t="s">
        <v>29372</v>
      </c>
      <c r="G6354" t="s">
        <v>29380</v>
      </c>
      <c r="H6354" t="s">
        <v>29389</v>
      </c>
      <c r="I6354" t="s">
        <v>10408</v>
      </c>
      <c r="J6354" t="s">
        <v>33629</v>
      </c>
      <c r="K6354" t="s">
        <v>38556</v>
      </c>
      <c r="M6354" t="s">
        <v>41046</v>
      </c>
      <c r="N6354" t="s">
        <v>42669</v>
      </c>
      <c r="O6354" t="s">
        <v>42670</v>
      </c>
      <c r="P6354">
        <v>0</v>
      </c>
      <c r="Q6354">
        <v>0</v>
      </c>
      <c r="R6354" t="s">
        <v>42677</v>
      </c>
      <c r="S6354" t="s">
        <v>42830</v>
      </c>
      <c r="T6354" t="s">
        <v>44450</v>
      </c>
      <c r="U6354" t="s">
        <v>50024</v>
      </c>
      <c r="V6354" t="s">
        <v>57058</v>
      </c>
      <c r="W6354" t="s">
        <v>41046</v>
      </c>
      <c r="X6354" t="s">
        <v>42678</v>
      </c>
    </row>
    <row r="6355" spans="1:24">
      <c r="A6355">
        <f>HYPERLINK("https://www.philgeps.gov.ph/GEPSNONPILOT/Tender/SplashBidNoticeAbstractUI.aspx?menuIndex=3&amp;refID=7185499&amp;Result=3","7185499")</f>
        <v>0</v>
      </c>
      <c r="B6355" t="s">
        <v>2156</v>
      </c>
      <c r="C6355" t="s">
        <v>9597</v>
      </c>
      <c r="D6355" t="s">
        <v>17167</v>
      </c>
      <c r="E6355" t="s">
        <v>21187</v>
      </c>
      <c r="F6355" t="s">
        <v>29372</v>
      </c>
      <c r="G6355" t="s">
        <v>29380</v>
      </c>
      <c r="H6355" t="s">
        <v>11048</v>
      </c>
      <c r="I6355" t="s">
        <v>4709</v>
      </c>
      <c r="J6355" t="s">
        <v>33630</v>
      </c>
      <c r="K6355" t="s">
        <v>38489</v>
      </c>
      <c r="M6355" t="s">
        <v>41065</v>
      </c>
      <c r="N6355" t="s">
        <v>42669</v>
      </c>
      <c r="O6355" t="s">
        <v>42670</v>
      </c>
      <c r="P6355">
        <v>0</v>
      </c>
      <c r="Q6355">
        <v>0</v>
      </c>
      <c r="R6355" t="s">
        <v>42677</v>
      </c>
      <c r="S6355" t="s">
        <v>42830</v>
      </c>
      <c r="T6355" t="s">
        <v>44401</v>
      </c>
      <c r="U6355" t="s">
        <v>50025</v>
      </c>
      <c r="W6355" t="s">
        <v>41065</v>
      </c>
      <c r="X6355" t="s">
        <v>42678</v>
      </c>
    </row>
    <row r="6356" spans="1:24">
      <c r="A6356">
        <f>HYPERLINK("https://www.philgeps.gov.ph/GEPSNONPILOT/Tender/SplashBidNoticeAbstractUI.aspx?menuIndex=3&amp;refID=7185509&amp;Result=3","7185509")</f>
        <v>0</v>
      </c>
      <c r="B6356" t="s">
        <v>2139</v>
      </c>
      <c r="C6356" t="s">
        <v>9598</v>
      </c>
      <c r="D6356" t="s">
        <v>17194</v>
      </c>
      <c r="E6356" t="s">
        <v>20054</v>
      </c>
      <c r="F6356" t="s">
        <v>29372</v>
      </c>
      <c r="G6356" t="s">
        <v>29380</v>
      </c>
      <c r="H6356" t="s">
        <v>11048</v>
      </c>
      <c r="I6356" t="s">
        <v>29398</v>
      </c>
      <c r="J6356" t="s">
        <v>33631</v>
      </c>
      <c r="K6356" t="s">
        <v>38488</v>
      </c>
      <c r="M6356" t="s">
        <v>41044</v>
      </c>
      <c r="N6356" t="s">
        <v>42669</v>
      </c>
      <c r="O6356" t="s">
        <v>42670</v>
      </c>
      <c r="P6356">
        <v>0</v>
      </c>
      <c r="Q6356">
        <v>1</v>
      </c>
      <c r="R6356" t="s">
        <v>42677</v>
      </c>
      <c r="S6356" t="s">
        <v>42830</v>
      </c>
      <c r="T6356" t="s">
        <v>44474</v>
      </c>
      <c r="U6356" t="s">
        <v>50026</v>
      </c>
      <c r="V6356" t="s">
        <v>57059</v>
      </c>
      <c r="W6356" t="s">
        <v>41044</v>
      </c>
      <c r="X6356" t="s">
        <v>42678</v>
      </c>
    </row>
    <row r="6357" spans="1:24">
      <c r="A6357">
        <f>HYPERLINK("https://www.philgeps.gov.ph/GEPSNONPILOT/Tender/SplashBidNoticeAbstractUI.aspx?menuIndex=3&amp;refID=7185496&amp;Result=3","7185496")</f>
        <v>0</v>
      </c>
      <c r="B6357" t="s">
        <v>160</v>
      </c>
      <c r="C6357" t="s">
        <v>9599</v>
      </c>
      <c r="D6357" t="s">
        <v>17193</v>
      </c>
      <c r="E6357" t="s">
        <v>20054</v>
      </c>
      <c r="F6357" t="s">
        <v>29372</v>
      </c>
      <c r="G6357" t="s">
        <v>29380</v>
      </c>
      <c r="H6357" t="s">
        <v>11048</v>
      </c>
      <c r="I6357" t="s">
        <v>29411</v>
      </c>
      <c r="J6357" t="s">
        <v>33632</v>
      </c>
      <c r="K6357" t="s">
        <v>38485</v>
      </c>
      <c r="M6357" t="s">
        <v>41066</v>
      </c>
      <c r="N6357" t="s">
        <v>42669</v>
      </c>
      <c r="O6357" t="s">
        <v>42670</v>
      </c>
      <c r="P6357">
        <v>0</v>
      </c>
      <c r="Q6357">
        <v>5</v>
      </c>
      <c r="R6357" t="s">
        <v>42677</v>
      </c>
      <c r="S6357" t="s">
        <v>42830</v>
      </c>
      <c r="T6357" t="s">
        <v>44715</v>
      </c>
      <c r="U6357" t="s">
        <v>50027</v>
      </c>
      <c r="W6357" t="s">
        <v>41066</v>
      </c>
      <c r="X6357" t="s">
        <v>42678</v>
      </c>
    </row>
    <row r="6358" spans="1:24">
      <c r="A6358">
        <f>HYPERLINK("https://www.philgeps.gov.ph/GEPSNONPILOT/Tender/SplashBidNoticeAbstractUI.aspx?menuIndex=3&amp;refID=7185514&amp;Result=3","7185514")</f>
        <v>0</v>
      </c>
      <c r="B6358" t="s">
        <v>2101</v>
      </c>
      <c r="C6358" t="s">
        <v>9600</v>
      </c>
      <c r="D6358" t="s">
        <v>17216</v>
      </c>
      <c r="E6358" t="s">
        <v>22736</v>
      </c>
      <c r="F6358" t="s">
        <v>29372</v>
      </c>
      <c r="G6358" t="s">
        <v>29380</v>
      </c>
      <c r="H6358" t="s">
        <v>29389</v>
      </c>
      <c r="I6358" t="s">
        <v>10408</v>
      </c>
      <c r="J6358" t="s">
        <v>33633</v>
      </c>
      <c r="K6358" t="s">
        <v>38494</v>
      </c>
      <c r="M6358" t="s">
        <v>41020</v>
      </c>
      <c r="N6358" t="s">
        <v>42669</v>
      </c>
      <c r="O6358" t="s">
        <v>42670</v>
      </c>
      <c r="P6358">
        <v>0</v>
      </c>
      <c r="Q6358">
        <v>1</v>
      </c>
      <c r="R6358" t="s">
        <v>42677</v>
      </c>
      <c r="S6358" t="s">
        <v>42830</v>
      </c>
      <c r="T6358" t="s">
        <v>44450</v>
      </c>
      <c r="U6358" t="s">
        <v>50028</v>
      </c>
      <c r="V6358" t="s">
        <v>57041</v>
      </c>
      <c r="W6358" t="s">
        <v>41020</v>
      </c>
      <c r="X6358" t="s">
        <v>42678</v>
      </c>
    </row>
    <row r="6359" spans="1:24">
      <c r="A6359">
        <f>HYPERLINK("https://www.philgeps.gov.ph/GEPSNONPILOT/Tender/SplashBidNoticeAbstractUI.aspx?menuIndex=3&amp;refID=7185505&amp;Result=3","7185505")</f>
        <v>0</v>
      </c>
      <c r="B6359" t="s">
        <v>433</v>
      </c>
      <c r="C6359" t="s">
        <v>9601</v>
      </c>
      <c r="D6359" t="s">
        <v>17188</v>
      </c>
      <c r="E6359" t="s">
        <v>22737</v>
      </c>
      <c r="F6359" t="s">
        <v>29372</v>
      </c>
      <c r="G6359" t="s">
        <v>29382</v>
      </c>
      <c r="H6359" t="s">
        <v>11048</v>
      </c>
      <c r="I6359" t="s">
        <v>5383</v>
      </c>
      <c r="J6359" t="s">
        <v>29625</v>
      </c>
      <c r="K6359" t="s">
        <v>38518</v>
      </c>
      <c r="M6359" t="s">
        <v>39197</v>
      </c>
      <c r="N6359" t="s">
        <v>42669</v>
      </c>
      <c r="O6359" t="s">
        <v>42670</v>
      </c>
      <c r="P6359">
        <v>0</v>
      </c>
      <c r="Q6359">
        <v>5</v>
      </c>
      <c r="R6359" t="s">
        <v>42677</v>
      </c>
      <c r="S6359" t="s">
        <v>42830</v>
      </c>
      <c r="T6359" t="s">
        <v>44441</v>
      </c>
      <c r="U6359" t="s">
        <v>50029</v>
      </c>
      <c r="W6359" t="s">
        <v>39197</v>
      </c>
      <c r="X6359" t="s">
        <v>42678</v>
      </c>
    </row>
    <row r="6360" spans="1:24">
      <c r="A6360">
        <f>HYPERLINK("https://www.philgeps.gov.ph/GEPSNONPILOT/Tender/SplashBidNoticeAbstractUI.aspx?menuIndex=3&amp;refID=7185493&amp;Result=3","7185493")</f>
        <v>0</v>
      </c>
      <c r="B6360" t="s">
        <v>2157</v>
      </c>
      <c r="C6360" t="s">
        <v>9602</v>
      </c>
      <c r="D6360" t="s">
        <v>17148</v>
      </c>
      <c r="E6360" t="s">
        <v>22738</v>
      </c>
      <c r="F6360" t="s">
        <v>29372</v>
      </c>
      <c r="G6360" t="s">
        <v>29380</v>
      </c>
      <c r="H6360" t="s">
        <v>11048</v>
      </c>
      <c r="I6360" t="s">
        <v>4709</v>
      </c>
      <c r="J6360" t="s">
        <v>33634</v>
      </c>
      <c r="K6360" t="s">
        <v>38510</v>
      </c>
      <c r="M6360" t="s">
        <v>41067</v>
      </c>
      <c r="N6360" t="s">
        <v>42669</v>
      </c>
      <c r="O6360" t="s">
        <v>42670</v>
      </c>
      <c r="P6360">
        <v>0</v>
      </c>
      <c r="Q6360">
        <v>4</v>
      </c>
      <c r="R6360" t="s">
        <v>42677</v>
      </c>
      <c r="S6360" t="s">
        <v>42830</v>
      </c>
      <c r="T6360" t="s">
        <v>44544</v>
      </c>
      <c r="U6360" t="s">
        <v>50030</v>
      </c>
      <c r="W6360" t="s">
        <v>41067</v>
      </c>
      <c r="X6360" t="s">
        <v>42678</v>
      </c>
    </row>
    <row r="6361" spans="1:24">
      <c r="A6361">
        <f>HYPERLINK("https://www.philgeps.gov.ph/GEPSNONPILOT/Tender/SplashBidNoticeAbstractUI.aspx?menuIndex=3&amp;refID=7185503&amp;Result=3","7185503")</f>
        <v>0</v>
      </c>
      <c r="B6361" t="s">
        <v>2130</v>
      </c>
      <c r="C6361" t="s">
        <v>9603</v>
      </c>
      <c r="D6361" t="s">
        <v>17160</v>
      </c>
      <c r="E6361" t="s">
        <v>22739</v>
      </c>
      <c r="F6361" t="s">
        <v>29372</v>
      </c>
      <c r="G6361" t="s">
        <v>29379</v>
      </c>
      <c r="H6361" t="s">
        <v>11048</v>
      </c>
      <c r="I6361" t="s">
        <v>29450</v>
      </c>
      <c r="J6361" t="s">
        <v>33635</v>
      </c>
      <c r="K6361" t="s">
        <v>38496</v>
      </c>
      <c r="M6361" t="s">
        <v>41035</v>
      </c>
      <c r="N6361" t="s">
        <v>42669</v>
      </c>
      <c r="O6361" t="s">
        <v>42670</v>
      </c>
      <c r="P6361">
        <v>0</v>
      </c>
      <c r="Q6361">
        <v>0</v>
      </c>
      <c r="R6361" t="s">
        <v>42677</v>
      </c>
      <c r="S6361" t="s">
        <v>42830</v>
      </c>
      <c r="T6361" t="s">
        <v>44493</v>
      </c>
      <c r="U6361" t="s">
        <v>50031</v>
      </c>
      <c r="W6361" t="s">
        <v>41035</v>
      </c>
      <c r="X6361" t="s">
        <v>42678</v>
      </c>
    </row>
    <row r="6362" spans="1:24">
      <c r="A6362">
        <f>HYPERLINK("https://www.philgeps.gov.ph/GEPSNONPILOT/Tender/SplashBidNoticeAbstractUI.aspx?menuIndex=3&amp;refID=7185489&amp;Result=3","7185489")</f>
        <v>0</v>
      </c>
      <c r="B6362" t="s">
        <v>2151</v>
      </c>
      <c r="C6362" t="s">
        <v>9604</v>
      </c>
      <c r="E6362" t="s">
        <v>22740</v>
      </c>
      <c r="F6362" t="s">
        <v>29372</v>
      </c>
      <c r="G6362" t="s">
        <v>29380</v>
      </c>
      <c r="H6362" t="s">
        <v>29389</v>
      </c>
      <c r="I6362" t="s">
        <v>10408</v>
      </c>
      <c r="J6362" t="s">
        <v>29672</v>
      </c>
      <c r="K6362" t="s">
        <v>38490</v>
      </c>
      <c r="M6362" t="s">
        <v>41059</v>
      </c>
      <c r="N6362" t="s">
        <v>42669</v>
      </c>
      <c r="O6362" t="s">
        <v>42670</v>
      </c>
      <c r="P6362">
        <v>0</v>
      </c>
      <c r="Q6362">
        <v>3</v>
      </c>
      <c r="R6362" t="s">
        <v>42677</v>
      </c>
      <c r="S6362" t="s">
        <v>42830</v>
      </c>
      <c r="T6362" t="s">
        <v>44368</v>
      </c>
      <c r="U6362" t="s">
        <v>50032</v>
      </c>
      <c r="V6362" t="s">
        <v>57060</v>
      </c>
      <c r="W6362" t="s">
        <v>41059</v>
      </c>
      <c r="X6362" t="s">
        <v>42678</v>
      </c>
    </row>
    <row r="6363" spans="1:24">
      <c r="A6363">
        <f>HYPERLINK("https://www.philgeps.gov.ph/GEPSNONPILOT/Tender/SplashBidNoticeAbstractUI.aspx?menuIndex=3&amp;refID=7185485&amp;Result=3","7185485")</f>
        <v>0</v>
      </c>
      <c r="B6363" t="s">
        <v>1659</v>
      </c>
      <c r="C6363" t="s">
        <v>9605</v>
      </c>
      <c r="D6363" t="s">
        <v>17171</v>
      </c>
      <c r="E6363" t="s">
        <v>18789</v>
      </c>
      <c r="F6363" t="s">
        <v>29372</v>
      </c>
      <c r="G6363" t="s">
        <v>29379</v>
      </c>
      <c r="H6363" t="s">
        <v>11048</v>
      </c>
      <c r="I6363" t="s">
        <v>29497</v>
      </c>
      <c r="J6363" t="s">
        <v>29590</v>
      </c>
      <c r="K6363" t="s">
        <v>38490</v>
      </c>
      <c r="M6363" t="s">
        <v>40517</v>
      </c>
      <c r="N6363" t="s">
        <v>42669</v>
      </c>
      <c r="O6363" t="s">
        <v>42670</v>
      </c>
      <c r="P6363">
        <v>0</v>
      </c>
      <c r="Q6363">
        <v>9</v>
      </c>
      <c r="R6363" t="s">
        <v>42677</v>
      </c>
      <c r="S6363" t="s">
        <v>42830</v>
      </c>
      <c r="T6363" t="s">
        <v>44716</v>
      </c>
      <c r="U6363" t="s">
        <v>50033</v>
      </c>
      <c r="V6363" t="s">
        <v>57061</v>
      </c>
      <c r="W6363" t="s">
        <v>40517</v>
      </c>
      <c r="X6363" t="s">
        <v>42678</v>
      </c>
    </row>
    <row r="6364" spans="1:24">
      <c r="A6364">
        <f>HYPERLINK("https://www.philgeps.gov.ph/GEPSNONPILOT/Tender/SplashBidNoticeAbstractUI.aspx?menuIndex=3&amp;refID=7185484&amp;Result=3","7185484")</f>
        <v>0</v>
      </c>
      <c r="B6364" t="s">
        <v>2010</v>
      </c>
      <c r="C6364" t="s">
        <v>9606</v>
      </c>
      <c r="D6364" t="s">
        <v>17143</v>
      </c>
      <c r="E6364" t="s">
        <v>22741</v>
      </c>
      <c r="F6364" t="s">
        <v>29372</v>
      </c>
      <c r="G6364" t="s">
        <v>29380</v>
      </c>
      <c r="H6364" t="s">
        <v>29389</v>
      </c>
      <c r="I6364" t="s">
        <v>10408</v>
      </c>
      <c r="J6364" t="s">
        <v>33636</v>
      </c>
      <c r="K6364" t="s">
        <v>38487</v>
      </c>
      <c r="M6364" t="s">
        <v>41068</v>
      </c>
      <c r="N6364" t="s">
        <v>42669</v>
      </c>
      <c r="O6364" t="s">
        <v>42670</v>
      </c>
      <c r="P6364">
        <v>0</v>
      </c>
      <c r="Q6364">
        <v>0</v>
      </c>
      <c r="R6364" t="s">
        <v>42677</v>
      </c>
      <c r="S6364" t="s">
        <v>42830</v>
      </c>
      <c r="T6364" t="s">
        <v>44387</v>
      </c>
      <c r="U6364" t="s">
        <v>50034</v>
      </c>
      <c r="V6364" t="s">
        <v>57001</v>
      </c>
      <c r="W6364" t="s">
        <v>41068</v>
      </c>
      <c r="X6364" t="s">
        <v>42678</v>
      </c>
    </row>
    <row r="6365" spans="1:24">
      <c r="A6365">
        <f>HYPERLINK("https://www.philgeps.gov.ph/GEPSNONPILOT/Tender/SplashBidNoticeAbstractUI.aspx?menuIndex=3&amp;refID=7185510&amp;Result=3","7185510")</f>
        <v>0</v>
      </c>
      <c r="B6365" t="s">
        <v>742</v>
      </c>
      <c r="C6365" t="s">
        <v>5608</v>
      </c>
      <c r="D6365" t="s">
        <v>17175</v>
      </c>
      <c r="E6365" t="s">
        <v>22742</v>
      </c>
      <c r="F6365" t="s">
        <v>29372</v>
      </c>
      <c r="G6365" t="s">
        <v>29379</v>
      </c>
      <c r="H6365" t="s">
        <v>11048</v>
      </c>
      <c r="I6365" t="s">
        <v>29433</v>
      </c>
      <c r="J6365" t="s">
        <v>31046</v>
      </c>
      <c r="K6365" t="s">
        <v>38510</v>
      </c>
      <c r="M6365" t="s">
        <v>39523</v>
      </c>
      <c r="N6365" t="s">
        <v>42669</v>
      </c>
      <c r="O6365" t="s">
        <v>42670</v>
      </c>
      <c r="P6365">
        <v>0</v>
      </c>
      <c r="Q6365">
        <v>6</v>
      </c>
      <c r="R6365" t="s">
        <v>42677</v>
      </c>
      <c r="S6365" t="s">
        <v>42830</v>
      </c>
      <c r="T6365" t="s">
        <v>44432</v>
      </c>
      <c r="U6365" t="s">
        <v>50035</v>
      </c>
      <c r="W6365" t="s">
        <v>39523</v>
      </c>
      <c r="X6365" t="s">
        <v>42678</v>
      </c>
    </row>
    <row r="6366" spans="1:24">
      <c r="A6366">
        <f>HYPERLINK("https://www.philgeps.gov.ph/GEPSNONPILOT/Tender/SplashBidNoticeAbstractUI.aspx?menuIndex=3&amp;refID=7185481&amp;Result=3","7185481")</f>
        <v>0</v>
      </c>
      <c r="B6366" t="s">
        <v>2144</v>
      </c>
      <c r="C6366" t="s">
        <v>9607</v>
      </c>
      <c r="D6366" t="s">
        <v>17153</v>
      </c>
      <c r="E6366" t="s">
        <v>18285</v>
      </c>
      <c r="F6366" t="s">
        <v>29372</v>
      </c>
      <c r="G6366" t="s">
        <v>29379</v>
      </c>
      <c r="H6366" t="s">
        <v>11048</v>
      </c>
      <c r="I6366" t="s">
        <v>9642</v>
      </c>
      <c r="J6366" t="s">
        <v>33637</v>
      </c>
      <c r="K6366" t="s">
        <v>38518</v>
      </c>
      <c r="M6366" t="s">
        <v>41050</v>
      </c>
      <c r="N6366" t="s">
        <v>42669</v>
      </c>
      <c r="O6366" t="s">
        <v>42670</v>
      </c>
      <c r="P6366">
        <v>0</v>
      </c>
      <c r="Q6366">
        <v>5</v>
      </c>
      <c r="R6366" t="s">
        <v>42677</v>
      </c>
      <c r="S6366" t="s">
        <v>42830</v>
      </c>
      <c r="T6366" t="s">
        <v>44530</v>
      </c>
      <c r="U6366" t="s">
        <v>49976</v>
      </c>
      <c r="W6366" t="s">
        <v>41050</v>
      </c>
      <c r="X6366" t="s">
        <v>42678</v>
      </c>
    </row>
    <row r="6367" spans="1:24">
      <c r="A6367">
        <f>HYPERLINK("https://www.philgeps.gov.ph/GEPSNONPILOT/Tender/SplashBidNoticeAbstractUI.aspx?menuIndex=3&amp;refID=7185512&amp;Result=3","7185512")</f>
        <v>0</v>
      </c>
      <c r="B6367" t="s">
        <v>2137</v>
      </c>
      <c r="C6367" t="s">
        <v>9608</v>
      </c>
      <c r="D6367" t="s">
        <v>17168</v>
      </c>
      <c r="E6367" t="s">
        <v>22743</v>
      </c>
      <c r="F6367" t="s">
        <v>29372</v>
      </c>
      <c r="G6367" t="s">
        <v>29380</v>
      </c>
      <c r="H6367" t="s">
        <v>11048</v>
      </c>
      <c r="I6367" t="s">
        <v>4709</v>
      </c>
      <c r="J6367" t="s">
        <v>33638</v>
      </c>
      <c r="K6367" t="s">
        <v>38485</v>
      </c>
      <c r="M6367" t="s">
        <v>41042</v>
      </c>
      <c r="N6367" t="s">
        <v>42669</v>
      </c>
      <c r="O6367" t="s">
        <v>42670</v>
      </c>
      <c r="P6367">
        <v>0</v>
      </c>
      <c r="Q6367">
        <v>0</v>
      </c>
      <c r="R6367" t="s">
        <v>42677</v>
      </c>
      <c r="S6367" t="s">
        <v>42830</v>
      </c>
      <c r="T6367" t="s">
        <v>44717</v>
      </c>
      <c r="U6367" t="s">
        <v>50036</v>
      </c>
      <c r="V6367" t="s">
        <v>57062</v>
      </c>
      <c r="W6367" t="s">
        <v>41042</v>
      </c>
      <c r="X6367" t="s">
        <v>42678</v>
      </c>
    </row>
    <row r="6368" spans="1:24">
      <c r="A6368">
        <f>HYPERLINK("https://www.philgeps.gov.ph/GEPSNONPILOT/Tender/SplashBidNoticeAbstractUI.aspx?menuIndex=3&amp;refID=7185553&amp;Result=3","7185553")</f>
        <v>0</v>
      </c>
      <c r="B6368" t="s">
        <v>1625</v>
      </c>
      <c r="C6368" t="s">
        <v>9609</v>
      </c>
      <c r="E6368" t="s">
        <v>22744</v>
      </c>
      <c r="F6368" t="s">
        <v>29372</v>
      </c>
      <c r="G6368" t="s">
        <v>29379</v>
      </c>
      <c r="H6368" t="s">
        <v>11048</v>
      </c>
      <c r="I6368" t="s">
        <v>3629</v>
      </c>
      <c r="J6368" t="s">
        <v>30704</v>
      </c>
      <c r="K6368" t="s">
        <v>38490</v>
      </c>
      <c r="M6368" t="s">
        <v>40479</v>
      </c>
      <c r="N6368" t="s">
        <v>42669</v>
      </c>
      <c r="O6368" t="s">
        <v>42670</v>
      </c>
      <c r="P6368">
        <v>0</v>
      </c>
      <c r="Q6368">
        <v>0</v>
      </c>
      <c r="R6368" t="s">
        <v>42677</v>
      </c>
      <c r="S6368" t="s">
        <v>42830</v>
      </c>
      <c r="T6368" t="s">
        <v>44548</v>
      </c>
      <c r="U6368" t="s">
        <v>49834</v>
      </c>
      <c r="W6368" t="s">
        <v>40479</v>
      </c>
      <c r="X6368" t="s">
        <v>42678</v>
      </c>
    </row>
    <row r="6369" spans="1:24">
      <c r="A6369">
        <f>HYPERLINK("https://www.philgeps.gov.ph/GEPSNONPILOT/Tender/SplashBidNoticeAbstractUI.aspx?menuIndex=3&amp;refID=7185541&amp;Result=3","7185541")</f>
        <v>0</v>
      </c>
      <c r="B6369" t="s">
        <v>2140</v>
      </c>
      <c r="C6369" t="s">
        <v>9610</v>
      </c>
      <c r="D6369" t="s">
        <v>17153</v>
      </c>
      <c r="E6369" t="s">
        <v>22745</v>
      </c>
      <c r="F6369" t="s">
        <v>29372</v>
      </c>
      <c r="G6369" t="s">
        <v>29381</v>
      </c>
      <c r="H6369" t="s">
        <v>11048</v>
      </c>
      <c r="I6369" t="s">
        <v>3952</v>
      </c>
      <c r="J6369" t="s">
        <v>33639</v>
      </c>
      <c r="K6369" t="s">
        <v>38496</v>
      </c>
      <c r="M6369" t="s">
        <v>41045</v>
      </c>
      <c r="N6369" t="s">
        <v>42669</v>
      </c>
      <c r="O6369" t="s">
        <v>42670</v>
      </c>
      <c r="P6369">
        <v>0</v>
      </c>
      <c r="Q6369">
        <v>4</v>
      </c>
      <c r="R6369" t="s">
        <v>42677</v>
      </c>
      <c r="S6369" t="s">
        <v>42830</v>
      </c>
      <c r="T6369" t="s">
        <v>44418</v>
      </c>
      <c r="U6369" t="s">
        <v>49965</v>
      </c>
      <c r="V6369" t="s">
        <v>57051</v>
      </c>
      <c r="W6369" t="s">
        <v>41045</v>
      </c>
      <c r="X6369" t="s">
        <v>42678</v>
      </c>
    </row>
    <row r="6370" spans="1:24">
      <c r="A6370">
        <f>HYPERLINK("https://www.philgeps.gov.ph/GEPSNONPILOT/Tender/SplashBidNoticeAbstractUI.aspx?menuIndex=3&amp;refID=7185546&amp;Result=3","7185546")</f>
        <v>0</v>
      </c>
      <c r="B6370" t="s">
        <v>2126</v>
      </c>
      <c r="C6370" t="s">
        <v>9611</v>
      </c>
      <c r="D6370" t="s">
        <v>17150</v>
      </c>
      <c r="E6370" t="s">
        <v>22746</v>
      </c>
      <c r="F6370" t="s">
        <v>29372</v>
      </c>
      <c r="G6370" t="s">
        <v>29380</v>
      </c>
      <c r="H6370" t="s">
        <v>29389</v>
      </c>
      <c r="I6370" t="s">
        <v>10408</v>
      </c>
      <c r="J6370" t="s">
        <v>33640</v>
      </c>
      <c r="K6370" t="s">
        <v>38496</v>
      </c>
      <c r="M6370" t="s">
        <v>41031</v>
      </c>
      <c r="N6370" t="s">
        <v>42669</v>
      </c>
      <c r="O6370" t="s">
        <v>42670</v>
      </c>
      <c r="P6370">
        <v>0</v>
      </c>
      <c r="Q6370">
        <v>2</v>
      </c>
      <c r="R6370" t="s">
        <v>42677</v>
      </c>
      <c r="S6370" t="s">
        <v>42830</v>
      </c>
      <c r="T6370" t="s">
        <v>44503</v>
      </c>
      <c r="U6370" t="s">
        <v>50037</v>
      </c>
      <c r="W6370" t="s">
        <v>41031</v>
      </c>
      <c r="X6370" t="s">
        <v>42678</v>
      </c>
    </row>
    <row r="6371" spans="1:24">
      <c r="A6371">
        <f>HYPERLINK("https://www.philgeps.gov.ph/GEPSNONPILOT/Tender/SplashBidNoticeAbstractUI.aspx?menuIndex=3&amp;refID=7185552&amp;Result=3","7185552")</f>
        <v>0</v>
      </c>
      <c r="B6371" t="s">
        <v>2158</v>
      </c>
      <c r="C6371" t="s">
        <v>9612</v>
      </c>
      <c r="D6371" t="s">
        <v>17141</v>
      </c>
      <c r="E6371" t="s">
        <v>22747</v>
      </c>
      <c r="F6371" t="s">
        <v>29372</v>
      </c>
      <c r="G6371" t="s">
        <v>29379</v>
      </c>
      <c r="H6371" t="s">
        <v>11048</v>
      </c>
      <c r="I6371" t="s">
        <v>3839</v>
      </c>
      <c r="J6371" t="s">
        <v>33641</v>
      </c>
      <c r="K6371" t="s">
        <v>38488</v>
      </c>
      <c r="M6371" t="s">
        <v>41069</v>
      </c>
      <c r="N6371" t="s">
        <v>42669</v>
      </c>
      <c r="O6371" t="s">
        <v>42670</v>
      </c>
      <c r="P6371">
        <v>0</v>
      </c>
      <c r="Q6371">
        <v>2</v>
      </c>
      <c r="R6371" t="s">
        <v>42677</v>
      </c>
      <c r="S6371" t="s">
        <v>42830</v>
      </c>
      <c r="T6371" t="s">
        <v>44430</v>
      </c>
      <c r="U6371" t="s">
        <v>50038</v>
      </c>
      <c r="W6371" t="s">
        <v>41069</v>
      </c>
      <c r="X6371" t="s">
        <v>42678</v>
      </c>
    </row>
    <row r="6372" spans="1:24">
      <c r="A6372">
        <f>HYPERLINK("https://www.philgeps.gov.ph/GEPSNONPILOT/Tender/SplashBidNoticeAbstractUI.aspx?menuIndex=3&amp;refID=7185482&amp;Result=3","7185482")</f>
        <v>0</v>
      </c>
      <c r="B6372" t="s">
        <v>1875</v>
      </c>
      <c r="C6372" t="s">
        <v>9613</v>
      </c>
      <c r="D6372" t="s">
        <v>17179</v>
      </c>
      <c r="E6372" t="s">
        <v>22748</v>
      </c>
      <c r="F6372" t="s">
        <v>29372</v>
      </c>
      <c r="G6372" t="s">
        <v>29379</v>
      </c>
      <c r="H6372" t="s">
        <v>29390</v>
      </c>
      <c r="I6372" t="s">
        <v>8208</v>
      </c>
      <c r="J6372" t="s">
        <v>33642</v>
      </c>
      <c r="K6372" t="s">
        <v>38528</v>
      </c>
      <c r="M6372" t="s">
        <v>40748</v>
      </c>
      <c r="N6372" t="s">
        <v>42669</v>
      </c>
      <c r="O6372" t="s">
        <v>42670</v>
      </c>
      <c r="P6372">
        <v>0</v>
      </c>
      <c r="Q6372">
        <v>0</v>
      </c>
      <c r="R6372" t="s">
        <v>42677</v>
      </c>
      <c r="S6372" t="s">
        <v>42830</v>
      </c>
      <c r="T6372" t="s">
        <v>44427</v>
      </c>
      <c r="U6372" t="s">
        <v>50039</v>
      </c>
      <c r="W6372" t="s">
        <v>40748</v>
      </c>
      <c r="X6372" t="s">
        <v>42678</v>
      </c>
    </row>
    <row r="6373" spans="1:24">
      <c r="A6373">
        <f>HYPERLINK("https://www.philgeps.gov.ph/GEPSNONPILOT/Tender/SplashBidNoticeAbstractUI.aspx?menuIndex=3&amp;refID=7185473&amp;Result=3","7185473")</f>
        <v>0</v>
      </c>
      <c r="B6373" t="s">
        <v>529</v>
      </c>
      <c r="C6373" t="s">
        <v>9614</v>
      </c>
      <c r="D6373" t="s">
        <v>17147</v>
      </c>
      <c r="E6373" t="s">
        <v>22749</v>
      </c>
      <c r="F6373" t="s">
        <v>29372</v>
      </c>
      <c r="G6373" t="s">
        <v>29380</v>
      </c>
      <c r="H6373" t="s">
        <v>11048</v>
      </c>
      <c r="I6373" t="s">
        <v>29452</v>
      </c>
      <c r="J6373" t="s">
        <v>33643</v>
      </c>
      <c r="K6373" t="s">
        <v>38503</v>
      </c>
      <c r="M6373" t="s">
        <v>39296</v>
      </c>
      <c r="N6373" t="s">
        <v>42669</v>
      </c>
      <c r="O6373" t="s">
        <v>42670</v>
      </c>
      <c r="P6373">
        <v>0</v>
      </c>
      <c r="Q6373">
        <v>1</v>
      </c>
      <c r="R6373" t="s">
        <v>42677</v>
      </c>
      <c r="S6373" t="s">
        <v>42830</v>
      </c>
      <c r="T6373" t="s">
        <v>44542</v>
      </c>
      <c r="U6373" t="s">
        <v>50040</v>
      </c>
      <c r="W6373" t="s">
        <v>39296</v>
      </c>
      <c r="X6373" t="s">
        <v>42678</v>
      </c>
    </row>
    <row r="6374" spans="1:24">
      <c r="A6374">
        <f>HYPERLINK("https://www.philgeps.gov.ph/GEPSNONPILOT/Tender/SplashBidNoticeAbstractUI.aspx?menuIndex=3&amp;refID=7185539&amp;Result=3","7185539")</f>
        <v>0</v>
      </c>
      <c r="B6374" t="s">
        <v>1515</v>
      </c>
      <c r="C6374" t="s">
        <v>9615</v>
      </c>
      <c r="D6374" t="s">
        <v>17174</v>
      </c>
      <c r="E6374" t="s">
        <v>22750</v>
      </c>
      <c r="F6374" t="s">
        <v>29372</v>
      </c>
      <c r="G6374" t="s">
        <v>29379</v>
      </c>
      <c r="H6374" t="s">
        <v>11048</v>
      </c>
      <c r="I6374" t="s">
        <v>8614</v>
      </c>
      <c r="J6374" t="s">
        <v>29922</v>
      </c>
      <c r="K6374" t="s">
        <v>38510</v>
      </c>
      <c r="M6374" t="s">
        <v>40359</v>
      </c>
      <c r="N6374" t="s">
        <v>42669</v>
      </c>
      <c r="O6374" t="s">
        <v>42670</v>
      </c>
      <c r="P6374">
        <v>0</v>
      </c>
      <c r="Q6374">
        <v>0</v>
      </c>
      <c r="R6374" t="s">
        <v>42677</v>
      </c>
      <c r="S6374" t="s">
        <v>42830</v>
      </c>
      <c r="T6374" t="s">
        <v>44432</v>
      </c>
      <c r="U6374" t="s">
        <v>50041</v>
      </c>
      <c r="W6374" t="s">
        <v>40359</v>
      </c>
      <c r="X6374" t="s">
        <v>42678</v>
      </c>
    </row>
    <row r="6375" spans="1:24">
      <c r="A6375">
        <f>HYPERLINK("https://www.philgeps.gov.ph/GEPSNONPILOT/Tender/SplashBidNoticeAbstractUI.aspx?menuIndex=3&amp;refID=7185548&amp;Result=3","7185548")</f>
        <v>0</v>
      </c>
      <c r="B6375" t="s">
        <v>662</v>
      </c>
      <c r="C6375" t="s">
        <v>9616</v>
      </c>
      <c r="D6375" t="s">
        <v>17211</v>
      </c>
      <c r="E6375" t="s">
        <v>22751</v>
      </c>
      <c r="F6375" t="s">
        <v>29372</v>
      </c>
      <c r="G6375" t="s">
        <v>29380</v>
      </c>
      <c r="H6375" t="s">
        <v>11048</v>
      </c>
      <c r="I6375" t="s">
        <v>29407</v>
      </c>
      <c r="J6375" t="s">
        <v>33644</v>
      </c>
      <c r="K6375" t="s">
        <v>38485</v>
      </c>
      <c r="M6375" t="s">
        <v>39438</v>
      </c>
      <c r="N6375" t="s">
        <v>42669</v>
      </c>
      <c r="O6375" t="s">
        <v>42670</v>
      </c>
      <c r="P6375">
        <v>0</v>
      </c>
      <c r="Q6375">
        <v>5</v>
      </c>
      <c r="R6375" t="s">
        <v>42677</v>
      </c>
      <c r="S6375" t="s">
        <v>42830</v>
      </c>
      <c r="T6375" t="s">
        <v>44371</v>
      </c>
      <c r="U6375" t="s">
        <v>50042</v>
      </c>
      <c r="W6375" t="s">
        <v>39438</v>
      </c>
      <c r="X6375" t="s">
        <v>42678</v>
      </c>
    </row>
    <row r="6376" spans="1:24">
      <c r="A6376">
        <f>HYPERLINK("https://www.philgeps.gov.ph/GEPSNONPILOT/Tender/SplashBidNoticeAbstractUI.aspx?menuIndex=3&amp;refID=7185543&amp;Result=3","7185543")</f>
        <v>0</v>
      </c>
      <c r="B6376" t="s">
        <v>530</v>
      </c>
      <c r="C6376" t="s">
        <v>9617</v>
      </c>
      <c r="D6376" t="s">
        <v>17201</v>
      </c>
      <c r="E6376" t="s">
        <v>22752</v>
      </c>
      <c r="F6376" t="s">
        <v>29372</v>
      </c>
      <c r="G6376" t="s">
        <v>29379</v>
      </c>
      <c r="H6376" t="s">
        <v>11048</v>
      </c>
      <c r="I6376" t="s">
        <v>29409</v>
      </c>
      <c r="J6376" t="s">
        <v>29555</v>
      </c>
      <c r="K6376" t="s">
        <v>38485</v>
      </c>
      <c r="M6376" t="s">
        <v>39297</v>
      </c>
      <c r="N6376" t="s">
        <v>42669</v>
      </c>
      <c r="O6376" t="s">
        <v>42670</v>
      </c>
      <c r="P6376">
        <v>0</v>
      </c>
      <c r="Q6376">
        <v>11</v>
      </c>
      <c r="R6376" t="s">
        <v>42677</v>
      </c>
      <c r="S6376" t="s">
        <v>42830</v>
      </c>
      <c r="T6376" t="s">
        <v>44570</v>
      </c>
      <c r="U6376" t="s">
        <v>46011</v>
      </c>
      <c r="W6376" t="s">
        <v>39297</v>
      </c>
      <c r="X6376" t="s">
        <v>42678</v>
      </c>
    </row>
    <row r="6377" spans="1:24">
      <c r="A6377">
        <f>HYPERLINK("https://www.philgeps.gov.ph/GEPSNONPILOT/Tender/SplashBidNoticeAbstractUI.aspx?menuIndex=3&amp;refID=7185530&amp;Result=3","7185530")</f>
        <v>0</v>
      </c>
      <c r="B6377" t="s">
        <v>2076</v>
      </c>
      <c r="C6377" t="s">
        <v>9618</v>
      </c>
      <c r="E6377" t="s">
        <v>22753</v>
      </c>
      <c r="F6377" t="s">
        <v>29372</v>
      </c>
      <c r="G6377" t="s">
        <v>29380</v>
      </c>
      <c r="H6377" t="s">
        <v>11048</v>
      </c>
      <c r="I6377" t="s">
        <v>4709</v>
      </c>
      <c r="J6377" t="s">
        <v>33645</v>
      </c>
      <c r="K6377" t="s">
        <v>38490</v>
      </c>
      <c r="M6377" t="s">
        <v>40975</v>
      </c>
      <c r="N6377" t="s">
        <v>42669</v>
      </c>
      <c r="O6377" t="s">
        <v>42670</v>
      </c>
      <c r="P6377">
        <v>0</v>
      </c>
      <c r="Q6377">
        <v>1</v>
      </c>
      <c r="R6377" t="s">
        <v>42677</v>
      </c>
      <c r="S6377" t="s">
        <v>42830</v>
      </c>
      <c r="T6377" t="s">
        <v>44427</v>
      </c>
      <c r="U6377" t="s">
        <v>50043</v>
      </c>
      <c r="W6377" t="s">
        <v>40975</v>
      </c>
      <c r="X6377" t="s">
        <v>42678</v>
      </c>
    </row>
    <row r="6378" spans="1:24">
      <c r="A6378">
        <f>HYPERLINK("https://www.philgeps.gov.ph/GEPSNONPILOT/Tender/SplashBidNoticeAbstractUI.aspx?menuIndex=3&amp;refID=7185529&amp;Result=3","7185529")</f>
        <v>0</v>
      </c>
      <c r="B6378" t="s">
        <v>2144</v>
      </c>
      <c r="C6378" t="s">
        <v>9619</v>
      </c>
      <c r="D6378" t="s">
        <v>17153</v>
      </c>
      <c r="E6378" t="s">
        <v>17401</v>
      </c>
      <c r="F6378" t="s">
        <v>29372</v>
      </c>
      <c r="G6378" t="s">
        <v>29379</v>
      </c>
      <c r="H6378" t="s">
        <v>11048</v>
      </c>
      <c r="I6378" t="s">
        <v>9642</v>
      </c>
      <c r="J6378" t="s">
        <v>29767</v>
      </c>
      <c r="K6378" t="s">
        <v>38518</v>
      </c>
      <c r="M6378" t="s">
        <v>41050</v>
      </c>
      <c r="N6378" t="s">
        <v>42669</v>
      </c>
      <c r="O6378" t="s">
        <v>42670</v>
      </c>
      <c r="P6378">
        <v>0</v>
      </c>
      <c r="Q6378">
        <v>5</v>
      </c>
      <c r="R6378" t="s">
        <v>42677</v>
      </c>
      <c r="S6378" t="s">
        <v>42830</v>
      </c>
      <c r="T6378" t="s">
        <v>44530</v>
      </c>
      <c r="U6378" t="s">
        <v>49976</v>
      </c>
      <c r="W6378" t="s">
        <v>41050</v>
      </c>
      <c r="X6378" t="s">
        <v>42678</v>
      </c>
    </row>
    <row r="6379" spans="1:24">
      <c r="A6379">
        <f>HYPERLINK("https://www.philgeps.gov.ph/GEPSNONPILOT/Tender/SplashBidNoticeAbstractUI.aspx?menuIndex=3&amp;refID=7185540&amp;Result=3","7185540")</f>
        <v>0</v>
      </c>
      <c r="B6379" t="s">
        <v>1782</v>
      </c>
      <c r="C6379" t="s">
        <v>9620</v>
      </c>
      <c r="D6379" t="s">
        <v>17177</v>
      </c>
      <c r="E6379" t="s">
        <v>22754</v>
      </c>
      <c r="F6379" t="s">
        <v>29372</v>
      </c>
      <c r="G6379" t="s">
        <v>29380</v>
      </c>
      <c r="H6379" t="s">
        <v>29389</v>
      </c>
      <c r="I6379" t="s">
        <v>10408</v>
      </c>
      <c r="J6379" t="s">
        <v>29573</v>
      </c>
      <c r="K6379" t="s">
        <v>38533</v>
      </c>
      <c r="M6379" t="s">
        <v>40651</v>
      </c>
      <c r="N6379" t="s">
        <v>42669</v>
      </c>
      <c r="O6379" t="s">
        <v>42670</v>
      </c>
      <c r="P6379">
        <v>0</v>
      </c>
      <c r="Q6379">
        <v>8</v>
      </c>
      <c r="R6379" t="s">
        <v>42677</v>
      </c>
      <c r="S6379" t="s">
        <v>42830</v>
      </c>
      <c r="T6379" t="s">
        <v>44718</v>
      </c>
      <c r="U6379" t="s">
        <v>50044</v>
      </c>
      <c r="V6379" t="s">
        <v>57063</v>
      </c>
      <c r="W6379" t="s">
        <v>40651</v>
      </c>
      <c r="X6379" t="s">
        <v>42678</v>
      </c>
    </row>
    <row r="6380" spans="1:24">
      <c r="A6380">
        <f>HYPERLINK("https://www.philgeps.gov.ph/GEPSNONPILOT/Tender/SplashBidNoticeAbstractUI.aspx?menuIndex=3&amp;refID=7185528&amp;Result=3","7185528")</f>
        <v>0</v>
      </c>
      <c r="B6380" t="s">
        <v>2133</v>
      </c>
      <c r="C6380" t="s">
        <v>9621</v>
      </c>
      <c r="D6380" t="s">
        <v>17183</v>
      </c>
      <c r="E6380" t="s">
        <v>22755</v>
      </c>
      <c r="F6380" t="s">
        <v>29372</v>
      </c>
      <c r="G6380" t="s">
        <v>29380</v>
      </c>
      <c r="H6380" t="s">
        <v>29389</v>
      </c>
      <c r="I6380" t="s">
        <v>29402</v>
      </c>
      <c r="J6380" t="s">
        <v>33646</v>
      </c>
      <c r="K6380" t="s">
        <v>38488</v>
      </c>
      <c r="L6380" t="s">
        <v>2133</v>
      </c>
      <c r="M6380" t="s">
        <v>41038</v>
      </c>
      <c r="N6380" t="s">
        <v>42669</v>
      </c>
      <c r="O6380" t="s">
        <v>42670</v>
      </c>
      <c r="P6380">
        <v>0</v>
      </c>
      <c r="Q6380">
        <v>0</v>
      </c>
      <c r="R6380" t="s">
        <v>42677</v>
      </c>
      <c r="S6380" t="s">
        <v>42830</v>
      </c>
      <c r="T6380" t="s">
        <v>44482</v>
      </c>
      <c r="U6380" t="s">
        <v>50045</v>
      </c>
      <c r="W6380" t="s">
        <v>41038</v>
      </c>
      <c r="X6380" t="s">
        <v>42678</v>
      </c>
    </row>
    <row r="6381" spans="1:24">
      <c r="A6381">
        <f>HYPERLINK("https://www.philgeps.gov.ph/GEPSNONPILOT/Tender/SplashBidNoticeAbstractUI.aspx?menuIndex=3&amp;refID=7185591&amp;Result=3","7185591")</f>
        <v>0</v>
      </c>
      <c r="B6381" t="s">
        <v>1515</v>
      </c>
      <c r="C6381" t="s">
        <v>9622</v>
      </c>
      <c r="D6381" t="s">
        <v>17174</v>
      </c>
      <c r="E6381" t="s">
        <v>22756</v>
      </c>
      <c r="F6381" t="s">
        <v>29372</v>
      </c>
      <c r="G6381" t="s">
        <v>29379</v>
      </c>
      <c r="H6381" t="s">
        <v>11048</v>
      </c>
      <c r="I6381" t="s">
        <v>8614</v>
      </c>
      <c r="J6381" t="s">
        <v>29571</v>
      </c>
      <c r="K6381" t="s">
        <v>38488</v>
      </c>
      <c r="M6381" t="s">
        <v>40359</v>
      </c>
      <c r="N6381" t="s">
        <v>42669</v>
      </c>
      <c r="O6381" t="s">
        <v>42670</v>
      </c>
      <c r="P6381">
        <v>0</v>
      </c>
      <c r="Q6381">
        <v>0</v>
      </c>
      <c r="R6381" t="s">
        <v>42677</v>
      </c>
      <c r="S6381" t="s">
        <v>42830</v>
      </c>
      <c r="T6381" t="s">
        <v>44432</v>
      </c>
      <c r="U6381" t="s">
        <v>50046</v>
      </c>
      <c r="W6381" t="s">
        <v>40359</v>
      </c>
      <c r="X6381" t="s">
        <v>42678</v>
      </c>
    </row>
    <row r="6382" spans="1:24">
      <c r="A6382">
        <f>HYPERLINK("https://www.philgeps.gov.ph/GEPSNONPILOT/Tender/SplashBidNoticeAbstractUI.aspx?menuIndex=3&amp;refID=7185549&amp;Result=3","7185549")</f>
        <v>0</v>
      </c>
      <c r="B6382" t="s">
        <v>2151</v>
      </c>
      <c r="C6382" t="s">
        <v>9623</v>
      </c>
      <c r="E6382" t="s">
        <v>22757</v>
      </c>
      <c r="F6382" t="s">
        <v>29372</v>
      </c>
      <c r="G6382" t="s">
        <v>29380</v>
      </c>
      <c r="H6382" t="s">
        <v>29389</v>
      </c>
      <c r="I6382" t="s">
        <v>10408</v>
      </c>
      <c r="J6382" t="s">
        <v>33647</v>
      </c>
      <c r="K6382" t="s">
        <v>38490</v>
      </c>
      <c r="M6382" t="s">
        <v>41059</v>
      </c>
      <c r="N6382" t="s">
        <v>42669</v>
      </c>
      <c r="O6382" t="s">
        <v>42670</v>
      </c>
      <c r="P6382">
        <v>0</v>
      </c>
      <c r="Q6382">
        <v>2</v>
      </c>
      <c r="R6382" t="s">
        <v>42677</v>
      </c>
      <c r="S6382" t="s">
        <v>42830</v>
      </c>
      <c r="T6382" t="s">
        <v>44542</v>
      </c>
      <c r="U6382" t="s">
        <v>50047</v>
      </c>
      <c r="V6382" t="s">
        <v>57064</v>
      </c>
      <c r="W6382" t="s">
        <v>41059</v>
      </c>
      <c r="X6382" t="s">
        <v>42678</v>
      </c>
    </row>
    <row r="6383" spans="1:24">
      <c r="A6383">
        <f>HYPERLINK("https://www.philgeps.gov.ph/GEPSNONPILOT/Tender/SplashBidNoticeAbstractUI.aspx?menuIndex=3&amp;refID=7185588&amp;Result=3","7185588")</f>
        <v>0</v>
      </c>
      <c r="B6383" t="s">
        <v>2036</v>
      </c>
      <c r="C6383" t="s">
        <v>9624</v>
      </c>
      <c r="D6383" t="s">
        <v>17228</v>
      </c>
      <c r="E6383" t="s">
        <v>22758</v>
      </c>
      <c r="F6383" t="s">
        <v>29372</v>
      </c>
      <c r="G6383" t="s">
        <v>29380</v>
      </c>
      <c r="H6383" t="s">
        <v>11048</v>
      </c>
      <c r="I6383" t="s">
        <v>3695</v>
      </c>
      <c r="J6383" t="s">
        <v>33648</v>
      </c>
      <c r="K6383" t="s">
        <v>38489</v>
      </c>
      <c r="M6383" t="s">
        <v>40932</v>
      </c>
      <c r="N6383" t="s">
        <v>42669</v>
      </c>
      <c r="O6383" t="s">
        <v>42670</v>
      </c>
      <c r="P6383">
        <v>0</v>
      </c>
      <c r="Q6383">
        <v>3</v>
      </c>
      <c r="R6383" t="s">
        <v>42677</v>
      </c>
      <c r="S6383" t="s">
        <v>42830</v>
      </c>
      <c r="T6383" t="s">
        <v>44719</v>
      </c>
      <c r="U6383" t="s">
        <v>49673</v>
      </c>
      <c r="W6383" t="s">
        <v>40932</v>
      </c>
      <c r="X6383" t="s">
        <v>42678</v>
      </c>
    </row>
    <row r="6384" spans="1:24">
      <c r="A6384">
        <f>HYPERLINK("https://www.philgeps.gov.ph/GEPSNONPILOT/Tender/SplashBidNoticeAbstractUI.aspx?menuIndex=3&amp;refID=7185587&amp;Result=3","7185587")</f>
        <v>0</v>
      </c>
      <c r="B6384" t="s">
        <v>2159</v>
      </c>
      <c r="C6384" t="s">
        <v>9625</v>
      </c>
      <c r="D6384" t="s">
        <v>17158</v>
      </c>
      <c r="E6384" t="s">
        <v>22759</v>
      </c>
      <c r="F6384" t="s">
        <v>29372</v>
      </c>
      <c r="G6384" t="s">
        <v>29380</v>
      </c>
      <c r="H6384" t="s">
        <v>11048</v>
      </c>
      <c r="I6384" t="s">
        <v>4709</v>
      </c>
      <c r="J6384" t="s">
        <v>33649</v>
      </c>
      <c r="K6384" t="s">
        <v>38488</v>
      </c>
      <c r="L6384" t="s">
        <v>2159</v>
      </c>
      <c r="M6384" t="s">
        <v>41070</v>
      </c>
      <c r="N6384" t="s">
        <v>42669</v>
      </c>
      <c r="O6384" t="s">
        <v>42670</v>
      </c>
      <c r="P6384">
        <v>0</v>
      </c>
      <c r="Q6384">
        <v>0</v>
      </c>
      <c r="R6384" t="s">
        <v>42677</v>
      </c>
      <c r="S6384" t="s">
        <v>42830</v>
      </c>
      <c r="T6384" t="s">
        <v>44427</v>
      </c>
      <c r="U6384" t="s">
        <v>50048</v>
      </c>
      <c r="W6384" t="s">
        <v>41070</v>
      </c>
      <c r="X6384" t="s">
        <v>42678</v>
      </c>
    </row>
    <row r="6385" spans="1:24">
      <c r="A6385">
        <f>HYPERLINK("https://www.philgeps.gov.ph/GEPSNONPILOT/Tender/SplashBidNoticeAbstractUI.aspx?menuIndex=3&amp;refID=7185585&amp;Result=3","7185585")</f>
        <v>0</v>
      </c>
      <c r="B6385" t="s">
        <v>2160</v>
      </c>
      <c r="C6385" t="s">
        <v>9626</v>
      </c>
      <c r="D6385" t="s">
        <v>17159</v>
      </c>
      <c r="E6385" t="s">
        <v>22760</v>
      </c>
      <c r="F6385" t="s">
        <v>29372</v>
      </c>
      <c r="G6385" t="s">
        <v>29380</v>
      </c>
      <c r="H6385" t="s">
        <v>11048</v>
      </c>
      <c r="I6385" t="s">
        <v>5383</v>
      </c>
      <c r="J6385" t="s">
        <v>31159</v>
      </c>
      <c r="K6385" t="s">
        <v>38485</v>
      </c>
      <c r="M6385" t="s">
        <v>41071</v>
      </c>
      <c r="N6385" t="s">
        <v>42669</v>
      </c>
      <c r="O6385" t="s">
        <v>42670</v>
      </c>
      <c r="P6385">
        <v>0</v>
      </c>
      <c r="Q6385">
        <v>1</v>
      </c>
      <c r="R6385" t="s">
        <v>42677</v>
      </c>
      <c r="S6385" t="s">
        <v>42830</v>
      </c>
      <c r="T6385" t="s">
        <v>44401</v>
      </c>
      <c r="U6385" t="s">
        <v>50049</v>
      </c>
      <c r="W6385" t="s">
        <v>41071</v>
      </c>
      <c r="X6385" t="s">
        <v>42678</v>
      </c>
    </row>
    <row r="6386" spans="1:24">
      <c r="A6386">
        <f>HYPERLINK("https://www.philgeps.gov.ph/GEPSNONPILOT/Tender/SplashBidNoticeAbstractUI.aspx?menuIndex=3&amp;refID=7185582&amp;Result=3","7185582")</f>
        <v>0</v>
      </c>
      <c r="B6386" t="s">
        <v>738</v>
      </c>
      <c r="C6386" t="s">
        <v>9627</v>
      </c>
      <c r="E6386" t="s">
        <v>22761</v>
      </c>
      <c r="F6386" t="s">
        <v>29372</v>
      </c>
      <c r="G6386" t="s">
        <v>29380</v>
      </c>
      <c r="H6386" t="s">
        <v>11048</v>
      </c>
      <c r="I6386" t="s">
        <v>9469</v>
      </c>
      <c r="J6386" t="s">
        <v>29788</v>
      </c>
      <c r="K6386" t="s">
        <v>38490</v>
      </c>
      <c r="M6386" t="s">
        <v>39519</v>
      </c>
      <c r="N6386" t="s">
        <v>42669</v>
      </c>
      <c r="O6386" t="s">
        <v>42670</v>
      </c>
      <c r="Q6386">
        <v>2</v>
      </c>
      <c r="R6386" t="s">
        <v>42677</v>
      </c>
      <c r="S6386" t="s">
        <v>42850</v>
      </c>
      <c r="T6386" t="s">
        <v>44655</v>
      </c>
      <c r="U6386" t="s">
        <v>50050</v>
      </c>
      <c r="W6386" t="s">
        <v>39519</v>
      </c>
      <c r="X6386" t="s">
        <v>42678</v>
      </c>
    </row>
    <row r="6387" spans="1:24">
      <c r="A6387">
        <f>HYPERLINK("https://www.philgeps.gov.ph/GEPSNONPILOT/Tender/SplashBidNoticeAbstractUI.aspx?menuIndex=3&amp;refID=7185579&amp;Result=3","7185579")</f>
        <v>0</v>
      </c>
      <c r="B6387" t="s">
        <v>589</v>
      </c>
      <c r="C6387" t="s">
        <v>9628</v>
      </c>
      <c r="D6387" t="s">
        <v>17168</v>
      </c>
      <c r="E6387" t="s">
        <v>22762</v>
      </c>
      <c r="F6387" t="s">
        <v>29372</v>
      </c>
      <c r="G6387" t="s">
        <v>29380</v>
      </c>
      <c r="H6387" t="s">
        <v>11048</v>
      </c>
      <c r="I6387" t="s">
        <v>3629</v>
      </c>
      <c r="J6387" t="s">
        <v>33650</v>
      </c>
      <c r="K6387" t="s">
        <v>38538</v>
      </c>
      <c r="M6387" t="s">
        <v>40153</v>
      </c>
      <c r="N6387" t="s">
        <v>42669</v>
      </c>
      <c r="O6387" t="s">
        <v>42670</v>
      </c>
      <c r="P6387">
        <v>0</v>
      </c>
      <c r="Q6387">
        <v>0</v>
      </c>
      <c r="R6387" t="s">
        <v>42677</v>
      </c>
      <c r="S6387" t="s">
        <v>42830</v>
      </c>
      <c r="T6387" t="s">
        <v>44557</v>
      </c>
      <c r="U6387" t="s">
        <v>50051</v>
      </c>
      <c r="V6387" t="s">
        <v>56460</v>
      </c>
      <c r="W6387" t="s">
        <v>40153</v>
      </c>
      <c r="X6387" t="s">
        <v>42678</v>
      </c>
    </row>
    <row r="6388" spans="1:24">
      <c r="A6388">
        <f>HYPERLINK("https://www.philgeps.gov.ph/GEPSNONPILOT/Tender/SplashBidNoticeAbstractUI.aspx?menuIndex=3&amp;refID=7185590&amp;Result=3","7185590")</f>
        <v>0</v>
      </c>
      <c r="B6388" t="s">
        <v>2161</v>
      </c>
      <c r="C6388" t="s">
        <v>9629</v>
      </c>
      <c r="D6388" t="s">
        <v>17175</v>
      </c>
      <c r="E6388" t="s">
        <v>22763</v>
      </c>
      <c r="F6388" t="s">
        <v>29372</v>
      </c>
      <c r="G6388" t="s">
        <v>29380</v>
      </c>
      <c r="H6388" t="s">
        <v>11048</v>
      </c>
      <c r="I6388" t="s">
        <v>4709</v>
      </c>
      <c r="J6388" t="s">
        <v>29799</v>
      </c>
      <c r="K6388" t="s">
        <v>38490</v>
      </c>
      <c r="M6388" t="s">
        <v>41072</v>
      </c>
      <c r="N6388" t="s">
        <v>42669</v>
      </c>
      <c r="O6388" t="s">
        <v>42670</v>
      </c>
      <c r="P6388">
        <v>0</v>
      </c>
      <c r="Q6388">
        <v>1</v>
      </c>
      <c r="R6388" t="s">
        <v>42677</v>
      </c>
      <c r="S6388" t="s">
        <v>42830</v>
      </c>
      <c r="T6388" t="s">
        <v>44355</v>
      </c>
      <c r="U6388" t="s">
        <v>50052</v>
      </c>
      <c r="W6388" t="s">
        <v>41072</v>
      </c>
      <c r="X6388" t="s">
        <v>42678</v>
      </c>
    </row>
    <row r="6389" spans="1:24">
      <c r="A6389">
        <f>HYPERLINK("https://www.philgeps.gov.ph/GEPSNONPILOT/Tender/SplashBidNoticeAbstractUI.aspx?menuIndex=3&amp;refID=7185578&amp;Result=3","7185578")</f>
        <v>0</v>
      </c>
      <c r="B6389" t="s">
        <v>2162</v>
      </c>
      <c r="C6389" t="s">
        <v>9630</v>
      </c>
      <c r="D6389" t="s">
        <v>17197</v>
      </c>
      <c r="E6389" t="s">
        <v>19961</v>
      </c>
      <c r="F6389" t="s">
        <v>29372</v>
      </c>
      <c r="G6389" t="s">
        <v>29380</v>
      </c>
      <c r="H6389" t="s">
        <v>11048</v>
      </c>
      <c r="I6389" t="s">
        <v>29434</v>
      </c>
      <c r="J6389" t="s">
        <v>33651</v>
      </c>
      <c r="K6389" t="s">
        <v>38488</v>
      </c>
      <c r="M6389" t="s">
        <v>41073</v>
      </c>
      <c r="N6389" t="s">
        <v>42669</v>
      </c>
      <c r="O6389" t="s">
        <v>42670</v>
      </c>
      <c r="P6389">
        <v>0</v>
      </c>
      <c r="Q6389">
        <v>3</v>
      </c>
      <c r="R6389" t="s">
        <v>42677</v>
      </c>
      <c r="S6389" t="s">
        <v>42830</v>
      </c>
      <c r="T6389" t="s">
        <v>44446</v>
      </c>
      <c r="U6389" t="s">
        <v>50053</v>
      </c>
      <c r="V6389" t="s">
        <v>57065</v>
      </c>
      <c r="W6389" t="s">
        <v>41073</v>
      </c>
      <c r="X6389" t="s">
        <v>42678</v>
      </c>
    </row>
    <row r="6390" spans="1:24">
      <c r="A6390">
        <f>HYPERLINK("https://www.philgeps.gov.ph/GEPSNONPILOT/Tender/SplashBidNoticeAbstractUI.aspx?menuIndex=3&amp;refID=7185573&amp;Result=3","7185573")</f>
        <v>0</v>
      </c>
      <c r="B6390" t="s">
        <v>2163</v>
      </c>
      <c r="C6390" t="s">
        <v>9631</v>
      </c>
      <c r="D6390" t="s">
        <v>17170</v>
      </c>
      <c r="E6390" t="s">
        <v>22764</v>
      </c>
      <c r="F6390" t="s">
        <v>29372</v>
      </c>
      <c r="G6390" t="s">
        <v>29379</v>
      </c>
      <c r="H6390" t="s">
        <v>11048</v>
      </c>
      <c r="I6390" t="s">
        <v>29407</v>
      </c>
      <c r="J6390" t="s">
        <v>33652</v>
      </c>
      <c r="K6390" t="s">
        <v>38490</v>
      </c>
      <c r="M6390" t="s">
        <v>41074</v>
      </c>
      <c r="N6390" t="s">
        <v>42669</v>
      </c>
      <c r="O6390" t="s">
        <v>42670</v>
      </c>
      <c r="P6390">
        <v>0</v>
      </c>
      <c r="Q6390">
        <v>8</v>
      </c>
      <c r="R6390" t="s">
        <v>42677</v>
      </c>
      <c r="S6390" t="s">
        <v>42830</v>
      </c>
      <c r="T6390" t="s">
        <v>44432</v>
      </c>
      <c r="U6390" t="s">
        <v>50054</v>
      </c>
      <c r="W6390" t="s">
        <v>41074</v>
      </c>
      <c r="X6390" t="s">
        <v>42678</v>
      </c>
    </row>
    <row r="6391" spans="1:24">
      <c r="A6391">
        <f>HYPERLINK("https://www.philgeps.gov.ph/GEPSNONPILOT/Tender/SplashBidNoticeAbstractUI.aspx?menuIndex=3&amp;refID=7185584&amp;Result=3","7185584")</f>
        <v>0</v>
      </c>
      <c r="B6391" t="s">
        <v>1875</v>
      </c>
      <c r="C6391" t="s">
        <v>9632</v>
      </c>
      <c r="D6391" t="s">
        <v>17179</v>
      </c>
      <c r="E6391" t="s">
        <v>22765</v>
      </c>
      <c r="F6391" t="s">
        <v>29372</v>
      </c>
      <c r="G6391" t="s">
        <v>29379</v>
      </c>
      <c r="H6391" t="s">
        <v>11048</v>
      </c>
      <c r="I6391" t="s">
        <v>3670</v>
      </c>
      <c r="J6391" t="s">
        <v>33653</v>
      </c>
      <c r="K6391" t="s">
        <v>38518</v>
      </c>
      <c r="M6391" t="s">
        <v>40748</v>
      </c>
      <c r="N6391" t="s">
        <v>42669</v>
      </c>
      <c r="O6391" t="s">
        <v>42670</v>
      </c>
      <c r="P6391">
        <v>0</v>
      </c>
      <c r="Q6391">
        <v>1</v>
      </c>
      <c r="R6391" t="s">
        <v>42677</v>
      </c>
      <c r="S6391" t="s">
        <v>42830</v>
      </c>
      <c r="T6391" t="s">
        <v>44427</v>
      </c>
      <c r="U6391" t="s">
        <v>50055</v>
      </c>
      <c r="W6391" t="s">
        <v>40748</v>
      </c>
      <c r="X6391" t="s">
        <v>42678</v>
      </c>
    </row>
    <row r="6392" spans="1:24">
      <c r="A6392">
        <f>HYPERLINK("https://www.philgeps.gov.ph/GEPSNONPILOT/Tender/SplashBidNoticeAbstractUI.aspx?menuIndex=3&amp;refID=7185535&amp;Result=3","7185535")</f>
        <v>0</v>
      </c>
      <c r="B6392" t="s">
        <v>1252</v>
      </c>
      <c r="C6392" t="s">
        <v>9633</v>
      </c>
      <c r="D6392" t="s">
        <v>17152</v>
      </c>
      <c r="E6392" t="s">
        <v>22766</v>
      </c>
      <c r="F6392" t="s">
        <v>29372</v>
      </c>
      <c r="G6392" t="s">
        <v>29380</v>
      </c>
      <c r="H6392" t="s">
        <v>11048</v>
      </c>
      <c r="I6392" t="s">
        <v>29393</v>
      </c>
      <c r="J6392" t="s">
        <v>33596</v>
      </c>
      <c r="K6392" t="s">
        <v>38485</v>
      </c>
      <c r="M6392" t="s">
        <v>40078</v>
      </c>
      <c r="N6392" t="s">
        <v>42669</v>
      </c>
      <c r="O6392" t="s">
        <v>42670</v>
      </c>
      <c r="P6392">
        <v>0</v>
      </c>
      <c r="Q6392">
        <v>0</v>
      </c>
      <c r="R6392" t="s">
        <v>42677</v>
      </c>
      <c r="S6392" t="s">
        <v>42830</v>
      </c>
      <c r="T6392" t="s">
        <v>44474</v>
      </c>
      <c r="U6392" t="s">
        <v>49981</v>
      </c>
      <c r="V6392" t="s">
        <v>56672</v>
      </c>
      <c r="W6392" t="s">
        <v>40078</v>
      </c>
      <c r="X6392" t="s">
        <v>42678</v>
      </c>
    </row>
    <row r="6393" spans="1:24">
      <c r="A6393">
        <f>HYPERLINK("https://www.philgeps.gov.ph/GEPSNONPILOT/Tender/SplashBidNoticeAbstractUI.aspx?menuIndex=3&amp;refID=7185567&amp;Result=3","7185567")</f>
        <v>0</v>
      </c>
      <c r="B6393" t="s">
        <v>1515</v>
      </c>
      <c r="C6393" t="s">
        <v>9634</v>
      </c>
      <c r="D6393" t="s">
        <v>17174</v>
      </c>
      <c r="E6393" t="s">
        <v>22767</v>
      </c>
      <c r="F6393" t="s">
        <v>29372</v>
      </c>
      <c r="G6393" t="s">
        <v>29381</v>
      </c>
      <c r="H6393" t="s">
        <v>11048</v>
      </c>
      <c r="I6393" t="s">
        <v>29396</v>
      </c>
      <c r="J6393" t="s">
        <v>29549</v>
      </c>
      <c r="K6393" t="s">
        <v>38490</v>
      </c>
      <c r="M6393" t="s">
        <v>40359</v>
      </c>
      <c r="N6393" t="s">
        <v>42669</v>
      </c>
      <c r="O6393" t="s">
        <v>42670</v>
      </c>
      <c r="P6393">
        <v>0</v>
      </c>
      <c r="Q6393">
        <v>2</v>
      </c>
      <c r="R6393" t="s">
        <v>42677</v>
      </c>
      <c r="S6393" t="s">
        <v>42830</v>
      </c>
      <c r="T6393" t="s">
        <v>44432</v>
      </c>
      <c r="U6393" t="s">
        <v>50056</v>
      </c>
      <c r="W6393" t="s">
        <v>40359</v>
      </c>
      <c r="X6393" t="s">
        <v>42678</v>
      </c>
    </row>
    <row r="6394" spans="1:24">
      <c r="A6394">
        <f>HYPERLINK("https://www.philgeps.gov.ph/GEPSNONPILOT/Tender/SplashBidNoticeAbstractUI.aspx?menuIndex=3&amp;refID=7185491&amp;Result=3","7185491")</f>
        <v>0</v>
      </c>
      <c r="B6394" t="s">
        <v>2164</v>
      </c>
      <c r="C6394" t="s">
        <v>9635</v>
      </c>
      <c r="D6394" t="s">
        <v>17188</v>
      </c>
      <c r="E6394" t="s">
        <v>22768</v>
      </c>
      <c r="F6394" t="s">
        <v>29372</v>
      </c>
      <c r="G6394" t="s">
        <v>29381</v>
      </c>
      <c r="H6394" t="s">
        <v>29391</v>
      </c>
      <c r="I6394" t="s">
        <v>29397</v>
      </c>
      <c r="J6394" t="s">
        <v>29728</v>
      </c>
      <c r="K6394" t="s">
        <v>38485</v>
      </c>
      <c r="M6394" t="s">
        <v>41075</v>
      </c>
      <c r="N6394" t="s">
        <v>42669</v>
      </c>
      <c r="O6394" t="s">
        <v>42670</v>
      </c>
      <c r="P6394">
        <v>0</v>
      </c>
      <c r="Q6394">
        <v>4</v>
      </c>
      <c r="R6394" t="s">
        <v>42677</v>
      </c>
      <c r="S6394" t="s">
        <v>42830</v>
      </c>
      <c r="T6394" t="s">
        <v>44457</v>
      </c>
      <c r="U6394" t="s">
        <v>50057</v>
      </c>
      <c r="W6394" t="s">
        <v>41075</v>
      </c>
      <c r="X6394" t="s">
        <v>42678</v>
      </c>
    </row>
    <row r="6395" spans="1:24">
      <c r="A6395">
        <f>HYPERLINK("https://www.philgeps.gov.ph/GEPSNONPILOT/Tender/SplashBidNoticeAbstractUI.aspx?menuIndex=3&amp;refID=7185562&amp;Result=3","7185562")</f>
        <v>0</v>
      </c>
      <c r="B6395" t="s">
        <v>1927</v>
      </c>
      <c r="C6395" t="s">
        <v>9636</v>
      </c>
      <c r="D6395" t="s">
        <v>17231</v>
      </c>
      <c r="E6395" t="s">
        <v>22769</v>
      </c>
      <c r="F6395" t="s">
        <v>29372</v>
      </c>
      <c r="G6395" t="s">
        <v>29380</v>
      </c>
      <c r="H6395" t="s">
        <v>11048</v>
      </c>
      <c r="I6395" t="s">
        <v>3839</v>
      </c>
      <c r="J6395" t="s">
        <v>29619</v>
      </c>
      <c r="K6395" t="s">
        <v>38487</v>
      </c>
      <c r="M6395" t="s">
        <v>40804</v>
      </c>
      <c r="N6395" t="s">
        <v>42669</v>
      </c>
      <c r="O6395" t="s">
        <v>42670</v>
      </c>
      <c r="P6395">
        <v>0</v>
      </c>
      <c r="Q6395">
        <v>0</v>
      </c>
      <c r="R6395" t="s">
        <v>42677</v>
      </c>
      <c r="S6395" t="s">
        <v>42830</v>
      </c>
      <c r="T6395" t="s">
        <v>44481</v>
      </c>
      <c r="U6395" t="s">
        <v>50058</v>
      </c>
      <c r="W6395" t="s">
        <v>40804</v>
      </c>
      <c r="X6395" t="s">
        <v>42678</v>
      </c>
    </row>
    <row r="6396" spans="1:24">
      <c r="A6396">
        <f>HYPERLINK("https://www.philgeps.gov.ph/GEPSNONPILOT/Tender/SplashBidNoticeAbstractUI.aspx?menuIndex=3&amp;refID=7185633&amp;Result=3","7185633")</f>
        <v>0</v>
      </c>
      <c r="B6396" t="s">
        <v>2165</v>
      </c>
      <c r="C6396" t="s">
        <v>9637</v>
      </c>
      <c r="D6396" t="s">
        <v>17197</v>
      </c>
      <c r="E6396" t="s">
        <v>19292</v>
      </c>
      <c r="F6396" t="s">
        <v>29372</v>
      </c>
      <c r="G6396" t="s">
        <v>29380</v>
      </c>
      <c r="H6396" t="s">
        <v>11048</v>
      </c>
      <c r="I6396" t="s">
        <v>29404</v>
      </c>
      <c r="J6396" t="s">
        <v>30815</v>
      </c>
      <c r="K6396" t="s">
        <v>38485</v>
      </c>
      <c r="M6396" t="s">
        <v>41076</v>
      </c>
      <c r="N6396" t="s">
        <v>42669</v>
      </c>
      <c r="O6396" t="s">
        <v>42670</v>
      </c>
      <c r="P6396">
        <v>0</v>
      </c>
      <c r="Q6396">
        <v>1</v>
      </c>
      <c r="R6396" t="s">
        <v>42677</v>
      </c>
      <c r="S6396" t="s">
        <v>42830</v>
      </c>
      <c r="T6396" t="s">
        <v>44450</v>
      </c>
      <c r="U6396" t="s">
        <v>50059</v>
      </c>
      <c r="W6396" t="s">
        <v>41076</v>
      </c>
      <c r="X6396" t="s">
        <v>42678</v>
      </c>
    </row>
    <row r="6397" spans="1:24">
      <c r="A6397">
        <f>HYPERLINK("https://www.philgeps.gov.ph/GEPSNONPILOT/Tender/SplashBidNoticeAbstractUI.aspx?menuIndex=3&amp;refID=7185631&amp;Result=3","7185631")</f>
        <v>0</v>
      </c>
      <c r="B6397" t="s">
        <v>1252</v>
      </c>
      <c r="C6397" t="s">
        <v>9638</v>
      </c>
      <c r="D6397" t="s">
        <v>17152</v>
      </c>
      <c r="E6397" t="s">
        <v>22770</v>
      </c>
      <c r="F6397" t="s">
        <v>29372</v>
      </c>
      <c r="G6397" t="s">
        <v>29380</v>
      </c>
      <c r="H6397" t="s">
        <v>11048</v>
      </c>
      <c r="I6397" t="s">
        <v>29393</v>
      </c>
      <c r="J6397" t="s">
        <v>33596</v>
      </c>
      <c r="K6397" t="s">
        <v>38485</v>
      </c>
      <c r="M6397" t="s">
        <v>40078</v>
      </c>
      <c r="N6397" t="s">
        <v>42669</v>
      </c>
      <c r="O6397" t="s">
        <v>42670</v>
      </c>
      <c r="P6397">
        <v>0</v>
      </c>
      <c r="Q6397">
        <v>0</v>
      </c>
      <c r="R6397" t="s">
        <v>42677</v>
      </c>
      <c r="S6397" t="s">
        <v>42830</v>
      </c>
      <c r="T6397" t="s">
        <v>44474</v>
      </c>
      <c r="U6397" t="s">
        <v>50060</v>
      </c>
      <c r="V6397" t="s">
        <v>56672</v>
      </c>
      <c r="W6397" t="s">
        <v>40078</v>
      </c>
      <c r="X6397" t="s">
        <v>42678</v>
      </c>
    </row>
    <row r="6398" spans="1:24">
      <c r="A6398">
        <f>HYPERLINK("https://www.philgeps.gov.ph/GEPSNONPILOT/Tender/SplashBidNoticeAbstractUI.aspx?menuIndex=3&amp;refID=7185538&amp;Result=3","7185538")</f>
        <v>0</v>
      </c>
      <c r="B6398" t="s">
        <v>2151</v>
      </c>
      <c r="C6398" t="s">
        <v>9639</v>
      </c>
      <c r="E6398" t="s">
        <v>22771</v>
      </c>
      <c r="F6398" t="s">
        <v>29372</v>
      </c>
      <c r="G6398" t="s">
        <v>29380</v>
      </c>
      <c r="H6398" t="s">
        <v>29389</v>
      </c>
      <c r="I6398" t="s">
        <v>10408</v>
      </c>
      <c r="J6398" t="s">
        <v>33628</v>
      </c>
      <c r="K6398" t="s">
        <v>38490</v>
      </c>
      <c r="M6398" t="s">
        <v>41059</v>
      </c>
      <c r="N6398" t="s">
        <v>42669</v>
      </c>
      <c r="O6398" t="s">
        <v>42670</v>
      </c>
      <c r="P6398">
        <v>0</v>
      </c>
      <c r="Q6398">
        <v>1</v>
      </c>
      <c r="R6398" t="s">
        <v>42677</v>
      </c>
      <c r="S6398" t="s">
        <v>42830</v>
      </c>
      <c r="T6398" t="s">
        <v>44542</v>
      </c>
      <c r="U6398" t="s">
        <v>50061</v>
      </c>
      <c r="V6398" t="s">
        <v>57066</v>
      </c>
      <c r="W6398" t="s">
        <v>41059</v>
      </c>
      <c r="X6398" t="s">
        <v>42678</v>
      </c>
    </row>
    <row r="6399" spans="1:24">
      <c r="A6399">
        <f>HYPERLINK("https://www.philgeps.gov.ph/GEPSNONPILOT/Tender/SplashBidNoticeAbstractUI.aspx?menuIndex=3&amp;refID=7185565&amp;Result=3","7185565")</f>
        <v>0</v>
      </c>
      <c r="B6399" t="s">
        <v>2166</v>
      </c>
      <c r="C6399" t="s">
        <v>9640</v>
      </c>
      <c r="D6399" t="s">
        <v>17177</v>
      </c>
      <c r="E6399" t="s">
        <v>22772</v>
      </c>
      <c r="F6399" t="s">
        <v>29372</v>
      </c>
      <c r="G6399" t="s">
        <v>29379</v>
      </c>
      <c r="H6399" t="s">
        <v>11048</v>
      </c>
      <c r="I6399" t="s">
        <v>29395</v>
      </c>
      <c r="J6399" t="s">
        <v>33654</v>
      </c>
      <c r="K6399" t="s">
        <v>38490</v>
      </c>
      <c r="M6399" t="s">
        <v>41077</v>
      </c>
      <c r="N6399" t="s">
        <v>42669</v>
      </c>
      <c r="O6399" t="s">
        <v>42670</v>
      </c>
      <c r="P6399">
        <v>0</v>
      </c>
      <c r="Q6399">
        <v>2</v>
      </c>
      <c r="R6399" t="s">
        <v>42677</v>
      </c>
      <c r="S6399" t="s">
        <v>42830</v>
      </c>
      <c r="T6399" t="s">
        <v>44481</v>
      </c>
      <c r="U6399" t="s">
        <v>50062</v>
      </c>
      <c r="W6399" t="s">
        <v>41077</v>
      </c>
      <c r="X6399" t="s">
        <v>42678</v>
      </c>
    </row>
    <row r="6400" spans="1:24">
      <c r="A6400">
        <f>HYPERLINK("https://www.philgeps.gov.ph/GEPSNONPILOT/Tender/SplashBidNoticeAbstractUI.aspx?menuIndex=3&amp;refID=7185630&amp;Result=3","7185630")</f>
        <v>0</v>
      </c>
      <c r="B6400" t="s">
        <v>1751</v>
      </c>
      <c r="C6400" t="s">
        <v>9641</v>
      </c>
      <c r="D6400" t="s">
        <v>17181</v>
      </c>
      <c r="E6400" t="s">
        <v>22773</v>
      </c>
      <c r="F6400" t="s">
        <v>29372</v>
      </c>
      <c r="G6400" t="s">
        <v>29380</v>
      </c>
      <c r="H6400" t="s">
        <v>11048</v>
      </c>
      <c r="I6400" t="s">
        <v>29417</v>
      </c>
      <c r="J6400" t="s">
        <v>31189</v>
      </c>
      <c r="K6400" t="s">
        <v>38488</v>
      </c>
      <c r="M6400" t="s">
        <v>40616</v>
      </c>
      <c r="N6400" t="s">
        <v>42669</v>
      </c>
      <c r="O6400" t="s">
        <v>42670</v>
      </c>
      <c r="P6400">
        <v>0</v>
      </c>
      <c r="Q6400">
        <v>0</v>
      </c>
      <c r="R6400" t="s">
        <v>42677</v>
      </c>
      <c r="S6400" t="s">
        <v>42830</v>
      </c>
      <c r="T6400" t="s">
        <v>44391</v>
      </c>
      <c r="U6400" t="s">
        <v>50063</v>
      </c>
      <c r="W6400" t="s">
        <v>40616</v>
      </c>
      <c r="X6400" t="s">
        <v>42678</v>
      </c>
    </row>
    <row r="6401" spans="1:24">
      <c r="A6401">
        <f>HYPERLINK("https://www.philgeps.gov.ph/GEPSNONPILOT/Tender/SplashBidNoticeAbstractUI.aspx?menuIndex=3&amp;refID=7185634&amp;Result=3","7185634")</f>
        <v>0</v>
      </c>
      <c r="B6401" t="s">
        <v>2167</v>
      </c>
      <c r="C6401" t="s">
        <v>9642</v>
      </c>
      <c r="D6401" t="s">
        <v>17156</v>
      </c>
      <c r="E6401" t="s">
        <v>22774</v>
      </c>
      <c r="F6401" t="s">
        <v>29372</v>
      </c>
      <c r="G6401" t="s">
        <v>29383</v>
      </c>
      <c r="H6401" t="s">
        <v>11048</v>
      </c>
      <c r="I6401" t="s">
        <v>9642</v>
      </c>
      <c r="J6401" t="s">
        <v>30046</v>
      </c>
      <c r="K6401" t="s">
        <v>38490</v>
      </c>
      <c r="M6401" t="s">
        <v>41078</v>
      </c>
      <c r="N6401" t="s">
        <v>42669</v>
      </c>
      <c r="O6401" t="s">
        <v>42670</v>
      </c>
      <c r="P6401">
        <v>0</v>
      </c>
      <c r="Q6401">
        <v>3</v>
      </c>
      <c r="R6401" t="s">
        <v>42677</v>
      </c>
      <c r="S6401" t="s">
        <v>42830</v>
      </c>
      <c r="T6401" t="s">
        <v>44430</v>
      </c>
      <c r="U6401" t="s">
        <v>50064</v>
      </c>
      <c r="W6401" t="s">
        <v>41078</v>
      </c>
      <c r="X6401" t="s">
        <v>42678</v>
      </c>
    </row>
    <row r="6402" spans="1:24">
      <c r="A6402">
        <f>HYPERLINK("https://www.philgeps.gov.ph/GEPSNONPILOT/Tender/SplashBidNoticeAbstractUI.aspx?menuIndex=3&amp;refID=7185626&amp;Result=3","7185626")</f>
        <v>0</v>
      </c>
      <c r="B6402" t="s">
        <v>1810</v>
      </c>
      <c r="C6402" t="s">
        <v>9643</v>
      </c>
      <c r="D6402" t="s">
        <v>17168</v>
      </c>
      <c r="E6402" t="s">
        <v>22775</v>
      </c>
      <c r="F6402" t="s">
        <v>29372</v>
      </c>
      <c r="G6402" t="s">
        <v>29380</v>
      </c>
      <c r="H6402" t="s">
        <v>11048</v>
      </c>
      <c r="I6402" t="s">
        <v>29393</v>
      </c>
      <c r="J6402" t="s">
        <v>33655</v>
      </c>
      <c r="K6402" t="s">
        <v>38488</v>
      </c>
      <c r="M6402" t="s">
        <v>40681</v>
      </c>
      <c r="N6402" t="s">
        <v>42669</v>
      </c>
      <c r="O6402" t="s">
        <v>42670</v>
      </c>
      <c r="P6402">
        <v>0</v>
      </c>
      <c r="Q6402">
        <v>0</v>
      </c>
      <c r="R6402" t="s">
        <v>42677</v>
      </c>
      <c r="S6402" t="s">
        <v>42830</v>
      </c>
      <c r="T6402" t="s">
        <v>44401</v>
      </c>
      <c r="U6402" t="s">
        <v>50065</v>
      </c>
      <c r="W6402" t="s">
        <v>40681</v>
      </c>
      <c r="X6402" t="s">
        <v>42678</v>
      </c>
    </row>
    <row r="6403" spans="1:24">
      <c r="A6403">
        <f>HYPERLINK("https://www.philgeps.gov.ph/GEPSNONPILOT/Tender/SplashBidNoticeAbstractUI.aspx?menuIndex=3&amp;refID=7185622&amp;Result=3","7185622")</f>
        <v>0</v>
      </c>
      <c r="B6403" t="s">
        <v>2168</v>
      </c>
      <c r="C6403" t="s">
        <v>9644</v>
      </c>
      <c r="D6403" t="s">
        <v>17144</v>
      </c>
      <c r="E6403" t="s">
        <v>17540</v>
      </c>
      <c r="F6403" t="s">
        <v>29372</v>
      </c>
      <c r="G6403" t="s">
        <v>29380</v>
      </c>
      <c r="H6403" t="s">
        <v>11048</v>
      </c>
      <c r="I6403" t="s">
        <v>3952</v>
      </c>
      <c r="J6403" t="s">
        <v>29604</v>
      </c>
      <c r="K6403" t="s">
        <v>38491</v>
      </c>
      <c r="M6403" t="s">
        <v>41079</v>
      </c>
      <c r="N6403" t="s">
        <v>42669</v>
      </c>
      <c r="O6403" t="s">
        <v>42670</v>
      </c>
      <c r="P6403">
        <v>0</v>
      </c>
      <c r="Q6403">
        <v>1</v>
      </c>
      <c r="R6403" t="s">
        <v>42677</v>
      </c>
      <c r="S6403" t="s">
        <v>42830</v>
      </c>
      <c r="T6403" t="s">
        <v>44474</v>
      </c>
      <c r="U6403" t="s">
        <v>50066</v>
      </c>
      <c r="W6403" t="s">
        <v>41079</v>
      </c>
      <c r="X6403" t="s">
        <v>42678</v>
      </c>
    </row>
    <row r="6404" spans="1:24">
      <c r="A6404">
        <f>HYPERLINK("https://www.philgeps.gov.ph/GEPSNONPILOT/Tender/SplashBidNoticeAbstractUI.aspx?menuIndex=3&amp;refID=7185620&amp;Result=3","7185620")</f>
        <v>0</v>
      </c>
      <c r="B6404" t="s">
        <v>2010</v>
      </c>
      <c r="C6404" t="s">
        <v>9645</v>
      </c>
      <c r="D6404" t="s">
        <v>17143</v>
      </c>
      <c r="E6404" t="s">
        <v>22776</v>
      </c>
      <c r="F6404" t="s">
        <v>29372</v>
      </c>
      <c r="G6404" t="s">
        <v>29380</v>
      </c>
      <c r="H6404" t="s">
        <v>11048</v>
      </c>
      <c r="I6404" t="s">
        <v>29407</v>
      </c>
      <c r="J6404" t="s">
        <v>30136</v>
      </c>
      <c r="K6404" t="s">
        <v>38488</v>
      </c>
      <c r="M6404" t="s">
        <v>40979</v>
      </c>
      <c r="N6404" t="s">
        <v>42669</v>
      </c>
      <c r="O6404" t="s">
        <v>42670</v>
      </c>
      <c r="P6404">
        <v>0</v>
      </c>
      <c r="Q6404">
        <v>11</v>
      </c>
      <c r="R6404" t="s">
        <v>42677</v>
      </c>
      <c r="S6404" t="s">
        <v>42830</v>
      </c>
      <c r="T6404" t="s">
        <v>44387</v>
      </c>
      <c r="U6404" t="s">
        <v>50067</v>
      </c>
      <c r="V6404" t="s">
        <v>57001</v>
      </c>
      <c r="W6404" t="s">
        <v>40979</v>
      </c>
      <c r="X6404" t="s">
        <v>42678</v>
      </c>
    </row>
    <row r="6405" spans="1:24">
      <c r="A6405">
        <f>HYPERLINK("https://www.philgeps.gov.ph/GEPSNONPILOT/Tender/SplashBidNoticeAbstractUI.aspx?menuIndex=3&amp;refID=7185625&amp;Result=3","7185625")</f>
        <v>0</v>
      </c>
      <c r="B6405" t="s">
        <v>2129</v>
      </c>
      <c r="C6405" t="s">
        <v>9646</v>
      </c>
      <c r="D6405" t="s">
        <v>17161</v>
      </c>
      <c r="E6405" t="s">
        <v>22777</v>
      </c>
      <c r="F6405" t="s">
        <v>29372</v>
      </c>
      <c r="G6405" t="s">
        <v>29380</v>
      </c>
      <c r="H6405" t="s">
        <v>29389</v>
      </c>
      <c r="I6405" t="s">
        <v>10408</v>
      </c>
      <c r="J6405" t="s">
        <v>30161</v>
      </c>
      <c r="K6405" t="s">
        <v>38522</v>
      </c>
      <c r="M6405" t="s">
        <v>41034</v>
      </c>
      <c r="N6405" t="s">
        <v>42669</v>
      </c>
      <c r="O6405" t="s">
        <v>42670</v>
      </c>
      <c r="P6405">
        <v>0</v>
      </c>
      <c r="Q6405">
        <v>0</v>
      </c>
      <c r="R6405" t="s">
        <v>42677</v>
      </c>
      <c r="S6405" t="s">
        <v>42830</v>
      </c>
      <c r="T6405" t="s">
        <v>44446</v>
      </c>
      <c r="U6405" t="s">
        <v>50068</v>
      </c>
      <c r="W6405" t="s">
        <v>41034</v>
      </c>
      <c r="X6405" t="s">
        <v>42678</v>
      </c>
    </row>
    <row r="6406" spans="1:24">
      <c r="A6406">
        <f>HYPERLINK("https://www.philgeps.gov.ph/GEPSNONPILOT/Tender/SplashBidNoticeAbstractUI.aspx?menuIndex=3&amp;refID=7185618&amp;Result=3","7185618")</f>
        <v>0</v>
      </c>
      <c r="B6406" t="s">
        <v>1515</v>
      </c>
      <c r="C6406" t="s">
        <v>9647</v>
      </c>
      <c r="D6406" t="s">
        <v>17174</v>
      </c>
      <c r="E6406" t="s">
        <v>22778</v>
      </c>
      <c r="F6406" t="s">
        <v>29372</v>
      </c>
      <c r="G6406" t="s">
        <v>29379</v>
      </c>
      <c r="H6406" t="s">
        <v>11048</v>
      </c>
      <c r="I6406" t="s">
        <v>29393</v>
      </c>
      <c r="J6406" t="s">
        <v>33656</v>
      </c>
      <c r="K6406" t="s">
        <v>38490</v>
      </c>
      <c r="M6406" t="s">
        <v>40359</v>
      </c>
      <c r="N6406" t="s">
        <v>42669</v>
      </c>
      <c r="O6406" t="s">
        <v>42670</v>
      </c>
      <c r="P6406">
        <v>0</v>
      </c>
      <c r="Q6406">
        <v>0</v>
      </c>
      <c r="R6406" t="s">
        <v>42677</v>
      </c>
      <c r="S6406" t="s">
        <v>42830</v>
      </c>
      <c r="T6406" t="s">
        <v>44432</v>
      </c>
      <c r="U6406" t="s">
        <v>50069</v>
      </c>
      <c r="W6406" t="s">
        <v>40359</v>
      </c>
      <c r="X6406" t="s">
        <v>42678</v>
      </c>
    </row>
    <row r="6407" spans="1:24">
      <c r="A6407">
        <f>HYPERLINK("https://www.philgeps.gov.ph/GEPSNONPILOT/Tender/SplashBidNoticeAbstractUI.aspx?menuIndex=3&amp;refID=7185629&amp;Result=3","7185629")</f>
        <v>0</v>
      </c>
      <c r="B6407" t="s">
        <v>1875</v>
      </c>
      <c r="C6407" t="s">
        <v>9648</v>
      </c>
      <c r="D6407" t="s">
        <v>17179</v>
      </c>
      <c r="E6407" t="s">
        <v>22779</v>
      </c>
      <c r="F6407" t="s">
        <v>29372</v>
      </c>
      <c r="G6407" t="s">
        <v>29379</v>
      </c>
      <c r="H6407" t="s">
        <v>11048</v>
      </c>
      <c r="I6407" t="s">
        <v>3839</v>
      </c>
      <c r="J6407" t="s">
        <v>30155</v>
      </c>
      <c r="K6407" t="s">
        <v>38518</v>
      </c>
      <c r="M6407" t="s">
        <v>40748</v>
      </c>
      <c r="N6407" t="s">
        <v>42669</v>
      </c>
      <c r="O6407" t="s">
        <v>42670</v>
      </c>
      <c r="P6407">
        <v>0</v>
      </c>
      <c r="Q6407">
        <v>5</v>
      </c>
      <c r="R6407" t="s">
        <v>42677</v>
      </c>
      <c r="S6407" t="s">
        <v>42830</v>
      </c>
      <c r="T6407" t="s">
        <v>44427</v>
      </c>
      <c r="U6407" t="s">
        <v>50070</v>
      </c>
      <c r="W6407" t="s">
        <v>40748</v>
      </c>
      <c r="X6407" t="s">
        <v>42678</v>
      </c>
    </row>
    <row r="6408" spans="1:24">
      <c r="A6408">
        <f>HYPERLINK("https://www.philgeps.gov.ph/GEPSNONPILOT/Tender/SplashBidNoticeAbstractUI.aspx?menuIndex=3&amp;refID=7185608&amp;Result=3","7185608")</f>
        <v>0</v>
      </c>
      <c r="B6408" t="s">
        <v>2169</v>
      </c>
      <c r="C6408" t="s">
        <v>9649</v>
      </c>
      <c r="D6408" t="s">
        <v>17143</v>
      </c>
      <c r="E6408" t="s">
        <v>22780</v>
      </c>
      <c r="F6408" t="s">
        <v>29372</v>
      </c>
      <c r="G6408" t="s">
        <v>29380</v>
      </c>
      <c r="H6408" t="s">
        <v>29390</v>
      </c>
      <c r="I6408" t="s">
        <v>29440</v>
      </c>
      <c r="J6408" t="s">
        <v>33657</v>
      </c>
      <c r="K6408" t="s">
        <v>38485</v>
      </c>
      <c r="M6408" t="s">
        <v>41080</v>
      </c>
      <c r="N6408" t="s">
        <v>42669</v>
      </c>
      <c r="O6408" t="s">
        <v>42670</v>
      </c>
      <c r="P6408">
        <v>0</v>
      </c>
      <c r="Q6408">
        <v>1</v>
      </c>
      <c r="R6408" t="s">
        <v>42677</v>
      </c>
      <c r="S6408" t="s">
        <v>42830</v>
      </c>
      <c r="T6408" t="s">
        <v>44452</v>
      </c>
      <c r="U6408" t="s">
        <v>50071</v>
      </c>
      <c r="V6408" t="s">
        <v>57067</v>
      </c>
      <c r="W6408" t="s">
        <v>58070</v>
      </c>
      <c r="X6408" t="s">
        <v>42678</v>
      </c>
    </row>
    <row r="6409" spans="1:24">
      <c r="A6409">
        <f>HYPERLINK("https://www.philgeps.gov.ph/GEPSNONPILOT/Tender/SplashBidNoticeAbstractUI.aspx?menuIndex=3&amp;refID=7185627&amp;Result=3","7185627")</f>
        <v>0</v>
      </c>
      <c r="B6409" t="s">
        <v>547</v>
      </c>
      <c r="C6409" t="s">
        <v>9650</v>
      </c>
      <c r="E6409" t="s">
        <v>22781</v>
      </c>
      <c r="F6409" t="s">
        <v>29372</v>
      </c>
      <c r="G6409" t="s">
        <v>29379</v>
      </c>
      <c r="H6409" t="s">
        <v>11048</v>
      </c>
      <c r="I6409" t="s">
        <v>29428</v>
      </c>
      <c r="J6409" t="s">
        <v>31734</v>
      </c>
      <c r="K6409" t="s">
        <v>38485</v>
      </c>
      <c r="M6409" t="s">
        <v>39363</v>
      </c>
      <c r="N6409" t="s">
        <v>42669</v>
      </c>
      <c r="O6409" t="s">
        <v>42670</v>
      </c>
      <c r="P6409">
        <v>0</v>
      </c>
      <c r="Q6409">
        <v>0</v>
      </c>
      <c r="R6409" t="s">
        <v>42677</v>
      </c>
      <c r="S6409" t="s">
        <v>42830</v>
      </c>
      <c r="T6409" t="s">
        <v>44456</v>
      </c>
      <c r="U6409" t="s">
        <v>50072</v>
      </c>
      <c r="W6409" t="s">
        <v>58018</v>
      </c>
      <c r="X6409" t="s">
        <v>42678</v>
      </c>
    </row>
    <row r="6410" spans="1:24">
      <c r="A6410">
        <f>HYPERLINK("https://www.philgeps.gov.ph/GEPSNONPILOT/Tender/SplashBidNoticeAbstractUI.aspx?menuIndex=3&amp;refID=7185604&amp;Result=3","7185604")</f>
        <v>0</v>
      </c>
      <c r="B6410" t="s">
        <v>2170</v>
      </c>
      <c r="C6410" t="s">
        <v>9651</v>
      </c>
      <c r="D6410" t="s">
        <v>17205</v>
      </c>
      <c r="E6410" t="s">
        <v>22782</v>
      </c>
      <c r="F6410" t="s">
        <v>29372</v>
      </c>
      <c r="G6410" t="s">
        <v>29380</v>
      </c>
      <c r="H6410" t="s">
        <v>29389</v>
      </c>
      <c r="I6410" t="s">
        <v>10408</v>
      </c>
      <c r="J6410" t="s">
        <v>33658</v>
      </c>
      <c r="K6410" t="s">
        <v>38590</v>
      </c>
      <c r="M6410" t="s">
        <v>41081</v>
      </c>
      <c r="N6410" t="s">
        <v>42669</v>
      </c>
      <c r="O6410" t="s">
        <v>42670</v>
      </c>
      <c r="P6410">
        <v>0</v>
      </c>
      <c r="Q6410">
        <v>13</v>
      </c>
      <c r="R6410" t="s">
        <v>42677</v>
      </c>
      <c r="S6410" t="s">
        <v>42830</v>
      </c>
      <c r="T6410" t="s">
        <v>44469</v>
      </c>
      <c r="U6410" t="s">
        <v>50073</v>
      </c>
      <c r="V6410" t="s">
        <v>57068</v>
      </c>
      <c r="W6410" t="s">
        <v>41081</v>
      </c>
      <c r="X6410" t="s">
        <v>42678</v>
      </c>
    </row>
    <row r="6411" spans="1:24">
      <c r="A6411">
        <f>HYPERLINK("https://www.philgeps.gov.ph/GEPSNONPILOT/Tender/SplashBidNoticeAbstractUI.aspx?menuIndex=3&amp;refID=7185581&amp;Result=3","7185581")</f>
        <v>0</v>
      </c>
      <c r="B6411" t="s">
        <v>1796</v>
      </c>
      <c r="C6411" t="s">
        <v>9652</v>
      </c>
      <c r="D6411" t="s">
        <v>17174</v>
      </c>
      <c r="E6411" t="s">
        <v>22783</v>
      </c>
      <c r="F6411" t="s">
        <v>29372</v>
      </c>
      <c r="G6411" t="s">
        <v>29380</v>
      </c>
      <c r="H6411" t="s">
        <v>11048</v>
      </c>
      <c r="I6411" t="s">
        <v>29442</v>
      </c>
      <c r="J6411" t="s">
        <v>33659</v>
      </c>
      <c r="K6411" t="s">
        <v>38510</v>
      </c>
      <c r="M6411" t="s">
        <v>40986</v>
      </c>
      <c r="N6411" t="s">
        <v>42669</v>
      </c>
      <c r="O6411" t="s">
        <v>42670</v>
      </c>
      <c r="P6411">
        <v>0</v>
      </c>
      <c r="Q6411">
        <v>2</v>
      </c>
      <c r="R6411" t="s">
        <v>42677</v>
      </c>
      <c r="S6411" t="s">
        <v>42830</v>
      </c>
      <c r="T6411" t="s">
        <v>44554</v>
      </c>
      <c r="U6411" t="s">
        <v>50074</v>
      </c>
      <c r="W6411" t="s">
        <v>40986</v>
      </c>
      <c r="X6411" t="s">
        <v>42678</v>
      </c>
    </row>
    <row r="6412" spans="1:24">
      <c r="A6412">
        <f>HYPERLINK("https://www.philgeps.gov.ph/GEPSNONPILOT/Tender/SplashBidNoticeAbstractUI.aspx?menuIndex=3&amp;refID=7185601&amp;Result=3","7185601")</f>
        <v>0</v>
      </c>
      <c r="B6412" t="s">
        <v>1252</v>
      </c>
      <c r="C6412" t="s">
        <v>9653</v>
      </c>
      <c r="D6412" t="s">
        <v>17152</v>
      </c>
      <c r="E6412" t="s">
        <v>22784</v>
      </c>
      <c r="F6412" t="s">
        <v>29372</v>
      </c>
      <c r="G6412" t="s">
        <v>29380</v>
      </c>
      <c r="H6412" t="s">
        <v>11048</v>
      </c>
      <c r="I6412" t="s">
        <v>29393</v>
      </c>
      <c r="J6412" t="s">
        <v>33596</v>
      </c>
      <c r="K6412" t="s">
        <v>38485</v>
      </c>
      <c r="M6412" t="s">
        <v>40078</v>
      </c>
      <c r="N6412" t="s">
        <v>42669</v>
      </c>
      <c r="O6412" t="s">
        <v>42670</v>
      </c>
      <c r="P6412">
        <v>0</v>
      </c>
      <c r="Q6412">
        <v>0</v>
      </c>
      <c r="R6412" t="s">
        <v>42677</v>
      </c>
      <c r="S6412" t="s">
        <v>42830</v>
      </c>
      <c r="T6412" t="s">
        <v>44474</v>
      </c>
      <c r="U6412" t="s">
        <v>49981</v>
      </c>
      <c r="V6412" t="s">
        <v>56672</v>
      </c>
      <c r="W6412" t="s">
        <v>40078</v>
      </c>
      <c r="X6412" t="s">
        <v>42678</v>
      </c>
    </row>
    <row r="6413" spans="1:24">
      <c r="A6413">
        <f>HYPERLINK("https://www.philgeps.gov.ph/GEPSNONPILOT/Tender/SplashBidNoticeAbstractUI.aspx?menuIndex=3&amp;refID=7185577&amp;Result=3","7185577")</f>
        <v>0</v>
      </c>
      <c r="B6413" t="s">
        <v>2151</v>
      </c>
      <c r="C6413" t="s">
        <v>9654</v>
      </c>
      <c r="E6413" t="s">
        <v>22785</v>
      </c>
      <c r="F6413" t="s">
        <v>29372</v>
      </c>
      <c r="G6413" t="s">
        <v>29380</v>
      </c>
      <c r="H6413" t="s">
        <v>11048</v>
      </c>
      <c r="I6413" t="s">
        <v>29452</v>
      </c>
      <c r="J6413" t="s">
        <v>33660</v>
      </c>
      <c r="K6413" t="s">
        <v>38490</v>
      </c>
      <c r="M6413" t="s">
        <v>41059</v>
      </c>
      <c r="N6413" t="s">
        <v>42669</v>
      </c>
      <c r="O6413" t="s">
        <v>42670</v>
      </c>
      <c r="P6413">
        <v>0</v>
      </c>
      <c r="Q6413">
        <v>11</v>
      </c>
      <c r="R6413" t="s">
        <v>42677</v>
      </c>
      <c r="S6413" t="s">
        <v>42830</v>
      </c>
      <c r="T6413" t="s">
        <v>44368</v>
      </c>
      <c r="U6413" t="s">
        <v>50075</v>
      </c>
      <c r="V6413" t="s">
        <v>57069</v>
      </c>
      <c r="W6413" t="s">
        <v>41059</v>
      </c>
      <c r="X6413" t="s">
        <v>42678</v>
      </c>
    </row>
    <row r="6414" spans="1:24">
      <c r="A6414">
        <f>HYPERLINK("https://www.philgeps.gov.ph/GEPSNONPILOT/Tender/SplashBidNoticeAbstractUI.aspx?menuIndex=3&amp;refID=7185616&amp;Result=3","7185616")</f>
        <v>0</v>
      </c>
      <c r="B6414" t="s">
        <v>589</v>
      </c>
      <c r="C6414" t="s">
        <v>9655</v>
      </c>
      <c r="D6414" t="s">
        <v>17168</v>
      </c>
      <c r="E6414" t="s">
        <v>22786</v>
      </c>
      <c r="F6414" t="s">
        <v>29372</v>
      </c>
      <c r="G6414" t="s">
        <v>29380</v>
      </c>
      <c r="H6414" t="s">
        <v>11048</v>
      </c>
      <c r="I6414" t="s">
        <v>3629</v>
      </c>
      <c r="J6414" t="s">
        <v>33661</v>
      </c>
      <c r="K6414" t="s">
        <v>38538</v>
      </c>
      <c r="M6414" t="s">
        <v>40153</v>
      </c>
      <c r="N6414" t="s">
        <v>42669</v>
      </c>
      <c r="O6414" t="s">
        <v>42670</v>
      </c>
      <c r="P6414">
        <v>0</v>
      </c>
      <c r="Q6414">
        <v>0</v>
      </c>
      <c r="R6414" t="s">
        <v>42677</v>
      </c>
      <c r="S6414" t="s">
        <v>42830</v>
      </c>
      <c r="T6414" t="s">
        <v>44557</v>
      </c>
      <c r="U6414" t="s">
        <v>50076</v>
      </c>
      <c r="V6414" t="s">
        <v>56460</v>
      </c>
      <c r="W6414" t="s">
        <v>40153</v>
      </c>
      <c r="X6414" t="s">
        <v>42678</v>
      </c>
    </row>
    <row r="6415" spans="1:24">
      <c r="A6415">
        <f>HYPERLINK("https://www.philgeps.gov.ph/GEPSNONPILOT/Tender/SplashBidNoticeAbstractUI.aspx?menuIndex=3&amp;refID=7185678&amp;Result=3","7185678")</f>
        <v>0</v>
      </c>
      <c r="B6415" t="s">
        <v>2171</v>
      </c>
      <c r="C6415" t="s">
        <v>9656</v>
      </c>
      <c r="D6415" t="s">
        <v>17170</v>
      </c>
      <c r="E6415" t="s">
        <v>22787</v>
      </c>
      <c r="F6415" t="s">
        <v>29372</v>
      </c>
      <c r="G6415" t="s">
        <v>29380</v>
      </c>
      <c r="H6415" t="s">
        <v>11048</v>
      </c>
      <c r="I6415" t="s">
        <v>4709</v>
      </c>
      <c r="J6415" t="s">
        <v>29526</v>
      </c>
      <c r="K6415" t="s">
        <v>38488</v>
      </c>
      <c r="M6415" t="s">
        <v>41082</v>
      </c>
      <c r="N6415" t="s">
        <v>42669</v>
      </c>
      <c r="O6415" t="s">
        <v>42670</v>
      </c>
      <c r="P6415">
        <v>0</v>
      </c>
      <c r="Q6415">
        <v>1</v>
      </c>
      <c r="R6415" t="s">
        <v>42677</v>
      </c>
      <c r="S6415" t="s">
        <v>42830</v>
      </c>
      <c r="T6415" t="s">
        <v>44481</v>
      </c>
      <c r="U6415" t="s">
        <v>50077</v>
      </c>
      <c r="W6415" t="s">
        <v>41082</v>
      </c>
      <c r="X6415" t="s">
        <v>42678</v>
      </c>
    </row>
    <row r="6416" spans="1:24">
      <c r="A6416">
        <f>HYPERLINK("https://www.philgeps.gov.ph/GEPSNONPILOT/Tender/SplashBidNoticeAbstractUI.aspx?menuIndex=3&amp;refID=7185607&amp;Result=3","7185607")</f>
        <v>0</v>
      </c>
      <c r="B6416" t="s">
        <v>738</v>
      </c>
      <c r="C6416" t="s">
        <v>9627</v>
      </c>
      <c r="E6416" t="s">
        <v>22788</v>
      </c>
      <c r="F6416" t="s">
        <v>29372</v>
      </c>
      <c r="G6416" t="s">
        <v>29380</v>
      </c>
      <c r="H6416" t="s">
        <v>11048</v>
      </c>
      <c r="I6416" t="s">
        <v>9469</v>
      </c>
      <c r="J6416" t="s">
        <v>33662</v>
      </c>
      <c r="K6416" t="s">
        <v>38490</v>
      </c>
      <c r="M6416" t="s">
        <v>39519</v>
      </c>
      <c r="N6416" t="s">
        <v>42669</v>
      </c>
      <c r="O6416" t="s">
        <v>42670</v>
      </c>
      <c r="Q6416">
        <v>4</v>
      </c>
      <c r="R6416" t="s">
        <v>42677</v>
      </c>
      <c r="S6416" t="s">
        <v>42850</v>
      </c>
      <c r="T6416" t="s">
        <v>44655</v>
      </c>
      <c r="U6416" t="s">
        <v>50050</v>
      </c>
      <c r="W6416" t="s">
        <v>39519</v>
      </c>
      <c r="X6416" t="s">
        <v>42678</v>
      </c>
    </row>
    <row r="6417" spans="1:24">
      <c r="A6417">
        <f>HYPERLINK("https://www.philgeps.gov.ph/GEPSNONPILOT/Tender/SplashBidNoticeAbstractUI.aspx?menuIndex=3&amp;refID=7185598&amp;Result=3","7185598")</f>
        <v>0</v>
      </c>
      <c r="B6417" t="s">
        <v>2129</v>
      </c>
      <c r="C6417" t="s">
        <v>9657</v>
      </c>
      <c r="D6417" t="s">
        <v>17161</v>
      </c>
      <c r="E6417" t="s">
        <v>22789</v>
      </c>
      <c r="F6417" t="s">
        <v>29372</v>
      </c>
      <c r="G6417" t="s">
        <v>29380</v>
      </c>
      <c r="H6417" t="s">
        <v>29389</v>
      </c>
      <c r="I6417" t="s">
        <v>10408</v>
      </c>
      <c r="J6417" t="s">
        <v>31498</v>
      </c>
      <c r="K6417" t="s">
        <v>38665</v>
      </c>
      <c r="M6417" t="s">
        <v>41034</v>
      </c>
      <c r="N6417" t="s">
        <v>42669</v>
      </c>
      <c r="O6417" t="s">
        <v>42670</v>
      </c>
      <c r="P6417">
        <v>0</v>
      </c>
      <c r="Q6417">
        <v>0</v>
      </c>
      <c r="R6417" t="s">
        <v>42677</v>
      </c>
      <c r="S6417" t="s">
        <v>42830</v>
      </c>
      <c r="T6417" t="s">
        <v>44446</v>
      </c>
      <c r="U6417" t="s">
        <v>50078</v>
      </c>
      <c r="W6417" t="s">
        <v>41034</v>
      </c>
      <c r="X6417" t="s">
        <v>42678</v>
      </c>
    </row>
    <row r="6418" spans="1:24">
      <c r="A6418">
        <f>HYPERLINK("https://www.philgeps.gov.ph/GEPSNONPILOT/Tender/SplashBidNoticeAbstractUI.aspx?menuIndex=3&amp;refID=7185429&amp;Result=3","7185429")</f>
        <v>0</v>
      </c>
      <c r="B6418" t="s">
        <v>2129</v>
      </c>
      <c r="C6418" t="s">
        <v>9658</v>
      </c>
      <c r="D6418" t="s">
        <v>17161</v>
      </c>
      <c r="E6418" t="s">
        <v>22790</v>
      </c>
      <c r="F6418" t="s">
        <v>29372</v>
      </c>
      <c r="G6418" t="s">
        <v>29380</v>
      </c>
      <c r="H6418" t="s">
        <v>29389</v>
      </c>
      <c r="I6418" t="s">
        <v>10408</v>
      </c>
      <c r="J6418" t="s">
        <v>32851</v>
      </c>
      <c r="K6418" t="s">
        <v>38546</v>
      </c>
      <c r="M6418" t="s">
        <v>41034</v>
      </c>
      <c r="N6418" t="s">
        <v>42669</v>
      </c>
      <c r="O6418" t="s">
        <v>42670</v>
      </c>
      <c r="P6418">
        <v>0</v>
      </c>
      <c r="Q6418">
        <v>0</v>
      </c>
      <c r="R6418" t="s">
        <v>42677</v>
      </c>
      <c r="S6418" t="s">
        <v>42830</v>
      </c>
      <c r="T6418" t="s">
        <v>44446</v>
      </c>
      <c r="U6418" t="s">
        <v>50079</v>
      </c>
      <c r="W6418" t="s">
        <v>41034</v>
      </c>
      <c r="X6418" t="s">
        <v>42678</v>
      </c>
    </row>
    <row r="6419" spans="1:24">
      <c r="A6419">
        <f>HYPERLINK("https://www.philgeps.gov.ph/GEPSNONPILOT/Tender/SplashBidNoticeAbstractUI.aspx?menuIndex=3&amp;refID=7185668&amp;Result=3","7185668")</f>
        <v>0</v>
      </c>
      <c r="B6419" t="s">
        <v>2168</v>
      </c>
      <c r="C6419" t="s">
        <v>9659</v>
      </c>
      <c r="D6419" t="s">
        <v>17144</v>
      </c>
      <c r="E6419" t="s">
        <v>17480</v>
      </c>
      <c r="F6419" t="s">
        <v>29372</v>
      </c>
      <c r="G6419" t="s">
        <v>29380</v>
      </c>
      <c r="H6419" t="s">
        <v>11048</v>
      </c>
      <c r="I6419" t="s">
        <v>7828</v>
      </c>
      <c r="J6419" t="s">
        <v>29587</v>
      </c>
      <c r="K6419" t="s">
        <v>38491</v>
      </c>
      <c r="M6419" t="s">
        <v>41079</v>
      </c>
      <c r="N6419" t="s">
        <v>42669</v>
      </c>
      <c r="O6419" t="s">
        <v>42670</v>
      </c>
      <c r="P6419">
        <v>0</v>
      </c>
      <c r="Q6419">
        <v>4</v>
      </c>
      <c r="R6419" t="s">
        <v>42677</v>
      </c>
      <c r="S6419" t="s">
        <v>42830</v>
      </c>
      <c r="T6419" t="s">
        <v>44474</v>
      </c>
      <c r="U6419" t="s">
        <v>50080</v>
      </c>
      <c r="W6419" t="s">
        <v>41079</v>
      </c>
      <c r="X6419" t="s">
        <v>42678</v>
      </c>
    </row>
    <row r="6420" spans="1:24">
      <c r="A6420">
        <f>HYPERLINK("https://www.philgeps.gov.ph/GEPSNONPILOT/Tender/SplashBidNoticeAbstractUI.aspx?menuIndex=3&amp;refID=7185666&amp;Result=3","7185666")</f>
        <v>0</v>
      </c>
      <c r="B6420" t="s">
        <v>1091</v>
      </c>
      <c r="C6420" t="s">
        <v>9660</v>
      </c>
      <c r="D6420" t="s">
        <v>17141</v>
      </c>
      <c r="E6420" t="s">
        <v>22791</v>
      </c>
      <c r="F6420" t="s">
        <v>29372</v>
      </c>
      <c r="G6420" t="s">
        <v>29380</v>
      </c>
      <c r="H6420" t="s">
        <v>11048</v>
      </c>
      <c r="I6420" t="s">
        <v>29407</v>
      </c>
      <c r="J6420" t="s">
        <v>33663</v>
      </c>
      <c r="K6420" t="s">
        <v>38491</v>
      </c>
      <c r="M6420" t="s">
        <v>39898</v>
      </c>
      <c r="N6420" t="s">
        <v>42669</v>
      </c>
      <c r="O6420" t="s">
        <v>42670</v>
      </c>
      <c r="P6420">
        <v>0</v>
      </c>
      <c r="Q6420">
        <v>34</v>
      </c>
      <c r="R6420" t="s">
        <v>42677</v>
      </c>
      <c r="S6420" t="s">
        <v>42830</v>
      </c>
      <c r="T6420" t="s">
        <v>44460</v>
      </c>
      <c r="U6420" t="s">
        <v>47189</v>
      </c>
      <c r="W6420" t="s">
        <v>39898</v>
      </c>
      <c r="X6420" t="s">
        <v>42678</v>
      </c>
    </row>
    <row r="6421" spans="1:24">
      <c r="A6421">
        <f>HYPERLINK("https://www.philgeps.gov.ph/GEPSNONPILOT/Tender/SplashBidNoticeAbstractUI.aspx?menuIndex=3&amp;refID=7185665&amp;Result=3","7185665")</f>
        <v>0</v>
      </c>
      <c r="B6421" t="s">
        <v>1875</v>
      </c>
      <c r="C6421" t="s">
        <v>9661</v>
      </c>
      <c r="D6421" t="s">
        <v>17179</v>
      </c>
      <c r="E6421" t="s">
        <v>22792</v>
      </c>
      <c r="F6421" t="s">
        <v>29372</v>
      </c>
      <c r="G6421" t="s">
        <v>29379</v>
      </c>
      <c r="H6421" t="s">
        <v>11048</v>
      </c>
      <c r="I6421" t="s">
        <v>3629</v>
      </c>
      <c r="J6421" t="s">
        <v>33664</v>
      </c>
      <c r="K6421" t="s">
        <v>38518</v>
      </c>
      <c r="M6421" t="s">
        <v>40748</v>
      </c>
      <c r="N6421" t="s">
        <v>42669</v>
      </c>
      <c r="O6421" t="s">
        <v>42670</v>
      </c>
      <c r="P6421">
        <v>0</v>
      </c>
      <c r="Q6421">
        <v>0</v>
      </c>
      <c r="R6421" t="s">
        <v>42677</v>
      </c>
      <c r="S6421" t="s">
        <v>42830</v>
      </c>
      <c r="T6421" t="s">
        <v>44427</v>
      </c>
      <c r="U6421" t="s">
        <v>50081</v>
      </c>
      <c r="W6421" t="s">
        <v>40748</v>
      </c>
      <c r="X6421" t="s">
        <v>42678</v>
      </c>
    </row>
    <row r="6422" spans="1:24">
      <c r="A6422">
        <f>HYPERLINK("https://www.philgeps.gov.ph/GEPSNONPILOT/Tender/SplashBidNoticeAbstractUI.aspx?menuIndex=3&amp;refID=7185669&amp;Result=3","7185669")</f>
        <v>0</v>
      </c>
      <c r="B6422" t="s">
        <v>669</v>
      </c>
      <c r="C6422" t="s">
        <v>9662</v>
      </c>
      <c r="D6422" t="s">
        <v>17147</v>
      </c>
      <c r="E6422" t="s">
        <v>22793</v>
      </c>
      <c r="F6422" t="s">
        <v>29372</v>
      </c>
      <c r="G6422" t="s">
        <v>29380</v>
      </c>
      <c r="H6422" t="s">
        <v>11048</v>
      </c>
      <c r="I6422" t="s">
        <v>3839</v>
      </c>
      <c r="J6422" t="s">
        <v>29526</v>
      </c>
      <c r="K6422" t="s">
        <v>38488</v>
      </c>
      <c r="M6422" t="s">
        <v>39445</v>
      </c>
      <c r="N6422" t="s">
        <v>42669</v>
      </c>
      <c r="O6422" t="s">
        <v>42670</v>
      </c>
      <c r="P6422">
        <v>0</v>
      </c>
      <c r="Q6422">
        <v>5</v>
      </c>
      <c r="R6422" t="s">
        <v>42677</v>
      </c>
      <c r="S6422" t="s">
        <v>42830</v>
      </c>
      <c r="T6422" t="s">
        <v>44643</v>
      </c>
      <c r="U6422" t="s">
        <v>50082</v>
      </c>
      <c r="V6422" t="s">
        <v>57070</v>
      </c>
      <c r="W6422" t="s">
        <v>39445</v>
      </c>
      <c r="X6422" t="s">
        <v>42678</v>
      </c>
    </row>
    <row r="6423" spans="1:24">
      <c r="A6423">
        <f>HYPERLINK("https://www.philgeps.gov.ph/GEPSNONPILOT/Tender/SplashBidNoticeAbstractUI.aspx?menuIndex=3&amp;refID=7185660&amp;Result=3","7185660")</f>
        <v>0</v>
      </c>
      <c r="B6423" t="s">
        <v>1751</v>
      </c>
      <c r="C6423" t="s">
        <v>9663</v>
      </c>
      <c r="D6423" t="s">
        <v>17165</v>
      </c>
      <c r="E6423" t="s">
        <v>22794</v>
      </c>
      <c r="F6423" t="s">
        <v>29372</v>
      </c>
      <c r="G6423" t="s">
        <v>29380</v>
      </c>
      <c r="H6423" t="s">
        <v>11048</v>
      </c>
      <c r="I6423" t="s">
        <v>29417</v>
      </c>
      <c r="J6423" t="s">
        <v>33665</v>
      </c>
      <c r="K6423" t="s">
        <v>38488</v>
      </c>
      <c r="M6423" t="s">
        <v>40616</v>
      </c>
      <c r="N6423" t="s">
        <v>42669</v>
      </c>
      <c r="O6423" t="s">
        <v>42670</v>
      </c>
      <c r="P6423">
        <v>0</v>
      </c>
      <c r="Q6423">
        <v>1</v>
      </c>
      <c r="R6423" t="s">
        <v>42677</v>
      </c>
      <c r="S6423" t="s">
        <v>42830</v>
      </c>
      <c r="T6423" t="s">
        <v>44437</v>
      </c>
      <c r="U6423" t="s">
        <v>50083</v>
      </c>
      <c r="W6423" t="s">
        <v>40616</v>
      </c>
      <c r="X6423" t="s">
        <v>42678</v>
      </c>
    </row>
    <row r="6424" spans="1:24">
      <c r="A6424">
        <f>HYPERLINK("https://www.philgeps.gov.ph/GEPSNONPILOT/Tender/SplashBidNoticeAbstractUI.aspx?menuIndex=3&amp;refID=7185663&amp;Result=3","7185663")</f>
        <v>0</v>
      </c>
      <c r="B6424" t="s">
        <v>1990</v>
      </c>
      <c r="C6424" t="s">
        <v>9664</v>
      </c>
      <c r="D6424" t="s">
        <v>17200</v>
      </c>
      <c r="E6424" t="s">
        <v>22795</v>
      </c>
      <c r="F6424" t="s">
        <v>29372</v>
      </c>
      <c r="G6424" t="s">
        <v>29380</v>
      </c>
      <c r="H6424" t="s">
        <v>11048</v>
      </c>
      <c r="I6424" t="s">
        <v>9469</v>
      </c>
      <c r="J6424" t="s">
        <v>29788</v>
      </c>
      <c r="K6424" t="s">
        <v>38496</v>
      </c>
      <c r="M6424" t="s">
        <v>40878</v>
      </c>
      <c r="N6424" t="s">
        <v>42669</v>
      </c>
      <c r="O6424" t="s">
        <v>42670</v>
      </c>
      <c r="P6424">
        <v>0</v>
      </c>
      <c r="Q6424">
        <v>3</v>
      </c>
      <c r="R6424" t="s">
        <v>42677</v>
      </c>
      <c r="S6424" t="s">
        <v>42830</v>
      </c>
      <c r="T6424" t="s">
        <v>44720</v>
      </c>
      <c r="U6424" t="s">
        <v>50084</v>
      </c>
      <c r="W6424" t="s">
        <v>40878</v>
      </c>
      <c r="X6424" t="s">
        <v>42678</v>
      </c>
    </row>
    <row r="6425" spans="1:24">
      <c r="A6425">
        <f>HYPERLINK("https://www.philgeps.gov.ph/GEPSNONPILOT/Tender/SplashBidNoticeAbstractUI.aspx?menuIndex=3&amp;refID=7185655&amp;Result=3","7185655")</f>
        <v>0</v>
      </c>
      <c r="B6425" t="s">
        <v>2129</v>
      </c>
      <c r="C6425" t="s">
        <v>9665</v>
      </c>
      <c r="D6425" t="s">
        <v>17161</v>
      </c>
      <c r="E6425" t="s">
        <v>22796</v>
      </c>
      <c r="F6425" t="s">
        <v>29372</v>
      </c>
      <c r="G6425" t="s">
        <v>29380</v>
      </c>
      <c r="H6425" t="s">
        <v>29389</v>
      </c>
      <c r="I6425" t="s">
        <v>10408</v>
      </c>
      <c r="J6425" t="s">
        <v>30161</v>
      </c>
      <c r="K6425" t="s">
        <v>38522</v>
      </c>
      <c r="M6425" t="s">
        <v>41034</v>
      </c>
      <c r="N6425" t="s">
        <v>42669</v>
      </c>
      <c r="O6425" t="s">
        <v>42670</v>
      </c>
      <c r="P6425">
        <v>0</v>
      </c>
      <c r="Q6425">
        <v>0</v>
      </c>
      <c r="R6425" t="s">
        <v>42677</v>
      </c>
      <c r="S6425" t="s">
        <v>42830</v>
      </c>
      <c r="T6425" t="s">
        <v>44446</v>
      </c>
      <c r="U6425" t="s">
        <v>50085</v>
      </c>
      <c r="W6425" t="s">
        <v>41034</v>
      </c>
      <c r="X6425" t="s">
        <v>42678</v>
      </c>
    </row>
    <row r="6426" spans="1:24">
      <c r="A6426">
        <f>HYPERLINK("https://www.philgeps.gov.ph/GEPSNONPILOT/Tender/SplashBidNoticeAbstractUI.aspx?menuIndex=3&amp;refID=7185670&amp;Result=3","7185670")</f>
        <v>0</v>
      </c>
      <c r="B6426" t="s">
        <v>2172</v>
      </c>
      <c r="C6426" t="s">
        <v>9666</v>
      </c>
      <c r="D6426" t="s">
        <v>17216</v>
      </c>
      <c r="E6426" t="s">
        <v>22797</v>
      </c>
      <c r="F6426" t="s">
        <v>29372</v>
      </c>
      <c r="G6426" t="s">
        <v>29380</v>
      </c>
      <c r="H6426" t="s">
        <v>29389</v>
      </c>
      <c r="I6426" t="s">
        <v>10408</v>
      </c>
      <c r="J6426" t="s">
        <v>29543</v>
      </c>
      <c r="K6426" t="s">
        <v>38522</v>
      </c>
      <c r="M6426" t="s">
        <v>41083</v>
      </c>
      <c r="N6426" t="s">
        <v>42669</v>
      </c>
      <c r="O6426" t="s">
        <v>42670</v>
      </c>
      <c r="P6426">
        <v>0</v>
      </c>
      <c r="Q6426">
        <v>3</v>
      </c>
      <c r="R6426" t="s">
        <v>42677</v>
      </c>
      <c r="S6426" t="s">
        <v>42830</v>
      </c>
      <c r="T6426" t="s">
        <v>44374</v>
      </c>
      <c r="U6426" t="s">
        <v>50086</v>
      </c>
      <c r="W6426" t="s">
        <v>41083</v>
      </c>
      <c r="X6426" t="s">
        <v>42678</v>
      </c>
    </row>
    <row r="6427" spans="1:24">
      <c r="A6427">
        <f>HYPERLINK("https://www.philgeps.gov.ph/GEPSNONPILOT/Tender/SplashBidNoticeAbstractUI.aspx?menuIndex=3&amp;refID=7185718&amp;Result=3","7185718")</f>
        <v>0</v>
      </c>
      <c r="B6427" t="s">
        <v>662</v>
      </c>
      <c r="C6427" t="s">
        <v>9667</v>
      </c>
      <c r="D6427" t="s">
        <v>17211</v>
      </c>
      <c r="E6427" t="s">
        <v>22798</v>
      </c>
      <c r="F6427" t="s">
        <v>29372</v>
      </c>
      <c r="G6427" t="s">
        <v>29380</v>
      </c>
      <c r="H6427" t="s">
        <v>29389</v>
      </c>
      <c r="I6427" t="s">
        <v>10408</v>
      </c>
      <c r="J6427" t="s">
        <v>33666</v>
      </c>
      <c r="K6427" t="s">
        <v>38522</v>
      </c>
      <c r="M6427" t="s">
        <v>39768</v>
      </c>
      <c r="N6427" t="s">
        <v>42669</v>
      </c>
      <c r="O6427" t="s">
        <v>42670</v>
      </c>
      <c r="P6427">
        <v>0</v>
      </c>
      <c r="Q6427">
        <v>1</v>
      </c>
      <c r="R6427" t="s">
        <v>42677</v>
      </c>
      <c r="S6427" t="s">
        <v>42830</v>
      </c>
      <c r="T6427" t="s">
        <v>44450</v>
      </c>
      <c r="U6427" t="s">
        <v>50087</v>
      </c>
      <c r="W6427" t="s">
        <v>58029</v>
      </c>
      <c r="X6427" t="s">
        <v>42678</v>
      </c>
    </row>
    <row r="6428" spans="1:24">
      <c r="A6428">
        <f>HYPERLINK("https://www.philgeps.gov.ph/GEPSNONPILOT/Tender/SplashBidNoticeAbstractUI.aspx?menuIndex=3&amp;refID=7185656&amp;Result=3","7185656")</f>
        <v>0</v>
      </c>
      <c r="B6428" t="s">
        <v>1515</v>
      </c>
      <c r="C6428" t="s">
        <v>9668</v>
      </c>
      <c r="D6428" t="s">
        <v>17174</v>
      </c>
      <c r="E6428" t="s">
        <v>22799</v>
      </c>
      <c r="F6428" t="s">
        <v>29372</v>
      </c>
      <c r="G6428" t="s">
        <v>29379</v>
      </c>
      <c r="H6428" t="s">
        <v>11048</v>
      </c>
      <c r="I6428" t="s">
        <v>3670</v>
      </c>
      <c r="J6428" t="s">
        <v>33667</v>
      </c>
      <c r="K6428" t="s">
        <v>38534</v>
      </c>
      <c r="M6428" t="s">
        <v>40359</v>
      </c>
      <c r="N6428" t="s">
        <v>42669</v>
      </c>
      <c r="O6428" t="s">
        <v>42670</v>
      </c>
      <c r="P6428">
        <v>0</v>
      </c>
      <c r="Q6428">
        <v>0</v>
      </c>
      <c r="R6428" t="s">
        <v>42677</v>
      </c>
      <c r="S6428" t="s">
        <v>42830</v>
      </c>
      <c r="T6428" t="s">
        <v>44432</v>
      </c>
      <c r="U6428" t="s">
        <v>50088</v>
      </c>
      <c r="W6428" t="s">
        <v>40359</v>
      </c>
      <c r="X6428" t="s">
        <v>42678</v>
      </c>
    </row>
    <row r="6429" spans="1:24">
      <c r="A6429">
        <f>HYPERLINK("https://www.philgeps.gov.ph/GEPSNONPILOT/Tender/SplashBidNoticeAbstractUI.aspx?menuIndex=3&amp;refID=7185717&amp;Result=3","7185717")</f>
        <v>0</v>
      </c>
      <c r="B6429" t="s">
        <v>2173</v>
      </c>
      <c r="C6429" t="s">
        <v>9669</v>
      </c>
      <c r="D6429" t="s">
        <v>17153</v>
      </c>
      <c r="E6429" t="s">
        <v>22800</v>
      </c>
      <c r="F6429" t="s">
        <v>29372</v>
      </c>
      <c r="G6429" t="s">
        <v>29382</v>
      </c>
      <c r="H6429" t="s">
        <v>11048</v>
      </c>
      <c r="I6429" t="s">
        <v>5383</v>
      </c>
      <c r="J6429" t="s">
        <v>33668</v>
      </c>
      <c r="K6429" t="s">
        <v>38490</v>
      </c>
      <c r="M6429" t="s">
        <v>41084</v>
      </c>
      <c r="N6429" t="s">
        <v>42669</v>
      </c>
      <c r="O6429" t="s">
        <v>42670</v>
      </c>
      <c r="P6429">
        <v>0</v>
      </c>
      <c r="Q6429">
        <v>0</v>
      </c>
      <c r="R6429" t="s">
        <v>42677</v>
      </c>
      <c r="S6429" t="s">
        <v>42830</v>
      </c>
      <c r="T6429" t="s">
        <v>44491</v>
      </c>
      <c r="U6429" t="s">
        <v>50089</v>
      </c>
      <c r="W6429" t="s">
        <v>41084</v>
      </c>
      <c r="X6429" t="s">
        <v>42678</v>
      </c>
    </row>
    <row r="6430" spans="1:24">
      <c r="A6430">
        <f>HYPERLINK("https://www.philgeps.gov.ph/GEPSNONPILOT/Tender/SplashBidNoticeAbstractUI.aspx?menuIndex=3&amp;refID=7185716&amp;Result=3","7185716")</f>
        <v>0</v>
      </c>
      <c r="B6430" t="s">
        <v>2174</v>
      </c>
      <c r="C6430" t="s">
        <v>9670</v>
      </c>
      <c r="D6430" t="s">
        <v>17189</v>
      </c>
      <c r="E6430" t="s">
        <v>22801</v>
      </c>
      <c r="F6430" t="s">
        <v>29372</v>
      </c>
      <c r="G6430" t="s">
        <v>29379</v>
      </c>
      <c r="H6430" t="s">
        <v>11048</v>
      </c>
      <c r="I6430" t="s">
        <v>29499</v>
      </c>
      <c r="J6430" t="s">
        <v>33669</v>
      </c>
      <c r="K6430" t="s">
        <v>38524</v>
      </c>
      <c r="M6430" t="s">
        <v>41085</v>
      </c>
      <c r="N6430" t="s">
        <v>42669</v>
      </c>
      <c r="O6430" t="s">
        <v>42670</v>
      </c>
      <c r="P6430">
        <v>0</v>
      </c>
      <c r="Q6430">
        <v>0</v>
      </c>
      <c r="R6430" t="s">
        <v>42677</v>
      </c>
      <c r="S6430" t="s">
        <v>42830</v>
      </c>
      <c r="T6430" t="s">
        <v>44512</v>
      </c>
      <c r="U6430" t="s">
        <v>50090</v>
      </c>
      <c r="W6430" t="s">
        <v>41085</v>
      </c>
      <c r="X6430" t="s">
        <v>42678</v>
      </c>
    </row>
    <row r="6431" spans="1:24">
      <c r="A6431">
        <f>HYPERLINK("https://www.philgeps.gov.ph/GEPSNONPILOT/Tender/SplashBidNoticeAbstractUI.aspx?menuIndex=3&amp;refID=7185658&amp;Result=3","7185658")</f>
        <v>0</v>
      </c>
      <c r="B6431" t="s">
        <v>2161</v>
      </c>
      <c r="C6431" t="s">
        <v>9671</v>
      </c>
      <c r="D6431" t="s">
        <v>17175</v>
      </c>
      <c r="E6431" t="s">
        <v>22802</v>
      </c>
      <c r="F6431" t="s">
        <v>29372</v>
      </c>
      <c r="G6431" t="s">
        <v>29379</v>
      </c>
      <c r="H6431" t="s">
        <v>11048</v>
      </c>
      <c r="I6431" t="s">
        <v>4709</v>
      </c>
      <c r="J6431" t="s">
        <v>33670</v>
      </c>
      <c r="K6431" t="s">
        <v>38490</v>
      </c>
      <c r="M6431" t="s">
        <v>41072</v>
      </c>
      <c r="N6431" t="s">
        <v>42669</v>
      </c>
      <c r="O6431" t="s">
        <v>42670</v>
      </c>
      <c r="P6431">
        <v>0</v>
      </c>
      <c r="Q6431">
        <v>0</v>
      </c>
      <c r="R6431" t="s">
        <v>42677</v>
      </c>
      <c r="S6431" t="s">
        <v>42830</v>
      </c>
      <c r="T6431" t="s">
        <v>44488</v>
      </c>
      <c r="U6431" t="s">
        <v>50091</v>
      </c>
      <c r="W6431" t="s">
        <v>41072</v>
      </c>
      <c r="X6431" t="s">
        <v>42678</v>
      </c>
    </row>
    <row r="6432" spans="1:24">
      <c r="A6432">
        <f>HYPERLINK("https://www.philgeps.gov.ph/GEPSNONPILOT/Tender/SplashBidNoticeAbstractUI.aspx?menuIndex=3&amp;refID=7185715&amp;Result=3","7185715")</f>
        <v>0</v>
      </c>
      <c r="B6432" t="s">
        <v>2165</v>
      </c>
      <c r="C6432" t="s">
        <v>9672</v>
      </c>
      <c r="D6432" t="s">
        <v>17197</v>
      </c>
      <c r="E6432" t="s">
        <v>22803</v>
      </c>
      <c r="F6432" t="s">
        <v>29372</v>
      </c>
      <c r="G6432" t="s">
        <v>29380</v>
      </c>
      <c r="H6432" t="s">
        <v>11048</v>
      </c>
      <c r="I6432" t="s">
        <v>29420</v>
      </c>
      <c r="J6432" t="s">
        <v>29729</v>
      </c>
      <c r="K6432" t="s">
        <v>38485</v>
      </c>
      <c r="M6432" t="s">
        <v>41076</v>
      </c>
      <c r="N6432" t="s">
        <v>42669</v>
      </c>
      <c r="O6432" t="s">
        <v>42670</v>
      </c>
      <c r="P6432">
        <v>0</v>
      </c>
      <c r="Q6432">
        <v>8</v>
      </c>
      <c r="R6432" t="s">
        <v>42677</v>
      </c>
      <c r="S6432" t="s">
        <v>42830</v>
      </c>
      <c r="T6432" t="s">
        <v>44714</v>
      </c>
      <c r="U6432" t="s">
        <v>50092</v>
      </c>
      <c r="W6432" t="s">
        <v>41076</v>
      </c>
      <c r="X6432" t="s">
        <v>42678</v>
      </c>
    </row>
    <row r="6433" spans="1:24">
      <c r="A6433">
        <f>HYPERLINK("https://www.philgeps.gov.ph/GEPSNONPILOT/Tender/SplashBidNoticeAbstractUI.aspx?menuIndex=3&amp;refID=7185710&amp;Result=3","7185710")</f>
        <v>0</v>
      </c>
      <c r="B6433" t="s">
        <v>719</v>
      </c>
      <c r="C6433" t="s">
        <v>9673</v>
      </c>
      <c r="D6433" t="s">
        <v>17170</v>
      </c>
      <c r="E6433" t="s">
        <v>22804</v>
      </c>
      <c r="F6433" t="s">
        <v>29373</v>
      </c>
      <c r="G6433" t="s">
        <v>29381</v>
      </c>
      <c r="H6433" t="s">
        <v>11048</v>
      </c>
      <c r="I6433" t="s">
        <v>29407</v>
      </c>
      <c r="J6433" t="s">
        <v>32918</v>
      </c>
      <c r="K6433" t="s">
        <v>38485</v>
      </c>
      <c r="M6433" t="s">
        <v>41086</v>
      </c>
      <c r="N6433" t="s">
        <v>42669</v>
      </c>
      <c r="O6433" t="s">
        <v>42670</v>
      </c>
      <c r="P6433">
        <v>0</v>
      </c>
      <c r="Q6433">
        <v>4</v>
      </c>
      <c r="R6433" t="s">
        <v>42677</v>
      </c>
      <c r="S6433" t="s">
        <v>42830</v>
      </c>
      <c r="T6433" t="s">
        <v>44417</v>
      </c>
      <c r="U6433" t="s">
        <v>50093</v>
      </c>
      <c r="W6433" t="s">
        <v>41086</v>
      </c>
      <c r="X6433" t="s">
        <v>42678</v>
      </c>
    </row>
    <row r="6434" spans="1:24">
      <c r="A6434">
        <f>HYPERLINK("https://www.philgeps.gov.ph/GEPSNONPILOT/Tender/SplashBidNoticeAbstractUI.aspx?menuIndex=3&amp;refID=7185709&amp;Result=3","7185709")</f>
        <v>0</v>
      </c>
      <c r="B6434" t="s">
        <v>2175</v>
      </c>
      <c r="C6434" t="s">
        <v>9674</v>
      </c>
      <c r="D6434" t="s">
        <v>17181</v>
      </c>
      <c r="E6434" t="s">
        <v>22805</v>
      </c>
      <c r="F6434" t="s">
        <v>29372</v>
      </c>
      <c r="G6434" t="s">
        <v>29380</v>
      </c>
      <c r="H6434" t="s">
        <v>11048</v>
      </c>
      <c r="I6434" t="s">
        <v>4487</v>
      </c>
      <c r="J6434" t="s">
        <v>33671</v>
      </c>
      <c r="K6434" t="s">
        <v>38488</v>
      </c>
      <c r="M6434" t="s">
        <v>41087</v>
      </c>
      <c r="N6434" t="s">
        <v>42669</v>
      </c>
      <c r="O6434" t="s">
        <v>42670</v>
      </c>
      <c r="P6434">
        <v>0</v>
      </c>
      <c r="Q6434">
        <v>2</v>
      </c>
      <c r="R6434" t="s">
        <v>42677</v>
      </c>
      <c r="S6434" t="s">
        <v>42830</v>
      </c>
      <c r="T6434" t="s">
        <v>44375</v>
      </c>
      <c r="U6434" t="s">
        <v>50094</v>
      </c>
      <c r="W6434" t="s">
        <v>41087</v>
      </c>
      <c r="X6434" t="s">
        <v>42678</v>
      </c>
    </row>
    <row r="6435" spans="1:24">
      <c r="A6435">
        <f>HYPERLINK("https://www.philgeps.gov.ph/GEPSNONPILOT/Tender/SplashBidNoticeAbstractUI.aspx?menuIndex=3&amp;refID=7185701&amp;Result=3","7185701")</f>
        <v>0</v>
      </c>
      <c r="B6435" t="s">
        <v>2176</v>
      </c>
      <c r="C6435" t="s">
        <v>9675</v>
      </c>
      <c r="D6435" t="s">
        <v>17177</v>
      </c>
      <c r="E6435" t="s">
        <v>22806</v>
      </c>
      <c r="F6435" t="s">
        <v>29372</v>
      </c>
      <c r="G6435" t="s">
        <v>29380</v>
      </c>
      <c r="H6435" t="s">
        <v>11048</v>
      </c>
      <c r="I6435" t="s">
        <v>5383</v>
      </c>
      <c r="J6435" t="s">
        <v>31727</v>
      </c>
      <c r="K6435" t="s">
        <v>38488</v>
      </c>
      <c r="M6435" t="s">
        <v>41088</v>
      </c>
      <c r="N6435" t="s">
        <v>42669</v>
      </c>
      <c r="O6435" t="s">
        <v>42670</v>
      </c>
      <c r="P6435">
        <v>0</v>
      </c>
      <c r="Q6435">
        <v>1</v>
      </c>
      <c r="R6435" t="s">
        <v>42677</v>
      </c>
      <c r="S6435" t="s">
        <v>42830</v>
      </c>
      <c r="T6435" t="s">
        <v>44417</v>
      </c>
      <c r="U6435" t="s">
        <v>50095</v>
      </c>
      <c r="W6435" t="s">
        <v>41088</v>
      </c>
      <c r="X6435" t="s">
        <v>42678</v>
      </c>
    </row>
    <row r="6436" spans="1:24">
      <c r="A6436">
        <f>HYPERLINK("https://www.philgeps.gov.ph/GEPSNONPILOT/Tender/SplashBidNoticeAbstractUI.aspx?menuIndex=3&amp;refID=7185697&amp;Result=3","7185697")</f>
        <v>0</v>
      </c>
      <c r="B6436" t="s">
        <v>622</v>
      </c>
      <c r="C6436" t="s">
        <v>9676</v>
      </c>
      <c r="D6436" t="s">
        <v>17147</v>
      </c>
      <c r="E6436" t="s">
        <v>22807</v>
      </c>
      <c r="F6436" t="s">
        <v>29372</v>
      </c>
      <c r="G6436" t="s">
        <v>29380</v>
      </c>
      <c r="H6436" t="s">
        <v>29389</v>
      </c>
      <c r="I6436" t="s">
        <v>10408</v>
      </c>
      <c r="J6436" t="s">
        <v>33672</v>
      </c>
      <c r="K6436" t="s">
        <v>38636</v>
      </c>
      <c r="M6436" t="s">
        <v>39393</v>
      </c>
      <c r="N6436" t="s">
        <v>42669</v>
      </c>
      <c r="O6436" t="s">
        <v>42670</v>
      </c>
      <c r="P6436">
        <v>0</v>
      </c>
      <c r="Q6436">
        <v>0</v>
      </c>
      <c r="R6436" t="s">
        <v>42677</v>
      </c>
      <c r="S6436" t="s">
        <v>42830</v>
      </c>
      <c r="T6436" t="s">
        <v>44684</v>
      </c>
      <c r="U6436" t="s">
        <v>50096</v>
      </c>
      <c r="V6436" t="s">
        <v>57071</v>
      </c>
      <c r="W6436" t="s">
        <v>39393</v>
      </c>
      <c r="X6436" t="s">
        <v>42678</v>
      </c>
    </row>
    <row r="6437" spans="1:24">
      <c r="A6437">
        <f>HYPERLINK("https://www.philgeps.gov.ph/GEPSNONPILOT/Tender/SplashBidNoticeAbstractUI.aspx?menuIndex=3&amp;refID=7185696&amp;Result=3","7185696")</f>
        <v>0</v>
      </c>
      <c r="B6437" t="s">
        <v>2130</v>
      </c>
      <c r="C6437" t="s">
        <v>9677</v>
      </c>
      <c r="D6437" t="s">
        <v>17160</v>
      </c>
      <c r="E6437" t="s">
        <v>22808</v>
      </c>
      <c r="F6437" t="s">
        <v>29372</v>
      </c>
      <c r="G6437" t="s">
        <v>29379</v>
      </c>
      <c r="H6437" t="s">
        <v>11048</v>
      </c>
      <c r="I6437" t="s">
        <v>29450</v>
      </c>
      <c r="J6437" t="s">
        <v>33664</v>
      </c>
      <c r="K6437" t="s">
        <v>38485</v>
      </c>
      <c r="M6437" t="s">
        <v>41035</v>
      </c>
      <c r="N6437" t="s">
        <v>42669</v>
      </c>
      <c r="O6437" t="s">
        <v>42670</v>
      </c>
      <c r="P6437">
        <v>0</v>
      </c>
      <c r="Q6437">
        <v>0</v>
      </c>
      <c r="R6437" t="s">
        <v>42677</v>
      </c>
      <c r="S6437" t="s">
        <v>42830</v>
      </c>
      <c r="T6437" t="s">
        <v>44493</v>
      </c>
      <c r="U6437" t="s">
        <v>50097</v>
      </c>
      <c r="W6437" t="s">
        <v>41035</v>
      </c>
      <c r="X6437" t="s">
        <v>42678</v>
      </c>
    </row>
    <row r="6438" spans="1:24">
      <c r="A6438">
        <f>HYPERLINK("https://www.philgeps.gov.ph/GEPSNONPILOT/Tender/SplashBidNoticeAbstractUI.aspx?menuIndex=3&amp;refID=7185714&amp;Result=3","7185714")</f>
        <v>0</v>
      </c>
      <c r="B6438" t="s">
        <v>2079</v>
      </c>
      <c r="C6438" t="s">
        <v>9678</v>
      </c>
      <c r="D6438" t="s">
        <v>17195</v>
      </c>
      <c r="E6438" t="s">
        <v>22809</v>
      </c>
      <c r="F6438" t="s">
        <v>29372</v>
      </c>
      <c r="G6438" t="s">
        <v>29379</v>
      </c>
      <c r="H6438" t="s">
        <v>11048</v>
      </c>
      <c r="I6438" t="s">
        <v>4487</v>
      </c>
      <c r="J6438" t="s">
        <v>32993</v>
      </c>
      <c r="K6438" t="s">
        <v>38490</v>
      </c>
      <c r="M6438" t="s">
        <v>40978</v>
      </c>
      <c r="N6438" t="s">
        <v>42669</v>
      </c>
      <c r="O6438" t="s">
        <v>42670</v>
      </c>
      <c r="P6438">
        <v>0</v>
      </c>
      <c r="Q6438">
        <v>0</v>
      </c>
      <c r="R6438" t="s">
        <v>42677</v>
      </c>
      <c r="S6438" t="s">
        <v>42830</v>
      </c>
      <c r="T6438" t="s">
        <v>44550</v>
      </c>
      <c r="U6438" t="s">
        <v>50098</v>
      </c>
      <c r="W6438" t="s">
        <v>40978</v>
      </c>
      <c r="X6438" t="s">
        <v>42678</v>
      </c>
    </row>
    <row r="6439" spans="1:24">
      <c r="A6439">
        <f>HYPERLINK("https://www.philgeps.gov.ph/GEPSNONPILOT/Tender/SplashBidNoticeAbstractUI.aspx?menuIndex=3&amp;refID=7185695&amp;Result=3","7185695")</f>
        <v>0</v>
      </c>
      <c r="B6439" t="s">
        <v>2169</v>
      </c>
      <c r="C6439" t="s">
        <v>9679</v>
      </c>
      <c r="D6439" t="s">
        <v>17143</v>
      </c>
      <c r="E6439" t="s">
        <v>22810</v>
      </c>
      <c r="F6439" t="s">
        <v>29372</v>
      </c>
      <c r="G6439" t="s">
        <v>29380</v>
      </c>
      <c r="H6439" t="s">
        <v>29390</v>
      </c>
      <c r="I6439" t="s">
        <v>8614</v>
      </c>
      <c r="J6439" t="s">
        <v>30907</v>
      </c>
      <c r="K6439" t="s">
        <v>38487</v>
      </c>
      <c r="M6439" t="s">
        <v>41080</v>
      </c>
      <c r="N6439" t="s">
        <v>42669</v>
      </c>
      <c r="O6439" t="s">
        <v>42670</v>
      </c>
      <c r="P6439">
        <v>0</v>
      </c>
      <c r="Q6439">
        <v>5</v>
      </c>
      <c r="R6439" t="s">
        <v>42677</v>
      </c>
      <c r="S6439" t="s">
        <v>42830</v>
      </c>
      <c r="T6439" t="s">
        <v>44452</v>
      </c>
      <c r="U6439" t="s">
        <v>50071</v>
      </c>
      <c r="V6439" t="s">
        <v>57072</v>
      </c>
      <c r="W6439" t="s">
        <v>58070</v>
      </c>
      <c r="X6439" t="s">
        <v>42678</v>
      </c>
    </row>
    <row r="6440" spans="1:24">
      <c r="A6440">
        <f>HYPERLINK("https://www.philgeps.gov.ph/GEPSNONPILOT/Tender/SplashBidNoticeAbstractUI.aspx?menuIndex=3&amp;refID=7185676&amp;Result=3","7185676")</f>
        <v>0</v>
      </c>
      <c r="B6440" t="s">
        <v>1796</v>
      </c>
      <c r="C6440" t="s">
        <v>9680</v>
      </c>
      <c r="D6440" t="s">
        <v>17174</v>
      </c>
      <c r="E6440" t="s">
        <v>22811</v>
      </c>
      <c r="F6440" t="s">
        <v>29372</v>
      </c>
      <c r="G6440" t="s">
        <v>29380</v>
      </c>
      <c r="H6440" t="s">
        <v>11048</v>
      </c>
      <c r="I6440" t="s">
        <v>29395</v>
      </c>
      <c r="J6440" t="s">
        <v>33673</v>
      </c>
      <c r="K6440" t="s">
        <v>38590</v>
      </c>
      <c r="M6440" t="s">
        <v>41089</v>
      </c>
      <c r="N6440" t="s">
        <v>42669</v>
      </c>
      <c r="O6440" t="s">
        <v>42670</v>
      </c>
      <c r="P6440">
        <v>0</v>
      </c>
      <c r="Q6440">
        <v>0</v>
      </c>
      <c r="R6440" t="s">
        <v>42677</v>
      </c>
      <c r="S6440" t="s">
        <v>42830</v>
      </c>
      <c r="T6440" t="s">
        <v>44409</v>
      </c>
      <c r="U6440" t="s">
        <v>50099</v>
      </c>
      <c r="W6440" t="s">
        <v>40986</v>
      </c>
      <c r="X6440" t="s">
        <v>42678</v>
      </c>
    </row>
    <row r="6441" spans="1:24">
      <c r="A6441">
        <f>HYPERLINK("https://www.philgeps.gov.ph/GEPSNONPILOT/Tender/SplashBidNoticeAbstractUI.aspx?menuIndex=3&amp;refID=7185688&amp;Result=3","7185688")</f>
        <v>0</v>
      </c>
      <c r="B6441" t="s">
        <v>2177</v>
      </c>
      <c r="C6441" t="s">
        <v>9681</v>
      </c>
      <c r="D6441" t="s">
        <v>17168</v>
      </c>
      <c r="E6441" t="s">
        <v>22812</v>
      </c>
      <c r="F6441" t="s">
        <v>29372</v>
      </c>
      <c r="G6441" t="s">
        <v>29380</v>
      </c>
      <c r="H6441" t="s">
        <v>29389</v>
      </c>
      <c r="I6441" t="s">
        <v>10408</v>
      </c>
      <c r="J6441" t="s">
        <v>29587</v>
      </c>
      <c r="K6441" t="s">
        <v>38490</v>
      </c>
      <c r="M6441" t="s">
        <v>41090</v>
      </c>
      <c r="N6441" t="s">
        <v>42669</v>
      </c>
      <c r="O6441" t="s">
        <v>42670</v>
      </c>
      <c r="P6441">
        <v>0</v>
      </c>
      <c r="Q6441">
        <v>1</v>
      </c>
      <c r="R6441" t="s">
        <v>42677</v>
      </c>
      <c r="S6441" t="s">
        <v>42830</v>
      </c>
      <c r="T6441" t="s">
        <v>44371</v>
      </c>
      <c r="U6441" t="s">
        <v>50100</v>
      </c>
      <c r="W6441" t="s">
        <v>41090</v>
      </c>
      <c r="X6441" t="s">
        <v>42678</v>
      </c>
    </row>
    <row r="6442" spans="1:24">
      <c r="A6442">
        <f>HYPERLINK("https://www.philgeps.gov.ph/GEPSNONPILOT/Tender/SplashBidNoticeAbstractUI.aspx?menuIndex=3&amp;refID=7185692&amp;Result=3","7185692")</f>
        <v>0</v>
      </c>
      <c r="B6442" t="s">
        <v>1515</v>
      </c>
      <c r="C6442" t="s">
        <v>9682</v>
      </c>
      <c r="D6442" t="s">
        <v>17174</v>
      </c>
      <c r="E6442" t="s">
        <v>22813</v>
      </c>
      <c r="F6442" t="s">
        <v>29372</v>
      </c>
      <c r="G6442" t="s">
        <v>29379</v>
      </c>
      <c r="H6442" t="s">
        <v>11048</v>
      </c>
      <c r="I6442" t="s">
        <v>8614</v>
      </c>
      <c r="J6442" t="s">
        <v>30294</v>
      </c>
      <c r="K6442" t="s">
        <v>38510</v>
      </c>
      <c r="M6442" t="s">
        <v>40359</v>
      </c>
      <c r="N6442" t="s">
        <v>42669</v>
      </c>
      <c r="O6442" t="s">
        <v>42670</v>
      </c>
      <c r="P6442">
        <v>0</v>
      </c>
      <c r="Q6442">
        <v>0</v>
      </c>
      <c r="R6442" t="s">
        <v>42677</v>
      </c>
      <c r="S6442" t="s">
        <v>42830</v>
      </c>
      <c r="T6442" t="s">
        <v>44432</v>
      </c>
      <c r="U6442" t="s">
        <v>50101</v>
      </c>
      <c r="W6442" t="s">
        <v>40359</v>
      </c>
      <c r="X6442" t="s">
        <v>42678</v>
      </c>
    </row>
    <row r="6443" spans="1:24">
      <c r="A6443">
        <f>HYPERLINK("https://www.philgeps.gov.ph/GEPSNONPILOT/Tender/SplashBidNoticeAbstractUI.aspx?menuIndex=3&amp;refID=7185708&amp;Result=3","7185708")</f>
        <v>0</v>
      </c>
      <c r="B6443" t="s">
        <v>1875</v>
      </c>
      <c r="C6443" t="s">
        <v>9683</v>
      </c>
      <c r="D6443" t="s">
        <v>17179</v>
      </c>
      <c r="E6443" t="s">
        <v>22814</v>
      </c>
      <c r="F6443" t="s">
        <v>29372</v>
      </c>
      <c r="G6443" t="s">
        <v>29379</v>
      </c>
      <c r="H6443" t="s">
        <v>11048</v>
      </c>
      <c r="I6443" t="s">
        <v>4486</v>
      </c>
      <c r="J6443" t="s">
        <v>29555</v>
      </c>
      <c r="K6443" t="s">
        <v>38518</v>
      </c>
      <c r="M6443" t="s">
        <v>40748</v>
      </c>
      <c r="N6443" t="s">
        <v>42669</v>
      </c>
      <c r="O6443" t="s">
        <v>42670</v>
      </c>
      <c r="P6443">
        <v>0</v>
      </c>
      <c r="Q6443">
        <v>0</v>
      </c>
      <c r="R6443" t="s">
        <v>42677</v>
      </c>
      <c r="S6443" t="s">
        <v>42830</v>
      </c>
      <c r="T6443" t="s">
        <v>44427</v>
      </c>
      <c r="U6443" t="s">
        <v>50102</v>
      </c>
      <c r="W6443" t="s">
        <v>40748</v>
      </c>
      <c r="X6443" t="s">
        <v>42678</v>
      </c>
    </row>
    <row r="6444" spans="1:24">
      <c r="A6444">
        <f>HYPERLINK("https://www.philgeps.gov.ph/GEPSNONPILOT/Tender/SplashBidNoticeAbstractUI.aspx?menuIndex=3&amp;refID=7185755&amp;Result=3","7185755")</f>
        <v>0</v>
      </c>
      <c r="B6444" t="s">
        <v>2178</v>
      </c>
      <c r="C6444" t="s">
        <v>9684</v>
      </c>
      <c r="D6444" t="s">
        <v>17183</v>
      </c>
      <c r="E6444" t="s">
        <v>22815</v>
      </c>
      <c r="F6444" t="s">
        <v>29372</v>
      </c>
      <c r="G6444" t="s">
        <v>29380</v>
      </c>
      <c r="H6444" t="s">
        <v>11048</v>
      </c>
      <c r="I6444" t="s">
        <v>29406</v>
      </c>
      <c r="J6444" t="s">
        <v>29543</v>
      </c>
      <c r="K6444" t="s">
        <v>38488</v>
      </c>
      <c r="M6444" t="s">
        <v>41091</v>
      </c>
      <c r="N6444" t="s">
        <v>42669</v>
      </c>
      <c r="O6444" t="s">
        <v>42670</v>
      </c>
      <c r="P6444">
        <v>0</v>
      </c>
      <c r="Q6444">
        <v>4</v>
      </c>
      <c r="R6444" t="s">
        <v>42677</v>
      </c>
      <c r="S6444" t="s">
        <v>42830</v>
      </c>
      <c r="T6444" t="s">
        <v>44587</v>
      </c>
      <c r="U6444" t="s">
        <v>50103</v>
      </c>
      <c r="V6444" t="s">
        <v>57073</v>
      </c>
      <c r="W6444" t="s">
        <v>41091</v>
      </c>
      <c r="X6444" t="s">
        <v>42678</v>
      </c>
    </row>
    <row r="6445" spans="1:24">
      <c r="A6445">
        <f>HYPERLINK("https://www.philgeps.gov.ph/GEPSNONPILOT/Tender/SplashBidNoticeAbstractUI.aspx?menuIndex=3&amp;refID=7185690&amp;Result=3","7185690")</f>
        <v>0</v>
      </c>
      <c r="B6445" t="s">
        <v>2129</v>
      </c>
      <c r="C6445" t="s">
        <v>9685</v>
      </c>
      <c r="D6445" t="s">
        <v>17161</v>
      </c>
      <c r="E6445" t="s">
        <v>22816</v>
      </c>
      <c r="F6445" t="s">
        <v>29372</v>
      </c>
      <c r="G6445" t="s">
        <v>29380</v>
      </c>
      <c r="H6445" t="s">
        <v>29389</v>
      </c>
      <c r="I6445" t="s">
        <v>10408</v>
      </c>
      <c r="J6445" t="s">
        <v>29724</v>
      </c>
      <c r="K6445" t="s">
        <v>38564</v>
      </c>
      <c r="M6445" t="s">
        <v>41034</v>
      </c>
      <c r="N6445" t="s">
        <v>42669</v>
      </c>
      <c r="O6445" t="s">
        <v>42670</v>
      </c>
      <c r="P6445">
        <v>0</v>
      </c>
      <c r="Q6445">
        <v>0</v>
      </c>
      <c r="R6445" t="s">
        <v>42677</v>
      </c>
      <c r="S6445" t="s">
        <v>42830</v>
      </c>
      <c r="T6445" t="s">
        <v>44446</v>
      </c>
      <c r="U6445" t="s">
        <v>50104</v>
      </c>
      <c r="W6445" t="s">
        <v>41034</v>
      </c>
      <c r="X6445" t="s">
        <v>42678</v>
      </c>
    </row>
    <row r="6446" spans="1:24">
      <c r="A6446">
        <f>HYPERLINK("https://www.philgeps.gov.ph/GEPSNONPILOT/Tender/SplashBidNoticeAbstractUI.aspx?menuIndex=3&amp;refID=7185751&amp;Result=3","7185751")</f>
        <v>0</v>
      </c>
      <c r="B6446" t="s">
        <v>2167</v>
      </c>
      <c r="C6446" t="s">
        <v>9686</v>
      </c>
      <c r="D6446" t="s">
        <v>17156</v>
      </c>
      <c r="E6446" t="s">
        <v>22817</v>
      </c>
      <c r="F6446" t="s">
        <v>29372</v>
      </c>
      <c r="G6446" t="s">
        <v>29383</v>
      </c>
      <c r="H6446" t="s">
        <v>11048</v>
      </c>
      <c r="I6446" t="s">
        <v>29395</v>
      </c>
      <c r="J6446" t="s">
        <v>29708</v>
      </c>
      <c r="K6446" t="s">
        <v>38490</v>
      </c>
      <c r="M6446" t="s">
        <v>41078</v>
      </c>
      <c r="N6446" t="s">
        <v>42669</v>
      </c>
      <c r="O6446" t="s">
        <v>42670</v>
      </c>
      <c r="P6446">
        <v>0</v>
      </c>
      <c r="Q6446">
        <v>0</v>
      </c>
      <c r="R6446" t="s">
        <v>42677</v>
      </c>
      <c r="S6446" t="s">
        <v>42830</v>
      </c>
      <c r="T6446" t="s">
        <v>44430</v>
      </c>
      <c r="U6446" t="s">
        <v>50105</v>
      </c>
      <c r="W6446" t="s">
        <v>41078</v>
      </c>
      <c r="X6446" t="s">
        <v>42678</v>
      </c>
    </row>
    <row r="6447" spans="1:24">
      <c r="A6447">
        <f>HYPERLINK("https://www.philgeps.gov.ph/GEPSNONPILOT/Tender/SplashBidNoticeAbstractUI.aspx?menuIndex=3&amp;refID=7185754&amp;Result=3","7185754")</f>
        <v>0</v>
      </c>
      <c r="B6447" t="s">
        <v>2130</v>
      </c>
      <c r="C6447" t="s">
        <v>9687</v>
      </c>
      <c r="D6447" t="s">
        <v>17160</v>
      </c>
      <c r="E6447" t="s">
        <v>22818</v>
      </c>
      <c r="F6447" t="s">
        <v>29372</v>
      </c>
      <c r="G6447" t="s">
        <v>29379</v>
      </c>
      <c r="H6447" t="s">
        <v>11048</v>
      </c>
      <c r="I6447" t="s">
        <v>29450</v>
      </c>
      <c r="J6447" t="s">
        <v>33674</v>
      </c>
      <c r="K6447" t="s">
        <v>38496</v>
      </c>
      <c r="M6447" t="s">
        <v>41035</v>
      </c>
      <c r="N6447" t="s">
        <v>42669</v>
      </c>
      <c r="O6447" t="s">
        <v>42670</v>
      </c>
      <c r="P6447">
        <v>0</v>
      </c>
      <c r="Q6447">
        <v>0</v>
      </c>
      <c r="R6447" t="s">
        <v>42677</v>
      </c>
      <c r="S6447" t="s">
        <v>42830</v>
      </c>
      <c r="T6447" t="s">
        <v>44493</v>
      </c>
      <c r="U6447" t="s">
        <v>50106</v>
      </c>
      <c r="W6447" t="s">
        <v>41035</v>
      </c>
      <c r="X6447" t="s">
        <v>42678</v>
      </c>
    </row>
    <row r="6448" spans="1:24">
      <c r="A6448">
        <f>HYPERLINK("https://www.philgeps.gov.ph/GEPSNONPILOT/Tender/SplashBidNoticeAbstractUI.aspx?menuIndex=3&amp;refID=7185750&amp;Result=3","7185750")</f>
        <v>0</v>
      </c>
      <c r="B6448" t="s">
        <v>719</v>
      </c>
      <c r="C6448" t="s">
        <v>9688</v>
      </c>
      <c r="D6448" t="s">
        <v>17170</v>
      </c>
      <c r="E6448" t="s">
        <v>22819</v>
      </c>
      <c r="F6448" t="s">
        <v>29372</v>
      </c>
      <c r="G6448" t="s">
        <v>29379</v>
      </c>
      <c r="H6448" t="s">
        <v>11048</v>
      </c>
      <c r="I6448" t="s">
        <v>29429</v>
      </c>
      <c r="J6448" t="s">
        <v>32688</v>
      </c>
      <c r="K6448" t="s">
        <v>38528</v>
      </c>
      <c r="M6448" t="s">
        <v>40973</v>
      </c>
      <c r="N6448" t="s">
        <v>42669</v>
      </c>
      <c r="O6448" t="s">
        <v>42670</v>
      </c>
      <c r="P6448">
        <v>0</v>
      </c>
      <c r="Q6448">
        <v>0</v>
      </c>
      <c r="R6448" t="s">
        <v>42677</v>
      </c>
      <c r="S6448" t="s">
        <v>42830</v>
      </c>
      <c r="T6448" t="s">
        <v>44512</v>
      </c>
      <c r="U6448" t="s">
        <v>49790</v>
      </c>
      <c r="W6448" t="s">
        <v>40973</v>
      </c>
      <c r="X6448" t="s">
        <v>42678</v>
      </c>
    </row>
    <row r="6449" spans="1:24">
      <c r="A6449">
        <f>HYPERLINK("https://www.philgeps.gov.ph/GEPSNONPILOT/Tender/SplashBidNoticeAbstractUI.aspx?menuIndex=3&amp;refID=7185748&amp;Result=3","7185748")</f>
        <v>0</v>
      </c>
      <c r="B6449" t="s">
        <v>1906</v>
      </c>
      <c r="C6449" t="s">
        <v>9689</v>
      </c>
      <c r="D6449" t="s">
        <v>17195</v>
      </c>
      <c r="E6449" t="s">
        <v>19537</v>
      </c>
      <c r="F6449" t="s">
        <v>29372</v>
      </c>
      <c r="G6449" t="s">
        <v>29380</v>
      </c>
      <c r="H6449" t="s">
        <v>29389</v>
      </c>
      <c r="I6449" t="s">
        <v>29402</v>
      </c>
      <c r="J6449" t="s">
        <v>33675</v>
      </c>
      <c r="K6449" t="s">
        <v>38487</v>
      </c>
      <c r="L6449" t="s">
        <v>1906</v>
      </c>
      <c r="M6449" t="s">
        <v>40781</v>
      </c>
      <c r="N6449" t="s">
        <v>42669</v>
      </c>
      <c r="O6449" t="s">
        <v>42670</v>
      </c>
      <c r="P6449">
        <v>0</v>
      </c>
      <c r="Q6449">
        <v>1</v>
      </c>
      <c r="R6449" t="s">
        <v>42677</v>
      </c>
      <c r="S6449" t="s">
        <v>42830</v>
      </c>
      <c r="T6449" t="s">
        <v>44696</v>
      </c>
      <c r="U6449" t="s">
        <v>50107</v>
      </c>
      <c r="W6449" t="s">
        <v>40781</v>
      </c>
      <c r="X6449" t="s">
        <v>42678</v>
      </c>
    </row>
    <row r="6450" spans="1:24">
      <c r="A6450">
        <f>HYPERLINK("https://www.philgeps.gov.ph/GEPSNONPILOT/Tender/SplashBidNoticeAbstractUI.aspx?menuIndex=3&amp;refID=7185747&amp;Result=3","7185747")</f>
        <v>0</v>
      </c>
      <c r="B6450" t="s">
        <v>2177</v>
      </c>
      <c r="C6450" t="s">
        <v>9690</v>
      </c>
      <c r="D6450" t="s">
        <v>17168</v>
      </c>
      <c r="E6450" t="s">
        <v>22820</v>
      </c>
      <c r="F6450" t="s">
        <v>29372</v>
      </c>
      <c r="G6450" t="s">
        <v>29380</v>
      </c>
      <c r="H6450" t="s">
        <v>29389</v>
      </c>
      <c r="I6450" t="s">
        <v>10408</v>
      </c>
      <c r="J6450" t="s">
        <v>33676</v>
      </c>
      <c r="K6450" t="s">
        <v>38490</v>
      </c>
      <c r="M6450" t="s">
        <v>41090</v>
      </c>
      <c r="N6450" t="s">
        <v>42669</v>
      </c>
      <c r="O6450" t="s">
        <v>42670</v>
      </c>
      <c r="P6450">
        <v>0</v>
      </c>
      <c r="Q6450">
        <v>0</v>
      </c>
      <c r="R6450" t="s">
        <v>42677</v>
      </c>
      <c r="S6450" t="s">
        <v>42830</v>
      </c>
      <c r="T6450" t="s">
        <v>44371</v>
      </c>
      <c r="U6450" t="s">
        <v>50108</v>
      </c>
      <c r="W6450" t="s">
        <v>41090</v>
      </c>
      <c r="X6450" t="s">
        <v>42678</v>
      </c>
    </row>
    <row r="6451" spans="1:24">
      <c r="A6451">
        <f>HYPERLINK("https://www.philgeps.gov.ph/GEPSNONPILOT/Tender/SplashBidNoticeAbstractUI.aspx?menuIndex=3&amp;refID=7185744&amp;Result=3","7185744")</f>
        <v>0</v>
      </c>
      <c r="B6451" t="s">
        <v>883</v>
      </c>
      <c r="C6451" t="s">
        <v>9691</v>
      </c>
      <c r="D6451" t="s">
        <v>17161</v>
      </c>
      <c r="E6451" t="s">
        <v>22821</v>
      </c>
      <c r="F6451" t="s">
        <v>29372</v>
      </c>
      <c r="G6451" t="s">
        <v>29383</v>
      </c>
      <c r="H6451" t="s">
        <v>11048</v>
      </c>
      <c r="I6451" t="s">
        <v>3952</v>
      </c>
      <c r="J6451" t="s">
        <v>33677</v>
      </c>
      <c r="K6451" t="s">
        <v>38491</v>
      </c>
      <c r="M6451" t="s">
        <v>39675</v>
      </c>
      <c r="N6451" t="s">
        <v>42669</v>
      </c>
      <c r="O6451" t="s">
        <v>42670</v>
      </c>
      <c r="P6451">
        <v>0</v>
      </c>
      <c r="Q6451">
        <v>0</v>
      </c>
      <c r="R6451" t="s">
        <v>42677</v>
      </c>
      <c r="S6451" t="s">
        <v>42830</v>
      </c>
      <c r="T6451" t="s">
        <v>44401</v>
      </c>
      <c r="U6451" t="s">
        <v>50109</v>
      </c>
      <c r="W6451" t="s">
        <v>39675</v>
      </c>
      <c r="X6451" t="s">
        <v>42678</v>
      </c>
    </row>
    <row r="6452" spans="1:24">
      <c r="A6452">
        <f>HYPERLINK("https://www.philgeps.gov.ph/GEPSNONPILOT/Tender/SplashBidNoticeAbstractUI.aspx?menuIndex=3&amp;refID=7185664&amp;Result=3","7185664")</f>
        <v>0</v>
      </c>
      <c r="B6452" t="s">
        <v>2173</v>
      </c>
      <c r="C6452" t="s">
        <v>9692</v>
      </c>
      <c r="D6452" t="s">
        <v>17153</v>
      </c>
      <c r="E6452" t="s">
        <v>22822</v>
      </c>
      <c r="F6452" t="s">
        <v>29372</v>
      </c>
      <c r="G6452" t="s">
        <v>29379</v>
      </c>
      <c r="H6452" t="s">
        <v>11048</v>
      </c>
      <c r="I6452" t="s">
        <v>29392</v>
      </c>
      <c r="J6452" t="s">
        <v>31159</v>
      </c>
      <c r="K6452" t="s">
        <v>38490</v>
      </c>
      <c r="M6452" t="s">
        <v>41084</v>
      </c>
      <c r="N6452" t="s">
        <v>42669</v>
      </c>
      <c r="O6452" t="s">
        <v>42670</v>
      </c>
      <c r="P6452">
        <v>0</v>
      </c>
      <c r="Q6452">
        <v>1</v>
      </c>
      <c r="R6452" t="s">
        <v>42677</v>
      </c>
      <c r="S6452" t="s">
        <v>42830</v>
      </c>
      <c r="T6452" t="s">
        <v>44491</v>
      </c>
      <c r="U6452" t="s">
        <v>50110</v>
      </c>
      <c r="W6452" t="s">
        <v>41084</v>
      </c>
      <c r="X6452" t="s">
        <v>42678</v>
      </c>
    </row>
    <row r="6453" spans="1:24">
      <c r="A6453">
        <f>HYPERLINK("https://www.philgeps.gov.ph/GEPSNONPILOT/Tender/SplashBidNoticeAbstractUI.aspx?menuIndex=3&amp;refID=7185743&amp;Result=3","7185743")</f>
        <v>0</v>
      </c>
      <c r="B6453" t="s">
        <v>933</v>
      </c>
      <c r="C6453" t="s">
        <v>9693</v>
      </c>
      <c r="D6453" t="s">
        <v>17170</v>
      </c>
      <c r="E6453" t="s">
        <v>22823</v>
      </c>
      <c r="F6453" t="s">
        <v>29372</v>
      </c>
      <c r="G6453" t="s">
        <v>29380</v>
      </c>
      <c r="H6453" t="s">
        <v>11048</v>
      </c>
      <c r="I6453" t="s">
        <v>9469</v>
      </c>
      <c r="J6453" t="s">
        <v>33678</v>
      </c>
      <c r="K6453" t="s">
        <v>38490</v>
      </c>
      <c r="M6453" t="s">
        <v>41092</v>
      </c>
      <c r="N6453" t="s">
        <v>42669</v>
      </c>
      <c r="O6453" t="s">
        <v>42670</v>
      </c>
      <c r="P6453">
        <v>0</v>
      </c>
      <c r="Q6453">
        <v>1</v>
      </c>
      <c r="R6453" t="s">
        <v>42677</v>
      </c>
      <c r="S6453" t="s">
        <v>42830</v>
      </c>
      <c r="T6453" t="s">
        <v>44446</v>
      </c>
      <c r="U6453" t="s">
        <v>50111</v>
      </c>
      <c r="V6453" t="s">
        <v>57074</v>
      </c>
      <c r="W6453" t="s">
        <v>41092</v>
      </c>
      <c r="X6453" t="s">
        <v>42678</v>
      </c>
    </row>
    <row r="6454" spans="1:24">
      <c r="A6454">
        <f>HYPERLINK("https://www.philgeps.gov.ph/GEPSNONPILOT/Tender/SplashBidNoticeAbstractUI.aspx?menuIndex=3&amp;refID=7185738&amp;Result=3","7185738")</f>
        <v>0</v>
      </c>
      <c r="B6454" t="s">
        <v>622</v>
      </c>
      <c r="C6454" t="s">
        <v>9694</v>
      </c>
      <c r="D6454" t="s">
        <v>17147</v>
      </c>
      <c r="E6454" t="s">
        <v>22824</v>
      </c>
      <c r="F6454" t="s">
        <v>29372</v>
      </c>
      <c r="G6454" t="s">
        <v>29380</v>
      </c>
      <c r="H6454" t="s">
        <v>29389</v>
      </c>
      <c r="I6454" t="s">
        <v>10408</v>
      </c>
      <c r="J6454" t="s">
        <v>33679</v>
      </c>
      <c r="K6454" t="s">
        <v>38666</v>
      </c>
      <c r="M6454" t="s">
        <v>39393</v>
      </c>
      <c r="N6454" t="s">
        <v>42669</v>
      </c>
      <c r="O6454" t="s">
        <v>42670</v>
      </c>
      <c r="P6454">
        <v>0</v>
      </c>
      <c r="Q6454">
        <v>0</v>
      </c>
      <c r="R6454" t="s">
        <v>42677</v>
      </c>
      <c r="S6454" t="s">
        <v>42830</v>
      </c>
      <c r="T6454" t="s">
        <v>44684</v>
      </c>
      <c r="U6454" t="s">
        <v>50112</v>
      </c>
      <c r="V6454" t="s">
        <v>57075</v>
      </c>
      <c r="W6454" t="s">
        <v>39393</v>
      </c>
      <c r="X6454" t="s">
        <v>42678</v>
      </c>
    </row>
    <row r="6455" spans="1:24">
      <c r="A6455">
        <f>HYPERLINK("https://www.philgeps.gov.ph/GEPSNONPILOT/Tender/SplashBidNoticeAbstractUI.aspx?menuIndex=3&amp;refID=7185594&amp;Result=3","7185594")</f>
        <v>0</v>
      </c>
      <c r="B6455" t="s">
        <v>2179</v>
      </c>
      <c r="C6455" t="s">
        <v>9695</v>
      </c>
      <c r="D6455" t="s">
        <v>17144</v>
      </c>
      <c r="E6455" t="s">
        <v>22825</v>
      </c>
      <c r="F6455" t="s">
        <v>29372</v>
      </c>
      <c r="G6455" t="s">
        <v>29380</v>
      </c>
      <c r="H6455" t="s">
        <v>29389</v>
      </c>
      <c r="I6455" t="s">
        <v>10408</v>
      </c>
      <c r="J6455" t="s">
        <v>33680</v>
      </c>
      <c r="K6455" t="s">
        <v>38533</v>
      </c>
      <c r="M6455" t="s">
        <v>41093</v>
      </c>
      <c r="N6455" t="s">
        <v>42669</v>
      </c>
      <c r="O6455" t="s">
        <v>42670</v>
      </c>
      <c r="P6455">
        <v>0</v>
      </c>
      <c r="Q6455">
        <v>3</v>
      </c>
      <c r="R6455" t="s">
        <v>42677</v>
      </c>
      <c r="S6455" t="s">
        <v>42830</v>
      </c>
      <c r="T6455" t="s">
        <v>44379</v>
      </c>
      <c r="U6455" t="s">
        <v>50113</v>
      </c>
      <c r="W6455" t="s">
        <v>41093</v>
      </c>
      <c r="X6455" t="s">
        <v>42678</v>
      </c>
    </row>
    <row r="6456" spans="1:24">
      <c r="A6456">
        <f>HYPERLINK("https://www.philgeps.gov.ph/GEPSNONPILOT/Tender/SplashBidNoticeAbstractUI.aspx?menuIndex=3&amp;refID=7185742&amp;Result=3","7185742")</f>
        <v>0</v>
      </c>
      <c r="B6456" t="s">
        <v>2180</v>
      </c>
      <c r="C6456" t="s">
        <v>9696</v>
      </c>
      <c r="D6456" t="s">
        <v>17189</v>
      </c>
      <c r="E6456" t="s">
        <v>22826</v>
      </c>
      <c r="F6456" t="s">
        <v>29372</v>
      </c>
      <c r="G6456" t="s">
        <v>29380</v>
      </c>
      <c r="H6456" t="s">
        <v>11048</v>
      </c>
      <c r="I6456" t="s">
        <v>29417</v>
      </c>
      <c r="J6456" t="s">
        <v>30161</v>
      </c>
      <c r="K6456" t="s">
        <v>38489</v>
      </c>
      <c r="M6456" t="s">
        <v>41094</v>
      </c>
      <c r="N6456" t="s">
        <v>42669</v>
      </c>
      <c r="O6456" t="s">
        <v>42670</v>
      </c>
      <c r="P6456">
        <v>0</v>
      </c>
      <c r="Q6456">
        <v>12</v>
      </c>
      <c r="R6456" t="s">
        <v>42677</v>
      </c>
      <c r="S6456" t="s">
        <v>42830</v>
      </c>
      <c r="T6456" t="s">
        <v>44517</v>
      </c>
      <c r="U6456" t="s">
        <v>50114</v>
      </c>
      <c r="V6456" t="s">
        <v>57076</v>
      </c>
      <c r="W6456" t="s">
        <v>41094</v>
      </c>
      <c r="X6456" t="s">
        <v>42678</v>
      </c>
    </row>
    <row r="6457" spans="1:24">
      <c r="A6457">
        <f>HYPERLINK("https://www.philgeps.gov.ph/GEPSNONPILOT/Tender/SplashBidNoticeAbstractUI.aspx?menuIndex=3&amp;refID=7185784&amp;Result=3","7185784")</f>
        <v>0</v>
      </c>
      <c r="B6457" t="s">
        <v>2181</v>
      </c>
      <c r="C6457" t="s">
        <v>9697</v>
      </c>
      <c r="E6457" t="s">
        <v>22827</v>
      </c>
      <c r="F6457" t="s">
        <v>29372</v>
      </c>
      <c r="G6457" t="s">
        <v>29379</v>
      </c>
      <c r="H6457" t="s">
        <v>11048</v>
      </c>
      <c r="I6457" t="s">
        <v>29424</v>
      </c>
      <c r="J6457" t="s">
        <v>33681</v>
      </c>
      <c r="K6457" t="s">
        <v>38491</v>
      </c>
      <c r="M6457" t="s">
        <v>41095</v>
      </c>
      <c r="N6457" t="s">
        <v>42669</v>
      </c>
      <c r="O6457" t="s">
        <v>42670</v>
      </c>
      <c r="P6457">
        <v>0</v>
      </c>
      <c r="Q6457">
        <v>3</v>
      </c>
      <c r="R6457" t="s">
        <v>42677</v>
      </c>
      <c r="S6457" t="s">
        <v>42830</v>
      </c>
      <c r="T6457" t="s">
        <v>44493</v>
      </c>
      <c r="U6457" t="s">
        <v>50115</v>
      </c>
      <c r="V6457" t="s">
        <v>57077</v>
      </c>
      <c r="W6457" t="s">
        <v>41095</v>
      </c>
      <c r="X6457" t="s">
        <v>42678</v>
      </c>
    </row>
    <row r="6458" spans="1:24">
      <c r="A6458">
        <f>HYPERLINK("https://www.philgeps.gov.ph/GEPSNONPILOT/Tender/SplashBidNoticeAbstractUI.aspx?menuIndex=3&amp;refID=7185749&amp;Result=3","7185749")</f>
        <v>0</v>
      </c>
      <c r="B6458" t="s">
        <v>2169</v>
      </c>
      <c r="C6458" t="s">
        <v>9698</v>
      </c>
      <c r="D6458" t="s">
        <v>17143</v>
      </c>
      <c r="E6458" t="s">
        <v>22828</v>
      </c>
      <c r="F6458" t="s">
        <v>29372</v>
      </c>
      <c r="G6458" t="s">
        <v>29380</v>
      </c>
      <c r="H6458" t="s">
        <v>29390</v>
      </c>
      <c r="I6458" t="s">
        <v>29440</v>
      </c>
      <c r="J6458" t="s">
        <v>33682</v>
      </c>
      <c r="K6458" t="s">
        <v>38485</v>
      </c>
      <c r="M6458" t="s">
        <v>41080</v>
      </c>
      <c r="N6458" t="s">
        <v>42669</v>
      </c>
      <c r="O6458" t="s">
        <v>42670</v>
      </c>
      <c r="P6458">
        <v>0</v>
      </c>
      <c r="Q6458">
        <v>0</v>
      </c>
      <c r="R6458" t="s">
        <v>42677</v>
      </c>
      <c r="S6458" t="s">
        <v>42830</v>
      </c>
      <c r="T6458" t="s">
        <v>44452</v>
      </c>
      <c r="U6458" t="s">
        <v>50071</v>
      </c>
      <c r="V6458" t="s">
        <v>57067</v>
      </c>
      <c r="W6458" t="s">
        <v>58070</v>
      </c>
      <c r="X6458" t="s">
        <v>42678</v>
      </c>
    </row>
    <row r="6459" spans="1:24">
      <c r="A6459">
        <f>HYPERLINK("https://www.philgeps.gov.ph/GEPSNONPILOT/Tender/SplashBidNoticeAbstractUI.aspx?menuIndex=3&amp;refID=7185794&amp;Result=3","7185794")</f>
        <v>0</v>
      </c>
      <c r="B6459" t="s">
        <v>2182</v>
      </c>
      <c r="C6459" t="s">
        <v>9699</v>
      </c>
      <c r="D6459" t="s">
        <v>17143</v>
      </c>
      <c r="E6459" t="s">
        <v>17870</v>
      </c>
      <c r="F6459" t="s">
        <v>29372</v>
      </c>
      <c r="G6459" t="s">
        <v>29380</v>
      </c>
      <c r="H6459" t="s">
        <v>29389</v>
      </c>
      <c r="I6459" t="s">
        <v>4709</v>
      </c>
      <c r="J6459" t="s">
        <v>33683</v>
      </c>
      <c r="K6459" t="s">
        <v>38495</v>
      </c>
      <c r="M6459" t="s">
        <v>41096</v>
      </c>
      <c r="N6459" t="s">
        <v>42669</v>
      </c>
      <c r="O6459" t="s">
        <v>42670</v>
      </c>
      <c r="P6459">
        <v>0</v>
      </c>
      <c r="Q6459">
        <v>4</v>
      </c>
      <c r="R6459" t="s">
        <v>42677</v>
      </c>
      <c r="S6459" t="s">
        <v>42830</v>
      </c>
      <c r="T6459" t="s">
        <v>44371</v>
      </c>
      <c r="U6459" t="s">
        <v>50116</v>
      </c>
      <c r="W6459" t="s">
        <v>41096</v>
      </c>
      <c r="X6459" t="s">
        <v>42678</v>
      </c>
    </row>
    <row r="6460" spans="1:24">
      <c r="A6460">
        <f>HYPERLINK("https://www.philgeps.gov.ph/GEPSNONPILOT/Tender/SplashBidNoticeAbstractUI.aspx?menuIndex=3&amp;refID=7185793&amp;Result=3","7185793")</f>
        <v>0</v>
      </c>
      <c r="B6460" t="s">
        <v>597</v>
      </c>
      <c r="C6460" t="s">
        <v>9700</v>
      </c>
      <c r="D6460" t="s">
        <v>17179</v>
      </c>
      <c r="E6460" t="s">
        <v>22829</v>
      </c>
      <c r="F6460" t="s">
        <v>29372</v>
      </c>
      <c r="G6460" t="s">
        <v>29379</v>
      </c>
      <c r="H6460" t="s">
        <v>11048</v>
      </c>
      <c r="I6460" t="s">
        <v>4486</v>
      </c>
      <c r="J6460" t="s">
        <v>33684</v>
      </c>
      <c r="K6460" t="s">
        <v>38490</v>
      </c>
      <c r="M6460" t="s">
        <v>39368</v>
      </c>
      <c r="N6460" t="s">
        <v>42669</v>
      </c>
      <c r="O6460" t="s">
        <v>42670</v>
      </c>
      <c r="P6460">
        <v>0</v>
      </c>
      <c r="Q6460">
        <v>3</v>
      </c>
      <c r="R6460" t="s">
        <v>42677</v>
      </c>
      <c r="S6460" t="s">
        <v>42830</v>
      </c>
      <c r="T6460" t="s">
        <v>44565</v>
      </c>
      <c r="U6460" t="s">
        <v>50117</v>
      </c>
      <c r="W6460" t="s">
        <v>39368</v>
      </c>
      <c r="X6460" t="s">
        <v>42678</v>
      </c>
    </row>
    <row r="6461" spans="1:24">
      <c r="A6461">
        <f>HYPERLINK("https://www.philgeps.gov.ph/GEPSNONPILOT/Tender/SplashBidNoticeAbstractUI.aspx?menuIndex=3&amp;refID=7185792&amp;Result=3","7185792")</f>
        <v>0</v>
      </c>
      <c r="B6461" t="s">
        <v>719</v>
      </c>
      <c r="C6461" t="s">
        <v>9701</v>
      </c>
      <c r="D6461" t="s">
        <v>17170</v>
      </c>
      <c r="E6461" t="s">
        <v>18635</v>
      </c>
      <c r="F6461" t="s">
        <v>29372</v>
      </c>
      <c r="G6461" t="s">
        <v>29379</v>
      </c>
      <c r="H6461" t="s">
        <v>11048</v>
      </c>
      <c r="I6461" t="s">
        <v>29429</v>
      </c>
      <c r="J6461" t="s">
        <v>29555</v>
      </c>
      <c r="K6461" t="s">
        <v>38528</v>
      </c>
      <c r="M6461" t="s">
        <v>40973</v>
      </c>
      <c r="N6461" t="s">
        <v>42669</v>
      </c>
      <c r="O6461" t="s">
        <v>42670</v>
      </c>
      <c r="P6461">
        <v>0</v>
      </c>
      <c r="Q6461">
        <v>0</v>
      </c>
      <c r="R6461" t="s">
        <v>42677</v>
      </c>
      <c r="S6461" t="s">
        <v>42830</v>
      </c>
      <c r="T6461" t="s">
        <v>44512</v>
      </c>
      <c r="U6461" t="s">
        <v>49790</v>
      </c>
      <c r="W6461" t="s">
        <v>40973</v>
      </c>
      <c r="X6461" t="s">
        <v>42678</v>
      </c>
    </row>
    <row r="6462" spans="1:24">
      <c r="A6462">
        <f>HYPERLINK("https://www.philgeps.gov.ph/GEPSNONPILOT/Tender/SplashBidNoticeAbstractUI.aspx?menuIndex=3&amp;refID=7185739&amp;Result=3","7185739")</f>
        <v>0</v>
      </c>
      <c r="B6462" t="s">
        <v>2129</v>
      </c>
      <c r="C6462" t="s">
        <v>9702</v>
      </c>
      <c r="D6462" t="s">
        <v>17161</v>
      </c>
      <c r="E6462" t="s">
        <v>22830</v>
      </c>
      <c r="F6462" t="s">
        <v>29372</v>
      </c>
      <c r="G6462" t="s">
        <v>29380</v>
      </c>
      <c r="H6462" t="s">
        <v>29389</v>
      </c>
      <c r="I6462" t="s">
        <v>10408</v>
      </c>
      <c r="J6462" t="s">
        <v>33685</v>
      </c>
      <c r="K6462" t="s">
        <v>38522</v>
      </c>
      <c r="M6462" t="s">
        <v>41034</v>
      </c>
      <c r="N6462" t="s">
        <v>42669</v>
      </c>
      <c r="O6462" t="s">
        <v>42670</v>
      </c>
      <c r="P6462">
        <v>0</v>
      </c>
      <c r="Q6462">
        <v>0</v>
      </c>
      <c r="R6462" t="s">
        <v>42677</v>
      </c>
      <c r="S6462" t="s">
        <v>42830</v>
      </c>
      <c r="T6462" t="s">
        <v>44446</v>
      </c>
      <c r="U6462" t="s">
        <v>50118</v>
      </c>
      <c r="W6462" t="s">
        <v>41034</v>
      </c>
      <c r="X6462" t="s">
        <v>42678</v>
      </c>
    </row>
    <row r="6463" spans="1:24">
      <c r="A6463">
        <f>HYPERLINK("https://www.philgeps.gov.ph/GEPSNONPILOT/Tender/SplashBidNoticeAbstractUI.aspx?menuIndex=3&amp;refID=7185617&amp;Result=3","7185617")</f>
        <v>0</v>
      </c>
      <c r="B6463" t="s">
        <v>2183</v>
      </c>
      <c r="C6463" t="s">
        <v>9703</v>
      </c>
      <c r="D6463" t="s">
        <v>17192</v>
      </c>
      <c r="E6463" t="s">
        <v>22831</v>
      </c>
      <c r="F6463" t="s">
        <v>29372</v>
      </c>
      <c r="G6463" t="s">
        <v>29380</v>
      </c>
      <c r="H6463" t="s">
        <v>29389</v>
      </c>
      <c r="I6463" t="s">
        <v>29408</v>
      </c>
      <c r="J6463" t="s">
        <v>33686</v>
      </c>
      <c r="K6463" t="s">
        <v>38519</v>
      </c>
      <c r="M6463" t="s">
        <v>41097</v>
      </c>
      <c r="N6463" t="s">
        <v>42669</v>
      </c>
      <c r="O6463" t="s">
        <v>42670</v>
      </c>
      <c r="P6463">
        <v>0</v>
      </c>
      <c r="Q6463">
        <v>0</v>
      </c>
      <c r="R6463" t="s">
        <v>42677</v>
      </c>
      <c r="S6463" t="s">
        <v>42830</v>
      </c>
      <c r="T6463" t="s">
        <v>44401</v>
      </c>
      <c r="U6463" t="s">
        <v>50119</v>
      </c>
      <c r="W6463" t="s">
        <v>41097</v>
      </c>
      <c r="X6463" t="s">
        <v>42678</v>
      </c>
    </row>
    <row r="6464" spans="1:24">
      <c r="A6464">
        <f>HYPERLINK("https://www.philgeps.gov.ph/GEPSNONPILOT/Tender/SplashBidNoticeAbstractUI.aspx?menuIndex=3&amp;refID=7185785&amp;Result=3","7185785")</f>
        <v>0</v>
      </c>
      <c r="B6464" t="s">
        <v>933</v>
      </c>
      <c r="C6464" t="s">
        <v>9704</v>
      </c>
      <c r="D6464" t="s">
        <v>17170</v>
      </c>
      <c r="E6464" t="s">
        <v>22832</v>
      </c>
      <c r="F6464" t="s">
        <v>29372</v>
      </c>
      <c r="G6464" t="s">
        <v>29380</v>
      </c>
      <c r="H6464" t="s">
        <v>11048</v>
      </c>
      <c r="I6464" t="s">
        <v>29466</v>
      </c>
      <c r="J6464" t="s">
        <v>33687</v>
      </c>
      <c r="K6464" t="s">
        <v>38490</v>
      </c>
      <c r="M6464" t="s">
        <v>41092</v>
      </c>
      <c r="N6464" t="s">
        <v>42669</v>
      </c>
      <c r="O6464" t="s">
        <v>42670</v>
      </c>
      <c r="P6464">
        <v>0</v>
      </c>
      <c r="Q6464">
        <v>1</v>
      </c>
      <c r="R6464" t="s">
        <v>42677</v>
      </c>
      <c r="S6464" t="s">
        <v>42830</v>
      </c>
      <c r="T6464" t="s">
        <v>44446</v>
      </c>
      <c r="U6464" t="s">
        <v>50120</v>
      </c>
      <c r="V6464" t="s">
        <v>57074</v>
      </c>
      <c r="W6464" t="s">
        <v>41092</v>
      </c>
      <c r="X6464" t="s">
        <v>42678</v>
      </c>
    </row>
    <row r="6465" spans="1:24">
      <c r="A6465">
        <f>HYPERLINK("https://www.philgeps.gov.ph/GEPSNONPILOT/Tender/SplashBidNoticeAbstractUI.aspx?menuIndex=3&amp;refID=7185756&amp;Result=3","7185756")</f>
        <v>0</v>
      </c>
      <c r="B6465" t="s">
        <v>1751</v>
      </c>
      <c r="C6465" t="s">
        <v>9705</v>
      </c>
      <c r="D6465" t="s">
        <v>17165</v>
      </c>
      <c r="E6465" t="s">
        <v>22833</v>
      </c>
      <c r="F6465" t="s">
        <v>29372</v>
      </c>
      <c r="G6465" t="s">
        <v>29380</v>
      </c>
      <c r="H6465" t="s">
        <v>11048</v>
      </c>
      <c r="I6465" t="s">
        <v>29417</v>
      </c>
      <c r="J6465" t="s">
        <v>33688</v>
      </c>
      <c r="K6465" t="s">
        <v>38488</v>
      </c>
      <c r="M6465" t="s">
        <v>40616</v>
      </c>
      <c r="N6465" t="s">
        <v>42669</v>
      </c>
      <c r="O6465" t="s">
        <v>42670</v>
      </c>
      <c r="P6465">
        <v>0</v>
      </c>
      <c r="Q6465">
        <v>3</v>
      </c>
      <c r="R6465" t="s">
        <v>42677</v>
      </c>
      <c r="S6465" t="s">
        <v>42830</v>
      </c>
      <c r="T6465" t="s">
        <v>44374</v>
      </c>
      <c r="U6465" t="s">
        <v>50121</v>
      </c>
      <c r="W6465" t="s">
        <v>40616</v>
      </c>
      <c r="X6465" t="s">
        <v>42678</v>
      </c>
    </row>
    <row r="6466" spans="1:24">
      <c r="A6466">
        <f>HYPERLINK("https://www.philgeps.gov.ph/GEPSNONPILOT/Tender/SplashBidNoticeAbstractUI.aspx?menuIndex=3&amp;refID=7185782&amp;Result=3","7185782")</f>
        <v>0</v>
      </c>
      <c r="B6466" t="s">
        <v>2160</v>
      </c>
      <c r="C6466" t="s">
        <v>9706</v>
      </c>
      <c r="D6466" t="s">
        <v>17159</v>
      </c>
      <c r="E6466" t="s">
        <v>22834</v>
      </c>
      <c r="F6466" t="s">
        <v>29372</v>
      </c>
      <c r="G6466" t="s">
        <v>29380</v>
      </c>
      <c r="H6466" t="s">
        <v>11048</v>
      </c>
      <c r="I6466" t="s">
        <v>6417</v>
      </c>
      <c r="J6466" t="s">
        <v>29703</v>
      </c>
      <c r="K6466" t="s">
        <v>38485</v>
      </c>
      <c r="M6466" t="s">
        <v>41071</v>
      </c>
      <c r="N6466" t="s">
        <v>42669</v>
      </c>
      <c r="O6466" t="s">
        <v>42670</v>
      </c>
      <c r="P6466">
        <v>0</v>
      </c>
      <c r="Q6466">
        <v>3</v>
      </c>
      <c r="R6466" t="s">
        <v>42677</v>
      </c>
      <c r="S6466" t="s">
        <v>42830</v>
      </c>
      <c r="T6466" t="s">
        <v>44401</v>
      </c>
      <c r="U6466" t="s">
        <v>50122</v>
      </c>
      <c r="W6466" t="s">
        <v>41071</v>
      </c>
      <c r="X6466" t="s">
        <v>42678</v>
      </c>
    </row>
    <row r="6467" spans="1:24">
      <c r="A6467">
        <f>HYPERLINK("https://www.philgeps.gov.ph/GEPSNONPILOT/Tender/SplashBidNoticeAbstractUI.aspx?menuIndex=3&amp;refID=7185779&amp;Result=3","7185779")</f>
        <v>0</v>
      </c>
      <c r="B6467" t="s">
        <v>933</v>
      </c>
      <c r="C6467" t="s">
        <v>9707</v>
      </c>
      <c r="D6467" t="s">
        <v>17170</v>
      </c>
      <c r="E6467" t="s">
        <v>22835</v>
      </c>
      <c r="F6467" t="s">
        <v>29372</v>
      </c>
      <c r="G6467" t="s">
        <v>29380</v>
      </c>
      <c r="H6467" t="s">
        <v>11048</v>
      </c>
      <c r="I6467" t="s">
        <v>29395</v>
      </c>
      <c r="J6467" t="s">
        <v>33689</v>
      </c>
      <c r="K6467" t="s">
        <v>38490</v>
      </c>
      <c r="M6467" t="s">
        <v>41092</v>
      </c>
      <c r="N6467" t="s">
        <v>42669</v>
      </c>
      <c r="O6467" t="s">
        <v>42670</v>
      </c>
      <c r="P6467">
        <v>0</v>
      </c>
      <c r="Q6467">
        <v>4</v>
      </c>
      <c r="R6467" t="s">
        <v>42677</v>
      </c>
      <c r="S6467" t="s">
        <v>42830</v>
      </c>
      <c r="T6467" t="s">
        <v>44446</v>
      </c>
      <c r="U6467" t="s">
        <v>50123</v>
      </c>
      <c r="V6467" t="s">
        <v>57074</v>
      </c>
      <c r="W6467" t="s">
        <v>41092</v>
      </c>
      <c r="X6467" t="s">
        <v>42678</v>
      </c>
    </row>
    <row r="6468" spans="1:24">
      <c r="A6468">
        <f>HYPERLINK("https://www.philgeps.gov.ph/GEPSNONPILOT/Tender/SplashBidNoticeAbstractUI.aspx?menuIndex=3&amp;refID=7185777&amp;Result=3","7185777")</f>
        <v>0</v>
      </c>
      <c r="B6468" t="s">
        <v>662</v>
      </c>
      <c r="C6468" t="s">
        <v>9708</v>
      </c>
      <c r="D6468" t="s">
        <v>17211</v>
      </c>
      <c r="E6468" t="s">
        <v>22836</v>
      </c>
      <c r="F6468" t="s">
        <v>29372</v>
      </c>
      <c r="G6468" t="s">
        <v>29380</v>
      </c>
      <c r="H6468" t="s">
        <v>29389</v>
      </c>
      <c r="I6468" t="s">
        <v>10408</v>
      </c>
      <c r="J6468" t="s">
        <v>33690</v>
      </c>
      <c r="K6468" t="s">
        <v>38522</v>
      </c>
      <c r="M6468" t="s">
        <v>39768</v>
      </c>
      <c r="N6468" t="s">
        <v>42669</v>
      </c>
      <c r="O6468" t="s">
        <v>42670</v>
      </c>
      <c r="P6468">
        <v>0</v>
      </c>
      <c r="Q6468">
        <v>0</v>
      </c>
      <c r="R6468" t="s">
        <v>42677</v>
      </c>
      <c r="S6468" t="s">
        <v>42830</v>
      </c>
      <c r="T6468" t="s">
        <v>44450</v>
      </c>
      <c r="U6468" t="s">
        <v>50124</v>
      </c>
      <c r="W6468" t="s">
        <v>58029</v>
      </c>
      <c r="X6468" t="s">
        <v>42678</v>
      </c>
    </row>
    <row r="6469" spans="1:24">
      <c r="A6469">
        <f>HYPERLINK("https://www.philgeps.gov.ph/GEPSNONPILOT/Tender/SplashBidNoticeAbstractUI.aspx?menuIndex=3&amp;refID=7185773&amp;Result=3","7185773")</f>
        <v>0</v>
      </c>
      <c r="B6469" t="s">
        <v>2184</v>
      </c>
      <c r="C6469" t="s">
        <v>9709</v>
      </c>
      <c r="D6469" t="s">
        <v>17170</v>
      </c>
      <c r="E6469" t="s">
        <v>22837</v>
      </c>
      <c r="F6469" t="s">
        <v>29372</v>
      </c>
      <c r="G6469" t="s">
        <v>29380</v>
      </c>
      <c r="H6469" t="s">
        <v>11048</v>
      </c>
      <c r="I6469" t="s">
        <v>9469</v>
      </c>
      <c r="J6469" t="s">
        <v>29526</v>
      </c>
      <c r="K6469" t="s">
        <v>38485</v>
      </c>
      <c r="M6469" t="s">
        <v>41098</v>
      </c>
      <c r="N6469" t="s">
        <v>42669</v>
      </c>
      <c r="O6469" t="s">
        <v>42670</v>
      </c>
      <c r="P6469">
        <v>0</v>
      </c>
      <c r="Q6469">
        <v>0</v>
      </c>
      <c r="R6469" t="s">
        <v>42677</v>
      </c>
      <c r="S6469" t="s">
        <v>42830</v>
      </c>
      <c r="T6469" t="s">
        <v>44474</v>
      </c>
      <c r="U6469" t="s">
        <v>50125</v>
      </c>
      <c r="W6469" t="s">
        <v>41098</v>
      </c>
      <c r="X6469" t="s">
        <v>42678</v>
      </c>
    </row>
    <row r="6470" spans="1:24">
      <c r="A6470">
        <f>HYPERLINK("https://www.philgeps.gov.ph/GEPSNONPILOT/Tender/SplashBidNoticeAbstractUI.aspx?menuIndex=3&amp;refID=7185768&amp;Result=3","7185768")</f>
        <v>0</v>
      </c>
      <c r="B6470" t="s">
        <v>2010</v>
      </c>
      <c r="C6470" t="s">
        <v>9710</v>
      </c>
      <c r="D6470" t="s">
        <v>17143</v>
      </c>
      <c r="E6470" t="s">
        <v>22838</v>
      </c>
      <c r="F6470" t="s">
        <v>29372</v>
      </c>
      <c r="G6470" t="s">
        <v>29380</v>
      </c>
      <c r="H6470" t="s">
        <v>11048</v>
      </c>
      <c r="I6470" t="s">
        <v>29407</v>
      </c>
      <c r="J6470" t="s">
        <v>29590</v>
      </c>
      <c r="K6470" t="s">
        <v>38488</v>
      </c>
      <c r="M6470" t="s">
        <v>40979</v>
      </c>
      <c r="N6470" t="s">
        <v>42669</v>
      </c>
      <c r="O6470" t="s">
        <v>42670</v>
      </c>
      <c r="P6470">
        <v>0</v>
      </c>
      <c r="Q6470">
        <v>7</v>
      </c>
      <c r="R6470" t="s">
        <v>42677</v>
      </c>
      <c r="S6470" t="s">
        <v>42830</v>
      </c>
      <c r="T6470" t="s">
        <v>44387</v>
      </c>
      <c r="U6470" t="s">
        <v>50126</v>
      </c>
      <c r="V6470" t="s">
        <v>57001</v>
      </c>
      <c r="W6470" t="s">
        <v>40979</v>
      </c>
      <c r="X6470" t="s">
        <v>42678</v>
      </c>
    </row>
    <row r="6471" spans="1:24">
      <c r="A6471">
        <f>HYPERLINK("https://www.philgeps.gov.ph/GEPSNONPILOT/Tender/SplashBidNoticeAbstractUI.aspx?menuIndex=3&amp;refID=7185783&amp;Result=3","7185783")</f>
        <v>0</v>
      </c>
      <c r="B6471" t="s">
        <v>2126</v>
      </c>
      <c r="C6471" t="s">
        <v>9711</v>
      </c>
      <c r="D6471" t="s">
        <v>17150</v>
      </c>
      <c r="E6471" t="s">
        <v>22839</v>
      </c>
      <c r="F6471" t="s">
        <v>29372</v>
      </c>
      <c r="G6471" t="s">
        <v>29380</v>
      </c>
      <c r="H6471" t="s">
        <v>29389</v>
      </c>
      <c r="I6471" t="s">
        <v>10408</v>
      </c>
      <c r="J6471" t="s">
        <v>33691</v>
      </c>
      <c r="K6471" t="s">
        <v>38515</v>
      </c>
      <c r="M6471" t="s">
        <v>41031</v>
      </c>
      <c r="N6471" t="s">
        <v>42669</v>
      </c>
      <c r="O6471" t="s">
        <v>42670</v>
      </c>
      <c r="P6471">
        <v>0</v>
      </c>
      <c r="Q6471">
        <v>2</v>
      </c>
      <c r="R6471" t="s">
        <v>42677</v>
      </c>
      <c r="S6471" t="s">
        <v>42830</v>
      </c>
      <c r="T6471" t="s">
        <v>44503</v>
      </c>
      <c r="U6471" t="s">
        <v>50127</v>
      </c>
      <c r="W6471" t="s">
        <v>41031</v>
      </c>
      <c r="X6471" t="s">
        <v>42678</v>
      </c>
    </row>
    <row r="6472" spans="1:24">
      <c r="A6472">
        <f>HYPERLINK("https://www.philgeps.gov.ph/GEPSNONPILOT/Tender/SplashBidNoticeAbstractUI.aspx?menuIndex=3&amp;refID=7185764&amp;Result=3","7185764")</f>
        <v>0</v>
      </c>
      <c r="B6472" t="s">
        <v>2185</v>
      </c>
      <c r="C6472" t="s">
        <v>9712</v>
      </c>
      <c r="D6472" t="s">
        <v>17190</v>
      </c>
      <c r="E6472" t="s">
        <v>22840</v>
      </c>
      <c r="F6472" t="s">
        <v>29372</v>
      </c>
      <c r="G6472" t="s">
        <v>29380</v>
      </c>
      <c r="H6472" t="s">
        <v>11048</v>
      </c>
      <c r="I6472" t="s">
        <v>4709</v>
      </c>
      <c r="J6472" t="s">
        <v>33692</v>
      </c>
      <c r="K6472" t="s">
        <v>38485</v>
      </c>
      <c r="M6472" t="s">
        <v>41099</v>
      </c>
      <c r="N6472" t="s">
        <v>42669</v>
      </c>
      <c r="O6472" t="s">
        <v>42670</v>
      </c>
      <c r="P6472">
        <v>0</v>
      </c>
      <c r="Q6472">
        <v>0</v>
      </c>
      <c r="R6472" t="s">
        <v>42677</v>
      </c>
      <c r="S6472" t="s">
        <v>42830</v>
      </c>
      <c r="T6472" t="s">
        <v>44703</v>
      </c>
      <c r="U6472" t="s">
        <v>50128</v>
      </c>
      <c r="W6472" t="s">
        <v>41099</v>
      </c>
      <c r="X6472" t="s">
        <v>42678</v>
      </c>
    </row>
    <row r="6473" spans="1:24">
      <c r="A6473">
        <f>HYPERLINK("https://www.philgeps.gov.ph/GEPSNONPILOT/Tender/SplashBidNoticeAbstractUI.aspx?menuIndex=3&amp;refID=7185772&amp;Result=3","7185772")</f>
        <v>0</v>
      </c>
      <c r="B6473" t="s">
        <v>622</v>
      </c>
      <c r="C6473" t="s">
        <v>9713</v>
      </c>
      <c r="D6473" t="s">
        <v>17147</v>
      </c>
      <c r="E6473" t="s">
        <v>22841</v>
      </c>
      <c r="F6473" t="s">
        <v>29372</v>
      </c>
      <c r="G6473" t="s">
        <v>29380</v>
      </c>
      <c r="H6473" t="s">
        <v>29389</v>
      </c>
      <c r="I6473" t="s">
        <v>10408</v>
      </c>
      <c r="J6473" t="s">
        <v>33693</v>
      </c>
      <c r="K6473" t="s">
        <v>38541</v>
      </c>
      <c r="M6473" t="s">
        <v>39393</v>
      </c>
      <c r="N6473" t="s">
        <v>42669</v>
      </c>
      <c r="O6473" t="s">
        <v>42670</v>
      </c>
      <c r="P6473">
        <v>0</v>
      </c>
      <c r="Q6473">
        <v>0</v>
      </c>
      <c r="R6473" t="s">
        <v>42677</v>
      </c>
      <c r="S6473" t="s">
        <v>42830</v>
      </c>
      <c r="T6473" t="s">
        <v>44684</v>
      </c>
      <c r="U6473" t="s">
        <v>50096</v>
      </c>
      <c r="V6473" t="s">
        <v>57078</v>
      </c>
      <c r="W6473" t="s">
        <v>39393</v>
      </c>
      <c r="X6473" t="s">
        <v>42678</v>
      </c>
    </row>
    <row r="6474" spans="1:24">
      <c r="A6474">
        <f>HYPERLINK("https://www.philgeps.gov.ph/GEPSNONPILOT/Tender/SplashBidNoticeAbstractUI.aspx?menuIndex=3&amp;refID=7185763&amp;Result=3","7185763")</f>
        <v>0</v>
      </c>
      <c r="B6474" t="s">
        <v>2186</v>
      </c>
      <c r="C6474" t="s">
        <v>9714</v>
      </c>
      <c r="D6474" t="s">
        <v>17148</v>
      </c>
      <c r="E6474" t="s">
        <v>22842</v>
      </c>
      <c r="F6474" t="s">
        <v>29372</v>
      </c>
      <c r="G6474" t="s">
        <v>29379</v>
      </c>
      <c r="H6474" t="s">
        <v>29389</v>
      </c>
      <c r="I6474" t="s">
        <v>29429</v>
      </c>
      <c r="J6474" t="s">
        <v>29555</v>
      </c>
      <c r="K6474" t="s">
        <v>38491</v>
      </c>
      <c r="M6474" t="s">
        <v>41100</v>
      </c>
      <c r="N6474" t="s">
        <v>42669</v>
      </c>
      <c r="O6474" t="s">
        <v>42670</v>
      </c>
      <c r="P6474">
        <v>0</v>
      </c>
      <c r="Q6474">
        <v>0</v>
      </c>
      <c r="R6474" t="s">
        <v>42677</v>
      </c>
      <c r="S6474" t="s">
        <v>42830</v>
      </c>
      <c r="T6474" t="s">
        <v>44432</v>
      </c>
      <c r="U6474" t="s">
        <v>50129</v>
      </c>
      <c r="V6474" t="s">
        <v>57079</v>
      </c>
      <c r="W6474" t="s">
        <v>41100</v>
      </c>
      <c r="X6474" t="s">
        <v>42678</v>
      </c>
    </row>
    <row r="6475" spans="1:24">
      <c r="A6475">
        <f>HYPERLINK("https://www.philgeps.gov.ph/GEPSNONPILOT/Tender/SplashBidNoticeAbstractUI.aspx?menuIndex=3&amp;refID=7185789&amp;Result=3","7185789")</f>
        <v>0</v>
      </c>
      <c r="B6475" t="s">
        <v>1875</v>
      </c>
      <c r="C6475" t="s">
        <v>9715</v>
      </c>
      <c r="D6475" t="s">
        <v>17179</v>
      </c>
      <c r="E6475" t="s">
        <v>22843</v>
      </c>
      <c r="F6475" t="s">
        <v>29372</v>
      </c>
      <c r="G6475" t="s">
        <v>29379</v>
      </c>
      <c r="H6475" t="s">
        <v>11048</v>
      </c>
      <c r="I6475" t="s">
        <v>9642</v>
      </c>
      <c r="J6475" t="s">
        <v>30010</v>
      </c>
      <c r="K6475" t="s">
        <v>38488</v>
      </c>
      <c r="M6475" t="s">
        <v>40748</v>
      </c>
      <c r="N6475" t="s">
        <v>42669</v>
      </c>
      <c r="O6475" t="s">
        <v>42670</v>
      </c>
      <c r="P6475">
        <v>0</v>
      </c>
      <c r="Q6475">
        <v>1</v>
      </c>
      <c r="R6475" t="s">
        <v>42677</v>
      </c>
      <c r="S6475" t="s">
        <v>42830</v>
      </c>
      <c r="T6475" t="s">
        <v>44427</v>
      </c>
      <c r="U6475" t="s">
        <v>50130</v>
      </c>
      <c r="W6475" t="s">
        <v>40748</v>
      </c>
      <c r="X6475" t="s">
        <v>42678</v>
      </c>
    </row>
    <row r="6476" spans="1:24">
      <c r="A6476">
        <f>HYPERLINK("https://www.philgeps.gov.ph/GEPSNONPILOT/Tender/SplashBidNoticeAbstractUI.aspx?menuIndex=3&amp;refID=7185823&amp;Result=3","7185823")</f>
        <v>0</v>
      </c>
      <c r="B6476" t="s">
        <v>597</v>
      </c>
      <c r="C6476" t="s">
        <v>9716</v>
      </c>
      <c r="D6476" t="s">
        <v>17179</v>
      </c>
      <c r="E6476" t="s">
        <v>22844</v>
      </c>
      <c r="F6476" t="s">
        <v>29372</v>
      </c>
      <c r="G6476" t="s">
        <v>29379</v>
      </c>
      <c r="H6476" t="s">
        <v>11048</v>
      </c>
      <c r="I6476" t="s">
        <v>4709</v>
      </c>
      <c r="J6476" t="s">
        <v>33694</v>
      </c>
      <c r="K6476" t="s">
        <v>38490</v>
      </c>
      <c r="M6476" t="s">
        <v>39368</v>
      </c>
      <c r="N6476" t="s">
        <v>42669</v>
      </c>
      <c r="O6476" t="s">
        <v>42670</v>
      </c>
      <c r="P6476">
        <v>0</v>
      </c>
      <c r="Q6476">
        <v>0</v>
      </c>
      <c r="R6476" t="s">
        <v>42677</v>
      </c>
      <c r="S6476" t="s">
        <v>42830</v>
      </c>
      <c r="T6476" t="s">
        <v>44565</v>
      </c>
      <c r="U6476" t="s">
        <v>50131</v>
      </c>
      <c r="W6476" t="s">
        <v>39368</v>
      </c>
      <c r="X6476" t="s">
        <v>42678</v>
      </c>
    </row>
    <row r="6477" spans="1:24">
      <c r="A6477">
        <f>HYPERLINK("https://www.philgeps.gov.ph/GEPSNONPILOT/Tender/SplashBidNoticeAbstractUI.aspx?menuIndex=3&amp;refID=7185840&amp;Result=3","7185840")</f>
        <v>0</v>
      </c>
      <c r="B6477" t="s">
        <v>2187</v>
      </c>
      <c r="C6477" t="s">
        <v>9717</v>
      </c>
      <c r="D6477" t="s">
        <v>17179</v>
      </c>
      <c r="E6477" t="s">
        <v>22845</v>
      </c>
      <c r="F6477" t="s">
        <v>29372</v>
      </c>
      <c r="G6477" t="s">
        <v>29380</v>
      </c>
      <c r="H6477" t="s">
        <v>11048</v>
      </c>
      <c r="I6477" t="s">
        <v>29433</v>
      </c>
      <c r="J6477" t="s">
        <v>31535</v>
      </c>
      <c r="K6477" t="s">
        <v>38495</v>
      </c>
      <c r="M6477" t="s">
        <v>41101</v>
      </c>
      <c r="N6477" t="s">
        <v>42669</v>
      </c>
      <c r="O6477" t="s">
        <v>42670</v>
      </c>
      <c r="P6477">
        <v>0</v>
      </c>
      <c r="Q6477">
        <v>7</v>
      </c>
      <c r="R6477" t="s">
        <v>42677</v>
      </c>
      <c r="S6477" t="s">
        <v>42830</v>
      </c>
      <c r="T6477" t="s">
        <v>44668</v>
      </c>
      <c r="U6477" t="s">
        <v>50132</v>
      </c>
      <c r="V6477" t="s">
        <v>57080</v>
      </c>
      <c r="W6477" t="s">
        <v>41101</v>
      </c>
      <c r="X6477" t="s">
        <v>42678</v>
      </c>
    </row>
    <row r="6478" spans="1:24">
      <c r="A6478">
        <f>HYPERLINK("https://www.philgeps.gov.ph/GEPSNONPILOT/Tender/SplashBidNoticeAbstractUI.aspx?menuIndex=3&amp;refID=7185839&amp;Result=3","7185839")</f>
        <v>0</v>
      </c>
      <c r="B6478" t="s">
        <v>1231</v>
      </c>
      <c r="C6478" t="s">
        <v>9718</v>
      </c>
      <c r="D6478" t="s">
        <v>17191</v>
      </c>
      <c r="E6478" t="s">
        <v>22846</v>
      </c>
      <c r="F6478" t="s">
        <v>29372</v>
      </c>
      <c r="G6478" t="s">
        <v>29380</v>
      </c>
      <c r="H6478" t="s">
        <v>11048</v>
      </c>
      <c r="I6478" t="s">
        <v>3839</v>
      </c>
      <c r="J6478" t="s">
        <v>30032</v>
      </c>
      <c r="K6478" t="s">
        <v>38538</v>
      </c>
      <c r="M6478" t="s">
        <v>40052</v>
      </c>
      <c r="N6478" t="s">
        <v>42669</v>
      </c>
      <c r="O6478" t="s">
        <v>42670</v>
      </c>
      <c r="P6478">
        <v>0</v>
      </c>
      <c r="Q6478">
        <v>1</v>
      </c>
      <c r="R6478" t="s">
        <v>42677</v>
      </c>
      <c r="S6478" t="s">
        <v>42830</v>
      </c>
      <c r="T6478" t="s">
        <v>44525</v>
      </c>
      <c r="U6478" t="s">
        <v>50133</v>
      </c>
      <c r="W6478" t="s">
        <v>40052</v>
      </c>
      <c r="X6478" t="s">
        <v>42678</v>
      </c>
    </row>
    <row r="6479" spans="1:24">
      <c r="A6479">
        <f>HYPERLINK("https://www.philgeps.gov.ph/GEPSNONPILOT/Tender/SplashBidNoticeAbstractUI.aspx?menuIndex=3&amp;refID=7185835&amp;Result=3","7185835")</f>
        <v>0</v>
      </c>
      <c r="B6479" t="s">
        <v>2073</v>
      </c>
      <c r="C6479" t="s">
        <v>9719</v>
      </c>
      <c r="D6479" t="s">
        <v>17151</v>
      </c>
      <c r="E6479" t="s">
        <v>22847</v>
      </c>
      <c r="F6479" t="s">
        <v>29372</v>
      </c>
      <c r="G6479" t="s">
        <v>29380</v>
      </c>
      <c r="H6479" t="s">
        <v>11048</v>
      </c>
      <c r="I6479" t="s">
        <v>3629</v>
      </c>
      <c r="J6479" t="s">
        <v>33695</v>
      </c>
      <c r="K6479" t="s">
        <v>38485</v>
      </c>
      <c r="M6479" t="s">
        <v>40971</v>
      </c>
      <c r="N6479" t="s">
        <v>42669</v>
      </c>
      <c r="O6479" t="s">
        <v>42670</v>
      </c>
      <c r="P6479">
        <v>0</v>
      </c>
      <c r="Q6479">
        <v>1</v>
      </c>
      <c r="R6479" t="s">
        <v>42677</v>
      </c>
      <c r="S6479" t="s">
        <v>42830</v>
      </c>
      <c r="T6479" t="s">
        <v>44368</v>
      </c>
      <c r="U6479" t="s">
        <v>50134</v>
      </c>
      <c r="V6479" t="s">
        <v>57028</v>
      </c>
      <c r="W6479" t="s">
        <v>40971</v>
      </c>
      <c r="X6479" t="s">
        <v>42678</v>
      </c>
    </row>
    <row r="6480" spans="1:24">
      <c r="A6480">
        <f>HYPERLINK("https://www.philgeps.gov.ph/GEPSNONPILOT/Tender/SplashBidNoticeAbstractUI.aspx?menuIndex=3&amp;refID=7185766&amp;Result=3","7185766")</f>
        <v>0</v>
      </c>
      <c r="B6480" t="s">
        <v>933</v>
      </c>
      <c r="C6480" t="s">
        <v>9720</v>
      </c>
      <c r="D6480" t="s">
        <v>17170</v>
      </c>
      <c r="E6480" t="s">
        <v>22848</v>
      </c>
      <c r="F6480" t="s">
        <v>29372</v>
      </c>
      <c r="G6480" t="s">
        <v>29380</v>
      </c>
      <c r="H6480" t="s">
        <v>11048</v>
      </c>
      <c r="I6480" t="s">
        <v>3629</v>
      </c>
      <c r="J6480" t="s">
        <v>33696</v>
      </c>
      <c r="K6480" t="s">
        <v>38490</v>
      </c>
      <c r="M6480" t="s">
        <v>41092</v>
      </c>
      <c r="N6480" t="s">
        <v>42669</v>
      </c>
      <c r="O6480" t="s">
        <v>42670</v>
      </c>
      <c r="P6480">
        <v>0</v>
      </c>
      <c r="Q6480">
        <v>3</v>
      </c>
      <c r="R6480" t="s">
        <v>42677</v>
      </c>
      <c r="S6480" t="s">
        <v>42830</v>
      </c>
      <c r="T6480" t="s">
        <v>44446</v>
      </c>
      <c r="U6480" t="s">
        <v>50135</v>
      </c>
      <c r="V6480" t="s">
        <v>57074</v>
      </c>
      <c r="W6480" t="s">
        <v>41092</v>
      </c>
      <c r="X6480" t="s">
        <v>42678</v>
      </c>
    </row>
    <row r="6481" spans="1:24">
      <c r="A6481">
        <f>HYPERLINK("https://www.philgeps.gov.ph/GEPSNONPILOT/Tender/SplashBidNoticeAbstractUI.aspx?menuIndex=3&amp;refID=7185770&amp;Result=3","7185770")</f>
        <v>0</v>
      </c>
      <c r="B6481" t="s">
        <v>2079</v>
      </c>
      <c r="C6481" t="s">
        <v>9721</v>
      </c>
      <c r="D6481" t="s">
        <v>17195</v>
      </c>
      <c r="E6481" t="s">
        <v>22849</v>
      </c>
      <c r="F6481" t="s">
        <v>29372</v>
      </c>
      <c r="G6481" t="s">
        <v>29379</v>
      </c>
      <c r="H6481" t="s">
        <v>11048</v>
      </c>
      <c r="I6481" t="s">
        <v>29393</v>
      </c>
      <c r="J6481" t="s">
        <v>33697</v>
      </c>
      <c r="K6481" t="s">
        <v>38510</v>
      </c>
      <c r="M6481" t="s">
        <v>40978</v>
      </c>
      <c r="N6481" t="s">
        <v>42669</v>
      </c>
      <c r="O6481" t="s">
        <v>42670</v>
      </c>
      <c r="P6481">
        <v>0</v>
      </c>
      <c r="Q6481">
        <v>0</v>
      </c>
      <c r="R6481" t="s">
        <v>42677</v>
      </c>
      <c r="S6481" t="s">
        <v>42830</v>
      </c>
      <c r="T6481" t="s">
        <v>44550</v>
      </c>
      <c r="U6481" t="s">
        <v>50136</v>
      </c>
      <c r="W6481" t="s">
        <v>40978</v>
      </c>
      <c r="X6481" t="s">
        <v>42678</v>
      </c>
    </row>
    <row r="6482" spans="1:24">
      <c r="A6482">
        <f>HYPERLINK("https://www.philgeps.gov.ph/GEPSNONPILOT/Tender/SplashBidNoticeAbstractUI.aspx?menuIndex=3&amp;refID=7185833&amp;Result=3","7185833")</f>
        <v>0</v>
      </c>
      <c r="B6482" t="s">
        <v>2188</v>
      </c>
      <c r="C6482" t="s">
        <v>9722</v>
      </c>
      <c r="D6482" t="s">
        <v>17171</v>
      </c>
      <c r="E6482" t="s">
        <v>22850</v>
      </c>
      <c r="F6482" t="s">
        <v>29372</v>
      </c>
      <c r="G6482" t="s">
        <v>29380</v>
      </c>
      <c r="H6482" t="s">
        <v>29389</v>
      </c>
      <c r="I6482" t="s">
        <v>10408</v>
      </c>
      <c r="J6482" t="s">
        <v>33698</v>
      </c>
      <c r="K6482" t="s">
        <v>38533</v>
      </c>
      <c r="M6482" t="s">
        <v>41102</v>
      </c>
      <c r="N6482" t="s">
        <v>42669</v>
      </c>
      <c r="O6482" t="s">
        <v>42670</v>
      </c>
      <c r="P6482">
        <v>0</v>
      </c>
      <c r="Q6482">
        <v>5</v>
      </c>
      <c r="R6482" t="s">
        <v>42677</v>
      </c>
      <c r="S6482" t="s">
        <v>42830</v>
      </c>
      <c r="T6482" t="s">
        <v>44721</v>
      </c>
      <c r="U6482" t="s">
        <v>50137</v>
      </c>
      <c r="V6482" t="s">
        <v>57081</v>
      </c>
      <c r="W6482" t="s">
        <v>41102</v>
      </c>
      <c r="X6482" t="s">
        <v>42678</v>
      </c>
    </row>
    <row r="6483" spans="1:24">
      <c r="A6483">
        <f>HYPERLINK("https://www.philgeps.gov.ph/GEPSNONPILOT/Tender/SplashBidNoticeAbstractUI.aspx?menuIndex=3&amp;refID=7185822&amp;Result=3","7185822")</f>
        <v>0</v>
      </c>
      <c r="B6483" t="s">
        <v>2189</v>
      </c>
      <c r="C6483" t="s">
        <v>9723</v>
      </c>
      <c r="D6483" t="s">
        <v>17209</v>
      </c>
      <c r="E6483" t="s">
        <v>22851</v>
      </c>
      <c r="F6483" t="s">
        <v>29372</v>
      </c>
      <c r="G6483" t="s">
        <v>29380</v>
      </c>
      <c r="H6483" t="s">
        <v>29389</v>
      </c>
      <c r="I6483" t="s">
        <v>10408</v>
      </c>
      <c r="J6483" t="s">
        <v>29729</v>
      </c>
      <c r="K6483" t="s">
        <v>38490</v>
      </c>
      <c r="M6483" t="s">
        <v>41103</v>
      </c>
      <c r="N6483" t="s">
        <v>42669</v>
      </c>
      <c r="O6483" t="s">
        <v>42670</v>
      </c>
      <c r="P6483">
        <v>0</v>
      </c>
      <c r="Q6483">
        <v>0</v>
      </c>
      <c r="R6483" t="s">
        <v>42677</v>
      </c>
      <c r="S6483" t="s">
        <v>42830</v>
      </c>
      <c r="T6483" t="s">
        <v>44722</v>
      </c>
      <c r="U6483" t="s">
        <v>50138</v>
      </c>
      <c r="W6483" t="s">
        <v>41103</v>
      </c>
      <c r="X6483" t="s">
        <v>42678</v>
      </c>
    </row>
    <row r="6484" spans="1:24">
      <c r="A6484">
        <f>HYPERLINK("https://www.philgeps.gov.ph/GEPSNONPILOT/Tender/SplashBidNoticeAbstractUI.aspx?menuIndex=3&amp;refID=7185757&amp;Result=3","7185757")</f>
        <v>0</v>
      </c>
      <c r="B6484" t="s">
        <v>2190</v>
      </c>
      <c r="C6484" t="s">
        <v>9724</v>
      </c>
      <c r="D6484" t="s">
        <v>17168</v>
      </c>
      <c r="E6484" t="s">
        <v>17482</v>
      </c>
      <c r="F6484" t="s">
        <v>29372</v>
      </c>
      <c r="G6484" t="s">
        <v>29380</v>
      </c>
      <c r="H6484" t="s">
        <v>29389</v>
      </c>
      <c r="I6484" t="s">
        <v>10408</v>
      </c>
      <c r="J6484" t="s">
        <v>29540</v>
      </c>
      <c r="K6484" t="s">
        <v>38495</v>
      </c>
      <c r="M6484" t="s">
        <v>41104</v>
      </c>
      <c r="N6484" t="s">
        <v>42669</v>
      </c>
      <c r="O6484" t="s">
        <v>42670</v>
      </c>
      <c r="P6484">
        <v>0</v>
      </c>
      <c r="Q6484">
        <v>1</v>
      </c>
      <c r="R6484" t="s">
        <v>42677</v>
      </c>
      <c r="S6484" t="s">
        <v>42830</v>
      </c>
      <c r="T6484" t="s">
        <v>44385</v>
      </c>
      <c r="U6484" t="s">
        <v>50139</v>
      </c>
      <c r="V6484" t="s">
        <v>57082</v>
      </c>
      <c r="W6484" t="s">
        <v>41104</v>
      </c>
      <c r="X6484" t="s">
        <v>42678</v>
      </c>
    </row>
    <row r="6485" spans="1:24">
      <c r="A6485">
        <f>HYPERLINK("https://www.philgeps.gov.ph/GEPSNONPILOT/Tender/SplashBidNoticeAbstractUI.aspx?menuIndex=3&amp;refID=7185791&amp;Result=3","7185791")</f>
        <v>0</v>
      </c>
      <c r="B6485" t="s">
        <v>2191</v>
      </c>
      <c r="C6485" t="s">
        <v>9725</v>
      </c>
      <c r="D6485" t="s">
        <v>17176</v>
      </c>
      <c r="E6485" t="s">
        <v>22852</v>
      </c>
      <c r="F6485" t="s">
        <v>29372</v>
      </c>
      <c r="G6485" t="s">
        <v>29380</v>
      </c>
      <c r="H6485" t="s">
        <v>11048</v>
      </c>
      <c r="I6485" t="s">
        <v>8614</v>
      </c>
      <c r="J6485" t="s">
        <v>33699</v>
      </c>
      <c r="K6485" t="s">
        <v>38488</v>
      </c>
      <c r="M6485" t="s">
        <v>41105</v>
      </c>
      <c r="N6485" t="s">
        <v>42669</v>
      </c>
      <c r="O6485" t="s">
        <v>42670</v>
      </c>
      <c r="P6485">
        <v>0</v>
      </c>
      <c r="Q6485">
        <v>9</v>
      </c>
      <c r="R6485" t="s">
        <v>42677</v>
      </c>
      <c r="S6485" t="s">
        <v>42830</v>
      </c>
      <c r="T6485" t="s">
        <v>44368</v>
      </c>
      <c r="U6485" t="s">
        <v>50140</v>
      </c>
      <c r="V6485" t="s">
        <v>57083</v>
      </c>
      <c r="W6485" t="s">
        <v>41105</v>
      </c>
      <c r="X6485" t="s">
        <v>42678</v>
      </c>
    </row>
    <row r="6486" spans="1:24">
      <c r="A6486">
        <f>HYPERLINK("https://www.philgeps.gov.ph/GEPSNONPILOT/Tender/SplashBidNoticeAbstractUI.aspx?menuIndex=3&amp;refID=7185818&amp;Result=3","7185818")</f>
        <v>0</v>
      </c>
      <c r="B6486" t="s">
        <v>2192</v>
      </c>
      <c r="C6486" t="s">
        <v>9726</v>
      </c>
      <c r="D6486" t="s">
        <v>17200</v>
      </c>
      <c r="E6486" t="s">
        <v>22853</v>
      </c>
      <c r="F6486" t="s">
        <v>29372</v>
      </c>
      <c r="G6486" t="s">
        <v>29380</v>
      </c>
      <c r="H6486" t="s">
        <v>11048</v>
      </c>
      <c r="I6486" t="s">
        <v>29501</v>
      </c>
      <c r="J6486" t="s">
        <v>33700</v>
      </c>
      <c r="K6486" t="s">
        <v>38522</v>
      </c>
      <c r="M6486" t="s">
        <v>41106</v>
      </c>
      <c r="N6486" t="s">
        <v>42669</v>
      </c>
      <c r="O6486" t="s">
        <v>42670</v>
      </c>
      <c r="P6486">
        <v>0</v>
      </c>
      <c r="Q6486">
        <v>5</v>
      </c>
      <c r="R6486" t="s">
        <v>42677</v>
      </c>
      <c r="S6486" t="s">
        <v>42830</v>
      </c>
      <c r="T6486" t="s">
        <v>44579</v>
      </c>
      <c r="U6486" t="s">
        <v>50141</v>
      </c>
      <c r="W6486" t="s">
        <v>41106</v>
      </c>
      <c r="X6486" t="s">
        <v>42678</v>
      </c>
    </row>
    <row r="6487" spans="1:24">
      <c r="A6487">
        <f>HYPERLINK("https://www.philgeps.gov.ph/GEPSNONPILOT/Tender/SplashBidNoticeAbstractUI.aspx?menuIndex=3&amp;refID=7185831&amp;Result=3","7185831")</f>
        <v>0</v>
      </c>
      <c r="B6487" t="s">
        <v>2181</v>
      </c>
      <c r="C6487" t="s">
        <v>9727</v>
      </c>
      <c r="E6487" t="s">
        <v>22854</v>
      </c>
      <c r="F6487" t="s">
        <v>29372</v>
      </c>
      <c r="G6487" t="s">
        <v>29379</v>
      </c>
      <c r="H6487" t="s">
        <v>11048</v>
      </c>
      <c r="I6487" t="s">
        <v>29465</v>
      </c>
      <c r="J6487" t="s">
        <v>31263</v>
      </c>
      <c r="K6487" t="s">
        <v>38510</v>
      </c>
      <c r="M6487" t="s">
        <v>41095</v>
      </c>
      <c r="N6487" t="s">
        <v>42669</v>
      </c>
      <c r="O6487" t="s">
        <v>42670</v>
      </c>
      <c r="P6487">
        <v>0</v>
      </c>
      <c r="Q6487">
        <v>0</v>
      </c>
      <c r="R6487" t="s">
        <v>42677</v>
      </c>
      <c r="S6487" t="s">
        <v>42830</v>
      </c>
      <c r="T6487" t="s">
        <v>44493</v>
      </c>
      <c r="U6487" t="s">
        <v>50142</v>
      </c>
      <c r="V6487" t="s">
        <v>57077</v>
      </c>
      <c r="W6487" t="s">
        <v>41095</v>
      </c>
      <c r="X6487" t="s">
        <v>42678</v>
      </c>
    </row>
    <row r="6488" spans="1:24">
      <c r="A6488">
        <f>HYPERLINK("https://www.philgeps.gov.ph/GEPSNONPILOT/Tender/SplashBidNoticeAbstractUI.aspx?menuIndex=3&amp;refID=7185811&amp;Result=3","7185811")</f>
        <v>0</v>
      </c>
      <c r="B6488" t="s">
        <v>597</v>
      </c>
      <c r="C6488" t="s">
        <v>9728</v>
      </c>
      <c r="D6488" t="s">
        <v>17179</v>
      </c>
      <c r="E6488" t="s">
        <v>22855</v>
      </c>
      <c r="F6488" t="s">
        <v>29372</v>
      </c>
      <c r="G6488" t="s">
        <v>29379</v>
      </c>
      <c r="H6488" t="s">
        <v>11048</v>
      </c>
      <c r="I6488" t="s">
        <v>4709</v>
      </c>
      <c r="J6488" t="s">
        <v>33701</v>
      </c>
      <c r="K6488" t="s">
        <v>38490</v>
      </c>
      <c r="M6488" t="s">
        <v>39368</v>
      </c>
      <c r="N6488" t="s">
        <v>42669</v>
      </c>
      <c r="O6488" t="s">
        <v>42670</v>
      </c>
      <c r="P6488">
        <v>0</v>
      </c>
      <c r="Q6488">
        <v>0</v>
      </c>
      <c r="R6488" t="s">
        <v>42677</v>
      </c>
      <c r="S6488" t="s">
        <v>42830</v>
      </c>
      <c r="T6488" t="s">
        <v>44565</v>
      </c>
      <c r="U6488" t="s">
        <v>50143</v>
      </c>
      <c r="W6488" t="s">
        <v>39368</v>
      </c>
      <c r="X6488" t="s">
        <v>42678</v>
      </c>
    </row>
    <row r="6489" spans="1:24">
      <c r="A6489">
        <f>HYPERLINK("https://www.philgeps.gov.ph/GEPSNONPILOT/Tender/SplashBidNoticeAbstractUI.aspx?menuIndex=3&amp;refID=7185890&amp;Result=3","7185890")</f>
        <v>0</v>
      </c>
      <c r="B6489" t="s">
        <v>1921</v>
      </c>
      <c r="C6489" t="s">
        <v>9729</v>
      </c>
      <c r="D6489" t="s">
        <v>17141</v>
      </c>
      <c r="E6489" t="s">
        <v>22856</v>
      </c>
      <c r="F6489" t="s">
        <v>29372</v>
      </c>
      <c r="G6489" t="s">
        <v>29380</v>
      </c>
      <c r="H6489" t="s">
        <v>11048</v>
      </c>
      <c r="I6489" t="s">
        <v>9469</v>
      </c>
      <c r="J6489" t="s">
        <v>33702</v>
      </c>
      <c r="K6489" t="s">
        <v>38522</v>
      </c>
      <c r="M6489" t="s">
        <v>40797</v>
      </c>
      <c r="N6489" t="s">
        <v>42669</v>
      </c>
      <c r="O6489" t="s">
        <v>42670</v>
      </c>
      <c r="P6489">
        <v>0</v>
      </c>
      <c r="Q6489">
        <v>11</v>
      </c>
      <c r="R6489" t="s">
        <v>42677</v>
      </c>
      <c r="S6489" t="s">
        <v>42830</v>
      </c>
      <c r="T6489" t="s">
        <v>44723</v>
      </c>
      <c r="U6489" t="s">
        <v>50144</v>
      </c>
      <c r="V6489" t="s">
        <v>57084</v>
      </c>
      <c r="W6489" t="s">
        <v>40797</v>
      </c>
      <c r="X6489" t="s">
        <v>42678</v>
      </c>
    </row>
    <row r="6490" spans="1:24">
      <c r="A6490">
        <f>HYPERLINK("https://www.philgeps.gov.ph/GEPSNONPILOT/Tender/SplashBidNoticeAbstractUI.aspx?menuIndex=3&amp;refID=7185829&amp;Result=3","7185829")</f>
        <v>0</v>
      </c>
      <c r="B6490" t="s">
        <v>1241</v>
      </c>
      <c r="C6490" t="s">
        <v>9730</v>
      </c>
      <c r="D6490" t="s">
        <v>17144</v>
      </c>
      <c r="E6490" t="s">
        <v>17810</v>
      </c>
      <c r="F6490" t="s">
        <v>29372</v>
      </c>
      <c r="G6490" t="s">
        <v>29380</v>
      </c>
      <c r="H6490" t="s">
        <v>11048</v>
      </c>
      <c r="I6490" t="s">
        <v>3952</v>
      </c>
      <c r="J6490" t="s">
        <v>33703</v>
      </c>
      <c r="K6490" t="s">
        <v>38488</v>
      </c>
      <c r="M6490" t="s">
        <v>40063</v>
      </c>
      <c r="N6490" t="s">
        <v>42669</v>
      </c>
      <c r="O6490" t="s">
        <v>42670</v>
      </c>
      <c r="P6490">
        <v>0</v>
      </c>
      <c r="Q6490">
        <v>1</v>
      </c>
      <c r="R6490" t="s">
        <v>42677</v>
      </c>
      <c r="S6490" t="s">
        <v>42830</v>
      </c>
      <c r="T6490" t="s">
        <v>44474</v>
      </c>
      <c r="U6490" t="s">
        <v>50145</v>
      </c>
      <c r="V6490" t="s">
        <v>57085</v>
      </c>
      <c r="W6490" t="s">
        <v>40063</v>
      </c>
      <c r="X6490" t="s">
        <v>42678</v>
      </c>
    </row>
    <row r="6491" spans="1:24">
      <c r="A6491">
        <f>HYPERLINK("https://www.philgeps.gov.ph/GEPSNONPILOT/Tender/SplashBidNoticeAbstractUI.aspx?menuIndex=3&amp;refID=7185893&amp;Result=3","7185893")</f>
        <v>0</v>
      </c>
      <c r="B6491" t="s">
        <v>1875</v>
      </c>
      <c r="C6491" t="s">
        <v>9731</v>
      </c>
      <c r="D6491" t="s">
        <v>17179</v>
      </c>
      <c r="E6491" t="s">
        <v>22857</v>
      </c>
      <c r="F6491" t="s">
        <v>29372</v>
      </c>
      <c r="G6491" t="s">
        <v>29379</v>
      </c>
      <c r="H6491" t="s">
        <v>11048</v>
      </c>
      <c r="I6491" t="s">
        <v>4486</v>
      </c>
      <c r="J6491" t="s">
        <v>33704</v>
      </c>
      <c r="K6491" t="s">
        <v>38530</v>
      </c>
      <c r="M6491" t="s">
        <v>40748</v>
      </c>
      <c r="N6491" t="s">
        <v>42669</v>
      </c>
      <c r="O6491" t="s">
        <v>42670</v>
      </c>
      <c r="P6491">
        <v>0</v>
      </c>
      <c r="Q6491">
        <v>1</v>
      </c>
      <c r="R6491" t="s">
        <v>42677</v>
      </c>
      <c r="S6491" t="s">
        <v>42830</v>
      </c>
      <c r="T6491" t="s">
        <v>44427</v>
      </c>
      <c r="U6491" t="s">
        <v>50146</v>
      </c>
      <c r="W6491" t="s">
        <v>40748</v>
      </c>
      <c r="X6491" t="s">
        <v>42678</v>
      </c>
    </row>
    <row r="6492" spans="1:24">
      <c r="A6492">
        <f>HYPERLINK("https://www.philgeps.gov.ph/GEPSNONPILOT/Tender/SplashBidNoticeAbstractUI.aspx?menuIndex=3&amp;refID=7185830&amp;Result=3","7185830")</f>
        <v>0</v>
      </c>
      <c r="B6492" t="s">
        <v>2193</v>
      </c>
      <c r="C6492" t="s">
        <v>9732</v>
      </c>
      <c r="D6492" t="s">
        <v>17151</v>
      </c>
      <c r="E6492" t="s">
        <v>22858</v>
      </c>
      <c r="F6492" t="s">
        <v>29372</v>
      </c>
      <c r="G6492" t="s">
        <v>29380</v>
      </c>
      <c r="H6492" t="s">
        <v>11048</v>
      </c>
      <c r="I6492" t="s">
        <v>29423</v>
      </c>
      <c r="J6492" t="s">
        <v>33705</v>
      </c>
      <c r="K6492" t="s">
        <v>38485</v>
      </c>
      <c r="M6492" t="s">
        <v>41107</v>
      </c>
      <c r="N6492" t="s">
        <v>42669</v>
      </c>
      <c r="O6492" t="s">
        <v>42670</v>
      </c>
      <c r="P6492">
        <v>0</v>
      </c>
      <c r="Q6492">
        <v>5</v>
      </c>
      <c r="R6492" t="s">
        <v>42677</v>
      </c>
      <c r="S6492" t="s">
        <v>42830</v>
      </c>
      <c r="T6492" t="s">
        <v>44443</v>
      </c>
      <c r="U6492" t="s">
        <v>50147</v>
      </c>
      <c r="W6492" t="s">
        <v>41107</v>
      </c>
      <c r="X6492" t="s">
        <v>42678</v>
      </c>
    </row>
    <row r="6493" spans="1:24">
      <c r="A6493">
        <f>HYPERLINK("https://www.philgeps.gov.ph/GEPSNONPILOT/Tender/SplashBidNoticeAbstractUI.aspx?menuIndex=3&amp;refID=7185857&amp;Result=3","7185857")</f>
        <v>0</v>
      </c>
      <c r="B6493" t="s">
        <v>959</v>
      </c>
      <c r="C6493" t="s">
        <v>9733</v>
      </c>
      <c r="D6493" t="s">
        <v>17145</v>
      </c>
      <c r="E6493" t="s">
        <v>22859</v>
      </c>
      <c r="F6493" t="s">
        <v>29372</v>
      </c>
      <c r="G6493" t="s">
        <v>29379</v>
      </c>
      <c r="H6493" t="s">
        <v>29391</v>
      </c>
      <c r="I6493" t="s">
        <v>29391</v>
      </c>
      <c r="J6493" t="s">
        <v>33706</v>
      </c>
      <c r="K6493" t="s">
        <v>38491</v>
      </c>
      <c r="M6493" t="s">
        <v>40292</v>
      </c>
      <c r="N6493" t="s">
        <v>42669</v>
      </c>
      <c r="O6493" t="s">
        <v>42670</v>
      </c>
      <c r="P6493">
        <v>0</v>
      </c>
      <c r="Q6493">
        <v>0</v>
      </c>
      <c r="R6493" t="s">
        <v>42677</v>
      </c>
      <c r="S6493" t="s">
        <v>42830</v>
      </c>
      <c r="T6493" t="s">
        <v>44432</v>
      </c>
      <c r="U6493" t="s">
        <v>50148</v>
      </c>
      <c r="W6493" t="s">
        <v>40292</v>
      </c>
      <c r="X6493" t="s">
        <v>42678</v>
      </c>
    </row>
    <row r="6494" spans="1:24">
      <c r="A6494">
        <f>HYPERLINK("https://www.philgeps.gov.ph/GEPSNONPILOT/Tender/SplashBidNoticeAbstractUI.aspx?menuIndex=3&amp;refID=7185887&amp;Result=3","7185887")</f>
        <v>0</v>
      </c>
      <c r="B6494" t="s">
        <v>662</v>
      </c>
      <c r="C6494" t="s">
        <v>9734</v>
      </c>
      <c r="D6494" t="s">
        <v>17211</v>
      </c>
      <c r="E6494" t="s">
        <v>22860</v>
      </c>
      <c r="F6494" t="s">
        <v>29372</v>
      </c>
      <c r="G6494" t="s">
        <v>29380</v>
      </c>
      <c r="H6494" t="s">
        <v>29389</v>
      </c>
      <c r="I6494" t="s">
        <v>10408</v>
      </c>
      <c r="J6494" t="s">
        <v>33707</v>
      </c>
      <c r="K6494" t="s">
        <v>38548</v>
      </c>
      <c r="M6494" t="s">
        <v>39768</v>
      </c>
      <c r="N6494" t="s">
        <v>42669</v>
      </c>
      <c r="O6494" t="s">
        <v>42670</v>
      </c>
      <c r="P6494">
        <v>0</v>
      </c>
      <c r="Q6494">
        <v>1</v>
      </c>
      <c r="R6494" t="s">
        <v>42677</v>
      </c>
      <c r="S6494" t="s">
        <v>42830</v>
      </c>
      <c r="T6494" t="s">
        <v>44450</v>
      </c>
      <c r="U6494" t="s">
        <v>50149</v>
      </c>
      <c r="W6494" t="s">
        <v>58029</v>
      </c>
      <c r="X6494" t="s">
        <v>42678</v>
      </c>
    </row>
    <row r="6495" spans="1:24">
      <c r="A6495">
        <f>HYPERLINK("https://www.philgeps.gov.ph/GEPSNONPILOT/Tender/SplashBidNoticeAbstractUI.aspx?menuIndex=3&amp;refID=7185752&amp;Result=3","7185752")</f>
        <v>0</v>
      </c>
      <c r="B6495" t="s">
        <v>2126</v>
      </c>
      <c r="C6495" t="s">
        <v>9735</v>
      </c>
      <c r="D6495" t="s">
        <v>17150</v>
      </c>
      <c r="E6495" t="s">
        <v>22861</v>
      </c>
      <c r="F6495" t="s">
        <v>29372</v>
      </c>
      <c r="G6495" t="s">
        <v>29380</v>
      </c>
      <c r="H6495" t="s">
        <v>29389</v>
      </c>
      <c r="I6495" t="s">
        <v>10408</v>
      </c>
      <c r="J6495" t="s">
        <v>33708</v>
      </c>
      <c r="K6495" t="s">
        <v>38496</v>
      </c>
      <c r="M6495" t="s">
        <v>41031</v>
      </c>
      <c r="N6495" t="s">
        <v>42669</v>
      </c>
      <c r="O6495" t="s">
        <v>42670</v>
      </c>
      <c r="P6495">
        <v>0</v>
      </c>
      <c r="Q6495">
        <v>2</v>
      </c>
      <c r="R6495" t="s">
        <v>42677</v>
      </c>
      <c r="S6495" t="s">
        <v>42830</v>
      </c>
      <c r="T6495" t="s">
        <v>44503</v>
      </c>
      <c r="U6495" t="s">
        <v>50150</v>
      </c>
      <c r="W6495" t="s">
        <v>41031</v>
      </c>
      <c r="X6495" t="s">
        <v>42678</v>
      </c>
    </row>
    <row r="6496" spans="1:24">
      <c r="A6496">
        <f>HYPERLINK("https://www.philgeps.gov.ph/GEPSNONPILOT/Tender/SplashBidNoticeAbstractUI.aspx?menuIndex=3&amp;refID=7185886&amp;Result=3","7185886")</f>
        <v>0</v>
      </c>
      <c r="B6496" t="s">
        <v>2194</v>
      </c>
      <c r="C6496" t="s">
        <v>9736</v>
      </c>
      <c r="D6496" t="s">
        <v>17168</v>
      </c>
      <c r="E6496" t="s">
        <v>22862</v>
      </c>
      <c r="F6496" t="s">
        <v>29372</v>
      </c>
      <c r="G6496" t="s">
        <v>29380</v>
      </c>
      <c r="H6496" t="s">
        <v>11048</v>
      </c>
      <c r="I6496" t="s">
        <v>4709</v>
      </c>
      <c r="J6496" t="s">
        <v>33709</v>
      </c>
      <c r="K6496" t="s">
        <v>38485</v>
      </c>
      <c r="M6496" t="s">
        <v>41108</v>
      </c>
      <c r="N6496" t="s">
        <v>42669</v>
      </c>
      <c r="O6496" t="s">
        <v>42670</v>
      </c>
      <c r="P6496">
        <v>0</v>
      </c>
      <c r="Q6496">
        <v>0</v>
      </c>
      <c r="R6496" t="s">
        <v>42677</v>
      </c>
      <c r="S6496" t="s">
        <v>42830</v>
      </c>
      <c r="T6496" t="s">
        <v>44717</v>
      </c>
      <c r="U6496" t="s">
        <v>50151</v>
      </c>
      <c r="V6496" t="s">
        <v>57086</v>
      </c>
      <c r="W6496" t="s">
        <v>41108</v>
      </c>
      <c r="X6496" t="s">
        <v>42678</v>
      </c>
    </row>
    <row r="6497" spans="1:24">
      <c r="A6497">
        <f>HYPERLINK("https://www.philgeps.gov.ph/GEPSNONPILOT/Tender/SplashBidNoticeAbstractUI.aspx?menuIndex=3&amp;refID=7185891&amp;Result=3","7185891")</f>
        <v>0</v>
      </c>
      <c r="B6497" t="s">
        <v>547</v>
      </c>
      <c r="C6497" t="s">
        <v>9737</v>
      </c>
      <c r="E6497" t="s">
        <v>22863</v>
      </c>
      <c r="F6497" t="s">
        <v>29372</v>
      </c>
      <c r="G6497" t="s">
        <v>29379</v>
      </c>
      <c r="H6497" t="s">
        <v>11048</v>
      </c>
      <c r="I6497" t="s">
        <v>29394</v>
      </c>
      <c r="J6497" t="s">
        <v>30100</v>
      </c>
      <c r="K6497" t="s">
        <v>38485</v>
      </c>
      <c r="M6497" t="s">
        <v>39363</v>
      </c>
      <c r="N6497" t="s">
        <v>42669</v>
      </c>
      <c r="O6497" t="s">
        <v>42670</v>
      </c>
      <c r="P6497">
        <v>0</v>
      </c>
      <c r="Q6497">
        <v>0</v>
      </c>
      <c r="R6497" t="s">
        <v>42677</v>
      </c>
      <c r="S6497" t="s">
        <v>42830</v>
      </c>
      <c r="T6497" t="s">
        <v>44456</v>
      </c>
      <c r="U6497" t="s">
        <v>50152</v>
      </c>
      <c r="W6497" t="s">
        <v>58018</v>
      </c>
      <c r="X6497" t="s">
        <v>42678</v>
      </c>
    </row>
    <row r="6498" spans="1:24">
      <c r="A6498">
        <f>HYPERLINK("https://www.philgeps.gov.ph/GEPSNONPILOT/Tender/SplashBidNoticeAbstractUI.aspx?menuIndex=3&amp;refID=7185722&amp;Result=3","7185722")</f>
        <v>0</v>
      </c>
      <c r="B6498" t="s">
        <v>2195</v>
      </c>
      <c r="C6498" t="s">
        <v>9738</v>
      </c>
      <c r="D6498" t="s">
        <v>17160</v>
      </c>
      <c r="E6498" t="s">
        <v>22864</v>
      </c>
      <c r="F6498" t="s">
        <v>29375</v>
      </c>
      <c r="G6498" t="s">
        <v>29380</v>
      </c>
      <c r="H6498" t="s">
        <v>29389</v>
      </c>
      <c r="I6498" t="s">
        <v>10408</v>
      </c>
      <c r="J6498" t="s">
        <v>29526</v>
      </c>
      <c r="K6498" t="s">
        <v>38485</v>
      </c>
      <c r="M6498" t="s">
        <v>41109</v>
      </c>
      <c r="N6498" t="s">
        <v>42669</v>
      </c>
      <c r="O6498" t="s">
        <v>42670</v>
      </c>
      <c r="P6498">
        <v>0</v>
      </c>
      <c r="Q6498">
        <v>1</v>
      </c>
      <c r="R6498" t="s">
        <v>42677</v>
      </c>
      <c r="S6498" t="s">
        <v>42830</v>
      </c>
      <c r="T6498" t="s">
        <v>44662</v>
      </c>
      <c r="U6498" t="s">
        <v>50153</v>
      </c>
      <c r="W6498" t="s">
        <v>41109</v>
      </c>
      <c r="X6498" t="s">
        <v>42678</v>
      </c>
    </row>
    <row r="6499" spans="1:24">
      <c r="A6499">
        <f>HYPERLINK("https://www.philgeps.gov.ph/GEPSNONPILOT/Tender/SplashBidNoticeAbstractUI.aspx?menuIndex=3&amp;refID=7185888&amp;Result=3","7185888")</f>
        <v>0</v>
      </c>
      <c r="B6499" t="s">
        <v>2175</v>
      </c>
      <c r="C6499" t="s">
        <v>9739</v>
      </c>
      <c r="D6499" t="s">
        <v>17181</v>
      </c>
      <c r="E6499" t="s">
        <v>22805</v>
      </c>
      <c r="F6499" t="s">
        <v>29372</v>
      </c>
      <c r="G6499" t="s">
        <v>29380</v>
      </c>
      <c r="H6499" t="s">
        <v>29389</v>
      </c>
      <c r="I6499" t="s">
        <v>10408</v>
      </c>
      <c r="J6499" t="s">
        <v>29590</v>
      </c>
      <c r="K6499" t="s">
        <v>38487</v>
      </c>
      <c r="M6499" t="s">
        <v>41087</v>
      </c>
      <c r="N6499" t="s">
        <v>42669</v>
      </c>
      <c r="O6499" t="s">
        <v>42670</v>
      </c>
      <c r="P6499">
        <v>0</v>
      </c>
      <c r="Q6499">
        <v>0</v>
      </c>
      <c r="R6499" t="s">
        <v>42677</v>
      </c>
      <c r="S6499" t="s">
        <v>42830</v>
      </c>
      <c r="T6499" t="s">
        <v>44375</v>
      </c>
      <c r="U6499" t="s">
        <v>50154</v>
      </c>
      <c r="W6499" t="s">
        <v>41087</v>
      </c>
      <c r="X6499" t="s">
        <v>42678</v>
      </c>
    </row>
    <row r="6500" spans="1:24">
      <c r="A6500">
        <f>HYPERLINK("https://www.philgeps.gov.ph/GEPSNONPILOT/Tender/SplashBidNoticeAbstractUI.aspx?menuIndex=3&amp;refID=7185875&amp;Result=3","7185875")</f>
        <v>0</v>
      </c>
      <c r="B6500" t="s">
        <v>1368</v>
      </c>
      <c r="C6500" t="s">
        <v>9740</v>
      </c>
      <c r="D6500" t="s">
        <v>17177</v>
      </c>
      <c r="E6500" t="s">
        <v>22865</v>
      </c>
      <c r="F6500" t="s">
        <v>29372</v>
      </c>
      <c r="G6500" t="s">
        <v>29380</v>
      </c>
      <c r="H6500" t="s">
        <v>11048</v>
      </c>
      <c r="I6500" t="s">
        <v>9469</v>
      </c>
      <c r="J6500" t="s">
        <v>33710</v>
      </c>
      <c r="K6500" t="s">
        <v>38485</v>
      </c>
      <c r="M6500" t="s">
        <v>40205</v>
      </c>
      <c r="N6500" t="s">
        <v>42669</v>
      </c>
      <c r="O6500" t="s">
        <v>42670</v>
      </c>
      <c r="P6500">
        <v>0</v>
      </c>
      <c r="Q6500">
        <v>4</v>
      </c>
      <c r="R6500" t="s">
        <v>42677</v>
      </c>
      <c r="S6500" t="s">
        <v>42830</v>
      </c>
      <c r="T6500" t="s">
        <v>44664</v>
      </c>
      <c r="U6500" t="s">
        <v>50155</v>
      </c>
      <c r="W6500" t="s">
        <v>40205</v>
      </c>
      <c r="X6500" t="s">
        <v>42678</v>
      </c>
    </row>
    <row r="6501" spans="1:24">
      <c r="A6501">
        <f>HYPERLINK("https://www.philgeps.gov.ph/GEPSNONPILOT/Tender/SplashBidNoticeAbstractUI.aspx?menuIndex=3&amp;refID=7185855&amp;Result=3","7185855")</f>
        <v>0</v>
      </c>
      <c r="B6501" t="s">
        <v>857</v>
      </c>
      <c r="C6501" t="s">
        <v>9741</v>
      </c>
      <c r="D6501" t="s">
        <v>17148</v>
      </c>
      <c r="E6501" t="s">
        <v>22866</v>
      </c>
      <c r="F6501" t="s">
        <v>29372</v>
      </c>
      <c r="G6501" t="s">
        <v>29380</v>
      </c>
      <c r="H6501" t="s">
        <v>11048</v>
      </c>
      <c r="I6501" t="s">
        <v>29395</v>
      </c>
      <c r="J6501" t="s">
        <v>33711</v>
      </c>
      <c r="K6501" t="s">
        <v>38491</v>
      </c>
      <c r="M6501" t="s">
        <v>39647</v>
      </c>
      <c r="N6501" t="s">
        <v>42669</v>
      </c>
      <c r="O6501" t="s">
        <v>42670</v>
      </c>
      <c r="P6501">
        <v>0</v>
      </c>
      <c r="Q6501">
        <v>1</v>
      </c>
      <c r="R6501" t="s">
        <v>42677</v>
      </c>
      <c r="S6501" t="s">
        <v>42830</v>
      </c>
      <c r="T6501" t="s">
        <v>44427</v>
      </c>
      <c r="U6501" t="s">
        <v>50156</v>
      </c>
      <c r="W6501" t="s">
        <v>39647</v>
      </c>
      <c r="X6501" t="s">
        <v>42678</v>
      </c>
    </row>
    <row r="6502" spans="1:24">
      <c r="A6502">
        <f>HYPERLINK("https://www.philgeps.gov.ph/GEPSNONPILOT/Tender/SplashBidNoticeAbstractUI.aspx?menuIndex=3&amp;refID=7185880&amp;Result=3","7185880")</f>
        <v>0</v>
      </c>
      <c r="B6502" t="s">
        <v>2129</v>
      </c>
      <c r="C6502" t="s">
        <v>9742</v>
      </c>
      <c r="D6502" t="s">
        <v>17161</v>
      </c>
      <c r="E6502" t="s">
        <v>22867</v>
      </c>
      <c r="F6502" t="s">
        <v>29372</v>
      </c>
      <c r="G6502" t="s">
        <v>29380</v>
      </c>
      <c r="H6502" t="s">
        <v>29389</v>
      </c>
      <c r="I6502" t="s">
        <v>10408</v>
      </c>
      <c r="J6502" t="s">
        <v>31485</v>
      </c>
      <c r="K6502" t="s">
        <v>38546</v>
      </c>
      <c r="M6502" t="s">
        <v>41034</v>
      </c>
      <c r="N6502" t="s">
        <v>42669</v>
      </c>
      <c r="O6502" t="s">
        <v>42670</v>
      </c>
      <c r="P6502">
        <v>0</v>
      </c>
      <c r="Q6502">
        <v>0</v>
      </c>
      <c r="R6502" t="s">
        <v>42677</v>
      </c>
      <c r="S6502" t="s">
        <v>42830</v>
      </c>
      <c r="T6502" t="s">
        <v>44446</v>
      </c>
      <c r="U6502" t="s">
        <v>50157</v>
      </c>
      <c r="W6502" t="s">
        <v>41034</v>
      </c>
      <c r="X6502" t="s">
        <v>42678</v>
      </c>
    </row>
    <row r="6503" spans="1:24">
      <c r="A6503">
        <f>HYPERLINK("https://www.philgeps.gov.ph/GEPSNONPILOT/Tender/SplashBidNoticeAbstractUI.aspx?menuIndex=3&amp;refID=7185849&amp;Result=3","7185849")</f>
        <v>0</v>
      </c>
      <c r="B6503" t="s">
        <v>1368</v>
      </c>
      <c r="C6503" t="s">
        <v>9743</v>
      </c>
      <c r="D6503" t="s">
        <v>17177</v>
      </c>
      <c r="E6503" t="s">
        <v>22868</v>
      </c>
      <c r="F6503" t="s">
        <v>29372</v>
      </c>
      <c r="G6503" t="s">
        <v>29380</v>
      </c>
      <c r="H6503" t="s">
        <v>11048</v>
      </c>
      <c r="I6503" t="s">
        <v>29502</v>
      </c>
      <c r="J6503" t="s">
        <v>29801</v>
      </c>
      <c r="K6503" t="s">
        <v>38495</v>
      </c>
      <c r="M6503" t="s">
        <v>40205</v>
      </c>
      <c r="N6503" t="s">
        <v>42669</v>
      </c>
      <c r="O6503" t="s">
        <v>42670</v>
      </c>
      <c r="P6503">
        <v>0</v>
      </c>
      <c r="Q6503">
        <v>1</v>
      </c>
      <c r="R6503" t="s">
        <v>42677</v>
      </c>
      <c r="S6503" t="s">
        <v>42830</v>
      </c>
      <c r="T6503" t="s">
        <v>44664</v>
      </c>
      <c r="U6503" t="s">
        <v>50155</v>
      </c>
      <c r="W6503" t="s">
        <v>40205</v>
      </c>
      <c r="X6503" t="s">
        <v>42678</v>
      </c>
    </row>
    <row r="6504" spans="1:24">
      <c r="A6504">
        <f>HYPERLINK("https://www.philgeps.gov.ph/GEPSNONPILOT/Tender/SplashBidNoticeAbstractUI.aspx?menuIndex=3&amp;refID=7185848&amp;Result=3","7185848")</f>
        <v>0</v>
      </c>
      <c r="B6504" t="s">
        <v>1875</v>
      </c>
      <c r="C6504" t="s">
        <v>9744</v>
      </c>
      <c r="D6504" t="s">
        <v>17179</v>
      </c>
      <c r="E6504" t="s">
        <v>22869</v>
      </c>
      <c r="F6504" t="s">
        <v>29372</v>
      </c>
      <c r="G6504" t="s">
        <v>29379</v>
      </c>
      <c r="H6504" t="s">
        <v>11048</v>
      </c>
      <c r="I6504" t="s">
        <v>8794</v>
      </c>
      <c r="J6504" t="s">
        <v>33712</v>
      </c>
      <c r="K6504" t="s">
        <v>38530</v>
      </c>
      <c r="M6504" t="s">
        <v>40748</v>
      </c>
      <c r="N6504" t="s">
        <v>42669</v>
      </c>
      <c r="O6504" t="s">
        <v>42670</v>
      </c>
      <c r="P6504">
        <v>0</v>
      </c>
      <c r="Q6504">
        <v>0</v>
      </c>
      <c r="R6504" t="s">
        <v>42677</v>
      </c>
      <c r="S6504" t="s">
        <v>42830</v>
      </c>
      <c r="T6504" t="s">
        <v>44427</v>
      </c>
      <c r="U6504" t="s">
        <v>50158</v>
      </c>
      <c r="W6504" t="s">
        <v>40748</v>
      </c>
      <c r="X6504" t="s">
        <v>42678</v>
      </c>
    </row>
    <row r="6505" spans="1:24">
      <c r="A6505">
        <f>HYPERLINK("https://www.philgeps.gov.ph/GEPSNONPILOT/Tender/SplashBidNoticeAbstractUI.aspx?menuIndex=3&amp;refID=7185847&amp;Result=3","7185847")</f>
        <v>0</v>
      </c>
      <c r="B6505" t="s">
        <v>2196</v>
      </c>
      <c r="C6505" t="s">
        <v>9745</v>
      </c>
      <c r="D6505" t="s">
        <v>17197</v>
      </c>
      <c r="E6505" t="s">
        <v>21447</v>
      </c>
      <c r="F6505" t="s">
        <v>29372</v>
      </c>
      <c r="G6505" t="s">
        <v>29379</v>
      </c>
      <c r="H6505" t="s">
        <v>29389</v>
      </c>
      <c r="I6505" t="s">
        <v>10408</v>
      </c>
      <c r="J6505" t="s">
        <v>33713</v>
      </c>
      <c r="K6505" t="s">
        <v>38491</v>
      </c>
      <c r="M6505" t="s">
        <v>41110</v>
      </c>
      <c r="N6505" t="s">
        <v>42669</v>
      </c>
      <c r="O6505" t="s">
        <v>42670</v>
      </c>
      <c r="P6505">
        <v>0</v>
      </c>
      <c r="Q6505">
        <v>0</v>
      </c>
      <c r="R6505" t="s">
        <v>42677</v>
      </c>
      <c r="S6505" t="s">
        <v>42830</v>
      </c>
      <c r="T6505" t="s">
        <v>44417</v>
      </c>
      <c r="U6505" t="s">
        <v>50159</v>
      </c>
      <c r="V6505" t="s">
        <v>57087</v>
      </c>
      <c r="W6505" t="s">
        <v>41110</v>
      </c>
      <c r="X6505" t="s">
        <v>42678</v>
      </c>
    </row>
    <row r="6506" spans="1:24">
      <c r="A6506">
        <f>HYPERLINK("https://www.philgeps.gov.ph/GEPSNONPILOT/Tender/SplashBidNoticeAbstractUI.aspx?menuIndex=3&amp;refID=7185845&amp;Result=3","7185845")</f>
        <v>0</v>
      </c>
      <c r="B6506" t="s">
        <v>597</v>
      </c>
      <c r="C6506" t="s">
        <v>9746</v>
      </c>
      <c r="D6506" t="s">
        <v>17179</v>
      </c>
      <c r="E6506" t="s">
        <v>22870</v>
      </c>
      <c r="F6506" t="s">
        <v>29372</v>
      </c>
      <c r="G6506" t="s">
        <v>29382</v>
      </c>
      <c r="H6506" t="s">
        <v>11048</v>
      </c>
      <c r="I6506" t="s">
        <v>4487</v>
      </c>
      <c r="J6506" t="s">
        <v>33714</v>
      </c>
      <c r="K6506" t="s">
        <v>38490</v>
      </c>
      <c r="M6506" t="s">
        <v>39368</v>
      </c>
      <c r="N6506" t="s">
        <v>42669</v>
      </c>
      <c r="O6506" t="s">
        <v>42670</v>
      </c>
      <c r="P6506">
        <v>0</v>
      </c>
      <c r="Q6506">
        <v>3</v>
      </c>
      <c r="R6506" t="s">
        <v>42677</v>
      </c>
      <c r="S6506" t="s">
        <v>42830</v>
      </c>
      <c r="T6506" t="s">
        <v>44565</v>
      </c>
      <c r="U6506" t="s">
        <v>50160</v>
      </c>
      <c r="W6506" t="s">
        <v>39368</v>
      </c>
      <c r="X6506" t="s">
        <v>42678</v>
      </c>
    </row>
    <row r="6507" spans="1:24">
      <c r="A6507">
        <f>HYPERLINK("https://www.philgeps.gov.ph/GEPSNONPILOT/Tender/SplashBidNoticeAbstractUI.aspx?menuIndex=3&amp;refID=7185874&amp;Result=3","7185874")</f>
        <v>0</v>
      </c>
      <c r="B6507" t="s">
        <v>2178</v>
      </c>
      <c r="C6507" t="s">
        <v>9747</v>
      </c>
      <c r="D6507" t="s">
        <v>17183</v>
      </c>
      <c r="E6507" t="s">
        <v>22871</v>
      </c>
      <c r="F6507" t="s">
        <v>29372</v>
      </c>
      <c r="G6507" t="s">
        <v>29380</v>
      </c>
      <c r="H6507" t="s">
        <v>11048</v>
      </c>
      <c r="I6507" t="s">
        <v>14920</v>
      </c>
      <c r="J6507" t="s">
        <v>30100</v>
      </c>
      <c r="K6507" t="s">
        <v>38488</v>
      </c>
      <c r="M6507" t="s">
        <v>41091</v>
      </c>
      <c r="N6507" t="s">
        <v>42669</v>
      </c>
      <c r="O6507" t="s">
        <v>42670</v>
      </c>
      <c r="P6507">
        <v>0</v>
      </c>
      <c r="Q6507">
        <v>3</v>
      </c>
      <c r="R6507" t="s">
        <v>42677</v>
      </c>
      <c r="S6507" t="s">
        <v>42830</v>
      </c>
      <c r="T6507" t="s">
        <v>44724</v>
      </c>
      <c r="U6507" t="s">
        <v>50161</v>
      </c>
      <c r="V6507" t="s">
        <v>57073</v>
      </c>
      <c r="W6507" t="s">
        <v>41091</v>
      </c>
      <c r="X6507" t="s">
        <v>42678</v>
      </c>
    </row>
    <row r="6508" spans="1:24">
      <c r="A6508">
        <f>HYPERLINK("https://www.philgeps.gov.ph/GEPSNONPILOT/Tender/SplashBidNoticeAbstractUI.aspx?menuIndex=3&amp;refID=7185815&amp;Result=3","7185815")</f>
        <v>0</v>
      </c>
      <c r="B6508" t="s">
        <v>1814</v>
      </c>
      <c r="C6508" t="s">
        <v>9748</v>
      </c>
      <c r="D6508" t="s">
        <v>17141</v>
      </c>
      <c r="E6508" t="s">
        <v>17269</v>
      </c>
      <c r="F6508" t="s">
        <v>29372</v>
      </c>
      <c r="G6508" t="s">
        <v>29380</v>
      </c>
      <c r="H6508" t="s">
        <v>11048</v>
      </c>
      <c r="I6508" t="s">
        <v>29433</v>
      </c>
      <c r="J6508" t="s">
        <v>33715</v>
      </c>
      <c r="K6508" t="s">
        <v>38491</v>
      </c>
      <c r="M6508" t="s">
        <v>41111</v>
      </c>
      <c r="N6508" t="s">
        <v>42669</v>
      </c>
      <c r="O6508" t="s">
        <v>42670</v>
      </c>
      <c r="Q6508">
        <v>30</v>
      </c>
      <c r="R6508" t="s">
        <v>42677</v>
      </c>
      <c r="S6508" t="s">
        <v>42851</v>
      </c>
      <c r="T6508" t="s">
        <v>44424</v>
      </c>
      <c r="U6508" t="s">
        <v>50162</v>
      </c>
      <c r="W6508" t="s">
        <v>41111</v>
      </c>
      <c r="X6508" t="s">
        <v>42678</v>
      </c>
    </row>
    <row r="6509" spans="1:24">
      <c r="A6509">
        <f>HYPERLINK("https://www.philgeps.gov.ph/GEPSNONPILOT/Tender/SplashBidNoticeAbstractUI.aspx?menuIndex=3&amp;refID=7185854&amp;Result=3","7185854")</f>
        <v>0</v>
      </c>
      <c r="B6509" t="s">
        <v>2130</v>
      </c>
      <c r="C6509" t="s">
        <v>9749</v>
      </c>
      <c r="D6509" t="s">
        <v>17160</v>
      </c>
      <c r="E6509" t="s">
        <v>22872</v>
      </c>
      <c r="F6509" t="s">
        <v>29372</v>
      </c>
      <c r="G6509" t="s">
        <v>29379</v>
      </c>
      <c r="H6509" t="s">
        <v>11048</v>
      </c>
      <c r="I6509" t="s">
        <v>29426</v>
      </c>
      <c r="J6509" t="s">
        <v>33716</v>
      </c>
      <c r="K6509" t="s">
        <v>38485</v>
      </c>
      <c r="M6509" t="s">
        <v>41035</v>
      </c>
      <c r="N6509" t="s">
        <v>42669</v>
      </c>
      <c r="O6509" t="s">
        <v>42670</v>
      </c>
      <c r="P6509">
        <v>0</v>
      </c>
      <c r="Q6509">
        <v>1</v>
      </c>
      <c r="R6509" t="s">
        <v>42677</v>
      </c>
      <c r="S6509" t="s">
        <v>42830</v>
      </c>
      <c r="T6509" t="s">
        <v>44493</v>
      </c>
      <c r="U6509" t="s">
        <v>50163</v>
      </c>
      <c r="W6509" t="s">
        <v>41035</v>
      </c>
      <c r="X6509" t="s">
        <v>42678</v>
      </c>
    </row>
    <row r="6510" spans="1:24">
      <c r="A6510">
        <f>HYPERLINK("https://www.philgeps.gov.ph/GEPSNONPILOT/Tender/SplashBidNoticeAbstractUI.aspx?menuIndex=3&amp;refID=7185842&amp;Result=3","7185842")</f>
        <v>0</v>
      </c>
      <c r="B6510" t="s">
        <v>1959</v>
      </c>
      <c r="C6510" t="s">
        <v>9750</v>
      </c>
      <c r="D6510" t="s">
        <v>17174</v>
      </c>
      <c r="E6510" t="s">
        <v>22873</v>
      </c>
      <c r="F6510" t="s">
        <v>29372</v>
      </c>
      <c r="G6510" t="s">
        <v>29380</v>
      </c>
      <c r="H6510" t="s">
        <v>11048</v>
      </c>
      <c r="I6510" t="s">
        <v>29392</v>
      </c>
      <c r="J6510" t="s">
        <v>30100</v>
      </c>
      <c r="K6510" t="s">
        <v>38485</v>
      </c>
      <c r="M6510" t="s">
        <v>40843</v>
      </c>
      <c r="N6510" t="s">
        <v>42669</v>
      </c>
      <c r="O6510" t="s">
        <v>42670</v>
      </c>
      <c r="P6510">
        <v>0</v>
      </c>
      <c r="Q6510">
        <v>2</v>
      </c>
      <c r="R6510" t="s">
        <v>42677</v>
      </c>
      <c r="S6510" t="s">
        <v>42830</v>
      </c>
      <c r="T6510" t="s">
        <v>44368</v>
      </c>
      <c r="U6510" t="s">
        <v>50164</v>
      </c>
      <c r="W6510" t="s">
        <v>40843</v>
      </c>
      <c r="X6510" t="s">
        <v>42678</v>
      </c>
    </row>
    <row r="6511" spans="1:24">
      <c r="A6511">
        <f>HYPERLINK("https://www.philgeps.gov.ph/GEPSNONPILOT/Tender/SplashBidNoticeAbstractUI.aspx?menuIndex=3&amp;refID=7185945&amp;Result=3","7185945")</f>
        <v>0</v>
      </c>
      <c r="B6511" t="s">
        <v>2193</v>
      </c>
      <c r="C6511" t="s">
        <v>9751</v>
      </c>
      <c r="D6511" t="s">
        <v>17151</v>
      </c>
      <c r="E6511" t="s">
        <v>22874</v>
      </c>
      <c r="F6511" t="s">
        <v>29372</v>
      </c>
      <c r="G6511" t="s">
        <v>29380</v>
      </c>
      <c r="H6511" t="s">
        <v>11048</v>
      </c>
      <c r="I6511" t="s">
        <v>29446</v>
      </c>
      <c r="J6511" t="s">
        <v>29561</v>
      </c>
      <c r="K6511" t="s">
        <v>38485</v>
      </c>
      <c r="M6511" t="s">
        <v>41107</v>
      </c>
      <c r="N6511" t="s">
        <v>42669</v>
      </c>
      <c r="O6511" t="s">
        <v>42670</v>
      </c>
      <c r="P6511">
        <v>0</v>
      </c>
      <c r="Q6511">
        <v>1</v>
      </c>
      <c r="R6511" t="s">
        <v>42677</v>
      </c>
      <c r="S6511" t="s">
        <v>42830</v>
      </c>
      <c r="T6511" t="s">
        <v>44443</v>
      </c>
      <c r="U6511" t="s">
        <v>50165</v>
      </c>
      <c r="W6511" t="s">
        <v>41107</v>
      </c>
      <c r="X6511" t="s">
        <v>42678</v>
      </c>
    </row>
    <row r="6512" spans="1:24">
      <c r="A6512">
        <f>HYPERLINK("https://www.philgeps.gov.ph/GEPSNONPILOT/Tender/SplashBidNoticeAbstractUI.aspx?menuIndex=3&amp;refID=7185843&amp;Result=3","7185843")</f>
        <v>0</v>
      </c>
      <c r="B6512" t="s">
        <v>662</v>
      </c>
      <c r="C6512" t="s">
        <v>9752</v>
      </c>
      <c r="D6512" t="s">
        <v>17211</v>
      </c>
      <c r="E6512" t="s">
        <v>22875</v>
      </c>
      <c r="F6512" t="s">
        <v>29372</v>
      </c>
      <c r="G6512" t="s">
        <v>29380</v>
      </c>
      <c r="H6512" t="s">
        <v>11048</v>
      </c>
      <c r="I6512" t="s">
        <v>7828</v>
      </c>
      <c r="J6512" t="s">
        <v>33530</v>
      </c>
      <c r="K6512" t="s">
        <v>38485</v>
      </c>
      <c r="M6512" t="s">
        <v>39438</v>
      </c>
      <c r="N6512" t="s">
        <v>42669</v>
      </c>
      <c r="O6512" t="s">
        <v>42670</v>
      </c>
      <c r="P6512">
        <v>0</v>
      </c>
      <c r="Q6512">
        <v>3</v>
      </c>
      <c r="R6512" t="s">
        <v>42677</v>
      </c>
      <c r="S6512" t="s">
        <v>42830</v>
      </c>
      <c r="T6512" t="s">
        <v>44371</v>
      </c>
      <c r="U6512" t="s">
        <v>50166</v>
      </c>
      <c r="W6512" t="s">
        <v>39438</v>
      </c>
      <c r="X6512" t="s">
        <v>42678</v>
      </c>
    </row>
    <row r="6513" spans="1:24">
      <c r="A6513">
        <f>HYPERLINK("https://www.philgeps.gov.ph/GEPSNONPILOT/Tender/SplashBidNoticeAbstractUI.aspx?menuIndex=3&amp;refID=7185810&amp;Result=3","7185810")</f>
        <v>0</v>
      </c>
      <c r="B6513" t="s">
        <v>2130</v>
      </c>
      <c r="C6513" t="s">
        <v>9753</v>
      </c>
      <c r="D6513" t="s">
        <v>17160</v>
      </c>
      <c r="E6513" t="s">
        <v>22876</v>
      </c>
      <c r="F6513" t="s">
        <v>29372</v>
      </c>
      <c r="G6513" t="s">
        <v>29379</v>
      </c>
      <c r="H6513" t="s">
        <v>11048</v>
      </c>
      <c r="I6513" t="s">
        <v>29450</v>
      </c>
      <c r="J6513" t="s">
        <v>33717</v>
      </c>
      <c r="K6513" t="s">
        <v>38496</v>
      </c>
      <c r="M6513" t="s">
        <v>41035</v>
      </c>
      <c r="N6513" t="s">
        <v>42669</v>
      </c>
      <c r="O6513" t="s">
        <v>42670</v>
      </c>
      <c r="P6513">
        <v>0</v>
      </c>
      <c r="Q6513">
        <v>0</v>
      </c>
      <c r="R6513" t="s">
        <v>42677</v>
      </c>
      <c r="S6513" t="s">
        <v>42830</v>
      </c>
      <c r="T6513" t="s">
        <v>44493</v>
      </c>
      <c r="U6513" t="s">
        <v>50167</v>
      </c>
      <c r="W6513" t="s">
        <v>41035</v>
      </c>
      <c r="X6513" t="s">
        <v>42678</v>
      </c>
    </row>
    <row r="6514" spans="1:24">
      <c r="A6514">
        <f>HYPERLINK("https://www.philgeps.gov.ph/GEPSNONPILOT/Tender/SplashBidNoticeAbstractUI.aspx?menuIndex=3&amp;refID=7185940&amp;Result=3","7185940")</f>
        <v>0</v>
      </c>
      <c r="B6514" t="s">
        <v>2180</v>
      </c>
      <c r="C6514" t="s">
        <v>9754</v>
      </c>
      <c r="D6514" t="s">
        <v>17189</v>
      </c>
      <c r="E6514" t="s">
        <v>22877</v>
      </c>
      <c r="F6514" t="s">
        <v>29372</v>
      </c>
      <c r="G6514" t="s">
        <v>29380</v>
      </c>
      <c r="H6514" t="s">
        <v>11048</v>
      </c>
      <c r="I6514" t="s">
        <v>4709</v>
      </c>
      <c r="J6514" t="s">
        <v>33718</v>
      </c>
      <c r="K6514" t="s">
        <v>38488</v>
      </c>
      <c r="M6514" t="s">
        <v>41094</v>
      </c>
      <c r="N6514" t="s">
        <v>42669</v>
      </c>
      <c r="O6514" t="s">
        <v>42670</v>
      </c>
      <c r="P6514">
        <v>0</v>
      </c>
      <c r="Q6514">
        <v>3</v>
      </c>
      <c r="R6514" t="s">
        <v>42677</v>
      </c>
      <c r="S6514" t="s">
        <v>42830</v>
      </c>
      <c r="T6514" t="s">
        <v>44517</v>
      </c>
      <c r="U6514" t="s">
        <v>50168</v>
      </c>
      <c r="V6514" t="s">
        <v>57076</v>
      </c>
      <c r="W6514" t="s">
        <v>41094</v>
      </c>
      <c r="X6514" t="s">
        <v>42678</v>
      </c>
    </row>
    <row r="6515" spans="1:24">
      <c r="A6515">
        <f>HYPERLINK("https://www.philgeps.gov.ph/GEPSNONPILOT/Tender/SplashBidNoticeAbstractUI.aspx?menuIndex=3&amp;refID=7185931&amp;Result=3","7185931")</f>
        <v>0</v>
      </c>
      <c r="B6515" t="s">
        <v>2073</v>
      </c>
      <c r="C6515" t="s">
        <v>9755</v>
      </c>
      <c r="D6515" t="s">
        <v>17151</v>
      </c>
      <c r="E6515" t="s">
        <v>22878</v>
      </c>
      <c r="F6515" t="s">
        <v>29372</v>
      </c>
      <c r="G6515" t="s">
        <v>29380</v>
      </c>
      <c r="H6515" t="s">
        <v>11048</v>
      </c>
      <c r="I6515" t="s">
        <v>3839</v>
      </c>
      <c r="J6515" t="s">
        <v>29525</v>
      </c>
      <c r="K6515" t="s">
        <v>38496</v>
      </c>
      <c r="M6515" t="s">
        <v>40971</v>
      </c>
      <c r="N6515" t="s">
        <v>42669</v>
      </c>
      <c r="O6515" t="s">
        <v>42670</v>
      </c>
      <c r="P6515">
        <v>0</v>
      </c>
      <c r="Q6515">
        <v>3</v>
      </c>
      <c r="R6515" t="s">
        <v>42677</v>
      </c>
      <c r="S6515" t="s">
        <v>42830</v>
      </c>
      <c r="T6515" t="s">
        <v>44368</v>
      </c>
      <c r="U6515" t="s">
        <v>50169</v>
      </c>
      <c r="V6515" t="s">
        <v>57028</v>
      </c>
      <c r="W6515" t="s">
        <v>40971</v>
      </c>
      <c r="X6515" t="s">
        <v>42678</v>
      </c>
    </row>
    <row r="6516" spans="1:24">
      <c r="A6516">
        <f>HYPERLINK("https://www.philgeps.gov.ph/GEPSNONPILOT/Tender/SplashBidNoticeAbstractUI.aspx?menuIndex=3&amp;refID=7185882&amp;Result=3","7185882")</f>
        <v>0</v>
      </c>
      <c r="B6516" t="s">
        <v>2187</v>
      </c>
      <c r="C6516" t="s">
        <v>9756</v>
      </c>
      <c r="D6516" t="s">
        <v>17179</v>
      </c>
      <c r="E6516" t="s">
        <v>22879</v>
      </c>
      <c r="F6516" t="s">
        <v>29372</v>
      </c>
      <c r="G6516" t="s">
        <v>29380</v>
      </c>
      <c r="H6516" t="s">
        <v>11048</v>
      </c>
      <c r="I6516" t="s">
        <v>29433</v>
      </c>
      <c r="J6516" t="s">
        <v>29604</v>
      </c>
      <c r="K6516" t="s">
        <v>38495</v>
      </c>
      <c r="M6516" t="s">
        <v>41101</v>
      </c>
      <c r="N6516" t="s">
        <v>42669</v>
      </c>
      <c r="O6516" t="s">
        <v>42670</v>
      </c>
      <c r="P6516">
        <v>0</v>
      </c>
      <c r="Q6516">
        <v>5</v>
      </c>
      <c r="R6516" t="s">
        <v>42677</v>
      </c>
      <c r="S6516" t="s">
        <v>42830</v>
      </c>
      <c r="T6516" t="s">
        <v>44668</v>
      </c>
      <c r="U6516" t="s">
        <v>50170</v>
      </c>
      <c r="V6516" t="s">
        <v>57080</v>
      </c>
      <c r="W6516" t="s">
        <v>41101</v>
      </c>
      <c r="X6516" t="s">
        <v>42678</v>
      </c>
    </row>
    <row r="6517" spans="1:24">
      <c r="A6517">
        <f>HYPERLINK("https://www.philgeps.gov.ph/GEPSNONPILOT/Tender/SplashBidNoticeAbstractUI.aspx?menuIndex=3&amp;refID=7185942&amp;Result=3","7185942")</f>
        <v>0</v>
      </c>
      <c r="B6517" t="s">
        <v>2197</v>
      </c>
      <c r="C6517" t="s">
        <v>9757</v>
      </c>
      <c r="D6517" t="s">
        <v>17186</v>
      </c>
      <c r="E6517" t="s">
        <v>18886</v>
      </c>
      <c r="F6517" t="s">
        <v>29372</v>
      </c>
      <c r="G6517" t="s">
        <v>29380</v>
      </c>
      <c r="H6517" t="s">
        <v>11048</v>
      </c>
      <c r="I6517" t="s">
        <v>29395</v>
      </c>
      <c r="J6517" t="s">
        <v>33719</v>
      </c>
      <c r="K6517" t="s">
        <v>38485</v>
      </c>
      <c r="M6517" t="s">
        <v>41112</v>
      </c>
      <c r="N6517" t="s">
        <v>42669</v>
      </c>
      <c r="O6517" t="s">
        <v>42670</v>
      </c>
      <c r="P6517">
        <v>0</v>
      </c>
      <c r="Q6517">
        <v>0</v>
      </c>
      <c r="R6517" t="s">
        <v>42677</v>
      </c>
      <c r="S6517" t="s">
        <v>42830</v>
      </c>
      <c r="T6517" t="s">
        <v>44368</v>
      </c>
      <c r="U6517" t="s">
        <v>50171</v>
      </c>
      <c r="W6517" t="s">
        <v>41112</v>
      </c>
      <c r="X6517" t="s">
        <v>42678</v>
      </c>
    </row>
    <row r="6518" spans="1:24">
      <c r="A6518">
        <f>HYPERLINK("https://www.philgeps.gov.ph/GEPSNONPILOT/Tender/SplashBidNoticeAbstractUI.aspx?menuIndex=3&amp;refID=7185928&amp;Result=3","7185928")</f>
        <v>0</v>
      </c>
      <c r="B6518" t="s">
        <v>1368</v>
      </c>
      <c r="C6518" t="s">
        <v>9758</v>
      </c>
      <c r="D6518" t="s">
        <v>17177</v>
      </c>
      <c r="E6518" t="s">
        <v>22880</v>
      </c>
      <c r="F6518" t="s">
        <v>29372</v>
      </c>
      <c r="G6518" t="s">
        <v>29380</v>
      </c>
      <c r="H6518" t="s">
        <v>11048</v>
      </c>
      <c r="I6518" t="s">
        <v>29485</v>
      </c>
      <c r="J6518" t="s">
        <v>33720</v>
      </c>
      <c r="K6518" t="s">
        <v>38485</v>
      </c>
      <c r="M6518" t="s">
        <v>40205</v>
      </c>
      <c r="N6518" t="s">
        <v>42669</v>
      </c>
      <c r="O6518" t="s">
        <v>42670</v>
      </c>
      <c r="P6518">
        <v>0</v>
      </c>
      <c r="Q6518">
        <v>4</v>
      </c>
      <c r="R6518" t="s">
        <v>42677</v>
      </c>
      <c r="S6518" t="s">
        <v>42830</v>
      </c>
      <c r="T6518" t="s">
        <v>44664</v>
      </c>
      <c r="U6518" t="s">
        <v>50155</v>
      </c>
      <c r="W6518" t="s">
        <v>40205</v>
      </c>
      <c r="X6518" t="s">
        <v>42678</v>
      </c>
    </row>
    <row r="6519" spans="1:24">
      <c r="A6519">
        <f>HYPERLINK("https://www.philgeps.gov.ph/GEPSNONPILOT/Tender/SplashBidNoticeAbstractUI.aspx?menuIndex=3&amp;refID=7185926&amp;Result=3","7185926")</f>
        <v>0</v>
      </c>
      <c r="B6519" t="s">
        <v>2000</v>
      </c>
      <c r="C6519" t="s">
        <v>9759</v>
      </c>
      <c r="D6519" t="s">
        <v>17168</v>
      </c>
      <c r="E6519" t="s">
        <v>22881</v>
      </c>
      <c r="F6519" t="s">
        <v>29372</v>
      </c>
      <c r="G6519" t="s">
        <v>29383</v>
      </c>
      <c r="H6519" t="s">
        <v>11048</v>
      </c>
      <c r="I6519" t="s">
        <v>29406</v>
      </c>
      <c r="J6519" t="s">
        <v>33721</v>
      </c>
      <c r="K6519" t="s">
        <v>38488</v>
      </c>
      <c r="M6519" t="s">
        <v>40890</v>
      </c>
      <c r="N6519" t="s">
        <v>42669</v>
      </c>
      <c r="O6519" t="s">
        <v>42670</v>
      </c>
      <c r="P6519">
        <v>0</v>
      </c>
      <c r="Q6519">
        <v>4</v>
      </c>
      <c r="R6519" t="s">
        <v>42677</v>
      </c>
      <c r="S6519" t="s">
        <v>42830</v>
      </c>
      <c r="T6519" t="s">
        <v>44401</v>
      </c>
      <c r="U6519" t="s">
        <v>50172</v>
      </c>
      <c r="V6519" t="s">
        <v>57088</v>
      </c>
      <c r="W6519" t="s">
        <v>40890</v>
      </c>
      <c r="X6519" t="s">
        <v>42678</v>
      </c>
    </row>
    <row r="6520" spans="1:24">
      <c r="A6520">
        <f>HYPERLINK("https://www.philgeps.gov.ph/GEPSNONPILOT/Tender/SplashBidNoticeAbstractUI.aspx?menuIndex=3&amp;refID=7185925&amp;Result=3","7185925")</f>
        <v>0</v>
      </c>
      <c r="B6520" t="s">
        <v>1242</v>
      </c>
      <c r="C6520" t="s">
        <v>9760</v>
      </c>
      <c r="D6520" t="s">
        <v>17183</v>
      </c>
      <c r="E6520" t="s">
        <v>22882</v>
      </c>
      <c r="F6520" t="s">
        <v>29372</v>
      </c>
      <c r="G6520" t="s">
        <v>29383</v>
      </c>
      <c r="H6520" t="s">
        <v>11048</v>
      </c>
      <c r="I6520" t="s">
        <v>3695</v>
      </c>
      <c r="J6520" t="s">
        <v>33722</v>
      </c>
      <c r="K6520" t="s">
        <v>38490</v>
      </c>
      <c r="M6520" t="s">
        <v>40065</v>
      </c>
      <c r="N6520" t="s">
        <v>42669</v>
      </c>
      <c r="O6520" t="s">
        <v>42670</v>
      </c>
      <c r="P6520">
        <v>0</v>
      </c>
      <c r="Q6520">
        <v>3</v>
      </c>
      <c r="R6520" t="s">
        <v>42677</v>
      </c>
      <c r="S6520" t="s">
        <v>42830</v>
      </c>
      <c r="T6520" t="s">
        <v>44466</v>
      </c>
      <c r="U6520" t="s">
        <v>50173</v>
      </c>
      <c r="W6520" t="s">
        <v>40065</v>
      </c>
      <c r="X6520" t="s">
        <v>42678</v>
      </c>
    </row>
    <row r="6521" spans="1:24">
      <c r="A6521">
        <f>HYPERLINK("https://www.philgeps.gov.ph/GEPSNONPILOT/Tender/SplashBidNoticeAbstractUI.aspx?menuIndex=3&amp;refID=7185910&amp;Result=3","7185910")</f>
        <v>0</v>
      </c>
      <c r="B6521" t="s">
        <v>2198</v>
      </c>
      <c r="C6521" t="s">
        <v>9761</v>
      </c>
      <c r="E6521" t="s">
        <v>22883</v>
      </c>
      <c r="F6521" t="s">
        <v>29372</v>
      </c>
      <c r="G6521" t="s">
        <v>29379</v>
      </c>
      <c r="H6521" t="s">
        <v>11048</v>
      </c>
      <c r="I6521" t="s">
        <v>29419</v>
      </c>
      <c r="J6521" t="s">
        <v>30107</v>
      </c>
      <c r="K6521" t="s">
        <v>38495</v>
      </c>
      <c r="M6521" t="s">
        <v>41113</v>
      </c>
      <c r="N6521" t="s">
        <v>42669</v>
      </c>
      <c r="O6521" t="s">
        <v>42670</v>
      </c>
      <c r="P6521">
        <v>0</v>
      </c>
      <c r="Q6521">
        <v>0</v>
      </c>
      <c r="R6521" t="s">
        <v>42677</v>
      </c>
      <c r="S6521" t="s">
        <v>42830</v>
      </c>
      <c r="T6521" t="s">
        <v>44430</v>
      </c>
      <c r="U6521" t="s">
        <v>50174</v>
      </c>
      <c r="V6521" t="s">
        <v>57089</v>
      </c>
      <c r="W6521" t="s">
        <v>41113</v>
      </c>
      <c r="X6521" t="s">
        <v>42678</v>
      </c>
    </row>
    <row r="6522" spans="1:24">
      <c r="A6522">
        <f>HYPERLINK("https://www.philgeps.gov.ph/GEPSNONPILOT/Tender/SplashBidNoticeAbstractUI.aspx?menuIndex=3&amp;refID=7185934&amp;Result=3","7185934")</f>
        <v>0</v>
      </c>
      <c r="B6522" t="s">
        <v>1814</v>
      </c>
      <c r="C6522" t="s">
        <v>9762</v>
      </c>
      <c r="D6522" t="s">
        <v>17141</v>
      </c>
      <c r="E6522" t="s">
        <v>17267</v>
      </c>
      <c r="F6522" t="s">
        <v>29372</v>
      </c>
      <c r="G6522" t="s">
        <v>29380</v>
      </c>
      <c r="H6522" t="s">
        <v>11048</v>
      </c>
      <c r="I6522" t="s">
        <v>29407</v>
      </c>
      <c r="J6522" t="s">
        <v>33723</v>
      </c>
      <c r="K6522" t="s">
        <v>38491</v>
      </c>
      <c r="M6522" t="s">
        <v>41111</v>
      </c>
      <c r="N6522" t="s">
        <v>42669</v>
      </c>
      <c r="O6522" t="s">
        <v>42670</v>
      </c>
      <c r="Q6522">
        <v>44</v>
      </c>
      <c r="R6522" t="s">
        <v>42677</v>
      </c>
      <c r="S6522" t="s">
        <v>42852</v>
      </c>
      <c r="T6522" t="s">
        <v>44424</v>
      </c>
      <c r="U6522" t="s">
        <v>50175</v>
      </c>
      <c r="W6522" t="s">
        <v>41111</v>
      </c>
      <c r="X6522" t="s">
        <v>42678</v>
      </c>
    </row>
    <row r="6523" spans="1:24">
      <c r="A6523">
        <f>HYPERLINK("https://www.philgeps.gov.ph/GEPSNONPILOT/Tender/SplashBidNoticeAbstractUI.aspx?menuIndex=3&amp;refID=7185907&amp;Result=3","7185907")</f>
        <v>0</v>
      </c>
      <c r="B6523" t="s">
        <v>2199</v>
      </c>
      <c r="C6523" t="s">
        <v>9763</v>
      </c>
      <c r="D6523" t="s">
        <v>17192</v>
      </c>
      <c r="E6523" t="s">
        <v>22884</v>
      </c>
      <c r="F6523" t="s">
        <v>29372</v>
      </c>
      <c r="G6523" t="s">
        <v>29380</v>
      </c>
      <c r="H6523" t="s">
        <v>29389</v>
      </c>
      <c r="I6523" t="s">
        <v>10408</v>
      </c>
      <c r="J6523" t="s">
        <v>33724</v>
      </c>
      <c r="K6523" t="s">
        <v>38520</v>
      </c>
      <c r="M6523" t="s">
        <v>41114</v>
      </c>
      <c r="N6523" t="s">
        <v>42669</v>
      </c>
      <c r="O6523" t="s">
        <v>42670</v>
      </c>
      <c r="P6523">
        <v>0</v>
      </c>
      <c r="Q6523">
        <v>2</v>
      </c>
      <c r="R6523" t="s">
        <v>42677</v>
      </c>
      <c r="S6523" t="s">
        <v>42830</v>
      </c>
      <c r="T6523" t="s">
        <v>44517</v>
      </c>
      <c r="U6523" t="s">
        <v>50176</v>
      </c>
      <c r="W6523" t="s">
        <v>41114</v>
      </c>
      <c r="X6523" t="s">
        <v>42678</v>
      </c>
    </row>
    <row r="6524" spans="1:24">
      <c r="A6524">
        <f>HYPERLINK("https://www.philgeps.gov.ph/GEPSNONPILOT/Tender/SplashBidNoticeAbstractUI.aspx?menuIndex=3&amp;refID=7186009&amp;Result=3","7186009")</f>
        <v>0</v>
      </c>
      <c r="B6524" t="s">
        <v>41</v>
      </c>
      <c r="C6524" t="s">
        <v>9764</v>
      </c>
      <c r="D6524" t="s">
        <v>17153</v>
      </c>
      <c r="E6524" t="s">
        <v>22885</v>
      </c>
      <c r="F6524" t="s">
        <v>29372</v>
      </c>
      <c r="G6524" t="s">
        <v>29379</v>
      </c>
      <c r="H6524" t="s">
        <v>11048</v>
      </c>
      <c r="I6524" t="s">
        <v>9642</v>
      </c>
      <c r="J6524" t="s">
        <v>33725</v>
      </c>
      <c r="K6524" t="s">
        <v>38491</v>
      </c>
      <c r="M6524" t="s">
        <v>38794</v>
      </c>
      <c r="N6524" t="s">
        <v>42669</v>
      </c>
      <c r="O6524" t="s">
        <v>42670</v>
      </c>
      <c r="P6524">
        <v>0</v>
      </c>
      <c r="Q6524">
        <v>2</v>
      </c>
      <c r="R6524" t="s">
        <v>42677</v>
      </c>
      <c r="S6524" t="s">
        <v>42830</v>
      </c>
      <c r="T6524" t="s">
        <v>44480</v>
      </c>
      <c r="U6524" t="s">
        <v>50177</v>
      </c>
      <c r="W6524" t="s">
        <v>38794</v>
      </c>
      <c r="X6524" t="s">
        <v>42678</v>
      </c>
    </row>
    <row r="6525" spans="1:24">
      <c r="A6525">
        <f>HYPERLINK("https://www.philgeps.gov.ph/GEPSNONPILOT/Tender/SplashBidNoticeAbstractUI.aspx?menuIndex=3&amp;refID=7185919&amp;Result=3","7185919")</f>
        <v>0</v>
      </c>
      <c r="B6525" t="s">
        <v>41</v>
      </c>
      <c r="C6525" t="s">
        <v>9765</v>
      </c>
      <c r="D6525" t="s">
        <v>17153</v>
      </c>
      <c r="E6525" t="s">
        <v>22886</v>
      </c>
      <c r="F6525" t="s">
        <v>29372</v>
      </c>
      <c r="G6525" t="s">
        <v>29379</v>
      </c>
      <c r="H6525" t="s">
        <v>11048</v>
      </c>
      <c r="I6525" t="s">
        <v>3670</v>
      </c>
      <c r="J6525" t="s">
        <v>31236</v>
      </c>
      <c r="K6525" t="s">
        <v>38491</v>
      </c>
      <c r="M6525" t="s">
        <v>38794</v>
      </c>
      <c r="N6525" t="s">
        <v>42669</v>
      </c>
      <c r="O6525" t="s">
        <v>42670</v>
      </c>
      <c r="P6525">
        <v>0</v>
      </c>
      <c r="Q6525">
        <v>1</v>
      </c>
      <c r="R6525" t="s">
        <v>42677</v>
      </c>
      <c r="S6525" t="s">
        <v>42830</v>
      </c>
      <c r="T6525" t="s">
        <v>44480</v>
      </c>
      <c r="U6525" t="s">
        <v>50178</v>
      </c>
      <c r="W6525" t="s">
        <v>38794</v>
      </c>
      <c r="X6525" t="s">
        <v>42678</v>
      </c>
    </row>
    <row r="6526" spans="1:24">
      <c r="A6526">
        <f>HYPERLINK("https://www.philgeps.gov.ph/GEPSNONPILOT/Tender/SplashBidNoticeAbstractUI.aspx?menuIndex=3&amp;refID=7185996&amp;Result=3","7185996")</f>
        <v>0</v>
      </c>
      <c r="B6526" t="s">
        <v>2200</v>
      </c>
      <c r="C6526" t="s">
        <v>9766</v>
      </c>
      <c r="D6526" t="s">
        <v>17182</v>
      </c>
      <c r="E6526" t="s">
        <v>22887</v>
      </c>
      <c r="F6526" t="s">
        <v>29372</v>
      </c>
      <c r="G6526" t="s">
        <v>29380</v>
      </c>
      <c r="H6526" t="s">
        <v>29389</v>
      </c>
      <c r="I6526" t="s">
        <v>10408</v>
      </c>
      <c r="J6526" t="s">
        <v>33726</v>
      </c>
      <c r="K6526" t="s">
        <v>38604</v>
      </c>
      <c r="M6526" t="s">
        <v>41115</v>
      </c>
      <c r="N6526" t="s">
        <v>42669</v>
      </c>
      <c r="O6526" t="s">
        <v>42670</v>
      </c>
      <c r="P6526">
        <v>0</v>
      </c>
      <c r="Q6526">
        <v>1</v>
      </c>
      <c r="R6526" t="s">
        <v>42677</v>
      </c>
      <c r="S6526" t="s">
        <v>42830</v>
      </c>
      <c r="T6526" t="s">
        <v>44386</v>
      </c>
      <c r="U6526" t="s">
        <v>50179</v>
      </c>
      <c r="W6526" t="s">
        <v>41115</v>
      </c>
      <c r="X6526" t="s">
        <v>42678</v>
      </c>
    </row>
    <row r="6527" spans="1:24">
      <c r="A6527">
        <f>HYPERLINK("https://www.philgeps.gov.ph/GEPSNONPILOT/Tender/SplashBidNoticeAbstractUI.aspx?menuIndex=3&amp;refID=7185948&amp;Result=3","7185948")</f>
        <v>0</v>
      </c>
      <c r="B6527" t="s">
        <v>662</v>
      </c>
      <c r="C6527" t="s">
        <v>9767</v>
      </c>
      <c r="D6527" t="s">
        <v>17211</v>
      </c>
      <c r="E6527" t="s">
        <v>22888</v>
      </c>
      <c r="F6527" t="s">
        <v>29372</v>
      </c>
      <c r="G6527" t="s">
        <v>29380</v>
      </c>
      <c r="H6527" t="s">
        <v>29389</v>
      </c>
      <c r="I6527" t="s">
        <v>10408</v>
      </c>
      <c r="J6527" t="s">
        <v>33727</v>
      </c>
      <c r="K6527" t="s">
        <v>38495</v>
      </c>
      <c r="M6527" t="s">
        <v>39768</v>
      </c>
      <c r="N6527" t="s">
        <v>42669</v>
      </c>
      <c r="O6527" t="s">
        <v>42670</v>
      </c>
      <c r="P6527">
        <v>0</v>
      </c>
      <c r="Q6527">
        <v>0</v>
      </c>
      <c r="R6527" t="s">
        <v>42677</v>
      </c>
      <c r="S6527" t="s">
        <v>42830</v>
      </c>
      <c r="T6527" t="s">
        <v>44450</v>
      </c>
      <c r="U6527" t="s">
        <v>50180</v>
      </c>
      <c r="W6527" t="s">
        <v>58029</v>
      </c>
      <c r="X6527" t="s">
        <v>42678</v>
      </c>
    </row>
    <row r="6528" spans="1:24">
      <c r="A6528">
        <f>HYPERLINK("https://www.philgeps.gov.ph/GEPSNONPILOT/Tender/SplashBidNoticeAbstractUI.aspx?menuIndex=3&amp;refID=7185909&amp;Result=3","7185909")</f>
        <v>0</v>
      </c>
      <c r="B6528" t="s">
        <v>2201</v>
      </c>
      <c r="C6528" t="s">
        <v>9768</v>
      </c>
      <c r="D6528" t="s">
        <v>17168</v>
      </c>
      <c r="E6528" t="s">
        <v>22889</v>
      </c>
      <c r="F6528" t="s">
        <v>29372</v>
      </c>
      <c r="G6528" t="s">
        <v>29380</v>
      </c>
      <c r="H6528" t="s">
        <v>11048</v>
      </c>
      <c r="I6528" t="s">
        <v>8614</v>
      </c>
      <c r="J6528" t="s">
        <v>33728</v>
      </c>
      <c r="K6528" t="s">
        <v>38488</v>
      </c>
      <c r="M6528" t="s">
        <v>41116</v>
      </c>
      <c r="N6528" t="s">
        <v>42669</v>
      </c>
      <c r="O6528" t="s">
        <v>42670</v>
      </c>
      <c r="Q6528">
        <v>15</v>
      </c>
      <c r="R6528" t="s">
        <v>42677</v>
      </c>
      <c r="S6528" t="s">
        <v>42853</v>
      </c>
      <c r="T6528" t="s">
        <v>44446</v>
      </c>
      <c r="U6528" t="s">
        <v>50181</v>
      </c>
      <c r="W6528" t="s">
        <v>41116</v>
      </c>
      <c r="X6528" t="s">
        <v>42678</v>
      </c>
    </row>
    <row r="6529" spans="1:24">
      <c r="A6529">
        <f>HYPERLINK("https://www.philgeps.gov.ph/GEPSNONPILOT/Tender/SplashBidNoticeAbstractUI.aspx?menuIndex=3&amp;refID=7185991&amp;Result=3","7185991")</f>
        <v>0</v>
      </c>
      <c r="B6529" t="s">
        <v>106</v>
      </c>
      <c r="C6529" t="s">
        <v>3692</v>
      </c>
      <c r="D6529" t="s">
        <v>17154</v>
      </c>
      <c r="E6529" t="s">
        <v>22890</v>
      </c>
      <c r="F6529" t="s">
        <v>29372</v>
      </c>
      <c r="G6529" t="s">
        <v>29379</v>
      </c>
      <c r="H6529" t="s">
        <v>11048</v>
      </c>
      <c r="I6529" t="s">
        <v>3670</v>
      </c>
      <c r="J6529" t="s">
        <v>33729</v>
      </c>
      <c r="K6529" t="s">
        <v>38488</v>
      </c>
      <c r="M6529" t="s">
        <v>38861</v>
      </c>
      <c r="N6529" t="s">
        <v>42669</v>
      </c>
      <c r="O6529" t="s">
        <v>42670</v>
      </c>
      <c r="P6529">
        <v>0</v>
      </c>
      <c r="Q6529">
        <v>0</v>
      </c>
      <c r="R6529" t="s">
        <v>42677</v>
      </c>
      <c r="S6529" t="s">
        <v>42830</v>
      </c>
      <c r="T6529" t="s">
        <v>44488</v>
      </c>
      <c r="U6529" t="s">
        <v>50182</v>
      </c>
      <c r="V6529" t="s">
        <v>57090</v>
      </c>
      <c r="W6529" t="s">
        <v>38861</v>
      </c>
      <c r="X6529" t="s">
        <v>42678</v>
      </c>
    </row>
    <row r="6530" spans="1:24">
      <c r="A6530">
        <f>HYPERLINK("https://www.philgeps.gov.ph/GEPSNONPILOT/Tender/SplashBidNoticeAbstractUI.aspx?menuIndex=3&amp;refID=7185987&amp;Result=3","7185987")</f>
        <v>0</v>
      </c>
      <c r="B6530" t="s">
        <v>2202</v>
      </c>
      <c r="C6530" t="s">
        <v>9769</v>
      </c>
      <c r="D6530" t="s">
        <v>17189</v>
      </c>
      <c r="E6530" t="s">
        <v>22891</v>
      </c>
      <c r="F6530" t="s">
        <v>29373</v>
      </c>
      <c r="G6530" t="s">
        <v>29383</v>
      </c>
      <c r="H6530" t="s">
        <v>11048</v>
      </c>
      <c r="I6530" t="s">
        <v>5383</v>
      </c>
      <c r="J6530" t="s">
        <v>33730</v>
      </c>
      <c r="K6530" t="s">
        <v>38528</v>
      </c>
      <c r="M6530" t="s">
        <v>41117</v>
      </c>
      <c r="N6530" t="s">
        <v>42669</v>
      </c>
      <c r="O6530" t="s">
        <v>42670</v>
      </c>
      <c r="P6530">
        <v>0</v>
      </c>
      <c r="Q6530">
        <v>1</v>
      </c>
      <c r="R6530" t="s">
        <v>42677</v>
      </c>
      <c r="S6530" t="s">
        <v>42830</v>
      </c>
      <c r="T6530" t="s">
        <v>44429</v>
      </c>
      <c r="U6530" t="s">
        <v>50183</v>
      </c>
      <c r="W6530" t="s">
        <v>41117</v>
      </c>
      <c r="X6530" t="s">
        <v>42678</v>
      </c>
    </row>
    <row r="6531" spans="1:24">
      <c r="A6531">
        <f>HYPERLINK("https://www.philgeps.gov.ph/GEPSNONPILOT/Tender/SplashBidNoticeAbstractUI.aspx?menuIndex=3&amp;refID=7185981&amp;Result=3","7185981")</f>
        <v>0</v>
      </c>
      <c r="B6531" t="s">
        <v>231</v>
      </c>
      <c r="C6531" t="s">
        <v>9770</v>
      </c>
      <c r="E6531" t="s">
        <v>22892</v>
      </c>
      <c r="F6531" t="s">
        <v>29372</v>
      </c>
      <c r="G6531" t="s">
        <v>29380</v>
      </c>
      <c r="H6531" t="s">
        <v>11048</v>
      </c>
      <c r="I6531" t="s">
        <v>29415</v>
      </c>
      <c r="J6531" t="s">
        <v>33731</v>
      </c>
      <c r="K6531" t="s">
        <v>38490</v>
      </c>
      <c r="M6531" t="s">
        <v>39927</v>
      </c>
      <c r="N6531" t="s">
        <v>42669</v>
      </c>
      <c r="O6531" t="s">
        <v>42670</v>
      </c>
      <c r="P6531">
        <v>0</v>
      </c>
      <c r="Q6531">
        <v>8</v>
      </c>
      <c r="R6531" t="s">
        <v>42677</v>
      </c>
      <c r="S6531" t="s">
        <v>42830</v>
      </c>
      <c r="T6531" t="s">
        <v>44725</v>
      </c>
      <c r="U6531" t="s">
        <v>50184</v>
      </c>
      <c r="W6531" t="s">
        <v>39927</v>
      </c>
      <c r="X6531" t="s">
        <v>42678</v>
      </c>
    </row>
    <row r="6532" spans="1:24">
      <c r="A6532">
        <f>HYPERLINK("https://www.philgeps.gov.ph/GEPSNONPILOT/Tender/SplashBidNoticeAbstractUI.aspx?menuIndex=3&amp;refID=7185870&amp;Result=3","7185870")</f>
        <v>0</v>
      </c>
      <c r="B6532" t="s">
        <v>1875</v>
      </c>
      <c r="C6532" t="s">
        <v>9771</v>
      </c>
      <c r="D6532" t="s">
        <v>17179</v>
      </c>
      <c r="E6532" t="s">
        <v>22893</v>
      </c>
      <c r="F6532" t="s">
        <v>29372</v>
      </c>
      <c r="G6532" t="s">
        <v>29379</v>
      </c>
      <c r="H6532" t="s">
        <v>11048</v>
      </c>
      <c r="I6532" t="s">
        <v>3670</v>
      </c>
      <c r="J6532" t="s">
        <v>30004</v>
      </c>
      <c r="K6532" t="s">
        <v>38518</v>
      </c>
      <c r="M6532" t="s">
        <v>40748</v>
      </c>
      <c r="N6532" t="s">
        <v>42669</v>
      </c>
      <c r="O6532" t="s">
        <v>42670</v>
      </c>
      <c r="P6532">
        <v>0</v>
      </c>
      <c r="Q6532">
        <v>0</v>
      </c>
      <c r="R6532" t="s">
        <v>42677</v>
      </c>
      <c r="S6532" t="s">
        <v>42830</v>
      </c>
      <c r="T6532" t="s">
        <v>44427</v>
      </c>
      <c r="U6532" t="s">
        <v>50185</v>
      </c>
      <c r="W6532" t="s">
        <v>40748</v>
      </c>
      <c r="X6532" t="s">
        <v>42678</v>
      </c>
    </row>
    <row r="6533" spans="1:24">
      <c r="A6533">
        <f>HYPERLINK("https://www.philgeps.gov.ph/GEPSNONPILOT/Tender/SplashBidNoticeAbstractUI.aspx?menuIndex=3&amp;refID=7185977&amp;Result=3","7185977")</f>
        <v>0</v>
      </c>
      <c r="B6533" t="s">
        <v>2203</v>
      </c>
      <c r="C6533" t="s">
        <v>9772</v>
      </c>
      <c r="D6533" t="s">
        <v>17204</v>
      </c>
      <c r="E6533" t="s">
        <v>22894</v>
      </c>
      <c r="F6533" t="s">
        <v>29372</v>
      </c>
      <c r="G6533" t="s">
        <v>29379</v>
      </c>
      <c r="H6533" t="s">
        <v>29390</v>
      </c>
      <c r="I6533" t="s">
        <v>29402</v>
      </c>
      <c r="J6533" t="s">
        <v>33732</v>
      </c>
      <c r="K6533" t="s">
        <v>38485</v>
      </c>
      <c r="M6533" t="s">
        <v>41118</v>
      </c>
      <c r="N6533" t="s">
        <v>42669</v>
      </c>
      <c r="O6533" t="s">
        <v>42670</v>
      </c>
      <c r="P6533">
        <v>0</v>
      </c>
      <c r="Q6533">
        <v>0</v>
      </c>
      <c r="R6533" t="s">
        <v>42677</v>
      </c>
      <c r="S6533" t="s">
        <v>42830</v>
      </c>
      <c r="T6533" t="s">
        <v>44493</v>
      </c>
      <c r="U6533" t="s">
        <v>50186</v>
      </c>
      <c r="W6533" t="s">
        <v>41118</v>
      </c>
      <c r="X6533" t="s">
        <v>42678</v>
      </c>
    </row>
    <row r="6534" spans="1:24">
      <c r="A6534">
        <f>HYPERLINK("https://www.philgeps.gov.ph/GEPSNONPILOT/Tender/SplashBidNoticeAbstractUI.aspx?menuIndex=3&amp;refID=7185971&amp;Result=3","7185971")</f>
        <v>0</v>
      </c>
      <c r="B6534" t="s">
        <v>2204</v>
      </c>
      <c r="C6534" t="s">
        <v>9773</v>
      </c>
      <c r="D6534" t="s">
        <v>17169</v>
      </c>
      <c r="E6534" t="s">
        <v>22895</v>
      </c>
      <c r="F6534" t="s">
        <v>29372</v>
      </c>
      <c r="G6534" t="s">
        <v>29380</v>
      </c>
      <c r="H6534" t="s">
        <v>11048</v>
      </c>
      <c r="I6534" t="s">
        <v>3670</v>
      </c>
      <c r="J6534" t="s">
        <v>31110</v>
      </c>
      <c r="K6534" t="s">
        <v>38490</v>
      </c>
      <c r="M6534" t="s">
        <v>41119</v>
      </c>
      <c r="N6534" t="s">
        <v>42669</v>
      </c>
      <c r="O6534" t="s">
        <v>42670</v>
      </c>
      <c r="P6534">
        <v>0</v>
      </c>
      <c r="Q6534">
        <v>4</v>
      </c>
      <c r="R6534" t="s">
        <v>42677</v>
      </c>
      <c r="S6534" t="s">
        <v>42830</v>
      </c>
      <c r="T6534" t="s">
        <v>44429</v>
      </c>
      <c r="U6534" t="s">
        <v>50187</v>
      </c>
      <c r="W6534" t="s">
        <v>41119</v>
      </c>
      <c r="X6534" t="s">
        <v>42678</v>
      </c>
    </row>
    <row r="6535" spans="1:24">
      <c r="A6535">
        <f>HYPERLINK("https://www.philgeps.gov.ph/GEPSNONPILOT/Tender/SplashBidNoticeAbstractUI.aspx?menuIndex=3&amp;refID=7185938&amp;Result=3","7185938")</f>
        <v>0</v>
      </c>
      <c r="B6535" t="s">
        <v>2176</v>
      </c>
      <c r="C6535" t="s">
        <v>9774</v>
      </c>
      <c r="D6535" t="s">
        <v>17177</v>
      </c>
      <c r="E6535" t="s">
        <v>22896</v>
      </c>
      <c r="F6535" t="s">
        <v>29372</v>
      </c>
      <c r="G6535" t="s">
        <v>29380</v>
      </c>
      <c r="H6535" t="s">
        <v>29389</v>
      </c>
      <c r="I6535" t="s">
        <v>10408</v>
      </c>
      <c r="J6535" t="s">
        <v>33733</v>
      </c>
      <c r="K6535" t="s">
        <v>38500</v>
      </c>
      <c r="M6535" t="s">
        <v>41088</v>
      </c>
      <c r="N6535" t="s">
        <v>42669</v>
      </c>
      <c r="O6535" t="s">
        <v>42670</v>
      </c>
      <c r="P6535">
        <v>0</v>
      </c>
      <c r="Q6535">
        <v>2</v>
      </c>
      <c r="R6535" t="s">
        <v>42677</v>
      </c>
      <c r="S6535" t="s">
        <v>42830</v>
      </c>
      <c r="T6535" t="s">
        <v>44468</v>
      </c>
      <c r="U6535" t="s">
        <v>50188</v>
      </c>
      <c r="W6535" t="s">
        <v>41088</v>
      </c>
      <c r="X6535" t="s">
        <v>42678</v>
      </c>
    </row>
    <row r="6536" spans="1:24">
      <c r="A6536">
        <f>HYPERLINK("https://www.philgeps.gov.ph/GEPSNONPILOT/Tender/SplashBidNoticeAbstractUI.aspx?menuIndex=3&amp;refID=7185820&amp;Result=3","7185820")</f>
        <v>0</v>
      </c>
      <c r="B6536" t="s">
        <v>883</v>
      </c>
      <c r="C6536" t="s">
        <v>9775</v>
      </c>
      <c r="D6536" t="s">
        <v>17161</v>
      </c>
      <c r="E6536" t="s">
        <v>22897</v>
      </c>
      <c r="F6536" t="s">
        <v>29372</v>
      </c>
      <c r="G6536" t="s">
        <v>29383</v>
      </c>
      <c r="H6536" t="s">
        <v>11048</v>
      </c>
      <c r="I6536" t="s">
        <v>29399</v>
      </c>
      <c r="J6536" t="s">
        <v>33734</v>
      </c>
      <c r="K6536" t="s">
        <v>38491</v>
      </c>
      <c r="M6536" t="s">
        <v>39675</v>
      </c>
      <c r="N6536" t="s">
        <v>42669</v>
      </c>
      <c r="O6536" t="s">
        <v>42670</v>
      </c>
      <c r="P6536">
        <v>0</v>
      </c>
      <c r="Q6536">
        <v>0</v>
      </c>
      <c r="R6536" t="s">
        <v>42677</v>
      </c>
      <c r="S6536" t="s">
        <v>42830</v>
      </c>
      <c r="T6536" t="s">
        <v>44401</v>
      </c>
      <c r="U6536" t="s">
        <v>50189</v>
      </c>
      <c r="W6536" t="s">
        <v>39675</v>
      </c>
      <c r="X6536" t="s">
        <v>42678</v>
      </c>
    </row>
    <row r="6537" spans="1:24">
      <c r="A6537">
        <f>HYPERLINK("https://www.philgeps.gov.ph/GEPSNONPILOT/Tender/SplashBidNoticeAbstractUI.aspx?menuIndex=3&amp;refID=7185966&amp;Result=3","7185966")</f>
        <v>0</v>
      </c>
      <c r="B6537" t="s">
        <v>1502</v>
      </c>
      <c r="C6537" t="s">
        <v>9776</v>
      </c>
      <c r="D6537" t="s">
        <v>17213</v>
      </c>
      <c r="E6537" t="s">
        <v>22898</v>
      </c>
      <c r="F6537" t="s">
        <v>29372</v>
      </c>
      <c r="G6537" t="s">
        <v>29383</v>
      </c>
      <c r="H6537" t="s">
        <v>11048</v>
      </c>
      <c r="I6537" t="s">
        <v>29393</v>
      </c>
      <c r="J6537" t="s">
        <v>30674</v>
      </c>
      <c r="K6537" t="s">
        <v>38489</v>
      </c>
      <c r="M6537" t="s">
        <v>40346</v>
      </c>
      <c r="N6537" t="s">
        <v>42669</v>
      </c>
      <c r="O6537" t="s">
        <v>42670</v>
      </c>
      <c r="P6537">
        <v>0</v>
      </c>
      <c r="Q6537">
        <v>0</v>
      </c>
      <c r="R6537" t="s">
        <v>42677</v>
      </c>
      <c r="S6537" t="s">
        <v>42830</v>
      </c>
      <c r="T6537" t="s">
        <v>44726</v>
      </c>
      <c r="U6537" t="s">
        <v>48225</v>
      </c>
      <c r="W6537" t="s">
        <v>40346</v>
      </c>
      <c r="X6537" t="s">
        <v>42678</v>
      </c>
    </row>
    <row r="6538" spans="1:24">
      <c r="A6538">
        <f>HYPERLINK("https://www.philgeps.gov.ph/GEPSNONPILOT/Tender/SplashBidNoticeAbstractUI.aspx?menuIndex=3&amp;refID=7185990&amp;Result=3","7185990")</f>
        <v>0</v>
      </c>
      <c r="B6538" t="s">
        <v>703</v>
      </c>
      <c r="C6538" t="s">
        <v>9777</v>
      </c>
      <c r="D6538" t="s">
        <v>17161</v>
      </c>
      <c r="E6538" t="s">
        <v>18602</v>
      </c>
      <c r="F6538" t="s">
        <v>29372</v>
      </c>
      <c r="G6538" t="s">
        <v>29380</v>
      </c>
      <c r="H6538" t="s">
        <v>11048</v>
      </c>
      <c r="I6538" t="s">
        <v>10408</v>
      </c>
      <c r="J6538" t="s">
        <v>33735</v>
      </c>
      <c r="K6538" t="s">
        <v>38528</v>
      </c>
      <c r="M6538" t="s">
        <v>39481</v>
      </c>
      <c r="N6538" t="s">
        <v>42669</v>
      </c>
      <c r="O6538" t="s">
        <v>42670</v>
      </c>
      <c r="P6538">
        <v>0</v>
      </c>
      <c r="Q6538">
        <v>0</v>
      </c>
      <c r="R6538" t="s">
        <v>42677</v>
      </c>
      <c r="S6538" t="s">
        <v>42830</v>
      </c>
      <c r="T6538" t="s">
        <v>44410</v>
      </c>
      <c r="U6538" t="s">
        <v>50190</v>
      </c>
      <c r="W6538" t="s">
        <v>39481</v>
      </c>
      <c r="X6538" t="s">
        <v>42678</v>
      </c>
    </row>
    <row r="6539" spans="1:24">
      <c r="A6539">
        <f>HYPERLINK("https://www.philgeps.gov.ph/GEPSNONPILOT/Tender/SplashBidNoticeAbstractUI.aspx?menuIndex=3&amp;refID=7185969&amp;Result=3","7185969")</f>
        <v>0</v>
      </c>
      <c r="B6539" t="s">
        <v>1062</v>
      </c>
      <c r="C6539" t="s">
        <v>9778</v>
      </c>
      <c r="D6539" t="s">
        <v>17188</v>
      </c>
      <c r="E6539" t="s">
        <v>22899</v>
      </c>
      <c r="F6539" t="s">
        <v>29372</v>
      </c>
      <c r="G6539" t="s">
        <v>29379</v>
      </c>
      <c r="H6539" t="s">
        <v>11048</v>
      </c>
      <c r="I6539" t="s">
        <v>29410</v>
      </c>
      <c r="J6539" t="s">
        <v>33736</v>
      </c>
      <c r="K6539" t="s">
        <v>38485</v>
      </c>
      <c r="M6539" t="s">
        <v>39869</v>
      </c>
      <c r="N6539" t="s">
        <v>42669</v>
      </c>
      <c r="O6539" t="s">
        <v>42670</v>
      </c>
      <c r="P6539">
        <v>0</v>
      </c>
      <c r="Q6539">
        <v>0</v>
      </c>
      <c r="R6539" t="s">
        <v>42677</v>
      </c>
      <c r="S6539" t="s">
        <v>42830</v>
      </c>
      <c r="T6539" t="s">
        <v>44488</v>
      </c>
      <c r="U6539" t="s">
        <v>50191</v>
      </c>
      <c r="W6539" t="s">
        <v>39869</v>
      </c>
      <c r="X6539" t="s">
        <v>42678</v>
      </c>
    </row>
    <row r="6540" spans="1:24">
      <c r="A6540">
        <f>HYPERLINK("https://www.philgeps.gov.ph/GEPSNONPILOT/Tender/SplashBidNoticeAbstractUI.aspx?menuIndex=3&amp;refID=7185965&amp;Result=3","7185965")</f>
        <v>0</v>
      </c>
      <c r="B6540" t="s">
        <v>2205</v>
      </c>
      <c r="C6540" t="s">
        <v>9779</v>
      </c>
      <c r="D6540" t="s">
        <v>17153</v>
      </c>
      <c r="E6540" t="s">
        <v>22900</v>
      </c>
      <c r="F6540" t="s">
        <v>29372</v>
      </c>
      <c r="G6540" t="s">
        <v>29379</v>
      </c>
      <c r="H6540" t="s">
        <v>11048</v>
      </c>
      <c r="I6540" t="s">
        <v>3839</v>
      </c>
      <c r="J6540" t="s">
        <v>29526</v>
      </c>
      <c r="K6540" t="s">
        <v>38510</v>
      </c>
      <c r="M6540" t="s">
        <v>41120</v>
      </c>
      <c r="N6540" t="s">
        <v>42669</v>
      </c>
      <c r="O6540" t="s">
        <v>42670</v>
      </c>
      <c r="P6540">
        <v>0</v>
      </c>
      <c r="Q6540">
        <v>4</v>
      </c>
      <c r="R6540" t="s">
        <v>42677</v>
      </c>
      <c r="S6540" t="s">
        <v>42830</v>
      </c>
      <c r="T6540" t="s">
        <v>44429</v>
      </c>
      <c r="U6540" t="s">
        <v>50192</v>
      </c>
      <c r="W6540" t="s">
        <v>41120</v>
      </c>
      <c r="X6540" t="s">
        <v>42678</v>
      </c>
    </row>
    <row r="6541" spans="1:24">
      <c r="A6541">
        <f>HYPERLINK("https://www.philgeps.gov.ph/GEPSNONPILOT/Tender/SplashBidNoticeAbstractUI.aspx?menuIndex=3&amp;refID=7185958&amp;Result=3","7185958")</f>
        <v>0</v>
      </c>
      <c r="B6541" t="s">
        <v>1875</v>
      </c>
      <c r="C6541" t="s">
        <v>9780</v>
      </c>
      <c r="D6541" t="s">
        <v>17179</v>
      </c>
      <c r="E6541" t="s">
        <v>22901</v>
      </c>
      <c r="F6541" t="s">
        <v>29372</v>
      </c>
      <c r="G6541" t="s">
        <v>29379</v>
      </c>
      <c r="H6541" t="s">
        <v>11048</v>
      </c>
      <c r="I6541" t="s">
        <v>3839</v>
      </c>
      <c r="J6541" t="s">
        <v>30386</v>
      </c>
      <c r="K6541" t="s">
        <v>38518</v>
      </c>
      <c r="M6541" t="s">
        <v>40748</v>
      </c>
      <c r="N6541" t="s">
        <v>42669</v>
      </c>
      <c r="O6541" t="s">
        <v>42670</v>
      </c>
      <c r="P6541">
        <v>0</v>
      </c>
      <c r="Q6541">
        <v>1</v>
      </c>
      <c r="R6541" t="s">
        <v>42677</v>
      </c>
      <c r="S6541" t="s">
        <v>42830</v>
      </c>
      <c r="T6541" t="s">
        <v>44427</v>
      </c>
      <c r="U6541" t="s">
        <v>50193</v>
      </c>
      <c r="W6541" t="s">
        <v>40748</v>
      </c>
      <c r="X6541" t="s">
        <v>42678</v>
      </c>
    </row>
    <row r="6542" spans="1:24">
      <c r="A6542">
        <f>HYPERLINK("https://www.philgeps.gov.ph/GEPSNONPILOT/Tender/SplashBidNoticeAbstractUI.aspx?menuIndex=3&amp;refID=7186010&amp;Result=3","7186010")</f>
        <v>0</v>
      </c>
      <c r="B6542" t="s">
        <v>865</v>
      </c>
      <c r="C6542" t="s">
        <v>9781</v>
      </c>
      <c r="D6542" t="s">
        <v>17141</v>
      </c>
      <c r="E6542" t="s">
        <v>19317</v>
      </c>
      <c r="F6542" t="s">
        <v>29372</v>
      </c>
      <c r="G6542" t="s">
        <v>29380</v>
      </c>
      <c r="H6542" t="s">
        <v>11048</v>
      </c>
      <c r="I6542" t="s">
        <v>3695</v>
      </c>
      <c r="J6542" t="s">
        <v>33737</v>
      </c>
      <c r="K6542" t="s">
        <v>38488</v>
      </c>
      <c r="M6542" t="s">
        <v>41121</v>
      </c>
      <c r="N6542" t="s">
        <v>42669</v>
      </c>
      <c r="O6542" t="s">
        <v>42670</v>
      </c>
      <c r="P6542">
        <v>0</v>
      </c>
      <c r="Q6542">
        <v>6</v>
      </c>
      <c r="R6542" t="s">
        <v>42677</v>
      </c>
      <c r="S6542" t="s">
        <v>42830</v>
      </c>
      <c r="T6542" t="s">
        <v>44593</v>
      </c>
      <c r="U6542" t="s">
        <v>50194</v>
      </c>
      <c r="W6542" t="s">
        <v>41121</v>
      </c>
      <c r="X6542" t="s">
        <v>42678</v>
      </c>
    </row>
    <row r="6543" spans="1:24">
      <c r="A6543">
        <f>HYPERLINK("https://www.philgeps.gov.ph/GEPSNONPILOT/Tender/SplashBidNoticeAbstractUI.aspx?menuIndex=3&amp;refID=7186066&amp;Result=3","7186066")</f>
        <v>0</v>
      </c>
      <c r="B6543" t="s">
        <v>1368</v>
      </c>
      <c r="C6543" t="s">
        <v>9782</v>
      </c>
      <c r="D6543" t="s">
        <v>17177</v>
      </c>
      <c r="E6543" t="s">
        <v>22902</v>
      </c>
      <c r="F6543" t="s">
        <v>29372</v>
      </c>
      <c r="G6543" t="s">
        <v>29380</v>
      </c>
      <c r="H6543" t="s">
        <v>29389</v>
      </c>
      <c r="I6543" t="s">
        <v>10408</v>
      </c>
      <c r="J6543" t="s">
        <v>33738</v>
      </c>
      <c r="K6543" t="s">
        <v>38514</v>
      </c>
      <c r="M6543" t="s">
        <v>41122</v>
      </c>
      <c r="N6543" t="s">
        <v>42669</v>
      </c>
      <c r="O6543" t="s">
        <v>42670</v>
      </c>
      <c r="P6543">
        <v>0</v>
      </c>
      <c r="Q6543">
        <v>2</v>
      </c>
      <c r="R6543" t="s">
        <v>42677</v>
      </c>
      <c r="S6543" t="s">
        <v>42830</v>
      </c>
      <c r="T6543" t="s">
        <v>44664</v>
      </c>
      <c r="U6543" t="s">
        <v>50195</v>
      </c>
      <c r="W6543" t="s">
        <v>41122</v>
      </c>
      <c r="X6543" t="s">
        <v>42678</v>
      </c>
    </row>
    <row r="6544" spans="1:24">
      <c r="A6544">
        <f>HYPERLINK("https://www.philgeps.gov.ph/GEPSNONPILOT/Tender/SplashBidNoticeAbstractUI.aspx?menuIndex=3&amp;refID=7185967&amp;Result=3","7185967")</f>
        <v>0</v>
      </c>
      <c r="B6544" t="s">
        <v>2206</v>
      </c>
      <c r="C6544" t="s">
        <v>9783</v>
      </c>
      <c r="D6544" t="s">
        <v>17191</v>
      </c>
      <c r="E6544" t="s">
        <v>22903</v>
      </c>
      <c r="F6544" t="s">
        <v>29372</v>
      </c>
      <c r="G6544" t="s">
        <v>29380</v>
      </c>
      <c r="H6544" t="s">
        <v>11048</v>
      </c>
      <c r="I6544" t="s">
        <v>5383</v>
      </c>
      <c r="J6544" t="s">
        <v>30657</v>
      </c>
      <c r="K6544" t="s">
        <v>38485</v>
      </c>
      <c r="M6544" t="s">
        <v>41123</v>
      </c>
      <c r="N6544" t="s">
        <v>42669</v>
      </c>
      <c r="O6544" t="s">
        <v>42670</v>
      </c>
      <c r="P6544">
        <v>0</v>
      </c>
      <c r="Q6544">
        <v>2</v>
      </c>
      <c r="R6544" t="s">
        <v>42677</v>
      </c>
      <c r="S6544" t="s">
        <v>42830</v>
      </c>
      <c r="T6544" t="s">
        <v>44401</v>
      </c>
      <c r="U6544" t="s">
        <v>50196</v>
      </c>
      <c r="V6544" t="s">
        <v>56634</v>
      </c>
      <c r="W6544" t="s">
        <v>41123</v>
      </c>
      <c r="X6544" t="s">
        <v>42678</v>
      </c>
    </row>
    <row r="6545" spans="1:24">
      <c r="A6545">
        <f>HYPERLINK("https://www.philgeps.gov.ph/GEPSNONPILOT/Tender/SplashBidNoticeAbstractUI.aspx?menuIndex=3&amp;refID=7185983&amp;Result=3","7185983")</f>
        <v>0</v>
      </c>
      <c r="B6545" t="s">
        <v>865</v>
      </c>
      <c r="C6545" t="s">
        <v>9784</v>
      </c>
      <c r="D6545" t="s">
        <v>17141</v>
      </c>
      <c r="E6545" t="s">
        <v>22904</v>
      </c>
      <c r="F6545" t="s">
        <v>29372</v>
      </c>
      <c r="G6545" t="s">
        <v>29380</v>
      </c>
      <c r="H6545" t="s">
        <v>11048</v>
      </c>
      <c r="I6545" t="s">
        <v>3860</v>
      </c>
      <c r="J6545" t="s">
        <v>33739</v>
      </c>
      <c r="K6545" t="s">
        <v>38488</v>
      </c>
      <c r="M6545" t="s">
        <v>41121</v>
      </c>
      <c r="N6545" t="s">
        <v>42669</v>
      </c>
      <c r="O6545" t="s">
        <v>42670</v>
      </c>
      <c r="P6545">
        <v>0</v>
      </c>
      <c r="Q6545">
        <v>0</v>
      </c>
      <c r="R6545" t="s">
        <v>42677</v>
      </c>
      <c r="S6545" t="s">
        <v>42830</v>
      </c>
      <c r="T6545" t="s">
        <v>44593</v>
      </c>
      <c r="U6545" t="s">
        <v>50197</v>
      </c>
      <c r="W6545" t="s">
        <v>41121</v>
      </c>
      <c r="X6545" t="s">
        <v>42678</v>
      </c>
    </row>
    <row r="6546" spans="1:24">
      <c r="A6546">
        <f>HYPERLINK("https://www.philgeps.gov.ph/GEPSNONPILOT/Tender/SplashBidNoticeAbstractUI.aspx?menuIndex=3&amp;refID=7186057&amp;Result=3","7186057")</f>
        <v>0</v>
      </c>
      <c r="B6546" t="s">
        <v>2044</v>
      </c>
      <c r="C6546" t="s">
        <v>4147</v>
      </c>
      <c r="D6546" t="s">
        <v>17170</v>
      </c>
      <c r="E6546" t="s">
        <v>22905</v>
      </c>
      <c r="F6546" t="s">
        <v>29372</v>
      </c>
      <c r="G6546" t="s">
        <v>29380</v>
      </c>
      <c r="H6546" t="s">
        <v>11048</v>
      </c>
      <c r="I6546" t="s">
        <v>29410</v>
      </c>
      <c r="J6546" t="s">
        <v>30587</v>
      </c>
      <c r="K6546" t="s">
        <v>38485</v>
      </c>
      <c r="M6546" t="s">
        <v>40941</v>
      </c>
      <c r="N6546" t="s">
        <v>42669</v>
      </c>
      <c r="O6546" t="s">
        <v>42670</v>
      </c>
      <c r="P6546">
        <v>0</v>
      </c>
      <c r="Q6546">
        <v>4</v>
      </c>
      <c r="R6546" t="s">
        <v>42677</v>
      </c>
      <c r="S6546" t="s">
        <v>42830</v>
      </c>
      <c r="T6546" t="s">
        <v>44474</v>
      </c>
      <c r="U6546" t="s">
        <v>50198</v>
      </c>
      <c r="W6546" t="s">
        <v>40941</v>
      </c>
      <c r="X6546" t="s">
        <v>42678</v>
      </c>
    </row>
    <row r="6547" spans="1:24">
      <c r="A6547">
        <f>HYPERLINK("https://www.philgeps.gov.ph/GEPSNONPILOT/Tender/SplashBidNoticeAbstractUI.aspx?menuIndex=3&amp;refID=7185976&amp;Result=3","7185976")</f>
        <v>0</v>
      </c>
      <c r="B6547" t="s">
        <v>1416</v>
      </c>
      <c r="C6547" t="s">
        <v>9785</v>
      </c>
      <c r="D6547" t="s">
        <v>17202</v>
      </c>
      <c r="E6547" t="s">
        <v>22906</v>
      </c>
      <c r="F6547" t="s">
        <v>29372</v>
      </c>
      <c r="G6547" t="s">
        <v>29380</v>
      </c>
      <c r="H6547" t="s">
        <v>11048</v>
      </c>
      <c r="I6547" t="s">
        <v>4709</v>
      </c>
      <c r="J6547" t="s">
        <v>33740</v>
      </c>
      <c r="K6547" t="s">
        <v>38488</v>
      </c>
      <c r="M6547" t="s">
        <v>40255</v>
      </c>
      <c r="N6547" t="s">
        <v>42669</v>
      </c>
      <c r="O6547" t="s">
        <v>42670</v>
      </c>
      <c r="P6547">
        <v>0</v>
      </c>
      <c r="Q6547">
        <v>0</v>
      </c>
      <c r="R6547" t="s">
        <v>42677</v>
      </c>
      <c r="S6547" t="s">
        <v>42830</v>
      </c>
      <c r="T6547" t="s">
        <v>44401</v>
      </c>
      <c r="U6547" t="s">
        <v>50199</v>
      </c>
      <c r="V6547" t="s">
        <v>56748</v>
      </c>
      <c r="W6547" t="s">
        <v>40255</v>
      </c>
      <c r="X6547" t="s">
        <v>42678</v>
      </c>
    </row>
    <row r="6548" spans="1:24">
      <c r="A6548">
        <f>HYPERLINK("https://www.philgeps.gov.ph/GEPSNONPILOT/Tender/SplashBidNoticeAbstractUI.aspx?menuIndex=3&amp;refID=7186054&amp;Result=3","7186054")</f>
        <v>0</v>
      </c>
      <c r="B6548" t="s">
        <v>80</v>
      </c>
      <c r="C6548" t="s">
        <v>9786</v>
      </c>
      <c r="D6548" t="s">
        <v>17142</v>
      </c>
      <c r="E6548" t="s">
        <v>22907</v>
      </c>
      <c r="F6548" t="s">
        <v>29372</v>
      </c>
      <c r="G6548" t="s">
        <v>29382</v>
      </c>
      <c r="H6548" t="s">
        <v>11048</v>
      </c>
      <c r="I6548" t="s">
        <v>9642</v>
      </c>
      <c r="J6548" t="s">
        <v>33741</v>
      </c>
      <c r="K6548" t="s">
        <v>38489</v>
      </c>
      <c r="M6548" t="s">
        <v>38834</v>
      </c>
      <c r="N6548" t="s">
        <v>42669</v>
      </c>
      <c r="O6548" t="s">
        <v>42670</v>
      </c>
      <c r="P6548">
        <v>0</v>
      </c>
      <c r="Q6548">
        <v>4</v>
      </c>
      <c r="R6548" t="s">
        <v>42677</v>
      </c>
      <c r="S6548" t="s">
        <v>42830</v>
      </c>
      <c r="T6548" t="s">
        <v>44512</v>
      </c>
      <c r="U6548" t="s">
        <v>50200</v>
      </c>
      <c r="W6548" t="s">
        <v>38834</v>
      </c>
      <c r="X6548" t="s">
        <v>42678</v>
      </c>
    </row>
    <row r="6549" spans="1:24">
      <c r="A6549">
        <f>HYPERLINK("https://www.philgeps.gov.ph/GEPSNONPILOT/Tender/SplashBidNoticeAbstractUI.aspx?menuIndex=3&amp;refID=7185986&amp;Result=3","7185986")</f>
        <v>0</v>
      </c>
      <c r="B6549" t="s">
        <v>1875</v>
      </c>
      <c r="C6549" t="s">
        <v>9787</v>
      </c>
      <c r="D6549" t="s">
        <v>17179</v>
      </c>
      <c r="E6549" t="s">
        <v>22908</v>
      </c>
      <c r="F6549" t="s">
        <v>29372</v>
      </c>
      <c r="G6549" t="s">
        <v>29379</v>
      </c>
      <c r="H6549" t="s">
        <v>11048</v>
      </c>
      <c r="I6549" t="s">
        <v>4486</v>
      </c>
      <c r="J6549" t="s">
        <v>29664</v>
      </c>
      <c r="K6549" t="s">
        <v>38530</v>
      </c>
      <c r="M6549" t="s">
        <v>40748</v>
      </c>
      <c r="N6549" t="s">
        <v>42669</v>
      </c>
      <c r="O6549" t="s">
        <v>42670</v>
      </c>
      <c r="P6549">
        <v>0</v>
      </c>
      <c r="Q6549">
        <v>1</v>
      </c>
      <c r="R6549" t="s">
        <v>42677</v>
      </c>
      <c r="S6549" t="s">
        <v>42830</v>
      </c>
      <c r="T6549" t="s">
        <v>44427</v>
      </c>
      <c r="U6549" t="s">
        <v>50201</v>
      </c>
      <c r="W6549" t="s">
        <v>40748</v>
      </c>
      <c r="X6549" t="s">
        <v>42678</v>
      </c>
    </row>
    <row r="6550" spans="1:24">
      <c r="A6550">
        <f>HYPERLINK("https://www.philgeps.gov.ph/GEPSNONPILOT/Tender/SplashBidNoticeAbstractUI.aspx?menuIndex=3&amp;refID=7185959&amp;Result=3","7185959")</f>
        <v>0</v>
      </c>
      <c r="B6550" t="s">
        <v>2207</v>
      </c>
      <c r="C6550" t="s">
        <v>9788</v>
      </c>
      <c r="E6550" t="s">
        <v>22909</v>
      </c>
      <c r="F6550" t="s">
        <v>29372</v>
      </c>
      <c r="G6550" t="s">
        <v>29379</v>
      </c>
      <c r="H6550" t="s">
        <v>11048</v>
      </c>
      <c r="I6550" t="s">
        <v>29409</v>
      </c>
      <c r="J6550" t="s">
        <v>33742</v>
      </c>
      <c r="K6550" t="s">
        <v>38490</v>
      </c>
      <c r="M6550" t="s">
        <v>41124</v>
      </c>
      <c r="N6550" t="s">
        <v>42669</v>
      </c>
      <c r="O6550" t="s">
        <v>42670</v>
      </c>
      <c r="P6550">
        <v>0</v>
      </c>
      <c r="Q6550">
        <v>13</v>
      </c>
      <c r="R6550" t="s">
        <v>42677</v>
      </c>
      <c r="S6550" t="s">
        <v>42830</v>
      </c>
      <c r="T6550" t="s">
        <v>44491</v>
      </c>
      <c r="U6550" t="s">
        <v>50202</v>
      </c>
      <c r="W6550" t="s">
        <v>41124</v>
      </c>
      <c r="X6550" t="s">
        <v>42678</v>
      </c>
    </row>
    <row r="6551" spans="1:24">
      <c r="A6551">
        <f>HYPERLINK("https://www.philgeps.gov.ph/GEPSNONPILOT/Tender/SplashBidNoticeAbstractUI.aspx?menuIndex=3&amp;refID=7186059&amp;Result=3","7186059")</f>
        <v>0</v>
      </c>
      <c r="B6551" t="s">
        <v>2208</v>
      </c>
      <c r="C6551" t="s">
        <v>9789</v>
      </c>
      <c r="D6551" t="s">
        <v>17171</v>
      </c>
      <c r="E6551" t="s">
        <v>17533</v>
      </c>
      <c r="F6551" t="s">
        <v>29372</v>
      </c>
      <c r="G6551" t="s">
        <v>29379</v>
      </c>
      <c r="H6551" t="s">
        <v>29390</v>
      </c>
      <c r="I6551" t="s">
        <v>4487</v>
      </c>
      <c r="J6551" t="s">
        <v>33743</v>
      </c>
      <c r="K6551" t="s">
        <v>38537</v>
      </c>
      <c r="M6551" t="s">
        <v>41125</v>
      </c>
      <c r="N6551" t="s">
        <v>42669</v>
      </c>
      <c r="O6551" t="s">
        <v>42670</v>
      </c>
      <c r="P6551">
        <v>0</v>
      </c>
      <c r="Q6551">
        <v>2</v>
      </c>
      <c r="R6551" t="s">
        <v>42677</v>
      </c>
      <c r="S6551" t="s">
        <v>42830</v>
      </c>
      <c r="T6551" t="s">
        <v>44389</v>
      </c>
      <c r="U6551" t="s">
        <v>50203</v>
      </c>
      <c r="W6551" t="s">
        <v>41125</v>
      </c>
      <c r="X6551" t="s">
        <v>42678</v>
      </c>
    </row>
    <row r="6552" spans="1:24">
      <c r="A6552">
        <f>HYPERLINK("https://www.philgeps.gov.ph/GEPSNONPILOT/Tender/SplashBidNoticeAbstractUI.aspx?menuIndex=3&amp;refID=7186053&amp;Result=3","7186053")</f>
        <v>0</v>
      </c>
      <c r="B6552" t="s">
        <v>865</v>
      </c>
      <c r="C6552" t="s">
        <v>9790</v>
      </c>
      <c r="D6552" t="s">
        <v>17141</v>
      </c>
      <c r="E6552" t="s">
        <v>22910</v>
      </c>
      <c r="F6552" t="s">
        <v>29372</v>
      </c>
      <c r="G6552" t="s">
        <v>29380</v>
      </c>
      <c r="H6552" t="s">
        <v>11048</v>
      </c>
      <c r="I6552" t="s">
        <v>29400</v>
      </c>
      <c r="J6552" t="s">
        <v>33744</v>
      </c>
      <c r="K6552" t="s">
        <v>38488</v>
      </c>
      <c r="M6552" t="s">
        <v>41121</v>
      </c>
      <c r="N6552" t="s">
        <v>42669</v>
      </c>
      <c r="O6552" t="s">
        <v>42670</v>
      </c>
      <c r="P6552">
        <v>0</v>
      </c>
      <c r="Q6552">
        <v>5</v>
      </c>
      <c r="R6552" t="s">
        <v>42677</v>
      </c>
      <c r="S6552" t="s">
        <v>42830</v>
      </c>
      <c r="T6552" t="s">
        <v>44593</v>
      </c>
      <c r="U6552" t="s">
        <v>50204</v>
      </c>
      <c r="W6552" t="s">
        <v>41121</v>
      </c>
      <c r="X6552" t="s">
        <v>42678</v>
      </c>
    </row>
    <row r="6553" spans="1:24">
      <c r="A6553">
        <f>HYPERLINK("https://www.philgeps.gov.ph/GEPSNONPILOT/Tender/SplashBidNoticeAbstractUI.aspx?menuIndex=3&amp;refID=7186045&amp;Result=3","7186045")</f>
        <v>0</v>
      </c>
      <c r="B6553" t="s">
        <v>2209</v>
      </c>
      <c r="C6553" t="s">
        <v>9791</v>
      </c>
      <c r="D6553" t="s">
        <v>17171</v>
      </c>
      <c r="E6553" t="s">
        <v>22911</v>
      </c>
      <c r="F6553" t="s">
        <v>29372</v>
      </c>
      <c r="G6553" t="s">
        <v>29380</v>
      </c>
      <c r="H6553" t="s">
        <v>11048</v>
      </c>
      <c r="I6553" t="s">
        <v>29393</v>
      </c>
      <c r="J6553" t="s">
        <v>33745</v>
      </c>
      <c r="K6553" t="s">
        <v>38490</v>
      </c>
      <c r="M6553" t="s">
        <v>41126</v>
      </c>
      <c r="N6553" t="s">
        <v>42669</v>
      </c>
      <c r="O6553" t="s">
        <v>42670</v>
      </c>
      <c r="P6553">
        <v>0</v>
      </c>
      <c r="Q6553">
        <v>0</v>
      </c>
      <c r="R6553" t="s">
        <v>42677</v>
      </c>
      <c r="S6553" t="s">
        <v>42830</v>
      </c>
      <c r="T6553" t="s">
        <v>44714</v>
      </c>
      <c r="U6553" t="s">
        <v>50205</v>
      </c>
      <c r="W6553" t="s">
        <v>58071</v>
      </c>
      <c r="X6553" t="s">
        <v>42678</v>
      </c>
    </row>
    <row r="6554" spans="1:24">
      <c r="A6554">
        <f>HYPERLINK("https://www.philgeps.gov.ph/GEPSNONPILOT/Tender/SplashBidNoticeAbstractUI.aspx?menuIndex=3&amp;refID=7186038&amp;Result=3","7186038")</f>
        <v>0</v>
      </c>
      <c r="B6554" t="s">
        <v>863</v>
      </c>
      <c r="C6554" t="s">
        <v>9792</v>
      </c>
      <c r="D6554" t="s">
        <v>17193</v>
      </c>
      <c r="E6554" t="s">
        <v>22912</v>
      </c>
      <c r="F6554" t="s">
        <v>29372</v>
      </c>
      <c r="G6554" t="s">
        <v>29380</v>
      </c>
      <c r="H6554" t="s">
        <v>29389</v>
      </c>
      <c r="I6554" t="s">
        <v>10408</v>
      </c>
      <c r="J6554" t="s">
        <v>33746</v>
      </c>
      <c r="K6554" t="s">
        <v>38590</v>
      </c>
      <c r="M6554" t="s">
        <v>39655</v>
      </c>
      <c r="N6554" t="s">
        <v>42669</v>
      </c>
      <c r="O6554" t="s">
        <v>42670</v>
      </c>
      <c r="P6554">
        <v>0</v>
      </c>
      <c r="Q6554">
        <v>0</v>
      </c>
      <c r="R6554" t="s">
        <v>42677</v>
      </c>
      <c r="S6554" t="s">
        <v>42830</v>
      </c>
      <c r="T6554" t="s">
        <v>44727</v>
      </c>
      <c r="U6554" t="s">
        <v>50206</v>
      </c>
      <c r="W6554" t="s">
        <v>39655</v>
      </c>
      <c r="X6554" t="s">
        <v>42678</v>
      </c>
    </row>
    <row r="6555" spans="1:24">
      <c r="A6555">
        <f>HYPERLINK("https://www.philgeps.gov.ph/GEPSNONPILOT/Tender/SplashBidNoticeAbstractUI.aspx?menuIndex=3&amp;refID=7186034&amp;Result=3","7186034")</f>
        <v>0</v>
      </c>
      <c r="B6555" t="s">
        <v>80</v>
      </c>
      <c r="C6555" t="s">
        <v>9793</v>
      </c>
      <c r="D6555" t="s">
        <v>17142</v>
      </c>
      <c r="E6555" t="s">
        <v>22913</v>
      </c>
      <c r="F6555" t="s">
        <v>29372</v>
      </c>
      <c r="G6555" t="s">
        <v>29382</v>
      </c>
      <c r="H6555" t="s">
        <v>11048</v>
      </c>
      <c r="I6555" t="s">
        <v>3670</v>
      </c>
      <c r="J6555" t="s">
        <v>33747</v>
      </c>
      <c r="K6555" t="s">
        <v>38489</v>
      </c>
      <c r="M6555" t="s">
        <v>38834</v>
      </c>
      <c r="N6555" t="s">
        <v>42669</v>
      </c>
      <c r="O6555" t="s">
        <v>42670</v>
      </c>
      <c r="P6555">
        <v>0</v>
      </c>
      <c r="Q6555">
        <v>0</v>
      </c>
      <c r="R6555" t="s">
        <v>42677</v>
      </c>
      <c r="S6555" t="s">
        <v>42830</v>
      </c>
      <c r="T6555" t="s">
        <v>44512</v>
      </c>
      <c r="U6555" t="s">
        <v>50207</v>
      </c>
      <c r="W6555" t="s">
        <v>38834</v>
      </c>
      <c r="X6555" t="s">
        <v>42678</v>
      </c>
    </row>
    <row r="6556" spans="1:24">
      <c r="A6556">
        <f>HYPERLINK("https://www.philgeps.gov.ph/GEPSNONPILOT/Tender/SplashBidNoticeAbstractUI.aspx?menuIndex=3&amp;refID=7186033&amp;Result=3","7186033")</f>
        <v>0</v>
      </c>
      <c r="B6556" t="s">
        <v>1459</v>
      </c>
      <c r="C6556" t="s">
        <v>9794</v>
      </c>
      <c r="D6556" t="s">
        <v>17199</v>
      </c>
      <c r="E6556" t="s">
        <v>22914</v>
      </c>
      <c r="F6556" t="s">
        <v>29372</v>
      </c>
      <c r="G6556" t="s">
        <v>29379</v>
      </c>
      <c r="H6556" t="s">
        <v>11048</v>
      </c>
      <c r="I6556" t="s">
        <v>29426</v>
      </c>
      <c r="J6556" t="s">
        <v>33748</v>
      </c>
      <c r="K6556" t="s">
        <v>38510</v>
      </c>
      <c r="M6556" t="s">
        <v>40302</v>
      </c>
      <c r="N6556" t="s">
        <v>42669</v>
      </c>
      <c r="O6556" t="s">
        <v>42670</v>
      </c>
      <c r="P6556">
        <v>0</v>
      </c>
      <c r="Q6556">
        <v>2</v>
      </c>
      <c r="R6556" t="s">
        <v>42677</v>
      </c>
      <c r="S6556" t="s">
        <v>42830</v>
      </c>
      <c r="T6556" t="s">
        <v>44728</v>
      </c>
      <c r="U6556" t="s">
        <v>48118</v>
      </c>
      <c r="W6556" t="s">
        <v>40302</v>
      </c>
      <c r="X6556" t="s">
        <v>42678</v>
      </c>
    </row>
    <row r="6557" spans="1:24">
      <c r="A6557">
        <f>HYPERLINK("https://www.philgeps.gov.ph/GEPSNONPILOT/Tender/SplashBidNoticeAbstractUI.aspx?menuIndex=3&amp;refID=7186046&amp;Result=3","7186046")</f>
        <v>0</v>
      </c>
      <c r="B6557" t="s">
        <v>1742</v>
      </c>
      <c r="C6557" t="s">
        <v>9795</v>
      </c>
      <c r="D6557" t="s">
        <v>17197</v>
      </c>
      <c r="E6557" t="s">
        <v>22915</v>
      </c>
      <c r="F6557" t="s">
        <v>29372</v>
      </c>
      <c r="G6557" t="s">
        <v>29380</v>
      </c>
      <c r="H6557" t="s">
        <v>29389</v>
      </c>
      <c r="I6557" t="s">
        <v>10408</v>
      </c>
      <c r="J6557" t="s">
        <v>33749</v>
      </c>
      <c r="K6557" t="s">
        <v>38522</v>
      </c>
      <c r="M6557" t="s">
        <v>40607</v>
      </c>
      <c r="N6557" t="s">
        <v>42669</v>
      </c>
      <c r="O6557" t="s">
        <v>42670</v>
      </c>
      <c r="P6557">
        <v>0</v>
      </c>
      <c r="Q6557">
        <v>0</v>
      </c>
      <c r="R6557" t="s">
        <v>42677</v>
      </c>
      <c r="S6557" t="s">
        <v>42830</v>
      </c>
      <c r="T6557" t="s">
        <v>44729</v>
      </c>
      <c r="U6557" t="s">
        <v>50208</v>
      </c>
      <c r="W6557" t="s">
        <v>40607</v>
      </c>
      <c r="X6557" t="s">
        <v>42678</v>
      </c>
    </row>
    <row r="6558" spans="1:24">
      <c r="A6558">
        <f>HYPERLINK("https://www.philgeps.gov.ph/GEPSNONPILOT/Tender/SplashBidNoticeAbstractUI.aspx?menuIndex=3&amp;refID=7186042&amp;Result=3","7186042")</f>
        <v>0</v>
      </c>
      <c r="B6558" t="s">
        <v>1493</v>
      </c>
      <c r="C6558" t="s">
        <v>9796</v>
      </c>
      <c r="D6558" t="s">
        <v>17176</v>
      </c>
      <c r="E6558" t="s">
        <v>22916</v>
      </c>
      <c r="F6558" t="s">
        <v>29372</v>
      </c>
      <c r="G6558" t="s">
        <v>29380</v>
      </c>
      <c r="H6558" t="s">
        <v>11048</v>
      </c>
      <c r="I6558" t="s">
        <v>8614</v>
      </c>
      <c r="J6558" t="s">
        <v>33750</v>
      </c>
      <c r="K6558" t="s">
        <v>38485</v>
      </c>
      <c r="M6558" t="s">
        <v>40336</v>
      </c>
      <c r="N6558" t="s">
        <v>42669</v>
      </c>
      <c r="O6558" t="s">
        <v>42670</v>
      </c>
      <c r="P6558">
        <v>0</v>
      </c>
      <c r="Q6558">
        <v>9</v>
      </c>
      <c r="R6558" t="s">
        <v>42677</v>
      </c>
      <c r="S6558" t="s">
        <v>42830</v>
      </c>
      <c r="T6558" t="s">
        <v>44355</v>
      </c>
      <c r="U6558" t="s">
        <v>50209</v>
      </c>
      <c r="W6558" t="s">
        <v>40336</v>
      </c>
      <c r="X6558" t="s">
        <v>42678</v>
      </c>
    </row>
    <row r="6559" spans="1:24">
      <c r="A6559">
        <f>HYPERLINK("https://www.philgeps.gov.ph/GEPSNONPILOT/Tender/SplashBidNoticeAbstractUI.aspx?menuIndex=3&amp;refID=7185968&amp;Result=3","7185968")</f>
        <v>0</v>
      </c>
      <c r="B6559" t="s">
        <v>2175</v>
      </c>
      <c r="C6559" t="s">
        <v>9797</v>
      </c>
      <c r="D6559" t="s">
        <v>17181</v>
      </c>
      <c r="E6559" t="s">
        <v>22917</v>
      </c>
      <c r="F6559" t="s">
        <v>29372</v>
      </c>
      <c r="G6559" t="s">
        <v>29380</v>
      </c>
      <c r="H6559" t="s">
        <v>11048</v>
      </c>
      <c r="I6559" t="s">
        <v>3629</v>
      </c>
      <c r="J6559" t="s">
        <v>29590</v>
      </c>
      <c r="K6559" t="s">
        <v>38488</v>
      </c>
      <c r="M6559" t="s">
        <v>41087</v>
      </c>
      <c r="N6559" t="s">
        <v>42669</v>
      </c>
      <c r="O6559" t="s">
        <v>42670</v>
      </c>
      <c r="P6559">
        <v>0</v>
      </c>
      <c r="Q6559">
        <v>0</v>
      </c>
      <c r="R6559" t="s">
        <v>42677</v>
      </c>
      <c r="S6559" t="s">
        <v>42830</v>
      </c>
      <c r="T6559" t="s">
        <v>44375</v>
      </c>
      <c r="U6559" t="s">
        <v>50210</v>
      </c>
      <c r="W6559" t="s">
        <v>41087</v>
      </c>
      <c r="X6559" t="s">
        <v>42678</v>
      </c>
    </row>
    <row r="6560" spans="1:24">
      <c r="A6560">
        <f>HYPERLINK("https://www.philgeps.gov.ph/GEPSNONPILOT/Tender/SplashBidNoticeAbstractUI.aspx?menuIndex=3&amp;refID=7186100&amp;Result=3","7186100")</f>
        <v>0</v>
      </c>
      <c r="B6560" t="s">
        <v>1586</v>
      </c>
      <c r="C6560" t="s">
        <v>9798</v>
      </c>
      <c r="D6560" t="s">
        <v>17143</v>
      </c>
      <c r="E6560" t="s">
        <v>22918</v>
      </c>
      <c r="F6560" t="s">
        <v>29372</v>
      </c>
      <c r="G6560" t="s">
        <v>29379</v>
      </c>
      <c r="H6560" t="s">
        <v>11048</v>
      </c>
      <c r="I6560" t="s">
        <v>29393</v>
      </c>
      <c r="J6560" t="s">
        <v>33751</v>
      </c>
      <c r="K6560" t="s">
        <v>38518</v>
      </c>
      <c r="M6560" t="s">
        <v>40437</v>
      </c>
      <c r="N6560" t="s">
        <v>42669</v>
      </c>
      <c r="O6560" t="s">
        <v>42670</v>
      </c>
      <c r="P6560">
        <v>0</v>
      </c>
      <c r="Q6560">
        <v>0</v>
      </c>
      <c r="R6560" t="s">
        <v>42677</v>
      </c>
      <c r="S6560" t="s">
        <v>42830</v>
      </c>
      <c r="T6560" t="s">
        <v>44491</v>
      </c>
      <c r="U6560" t="s">
        <v>50211</v>
      </c>
      <c r="W6560" t="s">
        <v>40437</v>
      </c>
      <c r="X6560" t="s">
        <v>42678</v>
      </c>
    </row>
    <row r="6561" spans="1:24">
      <c r="A6561">
        <f>HYPERLINK("https://www.philgeps.gov.ph/GEPSNONPILOT/Tender/SplashBidNoticeAbstractUI.aspx?menuIndex=3&amp;refID=7186101&amp;Result=3","7186101")</f>
        <v>0</v>
      </c>
      <c r="B6561" t="s">
        <v>77</v>
      </c>
      <c r="C6561" t="s">
        <v>9799</v>
      </c>
      <c r="D6561" t="s">
        <v>17154</v>
      </c>
      <c r="E6561" t="s">
        <v>22919</v>
      </c>
      <c r="F6561" t="s">
        <v>29372</v>
      </c>
      <c r="G6561" t="s">
        <v>29383</v>
      </c>
      <c r="H6561" t="s">
        <v>11048</v>
      </c>
      <c r="I6561" t="s">
        <v>3597</v>
      </c>
      <c r="J6561" t="s">
        <v>29799</v>
      </c>
      <c r="K6561" t="s">
        <v>38491</v>
      </c>
      <c r="M6561" t="s">
        <v>38831</v>
      </c>
      <c r="N6561" t="s">
        <v>42669</v>
      </c>
      <c r="O6561" t="s">
        <v>42670</v>
      </c>
      <c r="P6561">
        <v>0</v>
      </c>
      <c r="Q6561">
        <v>3</v>
      </c>
      <c r="R6561" t="s">
        <v>42677</v>
      </c>
      <c r="S6561" t="s">
        <v>42830</v>
      </c>
      <c r="T6561" t="s">
        <v>44496</v>
      </c>
      <c r="U6561" t="s">
        <v>50212</v>
      </c>
      <c r="W6561" t="s">
        <v>38831</v>
      </c>
      <c r="X6561" t="s">
        <v>42678</v>
      </c>
    </row>
    <row r="6562" spans="1:24">
      <c r="A6562">
        <f>HYPERLINK("https://www.philgeps.gov.ph/GEPSNONPILOT/Tender/SplashBidNoticeAbstractUI.aspx?menuIndex=3&amp;refID=7186098&amp;Result=3","7186098")</f>
        <v>0</v>
      </c>
      <c r="B6562" t="s">
        <v>634</v>
      </c>
      <c r="C6562" t="s">
        <v>5608</v>
      </c>
      <c r="E6562" t="s">
        <v>22920</v>
      </c>
      <c r="F6562" t="s">
        <v>29372</v>
      </c>
      <c r="G6562" t="s">
        <v>29383</v>
      </c>
      <c r="H6562" t="s">
        <v>11048</v>
      </c>
      <c r="I6562" t="s">
        <v>3670</v>
      </c>
      <c r="J6562" t="s">
        <v>33752</v>
      </c>
      <c r="K6562" t="s">
        <v>38490</v>
      </c>
      <c r="M6562" t="s">
        <v>39407</v>
      </c>
      <c r="N6562" t="s">
        <v>42669</v>
      </c>
      <c r="O6562" t="s">
        <v>42670</v>
      </c>
      <c r="P6562">
        <v>0</v>
      </c>
      <c r="Q6562">
        <v>2</v>
      </c>
      <c r="R6562" t="s">
        <v>42677</v>
      </c>
      <c r="S6562" t="s">
        <v>42830</v>
      </c>
      <c r="T6562" t="s">
        <v>44512</v>
      </c>
      <c r="U6562" t="s">
        <v>50213</v>
      </c>
      <c r="W6562" t="s">
        <v>39407</v>
      </c>
      <c r="X6562" t="s">
        <v>42678</v>
      </c>
    </row>
    <row r="6563" spans="1:24">
      <c r="A6563">
        <f>HYPERLINK("https://www.philgeps.gov.ph/GEPSNONPILOT/Tender/SplashBidNoticeAbstractUI.aspx?menuIndex=3&amp;refID=7186103&amp;Result=3","7186103")</f>
        <v>0</v>
      </c>
      <c r="B6563" t="s">
        <v>1248</v>
      </c>
      <c r="C6563" t="s">
        <v>9800</v>
      </c>
      <c r="D6563" t="s">
        <v>17145</v>
      </c>
      <c r="E6563" t="s">
        <v>22921</v>
      </c>
      <c r="F6563" t="s">
        <v>29372</v>
      </c>
      <c r="G6563" t="s">
        <v>29379</v>
      </c>
      <c r="H6563" t="s">
        <v>29389</v>
      </c>
      <c r="I6563" t="s">
        <v>10408</v>
      </c>
      <c r="J6563" t="s">
        <v>33753</v>
      </c>
      <c r="K6563" t="s">
        <v>38496</v>
      </c>
      <c r="M6563" t="s">
        <v>40073</v>
      </c>
      <c r="N6563" t="s">
        <v>42669</v>
      </c>
      <c r="O6563" t="s">
        <v>42670</v>
      </c>
      <c r="Q6563">
        <v>3</v>
      </c>
      <c r="R6563" t="s">
        <v>42677</v>
      </c>
      <c r="S6563" t="s">
        <v>42854</v>
      </c>
      <c r="T6563" t="s">
        <v>44481</v>
      </c>
      <c r="U6563" t="s">
        <v>50214</v>
      </c>
      <c r="W6563" t="s">
        <v>40073</v>
      </c>
      <c r="X6563" t="s">
        <v>42678</v>
      </c>
    </row>
    <row r="6564" spans="1:24">
      <c r="A6564">
        <f>HYPERLINK("https://www.philgeps.gov.ph/GEPSNONPILOT/Tender/SplashBidNoticeAbstractUI.aspx?menuIndex=3&amp;refID=7186052&amp;Result=3","7186052")</f>
        <v>0</v>
      </c>
      <c r="B6564" t="s">
        <v>2205</v>
      </c>
      <c r="C6564" t="s">
        <v>9801</v>
      </c>
      <c r="D6564" t="s">
        <v>17153</v>
      </c>
      <c r="E6564" t="s">
        <v>22922</v>
      </c>
      <c r="F6564" t="s">
        <v>29372</v>
      </c>
      <c r="G6564" t="s">
        <v>29379</v>
      </c>
      <c r="H6564" t="s">
        <v>11048</v>
      </c>
      <c r="I6564" t="s">
        <v>3839</v>
      </c>
      <c r="J6564" t="s">
        <v>29708</v>
      </c>
      <c r="K6564" t="s">
        <v>38510</v>
      </c>
      <c r="M6564" t="s">
        <v>41120</v>
      </c>
      <c r="N6564" t="s">
        <v>42669</v>
      </c>
      <c r="O6564" t="s">
        <v>42670</v>
      </c>
      <c r="P6564">
        <v>0</v>
      </c>
      <c r="Q6564">
        <v>3</v>
      </c>
      <c r="R6564" t="s">
        <v>42677</v>
      </c>
      <c r="S6564" t="s">
        <v>42830</v>
      </c>
      <c r="T6564" t="s">
        <v>44549</v>
      </c>
      <c r="U6564" t="s">
        <v>50192</v>
      </c>
      <c r="W6564" t="s">
        <v>41120</v>
      </c>
      <c r="X6564" t="s">
        <v>42678</v>
      </c>
    </row>
    <row r="6565" spans="1:24">
      <c r="A6565">
        <f>HYPERLINK("https://www.philgeps.gov.ph/GEPSNONPILOT/Tender/SplashBidNoticeAbstractUI.aspx?menuIndex=3&amp;refID=7186089&amp;Result=3","7186089")</f>
        <v>0</v>
      </c>
      <c r="B6565" t="s">
        <v>41</v>
      </c>
      <c r="C6565" t="s">
        <v>9802</v>
      </c>
      <c r="D6565" t="s">
        <v>17153</v>
      </c>
      <c r="E6565" t="s">
        <v>22923</v>
      </c>
      <c r="F6565" t="s">
        <v>29372</v>
      </c>
      <c r="G6565" t="s">
        <v>29379</v>
      </c>
      <c r="H6565" t="s">
        <v>11048</v>
      </c>
      <c r="I6565" t="s">
        <v>29411</v>
      </c>
      <c r="J6565" t="s">
        <v>29580</v>
      </c>
      <c r="K6565" t="s">
        <v>38491</v>
      </c>
      <c r="M6565" t="s">
        <v>38794</v>
      </c>
      <c r="N6565" t="s">
        <v>42669</v>
      </c>
      <c r="O6565" t="s">
        <v>42670</v>
      </c>
      <c r="P6565">
        <v>0</v>
      </c>
      <c r="Q6565">
        <v>1</v>
      </c>
      <c r="R6565" t="s">
        <v>42677</v>
      </c>
      <c r="S6565" t="s">
        <v>42830</v>
      </c>
      <c r="T6565" t="s">
        <v>44480</v>
      </c>
      <c r="U6565" t="s">
        <v>50215</v>
      </c>
      <c r="W6565" t="s">
        <v>38794</v>
      </c>
      <c r="X6565" t="s">
        <v>42678</v>
      </c>
    </row>
    <row r="6566" spans="1:24">
      <c r="A6566">
        <f>HYPERLINK("https://www.philgeps.gov.ph/GEPSNONPILOT/Tender/SplashBidNoticeAbstractUI.aspx?menuIndex=3&amp;refID=7186095&amp;Result=3","7186095")</f>
        <v>0</v>
      </c>
      <c r="B6566" t="s">
        <v>2210</v>
      </c>
      <c r="C6566" t="s">
        <v>9803</v>
      </c>
      <c r="D6566" t="s">
        <v>17178</v>
      </c>
      <c r="E6566" t="s">
        <v>22924</v>
      </c>
      <c r="F6566" t="s">
        <v>29372</v>
      </c>
      <c r="G6566" t="s">
        <v>29380</v>
      </c>
      <c r="H6566" t="s">
        <v>29389</v>
      </c>
      <c r="I6566" t="s">
        <v>4709</v>
      </c>
      <c r="J6566" t="s">
        <v>33754</v>
      </c>
      <c r="K6566" t="s">
        <v>38485</v>
      </c>
      <c r="M6566" t="s">
        <v>41127</v>
      </c>
      <c r="N6566" t="s">
        <v>42669</v>
      </c>
      <c r="O6566" t="s">
        <v>42670</v>
      </c>
      <c r="P6566">
        <v>0</v>
      </c>
      <c r="Q6566">
        <v>0</v>
      </c>
      <c r="R6566" t="s">
        <v>42677</v>
      </c>
      <c r="S6566" t="s">
        <v>42830</v>
      </c>
      <c r="T6566" t="s">
        <v>44386</v>
      </c>
      <c r="U6566" t="s">
        <v>50216</v>
      </c>
      <c r="W6566" t="s">
        <v>41127</v>
      </c>
      <c r="X6566" t="s">
        <v>42678</v>
      </c>
    </row>
    <row r="6567" spans="1:24">
      <c r="A6567">
        <f>HYPERLINK("https://www.philgeps.gov.ph/GEPSNONPILOT/Tender/SplashBidNoticeAbstractUI.aspx?menuIndex=3&amp;refID=7186082&amp;Result=3","7186082")</f>
        <v>0</v>
      </c>
      <c r="B6567" t="s">
        <v>863</v>
      </c>
      <c r="C6567" t="s">
        <v>9804</v>
      </c>
      <c r="D6567" t="s">
        <v>17193</v>
      </c>
      <c r="E6567" t="s">
        <v>22925</v>
      </c>
      <c r="F6567" t="s">
        <v>29372</v>
      </c>
      <c r="G6567" t="s">
        <v>29380</v>
      </c>
      <c r="H6567" t="s">
        <v>29389</v>
      </c>
      <c r="I6567" t="s">
        <v>10408</v>
      </c>
      <c r="J6567" t="s">
        <v>33755</v>
      </c>
      <c r="K6567" t="s">
        <v>38499</v>
      </c>
      <c r="M6567" t="s">
        <v>39655</v>
      </c>
      <c r="N6567" t="s">
        <v>42669</v>
      </c>
      <c r="O6567" t="s">
        <v>42670</v>
      </c>
      <c r="P6567">
        <v>0</v>
      </c>
      <c r="Q6567">
        <v>0</v>
      </c>
      <c r="R6567" t="s">
        <v>42677</v>
      </c>
      <c r="S6567" t="s">
        <v>42830</v>
      </c>
      <c r="T6567" t="s">
        <v>44727</v>
      </c>
      <c r="U6567" t="s">
        <v>50217</v>
      </c>
      <c r="W6567" t="s">
        <v>39655</v>
      </c>
      <c r="X6567" t="s">
        <v>42678</v>
      </c>
    </row>
    <row r="6568" spans="1:24">
      <c r="A6568">
        <f>HYPERLINK("https://www.philgeps.gov.ph/GEPSNONPILOT/Tender/SplashBidNoticeAbstractUI.aspx?menuIndex=3&amp;refID=7186102&amp;Result=3","7186102")</f>
        <v>0</v>
      </c>
      <c r="B6568" t="s">
        <v>1815</v>
      </c>
      <c r="C6568" t="s">
        <v>9805</v>
      </c>
      <c r="D6568" t="s">
        <v>17165</v>
      </c>
      <c r="E6568" t="s">
        <v>18994</v>
      </c>
      <c r="F6568" t="s">
        <v>29372</v>
      </c>
      <c r="G6568" t="s">
        <v>29379</v>
      </c>
      <c r="H6568" t="s">
        <v>11048</v>
      </c>
      <c r="I6568" t="s">
        <v>4709</v>
      </c>
      <c r="J6568" t="s">
        <v>33756</v>
      </c>
      <c r="K6568" t="s">
        <v>38490</v>
      </c>
      <c r="M6568" t="s">
        <v>40686</v>
      </c>
      <c r="N6568" t="s">
        <v>42669</v>
      </c>
      <c r="O6568" t="s">
        <v>42670</v>
      </c>
      <c r="P6568">
        <v>0</v>
      </c>
      <c r="Q6568">
        <v>1</v>
      </c>
      <c r="R6568" t="s">
        <v>42677</v>
      </c>
      <c r="S6568" t="s">
        <v>42830</v>
      </c>
      <c r="T6568" t="s">
        <v>44524</v>
      </c>
      <c r="U6568" t="s">
        <v>50218</v>
      </c>
      <c r="W6568" t="s">
        <v>40686</v>
      </c>
      <c r="X6568" t="s">
        <v>42678</v>
      </c>
    </row>
    <row r="6569" spans="1:24">
      <c r="A6569">
        <f>HYPERLINK("https://www.philgeps.gov.ph/GEPSNONPILOT/Tender/SplashBidNoticeAbstractUI.aspx?menuIndex=3&amp;refID=7186091&amp;Result=3","7186091")</f>
        <v>0</v>
      </c>
      <c r="B6569" t="s">
        <v>2211</v>
      </c>
      <c r="C6569" t="s">
        <v>9806</v>
      </c>
      <c r="D6569" t="s">
        <v>17177</v>
      </c>
      <c r="E6569" t="s">
        <v>22926</v>
      </c>
      <c r="F6569" t="s">
        <v>29372</v>
      </c>
      <c r="G6569" t="s">
        <v>29380</v>
      </c>
      <c r="H6569" t="s">
        <v>11048</v>
      </c>
      <c r="I6569" t="s">
        <v>4709</v>
      </c>
      <c r="J6569" t="s">
        <v>33757</v>
      </c>
      <c r="K6569" t="s">
        <v>38488</v>
      </c>
      <c r="M6569" t="s">
        <v>41128</v>
      </c>
      <c r="N6569" t="s">
        <v>42669</v>
      </c>
      <c r="O6569" t="s">
        <v>42670</v>
      </c>
      <c r="P6569">
        <v>0</v>
      </c>
      <c r="Q6569">
        <v>0</v>
      </c>
      <c r="R6569" t="s">
        <v>42677</v>
      </c>
      <c r="S6569" t="s">
        <v>42830</v>
      </c>
      <c r="T6569" t="s">
        <v>44730</v>
      </c>
      <c r="U6569" t="s">
        <v>50219</v>
      </c>
      <c r="V6569" t="s">
        <v>57091</v>
      </c>
      <c r="W6569" t="s">
        <v>41128</v>
      </c>
      <c r="X6569" t="s">
        <v>42678</v>
      </c>
    </row>
    <row r="6570" spans="1:24">
      <c r="A6570">
        <f>HYPERLINK("https://www.philgeps.gov.ph/GEPSNONPILOT/Tender/SplashBidNoticeAbstractUI.aspx?menuIndex=3&amp;refID=7186081&amp;Result=3","7186081")</f>
        <v>0</v>
      </c>
      <c r="B6570" t="s">
        <v>1990</v>
      </c>
      <c r="C6570" t="s">
        <v>9807</v>
      </c>
      <c r="D6570" t="s">
        <v>17200</v>
      </c>
      <c r="E6570" t="s">
        <v>22927</v>
      </c>
      <c r="F6570" t="s">
        <v>29372</v>
      </c>
      <c r="G6570" t="s">
        <v>29380</v>
      </c>
      <c r="H6570" t="s">
        <v>11048</v>
      </c>
      <c r="I6570" t="s">
        <v>3670</v>
      </c>
      <c r="J6570" t="s">
        <v>33758</v>
      </c>
      <c r="K6570" t="s">
        <v>38496</v>
      </c>
      <c r="M6570" t="s">
        <v>40878</v>
      </c>
      <c r="N6570" t="s">
        <v>42669</v>
      </c>
      <c r="O6570" t="s">
        <v>42670</v>
      </c>
      <c r="Q6570">
        <v>4</v>
      </c>
      <c r="R6570" t="s">
        <v>42677</v>
      </c>
      <c r="S6570" t="s">
        <v>42855</v>
      </c>
      <c r="T6570" t="s">
        <v>44478</v>
      </c>
      <c r="U6570" t="s">
        <v>50220</v>
      </c>
      <c r="W6570" t="s">
        <v>40878</v>
      </c>
      <c r="X6570" t="s">
        <v>42678</v>
      </c>
    </row>
    <row r="6571" spans="1:24">
      <c r="A6571">
        <f>HYPERLINK("https://www.philgeps.gov.ph/GEPSNONPILOT/Tender/SplashBidNoticeAbstractUI.aspx?menuIndex=3&amp;refID=7186078&amp;Result=3","7186078")</f>
        <v>0</v>
      </c>
      <c r="B6571" t="s">
        <v>1815</v>
      </c>
      <c r="C6571" t="s">
        <v>9808</v>
      </c>
      <c r="D6571" t="s">
        <v>17165</v>
      </c>
      <c r="E6571" t="s">
        <v>18965</v>
      </c>
      <c r="F6571" t="s">
        <v>29372</v>
      </c>
      <c r="G6571" t="s">
        <v>29379</v>
      </c>
      <c r="H6571" t="s">
        <v>11048</v>
      </c>
      <c r="I6571" t="s">
        <v>29394</v>
      </c>
      <c r="J6571" t="s">
        <v>33759</v>
      </c>
      <c r="K6571" t="s">
        <v>38490</v>
      </c>
      <c r="M6571" t="s">
        <v>40686</v>
      </c>
      <c r="N6571" t="s">
        <v>42669</v>
      </c>
      <c r="O6571" t="s">
        <v>42670</v>
      </c>
      <c r="P6571">
        <v>0</v>
      </c>
      <c r="Q6571">
        <v>4</v>
      </c>
      <c r="R6571" t="s">
        <v>42677</v>
      </c>
      <c r="S6571" t="s">
        <v>42830</v>
      </c>
      <c r="T6571" t="s">
        <v>44524</v>
      </c>
      <c r="U6571" t="s">
        <v>50221</v>
      </c>
      <c r="W6571" t="s">
        <v>40686</v>
      </c>
      <c r="X6571" t="s">
        <v>42678</v>
      </c>
    </row>
    <row r="6572" spans="1:24">
      <c r="A6572">
        <f>HYPERLINK("https://www.philgeps.gov.ph/GEPSNONPILOT/Tender/SplashBidNoticeAbstractUI.aspx?menuIndex=3&amp;refID=7186147&amp;Result=3","7186147")</f>
        <v>0</v>
      </c>
      <c r="B6572" t="s">
        <v>2193</v>
      </c>
      <c r="C6572" t="s">
        <v>9809</v>
      </c>
      <c r="D6572" t="s">
        <v>17151</v>
      </c>
      <c r="E6572" t="s">
        <v>22928</v>
      </c>
      <c r="F6572" t="s">
        <v>29372</v>
      </c>
      <c r="G6572" t="s">
        <v>29380</v>
      </c>
      <c r="H6572" t="s">
        <v>11048</v>
      </c>
      <c r="I6572" t="s">
        <v>29446</v>
      </c>
      <c r="J6572" t="s">
        <v>29811</v>
      </c>
      <c r="K6572" t="s">
        <v>38485</v>
      </c>
      <c r="M6572" t="s">
        <v>41107</v>
      </c>
      <c r="N6572" t="s">
        <v>42669</v>
      </c>
      <c r="O6572" t="s">
        <v>42670</v>
      </c>
      <c r="P6572">
        <v>0</v>
      </c>
      <c r="Q6572">
        <v>0</v>
      </c>
      <c r="R6572" t="s">
        <v>42677</v>
      </c>
      <c r="S6572" t="s">
        <v>42830</v>
      </c>
      <c r="T6572" t="s">
        <v>44443</v>
      </c>
      <c r="U6572" t="s">
        <v>50165</v>
      </c>
      <c r="W6572" t="s">
        <v>41107</v>
      </c>
      <c r="X6572" t="s">
        <v>42678</v>
      </c>
    </row>
    <row r="6573" spans="1:24">
      <c r="A6573">
        <f>HYPERLINK("https://www.philgeps.gov.ph/GEPSNONPILOT/Tender/SplashBidNoticeAbstractUI.aspx?menuIndex=3&amp;refID=7186084&amp;Result=3","7186084")</f>
        <v>0</v>
      </c>
      <c r="B6573" t="s">
        <v>80</v>
      </c>
      <c r="C6573" t="s">
        <v>9810</v>
      </c>
      <c r="D6573" t="s">
        <v>17142</v>
      </c>
      <c r="E6573" t="s">
        <v>9810</v>
      </c>
      <c r="F6573" t="s">
        <v>29372</v>
      </c>
      <c r="G6573" t="s">
        <v>29382</v>
      </c>
      <c r="H6573" t="s">
        <v>11048</v>
      </c>
      <c r="I6573" t="s">
        <v>3670</v>
      </c>
      <c r="J6573" t="s">
        <v>33760</v>
      </c>
      <c r="K6573" t="s">
        <v>38510</v>
      </c>
      <c r="M6573" t="s">
        <v>38834</v>
      </c>
      <c r="N6573" t="s">
        <v>42669</v>
      </c>
      <c r="O6573" t="s">
        <v>42670</v>
      </c>
      <c r="P6573">
        <v>0</v>
      </c>
      <c r="Q6573">
        <v>0</v>
      </c>
      <c r="R6573" t="s">
        <v>42677</v>
      </c>
      <c r="S6573" t="s">
        <v>42830</v>
      </c>
      <c r="T6573" t="s">
        <v>44512</v>
      </c>
      <c r="U6573" t="s">
        <v>50222</v>
      </c>
      <c r="W6573" t="s">
        <v>38834</v>
      </c>
      <c r="X6573" t="s">
        <v>42678</v>
      </c>
    </row>
    <row r="6574" spans="1:24">
      <c r="A6574">
        <f>HYPERLINK("https://www.philgeps.gov.ph/GEPSNONPILOT/Tender/SplashBidNoticeAbstractUI.aspx?menuIndex=3&amp;refID=7186092&amp;Result=3","7186092")</f>
        <v>0</v>
      </c>
      <c r="B6574" t="s">
        <v>2212</v>
      </c>
      <c r="C6574" t="s">
        <v>9811</v>
      </c>
      <c r="D6574" t="s">
        <v>17167</v>
      </c>
      <c r="E6574" t="s">
        <v>17533</v>
      </c>
      <c r="F6574" t="s">
        <v>29372</v>
      </c>
      <c r="G6574" t="s">
        <v>29380</v>
      </c>
      <c r="H6574" t="s">
        <v>11048</v>
      </c>
      <c r="I6574" t="s">
        <v>4709</v>
      </c>
      <c r="J6574" t="s">
        <v>33761</v>
      </c>
      <c r="K6574" t="s">
        <v>38490</v>
      </c>
      <c r="M6574" t="s">
        <v>41129</v>
      </c>
      <c r="N6574" t="s">
        <v>42669</v>
      </c>
      <c r="O6574" t="s">
        <v>42670</v>
      </c>
      <c r="P6574">
        <v>0</v>
      </c>
      <c r="Q6574">
        <v>0</v>
      </c>
      <c r="R6574" t="s">
        <v>42677</v>
      </c>
      <c r="S6574" t="s">
        <v>42830</v>
      </c>
      <c r="T6574" t="s">
        <v>44425</v>
      </c>
      <c r="U6574" t="s">
        <v>50223</v>
      </c>
      <c r="W6574" t="s">
        <v>41129</v>
      </c>
      <c r="X6574" t="s">
        <v>42678</v>
      </c>
    </row>
    <row r="6575" spans="1:24">
      <c r="A6575">
        <f>HYPERLINK("https://www.philgeps.gov.ph/GEPSNONPILOT/Tender/SplashBidNoticeAbstractUI.aspx?menuIndex=3&amp;refID=7186142&amp;Result=3","7186142")</f>
        <v>0</v>
      </c>
      <c r="B6575" t="s">
        <v>339</v>
      </c>
      <c r="C6575" t="s">
        <v>9812</v>
      </c>
      <c r="D6575" t="s">
        <v>17156</v>
      </c>
      <c r="E6575" t="s">
        <v>22929</v>
      </c>
      <c r="F6575" t="s">
        <v>29372</v>
      </c>
      <c r="G6575" t="s">
        <v>29380</v>
      </c>
      <c r="H6575" t="s">
        <v>11048</v>
      </c>
      <c r="I6575" t="s">
        <v>29399</v>
      </c>
      <c r="J6575" t="s">
        <v>33762</v>
      </c>
      <c r="K6575" t="s">
        <v>38485</v>
      </c>
      <c r="M6575" t="s">
        <v>39651</v>
      </c>
      <c r="N6575" t="s">
        <v>42669</v>
      </c>
      <c r="O6575" t="s">
        <v>42670</v>
      </c>
      <c r="P6575">
        <v>0</v>
      </c>
      <c r="Q6575">
        <v>2</v>
      </c>
      <c r="R6575" t="s">
        <v>42677</v>
      </c>
      <c r="S6575" t="s">
        <v>42830</v>
      </c>
      <c r="T6575" t="s">
        <v>44414</v>
      </c>
      <c r="U6575" t="s">
        <v>50224</v>
      </c>
      <c r="W6575" t="s">
        <v>39651</v>
      </c>
      <c r="X6575" t="s">
        <v>42678</v>
      </c>
    </row>
    <row r="6576" spans="1:24">
      <c r="A6576">
        <f>HYPERLINK("https://www.philgeps.gov.ph/GEPSNONPILOT/Tender/SplashBidNoticeAbstractUI.aspx?menuIndex=3&amp;refID=7186135&amp;Result=3","7186135")</f>
        <v>0</v>
      </c>
      <c r="B6576" t="s">
        <v>863</v>
      </c>
      <c r="C6576" t="s">
        <v>9813</v>
      </c>
      <c r="D6576" t="s">
        <v>17193</v>
      </c>
      <c r="E6576" t="s">
        <v>22930</v>
      </c>
      <c r="F6576" t="s">
        <v>29372</v>
      </c>
      <c r="G6576" t="s">
        <v>29380</v>
      </c>
      <c r="H6576" t="s">
        <v>29389</v>
      </c>
      <c r="I6576" t="s">
        <v>10408</v>
      </c>
      <c r="J6576" t="s">
        <v>33763</v>
      </c>
      <c r="K6576" t="s">
        <v>38552</v>
      </c>
      <c r="M6576" t="s">
        <v>39655</v>
      </c>
      <c r="N6576" t="s">
        <v>42669</v>
      </c>
      <c r="O6576" t="s">
        <v>42670</v>
      </c>
      <c r="P6576">
        <v>0</v>
      </c>
      <c r="Q6576">
        <v>0</v>
      </c>
      <c r="R6576" t="s">
        <v>42677</v>
      </c>
      <c r="S6576" t="s">
        <v>42830</v>
      </c>
      <c r="T6576" t="s">
        <v>44727</v>
      </c>
      <c r="U6576" t="s">
        <v>50225</v>
      </c>
      <c r="W6576" t="s">
        <v>39655</v>
      </c>
      <c r="X6576" t="s">
        <v>42678</v>
      </c>
    </row>
    <row r="6577" spans="1:24">
      <c r="A6577">
        <f>HYPERLINK("https://www.philgeps.gov.ph/GEPSNONPILOT/Tender/SplashBidNoticeAbstractUI.aspx?menuIndex=3&amp;refID=7186145&amp;Result=3","7186145")</f>
        <v>0</v>
      </c>
      <c r="B6577" t="s">
        <v>2213</v>
      </c>
      <c r="C6577" t="s">
        <v>9814</v>
      </c>
      <c r="D6577" t="s">
        <v>17172</v>
      </c>
      <c r="E6577" t="s">
        <v>17252</v>
      </c>
      <c r="F6577" t="s">
        <v>29372</v>
      </c>
      <c r="G6577" t="s">
        <v>29380</v>
      </c>
      <c r="H6577" t="s">
        <v>11048</v>
      </c>
      <c r="I6577" t="s">
        <v>8614</v>
      </c>
      <c r="J6577" t="s">
        <v>33764</v>
      </c>
      <c r="K6577" t="s">
        <v>38510</v>
      </c>
      <c r="M6577" t="s">
        <v>41130</v>
      </c>
      <c r="N6577" t="s">
        <v>42669</v>
      </c>
      <c r="O6577" t="s">
        <v>42670</v>
      </c>
      <c r="P6577">
        <v>0</v>
      </c>
      <c r="Q6577">
        <v>2</v>
      </c>
      <c r="R6577" t="s">
        <v>42677</v>
      </c>
      <c r="S6577" t="s">
        <v>42830</v>
      </c>
      <c r="T6577" t="s">
        <v>44525</v>
      </c>
      <c r="U6577" t="s">
        <v>50226</v>
      </c>
      <c r="W6577" t="s">
        <v>41130</v>
      </c>
      <c r="X6577" t="s">
        <v>42678</v>
      </c>
    </row>
    <row r="6578" spans="1:24">
      <c r="A6578">
        <f>HYPERLINK("https://www.philgeps.gov.ph/GEPSNONPILOT/Tender/SplashBidNoticeAbstractUI.aspx?menuIndex=3&amp;refID=7186134&amp;Result=3","7186134")</f>
        <v>0</v>
      </c>
      <c r="B6578" t="s">
        <v>186</v>
      </c>
      <c r="C6578" t="s">
        <v>9815</v>
      </c>
      <c r="D6578" t="s">
        <v>17198</v>
      </c>
      <c r="E6578" t="s">
        <v>22931</v>
      </c>
      <c r="F6578" t="s">
        <v>29372</v>
      </c>
      <c r="G6578" t="s">
        <v>29380</v>
      </c>
      <c r="H6578" t="s">
        <v>29389</v>
      </c>
      <c r="I6578" t="s">
        <v>10408</v>
      </c>
      <c r="J6578" t="s">
        <v>33765</v>
      </c>
      <c r="K6578" t="s">
        <v>38571</v>
      </c>
      <c r="M6578" t="s">
        <v>38943</v>
      </c>
      <c r="N6578" t="s">
        <v>42669</v>
      </c>
      <c r="O6578" t="s">
        <v>42670</v>
      </c>
      <c r="P6578">
        <v>0</v>
      </c>
      <c r="Q6578">
        <v>0</v>
      </c>
      <c r="R6578" t="s">
        <v>42677</v>
      </c>
      <c r="S6578" t="s">
        <v>42830</v>
      </c>
      <c r="T6578" t="s">
        <v>44517</v>
      </c>
      <c r="U6578" t="s">
        <v>50227</v>
      </c>
      <c r="W6578" t="s">
        <v>38943</v>
      </c>
      <c r="X6578" t="s">
        <v>42678</v>
      </c>
    </row>
    <row r="6579" spans="1:24">
      <c r="A6579">
        <f>HYPERLINK("https://www.philgeps.gov.ph/GEPSNONPILOT/Tender/SplashBidNoticeAbstractUI.aspx?menuIndex=3&amp;refID=7186056&amp;Result=3","7186056")</f>
        <v>0</v>
      </c>
      <c r="B6579" t="s">
        <v>2214</v>
      </c>
      <c r="C6579" t="s">
        <v>9816</v>
      </c>
      <c r="D6579" t="s">
        <v>17190</v>
      </c>
      <c r="E6579" t="s">
        <v>22932</v>
      </c>
      <c r="F6579" t="s">
        <v>29372</v>
      </c>
      <c r="G6579" t="s">
        <v>29380</v>
      </c>
      <c r="H6579" t="s">
        <v>29389</v>
      </c>
      <c r="I6579" t="s">
        <v>10408</v>
      </c>
      <c r="J6579" t="s">
        <v>33766</v>
      </c>
      <c r="K6579" t="s">
        <v>38526</v>
      </c>
      <c r="M6579" t="s">
        <v>41131</v>
      </c>
      <c r="N6579" t="s">
        <v>42669</v>
      </c>
      <c r="O6579" t="s">
        <v>42670</v>
      </c>
      <c r="P6579">
        <v>0</v>
      </c>
      <c r="Q6579">
        <v>0</v>
      </c>
      <c r="R6579" t="s">
        <v>42677</v>
      </c>
      <c r="S6579" t="s">
        <v>42830</v>
      </c>
      <c r="T6579" t="s">
        <v>44474</v>
      </c>
      <c r="U6579" t="s">
        <v>50228</v>
      </c>
      <c r="W6579" t="s">
        <v>41131</v>
      </c>
      <c r="X6579" t="s">
        <v>42678</v>
      </c>
    </row>
    <row r="6580" spans="1:24">
      <c r="A6580">
        <f>HYPERLINK("https://www.philgeps.gov.ph/GEPSNONPILOT/Tender/SplashBidNoticeAbstractUI.aspx?menuIndex=3&amp;refID=7186146&amp;Result=3","7186146")</f>
        <v>0</v>
      </c>
      <c r="B6580" t="s">
        <v>2181</v>
      </c>
      <c r="C6580" t="s">
        <v>9817</v>
      </c>
      <c r="E6580" t="s">
        <v>22933</v>
      </c>
      <c r="F6580" t="s">
        <v>29372</v>
      </c>
      <c r="G6580" t="s">
        <v>29379</v>
      </c>
      <c r="H6580" t="s">
        <v>11048</v>
      </c>
      <c r="I6580" t="s">
        <v>29465</v>
      </c>
      <c r="J6580" t="s">
        <v>33767</v>
      </c>
      <c r="K6580" t="s">
        <v>38510</v>
      </c>
      <c r="M6580" t="s">
        <v>41095</v>
      </c>
      <c r="N6580" t="s">
        <v>42669</v>
      </c>
      <c r="O6580" t="s">
        <v>42670</v>
      </c>
      <c r="P6580">
        <v>0</v>
      </c>
      <c r="Q6580">
        <v>0</v>
      </c>
      <c r="R6580" t="s">
        <v>42677</v>
      </c>
      <c r="S6580" t="s">
        <v>42830</v>
      </c>
      <c r="T6580" t="s">
        <v>44493</v>
      </c>
      <c r="U6580" t="s">
        <v>50229</v>
      </c>
      <c r="V6580" t="s">
        <v>57077</v>
      </c>
      <c r="W6580" t="s">
        <v>41095</v>
      </c>
      <c r="X6580" t="s">
        <v>42678</v>
      </c>
    </row>
    <row r="6581" spans="1:24">
      <c r="A6581">
        <f>HYPERLINK("https://www.philgeps.gov.ph/GEPSNONPILOT/Tender/SplashBidNoticeAbstractUI.aspx?menuIndex=3&amp;refID=7186127&amp;Result=3","7186127")</f>
        <v>0</v>
      </c>
      <c r="B6581" t="s">
        <v>1368</v>
      </c>
      <c r="C6581" t="s">
        <v>9818</v>
      </c>
      <c r="D6581" t="s">
        <v>17177</v>
      </c>
      <c r="E6581" t="s">
        <v>22934</v>
      </c>
      <c r="F6581" t="s">
        <v>29372</v>
      </c>
      <c r="G6581" t="s">
        <v>29380</v>
      </c>
      <c r="H6581" t="s">
        <v>29389</v>
      </c>
      <c r="I6581" t="s">
        <v>10408</v>
      </c>
      <c r="J6581" t="s">
        <v>33768</v>
      </c>
      <c r="K6581" t="s">
        <v>38667</v>
      </c>
      <c r="M6581" t="s">
        <v>41122</v>
      </c>
      <c r="N6581" t="s">
        <v>42669</v>
      </c>
      <c r="O6581" t="s">
        <v>42670</v>
      </c>
      <c r="P6581">
        <v>0</v>
      </c>
      <c r="Q6581">
        <v>1</v>
      </c>
      <c r="R6581" t="s">
        <v>42677</v>
      </c>
      <c r="S6581" t="s">
        <v>42830</v>
      </c>
      <c r="T6581" t="s">
        <v>44664</v>
      </c>
      <c r="U6581" t="s">
        <v>50230</v>
      </c>
      <c r="W6581" t="s">
        <v>41122</v>
      </c>
      <c r="X6581" t="s">
        <v>42678</v>
      </c>
    </row>
    <row r="6582" spans="1:24">
      <c r="A6582">
        <f>HYPERLINK("https://www.philgeps.gov.ph/GEPSNONPILOT/Tender/SplashBidNoticeAbstractUI.aspx?menuIndex=3&amp;refID=7186126&amp;Result=3","7186126")</f>
        <v>0</v>
      </c>
      <c r="B6582" t="s">
        <v>2215</v>
      </c>
      <c r="C6582" t="s">
        <v>9819</v>
      </c>
      <c r="D6582" t="s">
        <v>17158</v>
      </c>
      <c r="E6582" t="s">
        <v>22935</v>
      </c>
      <c r="F6582" t="s">
        <v>29372</v>
      </c>
      <c r="G6582" t="s">
        <v>29380</v>
      </c>
      <c r="H6582" t="s">
        <v>11048</v>
      </c>
      <c r="I6582" t="s">
        <v>29415</v>
      </c>
      <c r="J6582" t="s">
        <v>33769</v>
      </c>
      <c r="K6582" t="s">
        <v>38485</v>
      </c>
      <c r="M6582" t="s">
        <v>41132</v>
      </c>
      <c r="N6582" t="s">
        <v>42669</v>
      </c>
      <c r="O6582" t="s">
        <v>42670</v>
      </c>
      <c r="P6582">
        <v>0</v>
      </c>
      <c r="Q6582">
        <v>1</v>
      </c>
      <c r="R6582" t="s">
        <v>42677</v>
      </c>
      <c r="S6582" t="s">
        <v>42830</v>
      </c>
      <c r="T6582" t="s">
        <v>44731</v>
      </c>
      <c r="U6582" t="s">
        <v>50231</v>
      </c>
      <c r="W6582" t="s">
        <v>41132</v>
      </c>
      <c r="X6582" t="s">
        <v>42678</v>
      </c>
    </row>
    <row r="6583" spans="1:24">
      <c r="A6583">
        <f>HYPERLINK("https://www.philgeps.gov.ph/GEPSNONPILOT/Tender/SplashBidNoticeAbstractUI.aspx?menuIndex=3&amp;refID=7186137&amp;Result=3","7186137")</f>
        <v>0</v>
      </c>
      <c r="B6583" t="s">
        <v>2165</v>
      </c>
      <c r="C6583" t="s">
        <v>9820</v>
      </c>
      <c r="D6583" t="s">
        <v>17197</v>
      </c>
      <c r="E6583" t="s">
        <v>22936</v>
      </c>
      <c r="F6583" t="s">
        <v>29372</v>
      </c>
      <c r="G6583" t="s">
        <v>29380</v>
      </c>
      <c r="H6583" t="s">
        <v>11048</v>
      </c>
      <c r="I6583" t="s">
        <v>29407</v>
      </c>
      <c r="J6583" t="s">
        <v>29774</v>
      </c>
      <c r="K6583" t="s">
        <v>38485</v>
      </c>
      <c r="M6583" t="s">
        <v>41076</v>
      </c>
      <c r="N6583" t="s">
        <v>42669</v>
      </c>
      <c r="O6583" t="s">
        <v>42670</v>
      </c>
      <c r="P6583">
        <v>0</v>
      </c>
      <c r="Q6583">
        <v>10</v>
      </c>
      <c r="R6583" t="s">
        <v>42677</v>
      </c>
      <c r="S6583" t="s">
        <v>42830</v>
      </c>
      <c r="T6583" t="s">
        <v>44729</v>
      </c>
      <c r="U6583" t="s">
        <v>50232</v>
      </c>
      <c r="W6583" t="s">
        <v>41076</v>
      </c>
      <c r="X6583" t="s">
        <v>42678</v>
      </c>
    </row>
    <row r="6584" spans="1:24">
      <c r="A6584">
        <f>HYPERLINK("https://www.philgeps.gov.ph/GEPSNONPILOT/Tender/SplashBidNoticeAbstractUI.aspx?menuIndex=3&amp;refID=7186123&amp;Result=3","7186123")</f>
        <v>0</v>
      </c>
      <c r="B6584" t="s">
        <v>2209</v>
      </c>
      <c r="C6584" t="s">
        <v>9821</v>
      </c>
      <c r="D6584" t="s">
        <v>17171</v>
      </c>
      <c r="E6584" t="s">
        <v>22937</v>
      </c>
      <c r="F6584" t="s">
        <v>29372</v>
      </c>
      <c r="G6584" t="s">
        <v>29380</v>
      </c>
      <c r="H6584" t="s">
        <v>11048</v>
      </c>
      <c r="I6584" t="s">
        <v>29393</v>
      </c>
      <c r="J6584" t="s">
        <v>33770</v>
      </c>
      <c r="K6584" t="s">
        <v>38490</v>
      </c>
      <c r="M6584" t="s">
        <v>41126</v>
      </c>
      <c r="N6584" t="s">
        <v>42669</v>
      </c>
      <c r="O6584" t="s">
        <v>42670</v>
      </c>
      <c r="P6584">
        <v>0</v>
      </c>
      <c r="Q6584">
        <v>0</v>
      </c>
      <c r="R6584" t="s">
        <v>42677</v>
      </c>
      <c r="S6584" t="s">
        <v>42830</v>
      </c>
      <c r="T6584" t="s">
        <v>44714</v>
      </c>
      <c r="U6584" t="s">
        <v>50233</v>
      </c>
      <c r="W6584" t="s">
        <v>58071</v>
      </c>
      <c r="X6584" t="s">
        <v>42678</v>
      </c>
    </row>
    <row r="6585" spans="1:24">
      <c r="A6585">
        <f>HYPERLINK("https://www.philgeps.gov.ph/GEPSNONPILOT/Tender/SplashBidNoticeAbstractUI.aspx?menuIndex=3&amp;refID=7186132&amp;Result=3","7186132")</f>
        <v>0</v>
      </c>
      <c r="B6585" t="s">
        <v>339</v>
      </c>
      <c r="C6585" t="s">
        <v>9822</v>
      </c>
      <c r="D6585" t="s">
        <v>17156</v>
      </c>
      <c r="E6585" t="s">
        <v>9822</v>
      </c>
      <c r="F6585" t="s">
        <v>29372</v>
      </c>
      <c r="G6585" t="s">
        <v>29380</v>
      </c>
      <c r="H6585" t="s">
        <v>11048</v>
      </c>
      <c r="I6585" t="s">
        <v>14920</v>
      </c>
      <c r="J6585" t="s">
        <v>33771</v>
      </c>
      <c r="K6585" t="s">
        <v>38485</v>
      </c>
      <c r="M6585" t="s">
        <v>39651</v>
      </c>
      <c r="N6585" t="s">
        <v>42669</v>
      </c>
      <c r="O6585" t="s">
        <v>42670</v>
      </c>
      <c r="P6585">
        <v>0</v>
      </c>
      <c r="Q6585">
        <v>1</v>
      </c>
      <c r="R6585" t="s">
        <v>42677</v>
      </c>
      <c r="S6585" t="s">
        <v>42830</v>
      </c>
      <c r="T6585" t="s">
        <v>44414</v>
      </c>
      <c r="U6585" t="s">
        <v>50234</v>
      </c>
      <c r="W6585" t="s">
        <v>39651</v>
      </c>
      <c r="X6585" t="s">
        <v>42678</v>
      </c>
    </row>
    <row r="6586" spans="1:24">
      <c r="A6586">
        <f>HYPERLINK("https://www.philgeps.gov.ph/GEPSNONPILOT/Tender/SplashBidNoticeAbstractUI.aspx?menuIndex=3&amp;refID=7186149&amp;Result=3","7186149")</f>
        <v>0</v>
      </c>
      <c r="B6586" t="s">
        <v>100</v>
      </c>
      <c r="C6586" t="s">
        <v>9823</v>
      </c>
      <c r="D6586" t="s">
        <v>17178</v>
      </c>
      <c r="E6586" t="s">
        <v>22938</v>
      </c>
      <c r="F6586" t="s">
        <v>29372</v>
      </c>
      <c r="G6586" t="s">
        <v>29380</v>
      </c>
      <c r="H6586" t="s">
        <v>11048</v>
      </c>
      <c r="I6586" t="s">
        <v>4709</v>
      </c>
      <c r="J6586" t="s">
        <v>33772</v>
      </c>
      <c r="K6586" t="s">
        <v>38488</v>
      </c>
      <c r="M6586" t="s">
        <v>38854</v>
      </c>
      <c r="N6586" t="s">
        <v>42669</v>
      </c>
      <c r="O6586" t="s">
        <v>42670</v>
      </c>
      <c r="P6586">
        <v>0</v>
      </c>
      <c r="Q6586">
        <v>0</v>
      </c>
      <c r="R6586" t="s">
        <v>42677</v>
      </c>
      <c r="S6586" t="s">
        <v>42830</v>
      </c>
      <c r="T6586" t="s">
        <v>44399</v>
      </c>
      <c r="U6586" t="s">
        <v>50235</v>
      </c>
      <c r="W6586" t="s">
        <v>38854</v>
      </c>
      <c r="X6586" t="s">
        <v>42678</v>
      </c>
    </row>
    <row r="6587" spans="1:24">
      <c r="A6587">
        <f>HYPERLINK("https://www.philgeps.gov.ph/GEPSNONPILOT/Tender/SplashBidNoticeAbstractUI.aspx?menuIndex=3&amp;refID=7186131&amp;Result=3","7186131")</f>
        <v>0</v>
      </c>
      <c r="B6587" t="s">
        <v>2216</v>
      </c>
      <c r="C6587" t="s">
        <v>9824</v>
      </c>
      <c r="D6587" t="s">
        <v>17144</v>
      </c>
      <c r="E6587" t="s">
        <v>22939</v>
      </c>
      <c r="F6587" t="s">
        <v>29372</v>
      </c>
      <c r="G6587" t="s">
        <v>29380</v>
      </c>
      <c r="H6587" t="s">
        <v>29389</v>
      </c>
      <c r="I6587" t="s">
        <v>10408</v>
      </c>
      <c r="J6587" t="s">
        <v>33773</v>
      </c>
      <c r="K6587" t="s">
        <v>38584</v>
      </c>
      <c r="M6587" t="s">
        <v>41133</v>
      </c>
      <c r="N6587" t="s">
        <v>42669</v>
      </c>
      <c r="O6587" t="s">
        <v>42670</v>
      </c>
      <c r="P6587">
        <v>0</v>
      </c>
      <c r="Q6587">
        <v>1</v>
      </c>
      <c r="R6587" t="s">
        <v>42677</v>
      </c>
      <c r="S6587" t="s">
        <v>42830</v>
      </c>
      <c r="T6587" t="s">
        <v>44375</v>
      </c>
      <c r="U6587" t="s">
        <v>50236</v>
      </c>
      <c r="V6587" t="s">
        <v>57092</v>
      </c>
      <c r="W6587" t="s">
        <v>41133</v>
      </c>
      <c r="X6587" t="s">
        <v>42678</v>
      </c>
    </row>
    <row r="6588" spans="1:24">
      <c r="A6588">
        <f>HYPERLINK("https://www.philgeps.gov.ph/GEPSNONPILOT/Tender/SplashBidNoticeAbstractUI.aspx?menuIndex=3&amp;refID=7186199&amp;Result=3","7186199")</f>
        <v>0</v>
      </c>
      <c r="B6588" t="s">
        <v>863</v>
      </c>
      <c r="C6588" t="s">
        <v>9825</v>
      </c>
      <c r="D6588" t="s">
        <v>17193</v>
      </c>
      <c r="E6588" t="s">
        <v>22940</v>
      </c>
      <c r="F6588" t="s">
        <v>29372</v>
      </c>
      <c r="G6588" t="s">
        <v>29380</v>
      </c>
      <c r="H6588" t="s">
        <v>29389</v>
      </c>
      <c r="I6588" t="s">
        <v>10408</v>
      </c>
      <c r="J6588" t="s">
        <v>33774</v>
      </c>
      <c r="K6588" t="s">
        <v>38531</v>
      </c>
      <c r="M6588" t="s">
        <v>39655</v>
      </c>
      <c r="N6588" t="s">
        <v>42669</v>
      </c>
      <c r="O6588" t="s">
        <v>42670</v>
      </c>
      <c r="P6588">
        <v>0</v>
      </c>
      <c r="Q6588">
        <v>1</v>
      </c>
      <c r="R6588" t="s">
        <v>42677</v>
      </c>
      <c r="S6588" t="s">
        <v>42830</v>
      </c>
      <c r="T6588" t="s">
        <v>44732</v>
      </c>
      <c r="U6588" t="s">
        <v>50237</v>
      </c>
      <c r="W6588" t="s">
        <v>39655</v>
      </c>
      <c r="X6588" t="s">
        <v>42678</v>
      </c>
    </row>
    <row r="6589" spans="1:24">
      <c r="A6589">
        <f>HYPERLINK("https://www.philgeps.gov.ph/GEPSNONPILOT/Tender/SplashBidNoticeAbstractUI.aspx?menuIndex=3&amp;refID=7186058&amp;Result=3","7186058")</f>
        <v>0</v>
      </c>
      <c r="B6589" t="s">
        <v>2217</v>
      </c>
      <c r="C6589" t="s">
        <v>9826</v>
      </c>
      <c r="D6589" t="s">
        <v>17237</v>
      </c>
      <c r="E6589" t="s">
        <v>22941</v>
      </c>
      <c r="F6589" t="s">
        <v>29372</v>
      </c>
      <c r="G6589" t="s">
        <v>29379</v>
      </c>
      <c r="H6589" t="s">
        <v>11048</v>
      </c>
      <c r="I6589" t="s">
        <v>29437</v>
      </c>
      <c r="J6589" t="s">
        <v>32253</v>
      </c>
      <c r="K6589" t="s">
        <v>38511</v>
      </c>
      <c r="M6589" t="s">
        <v>41134</v>
      </c>
      <c r="N6589" t="s">
        <v>42669</v>
      </c>
      <c r="O6589" t="s">
        <v>42670</v>
      </c>
      <c r="P6589">
        <v>0</v>
      </c>
      <c r="Q6589">
        <v>1</v>
      </c>
      <c r="R6589" t="s">
        <v>42677</v>
      </c>
      <c r="S6589" t="s">
        <v>42830</v>
      </c>
      <c r="T6589" t="s">
        <v>44496</v>
      </c>
      <c r="U6589" t="s">
        <v>50238</v>
      </c>
      <c r="W6589" t="s">
        <v>41134</v>
      </c>
      <c r="X6589" t="s">
        <v>42678</v>
      </c>
    </row>
    <row r="6590" spans="1:24">
      <c r="A6590">
        <f>HYPERLINK("https://www.philgeps.gov.ph/GEPSNONPILOT/Tender/SplashBidNoticeAbstractUI.aspx?menuIndex=3&amp;refID=7186195&amp;Result=3","7186195")</f>
        <v>0</v>
      </c>
      <c r="B6590" t="s">
        <v>1856</v>
      </c>
      <c r="C6590" t="s">
        <v>9827</v>
      </c>
      <c r="D6590" t="s">
        <v>17144</v>
      </c>
      <c r="E6590" t="s">
        <v>22942</v>
      </c>
      <c r="F6590" t="s">
        <v>29372</v>
      </c>
      <c r="G6590" t="s">
        <v>29379</v>
      </c>
      <c r="H6590" t="s">
        <v>11048</v>
      </c>
      <c r="I6590" t="s">
        <v>29435</v>
      </c>
      <c r="J6590" t="s">
        <v>29804</v>
      </c>
      <c r="K6590" t="s">
        <v>38491</v>
      </c>
      <c r="M6590" t="s">
        <v>40907</v>
      </c>
      <c r="N6590" t="s">
        <v>42669</v>
      </c>
      <c r="O6590" t="s">
        <v>42670</v>
      </c>
      <c r="P6590">
        <v>0</v>
      </c>
      <c r="Q6590">
        <v>2</v>
      </c>
      <c r="R6590" t="s">
        <v>42677</v>
      </c>
      <c r="S6590" t="s">
        <v>42830</v>
      </c>
      <c r="T6590" t="s">
        <v>44493</v>
      </c>
      <c r="U6590" t="s">
        <v>50239</v>
      </c>
      <c r="W6590" t="s">
        <v>40907</v>
      </c>
      <c r="X6590" t="s">
        <v>42678</v>
      </c>
    </row>
    <row r="6591" spans="1:24">
      <c r="A6591">
        <f>HYPERLINK("https://www.philgeps.gov.ph/GEPSNONPILOT/Tender/SplashBidNoticeAbstractUI.aspx?menuIndex=3&amp;refID=7186079&amp;Result=3","7186079")</f>
        <v>0</v>
      </c>
      <c r="B6591" t="s">
        <v>1125</v>
      </c>
      <c r="C6591" t="s">
        <v>9828</v>
      </c>
      <c r="D6591" t="s">
        <v>17151</v>
      </c>
      <c r="E6591" t="s">
        <v>22943</v>
      </c>
      <c r="F6591" t="s">
        <v>29372</v>
      </c>
      <c r="G6591" t="s">
        <v>29380</v>
      </c>
      <c r="H6591" t="s">
        <v>11048</v>
      </c>
      <c r="I6591" t="s">
        <v>14920</v>
      </c>
      <c r="J6591" t="s">
        <v>33775</v>
      </c>
      <c r="K6591" t="s">
        <v>38491</v>
      </c>
      <c r="M6591" t="s">
        <v>39935</v>
      </c>
      <c r="N6591" t="s">
        <v>42669</v>
      </c>
      <c r="O6591" t="s">
        <v>42670</v>
      </c>
      <c r="P6591">
        <v>0</v>
      </c>
      <c r="Q6591">
        <v>0</v>
      </c>
      <c r="R6591" t="s">
        <v>42677</v>
      </c>
      <c r="S6591" t="s">
        <v>42830</v>
      </c>
      <c r="T6591" t="s">
        <v>44587</v>
      </c>
      <c r="U6591" t="s">
        <v>47278</v>
      </c>
      <c r="V6591" t="s">
        <v>57093</v>
      </c>
      <c r="W6591" t="s">
        <v>39935</v>
      </c>
      <c r="X6591" t="s">
        <v>42678</v>
      </c>
    </row>
    <row r="6592" spans="1:24">
      <c r="A6592">
        <f>HYPERLINK("https://www.philgeps.gov.ph/GEPSNONPILOT/Tender/SplashBidNoticeAbstractUI.aspx?menuIndex=3&amp;refID=7186190&amp;Result=3","7186190")</f>
        <v>0</v>
      </c>
      <c r="B6592" t="s">
        <v>186</v>
      </c>
      <c r="C6592" t="s">
        <v>9829</v>
      </c>
      <c r="D6592" t="s">
        <v>17198</v>
      </c>
      <c r="E6592" t="s">
        <v>22944</v>
      </c>
      <c r="F6592" t="s">
        <v>29372</v>
      </c>
      <c r="G6592" t="s">
        <v>29380</v>
      </c>
      <c r="H6592" t="s">
        <v>29389</v>
      </c>
      <c r="I6592" t="s">
        <v>10408</v>
      </c>
      <c r="J6592" t="s">
        <v>33776</v>
      </c>
      <c r="K6592" t="s">
        <v>38557</v>
      </c>
      <c r="M6592" t="s">
        <v>38943</v>
      </c>
      <c r="N6592" t="s">
        <v>42669</v>
      </c>
      <c r="O6592" t="s">
        <v>42670</v>
      </c>
      <c r="P6592">
        <v>0</v>
      </c>
      <c r="Q6592">
        <v>0</v>
      </c>
      <c r="R6592" t="s">
        <v>42677</v>
      </c>
      <c r="S6592" t="s">
        <v>42830</v>
      </c>
      <c r="T6592" t="s">
        <v>44517</v>
      </c>
      <c r="U6592" t="s">
        <v>50240</v>
      </c>
      <c r="W6592" t="s">
        <v>38943</v>
      </c>
      <c r="X6592" t="s">
        <v>42678</v>
      </c>
    </row>
    <row r="6593" spans="1:24">
      <c r="A6593">
        <f>HYPERLINK("https://www.philgeps.gov.ph/GEPSNONPILOT/Tender/SplashBidNoticeAbstractUI.aspx?menuIndex=3&amp;refID=7186184&amp;Result=3","7186184")</f>
        <v>0</v>
      </c>
      <c r="B6593" t="s">
        <v>339</v>
      </c>
      <c r="C6593" t="s">
        <v>9830</v>
      </c>
      <c r="D6593" t="s">
        <v>17156</v>
      </c>
      <c r="E6593" t="s">
        <v>9830</v>
      </c>
      <c r="F6593" t="s">
        <v>29372</v>
      </c>
      <c r="G6593" t="s">
        <v>29380</v>
      </c>
      <c r="H6593" t="s">
        <v>11048</v>
      </c>
      <c r="I6593" t="s">
        <v>8614</v>
      </c>
      <c r="J6593" t="s">
        <v>33777</v>
      </c>
      <c r="K6593" t="s">
        <v>38485</v>
      </c>
      <c r="M6593" t="s">
        <v>39651</v>
      </c>
      <c r="N6593" t="s">
        <v>42669</v>
      </c>
      <c r="O6593" t="s">
        <v>42670</v>
      </c>
      <c r="P6593">
        <v>0</v>
      </c>
      <c r="Q6593">
        <v>1</v>
      </c>
      <c r="R6593" t="s">
        <v>42677</v>
      </c>
      <c r="S6593" t="s">
        <v>42830</v>
      </c>
      <c r="T6593" t="s">
        <v>44414</v>
      </c>
      <c r="U6593" t="s">
        <v>50241</v>
      </c>
      <c r="W6593" t="s">
        <v>39651</v>
      </c>
      <c r="X6593" t="s">
        <v>42678</v>
      </c>
    </row>
    <row r="6594" spans="1:24">
      <c r="A6594">
        <f>HYPERLINK("https://www.philgeps.gov.ph/GEPSNONPILOT/Tender/SplashBidNoticeAbstractUI.aspx?menuIndex=3&amp;refID=7186183&amp;Result=3","7186183")</f>
        <v>0</v>
      </c>
      <c r="B6594" t="s">
        <v>35</v>
      </c>
      <c r="C6594" t="s">
        <v>9831</v>
      </c>
      <c r="D6594" t="s">
        <v>17149</v>
      </c>
      <c r="E6594" t="s">
        <v>22945</v>
      </c>
      <c r="F6594" t="s">
        <v>29372</v>
      </c>
      <c r="G6594" t="s">
        <v>29380</v>
      </c>
      <c r="H6594" t="s">
        <v>11048</v>
      </c>
      <c r="I6594" t="s">
        <v>5383</v>
      </c>
      <c r="J6594" t="s">
        <v>33778</v>
      </c>
      <c r="K6594" t="s">
        <v>38490</v>
      </c>
      <c r="M6594" t="s">
        <v>41135</v>
      </c>
      <c r="N6594" t="s">
        <v>42669</v>
      </c>
      <c r="O6594" t="s">
        <v>42670</v>
      </c>
      <c r="P6594">
        <v>0</v>
      </c>
      <c r="Q6594">
        <v>2</v>
      </c>
      <c r="R6594" t="s">
        <v>42677</v>
      </c>
      <c r="S6594" t="s">
        <v>42830</v>
      </c>
      <c r="T6594" t="s">
        <v>44478</v>
      </c>
      <c r="U6594" t="s">
        <v>50242</v>
      </c>
      <c r="W6594" t="s">
        <v>58072</v>
      </c>
      <c r="X6594" t="s">
        <v>42678</v>
      </c>
    </row>
    <row r="6595" spans="1:24">
      <c r="A6595">
        <f>HYPERLINK("https://www.philgeps.gov.ph/GEPSNONPILOT/Tender/SplashBidNoticeAbstractUI.aspx?menuIndex=3&amp;refID=7186181&amp;Result=3","7186181")</f>
        <v>0</v>
      </c>
      <c r="B6595" t="s">
        <v>2217</v>
      </c>
      <c r="C6595" t="s">
        <v>9832</v>
      </c>
      <c r="D6595" t="s">
        <v>17168</v>
      </c>
      <c r="E6595" t="s">
        <v>22946</v>
      </c>
      <c r="F6595" t="s">
        <v>29372</v>
      </c>
      <c r="G6595" t="s">
        <v>29379</v>
      </c>
      <c r="H6595" t="s">
        <v>29390</v>
      </c>
      <c r="I6595" t="s">
        <v>8208</v>
      </c>
      <c r="J6595" t="s">
        <v>30432</v>
      </c>
      <c r="K6595" t="s">
        <v>38511</v>
      </c>
      <c r="M6595" t="s">
        <v>41134</v>
      </c>
      <c r="N6595" t="s">
        <v>42669</v>
      </c>
      <c r="O6595" t="s">
        <v>42670</v>
      </c>
      <c r="P6595">
        <v>0</v>
      </c>
      <c r="Q6595">
        <v>1</v>
      </c>
      <c r="R6595" t="s">
        <v>42677</v>
      </c>
      <c r="S6595" t="s">
        <v>42830</v>
      </c>
      <c r="T6595" t="s">
        <v>44496</v>
      </c>
      <c r="U6595" t="s">
        <v>50243</v>
      </c>
      <c r="W6595" t="s">
        <v>41134</v>
      </c>
      <c r="X6595" t="s">
        <v>42678</v>
      </c>
    </row>
    <row r="6596" spans="1:24">
      <c r="A6596">
        <f>HYPERLINK("https://www.philgeps.gov.ph/GEPSNONPILOT/Tender/SplashBidNoticeAbstractUI.aspx?menuIndex=3&amp;refID=7186177&amp;Result=3","7186177")</f>
        <v>0</v>
      </c>
      <c r="B6596" t="s">
        <v>2218</v>
      </c>
      <c r="C6596" t="s">
        <v>9833</v>
      </c>
      <c r="D6596" t="s">
        <v>17188</v>
      </c>
      <c r="E6596" t="s">
        <v>22947</v>
      </c>
      <c r="F6596" t="s">
        <v>29372</v>
      </c>
      <c r="G6596" t="s">
        <v>29380</v>
      </c>
      <c r="H6596" t="s">
        <v>11048</v>
      </c>
      <c r="I6596" t="s">
        <v>4709</v>
      </c>
      <c r="J6596" t="s">
        <v>33779</v>
      </c>
      <c r="K6596" t="s">
        <v>38485</v>
      </c>
      <c r="M6596" t="s">
        <v>41136</v>
      </c>
      <c r="N6596" t="s">
        <v>42669</v>
      </c>
      <c r="O6596" t="s">
        <v>42670</v>
      </c>
      <c r="P6596">
        <v>0</v>
      </c>
      <c r="Q6596">
        <v>0</v>
      </c>
      <c r="R6596" t="s">
        <v>42677</v>
      </c>
      <c r="S6596" t="s">
        <v>42830</v>
      </c>
      <c r="T6596" t="s">
        <v>44355</v>
      </c>
      <c r="U6596" t="s">
        <v>50244</v>
      </c>
      <c r="W6596" t="s">
        <v>58073</v>
      </c>
      <c r="X6596" t="s">
        <v>42678</v>
      </c>
    </row>
    <row r="6597" spans="1:24">
      <c r="A6597">
        <f>HYPERLINK("https://www.philgeps.gov.ph/GEPSNONPILOT/Tender/SplashBidNoticeAbstractUI.aspx?menuIndex=3&amp;refID=7186200&amp;Result=3","7186200")</f>
        <v>0</v>
      </c>
      <c r="B6597" t="s">
        <v>2219</v>
      </c>
      <c r="C6597" t="s">
        <v>9834</v>
      </c>
      <c r="D6597" t="s">
        <v>17180</v>
      </c>
      <c r="E6597" t="s">
        <v>22948</v>
      </c>
      <c r="F6597" t="s">
        <v>29372</v>
      </c>
      <c r="G6597" t="s">
        <v>29380</v>
      </c>
      <c r="H6597" t="s">
        <v>11048</v>
      </c>
      <c r="I6597" t="s">
        <v>4709</v>
      </c>
      <c r="J6597" t="s">
        <v>33780</v>
      </c>
      <c r="K6597" t="s">
        <v>38538</v>
      </c>
      <c r="M6597" t="s">
        <v>41137</v>
      </c>
      <c r="N6597" t="s">
        <v>42669</v>
      </c>
      <c r="O6597" t="s">
        <v>42670</v>
      </c>
      <c r="P6597">
        <v>0</v>
      </c>
      <c r="Q6597">
        <v>1</v>
      </c>
      <c r="R6597" t="s">
        <v>42677</v>
      </c>
      <c r="S6597" t="s">
        <v>42830</v>
      </c>
      <c r="T6597" t="s">
        <v>44429</v>
      </c>
      <c r="U6597" t="s">
        <v>48484</v>
      </c>
      <c r="W6597" t="s">
        <v>41137</v>
      </c>
      <c r="X6597" t="s">
        <v>42678</v>
      </c>
    </row>
    <row r="6598" spans="1:24">
      <c r="A6598">
        <f>HYPERLINK("https://www.philgeps.gov.ph/GEPSNONPILOT/Tender/SplashBidNoticeAbstractUI.aspx?menuIndex=3&amp;refID=7186176&amp;Result=3","7186176")</f>
        <v>0</v>
      </c>
      <c r="B6598" t="s">
        <v>1191</v>
      </c>
      <c r="C6598" t="s">
        <v>9835</v>
      </c>
      <c r="D6598" t="s">
        <v>17148</v>
      </c>
      <c r="E6598" t="s">
        <v>22949</v>
      </c>
      <c r="F6598" t="s">
        <v>29372</v>
      </c>
      <c r="G6598" t="s">
        <v>29380</v>
      </c>
      <c r="H6598" t="s">
        <v>29389</v>
      </c>
      <c r="I6598" t="s">
        <v>10408</v>
      </c>
      <c r="J6598" t="s">
        <v>30056</v>
      </c>
      <c r="K6598" t="s">
        <v>38527</v>
      </c>
      <c r="M6598" t="s">
        <v>40007</v>
      </c>
      <c r="N6598" t="s">
        <v>42669</v>
      </c>
      <c r="O6598" t="s">
        <v>42670</v>
      </c>
      <c r="P6598">
        <v>0</v>
      </c>
      <c r="Q6598">
        <v>45</v>
      </c>
      <c r="R6598" t="s">
        <v>42677</v>
      </c>
      <c r="S6598" t="s">
        <v>42830</v>
      </c>
      <c r="T6598" t="s">
        <v>44463</v>
      </c>
      <c r="U6598" t="s">
        <v>50245</v>
      </c>
      <c r="V6598" t="s">
        <v>56381</v>
      </c>
      <c r="W6598" t="s">
        <v>40007</v>
      </c>
      <c r="X6598" t="s">
        <v>42678</v>
      </c>
    </row>
    <row r="6599" spans="1:24">
      <c r="A6599">
        <f>HYPERLINK("https://www.philgeps.gov.ph/GEPSNONPILOT/Tender/SplashBidNoticeAbstractUI.aspx?menuIndex=3&amp;refID=7186196&amp;Result=3","7186196")</f>
        <v>0</v>
      </c>
      <c r="B6599" t="s">
        <v>2220</v>
      </c>
      <c r="C6599" t="s">
        <v>9836</v>
      </c>
      <c r="D6599" t="s">
        <v>17170</v>
      </c>
      <c r="E6599" t="s">
        <v>22950</v>
      </c>
      <c r="F6599" t="s">
        <v>29372</v>
      </c>
      <c r="G6599" t="s">
        <v>29379</v>
      </c>
      <c r="H6599" t="s">
        <v>11048</v>
      </c>
      <c r="I6599" t="s">
        <v>29456</v>
      </c>
      <c r="J6599" t="s">
        <v>33781</v>
      </c>
      <c r="K6599" t="s">
        <v>38485</v>
      </c>
      <c r="M6599" t="s">
        <v>41138</v>
      </c>
      <c r="N6599" t="s">
        <v>42669</v>
      </c>
      <c r="O6599" t="s">
        <v>42670</v>
      </c>
      <c r="P6599">
        <v>0</v>
      </c>
      <c r="Q6599">
        <v>2</v>
      </c>
      <c r="R6599" t="s">
        <v>42677</v>
      </c>
      <c r="S6599" t="s">
        <v>42830</v>
      </c>
      <c r="T6599" t="s">
        <v>44394</v>
      </c>
      <c r="U6599" t="s">
        <v>50246</v>
      </c>
      <c r="W6599" t="s">
        <v>41138</v>
      </c>
      <c r="X6599" t="s">
        <v>42678</v>
      </c>
    </row>
    <row r="6600" spans="1:24">
      <c r="A6600">
        <f>HYPERLINK("https://www.philgeps.gov.ph/GEPSNONPILOT/Tender/SplashBidNoticeAbstractUI.aspx?menuIndex=3&amp;refID=7186171&amp;Result=3","7186171")</f>
        <v>0</v>
      </c>
      <c r="B6600" t="s">
        <v>863</v>
      </c>
      <c r="C6600" t="s">
        <v>9837</v>
      </c>
      <c r="D6600" t="s">
        <v>17193</v>
      </c>
      <c r="E6600" t="s">
        <v>22951</v>
      </c>
      <c r="F6600" t="s">
        <v>29372</v>
      </c>
      <c r="G6600" t="s">
        <v>29380</v>
      </c>
      <c r="H6600" t="s">
        <v>29389</v>
      </c>
      <c r="I6600" t="s">
        <v>10408</v>
      </c>
      <c r="J6600" t="s">
        <v>33782</v>
      </c>
      <c r="K6600" t="s">
        <v>38557</v>
      </c>
      <c r="M6600" t="s">
        <v>39655</v>
      </c>
      <c r="N6600" t="s">
        <v>42669</v>
      </c>
      <c r="O6600" t="s">
        <v>42670</v>
      </c>
      <c r="P6600">
        <v>0</v>
      </c>
      <c r="Q6600">
        <v>0</v>
      </c>
      <c r="R6600" t="s">
        <v>42677</v>
      </c>
      <c r="S6600" t="s">
        <v>42830</v>
      </c>
      <c r="T6600" t="s">
        <v>44727</v>
      </c>
      <c r="U6600" t="s">
        <v>50247</v>
      </c>
      <c r="W6600" t="s">
        <v>39655</v>
      </c>
      <c r="X6600" t="s">
        <v>42678</v>
      </c>
    </row>
    <row r="6601" spans="1:24">
      <c r="A6601">
        <f>HYPERLINK("https://www.philgeps.gov.ph/GEPSNONPILOT/Tender/SplashBidNoticeAbstractUI.aspx?menuIndex=3&amp;refID=7186161&amp;Result=3","7186161")</f>
        <v>0</v>
      </c>
      <c r="B6601" t="s">
        <v>339</v>
      </c>
      <c r="C6601" t="s">
        <v>9838</v>
      </c>
      <c r="D6601" t="s">
        <v>17156</v>
      </c>
      <c r="E6601" t="s">
        <v>22952</v>
      </c>
      <c r="F6601" t="s">
        <v>29372</v>
      </c>
      <c r="G6601" t="s">
        <v>29380</v>
      </c>
      <c r="H6601" t="s">
        <v>11048</v>
      </c>
      <c r="I6601" t="s">
        <v>3839</v>
      </c>
      <c r="J6601" t="s">
        <v>33783</v>
      </c>
      <c r="K6601" t="s">
        <v>38485</v>
      </c>
      <c r="M6601" t="s">
        <v>39651</v>
      </c>
      <c r="N6601" t="s">
        <v>42669</v>
      </c>
      <c r="O6601" t="s">
        <v>42670</v>
      </c>
      <c r="P6601">
        <v>0</v>
      </c>
      <c r="Q6601">
        <v>0</v>
      </c>
      <c r="R6601" t="s">
        <v>42677</v>
      </c>
      <c r="S6601" t="s">
        <v>42830</v>
      </c>
      <c r="T6601" t="s">
        <v>44414</v>
      </c>
      <c r="U6601" t="s">
        <v>50248</v>
      </c>
      <c r="W6601" t="s">
        <v>39651</v>
      </c>
      <c r="X6601" t="s">
        <v>42678</v>
      </c>
    </row>
    <row r="6602" spans="1:24">
      <c r="A6602">
        <f>HYPERLINK("https://www.philgeps.gov.ph/GEPSNONPILOT/Tender/SplashBidNoticeAbstractUI.aspx?menuIndex=3&amp;refID=7186160&amp;Result=3","7186160")</f>
        <v>0</v>
      </c>
      <c r="B6602" t="s">
        <v>511</v>
      </c>
      <c r="C6602" t="s">
        <v>9839</v>
      </c>
      <c r="D6602" t="s">
        <v>17163</v>
      </c>
      <c r="E6602" t="s">
        <v>22953</v>
      </c>
      <c r="F6602" t="s">
        <v>29372</v>
      </c>
      <c r="G6602" t="s">
        <v>29383</v>
      </c>
      <c r="H6602" t="s">
        <v>11048</v>
      </c>
      <c r="I6602" t="s">
        <v>29407</v>
      </c>
      <c r="J6602" t="s">
        <v>29609</v>
      </c>
      <c r="K6602" t="s">
        <v>38490</v>
      </c>
      <c r="M6602" t="s">
        <v>39278</v>
      </c>
      <c r="N6602" t="s">
        <v>42669</v>
      </c>
      <c r="O6602" t="s">
        <v>42670</v>
      </c>
      <c r="P6602">
        <v>0</v>
      </c>
      <c r="Q6602">
        <v>33</v>
      </c>
      <c r="R6602" t="s">
        <v>42677</v>
      </c>
      <c r="S6602" t="s">
        <v>42830</v>
      </c>
      <c r="T6602" t="s">
        <v>44469</v>
      </c>
      <c r="U6602" t="s">
        <v>50249</v>
      </c>
      <c r="V6602" t="s">
        <v>56483</v>
      </c>
      <c r="W6602" t="s">
        <v>39278</v>
      </c>
      <c r="X6602" t="s">
        <v>42678</v>
      </c>
    </row>
    <row r="6603" spans="1:24">
      <c r="A6603">
        <f>HYPERLINK("https://www.philgeps.gov.ph/GEPSNONPILOT/Tender/SplashBidNoticeAbstractUI.aspx?menuIndex=3&amp;refID=7186185&amp;Result=3","7186185")</f>
        <v>0</v>
      </c>
      <c r="B6603" t="s">
        <v>511</v>
      </c>
      <c r="C6603" t="s">
        <v>9840</v>
      </c>
      <c r="D6603" t="s">
        <v>17163</v>
      </c>
      <c r="E6603" t="s">
        <v>22954</v>
      </c>
      <c r="F6603" t="s">
        <v>29372</v>
      </c>
      <c r="G6603" t="s">
        <v>29383</v>
      </c>
      <c r="H6603" t="s">
        <v>11048</v>
      </c>
      <c r="I6603" t="s">
        <v>4486</v>
      </c>
      <c r="J6603" t="s">
        <v>33784</v>
      </c>
      <c r="K6603" t="s">
        <v>38490</v>
      </c>
      <c r="M6603" t="s">
        <v>39278</v>
      </c>
      <c r="N6603" t="s">
        <v>42669</v>
      </c>
      <c r="O6603" t="s">
        <v>42670</v>
      </c>
      <c r="P6603">
        <v>0</v>
      </c>
      <c r="Q6603">
        <v>7</v>
      </c>
      <c r="R6603" t="s">
        <v>42677</v>
      </c>
      <c r="S6603" t="s">
        <v>42830</v>
      </c>
      <c r="T6603" t="s">
        <v>44469</v>
      </c>
      <c r="U6603" t="s">
        <v>50250</v>
      </c>
      <c r="V6603" t="s">
        <v>56483</v>
      </c>
      <c r="W6603" t="s">
        <v>39278</v>
      </c>
      <c r="X6603" t="s">
        <v>42678</v>
      </c>
    </row>
    <row r="6604" spans="1:24">
      <c r="A6604">
        <f>HYPERLINK("https://www.philgeps.gov.ph/GEPSNONPILOT/Tender/SplashBidNoticeAbstractUI.aspx?menuIndex=3&amp;refID=7186116&amp;Result=3","7186116")</f>
        <v>0</v>
      </c>
      <c r="B6604" t="s">
        <v>2218</v>
      </c>
      <c r="C6604" t="s">
        <v>9841</v>
      </c>
      <c r="D6604" t="s">
        <v>17188</v>
      </c>
      <c r="E6604" t="s">
        <v>22955</v>
      </c>
      <c r="F6604" t="s">
        <v>29372</v>
      </c>
      <c r="G6604" t="s">
        <v>29380</v>
      </c>
      <c r="H6604" t="s">
        <v>11048</v>
      </c>
      <c r="I6604" t="s">
        <v>4709</v>
      </c>
      <c r="J6604" t="s">
        <v>33785</v>
      </c>
      <c r="K6604" t="s">
        <v>38485</v>
      </c>
      <c r="M6604" t="s">
        <v>41136</v>
      </c>
      <c r="N6604" t="s">
        <v>42669</v>
      </c>
      <c r="O6604" t="s">
        <v>42670</v>
      </c>
      <c r="P6604">
        <v>0</v>
      </c>
      <c r="Q6604">
        <v>1</v>
      </c>
      <c r="R6604" t="s">
        <v>42677</v>
      </c>
      <c r="S6604" t="s">
        <v>42830</v>
      </c>
      <c r="T6604" t="s">
        <v>44355</v>
      </c>
      <c r="U6604" t="s">
        <v>50244</v>
      </c>
      <c r="W6604" t="s">
        <v>58073</v>
      </c>
      <c r="X6604" t="s">
        <v>42678</v>
      </c>
    </row>
    <row r="6605" spans="1:24">
      <c r="A6605">
        <f>HYPERLINK("https://www.philgeps.gov.ph/GEPSNONPILOT/Tender/SplashBidNoticeAbstractUI.aspx?menuIndex=3&amp;refID=7186179&amp;Result=3","7186179")</f>
        <v>0</v>
      </c>
      <c r="B6605" t="s">
        <v>2221</v>
      </c>
      <c r="C6605" t="s">
        <v>9842</v>
      </c>
      <c r="D6605" t="s">
        <v>17170</v>
      </c>
      <c r="E6605" t="s">
        <v>22956</v>
      </c>
      <c r="F6605" t="s">
        <v>29372</v>
      </c>
      <c r="G6605" t="s">
        <v>29380</v>
      </c>
      <c r="H6605" t="s">
        <v>11048</v>
      </c>
      <c r="I6605" t="s">
        <v>4709</v>
      </c>
      <c r="J6605" t="s">
        <v>33786</v>
      </c>
      <c r="K6605" t="s">
        <v>38488</v>
      </c>
      <c r="M6605" t="s">
        <v>41139</v>
      </c>
      <c r="N6605" t="s">
        <v>42669</v>
      </c>
      <c r="O6605" t="s">
        <v>42670</v>
      </c>
      <c r="P6605">
        <v>0</v>
      </c>
      <c r="Q6605">
        <v>1</v>
      </c>
      <c r="R6605" t="s">
        <v>42677</v>
      </c>
      <c r="S6605" t="s">
        <v>42830</v>
      </c>
      <c r="T6605" t="s">
        <v>44474</v>
      </c>
      <c r="U6605" t="s">
        <v>50251</v>
      </c>
      <c r="W6605" t="s">
        <v>41139</v>
      </c>
      <c r="X6605" t="s">
        <v>42678</v>
      </c>
    </row>
    <row r="6606" spans="1:24">
      <c r="A6606">
        <f>HYPERLINK("https://www.philgeps.gov.ph/GEPSNONPILOT/Tender/SplashBidNoticeAbstractUI.aspx?menuIndex=3&amp;refID=7186153&amp;Result=3","7186153")</f>
        <v>0</v>
      </c>
      <c r="B6606" t="s">
        <v>863</v>
      </c>
      <c r="C6606" t="s">
        <v>9843</v>
      </c>
      <c r="D6606" t="s">
        <v>17193</v>
      </c>
      <c r="E6606" t="s">
        <v>22957</v>
      </c>
      <c r="F6606" t="s">
        <v>29372</v>
      </c>
      <c r="G6606" t="s">
        <v>29380</v>
      </c>
      <c r="H6606" t="s">
        <v>29389</v>
      </c>
      <c r="I6606" t="s">
        <v>10408</v>
      </c>
      <c r="J6606" t="s">
        <v>33787</v>
      </c>
      <c r="K6606" t="s">
        <v>38552</v>
      </c>
      <c r="M6606" t="s">
        <v>39655</v>
      </c>
      <c r="N6606" t="s">
        <v>42669</v>
      </c>
      <c r="O6606" t="s">
        <v>42670</v>
      </c>
      <c r="P6606">
        <v>0</v>
      </c>
      <c r="Q6606">
        <v>0</v>
      </c>
      <c r="R6606" t="s">
        <v>42677</v>
      </c>
      <c r="S6606" t="s">
        <v>42830</v>
      </c>
      <c r="T6606" t="s">
        <v>44727</v>
      </c>
      <c r="U6606" t="s">
        <v>50252</v>
      </c>
      <c r="W6606" t="s">
        <v>39655</v>
      </c>
      <c r="X6606" t="s">
        <v>42678</v>
      </c>
    </row>
    <row r="6607" spans="1:24">
      <c r="A6607">
        <f>HYPERLINK("https://www.philgeps.gov.ph/GEPSNONPILOT/Tender/SplashBidNoticeAbstractUI.aspx?menuIndex=3&amp;refID=7186152&amp;Result=3","7186152")</f>
        <v>0</v>
      </c>
      <c r="B6607" t="s">
        <v>2222</v>
      </c>
      <c r="C6607" t="s">
        <v>9844</v>
      </c>
      <c r="D6607" t="s">
        <v>17174</v>
      </c>
      <c r="E6607" t="s">
        <v>22958</v>
      </c>
      <c r="F6607" t="s">
        <v>29372</v>
      </c>
      <c r="G6607" t="s">
        <v>29380</v>
      </c>
      <c r="H6607" t="s">
        <v>29389</v>
      </c>
      <c r="I6607" t="s">
        <v>10408</v>
      </c>
      <c r="J6607" t="s">
        <v>33788</v>
      </c>
      <c r="K6607" t="s">
        <v>38490</v>
      </c>
      <c r="M6607" t="s">
        <v>41140</v>
      </c>
      <c r="N6607" t="s">
        <v>42669</v>
      </c>
      <c r="O6607" t="s">
        <v>42670</v>
      </c>
      <c r="P6607">
        <v>0</v>
      </c>
      <c r="Q6607">
        <v>2</v>
      </c>
      <c r="R6607" t="s">
        <v>42677</v>
      </c>
      <c r="S6607" t="s">
        <v>42830</v>
      </c>
      <c r="T6607" t="s">
        <v>44446</v>
      </c>
      <c r="U6607" t="s">
        <v>50253</v>
      </c>
      <c r="W6607" t="s">
        <v>41140</v>
      </c>
      <c r="X6607" t="s">
        <v>42678</v>
      </c>
    </row>
    <row r="6608" spans="1:24">
      <c r="A6608">
        <f>HYPERLINK("https://www.philgeps.gov.ph/GEPSNONPILOT/Tender/SplashBidNoticeAbstractUI.aspx?menuIndex=3&amp;refID=7186111&amp;Result=3","7186111")</f>
        <v>0</v>
      </c>
      <c r="B6608" t="s">
        <v>863</v>
      </c>
      <c r="C6608" t="s">
        <v>5230</v>
      </c>
      <c r="D6608" t="s">
        <v>17193</v>
      </c>
      <c r="E6608" t="s">
        <v>22959</v>
      </c>
      <c r="F6608" t="s">
        <v>29372</v>
      </c>
      <c r="G6608" t="s">
        <v>29380</v>
      </c>
      <c r="H6608" t="s">
        <v>29389</v>
      </c>
      <c r="I6608" t="s">
        <v>10408</v>
      </c>
      <c r="J6608" t="s">
        <v>29609</v>
      </c>
      <c r="K6608" t="s">
        <v>38485</v>
      </c>
      <c r="M6608" t="s">
        <v>39655</v>
      </c>
      <c r="N6608" t="s">
        <v>42669</v>
      </c>
      <c r="O6608" t="s">
        <v>42670</v>
      </c>
      <c r="P6608">
        <v>0</v>
      </c>
      <c r="Q6608">
        <v>0</v>
      </c>
      <c r="R6608" t="s">
        <v>42677</v>
      </c>
      <c r="S6608" t="s">
        <v>42830</v>
      </c>
      <c r="T6608" t="s">
        <v>44727</v>
      </c>
      <c r="U6608" t="s">
        <v>50254</v>
      </c>
      <c r="W6608" t="s">
        <v>39655</v>
      </c>
      <c r="X6608" t="s">
        <v>42678</v>
      </c>
    </row>
    <row r="6609" spans="1:24">
      <c r="A6609">
        <f>HYPERLINK("https://www.philgeps.gov.ph/GEPSNONPILOT/Tender/SplashBidNoticeAbstractUI.aspx?menuIndex=3&amp;refID=7186109&amp;Result=3","7186109")</f>
        <v>0</v>
      </c>
      <c r="B6609" t="s">
        <v>2176</v>
      </c>
      <c r="C6609" t="s">
        <v>9845</v>
      </c>
      <c r="D6609" t="s">
        <v>17177</v>
      </c>
      <c r="E6609" t="s">
        <v>22960</v>
      </c>
      <c r="F6609" t="s">
        <v>29372</v>
      </c>
      <c r="G6609" t="s">
        <v>29380</v>
      </c>
      <c r="H6609" t="s">
        <v>29389</v>
      </c>
      <c r="I6609" t="s">
        <v>10408</v>
      </c>
      <c r="J6609" t="s">
        <v>33789</v>
      </c>
      <c r="K6609" t="s">
        <v>38668</v>
      </c>
      <c r="M6609" t="s">
        <v>41088</v>
      </c>
      <c r="N6609" t="s">
        <v>42669</v>
      </c>
      <c r="O6609" t="s">
        <v>42670</v>
      </c>
      <c r="P6609">
        <v>0</v>
      </c>
      <c r="Q6609">
        <v>2</v>
      </c>
      <c r="R6609" t="s">
        <v>42677</v>
      </c>
      <c r="S6609" t="s">
        <v>42830</v>
      </c>
      <c r="T6609" t="s">
        <v>44468</v>
      </c>
      <c r="U6609" t="s">
        <v>50255</v>
      </c>
      <c r="W6609" t="s">
        <v>41088</v>
      </c>
      <c r="X6609" t="s">
        <v>42678</v>
      </c>
    </row>
    <row r="6610" spans="1:24">
      <c r="A6610">
        <f>HYPERLINK("https://www.philgeps.gov.ph/GEPSNONPILOT/Tender/SplashBidNoticeAbstractUI.aspx?menuIndex=3&amp;refID=7186106&amp;Result=3","7186106")</f>
        <v>0</v>
      </c>
      <c r="B6610" t="s">
        <v>186</v>
      </c>
      <c r="C6610" t="s">
        <v>9846</v>
      </c>
      <c r="D6610" t="s">
        <v>17198</v>
      </c>
      <c r="E6610" t="s">
        <v>22961</v>
      </c>
      <c r="F6610" t="s">
        <v>29372</v>
      </c>
      <c r="G6610" t="s">
        <v>29380</v>
      </c>
      <c r="H6610" t="s">
        <v>29389</v>
      </c>
      <c r="I6610" t="s">
        <v>10408</v>
      </c>
      <c r="J6610" t="s">
        <v>33790</v>
      </c>
      <c r="K6610" t="s">
        <v>38557</v>
      </c>
      <c r="M6610" t="s">
        <v>38943</v>
      </c>
      <c r="N6610" t="s">
        <v>42669</v>
      </c>
      <c r="O6610" t="s">
        <v>42670</v>
      </c>
      <c r="P6610">
        <v>0</v>
      </c>
      <c r="Q6610">
        <v>0</v>
      </c>
      <c r="R6610" t="s">
        <v>42677</v>
      </c>
      <c r="S6610" t="s">
        <v>42830</v>
      </c>
      <c r="T6610" t="s">
        <v>44517</v>
      </c>
      <c r="U6610" t="s">
        <v>50256</v>
      </c>
      <c r="W6610" t="s">
        <v>38943</v>
      </c>
      <c r="X6610" t="s">
        <v>42678</v>
      </c>
    </row>
    <row r="6611" spans="1:24">
      <c r="A6611">
        <f>HYPERLINK("https://www.philgeps.gov.ph/GEPSNONPILOT/Tender/SplashBidNoticeAbstractUI.aspx?menuIndex=3&amp;refID=7186163&amp;Result=3","7186163")</f>
        <v>0</v>
      </c>
      <c r="B6611" t="s">
        <v>115</v>
      </c>
      <c r="C6611" t="s">
        <v>9847</v>
      </c>
      <c r="D6611" t="s">
        <v>17177</v>
      </c>
      <c r="E6611" t="s">
        <v>22962</v>
      </c>
      <c r="F6611" t="s">
        <v>29372</v>
      </c>
      <c r="G6611" t="s">
        <v>29380</v>
      </c>
      <c r="H6611" t="s">
        <v>11048</v>
      </c>
      <c r="I6611" t="s">
        <v>3839</v>
      </c>
      <c r="J6611" t="s">
        <v>29804</v>
      </c>
      <c r="K6611" t="s">
        <v>38518</v>
      </c>
      <c r="M6611" t="s">
        <v>38870</v>
      </c>
      <c r="N6611" t="s">
        <v>42669</v>
      </c>
      <c r="O6611" t="s">
        <v>42670</v>
      </c>
      <c r="Q6611">
        <v>10</v>
      </c>
      <c r="R6611" t="s">
        <v>42677</v>
      </c>
      <c r="S6611" t="s">
        <v>42856</v>
      </c>
      <c r="T6611" t="s">
        <v>44446</v>
      </c>
      <c r="U6611" t="s">
        <v>50257</v>
      </c>
      <c r="W6611" t="s">
        <v>38870</v>
      </c>
      <c r="X6611" t="s">
        <v>42678</v>
      </c>
    </row>
    <row r="6612" spans="1:24">
      <c r="A6612">
        <f>HYPERLINK("https://www.philgeps.gov.ph/GEPSNONPILOT/Tender/SplashBidNoticeAbstractUI.aspx?menuIndex=3&amp;refID=7186105&amp;Result=3","7186105")</f>
        <v>0</v>
      </c>
      <c r="B6612" t="s">
        <v>1697</v>
      </c>
      <c r="C6612" t="s">
        <v>9848</v>
      </c>
      <c r="D6612" t="s">
        <v>17141</v>
      </c>
      <c r="E6612" t="s">
        <v>22963</v>
      </c>
      <c r="F6612" t="s">
        <v>29372</v>
      </c>
      <c r="G6612" t="s">
        <v>29379</v>
      </c>
      <c r="H6612" t="s">
        <v>11048</v>
      </c>
      <c r="I6612" t="s">
        <v>8614</v>
      </c>
      <c r="J6612" t="s">
        <v>30024</v>
      </c>
      <c r="K6612" t="s">
        <v>38488</v>
      </c>
      <c r="M6612" t="s">
        <v>40559</v>
      </c>
      <c r="N6612" t="s">
        <v>42669</v>
      </c>
      <c r="O6612" t="s">
        <v>42670</v>
      </c>
      <c r="P6612">
        <v>0</v>
      </c>
      <c r="Q6612">
        <v>3</v>
      </c>
      <c r="R6612" t="s">
        <v>42677</v>
      </c>
      <c r="S6612" t="s">
        <v>42830</v>
      </c>
      <c r="T6612" t="s">
        <v>44401</v>
      </c>
      <c r="U6612" t="s">
        <v>50258</v>
      </c>
      <c r="V6612" t="s">
        <v>57094</v>
      </c>
      <c r="W6612" t="s">
        <v>40559</v>
      </c>
      <c r="X6612" t="s">
        <v>42678</v>
      </c>
    </row>
    <row r="6613" spans="1:24">
      <c r="A6613">
        <f>HYPERLINK("https://www.philgeps.gov.ph/GEPSNONPILOT/Tender/SplashBidNoticeAbstractUI.aspx?menuIndex=3&amp;refID=7186071&amp;Result=3","7186071")</f>
        <v>0</v>
      </c>
      <c r="B6613" t="s">
        <v>2223</v>
      </c>
      <c r="C6613" t="s">
        <v>9849</v>
      </c>
      <c r="D6613" t="s">
        <v>17141</v>
      </c>
      <c r="E6613" t="s">
        <v>22964</v>
      </c>
      <c r="F6613" t="s">
        <v>29372</v>
      </c>
      <c r="G6613" t="s">
        <v>29383</v>
      </c>
      <c r="H6613" t="s">
        <v>11048</v>
      </c>
      <c r="I6613" t="s">
        <v>3629</v>
      </c>
      <c r="J6613" t="s">
        <v>30798</v>
      </c>
      <c r="K6613" t="s">
        <v>38490</v>
      </c>
      <c r="M6613" t="s">
        <v>41141</v>
      </c>
      <c r="N6613" t="s">
        <v>42669</v>
      </c>
      <c r="O6613" t="s">
        <v>42670</v>
      </c>
      <c r="P6613">
        <v>0</v>
      </c>
      <c r="Q6613">
        <v>5</v>
      </c>
      <c r="R6613" t="s">
        <v>42677</v>
      </c>
      <c r="S6613" t="s">
        <v>42830</v>
      </c>
      <c r="T6613" t="s">
        <v>44496</v>
      </c>
      <c r="U6613" t="s">
        <v>50259</v>
      </c>
      <c r="W6613" t="s">
        <v>41141</v>
      </c>
      <c r="X6613" t="s">
        <v>42678</v>
      </c>
    </row>
    <row r="6614" spans="1:24">
      <c r="A6614">
        <f>HYPERLINK("https://www.philgeps.gov.ph/GEPSNONPILOT/Tender/SplashBidNoticeAbstractUI.aspx?menuIndex=3&amp;refID=7186070&amp;Result=3","7186070")</f>
        <v>0</v>
      </c>
      <c r="B6614" t="s">
        <v>2193</v>
      </c>
      <c r="C6614" t="s">
        <v>9850</v>
      </c>
      <c r="D6614" t="s">
        <v>17151</v>
      </c>
      <c r="E6614" t="s">
        <v>22965</v>
      </c>
      <c r="F6614" t="s">
        <v>29372</v>
      </c>
      <c r="G6614" t="s">
        <v>29380</v>
      </c>
      <c r="H6614" t="s">
        <v>11048</v>
      </c>
      <c r="I6614" t="s">
        <v>29423</v>
      </c>
      <c r="J6614" t="s">
        <v>33791</v>
      </c>
      <c r="K6614" t="s">
        <v>38485</v>
      </c>
      <c r="M6614" t="s">
        <v>41107</v>
      </c>
      <c r="N6614" t="s">
        <v>42669</v>
      </c>
      <c r="O6614" t="s">
        <v>42670</v>
      </c>
      <c r="P6614">
        <v>0</v>
      </c>
      <c r="Q6614">
        <v>4</v>
      </c>
      <c r="R6614" t="s">
        <v>42677</v>
      </c>
      <c r="S6614" t="s">
        <v>42830</v>
      </c>
      <c r="T6614" t="s">
        <v>44443</v>
      </c>
      <c r="U6614" t="s">
        <v>50260</v>
      </c>
      <c r="W6614" t="s">
        <v>41107</v>
      </c>
      <c r="X6614" t="s">
        <v>42678</v>
      </c>
    </row>
    <row r="6615" spans="1:24">
      <c r="A6615">
        <f>HYPERLINK("https://www.philgeps.gov.ph/GEPSNONPILOT/Tender/SplashBidNoticeAbstractUI.aspx?menuIndex=3&amp;refID=7186069&amp;Result=3","7186069")</f>
        <v>0</v>
      </c>
      <c r="B6615" t="s">
        <v>2180</v>
      </c>
      <c r="C6615" t="s">
        <v>9851</v>
      </c>
      <c r="D6615" t="s">
        <v>17189</v>
      </c>
      <c r="E6615" t="s">
        <v>22966</v>
      </c>
      <c r="F6615" t="s">
        <v>29372</v>
      </c>
      <c r="G6615" t="s">
        <v>29380</v>
      </c>
      <c r="H6615" t="s">
        <v>11048</v>
      </c>
      <c r="I6615" t="s">
        <v>29393</v>
      </c>
      <c r="J6615" t="s">
        <v>33792</v>
      </c>
      <c r="K6615" t="s">
        <v>38488</v>
      </c>
      <c r="M6615" t="s">
        <v>41094</v>
      </c>
      <c r="N6615" t="s">
        <v>42669</v>
      </c>
      <c r="O6615" t="s">
        <v>42670</v>
      </c>
      <c r="P6615">
        <v>0</v>
      </c>
      <c r="Q6615">
        <v>1</v>
      </c>
      <c r="R6615" t="s">
        <v>42677</v>
      </c>
      <c r="S6615" t="s">
        <v>42830</v>
      </c>
      <c r="T6615" t="s">
        <v>44517</v>
      </c>
      <c r="U6615" t="s">
        <v>50261</v>
      </c>
      <c r="V6615" t="s">
        <v>57076</v>
      </c>
      <c r="W6615" t="s">
        <v>41094</v>
      </c>
      <c r="X6615" t="s">
        <v>42678</v>
      </c>
    </row>
    <row r="6616" spans="1:24">
      <c r="A6616">
        <f>HYPERLINK("https://www.philgeps.gov.ph/GEPSNONPILOT/Tender/SplashBidNoticeAbstractUI.aspx?menuIndex=3&amp;refID=7186067&amp;Result=3","7186067")</f>
        <v>0</v>
      </c>
      <c r="B6616" t="s">
        <v>1720</v>
      </c>
      <c r="C6616" t="s">
        <v>9852</v>
      </c>
      <c r="D6616" t="s">
        <v>17189</v>
      </c>
      <c r="E6616" t="s">
        <v>19402</v>
      </c>
      <c r="F6616" t="s">
        <v>29372</v>
      </c>
      <c r="G6616" t="s">
        <v>29381</v>
      </c>
      <c r="H6616" t="s">
        <v>11048</v>
      </c>
      <c r="I6616" t="s">
        <v>29414</v>
      </c>
      <c r="J6616" t="s">
        <v>33793</v>
      </c>
      <c r="K6616" t="s">
        <v>38510</v>
      </c>
      <c r="M6616" t="s">
        <v>40583</v>
      </c>
      <c r="N6616" t="s">
        <v>42669</v>
      </c>
      <c r="O6616" t="s">
        <v>42670</v>
      </c>
      <c r="P6616">
        <v>0</v>
      </c>
      <c r="Q6616">
        <v>7</v>
      </c>
      <c r="R6616" t="s">
        <v>42677</v>
      </c>
      <c r="S6616" t="s">
        <v>42830</v>
      </c>
      <c r="T6616" t="s">
        <v>44631</v>
      </c>
      <c r="U6616" t="s">
        <v>50262</v>
      </c>
      <c r="W6616" t="s">
        <v>40583</v>
      </c>
      <c r="X6616" t="s">
        <v>42678</v>
      </c>
    </row>
    <row r="6617" spans="1:24">
      <c r="A6617">
        <f>HYPERLINK("https://www.philgeps.gov.ph/GEPSNONPILOT/Tender/SplashBidNoticeAbstractUI.aspx?menuIndex=3&amp;refID=7186201&amp;Result=3","7186201")</f>
        <v>0</v>
      </c>
      <c r="B6617" t="s">
        <v>1021</v>
      </c>
      <c r="C6617" t="s">
        <v>9853</v>
      </c>
      <c r="D6617" t="s">
        <v>17205</v>
      </c>
      <c r="E6617" t="s">
        <v>22967</v>
      </c>
      <c r="F6617" t="s">
        <v>29372</v>
      </c>
      <c r="G6617" t="s">
        <v>29380</v>
      </c>
      <c r="H6617" t="s">
        <v>29389</v>
      </c>
      <c r="I6617" t="s">
        <v>10408</v>
      </c>
      <c r="J6617" t="s">
        <v>33794</v>
      </c>
      <c r="K6617" t="s">
        <v>38485</v>
      </c>
      <c r="M6617" t="s">
        <v>39821</v>
      </c>
      <c r="N6617" t="s">
        <v>42669</v>
      </c>
      <c r="O6617" t="s">
        <v>42670</v>
      </c>
      <c r="P6617">
        <v>0</v>
      </c>
      <c r="Q6617">
        <v>0</v>
      </c>
      <c r="R6617" t="s">
        <v>42677</v>
      </c>
      <c r="S6617" t="s">
        <v>42830</v>
      </c>
      <c r="T6617" t="s">
        <v>44378</v>
      </c>
      <c r="U6617" t="s">
        <v>50263</v>
      </c>
      <c r="W6617" t="s">
        <v>39821</v>
      </c>
      <c r="X6617" t="s">
        <v>42678</v>
      </c>
    </row>
    <row r="6618" spans="1:24">
      <c r="A6618">
        <f>HYPERLINK("https://www.philgeps.gov.ph/GEPSNONPILOT/Tender/SplashBidNoticeAbstractUI.aspx?menuIndex=3&amp;refID=7186110&amp;Result=3","7186110")</f>
        <v>0</v>
      </c>
      <c r="B6618" t="s">
        <v>2200</v>
      </c>
      <c r="C6618" t="s">
        <v>9854</v>
      </c>
      <c r="D6618" t="s">
        <v>17182</v>
      </c>
      <c r="E6618" t="s">
        <v>22968</v>
      </c>
      <c r="F6618" t="s">
        <v>29372</v>
      </c>
      <c r="G6618" t="s">
        <v>29380</v>
      </c>
      <c r="H6618" t="s">
        <v>11048</v>
      </c>
      <c r="I6618" t="s">
        <v>3952</v>
      </c>
      <c r="J6618" t="s">
        <v>33795</v>
      </c>
      <c r="K6618" t="s">
        <v>38487</v>
      </c>
      <c r="M6618" t="s">
        <v>41115</v>
      </c>
      <c r="N6618" t="s">
        <v>42669</v>
      </c>
      <c r="O6618" t="s">
        <v>42670</v>
      </c>
      <c r="P6618">
        <v>0</v>
      </c>
      <c r="Q6618">
        <v>0</v>
      </c>
      <c r="R6618" t="s">
        <v>42677</v>
      </c>
      <c r="S6618" t="s">
        <v>42830</v>
      </c>
      <c r="T6618" t="s">
        <v>44386</v>
      </c>
      <c r="U6618" t="s">
        <v>50264</v>
      </c>
      <c r="W6618" t="s">
        <v>41115</v>
      </c>
      <c r="X6618" t="s">
        <v>42678</v>
      </c>
    </row>
    <row r="6619" spans="1:24">
      <c r="A6619">
        <f>HYPERLINK("https://www.philgeps.gov.ph/GEPSNONPILOT/Tender/SplashBidNoticeAbstractUI.aspx?menuIndex=3&amp;refID=7186233&amp;Result=3","7186233")</f>
        <v>0</v>
      </c>
      <c r="B6619" t="s">
        <v>863</v>
      </c>
      <c r="C6619" t="s">
        <v>9855</v>
      </c>
      <c r="D6619" t="s">
        <v>17193</v>
      </c>
      <c r="E6619" t="s">
        <v>22969</v>
      </c>
      <c r="F6619" t="s">
        <v>29372</v>
      </c>
      <c r="G6619" t="s">
        <v>29380</v>
      </c>
      <c r="H6619" t="s">
        <v>29389</v>
      </c>
      <c r="I6619" t="s">
        <v>10408</v>
      </c>
      <c r="J6619" t="s">
        <v>29724</v>
      </c>
      <c r="K6619" t="s">
        <v>38592</v>
      </c>
      <c r="M6619" t="s">
        <v>39655</v>
      </c>
      <c r="N6619" t="s">
        <v>42669</v>
      </c>
      <c r="O6619" t="s">
        <v>42670</v>
      </c>
      <c r="P6619">
        <v>0</v>
      </c>
      <c r="Q6619">
        <v>0</v>
      </c>
      <c r="R6619" t="s">
        <v>42677</v>
      </c>
      <c r="S6619" t="s">
        <v>42830</v>
      </c>
      <c r="T6619" t="s">
        <v>44732</v>
      </c>
      <c r="U6619" t="s">
        <v>50265</v>
      </c>
      <c r="W6619" t="s">
        <v>39655</v>
      </c>
      <c r="X6619" t="s">
        <v>42678</v>
      </c>
    </row>
    <row r="6620" spans="1:24">
      <c r="A6620">
        <f>HYPERLINK("https://www.philgeps.gov.ph/GEPSNONPILOT/Tender/SplashBidNoticeAbstractUI.aspx?menuIndex=3&amp;refID=7186074&amp;Result=3","7186074")</f>
        <v>0</v>
      </c>
      <c r="B6620" t="s">
        <v>186</v>
      </c>
      <c r="C6620" t="s">
        <v>9856</v>
      </c>
      <c r="D6620" t="s">
        <v>17198</v>
      </c>
      <c r="E6620" t="s">
        <v>22970</v>
      </c>
      <c r="F6620" t="s">
        <v>29372</v>
      </c>
      <c r="G6620" t="s">
        <v>29380</v>
      </c>
      <c r="H6620" t="s">
        <v>29389</v>
      </c>
      <c r="I6620" t="s">
        <v>10408</v>
      </c>
      <c r="J6620" t="s">
        <v>33796</v>
      </c>
      <c r="K6620" t="s">
        <v>38510</v>
      </c>
      <c r="M6620" t="s">
        <v>38943</v>
      </c>
      <c r="N6620" t="s">
        <v>42669</v>
      </c>
      <c r="O6620" t="s">
        <v>42670</v>
      </c>
      <c r="P6620">
        <v>0</v>
      </c>
      <c r="Q6620">
        <v>0</v>
      </c>
      <c r="R6620" t="s">
        <v>42677</v>
      </c>
      <c r="S6620" t="s">
        <v>42830</v>
      </c>
      <c r="T6620" t="s">
        <v>44517</v>
      </c>
      <c r="U6620" t="s">
        <v>50266</v>
      </c>
      <c r="W6620" t="s">
        <v>38943</v>
      </c>
      <c r="X6620" t="s">
        <v>42678</v>
      </c>
    </row>
    <row r="6621" spans="1:24">
      <c r="A6621">
        <f>HYPERLINK("https://www.philgeps.gov.ph/GEPSNONPILOT/Tender/SplashBidNoticeAbstractUI.aspx?menuIndex=3&amp;refID=7186231&amp;Result=3","7186231")</f>
        <v>0</v>
      </c>
      <c r="B6621" t="s">
        <v>2181</v>
      </c>
      <c r="C6621" t="s">
        <v>9857</v>
      </c>
      <c r="E6621" t="s">
        <v>22971</v>
      </c>
      <c r="F6621" t="s">
        <v>29372</v>
      </c>
      <c r="G6621" t="s">
        <v>29379</v>
      </c>
      <c r="H6621" t="s">
        <v>11048</v>
      </c>
      <c r="I6621" t="s">
        <v>29424</v>
      </c>
      <c r="J6621" t="s">
        <v>33797</v>
      </c>
      <c r="K6621" t="s">
        <v>38510</v>
      </c>
      <c r="M6621" t="s">
        <v>41095</v>
      </c>
      <c r="N6621" t="s">
        <v>42669</v>
      </c>
      <c r="O6621" t="s">
        <v>42670</v>
      </c>
      <c r="P6621">
        <v>0</v>
      </c>
      <c r="Q6621">
        <v>1</v>
      </c>
      <c r="R6621" t="s">
        <v>42677</v>
      </c>
      <c r="S6621" t="s">
        <v>42830</v>
      </c>
      <c r="T6621" t="s">
        <v>44493</v>
      </c>
      <c r="U6621" t="s">
        <v>50267</v>
      </c>
      <c r="V6621" t="s">
        <v>57077</v>
      </c>
      <c r="W6621" t="s">
        <v>41095</v>
      </c>
      <c r="X6621" t="s">
        <v>42678</v>
      </c>
    </row>
    <row r="6622" spans="1:24">
      <c r="A6622">
        <f>HYPERLINK("https://www.philgeps.gov.ph/GEPSNONPILOT/Tender/SplashBidNoticeAbstractUI.aspx?menuIndex=3&amp;refID=7186228&amp;Result=3","7186228")</f>
        <v>0</v>
      </c>
      <c r="B6622" t="s">
        <v>1927</v>
      </c>
      <c r="C6622" t="s">
        <v>9858</v>
      </c>
      <c r="D6622" t="s">
        <v>17231</v>
      </c>
      <c r="E6622" t="s">
        <v>22972</v>
      </c>
      <c r="F6622" t="s">
        <v>29372</v>
      </c>
      <c r="G6622" t="s">
        <v>29380</v>
      </c>
      <c r="H6622" t="s">
        <v>11048</v>
      </c>
      <c r="I6622" t="s">
        <v>4709</v>
      </c>
      <c r="J6622" t="s">
        <v>29922</v>
      </c>
      <c r="K6622" t="s">
        <v>38487</v>
      </c>
      <c r="M6622" t="s">
        <v>40804</v>
      </c>
      <c r="N6622" t="s">
        <v>42669</v>
      </c>
      <c r="O6622" t="s">
        <v>42670</v>
      </c>
      <c r="P6622">
        <v>0</v>
      </c>
      <c r="Q6622">
        <v>0</v>
      </c>
      <c r="R6622" t="s">
        <v>42677</v>
      </c>
      <c r="S6622" t="s">
        <v>42830</v>
      </c>
      <c r="T6622" t="s">
        <v>44481</v>
      </c>
      <c r="U6622" t="s">
        <v>50268</v>
      </c>
      <c r="W6622" t="s">
        <v>40804</v>
      </c>
      <c r="X6622" t="s">
        <v>42678</v>
      </c>
    </row>
    <row r="6623" spans="1:24">
      <c r="A6623">
        <f>HYPERLINK("https://www.philgeps.gov.ph/GEPSNONPILOT/Tender/SplashBidNoticeAbstractUI.aspx?menuIndex=3&amp;refID=7186225&amp;Result=3","7186225")</f>
        <v>0</v>
      </c>
      <c r="B6623" t="s">
        <v>2224</v>
      </c>
      <c r="C6623" t="s">
        <v>9859</v>
      </c>
      <c r="D6623" t="s">
        <v>17143</v>
      </c>
      <c r="E6623" t="s">
        <v>22973</v>
      </c>
      <c r="F6623" t="s">
        <v>29372</v>
      </c>
      <c r="G6623" t="s">
        <v>29379</v>
      </c>
      <c r="H6623" t="s">
        <v>29390</v>
      </c>
      <c r="I6623" t="s">
        <v>29429</v>
      </c>
      <c r="J6623" t="s">
        <v>33798</v>
      </c>
      <c r="K6623" t="s">
        <v>38518</v>
      </c>
      <c r="M6623" t="s">
        <v>41142</v>
      </c>
      <c r="N6623" t="s">
        <v>42669</v>
      </c>
      <c r="O6623" t="s">
        <v>42670</v>
      </c>
      <c r="P6623">
        <v>0</v>
      </c>
      <c r="Q6623">
        <v>3</v>
      </c>
      <c r="R6623" t="s">
        <v>42677</v>
      </c>
      <c r="S6623" t="s">
        <v>42830</v>
      </c>
      <c r="T6623" t="s">
        <v>44469</v>
      </c>
      <c r="U6623" t="s">
        <v>50269</v>
      </c>
      <c r="W6623" t="s">
        <v>41142</v>
      </c>
      <c r="X6623" t="s">
        <v>42678</v>
      </c>
    </row>
    <row r="6624" spans="1:24">
      <c r="A6624">
        <f>HYPERLINK("https://www.philgeps.gov.ph/GEPSNONPILOT/Tender/SplashBidNoticeAbstractUI.aspx?menuIndex=3&amp;refID=7186223&amp;Result=3","7186223")</f>
        <v>0</v>
      </c>
      <c r="B6624" t="s">
        <v>2225</v>
      </c>
      <c r="C6624" t="s">
        <v>9860</v>
      </c>
      <c r="D6624" t="s">
        <v>17164</v>
      </c>
      <c r="E6624" t="s">
        <v>17850</v>
      </c>
      <c r="F6624" t="s">
        <v>29372</v>
      </c>
      <c r="G6624" t="s">
        <v>29380</v>
      </c>
      <c r="H6624" t="s">
        <v>29389</v>
      </c>
      <c r="I6624" t="s">
        <v>10408</v>
      </c>
      <c r="J6624" t="s">
        <v>31893</v>
      </c>
      <c r="K6624" t="s">
        <v>38669</v>
      </c>
      <c r="M6624" t="s">
        <v>41143</v>
      </c>
      <c r="N6624" t="s">
        <v>42669</v>
      </c>
      <c r="O6624" t="s">
        <v>42670</v>
      </c>
      <c r="P6624">
        <v>0</v>
      </c>
      <c r="Q6624">
        <v>0</v>
      </c>
      <c r="R6624" t="s">
        <v>42677</v>
      </c>
      <c r="S6624" t="s">
        <v>42830</v>
      </c>
      <c r="T6624" t="s">
        <v>44355</v>
      </c>
      <c r="U6624" t="s">
        <v>50270</v>
      </c>
      <c r="W6624" t="s">
        <v>41143</v>
      </c>
      <c r="X6624" t="s">
        <v>42678</v>
      </c>
    </row>
    <row r="6625" spans="1:24">
      <c r="A6625">
        <f>HYPERLINK("https://www.philgeps.gov.ph/GEPSNONPILOT/Tender/SplashBidNoticeAbstractUI.aspx?menuIndex=3&amp;refID=7186114&amp;Result=3","7186114")</f>
        <v>0</v>
      </c>
      <c r="B6625" t="s">
        <v>2226</v>
      </c>
      <c r="C6625" t="s">
        <v>9861</v>
      </c>
      <c r="D6625" t="s">
        <v>17162</v>
      </c>
      <c r="E6625" t="s">
        <v>22974</v>
      </c>
      <c r="F6625" t="s">
        <v>29372</v>
      </c>
      <c r="G6625" t="s">
        <v>29380</v>
      </c>
      <c r="H6625" t="s">
        <v>29389</v>
      </c>
      <c r="I6625" t="s">
        <v>10408</v>
      </c>
      <c r="J6625" t="s">
        <v>33799</v>
      </c>
      <c r="K6625" t="s">
        <v>38563</v>
      </c>
      <c r="M6625" t="s">
        <v>41144</v>
      </c>
      <c r="N6625" t="s">
        <v>42669</v>
      </c>
      <c r="O6625" t="s">
        <v>42670</v>
      </c>
      <c r="P6625">
        <v>0</v>
      </c>
      <c r="Q6625">
        <v>0</v>
      </c>
      <c r="R6625" t="s">
        <v>42677</v>
      </c>
      <c r="S6625" t="s">
        <v>42830</v>
      </c>
      <c r="T6625" t="s">
        <v>44368</v>
      </c>
      <c r="U6625" t="s">
        <v>50271</v>
      </c>
      <c r="W6625" t="s">
        <v>41144</v>
      </c>
      <c r="X6625" t="s">
        <v>42678</v>
      </c>
    </row>
    <row r="6626" spans="1:24">
      <c r="A6626">
        <f>HYPERLINK("https://www.philgeps.gov.ph/GEPSNONPILOT/Tender/SplashBidNoticeAbstractUI.aspx?menuIndex=3&amp;refID=7186222&amp;Result=3","7186222")</f>
        <v>0</v>
      </c>
      <c r="B6626" t="s">
        <v>2227</v>
      </c>
      <c r="C6626" t="s">
        <v>9862</v>
      </c>
      <c r="D6626" t="s">
        <v>17188</v>
      </c>
      <c r="E6626" t="s">
        <v>22975</v>
      </c>
      <c r="F6626" t="s">
        <v>29372</v>
      </c>
      <c r="G6626" t="s">
        <v>29379</v>
      </c>
      <c r="H6626" t="s">
        <v>11048</v>
      </c>
      <c r="I6626" t="s">
        <v>4709</v>
      </c>
      <c r="J6626" t="s">
        <v>33800</v>
      </c>
      <c r="K6626" t="s">
        <v>38491</v>
      </c>
      <c r="M6626" t="s">
        <v>41145</v>
      </c>
      <c r="N6626" t="s">
        <v>42669</v>
      </c>
      <c r="O6626" t="s">
        <v>42670</v>
      </c>
      <c r="P6626">
        <v>0</v>
      </c>
      <c r="Q6626">
        <v>0</v>
      </c>
      <c r="R6626" t="s">
        <v>42677</v>
      </c>
      <c r="S6626" t="s">
        <v>42830</v>
      </c>
      <c r="T6626" t="s">
        <v>44560</v>
      </c>
      <c r="U6626" t="s">
        <v>50272</v>
      </c>
      <c r="W6626" t="s">
        <v>41145</v>
      </c>
      <c r="X6626" t="s">
        <v>42678</v>
      </c>
    </row>
    <row r="6627" spans="1:24">
      <c r="A6627">
        <f>HYPERLINK("https://www.philgeps.gov.ph/GEPSNONPILOT/Tender/SplashBidNoticeAbstractUI.aspx?menuIndex=3&amp;refID=7186219&amp;Result=3","7186219")</f>
        <v>0</v>
      </c>
      <c r="B6627" t="s">
        <v>2228</v>
      </c>
      <c r="C6627" t="s">
        <v>9863</v>
      </c>
      <c r="D6627" t="s">
        <v>17177</v>
      </c>
      <c r="E6627" t="s">
        <v>22976</v>
      </c>
      <c r="F6627" t="s">
        <v>29372</v>
      </c>
      <c r="G6627" t="s">
        <v>29379</v>
      </c>
      <c r="H6627" t="s">
        <v>11048</v>
      </c>
      <c r="I6627" t="s">
        <v>9642</v>
      </c>
      <c r="J6627" t="s">
        <v>32726</v>
      </c>
      <c r="K6627" t="s">
        <v>38491</v>
      </c>
      <c r="M6627" t="s">
        <v>41146</v>
      </c>
      <c r="N6627" t="s">
        <v>42669</v>
      </c>
      <c r="O6627" t="s">
        <v>42670</v>
      </c>
      <c r="P6627">
        <v>0</v>
      </c>
      <c r="Q6627">
        <v>3</v>
      </c>
      <c r="R6627" t="s">
        <v>42677</v>
      </c>
      <c r="S6627" t="s">
        <v>42830</v>
      </c>
      <c r="T6627" t="s">
        <v>44429</v>
      </c>
      <c r="U6627" t="s">
        <v>45794</v>
      </c>
      <c r="W6627" t="s">
        <v>41146</v>
      </c>
      <c r="X6627" t="s">
        <v>42678</v>
      </c>
    </row>
    <row r="6628" spans="1:24">
      <c r="A6628">
        <f>HYPERLINK("https://www.philgeps.gov.ph/GEPSNONPILOT/Tender/SplashBidNoticeAbstractUI.aspx?menuIndex=3&amp;refID=7186218&amp;Result=3","7186218")</f>
        <v>0</v>
      </c>
      <c r="B6628" t="s">
        <v>2217</v>
      </c>
      <c r="C6628" t="s">
        <v>9864</v>
      </c>
      <c r="D6628" t="s">
        <v>17168</v>
      </c>
      <c r="E6628" t="s">
        <v>22977</v>
      </c>
      <c r="F6628" t="s">
        <v>29372</v>
      </c>
      <c r="G6628" t="s">
        <v>29379</v>
      </c>
      <c r="H6628" t="s">
        <v>11048</v>
      </c>
      <c r="I6628" t="s">
        <v>4487</v>
      </c>
      <c r="J6628" t="s">
        <v>33801</v>
      </c>
      <c r="K6628" t="s">
        <v>38488</v>
      </c>
      <c r="M6628" t="s">
        <v>41134</v>
      </c>
      <c r="N6628" t="s">
        <v>42669</v>
      </c>
      <c r="O6628" t="s">
        <v>42670</v>
      </c>
      <c r="P6628">
        <v>0</v>
      </c>
      <c r="Q6628">
        <v>5</v>
      </c>
      <c r="R6628" t="s">
        <v>42677</v>
      </c>
      <c r="S6628" t="s">
        <v>42830</v>
      </c>
      <c r="T6628" t="s">
        <v>44496</v>
      </c>
      <c r="U6628" t="s">
        <v>50273</v>
      </c>
      <c r="W6628" t="s">
        <v>41134</v>
      </c>
      <c r="X6628" t="s">
        <v>42678</v>
      </c>
    </row>
    <row r="6629" spans="1:24">
      <c r="A6629">
        <f>HYPERLINK("https://www.philgeps.gov.ph/GEPSNONPILOT/Tender/SplashBidNoticeAbstractUI.aspx?menuIndex=3&amp;refID=7186217&amp;Result=3","7186217")</f>
        <v>0</v>
      </c>
      <c r="B6629" t="s">
        <v>1443</v>
      </c>
      <c r="C6629" t="s">
        <v>9865</v>
      </c>
      <c r="D6629" t="s">
        <v>17207</v>
      </c>
      <c r="E6629" t="s">
        <v>22978</v>
      </c>
      <c r="F6629" t="s">
        <v>29372</v>
      </c>
      <c r="G6629" t="s">
        <v>29380</v>
      </c>
      <c r="H6629" t="s">
        <v>11048</v>
      </c>
      <c r="I6629" t="s">
        <v>9642</v>
      </c>
      <c r="J6629" t="s">
        <v>30496</v>
      </c>
      <c r="K6629" t="s">
        <v>38530</v>
      </c>
      <c r="M6629" t="s">
        <v>40284</v>
      </c>
      <c r="N6629" t="s">
        <v>42669</v>
      </c>
      <c r="O6629" t="s">
        <v>42670</v>
      </c>
      <c r="P6629">
        <v>0</v>
      </c>
      <c r="Q6629">
        <v>1</v>
      </c>
      <c r="R6629" t="s">
        <v>42677</v>
      </c>
      <c r="S6629" t="s">
        <v>42830</v>
      </c>
      <c r="T6629" t="s">
        <v>44733</v>
      </c>
      <c r="U6629" t="s">
        <v>50274</v>
      </c>
      <c r="V6629" t="s">
        <v>57095</v>
      </c>
      <c r="W6629" t="s">
        <v>40284</v>
      </c>
      <c r="X6629" t="s">
        <v>42678</v>
      </c>
    </row>
    <row r="6630" spans="1:24">
      <c r="A6630">
        <f>HYPERLINK("https://www.philgeps.gov.ph/GEPSNONPILOT/Tender/SplashBidNoticeAbstractUI.aspx?menuIndex=3&amp;refID=7186215&amp;Result=3","7186215")</f>
        <v>0</v>
      </c>
      <c r="B6630" t="s">
        <v>339</v>
      </c>
      <c r="C6630" t="s">
        <v>9866</v>
      </c>
      <c r="D6630" t="s">
        <v>17156</v>
      </c>
      <c r="E6630" t="s">
        <v>9866</v>
      </c>
      <c r="F6630" t="s">
        <v>29372</v>
      </c>
      <c r="G6630" t="s">
        <v>29380</v>
      </c>
      <c r="H6630" t="s">
        <v>11048</v>
      </c>
      <c r="I6630" t="s">
        <v>8614</v>
      </c>
      <c r="J6630" t="s">
        <v>33802</v>
      </c>
      <c r="K6630" t="s">
        <v>38485</v>
      </c>
      <c r="M6630" t="s">
        <v>39651</v>
      </c>
      <c r="N6630" t="s">
        <v>42669</v>
      </c>
      <c r="O6630" t="s">
        <v>42670</v>
      </c>
      <c r="P6630">
        <v>0</v>
      </c>
      <c r="Q6630">
        <v>0</v>
      </c>
      <c r="R6630" t="s">
        <v>42677</v>
      </c>
      <c r="S6630" t="s">
        <v>42830</v>
      </c>
      <c r="T6630" t="s">
        <v>44414</v>
      </c>
      <c r="U6630" t="s">
        <v>50275</v>
      </c>
      <c r="W6630" t="s">
        <v>39651</v>
      </c>
      <c r="X6630" t="s">
        <v>42678</v>
      </c>
    </row>
    <row r="6631" spans="1:24">
      <c r="A6631">
        <f>HYPERLINK("https://www.philgeps.gov.ph/GEPSNONPILOT/Tender/SplashBidNoticeAbstractUI.aspx?menuIndex=3&amp;refID=7186115&amp;Result=3","7186115")</f>
        <v>0</v>
      </c>
      <c r="B6631" t="s">
        <v>1761</v>
      </c>
      <c r="C6631" t="s">
        <v>9867</v>
      </c>
      <c r="D6631" t="s">
        <v>17141</v>
      </c>
      <c r="E6631" t="s">
        <v>22979</v>
      </c>
      <c r="F6631" t="s">
        <v>29372</v>
      </c>
      <c r="G6631" t="s">
        <v>29382</v>
      </c>
      <c r="H6631" t="s">
        <v>11048</v>
      </c>
      <c r="I6631" t="s">
        <v>3839</v>
      </c>
      <c r="J6631" t="s">
        <v>29708</v>
      </c>
      <c r="K6631" t="s">
        <v>38491</v>
      </c>
      <c r="M6631" t="s">
        <v>40628</v>
      </c>
      <c r="N6631" t="s">
        <v>42669</v>
      </c>
      <c r="O6631" t="s">
        <v>42670</v>
      </c>
      <c r="P6631">
        <v>0</v>
      </c>
      <c r="Q6631">
        <v>13</v>
      </c>
      <c r="R6631" t="s">
        <v>42677</v>
      </c>
      <c r="S6631" t="s">
        <v>42830</v>
      </c>
      <c r="T6631" t="s">
        <v>44491</v>
      </c>
      <c r="U6631" t="s">
        <v>50276</v>
      </c>
      <c r="W6631" t="s">
        <v>58056</v>
      </c>
      <c r="X6631" t="s">
        <v>42678</v>
      </c>
    </row>
    <row r="6632" spans="1:24">
      <c r="A6632">
        <f>HYPERLINK("https://www.philgeps.gov.ph/GEPSNONPILOT/Tender/SplashBidNoticeAbstractUI.aspx?menuIndex=3&amp;refID=7186213&amp;Result=3","7186213")</f>
        <v>0</v>
      </c>
      <c r="B6632" t="s">
        <v>2229</v>
      </c>
      <c r="C6632" t="s">
        <v>9868</v>
      </c>
      <c r="D6632" t="s">
        <v>17178</v>
      </c>
      <c r="E6632" t="s">
        <v>22980</v>
      </c>
      <c r="F6632" t="s">
        <v>29372</v>
      </c>
      <c r="G6632" t="s">
        <v>29380</v>
      </c>
      <c r="H6632" t="s">
        <v>11048</v>
      </c>
      <c r="I6632" t="s">
        <v>29409</v>
      </c>
      <c r="J6632" t="s">
        <v>33803</v>
      </c>
      <c r="K6632" t="s">
        <v>38510</v>
      </c>
      <c r="M6632" t="s">
        <v>41147</v>
      </c>
      <c r="N6632" t="s">
        <v>42669</v>
      </c>
      <c r="O6632" t="s">
        <v>42670</v>
      </c>
      <c r="P6632">
        <v>0</v>
      </c>
      <c r="Q6632">
        <v>9</v>
      </c>
      <c r="R6632" t="s">
        <v>42677</v>
      </c>
      <c r="S6632" t="s">
        <v>42830</v>
      </c>
      <c r="T6632" t="s">
        <v>44481</v>
      </c>
      <c r="U6632" t="s">
        <v>50277</v>
      </c>
      <c r="W6632" t="s">
        <v>58074</v>
      </c>
      <c r="X6632" t="s">
        <v>42678</v>
      </c>
    </row>
    <row r="6633" spans="1:24">
      <c r="A6633">
        <f>HYPERLINK("https://www.philgeps.gov.ph/GEPSNONPILOT/Tender/SplashBidNoticeAbstractUI.aspx?menuIndex=3&amp;refID=7186032&amp;Result=3","7186032")</f>
        <v>0</v>
      </c>
      <c r="B6633" t="s">
        <v>2230</v>
      </c>
      <c r="C6633" t="s">
        <v>9869</v>
      </c>
      <c r="D6633" t="s">
        <v>17176</v>
      </c>
      <c r="E6633" t="s">
        <v>17794</v>
      </c>
      <c r="F6633" t="s">
        <v>29372</v>
      </c>
      <c r="G6633" t="s">
        <v>29380</v>
      </c>
      <c r="H6633" t="s">
        <v>29389</v>
      </c>
      <c r="I6633" t="s">
        <v>10408</v>
      </c>
      <c r="J6633" t="s">
        <v>33804</v>
      </c>
      <c r="K6633" t="s">
        <v>38564</v>
      </c>
      <c r="M6633" t="s">
        <v>41148</v>
      </c>
      <c r="N6633" t="s">
        <v>42669</v>
      </c>
      <c r="O6633" t="s">
        <v>42670</v>
      </c>
      <c r="P6633">
        <v>0</v>
      </c>
      <c r="Q6633">
        <v>0</v>
      </c>
      <c r="R6633" t="s">
        <v>42677</v>
      </c>
      <c r="S6633" t="s">
        <v>42830</v>
      </c>
      <c r="T6633" t="s">
        <v>44734</v>
      </c>
      <c r="U6633" t="s">
        <v>50278</v>
      </c>
      <c r="W6633" t="s">
        <v>41148</v>
      </c>
      <c r="X6633" t="s">
        <v>42678</v>
      </c>
    </row>
    <row r="6634" spans="1:24">
      <c r="A6634">
        <f>HYPERLINK("https://www.philgeps.gov.ph/GEPSNONPILOT/Tender/SplashBidNoticeAbstractUI.aspx?menuIndex=3&amp;refID=7186209&amp;Result=3","7186209")</f>
        <v>0</v>
      </c>
      <c r="B6634" t="s">
        <v>186</v>
      </c>
      <c r="C6634" t="s">
        <v>9870</v>
      </c>
      <c r="D6634" t="s">
        <v>17198</v>
      </c>
      <c r="E6634" t="s">
        <v>22981</v>
      </c>
      <c r="F6634" t="s">
        <v>29372</v>
      </c>
      <c r="G6634" t="s">
        <v>29380</v>
      </c>
      <c r="H6634" t="s">
        <v>29389</v>
      </c>
      <c r="I6634" t="s">
        <v>10408</v>
      </c>
      <c r="J6634" t="s">
        <v>33805</v>
      </c>
      <c r="K6634" t="s">
        <v>38488</v>
      </c>
      <c r="M6634" t="s">
        <v>38943</v>
      </c>
      <c r="N6634" t="s">
        <v>42669</v>
      </c>
      <c r="O6634" t="s">
        <v>42670</v>
      </c>
      <c r="P6634">
        <v>0</v>
      </c>
      <c r="Q6634">
        <v>0</v>
      </c>
      <c r="R6634" t="s">
        <v>42677</v>
      </c>
      <c r="S6634" t="s">
        <v>42830</v>
      </c>
      <c r="T6634" t="s">
        <v>44517</v>
      </c>
      <c r="U6634" t="s">
        <v>50279</v>
      </c>
      <c r="W6634" t="s">
        <v>38943</v>
      </c>
      <c r="X6634" t="s">
        <v>42678</v>
      </c>
    </row>
    <row r="6635" spans="1:24">
      <c r="A6635">
        <f>HYPERLINK("https://www.philgeps.gov.ph/GEPSNONPILOT/Tender/SplashBidNoticeAbstractUI.aspx?menuIndex=3&amp;refID=7186220&amp;Result=3","7186220")</f>
        <v>0</v>
      </c>
      <c r="B6635" t="s">
        <v>2231</v>
      </c>
      <c r="C6635" t="s">
        <v>9871</v>
      </c>
      <c r="D6635" t="s">
        <v>17162</v>
      </c>
      <c r="E6635" t="s">
        <v>22982</v>
      </c>
      <c r="F6635" t="s">
        <v>29372</v>
      </c>
      <c r="G6635" t="s">
        <v>29379</v>
      </c>
      <c r="H6635" t="s">
        <v>11048</v>
      </c>
      <c r="I6635" t="s">
        <v>29406</v>
      </c>
      <c r="J6635" t="s">
        <v>33806</v>
      </c>
      <c r="K6635" t="s">
        <v>38487</v>
      </c>
      <c r="M6635" t="s">
        <v>41149</v>
      </c>
      <c r="N6635" t="s">
        <v>42669</v>
      </c>
      <c r="O6635" t="s">
        <v>42670</v>
      </c>
      <c r="Q6635">
        <v>3</v>
      </c>
      <c r="R6635" t="s">
        <v>42677</v>
      </c>
      <c r="S6635" t="s">
        <v>42857</v>
      </c>
      <c r="T6635" t="s">
        <v>44399</v>
      </c>
      <c r="U6635" t="s">
        <v>50280</v>
      </c>
      <c r="W6635" t="s">
        <v>41149</v>
      </c>
      <c r="X6635" t="s">
        <v>42678</v>
      </c>
    </row>
    <row r="6636" spans="1:24">
      <c r="A6636">
        <f>HYPERLINK("https://www.philgeps.gov.ph/GEPSNONPILOT/Tender/SplashBidNoticeAbstractUI.aspx?menuIndex=3&amp;refID=7186207&amp;Result=3","7186207")</f>
        <v>0</v>
      </c>
      <c r="B6636" t="s">
        <v>1761</v>
      </c>
      <c r="C6636" t="s">
        <v>9872</v>
      </c>
      <c r="D6636" t="s">
        <v>17141</v>
      </c>
      <c r="E6636" t="s">
        <v>22983</v>
      </c>
      <c r="F6636" t="s">
        <v>29372</v>
      </c>
      <c r="G6636" t="s">
        <v>29382</v>
      </c>
      <c r="H6636" t="s">
        <v>11048</v>
      </c>
      <c r="I6636" t="s">
        <v>5383</v>
      </c>
      <c r="J6636" t="s">
        <v>33807</v>
      </c>
      <c r="K6636" t="s">
        <v>38491</v>
      </c>
      <c r="M6636" t="s">
        <v>40628</v>
      </c>
      <c r="N6636" t="s">
        <v>42669</v>
      </c>
      <c r="O6636" t="s">
        <v>42670</v>
      </c>
      <c r="P6636">
        <v>0</v>
      </c>
      <c r="Q6636">
        <v>10</v>
      </c>
      <c r="R6636" t="s">
        <v>42677</v>
      </c>
      <c r="S6636" t="s">
        <v>42830</v>
      </c>
      <c r="T6636" t="s">
        <v>44491</v>
      </c>
      <c r="U6636" t="s">
        <v>50281</v>
      </c>
      <c r="W6636" t="s">
        <v>58056</v>
      </c>
      <c r="X6636" t="s">
        <v>42678</v>
      </c>
    </row>
    <row r="6637" spans="1:24">
      <c r="A6637">
        <f>HYPERLINK("https://www.philgeps.gov.ph/GEPSNONPILOT/Tender/SplashBidNoticeAbstractUI.aspx?menuIndex=3&amp;refID=7186205&amp;Result=3","7186205")</f>
        <v>0</v>
      </c>
      <c r="B6637" t="s">
        <v>2228</v>
      </c>
      <c r="C6637" t="s">
        <v>9873</v>
      </c>
      <c r="D6637" t="s">
        <v>17177</v>
      </c>
      <c r="E6637" t="s">
        <v>22984</v>
      </c>
      <c r="F6637" t="s">
        <v>29372</v>
      </c>
      <c r="G6637" t="s">
        <v>29379</v>
      </c>
      <c r="H6637" t="s">
        <v>11048</v>
      </c>
      <c r="I6637" t="s">
        <v>8614</v>
      </c>
      <c r="J6637" t="s">
        <v>33808</v>
      </c>
      <c r="K6637" t="s">
        <v>38491</v>
      </c>
      <c r="M6637" t="s">
        <v>41146</v>
      </c>
      <c r="N6637" t="s">
        <v>42669</v>
      </c>
      <c r="O6637" t="s">
        <v>42670</v>
      </c>
      <c r="P6637">
        <v>0</v>
      </c>
      <c r="Q6637">
        <v>5</v>
      </c>
      <c r="R6637" t="s">
        <v>42677</v>
      </c>
      <c r="S6637" t="s">
        <v>42830</v>
      </c>
      <c r="T6637" t="s">
        <v>44429</v>
      </c>
      <c r="U6637" t="s">
        <v>45794</v>
      </c>
      <c r="W6637" t="s">
        <v>41146</v>
      </c>
      <c r="X6637" t="s">
        <v>42678</v>
      </c>
    </row>
    <row r="6638" spans="1:24">
      <c r="A6638">
        <f>HYPERLINK("https://www.philgeps.gov.ph/GEPSNONPILOT/Tender/SplashBidNoticeAbstractUI.aspx?menuIndex=3&amp;refID=7186203&amp;Result=3","7186203")</f>
        <v>0</v>
      </c>
      <c r="B6638" t="s">
        <v>339</v>
      </c>
      <c r="C6638" t="s">
        <v>9874</v>
      </c>
      <c r="D6638" t="s">
        <v>17156</v>
      </c>
      <c r="E6638" t="s">
        <v>9874</v>
      </c>
      <c r="F6638" t="s">
        <v>29372</v>
      </c>
      <c r="G6638" t="s">
        <v>29380</v>
      </c>
      <c r="H6638" t="s">
        <v>11048</v>
      </c>
      <c r="I6638" t="s">
        <v>29403</v>
      </c>
      <c r="J6638" t="s">
        <v>33809</v>
      </c>
      <c r="K6638" t="s">
        <v>38485</v>
      </c>
      <c r="M6638" t="s">
        <v>39651</v>
      </c>
      <c r="N6638" t="s">
        <v>42669</v>
      </c>
      <c r="O6638" t="s">
        <v>42670</v>
      </c>
      <c r="P6638">
        <v>0</v>
      </c>
      <c r="Q6638">
        <v>0</v>
      </c>
      <c r="R6638" t="s">
        <v>42677</v>
      </c>
      <c r="S6638" t="s">
        <v>42830</v>
      </c>
      <c r="T6638" t="s">
        <v>44414</v>
      </c>
      <c r="U6638" t="s">
        <v>50282</v>
      </c>
      <c r="W6638" t="s">
        <v>39651</v>
      </c>
      <c r="X6638" t="s">
        <v>42678</v>
      </c>
    </row>
    <row r="6639" spans="1:24">
      <c r="A6639">
        <f>HYPERLINK("https://www.philgeps.gov.ph/GEPSNONPILOT/Tender/SplashBidNoticeAbstractUI.aspx?menuIndex=3&amp;refID=7186030&amp;Result=3","7186030")</f>
        <v>0</v>
      </c>
      <c r="B6639" t="s">
        <v>1761</v>
      </c>
      <c r="C6639" t="s">
        <v>9875</v>
      </c>
      <c r="D6639" t="s">
        <v>17141</v>
      </c>
      <c r="E6639" t="s">
        <v>22985</v>
      </c>
      <c r="F6639" t="s">
        <v>29372</v>
      </c>
      <c r="G6639" t="s">
        <v>29382</v>
      </c>
      <c r="H6639" t="s">
        <v>11048</v>
      </c>
      <c r="I6639" t="s">
        <v>5383</v>
      </c>
      <c r="J6639" t="s">
        <v>29799</v>
      </c>
      <c r="K6639" t="s">
        <v>38491</v>
      </c>
      <c r="M6639" t="s">
        <v>40628</v>
      </c>
      <c r="N6639" t="s">
        <v>42669</v>
      </c>
      <c r="O6639" t="s">
        <v>42670</v>
      </c>
      <c r="P6639">
        <v>0</v>
      </c>
      <c r="Q6639">
        <v>1</v>
      </c>
      <c r="R6639" t="s">
        <v>42677</v>
      </c>
      <c r="S6639" t="s">
        <v>42830</v>
      </c>
      <c r="T6639" t="s">
        <v>44491</v>
      </c>
      <c r="U6639" t="s">
        <v>50283</v>
      </c>
      <c r="W6639" t="s">
        <v>58056</v>
      </c>
      <c r="X6639" t="s">
        <v>42678</v>
      </c>
    </row>
    <row r="6640" spans="1:24">
      <c r="A6640">
        <f>HYPERLINK("https://www.philgeps.gov.ph/GEPSNONPILOT/Tender/SplashBidNoticeAbstractUI.aspx?menuIndex=3&amp;refID=7186024&amp;Result=3","7186024")</f>
        <v>0</v>
      </c>
      <c r="B6640" t="s">
        <v>77</v>
      </c>
      <c r="C6640" t="s">
        <v>9876</v>
      </c>
      <c r="D6640" t="s">
        <v>17154</v>
      </c>
      <c r="E6640" t="s">
        <v>22986</v>
      </c>
      <c r="F6640" t="s">
        <v>29372</v>
      </c>
      <c r="G6640" t="s">
        <v>29383</v>
      </c>
      <c r="H6640" t="s">
        <v>11048</v>
      </c>
      <c r="I6640" t="s">
        <v>5383</v>
      </c>
      <c r="J6640" t="s">
        <v>33810</v>
      </c>
      <c r="K6640" t="s">
        <v>38491</v>
      </c>
      <c r="M6640" t="s">
        <v>38831</v>
      </c>
      <c r="N6640" t="s">
        <v>42669</v>
      </c>
      <c r="O6640" t="s">
        <v>42670</v>
      </c>
      <c r="P6640">
        <v>0</v>
      </c>
      <c r="Q6640">
        <v>4</v>
      </c>
      <c r="R6640" t="s">
        <v>42677</v>
      </c>
      <c r="S6640" t="s">
        <v>42830</v>
      </c>
      <c r="T6640" t="s">
        <v>44496</v>
      </c>
      <c r="U6640" t="s">
        <v>50284</v>
      </c>
      <c r="W6640" t="s">
        <v>38831</v>
      </c>
      <c r="X6640" t="s">
        <v>42678</v>
      </c>
    </row>
    <row r="6641" spans="1:24">
      <c r="A6641">
        <f>HYPERLINK("https://www.philgeps.gov.ph/GEPSNONPILOT/Tender/SplashBidNoticeAbstractUI.aspx?menuIndex=3&amp;refID=7186015&amp;Result=3","7186015")</f>
        <v>0</v>
      </c>
      <c r="B6641" t="s">
        <v>2232</v>
      </c>
      <c r="C6641" t="s">
        <v>9877</v>
      </c>
      <c r="D6641" t="s">
        <v>17144</v>
      </c>
      <c r="E6641" t="s">
        <v>22987</v>
      </c>
      <c r="F6641" t="s">
        <v>29372</v>
      </c>
      <c r="G6641" t="s">
        <v>29379</v>
      </c>
      <c r="H6641" t="s">
        <v>29391</v>
      </c>
      <c r="I6641" t="s">
        <v>29391</v>
      </c>
      <c r="J6641" t="s">
        <v>29625</v>
      </c>
      <c r="K6641" t="s">
        <v>38488</v>
      </c>
      <c r="M6641" t="s">
        <v>41150</v>
      </c>
      <c r="N6641" t="s">
        <v>42669</v>
      </c>
      <c r="O6641" t="s">
        <v>42670</v>
      </c>
      <c r="P6641">
        <v>0</v>
      </c>
      <c r="Q6641">
        <v>2</v>
      </c>
      <c r="R6641" t="s">
        <v>42677</v>
      </c>
      <c r="S6641" t="s">
        <v>42830</v>
      </c>
      <c r="T6641" t="s">
        <v>44491</v>
      </c>
      <c r="U6641" t="s">
        <v>45794</v>
      </c>
      <c r="W6641" t="s">
        <v>41150</v>
      </c>
      <c r="X6641" t="s">
        <v>42678</v>
      </c>
    </row>
    <row r="6642" spans="1:24">
      <c r="A6642">
        <f>HYPERLINK("https://www.philgeps.gov.ph/GEPSNONPILOT/Tender/SplashBidNoticeAbstractUI.aspx?menuIndex=3&amp;refID=7186011&amp;Result=3","7186011")</f>
        <v>0</v>
      </c>
      <c r="B6642" t="s">
        <v>2214</v>
      </c>
      <c r="C6642" t="s">
        <v>9878</v>
      </c>
      <c r="D6642" t="s">
        <v>17190</v>
      </c>
      <c r="E6642" t="s">
        <v>22988</v>
      </c>
      <c r="F6642" t="s">
        <v>29372</v>
      </c>
      <c r="G6642" t="s">
        <v>29380</v>
      </c>
      <c r="H6642" t="s">
        <v>29389</v>
      </c>
      <c r="I6642" t="s">
        <v>10408</v>
      </c>
      <c r="J6642" t="s">
        <v>33811</v>
      </c>
      <c r="K6642" t="s">
        <v>38670</v>
      </c>
      <c r="M6642" t="s">
        <v>41131</v>
      </c>
      <c r="N6642" t="s">
        <v>42669</v>
      </c>
      <c r="O6642" t="s">
        <v>42670</v>
      </c>
      <c r="P6642">
        <v>0</v>
      </c>
      <c r="Q6642">
        <v>0</v>
      </c>
      <c r="R6642" t="s">
        <v>42677</v>
      </c>
      <c r="S6642" t="s">
        <v>42830</v>
      </c>
      <c r="T6642" t="s">
        <v>44474</v>
      </c>
      <c r="U6642" t="s">
        <v>50285</v>
      </c>
      <c r="W6642" t="s">
        <v>41131</v>
      </c>
      <c r="X6642" t="s">
        <v>42678</v>
      </c>
    </row>
    <row r="6643" spans="1:24">
      <c r="A6643">
        <f>HYPERLINK("https://www.philgeps.gov.ph/GEPSNONPILOT/Tender/SplashBidNoticeAbstractUI.aspx?menuIndex=3&amp;refID=7186212&amp;Result=3","7186212")</f>
        <v>0</v>
      </c>
      <c r="B6643" t="s">
        <v>2219</v>
      </c>
      <c r="C6643" t="s">
        <v>9879</v>
      </c>
      <c r="D6643" t="s">
        <v>17180</v>
      </c>
      <c r="E6643" t="s">
        <v>22989</v>
      </c>
      <c r="F6643" t="s">
        <v>29372</v>
      </c>
      <c r="G6643" t="s">
        <v>29380</v>
      </c>
      <c r="H6643" t="s">
        <v>11048</v>
      </c>
      <c r="I6643" t="s">
        <v>4709</v>
      </c>
      <c r="J6643" t="s">
        <v>33812</v>
      </c>
      <c r="K6643" t="s">
        <v>38538</v>
      </c>
      <c r="M6643" t="s">
        <v>41137</v>
      </c>
      <c r="N6643" t="s">
        <v>42669</v>
      </c>
      <c r="O6643" t="s">
        <v>42670</v>
      </c>
      <c r="P6643">
        <v>0</v>
      </c>
      <c r="Q6643">
        <v>1</v>
      </c>
      <c r="R6643" t="s">
        <v>42677</v>
      </c>
      <c r="S6643" t="s">
        <v>42830</v>
      </c>
      <c r="T6643" t="s">
        <v>44429</v>
      </c>
      <c r="U6643" t="s">
        <v>50286</v>
      </c>
      <c r="W6643" t="s">
        <v>41137</v>
      </c>
      <c r="X6643" t="s">
        <v>42678</v>
      </c>
    </row>
    <row r="6644" spans="1:24">
      <c r="A6644">
        <f>HYPERLINK("https://www.philgeps.gov.ph/GEPSNONPILOT/Tender/SplashBidNoticeAbstractUI.aspx?menuIndex=3&amp;refID=7186206&amp;Result=3","7186206")</f>
        <v>0</v>
      </c>
      <c r="B6644" t="s">
        <v>1248</v>
      </c>
      <c r="C6644" t="s">
        <v>9880</v>
      </c>
      <c r="D6644" t="s">
        <v>17201</v>
      </c>
      <c r="E6644" t="s">
        <v>22990</v>
      </c>
      <c r="F6644" t="s">
        <v>29372</v>
      </c>
      <c r="G6644" t="s">
        <v>29379</v>
      </c>
      <c r="H6644" t="s">
        <v>29389</v>
      </c>
      <c r="I6644" t="s">
        <v>10408</v>
      </c>
      <c r="J6644" t="s">
        <v>33813</v>
      </c>
      <c r="K6644" t="s">
        <v>38496</v>
      </c>
      <c r="M6644" t="s">
        <v>40073</v>
      </c>
      <c r="N6644" t="s">
        <v>42669</v>
      </c>
      <c r="O6644" t="s">
        <v>42670</v>
      </c>
      <c r="P6644">
        <v>0</v>
      </c>
      <c r="Q6644">
        <v>3</v>
      </c>
      <c r="R6644" t="s">
        <v>42677</v>
      </c>
      <c r="S6644" t="s">
        <v>42830</v>
      </c>
      <c r="T6644" t="s">
        <v>44401</v>
      </c>
      <c r="U6644" t="s">
        <v>50287</v>
      </c>
      <c r="W6644" t="s">
        <v>40073</v>
      </c>
      <c r="X6644" t="s">
        <v>42678</v>
      </c>
    </row>
    <row r="6645" spans="1:24">
      <c r="A6645">
        <f>HYPERLINK("https://www.philgeps.gov.ph/GEPSNONPILOT/Tender/SplashBidNoticeAbstractUI.aspx?menuIndex=3&amp;refID=7185949&amp;Result=3","7185949")</f>
        <v>0</v>
      </c>
      <c r="B6645" t="s">
        <v>2233</v>
      </c>
      <c r="C6645" t="s">
        <v>9881</v>
      </c>
      <c r="D6645" t="s">
        <v>17195</v>
      </c>
      <c r="E6645" t="s">
        <v>22991</v>
      </c>
      <c r="F6645" t="s">
        <v>29372</v>
      </c>
      <c r="G6645" t="s">
        <v>29380</v>
      </c>
      <c r="H6645" t="s">
        <v>11048</v>
      </c>
      <c r="I6645" t="s">
        <v>29425</v>
      </c>
      <c r="J6645" t="s">
        <v>29728</v>
      </c>
      <c r="K6645" t="s">
        <v>38485</v>
      </c>
      <c r="M6645" t="s">
        <v>41151</v>
      </c>
      <c r="N6645" t="s">
        <v>42669</v>
      </c>
      <c r="O6645" t="s">
        <v>42670</v>
      </c>
      <c r="P6645">
        <v>0</v>
      </c>
      <c r="Q6645">
        <v>3</v>
      </c>
      <c r="R6645" t="s">
        <v>42677</v>
      </c>
      <c r="S6645" t="s">
        <v>42830</v>
      </c>
      <c r="T6645" t="s">
        <v>44417</v>
      </c>
      <c r="U6645" t="s">
        <v>50288</v>
      </c>
      <c r="W6645" t="s">
        <v>41151</v>
      </c>
      <c r="X6645" t="s">
        <v>42678</v>
      </c>
    </row>
    <row r="6646" spans="1:24">
      <c r="A6646">
        <f>HYPERLINK("https://www.philgeps.gov.ph/GEPSNONPILOT/Tender/SplashBidNoticeAbstractUI.aspx?menuIndex=3&amp;refID=7185903&amp;Result=3","7185903")</f>
        <v>0</v>
      </c>
      <c r="B6646" t="s">
        <v>2233</v>
      </c>
      <c r="C6646" t="s">
        <v>3695</v>
      </c>
      <c r="D6646" t="s">
        <v>17195</v>
      </c>
      <c r="E6646" t="s">
        <v>22992</v>
      </c>
      <c r="F6646" t="s">
        <v>29372</v>
      </c>
      <c r="G6646" t="s">
        <v>29380</v>
      </c>
      <c r="H6646" t="s">
        <v>11048</v>
      </c>
      <c r="I6646" t="s">
        <v>3695</v>
      </c>
      <c r="J6646" t="s">
        <v>33814</v>
      </c>
      <c r="K6646" t="s">
        <v>38485</v>
      </c>
      <c r="M6646" t="s">
        <v>41151</v>
      </c>
      <c r="N6646" t="s">
        <v>42669</v>
      </c>
      <c r="O6646" t="s">
        <v>42670</v>
      </c>
      <c r="P6646">
        <v>0</v>
      </c>
      <c r="Q6646">
        <v>1</v>
      </c>
      <c r="R6646" t="s">
        <v>42677</v>
      </c>
      <c r="S6646" t="s">
        <v>42830</v>
      </c>
      <c r="T6646" t="s">
        <v>44417</v>
      </c>
      <c r="U6646" t="s">
        <v>50288</v>
      </c>
      <c r="W6646" t="s">
        <v>41151</v>
      </c>
      <c r="X6646" t="s">
        <v>42678</v>
      </c>
    </row>
    <row r="6647" spans="1:24">
      <c r="A6647">
        <f>HYPERLINK("https://www.philgeps.gov.ph/GEPSNONPILOT/Tender/SplashBidNoticeAbstractUI.aspx?menuIndex=3&amp;refID=7186080&amp;Result=3","7186080")</f>
        <v>0</v>
      </c>
      <c r="B6647" t="s">
        <v>589</v>
      </c>
      <c r="C6647" t="s">
        <v>9882</v>
      </c>
      <c r="D6647" t="s">
        <v>17168</v>
      </c>
      <c r="E6647" t="s">
        <v>22993</v>
      </c>
      <c r="F6647" t="s">
        <v>29372</v>
      </c>
      <c r="G6647" t="s">
        <v>29380</v>
      </c>
      <c r="H6647" t="s">
        <v>11048</v>
      </c>
      <c r="I6647" t="s">
        <v>3695</v>
      </c>
      <c r="J6647" t="s">
        <v>33815</v>
      </c>
      <c r="K6647" t="s">
        <v>38538</v>
      </c>
      <c r="M6647" t="s">
        <v>40450</v>
      </c>
      <c r="N6647" t="s">
        <v>42669</v>
      </c>
      <c r="O6647" t="s">
        <v>42670</v>
      </c>
      <c r="P6647">
        <v>0</v>
      </c>
      <c r="Q6647">
        <v>2</v>
      </c>
      <c r="R6647" t="s">
        <v>42677</v>
      </c>
      <c r="S6647" t="s">
        <v>42830</v>
      </c>
      <c r="T6647" t="s">
        <v>44480</v>
      </c>
      <c r="U6647" t="s">
        <v>50289</v>
      </c>
      <c r="V6647" t="s">
        <v>56973</v>
      </c>
      <c r="W6647" t="s">
        <v>40450</v>
      </c>
      <c r="X6647" t="s">
        <v>42678</v>
      </c>
    </row>
    <row r="6648" spans="1:24">
      <c r="A6648">
        <f>HYPERLINK("https://www.philgeps.gov.ph/GEPSNONPILOT/Tender/SplashBidNoticeAbstractUI.aspx?menuIndex=3&amp;refID=7185955&amp;Result=3","7185955")</f>
        <v>0</v>
      </c>
      <c r="B6648" t="s">
        <v>1919</v>
      </c>
      <c r="C6648" t="s">
        <v>9883</v>
      </c>
      <c r="D6648" t="s">
        <v>17194</v>
      </c>
      <c r="E6648" t="s">
        <v>22994</v>
      </c>
      <c r="F6648" t="s">
        <v>29372</v>
      </c>
      <c r="G6648" t="s">
        <v>29380</v>
      </c>
      <c r="H6648" t="s">
        <v>11048</v>
      </c>
      <c r="I6648" t="s">
        <v>4709</v>
      </c>
      <c r="J6648" t="s">
        <v>33816</v>
      </c>
      <c r="K6648" t="s">
        <v>38485</v>
      </c>
      <c r="M6648" t="s">
        <v>40820</v>
      </c>
      <c r="N6648" t="s">
        <v>42669</v>
      </c>
      <c r="O6648" t="s">
        <v>42670</v>
      </c>
      <c r="P6648">
        <v>0</v>
      </c>
      <c r="Q6648">
        <v>0</v>
      </c>
      <c r="R6648" t="s">
        <v>42677</v>
      </c>
      <c r="S6648" t="s">
        <v>42830</v>
      </c>
      <c r="T6648" t="s">
        <v>44504</v>
      </c>
      <c r="U6648" t="s">
        <v>49323</v>
      </c>
      <c r="V6648" t="s">
        <v>56972</v>
      </c>
      <c r="W6648" t="s">
        <v>40820</v>
      </c>
      <c r="X6648" t="s">
        <v>42678</v>
      </c>
    </row>
    <row r="6649" spans="1:24">
      <c r="A6649">
        <f>HYPERLINK("https://www.philgeps.gov.ph/GEPSNONPILOT/Tender/SplashBidNoticeAbstractUI.aspx?menuIndex=3&amp;refID=7185906&amp;Result=3","7185906")</f>
        <v>0</v>
      </c>
      <c r="B6649" t="s">
        <v>1368</v>
      </c>
      <c r="C6649" t="s">
        <v>9884</v>
      </c>
      <c r="D6649" t="s">
        <v>17177</v>
      </c>
      <c r="E6649" t="s">
        <v>22995</v>
      </c>
      <c r="F6649" t="s">
        <v>29372</v>
      </c>
      <c r="G6649" t="s">
        <v>29380</v>
      </c>
      <c r="H6649" t="s">
        <v>11048</v>
      </c>
      <c r="I6649" t="s">
        <v>4486</v>
      </c>
      <c r="J6649" t="s">
        <v>33817</v>
      </c>
      <c r="K6649" t="s">
        <v>38518</v>
      </c>
      <c r="M6649" t="s">
        <v>40205</v>
      </c>
      <c r="N6649" t="s">
        <v>42669</v>
      </c>
      <c r="O6649" t="s">
        <v>42670</v>
      </c>
      <c r="P6649">
        <v>0</v>
      </c>
      <c r="Q6649">
        <v>7</v>
      </c>
      <c r="R6649" t="s">
        <v>42677</v>
      </c>
      <c r="S6649" t="s">
        <v>42830</v>
      </c>
      <c r="T6649" t="s">
        <v>44664</v>
      </c>
      <c r="U6649" t="s">
        <v>50155</v>
      </c>
      <c r="W6649" t="s">
        <v>40205</v>
      </c>
      <c r="X6649" t="s">
        <v>42678</v>
      </c>
    </row>
    <row r="6650" spans="1:24">
      <c r="A6650">
        <f>HYPERLINK("https://www.philgeps.gov.ph/GEPSNONPILOT/Tender/SplashBidNoticeAbstractUI.aspx?menuIndex=3&amp;refID=7185905&amp;Result=3","7185905")</f>
        <v>0</v>
      </c>
      <c r="B6650" t="s">
        <v>1515</v>
      </c>
      <c r="C6650" t="s">
        <v>9885</v>
      </c>
      <c r="D6650" t="s">
        <v>17174</v>
      </c>
      <c r="E6650" t="s">
        <v>22996</v>
      </c>
      <c r="F6650" t="s">
        <v>29372</v>
      </c>
      <c r="G6650" t="s">
        <v>29380</v>
      </c>
      <c r="H6650" t="s">
        <v>29389</v>
      </c>
      <c r="I6650" t="s">
        <v>10408</v>
      </c>
      <c r="J6650" t="s">
        <v>33818</v>
      </c>
      <c r="K6650" t="s">
        <v>38487</v>
      </c>
      <c r="M6650" t="s">
        <v>40359</v>
      </c>
      <c r="N6650" t="s">
        <v>42669</v>
      </c>
      <c r="O6650" t="s">
        <v>42670</v>
      </c>
      <c r="P6650">
        <v>0</v>
      </c>
      <c r="Q6650">
        <v>1</v>
      </c>
      <c r="R6650" t="s">
        <v>42677</v>
      </c>
      <c r="S6650" t="s">
        <v>42830</v>
      </c>
      <c r="T6650" t="s">
        <v>44554</v>
      </c>
      <c r="U6650" t="s">
        <v>50290</v>
      </c>
      <c r="W6650" t="s">
        <v>40359</v>
      </c>
      <c r="X6650" t="s">
        <v>42678</v>
      </c>
    </row>
    <row r="6651" spans="1:24">
      <c r="A6651">
        <f>HYPERLINK("https://www.philgeps.gov.ph/GEPSNONPILOT/Tender/SplashBidNoticeAbstractUI.aspx?menuIndex=3&amp;refID=7186167&amp;Result=3","7186167")</f>
        <v>0</v>
      </c>
      <c r="B6651" t="s">
        <v>186</v>
      </c>
      <c r="C6651" t="s">
        <v>9886</v>
      </c>
      <c r="D6651" t="s">
        <v>17198</v>
      </c>
      <c r="E6651" t="s">
        <v>22997</v>
      </c>
      <c r="F6651" t="s">
        <v>29372</v>
      </c>
      <c r="G6651" t="s">
        <v>29380</v>
      </c>
      <c r="H6651" t="s">
        <v>29389</v>
      </c>
      <c r="I6651" t="s">
        <v>10408</v>
      </c>
      <c r="J6651" t="s">
        <v>33819</v>
      </c>
      <c r="K6651" t="s">
        <v>38495</v>
      </c>
      <c r="M6651" t="s">
        <v>38943</v>
      </c>
      <c r="N6651" t="s">
        <v>42669</v>
      </c>
      <c r="O6651" t="s">
        <v>42670</v>
      </c>
      <c r="P6651">
        <v>0</v>
      </c>
      <c r="Q6651">
        <v>0</v>
      </c>
      <c r="R6651" t="s">
        <v>42677</v>
      </c>
      <c r="S6651" t="s">
        <v>42830</v>
      </c>
      <c r="T6651" t="s">
        <v>44517</v>
      </c>
      <c r="U6651" t="s">
        <v>50291</v>
      </c>
      <c r="W6651" t="s">
        <v>38943</v>
      </c>
      <c r="X6651" t="s">
        <v>42678</v>
      </c>
    </row>
    <row r="6652" spans="1:24">
      <c r="A6652">
        <f>HYPERLINK("https://www.philgeps.gov.ph/GEPSNONPILOT/Tender/SplashBidNoticeAbstractUI.aspx?menuIndex=3&amp;refID=7185901&amp;Result=3","7185901")</f>
        <v>0</v>
      </c>
      <c r="B6652" t="s">
        <v>2187</v>
      </c>
      <c r="C6652" t="s">
        <v>9887</v>
      </c>
      <c r="D6652" t="s">
        <v>17179</v>
      </c>
      <c r="E6652" t="s">
        <v>22998</v>
      </c>
      <c r="F6652" t="s">
        <v>29372</v>
      </c>
      <c r="G6652" t="s">
        <v>29380</v>
      </c>
      <c r="H6652" t="s">
        <v>11048</v>
      </c>
      <c r="I6652" t="s">
        <v>29399</v>
      </c>
      <c r="J6652" t="s">
        <v>33820</v>
      </c>
      <c r="K6652" t="s">
        <v>38496</v>
      </c>
      <c r="M6652" t="s">
        <v>41101</v>
      </c>
      <c r="N6652" t="s">
        <v>42669</v>
      </c>
      <c r="O6652" t="s">
        <v>42670</v>
      </c>
      <c r="P6652">
        <v>0</v>
      </c>
      <c r="Q6652">
        <v>16</v>
      </c>
      <c r="R6652" t="s">
        <v>42677</v>
      </c>
      <c r="S6652" t="s">
        <v>42830</v>
      </c>
      <c r="T6652" t="s">
        <v>44735</v>
      </c>
      <c r="U6652" t="s">
        <v>50292</v>
      </c>
      <c r="V6652" t="s">
        <v>57080</v>
      </c>
      <c r="W6652" t="s">
        <v>41101</v>
      </c>
      <c r="X6652" t="s">
        <v>42678</v>
      </c>
    </row>
    <row r="6653" spans="1:24">
      <c r="A6653">
        <f>HYPERLINK("https://www.philgeps.gov.ph/GEPSNONPILOT/Tender/SplashBidNoticeAbstractUI.aspx?menuIndex=3&amp;refID=7185807&amp;Result=3","7185807")</f>
        <v>0</v>
      </c>
      <c r="B6653" t="s">
        <v>2216</v>
      </c>
      <c r="C6653" t="s">
        <v>9888</v>
      </c>
      <c r="D6653" t="s">
        <v>17144</v>
      </c>
      <c r="E6653" t="s">
        <v>22999</v>
      </c>
      <c r="F6653" t="s">
        <v>29372</v>
      </c>
      <c r="G6653" t="s">
        <v>29380</v>
      </c>
      <c r="H6653" t="s">
        <v>11048</v>
      </c>
      <c r="I6653" t="s">
        <v>29447</v>
      </c>
      <c r="J6653" t="s">
        <v>33821</v>
      </c>
      <c r="K6653" t="s">
        <v>38485</v>
      </c>
      <c r="M6653" t="s">
        <v>41133</v>
      </c>
      <c r="N6653" t="s">
        <v>42669</v>
      </c>
      <c r="O6653" t="s">
        <v>42670</v>
      </c>
      <c r="P6653">
        <v>0</v>
      </c>
      <c r="Q6653">
        <v>1</v>
      </c>
      <c r="R6653" t="s">
        <v>42677</v>
      </c>
      <c r="S6653" t="s">
        <v>42830</v>
      </c>
      <c r="T6653" t="s">
        <v>44375</v>
      </c>
      <c r="U6653" t="s">
        <v>50293</v>
      </c>
      <c r="V6653" t="s">
        <v>57092</v>
      </c>
      <c r="W6653" t="s">
        <v>41133</v>
      </c>
      <c r="X6653" t="s">
        <v>42678</v>
      </c>
    </row>
    <row r="6654" spans="1:24">
      <c r="A6654">
        <f>HYPERLINK("https://www.philgeps.gov.ph/GEPSNONPILOT/Tender/SplashBidNoticeAbstractUI.aspx?menuIndex=3&amp;refID=7185806&amp;Result=3","7185806")</f>
        <v>0</v>
      </c>
      <c r="B6654" t="s">
        <v>719</v>
      </c>
      <c r="C6654" t="s">
        <v>9889</v>
      </c>
      <c r="D6654" t="s">
        <v>17170</v>
      </c>
      <c r="E6654" t="s">
        <v>18559</v>
      </c>
      <c r="F6654" t="s">
        <v>29372</v>
      </c>
      <c r="G6654" t="s">
        <v>29379</v>
      </c>
      <c r="H6654" t="s">
        <v>11048</v>
      </c>
      <c r="I6654" t="s">
        <v>29426</v>
      </c>
      <c r="J6654" t="s">
        <v>33822</v>
      </c>
      <c r="K6654" t="s">
        <v>38528</v>
      </c>
      <c r="M6654" t="s">
        <v>40973</v>
      </c>
      <c r="N6654" t="s">
        <v>42669</v>
      </c>
      <c r="O6654" t="s">
        <v>42670</v>
      </c>
      <c r="P6654">
        <v>0</v>
      </c>
      <c r="Q6654">
        <v>5</v>
      </c>
      <c r="R6654" t="s">
        <v>42677</v>
      </c>
      <c r="S6654" t="s">
        <v>42830</v>
      </c>
      <c r="T6654" t="s">
        <v>44512</v>
      </c>
      <c r="U6654" t="s">
        <v>49790</v>
      </c>
      <c r="W6654" t="s">
        <v>40973</v>
      </c>
      <c r="X6654" t="s">
        <v>42678</v>
      </c>
    </row>
    <row r="6655" spans="1:24">
      <c r="A6655">
        <f>HYPERLINK("https://www.philgeps.gov.ph/GEPSNONPILOT/Tender/SplashBidNoticeAbstractUI.aspx?menuIndex=3&amp;refID=7185798&amp;Result=3","7185798")</f>
        <v>0</v>
      </c>
      <c r="B6655" t="s">
        <v>1368</v>
      </c>
      <c r="C6655" t="s">
        <v>9890</v>
      </c>
      <c r="D6655" t="s">
        <v>17177</v>
      </c>
      <c r="E6655" t="s">
        <v>23000</v>
      </c>
      <c r="F6655" t="s">
        <v>29372</v>
      </c>
      <c r="G6655" t="s">
        <v>29380</v>
      </c>
      <c r="H6655" t="s">
        <v>11048</v>
      </c>
      <c r="I6655" t="s">
        <v>10408</v>
      </c>
      <c r="J6655" t="s">
        <v>30627</v>
      </c>
      <c r="K6655" t="s">
        <v>38487</v>
      </c>
      <c r="M6655" t="s">
        <v>40205</v>
      </c>
      <c r="N6655" t="s">
        <v>42669</v>
      </c>
      <c r="O6655" t="s">
        <v>42670</v>
      </c>
      <c r="P6655">
        <v>0</v>
      </c>
      <c r="Q6655">
        <v>0</v>
      </c>
      <c r="R6655" t="s">
        <v>42677</v>
      </c>
      <c r="S6655" t="s">
        <v>42830</v>
      </c>
      <c r="T6655" t="s">
        <v>44664</v>
      </c>
      <c r="U6655" t="s">
        <v>50155</v>
      </c>
      <c r="W6655" t="s">
        <v>40205</v>
      </c>
      <c r="X6655" t="s">
        <v>42678</v>
      </c>
    </row>
    <row r="6656" spans="1:24">
      <c r="A6656">
        <f>HYPERLINK("https://www.philgeps.gov.ph/GEPSNONPILOT/Tender/SplashBidNoticeAbstractUI.aspx?menuIndex=3&amp;refID=7185898&amp;Result=3","7185898")</f>
        <v>0</v>
      </c>
      <c r="B6656" t="s">
        <v>2234</v>
      </c>
      <c r="C6656" t="s">
        <v>9891</v>
      </c>
      <c r="D6656" t="s">
        <v>17211</v>
      </c>
      <c r="E6656" t="s">
        <v>23001</v>
      </c>
      <c r="F6656" t="s">
        <v>29372</v>
      </c>
      <c r="G6656" t="s">
        <v>29383</v>
      </c>
      <c r="H6656" t="s">
        <v>11048</v>
      </c>
      <c r="I6656" t="s">
        <v>29440</v>
      </c>
      <c r="J6656" t="s">
        <v>29708</v>
      </c>
      <c r="K6656" t="s">
        <v>38510</v>
      </c>
      <c r="M6656" t="s">
        <v>41152</v>
      </c>
      <c r="N6656" t="s">
        <v>42669</v>
      </c>
      <c r="O6656" t="s">
        <v>42670</v>
      </c>
      <c r="P6656">
        <v>0</v>
      </c>
      <c r="Q6656">
        <v>0</v>
      </c>
      <c r="R6656" t="s">
        <v>42677</v>
      </c>
      <c r="S6656" t="s">
        <v>42830</v>
      </c>
      <c r="T6656" t="s">
        <v>44512</v>
      </c>
      <c r="U6656" t="s">
        <v>49584</v>
      </c>
      <c r="W6656" t="s">
        <v>41152</v>
      </c>
      <c r="X6656" t="s">
        <v>42678</v>
      </c>
    </row>
    <row r="6657" spans="1:24">
      <c r="A6657">
        <f>HYPERLINK("https://www.philgeps.gov.ph/GEPSNONPILOT/Tender/SplashBidNoticeAbstractUI.aspx?menuIndex=3&amp;refID=7185896&amp;Result=3","7185896")</f>
        <v>0</v>
      </c>
      <c r="B6657" t="s">
        <v>2182</v>
      </c>
      <c r="C6657" t="s">
        <v>9892</v>
      </c>
      <c r="D6657" t="s">
        <v>17143</v>
      </c>
      <c r="E6657" t="s">
        <v>17972</v>
      </c>
      <c r="F6657" t="s">
        <v>29372</v>
      </c>
      <c r="G6657" t="s">
        <v>29380</v>
      </c>
      <c r="H6657" t="s">
        <v>11048</v>
      </c>
      <c r="I6657" t="s">
        <v>8614</v>
      </c>
      <c r="J6657" t="s">
        <v>29774</v>
      </c>
      <c r="K6657" t="s">
        <v>38485</v>
      </c>
      <c r="M6657" t="s">
        <v>41096</v>
      </c>
      <c r="N6657" t="s">
        <v>42669</v>
      </c>
      <c r="O6657" t="s">
        <v>42670</v>
      </c>
      <c r="P6657">
        <v>0</v>
      </c>
      <c r="Q6657">
        <v>2</v>
      </c>
      <c r="R6657" t="s">
        <v>42677</v>
      </c>
      <c r="S6657" t="s">
        <v>42830</v>
      </c>
      <c r="T6657" t="s">
        <v>44371</v>
      </c>
      <c r="U6657" t="s">
        <v>50294</v>
      </c>
      <c r="W6657" t="s">
        <v>41096</v>
      </c>
      <c r="X6657" t="s">
        <v>42678</v>
      </c>
    </row>
    <row r="6658" spans="1:24">
      <c r="A6658">
        <f>HYPERLINK("https://www.philgeps.gov.ph/GEPSNONPILOT/Tender/SplashBidNoticeAbstractUI.aspx?menuIndex=3&amp;refID=7186264&amp;Result=3","7186264")</f>
        <v>0</v>
      </c>
      <c r="B6658" t="s">
        <v>863</v>
      </c>
      <c r="C6658" t="s">
        <v>9893</v>
      </c>
      <c r="D6658" t="s">
        <v>17193</v>
      </c>
      <c r="E6658" t="s">
        <v>23002</v>
      </c>
      <c r="F6658" t="s">
        <v>29372</v>
      </c>
      <c r="G6658" t="s">
        <v>29380</v>
      </c>
      <c r="H6658" t="s">
        <v>29389</v>
      </c>
      <c r="I6658" t="s">
        <v>10408</v>
      </c>
      <c r="J6658" t="s">
        <v>33823</v>
      </c>
      <c r="K6658" t="s">
        <v>38671</v>
      </c>
      <c r="M6658" t="s">
        <v>39655</v>
      </c>
      <c r="N6658" t="s">
        <v>42669</v>
      </c>
      <c r="O6658" t="s">
        <v>42670</v>
      </c>
      <c r="P6658">
        <v>0</v>
      </c>
      <c r="Q6658">
        <v>0</v>
      </c>
      <c r="R6658" t="s">
        <v>42677</v>
      </c>
      <c r="S6658" t="s">
        <v>42830</v>
      </c>
      <c r="T6658" t="s">
        <v>44732</v>
      </c>
      <c r="U6658" t="s">
        <v>50295</v>
      </c>
      <c r="W6658" t="s">
        <v>39655</v>
      </c>
      <c r="X6658" t="s">
        <v>42678</v>
      </c>
    </row>
    <row r="6659" spans="1:24">
      <c r="A6659">
        <f>HYPERLINK("https://www.philgeps.gov.ph/GEPSNONPILOT/Tender/SplashBidNoticeAbstractUI.aspx?menuIndex=3&amp;refID=7186272&amp;Result=3","7186272")</f>
        <v>0</v>
      </c>
      <c r="B6659" t="s">
        <v>2217</v>
      </c>
      <c r="C6659" t="s">
        <v>9894</v>
      </c>
      <c r="D6659" t="s">
        <v>17168</v>
      </c>
      <c r="E6659" t="s">
        <v>23003</v>
      </c>
      <c r="F6659" t="s">
        <v>29372</v>
      </c>
      <c r="G6659" t="s">
        <v>29379</v>
      </c>
      <c r="H6659" t="s">
        <v>11048</v>
      </c>
      <c r="I6659" t="s">
        <v>4486</v>
      </c>
      <c r="J6659" t="s">
        <v>30585</v>
      </c>
      <c r="K6659" t="s">
        <v>38488</v>
      </c>
      <c r="M6659" t="s">
        <v>41134</v>
      </c>
      <c r="N6659" t="s">
        <v>42669</v>
      </c>
      <c r="O6659" t="s">
        <v>42670</v>
      </c>
      <c r="P6659">
        <v>0</v>
      </c>
      <c r="Q6659">
        <v>4</v>
      </c>
      <c r="R6659" t="s">
        <v>42677</v>
      </c>
      <c r="S6659" t="s">
        <v>42830</v>
      </c>
      <c r="T6659" t="s">
        <v>44496</v>
      </c>
      <c r="U6659" t="s">
        <v>50296</v>
      </c>
      <c r="W6659" t="s">
        <v>41134</v>
      </c>
      <c r="X6659" t="s">
        <v>42678</v>
      </c>
    </row>
    <row r="6660" spans="1:24">
      <c r="A6660">
        <f>HYPERLINK("https://www.philgeps.gov.ph/GEPSNONPILOT/Tender/SplashBidNoticeAbstractUI.aspx?menuIndex=3&amp;refID=7186214&amp;Result=3","7186214")</f>
        <v>0</v>
      </c>
      <c r="B6660" t="s">
        <v>2235</v>
      </c>
      <c r="C6660" t="s">
        <v>9895</v>
      </c>
      <c r="D6660" t="s">
        <v>17188</v>
      </c>
      <c r="E6660" t="s">
        <v>23004</v>
      </c>
      <c r="F6660" t="s">
        <v>29372</v>
      </c>
      <c r="G6660" t="s">
        <v>29379</v>
      </c>
      <c r="H6660" t="s">
        <v>11048</v>
      </c>
      <c r="I6660" t="s">
        <v>9642</v>
      </c>
      <c r="J6660" t="s">
        <v>29564</v>
      </c>
      <c r="K6660" t="s">
        <v>38485</v>
      </c>
      <c r="M6660" t="s">
        <v>41153</v>
      </c>
      <c r="N6660" t="s">
        <v>42669</v>
      </c>
      <c r="O6660" t="s">
        <v>42670</v>
      </c>
      <c r="P6660">
        <v>0</v>
      </c>
      <c r="Q6660">
        <v>0</v>
      </c>
      <c r="R6660" t="s">
        <v>42677</v>
      </c>
      <c r="S6660" t="s">
        <v>42830</v>
      </c>
      <c r="T6660" t="s">
        <v>44489</v>
      </c>
      <c r="U6660" t="s">
        <v>50297</v>
      </c>
      <c r="W6660" t="s">
        <v>41153</v>
      </c>
      <c r="X6660" t="s">
        <v>42678</v>
      </c>
    </row>
    <row r="6661" spans="1:24">
      <c r="A6661">
        <f>HYPERLINK("https://www.philgeps.gov.ph/GEPSNONPILOT/Tender/SplashBidNoticeAbstractUI.aspx?menuIndex=3&amp;refID=7185799&amp;Result=3","7185799")</f>
        <v>0</v>
      </c>
      <c r="B6661" t="s">
        <v>430</v>
      </c>
      <c r="C6661" t="s">
        <v>9896</v>
      </c>
      <c r="D6661" t="s">
        <v>17168</v>
      </c>
      <c r="E6661" t="s">
        <v>23005</v>
      </c>
      <c r="F6661" t="s">
        <v>29372</v>
      </c>
      <c r="G6661" t="s">
        <v>29380</v>
      </c>
      <c r="H6661" t="s">
        <v>11048</v>
      </c>
      <c r="I6661" t="s">
        <v>4709</v>
      </c>
      <c r="J6661" t="s">
        <v>33824</v>
      </c>
      <c r="K6661" t="s">
        <v>38485</v>
      </c>
      <c r="M6661" t="s">
        <v>40337</v>
      </c>
      <c r="N6661" t="s">
        <v>42669</v>
      </c>
      <c r="O6661" t="s">
        <v>42670</v>
      </c>
      <c r="P6661">
        <v>0</v>
      </c>
      <c r="Q6661">
        <v>0</v>
      </c>
      <c r="R6661" t="s">
        <v>42677</v>
      </c>
      <c r="S6661" t="s">
        <v>42830</v>
      </c>
      <c r="T6661" t="s">
        <v>44412</v>
      </c>
      <c r="U6661" t="s">
        <v>50298</v>
      </c>
      <c r="W6661" t="s">
        <v>40337</v>
      </c>
      <c r="X6661" t="s">
        <v>42678</v>
      </c>
    </row>
    <row r="6662" spans="1:24">
      <c r="A6662">
        <f>HYPERLINK("https://www.philgeps.gov.ph/GEPSNONPILOT/Tender/SplashBidNoticeAbstractUI.aspx?menuIndex=3&amp;refID=7185802&amp;Result=3","7185802")</f>
        <v>0</v>
      </c>
      <c r="B6662" t="s">
        <v>1751</v>
      </c>
      <c r="C6662" t="s">
        <v>9897</v>
      </c>
      <c r="D6662" t="s">
        <v>17165</v>
      </c>
      <c r="E6662" t="s">
        <v>23006</v>
      </c>
      <c r="F6662" t="s">
        <v>29372</v>
      </c>
      <c r="G6662" t="s">
        <v>29380</v>
      </c>
      <c r="H6662" t="s">
        <v>11048</v>
      </c>
      <c r="I6662" t="s">
        <v>3695</v>
      </c>
      <c r="J6662" t="s">
        <v>33825</v>
      </c>
      <c r="K6662" t="s">
        <v>38488</v>
      </c>
      <c r="M6662" t="s">
        <v>40616</v>
      </c>
      <c r="N6662" t="s">
        <v>42669</v>
      </c>
      <c r="O6662" t="s">
        <v>42670</v>
      </c>
      <c r="P6662">
        <v>0</v>
      </c>
      <c r="Q6662">
        <v>2</v>
      </c>
      <c r="R6662" t="s">
        <v>42677</v>
      </c>
      <c r="S6662" t="s">
        <v>42830</v>
      </c>
      <c r="T6662" t="s">
        <v>44374</v>
      </c>
      <c r="U6662" t="s">
        <v>50299</v>
      </c>
      <c r="W6662" t="s">
        <v>40616</v>
      </c>
      <c r="X6662" t="s">
        <v>42678</v>
      </c>
    </row>
    <row r="6663" spans="1:24">
      <c r="A6663">
        <f>HYPERLINK("https://www.philgeps.gov.ph/GEPSNONPILOT/Tender/SplashBidNoticeAbstractUI.aspx?menuIndex=3&amp;refID=7186260&amp;Result=3","7186260")</f>
        <v>0</v>
      </c>
      <c r="B6663" t="s">
        <v>529</v>
      </c>
      <c r="C6663" t="s">
        <v>9898</v>
      </c>
      <c r="D6663" t="s">
        <v>17147</v>
      </c>
      <c r="E6663" t="s">
        <v>23007</v>
      </c>
      <c r="F6663" t="s">
        <v>29372</v>
      </c>
      <c r="G6663" t="s">
        <v>29380</v>
      </c>
      <c r="H6663" t="s">
        <v>11048</v>
      </c>
      <c r="I6663" t="s">
        <v>4709</v>
      </c>
      <c r="J6663" t="s">
        <v>33826</v>
      </c>
      <c r="K6663" t="s">
        <v>38510</v>
      </c>
      <c r="M6663" t="s">
        <v>39296</v>
      </c>
      <c r="N6663" t="s">
        <v>42669</v>
      </c>
      <c r="O6663" t="s">
        <v>42670</v>
      </c>
      <c r="P6663">
        <v>0</v>
      </c>
      <c r="Q6663">
        <v>0</v>
      </c>
      <c r="R6663" t="s">
        <v>42677</v>
      </c>
      <c r="S6663" t="s">
        <v>42830</v>
      </c>
      <c r="T6663" t="s">
        <v>44401</v>
      </c>
      <c r="U6663" t="s">
        <v>50300</v>
      </c>
      <c r="W6663" t="s">
        <v>39296</v>
      </c>
      <c r="X6663" t="s">
        <v>42678</v>
      </c>
    </row>
    <row r="6664" spans="1:24">
      <c r="A6664">
        <f>HYPERLINK("https://www.philgeps.gov.ph/GEPSNONPILOT/Tender/SplashBidNoticeAbstractUI.aspx?menuIndex=3&amp;refID=7185809&amp;Result=3","7185809")</f>
        <v>0</v>
      </c>
      <c r="B6664" t="s">
        <v>2177</v>
      </c>
      <c r="C6664" t="s">
        <v>9899</v>
      </c>
      <c r="D6664" t="s">
        <v>17168</v>
      </c>
      <c r="E6664" t="s">
        <v>23008</v>
      </c>
      <c r="F6664" t="s">
        <v>29372</v>
      </c>
      <c r="G6664" t="s">
        <v>29380</v>
      </c>
      <c r="H6664" t="s">
        <v>29389</v>
      </c>
      <c r="I6664" t="s">
        <v>10408</v>
      </c>
      <c r="J6664" t="s">
        <v>33827</v>
      </c>
      <c r="K6664" t="s">
        <v>38490</v>
      </c>
      <c r="M6664" t="s">
        <v>41090</v>
      </c>
      <c r="N6664" t="s">
        <v>42669</v>
      </c>
      <c r="O6664" t="s">
        <v>42670</v>
      </c>
      <c r="P6664">
        <v>0</v>
      </c>
      <c r="Q6664">
        <v>1</v>
      </c>
      <c r="R6664" t="s">
        <v>42677</v>
      </c>
      <c r="S6664" t="s">
        <v>42830</v>
      </c>
      <c r="T6664" t="s">
        <v>44371</v>
      </c>
      <c r="U6664" t="s">
        <v>50301</v>
      </c>
      <c r="W6664" t="s">
        <v>41090</v>
      </c>
      <c r="X6664" t="s">
        <v>42678</v>
      </c>
    </row>
    <row r="6665" spans="1:24">
      <c r="A6665">
        <f>HYPERLINK("https://www.philgeps.gov.ph/GEPSNONPILOT/Tender/SplashBidNoticeAbstractUI.aspx?menuIndex=3&amp;refID=7186274&amp;Result=3","7186274")</f>
        <v>0</v>
      </c>
      <c r="B6665" t="s">
        <v>679</v>
      </c>
      <c r="C6665" t="s">
        <v>9900</v>
      </c>
      <c r="D6665" t="s">
        <v>17175</v>
      </c>
      <c r="E6665" t="s">
        <v>23009</v>
      </c>
      <c r="F6665" t="s">
        <v>29372</v>
      </c>
      <c r="G6665" t="s">
        <v>29380</v>
      </c>
      <c r="H6665" t="s">
        <v>11048</v>
      </c>
      <c r="I6665" t="s">
        <v>4709</v>
      </c>
      <c r="J6665" t="s">
        <v>33828</v>
      </c>
      <c r="K6665" t="s">
        <v>38510</v>
      </c>
      <c r="M6665" t="s">
        <v>39455</v>
      </c>
      <c r="N6665" t="s">
        <v>42669</v>
      </c>
      <c r="O6665" t="s">
        <v>42670</v>
      </c>
      <c r="Q6665">
        <v>1</v>
      </c>
      <c r="R6665" t="s">
        <v>42677</v>
      </c>
      <c r="S6665" t="s">
        <v>42858</v>
      </c>
      <c r="T6665" t="s">
        <v>44361</v>
      </c>
      <c r="U6665" t="s">
        <v>50302</v>
      </c>
      <c r="W6665" t="s">
        <v>39455</v>
      </c>
      <c r="X6665" t="s">
        <v>42678</v>
      </c>
    </row>
    <row r="6666" spans="1:24">
      <c r="A6666">
        <f>HYPERLINK("https://www.philgeps.gov.ph/GEPSNONPILOT/Tender/SplashBidNoticeAbstractUI.aspx?menuIndex=3&amp;refID=7186258&amp;Result=3","7186258")</f>
        <v>0</v>
      </c>
      <c r="B6666" t="s">
        <v>339</v>
      </c>
      <c r="C6666" t="s">
        <v>9901</v>
      </c>
      <c r="D6666" t="s">
        <v>17156</v>
      </c>
      <c r="E6666" t="s">
        <v>23010</v>
      </c>
      <c r="F6666" t="s">
        <v>29372</v>
      </c>
      <c r="G6666" t="s">
        <v>29380</v>
      </c>
      <c r="H6666" t="s">
        <v>11048</v>
      </c>
      <c r="I6666" t="s">
        <v>9642</v>
      </c>
      <c r="J6666" t="s">
        <v>30036</v>
      </c>
      <c r="K6666" t="s">
        <v>38485</v>
      </c>
      <c r="M6666" t="s">
        <v>39651</v>
      </c>
      <c r="N6666" t="s">
        <v>42669</v>
      </c>
      <c r="O6666" t="s">
        <v>42670</v>
      </c>
      <c r="P6666">
        <v>0</v>
      </c>
      <c r="Q6666">
        <v>0</v>
      </c>
      <c r="R6666" t="s">
        <v>42677</v>
      </c>
      <c r="S6666" t="s">
        <v>42830</v>
      </c>
      <c r="T6666" t="s">
        <v>44414</v>
      </c>
      <c r="U6666" t="s">
        <v>50303</v>
      </c>
      <c r="W6666" t="s">
        <v>39651</v>
      </c>
      <c r="X6666" t="s">
        <v>42678</v>
      </c>
    </row>
    <row r="6667" spans="1:24">
      <c r="A6667">
        <f>HYPERLINK("https://www.philgeps.gov.ph/GEPSNONPILOT/Tender/SplashBidNoticeAbstractUI.aspx?menuIndex=3&amp;refID=7186256&amp;Result=3","7186256")</f>
        <v>0</v>
      </c>
      <c r="B6667" t="s">
        <v>1515</v>
      </c>
      <c r="C6667" t="s">
        <v>9902</v>
      </c>
      <c r="D6667" t="s">
        <v>17174</v>
      </c>
      <c r="E6667" t="s">
        <v>23011</v>
      </c>
      <c r="F6667" t="s">
        <v>29376</v>
      </c>
      <c r="G6667" t="s">
        <v>29383</v>
      </c>
      <c r="H6667" t="s">
        <v>11048</v>
      </c>
      <c r="I6667" t="s">
        <v>29393</v>
      </c>
      <c r="J6667" t="s">
        <v>33829</v>
      </c>
      <c r="K6667" t="s">
        <v>38490</v>
      </c>
      <c r="M6667" t="s">
        <v>40359</v>
      </c>
      <c r="N6667" t="s">
        <v>42669</v>
      </c>
      <c r="O6667" t="s">
        <v>42670</v>
      </c>
      <c r="P6667">
        <v>0</v>
      </c>
      <c r="Q6667">
        <v>0</v>
      </c>
      <c r="R6667" t="s">
        <v>42677</v>
      </c>
      <c r="S6667" t="s">
        <v>42830</v>
      </c>
      <c r="T6667" t="s">
        <v>44371</v>
      </c>
      <c r="U6667" t="s">
        <v>50304</v>
      </c>
      <c r="W6667" t="s">
        <v>40359</v>
      </c>
      <c r="X6667" t="s">
        <v>42678</v>
      </c>
    </row>
    <row r="6668" spans="1:24">
      <c r="A6668">
        <f>HYPERLINK("https://www.philgeps.gov.ph/GEPSNONPILOT/Tender/SplashBidNoticeAbstractUI.aspx?menuIndex=3&amp;refID=7186268&amp;Result=3","7186268")</f>
        <v>0</v>
      </c>
      <c r="B6668" t="s">
        <v>413</v>
      </c>
      <c r="C6668" t="s">
        <v>9903</v>
      </c>
      <c r="D6668" t="s">
        <v>17214</v>
      </c>
      <c r="E6668" t="s">
        <v>23012</v>
      </c>
      <c r="F6668" t="s">
        <v>29372</v>
      </c>
      <c r="G6668" t="s">
        <v>29380</v>
      </c>
      <c r="H6668" t="s">
        <v>11048</v>
      </c>
      <c r="I6668" t="s">
        <v>29425</v>
      </c>
      <c r="J6668" t="s">
        <v>33830</v>
      </c>
      <c r="K6668" t="s">
        <v>38495</v>
      </c>
      <c r="M6668" t="s">
        <v>39177</v>
      </c>
      <c r="N6668" t="s">
        <v>42669</v>
      </c>
      <c r="O6668" t="s">
        <v>42670</v>
      </c>
      <c r="P6668">
        <v>0</v>
      </c>
      <c r="Q6668">
        <v>5</v>
      </c>
      <c r="R6668" t="s">
        <v>42677</v>
      </c>
      <c r="S6668" t="s">
        <v>42830</v>
      </c>
      <c r="T6668" t="s">
        <v>44664</v>
      </c>
      <c r="U6668" t="s">
        <v>50305</v>
      </c>
      <c r="V6668" t="s">
        <v>57096</v>
      </c>
      <c r="W6668" t="s">
        <v>39177</v>
      </c>
      <c r="X6668" t="s">
        <v>42678</v>
      </c>
    </row>
    <row r="6669" spans="1:24">
      <c r="A6669">
        <f>HYPERLINK("https://www.philgeps.gov.ph/GEPSNONPILOT/Tender/SplashBidNoticeAbstractUI.aspx?menuIndex=3&amp;refID=7186253&amp;Result=3","7186253")</f>
        <v>0</v>
      </c>
      <c r="B6669" t="s">
        <v>2189</v>
      </c>
      <c r="C6669" t="s">
        <v>9904</v>
      </c>
      <c r="D6669" t="s">
        <v>17209</v>
      </c>
      <c r="E6669" t="s">
        <v>23013</v>
      </c>
      <c r="F6669" t="s">
        <v>29372</v>
      </c>
      <c r="G6669" t="s">
        <v>29382</v>
      </c>
      <c r="H6669" t="s">
        <v>11048</v>
      </c>
      <c r="I6669" t="s">
        <v>3839</v>
      </c>
      <c r="J6669" t="s">
        <v>29642</v>
      </c>
      <c r="K6669" t="s">
        <v>38490</v>
      </c>
      <c r="M6669" t="s">
        <v>41103</v>
      </c>
      <c r="N6669" t="s">
        <v>42669</v>
      </c>
      <c r="O6669" t="s">
        <v>42670</v>
      </c>
      <c r="P6669">
        <v>0</v>
      </c>
      <c r="Q6669">
        <v>0</v>
      </c>
      <c r="R6669" t="s">
        <v>42677</v>
      </c>
      <c r="S6669" t="s">
        <v>42830</v>
      </c>
      <c r="T6669" t="s">
        <v>44702</v>
      </c>
      <c r="U6669" t="s">
        <v>50306</v>
      </c>
      <c r="W6669" t="s">
        <v>41103</v>
      </c>
      <c r="X6669" t="s">
        <v>42678</v>
      </c>
    </row>
    <row r="6670" spans="1:24">
      <c r="A6670">
        <f>HYPERLINK("https://www.philgeps.gov.ph/GEPSNONPILOT/Tender/SplashBidNoticeAbstractUI.aspx?menuIndex=3&amp;refID=7186250&amp;Result=3","7186250")</f>
        <v>0</v>
      </c>
      <c r="B6670" t="s">
        <v>679</v>
      </c>
      <c r="C6670" t="s">
        <v>9905</v>
      </c>
      <c r="D6670" t="s">
        <v>17175</v>
      </c>
      <c r="E6670" t="s">
        <v>23014</v>
      </c>
      <c r="F6670" t="s">
        <v>29372</v>
      </c>
      <c r="G6670" t="s">
        <v>29380</v>
      </c>
      <c r="H6670" t="s">
        <v>11048</v>
      </c>
      <c r="I6670" t="s">
        <v>4709</v>
      </c>
      <c r="J6670" t="s">
        <v>33831</v>
      </c>
      <c r="K6670" t="s">
        <v>38510</v>
      </c>
      <c r="M6670" t="s">
        <v>39455</v>
      </c>
      <c r="N6670" t="s">
        <v>42669</v>
      </c>
      <c r="O6670" t="s">
        <v>42670</v>
      </c>
      <c r="Q6670">
        <v>0</v>
      </c>
      <c r="R6670" t="s">
        <v>42677</v>
      </c>
      <c r="S6670" t="s">
        <v>42859</v>
      </c>
      <c r="T6670" t="s">
        <v>44361</v>
      </c>
      <c r="U6670" t="s">
        <v>50307</v>
      </c>
      <c r="W6670" t="s">
        <v>39455</v>
      </c>
      <c r="X6670" t="s">
        <v>42678</v>
      </c>
    </row>
    <row r="6671" spans="1:24">
      <c r="A6671">
        <f>HYPERLINK("https://www.philgeps.gov.ph/GEPSNONPILOT/Tender/SplashBidNoticeAbstractUI.aspx?menuIndex=3&amp;refID=7186276&amp;Result=3","7186276")</f>
        <v>0</v>
      </c>
      <c r="B6671" t="s">
        <v>339</v>
      </c>
      <c r="C6671" t="s">
        <v>9906</v>
      </c>
      <c r="D6671" t="s">
        <v>17156</v>
      </c>
      <c r="E6671" t="s">
        <v>23015</v>
      </c>
      <c r="F6671" t="s">
        <v>29372</v>
      </c>
      <c r="G6671" t="s">
        <v>29380</v>
      </c>
      <c r="H6671" t="s">
        <v>11048</v>
      </c>
      <c r="I6671" t="s">
        <v>3839</v>
      </c>
      <c r="J6671" t="s">
        <v>33832</v>
      </c>
      <c r="K6671" t="s">
        <v>38485</v>
      </c>
      <c r="M6671" t="s">
        <v>39651</v>
      </c>
      <c r="N6671" t="s">
        <v>42669</v>
      </c>
      <c r="O6671" t="s">
        <v>42670</v>
      </c>
      <c r="P6671">
        <v>0</v>
      </c>
      <c r="Q6671">
        <v>0</v>
      </c>
      <c r="R6671" t="s">
        <v>42677</v>
      </c>
      <c r="S6671" t="s">
        <v>42830</v>
      </c>
      <c r="T6671" t="s">
        <v>44414</v>
      </c>
      <c r="U6671" t="s">
        <v>50308</v>
      </c>
      <c r="W6671" t="s">
        <v>39651</v>
      </c>
      <c r="X6671" t="s">
        <v>42678</v>
      </c>
    </row>
    <row r="6672" spans="1:24">
      <c r="A6672">
        <f>HYPERLINK("https://www.philgeps.gov.ph/GEPSNONPILOT/Tender/SplashBidNoticeAbstractUI.aspx?menuIndex=3&amp;refID=7186249&amp;Result=3","7186249")</f>
        <v>0</v>
      </c>
      <c r="B6672" t="s">
        <v>339</v>
      </c>
      <c r="C6672" t="s">
        <v>9907</v>
      </c>
      <c r="D6672" t="s">
        <v>17156</v>
      </c>
      <c r="E6672" t="s">
        <v>9907</v>
      </c>
      <c r="F6672" t="s">
        <v>29372</v>
      </c>
      <c r="G6672" t="s">
        <v>29380</v>
      </c>
      <c r="H6672" t="s">
        <v>11048</v>
      </c>
      <c r="I6672" t="s">
        <v>14920</v>
      </c>
      <c r="J6672" t="s">
        <v>33833</v>
      </c>
      <c r="K6672" t="s">
        <v>38485</v>
      </c>
      <c r="M6672" t="s">
        <v>39651</v>
      </c>
      <c r="N6672" t="s">
        <v>42669</v>
      </c>
      <c r="O6672" t="s">
        <v>42670</v>
      </c>
      <c r="P6672">
        <v>0</v>
      </c>
      <c r="Q6672">
        <v>0</v>
      </c>
      <c r="R6672" t="s">
        <v>42677</v>
      </c>
      <c r="S6672" t="s">
        <v>42830</v>
      </c>
      <c r="T6672" t="s">
        <v>44414</v>
      </c>
      <c r="U6672" t="s">
        <v>50309</v>
      </c>
      <c r="W6672" t="s">
        <v>39651</v>
      </c>
      <c r="X6672" t="s">
        <v>42678</v>
      </c>
    </row>
    <row r="6673" spans="1:24">
      <c r="A6673">
        <f>HYPERLINK("https://www.philgeps.gov.ph/GEPSNONPILOT/Tender/SplashBidNoticeAbstractUI.aspx?menuIndex=3&amp;refID=7186257&amp;Result=3","7186257")</f>
        <v>0</v>
      </c>
      <c r="B6673" t="s">
        <v>1761</v>
      </c>
      <c r="C6673" t="s">
        <v>9908</v>
      </c>
      <c r="D6673" t="s">
        <v>17141</v>
      </c>
      <c r="E6673" t="s">
        <v>23016</v>
      </c>
      <c r="F6673" t="s">
        <v>29372</v>
      </c>
      <c r="G6673" t="s">
        <v>29382</v>
      </c>
      <c r="H6673" t="s">
        <v>11048</v>
      </c>
      <c r="I6673" t="s">
        <v>9642</v>
      </c>
      <c r="J6673" t="s">
        <v>30140</v>
      </c>
      <c r="K6673" t="s">
        <v>38491</v>
      </c>
      <c r="M6673" t="s">
        <v>40628</v>
      </c>
      <c r="N6673" t="s">
        <v>42669</v>
      </c>
      <c r="O6673" t="s">
        <v>42670</v>
      </c>
      <c r="P6673">
        <v>0</v>
      </c>
      <c r="Q6673">
        <v>6</v>
      </c>
      <c r="R6673" t="s">
        <v>42677</v>
      </c>
      <c r="S6673" t="s">
        <v>42830</v>
      </c>
      <c r="T6673" t="s">
        <v>44491</v>
      </c>
      <c r="U6673" t="s">
        <v>50310</v>
      </c>
      <c r="W6673" t="s">
        <v>58056</v>
      </c>
      <c r="X6673" t="s">
        <v>42678</v>
      </c>
    </row>
    <row r="6674" spans="1:24">
      <c r="A6674">
        <f>HYPERLINK("https://www.philgeps.gov.ph/GEPSNONPILOT/Tender/SplashBidNoticeAbstractUI.aspx?menuIndex=3&amp;refID=7186255&amp;Result=3","7186255")</f>
        <v>0</v>
      </c>
      <c r="B6674" t="s">
        <v>1259</v>
      </c>
      <c r="C6674" t="s">
        <v>9909</v>
      </c>
      <c r="D6674" t="s">
        <v>17170</v>
      </c>
      <c r="E6674" t="s">
        <v>23017</v>
      </c>
      <c r="F6674" t="s">
        <v>29372</v>
      </c>
      <c r="G6674" t="s">
        <v>29381</v>
      </c>
      <c r="H6674" t="s">
        <v>11048</v>
      </c>
      <c r="I6674" t="s">
        <v>29407</v>
      </c>
      <c r="J6674" t="s">
        <v>33834</v>
      </c>
      <c r="K6674" t="s">
        <v>38488</v>
      </c>
      <c r="M6674" t="s">
        <v>40086</v>
      </c>
      <c r="N6674" t="s">
        <v>42669</v>
      </c>
      <c r="O6674" t="s">
        <v>42670</v>
      </c>
      <c r="P6674">
        <v>0</v>
      </c>
      <c r="Q6674">
        <v>5</v>
      </c>
      <c r="R6674" t="s">
        <v>42677</v>
      </c>
      <c r="S6674" t="s">
        <v>42830</v>
      </c>
      <c r="T6674" t="s">
        <v>44417</v>
      </c>
      <c r="U6674" t="s">
        <v>50311</v>
      </c>
      <c r="V6674" t="s">
        <v>56675</v>
      </c>
      <c r="W6674" t="s">
        <v>40086</v>
      </c>
      <c r="X6674" t="s">
        <v>42678</v>
      </c>
    </row>
    <row r="6675" spans="1:24">
      <c r="A6675">
        <f>HYPERLINK("https://www.philgeps.gov.ph/GEPSNONPILOT/Tender/SplashBidNoticeAbstractUI.aspx?menuIndex=3&amp;refID=7186331&amp;Result=3","7186331")</f>
        <v>0</v>
      </c>
      <c r="B6675" t="s">
        <v>1813</v>
      </c>
      <c r="C6675" t="s">
        <v>9910</v>
      </c>
      <c r="D6675" t="s">
        <v>17180</v>
      </c>
      <c r="E6675" t="s">
        <v>23018</v>
      </c>
      <c r="F6675" t="s">
        <v>29372</v>
      </c>
      <c r="G6675" t="s">
        <v>29380</v>
      </c>
      <c r="H6675" t="s">
        <v>29389</v>
      </c>
      <c r="I6675" t="s">
        <v>10408</v>
      </c>
      <c r="J6675" t="s">
        <v>29541</v>
      </c>
      <c r="K6675" t="s">
        <v>38490</v>
      </c>
      <c r="M6675" t="s">
        <v>40684</v>
      </c>
      <c r="N6675" t="s">
        <v>42669</v>
      </c>
      <c r="O6675" t="s">
        <v>42670</v>
      </c>
      <c r="P6675">
        <v>0</v>
      </c>
      <c r="Q6675">
        <v>6</v>
      </c>
      <c r="R6675" t="s">
        <v>42677</v>
      </c>
      <c r="S6675" t="s">
        <v>42830</v>
      </c>
      <c r="T6675" t="s">
        <v>44417</v>
      </c>
      <c r="U6675" t="s">
        <v>50312</v>
      </c>
      <c r="V6675" t="s">
        <v>57097</v>
      </c>
      <c r="W6675" t="s">
        <v>40684</v>
      </c>
      <c r="X6675" t="s">
        <v>42678</v>
      </c>
    </row>
    <row r="6676" spans="1:24">
      <c r="A6676">
        <f>HYPERLINK("https://www.philgeps.gov.ph/GEPSNONPILOT/Tender/SplashBidNoticeAbstractUI.aspx?menuIndex=3&amp;refID=7186329&amp;Result=3","7186329")</f>
        <v>0</v>
      </c>
      <c r="B6676" t="s">
        <v>186</v>
      </c>
      <c r="C6676" t="s">
        <v>9911</v>
      </c>
      <c r="D6676" t="s">
        <v>17198</v>
      </c>
      <c r="E6676" t="s">
        <v>23019</v>
      </c>
      <c r="F6676" t="s">
        <v>29372</v>
      </c>
      <c r="G6676" t="s">
        <v>29380</v>
      </c>
      <c r="H6676" t="s">
        <v>29389</v>
      </c>
      <c r="I6676" t="s">
        <v>10408</v>
      </c>
      <c r="J6676" t="s">
        <v>33835</v>
      </c>
      <c r="K6676" t="s">
        <v>38606</v>
      </c>
      <c r="M6676" t="s">
        <v>38943</v>
      </c>
      <c r="N6676" t="s">
        <v>42669</v>
      </c>
      <c r="O6676" t="s">
        <v>42670</v>
      </c>
      <c r="P6676">
        <v>0</v>
      </c>
      <c r="Q6676">
        <v>0</v>
      </c>
      <c r="R6676" t="s">
        <v>42677</v>
      </c>
      <c r="S6676" t="s">
        <v>42830</v>
      </c>
      <c r="T6676" t="s">
        <v>44517</v>
      </c>
      <c r="U6676" t="s">
        <v>50313</v>
      </c>
      <c r="W6676" t="s">
        <v>38943</v>
      </c>
      <c r="X6676" t="s">
        <v>42678</v>
      </c>
    </row>
    <row r="6677" spans="1:24">
      <c r="A6677">
        <f>HYPERLINK("https://www.philgeps.gov.ph/GEPSNONPILOT/Tender/SplashBidNoticeAbstractUI.aspx?menuIndex=3&amp;refID=7186323&amp;Result=3","7186323")</f>
        <v>0</v>
      </c>
      <c r="B6677" t="s">
        <v>2180</v>
      </c>
      <c r="C6677" t="s">
        <v>9912</v>
      </c>
      <c r="D6677" t="s">
        <v>17189</v>
      </c>
      <c r="E6677" t="s">
        <v>23020</v>
      </c>
      <c r="F6677" t="s">
        <v>29372</v>
      </c>
      <c r="G6677" t="s">
        <v>29380</v>
      </c>
      <c r="H6677" t="s">
        <v>29389</v>
      </c>
      <c r="I6677" t="s">
        <v>10408</v>
      </c>
      <c r="J6677" t="s">
        <v>29937</v>
      </c>
      <c r="K6677" t="s">
        <v>38634</v>
      </c>
      <c r="M6677" t="s">
        <v>41094</v>
      </c>
      <c r="N6677" t="s">
        <v>42669</v>
      </c>
      <c r="O6677" t="s">
        <v>42670</v>
      </c>
      <c r="P6677">
        <v>0</v>
      </c>
      <c r="Q6677">
        <v>1</v>
      </c>
      <c r="R6677" t="s">
        <v>42677</v>
      </c>
      <c r="S6677" t="s">
        <v>42830</v>
      </c>
      <c r="T6677" t="s">
        <v>44517</v>
      </c>
      <c r="U6677" t="s">
        <v>50314</v>
      </c>
      <c r="V6677" t="s">
        <v>57076</v>
      </c>
      <c r="W6677" t="s">
        <v>41094</v>
      </c>
      <c r="X6677" t="s">
        <v>42678</v>
      </c>
    </row>
    <row r="6678" spans="1:24">
      <c r="A6678">
        <f>HYPERLINK("https://www.philgeps.gov.ph/GEPSNONPILOT/Tender/SplashBidNoticeAbstractUI.aspx?menuIndex=3&amp;refID=7186259&amp;Result=3","7186259")</f>
        <v>0</v>
      </c>
      <c r="B6678" t="s">
        <v>1976</v>
      </c>
      <c r="C6678" t="s">
        <v>9913</v>
      </c>
      <c r="D6678" t="s">
        <v>17143</v>
      </c>
      <c r="E6678" t="s">
        <v>23021</v>
      </c>
      <c r="F6678" t="s">
        <v>29372</v>
      </c>
      <c r="G6678" t="s">
        <v>29379</v>
      </c>
      <c r="H6678" t="s">
        <v>11048</v>
      </c>
      <c r="I6678" t="s">
        <v>10408</v>
      </c>
      <c r="J6678" t="s">
        <v>33836</v>
      </c>
      <c r="K6678" t="s">
        <v>38495</v>
      </c>
      <c r="M6678" t="s">
        <v>40863</v>
      </c>
      <c r="N6678" t="s">
        <v>42669</v>
      </c>
      <c r="O6678" t="s">
        <v>42670</v>
      </c>
      <c r="P6678">
        <v>0</v>
      </c>
      <c r="Q6678">
        <v>0</v>
      </c>
      <c r="R6678" t="s">
        <v>42677</v>
      </c>
      <c r="S6678" t="s">
        <v>42830</v>
      </c>
      <c r="T6678" t="s">
        <v>44530</v>
      </c>
      <c r="U6678" t="s">
        <v>50315</v>
      </c>
      <c r="W6678" t="s">
        <v>40863</v>
      </c>
      <c r="X6678" t="s">
        <v>42678</v>
      </c>
    </row>
    <row r="6679" spans="1:24">
      <c r="A6679">
        <f>HYPERLINK("https://www.philgeps.gov.ph/GEPSNONPILOT/Tender/SplashBidNoticeAbstractUI.aspx?menuIndex=3&amp;refID=7186245&amp;Result=3","7186245")</f>
        <v>0</v>
      </c>
      <c r="B6679" t="s">
        <v>2236</v>
      </c>
      <c r="C6679" t="s">
        <v>9914</v>
      </c>
      <c r="D6679" t="s">
        <v>17205</v>
      </c>
      <c r="E6679" t="s">
        <v>23022</v>
      </c>
      <c r="F6679" t="s">
        <v>29372</v>
      </c>
      <c r="G6679" t="s">
        <v>29380</v>
      </c>
      <c r="H6679" t="s">
        <v>11048</v>
      </c>
      <c r="I6679" t="s">
        <v>4709</v>
      </c>
      <c r="J6679" t="s">
        <v>29590</v>
      </c>
      <c r="K6679" t="s">
        <v>38485</v>
      </c>
      <c r="L6679" t="s">
        <v>2236</v>
      </c>
      <c r="M6679" t="s">
        <v>41154</v>
      </c>
      <c r="N6679" t="s">
        <v>42669</v>
      </c>
      <c r="O6679" t="s">
        <v>42670</v>
      </c>
      <c r="P6679">
        <v>0</v>
      </c>
      <c r="Q6679">
        <v>10</v>
      </c>
      <c r="R6679" t="s">
        <v>42677</v>
      </c>
      <c r="S6679" t="s">
        <v>42830</v>
      </c>
      <c r="T6679" t="s">
        <v>44401</v>
      </c>
      <c r="U6679" t="s">
        <v>50316</v>
      </c>
      <c r="W6679" t="s">
        <v>41154</v>
      </c>
      <c r="X6679" t="s">
        <v>42678</v>
      </c>
    </row>
    <row r="6680" spans="1:24">
      <c r="A6680">
        <f>HYPERLINK("https://www.philgeps.gov.ph/GEPSNONPILOT/Tender/SplashBidNoticeAbstractUI.aspx?menuIndex=3&amp;refID=7186318&amp;Result=3","7186318")</f>
        <v>0</v>
      </c>
      <c r="B6680" t="s">
        <v>2237</v>
      </c>
      <c r="C6680" t="s">
        <v>9915</v>
      </c>
      <c r="D6680" t="s">
        <v>17166</v>
      </c>
      <c r="E6680" t="s">
        <v>18589</v>
      </c>
      <c r="F6680" t="s">
        <v>29372</v>
      </c>
      <c r="G6680" t="s">
        <v>29380</v>
      </c>
      <c r="H6680" t="s">
        <v>29389</v>
      </c>
      <c r="I6680" t="s">
        <v>10408</v>
      </c>
      <c r="J6680" t="s">
        <v>33837</v>
      </c>
      <c r="K6680" t="s">
        <v>38522</v>
      </c>
      <c r="M6680" t="s">
        <v>41155</v>
      </c>
      <c r="N6680" t="s">
        <v>42669</v>
      </c>
      <c r="O6680" t="s">
        <v>42670</v>
      </c>
      <c r="P6680">
        <v>0</v>
      </c>
      <c r="Q6680">
        <v>3</v>
      </c>
      <c r="R6680" t="s">
        <v>42677</v>
      </c>
      <c r="S6680" t="s">
        <v>42830</v>
      </c>
      <c r="T6680" t="s">
        <v>44430</v>
      </c>
      <c r="U6680" t="s">
        <v>50317</v>
      </c>
      <c r="W6680" t="s">
        <v>41155</v>
      </c>
      <c r="X6680" t="s">
        <v>42678</v>
      </c>
    </row>
    <row r="6681" spans="1:24">
      <c r="A6681">
        <f>HYPERLINK("https://www.philgeps.gov.ph/GEPSNONPILOT/Tender/SplashBidNoticeAbstractUI.aspx?menuIndex=3&amp;refID=7186244&amp;Result=3","7186244")</f>
        <v>0</v>
      </c>
      <c r="B6681" t="s">
        <v>1034</v>
      </c>
      <c r="C6681" t="s">
        <v>9916</v>
      </c>
      <c r="D6681" t="s">
        <v>17199</v>
      </c>
      <c r="E6681" t="s">
        <v>23023</v>
      </c>
      <c r="F6681" t="s">
        <v>29372</v>
      </c>
      <c r="G6681" t="s">
        <v>29380</v>
      </c>
      <c r="H6681" t="s">
        <v>11048</v>
      </c>
      <c r="I6681" t="s">
        <v>29415</v>
      </c>
      <c r="J6681" t="s">
        <v>33838</v>
      </c>
      <c r="K6681" t="s">
        <v>38491</v>
      </c>
      <c r="M6681" t="s">
        <v>39837</v>
      </c>
      <c r="N6681" t="s">
        <v>42669</v>
      </c>
      <c r="O6681" t="s">
        <v>42670</v>
      </c>
      <c r="P6681">
        <v>0</v>
      </c>
      <c r="Q6681">
        <v>6</v>
      </c>
      <c r="R6681" t="s">
        <v>42677</v>
      </c>
      <c r="S6681" t="s">
        <v>42830</v>
      </c>
      <c r="T6681" t="s">
        <v>44427</v>
      </c>
      <c r="U6681" t="s">
        <v>50318</v>
      </c>
      <c r="W6681" t="s">
        <v>58033</v>
      </c>
      <c r="X6681" t="s">
        <v>42678</v>
      </c>
    </row>
    <row r="6682" spans="1:24">
      <c r="A6682">
        <f>HYPERLINK("https://www.philgeps.gov.ph/GEPSNONPILOT/Tender/SplashBidNoticeAbstractUI.aspx?menuIndex=3&amp;refID=7186321&amp;Result=3","7186321")</f>
        <v>0</v>
      </c>
      <c r="B6682" t="s">
        <v>2227</v>
      </c>
      <c r="C6682" t="s">
        <v>9917</v>
      </c>
      <c r="D6682" t="s">
        <v>17188</v>
      </c>
      <c r="E6682" t="s">
        <v>23024</v>
      </c>
      <c r="F6682" t="s">
        <v>29372</v>
      </c>
      <c r="G6682" t="s">
        <v>29379</v>
      </c>
      <c r="H6682" t="s">
        <v>11048</v>
      </c>
      <c r="I6682" t="s">
        <v>4709</v>
      </c>
      <c r="J6682" t="s">
        <v>33839</v>
      </c>
      <c r="K6682" t="s">
        <v>38491</v>
      </c>
      <c r="M6682" t="s">
        <v>41145</v>
      </c>
      <c r="N6682" t="s">
        <v>42669</v>
      </c>
      <c r="O6682" t="s">
        <v>42670</v>
      </c>
      <c r="P6682">
        <v>0</v>
      </c>
      <c r="Q6682">
        <v>0</v>
      </c>
      <c r="R6682" t="s">
        <v>42677</v>
      </c>
      <c r="S6682" t="s">
        <v>42830</v>
      </c>
      <c r="T6682" t="s">
        <v>44560</v>
      </c>
      <c r="U6682" t="s">
        <v>50272</v>
      </c>
      <c r="W6682" t="s">
        <v>41145</v>
      </c>
      <c r="X6682" t="s">
        <v>42678</v>
      </c>
    </row>
    <row r="6683" spans="1:24">
      <c r="A6683">
        <f>HYPERLINK("https://www.philgeps.gov.ph/GEPSNONPILOT/Tender/SplashBidNoticeAbstractUI.aspx?menuIndex=3&amp;refID=7186300&amp;Result=3","7186300")</f>
        <v>0</v>
      </c>
      <c r="B6683" t="s">
        <v>1191</v>
      </c>
      <c r="C6683" t="s">
        <v>9918</v>
      </c>
      <c r="D6683" t="s">
        <v>17148</v>
      </c>
      <c r="E6683" t="s">
        <v>23025</v>
      </c>
      <c r="F6683" t="s">
        <v>29372</v>
      </c>
      <c r="G6683" t="s">
        <v>29380</v>
      </c>
      <c r="H6683" t="s">
        <v>29389</v>
      </c>
      <c r="I6683" t="s">
        <v>10408</v>
      </c>
      <c r="J6683" t="s">
        <v>30056</v>
      </c>
      <c r="K6683" t="s">
        <v>38672</v>
      </c>
      <c r="M6683" t="s">
        <v>40007</v>
      </c>
      <c r="N6683" t="s">
        <v>42669</v>
      </c>
      <c r="O6683" t="s">
        <v>42670</v>
      </c>
      <c r="P6683">
        <v>0</v>
      </c>
      <c r="Q6683">
        <v>45</v>
      </c>
      <c r="R6683" t="s">
        <v>42677</v>
      </c>
      <c r="S6683" t="s">
        <v>42830</v>
      </c>
      <c r="T6683" t="s">
        <v>44463</v>
      </c>
      <c r="U6683" t="s">
        <v>50319</v>
      </c>
      <c r="V6683" t="s">
        <v>56381</v>
      </c>
      <c r="W6683" t="s">
        <v>40007</v>
      </c>
      <c r="X6683" t="s">
        <v>42678</v>
      </c>
    </row>
    <row r="6684" spans="1:24">
      <c r="A6684">
        <f>HYPERLINK("https://www.philgeps.gov.ph/GEPSNONPILOT/Tender/SplashBidNoticeAbstractUI.aspx?menuIndex=3&amp;refID=7186316&amp;Result=3","7186316")</f>
        <v>0</v>
      </c>
      <c r="B6684" t="s">
        <v>679</v>
      </c>
      <c r="C6684" t="s">
        <v>9919</v>
      </c>
      <c r="D6684" t="s">
        <v>17175</v>
      </c>
      <c r="E6684" t="s">
        <v>23026</v>
      </c>
      <c r="F6684" t="s">
        <v>29372</v>
      </c>
      <c r="G6684" t="s">
        <v>29380</v>
      </c>
      <c r="H6684" t="s">
        <v>11048</v>
      </c>
      <c r="I6684" t="s">
        <v>5383</v>
      </c>
      <c r="J6684" t="s">
        <v>30206</v>
      </c>
      <c r="K6684" t="s">
        <v>38510</v>
      </c>
      <c r="M6684" t="s">
        <v>39455</v>
      </c>
      <c r="N6684" t="s">
        <v>42669</v>
      </c>
      <c r="O6684" t="s">
        <v>42670</v>
      </c>
      <c r="P6684">
        <v>0</v>
      </c>
      <c r="Q6684">
        <v>0</v>
      </c>
      <c r="R6684" t="s">
        <v>42677</v>
      </c>
      <c r="S6684" t="s">
        <v>42830</v>
      </c>
      <c r="T6684" t="s">
        <v>44357</v>
      </c>
      <c r="U6684" t="s">
        <v>50320</v>
      </c>
      <c r="W6684" t="s">
        <v>39455</v>
      </c>
      <c r="X6684" t="s">
        <v>42678</v>
      </c>
    </row>
    <row r="6685" spans="1:24">
      <c r="A6685">
        <f>HYPERLINK("https://www.philgeps.gov.ph/GEPSNONPILOT/Tender/SplashBidNoticeAbstractUI.aspx?menuIndex=3&amp;refID=7186303&amp;Result=3","7186303")</f>
        <v>0</v>
      </c>
      <c r="B6685" t="s">
        <v>2238</v>
      </c>
      <c r="C6685" t="s">
        <v>9920</v>
      </c>
      <c r="D6685" t="s">
        <v>17193</v>
      </c>
      <c r="E6685" t="s">
        <v>17479</v>
      </c>
      <c r="F6685" t="s">
        <v>29372</v>
      </c>
      <c r="G6685" t="s">
        <v>29379</v>
      </c>
      <c r="H6685" t="s">
        <v>11048</v>
      </c>
      <c r="I6685" t="s">
        <v>29409</v>
      </c>
      <c r="J6685" t="s">
        <v>33840</v>
      </c>
      <c r="K6685" t="s">
        <v>38518</v>
      </c>
      <c r="M6685" t="s">
        <v>41156</v>
      </c>
      <c r="N6685" t="s">
        <v>42669</v>
      </c>
      <c r="O6685" t="s">
        <v>42670</v>
      </c>
      <c r="P6685">
        <v>0</v>
      </c>
      <c r="Q6685">
        <v>6</v>
      </c>
      <c r="R6685" t="s">
        <v>42677</v>
      </c>
      <c r="S6685" t="s">
        <v>42830</v>
      </c>
      <c r="T6685" t="s">
        <v>44580</v>
      </c>
      <c r="U6685" t="s">
        <v>50321</v>
      </c>
      <c r="V6685" t="s">
        <v>57098</v>
      </c>
      <c r="W6685" t="s">
        <v>41156</v>
      </c>
      <c r="X6685" t="s">
        <v>42678</v>
      </c>
    </row>
    <row r="6686" spans="1:24">
      <c r="A6686">
        <f>HYPERLINK("https://www.philgeps.gov.ph/GEPSNONPILOT/Tender/SplashBidNoticeAbstractUI.aspx?menuIndex=3&amp;refID=7186308&amp;Result=3","7186308")</f>
        <v>0</v>
      </c>
      <c r="B6686" t="s">
        <v>1515</v>
      </c>
      <c r="C6686" t="s">
        <v>9921</v>
      </c>
      <c r="D6686" t="s">
        <v>17174</v>
      </c>
      <c r="E6686" t="s">
        <v>23027</v>
      </c>
      <c r="F6686" t="s">
        <v>29376</v>
      </c>
      <c r="G6686" t="s">
        <v>29383</v>
      </c>
      <c r="H6686" t="s">
        <v>11048</v>
      </c>
      <c r="I6686" t="s">
        <v>29417</v>
      </c>
      <c r="J6686" t="s">
        <v>32345</v>
      </c>
      <c r="K6686" t="s">
        <v>38490</v>
      </c>
      <c r="M6686" t="s">
        <v>40359</v>
      </c>
      <c r="N6686" t="s">
        <v>42669</v>
      </c>
      <c r="O6686" t="s">
        <v>42670</v>
      </c>
      <c r="P6686">
        <v>0</v>
      </c>
      <c r="Q6686">
        <v>3</v>
      </c>
      <c r="R6686" t="s">
        <v>42677</v>
      </c>
      <c r="S6686" t="s">
        <v>42830</v>
      </c>
      <c r="T6686" t="s">
        <v>44371</v>
      </c>
      <c r="U6686" t="s">
        <v>50322</v>
      </c>
      <c r="W6686" t="s">
        <v>40359</v>
      </c>
      <c r="X6686" t="s">
        <v>42678</v>
      </c>
    </row>
    <row r="6687" spans="1:24">
      <c r="A6687">
        <f>HYPERLINK("https://www.philgeps.gov.ph/GEPSNONPILOT/Tender/SplashBidNoticeAbstractUI.aspx?menuIndex=3&amp;refID=7186269&amp;Result=3","7186269")</f>
        <v>0</v>
      </c>
      <c r="B6687" t="s">
        <v>959</v>
      </c>
      <c r="C6687" t="s">
        <v>3982</v>
      </c>
      <c r="D6687" t="s">
        <v>17145</v>
      </c>
      <c r="E6687" t="s">
        <v>20536</v>
      </c>
      <c r="F6687" t="s">
        <v>29372</v>
      </c>
      <c r="G6687" t="s">
        <v>29379</v>
      </c>
      <c r="H6687" t="s">
        <v>11048</v>
      </c>
      <c r="I6687" t="s">
        <v>5383</v>
      </c>
      <c r="J6687" t="s">
        <v>33841</v>
      </c>
      <c r="K6687" t="s">
        <v>38491</v>
      </c>
      <c r="M6687" t="s">
        <v>40292</v>
      </c>
      <c r="N6687" t="s">
        <v>42669</v>
      </c>
      <c r="O6687" t="s">
        <v>42670</v>
      </c>
      <c r="P6687">
        <v>0</v>
      </c>
      <c r="Q6687">
        <v>0</v>
      </c>
      <c r="R6687" t="s">
        <v>42677</v>
      </c>
      <c r="S6687" t="s">
        <v>42830</v>
      </c>
      <c r="T6687" t="s">
        <v>44432</v>
      </c>
      <c r="U6687" t="s">
        <v>50323</v>
      </c>
      <c r="W6687" t="s">
        <v>40292</v>
      </c>
      <c r="X6687" t="s">
        <v>42678</v>
      </c>
    </row>
    <row r="6688" spans="1:24">
      <c r="A6688">
        <f>HYPERLINK("https://www.philgeps.gov.ph/GEPSNONPILOT/Tender/SplashBidNoticeAbstractUI.aspx?menuIndex=3&amp;refID=7186327&amp;Result=3","7186327")</f>
        <v>0</v>
      </c>
      <c r="B6688" t="s">
        <v>795</v>
      </c>
      <c r="C6688" t="s">
        <v>9922</v>
      </c>
      <c r="D6688" t="s">
        <v>17167</v>
      </c>
      <c r="E6688" t="s">
        <v>23028</v>
      </c>
      <c r="F6688" t="s">
        <v>29372</v>
      </c>
      <c r="G6688" t="s">
        <v>29380</v>
      </c>
      <c r="H6688" t="s">
        <v>11048</v>
      </c>
      <c r="I6688" t="s">
        <v>5383</v>
      </c>
      <c r="J6688" t="s">
        <v>33842</v>
      </c>
      <c r="K6688" t="s">
        <v>38485</v>
      </c>
      <c r="M6688" t="s">
        <v>39579</v>
      </c>
      <c r="N6688" t="s">
        <v>42669</v>
      </c>
      <c r="O6688" t="s">
        <v>42670</v>
      </c>
      <c r="P6688">
        <v>0</v>
      </c>
      <c r="Q6688">
        <v>2</v>
      </c>
      <c r="R6688" t="s">
        <v>42677</v>
      </c>
      <c r="S6688" t="s">
        <v>42830</v>
      </c>
      <c r="T6688" t="s">
        <v>44544</v>
      </c>
      <c r="U6688" t="s">
        <v>50324</v>
      </c>
      <c r="W6688" t="s">
        <v>39579</v>
      </c>
      <c r="X6688" t="s">
        <v>42678</v>
      </c>
    </row>
    <row r="6689" spans="1:24">
      <c r="A6689">
        <f>HYPERLINK("https://www.philgeps.gov.ph/GEPSNONPILOT/Tender/SplashBidNoticeAbstractUI.aspx?menuIndex=3&amp;refID=7186292&amp;Result=3","7186292")</f>
        <v>0</v>
      </c>
      <c r="B6689" t="s">
        <v>2178</v>
      </c>
      <c r="C6689" t="s">
        <v>9923</v>
      </c>
      <c r="D6689" t="s">
        <v>17183</v>
      </c>
      <c r="E6689" t="s">
        <v>23029</v>
      </c>
      <c r="F6689" t="s">
        <v>29372</v>
      </c>
      <c r="G6689" t="s">
        <v>29380</v>
      </c>
      <c r="H6689" t="s">
        <v>11048</v>
      </c>
      <c r="I6689" t="s">
        <v>29426</v>
      </c>
      <c r="J6689" t="s">
        <v>29625</v>
      </c>
      <c r="K6689" t="s">
        <v>38488</v>
      </c>
      <c r="M6689" t="s">
        <v>41091</v>
      </c>
      <c r="N6689" t="s">
        <v>42669</v>
      </c>
      <c r="O6689" t="s">
        <v>42670</v>
      </c>
      <c r="P6689">
        <v>0</v>
      </c>
      <c r="Q6689">
        <v>3</v>
      </c>
      <c r="R6689" t="s">
        <v>42677</v>
      </c>
      <c r="S6689" t="s">
        <v>42830</v>
      </c>
      <c r="T6689" t="s">
        <v>44724</v>
      </c>
      <c r="U6689" t="s">
        <v>50325</v>
      </c>
      <c r="V6689" t="s">
        <v>57073</v>
      </c>
      <c r="W6689" t="s">
        <v>41091</v>
      </c>
      <c r="X6689" t="s">
        <v>42678</v>
      </c>
    </row>
    <row r="6690" spans="1:24">
      <c r="A6690">
        <f>HYPERLINK("https://www.philgeps.gov.ph/GEPSNONPILOT/Tender/SplashBidNoticeAbstractUI.aspx?menuIndex=3&amp;refID=7186291&amp;Result=3","7186291")</f>
        <v>0</v>
      </c>
      <c r="B6690" t="s">
        <v>2227</v>
      </c>
      <c r="C6690" t="s">
        <v>9924</v>
      </c>
      <c r="D6690" t="s">
        <v>17188</v>
      </c>
      <c r="E6690" t="s">
        <v>23030</v>
      </c>
      <c r="F6690" t="s">
        <v>29372</v>
      </c>
      <c r="G6690" t="s">
        <v>29379</v>
      </c>
      <c r="H6690" t="s">
        <v>11048</v>
      </c>
      <c r="I6690" t="s">
        <v>4709</v>
      </c>
      <c r="J6690" t="s">
        <v>33843</v>
      </c>
      <c r="K6690" t="s">
        <v>38491</v>
      </c>
      <c r="M6690" t="s">
        <v>41145</v>
      </c>
      <c r="N6690" t="s">
        <v>42669</v>
      </c>
      <c r="O6690" t="s">
        <v>42670</v>
      </c>
      <c r="P6690">
        <v>0</v>
      </c>
      <c r="Q6690">
        <v>0</v>
      </c>
      <c r="R6690" t="s">
        <v>42677</v>
      </c>
      <c r="S6690" t="s">
        <v>42830</v>
      </c>
      <c r="T6690" t="s">
        <v>44560</v>
      </c>
      <c r="U6690" t="s">
        <v>50272</v>
      </c>
      <c r="W6690" t="s">
        <v>41145</v>
      </c>
      <c r="X6690" t="s">
        <v>42678</v>
      </c>
    </row>
    <row r="6691" spans="1:24">
      <c r="A6691">
        <f>HYPERLINK("https://www.philgeps.gov.ph/GEPSNONPILOT/Tender/SplashBidNoticeAbstractUI.aspx?menuIndex=3&amp;refID=7186287&amp;Result=3","7186287")</f>
        <v>0</v>
      </c>
      <c r="B6691" t="s">
        <v>726</v>
      </c>
      <c r="C6691" t="s">
        <v>9925</v>
      </c>
      <c r="D6691" t="s">
        <v>17203</v>
      </c>
      <c r="E6691" t="s">
        <v>23031</v>
      </c>
      <c r="F6691" t="s">
        <v>29372</v>
      </c>
      <c r="G6691" t="s">
        <v>29380</v>
      </c>
      <c r="H6691" t="s">
        <v>11048</v>
      </c>
      <c r="I6691" t="s">
        <v>4709</v>
      </c>
      <c r="J6691" t="s">
        <v>33844</v>
      </c>
      <c r="K6691" t="s">
        <v>38488</v>
      </c>
      <c r="M6691" t="s">
        <v>39506</v>
      </c>
      <c r="N6691" t="s">
        <v>42669</v>
      </c>
      <c r="O6691" t="s">
        <v>42670</v>
      </c>
      <c r="P6691">
        <v>0</v>
      </c>
      <c r="Q6691">
        <v>1</v>
      </c>
      <c r="R6691" t="s">
        <v>42677</v>
      </c>
      <c r="S6691" t="s">
        <v>42830</v>
      </c>
      <c r="T6691" t="s">
        <v>44474</v>
      </c>
      <c r="U6691" t="s">
        <v>50326</v>
      </c>
      <c r="V6691" t="s">
        <v>57099</v>
      </c>
      <c r="W6691" t="s">
        <v>39506</v>
      </c>
      <c r="X6691" t="s">
        <v>42678</v>
      </c>
    </row>
    <row r="6692" spans="1:24">
      <c r="A6692">
        <f>HYPERLINK("https://www.philgeps.gov.ph/GEPSNONPILOT/Tender/SplashBidNoticeAbstractUI.aspx?menuIndex=3&amp;refID=7186281&amp;Result=3","7186281")</f>
        <v>0</v>
      </c>
      <c r="B6692" t="s">
        <v>2239</v>
      </c>
      <c r="C6692" t="s">
        <v>9926</v>
      </c>
      <c r="D6692" t="s">
        <v>17177</v>
      </c>
      <c r="E6692" t="s">
        <v>23032</v>
      </c>
      <c r="F6692" t="s">
        <v>29372</v>
      </c>
      <c r="G6692" t="s">
        <v>29380</v>
      </c>
      <c r="H6692" t="s">
        <v>11048</v>
      </c>
      <c r="I6692" t="s">
        <v>9469</v>
      </c>
      <c r="J6692" t="s">
        <v>33845</v>
      </c>
      <c r="K6692" t="s">
        <v>38496</v>
      </c>
      <c r="M6692" t="s">
        <v>41157</v>
      </c>
      <c r="N6692" t="s">
        <v>42669</v>
      </c>
      <c r="O6692" t="s">
        <v>42670</v>
      </c>
      <c r="P6692">
        <v>0</v>
      </c>
      <c r="Q6692">
        <v>3</v>
      </c>
      <c r="R6692" t="s">
        <v>42677</v>
      </c>
      <c r="S6692" t="s">
        <v>42830</v>
      </c>
      <c r="T6692" t="s">
        <v>44360</v>
      </c>
      <c r="U6692" t="s">
        <v>50327</v>
      </c>
      <c r="W6692" t="s">
        <v>41157</v>
      </c>
      <c r="X6692" t="s">
        <v>42678</v>
      </c>
    </row>
    <row r="6693" spans="1:24">
      <c r="A6693">
        <f>HYPERLINK("https://www.philgeps.gov.ph/GEPSNONPILOT/Tender/SplashBidNoticeAbstractUI.aspx?menuIndex=3&amp;refID=7186263&amp;Result=3","7186263")</f>
        <v>0</v>
      </c>
      <c r="B6693" t="s">
        <v>2210</v>
      </c>
      <c r="C6693" t="s">
        <v>5137</v>
      </c>
      <c r="D6693" t="s">
        <v>17178</v>
      </c>
      <c r="E6693" t="s">
        <v>23033</v>
      </c>
      <c r="F6693" t="s">
        <v>29372</v>
      </c>
      <c r="G6693" t="s">
        <v>29380</v>
      </c>
      <c r="H6693" t="s">
        <v>29389</v>
      </c>
      <c r="I6693" t="s">
        <v>4709</v>
      </c>
      <c r="J6693" t="s">
        <v>33846</v>
      </c>
      <c r="K6693" t="s">
        <v>38485</v>
      </c>
      <c r="M6693" t="s">
        <v>41127</v>
      </c>
      <c r="N6693" t="s">
        <v>42669</v>
      </c>
      <c r="O6693" t="s">
        <v>42670</v>
      </c>
      <c r="P6693">
        <v>0</v>
      </c>
      <c r="Q6693">
        <v>0</v>
      </c>
      <c r="R6693" t="s">
        <v>42677</v>
      </c>
      <c r="S6693" t="s">
        <v>42830</v>
      </c>
      <c r="T6693" t="s">
        <v>44736</v>
      </c>
      <c r="U6693" t="s">
        <v>50328</v>
      </c>
      <c r="W6693" t="s">
        <v>41127</v>
      </c>
      <c r="X6693" t="s">
        <v>42678</v>
      </c>
    </row>
    <row r="6694" spans="1:24">
      <c r="A6694">
        <f>HYPERLINK("https://www.philgeps.gov.ph/GEPSNONPILOT/Tender/SplashBidNoticeAbstractUI.aspx?menuIndex=3&amp;refID=7186280&amp;Result=3","7186280")</f>
        <v>0</v>
      </c>
      <c r="B6694" t="s">
        <v>1416</v>
      </c>
      <c r="C6694" t="s">
        <v>9927</v>
      </c>
      <c r="D6694" t="s">
        <v>17202</v>
      </c>
      <c r="E6694" t="s">
        <v>23034</v>
      </c>
      <c r="F6694" t="s">
        <v>29372</v>
      </c>
      <c r="G6694" t="s">
        <v>29381</v>
      </c>
      <c r="H6694" t="s">
        <v>11048</v>
      </c>
      <c r="I6694" t="s">
        <v>29396</v>
      </c>
      <c r="J6694" t="s">
        <v>33847</v>
      </c>
      <c r="K6694" t="s">
        <v>38485</v>
      </c>
      <c r="M6694" t="s">
        <v>40255</v>
      </c>
      <c r="N6694" t="s">
        <v>42669</v>
      </c>
      <c r="O6694" t="s">
        <v>42670</v>
      </c>
      <c r="P6694">
        <v>0</v>
      </c>
      <c r="Q6694">
        <v>0</v>
      </c>
      <c r="R6694" t="s">
        <v>42677</v>
      </c>
      <c r="S6694" t="s">
        <v>42830</v>
      </c>
      <c r="T6694" t="s">
        <v>44401</v>
      </c>
      <c r="U6694" t="s">
        <v>50329</v>
      </c>
      <c r="V6694" t="s">
        <v>56748</v>
      </c>
      <c r="W6694" t="s">
        <v>40255</v>
      </c>
      <c r="X6694" t="s">
        <v>42678</v>
      </c>
    </row>
    <row r="6695" spans="1:24">
      <c r="A6695">
        <f>HYPERLINK("https://www.philgeps.gov.ph/GEPSNONPILOT/Tender/SplashBidNoticeAbstractUI.aspx?menuIndex=3&amp;refID=7186373&amp;Result=3","7186373")</f>
        <v>0</v>
      </c>
      <c r="B6695" t="s">
        <v>1191</v>
      </c>
      <c r="C6695" t="s">
        <v>9928</v>
      </c>
      <c r="D6695" t="s">
        <v>17148</v>
      </c>
      <c r="E6695" t="s">
        <v>23035</v>
      </c>
      <c r="F6695" t="s">
        <v>29372</v>
      </c>
      <c r="G6695" t="s">
        <v>29380</v>
      </c>
      <c r="H6695" t="s">
        <v>29389</v>
      </c>
      <c r="I6695" t="s">
        <v>10408</v>
      </c>
      <c r="J6695" t="s">
        <v>29543</v>
      </c>
      <c r="K6695" t="s">
        <v>38496</v>
      </c>
      <c r="M6695" t="s">
        <v>40007</v>
      </c>
      <c r="N6695" t="s">
        <v>42669</v>
      </c>
      <c r="O6695" t="s">
        <v>42670</v>
      </c>
      <c r="P6695">
        <v>0</v>
      </c>
      <c r="Q6695">
        <v>43</v>
      </c>
      <c r="R6695" t="s">
        <v>42677</v>
      </c>
      <c r="S6695" t="s">
        <v>42830</v>
      </c>
      <c r="T6695" t="s">
        <v>44463</v>
      </c>
      <c r="U6695" t="s">
        <v>50330</v>
      </c>
      <c r="V6695" t="s">
        <v>56381</v>
      </c>
      <c r="W6695" t="s">
        <v>40007</v>
      </c>
      <c r="X6695" t="s">
        <v>42678</v>
      </c>
    </row>
    <row r="6696" spans="1:24">
      <c r="A6696">
        <f>HYPERLINK("https://www.philgeps.gov.ph/GEPSNONPILOT/Tender/SplashBidNoticeAbstractUI.aspx?menuIndex=3&amp;refID=7186372&amp;Result=3","7186372")</f>
        <v>0</v>
      </c>
      <c r="B6696" t="s">
        <v>1202</v>
      </c>
      <c r="C6696" t="s">
        <v>9929</v>
      </c>
      <c r="E6696" t="s">
        <v>23036</v>
      </c>
      <c r="F6696" t="s">
        <v>29372</v>
      </c>
      <c r="G6696" t="s">
        <v>29380</v>
      </c>
      <c r="H6696" t="s">
        <v>29390</v>
      </c>
      <c r="I6696" t="s">
        <v>29434</v>
      </c>
      <c r="J6696" t="s">
        <v>33848</v>
      </c>
      <c r="K6696" t="s">
        <v>38488</v>
      </c>
      <c r="M6696" t="s">
        <v>40019</v>
      </c>
      <c r="N6696" t="s">
        <v>42669</v>
      </c>
      <c r="O6696" t="s">
        <v>42670</v>
      </c>
      <c r="P6696">
        <v>0</v>
      </c>
      <c r="Q6696">
        <v>4</v>
      </c>
      <c r="R6696" t="s">
        <v>42677</v>
      </c>
      <c r="S6696" t="s">
        <v>42830</v>
      </c>
      <c r="T6696" t="s">
        <v>44517</v>
      </c>
      <c r="U6696" t="s">
        <v>50331</v>
      </c>
      <c r="W6696" t="s">
        <v>40019</v>
      </c>
      <c r="X6696" t="s">
        <v>42678</v>
      </c>
    </row>
    <row r="6697" spans="1:24">
      <c r="A6697">
        <f>HYPERLINK("https://www.philgeps.gov.ph/GEPSNONPILOT/Tender/SplashBidNoticeAbstractUI.aspx?menuIndex=3&amp;refID=7186371&amp;Result=3","7186371")</f>
        <v>0</v>
      </c>
      <c r="B6697" t="s">
        <v>80</v>
      </c>
      <c r="C6697" t="s">
        <v>9930</v>
      </c>
      <c r="D6697" t="s">
        <v>17142</v>
      </c>
      <c r="E6697" t="s">
        <v>23037</v>
      </c>
      <c r="F6697" t="s">
        <v>29372</v>
      </c>
      <c r="G6697" t="s">
        <v>29379</v>
      </c>
      <c r="H6697" t="s">
        <v>29389</v>
      </c>
      <c r="I6697" t="s">
        <v>10408</v>
      </c>
      <c r="J6697" t="s">
        <v>33849</v>
      </c>
      <c r="K6697" t="s">
        <v>38510</v>
      </c>
      <c r="M6697" t="s">
        <v>38834</v>
      </c>
      <c r="N6697" t="s">
        <v>42669</v>
      </c>
      <c r="O6697" t="s">
        <v>42670</v>
      </c>
      <c r="P6697">
        <v>0</v>
      </c>
      <c r="Q6697">
        <v>0</v>
      </c>
      <c r="R6697" t="s">
        <v>42677</v>
      </c>
      <c r="S6697" t="s">
        <v>42830</v>
      </c>
      <c r="T6697" t="s">
        <v>44512</v>
      </c>
      <c r="U6697" t="s">
        <v>50332</v>
      </c>
      <c r="W6697" t="s">
        <v>38834</v>
      </c>
      <c r="X6697" t="s">
        <v>42678</v>
      </c>
    </row>
    <row r="6698" spans="1:24">
      <c r="A6698">
        <f>HYPERLINK("https://www.philgeps.gov.ph/GEPSNONPILOT/Tender/SplashBidNoticeAbstractUI.aspx?menuIndex=3&amp;refID=7186285&amp;Result=3","7186285")</f>
        <v>0</v>
      </c>
      <c r="B6698" t="s">
        <v>2176</v>
      </c>
      <c r="C6698" t="s">
        <v>9931</v>
      </c>
      <c r="D6698" t="s">
        <v>17177</v>
      </c>
      <c r="E6698" t="s">
        <v>23038</v>
      </c>
      <c r="F6698" t="s">
        <v>29372</v>
      </c>
      <c r="G6698" t="s">
        <v>29380</v>
      </c>
      <c r="H6698" t="s">
        <v>29389</v>
      </c>
      <c r="I6698" t="s">
        <v>10408</v>
      </c>
      <c r="J6698" t="s">
        <v>33789</v>
      </c>
      <c r="K6698" t="s">
        <v>38668</v>
      </c>
      <c r="M6698" t="s">
        <v>41088</v>
      </c>
      <c r="N6698" t="s">
        <v>42669</v>
      </c>
      <c r="O6698" t="s">
        <v>42670</v>
      </c>
      <c r="P6698">
        <v>0</v>
      </c>
      <c r="Q6698">
        <v>2</v>
      </c>
      <c r="R6698" t="s">
        <v>42677</v>
      </c>
      <c r="S6698" t="s">
        <v>42830</v>
      </c>
      <c r="T6698" t="s">
        <v>44468</v>
      </c>
      <c r="U6698" t="s">
        <v>50255</v>
      </c>
      <c r="W6698" t="s">
        <v>41088</v>
      </c>
      <c r="X6698" t="s">
        <v>42678</v>
      </c>
    </row>
    <row r="6699" spans="1:24">
      <c r="A6699">
        <f>HYPERLINK("https://www.philgeps.gov.ph/GEPSNONPILOT/Tender/SplashBidNoticeAbstractUI.aspx?menuIndex=3&amp;refID=7186298&amp;Result=3","7186298")</f>
        <v>0</v>
      </c>
      <c r="B6699" t="s">
        <v>2236</v>
      </c>
      <c r="C6699" t="s">
        <v>9932</v>
      </c>
      <c r="D6699" t="s">
        <v>17205</v>
      </c>
      <c r="E6699" t="s">
        <v>23039</v>
      </c>
      <c r="F6699" t="s">
        <v>29372</v>
      </c>
      <c r="G6699" t="s">
        <v>29380</v>
      </c>
      <c r="H6699" t="s">
        <v>29389</v>
      </c>
      <c r="I6699" t="s">
        <v>10408</v>
      </c>
      <c r="J6699" t="s">
        <v>33850</v>
      </c>
      <c r="K6699" t="s">
        <v>38496</v>
      </c>
      <c r="L6699" t="s">
        <v>2236</v>
      </c>
      <c r="M6699" t="s">
        <v>41154</v>
      </c>
      <c r="N6699" t="s">
        <v>42669</v>
      </c>
      <c r="O6699" t="s">
        <v>42670</v>
      </c>
      <c r="P6699">
        <v>0</v>
      </c>
      <c r="Q6699">
        <v>40</v>
      </c>
      <c r="R6699" t="s">
        <v>42677</v>
      </c>
      <c r="S6699" t="s">
        <v>42830</v>
      </c>
      <c r="T6699" t="s">
        <v>44427</v>
      </c>
      <c r="U6699" t="s">
        <v>50333</v>
      </c>
      <c r="W6699" t="s">
        <v>41154</v>
      </c>
      <c r="X6699" t="s">
        <v>42678</v>
      </c>
    </row>
    <row r="6700" spans="1:24">
      <c r="A6700">
        <f>HYPERLINK("https://www.philgeps.gov.ph/GEPSNONPILOT/Tender/SplashBidNoticeAbstractUI.aspx?menuIndex=3&amp;refID=7186295&amp;Result=3","7186295")</f>
        <v>0</v>
      </c>
      <c r="B6700" t="s">
        <v>2240</v>
      </c>
      <c r="C6700" t="s">
        <v>9933</v>
      </c>
      <c r="D6700" t="s">
        <v>17201</v>
      </c>
      <c r="E6700" t="s">
        <v>23040</v>
      </c>
      <c r="F6700" t="s">
        <v>29372</v>
      </c>
      <c r="G6700" t="s">
        <v>29380</v>
      </c>
      <c r="H6700" t="s">
        <v>11048</v>
      </c>
      <c r="I6700" t="s">
        <v>3839</v>
      </c>
      <c r="J6700" t="s">
        <v>30046</v>
      </c>
      <c r="K6700" t="s">
        <v>38488</v>
      </c>
      <c r="M6700" t="s">
        <v>41158</v>
      </c>
      <c r="N6700" t="s">
        <v>42669</v>
      </c>
      <c r="O6700" t="s">
        <v>42670</v>
      </c>
      <c r="P6700">
        <v>0</v>
      </c>
      <c r="Q6700">
        <v>7</v>
      </c>
      <c r="R6700" t="s">
        <v>42677</v>
      </c>
      <c r="S6700" t="s">
        <v>42830</v>
      </c>
      <c r="T6700" t="s">
        <v>44357</v>
      </c>
      <c r="U6700" t="s">
        <v>50334</v>
      </c>
      <c r="W6700" t="s">
        <v>41158</v>
      </c>
      <c r="X6700" t="s">
        <v>42678</v>
      </c>
    </row>
    <row r="6701" spans="1:24">
      <c r="A6701">
        <f>HYPERLINK("https://www.philgeps.gov.ph/GEPSNONPILOT/Tender/SplashBidNoticeAbstractUI.aspx?menuIndex=3&amp;refID=7186366&amp;Result=3","7186366")</f>
        <v>0</v>
      </c>
      <c r="B6701" t="s">
        <v>512</v>
      </c>
      <c r="C6701" t="s">
        <v>9934</v>
      </c>
      <c r="D6701" t="s">
        <v>17193</v>
      </c>
      <c r="E6701" t="s">
        <v>23041</v>
      </c>
      <c r="F6701" t="s">
        <v>29372</v>
      </c>
      <c r="G6701" t="s">
        <v>29379</v>
      </c>
      <c r="H6701" t="s">
        <v>11048</v>
      </c>
      <c r="I6701" t="s">
        <v>29434</v>
      </c>
      <c r="J6701" t="s">
        <v>33851</v>
      </c>
      <c r="K6701" t="s">
        <v>38510</v>
      </c>
      <c r="M6701" t="s">
        <v>39279</v>
      </c>
      <c r="N6701" t="s">
        <v>42669</v>
      </c>
      <c r="O6701" t="s">
        <v>42670</v>
      </c>
      <c r="P6701">
        <v>0</v>
      </c>
      <c r="Q6701">
        <v>3</v>
      </c>
      <c r="R6701" t="s">
        <v>42677</v>
      </c>
      <c r="S6701" t="s">
        <v>42830</v>
      </c>
      <c r="T6701" t="s">
        <v>44427</v>
      </c>
      <c r="U6701" t="s">
        <v>50335</v>
      </c>
      <c r="W6701" t="s">
        <v>39279</v>
      </c>
      <c r="X6701" t="s">
        <v>42678</v>
      </c>
    </row>
    <row r="6702" spans="1:24">
      <c r="A6702">
        <f>HYPERLINK("https://www.philgeps.gov.ph/GEPSNONPILOT/Tender/SplashBidNoticeAbstractUI.aspx?menuIndex=3&amp;refID=7186240&amp;Result=3","7186240")</f>
        <v>0</v>
      </c>
      <c r="B6702" t="s">
        <v>2180</v>
      </c>
      <c r="C6702" t="s">
        <v>9935</v>
      </c>
      <c r="D6702" t="s">
        <v>17189</v>
      </c>
      <c r="E6702" t="s">
        <v>23042</v>
      </c>
      <c r="F6702" t="s">
        <v>29372</v>
      </c>
      <c r="G6702" t="s">
        <v>29380</v>
      </c>
      <c r="H6702" t="s">
        <v>11048</v>
      </c>
      <c r="I6702" t="s">
        <v>29417</v>
      </c>
      <c r="J6702" t="s">
        <v>30438</v>
      </c>
      <c r="K6702" t="s">
        <v>38488</v>
      </c>
      <c r="M6702" t="s">
        <v>41094</v>
      </c>
      <c r="N6702" t="s">
        <v>42669</v>
      </c>
      <c r="O6702" t="s">
        <v>42670</v>
      </c>
      <c r="P6702">
        <v>0</v>
      </c>
      <c r="Q6702">
        <v>6</v>
      </c>
      <c r="R6702" t="s">
        <v>42677</v>
      </c>
      <c r="S6702" t="s">
        <v>42830</v>
      </c>
      <c r="T6702" t="s">
        <v>44517</v>
      </c>
      <c r="U6702" t="s">
        <v>50336</v>
      </c>
      <c r="V6702" t="s">
        <v>57076</v>
      </c>
      <c r="W6702" t="s">
        <v>41094</v>
      </c>
      <c r="X6702" t="s">
        <v>42678</v>
      </c>
    </row>
    <row r="6703" spans="1:24">
      <c r="A6703">
        <f>HYPERLINK("https://www.philgeps.gov.ph/GEPSNONPILOT/Tender/SplashBidNoticeAbstractUI.aspx?menuIndex=3&amp;refID=7186368&amp;Result=3","7186368")</f>
        <v>0</v>
      </c>
      <c r="B6703" t="s">
        <v>2241</v>
      </c>
      <c r="C6703" t="s">
        <v>9936</v>
      </c>
      <c r="D6703" t="s">
        <v>17176</v>
      </c>
      <c r="E6703" t="s">
        <v>23043</v>
      </c>
      <c r="F6703" t="s">
        <v>29372</v>
      </c>
      <c r="G6703" t="s">
        <v>29384</v>
      </c>
      <c r="H6703" t="s">
        <v>29391</v>
      </c>
      <c r="I6703" t="s">
        <v>29391</v>
      </c>
      <c r="J6703" t="s">
        <v>33852</v>
      </c>
      <c r="K6703" t="s">
        <v>38495</v>
      </c>
      <c r="M6703" t="s">
        <v>41159</v>
      </c>
      <c r="N6703" t="s">
        <v>42669</v>
      </c>
      <c r="O6703" t="s">
        <v>42670</v>
      </c>
      <c r="P6703">
        <v>0</v>
      </c>
      <c r="Q6703">
        <v>1</v>
      </c>
      <c r="R6703" t="s">
        <v>42677</v>
      </c>
      <c r="S6703" t="s">
        <v>42830</v>
      </c>
      <c r="T6703" t="s">
        <v>44401</v>
      </c>
      <c r="U6703" t="s">
        <v>50337</v>
      </c>
      <c r="W6703" t="s">
        <v>58075</v>
      </c>
      <c r="X6703" t="s">
        <v>42678</v>
      </c>
    </row>
    <row r="6704" spans="1:24">
      <c r="A6704">
        <f>HYPERLINK("https://www.philgeps.gov.ph/GEPSNONPILOT/Tender/SplashBidNoticeAbstractUI.aspx?menuIndex=3&amp;refID=7186354&amp;Result=3","7186354")</f>
        <v>0</v>
      </c>
      <c r="B6704" t="s">
        <v>186</v>
      </c>
      <c r="C6704" t="s">
        <v>9937</v>
      </c>
      <c r="D6704" t="s">
        <v>17198</v>
      </c>
      <c r="E6704" t="s">
        <v>23044</v>
      </c>
      <c r="F6704" t="s">
        <v>29372</v>
      </c>
      <c r="G6704" t="s">
        <v>29380</v>
      </c>
      <c r="H6704" t="s">
        <v>29389</v>
      </c>
      <c r="I6704" t="s">
        <v>10408</v>
      </c>
      <c r="J6704" t="s">
        <v>33853</v>
      </c>
      <c r="K6704" t="s">
        <v>38489</v>
      </c>
      <c r="M6704" t="s">
        <v>38943</v>
      </c>
      <c r="N6704" t="s">
        <v>42669</v>
      </c>
      <c r="O6704" t="s">
        <v>42670</v>
      </c>
      <c r="P6704">
        <v>0</v>
      </c>
      <c r="Q6704">
        <v>0</v>
      </c>
      <c r="R6704" t="s">
        <v>42677</v>
      </c>
      <c r="S6704" t="s">
        <v>42830</v>
      </c>
      <c r="T6704" t="s">
        <v>44517</v>
      </c>
      <c r="U6704" t="s">
        <v>50338</v>
      </c>
      <c r="W6704" t="s">
        <v>38943</v>
      </c>
      <c r="X6704" t="s">
        <v>42678</v>
      </c>
    </row>
    <row r="6705" spans="1:24">
      <c r="A6705">
        <f>HYPERLINK("https://www.philgeps.gov.ph/GEPSNONPILOT/Tender/SplashBidNoticeAbstractUI.aspx?menuIndex=3&amp;refID=7186363&amp;Result=3","7186363")</f>
        <v>0</v>
      </c>
      <c r="B6705" t="s">
        <v>2242</v>
      </c>
      <c r="C6705" t="s">
        <v>9938</v>
      </c>
      <c r="D6705" t="s">
        <v>17141</v>
      </c>
      <c r="E6705" t="s">
        <v>23045</v>
      </c>
      <c r="F6705" t="s">
        <v>29372</v>
      </c>
      <c r="G6705" t="s">
        <v>29379</v>
      </c>
      <c r="H6705" t="s">
        <v>11048</v>
      </c>
      <c r="I6705" t="s">
        <v>29411</v>
      </c>
      <c r="J6705" t="s">
        <v>29532</v>
      </c>
      <c r="K6705" t="s">
        <v>38488</v>
      </c>
      <c r="M6705" t="s">
        <v>41160</v>
      </c>
      <c r="N6705" t="s">
        <v>42669</v>
      </c>
      <c r="O6705" t="s">
        <v>42670</v>
      </c>
      <c r="P6705">
        <v>0</v>
      </c>
      <c r="Q6705">
        <v>14</v>
      </c>
      <c r="R6705" t="s">
        <v>42677</v>
      </c>
      <c r="S6705" t="s">
        <v>42830</v>
      </c>
      <c r="T6705" t="s">
        <v>44585</v>
      </c>
      <c r="U6705" t="s">
        <v>50339</v>
      </c>
      <c r="W6705" t="s">
        <v>41160</v>
      </c>
      <c r="X6705" t="s">
        <v>42678</v>
      </c>
    </row>
    <row r="6706" spans="1:24">
      <c r="A6706">
        <f>HYPERLINK("https://www.philgeps.gov.ph/GEPSNONPILOT/Tender/SplashBidNoticeAbstractUI.aspx?menuIndex=3&amp;refID=7186370&amp;Result=3","7186370")</f>
        <v>0</v>
      </c>
      <c r="B6706" t="s">
        <v>2243</v>
      </c>
      <c r="C6706" t="s">
        <v>9939</v>
      </c>
      <c r="D6706" t="s">
        <v>17189</v>
      </c>
      <c r="E6706" t="s">
        <v>23046</v>
      </c>
      <c r="F6706" t="s">
        <v>29372</v>
      </c>
      <c r="G6706" t="s">
        <v>29379</v>
      </c>
      <c r="H6706" t="s">
        <v>11048</v>
      </c>
      <c r="I6706" t="s">
        <v>29395</v>
      </c>
      <c r="J6706" t="s">
        <v>33854</v>
      </c>
      <c r="K6706" t="s">
        <v>38485</v>
      </c>
      <c r="M6706" t="s">
        <v>41161</v>
      </c>
      <c r="N6706" t="s">
        <v>42669</v>
      </c>
      <c r="O6706" t="s">
        <v>42670</v>
      </c>
      <c r="P6706">
        <v>0</v>
      </c>
      <c r="Q6706">
        <v>3</v>
      </c>
      <c r="R6706" t="s">
        <v>42677</v>
      </c>
      <c r="S6706" t="s">
        <v>42830</v>
      </c>
      <c r="T6706" t="s">
        <v>44488</v>
      </c>
      <c r="U6706" t="s">
        <v>50340</v>
      </c>
      <c r="W6706" t="s">
        <v>41161</v>
      </c>
      <c r="X6706" t="s">
        <v>42678</v>
      </c>
    </row>
    <row r="6707" spans="1:24">
      <c r="A6707">
        <f>HYPERLINK("https://www.philgeps.gov.ph/GEPSNONPILOT/Tender/SplashBidNoticeAbstractUI.aspx?menuIndex=3&amp;refID=7186353&amp;Result=3","7186353")</f>
        <v>0</v>
      </c>
      <c r="B6707" t="s">
        <v>414</v>
      </c>
      <c r="C6707" t="s">
        <v>9940</v>
      </c>
      <c r="D6707" t="s">
        <v>17172</v>
      </c>
      <c r="E6707" t="s">
        <v>23047</v>
      </c>
      <c r="F6707" t="s">
        <v>29373</v>
      </c>
      <c r="G6707" t="s">
        <v>29380</v>
      </c>
      <c r="H6707" t="s">
        <v>29389</v>
      </c>
      <c r="I6707" t="s">
        <v>10408</v>
      </c>
      <c r="J6707" t="s">
        <v>33855</v>
      </c>
      <c r="K6707" t="s">
        <v>38526</v>
      </c>
      <c r="M6707" t="s">
        <v>39178</v>
      </c>
      <c r="N6707" t="s">
        <v>42669</v>
      </c>
      <c r="O6707" t="s">
        <v>42670</v>
      </c>
      <c r="P6707">
        <v>0</v>
      </c>
      <c r="Q6707">
        <v>3</v>
      </c>
      <c r="R6707" t="s">
        <v>42677</v>
      </c>
      <c r="S6707" t="s">
        <v>42830</v>
      </c>
      <c r="T6707" t="s">
        <v>44446</v>
      </c>
      <c r="U6707" t="s">
        <v>45780</v>
      </c>
      <c r="V6707" t="s">
        <v>56457</v>
      </c>
      <c r="W6707" t="s">
        <v>39178</v>
      </c>
      <c r="X6707" t="s">
        <v>42678</v>
      </c>
    </row>
    <row r="6708" spans="1:24">
      <c r="A6708">
        <f>HYPERLINK("https://www.philgeps.gov.ph/GEPSNONPILOT/Tender/SplashBidNoticeAbstractUI.aspx?menuIndex=3&amp;refID=7186345&amp;Result=3","7186345")</f>
        <v>0</v>
      </c>
      <c r="B6708" t="s">
        <v>918</v>
      </c>
      <c r="C6708" t="s">
        <v>9941</v>
      </c>
      <c r="D6708" t="s">
        <v>17157</v>
      </c>
      <c r="E6708" t="s">
        <v>23048</v>
      </c>
      <c r="F6708" t="s">
        <v>29372</v>
      </c>
      <c r="G6708" t="s">
        <v>29379</v>
      </c>
      <c r="H6708" t="s">
        <v>11048</v>
      </c>
      <c r="I6708" t="s">
        <v>29403</v>
      </c>
      <c r="J6708" t="s">
        <v>33856</v>
      </c>
      <c r="K6708" t="s">
        <v>38491</v>
      </c>
      <c r="M6708" t="s">
        <v>39713</v>
      </c>
      <c r="N6708" t="s">
        <v>42669</v>
      </c>
      <c r="O6708" t="s">
        <v>42670</v>
      </c>
      <c r="P6708">
        <v>0</v>
      </c>
      <c r="Q6708">
        <v>2</v>
      </c>
      <c r="R6708" t="s">
        <v>42677</v>
      </c>
      <c r="S6708" t="s">
        <v>42830</v>
      </c>
      <c r="T6708" t="s">
        <v>44580</v>
      </c>
      <c r="U6708" t="s">
        <v>50341</v>
      </c>
      <c r="W6708" t="s">
        <v>39713</v>
      </c>
      <c r="X6708" t="s">
        <v>42678</v>
      </c>
    </row>
    <row r="6709" spans="1:24">
      <c r="A6709">
        <f>HYPERLINK("https://www.philgeps.gov.ph/GEPSNONPILOT/Tender/SplashBidNoticeAbstractUI.aspx?menuIndex=3&amp;refID=7186350&amp;Result=3","7186350")</f>
        <v>0</v>
      </c>
      <c r="B6709" t="s">
        <v>679</v>
      </c>
      <c r="C6709" t="s">
        <v>9942</v>
      </c>
      <c r="D6709" t="s">
        <v>17175</v>
      </c>
      <c r="E6709" t="s">
        <v>23049</v>
      </c>
      <c r="F6709" t="s">
        <v>29372</v>
      </c>
      <c r="G6709" t="s">
        <v>29380</v>
      </c>
      <c r="H6709" t="s">
        <v>11048</v>
      </c>
      <c r="I6709" t="s">
        <v>29432</v>
      </c>
      <c r="J6709" t="s">
        <v>33857</v>
      </c>
      <c r="K6709" t="s">
        <v>38510</v>
      </c>
      <c r="M6709" t="s">
        <v>39455</v>
      </c>
      <c r="N6709" t="s">
        <v>42669</v>
      </c>
      <c r="O6709" t="s">
        <v>42670</v>
      </c>
      <c r="P6709">
        <v>0</v>
      </c>
      <c r="Q6709">
        <v>0</v>
      </c>
      <c r="R6709" t="s">
        <v>42677</v>
      </c>
      <c r="S6709" t="s">
        <v>42830</v>
      </c>
      <c r="T6709" t="s">
        <v>44361</v>
      </c>
      <c r="U6709" t="s">
        <v>50342</v>
      </c>
      <c r="W6709" t="s">
        <v>39455</v>
      </c>
      <c r="X6709" t="s">
        <v>42678</v>
      </c>
    </row>
    <row r="6710" spans="1:24">
      <c r="A6710">
        <f>HYPERLINK("https://www.philgeps.gov.ph/GEPSNONPILOT/Tender/SplashBidNoticeAbstractUI.aspx?menuIndex=3&amp;refID=7186342&amp;Result=3","7186342")</f>
        <v>0</v>
      </c>
      <c r="B6710" t="s">
        <v>1592</v>
      </c>
      <c r="C6710" t="s">
        <v>9943</v>
      </c>
      <c r="D6710" t="s">
        <v>17153</v>
      </c>
      <c r="E6710" t="s">
        <v>23050</v>
      </c>
      <c r="F6710" t="s">
        <v>29372</v>
      </c>
      <c r="G6710" t="s">
        <v>29381</v>
      </c>
      <c r="H6710" t="s">
        <v>11048</v>
      </c>
      <c r="I6710" t="s">
        <v>3839</v>
      </c>
      <c r="J6710" t="s">
        <v>33858</v>
      </c>
      <c r="K6710" t="s">
        <v>38487</v>
      </c>
      <c r="M6710" t="s">
        <v>40444</v>
      </c>
      <c r="N6710" t="s">
        <v>42669</v>
      </c>
      <c r="O6710" t="s">
        <v>42670</v>
      </c>
      <c r="P6710">
        <v>0</v>
      </c>
      <c r="Q6710">
        <v>6</v>
      </c>
      <c r="R6710" t="s">
        <v>42677</v>
      </c>
      <c r="S6710" t="s">
        <v>42830</v>
      </c>
      <c r="T6710" t="s">
        <v>44474</v>
      </c>
      <c r="U6710" t="s">
        <v>50343</v>
      </c>
      <c r="W6710" t="s">
        <v>40444</v>
      </c>
      <c r="X6710" t="s">
        <v>42678</v>
      </c>
    </row>
    <row r="6711" spans="1:24">
      <c r="A6711">
        <f>HYPERLINK("https://www.philgeps.gov.ph/GEPSNONPILOT/Tender/SplashBidNoticeAbstractUI.aspx?menuIndex=3&amp;refID=7186337&amp;Result=3","7186337")</f>
        <v>0</v>
      </c>
      <c r="B6711" t="s">
        <v>684</v>
      </c>
      <c r="C6711" t="s">
        <v>9944</v>
      </c>
      <c r="D6711" t="s">
        <v>17197</v>
      </c>
      <c r="E6711" t="s">
        <v>23051</v>
      </c>
      <c r="F6711" t="s">
        <v>29372</v>
      </c>
      <c r="G6711" t="s">
        <v>29379</v>
      </c>
      <c r="H6711" t="s">
        <v>11048</v>
      </c>
      <c r="I6711" t="s">
        <v>3670</v>
      </c>
      <c r="J6711" t="s">
        <v>33859</v>
      </c>
      <c r="K6711" t="s">
        <v>38488</v>
      </c>
      <c r="M6711" t="s">
        <v>39460</v>
      </c>
      <c r="N6711" t="s">
        <v>42669</v>
      </c>
      <c r="O6711" t="s">
        <v>42670</v>
      </c>
      <c r="P6711">
        <v>0</v>
      </c>
      <c r="Q6711">
        <v>2</v>
      </c>
      <c r="R6711" t="s">
        <v>42677</v>
      </c>
      <c r="S6711" t="s">
        <v>42830</v>
      </c>
      <c r="T6711" t="s">
        <v>44493</v>
      </c>
      <c r="U6711" t="s">
        <v>50344</v>
      </c>
      <c r="W6711" t="s">
        <v>39460</v>
      </c>
      <c r="X6711" t="s">
        <v>42678</v>
      </c>
    </row>
    <row r="6712" spans="1:24">
      <c r="A6712">
        <f>HYPERLINK("https://www.philgeps.gov.ph/GEPSNONPILOT/Tender/SplashBidNoticeAbstractUI.aspx?menuIndex=3&amp;refID=7186293&amp;Result=3","7186293")</f>
        <v>0</v>
      </c>
      <c r="B6712" t="s">
        <v>70</v>
      </c>
      <c r="C6712" t="s">
        <v>9945</v>
      </c>
      <c r="D6712" t="s">
        <v>17143</v>
      </c>
      <c r="E6712" t="s">
        <v>23052</v>
      </c>
      <c r="F6712" t="s">
        <v>29372</v>
      </c>
      <c r="G6712" t="s">
        <v>29380</v>
      </c>
      <c r="H6712" t="s">
        <v>11048</v>
      </c>
      <c r="I6712" t="s">
        <v>10408</v>
      </c>
      <c r="J6712" t="s">
        <v>33860</v>
      </c>
      <c r="K6712" t="s">
        <v>38495</v>
      </c>
      <c r="M6712" t="s">
        <v>38824</v>
      </c>
      <c r="N6712" t="s">
        <v>42669</v>
      </c>
      <c r="O6712" t="s">
        <v>42670</v>
      </c>
      <c r="Q6712">
        <v>1</v>
      </c>
      <c r="R6712" t="s">
        <v>42677</v>
      </c>
      <c r="S6712" t="s">
        <v>42860</v>
      </c>
      <c r="T6712" t="s">
        <v>44371</v>
      </c>
      <c r="U6712" t="s">
        <v>50345</v>
      </c>
      <c r="V6712" t="s">
        <v>57100</v>
      </c>
      <c r="W6712" t="s">
        <v>38824</v>
      </c>
      <c r="X6712" t="s">
        <v>42678</v>
      </c>
    </row>
    <row r="6713" spans="1:24">
      <c r="A6713">
        <f>HYPERLINK("https://www.philgeps.gov.ph/GEPSNONPILOT/Tender/SplashBidNoticeAbstractUI.aspx?menuIndex=3&amp;refID=7186333&amp;Result=3","7186333")</f>
        <v>0</v>
      </c>
      <c r="B6713" t="s">
        <v>2243</v>
      </c>
      <c r="C6713" t="s">
        <v>9946</v>
      </c>
      <c r="D6713" t="s">
        <v>17189</v>
      </c>
      <c r="E6713" t="s">
        <v>23053</v>
      </c>
      <c r="F6713" t="s">
        <v>29372</v>
      </c>
      <c r="G6713" t="s">
        <v>29379</v>
      </c>
      <c r="H6713" t="s">
        <v>11048</v>
      </c>
      <c r="I6713" t="s">
        <v>5383</v>
      </c>
      <c r="J6713" t="s">
        <v>31306</v>
      </c>
      <c r="K6713" t="s">
        <v>38485</v>
      </c>
      <c r="M6713" t="s">
        <v>41161</v>
      </c>
      <c r="N6713" t="s">
        <v>42669</v>
      </c>
      <c r="O6713" t="s">
        <v>42670</v>
      </c>
      <c r="P6713">
        <v>0</v>
      </c>
      <c r="Q6713">
        <v>2</v>
      </c>
      <c r="R6713" t="s">
        <v>42677</v>
      </c>
      <c r="S6713" t="s">
        <v>42830</v>
      </c>
      <c r="T6713" t="s">
        <v>44488</v>
      </c>
      <c r="U6713" t="s">
        <v>50340</v>
      </c>
      <c r="W6713" t="s">
        <v>41161</v>
      </c>
      <c r="X6713" t="s">
        <v>42678</v>
      </c>
    </row>
    <row r="6714" spans="1:24">
      <c r="A6714">
        <f>HYPERLINK("https://www.philgeps.gov.ph/GEPSNONPILOT/Tender/SplashBidNoticeAbstractUI.aspx?menuIndex=3&amp;refID=7186344&amp;Result=3","7186344")</f>
        <v>0</v>
      </c>
      <c r="B6714" t="s">
        <v>2244</v>
      </c>
      <c r="C6714" t="s">
        <v>9947</v>
      </c>
      <c r="D6714" t="s">
        <v>17161</v>
      </c>
      <c r="E6714" t="s">
        <v>23054</v>
      </c>
      <c r="F6714" t="s">
        <v>29372</v>
      </c>
      <c r="G6714" t="s">
        <v>29380</v>
      </c>
      <c r="H6714" t="s">
        <v>11048</v>
      </c>
      <c r="I6714" t="s">
        <v>3952</v>
      </c>
      <c r="J6714" t="s">
        <v>29937</v>
      </c>
      <c r="K6714" t="s">
        <v>38485</v>
      </c>
      <c r="M6714" t="s">
        <v>41162</v>
      </c>
      <c r="N6714" t="s">
        <v>42669</v>
      </c>
      <c r="O6714" t="s">
        <v>42670</v>
      </c>
      <c r="P6714">
        <v>0</v>
      </c>
      <c r="Q6714">
        <v>3</v>
      </c>
      <c r="R6714" t="s">
        <v>42677</v>
      </c>
      <c r="S6714" t="s">
        <v>42830</v>
      </c>
      <c r="T6714" t="s">
        <v>44474</v>
      </c>
      <c r="U6714" t="s">
        <v>50346</v>
      </c>
      <c r="W6714" t="s">
        <v>41162</v>
      </c>
      <c r="X6714" t="s">
        <v>42678</v>
      </c>
    </row>
    <row r="6715" spans="1:24">
      <c r="A6715">
        <f>HYPERLINK("https://www.philgeps.gov.ph/GEPSNONPILOT/Tender/SplashBidNoticeAbstractUI.aspx?menuIndex=3&amp;refID=7186352&amp;Result=3","7186352")</f>
        <v>0</v>
      </c>
      <c r="B6715" t="s">
        <v>433</v>
      </c>
      <c r="C6715" t="s">
        <v>9948</v>
      </c>
      <c r="D6715" t="s">
        <v>17188</v>
      </c>
      <c r="E6715" t="s">
        <v>23055</v>
      </c>
      <c r="F6715" t="s">
        <v>29372</v>
      </c>
      <c r="G6715" t="s">
        <v>29382</v>
      </c>
      <c r="H6715" t="s">
        <v>11048</v>
      </c>
      <c r="I6715" t="s">
        <v>5383</v>
      </c>
      <c r="J6715" t="s">
        <v>33861</v>
      </c>
      <c r="K6715" t="s">
        <v>38518</v>
      </c>
      <c r="M6715" t="s">
        <v>39197</v>
      </c>
      <c r="N6715" t="s">
        <v>42669</v>
      </c>
      <c r="O6715" t="s">
        <v>42670</v>
      </c>
      <c r="P6715">
        <v>0</v>
      </c>
      <c r="Q6715">
        <v>5</v>
      </c>
      <c r="R6715" t="s">
        <v>42677</v>
      </c>
      <c r="S6715" t="s">
        <v>42830</v>
      </c>
      <c r="T6715" t="s">
        <v>44441</v>
      </c>
      <c r="U6715" t="s">
        <v>50347</v>
      </c>
      <c r="W6715" t="s">
        <v>39197</v>
      </c>
      <c r="X6715" t="s">
        <v>42678</v>
      </c>
    </row>
    <row r="6716" spans="1:24">
      <c r="A6716">
        <f>HYPERLINK("https://www.philgeps.gov.ph/GEPSNONPILOT/Tender/SplashBidNoticeAbstractUI.aspx?menuIndex=3&amp;refID=7186416&amp;Result=3","7186416")</f>
        <v>0</v>
      </c>
      <c r="B6716" t="s">
        <v>2237</v>
      </c>
      <c r="C6716" t="s">
        <v>9949</v>
      </c>
      <c r="D6716" t="s">
        <v>17166</v>
      </c>
      <c r="E6716" t="s">
        <v>20981</v>
      </c>
      <c r="F6716" t="s">
        <v>29372</v>
      </c>
      <c r="G6716" t="s">
        <v>29380</v>
      </c>
      <c r="H6716" t="s">
        <v>29389</v>
      </c>
      <c r="I6716" t="s">
        <v>10408</v>
      </c>
      <c r="J6716" t="s">
        <v>33862</v>
      </c>
      <c r="K6716" t="s">
        <v>38522</v>
      </c>
      <c r="M6716" t="s">
        <v>41155</v>
      </c>
      <c r="N6716" t="s">
        <v>42669</v>
      </c>
      <c r="O6716" t="s">
        <v>42670</v>
      </c>
      <c r="P6716">
        <v>0</v>
      </c>
      <c r="Q6716">
        <v>2</v>
      </c>
      <c r="R6716" t="s">
        <v>42677</v>
      </c>
      <c r="S6716" t="s">
        <v>42830</v>
      </c>
      <c r="T6716" t="s">
        <v>44430</v>
      </c>
      <c r="U6716" t="s">
        <v>50348</v>
      </c>
      <c r="W6716" t="s">
        <v>41155</v>
      </c>
      <c r="X6716" t="s">
        <v>42678</v>
      </c>
    </row>
    <row r="6717" spans="1:24">
      <c r="A6717">
        <f>HYPERLINK("https://www.philgeps.gov.ph/GEPSNONPILOT/Tender/SplashBidNoticeAbstractUI.aspx?menuIndex=3&amp;refID=7186348&amp;Result=3","7186348")</f>
        <v>0</v>
      </c>
      <c r="B6717" t="s">
        <v>2245</v>
      </c>
      <c r="C6717" t="s">
        <v>9950</v>
      </c>
      <c r="D6717" t="s">
        <v>17199</v>
      </c>
      <c r="E6717" t="s">
        <v>20721</v>
      </c>
      <c r="F6717" t="s">
        <v>29372</v>
      </c>
      <c r="G6717" t="s">
        <v>29386</v>
      </c>
      <c r="H6717" t="s">
        <v>29391</v>
      </c>
      <c r="I6717" t="s">
        <v>29396</v>
      </c>
      <c r="J6717" t="s">
        <v>33863</v>
      </c>
      <c r="K6717" t="s">
        <v>38495</v>
      </c>
      <c r="M6717" t="s">
        <v>41163</v>
      </c>
      <c r="N6717" t="s">
        <v>42669</v>
      </c>
      <c r="O6717" t="s">
        <v>42670</v>
      </c>
      <c r="P6717">
        <v>0</v>
      </c>
      <c r="Q6717">
        <v>1</v>
      </c>
      <c r="R6717" t="s">
        <v>42677</v>
      </c>
      <c r="S6717" t="s">
        <v>42830</v>
      </c>
      <c r="T6717" t="s">
        <v>44429</v>
      </c>
      <c r="U6717" t="s">
        <v>50349</v>
      </c>
      <c r="W6717" t="s">
        <v>41163</v>
      </c>
      <c r="X6717" t="s">
        <v>42678</v>
      </c>
    </row>
    <row r="6718" spans="1:24">
      <c r="A6718">
        <f>HYPERLINK("https://www.philgeps.gov.ph/GEPSNONPILOT/Tender/SplashBidNoticeAbstractUI.aspx?menuIndex=3&amp;refID=7186413&amp;Result=3","7186413")</f>
        <v>0</v>
      </c>
      <c r="B6718" t="s">
        <v>589</v>
      </c>
      <c r="C6718" t="s">
        <v>9951</v>
      </c>
      <c r="D6718" t="s">
        <v>17168</v>
      </c>
      <c r="E6718" t="s">
        <v>23056</v>
      </c>
      <c r="F6718" t="s">
        <v>29372</v>
      </c>
      <c r="G6718" t="s">
        <v>29380</v>
      </c>
      <c r="H6718" t="s">
        <v>11048</v>
      </c>
      <c r="I6718" t="s">
        <v>29433</v>
      </c>
      <c r="J6718" t="s">
        <v>33864</v>
      </c>
      <c r="K6718" t="s">
        <v>38538</v>
      </c>
      <c r="M6718" t="s">
        <v>39358</v>
      </c>
      <c r="N6718" t="s">
        <v>42669</v>
      </c>
      <c r="O6718" t="s">
        <v>42670</v>
      </c>
      <c r="P6718">
        <v>0</v>
      </c>
      <c r="Q6718">
        <v>5</v>
      </c>
      <c r="R6718" t="s">
        <v>42677</v>
      </c>
      <c r="S6718" t="s">
        <v>42830</v>
      </c>
      <c r="T6718" t="s">
        <v>44427</v>
      </c>
      <c r="U6718" t="s">
        <v>50350</v>
      </c>
      <c r="V6718" t="s">
        <v>56701</v>
      </c>
      <c r="W6718" t="s">
        <v>39358</v>
      </c>
      <c r="X6718" t="s">
        <v>42678</v>
      </c>
    </row>
    <row r="6719" spans="1:24">
      <c r="A6719">
        <f>HYPERLINK("https://www.philgeps.gov.ph/GEPSNONPILOT/Tender/SplashBidNoticeAbstractUI.aspx?menuIndex=3&amp;refID=7186412&amp;Result=3","7186412")</f>
        <v>0</v>
      </c>
      <c r="B6719" t="s">
        <v>1021</v>
      </c>
      <c r="C6719" t="s">
        <v>9952</v>
      </c>
      <c r="D6719" t="s">
        <v>17205</v>
      </c>
      <c r="E6719" t="s">
        <v>23057</v>
      </c>
      <c r="F6719" t="s">
        <v>29372</v>
      </c>
      <c r="G6719" t="s">
        <v>29380</v>
      </c>
      <c r="H6719" t="s">
        <v>29389</v>
      </c>
      <c r="I6719" t="s">
        <v>10408</v>
      </c>
      <c r="J6719" t="s">
        <v>29555</v>
      </c>
      <c r="K6719" t="s">
        <v>38485</v>
      </c>
      <c r="M6719" t="s">
        <v>39821</v>
      </c>
      <c r="N6719" t="s">
        <v>42669</v>
      </c>
      <c r="O6719" t="s">
        <v>42670</v>
      </c>
      <c r="P6719">
        <v>0</v>
      </c>
      <c r="Q6719">
        <v>0</v>
      </c>
      <c r="R6719" t="s">
        <v>42677</v>
      </c>
      <c r="S6719" t="s">
        <v>42830</v>
      </c>
      <c r="T6719" t="s">
        <v>44456</v>
      </c>
      <c r="U6719" t="s">
        <v>50351</v>
      </c>
      <c r="W6719" t="s">
        <v>39821</v>
      </c>
      <c r="X6719" t="s">
        <v>42678</v>
      </c>
    </row>
    <row r="6720" spans="1:24">
      <c r="A6720">
        <f>HYPERLINK("https://www.philgeps.gov.ph/GEPSNONPILOT/Tender/SplashBidNoticeAbstractUI.aspx?menuIndex=3&amp;refID=7186364&amp;Result=3","7186364")</f>
        <v>0</v>
      </c>
      <c r="B6720" t="s">
        <v>959</v>
      </c>
      <c r="C6720" t="s">
        <v>9953</v>
      </c>
      <c r="D6720" t="s">
        <v>17145</v>
      </c>
      <c r="E6720" t="s">
        <v>23058</v>
      </c>
      <c r="F6720" t="s">
        <v>29372</v>
      </c>
      <c r="G6720" t="s">
        <v>29380</v>
      </c>
      <c r="H6720" t="s">
        <v>29389</v>
      </c>
      <c r="I6720" t="s">
        <v>10408</v>
      </c>
      <c r="J6720" t="s">
        <v>33865</v>
      </c>
      <c r="K6720" t="s">
        <v>38673</v>
      </c>
      <c r="M6720" t="s">
        <v>39755</v>
      </c>
      <c r="N6720" t="s">
        <v>42669</v>
      </c>
      <c r="O6720" t="s">
        <v>42670</v>
      </c>
      <c r="P6720">
        <v>0</v>
      </c>
      <c r="Q6720">
        <v>1</v>
      </c>
      <c r="R6720" t="s">
        <v>42677</v>
      </c>
      <c r="S6720" t="s">
        <v>42830</v>
      </c>
      <c r="T6720" t="s">
        <v>44504</v>
      </c>
      <c r="U6720" t="s">
        <v>50352</v>
      </c>
      <c r="W6720" t="s">
        <v>39755</v>
      </c>
      <c r="X6720" t="s">
        <v>42678</v>
      </c>
    </row>
    <row r="6721" spans="1:24">
      <c r="A6721">
        <f>HYPERLINK("https://www.philgeps.gov.ph/GEPSNONPILOT/Tender/SplashBidNoticeAbstractUI.aspx?menuIndex=3&amp;refID=7186409&amp;Result=3","7186409")</f>
        <v>0</v>
      </c>
      <c r="B6721" t="s">
        <v>1276</v>
      </c>
      <c r="C6721" t="s">
        <v>9954</v>
      </c>
      <c r="D6721" t="s">
        <v>17168</v>
      </c>
      <c r="E6721" t="s">
        <v>23059</v>
      </c>
      <c r="F6721" t="s">
        <v>29372</v>
      </c>
      <c r="G6721" t="s">
        <v>29380</v>
      </c>
      <c r="H6721" t="s">
        <v>11048</v>
      </c>
      <c r="I6721" t="s">
        <v>29406</v>
      </c>
      <c r="J6721" t="s">
        <v>33213</v>
      </c>
      <c r="K6721" t="s">
        <v>38518</v>
      </c>
      <c r="M6721" t="s">
        <v>40103</v>
      </c>
      <c r="N6721" t="s">
        <v>42669</v>
      </c>
      <c r="O6721" t="s">
        <v>42670</v>
      </c>
      <c r="P6721">
        <v>0</v>
      </c>
      <c r="Q6721">
        <v>1</v>
      </c>
      <c r="R6721" t="s">
        <v>42677</v>
      </c>
      <c r="S6721" t="s">
        <v>42830</v>
      </c>
      <c r="T6721" t="s">
        <v>44425</v>
      </c>
      <c r="U6721" t="s">
        <v>50353</v>
      </c>
      <c r="W6721" t="s">
        <v>40103</v>
      </c>
      <c r="X6721" t="s">
        <v>42678</v>
      </c>
    </row>
    <row r="6722" spans="1:24">
      <c r="A6722">
        <f>HYPERLINK("https://www.philgeps.gov.ph/GEPSNONPILOT/Tender/SplashBidNoticeAbstractUI.aspx?menuIndex=3&amp;refID=7186407&amp;Result=3","7186407")</f>
        <v>0</v>
      </c>
      <c r="B6722" t="s">
        <v>2246</v>
      </c>
      <c r="C6722" t="s">
        <v>9955</v>
      </c>
      <c r="D6722" t="s">
        <v>17166</v>
      </c>
      <c r="E6722" t="s">
        <v>23060</v>
      </c>
      <c r="F6722" t="s">
        <v>29372</v>
      </c>
      <c r="G6722" t="s">
        <v>29383</v>
      </c>
      <c r="H6722" t="s">
        <v>11048</v>
      </c>
      <c r="I6722" t="s">
        <v>4486</v>
      </c>
      <c r="J6722" t="s">
        <v>30174</v>
      </c>
      <c r="K6722" t="s">
        <v>38510</v>
      </c>
      <c r="M6722" t="s">
        <v>41164</v>
      </c>
      <c r="N6722" t="s">
        <v>42669</v>
      </c>
      <c r="O6722" t="s">
        <v>42670</v>
      </c>
      <c r="P6722">
        <v>0</v>
      </c>
      <c r="Q6722">
        <v>1</v>
      </c>
      <c r="R6722" t="s">
        <v>42677</v>
      </c>
      <c r="S6722" t="s">
        <v>42830</v>
      </c>
      <c r="T6722" t="s">
        <v>44430</v>
      </c>
      <c r="U6722" t="s">
        <v>50354</v>
      </c>
      <c r="W6722" t="s">
        <v>58076</v>
      </c>
      <c r="X6722" t="s">
        <v>42678</v>
      </c>
    </row>
    <row r="6723" spans="1:24">
      <c r="A6723">
        <f>HYPERLINK("https://www.philgeps.gov.ph/GEPSNONPILOT/Tender/SplashBidNoticeAbstractUI.aspx?menuIndex=3&amp;refID=7186403&amp;Result=3","7186403")</f>
        <v>0</v>
      </c>
      <c r="B6723" t="s">
        <v>2247</v>
      </c>
      <c r="C6723" t="s">
        <v>9956</v>
      </c>
      <c r="D6723" t="s">
        <v>17210</v>
      </c>
      <c r="E6723" t="s">
        <v>23061</v>
      </c>
      <c r="F6723" t="s">
        <v>29372</v>
      </c>
      <c r="G6723" t="s">
        <v>29379</v>
      </c>
      <c r="H6723" t="s">
        <v>11048</v>
      </c>
      <c r="I6723" t="s">
        <v>4487</v>
      </c>
      <c r="J6723" t="s">
        <v>33866</v>
      </c>
      <c r="K6723" t="s">
        <v>38490</v>
      </c>
      <c r="M6723" t="s">
        <v>41165</v>
      </c>
      <c r="N6723" t="s">
        <v>42669</v>
      </c>
      <c r="O6723" t="s">
        <v>42670</v>
      </c>
      <c r="P6723">
        <v>0</v>
      </c>
      <c r="Q6723">
        <v>2</v>
      </c>
      <c r="R6723" t="s">
        <v>42677</v>
      </c>
      <c r="S6723" t="s">
        <v>42830</v>
      </c>
      <c r="T6723" t="s">
        <v>44488</v>
      </c>
      <c r="U6723" t="s">
        <v>50355</v>
      </c>
      <c r="V6723" t="s">
        <v>57101</v>
      </c>
      <c r="W6723" t="s">
        <v>41165</v>
      </c>
      <c r="X6723" t="s">
        <v>42678</v>
      </c>
    </row>
    <row r="6724" spans="1:24">
      <c r="A6724">
        <f>HYPERLINK("https://www.philgeps.gov.ph/GEPSNONPILOT/Tender/SplashBidNoticeAbstractUI.aspx?menuIndex=3&amp;refID=7186402&amp;Result=3","7186402")</f>
        <v>0</v>
      </c>
      <c r="B6724" t="s">
        <v>80</v>
      </c>
      <c r="C6724" t="s">
        <v>9957</v>
      </c>
      <c r="D6724" t="s">
        <v>17142</v>
      </c>
      <c r="E6724" t="s">
        <v>21133</v>
      </c>
      <c r="F6724" t="s">
        <v>29372</v>
      </c>
      <c r="G6724" t="s">
        <v>29379</v>
      </c>
      <c r="H6724" t="s">
        <v>11048</v>
      </c>
      <c r="I6724" t="s">
        <v>3670</v>
      </c>
      <c r="J6724" t="s">
        <v>33867</v>
      </c>
      <c r="K6724" t="s">
        <v>38489</v>
      </c>
      <c r="M6724" t="s">
        <v>38834</v>
      </c>
      <c r="N6724" t="s">
        <v>42669</v>
      </c>
      <c r="O6724" t="s">
        <v>42670</v>
      </c>
      <c r="P6724">
        <v>0</v>
      </c>
      <c r="Q6724">
        <v>1</v>
      </c>
      <c r="R6724" t="s">
        <v>42677</v>
      </c>
      <c r="S6724" t="s">
        <v>42830</v>
      </c>
      <c r="T6724" t="s">
        <v>44512</v>
      </c>
      <c r="U6724" t="s">
        <v>50356</v>
      </c>
      <c r="W6724" t="s">
        <v>38834</v>
      </c>
      <c r="X6724" t="s">
        <v>42678</v>
      </c>
    </row>
    <row r="6725" spans="1:24">
      <c r="A6725">
        <f>HYPERLINK("https://www.philgeps.gov.ph/GEPSNONPILOT/Tender/SplashBidNoticeAbstractUI.aspx?menuIndex=3&amp;refID=7186399&amp;Result=3","7186399")</f>
        <v>0</v>
      </c>
      <c r="B6725" t="s">
        <v>2248</v>
      </c>
      <c r="C6725" t="s">
        <v>9958</v>
      </c>
      <c r="D6725" t="s">
        <v>17154</v>
      </c>
      <c r="E6725" t="s">
        <v>23062</v>
      </c>
      <c r="F6725" t="s">
        <v>29372</v>
      </c>
      <c r="G6725" t="s">
        <v>29380</v>
      </c>
      <c r="H6725" t="s">
        <v>29391</v>
      </c>
      <c r="I6725" t="s">
        <v>29391</v>
      </c>
      <c r="J6725" t="s">
        <v>29728</v>
      </c>
      <c r="K6725" t="s">
        <v>38487</v>
      </c>
      <c r="M6725" t="s">
        <v>41166</v>
      </c>
      <c r="N6725" t="s">
        <v>42669</v>
      </c>
      <c r="O6725" t="s">
        <v>42670</v>
      </c>
      <c r="P6725">
        <v>0</v>
      </c>
      <c r="Q6725">
        <v>7</v>
      </c>
      <c r="R6725" t="s">
        <v>42677</v>
      </c>
      <c r="S6725" t="s">
        <v>42830</v>
      </c>
      <c r="T6725" t="s">
        <v>44409</v>
      </c>
      <c r="U6725" t="s">
        <v>50357</v>
      </c>
      <c r="W6725" t="s">
        <v>41166</v>
      </c>
      <c r="X6725" t="s">
        <v>42678</v>
      </c>
    </row>
    <row r="6726" spans="1:24">
      <c r="A6726">
        <f>HYPERLINK("https://www.philgeps.gov.ph/GEPSNONPILOT/Tender/SplashBidNoticeAbstractUI.aspx?menuIndex=3&amp;refID=7186397&amp;Result=3","7186397")</f>
        <v>0</v>
      </c>
      <c r="B6726" t="s">
        <v>2237</v>
      </c>
      <c r="C6726" t="s">
        <v>9959</v>
      </c>
      <c r="D6726" t="s">
        <v>17166</v>
      </c>
      <c r="E6726" t="s">
        <v>20986</v>
      </c>
      <c r="F6726" t="s">
        <v>29372</v>
      </c>
      <c r="G6726" t="s">
        <v>29380</v>
      </c>
      <c r="H6726" t="s">
        <v>29389</v>
      </c>
      <c r="I6726" t="s">
        <v>10408</v>
      </c>
      <c r="J6726" t="s">
        <v>33868</v>
      </c>
      <c r="K6726" t="s">
        <v>38522</v>
      </c>
      <c r="M6726" t="s">
        <v>41155</v>
      </c>
      <c r="N6726" t="s">
        <v>42669</v>
      </c>
      <c r="O6726" t="s">
        <v>42670</v>
      </c>
      <c r="P6726">
        <v>0</v>
      </c>
      <c r="Q6726">
        <v>3</v>
      </c>
      <c r="R6726" t="s">
        <v>42677</v>
      </c>
      <c r="S6726" t="s">
        <v>42830</v>
      </c>
      <c r="T6726" t="s">
        <v>44430</v>
      </c>
      <c r="U6726" t="s">
        <v>50358</v>
      </c>
      <c r="W6726" t="s">
        <v>41155</v>
      </c>
      <c r="X6726" t="s">
        <v>42678</v>
      </c>
    </row>
    <row r="6727" spans="1:24">
      <c r="A6727">
        <f>HYPERLINK("https://www.philgeps.gov.ph/GEPSNONPILOT/Tender/SplashBidNoticeAbstractUI.aspx?menuIndex=3&amp;refID=7186376&amp;Result=3","7186376")</f>
        <v>0</v>
      </c>
      <c r="B6727" t="s">
        <v>267</v>
      </c>
      <c r="C6727" t="s">
        <v>4147</v>
      </c>
      <c r="D6727" t="s">
        <v>17148</v>
      </c>
      <c r="E6727" t="s">
        <v>23063</v>
      </c>
      <c r="F6727" t="s">
        <v>29372</v>
      </c>
      <c r="G6727" t="s">
        <v>29379</v>
      </c>
      <c r="H6727" t="s">
        <v>11048</v>
      </c>
      <c r="I6727" t="s">
        <v>3839</v>
      </c>
      <c r="J6727" t="s">
        <v>33869</v>
      </c>
      <c r="K6727" t="s">
        <v>38491</v>
      </c>
      <c r="M6727" t="s">
        <v>39026</v>
      </c>
      <c r="N6727" t="s">
        <v>42669</v>
      </c>
      <c r="O6727" t="s">
        <v>42670</v>
      </c>
      <c r="P6727">
        <v>0</v>
      </c>
      <c r="Q6727">
        <v>3</v>
      </c>
      <c r="R6727" t="s">
        <v>42677</v>
      </c>
      <c r="S6727" t="s">
        <v>42830</v>
      </c>
      <c r="T6727" t="s">
        <v>44488</v>
      </c>
      <c r="U6727" t="s">
        <v>50359</v>
      </c>
      <c r="V6727" t="s">
        <v>56412</v>
      </c>
      <c r="W6727" t="s">
        <v>39026</v>
      </c>
      <c r="X6727" t="s">
        <v>42678</v>
      </c>
    </row>
    <row r="6728" spans="1:24">
      <c r="A6728">
        <f>HYPERLINK("https://www.philgeps.gov.ph/GEPSNONPILOT/Tender/SplashBidNoticeAbstractUI.aspx?menuIndex=3&amp;refID=7186393&amp;Result=3","7186393")</f>
        <v>0</v>
      </c>
      <c r="B6728" t="s">
        <v>414</v>
      </c>
      <c r="C6728" t="s">
        <v>9960</v>
      </c>
      <c r="D6728" t="s">
        <v>17172</v>
      </c>
      <c r="E6728" t="s">
        <v>23064</v>
      </c>
      <c r="F6728" t="s">
        <v>29373</v>
      </c>
      <c r="G6728" t="s">
        <v>29380</v>
      </c>
      <c r="H6728" t="s">
        <v>29389</v>
      </c>
      <c r="I6728" t="s">
        <v>10408</v>
      </c>
      <c r="J6728" t="s">
        <v>33870</v>
      </c>
      <c r="K6728" t="s">
        <v>38540</v>
      </c>
      <c r="M6728" t="s">
        <v>39178</v>
      </c>
      <c r="N6728" t="s">
        <v>42669</v>
      </c>
      <c r="O6728" t="s">
        <v>42670</v>
      </c>
      <c r="P6728">
        <v>0</v>
      </c>
      <c r="Q6728">
        <v>6</v>
      </c>
      <c r="R6728" t="s">
        <v>42677</v>
      </c>
      <c r="S6728" t="s">
        <v>42830</v>
      </c>
      <c r="T6728" t="s">
        <v>44446</v>
      </c>
      <c r="U6728" t="s">
        <v>45780</v>
      </c>
      <c r="V6728" t="s">
        <v>56457</v>
      </c>
      <c r="W6728" t="s">
        <v>39178</v>
      </c>
      <c r="X6728" t="s">
        <v>42678</v>
      </c>
    </row>
    <row r="6729" spans="1:24">
      <c r="A6729">
        <f>HYPERLINK("https://www.philgeps.gov.ph/GEPSNONPILOT/Tender/SplashBidNoticeAbstractUI.aspx?menuIndex=3&amp;refID=7186411&amp;Result=3","7186411")</f>
        <v>0</v>
      </c>
      <c r="B6729" t="s">
        <v>2248</v>
      </c>
      <c r="C6729" t="s">
        <v>9961</v>
      </c>
      <c r="D6729" t="s">
        <v>17154</v>
      </c>
      <c r="E6729" t="s">
        <v>23065</v>
      </c>
      <c r="F6729" t="s">
        <v>29372</v>
      </c>
      <c r="G6729" t="s">
        <v>29380</v>
      </c>
      <c r="H6729" t="s">
        <v>29391</v>
      </c>
      <c r="I6729" t="s">
        <v>29391</v>
      </c>
      <c r="J6729" t="s">
        <v>33871</v>
      </c>
      <c r="K6729" t="s">
        <v>38674</v>
      </c>
      <c r="M6729" t="s">
        <v>41166</v>
      </c>
      <c r="N6729" t="s">
        <v>42669</v>
      </c>
      <c r="O6729" t="s">
        <v>42670</v>
      </c>
      <c r="P6729">
        <v>0</v>
      </c>
      <c r="Q6729">
        <v>5</v>
      </c>
      <c r="R6729" t="s">
        <v>42677</v>
      </c>
      <c r="S6729" t="s">
        <v>42830</v>
      </c>
      <c r="T6729" t="s">
        <v>44409</v>
      </c>
      <c r="U6729" t="s">
        <v>50360</v>
      </c>
      <c r="W6729" t="s">
        <v>41166</v>
      </c>
      <c r="X6729" t="s">
        <v>42678</v>
      </c>
    </row>
    <row r="6730" spans="1:24">
      <c r="A6730">
        <f>HYPERLINK("https://www.philgeps.gov.ph/GEPSNONPILOT/Tender/SplashBidNoticeAbstractUI.aspx?menuIndex=3&amp;refID=7186392&amp;Result=3","7186392")</f>
        <v>0</v>
      </c>
      <c r="B6730" t="s">
        <v>1066</v>
      </c>
      <c r="C6730" t="s">
        <v>9962</v>
      </c>
      <c r="D6730" t="s">
        <v>17141</v>
      </c>
      <c r="E6730" t="s">
        <v>23066</v>
      </c>
      <c r="F6730" t="s">
        <v>29372</v>
      </c>
      <c r="G6730" t="s">
        <v>29379</v>
      </c>
      <c r="H6730" t="s">
        <v>11048</v>
      </c>
      <c r="I6730" t="s">
        <v>29394</v>
      </c>
      <c r="J6730" t="s">
        <v>33872</v>
      </c>
      <c r="K6730" t="s">
        <v>38490</v>
      </c>
      <c r="M6730" t="s">
        <v>39873</v>
      </c>
      <c r="N6730" t="s">
        <v>42669</v>
      </c>
      <c r="O6730" t="s">
        <v>42670</v>
      </c>
      <c r="P6730">
        <v>0</v>
      </c>
      <c r="Q6730">
        <v>2</v>
      </c>
      <c r="R6730" t="s">
        <v>42677</v>
      </c>
      <c r="S6730" t="s">
        <v>42830</v>
      </c>
      <c r="T6730" t="s">
        <v>44488</v>
      </c>
      <c r="U6730" t="s">
        <v>50361</v>
      </c>
      <c r="W6730" t="s">
        <v>39873</v>
      </c>
      <c r="X6730" t="s">
        <v>42678</v>
      </c>
    </row>
    <row r="6731" spans="1:24">
      <c r="A6731">
        <f>HYPERLINK("https://www.philgeps.gov.ph/GEPSNONPILOT/Tender/SplashBidNoticeAbstractUI.aspx?menuIndex=3&amp;refID=7186388&amp;Result=3","7186388")</f>
        <v>0</v>
      </c>
      <c r="B6731" t="s">
        <v>2020</v>
      </c>
      <c r="C6731" t="s">
        <v>9963</v>
      </c>
      <c r="D6731" t="s">
        <v>17177</v>
      </c>
      <c r="E6731" t="s">
        <v>23067</v>
      </c>
      <c r="F6731" t="s">
        <v>29372</v>
      </c>
      <c r="G6731" t="s">
        <v>29379</v>
      </c>
      <c r="H6731" t="s">
        <v>11048</v>
      </c>
      <c r="I6731" t="s">
        <v>29407</v>
      </c>
      <c r="J6731" t="s">
        <v>33117</v>
      </c>
      <c r="K6731" t="s">
        <v>38518</v>
      </c>
      <c r="M6731" t="s">
        <v>40912</v>
      </c>
      <c r="N6731" t="s">
        <v>42669</v>
      </c>
      <c r="O6731" t="s">
        <v>42670</v>
      </c>
      <c r="P6731">
        <v>0</v>
      </c>
      <c r="Q6731">
        <v>1</v>
      </c>
      <c r="R6731" t="s">
        <v>42677</v>
      </c>
      <c r="S6731" t="s">
        <v>42830</v>
      </c>
      <c r="T6731" t="s">
        <v>44488</v>
      </c>
      <c r="U6731" t="s">
        <v>50362</v>
      </c>
      <c r="W6731" t="s">
        <v>40912</v>
      </c>
      <c r="X6731" t="s">
        <v>42678</v>
      </c>
    </row>
    <row r="6732" spans="1:24">
      <c r="A6732">
        <f>HYPERLINK("https://www.philgeps.gov.ph/GEPSNONPILOT/Tender/SplashBidNoticeAbstractUI.aspx?menuIndex=3&amp;refID=7186415&amp;Result=3","7186415")</f>
        <v>0</v>
      </c>
      <c r="B6732" t="s">
        <v>2246</v>
      </c>
      <c r="C6732" t="s">
        <v>9964</v>
      </c>
      <c r="D6732" t="s">
        <v>17166</v>
      </c>
      <c r="E6732" t="s">
        <v>23068</v>
      </c>
      <c r="F6732" t="s">
        <v>29372</v>
      </c>
      <c r="G6732" t="s">
        <v>29383</v>
      </c>
      <c r="H6732" t="s">
        <v>11048</v>
      </c>
      <c r="I6732" t="s">
        <v>4709</v>
      </c>
      <c r="J6732" t="s">
        <v>33873</v>
      </c>
      <c r="K6732" t="s">
        <v>38491</v>
      </c>
      <c r="M6732" t="s">
        <v>41164</v>
      </c>
      <c r="N6732" t="s">
        <v>42669</v>
      </c>
      <c r="O6732" t="s">
        <v>42670</v>
      </c>
      <c r="P6732">
        <v>0</v>
      </c>
      <c r="Q6732">
        <v>0</v>
      </c>
      <c r="R6732" t="s">
        <v>42677</v>
      </c>
      <c r="S6732" t="s">
        <v>42830</v>
      </c>
      <c r="T6732" t="s">
        <v>44430</v>
      </c>
      <c r="U6732" t="s">
        <v>50363</v>
      </c>
      <c r="W6732" t="s">
        <v>58076</v>
      </c>
      <c r="X6732" t="s">
        <v>42678</v>
      </c>
    </row>
    <row r="6733" spans="1:24">
      <c r="A6733">
        <f>HYPERLINK("https://www.philgeps.gov.ph/GEPSNONPILOT/Tender/SplashBidNoticeAbstractUI.aspx?menuIndex=3&amp;refID=7186385&amp;Result=3","7186385")</f>
        <v>0</v>
      </c>
      <c r="B6733" t="s">
        <v>2246</v>
      </c>
      <c r="C6733" t="s">
        <v>9965</v>
      </c>
      <c r="D6733" t="s">
        <v>17166</v>
      </c>
      <c r="E6733" t="s">
        <v>23069</v>
      </c>
      <c r="F6733" t="s">
        <v>29372</v>
      </c>
      <c r="G6733" t="s">
        <v>29383</v>
      </c>
      <c r="H6733" t="s">
        <v>11048</v>
      </c>
      <c r="I6733" t="s">
        <v>14920</v>
      </c>
      <c r="J6733" t="s">
        <v>33874</v>
      </c>
      <c r="K6733" t="s">
        <v>38513</v>
      </c>
      <c r="M6733" t="s">
        <v>41164</v>
      </c>
      <c r="N6733" t="s">
        <v>42669</v>
      </c>
      <c r="O6733" t="s">
        <v>42670</v>
      </c>
      <c r="P6733">
        <v>0</v>
      </c>
      <c r="Q6733">
        <v>0</v>
      </c>
      <c r="R6733" t="s">
        <v>42677</v>
      </c>
      <c r="S6733" t="s">
        <v>42830</v>
      </c>
      <c r="T6733" t="s">
        <v>44430</v>
      </c>
      <c r="U6733" t="s">
        <v>50364</v>
      </c>
      <c r="W6733" t="s">
        <v>58076</v>
      </c>
      <c r="X6733" t="s">
        <v>42678</v>
      </c>
    </row>
    <row r="6734" spans="1:24">
      <c r="A6734">
        <f>HYPERLINK("https://www.philgeps.gov.ph/GEPSNONPILOT/Tender/SplashBidNoticeAbstractUI.aspx?menuIndex=3&amp;refID=7186380&amp;Result=3","7186380")</f>
        <v>0</v>
      </c>
      <c r="B6734" t="s">
        <v>414</v>
      </c>
      <c r="C6734" t="s">
        <v>9966</v>
      </c>
      <c r="D6734" t="s">
        <v>17172</v>
      </c>
      <c r="E6734" t="s">
        <v>23070</v>
      </c>
      <c r="F6734" t="s">
        <v>29373</v>
      </c>
      <c r="G6734" t="s">
        <v>29380</v>
      </c>
      <c r="H6734" t="s">
        <v>29389</v>
      </c>
      <c r="I6734" t="s">
        <v>10408</v>
      </c>
      <c r="J6734" t="s">
        <v>33875</v>
      </c>
      <c r="K6734" t="s">
        <v>38526</v>
      </c>
      <c r="M6734" t="s">
        <v>39178</v>
      </c>
      <c r="N6734" t="s">
        <v>42669</v>
      </c>
      <c r="O6734" t="s">
        <v>42670</v>
      </c>
      <c r="P6734">
        <v>0</v>
      </c>
      <c r="Q6734">
        <v>3</v>
      </c>
      <c r="R6734" t="s">
        <v>42677</v>
      </c>
      <c r="S6734" t="s">
        <v>42830</v>
      </c>
      <c r="T6734" t="s">
        <v>44446</v>
      </c>
      <c r="U6734" t="s">
        <v>45780</v>
      </c>
      <c r="V6734" t="s">
        <v>56457</v>
      </c>
      <c r="W6734" t="s">
        <v>39178</v>
      </c>
      <c r="X6734" t="s">
        <v>42678</v>
      </c>
    </row>
    <row r="6735" spans="1:24">
      <c r="A6735">
        <f>HYPERLINK("https://www.philgeps.gov.ph/GEPSNONPILOT/Tender/SplashBidNoticeAbstractUI.aspx?menuIndex=3&amp;refID=7186374&amp;Result=3","7186374")</f>
        <v>0</v>
      </c>
      <c r="B6735" t="s">
        <v>1021</v>
      </c>
      <c r="C6735" t="s">
        <v>9967</v>
      </c>
      <c r="D6735" t="s">
        <v>17205</v>
      </c>
      <c r="E6735" t="s">
        <v>23071</v>
      </c>
      <c r="F6735" t="s">
        <v>29372</v>
      </c>
      <c r="G6735" t="s">
        <v>29380</v>
      </c>
      <c r="H6735" t="s">
        <v>29389</v>
      </c>
      <c r="I6735" t="s">
        <v>10408</v>
      </c>
      <c r="J6735" t="s">
        <v>29532</v>
      </c>
      <c r="K6735" t="s">
        <v>38485</v>
      </c>
      <c r="M6735" t="s">
        <v>39821</v>
      </c>
      <c r="N6735" t="s">
        <v>42669</v>
      </c>
      <c r="O6735" t="s">
        <v>42670</v>
      </c>
      <c r="P6735">
        <v>0</v>
      </c>
      <c r="Q6735">
        <v>1</v>
      </c>
      <c r="R6735" t="s">
        <v>42677</v>
      </c>
      <c r="S6735" t="s">
        <v>42830</v>
      </c>
      <c r="T6735" t="s">
        <v>44456</v>
      </c>
      <c r="U6735" t="s">
        <v>50365</v>
      </c>
      <c r="W6735" t="s">
        <v>39821</v>
      </c>
      <c r="X6735" t="s">
        <v>42678</v>
      </c>
    </row>
    <row r="6736" spans="1:24">
      <c r="A6736">
        <f>HYPERLINK("https://www.philgeps.gov.ph/GEPSNONPILOT/Tender/SplashBidNoticeAbstractUI.aspx?menuIndex=3&amp;refID=7186332&amp;Result=3","7186332")</f>
        <v>0</v>
      </c>
      <c r="B6736" t="s">
        <v>726</v>
      </c>
      <c r="C6736" t="s">
        <v>9968</v>
      </c>
      <c r="D6736" t="s">
        <v>17203</v>
      </c>
      <c r="E6736" t="s">
        <v>23072</v>
      </c>
      <c r="F6736" t="s">
        <v>29372</v>
      </c>
      <c r="G6736" t="s">
        <v>29380</v>
      </c>
      <c r="H6736" t="s">
        <v>11048</v>
      </c>
      <c r="I6736" t="s">
        <v>4709</v>
      </c>
      <c r="J6736" t="s">
        <v>30308</v>
      </c>
      <c r="K6736" t="s">
        <v>38485</v>
      </c>
      <c r="M6736" t="s">
        <v>39506</v>
      </c>
      <c r="N6736" t="s">
        <v>42669</v>
      </c>
      <c r="O6736" t="s">
        <v>42670</v>
      </c>
      <c r="P6736">
        <v>0</v>
      </c>
      <c r="Q6736">
        <v>3</v>
      </c>
      <c r="R6736" t="s">
        <v>42677</v>
      </c>
      <c r="S6736" t="s">
        <v>42830</v>
      </c>
      <c r="T6736" t="s">
        <v>44474</v>
      </c>
      <c r="U6736" t="s">
        <v>50366</v>
      </c>
      <c r="V6736" t="s">
        <v>57102</v>
      </c>
      <c r="W6736" t="s">
        <v>39506</v>
      </c>
      <c r="X6736" t="s">
        <v>42678</v>
      </c>
    </row>
    <row r="6737" spans="1:24">
      <c r="A6737">
        <f>HYPERLINK("https://www.philgeps.gov.ph/GEPSNONPILOT/Tender/SplashBidNoticeAbstractUI.aspx?menuIndex=3&amp;refID=7185737&amp;Result=3","7185737")</f>
        <v>0</v>
      </c>
      <c r="B6737" t="s">
        <v>2010</v>
      </c>
      <c r="C6737" t="s">
        <v>9969</v>
      </c>
      <c r="E6737" t="s">
        <v>23073</v>
      </c>
      <c r="F6737" t="s">
        <v>29372</v>
      </c>
      <c r="G6737" t="s">
        <v>29380</v>
      </c>
      <c r="H6737" t="s">
        <v>11048</v>
      </c>
      <c r="I6737" t="s">
        <v>29419</v>
      </c>
      <c r="J6737" t="s">
        <v>31159</v>
      </c>
      <c r="K6737" t="s">
        <v>38530</v>
      </c>
      <c r="M6737" t="s">
        <v>40979</v>
      </c>
      <c r="N6737" t="s">
        <v>42669</v>
      </c>
      <c r="O6737" t="s">
        <v>42670</v>
      </c>
      <c r="P6737">
        <v>0</v>
      </c>
      <c r="Q6737">
        <v>3</v>
      </c>
      <c r="R6737" t="s">
        <v>42677</v>
      </c>
      <c r="S6737" t="s">
        <v>42830</v>
      </c>
      <c r="T6737" t="s">
        <v>44387</v>
      </c>
      <c r="U6737" t="s">
        <v>50367</v>
      </c>
      <c r="V6737" t="s">
        <v>57001</v>
      </c>
      <c r="W6737" t="s">
        <v>40979</v>
      </c>
      <c r="X6737" t="s">
        <v>42678</v>
      </c>
    </row>
    <row r="6738" spans="1:24">
      <c r="A6738">
        <f>HYPERLINK("https://www.philgeps.gov.ph/GEPSNONPILOT/Tender/SplashBidNoticeAbstractUI.aspx?menuIndex=3&amp;refID=7185733&amp;Result=3","7185733")</f>
        <v>0</v>
      </c>
      <c r="B6738" t="s">
        <v>231</v>
      </c>
      <c r="C6738" t="s">
        <v>9970</v>
      </c>
      <c r="E6738" t="s">
        <v>23074</v>
      </c>
      <c r="F6738" t="s">
        <v>29372</v>
      </c>
      <c r="G6738" t="s">
        <v>29380</v>
      </c>
      <c r="H6738" t="s">
        <v>11048</v>
      </c>
      <c r="I6738" t="s">
        <v>8614</v>
      </c>
      <c r="J6738" t="s">
        <v>33876</v>
      </c>
      <c r="K6738" t="s">
        <v>38490</v>
      </c>
      <c r="M6738" t="s">
        <v>39927</v>
      </c>
      <c r="N6738" t="s">
        <v>42669</v>
      </c>
      <c r="O6738" t="s">
        <v>42670</v>
      </c>
      <c r="P6738">
        <v>0</v>
      </c>
      <c r="Q6738">
        <v>14</v>
      </c>
      <c r="R6738" t="s">
        <v>42677</v>
      </c>
      <c r="S6738" t="s">
        <v>42830</v>
      </c>
      <c r="T6738" t="s">
        <v>44476</v>
      </c>
      <c r="U6738" t="s">
        <v>50368</v>
      </c>
      <c r="W6738" t="s">
        <v>39927</v>
      </c>
      <c r="X6738" t="s">
        <v>42678</v>
      </c>
    </row>
    <row r="6739" spans="1:24">
      <c r="A6739">
        <f>HYPERLINK("https://www.philgeps.gov.ph/GEPSNONPILOT/Tender/SplashBidNoticeAbstractUI.aspx?menuIndex=3&amp;refID=7185730&amp;Result=3","7185730")</f>
        <v>0</v>
      </c>
      <c r="B6739" t="s">
        <v>669</v>
      </c>
      <c r="C6739" t="s">
        <v>9971</v>
      </c>
      <c r="D6739" t="s">
        <v>17147</v>
      </c>
      <c r="E6739" t="s">
        <v>23075</v>
      </c>
      <c r="F6739" t="s">
        <v>29372</v>
      </c>
      <c r="G6739" t="s">
        <v>29380</v>
      </c>
      <c r="H6739" t="s">
        <v>11048</v>
      </c>
      <c r="I6739" t="s">
        <v>29481</v>
      </c>
      <c r="J6739" t="s">
        <v>29526</v>
      </c>
      <c r="K6739" t="s">
        <v>38488</v>
      </c>
      <c r="M6739" t="s">
        <v>39445</v>
      </c>
      <c r="N6739" t="s">
        <v>42669</v>
      </c>
      <c r="O6739" t="s">
        <v>42670</v>
      </c>
      <c r="P6739">
        <v>0</v>
      </c>
      <c r="Q6739">
        <v>2</v>
      </c>
      <c r="R6739" t="s">
        <v>42677</v>
      </c>
      <c r="S6739" t="s">
        <v>42830</v>
      </c>
      <c r="T6739" t="s">
        <v>44643</v>
      </c>
      <c r="U6739" t="s">
        <v>50369</v>
      </c>
      <c r="V6739" t="s">
        <v>57070</v>
      </c>
      <c r="W6739" t="s">
        <v>39445</v>
      </c>
      <c r="X6739" t="s">
        <v>42678</v>
      </c>
    </row>
    <row r="6740" spans="1:24">
      <c r="A6740">
        <f>HYPERLINK("https://www.philgeps.gov.ph/GEPSNONPILOT/Tender/SplashBidNoticeAbstractUI.aspx?menuIndex=3&amp;refID=7185726&amp;Result=3","7185726")</f>
        <v>0</v>
      </c>
      <c r="B6740" t="s">
        <v>2249</v>
      </c>
      <c r="C6740" t="s">
        <v>9972</v>
      </c>
      <c r="D6740" t="s">
        <v>17168</v>
      </c>
      <c r="E6740" t="s">
        <v>17540</v>
      </c>
      <c r="F6740" t="s">
        <v>29372</v>
      </c>
      <c r="G6740" t="s">
        <v>29380</v>
      </c>
      <c r="H6740" t="s">
        <v>29389</v>
      </c>
      <c r="I6740" t="s">
        <v>10408</v>
      </c>
      <c r="J6740" t="s">
        <v>33877</v>
      </c>
      <c r="K6740" t="s">
        <v>38496</v>
      </c>
      <c r="M6740" t="s">
        <v>41167</v>
      </c>
      <c r="N6740" t="s">
        <v>42669</v>
      </c>
      <c r="O6740" t="s">
        <v>42670</v>
      </c>
      <c r="P6740">
        <v>0</v>
      </c>
      <c r="Q6740">
        <v>0</v>
      </c>
      <c r="R6740" t="s">
        <v>42677</v>
      </c>
      <c r="S6740" t="s">
        <v>42830</v>
      </c>
      <c r="T6740" t="s">
        <v>44490</v>
      </c>
      <c r="U6740" t="s">
        <v>50370</v>
      </c>
      <c r="W6740" t="s">
        <v>41167</v>
      </c>
      <c r="X6740" t="s">
        <v>42678</v>
      </c>
    </row>
    <row r="6741" spans="1:24">
      <c r="A6741">
        <f>HYPERLINK("https://www.philgeps.gov.ph/GEPSNONPILOT/Tender/SplashBidNoticeAbstractUI.aspx?menuIndex=3&amp;refID=7185686&amp;Result=3","7185686")</f>
        <v>0</v>
      </c>
      <c r="B6741" t="s">
        <v>933</v>
      </c>
      <c r="C6741" t="s">
        <v>9973</v>
      </c>
      <c r="D6741" t="s">
        <v>17170</v>
      </c>
      <c r="E6741" t="s">
        <v>23076</v>
      </c>
      <c r="F6741" t="s">
        <v>29372</v>
      </c>
      <c r="G6741" t="s">
        <v>29380</v>
      </c>
      <c r="H6741" t="s">
        <v>11048</v>
      </c>
      <c r="I6741" t="s">
        <v>3629</v>
      </c>
      <c r="J6741" t="s">
        <v>33878</v>
      </c>
      <c r="K6741" t="s">
        <v>38490</v>
      </c>
      <c r="M6741" t="s">
        <v>41092</v>
      </c>
      <c r="N6741" t="s">
        <v>42669</v>
      </c>
      <c r="O6741" t="s">
        <v>42670</v>
      </c>
      <c r="P6741">
        <v>0</v>
      </c>
      <c r="Q6741">
        <v>3</v>
      </c>
      <c r="R6741" t="s">
        <v>42677</v>
      </c>
      <c r="S6741" t="s">
        <v>42830</v>
      </c>
      <c r="T6741" t="s">
        <v>44399</v>
      </c>
      <c r="U6741" t="s">
        <v>50371</v>
      </c>
      <c r="V6741" t="s">
        <v>57074</v>
      </c>
      <c r="W6741" t="s">
        <v>41092</v>
      </c>
      <c r="X6741" t="s">
        <v>42678</v>
      </c>
    </row>
    <row r="6742" spans="1:24">
      <c r="A6742">
        <f>HYPERLINK("https://www.philgeps.gov.ph/GEPSNONPILOT/Tender/SplashBidNoticeAbstractUI.aspx?menuIndex=3&amp;refID=7186382&amp;Result=3","7186382")</f>
        <v>0</v>
      </c>
      <c r="B6742" t="s">
        <v>1055</v>
      </c>
      <c r="C6742" t="s">
        <v>9974</v>
      </c>
      <c r="D6742" t="s">
        <v>17176</v>
      </c>
      <c r="E6742" t="s">
        <v>23077</v>
      </c>
      <c r="F6742" t="s">
        <v>29372</v>
      </c>
      <c r="G6742" t="s">
        <v>29380</v>
      </c>
      <c r="H6742" t="s">
        <v>11048</v>
      </c>
      <c r="I6742" t="s">
        <v>29496</v>
      </c>
      <c r="J6742" t="s">
        <v>33879</v>
      </c>
      <c r="K6742" t="s">
        <v>38510</v>
      </c>
      <c r="M6742" t="s">
        <v>41168</v>
      </c>
      <c r="N6742" t="s">
        <v>42669</v>
      </c>
      <c r="O6742" t="s">
        <v>42670</v>
      </c>
      <c r="P6742">
        <v>0</v>
      </c>
      <c r="Q6742">
        <v>0</v>
      </c>
      <c r="R6742" t="s">
        <v>42677</v>
      </c>
      <c r="S6742" t="s">
        <v>42830</v>
      </c>
      <c r="T6742" t="s">
        <v>44527</v>
      </c>
      <c r="U6742" t="s">
        <v>50372</v>
      </c>
      <c r="V6742" t="s">
        <v>57103</v>
      </c>
      <c r="W6742" t="s">
        <v>41168</v>
      </c>
      <c r="X6742" t="s">
        <v>42678</v>
      </c>
    </row>
    <row r="6743" spans="1:24">
      <c r="A6743">
        <f>HYPERLINK("https://www.philgeps.gov.ph/GEPSNONPILOT/Tender/SplashBidNoticeAbstractUI.aspx?menuIndex=3&amp;refID=7185683&amp;Result=3","7185683")</f>
        <v>0</v>
      </c>
      <c r="B6743" t="s">
        <v>2010</v>
      </c>
      <c r="C6743" t="s">
        <v>9975</v>
      </c>
      <c r="D6743" t="s">
        <v>17143</v>
      </c>
      <c r="E6743" t="s">
        <v>23078</v>
      </c>
      <c r="F6743" t="s">
        <v>29372</v>
      </c>
      <c r="G6743" t="s">
        <v>29380</v>
      </c>
      <c r="H6743" t="s">
        <v>11048</v>
      </c>
      <c r="I6743" t="s">
        <v>29393</v>
      </c>
      <c r="J6743" t="s">
        <v>32839</v>
      </c>
      <c r="K6743" t="s">
        <v>38533</v>
      </c>
      <c r="M6743" t="s">
        <v>40979</v>
      </c>
      <c r="N6743" t="s">
        <v>42669</v>
      </c>
      <c r="O6743" t="s">
        <v>42670</v>
      </c>
      <c r="P6743">
        <v>0</v>
      </c>
      <c r="Q6743">
        <v>0</v>
      </c>
      <c r="R6743" t="s">
        <v>42677</v>
      </c>
      <c r="S6743" t="s">
        <v>42830</v>
      </c>
      <c r="T6743" t="s">
        <v>44387</v>
      </c>
      <c r="U6743" t="s">
        <v>50373</v>
      </c>
      <c r="V6743" t="s">
        <v>57001</v>
      </c>
      <c r="W6743" t="s">
        <v>40979</v>
      </c>
      <c r="X6743" t="s">
        <v>42678</v>
      </c>
    </row>
    <row r="6744" spans="1:24">
      <c r="A6744">
        <f>HYPERLINK("https://www.philgeps.gov.ph/GEPSNONPILOT/Tender/SplashBidNoticeAbstractUI.aspx?menuIndex=3&amp;refID=7185725&amp;Result=3","7185725")</f>
        <v>0</v>
      </c>
      <c r="B6744" t="s">
        <v>1515</v>
      </c>
      <c r="C6744" t="s">
        <v>9976</v>
      </c>
      <c r="D6744" t="s">
        <v>17174</v>
      </c>
      <c r="E6744" t="s">
        <v>23079</v>
      </c>
      <c r="F6744" t="s">
        <v>29372</v>
      </c>
      <c r="G6744" t="s">
        <v>29380</v>
      </c>
      <c r="H6744" t="s">
        <v>11048</v>
      </c>
      <c r="I6744" t="s">
        <v>29395</v>
      </c>
      <c r="J6744" t="s">
        <v>33880</v>
      </c>
      <c r="K6744" t="s">
        <v>38495</v>
      </c>
      <c r="M6744" t="s">
        <v>40359</v>
      </c>
      <c r="N6744" t="s">
        <v>42669</v>
      </c>
      <c r="O6744" t="s">
        <v>42670</v>
      </c>
      <c r="P6744">
        <v>0</v>
      </c>
      <c r="Q6744">
        <v>0</v>
      </c>
      <c r="R6744" t="s">
        <v>42677</v>
      </c>
      <c r="S6744" t="s">
        <v>42830</v>
      </c>
      <c r="T6744" t="s">
        <v>44554</v>
      </c>
      <c r="U6744" t="s">
        <v>50374</v>
      </c>
      <c r="W6744" t="s">
        <v>40359</v>
      </c>
      <c r="X6744" t="s">
        <v>42678</v>
      </c>
    </row>
    <row r="6745" spans="1:24">
      <c r="A6745">
        <f>HYPERLINK("https://www.philgeps.gov.ph/GEPSNONPILOT/Tender/SplashBidNoticeAbstractUI.aspx?menuIndex=3&amp;refID=7186289&amp;Result=3","7186289")</f>
        <v>0</v>
      </c>
      <c r="B6745" t="s">
        <v>1055</v>
      </c>
      <c r="C6745" t="s">
        <v>9977</v>
      </c>
      <c r="D6745" t="s">
        <v>17176</v>
      </c>
      <c r="E6745" t="s">
        <v>23080</v>
      </c>
      <c r="F6745" t="s">
        <v>29372</v>
      </c>
      <c r="G6745" t="s">
        <v>29380</v>
      </c>
      <c r="H6745" t="s">
        <v>11048</v>
      </c>
      <c r="I6745" t="s">
        <v>29399</v>
      </c>
      <c r="J6745" t="s">
        <v>32203</v>
      </c>
      <c r="K6745" t="s">
        <v>38510</v>
      </c>
      <c r="M6745" t="s">
        <v>41168</v>
      </c>
      <c r="N6745" t="s">
        <v>42669</v>
      </c>
      <c r="O6745" t="s">
        <v>42670</v>
      </c>
      <c r="P6745">
        <v>0</v>
      </c>
      <c r="Q6745">
        <v>0</v>
      </c>
      <c r="R6745" t="s">
        <v>42677</v>
      </c>
      <c r="S6745" t="s">
        <v>42830</v>
      </c>
      <c r="T6745" t="s">
        <v>44527</v>
      </c>
      <c r="U6745" t="s">
        <v>50375</v>
      </c>
      <c r="V6745" t="s">
        <v>57103</v>
      </c>
      <c r="W6745" t="s">
        <v>41168</v>
      </c>
      <c r="X6745" t="s">
        <v>42678</v>
      </c>
    </row>
    <row r="6746" spans="1:24">
      <c r="A6746">
        <f>HYPERLINK("https://www.philgeps.gov.ph/GEPSNONPILOT/Tender/SplashBidNoticeAbstractUI.aspx?menuIndex=3&amp;refID=7185680&amp;Result=3","7185680")</f>
        <v>0</v>
      </c>
      <c r="B6746" t="s">
        <v>2181</v>
      </c>
      <c r="C6746" t="s">
        <v>9978</v>
      </c>
      <c r="E6746" t="s">
        <v>23081</v>
      </c>
      <c r="F6746" t="s">
        <v>29372</v>
      </c>
      <c r="G6746" t="s">
        <v>29379</v>
      </c>
      <c r="H6746" t="s">
        <v>11048</v>
      </c>
      <c r="I6746" t="s">
        <v>8614</v>
      </c>
      <c r="J6746" t="s">
        <v>29811</v>
      </c>
      <c r="K6746" t="s">
        <v>38491</v>
      </c>
      <c r="M6746" t="s">
        <v>41095</v>
      </c>
      <c r="N6746" t="s">
        <v>42669</v>
      </c>
      <c r="O6746" t="s">
        <v>42670</v>
      </c>
      <c r="P6746">
        <v>0</v>
      </c>
      <c r="Q6746">
        <v>5</v>
      </c>
      <c r="R6746" t="s">
        <v>42677</v>
      </c>
      <c r="S6746" t="s">
        <v>42830</v>
      </c>
      <c r="T6746" t="s">
        <v>44629</v>
      </c>
      <c r="U6746" t="s">
        <v>50376</v>
      </c>
      <c r="V6746" t="s">
        <v>57104</v>
      </c>
      <c r="W6746" t="s">
        <v>41095</v>
      </c>
      <c r="X6746" t="s">
        <v>42678</v>
      </c>
    </row>
    <row r="6747" spans="1:24">
      <c r="A6747">
        <f>HYPERLINK("https://www.philgeps.gov.ph/GEPSNONPILOT/Tender/SplashBidNoticeAbstractUI.aspx?menuIndex=3&amp;refID=7186389&amp;Result=3","7186389")</f>
        <v>0</v>
      </c>
      <c r="B6747" t="s">
        <v>1259</v>
      </c>
      <c r="C6747" t="s">
        <v>9979</v>
      </c>
      <c r="D6747" t="s">
        <v>17170</v>
      </c>
      <c r="E6747" t="s">
        <v>23082</v>
      </c>
      <c r="F6747" t="s">
        <v>29372</v>
      </c>
      <c r="G6747" t="s">
        <v>29381</v>
      </c>
      <c r="H6747" t="s">
        <v>11048</v>
      </c>
      <c r="I6747" t="s">
        <v>3695</v>
      </c>
      <c r="J6747" t="s">
        <v>33881</v>
      </c>
      <c r="K6747" t="s">
        <v>38488</v>
      </c>
      <c r="M6747" t="s">
        <v>40086</v>
      </c>
      <c r="N6747" t="s">
        <v>42669</v>
      </c>
      <c r="O6747" t="s">
        <v>42670</v>
      </c>
      <c r="P6747">
        <v>0</v>
      </c>
      <c r="Q6747">
        <v>3</v>
      </c>
      <c r="R6747" t="s">
        <v>42677</v>
      </c>
      <c r="S6747" t="s">
        <v>42830</v>
      </c>
      <c r="T6747" t="s">
        <v>44417</v>
      </c>
      <c r="U6747" t="s">
        <v>50377</v>
      </c>
      <c r="V6747" t="s">
        <v>56675</v>
      </c>
      <c r="W6747" t="s">
        <v>40086</v>
      </c>
      <c r="X6747" t="s">
        <v>42678</v>
      </c>
    </row>
    <row r="6748" spans="1:24">
      <c r="A6748">
        <f>HYPERLINK("https://www.philgeps.gov.ph/GEPSNONPILOT/Tender/SplashBidNoticeAbstractUI.aspx?menuIndex=3&amp;refID=7186444&amp;Result=3","7186444")</f>
        <v>0</v>
      </c>
      <c r="B6748" t="s">
        <v>2250</v>
      </c>
      <c r="C6748" t="s">
        <v>9980</v>
      </c>
      <c r="D6748" t="s">
        <v>17194</v>
      </c>
      <c r="E6748" t="s">
        <v>23083</v>
      </c>
      <c r="F6748" t="s">
        <v>29372</v>
      </c>
      <c r="G6748" t="s">
        <v>29383</v>
      </c>
      <c r="H6748" t="s">
        <v>11048</v>
      </c>
      <c r="I6748" t="s">
        <v>4486</v>
      </c>
      <c r="J6748" t="s">
        <v>32206</v>
      </c>
      <c r="K6748" t="s">
        <v>38511</v>
      </c>
      <c r="M6748" t="s">
        <v>41169</v>
      </c>
      <c r="N6748" t="s">
        <v>42669</v>
      </c>
      <c r="O6748" t="s">
        <v>42670</v>
      </c>
      <c r="P6748">
        <v>0</v>
      </c>
      <c r="Q6748">
        <v>1</v>
      </c>
      <c r="R6748" t="s">
        <v>42677</v>
      </c>
      <c r="S6748" t="s">
        <v>42830</v>
      </c>
      <c r="T6748" t="s">
        <v>44493</v>
      </c>
      <c r="U6748" t="s">
        <v>50378</v>
      </c>
      <c r="W6748" t="s">
        <v>41169</v>
      </c>
      <c r="X6748" t="s">
        <v>42678</v>
      </c>
    </row>
    <row r="6749" spans="1:24">
      <c r="A6749">
        <f>HYPERLINK("https://www.philgeps.gov.ph/GEPSNONPILOT/Tender/SplashBidNoticeAbstractUI.aspx?menuIndex=3&amp;refID=7185720&amp;Result=3","7185720")</f>
        <v>0</v>
      </c>
      <c r="B6749" t="s">
        <v>933</v>
      </c>
      <c r="C6749" t="s">
        <v>9981</v>
      </c>
      <c r="D6749" t="s">
        <v>17170</v>
      </c>
      <c r="E6749" t="s">
        <v>23084</v>
      </c>
      <c r="F6749" t="s">
        <v>29372</v>
      </c>
      <c r="G6749" t="s">
        <v>29380</v>
      </c>
      <c r="H6749" t="s">
        <v>11048</v>
      </c>
      <c r="I6749" t="s">
        <v>29405</v>
      </c>
      <c r="J6749" t="s">
        <v>30308</v>
      </c>
      <c r="K6749" t="s">
        <v>38490</v>
      </c>
      <c r="M6749" t="s">
        <v>41092</v>
      </c>
      <c r="N6749" t="s">
        <v>42669</v>
      </c>
      <c r="O6749" t="s">
        <v>42670</v>
      </c>
      <c r="P6749">
        <v>0</v>
      </c>
      <c r="Q6749">
        <v>5</v>
      </c>
      <c r="R6749" t="s">
        <v>42677</v>
      </c>
      <c r="S6749" t="s">
        <v>42830</v>
      </c>
      <c r="T6749" t="s">
        <v>44446</v>
      </c>
      <c r="U6749" t="s">
        <v>50379</v>
      </c>
      <c r="V6749" t="s">
        <v>57074</v>
      </c>
      <c r="W6749" t="s">
        <v>41092</v>
      </c>
      <c r="X6749" t="s">
        <v>42678</v>
      </c>
    </row>
    <row r="6750" spans="1:24">
      <c r="A6750">
        <f>HYPERLINK("https://www.philgeps.gov.ph/GEPSNONPILOT/Tender/SplashBidNoticeAbstractUI.aspx?menuIndex=3&amp;refID=7186336&amp;Result=3","7186336")</f>
        <v>0</v>
      </c>
      <c r="B6750" t="s">
        <v>40</v>
      </c>
      <c r="C6750" t="s">
        <v>9982</v>
      </c>
      <c r="D6750" t="s">
        <v>17151</v>
      </c>
      <c r="E6750" t="s">
        <v>23085</v>
      </c>
      <c r="F6750" t="s">
        <v>29372</v>
      </c>
      <c r="G6750" t="s">
        <v>29380</v>
      </c>
      <c r="H6750" t="s">
        <v>11048</v>
      </c>
      <c r="I6750" t="s">
        <v>9469</v>
      </c>
      <c r="J6750" t="s">
        <v>33882</v>
      </c>
      <c r="K6750" t="s">
        <v>38496</v>
      </c>
      <c r="M6750" t="s">
        <v>38793</v>
      </c>
      <c r="N6750" t="s">
        <v>42669</v>
      </c>
      <c r="O6750" t="s">
        <v>42670</v>
      </c>
      <c r="P6750">
        <v>0</v>
      </c>
      <c r="Q6750">
        <v>3</v>
      </c>
      <c r="R6750" t="s">
        <v>42677</v>
      </c>
      <c r="S6750" t="s">
        <v>42830</v>
      </c>
      <c r="T6750" t="s">
        <v>44558</v>
      </c>
      <c r="U6750" t="s">
        <v>50380</v>
      </c>
      <c r="V6750" t="s">
        <v>56328</v>
      </c>
      <c r="W6750" t="s">
        <v>38793</v>
      </c>
      <c r="X6750" t="s">
        <v>42678</v>
      </c>
    </row>
    <row r="6751" spans="1:24">
      <c r="A6751">
        <f>HYPERLINK("https://www.philgeps.gov.ph/GEPSNONPILOT/Tender/SplashBidNoticeAbstractUI.aspx?menuIndex=3&amp;refID=7186418&amp;Result=3","7186418")</f>
        <v>0</v>
      </c>
      <c r="B6751" t="s">
        <v>1677</v>
      </c>
      <c r="C6751" t="s">
        <v>9983</v>
      </c>
      <c r="D6751" t="s">
        <v>17153</v>
      </c>
      <c r="E6751" t="s">
        <v>23086</v>
      </c>
      <c r="F6751" t="s">
        <v>29372</v>
      </c>
      <c r="G6751" t="s">
        <v>29380</v>
      </c>
      <c r="H6751" t="s">
        <v>29389</v>
      </c>
      <c r="I6751" t="s">
        <v>29402</v>
      </c>
      <c r="J6751" t="s">
        <v>33883</v>
      </c>
      <c r="K6751" t="s">
        <v>38522</v>
      </c>
      <c r="M6751" t="s">
        <v>41170</v>
      </c>
      <c r="N6751" t="s">
        <v>42669</v>
      </c>
      <c r="O6751" t="s">
        <v>42670</v>
      </c>
      <c r="P6751">
        <v>0</v>
      </c>
      <c r="Q6751">
        <v>0</v>
      </c>
      <c r="R6751" t="s">
        <v>42677</v>
      </c>
      <c r="S6751" t="s">
        <v>42830</v>
      </c>
      <c r="T6751" t="s">
        <v>44358</v>
      </c>
      <c r="U6751" t="s">
        <v>50381</v>
      </c>
      <c r="W6751" t="s">
        <v>41170</v>
      </c>
      <c r="X6751" t="s">
        <v>42678</v>
      </c>
    </row>
    <row r="6752" spans="1:24">
      <c r="A6752">
        <f>HYPERLINK("https://www.philgeps.gov.ph/GEPSNONPILOT/Tender/SplashBidNoticeAbstractUI.aspx?menuIndex=3&amp;refID=7186436&amp;Result=3","7186436")</f>
        <v>0</v>
      </c>
      <c r="B6752" t="s">
        <v>2246</v>
      </c>
      <c r="C6752" t="s">
        <v>9984</v>
      </c>
      <c r="D6752" t="s">
        <v>17166</v>
      </c>
      <c r="E6752" t="s">
        <v>23087</v>
      </c>
      <c r="F6752" t="s">
        <v>29372</v>
      </c>
      <c r="G6752" t="s">
        <v>29383</v>
      </c>
      <c r="H6752" t="s">
        <v>11048</v>
      </c>
      <c r="I6752" t="s">
        <v>4709</v>
      </c>
      <c r="J6752" t="s">
        <v>33884</v>
      </c>
      <c r="K6752" t="s">
        <v>38491</v>
      </c>
      <c r="M6752" t="s">
        <v>41164</v>
      </c>
      <c r="N6752" t="s">
        <v>42669</v>
      </c>
      <c r="O6752" t="s">
        <v>42670</v>
      </c>
      <c r="P6752">
        <v>0</v>
      </c>
      <c r="Q6752">
        <v>0</v>
      </c>
      <c r="R6752" t="s">
        <v>42677</v>
      </c>
      <c r="S6752" t="s">
        <v>42830</v>
      </c>
      <c r="T6752" t="s">
        <v>44430</v>
      </c>
      <c r="U6752" t="s">
        <v>50363</v>
      </c>
      <c r="W6752" t="s">
        <v>58076</v>
      </c>
      <c r="X6752" t="s">
        <v>42678</v>
      </c>
    </row>
    <row r="6753" spans="1:24">
      <c r="A6753">
        <f>HYPERLINK("https://www.philgeps.gov.ph/GEPSNONPILOT/Tender/SplashBidNoticeAbstractUI.aspx?menuIndex=3&amp;refID=7186442&amp;Result=3","7186442")</f>
        <v>0</v>
      </c>
      <c r="B6753" t="s">
        <v>589</v>
      </c>
      <c r="C6753" t="s">
        <v>9985</v>
      </c>
      <c r="D6753" t="s">
        <v>17168</v>
      </c>
      <c r="E6753" t="s">
        <v>23088</v>
      </c>
      <c r="F6753" t="s">
        <v>29372</v>
      </c>
      <c r="G6753" t="s">
        <v>29380</v>
      </c>
      <c r="H6753" t="s">
        <v>11048</v>
      </c>
      <c r="I6753" t="s">
        <v>3695</v>
      </c>
      <c r="J6753" t="s">
        <v>33885</v>
      </c>
      <c r="K6753" t="s">
        <v>38538</v>
      </c>
      <c r="M6753" t="s">
        <v>39358</v>
      </c>
      <c r="N6753" t="s">
        <v>42669</v>
      </c>
      <c r="O6753" t="s">
        <v>42670</v>
      </c>
      <c r="P6753">
        <v>0</v>
      </c>
      <c r="Q6753">
        <v>1</v>
      </c>
      <c r="R6753" t="s">
        <v>42677</v>
      </c>
      <c r="S6753" t="s">
        <v>42830</v>
      </c>
      <c r="T6753" t="s">
        <v>44427</v>
      </c>
      <c r="U6753" t="s">
        <v>50382</v>
      </c>
      <c r="V6753" t="s">
        <v>56701</v>
      </c>
      <c r="W6753" t="s">
        <v>39358</v>
      </c>
      <c r="X6753" t="s">
        <v>42678</v>
      </c>
    </row>
    <row r="6754" spans="1:24">
      <c r="A6754">
        <f>HYPERLINK("https://www.philgeps.gov.ph/GEPSNONPILOT/Tender/SplashBidNoticeAbstractUI.aspx?menuIndex=3&amp;refID=7186434&amp;Result=3","7186434")</f>
        <v>0</v>
      </c>
      <c r="B6754" t="s">
        <v>1971</v>
      </c>
      <c r="C6754" t="s">
        <v>9986</v>
      </c>
      <c r="D6754" t="s">
        <v>17199</v>
      </c>
      <c r="E6754" t="s">
        <v>23089</v>
      </c>
      <c r="F6754" t="s">
        <v>29372</v>
      </c>
      <c r="G6754" t="s">
        <v>29381</v>
      </c>
      <c r="H6754" t="s">
        <v>11048</v>
      </c>
      <c r="I6754" t="s">
        <v>29419</v>
      </c>
      <c r="J6754" t="s">
        <v>33886</v>
      </c>
      <c r="K6754" t="s">
        <v>38488</v>
      </c>
      <c r="M6754" t="s">
        <v>40858</v>
      </c>
      <c r="N6754" t="s">
        <v>42669</v>
      </c>
      <c r="O6754" t="s">
        <v>42670</v>
      </c>
      <c r="P6754">
        <v>0</v>
      </c>
      <c r="Q6754">
        <v>1</v>
      </c>
      <c r="R6754" t="s">
        <v>42677</v>
      </c>
      <c r="S6754" t="s">
        <v>42830</v>
      </c>
      <c r="T6754" t="s">
        <v>44548</v>
      </c>
      <c r="U6754" t="s">
        <v>49488</v>
      </c>
      <c r="W6754" t="s">
        <v>40858</v>
      </c>
      <c r="X6754" t="s">
        <v>42678</v>
      </c>
    </row>
    <row r="6755" spans="1:24">
      <c r="A6755">
        <f>HYPERLINK("https://www.philgeps.gov.ph/GEPSNONPILOT/Tender/SplashBidNoticeAbstractUI.aspx?menuIndex=3&amp;refID=7186432&amp;Result=3","7186432")</f>
        <v>0</v>
      </c>
      <c r="B6755" t="s">
        <v>989</v>
      </c>
      <c r="C6755" t="s">
        <v>9987</v>
      </c>
      <c r="D6755" t="s">
        <v>17197</v>
      </c>
      <c r="E6755" t="s">
        <v>23090</v>
      </c>
      <c r="F6755" t="s">
        <v>29372</v>
      </c>
      <c r="G6755" t="s">
        <v>29379</v>
      </c>
      <c r="H6755" t="s">
        <v>11048</v>
      </c>
      <c r="I6755" t="s">
        <v>8208</v>
      </c>
      <c r="J6755" t="s">
        <v>30434</v>
      </c>
      <c r="K6755" t="s">
        <v>38488</v>
      </c>
      <c r="M6755" t="s">
        <v>41171</v>
      </c>
      <c r="N6755" t="s">
        <v>42669</v>
      </c>
      <c r="O6755" t="s">
        <v>42670</v>
      </c>
      <c r="P6755">
        <v>0</v>
      </c>
      <c r="Q6755">
        <v>0</v>
      </c>
      <c r="R6755" t="s">
        <v>42677</v>
      </c>
      <c r="S6755" t="s">
        <v>42830</v>
      </c>
      <c r="T6755" t="s">
        <v>44401</v>
      </c>
      <c r="U6755" t="s">
        <v>50383</v>
      </c>
      <c r="W6755" t="s">
        <v>41171</v>
      </c>
      <c r="X6755" t="s">
        <v>42678</v>
      </c>
    </row>
    <row r="6756" spans="1:24">
      <c r="A6756">
        <f>HYPERLINK("https://www.philgeps.gov.ph/GEPSNONPILOT/Tender/SplashBidNoticeAbstractUI.aspx?menuIndex=3&amp;refID=7186431&amp;Result=3","7186431")</f>
        <v>0</v>
      </c>
      <c r="B6756" t="s">
        <v>589</v>
      </c>
      <c r="C6756" t="s">
        <v>9988</v>
      </c>
      <c r="D6756" t="s">
        <v>17168</v>
      </c>
      <c r="E6756" t="s">
        <v>23091</v>
      </c>
      <c r="F6756" t="s">
        <v>29372</v>
      </c>
      <c r="G6756" t="s">
        <v>29380</v>
      </c>
      <c r="H6756" t="s">
        <v>11048</v>
      </c>
      <c r="I6756" t="s">
        <v>29432</v>
      </c>
      <c r="J6756" t="s">
        <v>33887</v>
      </c>
      <c r="K6756" t="s">
        <v>38538</v>
      </c>
      <c r="M6756" t="s">
        <v>39358</v>
      </c>
      <c r="N6756" t="s">
        <v>42669</v>
      </c>
      <c r="O6756" t="s">
        <v>42670</v>
      </c>
      <c r="P6756">
        <v>0</v>
      </c>
      <c r="Q6756">
        <v>0</v>
      </c>
      <c r="R6756" t="s">
        <v>42677</v>
      </c>
      <c r="S6756" t="s">
        <v>42830</v>
      </c>
      <c r="T6756" t="s">
        <v>44427</v>
      </c>
      <c r="U6756" t="s">
        <v>50384</v>
      </c>
      <c r="V6756" t="s">
        <v>56701</v>
      </c>
      <c r="W6756" t="s">
        <v>39358</v>
      </c>
      <c r="X6756" t="s">
        <v>42678</v>
      </c>
    </row>
    <row r="6757" spans="1:24">
      <c r="A6757">
        <f>HYPERLINK("https://www.philgeps.gov.ph/GEPSNONPILOT/Tender/SplashBidNoticeAbstractUI.aspx?menuIndex=3&amp;refID=7186435&amp;Result=3","7186435")</f>
        <v>0</v>
      </c>
      <c r="B6757" t="s">
        <v>1259</v>
      </c>
      <c r="C6757" t="s">
        <v>9989</v>
      </c>
      <c r="D6757" t="s">
        <v>17170</v>
      </c>
      <c r="E6757" t="s">
        <v>23092</v>
      </c>
      <c r="F6757" t="s">
        <v>29372</v>
      </c>
      <c r="G6757" t="s">
        <v>29381</v>
      </c>
      <c r="H6757" t="s">
        <v>11048</v>
      </c>
      <c r="I6757" t="s">
        <v>3695</v>
      </c>
      <c r="J6757" t="s">
        <v>33432</v>
      </c>
      <c r="K6757" t="s">
        <v>38488</v>
      </c>
      <c r="M6757" t="s">
        <v>40086</v>
      </c>
      <c r="N6757" t="s">
        <v>42669</v>
      </c>
      <c r="O6757" t="s">
        <v>42670</v>
      </c>
      <c r="P6757">
        <v>0</v>
      </c>
      <c r="Q6757">
        <v>3</v>
      </c>
      <c r="R6757" t="s">
        <v>42677</v>
      </c>
      <c r="S6757" t="s">
        <v>42830</v>
      </c>
      <c r="T6757" t="s">
        <v>44417</v>
      </c>
      <c r="U6757" t="s">
        <v>50385</v>
      </c>
      <c r="V6757" t="s">
        <v>56675</v>
      </c>
      <c r="W6757" t="s">
        <v>40086</v>
      </c>
      <c r="X6757" t="s">
        <v>42678</v>
      </c>
    </row>
    <row r="6758" spans="1:24">
      <c r="A6758">
        <f>HYPERLINK("https://www.philgeps.gov.ph/GEPSNONPILOT/Tender/SplashBidNoticeAbstractUI.aspx?menuIndex=3&amp;refID=7186430&amp;Result=3","7186430")</f>
        <v>0</v>
      </c>
      <c r="B6758" t="s">
        <v>2251</v>
      </c>
      <c r="C6758" t="s">
        <v>9990</v>
      </c>
      <c r="D6758" t="s">
        <v>17209</v>
      </c>
      <c r="E6758" t="s">
        <v>19716</v>
      </c>
      <c r="F6758" t="s">
        <v>29372</v>
      </c>
      <c r="G6758" t="s">
        <v>29380</v>
      </c>
      <c r="H6758" t="s">
        <v>11048</v>
      </c>
      <c r="I6758" t="s">
        <v>29407</v>
      </c>
      <c r="J6758" t="s">
        <v>33888</v>
      </c>
      <c r="K6758" t="s">
        <v>38485</v>
      </c>
      <c r="M6758" t="s">
        <v>41172</v>
      </c>
      <c r="N6758" t="s">
        <v>42669</v>
      </c>
      <c r="O6758" t="s">
        <v>42670</v>
      </c>
      <c r="P6758">
        <v>0</v>
      </c>
      <c r="Q6758">
        <v>22</v>
      </c>
      <c r="R6758" t="s">
        <v>42677</v>
      </c>
      <c r="S6758" t="s">
        <v>42830</v>
      </c>
      <c r="T6758" t="s">
        <v>44619</v>
      </c>
      <c r="U6758" t="s">
        <v>50386</v>
      </c>
      <c r="W6758" t="s">
        <v>41172</v>
      </c>
      <c r="X6758" t="s">
        <v>42678</v>
      </c>
    </row>
    <row r="6759" spans="1:24">
      <c r="A6759">
        <f>HYPERLINK("https://www.philgeps.gov.ph/GEPSNONPILOT/Tender/SplashBidNoticeAbstractUI.aspx?menuIndex=3&amp;refID=7186438&amp;Result=3","7186438")</f>
        <v>0</v>
      </c>
      <c r="B6759" t="s">
        <v>1276</v>
      </c>
      <c r="C6759" t="s">
        <v>9991</v>
      </c>
      <c r="D6759" t="s">
        <v>17168</v>
      </c>
      <c r="E6759" t="s">
        <v>23093</v>
      </c>
      <c r="F6759" t="s">
        <v>29372</v>
      </c>
      <c r="G6759" t="s">
        <v>29380</v>
      </c>
      <c r="H6759" t="s">
        <v>11048</v>
      </c>
      <c r="I6759" t="s">
        <v>4709</v>
      </c>
      <c r="J6759" t="s">
        <v>33889</v>
      </c>
      <c r="K6759" t="s">
        <v>38518</v>
      </c>
      <c r="M6759" t="s">
        <v>40103</v>
      </c>
      <c r="N6759" t="s">
        <v>42669</v>
      </c>
      <c r="O6759" t="s">
        <v>42670</v>
      </c>
      <c r="P6759">
        <v>0</v>
      </c>
      <c r="Q6759">
        <v>0</v>
      </c>
      <c r="R6759" t="s">
        <v>42677</v>
      </c>
      <c r="S6759" t="s">
        <v>42830</v>
      </c>
      <c r="T6759" t="s">
        <v>44425</v>
      </c>
      <c r="U6759" t="s">
        <v>50387</v>
      </c>
      <c r="W6759" t="s">
        <v>40103</v>
      </c>
      <c r="X6759" t="s">
        <v>42678</v>
      </c>
    </row>
    <row r="6760" spans="1:24">
      <c r="A6760">
        <f>HYPERLINK("https://www.philgeps.gov.ph/GEPSNONPILOT/Tender/SplashBidNoticeAbstractUI.aspx?menuIndex=3&amp;refID=7186429&amp;Result=3","7186429")</f>
        <v>0</v>
      </c>
      <c r="B6760" t="s">
        <v>2246</v>
      </c>
      <c r="C6760" t="s">
        <v>9992</v>
      </c>
      <c r="D6760" t="s">
        <v>17166</v>
      </c>
      <c r="E6760" t="s">
        <v>23094</v>
      </c>
      <c r="F6760" t="s">
        <v>29372</v>
      </c>
      <c r="G6760" t="s">
        <v>29383</v>
      </c>
      <c r="H6760" t="s">
        <v>11048</v>
      </c>
      <c r="I6760" t="s">
        <v>4709</v>
      </c>
      <c r="J6760" t="s">
        <v>33890</v>
      </c>
      <c r="K6760" t="s">
        <v>38491</v>
      </c>
      <c r="M6760" t="s">
        <v>41164</v>
      </c>
      <c r="N6760" t="s">
        <v>42669</v>
      </c>
      <c r="O6760" t="s">
        <v>42670</v>
      </c>
      <c r="P6760">
        <v>0</v>
      </c>
      <c r="Q6760">
        <v>0</v>
      </c>
      <c r="R6760" t="s">
        <v>42677</v>
      </c>
      <c r="S6760" t="s">
        <v>42830</v>
      </c>
      <c r="T6760" t="s">
        <v>44430</v>
      </c>
      <c r="U6760" t="s">
        <v>50363</v>
      </c>
      <c r="W6760" t="s">
        <v>58076</v>
      </c>
      <c r="X6760" t="s">
        <v>42678</v>
      </c>
    </row>
    <row r="6761" spans="1:24">
      <c r="A6761">
        <f>HYPERLINK("https://www.philgeps.gov.ph/GEPSNONPILOT/Tender/SplashBidNoticeAbstractUI.aspx?menuIndex=3&amp;refID=7186433&amp;Result=3","7186433")</f>
        <v>0</v>
      </c>
      <c r="B6761" t="s">
        <v>2157</v>
      </c>
      <c r="C6761" t="s">
        <v>9993</v>
      </c>
      <c r="D6761" t="s">
        <v>17148</v>
      </c>
      <c r="E6761" t="s">
        <v>23095</v>
      </c>
      <c r="F6761" t="s">
        <v>29372</v>
      </c>
      <c r="G6761" t="s">
        <v>29380</v>
      </c>
      <c r="H6761" t="s">
        <v>11048</v>
      </c>
      <c r="I6761" t="s">
        <v>9469</v>
      </c>
      <c r="J6761" t="s">
        <v>29549</v>
      </c>
      <c r="K6761" t="s">
        <v>38510</v>
      </c>
      <c r="M6761" t="s">
        <v>41067</v>
      </c>
      <c r="N6761" t="s">
        <v>42669</v>
      </c>
      <c r="O6761" t="s">
        <v>42670</v>
      </c>
      <c r="P6761">
        <v>0</v>
      </c>
      <c r="Q6761">
        <v>0</v>
      </c>
      <c r="R6761" t="s">
        <v>42677</v>
      </c>
      <c r="S6761" t="s">
        <v>42830</v>
      </c>
      <c r="T6761" t="s">
        <v>44476</v>
      </c>
      <c r="U6761" t="s">
        <v>50388</v>
      </c>
      <c r="W6761" t="s">
        <v>41067</v>
      </c>
      <c r="X6761" t="s">
        <v>42678</v>
      </c>
    </row>
    <row r="6762" spans="1:24">
      <c r="A6762">
        <f>HYPERLINK("https://www.philgeps.gov.ph/GEPSNONPILOT/Tender/SplashBidNoticeAbstractUI.aspx?menuIndex=3&amp;refID=7186426&amp;Result=3","7186426")</f>
        <v>0</v>
      </c>
      <c r="B6762" t="s">
        <v>761</v>
      </c>
      <c r="C6762" t="s">
        <v>9994</v>
      </c>
      <c r="D6762" t="s">
        <v>17183</v>
      </c>
      <c r="E6762" t="s">
        <v>23096</v>
      </c>
      <c r="F6762" t="s">
        <v>29372</v>
      </c>
      <c r="G6762" t="s">
        <v>29383</v>
      </c>
      <c r="H6762" t="s">
        <v>11048</v>
      </c>
      <c r="I6762" t="s">
        <v>29403</v>
      </c>
      <c r="J6762" t="s">
        <v>33891</v>
      </c>
      <c r="K6762" t="s">
        <v>38488</v>
      </c>
      <c r="M6762" t="s">
        <v>39544</v>
      </c>
      <c r="N6762" t="s">
        <v>42669</v>
      </c>
      <c r="O6762" t="s">
        <v>42670</v>
      </c>
      <c r="P6762">
        <v>0</v>
      </c>
      <c r="Q6762">
        <v>0</v>
      </c>
      <c r="R6762" t="s">
        <v>42677</v>
      </c>
      <c r="S6762" t="s">
        <v>42830</v>
      </c>
      <c r="T6762" t="s">
        <v>44491</v>
      </c>
      <c r="U6762" t="s">
        <v>50389</v>
      </c>
      <c r="W6762" t="s">
        <v>39544</v>
      </c>
      <c r="X6762" t="s">
        <v>42678</v>
      </c>
    </row>
    <row r="6763" spans="1:24">
      <c r="A6763">
        <f>HYPERLINK("https://www.philgeps.gov.ph/GEPSNONPILOT/Tender/SplashBidNoticeAbstractUI.aspx?menuIndex=3&amp;refID=7186475&amp;Result=3","7186475")</f>
        <v>0</v>
      </c>
      <c r="B6763" t="s">
        <v>2252</v>
      </c>
      <c r="C6763" t="s">
        <v>9995</v>
      </c>
      <c r="D6763" t="s">
        <v>17183</v>
      </c>
      <c r="E6763" t="s">
        <v>23097</v>
      </c>
      <c r="F6763" t="s">
        <v>29372</v>
      </c>
      <c r="G6763" t="s">
        <v>29380</v>
      </c>
      <c r="H6763" t="s">
        <v>11048</v>
      </c>
      <c r="I6763" t="s">
        <v>3839</v>
      </c>
      <c r="J6763" t="s">
        <v>29590</v>
      </c>
      <c r="K6763" t="s">
        <v>38495</v>
      </c>
      <c r="M6763" t="s">
        <v>41173</v>
      </c>
      <c r="N6763" t="s">
        <v>42669</v>
      </c>
      <c r="O6763" t="s">
        <v>42670</v>
      </c>
      <c r="P6763">
        <v>0</v>
      </c>
      <c r="Q6763">
        <v>4</v>
      </c>
      <c r="R6763" t="s">
        <v>42677</v>
      </c>
      <c r="S6763" t="s">
        <v>42830</v>
      </c>
      <c r="T6763" t="s">
        <v>44386</v>
      </c>
      <c r="U6763" t="s">
        <v>50390</v>
      </c>
      <c r="V6763" t="s">
        <v>56675</v>
      </c>
      <c r="W6763" t="s">
        <v>41173</v>
      </c>
      <c r="X6763" t="s">
        <v>42678</v>
      </c>
    </row>
    <row r="6764" spans="1:24">
      <c r="A6764">
        <f>HYPERLINK("https://www.philgeps.gov.ph/GEPSNONPILOT/Tender/SplashBidNoticeAbstractUI.aspx?menuIndex=3&amp;refID=7186439&amp;Result=3","7186439")</f>
        <v>0</v>
      </c>
      <c r="B6764" t="s">
        <v>989</v>
      </c>
      <c r="C6764" t="s">
        <v>9996</v>
      </c>
      <c r="D6764" t="s">
        <v>17197</v>
      </c>
      <c r="E6764" t="s">
        <v>23098</v>
      </c>
      <c r="F6764" t="s">
        <v>29372</v>
      </c>
      <c r="G6764" t="s">
        <v>29379</v>
      </c>
      <c r="H6764" t="s">
        <v>11048</v>
      </c>
      <c r="I6764" t="s">
        <v>29465</v>
      </c>
      <c r="J6764" t="s">
        <v>29892</v>
      </c>
      <c r="K6764" t="s">
        <v>38488</v>
      </c>
      <c r="M6764" t="s">
        <v>41171</v>
      </c>
      <c r="N6764" t="s">
        <v>42669</v>
      </c>
      <c r="O6764" t="s">
        <v>42670</v>
      </c>
      <c r="P6764">
        <v>0</v>
      </c>
      <c r="Q6764">
        <v>0</v>
      </c>
      <c r="R6764" t="s">
        <v>42677</v>
      </c>
      <c r="S6764" t="s">
        <v>42830</v>
      </c>
      <c r="T6764" t="s">
        <v>44401</v>
      </c>
      <c r="U6764" t="s">
        <v>50383</v>
      </c>
      <c r="W6764" t="s">
        <v>41171</v>
      </c>
      <c r="X6764" t="s">
        <v>42678</v>
      </c>
    </row>
    <row r="6765" spans="1:24">
      <c r="A6765">
        <f>HYPERLINK("https://www.philgeps.gov.ph/GEPSNONPILOT/Tender/SplashBidNoticeAbstractUI.aspx?menuIndex=3&amp;refID=7186473&amp;Result=3","7186473")</f>
        <v>0</v>
      </c>
      <c r="B6765" t="s">
        <v>2250</v>
      </c>
      <c r="C6765" t="s">
        <v>9997</v>
      </c>
      <c r="D6765" t="s">
        <v>17194</v>
      </c>
      <c r="E6765" t="s">
        <v>23099</v>
      </c>
      <c r="F6765" t="s">
        <v>29372</v>
      </c>
      <c r="G6765" t="s">
        <v>29383</v>
      </c>
      <c r="H6765" t="s">
        <v>11048</v>
      </c>
      <c r="I6765" t="s">
        <v>29424</v>
      </c>
      <c r="J6765" t="s">
        <v>33890</v>
      </c>
      <c r="K6765" t="s">
        <v>38511</v>
      </c>
      <c r="M6765" t="s">
        <v>41169</v>
      </c>
      <c r="N6765" t="s">
        <v>42669</v>
      </c>
      <c r="O6765" t="s">
        <v>42670</v>
      </c>
      <c r="P6765">
        <v>0</v>
      </c>
      <c r="Q6765">
        <v>1</v>
      </c>
      <c r="R6765" t="s">
        <v>42677</v>
      </c>
      <c r="S6765" t="s">
        <v>42830</v>
      </c>
      <c r="T6765" t="s">
        <v>44493</v>
      </c>
      <c r="U6765" t="s">
        <v>50378</v>
      </c>
      <c r="W6765" t="s">
        <v>41169</v>
      </c>
      <c r="X6765" t="s">
        <v>42678</v>
      </c>
    </row>
    <row r="6766" spans="1:24">
      <c r="A6766">
        <f>HYPERLINK("https://www.philgeps.gov.ph/GEPSNONPILOT/Tender/SplashBidNoticeAbstractUI.aspx?menuIndex=3&amp;refID=7186437&amp;Result=3","7186437")</f>
        <v>0</v>
      </c>
      <c r="B6766" t="s">
        <v>2237</v>
      </c>
      <c r="C6766" t="s">
        <v>9998</v>
      </c>
      <c r="D6766" t="s">
        <v>17166</v>
      </c>
      <c r="E6766" t="s">
        <v>23100</v>
      </c>
      <c r="F6766" t="s">
        <v>29372</v>
      </c>
      <c r="G6766" t="s">
        <v>29380</v>
      </c>
      <c r="H6766" t="s">
        <v>29389</v>
      </c>
      <c r="I6766" t="s">
        <v>10408</v>
      </c>
      <c r="J6766" t="s">
        <v>33892</v>
      </c>
      <c r="K6766" t="s">
        <v>38522</v>
      </c>
      <c r="M6766" t="s">
        <v>41155</v>
      </c>
      <c r="N6766" t="s">
        <v>42669</v>
      </c>
      <c r="O6766" t="s">
        <v>42670</v>
      </c>
      <c r="P6766">
        <v>0</v>
      </c>
      <c r="Q6766">
        <v>3</v>
      </c>
      <c r="R6766" t="s">
        <v>42677</v>
      </c>
      <c r="S6766" t="s">
        <v>42830</v>
      </c>
      <c r="T6766" t="s">
        <v>44430</v>
      </c>
      <c r="U6766" t="s">
        <v>50391</v>
      </c>
      <c r="W6766" t="s">
        <v>41155</v>
      </c>
      <c r="X6766" t="s">
        <v>42678</v>
      </c>
    </row>
    <row r="6767" spans="1:24">
      <c r="A6767">
        <f>HYPERLINK("https://www.philgeps.gov.ph/GEPSNONPILOT/Tender/SplashBidNoticeAbstractUI.aspx?menuIndex=3&amp;refID=7186428&amp;Result=3","7186428")</f>
        <v>0</v>
      </c>
      <c r="B6767" t="s">
        <v>1066</v>
      </c>
      <c r="C6767" t="s">
        <v>9999</v>
      </c>
      <c r="D6767" t="s">
        <v>17141</v>
      </c>
      <c r="E6767" t="s">
        <v>23101</v>
      </c>
      <c r="F6767" t="s">
        <v>29372</v>
      </c>
      <c r="G6767" t="s">
        <v>29379</v>
      </c>
      <c r="H6767" t="s">
        <v>11048</v>
      </c>
      <c r="I6767" t="s">
        <v>29401</v>
      </c>
      <c r="J6767" t="s">
        <v>33893</v>
      </c>
      <c r="K6767" t="s">
        <v>38490</v>
      </c>
      <c r="M6767" t="s">
        <v>39873</v>
      </c>
      <c r="N6767" t="s">
        <v>42669</v>
      </c>
      <c r="O6767" t="s">
        <v>42670</v>
      </c>
      <c r="P6767">
        <v>0</v>
      </c>
      <c r="Q6767">
        <v>1</v>
      </c>
      <c r="R6767" t="s">
        <v>42677</v>
      </c>
      <c r="S6767" t="s">
        <v>42830</v>
      </c>
      <c r="T6767" t="s">
        <v>44488</v>
      </c>
      <c r="U6767" t="s">
        <v>50392</v>
      </c>
      <c r="W6767" t="s">
        <v>39873</v>
      </c>
      <c r="X6767" t="s">
        <v>42678</v>
      </c>
    </row>
    <row r="6768" spans="1:24">
      <c r="A6768">
        <f>HYPERLINK("https://www.philgeps.gov.ph/GEPSNONPILOT/Tender/SplashBidNoticeAbstractUI.aspx?menuIndex=3&amp;refID=7186445&amp;Result=3","7186445")</f>
        <v>0</v>
      </c>
      <c r="B6768" t="s">
        <v>2253</v>
      </c>
      <c r="C6768" t="s">
        <v>10000</v>
      </c>
      <c r="D6768" t="s">
        <v>17181</v>
      </c>
      <c r="E6768" t="s">
        <v>23102</v>
      </c>
      <c r="F6768" t="s">
        <v>29372</v>
      </c>
      <c r="G6768" t="s">
        <v>29380</v>
      </c>
      <c r="H6768" t="s">
        <v>29391</v>
      </c>
      <c r="I6768" t="s">
        <v>29391</v>
      </c>
      <c r="J6768" t="s">
        <v>33894</v>
      </c>
      <c r="K6768" t="s">
        <v>38533</v>
      </c>
      <c r="M6768" t="s">
        <v>41174</v>
      </c>
      <c r="N6768" t="s">
        <v>42669</v>
      </c>
      <c r="O6768" t="s">
        <v>42670</v>
      </c>
      <c r="P6768">
        <v>0</v>
      </c>
      <c r="Q6768">
        <v>9</v>
      </c>
      <c r="R6768" t="s">
        <v>42677</v>
      </c>
      <c r="S6768" t="s">
        <v>42830</v>
      </c>
      <c r="T6768" t="s">
        <v>44408</v>
      </c>
      <c r="U6768" t="s">
        <v>50393</v>
      </c>
      <c r="W6768" t="s">
        <v>41174</v>
      </c>
      <c r="X6768" t="s">
        <v>42678</v>
      </c>
    </row>
    <row r="6769" spans="1:24">
      <c r="A6769">
        <f>HYPERLINK("https://www.philgeps.gov.ph/GEPSNONPILOT/Tender/SplashBidNoticeAbstractUI.aspx?menuIndex=3&amp;refID=7185685&amp;Result=3","7185685")</f>
        <v>0</v>
      </c>
      <c r="B6769" t="s">
        <v>2160</v>
      </c>
      <c r="C6769" t="s">
        <v>10001</v>
      </c>
      <c r="D6769" t="s">
        <v>17159</v>
      </c>
      <c r="E6769" t="s">
        <v>23103</v>
      </c>
      <c r="F6769" t="s">
        <v>29372</v>
      </c>
      <c r="G6769" t="s">
        <v>29380</v>
      </c>
      <c r="H6769" t="s">
        <v>11048</v>
      </c>
      <c r="I6769" t="s">
        <v>29404</v>
      </c>
      <c r="J6769" t="s">
        <v>29804</v>
      </c>
      <c r="K6769" t="s">
        <v>38485</v>
      </c>
      <c r="M6769" t="s">
        <v>41071</v>
      </c>
      <c r="N6769" t="s">
        <v>42669</v>
      </c>
      <c r="O6769" t="s">
        <v>42670</v>
      </c>
      <c r="P6769">
        <v>0</v>
      </c>
      <c r="Q6769">
        <v>0</v>
      </c>
      <c r="R6769" t="s">
        <v>42677</v>
      </c>
      <c r="S6769" t="s">
        <v>42830</v>
      </c>
      <c r="T6769" t="s">
        <v>44401</v>
      </c>
      <c r="U6769" t="s">
        <v>50394</v>
      </c>
      <c r="W6769" t="s">
        <v>41071</v>
      </c>
      <c r="X6769" t="s">
        <v>42678</v>
      </c>
    </row>
    <row r="6770" spans="1:24">
      <c r="A6770">
        <f>HYPERLINK("https://www.philgeps.gov.ph/GEPSNONPILOT/Tender/SplashBidNoticeAbstractUI.aspx?menuIndex=3&amp;refID=7186472&amp;Result=3","7186472")</f>
        <v>0</v>
      </c>
      <c r="B6770" t="s">
        <v>2254</v>
      </c>
      <c r="C6770" t="s">
        <v>10002</v>
      </c>
      <c r="D6770" t="s">
        <v>17141</v>
      </c>
      <c r="E6770" t="s">
        <v>23104</v>
      </c>
      <c r="F6770" t="s">
        <v>29372</v>
      </c>
      <c r="G6770" t="s">
        <v>29380</v>
      </c>
      <c r="H6770" t="s">
        <v>11048</v>
      </c>
      <c r="I6770" t="s">
        <v>10408</v>
      </c>
      <c r="J6770" t="s">
        <v>33011</v>
      </c>
      <c r="K6770" t="s">
        <v>38496</v>
      </c>
      <c r="M6770" t="s">
        <v>41175</v>
      </c>
      <c r="N6770" t="s">
        <v>42669</v>
      </c>
      <c r="O6770" t="s">
        <v>42670</v>
      </c>
      <c r="P6770">
        <v>0</v>
      </c>
      <c r="Q6770">
        <v>3</v>
      </c>
      <c r="R6770" t="s">
        <v>42677</v>
      </c>
      <c r="S6770" t="s">
        <v>42830</v>
      </c>
      <c r="T6770" t="s">
        <v>44737</v>
      </c>
      <c r="U6770" t="s">
        <v>50395</v>
      </c>
      <c r="W6770" t="s">
        <v>41175</v>
      </c>
      <c r="X6770" t="s">
        <v>42678</v>
      </c>
    </row>
    <row r="6771" spans="1:24">
      <c r="A6771">
        <f>HYPERLINK("https://www.philgeps.gov.ph/GEPSNONPILOT/Tender/SplashBidNoticeAbstractUI.aspx?menuIndex=3&amp;refID=7186464&amp;Result=3","7186464")</f>
        <v>0</v>
      </c>
      <c r="B6771" t="s">
        <v>1812</v>
      </c>
      <c r="C6771" t="s">
        <v>10003</v>
      </c>
      <c r="D6771" t="s">
        <v>17194</v>
      </c>
      <c r="E6771" t="s">
        <v>23105</v>
      </c>
      <c r="F6771" t="s">
        <v>29372</v>
      </c>
      <c r="G6771" t="s">
        <v>29380</v>
      </c>
      <c r="H6771" t="s">
        <v>11048</v>
      </c>
      <c r="I6771" t="s">
        <v>3839</v>
      </c>
      <c r="J6771" t="s">
        <v>30046</v>
      </c>
      <c r="K6771" t="s">
        <v>38490</v>
      </c>
      <c r="M6771" t="s">
        <v>40683</v>
      </c>
      <c r="N6771" t="s">
        <v>42669</v>
      </c>
      <c r="O6771" t="s">
        <v>42670</v>
      </c>
      <c r="P6771">
        <v>0</v>
      </c>
      <c r="Q6771">
        <v>1</v>
      </c>
      <c r="R6771" t="s">
        <v>42677</v>
      </c>
      <c r="S6771" t="s">
        <v>42830</v>
      </c>
      <c r="T6771" t="s">
        <v>44354</v>
      </c>
      <c r="U6771" t="s">
        <v>50396</v>
      </c>
      <c r="W6771" t="s">
        <v>40683</v>
      </c>
      <c r="X6771" t="s">
        <v>42678</v>
      </c>
    </row>
    <row r="6772" spans="1:24">
      <c r="A6772">
        <f>HYPERLINK("https://www.philgeps.gov.ph/GEPSNONPILOT/Tender/SplashBidNoticeAbstractUI.aspx?menuIndex=3&amp;refID=7186463&amp;Result=3","7186463")</f>
        <v>0</v>
      </c>
      <c r="B6772" t="s">
        <v>761</v>
      </c>
      <c r="C6772" t="s">
        <v>10004</v>
      </c>
      <c r="D6772" t="s">
        <v>17183</v>
      </c>
      <c r="E6772" t="s">
        <v>23106</v>
      </c>
      <c r="F6772" t="s">
        <v>29372</v>
      </c>
      <c r="G6772" t="s">
        <v>29383</v>
      </c>
      <c r="H6772" t="s">
        <v>11048</v>
      </c>
      <c r="I6772" t="s">
        <v>3629</v>
      </c>
      <c r="J6772" t="s">
        <v>31295</v>
      </c>
      <c r="K6772" t="s">
        <v>38488</v>
      </c>
      <c r="M6772" t="s">
        <v>39544</v>
      </c>
      <c r="N6772" t="s">
        <v>42669</v>
      </c>
      <c r="O6772" t="s">
        <v>42670</v>
      </c>
      <c r="P6772">
        <v>0</v>
      </c>
      <c r="Q6772">
        <v>1</v>
      </c>
      <c r="R6772" t="s">
        <v>42677</v>
      </c>
      <c r="S6772" t="s">
        <v>42830</v>
      </c>
      <c r="T6772" t="s">
        <v>44491</v>
      </c>
      <c r="U6772" t="s">
        <v>50397</v>
      </c>
      <c r="W6772" t="s">
        <v>39544</v>
      </c>
      <c r="X6772" t="s">
        <v>42678</v>
      </c>
    </row>
    <row r="6773" spans="1:24">
      <c r="A6773">
        <f>HYPERLINK("https://www.philgeps.gov.ph/GEPSNONPILOT/Tender/SplashBidNoticeAbstractUI.aspx?menuIndex=3&amp;refID=7186461&amp;Result=3","7186461")</f>
        <v>0</v>
      </c>
      <c r="B6773" t="s">
        <v>2237</v>
      </c>
      <c r="C6773" t="s">
        <v>10005</v>
      </c>
      <c r="D6773" t="s">
        <v>17166</v>
      </c>
      <c r="E6773" t="s">
        <v>18931</v>
      </c>
      <c r="F6773" t="s">
        <v>29372</v>
      </c>
      <c r="G6773" t="s">
        <v>29380</v>
      </c>
      <c r="H6773" t="s">
        <v>29389</v>
      </c>
      <c r="I6773" t="s">
        <v>10408</v>
      </c>
      <c r="J6773" t="s">
        <v>33895</v>
      </c>
      <c r="K6773" t="s">
        <v>38522</v>
      </c>
      <c r="M6773" t="s">
        <v>41155</v>
      </c>
      <c r="N6773" t="s">
        <v>42669</v>
      </c>
      <c r="O6773" t="s">
        <v>42670</v>
      </c>
      <c r="P6773">
        <v>0</v>
      </c>
      <c r="Q6773">
        <v>3</v>
      </c>
      <c r="R6773" t="s">
        <v>42677</v>
      </c>
      <c r="S6773" t="s">
        <v>42830</v>
      </c>
      <c r="T6773" t="s">
        <v>44456</v>
      </c>
      <c r="U6773" t="s">
        <v>50398</v>
      </c>
      <c r="W6773" t="s">
        <v>41155</v>
      </c>
      <c r="X6773" t="s">
        <v>42678</v>
      </c>
    </row>
    <row r="6774" spans="1:24">
      <c r="A6774">
        <f>HYPERLINK("https://www.philgeps.gov.ph/GEPSNONPILOT/Tender/SplashBidNoticeAbstractUI.aspx?menuIndex=3&amp;refID=7186462&amp;Result=3","7186462")</f>
        <v>0</v>
      </c>
      <c r="B6774" t="s">
        <v>1276</v>
      </c>
      <c r="C6774" t="s">
        <v>10006</v>
      </c>
      <c r="D6774" t="s">
        <v>17168</v>
      </c>
      <c r="E6774" t="s">
        <v>23107</v>
      </c>
      <c r="F6774" t="s">
        <v>29372</v>
      </c>
      <c r="G6774" t="s">
        <v>29380</v>
      </c>
      <c r="H6774" t="s">
        <v>11048</v>
      </c>
      <c r="I6774" t="s">
        <v>5383</v>
      </c>
      <c r="J6774" t="s">
        <v>33896</v>
      </c>
      <c r="K6774" t="s">
        <v>38518</v>
      </c>
      <c r="M6774" t="s">
        <v>40103</v>
      </c>
      <c r="N6774" t="s">
        <v>42669</v>
      </c>
      <c r="O6774" t="s">
        <v>42670</v>
      </c>
      <c r="P6774">
        <v>0</v>
      </c>
      <c r="Q6774">
        <v>2</v>
      </c>
      <c r="R6774" t="s">
        <v>42677</v>
      </c>
      <c r="S6774" t="s">
        <v>42830</v>
      </c>
      <c r="T6774" t="s">
        <v>44425</v>
      </c>
      <c r="U6774" t="s">
        <v>50399</v>
      </c>
      <c r="W6774" t="s">
        <v>40103</v>
      </c>
      <c r="X6774" t="s">
        <v>42678</v>
      </c>
    </row>
    <row r="6775" spans="1:24">
      <c r="A6775">
        <f>HYPERLINK("https://www.philgeps.gov.ph/GEPSNONPILOT/Tender/SplashBidNoticeAbstractUI.aspx?menuIndex=3&amp;refID=7186456&amp;Result=3","7186456")</f>
        <v>0</v>
      </c>
      <c r="B6775" t="s">
        <v>2251</v>
      </c>
      <c r="C6775" t="s">
        <v>10007</v>
      </c>
      <c r="D6775" t="s">
        <v>17209</v>
      </c>
      <c r="E6775" t="s">
        <v>19716</v>
      </c>
      <c r="F6775" t="s">
        <v>29372</v>
      </c>
      <c r="G6775" t="s">
        <v>29380</v>
      </c>
      <c r="H6775" t="s">
        <v>11048</v>
      </c>
      <c r="I6775" t="s">
        <v>3695</v>
      </c>
      <c r="J6775" t="s">
        <v>33897</v>
      </c>
      <c r="K6775" t="s">
        <v>38485</v>
      </c>
      <c r="M6775" t="s">
        <v>41172</v>
      </c>
      <c r="N6775" t="s">
        <v>42669</v>
      </c>
      <c r="O6775" t="s">
        <v>42670</v>
      </c>
      <c r="P6775">
        <v>0</v>
      </c>
      <c r="Q6775">
        <v>7</v>
      </c>
      <c r="R6775" t="s">
        <v>42677</v>
      </c>
      <c r="S6775" t="s">
        <v>42830</v>
      </c>
      <c r="T6775" t="s">
        <v>44559</v>
      </c>
      <c r="U6775" t="s">
        <v>50386</v>
      </c>
      <c r="W6775" t="s">
        <v>41172</v>
      </c>
      <c r="X6775" t="s">
        <v>42678</v>
      </c>
    </row>
    <row r="6776" spans="1:24">
      <c r="A6776">
        <f>HYPERLINK("https://www.philgeps.gov.ph/GEPSNONPILOT/Tender/SplashBidNoticeAbstractUI.aspx?menuIndex=3&amp;refID=7186236&amp;Result=3","7186236")</f>
        <v>0</v>
      </c>
      <c r="B6776" t="s">
        <v>2237</v>
      </c>
      <c r="C6776" t="s">
        <v>10008</v>
      </c>
      <c r="D6776" t="s">
        <v>17166</v>
      </c>
      <c r="E6776" t="s">
        <v>19807</v>
      </c>
      <c r="F6776" t="s">
        <v>29372</v>
      </c>
      <c r="G6776" t="s">
        <v>29380</v>
      </c>
      <c r="H6776" t="s">
        <v>29389</v>
      </c>
      <c r="I6776" t="s">
        <v>10408</v>
      </c>
      <c r="J6776" t="s">
        <v>33898</v>
      </c>
      <c r="K6776" t="s">
        <v>38522</v>
      </c>
      <c r="M6776" t="s">
        <v>41155</v>
      </c>
      <c r="N6776" t="s">
        <v>42669</v>
      </c>
      <c r="O6776" t="s">
        <v>42670</v>
      </c>
      <c r="P6776">
        <v>0</v>
      </c>
      <c r="Q6776">
        <v>3</v>
      </c>
      <c r="R6776" t="s">
        <v>42677</v>
      </c>
      <c r="S6776" t="s">
        <v>42830</v>
      </c>
      <c r="T6776" t="s">
        <v>44456</v>
      </c>
      <c r="U6776" t="s">
        <v>50400</v>
      </c>
      <c r="W6776" t="s">
        <v>41155</v>
      </c>
      <c r="X6776" t="s">
        <v>42678</v>
      </c>
    </row>
    <row r="6777" spans="1:24">
      <c r="A6777">
        <f>HYPERLINK("https://www.philgeps.gov.ph/GEPSNONPILOT/Tender/SplashBidNoticeAbstractUI.aspx?menuIndex=3&amp;refID=7186453&amp;Result=3","7186453")</f>
        <v>0</v>
      </c>
      <c r="B6777" t="s">
        <v>761</v>
      </c>
      <c r="C6777" t="s">
        <v>10009</v>
      </c>
      <c r="D6777" t="s">
        <v>17183</v>
      </c>
      <c r="E6777" t="s">
        <v>23108</v>
      </c>
      <c r="F6777" t="s">
        <v>29372</v>
      </c>
      <c r="G6777" t="s">
        <v>29383</v>
      </c>
      <c r="H6777" t="s">
        <v>11048</v>
      </c>
      <c r="I6777" t="s">
        <v>29398</v>
      </c>
      <c r="J6777" t="s">
        <v>31865</v>
      </c>
      <c r="K6777" t="s">
        <v>38488</v>
      </c>
      <c r="M6777" t="s">
        <v>39544</v>
      </c>
      <c r="N6777" t="s">
        <v>42669</v>
      </c>
      <c r="O6777" t="s">
        <v>42670</v>
      </c>
      <c r="P6777">
        <v>0</v>
      </c>
      <c r="Q6777">
        <v>1</v>
      </c>
      <c r="R6777" t="s">
        <v>42677</v>
      </c>
      <c r="S6777" t="s">
        <v>42830</v>
      </c>
      <c r="T6777" t="s">
        <v>44491</v>
      </c>
      <c r="U6777" t="s">
        <v>50401</v>
      </c>
      <c r="W6777" t="s">
        <v>39544</v>
      </c>
      <c r="X6777" t="s">
        <v>42678</v>
      </c>
    </row>
    <row r="6778" spans="1:24">
      <c r="A6778">
        <f>HYPERLINK("https://www.philgeps.gov.ph/GEPSNONPILOT/Tender/SplashBidNoticeAbstractUI.aspx?menuIndex=3&amp;refID=7186466&amp;Result=3","7186466")</f>
        <v>0</v>
      </c>
      <c r="B6778" t="s">
        <v>1066</v>
      </c>
      <c r="C6778" t="s">
        <v>10010</v>
      </c>
      <c r="D6778" t="s">
        <v>17141</v>
      </c>
      <c r="E6778" t="s">
        <v>23109</v>
      </c>
      <c r="F6778" t="s">
        <v>29372</v>
      </c>
      <c r="G6778" t="s">
        <v>29379</v>
      </c>
      <c r="H6778" t="s">
        <v>11048</v>
      </c>
      <c r="I6778" t="s">
        <v>29415</v>
      </c>
      <c r="J6778" t="s">
        <v>33899</v>
      </c>
      <c r="K6778" t="s">
        <v>38490</v>
      </c>
      <c r="M6778" t="s">
        <v>39873</v>
      </c>
      <c r="N6778" t="s">
        <v>42669</v>
      </c>
      <c r="O6778" t="s">
        <v>42670</v>
      </c>
      <c r="P6778">
        <v>0</v>
      </c>
      <c r="Q6778">
        <v>4</v>
      </c>
      <c r="R6778" t="s">
        <v>42677</v>
      </c>
      <c r="S6778" t="s">
        <v>42830</v>
      </c>
      <c r="T6778" t="s">
        <v>44488</v>
      </c>
      <c r="U6778" t="s">
        <v>50402</v>
      </c>
      <c r="W6778" t="s">
        <v>39873</v>
      </c>
      <c r="X6778" t="s">
        <v>42678</v>
      </c>
    </row>
    <row r="6779" spans="1:24">
      <c r="A6779">
        <f>HYPERLINK("https://www.philgeps.gov.ph/GEPSNONPILOT/Tender/SplashBidNoticeAbstractUI.aspx?menuIndex=3&amp;refID=7186450&amp;Result=3","7186450")</f>
        <v>0</v>
      </c>
      <c r="B6779" t="s">
        <v>1828</v>
      </c>
      <c r="C6779" t="s">
        <v>10011</v>
      </c>
      <c r="D6779" t="s">
        <v>17197</v>
      </c>
      <c r="E6779" t="s">
        <v>21736</v>
      </c>
      <c r="F6779" t="s">
        <v>29372</v>
      </c>
      <c r="G6779" t="s">
        <v>29380</v>
      </c>
      <c r="H6779" t="s">
        <v>29389</v>
      </c>
      <c r="I6779" t="s">
        <v>10408</v>
      </c>
      <c r="J6779" t="s">
        <v>31276</v>
      </c>
      <c r="K6779" t="s">
        <v>38496</v>
      </c>
      <c r="M6779" t="s">
        <v>40699</v>
      </c>
      <c r="N6779" t="s">
        <v>42669</v>
      </c>
      <c r="O6779" t="s">
        <v>42670</v>
      </c>
      <c r="P6779">
        <v>0</v>
      </c>
      <c r="Q6779">
        <v>0</v>
      </c>
      <c r="R6779" t="s">
        <v>42677</v>
      </c>
      <c r="S6779" t="s">
        <v>42830</v>
      </c>
      <c r="T6779" t="s">
        <v>44425</v>
      </c>
      <c r="U6779" t="s">
        <v>50403</v>
      </c>
      <c r="W6779" t="s">
        <v>40699</v>
      </c>
      <c r="X6779" t="s">
        <v>42678</v>
      </c>
    </row>
    <row r="6780" spans="1:24">
      <c r="A6780">
        <f>HYPERLINK("https://www.philgeps.gov.ph/GEPSNONPILOT/Tender/SplashBidNoticeAbstractUI.aspx?menuIndex=3&amp;refID=7186447&amp;Result=3","7186447")</f>
        <v>0</v>
      </c>
      <c r="B6780" t="s">
        <v>2246</v>
      </c>
      <c r="C6780" t="s">
        <v>10012</v>
      </c>
      <c r="D6780" t="s">
        <v>17166</v>
      </c>
      <c r="E6780" t="s">
        <v>23110</v>
      </c>
      <c r="F6780" t="s">
        <v>29372</v>
      </c>
      <c r="G6780" t="s">
        <v>29383</v>
      </c>
      <c r="H6780" t="s">
        <v>11048</v>
      </c>
      <c r="I6780" t="s">
        <v>4709</v>
      </c>
      <c r="J6780" t="s">
        <v>33900</v>
      </c>
      <c r="K6780" t="s">
        <v>38491</v>
      </c>
      <c r="M6780" t="s">
        <v>41164</v>
      </c>
      <c r="N6780" t="s">
        <v>42669</v>
      </c>
      <c r="O6780" t="s">
        <v>42670</v>
      </c>
      <c r="P6780">
        <v>0</v>
      </c>
      <c r="Q6780">
        <v>0</v>
      </c>
      <c r="R6780" t="s">
        <v>42677</v>
      </c>
      <c r="S6780" t="s">
        <v>42830</v>
      </c>
      <c r="T6780" t="s">
        <v>44430</v>
      </c>
      <c r="U6780" t="s">
        <v>50363</v>
      </c>
      <c r="W6780" t="s">
        <v>58076</v>
      </c>
      <c r="X6780" t="s">
        <v>42678</v>
      </c>
    </row>
    <row r="6781" spans="1:24">
      <c r="A6781">
        <f>HYPERLINK("https://www.philgeps.gov.ph/GEPSNONPILOT/Tender/SplashBidNoticeAbstractUI.aspx?menuIndex=3&amp;refID=7186425&amp;Result=3","7186425")</f>
        <v>0</v>
      </c>
      <c r="B6781" t="s">
        <v>2020</v>
      </c>
      <c r="C6781" t="s">
        <v>10013</v>
      </c>
      <c r="D6781" t="s">
        <v>17177</v>
      </c>
      <c r="E6781" t="s">
        <v>23111</v>
      </c>
      <c r="F6781" t="s">
        <v>29372</v>
      </c>
      <c r="G6781" t="s">
        <v>29379</v>
      </c>
      <c r="H6781" t="s">
        <v>29389</v>
      </c>
      <c r="I6781" t="s">
        <v>10408</v>
      </c>
      <c r="J6781" t="s">
        <v>33901</v>
      </c>
      <c r="K6781" t="s">
        <v>38503</v>
      </c>
      <c r="M6781" t="s">
        <v>40912</v>
      </c>
      <c r="N6781" t="s">
        <v>42669</v>
      </c>
      <c r="O6781" t="s">
        <v>42670</v>
      </c>
      <c r="P6781">
        <v>0</v>
      </c>
      <c r="Q6781">
        <v>0</v>
      </c>
      <c r="R6781" t="s">
        <v>42677</v>
      </c>
      <c r="S6781" t="s">
        <v>42830</v>
      </c>
      <c r="T6781" t="s">
        <v>44488</v>
      </c>
      <c r="U6781" t="s">
        <v>50404</v>
      </c>
      <c r="W6781" t="s">
        <v>40912</v>
      </c>
      <c r="X6781" t="s">
        <v>42678</v>
      </c>
    </row>
    <row r="6782" spans="1:24">
      <c r="A6782">
        <f>HYPERLINK("https://www.philgeps.gov.ph/GEPSNONPILOT/Tender/SplashBidNoticeAbstractUI.aspx?menuIndex=3&amp;refID=7186460&amp;Result=3","7186460")</f>
        <v>0</v>
      </c>
      <c r="B6782" t="s">
        <v>2252</v>
      </c>
      <c r="C6782" t="s">
        <v>10014</v>
      </c>
      <c r="D6782" t="s">
        <v>17183</v>
      </c>
      <c r="E6782" t="s">
        <v>23112</v>
      </c>
      <c r="F6782" t="s">
        <v>29372</v>
      </c>
      <c r="G6782" t="s">
        <v>29380</v>
      </c>
      <c r="H6782" t="s">
        <v>11048</v>
      </c>
      <c r="I6782" t="s">
        <v>9469</v>
      </c>
      <c r="J6782" t="s">
        <v>33902</v>
      </c>
      <c r="K6782" t="s">
        <v>38495</v>
      </c>
      <c r="M6782" t="s">
        <v>41173</v>
      </c>
      <c r="N6782" t="s">
        <v>42669</v>
      </c>
      <c r="O6782" t="s">
        <v>42670</v>
      </c>
      <c r="P6782">
        <v>0</v>
      </c>
      <c r="Q6782">
        <v>11</v>
      </c>
      <c r="R6782" t="s">
        <v>42677</v>
      </c>
      <c r="S6782" t="s">
        <v>42830</v>
      </c>
      <c r="T6782" t="s">
        <v>44442</v>
      </c>
      <c r="U6782" t="s">
        <v>50405</v>
      </c>
      <c r="V6782" t="s">
        <v>57105</v>
      </c>
      <c r="W6782" t="s">
        <v>41173</v>
      </c>
      <c r="X6782" t="s">
        <v>42678</v>
      </c>
    </row>
    <row r="6783" spans="1:24">
      <c r="A6783">
        <f>HYPERLINK("https://www.philgeps.gov.ph/GEPSNONPILOT/Tender/SplashBidNoticeAbstractUI.aspx?menuIndex=3&amp;refID=7186454&amp;Result=3","7186454")</f>
        <v>0</v>
      </c>
      <c r="B6783" t="s">
        <v>589</v>
      </c>
      <c r="C6783" t="s">
        <v>10015</v>
      </c>
      <c r="D6783" t="s">
        <v>17168</v>
      </c>
      <c r="E6783" t="s">
        <v>23113</v>
      </c>
      <c r="F6783" t="s">
        <v>29372</v>
      </c>
      <c r="G6783" t="s">
        <v>29380</v>
      </c>
      <c r="H6783" t="s">
        <v>11048</v>
      </c>
      <c r="I6783" t="s">
        <v>3695</v>
      </c>
      <c r="J6783" t="s">
        <v>33903</v>
      </c>
      <c r="K6783" t="s">
        <v>38538</v>
      </c>
      <c r="M6783" t="s">
        <v>39358</v>
      </c>
      <c r="N6783" t="s">
        <v>42669</v>
      </c>
      <c r="O6783" t="s">
        <v>42670</v>
      </c>
      <c r="P6783">
        <v>0</v>
      </c>
      <c r="Q6783">
        <v>0</v>
      </c>
      <c r="R6783" t="s">
        <v>42677</v>
      </c>
      <c r="S6783" t="s">
        <v>42830</v>
      </c>
      <c r="T6783" t="s">
        <v>44427</v>
      </c>
      <c r="U6783" t="s">
        <v>50406</v>
      </c>
      <c r="V6783" t="s">
        <v>56701</v>
      </c>
      <c r="W6783" t="s">
        <v>39358</v>
      </c>
      <c r="X6783" t="s">
        <v>42678</v>
      </c>
    </row>
    <row r="6784" spans="1:24">
      <c r="A6784">
        <f>HYPERLINK("https://www.philgeps.gov.ph/GEPSNONPILOT/Tender/SplashBidNoticeAbstractUI.aspx?menuIndex=3&amp;refID=7186452&amp;Result=3","7186452")</f>
        <v>0</v>
      </c>
      <c r="B6784" t="s">
        <v>1850</v>
      </c>
      <c r="C6784" t="s">
        <v>10016</v>
      </c>
      <c r="D6784" t="s">
        <v>17160</v>
      </c>
      <c r="E6784" t="s">
        <v>23114</v>
      </c>
      <c r="F6784" t="s">
        <v>29372</v>
      </c>
      <c r="G6784" t="s">
        <v>29379</v>
      </c>
      <c r="H6784" t="s">
        <v>11048</v>
      </c>
      <c r="I6784" t="s">
        <v>29412</v>
      </c>
      <c r="J6784" t="s">
        <v>33904</v>
      </c>
      <c r="K6784" t="s">
        <v>38491</v>
      </c>
      <c r="M6784" t="s">
        <v>40721</v>
      </c>
      <c r="N6784" t="s">
        <v>42669</v>
      </c>
      <c r="O6784" t="s">
        <v>42670</v>
      </c>
      <c r="P6784">
        <v>0</v>
      </c>
      <c r="Q6784">
        <v>0</v>
      </c>
      <c r="R6784" t="s">
        <v>42677</v>
      </c>
      <c r="S6784" t="s">
        <v>42830</v>
      </c>
      <c r="T6784" t="s">
        <v>44488</v>
      </c>
      <c r="U6784" t="s">
        <v>50407</v>
      </c>
      <c r="W6784" t="s">
        <v>40721</v>
      </c>
      <c r="X6784" t="s">
        <v>42678</v>
      </c>
    </row>
    <row r="6785" spans="1:24">
      <c r="A6785">
        <f>HYPERLINK("https://www.philgeps.gov.ph/GEPSNONPILOT/Tender/SplashBidNoticeAbstractUI.aspx?menuIndex=3&amp;refID=7186509&amp;Result=3","7186509")</f>
        <v>0</v>
      </c>
      <c r="B6785" t="s">
        <v>1850</v>
      </c>
      <c r="C6785" t="s">
        <v>10017</v>
      </c>
      <c r="D6785" t="s">
        <v>17160</v>
      </c>
      <c r="E6785" t="s">
        <v>23115</v>
      </c>
      <c r="F6785" t="s">
        <v>29372</v>
      </c>
      <c r="G6785" t="s">
        <v>29379</v>
      </c>
      <c r="H6785" t="s">
        <v>11048</v>
      </c>
      <c r="I6785" t="s">
        <v>29412</v>
      </c>
      <c r="J6785" t="s">
        <v>32022</v>
      </c>
      <c r="K6785" t="s">
        <v>38491</v>
      </c>
      <c r="M6785" t="s">
        <v>40721</v>
      </c>
      <c r="N6785" t="s">
        <v>42669</v>
      </c>
      <c r="O6785" t="s">
        <v>42670</v>
      </c>
      <c r="P6785">
        <v>0</v>
      </c>
      <c r="Q6785">
        <v>0</v>
      </c>
      <c r="R6785" t="s">
        <v>42677</v>
      </c>
      <c r="S6785" t="s">
        <v>42830</v>
      </c>
      <c r="T6785" t="s">
        <v>44488</v>
      </c>
      <c r="U6785" t="s">
        <v>50408</v>
      </c>
      <c r="W6785" t="s">
        <v>40721</v>
      </c>
      <c r="X6785" t="s">
        <v>42678</v>
      </c>
    </row>
    <row r="6786" spans="1:24">
      <c r="A6786">
        <f>HYPERLINK("https://www.philgeps.gov.ph/GEPSNONPILOT/Tender/SplashBidNoticeAbstractUI.aspx?menuIndex=3&amp;refID=7186468&amp;Result=3","7186468")</f>
        <v>0</v>
      </c>
      <c r="B6786" t="s">
        <v>2255</v>
      </c>
      <c r="C6786" t="s">
        <v>10018</v>
      </c>
      <c r="D6786" t="s">
        <v>17157</v>
      </c>
      <c r="E6786" t="s">
        <v>23116</v>
      </c>
      <c r="F6786" t="s">
        <v>29372</v>
      </c>
      <c r="G6786" t="s">
        <v>29380</v>
      </c>
      <c r="H6786" t="s">
        <v>11048</v>
      </c>
      <c r="I6786" t="s">
        <v>29409</v>
      </c>
      <c r="J6786" t="s">
        <v>33905</v>
      </c>
      <c r="K6786" t="s">
        <v>38488</v>
      </c>
      <c r="M6786" t="s">
        <v>41176</v>
      </c>
      <c r="N6786" t="s">
        <v>42669</v>
      </c>
      <c r="O6786" t="s">
        <v>42670</v>
      </c>
      <c r="Q6786">
        <v>12</v>
      </c>
      <c r="R6786" t="s">
        <v>42677</v>
      </c>
      <c r="S6786" t="s">
        <v>42795</v>
      </c>
      <c r="T6786" t="s">
        <v>44355</v>
      </c>
      <c r="U6786" t="s">
        <v>50409</v>
      </c>
      <c r="W6786" t="s">
        <v>41176</v>
      </c>
      <c r="X6786" t="s">
        <v>42678</v>
      </c>
    </row>
    <row r="6787" spans="1:24">
      <c r="A6787">
        <f>HYPERLINK("https://www.philgeps.gov.ph/GEPSNONPILOT/Tender/SplashBidNoticeAbstractUI.aspx?menuIndex=3&amp;refID=7186494&amp;Result=3","7186494")</f>
        <v>0</v>
      </c>
      <c r="B6787" t="s">
        <v>1022</v>
      </c>
      <c r="C6787" t="s">
        <v>10019</v>
      </c>
      <c r="D6787" t="s">
        <v>17141</v>
      </c>
      <c r="E6787" t="s">
        <v>23117</v>
      </c>
      <c r="F6787" t="s">
        <v>29372</v>
      </c>
      <c r="G6787" t="s">
        <v>29380</v>
      </c>
      <c r="H6787" t="s">
        <v>11048</v>
      </c>
      <c r="I6787" t="s">
        <v>5383</v>
      </c>
      <c r="J6787" t="s">
        <v>33906</v>
      </c>
      <c r="K6787" t="s">
        <v>38488</v>
      </c>
      <c r="M6787" t="s">
        <v>39822</v>
      </c>
      <c r="N6787" t="s">
        <v>42669</v>
      </c>
      <c r="O6787" t="s">
        <v>42670</v>
      </c>
      <c r="P6787">
        <v>0</v>
      </c>
      <c r="Q6787">
        <v>1</v>
      </c>
      <c r="R6787" t="s">
        <v>42677</v>
      </c>
      <c r="S6787" t="s">
        <v>42830</v>
      </c>
      <c r="T6787" t="s">
        <v>44387</v>
      </c>
      <c r="U6787" t="s">
        <v>46808</v>
      </c>
      <c r="W6787" t="s">
        <v>39822</v>
      </c>
      <c r="X6787" t="s">
        <v>42678</v>
      </c>
    </row>
    <row r="6788" spans="1:24">
      <c r="A6788">
        <f>HYPERLINK("https://www.philgeps.gov.ph/GEPSNONPILOT/Tender/SplashBidNoticeAbstractUI.aspx?menuIndex=3&amp;refID=7186502&amp;Result=3","7186502")</f>
        <v>0</v>
      </c>
      <c r="B6788" t="s">
        <v>2251</v>
      </c>
      <c r="C6788" t="s">
        <v>10020</v>
      </c>
      <c r="D6788" t="s">
        <v>17209</v>
      </c>
      <c r="E6788" t="s">
        <v>19716</v>
      </c>
      <c r="F6788" t="s">
        <v>29372</v>
      </c>
      <c r="G6788" t="s">
        <v>29380</v>
      </c>
      <c r="H6788" t="s">
        <v>11048</v>
      </c>
      <c r="I6788" t="s">
        <v>29433</v>
      </c>
      <c r="J6788" t="s">
        <v>33907</v>
      </c>
      <c r="K6788" t="s">
        <v>38485</v>
      </c>
      <c r="M6788" t="s">
        <v>41172</v>
      </c>
      <c r="N6788" t="s">
        <v>42669</v>
      </c>
      <c r="O6788" t="s">
        <v>42670</v>
      </c>
      <c r="P6788">
        <v>0</v>
      </c>
      <c r="Q6788">
        <v>17</v>
      </c>
      <c r="R6788" t="s">
        <v>42677</v>
      </c>
      <c r="S6788" t="s">
        <v>42830</v>
      </c>
      <c r="T6788" t="s">
        <v>44542</v>
      </c>
      <c r="U6788" t="s">
        <v>50386</v>
      </c>
      <c r="W6788" t="s">
        <v>41172</v>
      </c>
      <c r="X6788" t="s">
        <v>42678</v>
      </c>
    </row>
    <row r="6789" spans="1:24">
      <c r="A6789">
        <f>HYPERLINK("https://www.philgeps.gov.ph/GEPSNONPILOT/Tender/SplashBidNoticeAbstractUI.aspx?menuIndex=3&amp;refID=7186504&amp;Result=3","7186504")</f>
        <v>0</v>
      </c>
      <c r="B6789" t="s">
        <v>1022</v>
      </c>
      <c r="C6789" t="s">
        <v>10021</v>
      </c>
      <c r="D6789" t="s">
        <v>17141</v>
      </c>
      <c r="E6789" t="s">
        <v>23118</v>
      </c>
      <c r="F6789" t="s">
        <v>29372</v>
      </c>
      <c r="G6789" t="s">
        <v>29380</v>
      </c>
      <c r="H6789" t="s">
        <v>11048</v>
      </c>
      <c r="I6789" t="s">
        <v>5383</v>
      </c>
      <c r="J6789" t="s">
        <v>33908</v>
      </c>
      <c r="K6789" t="s">
        <v>38488</v>
      </c>
      <c r="M6789" t="s">
        <v>39822</v>
      </c>
      <c r="N6789" t="s">
        <v>42669</v>
      </c>
      <c r="O6789" t="s">
        <v>42670</v>
      </c>
      <c r="P6789">
        <v>0</v>
      </c>
      <c r="Q6789">
        <v>0</v>
      </c>
      <c r="R6789" t="s">
        <v>42677</v>
      </c>
      <c r="S6789" t="s">
        <v>42830</v>
      </c>
      <c r="T6789" t="s">
        <v>44387</v>
      </c>
      <c r="U6789" t="s">
        <v>46808</v>
      </c>
      <c r="W6789" t="s">
        <v>39822</v>
      </c>
      <c r="X6789" t="s">
        <v>42678</v>
      </c>
    </row>
    <row r="6790" spans="1:24">
      <c r="A6790">
        <f>HYPERLINK("https://www.philgeps.gov.ph/GEPSNONPILOT/Tender/SplashBidNoticeAbstractUI.aspx?menuIndex=3&amp;refID=7186497&amp;Result=3","7186497")</f>
        <v>0</v>
      </c>
      <c r="B6790" t="s">
        <v>1022</v>
      </c>
      <c r="C6790" t="s">
        <v>10022</v>
      </c>
      <c r="D6790" t="s">
        <v>17141</v>
      </c>
      <c r="E6790" t="s">
        <v>23119</v>
      </c>
      <c r="F6790" t="s">
        <v>29372</v>
      </c>
      <c r="G6790" t="s">
        <v>29380</v>
      </c>
      <c r="H6790" t="s">
        <v>11048</v>
      </c>
      <c r="I6790" t="s">
        <v>5383</v>
      </c>
      <c r="J6790" t="s">
        <v>30412</v>
      </c>
      <c r="K6790" t="s">
        <v>38488</v>
      </c>
      <c r="M6790" t="s">
        <v>39822</v>
      </c>
      <c r="N6790" t="s">
        <v>42669</v>
      </c>
      <c r="O6790" t="s">
        <v>42670</v>
      </c>
      <c r="P6790">
        <v>0</v>
      </c>
      <c r="Q6790">
        <v>0</v>
      </c>
      <c r="R6790" t="s">
        <v>42677</v>
      </c>
      <c r="S6790" t="s">
        <v>42830</v>
      </c>
      <c r="T6790" t="s">
        <v>44387</v>
      </c>
      <c r="U6790" t="s">
        <v>46808</v>
      </c>
      <c r="W6790" t="s">
        <v>39822</v>
      </c>
      <c r="X6790" t="s">
        <v>42678</v>
      </c>
    </row>
    <row r="6791" spans="1:24">
      <c r="A6791">
        <f>HYPERLINK("https://www.philgeps.gov.ph/GEPSNONPILOT/Tender/SplashBidNoticeAbstractUI.aspx?menuIndex=3&amp;refID=7186499&amp;Result=3","7186499")</f>
        <v>0</v>
      </c>
      <c r="B6791" t="s">
        <v>1022</v>
      </c>
      <c r="C6791" t="s">
        <v>10023</v>
      </c>
      <c r="D6791" t="s">
        <v>17141</v>
      </c>
      <c r="E6791" t="s">
        <v>23120</v>
      </c>
      <c r="F6791" t="s">
        <v>29372</v>
      </c>
      <c r="G6791" t="s">
        <v>29380</v>
      </c>
      <c r="H6791" t="s">
        <v>11048</v>
      </c>
      <c r="I6791" t="s">
        <v>5383</v>
      </c>
      <c r="J6791" t="s">
        <v>33909</v>
      </c>
      <c r="K6791" t="s">
        <v>38488</v>
      </c>
      <c r="M6791" t="s">
        <v>39822</v>
      </c>
      <c r="N6791" t="s">
        <v>42669</v>
      </c>
      <c r="O6791" t="s">
        <v>42670</v>
      </c>
      <c r="P6791">
        <v>0</v>
      </c>
      <c r="Q6791">
        <v>0</v>
      </c>
      <c r="R6791" t="s">
        <v>42677</v>
      </c>
      <c r="S6791" t="s">
        <v>42830</v>
      </c>
      <c r="T6791" t="s">
        <v>44387</v>
      </c>
      <c r="U6791" t="s">
        <v>46808</v>
      </c>
      <c r="W6791" t="s">
        <v>39822</v>
      </c>
      <c r="X6791" t="s">
        <v>42678</v>
      </c>
    </row>
    <row r="6792" spans="1:24">
      <c r="A6792">
        <f>HYPERLINK("https://www.philgeps.gov.ph/GEPSNONPILOT/Tender/SplashBidNoticeAbstractUI.aspx?menuIndex=3&amp;refID=7186491&amp;Result=3","7186491")</f>
        <v>0</v>
      </c>
      <c r="B6792" t="s">
        <v>1022</v>
      </c>
      <c r="C6792" t="s">
        <v>10024</v>
      </c>
      <c r="D6792" t="s">
        <v>17141</v>
      </c>
      <c r="E6792" t="s">
        <v>23121</v>
      </c>
      <c r="F6792" t="s">
        <v>29372</v>
      </c>
      <c r="G6792" t="s">
        <v>29380</v>
      </c>
      <c r="H6792" t="s">
        <v>11048</v>
      </c>
      <c r="I6792" t="s">
        <v>5383</v>
      </c>
      <c r="J6792" t="s">
        <v>29708</v>
      </c>
      <c r="K6792" t="s">
        <v>38488</v>
      </c>
      <c r="M6792" t="s">
        <v>39822</v>
      </c>
      <c r="N6792" t="s">
        <v>42669</v>
      </c>
      <c r="O6792" t="s">
        <v>42670</v>
      </c>
      <c r="P6792">
        <v>0</v>
      </c>
      <c r="Q6792">
        <v>1</v>
      </c>
      <c r="R6792" t="s">
        <v>42677</v>
      </c>
      <c r="S6792" t="s">
        <v>42830</v>
      </c>
      <c r="T6792" t="s">
        <v>44387</v>
      </c>
      <c r="U6792" t="s">
        <v>46808</v>
      </c>
      <c r="W6792" t="s">
        <v>39822</v>
      </c>
      <c r="X6792" t="s">
        <v>42678</v>
      </c>
    </row>
    <row r="6793" spans="1:24">
      <c r="A6793">
        <f>HYPERLINK("https://www.philgeps.gov.ph/GEPSNONPILOT/Tender/SplashBidNoticeAbstractUI.aspx?menuIndex=3&amp;refID=7186446&amp;Result=3","7186446")</f>
        <v>0</v>
      </c>
      <c r="B6793" t="s">
        <v>2256</v>
      </c>
      <c r="C6793" t="s">
        <v>10025</v>
      </c>
      <c r="D6793" t="s">
        <v>17183</v>
      </c>
      <c r="E6793" t="s">
        <v>23122</v>
      </c>
      <c r="F6793" t="s">
        <v>29372</v>
      </c>
      <c r="G6793" t="s">
        <v>29383</v>
      </c>
      <c r="H6793" t="s">
        <v>11048</v>
      </c>
      <c r="I6793" t="s">
        <v>29489</v>
      </c>
      <c r="J6793" t="s">
        <v>33910</v>
      </c>
      <c r="K6793" t="s">
        <v>38489</v>
      </c>
      <c r="M6793" t="s">
        <v>41177</v>
      </c>
      <c r="N6793" t="s">
        <v>42669</v>
      </c>
      <c r="O6793" t="s">
        <v>42670</v>
      </c>
      <c r="P6793">
        <v>0</v>
      </c>
      <c r="Q6793">
        <v>1</v>
      </c>
      <c r="R6793" t="s">
        <v>42677</v>
      </c>
      <c r="S6793" t="s">
        <v>42830</v>
      </c>
      <c r="T6793" t="s">
        <v>44488</v>
      </c>
      <c r="U6793" t="s">
        <v>50410</v>
      </c>
      <c r="W6793" t="s">
        <v>41177</v>
      </c>
      <c r="X6793" t="s">
        <v>42678</v>
      </c>
    </row>
    <row r="6794" spans="1:24">
      <c r="A6794">
        <f>HYPERLINK("https://www.philgeps.gov.ph/GEPSNONPILOT/Tender/SplashBidNoticeAbstractUI.aspx?menuIndex=3&amp;refID=7186489&amp;Result=3","7186489")</f>
        <v>0</v>
      </c>
      <c r="B6794" t="s">
        <v>2251</v>
      </c>
      <c r="C6794" t="s">
        <v>10026</v>
      </c>
      <c r="D6794" t="s">
        <v>17209</v>
      </c>
      <c r="E6794" t="s">
        <v>19716</v>
      </c>
      <c r="F6794" t="s">
        <v>29372</v>
      </c>
      <c r="G6794" t="s">
        <v>29380</v>
      </c>
      <c r="H6794" t="s">
        <v>11048</v>
      </c>
      <c r="I6794" t="s">
        <v>29489</v>
      </c>
      <c r="J6794" t="s">
        <v>33911</v>
      </c>
      <c r="K6794" t="s">
        <v>38496</v>
      </c>
      <c r="M6794" t="s">
        <v>41172</v>
      </c>
      <c r="N6794" t="s">
        <v>42669</v>
      </c>
      <c r="O6794" t="s">
        <v>42670</v>
      </c>
      <c r="P6794">
        <v>0</v>
      </c>
      <c r="Q6794">
        <v>1</v>
      </c>
      <c r="R6794" t="s">
        <v>42677</v>
      </c>
      <c r="S6794" t="s">
        <v>42830</v>
      </c>
      <c r="T6794" t="s">
        <v>44542</v>
      </c>
      <c r="U6794" t="s">
        <v>50386</v>
      </c>
      <c r="W6794" t="s">
        <v>41172</v>
      </c>
      <c r="X6794" t="s">
        <v>42678</v>
      </c>
    </row>
    <row r="6795" spans="1:24">
      <c r="A6795">
        <f>HYPERLINK("https://www.philgeps.gov.ph/GEPSNONPILOT/Tender/SplashBidNoticeAbstractUI.aspx?menuIndex=3&amp;refID=7186501&amp;Result=3","7186501")</f>
        <v>0</v>
      </c>
      <c r="B6795" t="s">
        <v>1022</v>
      </c>
      <c r="C6795" t="s">
        <v>10027</v>
      </c>
      <c r="D6795" t="s">
        <v>17141</v>
      </c>
      <c r="E6795" t="s">
        <v>23123</v>
      </c>
      <c r="F6795" t="s">
        <v>29372</v>
      </c>
      <c r="G6795" t="s">
        <v>29380</v>
      </c>
      <c r="H6795" t="s">
        <v>11048</v>
      </c>
      <c r="I6795" t="s">
        <v>5383</v>
      </c>
      <c r="J6795" t="s">
        <v>29587</v>
      </c>
      <c r="K6795" t="s">
        <v>38488</v>
      </c>
      <c r="M6795" t="s">
        <v>39822</v>
      </c>
      <c r="N6795" t="s">
        <v>42669</v>
      </c>
      <c r="O6795" t="s">
        <v>42670</v>
      </c>
      <c r="P6795">
        <v>0</v>
      </c>
      <c r="Q6795">
        <v>1</v>
      </c>
      <c r="R6795" t="s">
        <v>42677</v>
      </c>
      <c r="S6795" t="s">
        <v>42830</v>
      </c>
      <c r="T6795" t="s">
        <v>44387</v>
      </c>
      <c r="U6795" t="s">
        <v>46808</v>
      </c>
      <c r="W6795" t="s">
        <v>39822</v>
      </c>
      <c r="X6795" t="s">
        <v>42678</v>
      </c>
    </row>
    <row r="6796" spans="1:24">
      <c r="A6796">
        <f>HYPERLINK("https://www.philgeps.gov.ph/GEPSNONPILOT/Tender/SplashBidNoticeAbstractUI.aspx?menuIndex=3&amp;refID=7186488&amp;Result=3","7186488")</f>
        <v>0</v>
      </c>
      <c r="B6796" t="s">
        <v>1088</v>
      </c>
      <c r="C6796" t="s">
        <v>10028</v>
      </c>
      <c r="E6796" t="s">
        <v>23124</v>
      </c>
      <c r="F6796" t="s">
        <v>29372</v>
      </c>
      <c r="G6796" t="s">
        <v>29380</v>
      </c>
      <c r="H6796" t="s">
        <v>29389</v>
      </c>
      <c r="I6796" t="s">
        <v>29453</v>
      </c>
      <c r="J6796" t="s">
        <v>33912</v>
      </c>
      <c r="K6796" t="s">
        <v>38523</v>
      </c>
      <c r="M6796" t="s">
        <v>39895</v>
      </c>
      <c r="N6796" t="s">
        <v>42669</v>
      </c>
      <c r="O6796" t="s">
        <v>42670</v>
      </c>
      <c r="P6796">
        <v>0</v>
      </c>
      <c r="Q6796">
        <v>6</v>
      </c>
      <c r="R6796" t="s">
        <v>42677</v>
      </c>
      <c r="S6796" t="s">
        <v>42830</v>
      </c>
      <c r="T6796" t="s">
        <v>44738</v>
      </c>
      <c r="U6796" t="s">
        <v>50411</v>
      </c>
      <c r="W6796" t="s">
        <v>39895</v>
      </c>
      <c r="X6796" t="s">
        <v>42678</v>
      </c>
    </row>
    <row r="6797" spans="1:24">
      <c r="A6797">
        <f>HYPERLINK("https://www.philgeps.gov.ph/GEPSNONPILOT/Tender/SplashBidNoticeAbstractUI.aspx?menuIndex=3&amp;refID=7186493&amp;Result=3","7186493")</f>
        <v>0</v>
      </c>
      <c r="B6797" t="s">
        <v>1066</v>
      </c>
      <c r="C6797" t="s">
        <v>10029</v>
      </c>
      <c r="E6797" t="s">
        <v>23125</v>
      </c>
      <c r="F6797" t="s">
        <v>29372</v>
      </c>
      <c r="G6797" t="s">
        <v>29379</v>
      </c>
      <c r="H6797" t="s">
        <v>11048</v>
      </c>
      <c r="I6797" t="s">
        <v>29401</v>
      </c>
      <c r="J6797" t="s">
        <v>30046</v>
      </c>
      <c r="K6797" t="s">
        <v>38490</v>
      </c>
      <c r="M6797" t="s">
        <v>39873</v>
      </c>
      <c r="N6797" t="s">
        <v>42669</v>
      </c>
      <c r="O6797" t="s">
        <v>42670</v>
      </c>
      <c r="P6797">
        <v>0</v>
      </c>
      <c r="Q6797">
        <v>2</v>
      </c>
      <c r="R6797" t="s">
        <v>42677</v>
      </c>
      <c r="S6797" t="s">
        <v>42830</v>
      </c>
      <c r="T6797" t="s">
        <v>44401</v>
      </c>
      <c r="U6797" t="s">
        <v>50412</v>
      </c>
      <c r="W6797" t="s">
        <v>39873</v>
      </c>
      <c r="X6797" t="s">
        <v>42678</v>
      </c>
    </row>
    <row r="6798" spans="1:24">
      <c r="A6798">
        <f>HYPERLINK("https://www.philgeps.gov.ph/GEPSNONPILOT/Tender/SplashBidNoticeAbstractUI.aspx?menuIndex=3&amp;refID=7186507&amp;Result=3","7186507")</f>
        <v>0</v>
      </c>
      <c r="B6798" t="s">
        <v>1022</v>
      </c>
      <c r="C6798" t="s">
        <v>10030</v>
      </c>
      <c r="D6798" t="s">
        <v>17141</v>
      </c>
      <c r="E6798" t="s">
        <v>23126</v>
      </c>
      <c r="F6798" t="s">
        <v>29372</v>
      </c>
      <c r="G6798" t="s">
        <v>29380</v>
      </c>
      <c r="H6798" t="s">
        <v>11048</v>
      </c>
      <c r="I6798" t="s">
        <v>5383</v>
      </c>
      <c r="J6798" t="s">
        <v>33913</v>
      </c>
      <c r="K6798" t="s">
        <v>38488</v>
      </c>
      <c r="M6798" t="s">
        <v>39822</v>
      </c>
      <c r="N6798" t="s">
        <v>42669</v>
      </c>
      <c r="O6798" t="s">
        <v>42670</v>
      </c>
      <c r="P6798">
        <v>0</v>
      </c>
      <c r="Q6798">
        <v>0</v>
      </c>
      <c r="R6798" t="s">
        <v>42677</v>
      </c>
      <c r="S6798" t="s">
        <v>42830</v>
      </c>
      <c r="T6798" t="s">
        <v>44387</v>
      </c>
      <c r="U6798" t="s">
        <v>46808</v>
      </c>
      <c r="W6798" t="s">
        <v>39822</v>
      </c>
      <c r="X6798" t="s">
        <v>42678</v>
      </c>
    </row>
    <row r="6799" spans="1:24">
      <c r="A6799">
        <f>HYPERLINK("https://www.philgeps.gov.ph/GEPSNONPILOT/Tender/SplashBidNoticeAbstractUI.aspx?menuIndex=3&amp;refID=7186484&amp;Result=3","7186484")</f>
        <v>0</v>
      </c>
      <c r="B6799" t="s">
        <v>2000</v>
      </c>
      <c r="C6799" t="s">
        <v>10031</v>
      </c>
      <c r="D6799" t="s">
        <v>17168</v>
      </c>
      <c r="E6799" t="s">
        <v>23127</v>
      </c>
      <c r="F6799" t="s">
        <v>29372</v>
      </c>
      <c r="G6799" t="s">
        <v>29383</v>
      </c>
      <c r="H6799" t="s">
        <v>11048</v>
      </c>
      <c r="I6799" t="s">
        <v>3629</v>
      </c>
      <c r="J6799" t="s">
        <v>33914</v>
      </c>
      <c r="K6799" t="s">
        <v>38510</v>
      </c>
      <c r="M6799" t="s">
        <v>40890</v>
      </c>
      <c r="N6799" t="s">
        <v>42669</v>
      </c>
      <c r="O6799" t="s">
        <v>42670</v>
      </c>
      <c r="P6799">
        <v>0</v>
      </c>
      <c r="Q6799">
        <v>0</v>
      </c>
      <c r="R6799" t="s">
        <v>42677</v>
      </c>
      <c r="S6799" t="s">
        <v>42830</v>
      </c>
      <c r="T6799" t="s">
        <v>44401</v>
      </c>
      <c r="U6799" t="s">
        <v>49632</v>
      </c>
      <c r="V6799" t="s">
        <v>57106</v>
      </c>
      <c r="W6799" t="s">
        <v>40890</v>
      </c>
      <c r="X6799" t="s">
        <v>42678</v>
      </c>
    </row>
    <row r="6800" spans="1:24">
      <c r="A6800">
        <f>HYPERLINK("https://www.philgeps.gov.ph/GEPSNONPILOT/Tender/SplashBidNoticeAbstractUI.aspx?menuIndex=3&amp;refID=7186486&amp;Result=3","7186486")</f>
        <v>0</v>
      </c>
      <c r="B6800" t="s">
        <v>2250</v>
      </c>
      <c r="C6800" t="s">
        <v>10032</v>
      </c>
      <c r="D6800" t="s">
        <v>17194</v>
      </c>
      <c r="E6800" t="s">
        <v>23128</v>
      </c>
      <c r="F6800" t="s">
        <v>29372</v>
      </c>
      <c r="G6800" t="s">
        <v>29383</v>
      </c>
      <c r="H6800" t="s">
        <v>11048</v>
      </c>
      <c r="I6800" t="s">
        <v>29397</v>
      </c>
      <c r="J6800" t="s">
        <v>32253</v>
      </c>
      <c r="K6800" t="s">
        <v>38511</v>
      </c>
      <c r="M6800" t="s">
        <v>41169</v>
      </c>
      <c r="N6800" t="s">
        <v>42669</v>
      </c>
      <c r="O6800" t="s">
        <v>42670</v>
      </c>
      <c r="P6800">
        <v>0</v>
      </c>
      <c r="Q6800">
        <v>1</v>
      </c>
      <c r="R6800" t="s">
        <v>42677</v>
      </c>
      <c r="S6800" t="s">
        <v>42830</v>
      </c>
      <c r="T6800" t="s">
        <v>44493</v>
      </c>
      <c r="U6800" t="s">
        <v>50378</v>
      </c>
      <c r="W6800" t="s">
        <v>41169</v>
      </c>
      <c r="X6800" t="s">
        <v>42678</v>
      </c>
    </row>
    <row r="6801" spans="1:24">
      <c r="A6801">
        <f>HYPERLINK("https://www.philgeps.gov.ph/GEPSNONPILOT/Tender/SplashBidNoticeAbstractUI.aspx?menuIndex=3&amp;refID=7186496&amp;Result=3","7186496")</f>
        <v>0</v>
      </c>
      <c r="B6801" t="s">
        <v>2254</v>
      </c>
      <c r="C6801" t="s">
        <v>10033</v>
      </c>
      <c r="D6801" t="s">
        <v>17141</v>
      </c>
      <c r="E6801" t="s">
        <v>23129</v>
      </c>
      <c r="F6801" t="s">
        <v>29372</v>
      </c>
      <c r="G6801" t="s">
        <v>29380</v>
      </c>
      <c r="H6801" t="s">
        <v>29389</v>
      </c>
      <c r="I6801" t="s">
        <v>10408</v>
      </c>
      <c r="J6801" t="s">
        <v>31893</v>
      </c>
      <c r="K6801" t="s">
        <v>38564</v>
      </c>
      <c r="M6801" t="s">
        <v>41175</v>
      </c>
      <c r="N6801" t="s">
        <v>42669</v>
      </c>
      <c r="O6801" t="s">
        <v>42670</v>
      </c>
      <c r="P6801">
        <v>0</v>
      </c>
      <c r="Q6801">
        <v>9</v>
      </c>
      <c r="R6801" t="s">
        <v>42677</v>
      </c>
      <c r="S6801" t="s">
        <v>42830</v>
      </c>
      <c r="T6801" t="s">
        <v>44739</v>
      </c>
      <c r="U6801" t="s">
        <v>50413</v>
      </c>
      <c r="W6801" t="s">
        <v>41175</v>
      </c>
      <c r="X6801" t="s">
        <v>42678</v>
      </c>
    </row>
    <row r="6802" spans="1:24">
      <c r="A6802">
        <f>HYPERLINK("https://www.philgeps.gov.ph/GEPSNONPILOT/Tender/SplashBidNoticeAbstractUI.aspx?menuIndex=3&amp;refID=7186471&amp;Result=3","7186471")</f>
        <v>0</v>
      </c>
      <c r="B6802" t="s">
        <v>2251</v>
      </c>
      <c r="C6802" t="s">
        <v>10034</v>
      </c>
      <c r="D6802" t="s">
        <v>17209</v>
      </c>
      <c r="E6802" t="s">
        <v>19716</v>
      </c>
      <c r="F6802" t="s">
        <v>29372</v>
      </c>
      <c r="G6802" t="s">
        <v>29380</v>
      </c>
      <c r="H6802" t="s">
        <v>11048</v>
      </c>
      <c r="I6802" t="s">
        <v>29400</v>
      </c>
      <c r="J6802" t="s">
        <v>33915</v>
      </c>
      <c r="K6802" t="s">
        <v>38496</v>
      </c>
      <c r="M6802" t="s">
        <v>41172</v>
      </c>
      <c r="N6802" t="s">
        <v>42669</v>
      </c>
      <c r="O6802" t="s">
        <v>42670</v>
      </c>
      <c r="P6802">
        <v>0</v>
      </c>
      <c r="Q6802">
        <v>13</v>
      </c>
      <c r="R6802" t="s">
        <v>42677</v>
      </c>
      <c r="S6802" t="s">
        <v>42830</v>
      </c>
      <c r="T6802" t="s">
        <v>44542</v>
      </c>
      <c r="U6802" t="s">
        <v>49680</v>
      </c>
      <c r="W6802" t="s">
        <v>41172</v>
      </c>
      <c r="X6802" t="s">
        <v>42678</v>
      </c>
    </row>
    <row r="6803" spans="1:24">
      <c r="A6803">
        <f>HYPERLINK("https://www.philgeps.gov.ph/GEPSNONPILOT/Tender/SplashBidNoticeAbstractUI.aspx?menuIndex=3&amp;refID=7186541&amp;Result=3","7186541")</f>
        <v>0</v>
      </c>
      <c r="B6803" t="s">
        <v>1156</v>
      </c>
      <c r="C6803" t="s">
        <v>10035</v>
      </c>
      <c r="D6803" t="s">
        <v>17142</v>
      </c>
      <c r="E6803" t="s">
        <v>23130</v>
      </c>
      <c r="F6803" t="s">
        <v>29372</v>
      </c>
      <c r="G6803" t="s">
        <v>29383</v>
      </c>
      <c r="H6803" t="s">
        <v>11048</v>
      </c>
      <c r="I6803" t="s">
        <v>3952</v>
      </c>
      <c r="J6803" t="s">
        <v>30127</v>
      </c>
      <c r="K6803" t="s">
        <v>38485</v>
      </c>
      <c r="M6803" t="s">
        <v>39970</v>
      </c>
      <c r="N6803" t="s">
        <v>42669</v>
      </c>
      <c r="O6803" t="s">
        <v>42670</v>
      </c>
      <c r="P6803">
        <v>0</v>
      </c>
      <c r="Q6803">
        <v>8</v>
      </c>
      <c r="R6803" t="s">
        <v>42677</v>
      </c>
      <c r="S6803" t="s">
        <v>42830</v>
      </c>
      <c r="T6803" t="s">
        <v>44512</v>
      </c>
      <c r="U6803" t="s">
        <v>50414</v>
      </c>
      <c r="W6803" t="s">
        <v>39970</v>
      </c>
      <c r="X6803" t="s">
        <v>42678</v>
      </c>
    </row>
    <row r="6804" spans="1:24">
      <c r="A6804">
        <f>HYPERLINK("https://www.philgeps.gov.ph/GEPSNONPILOT/Tender/SplashBidNoticeAbstractUI.aspx?menuIndex=3&amp;refID=7186538&amp;Result=3","7186538")</f>
        <v>0</v>
      </c>
      <c r="B6804" t="s">
        <v>1192</v>
      </c>
      <c r="C6804" t="s">
        <v>10036</v>
      </c>
      <c r="D6804" t="s">
        <v>17213</v>
      </c>
      <c r="E6804" t="s">
        <v>18255</v>
      </c>
      <c r="F6804" t="s">
        <v>29372</v>
      </c>
      <c r="G6804" t="s">
        <v>29380</v>
      </c>
      <c r="H6804" t="s">
        <v>29389</v>
      </c>
      <c r="I6804" t="s">
        <v>10408</v>
      </c>
      <c r="J6804" t="s">
        <v>31485</v>
      </c>
      <c r="K6804" t="s">
        <v>38559</v>
      </c>
      <c r="M6804" t="s">
        <v>40008</v>
      </c>
      <c r="N6804" t="s">
        <v>42669</v>
      </c>
      <c r="O6804" t="s">
        <v>42670</v>
      </c>
      <c r="P6804">
        <v>0</v>
      </c>
      <c r="Q6804">
        <v>2</v>
      </c>
      <c r="R6804" t="s">
        <v>42677</v>
      </c>
      <c r="S6804" t="s">
        <v>42830</v>
      </c>
      <c r="T6804" t="s">
        <v>44515</v>
      </c>
      <c r="U6804" t="s">
        <v>50415</v>
      </c>
      <c r="W6804" t="s">
        <v>40008</v>
      </c>
      <c r="X6804" t="s">
        <v>42678</v>
      </c>
    </row>
    <row r="6805" spans="1:24">
      <c r="A6805">
        <f>HYPERLINK("https://www.philgeps.gov.ph/GEPSNONPILOT/Tender/SplashBidNoticeAbstractUI.aspx?menuIndex=3&amp;refID=7186482&amp;Result=3","7186482")</f>
        <v>0</v>
      </c>
      <c r="B6805" t="s">
        <v>2020</v>
      </c>
      <c r="C6805" t="s">
        <v>10037</v>
      </c>
      <c r="D6805" t="s">
        <v>17177</v>
      </c>
      <c r="E6805" t="s">
        <v>23131</v>
      </c>
      <c r="F6805" t="s">
        <v>29372</v>
      </c>
      <c r="G6805" t="s">
        <v>29379</v>
      </c>
      <c r="H6805" t="s">
        <v>11048</v>
      </c>
      <c r="I6805" t="s">
        <v>9642</v>
      </c>
      <c r="J6805" t="s">
        <v>33916</v>
      </c>
      <c r="K6805" t="s">
        <v>38518</v>
      </c>
      <c r="M6805" t="s">
        <v>40912</v>
      </c>
      <c r="N6805" t="s">
        <v>42669</v>
      </c>
      <c r="O6805" t="s">
        <v>42670</v>
      </c>
      <c r="P6805">
        <v>0</v>
      </c>
      <c r="Q6805">
        <v>7</v>
      </c>
      <c r="R6805" t="s">
        <v>42677</v>
      </c>
      <c r="S6805" t="s">
        <v>42830</v>
      </c>
      <c r="T6805" t="s">
        <v>44488</v>
      </c>
      <c r="U6805" t="s">
        <v>50416</v>
      </c>
      <c r="W6805" t="s">
        <v>40912</v>
      </c>
      <c r="X6805" t="s">
        <v>42678</v>
      </c>
    </row>
    <row r="6806" spans="1:24">
      <c r="A6806">
        <f>HYPERLINK("https://www.philgeps.gov.ph/GEPSNONPILOT/Tender/SplashBidNoticeAbstractUI.aspx?menuIndex=3&amp;refID=7186536&amp;Result=3","7186536")</f>
        <v>0</v>
      </c>
      <c r="B6806" t="s">
        <v>2257</v>
      </c>
      <c r="C6806" t="s">
        <v>10038</v>
      </c>
      <c r="D6806" t="s">
        <v>17205</v>
      </c>
      <c r="E6806" t="s">
        <v>23132</v>
      </c>
      <c r="F6806" t="s">
        <v>29372</v>
      </c>
      <c r="G6806" t="s">
        <v>29379</v>
      </c>
      <c r="H6806" t="s">
        <v>11048</v>
      </c>
      <c r="I6806" t="s">
        <v>3629</v>
      </c>
      <c r="J6806" t="s">
        <v>33917</v>
      </c>
      <c r="K6806" t="s">
        <v>38496</v>
      </c>
      <c r="M6806" t="s">
        <v>41178</v>
      </c>
      <c r="N6806" t="s">
        <v>42669</v>
      </c>
      <c r="O6806" t="s">
        <v>42670</v>
      </c>
      <c r="P6806">
        <v>0</v>
      </c>
      <c r="Q6806">
        <v>1</v>
      </c>
      <c r="R6806" t="s">
        <v>42677</v>
      </c>
      <c r="S6806" t="s">
        <v>42830</v>
      </c>
      <c r="T6806" t="s">
        <v>44371</v>
      </c>
      <c r="U6806" t="s">
        <v>50417</v>
      </c>
      <c r="W6806" t="s">
        <v>41178</v>
      </c>
      <c r="X6806" t="s">
        <v>42678</v>
      </c>
    </row>
    <row r="6807" spans="1:24">
      <c r="A6807">
        <f>HYPERLINK("https://www.philgeps.gov.ph/GEPSNONPILOT/Tender/SplashBidNoticeAbstractUI.aspx?menuIndex=3&amp;refID=7186542&amp;Result=3","7186542")</f>
        <v>0</v>
      </c>
      <c r="B6807" t="s">
        <v>606</v>
      </c>
      <c r="C6807" t="s">
        <v>10039</v>
      </c>
      <c r="D6807" t="s">
        <v>17170</v>
      </c>
      <c r="E6807" t="s">
        <v>23133</v>
      </c>
      <c r="F6807" t="s">
        <v>29372</v>
      </c>
      <c r="G6807" t="s">
        <v>29380</v>
      </c>
      <c r="H6807" t="s">
        <v>11048</v>
      </c>
      <c r="I6807" t="s">
        <v>29395</v>
      </c>
      <c r="J6807" t="s">
        <v>33918</v>
      </c>
      <c r="K6807" t="s">
        <v>38488</v>
      </c>
      <c r="M6807" t="s">
        <v>39377</v>
      </c>
      <c r="N6807" t="s">
        <v>42669</v>
      </c>
      <c r="O6807" t="s">
        <v>42670</v>
      </c>
      <c r="P6807">
        <v>0</v>
      </c>
      <c r="Q6807">
        <v>3</v>
      </c>
      <c r="R6807" t="s">
        <v>42677</v>
      </c>
      <c r="S6807" t="s">
        <v>42830</v>
      </c>
      <c r="T6807" t="s">
        <v>44481</v>
      </c>
      <c r="U6807" t="s">
        <v>50418</v>
      </c>
      <c r="W6807" t="s">
        <v>39377</v>
      </c>
      <c r="X6807" t="s">
        <v>42678</v>
      </c>
    </row>
    <row r="6808" spans="1:24">
      <c r="A6808">
        <f>HYPERLINK("https://www.philgeps.gov.ph/GEPSNONPILOT/Tender/SplashBidNoticeAbstractUI.aspx?menuIndex=3&amp;refID=7186483&amp;Result=3","7186483")</f>
        <v>0</v>
      </c>
      <c r="B6808" t="s">
        <v>1066</v>
      </c>
      <c r="C6808" t="s">
        <v>10040</v>
      </c>
      <c r="D6808" t="s">
        <v>17141</v>
      </c>
      <c r="E6808" t="s">
        <v>23134</v>
      </c>
      <c r="F6808" t="s">
        <v>29374</v>
      </c>
      <c r="G6808" t="s">
        <v>29379</v>
      </c>
      <c r="H6808" t="s">
        <v>11048</v>
      </c>
      <c r="I6808" t="s">
        <v>29401</v>
      </c>
      <c r="J6808" t="s">
        <v>33919</v>
      </c>
      <c r="K6808" t="s">
        <v>38490</v>
      </c>
      <c r="M6808" t="s">
        <v>39873</v>
      </c>
      <c r="N6808" t="s">
        <v>42669</v>
      </c>
      <c r="O6808" t="s">
        <v>42670</v>
      </c>
      <c r="P6808">
        <v>0</v>
      </c>
      <c r="Q6808">
        <v>2</v>
      </c>
      <c r="R6808" t="s">
        <v>42677</v>
      </c>
      <c r="S6808" t="s">
        <v>42830</v>
      </c>
      <c r="T6808" t="s">
        <v>44401</v>
      </c>
      <c r="U6808" t="s">
        <v>50402</v>
      </c>
      <c r="W6808" t="s">
        <v>39873</v>
      </c>
      <c r="X6808" t="s">
        <v>42678</v>
      </c>
    </row>
    <row r="6809" spans="1:24">
      <c r="A6809">
        <f>HYPERLINK("https://www.philgeps.gov.ph/GEPSNONPILOT/Tender/SplashBidNoticeAbstractUI.aspx?menuIndex=3&amp;refID=7186526&amp;Result=3","7186526")</f>
        <v>0</v>
      </c>
      <c r="B6809" t="s">
        <v>1022</v>
      </c>
      <c r="C6809" t="s">
        <v>10041</v>
      </c>
      <c r="D6809" t="s">
        <v>17141</v>
      </c>
      <c r="E6809" t="s">
        <v>23135</v>
      </c>
      <c r="F6809" t="s">
        <v>29372</v>
      </c>
      <c r="G6809" t="s">
        <v>29380</v>
      </c>
      <c r="H6809" t="s">
        <v>11048</v>
      </c>
      <c r="I6809" t="s">
        <v>14920</v>
      </c>
      <c r="J6809" t="s">
        <v>33920</v>
      </c>
      <c r="K6809" t="s">
        <v>38488</v>
      </c>
      <c r="M6809" t="s">
        <v>39822</v>
      </c>
      <c r="N6809" t="s">
        <v>42669</v>
      </c>
      <c r="O6809" t="s">
        <v>42670</v>
      </c>
      <c r="P6809">
        <v>0</v>
      </c>
      <c r="Q6809">
        <v>0</v>
      </c>
      <c r="R6809" t="s">
        <v>42677</v>
      </c>
      <c r="S6809" t="s">
        <v>42830</v>
      </c>
      <c r="T6809" t="s">
        <v>44387</v>
      </c>
      <c r="U6809" t="s">
        <v>47038</v>
      </c>
      <c r="W6809" t="s">
        <v>39822</v>
      </c>
      <c r="X6809" t="s">
        <v>42678</v>
      </c>
    </row>
    <row r="6810" spans="1:24">
      <c r="A6810">
        <f>HYPERLINK("https://www.philgeps.gov.ph/GEPSNONPILOT/Tender/SplashBidNoticeAbstractUI.aspx?menuIndex=3&amp;refID=7186534&amp;Result=3","7186534")</f>
        <v>0</v>
      </c>
      <c r="B6810" t="s">
        <v>1046</v>
      </c>
      <c r="C6810" t="s">
        <v>10042</v>
      </c>
      <c r="D6810" t="s">
        <v>17178</v>
      </c>
      <c r="E6810" t="s">
        <v>23136</v>
      </c>
      <c r="F6810" t="s">
        <v>29372</v>
      </c>
      <c r="G6810" t="s">
        <v>29380</v>
      </c>
      <c r="H6810" t="s">
        <v>29389</v>
      </c>
      <c r="I6810" t="s">
        <v>10408</v>
      </c>
      <c r="J6810" t="s">
        <v>33921</v>
      </c>
      <c r="K6810" t="s">
        <v>38617</v>
      </c>
      <c r="M6810" t="s">
        <v>39851</v>
      </c>
      <c r="N6810" t="s">
        <v>42669</v>
      </c>
      <c r="O6810" t="s">
        <v>42670</v>
      </c>
      <c r="P6810">
        <v>0</v>
      </c>
      <c r="Q6810">
        <v>8</v>
      </c>
      <c r="R6810" t="s">
        <v>42677</v>
      </c>
      <c r="S6810" t="s">
        <v>42830</v>
      </c>
      <c r="T6810" t="s">
        <v>44355</v>
      </c>
      <c r="U6810" t="s">
        <v>50419</v>
      </c>
      <c r="V6810" t="s">
        <v>57107</v>
      </c>
      <c r="W6810" t="s">
        <v>39851</v>
      </c>
      <c r="X6810" t="s">
        <v>42678</v>
      </c>
    </row>
    <row r="6811" spans="1:24">
      <c r="A6811">
        <f>HYPERLINK("https://www.philgeps.gov.ph/GEPSNONPILOT/Tender/SplashBidNoticeAbstractUI.aspx?menuIndex=3&amp;refID=7186531&amp;Result=3","7186531")</f>
        <v>0</v>
      </c>
      <c r="B6811" t="s">
        <v>1022</v>
      </c>
      <c r="C6811" t="s">
        <v>10043</v>
      </c>
      <c r="D6811" t="s">
        <v>17141</v>
      </c>
      <c r="E6811" t="s">
        <v>23137</v>
      </c>
      <c r="F6811" t="s">
        <v>29372</v>
      </c>
      <c r="G6811" t="s">
        <v>29380</v>
      </c>
      <c r="H6811" t="s">
        <v>11048</v>
      </c>
      <c r="I6811" t="s">
        <v>14920</v>
      </c>
      <c r="J6811" t="s">
        <v>29590</v>
      </c>
      <c r="K6811" t="s">
        <v>38488</v>
      </c>
      <c r="M6811" t="s">
        <v>39822</v>
      </c>
      <c r="N6811" t="s">
        <v>42669</v>
      </c>
      <c r="O6811" t="s">
        <v>42670</v>
      </c>
      <c r="P6811">
        <v>0</v>
      </c>
      <c r="Q6811">
        <v>0</v>
      </c>
      <c r="R6811" t="s">
        <v>42677</v>
      </c>
      <c r="S6811" t="s">
        <v>42830</v>
      </c>
      <c r="T6811" t="s">
        <v>44387</v>
      </c>
      <c r="U6811" t="s">
        <v>47038</v>
      </c>
      <c r="W6811" t="s">
        <v>39822</v>
      </c>
      <c r="X6811" t="s">
        <v>42678</v>
      </c>
    </row>
    <row r="6812" spans="1:24">
      <c r="A6812">
        <f>HYPERLINK("https://www.philgeps.gov.ph/GEPSNONPILOT/Tender/SplashBidNoticeAbstractUI.aspx?menuIndex=3&amp;refID=7186525&amp;Result=3","7186525")</f>
        <v>0</v>
      </c>
      <c r="B6812" t="s">
        <v>1022</v>
      </c>
      <c r="C6812" t="s">
        <v>10044</v>
      </c>
      <c r="D6812" t="s">
        <v>17141</v>
      </c>
      <c r="E6812" t="s">
        <v>23138</v>
      </c>
      <c r="F6812" t="s">
        <v>29372</v>
      </c>
      <c r="G6812" t="s">
        <v>29380</v>
      </c>
      <c r="H6812" t="s">
        <v>11048</v>
      </c>
      <c r="I6812" t="s">
        <v>14920</v>
      </c>
      <c r="J6812" t="s">
        <v>33922</v>
      </c>
      <c r="K6812" t="s">
        <v>38488</v>
      </c>
      <c r="M6812" t="s">
        <v>39822</v>
      </c>
      <c r="N6812" t="s">
        <v>42669</v>
      </c>
      <c r="O6812" t="s">
        <v>42670</v>
      </c>
      <c r="P6812">
        <v>0</v>
      </c>
      <c r="Q6812">
        <v>0</v>
      </c>
      <c r="R6812" t="s">
        <v>42677</v>
      </c>
      <c r="S6812" t="s">
        <v>42830</v>
      </c>
      <c r="T6812" t="s">
        <v>44387</v>
      </c>
      <c r="U6812" t="s">
        <v>47038</v>
      </c>
      <c r="W6812" t="s">
        <v>39822</v>
      </c>
      <c r="X6812" t="s">
        <v>42678</v>
      </c>
    </row>
    <row r="6813" spans="1:24">
      <c r="A6813">
        <f>HYPERLINK("https://www.philgeps.gov.ph/GEPSNONPILOT/Tender/SplashBidNoticeAbstractUI.aspx?menuIndex=3&amp;refID=7186521&amp;Result=3","7186521")</f>
        <v>0</v>
      </c>
      <c r="B6813" t="s">
        <v>2258</v>
      </c>
      <c r="C6813" t="s">
        <v>10045</v>
      </c>
      <c r="D6813" t="s">
        <v>17189</v>
      </c>
      <c r="E6813" t="s">
        <v>23139</v>
      </c>
      <c r="F6813" t="s">
        <v>29375</v>
      </c>
      <c r="G6813" t="s">
        <v>29379</v>
      </c>
      <c r="H6813" t="s">
        <v>11048</v>
      </c>
      <c r="I6813" t="s">
        <v>3670</v>
      </c>
      <c r="J6813" t="s">
        <v>33923</v>
      </c>
      <c r="K6813" t="s">
        <v>38491</v>
      </c>
      <c r="M6813" t="s">
        <v>41179</v>
      </c>
      <c r="N6813" t="s">
        <v>42669</v>
      </c>
      <c r="O6813" t="s">
        <v>42670</v>
      </c>
      <c r="P6813">
        <v>0</v>
      </c>
      <c r="Q6813">
        <v>0</v>
      </c>
      <c r="R6813" t="s">
        <v>42677</v>
      </c>
      <c r="S6813" t="s">
        <v>42830</v>
      </c>
      <c r="T6813" t="s">
        <v>44429</v>
      </c>
      <c r="U6813" t="s">
        <v>50420</v>
      </c>
      <c r="W6813" t="s">
        <v>41179</v>
      </c>
      <c r="X6813" t="s">
        <v>42678</v>
      </c>
    </row>
    <row r="6814" spans="1:24">
      <c r="A6814">
        <f>HYPERLINK("https://www.philgeps.gov.ph/GEPSNONPILOT/Tender/SplashBidNoticeAbstractUI.aspx?menuIndex=3&amp;refID=7186518&amp;Result=3","7186518")</f>
        <v>0</v>
      </c>
      <c r="B6814" t="s">
        <v>1192</v>
      </c>
      <c r="C6814" t="s">
        <v>10046</v>
      </c>
      <c r="D6814" t="s">
        <v>17213</v>
      </c>
      <c r="E6814" t="s">
        <v>17947</v>
      </c>
      <c r="F6814" t="s">
        <v>29372</v>
      </c>
      <c r="G6814" t="s">
        <v>29380</v>
      </c>
      <c r="H6814" t="s">
        <v>29389</v>
      </c>
      <c r="I6814" t="s">
        <v>10408</v>
      </c>
      <c r="J6814" t="s">
        <v>31498</v>
      </c>
      <c r="K6814" t="s">
        <v>38675</v>
      </c>
      <c r="M6814" t="s">
        <v>40008</v>
      </c>
      <c r="N6814" t="s">
        <v>42669</v>
      </c>
      <c r="O6814" t="s">
        <v>42670</v>
      </c>
      <c r="P6814">
        <v>0</v>
      </c>
      <c r="Q6814">
        <v>1</v>
      </c>
      <c r="R6814" t="s">
        <v>42677</v>
      </c>
      <c r="S6814" t="s">
        <v>42830</v>
      </c>
      <c r="T6814" t="s">
        <v>44515</v>
      </c>
      <c r="U6814" t="s">
        <v>50421</v>
      </c>
      <c r="W6814" t="s">
        <v>40008</v>
      </c>
      <c r="X6814" t="s">
        <v>42678</v>
      </c>
    </row>
    <row r="6815" spans="1:24">
      <c r="A6815">
        <f>HYPERLINK("https://www.philgeps.gov.ph/GEPSNONPILOT/Tender/SplashBidNoticeAbstractUI.aspx?menuIndex=3&amp;refID=7186535&amp;Result=3","7186535")</f>
        <v>0</v>
      </c>
      <c r="B6815" t="s">
        <v>1022</v>
      </c>
      <c r="C6815" t="s">
        <v>10047</v>
      </c>
      <c r="D6815" t="s">
        <v>17141</v>
      </c>
      <c r="E6815" t="s">
        <v>23140</v>
      </c>
      <c r="F6815" t="s">
        <v>29372</v>
      </c>
      <c r="G6815" t="s">
        <v>29380</v>
      </c>
      <c r="H6815" t="s">
        <v>11048</v>
      </c>
      <c r="I6815" t="s">
        <v>14920</v>
      </c>
      <c r="J6815" t="s">
        <v>33924</v>
      </c>
      <c r="K6815" t="s">
        <v>38488</v>
      </c>
      <c r="M6815" t="s">
        <v>39822</v>
      </c>
      <c r="N6815" t="s">
        <v>42669</v>
      </c>
      <c r="O6815" t="s">
        <v>42670</v>
      </c>
      <c r="P6815">
        <v>0</v>
      </c>
      <c r="Q6815">
        <v>0</v>
      </c>
      <c r="R6815" t="s">
        <v>42677</v>
      </c>
      <c r="S6815" t="s">
        <v>42830</v>
      </c>
      <c r="T6815" t="s">
        <v>44387</v>
      </c>
      <c r="U6815" t="s">
        <v>47038</v>
      </c>
      <c r="W6815" t="s">
        <v>39822</v>
      </c>
      <c r="X6815" t="s">
        <v>42678</v>
      </c>
    </row>
    <row r="6816" spans="1:24">
      <c r="A6816">
        <f>HYPERLINK("https://www.philgeps.gov.ph/GEPSNONPILOT/Tender/SplashBidNoticeAbstractUI.aspx?menuIndex=3&amp;refID=7186532&amp;Result=3","7186532")</f>
        <v>0</v>
      </c>
      <c r="B6816" t="s">
        <v>2242</v>
      </c>
      <c r="C6816" t="s">
        <v>10048</v>
      </c>
      <c r="D6816" t="s">
        <v>17141</v>
      </c>
      <c r="E6816" t="s">
        <v>23141</v>
      </c>
      <c r="F6816" t="s">
        <v>29372</v>
      </c>
      <c r="G6816" t="s">
        <v>29379</v>
      </c>
      <c r="H6816" t="s">
        <v>11048</v>
      </c>
      <c r="I6816" t="s">
        <v>4709</v>
      </c>
      <c r="J6816" t="s">
        <v>33925</v>
      </c>
      <c r="K6816" t="s">
        <v>38485</v>
      </c>
      <c r="M6816" t="s">
        <v>41160</v>
      </c>
      <c r="N6816" t="s">
        <v>42669</v>
      </c>
      <c r="O6816" t="s">
        <v>42670</v>
      </c>
      <c r="P6816">
        <v>0</v>
      </c>
      <c r="Q6816">
        <v>3</v>
      </c>
      <c r="R6816" t="s">
        <v>42677</v>
      </c>
      <c r="S6816" t="s">
        <v>42830</v>
      </c>
      <c r="T6816" t="s">
        <v>44585</v>
      </c>
      <c r="U6816" t="s">
        <v>50422</v>
      </c>
      <c r="W6816" t="s">
        <v>41160</v>
      </c>
      <c r="X6816" t="s">
        <v>42678</v>
      </c>
    </row>
    <row r="6817" spans="1:24">
      <c r="A6817">
        <f>HYPERLINK("https://www.philgeps.gov.ph/GEPSNONPILOT/Tender/SplashBidNoticeAbstractUI.aspx?menuIndex=3&amp;refID=7186527&amp;Result=3","7186527")</f>
        <v>0</v>
      </c>
      <c r="B6817" t="s">
        <v>2251</v>
      </c>
      <c r="C6817" t="s">
        <v>10049</v>
      </c>
      <c r="D6817" t="s">
        <v>17209</v>
      </c>
      <c r="E6817" t="s">
        <v>19716</v>
      </c>
      <c r="F6817" t="s">
        <v>29372</v>
      </c>
      <c r="G6817" t="s">
        <v>29380</v>
      </c>
      <c r="H6817" t="s">
        <v>11048</v>
      </c>
      <c r="I6817" t="s">
        <v>29400</v>
      </c>
      <c r="J6817" t="s">
        <v>33926</v>
      </c>
      <c r="K6817" t="s">
        <v>38496</v>
      </c>
      <c r="M6817" t="s">
        <v>41172</v>
      </c>
      <c r="N6817" t="s">
        <v>42669</v>
      </c>
      <c r="O6817" t="s">
        <v>42670</v>
      </c>
      <c r="P6817">
        <v>0</v>
      </c>
      <c r="Q6817">
        <v>36</v>
      </c>
      <c r="R6817" t="s">
        <v>42677</v>
      </c>
      <c r="S6817" t="s">
        <v>42830</v>
      </c>
      <c r="T6817" t="s">
        <v>44542</v>
      </c>
      <c r="U6817" t="s">
        <v>50386</v>
      </c>
      <c r="W6817" t="s">
        <v>41172</v>
      </c>
      <c r="X6817" t="s">
        <v>42678</v>
      </c>
    </row>
    <row r="6818" spans="1:24">
      <c r="A6818">
        <f>HYPERLINK("https://www.philgeps.gov.ph/GEPSNONPILOT/Tender/SplashBidNoticeAbstractUI.aspx?menuIndex=3&amp;refID=7186513&amp;Result=3","7186513")</f>
        <v>0</v>
      </c>
      <c r="B6818" t="s">
        <v>1022</v>
      </c>
      <c r="C6818" t="s">
        <v>10050</v>
      </c>
      <c r="D6818" t="s">
        <v>17141</v>
      </c>
      <c r="E6818" t="s">
        <v>23142</v>
      </c>
      <c r="F6818" t="s">
        <v>29372</v>
      </c>
      <c r="G6818" t="s">
        <v>29380</v>
      </c>
      <c r="H6818" t="s">
        <v>11048</v>
      </c>
      <c r="I6818" t="s">
        <v>14920</v>
      </c>
      <c r="J6818" t="s">
        <v>33927</v>
      </c>
      <c r="K6818" t="s">
        <v>38488</v>
      </c>
      <c r="M6818" t="s">
        <v>39822</v>
      </c>
      <c r="N6818" t="s">
        <v>42669</v>
      </c>
      <c r="O6818" t="s">
        <v>42670</v>
      </c>
      <c r="P6818">
        <v>0</v>
      </c>
      <c r="Q6818">
        <v>0</v>
      </c>
      <c r="R6818" t="s">
        <v>42677</v>
      </c>
      <c r="S6818" t="s">
        <v>42830</v>
      </c>
      <c r="T6818" t="s">
        <v>44387</v>
      </c>
      <c r="U6818" t="s">
        <v>47038</v>
      </c>
      <c r="W6818" t="s">
        <v>39822</v>
      </c>
      <c r="X6818" t="s">
        <v>42678</v>
      </c>
    </row>
    <row r="6819" spans="1:24">
      <c r="A6819">
        <f>HYPERLINK("https://www.philgeps.gov.ph/GEPSNONPILOT/Tender/SplashBidNoticeAbstractUI.aspx?menuIndex=3&amp;refID=7186511&amp;Result=3","7186511")</f>
        <v>0</v>
      </c>
      <c r="B6819" t="s">
        <v>2251</v>
      </c>
      <c r="C6819" t="s">
        <v>10051</v>
      </c>
      <c r="D6819" t="s">
        <v>17209</v>
      </c>
      <c r="E6819" t="s">
        <v>19716</v>
      </c>
      <c r="F6819" t="s">
        <v>29372</v>
      </c>
      <c r="G6819" t="s">
        <v>29380</v>
      </c>
      <c r="H6819" t="s">
        <v>11048</v>
      </c>
      <c r="I6819" t="s">
        <v>5383</v>
      </c>
      <c r="J6819" t="s">
        <v>33928</v>
      </c>
      <c r="K6819" t="s">
        <v>38485</v>
      </c>
      <c r="M6819" t="s">
        <v>41172</v>
      </c>
      <c r="N6819" t="s">
        <v>42669</v>
      </c>
      <c r="O6819" t="s">
        <v>42670</v>
      </c>
      <c r="P6819">
        <v>0</v>
      </c>
      <c r="Q6819">
        <v>0</v>
      </c>
      <c r="R6819" t="s">
        <v>42677</v>
      </c>
      <c r="S6819" t="s">
        <v>42830</v>
      </c>
      <c r="T6819" t="s">
        <v>44542</v>
      </c>
      <c r="U6819" t="s">
        <v>50423</v>
      </c>
      <c r="W6819" t="s">
        <v>41172</v>
      </c>
      <c r="X6819" t="s">
        <v>42678</v>
      </c>
    </row>
    <row r="6820" spans="1:24">
      <c r="A6820">
        <f>HYPERLINK("https://www.philgeps.gov.ph/GEPSNONPILOT/Tender/SplashBidNoticeAbstractUI.aspx?menuIndex=3&amp;refID=7186564&amp;Result=3","7186564")</f>
        <v>0</v>
      </c>
      <c r="B6820" t="s">
        <v>1022</v>
      </c>
      <c r="C6820" t="s">
        <v>10052</v>
      </c>
      <c r="D6820" t="s">
        <v>17141</v>
      </c>
      <c r="E6820" t="s">
        <v>23143</v>
      </c>
      <c r="F6820" t="s">
        <v>29372</v>
      </c>
      <c r="G6820" t="s">
        <v>29380</v>
      </c>
      <c r="H6820" t="s">
        <v>11048</v>
      </c>
      <c r="I6820" t="s">
        <v>3670</v>
      </c>
      <c r="J6820" t="s">
        <v>33929</v>
      </c>
      <c r="K6820" t="s">
        <v>38488</v>
      </c>
      <c r="M6820" t="s">
        <v>39842</v>
      </c>
      <c r="N6820" t="s">
        <v>42669</v>
      </c>
      <c r="O6820" t="s">
        <v>42670</v>
      </c>
      <c r="P6820">
        <v>0</v>
      </c>
      <c r="Q6820">
        <v>1</v>
      </c>
      <c r="R6820" t="s">
        <v>42677</v>
      </c>
      <c r="S6820" t="s">
        <v>42830</v>
      </c>
      <c r="T6820" t="s">
        <v>44387</v>
      </c>
      <c r="U6820" t="s">
        <v>47035</v>
      </c>
      <c r="W6820" t="s">
        <v>39842</v>
      </c>
      <c r="X6820" t="s">
        <v>42678</v>
      </c>
    </row>
    <row r="6821" spans="1:24">
      <c r="A6821">
        <f>HYPERLINK("https://www.philgeps.gov.ph/GEPSNONPILOT/Tender/SplashBidNoticeAbstractUI.aspx?menuIndex=3&amp;refID=7186573&amp;Result=3","7186573")</f>
        <v>0</v>
      </c>
      <c r="B6821" t="s">
        <v>2259</v>
      </c>
      <c r="C6821" t="s">
        <v>10053</v>
      </c>
      <c r="D6821" t="s">
        <v>17141</v>
      </c>
      <c r="E6821" t="s">
        <v>17533</v>
      </c>
      <c r="F6821" t="s">
        <v>29372</v>
      </c>
      <c r="G6821" t="s">
        <v>29380</v>
      </c>
      <c r="H6821" t="s">
        <v>29390</v>
      </c>
      <c r="I6821" t="s">
        <v>29409</v>
      </c>
      <c r="J6821" t="s">
        <v>29609</v>
      </c>
      <c r="K6821" t="s">
        <v>38488</v>
      </c>
      <c r="M6821" t="s">
        <v>41180</v>
      </c>
      <c r="N6821" t="s">
        <v>42669</v>
      </c>
      <c r="O6821" t="s">
        <v>42670</v>
      </c>
      <c r="P6821">
        <v>0</v>
      </c>
      <c r="Q6821">
        <v>7</v>
      </c>
      <c r="R6821" t="s">
        <v>42677</v>
      </c>
      <c r="S6821" t="s">
        <v>42830</v>
      </c>
      <c r="T6821" t="s">
        <v>44425</v>
      </c>
      <c r="U6821" t="s">
        <v>50424</v>
      </c>
      <c r="W6821" t="s">
        <v>41180</v>
      </c>
      <c r="X6821" t="s">
        <v>42678</v>
      </c>
    </row>
    <row r="6822" spans="1:24">
      <c r="A6822">
        <f>HYPERLINK("https://www.philgeps.gov.ph/GEPSNONPILOT/Tender/SplashBidNoticeAbstractUI.aspx?menuIndex=3&amp;refID=7186520&amp;Result=3","7186520")</f>
        <v>0</v>
      </c>
      <c r="B6822" t="s">
        <v>1073</v>
      </c>
      <c r="C6822" t="s">
        <v>10054</v>
      </c>
      <c r="D6822" t="s">
        <v>17141</v>
      </c>
      <c r="E6822" t="s">
        <v>23144</v>
      </c>
      <c r="F6822" t="s">
        <v>29372</v>
      </c>
      <c r="G6822" t="s">
        <v>29380</v>
      </c>
      <c r="H6822" t="s">
        <v>11048</v>
      </c>
      <c r="I6822" t="s">
        <v>29409</v>
      </c>
      <c r="J6822" t="s">
        <v>31429</v>
      </c>
      <c r="K6822" t="s">
        <v>38490</v>
      </c>
      <c r="M6822" t="s">
        <v>41181</v>
      </c>
      <c r="N6822" t="s">
        <v>42669</v>
      </c>
      <c r="O6822" t="s">
        <v>42670</v>
      </c>
      <c r="P6822">
        <v>0</v>
      </c>
      <c r="Q6822">
        <v>14</v>
      </c>
      <c r="R6822" t="s">
        <v>42677</v>
      </c>
      <c r="S6822" t="s">
        <v>42830</v>
      </c>
      <c r="T6822" t="s">
        <v>44355</v>
      </c>
      <c r="U6822" t="s">
        <v>50425</v>
      </c>
      <c r="V6822" t="s">
        <v>56155</v>
      </c>
      <c r="W6822" t="s">
        <v>41181</v>
      </c>
      <c r="X6822" t="s">
        <v>42678</v>
      </c>
    </row>
    <row r="6823" spans="1:24">
      <c r="A6823">
        <f>HYPERLINK("https://www.philgeps.gov.ph/GEPSNONPILOT/Tender/SplashBidNoticeAbstractUI.aspx?menuIndex=3&amp;refID=7186571&amp;Result=3","7186571")</f>
        <v>0</v>
      </c>
      <c r="B6823" t="s">
        <v>34</v>
      </c>
      <c r="C6823" t="s">
        <v>10055</v>
      </c>
      <c r="D6823" t="s">
        <v>17148</v>
      </c>
      <c r="E6823" t="s">
        <v>23145</v>
      </c>
      <c r="F6823" t="s">
        <v>29372</v>
      </c>
      <c r="G6823" t="s">
        <v>29380</v>
      </c>
      <c r="H6823" t="s">
        <v>29389</v>
      </c>
      <c r="I6823" t="s">
        <v>10408</v>
      </c>
      <c r="J6823" t="s">
        <v>29924</v>
      </c>
      <c r="K6823" t="s">
        <v>38495</v>
      </c>
      <c r="M6823" t="s">
        <v>38787</v>
      </c>
      <c r="N6823" t="s">
        <v>42669</v>
      </c>
      <c r="O6823" t="s">
        <v>42670</v>
      </c>
      <c r="Q6823">
        <v>58</v>
      </c>
      <c r="R6823" t="s">
        <v>42677</v>
      </c>
      <c r="S6823" t="s">
        <v>42861</v>
      </c>
      <c r="T6823" t="s">
        <v>44483</v>
      </c>
      <c r="U6823" t="s">
        <v>50426</v>
      </c>
      <c r="V6823" t="s">
        <v>57108</v>
      </c>
      <c r="W6823" t="s">
        <v>38787</v>
      </c>
      <c r="X6823" t="s">
        <v>42678</v>
      </c>
    </row>
    <row r="6824" spans="1:24">
      <c r="A6824">
        <f>HYPERLINK("https://www.philgeps.gov.ph/GEPSNONPILOT/Tender/SplashBidNoticeAbstractUI.aspx?menuIndex=3&amp;refID=7186572&amp;Result=3","7186572")</f>
        <v>0</v>
      </c>
      <c r="B6824" t="s">
        <v>1022</v>
      </c>
      <c r="C6824" t="s">
        <v>10056</v>
      </c>
      <c r="D6824" t="s">
        <v>17141</v>
      </c>
      <c r="E6824" t="s">
        <v>23146</v>
      </c>
      <c r="F6824" t="s">
        <v>29372</v>
      </c>
      <c r="G6824" t="s">
        <v>29380</v>
      </c>
      <c r="H6824" t="s">
        <v>11048</v>
      </c>
      <c r="I6824" t="s">
        <v>3670</v>
      </c>
      <c r="J6824" t="s">
        <v>29590</v>
      </c>
      <c r="K6824" t="s">
        <v>38488</v>
      </c>
      <c r="M6824" t="s">
        <v>39842</v>
      </c>
      <c r="N6824" t="s">
        <v>42669</v>
      </c>
      <c r="O6824" t="s">
        <v>42670</v>
      </c>
      <c r="P6824">
        <v>0</v>
      </c>
      <c r="Q6824">
        <v>0</v>
      </c>
      <c r="R6824" t="s">
        <v>42677</v>
      </c>
      <c r="S6824" t="s">
        <v>42830</v>
      </c>
      <c r="T6824" t="s">
        <v>44387</v>
      </c>
      <c r="U6824" t="s">
        <v>47035</v>
      </c>
      <c r="W6824" t="s">
        <v>39842</v>
      </c>
      <c r="X6824" t="s">
        <v>42678</v>
      </c>
    </row>
    <row r="6825" spans="1:24">
      <c r="A6825">
        <f>HYPERLINK("https://www.philgeps.gov.ph/GEPSNONPILOT/Tender/SplashBidNoticeAbstractUI.aspx?menuIndex=3&amp;refID=7186540&amp;Result=3","7186540")</f>
        <v>0</v>
      </c>
      <c r="B6825" t="s">
        <v>1046</v>
      </c>
      <c r="C6825" t="s">
        <v>10057</v>
      </c>
      <c r="D6825" t="s">
        <v>17178</v>
      </c>
      <c r="E6825" t="s">
        <v>23147</v>
      </c>
      <c r="F6825" t="s">
        <v>29372</v>
      </c>
      <c r="G6825" t="s">
        <v>29380</v>
      </c>
      <c r="H6825" t="s">
        <v>29389</v>
      </c>
      <c r="I6825" t="s">
        <v>10408</v>
      </c>
      <c r="J6825" t="s">
        <v>33930</v>
      </c>
      <c r="K6825" t="s">
        <v>38642</v>
      </c>
      <c r="M6825" t="s">
        <v>39851</v>
      </c>
      <c r="N6825" t="s">
        <v>42669</v>
      </c>
      <c r="O6825" t="s">
        <v>42670</v>
      </c>
      <c r="P6825">
        <v>0</v>
      </c>
      <c r="Q6825">
        <v>4</v>
      </c>
      <c r="R6825" t="s">
        <v>42677</v>
      </c>
      <c r="S6825" t="s">
        <v>42830</v>
      </c>
      <c r="T6825" t="s">
        <v>44355</v>
      </c>
      <c r="U6825" t="s">
        <v>50419</v>
      </c>
      <c r="V6825" t="s">
        <v>57109</v>
      </c>
      <c r="W6825" t="s">
        <v>39851</v>
      </c>
      <c r="X6825" t="s">
        <v>42678</v>
      </c>
    </row>
    <row r="6826" spans="1:24">
      <c r="A6826">
        <f>HYPERLINK("https://www.philgeps.gov.ph/GEPSNONPILOT/Tender/SplashBidNoticeAbstractUI.aspx?menuIndex=3&amp;refID=7186567&amp;Result=3","7186567")</f>
        <v>0</v>
      </c>
      <c r="B6826" t="s">
        <v>1022</v>
      </c>
      <c r="C6826" t="s">
        <v>10058</v>
      </c>
      <c r="D6826" t="s">
        <v>17141</v>
      </c>
      <c r="E6826" t="s">
        <v>23148</v>
      </c>
      <c r="F6826" t="s">
        <v>29372</v>
      </c>
      <c r="G6826" t="s">
        <v>29380</v>
      </c>
      <c r="H6826" t="s">
        <v>11048</v>
      </c>
      <c r="I6826" t="s">
        <v>3670</v>
      </c>
      <c r="J6826" t="s">
        <v>29526</v>
      </c>
      <c r="K6826" t="s">
        <v>38488</v>
      </c>
      <c r="M6826" t="s">
        <v>39842</v>
      </c>
      <c r="N6826" t="s">
        <v>42669</v>
      </c>
      <c r="O6826" t="s">
        <v>42670</v>
      </c>
      <c r="P6826">
        <v>0</v>
      </c>
      <c r="Q6826">
        <v>1</v>
      </c>
      <c r="R6826" t="s">
        <v>42677</v>
      </c>
      <c r="S6826" t="s">
        <v>42830</v>
      </c>
      <c r="T6826" t="s">
        <v>44387</v>
      </c>
      <c r="U6826" t="s">
        <v>47035</v>
      </c>
      <c r="W6826" t="s">
        <v>39842</v>
      </c>
      <c r="X6826" t="s">
        <v>42678</v>
      </c>
    </row>
    <row r="6827" spans="1:24">
      <c r="A6827">
        <f>HYPERLINK("https://www.philgeps.gov.ph/GEPSNONPILOT/Tender/SplashBidNoticeAbstractUI.aspx?menuIndex=3&amp;refID=7186559&amp;Result=3","7186559")</f>
        <v>0</v>
      </c>
      <c r="B6827" t="s">
        <v>1022</v>
      </c>
      <c r="C6827" t="s">
        <v>10059</v>
      </c>
      <c r="D6827" t="s">
        <v>17141</v>
      </c>
      <c r="E6827" t="s">
        <v>23149</v>
      </c>
      <c r="F6827" t="s">
        <v>29372</v>
      </c>
      <c r="G6827" t="s">
        <v>29380</v>
      </c>
      <c r="H6827" t="s">
        <v>11048</v>
      </c>
      <c r="I6827" t="s">
        <v>3670</v>
      </c>
      <c r="J6827" t="s">
        <v>33931</v>
      </c>
      <c r="K6827" t="s">
        <v>38488</v>
      </c>
      <c r="M6827" t="s">
        <v>39842</v>
      </c>
      <c r="N6827" t="s">
        <v>42669</v>
      </c>
      <c r="O6827" t="s">
        <v>42670</v>
      </c>
      <c r="P6827">
        <v>0</v>
      </c>
      <c r="Q6827">
        <v>0</v>
      </c>
      <c r="R6827" t="s">
        <v>42677</v>
      </c>
      <c r="S6827" t="s">
        <v>42830</v>
      </c>
      <c r="T6827" t="s">
        <v>44387</v>
      </c>
      <c r="U6827" t="s">
        <v>47035</v>
      </c>
      <c r="W6827" t="s">
        <v>39842</v>
      </c>
      <c r="X6827" t="s">
        <v>42678</v>
      </c>
    </row>
    <row r="6828" spans="1:24">
      <c r="A6828">
        <f>HYPERLINK("https://www.philgeps.gov.ph/GEPSNONPILOT/Tender/SplashBidNoticeAbstractUI.aspx?menuIndex=3&amp;refID=7186451&amp;Result=3","7186451")</f>
        <v>0</v>
      </c>
      <c r="B6828" t="s">
        <v>2237</v>
      </c>
      <c r="C6828" t="s">
        <v>10060</v>
      </c>
      <c r="D6828" t="s">
        <v>17166</v>
      </c>
      <c r="E6828" t="s">
        <v>23150</v>
      </c>
      <c r="F6828" t="s">
        <v>29372</v>
      </c>
      <c r="G6828" t="s">
        <v>29380</v>
      </c>
      <c r="H6828" t="s">
        <v>29389</v>
      </c>
      <c r="I6828" t="s">
        <v>10408</v>
      </c>
      <c r="J6828" t="s">
        <v>33932</v>
      </c>
      <c r="K6828" t="s">
        <v>38522</v>
      </c>
      <c r="M6828" t="s">
        <v>41155</v>
      </c>
      <c r="N6828" t="s">
        <v>42669</v>
      </c>
      <c r="O6828" t="s">
        <v>42670</v>
      </c>
      <c r="P6828">
        <v>0</v>
      </c>
      <c r="Q6828">
        <v>5</v>
      </c>
      <c r="R6828" t="s">
        <v>42677</v>
      </c>
      <c r="S6828" t="s">
        <v>42830</v>
      </c>
      <c r="T6828" t="s">
        <v>44430</v>
      </c>
      <c r="U6828" t="s">
        <v>50427</v>
      </c>
      <c r="W6828" t="s">
        <v>41155</v>
      </c>
      <c r="X6828" t="s">
        <v>42678</v>
      </c>
    </row>
    <row r="6829" spans="1:24">
      <c r="A6829">
        <f>HYPERLINK("https://www.philgeps.gov.ph/GEPSNONPILOT/Tender/SplashBidNoticeAbstractUI.aspx?menuIndex=3&amp;refID=7186570&amp;Result=3","7186570")</f>
        <v>0</v>
      </c>
      <c r="B6829" t="s">
        <v>1022</v>
      </c>
      <c r="C6829" t="s">
        <v>10061</v>
      </c>
      <c r="D6829" t="s">
        <v>17141</v>
      </c>
      <c r="E6829" t="s">
        <v>23151</v>
      </c>
      <c r="F6829" t="s">
        <v>29372</v>
      </c>
      <c r="G6829" t="s">
        <v>29380</v>
      </c>
      <c r="H6829" t="s">
        <v>11048</v>
      </c>
      <c r="I6829" t="s">
        <v>3670</v>
      </c>
      <c r="J6829" t="s">
        <v>33933</v>
      </c>
      <c r="K6829" t="s">
        <v>38488</v>
      </c>
      <c r="M6829" t="s">
        <v>39842</v>
      </c>
      <c r="N6829" t="s">
        <v>42669</v>
      </c>
      <c r="O6829" t="s">
        <v>42670</v>
      </c>
      <c r="P6829">
        <v>0</v>
      </c>
      <c r="Q6829">
        <v>0</v>
      </c>
      <c r="R6829" t="s">
        <v>42677</v>
      </c>
      <c r="S6829" t="s">
        <v>42830</v>
      </c>
      <c r="T6829" t="s">
        <v>44387</v>
      </c>
      <c r="U6829" t="s">
        <v>47035</v>
      </c>
      <c r="W6829" t="s">
        <v>39842</v>
      </c>
      <c r="X6829" t="s">
        <v>42678</v>
      </c>
    </row>
    <row r="6830" spans="1:24">
      <c r="A6830">
        <f>HYPERLINK("https://www.philgeps.gov.ph/GEPSNONPILOT/Tender/SplashBidNoticeAbstractUI.aspx?menuIndex=3&amp;refID=7186555&amp;Result=3","7186555")</f>
        <v>0</v>
      </c>
      <c r="B6830" t="s">
        <v>1038</v>
      </c>
      <c r="C6830" t="s">
        <v>10062</v>
      </c>
      <c r="D6830" t="s">
        <v>17172</v>
      </c>
      <c r="E6830" t="s">
        <v>23152</v>
      </c>
      <c r="F6830" t="s">
        <v>29372</v>
      </c>
      <c r="G6830" t="s">
        <v>29380</v>
      </c>
      <c r="H6830" t="s">
        <v>11048</v>
      </c>
      <c r="I6830" t="s">
        <v>4709</v>
      </c>
      <c r="J6830" t="s">
        <v>33934</v>
      </c>
      <c r="K6830" t="s">
        <v>38510</v>
      </c>
      <c r="L6830" t="s">
        <v>1038</v>
      </c>
      <c r="M6830" t="s">
        <v>39843</v>
      </c>
      <c r="N6830" t="s">
        <v>42669</v>
      </c>
      <c r="O6830" t="s">
        <v>42670</v>
      </c>
      <c r="P6830">
        <v>0</v>
      </c>
      <c r="Q6830">
        <v>1</v>
      </c>
      <c r="R6830" t="s">
        <v>42677</v>
      </c>
      <c r="S6830" t="s">
        <v>42830</v>
      </c>
      <c r="T6830" t="s">
        <v>44470</v>
      </c>
      <c r="U6830" t="s">
        <v>50428</v>
      </c>
      <c r="W6830" t="s">
        <v>39843</v>
      </c>
      <c r="X6830" t="s">
        <v>42678</v>
      </c>
    </row>
    <row r="6831" spans="1:24">
      <c r="A6831">
        <f>HYPERLINK("https://www.philgeps.gov.ph/GEPSNONPILOT/Tender/SplashBidNoticeAbstractUI.aspx?menuIndex=3&amp;refID=7186552&amp;Result=3","7186552")</f>
        <v>0</v>
      </c>
      <c r="B6831" t="s">
        <v>1022</v>
      </c>
      <c r="C6831" t="s">
        <v>10063</v>
      </c>
      <c r="D6831" t="s">
        <v>17141</v>
      </c>
      <c r="E6831" t="s">
        <v>23153</v>
      </c>
      <c r="F6831" t="s">
        <v>29372</v>
      </c>
      <c r="G6831" t="s">
        <v>29380</v>
      </c>
      <c r="H6831" t="s">
        <v>11048</v>
      </c>
      <c r="I6831" t="s">
        <v>3670</v>
      </c>
      <c r="J6831" t="s">
        <v>31352</v>
      </c>
      <c r="K6831" t="s">
        <v>38488</v>
      </c>
      <c r="M6831" t="s">
        <v>39842</v>
      </c>
      <c r="N6831" t="s">
        <v>42669</v>
      </c>
      <c r="O6831" t="s">
        <v>42670</v>
      </c>
      <c r="P6831">
        <v>0</v>
      </c>
      <c r="Q6831">
        <v>1</v>
      </c>
      <c r="R6831" t="s">
        <v>42677</v>
      </c>
      <c r="S6831" t="s">
        <v>42830</v>
      </c>
      <c r="T6831" t="s">
        <v>44387</v>
      </c>
      <c r="U6831" t="s">
        <v>47035</v>
      </c>
      <c r="W6831" t="s">
        <v>39842</v>
      </c>
      <c r="X6831" t="s">
        <v>42678</v>
      </c>
    </row>
    <row r="6832" spans="1:24">
      <c r="A6832">
        <f>HYPERLINK("https://www.philgeps.gov.ph/GEPSNONPILOT/Tender/SplashBidNoticeAbstractUI.aspx?menuIndex=3&amp;refID=7186561&amp;Result=3","7186561")</f>
        <v>0</v>
      </c>
      <c r="B6832" t="s">
        <v>1022</v>
      </c>
      <c r="C6832" t="s">
        <v>10064</v>
      </c>
      <c r="D6832" t="s">
        <v>17141</v>
      </c>
      <c r="E6832" t="s">
        <v>23154</v>
      </c>
      <c r="F6832" t="s">
        <v>29372</v>
      </c>
      <c r="G6832" t="s">
        <v>29380</v>
      </c>
      <c r="H6832" t="s">
        <v>11048</v>
      </c>
      <c r="I6832" t="s">
        <v>3670</v>
      </c>
      <c r="J6832" t="s">
        <v>33935</v>
      </c>
      <c r="K6832" t="s">
        <v>38488</v>
      </c>
      <c r="M6832" t="s">
        <v>39842</v>
      </c>
      <c r="N6832" t="s">
        <v>42669</v>
      </c>
      <c r="O6832" t="s">
        <v>42670</v>
      </c>
      <c r="P6832">
        <v>0</v>
      </c>
      <c r="Q6832">
        <v>0</v>
      </c>
      <c r="R6832" t="s">
        <v>42677</v>
      </c>
      <c r="S6832" t="s">
        <v>42830</v>
      </c>
      <c r="T6832" t="s">
        <v>44387</v>
      </c>
      <c r="U6832" t="s">
        <v>47035</v>
      </c>
      <c r="W6832" t="s">
        <v>39842</v>
      </c>
      <c r="X6832" t="s">
        <v>42678</v>
      </c>
    </row>
    <row r="6833" spans="1:24">
      <c r="A6833">
        <f>HYPERLINK("https://www.philgeps.gov.ph/GEPSNONPILOT/Tender/SplashBidNoticeAbstractUI.aspx?menuIndex=3&amp;refID=7186514&amp;Result=3","7186514")</f>
        <v>0</v>
      </c>
      <c r="B6833" t="s">
        <v>1022</v>
      </c>
      <c r="C6833" t="s">
        <v>10065</v>
      </c>
      <c r="D6833" t="s">
        <v>17141</v>
      </c>
      <c r="E6833" t="s">
        <v>23155</v>
      </c>
      <c r="F6833" t="s">
        <v>29372</v>
      </c>
      <c r="G6833" t="s">
        <v>29380</v>
      </c>
      <c r="H6833" t="s">
        <v>11048</v>
      </c>
      <c r="I6833" t="s">
        <v>14920</v>
      </c>
      <c r="J6833" t="s">
        <v>33936</v>
      </c>
      <c r="K6833" t="s">
        <v>38488</v>
      </c>
      <c r="M6833" t="s">
        <v>39822</v>
      </c>
      <c r="N6833" t="s">
        <v>42669</v>
      </c>
      <c r="O6833" t="s">
        <v>42670</v>
      </c>
      <c r="P6833">
        <v>0</v>
      </c>
      <c r="Q6833">
        <v>0</v>
      </c>
      <c r="R6833" t="s">
        <v>42677</v>
      </c>
      <c r="S6833" t="s">
        <v>42830</v>
      </c>
      <c r="T6833" t="s">
        <v>44387</v>
      </c>
      <c r="U6833" t="s">
        <v>47038</v>
      </c>
      <c r="W6833" t="s">
        <v>39822</v>
      </c>
      <c r="X6833" t="s">
        <v>42678</v>
      </c>
    </row>
    <row r="6834" spans="1:24">
      <c r="A6834">
        <f>HYPERLINK("https://www.philgeps.gov.ph/GEPSNONPILOT/Tender/SplashBidNoticeAbstractUI.aspx?menuIndex=3&amp;refID=7186558&amp;Result=3","7186558")</f>
        <v>0</v>
      </c>
      <c r="B6834" t="s">
        <v>1022</v>
      </c>
      <c r="C6834" t="s">
        <v>10066</v>
      </c>
      <c r="D6834" t="s">
        <v>17141</v>
      </c>
      <c r="E6834" t="s">
        <v>23156</v>
      </c>
      <c r="F6834" t="s">
        <v>29372</v>
      </c>
      <c r="G6834" t="s">
        <v>29380</v>
      </c>
      <c r="H6834" t="s">
        <v>11048</v>
      </c>
      <c r="I6834" t="s">
        <v>3670</v>
      </c>
      <c r="J6834" t="s">
        <v>32935</v>
      </c>
      <c r="K6834" t="s">
        <v>38488</v>
      </c>
      <c r="M6834" t="s">
        <v>39842</v>
      </c>
      <c r="N6834" t="s">
        <v>42669</v>
      </c>
      <c r="O6834" t="s">
        <v>42670</v>
      </c>
      <c r="P6834">
        <v>0</v>
      </c>
      <c r="Q6834">
        <v>0</v>
      </c>
      <c r="R6834" t="s">
        <v>42677</v>
      </c>
      <c r="S6834" t="s">
        <v>42830</v>
      </c>
      <c r="T6834" t="s">
        <v>44387</v>
      </c>
      <c r="U6834" t="s">
        <v>47035</v>
      </c>
      <c r="W6834" t="s">
        <v>39842</v>
      </c>
      <c r="X6834" t="s">
        <v>42678</v>
      </c>
    </row>
    <row r="6835" spans="1:24">
      <c r="A6835">
        <f>HYPERLINK("https://www.philgeps.gov.ph/GEPSNONPILOT/Tender/SplashBidNoticeAbstractUI.aspx?menuIndex=3&amp;refID=7186619&amp;Result=3","7186619")</f>
        <v>0</v>
      </c>
      <c r="B6835" t="s">
        <v>2260</v>
      </c>
      <c r="C6835" t="s">
        <v>10067</v>
      </c>
      <c r="D6835" t="s">
        <v>17160</v>
      </c>
      <c r="E6835" t="s">
        <v>18255</v>
      </c>
      <c r="F6835" t="s">
        <v>29372</v>
      </c>
      <c r="G6835" t="s">
        <v>29381</v>
      </c>
      <c r="H6835" t="s">
        <v>11048</v>
      </c>
      <c r="I6835" t="s">
        <v>29426</v>
      </c>
      <c r="J6835" t="s">
        <v>29571</v>
      </c>
      <c r="K6835" t="s">
        <v>38511</v>
      </c>
      <c r="M6835" t="s">
        <v>41182</v>
      </c>
      <c r="N6835" t="s">
        <v>42669</v>
      </c>
      <c r="O6835" t="s">
        <v>42670</v>
      </c>
      <c r="P6835">
        <v>0</v>
      </c>
      <c r="Q6835">
        <v>2</v>
      </c>
      <c r="R6835" t="s">
        <v>42677</v>
      </c>
      <c r="S6835" t="s">
        <v>42830</v>
      </c>
      <c r="T6835" t="s">
        <v>44429</v>
      </c>
      <c r="U6835" t="s">
        <v>50429</v>
      </c>
      <c r="W6835" t="s">
        <v>58077</v>
      </c>
      <c r="X6835" t="s">
        <v>42678</v>
      </c>
    </row>
    <row r="6836" spans="1:24">
      <c r="A6836">
        <f>HYPERLINK("https://www.philgeps.gov.ph/GEPSNONPILOT/Tender/SplashBidNoticeAbstractUI.aspx?menuIndex=3&amp;refID=7186640&amp;Result=3","7186640")</f>
        <v>0</v>
      </c>
      <c r="B6836" t="s">
        <v>2261</v>
      </c>
      <c r="C6836" t="s">
        <v>10068</v>
      </c>
      <c r="D6836" t="s">
        <v>17160</v>
      </c>
      <c r="E6836" t="s">
        <v>17947</v>
      </c>
      <c r="F6836" t="s">
        <v>29372</v>
      </c>
      <c r="G6836" t="s">
        <v>29380</v>
      </c>
      <c r="H6836" t="s">
        <v>11048</v>
      </c>
      <c r="I6836" t="s">
        <v>4709</v>
      </c>
      <c r="J6836" t="s">
        <v>29526</v>
      </c>
      <c r="K6836" t="s">
        <v>38491</v>
      </c>
      <c r="M6836" t="s">
        <v>41183</v>
      </c>
      <c r="N6836" t="s">
        <v>42669</v>
      </c>
      <c r="O6836" t="s">
        <v>42670</v>
      </c>
      <c r="P6836">
        <v>0</v>
      </c>
      <c r="Q6836">
        <v>0</v>
      </c>
      <c r="R6836" t="s">
        <v>42677</v>
      </c>
      <c r="S6836" t="s">
        <v>42830</v>
      </c>
      <c r="T6836" t="s">
        <v>44429</v>
      </c>
      <c r="U6836" t="s">
        <v>50430</v>
      </c>
      <c r="W6836" t="s">
        <v>58078</v>
      </c>
      <c r="X6836" t="s">
        <v>42678</v>
      </c>
    </row>
    <row r="6837" spans="1:24">
      <c r="A6837">
        <f>HYPERLINK("https://www.philgeps.gov.ph/GEPSNONPILOT/Tender/SplashBidNoticeAbstractUI.aspx?menuIndex=3&amp;refID=7186517&amp;Result=3","7186517")</f>
        <v>0</v>
      </c>
      <c r="B6837" t="s">
        <v>1022</v>
      </c>
      <c r="C6837" t="s">
        <v>10069</v>
      </c>
      <c r="D6837" t="s">
        <v>17141</v>
      </c>
      <c r="E6837" t="s">
        <v>23157</v>
      </c>
      <c r="F6837" t="s">
        <v>29372</v>
      </c>
      <c r="G6837" t="s">
        <v>29380</v>
      </c>
      <c r="H6837" t="s">
        <v>11048</v>
      </c>
      <c r="I6837" t="s">
        <v>14920</v>
      </c>
      <c r="J6837" t="s">
        <v>30036</v>
      </c>
      <c r="K6837" t="s">
        <v>38488</v>
      </c>
      <c r="M6837" t="s">
        <v>39822</v>
      </c>
      <c r="N6837" t="s">
        <v>42669</v>
      </c>
      <c r="O6837" t="s">
        <v>42670</v>
      </c>
      <c r="P6837">
        <v>0</v>
      </c>
      <c r="Q6837">
        <v>0</v>
      </c>
      <c r="R6837" t="s">
        <v>42677</v>
      </c>
      <c r="S6837" t="s">
        <v>42830</v>
      </c>
      <c r="T6837" t="s">
        <v>44387</v>
      </c>
      <c r="U6837" t="s">
        <v>47038</v>
      </c>
      <c r="W6837" t="s">
        <v>39822</v>
      </c>
      <c r="X6837" t="s">
        <v>42678</v>
      </c>
    </row>
    <row r="6838" spans="1:24">
      <c r="A6838">
        <f>HYPERLINK("https://www.philgeps.gov.ph/GEPSNONPILOT/Tender/SplashBidNoticeAbstractUI.aspx?menuIndex=3&amp;refID=7186638&amp;Result=3","7186638")</f>
        <v>0</v>
      </c>
      <c r="B6838" t="s">
        <v>2243</v>
      </c>
      <c r="C6838" t="s">
        <v>10070</v>
      </c>
      <c r="D6838" t="s">
        <v>17189</v>
      </c>
      <c r="E6838" t="s">
        <v>23158</v>
      </c>
      <c r="F6838" t="s">
        <v>29372</v>
      </c>
      <c r="G6838" t="s">
        <v>29379</v>
      </c>
      <c r="H6838" t="s">
        <v>11048</v>
      </c>
      <c r="I6838" t="s">
        <v>29395</v>
      </c>
      <c r="J6838" t="s">
        <v>33937</v>
      </c>
      <c r="K6838" t="s">
        <v>38485</v>
      </c>
      <c r="M6838" t="s">
        <v>41161</v>
      </c>
      <c r="N6838" t="s">
        <v>42669</v>
      </c>
      <c r="O6838" t="s">
        <v>42670</v>
      </c>
      <c r="P6838">
        <v>0</v>
      </c>
      <c r="Q6838">
        <v>4</v>
      </c>
      <c r="R6838" t="s">
        <v>42677</v>
      </c>
      <c r="S6838" t="s">
        <v>42830</v>
      </c>
      <c r="T6838" t="s">
        <v>44488</v>
      </c>
      <c r="U6838" t="s">
        <v>50340</v>
      </c>
      <c r="W6838" t="s">
        <v>41161</v>
      </c>
      <c r="X6838" t="s">
        <v>42678</v>
      </c>
    </row>
    <row r="6839" spans="1:24">
      <c r="A6839">
        <f>HYPERLINK("https://www.philgeps.gov.ph/GEPSNONPILOT/Tender/SplashBidNoticeAbstractUI.aspx?menuIndex=3&amp;refID=7186627&amp;Result=3","7186627")</f>
        <v>0</v>
      </c>
      <c r="B6839" t="s">
        <v>663</v>
      </c>
      <c r="C6839" t="s">
        <v>10071</v>
      </c>
      <c r="D6839" t="s">
        <v>17189</v>
      </c>
      <c r="E6839" t="s">
        <v>23159</v>
      </c>
      <c r="F6839" t="s">
        <v>29372</v>
      </c>
      <c r="G6839" t="s">
        <v>29380</v>
      </c>
      <c r="H6839" t="s">
        <v>29389</v>
      </c>
      <c r="I6839" t="s">
        <v>10408</v>
      </c>
      <c r="J6839" t="s">
        <v>33938</v>
      </c>
      <c r="K6839" t="s">
        <v>38502</v>
      </c>
      <c r="M6839" t="s">
        <v>39439</v>
      </c>
      <c r="N6839" t="s">
        <v>42669</v>
      </c>
      <c r="O6839" t="s">
        <v>42670</v>
      </c>
      <c r="P6839">
        <v>0</v>
      </c>
      <c r="Q6839">
        <v>0</v>
      </c>
      <c r="R6839" t="s">
        <v>42677</v>
      </c>
      <c r="S6839" t="s">
        <v>42830</v>
      </c>
      <c r="T6839" t="s">
        <v>44478</v>
      </c>
      <c r="U6839" t="s">
        <v>50431</v>
      </c>
      <c r="V6839" t="s">
        <v>56530</v>
      </c>
      <c r="W6839" t="s">
        <v>39439</v>
      </c>
      <c r="X6839" t="s">
        <v>42678</v>
      </c>
    </row>
    <row r="6840" spans="1:24">
      <c r="A6840">
        <f>HYPERLINK("https://www.philgeps.gov.ph/GEPSNONPILOT/Tender/SplashBidNoticeAbstractUI.aspx?menuIndex=3&amp;refID=7186578&amp;Result=3","7186578")</f>
        <v>0</v>
      </c>
      <c r="B6840" t="s">
        <v>2262</v>
      </c>
      <c r="C6840" t="s">
        <v>10072</v>
      </c>
      <c r="D6840" t="s">
        <v>17199</v>
      </c>
      <c r="E6840" t="s">
        <v>20432</v>
      </c>
      <c r="F6840" t="s">
        <v>29372</v>
      </c>
      <c r="G6840" t="s">
        <v>29380</v>
      </c>
      <c r="H6840" t="s">
        <v>11048</v>
      </c>
      <c r="I6840" t="s">
        <v>3860</v>
      </c>
      <c r="J6840" t="s">
        <v>33939</v>
      </c>
      <c r="K6840" t="s">
        <v>38538</v>
      </c>
      <c r="M6840" t="s">
        <v>41184</v>
      </c>
      <c r="N6840" t="s">
        <v>42669</v>
      </c>
      <c r="O6840" t="s">
        <v>42670</v>
      </c>
      <c r="P6840">
        <v>0</v>
      </c>
      <c r="Q6840">
        <v>1</v>
      </c>
      <c r="R6840" t="s">
        <v>42677</v>
      </c>
      <c r="S6840" t="s">
        <v>42830</v>
      </c>
      <c r="T6840" t="s">
        <v>44429</v>
      </c>
      <c r="U6840" t="s">
        <v>50432</v>
      </c>
      <c r="W6840" t="s">
        <v>41184</v>
      </c>
      <c r="X6840" t="s">
        <v>42678</v>
      </c>
    </row>
    <row r="6841" spans="1:24">
      <c r="A6841">
        <f>HYPERLINK("https://www.philgeps.gov.ph/GEPSNONPILOT/Tender/SplashBidNoticeAbstractUI.aspx?menuIndex=3&amp;refID=7186554&amp;Result=3","7186554")</f>
        <v>0</v>
      </c>
      <c r="B6841" t="s">
        <v>606</v>
      </c>
      <c r="C6841" t="s">
        <v>10073</v>
      </c>
      <c r="D6841" t="s">
        <v>17170</v>
      </c>
      <c r="E6841" t="s">
        <v>23160</v>
      </c>
      <c r="F6841" t="s">
        <v>29372</v>
      </c>
      <c r="G6841" t="s">
        <v>29380</v>
      </c>
      <c r="H6841" t="s">
        <v>29389</v>
      </c>
      <c r="I6841" t="s">
        <v>10408</v>
      </c>
      <c r="J6841" t="s">
        <v>33940</v>
      </c>
      <c r="K6841" t="s">
        <v>38487</v>
      </c>
      <c r="M6841" t="s">
        <v>39377</v>
      </c>
      <c r="N6841" t="s">
        <v>42669</v>
      </c>
      <c r="O6841" t="s">
        <v>42670</v>
      </c>
      <c r="P6841">
        <v>0</v>
      </c>
      <c r="Q6841">
        <v>1</v>
      </c>
      <c r="R6841" t="s">
        <v>42677</v>
      </c>
      <c r="S6841" t="s">
        <v>42830</v>
      </c>
      <c r="T6841" t="s">
        <v>44481</v>
      </c>
      <c r="U6841" t="s">
        <v>50418</v>
      </c>
      <c r="W6841" t="s">
        <v>39377</v>
      </c>
      <c r="X6841" t="s">
        <v>42678</v>
      </c>
    </row>
    <row r="6842" spans="1:24">
      <c r="A6842">
        <f>HYPERLINK("https://www.philgeps.gov.ph/GEPSNONPILOT/Tender/SplashBidNoticeAbstractUI.aspx?menuIndex=3&amp;refID=7186551&amp;Result=3","7186551")</f>
        <v>0</v>
      </c>
      <c r="B6842" t="s">
        <v>1022</v>
      </c>
      <c r="C6842" t="s">
        <v>10074</v>
      </c>
      <c r="D6842" t="s">
        <v>17141</v>
      </c>
      <c r="E6842" t="s">
        <v>23161</v>
      </c>
      <c r="F6842" t="s">
        <v>29372</v>
      </c>
      <c r="G6842" t="s">
        <v>29380</v>
      </c>
      <c r="H6842" t="s">
        <v>11048</v>
      </c>
      <c r="I6842" t="s">
        <v>3670</v>
      </c>
      <c r="J6842" t="s">
        <v>30412</v>
      </c>
      <c r="K6842" t="s">
        <v>38488</v>
      </c>
      <c r="M6842" t="s">
        <v>39842</v>
      </c>
      <c r="N6842" t="s">
        <v>42669</v>
      </c>
      <c r="O6842" t="s">
        <v>42670</v>
      </c>
      <c r="P6842">
        <v>0</v>
      </c>
      <c r="Q6842">
        <v>1</v>
      </c>
      <c r="R6842" t="s">
        <v>42677</v>
      </c>
      <c r="S6842" t="s">
        <v>42830</v>
      </c>
      <c r="T6842" t="s">
        <v>44387</v>
      </c>
      <c r="U6842" t="s">
        <v>47035</v>
      </c>
      <c r="W6842" t="s">
        <v>39842</v>
      </c>
      <c r="X6842" t="s">
        <v>42678</v>
      </c>
    </row>
    <row r="6843" spans="1:24">
      <c r="A6843">
        <f>HYPERLINK("https://www.philgeps.gov.ph/GEPSNONPILOT/Tender/SplashBidNoticeAbstractUI.aspx?menuIndex=3&amp;refID=7186550&amp;Result=3","7186550")</f>
        <v>0</v>
      </c>
      <c r="B6843" t="s">
        <v>1022</v>
      </c>
      <c r="C6843" t="s">
        <v>10075</v>
      </c>
      <c r="D6843" t="s">
        <v>17141</v>
      </c>
      <c r="E6843" t="s">
        <v>23162</v>
      </c>
      <c r="F6843" t="s">
        <v>29372</v>
      </c>
      <c r="G6843" t="s">
        <v>29380</v>
      </c>
      <c r="H6843" t="s">
        <v>11048</v>
      </c>
      <c r="I6843" t="s">
        <v>3670</v>
      </c>
      <c r="J6843" t="s">
        <v>33941</v>
      </c>
      <c r="K6843" t="s">
        <v>38488</v>
      </c>
      <c r="M6843" t="s">
        <v>39842</v>
      </c>
      <c r="N6843" t="s">
        <v>42669</v>
      </c>
      <c r="O6843" t="s">
        <v>42670</v>
      </c>
      <c r="P6843">
        <v>0</v>
      </c>
      <c r="Q6843">
        <v>0</v>
      </c>
      <c r="R6843" t="s">
        <v>42677</v>
      </c>
      <c r="S6843" t="s">
        <v>42830</v>
      </c>
      <c r="T6843" t="s">
        <v>44387</v>
      </c>
      <c r="U6843" t="s">
        <v>47035</v>
      </c>
      <c r="W6843" t="s">
        <v>39842</v>
      </c>
      <c r="X6843" t="s">
        <v>42678</v>
      </c>
    </row>
    <row r="6844" spans="1:24">
      <c r="A6844">
        <f>HYPERLINK("https://www.philgeps.gov.ph/GEPSNONPILOT/Tender/SplashBidNoticeAbstractUI.aspx?menuIndex=3&amp;refID=7186610&amp;Result=3","7186610")</f>
        <v>0</v>
      </c>
      <c r="B6844" t="s">
        <v>2263</v>
      </c>
      <c r="C6844" t="s">
        <v>10076</v>
      </c>
      <c r="D6844" t="s">
        <v>17213</v>
      </c>
      <c r="E6844" t="s">
        <v>23163</v>
      </c>
      <c r="F6844" t="s">
        <v>29373</v>
      </c>
      <c r="G6844" t="s">
        <v>29380</v>
      </c>
      <c r="H6844" t="s">
        <v>11048</v>
      </c>
      <c r="I6844" t="s">
        <v>3839</v>
      </c>
      <c r="J6844" t="s">
        <v>29555</v>
      </c>
      <c r="K6844" t="s">
        <v>38522</v>
      </c>
      <c r="M6844" t="s">
        <v>41185</v>
      </c>
      <c r="N6844" t="s">
        <v>42669</v>
      </c>
      <c r="O6844" t="s">
        <v>42670</v>
      </c>
      <c r="P6844">
        <v>0</v>
      </c>
      <c r="Q6844">
        <v>0</v>
      </c>
      <c r="R6844" t="s">
        <v>42677</v>
      </c>
      <c r="S6844" t="s">
        <v>42830</v>
      </c>
      <c r="T6844" t="s">
        <v>44474</v>
      </c>
      <c r="U6844" t="s">
        <v>50433</v>
      </c>
      <c r="W6844" t="s">
        <v>41185</v>
      </c>
      <c r="X6844" t="s">
        <v>42678</v>
      </c>
    </row>
    <row r="6845" spans="1:24">
      <c r="A6845">
        <f>HYPERLINK("https://www.philgeps.gov.ph/GEPSNONPILOT/Tender/SplashBidNoticeAbstractUI.aspx?menuIndex=3&amp;refID=7186608&amp;Result=3","7186608")</f>
        <v>0</v>
      </c>
      <c r="B6845" t="s">
        <v>2264</v>
      </c>
      <c r="C6845" t="s">
        <v>10077</v>
      </c>
      <c r="D6845" t="s">
        <v>17205</v>
      </c>
      <c r="E6845" t="s">
        <v>23164</v>
      </c>
      <c r="F6845" t="s">
        <v>29372</v>
      </c>
      <c r="G6845" t="s">
        <v>29380</v>
      </c>
      <c r="H6845" t="s">
        <v>11048</v>
      </c>
      <c r="I6845" t="s">
        <v>4709</v>
      </c>
      <c r="J6845" t="s">
        <v>33942</v>
      </c>
      <c r="K6845" t="s">
        <v>38490</v>
      </c>
      <c r="M6845" t="s">
        <v>41186</v>
      </c>
      <c r="N6845" t="s">
        <v>42669</v>
      </c>
      <c r="O6845" t="s">
        <v>42670</v>
      </c>
      <c r="P6845">
        <v>0</v>
      </c>
      <c r="Q6845">
        <v>1</v>
      </c>
      <c r="R6845" t="s">
        <v>42677</v>
      </c>
      <c r="S6845" t="s">
        <v>42830</v>
      </c>
      <c r="T6845" t="s">
        <v>44481</v>
      </c>
      <c r="U6845" t="s">
        <v>50434</v>
      </c>
      <c r="W6845" t="s">
        <v>41186</v>
      </c>
      <c r="X6845" t="s">
        <v>42678</v>
      </c>
    </row>
    <row r="6846" spans="1:24">
      <c r="A6846">
        <f>HYPERLINK("https://www.philgeps.gov.ph/GEPSNONPILOT/Tender/SplashBidNoticeAbstractUI.aspx?menuIndex=3&amp;refID=7186607&amp;Result=3","7186607")</f>
        <v>0</v>
      </c>
      <c r="B6846" t="s">
        <v>663</v>
      </c>
      <c r="C6846" t="s">
        <v>10078</v>
      </c>
      <c r="D6846" t="s">
        <v>17189</v>
      </c>
      <c r="E6846" t="s">
        <v>23165</v>
      </c>
      <c r="F6846" t="s">
        <v>29372</v>
      </c>
      <c r="G6846" t="s">
        <v>29380</v>
      </c>
      <c r="H6846" t="s">
        <v>11048</v>
      </c>
      <c r="I6846" t="s">
        <v>4709</v>
      </c>
      <c r="J6846" t="s">
        <v>33943</v>
      </c>
      <c r="K6846" t="s">
        <v>38522</v>
      </c>
      <c r="M6846" t="s">
        <v>39439</v>
      </c>
      <c r="N6846" t="s">
        <v>42669</v>
      </c>
      <c r="O6846" t="s">
        <v>42670</v>
      </c>
      <c r="P6846">
        <v>0</v>
      </c>
      <c r="Q6846">
        <v>1</v>
      </c>
      <c r="R6846" t="s">
        <v>42677</v>
      </c>
      <c r="S6846" t="s">
        <v>42830</v>
      </c>
      <c r="T6846" t="s">
        <v>44478</v>
      </c>
      <c r="U6846" t="s">
        <v>50435</v>
      </c>
      <c r="V6846" t="s">
        <v>57110</v>
      </c>
      <c r="W6846" t="s">
        <v>39439</v>
      </c>
      <c r="X6846" t="s">
        <v>42678</v>
      </c>
    </row>
    <row r="6847" spans="1:24">
      <c r="A6847">
        <f>HYPERLINK("https://www.philgeps.gov.ph/GEPSNONPILOT/Tender/SplashBidNoticeAbstractUI.aspx?menuIndex=3&amp;refID=7186606&amp;Result=3","7186606")</f>
        <v>0</v>
      </c>
      <c r="B6847" t="s">
        <v>2265</v>
      </c>
      <c r="C6847" t="s">
        <v>10079</v>
      </c>
      <c r="D6847" t="s">
        <v>17160</v>
      </c>
      <c r="E6847" t="s">
        <v>18038</v>
      </c>
      <c r="F6847" t="s">
        <v>29372</v>
      </c>
      <c r="G6847" t="s">
        <v>29380</v>
      </c>
      <c r="H6847" t="s">
        <v>11048</v>
      </c>
      <c r="I6847" t="s">
        <v>4709</v>
      </c>
      <c r="J6847" t="s">
        <v>29555</v>
      </c>
      <c r="K6847" t="s">
        <v>38489</v>
      </c>
      <c r="M6847" t="s">
        <v>41187</v>
      </c>
      <c r="N6847" t="s">
        <v>42669</v>
      </c>
      <c r="O6847" t="s">
        <v>42670</v>
      </c>
      <c r="P6847">
        <v>0</v>
      </c>
      <c r="Q6847">
        <v>0</v>
      </c>
      <c r="R6847" t="s">
        <v>42677</v>
      </c>
      <c r="S6847" t="s">
        <v>42830</v>
      </c>
      <c r="T6847" t="s">
        <v>44429</v>
      </c>
      <c r="U6847" t="s">
        <v>45516</v>
      </c>
      <c r="W6847" t="s">
        <v>58079</v>
      </c>
      <c r="X6847" t="s">
        <v>42678</v>
      </c>
    </row>
    <row r="6848" spans="1:24">
      <c r="A6848">
        <f>HYPERLINK("https://www.philgeps.gov.ph/GEPSNONPILOT/Tender/SplashBidNoticeAbstractUI.aspx?menuIndex=3&amp;refID=7186600&amp;Result=3","7186600")</f>
        <v>0</v>
      </c>
      <c r="B6848" t="s">
        <v>1022</v>
      </c>
      <c r="C6848" t="s">
        <v>10080</v>
      </c>
      <c r="D6848" t="s">
        <v>17141</v>
      </c>
      <c r="E6848" t="s">
        <v>23166</v>
      </c>
      <c r="F6848" t="s">
        <v>29372</v>
      </c>
      <c r="G6848" t="s">
        <v>29380</v>
      </c>
      <c r="H6848" t="s">
        <v>11048</v>
      </c>
      <c r="I6848" t="s">
        <v>29412</v>
      </c>
      <c r="J6848" t="s">
        <v>29609</v>
      </c>
      <c r="K6848" t="s">
        <v>38488</v>
      </c>
      <c r="M6848" t="s">
        <v>39842</v>
      </c>
      <c r="N6848" t="s">
        <v>42669</v>
      </c>
      <c r="O6848" t="s">
        <v>42670</v>
      </c>
      <c r="P6848">
        <v>0</v>
      </c>
      <c r="Q6848">
        <v>0</v>
      </c>
      <c r="R6848" t="s">
        <v>42677</v>
      </c>
      <c r="S6848" t="s">
        <v>42830</v>
      </c>
      <c r="T6848" t="s">
        <v>44387</v>
      </c>
      <c r="U6848" t="s">
        <v>47045</v>
      </c>
      <c r="W6848" t="s">
        <v>39842</v>
      </c>
      <c r="X6848" t="s">
        <v>42678</v>
      </c>
    </row>
    <row r="6849" spans="1:24">
      <c r="A6849">
        <f>HYPERLINK("https://www.philgeps.gov.ph/GEPSNONPILOT/Tender/SplashBidNoticeAbstractUI.aspx?menuIndex=3&amp;refID=7186592&amp;Result=3","7186592")</f>
        <v>0</v>
      </c>
      <c r="B6849" t="s">
        <v>1022</v>
      </c>
      <c r="C6849" t="s">
        <v>10081</v>
      </c>
      <c r="D6849" t="s">
        <v>17141</v>
      </c>
      <c r="E6849" t="s">
        <v>23167</v>
      </c>
      <c r="F6849" t="s">
        <v>29372</v>
      </c>
      <c r="G6849" t="s">
        <v>29380</v>
      </c>
      <c r="H6849" t="s">
        <v>11048</v>
      </c>
      <c r="I6849" t="s">
        <v>3670</v>
      </c>
      <c r="J6849" t="s">
        <v>33944</v>
      </c>
      <c r="K6849" t="s">
        <v>38488</v>
      </c>
      <c r="M6849" t="s">
        <v>39842</v>
      </c>
      <c r="N6849" t="s">
        <v>42669</v>
      </c>
      <c r="O6849" t="s">
        <v>42670</v>
      </c>
      <c r="P6849">
        <v>0</v>
      </c>
      <c r="Q6849">
        <v>0</v>
      </c>
      <c r="R6849" t="s">
        <v>42677</v>
      </c>
      <c r="S6849" t="s">
        <v>42830</v>
      </c>
      <c r="T6849" t="s">
        <v>44387</v>
      </c>
      <c r="U6849" t="s">
        <v>47078</v>
      </c>
      <c r="W6849" t="s">
        <v>39842</v>
      </c>
      <c r="X6849" t="s">
        <v>42678</v>
      </c>
    </row>
    <row r="6850" spans="1:24">
      <c r="A6850">
        <f>HYPERLINK("https://www.philgeps.gov.ph/GEPSNONPILOT/Tender/SplashBidNoticeAbstractUI.aspx?menuIndex=3&amp;refID=7186633&amp;Result=3","7186633")</f>
        <v>0</v>
      </c>
      <c r="B6850" t="s">
        <v>2266</v>
      </c>
      <c r="C6850" t="s">
        <v>4246</v>
      </c>
      <c r="D6850" t="s">
        <v>17160</v>
      </c>
      <c r="E6850" t="s">
        <v>18038</v>
      </c>
      <c r="F6850" t="s">
        <v>29372</v>
      </c>
      <c r="G6850" t="s">
        <v>29380</v>
      </c>
      <c r="H6850" t="s">
        <v>29390</v>
      </c>
      <c r="I6850" t="s">
        <v>9469</v>
      </c>
      <c r="J6850" t="s">
        <v>29657</v>
      </c>
      <c r="K6850" t="s">
        <v>38511</v>
      </c>
      <c r="M6850" t="s">
        <v>41188</v>
      </c>
      <c r="N6850" t="s">
        <v>42669</v>
      </c>
      <c r="O6850" t="s">
        <v>42670</v>
      </c>
      <c r="P6850">
        <v>0</v>
      </c>
      <c r="Q6850">
        <v>0</v>
      </c>
      <c r="R6850" t="s">
        <v>42677</v>
      </c>
      <c r="S6850" t="s">
        <v>42830</v>
      </c>
      <c r="T6850" t="s">
        <v>44429</v>
      </c>
      <c r="U6850" t="s">
        <v>50436</v>
      </c>
      <c r="W6850" t="s">
        <v>58080</v>
      </c>
      <c r="X6850" t="s">
        <v>42678</v>
      </c>
    </row>
    <row r="6851" spans="1:24">
      <c r="A6851">
        <f>HYPERLINK("https://www.philgeps.gov.ph/GEPSNONPILOT/Tender/SplashBidNoticeAbstractUI.aspx?menuIndex=3&amp;refID=7186704&amp;Result=3","7186704")</f>
        <v>0</v>
      </c>
      <c r="B6851" t="s">
        <v>1038</v>
      </c>
      <c r="C6851" t="s">
        <v>10082</v>
      </c>
      <c r="D6851" t="s">
        <v>17172</v>
      </c>
      <c r="E6851" t="s">
        <v>23168</v>
      </c>
      <c r="F6851" t="s">
        <v>29372</v>
      </c>
      <c r="G6851" t="s">
        <v>29380</v>
      </c>
      <c r="H6851" t="s">
        <v>11048</v>
      </c>
      <c r="I6851" t="s">
        <v>4709</v>
      </c>
      <c r="J6851" t="s">
        <v>33945</v>
      </c>
      <c r="K6851" t="s">
        <v>38510</v>
      </c>
      <c r="L6851" t="s">
        <v>1038</v>
      </c>
      <c r="M6851" t="s">
        <v>39843</v>
      </c>
      <c r="N6851" t="s">
        <v>42669</v>
      </c>
      <c r="O6851" t="s">
        <v>42670</v>
      </c>
      <c r="P6851">
        <v>0</v>
      </c>
      <c r="Q6851">
        <v>1</v>
      </c>
      <c r="R6851" t="s">
        <v>42677</v>
      </c>
      <c r="S6851" t="s">
        <v>42830</v>
      </c>
      <c r="T6851" t="s">
        <v>44357</v>
      </c>
      <c r="U6851" t="s">
        <v>50437</v>
      </c>
      <c r="W6851" t="s">
        <v>39843</v>
      </c>
      <c r="X6851" t="s">
        <v>42678</v>
      </c>
    </row>
    <row r="6852" spans="1:24">
      <c r="A6852">
        <f>HYPERLINK("https://www.philgeps.gov.ph/GEPSNONPILOT/Tender/SplashBidNoticeAbstractUI.aspx?menuIndex=3&amp;refID=7186624&amp;Result=3","7186624")</f>
        <v>0</v>
      </c>
      <c r="B6852" t="s">
        <v>2260</v>
      </c>
      <c r="C6852" t="s">
        <v>10083</v>
      </c>
      <c r="D6852" t="s">
        <v>17160</v>
      </c>
      <c r="E6852" t="s">
        <v>23169</v>
      </c>
      <c r="F6852" t="s">
        <v>29372</v>
      </c>
      <c r="G6852" t="s">
        <v>29380</v>
      </c>
      <c r="H6852" t="s">
        <v>11048</v>
      </c>
      <c r="I6852" t="s">
        <v>4709</v>
      </c>
      <c r="J6852" t="s">
        <v>29532</v>
      </c>
      <c r="K6852" t="s">
        <v>38491</v>
      </c>
      <c r="M6852" t="s">
        <v>41182</v>
      </c>
      <c r="N6852" t="s">
        <v>42669</v>
      </c>
      <c r="O6852" t="s">
        <v>42670</v>
      </c>
      <c r="P6852">
        <v>0</v>
      </c>
      <c r="Q6852">
        <v>0</v>
      </c>
      <c r="R6852" t="s">
        <v>42677</v>
      </c>
      <c r="S6852" t="s">
        <v>42830</v>
      </c>
      <c r="T6852" t="s">
        <v>44429</v>
      </c>
      <c r="U6852" t="s">
        <v>50430</v>
      </c>
      <c r="W6852" t="s">
        <v>58077</v>
      </c>
      <c r="X6852" t="s">
        <v>42678</v>
      </c>
    </row>
    <row r="6853" spans="1:24">
      <c r="A6853">
        <f>HYPERLINK("https://www.philgeps.gov.ph/GEPSNONPILOT/Tender/SplashBidNoticeAbstractUI.aspx?menuIndex=3&amp;refID=7186593&amp;Result=3","7186593")</f>
        <v>0</v>
      </c>
      <c r="B6853" t="s">
        <v>1022</v>
      </c>
      <c r="C6853" t="s">
        <v>10084</v>
      </c>
      <c r="D6853" t="s">
        <v>17141</v>
      </c>
      <c r="E6853" t="s">
        <v>23170</v>
      </c>
      <c r="F6853" t="s">
        <v>29372</v>
      </c>
      <c r="G6853" t="s">
        <v>29380</v>
      </c>
      <c r="H6853" t="s">
        <v>11048</v>
      </c>
      <c r="I6853" t="s">
        <v>29409</v>
      </c>
      <c r="J6853" t="s">
        <v>33946</v>
      </c>
      <c r="K6853" t="s">
        <v>38488</v>
      </c>
      <c r="M6853" t="s">
        <v>39842</v>
      </c>
      <c r="N6853" t="s">
        <v>42669</v>
      </c>
      <c r="O6853" t="s">
        <v>42670</v>
      </c>
      <c r="P6853">
        <v>0</v>
      </c>
      <c r="Q6853">
        <v>4</v>
      </c>
      <c r="R6853" t="s">
        <v>42677</v>
      </c>
      <c r="S6853" t="s">
        <v>42830</v>
      </c>
      <c r="T6853" t="s">
        <v>44387</v>
      </c>
      <c r="U6853" t="s">
        <v>47103</v>
      </c>
      <c r="W6853" t="s">
        <v>39842</v>
      </c>
      <c r="X6853" t="s">
        <v>42678</v>
      </c>
    </row>
    <row r="6854" spans="1:24">
      <c r="A6854">
        <f>HYPERLINK("https://www.philgeps.gov.ph/GEPSNONPILOT/Tender/SplashBidNoticeAbstractUI.aspx?menuIndex=3&amp;refID=7186693&amp;Result=3","7186693")</f>
        <v>0</v>
      </c>
      <c r="B6854" t="s">
        <v>2267</v>
      </c>
      <c r="C6854" t="s">
        <v>10085</v>
      </c>
      <c r="D6854" t="s">
        <v>17174</v>
      </c>
      <c r="E6854" t="s">
        <v>23171</v>
      </c>
      <c r="F6854" t="s">
        <v>29372</v>
      </c>
      <c r="G6854" t="s">
        <v>29380</v>
      </c>
      <c r="H6854" t="s">
        <v>29389</v>
      </c>
      <c r="I6854" t="s">
        <v>10408</v>
      </c>
      <c r="J6854" t="s">
        <v>33947</v>
      </c>
      <c r="K6854" t="s">
        <v>38496</v>
      </c>
      <c r="M6854" t="s">
        <v>41189</v>
      </c>
      <c r="N6854" t="s">
        <v>42669</v>
      </c>
      <c r="O6854" t="s">
        <v>42670</v>
      </c>
      <c r="P6854">
        <v>0</v>
      </c>
      <c r="Q6854">
        <v>0</v>
      </c>
      <c r="R6854" t="s">
        <v>42677</v>
      </c>
      <c r="S6854" t="s">
        <v>42830</v>
      </c>
      <c r="T6854" t="s">
        <v>44414</v>
      </c>
      <c r="U6854" t="s">
        <v>50438</v>
      </c>
      <c r="V6854" t="s">
        <v>57111</v>
      </c>
      <c r="W6854" t="s">
        <v>41189</v>
      </c>
      <c r="X6854" t="s">
        <v>42678</v>
      </c>
    </row>
    <row r="6855" spans="1:24">
      <c r="A6855">
        <f>HYPERLINK("https://www.philgeps.gov.ph/GEPSNONPILOT/Tender/SplashBidNoticeAbstractUI.aspx?menuIndex=3&amp;refID=7186609&amp;Result=3","7186609")</f>
        <v>0</v>
      </c>
      <c r="B6855" t="s">
        <v>1839</v>
      </c>
      <c r="C6855" t="s">
        <v>10086</v>
      </c>
      <c r="D6855" t="s">
        <v>17141</v>
      </c>
      <c r="E6855" t="s">
        <v>23172</v>
      </c>
      <c r="F6855" t="s">
        <v>29372</v>
      </c>
      <c r="G6855" t="s">
        <v>29379</v>
      </c>
      <c r="H6855" t="s">
        <v>29390</v>
      </c>
      <c r="I6855" t="s">
        <v>29403</v>
      </c>
      <c r="J6855" t="s">
        <v>30358</v>
      </c>
      <c r="K6855" t="s">
        <v>38491</v>
      </c>
      <c r="M6855" t="s">
        <v>40710</v>
      </c>
      <c r="N6855" t="s">
        <v>42669</v>
      </c>
      <c r="O6855" t="s">
        <v>42670</v>
      </c>
      <c r="P6855">
        <v>0</v>
      </c>
      <c r="Q6855">
        <v>1</v>
      </c>
      <c r="R6855" t="s">
        <v>42677</v>
      </c>
      <c r="S6855" t="s">
        <v>42830</v>
      </c>
      <c r="T6855" t="s">
        <v>44512</v>
      </c>
      <c r="U6855" t="s">
        <v>49084</v>
      </c>
      <c r="V6855" t="s">
        <v>56943</v>
      </c>
      <c r="W6855" t="s">
        <v>40710</v>
      </c>
      <c r="X6855" t="s">
        <v>42678</v>
      </c>
    </row>
    <row r="6856" spans="1:24">
      <c r="A6856">
        <f>HYPERLINK("https://www.philgeps.gov.ph/GEPSNONPILOT/Tender/SplashBidNoticeAbstractUI.aspx?menuIndex=3&amp;refID=7186684&amp;Result=3","7186684")</f>
        <v>0</v>
      </c>
      <c r="B6856" t="s">
        <v>2268</v>
      </c>
      <c r="C6856" t="s">
        <v>10087</v>
      </c>
      <c r="D6856" t="s">
        <v>17155</v>
      </c>
      <c r="E6856" t="s">
        <v>23173</v>
      </c>
      <c r="F6856" t="s">
        <v>29372</v>
      </c>
      <c r="G6856" t="s">
        <v>29380</v>
      </c>
      <c r="H6856" t="s">
        <v>11048</v>
      </c>
      <c r="I6856" t="s">
        <v>9469</v>
      </c>
      <c r="J6856" t="s">
        <v>32024</v>
      </c>
      <c r="K6856" t="s">
        <v>38496</v>
      </c>
      <c r="M6856" t="s">
        <v>41190</v>
      </c>
      <c r="N6856" t="s">
        <v>42669</v>
      </c>
      <c r="O6856" t="s">
        <v>42670</v>
      </c>
      <c r="Q6856">
        <v>4</v>
      </c>
      <c r="R6856" t="s">
        <v>42677</v>
      </c>
      <c r="S6856" t="s">
        <v>42862</v>
      </c>
      <c r="T6856" t="s">
        <v>44643</v>
      </c>
      <c r="U6856" t="s">
        <v>50439</v>
      </c>
      <c r="W6856" t="s">
        <v>41190</v>
      </c>
      <c r="X6856" t="s">
        <v>42678</v>
      </c>
    </row>
    <row r="6857" spans="1:24">
      <c r="A6857">
        <f>HYPERLINK("https://www.philgeps.gov.ph/GEPSNONPILOT/Tender/SplashBidNoticeAbstractUI.aspx?menuIndex=3&amp;refID=7186670&amp;Result=3","7186670")</f>
        <v>0</v>
      </c>
      <c r="B6857" t="s">
        <v>2267</v>
      </c>
      <c r="C6857" t="s">
        <v>10088</v>
      </c>
      <c r="D6857" t="s">
        <v>17174</v>
      </c>
      <c r="E6857" t="s">
        <v>23174</v>
      </c>
      <c r="F6857" t="s">
        <v>29372</v>
      </c>
      <c r="G6857" t="s">
        <v>29380</v>
      </c>
      <c r="H6857" t="s">
        <v>29389</v>
      </c>
      <c r="I6857" t="s">
        <v>10408</v>
      </c>
      <c r="J6857" t="s">
        <v>33948</v>
      </c>
      <c r="K6857" t="s">
        <v>38485</v>
      </c>
      <c r="M6857" t="s">
        <v>41189</v>
      </c>
      <c r="N6857" t="s">
        <v>42669</v>
      </c>
      <c r="O6857" t="s">
        <v>42670</v>
      </c>
      <c r="P6857">
        <v>0</v>
      </c>
      <c r="Q6857">
        <v>0</v>
      </c>
      <c r="R6857" t="s">
        <v>42677</v>
      </c>
      <c r="S6857" t="s">
        <v>42830</v>
      </c>
      <c r="T6857" t="s">
        <v>44414</v>
      </c>
      <c r="U6857" t="s">
        <v>50440</v>
      </c>
      <c r="V6857" t="s">
        <v>57111</v>
      </c>
      <c r="W6857" t="s">
        <v>41189</v>
      </c>
      <c r="X6857" t="s">
        <v>42678</v>
      </c>
    </row>
    <row r="6858" spans="1:24">
      <c r="A6858">
        <f>HYPERLINK("https://www.philgeps.gov.ph/GEPSNONPILOT/Tender/SplashBidNoticeAbstractUI.aspx?menuIndex=3&amp;refID=7186613&amp;Result=3","7186613")</f>
        <v>0</v>
      </c>
      <c r="B6858" t="s">
        <v>663</v>
      </c>
      <c r="C6858" t="s">
        <v>10089</v>
      </c>
      <c r="D6858" t="s">
        <v>17189</v>
      </c>
      <c r="E6858" t="s">
        <v>23175</v>
      </c>
      <c r="F6858" t="s">
        <v>29372</v>
      </c>
      <c r="G6858" t="s">
        <v>29380</v>
      </c>
      <c r="H6858" t="s">
        <v>11048</v>
      </c>
      <c r="I6858" t="s">
        <v>4709</v>
      </c>
      <c r="J6858" t="s">
        <v>33949</v>
      </c>
      <c r="K6858" t="s">
        <v>38522</v>
      </c>
      <c r="M6858" t="s">
        <v>39439</v>
      </c>
      <c r="N6858" t="s">
        <v>42669</v>
      </c>
      <c r="O6858" t="s">
        <v>42670</v>
      </c>
      <c r="P6858">
        <v>0</v>
      </c>
      <c r="Q6858">
        <v>1</v>
      </c>
      <c r="R6858" t="s">
        <v>42677</v>
      </c>
      <c r="S6858" t="s">
        <v>42830</v>
      </c>
      <c r="T6858" t="s">
        <v>44478</v>
      </c>
      <c r="U6858" t="s">
        <v>50441</v>
      </c>
      <c r="V6858" t="s">
        <v>56530</v>
      </c>
      <c r="W6858" t="s">
        <v>39439</v>
      </c>
      <c r="X6858" t="s">
        <v>42678</v>
      </c>
    </row>
    <row r="6859" spans="1:24">
      <c r="A6859">
        <f>HYPERLINK("https://www.philgeps.gov.ph/GEPSNONPILOT/Tender/SplashBidNoticeAbstractUI.aspx?menuIndex=3&amp;refID=7186665&amp;Result=3","7186665")</f>
        <v>0</v>
      </c>
      <c r="B6859" t="s">
        <v>2243</v>
      </c>
      <c r="C6859" t="s">
        <v>10090</v>
      </c>
      <c r="D6859" t="s">
        <v>17189</v>
      </c>
      <c r="E6859" t="s">
        <v>23176</v>
      </c>
      <c r="F6859" t="s">
        <v>29372</v>
      </c>
      <c r="G6859" t="s">
        <v>29379</v>
      </c>
      <c r="H6859" t="s">
        <v>11048</v>
      </c>
      <c r="I6859" t="s">
        <v>29393</v>
      </c>
      <c r="J6859" t="s">
        <v>33950</v>
      </c>
      <c r="K6859" t="s">
        <v>38485</v>
      </c>
      <c r="M6859" t="s">
        <v>41161</v>
      </c>
      <c r="N6859" t="s">
        <v>42669</v>
      </c>
      <c r="O6859" t="s">
        <v>42670</v>
      </c>
      <c r="P6859">
        <v>0</v>
      </c>
      <c r="Q6859">
        <v>0</v>
      </c>
      <c r="R6859" t="s">
        <v>42677</v>
      </c>
      <c r="S6859" t="s">
        <v>42830</v>
      </c>
      <c r="T6859" t="s">
        <v>44488</v>
      </c>
      <c r="U6859" t="s">
        <v>50340</v>
      </c>
      <c r="W6859" t="s">
        <v>41161</v>
      </c>
      <c r="X6859" t="s">
        <v>42678</v>
      </c>
    </row>
    <row r="6860" spans="1:24">
      <c r="A6860">
        <f>HYPERLINK("https://www.philgeps.gov.ph/GEPSNONPILOT/Tender/SplashBidNoticeAbstractUI.aspx?menuIndex=3&amp;refID=7186662&amp;Result=3","7186662")</f>
        <v>0</v>
      </c>
      <c r="B6860" t="s">
        <v>2269</v>
      </c>
      <c r="C6860" t="s">
        <v>10091</v>
      </c>
      <c r="D6860" t="s">
        <v>17177</v>
      </c>
      <c r="E6860" t="s">
        <v>23177</v>
      </c>
      <c r="F6860" t="s">
        <v>29372</v>
      </c>
      <c r="G6860" t="s">
        <v>29380</v>
      </c>
      <c r="H6860" t="s">
        <v>11048</v>
      </c>
      <c r="I6860" t="s">
        <v>29417</v>
      </c>
      <c r="J6860" t="s">
        <v>33951</v>
      </c>
      <c r="K6860" t="s">
        <v>38495</v>
      </c>
      <c r="M6860" t="s">
        <v>41191</v>
      </c>
      <c r="N6860" t="s">
        <v>42669</v>
      </c>
      <c r="O6860" t="s">
        <v>42670</v>
      </c>
      <c r="P6860">
        <v>0</v>
      </c>
      <c r="Q6860">
        <v>8</v>
      </c>
      <c r="R6860" t="s">
        <v>42677</v>
      </c>
      <c r="S6860" t="s">
        <v>42830</v>
      </c>
      <c r="T6860" t="s">
        <v>44446</v>
      </c>
      <c r="U6860" t="s">
        <v>50442</v>
      </c>
      <c r="W6860" t="s">
        <v>41191</v>
      </c>
      <c r="X6860" t="s">
        <v>42678</v>
      </c>
    </row>
    <row r="6861" spans="1:24">
      <c r="A6861">
        <f>HYPERLINK("https://www.philgeps.gov.ph/GEPSNONPILOT/Tender/SplashBidNoticeAbstractUI.aspx?menuIndex=3&amp;refID=7186695&amp;Result=3","7186695")</f>
        <v>0</v>
      </c>
      <c r="B6861" t="s">
        <v>1230</v>
      </c>
      <c r="C6861" t="s">
        <v>10092</v>
      </c>
      <c r="D6861" t="s">
        <v>17180</v>
      </c>
      <c r="E6861" t="s">
        <v>23178</v>
      </c>
      <c r="F6861" t="s">
        <v>29372</v>
      </c>
      <c r="G6861" t="s">
        <v>29380</v>
      </c>
      <c r="H6861" t="s">
        <v>29389</v>
      </c>
      <c r="I6861" t="s">
        <v>10408</v>
      </c>
      <c r="J6861" t="s">
        <v>33952</v>
      </c>
      <c r="K6861" t="s">
        <v>38495</v>
      </c>
      <c r="M6861" t="s">
        <v>40051</v>
      </c>
      <c r="N6861" t="s">
        <v>42669</v>
      </c>
      <c r="O6861" t="s">
        <v>42670</v>
      </c>
      <c r="P6861">
        <v>0</v>
      </c>
      <c r="Q6861">
        <v>102</v>
      </c>
      <c r="R6861" t="s">
        <v>42677</v>
      </c>
      <c r="S6861" t="s">
        <v>42830</v>
      </c>
      <c r="T6861" t="s">
        <v>44429</v>
      </c>
      <c r="U6861" t="s">
        <v>50443</v>
      </c>
      <c r="V6861" t="s">
        <v>56666</v>
      </c>
      <c r="W6861" t="s">
        <v>40051</v>
      </c>
      <c r="X6861" t="s">
        <v>42678</v>
      </c>
    </row>
    <row r="6862" spans="1:24">
      <c r="A6862">
        <f>HYPERLINK("https://www.philgeps.gov.ph/GEPSNONPILOT/Tender/SplashBidNoticeAbstractUI.aspx?menuIndex=3&amp;refID=7186658&amp;Result=3","7186658")</f>
        <v>0</v>
      </c>
      <c r="B6862" t="s">
        <v>2270</v>
      </c>
      <c r="C6862" t="s">
        <v>10093</v>
      </c>
      <c r="E6862" t="s">
        <v>23179</v>
      </c>
      <c r="F6862" t="s">
        <v>29372</v>
      </c>
      <c r="G6862" t="s">
        <v>29380</v>
      </c>
      <c r="H6862" t="s">
        <v>11048</v>
      </c>
      <c r="I6862" t="s">
        <v>5383</v>
      </c>
      <c r="J6862" t="s">
        <v>33953</v>
      </c>
      <c r="K6862" t="s">
        <v>38490</v>
      </c>
      <c r="M6862" t="s">
        <v>41192</v>
      </c>
      <c r="N6862" t="s">
        <v>42669</v>
      </c>
      <c r="O6862" t="s">
        <v>42670</v>
      </c>
      <c r="P6862">
        <v>0</v>
      </c>
      <c r="Q6862">
        <v>1</v>
      </c>
      <c r="R6862" t="s">
        <v>42677</v>
      </c>
      <c r="S6862" t="s">
        <v>42830</v>
      </c>
      <c r="T6862" t="s">
        <v>44409</v>
      </c>
      <c r="U6862" t="s">
        <v>45794</v>
      </c>
      <c r="W6862" t="s">
        <v>41192</v>
      </c>
      <c r="X6862" t="s">
        <v>42678</v>
      </c>
    </row>
    <row r="6863" spans="1:24">
      <c r="A6863">
        <f>HYPERLINK("https://www.philgeps.gov.ph/GEPSNONPILOT/Tender/SplashBidNoticeAbstractUI.aspx?menuIndex=3&amp;refID=7186657&amp;Result=3","7186657")</f>
        <v>0</v>
      </c>
      <c r="B6863" t="s">
        <v>2243</v>
      </c>
      <c r="C6863" t="s">
        <v>10094</v>
      </c>
      <c r="D6863" t="s">
        <v>17189</v>
      </c>
      <c r="E6863" t="s">
        <v>23180</v>
      </c>
      <c r="F6863" t="s">
        <v>29372</v>
      </c>
      <c r="G6863" t="s">
        <v>29379</v>
      </c>
      <c r="H6863" t="s">
        <v>11048</v>
      </c>
      <c r="I6863" t="s">
        <v>29426</v>
      </c>
      <c r="J6863" t="s">
        <v>29625</v>
      </c>
      <c r="K6863" t="s">
        <v>38485</v>
      </c>
      <c r="M6863" t="s">
        <v>41161</v>
      </c>
      <c r="N6863" t="s">
        <v>42669</v>
      </c>
      <c r="O6863" t="s">
        <v>42670</v>
      </c>
      <c r="P6863">
        <v>0</v>
      </c>
      <c r="Q6863">
        <v>0</v>
      </c>
      <c r="R6863" t="s">
        <v>42677</v>
      </c>
      <c r="S6863" t="s">
        <v>42830</v>
      </c>
      <c r="T6863" t="s">
        <v>44488</v>
      </c>
      <c r="U6863" t="s">
        <v>50340</v>
      </c>
      <c r="W6863" t="s">
        <v>41161</v>
      </c>
      <c r="X6863" t="s">
        <v>42678</v>
      </c>
    </row>
    <row r="6864" spans="1:24">
      <c r="A6864">
        <f>HYPERLINK("https://www.philgeps.gov.ph/GEPSNONPILOT/Tender/SplashBidNoticeAbstractUI.aspx?menuIndex=3&amp;refID=7186654&amp;Result=3","7186654")</f>
        <v>0</v>
      </c>
      <c r="B6864" t="s">
        <v>2270</v>
      </c>
      <c r="C6864" t="s">
        <v>5539</v>
      </c>
      <c r="E6864" t="s">
        <v>23181</v>
      </c>
      <c r="F6864" t="s">
        <v>29372</v>
      </c>
      <c r="G6864" t="s">
        <v>29380</v>
      </c>
      <c r="H6864" t="s">
        <v>11048</v>
      </c>
      <c r="I6864" t="s">
        <v>3670</v>
      </c>
      <c r="J6864" t="s">
        <v>31642</v>
      </c>
      <c r="K6864" t="s">
        <v>38490</v>
      </c>
      <c r="M6864" t="s">
        <v>41192</v>
      </c>
      <c r="N6864" t="s">
        <v>42669</v>
      </c>
      <c r="O6864" t="s">
        <v>42670</v>
      </c>
      <c r="P6864">
        <v>0</v>
      </c>
      <c r="Q6864">
        <v>0</v>
      </c>
      <c r="R6864" t="s">
        <v>42677</v>
      </c>
      <c r="S6864" t="s">
        <v>42830</v>
      </c>
      <c r="T6864" t="s">
        <v>44426</v>
      </c>
      <c r="U6864" t="s">
        <v>45794</v>
      </c>
      <c r="W6864" t="s">
        <v>41192</v>
      </c>
      <c r="X6864" t="s">
        <v>42678</v>
      </c>
    </row>
    <row r="6865" spans="1:24">
      <c r="A6865">
        <f>HYPERLINK("https://www.philgeps.gov.ph/GEPSNONPILOT/Tender/SplashBidNoticeAbstractUI.aspx?menuIndex=3&amp;refID=7186650&amp;Result=3","7186650")</f>
        <v>0</v>
      </c>
      <c r="B6865" t="s">
        <v>2271</v>
      </c>
      <c r="C6865" t="s">
        <v>10095</v>
      </c>
      <c r="D6865" t="s">
        <v>17160</v>
      </c>
      <c r="E6865" t="s">
        <v>18255</v>
      </c>
      <c r="F6865" t="s">
        <v>29372</v>
      </c>
      <c r="G6865" t="s">
        <v>29380</v>
      </c>
      <c r="H6865" t="s">
        <v>11048</v>
      </c>
      <c r="I6865" t="s">
        <v>4709</v>
      </c>
      <c r="J6865" t="s">
        <v>31263</v>
      </c>
      <c r="K6865" t="s">
        <v>38489</v>
      </c>
      <c r="M6865" t="s">
        <v>41193</v>
      </c>
      <c r="N6865" t="s">
        <v>42669</v>
      </c>
      <c r="O6865" t="s">
        <v>42670</v>
      </c>
      <c r="P6865">
        <v>0</v>
      </c>
      <c r="Q6865">
        <v>0</v>
      </c>
      <c r="R6865" t="s">
        <v>42677</v>
      </c>
      <c r="S6865" t="s">
        <v>42830</v>
      </c>
      <c r="T6865" t="s">
        <v>44429</v>
      </c>
      <c r="U6865" t="s">
        <v>50430</v>
      </c>
      <c r="W6865" t="s">
        <v>58081</v>
      </c>
      <c r="X6865" t="s">
        <v>42678</v>
      </c>
    </row>
    <row r="6866" spans="1:24">
      <c r="A6866">
        <f>HYPERLINK("https://www.philgeps.gov.ph/GEPSNONPILOT/Tender/SplashBidNoticeAbstractUI.aspx?menuIndex=3&amp;refID=7186673&amp;Result=3","7186673")</f>
        <v>0</v>
      </c>
      <c r="B6866" t="s">
        <v>1038</v>
      </c>
      <c r="C6866" t="s">
        <v>10096</v>
      </c>
      <c r="D6866" t="s">
        <v>17172</v>
      </c>
      <c r="E6866" t="s">
        <v>23182</v>
      </c>
      <c r="F6866" t="s">
        <v>29372</v>
      </c>
      <c r="G6866" t="s">
        <v>29380</v>
      </c>
      <c r="H6866" t="s">
        <v>11048</v>
      </c>
      <c r="I6866" t="s">
        <v>29398</v>
      </c>
      <c r="J6866" t="s">
        <v>29564</v>
      </c>
      <c r="K6866" t="s">
        <v>38510</v>
      </c>
      <c r="L6866" t="s">
        <v>1038</v>
      </c>
      <c r="M6866" t="s">
        <v>39843</v>
      </c>
      <c r="N6866" t="s">
        <v>42669</v>
      </c>
      <c r="O6866" t="s">
        <v>42670</v>
      </c>
      <c r="P6866">
        <v>0</v>
      </c>
      <c r="Q6866">
        <v>1</v>
      </c>
      <c r="R6866" t="s">
        <v>42677</v>
      </c>
      <c r="S6866" t="s">
        <v>42830</v>
      </c>
      <c r="T6866" t="s">
        <v>44357</v>
      </c>
      <c r="U6866" t="s">
        <v>50437</v>
      </c>
      <c r="W6866" t="s">
        <v>39843</v>
      </c>
      <c r="X6866" t="s">
        <v>42678</v>
      </c>
    </row>
    <row r="6867" spans="1:24">
      <c r="A6867">
        <f>HYPERLINK("https://www.philgeps.gov.ph/GEPSNONPILOT/Tender/SplashBidNoticeAbstractUI.aspx?menuIndex=3&amp;refID=7186746&amp;Result=3","7186746")</f>
        <v>0</v>
      </c>
      <c r="B6867" t="s">
        <v>2272</v>
      </c>
      <c r="C6867" t="s">
        <v>10097</v>
      </c>
      <c r="D6867" t="s">
        <v>17171</v>
      </c>
      <c r="E6867" t="s">
        <v>19663</v>
      </c>
      <c r="F6867" t="s">
        <v>29372</v>
      </c>
      <c r="G6867" t="s">
        <v>29379</v>
      </c>
      <c r="H6867" t="s">
        <v>11048</v>
      </c>
      <c r="I6867" t="s">
        <v>29469</v>
      </c>
      <c r="J6867" t="s">
        <v>33954</v>
      </c>
      <c r="K6867" t="s">
        <v>38534</v>
      </c>
      <c r="M6867" t="s">
        <v>41194</v>
      </c>
      <c r="N6867" t="s">
        <v>42669</v>
      </c>
      <c r="O6867" t="s">
        <v>42670</v>
      </c>
      <c r="P6867">
        <v>0</v>
      </c>
      <c r="Q6867">
        <v>0</v>
      </c>
      <c r="R6867" t="s">
        <v>42677</v>
      </c>
      <c r="S6867" t="s">
        <v>42830</v>
      </c>
      <c r="T6867" t="s">
        <v>44694</v>
      </c>
      <c r="U6867" t="s">
        <v>50444</v>
      </c>
      <c r="W6867" t="s">
        <v>41194</v>
      </c>
      <c r="X6867" t="s">
        <v>42678</v>
      </c>
    </row>
    <row r="6868" spans="1:24">
      <c r="A6868">
        <f>HYPERLINK("https://www.philgeps.gov.ph/GEPSNONPILOT/Tender/SplashBidNoticeAbstractUI.aspx?menuIndex=3&amp;refID=7186667&amp;Result=3","7186667")</f>
        <v>0</v>
      </c>
      <c r="B6868" t="s">
        <v>1886</v>
      </c>
      <c r="C6868" t="s">
        <v>10098</v>
      </c>
      <c r="D6868" t="s">
        <v>17144</v>
      </c>
      <c r="E6868" t="s">
        <v>23183</v>
      </c>
      <c r="F6868" t="s">
        <v>29372</v>
      </c>
      <c r="G6868" t="s">
        <v>29384</v>
      </c>
      <c r="H6868" t="s">
        <v>29391</v>
      </c>
      <c r="I6868" t="s">
        <v>29391</v>
      </c>
      <c r="J6868" t="s">
        <v>29788</v>
      </c>
      <c r="K6868" t="s">
        <v>38486</v>
      </c>
      <c r="M6868" t="s">
        <v>40759</v>
      </c>
      <c r="N6868" t="s">
        <v>42669</v>
      </c>
      <c r="O6868" t="s">
        <v>42670</v>
      </c>
      <c r="P6868">
        <v>0</v>
      </c>
      <c r="Q6868">
        <v>4</v>
      </c>
      <c r="R6868" t="s">
        <v>42677</v>
      </c>
      <c r="S6868" t="s">
        <v>42830</v>
      </c>
      <c r="T6868" t="s">
        <v>44417</v>
      </c>
      <c r="U6868" t="s">
        <v>50445</v>
      </c>
      <c r="V6868" t="s">
        <v>57112</v>
      </c>
      <c r="W6868" t="s">
        <v>40759</v>
      </c>
      <c r="X6868" t="s">
        <v>42678</v>
      </c>
    </row>
    <row r="6869" spans="1:24">
      <c r="A6869">
        <f>HYPERLINK("https://www.philgeps.gov.ph/GEPSNONPILOT/Tender/SplashBidNoticeAbstractUI.aspx?menuIndex=3&amp;refID=7186702&amp;Result=3","7186702")</f>
        <v>0</v>
      </c>
      <c r="B6869" t="s">
        <v>2273</v>
      </c>
      <c r="C6869" t="s">
        <v>10099</v>
      </c>
      <c r="D6869" t="s">
        <v>17201</v>
      </c>
      <c r="E6869" t="s">
        <v>23184</v>
      </c>
      <c r="F6869" t="s">
        <v>29372</v>
      </c>
      <c r="G6869" t="s">
        <v>29380</v>
      </c>
      <c r="H6869" t="s">
        <v>29389</v>
      </c>
      <c r="I6869" t="s">
        <v>10408</v>
      </c>
      <c r="J6869" t="s">
        <v>33955</v>
      </c>
      <c r="K6869" t="s">
        <v>38577</v>
      </c>
      <c r="L6869" t="s">
        <v>2273</v>
      </c>
      <c r="M6869" t="s">
        <v>41195</v>
      </c>
      <c r="N6869" t="s">
        <v>42669</v>
      </c>
      <c r="O6869" t="s">
        <v>42670</v>
      </c>
      <c r="P6869">
        <v>0</v>
      </c>
      <c r="Q6869">
        <v>0</v>
      </c>
      <c r="R6869" t="s">
        <v>42677</v>
      </c>
      <c r="S6869" t="s">
        <v>42830</v>
      </c>
      <c r="T6869" t="s">
        <v>44542</v>
      </c>
      <c r="U6869" t="s">
        <v>50446</v>
      </c>
      <c r="W6869" t="s">
        <v>41195</v>
      </c>
      <c r="X6869" t="s">
        <v>42678</v>
      </c>
    </row>
    <row r="6870" spans="1:24">
      <c r="A6870">
        <f>HYPERLINK("https://www.philgeps.gov.ph/GEPSNONPILOT/Tender/SplashBidNoticeAbstractUI.aspx?menuIndex=3&amp;refID=7186556&amp;Result=3","7186556")</f>
        <v>0</v>
      </c>
      <c r="B6870" t="s">
        <v>1022</v>
      </c>
      <c r="C6870" t="s">
        <v>10100</v>
      </c>
      <c r="D6870" t="s">
        <v>17141</v>
      </c>
      <c r="E6870" t="s">
        <v>23185</v>
      </c>
      <c r="F6870" t="s">
        <v>29372</v>
      </c>
      <c r="G6870" t="s">
        <v>29380</v>
      </c>
      <c r="H6870" t="s">
        <v>11048</v>
      </c>
      <c r="I6870" t="s">
        <v>3670</v>
      </c>
      <c r="J6870" t="s">
        <v>33956</v>
      </c>
      <c r="K6870" t="s">
        <v>38488</v>
      </c>
      <c r="M6870" t="s">
        <v>39842</v>
      </c>
      <c r="N6870" t="s">
        <v>42669</v>
      </c>
      <c r="O6870" t="s">
        <v>42670</v>
      </c>
      <c r="P6870">
        <v>0</v>
      </c>
      <c r="Q6870">
        <v>1</v>
      </c>
      <c r="R6870" t="s">
        <v>42677</v>
      </c>
      <c r="S6870" t="s">
        <v>42830</v>
      </c>
      <c r="T6870" t="s">
        <v>44387</v>
      </c>
      <c r="U6870" t="s">
        <v>47035</v>
      </c>
      <c r="W6870" t="s">
        <v>39842</v>
      </c>
      <c r="X6870" t="s">
        <v>42678</v>
      </c>
    </row>
    <row r="6871" spans="1:24">
      <c r="A6871">
        <f>HYPERLINK("https://www.philgeps.gov.ph/GEPSNONPILOT/Tender/SplashBidNoticeAbstractUI.aspx?menuIndex=3&amp;refID=7186743&amp;Result=3","7186743")</f>
        <v>0</v>
      </c>
      <c r="B6871" t="s">
        <v>2274</v>
      </c>
      <c r="C6871" t="s">
        <v>10101</v>
      </c>
      <c r="D6871" t="s">
        <v>17189</v>
      </c>
      <c r="E6871" t="s">
        <v>23186</v>
      </c>
      <c r="F6871" t="s">
        <v>29372</v>
      </c>
      <c r="G6871" t="s">
        <v>29379</v>
      </c>
      <c r="H6871" t="s">
        <v>11048</v>
      </c>
      <c r="I6871" t="s">
        <v>5383</v>
      </c>
      <c r="J6871" t="s">
        <v>33957</v>
      </c>
      <c r="K6871" t="s">
        <v>38534</v>
      </c>
      <c r="M6871" t="s">
        <v>41196</v>
      </c>
      <c r="N6871" t="s">
        <v>42669</v>
      </c>
      <c r="O6871" t="s">
        <v>42670</v>
      </c>
      <c r="P6871">
        <v>0</v>
      </c>
      <c r="Q6871">
        <v>0</v>
      </c>
      <c r="R6871" t="s">
        <v>42677</v>
      </c>
      <c r="S6871" t="s">
        <v>42830</v>
      </c>
      <c r="T6871" t="s">
        <v>44430</v>
      </c>
      <c r="U6871" t="s">
        <v>50447</v>
      </c>
      <c r="W6871" t="s">
        <v>41196</v>
      </c>
      <c r="X6871" t="s">
        <v>42678</v>
      </c>
    </row>
    <row r="6872" spans="1:24">
      <c r="A6872">
        <f>HYPERLINK("https://www.philgeps.gov.ph/GEPSNONPILOT/Tender/SplashBidNoticeAbstractUI.aspx?menuIndex=3&amp;refID=7186737&amp;Result=3","7186737")</f>
        <v>0</v>
      </c>
      <c r="B6872" t="s">
        <v>367</v>
      </c>
      <c r="C6872" t="s">
        <v>10102</v>
      </c>
      <c r="D6872" t="s">
        <v>17141</v>
      </c>
      <c r="E6872" t="s">
        <v>23187</v>
      </c>
      <c r="F6872" t="s">
        <v>29372</v>
      </c>
      <c r="G6872" t="s">
        <v>29384</v>
      </c>
      <c r="H6872" t="s">
        <v>29390</v>
      </c>
      <c r="I6872" t="s">
        <v>29433</v>
      </c>
      <c r="J6872" t="s">
        <v>33958</v>
      </c>
      <c r="K6872" t="s">
        <v>38496</v>
      </c>
      <c r="M6872" t="s">
        <v>41197</v>
      </c>
      <c r="N6872" t="s">
        <v>42669</v>
      </c>
      <c r="O6872" t="s">
        <v>42670</v>
      </c>
      <c r="P6872">
        <v>0</v>
      </c>
      <c r="Q6872">
        <v>18</v>
      </c>
      <c r="R6872" t="s">
        <v>42677</v>
      </c>
      <c r="S6872" t="s">
        <v>42830</v>
      </c>
      <c r="T6872" t="s">
        <v>44517</v>
      </c>
      <c r="U6872" t="s">
        <v>50448</v>
      </c>
      <c r="V6872" t="s">
        <v>56467</v>
      </c>
      <c r="W6872" t="s">
        <v>58014</v>
      </c>
      <c r="X6872" t="s">
        <v>42678</v>
      </c>
    </row>
    <row r="6873" spans="1:24">
      <c r="A6873">
        <f>HYPERLINK("https://www.philgeps.gov.ph/GEPSNONPILOT/Tender/SplashBidNoticeAbstractUI.aspx?menuIndex=3&amp;refID=7186620&amp;Result=3","7186620")</f>
        <v>0</v>
      </c>
      <c r="B6873" t="s">
        <v>663</v>
      </c>
      <c r="C6873" t="s">
        <v>10103</v>
      </c>
      <c r="D6873" t="s">
        <v>17189</v>
      </c>
      <c r="E6873" t="s">
        <v>23188</v>
      </c>
      <c r="F6873" t="s">
        <v>29372</v>
      </c>
      <c r="G6873" t="s">
        <v>29380</v>
      </c>
      <c r="H6873" t="s">
        <v>29389</v>
      </c>
      <c r="I6873" t="s">
        <v>10408</v>
      </c>
      <c r="J6873" t="s">
        <v>33959</v>
      </c>
      <c r="K6873" t="s">
        <v>38676</v>
      </c>
      <c r="M6873" t="s">
        <v>39439</v>
      </c>
      <c r="N6873" t="s">
        <v>42669</v>
      </c>
      <c r="O6873" t="s">
        <v>42670</v>
      </c>
      <c r="P6873">
        <v>0</v>
      </c>
      <c r="Q6873">
        <v>0</v>
      </c>
      <c r="R6873" t="s">
        <v>42677</v>
      </c>
      <c r="S6873" t="s">
        <v>42830</v>
      </c>
      <c r="T6873" t="s">
        <v>44478</v>
      </c>
      <c r="U6873" t="s">
        <v>50449</v>
      </c>
      <c r="V6873" t="s">
        <v>56530</v>
      </c>
      <c r="W6873" t="s">
        <v>39439</v>
      </c>
      <c r="X6873" t="s">
        <v>42678</v>
      </c>
    </row>
    <row r="6874" spans="1:24">
      <c r="A6874">
        <f>HYPERLINK("https://www.philgeps.gov.ph/GEPSNONPILOT/Tender/SplashBidNoticeAbstractUI.aspx?menuIndex=3&amp;refID=7186745&amp;Result=3","7186745")</f>
        <v>0</v>
      </c>
      <c r="B6874" t="s">
        <v>1132</v>
      </c>
      <c r="C6874" t="s">
        <v>4065</v>
      </c>
      <c r="D6874" t="s">
        <v>17204</v>
      </c>
      <c r="E6874" t="s">
        <v>22584</v>
      </c>
      <c r="F6874" t="s">
        <v>29372</v>
      </c>
      <c r="G6874" t="s">
        <v>29380</v>
      </c>
      <c r="H6874" t="s">
        <v>11048</v>
      </c>
      <c r="I6874" t="s">
        <v>5383</v>
      </c>
      <c r="J6874" t="s">
        <v>33960</v>
      </c>
      <c r="K6874" t="s">
        <v>38488</v>
      </c>
      <c r="M6874" t="s">
        <v>39944</v>
      </c>
      <c r="N6874" t="s">
        <v>42669</v>
      </c>
      <c r="O6874" t="s">
        <v>42670</v>
      </c>
      <c r="P6874">
        <v>0</v>
      </c>
      <c r="Q6874">
        <v>6</v>
      </c>
      <c r="R6874" t="s">
        <v>42677</v>
      </c>
      <c r="S6874" t="s">
        <v>42830</v>
      </c>
      <c r="T6874" t="s">
        <v>44592</v>
      </c>
      <c r="U6874" t="s">
        <v>50450</v>
      </c>
      <c r="W6874" t="s">
        <v>39944</v>
      </c>
      <c r="X6874" t="s">
        <v>42678</v>
      </c>
    </row>
    <row r="6875" spans="1:24">
      <c r="A6875">
        <f>HYPERLINK("https://www.philgeps.gov.ph/GEPSNONPILOT/Tender/SplashBidNoticeAbstractUI.aspx?menuIndex=3&amp;refID=7186734&amp;Result=3","7186734")</f>
        <v>0</v>
      </c>
      <c r="B6875" t="s">
        <v>2275</v>
      </c>
      <c r="C6875" t="s">
        <v>10104</v>
      </c>
      <c r="D6875" t="s">
        <v>17185</v>
      </c>
      <c r="E6875" t="s">
        <v>23189</v>
      </c>
      <c r="F6875" t="s">
        <v>29372</v>
      </c>
      <c r="G6875" t="s">
        <v>29383</v>
      </c>
      <c r="H6875" t="s">
        <v>11048</v>
      </c>
      <c r="I6875" t="s">
        <v>5383</v>
      </c>
      <c r="J6875" t="s">
        <v>33961</v>
      </c>
      <c r="K6875" t="s">
        <v>38488</v>
      </c>
      <c r="M6875" t="s">
        <v>41198</v>
      </c>
      <c r="N6875" t="s">
        <v>42669</v>
      </c>
      <c r="O6875" t="s">
        <v>42670</v>
      </c>
      <c r="P6875">
        <v>0</v>
      </c>
      <c r="Q6875">
        <v>2</v>
      </c>
      <c r="R6875" t="s">
        <v>42677</v>
      </c>
      <c r="S6875" t="s">
        <v>42830</v>
      </c>
      <c r="T6875" t="s">
        <v>44512</v>
      </c>
      <c r="U6875" t="s">
        <v>50451</v>
      </c>
      <c r="V6875" t="s">
        <v>57113</v>
      </c>
      <c r="W6875" t="s">
        <v>41198</v>
      </c>
      <c r="X6875" t="s">
        <v>42678</v>
      </c>
    </row>
    <row r="6876" spans="1:24">
      <c r="A6876">
        <f>HYPERLINK("https://www.philgeps.gov.ph/GEPSNONPILOT/Tender/SplashBidNoticeAbstractUI.aspx?menuIndex=3&amp;refID=7186731&amp;Result=3","7186731")</f>
        <v>0</v>
      </c>
      <c r="B6876" t="s">
        <v>1230</v>
      </c>
      <c r="C6876" t="s">
        <v>10105</v>
      </c>
      <c r="D6876" t="s">
        <v>17180</v>
      </c>
      <c r="E6876" t="s">
        <v>23190</v>
      </c>
      <c r="F6876" t="s">
        <v>29372</v>
      </c>
      <c r="G6876" t="s">
        <v>29380</v>
      </c>
      <c r="H6876" t="s">
        <v>29389</v>
      </c>
      <c r="I6876" t="s">
        <v>10408</v>
      </c>
      <c r="J6876" t="s">
        <v>31916</v>
      </c>
      <c r="K6876" t="s">
        <v>38522</v>
      </c>
      <c r="M6876" t="s">
        <v>40051</v>
      </c>
      <c r="N6876" t="s">
        <v>42669</v>
      </c>
      <c r="O6876" t="s">
        <v>42670</v>
      </c>
      <c r="P6876">
        <v>0</v>
      </c>
      <c r="Q6876">
        <v>127</v>
      </c>
      <c r="R6876" t="s">
        <v>42677</v>
      </c>
      <c r="S6876" t="s">
        <v>42830</v>
      </c>
      <c r="T6876" t="s">
        <v>44429</v>
      </c>
      <c r="U6876" t="s">
        <v>50452</v>
      </c>
      <c r="V6876" t="s">
        <v>56666</v>
      </c>
      <c r="W6876" t="s">
        <v>40051</v>
      </c>
      <c r="X6876" t="s">
        <v>42678</v>
      </c>
    </row>
    <row r="6877" spans="1:24">
      <c r="A6877">
        <f>HYPERLINK("https://www.philgeps.gov.ph/GEPSNONPILOT/Tender/SplashBidNoticeAbstractUI.aspx?menuIndex=3&amp;refID=7186740&amp;Result=3","7186740")</f>
        <v>0</v>
      </c>
      <c r="B6877" t="s">
        <v>442</v>
      </c>
      <c r="C6877" t="s">
        <v>10106</v>
      </c>
      <c r="D6877" t="s">
        <v>17170</v>
      </c>
      <c r="E6877" t="s">
        <v>23191</v>
      </c>
      <c r="F6877" t="s">
        <v>29372</v>
      </c>
      <c r="G6877" t="s">
        <v>29380</v>
      </c>
      <c r="H6877" t="s">
        <v>11048</v>
      </c>
      <c r="I6877" t="s">
        <v>8614</v>
      </c>
      <c r="J6877" t="s">
        <v>30244</v>
      </c>
      <c r="K6877" t="s">
        <v>38485</v>
      </c>
      <c r="M6877" t="s">
        <v>39206</v>
      </c>
      <c r="N6877" t="s">
        <v>42669</v>
      </c>
      <c r="O6877" t="s">
        <v>42670</v>
      </c>
      <c r="P6877">
        <v>0</v>
      </c>
      <c r="Q6877">
        <v>4</v>
      </c>
      <c r="R6877" t="s">
        <v>42677</v>
      </c>
      <c r="S6877" t="s">
        <v>42830</v>
      </c>
      <c r="T6877" t="s">
        <v>44443</v>
      </c>
      <c r="U6877" t="s">
        <v>50453</v>
      </c>
      <c r="W6877" t="s">
        <v>39206</v>
      </c>
      <c r="X6877" t="s">
        <v>42678</v>
      </c>
    </row>
    <row r="6878" spans="1:24">
      <c r="A6878">
        <f>HYPERLINK("https://www.philgeps.gov.ph/GEPSNONPILOT/Tender/SplashBidNoticeAbstractUI.aspx?menuIndex=3&amp;refID=7186747&amp;Result=3","7186747")</f>
        <v>0</v>
      </c>
      <c r="B6878" t="s">
        <v>2242</v>
      </c>
      <c r="C6878" t="s">
        <v>10107</v>
      </c>
      <c r="D6878" t="s">
        <v>17141</v>
      </c>
      <c r="E6878" t="s">
        <v>23192</v>
      </c>
      <c r="F6878" t="s">
        <v>29372</v>
      </c>
      <c r="G6878" t="s">
        <v>29380</v>
      </c>
      <c r="H6878" t="s">
        <v>11048</v>
      </c>
      <c r="I6878" t="s">
        <v>8614</v>
      </c>
      <c r="J6878" t="s">
        <v>33962</v>
      </c>
      <c r="K6878" t="s">
        <v>38487</v>
      </c>
      <c r="M6878" t="s">
        <v>41160</v>
      </c>
      <c r="N6878" t="s">
        <v>42669</v>
      </c>
      <c r="O6878" t="s">
        <v>42670</v>
      </c>
      <c r="Q6878">
        <v>6</v>
      </c>
      <c r="R6878" t="s">
        <v>42677</v>
      </c>
      <c r="S6878" t="s">
        <v>42863</v>
      </c>
      <c r="T6878" t="s">
        <v>44664</v>
      </c>
      <c r="U6878" t="s">
        <v>50454</v>
      </c>
      <c r="W6878" t="s">
        <v>41160</v>
      </c>
      <c r="X6878" t="s">
        <v>42678</v>
      </c>
    </row>
    <row r="6879" spans="1:24">
      <c r="A6879">
        <f>HYPERLINK("https://www.philgeps.gov.ph/GEPSNONPILOT/Tender/SplashBidNoticeAbstractUI.aspx?menuIndex=3&amp;refID=7186735&amp;Result=3","7186735")</f>
        <v>0</v>
      </c>
      <c r="B6879" t="s">
        <v>1884</v>
      </c>
      <c r="C6879" t="s">
        <v>10108</v>
      </c>
      <c r="D6879" t="s">
        <v>17143</v>
      </c>
      <c r="E6879" t="s">
        <v>23193</v>
      </c>
      <c r="F6879" t="s">
        <v>29372</v>
      </c>
      <c r="G6879" t="s">
        <v>29380</v>
      </c>
      <c r="H6879" t="s">
        <v>11048</v>
      </c>
      <c r="I6879" t="s">
        <v>4487</v>
      </c>
      <c r="J6879" t="s">
        <v>33963</v>
      </c>
      <c r="K6879" t="s">
        <v>38488</v>
      </c>
      <c r="L6879" t="s">
        <v>1884</v>
      </c>
      <c r="M6879" t="s">
        <v>40757</v>
      </c>
      <c r="N6879" t="s">
        <v>42669</v>
      </c>
      <c r="O6879" t="s">
        <v>42670</v>
      </c>
      <c r="P6879">
        <v>0</v>
      </c>
      <c r="Q6879">
        <v>4</v>
      </c>
      <c r="R6879" t="s">
        <v>42677</v>
      </c>
      <c r="S6879" t="s">
        <v>42830</v>
      </c>
      <c r="T6879" t="s">
        <v>44368</v>
      </c>
      <c r="U6879" t="s">
        <v>50455</v>
      </c>
      <c r="W6879" t="s">
        <v>40757</v>
      </c>
      <c r="X6879" t="s">
        <v>42678</v>
      </c>
    </row>
    <row r="6880" spans="1:24">
      <c r="A6880">
        <f>HYPERLINK("https://www.philgeps.gov.ph/GEPSNONPILOT/Tender/SplashBidNoticeAbstractUI.aspx?menuIndex=3&amp;refID=7186716&amp;Result=3","7186716")</f>
        <v>0</v>
      </c>
      <c r="B6880" t="s">
        <v>1230</v>
      </c>
      <c r="C6880" t="s">
        <v>10109</v>
      </c>
      <c r="E6880" t="s">
        <v>23194</v>
      </c>
      <c r="F6880" t="s">
        <v>29372</v>
      </c>
      <c r="G6880" t="s">
        <v>29380</v>
      </c>
      <c r="H6880" t="s">
        <v>29389</v>
      </c>
      <c r="I6880" t="s">
        <v>10408</v>
      </c>
      <c r="J6880" t="s">
        <v>33964</v>
      </c>
      <c r="K6880" t="s">
        <v>38496</v>
      </c>
      <c r="M6880" t="s">
        <v>40051</v>
      </c>
      <c r="N6880" t="s">
        <v>42669</v>
      </c>
      <c r="O6880" t="s">
        <v>42670</v>
      </c>
      <c r="P6880">
        <v>0</v>
      </c>
      <c r="Q6880">
        <v>121</v>
      </c>
      <c r="R6880" t="s">
        <v>42677</v>
      </c>
      <c r="S6880" t="s">
        <v>42830</v>
      </c>
      <c r="T6880" t="s">
        <v>44429</v>
      </c>
      <c r="U6880" t="s">
        <v>50456</v>
      </c>
      <c r="V6880" t="s">
        <v>57114</v>
      </c>
      <c r="W6880" t="s">
        <v>40051</v>
      </c>
      <c r="X6880" t="s">
        <v>42678</v>
      </c>
    </row>
    <row r="6881" spans="1:24">
      <c r="A6881">
        <f>HYPERLINK("https://www.philgeps.gov.ph/GEPSNONPILOT/Tender/SplashBidNoticeAbstractUI.aspx?menuIndex=3&amp;refID=7186714&amp;Result=3","7186714")</f>
        <v>0</v>
      </c>
      <c r="B6881" t="s">
        <v>786</v>
      </c>
      <c r="C6881" t="s">
        <v>10110</v>
      </c>
      <c r="D6881" t="s">
        <v>17173</v>
      </c>
      <c r="E6881" t="s">
        <v>23195</v>
      </c>
      <c r="F6881" t="s">
        <v>29372</v>
      </c>
      <c r="G6881" t="s">
        <v>29380</v>
      </c>
      <c r="H6881" t="s">
        <v>11048</v>
      </c>
      <c r="I6881" t="s">
        <v>29425</v>
      </c>
      <c r="J6881" t="s">
        <v>29988</v>
      </c>
      <c r="K6881" t="s">
        <v>38485</v>
      </c>
      <c r="M6881" t="s">
        <v>39570</v>
      </c>
      <c r="N6881" t="s">
        <v>42669</v>
      </c>
      <c r="O6881" t="s">
        <v>42670</v>
      </c>
      <c r="P6881">
        <v>0</v>
      </c>
      <c r="Q6881">
        <v>1</v>
      </c>
      <c r="R6881" t="s">
        <v>42677</v>
      </c>
      <c r="S6881" t="s">
        <v>42830</v>
      </c>
      <c r="T6881" t="s">
        <v>44583</v>
      </c>
      <c r="U6881" t="s">
        <v>50457</v>
      </c>
      <c r="V6881" t="s">
        <v>56556</v>
      </c>
      <c r="W6881" t="s">
        <v>39570</v>
      </c>
      <c r="X6881" t="s">
        <v>42678</v>
      </c>
    </row>
    <row r="6882" spans="1:24">
      <c r="A6882">
        <f>HYPERLINK("https://www.philgeps.gov.ph/GEPSNONPILOT/Tender/SplashBidNoticeAbstractUI.aspx?menuIndex=3&amp;refID=7186653&amp;Result=3","7186653")</f>
        <v>0</v>
      </c>
      <c r="B6882" t="s">
        <v>2276</v>
      </c>
      <c r="C6882" t="s">
        <v>10111</v>
      </c>
      <c r="D6882" t="s">
        <v>17169</v>
      </c>
      <c r="E6882" t="s">
        <v>20412</v>
      </c>
      <c r="F6882" t="s">
        <v>29372</v>
      </c>
      <c r="G6882" t="s">
        <v>29380</v>
      </c>
      <c r="H6882" t="s">
        <v>11048</v>
      </c>
      <c r="I6882" t="s">
        <v>3952</v>
      </c>
      <c r="J6882" t="s">
        <v>33965</v>
      </c>
      <c r="K6882" t="s">
        <v>38490</v>
      </c>
      <c r="M6882" t="s">
        <v>41199</v>
      </c>
      <c r="N6882" t="s">
        <v>42669</v>
      </c>
      <c r="O6882" t="s">
        <v>42670</v>
      </c>
      <c r="P6882">
        <v>0</v>
      </c>
      <c r="Q6882">
        <v>0</v>
      </c>
      <c r="R6882" t="s">
        <v>42677</v>
      </c>
      <c r="S6882" t="s">
        <v>42830</v>
      </c>
      <c r="T6882" t="s">
        <v>44401</v>
      </c>
      <c r="U6882" t="s">
        <v>50458</v>
      </c>
      <c r="W6882" t="s">
        <v>41199</v>
      </c>
      <c r="X6882" t="s">
        <v>42678</v>
      </c>
    </row>
    <row r="6883" spans="1:24">
      <c r="A6883">
        <f>HYPERLINK("https://www.philgeps.gov.ph/GEPSNONPILOT/Tender/SplashBidNoticeAbstractUI.aspx?menuIndex=3&amp;refID=7186712&amp;Result=3","7186712")</f>
        <v>0</v>
      </c>
      <c r="B6883" t="s">
        <v>367</v>
      </c>
      <c r="C6883" t="s">
        <v>10112</v>
      </c>
      <c r="D6883" t="s">
        <v>17141</v>
      </c>
      <c r="E6883" t="s">
        <v>23196</v>
      </c>
      <c r="F6883" t="s">
        <v>29372</v>
      </c>
      <c r="G6883" t="s">
        <v>29384</v>
      </c>
      <c r="H6883" t="s">
        <v>29390</v>
      </c>
      <c r="I6883" t="s">
        <v>29433</v>
      </c>
      <c r="J6883" t="s">
        <v>29801</v>
      </c>
      <c r="K6883" t="s">
        <v>38496</v>
      </c>
      <c r="M6883" t="s">
        <v>41197</v>
      </c>
      <c r="N6883" t="s">
        <v>42669</v>
      </c>
      <c r="O6883" t="s">
        <v>42670</v>
      </c>
      <c r="P6883">
        <v>0</v>
      </c>
      <c r="Q6883">
        <v>10</v>
      </c>
      <c r="R6883" t="s">
        <v>42677</v>
      </c>
      <c r="S6883" t="s">
        <v>42830</v>
      </c>
      <c r="T6883" t="s">
        <v>44517</v>
      </c>
      <c r="U6883" t="s">
        <v>50459</v>
      </c>
      <c r="V6883" t="s">
        <v>56467</v>
      </c>
      <c r="W6883" t="s">
        <v>58014</v>
      </c>
      <c r="X6883" t="s">
        <v>42678</v>
      </c>
    </row>
    <row r="6884" spans="1:24">
      <c r="A6884">
        <f>HYPERLINK("https://www.philgeps.gov.ph/GEPSNONPILOT/Tender/SplashBidNoticeAbstractUI.aspx?menuIndex=3&amp;refID=7186729&amp;Result=3","7186729")</f>
        <v>0</v>
      </c>
      <c r="B6884" t="s">
        <v>786</v>
      </c>
      <c r="C6884" t="s">
        <v>10113</v>
      </c>
      <c r="D6884" t="s">
        <v>17173</v>
      </c>
      <c r="E6884" t="s">
        <v>23197</v>
      </c>
      <c r="F6884" t="s">
        <v>29372</v>
      </c>
      <c r="G6884" t="s">
        <v>29380</v>
      </c>
      <c r="H6884" t="s">
        <v>11048</v>
      </c>
      <c r="I6884" t="s">
        <v>4709</v>
      </c>
      <c r="J6884" t="s">
        <v>33966</v>
      </c>
      <c r="K6884" t="s">
        <v>38677</v>
      </c>
      <c r="M6884" t="s">
        <v>39570</v>
      </c>
      <c r="N6884" t="s">
        <v>42669</v>
      </c>
      <c r="O6884" t="s">
        <v>42670</v>
      </c>
      <c r="P6884">
        <v>0</v>
      </c>
      <c r="Q6884">
        <v>0</v>
      </c>
      <c r="R6884" t="s">
        <v>42677</v>
      </c>
      <c r="S6884" t="s">
        <v>42830</v>
      </c>
      <c r="T6884" t="s">
        <v>44583</v>
      </c>
      <c r="U6884" t="s">
        <v>50460</v>
      </c>
      <c r="V6884" t="s">
        <v>56556</v>
      </c>
      <c r="W6884" t="s">
        <v>39570</v>
      </c>
      <c r="X6884" t="s">
        <v>42678</v>
      </c>
    </row>
    <row r="6885" spans="1:24">
      <c r="A6885">
        <f>HYPERLINK("https://www.philgeps.gov.ph/GEPSNONPILOT/Tender/SplashBidNoticeAbstractUI.aspx?menuIndex=3&amp;refID=7186707&amp;Result=3","7186707")</f>
        <v>0</v>
      </c>
      <c r="B6885" t="s">
        <v>2268</v>
      </c>
      <c r="C6885" t="s">
        <v>10114</v>
      </c>
      <c r="D6885" t="s">
        <v>17155</v>
      </c>
      <c r="E6885" t="s">
        <v>23198</v>
      </c>
      <c r="F6885" t="s">
        <v>29372</v>
      </c>
      <c r="G6885" t="s">
        <v>29380</v>
      </c>
      <c r="H6885" t="s">
        <v>11048</v>
      </c>
      <c r="I6885" t="s">
        <v>9469</v>
      </c>
      <c r="J6885" t="s">
        <v>31893</v>
      </c>
      <c r="K6885" t="s">
        <v>38496</v>
      </c>
      <c r="M6885" t="s">
        <v>41190</v>
      </c>
      <c r="N6885" t="s">
        <v>42669</v>
      </c>
      <c r="O6885" t="s">
        <v>42670</v>
      </c>
      <c r="P6885">
        <v>0</v>
      </c>
      <c r="Q6885">
        <v>4</v>
      </c>
      <c r="R6885" t="s">
        <v>42677</v>
      </c>
      <c r="S6885" t="s">
        <v>42830</v>
      </c>
      <c r="T6885" t="s">
        <v>44643</v>
      </c>
      <c r="U6885" t="s">
        <v>50461</v>
      </c>
      <c r="W6885" t="s">
        <v>41190</v>
      </c>
      <c r="X6885" t="s">
        <v>42678</v>
      </c>
    </row>
    <row r="6886" spans="1:24">
      <c r="A6886">
        <f>HYPERLINK("https://www.philgeps.gov.ph/GEPSNONPILOT/Tender/SplashBidNoticeAbstractUI.aspx?menuIndex=3&amp;refID=7186720&amp;Result=3","7186720")</f>
        <v>0</v>
      </c>
      <c r="B6886" t="s">
        <v>2242</v>
      </c>
      <c r="C6886" t="s">
        <v>10115</v>
      </c>
      <c r="D6886" t="s">
        <v>17141</v>
      </c>
      <c r="E6886" t="s">
        <v>23199</v>
      </c>
      <c r="F6886" t="s">
        <v>29372</v>
      </c>
      <c r="G6886" t="s">
        <v>29380</v>
      </c>
      <c r="H6886" t="s">
        <v>11048</v>
      </c>
      <c r="I6886" t="s">
        <v>29409</v>
      </c>
      <c r="J6886" t="s">
        <v>33967</v>
      </c>
      <c r="K6886" t="s">
        <v>38488</v>
      </c>
      <c r="M6886" t="s">
        <v>41160</v>
      </c>
      <c r="N6886" t="s">
        <v>42669</v>
      </c>
      <c r="O6886" t="s">
        <v>42670</v>
      </c>
      <c r="Q6886">
        <v>9</v>
      </c>
      <c r="R6886" t="s">
        <v>42677</v>
      </c>
      <c r="S6886" t="s">
        <v>42864</v>
      </c>
      <c r="T6886" t="s">
        <v>44664</v>
      </c>
      <c r="U6886" t="s">
        <v>50462</v>
      </c>
      <c r="W6886" t="s">
        <v>41160</v>
      </c>
      <c r="X6886" t="s">
        <v>42678</v>
      </c>
    </row>
    <row r="6887" spans="1:24">
      <c r="A6887">
        <f>HYPERLINK("https://www.philgeps.gov.ph/GEPSNONPILOT/Tender/SplashBidNoticeAbstractUI.aspx?menuIndex=3&amp;refID=7186741&amp;Result=3","7186741")</f>
        <v>0</v>
      </c>
      <c r="B6887" t="s">
        <v>1884</v>
      </c>
      <c r="C6887" t="s">
        <v>10116</v>
      </c>
      <c r="D6887" t="s">
        <v>17143</v>
      </c>
      <c r="E6887" t="s">
        <v>23200</v>
      </c>
      <c r="F6887" t="s">
        <v>29372</v>
      </c>
      <c r="G6887" t="s">
        <v>29380</v>
      </c>
      <c r="H6887" t="s">
        <v>11048</v>
      </c>
      <c r="I6887" t="s">
        <v>5383</v>
      </c>
      <c r="J6887" t="s">
        <v>33968</v>
      </c>
      <c r="K6887" t="s">
        <v>38488</v>
      </c>
      <c r="L6887" t="s">
        <v>1884</v>
      </c>
      <c r="M6887" t="s">
        <v>40757</v>
      </c>
      <c r="N6887" t="s">
        <v>42669</v>
      </c>
      <c r="O6887" t="s">
        <v>42670</v>
      </c>
      <c r="P6887">
        <v>0</v>
      </c>
      <c r="Q6887">
        <v>0</v>
      </c>
      <c r="R6887" t="s">
        <v>42677</v>
      </c>
      <c r="S6887" t="s">
        <v>42830</v>
      </c>
      <c r="T6887" t="s">
        <v>44401</v>
      </c>
      <c r="U6887" t="s">
        <v>50463</v>
      </c>
      <c r="W6887" t="s">
        <v>40757</v>
      </c>
      <c r="X6887" t="s">
        <v>42678</v>
      </c>
    </row>
    <row r="6888" spans="1:24">
      <c r="A6888">
        <f>HYPERLINK("https://www.philgeps.gov.ph/GEPSNONPILOT/Tender/SplashBidNoticeAbstractUI.aspx?menuIndex=3&amp;refID=7186713&amp;Result=3","7186713")</f>
        <v>0</v>
      </c>
      <c r="B6888" t="s">
        <v>2242</v>
      </c>
      <c r="C6888" t="s">
        <v>10117</v>
      </c>
      <c r="D6888" t="s">
        <v>17141</v>
      </c>
      <c r="E6888" t="s">
        <v>23201</v>
      </c>
      <c r="F6888" t="s">
        <v>29372</v>
      </c>
      <c r="G6888" t="s">
        <v>29380</v>
      </c>
      <c r="H6888" t="s">
        <v>11048</v>
      </c>
      <c r="I6888" t="s">
        <v>9469</v>
      </c>
      <c r="J6888" t="s">
        <v>29740</v>
      </c>
      <c r="K6888" t="s">
        <v>38496</v>
      </c>
      <c r="M6888" t="s">
        <v>41160</v>
      </c>
      <c r="N6888" t="s">
        <v>42669</v>
      </c>
      <c r="O6888" t="s">
        <v>42670</v>
      </c>
      <c r="Q6888">
        <v>1</v>
      </c>
      <c r="R6888" t="s">
        <v>42677</v>
      </c>
      <c r="S6888" t="s">
        <v>42865</v>
      </c>
      <c r="T6888" t="s">
        <v>44664</v>
      </c>
      <c r="U6888" t="s">
        <v>50464</v>
      </c>
      <c r="W6888" t="s">
        <v>41160</v>
      </c>
      <c r="X6888" t="s">
        <v>42678</v>
      </c>
    </row>
    <row r="6889" spans="1:24">
      <c r="A6889">
        <f>HYPERLINK("https://www.philgeps.gov.ph/GEPSNONPILOT/Tender/SplashBidNoticeAbstractUI.aspx?menuIndex=3&amp;refID=7186776&amp;Result=3","7186776")</f>
        <v>0</v>
      </c>
      <c r="B6889" t="s">
        <v>2277</v>
      </c>
      <c r="C6889" t="s">
        <v>10118</v>
      </c>
      <c r="D6889" t="s">
        <v>17141</v>
      </c>
      <c r="E6889" t="s">
        <v>23202</v>
      </c>
      <c r="F6889" t="s">
        <v>29372</v>
      </c>
      <c r="G6889" t="s">
        <v>29380</v>
      </c>
      <c r="H6889" t="s">
        <v>11048</v>
      </c>
      <c r="I6889" t="s">
        <v>29413</v>
      </c>
      <c r="J6889" t="s">
        <v>29555</v>
      </c>
      <c r="K6889" t="s">
        <v>38489</v>
      </c>
      <c r="M6889" t="s">
        <v>41200</v>
      </c>
      <c r="N6889" t="s">
        <v>42669</v>
      </c>
      <c r="O6889" t="s">
        <v>42670</v>
      </c>
      <c r="P6889">
        <v>0</v>
      </c>
      <c r="Q6889">
        <v>3</v>
      </c>
      <c r="R6889" t="s">
        <v>42677</v>
      </c>
      <c r="S6889" t="s">
        <v>42830</v>
      </c>
      <c r="T6889" t="s">
        <v>44401</v>
      </c>
      <c r="U6889" t="s">
        <v>50465</v>
      </c>
      <c r="V6889" t="s">
        <v>57115</v>
      </c>
      <c r="W6889" t="s">
        <v>41200</v>
      </c>
      <c r="X6889" t="s">
        <v>42678</v>
      </c>
    </row>
    <row r="6890" spans="1:24">
      <c r="A6890">
        <f>HYPERLINK("https://www.philgeps.gov.ph/GEPSNONPILOT/Tender/SplashBidNoticeAbstractUI.aspx?menuIndex=3&amp;refID=7186773&amp;Result=3","7186773")</f>
        <v>0</v>
      </c>
      <c r="B6890" t="s">
        <v>1760</v>
      </c>
      <c r="C6890" t="s">
        <v>10119</v>
      </c>
      <c r="D6890" t="s">
        <v>17195</v>
      </c>
      <c r="E6890" t="s">
        <v>23203</v>
      </c>
      <c r="F6890" t="s">
        <v>29372</v>
      </c>
      <c r="G6890" t="s">
        <v>29380</v>
      </c>
      <c r="H6890" t="s">
        <v>11048</v>
      </c>
      <c r="I6890" t="s">
        <v>29398</v>
      </c>
      <c r="J6890" t="s">
        <v>33969</v>
      </c>
      <c r="K6890" t="s">
        <v>38489</v>
      </c>
      <c r="M6890" t="s">
        <v>40627</v>
      </c>
      <c r="N6890" t="s">
        <v>42669</v>
      </c>
      <c r="O6890" t="s">
        <v>42670</v>
      </c>
      <c r="P6890">
        <v>0</v>
      </c>
      <c r="Q6890">
        <v>0</v>
      </c>
      <c r="R6890" t="s">
        <v>42677</v>
      </c>
      <c r="S6890" t="s">
        <v>42830</v>
      </c>
      <c r="T6890" t="s">
        <v>44401</v>
      </c>
      <c r="U6890" t="s">
        <v>50466</v>
      </c>
      <c r="W6890" t="s">
        <v>40627</v>
      </c>
      <c r="X6890" t="s">
        <v>42678</v>
      </c>
    </row>
    <row r="6891" spans="1:24">
      <c r="A6891">
        <f>HYPERLINK("https://www.philgeps.gov.ph/GEPSNONPILOT/Tender/SplashBidNoticeAbstractUI.aspx?menuIndex=3&amp;refID=7186770&amp;Result=3","7186770")</f>
        <v>0</v>
      </c>
      <c r="B6891" t="s">
        <v>1229</v>
      </c>
      <c r="C6891" t="s">
        <v>10120</v>
      </c>
      <c r="D6891" t="s">
        <v>17199</v>
      </c>
      <c r="E6891" t="s">
        <v>23204</v>
      </c>
      <c r="F6891" t="s">
        <v>29372</v>
      </c>
      <c r="G6891" t="s">
        <v>29380</v>
      </c>
      <c r="H6891" t="s">
        <v>11048</v>
      </c>
      <c r="I6891" t="s">
        <v>8614</v>
      </c>
      <c r="J6891" t="s">
        <v>33970</v>
      </c>
      <c r="K6891" t="s">
        <v>38496</v>
      </c>
      <c r="M6891" t="s">
        <v>41201</v>
      </c>
      <c r="N6891" t="s">
        <v>42669</v>
      </c>
      <c r="O6891" t="s">
        <v>42670</v>
      </c>
      <c r="P6891">
        <v>0</v>
      </c>
      <c r="Q6891">
        <v>13</v>
      </c>
      <c r="R6891" t="s">
        <v>42677</v>
      </c>
      <c r="S6891" t="s">
        <v>42830</v>
      </c>
      <c r="T6891" t="s">
        <v>44539</v>
      </c>
      <c r="U6891" t="s">
        <v>50467</v>
      </c>
      <c r="W6891" t="s">
        <v>40050</v>
      </c>
      <c r="X6891" t="s">
        <v>42678</v>
      </c>
    </row>
    <row r="6892" spans="1:24">
      <c r="A6892">
        <f>HYPERLINK("https://www.philgeps.gov.ph/GEPSNONPILOT/Tender/SplashBidNoticeAbstractUI.aspx?menuIndex=3&amp;refID=7186768&amp;Result=3","7186768")</f>
        <v>0</v>
      </c>
      <c r="B6892" t="s">
        <v>2226</v>
      </c>
      <c r="C6892" t="s">
        <v>10121</v>
      </c>
      <c r="D6892" t="s">
        <v>17162</v>
      </c>
      <c r="E6892" t="s">
        <v>23205</v>
      </c>
      <c r="F6892" t="s">
        <v>29372</v>
      </c>
      <c r="G6892" t="s">
        <v>29380</v>
      </c>
      <c r="H6892" t="s">
        <v>29389</v>
      </c>
      <c r="I6892" t="s">
        <v>10408</v>
      </c>
      <c r="J6892" t="s">
        <v>33971</v>
      </c>
      <c r="K6892" t="s">
        <v>38657</v>
      </c>
      <c r="M6892" t="s">
        <v>41144</v>
      </c>
      <c r="N6892" t="s">
        <v>42669</v>
      </c>
      <c r="O6892" t="s">
        <v>42670</v>
      </c>
      <c r="P6892">
        <v>0</v>
      </c>
      <c r="Q6892">
        <v>1</v>
      </c>
      <c r="R6892" t="s">
        <v>42677</v>
      </c>
      <c r="S6892" t="s">
        <v>42830</v>
      </c>
      <c r="T6892" t="s">
        <v>44368</v>
      </c>
      <c r="U6892" t="s">
        <v>50468</v>
      </c>
      <c r="W6892" t="s">
        <v>41144</v>
      </c>
      <c r="X6892" t="s">
        <v>42678</v>
      </c>
    </row>
    <row r="6893" spans="1:24">
      <c r="A6893">
        <f>HYPERLINK("https://www.philgeps.gov.ph/GEPSNONPILOT/Tender/SplashBidNoticeAbstractUI.aspx?menuIndex=3&amp;refID=7186718&amp;Result=3","7186718")</f>
        <v>0</v>
      </c>
      <c r="B6893" t="s">
        <v>786</v>
      </c>
      <c r="C6893" t="s">
        <v>10122</v>
      </c>
      <c r="D6893" t="s">
        <v>17173</v>
      </c>
      <c r="E6893" t="s">
        <v>23206</v>
      </c>
      <c r="F6893" t="s">
        <v>29372</v>
      </c>
      <c r="G6893" t="s">
        <v>29380</v>
      </c>
      <c r="H6893" t="s">
        <v>11048</v>
      </c>
      <c r="I6893" t="s">
        <v>4709</v>
      </c>
      <c r="J6893" t="s">
        <v>33972</v>
      </c>
      <c r="K6893" t="s">
        <v>38502</v>
      </c>
      <c r="M6893" t="s">
        <v>39570</v>
      </c>
      <c r="N6893" t="s">
        <v>42669</v>
      </c>
      <c r="O6893" t="s">
        <v>42670</v>
      </c>
      <c r="P6893">
        <v>0</v>
      </c>
      <c r="Q6893">
        <v>0</v>
      </c>
      <c r="R6893" t="s">
        <v>42677</v>
      </c>
      <c r="S6893" t="s">
        <v>42830</v>
      </c>
      <c r="T6893" t="s">
        <v>44583</v>
      </c>
      <c r="U6893" t="s">
        <v>50469</v>
      </c>
      <c r="V6893" t="s">
        <v>56556</v>
      </c>
      <c r="W6893" t="s">
        <v>39570</v>
      </c>
      <c r="X6893" t="s">
        <v>42678</v>
      </c>
    </row>
    <row r="6894" spans="1:24">
      <c r="A6894">
        <f>HYPERLINK("https://www.philgeps.gov.ph/GEPSNONPILOT/Tender/SplashBidNoticeAbstractUI.aspx?menuIndex=3&amp;refID=7186766&amp;Result=3","7186766")</f>
        <v>0</v>
      </c>
      <c r="B6894" t="s">
        <v>898</v>
      </c>
      <c r="C6894" t="s">
        <v>10123</v>
      </c>
      <c r="D6894" t="s">
        <v>17142</v>
      </c>
      <c r="E6894" t="s">
        <v>23207</v>
      </c>
      <c r="F6894" t="s">
        <v>29372</v>
      </c>
      <c r="G6894" t="s">
        <v>29380</v>
      </c>
      <c r="H6894" t="s">
        <v>11048</v>
      </c>
      <c r="I6894" t="s">
        <v>29458</v>
      </c>
      <c r="J6894" t="s">
        <v>33973</v>
      </c>
      <c r="K6894" t="s">
        <v>38490</v>
      </c>
      <c r="M6894" t="s">
        <v>41202</v>
      </c>
      <c r="N6894" t="s">
        <v>42669</v>
      </c>
      <c r="O6894" t="s">
        <v>42670</v>
      </c>
      <c r="P6894">
        <v>0</v>
      </c>
      <c r="Q6894">
        <v>3</v>
      </c>
      <c r="R6894" t="s">
        <v>42677</v>
      </c>
      <c r="S6894" t="s">
        <v>42830</v>
      </c>
      <c r="T6894" t="s">
        <v>44410</v>
      </c>
      <c r="U6894" t="s">
        <v>50470</v>
      </c>
      <c r="V6894" t="s">
        <v>57116</v>
      </c>
      <c r="W6894" t="s">
        <v>41202</v>
      </c>
      <c r="X6894" t="s">
        <v>42678</v>
      </c>
    </row>
    <row r="6895" spans="1:24">
      <c r="A6895">
        <f>HYPERLINK("https://www.philgeps.gov.ph/GEPSNONPILOT/Tender/SplashBidNoticeAbstractUI.aspx?menuIndex=3&amp;refID=7186764&amp;Result=3","7186764")</f>
        <v>0</v>
      </c>
      <c r="B6895" t="s">
        <v>844</v>
      </c>
      <c r="C6895" t="s">
        <v>10124</v>
      </c>
      <c r="D6895" t="s">
        <v>17209</v>
      </c>
      <c r="E6895" t="s">
        <v>23208</v>
      </c>
      <c r="F6895" t="s">
        <v>29372</v>
      </c>
      <c r="G6895" t="s">
        <v>29379</v>
      </c>
      <c r="H6895" t="s">
        <v>11048</v>
      </c>
      <c r="I6895" t="s">
        <v>29394</v>
      </c>
      <c r="J6895" t="s">
        <v>33974</v>
      </c>
      <c r="K6895" t="s">
        <v>38485</v>
      </c>
      <c r="M6895" t="s">
        <v>39634</v>
      </c>
      <c r="N6895" t="s">
        <v>42669</v>
      </c>
      <c r="O6895" t="s">
        <v>42670</v>
      </c>
      <c r="P6895">
        <v>0</v>
      </c>
      <c r="Q6895">
        <v>1</v>
      </c>
      <c r="R6895" t="s">
        <v>42677</v>
      </c>
      <c r="S6895" t="s">
        <v>42830</v>
      </c>
      <c r="T6895" t="s">
        <v>44427</v>
      </c>
      <c r="U6895" t="s">
        <v>46577</v>
      </c>
      <c r="W6895" t="s">
        <v>39634</v>
      </c>
      <c r="X6895" t="s">
        <v>42678</v>
      </c>
    </row>
    <row r="6896" spans="1:24">
      <c r="A6896">
        <f>HYPERLINK("https://www.philgeps.gov.ph/GEPSNONPILOT/Tender/SplashBidNoticeAbstractUI.aspx?menuIndex=3&amp;refID=7186771&amp;Result=3","7186771")</f>
        <v>0</v>
      </c>
      <c r="B6896" t="s">
        <v>844</v>
      </c>
      <c r="C6896" t="s">
        <v>10125</v>
      </c>
      <c r="D6896" t="s">
        <v>17209</v>
      </c>
      <c r="E6896" t="s">
        <v>23209</v>
      </c>
      <c r="F6896" t="s">
        <v>29372</v>
      </c>
      <c r="G6896" t="s">
        <v>29379</v>
      </c>
      <c r="H6896" t="s">
        <v>11048</v>
      </c>
      <c r="I6896" t="s">
        <v>3670</v>
      </c>
      <c r="J6896" t="s">
        <v>33975</v>
      </c>
      <c r="K6896" t="s">
        <v>38485</v>
      </c>
      <c r="M6896" t="s">
        <v>39634</v>
      </c>
      <c r="N6896" t="s">
        <v>42669</v>
      </c>
      <c r="O6896" t="s">
        <v>42670</v>
      </c>
      <c r="P6896">
        <v>0</v>
      </c>
      <c r="Q6896">
        <v>1</v>
      </c>
      <c r="R6896" t="s">
        <v>42677</v>
      </c>
      <c r="S6896" t="s">
        <v>42830</v>
      </c>
      <c r="T6896" t="s">
        <v>44427</v>
      </c>
      <c r="U6896" t="s">
        <v>46577</v>
      </c>
      <c r="W6896" t="s">
        <v>39634</v>
      </c>
      <c r="X6896" t="s">
        <v>42678</v>
      </c>
    </row>
    <row r="6897" spans="1:24">
      <c r="A6897">
        <f>HYPERLINK("https://www.philgeps.gov.ph/GEPSNONPILOT/Tender/SplashBidNoticeAbstractUI.aspx?menuIndex=3&amp;refID=7186760&amp;Result=3","7186760")</f>
        <v>0</v>
      </c>
      <c r="B6897" t="s">
        <v>2272</v>
      </c>
      <c r="C6897" t="s">
        <v>10126</v>
      </c>
      <c r="D6897" t="s">
        <v>17171</v>
      </c>
      <c r="E6897" t="s">
        <v>18689</v>
      </c>
      <c r="F6897" t="s">
        <v>29372</v>
      </c>
      <c r="G6897" t="s">
        <v>29379</v>
      </c>
      <c r="H6897" t="s">
        <v>11048</v>
      </c>
      <c r="I6897" t="s">
        <v>29494</v>
      </c>
      <c r="J6897" t="s">
        <v>30460</v>
      </c>
      <c r="K6897" t="s">
        <v>38534</v>
      </c>
      <c r="M6897" t="s">
        <v>41194</v>
      </c>
      <c r="N6897" t="s">
        <v>42669</v>
      </c>
      <c r="O6897" t="s">
        <v>42670</v>
      </c>
      <c r="P6897">
        <v>0</v>
      </c>
      <c r="Q6897">
        <v>0</v>
      </c>
      <c r="R6897" t="s">
        <v>42677</v>
      </c>
      <c r="S6897" t="s">
        <v>42830</v>
      </c>
      <c r="T6897" t="s">
        <v>44438</v>
      </c>
      <c r="U6897" t="s">
        <v>50471</v>
      </c>
      <c r="W6897" t="s">
        <v>41194</v>
      </c>
      <c r="X6897" t="s">
        <v>42678</v>
      </c>
    </row>
    <row r="6898" spans="1:24">
      <c r="A6898">
        <f>HYPERLINK("https://www.philgeps.gov.ph/GEPSNONPILOT/Tender/SplashBidNoticeAbstractUI.aspx?menuIndex=3&amp;refID=7186757&amp;Result=3","7186757")</f>
        <v>0</v>
      </c>
      <c r="B6898" t="s">
        <v>2278</v>
      </c>
      <c r="C6898" t="s">
        <v>10127</v>
      </c>
      <c r="D6898" t="s">
        <v>17141</v>
      </c>
      <c r="E6898" t="s">
        <v>23210</v>
      </c>
      <c r="F6898" t="s">
        <v>29372</v>
      </c>
      <c r="G6898" t="s">
        <v>29380</v>
      </c>
      <c r="H6898" t="s">
        <v>11048</v>
      </c>
      <c r="I6898" t="s">
        <v>29412</v>
      </c>
      <c r="J6898" t="s">
        <v>33976</v>
      </c>
      <c r="K6898" t="s">
        <v>38489</v>
      </c>
      <c r="M6898" t="s">
        <v>41203</v>
      </c>
      <c r="N6898" t="s">
        <v>42669</v>
      </c>
      <c r="O6898" t="s">
        <v>42670</v>
      </c>
      <c r="P6898">
        <v>0</v>
      </c>
      <c r="Q6898">
        <v>4</v>
      </c>
      <c r="R6898" t="s">
        <v>42677</v>
      </c>
      <c r="S6898" t="s">
        <v>42830</v>
      </c>
      <c r="T6898" t="s">
        <v>44401</v>
      </c>
      <c r="U6898" t="s">
        <v>50472</v>
      </c>
      <c r="V6898" t="s">
        <v>57117</v>
      </c>
      <c r="W6898" t="s">
        <v>41203</v>
      </c>
      <c r="X6898" t="s">
        <v>42678</v>
      </c>
    </row>
    <row r="6899" spans="1:24">
      <c r="A6899">
        <f>HYPERLINK("https://www.philgeps.gov.ph/GEPSNONPILOT/Tender/SplashBidNoticeAbstractUI.aspx?menuIndex=3&amp;refID=7186769&amp;Result=3","7186769")</f>
        <v>0</v>
      </c>
      <c r="B6899" t="s">
        <v>2279</v>
      </c>
      <c r="C6899" t="s">
        <v>10128</v>
      </c>
      <c r="D6899" t="s">
        <v>17141</v>
      </c>
      <c r="E6899" t="s">
        <v>23211</v>
      </c>
      <c r="F6899" t="s">
        <v>29372</v>
      </c>
      <c r="G6899" t="s">
        <v>29380</v>
      </c>
      <c r="H6899" t="s">
        <v>29390</v>
      </c>
      <c r="I6899" t="s">
        <v>3670</v>
      </c>
      <c r="J6899" t="s">
        <v>29823</v>
      </c>
      <c r="K6899" t="s">
        <v>38491</v>
      </c>
      <c r="M6899" t="s">
        <v>41204</v>
      </c>
      <c r="N6899" t="s">
        <v>42669</v>
      </c>
      <c r="O6899" t="s">
        <v>42670</v>
      </c>
      <c r="P6899">
        <v>0</v>
      </c>
      <c r="Q6899">
        <v>2</v>
      </c>
      <c r="R6899" t="s">
        <v>42677</v>
      </c>
      <c r="S6899" t="s">
        <v>42830</v>
      </c>
      <c r="T6899" t="s">
        <v>44401</v>
      </c>
      <c r="U6899" t="s">
        <v>50473</v>
      </c>
      <c r="W6899" t="s">
        <v>41204</v>
      </c>
      <c r="X6899" t="s">
        <v>42678</v>
      </c>
    </row>
    <row r="6900" spans="1:24">
      <c r="A6900">
        <f>HYPERLINK("https://www.philgeps.gov.ph/GEPSNONPILOT/Tender/SplashBidNoticeAbstractUI.aspx?menuIndex=3&amp;refID=7186817&amp;Result=3","7186817")</f>
        <v>0</v>
      </c>
      <c r="B6900" t="s">
        <v>1760</v>
      </c>
      <c r="C6900" t="s">
        <v>10129</v>
      </c>
      <c r="D6900" t="s">
        <v>17195</v>
      </c>
      <c r="E6900" t="s">
        <v>23212</v>
      </c>
      <c r="F6900" t="s">
        <v>29372</v>
      </c>
      <c r="G6900" t="s">
        <v>29380</v>
      </c>
      <c r="H6900" t="s">
        <v>11048</v>
      </c>
      <c r="I6900" t="s">
        <v>29395</v>
      </c>
      <c r="J6900" t="s">
        <v>33977</v>
      </c>
      <c r="K6900" t="s">
        <v>38489</v>
      </c>
      <c r="M6900" t="s">
        <v>40627</v>
      </c>
      <c r="N6900" t="s">
        <v>42669</v>
      </c>
      <c r="O6900" t="s">
        <v>42670</v>
      </c>
      <c r="P6900">
        <v>0</v>
      </c>
      <c r="Q6900">
        <v>0</v>
      </c>
      <c r="R6900" t="s">
        <v>42677</v>
      </c>
      <c r="S6900" t="s">
        <v>42830</v>
      </c>
      <c r="T6900" t="s">
        <v>44401</v>
      </c>
      <c r="U6900" t="s">
        <v>50466</v>
      </c>
      <c r="W6900" t="s">
        <v>40627</v>
      </c>
      <c r="X6900" t="s">
        <v>42678</v>
      </c>
    </row>
    <row r="6901" spans="1:24">
      <c r="A6901">
        <f>HYPERLINK("https://www.philgeps.gov.ph/GEPSNONPILOT/Tender/SplashBidNoticeAbstractUI.aspx?menuIndex=3&amp;refID=7186763&amp;Result=3","7186763")</f>
        <v>0</v>
      </c>
      <c r="B6901" t="s">
        <v>367</v>
      </c>
      <c r="C6901" t="s">
        <v>10130</v>
      </c>
      <c r="D6901" t="s">
        <v>17141</v>
      </c>
      <c r="E6901" t="s">
        <v>23213</v>
      </c>
      <c r="F6901" t="s">
        <v>29372</v>
      </c>
      <c r="G6901" t="s">
        <v>29384</v>
      </c>
      <c r="H6901" t="s">
        <v>29390</v>
      </c>
      <c r="I6901" t="s">
        <v>29433</v>
      </c>
      <c r="J6901" t="s">
        <v>33978</v>
      </c>
      <c r="K6901" t="s">
        <v>38496</v>
      </c>
      <c r="M6901" t="s">
        <v>41197</v>
      </c>
      <c r="N6901" t="s">
        <v>42669</v>
      </c>
      <c r="O6901" t="s">
        <v>42670</v>
      </c>
      <c r="P6901">
        <v>0</v>
      </c>
      <c r="Q6901">
        <v>7</v>
      </c>
      <c r="R6901" t="s">
        <v>42677</v>
      </c>
      <c r="S6901" t="s">
        <v>42830</v>
      </c>
      <c r="T6901" t="s">
        <v>44517</v>
      </c>
      <c r="U6901" t="s">
        <v>50474</v>
      </c>
      <c r="V6901" t="s">
        <v>56467</v>
      </c>
      <c r="W6901" t="s">
        <v>58014</v>
      </c>
      <c r="X6901" t="s">
        <v>42678</v>
      </c>
    </row>
    <row r="6902" spans="1:24">
      <c r="A6902">
        <f>HYPERLINK("https://www.philgeps.gov.ph/GEPSNONPILOT/Tender/SplashBidNoticeAbstractUI.aspx?menuIndex=3&amp;refID=7186813&amp;Result=3","7186813")</f>
        <v>0</v>
      </c>
      <c r="B6902" t="s">
        <v>1760</v>
      </c>
      <c r="C6902" t="s">
        <v>10131</v>
      </c>
      <c r="D6902" t="s">
        <v>17195</v>
      </c>
      <c r="E6902" t="s">
        <v>23214</v>
      </c>
      <c r="F6902" t="s">
        <v>29372</v>
      </c>
      <c r="G6902" t="s">
        <v>29380</v>
      </c>
      <c r="H6902" t="s">
        <v>11048</v>
      </c>
      <c r="I6902" t="s">
        <v>29395</v>
      </c>
      <c r="J6902" t="s">
        <v>33979</v>
      </c>
      <c r="K6902" t="s">
        <v>38489</v>
      </c>
      <c r="M6902" t="s">
        <v>40627</v>
      </c>
      <c r="N6902" t="s">
        <v>42669</v>
      </c>
      <c r="O6902" t="s">
        <v>42670</v>
      </c>
      <c r="P6902">
        <v>0</v>
      </c>
      <c r="Q6902">
        <v>0</v>
      </c>
      <c r="R6902" t="s">
        <v>42677</v>
      </c>
      <c r="S6902" t="s">
        <v>42830</v>
      </c>
      <c r="T6902" t="s">
        <v>44401</v>
      </c>
      <c r="U6902" t="s">
        <v>50466</v>
      </c>
      <c r="W6902" t="s">
        <v>40627</v>
      </c>
      <c r="X6902" t="s">
        <v>42678</v>
      </c>
    </row>
    <row r="6903" spans="1:24">
      <c r="A6903">
        <f>HYPERLINK("https://www.philgeps.gov.ph/GEPSNONPILOT/Tender/SplashBidNoticeAbstractUI.aspx?menuIndex=3&amp;refID=7186772&amp;Result=3","7186772")</f>
        <v>0</v>
      </c>
      <c r="B6903" t="s">
        <v>844</v>
      </c>
      <c r="C6903" t="s">
        <v>10132</v>
      </c>
      <c r="D6903" t="s">
        <v>17209</v>
      </c>
      <c r="E6903" t="s">
        <v>23215</v>
      </c>
      <c r="F6903" t="s">
        <v>29372</v>
      </c>
      <c r="G6903" t="s">
        <v>29379</v>
      </c>
      <c r="H6903" t="s">
        <v>11048</v>
      </c>
      <c r="I6903" t="s">
        <v>3670</v>
      </c>
      <c r="J6903" t="s">
        <v>33980</v>
      </c>
      <c r="K6903" t="s">
        <v>38485</v>
      </c>
      <c r="M6903" t="s">
        <v>39634</v>
      </c>
      <c r="N6903" t="s">
        <v>42669</v>
      </c>
      <c r="O6903" t="s">
        <v>42670</v>
      </c>
      <c r="P6903">
        <v>0</v>
      </c>
      <c r="Q6903">
        <v>1</v>
      </c>
      <c r="R6903" t="s">
        <v>42677</v>
      </c>
      <c r="S6903" t="s">
        <v>42830</v>
      </c>
      <c r="T6903" t="s">
        <v>44427</v>
      </c>
      <c r="U6903" t="s">
        <v>46577</v>
      </c>
      <c r="W6903" t="s">
        <v>39634</v>
      </c>
      <c r="X6903" t="s">
        <v>42678</v>
      </c>
    </row>
    <row r="6904" spans="1:24">
      <c r="A6904">
        <f>HYPERLINK("https://www.philgeps.gov.ph/GEPSNONPILOT/Tender/SplashBidNoticeAbstractUI.aspx?menuIndex=3&amp;refID=7186810&amp;Result=3","7186810")</f>
        <v>0</v>
      </c>
      <c r="B6904" t="s">
        <v>669</v>
      </c>
      <c r="C6904" t="s">
        <v>10133</v>
      </c>
      <c r="D6904" t="s">
        <v>17147</v>
      </c>
      <c r="E6904" t="s">
        <v>23216</v>
      </c>
      <c r="F6904" t="s">
        <v>29372</v>
      </c>
      <c r="G6904" t="s">
        <v>29380</v>
      </c>
      <c r="H6904" t="s">
        <v>11048</v>
      </c>
      <c r="I6904" t="s">
        <v>3695</v>
      </c>
      <c r="J6904" t="s">
        <v>33981</v>
      </c>
      <c r="K6904" t="s">
        <v>38488</v>
      </c>
      <c r="M6904" t="s">
        <v>40506</v>
      </c>
      <c r="N6904" t="s">
        <v>42669</v>
      </c>
      <c r="O6904" t="s">
        <v>42670</v>
      </c>
      <c r="P6904">
        <v>0</v>
      </c>
      <c r="Q6904">
        <v>1</v>
      </c>
      <c r="R6904" t="s">
        <v>42677</v>
      </c>
      <c r="S6904" t="s">
        <v>42830</v>
      </c>
      <c r="T6904" t="s">
        <v>44643</v>
      </c>
      <c r="U6904" t="s">
        <v>50475</v>
      </c>
      <c r="V6904" t="s">
        <v>56460</v>
      </c>
      <c r="W6904" t="s">
        <v>40506</v>
      </c>
      <c r="X6904" t="s">
        <v>42678</v>
      </c>
    </row>
    <row r="6905" spans="1:24">
      <c r="A6905">
        <f>HYPERLINK("https://www.philgeps.gov.ph/GEPSNONPILOT/Tender/SplashBidNoticeAbstractUI.aspx?menuIndex=3&amp;refID=7186804&amp;Result=3","7186804")</f>
        <v>0</v>
      </c>
      <c r="B6905" t="s">
        <v>1760</v>
      </c>
      <c r="C6905" t="s">
        <v>10134</v>
      </c>
      <c r="D6905" t="s">
        <v>17195</v>
      </c>
      <c r="E6905" t="s">
        <v>23217</v>
      </c>
      <c r="F6905" t="s">
        <v>29372</v>
      </c>
      <c r="G6905" t="s">
        <v>29380</v>
      </c>
      <c r="H6905" t="s">
        <v>11048</v>
      </c>
      <c r="I6905" t="s">
        <v>6417</v>
      </c>
      <c r="J6905" t="s">
        <v>29526</v>
      </c>
      <c r="K6905" t="s">
        <v>38489</v>
      </c>
      <c r="M6905" t="s">
        <v>40627</v>
      </c>
      <c r="N6905" t="s">
        <v>42669</v>
      </c>
      <c r="O6905" t="s">
        <v>42670</v>
      </c>
      <c r="P6905">
        <v>0</v>
      </c>
      <c r="Q6905">
        <v>1</v>
      </c>
      <c r="R6905" t="s">
        <v>42677</v>
      </c>
      <c r="S6905" t="s">
        <v>42830</v>
      </c>
      <c r="T6905" t="s">
        <v>44401</v>
      </c>
      <c r="U6905" t="s">
        <v>50476</v>
      </c>
      <c r="W6905" t="s">
        <v>40627</v>
      </c>
      <c r="X6905" t="s">
        <v>42678</v>
      </c>
    </row>
    <row r="6906" spans="1:24">
      <c r="A6906">
        <f>HYPERLINK("https://www.philgeps.gov.ph/GEPSNONPILOT/Tender/SplashBidNoticeAbstractUI.aspx?menuIndex=3&amp;refID=7186777&amp;Result=3","7186777")</f>
        <v>0</v>
      </c>
      <c r="B6906" t="s">
        <v>1132</v>
      </c>
      <c r="C6906" t="s">
        <v>9225</v>
      </c>
      <c r="D6906" t="s">
        <v>17204</v>
      </c>
      <c r="E6906" t="s">
        <v>23218</v>
      </c>
      <c r="F6906" t="s">
        <v>29372</v>
      </c>
      <c r="G6906" t="s">
        <v>29380</v>
      </c>
      <c r="H6906" t="s">
        <v>11048</v>
      </c>
      <c r="I6906" t="s">
        <v>3695</v>
      </c>
      <c r="J6906" t="s">
        <v>33982</v>
      </c>
      <c r="K6906" t="s">
        <v>38488</v>
      </c>
      <c r="M6906" t="s">
        <v>39944</v>
      </c>
      <c r="N6906" t="s">
        <v>42669</v>
      </c>
      <c r="O6906" t="s">
        <v>42670</v>
      </c>
      <c r="P6906">
        <v>0</v>
      </c>
      <c r="Q6906">
        <v>11</v>
      </c>
      <c r="R6906" t="s">
        <v>42677</v>
      </c>
      <c r="S6906" t="s">
        <v>42830</v>
      </c>
      <c r="T6906" t="s">
        <v>44592</v>
      </c>
      <c r="U6906" t="s">
        <v>50477</v>
      </c>
      <c r="W6906" t="s">
        <v>39944</v>
      </c>
      <c r="X6906" t="s">
        <v>42678</v>
      </c>
    </row>
    <row r="6907" spans="1:24">
      <c r="A6907">
        <f>HYPERLINK("https://www.philgeps.gov.ph/GEPSNONPILOT/Tender/SplashBidNoticeAbstractUI.aspx?menuIndex=3&amp;refID=7186803&amp;Result=3","7186803")</f>
        <v>0</v>
      </c>
      <c r="B6907" t="s">
        <v>34</v>
      </c>
      <c r="C6907" t="s">
        <v>10135</v>
      </c>
      <c r="D6907" t="s">
        <v>17148</v>
      </c>
      <c r="E6907" t="s">
        <v>23219</v>
      </c>
      <c r="F6907" t="s">
        <v>29372</v>
      </c>
      <c r="G6907" t="s">
        <v>29380</v>
      </c>
      <c r="H6907" t="s">
        <v>11048</v>
      </c>
      <c r="I6907" t="s">
        <v>29428</v>
      </c>
      <c r="J6907" t="s">
        <v>33983</v>
      </c>
      <c r="K6907" t="s">
        <v>38485</v>
      </c>
      <c r="M6907" t="s">
        <v>38787</v>
      </c>
      <c r="N6907" t="s">
        <v>42669</v>
      </c>
      <c r="O6907" t="s">
        <v>42670</v>
      </c>
      <c r="P6907">
        <v>0</v>
      </c>
      <c r="Q6907">
        <v>4</v>
      </c>
      <c r="R6907" t="s">
        <v>42677</v>
      </c>
      <c r="S6907" t="s">
        <v>42830</v>
      </c>
      <c r="T6907" t="s">
        <v>44497</v>
      </c>
      <c r="U6907" t="s">
        <v>50478</v>
      </c>
      <c r="V6907" t="s">
        <v>57108</v>
      </c>
      <c r="W6907" t="s">
        <v>38787</v>
      </c>
      <c r="X6907" t="s">
        <v>42678</v>
      </c>
    </row>
    <row r="6908" spans="1:24">
      <c r="A6908">
        <f>HYPERLINK("https://www.philgeps.gov.ph/GEPSNONPILOT/Tender/SplashBidNoticeAbstractUI.aspx?menuIndex=3&amp;refID=7186801&amp;Result=3","7186801")</f>
        <v>0</v>
      </c>
      <c r="B6908" t="s">
        <v>2280</v>
      </c>
      <c r="C6908" t="s">
        <v>10136</v>
      </c>
      <c r="D6908" t="s">
        <v>17177</v>
      </c>
      <c r="E6908" t="s">
        <v>23220</v>
      </c>
      <c r="F6908" t="s">
        <v>29372</v>
      </c>
      <c r="G6908" t="s">
        <v>29380</v>
      </c>
      <c r="H6908" t="s">
        <v>29389</v>
      </c>
      <c r="I6908" t="s">
        <v>10408</v>
      </c>
      <c r="J6908" t="s">
        <v>33984</v>
      </c>
      <c r="K6908" t="s">
        <v>38488</v>
      </c>
      <c r="M6908" t="s">
        <v>41205</v>
      </c>
      <c r="N6908" t="s">
        <v>42669</v>
      </c>
      <c r="O6908" t="s">
        <v>42670</v>
      </c>
      <c r="P6908">
        <v>0</v>
      </c>
      <c r="Q6908">
        <v>0</v>
      </c>
      <c r="R6908" t="s">
        <v>42677</v>
      </c>
      <c r="S6908" t="s">
        <v>42830</v>
      </c>
      <c r="T6908" t="s">
        <v>44527</v>
      </c>
      <c r="U6908" t="s">
        <v>50479</v>
      </c>
      <c r="W6908" t="s">
        <v>41205</v>
      </c>
      <c r="X6908" t="s">
        <v>42678</v>
      </c>
    </row>
    <row r="6909" spans="1:24">
      <c r="A6909">
        <f>HYPERLINK("https://www.philgeps.gov.ph/GEPSNONPILOT/Tender/SplashBidNoticeAbstractUI.aspx?menuIndex=3&amp;refID=7186797&amp;Result=3","7186797")</f>
        <v>0</v>
      </c>
      <c r="B6909" t="s">
        <v>844</v>
      </c>
      <c r="C6909" t="s">
        <v>10137</v>
      </c>
      <c r="D6909" t="s">
        <v>17209</v>
      </c>
      <c r="E6909" t="s">
        <v>23221</v>
      </c>
      <c r="F6909" t="s">
        <v>29372</v>
      </c>
      <c r="G6909" t="s">
        <v>29379</v>
      </c>
      <c r="H6909" t="s">
        <v>29389</v>
      </c>
      <c r="I6909" t="s">
        <v>10408</v>
      </c>
      <c r="J6909" t="s">
        <v>33985</v>
      </c>
      <c r="K6909" t="s">
        <v>38485</v>
      </c>
      <c r="M6909" t="s">
        <v>39634</v>
      </c>
      <c r="N6909" t="s">
        <v>42669</v>
      </c>
      <c r="O6909" t="s">
        <v>42670</v>
      </c>
      <c r="P6909">
        <v>0</v>
      </c>
      <c r="Q6909">
        <v>0</v>
      </c>
      <c r="R6909" t="s">
        <v>42677</v>
      </c>
      <c r="S6909" t="s">
        <v>42830</v>
      </c>
      <c r="T6909" t="s">
        <v>44427</v>
      </c>
      <c r="U6909" t="s">
        <v>46577</v>
      </c>
      <c r="W6909" t="s">
        <v>39634</v>
      </c>
      <c r="X6909" t="s">
        <v>42678</v>
      </c>
    </row>
    <row r="6910" spans="1:24">
      <c r="A6910">
        <f>HYPERLINK("https://www.philgeps.gov.ph/GEPSNONPILOT/Tender/SplashBidNoticeAbstractUI.aspx?menuIndex=3&amp;refID=7186808&amp;Result=3","7186808")</f>
        <v>0</v>
      </c>
      <c r="B6910" t="s">
        <v>2272</v>
      </c>
      <c r="C6910" t="s">
        <v>10138</v>
      </c>
      <c r="D6910" t="s">
        <v>17171</v>
      </c>
      <c r="E6910" t="s">
        <v>19663</v>
      </c>
      <c r="F6910" t="s">
        <v>29372</v>
      </c>
      <c r="G6910" t="s">
        <v>29379</v>
      </c>
      <c r="H6910" t="s">
        <v>11048</v>
      </c>
      <c r="I6910" t="s">
        <v>29469</v>
      </c>
      <c r="J6910" t="s">
        <v>33954</v>
      </c>
      <c r="K6910" t="s">
        <v>38534</v>
      </c>
      <c r="M6910" t="s">
        <v>41194</v>
      </c>
      <c r="N6910" t="s">
        <v>42669</v>
      </c>
      <c r="O6910" t="s">
        <v>42670</v>
      </c>
      <c r="P6910">
        <v>0</v>
      </c>
      <c r="Q6910">
        <v>1</v>
      </c>
      <c r="R6910" t="s">
        <v>42677</v>
      </c>
      <c r="S6910" t="s">
        <v>42830</v>
      </c>
      <c r="T6910" t="s">
        <v>44438</v>
      </c>
      <c r="U6910" t="s">
        <v>50444</v>
      </c>
      <c r="W6910" t="s">
        <v>41194</v>
      </c>
      <c r="X6910" t="s">
        <v>42678</v>
      </c>
    </row>
    <row r="6911" spans="1:24">
      <c r="A6911">
        <f>HYPERLINK("https://www.philgeps.gov.ph/GEPSNONPILOT/Tender/SplashBidNoticeAbstractUI.aspx?menuIndex=3&amp;refID=7186795&amp;Result=3","7186795")</f>
        <v>0</v>
      </c>
      <c r="B6911" t="s">
        <v>1760</v>
      </c>
      <c r="C6911" t="s">
        <v>10139</v>
      </c>
      <c r="D6911" t="s">
        <v>17195</v>
      </c>
      <c r="E6911" t="s">
        <v>23222</v>
      </c>
      <c r="F6911" t="s">
        <v>29372</v>
      </c>
      <c r="G6911" t="s">
        <v>29380</v>
      </c>
      <c r="H6911" t="s">
        <v>11048</v>
      </c>
      <c r="I6911" t="s">
        <v>29405</v>
      </c>
      <c r="J6911" t="s">
        <v>33986</v>
      </c>
      <c r="K6911" t="s">
        <v>38489</v>
      </c>
      <c r="M6911" t="s">
        <v>40627</v>
      </c>
      <c r="N6911" t="s">
        <v>42669</v>
      </c>
      <c r="O6911" t="s">
        <v>42670</v>
      </c>
      <c r="P6911">
        <v>0</v>
      </c>
      <c r="Q6911">
        <v>2</v>
      </c>
      <c r="R6911" t="s">
        <v>42677</v>
      </c>
      <c r="S6911" t="s">
        <v>42830</v>
      </c>
      <c r="T6911" t="s">
        <v>44401</v>
      </c>
      <c r="U6911" t="s">
        <v>50480</v>
      </c>
      <c r="W6911" t="s">
        <v>40627</v>
      </c>
      <c r="X6911" t="s">
        <v>42678</v>
      </c>
    </row>
    <row r="6912" spans="1:24">
      <c r="A6912">
        <f>HYPERLINK("https://www.philgeps.gov.ph/GEPSNONPILOT/Tender/SplashBidNoticeAbstractUI.aspx?menuIndex=3&amp;refID=7186816&amp;Result=3","7186816")</f>
        <v>0</v>
      </c>
      <c r="B6912" t="s">
        <v>1859</v>
      </c>
      <c r="C6912" t="s">
        <v>10140</v>
      </c>
      <c r="D6912" t="s">
        <v>17205</v>
      </c>
      <c r="E6912" t="s">
        <v>18519</v>
      </c>
      <c r="F6912" t="s">
        <v>29372</v>
      </c>
      <c r="G6912" t="s">
        <v>29380</v>
      </c>
      <c r="H6912" t="s">
        <v>11048</v>
      </c>
      <c r="I6912" t="s">
        <v>4709</v>
      </c>
      <c r="J6912" t="s">
        <v>33987</v>
      </c>
      <c r="K6912" t="s">
        <v>38488</v>
      </c>
      <c r="M6912" t="s">
        <v>40732</v>
      </c>
      <c r="N6912" t="s">
        <v>42669</v>
      </c>
      <c r="O6912" t="s">
        <v>42670</v>
      </c>
      <c r="P6912">
        <v>0</v>
      </c>
      <c r="Q6912">
        <v>0</v>
      </c>
      <c r="R6912" t="s">
        <v>42677</v>
      </c>
      <c r="S6912" t="s">
        <v>42830</v>
      </c>
      <c r="T6912" t="s">
        <v>44530</v>
      </c>
      <c r="U6912" t="s">
        <v>50481</v>
      </c>
      <c r="W6912" t="s">
        <v>40732</v>
      </c>
      <c r="X6912" t="s">
        <v>42678</v>
      </c>
    </row>
    <row r="6913" spans="1:24">
      <c r="A6913">
        <f>HYPERLINK("https://www.philgeps.gov.ph/GEPSNONPILOT/Tender/SplashBidNoticeAbstractUI.aspx?menuIndex=3&amp;refID=7186798&amp;Result=3","7186798")</f>
        <v>0</v>
      </c>
      <c r="B6913" t="s">
        <v>2281</v>
      </c>
      <c r="C6913" t="s">
        <v>10141</v>
      </c>
      <c r="D6913" t="s">
        <v>17141</v>
      </c>
      <c r="E6913" t="s">
        <v>23223</v>
      </c>
      <c r="F6913" t="s">
        <v>29372</v>
      </c>
      <c r="G6913" t="s">
        <v>29380</v>
      </c>
      <c r="H6913" t="s">
        <v>11048</v>
      </c>
      <c r="I6913" t="s">
        <v>29412</v>
      </c>
      <c r="J6913" t="s">
        <v>33988</v>
      </c>
      <c r="K6913" t="s">
        <v>38489</v>
      </c>
      <c r="M6913" t="s">
        <v>41206</v>
      </c>
      <c r="N6913" t="s">
        <v>42669</v>
      </c>
      <c r="O6913" t="s">
        <v>42670</v>
      </c>
      <c r="P6913">
        <v>0</v>
      </c>
      <c r="Q6913">
        <v>8</v>
      </c>
      <c r="R6913" t="s">
        <v>42677</v>
      </c>
      <c r="S6913" t="s">
        <v>42830</v>
      </c>
      <c r="T6913" t="s">
        <v>44401</v>
      </c>
      <c r="U6913" t="s">
        <v>50482</v>
      </c>
      <c r="V6913" t="s">
        <v>57118</v>
      </c>
      <c r="W6913" t="s">
        <v>41206</v>
      </c>
      <c r="X6913" t="s">
        <v>42678</v>
      </c>
    </row>
    <row r="6914" spans="1:24">
      <c r="A6914">
        <f>HYPERLINK("https://www.philgeps.gov.ph/GEPSNONPILOT/Tender/SplashBidNoticeAbstractUI.aspx?menuIndex=3&amp;refID=7186708&amp;Result=3","7186708")</f>
        <v>0</v>
      </c>
      <c r="B6914" t="s">
        <v>2282</v>
      </c>
      <c r="C6914" t="s">
        <v>10142</v>
      </c>
      <c r="D6914" t="s">
        <v>17228</v>
      </c>
      <c r="E6914" t="s">
        <v>23224</v>
      </c>
      <c r="F6914" t="s">
        <v>29372</v>
      </c>
      <c r="G6914" t="s">
        <v>29380</v>
      </c>
      <c r="H6914" t="s">
        <v>11048</v>
      </c>
      <c r="I6914" t="s">
        <v>29409</v>
      </c>
      <c r="J6914" t="s">
        <v>33989</v>
      </c>
      <c r="K6914" t="s">
        <v>38488</v>
      </c>
      <c r="M6914" t="s">
        <v>41207</v>
      </c>
      <c r="N6914" t="s">
        <v>42669</v>
      </c>
      <c r="O6914" t="s">
        <v>42670</v>
      </c>
      <c r="P6914">
        <v>0</v>
      </c>
      <c r="Q6914">
        <v>7</v>
      </c>
      <c r="R6914" t="s">
        <v>42677</v>
      </c>
      <c r="S6914" t="s">
        <v>42830</v>
      </c>
      <c r="T6914" t="s">
        <v>44446</v>
      </c>
      <c r="U6914" t="s">
        <v>50483</v>
      </c>
      <c r="W6914" t="s">
        <v>41207</v>
      </c>
      <c r="X6914" t="s">
        <v>42678</v>
      </c>
    </row>
    <row r="6915" spans="1:24">
      <c r="A6915">
        <f>HYPERLINK("https://www.philgeps.gov.ph/GEPSNONPILOT/Tender/SplashBidNoticeAbstractUI.aspx?menuIndex=3&amp;refID=7186789&amp;Result=3","7186789")</f>
        <v>0</v>
      </c>
      <c r="B6915" t="s">
        <v>2283</v>
      </c>
      <c r="C6915" t="s">
        <v>10143</v>
      </c>
      <c r="D6915" t="s">
        <v>17166</v>
      </c>
      <c r="E6915" t="s">
        <v>23225</v>
      </c>
      <c r="F6915" t="s">
        <v>29372</v>
      </c>
      <c r="G6915" t="s">
        <v>29380</v>
      </c>
      <c r="H6915" t="s">
        <v>29390</v>
      </c>
      <c r="I6915" t="s">
        <v>29434</v>
      </c>
      <c r="J6915" t="s">
        <v>33990</v>
      </c>
      <c r="K6915" t="s">
        <v>38503</v>
      </c>
      <c r="M6915" t="s">
        <v>41208</v>
      </c>
      <c r="N6915" t="s">
        <v>42669</v>
      </c>
      <c r="O6915" t="s">
        <v>42670</v>
      </c>
      <c r="P6915">
        <v>0</v>
      </c>
      <c r="Q6915">
        <v>3</v>
      </c>
      <c r="R6915" t="s">
        <v>42677</v>
      </c>
      <c r="S6915" t="s">
        <v>42830</v>
      </c>
      <c r="T6915" t="s">
        <v>44429</v>
      </c>
      <c r="U6915" t="s">
        <v>50484</v>
      </c>
      <c r="W6915" t="s">
        <v>41208</v>
      </c>
      <c r="X6915" t="s">
        <v>42678</v>
      </c>
    </row>
    <row r="6916" spans="1:24">
      <c r="A6916">
        <f>HYPERLINK("https://www.philgeps.gov.ph/GEPSNONPILOT/Tender/SplashBidNoticeAbstractUI.aspx?menuIndex=3&amp;refID=7186794&amp;Result=3","7186794")</f>
        <v>0</v>
      </c>
      <c r="B6916" t="s">
        <v>2226</v>
      </c>
      <c r="C6916" t="s">
        <v>10144</v>
      </c>
      <c r="D6916" t="s">
        <v>17162</v>
      </c>
      <c r="E6916" t="s">
        <v>23226</v>
      </c>
      <c r="F6916" t="s">
        <v>29372</v>
      </c>
      <c r="G6916" t="s">
        <v>29380</v>
      </c>
      <c r="H6916" t="s">
        <v>29389</v>
      </c>
      <c r="I6916" t="s">
        <v>10408</v>
      </c>
      <c r="J6916" t="s">
        <v>33971</v>
      </c>
      <c r="K6916" t="s">
        <v>38657</v>
      </c>
      <c r="M6916" t="s">
        <v>41144</v>
      </c>
      <c r="N6916" t="s">
        <v>42669</v>
      </c>
      <c r="O6916" t="s">
        <v>42670</v>
      </c>
      <c r="P6916">
        <v>0</v>
      </c>
      <c r="Q6916">
        <v>1</v>
      </c>
      <c r="R6916" t="s">
        <v>42677</v>
      </c>
      <c r="S6916" t="s">
        <v>42830</v>
      </c>
      <c r="T6916" t="s">
        <v>44368</v>
      </c>
      <c r="U6916" t="s">
        <v>50468</v>
      </c>
      <c r="W6916" t="s">
        <v>41144</v>
      </c>
      <c r="X6916" t="s">
        <v>42678</v>
      </c>
    </row>
    <row r="6917" spans="1:24">
      <c r="A6917">
        <f>HYPERLINK("https://www.philgeps.gov.ph/GEPSNONPILOT/Tender/SplashBidNoticeAbstractUI.aspx?menuIndex=3&amp;refID=7186755&amp;Result=3","7186755")</f>
        <v>0</v>
      </c>
      <c r="B6917" t="s">
        <v>2275</v>
      </c>
      <c r="C6917" t="s">
        <v>10145</v>
      </c>
      <c r="D6917" t="s">
        <v>17185</v>
      </c>
      <c r="E6917" t="s">
        <v>23227</v>
      </c>
      <c r="F6917" t="s">
        <v>29372</v>
      </c>
      <c r="G6917" t="s">
        <v>29383</v>
      </c>
      <c r="H6917" t="s">
        <v>11048</v>
      </c>
      <c r="I6917" t="s">
        <v>29468</v>
      </c>
      <c r="J6917" t="s">
        <v>33991</v>
      </c>
      <c r="K6917" t="s">
        <v>38485</v>
      </c>
      <c r="M6917" t="s">
        <v>41198</v>
      </c>
      <c r="N6917" t="s">
        <v>42669</v>
      </c>
      <c r="O6917" t="s">
        <v>42670</v>
      </c>
      <c r="P6917">
        <v>0</v>
      </c>
      <c r="Q6917">
        <v>1</v>
      </c>
      <c r="R6917" t="s">
        <v>42677</v>
      </c>
      <c r="S6917" t="s">
        <v>42830</v>
      </c>
      <c r="T6917" t="s">
        <v>44512</v>
      </c>
      <c r="U6917" t="s">
        <v>50485</v>
      </c>
      <c r="V6917" t="s">
        <v>57119</v>
      </c>
      <c r="W6917" t="s">
        <v>41198</v>
      </c>
      <c r="X6917" t="s">
        <v>42678</v>
      </c>
    </row>
    <row r="6918" spans="1:24">
      <c r="A6918">
        <f>HYPERLINK("https://www.philgeps.gov.ph/GEPSNONPILOT/Tender/SplashBidNoticeAbstractUI.aspx?menuIndex=3&amp;refID=7186787&amp;Result=3","7186787")</f>
        <v>0</v>
      </c>
      <c r="B6918" t="s">
        <v>844</v>
      </c>
      <c r="C6918" t="s">
        <v>10146</v>
      </c>
      <c r="D6918" t="s">
        <v>17209</v>
      </c>
      <c r="E6918" t="s">
        <v>23228</v>
      </c>
      <c r="F6918" t="s">
        <v>29372</v>
      </c>
      <c r="G6918" t="s">
        <v>29379</v>
      </c>
      <c r="H6918" t="s">
        <v>29389</v>
      </c>
      <c r="I6918" t="s">
        <v>29452</v>
      </c>
      <c r="J6918" t="s">
        <v>33992</v>
      </c>
      <c r="K6918" t="s">
        <v>38485</v>
      </c>
      <c r="M6918" t="s">
        <v>39634</v>
      </c>
      <c r="N6918" t="s">
        <v>42669</v>
      </c>
      <c r="O6918" t="s">
        <v>42670</v>
      </c>
      <c r="P6918">
        <v>0</v>
      </c>
      <c r="Q6918">
        <v>0</v>
      </c>
      <c r="R6918" t="s">
        <v>42677</v>
      </c>
      <c r="S6918" t="s">
        <v>42830</v>
      </c>
      <c r="T6918" t="s">
        <v>44427</v>
      </c>
      <c r="U6918" t="s">
        <v>46577</v>
      </c>
      <c r="W6918" t="s">
        <v>39634</v>
      </c>
      <c r="X6918" t="s">
        <v>42678</v>
      </c>
    </row>
    <row r="6919" spans="1:24">
      <c r="A6919">
        <f>HYPERLINK("https://www.philgeps.gov.ph/GEPSNONPILOT/Tender/SplashBidNoticeAbstractUI.aspx?menuIndex=3&amp;refID=7186754&amp;Result=3","7186754")</f>
        <v>0</v>
      </c>
      <c r="B6919" t="s">
        <v>1304</v>
      </c>
      <c r="C6919" t="s">
        <v>10147</v>
      </c>
      <c r="E6919" t="s">
        <v>23229</v>
      </c>
      <c r="F6919" t="s">
        <v>29372</v>
      </c>
      <c r="G6919" t="s">
        <v>29381</v>
      </c>
      <c r="H6919" t="s">
        <v>11048</v>
      </c>
      <c r="I6919" t="s">
        <v>29409</v>
      </c>
      <c r="J6919" t="s">
        <v>33993</v>
      </c>
      <c r="K6919" t="s">
        <v>38490</v>
      </c>
      <c r="M6919" t="s">
        <v>40134</v>
      </c>
      <c r="N6919" t="s">
        <v>42669</v>
      </c>
      <c r="O6919" t="s">
        <v>42670</v>
      </c>
      <c r="P6919">
        <v>0</v>
      </c>
      <c r="Q6919">
        <v>1</v>
      </c>
      <c r="R6919" t="s">
        <v>42677</v>
      </c>
      <c r="S6919" t="s">
        <v>42830</v>
      </c>
      <c r="T6919" t="s">
        <v>44427</v>
      </c>
      <c r="U6919" t="s">
        <v>48628</v>
      </c>
      <c r="W6919" t="s">
        <v>40134</v>
      </c>
      <c r="X6919" t="s">
        <v>42678</v>
      </c>
    </row>
    <row r="6920" spans="1:24">
      <c r="A6920">
        <f>HYPERLINK("https://www.philgeps.gov.ph/GEPSNONPILOT/Tender/SplashBidNoticeAbstractUI.aspx?menuIndex=3&amp;refID=7186736&amp;Result=3","7186736")</f>
        <v>0</v>
      </c>
      <c r="B6920" t="s">
        <v>786</v>
      </c>
      <c r="C6920" t="s">
        <v>10148</v>
      </c>
      <c r="D6920" t="s">
        <v>17173</v>
      </c>
      <c r="E6920" t="s">
        <v>23230</v>
      </c>
      <c r="F6920" t="s">
        <v>29372</v>
      </c>
      <c r="G6920" t="s">
        <v>29384</v>
      </c>
      <c r="H6920" t="s">
        <v>11048</v>
      </c>
      <c r="I6920" t="s">
        <v>3860</v>
      </c>
      <c r="J6920" t="s">
        <v>33994</v>
      </c>
      <c r="K6920" t="s">
        <v>38485</v>
      </c>
      <c r="M6920" t="s">
        <v>39570</v>
      </c>
      <c r="N6920" t="s">
        <v>42669</v>
      </c>
      <c r="O6920" t="s">
        <v>42670</v>
      </c>
      <c r="P6920">
        <v>0</v>
      </c>
      <c r="Q6920">
        <v>0</v>
      </c>
      <c r="R6920" t="s">
        <v>42677</v>
      </c>
      <c r="S6920" t="s">
        <v>42830</v>
      </c>
      <c r="T6920" t="s">
        <v>44583</v>
      </c>
      <c r="U6920" t="s">
        <v>50486</v>
      </c>
      <c r="V6920" t="s">
        <v>56556</v>
      </c>
      <c r="W6920" t="s">
        <v>39570</v>
      </c>
      <c r="X6920" t="s">
        <v>42678</v>
      </c>
    </row>
    <row r="6921" spans="1:24">
      <c r="A6921">
        <f>HYPERLINK("https://www.philgeps.gov.ph/GEPSNONPILOT/Tender/SplashBidNoticeAbstractUI.aspx?menuIndex=3&amp;refID=7186753&amp;Result=3","7186753")</f>
        <v>0</v>
      </c>
      <c r="B6921" t="s">
        <v>786</v>
      </c>
      <c r="C6921" t="s">
        <v>10149</v>
      </c>
      <c r="D6921" t="s">
        <v>17173</v>
      </c>
      <c r="E6921" t="s">
        <v>23231</v>
      </c>
      <c r="F6921" t="s">
        <v>29372</v>
      </c>
      <c r="G6921" t="s">
        <v>29380</v>
      </c>
      <c r="H6921" t="s">
        <v>11048</v>
      </c>
      <c r="I6921" t="s">
        <v>3860</v>
      </c>
      <c r="J6921" t="s">
        <v>33995</v>
      </c>
      <c r="K6921" t="s">
        <v>38485</v>
      </c>
      <c r="M6921" t="s">
        <v>39570</v>
      </c>
      <c r="N6921" t="s">
        <v>42669</v>
      </c>
      <c r="O6921" t="s">
        <v>42670</v>
      </c>
      <c r="P6921">
        <v>0</v>
      </c>
      <c r="Q6921">
        <v>0</v>
      </c>
      <c r="R6921" t="s">
        <v>42677</v>
      </c>
      <c r="S6921" t="s">
        <v>42830</v>
      </c>
      <c r="T6921" t="s">
        <v>44576</v>
      </c>
      <c r="U6921" t="s">
        <v>50487</v>
      </c>
      <c r="V6921" t="s">
        <v>56556</v>
      </c>
      <c r="W6921" t="s">
        <v>39570</v>
      </c>
      <c r="X6921" t="s">
        <v>42678</v>
      </c>
    </row>
    <row r="6922" spans="1:24">
      <c r="A6922">
        <f>HYPERLINK("https://www.philgeps.gov.ph/GEPSNONPILOT/Tender/SplashBidNoticeAbstractUI.aspx?menuIndex=3&amp;refID=7186750&amp;Result=3","7186750")</f>
        <v>0</v>
      </c>
      <c r="B6922" t="s">
        <v>367</v>
      </c>
      <c r="C6922" t="s">
        <v>10150</v>
      </c>
      <c r="D6922" t="s">
        <v>17141</v>
      </c>
      <c r="E6922" t="s">
        <v>23232</v>
      </c>
      <c r="F6922" t="s">
        <v>29372</v>
      </c>
      <c r="G6922" t="s">
        <v>29384</v>
      </c>
      <c r="H6922" t="s">
        <v>29390</v>
      </c>
      <c r="I6922" t="s">
        <v>29433</v>
      </c>
      <c r="J6922" t="s">
        <v>33996</v>
      </c>
      <c r="K6922" t="s">
        <v>38496</v>
      </c>
      <c r="M6922" t="s">
        <v>41197</v>
      </c>
      <c r="N6922" t="s">
        <v>42669</v>
      </c>
      <c r="O6922" t="s">
        <v>42670</v>
      </c>
      <c r="P6922">
        <v>0</v>
      </c>
      <c r="Q6922">
        <v>22</v>
      </c>
      <c r="R6922" t="s">
        <v>42677</v>
      </c>
      <c r="S6922" t="s">
        <v>42830</v>
      </c>
      <c r="T6922" t="s">
        <v>44517</v>
      </c>
      <c r="U6922" t="s">
        <v>50488</v>
      </c>
      <c r="V6922" t="s">
        <v>56467</v>
      </c>
      <c r="W6922" t="s">
        <v>58014</v>
      </c>
      <c r="X6922" t="s">
        <v>42678</v>
      </c>
    </row>
    <row r="6923" spans="1:24">
      <c r="A6923">
        <f>HYPERLINK("https://www.philgeps.gov.ph/GEPSNONPILOT/Tender/SplashBidNoticeAbstractUI.aspx?menuIndex=3&amp;refID=7186792&amp;Result=3","7186792")</f>
        <v>0</v>
      </c>
      <c r="B6923" t="s">
        <v>933</v>
      </c>
      <c r="C6923" t="s">
        <v>10151</v>
      </c>
      <c r="D6923" t="s">
        <v>17170</v>
      </c>
      <c r="E6923" t="s">
        <v>23233</v>
      </c>
      <c r="F6923" t="s">
        <v>29372</v>
      </c>
      <c r="G6923" t="s">
        <v>29380</v>
      </c>
      <c r="H6923" t="s">
        <v>11048</v>
      </c>
      <c r="I6923" t="s">
        <v>4709</v>
      </c>
      <c r="J6923" t="s">
        <v>33997</v>
      </c>
      <c r="K6923" t="s">
        <v>38490</v>
      </c>
      <c r="M6923" t="s">
        <v>41092</v>
      </c>
      <c r="N6923" t="s">
        <v>42669</v>
      </c>
      <c r="O6923" t="s">
        <v>42670</v>
      </c>
      <c r="P6923">
        <v>0</v>
      </c>
      <c r="Q6923">
        <v>3</v>
      </c>
      <c r="R6923" t="s">
        <v>42677</v>
      </c>
      <c r="S6923" t="s">
        <v>42830</v>
      </c>
      <c r="T6923" t="s">
        <v>44446</v>
      </c>
      <c r="U6923" t="s">
        <v>50489</v>
      </c>
      <c r="V6923" t="s">
        <v>57074</v>
      </c>
      <c r="W6923" t="s">
        <v>41092</v>
      </c>
      <c r="X6923" t="s">
        <v>42678</v>
      </c>
    </row>
    <row r="6924" spans="1:24">
      <c r="A6924">
        <f>HYPERLINK("https://www.philgeps.gov.ph/GEPSNONPILOT/Tender/SplashBidNoticeAbstractUI.aspx?menuIndex=3&amp;refID=7186820&amp;Result=3","7186820")</f>
        <v>0</v>
      </c>
      <c r="B6924" t="s">
        <v>2284</v>
      </c>
      <c r="C6924" t="s">
        <v>10152</v>
      </c>
      <c r="D6924" t="s">
        <v>17166</v>
      </c>
      <c r="E6924" t="s">
        <v>23234</v>
      </c>
      <c r="F6924" t="s">
        <v>29372</v>
      </c>
      <c r="G6924" t="s">
        <v>29380</v>
      </c>
      <c r="H6924" t="s">
        <v>11048</v>
      </c>
      <c r="I6924" t="s">
        <v>29409</v>
      </c>
      <c r="J6924" t="s">
        <v>29801</v>
      </c>
      <c r="K6924" t="s">
        <v>38517</v>
      </c>
      <c r="M6924" t="s">
        <v>41209</v>
      </c>
      <c r="N6924" t="s">
        <v>42669</v>
      </c>
      <c r="O6924" t="s">
        <v>42670</v>
      </c>
      <c r="P6924">
        <v>0</v>
      </c>
      <c r="Q6924">
        <v>5</v>
      </c>
      <c r="R6924" t="s">
        <v>42677</v>
      </c>
      <c r="S6924" t="s">
        <v>42830</v>
      </c>
      <c r="T6924" t="s">
        <v>44740</v>
      </c>
      <c r="U6924" t="s">
        <v>50490</v>
      </c>
      <c r="V6924" t="s">
        <v>57120</v>
      </c>
      <c r="W6924" t="s">
        <v>41209</v>
      </c>
      <c r="X6924" t="s">
        <v>42678</v>
      </c>
    </row>
    <row r="6925" spans="1:24">
      <c r="A6925">
        <f>HYPERLINK("https://www.philgeps.gov.ph/GEPSNONPILOT/Tender/SplashBidNoticeAbstractUI.aspx?menuIndex=3&amp;refID=7186785&amp;Result=3","7186785")</f>
        <v>0</v>
      </c>
      <c r="B6925" t="s">
        <v>70</v>
      </c>
      <c r="C6925" t="s">
        <v>10153</v>
      </c>
      <c r="D6925" t="s">
        <v>17143</v>
      </c>
      <c r="E6925" t="s">
        <v>23235</v>
      </c>
      <c r="F6925" t="s">
        <v>29372</v>
      </c>
      <c r="G6925" t="s">
        <v>29380</v>
      </c>
      <c r="H6925" t="s">
        <v>29389</v>
      </c>
      <c r="I6925" t="s">
        <v>10408</v>
      </c>
      <c r="J6925" t="s">
        <v>33998</v>
      </c>
      <c r="K6925" t="s">
        <v>38496</v>
      </c>
      <c r="M6925" t="s">
        <v>38824</v>
      </c>
      <c r="N6925" t="s">
        <v>42669</v>
      </c>
      <c r="O6925" t="s">
        <v>42670</v>
      </c>
      <c r="P6925">
        <v>0</v>
      </c>
      <c r="Q6925">
        <v>0</v>
      </c>
      <c r="R6925" t="s">
        <v>42677</v>
      </c>
      <c r="S6925" t="s">
        <v>42830</v>
      </c>
      <c r="T6925" t="s">
        <v>44368</v>
      </c>
      <c r="U6925" t="s">
        <v>50491</v>
      </c>
      <c r="V6925" t="s">
        <v>56597</v>
      </c>
      <c r="W6925" t="s">
        <v>38824</v>
      </c>
      <c r="X6925" t="s">
        <v>42678</v>
      </c>
    </row>
    <row r="6926" spans="1:24">
      <c r="A6926">
        <f>HYPERLINK("https://www.philgeps.gov.ph/GEPSNONPILOT/Tender/SplashBidNoticeAbstractUI.aspx?menuIndex=3&amp;refID=7186835&amp;Result=3","7186835")</f>
        <v>0</v>
      </c>
      <c r="B6926" t="s">
        <v>365</v>
      </c>
      <c r="C6926" t="s">
        <v>10154</v>
      </c>
      <c r="D6926" t="s">
        <v>17143</v>
      </c>
      <c r="E6926" t="s">
        <v>23236</v>
      </c>
      <c r="F6926" t="s">
        <v>29372</v>
      </c>
      <c r="G6926" t="s">
        <v>29380</v>
      </c>
      <c r="H6926" t="s">
        <v>11048</v>
      </c>
      <c r="I6926" t="s">
        <v>29393</v>
      </c>
      <c r="J6926" t="s">
        <v>33999</v>
      </c>
      <c r="K6926" t="s">
        <v>38495</v>
      </c>
      <c r="M6926" t="s">
        <v>39125</v>
      </c>
      <c r="N6926" t="s">
        <v>42669</v>
      </c>
      <c r="O6926" t="s">
        <v>42670</v>
      </c>
      <c r="P6926">
        <v>0</v>
      </c>
      <c r="Q6926">
        <v>0</v>
      </c>
      <c r="R6926" t="s">
        <v>42677</v>
      </c>
      <c r="S6926" t="s">
        <v>42830</v>
      </c>
      <c r="T6926" t="s">
        <v>44427</v>
      </c>
      <c r="U6926" t="s">
        <v>50492</v>
      </c>
      <c r="W6926" t="s">
        <v>58010</v>
      </c>
      <c r="X6926" t="s">
        <v>42678</v>
      </c>
    </row>
    <row r="6927" spans="1:24">
      <c r="A6927">
        <f>HYPERLINK("https://www.philgeps.gov.ph/GEPSNONPILOT/Tender/SplashBidNoticeAbstractUI.aspx?menuIndex=3&amp;refID=7186793&amp;Result=3","7186793")</f>
        <v>0</v>
      </c>
      <c r="B6927" t="s">
        <v>844</v>
      </c>
      <c r="C6927" t="s">
        <v>10155</v>
      </c>
      <c r="D6927" t="s">
        <v>17209</v>
      </c>
      <c r="E6927" t="s">
        <v>23237</v>
      </c>
      <c r="F6927" t="s">
        <v>29372</v>
      </c>
      <c r="G6927" t="s">
        <v>29379</v>
      </c>
      <c r="H6927" t="s">
        <v>11048</v>
      </c>
      <c r="I6927" t="s">
        <v>29394</v>
      </c>
      <c r="J6927" t="s">
        <v>29625</v>
      </c>
      <c r="K6927" t="s">
        <v>38485</v>
      </c>
      <c r="M6927" t="s">
        <v>39634</v>
      </c>
      <c r="N6927" t="s">
        <v>42669</v>
      </c>
      <c r="O6927" t="s">
        <v>42670</v>
      </c>
      <c r="P6927">
        <v>0</v>
      </c>
      <c r="Q6927">
        <v>0</v>
      </c>
      <c r="R6927" t="s">
        <v>42677</v>
      </c>
      <c r="S6927" t="s">
        <v>42830</v>
      </c>
      <c r="T6927" t="s">
        <v>44427</v>
      </c>
      <c r="U6927" t="s">
        <v>46577</v>
      </c>
      <c r="W6927" t="s">
        <v>39634</v>
      </c>
      <c r="X6927" t="s">
        <v>42678</v>
      </c>
    </row>
    <row r="6928" spans="1:24">
      <c r="A6928">
        <f>HYPERLINK("https://www.philgeps.gov.ph/GEPSNONPILOT/Tender/SplashBidNoticeAbstractUI.aspx?menuIndex=3&amp;refID=7186749&amp;Result=3","7186749")</f>
        <v>0</v>
      </c>
      <c r="B6928" t="s">
        <v>1304</v>
      </c>
      <c r="C6928" t="s">
        <v>10156</v>
      </c>
      <c r="E6928" t="s">
        <v>23238</v>
      </c>
      <c r="F6928" t="s">
        <v>29372</v>
      </c>
      <c r="G6928" t="s">
        <v>29381</v>
      </c>
      <c r="H6928" t="s">
        <v>11048</v>
      </c>
      <c r="I6928" t="s">
        <v>29412</v>
      </c>
      <c r="J6928" t="s">
        <v>29795</v>
      </c>
      <c r="K6928" t="s">
        <v>38490</v>
      </c>
      <c r="M6928" t="s">
        <v>40134</v>
      </c>
      <c r="N6928" t="s">
        <v>42669</v>
      </c>
      <c r="O6928" t="s">
        <v>42670</v>
      </c>
      <c r="P6928">
        <v>0</v>
      </c>
      <c r="Q6928">
        <v>0</v>
      </c>
      <c r="R6928" t="s">
        <v>42677</v>
      </c>
      <c r="S6928" t="s">
        <v>42830</v>
      </c>
      <c r="T6928" t="s">
        <v>44427</v>
      </c>
      <c r="U6928" t="s">
        <v>47743</v>
      </c>
      <c r="W6928" t="s">
        <v>40134</v>
      </c>
      <c r="X6928" t="s">
        <v>42678</v>
      </c>
    </row>
    <row r="6929" spans="1:24">
      <c r="A6929">
        <f>HYPERLINK("https://www.philgeps.gov.ph/GEPSNONPILOT/Tender/SplashBidNoticeAbstractUI.aspx?menuIndex=3&amp;refID=7186843&amp;Result=3","7186843")</f>
        <v>0</v>
      </c>
      <c r="B6929" t="s">
        <v>1125</v>
      </c>
      <c r="C6929" t="s">
        <v>6414</v>
      </c>
      <c r="D6929" t="s">
        <v>17151</v>
      </c>
      <c r="E6929" t="s">
        <v>23239</v>
      </c>
      <c r="F6929" t="s">
        <v>29372</v>
      </c>
      <c r="G6929" t="s">
        <v>29383</v>
      </c>
      <c r="H6929" t="s">
        <v>11048</v>
      </c>
      <c r="I6929" t="s">
        <v>5383</v>
      </c>
      <c r="J6929" t="s">
        <v>34000</v>
      </c>
      <c r="K6929" t="s">
        <v>38491</v>
      </c>
      <c r="M6929" t="s">
        <v>40235</v>
      </c>
      <c r="N6929" t="s">
        <v>42669</v>
      </c>
      <c r="O6929" t="s">
        <v>42670</v>
      </c>
      <c r="P6929">
        <v>0</v>
      </c>
      <c r="Q6929">
        <v>1</v>
      </c>
      <c r="R6929" t="s">
        <v>42677</v>
      </c>
      <c r="S6929" t="s">
        <v>42830</v>
      </c>
      <c r="T6929" t="s">
        <v>44427</v>
      </c>
      <c r="U6929" t="s">
        <v>50493</v>
      </c>
      <c r="W6929" t="s">
        <v>40235</v>
      </c>
      <c r="X6929" t="s">
        <v>42678</v>
      </c>
    </row>
    <row r="6930" spans="1:24">
      <c r="A6930">
        <f>HYPERLINK("https://www.philgeps.gov.ph/GEPSNONPILOT/Tender/SplashBidNoticeAbstractUI.aspx?menuIndex=3&amp;refID=7186841&amp;Result=3","7186841")</f>
        <v>0</v>
      </c>
      <c r="B6930" t="s">
        <v>365</v>
      </c>
      <c r="C6930" t="s">
        <v>10157</v>
      </c>
      <c r="D6930" t="s">
        <v>17143</v>
      </c>
      <c r="E6930" t="s">
        <v>23240</v>
      </c>
      <c r="F6930" t="s">
        <v>29372</v>
      </c>
      <c r="G6930" t="s">
        <v>29380</v>
      </c>
      <c r="H6930" t="s">
        <v>11048</v>
      </c>
      <c r="I6930" t="s">
        <v>3629</v>
      </c>
      <c r="J6930" t="s">
        <v>34001</v>
      </c>
      <c r="K6930" t="s">
        <v>38488</v>
      </c>
      <c r="M6930" t="s">
        <v>39125</v>
      </c>
      <c r="N6930" t="s">
        <v>42669</v>
      </c>
      <c r="O6930" t="s">
        <v>42670</v>
      </c>
      <c r="P6930">
        <v>0</v>
      </c>
      <c r="Q6930">
        <v>0</v>
      </c>
      <c r="R6930" t="s">
        <v>42677</v>
      </c>
      <c r="S6930" t="s">
        <v>42830</v>
      </c>
      <c r="T6930" t="s">
        <v>44427</v>
      </c>
      <c r="U6930" t="s">
        <v>50494</v>
      </c>
      <c r="W6930" t="s">
        <v>58010</v>
      </c>
      <c r="X6930" t="s">
        <v>42678</v>
      </c>
    </row>
    <row r="6931" spans="1:24">
      <c r="A6931">
        <f>HYPERLINK("https://www.philgeps.gov.ph/GEPSNONPILOT/Tender/SplashBidNoticeAbstractUI.aspx?menuIndex=3&amp;refID=7186779&amp;Result=3","7186779")</f>
        <v>0</v>
      </c>
      <c r="B6931" t="s">
        <v>844</v>
      </c>
      <c r="C6931" t="s">
        <v>10158</v>
      </c>
      <c r="D6931" t="s">
        <v>17209</v>
      </c>
      <c r="E6931" t="s">
        <v>23241</v>
      </c>
      <c r="F6931" t="s">
        <v>29372</v>
      </c>
      <c r="G6931" t="s">
        <v>29379</v>
      </c>
      <c r="H6931" t="s">
        <v>11048</v>
      </c>
      <c r="I6931" t="s">
        <v>29394</v>
      </c>
      <c r="J6931" t="s">
        <v>34002</v>
      </c>
      <c r="K6931" t="s">
        <v>38485</v>
      </c>
      <c r="M6931" t="s">
        <v>39634</v>
      </c>
      <c r="N6931" t="s">
        <v>42669</v>
      </c>
      <c r="O6931" t="s">
        <v>42670</v>
      </c>
      <c r="P6931">
        <v>0</v>
      </c>
      <c r="Q6931">
        <v>1</v>
      </c>
      <c r="R6931" t="s">
        <v>42677</v>
      </c>
      <c r="S6931" t="s">
        <v>42830</v>
      </c>
      <c r="T6931" t="s">
        <v>44427</v>
      </c>
      <c r="U6931" t="s">
        <v>46577</v>
      </c>
      <c r="W6931" t="s">
        <v>39634</v>
      </c>
      <c r="X6931" t="s">
        <v>42678</v>
      </c>
    </row>
    <row r="6932" spans="1:24">
      <c r="A6932">
        <f>HYPERLINK("https://www.philgeps.gov.ph/GEPSNONPILOT/Tender/SplashBidNoticeAbstractUI.aspx?menuIndex=3&amp;refID=7186840&amp;Result=3","7186840")</f>
        <v>0</v>
      </c>
      <c r="B6932" t="s">
        <v>365</v>
      </c>
      <c r="C6932" t="s">
        <v>10159</v>
      </c>
      <c r="D6932" t="s">
        <v>17143</v>
      </c>
      <c r="E6932" t="s">
        <v>23242</v>
      </c>
      <c r="F6932" t="s">
        <v>29372</v>
      </c>
      <c r="G6932" t="s">
        <v>29380</v>
      </c>
      <c r="H6932" t="s">
        <v>11048</v>
      </c>
      <c r="I6932" t="s">
        <v>29436</v>
      </c>
      <c r="J6932" t="s">
        <v>29824</v>
      </c>
      <c r="K6932" t="s">
        <v>38488</v>
      </c>
      <c r="M6932" t="s">
        <v>39125</v>
      </c>
      <c r="N6932" t="s">
        <v>42669</v>
      </c>
      <c r="O6932" t="s">
        <v>42670</v>
      </c>
      <c r="P6932">
        <v>0</v>
      </c>
      <c r="Q6932">
        <v>0</v>
      </c>
      <c r="R6932" t="s">
        <v>42677</v>
      </c>
      <c r="S6932" t="s">
        <v>42830</v>
      </c>
      <c r="T6932" t="s">
        <v>44427</v>
      </c>
      <c r="U6932" t="s">
        <v>50495</v>
      </c>
      <c r="W6932" t="s">
        <v>58010</v>
      </c>
      <c r="X6932" t="s">
        <v>42678</v>
      </c>
    </row>
    <row r="6933" spans="1:24">
      <c r="A6933">
        <f>HYPERLINK("https://www.philgeps.gov.ph/GEPSNONPILOT/Tender/SplashBidNoticeAbstractUI.aspx?menuIndex=3&amp;refID=7186838&amp;Result=3","7186838")</f>
        <v>0</v>
      </c>
      <c r="B6933" t="s">
        <v>365</v>
      </c>
      <c r="C6933" t="s">
        <v>10160</v>
      </c>
      <c r="D6933" t="s">
        <v>17143</v>
      </c>
      <c r="E6933" t="s">
        <v>23243</v>
      </c>
      <c r="F6933" t="s">
        <v>29372</v>
      </c>
      <c r="G6933" t="s">
        <v>29380</v>
      </c>
      <c r="H6933" t="s">
        <v>11048</v>
      </c>
      <c r="I6933" t="s">
        <v>5383</v>
      </c>
      <c r="J6933" t="s">
        <v>34003</v>
      </c>
      <c r="K6933" t="s">
        <v>38488</v>
      </c>
      <c r="M6933" t="s">
        <v>39125</v>
      </c>
      <c r="N6933" t="s">
        <v>42669</v>
      </c>
      <c r="O6933" t="s">
        <v>42670</v>
      </c>
      <c r="P6933">
        <v>0</v>
      </c>
      <c r="Q6933">
        <v>2</v>
      </c>
      <c r="R6933" t="s">
        <v>42677</v>
      </c>
      <c r="S6933" t="s">
        <v>42830</v>
      </c>
      <c r="T6933" t="s">
        <v>44427</v>
      </c>
      <c r="U6933" t="s">
        <v>50496</v>
      </c>
      <c r="W6933" t="s">
        <v>58010</v>
      </c>
      <c r="X6933" t="s">
        <v>42678</v>
      </c>
    </row>
    <row r="6934" spans="1:24">
      <c r="A6934">
        <f>HYPERLINK("https://www.philgeps.gov.ph/GEPSNONPILOT/Tender/SplashBidNoticeAbstractUI.aspx?menuIndex=3&amp;refID=7186836&amp;Result=3","7186836")</f>
        <v>0</v>
      </c>
      <c r="B6934" t="s">
        <v>1132</v>
      </c>
      <c r="C6934" t="s">
        <v>9070</v>
      </c>
      <c r="D6934" t="s">
        <v>17204</v>
      </c>
      <c r="E6934" t="s">
        <v>23244</v>
      </c>
      <c r="F6934" t="s">
        <v>29372</v>
      </c>
      <c r="G6934" t="s">
        <v>29380</v>
      </c>
      <c r="H6934" t="s">
        <v>11048</v>
      </c>
      <c r="I6934" t="s">
        <v>29407</v>
      </c>
      <c r="J6934" t="s">
        <v>34004</v>
      </c>
      <c r="K6934" t="s">
        <v>38488</v>
      </c>
      <c r="M6934" t="s">
        <v>39944</v>
      </c>
      <c r="N6934" t="s">
        <v>42669</v>
      </c>
      <c r="O6934" t="s">
        <v>42670</v>
      </c>
      <c r="P6934">
        <v>0</v>
      </c>
      <c r="Q6934">
        <v>14</v>
      </c>
      <c r="R6934" t="s">
        <v>42677</v>
      </c>
      <c r="S6934" t="s">
        <v>42830</v>
      </c>
      <c r="T6934" t="s">
        <v>44592</v>
      </c>
      <c r="U6934" t="s">
        <v>50497</v>
      </c>
      <c r="W6934" t="s">
        <v>39944</v>
      </c>
      <c r="X6934" t="s">
        <v>42678</v>
      </c>
    </row>
    <row r="6935" spans="1:24">
      <c r="A6935">
        <f>HYPERLINK("https://www.philgeps.gov.ph/GEPSNONPILOT/Tender/SplashBidNoticeAbstractUI.aspx?menuIndex=3&amp;refID=7186833&amp;Result=3","7186833")</f>
        <v>0</v>
      </c>
      <c r="B6935" t="s">
        <v>365</v>
      </c>
      <c r="C6935" t="s">
        <v>10161</v>
      </c>
      <c r="D6935" t="s">
        <v>17143</v>
      </c>
      <c r="E6935" t="s">
        <v>23245</v>
      </c>
      <c r="F6935" t="s">
        <v>29372</v>
      </c>
      <c r="G6935" t="s">
        <v>29380</v>
      </c>
      <c r="H6935" t="s">
        <v>11048</v>
      </c>
      <c r="I6935" t="s">
        <v>3839</v>
      </c>
      <c r="J6935" t="s">
        <v>34005</v>
      </c>
      <c r="K6935" t="s">
        <v>38488</v>
      </c>
      <c r="M6935" t="s">
        <v>39125</v>
      </c>
      <c r="N6935" t="s">
        <v>42669</v>
      </c>
      <c r="O6935" t="s">
        <v>42670</v>
      </c>
      <c r="P6935">
        <v>0</v>
      </c>
      <c r="Q6935">
        <v>6</v>
      </c>
      <c r="R6935" t="s">
        <v>42677</v>
      </c>
      <c r="S6935" t="s">
        <v>42830</v>
      </c>
      <c r="T6935" t="s">
        <v>44539</v>
      </c>
      <c r="U6935" t="s">
        <v>50498</v>
      </c>
      <c r="W6935" t="s">
        <v>58010</v>
      </c>
      <c r="X6935" t="s">
        <v>42678</v>
      </c>
    </row>
    <row r="6936" spans="1:24">
      <c r="A6936">
        <f>HYPERLINK("https://www.philgeps.gov.ph/GEPSNONPILOT/Tender/SplashBidNoticeAbstractUI.aspx?menuIndex=3&amp;refID=7186752&amp;Result=3","7186752")</f>
        <v>0</v>
      </c>
      <c r="B6936" t="s">
        <v>2226</v>
      </c>
      <c r="C6936" t="s">
        <v>10162</v>
      </c>
      <c r="D6936" t="s">
        <v>17162</v>
      </c>
      <c r="E6936" t="s">
        <v>23246</v>
      </c>
      <c r="F6936" t="s">
        <v>29372</v>
      </c>
      <c r="G6936" t="s">
        <v>29380</v>
      </c>
      <c r="H6936" t="s">
        <v>29389</v>
      </c>
      <c r="I6936" t="s">
        <v>10408</v>
      </c>
      <c r="J6936" t="s">
        <v>34006</v>
      </c>
      <c r="K6936" t="s">
        <v>38522</v>
      </c>
      <c r="M6936" t="s">
        <v>41144</v>
      </c>
      <c r="N6936" t="s">
        <v>42669</v>
      </c>
      <c r="O6936" t="s">
        <v>42670</v>
      </c>
      <c r="P6936">
        <v>0</v>
      </c>
      <c r="Q6936">
        <v>1</v>
      </c>
      <c r="R6936" t="s">
        <v>42677</v>
      </c>
      <c r="S6936" t="s">
        <v>42830</v>
      </c>
      <c r="T6936" t="s">
        <v>44368</v>
      </c>
      <c r="U6936" t="s">
        <v>50468</v>
      </c>
      <c r="W6936" t="s">
        <v>41144</v>
      </c>
      <c r="X6936" t="s">
        <v>42678</v>
      </c>
    </row>
    <row r="6937" spans="1:24">
      <c r="A6937">
        <f>HYPERLINK("https://www.philgeps.gov.ph/GEPSNONPILOT/Tender/SplashBidNoticeAbstractUI.aspx?menuIndex=3&amp;refID=7186832&amp;Result=3","7186832")</f>
        <v>0</v>
      </c>
      <c r="B6937" t="s">
        <v>365</v>
      </c>
      <c r="C6937" t="s">
        <v>10163</v>
      </c>
      <c r="D6937" t="s">
        <v>17143</v>
      </c>
      <c r="E6937" t="s">
        <v>23247</v>
      </c>
      <c r="F6937" t="s">
        <v>29372</v>
      </c>
      <c r="G6937" t="s">
        <v>29380</v>
      </c>
      <c r="H6937" t="s">
        <v>11048</v>
      </c>
      <c r="I6937" t="s">
        <v>29428</v>
      </c>
      <c r="J6937" t="s">
        <v>34007</v>
      </c>
      <c r="K6937" t="s">
        <v>38488</v>
      </c>
      <c r="M6937" t="s">
        <v>39125</v>
      </c>
      <c r="N6937" t="s">
        <v>42669</v>
      </c>
      <c r="O6937" t="s">
        <v>42670</v>
      </c>
      <c r="P6937">
        <v>0</v>
      </c>
      <c r="Q6937">
        <v>1</v>
      </c>
      <c r="R6937" t="s">
        <v>42677</v>
      </c>
      <c r="S6937" t="s">
        <v>42830</v>
      </c>
      <c r="T6937" t="s">
        <v>44427</v>
      </c>
      <c r="U6937" t="s">
        <v>50499</v>
      </c>
      <c r="W6937" t="s">
        <v>58010</v>
      </c>
      <c r="X6937" t="s">
        <v>42678</v>
      </c>
    </row>
    <row r="6938" spans="1:24">
      <c r="A6938">
        <f>HYPERLINK("https://www.philgeps.gov.ph/GEPSNONPILOT/Tender/SplashBidNoticeAbstractUI.aspx?menuIndex=3&amp;refID=7186831&amp;Result=3","7186831")</f>
        <v>0</v>
      </c>
      <c r="B6938" t="s">
        <v>365</v>
      </c>
      <c r="C6938" t="s">
        <v>10164</v>
      </c>
      <c r="D6938" t="s">
        <v>17143</v>
      </c>
      <c r="E6938" t="s">
        <v>23248</v>
      </c>
      <c r="F6938" t="s">
        <v>29372</v>
      </c>
      <c r="G6938" t="s">
        <v>29380</v>
      </c>
      <c r="H6938" t="s">
        <v>11048</v>
      </c>
      <c r="I6938" t="s">
        <v>29433</v>
      </c>
      <c r="J6938" t="s">
        <v>29532</v>
      </c>
      <c r="K6938" t="s">
        <v>38488</v>
      </c>
      <c r="M6938" t="s">
        <v>39125</v>
      </c>
      <c r="N6938" t="s">
        <v>42669</v>
      </c>
      <c r="O6938" t="s">
        <v>42670</v>
      </c>
      <c r="P6938">
        <v>0</v>
      </c>
      <c r="Q6938">
        <v>10</v>
      </c>
      <c r="R6938" t="s">
        <v>42677</v>
      </c>
      <c r="S6938" t="s">
        <v>42830</v>
      </c>
      <c r="T6938" t="s">
        <v>44427</v>
      </c>
      <c r="U6938" t="s">
        <v>50500</v>
      </c>
      <c r="W6938" t="s">
        <v>58010</v>
      </c>
      <c r="X6938" t="s">
        <v>42678</v>
      </c>
    </row>
    <row r="6939" spans="1:24">
      <c r="A6939">
        <f>HYPERLINK("https://www.philgeps.gov.ph/GEPSNONPILOT/Tender/SplashBidNoticeAbstractUI.aspx?menuIndex=3&amp;refID=7186828&amp;Result=3","7186828")</f>
        <v>0</v>
      </c>
      <c r="B6939" t="s">
        <v>669</v>
      </c>
      <c r="C6939" t="s">
        <v>10165</v>
      </c>
      <c r="D6939" t="s">
        <v>17147</v>
      </c>
      <c r="E6939" t="s">
        <v>23249</v>
      </c>
      <c r="F6939" t="s">
        <v>29372</v>
      </c>
      <c r="G6939" t="s">
        <v>29380</v>
      </c>
      <c r="H6939" t="s">
        <v>11048</v>
      </c>
      <c r="I6939" t="s">
        <v>3695</v>
      </c>
      <c r="J6939" t="s">
        <v>34008</v>
      </c>
      <c r="K6939" t="s">
        <v>38488</v>
      </c>
      <c r="M6939" t="s">
        <v>40506</v>
      </c>
      <c r="N6939" t="s">
        <v>42669</v>
      </c>
      <c r="O6939" t="s">
        <v>42670</v>
      </c>
      <c r="P6939">
        <v>0</v>
      </c>
      <c r="Q6939">
        <v>1</v>
      </c>
      <c r="R6939" t="s">
        <v>42677</v>
      </c>
      <c r="S6939" t="s">
        <v>42830</v>
      </c>
      <c r="T6939" t="s">
        <v>44643</v>
      </c>
      <c r="U6939" t="s">
        <v>50501</v>
      </c>
      <c r="V6939" t="s">
        <v>56460</v>
      </c>
      <c r="W6939" t="s">
        <v>40506</v>
      </c>
      <c r="X6939" t="s">
        <v>42678</v>
      </c>
    </row>
    <row r="6940" spans="1:24">
      <c r="A6940">
        <f>HYPERLINK("https://www.philgeps.gov.ph/GEPSNONPILOT/Tender/SplashBidNoticeAbstractUI.aspx?menuIndex=3&amp;refID=7186834&amp;Result=3","7186834")</f>
        <v>0</v>
      </c>
      <c r="B6940" t="s">
        <v>1859</v>
      </c>
      <c r="C6940" t="s">
        <v>4990</v>
      </c>
      <c r="D6940" t="s">
        <v>17205</v>
      </c>
      <c r="E6940" t="s">
        <v>17571</v>
      </c>
      <c r="F6940" t="s">
        <v>29372</v>
      </c>
      <c r="G6940" t="s">
        <v>29380</v>
      </c>
      <c r="H6940" t="s">
        <v>11048</v>
      </c>
      <c r="I6940" t="s">
        <v>4709</v>
      </c>
      <c r="J6940" t="s">
        <v>34009</v>
      </c>
      <c r="K6940" t="s">
        <v>38488</v>
      </c>
      <c r="M6940" t="s">
        <v>40732</v>
      </c>
      <c r="N6940" t="s">
        <v>42669</v>
      </c>
      <c r="O6940" t="s">
        <v>42670</v>
      </c>
      <c r="P6940">
        <v>0</v>
      </c>
      <c r="Q6940">
        <v>0</v>
      </c>
      <c r="R6940" t="s">
        <v>42677</v>
      </c>
      <c r="S6940" t="s">
        <v>42830</v>
      </c>
      <c r="T6940" t="s">
        <v>44530</v>
      </c>
      <c r="U6940" t="s">
        <v>50502</v>
      </c>
      <c r="W6940" t="s">
        <v>40732</v>
      </c>
      <c r="X6940" t="s">
        <v>42678</v>
      </c>
    </row>
    <row r="6941" spans="1:24">
      <c r="A6941">
        <f>HYPERLINK("https://www.philgeps.gov.ph/GEPSNONPILOT/Tender/SplashBidNoticeAbstractUI.aspx?menuIndex=3&amp;refID=7186824&amp;Result=3","7186824")</f>
        <v>0</v>
      </c>
      <c r="B6941" t="s">
        <v>365</v>
      </c>
      <c r="C6941" t="s">
        <v>10166</v>
      </c>
      <c r="D6941" t="s">
        <v>17143</v>
      </c>
      <c r="E6941" t="s">
        <v>23250</v>
      </c>
      <c r="F6941" t="s">
        <v>29372</v>
      </c>
      <c r="G6941" t="s">
        <v>29380</v>
      </c>
      <c r="H6941" t="s">
        <v>11048</v>
      </c>
      <c r="I6941" t="s">
        <v>29493</v>
      </c>
      <c r="J6941" t="s">
        <v>34010</v>
      </c>
      <c r="K6941" t="s">
        <v>38488</v>
      </c>
      <c r="M6941" t="s">
        <v>39125</v>
      </c>
      <c r="N6941" t="s">
        <v>42669</v>
      </c>
      <c r="O6941" t="s">
        <v>42670</v>
      </c>
      <c r="P6941">
        <v>0</v>
      </c>
      <c r="Q6941">
        <v>4</v>
      </c>
      <c r="R6941" t="s">
        <v>42677</v>
      </c>
      <c r="S6941" t="s">
        <v>42830</v>
      </c>
      <c r="T6941" t="s">
        <v>44427</v>
      </c>
      <c r="U6941" t="s">
        <v>50503</v>
      </c>
      <c r="W6941" t="s">
        <v>58010</v>
      </c>
      <c r="X6941" t="s">
        <v>42678</v>
      </c>
    </row>
    <row r="6942" spans="1:24">
      <c r="A6942">
        <f>HYPERLINK("https://www.philgeps.gov.ph/GEPSNONPILOT/Tender/SplashBidNoticeAbstractUI.aspx?menuIndex=3&amp;refID=7186823&amp;Result=3","7186823")</f>
        <v>0</v>
      </c>
      <c r="B6942" t="s">
        <v>2285</v>
      </c>
      <c r="C6942" t="s">
        <v>10167</v>
      </c>
      <c r="D6942" t="s">
        <v>17219</v>
      </c>
      <c r="E6942" t="s">
        <v>23251</v>
      </c>
      <c r="F6942" t="s">
        <v>29372</v>
      </c>
      <c r="G6942" t="s">
        <v>29379</v>
      </c>
      <c r="H6942" t="s">
        <v>11048</v>
      </c>
      <c r="I6942" t="s">
        <v>29424</v>
      </c>
      <c r="J6942" t="s">
        <v>34011</v>
      </c>
      <c r="K6942" t="s">
        <v>38488</v>
      </c>
      <c r="M6942" t="s">
        <v>41210</v>
      </c>
      <c r="N6942" t="s">
        <v>42669</v>
      </c>
      <c r="O6942" t="s">
        <v>42670</v>
      </c>
      <c r="P6942">
        <v>0</v>
      </c>
      <c r="Q6942">
        <v>2</v>
      </c>
      <c r="R6942" t="s">
        <v>42677</v>
      </c>
      <c r="S6942" t="s">
        <v>42830</v>
      </c>
      <c r="T6942" t="s">
        <v>44741</v>
      </c>
      <c r="U6942" t="s">
        <v>50504</v>
      </c>
      <c r="W6942" t="s">
        <v>58082</v>
      </c>
      <c r="X6942" t="s">
        <v>42678</v>
      </c>
    </row>
    <row r="6943" spans="1:24">
      <c r="A6943">
        <f>HYPERLINK("https://www.philgeps.gov.ph/GEPSNONPILOT/Tender/SplashBidNoticeAbstractUI.aspx?menuIndex=3&amp;refID=7186837&amp;Result=3","7186837")</f>
        <v>0</v>
      </c>
      <c r="B6943" t="s">
        <v>669</v>
      </c>
      <c r="C6943" t="s">
        <v>10168</v>
      </c>
      <c r="D6943" t="s">
        <v>17147</v>
      </c>
      <c r="E6943" t="s">
        <v>23252</v>
      </c>
      <c r="F6943" t="s">
        <v>29372</v>
      </c>
      <c r="G6943" t="s">
        <v>29380</v>
      </c>
      <c r="H6943" t="s">
        <v>11048</v>
      </c>
      <c r="I6943" t="s">
        <v>29433</v>
      </c>
      <c r="J6943" t="s">
        <v>29571</v>
      </c>
      <c r="K6943" t="s">
        <v>38496</v>
      </c>
      <c r="M6943" t="s">
        <v>40506</v>
      </c>
      <c r="N6943" t="s">
        <v>42669</v>
      </c>
      <c r="O6943" t="s">
        <v>42670</v>
      </c>
      <c r="P6943">
        <v>0</v>
      </c>
      <c r="Q6943">
        <v>4</v>
      </c>
      <c r="R6943" t="s">
        <v>42677</v>
      </c>
      <c r="S6943" t="s">
        <v>42830</v>
      </c>
      <c r="T6943" t="s">
        <v>44643</v>
      </c>
      <c r="U6943" t="s">
        <v>50505</v>
      </c>
      <c r="V6943" t="s">
        <v>56460</v>
      </c>
      <c r="W6943" t="s">
        <v>40506</v>
      </c>
      <c r="X6943" t="s">
        <v>42678</v>
      </c>
    </row>
    <row r="6944" spans="1:24">
      <c r="A6944">
        <f>HYPERLINK("https://www.philgeps.gov.ph/GEPSNONPILOT/Tender/SplashBidNoticeAbstractUI.aspx?menuIndex=3&amp;refID=7186819&amp;Result=3","7186819")</f>
        <v>0</v>
      </c>
      <c r="B6944" t="s">
        <v>669</v>
      </c>
      <c r="C6944" t="s">
        <v>10169</v>
      </c>
      <c r="D6944" t="s">
        <v>17147</v>
      </c>
      <c r="E6944" t="s">
        <v>23253</v>
      </c>
      <c r="F6944" t="s">
        <v>29372</v>
      </c>
      <c r="G6944" t="s">
        <v>29380</v>
      </c>
      <c r="H6944" t="s">
        <v>11048</v>
      </c>
      <c r="I6944" t="s">
        <v>29407</v>
      </c>
      <c r="J6944" t="s">
        <v>34012</v>
      </c>
      <c r="K6944" t="s">
        <v>38488</v>
      </c>
      <c r="M6944" t="s">
        <v>40506</v>
      </c>
      <c r="N6944" t="s">
        <v>42669</v>
      </c>
      <c r="O6944" t="s">
        <v>42670</v>
      </c>
      <c r="P6944">
        <v>0</v>
      </c>
      <c r="Q6944">
        <v>3</v>
      </c>
      <c r="R6944" t="s">
        <v>42677</v>
      </c>
      <c r="S6944" t="s">
        <v>42830</v>
      </c>
      <c r="T6944" t="s">
        <v>44643</v>
      </c>
      <c r="U6944" t="s">
        <v>50506</v>
      </c>
      <c r="V6944" t="s">
        <v>56460</v>
      </c>
      <c r="W6944" t="s">
        <v>40506</v>
      </c>
      <c r="X6944" t="s">
        <v>42678</v>
      </c>
    </row>
    <row r="6945" spans="1:24">
      <c r="A6945">
        <f>HYPERLINK("https://www.philgeps.gov.ph/GEPSNONPILOT/Tender/SplashBidNoticeAbstractUI.aspx?menuIndex=3&amp;refID=7186748&amp;Result=3","7186748")</f>
        <v>0</v>
      </c>
      <c r="B6945" t="s">
        <v>1884</v>
      </c>
      <c r="C6945" t="s">
        <v>10170</v>
      </c>
      <c r="D6945" t="s">
        <v>17143</v>
      </c>
      <c r="E6945" t="s">
        <v>23254</v>
      </c>
      <c r="F6945" t="s">
        <v>29372</v>
      </c>
      <c r="G6945" t="s">
        <v>29380</v>
      </c>
      <c r="H6945" t="s">
        <v>11048</v>
      </c>
      <c r="I6945" t="s">
        <v>3629</v>
      </c>
      <c r="J6945" t="s">
        <v>34013</v>
      </c>
      <c r="K6945" t="s">
        <v>38488</v>
      </c>
      <c r="L6945" t="s">
        <v>1884</v>
      </c>
      <c r="M6945" t="s">
        <v>40757</v>
      </c>
      <c r="N6945" t="s">
        <v>42669</v>
      </c>
      <c r="O6945" t="s">
        <v>42670</v>
      </c>
      <c r="P6945">
        <v>0</v>
      </c>
      <c r="Q6945">
        <v>0</v>
      </c>
      <c r="R6945" t="s">
        <v>42677</v>
      </c>
      <c r="S6945" t="s">
        <v>42830</v>
      </c>
      <c r="T6945" t="s">
        <v>44401</v>
      </c>
      <c r="U6945" t="s">
        <v>50507</v>
      </c>
      <c r="W6945" t="s">
        <v>40757</v>
      </c>
      <c r="X6945" t="s">
        <v>42678</v>
      </c>
    </row>
    <row r="6946" spans="1:24">
      <c r="A6946">
        <f>HYPERLINK("https://www.philgeps.gov.ph/GEPSNONPILOT/Tender/SplashBidNoticeAbstractUI.aspx?menuIndex=3&amp;refID=7186780&amp;Result=3","7186780")</f>
        <v>0</v>
      </c>
      <c r="B6946" t="s">
        <v>898</v>
      </c>
      <c r="C6946" t="s">
        <v>10171</v>
      </c>
      <c r="D6946" t="s">
        <v>17142</v>
      </c>
      <c r="E6946" t="s">
        <v>23255</v>
      </c>
      <c r="F6946" t="s">
        <v>29372</v>
      </c>
      <c r="G6946" t="s">
        <v>29380</v>
      </c>
      <c r="H6946" t="s">
        <v>11048</v>
      </c>
      <c r="I6946" t="s">
        <v>9469</v>
      </c>
      <c r="J6946" t="s">
        <v>34014</v>
      </c>
      <c r="K6946" t="s">
        <v>38490</v>
      </c>
      <c r="M6946" t="s">
        <v>41202</v>
      </c>
      <c r="N6946" t="s">
        <v>42669</v>
      </c>
      <c r="O6946" t="s">
        <v>42670</v>
      </c>
      <c r="P6946">
        <v>0</v>
      </c>
      <c r="Q6946">
        <v>4</v>
      </c>
      <c r="R6946" t="s">
        <v>42677</v>
      </c>
      <c r="S6946" t="s">
        <v>42830</v>
      </c>
      <c r="T6946" t="s">
        <v>44410</v>
      </c>
      <c r="U6946" t="s">
        <v>50508</v>
      </c>
      <c r="V6946" t="s">
        <v>57116</v>
      </c>
      <c r="W6946" t="s">
        <v>41202</v>
      </c>
      <c r="X6946" t="s">
        <v>42678</v>
      </c>
    </row>
    <row r="6947" spans="1:24">
      <c r="A6947">
        <f>HYPERLINK("https://www.philgeps.gov.ph/GEPSNONPILOT/Tender/SplashBidNoticeAbstractUI.aspx?menuIndex=3&amp;refID=7186827&amp;Result=3","7186827")</f>
        <v>0</v>
      </c>
      <c r="B6947" t="s">
        <v>365</v>
      </c>
      <c r="C6947" t="s">
        <v>10172</v>
      </c>
      <c r="D6947" t="s">
        <v>17143</v>
      </c>
      <c r="E6947" t="s">
        <v>23256</v>
      </c>
      <c r="F6947" t="s">
        <v>29372</v>
      </c>
      <c r="G6947" t="s">
        <v>29380</v>
      </c>
      <c r="H6947" t="s">
        <v>11048</v>
      </c>
      <c r="I6947" t="s">
        <v>29394</v>
      </c>
      <c r="J6947" t="s">
        <v>31046</v>
      </c>
      <c r="K6947" t="s">
        <v>38488</v>
      </c>
      <c r="M6947" t="s">
        <v>39125</v>
      </c>
      <c r="N6947" t="s">
        <v>42669</v>
      </c>
      <c r="O6947" t="s">
        <v>42670</v>
      </c>
      <c r="P6947">
        <v>0</v>
      </c>
      <c r="Q6947">
        <v>1</v>
      </c>
      <c r="R6947" t="s">
        <v>42677</v>
      </c>
      <c r="S6947" t="s">
        <v>42830</v>
      </c>
      <c r="T6947" t="s">
        <v>44427</v>
      </c>
      <c r="U6947" t="s">
        <v>50509</v>
      </c>
      <c r="W6947" t="s">
        <v>58010</v>
      </c>
      <c r="X6947" t="s">
        <v>42678</v>
      </c>
    </row>
    <row r="6948" spans="1:24">
      <c r="A6948">
        <f>HYPERLINK("https://www.philgeps.gov.ph/GEPSNONPILOT/Tender/SplashBidNoticeAbstractUI.aspx?menuIndex=3&amp;refID=7186649&amp;Result=3","7186649")</f>
        <v>0</v>
      </c>
      <c r="B6948" t="s">
        <v>2243</v>
      </c>
      <c r="C6948" t="s">
        <v>10173</v>
      </c>
      <c r="D6948" t="s">
        <v>17189</v>
      </c>
      <c r="E6948" t="s">
        <v>23257</v>
      </c>
      <c r="F6948" t="s">
        <v>29372</v>
      </c>
      <c r="G6948" t="s">
        <v>29379</v>
      </c>
      <c r="H6948" t="s">
        <v>11048</v>
      </c>
      <c r="I6948" t="s">
        <v>29395</v>
      </c>
      <c r="J6948" t="s">
        <v>34015</v>
      </c>
      <c r="K6948" t="s">
        <v>38485</v>
      </c>
      <c r="M6948" t="s">
        <v>41161</v>
      </c>
      <c r="N6948" t="s">
        <v>42669</v>
      </c>
      <c r="O6948" t="s">
        <v>42670</v>
      </c>
      <c r="P6948">
        <v>0</v>
      </c>
      <c r="Q6948">
        <v>0</v>
      </c>
      <c r="R6948" t="s">
        <v>42677</v>
      </c>
      <c r="S6948" t="s">
        <v>42830</v>
      </c>
      <c r="T6948" t="s">
        <v>44488</v>
      </c>
      <c r="U6948" t="s">
        <v>50340</v>
      </c>
      <c r="W6948" t="s">
        <v>41161</v>
      </c>
      <c r="X6948" t="s">
        <v>42678</v>
      </c>
    </row>
    <row r="6949" spans="1:24">
      <c r="A6949">
        <f>HYPERLINK("https://www.philgeps.gov.ph/GEPSNONPILOT/Tender/SplashBidNoticeAbstractUI.aspx?menuIndex=3&amp;refID=7186872&amp;Result=3","7186872")</f>
        <v>0</v>
      </c>
      <c r="B6949" t="s">
        <v>608</v>
      </c>
      <c r="C6949" t="s">
        <v>10174</v>
      </c>
      <c r="D6949" t="s">
        <v>17189</v>
      </c>
      <c r="E6949" t="s">
        <v>23258</v>
      </c>
      <c r="F6949" t="s">
        <v>29372</v>
      </c>
      <c r="G6949" t="s">
        <v>29379</v>
      </c>
      <c r="H6949" t="s">
        <v>11048</v>
      </c>
      <c r="I6949" t="s">
        <v>3629</v>
      </c>
      <c r="J6949" t="s">
        <v>31975</v>
      </c>
      <c r="K6949" t="s">
        <v>38485</v>
      </c>
      <c r="M6949" t="s">
        <v>39379</v>
      </c>
      <c r="N6949" t="s">
        <v>42669</v>
      </c>
      <c r="O6949" t="s">
        <v>42670</v>
      </c>
      <c r="P6949">
        <v>0</v>
      </c>
      <c r="Q6949">
        <v>1</v>
      </c>
      <c r="R6949" t="s">
        <v>42677</v>
      </c>
      <c r="S6949" t="s">
        <v>42830</v>
      </c>
      <c r="T6949" t="s">
        <v>44488</v>
      </c>
      <c r="U6949" t="s">
        <v>46145</v>
      </c>
      <c r="W6949" t="s">
        <v>39379</v>
      </c>
      <c r="X6949" t="s">
        <v>42678</v>
      </c>
    </row>
    <row r="6950" spans="1:24">
      <c r="A6950">
        <f>HYPERLINK("https://www.philgeps.gov.ph/GEPSNONPILOT/Tender/SplashBidNoticeAbstractUI.aspx?menuIndex=3&amp;refID=7186826&amp;Result=3","7186826")</f>
        <v>0</v>
      </c>
      <c r="B6950" t="s">
        <v>365</v>
      </c>
      <c r="C6950" t="s">
        <v>10175</v>
      </c>
      <c r="D6950" t="s">
        <v>17143</v>
      </c>
      <c r="E6950" t="s">
        <v>23259</v>
      </c>
      <c r="F6950" t="s">
        <v>29372</v>
      </c>
      <c r="G6950" t="s">
        <v>29380</v>
      </c>
      <c r="H6950" t="s">
        <v>11048</v>
      </c>
      <c r="I6950" t="s">
        <v>29414</v>
      </c>
      <c r="J6950" t="s">
        <v>34016</v>
      </c>
      <c r="K6950" t="s">
        <v>38488</v>
      </c>
      <c r="M6950" t="s">
        <v>39125</v>
      </c>
      <c r="N6950" t="s">
        <v>42669</v>
      </c>
      <c r="O6950" t="s">
        <v>42670</v>
      </c>
      <c r="P6950">
        <v>0</v>
      </c>
      <c r="Q6950">
        <v>3</v>
      </c>
      <c r="R6950" t="s">
        <v>42677</v>
      </c>
      <c r="S6950" t="s">
        <v>42830</v>
      </c>
      <c r="T6950" t="s">
        <v>44427</v>
      </c>
      <c r="U6950" t="s">
        <v>50510</v>
      </c>
      <c r="W6950" t="s">
        <v>58010</v>
      </c>
      <c r="X6950" t="s">
        <v>42678</v>
      </c>
    </row>
    <row r="6951" spans="1:24">
      <c r="A6951">
        <f>HYPERLINK("https://www.philgeps.gov.ph/GEPSNONPILOT/Tender/SplashBidNoticeAbstractUI.aspx?menuIndex=3&amp;refID=7186868&amp;Result=3","7186868")</f>
        <v>0</v>
      </c>
      <c r="B6951" t="s">
        <v>608</v>
      </c>
      <c r="C6951" t="s">
        <v>10176</v>
      </c>
      <c r="D6951" t="s">
        <v>17189</v>
      </c>
      <c r="E6951" t="s">
        <v>23260</v>
      </c>
      <c r="F6951" t="s">
        <v>29372</v>
      </c>
      <c r="G6951" t="s">
        <v>29379</v>
      </c>
      <c r="H6951" t="s">
        <v>11048</v>
      </c>
      <c r="I6951" t="s">
        <v>3629</v>
      </c>
      <c r="J6951" t="s">
        <v>34017</v>
      </c>
      <c r="K6951" t="s">
        <v>38485</v>
      </c>
      <c r="M6951" t="s">
        <v>39379</v>
      </c>
      <c r="N6951" t="s">
        <v>42669</v>
      </c>
      <c r="O6951" t="s">
        <v>42670</v>
      </c>
      <c r="P6951">
        <v>0</v>
      </c>
      <c r="Q6951">
        <v>1</v>
      </c>
      <c r="R6951" t="s">
        <v>42677</v>
      </c>
      <c r="S6951" t="s">
        <v>42830</v>
      </c>
      <c r="T6951" t="s">
        <v>44488</v>
      </c>
      <c r="U6951" t="s">
        <v>46145</v>
      </c>
      <c r="W6951" t="s">
        <v>39379</v>
      </c>
      <c r="X6951" t="s">
        <v>42678</v>
      </c>
    </row>
    <row r="6952" spans="1:24">
      <c r="A6952">
        <f>HYPERLINK("https://www.philgeps.gov.ph/GEPSNONPILOT/Tender/SplashBidNoticeAbstractUI.aspx?menuIndex=3&amp;refID=7186821&amp;Result=3","7186821")</f>
        <v>0</v>
      </c>
      <c r="B6952" t="s">
        <v>1125</v>
      </c>
      <c r="C6952" t="s">
        <v>10177</v>
      </c>
      <c r="D6952" t="s">
        <v>17151</v>
      </c>
      <c r="E6952" t="s">
        <v>23261</v>
      </c>
      <c r="F6952" t="s">
        <v>29372</v>
      </c>
      <c r="G6952" t="s">
        <v>29379</v>
      </c>
      <c r="H6952" t="s">
        <v>11048</v>
      </c>
      <c r="I6952" t="s">
        <v>29400</v>
      </c>
      <c r="J6952" t="s">
        <v>34018</v>
      </c>
      <c r="K6952" t="s">
        <v>38491</v>
      </c>
      <c r="M6952" t="s">
        <v>40235</v>
      </c>
      <c r="N6952" t="s">
        <v>42669</v>
      </c>
      <c r="O6952" t="s">
        <v>42670</v>
      </c>
      <c r="P6952">
        <v>0</v>
      </c>
      <c r="Q6952">
        <v>1</v>
      </c>
      <c r="R6952" t="s">
        <v>42677</v>
      </c>
      <c r="S6952" t="s">
        <v>42830</v>
      </c>
      <c r="T6952" t="s">
        <v>44427</v>
      </c>
      <c r="U6952" t="s">
        <v>50511</v>
      </c>
      <c r="W6952" t="s">
        <v>40235</v>
      </c>
      <c r="X6952" t="s">
        <v>42678</v>
      </c>
    </row>
    <row r="6953" spans="1:24">
      <c r="A6953">
        <f>HYPERLINK("https://www.philgeps.gov.ph/GEPSNONPILOT/Tender/SplashBidNoticeAbstractUI.aspx?menuIndex=3&amp;refID=7186866&amp;Result=3","7186866")</f>
        <v>0</v>
      </c>
      <c r="B6953" t="s">
        <v>2286</v>
      </c>
      <c r="C6953" t="s">
        <v>10178</v>
      </c>
      <c r="D6953" t="s">
        <v>17160</v>
      </c>
      <c r="E6953" t="s">
        <v>17399</v>
      </c>
      <c r="F6953" t="s">
        <v>29372</v>
      </c>
      <c r="G6953" t="s">
        <v>29380</v>
      </c>
      <c r="H6953" t="s">
        <v>29389</v>
      </c>
      <c r="I6953" t="s">
        <v>4709</v>
      </c>
      <c r="J6953" t="s">
        <v>29604</v>
      </c>
      <c r="K6953" t="s">
        <v>38487</v>
      </c>
      <c r="M6953" t="s">
        <v>41211</v>
      </c>
      <c r="N6953" t="s">
        <v>42669</v>
      </c>
      <c r="O6953" t="s">
        <v>42670</v>
      </c>
      <c r="P6953">
        <v>0</v>
      </c>
      <c r="Q6953">
        <v>1</v>
      </c>
      <c r="R6953" t="s">
        <v>42677</v>
      </c>
      <c r="S6953" t="s">
        <v>42830</v>
      </c>
      <c r="T6953" t="s">
        <v>44436</v>
      </c>
      <c r="U6953" t="s">
        <v>50512</v>
      </c>
      <c r="W6953" t="s">
        <v>41211</v>
      </c>
      <c r="X6953" t="s">
        <v>42678</v>
      </c>
    </row>
    <row r="6954" spans="1:24">
      <c r="A6954">
        <f>HYPERLINK("https://www.philgeps.gov.ph/GEPSNONPILOT/Tender/SplashBidNoticeAbstractUI.aspx?menuIndex=3&amp;refID=7186864&amp;Result=3","7186864")</f>
        <v>0</v>
      </c>
      <c r="B6954" t="s">
        <v>844</v>
      </c>
      <c r="C6954" t="s">
        <v>10179</v>
      </c>
      <c r="D6954" t="s">
        <v>17218</v>
      </c>
      <c r="E6954" t="s">
        <v>23262</v>
      </c>
      <c r="F6954" t="s">
        <v>29372</v>
      </c>
      <c r="G6954" t="s">
        <v>29379</v>
      </c>
      <c r="H6954" t="s">
        <v>11048</v>
      </c>
      <c r="I6954" t="s">
        <v>29442</v>
      </c>
      <c r="J6954" t="s">
        <v>29799</v>
      </c>
      <c r="K6954" t="s">
        <v>38485</v>
      </c>
      <c r="M6954" t="s">
        <v>39634</v>
      </c>
      <c r="N6954" t="s">
        <v>42669</v>
      </c>
      <c r="O6954" t="s">
        <v>42670</v>
      </c>
      <c r="P6954">
        <v>0</v>
      </c>
      <c r="Q6954">
        <v>1</v>
      </c>
      <c r="R6954" t="s">
        <v>42677</v>
      </c>
      <c r="S6954" t="s">
        <v>42830</v>
      </c>
      <c r="T6954" t="s">
        <v>44427</v>
      </c>
      <c r="U6954" t="s">
        <v>46577</v>
      </c>
      <c r="W6954" t="s">
        <v>39634</v>
      </c>
      <c r="X6954" t="s">
        <v>42678</v>
      </c>
    </row>
    <row r="6955" spans="1:24">
      <c r="A6955">
        <f>HYPERLINK("https://www.philgeps.gov.ph/GEPSNONPILOT/Tender/SplashBidNoticeAbstractUI.aspx?menuIndex=3&amp;refID=7186863&amp;Result=3","7186863")</f>
        <v>0</v>
      </c>
      <c r="B6955" t="s">
        <v>2287</v>
      </c>
      <c r="C6955" t="s">
        <v>10180</v>
      </c>
      <c r="D6955" t="s">
        <v>17186</v>
      </c>
      <c r="E6955" t="s">
        <v>17294</v>
      </c>
      <c r="F6955" t="s">
        <v>29372</v>
      </c>
      <c r="G6955" t="s">
        <v>29380</v>
      </c>
      <c r="H6955" t="s">
        <v>11048</v>
      </c>
      <c r="I6955" t="s">
        <v>4709</v>
      </c>
      <c r="J6955" t="s">
        <v>34019</v>
      </c>
      <c r="K6955" t="s">
        <v>38551</v>
      </c>
      <c r="M6955" t="s">
        <v>41212</v>
      </c>
      <c r="N6955" t="s">
        <v>42669</v>
      </c>
      <c r="O6955" t="s">
        <v>42670</v>
      </c>
      <c r="P6955">
        <v>0</v>
      </c>
      <c r="Q6955">
        <v>0</v>
      </c>
      <c r="R6955" t="s">
        <v>42677</v>
      </c>
      <c r="S6955" t="s">
        <v>42830</v>
      </c>
      <c r="T6955" t="s">
        <v>44427</v>
      </c>
      <c r="U6955" t="s">
        <v>50513</v>
      </c>
      <c r="W6955" t="s">
        <v>41212</v>
      </c>
      <c r="X6955" t="s">
        <v>42678</v>
      </c>
    </row>
    <row r="6956" spans="1:24">
      <c r="A6956">
        <f>HYPERLINK("https://www.philgeps.gov.ph/GEPSNONPILOT/Tender/SplashBidNoticeAbstractUI.aspx?menuIndex=3&amp;refID=7186871&amp;Result=3","7186871")</f>
        <v>0</v>
      </c>
      <c r="B6956" t="s">
        <v>844</v>
      </c>
      <c r="C6956" t="s">
        <v>10181</v>
      </c>
      <c r="D6956" t="s">
        <v>17218</v>
      </c>
      <c r="E6956" t="s">
        <v>23263</v>
      </c>
      <c r="F6956" t="s">
        <v>29372</v>
      </c>
      <c r="G6956" t="s">
        <v>29379</v>
      </c>
      <c r="H6956" t="s">
        <v>11048</v>
      </c>
      <c r="I6956" t="s">
        <v>29415</v>
      </c>
      <c r="J6956" t="s">
        <v>29799</v>
      </c>
      <c r="K6956" t="s">
        <v>38485</v>
      </c>
      <c r="M6956" t="s">
        <v>39634</v>
      </c>
      <c r="N6956" t="s">
        <v>42669</v>
      </c>
      <c r="O6956" t="s">
        <v>42670</v>
      </c>
      <c r="P6956">
        <v>0</v>
      </c>
      <c r="Q6956">
        <v>0</v>
      </c>
      <c r="R6956" t="s">
        <v>42677</v>
      </c>
      <c r="S6956" t="s">
        <v>42830</v>
      </c>
      <c r="T6956" t="s">
        <v>44427</v>
      </c>
      <c r="U6956" t="s">
        <v>46577</v>
      </c>
      <c r="W6956" t="s">
        <v>39634</v>
      </c>
      <c r="X6956" t="s">
        <v>42678</v>
      </c>
    </row>
    <row r="6957" spans="1:24">
      <c r="A6957">
        <f>HYPERLINK("https://www.philgeps.gov.ph/GEPSNONPILOT/Tender/SplashBidNoticeAbstractUI.aspx?menuIndex=3&amp;refID=7186861&amp;Result=3","7186861")</f>
        <v>0</v>
      </c>
      <c r="B6957" t="s">
        <v>844</v>
      </c>
      <c r="C6957" t="s">
        <v>10182</v>
      </c>
      <c r="D6957" t="s">
        <v>17218</v>
      </c>
      <c r="E6957" t="s">
        <v>23264</v>
      </c>
      <c r="F6957" t="s">
        <v>29372</v>
      </c>
      <c r="G6957" t="s">
        <v>29379</v>
      </c>
      <c r="H6957" t="s">
        <v>11048</v>
      </c>
      <c r="I6957" t="s">
        <v>3670</v>
      </c>
      <c r="J6957" t="s">
        <v>30676</v>
      </c>
      <c r="K6957" t="s">
        <v>38485</v>
      </c>
      <c r="M6957" t="s">
        <v>39634</v>
      </c>
      <c r="N6957" t="s">
        <v>42669</v>
      </c>
      <c r="O6957" t="s">
        <v>42670</v>
      </c>
      <c r="P6957">
        <v>0</v>
      </c>
      <c r="Q6957">
        <v>2</v>
      </c>
      <c r="R6957" t="s">
        <v>42677</v>
      </c>
      <c r="S6957" t="s">
        <v>42830</v>
      </c>
      <c r="T6957" t="s">
        <v>44427</v>
      </c>
      <c r="U6957" t="s">
        <v>46577</v>
      </c>
      <c r="W6957" t="s">
        <v>39634</v>
      </c>
      <c r="X6957" t="s">
        <v>42678</v>
      </c>
    </row>
    <row r="6958" spans="1:24">
      <c r="A6958">
        <f>HYPERLINK("https://www.philgeps.gov.ph/GEPSNONPILOT/Tender/SplashBidNoticeAbstractUI.aspx?menuIndex=3&amp;refID=7186870&amp;Result=3","7186870")</f>
        <v>0</v>
      </c>
      <c r="B6958" t="s">
        <v>1132</v>
      </c>
      <c r="C6958" t="s">
        <v>10183</v>
      </c>
      <c r="D6958" t="s">
        <v>17204</v>
      </c>
      <c r="E6958" t="s">
        <v>23265</v>
      </c>
      <c r="F6958" t="s">
        <v>29372</v>
      </c>
      <c r="G6958" t="s">
        <v>29380</v>
      </c>
      <c r="H6958" t="s">
        <v>11048</v>
      </c>
      <c r="I6958" t="s">
        <v>29432</v>
      </c>
      <c r="J6958" t="s">
        <v>34020</v>
      </c>
      <c r="K6958" t="s">
        <v>38488</v>
      </c>
      <c r="M6958" t="s">
        <v>39944</v>
      </c>
      <c r="N6958" t="s">
        <v>42669</v>
      </c>
      <c r="O6958" t="s">
        <v>42670</v>
      </c>
      <c r="P6958">
        <v>0</v>
      </c>
      <c r="Q6958">
        <v>5</v>
      </c>
      <c r="R6958" t="s">
        <v>42677</v>
      </c>
      <c r="S6958" t="s">
        <v>42830</v>
      </c>
      <c r="T6958" t="s">
        <v>44592</v>
      </c>
      <c r="U6958" t="s">
        <v>50514</v>
      </c>
      <c r="W6958" t="s">
        <v>39944</v>
      </c>
      <c r="X6958" t="s">
        <v>42678</v>
      </c>
    </row>
    <row r="6959" spans="1:24">
      <c r="A6959">
        <f>HYPERLINK("https://www.philgeps.gov.ph/GEPSNONPILOT/Tender/SplashBidNoticeAbstractUI.aspx?menuIndex=3&amp;refID=7186855&amp;Result=3","7186855")</f>
        <v>0</v>
      </c>
      <c r="B6959" t="s">
        <v>2287</v>
      </c>
      <c r="C6959" t="s">
        <v>10184</v>
      </c>
      <c r="D6959" t="s">
        <v>17186</v>
      </c>
      <c r="E6959" t="s">
        <v>22449</v>
      </c>
      <c r="F6959" t="s">
        <v>29372</v>
      </c>
      <c r="G6959" t="s">
        <v>29380</v>
      </c>
      <c r="H6959" t="s">
        <v>11048</v>
      </c>
      <c r="I6959" t="s">
        <v>3670</v>
      </c>
      <c r="J6959" t="s">
        <v>34021</v>
      </c>
      <c r="K6959" t="s">
        <v>38538</v>
      </c>
      <c r="M6959" t="s">
        <v>41212</v>
      </c>
      <c r="N6959" t="s">
        <v>42669</v>
      </c>
      <c r="O6959" t="s">
        <v>42670</v>
      </c>
      <c r="P6959">
        <v>0</v>
      </c>
      <c r="Q6959">
        <v>2</v>
      </c>
      <c r="R6959" t="s">
        <v>42677</v>
      </c>
      <c r="S6959" t="s">
        <v>42830</v>
      </c>
      <c r="T6959" t="s">
        <v>44427</v>
      </c>
      <c r="U6959" t="s">
        <v>50513</v>
      </c>
      <c r="W6959" t="s">
        <v>41212</v>
      </c>
      <c r="X6959" t="s">
        <v>42678</v>
      </c>
    </row>
    <row r="6960" spans="1:24">
      <c r="A6960">
        <f>HYPERLINK("https://www.philgeps.gov.ph/GEPSNONPILOT/Tender/SplashBidNoticeAbstractUI.aspx?menuIndex=3&amp;refID=7186865&amp;Result=3","7186865")</f>
        <v>0</v>
      </c>
      <c r="B6960" t="s">
        <v>669</v>
      </c>
      <c r="C6960" t="s">
        <v>10185</v>
      </c>
      <c r="D6960" t="s">
        <v>17147</v>
      </c>
      <c r="E6960" t="s">
        <v>23266</v>
      </c>
      <c r="F6960" t="s">
        <v>29372</v>
      </c>
      <c r="G6960" t="s">
        <v>29380</v>
      </c>
      <c r="H6960" t="s">
        <v>11048</v>
      </c>
      <c r="I6960" t="s">
        <v>29407</v>
      </c>
      <c r="J6960" t="s">
        <v>34022</v>
      </c>
      <c r="K6960" t="s">
        <v>38488</v>
      </c>
      <c r="M6960" t="s">
        <v>40506</v>
      </c>
      <c r="N6960" t="s">
        <v>42669</v>
      </c>
      <c r="O6960" t="s">
        <v>42670</v>
      </c>
      <c r="P6960">
        <v>0</v>
      </c>
      <c r="Q6960">
        <v>2</v>
      </c>
      <c r="R6960" t="s">
        <v>42677</v>
      </c>
      <c r="S6960" t="s">
        <v>42830</v>
      </c>
      <c r="T6960" t="s">
        <v>44643</v>
      </c>
      <c r="U6960" t="s">
        <v>50515</v>
      </c>
      <c r="V6960" t="s">
        <v>56460</v>
      </c>
      <c r="W6960" t="s">
        <v>40506</v>
      </c>
      <c r="X6960" t="s">
        <v>42678</v>
      </c>
    </row>
    <row r="6961" spans="1:24">
      <c r="A6961">
        <f>HYPERLINK("https://www.philgeps.gov.ph/GEPSNONPILOT/Tender/SplashBidNoticeAbstractUI.aspx?menuIndex=3&amp;refID=7186853&amp;Result=3","7186853")</f>
        <v>0</v>
      </c>
      <c r="B6961" t="s">
        <v>1859</v>
      </c>
      <c r="C6961" t="s">
        <v>10186</v>
      </c>
      <c r="D6961" t="s">
        <v>17205</v>
      </c>
      <c r="E6961" t="s">
        <v>19537</v>
      </c>
      <c r="F6961" t="s">
        <v>29372</v>
      </c>
      <c r="G6961" t="s">
        <v>29380</v>
      </c>
      <c r="H6961" t="s">
        <v>11048</v>
      </c>
      <c r="I6961" t="s">
        <v>4709</v>
      </c>
      <c r="J6961" t="s">
        <v>34023</v>
      </c>
      <c r="K6961" t="s">
        <v>38488</v>
      </c>
      <c r="M6961" t="s">
        <v>40732</v>
      </c>
      <c r="N6961" t="s">
        <v>42669</v>
      </c>
      <c r="O6961" t="s">
        <v>42670</v>
      </c>
      <c r="P6961">
        <v>0</v>
      </c>
      <c r="Q6961">
        <v>0</v>
      </c>
      <c r="R6961" t="s">
        <v>42677</v>
      </c>
      <c r="S6961" t="s">
        <v>42830</v>
      </c>
      <c r="T6961" t="s">
        <v>44530</v>
      </c>
      <c r="U6961" t="s">
        <v>50516</v>
      </c>
      <c r="W6961" t="s">
        <v>40732</v>
      </c>
      <c r="X6961" t="s">
        <v>42678</v>
      </c>
    </row>
    <row r="6962" spans="1:24">
      <c r="A6962">
        <f>HYPERLINK("https://www.philgeps.gov.ph/GEPSNONPILOT/Tender/SplashBidNoticeAbstractUI.aspx?menuIndex=3&amp;refID=7186851&amp;Result=3","7186851")</f>
        <v>0</v>
      </c>
      <c r="B6962" t="s">
        <v>844</v>
      </c>
      <c r="C6962" t="s">
        <v>10187</v>
      </c>
      <c r="D6962" t="s">
        <v>17218</v>
      </c>
      <c r="E6962" t="s">
        <v>23267</v>
      </c>
      <c r="F6962" t="s">
        <v>29372</v>
      </c>
      <c r="G6962" t="s">
        <v>29379</v>
      </c>
      <c r="H6962" t="s">
        <v>11048</v>
      </c>
      <c r="I6962" t="s">
        <v>3670</v>
      </c>
      <c r="J6962" t="s">
        <v>31145</v>
      </c>
      <c r="K6962" t="s">
        <v>38485</v>
      </c>
      <c r="M6962" t="s">
        <v>39634</v>
      </c>
      <c r="N6962" t="s">
        <v>42669</v>
      </c>
      <c r="O6962" t="s">
        <v>42670</v>
      </c>
      <c r="P6962">
        <v>0</v>
      </c>
      <c r="Q6962">
        <v>1</v>
      </c>
      <c r="R6962" t="s">
        <v>42677</v>
      </c>
      <c r="S6962" t="s">
        <v>42830</v>
      </c>
      <c r="T6962" t="s">
        <v>44427</v>
      </c>
      <c r="U6962" t="s">
        <v>46577</v>
      </c>
      <c r="W6962" t="s">
        <v>39634</v>
      </c>
      <c r="X6962" t="s">
        <v>42678</v>
      </c>
    </row>
    <row r="6963" spans="1:24">
      <c r="A6963">
        <f>HYPERLINK("https://www.philgeps.gov.ph/GEPSNONPILOT/Tender/SplashBidNoticeAbstractUI.aspx?menuIndex=3&amp;refID=7186849&amp;Result=3","7186849")</f>
        <v>0</v>
      </c>
      <c r="B6963" t="s">
        <v>608</v>
      </c>
      <c r="C6963" t="s">
        <v>10188</v>
      </c>
      <c r="D6963" t="s">
        <v>17189</v>
      </c>
      <c r="E6963" t="s">
        <v>23268</v>
      </c>
      <c r="F6963" t="s">
        <v>29372</v>
      </c>
      <c r="G6963" t="s">
        <v>29379</v>
      </c>
      <c r="H6963" t="s">
        <v>11048</v>
      </c>
      <c r="I6963" t="s">
        <v>3629</v>
      </c>
      <c r="J6963" t="s">
        <v>33228</v>
      </c>
      <c r="K6963" t="s">
        <v>38485</v>
      </c>
      <c r="M6963" t="s">
        <v>39379</v>
      </c>
      <c r="N6963" t="s">
        <v>42669</v>
      </c>
      <c r="O6963" t="s">
        <v>42670</v>
      </c>
      <c r="P6963">
        <v>0</v>
      </c>
      <c r="Q6963">
        <v>1</v>
      </c>
      <c r="R6963" t="s">
        <v>42677</v>
      </c>
      <c r="S6963" t="s">
        <v>42830</v>
      </c>
      <c r="T6963" t="s">
        <v>44488</v>
      </c>
      <c r="U6963" t="s">
        <v>46145</v>
      </c>
      <c r="W6963" t="s">
        <v>39379</v>
      </c>
      <c r="X6963" t="s">
        <v>42678</v>
      </c>
    </row>
    <row r="6964" spans="1:24">
      <c r="A6964">
        <f>HYPERLINK("https://www.philgeps.gov.ph/GEPSNONPILOT/Tender/SplashBidNoticeAbstractUI.aspx?menuIndex=3&amp;refID=7186848&amp;Result=3","7186848")</f>
        <v>0</v>
      </c>
      <c r="B6964" t="s">
        <v>669</v>
      </c>
      <c r="C6964" t="s">
        <v>10189</v>
      </c>
      <c r="D6964" t="s">
        <v>17147</v>
      </c>
      <c r="E6964" t="s">
        <v>23269</v>
      </c>
      <c r="F6964" t="s">
        <v>29372</v>
      </c>
      <c r="G6964" t="s">
        <v>29380</v>
      </c>
      <c r="H6964" t="s">
        <v>11048</v>
      </c>
      <c r="I6964" t="s">
        <v>29433</v>
      </c>
      <c r="J6964" t="s">
        <v>29625</v>
      </c>
      <c r="K6964" t="s">
        <v>38496</v>
      </c>
      <c r="M6964" t="s">
        <v>40506</v>
      </c>
      <c r="N6964" t="s">
        <v>42669</v>
      </c>
      <c r="O6964" t="s">
        <v>42670</v>
      </c>
      <c r="P6964">
        <v>0</v>
      </c>
      <c r="Q6964">
        <v>4</v>
      </c>
      <c r="R6964" t="s">
        <v>42677</v>
      </c>
      <c r="S6964" t="s">
        <v>42830</v>
      </c>
      <c r="T6964" t="s">
        <v>44643</v>
      </c>
      <c r="U6964" t="s">
        <v>50517</v>
      </c>
      <c r="V6964" t="s">
        <v>56460</v>
      </c>
      <c r="W6964" t="s">
        <v>40506</v>
      </c>
      <c r="X6964" t="s">
        <v>42678</v>
      </c>
    </row>
    <row r="6965" spans="1:24">
      <c r="A6965">
        <f>HYPERLINK("https://www.philgeps.gov.ph/GEPSNONPILOT/Tender/SplashBidNoticeAbstractUI.aspx?menuIndex=3&amp;refID=7186829&amp;Result=3","7186829")</f>
        <v>0</v>
      </c>
      <c r="B6965" t="s">
        <v>1760</v>
      </c>
      <c r="C6965" t="s">
        <v>10190</v>
      </c>
      <c r="D6965" t="s">
        <v>17195</v>
      </c>
      <c r="E6965" t="s">
        <v>23270</v>
      </c>
      <c r="F6965" t="s">
        <v>29372</v>
      </c>
      <c r="G6965" t="s">
        <v>29380</v>
      </c>
      <c r="H6965" t="s">
        <v>29389</v>
      </c>
      <c r="I6965" t="s">
        <v>10408</v>
      </c>
      <c r="J6965" t="s">
        <v>30056</v>
      </c>
      <c r="K6965" t="s">
        <v>38531</v>
      </c>
      <c r="M6965" t="s">
        <v>40627</v>
      </c>
      <c r="N6965" t="s">
        <v>42669</v>
      </c>
      <c r="O6965" t="s">
        <v>42670</v>
      </c>
      <c r="P6965">
        <v>0</v>
      </c>
      <c r="Q6965">
        <v>5</v>
      </c>
      <c r="R6965" t="s">
        <v>42677</v>
      </c>
      <c r="S6965" t="s">
        <v>42830</v>
      </c>
      <c r="T6965" t="s">
        <v>44355</v>
      </c>
      <c r="U6965" t="s">
        <v>50518</v>
      </c>
      <c r="V6965" t="s">
        <v>57121</v>
      </c>
      <c r="W6965" t="s">
        <v>40627</v>
      </c>
      <c r="X6965" t="s">
        <v>42678</v>
      </c>
    </row>
    <row r="6966" spans="1:24">
      <c r="A6966">
        <f>HYPERLINK("https://www.philgeps.gov.ph/GEPSNONPILOT/Tender/SplashBidNoticeAbstractUI.aspx?menuIndex=3&amp;refID=7186845&amp;Result=3","7186845")</f>
        <v>0</v>
      </c>
      <c r="B6966" t="s">
        <v>608</v>
      </c>
      <c r="C6966" t="s">
        <v>10191</v>
      </c>
      <c r="D6966" t="s">
        <v>17189</v>
      </c>
      <c r="E6966" t="s">
        <v>23271</v>
      </c>
      <c r="F6966" t="s">
        <v>29372</v>
      </c>
      <c r="G6966" t="s">
        <v>29379</v>
      </c>
      <c r="H6966" t="s">
        <v>11048</v>
      </c>
      <c r="I6966" t="s">
        <v>4709</v>
      </c>
      <c r="J6966" t="s">
        <v>34024</v>
      </c>
      <c r="K6966" t="s">
        <v>38485</v>
      </c>
      <c r="M6966" t="s">
        <v>39379</v>
      </c>
      <c r="N6966" t="s">
        <v>42669</v>
      </c>
      <c r="O6966" t="s">
        <v>42670</v>
      </c>
      <c r="P6966">
        <v>0</v>
      </c>
      <c r="Q6966">
        <v>3</v>
      </c>
      <c r="R6966" t="s">
        <v>42677</v>
      </c>
      <c r="S6966" t="s">
        <v>42830</v>
      </c>
      <c r="T6966" t="s">
        <v>44488</v>
      </c>
      <c r="U6966" t="s">
        <v>46145</v>
      </c>
      <c r="W6966" t="s">
        <v>39379</v>
      </c>
      <c r="X6966" t="s">
        <v>42678</v>
      </c>
    </row>
    <row r="6967" spans="1:24">
      <c r="A6967">
        <f>HYPERLINK("https://www.philgeps.gov.ph/GEPSNONPILOT/Tender/SplashBidNoticeAbstractUI.aspx?menuIndex=3&amp;refID=7186648&amp;Result=3","7186648")</f>
        <v>0</v>
      </c>
      <c r="B6967" t="s">
        <v>2288</v>
      </c>
      <c r="C6967" t="s">
        <v>10192</v>
      </c>
      <c r="D6967" t="s">
        <v>17168</v>
      </c>
      <c r="E6967" t="s">
        <v>18000</v>
      </c>
      <c r="F6967" t="s">
        <v>29372</v>
      </c>
      <c r="G6967" t="s">
        <v>29380</v>
      </c>
      <c r="H6967" t="s">
        <v>11048</v>
      </c>
      <c r="I6967" t="s">
        <v>4709</v>
      </c>
      <c r="J6967" t="s">
        <v>31276</v>
      </c>
      <c r="K6967" t="s">
        <v>38510</v>
      </c>
      <c r="M6967" t="s">
        <v>41213</v>
      </c>
      <c r="N6967" t="s">
        <v>42669</v>
      </c>
      <c r="O6967" t="s">
        <v>42670</v>
      </c>
      <c r="P6967">
        <v>0</v>
      </c>
      <c r="Q6967">
        <v>0</v>
      </c>
      <c r="R6967" t="s">
        <v>42677</v>
      </c>
      <c r="S6967" t="s">
        <v>42830</v>
      </c>
      <c r="T6967" t="s">
        <v>44507</v>
      </c>
      <c r="U6967" t="s">
        <v>50519</v>
      </c>
      <c r="V6967" t="s">
        <v>57122</v>
      </c>
      <c r="W6967" t="s">
        <v>41213</v>
      </c>
      <c r="X6967" t="s">
        <v>42678</v>
      </c>
    </row>
    <row r="6968" spans="1:24">
      <c r="A6968">
        <f>HYPERLINK("https://www.philgeps.gov.ph/GEPSNONPILOT/Tender/SplashBidNoticeAbstractUI.aspx?menuIndex=3&amp;refID=7186854&amp;Result=3","7186854")</f>
        <v>0</v>
      </c>
      <c r="B6968" t="s">
        <v>844</v>
      </c>
      <c r="C6968" t="s">
        <v>10193</v>
      </c>
      <c r="D6968" t="s">
        <v>17218</v>
      </c>
      <c r="E6968" t="s">
        <v>23272</v>
      </c>
      <c r="F6968" t="s">
        <v>29372</v>
      </c>
      <c r="G6968" t="s">
        <v>29379</v>
      </c>
      <c r="H6968" t="s">
        <v>11048</v>
      </c>
      <c r="I6968" t="s">
        <v>29416</v>
      </c>
      <c r="J6968" t="s">
        <v>29824</v>
      </c>
      <c r="K6968" t="s">
        <v>38485</v>
      </c>
      <c r="M6968" t="s">
        <v>39634</v>
      </c>
      <c r="N6968" t="s">
        <v>42669</v>
      </c>
      <c r="O6968" t="s">
        <v>42670</v>
      </c>
      <c r="P6968">
        <v>0</v>
      </c>
      <c r="Q6968">
        <v>1</v>
      </c>
      <c r="R6968" t="s">
        <v>42677</v>
      </c>
      <c r="S6968" t="s">
        <v>42830</v>
      </c>
      <c r="T6968" t="s">
        <v>44427</v>
      </c>
      <c r="U6968" t="s">
        <v>46577</v>
      </c>
      <c r="W6968" t="s">
        <v>39634</v>
      </c>
      <c r="X6968" t="s">
        <v>42678</v>
      </c>
    </row>
    <row r="6969" spans="1:24">
      <c r="A6969">
        <f>HYPERLINK("https://www.philgeps.gov.ph/GEPSNONPILOT/Tender/SplashBidNoticeAbstractUI.aspx?menuIndex=3&amp;refID=7186901&amp;Result=3","7186901")</f>
        <v>0</v>
      </c>
      <c r="B6969" t="s">
        <v>1125</v>
      </c>
      <c r="C6969" t="s">
        <v>7195</v>
      </c>
      <c r="D6969" t="s">
        <v>17151</v>
      </c>
      <c r="E6969" t="s">
        <v>23273</v>
      </c>
      <c r="F6969" t="s">
        <v>29372</v>
      </c>
      <c r="G6969" t="s">
        <v>29379</v>
      </c>
      <c r="H6969" t="s">
        <v>11048</v>
      </c>
      <c r="I6969" t="s">
        <v>3670</v>
      </c>
      <c r="J6969" t="s">
        <v>29590</v>
      </c>
      <c r="K6969" t="s">
        <v>38491</v>
      </c>
      <c r="M6969" t="s">
        <v>40235</v>
      </c>
      <c r="N6969" t="s">
        <v>42669</v>
      </c>
      <c r="O6969" t="s">
        <v>42670</v>
      </c>
      <c r="P6969">
        <v>0</v>
      </c>
      <c r="Q6969">
        <v>0</v>
      </c>
      <c r="R6969" t="s">
        <v>42677</v>
      </c>
      <c r="S6969" t="s">
        <v>42830</v>
      </c>
      <c r="T6969" t="s">
        <v>44427</v>
      </c>
      <c r="U6969" t="s">
        <v>50520</v>
      </c>
      <c r="W6969" t="s">
        <v>40235</v>
      </c>
      <c r="X6969" t="s">
        <v>42678</v>
      </c>
    </row>
    <row r="6970" spans="1:24">
      <c r="A6970">
        <f>HYPERLINK("https://www.philgeps.gov.ph/GEPSNONPILOT/Tender/SplashBidNoticeAbstractUI.aspx?menuIndex=3&amp;refID=7186895&amp;Result=3","7186895")</f>
        <v>0</v>
      </c>
      <c r="B6970" t="s">
        <v>378</v>
      </c>
      <c r="C6970" t="s">
        <v>10194</v>
      </c>
      <c r="D6970" t="s">
        <v>17151</v>
      </c>
      <c r="E6970" t="s">
        <v>23274</v>
      </c>
      <c r="F6970" t="s">
        <v>29372</v>
      </c>
      <c r="G6970" t="s">
        <v>29380</v>
      </c>
      <c r="H6970" t="s">
        <v>11048</v>
      </c>
      <c r="I6970" t="s">
        <v>4709</v>
      </c>
      <c r="J6970" t="s">
        <v>34025</v>
      </c>
      <c r="K6970" t="s">
        <v>38485</v>
      </c>
      <c r="M6970" t="s">
        <v>41214</v>
      </c>
      <c r="N6970" t="s">
        <v>42669</v>
      </c>
      <c r="O6970" t="s">
        <v>42670</v>
      </c>
      <c r="P6970">
        <v>0</v>
      </c>
      <c r="Q6970">
        <v>0</v>
      </c>
      <c r="R6970" t="s">
        <v>42677</v>
      </c>
      <c r="S6970" t="s">
        <v>42830</v>
      </c>
      <c r="T6970" t="s">
        <v>44442</v>
      </c>
      <c r="U6970" t="s">
        <v>50521</v>
      </c>
      <c r="W6970" t="s">
        <v>41215</v>
      </c>
      <c r="X6970" t="s">
        <v>42678</v>
      </c>
    </row>
    <row r="6971" spans="1:24">
      <c r="A6971">
        <f>HYPERLINK("https://www.philgeps.gov.ph/GEPSNONPILOT/Tender/SplashBidNoticeAbstractUI.aspx?menuIndex=3&amp;refID=7186784&amp;Result=3","7186784")</f>
        <v>0</v>
      </c>
      <c r="B6971" t="s">
        <v>1760</v>
      </c>
      <c r="C6971" t="s">
        <v>10195</v>
      </c>
      <c r="D6971" t="s">
        <v>17195</v>
      </c>
      <c r="E6971" t="s">
        <v>23275</v>
      </c>
      <c r="F6971" t="s">
        <v>29372</v>
      </c>
      <c r="G6971" t="s">
        <v>29380</v>
      </c>
      <c r="H6971" t="s">
        <v>11048</v>
      </c>
      <c r="I6971" t="s">
        <v>5383</v>
      </c>
      <c r="J6971" t="s">
        <v>34026</v>
      </c>
      <c r="K6971" t="s">
        <v>38489</v>
      </c>
      <c r="M6971" t="s">
        <v>40627</v>
      </c>
      <c r="N6971" t="s">
        <v>42669</v>
      </c>
      <c r="O6971" t="s">
        <v>42670</v>
      </c>
      <c r="P6971">
        <v>0</v>
      </c>
      <c r="Q6971">
        <v>0</v>
      </c>
      <c r="R6971" t="s">
        <v>42677</v>
      </c>
      <c r="S6971" t="s">
        <v>42830</v>
      </c>
      <c r="T6971" t="s">
        <v>44401</v>
      </c>
      <c r="U6971" t="s">
        <v>50466</v>
      </c>
      <c r="W6971" t="s">
        <v>40627</v>
      </c>
      <c r="X6971" t="s">
        <v>42678</v>
      </c>
    </row>
    <row r="6972" spans="1:24">
      <c r="A6972">
        <f>HYPERLINK("https://www.philgeps.gov.ph/GEPSNONPILOT/Tender/SplashBidNoticeAbstractUI.aspx?menuIndex=3&amp;refID=7186857&amp;Result=3","7186857")</f>
        <v>0</v>
      </c>
      <c r="B6972" t="s">
        <v>608</v>
      </c>
      <c r="C6972" t="s">
        <v>10196</v>
      </c>
      <c r="D6972" t="s">
        <v>17189</v>
      </c>
      <c r="E6972" t="s">
        <v>23276</v>
      </c>
      <c r="F6972" t="s">
        <v>29372</v>
      </c>
      <c r="G6972" t="s">
        <v>29379</v>
      </c>
      <c r="H6972" t="s">
        <v>11048</v>
      </c>
      <c r="I6972" t="s">
        <v>4709</v>
      </c>
      <c r="J6972" t="s">
        <v>34027</v>
      </c>
      <c r="K6972" t="s">
        <v>38485</v>
      </c>
      <c r="M6972" t="s">
        <v>39379</v>
      </c>
      <c r="N6972" t="s">
        <v>42669</v>
      </c>
      <c r="O6972" t="s">
        <v>42670</v>
      </c>
      <c r="P6972">
        <v>0</v>
      </c>
      <c r="Q6972">
        <v>1</v>
      </c>
      <c r="R6972" t="s">
        <v>42677</v>
      </c>
      <c r="S6972" t="s">
        <v>42830</v>
      </c>
      <c r="T6972" t="s">
        <v>44488</v>
      </c>
      <c r="U6972" t="s">
        <v>46145</v>
      </c>
      <c r="W6972" t="s">
        <v>39379</v>
      </c>
      <c r="X6972" t="s">
        <v>42678</v>
      </c>
    </row>
    <row r="6973" spans="1:24">
      <c r="A6973">
        <f>HYPERLINK("https://www.philgeps.gov.ph/GEPSNONPILOT/Tender/SplashBidNoticeAbstractUI.aspx?menuIndex=3&amp;refID=7186894&amp;Result=3","7186894")</f>
        <v>0</v>
      </c>
      <c r="B6973" t="s">
        <v>528</v>
      </c>
      <c r="C6973" t="s">
        <v>10197</v>
      </c>
      <c r="D6973" t="s">
        <v>17199</v>
      </c>
      <c r="E6973" t="s">
        <v>23277</v>
      </c>
      <c r="F6973" t="s">
        <v>29372</v>
      </c>
      <c r="G6973" t="s">
        <v>29379</v>
      </c>
      <c r="H6973" t="s">
        <v>11048</v>
      </c>
      <c r="I6973" t="s">
        <v>3670</v>
      </c>
      <c r="J6973" t="s">
        <v>34028</v>
      </c>
      <c r="K6973" t="s">
        <v>38490</v>
      </c>
      <c r="M6973" t="s">
        <v>39295</v>
      </c>
      <c r="N6973" t="s">
        <v>42669</v>
      </c>
      <c r="O6973" t="s">
        <v>42670</v>
      </c>
      <c r="P6973">
        <v>0</v>
      </c>
      <c r="Q6973">
        <v>0</v>
      </c>
      <c r="R6973" t="s">
        <v>42677</v>
      </c>
      <c r="S6973" t="s">
        <v>42830</v>
      </c>
      <c r="T6973" t="s">
        <v>44469</v>
      </c>
      <c r="U6973" t="s">
        <v>50522</v>
      </c>
      <c r="W6973" t="s">
        <v>39295</v>
      </c>
      <c r="X6973" t="s">
        <v>42678</v>
      </c>
    </row>
    <row r="6974" spans="1:24">
      <c r="A6974">
        <f>HYPERLINK("https://www.philgeps.gov.ph/GEPSNONPILOT/Tender/SplashBidNoticeAbstractUI.aspx?menuIndex=3&amp;refID=7186847&amp;Result=3","7186847")</f>
        <v>0</v>
      </c>
      <c r="B6974" t="s">
        <v>1859</v>
      </c>
      <c r="C6974" t="s">
        <v>10198</v>
      </c>
      <c r="D6974" t="s">
        <v>17205</v>
      </c>
      <c r="E6974" t="s">
        <v>20823</v>
      </c>
      <c r="F6974" t="s">
        <v>29372</v>
      </c>
      <c r="G6974" t="s">
        <v>29380</v>
      </c>
      <c r="H6974" t="s">
        <v>11048</v>
      </c>
      <c r="I6974" t="s">
        <v>4709</v>
      </c>
      <c r="J6974" t="s">
        <v>34029</v>
      </c>
      <c r="K6974" t="s">
        <v>38488</v>
      </c>
      <c r="M6974" t="s">
        <v>40732</v>
      </c>
      <c r="N6974" t="s">
        <v>42669</v>
      </c>
      <c r="O6974" t="s">
        <v>42670</v>
      </c>
      <c r="P6974">
        <v>0</v>
      </c>
      <c r="Q6974">
        <v>0</v>
      </c>
      <c r="R6974" t="s">
        <v>42677</v>
      </c>
      <c r="S6974" t="s">
        <v>42830</v>
      </c>
      <c r="T6974" t="s">
        <v>44530</v>
      </c>
      <c r="U6974" t="s">
        <v>50523</v>
      </c>
      <c r="W6974" t="s">
        <v>40732</v>
      </c>
      <c r="X6974" t="s">
        <v>42678</v>
      </c>
    </row>
    <row r="6975" spans="1:24">
      <c r="A6975">
        <f>HYPERLINK("https://www.philgeps.gov.ph/GEPSNONPILOT/Tender/SplashBidNoticeAbstractUI.aspx?menuIndex=3&amp;refID=7186892&amp;Result=3","7186892")</f>
        <v>0</v>
      </c>
      <c r="B6975" t="s">
        <v>378</v>
      </c>
      <c r="C6975" t="s">
        <v>10199</v>
      </c>
      <c r="D6975" t="s">
        <v>17151</v>
      </c>
      <c r="E6975" t="s">
        <v>23278</v>
      </c>
      <c r="F6975" t="s">
        <v>29372</v>
      </c>
      <c r="G6975" t="s">
        <v>29380</v>
      </c>
      <c r="H6975" t="s">
        <v>11048</v>
      </c>
      <c r="I6975" t="s">
        <v>4709</v>
      </c>
      <c r="J6975" t="s">
        <v>34030</v>
      </c>
      <c r="K6975" t="s">
        <v>38522</v>
      </c>
      <c r="M6975" t="s">
        <v>41215</v>
      </c>
      <c r="N6975" t="s">
        <v>42669</v>
      </c>
      <c r="O6975" t="s">
        <v>42670</v>
      </c>
      <c r="P6975">
        <v>0</v>
      </c>
      <c r="Q6975">
        <v>0</v>
      </c>
      <c r="R6975" t="s">
        <v>42677</v>
      </c>
      <c r="S6975" t="s">
        <v>42830</v>
      </c>
      <c r="T6975" t="s">
        <v>44442</v>
      </c>
      <c r="U6975" t="s">
        <v>50524</v>
      </c>
      <c r="W6975" t="s">
        <v>41215</v>
      </c>
      <c r="X6975" t="s">
        <v>42678</v>
      </c>
    </row>
    <row r="6976" spans="1:24">
      <c r="A6976">
        <f>HYPERLINK("https://www.philgeps.gov.ph/GEPSNONPILOT/Tender/SplashBidNoticeAbstractUI.aspx?menuIndex=3&amp;refID=7186899&amp;Result=3","7186899")</f>
        <v>0</v>
      </c>
      <c r="B6976" t="s">
        <v>378</v>
      </c>
      <c r="C6976" t="s">
        <v>10200</v>
      </c>
      <c r="D6976" t="s">
        <v>17151</v>
      </c>
      <c r="E6976" t="s">
        <v>23279</v>
      </c>
      <c r="F6976" t="s">
        <v>29372</v>
      </c>
      <c r="G6976" t="s">
        <v>29380</v>
      </c>
      <c r="H6976" t="s">
        <v>11048</v>
      </c>
      <c r="I6976" t="s">
        <v>4709</v>
      </c>
      <c r="J6976" t="s">
        <v>34031</v>
      </c>
      <c r="K6976" t="s">
        <v>38522</v>
      </c>
      <c r="M6976" t="s">
        <v>41214</v>
      </c>
      <c r="N6976" t="s">
        <v>42669</v>
      </c>
      <c r="O6976" t="s">
        <v>42670</v>
      </c>
      <c r="P6976">
        <v>0</v>
      </c>
      <c r="Q6976">
        <v>0</v>
      </c>
      <c r="R6976" t="s">
        <v>42677</v>
      </c>
      <c r="S6976" t="s">
        <v>42830</v>
      </c>
      <c r="T6976" t="s">
        <v>44442</v>
      </c>
      <c r="U6976" t="s">
        <v>50525</v>
      </c>
      <c r="W6976" t="s">
        <v>41215</v>
      </c>
      <c r="X6976" t="s">
        <v>42678</v>
      </c>
    </row>
    <row r="6977" spans="1:24">
      <c r="A6977">
        <f>HYPERLINK("https://www.philgeps.gov.ph/GEPSNONPILOT/Tender/SplashBidNoticeAbstractUI.aspx?menuIndex=3&amp;refID=7186898&amp;Result=3","7186898")</f>
        <v>0</v>
      </c>
      <c r="B6977" t="s">
        <v>528</v>
      </c>
      <c r="C6977" t="s">
        <v>10201</v>
      </c>
      <c r="D6977" t="s">
        <v>17199</v>
      </c>
      <c r="E6977" t="s">
        <v>18829</v>
      </c>
      <c r="F6977" t="s">
        <v>29372</v>
      </c>
      <c r="G6977" t="s">
        <v>29379</v>
      </c>
      <c r="H6977" t="s">
        <v>11048</v>
      </c>
      <c r="I6977" t="s">
        <v>29426</v>
      </c>
      <c r="J6977" t="s">
        <v>29625</v>
      </c>
      <c r="K6977" t="s">
        <v>38490</v>
      </c>
      <c r="M6977" t="s">
        <v>39295</v>
      </c>
      <c r="N6977" t="s">
        <v>42669</v>
      </c>
      <c r="O6977" t="s">
        <v>42670</v>
      </c>
      <c r="P6977">
        <v>0</v>
      </c>
      <c r="Q6977">
        <v>2</v>
      </c>
      <c r="R6977" t="s">
        <v>42677</v>
      </c>
      <c r="S6977" t="s">
        <v>42830</v>
      </c>
      <c r="T6977" t="s">
        <v>44469</v>
      </c>
      <c r="U6977" t="s">
        <v>50526</v>
      </c>
      <c r="W6977" t="s">
        <v>39295</v>
      </c>
      <c r="X6977" t="s">
        <v>42678</v>
      </c>
    </row>
    <row r="6978" spans="1:24">
      <c r="A6978">
        <f>HYPERLINK("https://www.philgeps.gov.ph/GEPSNONPILOT/Tender/SplashBidNoticeAbstractUI.aspx?menuIndex=3&amp;refID=7186887&amp;Result=3","7186887")</f>
        <v>0</v>
      </c>
      <c r="B6978" t="s">
        <v>844</v>
      </c>
      <c r="C6978" t="s">
        <v>10202</v>
      </c>
      <c r="D6978" t="s">
        <v>17218</v>
      </c>
      <c r="E6978" t="s">
        <v>23280</v>
      </c>
      <c r="F6978" t="s">
        <v>29372</v>
      </c>
      <c r="G6978" t="s">
        <v>29379</v>
      </c>
      <c r="H6978" t="s">
        <v>11048</v>
      </c>
      <c r="I6978" t="s">
        <v>29394</v>
      </c>
      <c r="J6978" t="s">
        <v>34032</v>
      </c>
      <c r="K6978" t="s">
        <v>38485</v>
      </c>
      <c r="M6978" t="s">
        <v>39634</v>
      </c>
      <c r="N6978" t="s">
        <v>42669</v>
      </c>
      <c r="O6978" t="s">
        <v>42670</v>
      </c>
      <c r="P6978">
        <v>0</v>
      </c>
      <c r="Q6978">
        <v>1</v>
      </c>
      <c r="R6978" t="s">
        <v>42677</v>
      </c>
      <c r="S6978" t="s">
        <v>42830</v>
      </c>
      <c r="T6978" t="s">
        <v>44427</v>
      </c>
      <c r="U6978" t="s">
        <v>46577</v>
      </c>
      <c r="W6978" t="s">
        <v>39634</v>
      </c>
      <c r="X6978" t="s">
        <v>42678</v>
      </c>
    </row>
    <row r="6979" spans="1:24">
      <c r="A6979">
        <f>HYPERLINK("https://www.philgeps.gov.ph/GEPSNONPILOT/Tender/SplashBidNoticeAbstractUI.aspx?menuIndex=3&amp;refID=7186893&amp;Result=3","7186893")</f>
        <v>0</v>
      </c>
      <c r="B6979" t="s">
        <v>844</v>
      </c>
      <c r="C6979" t="s">
        <v>10203</v>
      </c>
      <c r="D6979" t="s">
        <v>17218</v>
      </c>
      <c r="E6979" t="s">
        <v>23281</v>
      </c>
      <c r="F6979" t="s">
        <v>29372</v>
      </c>
      <c r="G6979" t="s">
        <v>29379</v>
      </c>
      <c r="H6979" t="s">
        <v>11048</v>
      </c>
      <c r="I6979" t="s">
        <v>3670</v>
      </c>
      <c r="J6979" t="s">
        <v>31097</v>
      </c>
      <c r="K6979" t="s">
        <v>38485</v>
      </c>
      <c r="M6979" t="s">
        <v>39634</v>
      </c>
      <c r="N6979" t="s">
        <v>42669</v>
      </c>
      <c r="O6979" t="s">
        <v>42670</v>
      </c>
      <c r="P6979">
        <v>0</v>
      </c>
      <c r="Q6979">
        <v>0</v>
      </c>
      <c r="R6979" t="s">
        <v>42677</v>
      </c>
      <c r="S6979" t="s">
        <v>42830</v>
      </c>
      <c r="T6979" t="s">
        <v>44427</v>
      </c>
      <c r="U6979" t="s">
        <v>46577</v>
      </c>
      <c r="W6979" t="s">
        <v>39634</v>
      </c>
      <c r="X6979" t="s">
        <v>42678</v>
      </c>
    </row>
    <row r="6980" spans="1:24">
      <c r="A6980">
        <f>HYPERLINK("https://www.philgeps.gov.ph/GEPSNONPILOT/Tender/SplashBidNoticeAbstractUI.aspx?menuIndex=3&amp;refID=7186884&amp;Result=3","7186884")</f>
        <v>0</v>
      </c>
      <c r="B6980" t="s">
        <v>844</v>
      </c>
      <c r="C6980" t="s">
        <v>10204</v>
      </c>
      <c r="D6980" t="s">
        <v>17218</v>
      </c>
      <c r="E6980" t="s">
        <v>23282</v>
      </c>
      <c r="F6980" t="s">
        <v>29372</v>
      </c>
      <c r="G6980" t="s">
        <v>29379</v>
      </c>
      <c r="H6980" t="s">
        <v>11048</v>
      </c>
      <c r="I6980" t="s">
        <v>3670</v>
      </c>
      <c r="J6980" t="s">
        <v>34033</v>
      </c>
      <c r="K6980" t="s">
        <v>38485</v>
      </c>
      <c r="M6980" t="s">
        <v>39634</v>
      </c>
      <c r="N6980" t="s">
        <v>42669</v>
      </c>
      <c r="O6980" t="s">
        <v>42670</v>
      </c>
      <c r="P6980">
        <v>0</v>
      </c>
      <c r="Q6980">
        <v>1</v>
      </c>
      <c r="R6980" t="s">
        <v>42677</v>
      </c>
      <c r="S6980" t="s">
        <v>42830</v>
      </c>
      <c r="T6980" t="s">
        <v>44427</v>
      </c>
      <c r="U6980" t="s">
        <v>46577</v>
      </c>
      <c r="W6980" t="s">
        <v>39634</v>
      </c>
      <c r="X6980" t="s">
        <v>42678</v>
      </c>
    </row>
    <row r="6981" spans="1:24">
      <c r="A6981">
        <f>HYPERLINK("https://www.philgeps.gov.ph/GEPSNONPILOT/Tender/SplashBidNoticeAbstractUI.aspx?menuIndex=3&amp;refID=7186890&amp;Result=3","7186890")</f>
        <v>0</v>
      </c>
      <c r="B6981" t="s">
        <v>669</v>
      </c>
      <c r="C6981" t="s">
        <v>10205</v>
      </c>
      <c r="D6981" t="s">
        <v>17147</v>
      </c>
      <c r="E6981" t="s">
        <v>23283</v>
      </c>
      <c r="F6981" t="s">
        <v>29372</v>
      </c>
      <c r="G6981" t="s">
        <v>29380</v>
      </c>
      <c r="H6981" t="s">
        <v>11048</v>
      </c>
      <c r="I6981" t="s">
        <v>29433</v>
      </c>
      <c r="J6981" t="s">
        <v>34034</v>
      </c>
      <c r="K6981" t="s">
        <v>38488</v>
      </c>
      <c r="M6981" t="s">
        <v>40506</v>
      </c>
      <c r="N6981" t="s">
        <v>42669</v>
      </c>
      <c r="O6981" t="s">
        <v>42670</v>
      </c>
      <c r="P6981">
        <v>0</v>
      </c>
      <c r="Q6981">
        <v>2</v>
      </c>
      <c r="R6981" t="s">
        <v>42677</v>
      </c>
      <c r="S6981" t="s">
        <v>42830</v>
      </c>
      <c r="T6981" t="s">
        <v>44643</v>
      </c>
      <c r="U6981" t="s">
        <v>50527</v>
      </c>
      <c r="V6981" t="s">
        <v>56460</v>
      </c>
      <c r="W6981" t="s">
        <v>40506</v>
      </c>
      <c r="X6981" t="s">
        <v>42678</v>
      </c>
    </row>
    <row r="6982" spans="1:24">
      <c r="A6982">
        <f>HYPERLINK("https://www.philgeps.gov.ph/GEPSNONPILOT/Tender/SplashBidNoticeAbstractUI.aspx?menuIndex=3&amp;refID=7186889&amp;Result=3","7186889")</f>
        <v>0</v>
      </c>
      <c r="B6982" t="s">
        <v>844</v>
      </c>
      <c r="C6982" t="s">
        <v>10206</v>
      </c>
      <c r="D6982" t="s">
        <v>17218</v>
      </c>
      <c r="E6982" t="s">
        <v>23284</v>
      </c>
      <c r="F6982" t="s">
        <v>29372</v>
      </c>
      <c r="G6982" t="s">
        <v>29379</v>
      </c>
      <c r="H6982" t="s">
        <v>11048</v>
      </c>
      <c r="I6982" t="s">
        <v>3670</v>
      </c>
      <c r="J6982" t="s">
        <v>30236</v>
      </c>
      <c r="K6982" t="s">
        <v>38485</v>
      </c>
      <c r="M6982" t="s">
        <v>39634</v>
      </c>
      <c r="N6982" t="s">
        <v>42669</v>
      </c>
      <c r="O6982" t="s">
        <v>42670</v>
      </c>
      <c r="P6982">
        <v>0</v>
      </c>
      <c r="Q6982">
        <v>0</v>
      </c>
      <c r="R6982" t="s">
        <v>42677</v>
      </c>
      <c r="S6982" t="s">
        <v>42830</v>
      </c>
      <c r="T6982" t="s">
        <v>44427</v>
      </c>
      <c r="U6982" t="s">
        <v>46577</v>
      </c>
      <c r="W6982" t="s">
        <v>39634</v>
      </c>
      <c r="X6982" t="s">
        <v>42678</v>
      </c>
    </row>
    <row r="6983" spans="1:24">
      <c r="A6983">
        <f>HYPERLINK("https://www.philgeps.gov.ph/GEPSNONPILOT/Tender/SplashBidNoticeAbstractUI.aspx?menuIndex=3&amp;refID=7186881&amp;Result=3","7186881")</f>
        <v>0</v>
      </c>
      <c r="B6983" t="s">
        <v>844</v>
      </c>
      <c r="C6983" t="s">
        <v>10207</v>
      </c>
      <c r="D6983" t="s">
        <v>17218</v>
      </c>
      <c r="E6983" t="s">
        <v>23285</v>
      </c>
      <c r="F6983" t="s">
        <v>29372</v>
      </c>
      <c r="G6983" t="s">
        <v>29379</v>
      </c>
      <c r="H6983" t="s">
        <v>11048</v>
      </c>
      <c r="I6983" t="s">
        <v>29394</v>
      </c>
      <c r="J6983" t="s">
        <v>34035</v>
      </c>
      <c r="K6983" t="s">
        <v>38485</v>
      </c>
      <c r="M6983" t="s">
        <v>39634</v>
      </c>
      <c r="N6983" t="s">
        <v>42669</v>
      </c>
      <c r="O6983" t="s">
        <v>42670</v>
      </c>
      <c r="P6983">
        <v>0</v>
      </c>
      <c r="Q6983">
        <v>2</v>
      </c>
      <c r="R6983" t="s">
        <v>42677</v>
      </c>
      <c r="S6983" t="s">
        <v>42830</v>
      </c>
      <c r="T6983" t="s">
        <v>44427</v>
      </c>
      <c r="U6983" t="s">
        <v>46577</v>
      </c>
      <c r="W6983" t="s">
        <v>39634</v>
      </c>
      <c r="X6983" t="s">
        <v>42678</v>
      </c>
    </row>
    <row r="6984" spans="1:24">
      <c r="A6984">
        <f>HYPERLINK("https://www.philgeps.gov.ph/GEPSNONPILOT/Tender/SplashBidNoticeAbstractUI.aspx?menuIndex=3&amp;refID=7186880&amp;Result=3","7186880")</f>
        <v>0</v>
      </c>
      <c r="B6984" t="s">
        <v>40</v>
      </c>
      <c r="C6984" t="s">
        <v>10208</v>
      </c>
      <c r="D6984" t="s">
        <v>17151</v>
      </c>
      <c r="E6984" t="s">
        <v>23286</v>
      </c>
      <c r="F6984" t="s">
        <v>29372</v>
      </c>
      <c r="G6984" t="s">
        <v>29380</v>
      </c>
      <c r="H6984" t="s">
        <v>11048</v>
      </c>
      <c r="I6984" t="s">
        <v>3695</v>
      </c>
      <c r="J6984" t="s">
        <v>34036</v>
      </c>
      <c r="K6984" t="s">
        <v>38485</v>
      </c>
      <c r="M6984" t="s">
        <v>38793</v>
      </c>
      <c r="N6984" t="s">
        <v>42669</v>
      </c>
      <c r="O6984" t="s">
        <v>42670</v>
      </c>
      <c r="P6984">
        <v>0</v>
      </c>
      <c r="Q6984">
        <v>1</v>
      </c>
      <c r="R6984" t="s">
        <v>42677</v>
      </c>
      <c r="S6984" t="s">
        <v>42830</v>
      </c>
      <c r="T6984" t="s">
        <v>44631</v>
      </c>
      <c r="U6984" t="s">
        <v>50528</v>
      </c>
      <c r="V6984" t="s">
        <v>56328</v>
      </c>
      <c r="W6984" t="s">
        <v>38793</v>
      </c>
      <c r="X6984" t="s">
        <v>42678</v>
      </c>
    </row>
    <row r="6985" spans="1:24">
      <c r="A6985">
        <f>HYPERLINK("https://www.philgeps.gov.ph/GEPSNONPILOT/Tender/SplashBidNoticeAbstractUI.aspx?menuIndex=3&amp;refID=7186875&amp;Result=3","7186875")</f>
        <v>0</v>
      </c>
      <c r="B6985" t="s">
        <v>844</v>
      </c>
      <c r="C6985" t="s">
        <v>10209</v>
      </c>
      <c r="D6985" t="s">
        <v>17218</v>
      </c>
      <c r="E6985" t="s">
        <v>23287</v>
      </c>
      <c r="F6985" t="s">
        <v>29372</v>
      </c>
      <c r="G6985" t="s">
        <v>29379</v>
      </c>
      <c r="H6985" t="s">
        <v>11048</v>
      </c>
      <c r="I6985" t="s">
        <v>29394</v>
      </c>
      <c r="J6985" t="s">
        <v>29555</v>
      </c>
      <c r="K6985" t="s">
        <v>38485</v>
      </c>
      <c r="M6985" t="s">
        <v>39634</v>
      </c>
      <c r="N6985" t="s">
        <v>42669</v>
      </c>
      <c r="O6985" t="s">
        <v>42670</v>
      </c>
      <c r="P6985">
        <v>0</v>
      </c>
      <c r="Q6985">
        <v>1</v>
      </c>
      <c r="R6985" t="s">
        <v>42677</v>
      </c>
      <c r="S6985" t="s">
        <v>42830</v>
      </c>
      <c r="T6985" t="s">
        <v>44427</v>
      </c>
      <c r="U6985" t="s">
        <v>46577</v>
      </c>
      <c r="W6985" t="s">
        <v>39634</v>
      </c>
      <c r="X6985" t="s">
        <v>42678</v>
      </c>
    </row>
    <row r="6986" spans="1:24">
      <c r="A6986">
        <f>HYPERLINK("https://www.philgeps.gov.ph/GEPSNONPILOT/Tender/SplashBidNoticeAbstractUI.aspx?menuIndex=3&amp;refID=7186859&amp;Result=3","7186859")</f>
        <v>0</v>
      </c>
      <c r="B6986" t="s">
        <v>669</v>
      </c>
      <c r="C6986" t="s">
        <v>10210</v>
      </c>
      <c r="D6986" t="s">
        <v>17147</v>
      </c>
      <c r="E6986" t="s">
        <v>23288</v>
      </c>
      <c r="F6986" t="s">
        <v>29372</v>
      </c>
      <c r="G6986" t="s">
        <v>29380</v>
      </c>
      <c r="H6986" t="s">
        <v>11048</v>
      </c>
      <c r="I6986" t="s">
        <v>29433</v>
      </c>
      <c r="J6986" t="s">
        <v>31951</v>
      </c>
      <c r="K6986" t="s">
        <v>38488</v>
      </c>
      <c r="M6986" t="s">
        <v>40506</v>
      </c>
      <c r="N6986" t="s">
        <v>42669</v>
      </c>
      <c r="O6986" t="s">
        <v>42670</v>
      </c>
      <c r="P6986">
        <v>0</v>
      </c>
      <c r="Q6986">
        <v>4</v>
      </c>
      <c r="R6986" t="s">
        <v>42677</v>
      </c>
      <c r="S6986" t="s">
        <v>42830</v>
      </c>
      <c r="T6986" t="s">
        <v>44643</v>
      </c>
      <c r="U6986" t="s">
        <v>50529</v>
      </c>
      <c r="V6986" t="s">
        <v>56460</v>
      </c>
      <c r="W6986" t="s">
        <v>40506</v>
      </c>
      <c r="X6986" t="s">
        <v>42678</v>
      </c>
    </row>
    <row r="6987" spans="1:24">
      <c r="A6987">
        <f>HYPERLINK("https://www.philgeps.gov.ph/GEPSNONPILOT/Tender/SplashBidNoticeAbstractUI.aspx?menuIndex=3&amp;refID=7186886&amp;Result=3","7186886")</f>
        <v>0</v>
      </c>
      <c r="B6987" t="s">
        <v>1125</v>
      </c>
      <c r="C6987" t="s">
        <v>6414</v>
      </c>
      <c r="D6987" t="s">
        <v>17151</v>
      </c>
      <c r="E6987" t="s">
        <v>23289</v>
      </c>
      <c r="F6987" t="s">
        <v>29372</v>
      </c>
      <c r="G6987" t="s">
        <v>29383</v>
      </c>
      <c r="H6987" t="s">
        <v>11048</v>
      </c>
      <c r="I6987" t="s">
        <v>5383</v>
      </c>
      <c r="J6987" t="s">
        <v>34037</v>
      </c>
      <c r="K6987" t="s">
        <v>38491</v>
      </c>
      <c r="M6987" t="s">
        <v>40235</v>
      </c>
      <c r="N6987" t="s">
        <v>42669</v>
      </c>
      <c r="O6987" t="s">
        <v>42670</v>
      </c>
      <c r="P6987">
        <v>0</v>
      </c>
      <c r="Q6987">
        <v>1</v>
      </c>
      <c r="R6987" t="s">
        <v>42677</v>
      </c>
      <c r="S6987" t="s">
        <v>42830</v>
      </c>
      <c r="T6987" t="s">
        <v>44427</v>
      </c>
      <c r="U6987" t="s">
        <v>50530</v>
      </c>
      <c r="W6987" t="s">
        <v>40235</v>
      </c>
      <c r="X6987" t="s">
        <v>42678</v>
      </c>
    </row>
    <row r="6988" spans="1:24">
      <c r="A6988">
        <f>HYPERLINK("https://www.philgeps.gov.ph/GEPSNONPILOT/Tender/SplashBidNoticeAbstractUI.aspx?menuIndex=3&amp;refID=7186888&amp;Result=3","7186888")</f>
        <v>0</v>
      </c>
      <c r="B6988" t="s">
        <v>378</v>
      </c>
      <c r="C6988" t="s">
        <v>10211</v>
      </c>
      <c r="D6988" t="s">
        <v>17151</v>
      </c>
      <c r="E6988" t="s">
        <v>23290</v>
      </c>
      <c r="F6988" t="s">
        <v>29372</v>
      </c>
      <c r="G6988" t="s">
        <v>29380</v>
      </c>
      <c r="H6988" t="s">
        <v>11048</v>
      </c>
      <c r="I6988" t="s">
        <v>4709</v>
      </c>
      <c r="J6988" t="s">
        <v>34038</v>
      </c>
      <c r="K6988" t="s">
        <v>38485</v>
      </c>
      <c r="M6988" t="s">
        <v>41214</v>
      </c>
      <c r="N6988" t="s">
        <v>42669</v>
      </c>
      <c r="O6988" t="s">
        <v>42670</v>
      </c>
      <c r="P6988">
        <v>0</v>
      </c>
      <c r="Q6988">
        <v>0</v>
      </c>
      <c r="R6988" t="s">
        <v>42677</v>
      </c>
      <c r="S6988" t="s">
        <v>42830</v>
      </c>
      <c r="T6988" t="s">
        <v>44442</v>
      </c>
      <c r="U6988" t="s">
        <v>50524</v>
      </c>
      <c r="W6988" t="s">
        <v>41215</v>
      </c>
      <c r="X6988" t="s">
        <v>42678</v>
      </c>
    </row>
    <row r="6989" spans="1:24">
      <c r="A6989">
        <f>HYPERLINK("https://www.philgeps.gov.ph/GEPSNONPILOT/Tender/SplashBidNoticeAbstractUI.aspx?menuIndex=3&amp;refID=7186844&amp;Result=3","7186844")</f>
        <v>0</v>
      </c>
      <c r="B6989" t="s">
        <v>365</v>
      </c>
      <c r="C6989" t="s">
        <v>10212</v>
      </c>
      <c r="D6989" t="s">
        <v>17143</v>
      </c>
      <c r="E6989" t="s">
        <v>23291</v>
      </c>
      <c r="F6989" t="s">
        <v>29372</v>
      </c>
      <c r="G6989" t="s">
        <v>29380</v>
      </c>
      <c r="H6989" t="s">
        <v>11048</v>
      </c>
      <c r="I6989" t="s">
        <v>29493</v>
      </c>
      <c r="J6989" t="s">
        <v>34039</v>
      </c>
      <c r="K6989" t="s">
        <v>38488</v>
      </c>
      <c r="M6989" t="s">
        <v>39125</v>
      </c>
      <c r="N6989" t="s">
        <v>42669</v>
      </c>
      <c r="O6989" t="s">
        <v>42670</v>
      </c>
      <c r="P6989">
        <v>0</v>
      </c>
      <c r="Q6989">
        <v>1</v>
      </c>
      <c r="R6989" t="s">
        <v>42677</v>
      </c>
      <c r="S6989" t="s">
        <v>42830</v>
      </c>
      <c r="T6989" t="s">
        <v>44427</v>
      </c>
      <c r="U6989" t="s">
        <v>50531</v>
      </c>
      <c r="W6989" t="s">
        <v>58010</v>
      </c>
      <c r="X6989" t="s">
        <v>42678</v>
      </c>
    </row>
    <row r="6990" spans="1:24">
      <c r="A6990">
        <f>HYPERLINK("https://www.philgeps.gov.ph/GEPSNONPILOT/Tender/SplashBidNoticeAbstractUI.aspx?menuIndex=3&amp;refID=7186885&amp;Result=3","7186885")</f>
        <v>0</v>
      </c>
      <c r="B6990" t="s">
        <v>530</v>
      </c>
      <c r="C6990" t="s">
        <v>10213</v>
      </c>
      <c r="D6990" t="s">
        <v>17201</v>
      </c>
      <c r="E6990" t="s">
        <v>23292</v>
      </c>
      <c r="F6990" t="s">
        <v>29372</v>
      </c>
      <c r="G6990" t="s">
        <v>29380</v>
      </c>
      <c r="H6990" t="s">
        <v>11048</v>
      </c>
      <c r="I6990" t="s">
        <v>29396</v>
      </c>
      <c r="J6990" t="s">
        <v>30046</v>
      </c>
      <c r="K6990" t="s">
        <v>38485</v>
      </c>
      <c r="M6990" t="s">
        <v>39297</v>
      </c>
      <c r="N6990" t="s">
        <v>42669</v>
      </c>
      <c r="O6990" t="s">
        <v>42670</v>
      </c>
      <c r="P6990">
        <v>0</v>
      </c>
      <c r="Q6990">
        <v>4</v>
      </c>
      <c r="R6990" t="s">
        <v>42677</v>
      </c>
      <c r="S6990" t="s">
        <v>42830</v>
      </c>
      <c r="T6990" t="s">
        <v>44418</v>
      </c>
      <c r="U6990" t="s">
        <v>50532</v>
      </c>
      <c r="W6990" t="s">
        <v>39297</v>
      </c>
      <c r="X6990" t="s">
        <v>42678</v>
      </c>
    </row>
    <row r="6991" spans="1:24">
      <c r="A6991">
        <f>HYPERLINK("https://www.philgeps.gov.ph/GEPSNONPILOT/Tender/SplashBidNoticeAbstractUI.aspx?menuIndex=3&amp;refID=7164181&amp;Result=3","7164181")</f>
        <v>0</v>
      </c>
      <c r="B6991" t="s">
        <v>2289</v>
      </c>
      <c r="C6991" t="s">
        <v>10214</v>
      </c>
      <c r="D6991" t="s">
        <v>17205</v>
      </c>
      <c r="E6991" t="s">
        <v>17533</v>
      </c>
      <c r="F6991" t="s">
        <v>29372</v>
      </c>
      <c r="G6991" t="s">
        <v>29380</v>
      </c>
      <c r="H6991" t="s">
        <v>11048</v>
      </c>
      <c r="I6991" t="s">
        <v>4709</v>
      </c>
      <c r="J6991" t="s">
        <v>34040</v>
      </c>
      <c r="K6991" t="s">
        <v>38538</v>
      </c>
      <c r="M6991" t="s">
        <v>41216</v>
      </c>
      <c r="N6991" t="s">
        <v>42669</v>
      </c>
      <c r="O6991" t="s">
        <v>42670</v>
      </c>
      <c r="P6991">
        <v>0</v>
      </c>
      <c r="Q6991">
        <v>3</v>
      </c>
      <c r="R6991" t="s">
        <v>42678</v>
      </c>
      <c r="S6991" t="s">
        <v>42866</v>
      </c>
      <c r="T6991" t="s">
        <v>44393</v>
      </c>
      <c r="U6991" t="s">
        <v>50533</v>
      </c>
      <c r="V6991" t="s">
        <v>57123</v>
      </c>
      <c r="W6991" t="s">
        <v>41216</v>
      </c>
      <c r="X6991" t="s">
        <v>42689</v>
      </c>
    </row>
    <row r="6992" spans="1:24">
      <c r="A6992">
        <f>HYPERLINK("https://www.philgeps.gov.ph/GEPSNONPILOT/Tender/SplashBidNoticeAbstractUI.aspx?menuIndex=3&amp;refID=7186873&amp;Result=3","7186873")</f>
        <v>0</v>
      </c>
      <c r="B6992" t="s">
        <v>669</v>
      </c>
      <c r="C6992" t="s">
        <v>10215</v>
      </c>
      <c r="D6992" t="s">
        <v>17147</v>
      </c>
      <c r="E6992" t="s">
        <v>23293</v>
      </c>
      <c r="F6992" t="s">
        <v>29372</v>
      </c>
      <c r="G6992" t="s">
        <v>29380</v>
      </c>
      <c r="H6992" t="s">
        <v>11048</v>
      </c>
      <c r="I6992" t="s">
        <v>3695</v>
      </c>
      <c r="J6992" t="s">
        <v>34041</v>
      </c>
      <c r="K6992" t="s">
        <v>38488</v>
      </c>
      <c r="M6992" t="s">
        <v>40506</v>
      </c>
      <c r="N6992" t="s">
        <v>42669</v>
      </c>
      <c r="O6992" t="s">
        <v>42670</v>
      </c>
      <c r="P6992">
        <v>0</v>
      </c>
      <c r="Q6992">
        <v>2</v>
      </c>
      <c r="R6992" t="s">
        <v>42677</v>
      </c>
      <c r="S6992" t="s">
        <v>42830</v>
      </c>
      <c r="T6992" t="s">
        <v>44643</v>
      </c>
      <c r="U6992" t="s">
        <v>50534</v>
      </c>
      <c r="V6992" t="s">
        <v>56460</v>
      </c>
      <c r="W6992" t="s">
        <v>40506</v>
      </c>
      <c r="X6992" t="s">
        <v>42678</v>
      </c>
    </row>
    <row r="6993" spans="1:24">
      <c r="A6993">
        <f>HYPERLINK("https://www.philgeps.gov.ph/GEPSNONPILOT/Tender/SplashBidNoticeAbstractUI.aspx?menuIndex=3&amp;refID=7147856-2&amp;Result=3","7147856-2")</f>
        <v>0</v>
      </c>
      <c r="B6993" t="s">
        <v>105</v>
      </c>
      <c r="C6993" t="s">
        <v>10216</v>
      </c>
      <c r="D6993" t="s">
        <v>17181</v>
      </c>
      <c r="E6993" t="s">
        <v>23294</v>
      </c>
      <c r="F6993" t="s">
        <v>29372</v>
      </c>
      <c r="G6993" t="s">
        <v>29380</v>
      </c>
      <c r="H6993" t="s">
        <v>29391</v>
      </c>
      <c r="I6993" t="s">
        <v>29391</v>
      </c>
      <c r="J6993" t="s">
        <v>34042</v>
      </c>
      <c r="K6993" t="s">
        <v>38678</v>
      </c>
      <c r="M6993" t="s">
        <v>38860</v>
      </c>
      <c r="N6993" t="s">
        <v>42669</v>
      </c>
      <c r="O6993" t="s">
        <v>42670</v>
      </c>
      <c r="P6993">
        <v>0</v>
      </c>
      <c r="Q6993">
        <v>4</v>
      </c>
      <c r="R6993" t="s">
        <v>42678</v>
      </c>
      <c r="S6993" t="s">
        <v>42866</v>
      </c>
      <c r="T6993" t="s">
        <v>44742</v>
      </c>
      <c r="U6993" t="s">
        <v>50535</v>
      </c>
      <c r="V6993" t="s">
        <v>57124</v>
      </c>
      <c r="W6993" t="s">
        <v>38860</v>
      </c>
      <c r="X6993" t="s">
        <v>42679</v>
      </c>
    </row>
    <row r="6994" spans="1:24">
      <c r="A6994">
        <f>HYPERLINK("https://www.philgeps.gov.ph/GEPSNONPILOT/Tender/SplashBidNoticeAbstractUI.aspx?menuIndex=3&amp;refID=7147917-2&amp;Result=3","7147917-2")</f>
        <v>0</v>
      </c>
      <c r="B6994" t="s">
        <v>105</v>
      </c>
      <c r="C6994" t="s">
        <v>10217</v>
      </c>
      <c r="D6994" t="s">
        <v>17181</v>
      </c>
      <c r="E6994" t="s">
        <v>23295</v>
      </c>
      <c r="F6994" t="s">
        <v>29372</v>
      </c>
      <c r="G6994" t="s">
        <v>29380</v>
      </c>
      <c r="H6994" t="s">
        <v>29391</v>
      </c>
      <c r="I6994" t="s">
        <v>29391</v>
      </c>
      <c r="J6994" t="s">
        <v>34043</v>
      </c>
      <c r="K6994" t="s">
        <v>38514</v>
      </c>
      <c r="M6994" t="s">
        <v>38860</v>
      </c>
      <c r="N6994" t="s">
        <v>42669</v>
      </c>
      <c r="O6994" t="s">
        <v>42670</v>
      </c>
      <c r="P6994">
        <v>0</v>
      </c>
      <c r="Q6994">
        <v>4</v>
      </c>
      <c r="R6994" t="s">
        <v>42678</v>
      </c>
      <c r="S6994" t="s">
        <v>42866</v>
      </c>
      <c r="T6994" t="s">
        <v>44742</v>
      </c>
      <c r="U6994" t="s">
        <v>50536</v>
      </c>
      <c r="V6994" t="s">
        <v>57125</v>
      </c>
      <c r="W6994" t="s">
        <v>38860</v>
      </c>
      <c r="X6994" t="s">
        <v>42679</v>
      </c>
    </row>
    <row r="6995" spans="1:24">
      <c r="A6995">
        <f>HYPERLINK("https://www.philgeps.gov.ph/GEPSNONPILOT/Tender/SplashBidNoticeAbstractUI.aspx?menuIndex=3&amp;refID=7166208&amp;Result=3","7166208")</f>
        <v>0</v>
      </c>
      <c r="B6995" t="s">
        <v>2290</v>
      </c>
      <c r="C6995" t="s">
        <v>4798</v>
      </c>
      <c r="D6995" t="s">
        <v>17177</v>
      </c>
      <c r="E6995" t="s">
        <v>17347</v>
      </c>
      <c r="F6995" t="s">
        <v>29373</v>
      </c>
      <c r="G6995" t="s">
        <v>29380</v>
      </c>
      <c r="H6995" t="s">
        <v>29389</v>
      </c>
      <c r="I6995" t="s">
        <v>10408</v>
      </c>
      <c r="J6995" t="s">
        <v>29587</v>
      </c>
      <c r="K6995" t="s">
        <v>38518</v>
      </c>
      <c r="M6995" t="s">
        <v>41217</v>
      </c>
      <c r="N6995" t="s">
        <v>42669</v>
      </c>
      <c r="O6995" t="s">
        <v>42670</v>
      </c>
      <c r="P6995">
        <v>0</v>
      </c>
      <c r="Q6995">
        <v>0</v>
      </c>
      <c r="R6995" t="s">
        <v>42678</v>
      </c>
      <c r="S6995" t="s">
        <v>42866</v>
      </c>
      <c r="T6995" t="s">
        <v>44568</v>
      </c>
      <c r="U6995" t="s">
        <v>50537</v>
      </c>
      <c r="W6995" t="s">
        <v>41217</v>
      </c>
      <c r="X6995" t="s">
        <v>42686</v>
      </c>
    </row>
    <row r="6996" spans="1:24">
      <c r="A6996">
        <f>HYPERLINK("https://www.philgeps.gov.ph/GEPSNONPILOT/Tender/SplashBidNoticeAbstractUI.aspx?menuIndex=3&amp;refID=7158904&amp;Result=3","7158904")</f>
        <v>0</v>
      </c>
      <c r="B6996" t="s">
        <v>1915</v>
      </c>
      <c r="C6996" t="s">
        <v>10218</v>
      </c>
      <c r="D6996" t="s">
        <v>17143</v>
      </c>
      <c r="E6996" t="s">
        <v>23296</v>
      </c>
      <c r="F6996" t="s">
        <v>29372</v>
      </c>
      <c r="G6996" t="s">
        <v>29380</v>
      </c>
      <c r="H6996" t="s">
        <v>29389</v>
      </c>
      <c r="I6996" t="s">
        <v>10408</v>
      </c>
      <c r="J6996" t="s">
        <v>30787</v>
      </c>
      <c r="K6996" t="s">
        <v>38526</v>
      </c>
      <c r="M6996" t="s">
        <v>40790</v>
      </c>
      <c r="N6996" t="s">
        <v>42669</v>
      </c>
      <c r="O6996" t="s">
        <v>42670</v>
      </c>
      <c r="P6996">
        <v>0</v>
      </c>
      <c r="Q6996">
        <v>4</v>
      </c>
      <c r="R6996" t="s">
        <v>42678</v>
      </c>
      <c r="S6996" t="s">
        <v>42866</v>
      </c>
      <c r="T6996" t="s">
        <v>44495</v>
      </c>
      <c r="U6996" t="s">
        <v>49310</v>
      </c>
      <c r="W6996" t="s">
        <v>40790</v>
      </c>
      <c r="X6996" t="s">
        <v>42690</v>
      </c>
    </row>
    <row r="6997" spans="1:24">
      <c r="A6997">
        <f>HYPERLINK("https://www.philgeps.gov.ph/GEPSNONPILOT/Tender/SplashBidNoticeAbstractUI.aspx?menuIndex=3&amp;refID=7186874&amp;Result=3","7186874")</f>
        <v>0</v>
      </c>
      <c r="B6997" t="s">
        <v>2287</v>
      </c>
      <c r="C6997" t="s">
        <v>10219</v>
      </c>
      <c r="D6997" t="s">
        <v>17186</v>
      </c>
      <c r="E6997" t="s">
        <v>21491</v>
      </c>
      <c r="F6997" t="s">
        <v>29372</v>
      </c>
      <c r="G6997" t="s">
        <v>29380</v>
      </c>
      <c r="H6997" t="s">
        <v>11048</v>
      </c>
      <c r="I6997" t="s">
        <v>3695</v>
      </c>
      <c r="J6997" t="s">
        <v>34044</v>
      </c>
      <c r="K6997" t="s">
        <v>38538</v>
      </c>
      <c r="M6997" t="s">
        <v>41212</v>
      </c>
      <c r="N6997" t="s">
        <v>42669</v>
      </c>
      <c r="O6997" t="s">
        <v>42670</v>
      </c>
      <c r="P6997">
        <v>0</v>
      </c>
      <c r="Q6997">
        <v>4</v>
      </c>
      <c r="R6997" t="s">
        <v>42677</v>
      </c>
      <c r="S6997" t="s">
        <v>42830</v>
      </c>
      <c r="T6997" t="s">
        <v>44427</v>
      </c>
      <c r="U6997" t="s">
        <v>50513</v>
      </c>
      <c r="W6997" t="s">
        <v>41212</v>
      </c>
      <c r="X6997" t="s">
        <v>42678</v>
      </c>
    </row>
    <row r="6998" spans="1:24">
      <c r="A6998">
        <f>HYPERLINK("https://www.philgeps.gov.ph/GEPSNONPILOT/Tender/SplashBidNoticeAbstractUI.aspx?menuIndex=3&amp;refID=7147824-2&amp;Result=3","7147824-2")</f>
        <v>0</v>
      </c>
      <c r="B6998" t="s">
        <v>105</v>
      </c>
      <c r="C6998" t="s">
        <v>10220</v>
      </c>
      <c r="E6998" t="s">
        <v>23297</v>
      </c>
      <c r="F6998" t="s">
        <v>29372</v>
      </c>
      <c r="G6998" t="s">
        <v>29380</v>
      </c>
      <c r="H6998" t="s">
        <v>29391</v>
      </c>
      <c r="I6998" t="s">
        <v>29391</v>
      </c>
      <c r="J6998" t="s">
        <v>34045</v>
      </c>
      <c r="K6998" t="s">
        <v>38553</v>
      </c>
      <c r="M6998" t="s">
        <v>38860</v>
      </c>
      <c r="N6998" t="s">
        <v>42669</v>
      </c>
      <c r="O6998" t="s">
        <v>42670</v>
      </c>
      <c r="P6998">
        <v>0</v>
      </c>
      <c r="Q6998">
        <v>3</v>
      </c>
      <c r="R6998" t="s">
        <v>42678</v>
      </c>
      <c r="S6998" t="s">
        <v>42866</v>
      </c>
      <c r="T6998" t="s">
        <v>44742</v>
      </c>
      <c r="U6998" t="s">
        <v>50538</v>
      </c>
      <c r="V6998" t="s">
        <v>57126</v>
      </c>
      <c r="W6998" t="s">
        <v>38860</v>
      </c>
      <c r="X6998" t="s">
        <v>42679</v>
      </c>
    </row>
    <row r="6999" spans="1:24">
      <c r="A6999">
        <f>HYPERLINK("https://www.philgeps.gov.ph/GEPSNONPILOT/Tender/SplashBidNoticeAbstractUI.aspx?menuIndex=3&amp;refID=7147356&amp;Result=3","7147356")</f>
        <v>0</v>
      </c>
      <c r="B6999" t="s">
        <v>2291</v>
      </c>
      <c r="C6999" t="s">
        <v>10221</v>
      </c>
      <c r="D6999" t="s">
        <v>17167</v>
      </c>
      <c r="E6999" t="s">
        <v>23298</v>
      </c>
      <c r="F6999" t="s">
        <v>29372</v>
      </c>
      <c r="G6999" t="s">
        <v>29379</v>
      </c>
      <c r="H6999" t="s">
        <v>11048</v>
      </c>
      <c r="I6999" t="s">
        <v>29394</v>
      </c>
      <c r="J6999" t="s">
        <v>34046</v>
      </c>
      <c r="K6999" t="s">
        <v>38485</v>
      </c>
      <c r="M6999" t="s">
        <v>41218</v>
      </c>
      <c r="N6999" t="s">
        <v>42669</v>
      </c>
      <c r="O6999" t="s">
        <v>42670</v>
      </c>
      <c r="P6999">
        <v>0</v>
      </c>
      <c r="Q6999">
        <v>0</v>
      </c>
      <c r="R6999" t="s">
        <v>42678</v>
      </c>
      <c r="S6999" t="s">
        <v>42866</v>
      </c>
      <c r="T6999" t="s">
        <v>44512</v>
      </c>
      <c r="U6999" t="s">
        <v>50539</v>
      </c>
      <c r="W6999" t="s">
        <v>41218</v>
      </c>
      <c r="X6999" t="s">
        <v>42697</v>
      </c>
    </row>
    <row r="7000" spans="1:24">
      <c r="A7000">
        <f>HYPERLINK("https://www.philgeps.gov.ph/GEPSNONPILOT/Tender/SplashBidNoticeAbstractUI.aspx?menuIndex=3&amp;refID=7186891&amp;Result=3","7186891")</f>
        <v>0</v>
      </c>
      <c r="B7000" t="s">
        <v>1530</v>
      </c>
      <c r="C7000" t="s">
        <v>10222</v>
      </c>
      <c r="D7000" t="s">
        <v>17147</v>
      </c>
      <c r="E7000" t="s">
        <v>19453</v>
      </c>
      <c r="F7000" t="s">
        <v>29372</v>
      </c>
      <c r="G7000" t="s">
        <v>29380</v>
      </c>
      <c r="H7000" t="s">
        <v>29389</v>
      </c>
      <c r="I7000" t="s">
        <v>10408</v>
      </c>
      <c r="J7000" t="s">
        <v>34047</v>
      </c>
      <c r="K7000" t="s">
        <v>38679</v>
      </c>
      <c r="M7000" t="s">
        <v>40379</v>
      </c>
      <c r="N7000" t="s">
        <v>42669</v>
      </c>
      <c r="O7000" t="s">
        <v>42670</v>
      </c>
      <c r="P7000">
        <v>0</v>
      </c>
      <c r="Q7000">
        <v>0</v>
      </c>
      <c r="R7000" t="s">
        <v>42677</v>
      </c>
      <c r="S7000" t="s">
        <v>42830</v>
      </c>
      <c r="T7000" t="s">
        <v>44476</v>
      </c>
      <c r="U7000" t="s">
        <v>50540</v>
      </c>
      <c r="V7000" t="s">
        <v>57127</v>
      </c>
      <c r="W7000" t="s">
        <v>40379</v>
      </c>
      <c r="X7000" t="s">
        <v>42678</v>
      </c>
    </row>
    <row r="7001" spans="1:24">
      <c r="A7001">
        <f>HYPERLINK("https://www.philgeps.gov.ph/GEPSNONPILOT/Tender/SplashBidNoticeAbstractUI.aspx?menuIndex=3&amp;refID=7146657&amp;Result=3","7146657")</f>
        <v>0</v>
      </c>
      <c r="B7001" t="s">
        <v>55</v>
      </c>
      <c r="C7001" t="s">
        <v>10223</v>
      </c>
      <c r="D7001" t="s">
        <v>17163</v>
      </c>
      <c r="E7001" t="s">
        <v>23299</v>
      </c>
      <c r="F7001" t="s">
        <v>29372</v>
      </c>
      <c r="G7001" t="s">
        <v>29380</v>
      </c>
      <c r="H7001" t="s">
        <v>29389</v>
      </c>
      <c r="I7001" t="s">
        <v>10408</v>
      </c>
      <c r="J7001" t="s">
        <v>29590</v>
      </c>
      <c r="K7001" t="s">
        <v>38485</v>
      </c>
      <c r="M7001" t="s">
        <v>38808</v>
      </c>
      <c r="N7001" t="s">
        <v>42669</v>
      </c>
      <c r="O7001" t="s">
        <v>42670</v>
      </c>
      <c r="P7001">
        <v>0</v>
      </c>
      <c r="Q7001">
        <v>11</v>
      </c>
      <c r="R7001" t="s">
        <v>42678</v>
      </c>
      <c r="S7001" t="s">
        <v>42866</v>
      </c>
      <c r="T7001" t="s">
        <v>44474</v>
      </c>
      <c r="U7001" t="s">
        <v>50541</v>
      </c>
      <c r="W7001" t="s">
        <v>38808</v>
      </c>
      <c r="X7001" t="s">
        <v>42697</v>
      </c>
    </row>
    <row r="7002" spans="1:24">
      <c r="A7002">
        <f>HYPERLINK("https://www.philgeps.gov.ph/GEPSNONPILOT/Tender/SplashBidNoticeAbstractUI.aspx?menuIndex=3&amp;refID=7147908-2&amp;Result=3","7147908-2")</f>
        <v>0</v>
      </c>
      <c r="B7002" t="s">
        <v>105</v>
      </c>
      <c r="C7002" t="s">
        <v>10224</v>
      </c>
      <c r="D7002" t="s">
        <v>17181</v>
      </c>
      <c r="E7002" t="s">
        <v>23300</v>
      </c>
      <c r="F7002" t="s">
        <v>29372</v>
      </c>
      <c r="G7002" t="s">
        <v>29380</v>
      </c>
      <c r="H7002" t="s">
        <v>29391</v>
      </c>
      <c r="I7002" t="s">
        <v>29391</v>
      </c>
      <c r="J7002" t="s">
        <v>34048</v>
      </c>
      <c r="K7002" t="s">
        <v>38579</v>
      </c>
      <c r="M7002" t="s">
        <v>38860</v>
      </c>
      <c r="N7002" t="s">
        <v>42669</v>
      </c>
      <c r="O7002" t="s">
        <v>42670</v>
      </c>
      <c r="P7002">
        <v>0</v>
      </c>
      <c r="Q7002">
        <v>4</v>
      </c>
      <c r="R7002" t="s">
        <v>42678</v>
      </c>
      <c r="S7002" t="s">
        <v>42866</v>
      </c>
      <c r="T7002" t="s">
        <v>44742</v>
      </c>
      <c r="U7002" t="s">
        <v>50542</v>
      </c>
      <c r="V7002" t="s">
        <v>57128</v>
      </c>
      <c r="W7002" t="s">
        <v>38860</v>
      </c>
      <c r="X7002" t="s">
        <v>42679</v>
      </c>
    </row>
    <row r="7003" spans="1:24">
      <c r="A7003">
        <f>HYPERLINK("https://www.philgeps.gov.ph/GEPSNONPILOT/Tender/SplashBidNoticeAbstractUI.aspx?menuIndex=3&amp;refID=7174258&amp;Result=3","7174258")</f>
        <v>0</v>
      </c>
      <c r="B7003" t="s">
        <v>379</v>
      </c>
      <c r="C7003" t="s">
        <v>10225</v>
      </c>
      <c r="E7003" t="s">
        <v>23301</v>
      </c>
      <c r="F7003" t="s">
        <v>29372</v>
      </c>
      <c r="G7003" t="s">
        <v>29380</v>
      </c>
      <c r="H7003" t="s">
        <v>29389</v>
      </c>
      <c r="I7003" t="s">
        <v>10408</v>
      </c>
      <c r="J7003" t="s">
        <v>34049</v>
      </c>
      <c r="K7003" t="s">
        <v>38490</v>
      </c>
      <c r="M7003" t="s">
        <v>39141</v>
      </c>
      <c r="N7003" t="s">
        <v>42669</v>
      </c>
      <c r="O7003" t="s">
        <v>42670</v>
      </c>
      <c r="P7003">
        <v>0</v>
      </c>
      <c r="Q7003">
        <v>0</v>
      </c>
      <c r="R7003" t="s">
        <v>42678</v>
      </c>
      <c r="S7003" t="s">
        <v>42866</v>
      </c>
      <c r="T7003" t="s">
        <v>44488</v>
      </c>
      <c r="U7003" t="s">
        <v>50543</v>
      </c>
      <c r="W7003" t="s">
        <v>39141</v>
      </c>
      <c r="X7003" t="s">
        <v>42683</v>
      </c>
    </row>
    <row r="7004" spans="1:24">
      <c r="A7004">
        <f>HYPERLINK("https://www.philgeps.gov.ph/GEPSNONPILOT/Tender/SplashBidNoticeAbstractUI.aspx?menuIndex=3&amp;refID=7158600&amp;Result=3","7158600")</f>
        <v>0</v>
      </c>
      <c r="B7004" t="s">
        <v>2292</v>
      </c>
      <c r="C7004" t="s">
        <v>10226</v>
      </c>
      <c r="D7004" t="s">
        <v>17141</v>
      </c>
      <c r="E7004" t="s">
        <v>23302</v>
      </c>
      <c r="F7004" t="s">
        <v>29372</v>
      </c>
      <c r="G7004" t="s">
        <v>29380</v>
      </c>
      <c r="H7004" t="s">
        <v>11048</v>
      </c>
      <c r="I7004" t="s">
        <v>14920</v>
      </c>
      <c r="J7004" t="s">
        <v>34050</v>
      </c>
      <c r="K7004" t="s">
        <v>38510</v>
      </c>
      <c r="M7004" t="s">
        <v>41219</v>
      </c>
      <c r="N7004" t="s">
        <v>42669</v>
      </c>
      <c r="O7004" t="s">
        <v>42670</v>
      </c>
      <c r="P7004">
        <v>0</v>
      </c>
      <c r="Q7004">
        <v>5</v>
      </c>
      <c r="R7004" t="s">
        <v>42678</v>
      </c>
      <c r="S7004" t="s">
        <v>42866</v>
      </c>
      <c r="T7004" t="s">
        <v>44474</v>
      </c>
      <c r="U7004" t="s">
        <v>50544</v>
      </c>
      <c r="W7004" t="s">
        <v>41219</v>
      </c>
      <c r="X7004" t="s">
        <v>42690</v>
      </c>
    </row>
    <row r="7005" spans="1:24">
      <c r="A7005">
        <f>HYPERLINK("https://www.philgeps.gov.ph/GEPSNONPILOT/Tender/SplashBidNoticeAbstractUI.aspx?menuIndex=3&amp;refID=7174167&amp;Result=3","7174167")</f>
        <v>0</v>
      </c>
      <c r="B7005" t="s">
        <v>2293</v>
      </c>
      <c r="C7005" t="s">
        <v>5590</v>
      </c>
      <c r="D7005" t="s">
        <v>17172</v>
      </c>
      <c r="E7005" t="s">
        <v>23303</v>
      </c>
      <c r="F7005" t="s">
        <v>29373</v>
      </c>
      <c r="G7005" t="s">
        <v>29380</v>
      </c>
      <c r="H7005" t="s">
        <v>11048</v>
      </c>
      <c r="I7005" t="s">
        <v>29434</v>
      </c>
      <c r="J7005" t="s">
        <v>31295</v>
      </c>
      <c r="K7005" t="s">
        <v>38490</v>
      </c>
      <c r="M7005" t="s">
        <v>41220</v>
      </c>
      <c r="N7005" t="s">
        <v>42669</v>
      </c>
      <c r="O7005" t="s">
        <v>42670</v>
      </c>
      <c r="P7005">
        <v>0</v>
      </c>
      <c r="Q7005">
        <v>1</v>
      </c>
      <c r="R7005" t="s">
        <v>42678</v>
      </c>
      <c r="S7005" t="s">
        <v>42866</v>
      </c>
      <c r="T7005" t="s">
        <v>44375</v>
      </c>
      <c r="U7005" t="s">
        <v>50545</v>
      </c>
      <c r="W7005" t="s">
        <v>41220</v>
      </c>
      <c r="X7005" t="s">
        <v>42684</v>
      </c>
    </row>
    <row r="7006" spans="1:24">
      <c r="A7006">
        <f>HYPERLINK("https://www.philgeps.gov.ph/GEPSNONPILOT/Tender/SplashBidNoticeAbstractUI.aspx?menuIndex=3&amp;refID=7174292&amp;Result=3","7174292")</f>
        <v>0</v>
      </c>
      <c r="B7006" t="s">
        <v>535</v>
      </c>
      <c r="C7006" t="s">
        <v>10227</v>
      </c>
      <c r="E7006" t="s">
        <v>23304</v>
      </c>
      <c r="F7006" t="s">
        <v>29372</v>
      </c>
      <c r="G7006" t="s">
        <v>29380</v>
      </c>
      <c r="H7006" t="s">
        <v>11048</v>
      </c>
      <c r="I7006" t="s">
        <v>29496</v>
      </c>
      <c r="J7006" t="s">
        <v>34051</v>
      </c>
      <c r="K7006" t="s">
        <v>38490</v>
      </c>
      <c r="M7006" t="s">
        <v>39303</v>
      </c>
      <c r="N7006" t="s">
        <v>42669</v>
      </c>
      <c r="O7006" t="s">
        <v>42670</v>
      </c>
      <c r="P7006">
        <v>0</v>
      </c>
      <c r="Q7006">
        <v>8</v>
      </c>
      <c r="R7006" t="s">
        <v>42678</v>
      </c>
      <c r="S7006" t="s">
        <v>42866</v>
      </c>
      <c r="T7006" t="s">
        <v>44446</v>
      </c>
      <c r="U7006" t="s">
        <v>50546</v>
      </c>
      <c r="W7006" t="s">
        <v>39303</v>
      </c>
      <c r="X7006" t="s">
        <v>42683</v>
      </c>
    </row>
    <row r="7007" spans="1:24">
      <c r="A7007">
        <f>HYPERLINK("https://www.philgeps.gov.ph/GEPSNONPILOT/Tender/SplashBidNoticeAbstractUI.aspx?menuIndex=3&amp;refID=7174077&amp;Result=3","7174077")</f>
        <v>0</v>
      </c>
      <c r="B7007" t="s">
        <v>2294</v>
      </c>
      <c r="C7007" t="s">
        <v>10228</v>
      </c>
      <c r="D7007" t="s">
        <v>17199</v>
      </c>
      <c r="E7007" t="s">
        <v>20655</v>
      </c>
      <c r="F7007" t="s">
        <v>29372</v>
      </c>
      <c r="G7007" t="s">
        <v>29380</v>
      </c>
      <c r="H7007" t="s">
        <v>11048</v>
      </c>
      <c r="I7007" t="s">
        <v>14920</v>
      </c>
      <c r="J7007" t="s">
        <v>29708</v>
      </c>
      <c r="K7007" t="s">
        <v>38485</v>
      </c>
      <c r="M7007" t="s">
        <v>41221</v>
      </c>
      <c r="N7007" t="s">
        <v>42669</v>
      </c>
      <c r="O7007" t="s">
        <v>42670</v>
      </c>
      <c r="P7007">
        <v>0</v>
      </c>
      <c r="Q7007">
        <v>2</v>
      </c>
      <c r="R7007" t="s">
        <v>42678</v>
      </c>
      <c r="S7007" t="s">
        <v>42866</v>
      </c>
      <c r="T7007" t="s">
        <v>44525</v>
      </c>
      <c r="U7007" t="s">
        <v>50547</v>
      </c>
      <c r="W7007" t="s">
        <v>41221</v>
      </c>
      <c r="X7007" t="s">
        <v>42684</v>
      </c>
    </row>
    <row r="7008" spans="1:24">
      <c r="A7008">
        <f>HYPERLINK("https://www.philgeps.gov.ph/GEPSNONPILOT/Tender/SplashBidNoticeAbstractUI.aspx?menuIndex=3&amp;refID=7091193&amp;Result=3","7091193")</f>
        <v>0</v>
      </c>
      <c r="B7008" t="s">
        <v>2295</v>
      </c>
      <c r="C7008" t="s">
        <v>10229</v>
      </c>
      <c r="D7008" t="s">
        <v>17209</v>
      </c>
      <c r="E7008" t="s">
        <v>23305</v>
      </c>
      <c r="F7008" t="s">
        <v>29372</v>
      </c>
      <c r="G7008" t="s">
        <v>29379</v>
      </c>
      <c r="H7008" t="s">
        <v>11048</v>
      </c>
      <c r="I7008" t="s">
        <v>29393</v>
      </c>
      <c r="J7008" t="s">
        <v>34052</v>
      </c>
      <c r="K7008" t="s">
        <v>38488</v>
      </c>
      <c r="M7008" t="s">
        <v>41222</v>
      </c>
      <c r="N7008" t="s">
        <v>42669</v>
      </c>
      <c r="O7008" t="s">
        <v>42670</v>
      </c>
      <c r="P7008">
        <v>0</v>
      </c>
      <c r="Q7008">
        <v>0</v>
      </c>
      <c r="R7008" t="s">
        <v>42678</v>
      </c>
      <c r="S7008" t="s">
        <v>42866</v>
      </c>
      <c r="T7008" t="s">
        <v>44488</v>
      </c>
      <c r="U7008" t="s">
        <v>50548</v>
      </c>
      <c r="W7008" t="s">
        <v>41222</v>
      </c>
      <c r="X7008" t="s">
        <v>42729</v>
      </c>
    </row>
    <row r="7009" spans="1:24">
      <c r="A7009">
        <f>HYPERLINK("https://www.philgeps.gov.ph/GEPSNONPILOT/Tender/SplashBidNoticeAbstractUI.aspx?menuIndex=3&amp;refID=7173605&amp;Result=3","7173605")</f>
        <v>0</v>
      </c>
      <c r="B7009" t="s">
        <v>86</v>
      </c>
      <c r="C7009" t="s">
        <v>10230</v>
      </c>
      <c r="E7009" t="s">
        <v>23306</v>
      </c>
      <c r="F7009" t="s">
        <v>29372</v>
      </c>
      <c r="G7009" t="s">
        <v>29379</v>
      </c>
      <c r="H7009" t="s">
        <v>11048</v>
      </c>
      <c r="I7009" t="s">
        <v>8208</v>
      </c>
      <c r="J7009" t="s">
        <v>34053</v>
      </c>
      <c r="K7009" t="s">
        <v>38490</v>
      </c>
      <c r="M7009" t="s">
        <v>40799</v>
      </c>
      <c r="N7009" t="s">
        <v>42669</v>
      </c>
      <c r="O7009" t="s">
        <v>42670</v>
      </c>
      <c r="P7009">
        <v>0</v>
      </c>
      <c r="Q7009">
        <v>0</v>
      </c>
      <c r="R7009" t="s">
        <v>42678</v>
      </c>
      <c r="S7009" t="s">
        <v>42866</v>
      </c>
      <c r="T7009" t="s">
        <v>44491</v>
      </c>
      <c r="U7009" t="s">
        <v>50549</v>
      </c>
      <c r="W7009" t="s">
        <v>40799</v>
      </c>
      <c r="X7009" t="s">
        <v>42684</v>
      </c>
    </row>
    <row r="7010" spans="1:24">
      <c r="A7010">
        <f>HYPERLINK("https://www.philgeps.gov.ph/GEPSNONPILOT/Tender/SplashBidNoticeAbstractUI.aspx?menuIndex=3&amp;refID=7147895-2&amp;Result=3","7147895-2")</f>
        <v>0</v>
      </c>
      <c r="B7010" t="s">
        <v>105</v>
      </c>
      <c r="C7010" t="s">
        <v>10231</v>
      </c>
      <c r="D7010" t="s">
        <v>17181</v>
      </c>
      <c r="E7010" t="s">
        <v>23307</v>
      </c>
      <c r="F7010" t="s">
        <v>29372</v>
      </c>
      <c r="G7010" t="s">
        <v>29380</v>
      </c>
      <c r="H7010" t="s">
        <v>29391</v>
      </c>
      <c r="I7010" t="s">
        <v>29391</v>
      </c>
      <c r="J7010" t="s">
        <v>34054</v>
      </c>
      <c r="K7010" t="s">
        <v>38495</v>
      </c>
      <c r="M7010" t="s">
        <v>38860</v>
      </c>
      <c r="N7010" t="s">
        <v>42669</v>
      </c>
      <c r="O7010" t="s">
        <v>42670</v>
      </c>
      <c r="P7010">
        <v>0</v>
      </c>
      <c r="Q7010">
        <v>3</v>
      </c>
      <c r="R7010" t="s">
        <v>42678</v>
      </c>
      <c r="S7010" t="s">
        <v>42866</v>
      </c>
      <c r="T7010" t="s">
        <v>44742</v>
      </c>
      <c r="U7010" t="s">
        <v>50550</v>
      </c>
      <c r="V7010" t="s">
        <v>57129</v>
      </c>
      <c r="W7010" t="s">
        <v>38860</v>
      </c>
      <c r="X7010" t="s">
        <v>42679</v>
      </c>
    </row>
    <row r="7011" spans="1:24">
      <c r="A7011">
        <f>HYPERLINK("https://www.philgeps.gov.ph/GEPSNONPILOT/Tender/SplashBidNoticeAbstractUI.aspx?menuIndex=3&amp;refID=7173579&amp;Result=3","7173579")</f>
        <v>0</v>
      </c>
      <c r="B7011" t="s">
        <v>86</v>
      </c>
      <c r="C7011" t="s">
        <v>10232</v>
      </c>
      <c r="E7011" t="s">
        <v>23308</v>
      </c>
      <c r="F7011" t="s">
        <v>29372</v>
      </c>
      <c r="G7011" t="s">
        <v>29379</v>
      </c>
      <c r="H7011" t="s">
        <v>11048</v>
      </c>
      <c r="I7011" t="s">
        <v>8208</v>
      </c>
      <c r="J7011" t="s">
        <v>34053</v>
      </c>
      <c r="K7011" t="s">
        <v>38490</v>
      </c>
      <c r="M7011" t="s">
        <v>40799</v>
      </c>
      <c r="N7011" t="s">
        <v>42669</v>
      </c>
      <c r="O7011" t="s">
        <v>42670</v>
      </c>
      <c r="P7011">
        <v>0</v>
      </c>
      <c r="Q7011">
        <v>0</v>
      </c>
      <c r="R7011" t="s">
        <v>42678</v>
      </c>
      <c r="S7011" t="s">
        <v>42866</v>
      </c>
      <c r="T7011" t="s">
        <v>44491</v>
      </c>
      <c r="U7011" t="s">
        <v>50549</v>
      </c>
      <c r="W7011" t="s">
        <v>40799</v>
      </c>
      <c r="X7011" t="s">
        <v>42684</v>
      </c>
    </row>
    <row r="7012" spans="1:24">
      <c r="A7012">
        <f>HYPERLINK("https://www.philgeps.gov.ph/GEPSNONPILOT/Tender/SplashBidNoticeAbstractUI.aspx?menuIndex=3&amp;refID=7147881-2&amp;Result=3","7147881-2")</f>
        <v>0</v>
      </c>
      <c r="B7012" t="s">
        <v>105</v>
      </c>
      <c r="C7012" t="s">
        <v>10233</v>
      </c>
      <c r="D7012" t="s">
        <v>17181</v>
      </c>
      <c r="E7012" t="s">
        <v>23309</v>
      </c>
      <c r="F7012" t="s">
        <v>29372</v>
      </c>
      <c r="G7012" t="s">
        <v>29380</v>
      </c>
      <c r="H7012" t="s">
        <v>29391</v>
      </c>
      <c r="I7012" t="s">
        <v>29391</v>
      </c>
      <c r="J7012" t="s">
        <v>34055</v>
      </c>
      <c r="K7012" t="s">
        <v>38502</v>
      </c>
      <c r="M7012" t="s">
        <v>38860</v>
      </c>
      <c r="N7012" t="s">
        <v>42669</v>
      </c>
      <c r="O7012" t="s">
        <v>42670</v>
      </c>
      <c r="P7012">
        <v>0</v>
      </c>
      <c r="Q7012">
        <v>3</v>
      </c>
      <c r="R7012" t="s">
        <v>42678</v>
      </c>
      <c r="S7012" t="s">
        <v>42866</v>
      </c>
      <c r="T7012" t="s">
        <v>44742</v>
      </c>
      <c r="U7012" t="s">
        <v>50551</v>
      </c>
      <c r="V7012" t="s">
        <v>57130</v>
      </c>
      <c r="W7012" t="s">
        <v>38860</v>
      </c>
      <c r="X7012" t="s">
        <v>42679</v>
      </c>
    </row>
    <row r="7013" spans="1:24">
      <c r="A7013">
        <f>HYPERLINK("https://www.philgeps.gov.ph/GEPSNONPILOT/Tender/SplashBidNoticeAbstractUI.aspx?menuIndex=3&amp;refID=7142553&amp;Result=3","7142553")</f>
        <v>0</v>
      </c>
      <c r="B7013" t="s">
        <v>2296</v>
      </c>
      <c r="C7013" t="s">
        <v>10234</v>
      </c>
      <c r="D7013" t="s">
        <v>17156</v>
      </c>
      <c r="E7013" t="s">
        <v>23310</v>
      </c>
      <c r="F7013" t="s">
        <v>29372</v>
      </c>
      <c r="G7013" t="s">
        <v>29380</v>
      </c>
      <c r="H7013" t="s">
        <v>11048</v>
      </c>
      <c r="I7013" t="s">
        <v>9469</v>
      </c>
      <c r="J7013" t="s">
        <v>29734</v>
      </c>
      <c r="K7013" t="s">
        <v>38496</v>
      </c>
      <c r="M7013" t="s">
        <v>41223</v>
      </c>
      <c r="N7013" t="s">
        <v>42669</v>
      </c>
      <c r="O7013" t="s">
        <v>42670</v>
      </c>
      <c r="P7013">
        <v>0</v>
      </c>
      <c r="Q7013">
        <v>2</v>
      </c>
      <c r="R7013" t="s">
        <v>42678</v>
      </c>
      <c r="S7013" t="s">
        <v>42866</v>
      </c>
      <c r="T7013" t="s">
        <v>44410</v>
      </c>
      <c r="U7013" t="s">
        <v>50552</v>
      </c>
      <c r="V7013" t="s">
        <v>57131</v>
      </c>
      <c r="W7013" t="s">
        <v>41223</v>
      </c>
      <c r="X7013" t="s">
        <v>42698</v>
      </c>
    </row>
    <row r="7014" spans="1:24">
      <c r="A7014">
        <f>HYPERLINK("https://www.philgeps.gov.ph/GEPSNONPILOT/Tender/SplashBidNoticeAbstractUI.aspx?menuIndex=3&amp;refID=7173615&amp;Result=3","7173615")</f>
        <v>0</v>
      </c>
      <c r="B7014" t="s">
        <v>86</v>
      </c>
      <c r="C7014" t="s">
        <v>10235</v>
      </c>
      <c r="E7014" t="s">
        <v>23311</v>
      </c>
      <c r="F7014" t="s">
        <v>29372</v>
      </c>
      <c r="G7014" t="s">
        <v>29379</v>
      </c>
      <c r="H7014" t="s">
        <v>11048</v>
      </c>
      <c r="I7014" t="s">
        <v>8208</v>
      </c>
      <c r="J7014" t="s">
        <v>34056</v>
      </c>
      <c r="K7014" t="s">
        <v>38490</v>
      </c>
      <c r="M7014" t="s">
        <v>40799</v>
      </c>
      <c r="N7014" t="s">
        <v>42669</v>
      </c>
      <c r="O7014" t="s">
        <v>42670</v>
      </c>
      <c r="P7014">
        <v>0</v>
      </c>
      <c r="Q7014">
        <v>0</v>
      </c>
      <c r="R7014" t="s">
        <v>42678</v>
      </c>
      <c r="S7014" t="s">
        <v>42866</v>
      </c>
      <c r="T7014" t="s">
        <v>44491</v>
      </c>
      <c r="U7014" t="s">
        <v>50549</v>
      </c>
      <c r="W7014" t="s">
        <v>40799</v>
      </c>
      <c r="X7014" t="s">
        <v>42684</v>
      </c>
    </row>
    <row r="7015" spans="1:24">
      <c r="A7015">
        <f>HYPERLINK("https://www.philgeps.gov.ph/GEPSNONPILOT/Tender/SplashBidNoticeAbstractUI.aspx?menuIndex=3&amp;refID=7173288&amp;Result=3","7173288")</f>
        <v>0</v>
      </c>
      <c r="B7015" t="s">
        <v>2297</v>
      </c>
      <c r="C7015" t="s">
        <v>10236</v>
      </c>
      <c r="D7015" t="s">
        <v>17181</v>
      </c>
      <c r="E7015" t="s">
        <v>23312</v>
      </c>
      <c r="F7015" t="s">
        <v>29372</v>
      </c>
      <c r="G7015" t="s">
        <v>29380</v>
      </c>
      <c r="H7015" t="s">
        <v>11048</v>
      </c>
      <c r="I7015" t="s">
        <v>9469</v>
      </c>
      <c r="J7015" t="s">
        <v>29764</v>
      </c>
      <c r="K7015" t="s">
        <v>38490</v>
      </c>
      <c r="M7015" t="s">
        <v>41224</v>
      </c>
      <c r="N7015" t="s">
        <v>42669</v>
      </c>
      <c r="O7015" t="s">
        <v>42670</v>
      </c>
      <c r="P7015">
        <v>0</v>
      </c>
      <c r="Q7015">
        <v>1</v>
      </c>
      <c r="R7015" t="s">
        <v>42678</v>
      </c>
      <c r="S7015" t="s">
        <v>42866</v>
      </c>
      <c r="T7015" t="s">
        <v>44507</v>
      </c>
      <c r="U7015" t="s">
        <v>50553</v>
      </c>
      <c r="V7015" t="s">
        <v>57132</v>
      </c>
      <c r="W7015" t="s">
        <v>41224</v>
      </c>
      <c r="X7015" t="s">
        <v>42684</v>
      </c>
    </row>
    <row r="7016" spans="1:24">
      <c r="A7016">
        <f>HYPERLINK("https://www.philgeps.gov.ph/GEPSNONPILOT/Tender/SplashBidNoticeAbstractUI.aspx?menuIndex=3&amp;refID=7173084&amp;Result=3","7173084")</f>
        <v>0</v>
      </c>
      <c r="B7016" t="s">
        <v>2297</v>
      </c>
      <c r="C7016" t="s">
        <v>10236</v>
      </c>
      <c r="D7016" t="s">
        <v>17181</v>
      </c>
      <c r="E7016" t="s">
        <v>23313</v>
      </c>
      <c r="F7016" t="s">
        <v>29372</v>
      </c>
      <c r="G7016" t="s">
        <v>29380</v>
      </c>
      <c r="H7016" t="s">
        <v>11048</v>
      </c>
      <c r="I7016" t="s">
        <v>9469</v>
      </c>
      <c r="J7016" t="s">
        <v>29788</v>
      </c>
      <c r="K7016" t="s">
        <v>38490</v>
      </c>
      <c r="M7016" t="s">
        <v>41224</v>
      </c>
      <c r="N7016" t="s">
        <v>42669</v>
      </c>
      <c r="O7016" t="s">
        <v>42670</v>
      </c>
      <c r="P7016">
        <v>0</v>
      </c>
      <c r="Q7016">
        <v>3</v>
      </c>
      <c r="R7016" t="s">
        <v>42678</v>
      </c>
      <c r="S7016" t="s">
        <v>42866</v>
      </c>
      <c r="T7016" t="s">
        <v>44507</v>
      </c>
      <c r="U7016" t="s">
        <v>50554</v>
      </c>
      <c r="V7016" t="s">
        <v>57133</v>
      </c>
      <c r="W7016" t="s">
        <v>41224</v>
      </c>
      <c r="X7016" t="s">
        <v>42684</v>
      </c>
    </row>
    <row r="7017" spans="1:24">
      <c r="A7017">
        <f>HYPERLINK("https://www.philgeps.gov.ph/GEPSNONPILOT/Tender/SplashBidNoticeAbstractUI.aspx?menuIndex=3&amp;refID=7172641&amp;Result=3","7172641")</f>
        <v>0</v>
      </c>
      <c r="B7017" t="s">
        <v>2297</v>
      </c>
      <c r="C7017" t="s">
        <v>10237</v>
      </c>
      <c r="D7017" t="s">
        <v>17181</v>
      </c>
      <c r="E7017" t="s">
        <v>23314</v>
      </c>
      <c r="F7017" t="s">
        <v>29372</v>
      </c>
      <c r="G7017" t="s">
        <v>29380</v>
      </c>
      <c r="H7017" t="s">
        <v>11048</v>
      </c>
      <c r="I7017" t="s">
        <v>29415</v>
      </c>
      <c r="J7017" t="s">
        <v>34057</v>
      </c>
      <c r="K7017" t="s">
        <v>38490</v>
      </c>
      <c r="M7017" t="s">
        <v>41224</v>
      </c>
      <c r="N7017" t="s">
        <v>42669</v>
      </c>
      <c r="O7017" t="s">
        <v>42670</v>
      </c>
      <c r="P7017">
        <v>0</v>
      </c>
      <c r="Q7017">
        <v>3</v>
      </c>
      <c r="R7017" t="s">
        <v>42678</v>
      </c>
      <c r="S7017" t="s">
        <v>42866</v>
      </c>
      <c r="T7017" t="s">
        <v>44507</v>
      </c>
      <c r="U7017" t="s">
        <v>50555</v>
      </c>
      <c r="V7017" t="s">
        <v>57134</v>
      </c>
      <c r="W7017" t="s">
        <v>41224</v>
      </c>
      <c r="X7017" t="s">
        <v>42684</v>
      </c>
    </row>
    <row r="7018" spans="1:24">
      <c r="A7018">
        <f>HYPERLINK("https://www.philgeps.gov.ph/GEPSNONPILOT/Tender/SplashBidNoticeAbstractUI.aspx?menuIndex=3&amp;refID=7156968&amp;Result=3","7156968")</f>
        <v>0</v>
      </c>
      <c r="B7018" t="s">
        <v>2298</v>
      </c>
      <c r="C7018" t="s">
        <v>10238</v>
      </c>
      <c r="D7018" t="s">
        <v>17161</v>
      </c>
      <c r="E7018" t="s">
        <v>17538</v>
      </c>
      <c r="F7018" t="s">
        <v>29372</v>
      </c>
      <c r="G7018" t="s">
        <v>29380</v>
      </c>
      <c r="H7018" t="s">
        <v>29389</v>
      </c>
      <c r="I7018" t="s">
        <v>10408</v>
      </c>
      <c r="J7018" t="s">
        <v>29780</v>
      </c>
      <c r="K7018" t="s">
        <v>38490</v>
      </c>
      <c r="M7018" t="s">
        <v>41225</v>
      </c>
      <c r="N7018" t="s">
        <v>42669</v>
      </c>
      <c r="O7018" t="s">
        <v>42670</v>
      </c>
      <c r="P7018">
        <v>0</v>
      </c>
      <c r="Q7018">
        <v>0</v>
      </c>
      <c r="R7018" t="s">
        <v>42678</v>
      </c>
      <c r="S7018" t="s">
        <v>42866</v>
      </c>
      <c r="T7018" t="s">
        <v>44401</v>
      </c>
      <c r="U7018" t="s">
        <v>50556</v>
      </c>
      <c r="W7018" t="s">
        <v>41225</v>
      </c>
      <c r="X7018" t="s">
        <v>42691</v>
      </c>
    </row>
    <row r="7019" spans="1:24">
      <c r="A7019">
        <f>HYPERLINK("https://www.philgeps.gov.ph/GEPSNONPILOT/Tender/SplashBidNoticeAbstractUI.aspx?menuIndex=3&amp;refID=7172910&amp;Result=3","7172910")</f>
        <v>0</v>
      </c>
      <c r="B7019" t="s">
        <v>2297</v>
      </c>
      <c r="C7019" t="s">
        <v>10236</v>
      </c>
      <c r="D7019" t="s">
        <v>17181</v>
      </c>
      <c r="E7019" t="s">
        <v>23315</v>
      </c>
      <c r="F7019" t="s">
        <v>29372</v>
      </c>
      <c r="G7019" t="s">
        <v>29380</v>
      </c>
      <c r="H7019" t="s">
        <v>11048</v>
      </c>
      <c r="I7019" t="s">
        <v>9469</v>
      </c>
      <c r="J7019" t="s">
        <v>29788</v>
      </c>
      <c r="K7019" t="s">
        <v>38490</v>
      </c>
      <c r="M7019" t="s">
        <v>41224</v>
      </c>
      <c r="N7019" t="s">
        <v>42669</v>
      </c>
      <c r="O7019" t="s">
        <v>42670</v>
      </c>
      <c r="P7019">
        <v>0</v>
      </c>
      <c r="Q7019">
        <v>3</v>
      </c>
      <c r="R7019" t="s">
        <v>42678</v>
      </c>
      <c r="S7019" t="s">
        <v>42866</v>
      </c>
      <c r="T7019" t="s">
        <v>44507</v>
      </c>
      <c r="U7019" t="s">
        <v>50554</v>
      </c>
      <c r="V7019" t="s">
        <v>57135</v>
      </c>
      <c r="W7019" t="s">
        <v>41224</v>
      </c>
      <c r="X7019" t="s">
        <v>42684</v>
      </c>
    </row>
    <row r="7020" spans="1:24">
      <c r="A7020">
        <f>HYPERLINK("https://www.philgeps.gov.ph/GEPSNONPILOT/Tender/SplashBidNoticeAbstractUI.aspx?menuIndex=3&amp;refID=7173559&amp;Result=3","7173559")</f>
        <v>0</v>
      </c>
      <c r="B7020" t="s">
        <v>86</v>
      </c>
      <c r="C7020" t="s">
        <v>10239</v>
      </c>
      <c r="E7020" t="s">
        <v>23316</v>
      </c>
      <c r="F7020" t="s">
        <v>29372</v>
      </c>
      <c r="G7020" t="s">
        <v>29379</v>
      </c>
      <c r="H7020" t="s">
        <v>11048</v>
      </c>
      <c r="I7020" t="s">
        <v>8208</v>
      </c>
      <c r="J7020" t="s">
        <v>34053</v>
      </c>
      <c r="K7020" t="s">
        <v>38490</v>
      </c>
      <c r="M7020" t="s">
        <v>40799</v>
      </c>
      <c r="N7020" t="s">
        <v>42669</v>
      </c>
      <c r="O7020" t="s">
        <v>42670</v>
      </c>
      <c r="P7020">
        <v>0</v>
      </c>
      <c r="Q7020">
        <v>0</v>
      </c>
      <c r="R7020" t="s">
        <v>42678</v>
      </c>
      <c r="S7020" t="s">
        <v>42866</v>
      </c>
      <c r="T7020" t="s">
        <v>44491</v>
      </c>
      <c r="U7020" t="s">
        <v>50549</v>
      </c>
      <c r="W7020" t="s">
        <v>40799</v>
      </c>
      <c r="X7020" t="s">
        <v>42684</v>
      </c>
    </row>
    <row r="7021" spans="1:24">
      <c r="A7021">
        <f>HYPERLINK("https://www.philgeps.gov.ph/GEPSNONPILOT/Tender/SplashBidNoticeAbstractUI.aspx?menuIndex=3&amp;refID=7172504&amp;Result=3","7172504")</f>
        <v>0</v>
      </c>
      <c r="B7021" t="s">
        <v>2297</v>
      </c>
      <c r="C7021" t="s">
        <v>10236</v>
      </c>
      <c r="D7021" t="s">
        <v>17181</v>
      </c>
      <c r="E7021" t="s">
        <v>23317</v>
      </c>
      <c r="F7021" t="s">
        <v>29372</v>
      </c>
      <c r="G7021" t="s">
        <v>29380</v>
      </c>
      <c r="H7021" t="s">
        <v>11048</v>
      </c>
      <c r="I7021" t="s">
        <v>9469</v>
      </c>
      <c r="J7021" t="s">
        <v>30161</v>
      </c>
      <c r="K7021" t="s">
        <v>38490</v>
      </c>
      <c r="M7021" t="s">
        <v>41224</v>
      </c>
      <c r="N7021" t="s">
        <v>42669</v>
      </c>
      <c r="O7021" t="s">
        <v>42670</v>
      </c>
      <c r="P7021">
        <v>0</v>
      </c>
      <c r="Q7021">
        <v>7</v>
      </c>
      <c r="R7021" t="s">
        <v>42678</v>
      </c>
      <c r="S7021" t="s">
        <v>42866</v>
      </c>
      <c r="T7021" t="s">
        <v>44507</v>
      </c>
      <c r="U7021" t="s">
        <v>50557</v>
      </c>
      <c r="V7021" t="s">
        <v>57136</v>
      </c>
      <c r="W7021" t="s">
        <v>41224</v>
      </c>
      <c r="X7021" t="s">
        <v>42684</v>
      </c>
    </row>
    <row r="7022" spans="1:24">
      <c r="A7022">
        <f>HYPERLINK("https://www.philgeps.gov.ph/GEPSNONPILOT/Tender/SplashBidNoticeAbstractUI.aspx?menuIndex=3&amp;refID=7172461&amp;Result=3","7172461")</f>
        <v>0</v>
      </c>
      <c r="B7022" t="s">
        <v>1498</v>
      </c>
      <c r="C7022" t="s">
        <v>10240</v>
      </c>
      <c r="D7022" t="s">
        <v>17147</v>
      </c>
      <c r="E7022" t="s">
        <v>23318</v>
      </c>
      <c r="F7022" t="s">
        <v>29372</v>
      </c>
      <c r="G7022" t="s">
        <v>29379</v>
      </c>
      <c r="H7022" t="s">
        <v>11048</v>
      </c>
      <c r="I7022" t="s">
        <v>14920</v>
      </c>
      <c r="J7022" t="s">
        <v>30010</v>
      </c>
      <c r="K7022" t="s">
        <v>38491</v>
      </c>
      <c r="M7022" t="s">
        <v>40342</v>
      </c>
      <c r="N7022" t="s">
        <v>42669</v>
      </c>
      <c r="O7022" t="s">
        <v>42670</v>
      </c>
      <c r="P7022">
        <v>0</v>
      </c>
      <c r="Q7022">
        <v>0</v>
      </c>
      <c r="R7022" t="s">
        <v>42678</v>
      </c>
      <c r="S7022" t="s">
        <v>42866</v>
      </c>
      <c r="T7022" t="s">
        <v>44491</v>
      </c>
      <c r="U7022" t="s">
        <v>50558</v>
      </c>
      <c r="W7022" t="s">
        <v>40342</v>
      </c>
      <c r="X7022" t="s">
        <v>42684</v>
      </c>
    </row>
    <row r="7023" spans="1:24">
      <c r="A7023">
        <f>HYPERLINK("https://www.philgeps.gov.ph/GEPSNONPILOT/Tender/SplashBidNoticeAbstractUI.aspx?menuIndex=3&amp;refID=7170836&amp;Result=3","7170836")</f>
        <v>0</v>
      </c>
      <c r="B7023" t="s">
        <v>1677</v>
      </c>
      <c r="C7023" t="s">
        <v>5739</v>
      </c>
      <c r="D7023" t="s">
        <v>17153</v>
      </c>
      <c r="E7023" t="s">
        <v>23319</v>
      </c>
      <c r="F7023" t="s">
        <v>29372</v>
      </c>
      <c r="G7023" t="s">
        <v>29380</v>
      </c>
      <c r="H7023" t="s">
        <v>11048</v>
      </c>
      <c r="I7023" t="s">
        <v>29407</v>
      </c>
      <c r="J7023" t="s">
        <v>34058</v>
      </c>
      <c r="K7023" t="s">
        <v>38485</v>
      </c>
      <c r="M7023" t="s">
        <v>41170</v>
      </c>
      <c r="N7023" t="s">
        <v>42669</v>
      </c>
      <c r="O7023" t="s">
        <v>42670</v>
      </c>
      <c r="P7023">
        <v>0</v>
      </c>
      <c r="Q7023">
        <v>20</v>
      </c>
      <c r="R7023" t="s">
        <v>42678</v>
      </c>
      <c r="S7023" t="s">
        <v>42866</v>
      </c>
      <c r="T7023" t="s">
        <v>44542</v>
      </c>
      <c r="U7023" t="s">
        <v>50559</v>
      </c>
      <c r="W7023" t="s">
        <v>41170</v>
      </c>
      <c r="X7023" t="s">
        <v>42684</v>
      </c>
    </row>
    <row r="7024" spans="1:24">
      <c r="A7024">
        <f>HYPERLINK("https://www.philgeps.gov.ph/GEPSNONPILOT/Tender/SplashBidNoticeAbstractUI.aspx?menuIndex=3&amp;refID=7168629&amp;Result=3","7168629")</f>
        <v>0</v>
      </c>
      <c r="B7024" t="s">
        <v>1337</v>
      </c>
      <c r="C7024" t="s">
        <v>10241</v>
      </c>
      <c r="D7024" t="s">
        <v>17148</v>
      </c>
      <c r="E7024" t="s">
        <v>23320</v>
      </c>
      <c r="F7024" t="s">
        <v>29372</v>
      </c>
      <c r="G7024" t="s">
        <v>29380</v>
      </c>
      <c r="H7024" t="s">
        <v>11048</v>
      </c>
      <c r="I7024" t="s">
        <v>4709</v>
      </c>
      <c r="J7024" t="s">
        <v>34059</v>
      </c>
      <c r="K7024" t="s">
        <v>38485</v>
      </c>
      <c r="L7024" t="s">
        <v>1337</v>
      </c>
      <c r="M7024" t="s">
        <v>40173</v>
      </c>
      <c r="N7024" t="s">
        <v>42669</v>
      </c>
      <c r="O7024" t="s">
        <v>42670</v>
      </c>
      <c r="P7024">
        <v>0</v>
      </c>
      <c r="Q7024">
        <v>9</v>
      </c>
      <c r="R7024" t="s">
        <v>42678</v>
      </c>
      <c r="S7024" t="s">
        <v>42866</v>
      </c>
      <c r="T7024" t="s">
        <v>44527</v>
      </c>
      <c r="U7024" t="s">
        <v>50560</v>
      </c>
      <c r="W7024" t="s">
        <v>40173</v>
      </c>
      <c r="X7024" t="s">
        <v>42685</v>
      </c>
    </row>
    <row r="7025" spans="1:24">
      <c r="A7025">
        <f>HYPERLINK("https://www.philgeps.gov.ph/GEPSNONPILOT/Tender/SplashBidNoticeAbstractUI.aspx?menuIndex=3&amp;refID=7186907&amp;Result=3","7186907")</f>
        <v>0</v>
      </c>
      <c r="B7025" t="s">
        <v>378</v>
      </c>
      <c r="C7025" t="s">
        <v>10242</v>
      </c>
      <c r="D7025" t="s">
        <v>17151</v>
      </c>
      <c r="E7025" t="s">
        <v>23321</v>
      </c>
      <c r="F7025" t="s">
        <v>29372</v>
      </c>
      <c r="G7025" t="s">
        <v>29380</v>
      </c>
      <c r="H7025" t="s">
        <v>11048</v>
      </c>
      <c r="I7025" t="s">
        <v>14920</v>
      </c>
      <c r="J7025" t="s">
        <v>34060</v>
      </c>
      <c r="K7025" t="s">
        <v>38488</v>
      </c>
      <c r="M7025" t="s">
        <v>41214</v>
      </c>
      <c r="N7025" t="s">
        <v>42669</v>
      </c>
      <c r="O7025" t="s">
        <v>42670</v>
      </c>
      <c r="P7025">
        <v>0</v>
      </c>
      <c r="Q7025">
        <v>2</v>
      </c>
      <c r="R7025" t="s">
        <v>42677</v>
      </c>
      <c r="S7025" t="s">
        <v>42830</v>
      </c>
      <c r="T7025" t="s">
        <v>44442</v>
      </c>
      <c r="U7025" t="s">
        <v>50561</v>
      </c>
      <c r="W7025" t="s">
        <v>41215</v>
      </c>
      <c r="X7025" t="s">
        <v>42678</v>
      </c>
    </row>
    <row r="7026" spans="1:24">
      <c r="A7026">
        <f>HYPERLINK("https://www.philgeps.gov.ph/GEPSNONPILOT/Tender/SplashBidNoticeAbstractUI.aspx?menuIndex=3&amp;refID=7145173&amp;Result=3","7145173")</f>
        <v>0</v>
      </c>
      <c r="B7026" t="s">
        <v>1319</v>
      </c>
      <c r="C7026" t="s">
        <v>10243</v>
      </c>
      <c r="D7026" t="s">
        <v>17141</v>
      </c>
      <c r="E7026" t="s">
        <v>20416</v>
      </c>
      <c r="F7026" t="s">
        <v>29372</v>
      </c>
      <c r="G7026" t="s">
        <v>29380</v>
      </c>
      <c r="H7026" t="s">
        <v>29389</v>
      </c>
      <c r="I7026" t="s">
        <v>10408</v>
      </c>
      <c r="J7026" t="s">
        <v>34061</v>
      </c>
      <c r="K7026" t="s">
        <v>38490</v>
      </c>
      <c r="M7026" t="s">
        <v>40151</v>
      </c>
      <c r="N7026" t="s">
        <v>42669</v>
      </c>
      <c r="O7026" t="s">
        <v>42670</v>
      </c>
      <c r="P7026">
        <v>0</v>
      </c>
      <c r="Q7026">
        <v>1</v>
      </c>
      <c r="R7026" t="s">
        <v>42678</v>
      </c>
      <c r="S7026" t="s">
        <v>42866</v>
      </c>
      <c r="T7026" t="s">
        <v>44685</v>
      </c>
      <c r="U7026" t="s">
        <v>50562</v>
      </c>
      <c r="W7026" t="s">
        <v>40151</v>
      </c>
      <c r="X7026" t="s">
        <v>42698</v>
      </c>
    </row>
    <row r="7027" spans="1:24">
      <c r="A7027">
        <f>HYPERLINK("https://www.philgeps.gov.ph/GEPSNONPILOT/Tender/SplashBidNoticeAbstractUI.aspx?menuIndex=3&amp;refID=7173590&amp;Result=3","7173590")</f>
        <v>0</v>
      </c>
      <c r="B7027" t="s">
        <v>86</v>
      </c>
      <c r="C7027" t="s">
        <v>10244</v>
      </c>
      <c r="E7027" t="s">
        <v>23322</v>
      </c>
      <c r="F7027" t="s">
        <v>29372</v>
      </c>
      <c r="G7027" t="s">
        <v>29379</v>
      </c>
      <c r="H7027" t="s">
        <v>11048</v>
      </c>
      <c r="I7027" t="s">
        <v>8208</v>
      </c>
      <c r="J7027" t="s">
        <v>34053</v>
      </c>
      <c r="K7027" t="s">
        <v>38490</v>
      </c>
      <c r="M7027" t="s">
        <v>40799</v>
      </c>
      <c r="N7027" t="s">
        <v>42669</v>
      </c>
      <c r="O7027" t="s">
        <v>42670</v>
      </c>
      <c r="P7027">
        <v>0</v>
      </c>
      <c r="Q7027">
        <v>0</v>
      </c>
      <c r="R7027" t="s">
        <v>42678</v>
      </c>
      <c r="S7027" t="s">
        <v>42866</v>
      </c>
      <c r="T7027" t="s">
        <v>44491</v>
      </c>
      <c r="U7027" t="s">
        <v>50549</v>
      </c>
      <c r="W7027" t="s">
        <v>40799</v>
      </c>
      <c r="X7027" t="s">
        <v>42684</v>
      </c>
    </row>
    <row r="7028" spans="1:24">
      <c r="A7028">
        <f>HYPERLINK("https://www.philgeps.gov.ph/GEPSNONPILOT/Tender/SplashBidNoticeAbstractUI.aspx?menuIndex=3&amp;refID=7186646&amp;Result=3","7186646")</f>
        <v>0</v>
      </c>
      <c r="B7028" t="s">
        <v>2273</v>
      </c>
      <c r="C7028" t="s">
        <v>10245</v>
      </c>
      <c r="D7028" t="s">
        <v>17201</v>
      </c>
      <c r="E7028" t="s">
        <v>23323</v>
      </c>
      <c r="F7028" t="s">
        <v>29372</v>
      </c>
      <c r="G7028" t="s">
        <v>29380</v>
      </c>
      <c r="H7028" t="s">
        <v>29389</v>
      </c>
      <c r="I7028" t="s">
        <v>10408</v>
      </c>
      <c r="J7028" t="s">
        <v>34062</v>
      </c>
      <c r="K7028" t="s">
        <v>38496</v>
      </c>
      <c r="L7028" t="s">
        <v>2273</v>
      </c>
      <c r="M7028" t="s">
        <v>41195</v>
      </c>
      <c r="N7028" t="s">
        <v>42669</v>
      </c>
      <c r="O7028" t="s">
        <v>42670</v>
      </c>
      <c r="P7028">
        <v>0</v>
      </c>
      <c r="Q7028">
        <v>0</v>
      </c>
      <c r="R7028" t="s">
        <v>42677</v>
      </c>
      <c r="S7028" t="s">
        <v>42830</v>
      </c>
      <c r="T7028" t="s">
        <v>44539</v>
      </c>
      <c r="U7028" t="s">
        <v>50563</v>
      </c>
      <c r="W7028" t="s">
        <v>41195</v>
      </c>
      <c r="X7028" t="s">
        <v>42678</v>
      </c>
    </row>
    <row r="7029" spans="1:24">
      <c r="A7029">
        <f>HYPERLINK("https://www.philgeps.gov.ph/GEPSNONPILOT/Tender/SplashBidNoticeAbstractUI.aspx?menuIndex=3&amp;refID=7172008&amp;Result=3","7172008")</f>
        <v>0</v>
      </c>
      <c r="B7029" t="s">
        <v>1340</v>
      </c>
      <c r="C7029" t="s">
        <v>10246</v>
      </c>
      <c r="D7029" t="s">
        <v>17195</v>
      </c>
      <c r="E7029" t="s">
        <v>23324</v>
      </c>
      <c r="F7029" t="s">
        <v>29372</v>
      </c>
      <c r="G7029" t="s">
        <v>29380</v>
      </c>
      <c r="H7029" t="s">
        <v>11048</v>
      </c>
      <c r="I7029" t="s">
        <v>29393</v>
      </c>
      <c r="J7029" t="s">
        <v>34063</v>
      </c>
      <c r="K7029" t="s">
        <v>38485</v>
      </c>
      <c r="M7029" t="s">
        <v>40176</v>
      </c>
      <c r="N7029" t="s">
        <v>42669</v>
      </c>
      <c r="O7029" t="s">
        <v>42670</v>
      </c>
      <c r="P7029">
        <v>0</v>
      </c>
      <c r="Q7029">
        <v>0</v>
      </c>
      <c r="R7029" t="s">
        <v>42678</v>
      </c>
      <c r="S7029" t="s">
        <v>42866</v>
      </c>
      <c r="T7029" t="s">
        <v>44355</v>
      </c>
      <c r="U7029" t="s">
        <v>50564</v>
      </c>
      <c r="V7029" t="s">
        <v>56699</v>
      </c>
      <c r="W7029" t="s">
        <v>40176</v>
      </c>
      <c r="X7029" t="s">
        <v>42684</v>
      </c>
    </row>
    <row r="7030" spans="1:24">
      <c r="A7030">
        <f>HYPERLINK("https://www.philgeps.gov.ph/GEPSNONPILOT/Tender/SplashBidNoticeAbstractUI.aspx?menuIndex=3&amp;refID=7186644&amp;Result=3","7186644")</f>
        <v>0</v>
      </c>
      <c r="B7030" t="s">
        <v>207</v>
      </c>
      <c r="C7030" t="s">
        <v>10247</v>
      </c>
      <c r="D7030" t="s">
        <v>17157</v>
      </c>
      <c r="E7030" t="s">
        <v>23325</v>
      </c>
      <c r="F7030" t="s">
        <v>29372</v>
      </c>
      <c r="G7030" t="s">
        <v>29380</v>
      </c>
      <c r="H7030" t="s">
        <v>11048</v>
      </c>
      <c r="I7030" t="s">
        <v>3670</v>
      </c>
      <c r="J7030" t="s">
        <v>34064</v>
      </c>
      <c r="K7030" t="s">
        <v>38510</v>
      </c>
      <c r="M7030" t="s">
        <v>41226</v>
      </c>
      <c r="N7030" t="s">
        <v>42669</v>
      </c>
      <c r="O7030" t="s">
        <v>42670</v>
      </c>
      <c r="P7030">
        <v>0</v>
      </c>
      <c r="Q7030">
        <v>3</v>
      </c>
      <c r="R7030" t="s">
        <v>42677</v>
      </c>
      <c r="S7030" t="s">
        <v>42830</v>
      </c>
      <c r="T7030" t="s">
        <v>44427</v>
      </c>
      <c r="U7030" t="s">
        <v>50565</v>
      </c>
      <c r="W7030" t="s">
        <v>41226</v>
      </c>
      <c r="X7030" t="s">
        <v>42678</v>
      </c>
    </row>
    <row r="7031" spans="1:24">
      <c r="A7031">
        <f>HYPERLINK("https://www.philgeps.gov.ph/GEPSNONPILOT/Tender/SplashBidNoticeAbstractUI.aspx?menuIndex=3&amp;refID=7186643&amp;Result=3","7186643")</f>
        <v>0</v>
      </c>
      <c r="B7031" t="s">
        <v>2271</v>
      </c>
      <c r="C7031" t="s">
        <v>10068</v>
      </c>
      <c r="D7031" t="s">
        <v>17160</v>
      </c>
      <c r="E7031" t="s">
        <v>17947</v>
      </c>
      <c r="F7031" t="s">
        <v>29372</v>
      </c>
      <c r="G7031" t="s">
        <v>29380</v>
      </c>
      <c r="H7031" t="s">
        <v>11048</v>
      </c>
      <c r="I7031" t="s">
        <v>4709</v>
      </c>
      <c r="J7031" t="s">
        <v>29694</v>
      </c>
      <c r="K7031" t="s">
        <v>38489</v>
      </c>
      <c r="M7031" t="s">
        <v>41193</v>
      </c>
      <c r="N7031" t="s">
        <v>42669</v>
      </c>
      <c r="O7031" t="s">
        <v>42670</v>
      </c>
      <c r="P7031">
        <v>0</v>
      </c>
      <c r="Q7031">
        <v>0</v>
      </c>
      <c r="R7031" t="s">
        <v>42677</v>
      </c>
      <c r="S7031" t="s">
        <v>42830</v>
      </c>
      <c r="T7031" t="s">
        <v>44429</v>
      </c>
      <c r="U7031" t="s">
        <v>45516</v>
      </c>
      <c r="W7031" t="s">
        <v>58081</v>
      </c>
      <c r="X7031" t="s">
        <v>42678</v>
      </c>
    </row>
    <row r="7032" spans="1:24">
      <c r="A7032">
        <f>HYPERLINK("https://www.philgeps.gov.ph/GEPSNONPILOT/Tender/SplashBidNoticeAbstractUI.aspx?menuIndex=3&amp;refID=7167872&amp;Result=3","7167872")</f>
        <v>0</v>
      </c>
      <c r="B7032" t="s">
        <v>2299</v>
      </c>
      <c r="C7032" t="s">
        <v>10248</v>
      </c>
      <c r="D7032" t="s">
        <v>17141</v>
      </c>
      <c r="E7032" t="s">
        <v>17347</v>
      </c>
      <c r="F7032" t="s">
        <v>29372</v>
      </c>
      <c r="G7032" t="s">
        <v>29380</v>
      </c>
      <c r="H7032" t="s">
        <v>11048</v>
      </c>
      <c r="I7032" t="s">
        <v>3839</v>
      </c>
      <c r="J7032" t="s">
        <v>29929</v>
      </c>
      <c r="K7032" t="s">
        <v>38489</v>
      </c>
      <c r="M7032" t="s">
        <v>41227</v>
      </c>
      <c r="N7032" t="s">
        <v>42669</v>
      </c>
      <c r="O7032" t="s">
        <v>42670</v>
      </c>
      <c r="P7032">
        <v>0</v>
      </c>
      <c r="Q7032">
        <v>7</v>
      </c>
      <c r="R7032" t="s">
        <v>42678</v>
      </c>
      <c r="S7032" t="s">
        <v>42866</v>
      </c>
      <c r="T7032" t="s">
        <v>44493</v>
      </c>
      <c r="U7032" t="s">
        <v>50566</v>
      </c>
      <c r="W7032" t="s">
        <v>41227</v>
      </c>
      <c r="X7032" t="s">
        <v>42685</v>
      </c>
    </row>
    <row r="7033" spans="1:24">
      <c r="A7033">
        <f>HYPERLINK("https://www.philgeps.gov.ph/GEPSNONPILOT/Tender/SplashBidNoticeAbstractUI.aspx?menuIndex=3&amp;refID=7186586&amp;Result=3","7186586")</f>
        <v>0</v>
      </c>
      <c r="B7033" t="s">
        <v>2300</v>
      </c>
      <c r="C7033" t="s">
        <v>10249</v>
      </c>
      <c r="D7033" t="s">
        <v>17141</v>
      </c>
      <c r="E7033" t="s">
        <v>17534</v>
      </c>
      <c r="F7033" t="s">
        <v>29372</v>
      </c>
      <c r="G7033" t="s">
        <v>29380</v>
      </c>
      <c r="H7033" t="s">
        <v>11048</v>
      </c>
      <c r="I7033" t="s">
        <v>3670</v>
      </c>
      <c r="J7033" t="s">
        <v>29532</v>
      </c>
      <c r="K7033" t="s">
        <v>38485</v>
      </c>
      <c r="M7033" t="s">
        <v>41228</v>
      </c>
      <c r="N7033" t="s">
        <v>42669</v>
      </c>
      <c r="O7033" t="s">
        <v>42670</v>
      </c>
      <c r="P7033">
        <v>0</v>
      </c>
      <c r="Q7033">
        <v>2</v>
      </c>
      <c r="R7033" t="s">
        <v>42677</v>
      </c>
      <c r="S7033" t="s">
        <v>42830</v>
      </c>
      <c r="T7033" t="s">
        <v>44401</v>
      </c>
      <c r="U7033" t="s">
        <v>50567</v>
      </c>
      <c r="W7033" t="s">
        <v>41228</v>
      </c>
      <c r="X7033" t="s">
        <v>42678</v>
      </c>
    </row>
    <row r="7034" spans="1:24">
      <c r="A7034">
        <f>HYPERLINK("https://www.philgeps.gov.ph/GEPSNONPILOT/Tender/SplashBidNoticeAbstractUI.aspx?menuIndex=3&amp;refID=7186902&amp;Result=3","7186902")</f>
        <v>0</v>
      </c>
      <c r="B7034" t="s">
        <v>378</v>
      </c>
      <c r="C7034" t="s">
        <v>10250</v>
      </c>
      <c r="D7034" t="s">
        <v>17151</v>
      </c>
      <c r="E7034" t="s">
        <v>23326</v>
      </c>
      <c r="F7034" t="s">
        <v>29372</v>
      </c>
      <c r="G7034" t="s">
        <v>29380</v>
      </c>
      <c r="H7034" t="s">
        <v>11048</v>
      </c>
      <c r="I7034" t="s">
        <v>4709</v>
      </c>
      <c r="J7034" t="s">
        <v>34065</v>
      </c>
      <c r="K7034" t="s">
        <v>38485</v>
      </c>
      <c r="M7034" t="s">
        <v>41215</v>
      </c>
      <c r="N7034" t="s">
        <v>42669</v>
      </c>
      <c r="O7034" t="s">
        <v>42670</v>
      </c>
      <c r="P7034">
        <v>0</v>
      </c>
      <c r="Q7034">
        <v>0</v>
      </c>
      <c r="R7034" t="s">
        <v>42677</v>
      </c>
      <c r="S7034" t="s">
        <v>42830</v>
      </c>
      <c r="T7034" t="s">
        <v>44442</v>
      </c>
      <c r="U7034" t="s">
        <v>50525</v>
      </c>
      <c r="W7034" t="s">
        <v>41215</v>
      </c>
      <c r="X7034" t="s">
        <v>42678</v>
      </c>
    </row>
    <row r="7035" spans="1:24">
      <c r="A7035">
        <f>HYPERLINK("https://www.philgeps.gov.ph/GEPSNONPILOT/Tender/SplashBidNoticeAbstractUI.aspx?menuIndex=3&amp;refID=7175961&amp;Result=3","7175961")</f>
        <v>0</v>
      </c>
      <c r="B7035" t="s">
        <v>1912</v>
      </c>
      <c r="C7035" t="s">
        <v>10251</v>
      </c>
      <c r="D7035" t="s">
        <v>17194</v>
      </c>
      <c r="E7035" t="s">
        <v>23327</v>
      </c>
      <c r="F7035" t="s">
        <v>29372</v>
      </c>
      <c r="G7035" t="s">
        <v>29380</v>
      </c>
      <c r="H7035" t="s">
        <v>11048</v>
      </c>
      <c r="I7035" t="s">
        <v>29407</v>
      </c>
      <c r="J7035" t="s">
        <v>31056</v>
      </c>
      <c r="K7035" t="s">
        <v>38485</v>
      </c>
      <c r="M7035" t="s">
        <v>40787</v>
      </c>
      <c r="N7035" t="s">
        <v>42669</v>
      </c>
      <c r="O7035" t="s">
        <v>42670</v>
      </c>
      <c r="P7035">
        <v>0</v>
      </c>
      <c r="Q7035">
        <v>1</v>
      </c>
      <c r="R7035" t="s">
        <v>42678</v>
      </c>
      <c r="S7035" t="s">
        <v>42866</v>
      </c>
      <c r="T7035" t="s">
        <v>44491</v>
      </c>
      <c r="U7035" t="s">
        <v>50568</v>
      </c>
      <c r="W7035" t="s">
        <v>40787</v>
      </c>
      <c r="X7035" t="s">
        <v>42683</v>
      </c>
    </row>
    <row r="7036" spans="1:24">
      <c r="A7036">
        <f>HYPERLINK("https://www.philgeps.gov.ph/GEPSNONPILOT/Tender/SplashBidNoticeAbstractUI.aspx?menuIndex=3&amp;refID=7170750&amp;Result=3","7170750")</f>
        <v>0</v>
      </c>
      <c r="B7036" t="s">
        <v>1906</v>
      </c>
      <c r="C7036" t="s">
        <v>10252</v>
      </c>
      <c r="D7036" t="s">
        <v>17195</v>
      </c>
      <c r="E7036" t="s">
        <v>18634</v>
      </c>
      <c r="F7036" t="s">
        <v>29372</v>
      </c>
      <c r="G7036" t="s">
        <v>29380</v>
      </c>
      <c r="H7036" t="s">
        <v>29389</v>
      </c>
      <c r="I7036" t="s">
        <v>4709</v>
      </c>
      <c r="J7036" t="s">
        <v>29555</v>
      </c>
      <c r="K7036" t="s">
        <v>38487</v>
      </c>
      <c r="L7036" t="s">
        <v>1906</v>
      </c>
      <c r="M7036" t="s">
        <v>40781</v>
      </c>
      <c r="N7036" t="s">
        <v>42669</v>
      </c>
      <c r="O7036" t="s">
        <v>42670</v>
      </c>
      <c r="P7036">
        <v>0</v>
      </c>
      <c r="Q7036">
        <v>2</v>
      </c>
      <c r="R7036" t="s">
        <v>42678</v>
      </c>
      <c r="S7036" t="s">
        <v>42866</v>
      </c>
      <c r="T7036" t="s">
        <v>44491</v>
      </c>
      <c r="U7036" t="s">
        <v>50569</v>
      </c>
      <c r="W7036" t="s">
        <v>40781</v>
      </c>
      <c r="X7036" t="s">
        <v>42684</v>
      </c>
    </row>
    <row r="7037" spans="1:24">
      <c r="A7037">
        <f>HYPERLINK("https://www.philgeps.gov.ph/GEPSNONPILOT/Tender/SplashBidNoticeAbstractUI.aspx?menuIndex=3&amp;refID=7176039&amp;Result=3","7176039")</f>
        <v>0</v>
      </c>
      <c r="B7037" t="s">
        <v>2301</v>
      </c>
      <c r="C7037" t="s">
        <v>10253</v>
      </c>
      <c r="D7037" t="s">
        <v>17187</v>
      </c>
      <c r="E7037" t="s">
        <v>23328</v>
      </c>
      <c r="F7037" t="s">
        <v>29372</v>
      </c>
      <c r="G7037" t="s">
        <v>29383</v>
      </c>
      <c r="H7037" t="s">
        <v>11048</v>
      </c>
      <c r="I7037" t="s">
        <v>3839</v>
      </c>
      <c r="J7037" t="s">
        <v>29555</v>
      </c>
      <c r="K7037" t="s">
        <v>38569</v>
      </c>
      <c r="M7037" t="s">
        <v>41229</v>
      </c>
      <c r="N7037" t="s">
        <v>42669</v>
      </c>
      <c r="O7037" t="s">
        <v>42670</v>
      </c>
      <c r="P7037">
        <v>0</v>
      </c>
      <c r="Q7037">
        <v>2</v>
      </c>
      <c r="R7037" t="s">
        <v>42678</v>
      </c>
      <c r="S7037" t="s">
        <v>42866</v>
      </c>
      <c r="T7037" t="s">
        <v>44743</v>
      </c>
      <c r="U7037" t="s">
        <v>50570</v>
      </c>
      <c r="W7037" t="s">
        <v>41229</v>
      </c>
      <c r="X7037" t="s">
        <v>42683</v>
      </c>
    </row>
    <row r="7038" spans="1:24">
      <c r="A7038">
        <f>HYPERLINK("https://www.philgeps.gov.ph/GEPSNONPILOT/Tender/SplashBidNoticeAbstractUI.aspx?menuIndex=3&amp;refID=7175766&amp;Result=3","7175766")</f>
        <v>0</v>
      </c>
      <c r="B7038" t="s">
        <v>712</v>
      </c>
      <c r="C7038" t="s">
        <v>10254</v>
      </c>
      <c r="D7038" t="s">
        <v>17175</v>
      </c>
      <c r="E7038" t="s">
        <v>23329</v>
      </c>
      <c r="F7038" t="s">
        <v>29372</v>
      </c>
      <c r="G7038" t="s">
        <v>29380</v>
      </c>
      <c r="H7038" t="s">
        <v>11048</v>
      </c>
      <c r="I7038" t="s">
        <v>4709</v>
      </c>
      <c r="J7038" t="s">
        <v>34066</v>
      </c>
      <c r="K7038" t="s">
        <v>38510</v>
      </c>
      <c r="M7038" t="s">
        <v>39491</v>
      </c>
      <c r="N7038" t="s">
        <v>42669</v>
      </c>
      <c r="O7038" t="s">
        <v>42670</v>
      </c>
      <c r="P7038">
        <v>0</v>
      </c>
      <c r="Q7038">
        <v>0</v>
      </c>
      <c r="R7038" t="s">
        <v>42678</v>
      </c>
      <c r="S7038" t="s">
        <v>42866</v>
      </c>
      <c r="T7038" t="s">
        <v>44488</v>
      </c>
      <c r="U7038" t="s">
        <v>50571</v>
      </c>
      <c r="V7038" t="s">
        <v>56538</v>
      </c>
      <c r="W7038" t="s">
        <v>39491</v>
      </c>
      <c r="X7038" t="s">
        <v>42683</v>
      </c>
    </row>
    <row r="7039" spans="1:24">
      <c r="A7039">
        <f>HYPERLINK("https://www.philgeps.gov.ph/GEPSNONPILOT/Tender/SplashBidNoticeAbstractUI.aspx?menuIndex=3&amp;refID=7175566&amp;Result=3","7175566")</f>
        <v>0</v>
      </c>
      <c r="B7039" t="s">
        <v>2302</v>
      </c>
      <c r="C7039" t="s">
        <v>10255</v>
      </c>
      <c r="D7039" t="s">
        <v>17161</v>
      </c>
      <c r="F7039" t="s">
        <v>29372</v>
      </c>
      <c r="G7039" t="s">
        <v>29380</v>
      </c>
      <c r="H7039" t="s">
        <v>11048</v>
      </c>
      <c r="I7039" t="s">
        <v>29393</v>
      </c>
      <c r="J7039" t="s">
        <v>29799</v>
      </c>
      <c r="K7039" t="s">
        <v>38490</v>
      </c>
      <c r="M7039" t="s">
        <v>41230</v>
      </c>
      <c r="N7039" t="s">
        <v>42669</v>
      </c>
      <c r="O7039" t="s">
        <v>42670</v>
      </c>
      <c r="P7039">
        <v>0</v>
      </c>
      <c r="Q7039">
        <v>0</v>
      </c>
      <c r="R7039" t="s">
        <v>42678</v>
      </c>
      <c r="S7039" t="s">
        <v>42866</v>
      </c>
      <c r="T7039" t="s">
        <v>44568</v>
      </c>
      <c r="U7039" t="s">
        <v>50572</v>
      </c>
      <c r="W7039" t="s">
        <v>41230</v>
      </c>
      <c r="X7039" t="s">
        <v>42683</v>
      </c>
    </row>
    <row r="7040" spans="1:24">
      <c r="A7040">
        <f>HYPERLINK("https://www.philgeps.gov.ph/GEPSNONPILOT/Tender/SplashBidNoticeAbstractUI.aspx?menuIndex=3&amp;refID=7175862&amp;Result=3","7175862")</f>
        <v>0</v>
      </c>
      <c r="B7040" t="s">
        <v>712</v>
      </c>
      <c r="C7040" t="s">
        <v>10256</v>
      </c>
      <c r="D7040" t="s">
        <v>17175</v>
      </c>
      <c r="E7040" t="s">
        <v>23330</v>
      </c>
      <c r="F7040" t="s">
        <v>29372</v>
      </c>
      <c r="G7040" t="s">
        <v>29380</v>
      </c>
      <c r="H7040" t="s">
        <v>11048</v>
      </c>
      <c r="I7040" t="s">
        <v>4709</v>
      </c>
      <c r="J7040" t="s">
        <v>34067</v>
      </c>
      <c r="K7040" t="s">
        <v>38510</v>
      </c>
      <c r="M7040" t="s">
        <v>39491</v>
      </c>
      <c r="N7040" t="s">
        <v>42669</v>
      </c>
      <c r="O7040" t="s">
        <v>42670</v>
      </c>
      <c r="P7040">
        <v>0</v>
      </c>
      <c r="Q7040">
        <v>0</v>
      </c>
      <c r="R7040" t="s">
        <v>42678</v>
      </c>
      <c r="S7040" t="s">
        <v>42866</v>
      </c>
      <c r="T7040" t="s">
        <v>44488</v>
      </c>
      <c r="U7040" t="s">
        <v>50573</v>
      </c>
      <c r="V7040" t="s">
        <v>56538</v>
      </c>
      <c r="W7040" t="s">
        <v>39491</v>
      </c>
      <c r="X7040" t="s">
        <v>42683</v>
      </c>
    </row>
    <row r="7041" spans="1:24">
      <c r="A7041">
        <f>HYPERLINK("https://www.philgeps.gov.ph/GEPSNONPILOT/Tender/SplashBidNoticeAbstractUI.aspx?menuIndex=3&amp;refID=7175471&amp;Result=3","7175471")</f>
        <v>0</v>
      </c>
      <c r="B7041" t="s">
        <v>712</v>
      </c>
      <c r="C7041" t="s">
        <v>10257</v>
      </c>
      <c r="D7041" t="s">
        <v>17175</v>
      </c>
      <c r="E7041" t="s">
        <v>23331</v>
      </c>
      <c r="F7041" t="s">
        <v>29372</v>
      </c>
      <c r="G7041" t="s">
        <v>29380</v>
      </c>
      <c r="H7041" t="s">
        <v>11048</v>
      </c>
      <c r="I7041" t="s">
        <v>10408</v>
      </c>
      <c r="J7041" t="s">
        <v>34068</v>
      </c>
      <c r="K7041" t="s">
        <v>38510</v>
      </c>
      <c r="M7041" t="s">
        <v>39491</v>
      </c>
      <c r="N7041" t="s">
        <v>42669</v>
      </c>
      <c r="O7041" t="s">
        <v>42670</v>
      </c>
      <c r="P7041">
        <v>0</v>
      </c>
      <c r="Q7041">
        <v>0</v>
      </c>
      <c r="R7041" t="s">
        <v>42678</v>
      </c>
      <c r="S7041" t="s">
        <v>42866</v>
      </c>
      <c r="T7041" t="s">
        <v>44488</v>
      </c>
      <c r="U7041" t="s">
        <v>50574</v>
      </c>
      <c r="V7041" t="s">
        <v>56538</v>
      </c>
      <c r="W7041" t="s">
        <v>39491</v>
      </c>
      <c r="X7041" t="s">
        <v>42683</v>
      </c>
    </row>
    <row r="7042" spans="1:24">
      <c r="A7042">
        <f>HYPERLINK("https://www.philgeps.gov.ph/GEPSNONPILOT/Tender/SplashBidNoticeAbstractUI.aspx?menuIndex=3&amp;refID=7175840&amp;Result=3","7175840")</f>
        <v>0</v>
      </c>
      <c r="B7042" t="s">
        <v>52</v>
      </c>
      <c r="C7042" t="s">
        <v>10258</v>
      </c>
      <c r="D7042" t="s">
        <v>17183</v>
      </c>
      <c r="E7042" t="s">
        <v>23332</v>
      </c>
      <c r="F7042" t="s">
        <v>29372</v>
      </c>
      <c r="G7042" t="s">
        <v>29379</v>
      </c>
      <c r="H7042" t="s">
        <v>11048</v>
      </c>
      <c r="I7042" t="s">
        <v>14920</v>
      </c>
      <c r="J7042" t="s">
        <v>34069</v>
      </c>
      <c r="K7042" t="s">
        <v>38522</v>
      </c>
      <c r="M7042" t="s">
        <v>40848</v>
      </c>
      <c r="N7042" t="s">
        <v>42669</v>
      </c>
      <c r="O7042" t="s">
        <v>42670</v>
      </c>
      <c r="Q7042">
        <v>3</v>
      </c>
      <c r="R7042" t="s">
        <v>42678</v>
      </c>
      <c r="S7042" t="s">
        <v>42867</v>
      </c>
      <c r="T7042" t="s">
        <v>44431</v>
      </c>
      <c r="U7042" t="s">
        <v>50575</v>
      </c>
      <c r="W7042" t="s">
        <v>40848</v>
      </c>
      <c r="X7042" t="s">
        <v>42683</v>
      </c>
    </row>
    <row r="7043" spans="1:24">
      <c r="A7043">
        <f>HYPERLINK("https://www.philgeps.gov.ph/GEPSNONPILOT/Tender/SplashBidNoticeAbstractUI.aspx?menuIndex=3&amp;refID=7186590&amp;Result=3","7186590")</f>
        <v>0</v>
      </c>
      <c r="B7043" t="s">
        <v>2259</v>
      </c>
      <c r="C7043" t="s">
        <v>10259</v>
      </c>
      <c r="D7043" t="s">
        <v>17141</v>
      </c>
      <c r="E7043" t="s">
        <v>17540</v>
      </c>
      <c r="F7043" t="s">
        <v>29372</v>
      </c>
      <c r="G7043" t="s">
        <v>29380</v>
      </c>
      <c r="H7043" t="s">
        <v>29390</v>
      </c>
      <c r="I7043" t="s">
        <v>29409</v>
      </c>
      <c r="J7043" t="s">
        <v>29823</v>
      </c>
      <c r="K7043" t="s">
        <v>38488</v>
      </c>
      <c r="M7043" t="s">
        <v>41180</v>
      </c>
      <c r="N7043" t="s">
        <v>42669</v>
      </c>
      <c r="O7043" t="s">
        <v>42670</v>
      </c>
      <c r="P7043">
        <v>0</v>
      </c>
      <c r="Q7043">
        <v>9</v>
      </c>
      <c r="R7043" t="s">
        <v>42677</v>
      </c>
      <c r="S7043" t="s">
        <v>42830</v>
      </c>
      <c r="T7043" t="s">
        <v>44425</v>
      </c>
      <c r="U7043" t="s">
        <v>50424</v>
      </c>
      <c r="W7043" t="s">
        <v>41180</v>
      </c>
      <c r="X7043" t="s">
        <v>42678</v>
      </c>
    </row>
    <row r="7044" spans="1:24">
      <c r="A7044">
        <f>HYPERLINK("https://www.philgeps.gov.ph/GEPSNONPILOT/Tender/SplashBidNoticeAbstractUI.aspx?menuIndex=3&amp;refID=7175422&amp;Result=3","7175422")</f>
        <v>0</v>
      </c>
      <c r="B7044" t="s">
        <v>712</v>
      </c>
      <c r="C7044" t="s">
        <v>10257</v>
      </c>
      <c r="D7044" t="s">
        <v>17175</v>
      </c>
      <c r="E7044" t="s">
        <v>23333</v>
      </c>
      <c r="F7044" t="s">
        <v>29372</v>
      </c>
      <c r="G7044" t="s">
        <v>29380</v>
      </c>
      <c r="H7044" t="s">
        <v>11048</v>
      </c>
      <c r="I7044" t="s">
        <v>4709</v>
      </c>
      <c r="J7044" t="s">
        <v>34070</v>
      </c>
      <c r="K7044" t="s">
        <v>38510</v>
      </c>
      <c r="M7044" t="s">
        <v>39491</v>
      </c>
      <c r="N7044" t="s">
        <v>42669</v>
      </c>
      <c r="O7044" t="s">
        <v>42670</v>
      </c>
      <c r="P7044">
        <v>0</v>
      </c>
      <c r="Q7044">
        <v>1</v>
      </c>
      <c r="R7044" t="s">
        <v>42678</v>
      </c>
      <c r="S7044" t="s">
        <v>42866</v>
      </c>
      <c r="T7044" t="s">
        <v>44488</v>
      </c>
      <c r="U7044" t="s">
        <v>50576</v>
      </c>
      <c r="V7044" t="s">
        <v>56538</v>
      </c>
      <c r="W7044" t="s">
        <v>39491</v>
      </c>
      <c r="X7044" t="s">
        <v>42683</v>
      </c>
    </row>
    <row r="7045" spans="1:24">
      <c r="A7045">
        <f>HYPERLINK("https://www.philgeps.gov.ph/GEPSNONPILOT/Tender/SplashBidNoticeAbstractUI.aspx?menuIndex=3&amp;refID=7174845&amp;Result=3","7174845")</f>
        <v>0</v>
      </c>
      <c r="B7045" t="s">
        <v>196</v>
      </c>
      <c r="C7045" t="s">
        <v>10260</v>
      </c>
      <c r="D7045" t="s">
        <v>17166</v>
      </c>
      <c r="E7045" t="s">
        <v>23334</v>
      </c>
      <c r="F7045" t="s">
        <v>29372</v>
      </c>
      <c r="G7045" t="s">
        <v>29380</v>
      </c>
      <c r="H7045" t="s">
        <v>11048</v>
      </c>
      <c r="I7045" t="s">
        <v>3695</v>
      </c>
      <c r="J7045" t="s">
        <v>34071</v>
      </c>
      <c r="K7045" t="s">
        <v>38510</v>
      </c>
      <c r="M7045" t="s">
        <v>38953</v>
      </c>
      <c r="N7045" t="s">
        <v>42669</v>
      </c>
      <c r="O7045" t="s">
        <v>42670</v>
      </c>
      <c r="P7045">
        <v>0</v>
      </c>
      <c r="Q7045">
        <v>5</v>
      </c>
      <c r="R7045" t="s">
        <v>42678</v>
      </c>
      <c r="S7045" t="s">
        <v>42866</v>
      </c>
      <c r="T7045" t="s">
        <v>44542</v>
      </c>
      <c r="U7045" t="s">
        <v>50577</v>
      </c>
      <c r="W7045" t="s">
        <v>58083</v>
      </c>
      <c r="X7045" t="s">
        <v>42683</v>
      </c>
    </row>
    <row r="7046" spans="1:24">
      <c r="A7046">
        <f>HYPERLINK("https://www.philgeps.gov.ph/GEPSNONPILOT/Tender/SplashBidNoticeAbstractUI.aspx?menuIndex=3&amp;refID=7175919&amp;Result=3","7175919")</f>
        <v>0</v>
      </c>
      <c r="B7046" t="s">
        <v>712</v>
      </c>
      <c r="C7046" t="s">
        <v>10261</v>
      </c>
      <c r="D7046" t="s">
        <v>17175</v>
      </c>
      <c r="E7046" t="s">
        <v>23335</v>
      </c>
      <c r="F7046" t="s">
        <v>29372</v>
      </c>
      <c r="G7046" t="s">
        <v>29380</v>
      </c>
      <c r="H7046" t="s">
        <v>29391</v>
      </c>
      <c r="I7046" t="s">
        <v>10408</v>
      </c>
      <c r="J7046" t="s">
        <v>34072</v>
      </c>
      <c r="K7046" t="s">
        <v>38510</v>
      </c>
      <c r="M7046" t="s">
        <v>39491</v>
      </c>
      <c r="N7046" t="s">
        <v>42669</v>
      </c>
      <c r="O7046" t="s">
        <v>42670</v>
      </c>
      <c r="P7046">
        <v>0</v>
      </c>
      <c r="Q7046">
        <v>0</v>
      </c>
      <c r="R7046" t="s">
        <v>42678</v>
      </c>
      <c r="S7046" t="s">
        <v>42866</v>
      </c>
      <c r="T7046" t="s">
        <v>44488</v>
      </c>
      <c r="U7046" t="s">
        <v>50578</v>
      </c>
      <c r="V7046" t="s">
        <v>56538</v>
      </c>
      <c r="W7046" t="s">
        <v>39491</v>
      </c>
      <c r="X7046" t="s">
        <v>42683</v>
      </c>
    </row>
    <row r="7047" spans="1:24">
      <c r="A7047">
        <f>HYPERLINK("https://www.philgeps.gov.ph/GEPSNONPILOT/Tender/SplashBidNoticeAbstractUI.aspx?menuIndex=3&amp;refID=7186903&amp;Result=3","7186903")</f>
        <v>0</v>
      </c>
      <c r="B7047" t="s">
        <v>844</v>
      </c>
      <c r="C7047" t="s">
        <v>10262</v>
      </c>
      <c r="D7047" t="s">
        <v>17218</v>
      </c>
      <c r="E7047" t="s">
        <v>23336</v>
      </c>
      <c r="F7047" t="s">
        <v>29372</v>
      </c>
      <c r="G7047" t="s">
        <v>29379</v>
      </c>
      <c r="H7047" t="s">
        <v>29389</v>
      </c>
      <c r="I7047" t="s">
        <v>29452</v>
      </c>
      <c r="J7047" t="s">
        <v>34073</v>
      </c>
      <c r="K7047" t="s">
        <v>38485</v>
      </c>
      <c r="M7047" t="s">
        <v>39634</v>
      </c>
      <c r="N7047" t="s">
        <v>42669</v>
      </c>
      <c r="O7047" t="s">
        <v>42670</v>
      </c>
      <c r="P7047">
        <v>0</v>
      </c>
      <c r="Q7047">
        <v>0</v>
      </c>
      <c r="R7047" t="s">
        <v>42677</v>
      </c>
      <c r="S7047" t="s">
        <v>42830</v>
      </c>
      <c r="T7047" t="s">
        <v>44427</v>
      </c>
      <c r="U7047" t="s">
        <v>46577</v>
      </c>
      <c r="W7047" t="s">
        <v>39634</v>
      </c>
      <c r="X7047" t="s">
        <v>42678</v>
      </c>
    </row>
    <row r="7048" spans="1:24">
      <c r="A7048">
        <f>HYPERLINK("https://www.philgeps.gov.ph/GEPSNONPILOT/Tender/SplashBidNoticeAbstractUI.aspx?menuIndex=3&amp;refID=7175013&amp;Result=3","7175013")</f>
        <v>0</v>
      </c>
      <c r="B7048" t="s">
        <v>2303</v>
      </c>
      <c r="C7048" t="s">
        <v>10263</v>
      </c>
      <c r="D7048" t="s">
        <v>17205</v>
      </c>
      <c r="E7048" t="s">
        <v>23337</v>
      </c>
      <c r="F7048" t="s">
        <v>29372</v>
      </c>
      <c r="G7048" t="s">
        <v>29380</v>
      </c>
      <c r="H7048" t="s">
        <v>29390</v>
      </c>
      <c r="I7048" t="s">
        <v>29490</v>
      </c>
      <c r="J7048" t="s">
        <v>34074</v>
      </c>
      <c r="K7048" t="s">
        <v>38567</v>
      </c>
      <c r="M7048" t="s">
        <v>41231</v>
      </c>
      <c r="N7048" t="s">
        <v>42669</v>
      </c>
      <c r="O7048" t="s">
        <v>42670</v>
      </c>
      <c r="P7048">
        <v>0</v>
      </c>
      <c r="Q7048">
        <v>0</v>
      </c>
      <c r="R7048" t="s">
        <v>42678</v>
      </c>
      <c r="S7048" t="s">
        <v>42866</v>
      </c>
      <c r="T7048" t="s">
        <v>44427</v>
      </c>
      <c r="U7048" t="s">
        <v>50579</v>
      </c>
      <c r="W7048" t="s">
        <v>41231</v>
      </c>
      <c r="X7048" t="s">
        <v>42683</v>
      </c>
    </row>
    <row r="7049" spans="1:24">
      <c r="A7049">
        <f>HYPERLINK("https://www.philgeps.gov.ph/GEPSNONPILOT/Tender/SplashBidNoticeAbstractUI.aspx?menuIndex=3&amp;refID=7174630&amp;Result=3","7174630")</f>
        <v>0</v>
      </c>
      <c r="B7049" t="s">
        <v>86</v>
      </c>
      <c r="C7049" t="s">
        <v>10264</v>
      </c>
      <c r="E7049" t="s">
        <v>23338</v>
      </c>
      <c r="F7049" t="s">
        <v>29372</v>
      </c>
      <c r="G7049" t="s">
        <v>29379</v>
      </c>
      <c r="H7049" t="s">
        <v>11048</v>
      </c>
      <c r="I7049" t="s">
        <v>29407</v>
      </c>
      <c r="J7049" t="s">
        <v>34075</v>
      </c>
      <c r="K7049" t="s">
        <v>38491</v>
      </c>
      <c r="M7049" t="s">
        <v>38840</v>
      </c>
      <c r="N7049" t="s">
        <v>42669</v>
      </c>
      <c r="O7049" t="s">
        <v>42670</v>
      </c>
      <c r="P7049">
        <v>0</v>
      </c>
      <c r="Q7049">
        <v>4</v>
      </c>
      <c r="R7049" t="s">
        <v>42678</v>
      </c>
      <c r="S7049" t="s">
        <v>42866</v>
      </c>
      <c r="T7049" t="s">
        <v>44491</v>
      </c>
      <c r="U7049" t="s">
        <v>47803</v>
      </c>
      <c r="W7049" t="s">
        <v>38840</v>
      </c>
      <c r="X7049" t="s">
        <v>42683</v>
      </c>
    </row>
    <row r="7050" spans="1:24">
      <c r="A7050">
        <f>HYPERLINK("https://www.philgeps.gov.ph/GEPSNONPILOT/Tender/SplashBidNoticeAbstractUI.aspx?menuIndex=3&amp;refID=7174755&amp;Result=3","7174755")</f>
        <v>0</v>
      </c>
      <c r="B7050" t="s">
        <v>196</v>
      </c>
      <c r="C7050" t="s">
        <v>10265</v>
      </c>
      <c r="D7050" t="s">
        <v>17166</v>
      </c>
      <c r="E7050" t="s">
        <v>23339</v>
      </c>
      <c r="F7050" t="s">
        <v>29372</v>
      </c>
      <c r="G7050" t="s">
        <v>29380</v>
      </c>
      <c r="H7050" t="s">
        <v>11048</v>
      </c>
      <c r="I7050" t="s">
        <v>29407</v>
      </c>
      <c r="J7050" t="s">
        <v>34076</v>
      </c>
      <c r="K7050" t="s">
        <v>38510</v>
      </c>
      <c r="M7050" t="s">
        <v>38953</v>
      </c>
      <c r="N7050" t="s">
        <v>42669</v>
      </c>
      <c r="O7050" t="s">
        <v>42670</v>
      </c>
      <c r="P7050">
        <v>0</v>
      </c>
      <c r="Q7050">
        <v>13</v>
      </c>
      <c r="R7050" t="s">
        <v>42678</v>
      </c>
      <c r="S7050" t="s">
        <v>42866</v>
      </c>
      <c r="T7050" t="s">
        <v>44542</v>
      </c>
      <c r="U7050" t="s">
        <v>50580</v>
      </c>
      <c r="W7050" t="s">
        <v>58083</v>
      </c>
      <c r="X7050" t="s">
        <v>42683</v>
      </c>
    </row>
    <row r="7051" spans="1:24">
      <c r="A7051">
        <f>HYPERLINK("https://www.philgeps.gov.ph/GEPSNONPILOT/Tender/SplashBidNoticeAbstractUI.aspx?menuIndex=3&amp;refID=7174603&amp;Result=3","7174603")</f>
        <v>0</v>
      </c>
      <c r="B7051" t="s">
        <v>86</v>
      </c>
      <c r="C7051" t="s">
        <v>10266</v>
      </c>
      <c r="E7051" t="s">
        <v>23340</v>
      </c>
      <c r="F7051" t="s">
        <v>29372</v>
      </c>
      <c r="G7051" t="s">
        <v>29379</v>
      </c>
      <c r="H7051" t="s">
        <v>11048</v>
      </c>
      <c r="I7051" t="s">
        <v>29444</v>
      </c>
      <c r="J7051" t="s">
        <v>31569</v>
      </c>
      <c r="K7051" t="s">
        <v>38491</v>
      </c>
      <c r="M7051" t="s">
        <v>38840</v>
      </c>
      <c r="N7051" t="s">
        <v>42669</v>
      </c>
      <c r="O7051" t="s">
        <v>42670</v>
      </c>
      <c r="P7051">
        <v>0</v>
      </c>
      <c r="Q7051">
        <v>2</v>
      </c>
      <c r="R7051" t="s">
        <v>42678</v>
      </c>
      <c r="S7051" t="s">
        <v>42866</v>
      </c>
      <c r="T7051" t="s">
        <v>44491</v>
      </c>
      <c r="U7051" t="s">
        <v>47803</v>
      </c>
      <c r="W7051" t="s">
        <v>38840</v>
      </c>
      <c r="X7051" t="s">
        <v>42683</v>
      </c>
    </row>
    <row r="7052" spans="1:24">
      <c r="A7052">
        <f>HYPERLINK("https://www.philgeps.gov.ph/GEPSNONPILOT/Tender/SplashBidNoticeAbstractUI.aspx?menuIndex=3&amp;refID=7174709&amp;Result=3","7174709")</f>
        <v>0</v>
      </c>
      <c r="B7052" t="s">
        <v>278</v>
      </c>
      <c r="C7052" t="s">
        <v>10267</v>
      </c>
      <c r="D7052" t="s">
        <v>17206</v>
      </c>
      <c r="E7052" t="s">
        <v>23341</v>
      </c>
      <c r="F7052" t="s">
        <v>29372</v>
      </c>
      <c r="G7052" t="s">
        <v>29383</v>
      </c>
      <c r="H7052" t="s">
        <v>11048</v>
      </c>
      <c r="I7052" t="s">
        <v>4709</v>
      </c>
      <c r="J7052" t="s">
        <v>31599</v>
      </c>
      <c r="K7052" t="s">
        <v>38485</v>
      </c>
      <c r="M7052" t="s">
        <v>41232</v>
      </c>
      <c r="N7052" t="s">
        <v>42669</v>
      </c>
      <c r="O7052" t="s">
        <v>42670</v>
      </c>
      <c r="P7052">
        <v>0</v>
      </c>
      <c r="Q7052">
        <v>1</v>
      </c>
      <c r="R7052" t="s">
        <v>42678</v>
      </c>
      <c r="S7052" t="s">
        <v>42866</v>
      </c>
      <c r="T7052" t="s">
        <v>44488</v>
      </c>
      <c r="U7052" t="s">
        <v>50581</v>
      </c>
      <c r="V7052" t="s">
        <v>57137</v>
      </c>
      <c r="W7052" t="s">
        <v>41232</v>
      </c>
      <c r="X7052" t="s">
        <v>42683</v>
      </c>
    </row>
    <row r="7053" spans="1:24">
      <c r="A7053">
        <f>HYPERLINK("https://www.philgeps.gov.ph/GEPSNONPILOT/Tender/SplashBidNoticeAbstractUI.aspx?menuIndex=3&amp;refID=7176449&amp;Result=3","7176449")</f>
        <v>0</v>
      </c>
      <c r="B7053" t="s">
        <v>52</v>
      </c>
      <c r="C7053" t="s">
        <v>10268</v>
      </c>
      <c r="D7053" t="s">
        <v>17183</v>
      </c>
      <c r="E7053" t="s">
        <v>23342</v>
      </c>
      <c r="F7053" t="s">
        <v>29372</v>
      </c>
      <c r="G7053" t="s">
        <v>29379</v>
      </c>
      <c r="H7053" t="s">
        <v>11048</v>
      </c>
      <c r="I7053" t="s">
        <v>14920</v>
      </c>
      <c r="J7053" t="s">
        <v>34077</v>
      </c>
      <c r="K7053" t="s">
        <v>38522</v>
      </c>
      <c r="M7053" t="s">
        <v>40848</v>
      </c>
      <c r="N7053" t="s">
        <v>42669</v>
      </c>
      <c r="O7053" t="s">
        <v>42670</v>
      </c>
      <c r="Q7053">
        <v>0</v>
      </c>
      <c r="R7053" t="s">
        <v>42678</v>
      </c>
      <c r="S7053" t="s">
        <v>42868</v>
      </c>
      <c r="T7053" t="s">
        <v>44431</v>
      </c>
      <c r="U7053" t="s">
        <v>50582</v>
      </c>
      <c r="W7053" t="s">
        <v>40848</v>
      </c>
      <c r="X7053" t="s">
        <v>42683</v>
      </c>
    </row>
    <row r="7054" spans="1:24">
      <c r="A7054">
        <f>HYPERLINK("https://www.philgeps.gov.ph/GEPSNONPILOT/Tender/SplashBidNoticeAbstractUI.aspx?menuIndex=3&amp;refID=7176522&amp;Result=3","7176522")</f>
        <v>0</v>
      </c>
      <c r="B7054" t="s">
        <v>39</v>
      </c>
      <c r="C7054" t="s">
        <v>10269</v>
      </c>
      <c r="D7054" t="s">
        <v>17152</v>
      </c>
      <c r="E7054" t="s">
        <v>23343</v>
      </c>
      <c r="F7054" t="s">
        <v>29372</v>
      </c>
      <c r="G7054" t="s">
        <v>29380</v>
      </c>
      <c r="H7054" t="s">
        <v>11048</v>
      </c>
      <c r="I7054" t="s">
        <v>29407</v>
      </c>
      <c r="J7054" t="s">
        <v>34078</v>
      </c>
      <c r="K7054" t="s">
        <v>38491</v>
      </c>
      <c r="M7054" t="s">
        <v>38812</v>
      </c>
      <c r="N7054" t="s">
        <v>42669</v>
      </c>
      <c r="O7054" t="s">
        <v>42670</v>
      </c>
      <c r="P7054">
        <v>0</v>
      </c>
      <c r="Q7054">
        <v>5</v>
      </c>
      <c r="R7054" t="s">
        <v>42678</v>
      </c>
      <c r="S7054" t="s">
        <v>42866</v>
      </c>
      <c r="T7054" t="s">
        <v>44432</v>
      </c>
      <c r="U7054" t="s">
        <v>50583</v>
      </c>
      <c r="W7054" t="s">
        <v>38812</v>
      </c>
      <c r="X7054" t="s">
        <v>42683</v>
      </c>
    </row>
    <row r="7055" spans="1:24">
      <c r="A7055">
        <f>HYPERLINK("https://www.philgeps.gov.ph/GEPSNONPILOT/Tender/SplashBidNoticeAbstractUI.aspx?menuIndex=3&amp;refID=7176432&amp;Result=3","7176432")</f>
        <v>0</v>
      </c>
      <c r="B7055" t="s">
        <v>39</v>
      </c>
      <c r="C7055" t="s">
        <v>10270</v>
      </c>
      <c r="D7055" t="s">
        <v>17152</v>
      </c>
      <c r="E7055" t="s">
        <v>23344</v>
      </c>
      <c r="F7055" t="s">
        <v>29372</v>
      </c>
      <c r="G7055" t="s">
        <v>29380</v>
      </c>
      <c r="H7055" t="s">
        <v>11048</v>
      </c>
      <c r="I7055" t="s">
        <v>14920</v>
      </c>
      <c r="J7055" t="s">
        <v>29543</v>
      </c>
      <c r="K7055" t="s">
        <v>38491</v>
      </c>
      <c r="M7055" t="s">
        <v>38812</v>
      </c>
      <c r="N7055" t="s">
        <v>42669</v>
      </c>
      <c r="O7055" t="s">
        <v>42670</v>
      </c>
      <c r="P7055">
        <v>0</v>
      </c>
      <c r="Q7055">
        <v>0</v>
      </c>
      <c r="R7055" t="s">
        <v>42678</v>
      </c>
      <c r="S7055" t="s">
        <v>42866</v>
      </c>
      <c r="T7055" t="s">
        <v>44432</v>
      </c>
      <c r="U7055" t="s">
        <v>50583</v>
      </c>
      <c r="W7055" t="s">
        <v>38812</v>
      </c>
      <c r="X7055" t="s">
        <v>42683</v>
      </c>
    </row>
    <row r="7056" spans="1:24">
      <c r="A7056">
        <f>HYPERLINK("https://www.philgeps.gov.ph/GEPSNONPILOT/Tender/SplashBidNoticeAbstractUI.aspx?menuIndex=3&amp;refID=7176490&amp;Result=3","7176490")</f>
        <v>0</v>
      </c>
      <c r="B7056" t="s">
        <v>39</v>
      </c>
      <c r="C7056" t="s">
        <v>10271</v>
      </c>
      <c r="D7056" t="s">
        <v>17152</v>
      </c>
      <c r="E7056" t="s">
        <v>23345</v>
      </c>
      <c r="F7056" t="s">
        <v>29372</v>
      </c>
      <c r="G7056" t="s">
        <v>29380</v>
      </c>
      <c r="H7056" t="s">
        <v>11048</v>
      </c>
      <c r="I7056" t="s">
        <v>4709</v>
      </c>
      <c r="J7056" t="s">
        <v>34079</v>
      </c>
      <c r="K7056" t="s">
        <v>38491</v>
      </c>
      <c r="M7056" t="s">
        <v>38812</v>
      </c>
      <c r="N7056" t="s">
        <v>42669</v>
      </c>
      <c r="O7056" t="s">
        <v>42670</v>
      </c>
      <c r="P7056">
        <v>0</v>
      </c>
      <c r="Q7056">
        <v>1</v>
      </c>
      <c r="R7056" t="s">
        <v>42678</v>
      </c>
      <c r="S7056" t="s">
        <v>42866</v>
      </c>
      <c r="T7056" t="s">
        <v>44432</v>
      </c>
      <c r="U7056" t="s">
        <v>50583</v>
      </c>
      <c r="W7056" t="s">
        <v>38812</v>
      </c>
      <c r="X7056" t="s">
        <v>42683</v>
      </c>
    </row>
    <row r="7057" spans="1:24">
      <c r="A7057">
        <f>HYPERLINK("https://www.philgeps.gov.ph/GEPSNONPILOT/Tender/SplashBidNoticeAbstractUI.aspx?menuIndex=3&amp;refID=7176416&amp;Result=3","7176416")</f>
        <v>0</v>
      </c>
      <c r="B7057" t="s">
        <v>52</v>
      </c>
      <c r="C7057" t="s">
        <v>10272</v>
      </c>
      <c r="D7057" t="s">
        <v>17183</v>
      </c>
      <c r="E7057" t="s">
        <v>23346</v>
      </c>
      <c r="F7057" t="s">
        <v>29372</v>
      </c>
      <c r="G7057" t="s">
        <v>29379</v>
      </c>
      <c r="H7057" t="s">
        <v>11048</v>
      </c>
      <c r="I7057" t="s">
        <v>14920</v>
      </c>
      <c r="J7057" t="s">
        <v>34080</v>
      </c>
      <c r="K7057" t="s">
        <v>38522</v>
      </c>
      <c r="M7057" t="s">
        <v>40848</v>
      </c>
      <c r="N7057" t="s">
        <v>42669</v>
      </c>
      <c r="O7057" t="s">
        <v>42670</v>
      </c>
      <c r="Q7057">
        <v>0</v>
      </c>
      <c r="R7057" t="s">
        <v>42678</v>
      </c>
      <c r="S7057" t="s">
        <v>42869</v>
      </c>
      <c r="T7057" t="s">
        <v>44431</v>
      </c>
      <c r="U7057" t="s">
        <v>50584</v>
      </c>
      <c r="W7057" t="s">
        <v>40848</v>
      </c>
      <c r="X7057" t="s">
        <v>42683</v>
      </c>
    </row>
    <row r="7058" spans="1:24">
      <c r="A7058">
        <f>HYPERLINK("https://www.philgeps.gov.ph/GEPSNONPILOT/Tender/SplashBidNoticeAbstractUI.aspx?menuIndex=3&amp;refID=7176330&amp;Result=3","7176330")</f>
        <v>0</v>
      </c>
      <c r="B7058" t="s">
        <v>39</v>
      </c>
      <c r="C7058" t="s">
        <v>10273</v>
      </c>
      <c r="D7058" t="s">
        <v>17152</v>
      </c>
      <c r="E7058" t="s">
        <v>23347</v>
      </c>
      <c r="F7058" t="s">
        <v>29372</v>
      </c>
      <c r="G7058" t="s">
        <v>29380</v>
      </c>
      <c r="H7058" t="s">
        <v>11048</v>
      </c>
      <c r="I7058" t="s">
        <v>14920</v>
      </c>
      <c r="J7058" t="s">
        <v>34081</v>
      </c>
      <c r="K7058" t="s">
        <v>38491</v>
      </c>
      <c r="M7058" t="s">
        <v>38812</v>
      </c>
      <c r="N7058" t="s">
        <v>42669</v>
      </c>
      <c r="O7058" t="s">
        <v>42670</v>
      </c>
      <c r="P7058">
        <v>0</v>
      </c>
      <c r="Q7058">
        <v>1</v>
      </c>
      <c r="R7058" t="s">
        <v>42678</v>
      </c>
      <c r="S7058" t="s">
        <v>42866</v>
      </c>
      <c r="T7058" t="s">
        <v>44432</v>
      </c>
      <c r="U7058" t="s">
        <v>50583</v>
      </c>
      <c r="W7058" t="s">
        <v>38812</v>
      </c>
      <c r="X7058" t="s">
        <v>42683</v>
      </c>
    </row>
    <row r="7059" spans="1:24">
      <c r="A7059">
        <f>HYPERLINK("https://www.philgeps.gov.ph/GEPSNONPILOT/Tender/SplashBidNoticeAbstractUI.aspx?menuIndex=3&amp;refID=7176314&amp;Result=3","7176314")</f>
        <v>0</v>
      </c>
      <c r="B7059" t="s">
        <v>1912</v>
      </c>
      <c r="C7059" t="s">
        <v>10274</v>
      </c>
      <c r="D7059" t="s">
        <v>17194</v>
      </c>
      <c r="E7059" t="s">
        <v>23348</v>
      </c>
      <c r="F7059" t="s">
        <v>29372</v>
      </c>
      <c r="G7059" t="s">
        <v>29380</v>
      </c>
      <c r="H7059" t="s">
        <v>11048</v>
      </c>
      <c r="I7059" t="s">
        <v>4709</v>
      </c>
      <c r="J7059" t="s">
        <v>34082</v>
      </c>
      <c r="K7059" t="s">
        <v>38488</v>
      </c>
      <c r="M7059" t="s">
        <v>40787</v>
      </c>
      <c r="N7059" t="s">
        <v>42669</v>
      </c>
      <c r="O7059" t="s">
        <v>42670</v>
      </c>
      <c r="P7059">
        <v>0</v>
      </c>
      <c r="Q7059">
        <v>0</v>
      </c>
      <c r="R7059" t="s">
        <v>42678</v>
      </c>
      <c r="S7059" t="s">
        <v>42866</v>
      </c>
      <c r="T7059" t="s">
        <v>44491</v>
      </c>
      <c r="U7059" t="s">
        <v>50585</v>
      </c>
      <c r="W7059" t="s">
        <v>40787</v>
      </c>
      <c r="X7059" t="s">
        <v>42683</v>
      </c>
    </row>
    <row r="7060" spans="1:24">
      <c r="A7060">
        <f>HYPERLINK("https://www.philgeps.gov.ph/GEPSNONPILOT/Tender/SplashBidNoticeAbstractUI.aspx?menuIndex=3&amp;refID=7176458&amp;Result=3","7176458")</f>
        <v>0</v>
      </c>
      <c r="B7060" t="s">
        <v>52</v>
      </c>
      <c r="C7060" t="s">
        <v>10275</v>
      </c>
      <c r="D7060" t="s">
        <v>17183</v>
      </c>
      <c r="E7060" t="s">
        <v>23349</v>
      </c>
      <c r="F7060" t="s">
        <v>29372</v>
      </c>
      <c r="G7060" t="s">
        <v>29379</v>
      </c>
      <c r="H7060" t="s">
        <v>11048</v>
      </c>
      <c r="I7060" t="s">
        <v>14920</v>
      </c>
      <c r="J7060" t="s">
        <v>30100</v>
      </c>
      <c r="K7060" t="s">
        <v>38522</v>
      </c>
      <c r="M7060" t="s">
        <v>40848</v>
      </c>
      <c r="N7060" t="s">
        <v>42669</v>
      </c>
      <c r="O7060" t="s">
        <v>42670</v>
      </c>
      <c r="Q7060">
        <v>0</v>
      </c>
      <c r="R7060" t="s">
        <v>42678</v>
      </c>
      <c r="S7060" t="s">
        <v>42870</v>
      </c>
      <c r="T7060" t="s">
        <v>44431</v>
      </c>
      <c r="U7060" t="s">
        <v>50586</v>
      </c>
      <c r="W7060" t="s">
        <v>40848</v>
      </c>
      <c r="X7060" t="s">
        <v>42683</v>
      </c>
    </row>
    <row r="7061" spans="1:24">
      <c r="A7061">
        <f>HYPERLINK("https://www.philgeps.gov.ph/GEPSNONPILOT/Tender/SplashBidNoticeAbstractUI.aspx?menuIndex=3&amp;refID=7186905&amp;Result=3","7186905")</f>
        <v>0</v>
      </c>
      <c r="B7061" t="s">
        <v>378</v>
      </c>
      <c r="C7061" t="s">
        <v>10276</v>
      </c>
      <c r="D7061" t="s">
        <v>17151</v>
      </c>
      <c r="E7061" t="s">
        <v>23350</v>
      </c>
      <c r="F7061" t="s">
        <v>29372</v>
      </c>
      <c r="G7061" t="s">
        <v>29380</v>
      </c>
      <c r="H7061" t="s">
        <v>11048</v>
      </c>
      <c r="I7061" t="s">
        <v>4709</v>
      </c>
      <c r="J7061" t="s">
        <v>34083</v>
      </c>
      <c r="K7061" t="s">
        <v>38522</v>
      </c>
      <c r="M7061" t="s">
        <v>41214</v>
      </c>
      <c r="N7061" t="s">
        <v>42669</v>
      </c>
      <c r="O7061" t="s">
        <v>42670</v>
      </c>
      <c r="P7061">
        <v>0</v>
      </c>
      <c r="Q7061">
        <v>0</v>
      </c>
      <c r="R7061" t="s">
        <v>42677</v>
      </c>
      <c r="S7061" t="s">
        <v>42830</v>
      </c>
      <c r="T7061" t="s">
        <v>44442</v>
      </c>
      <c r="U7061" t="s">
        <v>50525</v>
      </c>
      <c r="W7061" t="s">
        <v>41215</v>
      </c>
      <c r="X7061" t="s">
        <v>42678</v>
      </c>
    </row>
    <row r="7062" spans="1:24">
      <c r="A7062">
        <f>HYPERLINK("https://www.philgeps.gov.ph/GEPSNONPILOT/Tender/SplashBidNoticeAbstractUI.aspx?menuIndex=3&amp;refID=7176376&amp;Result=3","7176376")</f>
        <v>0</v>
      </c>
      <c r="B7062" t="s">
        <v>52</v>
      </c>
      <c r="C7062" t="s">
        <v>10277</v>
      </c>
      <c r="D7062" t="s">
        <v>17183</v>
      </c>
      <c r="E7062" t="s">
        <v>23351</v>
      </c>
      <c r="F7062" t="s">
        <v>29372</v>
      </c>
      <c r="G7062" t="s">
        <v>29379</v>
      </c>
      <c r="H7062" t="s">
        <v>11048</v>
      </c>
      <c r="I7062" t="s">
        <v>14920</v>
      </c>
      <c r="J7062" t="s">
        <v>31252</v>
      </c>
      <c r="K7062" t="s">
        <v>38522</v>
      </c>
      <c r="M7062" t="s">
        <v>40848</v>
      </c>
      <c r="N7062" t="s">
        <v>42669</v>
      </c>
      <c r="O7062" t="s">
        <v>42670</v>
      </c>
      <c r="Q7062">
        <v>0</v>
      </c>
      <c r="R7062" t="s">
        <v>42678</v>
      </c>
      <c r="S7062" t="s">
        <v>42871</v>
      </c>
      <c r="T7062" t="s">
        <v>44431</v>
      </c>
      <c r="U7062" t="s">
        <v>50587</v>
      </c>
      <c r="W7062" t="s">
        <v>40848</v>
      </c>
      <c r="X7062" t="s">
        <v>42683</v>
      </c>
    </row>
    <row r="7063" spans="1:24">
      <c r="A7063">
        <f>HYPERLINK("https://www.philgeps.gov.ph/GEPSNONPILOT/Tender/SplashBidNoticeAbstractUI.aspx?menuIndex=3&amp;refID=7177975&amp;Result=3","7177975")</f>
        <v>0</v>
      </c>
      <c r="B7063" t="s">
        <v>1912</v>
      </c>
      <c r="C7063" t="s">
        <v>10278</v>
      </c>
      <c r="D7063" t="s">
        <v>17194</v>
      </c>
      <c r="E7063" t="s">
        <v>23352</v>
      </c>
      <c r="F7063" t="s">
        <v>29372</v>
      </c>
      <c r="G7063" t="s">
        <v>29380</v>
      </c>
      <c r="H7063" t="s">
        <v>29390</v>
      </c>
      <c r="I7063" t="s">
        <v>29489</v>
      </c>
      <c r="J7063" t="s">
        <v>31306</v>
      </c>
      <c r="K7063" t="s">
        <v>38586</v>
      </c>
      <c r="M7063" t="s">
        <v>40787</v>
      </c>
      <c r="N7063" t="s">
        <v>42669</v>
      </c>
      <c r="O7063" t="s">
        <v>42670</v>
      </c>
      <c r="P7063">
        <v>0</v>
      </c>
      <c r="Q7063">
        <v>0</v>
      </c>
      <c r="R7063" t="s">
        <v>42678</v>
      </c>
      <c r="S7063" t="s">
        <v>42866</v>
      </c>
      <c r="T7063" t="s">
        <v>44491</v>
      </c>
      <c r="U7063" t="s">
        <v>50588</v>
      </c>
      <c r="W7063" t="s">
        <v>40787</v>
      </c>
      <c r="X7063" t="s">
        <v>42682</v>
      </c>
    </row>
    <row r="7064" spans="1:24">
      <c r="A7064">
        <f>HYPERLINK("https://www.philgeps.gov.ph/GEPSNONPILOT/Tender/SplashBidNoticeAbstractUI.aspx?menuIndex=3&amp;refID=7176290&amp;Result=3","7176290")</f>
        <v>0</v>
      </c>
      <c r="B7064" t="s">
        <v>2304</v>
      </c>
      <c r="C7064" t="s">
        <v>10279</v>
      </c>
      <c r="D7064" t="s">
        <v>17174</v>
      </c>
      <c r="E7064" t="s">
        <v>23353</v>
      </c>
      <c r="F7064" t="s">
        <v>29373</v>
      </c>
      <c r="G7064" t="s">
        <v>29380</v>
      </c>
      <c r="H7064" t="s">
        <v>11048</v>
      </c>
      <c r="I7064" t="s">
        <v>29398</v>
      </c>
      <c r="J7064" t="s">
        <v>34084</v>
      </c>
      <c r="K7064" t="s">
        <v>38510</v>
      </c>
      <c r="M7064" t="s">
        <v>41233</v>
      </c>
      <c r="N7064" t="s">
        <v>42669</v>
      </c>
      <c r="O7064" t="s">
        <v>42670</v>
      </c>
      <c r="P7064">
        <v>0</v>
      </c>
      <c r="Q7064">
        <v>1</v>
      </c>
      <c r="R7064" t="s">
        <v>42678</v>
      </c>
      <c r="S7064" t="s">
        <v>42866</v>
      </c>
      <c r="T7064" t="s">
        <v>44357</v>
      </c>
      <c r="U7064" t="s">
        <v>50589</v>
      </c>
      <c r="W7064" t="s">
        <v>41233</v>
      </c>
      <c r="X7064" t="s">
        <v>42683</v>
      </c>
    </row>
    <row r="7065" spans="1:24">
      <c r="A7065">
        <f>HYPERLINK("https://www.philgeps.gov.ph/GEPSNONPILOT/Tender/SplashBidNoticeAbstractUI.aspx?menuIndex=3&amp;refID=7177919&amp;Result=3","7177919")</f>
        <v>0</v>
      </c>
      <c r="B7065" t="s">
        <v>2297</v>
      </c>
      <c r="C7065" t="s">
        <v>10280</v>
      </c>
      <c r="D7065" t="s">
        <v>17181</v>
      </c>
      <c r="E7065" t="s">
        <v>23354</v>
      </c>
      <c r="F7065" t="s">
        <v>29372</v>
      </c>
      <c r="G7065" t="s">
        <v>29380</v>
      </c>
      <c r="H7065" t="s">
        <v>11048</v>
      </c>
      <c r="I7065" t="s">
        <v>4709</v>
      </c>
      <c r="J7065" t="s">
        <v>34085</v>
      </c>
      <c r="K7065" t="s">
        <v>38490</v>
      </c>
      <c r="M7065" t="s">
        <v>41224</v>
      </c>
      <c r="N7065" t="s">
        <v>42669</v>
      </c>
      <c r="O7065" t="s">
        <v>42670</v>
      </c>
      <c r="P7065">
        <v>0</v>
      </c>
      <c r="Q7065">
        <v>1</v>
      </c>
      <c r="R7065" t="s">
        <v>42678</v>
      </c>
      <c r="S7065" t="s">
        <v>42866</v>
      </c>
      <c r="T7065" t="s">
        <v>44507</v>
      </c>
      <c r="U7065" t="s">
        <v>50590</v>
      </c>
      <c r="V7065" t="s">
        <v>57138</v>
      </c>
      <c r="W7065" t="s">
        <v>41224</v>
      </c>
      <c r="X7065" t="s">
        <v>42682</v>
      </c>
    </row>
    <row r="7066" spans="1:24">
      <c r="A7066">
        <f>HYPERLINK("https://www.philgeps.gov.ph/GEPSNONPILOT/Tender/SplashBidNoticeAbstractUI.aspx?menuIndex=3&amp;refID=7176437&amp;Result=3","7176437")</f>
        <v>0</v>
      </c>
      <c r="B7066" t="s">
        <v>52</v>
      </c>
      <c r="C7066" t="s">
        <v>10281</v>
      </c>
      <c r="D7066" t="s">
        <v>17183</v>
      </c>
      <c r="E7066" t="s">
        <v>23355</v>
      </c>
      <c r="F7066" t="s">
        <v>29372</v>
      </c>
      <c r="G7066" t="s">
        <v>29379</v>
      </c>
      <c r="H7066" t="s">
        <v>11048</v>
      </c>
      <c r="I7066" t="s">
        <v>14920</v>
      </c>
      <c r="J7066" t="s">
        <v>34086</v>
      </c>
      <c r="K7066" t="s">
        <v>38522</v>
      </c>
      <c r="M7066" t="s">
        <v>40848</v>
      </c>
      <c r="N7066" t="s">
        <v>42669</v>
      </c>
      <c r="O7066" t="s">
        <v>42670</v>
      </c>
      <c r="Q7066">
        <v>0</v>
      </c>
      <c r="R7066" t="s">
        <v>42678</v>
      </c>
      <c r="S7066" t="s">
        <v>42872</v>
      </c>
      <c r="T7066" t="s">
        <v>44431</v>
      </c>
      <c r="U7066" t="s">
        <v>50591</v>
      </c>
      <c r="W7066" t="s">
        <v>40848</v>
      </c>
      <c r="X7066" t="s">
        <v>42683</v>
      </c>
    </row>
    <row r="7067" spans="1:24">
      <c r="A7067">
        <f>HYPERLINK("https://www.philgeps.gov.ph/GEPSNONPILOT/Tender/SplashBidNoticeAbstractUI.aspx?menuIndex=3&amp;refID=7177779&amp;Result=3","7177779")</f>
        <v>0</v>
      </c>
      <c r="B7067" t="s">
        <v>2305</v>
      </c>
      <c r="C7067" t="s">
        <v>10282</v>
      </c>
      <c r="D7067" t="s">
        <v>17199</v>
      </c>
      <c r="E7067" t="s">
        <v>17994</v>
      </c>
      <c r="F7067" t="s">
        <v>29372</v>
      </c>
      <c r="G7067" t="s">
        <v>29380</v>
      </c>
      <c r="H7067" t="s">
        <v>11048</v>
      </c>
      <c r="I7067" t="s">
        <v>29406</v>
      </c>
      <c r="J7067" t="s">
        <v>34087</v>
      </c>
      <c r="K7067" t="s">
        <v>38488</v>
      </c>
      <c r="M7067" t="s">
        <v>41234</v>
      </c>
      <c r="N7067" t="s">
        <v>42669</v>
      </c>
      <c r="O7067" t="s">
        <v>42670</v>
      </c>
      <c r="P7067">
        <v>0</v>
      </c>
      <c r="Q7067">
        <v>4</v>
      </c>
      <c r="R7067" t="s">
        <v>42678</v>
      </c>
      <c r="S7067" t="s">
        <v>42866</v>
      </c>
      <c r="T7067" t="s">
        <v>44488</v>
      </c>
      <c r="U7067" t="s">
        <v>50592</v>
      </c>
      <c r="V7067" t="s">
        <v>57139</v>
      </c>
      <c r="W7067" t="s">
        <v>41234</v>
      </c>
      <c r="X7067" t="s">
        <v>42682</v>
      </c>
    </row>
    <row r="7068" spans="1:24">
      <c r="A7068">
        <f>HYPERLINK("https://www.philgeps.gov.ph/GEPSNONPILOT/Tender/SplashBidNoticeAbstractUI.aspx?menuIndex=3&amp;refID=7177713&amp;Result=3","7177713")</f>
        <v>0</v>
      </c>
      <c r="B7068" t="s">
        <v>1912</v>
      </c>
      <c r="C7068" t="s">
        <v>10283</v>
      </c>
      <c r="D7068" t="s">
        <v>17194</v>
      </c>
      <c r="E7068" t="s">
        <v>23356</v>
      </c>
      <c r="F7068" t="s">
        <v>29372</v>
      </c>
      <c r="G7068" t="s">
        <v>29380</v>
      </c>
      <c r="H7068" t="s">
        <v>11048</v>
      </c>
      <c r="I7068" t="s">
        <v>29394</v>
      </c>
      <c r="J7068" t="s">
        <v>34088</v>
      </c>
      <c r="K7068" t="s">
        <v>38485</v>
      </c>
      <c r="M7068" t="s">
        <v>40787</v>
      </c>
      <c r="N7068" t="s">
        <v>42669</v>
      </c>
      <c r="O7068" t="s">
        <v>42670</v>
      </c>
      <c r="P7068">
        <v>0</v>
      </c>
      <c r="Q7068">
        <v>2</v>
      </c>
      <c r="R7068" t="s">
        <v>42678</v>
      </c>
      <c r="S7068" t="s">
        <v>42866</v>
      </c>
      <c r="T7068" t="s">
        <v>44491</v>
      </c>
      <c r="U7068" t="s">
        <v>50593</v>
      </c>
      <c r="W7068" t="s">
        <v>40787</v>
      </c>
      <c r="X7068" t="s">
        <v>42682</v>
      </c>
    </row>
    <row r="7069" spans="1:24">
      <c r="A7069">
        <f>HYPERLINK("https://www.philgeps.gov.ph/GEPSNONPILOT/Tender/SplashBidNoticeAbstractUI.aspx?menuIndex=3&amp;refID=7177547&amp;Result=3","7177547")</f>
        <v>0</v>
      </c>
      <c r="B7069" t="s">
        <v>1406</v>
      </c>
      <c r="C7069" t="s">
        <v>10284</v>
      </c>
      <c r="D7069" t="s">
        <v>17173</v>
      </c>
      <c r="E7069" t="s">
        <v>23357</v>
      </c>
      <c r="F7069" t="s">
        <v>29372</v>
      </c>
      <c r="G7069" t="s">
        <v>29380</v>
      </c>
      <c r="H7069" t="s">
        <v>29389</v>
      </c>
      <c r="I7069" t="s">
        <v>10408</v>
      </c>
      <c r="J7069" t="s">
        <v>34089</v>
      </c>
      <c r="K7069" t="s">
        <v>38515</v>
      </c>
      <c r="M7069" t="s">
        <v>40245</v>
      </c>
      <c r="N7069" t="s">
        <v>42669</v>
      </c>
      <c r="O7069" t="s">
        <v>42670</v>
      </c>
      <c r="P7069">
        <v>0</v>
      </c>
      <c r="Q7069">
        <v>0</v>
      </c>
      <c r="R7069" t="s">
        <v>42678</v>
      </c>
      <c r="S7069" t="s">
        <v>42866</v>
      </c>
      <c r="T7069" t="s">
        <v>44517</v>
      </c>
      <c r="U7069" t="s">
        <v>48018</v>
      </c>
      <c r="V7069" t="s">
        <v>57140</v>
      </c>
      <c r="W7069" t="s">
        <v>40245</v>
      </c>
      <c r="X7069" t="s">
        <v>42682</v>
      </c>
    </row>
    <row r="7070" spans="1:24">
      <c r="A7070">
        <f>HYPERLINK("https://www.philgeps.gov.ph/GEPSNONPILOT/Tender/SplashBidNoticeAbstractUI.aspx?menuIndex=3&amp;refID=7177528&amp;Result=3","7177528")</f>
        <v>0</v>
      </c>
      <c r="B7070" t="s">
        <v>1406</v>
      </c>
      <c r="C7070" t="s">
        <v>10285</v>
      </c>
      <c r="D7070" t="s">
        <v>17173</v>
      </c>
      <c r="E7070" t="s">
        <v>23358</v>
      </c>
      <c r="F7070" t="s">
        <v>29372</v>
      </c>
      <c r="G7070" t="s">
        <v>29380</v>
      </c>
      <c r="H7070" t="s">
        <v>29389</v>
      </c>
      <c r="I7070" t="s">
        <v>10408</v>
      </c>
      <c r="J7070" t="s">
        <v>34090</v>
      </c>
      <c r="K7070" t="s">
        <v>38496</v>
      </c>
      <c r="M7070" t="s">
        <v>40245</v>
      </c>
      <c r="N7070" t="s">
        <v>42669</v>
      </c>
      <c r="O7070" t="s">
        <v>42670</v>
      </c>
      <c r="P7070">
        <v>0</v>
      </c>
      <c r="Q7070">
        <v>0</v>
      </c>
      <c r="R7070" t="s">
        <v>42678</v>
      </c>
      <c r="S7070" t="s">
        <v>42866</v>
      </c>
      <c r="T7070" t="s">
        <v>44517</v>
      </c>
      <c r="U7070" t="s">
        <v>48018</v>
      </c>
      <c r="V7070" t="s">
        <v>57141</v>
      </c>
      <c r="W7070" t="s">
        <v>40245</v>
      </c>
      <c r="X7070" t="s">
        <v>42682</v>
      </c>
    </row>
    <row r="7071" spans="1:24">
      <c r="A7071">
        <f>HYPERLINK("https://www.philgeps.gov.ph/GEPSNONPILOT/Tender/SplashBidNoticeAbstractUI.aspx?menuIndex=3&amp;refID=7177510&amp;Result=3","7177510")</f>
        <v>0</v>
      </c>
      <c r="B7071" t="s">
        <v>1406</v>
      </c>
      <c r="C7071" t="s">
        <v>10286</v>
      </c>
      <c r="D7071" t="s">
        <v>17173</v>
      </c>
      <c r="E7071" t="s">
        <v>23359</v>
      </c>
      <c r="F7071" t="s">
        <v>29372</v>
      </c>
      <c r="G7071" t="s">
        <v>29380</v>
      </c>
      <c r="H7071" t="s">
        <v>29389</v>
      </c>
      <c r="I7071" t="s">
        <v>10408</v>
      </c>
      <c r="J7071" t="s">
        <v>34091</v>
      </c>
      <c r="K7071" t="s">
        <v>38496</v>
      </c>
      <c r="M7071" t="s">
        <v>40245</v>
      </c>
      <c r="N7071" t="s">
        <v>42669</v>
      </c>
      <c r="O7071" t="s">
        <v>42670</v>
      </c>
      <c r="P7071">
        <v>0</v>
      </c>
      <c r="Q7071">
        <v>0</v>
      </c>
      <c r="R7071" t="s">
        <v>42678</v>
      </c>
      <c r="S7071" t="s">
        <v>42866</v>
      </c>
      <c r="T7071" t="s">
        <v>44517</v>
      </c>
      <c r="U7071" t="s">
        <v>48018</v>
      </c>
      <c r="V7071" t="s">
        <v>57142</v>
      </c>
      <c r="W7071" t="s">
        <v>40245</v>
      </c>
      <c r="X7071" t="s">
        <v>42682</v>
      </c>
    </row>
    <row r="7072" spans="1:24">
      <c r="A7072">
        <f>HYPERLINK("https://www.philgeps.gov.ph/GEPSNONPILOT/Tender/SplashBidNoticeAbstractUI.aspx?menuIndex=3&amp;refID=7175551&amp;Result=3","7175551")</f>
        <v>0</v>
      </c>
      <c r="B7072" t="s">
        <v>712</v>
      </c>
      <c r="C7072" t="s">
        <v>10287</v>
      </c>
      <c r="D7072" t="s">
        <v>17175</v>
      </c>
      <c r="E7072" t="s">
        <v>23360</v>
      </c>
      <c r="F7072" t="s">
        <v>29372</v>
      </c>
      <c r="G7072" t="s">
        <v>29380</v>
      </c>
      <c r="H7072" t="s">
        <v>11048</v>
      </c>
      <c r="I7072" t="s">
        <v>9469</v>
      </c>
      <c r="J7072" t="s">
        <v>29543</v>
      </c>
      <c r="K7072" t="s">
        <v>38510</v>
      </c>
      <c r="M7072" t="s">
        <v>39491</v>
      </c>
      <c r="N7072" t="s">
        <v>42669</v>
      </c>
      <c r="O7072" t="s">
        <v>42670</v>
      </c>
      <c r="P7072">
        <v>0</v>
      </c>
      <c r="Q7072">
        <v>2</v>
      </c>
      <c r="R7072" t="s">
        <v>42678</v>
      </c>
      <c r="S7072" t="s">
        <v>42866</v>
      </c>
      <c r="T7072" t="s">
        <v>44355</v>
      </c>
      <c r="U7072" t="s">
        <v>50594</v>
      </c>
      <c r="V7072" t="s">
        <v>56538</v>
      </c>
      <c r="W7072" t="s">
        <v>39491</v>
      </c>
      <c r="X7072" t="s">
        <v>42683</v>
      </c>
    </row>
    <row r="7073" spans="1:24">
      <c r="A7073">
        <f>HYPERLINK("https://www.philgeps.gov.ph/GEPSNONPILOT/Tender/SplashBidNoticeAbstractUI.aspx?menuIndex=3&amp;refID=7177409&amp;Result=3","7177409")</f>
        <v>0</v>
      </c>
      <c r="B7073" t="s">
        <v>2306</v>
      </c>
      <c r="C7073" t="s">
        <v>10288</v>
      </c>
      <c r="D7073" t="s">
        <v>17194</v>
      </c>
      <c r="E7073" t="s">
        <v>17404</v>
      </c>
      <c r="F7073" t="s">
        <v>29372</v>
      </c>
      <c r="G7073" t="s">
        <v>29380</v>
      </c>
      <c r="H7073" t="s">
        <v>11048</v>
      </c>
      <c r="I7073" t="s">
        <v>29417</v>
      </c>
      <c r="J7073" t="s">
        <v>30412</v>
      </c>
      <c r="K7073" t="s">
        <v>38487</v>
      </c>
      <c r="M7073" t="s">
        <v>41235</v>
      </c>
      <c r="N7073" t="s">
        <v>42669</v>
      </c>
      <c r="O7073" t="s">
        <v>42670</v>
      </c>
      <c r="P7073">
        <v>0</v>
      </c>
      <c r="Q7073">
        <v>0</v>
      </c>
      <c r="R7073" t="s">
        <v>42678</v>
      </c>
      <c r="S7073" t="s">
        <v>42866</v>
      </c>
      <c r="T7073" t="s">
        <v>44662</v>
      </c>
      <c r="U7073" t="s">
        <v>50595</v>
      </c>
      <c r="W7073" t="s">
        <v>41235</v>
      </c>
      <c r="X7073" t="s">
        <v>42683</v>
      </c>
    </row>
    <row r="7074" spans="1:24">
      <c r="A7074">
        <f>HYPERLINK("https://www.philgeps.gov.ph/GEPSNONPILOT/Tender/SplashBidNoticeAbstractUI.aspx?menuIndex=3&amp;refID=7176464&amp;Result=3","7176464")</f>
        <v>0</v>
      </c>
      <c r="B7074" t="s">
        <v>39</v>
      </c>
      <c r="C7074" t="s">
        <v>10271</v>
      </c>
      <c r="D7074" t="s">
        <v>17152</v>
      </c>
      <c r="E7074" t="s">
        <v>23361</v>
      </c>
      <c r="F7074" t="s">
        <v>29372</v>
      </c>
      <c r="G7074" t="s">
        <v>29380</v>
      </c>
      <c r="H7074" t="s">
        <v>11048</v>
      </c>
      <c r="I7074" t="s">
        <v>4709</v>
      </c>
      <c r="J7074" t="s">
        <v>34092</v>
      </c>
      <c r="K7074" t="s">
        <v>38491</v>
      </c>
      <c r="M7074" t="s">
        <v>38812</v>
      </c>
      <c r="N7074" t="s">
        <v>42669</v>
      </c>
      <c r="O7074" t="s">
        <v>42670</v>
      </c>
      <c r="P7074">
        <v>0</v>
      </c>
      <c r="Q7074">
        <v>0</v>
      </c>
      <c r="R7074" t="s">
        <v>42678</v>
      </c>
      <c r="S7074" t="s">
        <v>42866</v>
      </c>
      <c r="T7074" t="s">
        <v>44432</v>
      </c>
      <c r="U7074" t="s">
        <v>50583</v>
      </c>
      <c r="W7074" t="s">
        <v>38812</v>
      </c>
      <c r="X7074" t="s">
        <v>42683</v>
      </c>
    </row>
    <row r="7075" spans="1:24">
      <c r="A7075">
        <f>HYPERLINK("https://www.philgeps.gov.ph/GEPSNONPILOT/Tender/SplashBidNoticeAbstractUI.aspx?menuIndex=3&amp;refID=7177357&amp;Result=3","7177357")</f>
        <v>0</v>
      </c>
      <c r="B7075" t="s">
        <v>2307</v>
      </c>
      <c r="C7075" t="s">
        <v>10289</v>
      </c>
      <c r="D7075" t="s">
        <v>17151</v>
      </c>
      <c r="E7075" t="s">
        <v>23362</v>
      </c>
      <c r="F7075" t="s">
        <v>29372</v>
      </c>
      <c r="G7075" t="s">
        <v>29380</v>
      </c>
      <c r="H7075" t="s">
        <v>11048</v>
      </c>
      <c r="I7075" t="s">
        <v>29452</v>
      </c>
      <c r="J7075" t="s">
        <v>34093</v>
      </c>
      <c r="K7075" t="s">
        <v>38488</v>
      </c>
      <c r="M7075" t="s">
        <v>41236</v>
      </c>
      <c r="N7075" t="s">
        <v>42669</v>
      </c>
      <c r="O7075" t="s">
        <v>42670</v>
      </c>
      <c r="P7075">
        <v>0</v>
      </c>
      <c r="Q7075">
        <v>8</v>
      </c>
      <c r="R7075" t="s">
        <v>42678</v>
      </c>
      <c r="S7075" t="s">
        <v>42866</v>
      </c>
      <c r="T7075" t="s">
        <v>44368</v>
      </c>
      <c r="U7075" t="s">
        <v>50596</v>
      </c>
      <c r="V7075" t="s">
        <v>57143</v>
      </c>
      <c r="W7075" t="s">
        <v>41236</v>
      </c>
      <c r="X7075" t="s">
        <v>42683</v>
      </c>
    </row>
    <row r="7076" spans="1:24">
      <c r="A7076">
        <f>HYPERLINK("https://www.philgeps.gov.ph/GEPSNONPILOT/Tender/SplashBidNoticeAbstractUI.aspx?menuIndex=3&amp;refID=7177200&amp;Result=3","7177200")</f>
        <v>0</v>
      </c>
      <c r="B7076" t="s">
        <v>25</v>
      </c>
      <c r="C7076" t="s">
        <v>10290</v>
      </c>
      <c r="D7076" t="s">
        <v>17142</v>
      </c>
      <c r="E7076" t="s">
        <v>10290</v>
      </c>
      <c r="F7076" t="s">
        <v>29372</v>
      </c>
      <c r="G7076" t="s">
        <v>29379</v>
      </c>
      <c r="H7076" t="s">
        <v>11048</v>
      </c>
      <c r="I7076" t="s">
        <v>3670</v>
      </c>
      <c r="J7076" t="s">
        <v>34094</v>
      </c>
      <c r="K7076" t="s">
        <v>38485</v>
      </c>
      <c r="M7076" t="s">
        <v>38778</v>
      </c>
      <c r="N7076" t="s">
        <v>42669</v>
      </c>
      <c r="O7076" t="s">
        <v>42670</v>
      </c>
      <c r="P7076">
        <v>0</v>
      </c>
      <c r="Q7076">
        <v>0</v>
      </c>
      <c r="R7076" t="s">
        <v>42678</v>
      </c>
      <c r="S7076" t="s">
        <v>42866</v>
      </c>
      <c r="T7076" t="s">
        <v>44489</v>
      </c>
      <c r="U7076" t="s">
        <v>50597</v>
      </c>
      <c r="W7076" t="s">
        <v>38778</v>
      </c>
      <c r="X7076" t="s">
        <v>42683</v>
      </c>
    </row>
    <row r="7077" spans="1:24">
      <c r="A7077">
        <f>HYPERLINK("https://www.philgeps.gov.ph/GEPSNONPILOT/Tender/SplashBidNoticeAbstractUI.aspx?menuIndex=3&amp;refID=7176674&amp;Result=3","7176674")</f>
        <v>0</v>
      </c>
      <c r="B7077" t="s">
        <v>39</v>
      </c>
      <c r="C7077" t="s">
        <v>10273</v>
      </c>
      <c r="D7077" t="s">
        <v>17152</v>
      </c>
      <c r="E7077" t="s">
        <v>23363</v>
      </c>
      <c r="F7077" t="s">
        <v>29372</v>
      </c>
      <c r="G7077" t="s">
        <v>29380</v>
      </c>
      <c r="H7077" t="s">
        <v>11048</v>
      </c>
      <c r="I7077" t="s">
        <v>14920</v>
      </c>
      <c r="J7077" t="s">
        <v>30408</v>
      </c>
      <c r="K7077" t="s">
        <v>38491</v>
      </c>
      <c r="M7077" t="s">
        <v>38812</v>
      </c>
      <c r="N7077" t="s">
        <v>42669</v>
      </c>
      <c r="O7077" t="s">
        <v>42670</v>
      </c>
      <c r="P7077">
        <v>0</v>
      </c>
      <c r="Q7077">
        <v>0</v>
      </c>
      <c r="R7077" t="s">
        <v>42678</v>
      </c>
      <c r="S7077" t="s">
        <v>42866</v>
      </c>
      <c r="T7077" t="s">
        <v>44432</v>
      </c>
      <c r="U7077" t="s">
        <v>50583</v>
      </c>
      <c r="W7077" t="s">
        <v>38812</v>
      </c>
      <c r="X7077" t="s">
        <v>42683</v>
      </c>
    </row>
    <row r="7078" spans="1:24">
      <c r="A7078">
        <f>HYPERLINK("https://www.philgeps.gov.ph/GEPSNONPILOT/Tender/SplashBidNoticeAbstractUI.aspx?menuIndex=3&amp;refID=7176665&amp;Result=3","7176665")</f>
        <v>0</v>
      </c>
      <c r="B7078" t="s">
        <v>912</v>
      </c>
      <c r="C7078" t="s">
        <v>10291</v>
      </c>
      <c r="D7078" t="s">
        <v>17147</v>
      </c>
      <c r="E7078" t="s">
        <v>17434</v>
      </c>
      <c r="F7078" t="s">
        <v>29372</v>
      </c>
      <c r="G7078" t="s">
        <v>29380</v>
      </c>
      <c r="H7078" t="s">
        <v>11048</v>
      </c>
      <c r="I7078" t="s">
        <v>29393</v>
      </c>
      <c r="J7078" t="s">
        <v>29590</v>
      </c>
      <c r="K7078" t="s">
        <v>38491</v>
      </c>
      <c r="M7078" t="s">
        <v>39705</v>
      </c>
      <c r="N7078" t="s">
        <v>42669</v>
      </c>
      <c r="O7078" t="s">
        <v>42670</v>
      </c>
      <c r="P7078">
        <v>0</v>
      </c>
      <c r="Q7078">
        <v>0</v>
      </c>
      <c r="R7078" t="s">
        <v>42678</v>
      </c>
      <c r="S7078" t="s">
        <v>42866</v>
      </c>
      <c r="T7078" t="s">
        <v>44488</v>
      </c>
      <c r="U7078" t="s">
        <v>50598</v>
      </c>
      <c r="W7078" t="s">
        <v>39705</v>
      </c>
      <c r="X7078" t="s">
        <v>42683</v>
      </c>
    </row>
    <row r="7079" spans="1:24">
      <c r="A7079">
        <f>HYPERLINK("https://www.philgeps.gov.ph/GEPSNONPILOT/Tender/SplashBidNoticeAbstractUI.aspx?menuIndex=3&amp;refID=7176638&amp;Result=3","7176638")</f>
        <v>0</v>
      </c>
      <c r="B7079" t="s">
        <v>39</v>
      </c>
      <c r="C7079" t="s">
        <v>10292</v>
      </c>
      <c r="D7079" t="s">
        <v>17152</v>
      </c>
      <c r="E7079" t="s">
        <v>23364</v>
      </c>
      <c r="F7079" t="s">
        <v>29372</v>
      </c>
      <c r="G7079" t="s">
        <v>29380</v>
      </c>
      <c r="H7079" t="s">
        <v>11048</v>
      </c>
      <c r="I7079" t="s">
        <v>29407</v>
      </c>
      <c r="J7079" t="s">
        <v>31053</v>
      </c>
      <c r="K7079" t="s">
        <v>38491</v>
      </c>
      <c r="M7079" t="s">
        <v>38812</v>
      </c>
      <c r="N7079" t="s">
        <v>42669</v>
      </c>
      <c r="O7079" t="s">
        <v>42670</v>
      </c>
      <c r="P7079">
        <v>0</v>
      </c>
      <c r="Q7079">
        <v>1</v>
      </c>
      <c r="R7079" t="s">
        <v>42678</v>
      </c>
      <c r="S7079" t="s">
        <v>42866</v>
      </c>
      <c r="T7079" t="s">
        <v>44432</v>
      </c>
      <c r="U7079" t="s">
        <v>50583</v>
      </c>
      <c r="W7079" t="s">
        <v>38812</v>
      </c>
      <c r="X7079" t="s">
        <v>42683</v>
      </c>
    </row>
    <row r="7080" spans="1:24">
      <c r="A7080">
        <f>HYPERLINK("https://www.philgeps.gov.ph/GEPSNONPILOT/Tender/SplashBidNoticeAbstractUI.aspx?menuIndex=3&amp;refID=7177683&amp;Result=3","7177683")</f>
        <v>0</v>
      </c>
      <c r="B7080" t="s">
        <v>1912</v>
      </c>
      <c r="C7080" t="s">
        <v>10293</v>
      </c>
      <c r="D7080" t="s">
        <v>17194</v>
      </c>
      <c r="E7080" t="s">
        <v>23365</v>
      </c>
      <c r="F7080" t="s">
        <v>29372</v>
      </c>
      <c r="G7080" t="s">
        <v>29380</v>
      </c>
      <c r="H7080" t="s">
        <v>11048</v>
      </c>
      <c r="I7080" t="s">
        <v>4487</v>
      </c>
      <c r="J7080" t="s">
        <v>34095</v>
      </c>
      <c r="K7080" t="s">
        <v>38485</v>
      </c>
      <c r="M7080" t="s">
        <v>40787</v>
      </c>
      <c r="N7080" t="s">
        <v>42669</v>
      </c>
      <c r="O7080" t="s">
        <v>42670</v>
      </c>
      <c r="P7080">
        <v>0</v>
      </c>
      <c r="Q7080">
        <v>1</v>
      </c>
      <c r="R7080" t="s">
        <v>42678</v>
      </c>
      <c r="S7080" t="s">
        <v>42866</v>
      </c>
      <c r="T7080" t="s">
        <v>44491</v>
      </c>
      <c r="U7080" t="s">
        <v>50599</v>
      </c>
      <c r="W7080" t="s">
        <v>40787</v>
      </c>
      <c r="X7080" t="s">
        <v>42682</v>
      </c>
    </row>
    <row r="7081" spans="1:24">
      <c r="A7081">
        <f>HYPERLINK("https://www.philgeps.gov.ph/GEPSNONPILOT/Tender/SplashBidNoticeAbstractUI.aspx?menuIndex=3&amp;refID=7176696&amp;Result=3","7176696")</f>
        <v>0</v>
      </c>
      <c r="B7081" t="s">
        <v>39</v>
      </c>
      <c r="C7081" t="s">
        <v>10294</v>
      </c>
      <c r="D7081" t="s">
        <v>17152</v>
      </c>
      <c r="E7081" t="s">
        <v>23366</v>
      </c>
      <c r="F7081" t="s">
        <v>29372</v>
      </c>
      <c r="G7081" t="s">
        <v>29380</v>
      </c>
      <c r="H7081" t="s">
        <v>11048</v>
      </c>
      <c r="I7081" t="s">
        <v>4486</v>
      </c>
      <c r="J7081" t="s">
        <v>30728</v>
      </c>
      <c r="K7081" t="s">
        <v>38491</v>
      </c>
      <c r="M7081" t="s">
        <v>38812</v>
      </c>
      <c r="N7081" t="s">
        <v>42669</v>
      </c>
      <c r="O7081" t="s">
        <v>42670</v>
      </c>
      <c r="P7081">
        <v>0</v>
      </c>
      <c r="Q7081">
        <v>2</v>
      </c>
      <c r="R7081" t="s">
        <v>42678</v>
      </c>
      <c r="S7081" t="s">
        <v>42866</v>
      </c>
      <c r="T7081" t="s">
        <v>44432</v>
      </c>
      <c r="U7081" t="s">
        <v>50583</v>
      </c>
      <c r="W7081" t="s">
        <v>38812</v>
      </c>
      <c r="X7081" t="s">
        <v>42683</v>
      </c>
    </row>
    <row r="7082" spans="1:24">
      <c r="A7082">
        <f>HYPERLINK("https://www.philgeps.gov.ph/GEPSNONPILOT/Tender/SplashBidNoticeAbstractUI.aspx?menuIndex=3&amp;refID=7176557&amp;Result=3","7176557")</f>
        <v>0</v>
      </c>
      <c r="B7082" t="s">
        <v>39</v>
      </c>
      <c r="C7082" t="s">
        <v>10295</v>
      </c>
      <c r="D7082" t="s">
        <v>17152</v>
      </c>
      <c r="E7082" t="s">
        <v>23367</v>
      </c>
      <c r="F7082" t="s">
        <v>29372</v>
      </c>
      <c r="G7082" t="s">
        <v>29380</v>
      </c>
      <c r="H7082" t="s">
        <v>11048</v>
      </c>
      <c r="I7082" t="s">
        <v>29407</v>
      </c>
      <c r="J7082" t="s">
        <v>34096</v>
      </c>
      <c r="K7082" t="s">
        <v>38491</v>
      </c>
      <c r="M7082" t="s">
        <v>38812</v>
      </c>
      <c r="N7082" t="s">
        <v>42669</v>
      </c>
      <c r="O7082" t="s">
        <v>42670</v>
      </c>
      <c r="P7082">
        <v>0</v>
      </c>
      <c r="Q7082">
        <v>2</v>
      </c>
      <c r="R7082" t="s">
        <v>42678</v>
      </c>
      <c r="S7082" t="s">
        <v>42866</v>
      </c>
      <c r="T7082" t="s">
        <v>44432</v>
      </c>
      <c r="U7082" t="s">
        <v>50583</v>
      </c>
      <c r="W7082" t="s">
        <v>38812</v>
      </c>
      <c r="X7082" t="s">
        <v>42683</v>
      </c>
    </row>
    <row r="7083" spans="1:24">
      <c r="A7083">
        <f>HYPERLINK("https://www.philgeps.gov.ph/GEPSNONPILOT/Tender/SplashBidNoticeAbstractUI.aspx?menuIndex=3&amp;refID=7178709&amp;Result=3","7178709")</f>
        <v>0</v>
      </c>
      <c r="B7083" t="s">
        <v>35</v>
      </c>
      <c r="C7083" t="s">
        <v>10296</v>
      </c>
      <c r="D7083" t="s">
        <v>17149</v>
      </c>
      <c r="E7083" t="s">
        <v>23368</v>
      </c>
      <c r="F7083" t="s">
        <v>29372</v>
      </c>
      <c r="G7083" t="s">
        <v>29380</v>
      </c>
      <c r="H7083" t="s">
        <v>11048</v>
      </c>
      <c r="I7083" t="s">
        <v>8614</v>
      </c>
      <c r="J7083" t="s">
        <v>30026</v>
      </c>
      <c r="K7083" t="s">
        <v>38490</v>
      </c>
      <c r="M7083" t="s">
        <v>41135</v>
      </c>
      <c r="N7083" t="s">
        <v>42669</v>
      </c>
      <c r="O7083" t="s">
        <v>42670</v>
      </c>
      <c r="P7083">
        <v>0</v>
      </c>
      <c r="Q7083">
        <v>0</v>
      </c>
      <c r="R7083" t="s">
        <v>42678</v>
      </c>
      <c r="S7083" t="s">
        <v>42866</v>
      </c>
      <c r="T7083" t="s">
        <v>44570</v>
      </c>
      <c r="U7083" t="s">
        <v>50600</v>
      </c>
      <c r="W7083" t="s">
        <v>58072</v>
      </c>
      <c r="X7083" t="s">
        <v>42682</v>
      </c>
    </row>
    <row r="7084" spans="1:24">
      <c r="A7084">
        <f>HYPERLINK("https://www.philgeps.gov.ph/GEPSNONPILOT/Tender/SplashBidNoticeAbstractUI.aspx?menuIndex=3&amp;refID=7176661&amp;Result=3","7176661")</f>
        <v>0</v>
      </c>
      <c r="B7084" t="s">
        <v>39</v>
      </c>
      <c r="C7084" t="s">
        <v>10292</v>
      </c>
      <c r="D7084" t="s">
        <v>17152</v>
      </c>
      <c r="E7084" t="s">
        <v>23369</v>
      </c>
      <c r="F7084" t="s">
        <v>29372</v>
      </c>
      <c r="G7084" t="s">
        <v>29380</v>
      </c>
      <c r="H7084" t="s">
        <v>11048</v>
      </c>
      <c r="I7084" t="s">
        <v>29407</v>
      </c>
      <c r="J7084" t="s">
        <v>34097</v>
      </c>
      <c r="K7084" t="s">
        <v>38491</v>
      </c>
      <c r="M7084" t="s">
        <v>38812</v>
      </c>
      <c r="N7084" t="s">
        <v>42669</v>
      </c>
      <c r="O7084" t="s">
        <v>42670</v>
      </c>
      <c r="P7084">
        <v>0</v>
      </c>
      <c r="Q7084">
        <v>4</v>
      </c>
      <c r="R7084" t="s">
        <v>42678</v>
      </c>
      <c r="S7084" t="s">
        <v>42866</v>
      </c>
      <c r="T7084" t="s">
        <v>44432</v>
      </c>
      <c r="U7084" t="s">
        <v>50583</v>
      </c>
      <c r="W7084" t="s">
        <v>38812</v>
      </c>
      <c r="X7084" t="s">
        <v>42683</v>
      </c>
    </row>
    <row r="7085" spans="1:24">
      <c r="A7085">
        <f>HYPERLINK("https://www.philgeps.gov.ph/GEPSNONPILOT/Tender/SplashBidNoticeAbstractUI.aspx?menuIndex=3&amp;refID=7176229&amp;Result=3","7176229")</f>
        <v>0</v>
      </c>
      <c r="B7085" t="s">
        <v>1912</v>
      </c>
      <c r="C7085" t="s">
        <v>10297</v>
      </c>
      <c r="D7085" t="s">
        <v>17194</v>
      </c>
      <c r="E7085" t="s">
        <v>23370</v>
      </c>
      <c r="F7085" t="s">
        <v>29372</v>
      </c>
      <c r="G7085" t="s">
        <v>29380</v>
      </c>
      <c r="H7085" t="s">
        <v>11048</v>
      </c>
      <c r="I7085" t="s">
        <v>29444</v>
      </c>
      <c r="J7085" t="s">
        <v>29526</v>
      </c>
      <c r="K7085" t="s">
        <v>38485</v>
      </c>
      <c r="M7085" t="s">
        <v>40787</v>
      </c>
      <c r="N7085" t="s">
        <v>42669</v>
      </c>
      <c r="O7085" t="s">
        <v>42670</v>
      </c>
      <c r="P7085">
        <v>0</v>
      </c>
      <c r="Q7085">
        <v>1</v>
      </c>
      <c r="R7085" t="s">
        <v>42678</v>
      </c>
      <c r="S7085" t="s">
        <v>42866</v>
      </c>
      <c r="T7085" t="s">
        <v>44491</v>
      </c>
      <c r="U7085" t="s">
        <v>50601</v>
      </c>
      <c r="W7085" t="s">
        <v>40787</v>
      </c>
      <c r="X7085" t="s">
        <v>42683</v>
      </c>
    </row>
    <row r="7086" spans="1:24">
      <c r="A7086">
        <f>HYPERLINK("https://www.philgeps.gov.ph/GEPSNONPILOT/Tender/SplashBidNoticeAbstractUI.aspx?menuIndex=3&amp;refID=7176624&amp;Result=3","7176624")</f>
        <v>0</v>
      </c>
      <c r="B7086" t="s">
        <v>39</v>
      </c>
      <c r="C7086" t="s">
        <v>10292</v>
      </c>
      <c r="D7086" t="s">
        <v>17152</v>
      </c>
      <c r="E7086" t="s">
        <v>23371</v>
      </c>
      <c r="F7086" t="s">
        <v>29372</v>
      </c>
      <c r="G7086" t="s">
        <v>29380</v>
      </c>
      <c r="H7086" t="s">
        <v>11048</v>
      </c>
      <c r="I7086" t="s">
        <v>29407</v>
      </c>
      <c r="J7086" t="s">
        <v>34098</v>
      </c>
      <c r="K7086" t="s">
        <v>38491</v>
      </c>
      <c r="M7086" t="s">
        <v>38812</v>
      </c>
      <c r="N7086" t="s">
        <v>42669</v>
      </c>
      <c r="O7086" t="s">
        <v>42670</v>
      </c>
      <c r="P7086">
        <v>0</v>
      </c>
      <c r="Q7086">
        <v>5</v>
      </c>
      <c r="R7086" t="s">
        <v>42678</v>
      </c>
      <c r="S7086" t="s">
        <v>42866</v>
      </c>
      <c r="T7086" t="s">
        <v>44432</v>
      </c>
      <c r="U7086" t="s">
        <v>50583</v>
      </c>
      <c r="W7086" t="s">
        <v>38812</v>
      </c>
      <c r="X7086" t="s">
        <v>42683</v>
      </c>
    </row>
    <row r="7087" spans="1:24">
      <c r="A7087">
        <f>HYPERLINK("https://www.philgeps.gov.ph/GEPSNONPILOT/Tender/SplashBidNoticeAbstractUI.aspx?menuIndex=3&amp;refID=7178688&amp;Result=3","7178688")</f>
        <v>0</v>
      </c>
      <c r="B7087" t="s">
        <v>1912</v>
      </c>
      <c r="C7087" t="s">
        <v>10298</v>
      </c>
      <c r="D7087" t="s">
        <v>17194</v>
      </c>
      <c r="E7087" t="s">
        <v>23372</v>
      </c>
      <c r="F7087" t="s">
        <v>29372</v>
      </c>
      <c r="G7087" t="s">
        <v>29380</v>
      </c>
      <c r="H7087" t="s">
        <v>29390</v>
      </c>
      <c r="I7087" t="s">
        <v>29489</v>
      </c>
      <c r="J7087" t="s">
        <v>29590</v>
      </c>
      <c r="K7087" t="s">
        <v>38586</v>
      </c>
      <c r="M7087" t="s">
        <v>40787</v>
      </c>
      <c r="N7087" t="s">
        <v>42669</v>
      </c>
      <c r="O7087" t="s">
        <v>42670</v>
      </c>
      <c r="P7087">
        <v>0</v>
      </c>
      <c r="Q7087">
        <v>0</v>
      </c>
      <c r="R7087" t="s">
        <v>42678</v>
      </c>
      <c r="S7087" t="s">
        <v>42866</v>
      </c>
      <c r="T7087" t="s">
        <v>44491</v>
      </c>
      <c r="U7087" t="s">
        <v>50602</v>
      </c>
      <c r="W7087" t="s">
        <v>40787</v>
      </c>
      <c r="X7087" t="s">
        <v>42682</v>
      </c>
    </row>
    <row r="7088" spans="1:24">
      <c r="A7088">
        <f>HYPERLINK("https://www.philgeps.gov.ph/GEPSNONPILOT/Tender/SplashBidNoticeAbstractUI.aspx?menuIndex=3&amp;refID=7178472&amp;Result=3","7178472")</f>
        <v>0</v>
      </c>
      <c r="B7088" t="s">
        <v>2308</v>
      </c>
      <c r="C7088" t="s">
        <v>10299</v>
      </c>
      <c r="D7088" t="s">
        <v>17187</v>
      </c>
      <c r="E7088" t="s">
        <v>23373</v>
      </c>
      <c r="F7088" t="s">
        <v>29372</v>
      </c>
      <c r="G7088" t="s">
        <v>29380</v>
      </c>
      <c r="H7088" t="s">
        <v>11048</v>
      </c>
      <c r="I7088" t="s">
        <v>29418</v>
      </c>
      <c r="J7088" t="s">
        <v>34099</v>
      </c>
      <c r="K7088" t="s">
        <v>38485</v>
      </c>
      <c r="M7088" t="s">
        <v>41237</v>
      </c>
      <c r="N7088" t="s">
        <v>42669</v>
      </c>
      <c r="O7088" t="s">
        <v>42670</v>
      </c>
      <c r="P7088">
        <v>0</v>
      </c>
      <c r="Q7088">
        <v>6</v>
      </c>
      <c r="R7088" t="s">
        <v>42678</v>
      </c>
      <c r="S7088" t="s">
        <v>42866</v>
      </c>
      <c r="T7088" t="s">
        <v>44355</v>
      </c>
      <c r="U7088" t="s">
        <v>50603</v>
      </c>
      <c r="W7088" t="s">
        <v>41237</v>
      </c>
      <c r="X7088" t="s">
        <v>42682</v>
      </c>
    </row>
    <row r="7089" spans="1:24">
      <c r="A7089">
        <f>HYPERLINK("https://www.philgeps.gov.ph/GEPSNONPILOT/Tender/SplashBidNoticeAbstractUI.aspx?menuIndex=3&amp;refID=7178641&amp;Result=3","7178641")</f>
        <v>0</v>
      </c>
      <c r="B7089" t="s">
        <v>2309</v>
      </c>
      <c r="C7089" t="s">
        <v>10300</v>
      </c>
      <c r="D7089" t="s">
        <v>17189</v>
      </c>
      <c r="E7089" t="s">
        <v>23374</v>
      </c>
      <c r="F7089" t="s">
        <v>29372</v>
      </c>
      <c r="G7089" t="s">
        <v>29380</v>
      </c>
      <c r="H7089" t="s">
        <v>29389</v>
      </c>
      <c r="I7089" t="s">
        <v>29417</v>
      </c>
      <c r="J7089" t="s">
        <v>34100</v>
      </c>
      <c r="K7089" t="s">
        <v>38488</v>
      </c>
      <c r="M7089" t="s">
        <v>41238</v>
      </c>
      <c r="N7089" t="s">
        <v>42669</v>
      </c>
      <c r="O7089" t="s">
        <v>42670</v>
      </c>
      <c r="P7089">
        <v>0</v>
      </c>
      <c r="Q7089">
        <v>0</v>
      </c>
      <c r="R7089" t="s">
        <v>42678</v>
      </c>
      <c r="S7089" t="s">
        <v>42866</v>
      </c>
      <c r="T7089" t="s">
        <v>44469</v>
      </c>
      <c r="U7089" t="s">
        <v>50604</v>
      </c>
      <c r="W7089" t="s">
        <v>41238</v>
      </c>
      <c r="X7089" t="s">
        <v>42682</v>
      </c>
    </row>
    <row r="7090" spans="1:24">
      <c r="A7090">
        <f>HYPERLINK("https://www.philgeps.gov.ph/GEPSNONPILOT/Tender/SplashBidNoticeAbstractUI.aspx?menuIndex=3&amp;refID=7176254&amp;Result=3","7176254")</f>
        <v>0</v>
      </c>
      <c r="B7090" t="s">
        <v>52</v>
      </c>
      <c r="C7090" t="s">
        <v>10301</v>
      </c>
      <c r="D7090" t="s">
        <v>17183</v>
      </c>
      <c r="E7090" t="s">
        <v>23375</v>
      </c>
      <c r="F7090" t="s">
        <v>29372</v>
      </c>
      <c r="G7090" t="s">
        <v>29379</v>
      </c>
      <c r="H7090" t="s">
        <v>11048</v>
      </c>
      <c r="I7090" t="s">
        <v>14920</v>
      </c>
      <c r="J7090" t="s">
        <v>30100</v>
      </c>
      <c r="K7090" t="s">
        <v>38522</v>
      </c>
      <c r="M7090" t="s">
        <v>40848</v>
      </c>
      <c r="N7090" t="s">
        <v>42669</v>
      </c>
      <c r="O7090" t="s">
        <v>42670</v>
      </c>
      <c r="Q7090">
        <v>1</v>
      </c>
      <c r="R7090" t="s">
        <v>42678</v>
      </c>
      <c r="S7090" t="s">
        <v>42873</v>
      </c>
      <c r="T7090" t="s">
        <v>44431</v>
      </c>
      <c r="U7090" t="s">
        <v>50605</v>
      </c>
      <c r="W7090" t="s">
        <v>40848</v>
      </c>
      <c r="X7090" t="s">
        <v>42683</v>
      </c>
    </row>
    <row r="7091" spans="1:24">
      <c r="A7091">
        <f>HYPERLINK("https://www.philgeps.gov.ph/GEPSNONPILOT/Tender/SplashBidNoticeAbstractUI.aspx?menuIndex=3&amp;refID=7178441&amp;Result=3","7178441")</f>
        <v>0</v>
      </c>
      <c r="B7091" t="s">
        <v>2308</v>
      </c>
      <c r="C7091" t="s">
        <v>10302</v>
      </c>
      <c r="D7091" t="s">
        <v>17187</v>
      </c>
      <c r="E7091" t="s">
        <v>23376</v>
      </c>
      <c r="F7091" t="s">
        <v>29372</v>
      </c>
      <c r="G7091" t="s">
        <v>29380</v>
      </c>
      <c r="H7091" t="s">
        <v>11048</v>
      </c>
      <c r="I7091" t="s">
        <v>9642</v>
      </c>
      <c r="J7091" t="s">
        <v>29615</v>
      </c>
      <c r="K7091" t="s">
        <v>38485</v>
      </c>
      <c r="M7091" t="s">
        <v>41237</v>
      </c>
      <c r="N7091" t="s">
        <v>42669</v>
      </c>
      <c r="O7091" t="s">
        <v>42670</v>
      </c>
      <c r="P7091">
        <v>0</v>
      </c>
      <c r="Q7091">
        <v>21</v>
      </c>
      <c r="R7091" t="s">
        <v>42678</v>
      </c>
      <c r="S7091" t="s">
        <v>42866</v>
      </c>
      <c r="T7091" t="s">
        <v>44355</v>
      </c>
      <c r="U7091" t="s">
        <v>50606</v>
      </c>
      <c r="W7091" t="s">
        <v>41237</v>
      </c>
      <c r="X7091" t="s">
        <v>42682</v>
      </c>
    </row>
    <row r="7092" spans="1:24">
      <c r="A7092">
        <f>HYPERLINK("https://www.philgeps.gov.ph/GEPSNONPILOT/Tender/SplashBidNoticeAbstractUI.aspx?menuIndex=3&amp;refID=7178416&amp;Result=3","7178416")</f>
        <v>0</v>
      </c>
      <c r="B7092" t="s">
        <v>2308</v>
      </c>
      <c r="C7092" t="s">
        <v>10303</v>
      </c>
      <c r="D7092" t="s">
        <v>17187</v>
      </c>
      <c r="E7092" t="s">
        <v>23377</v>
      </c>
      <c r="F7092" t="s">
        <v>29372</v>
      </c>
      <c r="G7092" t="s">
        <v>29380</v>
      </c>
      <c r="H7092" t="s">
        <v>11048</v>
      </c>
      <c r="I7092" t="s">
        <v>29466</v>
      </c>
      <c r="J7092" t="s">
        <v>34101</v>
      </c>
      <c r="K7092" t="s">
        <v>38490</v>
      </c>
      <c r="M7092" t="s">
        <v>41237</v>
      </c>
      <c r="N7092" t="s">
        <v>42669</v>
      </c>
      <c r="O7092" t="s">
        <v>42670</v>
      </c>
      <c r="P7092">
        <v>0</v>
      </c>
      <c r="Q7092">
        <v>2</v>
      </c>
      <c r="R7092" t="s">
        <v>42678</v>
      </c>
      <c r="S7092" t="s">
        <v>42866</v>
      </c>
      <c r="T7092" t="s">
        <v>44355</v>
      </c>
      <c r="U7092" t="s">
        <v>50607</v>
      </c>
      <c r="W7092" t="s">
        <v>41237</v>
      </c>
      <c r="X7092" t="s">
        <v>42682</v>
      </c>
    </row>
    <row r="7093" spans="1:24">
      <c r="A7093">
        <f>HYPERLINK("https://www.philgeps.gov.ph/GEPSNONPILOT/Tender/SplashBidNoticeAbstractUI.aspx?menuIndex=3&amp;refID=7178410&amp;Result=3","7178410")</f>
        <v>0</v>
      </c>
      <c r="B7093" t="s">
        <v>2309</v>
      </c>
      <c r="C7093" t="s">
        <v>10300</v>
      </c>
      <c r="D7093" t="s">
        <v>17189</v>
      </c>
      <c r="E7093" t="s">
        <v>23378</v>
      </c>
      <c r="F7093" t="s">
        <v>29372</v>
      </c>
      <c r="G7093" t="s">
        <v>29380</v>
      </c>
      <c r="H7093" t="s">
        <v>29389</v>
      </c>
      <c r="I7093" t="s">
        <v>29417</v>
      </c>
      <c r="J7093" t="s">
        <v>34102</v>
      </c>
      <c r="K7093" t="s">
        <v>38496</v>
      </c>
      <c r="M7093" t="s">
        <v>41238</v>
      </c>
      <c r="N7093" t="s">
        <v>42669</v>
      </c>
      <c r="O7093" t="s">
        <v>42670</v>
      </c>
      <c r="P7093">
        <v>0</v>
      </c>
      <c r="Q7093">
        <v>2</v>
      </c>
      <c r="R7093" t="s">
        <v>42678</v>
      </c>
      <c r="S7093" t="s">
        <v>42866</v>
      </c>
      <c r="T7093" t="s">
        <v>44502</v>
      </c>
      <c r="U7093" t="s">
        <v>50608</v>
      </c>
      <c r="W7093" t="s">
        <v>41238</v>
      </c>
      <c r="X7093" t="s">
        <v>42682</v>
      </c>
    </row>
    <row r="7094" spans="1:24">
      <c r="A7094">
        <f>HYPERLINK("https://www.philgeps.gov.ph/GEPSNONPILOT/Tender/SplashBidNoticeAbstractUI.aspx?menuIndex=3&amp;refID=7178385&amp;Result=3","7178385")</f>
        <v>0</v>
      </c>
      <c r="B7094" t="s">
        <v>1917</v>
      </c>
      <c r="C7094" t="s">
        <v>10304</v>
      </c>
      <c r="D7094" t="s">
        <v>17148</v>
      </c>
      <c r="E7094" t="s">
        <v>23379</v>
      </c>
      <c r="F7094" t="s">
        <v>29372</v>
      </c>
      <c r="G7094" t="s">
        <v>29380</v>
      </c>
      <c r="H7094" t="s">
        <v>11048</v>
      </c>
      <c r="I7094" t="s">
        <v>4486</v>
      </c>
      <c r="J7094" t="s">
        <v>34103</v>
      </c>
      <c r="K7094" t="s">
        <v>38485</v>
      </c>
      <c r="M7094" t="s">
        <v>40792</v>
      </c>
      <c r="N7094" t="s">
        <v>42669</v>
      </c>
      <c r="O7094" t="s">
        <v>42670</v>
      </c>
      <c r="P7094">
        <v>0</v>
      </c>
      <c r="Q7094">
        <v>9</v>
      </c>
      <c r="R7094" t="s">
        <v>42678</v>
      </c>
      <c r="S7094" t="s">
        <v>42866</v>
      </c>
      <c r="T7094" t="s">
        <v>44470</v>
      </c>
      <c r="U7094" t="s">
        <v>50609</v>
      </c>
      <c r="W7094" t="s">
        <v>40792</v>
      </c>
      <c r="X7094" t="s">
        <v>42682</v>
      </c>
    </row>
    <row r="7095" spans="1:24">
      <c r="A7095">
        <f>HYPERLINK("https://www.philgeps.gov.ph/GEPSNONPILOT/Tender/SplashBidNoticeAbstractUI.aspx?menuIndex=3&amp;refID=7178357&amp;Result=3","7178357")</f>
        <v>0</v>
      </c>
      <c r="B7095" t="s">
        <v>35</v>
      </c>
      <c r="C7095" t="s">
        <v>10305</v>
      </c>
      <c r="D7095" t="s">
        <v>17149</v>
      </c>
      <c r="E7095" t="s">
        <v>23380</v>
      </c>
      <c r="F7095" t="s">
        <v>29372</v>
      </c>
      <c r="G7095" t="s">
        <v>29380</v>
      </c>
      <c r="H7095" t="s">
        <v>11048</v>
      </c>
      <c r="I7095" t="s">
        <v>8614</v>
      </c>
      <c r="J7095" t="s">
        <v>30406</v>
      </c>
      <c r="K7095" t="s">
        <v>38490</v>
      </c>
      <c r="M7095" t="s">
        <v>41135</v>
      </c>
      <c r="N7095" t="s">
        <v>42669</v>
      </c>
      <c r="O7095" t="s">
        <v>42670</v>
      </c>
      <c r="P7095">
        <v>0</v>
      </c>
      <c r="Q7095">
        <v>1</v>
      </c>
      <c r="R7095" t="s">
        <v>42678</v>
      </c>
      <c r="S7095" t="s">
        <v>42866</v>
      </c>
      <c r="T7095" t="s">
        <v>44570</v>
      </c>
      <c r="U7095" t="s">
        <v>50610</v>
      </c>
      <c r="W7095" t="s">
        <v>58072</v>
      </c>
      <c r="X7095" t="s">
        <v>42682</v>
      </c>
    </row>
    <row r="7096" spans="1:24">
      <c r="A7096">
        <f>HYPERLINK("https://www.philgeps.gov.ph/GEPSNONPILOT/Tender/SplashBidNoticeAbstractUI.aspx?menuIndex=3&amp;refID=7178322&amp;Result=3","7178322")</f>
        <v>0</v>
      </c>
      <c r="B7096" t="s">
        <v>1917</v>
      </c>
      <c r="C7096" t="s">
        <v>10306</v>
      </c>
      <c r="D7096" t="s">
        <v>17148</v>
      </c>
      <c r="E7096" t="s">
        <v>23381</v>
      </c>
      <c r="F7096" t="s">
        <v>29372</v>
      </c>
      <c r="G7096" t="s">
        <v>29380</v>
      </c>
      <c r="H7096" t="s">
        <v>11048</v>
      </c>
      <c r="I7096" t="s">
        <v>4487</v>
      </c>
      <c r="J7096" t="s">
        <v>34104</v>
      </c>
      <c r="K7096" t="s">
        <v>38485</v>
      </c>
      <c r="M7096" t="s">
        <v>40792</v>
      </c>
      <c r="N7096" t="s">
        <v>42669</v>
      </c>
      <c r="O7096" t="s">
        <v>42670</v>
      </c>
      <c r="P7096">
        <v>0</v>
      </c>
      <c r="Q7096">
        <v>16</v>
      </c>
      <c r="R7096" t="s">
        <v>42678</v>
      </c>
      <c r="S7096" t="s">
        <v>42866</v>
      </c>
      <c r="T7096" t="s">
        <v>44480</v>
      </c>
      <c r="U7096" t="s">
        <v>50611</v>
      </c>
      <c r="W7096" t="s">
        <v>40792</v>
      </c>
      <c r="X7096" t="s">
        <v>42682</v>
      </c>
    </row>
    <row r="7097" spans="1:24">
      <c r="A7097">
        <f>HYPERLINK("https://www.philgeps.gov.ph/GEPSNONPILOT/Tender/SplashBidNoticeAbstractUI.aspx?menuIndex=3&amp;refID=7178297&amp;Result=3","7178297")</f>
        <v>0</v>
      </c>
      <c r="B7097" t="s">
        <v>35</v>
      </c>
      <c r="C7097" t="s">
        <v>10307</v>
      </c>
      <c r="D7097" t="s">
        <v>17149</v>
      </c>
      <c r="E7097" t="s">
        <v>23382</v>
      </c>
      <c r="F7097" t="s">
        <v>29372</v>
      </c>
      <c r="G7097" t="s">
        <v>29380</v>
      </c>
      <c r="H7097" t="s">
        <v>11048</v>
      </c>
      <c r="I7097" t="s">
        <v>4709</v>
      </c>
      <c r="J7097" t="s">
        <v>29609</v>
      </c>
      <c r="K7097" t="s">
        <v>38490</v>
      </c>
      <c r="M7097" t="s">
        <v>41135</v>
      </c>
      <c r="N7097" t="s">
        <v>42669</v>
      </c>
      <c r="O7097" t="s">
        <v>42670</v>
      </c>
      <c r="P7097">
        <v>0</v>
      </c>
      <c r="Q7097">
        <v>0</v>
      </c>
      <c r="R7097" t="s">
        <v>42678</v>
      </c>
      <c r="S7097" t="s">
        <v>42866</v>
      </c>
      <c r="T7097" t="s">
        <v>44570</v>
      </c>
      <c r="U7097" t="s">
        <v>50612</v>
      </c>
      <c r="W7097" t="s">
        <v>58072</v>
      </c>
      <c r="X7097" t="s">
        <v>42682</v>
      </c>
    </row>
    <row r="7098" spans="1:24">
      <c r="A7098">
        <f>HYPERLINK("https://www.philgeps.gov.ph/GEPSNONPILOT/Tender/SplashBidNoticeAbstractUI.aspx?menuIndex=3&amp;refID=7178387&amp;Result=3","7178387")</f>
        <v>0</v>
      </c>
      <c r="B7098" t="s">
        <v>2308</v>
      </c>
      <c r="C7098" t="s">
        <v>10308</v>
      </c>
      <c r="D7098" t="s">
        <v>17187</v>
      </c>
      <c r="E7098" t="s">
        <v>23383</v>
      </c>
      <c r="F7098" t="s">
        <v>29372</v>
      </c>
      <c r="G7098" t="s">
        <v>29380</v>
      </c>
      <c r="H7098" t="s">
        <v>29389</v>
      </c>
      <c r="I7098" t="s">
        <v>10408</v>
      </c>
      <c r="J7098" t="s">
        <v>32851</v>
      </c>
      <c r="K7098" t="s">
        <v>38495</v>
      </c>
      <c r="M7098" t="s">
        <v>41237</v>
      </c>
      <c r="N7098" t="s">
        <v>42669</v>
      </c>
      <c r="O7098" t="s">
        <v>42670</v>
      </c>
      <c r="P7098">
        <v>0</v>
      </c>
      <c r="Q7098">
        <v>3</v>
      </c>
      <c r="R7098" t="s">
        <v>42678</v>
      </c>
      <c r="S7098" t="s">
        <v>42866</v>
      </c>
      <c r="T7098" t="s">
        <v>44355</v>
      </c>
      <c r="U7098" t="s">
        <v>50613</v>
      </c>
      <c r="W7098" t="s">
        <v>41237</v>
      </c>
      <c r="X7098" t="s">
        <v>42682</v>
      </c>
    </row>
    <row r="7099" spans="1:24">
      <c r="A7099">
        <f>HYPERLINK("https://www.philgeps.gov.ph/GEPSNONPILOT/Tender/SplashBidNoticeAbstractUI.aspx?menuIndex=3&amp;refID=7176744&amp;Result=3","7176744")</f>
        <v>0</v>
      </c>
      <c r="B7099" t="s">
        <v>39</v>
      </c>
      <c r="C7099" t="s">
        <v>10309</v>
      </c>
      <c r="D7099" t="s">
        <v>17152</v>
      </c>
      <c r="E7099" t="s">
        <v>23384</v>
      </c>
      <c r="F7099" t="s">
        <v>29372</v>
      </c>
      <c r="G7099" t="s">
        <v>29381</v>
      </c>
      <c r="H7099" t="s">
        <v>11048</v>
      </c>
      <c r="I7099" t="s">
        <v>14920</v>
      </c>
      <c r="J7099" t="s">
        <v>31485</v>
      </c>
      <c r="K7099" t="s">
        <v>38491</v>
      </c>
      <c r="M7099" t="s">
        <v>38812</v>
      </c>
      <c r="N7099" t="s">
        <v>42669</v>
      </c>
      <c r="O7099" t="s">
        <v>42670</v>
      </c>
      <c r="P7099">
        <v>0</v>
      </c>
      <c r="Q7099">
        <v>0</v>
      </c>
      <c r="R7099" t="s">
        <v>42678</v>
      </c>
      <c r="S7099" t="s">
        <v>42866</v>
      </c>
      <c r="T7099" t="s">
        <v>44432</v>
      </c>
      <c r="U7099" t="s">
        <v>50614</v>
      </c>
      <c r="W7099" t="s">
        <v>38812</v>
      </c>
      <c r="X7099" t="s">
        <v>42683</v>
      </c>
    </row>
    <row r="7100" spans="1:24">
      <c r="A7100">
        <f>HYPERLINK("https://www.philgeps.gov.ph/GEPSNONPILOT/Tender/SplashBidNoticeAbstractUI.aspx?menuIndex=3&amp;refID=7178682&amp;Result=3","7178682")</f>
        <v>0</v>
      </c>
      <c r="B7100" t="s">
        <v>1355</v>
      </c>
      <c r="C7100" t="s">
        <v>10310</v>
      </c>
      <c r="D7100" t="s">
        <v>17160</v>
      </c>
      <c r="E7100" t="s">
        <v>23385</v>
      </c>
      <c r="F7100" t="s">
        <v>29372</v>
      </c>
      <c r="G7100" t="s">
        <v>29380</v>
      </c>
      <c r="H7100" t="s">
        <v>29389</v>
      </c>
      <c r="I7100" t="s">
        <v>10408</v>
      </c>
      <c r="J7100" t="s">
        <v>34105</v>
      </c>
      <c r="K7100" t="s">
        <v>38533</v>
      </c>
      <c r="M7100" t="s">
        <v>40192</v>
      </c>
      <c r="N7100" t="s">
        <v>42669</v>
      </c>
      <c r="O7100" t="s">
        <v>42670</v>
      </c>
      <c r="P7100">
        <v>0</v>
      </c>
      <c r="Q7100">
        <v>3</v>
      </c>
      <c r="R7100" t="s">
        <v>42678</v>
      </c>
      <c r="S7100" t="s">
        <v>42866</v>
      </c>
      <c r="T7100" t="s">
        <v>44517</v>
      </c>
      <c r="U7100" t="s">
        <v>50615</v>
      </c>
      <c r="V7100" t="s">
        <v>56704</v>
      </c>
      <c r="W7100" t="s">
        <v>40192</v>
      </c>
      <c r="X7100" t="s">
        <v>42682</v>
      </c>
    </row>
    <row r="7101" spans="1:24">
      <c r="A7101">
        <f>HYPERLINK("https://www.philgeps.gov.ph/GEPSNONPILOT/Tender/SplashBidNoticeAbstractUI.aspx?menuIndex=3&amp;refID=7179615&amp;Result=3","7179615")</f>
        <v>0</v>
      </c>
      <c r="B7101" t="s">
        <v>168</v>
      </c>
      <c r="C7101" t="s">
        <v>10311</v>
      </c>
      <c r="E7101" t="s">
        <v>23386</v>
      </c>
      <c r="F7101" t="s">
        <v>29372</v>
      </c>
      <c r="G7101" t="s">
        <v>29380</v>
      </c>
      <c r="H7101" t="s">
        <v>29389</v>
      </c>
      <c r="I7101" t="s">
        <v>10408</v>
      </c>
      <c r="J7101" t="s">
        <v>34106</v>
      </c>
      <c r="K7101" t="s">
        <v>38636</v>
      </c>
      <c r="M7101" t="s">
        <v>38925</v>
      </c>
      <c r="N7101" t="s">
        <v>42669</v>
      </c>
      <c r="O7101" t="s">
        <v>42670</v>
      </c>
      <c r="P7101">
        <v>0</v>
      </c>
      <c r="Q7101">
        <v>1</v>
      </c>
      <c r="R7101" t="s">
        <v>42678</v>
      </c>
      <c r="S7101" t="s">
        <v>42866</v>
      </c>
      <c r="T7101" t="s">
        <v>44474</v>
      </c>
      <c r="U7101" t="s">
        <v>50616</v>
      </c>
      <c r="W7101" t="s">
        <v>38925</v>
      </c>
      <c r="X7101" t="s">
        <v>42682</v>
      </c>
    </row>
    <row r="7102" spans="1:24">
      <c r="A7102">
        <f>HYPERLINK("https://www.philgeps.gov.ph/GEPSNONPILOT/Tender/SplashBidNoticeAbstractUI.aspx?menuIndex=3&amp;refID=7178523&amp;Result=3","7178523")</f>
        <v>0</v>
      </c>
      <c r="B7102" t="s">
        <v>1917</v>
      </c>
      <c r="C7102" t="s">
        <v>10312</v>
      </c>
      <c r="D7102" t="s">
        <v>17148</v>
      </c>
      <c r="E7102" t="s">
        <v>23387</v>
      </c>
      <c r="F7102" t="s">
        <v>29372</v>
      </c>
      <c r="G7102" t="s">
        <v>29380</v>
      </c>
      <c r="H7102" t="s">
        <v>29389</v>
      </c>
      <c r="I7102" t="s">
        <v>29429</v>
      </c>
      <c r="J7102" t="s">
        <v>34107</v>
      </c>
      <c r="K7102" t="s">
        <v>38496</v>
      </c>
      <c r="M7102" t="s">
        <v>40792</v>
      </c>
      <c r="N7102" t="s">
        <v>42669</v>
      </c>
      <c r="O7102" t="s">
        <v>42670</v>
      </c>
      <c r="P7102">
        <v>0</v>
      </c>
      <c r="Q7102">
        <v>24</v>
      </c>
      <c r="R7102" t="s">
        <v>42678</v>
      </c>
      <c r="S7102" t="s">
        <v>42866</v>
      </c>
      <c r="T7102" t="s">
        <v>44398</v>
      </c>
      <c r="U7102" t="s">
        <v>50617</v>
      </c>
      <c r="W7102" t="s">
        <v>40792</v>
      </c>
      <c r="X7102" t="s">
        <v>42682</v>
      </c>
    </row>
    <row r="7103" spans="1:24">
      <c r="A7103">
        <f>HYPERLINK("https://www.philgeps.gov.ph/GEPSNONPILOT/Tender/SplashBidNoticeAbstractUI.aspx?menuIndex=3&amp;refID=7179564&amp;Result=3","7179564")</f>
        <v>0</v>
      </c>
      <c r="B7103" t="s">
        <v>120</v>
      </c>
      <c r="C7103" t="s">
        <v>10313</v>
      </c>
      <c r="D7103" t="s">
        <v>17172</v>
      </c>
      <c r="E7103" t="s">
        <v>23388</v>
      </c>
      <c r="F7103" t="s">
        <v>29372</v>
      </c>
      <c r="G7103" t="s">
        <v>29380</v>
      </c>
      <c r="H7103" t="s">
        <v>29389</v>
      </c>
      <c r="I7103" t="s">
        <v>29408</v>
      </c>
      <c r="J7103" t="s">
        <v>34108</v>
      </c>
      <c r="K7103" t="s">
        <v>38495</v>
      </c>
      <c r="M7103" t="s">
        <v>38875</v>
      </c>
      <c r="N7103" t="s">
        <v>42669</v>
      </c>
      <c r="O7103" t="s">
        <v>42670</v>
      </c>
      <c r="P7103">
        <v>0</v>
      </c>
      <c r="Q7103">
        <v>0</v>
      </c>
      <c r="R7103" t="s">
        <v>42678</v>
      </c>
      <c r="S7103" t="s">
        <v>42866</v>
      </c>
      <c r="T7103" t="s">
        <v>44410</v>
      </c>
      <c r="U7103" t="s">
        <v>50618</v>
      </c>
      <c r="W7103" t="s">
        <v>38875</v>
      </c>
      <c r="X7103" t="s">
        <v>42682</v>
      </c>
    </row>
    <row r="7104" spans="1:24">
      <c r="A7104">
        <f>HYPERLINK("https://www.philgeps.gov.ph/GEPSNONPILOT/Tender/SplashBidNoticeAbstractUI.aspx?menuIndex=3&amp;refID=7176599&amp;Result=3","7176599")</f>
        <v>0</v>
      </c>
      <c r="B7104" t="s">
        <v>39</v>
      </c>
      <c r="C7104" t="s">
        <v>6106</v>
      </c>
      <c r="D7104" t="s">
        <v>17152</v>
      </c>
      <c r="E7104" t="s">
        <v>23389</v>
      </c>
      <c r="F7104" t="s">
        <v>29372</v>
      </c>
      <c r="G7104" t="s">
        <v>29380</v>
      </c>
      <c r="H7104" t="s">
        <v>11048</v>
      </c>
      <c r="I7104" t="s">
        <v>3695</v>
      </c>
      <c r="J7104" t="s">
        <v>34109</v>
      </c>
      <c r="K7104" t="s">
        <v>38491</v>
      </c>
      <c r="M7104" t="s">
        <v>38812</v>
      </c>
      <c r="N7104" t="s">
        <v>42669</v>
      </c>
      <c r="O7104" t="s">
        <v>42670</v>
      </c>
      <c r="P7104">
        <v>0</v>
      </c>
      <c r="Q7104">
        <v>2</v>
      </c>
      <c r="R7104" t="s">
        <v>42678</v>
      </c>
      <c r="S7104" t="s">
        <v>42866</v>
      </c>
      <c r="T7104" t="s">
        <v>44432</v>
      </c>
      <c r="U7104" t="s">
        <v>50583</v>
      </c>
      <c r="W7104" t="s">
        <v>38812</v>
      </c>
      <c r="X7104" t="s">
        <v>42683</v>
      </c>
    </row>
    <row r="7105" spans="1:24">
      <c r="A7105">
        <f>HYPERLINK("https://www.philgeps.gov.ph/GEPSNONPILOT/Tender/SplashBidNoticeAbstractUI.aspx?menuIndex=3&amp;refID=7179545&amp;Result=3","7179545")</f>
        <v>0</v>
      </c>
      <c r="B7105" t="s">
        <v>589</v>
      </c>
      <c r="C7105" t="s">
        <v>10314</v>
      </c>
      <c r="D7105" t="s">
        <v>17168</v>
      </c>
      <c r="E7105" t="s">
        <v>23390</v>
      </c>
      <c r="F7105" t="s">
        <v>29372</v>
      </c>
      <c r="G7105" t="s">
        <v>29380</v>
      </c>
      <c r="H7105" t="s">
        <v>29389</v>
      </c>
      <c r="I7105" t="s">
        <v>10408</v>
      </c>
      <c r="J7105" t="s">
        <v>32079</v>
      </c>
      <c r="K7105" t="s">
        <v>38505</v>
      </c>
      <c r="M7105" t="s">
        <v>39485</v>
      </c>
      <c r="N7105" t="s">
        <v>42669</v>
      </c>
      <c r="O7105" t="s">
        <v>42670</v>
      </c>
      <c r="P7105">
        <v>0</v>
      </c>
      <c r="Q7105">
        <v>1</v>
      </c>
      <c r="R7105" t="s">
        <v>42678</v>
      </c>
      <c r="S7105" t="s">
        <v>42866</v>
      </c>
      <c r="T7105" t="s">
        <v>44460</v>
      </c>
      <c r="U7105" t="s">
        <v>50619</v>
      </c>
      <c r="V7105" t="s">
        <v>56460</v>
      </c>
      <c r="W7105" t="s">
        <v>39485</v>
      </c>
      <c r="X7105" t="s">
        <v>42682</v>
      </c>
    </row>
    <row r="7106" spans="1:24">
      <c r="A7106">
        <f>HYPERLINK("https://www.philgeps.gov.ph/GEPSNONPILOT/Tender/SplashBidNoticeAbstractUI.aspx?menuIndex=3&amp;refID=7179355&amp;Result=3","7179355")</f>
        <v>0</v>
      </c>
      <c r="B7106" t="s">
        <v>120</v>
      </c>
      <c r="C7106" t="s">
        <v>10315</v>
      </c>
      <c r="D7106" t="s">
        <v>17172</v>
      </c>
      <c r="E7106" t="s">
        <v>23391</v>
      </c>
      <c r="F7106" t="s">
        <v>29372</v>
      </c>
      <c r="G7106" t="s">
        <v>29380</v>
      </c>
      <c r="H7106" t="s">
        <v>11048</v>
      </c>
      <c r="I7106" t="s">
        <v>29394</v>
      </c>
      <c r="J7106" t="s">
        <v>30308</v>
      </c>
      <c r="K7106" t="s">
        <v>38487</v>
      </c>
      <c r="M7106" t="s">
        <v>38875</v>
      </c>
      <c r="N7106" t="s">
        <v>42669</v>
      </c>
      <c r="O7106" t="s">
        <v>42670</v>
      </c>
      <c r="P7106">
        <v>0</v>
      </c>
      <c r="Q7106">
        <v>3</v>
      </c>
      <c r="R7106" t="s">
        <v>42678</v>
      </c>
      <c r="S7106" t="s">
        <v>42866</v>
      </c>
      <c r="T7106" t="s">
        <v>44410</v>
      </c>
      <c r="U7106" t="s">
        <v>50620</v>
      </c>
      <c r="W7106" t="s">
        <v>38875</v>
      </c>
      <c r="X7106" t="s">
        <v>42682</v>
      </c>
    </row>
    <row r="7107" spans="1:24">
      <c r="A7107">
        <f>HYPERLINK("https://www.philgeps.gov.ph/GEPSNONPILOT/Tender/SplashBidNoticeAbstractUI.aspx?menuIndex=3&amp;refID=7179038&amp;Result=3","7179038")</f>
        <v>0</v>
      </c>
      <c r="B7107" t="s">
        <v>1937</v>
      </c>
      <c r="C7107" t="s">
        <v>10316</v>
      </c>
      <c r="D7107" t="s">
        <v>17171</v>
      </c>
      <c r="E7107" t="s">
        <v>23392</v>
      </c>
      <c r="F7107" t="s">
        <v>29373</v>
      </c>
      <c r="G7107" t="s">
        <v>29383</v>
      </c>
      <c r="H7107" t="s">
        <v>11048</v>
      </c>
      <c r="I7107" t="s">
        <v>29398</v>
      </c>
      <c r="J7107" t="s">
        <v>30540</v>
      </c>
      <c r="K7107" t="s">
        <v>38488</v>
      </c>
      <c r="M7107" t="s">
        <v>40817</v>
      </c>
      <c r="N7107" t="s">
        <v>42669</v>
      </c>
      <c r="O7107" t="s">
        <v>42670</v>
      </c>
      <c r="P7107">
        <v>0</v>
      </c>
      <c r="Q7107">
        <v>9</v>
      </c>
      <c r="R7107" t="s">
        <v>42678</v>
      </c>
      <c r="S7107" t="s">
        <v>42866</v>
      </c>
      <c r="T7107" t="s">
        <v>44489</v>
      </c>
      <c r="U7107" t="s">
        <v>50621</v>
      </c>
      <c r="V7107" t="s">
        <v>57144</v>
      </c>
      <c r="W7107" t="s">
        <v>40817</v>
      </c>
      <c r="X7107" t="s">
        <v>42682</v>
      </c>
    </row>
    <row r="7108" spans="1:24">
      <c r="A7108">
        <f>HYPERLINK("https://www.philgeps.gov.ph/GEPSNONPILOT/Tender/SplashBidNoticeAbstractUI.aspx?menuIndex=3&amp;refID=7179710&amp;Result=3","7179710")</f>
        <v>0</v>
      </c>
      <c r="B7108" t="s">
        <v>168</v>
      </c>
      <c r="C7108" t="s">
        <v>10317</v>
      </c>
      <c r="E7108" t="s">
        <v>23393</v>
      </c>
      <c r="F7108" t="s">
        <v>29372</v>
      </c>
      <c r="G7108" t="s">
        <v>29380</v>
      </c>
      <c r="H7108" t="s">
        <v>29389</v>
      </c>
      <c r="I7108" t="s">
        <v>10408</v>
      </c>
      <c r="J7108" t="s">
        <v>34110</v>
      </c>
      <c r="K7108" t="s">
        <v>38547</v>
      </c>
      <c r="M7108" t="s">
        <v>38925</v>
      </c>
      <c r="N7108" t="s">
        <v>42669</v>
      </c>
      <c r="O7108" t="s">
        <v>42670</v>
      </c>
      <c r="P7108">
        <v>0</v>
      </c>
      <c r="Q7108">
        <v>2</v>
      </c>
      <c r="R7108" t="s">
        <v>42678</v>
      </c>
      <c r="S7108" t="s">
        <v>42866</v>
      </c>
      <c r="T7108" t="s">
        <v>44474</v>
      </c>
      <c r="U7108" t="s">
        <v>50616</v>
      </c>
      <c r="W7108" t="s">
        <v>38925</v>
      </c>
      <c r="X7108" t="s">
        <v>42682</v>
      </c>
    </row>
    <row r="7109" spans="1:24">
      <c r="A7109">
        <f>HYPERLINK("https://www.philgeps.gov.ph/GEPSNONPILOT/Tender/SplashBidNoticeAbstractUI.aspx?menuIndex=3&amp;refID=7178987&amp;Result=3","7178987")</f>
        <v>0</v>
      </c>
      <c r="B7109" t="s">
        <v>275</v>
      </c>
      <c r="C7109" t="s">
        <v>10318</v>
      </c>
      <c r="D7109" t="s">
        <v>17180</v>
      </c>
      <c r="E7109" t="s">
        <v>23394</v>
      </c>
      <c r="F7109" t="s">
        <v>29372</v>
      </c>
      <c r="G7109" t="s">
        <v>29380</v>
      </c>
      <c r="H7109" t="s">
        <v>29389</v>
      </c>
      <c r="I7109" t="s">
        <v>10408</v>
      </c>
      <c r="J7109" t="s">
        <v>34111</v>
      </c>
      <c r="K7109" t="s">
        <v>38615</v>
      </c>
      <c r="M7109" t="s">
        <v>41239</v>
      </c>
      <c r="N7109" t="s">
        <v>42669</v>
      </c>
      <c r="O7109" t="s">
        <v>42670</v>
      </c>
      <c r="P7109">
        <v>0</v>
      </c>
      <c r="Q7109">
        <v>18</v>
      </c>
      <c r="R7109" t="s">
        <v>42678</v>
      </c>
      <c r="S7109" t="s">
        <v>42866</v>
      </c>
      <c r="T7109" t="s">
        <v>44355</v>
      </c>
      <c r="U7109" t="s">
        <v>50622</v>
      </c>
      <c r="V7109" t="s">
        <v>57145</v>
      </c>
      <c r="W7109" t="s">
        <v>41239</v>
      </c>
      <c r="X7109" t="s">
        <v>42682</v>
      </c>
    </row>
    <row r="7110" spans="1:24">
      <c r="A7110">
        <f>HYPERLINK("https://www.philgeps.gov.ph/GEPSNONPILOT/Tender/SplashBidNoticeAbstractUI.aspx?menuIndex=3&amp;refID=7179462&amp;Result=3","7179462")</f>
        <v>0</v>
      </c>
      <c r="B7110" t="s">
        <v>712</v>
      </c>
      <c r="C7110" t="s">
        <v>10319</v>
      </c>
      <c r="D7110" t="s">
        <v>17175</v>
      </c>
      <c r="E7110" t="s">
        <v>23395</v>
      </c>
      <c r="F7110" t="s">
        <v>29372</v>
      </c>
      <c r="G7110" t="s">
        <v>29380</v>
      </c>
      <c r="H7110" t="s">
        <v>11048</v>
      </c>
      <c r="I7110" t="s">
        <v>10408</v>
      </c>
      <c r="J7110" t="s">
        <v>34112</v>
      </c>
      <c r="K7110" t="s">
        <v>38510</v>
      </c>
      <c r="M7110" t="s">
        <v>39491</v>
      </c>
      <c r="N7110" t="s">
        <v>42669</v>
      </c>
      <c r="O7110" t="s">
        <v>42670</v>
      </c>
      <c r="P7110">
        <v>0</v>
      </c>
      <c r="Q7110">
        <v>0</v>
      </c>
      <c r="R7110" t="s">
        <v>42678</v>
      </c>
      <c r="S7110" t="s">
        <v>42866</v>
      </c>
      <c r="T7110" t="s">
        <v>44488</v>
      </c>
      <c r="U7110" t="s">
        <v>50623</v>
      </c>
      <c r="V7110" t="s">
        <v>56538</v>
      </c>
      <c r="W7110" t="s">
        <v>39491</v>
      </c>
      <c r="X7110" t="s">
        <v>42682</v>
      </c>
    </row>
    <row r="7111" spans="1:24">
      <c r="A7111">
        <f>HYPERLINK("https://www.philgeps.gov.ph/GEPSNONPILOT/Tender/SplashBidNoticeAbstractUI.aspx?menuIndex=3&amp;refID=7179676&amp;Result=3","7179676")</f>
        <v>0</v>
      </c>
      <c r="B7111" t="s">
        <v>168</v>
      </c>
      <c r="C7111" t="s">
        <v>10320</v>
      </c>
      <c r="E7111" t="s">
        <v>23396</v>
      </c>
      <c r="F7111" t="s">
        <v>29372</v>
      </c>
      <c r="G7111" t="s">
        <v>29380</v>
      </c>
      <c r="H7111" t="s">
        <v>29389</v>
      </c>
      <c r="I7111" t="s">
        <v>10408</v>
      </c>
      <c r="J7111" t="s">
        <v>34113</v>
      </c>
      <c r="K7111" t="s">
        <v>38614</v>
      </c>
      <c r="M7111" t="s">
        <v>38925</v>
      </c>
      <c r="N7111" t="s">
        <v>42669</v>
      </c>
      <c r="O7111" t="s">
        <v>42670</v>
      </c>
      <c r="P7111">
        <v>0</v>
      </c>
      <c r="Q7111">
        <v>2</v>
      </c>
      <c r="R7111" t="s">
        <v>42678</v>
      </c>
      <c r="S7111" t="s">
        <v>42866</v>
      </c>
      <c r="T7111" t="s">
        <v>44474</v>
      </c>
      <c r="U7111" t="s">
        <v>50616</v>
      </c>
      <c r="W7111" t="s">
        <v>38925</v>
      </c>
      <c r="X7111" t="s">
        <v>42682</v>
      </c>
    </row>
    <row r="7112" spans="1:24">
      <c r="A7112">
        <f>HYPERLINK("https://www.philgeps.gov.ph/GEPSNONPILOT/Tender/SplashBidNoticeAbstractUI.aspx?menuIndex=3&amp;refID=7178836&amp;Result=3","7178836")</f>
        <v>0</v>
      </c>
      <c r="B7112" t="s">
        <v>35</v>
      </c>
      <c r="C7112" t="s">
        <v>10321</v>
      </c>
      <c r="D7112" t="s">
        <v>17149</v>
      </c>
      <c r="E7112" t="s">
        <v>23382</v>
      </c>
      <c r="F7112" t="s">
        <v>29372</v>
      </c>
      <c r="G7112" t="s">
        <v>29380</v>
      </c>
      <c r="H7112" t="s">
        <v>11048</v>
      </c>
      <c r="I7112" t="s">
        <v>29432</v>
      </c>
      <c r="J7112" t="s">
        <v>34114</v>
      </c>
      <c r="K7112" t="s">
        <v>38490</v>
      </c>
      <c r="M7112" t="s">
        <v>41135</v>
      </c>
      <c r="N7112" t="s">
        <v>42669</v>
      </c>
      <c r="O7112" t="s">
        <v>42670</v>
      </c>
      <c r="P7112">
        <v>0</v>
      </c>
      <c r="Q7112">
        <v>0</v>
      </c>
      <c r="R7112" t="s">
        <v>42678</v>
      </c>
      <c r="S7112" t="s">
        <v>42866</v>
      </c>
      <c r="T7112" t="s">
        <v>44570</v>
      </c>
      <c r="U7112" t="s">
        <v>50624</v>
      </c>
      <c r="W7112" t="s">
        <v>58072</v>
      </c>
      <c r="X7112" t="s">
        <v>42682</v>
      </c>
    </row>
    <row r="7113" spans="1:24">
      <c r="A7113">
        <f>HYPERLINK("https://www.philgeps.gov.ph/GEPSNONPILOT/Tender/SplashBidNoticeAbstractUI.aspx?menuIndex=3&amp;refID=7178925&amp;Result=3","7178925")</f>
        <v>0</v>
      </c>
      <c r="B7113" t="s">
        <v>2310</v>
      </c>
      <c r="C7113" t="s">
        <v>10322</v>
      </c>
      <c r="D7113" t="s">
        <v>17178</v>
      </c>
      <c r="E7113" t="s">
        <v>23397</v>
      </c>
      <c r="F7113" t="s">
        <v>29372</v>
      </c>
      <c r="G7113" t="s">
        <v>29380</v>
      </c>
      <c r="H7113" t="s">
        <v>11048</v>
      </c>
      <c r="I7113" t="s">
        <v>29412</v>
      </c>
      <c r="J7113" t="s">
        <v>34115</v>
      </c>
      <c r="K7113" t="s">
        <v>38485</v>
      </c>
      <c r="M7113" t="s">
        <v>41240</v>
      </c>
      <c r="N7113" t="s">
        <v>42669</v>
      </c>
      <c r="O7113" t="s">
        <v>42670</v>
      </c>
      <c r="P7113">
        <v>0</v>
      </c>
      <c r="Q7113">
        <v>6</v>
      </c>
      <c r="R7113" t="s">
        <v>42678</v>
      </c>
      <c r="S7113" t="s">
        <v>42866</v>
      </c>
      <c r="T7113" t="s">
        <v>44517</v>
      </c>
      <c r="U7113" t="s">
        <v>50625</v>
      </c>
      <c r="W7113" t="s">
        <v>41240</v>
      </c>
      <c r="X7113" t="s">
        <v>42682</v>
      </c>
    </row>
    <row r="7114" spans="1:24">
      <c r="A7114">
        <f>HYPERLINK("https://www.philgeps.gov.ph/GEPSNONPILOT/Tender/SplashBidNoticeAbstractUI.aspx?menuIndex=3&amp;refID=7179411&amp;Result=3","7179411")</f>
        <v>0</v>
      </c>
      <c r="B7114" t="s">
        <v>2020</v>
      </c>
      <c r="C7114" t="s">
        <v>10323</v>
      </c>
      <c r="D7114" t="s">
        <v>17177</v>
      </c>
      <c r="E7114" t="s">
        <v>23398</v>
      </c>
      <c r="F7114" t="s">
        <v>29372</v>
      </c>
      <c r="G7114" t="s">
        <v>29380</v>
      </c>
      <c r="H7114" t="s">
        <v>29389</v>
      </c>
      <c r="I7114" t="s">
        <v>10408</v>
      </c>
      <c r="J7114" t="s">
        <v>34116</v>
      </c>
      <c r="K7114" t="s">
        <v>38509</v>
      </c>
      <c r="M7114" t="s">
        <v>41241</v>
      </c>
      <c r="N7114" t="s">
        <v>42669</v>
      </c>
      <c r="O7114" t="s">
        <v>42670</v>
      </c>
      <c r="P7114">
        <v>0</v>
      </c>
      <c r="Q7114">
        <v>0</v>
      </c>
      <c r="R7114" t="s">
        <v>42678</v>
      </c>
      <c r="S7114" t="s">
        <v>42866</v>
      </c>
      <c r="T7114" t="s">
        <v>44363</v>
      </c>
      <c r="U7114" t="s">
        <v>50626</v>
      </c>
      <c r="V7114" t="s">
        <v>57146</v>
      </c>
      <c r="W7114" t="s">
        <v>41241</v>
      </c>
      <c r="X7114" t="s">
        <v>42682</v>
      </c>
    </row>
    <row r="7115" spans="1:24">
      <c r="A7115">
        <f>HYPERLINK("https://www.philgeps.gov.ph/GEPSNONPILOT/Tender/SplashBidNoticeAbstractUI.aspx?menuIndex=3&amp;refID=7180236&amp;Result=3","7180236")</f>
        <v>0</v>
      </c>
      <c r="B7115" t="s">
        <v>2311</v>
      </c>
      <c r="C7115" t="s">
        <v>10324</v>
      </c>
      <c r="D7115" t="s">
        <v>17191</v>
      </c>
      <c r="E7115" t="s">
        <v>23399</v>
      </c>
      <c r="F7115" t="s">
        <v>29372</v>
      </c>
      <c r="G7115" t="s">
        <v>29380</v>
      </c>
      <c r="H7115" t="s">
        <v>11048</v>
      </c>
      <c r="I7115" t="s">
        <v>29410</v>
      </c>
      <c r="J7115" t="s">
        <v>34117</v>
      </c>
      <c r="K7115" t="s">
        <v>38485</v>
      </c>
      <c r="M7115" t="s">
        <v>41242</v>
      </c>
      <c r="N7115" t="s">
        <v>42669</v>
      </c>
      <c r="O7115" t="s">
        <v>42670</v>
      </c>
      <c r="Q7115">
        <v>0</v>
      </c>
      <c r="R7115" t="s">
        <v>42678</v>
      </c>
      <c r="S7115" t="s">
        <v>42874</v>
      </c>
      <c r="T7115" t="s">
        <v>44475</v>
      </c>
      <c r="U7115" t="s">
        <v>50627</v>
      </c>
      <c r="V7115" t="s">
        <v>57147</v>
      </c>
      <c r="W7115" t="s">
        <v>41242</v>
      </c>
      <c r="X7115" t="s">
        <v>42681</v>
      </c>
    </row>
    <row r="7116" spans="1:24">
      <c r="A7116">
        <f>HYPERLINK("https://www.philgeps.gov.ph/GEPSNONPILOT/Tender/SplashBidNoticeAbstractUI.aspx?menuIndex=3&amp;refID=7180238&amp;Result=3","7180238")</f>
        <v>0</v>
      </c>
      <c r="B7116" t="s">
        <v>2312</v>
      </c>
      <c r="C7116" t="s">
        <v>10325</v>
      </c>
      <c r="D7116" t="s">
        <v>17177</v>
      </c>
      <c r="E7116" t="s">
        <v>23400</v>
      </c>
      <c r="F7116" t="s">
        <v>29372</v>
      </c>
      <c r="G7116" t="s">
        <v>29380</v>
      </c>
      <c r="H7116" t="s">
        <v>29389</v>
      </c>
      <c r="I7116" t="s">
        <v>10408</v>
      </c>
      <c r="J7116" t="s">
        <v>34118</v>
      </c>
      <c r="K7116" t="s">
        <v>38514</v>
      </c>
      <c r="M7116" t="s">
        <v>41243</v>
      </c>
      <c r="N7116" t="s">
        <v>42669</v>
      </c>
      <c r="O7116" t="s">
        <v>42670</v>
      </c>
      <c r="P7116">
        <v>0</v>
      </c>
      <c r="Q7116">
        <v>4</v>
      </c>
      <c r="R7116" t="s">
        <v>42678</v>
      </c>
      <c r="S7116" t="s">
        <v>42866</v>
      </c>
      <c r="T7116" t="s">
        <v>44452</v>
      </c>
      <c r="U7116" t="s">
        <v>50628</v>
      </c>
      <c r="W7116" t="s">
        <v>41243</v>
      </c>
      <c r="X7116" t="s">
        <v>42681</v>
      </c>
    </row>
    <row r="7117" spans="1:24">
      <c r="A7117">
        <f>HYPERLINK("https://www.philgeps.gov.ph/GEPSNONPILOT/Tender/SplashBidNoticeAbstractUI.aspx?menuIndex=3&amp;refID=7178857&amp;Result=3","7178857")</f>
        <v>0</v>
      </c>
      <c r="B7117" t="s">
        <v>2313</v>
      </c>
      <c r="C7117" t="s">
        <v>10326</v>
      </c>
      <c r="D7117" t="s">
        <v>17171</v>
      </c>
      <c r="E7117" t="s">
        <v>23401</v>
      </c>
      <c r="F7117" t="s">
        <v>29372</v>
      </c>
      <c r="G7117" t="s">
        <v>29380</v>
      </c>
      <c r="H7117" t="s">
        <v>11048</v>
      </c>
      <c r="I7117" t="s">
        <v>29454</v>
      </c>
      <c r="J7117" t="s">
        <v>34119</v>
      </c>
      <c r="K7117" t="s">
        <v>38485</v>
      </c>
      <c r="M7117" t="s">
        <v>41244</v>
      </c>
      <c r="N7117" t="s">
        <v>42669</v>
      </c>
      <c r="O7117" t="s">
        <v>42670</v>
      </c>
      <c r="P7117">
        <v>0</v>
      </c>
      <c r="Q7117">
        <v>9</v>
      </c>
      <c r="R7117" t="s">
        <v>42678</v>
      </c>
      <c r="S7117" t="s">
        <v>42866</v>
      </c>
      <c r="T7117" t="s">
        <v>44368</v>
      </c>
      <c r="U7117" t="s">
        <v>50629</v>
      </c>
      <c r="V7117" t="s">
        <v>57148</v>
      </c>
      <c r="W7117" t="s">
        <v>41244</v>
      </c>
      <c r="X7117" t="s">
        <v>42682</v>
      </c>
    </row>
    <row r="7118" spans="1:24">
      <c r="A7118">
        <f>HYPERLINK("https://www.philgeps.gov.ph/GEPSNONPILOT/Tender/SplashBidNoticeAbstractUI.aspx?menuIndex=3&amp;refID=7180230&amp;Result=3","7180230")</f>
        <v>0</v>
      </c>
      <c r="B7118" t="s">
        <v>2311</v>
      </c>
      <c r="C7118" t="s">
        <v>10327</v>
      </c>
      <c r="D7118" t="s">
        <v>17191</v>
      </c>
      <c r="E7118" t="s">
        <v>23402</v>
      </c>
      <c r="F7118" t="s">
        <v>29372</v>
      </c>
      <c r="G7118" t="s">
        <v>29380</v>
      </c>
      <c r="H7118" t="s">
        <v>11048</v>
      </c>
      <c r="I7118" t="s">
        <v>29404</v>
      </c>
      <c r="J7118" t="s">
        <v>29657</v>
      </c>
      <c r="K7118" t="s">
        <v>38485</v>
      </c>
      <c r="M7118" t="s">
        <v>41242</v>
      </c>
      <c r="N7118" t="s">
        <v>42669</v>
      </c>
      <c r="O7118" t="s">
        <v>42670</v>
      </c>
      <c r="Q7118">
        <v>0</v>
      </c>
      <c r="R7118" t="s">
        <v>42678</v>
      </c>
      <c r="S7118" t="s">
        <v>42875</v>
      </c>
      <c r="T7118" t="s">
        <v>44475</v>
      </c>
      <c r="U7118" t="s">
        <v>50630</v>
      </c>
      <c r="V7118" t="s">
        <v>57149</v>
      </c>
      <c r="W7118" t="s">
        <v>41242</v>
      </c>
      <c r="X7118" t="s">
        <v>42681</v>
      </c>
    </row>
    <row r="7119" spans="1:24">
      <c r="A7119">
        <f>HYPERLINK("https://www.philgeps.gov.ph/GEPSNONPILOT/Tender/SplashBidNoticeAbstractUI.aspx?menuIndex=3&amp;refID=7178811&amp;Result=3","7178811")</f>
        <v>0</v>
      </c>
      <c r="B7119" t="s">
        <v>35</v>
      </c>
      <c r="C7119" t="s">
        <v>10328</v>
      </c>
      <c r="D7119" t="s">
        <v>17149</v>
      </c>
      <c r="E7119" t="s">
        <v>23403</v>
      </c>
      <c r="F7119" t="s">
        <v>29372</v>
      </c>
      <c r="G7119" t="s">
        <v>29380</v>
      </c>
      <c r="H7119" t="s">
        <v>11048</v>
      </c>
      <c r="I7119" t="s">
        <v>3670</v>
      </c>
      <c r="J7119" t="s">
        <v>34120</v>
      </c>
      <c r="K7119" t="s">
        <v>38490</v>
      </c>
      <c r="M7119" t="s">
        <v>41135</v>
      </c>
      <c r="N7119" t="s">
        <v>42669</v>
      </c>
      <c r="O7119" t="s">
        <v>42670</v>
      </c>
      <c r="P7119">
        <v>0</v>
      </c>
      <c r="Q7119">
        <v>0</v>
      </c>
      <c r="R7119" t="s">
        <v>42678</v>
      </c>
      <c r="S7119" t="s">
        <v>42866</v>
      </c>
      <c r="T7119" t="s">
        <v>44570</v>
      </c>
      <c r="U7119" t="s">
        <v>50631</v>
      </c>
      <c r="W7119" t="s">
        <v>58072</v>
      </c>
      <c r="X7119" t="s">
        <v>42682</v>
      </c>
    </row>
    <row r="7120" spans="1:24">
      <c r="A7120">
        <f>HYPERLINK("https://www.philgeps.gov.ph/GEPSNONPILOT/Tender/SplashBidNoticeAbstractUI.aspx?menuIndex=3&amp;refID=7180101&amp;Result=3","7180101")</f>
        <v>0</v>
      </c>
      <c r="B7120" t="s">
        <v>2314</v>
      </c>
      <c r="C7120" t="s">
        <v>10329</v>
      </c>
      <c r="D7120" t="s">
        <v>17142</v>
      </c>
      <c r="E7120" t="s">
        <v>23404</v>
      </c>
      <c r="F7120" t="s">
        <v>29372</v>
      </c>
      <c r="G7120" t="s">
        <v>29380</v>
      </c>
      <c r="H7120" t="s">
        <v>11048</v>
      </c>
      <c r="I7120" t="s">
        <v>29476</v>
      </c>
      <c r="J7120" t="s">
        <v>34121</v>
      </c>
      <c r="K7120" t="s">
        <v>38485</v>
      </c>
      <c r="M7120" t="s">
        <v>41245</v>
      </c>
      <c r="N7120" t="s">
        <v>42669</v>
      </c>
      <c r="O7120" t="s">
        <v>42670</v>
      </c>
      <c r="P7120">
        <v>0</v>
      </c>
      <c r="Q7120">
        <v>3</v>
      </c>
      <c r="R7120" t="s">
        <v>42678</v>
      </c>
      <c r="S7120" t="s">
        <v>42866</v>
      </c>
      <c r="T7120" t="s">
        <v>44357</v>
      </c>
      <c r="U7120" t="s">
        <v>50632</v>
      </c>
      <c r="W7120" t="s">
        <v>41245</v>
      </c>
      <c r="X7120" t="s">
        <v>42681</v>
      </c>
    </row>
    <row r="7121" spans="1:24">
      <c r="A7121">
        <f>HYPERLINK("https://www.philgeps.gov.ph/GEPSNONPILOT/Tender/SplashBidNoticeAbstractUI.aspx?menuIndex=3&amp;refID=7180027&amp;Result=3","7180027")</f>
        <v>0</v>
      </c>
      <c r="B7121" t="s">
        <v>2307</v>
      </c>
      <c r="C7121" t="s">
        <v>10330</v>
      </c>
      <c r="D7121" t="s">
        <v>17151</v>
      </c>
      <c r="E7121" t="s">
        <v>23405</v>
      </c>
      <c r="F7121" t="s">
        <v>29372</v>
      </c>
      <c r="G7121" t="s">
        <v>29380</v>
      </c>
      <c r="H7121" t="s">
        <v>11048</v>
      </c>
      <c r="I7121" t="s">
        <v>4709</v>
      </c>
      <c r="J7121" t="s">
        <v>34122</v>
      </c>
      <c r="K7121" t="s">
        <v>38488</v>
      </c>
      <c r="M7121" t="s">
        <v>41236</v>
      </c>
      <c r="N7121" t="s">
        <v>42669</v>
      </c>
      <c r="O7121" t="s">
        <v>42670</v>
      </c>
      <c r="P7121">
        <v>0</v>
      </c>
      <c r="Q7121">
        <v>1</v>
      </c>
      <c r="R7121" t="s">
        <v>42678</v>
      </c>
      <c r="S7121" t="s">
        <v>42866</v>
      </c>
      <c r="T7121" t="s">
        <v>44368</v>
      </c>
      <c r="U7121" t="s">
        <v>50633</v>
      </c>
      <c r="V7121" t="s">
        <v>57150</v>
      </c>
      <c r="W7121" t="s">
        <v>41236</v>
      </c>
      <c r="X7121" t="s">
        <v>42682</v>
      </c>
    </row>
    <row r="7122" spans="1:24">
      <c r="A7122">
        <f>HYPERLINK("https://www.philgeps.gov.ph/GEPSNONPILOT/Tender/SplashBidNoticeAbstractUI.aspx?menuIndex=3&amp;refID=7178928&amp;Result=3","7178928")</f>
        <v>0</v>
      </c>
      <c r="B7122" t="s">
        <v>2315</v>
      </c>
      <c r="C7122" t="s">
        <v>10331</v>
      </c>
      <c r="D7122" t="s">
        <v>17159</v>
      </c>
      <c r="E7122" t="s">
        <v>23406</v>
      </c>
      <c r="F7122" t="s">
        <v>29376</v>
      </c>
      <c r="G7122" t="s">
        <v>29383</v>
      </c>
      <c r="H7122" t="s">
        <v>11048</v>
      </c>
      <c r="I7122" t="s">
        <v>29404</v>
      </c>
      <c r="J7122" t="s">
        <v>31013</v>
      </c>
      <c r="K7122" t="s">
        <v>38496</v>
      </c>
      <c r="M7122" t="s">
        <v>41246</v>
      </c>
      <c r="N7122" t="s">
        <v>42669</v>
      </c>
      <c r="O7122" t="s">
        <v>42670</v>
      </c>
      <c r="P7122">
        <v>0</v>
      </c>
      <c r="Q7122">
        <v>4</v>
      </c>
      <c r="R7122" t="s">
        <v>42678</v>
      </c>
      <c r="S7122" t="s">
        <v>42866</v>
      </c>
      <c r="T7122" t="s">
        <v>44491</v>
      </c>
      <c r="U7122" t="s">
        <v>50634</v>
      </c>
      <c r="W7122" t="s">
        <v>41246</v>
      </c>
      <c r="X7122" t="s">
        <v>42682</v>
      </c>
    </row>
    <row r="7123" spans="1:24">
      <c r="A7123">
        <f>HYPERLINK("https://www.philgeps.gov.ph/GEPSNONPILOT/Tender/SplashBidNoticeAbstractUI.aspx?menuIndex=3&amp;refID=7180019&amp;Result=3","7180019")</f>
        <v>0</v>
      </c>
      <c r="B7123" t="s">
        <v>2307</v>
      </c>
      <c r="C7123" t="s">
        <v>10332</v>
      </c>
      <c r="D7123" t="s">
        <v>17151</v>
      </c>
      <c r="E7123" t="s">
        <v>23407</v>
      </c>
      <c r="F7123" t="s">
        <v>29372</v>
      </c>
      <c r="G7123" t="s">
        <v>29380</v>
      </c>
      <c r="H7123" t="s">
        <v>11048</v>
      </c>
      <c r="I7123" t="s">
        <v>4709</v>
      </c>
      <c r="J7123" t="s">
        <v>34123</v>
      </c>
      <c r="K7123" t="s">
        <v>38488</v>
      </c>
      <c r="M7123" t="s">
        <v>41236</v>
      </c>
      <c r="N7123" t="s">
        <v>42669</v>
      </c>
      <c r="O7123" t="s">
        <v>42670</v>
      </c>
      <c r="P7123">
        <v>0</v>
      </c>
      <c r="Q7123">
        <v>1</v>
      </c>
      <c r="R7123" t="s">
        <v>42678</v>
      </c>
      <c r="S7123" t="s">
        <v>42866</v>
      </c>
      <c r="T7123" t="s">
        <v>44368</v>
      </c>
      <c r="U7123" t="s">
        <v>50635</v>
      </c>
      <c r="V7123" t="s">
        <v>57150</v>
      </c>
      <c r="W7123" t="s">
        <v>41236</v>
      </c>
      <c r="X7123" t="s">
        <v>42682</v>
      </c>
    </row>
    <row r="7124" spans="1:24">
      <c r="A7124">
        <f>HYPERLINK("https://www.philgeps.gov.ph/GEPSNONPILOT/Tender/SplashBidNoticeAbstractUI.aspx?menuIndex=3&amp;refID=7180009&amp;Result=3","7180009")</f>
        <v>0</v>
      </c>
      <c r="B7124" t="s">
        <v>2307</v>
      </c>
      <c r="C7124" t="s">
        <v>10333</v>
      </c>
      <c r="D7124" t="s">
        <v>17151</v>
      </c>
      <c r="E7124" t="s">
        <v>23408</v>
      </c>
      <c r="F7124" t="s">
        <v>29372</v>
      </c>
      <c r="G7124" t="s">
        <v>29380</v>
      </c>
      <c r="H7124" t="s">
        <v>11048</v>
      </c>
      <c r="I7124" t="s">
        <v>29405</v>
      </c>
      <c r="J7124" t="s">
        <v>34124</v>
      </c>
      <c r="K7124" t="s">
        <v>38488</v>
      </c>
      <c r="M7124" t="s">
        <v>41236</v>
      </c>
      <c r="N7124" t="s">
        <v>42669</v>
      </c>
      <c r="O7124" t="s">
        <v>42670</v>
      </c>
      <c r="P7124">
        <v>0</v>
      </c>
      <c r="Q7124">
        <v>5</v>
      </c>
      <c r="R7124" t="s">
        <v>42678</v>
      </c>
      <c r="S7124" t="s">
        <v>42866</v>
      </c>
      <c r="T7124" t="s">
        <v>44368</v>
      </c>
      <c r="U7124" t="s">
        <v>50636</v>
      </c>
      <c r="V7124" t="s">
        <v>57151</v>
      </c>
      <c r="W7124" t="s">
        <v>41236</v>
      </c>
      <c r="X7124" t="s">
        <v>42682</v>
      </c>
    </row>
    <row r="7125" spans="1:24">
      <c r="A7125">
        <f>HYPERLINK("https://www.philgeps.gov.ph/GEPSNONPILOT/Tender/SplashBidNoticeAbstractUI.aspx?menuIndex=3&amp;refID=7180762&amp;Result=3","7180762")</f>
        <v>0</v>
      </c>
      <c r="B7125" t="s">
        <v>983</v>
      </c>
      <c r="C7125" t="s">
        <v>10334</v>
      </c>
      <c r="D7125" t="s">
        <v>17189</v>
      </c>
      <c r="E7125" t="s">
        <v>23409</v>
      </c>
      <c r="F7125" t="s">
        <v>29372</v>
      </c>
      <c r="G7125" t="s">
        <v>29380</v>
      </c>
      <c r="H7125" t="s">
        <v>11048</v>
      </c>
      <c r="I7125" t="s">
        <v>29394</v>
      </c>
      <c r="J7125" t="s">
        <v>34125</v>
      </c>
      <c r="K7125" t="s">
        <v>38515</v>
      </c>
      <c r="M7125" t="s">
        <v>39781</v>
      </c>
      <c r="N7125" t="s">
        <v>42669</v>
      </c>
      <c r="O7125" t="s">
        <v>42670</v>
      </c>
      <c r="P7125">
        <v>0</v>
      </c>
      <c r="Q7125">
        <v>2</v>
      </c>
      <c r="R7125" t="s">
        <v>42678</v>
      </c>
      <c r="S7125" t="s">
        <v>42866</v>
      </c>
      <c r="T7125" t="s">
        <v>44744</v>
      </c>
      <c r="U7125" t="s">
        <v>50637</v>
      </c>
      <c r="V7125" t="s">
        <v>57152</v>
      </c>
      <c r="W7125" t="s">
        <v>39781</v>
      </c>
      <c r="X7125" t="s">
        <v>42680</v>
      </c>
    </row>
    <row r="7126" spans="1:24">
      <c r="A7126">
        <f>HYPERLINK("https://www.philgeps.gov.ph/GEPSNONPILOT/Tender/SplashBidNoticeAbstractUI.aspx?menuIndex=3&amp;refID=7180261&amp;Result=3","7180261")</f>
        <v>0</v>
      </c>
      <c r="B7126" t="s">
        <v>2312</v>
      </c>
      <c r="C7126" t="s">
        <v>10335</v>
      </c>
      <c r="D7126" t="s">
        <v>17177</v>
      </c>
      <c r="E7126" t="s">
        <v>23410</v>
      </c>
      <c r="F7126" t="s">
        <v>29372</v>
      </c>
      <c r="G7126" t="s">
        <v>29380</v>
      </c>
      <c r="H7126" t="s">
        <v>29389</v>
      </c>
      <c r="I7126" t="s">
        <v>10408</v>
      </c>
      <c r="J7126" t="s">
        <v>34126</v>
      </c>
      <c r="K7126" t="s">
        <v>38496</v>
      </c>
      <c r="M7126" t="s">
        <v>41243</v>
      </c>
      <c r="N7126" t="s">
        <v>42669</v>
      </c>
      <c r="O7126" t="s">
        <v>42670</v>
      </c>
      <c r="P7126">
        <v>0</v>
      </c>
      <c r="Q7126">
        <v>4</v>
      </c>
      <c r="R7126" t="s">
        <v>42678</v>
      </c>
      <c r="S7126" t="s">
        <v>42866</v>
      </c>
      <c r="T7126" t="s">
        <v>44452</v>
      </c>
      <c r="U7126" t="s">
        <v>50628</v>
      </c>
      <c r="W7126" t="s">
        <v>41243</v>
      </c>
      <c r="X7126" t="s">
        <v>42681</v>
      </c>
    </row>
    <row r="7127" spans="1:24">
      <c r="A7127">
        <f>HYPERLINK("https://www.philgeps.gov.ph/GEPSNONPILOT/Tender/SplashBidNoticeAbstractUI.aspx?menuIndex=3&amp;refID=7180845&amp;Result=3","7180845")</f>
        <v>0</v>
      </c>
      <c r="B7127" t="s">
        <v>2316</v>
      </c>
      <c r="C7127" t="s">
        <v>10336</v>
      </c>
      <c r="D7127" t="s">
        <v>17197</v>
      </c>
      <c r="E7127" t="s">
        <v>23411</v>
      </c>
      <c r="F7127" t="s">
        <v>29372</v>
      </c>
      <c r="G7127" t="s">
        <v>29379</v>
      </c>
      <c r="H7127" t="s">
        <v>11048</v>
      </c>
      <c r="I7127" t="s">
        <v>3597</v>
      </c>
      <c r="J7127" t="s">
        <v>34127</v>
      </c>
      <c r="K7127" t="s">
        <v>38488</v>
      </c>
      <c r="M7127" t="s">
        <v>41247</v>
      </c>
      <c r="N7127" t="s">
        <v>42669</v>
      </c>
      <c r="O7127" t="s">
        <v>42670</v>
      </c>
      <c r="P7127">
        <v>0</v>
      </c>
      <c r="Q7127">
        <v>1</v>
      </c>
      <c r="R7127" t="s">
        <v>42678</v>
      </c>
      <c r="S7127" t="s">
        <v>42866</v>
      </c>
      <c r="T7127" t="s">
        <v>44390</v>
      </c>
      <c r="U7127" t="s">
        <v>50638</v>
      </c>
      <c r="W7127" t="s">
        <v>41247</v>
      </c>
      <c r="X7127" t="s">
        <v>42679</v>
      </c>
    </row>
    <row r="7128" spans="1:24">
      <c r="A7128">
        <f>HYPERLINK("https://www.philgeps.gov.ph/GEPSNONPILOT/Tender/SplashBidNoticeAbstractUI.aspx?menuIndex=3&amp;refID=7180844&amp;Result=3","7180844")</f>
        <v>0</v>
      </c>
      <c r="B7128" t="s">
        <v>2316</v>
      </c>
      <c r="C7128" t="s">
        <v>10337</v>
      </c>
      <c r="D7128" t="s">
        <v>17197</v>
      </c>
      <c r="E7128" t="s">
        <v>23412</v>
      </c>
      <c r="F7128" t="s">
        <v>29372</v>
      </c>
      <c r="G7128" t="s">
        <v>29379</v>
      </c>
      <c r="H7128" t="s">
        <v>11048</v>
      </c>
      <c r="I7128" t="s">
        <v>3839</v>
      </c>
      <c r="J7128" t="s">
        <v>34128</v>
      </c>
      <c r="K7128" t="s">
        <v>38510</v>
      </c>
      <c r="M7128" t="s">
        <v>41247</v>
      </c>
      <c r="N7128" t="s">
        <v>42669</v>
      </c>
      <c r="O7128" t="s">
        <v>42670</v>
      </c>
      <c r="P7128">
        <v>0</v>
      </c>
      <c r="Q7128">
        <v>0</v>
      </c>
      <c r="R7128" t="s">
        <v>42678</v>
      </c>
      <c r="S7128" t="s">
        <v>42866</v>
      </c>
      <c r="T7128" t="s">
        <v>44389</v>
      </c>
      <c r="U7128" t="s">
        <v>50639</v>
      </c>
      <c r="W7128" t="s">
        <v>41247</v>
      </c>
      <c r="X7128" t="s">
        <v>42679</v>
      </c>
    </row>
    <row r="7129" spans="1:24">
      <c r="A7129">
        <f>HYPERLINK("https://www.philgeps.gov.ph/GEPSNONPILOT/Tender/SplashBidNoticeAbstractUI.aspx?menuIndex=3&amp;refID=7180055&amp;Result=3","7180055")</f>
        <v>0</v>
      </c>
      <c r="B7129" t="s">
        <v>2307</v>
      </c>
      <c r="C7129" t="s">
        <v>10338</v>
      </c>
      <c r="D7129" t="s">
        <v>17151</v>
      </c>
      <c r="E7129" t="s">
        <v>23413</v>
      </c>
      <c r="F7129" t="s">
        <v>29372</v>
      </c>
      <c r="G7129" t="s">
        <v>29380</v>
      </c>
      <c r="H7129" t="s">
        <v>11048</v>
      </c>
      <c r="I7129" t="s">
        <v>8614</v>
      </c>
      <c r="J7129" t="s">
        <v>30764</v>
      </c>
      <c r="K7129" t="s">
        <v>38488</v>
      </c>
      <c r="M7129" t="s">
        <v>41236</v>
      </c>
      <c r="N7129" t="s">
        <v>42669</v>
      </c>
      <c r="O7129" t="s">
        <v>42670</v>
      </c>
      <c r="P7129">
        <v>0</v>
      </c>
      <c r="Q7129">
        <v>3</v>
      </c>
      <c r="R7129" t="s">
        <v>42678</v>
      </c>
      <c r="S7129" t="s">
        <v>42866</v>
      </c>
      <c r="T7129" t="s">
        <v>44368</v>
      </c>
      <c r="U7129" t="s">
        <v>50640</v>
      </c>
      <c r="V7129" t="s">
        <v>57150</v>
      </c>
      <c r="W7129" t="s">
        <v>41236</v>
      </c>
      <c r="X7129" t="s">
        <v>42682</v>
      </c>
    </row>
    <row r="7130" spans="1:24">
      <c r="A7130">
        <f>HYPERLINK("https://www.philgeps.gov.ph/GEPSNONPILOT/Tender/SplashBidNoticeAbstractUI.aspx?menuIndex=3&amp;refID=7180837&amp;Result=3","7180837")</f>
        <v>0</v>
      </c>
      <c r="B7130" t="s">
        <v>1268</v>
      </c>
      <c r="C7130" t="s">
        <v>10339</v>
      </c>
      <c r="D7130" t="s">
        <v>17161</v>
      </c>
      <c r="E7130" t="s">
        <v>23414</v>
      </c>
      <c r="F7130" t="s">
        <v>29372</v>
      </c>
      <c r="G7130" t="s">
        <v>29380</v>
      </c>
      <c r="H7130" t="s">
        <v>29389</v>
      </c>
      <c r="I7130" t="s">
        <v>10408</v>
      </c>
      <c r="J7130" t="s">
        <v>29609</v>
      </c>
      <c r="K7130" t="s">
        <v>38495</v>
      </c>
      <c r="M7130" t="s">
        <v>40095</v>
      </c>
      <c r="N7130" t="s">
        <v>42669</v>
      </c>
      <c r="O7130" t="s">
        <v>42670</v>
      </c>
      <c r="P7130">
        <v>0</v>
      </c>
      <c r="Q7130">
        <v>1</v>
      </c>
      <c r="R7130" t="s">
        <v>42678</v>
      </c>
      <c r="S7130" t="s">
        <v>42866</v>
      </c>
      <c r="T7130" t="s">
        <v>44542</v>
      </c>
      <c r="U7130" t="s">
        <v>50641</v>
      </c>
      <c r="W7130" t="s">
        <v>40095</v>
      </c>
      <c r="X7130" t="s">
        <v>42680</v>
      </c>
    </row>
    <row r="7131" spans="1:24">
      <c r="A7131">
        <f>HYPERLINK("https://www.philgeps.gov.ph/GEPSNONPILOT/Tender/SplashBidNoticeAbstractUI.aspx?menuIndex=3&amp;refID=7180814&amp;Result=3","7180814")</f>
        <v>0</v>
      </c>
      <c r="B7131" t="s">
        <v>1268</v>
      </c>
      <c r="C7131" t="s">
        <v>10340</v>
      </c>
      <c r="D7131" t="s">
        <v>17161</v>
      </c>
      <c r="E7131" t="s">
        <v>23415</v>
      </c>
      <c r="F7131" t="s">
        <v>29372</v>
      </c>
      <c r="G7131" t="s">
        <v>29380</v>
      </c>
      <c r="H7131" t="s">
        <v>29389</v>
      </c>
      <c r="I7131" t="s">
        <v>10408</v>
      </c>
      <c r="J7131" t="s">
        <v>31485</v>
      </c>
      <c r="K7131" t="s">
        <v>38522</v>
      </c>
      <c r="M7131" t="s">
        <v>40095</v>
      </c>
      <c r="N7131" t="s">
        <v>42669</v>
      </c>
      <c r="O7131" t="s">
        <v>42670</v>
      </c>
      <c r="P7131">
        <v>0</v>
      </c>
      <c r="Q7131">
        <v>1</v>
      </c>
      <c r="R7131" t="s">
        <v>42678</v>
      </c>
      <c r="S7131" t="s">
        <v>42866</v>
      </c>
      <c r="T7131" t="s">
        <v>44542</v>
      </c>
      <c r="U7131" t="s">
        <v>50642</v>
      </c>
      <c r="W7131" t="s">
        <v>40095</v>
      </c>
      <c r="X7131" t="s">
        <v>42680</v>
      </c>
    </row>
    <row r="7132" spans="1:24">
      <c r="A7132">
        <f>HYPERLINK("https://www.philgeps.gov.ph/GEPSNONPILOT/Tender/SplashBidNoticeAbstractUI.aspx?menuIndex=3&amp;refID=7180779&amp;Result=3","7180779")</f>
        <v>0</v>
      </c>
      <c r="B7132" t="s">
        <v>983</v>
      </c>
      <c r="C7132" t="s">
        <v>10341</v>
      </c>
      <c r="D7132" t="s">
        <v>17189</v>
      </c>
      <c r="E7132" t="s">
        <v>23416</v>
      </c>
      <c r="F7132" t="s">
        <v>29372</v>
      </c>
      <c r="G7132" t="s">
        <v>29380</v>
      </c>
      <c r="H7132" t="s">
        <v>11048</v>
      </c>
      <c r="I7132" t="s">
        <v>29395</v>
      </c>
      <c r="J7132" t="s">
        <v>29587</v>
      </c>
      <c r="K7132" t="s">
        <v>38491</v>
      </c>
      <c r="M7132" t="s">
        <v>39781</v>
      </c>
      <c r="N7132" t="s">
        <v>42669</v>
      </c>
      <c r="O7132" t="s">
        <v>42670</v>
      </c>
      <c r="P7132">
        <v>0</v>
      </c>
      <c r="Q7132">
        <v>3</v>
      </c>
      <c r="R7132" t="s">
        <v>42678</v>
      </c>
      <c r="S7132" t="s">
        <v>42866</v>
      </c>
      <c r="T7132" t="s">
        <v>44744</v>
      </c>
      <c r="U7132" t="s">
        <v>50643</v>
      </c>
      <c r="V7132" t="s">
        <v>57152</v>
      </c>
      <c r="W7132" t="s">
        <v>39781</v>
      </c>
      <c r="X7132" t="s">
        <v>42680</v>
      </c>
    </row>
    <row r="7133" spans="1:24">
      <c r="A7133">
        <f>HYPERLINK("https://www.philgeps.gov.ph/GEPSNONPILOT/Tender/SplashBidNoticeAbstractUI.aspx?menuIndex=3&amp;refID=7180842&amp;Result=3","7180842")</f>
        <v>0</v>
      </c>
      <c r="B7133" t="s">
        <v>2316</v>
      </c>
      <c r="C7133" t="s">
        <v>10342</v>
      </c>
      <c r="D7133" t="s">
        <v>17197</v>
      </c>
      <c r="E7133" t="s">
        <v>23417</v>
      </c>
      <c r="F7133" t="s">
        <v>29372</v>
      </c>
      <c r="G7133" t="s">
        <v>29379</v>
      </c>
      <c r="H7133" t="s">
        <v>11048</v>
      </c>
      <c r="I7133" t="s">
        <v>29409</v>
      </c>
      <c r="J7133" t="s">
        <v>34129</v>
      </c>
      <c r="K7133" t="s">
        <v>38510</v>
      </c>
      <c r="M7133" t="s">
        <v>41247</v>
      </c>
      <c r="N7133" t="s">
        <v>42669</v>
      </c>
      <c r="O7133" t="s">
        <v>42670</v>
      </c>
      <c r="P7133">
        <v>0</v>
      </c>
      <c r="Q7133">
        <v>0</v>
      </c>
      <c r="R7133" t="s">
        <v>42678</v>
      </c>
      <c r="S7133" t="s">
        <v>42866</v>
      </c>
      <c r="T7133" t="s">
        <v>44389</v>
      </c>
      <c r="U7133" t="s">
        <v>50644</v>
      </c>
      <c r="W7133" t="s">
        <v>41247</v>
      </c>
      <c r="X7133" t="s">
        <v>42679</v>
      </c>
    </row>
    <row r="7134" spans="1:24">
      <c r="A7134">
        <f>HYPERLINK("https://www.philgeps.gov.ph/GEPSNONPILOT/Tender/SplashBidNoticeAbstractUI.aspx?menuIndex=3&amp;refID=7180703&amp;Result=3","7180703")</f>
        <v>0</v>
      </c>
      <c r="B7134" t="s">
        <v>2317</v>
      </c>
      <c r="C7134" t="s">
        <v>10343</v>
      </c>
      <c r="E7134" t="s">
        <v>23418</v>
      </c>
      <c r="F7134" t="s">
        <v>29372</v>
      </c>
      <c r="G7134" t="s">
        <v>29380</v>
      </c>
      <c r="H7134" t="s">
        <v>29389</v>
      </c>
      <c r="I7134" t="s">
        <v>10408</v>
      </c>
      <c r="J7134" t="s">
        <v>30899</v>
      </c>
      <c r="K7134" t="s">
        <v>38487</v>
      </c>
      <c r="M7134" t="s">
        <v>41248</v>
      </c>
      <c r="N7134" t="s">
        <v>42669</v>
      </c>
      <c r="O7134" t="s">
        <v>42670</v>
      </c>
      <c r="Q7134">
        <v>0</v>
      </c>
      <c r="R7134" t="s">
        <v>42678</v>
      </c>
      <c r="S7134" t="s">
        <v>42876</v>
      </c>
      <c r="T7134" t="s">
        <v>44539</v>
      </c>
      <c r="U7134" t="s">
        <v>50645</v>
      </c>
      <c r="V7134" t="s">
        <v>57153</v>
      </c>
      <c r="W7134" t="s">
        <v>41248</v>
      </c>
      <c r="X7134" t="s">
        <v>42680</v>
      </c>
    </row>
    <row r="7135" spans="1:24">
      <c r="A7135">
        <f>HYPERLINK("https://www.philgeps.gov.ph/GEPSNONPILOT/Tender/SplashBidNoticeAbstractUI.aspx?menuIndex=3&amp;refID=7180751&amp;Result=3","7180751")</f>
        <v>0</v>
      </c>
      <c r="B7135" t="s">
        <v>983</v>
      </c>
      <c r="C7135" t="s">
        <v>10344</v>
      </c>
      <c r="D7135" t="s">
        <v>17189</v>
      </c>
      <c r="E7135" t="s">
        <v>23419</v>
      </c>
      <c r="F7135" t="s">
        <v>29372</v>
      </c>
      <c r="G7135" t="s">
        <v>29380</v>
      </c>
      <c r="H7135" t="s">
        <v>11048</v>
      </c>
      <c r="I7135" t="s">
        <v>29394</v>
      </c>
      <c r="J7135" t="s">
        <v>32504</v>
      </c>
      <c r="K7135" t="s">
        <v>38515</v>
      </c>
      <c r="M7135" t="s">
        <v>39781</v>
      </c>
      <c r="N7135" t="s">
        <v>42669</v>
      </c>
      <c r="O7135" t="s">
        <v>42670</v>
      </c>
      <c r="P7135">
        <v>0</v>
      </c>
      <c r="Q7135">
        <v>2</v>
      </c>
      <c r="R7135" t="s">
        <v>42678</v>
      </c>
      <c r="S7135" t="s">
        <v>42866</v>
      </c>
      <c r="T7135" t="s">
        <v>44744</v>
      </c>
      <c r="U7135" t="s">
        <v>50646</v>
      </c>
      <c r="V7135" t="s">
        <v>57152</v>
      </c>
      <c r="W7135" t="s">
        <v>39781</v>
      </c>
      <c r="X7135" t="s">
        <v>42680</v>
      </c>
    </row>
    <row r="7136" spans="1:24">
      <c r="A7136">
        <f>HYPERLINK("https://www.philgeps.gov.ph/GEPSNONPILOT/Tender/SplashBidNoticeAbstractUI.aspx?menuIndex=3&amp;refID=7180131&amp;Result=3","7180131")</f>
        <v>0</v>
      </c>
      <c r="B7136" t="s">
        <v>138</v>
      </c>
      <c r="C7136" t="s">
        <v>10345</v>
      </c>
      <c r="D7136" t="s">
        <v>17141</v>
      </c>
      <c r="E7136" t="s">
        <v>23420</v>
      </c>
      <c r="F7136" t="s">
        <v>29372</v>
      </c>
      <c r="G7136" t="s">
        <v>29379</v>
      </c>
      <c r="H7136" t="s">
        <v>11048</v>
      </c>
      <c r="I7136" t="s">
        <v>29396</v>
      </c>
      <c r="J7136" t="s">
        <v>34130</v>
      </c>
      <c r="K7136" t="s">
        <v>38490</v>
      </c>
      <c r="M7136" t="s">
        <v>41249</v>
      </c>
      <c r="N7136" t="s">
        <v>42669</v>
      </c>
      <c r="O7136" t="s">
        <v>42670</v>
      </c>
      <c r="P7136">
        <v>0</v>
      </c>
      <c r="Q7136">
        <v>0</v>
      </c>
      <c r="R7136" t="s">
        <v>42678</v>
      </c>
      <c r="S7136" t="s">
        <v>42866</v>
      </c>
      <c r="T7136" t="s">
        <v>44432</v>
      </c>
      <c r="U7136" t="s">
        <v>50647</v>
      </c>
      <c r="W7136" t="s">
        <v>41249</v>
      </c>
      <c r="X7136" t="s">
        <v>42681</v>
      </c>
    </row>
    <row r="7137" spans="1:24">
      <c r="A7137">
        <f>HYPERLINK("https://www.philgeps.gov.ph/GEPSNONPILOT/Tender/SplashBidNoticeAbstractUI.aspx?menuIndex=3&amp;refID=7180217&amp;Result=3","7180217")</f>
        <v>0</v>
      </c>
      <c r="B7137" t="s">
        <v>2311</v>
      </c>
      <c r="C7137" t="s">
        <v>10346</v>
      </c>
      <c r="D7137" t="s">
        <v>17191</v>
      </c>
      <c r="E7137" t="s">
        <v>23421</v>
      </c>
      <c r="F7137" t="s">
        <v>29372</v>
      </c>
      <c r="G7137" t="s">
        <v>29380</v>
      </c>
      <c r="H7137" t="s">
        <v>11048</v>
      </c>
      <c r="I7137" t="s">
        <v>4709</v>
      </c>
      <c r="J7137" t="s">
        <v>34131</v>
      </c>
      <c r="K7137" t="s">
        <v>38485</v>
      </c>
      <c r="M7137" t="s">
        <v>41242</v>
      </c>
      <c r="N7137" t="s">
        <v>42669</v>
      </c>
      <c r="O7137" t="s">
        <v>42670</v>
      </c>
      <c r="Q7137">
        <v>0</v>
      </c>
      <c r="R7137" t="s">
        <v>42678</v>
      </c>
      <c r="S7137" t="s">
        <v>42877</v>
      </c>
      <c r="T7137" t="s">
        <v>44475</v>
      </c>
      <c r="U7137" t="s">
        <v>50648</v>
      </c>
      <c r="V7137" t="s">
        <v>57154</v>
      </c>
      <c r="W7137" t="s">
        <v>41242</v>
      </c>
      <c r="X7137" t="s">
        <v>42681</v>
      </c>
    </row>
    <row r="7138" spans="1:24">
      <c r="A7138">
        <f>HYPERLINK("https://www.philgeps.gov.ph/GEPSNONPILOT/Tender/SplashBidNoticeAbstractUI.aspx?menuIndex=3&amp;refID=7180700&amp;Result=3","7180700")</f>
        <v>0</v>
      </c>
      <c r="B7138" t="s">
        <v>2317</v>
      </c>
      <c r="C7138" t="s">
        <v>10347</v>
      </c>
      <c r="E7138" t="s">
        <v>23422</v>
      </c>
      <c r="F7138" t="s">
        <v>29372</v>
      </c>
      <c r="G7138" t="s">
        <v>29380</v>
      </c>
      <c r="H7138" t="s">
        <v>29389</v>
      </c>
      <c r="I7138" t="s">
        <v>10408</v>
      </c>
      <c r="J7138" t="s">
        <v>31157</v>
      </c>
      <c r="K7138" t="s">
        <v>38495</v>
      </c>
      <c r="M7138" t="s">
        <v>41248</v>
      </c>
      <c r="N7138" t="s">
        <v>42669</v>
      </c>
      <c r="O7138" t="s">
        <v>42670</v>
      </c>
      <c r="Q7138">
        <v>0</v>
      </c>
      <c r="R7138" t="s">
        <v>42678</v>
      </c>
      <c r="S7138" t="s">
        <v>42878</v>
      </c>
      <c r="T7138" t="s">
        <v>44539</v>
      </c>
      <c r="U7138" t="s">
        <v>50645</v>
      </c>
      <c r="V7138" t="s">
        <v>57153</v>
      </c>
      <c r="W7138" t="s">
        <v>41248</v>
      </c>
      <c r="X7138" t="s">
        <v>42680</v>
      </c>
    </row>
    <row r="7139" spans="1:24">
      <c r="A7139">
        <f>HYPERLINK("https://www.philgeps.gov.ph/GEPSNONPILOT/Tender/SplashBidNoticeAbstractUI.aspx?menuIndex=3&amp;refID=7180696&amp;Result=3","7180696")</f>
        <v>0</v>
      </c>
      <c r="B7139" t="s">
        <v>2317</v>
      </c>
      <c r="C7139" t="s">
        <v>10348</v>
      </c>
      <c r="E7139" t="s">
        <v>23423</v>
      </c>
      <c r="F7139" t="s">
        <v>29372</v>
      </c>
      <c r="G7139" t="s">
        <v>29380</v>
      </c>
      <c r="H7139" t="s">
        <v>29389</v>
      </c>
      <c r="I7139" t="s">
        <v>10408</v>
      </c>
      <c r="J7139" t="s">
        <v>31157</v>
      </c>
      <c r="K7139" t="s">
        <v>38496</v>
      </c>
      <c r="M7139" t="s">
        <v>41248</v>
      </c>
      <c r="N7139" t="s">
        <v>42669</v>
      </c>
      <c r="O7139" t="s">
        <v>42670</v>
      </c>
      <c r="Q7139">
        <v>0</v>
      </c>
      <c r="R7139" t="s">
        <v>42678</v>
      </c>
      <c r="S7139" t="s">
        <v>42879</v>
      </c>
      <c r="T7139" t="s">
        <v>44539</v>
      </c>
      <c r="U7139" t="s">
        <v>50645</v>
      </c>
      <c r="V7139" t="s">
        <v>57153</v>
      </c>
      <c r="W7139" t="s">
        <v>41248</v>
      </c>
      <c r="X7139" t="s">
        <v>42680</v>
      </c>
    </row>
    <row r="7140" spans="1:24">
      <c r="A7140">
        <f>HYPERLINK("https://www.philgeps.gov.ph/GEPSNONPILOT/Tender/SplashBidNoticeAbstractUI.aspx?menuIndex=3&amp;refID=7180661&amp;Result=3","7180661")</f>
        <v>0</v>
      </c>
      <c r="B7140" t="s">
        <v>1922</v>
      </c>
      <c r="C7140" t="s">
        <v>10349</v>
      </c>
      <c r="D7140" t="s">
        <v>17172</v>
      </c>
      <c r="E7140" t="s">
        <v>23424</v>
      </c>
      <c r="F7140" t="s">
        <v>29372</v>
      </c>
      <c r="G7140" t="s">
        <v>29380</v>
      </c>
      <c r="H7140" t="s">
        <v>29389</v>
      </c>
      <c r="I7140" t="s">
        <v>10408</v>
      </c>
      <c r="J7140" t="s">
        <v>29543</v>
      </c>
      <c r="K7140" t="s">
        <v>38496</v>
      </c>
      <c r="M7140" t="s">
        <v>40798</v>
      </c>
      <c r="N7140" t="s">
        <v>42669</v>
      </c>
      <c r="O7140" t="s">
        <v>42670</v>
      </c>
      <c r="P7140">
        <v>0</v>
      </c>
      <c r="Q7140">
        <v>1</v>
      </c>
      <c r="R7140" t="s">
        <v>42678</v>
      </c>
      <c r="S7140" t="s">
        <v>42866</v>
      </c>
      <c r="T7140" t="s">
        <v>44410</v>
      </c>
      <c r="U7140" t="s">
        <v>50649</v>
      </c>
      <c r="W7140" t="s">
        <v>40798</v>
      </c>
      <c r="X7140" t="s">
        <v>42680</v>
      </c>
    </row>
    <row r="7141" spans="1:24">
      <c r="A7141">
        <f>HYPERLINK("https://www.philgeps.gov.ph/GEPSNONPILOT/Tender/SplashBidNoticeAbstractUI.aspx?menuIndex=3&amp;refID=7180659&amp;Result=3","7180659")</f>
        <v>0</v>
      </c>
      <c r="B7141" t="s">
        <v>1922</v>
      </c>
      <c r="C7141" t="s">
        <v>10350</v>
      </c>
      <c r="D7141" t="s">
        <v>17172</v>
      </c>
      <c r="E7141" t="s">
        <v>23425</v>
      </c>
      <c r="F7141" t="s">
        <v>29372</v>
      </c>
      <c r="G7141" t="s">
        <v>29380</v>
      </c>
      <c r="H7141" t="s">
        <v>29389</v>
      </c>
      <c r="I7141" t="s">
        <v>10408</v>
      </c>
      <c r="J7141" t="s">
        <v>29788</v>
      </c>
      <c r="K7141" t="s">
        <v>38495</v>
      </c>
      <c r="M7141" t="s">
        <v>40798</v>
      </c>
      <c r="N7141" t="s">
        <v>42669</v>
      </c>
      <c r="O7141" t="s">
        <v>42670</v>
      </c>
      <c r="P7141">
        <v>0</v>
      </c>
      <c r="Q7141">
        <v>1</v>
      </c>
      <c r="R7141" t="s">
        <v>42678</v>
      </c>
      <c r="S7141" t="s">
        <v>42866</v>
      </c>
      <c r="T7141" t="s">
        <v>44410</v>
      </c>
      <c r="U7141" t="s">
        <v>50650</v>
      </c>
      <c r="W7141" t="s">
        <v>40798</v>
      </c>
      <c r="X7141" t="s">
        <v>42680</v>
      </c>
    </row>
    <row r="7142" spans="1:24">
      <c r="A7142">
        <f>HYPERLINK("https://www.philgeps.gov.ph/GEPSNONPILOT/Tender/SplashBidNoticeAbstractUI.aspx?menuIndex=3&amp;refID=7180656&amp;Result=3","7180656")</f>
        <v>0</v>
      </c>
      <c r="B7142" t="s">
        <v>1922</v>
      </c>
      <c r="C7142" t="s">
        <v>10351</v>
      </c>
      <c r="D7142" t="s">
        <v>17172</v>
      </c>
      <c r="E7142" t="s">
        <v>23426</v>
      </c>
      <c r="F7142" t="s">
        <v>29372</v>
      </c>
      <c r="G7142" t="s">
        <v>29380</v>
      </c>
      <c r="H7142" t="s">
        <v>29389</v>
      </c>
      <c r="I7142" t="s">
        <v>10408</v>
      </c>
      <c r="J7142" t="s">
        <v>30899</v>
      </c>
      <c r="K7142" t="s">
        <v>38496</v>
      </c>
      <c r="M7142" t="s">
        <v>40798</v>
      </c>
      <c r="N7142" t="s">
        <v>42669</v>
      </c>
      <c r="O7142" t="s">
        <v>42670</v>
      </c>
      <c r="P7142">
        <v>0</v>
      </c>
      <c r="Q7142">
        <v>1</v>
      </c>
      <c r="R7142" t="s">
        <v>42678</v>
      </c>
      <c r="S7142" t="s">
        <v>42866</v>
      </c>
      <c r="T7142" t="s">
        <v>44410</v>
      </c>
      <c r="U7142" t="s">
        <v>50651</v>
      </c>
      <c r="W7142" t="s">
        <v>40798</v>
      </c>
      <c r="X7142" t="s">
        <v>42680</v>
      </c>
    </row>
    <row r="7143" spans="1:24">
      <c r="A7143">
        <f>HYPERLINK("https://www.philgeps.gov.ph/GEPSNONPILOT/Tender/SplashBidNoticeAbstractUI.aspx?menuIndex=3&amp;refID=7180613&amp;Result=3","7180613")</f>
        <v>0</v>
      </c>
      <c r="B7143" t="s">
        <v>2318</v>
      </c>
      <c r="C7143" t="s">
        <v>10352</v>
      </c>
      <c r="D7143" t="s">
        <v>17153</v>
      </c>
      <c r="E7143" t="s">
        <v>23427</v>
      </c>
      <c r="F7143" t="s">
        <v>29372</v>
      </c>
      <c r="G7143" t="s">
        <v>29380</v>
      </c>
      <c r="H7143" t="s">
        <v>11048</v>
      </c>
      <c r="I7143" t="s">
        <v>29400</v>
      </c>
      <c r="J7143" t="s">
        <v>29573</v>
      </c>
      <c r="K7143" t="s">
        <v>38495</v>
      </c>
      <c r="M7143" t="s">
        <v>41250</v>
      </c>
      <c r="N7143" t="s">
        <v>42669</v>
      </c>
      <c r="O7143" t="s">
        <v>42670</v>
      </c>
      <c r="P7143">
        <v>0</v>
      </c>
      <c r="Q7143">
        <v>21</v>
      </c>
      <c r="R7143" t="s">
        <v>42678</v>
      </c>
      <c r="S7143" t="s">
        <v>42866</v>
      </c>
      <c r="T7143" t="s">
        <v>44664</v>
      </c>
      <c r="U7143" t="s">
        <v>50652</v>
      </c>
      <c r="W7143" t="s">
        <v>41250</v>
      </c>
      <c r="X7143" t="s">
        <v>42680</v>
      </c>
    </row>
    <row r="7144" spans="1:24">
      <c r="A7144">
        <f>HYPERLINK("https://www.philgeps.gov.ph/GEPSNONPILOT/Tender/SplashBidNoticeAbstractUI.aspx?menuIndex=3&amp;refID=7180717&amp;Result=3","7180717")</f>
        <v>0</v>
      </c>
      <c r="B7144" t="s">
        <v>2319</v>
      </c>
      <c r="C7144" t="s">
        <v>10353</v>
      </c>
      <c r="D7144" t="s">
        <v>17180</v>
      </c>
      <c r="E7144" t="s">
        <v>23428</v>
      </c>
      <c r="F7144" t="s">
        <v>29372</v>
      </c>
      <c r="G7144" t="s">
        <v>29380</v>
      </c>
      <c r="H7144" t="s">
        <v>11048</v>
      </c>
      <c r="I7144" t="s">
        <v>29412</v>
      </c>
      <c r="J7144" t="s">
        <v>34132</v>
      </c>
      <c r="K7144" t="s">
        <v>38499</v>
      </c>
      <c r="M7144" t="s">
        <v>41251</v>
      </c>
      <c r="N7144" t="s">
        <v>42669</v>
      </c>
      <c r="O7144" t="s">
        <v>42670</v>
      </c>
      <c r="P7144">
        <v>0</v>
      </c>
      <c r="Q7144">
        <v>13</v>
      </c>
      <c r="R7144" t="s">
        <v>42678</v>
      </c>
      <c r="S7144" t="s">
        <v>42866</v>
      </c>
      <c r="T7144" t="s">
        <v>44403</v>
      </c>
      <c r="U7144" t="s">
        <v>50653</v>
      </c>
      <c r="W7144" t="s">
        <v>41251</v>
      </c>
      <c r="X7144" t="s">
        <v>42680</v>
      </c>
    </row>
    <row r="7145" spans="1:24">
      <c r="A7145">
        <f>HYPERLINK("https://www.philgeps.gov.ph/GEPSNONPILOT/Tender/SplashBidNoticeAbstractUI.aspx?menuIndex=3&amp;refID=7180901&amp;Result=3","7180901")</f>
        <v>0</v>
      </c>
      <c r="B7145" t="s">
        <v>2320</v>
      </c>
      <c r="C7145" t="s">
        <v>10354</v>
      </c>
      <c r="D7145" t="s">
        <v>17141</v>
      </c>
      <c r="E7145" t="s">
        <v>23429</v>
      </c>
      <c r="F7145" t="s">
        <v>29372</v>
      </c>
      <c r="G7145" t="s">
        <v>29379</v>
      </c>
      <c r="H7145" t="s">
        <v>11048</v>
      </c>
      <c r="I7145" t="s">
        <v>29471</v>
      </c>
      <c r="J7145" t="s">
        <v>30162</v>
      </c>
      <c r="K7145" t="s">
        <v>38486</v>
      </c>
      <c r="M7145" t="s">
        <v>41252</v>
      </c>
      <c r="N7145" t="s">
        <v>42669</v>
      </c>
      <c r="O7145" t="s">
        <v>42670</v>
      </c>
      <c r="P7145">
        <v>0</v>
      </c>
      <c r="Q7145">
        <v>7</v>
      </c>
      <c r="R7145" t="s">
        <v>42678</v>
      </c>
      <c r="S7145" t="s">
        <v>42866</v>
      </c>
      <c r="T7145" t="s">
        <v>44441</v>
      </c>
      <c r="U7145" t="s">
        <v>50654</v>
      </c>
      <c r="V7145" t="s">
        <v>57155</v>
      </c>
      <c r="W7145" t="s">
        <v>41252</v>
      </c>
      <c r="X7145" t="s">
        <v>42679</v>
      </c>
    </row>
    <row r="7146" spans="1:24">
      <c r="A7146">
        <f>HYPERLINK("https://www.philgeps.gov.ph/GEPSNONPILOT/Tender/SplashBidNoticeAbstractUI.aspx?menuIndex=3&amp;refID=7180898&amp;Result=3","7180898")</f>
        <v>0</v>
      </c>
      <c r="B7146" t="s">
        <v>912</v>
      </c>
      <c r="C7146" t="s">
        <v>10355</v>
      </c>
      <c r="D7146" t="s">
        <v>17147</v>
      </c>
      <c r="E7146" t="s">
        <v>17479</v>
      </c>
      <c r="F7146" t="s">
        <v>29372</v>
      </c>
      <c r="G7146" t="s">
        <v>29380</v>
      </c>
      <c r="H7146" t="s">
        <v>11048</v>
      </c>
      <c r="I7146" t="s">
        <v>4709</v>
      </c>
      <c r="J7146" t="s">
        <v>30032</v>
      </c>
      <c r="K7146" t="s">
        <v>38491</v>
      </c>
      <c r="M7146" t="s">
        <v>39705</v>
      </c>
      <c r="N7146" t="s">
        <v>42669</v>
      </c>
      <c r="O7146" t="s">
        <v>42670</v>
      </c>
      <c r="P7146">
        <v>0</v>
      </c>
      <c r="Q7146">
        <v>0</v>
      </c>
      <c r="R7146" t="s">
        <v>42678</v>
      </c>
      <c r="S7146" t="s">
        <v>42866</v>
      </c>
      <c r="T7146" t="s">
        <v>44488</v>
      </c>
      <c r="U7146" t="s">
        <v>50655</v>
      </c>
      <c r="W7146" t="s">
        <v>39705</v>
      </c>
      <c r="X7146" t="s">
        <v>42679</v>
      </c>
    </row>
    <row r="7147" spans="1:24">
      <c r="A7147">
        <f>HYPERLINK("https://www.philgeps.gov.ph/GEPSNONPILOT/Tender/SplashBidNoticeAbstractUI.aspx?menuIndex=3&amp;refID=7180891&amp;Result=3","7180891")</f>
        <v>0</v>
      </c>
      <c r="B7147" t="s">
        <v>281</v>
      </c>
      <c r="C7147" t="s">
        <v>10356</v>
      </c>
      <c r="D7147" t="s">
        <v>17206</v>
      </c>
      <c r="E7147" t="s">
        <v>17401</v>
      </c>
      <c r="F7147" t="s">
        <v>29372</v>
      </c>
      <c r="G7147" t="s">
        <v>29380</v>
      </c>
      <c r="H7147" t="s">
        <v>11048</v>
      </c>
      <c r="I7147" t="s">
        <v>4709</v>
      </c>
      <c r="J7147" t="s">
        <v>34133</v>
      </c>
      <c r="K7147" t="s">
        <v>38485</v>
      </c>
      <c r="M7147" t="s">
        <v>39040</v>
      </c>
      <c r="N7147" t="s">
        <v>42669</v>
      </c>
      <c r="O7147" t="s">
        <v>42670</v>
      </c>
      <c r="P7147">
        <v>0</v>
      </c>
      <c r="Q7147">
        <v>0</v>
      </c>
      <c r="R7147" t="s">
        <v>42678</v>
      </c>
      <c r="S7147" t="s">
        <v>42866</v>
      </c>
      <c r="T7147" t="s">
        <v>44474</v>
      </c>
      <c r="U7147" t="s">
        <v>50656</v>
      </c>
      <c r="W7147" t="s">
        <v>39040</v>
      </c>
      <c r="X7147" t="s">
        <v>42679</v>
      </c>
    </row>
    <row r="7148" spans="1:24">
      <c r="A7148">
        <f>HYPERLINK("https://www.philgeps.gov.ph/GEPSNONPILOT/Tender/SplashBidNoticeAbstractUI.aspx?menuIndex=3&amp;refID=7180671&amp;Result=3","7180671")</f>
        <v>0</v>
      </c>
      <c r="B7148" t="s">
        <v>2321</v>
      </c>
      <c r="C7148" t="s">
        <v>10357</v>
      </c>
      <c r="D7148" t="s">
        <v>17162</v>
      </c>
      <c r="E7148" t="s">
        <v>23430</v>
      </c>
      <c r="F7148" t="s">
        <v>29372</v>
      </c>
      <c r="G7148" t="s">
        <v>29379</v>
      </c>
      <c r="H7148" t="s">
        <v>11048</v>
      </c>
      <c r="I7148" t="s">
        <v>29415</v>
      </c>
      <c r="J7148" t="s">
        <v>29587</v>
      </c>
      <c r="K7148" t="s">
        <v>38567</v>
      </c>
      <c r="M7148" t="s">
        <v>41253</v>
      </c>
      <c r="N7148" t="s">
        <v>42669</v>
      </c>
      <c r="O7148" t="s">
        <v>42670</v>
      </c>
      <c r="P7148">
        <v>0</v>
      </c>
      <c r="Q7148">
        <v>3</v>
      </c>
      <c r="R7148" t="s">
        <v>42678</v>
      </c>
      <c r="S7148" t="s">
        <v>42866</v>
      </c>
      <c r="T7148" t="s">
        <v>44425</v>
      </c>
      <c r="U7148" t="s">
        <v>50657</v>
      </c>
      <c r="W7148" t="s">
        <v>41253</v>
      </c>
      <c r="X7148" t="s">
        <v>42680</v>
      </c>
    </row>
    <row r="7149" spans="1:24">
      <c r="A7149">
        <f>HYPERLINK("https://www.philgeps.gov.ph/GEPSNONPILOT/Tender/SplashBidNoticeAbstractUI.aspx?menuIndex=3&amp;refID=7180889&amp;Result=3","7180889")</f>
        <v>0</v>
      </c>
      <c r="B7149" t="s">
        <v>2020</v>
      </c>
      <c r="C7149" t="s">
        <v>10358</v>
      </c>
      <c r="D7149" t="s">
        <v>17177</v>
      </c>
      <c r="E7149" t="s">
        <v>23431</v>
      </c>
      <c r="F7149" t="s">
        <v>29372</v>
      </c>
      <c r="G7149" t="s">
        <v>29380</v>
      </c>
      <c r="H7149" t="s">
        <v>29389</v>
      </c>
      <c r="I7149" t="s">
        <v>10408</v>
      </c>
      <c r="J7149" t="s">
        <v>34134</v>
      </c>
      <c r="K7149" t="s">
        <v>38496</v>
      </c>
      <c r="M7149" t="s">
        <v>41241</v>
      </c>
      <c r="N7149" t="s">
        <v>42669</v>
      </c>
      <c r="O7149" t="s">
        <v>42670</v>
      </c>
      <c r="P7149">
        <v>0</v>
      </c>
      <c r="Q7149">
        <v>0</v>
      </c>
      <c r="R7149" t="s">
        <v>42678</v>
      </c>
      <c r="S7149" t="s">
        <v>42866</v>
      </c>
      <c r="T7149" t="s">
        <v>44363</v>
      </c>
      <c r="U7149" t="s">
        <v>50658</v>
      </c>
      <c r="V7149" t="s">
        <v>57146</v>
      </c>
      <c r="W7149" t="s">
        <v>41241</v>
      </c>
      <c r="X7149" t="s">
        <v>42679</v>
      </c>
    </row>
    <row r="7150" spans="1:24">
      <c r="A7150">
        <f>HYPERLINK("https://www.philgeps.gov.ph/GEPSNONPILOT/Tender/SplashBidNoticeAbstractUI.aspx?menuIndex=3&amp;refID=7180473&amp;Result=3","7180473")</f>
        <v>0</v>
      </c>
      <c r="B7150" t="s">
        <v>1191</v>
      </c>
      <c r="C7150" t="s">
        <v>10359</v>
      </c>
      <c r="D7150" t="s">
        <v>17148</v>
      </c>
      <c r="E7150" t="s">
        <v>23432</v>
      </c>
      <c r="F7150" t="s">
        <v>29372</v>
      </c>
      <c r="G7150" t="s">
        <v>29380</v>
      </c>
      <c r="H7150" t="s">
        <v>29390</v>
      </c>
      <c r="I7150" t="s">
        <v>29399</v>
      </c>
      <c r="J7150" t="s">
        <v>30331</v>
      </c>
      <c r="K7150" t="s">
        <v>38488</v>
      </c>
      <c r="M7150" t="s">
        <v>40007</v>
      </c>
      <c r="N7150" t="s">
        <v>42669</v>
      </c>
      <c r="O7150" t="s">
        <v>42670</v>
      </c>
      <c r="P7150">
        <v>0</v>
      </c>
      <c r="Q7150">
        <v>0</v>
      </c>
      <c r="R7150" t="s">
        <v>42678</v>
      </c>
      <c r="S7150" t="s">
        <v>42866</v>
      </c>
      <c r="T7150" t="s">
        <v>44507</v>
      </c>
      <c r="U7150" t="s">
        <v>50659</v>
      </c>
      <c r="V7150" t="s">
        <v>57156</v>
      </c>
      <c r="W7150" t="s">
        <v>40007</v>
      </c>
      <c r="X7150" t="s">
        <v>42680</v>
      </c>
    </row>
    <row r="7151" spans="1:24">
      <c r="A7151">
        <f>HYPERLINK("https://www.philgeps.gov.ph/GEPSNONPILOT/Tender/SplashBidNoticeAbstractUI.aspx?menuIndex=3&amp;refID=7180868&amp;Result=3","7180868")</f>
        <v>0</v>
      </c>
      <c r="B7151" t="s">
        <v>2322</v>
      </c>
      <c r="C7151" t="s">
        <v>8970</v>
      </c>
      <c r="D7151" t="s">
        <v>17172</v>
      </c>
      <c r="E7151" t="s">
        <v>18026</v>
      </c>
      <c r="F7151" t="s">
        <v>29372</v>
      </c>
      <c r="G7151" t="s">
        <v>29380</v>
      </c>
      <c r="H7151" t="s">
        <v>11048</v>
      </c>
      <c r="I7151" t="s">
        <v>4709</v>
      </c>
      <c r="J7151" t="s">
        <v>34135</v>
      </c>
      <c r="K7151" t="s">
        <v>38510</v>
      </c>
      <c r="M7151" t="s">
        <v>41254</v>
      </c>
      <c r="N7151" t="s">
        <v>42669</v>
      </c>
      <c r="O7151" t="s">
        <v>42670</v>
      </c>
      <c r="P7151">
        <v>0</v>
      </c>
      <c r="Q7151">
        <v>0</v>
      </c>
      <c r="R7151" t="s">
        <v>42678</v>
      </c>
      <c r="S7151" t="s">
        <v>42866</v>
      </c>
      <c r="T7151" t="s">
        <v>44425</v>
      </c>
      <c r="U7151" t="s">
        <v>50660</v>
      </c>
      <c r="W7151" t="s">
        <v>41254</v>
      </c>
      <c r="X7151" t="s">
        <v>42679</v>
      </c>
    </row>
    <row r="7152" spans="1:24">
      <c r="A7152">
        <f>HYPERLINK("https://www.philgeps.gov.ph/GEPSNONPILOT/Tender/SplashBidNoticeAbstractUI.aspx?menuIndex=3&amp;refID=7180893&amp;Result=3","7180893")</f>
        <v>0</v>
      </c>
      <c r="B7152" t="s">
        <v>1431</v>
      </c>
      <c r="C7152" t="s">
        <v>10360</v>
      </c>
      <c r="D7152" t="s">
        <v>17193</v>
      </c>
      <c r="E7152" t="s">
        <v>23433</v>
      </c>
      <c r="F7152" t="s">
        <v>29372</v>
      </c>
      <c r="G7152" t="s">
        <v>29379</v>
      </c>
      <c r="H7152" t="s">
        <v>11048</v>
      </c>
      <c r="I7152" t="s">
        <v>29499</v>
      </c>
      <c r="J7152" t="s">
        <v>34136</v>
      </c>
      <c r="K7152" t="s">
        <v>38491</v>
      </c>
      <c r="M7152" t="s">
        <v>40271</v>
      </c>
      <c r="N7152" t="s">
        <v>42669</v>
      </c>
      <c r="O7152" t="s">
        <v>42670</v>
      </c>
      <c r="P7152">
        <v>0</v>
      </c>
      <c r="Q7152">
        <v>1</v>
      </c>
      <c r="R7152" t="s">
        <v>42678</v>
      </c>
      <c r="S7152" t="s">
        <v>42866</v>
      </c>
      <c r="T7152" t="s">
        <v>44441</v>
      </c>
      <c r="U7152" t="s">
        <v>50661</v>
      </c>
      <c r="W7152" t="s">
        <v>40271</v>
      </c>
      <c r="X7152" t="s">
        <v>42679</v>
      </c>
    </row>
    <row r="7153" spans="1:24">
      <c r="A7153">
        <f>HYPERLINK("https://www.philgeps.gov.ph/GEPSNONPILOT/Tender/SplashBidNoticeAbstractUI.aspx?menuIndex=3&amp;refID=7180864&amp;Result=3","7180864")</f>
        <v>0</v>
      </c>
      <c r="B7153" t="s">
        <v>2323</v>
      </c>
      <c r="C7153" t="s">
        <v>10361</v>
      </c>
      <c r="D7153" t="s">
        <v>17194</v>
      </c>
      <c r="E7153" t="s">
        <v>17648</v>
      </c>
      <c r="F7153" t="s">
        <v>29372</v>
      </c>
      <c r="G7153" t="s">
        <v>29380</v>
      </c>
      <c r="H7153" t="s">
        <v>11048</v>
      </c>
      <c r="I7153" t="s">
        <v>29456</v>
      </c>
      <c r="J7153" t="s">
        <v>34137</v>
      </c>
      <c r="K7153" t="s">
        <v>38485</v>
      </c>
      <c r="M7153" t="s">
        <v>41255</v>
      </c>
      <c r="N7153" t="s">
        <v>42669</v>
      </c>
      <c r="O7153" t="s">
        <v>42670</v>
      </c>
      <c r="P7153">
        <v>0</v>
      </c>
      <c r="Q7153">
        <v>2</v>
      </c>
      <c r="R7153" t="s">
        <v>42678</v>
      </c>
      <c r="S7153" t="s">
        <v>42866</v>
      </c>
      <c r="T7153" t="s">
        <v>44432</v>
      </c>
      <c r="U7153" t="s">
        <v>50662</v>
      </c>
      <c r="W7153" t="s">
        <v>41255</v>
      </c>
      <c r="X7153" t="s">
        <v>42679</v>
      </c>
    </row>
    <row r="7154" spans="1:24">
      <c r="A7154">
        <f>HYPERLINK("https://www.philgeps.gov.ph/GEPSNONPILOT/Tender/SplashBidNoticeAbstractUI.aspx?menuIndex=3&amp;refID=7180856&amp;Result=3","7180856")</f>
        <v>0</v>
      </c>
      <c r="B7154" t="s">
        <v>2324</v>
      </c>
      <c r="C7154" t="s">
        <v>10362</v>
      </c>
      <c r="D7154" t="s">
        <v>17226</v>
      </c>
      <c r="E7154" t="s">
        <v>23434</v>
      </c>
      <c r="F7154" t="s">
        <v>29372</v>
      </c>
      <c r="G7154" t="s">
        <v>29380</v>
      </c>
      <c r="H7154" t="s">
        <v>11048</v>
      </c>
      <c r="I7154" t="s">
        <v>4487</v>
      </c>
      <c r="J7154" t="s">
        <v>34138</v>
      </c>
      <c r="K7154" t="s">
        <v>38551</v>
      </c>
      <c r="L7154" t="s">
        <v>2324</v>
      </c>
      <c r="M7154" t="s">
        <v>41256</v>
      </c>
      <c r="N7154" t="s">
        <v>42669</v>
      </c>
      <c r="O7154" t="s">
        <v>42670</v>
      </c>
      <c r="P7154">
        <v>0</v>
      </c>
      <c r="Q7154">
        <v>0</v>
      </c>
      <c r="R7154" t="s">
        <v>42678</v>
      </c>
      <c r="S7154" t="s">
        <v>42866</v>
      </c>
      <c r="T7154" t="s">
        <v>44446</v>
      </c>
      <c r="U7154" t="s">
        <v>50663</v>
      </c>
      <c r="V7154" t="s">
        <v>57157</v>
      </c>
      <c r="W7154" t="s">
        <v>41256</v>
      </c>
      <c r="X7154" t="s">
        <v>42679</v>
      </c>
    </row>
    <row r="7155" spans="1:24">
      <c r="A7155">
        <f>HYPERLINK("https://www.philgeps.gov.ph/GEPSNONPILOT/Tender/SplashBidNoticeAbstractUI.aspx?menuIndex=3&amp;refID=7179434&amp;Result=3","7179434")</f>
        <v>0</v>
      </c>
      <c r="B7155" t="s">
        <v>712</v>
      </c>
      <c r="C7155" t="s">
        <v>10363</v>
      </c>
      <c r="D7155" t="s">
        <v>17175</v>
      </c>
      <c r="E7155" t="s">
        <v>23435</v>
      </c>
      <c r="F7155" t="s">
        <v>29372</v>
      </c>
      <c r="G7155" t="s">
        <v>29380</v>
      </c>
      <c r="H7155" t="s">
        <v>11048</v>
      </c>
      <c r="I7155" t="s">
        <v>4709</v>
      </c>
      <c r="J7155" t="s">
        <v>34139</v>
      </c>
      <c r="K7155" t="s">
        <v>38510</v>
      </c>
      <c r="M7155" t="s">
        <v>39491</v>
      </c>
      <c r="N7155" t="s">
        <v>42669</v>
      </c>
      <c r="O7155" t="s">
        <v>42670</v>
      </c>
      <c r="P7155">
        <v>0</v>
      </c>
      <c r="Q7155">
        <v>0</v>
      </c>
      <c r="R7155" t="s">
        <v>42678</v>
      </c>
      <c r="S7155" t="s">
        <v>42866</v>
      </c>
      <c r="T7155" t="s">
        <v>44488</v>
      </c>
      <c r="U7155" t="s">
        <v>50664</v>
      </c>
      <c r="V7155" t="s">
        <v>56538</v>
      </c>
      <c r="W7155" t="s">
        <v>39491</v>
      </c>
      <c r="X7155" t="s">
        <v>42682</v>
      </c>
    </row>
    <row r="7156" spans="1:24">
      <c r="A7156">
        <f>HYPERLINK("https://www.philgeps.gov.ph/GEPSNONPILOT/Tender/SplashBidNoticeAbstractUI.aspx?menuIndex=3&amp;refID=7180885&amp;Result=3","7180885")</f>
        <v>0</v>
      </c>
      <c r="B7156" t="s">
        <v>2020</v>
      </c>
      <c r="C7156" t="s">
        <v>10364</v>
      </c>
      <c r="D7156" t="s">
        <v>17177</v>
      </c>
      <c r="E7156" t="s">
        <v>23436</v>
      </c>
      <c r="F7156" t="s">
        <v>29372</v>
      </c>
      <c r="G7156" t="s">
        <v>29380</v>
      </c>
      <c r="H7156" t="s">
        <v>29389</v>
      </c>
      <c r="I7156" t="s">
        <v>10408</v>
      </c>
      <c r="J7156" t="s">
        <v>34140</v>
      </c>
      <c r="K7156" t="s">
        <v>38525</v>
      </c>
      <c r="M7156" t="s">
        <v>41241</v>
      </c>
      <c r="N7156" t="s">
        <v>42669</v>
      </c>
      <c r="O7156" t="s">
        <v>42670</v>
      </c>
      <c r="P7156">
        <v>0</v>
      </c>
      <c r="Q7156">
        <v>0</v>
      </c>
      <c r="R7156" t="s">
        <v>42678</v>
      </c>
      <c r="S7156" t="s">
        <v>42866</v>
      </c>
      <c r="T7156" t="s">
        <v>44363</v>
      </c>
      <c r="U7156" t="s">
        <v>50658</v>
      </c>
      <c r="V7156" t="s">
        <v>57146</v>
      </c>
      <c r="W7156" t="s">
        <v>41241</v>
      </c>
      <c r="X7156" t="s">
        <v>42679</v>
      </c>
    </row>
    <row r="7157" spans="1:24">
      <c r="A7157">
        <f>HYPERLINK("https://www.philgeps.gov.ph/GEPSNONPILOT/Tender/SplashBidNoticeAbstractUI.aspx?menuIndex=3&amp;refID=7180853&amp;Result=3","7180853")</f>
        <v>0</v>
      </c>
      <c r="B7157" t="s">
        <v>2325</v>
      </c>
      <c r="C7157" t="s">
        <v>10365</v>
      </c>
      <c r="D7157" t="s">
        <v>17205</v>
      </c>
      <c r="E7157" t="s">
        <v>22144</v>
      </c>
      <c r="F7157" t="s">
        <v>29372</v>
      </c>
      <c r="G7157" t="s">
        <v>29380</v>
      </c>
      <c r="H7157" t="s">
        <v>11048</v>
      </c>
      <c r="I7157" t="s">
        <v>4709</v>
      </c>
      <c r="J7157" t="s">
        <v>30676</v>
      </c>
      <c r="K7157" t="s">
        <v>38491</v>
      </c>
      <c r="M7157" t="s">
        <v>41257</v>
      </c>
      <c r="N7157" t="s">
        <v>42669</v>
      </c>
      <c r="O7157" t="s">
        <v>42670</v>
      </c>
      <c r="P7157">
        <v>0</v>
      </c>
      <c r="Q7157">
        <v>0</v>
      </c>
      <c r="R7157" t="s">
        <v>42678</v>
      </c>
      <c r="S7157" t="s">
        <v>42866</v>
      </c>
      <c r="T7157" t="s">
        <v>44454</v>
      </c>
      <c r="U7157" t="s">
        <v>50665</v>
      </c>
      <c r="W7157" t="s">
        <v>41257</v>
      </c>
      <c r="X7157" t="s">
        <v>42679</v>
      </c>
    </row>
    <row r="7158" spans="1:24">
      <c r="A7158">
        <f>HYPERLINK("https://www.philgeps.gov.ph/GEPSNONPILOT/Tender/SplashBidNoticeAbstractUI.aspx?menuIndex=3&amp;refID=7180872&amp;Result=3","7180872")</f>
        <v>0</v>
      </c>
      <c r="B7158" t="s">
        <v>265</v>
      </c>
      <c r="C7158" t="s">
        <v>10366</v>
      </c>
      <c r="D7158" t="s">
        <v>17192</v>
      </c>
      <c r="E7158" t="s">
        <v>23437</v>
      </c>
      <c r="F7158" t="s">
        <v>29372</v>
      </c>
      <c r="G7158" t="s">
        <v>29380</v>
      </c>
      <c r="H7158" t="s">
        <v>29389</v>
      </c>
      <c r="I7158" t="s">
        <v>10408</v>
      </c>
      <c r="J7158" t="s">
        <v>31498</v>
      </c>
      <c r="K7158" t="s">
        <v>38584</v>
      </c>
      <c r="M7158" t="s">
        <v>39024</v>
      </c>
      <c r="N7158" t="s">
        <v>42669</v>
      </c>
      <c r="O7158" t="s">
        <v>42670</v>
      </c>
      <c r="P7158">
        <v>0</v>
      </c>
      <c r="Q7158">
        <v>0</v>
      </c>
      <c r="R7158" t="s">
        <v>42678</v>
      </c>
      <c r="S7158" t="s">
        <v>42866</v>
      </c>
      <c r="T7158" t="s">
        <v>44378</v>
      </c>
      <c r="U7158" t="s">
        <v>50666</v>
      </c>
      <c r="W7158" t="s">
        <v>39024</v>
      </c>
      <c r="X7158" t="s">
        <v>42679</v>
      </c>
    </row>
    <row r="7159" spans="1:24">
      <c r="A7159">
        <f>HYPERLINK("https://www.philgeps.gov.ph/GEPSNONPILOT/Tender/SplashBidNoticeAbstractUI.aspx?menuIndex=3&amp;refID=7180967&amp;Result=3","7180967")</f>
        <v>0</v>
      </c>
      <c r="B7159" t="s">
        <v>1406</v>
      </c>
      <c r="C7159" t="s">
        <v>10367</v>
      </c>
      <c r="D7159" t="s">
        <v>17173</v>
      </c>
      <c r="E7159" t="s">
        <v>23438</v>
      </c>
      <c r="F7159" t="s">
        <v>29372</v>
      </c>
      <c r="G7159" t="s">
        <v>29379</v>
      </c>
      <c r="H7159" t="s">
        <v>11048</v>
      </c>
      <c r="I7159" t="s">
        <v>8614</v>
      </c>
      <c r="J7159" t="s">
        <v>29824</v>
      </c>
      <c r="K7159" t="s">
        <v>38488</v>
      </c>
      <c r="M7159" t="s">
        <v>40245</v>
      </c>
      <c r="N7159" t="s">
        <v>42669</v>
      </c>
      <c r="O7159" t="s">
        <v>42670</v>
      </c>
      <c r="P7159">
        <v>0</v>
      </c>
      <c r="Q7159">
        <v>1</v>
      </c>
      <c r="R7159" t="s">
        <v>42678</v>
      </c>
      <c r="S7159" t="s">
        <v>42866</v>
      </c>
      <c r="T7159" t="s">
        <v>44427</v>
      </c>
      <c r="U7159" t="s">
        <v>50667</v>
      </c>
      <c r="W7159" t="s">
        <v>40245</v>
      </c>
      <c r="X7159" t="s">
        <v>42679</v>
      </c>
    </row>
    <row r="7160" spans="1:24">
      <c r="A7160">
        <f>HYPERLINK("https://www.philgeps.gov.ph/GEPSNONPILOT/Tender/SplashBidNoticeAbstractUI.aspx?menuIndex=3&amp;refID=7180860&amp;Result=3","7180860")</f>
        <v>0</v>
      </c>
      <c r="B7160" t="s">
        <v>2324</v>
      </c>
      <c r="C7160" t="s">
        <v>10368</v>
      </c>
      <c r="D7160" t="s">
        <v>17226</v>
      </c>
      <c r="E7160" t="s">
        <v>23439</v>
      </c>
      <c r="F7160" t="s">
        <v>29372</v>
      </c>
      <c r="G7160" t="s">
        <v>29380</v>
      </c>
      <c r="H7160" t="s">
        <v>29389</v>
      </c>
      <c r="I7160" t="s">
        <v>10408</v>
      </c>
      <c r="J7160" t="s">
        <v>34141</v>
      </c>
      <c r="K7160" t="s">
        <v>38533</v>
      </c>
      <c r="L7160" t="s">
        <v>2324</v>
      </c>
      <c r="M7160" t="s">
        <v>41256</v>
      </c>
      <c r="N7160" t="s">
        <v>42669</v>
      </c>
      <c r="O7160" t="s">
        <v>42670</v>
      </c>
      <c r="P7160">
        <v>0</v>
      </c>
      <c r="Q7160">
        <v>0</v>
      </c>
      <c r="R7160" t="s">
        <v>42678</v>
      </c>
      <c r="S7160" t="s">
        <v>42866</v>
      </c>
      <c r="T7160" t="s">
        <v>44446</v>
      </c>
      <c r="U7160" t="s">
        <v>50668</v>
      </c>
      <c r="V7160" t="s">
        <v>57157</v>
      </c>
      <c r="W7160" t="s">
        <v>41256</v>
      </c>
      <c r="X7160" t="s">
        <v>42679</v>
      </c>
    </row>
    <row r="7161" spans="1:24">
      <c r="A7161">
        <f>HYPERLINK("https://www.philgeps.gov.ph/GEPSNONPILOT/Tender/SplashBidNoticeAbstractUI.aspx?menuIndex=3&amp;refID=7180956&amp;Result=3","7180956")</f>
        <v>0</v>
      </c>
      <c r="B7161" t="s">
        <v>2020</v>
      </c>
      <c r="C7161" t="s">
        <v>10369</v>
      </c>
      <c r="D7161" t="s">
        <v>17177</v>
      </c>
      <c r="E7161" t="s">
        <v>23440</v>
      </c>
      <c r="F7161" t="s">
        <v>29372</v>
      </c>
      <c r="G7161" t="s">
        <v>29380</v>
      </c>
      <c r="H7161" t="s">
        <v>29389</v>
      </c>
      <c r="I7161" t="s">
        <v>10408</v>
      </c>
      <c r="J7161" t="s">
        <v>34142</v>
      </c>
      <c r="K7161" t="s">
        <v>38496</v>
      </c>
      <c r="M7161" t="s">
        <v>41241</v>
      </c>
      <c r="N7161" t="s">
        <v>42669</v>
      </c>
      <c r="O7161" t="s">
        <v>42670</v>
      </c>
      <c r="P7161">
        <v>0</v>
      </c>
      <c r="Q7161">
        <v>0</v>
      </c>
      <c r="R7161" t="s">
        <v>42678</v>
      </c>
      <c r="S7161" t="s">
        <v>42866</v>
      </c>
      <c r="T7161" t="s">
        <v>44363</v>
      </c>
      <c r="U7161" t="s">
        <v>50669</v>
      </c>
      <c r="V7161" t="s">
        <v>57146</v>
      </c>
      <c r="W7161" t="s">
        <v>41241</v>
      </c>
      <c r="X7161" t="s">
        <v>42679</v>
      </c>
    </row>
    <row r="7162" spans="1:24">
      <c r="A7162">
        <f>HYPERLINK("https://www.philgeps.gov.ph/GEPSNONPILOT/Tender/SplashBidNoticeAbstractUI.aspx?menuIndex=3&amp;refID=7180855&amp;Result=3","7180855")</f>
        <v>0</v>
      </c>
      <c r="B7162" t="s">
        <v>2324</v>
      </c>
      <c r="C7162" t="s">
        <v>10370</v>
      </c>
      <c r="D7162" t="s">
        <v>17226</v>
      </c>
      <c r="E7162" t="s">
        <v>23441</v>
      </c>
      <c r="F7162" t="s">
        <v>29372</v>
      </c>
      <c r="G7162" t="s">
        <v>29380</v>
      </c>
      <c r="H7162" t="s">
        <v>11048</v>
      </c>
      <c r="I7162" t="s">
        <v>29407</v>
      </c>
      <c r="J7162" t="s">
        <v>34143</v>
      </c>
      <c r="K7162" t="s">
        <v>38551</v>
      </c>
      <c r="L7162" t="s">
        <v>2324</v>
      </c>
      <c r="M7162" t="s">
        <v>41256</v>
      </c>
      <c r="N7162" t="s">
        <v>42669</v>
      </c>
      <c r="O7162" t="s">
        <v>42670</v>
      </c>
      <c r="P7162">
        <v>0</v>
      </c>
      <c r="Q7162">
        <v>2</v>
      </c>
      <c r="R7162" t="s">
        <v>42678</v>
      </c>
      <c r="S7162" t="s">
        <v>42866</v>
      </c>
      <c r="T7162" t="s">
        <v>44446</v>
      </c>
      <c r="U7162" t="s">
        <v>50670</v>
      </c>
      <c r="V7162" t="s">
        <v>57157</v>
      </c>
      <c r="W7162" t="s">
        <v>41256</v>
      </c>
      <c r="X7162" t="s">
        <v>42679</v>
      </c>
    </row>
    <row r="7163" spans="1:24">
      <c r="A7163">
        <f>HYPERLINK("https://www.philgeps.gov.ph/GEPSNONPILOT/Tender/SplashBidNoticeAbstractUI.aspx?menuIndex=3&amp;refID=7180821&amp;Result=3","7180821")</f>
        <v>0</v>
      </c>
      <c r="B7163" t="s">
        <v>1268</v>
      </c>
      <c r="C7163" t="s">
        <v>10371</v>
      </c>
      <c r="D7163" t="s">
        <v>17161</v>
      </c>
      <c r="E7163" t="s">
        <v>23442</v>
      </c>
      <c r="F7163" t="s">
        <v>29372</v>
      </c>
      <c r="G7163" t="s">
        <v>29380</v>
      </c>
      <c r="H7163" t="s">
        <v>29389</v>
      </c>
      <c r="I7163" t="s">
        <v>10408</v>
      </c>
      <c r="J7163" t="s">
        <v>30308</v>
      </c>
      <c r="K7163" t="s">
        <v>38495</v>
      </c>
      <c r="M7163" t="s">
        <v>40095</v>
      </c>
      <c r="N7163" t="s">
        <v>42669</v>
      </c>
      <c r="O7163" t="s">
        <v>42670</v>
      </c>
      <c r="P7163">
        <v>0</v>
      </c>
      <c r="Q7163">
        <v>1</v>
      </c>
      <c r="R7163" t="s">
        <v>42678</v>
      </c>
      <c r="S7163" t="s">
        <v>42866</v>
      </c>
      <c r="T7163" t="s">
        <v>44542</v>
      </c>
      <c r="U7163" t="s">
        <v>50671</v>
      </c>
      <c r="W7163" t="s">
        <v>40095</v>
      </c>
      <c r="X7163" t="s">
        <v>42680</v>
      </c>
    </row>
    <row r="7164" spans="1:24">
      <c r="A7164">
        <f>HYPERLINK("https://www.philgeps.gov.ph/GEPSNONPILOT/Tender/SplashBidNoticeAbstractUI.aspx?menuIndex=3&amp;refID=7180948&amp;Result=3","7180948")</f>
        <v>0</v>
      </c>
      <c r="B7164" t="s">
        <v>2326</v>
      </c>
      <c r="C7164" t="s">
        <v>10372</v>
      </c>
      <c r="D7164" t="s">
        <v>17160</v>
      </c>
      <c r="E7164" t="s">
        <v>23443</v>
      </c>
      <c r="F7164" t="s">
        <v>29372</v>
      </c>
      <c r="G7164" t="s">
        <v>29383</v>
      </c>
      <c r="H7164" t="s">
        <v>11048</v>
      </c>
      <c r="I7164" t="s">
        <v>8614</v>
      </c>
      <c r="J7164" t="s">
        <v>29799</v>
      </c>
      <c r="K7164" t="s">
        <v>38491</v>
      </c>
      <c r="M7164" t="s">
        <v>41258</v>
      </c>
      <c r="N7164" t="s">
        <v>42669</v>
      </c>
      <c r="O7164" t="s">
        <v>42670</v>
      </c>
      <c r="P7164">
        <v>0</v>
      </c>
      <c r="Q7164">
        <v>2</v>
      </c>
      <c r="R7164" t="s">
        <v>42678</v>
      </c>
      <c r="S7164" t="s">
        <v>42866</v>
      </c>
      <c r="T7164" t="s">
        <v>44429</v>
      </c>
      <c r="U7164" t="s">
        <v>50672</v>
      </c>
      <c r="W7164" t="s">
        <v>41258</v>
      </c>
      <c r="X7164" t="s">
        <v>42679</v>
      </c>
    </row>
    <row r="7165" spans="1:24">
      <c r="A7165">
        <f>HYPERLINK("https://www.philgeps.gov.ph/GEPSNONPILOT/Tender/SplashBidNoticeAbstractUI.aspx?menuIndex=3&amp;refID=7180965&amp;Result=3","7180965")</f>
        <v>0</v>
      </c>
      <c r="B7165" t="s">
        <v>2291</v>
      </c>
      <c r="C7165" t="s">
        <v>10373</v>
      </c>
      <c r="D7165" t="s">
        <v>17167</v>
      </c>
      <c r="E7165" t="s">
        <v>23444</v>
      </c>
      <c r="F7165" t="s">
        <v>29372</v>
      </c>
      <c r="G7165" t="s">
        <v>29379</v>
      </c>
      <c r="H7165" t="s">
        <v>11048</v>
      </c>
      <c r="I7165" t="s">
        <v>29458</v>
      </c>
      <c r="J7165" t="s">
        <v>30010</v>
      </c>
      <c r="K7165" t="s">
        <v>38485</v>
      </c>
      <c r="M7165" t="s">
        <v>41218</v>
      </c>
      <c r="N7165" t="s">
        <v>42669</v>
      </c>
      <c r="O7165" t="s">
        <v>42670</v>
      </c>
      <c r="P7165">
        <v>0</v>
      </c>
      <c r="Q7165">
        <v>2</v>
      </c>
      <c r="R7165" t="s">
        <v>42678</v>
      </c>
      <c r="S7165" t="s">
        <v>42866</v>
      </c>
      <c r="T7165" t="s">
        <v>44512</v>
      </c>
      <c r="U7165" t="s">
        <v>50673</v>
      </c>
      <c r="W7165" t="s">
        <v>41218</v>
      </c>
      <c r="X7165" t="s">
        <v>42679</v>
      </c>
    </row>
    <row r="7166" spans="1:24">
      <c r="A7166">
        <f>HYPERLINK("https://www.philgeps.gov.ph/GEPSNONPILOT/Tender/SplashBidNoticeAbstractUI.aspx?menuIndex=3&amp;refID=7180942&amp;Result=3","7180942")</f>
        <v>0</v>
      </c>
      <c r="B7166" t="s">
        <v>1406</v>
      </c>
      <c r="C7166" t="s">
        <v>10374</v>
      </c>
      <c r="D7166" t="s">
        <v>17173</v>
      </c>
      <c r="E7166" t="s">
        <v>23445</v>
      </c>
      <c r="F7166" t="s">
        <v>29372</v>
      </c>
      <c r="G7166" t="s">
        <v>29380</v>
      </c>
      <c r="H7166" t="s">
        <v>11048</v>
      </c>
      <c r="I7166" t="s">
        <v>3839</v>
      </c>
      <c r="J7166" t="s">
        <v>29604</v>
      </c>
      <c r="K7166" t="s">
        <v>38518</v>
      </c>
      <c r="M7166" t="s">
        <v>40245</v>
      </c>
      <c r="N7166" t="s">
        <v>42669</v>
      </c>
      <c r="O7166" t="s">
        <v>42670</v>
      </c>
      <c r="P7166">
        <v>0</v>
      </c>
      <c r="Q7166">
        <v>5</v>
      </c>
      <c r="R7166" t="s">
        <v>42678</v>
      </c>
      <c r="S7166" t="s">
        <v>42866</v>
      </c>
      <c r="T7166" t="s">
        <v>44427</v>
      </c>
      <c r="U7166" t="s">
        <v>50674</v>
      </c>
      <c r="W7166" t="s">
        <v>40245</v>
      </c>
      <c r="X7166" t="s">
        <v>42679</v>
      </c>
    </row>
    <row r="7167" spans="1:24">
      <c r="A7167">
        <f>HYPERLINK("https://www.philgeps.gov.ph/GEPSNONPILOT/Tender/SplashBidNoticeAbstractUI.aspx?menuIndex=3&amp;refID=7180958&amp;Result=3","7180958")</f>
        <v>0</v>
      </c>
      <c r="B7167" t="s">
        <v>547</v>
      </c>
      <c r="C7167" t="s">
        <v>10375</v>
      </c>
      <c r="E7167" t="s">
        <v>23446</v>
      </c>
      <c r="F7167" t="s">
        <v>29372</v>
      </c>
      <c r="G7167" t="s">
        <v>29379</v>
      </c>
      <c r="H7167" t="s">
        <v>11048</v>
      </c>
      <c r="I7167" t="s">
        <v>29458</v>
      </c>
      <c r="J7167" t="s">
        <v>30427</v>
      </c>
      <c r="K7167" t="s">
        <v>38485</v>
      </c>
      <c r="M7167" t="s">
        <v>39363</v>
      </c>
      <c r="N7167" t="s">
        <v>42669</v>
      </c>
      <c r="O7167" t="s">
        <v>42670</v>
      </c>
      <c r="Q7167">
        <v>2</v>
      </c>
      <c r="R7167" t="s">
        <v>42678</v>
      </c>
      <c r="S7167" t="s">
        <v>42880</v>
      </c>
      <c r="T7167" t="s">
        <v>44378</v>
      </c>
      <c r="U7167" t="s">
        <v>50675</v>
      </c>
      <c r="W7167" t="s">
        <v>58018</v>
      </c>
      <c r="X7167" t="s">
        <v>42679</v>
      </c>
    </row>
    <row r="7168" spans="1:24">
      <c r="A7168">
        <f>HYPERLINK("https://www.philgeps.gov.ph/GEPSNONPILOT/Tender/SplashBidNoticeAbstractUI.aspx?menuIndex=3&amp;refID=7180938&amp;Result=3","7180938")</f>
        <v>0</v>
      </c>
      <c r="B7168" t="s">
        <v>2327</v>
      </c>
      <c r="C7168" t="s">
        <v>10376</v>
      </c>
      <c r="D7168" t="s">
        <v>17163</v>
      </c>
      <c r="E7168" t="s">
        <v>23447</v>
      </c>
      <c r="F7168" t="s">
        <v>29372</v>
      </c>
      <c r="G7168" t="s">
        <v>29379</v>
      </c>
      <c r="H7168" t="s">
        <v>11048</v>
      </c>
      <c r="I7168" t="s">
        <v>29396</v>
      </c>
      <c r="J7168" t="s">
        <v>34144</v>
      </c>
      <c r="K7168" t="s">
        <v>38488</v>
      </c>
      <c r="M7168" t="s">
        <v>41259</v>
      </c>
      <c r="N7168" t="s">
        <v>42669</v>
      </c>
      <c r="O7168" t="s">
        <v>42670</v>
      </c>
      <c r="P7168">
        <v>0</v>
      </c>
      <c r="Q7168">
        <v>0</v>
      </c>
      <c r="R7168" t="s">
        <v>42678</v>
      </c>
      <c r="S7168" t="s">
        <v>42866</v>
      </c>
      <c r="T7168" t="s">
        <v>44429</v>
      </c>
      <c r="U7168" t="s">
        <v>50676</v>
      </c>
      <c r="W7168" t="s">
        <v>41259</v>
      </c>
      <c r="X7168" t="s">
        <v>42679</v>
      </c>
    </row>
    <row r="7169" spans="1:24">
      <c r="A7169">
        <f>HYPERLINK("https://www.philgeps.gov.ph/GEPSNONPILOT/Tender/SplashBidNoticeAbstractUI.aspx?menuIndex=3&amp;refID=7178532&amp;Result=3","7178532")</f>
        <v>0</v>
      </c>
      <c r="B7169" t="s">
        <v>1917</v>
      </c>
      <c r="C7169" t="s">
        <v>10377</v>
      </c>
      <c r="D7169" t="s">
        <v>17148</v>
      </c>
      <c r="E7169" t="s">
        <v>23448</v>
      </c>
      <c r="F7169" t="s">
        <v>29372</v>
      </c>
      <c r="G7169" t="s">
        <v>29380</v>
      </c>
      <c r="H7169" t="s">
        <v>29389</v>
      </c>
      <c r="I7169" t="s">
        <v>29429</v>
      </c>
      <c r="J7169" t="s">
        <v>34145</v>
      </c>
      <c r="K7169" t="s">
        <v>38496</v>
      </c>
      <c r="M7169" t="s">
        <v>40792</v>
      </c>
      <c r="N7169" t="s">
        <v>42669</v>
      </c>
      <c r="O7169" t="s">
        <v>42670</v>
      </c>
      <c r="P7169">
        <v>0</v>
      </c>
      <c r="Q7169">
        <v>25</v>
      </c>
      <c r="R7169" t="s">
        <v>42678</v>
      </c>
      <c r="S7169" t="s">
        <v>42866</v>
      </c>
      <c r="T7169" t="s">
        <v>44635</v>
      </c>
      <c r="U7169" t="s">
        <v>50677</v>
      </c>
      <c r="W7169" t="s">
        <v>40792</v>
      </c>
      <c r="X7169" t="s">
        <v>42682</v>
      </c>
    </row>
    <row r="7170" spans="1:24">
      <c r="A7170">
        <f>HYPERLINK("https://www.philgeps.gov.ph/GEPSNONPILOT/Tender/SplashBidNoticeAbstractUI.aspx?menuIndex=3&amp;refID=7180953&amp;Result=3","7180953")</f>
        <v>0</v>
      </c>
      <c r="B7170" t="s">
        <v>1406</v>
      </c>
      <c r="C7170" t="s">
        <v>10378</v>
      </c>
      <c r="D7170" t="s">
        <v>17173</v>
      </c>
      <c r="E7170" t="s">
        <v>23449</v>
      </c>
      <c r="F7170" t="s">
        <v>29372</v>
      </c>
      <c r="G7170" t="s">
        <v>29380</v>
      </c>
      <c r="H7170" t="s">
        <v>11048</v>
      </c>
      <c r="I7170" t="s">
        <v>29393</v>
      </c>
      <c r="J7170" t="s">
        <v>34146</v>
      </c>
      <c r="K7170" t="s">
        <v>38518</v>
      </c>
      <c r="M7170" t="s">
        <v>40245</v>
      </c>
      <c r="N7170" t="s">
        <v>42669</v>
      </c>
      <c r="O7170" t="s">
        <v>42670</v>
      </c>
      <c r="P7170">
        <v>0</v>
      </c>
      <c r="Q7170">
        <v>0</v>
      </c>
      <c r="R7170" t="s">
        <v>42678</v>
      </c>
      <c r="S7170" t="s">
        <v>42866</v>
      </c>
      <c r="T7170" t="s">
        <v>44427</v>
      </c>
      <c r="U7170" t="s">
        <v>50674</v>
      </c>
      <c r="W7170" t="s">
        <v>40245</v>
      </c>
      <c r="X7170" t="s">
        <v>42679</v>
      </c>
    </row>
    <row r="7171" spans="1:24">
      <c r="A7171">
        <f>HYPERLINK("https://www.philgeps.gov.ph/GEPSNONPILOT/Tender/SplashBidNoticeAbstractUI.aspx?menuIndex=3&amp;refID=7180926&amp;Result=3","7180926")</f>
        <v>0</v>
      </c>
      <c r="B7171" t="s">
        <v>2020</v>
      </c>
      <c r="C7171" t="s">
        <v>10379</v>
      </c>
      <c r="D7171" t="s">
        <v>17177</v>
      </c>
      <c r="E7171" t="s">
        <v>23450</v>
      </c>
      <c r="F7171" t="s">
        <v>29372</v>
      </c>
      <c r="G7171" t="s">
        <v>29380</v>
      </c>
      <c r="H7171" t="s">
        <v>29389</v>
      </c>
      <c r="I7171" t="s">
        <v>10408</v>
      </c>
      <c r="J7171" t="s">
        <v>34147</v>
      </c>
      <c r="K7171" t="s">
        <v>38525</v>
      </c>
      <c r="M7171" t="s">
        <v>41241</v>
      </c>
      <c r="N7171" t="s">
        <v>42669</v>
      </c>
      <c r="O7171" t="s">
        <v>42670</v>
      </c>
      <c r="P7171">
        <v>0</v>
      </c>
      <c r="Q7171">
        <v>0</v>
      </c>
      <c r="R7171" t="s">
        <v>42678</v>
      </c>
      <c r="S7171" t="s">
        <v>42866</v>
      </c>
      <c r="T7171" t="s">
        <v>44363</v>
      </c>
      <c r="U7171" t="s">
        <v>50658</v>
      </c>
      <c r="V7171" t="s">
        <v>57146</v>
      </c>
      <c r="W7171" t="s">
        <v>41241</v>
      </c>
      <c r="X7171" t="s">
        <v>42679</v>
      </c>
    </row>
    <row r="7172" spans="1:24">
      <c r="A7172">
        <f>HYPERLINK("https://www.philgeps.gov.ph/GEPSNONPILOT/Tender/SplashBidNoticeAbstractUI.aspx?menuIndex=3&amp;refID=7180966&amp;Result=3","7180966")</f>
        <v>0</v>
      </c>
      <c r="B7172" t="s">
        <v>219</v>
      </c>
      <c r="C7172" t="s">
        <v>10380</v>
      </c>
      <c r="D7172" t="s">
        <v>17176</v>
      </c>
      <c r="E7172" t="s">
        <v>23451</v>
      </c>
      <c r="F7172" t="s">
        <v>29372</v>
      </c>
      <c r="G7172" t="s">
        <v>29380</v>
      </c>
      <c r="H7172" t="s">
        <v>11048</v>
      </c>
      <c r="I7172" t="s">
        <v>4709</v>
      </c>
      <c r="J7172" t="s">
        <v>34148</v>
      </c>
      <c r="K7172" t="s">
        <v>38488</v>
      </c>
      <c r="M7172" t="s">
        <v>38978</v>
      </c>
      <c r="N7172" t="s">
        <v>42669</v>
      </c>
      <c r="O7172" t="s">
        <v>42670</v>
      </c>
      <c r="P7172">
        <v>0</v>
      </c>
      <c r="Q7172">
        <v>0</v>
      </c>
      <c r="R7172" t="s">
        <v>42678</v>
      </c>
      <c r="S7172" t="s">
        <v>42866</v>
      </c>
      <c r="T7172" t="s">
        <v>44512</v>
      </c>
      <c r="U7172" t="s">
        <v>45627</v>
      </c>
      <c r="W7172" t="s">
        <v>38978</v>
      </c>
      <c r="X7172" t="s">
        <v>42679</v>
      </c>
    </row>
    <row r="7173" spans="1:24">
      <c r="A7173">
        <f>HYPERLINK("https://www.philgeps.gov.ph/GEPSNONPILOT/Tender/SplashBidNoticeAbstractUI.aspx?menuIndex=3&amp;refID=7181022&amp;Result=3","7181022")</f>
        <v>0</v>
      </c>
      <c r="B7173" t="s">
        <v>2328</v>
      </c>
      <c r="C7173" t="s">
        <v>10381</v>
      </c>
      <c r="D7173" t="s">
        <v>17202</v>
      </c>
      <c r="E7173" t="s">
        <v>23452</v>
      </c>
      <c r="F7173" t="s">
        <v>29372</v>
      </c>
      <c r="G7173" t="s">
        <v>29380</v>
      </c>
      <c r="H7173" t="s">
        <v>11048</v>
      </c>
      <c r="I7173" t="s">
        <v>29427</v>
      </c>
      <c r="J7173" t="s">
        <v>29604</v>
      </c>
      <c r="K7173" t="s">
        <v>38485</v>
      </c>
      <c r="M7173" t="s">
        <v>41260</v>
      </c>
      <c r="N7173" t="s">
        <v>42669</v>
      </c>
      <c r="O7173" t="s">
        <v>42670</v>
      </c>
      <c r="P7173">
        <v>0</v>
      </c>
      <c r="Q7173">
        <v>2</v>
      </c>
      <c r="R7173" t="s">
        <v>42678</v>
      </c>
      <c r="S7173" t="s">
        <v>42866</v>
      </c>
      <c r="T7173" t="s">
        <v>44745</v>
      </c>
      <c r="U7173" t="s">
        <v>50678</v>
      </c>
      <c r="W7173" t="s">
        <v>41260</v>
      </c>
      <c r="X7173" t="s">
        <v>42679</v>
      </c>
    </row>
    <row r="7174" spans="1:24">
      <c r="A7174">
        <f>HYPERLINK("https://www.philgeps.gov.ph/GEPSNONPILOT/Tender/SplashBidNoticeAbstractUI.aspx?menuIndex=3&amp;refID=7181019&amp;Result=3","7181019")</f>
        <v>0</v>
      </c>
      <c r="B7174" t="s">
        <v>2329</v>
      </c>
      <c r="C7174" t="s">
        <v>10382</v>
      </c>
      <c r="E7174" t="s">
        <v>23453</v>
      </c>
      <c r="F7174" t="s">
        <v>29372</v>
      </c>
      <c r="G7174" t="s">
        <v>29380</v>
      </c>
      <c r="H7174" t="s">
        <v>11048</v>
      </c>
      <c r="I7174" t="s">
        <v>3670</v>
      </c>
      <c r="J7174" t="s">
        <v>29824</v>
      </c>
      <c r="K7174" t="s">
        <v>38490</v>
      </c>
      <c r="M7174" t="s">
        <v>41261</v>
      </c>
      <c r="N7174" t="s">
        <v>42669</v>
      </c>
      <c r="O7174" t="s">
        <v>42670</v>
      </c>
      <c r="P7174">
        <v>0</v>
      </c>
      <c r="Q7174">
        <v>0</v>
      </c>
      <c r="R7174" t="s">
        <v>42678</v>
      </c>
      <c r="S7174" t="s">
        <v>42866</v>
      </c>
      <c r="T7174" t="s">
        <v>44375</v>
      </c>
      <c r="U7174" t="s">
        <v>50679</v>
      </c>
      <c r="W7174" t="s">
        <v>41261</v>
      </c>
      <c r="X7174" t="s">
        <v>42679</v>
      </c>
    </row>
    <row r="7175" spans="1:24">
      <c r="A7175">
        <f>HYPERLINK("https://www.philgeps.gov.ph/GEPSNONPILOT/Tender/SplashBidNoticeAbstractUI.aspx?menuIndex=3&amp;refID=7180928&amp;Result=3","7180928")</f>
        <v>0</v>
      </c>
      <c r="B7175" t="s">
        <v>2330</v>
      </c>
      <c r="C7175" t="s">
        <v>10383</v>
      </c>
      <c r="D7175" t="s">
        <v>17188</v>
      </c>
      <c r="E7175" t="s">
        <v>18800</v>
      </c>
      <c r="F7175" t="s">
        <v>29372</v>
      </c>
      <c r="G7175" t="s">
        <v>29381</v>
      </c>
      <c r="H7175" t="s">
        <v>11048</v>
      </c>
      <c r="I7175" t="s">
        <v>6417</v>
      </c>
      <c r="J7175" t="s">
        <v>30036</v>
      </c>
      <c r="K7175" t="s">
        <v>38485</v>
      </c>
      <c r="M7175" t="s">
        <v>41262</v>
      </c>
      <c r="N7175" t="s">
        <v>42669</v>
      </c>
      <c r="O7175" t="s">
        <v>42670</v>
      </c>
      <c r="P7175">
        <v>0</v>
      </c>
      <c r="Q7175">
        <v>1</v>
      </c>
      <c r="R7175" t="s">
        <v>42678</v>
      </c>
      <c r="S7175" t="s">
        <v>42866</v>
      </c>
      <c r="T7175" t="s">
        <v>44710</v>
      </c>
      <c r="U7175" t="s">
        <v>50680</v>
      </c>
      <c r="W7175" t="s">
        <v>41262</v>
      </c>
      <c r="X7175" t="s">
        <v>42679</v>
      </c>
    </row>
    <row r="7176" spans="1:24">
      <c r="A7176">
        <f>HYPERLINK("https://www.philgeps.gov.ph/GEPSNONPILOT/Tender/SplashBidNoticeAbstractUI.aspx?menuIndex=3&amp;refID=7180946&amp;Result=3","7180946")</f>
        <v>0</v>
      </c>
      <c r="B7176" t="s">
        <v>2020</v>
      </c>
      <c r="C7176" t="s">
        <v>10384</v>
      </c>
      <c r="D7176" t="s">
        <v>17177</v>
      </c>
      <c r="E7176" t="s">
        <v>23454</v>
      </c>
      <c r="F7176" t="s">
        <v>29372</v>
      </c>
      <c r="G7176" t="s">
        <v>29380</v>
      </c>
      <c r="H7176" t="s">
        <v>29389</v>
      </c>
      <c r="I7176" t="s">
        <v>10408</v>
      </c>
      <c r="J7176" t="s">
        <v>34149</v>
      </c>
      <c r="K7176" t="s">
        <v>38636</v>
      </c>
      <c r="M7176" t="s">
        <v>41241</v>
      </c>
      <c r="N7176" t="s">
        <v>42669</v>
      </c>
      <c r="O7176" t="s">
        <v>42670</v>
      </c>
      <c r="P7176">
        <v>0</v>
      </c>
      <c r="Q7176">
        <v>1</v>
      </c>
      <c r="R7176" t="s">
        <v>42678</v>
      </c>
      <c r="S7176" t="s">
        <v>42866</v>
      </c>
      <c r="T7176" t="s">
        <v>44363</v>
      </c>
      <c r="U7176" t="s">
        <v>50658</v>
      </c>
      <c r="V7176" t="s">
        <v>57146</v>
      </c>
      <c r="W7176" t="s">
        <v>41241</v>
      </c>
      <c r="X7176" t="s">
        <v>42679</v>
      </c>
    </row>
    <row r="7177" spans="1:24">
      <c r="A7177">
        <f>HYPERLINK("https://www.philgeps.gov.ph/GEPSNONPILOT/Tender/SplashBidNoticeAbstractUI.aspx?menuIndex=3&amp;refID=7181017&amp;Result=3","7181017")</f>
        <v>0</v>
      </c>
      <c r="B7177" t="s">
        <v>2331</v>
      </c>
      <c r="C7177" t="s">
        <v>10385</v>
      </c>
      <c r="D7177" t="s">
        <v>17174</v>
      </c>
      <c r="E7177" t="s">
        <v>23455</v>
      </c>
      <c r="F7177" t="s">
        <v>29372</v>
      </c>
      <c r="G7177" t="s">
        <v>29380</v>
      </c>
      <c r="H7177" t="s">
        <v>11048</v>
      </c>
      <c r="I7177" t="s">
        <v>4709</v>
      </c>
      <c r="J7177" t="s">
        <v>34150</v>
      </c>
      <c r="K7177" t="s">
        <v>38485</v>
      </c>
      <c r="M7177" t="s">
        <v>41263</v>
      </c>
      <c r="N7177" t="s">
        <v>42669</v>
      </c>
      <c r="O7177" t="s">
        <v>42670</v>
      </c>
      <c r="P7177">
        <v>0</v>
      </c>
      <c r="Q7177">
        <v>0</v>
      </c>
      <c r="R7177" t="s">
        <v>42678</v>
      </c>
      <c r="S7177" t="s">
        <v>42866</v>
      </c>
      <c r="T7177" t="s">
        <v>44510</v>
      </c>
      <c r="U7177" t="s">
        <v>50681</v>
      </c>
      <c r="W7177" t="s">
        <v>58084</v>
      </c>
      <c r="X7177" t="s">
        <v>42679</v>
      </c>
    </row>
    <row r="7178" spans="1:24">
      <c r="A7178">
        <f>HYPERLINK("https://www.philgeps.gov.ph/GEPSNONPILOT/Tender/SplashBidNoticeAbstractUI.aspx?menuIndex=3&amp;refID=7181013&amp;Result=3","7181013")</f>
        <v>0</v>
      </c>
      <c r="B7178" t="s">
        <v>2020</v>
      </c>
      <c r="C7178" t="s">
        <v>10386</v>
      </c>
      <c r="D7178" t="s">
        <v>17177</v>
      </c>
      <c r="E7178" t="s">
        <v>23456</v>
      </c>
      <c r="F7178" t="s">
        <v>29372</v>
      </c>
      <c r="G7178" t="s">
        <v>29380</v>
      </c>
      <c r="H7178" t="s">
        <v>29389</v>
      </c>
      <c r="I7178" t="s">
        <v>10408</v>
      </c>
      <c r="J7178" t="s">
        <v>34151</v>
      </c>
      <c r="K7178" t="s">
        <v>38495</v>
      </c>
      <c r="M7178" t="s">
        <v>41241</v>
      </c>
      <c r="N7178" t="s">
        <v>42669</v>
      </c>
      <c r="O7178" t="s">
        <v>42670</v>
      </c>
      <c r="P7178">
        <v>0</v>
      </c>
      <c r="Q7178">
        <v>0</v>
      </c>
      <c r="R7178" t="s">
        <v>42678</v>
      </c>
      <c r="S7178" t="s">
        <v>42866</v>
      </c>
      <c r="T7178" t="s">
        <v>44363</v>
      </c>
      <c r="U7178" t="s">
        <v>50669</v>
      </c>
      <c r="V7178" t="s">
        <v>57146</v>
      </c>
      <c r="W7178" t="s">
        <v>41241</v>
      </c>
      <c r="X7178" t="s">
        <v>42679</v>
      </c>
    </row>
    <row r="7179" spans="1:24">
      <c r="A7179">
        <f>HYPERLINK("https://www.philgeps.gov.ph/GEPSNONPILOT/Tender/SplashBidNoticeAbstractUI.aspx?menuIndex=3&amp;refID=7181011&amp;Result=3","7181011")</f>
        <v>0</v>
      </c>
      <c r="B7179" t="s">
        <v>820</v>
      </c>
      <c r="C7179" t="s">
        <v>10387</v>
      </c>
      <c r="D7179" t="s">
        <v>17165</v>
      </c>
      <c r="E7179" t="s">
        <v>21191</v>
      </c>
      <c r="F7179" t="s">
        <v>29372</v>
      </c>
      <c r="G7179" t="s">
        <v>29380</v>
      </c>
      <c r="H7179" t="s">
        <v>11048</v>
      </c>
      <c r="I7179" t="s">
        <v>3629</v>
      </c>
      <c r="J7179" t="s">
        <v>34152</v>
      </c>
      <c r="K7179" t="s">
        <v>38488</v>
      </c>
      <c r="M7179" t="s">
        <v>39606</v>
      </c>
      <c r="N7179" t="s">
        <v>42669</v>
      </c>
      <c r="O7179" t="s">
        <v>42670</v>
      </c>
      <c r="P7179">
        <v>0</v>
      </c>
      <c r="Q7179">
        <v>3</v>
      </c>
      <c r="R7179" t="s">
        <v>42678</v>
      </c>
      <c r="S7179" t="s">
        <v>42866</v>
      </c>
      <c r="T7179" t="s">
        <v>44504</v>
      </c>
      <c r="U7179" t="s">
        <v>50682</v>
      </c>
      <c r="W7179" t="s">
        <v>39606</v>
      </c>
      <c r="X7179" t="s">
        <v>42679</v>
      </c>
    </row>
    <row r="7180" spans="1:24">
      <c r="A7180">
        <f>HYPERLINK("https://www.philgeps.gov.ph/GEPSNONPILOT/Tender/SplashBidNoticeAbstractUI.aspx?menuIndex=3&amp;refID=7180933&amp;Result=3","7180933")</f>
        <v>0</v>
      </c>
      <c r="B7180" t="s">
        <v>2332</v>
      </c>
      <c r="C7180" t="s">
        <v>10388</v>
      </c>
      <c r="D7180" t="s">
        <v>17143</v>
      </c>
      <c r="E7180" t="s">
        <v>19716</v>
      </c>
      <c r="F7180" t="s">
        <v>29372</v>
      </c>
      <c r="G7180" t="s">
        <v>29383</v>
      </c>
      <c r="H7180" t="s">
        <v>11048</v>
      </c>
      <c r="I7180" t="s">
        <v>3952</v>
      </c>
      <c r="J7180" t="s">
        <v>34153</v>
      </c>
      <c r="K7180" t="s">
        <v>38490</v>
      </c>
      <c r="M7180" t="s">
        <v>41264</v>
      </c>
      <c r="N7180" t="s">
        <v>42669</v>
      </c>
      <c r="O7180" t="s">
        <v>42670</v>
      </c>
      <c r="P7180">
        <v>0</v>
      </c>
      <c r="Q7180">
        <v>3</v>
      </c>
      <c r="R7180" t="s">
        <v>42678</v>
      </c>
      <c r="S7180" t="s">
        <v>42866</v>
      </c>
      <c r="T7180" t="s">
        <v>44493</v>
      </c>
      <c r="U7180" t="s">
        <v>50683</v>
      </c>
      <c r="W7180" t="s">
        <v>41264</v>
      </c>
      <c r="X7180" t="s">
        <v>42679</v>
      </c>
    </row>
    <row r="7181" spans="1:24">
      <c r="A7181">
        <f>HYPERLINK("https://www.philgeps.gov.ph/GEPSNONPILOT/Tender/SplashBidNoticeAbstractUI.aspx?menuIndex=3&amp;refID=7181002&amp;Result=3","7181002")</f>
        <v>0</v>
      </c>
      <c r="B7181" t="s">
        <v>219</v>
      </c>
      <c r="C7181" t="s">
        <v>10389</v>
      </c>
      <c r="D7181" t="s">
        <v>17176</v>
      </c>
      <c r="E7181" t="s">
        <v>23457</v>
      </c>
      <c r="F7181" t="s">
        <v>29372</v>
      </c>
      <c r="G7181" t="s">
        <v>29380</v>
      </c>
      <c r="H7181" t="s">
        <v>11048</v>
      </c>
      <c r="I7181" t="s">
        <v>4709</v>
      </c>
      <c r="J7181" t="s">
        <v>34154</v>
      </c>
      <c r="K7181" t="s">
        <v>38488</v>
      </c>
      <c r="M7181" t="s">
        <v>38978</v>
      </c>
      <c r="N7181" t="s">
        <v>42669</v>
      </c>
      <c r="O7181" t="s">
        <v>42670</v>
      </c>
      <c r="P7181">
        <v>0</v>
      </c>
      <c r="Q7181">
        <v>0</v>
      </c>
      <c r="R7181" t="s">
        <v>42678</v>
      </c>
      <c r="S7181" t="s">
        <v>42866</v>
      </c>
      <c r="T7181" t="s">
        <v>44382</v>
      </c>
      <c r="U7181" t="s">
        <v>45627</v>
      </c>
      <c r="W7181" t="s">
        <v>38978</v>
      </c>
      <c r="X7181" t="s">
        <v>42679</v>
      </c>
    </row>
    <row r="7182" spans="1:24">
      <c r="A7182">
        <f>HYPERLINK("https://www.philgeps.gov.ph/GEPSNONPILOT/Tender/SplashBidNoticeAbstractUI.aspx?menuIndex=3&amp;refID=7180997&amp;Result=3","7180997")</f>
        <v>0</v>
      </c>
      <c r="B7182" t="s">
        <v>2020</v>
      </c>
      <c r="C7182" t="s">
        <v>10390</v>
      </c>
      <c r="D7182" t="s">
        <v>17177</v>
      </c>
      <c r="E7182" t="s">
        <v>23458</v>
      </c>
      <c r="F7182" t="s">
        <v>29372</v>
      </c>
      <c r="G7182" t="s">
        <v>29380</v>
      </c>
      <c r="H7182" t="s">
        <v>29389</v>
      </c>
      <c r="I7182" t="s">
        <v>10408</v>
      </c>
      <c r="J7182" t="s">
        <v>34155</v>
      </c>
      <c r="K7182" t="s">
        <v>38496</v>
      </c>
      <c r="M7182" t="s">
        <v>41241</v>
      </c>
      <c r="N7182" t="s">
        <v>42669</v>
      </c>
      <c r="O7182" t="s">
        <v>42670</v>
      </c>
      <c r="P7182">
        <v>0</v>
      </c>
      <c r="Q7182">
        <v>0</v>
      </c>
      <c r="R7182" t="s">
        <v>42678</v>
      </c>
      <c r="S7182" t="s">
        <v>42866</v>
      </c>
      <c r="T7182" t="s">
        <v>44363</v>
      </c>
      <c r="U7182" t="s">
        <v>50669</v>
      </c>
      <c r="V7182" t="s">
        <v>57146</v>
      </c>
      <c r="W7182" t="s">
        <v>41241</v>
      </c>
      <c r="X7182" t="s">
        <v>42679</v>
      </c>
    </row>
    <row r="7183" spans="1:24">
      <c r="A7183">
        <f>HYPERLINK("https://www.philgeps.gov.ph/GEPSNONPILOT/Tender/SplashBidNoticeAbstractUI.aspx?menuIndex=3&amp;refID=7180993&amp;Result=3","7180993")</f>
        <v>0</v>
      </c>
      <c r="B7183" t="s">
        <v>2333</v>
      </c>
      <c r="C7183" t="s">
        <v>10391</v>
      </c>
      <c r="D7183" t="s">
        <v>17174</v>
      </c>
      <c r="E7183" t="s">
        <v>17994</v>
      </c>
      <c r="F7183" t="s">
        <v>29372</v>
      </c>
      <c r="G7183" t="s">
        <v>29380</v>
      </c>
      <c r="H7183" t="s">
        <v>11048</v>
      </c>
      <c r="I7183" t="s">
        <v>4709</v>
      </c>
      <c r="J7183" t="s">
        <v>34156</v>
      </c>
      <c r="K7183" t="s">
        <v>38491</v>
      </c>
      <c r="L7183" t="s">
        <v>2333</v>
      </c>
      <c r="M7183" t="s">
        <v>41265</v>
      </c>
      <c r="N7183" t="s">
        <v>42669</v>
      </c>
      <c r="O7183" t="s">
        <v>42670</v>
      </c>
      <c r="P7183">
        <v>0</v>
      </c>
      <c r="Q7183">
        <v>0</v>
      </c>
      <c r="R7183" t="s">
        <v>42678</v>
      </c>
      <c r="S7183" t="s">
        <v>42866</v>
      </c>
      <c r="T7183" t="s">
        <v>44512</v>
      </c>
      <c r="U7183" t="s">
        <v>50684</v>
      </c>
      <c r="W7183" t="s">
        <v>41265</v>
      </c>
      <c r="X7183" t="s">
        <v>42679</v>
      </c>
    </row>
    <row r="7184" spans="1:24">
      <c r="A7184">
        <f>HYPERLINK("https://www.philgeps.gov.ph/GEPSNONPILOT/Tender/SplashBidNoticeAbstractUI.aspx?menuIndex=3&amp;refID=7181021&amp;Result=3","7181021")</f>
        <v>0</v>
      </c>
      <c r="B7184" t="s">
        <v>2020</v>
      </c>
      <c r="C7184" t="s">
        <v>10392</v>
      </c>
      <c r="D7184" t="s">
        <v>17177</v>
      </c>
      <c r="E7184" t="s">
        <v>23459</v>
      </c>
      <c r="F7184" t="s">
        <v>29372</v>
      </c>
      <c r="G7184" t="s">
        <v>29380</v>
      </c>
      <c r="H7184" t="s">
        <v>29389</v>
      </c>
      <c r="I7184" t="s">
        <v>10408</v>
      </c>
      <c r="J7184" t="s">
        <v>34157</v>
      </c>
      <c r="K7184" t="s">
        <v>38496</v>
      </c>
      <c r="M7184" t="s">
        <v>41241</v>
      </c>
      <c r="N7184" t="s">
        <v>42669</v>
      </c>
      <c r="O7184" t="s">
        <v>42670</v>
      </c>
      <c r="P7184">
        <v>0</v>
      </c>
      <c r="Q7184">
        <v>0</v>
      </c>
      <c r="R7184" t="s">
        <v>42678</v>
      </c>
      <c r="S7184" t="s">
        <v>42866</v>
      </c>
      <c r="T7184" t="s">
        <v>44363</v>
      </c>
      <c r="U7184" t="s">
        <v>50669</v>
      </c>
      <c r="V7184" t="s">
        <v>57146</v>
      </c>
      <c r="W7184" t="s">
        <v>41241</v>
      </c>
      <c r="X7184" t="s">
        <v>42679</v>
      </c>
    </row>
    <row r="7185" spans="1:24">
      <c r="A7185">
        <f>HYPERLINK("https://www.philgeps.gov.ph/GEPSNONPILOT/Tender/SplashBidNoticeAbstractUI.aspx?menuIndex=3&amp;refID=7180991&amp;Result=3","7180991")</f>
        <v>0</v>
      </c>
      <c r="B7185" t="s">
        <v>948</v>
      </c>
      <c r="C7185" t="s">
        <v>10393</v>
      </c>
      <c r="D7185" t="s">
        <v>17183</v>
      </c>
      <c r="E7185" t="s">
        <v>23460</v>
      </c>
      <c r="F7185" t="s">
        <v>29372</v>
      </c>
      <c r="G7185" t="s">
        <v>29383</v>
      </c>
      <c r="H7185" t="s">
        <v>11048</v>
      </c>
      <c r="I7185" t="s">
        <v>9469</v>
      </c>
      <c r="J7185" t="s">
        <v>30886</v>
      </c>
      <c r="K7185" t="s">
        <v>38491</v>
      </c>
      <c r="M7185" t="s">
        <v>39744</v>
      </c>
      <c r="N7185" t="s">
        <v>42669</v>
      </c>
      <c r="O7185" t="s">
        <v>42670</v>
      </c>
      <c r="P7185">
        <v>0</v>
      </c>
      <c r="Q7185">
        <v>0</v>
      </c>
      <c r="R7185" t="s">
        <v>42678</v>
      </c>
      <c r="S7185" t="s">
        <v>42866</v>
      </c>
      <c r="T7185" t="s">
        <v>44491</v>
      </c>
      <c r="U7185" t="s">
        <v>50685</v>
      </c>
      <c r="W7185" t="s">
        <v>39744</v>
      </c>
      <c r="X7185" t="s">
        <v>42679</v>
      </c>
    </row>
    <row r="7186" spans="1:24">
      <c r="A7186">
        <f>HYPERLINK("https://www.philgeps.gov.ph/GEPSNONPILOT/Tender/SplashBidNoticeAbstractUI.aspx?menuIndex=3&amp;refID=7180992&amp;Result=3","7180992")</f>
        <v>0</v>
      </c>
      <c r="B7186" t="s">
        <v>1971</v>
      </c>
      <c r="C7186" t="s">
        <v>10394</v>
      </c>
      <c r="D7186" t="s">
        <v>17199</v>
      </c>
      <c r="E7186" t="s">
        <v>23461</v>
      </c>
      <c r="F7186" t="s">
        <v>29372</v>
      </c>
      <c r="G7186" t="s">
        <v>29380</v>
      </c>
      <c r="H7186" t="s">
        <v>29389</v>
      </c>
      <c r="I7186" t="s">
        <v>10408</v>
      </c>
      <c r="J7186" t="s">
        <v>30244</v>
      </c>
      <c r="K7186" t="s">
        <v>38522</v>
      </c>
      <c r="M7186" t="s">
        <v>41266</v>
      </c>
      <c r="N7186" t="s">
        <v>42669</v>
      </c>
      <c r="O7186" t="s">
        <v>42670</v>
      </c>
      <c r="P7186">
        <v>0</v>
      </c>
      <c r="Q7186">
        <v>3</v>
      </c>
      <c r="R7186" t="s">
        <v>42678</v>
      </c>
      <c r="S7186" t="s">
        <v>42866</v>
      </c>
      <c r="T7186" t="s">
        <v>44664</v>
      </c>
      <c r="U7186" t="s">
        <v>50686</v>
      </c>
      <c r="V7186" t="s">
        <v>57158</v>
      </c>
      <c r="W7186" t="s">
        <v>41266</v>
      </c>
      <c r="X7186" t="s">
        <v>42679</v>
      </c>
    </row>
    <row r="7187" spans="1:24">
      <c r="A7187">
        <f>HYPERLINK("https://www.philgeps.gov.ph/GEPSNONPILOT/Tender/SplashBidNoticeAbstractUI.aspx?menuIndex=3&amp;refID=7180987&amp;Result=3","7180987")</f>
        <v>0</v>
      </c>
      <c r="B7187" t="s">
        <v>2334</v>
      </c>
      <c r="C7187" t="s">
        <v>10395</v>
      </c>
      <c r="D7187" t="s">
        <v>17160</v>
      </c>
      <c r="E7187" t="s">
        <v>23462</v>
      </c>
      <c r="F7187" t="s">
        <v>29372</v>
      </c>
      <c r="G7187" t="s">
        <v>29379</v>
      </c>
      <c r="H7187" t="s">
        <v>29389</v>
      </c>
      <c r="I7187" t="s">
        <v>10408</v>
      </c>
      <c r="J7187" t="s">
        <v>34158</v>
      </c>
      <c r="K7187" t="s">
        <v>38491</v>
      </c>
      <c r="M7187" t="s">
        <v>41267</v>
      </c>
      <c r="N7187" t="s">
        <v>42669</v>
      </c>
      <c r="O7187" t="s">
        <v>42670</v>
      </c>
      <c r="P7187">
        <v>0</v>
      </c>
      <c r="Q7187">
        <v>0</v>
      </c>
      <c r="R7187" t="s">
        <v>42678</v>
      </c>
      <c r="S7187" t="s">
        <v>42866</v>
      </c>
      <c r="T7187" t="s">
        <v>44512</v>
      </c>
      <c r="U7187" t="s">
        <v>50687</v>
      </c>
      <c r="W7187" t="s">
        <v>41267</v>
      </c>
      <c r="X7187" t="s">
        <v>42679</v>
      </c>
    </row>
    <row r="7188" spans="1:24">
      <c r="A7188">
        <f>HYPERLINK("https://www.philgeps.gov.ph/GEPSNONPILOT/Tender/SplashBidNoticeAbstractUI.aspx?menuIndex=3&amp;refID=7180984&amp;Result=3","7180984")</f>
        <v>0</v>
      </c>
      <c r="B7188" t="s">
        <v>219</v>
      </c>
      <c r="C7188" t="s">
        <v>10396</v>
      </c>
      <c r="D7188" t="s">
        <v>17176</v>
      </c>
      <c r="E7188" t="s">
        <v>23463</v>
      </c>
      <c r="F7188" t="s">
        <v>29372</v>
      </c>
      <c r="G7188" t="s">
        <v>29380</v>
      </c>
      <c r="H7188" t="s">
        <v>11048</v>
      </c>
      <c r="I7188" t="s">
        <v>4709</v>
      </c>
      <c r="J7188" t="s">
        <v>34159</v>
      </c>
      <c r="K7188" t="s">
        <v>38488</v>
      </c>
      <c r="M7188" t="s">
        <v>38978</v>
      </c>
      <c r="N7188" t="s">
        <v>42669</v>
      </c>
      <c r="O7188" t="s">
        <v>42670</v>
      </c>
      <c r="P7188">
        <v>0</v>
      </c>
      <c r="Q7188">
        <v>0</v>
      </c>
      <c r="R7188" t="s">
        <v>42678</v>
      </c>
      <c r="S7188" t="s">
        <v>42866</v>
      </c>
      <c r="T7188" t="s">
        <v>44512</v>
      </c>
      <c r="U7188" t="s">
        <v>45627</v>
      </c>
      <c r="W7188" t="s">
        <v>38978</v>
      </c>
      <c r="X7188" t="s">
        <v>42679</v>
      </c>
    </row>
    <row r="7189" spans="1:24">
      <c r="A7189">
        <f>HYPERLINK("https://www.philgeps.gov.ph/GEPSNONPILOT/Tender/SplashBidNoticeAbstractUI.aspx?menuIndex=3&amp;refID=7181007&amp;Result=3","7181007")</f>
        <v>0</v>
      </c>
      <c r="B7189" t="s">
        <v>2335</v>
      </c>
      <c r="C7189" t="s">
        <v>10397</v>
      </c>
      <c r="D7189" t="s">
        <v>17225</v>
      </c>
      <c r="E7189" t="s">
        <v>23464</v>
      </c>
      <c r="F7189" t="s">
        <v>29372</v>
      </c>
      <c r="G7189" t="s">
        <v>29379</v>
      </c>
      <c r="H7189" t="s">
        <v>11048</v>
      </c>
      <c r="I7189" t="s">
        <v>29419</v>
      </c>
      <c r="J7189" t="s">
        <v>29625</v>
      </c>
      <c r="K7189" t="s">
        <v>38491</v>
      </c>
      <c r="M7189" t="s">
        <v>41268</v>
      </c>
      <c r="N7189" t="s">
        <v>42669</v>
      </c>
      <c r="O7189" t="s">
        <v>42670</v>
      </c>
      <c r="P7189">
        <v>0</v>
      </c>
      <c r="Q7189">
        <v>1</v>
      </c>
      <c r="R7189" t="s">
        <v>42678</v>
      </c>
      <c r="S7189" t="s">
        <v>42866</v>
      </c>
      <c r="T7189" t="s">
        <v>44394</v>
      </c>
      <c r="U7189" t="s">
        <v>50688</v>
      </c>
      <c r="W7189" t="s">
        <v>41268</v>
      </c>
      <c r="X7189" t="s">
        <v>42679</v>
      </c>
    </row>
    <row r="7190" spans="1:24">
      <c r="A7190">
        <f>HYPERLINK("https://www.philgeps.gov.ph/GEPSNONPILOT/Tender/SplashBidNoticeAbstractUI.aspx?menuIndex=3&amp;refID=7180977&amp;Result=3","7180977")</f>
        <v>0</v>
      </c>
      <c r="B7190" t="s">
        <v>2020</v>
      </c>
      <c r="C7190" t="s">
        <v>10398</v>
      </c>
      <c r="D7190" t="s">
        <v>17177</v>
      </c>
      <c r="E7190" t="s">
        <v>23465</v>
      </c>
      <c r="F7190" t="s">
        <v>29372</v>
      </c>
      <c r="G7190" t="s">
        <v>29380</v>
      </c>
      <c r="H7190" t="s">
        <v>29389</v>
      </c>
      <c r="I7190" t="s">
        <v>29398</v>
      </c>
      <c r="J7190" t="s">
        <v>34160</v>
      </c>
      <c r="K7190" t="s">
        <v>38525</v>
      </c>
      <c r="M7190" t="s">
        <v>41241</v>
      </c>
      <c r="N7190" t="s">
        <v>42669</v>
      </c>
      <c r="O7190" t="s">
        <v>42670</v>
      </c>
      <c r="P7190">
        <v>0</v>
      </c>
      <c r="Q7190">
        <v>1</v>
      </c>
      <c r="R7190" t="s">
        <v>42678</v>
      </c>
      <c r="S7190" t="s">
        <v>42866</v>
      </c>
      <c r="T7190" t="s">
        <v>44363</v>
      </c>
      <c r="U7190" t="s">
        <v>50669</v>
      </c>
      <c r="V7190" t="s">
        <v>57146</v>
      </c>
      <c r="W7190" t="s">
        <v>41241</v>
      </c>
      <c r="X7190" t="s">
        <v>42679</v>
      </c>
    </row>
    <row r="7191" spans="1:24">
      <c r="A7191">
        <f>HYPERLINK("https://www.philgeps.gov.ph/GEPSNONPILOT/Tender/SplashBidNoticeAbstractUI.aspx?menuIndex=3&amp;refID=7180976&amp;Result=3","7180976")</f>
        <v>0</v>
      </c>
      <c r="B7191" t="s">
        <v>2336</v>
      </c>
      <c r="C7191" t="s">
        <v>10399</v>
      </c>
      <c r="E7191" t="s">
        <v>23466</v>
      </c>
      <c r="F7191" t="s">
        <v>29372</v>
      </c>
      <c r="G7191" t="s">
        <v>29380</v>
      </c>
      <c r="H7191" t="s">
        <v>29389</v>
      </c>
      <c r="I7191" t="s">
        <v>10408</v>
      </c>
      <c r="J7191" t="s">
        <v>34161</v>
      </c>
      <c r="K7191" t="s">
        <v>38680</v>
      </c>
      <c r="M7191" t="s">
        <v>41269</v>
      </c>
      <c r="N7191" t="s">
        <v>42669</v>
      </c>
      <c r="O7191" t="s">
        <v>42670</v>
      </c>
      <c r="P7191">
        <v>0</v>
      </c>
      <c r="Q7191">
        <v>3</v>
      </c>
      <c r="R7191" t="s">
        <v>42678</v>
      </c>
      <c r="S7191" t="s">
        <v>42866</v>
      </c>
      <c r="T7191" t="s">
        <v>44368</v>
      </c>
      <c r="U7191" t="s">
        <v>50689</v>
      </c>
      <c r="V7191" t="s">
        <v>57159</v>
      </c>
      <c r="W7191" t="s">
        <v>41269</v>
      </c>
      <c r="X7191" t="s">
        <v>42679</v>
      </c>
    </row>
    <row r="7192" spans="1:24">
      <c r="A7192">
        <f>HYPERLINK("https://www.philgeps.gov.ph/GEPSNONPILOT/Tender/SplashBidNoticeAbstractUI.aspx?menuIndex=3&amp;refID=7180972&amp;Result=3","7180972")</f>
        <v>0</v>
      </c>
      <c r="B7192" t="s">
        <v>912</v>
      </c>
      <c r="C7192" t="s">
        <v>10400</v>
      </c>
      <c r="D7192" t="s">
        <v>17147</v>
      </c>
      <c r="E7192" t="s">
        <v>17730</v>
      </c>
      <c r="F7192" t="s">
        <v>29372</v>
      </c>
      <c r="G7192" t="s">
        <v>29380</v>
      </c>
      <c r="H7192" t="s">
        <v>29389</v>
      </c>
      <c r="I7192" t="s">
        <v>29402</v>
      </c>
      <c r="J7192" t="s">
        <v>30032</v>
      </c>
      <c r="K7192" t="s">
        <v>38488</v>
      </c>
      <c r="M7192" t="s">
        <v>39705</v>
      </c>
      <c r="N7192" t="s">
        <v>42669</v>
      </c>
      <c r="O7192" t="s">
        <v>42670</v>
      </c>
      <c r="P7192">
        <v>0</v>
      </c>
      <c r="Q7192">
        <v>0</v>
      </c>
      <c r="R7192" t="s">
        <v>42678</v>
      </c>
      <c r="S7192" t="s">
        <v>42866</v>
      </c>
      <c r="T7192" t="s">
        <v>44488</v>
      </c>
      <c r="U7192" t="s">
        <v>50690</v>
      </c>
      <c r="W7192" t="s">
        <v>39705</v>
      </c>
      <c r="X7192" t="s">
        <v>42679</v>
      </c>
    </row>
    <row r="7193" spans="1:24">
      <c r="A7193">
        <f>HYPERLINK("https://www.philgeps.gov.ph/GEPSNONPILOT/Tender/SplashBidNoticeAbstractUI.aspx?menuIndex=3&amp;refID=7180924&amp;Result=3","7180924")</f>
        <v>0</v>
      </c>
      <c r="B7193" t="s">
        <v>1682</v>
      </c>
      <c r="C7193" t="s">
        <v>10401</v>
      </c>
      <c r="D7193" t="s">
        <v>17164</v>
      </c>
      <c r="E7193" t="s">
        <v>23467</v>
      </c>
      <c r="F7193" t="s">
        <v>29372</v>
      </c>
      <c r="G7193" t="s">
        <v>29380</v>
      </c>
      <c r="H7193" t="s">
        <v>11048</v>
      </c>
      <c r="I7193" t="s">
        <v>29394</v>
      </c>
      <c r="J7193" t="s">
        <v>29526</v>
      </c>
      <c r="K7193" t="s">
        <v>38518</v>
      </c>
      <c r="M7193" t="s">
        <v>40542</v>
      </c>
      <c r="N7193" t="s">
        <v>42669</v>
      </c>
      <c r="O7193" t="s">
        <v>42670</v>
      </c>
      <c r="P7193">
        <v>0</v>
      </c>
      <c r="Q7193">
        <v>6</v>
      </c>
      <c r="R7193" t="s">
        <v>42678</v>
      </c>
      <c r="S7193" t="s">
        <v>42866</v>
      </c>
      <c r="T7193" t="s">
        <v>44368</v>
      </c>
      <c r="U7193" t="s">
        <v>50691</v>
      </c>
      <c r="W7193" t="s">
        <v>40542</v>
      </c>
      <c r="X7193" t="s">
        <v>42679</v>
      </c>
    </row>
    <row r="7194" spans="1:24">
      <c r="A7194">
        <f>HYPERLINK("https://www.philgeps.gov.ph/GEPSNONPILOT/Tender/SplashBidNoticeAbstractUI.aspx?menuIndex=3&amp;refID=7181023&amp;Result=3","7181023")</f>
        <v>0</v>
      </c>
      <c r="B7194" t="s">
        <v>1638</v>
      </c>
      <c r="C7194" t="s">
        <v>10402</v>
      </c>
      <c r="D7194" t="s">
        <v>17213</v>
      </c>
      <c r="E7194" t="s">
        <v>23468</v>
      </c>
      <c r="F7194" t="s">
        <v>29372</v>
      </c>
      <c r="G7194" t="s">
        <v>29383</v>
      </c>
      <c r="H7194" t="s">
        <v>11048</v>
      </c>
      <c r="I7194" t="s">
        <v>4709</v>
      </c>
      <c r="J7194" t="s">
        <v>34162</v>
      </c>
      <c r="K7194" t="s">
        <v>38490</v>
      </c>
      <c r="M7194" t="s">
        <v>40494</v>
      </c>
      <c r="N7194" t="s">
        <v>42669</v>
      </c>
      <c r="O7194" t="s">
        <v>42670</v>
      </c>
      <c r="P7194">
        <v>0</v>
      </c>
      <c r="Q7194">
        <v>0</v>
      </c>
      <c r="R7194" t="s">
        <v>42678</v>
      </c>
      <c r="S7194" t="s">
        <v>42866</v>
      </c>
      <c r="T7194" t="s">
        <v>44401</v>
      </c>
      <c r="U7194" t="s">
        <v>50692</v>
      </c>
      <c r="W7194" t="s">
        <v>58050</v>
      </c>
      <c r="X7194" t="s">
        <v>42679</v>
      </c>
    </row>
    <row r="7195" spans="1:24">
      <c r="A7195">
        <f>HYPERLINK("https://www.philgeps.gov.ph/GEPSNONPILOT/Tender/SplashBidNoticeAbstractUI.aspx?menuIndex=3&amp;refID=7180940&amp;Result=3","7180940")</f>
        <v>0</v>
      </c>
      <c r="B7195" t="s">
        <v>2321</v>
      </c>
      <c r="C7195" t="s">
        <v>10403</v>
      </c>
      <c r="D7195" t="s">
        <v>17172</v>
      </c>
      <c r="E7195" t="s">
        <v>23469</v>
      </c>
      <c r="F7195" t="s">
        <v>29372</v>
      </c>
      <c r="G7195" t="s">
        <v>29379</v>
      </c>
      <c r="H7195" t="s">
        <v>11048</v>
      </c>
      <c r="I7195" t="s">
        <v>29415</v>
      </c>
      <c r="J7195" t="s">
        <v>29587</v>
      </c>
      <c r="K7195" t="s">
        <v>38567</v>
      </c>
      <c r="M7195" t="s">
        <v>41253</v>
      </c>
      <c r="N7195" t="s">
        <v>42669</v>
      </c>
      <c r="O7195" t="s">
        <v>42670</v>
      </c>
      <c r="P7195">
        <v>0</v>
      </c>
      <c r="Q7195">
        <v>3</v>
      </c>
      <c r="R7195" t="s">
        <v>42678</v>
      </c>
      <c r="S7195" t="s">
        <v>42866</v>
      </c>
      <c r="T7195" t="s">
        <v>44425</v>
      </c>
      <c r="U7195" t="s">
        <v>50693</v>
      </c>
      <c r="W7195" t="s">
        <v>41253</v>
      </c>
      <c r="X7195" t="s">
        <v>42679</v>
      </c>
    </row>
    <row r="7196" spans="1:24">
      <c r="A7196">
        <f>HYPERLINK("https://www.philgeps.gov.ph/GEPSNONPILOT/Tender/SplashBidNoticeAbstractUI.aspx?menuIndex=3&amp;refID=7180990&amp;Result=3","7180990")</f>
        <v>0</v>
      </c>
      <c r="B7196" t="s">
        <v>2337</v>
      </c>
      <c r="C7196" t="s">
        <v>10404</v>
      </c>
      <c r="D7196" t="s">
        <v>17206</v>
      </c>
      <c r="E7196" t="s">
        <v>23470</v>
      </c>
      <c r="F7196" t="s">
        <v>29372</v>
      </c>
      <c r="G7196" t="s">
        <v>29380</v>
      </c>
      <c r="H7196" t="s">
        <v>29389</v>
      </c>
      <c r="I7196" t="s">
        <v>10408</v>
      </c>
      <c r="J7196" t="s">
        <v>34163</v>
      </c>
      <c r="K7196" t="s">
        <v>38525</v>
      </c>
      <c r="M7196" t="s">
        <v>41270</v>
      </c>
      <c r="N7196" t="s">
        <v>42669</v>
      </c>
      <c r="O7196" t="s">
        <v>42670</v>
      </c>
      <c r="P7196">
        <v>0</v>
      </c>
      <c r="Q7196">
        <v>5</v>
      </c>
      <c r="R7196" t="s">
        <v>42678</v>
      </c>
      <c r="S7196" t="s">
        <v>42866</v>
      </c>
      <c r="T7196" t="s">
        <v>44517</v>
      </c>
      <c r="U7196" t="s">
        <v>50694</v>
      </c>
      <c r="W7196" t="s">
        <v>41270</v>
      </c>
      <c r="X7196" t="s">
        <v>42679</v>
      </c>
    </row>
    <row r="7197" spans="1:24">
      <c r="A7197">
        <f>HYPERLINK("https://www.philgeps.gov.ph/GEPSNONPILOT/Tender/SplashBidNoticeAbstractUI.aspx?menuIndex=3&amp;refID=7181018&amp;Result=3","7181018")</f>
        <v>0</v>
      </c>
      <c r="B7197" t="s">
        <v>2338</v>
      </c>
      <c r="C7197" t="s">
        <v>10405</v>
      </c>
      <c r="D7197" t="s">
        <v>17160</v>
      </c>
      <c r="E7197" t="s">
        <v>23471</v>
      </c>
      <c r="F7197" t="s">
        <v>29372</v>
      </c>
      <c r="G7197" t="s">
        <v>29380</v>
      </c>
      <c r="H7197" t="s">
        <v>11048</v>
      </c>
      <c r="I7197" t="s">
        <v>4709</v>
      </c>
      <c r="J7197" t="s">
        <v>34164</v>
      </c>
      <c r="K7197" t="s">
        <v>38518</v>
      </c>
      <c r="M7197" t="s">
        <v>41271</v>
      </c>
      <c r="N7197" t="s">
        <v>42669</v>
      </c>
      <c r="O7197" t="s">
        <v>42670</v>
      </c>
      <c r="P7197">
        <v>0</v>
      </c>
      <c r="Q7197">
        <v>4</v>
      </c>
      <c r="R7197" t="s">
        <v>42678</v>
      </c>
      <c r="S7197" t="s">
        <v>42866</v>
      </c>
      <c r="T7197" t="s">
        <v>44368</v>
      </c>
      <c r="U7197" t="s">
        <v>50695</v>
      </c>
      <c r="W7197" t="s">
        <v>41271</v>
      </c>
      <c r="X7197" t="s">
        <v>42679</v>
      </c>
    </row>
    <row r="7198" spans="1:24">
      <c r="A7198">
        <f>HYPERLINK("https://www.philgeps.gov.ph/GEPSNONPILOT/Tender/SplashBidNoticeAbstractUI.aspx?menuIndex=3&amp;refID=7181064&amp;Result=3","7181064")</f>
        <v>0</v>
      </c>
      <c r="B7198" t="s">
        <v>547</v>
      </c>
      <c r="C7198" t="s">
        <v>10406</v>
      </c>
      <c r="E7198" t="s">
        <v>23472</v>
      </c>
      <c r="F7198" t="s">
        <v>29372</v>
      </c>
      <c r="G7198" t="s">
        <v>29379</v>
      </c>
      <c r="H7198" t="s">
        <v>11048</v>
      </c>
      <c r="I7198" t="s">
        <v>29433</v>
      </c>
      <c r="J7198" t="s">
        <v>34165</v>
      </c>
      <c r="K7198" t="s">
        <v>38485</v>
      </c>
      <c r="M7198" t="s">
        <v>39363</v>
      </c>
      <c r="N7198" t="s">
        <v>42669</v>
      </c>
      <c r="O7198" t="s">
        <v>42670</v>
      </c>
      <c r="Q7198">
        <v>2</v>
      </c>
      <c r="R7198" t="s">
        <v>42678</v>
      </c>
      <c r="S7198" t="s">
        <v>42881</v>
      </c>
      <c r="T7198" t="s">
        <v>44378</v>
      </c>
      <c r="U7198" t="s">
        <v>50696</v>
      </c>
      <c r="W7198" t="s">
        <v>58018</v>
      </c>
      <c r="X7198" t="s">
        <v>42679</v>
      </c>
    </row>
    <row r="7199" spans="1:24">
      <c r="A7199">
        <f>HYPERLINK("https://www.philgeps.gov.ph/GEPSNONPILOT/Tender/SplashBidNoticeAbstractUI.aspx?menuIndex=3&amp;refID=7181063&amp;Result=3","7181063")</f>
        <v>0</v>
      </c>
      <c r="B7199" t="s">
        <v>1125</v>
      </c>
      <c r="C7199" t="s">
        <v>10407</v>
      </c>
      <c r="D7199" t="s">
        <v>17151</v>
      </c>
      <c r="E7199" t="s">
        <v>23473</v>
      </c>
      <c r="F7199" t="s">
        <v>29372</v>
      </c>
      <c r="G7199" t="s">
        <v>29380</v>
      </c>
      <c r="H7199" t="s">
        <v>29389</v>
      </c>
      <c r="I7199" t="s">
        <v>10408</v>
      </c>
      <c r="J7199" t="s">
        <v>29788</v>
      </c>
      <c r="K7199" t="s">
        <v>38495</v>
      </c>
      <c r="M7199" t="s">
        <v>39935</v>
      </c>
      <c r="N7199" t="s">
        <v>42669</v>
      </c>
      <c r="O7199" t="s">
        <v>42670</v>
      </c>
      <c r="P7199">
        <v>0</v>
      </c>
      <c r="Q7199">
        <v>0</v>
      </c>
      <c r="R7199" t="s">
        <v>42678</v>
      </c>
      <c r="S7199" t="s">
        <v>42866</v>
      </c>
      <c r="T7199" t="s">
        <v>44476</v>
      </c>
      <c r="U7199" t="s">
        <v>50697</v>
      </c>
      <c r="W7199" t="s">
        <v>39935</v>
      </c>
      <c r="X7199" t="s">
        <v>42679</v>
      </c>
    </row>
    <row r="7200" spans="1:24">
      <c r="A7200">
        <f>HYPERLINK("https://www.philgeps.gov.ph/GEPSNONPILOT/Tender/SplashBidNoticeAbstractUI.aspx?menuIndex=3&amp;refID=7181061&amp;Result=3","7181061")</f>
        <v>0</v>
      </c>
      <c r="B7200" t="s">
        <v>2339</v>
      </c>
      <c r="C7200" t="s">
        <v>10408</v>
      </c>
      <c r="D7200" t="s">
        <v>17204</v>
      </c>
      <c r="E7200" t="s">
        <v>23474</v>
      </c>
      <c r="F7200" t="s">
        <v>29372</v>
      </c>
      <c r="G7200" t="s">
        <v>29380</v>
      </c>
      <c r="H7200" t="s">
        <v>29389</v>
      </c>
      <c r="I7200" t="s">
        <v>10408</v>
      </c>
      <c r="J7200" t="s">
        <v>31839</v>
      </c>
      <c r="K7200" t="s">
        <v>38496</v>
      </c>
      <c r="M7200" t="s">
        <v>41272</v>
      </c>
      <c r="N7200" t="s">
        <v>42669</v>
      </c>
      <c r="O7200" t="s">
        <v>42670</v>
      </c>
      <c r="Q7200">
        <v>0</v>
      </c>
      <c r="R7200" t="s">
        <v>42678</v>
      </c>
      <c r="S7200" t="s">
        <v>42882</v>
      </c>
      <c r="T7200" t="s">
        <v>44512</v>
      </c>
      <c r="U7200" t="s">
        <v>50698</v>
      </c>
      <c r="V7200" t="s">
        <v>57160</v>
      </c>
      <c r="W7200" t="s">
        <v>41272</v>
      </c>
      <c r="X7200" t="s">
        <v>42679</v>
      </c>
    </row>
    <row r="7201" spans="1:24">
      <c r="A7201">
        <f>HYPERLINK("https://www.philgeps.gov.ph/GEPSNONPILOT/Tender/SplashBidNoticeAbstractUI.aspx?menuIndex=3&amp;refID=7181056&amp;Result=3","7181056")</f>
        <v>0</v>
      </c>
      <c r="B7201" t="s">
        <v>1580</v>
      </c>
      <c r="C7201" t="s">
        <v>10409</v>
      </c>
      <c r="D7201" t="s">
        <v>17197</v>
      </c>
      <c r="E7201" t="s">
        <v>23475</v>
      </c>
      <c r="F7201" t="s">
        <v>29372</v>
      </c>
      <c r="G7201" t="s">
        <v>29380</v>
      </c>
      <c r="H7201" t="s">
        <v>11048</v>
      </c>
      <c r="I7201" t="s">
        <v>29412</v>
      </c>
      <c r="J7201" t="s">
        <v>34166</v>
      </c>
      <c r="K7201" t="s">
        <v>38485</v>
      </c>
      <c r="M7201" t="s">
        <v>40430</v>
      </c>
      <c r="N7201" t="s">
        <v>42669</v>
      </c>
      <c r="O7201" t="s">
        <v>42670</v>
      </c>
      <c r="P7201">
        <v>0</v>
      </c>
      <c r="Q7201">
        <v>2</v>
      </c>
      <c r="R7201" t="s">
        <v>42678</v>
      </c>
      <c r="S7201" t="s">
        <v>42866</v>
      </c>
      <c r="T7201" t="s">
        <v>44517</v>
      </c>
      <c r="U7201" t="s">
        <v>50699</v>
      </c>
      <c r="W7201" t="s">
        <v>40430</v>
      </c>
      <c r="X7201" t="s">
        <v>42679</v>
      </c>
    </row>
    <row r="7202" spans="1:24">
      <c r="A7202">
        <f>HYPERLINK("https://www.philgeps.gov.ph/GEPSNONPILOT/Tender/SplashBidNoticeAbstractUI.aspx?menuIndex=3&amp;refID=7181053&amp;Result=3","7181053")</f>
        <v>0</v>
      </c>
      <c r="B7202" t="s">
        <v>2329</v>
      </c>
      <c r="C7202" t="s">
        <v>10410</v>
      </c>
      <c r="E7202" t="s">
        <v>23476</v>
      </c>
      <c r="F7202" t="s">
        <v>29372</v>
      </c>
      <c r="G7202" t="s">
        <v>29380</v>
      </c>
      <c r="H7202" t="s">
        <v>11048</v>
      </c>
      <c r="I7202" t="s">
        <v>3670</v>
      </c>
      <c r="J7202" t="s">
        <v>29587</v>
      </c>
      <c r="K7202" t="s">
        <v>38490</v>
      </c>
      <c r="M7202" t="s">
        <v>41261</v>
      </c>
      <c r="N7202" t="s">
        <v>42669</v>
      </c>
      <c r="O7202" t="s">
        <v>42670</v>
      </c>
      <c r="P7202">
        <v>0</v>
      </c>
      <c r="Q7202">
        <v>1</v>
      </c>
      <c r="R7202" t="s">
        <v>42678</v>
      </c>
      <c r="S7202" t="s">
        <v>42866</v>
      </c>
      <c r="T7202" t="s">
        <v>44375</v>
      </c>
      <c r="U7202" t="s">
        <v>50700</v>
      </c>
      <c r="W7202" t="s">
        <v>41261</v>
      </c>
      <c r="X7202" t="s">
        <v>42679</v>
      </c>
    </row>
    <row r="7203" spans="1:24">
      <c r="A7203">
        <f>HYPERLINK("https://www.philgeps.gov.ph/GEPSNONPILOT/Tender/SplashBidNoticeAbstractUI.aspx?menuIndex=3&amp;refID=7181052&amp;Result=3","7181052")</f>
        <v>0</v>
      </c>
      <c r="B7203" t="s">
        <v>2340</v>
      </c>
      <c r="C7203" t="s">
        <v>4777</v>
      </c>
      <c r="D7203" t="s">
        <v>17185</v>
      </c>
      <c r="E7203" t="s">
        <v>23477</v>
      </c>
      <c r="F7203" t="s">
        <v>29372</v>
      </c>
      <c r="G7203" t="s">
        <v>29380</v>
      </c>
      <c r="H7203" t="s">
        <v>11048</v>
      </c>
      <c r="I7203" t="s">
        <v>5383</v>
      </c>
      <c r="J7203" t="s">
        <v>34167</v>
      </c>
      <c r="K7203" t="s">
        <v>38491</v>
      </c>
      <c r="M7203" t="s">
        <v>41273</v>
      </c>
      <c r="N7203" t="s">
        <v>42669</v>
      </c>
      <c r="O7203" t="s">
        <v>42670</v>
      </c>
      <c r="P7203">
        <v>0</v>
      </c>
      <c r="Q7203">
        <v>3</v>
      </c>
      <c r="R7203" t="s">
        <v>42678</v>
      </c>
      <c r="S7203" t="s">
        <v>42866</v>
      </c>
      <c r="T7203" t="s">
        <v>44386</v>
      </c>
      <c r="U7203" t="s">
        <v>50701</v>
      </c>
      <c r="W7203" t="s">
        <v>41273</v>
      </c>
      <c r="X7203" t="s">
        <v>42679</v>
      </c>
    </row>
    <row r="7204" spans="1:24">
      <c r="A7204">
        <f>HYPERLINK("https://www.philgeps.gov.ph/GEPSNONPILOT/Tender/SplashBidNoticeAbstractUI.aspx?menuIndex=3&amp;refID=7181049&amp;Result=3","7181049")</f>
        <v>0</v>
      </c>
      <c r="B7204" t="s">
        <v>2341</v>
      </c>
      <c r="C7204" t="s">
        <v>10411</v>
      </c>
      <c r="D7204" t="s">
        <v>17141</v>
      </c>
      <c r="E7204" t="s">
        <v>10411</v>
      </c>
      <c r="F7204" t="s">
        <v>29372</v>
      </c>
      <c r="G7204" t="s">
        <v>29383</v>
      </c>
      <c r="H7204" t="s">
        <v>11048</v>
      </c>
      <c r="I7204" t="s">
        <v>3695</v>
      </c>
      <c r="J7204" t="s">
        <v>34168</v>
      </c>
      <c r="K7204" t="s">
        <v>38491</v>
      </c>
      <c r="M7204" t="s">
        <v>41274</v>
      </c>
      <c r="N7204" t="s">
        <v>42669</v>
      </c>
      <c r="O7204" t="s">
        <v>42670</v>
      </c>
      <c r="P7204">
        <v>0</v>
      </c>
      <c r="Q7204">
        <v>10</v>
      </c>
      <c r="R7204" t="s">
        <v>42678</v>
      </c>
      <c r="S7204" t="s">
        <v>42866</v>
      </c>
      <c r="T7204" t="s">
        <v>44580</v>
      </c>
      <c r="U7204" t="s">
        <v>50702</v>
      </c>
      <c r="W7204" t="s">
        <v>41274</v>
      </c>
      <c r="X7204" t="s">
        <v>42679</v>
      </c>
    </row>
    <row r="7205" spans="1:24">
      <c r="A7205">
        <f>HYPERLINK("https://www.philgeps.gov.ph/GEPSNONPILOT/Tender/SplashBidNoticeAbstractUI.aspx?menuIndex=3&amp;refID=7180919&amp;Result=3","7180919")</f>
        <v>0</v>
      </c>
      <c r="B7205" t="s">
        <v>2020</v>
      </c>
      <c r="C7205" t="s">
        <v>10412</v>
      </c>
      <c r="D7205" t="s">
        <v>17177</v>
      </c>
      <c r="E7205" t="s">
        <v>23478</v>
      </c>
      <c r="F7205" t="s">
        <v>29372</v>
      </c>
      <c r="G7205" t="s">
        <v>29380</v>
      </c>
      <c r="H7205" t="s">
        <v>29389</v>
      </c>
      <c r="I7205" t="s">
        <v>10408</v>
      </c>
      <c r="J7205" t="s">
        <v>34169</v>
      </c>
      <c r="K7205" t="s">
        <v>38496</v>
      </c>
      <c r="M7205" t="s">
        <v>41241</v>
      </c>
      <c r="N7205" t="s">
        <v>42669</v>
      </c>
      <c r="O7205" t="s">
        <v>42670</v>
      </c>
      <c r="P7205">
        <v>0</v>
      </c>
      <c r="Q7205">
        <v>0</v>
      </c>
      <c r="R7205" t="s">
        <v>42678</v>
      </c>
      <c r="S7205" t="s">
        <v>42866</v>
      </c>
      <c r="T7205" t="s">
        <v>44363</v>
      </c>
      <c r="U7205" t="s">
        <v>50658</v>
      </c>
      <c r="V7205" t="s">
        <v>57146</v>
      </c>
      <c r="W7205" t="s">
        <v>41241</v>
      </c>
      <c r="X7205" t="s">
        <v>42679</v>
      </c>
    </row>
    <row r="7206" spans="1:24">
      <c r="A7206">
        <f>HYPERLINK("https://www.philgeps.gov.ph/GEPSNONPILOT/Tender/SplashBidNoticeAbstractUI.aspx?menuIndex=3&amp;refID=7181044&amp;Result=3","7181044")</f>
        <v>0</v>
      </c>
      <c r="B7206" t="s">
        <v>2342</v>
      </c>
      <c r="C7206" t="s">
        <v>10413</v>
      </c>
      <c r="D7206" t="s">
        <v>17189</v>
      </c>
      <c r="E7206" t="s">
        <v>21160</v>
      </c>
      <c r="F7206" t="s">
        <v>29372</v>
      </c>
      <c r="G7206" t="s">
        <v>29380</v>
      </c>
      <c r="H7206" t="s">
        <v>11048</v>
      </c>
      <c r="I7206" t="s">
        <v>29393</v>
      </c>
      <c r="J7206" t="s">
        <v>34170</v>
      </c>
      <c r="K7206" t="s">
        <v>38510</v>
      </c>
      <c r="M7206" t="s">
        <v>41275</v>
      </c>
      <c r="N7206" t="s">
        <v>42669</v>
      </c>
      <c r="O7206" t="s">
        <v>42670</v>
      </c>
      <c r="Q7206">
        <v>1</v>
      </c>
      <c r="R7206" t="s">
        <v>42678</v>
      </c>
      <c r="S7206" t="s">
        <v>42883</v>
      </c>
      <c r="T7206" t="s">
        <v>44504</v>
      </c>
      <c r="U7206" t="s">
        <v>50703</v>
      </c>
      <c r="V7206" t="s">
        <v>57161</v>
      </c>
      <c r="W7206" t="s">
        <v>41275</v>
      </c>
      <c r="X7206" t="s">
        <v>42679</v>
      </c>
    </row>
    <row r="7207" spans="1:24">
      <c r="A7207">
        <f>HYPERLINK("https://www.philgeps.gov.ph/GEPSNONPILOT/Tender/SplashBidNoticeAbstractUI.aspx?menuIndex=3&amp;refID=7181041&amp;Result=3","7181041")</f>
        <v>0</v>
      </c>
      <c r="B7207" t="s">
        <v>1125</v>
      </c>
      <c r="C7207" t="s">
        <v>10414</v>
      </c>
      <c r="D7207" t="s">
        <v>17151</v>
      </c>
      <c r="E7207" t="s">
        <v>23479</v>
      </c>
      <c r="F7207" t="s">
        <v>29372</v>
      </c>
      <c r="G7207" t="s">
        <v>29380</v>
      </c>
      <c r="H7207" t="s">
        <v>29389</v>
      </c>
      <c r="I7207" t="s">
        <v>10408</v>
      </c>
      <c r="J7207" t="s">
        <v>31893</v>
      </c>
      <c r="K7207" t="s">
        <v>38522</v>
      </c>
      <c r="M7207" t="s">
        <v>39935</v>
      </c>
      <c r="N7207" t="s">
        <v>42669</v>
      </c>
      <c r="O7207" t="s">
        <v>42670</v>
      </c>
      <c r="P7207">
        <v>0</v>
      </c>
      <c r="Q7207">
        <v>2</v>
      </c>
      <c r="R7207" t="s">
        <v>42678</v>
      </c>
      <c r="S7207" t="s">
        <v>42866</v>
      </c>
      <c r="T7207" t="s">
        <v>44476</v>
      </c>
      <c r="U7207" t="s">
        <v>50704</v>
      </c>
      <c r="W7207" t="s">
        <v>39935</v>
      </c>
      <c r="X7207" t="s">
        <v>42679</v>
      </c>
    </row>
    <row r="7208" spans="1:24">
      <c r="A7208">
        <f>HYPERLINK("https://www.philgeps.gov.ph/GEPSNONPILOT/Tender/SplashBidNoticeAbstractUI.aspx?menuIndex=3&amp;refID=7181040&amp;Result=3","7181040")</f>
        <v>0</v>
      </c>
      <c r="B7208" t="s">
        <v>2343</v>
      </c>
      <c r="C7208" t="s">
        <v>10415</v>
      </c>
      <c r="D7208" t="s">
        <v>17177</v>
      </c>
      <c r="E7208" t="s">
        <v>23480</v>
      </c>
      <c r="F7208" t="s">
        <v>29372</v>
      </c>
      <c r="G7208" t="s">
        <v>29380</v>
      </c>
      <c r="H7208" t="s">
        <v>29389</v>
      </c>
      <c r="I7208" t="s">
        <v>10408</v>
      </c>
      <c r="J7208" t="s">
        <v>30245</v>
      </c>
      <c r="K7208" t="s">
        <v>38555</v>
      </c>
      <c r="M7208" t="s">
        <v>41276</v>
      </c>
      <c r="N7208" t="s">
        <v>42669</v>
      </c>
      <c r="O7208" t="s">
        <v>42670</v>
      </c>
      <c r="P7208">
        <v>0</v>
      </c>
      <c r="Q7208">
        <v>0</v>
      </c>
      <c r="R7208" t="s">
        <v>42678</v>
      </c>
      <c r="S7208" t="s">
        <v>42866</v>
      </c>
      <c r="T7208" t="s">
        <v>44474</v>
      </c>
      <c r="U7208" t="s">
        <v>50705</v>
      </c>
      <c r="V7208" t="s">
        <v>57162</v>
      </c>
      <c r="W7208" t="s">
        <v>41276</v>
      </c>
      <c r="X7208" t="s">
        <v>42679</v>
      </c>
    </row>
    <row r="7209" spans="1:24">
      <c r="A7209">
        <f>HYPERLINK("https://www.philgeps.gov.ph/GEPSNONPILOT/Tender/SplashBidNoticeAbstractUI.aspx?menuIndex=3&amp;refID=7181068&amp;Result=3","7181068")</f>
        <v>0</v>
      </c>
      <c r="B7209" t="s">
        <v>2344</v>
      </c>
      <c r="C7209" t="s">
        <v>10416</v>
      </c>
      <c r="D7209" t="s">
        <v>17151</v>
      </c>
      <c r="E7209" t="s">
        <v>23481</v>
      </c>
      <c r="F7209" t="s">
        <v>29373</v>
      </c>
      <c r="G7209" t="s">
        <v>29380</v>
      </c>
      <c r="H7209" t="s">
        <v>11048</v>
      </c>
      <c r="I7209" t="s">
        <v>3839</v>
      </c>
      <c r="J7209" t="s">
        <v>34171</v>
      </c>
      <c r="K7209" t="s">
        <v>38487</v>
      </c>
      <c r="M7209" t="s">
        <v>41277</v>
      </c>
      <c r="N7209" t="s">
        <v>42669</v>
      </c>
      <c r="O7209" t="s">
        <v>42670</v>
      </c>
      <c r="P7209">
        <v>0</v>
      </c>
      <c r="Q7209">
        <v>6</v>
      </c>
      <c r="R7209" t="s">
        <v>42678</v>
      </c>
      <c r="S7209" t="s">
        <v>42866</v>
      </c>
      <c r="T7209" t="s">
        <v>44685</v>
      </c>
      <c r="U7209" t="s">
        <v>50706</v>
      </c>
      <c r="W7209" t="s">
        <v>41277</v>
      </c>
      <c r="X7209" t="s">
        <v>42679</v>
      </c>
    </row>
    <row r="7210" spans="1:24">
      <c r="A7210">
        <f>HYPERLINK("https://www.philgeps.gov.ph/GEPSNONPILOT/Tender/SplashBidNoticeAbstractUI.aspx?menuIndex=3&amp;refID=7180971&amp;Result=3","7180971")</f>
        <v>0</v>
      </c>
      <c r="B7210" t="s">
        <v>2345</v>
      </c>
      <c r="C7210" t="s">
        <v>10417</v>
      </c>
      <c r="D7210" t="s">
        <v>17168</v>
      </c>
      <c r="E7210" t="s">
        <v>20636</v>
      </c>
      <c r="F7210" t="s">
        <v>29372</v>
      </c>
      <c r="G7210" t="s">
        <v>29380</v>
      </c>
      <c r="H7210" t="s">
        <v>29389</v>
      </c>
      <c r="I7210" t="s">
        <v>10408</v>
      </c>
      <c r="J7210" t="s">
        <v>29724</v>
      </c>
      <c r="K7210" t="s">
        <v>38522</v>
      </c>
      <c r="M7210" t="s">
        <v>41278</v>
      </c>
      <c r="N7210" t="s">
        <v>42669</v>
      </c>
      <c r="O7210" t="s">
        <v>42670</v>
      </c>
      <c r="P7210">
        <v>0</v>
      </c>
      <c r="Q7210">
        <v>5</v>
      </c>
      <c r="R7210" t="s">
        <v>42678</v>
      </c>
      <c r="S7210" t="s">
        <v>42866</v>
      </c>
      <c r="T7210" t="s">
        <v>44507</v>
      </c>
      <c r="U7210" t="s">
        <v>50707</v>
      </c>
      <c r="W7210" t="s">
        <v>41278</v>
      </c>
      <c r="X7210" t="s">
        <v>42679</v>
      </c>
    </row>
    <row r="7211" spans="1:24">
      <c r="A7211">
        <f>HYPERLINK("https://www.philgeps.gov.ph/GEPSNONPILOT/Tender/SplashBidNoticeAbstractUI.aspx?menuIndex=3&amp;refID=7180914&amp;Result=3","7180914")</f>
        <v>0</v>
      </c>
      <c r="B7211" t="s">
        <v>547</v>
      </c>
      <c r="C7211" t="s">
        <v>10418</v>
      </c>
      <c r="E7211" t="s">
        <v>23482</v>
      </c>
      <c r="F7211" t="s">
        <v>29372</v>
      </c>
      <c r="G7211" t="s">
        <v>29379</v>
      </c>
      <c r="H7211" t="s">
        <v>11048</v>
      </c>
      <c r="I7211" t="s">
        <v>29433</v>
      </c>
      <c r="J7211" t="s">
        <v>30088</v>
      </c>
      <c r="K7211" t="s">
        <v>38485</v>
      </c>
      <c r="M7211" t="s">
        <v>39363</v>
      </c>
      <c r="N7211" t="s">
        <v>42669</v>
      </c>
      <c r="O7211" t="s">
        <v>42670</v>
      </c>
      <c r="P7211">
        <v>0</v>
      </c>
      <c r="Q7211">
        <v>11</v>
      </c>
      <c r="R7211" t="s">
        <v>42678</v>
      </c>
      <c r="S7211" t="s">
        <v>42866</v>
      </c>
      <c r="T7211" t="s">
        <v>44378</v>
      </c>
      <c r="U7211" t="s">
        <v>50708</v>
      </c>
      <c r="W7211" t="s">
        <v>58018</v>
      </c>
      <c r="X7211" t="s">
        <v>42679</v>
      </c>
    </row>
    <row r="7212" spans="1:24">
      <c r="A7212">
        <f>HYPERLINK("https://www.philgeps.gov.ph/GEPSNONPILOT/Tender/SplashBidNoticeAbstractUI.aspx?menuIndex=3&amp;refID=7181123&amp;Result=3","7181123")</f>
        <v>0</v>
      </c>
      <c r="B7212" t="s">
        <v>2346</v>
      </c>
      <c r="C7212" t="s">
        <v>10419</v>
      </c>
      <c r="D7212" t="s">
        <v>17164</v>
      </c>
      <c r="E7212" t="s">
        <v>23483</v>
      </c>
      <c r="F7212" t="s">
        <v>29372</v>
      </c>
      <c r="G7212" t="s">
        <v>29380</v>
      </c>
      <c r="H7212" t="s">
        <v>29389</v>
      </c>
      <c r="I7212" t="s">
        <v>10408</v>
      </c>
      <c r="J7212" t="s">
        <v>34172</v>
      </c>
      <c r="K7212" t="s">
        <v>38564</v>
      </c>
      <c r="M7212" t="s">
        <v>41279</v>
      </c>
      <c r="N7212" t="s">
        <v>42669</v>
      </c>
      <c r="O7212" t="s">
        <v>42670</v>
      </c>
      <c r="P7212">
        <v>0</v>
      </c>
      <c r="Q7212">
        <v>0</v>
      </c>
      <c r="R7212" t="s">
        <v>42678</v>
      </c>
      <c r="S7212" t="s">
        <v>42866</v>
      </c>
      <c r="T7212" t="s">
        <v>44559</v>
      </c>
      <c r="U7212" t="s">
        <v>50709</v>
      </c>
      <c r="V7212" t="s">
        <v>57163</v>
      </c>
      <c r="W7212" t="s">
        <v>41279</v>
      </c>
      <c r="X7212" t="s">
        <v>42679</v>
      </c>
    </row>
    <row r="7213" spans="1:24">
      <c r="A7213">
        <f>HYPERLINK("https://www.philgeps.gov.ph/GEPSNONPILOT/Tender/SplashBidNoticeAbstractUI.aspx?menuIndex=3&amp;refID=7181119&amp;Result=3","7181119")</f>
        <v>0</v>
      </c>
      <c r="B7213" t="s">
        <v>1125</v>
      </c>
      <c r="C7213" t="s">
        <v>10420</v>
      </c>
      <c r="D7213" t="s">
        <v>17151</v>
      </c>
      <c r="E7213" t="s">
        <v>23484</v>
      </c>
      <c r="F7213" t="s">
        <v>29372</v>
      </c>
      <c r="G7213" t="s">
        <v>29380</v>
      </c>
      <c r="H7213" t="s">
        <v>29389</v>
      </c>
      <c r="I7213" t="s">
        <v>10408</v>
      </c>
      <c r="J7213" t="s">
        <v>34173</v>
      </c>
      <c r="K7213" t="s">
        <v>38522</v>
      </c>
      <c r="M7213" t="s">
        <v>39935</v>
      </c>
      <c r="N7213" t="s">
        <v>42669</v>
      </c>
      <c r="O7213" t="s">
        <v>42670</v>
      </c>
      <c r="P7213">
        <v>0</v>
      </c>
      <c r="Q7213">
        <v>1</v>
      </c>
      <c r="R7213" t="s">
        <v>42678</v>
      </c>
      <c r="S7213" t="s">
        <v>42866</v>
      </c>
      <c r="T7213" t="s">
        <v>44476</v>
      </c>
      <c r="U7213" t="s">
        <v>50710</v>
      </c>
      <c r="W7213" t="s">
        <v>39935</v>
      </c>
      <c r="X7213" t="s">
        <v>42679</v>
      </c>
    </row>
    <row r="7214" spans="1:24">
      <c r="A7214">
        <f>HYPERLINK("https://www.philgeps.gov.ph/GEPSNONPILOT/Tender/SplashBidNoticeAbstractUI.aspx?menuIndex=3&amp;refID=7181122&amp;Result=3","7181122")</f>
        <v>0</v>
      </c>
      <c r="B7214" t="s">
        <v>2329</v>
      </c>
      <c r="C7214" t="s">
        <v>10421</v>
      </c>
      <c r="E7214" t="s">
        <v>23485</v>
      </c>
      <c r="F7214" t="s">
        <v>29372</v>
      </c>
      <c r="G7214" t="s">
        <v>29380</v>
      </c>
      <c r="H7214" t="s">
        <v>11048</v>
      </c>
      <c r="I7214" t="s">
        <v>29456</v>
      </c>
      <c r="J7214" t="s">
        <v>29604</v>
      </c>
      <c r="K7214" t="s">
        <v>38490</v>
      </c>
      <c r="M7214" t="s">
        <v>41261</v>
      </c>
      <c r="N7214" t="s">
        <v>42669</v>
      </c>
      <c r="O7214" t="s">
        <v>42670</v>
      </c>
      <c r="P7214">
        <v>0</v>
      </c>
      <c r="Q7214">
        <v>2</v>
      </c>
      <c r="R7214" t="s">
        <v>42678</v>
      </c>
      <c r="S7214" t="s">
        <v>42866</v>
      </c>
      <c r="T7214" t="s">
        <v>44375</v>
      </c>
      <c r="U7214" t="s">
        <v>50711</v>
      </c>
      <c r="W7214" t="s">
        <v>41261</v>
      </c>
      <c r="X7214" t="s">
        <v>42679</v>
      </c>
    </row>
    <row r="7215" spans="1:24">
      <c r="A7215">
        <f>HYPERLINK("https://www.philgeps.gov.ph/GEPSNONPILOT/Tender/SplashBidNoticeAbstractUI.aspx?menuIndex=3&amp;refID=7181116&amp;Result=3","7181116")</f>
        <v>0</v>
      </c>
      <c r="B7215" t="s">
        <v>883</v>
      </c>
      <c r="C7215" t="s">
        <v>3816</v>
      </c>
      <c r="D7215" t="s">
        <v>17161</v>
      </c>
      <c r="E7215" t="s">
        <v>23486</v>
      </c>
      <c r="F7215" t="s">
        <v>29372</v>
      </c>
      <c r="G7215" t="s">
        <v>29383</v>
      </c>
      <c r="H7215" t="s">
        <v>11048</v>
      </c>
      <c r="I7215" t="s">
        <v>5383</v>
      </c>
      <c r="J7215" t="s">
        <v>34174</v>
      </c>
      <c r="K7215" t="s">
        <v>38491</v>
      </c>
      <c r="M7215" t="s">
        <v>39675</v>
      </c>
      <c r="N7215" t="s">
        <v>42669</v>
      </c>
      <c r="O7215" t="s">
        <v>42670</v>
      </c>
      <c r="P7215">
        <v>0</v>
      </c>
      <c r="Q7215">
        <v>1</v>
      </c>
      <c r="R7215" t="s">
        <v>42678</v>
      </c>
      <c r="S7215" t="s">
        <v>42866</v>
      </c>
      <c r="T7215" t="s">
        <v>44488</v>
      </c>
      <c r="U7215" t="s">
        <v>50712</v>
      </c>
      <c r="W7215" t="s">
        <v>39675</v>
      </c>
      <c r="X7215" t="s">
        <v>42679</v>
      </c>
    </row>
    <row r="7216" spans="1:24">
      <c r="A7216">
        <f>HYPERLINK("https://www.philgeps.gov.ph/GEPSNONPILOT/Tender/SplashBidNoticeAbstractUI.aspx?menuIndex=3&amp;refID=7181115&amp;Result=3","7181115")</f>
        <v>0</v>
      </c>
      <c r="B7216" t="s">
        <v>2342</v>
      </c>
      <c r="C7216" t="s">
        <v>10422</v>
      </c>
      <c r="D7216" t="s">
        <v>17189</v>
      </c>
      <c r="E7216" t="s">
        <v>21160</v>
      </c>
      <c r="F7216" t="s">
        <v>29372</v>
      </c>
      <c r="G7216" t="s">
        <v>29380</v>
      </c>
      <c r="H7216" t="s">
        <v>11048</v>
      </c>
      <c r="I7216" t="s">
        <v>4709</v>
      </c>
      <c r="J7216" t="s">
        <v>34175</v>
      </c>
      <c r="K7216" t="s">
        <v>38495</v>
      </c>
      <c r="M7216" t="s">
        <v>41275</v>
      </c>
      <c r="N7216" t="s">
        <v>42669</v>
      </c>
      <c r="O7216" t="s">
        <v>42670</v>
      </c>
      <c r="Q7216">
        <v>2</v>
      </c>
      <c r="R7216" t="s">
        <v>42678</v>
      </c>
      <c r="S7216" t="s">
        <v>42884</v>
      </c>
      <c r="T7216" t="s">
        <v>44504</v>
      </c>
      <c r="U7216" t="s">
        <v>50713</v>
      </c>
      <c r="V7216" t="s">
        <v>57161</v>
      </c>
      <c r="W7216" t="s">
        <v>41275</v>
      </c>
      <c r="X7216" t="s">
        <v>42679</v>
      </c>
    </row>
    <row r="7217" spans="1:24">
      <c r="A7217">
        <f>HYPERLINK("https://www.philgeps.gov.ph/GEPSNONPILOT/Tender/SplashBidNoticeAbstractUI.aspx?menuIndex=3&amp;refID=7181111&amp;Result=3","7181111")</f>
        <v>0</v>
      </c>
      <c r="B7217" t="s">
        <v>2339</v>
      </c>
      <c r="C7217" t="s">
        <v>10423</v>
      </c>
      <c r="D7217" t="s">
        <v>17204</v>
      </c>
      <c r="E7217" t="s">
        <v>23474</v>
      </c>
      <c r="F7217" t="s">
        <v>29372</v>
      </c>
      <c r="G7217" t="s">
        <v>29380</v>
      </c>
      <c r="H7217" t="s">
        <v>11048</v>
      </c>
      <c r="I7217" t="s">
        <v>4486</v>
      </c>
      <c r="J7217" t="s">
        <v>34176</v>
      </c>
      <c r="K7217" t="s">
        <v>38488</v>
      </c>
      <c r="M7217" t="s">
        <v>41272</v>
      </c>
      <c r="N7217" t="s">
        <v>42669</v>
      </c>
      <c r="O7217" t="s">
        <v>42670</v>
      </c>
      <c r="Q7217">
        <v>7</v>
      </c>
      <c r="R7217" t="s">
        <v>42678</v>
      </c>
      <c r="S7217" t="s">
        <v>42885</v>
      </c>
      <c r="T7217" t="s">
        <v>44512</v>
      </c>
      <c r="U7217" t="s">
        <v>50714</v>
      </c>
      <c r="V7217" t="s">
        <v>57160</v>
      </c>
      <c r="W7217" t="s">
        <v>41272</v>
      </c>
      <c r="X7217" t="s">
        <v>42679</v>
      </c>
    </row>
    <row r="7218" spans="1:24">
      <c r="A7218">
        <f>HYPERLINK("https://www.philgeps.gov.ph/GEPSNONPILOT/Tender/SplashBidNoticeAbstractUI.aspx?menuIndex=3&amp;refID=7181106&amp;Result=3","7181106")</f>
        <v>0</v>
      </c>
      <c r="B7218" t="s">
        <v>1125</v>
      </c>
      <c r="C7218" t="s">
        <v>10424</v>
      </c>
      <c r="D7218" t="s">
        <v>17151</v>
      </c>
      <c r="E7218" t="s">
        <v>23487</v>
      </c>
      <c r="F7218" t="s">
        <v>29372</v>
      </c>
      <c r="G7218" t="s">
        <v>29380</v>
      </c>
      <c r="H7218" t="s">
        <v>29389</v>
      </c>
      <c r="I7218" t="s">
        <v>10408</v>
      </c>
      <c r="J7218" t="s">
        <v>30787</v>
      </c>
      <c r="K7218" t="s">
        <v>38522</v>
      </c>
      <c r="M7218" t="s">
        <v>39935</v>
      </c>
      <c r="N7218" t="s">
        <v>42669</v>
      </c>
      <c r="O7218" t="s">
        <v>42670</v>
      </c>
      <c r="P7218">
        <v>0</v>
      </c>
      <c r="Q7218">
        <v>2</v>
      </c>
      <c r="R7218" t="s">
        <v>42678</v>
      </c>
      <c r="S7218" t="s">
        <v>42866</v>
      </c>
      <c r="T7218" t="s">
        <v>44476</v>
      </c>
      <c r="U7218" t="s">
        <v>50715</v>
      </c>
      <c r="W7218" t="s">
        <v>39935</v>
      </c>
      <c r="X7218" t="s">
        <v>42679</v>
      </c>
    </row>
    <row r="7219" spans="1:24">
      <c r="A7219">
        <f>HYPERLINK("https://www.philgeps.gov.ph/GEPSNONPILOT/Tender/SplashBidNoticeAbstractUI.aspx?menuIndex=3&amp;refID=7181102&amp;Result=3","7181102")</f>
        <v>0</v>
      </c>
      <c r="B7219" t="s">
        <v>465</v>
      </c>
      <c r="C7219" t="s">
        <v>10425</v>
      </c>
      <c r="D7219" t="s">
        <v>17168</v>
      </c>
      <c r="E7219" t="s">
        <v>23488</v>
      </c>
      <c r="F7219" t="s">
        <v>29372</v>
      </c>
      <c r="G7219" t="s">
        <v>29380</v>
      </c>
      <c r="H7219" t="s">
        <v>29389</v>
      </c>
      <c r="I7219" t="s">
        <v>10408</v>
      </c>
      <c r="J7219" t="s">
        <v>34177</v>
      </c>
      <c r="K7219" t="s">
        <v>38490</v>
      </c>
      <c r="M7219" t="s">
        <v>39229</v>
      </c>
      <c r="N7219" t="s">
        <v>42669</v>
      </c>
      <c r="O7219" t="s">
        <v>42670</v>
      </c>
      <c r="P7219">
        <v>0</v>
      </c>
      <c r="Q7219">
        <v>1</v>
      </c>
      <c r="R7219" t="s">
        <v>42678</v>
      </c>
      <c r="S7219" t="s">
        <v>42866</v>
      </c>
      <c r="T7219" t="s">
        <v>44474</v>
      </c>
      <c r="U7219" t="s">
        <v>50716</v>
      </c>
      <c r="W7219" t="s">
        <v>39229</v>
      </c>
      <c r="X7219" t="s">
        <v>42679</v>
      </c>
    </row>
    <row r="7220" spans="1:24">
      <c r="A7220">
        <f>HYPERLINK("https://www.philgeps.gov.ph/GEPSNONPILOT/Tender/SplashBidNoticeAbstractUI.aspx?menuIndex=3&amp;refID=7181038&amp;Result=3","7181038")</f>
        <v>0</v>
      </c>
      <c r="B7220" t="s">
        <v>2329</v>
      </c>
      <c r="C7220" t="s">
        <v>10426</v>
      </c>
      <c r="E7220" t="s">
        <v>23489</v>
      </c>
      <c r="F7220" t="s">
        <v>29372</v>
      </c>
      <c r="G7220" t="s">
        <v>29380</v>
      </c>
      <c r="H7220" t="s">
        <v>11048</v>
      </c>
      <c r="I7220" t="s">
        <v>3670</v>
      </c>
      <c r="J7220" t="s">
        <v>29708</v>
      </c>
      <c r="K7220" t="s">
        <v>38490</v>
      </c>
      <c r="M7220" t="s">
        <v>41261</v>
      </c>
      <c r="N7220" t="s">
        <v>42669</v>
      </c>
      <c r="O7220" t="s">
        <v>42670</v>
      </c>
      <c r="P7220">
        <v>0</v>
      </c>
      <c r="Q7220">
        <v>0</v>
      </c>
      <c r="R7220" t="s">
        <v>42678</v>
      </c>
      <c r="S7220" t="s">
        <v>42866</v>
      </c>
      <c r="T7220" t="s">
        <v>44375</v>
      </c>
      <c r="U7220" t="s">
        <v>50717</v>
      </c>
      <c r="W7220" t="s">
        <v>41261</v>
      </c>
      <c r="X7220" t="s">
        <v>42679</v>
      </c>
    </row>
    <row r="7221" spans="1:24">
      <c r="A7221">
        <f>HYPERLINK("https://www.philgeps.gov.ph/GEPSNONPILOT/Tender/SplashBidNoticeAbstractUI.aspx?menuIndex=3&amp;refID=7181100&amp;Result=3","7181100")</f>
        <v>0</v>
      </c>
      <c r="B7221" t="s">
        <v>2347</v>
      </c>
      <c r="C7221" t="s">
        <v>10427</v>
      </c>
      <c r="D7221" t="s">
        <v>17172</v>
      </c>
      <c r="E7221" t="s">
        <v>23490</v>
      </c>
      <c r="F7221" t="s">
        <v>29372</v>
      </c>
      <c r="G7221" t="s">
        <v>29380</v>
      </c>
      <c r="H7221" t="s">
        <v>11048</v>
      </c>
      <c r="I7221" t="s">
        <v>4709</v>
      </c>
      <c r="J7221" t="s">
        <v>34178</v>
      </c>
      <c r="K7221" t="s">
        <v>38491</v>
      </c>
      <c r="M7221" t="s">
        <v>41280</v>
      </c>
      <c r="N7221" t="s">
        <v>42669</v>
      </c>
      <c r="O7221" t="s">
        <v>42670</v>
      </c>
      <c r="P7221">
        <v>0</v>
      </c>
      <c r="Q7221">
        <v>0</v>
      </c>
      <c r="R7221" t="s">
        <v>42678</v>
      </c>
      <c r="S7221" t="s">
        <v>42866</v>
      </c>
      <c r="T7221" t="s">
        <v>44557</v>
      </c>
      <c r="U7221" t="s">
        <v>50718</v>
      </c>
      <c r="V7221" t="s">
        <v>57164</v>
      </c>
      <c r="W7221" t="s">
        <v>41280</v>
      </c>
      <c r="X7221" t="s">
        <v>42679</v>
      </c>
    </row>
    <row r="7222" spans="1:24">
      <c r="A7222">
        <f>HYPERLINK("https://www.philgeps.gov.ph/GEPSNONPILOT/Tender/SplashBidNoticeAbstractUI.aspx?menuIndex=3&amp;refID=7180950&amp;Result=3","7180950")</f>
        <v>0</v>
      </c>
      <c r="B7222" t="s">
        <v>2348</v>
      </c>
      <c r="C7222" t="s">
        <v>10428</v>
      </c>
      <c r="D7222" t="s">
        <v>17199</v>
      </c>
      <c r="E7222" t="s">
        <v>23491</v>
      </c>
      <c r="F7222" t="s">
        <v>29372</v>
      </c>
      <c r="G7222" t="s">
        <v>29380</v>
      </c>
      <c r="H7222" t="s">
        <v>11048</v>
      </c>
      <c r="I7222" t="s">
        <v>29393</v>
      </c>
      <c r="J7222" t="s">
        <v>34179</v>
      </c>
      <c r="K7222" t="s">
        <v>38485</v>
      </c>
      <c r="M7222" t="s">
        <v>41281</v>
      </c>
      <c r="N7222" t="s">
        <v>42669</v>
      </c>
      <c r="O7222" t="s">
        <v>42670</v>
      </c>
      <c r="P7222">
        <v>0</v>
      </c>
      <c r="Q7222">
        <v>0</v>
      </c>
      <c r="R7222" t="s">
        <v>42678</v>
      </c>
      <c r="S7222" t="s">
        <v>42866</v>
      </c>
      <c r="T7222" t="s">
        <v>44368</v>
      </c>
      <c r="U7222" t="s">
        <v>50719</v>
      </c>
      <c r="W7222" t="s">
        <v>41281</v>
      </c>
      <c r="X7222" t="s">
        <v>42679</v>
      </c>
    </row>
    <row r="7223" spans="1:24">
      <c r="A7223">
        <f>HYPERLINK("https://www.philgeps.gov.ph/GEPSNONPILOT/Tender/SplashBidNoticeAbstractUI.aspx?menuIndex=3&amp;refID=7181167&amp;Result=3","7181167")</f>
        <v>0</v>
      </c>
      <c r="B7223" t="s">
        <v>2349</v>
      </c>
      <c r="C7223" t="s">
        <v>10429</v>
      </c>
      <c r="D7223" t="s">
        <v>17187</v>
      </c>
      <c r="E7223" t="s">
        <v>23492</v>
      </c>
      <c r="F7223" t="s">
        <v>29372</v>
      </c>
      <c r="G7223" t="s">
        <v>29379</v>
      </c>
      <c r="H7223" t="s">
        <v>11048</v>
      </c>
      <c r="I7223" t="s">
        <v>29409</v>
      </c>
      <c r="J7223" t="s">
        <v>29650</v>
      </c>
      <c r="K7223" t="s">
        <v>38491</v>
      </c>
      <c r="M7223" t="s">
        <v>41282</v>
      </c>
      <c r="N7223" t="s">
        <v>42669</v>
      </c>
      <c r="O7223" t="s">
        <v>42670</v>
      </c>
      <c r="P7223">
        <v>0</v>
      </c>
      <c r="Q7223">
        <v>8</v>
      </c>
      <c r="R7223" t="s">
        <v>42678</v>
      </c>
      <c r="S7223" t="s">
        <v>42866</v>
      </c>
      <c r="T7223" t="s">
        <v>44429</v>
      </c>
      <c r="U7223" t="s">
        <v>50720</v>
      </c>
      <c r="W7223" t="s">
        <v>41282</v>
      </c>
      <c r="X7223" t="s">
        <v>42679</v>
      </c>
    </row>
    <row r="7224" spans="1:24">
      <c r="A7224">
        <f>HYPERLINK("https://www.philgeps.gov.ph/GEPSNONPILOT/Tender/SplashBidNoticeAbstractUI.aspx?menuIndex=3&amp;refID=7181035&amp;Result=3","7181035")</f>
        <v>0</v>
      </c>
      <c r="B7224" t="s">
        <v>1638</v>
      </c>
      <c r="C7224" t="s">
        <v>10430</v>
      </c>
      <c r="D7224" t="s">
        <v>17213</v>
      </c>
      <c r="E7224" t="s">
        <v>23493</v>
      </c>
      <c r="F7224" t="s">
        <v>29372</v>
      </c>
      <c r="G7224" t="s">
        <v>29383</v>
      </c>
      <c r="H7224" t="s">
        <v>11048</v>
      </c>
      <c r="I7224" t="s">
        <v>3629</v>
      </c>
      <c r="J7224" t="s">
        <v>33659</v>
      </c>
      <c r="K7224" t="s">
        <v>38490</v>
      </c>
      <c r="M7224" t="s">
        <v>40494</v>
      </c>
      <c r="N7224" t="s">
        <v>42669</v>
      </c>
      <c r="O7224" t="s">
        <v>42670</v>
      </c>
      <c r="P7224">
        <v>0</v>
      </c>
      <c r="Q7224">
        <v>3</v>
      </c>
      <c r="R7224" t="s">
        <v>42678</v>
      </c>
      <c r="S7224" t="s">
        <v>42866</v>
      </c>
      <c r="T7224" t="s">
        <v>44401</v>
      </c>
      <c r="U7224" t="s">
        <v>50721</v>
      </c>
      <c r="W7224" t="s">
        <v>58050</v>
      </c>
      <c r="X7224" t="s">
        <v>42679</v>
      </c>
    </row>
    <row r="7225" spans="1:24">
      <c r="A7225">
        <f>HYPERLINK("https://www.philgeps.gov.ph/GEPSNONPILOT/Tender/SplashBidNoticeAbstractUI.aspx?menuIndex=3&amp;refID=7181110&amp;Result=3","7181110")</f>
        <v>0</v>
      </c>
      <c r="B7225" t="s">
        <v>2329</v>
      </c>
      <c r="C7225" t="s">
        <v>3839</v>
      </c>
      <c r="E7225" t="s">
        <v>23494</v>
      </c>
      <c r="F7225" t="s">
        <v>29372</v>
      </c>
      <c r="G7225" t="s">
        <v>29380</v>
      </c>
      <c r="H7225" t="s">
        <v>11048</v>
      </c>
      <c r="I7225" t="s">
        <v>4487</v>
      </c>
      <c r="J7225" t="s">
        <v>34180</v>
      </c>
      <c r="K7225" t="s">
        <v>38490</v>
      </c>
      <c r="M7225" t="s">
        <v>41261</v>
      </c>
      <c r="N7225" t="s">
        <v>42669</v>
      </c>
      <c r="O7225" t="s">
        <v>42670</v>
      </c>
      <c r="P7225">
        <v>0</v>
      </c>
      <c r="Q7225">
        <v>5</v>
      </c>
      <c r="R7225" t="s">
        <v>42678</v>
      </c>
      <c r="S7225" t="s">
        <v>42866</v>
      </c>
      <c r="T7225" t="s">
        <v>44375</v>
      </c>
      <c r="U7225" t="s">
        <v>50722</v>
      </c>
      <c r="W7225" t="s">
        <v>41261</v>
      </c>
      <c r="X7225" t="s">
        <v>42679</v>
      </c>
    </row>
    <row r="7226" spans="1:24">
      <c r="A7226">
        <f>HYPERLINK("https://www.philgeps.gov.ph/GEPSNONPILOT/Tender/SplashBidNoticeAbstractUI.aspx?menuIndex=3&amp;refID=7181187&amp;Result=3","7181187")</f>
        <v>0</v>
      </c>
      <c r="B7226" t="s">
        <v>395</v>
      </c>
      <c r="C7226" t="s">
        <v>10431</v>
      </c>
      <c r="D7226" t="s">
        <v>17141</v>
      </c>
      <c r="E7226" t="s">
        <v>23495</v>
      </c>
      <c r="F7226" t="s">
        <v>29372</v>
      </c>
      <c r="G7226" t="s">
        <v>29379</v>
      </c>
      <c r="H7226" t="s">
        <v>11048</v>
      </c>
      <c r="I7226" t="s">
        <v>3629</v>
      </c>
      <c r="J7226" t="s">
        <v>34181</v>
      </c>
      <c r="K7226" t="s">
        <v>38491</v>
      </c>
      <c r="M7226" t="s">
        <v>39166</v>
      </c>
      <c r="N7226" t="s">
        <v>42669</v>
      </c>
      <c r="O7226" t="s">
        <v>42670</v>
      </c>
      <c r="P7226">
        <v>0</v>
      </c>
      <c r="Q7226">
        <v>0</v>
      </c>
      <c r="R7226" t="s">
        <v>42678</v>
      </c>
      <c r="S7226" t="s">
        <v>42866</v>
      </c>
      <c r="T7226" t="s">
        <v>44488</v>
      </c>
      <c r="U7226" t="s">
        <v>50723</v>
      </c>
      <c r="W7226" t="s">
        <v>39166</v>
      </c>
      <c r="X7226" t="s">
        <v>42679</v>
      </c>
    </row>
    <row r="7227" spans="1:24">
      <c r="A7227">
        <f>HYPERLINK("https://www.philgeps.gov.ph/GEPSNONPILOT/Tender/SplashBidNoticeAbstractUI.aspx?menuIndex=3&amp;refID=7181179&amp;Result=3","7181179")</f>
        <v>0</v>
      </c>
      <c r="B7227" t="s">
        <v>2189</v>
      </c>
      <c r="C7227" t="s">
        <v>10432</v>
      </c>
      <c r="D7227" t="s">
        <v>17209</v>
      </c>
      <c r="E7227" t="s">
        <v>23496</v>
      </c>
      <c r="F7227" t="s">
        <v>29372</v>
      </c>
      <c r="G7227" t="s">
        <v>29380</v>
      </c>
      <c r="H7227" t="s">
        <v>11048</v>
      </c>
      <c r="I7227" t="s">
        <v>29476</v>
      </c>
      <c r="J7227" t="s">
        <v>31533</v>
      </c>
      <c r="K7227" t="s">
        <v>38490</v>
      </c>
      <c r="M7227" t="s">
        <v>41103</v>
      </c>
      <c r="N7227" t="s">
        <v>42669</v>
      </c>
      <c r="O7227" t="s">
        <v>42670</v>
      </c>
      <c r="P7227">
        <v>0</v>
      </c>
      <c r="Q7227">
        <v>6</v>
      </c>
      <c r="R7227" t="s">
        <v>42678</v>
      </c>
      <c r="S7227" t="s">
        <v>42866</v>
      </c>
      <c r="T7227" t="s">
        <v>44454</v>
      </c>
      <c r="U7227" t="s">
        <v>50724</v>
      </c>
      <c r="W7227" t="s">
        <v>41103</v>
      </c>
      <c r="X7227" t="s">
        <v>42679</v>
      </c>
    </row>
    <row r="7228" spans="1:24">
      <c r="A7228">
        <f>HYPERLINK("https://www.philgeps.gov.ph/GEPSNONPILOT/Tender/SplashBidNoticeAbstractUI.aspx?menuIndex=3&amp;refID=7181175&amp;Result=3","7181175")</f>
        <v>0</v>
      </c>
      <c r="B7228" t="s">
        <v>2181</v>
      </c>
      <c r="C7228" t="s">
        <v>10433</v>
      </c>
      <c r="E7228" t="s">
        <v>23497</v>
      </c>
      <c r="F7228" t="s">
        <v>29372</v>
      </c>
      <c r="G7228" t="s">
        <v>29379</v>
      </c>
      <c r="H7228" t="s">
        <v>11048</v>
      </c>
      <c r="I7228" t="s">
        <v>29465</v>
      </c>
      <c r="J7228" t="s">
        <v>34182</v>
      </c>
      <c r="K7228" t="s">
        <v>38510</v>
      </c>
      <c r="M7228" t="s">
        <v>41095</v>
      </c>
      <c r="N7228" t="s">
        <v>42669</v>
      </c>
      <c r="O7228" t="s">
        <v>42670</v>
      </c>
      <c r="P7228">
        <v>0</v>
      </c>
      <c r="Q7228">
        <v>0</v>
      </c>
      <c r="R7228" t="s">
        <v>42678</v>
      </c>
      <c r="S7228" t="s">
        <v>42866</v>
      </c>
      <c r="T7228" t="s">
        <v>44493</v>
      </c>
      <c r="U7228" t="s">
        <v>50725</v>
      </c>
      <c r="V7228" t="s">
        <v>57077</v>
      </c>
      <c r="W7228" t="s">
        <v>41095</v>
      </c>
      <c r="X7228" t="s">
        <v>42679</v>
      </c>
    </row>
    <row r="7229" spans="1:24">
      <c r="A7229">
        <f>HYPERLINK("https://www.philgeps.gov.ph/GEPSNONPILOT/Tender/SplashBidNoticeAbstractUI.aspx?menuIndex=3&amp;refID=7181171&amp;Result=3","7181171")</f>
        <v>0</v>
      </c>
      <c r="B7229" t="s">
        <v>2350</v>
      </c>
      <c r="C7229" t="s">
        <v>10434</v>
      </c>
      <c r="D7229" t="s">
        <v>17149</v>
      </c>
      <c r="E7229" t="s">
        <v>23498</v>
      </c>
      <c r="F7229" t="s">
        <v>29372</v>
      </c>
      <c r="G7229" t="s">
        <v>29381</v>
      </c>
      <c r="H7229" t="s">
        <v>11048</v>
      </c>
      <c r="I7229" t="s">
        <v>29401</v>
      </c>
      <c r="J7229" t="s">
        <v>34125</v>
      </c>
      <c r="K7229" t="s">
        <v>38488</v>
      </c>
      <c r="M7229" t="s">
        <v>41283</v>
      </c>
      <c r="N7229" t="s">
        <v>42669</v>
      </c>
      <c r="O7229" t="s">
        <v>42670</v>
      </c>
      <c r="P7229">
        <v>0</v>
      </c>
      <c r="Q7229">
        <v>1</v>
      </c>
      <c r="R7229" t="s">
        <v>42678</v>
      </c>
      <c r="S7229" t="s">
        <v>42866</v>
      </c>
      <c r="T7229" t="s">
        <v>44491</v>
      </c>
      <c r="U7229" t="s">
        <v>50726</v>
      </c>
      <c r="W7229" t="s">
        <v>41283</v>
      </c>
      <c r="X7229" t="s">
        <v>42679</v>
      </c>
    </row>
    <row r="7230" spans="1:24">
      <c r="A7230">
        <f>HYPERLINK("https://www.philgeps.gov.ph/GEPSNONPILOT/Tender/SplashBidNoticeAbstractUI.aspx?menuIndex=3&amp;refID=7181161&amp;Result=3","7181161")</f>
        <v>0</v>
      </c>
      <c r="B7230" t="s">
        <v>1176</v>
      </c>
      <c r="C7230" t="s">
        <v>10435</v>
      </c>
      <c r="D7230" t="s">
        <v>17199</v>
      </c>
      <c r="E7230" t="s">
        <v>23499</v>
      </c>
      <c r="F7230" t="s">
        <v>29372</v>
      </c>
      <c r="G7230" t="s">
        <v>29380</v>
      </c>
      <c r="H7230" t="s">
        <v>11048</v>
      </c>
      <c r="I7230" t="s">
        <v>3839</v>
      </c>
      <c r="J7230" t="s">
        <v>34183</v>
      </c>
      <c r="K7230" t="s">
        <v>38490</v>
      </c>
      <c r="M7230" t="s">
        <v>39991</v>
      </c>
      <c r="N7230" t="s">
        <v>42669</v>
      </c>
      <c r="O7230" t="s">
        <v>42670</v>
      </c>
      <c r="P7230">
        <v>0</v>
      </c>
      <c r="Q7230">
        <v>2</v>
      </c>
      <c r="R7230" t="s">
        <v>42678</v>
      </c>
      <c r="S7230" t="s">
        <v>42866</v>
      </c>
      <c r="T7230" t="s">
        <v>44390</v>
      </c>
      <c r="U7230" t="s">
        <v>50727</v>
      </c>
      <c r="W7230" t="s">
        <v>39991</v>
      </c>
      <c r="X7230" t="s">
        <v>42679</v>
      </c>
    </row>
    <row r="7231" spans="1:24">
      <c r="A7231">
        <f>HYPERLINK("https://www.philgeps.gov.ph/GEPSNONPILOT/Tender/SplashBidNoticeAbstractUI.aspx?menuIndex=3&amp;refID=7181054&amp;Result=3","7181054")</f>
        <v>0</v>
      </c>
      <c r="B7231" t="s">
        <v>1125</v>
      </c>
      <c r="C7231" t="s">
        <v>10436</v>
      </c>
      <c r="D7231" t="s">
        <v>17151</v>
      </c>
      <c r="E7231" t="s">
        <v>23500</v>
      </c>
      <c r="F7231" t="s">
        <v>29372</v>
      </c>
      <c r="G7231" t="s">
        <v>29380</v>
      </c>
      <c r="H7231" t="s">
        <v>29389</v>
      </c>
      <c r="I7231" t="s">
        <v>10408</v>
      </c>
      <c r="J7231" t="s">
        <v>34184</v>
      </c>
      <c r="K7231" t="s">
        <v>38522</v>
      </c>
      <c r="M7231" t="s">
        <v>39935</v>
      </c>
      <c r="N7231" t="s">
        <v>42669</v>
      </c>
      <c r="O7231" t="s">
        <v>42670</v>
      </c>
      <c r="P7231">
        <v>0</v>
      </c>
      <c r="Q7231">
        <v>0</v>
      </c>
      <c r="R7231" t="s">
        <v>42678</v>
      </c>
      <c r="S7231" t="s">
        <v>42866</v>
      </c>
      <c r="T7231" t="s">
        <v>44476</v>
      </c>
      <c r="U7231" t="s">
        <v>50728</v>
      </c>
      <c r="W7231" t="s">
        <v>39935</v>
      </c>
      <c r="X7231" t="s">
        <v>42679</v>
      </c>
    </row>
    <row r="7232" spans="1:24">
      <c r="A7232">
        <f>HYPERLINK("https://www.philgeps.gov.ph/GEPSNONPILOT/Tender/SplashBidNoticeAbstractUI.aspx?menuIndex=3&amp;refID=7181160&amp;Result=3","7181160")</f>
        <v>0</v>
      </c>
      <c r="B7232" t="s">
        <v>2181</v>
      </c>
      <c r="C7232" t="s">
        <v>10437</v>
      </c>
      <c r="E7232" t="s">
        <v>23501</v>
      </c>
      <c r="F7232" t="s">
        <v>29372</v>
      </c>
      <c r="G7232" t="s">
        <v>29379</v>
      </c>
      <c r="H7232" t="s">
        <v>11048</v>
      </c>
      <c r="I7232" t="s">
        <v>29465</v>
      </c>
      <c r="J7232" t="s">
        <v>34185</v>
      </c>
      <c r="K7232" t="s">
        <v>38510</v>
      </c>
      <c r="M7232" t="s">
        <v>41095</v>
      </c>
      <c r="N7232" t="s">
        <v>42669</v>
      </c>
      <c r="O7232" t="s">
        <v>42670</v>
      </c>
      <c r="P7232">
        <v>0</v>
      </c>
      <c r="Q7232">
        <v>0</v>
      </c>
      <c r="R7232" t="s">
        <v>42678</v>
      </c>
      <c r="S7232" t="s">
        <v>42866</v>
      </c>
      <c r="T7232" t="s">
        <v>44493</v>
      </c>
      <c r="U7232" t="s">
        <v>50729</v>
      </c>
      <c r="V7232" t="s">
        <v>57077</v>
      </c>
      <c r="W7232" t="s">
        <v>41095</v>
      </c>
      <c r="X7232" t="s">
        <v>42679</v>
      </c>
    </row>
    <row r="7233" spans="1:24">
      <c r="A7233">
        <f>HYPERLINK("https://www.philgeps.gov.ph/GEPSNONPILOT/Tender/SplashBidNoticeAbstractUI.aspx?menuIndex=3&amp;refID=7181113&amp;Result=3","7181113")</f>
        <v>0</v>
      </c>
      <c r="B7233" t="s">
        <v>2350</v>
      </c>
      <c r="C7233" t="s">
        <v>10438</v>
      </c>
      <c r="D7233" t="s">
        <v>17149</v>
      </c>
      <c r="E7233" t="s">
        <v>23502</v>
      </c>
      <c r="F7233" t="s">
        <v>29372</v>
      </c>
      <c r="G7233" t="s">
        <v>29380</v>
      </c>
      <c r="H7233" t="s">
        <v>11048</v>
      </c>
      <c r="I7233" t="s">
        <v>3597</v>
      </c>
      <c r="J7233" t="s">
        <v>34186</v>
      </c>
      <c r="K7233" t="s">
        <v>38487</v>
      </c>
      <c r="M7233" t="s">
        <v>41283</v>
      </c>
      <c r="N7233" t="s">
        <v>42669</v>
      </c>
      <c r="O7233" t="s">
        <v>42670</v>
      </c>
      <c r="P7233">
        <v>0</v>
      </c>
      <c r="Q7233">
        <v>1</v>
      </c>
      <c r="R7233" t="s">
        <v>42678</v>
      </c>
      <c r="S7233" t="s">
        <v>42866</v>
      </c>
      <c r="T7233" t="s">
        <v>44491</v>
      </c>
      <c r="U7233" t="s">
        <v>50730</v>
      </c>
      <c r="W7233" t="s">
        <v>41283</v>
      </c>
      <c r="X7233" t="s">
        <v>42679</v>
      </c>
    </row>
    <row r="7234" spans="1:24">
      <c r="A7234">
        <f>HYPERLINK("https://www.philgeps.gov.ph/GEPSNONPILOT/Tender/SplashBidNoticeAbstractUI.aspx?menuIndex=3&amp;refID=7181154&amp;Result=3","7181154")</f>
        <v>0</v>
      </c>
      <c r="B7234" t="s">
        <v>712</v>
      </c>
      <c r="C7234" t="s">
        <v>10439</v>
      </c>
      <c r="D7234" t="s">
        <v>17175</v>
      </c>
      <c r="E7234" t="s">
        <v>23503</v>
      </c>
      <c r="F7234" t="s">
        <v>29372</v>
      </c>
      <c r="G7234" t="s">
        <v>29379</v>
      </c>
      <c r="H7234" t="s">
        <v>11048</v>
      </c>
      <c r="I7234" t="s">
        <v>29396</v>
      </c>
      <c r="J7234" t="s">
        <v>30435</v>
      </c>
      <c r="K7234" t="s">
        <v>38491</v>
      </c>
      <c r="M7234" t="s">
        <v>40443</v>
      </c>
      <c r="N7234" t="s">
        <v>42669</v>
      </c>
      <c r="O7234" t="s">
        <v>42670</v>
      </c>
      <c r="P7234">
        <v>0</v>
      </c>
      <c r="Q7234">
        <v>0</v>
      </c>
      <c r="R7234" t="s">
        <v>42678</v>
      </c>
      <c r="S7234" t="s">
        <v>42866</v>
      </c>
      <c r="T7234" t="s">
        <v>44488</v>
      </c>
      <c r="U7234" t="s">
        <v>50731</v>
      </c>
      <c r="W7234" t="s">
        <v>40443</v>
      </c>
      <c r="X7234" t="s">
        <v>42679</v>
      </c>
    </row>
    <row r="7235" spans="1:24">
      <c r="A7235">
        <f>HYPERLINK("https://www.philgeps.gov.ph/GEPSNONPILOT/Tender/SplashBidNoticeAbstractUI.aspx?menuIndex=3&amp;refID=7181180&amp;Result=3","7181180")</f>
        <v>0</v>
      </c>
      <c r="B7235" t="s">
        <v>2297</v>
      </c>
      <c r="C7235" t="s">
        <v>10440</v>
      </c>
      <c r="D7235" t="s">
        <v>17181</v>
      </c>
      <c r="E7235" t="s">
        <v>23504</v>
      </c>
      <c r="F7235" t="s">
        <v>29372</v>
      </c>
      <c r="G7235" t="s">
        <v>29380</v>
      </c>
      <c r="H7235" t="s">
        <v>11048</v>
      </c>
      <c r="I7235" t="s">
        <v>29414</v>
      </c>
      <c r="J7235" t="s">
        <v>34187</v>
      </c>
      <c r="K7235" t="s">
        <v>38490</v>
      </c>
      <c r="M7235" t="s">
        <v>41284</v>
      </c>
      <c r="N7235" t="s">
        <v>42669</v>
      </c>
      <c r="O7235" t="s">
        <v>42670</v>
      </c>
      <c r="P7235">
        <v>0</v>
      </c>
      <c r="Q7235">
        <v>16</v>
      </c>
      <c r="R7235" t="s">
        <v>42678</v>
      </c>
      <c r="S7235" t="s">
        <v>42866</v>
      </c>
      <c r="T7235" t="s">
        <v>44746</v>
      </c>
      <c r="U7235" t="s">
        <v>50732</v>
      </c>
      <c r="W7235" t="s">
        <v>41284</v>
      </c>
      <c r="X7235" t="s">
        <v>42679</v>
      </c>
    </row>
    <row r="7236" spans="1:24">
      <c r="A7236">
        <f>HYPERLINK("https://www.philgeps.gov.ph/GEPSNONPILOT/Tender/SplashBidNoticeAbstractUI.aspx?menuIndex=3&amp;refID=7181103&amp;Result=3","7181103")</f>
        <v>0</v>
      </c>
      <c r="B7236" t="s">
        <v>2351</v>
      </c>
      <c r="C7236" t="s">
        <v>10441</v>
      </c>
      <c r="D7236" t="s">
        <v>17145</v>
      </c>
      <c r="E7236" t="s">
        <v>21510</v>
      </c>
      <c r="F7236" t="s">
        <v>29372</v>
      </c>
      <c r="G7236" t="s">
        <v>29380</v>
      </c>
      <c r="H7236" t="s">
        <v>11048</v>
      </c>
      <c r="I7236" t="s">
        <v>3670</v>
      </c>
      <c r="J7236" t="s">
        <v>34188</v>
      </c>
      <c r="K7236" t="s">
        <v>38489</v>
      </c>
      <c r="M7236" t="s">
        <v>41285</v>
      </c>
      <c r="N7236" t="s">
        <v>42669</v>
      </c>
      <c r="O7236" t="s">
        <v>42670</v>
      </c>
      <c r="P7236">
        <v>0</v>
      </c>
      <c r="Q7236">
        <v>3</v>
      </c>
      <c r="R7236" t="s">
        <v>42678</v>
      </c>
      <c r="S7236" t="s">
        <v>42866</v>
      </c>
      <c r="T7236" t="s">
        <v>44418</v>
      </c>
      <c r="U7236" t="s">
        <v>50733</v>
      </c>
      <c r="W7236" t="s">
        <v>41285</v>
      </c>
      <c r="X7236" t="s">
        <v>42679</v>
      </c>
    </row>
    <row r="7237" spans="1:24">
      <c r="A7237">
        <f>HYPERLINK("https://www.philgeps.gov.ph/GEPSNONPILOT/Tender/SplashBidNoticeAbstractUI.aspx?menuIndex=3&amp;refID=7181172&amp;Result=3","7181172")</f>
        <v>0</v>
      </c>
      <c r="B7237" t="s">
        <v>219</v>
      </c>
      <c r="C7237" t="s">
        <v>10442</v>
      </c>
      <c r="D7237" t="s">
        <v>17176</v>
      </c>
      <c r="E7237" t="s">
        <v>23505</v>
      </c>
      <c r="F7237" t="s">
        <v>29372</v>
      </c>
      <c r="G7237" t="s">
        <v>29380</v>
      </c>
      <c r="H7237" t="s">
        <v>11048</v>
      </c>
      <c r="I7237" t="s">
        <v>4709</v>
      </c>
      <c r="J7237" t="s">
        <v>34189</v>
      </c>
      <c r="K7237" t="s">
        <v>38488</v>
      </c>
      <c r="M7237" t="s">
        <v>38978</v>
      </c>
      <c r="N7237" t="s">
        <v>42669</v>
      </c>
      <c r="O7237" t="s">
        <v>42670</v>
      </c>
      <c r="P7237">
        <v>0</v>
      </c>
      <c r="Q7237">
        <v>0</v>
      </c>
      <c r="R7237" t="s">
        <v>42678</v>
      </c>
      <c r="S7237" t="s">
        <v>42866</v>
      </c>
      <c r="T7237" t="s">
        <v>44512</v>
      </c>
      <c r="U7237" t="s">
        <v>45627</v>
      </c>
      <c r="W7237" t="s">
        <v>38978</v>
      </c>
      <c r="X7237" t="s">
        <v>42679</v>
      </c>
    </row>
    <row r="7238" spans="1:24">
      <c r="A7238">
        <f>HYPERLINK("https://www.philgeps.gov.ph/GEPSNONPILOT/Tender/SplashBidNoticeAbstractUI.aspx?menuIndex=3&amp;refID=7181148&amp;Result=3","7181148")</f>
        <v>0</v>
      </c>
      <c r="B7238" t="s">
        <v>1488</v>
      </c>
      <c r="C7238" t="s">
        <v>10443</v>
      </c>
      <c r="E7238" t="s">
        <v>23506</v>
      </c>
      <c r="F7238" t="s">
        <v>29372</v>
      </c>
      <c r="G7238" t="s">
        <v>29380</v>
      </c>
      <c r="H7238" t="s">
        <v>29389</v>
      </c>
      <c r="I7238" t="s">
        <v>10408</v>
      </c>
      <c r="J7238" t="s">
        <v>34190</v>
      </c>
      <c r="K7238" t="s">
        <v>38515</v>
      </c>
      <c r="M7238" t="s">
        <v>40331</v>
      </c>
      <c r="N7238" t="s">
        <v>42669</v>
      </c>
      <c r="O7238" t="s">
        <v>42670</v>
      </c>
      <c r="Q7238">
        <v>11</v>
      </c>
      <c r="R7238" t="s">
        <v>42678</v>
      </c>
      <c r="S7238" t="s">
        <v>42886</v>
      </c>
      <c r="T7238" t="s">
        <v>44390</v>
      </c>
      <c r="U7238" t="s">
        <v>50734</v>
      </c>
      <c r="V7238" t="s">
        <v>56777</v>
      </c>
      <c r="W7238" t="s">
        <v>40331</v>
      </c>
      <c r="X7238" t="s">
        <v>42679</v>
      </c>
    </row>
    <row r="7239" spans="1:24">
      <c r="A7239">
        <f>HYPERLINK("https://www.philgeps.gov.ph/GEPSNONPILOT/Tender/SplashBidNoticeAbstractUI.aspx?menuIndex=3&amp;refID=7181142&amp;Result=3","7181142")</f>
        <v>0</v>
      </c>
      <c r="B7239" t="s">
        <v>2352</v>
      </c>
      <c r="C7239" t="s">
        <v>10444</v>
      </c>
      <c r="D7239" t="s">
        <v>17201</v>
      </c>
      <c r="E7239" t="s">
        <v>23507</v>
      </c>
      <c r="F7239" t="s">
        <v>29372</v>
      </c>
      <c r="G7239" t="s">
        <v>29380</v>
      </c>
      <c r="H7239" t="s">
        <v>11048</v>
      </c>
      <c r="I7239" t="s">
        <v>29476</v>
      </c>
      <c r="J7239" t="s">
        <v>34191</v>
      </c>
      <c r="K7239" t="s">
        <v>38530</v>
      </c>
      <c r="L7239" t="s">
        <v>2352</v>
      </c>
      <c r="M7239" t="s">
        <v>41286</v>
      </c>
      <c r="N7239" t="s">
        <v>42669</v>
      </c>
      <c r="O7239" t="s">
        <v>42670</v>
      </c>
      <c r="P7239">
        <v>0</v>
      </c>
      <c r="Q7239">
        <v>8</v>
      </c>
      <c r="R7239" t="s">
        <v>42678</v>
      </c>
      <c r="S7239" t="s">
        <v>42866</v>
      </c>
      <c r="T7239" t="s">
        <v>44452</v>
      </c>
      <c r="U7239" t="s">
        <v>50735</v>
      </c>
      <c r="W7239" t="s">
        <v>41286</v>
      </c>
      <c r="X7239" t="s">
        <v>42679</v>
      </c>
    </row>
    <row r="7240" spans="1:24">
      <c r="A7240">
        <f>HYPERLINK("https://www.philgeps.gov.ph/GEPSNONPILOT/Tender/SplashBidNoticeAbstractUI.aspx?menuIndex=3&amp;refID=7181141&amp;Result=3","7181141")</f>
        <v>0</v>
      </c>
      <c r="B7240" t="s">
        <v>1780</v>
      </c>
      <c r="C7240" t="s">
        <v>10445</v>
      </c>
      <c r="D7240" t="s">
        <v>17170</v>
      </c>
      <c r="E7240" t="s">
        <v>23508</v>
      </c>
      <c r="F7240" t="s">
        <v>29372</v>
      </c>
      <c r="G7240" t="s">
        <v>29379</v>
      </c>
      <c r="H7240" t="s">
        <v>11048</v>
      </c>
      <c r="I7240" t="s">
        <v>4709</v>
      </c>
      <c r="J7240" t="s">
        <v>34192</v>
      </c>
      <c r="K7240" t="s">
        <v>38485</v>
      </c>
      <c r="M7240" t="s">
        <v>40648</v>
      </c>
      <c r="N7240" t="s">
        <v>42669</v>
      </c>
      <c r="O7240" t="s">
        <v>42670</v>
      </c>
      <c r="P7240">
        <v>0</v>
      </c>
      <c r="Q7240">
        <v>0</v>
      </c>
      <c r="R7240" t="s">
        <v>42678</v>
      </c>
      <c r="S7240" t="s">
        <v>42866</v>
      </c>
      <c r="T7240" t="s">
        <v>44488</v>
      </c>
      <c r="U7240" t="s">
        <v>50736</v>
      </c>
      <c r="W7240" t="s">
        <v>40648</v>
      </c>
      <c r="X7240" t="s">
        <v>42679</v>
      </c>
    </row>
    <row r="7241" spans="1:24">
      <c r="A7241">
        <f>HYPERLINK("https://www.philgeps.gov.ph/GEPSNONPILOT/Tender/SplashBidNoticeAbstractUI.aspx?menuIndex=3&amp;refID=7181140&amp;Result=3","7181140")</f>
        <v>0</v>
      </c>
      <c r="B7241" t="s">
        <v>2181</v>
      </c>
      <c r="C7241" t="s">
        <v>10446</v>
      </c>
      <c r="E7241" t="s">
        <v>23509</v>
      </c>
      <c r="F7241" t="s">
        <v>29372</v>
      </c>
      <c r="G7241" t="s">
        <v>29379</v>
      </c>
      <c r="H7241" t="s">
        <v>11048</v>
      </c>
      <c r="I7241" t="s">
        <v>29465</v>
      </c>
      <c r="J7241" t="s">
        <v>34193</v>
      </c>
      <c r="K7241" t="s">
        <v>38510</v>
      </c>
      <c r="M7241" t="s">
        <v>41095</v>
      </c>
      <c r="N7241" t="s">
        <v>42669</v>
      </c>
      <c r="O7241" t="s">
        <v>42670</v>
      </c>
      <c r="P7241">
        <v>0</v>
      </c>
      <c r="Q7241">
        <v>0</v>
      </c>
      <c r="R7241" t="s">
        <v>42678</v>
      </c>
      <c r="S7241" t="s">
        <v>42866</v>
      </c>
      <c r="T7241" t="s">
        <v>44493</v>
      </c>
      <c r="U7241" t="s">
        <v>50737</v>
      </c>
      <c r="V7241" t="s">
        <v>57077</v>
      </c>
      <c r="W7241" t="s">
        <v>41095</v>
      </c>
      <c r="X7241" t="s">
        <v>42679</v>
      </c>
    </row>
    <row r="7242" spans="1:24">
      <c r="A7242">
        <f>HYPERLINK("https://www.philgeps.gov.ph/GEPSNONPILOT/Tender/SplashBidNoticeAbstractUI.aspx?menuIndex=3&amp;refID=7181125&amp;Result=3","7181125")</f>
        <v>0</v>
      </c>
      <c r="B7242" t="s">
        <v>1412</v>
      </c>
      <c r="C7242" t="s">
        <v>10447</v>
      </c>
      <c r="D7242" t="s">
        <v>17226</v>
      </c>
      <c r="E7242" t="s">
        <v>23510</v>
      </c>
      <c r="F7242" t="s">
        <v>29372</v>
      </c>
      <c r="G7242" t="s">
        <v>29380</v>
      </c>
      <c r="H7242" t="s">
        <v>11048</v>
      </c>
      <c r="I7242" t="s">
        <v>5383</v>
      </c>
      <c r="J7242" t="s">
        <v>34194</v>
      </c>
      <c r="K7242" t="s">
        <v>38510</v>
      </c>
      <c r="M7242" t="s">
        <v>40251</v>
      </c>
      <c r="N7242" t="s">
        <v>42669</v>
      </c>
      <c r="O7242" t="s">
        <v>42670</v>
      </c>
      <c r="P7242">
        <v>0</v>
      </c>
      <c r="Q7242">
        <v>1</v>
      </c>
      <c r="R7242" t="s">
        <v>42678</v>
      </c>
      <c r="S7242" t="s">
        <v>42866</v>
      </c>
      <c r="T7242" t="s">
        <v>44491</v>
      </c>
      <c r="U7242" t="s">
        <v>48027</v>
      </c>
      <c r="W7242" t="s">
        <v>40251</v>
      </c>
      <c r="X7242" t="s">
        <v>42679</v>
      </c>
    </row>
    <row r="7243" spans="1:24">
      <c r="A7243">
        <f>HYPERLINK("https://www.philgeps.gov.ph/GEPSNONPILOT/Tender/SplashBidNoticeAbstractUI.aspx?menuIndex=3&amp;refID=7181097&amp;Result=3","7181097")</f>
        <v>0</v>
      </c>
      <c r="B7243" t="s">
        <v>1125</v>
      </c>
      <c r="C7243" t="s">
        <v>10448</v>
      </c>
      <c r="D7243" t="s">
        <v>17151</v>
      </c>
      <c r="E7243" t="s">
        <v>23511</v>
      </c>
      <c r="F7243" t="s">
        <v>29372</v>
      </c>
      <c r="G7243" t="s">
        <v>29380</v>
      </c>
      <c r="H7243" t="s">
        <v>29389</v>
      </c>
      <c r="I7243" t="s">
        <v>10408</v>
      </c>
      <c r="J7243" t="s">
        <v>34195</v>
      </c>
      <c r="K7243" t="s">
        <v>38496</v>
      </c>
      <c r="M7243" t="s">
        <v>39935</v>
      </c>
      <c r="N7243" t="s">
        <v>42669</v>
      </c>
      <c r="O7243" t="s">
        <v>42670</v>
      </c>
      <c r="P7243">
        <v>0</v>
      </c>
      <c r="Q7243">
        <v>3</v>
      </c>
      <c r="R7243" t="s">
        <v>42678</v>
      </c>
      <c r="S7243" t="s">
        <v>42866</v>
      </c>
      <c r="T7243" t="s">
        <v>44476</v>
      </c>
      <c r="U7243" t="s">
        <v>50738</v>
      </c>
      <c r="W7243" t="s">
        <v>39935</v>
      </c>
      <c r="X7243" t="s">
        <v>42679</v>
      </c>
    </row>
    <row r="7244" spans="1:24">
      <c r="A7244">
        <f>HYPERLINK("https://www.philgeps.gov.ph/GEPSNONPILOT/Tender/SplashBidNoticeAbstractUI.aspx?menuIndex=3&amp;refID=7181092&amp;Result=3","7181092")</f>
        <v>0</v>
      </c>
      <c r="B7244" t="s">
        <v>2329</v>
      </c>
      <c r="C7244" t="s">
        <v>10449</v>
      </c>
      <c r="E7244" t="s">
        <v>23512</v>
      </c>
      <c r="F7244" t="s">
        <v>29372</v>
      </c>
      <c r="G7244" t="s">
        <v>29380</v>
      </c>
      <c r="H7244" t="s">
        <v>11048</v>
      </c>
      <c r="I7244" t="s">
        <v>3670</v>
      </c>
      <c r="J7244" t="s">
        <v>29590</v>
      </c>
      <c r="K7244" t="s">
        <v>38490</v>
      </c>
      <c r="M7244" t="s">
        <v>41261</v>
      </c>
      <c r="N7244" t="s">
        <v>42669</v>
      </c>
      <c r="O7244" t="s">
        <v>42670</v>
      </c>
      <c r="P7244">
        <v>0</v>
      </c>
      <c r="Q7244">
        <v>1</v>
      </c>
      <c r="R7244" t="s">
        <v>42678</v>
      </c>
      <c r="S7244" t="s">
        <v>42866</v>
      </c>
      <c r="T7244" t="s">
        <v>44375</v>
      </c>
      <c r="U7244" t="s">
        <v>50739</v>
      </c>
      <c r="W7244" t="s">
        <v>41261</v>
      </c>
      <c r="X7244" t="s">
        <v>42679</v>
      </c>
    </row>
    <row r="7245" spans="1:24">
      <c r="A7245">
        <f>HYPERLINK("https://www.philgeps.gov.ph/GEPSNONPILOT/Tender/SplashBidNoticeAbstractUI.aspx?menuIndex=3&amp;refID=7181158&amp;Result=3","7181158")</f>
        <v>0</v>
      </c>
      <c r="B7245" t="s">
        <v>119</v>
      </c>
      <c r="C7245" t="s">
        <v>10450</v>
      </c>
      <c r="D7245" t="s">
        <v>17141</v>
      </c>
      <c r="E7245" t="s">
        <v>23513</v>
      </c>
      <c r="F7245" t="s">
        <v>29372</v>
      </c>
      <c r="G7245" t="s">
        <v>29380</v>
      </c>
      <c r="H7245" t="s">
        <v>11048</v>
      </c>
      <c r="I7245" t="s">
        <v>8614</v>
      </c>
      <c r="J7245" t="s">
        <v>34196</v>
      </c>
      <c r="K7245" t="s">
        <v>38490</v>
      </c>
      <c r="M7245" t="s">
        <v>41287</v>
      </c>
      <c r="N7245" t="s">
        <v>42669</v>
      </c>
      <c r="O7245" t="s">
        <v>42670</v>
      </c>
      <c r="P7245">
        <v>0</v>
      </c>
      <c r="Q7245">
        <v>16</v>
      </c>
      <c r="R7245" t="s">
        <v>42678</v>
      </c>
      <c r="S7245" t="s">
        <v>42866</v>
      </c>
      <c r="T7245" t="s">
        <v>44452</v>
      </c>
      <c r="U7245" t="s">
        <v>50740</v>
      </c>
      <c r="V7245" t="s">
        <v>57165</v>
      </c>
      <c r="W7245" t="s">
        <v>41287</v>
      </c>
      <c r="X7245" t="s">
        <v>42679</v>
      </c>
    </row>
    <row r="7246" spans="1:24">
      <c r="A7246">
        <f>HYPERLINK("https://www.philgeps.gov.ph/GEPSNONPILOT/Tender/SplashBidNoticeAbstractUI.aspx?menuIndex=3&amp;refID=7181079&amp;Result=3","7181079")</f>
        <v>0</v>
      </c>
      <c r="B7246" t="s">
        <v>1412</v>
      </c>
      <c r="C7246" t="s">
        <v>8403</v>
      </c>
      <c r="D7246" t="s">
        <v>17226</v>
      </c>
      <c r="E7246" t="s">
        <v>23514</v>
      </c>
      <c r="F7246" t="s">
        <v>29372</v>
      </c>
      <c r="G7246" t="s">
        <v>29380</v>
      </c>
      <c r="H7246" t="s">
        <v>11048</v>
      </c>
      <c r="I7246" t="s">
        <v>3839</v>
      </c>
      <c r="J7246" t="s">
        <v>32508</v>
      </c>
      <c r="K7246" t="s">
        <v>38510</v>
      </c>
      <c r="M7246" t="s">
        <v>40251</v>
      </c>
      <c r="N7246" t="s">
        <v>42669</v>
      </c>
      <c r="O7246" t="s">
        <v>42670</v>
      </c>
      <c r="P7246">
        <v>0</v>
      </c>
      <c r="Q7246">
        <v>4</v>
      </c>
      <c r="R7246" t="s">
        <v>42678</v>
      </c>
      <c r="S7246" t="s">
        <v>42866</v>
      </c>
      <c r="T7246" t="s">
        <v>44491</v>
      </c>
      <c r="U7246" t="s">
        <v>48027</v>
      </c>
      <c r="W7246" t="s">
        <v>40251</v>
      </c>
      <c r="X7246" t="s">
        <v>42679</v>
      </c>
    </row>
    <row r="7247" spans="1:24">
      <c r="A7247">
        <f>HYPERLINK("https://www.philgeps.gov.ph/GEPSNONPILOT/Tender/SplashBidNoticeAbstractUI.aspx?menuIndex=3&amp;refID=7181090&amp;Result=3","7181090")</f>
        <v>0</v>
      </c>
      <c r="B7247" t="s">
        <v>2353</v>
      </c>
      <c r="C7247" t="s">
        <v>6514</v>
      </c>
      <c r="D7247" t="s">
        <v>17204</v>
      </c>
      <c r="E7247" t="s">
        <v>23515</v>
      </c>
      <c r="F7247" t="s">
        <v>29372</v>
      </c>
      <c r="G7247" t="s">
        <v>29379</v>
      </c>
      <c r="H7247" t="s">
        <v>11048</v>
      </c>
      <c r="I7247" t="s">
        <v>29425</v>
      </c>
      <c r="J7247" t="s">
        <v>29526</v>
      </c>
      <c r="K7247" t="s">
        <v>38488</v>
      </c>
      <c r="L7247" t="s">
        <v>2353</v>
      </c>
      <c r="M7247" t="s">
        <v>41288</v>
      </c>
      <c r="N7247" t="s">
        <v>42669</v>
      </c>
      <c r="O7247" t="s">
        <v>42670</v>
      </c>
      <c r="P7247">
        <v>0</v>
      </c>
      <c r="Q7247">
        <v>2</v>
      </c>
      <c r="R7247" t="s">
        <v>42678</v>
      </c>
      <c r="S7247" t="s">
        <v>42866</v>
      </c>
      <c r="T7247" t="s">
        <v>44489</v>
      </c>
      <c r="U7247" t="s">
        <v>50741</v>
      </c>
      <c r="W7247" t="s">
        <v>41288</v>
      </c>
      <c r="X7247" t="s">
        <v>42679</v>
      </c>
    </row>
    <row r="7248" spans="1:24">
      <c r="A7248">
        <f>HYPERLINK("https://www.philgeps.gov.ph/GEPSNONPILOT/Tender/SplashBidNoticeAbstractUI.aspx?menuIndex=3&amp;refID=7181083&amp;Result=3","7181083")</f>
        <v>0</v>
      </c>
      <c r="B7248" t="s">
        <v>1780</v>
      </c>
      <c r="C7248" t="s">
        <v>10451</v>
      </c>
      <c r="D7248" t="s">
        <v>17170</v>
      </c>
      <c r="E7248" t="s">
        <v>23516</v>
      </c>
      <c r="F7248" t="s">
        <v>29372</v>
      </c>
      <c r="G7248" t="s">
        <v>29379</v>
      </c>
      <c r="H7248" t="s">
        <v>11048</v>
      </c>
      <c r="I7248" t="s">
        <v>4709</v>
      </c>
      <c r="J7248" t="s">
        <v>34197</v>
      </c>
      <c r="K7248" t="s">
        <v>38485</v>
      </c>
      <c r="M7248" t="s">
        <v>40648</v>
      </c>
      <c r="N7248" t="s">
        <v>42669</v>
      </c>
      <c r="O7248" t="s">
        <v>42670</v>
      </c>
      <c r="P7248">
        <v>0</v>
      </c>
      <c r="Q7248">
        <v>1</v>
      </c>
      <c r="R7248" t="s">
        <v>42678</v>
      </c>
      <c r="S7248" t="s">
        <v>42866</v>
      </c>
      <c r="T7248" t="s">
        <v>44488</v>
      </c>
      <c r="U7248" t="s">
        <v>50742</v>
      </c>
      <c r="W7248" t="s">
        <v>40648</v>
      </c>
      <c r="X7248" t="s">
        <v>42679</v>
      </c>
    </row>
    <row r="7249" spans="1:24">
      <c r="A7249">
        <f>HYPERLINK("https://www.philgeps.gov.ph/GEPSNONPILOT/Tender/SplashBidNoticeAbstractUI.aspx?menuIndex=3&amp;refID=7181073&amp;Result=3","7181073")</f>
        <v>0</v>
      </c>
      <c r="B7249" t="s">
        <v>2354</v>
      </c>
      <c r="C7249" t="s">
        <v>10452</v>
      </c>
      <c r="D7249" t="s">
        <v>17174</v>
      </c>
      <c r="E7249" t="s">
        <v>23517</v>
      </c>
      <c r="F7249" t="s">
        <v>29372</v>
      </c>
      <c r="G7249" t="s">
        <v>29380</v>
      </c>
      <c r="H7249" t="s">
        <v>11048</v>
      </c>
      <c r="I7249" t="s">
        <v>29447</v>
      </c>
      <c r="J7249" t="s">
        <v>34198</v>
      </c>
      <c r="K7249" t="s">
        <v>38503</v>
      </c>
      <c r="M7249" t="s">
        <v>41289</v>
      </c>
      <c r="N7249" t="s">
        <v>42669</v>
      </c>
      <c r="O7249" t="s">
        <v>42670</v>
      </c>
      <c r="P7249">
        <v>0</v>
      </c>
      <c r="Q7249">
        <v>1</v>
      </c>
      <c r="R7249" t="s">
        <v>42678</v>
      </c>
      <c r="S7249" t="s">
        <v>42866</v>
      </c>
      <c r="T7249" t="s">
        <v>44587</v>
      </c>
      <c r="U7249" t="s">
        <v>50743</v>
      </c>
      <c r="V7249" t="s">
        <v>57166</v>
      </c>
      <c r="W7249" t="s">
        <v>41289</v>
      </c>
      <c r="X7249" t="s">
        <v>42679</v>
      </c>
    </row>
    <row r="7250" spans="1:24">
      <c r="A7250">
        <f>HYPERLINK("https://www.philgeps.gov.ph/GEPSNONPILOT/Tender/SplashBidNoticeAbstractUI.aspx?menuIndex=3&amp;refID=7181169&amp;Result=3","7181169")</f>
        <v>0</v>
      </c>
      <c r="B7250" t="s">
        <v>712</v>
      </c>
      <c r="C7250" t="s">
        <v>10439</v>
      </c>
      <c r="D7250" t="s">
        <v>17175</v>
      </c>
      <c r="E7250" t="s">
        <v>23518</v>
      </c>
      <c r="F7250" t="s">
        <v>29372</v>
      </c>
      <c r="G7250" t="s">
        <v>29379</v>
      </c>
      <c r="H7250" t="s">
        <v>11048</v>
      </c>
      <c r="I7250" t="s">
        <v>29396</v>
      </c>
      <c r="J7250" t="s">
        <v>29529</v>
      </c>
      <c r="K7250" t="s">
        <v>38491</v>
      </c>
      <c r="M7250" t="s">
        <v>40443</v>
      </c>
      <c r="N7250" t="s">
        <v>42669</v>
      </c>
      <c r="O7250" t="s">
        <v>42670</v>
      </c>
      <c r="P7250">
        <v>0</v>
      </c>
      <c r="Q7250">
        <v>0</v>
      </c>
      <c r="R7250" t="s">
        <v>42678</v>
      </c>
      <c r="S7250" t="s">
        <v>42866</v>
      </c>
      <c r="T7250" t="s">
        <v>44488</v>
      </c>
      <c r="U7250" t="s">
        <v>50731</v>
      </c>
      <c r="W7250" t="s">
        <v>40443</v>
      </c>
      <c r="X7250" t="s">
        <v>42679</v>
      </c>
    </row>
    <row r="7251" spans="1:24">
      <c r="A7251">
        <f>HYPERLINK("https://www.philgeps.gov.ph/GEPSNONPILOT/Tender/SplashBidNoticeAbstractUI.aspx?menuIndex=3&amp;refID=7181033&amp;Result=3","7181033")</f>
        <v>0</v>
      </c>
      <c r="B7251" t="s">
        <v>2340</v>
      </c>
      <c r="C7251" t="s">
        <v>4777</v>
      </c>
      <c r="D7251" t="s">
        <v>17185</v>
      </c>
      <c r="E7251" t="s">
        <v>23519</v>
      </c>
      <c r="F7251" t="s">
        <v>29372</v>
      </c>
      <c r="G7251" t="s">
        <v>29380</v>
      </c>
      <c r="H7251" t="s">
        <v>11048</v>
      </c>
      <c r="I7251" t="s">
        <v>5383</v>
      </c>
      <c r="J7251" t="s">
        <v>34199</v>
      </c>
      <c r="K7251" t="s">
        <v>38491</v>
      </c>
      <c r="M7251" t="s">
        <v>41273</v>
      </c>
      <c r="N7251" t="s">
        <v>42669</v>
      </c>
      <c r="O7251" t="s">
        <v>42670</v>
      </c>
      <c r="P7251">
        <v>0</v>
      </c>
      <c r="Q7251">
        <v>3</v>
      </c>
      <c r="R7251" t="s">
        <v>42678</v>
      </c>
      <c r="S7251" t="s">
        <v>42866</v>
      </c>
      <c r="T7251" t="s">
        <v>44386</v>
      </c>
      <c r="U7251" t="s">
        <v>50701</v>
      </c>
      <c r="W7251" t="s">
        <v>41273</v>
      </c>
      <c r="X7251" t="s">
        <v>42679</v>
      </c>
    </row>
    <row r="7252" spans="1:24">
      <c r="A7252">
        <f>HYPERLINK("https://www.philgeps.gov.ph/GEPSNONPILOT/Tender/SplashBidNoticeAbstractUI.aspx?menuIndex=3&amp;refID=7181031&amp;Result=3","7181031")</f>
        <v>0</v>
      </c>
      <c r="B7252" t="s">
        <v>39</v>
      </c>
      <c r="C7252" t="s">
        <v>10453</v>
      </c>
      <c r="D7252" t="s">
        <v>17152</v>
      </c>
      <c r="E7252" t="s">
        <v>23520</v>
      </c>
      <c r="F7252" t="s">
        <v>29372</v>
      </c>
      <c r="G7252" t="s">
        <v>29379</v>
      </c>
      <c r="H7252" t="s">
        <v>11048</v>
      </c>
      <c r="I7252" t="s">
        <v>29432</v>
      </c>
      <c r="J7252" t="s">
        <v>34200</v>
      </c>
      <c r="K7252" t="s">
        <v>38491</v>
      </c>
      <c r="M7252" t="s">
        <v>38792</v>
      </c>
      <c r="N7252" t="s">
        <v>42669</v>
      </c>
      <c r="O7252" t="s">
        <v>42670</v>
      </c>
      <c r="P7252">
        <v>0</v>
      </c>
      <c r="Q7252">
        <v>1</v>
      </c>
      <c r="R7252" t="s">
        <v>42678</v>
      </c>
      <c r="S7252" t="s">
        <v>42866</v>
      </c>
      <c r="T7252" t="s">
        <v>44432</v>
      </c>
      <c r="U7252" t="s">
        <v>50744</v>
      </c>
      <c r="W7252" t="s">
        <v>38792</v>
      </c>
      <c r="X7252" t="s">
        <v>42679</v>
      </c>
    </row>
    <row r="7253" spans="1:24">
      <c r="A7253">
        <f>HYPERLINK("https://www.philgeps.gov.ph/GEPSNONPILOT/Tender/SplashBidNoticeAbstractUI.aspx?menuIndex=3&amp;refID=7181130&amp;Result=3","7181130")</f>
        <v>0</v>
      </c>
      <c r="B7253" t="s">
        <v>2354</v>
      </c>
      <c r="C7253" t="s">
        <v>10454</v>
      </c>
      <c r="D7253" t="s">
        <v>17174</v>
      </c>
      <c r="E7253" t="s">
        <v>23521</v>
      </c>
      <c r="F7253" t="s">
        <v>29372</v>
      </c>
      <c r="G7253" t="s">
        <v>29380</v>
      </c>
      <c r="H7253" t="s">
        <v>11048</v>
      </c>
      <c r="I7253" t="s">
        <v>29417</v>
      </c>
      <c r="J7253" t="s">
        <v>34201</v>
      </c>
      <c r="K7253" t="s">
        <v>38503</v>
      </c>
      <c r="M7253" t="s">
        <v>41289</v>
      </c>
      <c r="N7253" t="s">
        <v>42669</v>
      </c>
      <c r="O7253" t="s">
        <v>42670</v>
      </c>
      <c r="P7253">
        <v>0</v>
      </c>
      <c r="Q7253">
        <v>1</v>
      </c>
      <c r="R7253" t="s">
        <v>42678</v>
      </c>
      <c r="S7253" t="s">
        <v>42866</v>
      </c>
      <c r="T7253" t="s">
        <v>44587</v>
      </c>
      <c r="U7253" t="s">
        <v>50745</v>
      </c>
      <c r="V7253" t="s">
        <v>57167</v>
      </c>
      <c r="W7253" t="s">
        <v>41289</v>
      </c>
      <c r="X7253" t="s">
        <v>42679</v>
      </c>
    </row>
    <row r="7254" spans="1:24">
      <c r="A7254">
        <f>HYPERLINK("https://www.philgeps.gov.ph/GEPSNONPILOT/Tender/SplashBidNoticeAbstractUI.aspx?menuIndex=3&amp;refID=7181027&amp;Result=3","7181027")</f>
        <v>0</v>
      </c>
      <c r="B7254" t="s">
        <v>820</v>
      </c>
      <c r="C7254" t="s">
        <v>10455</v>
      </c>
      <c r="D7254" t="s">
        <v>17165</v>
      </c>
      <c r="E7254" t="s">
        <v>23522</v>
      </c>
      <c r="F7254" t="s">
        <v>29372</v>
      </c>
      <c r="G7254" t="s">
        <v>29380</v>
      </c>
      <c r="H7254" t="s">
        <v>11048</v>
      </c>
      <c r="I7254" t="s">
        <v>29407</v>
      </c>
      <c r="J7254" t="s">
        <v>34202</v>
      </c>
      <c r="K7254" t="s">
        <v>38485</v>
      </c>
      <c r="M7254" t="s">
        <v>39606</v>
      </c>
      <c r="N7254" t="s">
        <v>42669</v>
      </c>
      <c r="O7254" t="s">
        <v>42670</v>
      </c>
      <c r="P7254">
        <v>0</v>
      </c>
      <c r="Q7254">
        <v>14</v>
      </c>
      <c r="R7254" t="s">
        <v>42678</v>
      </c>
      <c r="S7254" t="s">
        <v>42866</v>
      </c>
      <c r="T7254" t="s">
        <v>44504</v>
      </c>
      <c r="U7254" t="s">
        <v>50746</v>
      </c>
      <c r="W7254" t="s">
        <v>39606</v>
      </c>
      <c r="X7254" t="s">
        <v>42679</v>
      </c>
    </row>
    <row r="7255" spans="1:24">
      <c r="A7255">
        <f>HYPERLINK("https://www.philgeps.gov.ph/GEPSNONPILOT/Tender/SplashBidNoticeAbstractUI.aspx?menuIndex=3&amp;refID=7180913&amp;Result=3","7180913")</f>
        <v>0</v>
      </c>
      <c r="B7255" t="s">
        <v>1431</v>
      </c>
      <c r="C7255" t="s">
        <v>10456</v>
      </c>
      <c r="D7255" t="s">
        <v>17193</v>
      </c>
      <c r="E7255" t="s">
        <v>23523</v>
      </c>
      <c r="F7255" t="s">
        <v>29372</v>
      </c>
      <c r="G7255" t="s">
        <v>29379</v>
      </c>
      <c r="H7255" t="s">
        <v>11048</v>
      </c>
      <c r="I7255" t="s">
        <v>29503</v>
      </c>
      <c r="J7255" t="s">
        <v>34203</v>
      </c>
      <c r="K7255" t="s">
        <v>38491</v>
      </c>
      <c r="M7255" t="s">
        <v>40271</v>
      </c>
      <c r="N7255" t="s">
        <v>42669</v>
      </c>
      <c r="O7255" t="s">
        <v>42670</v>
      </c>
      <c r="P7255">
        <v>0</v>
      </c>
      <c r="Q7255">
        <v>5</v>
      </c>
      <c r="R7255" t="s">
        <v>42678</v>
      </c>
      <c r="S7255" t="s">
        <v>42866</v>
      </c>
      <c r="T7255" t="s">
        <v>44493</v>
      </c>
      <c r="U7255" t="s">
        <v>50747</v>
      </c>
      <c r="W7255" t="s">
        <v>40271</v>
      </c>
      <c r="X7255" t="s">
        <v>42679</v>
      </c>
    </row>
    <row r="7256" spans="1:24">
      <c r="A7256">
        <f>HYPERLINK("https://www.philgeps.gov.ph/GEPSNONPILOT/Tender/SplashBidNoticeAbstractUI.aspx?menuIndex=3&amp;refID=7180852&amp;Result=3","7180852")</f>
        <v>0</v>
      </c>
      <c r="B7256" t="s">
        <v>2324</v>
      </c>
      <c r="C7256" t="s">
        <v>10457</v>
      </c>
      <c r="D7256" t="s">
        <v>17226</v>
      </c>
      <c r="E7256" t="s">
        <v>23524</v>
      </c>
      <c r="F7256" t="s">
        <v>29372</v>
      </c>
      <c r="G7256" t="s">
        <v>29380</v>
      </c>
      <c r="H7256" t="s">
        <v>11048</v>
      </c>
      <c r="I7256" t="s">
        <v>29394</v>
      </c>
      <c r="J7256" t="s">
        <v>34204</v>
      </c>
      <c r="K7256" t="s">
        <v>38551</v>
      </c>
      <c r="L7256" t="s">
        <v>2324</v>
      </c>
      <c r="M7256" t="s">
        <v>41256</v>
      </c>
      <c r="N7256" t="s">
        <v>42669</v>
      </c>
      <c r="O7256" t="s">
        <v>42670</v>
      </c>
      <c r="P7256">
        <v>0</v>
      </c>
      <c r="Q7256">
        <v>1</v>
      </c>
      <c r="R7256" t="s">
        <v>42678</v>
      </c>
      <c r="S7256" t="s">
        <v>42866</v>
      </c>
      <c r="T7256" t="s">
        <v>44446</v>
      </c>
      <c r="U7256" t="s">
        <v>50748</v>
      </c>
      <c r="V7256" t="s">
        <v>57157</v>
      </c>
      <c r="W7256" t="s">
        <v>41256</v>
      </c>
      <c r="X7256" t="s">
        <v>42679</v>
      </c>
    </row>
    <row r="7257" spans="1:24">
      <c r="A7257">
        <f>HYPERLINK("https://www.philgeps.gov.ph/GEPSNONPILOT/Tender/SplashBidNoticeAbstractUI.aspx?menuIndex=3&amp;refID=7181143&amp;Result=3","7181143")</f>
        <v>0</v>
      </c>
      <c r="B7257" t="s">
        <v>2355</v>
      </c>
      <c r="C7257" t="s">
        <v>10458</v>
      </c>
      <c r="D7257" t="s">
        <v>17169</v>
      </c>
      <c r="E7257" t="s">
        <v>23525</v>
      </c>
      <c r="F7257" t="s">
        <v>29372</v>
      </c>
      <c r="G7257" t="s">
        <v>29380</v>
      </c>
      <c r="H7257" t="s">
        <v>11048</v>
      </c>
      <c r="I7257" t="s">
        <v>4709</v>
      </c>
      <c r="J7257" t="s">
        <v>34205</v>
      </c>
      <c r="K7257" t="s">
        <v>38510</v>
      </c>
      <c r="M7257" t="s">
        <v>41290</v>
      </c>
      <c r="N7257" t="s">
        <v>42669</v>
      </c>
      <c r="O7257" t="s">
        <v>42670</v>
      </c>
      <c r="P7257">
        <v>0</v>
      </c>
      <c r="Q7257">
        <v>5</v>
      </c>
      <c r="R7257" t="s">
        <v>42678</v>
      </c>
      <c r="S7257" t="s">
        <v>42866</v>
      </c>
      <c r="T7257" t="s">
        <v>44685</v>
      </c>
      <c r="U7257" t="s">
        <v>50749</v>
      </c>
      <c r="W7257" t="s">
        <v>41290</v>
      </c>
      <c r="X7257" t="s">
        <v>42679</v>
      </c>
    </row>
    <row r="7258" spans="1:24">
      <c r="A7258">
        <f>HYPERLINK("https://www.philgeps.gov.ph/GEPSNONPILOT/Tender/SplashBidNoticeAbstractUI.aspx?menuIndex=3&amp;refID=7181069&amp;Result=3","7181069")</f>
        <v>0</v>
      </c>
      <c r="B7258" t="s">
        <v>1441</v>
      </c>
      <c r="C7258" t="s">
        <v>10459</v>
      </c>
      <c r="D7258" t="s">
        <v>17231</v>
      </c>
      <c r="E7258" t="s">
        <v>23526</v>
      </c>
      <c r="F7258" t="s">
        <v>29376</v>
      </c>
      <c r="G7258" t="s">
        <v>29383</v>
      </c>
      <c r="H7258" t="s">
        <v>29390</v>
      </c>
      <c r="I7258" t="s">
        <v>5383</v>
      </c>
      <c r="J7258" t="s">
        <v>34206</v>
      </c>
      <c r="K7258" t="s">
        <v>38488</v>
      </c>
      <c r="M7258" t="s">
        <v>40282</v>
      </c>
      <c r="N7258" t="s">
        <v>42669</v>
      </c>
      <c r="O7258" t="s">
        <v>42670</v>
      </c>
      <c r="P7258">
        <v>0</v>
      </c>
      <c r="Q7258">
        <v>0</v>
      </c>
      <c r="R7258" t="s">
        <v>42678</v>
      </c>
      <c r="S7258" t="s">
        <v>42866</v>
      </c>
      <c r="T7258" t="s">
        <v>44429</v>
      </c>
      <c r="U7258" t="s">
        <v>50750</v>
      </c>
      <c r="W7258" t="s">
        <v>40282</v>
      </c>
      <c r="X7258" t="s">
        <v>42679</v>
      </c>
    </row>
    <row r="7259" spans="1:24">
      <c r="A7259">
        <f>HYPERLINK("https://www.philgeps.gov.ph/GEPSNONPILOT/Tender/SplashBidNoticeAbstractUI.aspx?menuIndex=3&amp;refID=7181135&amp;Result=3","7181135")</f>
        <v>0</v>
      </c>
      <c r="B7259" t="s">
        <v>2356</v>
      </c>
      <c r="C7259" t="s">
        <v>10460</v>
      </c>
      <c r="D7259" t="s">
        <v>17191</v>
      </c>
      <c r="E7259" t="s">
        <v>23527</v>
      </c>
      <c r="F7259" t="s">
        <v>29372</v>
      </c>
      <c r="G7259" t="s">
        <v>29380</v>
      </c>
      <c r="H7259" t="s">
        <v>29389</v>
      </c>
      <c r="I7259" t="s">
        <v>10408</v>
      </c>
      <c r="J7259" t="s">
        <v>34207</v>
      </c>
      <c r="K7259" t="s">
        <v>38495</v>
      </c>
      <c r="M7259" t="s">
        <v>41291</v>
      </c>
      <c r="N7259" t="s">
        <v>42669</v>
      </c>
      <c r="O7259" t="s">
        <v>42670</v>
      </c>
      <c r="P7259">
        <v>0</v>
      </c>
      <c r="Q7259">
        <v>5</v>
      </c>
      <c r="R7259" t="s">
        <v>42678</v>
      </c>
      <c r="S7259" t="s">
        <v>42866</v>
      </c>
      <c r="T7259" t="s">
        <v>44450</v>
      </c>
      <c r="U7259" t="s">
        <v>50751</v>
      </c>
      <c r="W7259" t="s">
        <v>41291</v>
      </c>
      <c r="X7259" t="s">
        <v>42679</v>
      </c>
    </row>
    <row r="7260" spans="1:24">
      <c r="A7260">
        <f>HYPERLINK("https://www.philgeps.gov.ph/GEPSNONPILOT/Tender/SplashBidNoticeAbstractUI.aspx?menuIndex=3&amp;refID=7181248&amp;Result=3","7181248")</f>
        <v>0</v>
      </c>
      <c r="B7260" t="s">
        <v>2349</v>
      </c>
      <c r="C7260" t="s">
        <v>10461</v>
      </c>
      <c r="D7260" t="s">
        <v>17187</v>
      </c>
      <c r="E7260" t="s">
        <v>23528</v>
      </c>
      <c r="F7260" t="s">
        <v>29372</v>
      </c>
      <c r="G7260" t="s">
        <v>29379</v>
      </c>
      <c r="H7260" t="s">
        <v>11048</v>
      </c>
      <c r="I7260" t="s">
        <v>29464</v>
      </c>
      <c r="J7260" t="s">
        <v>29619</v>
      </c>
      <c r="K7260" t="s">
        <v>38491</v>
      </c>
      <c r="M7260" t="s">
        <v>41282</v>
      </c>
      <c r="N7260" t="s">
        <v>42669</v>
      </c>
      <c r="O7260" t="s">
        <v>42670</v>
      </c>
      <c r="P7260">
        <v>0</v>
      </c>
      <c r="Q7260">
        <v>9</v>
      </c>
      <c r="R7260" t="s">
        <v>42678</v>
      </c>
      <c r="S7260" t="s">
        <v>42866</v>
      </c>
      <c r="T7260" t="s">
        <v>44429</v>
      </c>
      <c r="U7260" t="s">
        <v>50720</v>
      </c>
      <c r="W7260" t="s">
        <v>41282</v>
      </c>
      <c r="X7260" t="s">
        <v>42679</v>
      </c>
    </row>
    <row r="7261" spans="1:24">
      <c r="A7261">
        <f>HYPERLINK("https://www.philgeps.gov.ph/GEPSNONPILOT/Tender/SplashBidNoticeAbstractUI.aspx?menuIndex=3&amp;refID=7181025&amp;Result=3","7181025")</f>
        <v>0</v>
      </c>
      <c r="B7261" t="s">
        <v>2357</v>
      </c>
      <c r="C7261" t="s">
        <v>10462</v>
      </c>
      <c r="E7261" t="s">
        <v>23529</v>
      </c>
      <c r="F7261" t="s">
        <v>29372</v>
      </c>
      <c r="G7261" t="s">
        <v>29380</v>
      </c>
      <c r="H7261" t="s">
        <v>11048</v>
      </c>
      <c r="I7261" t="s">
        <v>4709</v>
      </c>
      <c r="J7261" t="s">
        <v>34208</v>
      </c>
      <c r="K7261" t="s">
        <v>38490</v>
      </c>
      <c r="M7261" t="s">
        <v>41292</v>
      </c>
      <c r="N7261" t="s">
        <v>42669</v>
      </c>
      <c r="O7261" t="s">
        <v>42670</v>
      </c>
      <c r="P7261">
        <v>0</v>
      </c>
      <c r="Q7261">
        <v>0</v>
      </c>
      <c r="R7261" t="s">
        <v>42678</v>
      </c>
      <c r="S7261" t="s">
        <v>42866</v>
      </c>
      <c r="T7261" t="s">
        <v>44488</v>
      </c>
      <c r="U7261" t="s">
        <v>49634</v>
      </c>
      <c r="W7261" t="s">
        <v>41292</v>
      </c>
      <c r="X7261" t="s">
        <v>42679</v>
      </c>
    </row>
    <row r="7262" spans="1:24">
      <c r="A7262">
        <f>HYPERLINK("https://www.philgeps.gov.ph/GEPSNONPILOT/Tender/SplashBidNoticeAbstractUI.aspx?menuIndex=3&amp;refID=7181245&amp;Result=3","7181245")</f>
        <v>0</v>
      </c>
      <c r="B7262" t="s">
        <v>2342</v>
      </c>
      <c r="C7262" t="s">
        <v>10463</v>
      </c>
      <c r="D7262" t="s">
        <v>17189</v>
      </c>
      <c r="E7262" t="s">
        <v>21160</v>
      </c>
      <c r="F7262" t="s">
        <v>29372</v>
      </c>
      <c r="G7262" t="s">
        <v>29380</v>
      </c>
      <c r="H7262" t="s">
        <v>11048</v>
      </c>
      <c r="I7262" t="s">
        <v>4709</v>
      </c>
      <c r="J7262" t="s">
        <v>34209</v>
      </c>
      <c r="K7262" t="s">
        <v>38510</v>
      </c>
      <c r="M7262" t="s">
        <v>41275</v>
      </c>
      <c r="N7262" t="s">
        <v>42669</v>
      </c>
      <c r="O7262" t="s">
        <v>42670</v>
      </c>
      <c r="Q7262">
        <v>3</v>
      </c>
      <c r="R7262" t="s">
        <v>42678</v>
      </c>
      <c r="S7262" t="s">
        <v>42887</v>
      </c>
      <c r="T7262" t="s">
        <v>44504</v>
      </c>
      <c r="U7262" t="s">
        <v>50752</v>
      </c>
      <c r="V7262" t="s">
        <v>57168</v>
      </c>
      <c r="W7262" t="s">
        <v>41275</v>
      </c>
      <c r="X7262" t="s">
        <v>42679</v>
      </c>
    </row>
    <row r="7263" spans="1:24">
      <c r="A7263">
        <f>HYPERLINK("https://www.philgeps.gov.ph/GEPSNONPILOT/Tender/SplashBidNoticeAbstractUI.aspx?menuIndex=3&amp;refID=7181239&amp;Result=3","7181239")</f>
        <v>0</v>
      </c>
      <c r="B7263" t="s">
        <v>2349</v>
      </c>
      <c r="C7263" t="s">
        <v>10464</v>
      </c>
      <c r="D7263" t="s">
        <v>17187</v>
      </c>
      <c r="E7263" t="s">
        <v>23530</v>
      </c>
      <c r="F7263" t="s">
        <v>29372</v>
      </c>
      <c r="G7263" t="s">
        <v>29383</v>
      </c>
      <c r="H7263" t="s">
        <v>11048</v>
      </c>
      <c r="I7263" t="s">
        <v>29411</v>
      </c>
      <c r="J7263" t="s">
        <v>34210</v>
      </c>
      <c r="K7263" t="s">
        <v>38491</v>
      </c>
      <c r="M7263" t="s">
        <v>41282</v>
      </c>
      <c r="N7263" t="s">
        <v>42669</v>
      </c>
      <c r="O7263" t="s">
        <v>42670</v>
      </c>
      <c r="P7263">
        <v>0</v>
      </c>
      <c r="Q7263">
        <v>3</v>
      </c>
      <c r="R7263" t="s">
        <v>42678</v>
      </c>
      <c r="S7263" t="s">
        <v>42866</v>
      </c>
      <c r="T7263" t="s">
        <v>44429</v>
      </c>
      <c r="U7263" t="s">
        <v>50720</v>
      </c>
      <c r="W7263" t="s">
        <v>41282</v>
      </c>
      <c r="X7263" t="s">
        <v>42679</v>
      </c>
    </row>
    <row r="7264" spans="1:24">
      <c r="A7264">
        <f>HYPERLINK("https://www.philgeps.gov.ph/GEPSNONPILOT/Tender/SplashBidNoticeAbstractUI.aspx?menuIndex=3&amp;refID=7181238&amp;Result=3","7181238")</f>
        <v>0</v>
      </c>
      <c r="B7264" t="s">
        <v>2079</v>
      </c>
      <c r="C7264" t="s">
        <v>10465</v>
      </c>
      <c r="D7264" t="s">
        <v>17195</v>
      </c>
      <c r="E7264" t="s">
        <v>23531</v>
      </c>
      <c r="F7264" t="s">
        <v>29372</v>
      </c>
      <c r="G7264" t="s">
        <v>29379</v>
      </c>
      <c r="H7264" t="s">
        <v>11048</v>
      </c>
      <c r="I7264" t="s">
        <v>4709</v>
      </c>
      <c r="J7264" t="s">
        <v>34211</v>
      </c>
      <c r="K7264" t="s">
        <v>38488</v>
      </c>
      <c r="M7264" t="s">
        <v>40978</v>
      </c>
      <c r="N7264" t="s">
        <v>42669</v>
      </c>
      <c r="O7264" t="s">
        <v>42670</v>
      </c>
      <c r="P7264">
        <v>0</v>
      </c>
      <c r="Q7264">
        <v>0</v>
      </c>
      <c r="R7264" t="s">
        <v>42678</v>
      </c>
      <c r="S7264" t="s">
        <v>42866</v>
      </c>
      <c r="T7264" t="s">
        <v>44629</v>
      </c>
      <c r="U7264" t="s">
        <v>50753</v>
      </c>
      <c r="W7264" t="s">
        <v>40978</v>
      </c>
      <c r="X7264" t="s">
        <v>42679</v>
      </c>
    </row>
    <row r="7265" spans="1:24">
      <c r="A7265">
        <f>HYPERLINK("https://www.philgeps.gov.ph/GEPSNONPILOT/Tender/SplashBidNoticeAbstractUI.aspx?menuIndex=3&amp;refID=7181231&amp;Result=3","7181231")</f>
        <v>0</v>
      </c>
      <c r="B7265" t="s">
        <v>39</v>
      </c>
      <c r="C7265" t="s">
        <v>10466</v>
      </c>
      <c r="D7265" t="s">
        <v>17152</v>
      </c>
      <c r="E7265" t="s">
        <v>23532</v>
      </c>
      <c r="F7265" t="s">
        <v>29372</v>
      </c>
      <c r="G7265" t="s">
        <v>29379</v>
      </c>
      <c r="H7265" t="s">
        <v>11048</v>
      </c>
      <c r="I7265" t="s">
        <v>29393</v>
      </c>
      <c r="J7265" t="s">
        <v>34212</v>
      </c>
      <c r="K7265" t="s">
        <v>38491</v>
      </c>
      <c r="M7265" t="s">
        <v>38792</v>
      </c>
      <c r="N7265" t="s">
        <v>42669</v>
      </c>
      <c r="O7265" t="s">
        <v>42670</v>
      </c>
      <c r="P7265">
        <v>0</v>
      </c>
      <c r="Q7265">
        <v>0</v>
      </c>
      <c r="R7265" t="s">
        <v>42678</v>
      </c>
      <c r="S7265" t="s">
        <v>42866</v>
      </c>
      <c r="T7265" t="s">
        <v>44432</v>
      </c>
      <c r="U7265" t="s">
        <v>50754</v>
      </c>
      <c r="W7265" t="s">
        <v>38792</v>
      </c>
      <c r="X7265" t="s">
        <v>42679</v>
      </c>
    </row>
    <row r="7266" spans="1:24">
      <c r="A7266">
        <f>HYPERLINK("https://www.philgeps.gov.ph/GEPSNONPILOT/Tender/SplashBidNoticeAbstractUI.aspx?menuIndex=3&amp;refID=7181229&amp;Result=3","7181229")</f>
        <v>0</v>
      </c>
      <c r="B7266" t="s">
        <v>240</v>
      </c>
      <c r="C7266" t="s">
        <v>10467</v>
      </c>
      <c r="D7266" t="s">
        <v>17185</v>
      </c>
      <c r="E7266" t="s">
        <v>23533</v>
      </c>
      <c r="F7266" t="s">
        <v>29372</v>
      </c>
      <c r="G7266" t="s">
        <v>29379</v>
      </c>
      <c r="H7266" t="s">
        <v>11048</v>
      </c>
      <c r="I7266" t="s">
        <v>29396</v>
      </c>
      <c r="J7266" t="s">
        <v>29700</v>
      </c>
      <c r="K7266" t="s">
        <v>38490</v>
      </c>
      <c r="M7266" t="s">
        <v>38999</v>
      </c>
      <c r="N7266" t="s">
        <v>42669</v>
      </c>
      <c r="O7266" t="s">
        <v>42670</v>
      </c>
      <c r="P7266">
        <v>0</v>
      </c>
      <c r="Q7266">
        <v>0</v>
      </c>
      <c r="R7266" t="s">
        <v>42678</v>
      </c>
      <c r="S7266" t="s">
        <v>42866</v>
      </c>
      <c r="T7266" t="s">
        <v>44481</v>
      </c>
      <c r="U7266" t="s">
        <v>50755</v>
      </c>
      <c r="W7266" t="s">
        <v>38999</v>
      </c>
      <c r="X7266" t="s">
        <v>42679</v>
      </c>
    </row>
    <row r="7267" spans="1:24">
      <c r="A7267">
        <f>HYPERLINK("https://www.philgeps.gov.ph/GEPSNONPILOT/Tender/SplashBidNoticeAbstractUI.aspx?menuIndex=3&amp;refID=7181226&amp;Result=3","7181226")</f>
        <v>0</v>
      </c>
      <c r="B7267" t="s">
        <v>2349</v>
      </c>
      <c r="C7267" t="s">
        <v>10468</v>
      </c>
      <c r="D7267" t="s">
        <v>17187</v>
      </c>
      <c r="E7267" t="s">
        <v>23534</v>
      </c>
      <c r="F7267" t="s">
        <v>29372</v>
      </c>
      <c r="G7267" t="s">
        <v>29383</v>
      </c>
      <c r="H7267" t="s">
        <v>11048</v>
      </c>
      <c r="I7267" t="s">
        <v>29411</v>
      </c>
      <c r="J7267" t="s">
        <v>32934</v>
      </c>
      <c r="K7267" t="s">
        <v>38491</v>
      </c>
      <c r="M7267" t="s">
        <v>41282</v>
      </c>
      <c r="N7267" t="s">
        <v>42669</v>
      </c>
      <c r="O7267" t="s">
        <v>42670</v>
      </c>
      <c r="P7267">
        <v>0</v>
      </c>
      <c r="Q7267">
        <v>5</v>
      </c>
      <c r="R7267" t="s">
        <v>42678</v>
      </c>
      <c r="S7267" t="s">
        <v>42866</v>
      </c>
      <c r="T7267" t="s">
        <v>44429</v>
      </c>
      <c r="U7267" t="s">
        <v>50720</v>
      </c>
      <c r="W7267" t="s">
        <v>41282</v>
      </c>
      <c r="X7267" t="s">
        <v>42679</v>
      </c>
    </row>
    <row r="7268" spans="1:24">
      <c r="A7268">
        <f>HYPERLINK("https://www.philgeps.gov.ph/GEPSNONPILOT/Tender/SplashBidNoticeAbstractUI.aspx?menuIndex=3&amp;refID=7181219&amp;Result=3","7181219")</f>
        <v>0</v>
      </c>
      <c r="B7268" t="s">
        <v>2297</v>
      </c>
      <c r="C7268" t="s">
        <v>4213</v>
      </c>
      <c r="D7268" t="s">
        <v>17181</v>
      </c>
      <c r="E7268" t="s">
        <v>23535</v>
      </c>
      <c r="F7268" t="s">
        <v>29372</v>
      </c>
      <c r="G7268" t="s">
        <v>29380</v>
      </c>
      <c r="H7268" t="s">
        <v>11048</v>
      </c>
      <c r="I7268" t="s">
        <v>3695</v>
      </c>
      <c r="J7268" t="s">
        <v>34213</v>
      </c>
      <c r="K7268" t="s">
        <v>38490</v>
      </c>
      <c r="M7268" t="s">
        <v>41284</v>
      </c>
      <c r="N7268" t="s">
        <v>42669</v>
      </c>
      <c r="O7268" t="s">
        <v>42670</v>
      </c>
      <c r="P7268">
        <v>0</v>
      </c>
      <c r="Q7268">
        <v>1</v>
      </c>
      <c r="R7268" t="s">
        <v>42678</v>
      </c>
      <c r="S7268" t="s">
        <v>42866</v>
      </c>
      <c r="T7268" t="s">
        <v>44507</v>
      </c>
      <c r="U7268" t="s">
        <v>50756</v>
      </c>
      <c r="W7268" t="s">
        <v>41284</v>
      </c>
      <c r="X7268" t="s">
        <v>42679</v>
      </c>
    </row>
    <row r="7269" spans="1:24">
      <c r="A7269">
        <f>HYPERLINK("https://www.philgeps.gov.ph/GEPSNONPILOT/Tender/SplashBidNoticeAbstractUI.aspx?menuIndex=3&amp;refID=7180912&amp;Result=3","7180912")</f>
        <v>0</v>
      </c>
      <c r="B7269" t="s">
        <v>2358</v>
      </c>
      <c r="C7269" t="s">
        <v>10469</v>
      </c>
      <c r="D7269" t="s">
        <v>17189</v>
      </c>
      <c r="E7269" t="s">
        <v>23536</v>
      </c>
      <c r="F7269" t="s">
        <v>29372</v>
      </c>
      <c r="G7269" t="s">
        <v>29380</v>
      </c>
      <c r="H7269" t="s">
        <v>11048</v>
      </c>
      <c r="I7269" t="s">
        <v>4709</v>
      </c>
      <c r="J7269" t="s">
        <v>30343</v>
      </c>
      <c r="K7269" t="s">
        <v>38490</v>
      </c>
      <c r="M7269" t="s">
        <v>41293</v>
      </c>
      <c r="N7269" t="s">
        <v>42669</v>
      </c>
      <c r="O7269" t="s">
        <v>42670</v>
      </c>
      <c r="P7269">
        <v>0</v>
      </c>
      <c r="Q7269">
        <v>0</v>
      </c>
      <c r="R7269" t="s">
        <v>42678</v>
      </c>
      <c r="S7269" t="s">
        <v>42866</v>
      </c>
      <c r="T7269" t="s">
        <v>44401</v>
      </c>
      <c r="U7269" t="s">
        <v>50757</v>
      </c>
      <c r="W7269" t="s">
        <v>41293</v>
      </c>
      <c r="X7269" t="s">
        <v>42679</v>
      </c>
    </row>
    <row r="7270" spans="1:24">
      <c r="A7270">
        <f>HYPERLINK("https://www.philgeps.gov.ph/GEPSNONPILOT/Tender/SplashBidNoticeAbstractUI.aspx?menuIndex=3&amp;refID=7181241&amp;Result=3","7181241")</f>
        <v>0</v>
      </c>
      <c r="B7270" t="s">
        <v>547</v>
      </c>
      <c r="C7270" t="s">
        <v>10470</v>
      </c>
      <c r="E7270" t="s">
        <v>23537</v>
      </c>
      <c r="F7270" t="s">
        <v>29372</v>
      </c>
      <c r="G7270" t="s">
        <v>29379</v>
      </c>
      <c r="H7270" t="s">
        <v>11048</v>
      </c>
      <c r="I7270" t="s">
        <v>4709</v>
      </c>
      <c r="J7270" t="s">
        <v>34214</v>
      </c>
      <c r="K7270" t="s">
        <v>38485</v>
      </c>
      <c r="M7270" t="s">
        <v>39363</v>
      </c>
      <c r="N7270" t="s">
        <v>42669</v>
      </c>
      <c r="O7270" t="s">
        <v>42670</v>
      </c>
      <c r="P7270">
        <v>0</v>
      </c>
      <c r="Q7270">
        <v>0</v>
      </c>
      <c r="R7270" t="s">
        <v>42678</v>
      </c>
      <c r="S7270" t="s">
        <v>42866</v>
      </c>
      <c r="T7270" t="s">
        <v>44378</v>
      </c>
      <c r="U7270" t="s">
        <v>50758</v>
      </c>
      <c r="W7270" t="s">
        <v>58018</v>
      </c>
      <c r="X7270" t="s">
        <v>42679</v>
      </c>
    </row>
    <row r="7271" spans="1:24">
      <c r="A7271">
        <f>HYPERLINK("https://www.philgeps.gov.ph/GEPSNONPILOT/Tender/SplashBidNoticeAbstractUI.aspx?menuIndex=3&amp;refID=7181029&amp;Result=3","7181029")</f>
        <v>0</v>
      </c>
      <c r="B7271" t="s">
        <v>1466</v>
      </c>
      <c r="C7271" t="s">
        <v>10471</v>
      </c>
      <c r="E7271" t="s">
        <v>23538</v>
      </c>
      <c r="F7271" t="s">
        <v>29372</v>
      </c>
      <c r="G7271" t="s">
        <v>29379</v>
      </c>
      <c r="H7271" t="s">
        <v>11048</v>
      </c>
      <c r="I7271" t="s">
        <v>3670</v>
      </c>
      <c r="J7271" t="s">
        <v>34215</v>
      </c>
      <c r="K7271" t="s">
        <v>38490</v>
      </c>
      <c r="M7271" t="s">
        <v>40309</v>
      </c>
      <c r="N7271" t="s">
        <v>42669</v>
      </c>
      <c r="O7271" t="s">
        <v>42670</v>
      </c>
      <c r="P7271">
        <v>0</v>
      </c>
      <c r="Q7271">
        <v>3</v>
      </c>
      <c r="R7271" t="s">
        <v>42678</v>
      </c>
      <c r="S7271" t="s">
        <v>42866</v>
      </c>
      <c r="T7271" t="s">
        <v>44432</v>
      </c>
      <c r="U7271" t="s">
        <v>50759</v>
      </c>
      <c r="W7271" t="s">
        <v>40309</v>
      </c>
      <c r="X7271" t="s">
        <v>42679</v>
      </c>
    </row>
    <row r="7272" spans="1:24">
      <c r="A7272">
        <f>HYPERLINK("https://www.philgeps.gov.ph/GEPSNONPILOT/Tender/SplashBidNoticeAbstractUI.aspx?menuIndex=3&amp;refID=7181216&amp;Result=3","7181216")</f>
        <v>0</v>
      </c>
      <c r="B7272" t="s">
        <v>395</v>
      </c>
      <c r="C7272" t="s">
        <v>10472</v>
      </c>
      <c r="D7272" t="s">
        <v>17141</v>
      </c>
      <c r="E7272" t="s">
        <v>23539</v>
      </c>
      <c r="F7272" t="s">
        <v>29372</v>
      </c>
      <c r="G7272" t="s">
        <v>29379</v>
      </c>
      <c r="H7272" t="s">
        <v>11048</v>
      </c>
      <c r="I7272" t="s">
        <v>29410</v>
      </c>
      <c r="J7272" t="s">
        <v>34216</v>
      </c>
      <c r="K7272" t="s">
        <v>38491</v>
      </c>
      <c r="M7272" t="s">
        <v>39166</v>
      </c>
      <c r="N7272" t="s">
        <v>42669</v>
      </c>
      <c r="O7272" t="s">
        <v>42670</v>
      </c>
      <c r="P7272">
        <v>0</v>
      </c>
      <c r="Q7272">
        <v>0</v>
      </c>
      <c r="R7272" t="s">
        <v>42678</v>
      </c>
      <c r="S7272" t="s">
        <v>42866</v>
      </c>
      <c r="T7272" t="s">
        <v>44488</v>
      </c>
      <c r="U7272" t="s">
        <v>50760</v>
      </c>
      <c r="W7272" t="s">
        <v>39166</v>
      </c>
      <c r="X7272" t="s">
        <v>42679</v>
      </c>
    </row>
    <row r="7273" spans="1:24">
      <c r="A7273">
        <f>HYPERLINK("https://www.philgeps.gov.ph/GEPSNONPILOT/Tender/SplashBidNoticeAbstractUI.aspx?menuIndex=3&amp;refID=7181204&amp;Result=3","7181204")</f>
        <v>0</v>
      </c>
      <c r="B7273" t="s">
        <v>1061</v>
      </c>
      <c r="C7273" t="s">
        <v>10473</v>
      </c>
      <c r="D7273" t="s">
        <v>17174</v>
      </c>
      <c r="E7273" t="s">
        <v>23540</v>
      </c>
      <c r="F7273" t="s">
        <v>29372</v>
      </c>
      <c r="G7273" t="s">
        <v>29380</v>
      </c>
      <c r="H7273" t="s">
        <v>11048</v>
      </c>
      <c r="I7273" t="s">
        <v>4709</v>
      </c>
      <c r="J7273" t="s">
        <v>34217</v>
      </c>
      <c r="K7273" t="s">
        <v>38485</v>
      </c>
      <c r="M7273" t="s">
        <v>39868</v>
      </c>
      <c r="N7273" t="s">
        <v>42669</v>
      </c>
      <c r="O7273" t="s">
        <v>42670</v>
      </c>
      <c r="P7273">
        <v>0</v>
      </c>
      <c r="Q7273">
        <v>0</v>
      </c>
      <c r="R7273" t="s">
        <v>42678</v>
      </c>
      <c r="S7273" t="s">
        <v>42866</v>
      </c>
      <c r="T7273" t="s">
        <v>44488</v>
      </c>
      <c r="U7273" t="s">
        <v>48095</v>
      </c>
      <c r="W7273" t="s">
        <v>39868</v>
      </c>
      <c r="X7273" t="s">
        <v>42679</v>
      </c>
    </row>
    <row r="7274" spans="1:24">
      <c r="A7274">
        <f>HYPERLINK("https://www.philgeps.gov.ph/GEPSNONPILOT/Tender/SplashBidNoticeAbstractUI.aspx?menuIndex=3&amp;refID=7181203&amp;Result=3","7181203")</f>
        <v>0</v>
      </c>
      <c r="B7274" t="s">
        <v>39</v>
      </c>
      <c r="C7274" t="s">
        <v>10474</v>
      </c>
      <c r="D7274" t="s">
        <v>17152</v>
      </c>
      <c r="E7274" t="s">
        <v>23541</v>
      </c>
      <c r="F7274" t="s">
        <v>29372</v>
      </c>
      <c r="G7274" t="s">
        <v>29382</v>
      </c>
      <c r="H7274" t="s">
        <v>11048</v>
      </c>
      <c r="I7274" t="s">
        <v>3670</v>
      </c>
      <c r="J7274" t="s">
        <v>34218</v>
      </c>
      <c r="K7274" t="s">
        <v>38491</v>
      </c>
      <c r="M7274" t="s">
        <v>38792</v>
      </c>
      <c r="N7274" t="s">
        <v>42669</v>
      </c>
      <c r="O7274" t="s">
        <v>42670</v>
      </c>
      <c r="P7274">
        <v>0</v>
      </c>
      <c r="Q7274">
        <v>0</v>
      </c>
      <c r="R7274" t="s">
        <v>42678</v>
      </c>
      <c r="S7274" t="s">
        <v>42866</v>
      </c>
      <c r="T7274" t="s">
        <v>44432</v>
      </c>
      <c r="U7274" t="s">
        <v>50761</v>
      </c>
      <c r="W7274" t="s">
        <v>38792</v>
      </c>
      <c r="X7274" t="s">
        <v>42679</v>
      </c>
    </row>
    <row r="7275" spans="1:24">
      <c r="A7275">
        <f>HYPERLINK("https://www.philgeps.gov.ph/GEPSNONPILOT/Tender/SplashBidNoticeAbstractUI.aspx?menuIndex=3&amp;refID=7181202&amp;Result=3","7181202")</f>
        <v>0</v>
      </c>
      <c r="B7275" t="s">
        <v>899</v>
      </c>
      <c r="C7275" t="s">
        <v>10475</v>
      </c>
      <c r="D7275" t="s">
        <v>17213</v>
      </c>
      <c r="E7275" t="s">
        <v>23542</v>
      </c>
      <c r="F7275" t="s">
        <v>29372</v>
      </c>
      <c r="G7275" t="s">
        <v>29379</v>
      </c>
      <c r="H7275" t="s">
        <v>11048</v>
      </c>
      <c r="I7275" t="s">
        <v>3695</v>
      </c>
      <c r="J7275" t="s">
        <v>34219</v>
      </c>
      <c r="K7275" t="s">
        <v>38488</v>
      </c>
      <c r="M7275" t="s">
        <v>39692</v>
      </c>
      <c r="N7275" t="s">
        <v>42669</v>
      </c>
      <c r="O7275" t="s">
        <v>42670</v>
      </c>
      <c r="P7275">
        <v>0</v>
      </c>
      <c r="Q7275">
        <v>1</v>
      </c>
      <c r="R7275" t="s">
        <v>42678</v>
      </c>
      <c r="S7275" t="s">
        <v>42866</v>
      </c>
      <c r="T7275" t="s">
        <v>44481</v>
      </c>
      <c r="U7275" t="s">
        <v>50762</v>
      </c>
      <c r="W7275" t="s">
        <v>39692</v>
      </c>
      <c r="X7275" t="s">
        <v>42679</v>
      </c>
    </row>
    <row r="7276" spans="1:24">
      <c r="A7276">
        <f>HYPERLINK("https://www.philgeps.gov.ph/GEPSNONPILOT/Tender/SplashBidNoticeAbstractUI.aspx?menuIndex=3&amp;refID=7181197&amp;Result=3","7181197")</f>
        <v>0</v>
      </c>
      <c r="B7276" t="s">
        <v>1017</v>
      </c>
      <c r="C7276" t="s">
        <v>10476</v>
      </c>
      <c r="E7276" t="s">
        <v>22854</v>
      </c>
      <c r="F7276" t="s">
        <v>29372</v>
      </c>
      <c r="G7276" t="s">
        <v>29380</v>
      </c>
      <c r="H7276" t="s">
        <v>11048</v>
      </c>
      <c r="I7276" t="s">
        <v>4709</v>
      </c>
      <c r="J7276" t="s">
        <v>34220</v>
      </c>
      <c r="K7276" t="s">
        <v>38490</v>
      </c>
      <c r="M7276" t="s">
        <v>39817</v>
      </c>
      <c r="N7276" t="s">
        <v>42669</v>
      </c>
      <c r="O7276" t="s">
        <v>42670</v>
      </c>
      <c r="P7276">
        <v>0</v>
      </c>
      <c r="Q7276">
        <v>1</v>
      </c>
      <c r="R7276" t="s">
        <v>42678</v>
      </c>
      <c r="S7276" t="s">
        <v>42866</v>
      </c>
      <c r="T7276" t="s">
        <v>44432</v>
      </c>
      <c r="U7276" t="s">
        <v>50763</v>
      </c>
      <c r="W7276" t="s">
        <v>39817</v>
      </c>
      <c r="X7276" t="s">
        <v>42679</v>
      </c>
    </row>
    <row r="7277" spans="1:24">
      <c r="A7277">
        <f>HYPERLINK("https://www.philgeps.gov.ph/GEPSNONPILOT/Tender/SplashBidNoticeAbstractUI.aspx?menuIndex=3&amp;refID=7181189&amp;Result=3","7181189")</f>
        <v>0</v>
      </c>
      <c r="B7277" t="s">
        <v>65</v>
      </c>
      <c r="C7277" t="s">
        <v>10477</v>
      </c>
      <c r="D7277" t="s">
        <v>17141</v>
      </c>
      <c r="E7277" t="s">
        <v>23543</v>
      </c>
      <c r="F7277" t="s">
        <v>29372</v>
      </c>
      <c r="G7277" t="s">
        <v>29380</v>
      </c>
      <c r="H7277" t="s">
        <v>11048</v>
      </c>
      <c r="I7277" t="s">
        <v>3670</v>
      </c>
      <c r="J7277" t="s">
        <v>34221</v>
      </c>
      <c r="K7277" t="s">
        <v>38488</v>
      </c>
      <c r="M7277" t="s">
        <v>41294</v>
      </c>
      <c r="N7277" t="s">
        <v>42669</v>
      </c>
      <c r="O7277" t="s">
        <v>42670</v>
      </c>
      <c r="P7277">
        <v>0</v>
      </c>
      <c r="Q7277">
        <v>5</v>
      </c>
      <c r="R7277" t="s">
        <v>42678</v>
      </c>
      <c r="S7277" t="s">
        <v>42866</v>
      </c>
      <c r="T7277" t="s">
        <v>44390</v>
      </c>
      <c r="U7277" t="s">
        <v>50764</v>
      </c>
      <c r="W7277" t="s">
        <v>41294</v>
      </c>
      <c r="X7277" t="s">
        <v>42679</v>
      </c>
    </row>
    <row r="7278" spans="1:24">
      <c r="A7278">
        <f>HYPERLINK("https://www.philgeps.gov.ph/GEPSNONPILOT/Tender/SplashBidNoticeAbstractUI.aspx?menuIndex=3&amp;refID=7181188&amp;Result=3","7181188")</f>
        <v>0</v>
      </c>
      <c r="B7278" t="s">
        <v>2349</v>
      </c>
      <c r="C7278" t="s">
        <v>10478</v>
      </c>
      <c r="D7278" t="s">
        <v>17187</v>
      </c>
      <c r="E7278" t="s">
        <v>23544</v>
      </c>
      <c r="F7278" t="s">
        <v>29372</v>
      </c>
      <c r="G7278" t="s">
        <v>29379</v>
      </c>
      <c r="H7278" t="s">
        <v>11048</v>
      </c>
      <c r="I7278" t="s">
        <v>29456</v>
      </c>
      <c r="J7278" t="s">
        <v>34222</v>
      </c>
      <c r="K7278" t="s">
        <v>38491</v>
      </c>
      <c r="M7278" t="s">
        <v>41282</v>
      </c>
      <c r="N7278" t="s">
        <v>42669</v>
      </c>
      <c r="O7278" t="s">
        <v>42670</v>
      </c>
      <c r="P7278">
        <v>0</v>
      </c>
      <c r="Q7278">
        <v>1</v>
      </c>
      <c r="R7278" t="s">
        <v>42678</v>
      </c>
      <c r="S7278" t="s">
        <v>42866</v>
      </c>
      <c r="T7278" t="s">
        <v>44429</v>
      </c>
      <c r="U7278" t="s">
        <v>50720</v>
      </c>
      <c r="W7278" t="s">
        <v>41282</v>
      </c>
      <c r="X7278" t="s">
        <v>42679</v>
      </c>
    </row>
    <row r="7279" spans="1:24">
      <c r="A7279">
        <f>HYPERLINK("https://www.philgeps.gov.ph/GEPSNONPILOT/Tender/SplashBidNoticeAbstractUI.aspx?menuIndex=3&amp;refID=7180851&amp;Result=3","7180851")</f>
        <v>0</v>
      </c>
      <c r="B7279" t="s">
        <v>2324</v>
      </c>
      <c r="C7279" t="s">
        <v>10479</v>
      </c>
      <c r="D7279" t="s">
        <v>17226</v>
      </c>
      <c r="E7279" t="s">
        <v>23545</v>
      </c>
      <c r="F7279" t="s">
        <v>29372</v>
      </c>
      <c r="G7279" t="s">
        <v>29380</v>
      </c>
      <c r="H7279" t="s">
        <v>29389</v>
      </c>
      <c r="I7279" t="s">
        <v>10408</v>
      </c>
      <c r="J7279" t="s">
        <v>34223</v>
      </c>
      <c r="K7279" t="s">
        <v>38496</v>
      </c>
      <c r="L7279" t="s">
        <v>2324</v>
      </c>
      <c r="M7279" t="s">
        <v>41256</v>
      </c>
      <c r="N7279" t="s">
        <v>42669</v>
      </c>
      <c r="O7279" t="s">
        <v>42670</v>
      </c>
      <c r="P7279">
        <v>0</v>
      </c>
      <c r="Q7279">
        <v>0</v>
      </c>
      <c r="R7279" t="s">
        <v>42678</v>
      </c>
      <c r="S7279" t="s">
        <v>42866</v>
      </c>
      <c r="T7279" t="s">
        <v>44446</v>
      </c>
      <c r="U7279" t="s">
        <v>50765</v>
      </c>
      <c r="V7279" t="s">
        <v>57157</v>
      </c>
      <c r="W7279" t="s">
        <v>41256</v>
      </c>
      <c r="X7279" t="s">
        <v>42679</v>
      </c>
    </row>
    <row r="7280" spans="1:24">
      <c r="A7280">
        <f>HYPERLINK("https://www.philgeps.gov.ph/GEPSNONPILOT/Tender/SplashBidNoticeAbstractUI.aspx?menuIndex=3&amp;refID=7180849&amp;Result=3","7180849")</f>
        <v>0</v>
      </c>
      <c r="B7280" t="s">
        <v>2324</v>
      </c>
      <c r="C7280" t="s">
        <v>10480</v>
      </c>
      <c r="D7280" t="s">
        <v>17226</v>
      </c>
      <c r="E7280" t="s">
        <v>23546</v>
      </c>
      <c r="F7280" t="s">
        <v>29372</v>
      </c>
      <c r="G7280" t="s">
        <v>29380</v>
      </c>
      <c r="H7280" t="s">
        <v>29389</v>
      </c>
      <c r="I7280" t="s">
        <v>10408</v>
      </c>
      <c r="J7280" t="s">
        <v>34224</v>
      </c>
      <c r="K7280" t="s">
        <v>38487</v>
      </c>
      <c r="L7280" t="s">
        <v>2324</v>
      </c>
      <c r="M7280" t="s">
        <v>41256</v>
      </c>
      <c r="N7280" t="s">
        <v>42669</v>
      </c>
      <c r="O7280" t="s">
        <v>42670</v>
      </c>
      <c r="P7280">
        <v>0</v>
      </c>
      <c r="Q7280">
        <v>0</v>
      </c>
      <c r="R7280" t="s">
        <v>42678</v>
      </c>
      <c r="S7280" t="s">
        <v>42866</v>
      </c>
      <c r="T7280" t="s">
        <v>44446</v>
      </c>
      <c r="U7280" t="s">
        <v>50766</v>
      </c>
      <c r="V7280" t="s">
        <v>57157</v>
      </c>
      <c r="W7280" t="s">
        <v>41256</v>
      </c>
      <c r="X7280" t="s">
        <v>42679</v>
      </c>
    </row>
    <row r="7281" spans="1:24">
      <c r="A7281">
        <f>HYPERLINK("https://www.philgeps.gov.ph/GEPSNONPILOT/Tender/SplashBidNoticeAbstractUI.aspx?menuIndex=3&amp;refID=7180848&amp;Result=3","7180848")</f>
        <v>0</v>
      </c>
      <c r="B7281" t="s">
        <v>2324</v>
      </c>
      <c r="C7281" t="s">
        <v>10481</v>
      </c>
      <c r="D7281" t="s">
        <v>17226</v>
      </c>
      <c r="E7281" t="s">
        <v>23547</v>
      </c>
      <c r="F7281" t="s">
        <v>29372</v>
      </c>
      <c r="G7281" t="s">
        <v>29380</v>
      </c>
      <c r="H7281" t="s">
        <v>29389</v>
      </c>
      <c r="I7281" t="s">
        <v>10408</v>
      </c>
      <c r="J7281" t="s">
        <v>34225</v>
      </c>
      <c r="K7281" t="s">
        <v>38485</v>
      </c>
      <c r="L7281" t="s">
        <v>2324</v>
      </c>
      <c r="M7281" t="s">
        <v>41256</v>
      </c>
      <c r="N7281" t="s">
        <v>42669</v>
      </c>
      <c r="O7281" t="s">
        <v>42670</v>
      </c>
      <c r="P7281">
        <v>0</v>
      </c>
      <c r="Q7281">
        <v>0</v>
      </c>
      <c r="R7281" t="s">
        <v>42678</v>
      </c>
      <c r="S7281" t="s">
        <v>42866</v>
      </c>
      <c r="T7281" t="s">
        <v>44446</v>
      </c>
      <c r="U7281" t="s">
        <v>50767</v>
      </c>
      <c r="V7281" t="s">
        <v>57157</v>
      </c>
      <c r="W7281" t="s">
        <v>41256</v>
      </c>
      <c r="X7281" t="s">
        <v>42679</v>
      </c>
    </row>
    <row r="7282" spans="1:24">
      <c r="A7282">
        <f>HYPERLINK("https://www.philgeps.gov.ph/GEPSNONPILOT/Tender/SplashBidNoticeAbstractUI.aspx?menuIndex=3&amp;refID=7180847&amp;Result=3","7180847")</f>
        <v>0</v>
      </c>
      <c r="B7282" t="s">
        <v>2324</v>
      </c>
      <c r="C7282" t="s">
        <v>10482</v>
      </c>
      <c r="D7282" t="s">
        <v>17226</v>
      </c>
      <c r="E7282" t="s">
        <v>23548</v>
      </c>
      <c r="F7282" t="s">
        <v>29372</v>
      </c>
      <c r="G7282" t="s">
        <v>29380</v>
      </c>
      <c r="H7282" t="s">
        <v>29389</v>
      </c>
      <c r="I7282" t="s">
        <v>10408</v>
      </c>
      <c r="J7282" t="s">
        <v>34226</v>
      </c>
      <c r="K7282" t="s">
        <v>38487</v>
      </c>
      <c r="L7282" t="s">
        <v>2324</v>
      </c>
      <c r="M7282" t="s">
        <v>41256</v>
      </c>
      <c r="N7282" t="s">
        <v>42669</v>
      </c>
      <c r="O7282" t="s">
        <v>42670</v>
      </c>
      <c r="P7282">
        <v>0</v>
      </c>
      <c r="Q7282">
        <v>0</v>
      </c>
      <c r="R7282" t="s">
        <v>42678</v>
      </c>
      <c r="S7282" t="s">
        <v>42866</v>
      </c>
      <c r="T7282" t="s">
        <v>44446</v>
      </c>
      <c r="U7282" t="s">
        <v>50768</v>
      </c>
      <c r="V7282" t="s">
        <v>57157</v>
      </c>
      <c r="W7282" t="s">
        <v>41256</v>
      </c>
      <c r="X7282" t="s">
        <v>42679</v>
      </c>
    </row>
    <row r="7283" spans="1:24">
      <c r="A7283">
        <f>HYPERLINK("https://www.philgeps.gov.ph/GEPSNONPILOT/Tender/SplashBidNoticeAbstractUI.aspx?menuIndex=3&amp;refID=7180846&amp;Result=3","7180846")</f>
        <v>0</v>
      </c>
      <c r="B7283" t="s">
        <v>2316</v>
      </c>
      <c r="C7283" t="s">
        <v>10483</v>
      </c>
      <c r="D7283" t="s">
        <v>17197</v>
      </c>
      <c r="E7283" t="s">
        <v>23549</v>
      </c>
      <c r="F7283" t="s">
        <v>29372</v>
      </c>
      <c r="G7283" t="s">
        <v>29382</v>
      </c>
      <c r="H7283" t="s">
        <v>11048</v>
      </c>
      <c r="I7283" t="s">
        <v>4487</v>
      </c>
      <c r="J7283" t="s">
        <v>34227</v>
      </c>
      <c r="K7283" t="s">
        <v>38510</v>
      </c>
      <c r="M7283" t="s">
        <v>41247</v>
      </c>
      <c r="N7283" t="s">
        <v>42669</v>
      </c>
      <c r="O7283" t="s">
        <v>42670</v>
      </c>
      <c r="P7283">
        <v>0</v>
      </c>
      <c r="Q7283">
        <v>0</v>
      </c>
      <c r="R7283" t="s">
        <v>42678</v>
      </c>
      <c r="S7283" t="s">
        <v>42866</v>
      </c>
      <c r="T7283" t="s">
        <v>44389</v>
      </c>
      <c r="U7283" t="s">
        <v>50769</v>
      </c>
      <c r="W7283" t="s">
        <v>41247</v>
      </c>
      <c r="X7283" t="s">
        <v>42679</v>
      </c>
    </row>
    <row r="7284" spans="1:24">
      <c r="A7284">
        <f>HYPERLINK("https://www.philgeps.gov.ph/GEPSNONPILOT/Tender/SplashBidNoticeAbstractUI.aspx?menuIndex=3&amp;refID=7181198&amp;Result=3","7181198")</f>
        <v>0</v>
      </c>
      <c r="B7284" t="s">
        <v>2349</v>
      </c>
      <c r="C7284" t="s">
        <v>10484</v>
      </c>
      <c r="D7284" t="s">
        <v>17187</v>
      </c>
      <c r="E7284" t="s">
        <v>23550</v>
      </c>
      <c r="F7284" t="s">
        <v>29372</v>
      </c>
      <c r="G7284" t="s">
        <v>29382</v>
      </c>
      <c r="H7284" t="s">
        <v>11048</v>
      </c>
      <c r="I7284" t="s">
        <v>4487</v>
      </c>
      <c r="J7284" t="s">
        <v>32133</v>
      </c>
      <c r="K7284" t="s">
        <v>38491</v>
      </c>
      <c r="M7284" t="s">
        <v>41282</v>
      </c>
      <c r="N7284" t="s">
        <v>42669</v>
      </c>
      <c r="O7284" t="s">
        <v>42670</v>
      </c>
      <c r="P7284">
        <v>0</v>
      </c>
      <c r="Q7284">
        <v>2</v>
      </c>
      <c r="R7284" t="s">
        <v>42678</v>
      </c>
      <c r="S7284" t="s">
        <v>42866</v>
      </c>
      <c r="T7284" t="s">
        <v>44429</v>
      </c>
      <c r="U7284" t="s">
        <v>50720</v>
      </c>
      <c r="W7284" t="s">
        <v>41282</v>
      </c>
      <c r="X7284" t="s">
        <v>42679</v>
      </c>
    </row>
    <row r="7285" spans="1:24">
      <c r="A7285">
        <f>HYPERLINK("https://www.philgeps.gov.ph/GEPSNONPILOT/Tender/SplashBidNoticeAbstractUI.aspx?menuIndex=3&amp;refID=7181301&amp;Result=3","7181301")</f>
        <v>0</v>
      </c>
      <c r="B7285" t="s">
        <v>2055</v>
      </c>
      <c r="C7285" t="s">
        <v>10485</v>
      </c>
      <c r="D7285" t="s">
        <v>17222</v>
      </c>
      <c r="E7285" t="s">
        <v>23551</v>
      </c>
      <c r="F7285" t="s">
        <v>29372</v>
      </c>
      <c r="G7285" t="s">
        <v>29383</v>
      </c>
      <c r="H7285" t="s">
        <v>11048</v>
      </c>
      <c r="I7285" t="s">
        <v>5383</v>
      </c>
      <c r="J7285" t="s">
        <v>34228</v>
      </c>
      <c r="K7285" t="s">
        <v>38496</v>
      </c>
      <c r="M7285" t="s">
        <v>40953</v>
      </c>
      <c r="N7285" t="s">
        <v>42669</v>
      </c>
      <c r="O7285" t="s">
        <v>42670</v>
      </c>
      <c r="P7285">
        <v>0</v>
      </c>
      <c r="Q7285">
        <v>1</v>
      </c>
      <c r="R7285" t="s">
        <v>42678</v>
      </c>
      <c r="S7285" t="s">
        <v>42866</v>
      </c>
      <c r="T7285" t="s">
        <v>44747</v>
      </c>
      <c r="U7285" t="s">
        <v>50770</v>
      </c>
      <c r="W7285" t="s">
        <v>40953</v>
      </c>
      <c r="X7285" t="s">
        <v>42679</v>
      </c>
    </row>
    <row r="7286" spans="1:24">
      <c r="A7286">
        <f>HYPERLINK("https://www.philgeps.gov.ph/GEPSNONPILOT/Tender/SplashBidNoticeAbstractUI.aspx?menuIndex=3&amp;refID=7181221&amp;Result=3","7181221")</f>
        <v>0</v>
      </c>
      <c r="B7286" t="s">
        <v>39</v>
      </c>
      <c r="C7286" t="s">
        <v>10486</v>
      </c>
      <c r="D7286" t="s">
        <v>17152</v>
      </c>
      <c r="E7286" t="s">
        <v>23552</v>
      </c>
      <c r="F7286" t="s">
        <v>29372</v>
      </c>
      <c r="G7286" t="s">
        <v>29379</v>
      </c>
      <c r="H7286" t="s">
        <v>11048</v>
      </c>
      <c r="I7286" t="s">
        <v>29432</v>
      </c>
      <c r="J7286" t="s">
        <v>34229</v>
      </c>
      <c r="K7286" t="s">
        <v>38491</v>
      </c>
      <c r="M7286" t="s">
        <v>38792</v>
      </c>
      <c r="N7286" t="s">
        <v>42669</v>
      </c>
      <c r="O7286" t="s">
        <v>42670</v>
      </c>
      <c r="P7286">
        <v>0</v>
      </c>
      <c r="Q7286">
        <v>0</v>
      </c>
      <c r="R7286" t="s">
        <v>42678</v>
      </c>
      <c r="S7286" t="s">
        <v>42866</v>
      </c>
      <c r="T7286" t="s">
        <v>44432</v>
      </c>
      <c r="U7286" t="s">
        <v>50744</v>
      </c>
      <c r="W7286" t="s">
        <v>38792</v>
      </c>
      <c r="X7286" t="s">
        <v>42679</v>
      </c>
    </row>
    <row r="7287" spans="1:24">
      <c r="A7287">
        <f>HYPERLINK("https://www.philgeps.gov.ph/GEPSNONPILOT/Tender/SplashBidNoticeAbstractUI.aspx?menuIndex=3&amp;refID=7181318&amp;Result=3","7181318")</f>
        <v>0</v>
      </c>
      <c r="B7287" t="s">
        <v>2020</v>
      </c>
      <c r="C7287" t="s">
        <v>10487</v>
      </c>
      <c r="D7287" t="s">
        <v>17177</v>
      </c>
      <c r="E7287" t="s">
        <v>23553</v>
      </c>
      <c r="F7287" t="s">
        <v>29372</v>
      </c>
      <c r="G7287" t="s">
        <v>29380</v>
      </c>
      <c r="H7287" t="s">
        <v>29389</v>
      </c>
      <c r="I7287" t="s">
        <v>10408</v>
      </c>
      <c r="J7287" t="s">
        <v>34230</v>
      </c>
      <c r="K7287" t="s">
        <v>38496</v>
      </c>
      <c r="M7287" t="s">
        <v>41241</v>
      </c>
      <c r="N7287" t="s">
        <v>42669</v>
      </c>
      <c r="O7287" t="s">
        <v>42670</v>
      </c>
      <c r="P7287">
        <v>0</v>
      </c>
      <c r="Q7287">
        <v>0</v>
      </c>
      <c r="R7287" t="s">
        <v>42678</v>
      </c>
      <c r="S7287" t="s">
        <v>42866</v>
      </c>
      <c r="T7287" t="s">
        <v>44475</v>
      </c>
      <c r="U7287" t="s">
        <v>50771</v>
      </c>
      <c r="V7287" t="s">
        <v>57146</v>
      </c>
      <c r="W7287" t="s">
        <v>41241</v>
      </c>
      <c r="X7287" t="s">
        <v>42679</v>
      </c>
    </row>
    <row r="7288" spans="1:24">
      <c r="A7288">
        <f>HYPERLINK("https://www.philgeps.gov.ph/GEPSNONPILOT/Tender/SplashBidNoticeAbstractUI.aspx?menuIndex=3&amp;refID=7181078&amp;Result=3","7181078")</f>
        <v>0</v>
      </c>
      <c r="B7288" t="s">
        <v>2350</v>
      </c>
      <c r="C7288" t="s">
        <v>10488</v>
      </c>
      <c r="D7288" t="s">
        <v>17149</v>
      </c>
      <c r="E7288" t="s">
        <v>23554</v>
      </c>
      <c r="F7288" t="s">
        <v>29372</v>
      </c>
      <c r="G7288" t="s">
        <v>29380</v>
      </c>
      <c r="H7288" t="s">
        <v>11048</v>
      </c>
      <c r="I7288" t="s">
        <v>8208</v>
      </c>
      <c r="J7288" t="s">
        <v>30127</v>
      </c>
      <c r="K7288" t="s">
        <v>38489</v>
      </c>
      <c r="M7288" t="s">
        <v>41283</v>
      </c>
      <c r="N7288" t="s">
        <v>42669</v>
      </c>
      <c r="O7288" t="s">
        <v>42670</v>
      </c>
      <c r="P7288">
        <v>0</v>
      </c>
      <c r="Q7288">
        <v>2</v>
      </c>
      <c r="R7288" t="s">
        <v>42678</v>
      </c>
      <c r="S7288" t="s">
        <v>42866</v>
      </c>
      <c r="T7288" t="s">
        <v>44491</v>
      </c>
      <c r="U7288" t="s">
        <v>50772</v>
      </c>
      <c r="W7288" t="s">
        <v>41283</v>
      </c>
      <c r="X7288" t="s">
        <v>42679</v>
      </c>
    </row>
    <row r="7289" spans="1:24">
      <c r="A7289">
        <f>HYPERLINK("https://www.philgeps.gov.ph/GEPSNONPILOT/Tender/SplashBidNoticeAbstractUI.aspx?menuIndex=3&amp;refID=7181320&amp;Result=3","7181320")</f>
        <v>0</v>
      </c>
      <c r="B7289" t="s">
        <v>82</v>
      </c>
      <c r="C7289" t="s">
        <v>10489</v>
      </c>
      <c r="D7289" t="s">
        <v>17172</v>
      </c>
      <c r="E7289" t="s">
        <v>19197</v>
      </c>
      <c r="F7289" t="s">
        <v>29372</v>
      </c>
      <c r="G7289" t="s">
        <v>29380</v>
      </c>
      <c r="H7289" t="s">
        <v>11048</v>
      </c>
      <c r="I7289" t="s">
        <v>9469</v>
      </c>
      <c r="J7289" t="s">
        <v>29532</v>
      </c>
      <c r="K7289" t="s">
        <v>38490</v>
      </c>
      <c r="M7289" t="s">
        <v>38836</v>
      </c>
      <c r="N7289" t="s">
        <v>42669</v>
      </c>
      <c r="O7289" t="s">
        <v>42670</v>
      </c>
      <c r="P7289">
        <v>0</v>
      </c>
      <c r="Q7289">
        <v>0</v>
      </c>
      <c r="R7289" t="s">
        <v>42678</v>
      </c>
      <c r="S7289" t="s">
        <v>42866</v>
      </c>
      <c r="T7289" t="s">
        <v>44427</v>
      </c>
      <c r="U7289" t="s">
        <v>50773</v>
      </c>
      <c r="W7289" t="s">
        <v>38836</v>
      </c>
      <c r="X7289" t="s">
        <v>42679</v>
      </c>
    </row>
    <row r="7290" spans="1:24">
      <c r="A7290">
        <f>HYPERLINK("https://www.philgeps.gov.ph/GEPSNONPILOT/Tender/SplashBidNoticeAbstractUI.aspx?menuIndex=3&amp;refID=7180850&amp;Result=3","7180850")</f>
        <v>0</v>
      </c>
      <c r="B7290" t="s">
        <v>2324</v>
      </c>
      <c r="C7290" t="s">
        <v>10490</v>
      </c>
      <c r="D7290" t="s">
        <v>17226</v>
      </c>
      <c r="E7290" t="s">
        <v>23555</v>
      </c>
      <c r="F7290" t="s">
        <v>29372</v>
      </c>
      <c r="G7290" t="s">
        <v>29380</v>
      </c>
      <c r="H7290" t="s">
        <v>29389</v>
      </c>
      <c r="I7290" t="s">
        <v>10408</v>
      </c>
      <c r="J7290" t="s">
        <v>34231</v>
      </c>
      <c r="K7290" t="s">
        <v>38515</v>
      </c>
      <c r="L7290" t="s">
        <v>2324</v>
      </c>
      <c r="M7290" t="s">
        <v>41256</v>
      </c>
      <c r="N7290" t="s">
        <v>42669</v>
      </c>
      <c r="O7290" t="s">
        <v>42670</v>
      </c>
      <c r="P7290">
        <v>0</v>
      </c>
      <c r="Q7290">
        <v>0</v>
      </c>
      <c r="R7290" t="s">
        <v>42678</v>
      </c>
      <c r="S7290" t="s">
        <v>42866</v>
      </c>
      <c r="T7290" t="s">
        <v>44446</v>
      </c>
      <c r="U7290" t="s">
        <v>50774</v>
      </c>
      <c r="V7290" t="s">
        <v>57157</v>
      </c>
      <c r="W7290" t="s">
        <v>41256</v>
      </c>
      <c r="X7290" t="s">
        <v>42679</v>
      </c>
    </row>
    <row r="7291" spans="1:24">
      <c r="A7291">
        <f>HYPERLINK("https://www.philgeps.gov.ph/GEPSNONPILOT/Tender/SplashBidNoticeAbstractUI.aspx?menuIndex=3&amp;refID=7181302&amp;Result=3","7181302")</f>
        <v>0</v>
      </c>
      <c r="B7291" t="s">
        <v>240</v>
      </c>
      <c r="C7291" t="s">
        <v>10491</v>
      </c>
      <c r="D7291" t="s">
        <v>17185</v>
      </c>
      <c r="E7291" t="s">
        <v>23556</v>
      </c>
      <c r="F7291" t="s">
        <v>29372</v>
      </c>
      <c r="G7291" t="s">
        <v>29379</v>
      </c>
      <c r="H7291" t="s">
        <v>11048</v>
      </c>
      <c r="I7291" t="s">
        <v>29486</v>
      </c>
      <c r="J7291" t="s">
        <v>29680</v>
      </c>
      <c r="K7291" t="s">
        <v>38490</v>
      </c>
      <c r="M7291" t="s">
        <v>38999</v>
      </c>
      <c r="N7291" t="s">
        <v>42669</v>
      </c>
      <c r="O7291" t="s">
        <v>42670</v>
      </c>
      <c r="P7291">
        <v>0</v>
      </c>
      <c r="Q7291">
        <v>0</v>
      </c>
      <c r="R7291" t="s">
        <v>42678</v>
      </c>
      <c r="S7291" t="s">
        <v>42866</v>
      </c>
      <c r="T7291" t="s">
        <v>44481</v>
      </c>
      <c r="U7291" t="s">
        <v>50775</v>
      </c>
      <c r="W7291" t="s">
        <v>38999</v>
      </c>
      <c r="X7291" t="s">
        <v>42679</v>
      </c>
    </row>
    <row r="7292" spans="1:24">
      <c r="A7292">
        <f>HYPERLINK("https://www.philgeps.gov.ph/GEPSNONPILOT/Tender/SplashBidNoticeAbstractUI.aspx?menuIndex=3&amp;refID=7181309&amp;Result=3","7181309")</f>
        <v>0</v>
      </c>
      <c r="B7292" t="s">
        <v>2217</v>
      </c>
      <c r="C7292" t="s">
        <v>9864</v>
      </c>
      <c r="D7292" t="s">
        <v>17168</v>
      </c>
      <c r="E7292" t="s">
        <v>23557</v>
      </c>
      <c r="F7292" t="s">
        <v>29372</v>
      </c>
      <c r="G7292" t="s">
        <v>29379</v>
      </c>
      <c r="H7292" t="s">
        <v>11048</v>
      </c>
      <c r="I7292" t="s">
        <v>4487</v>
      </c>
      <c r="J7292" t="s">
        <v>34232</v>
      </c>
      <c r="K7292" t="s">
        <v>38488</v>
      </c>
      <c r="M7292" t="s">
        <v>41134</v>
      </c>
      <c r="N7292" t="s">
        <v>42669</v>
      </c>
      <c r="O7292" t="s">
        <v>42670</v>
      </c>
      <c r="P7292">
        <v>0</v>
      </c>
      <c r="Q7292">
        <v>4</v>
      </c>
      <c r="R7292" t="s">
        <v>42678</v>
      </c>
      <c r="S7292" t="s">
        <v>42866</v>
      </c>
      <c r="T7292" t="s">
        <v>44441</v>
      </c>
      <c r="U7292" t="s">
        <v>50776</v>
      </c>
      <c r="W7292" t="s">
        <v>41134</v>
      </c>
      <c r="X7292" t="s">
        <v>42679</v>
      </c>
    </row>
    <row r="7293" spans="1:24">
      <c r="A7293">
        <f>HYPERLINK("https://www.philgeps.gov.ph/GEPSNONPILOT/Tender/SplashBidNoticeAbstractUI.aspx?menuIndex=3&amp;refID=7181249&amp;Result=3","7181249")</f>
        <v>0</v>
      </c>
      <c r="B7293" t="s">
        <v>544</v>
      </c>
      <c r="C7293" t="s">
        <v>10492</v>
      </c>
      <c r="D7293" t="s">
        <v>17153</v>
      </c>
      <c r="E7293" t="s">
        <v>23558</v>
      </c>
      <c r="F7293" t="s">
        <v>29372</v>
      </c>
      <c r="G7293" t="s">
        <v>29383</v>
      </c>
      <c r="H7293" t="s">
        <v>11048</v>
      </c>
      <c r="I7293" t="s">
        <v>4486</v>
      </c>
      <c r="J7293" t="s">
        <v>34233</v>
      </c>
      <c r="K7293" t="s">
        <v>38490</v>
      </c>
      <c r="M7293" t="s">
        <v>39312</v>
      </c>
      <c r="N7293" t="s">
        <v>42669</v>
      </c>
      <c r="O7293" t="s">
        <v>42670</v>
      </c>
      <c r="P7293">
        <v>0</v>
      </c>
      <c r="Q7293">
        <v>3</v>
      </c>
      <c r="R7293" t="s">
        <v>42678</v>
      </c>
      <c r="S7293" t="s">
        <v>42866</v>
      </c>
      <c r="T7293" t="s">
        <v>44493</v>
      </c>
      <c r="U7293" t="s">
        <v>50777</v>
      </c>
      <c r="W7293" t="s">
        <v>39312</v>
      </c>
      <c r="X7293" t="s">
        <v>42679</v>
      </c>
    </row>
    <row r="7294" spans="1:24">
      <c r="A7294">
        <f>HYPERLINK("https://www.philgeps.gov.ph/GEPSNONPILOT/Tender/SplashBidNoticeAbstractUI.aspx?menuIndex=3&amp;refID=7181287&amp;Result=3","7181287")</f>
        <v>0</v>
      </c>
      <c r="B7294" t="s">
        <v>2359</v>
      </c>
      <c r="C7294" t="s">
        <v>10493</v>
      </c>
      <c r="D7294" t="s">
        <v>17174</v>
      </c>
      <c r="E7294" t="s">
        <v>23559</v>
      </c>
      <c r="F7294" t="s">
        <v>29372</v>
      </c>
      <c r="G7294" t="s">
        <v>29380</v>
      </c>
      <c r="H7294" t="s">
        <v>11048</v>
      </c>
      <c r="I7294" t="s">
        <v>4709</v>
      </c>
      <c r="J7294" t="s">
        <v>34234</v>
      </c>
      <c r="K7294" t="s">
        <v>38491</v>
      </c>
      <c r="M7294" t="s">
        <v>41295</v>
      </c>
      <c r="N7294" t="s">
        <v>42669</v>
      </c>
      <c r="O7294" t="s">
        <v>42670</v>
      </c>
      <c r="P7294">
        <v>0</v>
      </c>
      <c r="Q7294">
        <v>0</v>
      </c>
      <c r="R7294" t="s">
        <v>42678</v>
      </c>
      <c r="S7294" t="s">
        <v>42866</v>
      </c>
      <c r="T7294" t="s">
        <v>44491</v>
      </c>
      <c r="U7294" t="s">
        <v>45957</v>
      </c>
      <c r="W7294" t="s">
        <v>41295</v>
      </c>
      <c r="X7294" t="s">
        <v>42679</v>
      </c>
    </row>
    <row r="7295" spans="1:24">
      <c r="A7295">
        <f>HYPERLINK("https://www.philgeps.gov.ph/GEPSNONPILOT/Tender/SplashBidNoticeAbstractUI.aspx?menuIndex=3&amp;refID=7181275&amp;Result=3","7181275")</f>
        <v>0</v>
      </c>
      <c r="B7295" t="s">
        <v>2349</v>
      </c>
      <c r="C7295" t="s">
        <v>10494</v>
      </c>
      <c r="D7295" t="s">
        <v>17187</v>
      </c>
      <c r="E7295" t="s">
        <v>23560</v>
      </c>
      <c r="F7295" t="s">
        <v>29372</v>
      </c>
      <c r="G7295" t="s">
        <v>29383</v>
      </c>
      <c r="H7295" t="s">
        <v>11048</v>
      </c>
      <c r="I7295" t="s">
        <v>3839</v>
      </c>
      <c r="J7295" t="s">
        <v>34235</v>
      </c>
      <c r="K7295" t="s">
        <v>38491</v>
      </c>
      <c r="M7295" t="s">
        <v>41282</v>
      </c>
      <c r="N7295" t="s">
        <v>42669</v>
      </c>
      <c r="O7295" t="s">
        <v>42670</v>
      </c>
      <c r="P7295">
        <v>0</v>
      </c>
      <c r="Q7295">
        <v>6</v>
      </c>
      <c r="R7295" t="s">
        <v>42678</v>
      </c>
      <c r="S7295" t="s">
        <v>42866</v>
      </c>
      <c r="T7295" t="s">
        <v>44429</v>
      </c>
      <c r="U7295" t="s">
        <v>50720</v>
      </c>
      <c r="W7295" t="s">
        <v>41282</v>
      </c>
      <c r="X7295" t="s">
        <v>42679</v>
      </c>
    </row>
    <row r="7296" spans="1:24">
      <c r="A7296">
        <f>HYPERLINK("https://www.philgeps.gov.ph/GEPSNONPILOT/Tender/SplashBidNoticeAbstractUI.aspx?menuIndex=3&amp;refID=7181267&amp;Result=3","7181267")</f>
        <v>0</v>
      </c>
      <c r="B7296" t="s">
        <v>902</v>
      </c>
      <c r="C7296" t="s">
        <v>10495</v>
      </c>
      <c r="D7296" t="s">
        <v>17205</v>
      </c>
      <c r="E7296" t="s">
        <v>23561</v>
      </c>
      <c r="F7296" t="s">
        <v>29372</v>
      </c>
      <c r="G7296" t="s">
        <v>29380</v>
      </c>
      <c r="H7296" t="s">
        <v>11048</v>
      </c>
      <c r="I7296" t="s">
        <v>29411</v>
      </c>
      <c r="J7296" t="s">
        <v>34236</v>
      </c>
      <c r="K7296" t="s">
        <v>38490</v>
      </c>
      <c r="M7296" t="s">
        <v>39695</v>
      </c>
      <c r="N7296" t="s">
        <v>42669</v>
      </c>
      <c r="O7296" t="s">
        <v>42670</v>
      </c>
      <c r="P7296">
        <v>0</v>
      </c>
      <c r="Q7296">
        <v>1</v>
      </c>
      <c r="R7296" t="s">
        <v>42678</v>
      </c>
      <c r="S7296" t="s">
        <v>42866</v>
      </c>
      <c r="T7296" t="s">
        <v>44491</v>
      </c>
      <c r="U7296" t="s">
        <v>50778</v>
      </c>
      <c r="W7296" t="s">
        <v>39695</v>
      </c>
      <c r="X7296" t="s">
        <v>42679</v>
      </c>
    </row>
    <row r="7297" spans="1:24">
      <c r="A7297">
        <f>HYPERLINK("https://www.philgeps.gov.ph/GEPSNONPILOT/Tender/SplashBidNoticeAbstractUI.aspx?menuIndex=3&amp;refID=7181266&amp;Result=3","7181266")</f>
        <v>0</v>
      </c>
      <c r="B7297" t="s">
        <v>2360</v>
      </c>
      <c r="C7297" t="s">
        <v>10496</v>
      </c>
      <c r="D7297" t="s">
        <v>17168</v>
      </c>
      <c r="E7297" t="s">
        <v>23562</v>
      </c>
      <c r="F7297" t="s">
        <v>29372</v>
      </c>
      <c r="G7297" t="s">
        <v>29380</v>
      </c>
      <c r="H7297" t="s">
        <v>11048</v>
      </c>
      <c r="I7297" t="s">
        <v>4709</v>
      </c>
      <c r="J7297" t="s">
        <v>34237</v>
      </c>
      <c r="K7297" t="s">
        <v>38538</v>
      </c>
      <c r="M7297" t="s">
        <v>41296</v>
      </c>
      <c r="N7297" t="s">
        <v>42669</v>
      </c>
      <c r="O7297" t="s">
        <v>42670</v>
      </c>
      <c r="P7297">
        <v>0</v>
      </c>
      <c r="Q7297">
        <v>0</v>
      </c>
      <c r="R7297" t="s">
        <v>42678</v>
      </c>
      <c r="S7297" t="s">
        <v>42866</v>
      </c>
      <c r="T7297" t="s">
        <v>44635</v>
      </c>
      <c r="U7297" t="s">
        <v>50779</v>
      </c>
      <c r="W7297" t="s">
        <v>41296</v>
      </c>
      <c r="X7297" t="s">
        <v>42679</v>
      </c>
    </row>
    <row r="7298" spans="1:24">
      <c r="A7298">
        <f>HYPERLINK("https://www.philgeps.gov.ph/GEPSNONPILOT/Tender/SplashBidNoticeAbstractUI.aspx?menuIndex=3&amp;refID=7181291&amp;Result=3","7181291")</f>
        <v>0</v>
      </c>
      <c r="B7298" t="s">
        <v>2342</v>
      </c>
      <c r="C7298" t="s">
        <v>10497</v>
      </c>
      <c r="D7298" t="s">
        <v>17189</v>
      </c>
      <c r="E7298" t="s">
        <v>21160</v>
      </c>
      <c r="F7298" t="s">
        <v>29372</v>
      </c>
      <c r="G7298" t="s">
        <v>29380</v>
      </c>
      <c r="H7298" t="s">
        <v>11048</v>
      </c>
      <c r="I7298" t="s">
        <v>3952</v>
      </c>
      <c r="J7298" t="s">
        <v>34238</v>
      </c>
      <c r="K7298" t="s">
        <v>38510</v>
      </c>
      <c r="M7298" t="s">
        <v>41275</v>
      </c>
      <c r="N7298" t="s">
        <v>42669</v>
      </c>
      <c r="O7298" t="s">
        <v>42670</v>
      </c>
      <c r="Q7298">
        <v>4</v>
      </c>
      <c r="R7298" t="s">
        <v>42678</v>
      </c>
      <c r="S7298" t="s">
        <v>42888</v>
      </c>
      <c r="T7298" t="s">
        <v>44504</v>
      </c>
      <c r="U7298" t="s">
        <v>50780</v>
      </c>
      <c r="V7298" t="s">
        <v>57161</v>
      </c>
      <c r="W7298" t="s">
        <v>41275</v>
      </c>
      <c r="X7298" t="s">
        <v>42679</v>
      </c>
    </row>
    <row r="7299" spans="1:24">
      <c r="A7299">
        <f>HYPERLINK("https://www.philgeps.gov.ph/GEPSNONPILOT/Tender/SplashBidNoticeAbstractUI.aspx?menuIndex=3&amp;refID=7181264&amp;Result=3","7181264")</f>
        <v>0</v>
      </c>
      <c r="B7299" t="s">
        <v>2361</v>
      </c>
      <c r="C7299" t="s">
        <v>10498</v>
      </c>
      <c r="D7299" t="s">
        <v>17201</v>
      </c>
      <c r="E7299" t="s">
        <v>23563</v>
      </c>
      <c r="F7299" t="s">
        <v>29372</v>
      </c>
      <c r="G7299" t="s">
        <v>29380</v>
      </c>
      <c r="H7299" t="s">
        <v>29389</v>
      </c>
      <c r="I7299" t="s">
        <v>10408</v>
      </c>
      <c r="J7299" t="s">
        <v>34239</v>
      </c>
      <c r="K7299" t="s">
        <v>38495</v>
      </c>
      <c r="M7299" t="s">
        <v>41297</v>
      </c>
      <c r="N7299" t="s">
        <v>42669</v>
      </c>
      <c r="O7299" t="s">
        <v>42670</v>
      </c>
      <c r="P7299">
        <v>0</v>
      </c>
      <c r="Q7299">
        <v>1</v>
      </c>
      <c r="R7299" t="s">
        <v>42678</v>
      </c>
      <c r="S7299" t="s">
        <v>42866</v>
      </c>
      <c r="T7299" t="s">
        <v>44368</v>
      </c>
      <c r="U7299" t="s">
        <v>50781</v>
      </c>
      <c r="W7299" t="s">
        <v>41297</v>
      </c>
      <c r="X7299" t="s">
        <v>42679</v>
      </c>
    </row>
    <row r="7300" spans="1:24">
      <c r="A7300">
        <f>HYPERLINK("https://www.philgeps.gov.ph/GEPSNONPILOT/Tender/SplashBidNoticeAbstractUI.aspx?menuIndex=3&amp;refID=7181290&amp;Result=3","7181290")</f>
        <v>0</v>
      </c>
      <c r="B7300" t="s">
        <v>2328</v>
      </c>
      <c r="C7300" t="s">
        <v>10499</v>
      </c>
      <c r="D7300" t="s">
        <v>17202</v>
      </c>
      <c r="E7300" t="s">
        <v>23564</v>
      </c>
      <c r="F7300" t="s">
        <v>29372</v>
      </c>
      <c r="G7300" t="s">
        <v>29380</v>
      </c>
      <c r="H7300" t="s">
        <v>11048</v>
      </c>
      <c r="I7300" t="s">
        <v>4487</v>
      </c>
      <c r="J7300" t="s">
        <v>34240</v>
      </c>
      <c r="K7300" t="s">
        <v>38485</v>
      </c>
      <c r="M7300" t="s">
        <v>41260</v>
      </c>
      <c r="N7300" t="s">
        <v>42669</v>
      </c>
      <c r="O7300" t="s">
        <v>42670</v>
      </c>
      <c r="P7300">
        <v>0</v>
      </c>
      <c r="Q7300">
        <v>2</v>
      </c>
      <c r="R7300" t="s">
        <v>42678</v>
      </c>
      <c r="S7300" t="s">
        <v>42866</v>
      </c>
      <c r="T7300" t="s">
        <v>44745</v>
      </c>
      <c r="U7300" t="s">
        <v>50782</v>
      </c>
      <c r="W7300" t="s">
        <v>41260</v>
      </c>
      <c r="X7300" t="s">
        <v>42679</v>
      </c>
    </row>
    <row r="7301" spans="1:24">
      <c r="A7301">
        <f>HYPERLINK("https://www.philgeps.gov.ph/GEPSNONPILOT/Tender/SplashBidNoticeAbstractUI.aspx?menuIndex=3&amp;refID=7181371&amp;Result=3","7181371")</f>
        <v>0</v>
      </c>
      <c r="B7301" t="s">
        <v>2362</v>
      </c>
      <c r="C7301" t="s">
        <v>10500</v>
      </c>
      <c r="D7301" t="s">
        <v>17141</v>
      </c>
      <c r="E7301" t="s">
        <v>23565</v>
      </c>
      <c r="F7301" t="s">
        <v>29375</v>
      </c>
      <c r="G7301" t="s">
        <v>29380</v>
      </c>
      <c r="H7301" t="s">
        <v>11048</v>
      </c>
      <c r="I7301" t="s">
        <v>3670</v>
      </c>
      <c r="J7301" t="s">
        <v>34241</v>
      </c>
      <c r="K7301" t="s">
        <v>38491</v>
      </c>
      <c r="M7301" t="s">
        <v>41298</v>
      </c>
      <c r="N7301" t="s">
        <v>42669</v>
      </c>
      <c r="O7301" t="s">
        <v>42670</v>
      </c>
      <c r="P7301">
        <v>0</v>
      </c>
      <c r="Q7301">
        <v>0</v>
      </c>
      <c r="R7301" t="s">
        <v>42678</v>
      </c>
      <c r="S7301" t="s">
        <v>42866</v>
      </c>
      <c r="T7301" t="s">
        <v>44357</v>
      </c>
      <c r="U7301" t="s">
        <v>50783</v>
      </c>
      <c r="W7301" t="s">
        <v>41298</v>
      </c>
      <c r="X7301" t="s">
        <v>42679</v>
      </c>
    </row>
    <row r="7302" spans="1:24">
      <c r="A7302">
        <f>HYPERLINK("https://www.philgeps.gov.ph/GEPSNONPILOT/Tender/SplashBidNoticeAbstractUI.aspx?menuIndex=3&amp;refID=7181392&amp;Result=3","7181392")</f>
        <v>0</v>
      </c>
      <c r="B7302" t="s">
        <v>1271</v>
      </c>
      <c r="C7302" t="s">
        <v>10501</v>
      </c>
      <c r="D7302" t="s">
        <v>17159</v>
      </c>
      <c r="E7302" t="s">
        <v>23566</v>
      </c>
      <c r="F7302" t="s">
        <v>29372</v>
      </c>
      <c r="G7302" t="s">
        <v>29379</v>
      </c>
      <c r="H7302" t="s">
        <v>11048</v>
      </c>
      <c r="I7302" t="s">
        <v>29424</v>
      </c>
      <c r="J7302" t="s">
        <v>34242</v>
      </c>
      <c r="K7302" t="s">
        <v>38485</v>
      </c>
      <c r="M7302" t="s">
        <v>40098</v>
      </c>
      <c r="N7302" t="s">
        <v>42669</v>
      </c>
      <c r="O7302" t="s">
        <v>42670</v>
      </c>
      <c r="P7302">
        <v>0</v>
      </c>
      <c r="Q7302">
        <v>5</v>
      </c>
      <c r="R7302" t="s">
        <v>42678</v>
      </c>
      <c r="S7302" t="s">
        <v>42866</v>
      </c>
      <c r="T7302" t="s">
        <v>44454</v>
      </c>
      <c r="U7302" t="s">
        <v>50784</v>
      </c>
      <c r="W7302" t="s">
        <v>40098</v>
      </c>
      <c r="X7302" t="s">
        <v>42679</v>
      </c>
    </row>
    <row r="7303" spans="1:24">
      <c r="A7303">
        <f>HYPERLINK("https://www.philgeps.gov.ph/GEPSNONPILOT/Tender/SplashBidNoticeAbstractUI.aspx?menuIndex=3&amp;refID=7181293&amp;Result=3","7181293")</f>
        <v>0</v>
      </c>
      <c r="B7303" t="s">
        <v>2363</v>
      </c>
      <c r="C7303" t="s">
        <v>10502</v>
      </c>
      <c r="E7303" t="s">
        <v>17540</v>
      </c>
      <c r="F7303" t="s">
        <v>29372</v>
      </c>
      <c r="G7303" t="s">
        <v>29380</v>
      </c>
      <c r="H7303" t="s">
        <v>11048</v>
      </c>
      <c r="I7303" t="s">
        <v>4709</v>
      </c>
      <c r="J7303" t="s">
        <v>34243</v>
      </c>
      <c r="K7303" t="s">
        <v>38490</v>
      </c>
      <c r="M7303" t="s">
        <v>41299</v>
      </c>
      <c r="N7303" t="s">
        <v>42669</v>
      </c>
      <c r="O7303" t="s">
        <v>42670</v>
      </c>
      <c r="P7303">
        <v>0</v>
      </c>
      <c r="Q7303">
        <v>0</v>
      </c>
      <c r="R7303" t="s">
        <v>42678</v>
      </c>
      <c r="S7303" t="s">
        <v>42866</v>
      </c>
      <c r="T7303" t="s">
        <v>44432</v>
      </c>
      <c r="U7303" t="s">
        <v>50785</v>
      </c>
      <c r="W7303" t="s">
        <v>41299</v>
      </c>
      <c r="X7303" t="s">
        <v>42679</v>
      </c>
    </row>
    <row r="7304" spans="1:24">
      <c r="A7304">
        <f>HYPERLINK("https://www.philgeps.gov.ph/GEPSNONPILOT/Tender/SplashBidNoticeAbstractUI.aspx?menuIndex=3&amp;refID=7181384&amp;Result=3","7181384")</f>
        <v>0</v>
      </c>
      <c r="B7304" t="s">
        <v>132</v>
      </c>
      <c r="C7304" t="s">
        <v>10503</v>
      </c>
      <c r="D7304" t="s">
        <v>17167</v>
      </c>
      <c r="E7304" t="s">
        <v>23567</v>
      </c>
      <c r="F7304" t="s">
        <v>29372</v>
      </c>
      <c r="G7304" t="s">
        <v>29380</v>
      </c>
      <c r="H7304" t="s">
        <v>29389</v>
      </c>
      <c r="I7304" t="s">
        <v>10408</v>
      </c>
      <c r="J7304" t="s">
        <v>34244</v>
      </c>
      <c r="K7304" t="s">
        <v>38681</v>
      </c>
      <c r="M7304" t="s">
        <v>38887</v>
      </c>
      <c r="N7304" t="s">
        <v>42669</v>
      </c>
      <c r="O7304" t="s">
        <v>42670</v>
      </c>
      <c r="P7304">
        <v>0</v>
      </c>
      <c r="Q7304">
        <v>1</v>
      </c>
      <c r="R7304" t="s">
        <v>42678</v>
      </c>
      <c r="S7304" t="s">
        <v>42866</v>
      </c>
      <c r="T7304" t="s">
        <v>44675</v>
      </c>
      <c r="U7304" t="s">
        <v>50786</v>
      </c>
      <c r="W7304" t="s">
        <v>58002</v>
      </c>
      <c r="X7304" t="s">
        <v>42679</v>
      </c>
    </row>
    <row r="7305" spans="1:24">
      <c r="A7305">
        <f>HYPERLINK("https://www.philgeps.gov.ph/GEPSNONPILOT/Tender/SplashBidNoticeAbstractUI.aspx?menuIndex=3&amp;refID=7181265&amp;Result=3","7181265")</f>
        <v>0</v>
      </c>
      <c r="B7305" t="s">
        <v>2297</v>
      </c>
      <c r="C7305" t="s">
        <v>10504</v>
      </c>
      <c r="D7305" t="s">
        <v>17181</v>
      </c>
      <c r="E7305" t="s">
        <v>23568</v>
      </c>
      <c r="F7305" t="s">
        <v>29372</v>
      </c>
      <c r="G7305" t="s">
        <v>29380</v>
      </c>
      <c r="H7305" t="s">
        <v>11048</v>
      </c>
      <c r="I7305" t="s">
        <v>29395</v>
      </c>
      <c r="J7305" t="s">
        <v>34245</v>
      </c>
      <c r="K7305" t="s">
        <v>38490</v>
      </c>
      <c r="M7305" t="s">
        <v>41284</v>
      </c>
      <c r="N7305" t="s">
        <v>42669</v>
      </c>
      <c r="O7305" t="s">
        <v>42670</v>
      </c>
      <c r="P7305">
        <v>0</v>
      </c>
      <c r="Q7305">
        <v>1</v>
      </c>
      <c r="R7305" t="s">
        <v>42678</v>
      </c>
      <c r="S7305" t="s">
        <v>42866</v>
      </c>
      <c r="T7305" t="s">
        <v>44507</v>
      </c>
      <c r="U7305" t="s">
        <v>50787</v>
      </c>
      <c r="W7305" t="s">
        <v>41284</v>
      </c>
      <c r="X7305" t="s">
        <v>42679</v>
      </c>
    </row>
    <row r="7306" spans="1:24">
      <c r="A7306">
        <f>HYPERLINK("https://www.philgeps.gov.ph/GEPSNONPILOT/Tender/SplashBidNoticeAbstractUI.aspx?menuIndex=3&amp;refID=7181382&amp;Result=3","7181382")</f>
        <v>0</v>
      </c>
      <c r="B7306" t="s">
        <v>1125</v>
      </c>
      <c r="C7306" t="s">
        <v>10505</v>
      </c>
      <c r="D7306" t="s">
        <v>17151</v>
      </c>
      <c r="E7306" t="s">
        <v>23569</v>
      </c>
      <c r="F7306" t="s">
        <v>29372</v>
      </c>
      <c r="G7306" t="s">
        <v>29380</v>
      </c>
      <c r="H7306" t="s">
        <v>11048</v>
      </c>
      <c r="I7306" t="s">
        <v>29393</v>
      </c>
      <c r="J7306" t="s">
        <v>34246</v>
      </c>
      <c r="K7306" t="s">
        <v>38491</v>
      </c>
      <c r="M7306" t="s">
        <v>39935</v>
      </c>
      <c r="N7306" t="s">
        <v>42669</v>
      </c>
      <c r="O7306" t="s">
        <v>42670</v>
      </c>
      <c r="P7306">
        <v>0</v>
      </c>
      <c r="Q7306">
        <v>0</v>
      </c>
      <c r="R7306" t="s">
        <v>42678</v>
      </c>
      <c r="S7306" t="s">
        <v>42866</v>
      </c>
      <c r="T7306" t="s">
        <v>44587</v>
      </c>
      <c r="U7306" t="s">
        <v>47278</v>
      </c>
      <c r="V7306" t="s">
        <v>57169</v>
      </c>
      <c r="W7306" t="s">
        <v>39935</v>
      </c>
      <c r="X7306" t="s">
        <v>42679</v>
      </c>
    </row>
    <row r="7307" spans="1:24">
      <c r="A7307">
        <f>HYPERLINK("https://www.philgeps.gov.ph/GEPSNONPILOT/Tender/SplashBidNoticeAbstractUI.aspx?menuIndex=3&amp;refID=7181381&amp;Result=3","7181381")</f>
        <v>0</v>
      </c>
      <c r="B7307" t="s">
        <v>2328</v>
      </c>
      <c r="C7307" t="s">
        <v>10506</v>
      </c>
      <c r="D7307" t="s">
        <v>17202</v>
      </c>
      <c r="E7307" t="s">
        <v>23570</v>
      </c>
      <c r="F7307" t="s">
        <v>29372</v>
      </c>
      <c r="G7307" t="s">
        <v>29380</v>
      </c>
      <c r="H7307" t="s">
        <v>11048</v>
      </c>
      <c r="I7307" t="s">
        <v>29393</v>
      </c>
      <c r="J7307" t="s">
        <v>34247</v>
      </c>
      <c r="K7307" t="s">
        <v>38485</v>
      </c>
      <c r="M7307" t="s">
        <v>41260</v>
      </c>
      <c r="N7307" t="s">
        <v>42669</v>
      </c>
      <c r="O7307" t="s">
        <v>42670</v>
      </c>
      <c r="P7307">
        <v>0</v>
      </c>
      <c r="Q7307">
        <v>0</v>
      </c>
      <c r="R7307" t="s">
        <v>42678</v>
      </c>
      <c r="S7307" t="s">
        <v>42866</v>
      </c>
      <c r="T7307" t="s">
        <v>44745</v>
      </c>
      <c r="U7307" t="s">
        <v>50788</v>
      </c>
      <c r="W7307" t="s">
        <v>41260</v>
      </c>
      <c r="X7307" t="s">
        <v>42679</v>
      </c>
    </row>
    <row r="7308" spans="1:24">
      <c r="A7308">
        <f>HYPERLINK("https://www.philgeps.gov.ph/GEPSNONPILOT/Tender/SplashBidNoticeAbstractUI.aspx?menuIndex=3&amp;refID=7181271&amp;Result=3","7181271")</f>
        <v>0</v>
      </c>
      <c r="B7308" t="s">
        <v>1125</v>
      </c>
      <c r="C7308" t="s">
        <v>10507</v>
      </c>
      <c r="D7308" t="s">
        <v>17151</v>
      </c>
      <c r="E7308" t="s">
        <v>23571</v>
      </c>
      <c r="F7308" t="s">
        <v>29372</v>
      </c>
      <c r="G7308" t="s">
        <v>29380</v>
      </c>
      <c r="H7308" t="s">
        <v>29389</v>
      </c>
      <c r="I7308" t="s">
        <v>10408</v>
      </c>
      <c r="J7308" t="s">
        <v>34248</v>
      </c>
      <c r="K7308" t="s">
        <v>38564</v>
      </c>
      <c r="M7308" t="s">
        <v>39935</v>
      </c>
      <c r="N7308" t="s">
        <v>42669</v>
      </c>
      <c r="O7308" t="s">
        <v>42670</v>
      </c>
      <c r="P7308">
        <v>0</v>
      </c>
      <c r="Q7308">
        <v>4</v>
      </c>
      <c r="R7308" t="s">
        <v>42678</v>
      </c>
      <c r="S7308" t="s">
        <v>42866</v>
      </c>
      <c r="T7308" t="s">
        <v>44476</v>
      </c>
      <c r="U7308" t="s">
        <v>50789</v>
      </c>
      <c r="W7308" t="s">
        <v>39935</v>
      </c>
      <c r="X7308" t="s">
        <v>42679</v>
      </c>
    </row>
    <row r="7309" spans="1:24">
      <c r="A7309">
        <f>HYPERLINK("https://www.philgeps.gov.ph/GEPSNONPILOT/Tender/SplashBidNoticeAbstractUI.aspx?menuIndex=3&amp;refID=7181372&amp;Result=3","7181372")</f>
        <v>0</v>
      </c>
      <c r="B7309" t="s">
        <v>132</v>
      </c>
      <c r="C7309" t="s">
        <v>10508</v>
      </c>
      <c r="D7309" t="s">
        <v>17167</v>
      </c>
      <c r="E7309" t="s">
        <v>23572</v>
      </c>
      <c r="F7309" t="s">
        <v>29372</v>
      </c>
      <c r="G7309" t="s">
        <v>29380</v>
      </c>
      <c r="H7309" t="s">
        <v>29389</v>
      </c>
      <c r="I7309" t="s">
        <v>10408</v>
      </c>
      <c r="J7309" t="s">
        <v>34249</v>
      </c>
      <c r="K7309" t="s">
        <v>38577</v>
      </c>
      <c r="M7309" t="s">
        <v>38887</v>
      </c>
      <c r="N7309" t="s">
        <v>42669</v>
      </c>
      <c r="O7309" t="s">
        <v>42670</v>
      </c>
      <c r="P7309">
        <v>0</v>
      </c>
      <c r="Q7309">
        <v>1</v>
      </c>
      <c r="R7309" t="s">
        <v>42678</v>
      </c>
      <c r="S7309" t="s">
        <v>42866</v>
      </c>
      <c r="T7309" t="s">
        <v>44558</v>
      </c>
      <c r="U7309" t="s">
        <v>50790</v>
      </c>
      <c r="W7309" t="s">
        <v>58002</v>
      </c>
      <c r="X7309" t="s">
        <v>42679</v>
      </c>
    </row>
    <row r="7310" spans="1:24">
      <c r="A7310">
        <f>HYPERLINK("https://www.philgeps.gov.ph/GEPSNONPILOT/Tender/SplashBidNoticeAbstractUI.aspx?menuIndex=3&amp;refID=7181305&amp;Result=3","7181305")</f>
        <v>0</v>
      </c>
      <c r="B7310" t="s">
        <v>1583</v>
      </c>
      <c r="C7310" t="s">
        <v>10509</v>
      </c>
      <c r="D7310" t="s">
        <v>17201</v>
      </c>
      <c r="E7310" t="s">
        <v>23573</v>
      </c>
      <c r="F7310" t="s">
        <v>29372</v>
      </c>
      <c r="G7310" t="s">
        <v>29380</v>
      </c>
      <c r="H7310" t="s">
        <v>29389</v>
      </c>
      <c r="I7310" t="s">
        <v>10408</v>
      </c>
      <c r="J7310" t="s">
        <v>29590</v>
      </c>
      <c r="K7310" t="s">
        <v>38536</v>
      </c>
      <c r="L7310" t="s">
        <v>1583</v>
      </c>
      <c r="M7310" t="s">
        <v>40433</v>
      </c>
      <c r="N7310" t="s">
        <v>42669</v>
      </c>
      <c r="O7310" t="s">
        <v>42670</v>
      </c>
      <c r="P7310">
        <v>0</v>
      </c>
      <c r="Q7310">
        <v>0</v>
      </c>
      <c r="R7310" t="s">
        <v>42678</v>
      </c>
      <c r="S7310" t="s">
        <v>42866</v>
      </c>
      <c r="T7310" t="s">
        <v>44512</v>
      </c>
      <c r="U7310" t="s">
        <v>50791</v>
      </c>
      <c r="V7310" t="s">
        <v>57170</v>
      </c>
      <c r="W7310" t="s">
        <v>40433</v>
      </c>
      <c r="X7310" t="s">
        <v>42679</v>
      </c>
    </row>
    <row r="7311" spans="1:24">
      <c r="A7311">
        <f>HYPERLINK("https://www.philgeps.gov.ph/GEPSNONPILOT/Tender/SplashBidNoticeAbstractUI.aspx?menuIndex=3&amp;refID=7181355&amp;Result=3","7181355")</f>
        <v>0</v>
      </c>
      <c r="B7311" t="s">
        <v>2020</v>
      </c>
      <c r="C7311" t="s">
        <v>10510</v>
      </c>
      <c r="D7311" t="s">
        <v>17177</v>
      </c>
      <c r="E7311" t="s">
        <v>23574</v>
      </c>
      <c r="F7311" t="s">
        <v>29372</v>
      </c>
      <c r="G7311" t="s">
        <v>29380</v>
      </c>
      <c r="H7311" t="s">
        <v>29389</v>
      </c>
      <c r="I7311" t="s">
        <v>10408</v>
      </c>
      <c r="J7311" t="s">
        <v>34250</v>
      </c>
      <c r="K7311" t="s">
        <v>38577</v>
      </c>
      <c r="M7311" t="s">
        <v>41241</v>
      </c>
      <c r="N7311" t="s">
        <v>42669</v>
      </c>
      <c r="O7311" t="s">
        <v>42670</v>
      </c>
      <c r="P7311">
        <v>0</v>
      </c>
      <c r="Q7311">
        <v>0</v>
      </c>
      <c r="R7311" t="s">
        <v>42678</v>
      </c>
      <c r="S7311" t="s">
        <v>42866</v>
      </c>
      <c r="T7311" t="s">
        <v>44475</v>
      </c>
      <c r="U7311" t="s">
        <v>50771</v>
      </c>
      <c r="V7311" t="s">
        <v>57146</v>
      </c>
      <c r="W7311" t="s">
        <v>41241</v>
      </c>
      <c r="X7311" t="s">
        <v>42679</v>
      </c>
    </row>
    <row r="7312" spans="1:24">
      <c r="A7312">
        <f>HYPERLINK("https://www.philgeps.gov.ph/GEPSNONPILOT/Tender/SplashBidNoticeAbstractUI.aspx?menuIndex=3&amp;refID=7181387&amp;Result=3","7181387")</f>
        <v>0</v>
      </c>
      <c r="B7312" t="s">
        <v>1813</v>
      </c>
      <c r="C7312" t="s">
        <v>10511</v>
      </c>
      <c r="D7312" t="s">
        <v>17180</v>
      </c>
      <c r="E7312" t="s">
        <v>23575</v>
      </c>
      <c r="F7312" t="s">
        <v>29372</v>
      </c>
      <c r="G7312" t="s">
        <v>29380</v>
      </c>
      <c r="H7312" t="s">
        <v>29389</v>
      </c>
      <c r="I7312" t="s">
        <v>10408</v>
      </c>
      <c r="J7312" t="s">
        <v>34251</v>
      </c>
      <c r="K7312" t="s">
        <v>38490</v>
      </c>
      <c r="M7312" t="s">
        <v>40684</v>
      </c>
      <c r="N7312" t="s">
        <v>42669</v>
      </c>
      <c r="O7312" t="s">
        <v>42670</v>
      </c>
      <c r="P7312">
        <v>0</v>
      </c>
      <c r="Q7312">
        <v>8</v>
      </c>
      <c r="R7312" t="s">
        <v>42678</v>
      </c>
      <c r="S7312" t="s">
        <v>42866</v>
      </c>
      <c r="T7312" t="s">
        <v>44512</v>
      </c>
      <c r="U7312" t="s">
        <v>50792</v>
      </c>
      <c r="V7312" t="s">
        <v>57171</v>
      </c>
      <c r="W7312" t="s">
        <v>40684</v>
      </c>
      <c r="X7312" t="s">
        <v>42679</v>
      </c>
    </row>
    <row r="7313" spans="1:24">
      <c r="A7313">
        <f>HYPERLINK("https://www.philgeps.gov.ph/GEPSNONPILOT/Tender/SplashBidNoticeAbstractUI.aspx?menuIndex=3&amp;refID=7181345&amp;Result=3","7181345")</f>
        <v>0</v>
      </c>
      <c r="B7313" t="s">
        <v>2217</v>
      </c>
      <c r="C7313" t="s">
        <v>10512</v>
      </c>
      <c r="D7313" t="s">
        <v>17168</v>
      </c>
      <c r="E7313" t="s">
        <v>23576</v>
      </c>
      <c r="F7313" t="s">
        <v>29372</v>
      </c>
      <c r="G7313" t="s">
        <v>29379</v>
      </c>
      <c r="H7313" t="s">
        <v>11048</v>
      </c>
      <c r="I7313" t="s">
        <v>29415</v>
      </c>
      <c r="J7313" t="s">
        <v>31317</v>
      </c>
      <c r="K7313" t="s">
        <v>38488</v>
      </c>
      <c r="M7313" t="s">
        <v>41134</v>
      </c>
      <c r="N7313" t="s">
        <v>42669</v>
      </c>
      <c r="O7313" t="s">
        <v>42670</v>
      </c>
      <c r="P7313">
        <v>0</v>
      </c>
      <c r="Q7313">
        <v>1</v>
      </c>
      <c r="R7313" t="s">
        <v>42678</v>
      </c>
      <c r="S7313" t="s">
        <v>42866</v>
      </c>
      <c r="T7313" t="s">
        <v>44441</v>
      </c>
      <c r="U7313" t="s">
        <v>50793</v>
      </c>
      <c r="W7313" t="s">
        <v>41134</v>
      </c>
      <c r="X7313" t="s">
        <v>42679</v>
      </c>
    </row>
    <row r="7314" spans="1:24">
      <c r="A7314">
        <f>HYPERLINK("https://www.philgeps.gov.ph/GEPSNONPILOT/Tender/SplashBidNoticeAbstractUI.aspx?menuIndex=3&amp;refID=7181340&amp;Result=3","7181340")</f>
        <v>0</v>
      </c>
      <c r="B7314" t="s">
        <v>2342</v>
      </c>
      <c r="C7314" t="s">
        <v>10513</v>
      </c>
      <c r="D7314" t="s">
        <v>17189</v>
      </c>
      <c r="E7314" t="s">
        <v>21160</v>
      </c>
      <c r="F7314" t="s">
        <v>29372</v>
      </c>
      <c r="G7314" t="s">
        <v>29380</v>
      </c>
      <c r="H7314" t="s">
        <v>11048</v>
      </c>
      <c r="I7314" t="s">
        <v>3952</v>
      </c>
      <c r="J7314" t="s">
        <v>34187</v>
      </c>
      <c r="K7314" t="s">
        <v>38510</v>
      </c>
      <c r="M7314" t="s">
        <v>41275</v>
      </c>
      <c r="N7314" t="s">
        <v>42669</v>
      </c>
      <c r="O7314" t="s">
        <v>42670</v>
      </c>
      <c r="Q7314">
        <v>7</v>
      </c>
      <c r="R7314" t="s">
        <v>42678</v>
      </c>
      <c r="S7314" t="s">
        <v>42889</v>
      </c>
      <c r="T7314" t="s">
        <v>44504</v>
      </c>
      <c r="U7314" t="s">
        <v>50794</v>
      </c>
      <c r="V7314" t="s">
        <v>57172</v>
      </c>
      <c r="W7314" t="s">
        <v>41275</v>
      </c>
      <c r="X7314" t="s">
        <v>42679</v>
      </c>
    </row>
    <row r="7315" spans="1:24">
      <c r="A7315">
        <f>HYPERLINK("https://www.philgeps.gov.ph/GEPSNONPILOT/Tender/SplashBidNoticeAbstractUI.aspx?menuIndex=3&amp;refID=7180462&amp;Result=3","7180462")</f>
        <v>0</v>
      </c>
      <c r="B7315" t="s">
        <v>1191</v>
      </c>
      <c r="C7315" t="s">
        <v>10514</v>
      </c>
      <c r="D7315" t="s">
        <v>17148</v>
      </c>
      <c r="E7315" t="s">
        <v>23577</v>
      </c>
      <c r="F7315" t="s">
        <v>29372</v>
      </c>
      <c r="G7315" t="s">
        <v>29380</v>
      </c>
      <c r="H7315" t="s">
        <v>11048</v>
      </c>
      <c r="I7315" t="s">
        <v>9469</v>
      </c>
      <c r="J7315" t="s">
        <v>29724</v>
      </c>
      <c r="K7315" t="s">
        <v>38487</v>
      </c>
      <c r="M7315" t="s">
        <v>40007</v>
      </c>
      <c r="N7315" t="s">
        <v>42669</v>
      </c>
      <c r="O7315" t="s">
        <v>42670</v>
      </c>
      <c r="P7315">
        <v>0</v>
      </c>
      <c r="Q7315">
        <v>4</v>
      </c>
      <c r="R7315" t="s">
        <v>42678</v>
      </c>
      <c r="S7315" t="s">
        <v>42866</v>
      </c>
      <c r="T7315" t="s">
        <v>44507</v>
      </c>
      <c r="U7315" t="s">
        <v>50795</v>
      </c>
      <c r="V7315" t="s">
        <v>56381</v>
      </c>
      <c r="W7315" t="s">
        <v>40007</v>
      </c>
      <c r="X7315" t="s">
        <v>42680</v>
      </c>
    </row>
    <row r="7316" spans="1:24">
      <c r="A7316">
        <f>HYPERLINK("https://www.philgeps.gov.ph/GEPSNONPILOT/Tender/SplashBidNoticeAbstractUI.aspx?menuIndex=3&amp;refID=7181356&amp;Result=3","7181356")</f>
        <v>0</v>
      </c>
      <c r="B7316" t="s">
        <v>2329</v>
      </c>
      <c r="C7316" t="s">
        <v>10515</v>
      </c>
      <c r="E7316" t="s">
        <v>23578</v>
      </c>
      <c r="F7316" t="s">
        <v>29372</v>
      </c>
      <c r="G7316" t="s">
        <v>29380</v>
      </c>
      <c r="H7316" t="s">
        <v>11048</v>
      </c>
      <c r="I7316" t="s">
        <v>9469</v>
      </c>
      <c r="J7316" t="s">
        <v>30787</v>
      </c>
      <c r="K7316" t="s">
        <v>38490</v>
      </c>
      <c r="M7316" t="s">
        <v>41300</v>
      </c>
      <c r="N7316" t="s">
        <v>42669</v>
      </c>
      <c r="O7316" t="s">
        <v>42670</v>
      </c>
      <c r="P7316">
        <v>0</v>
      </c>
      <c r="Q7316">
        <v>3</v>
      </c>
      <c r="R7316" t="s">
        <v>42678</v>
      </c>
      <c r="S7316" t="s">
        <v>42866</v>
      </c>
      <c r="T7316" t="s">
        <v>44375</v>
      </c>
      <c r="U7316" t="s">
        <v>50796</v>
      </c>
      <c r="W7316" t="s">
        <v>41300</v>
      </c>
      <c r="X7316" t="s">
        <v>42679</v>
      </c>
    </row>
    <row r="7317" spans="1:24">
      <c r="A7317">
        <f>HYPERLINK("https://www.philgeps.gov.ph/GEPSNONPILOT/Tender/SplashBidNoticeAbstractUI.aspx?menuIndex=3&amp;refID=7181335&amp;Result=3","7181335")</f>
        <v>0</v>
      </c>
      <c r="B7317" t="s">
        <v>2020</v>
      </c>
      <c r="C7317" t="s">
        <v>10516</v>
      </c>
      <c r="D7317" t="s">
        <v>17177</v>
      </c>
      <c r="E7317" t="s">
        <v>23579</v>
      </c>
      <c r="F7317" t="s">
        <v>29372</v>
      </c>
      <c r="G7317" t="s">
        <v>29380</v>
      </c>
      <c r="H7317" t="s">
        <v>29389</v>
      </c>
      <c r="I7317" t="s">
        <v>10408</v>
      </c>
      <c r="J7317" t="s">
        <v>34252</v>
      </c>
      <c r="K7317" t="s">
        <v>38496</v>
      </c>
      <c r="M7317" t="s">
        <v>41241</v>
      </c>
      <c r="N7317" t="s">
        <v>42669</v>
      </c>
      <c r="O7317" t="s">
        <v>42670</v>
      </c>
      <c r="P7317">
        <v>0</v>
      </c>
      <c r="Q7317">
        <v>0</v>
      </c>
      <c r="R7317" t="s">
        <v>42678</v>
      </c>
      <c r="S7317" t="s">
        <v>42866</v>
      </c>
      <c r="T7317" t="s">
        <v>44475</v>
      </c>
      <c r="U7317" t="s">
        <v>50771</v>
      </c>
      <c r="V7317" t="s">
        <v>57146</v>
      </c>
      <c r="W7317" t="s">
        <v>41241</v>
      </c>
      <c r="X7317" t="s">
        <v>42679</v>
      </c>
    </row>
    <row r="7318" spans="1:24">
      <c r="A7318">
        <f>HYPERLINK("https://www.philgeps.gov.ph/GEPSNONPILOT/Tender/SplashBidNoticeAbstractUI.aspx?menuIndex=3&amp;refID=7181342&amp;Result=3","7181342")</f>
        <v>0</v>
      </c>
      <c r="B7318" t="s">
        <v>787</v>
      </c>
      <c r="C7318" t="s">
        <v>10517</v>
      </c>
      <c r="D7318" t="s">
        <v>17166</v>
      </c>
      <c r="E7318" t="s">
        <v>23580</v>
      </c>
      <c r="F7318" t="s">
        <v>29372</v>
      </c>
      <c r="G7318" t="s">
        <v>29380</v>
      </c>
      <c r="H7318" t="s">
        <v>11048</v>
      </c>
      <c r="I7318" t="s">
        <v>9469</v>
      </c>
      <c r="J7318" t="s">
        <v>29715</v>
      </c>
      <c r="K7318" t="s">
        <v>38488</v>
      </c>
      <c r="M7318" t="s">
        <v>41301</v>
      </c>
      <c r="N7318" t="s">
        <v>42669</v>
      </c>
      <c r="O7318" t="s">
        <v>42670</v>
      </c>
      <c r="P7318">
        <v>0</v>
      </c>
      <c r="Q7318">
        <v>2</v>
      </c>
      <c r="R7318" t="s">
        <v>42678</v>
      </c>
      <c r="S7318" t="s">
        <v>42866</v>
      </c>
      <c r="T7318" t="s">
        <v>44488</v>
      </c>
      <c r="U7318" t="s">
        <v>50797</v>
      </c>
      <c r="W7318" t="s">
        <v>41301</v>
      </c>
      <c r="X7318" t="s">
        <v>42679</v>
      </c>
    </row>
    <row r="7319" spans="1:24">
      <c r="A7319">
        <f>HYPERLINK("https://www.philgeps.gov.ph/GEPSNONPILOT/Tender/SplashBidNoticeAbstractUI.aspx?menuIndex=3&amp;refID=7181200&amp;Result=3","7181200")</f>
        <v>0</v>
      </c>
      <c r="B7319" t="s">
        <v>2364</v>
      </c>
      <c r="C7319" t="s">
        <v>10518</v>
      </c>
      <c r="D7319" t="s">
        <v>17141</v>
      </c>
      <c r="E7319" t="s">
        <v>23581</v>
      </c>
      <c r="F7319" t="s">
        <v>29372</v>
      </c>
      <c r="G7319" t="s">
        <v>29380</v>
      </c>
      <c r="H7319" t="s">
        <v>11048</v>
      </c>
      <c r="I7319" t="s">
        <v>9642</v>
      </c>
      <c r="J7319" t="s">
        <v>31317</v>
      </c>
      <c r="K7319" t="s">
        <v>38485</v>
      </c>
      <c r="M7319" t="s">
        <v>41302</v>
      </c>
      <c r="N7319" t="s">
        <v>42669</v>
      </c>
      <c r="O7319" t="s">
        <v>42670</v>
      </c>
      <c r="P7319">
        <v>0</v>
      </c>
      <c r="Q7319">
        <v>10</v>
      </c>
      <c r="R7319" t="s">
        <v>42678</v>
      </c>
      <c r="S7319" t="s">
        <v>42866</v>
      </c>
      <c r="T7319" t="s">
        <v>44565</v>
      </c>
      <c r="U7319" t="s">
        <v>50798</v>
      </c>
      <c r="W7319" t="s">
        <v>41302</v>
      </c>
      <c r="X7319" t="s">
        <v>42679</v>
      </c>
    </row>
    <row r="7320" spans="1:24">
      <c r="A7320">
        <f>HYPERLINK("https://www.philgeps.gov.ph/GEPSNONPILOT/Tender/SplashBidNoticeAbstractUI.aspx?menuIndex=3&amp;refID=7181377&amp;Result=3","7181377")</f>
        <v>0</v>
      </c>
      <c r="B7320" t="s">
        <v>1015</v>
      </c>
      <c r="C7320" t="s">
        <v>10519</v>
      </c>
      <c r="D7320" t="s">
        <v>17177</v>
      </c>
      <c r="E7320" t="s">
        <v>23582</v>
      </c>
      <c r="F7320" t="s">
        <v>29372</v>
      </c>
      <c r="G7320" t="s">
        <v>29380</v>
      </c>
      <c r="H7320" t="s">
        <v>11048</v>
      </c>
      <c r="I7320" t="s">
        <v>9469</v>
      </c>
      <c r="J7320" t="s">
        <v>30787</v>
      </c>
      <c r="K7320" t="s">
        <v>38495</v>
      </c>
      <c r="M7320" t="s">
        <v>39815</v>
      </c>
      <c r="N7320" t="s">
        <v>42669</v>
      </c>
      <c r="O7320" t="s">
        <v>42670</v>
      </c>
      <c r="P7320">
        <v>0</v>
      </c>
      <c r="Q7320">
        <v>2</v>
      </c>
      <c r="R7320" t="s">
        <v>42678</v>
      </c>
      <c r="S7320" t="s">
        <v>42866</v>
      </c>
      <c r="T7320" t="s">
        <v>44446</v>
      </c>
      <c r="U7320" t="s">
        <v>50799</v>
      </c>
      <c r="W7320" t="s">
        <v>39815</v>
      </c>
      <c r="X7320" t="s">
        <v>42679</v>
      </c>
    </row>
    <row r="7321" spans="1:24">
      <c r="A7321">
        <f>HYPERLINK("https://www.philgeps.gov.ph/GEPSNONPILOT/Tender/SplashBidNoticeAbstractUI.aspx?menuIndex=3&amp;refID=7181336&amp;Result=3","7181336")</f>
        <v>0</v>
      </c>
      <c r="B7321" t="s">
        <v>680</v>
      </c>
      <c r="C7321" t="s">
        <v>10520</v>
      </c>
      <c r="D7321" t="s">
        <v>17196</v>
      </c>
      <c r="E7321" t="s">
        <v>23583</v>
      </c>
      <c r="F7321" t="s">
        <v>29372</v>
      </c>
      <c r="G7321" t="s">
        <v>29380</v>
      </c>
      <c r="H7321" t="s">
        <v>29389</v>
      </c>
      <c r="I7321" t="s">
        <v>10408</v>
      </c>
      <c r="J7321" t="s">
        <v>34253</v>
      </c>
      <c r="K7321" t="s">
        <v>38564</v>
      </c>
      <c r="M7321" t="s">
        <v>41303</v>
      </c>
      <c r="N7321" t="s">
        <v>42669</v>
      </c>
      <c r="O7321" t="s">
        <v>42670</v>
      </c>
      <c r="P7321">
        <v>0</v>
      </c>
      <c r="Q7321">
        <v>5</v>
      </c>
      <c r="R7321" t="s">
        <v>42678</v>
      </c>
      <c r="S7321" t="s">
        <v>42866</v>
      </c>
      <c r="T7321" t="s">
        <v>44613</v>
      </c>
      <c r="U7321" t="s">
        <v>50800</v>
      </c>
      <c r="W7321" t="s">
        <v>58059</v>
      </c>
      <c r="X7321" t="s">
        <v>42679</v>
      </c>
    </row>
    <row r="7322" spans="1:24">
      <c r="A7322">
        <f>HYPERLINK("https://www.philgeps.gov.ph/GEPSNONPILOT/Tender/SplashBidNoticeAbstractUI.aspx?menuIndex=3&amp;refID=7181323&amp;Result=3","7181323")</f>
        <v>0</v>
      </c>
      <c r="B7322" t="s">
        <v>1125</v>
      </c>
      <c r="C7322" t="s">
        <v>6354</v>
      </c>
      <c r="D7322" t="s">
        <v>17151</v>
      </c>
      <c r="E7322" t="s">
        <v>23584</v>
      </c>
      <c r="F7322" t="s">
        <v>29372</v>
      </c>
      <c r="G7322" t="s">
        <v>29380</v>
      </c>
      <c r="H7322" t="s">
        <v>11048</v>
      </c>
      <c r="I7322" t="s">
        <v>29393</v>
      </c>
      <c r="J7322" t="s">
        <v>34254</v>
      </c>
      <c r="K7322" t="s">
        <v>38491</v>
      </c>
      <c r="M7322" t="s">
        <v>39935</v>
      </c>
      <c r="N7322" t="s">
        <v>42669</v>
      </c>
      <c r="O7322" t="s">
        <v>42670</v>
      </c>
      <c r="P7322">
        <v>0</v>
      </c>
      <c r="Q7322">
        <v>0</v>
      </c>
      <c r="R7322" t="s">
        <v>42678</v>
      </c>
      <c r="S7322" t="s">
        <v>42866</v>
      </c>
      <c r="T7322" t="s">
        <v>44587</v>
      </c>
      <c r="U7322" t="s">
        <v>47278</v>
      </c>
      <c r="V7322" t="s">
        <v>57173</v>
      </c>
      <c r="W7322" t="s">
        <v>39935</v>
      </c>
      <c r="X7322" t="s">
        <v>42679</v>
      </c>
    </row>
    <row r="7323" spans="1:24">
      <c r="A7323">
        <f>HYPERLINK("https://www.philgeps.gov.ph/GEPSNONPILOT/Tender/SplashBidNoticeAbstractUI.aspx?menuIndex=3&amp;refID=7181331&amp;Result=3","7181331")</f>
        <v>0</v>
      </c>
      <c r="B7323" t="s">
        <v>771</v>
      </c>
      <c r="C7323" t="s">
        <v>10521</v>
      </c>
      <c r="D7323" t="s">
        <v>17141</v>
      </c>
      <c r="E7323" t="s">
        <v>23585</v>
      </c>
      <c r="F7323" t="s">
        <v>29372</v>
      </c>
      <c r="G7323" t="s">
        <v>29379</v>
      </c>
      <c r="H7323" t="s">
        <v>11048</v>
      </c>
      <c r="I7323" t="s">
        <v>29396</v>
      </c>
      <c r="J7323" t="s">
        <v>29526</v>
      </c>
      <c r="K7323" t="s">
        <v>38488</v>
      </c>
      <c r="M7323" t="s">
        <v>39555</v>
      </c>
      <c r="N7323" t="s">
        <v>42669</v>
      </c>
      <c r="O7323" t="s">
        <v>42670</v>
      </c>
      <c r="P7323">
        <v>0</v>
      </c>
      <c r="Q7323">
        <v>2</v>
      </c>
      <c r="R7323" t="s">
        <v>42678</v>
      </c>
      <c r="S7323" t="s">
        <v>42866</v>
      </c>
      <c r="T7323" t="s">
        <v>44382</v>
      </c>
      <c r="U7323" t="s">
        <v>46440</v>
      </c>
      <c r="W7323" t="s">
        <v>39555</v>
      </c>
      <c r="X7323" t="s">
        <v>42679</v>
      </c>
    </row>
    <row r="7324" spans="1:24">
      <c r="A7324">
        <f>HYPERLINK("https://www.philgeps.gov.ph/GEPSNONPILOT/Tender/SplashBidNoticeAbstractUI.aspx?menuIndex=3&amp;refID=7181255&amp;Result=3","7181255")</f>
        <v>0</v>
      </c>
      <c r="B7324" t="s">
        <v>2350</v>
      </c>
      <c r="C7324" t="s">
        <v>10522</v>
      </c>
      <c r="D7324" t="s">
        <v>17149</v>
      </c>
      <c r="E7324" t="s">
        <v>23586</v>
      </c>
      <c r="F7324" t="s">
        <v>29372</v>
      </c>
      <c r="G7324" t="s">
        <v>29381</v>
      </c>
      <c r="H7324" t="s">
        <v>11048</v>
      </c>
      <c r="I7324" t="s">
        <v>29401</v>
      </c>
      <c r="J7324" t="s">
        <v>34255</v>
      </c>
      <c r="K7324" t="s">
        <v>38488</v>
      </c>
      <c r="M7324" t="s">
        <v>41283</v>
      </c>
      <c r="N7324" t="s">
        <v>42669</v>
      </c>
      <c r="O7324" t="s">
        <v>42670</v>
      </c>
      <c r="P7324">
        <v>0</v>
      </c>
      <c r="Q7324">
        <v>0</v>
      </c>
      <c r="R7324" t="s">
        <v>42678</v>
      </c>
      <c r="S7324" t="s">
        <v>42866</v>
      </c>
      <c r="T7324" t="s">
        <v>44491</v>
      </c>
      <c r="U7324" t="s">
        <v>50801</v>
      </c>
      <c r="W7324" t="s">
        <v>41283</v>
      </c>
      <c r="X7324" t="s">
        <v>42679</v>
      </c>
    </row>
    <row r="7325" spans="1:24">
      <c r="A7325">
        <f>HYPERLINK("https://www.philgeps.gov.ph/GEPSNONPILOT/Tender/SplashBidNoticeAbstractUI.aspx?menuIndex=3&amp;refID=7181330&amp;Result=3","7181330")</f>
        <v>0</v>
      </c>
      <c r="B7325" t="s">
        <v>382</v>
      </c>
      <c r="C7325" t="s">
        <v>10523</v>
      </c>
      <c r="D7325" t="s">
        <v>17192</v>
      </c>
      <c r="E7325" t="s">
        <v>23587</v>
      </c>
      <c r="F7325" t="s">
        <v>29372</v>
      </c>
      <c r="G7325" t="s">
        <v>29380</v>
      </c>
      <c r="H7325" t="s">
        <v>29389</v>
      </c>
      <c r="I7325" t="s">
        <v>10408</v>
      </c>
      <c r="J7325" t="s">
        <v>29777</v>
      </c>
      <c r="K7325" t="s">
        <v>38490</v>
      </c>
      <c r="M7325" t="s">
        <v>41304</v>
      </c>
      <c r="N7325" t="s">
        <v>42669</v>
      </c>
      <c r="O7325" t="s">
        <v>42670</v>
      </c>
      <c r="P7325">
        <v>0</v>
      </c>
      <c r="Q7325">
        <v>2</v>
      </c>
      <c r="R7325" t="s">
        <v>42678</v>
      </c>
      <c r="S7325" t="s">
        <v>42866</v>
      </c>
      <c r="T7325" t="s">
        <v>44368</v>
      </c>
      <c r="U7325" t="s">
        <v>50802</v>
      </c>
      <c r="W7325" t="s">
        <v>41304</v>
      </c>
      <c r="X7325" t="s">
        <v>42679</v>
      </c>
    </row>
    <row r="7326" spans="1:24">
      <c r="A7326">
        <f>HYPERLINK("https://www.philgeps.gov.ph/GEPSNONPILOT/Tender/SplashBidNoticeAbstractUI.aspx?menuIndex=3&amp;refID=7181379&amp;Result=3","7181379")</f>
        <v>0</v>
      </c>
      <c r="B7326" t="s">
        <v>1583</v>
      </c>
      <c r="C7326" t="s">
        <v>10524</v>
      </c>
      <c r="D7326" t="s">
        <v>17201</v>
      </c>
      <c r="E7326" t="s">
        <v>21073</v>
      </c>
      <c r="F7326" t="s">
        <v>29372</v>
      </c>
      <c r="G7326" t="s">
        <v>29380</v>
      </c>
      <c r="H7326" t="s">
        <v>29389</v>
      </c>
      <c r="I7326" t="s">
        <v>10408</v>
      </c>
      <c r="J7326" t="s">
        <v>29590</v>
      </c>
      <c r="K7326" t="s">
        <v>38536</v>
      </c>
      <c r="L7326" t="s">
        <v>1583</v>
      </c>
      <c r="M7326" t="s">
        <v>40433</v>
      </c>
      <c r="N7326" t="s">
        <v>42669</v>
      </c>
      <c r="O7326" t="s">
        <v>42670</v>
      </c>
      <c r="P7326">
        <v>0</v>
      </c>
      <c r="Q7326">
        <v>0</v>
      </c>
      <c r="R7326" t="s">
        <v>42678</v>
      </c>
      <c r="S7326" t="s">
        <v>42866</v>
      </c>
      <c r="T7326" t="s">
        <v>44512</v>
      </c>
      <c r="U7326" t="s">
        <v>50803</v>
      </c>
      <c r="V7326" t="s">
        <v>56824</v>
      </c>
      <c r="W7326" t="s">
        <v>40433</v>
      </c>
      <c r="X7326" t="s">
        <v>42679</v>
      </c>
    </row>
    <row r="7327" spans="1:24">
      <c r="A7327">
        <f>HYPERLINK("https://www.philgeps.gov.ph/GEPSNONPILOT/Tender/SplashBidNoticeAbstractUI.aspx?menuIndex=3&amp;refID=7179995&amp;Result=3","7179995")</f>
        <v>0</v>
      </c>
      <c r="B7327" t="s">
        <v>2307</v>
      </c>
      <c r="C7327" t="s">
        <v>10525</v>
      </c>
      <c r="D7327" t="s">
        <v>17151</v>
      </c>
      <c r="E7327" t="s">
        <v>23588</v>
      </c>
      <c r="F7327" t="s">
        <v>29372</v>
      </c>
      <c r="G7327" t="s">
        <v>29380</v>
      </c>
      <c r="H7327" t="s">
        <v>11048</v>
      </c>
      <c r="I7327" t="s">
        <v>29405</v>
      </c>
      <c r="J7327" t="s">
        <v>34256</v>
      </c>
      <c r="K7327" t="s">
        <v>38488</v>
      </c>
      <c r="M7327" t="s">
        <v>41236</v>
      </c>
      <c r="N7327" t="s">
        <v>42669</v>
      </c>
      <c r="O7327" t="s">
        <v>42670</v>
      </c>
      <c r="P7327">
        <v>0</v>
      </c>
      <c r="Q7327">
        <v>8</v>
      </c>
      <c r="R7327" t="s">
        <v>42678</v>
      </c>
      <c r="S7327" t="s">
        <v>42866</v>
      </c>
      <c r="T7327" t="s">
        <v>44368</v>
      </c>
      <c r="U7327" t="s">
        <v>50804</v>
      </c>
      <c r="V7327" t="s">
        <v>57151</v>
      </c>
      <c r="W7327" t="s">
        <v>41236</v>
      </c>
      <c r="X7327" t="s">
        <v>42682</v>
      </c>
    </row>
    <row r="7328" spans="1:24">
      <c r="A7328">
        <f>HYPERLINK("https://www.philgeps.gov.ph/GEPSNONPILOT/Tender/SplashBidNoticeAbstractUI.aspx?menuIndex=3&amp;refID=7179970&amp;Result=3","7179970")</f>
        <v>0</v>
      </c>
      <c r="B7328" t="s">
        <v>2307</v>
      </c>
      <c r="C7328" t="s">
        <v>10526</v>
      </c>
      <c r="D7328" t="s">
        <v>17151</v>
      </c>
      <c r="E7328" t="s">
        <v>23589</v>
      </c>
      <c r="F7328" t="s">
        <v>29372</v>
      </c>
      <c r="G7328" t="s">
        <v>29380</v>
      </c>
      <c r="H7328" t="s">
        <v>11048</v>
      </c>
      <c r="I7328" t="s">
        <v>9469</v>
      </c>
      <c r="J7328" t="s">
        <v>30752</v>
      </c>
      <c r="K7328" t="s">
        <v>38488</v>
      </c>
      <c r="M7328" t="s">
        <v>41236</v>
      </c>
      <c r="N7328" t="s">
        <v>42669</v>
      </c>
      <c r="O7328" t="s">
        <v>42670</v>
      </c>
      <c r="P7328">
        <v>0</v>
      </c>
      <c r="Q7328">
        <v>0</v>
      </c>
      <c r="R7328" t="s">
        <v>42678</v>
      </c>
      <c r="S7328" t="s">
        <v>42866</v>
      </c>
      <c r="T7328" t="s">
        <v>44368</v>
      </c>
      <c r="U7328" t="s">
        <v>50805</v>
      </c>
      <c r="V7328" t="s">
        <v>57174</v>
      </c>
      <c r="W7328" t="s">
        <v>41236</v>
      </c>
      <c r="X7328" t="s">
        <v>42682</v>
      </c>
    </row>
    <row r="7329" spans="1:24">
      <c r="A7329">
        <f>HYPERLINK("https://www.philgeps.gov.ph/GEPSNONPILOT/Tender/SplashBidNoticeAbstractUI.aspx?menuIndex=3&amp;refID=7179953&amp;Result=3","7179953")</f>
        <v>0</v>
      </c>
      <c r="B7329" t="s">
        <v>2307</v>
      </c>
      <c r="C7329" t="s">
        <v>10527</v>
      </c>
      <c r="D7329" t="s">
        <v>17151</v>
      </c>
      <c r="E7329" t="s">
        <v>23224</v>
      </c>
      <c r="F7329" t="s">
        <v>29372</v>
      </c>
      <c r="G7329" t="s">
        <v>29380</v>
      </c>
      <c r="H7329" t="s">
        <v>11048</v>
      </c>
      <c r="I7329" t="s">
        <v>5383</v>
      </c>
      <c r="J7329" t="s">
        <v>34257</v>
      </c>
      <c r="K7329" t="s">
        <v>38488</v>
      </c>
      <c r="M7329" t="s">
        <v>41236</v>
      </c>
      <c r="N7329" t="s">
        <v>42669</v>
      </c>
      <c r="O7329" t="s">
        <v>42670</v>
      </c>
      <c r="P7329">
        <v>0</v>
      </c>
      <c r="Q7329">
        <v>4</v>
      </c>
      <c r="R7329" t="s">
        <v>42678</v>
      </c>
      <c r="S7329" t="s">
        <v>42866</v>
      </c>
      <c r="T7329" t="s">
        <v>44368</v>
      </c>
      <c r="U7329" t="s">
        <v>50806</v>
      </c>
      <c r="V7329" t="s">
        <v>57175</v>
      </c>
      <c r="W7329" t="s">
        <v>41236</v>
      </c>
      <c r="X7329" t="s">
        <v>42682</v>
      </c>
    </row>
    <row r="7330" spans="1:24">
      <c r="A7330">
        <f>HYPERLINK("https://www.philgeps.gov.ph/GEPSNONPILOT/Tender/SplashBidNoticeAbstractUI.aspx?menuIndex=3&amp;refID=7179909&amp;Result=3","7179909")</f>
        <v>0</v>
      </c>
      <c r="B7330" t="s">
        <v>2307</v>
      </c>
      <c r="C7330" t="s">
        <v>10528</v>
      </c>
      <c r="D7330" t="s">
        <v>17151</v>
      </c>
      <c r="E7330" t="s">
        <v>23590</v>
      </c>
      <c r="F7330" t="s">
        <v>29372</v>
      </c>
      <c r="G7330" t="s">
        <v>29380</v>
      </c>
      <c r="H7330" t="s">
        <v>11048</v>
      </c>
      <c r="I7330" t="s">
        <v>4709</v>
      </c>
      <c r="J7330" t="s">
        <v>34258</v>
      </c>
      <c r="K7330" t="s">
        <v>38488</v>
      </c>
      <c r="M7330" t="s">
        <v>41236</v>
      </c>
      <c r="N7330" t="s">
        <v>42669</v>
      </c>
      <c r="O7330" t="s">
        <v>42670</v>
      </c>
      <c r="P7330">
        <v>0</v>
      </c>
      <c r="Q7330">
        <v>1</v>
      </c>
      <c r="R7330" t="s">
        <v>42678</v>
      </c>
      <c r="S7330" t="s">
        <v>42866</v>
      </c>
      <c r="T7330" t="s">
        <v>44368</v>
      </c>
      <c r="U7330" t="s">
        <v>50807</v>
      </c>
      <c r="V7330" t="s">
        <v>57175</v>
      </c>
      <c r="W7330" t="s">
        <v>41236</v>
      </c>
      <c r="X7330" t="s">
        <v>42682</v>
      </c>
    </row>
    <row r="7331" spans="1:24">
      <c r="A7331">
        <f>HYPERLINK("https://www.philgeps.gov.ph/GEPSNONPILOT/Tender/SplashBidNoticeAbstractUI.aspx?menuIndex=3&amp;refID=7179885&amp;Result=3","7179885")</f>
        <v>0</v>
      </c>
      <c r="B7331" t="s">
        <v>2307</v>
      </c>
      <c r="C7331" t="s">
        <v>10529</v>
      </c>
      <c r="D7331" t="s">
        <v>17151</v>
      </c>
      <c r="E7331" t="s">
        <v>23591</v>
      </c>
      <c r="F7331" t="s">
        <v>29372</v>
      </c>
      <c r="G7331" t="s">
        <v>29380</v>
      </c>
      <c r="H7331" t="s">
        <v>11048</v>
      </c>
      <c r="I7331" t="s">
        <v>3695</v>
      </c>
      <c r="J7331" t="s">
        <v>31169</v>
      </c>
      <c r="K7331" t="s">
        <v>38488</v>
      </c>
      <c r="M7331" t="s">
        <v>41236</v>
      </c>
      <c r="N7331" t="s">
        <v>42669</v>
      </c>
      <c r="O7331" t="s">
        <v>42670</v>
      </c>
      <c r="P7331">
        <v>0</v>
      </c>
      <c r="Q7331">
        <v>1</v>
      </c>
      <c r="R7331" t="s">
        <v>42678</v>
      </c>
      <c r="S7331" t="s">
        <v>42866</v>
      </c>
      <c r="T7331" t="s">
        <v>44368</v>
      </c>
      <c r="U7331" t="s">
        <v>50808</v>
      </c>
      <c r="V7331" t="s">
        <v>57175</v>
      </c>
      <c r="W7331" t="s">
        <v>41236</v>
      </c>
      <c r="X7331" t="s">
        <v>42682</v>
      </c>
    </row>
    <row r="7332" spans="1:24">
      <c r="A7332">
        <f>HYPERLINK("https://www.philgeps.gov.ph/GEPSNONPILOT/Tender/SplashBidNoticeAbstractUI.aspx?menuIndex=3&amp;refID=7179829&amp;Result=3","7179829")</f>
        <v>0</v>
      </c>
      <c r="B7332" t="s">
        <v>2365</v>
      </c>
      <c r="C7332" t="s">
        <v>10530</v>
      </c>
      <c r="D7332" t="s">
        <v>17141</v>
      </c>
      <c r="E7332" t="s">
        <v>18993</v>
      </c>
      <c r="F7332" t="s">
        <v>29372</v>
      </c>
      <c r="G7332" t="s">
        <v>29380</v>
      </c>
      <c r="H7332" t="s">
        <v>11048</v>
      </c>
      <c r="I7332" t="s">
        <v>3670</v>
      </c>
      <c r="J7332" t="s">
        <v>29619</v>
      </c>
      <c r="K7332" t="s">
        <v>38485</v>
      </c>
      <c r="M7332" t="s">
        <v>41305</v>
      </c>
      <c r="N7332" t="s">
        <v>42669</v>
      </c>
      <c r="O7332" t="s">
        <v>42670</v>
      </c>
      <c r="P7332">
        <v>0</v>
      </c>
      <c r="Q7332">
        <v>2</v>
      </c>
      <c r="R7332" t="s">
        <v>42678</v>
      </c>
      <c r="S7332" t="s">
        <v>42866</v>
      </c>
      <c r="T7332" t="s">
        <v>44432</v>
      </c>
      <c r="U7332" t="s">
        <v>50809</v>
      </c>
      <c r="W7332" t="s">
        <v>41305</v>
      </c>
      <c r="X7332" t="s">
        <v>42682</v>
      </c>
    </row>
    <row r="7333" spans="1:24">
      <c r="A7333">
        <f>HYPERLINK("https://www.philgeps.gov.ph/GEPSNONPILOT/Tender/SplashBidNoticeAbstractUI.aspx?menuIndex=3&amp;refID=7181250&amp;Result=3","7181250")</f>
        <v>0</v>
      </c>
      <c r="B7333" t="s">
        <v>1125</v>
      </c>
      <c r="C7333" t="s">
        <v>10531</v>
      </c>
      <c r="D7333" t="s">
        <v>17151</v>
      </c>
      <c r="E7333" t="s">
        <v>23592</v>
      </c>
      <c r="F7333" t="s">
        <v>29372</v>
      </c>
      <c r="G7333" t="s">
        <v>29380</v>
      </c>
      <c r="H7333" t="s">
        <v>29389</v>
      </c>
      <c r="I7333" t="s">
        <v>10408</v>
      </c>
      <c r="J7333" t="s">
        <v>34248</v>
      </c>
      <c r="K7333" t="s">
        <v>38564</v>
      </c>
      <c r="M7333" t="s">
        <v>39935</v>
      </c>
      <c r="N7333" t="s">
        <v>42669</v>
      </c>
      <c r="O7333" t="s">
        <v>42670</v>
      </c>
      <c r="P7333">
        <v>0</v>
      </c>
      <c r="Q7333">
        <v>3</v>
      </c>
      <c r="R7333" t="s">
        <v>42678</v>
      </c>
      <c r="S7333" t="s">
        <v>42866</v>
      </c>
      <c r="T7333" t="s">
        <v>44476</v>
      </c>
      <c r="U7333" t="s">
        <v>50810</v>
      </c>
      <c r="W7333" t="s">
        <v>39935</v>
      </c>
      <c r="X7333" t="s">
        <v>42679</v>
      </c>
    </row>
    <row r="7334" spans="1:24">
      <c r="A7334">
        <f>HYPERLINK("https://www.philgeps.gov.ph/GEPSNONPILOT/Tender/SplashBidNoticeAbstractUI.aspx?menuIndex=3&amp;refID=7179973&amp;Result=3","7179973")</f>
        <v>0</v>
      </c>
      <c r="B7334" t="s">
        <v>2307</v>
      </c>
      <c r="C7334" t="s">
        <v>10532</v>
      </c>
      <c r="D7334" t="s">
        <v>17151</v>
      </c>
      <c r="E7334" t="s">
        <v>23593</v>
      </c>
      <c r="F7334" t="s">
        <v>29372</v>
      </c>
      <c r="G7334" t="s">
        <v>29380</v>
      </c>
      <c r="H7334" t="s">
        <v>11048</v>
      </c>
      <c r="I7334" t="s">
        <v>29393</v>
      </c>
      <c r="J7334" t="s">
        <v>34259</v>
      </c>
      <c r="K7334" t="s">
        <v>38488</v>
      </c>
      <c r="M7334" t="s">
        <v>41236</v>
      </c>
      <c r="N7334" t="s">
        <v>42669</v>
      </c>
      <c r="O7334" t="s">
        <v>42670</v>
      </c>
      <c r="P7334">
        <v>0</v>
      </c>
      <c r="Q7334">
        <v>0</v>
      </c>
      <c r="R7334" t="s">
        <v>42678</v>
      </c>
      <c r="S7334" t="s">
        <v>42866</v>
      </c>
      <c r="T7334" t="s">
        <v>44368</v>
      </c>
      <c r="U7334" t="s">
        <v>50811</v>
      </c>
      <c r="V7334" t="s">
        <v>57175</v>
      </c>
      <c r="W7334" t="s">
        <v>41236</v>
      </c>
      <c r="X7334" t="s">
        <v>42682</v>
      </c>
    </row>
    <row r="7335" spans="1:24">
      <c r="A7335">
        <f>HYPERLINK("https://www.philgeps.gov.ph/GEPSNONPILOT/Tender/SplashBidNoticeAbstractUI.aspx?menuIndex=3&amp;refID=7181393&amp;Result=3","7181393")</f>
        <v>0</v>
      </c>
      <c r="B7335" t="s">
        <v>1125</v>
      </c>
      <c r="C7335" t="s">
        <v>10533</v>
      </c>
      <c r="D7335" t="s">
        <v>17151</v>
      </c>
      <c r="E7335" t="s">
        <v>23594</v>
      </c>
      <c r="F7335" t="s">
        <v>29372</v>
      </c>
      <c r="G7335" t="s">
        <v>29380</v>
      </c>
      <c r="H7335" t="s">
        <v>11048</v>
      </c>
      <c r="I7335" t="s">
        <v>3629</v>
      </c>
      <c r="J7335" t="s">
        <v>34260</v>
      </c>
      <c r="K7335" t="s">
        <v>38491</v>
      </c>
      <c r="M7335" t="s">
        <v>39935</v>
      </c>
      <c r="N7335" t="s">
        <v>42669</v>
      </c>
      <c r="O7335" t="s">
        <v>42670</v>
      </c>
      <c r="P7335">
        <v>0</v>
      </c>
      <c r="Q7335">
        <v>1</v>
      </c>
      <c r="R7335" t="s">
        <v>42678</v>
      </c>
      <c r="S7335" t="s">
        <v>42866</v>
      </c>
      <c r="T7335" t="s">
        <v>44587</v>
      </c>
      <c r="U7335" t="s">
        <v>50812</v>
      </c>
      <c r="V7335" t="s">
        <v>57176</v>
      </c>
      <c r="W7335" t="s">
        <v>39935</v>
      </c>
      <c r="X7335" t="s">
        <v>42679</v>
      </c>
    </row>
    <row r="7336" spans="1:24">
      <c r="A7336">
        <f>HYPERLINK("https://www.philgeps.gov.ph/GEPSNONPILOT/Tender/SplashBidNoticeAbstractUI.aspx?menuIndex=3&amp;refID=7181456&amp;Result=3","7181456")</f>
        <v>0</v>
      </c>
      <c r="B7336" t="s">
        <v>82</v>
      </c>
      <c r="C7336" t="s">
        <v>10534</v>
      </c>
      <c r="D7336" t="s">
        <v>17172</v>
      </c>
      <c r="E7336" t="s">
        <v>18886</v>
      </c>
      <c r="F7336" t="s">
        <v>29372</v>
      </c>
      <c r="G7336" t="s">
        <v>29380</v>
      </c>
      <c r="H7336" t="s">
        <v>11048</v>
      </c>
      <c r="I7336" t="s">
        <v>3860</v>
      </c>
      <c r="J7336" t="s">
        <v>34261</v>
      </c>
      <c r="K7336" t="s">
        <v>38490</v>
      </c>
      <c r="M7336" t="s">
        <v>38836</v>
      </c>
      <c r="N7336" t="s">
        <v>42669</v>
      </c>
      <c r="O7336" t="s">
        <v>42670</v>
      </c>
      <c r="P7336">
        <v>0</v>
      </c>
      <c r="Q7336">
        <v>0</v>
      </c>
      <c r="R7336" t="s">
        <v>42678</v>
      </c>
      <c r="S7336" t="s">
        <v>42866</v>
      </c>
      <c r="T7336" t="s">
        <v>44427</v>
      </c>
      <c r="U7336" t="s">
        <v>50773</v>
      </c>
      <c r="W7336" t="s">
        <v>38836</v>
      </c>
      <c r="X7336" t="s">
        <v>42679</v>
      </c>
    </row>
    <row r="7337" spans="1:24">
      <c r="A7337">
        <f>HYPERLINK("https://www.philgeps.gov.ph/GEPSNONPILOT/Tender/SplashBidNoticeAbstractUI.aspx?menuIndex=3&amp;refID=7181451&amp;Result=3","7181451")</f>
        <v>0</v>
      </c>
      <c r="B7337" t="s">
        <v>2020</v>
      </c>
      <c r="C7337" t="s">
        <v>10535</v>
      </c>
      <c r="D7337" t="s">
        <v>17177</v>
      </c>
      <c r="E7337" t="s">
        <v>23595</v>
      </c>
      <c r="F7337" t="s">
        <v>29372</v>
      </c>
      <c r="G7337" t="s">
        <v>29380</v>
      </c>
      <c r="H7337" t="s">
        <v>29389</v>
      </c>
      <c r="I7337" t="s">
        <v>10408</v>
      </c>
      <c r="J7337" t="s">
        <v>34262</v>
      </c>
      <c r="K7337" t="s">
        <v>38496</v>
      </c>
      <c r="M7337" t="s">
        <v>41241</v>
      </c>
      <c r="N7337" t="s">
        <v>42669</v>
      </c>
      <c r="O7337" t="s">
        <v>42670</v>
      </c>
      <c r="P7337">
        <v>0</v>
      </c>
      <c r="Q7337">
        <v>0</v>
      </c>
      <c r="R7337" t="s">
        <v>42678</v>
      </c>
      <c r="S7337" t="s">
        <v>42866</v>
      </c>
      <c r="T7337" t="s">
        <v>44475</v>
      </c>
      <c r="U7337" t="s">
        <v>50771</v>
      </c>
      <c r="V7337" t="s">
        <v>57146</v>
      </c>
      <c r="W7337" t="s">
        <v>41241</v>
      </c>
      <c r="X7337" t="s">
        <v>42679</v>
      </c>
    </row>
    <row r="7338" spans="1:24">
      <c r="A7338">
        <f>HYPERLINK("https://www.philgeps.gov.ph/GEPSNONPILOT/Tender/SplashBidNoticeAbstractUI.aspx?menuIndex=3&amp;refID=7181329&amp;Result=3","7181329")</f>
        <v>0</v>
      </c>
      <c r="B7338" t="s">
        <v>2366</v>
      </c>
      <c r="C7338" t="s">
        <v>10536</v>
      </c>
      <c r="D7338" t="s">
        <v>17192</v>
      </c>
      <c r="E7338" t="s">
        <v>23596</v>
      </c>
      <c r="F7338" t="s">
        <v>29372</v>
      </c>
      <c r="G7338" t="s">
        <v>29380</v>
      </c>
      <c r="H7338" t="s">
        <v>11048</v>
      </c>
      <c r="I7338" t="s">
        <v>4709</v>
      </c>
      <c r="J7338" t="s">
        <v>34263</v>
      </c>
      <c r="K7338" t="s">
        <v>38510</v>
      </c>
      <c r="M7338" t="s">
        <v>41306</v>
      </c>
      <c r="N7338" t="s">
        <v>42669</v>
      </c>
      <c r="O7338" t="s">
        <v>42670</v>
      </c>
      <c r="P7338">
        <v>0</v>
      </c>
      <c r="Q7338">
        <v>1</v>
      </c>
      <c r="R7338" t="s">
        <v>42678</v>
      </c>
      <c r="S7338" t="s">
        <v>42866</v>
      </c>
      <c r="T7338" t="s">
        <v>44512</v>
      </c>
      <c r="U7338" t="s">
        <v>50813</v>
      </c>
      <c r="W7338" t="s">
        <v>41306</v>
      </c>
      <c r="X7338" t="s">
        <v>42679</v>
      </c>
    </row>
    <row r="7339" spans="1:24">
      <c r="A7339">
        <f>HYPERLINK("https://www.philgeps.gov.ph/GEPSNONPILOT/Tender/SplashBidNoticeAbstractUI.aspx?menuIndex=3&amp;refID=7181444&amp;Result=3","7181444")</f>
        <v>0</v>
      </c>
      <c r="B7339" t="s">
        <v>1247</v>
      </c>
      <c r="C7339" t="s">
        <v>10537</v>
      </c>
      <c r="D7339" t="s">
        <v>17154</v>
      </c>
      <c r="E7339" t="s">
        <v>23597</v>
      </c>
      <c r="F7339" t="s">
        <v>29372</v>
      </c>
      <c r="G7339" t="s">
        <v>29380</v>
      </c>
      <c r="H7339" t="s">
        <v>29389</v>
      </c>
      <c r="I7339" t="s">
        <v>10408</v>
      </c>
      <c r="J7339" t="s">
        <v>34264</v>
      </c>
      <c r="K7339" t="s">
        <v>38509</v>
      </c>
      <c r="M7339" t="s">
        <v>40072</v>
      </c>
      <c r="N7339" t="s">
        <v>42669</v>
      </c>
      <c r="O7339" t="s">
        <v>42670</v>
      </c>
      <c r="P7339">
        <v>0</v>
      </c>
      <c r="Q7339">
        <v>0</v>
      </c>
      <c r="R7339" t="s">
        <v>42678</v>
      </c>
      <c r="S7339" t="s">
        <v>42866</v>
      </c>
      <c r="T7339" t="s">
        <v>44401</v>
      </c>
      <c r="U7339" t="s">
        <v>50814</v>
      </c>
      <c r="W7339" t="s">
        <v>40072</v>
      </c>
      <c r="X7339" t="s">
        <v>42679</v>
      </c>
    </row>
    <row r="7340" spans="1:24">
      <c r="A7340">
        <f>HYPERLINK("https://www.philgeps.gov.ph/GEPSNONPILOT/Tender/SplashBidNoticeAbstractUI.aspx?menuIndex=3&amp;refID=7179964&amp;Result=3","7179964")</f>
        <v>0</v>
      </c>
      <c r="B7340" t="s">
        <v>2307</v>
      </c>
      <c r="C7340" t="s">
        <v>10538</v>
      </c>
      <c r="D7340" t="s">
        <v>17151</v>
      </c>
      <c r="E7340" t="s">
        <v>23598</v>
      </c>
      <c r="F7340" t="s">
        <v>29372</v>
      </c>
      <c r="G7340" t="s">
        <v>29380</v>
      </c>
      <c r="H7340" t="s">
        <v>11048</v>
      </c>
      <c r="I7340" t="s">
        <v>9469</v>
      </c>
      <c r="J7340" t="s">
        <v>30127</v>
      </c>
      <c r="K7340" t="s">
        <v>38488</v>
      </c>
      <c r="M7340" t="s">
        <v>41236</v>
      </c>
      <c r="N7340" t="s">
        <v>42669</v>
      </c>
      <c r="O7340" t="s">
        <v>42670</v>
      </c>
      <c r="P7340">
        <v>0</v>
      </c>
      <c r="Q7340">
        <v>0</v>
      </c>
      <c r="R7340" t="s">
        <v>42678</v>
      </c>
      <c r="S7340" t="s">
        <v>42866</v>
      </c>
      <c r="T7340" t="s">
        <v>44368</v>
      </c>
      <c r="U7340" t="s">
        <v>50815</v>
      </c>
      <c r="V7340" t="s">
        <v>57174</v>
      </c>
      <c r="W7340" t="s">
        <v>41236</v>
      </c>
      <c r="X7340" t="s">
        <v>42682</v>
      </c>
    </row>
    <row r="7341" spans="1:24">
      <c r="A7341">
        <f>HYPERLINK("https://www.philgeps.gov.ph/GEPSNONPILOT/Tender/SplashBidNoticeAbstractUI.aspx?menuIndex=3&amp;refID=7181448&amp;Result=3","7181448")</f>
        <v>0</v>
      </c>
      <c r="B7341" t="s">
        <v>1978</v>
      </c>
      <c r="C7341" t="s">
        <v>10539</v>
      </c>
      <c r="D7341" t="s">
        <v>17164</v>
      </c>
      <c r="E7341" t="s">
        <v>23599</v>
      </c>
      <c r="F7341" t="s">
        <v>29372</v>
      </c>
      <c r="G7341" t="s">
        <v>29380</v>
      </c>
      <c r="H7341" t="s">
        <v>29389</v>
      </c>
      <c r="I7341" t="s">
        <v>10408</v>
      </c>
      <c r="J7341" t="s">
        <v>34265</v>
      </c>
      <c r="K7341" t="s">
        <v>38485</v>
      </c>
      <c r="M7341" t="s">
        <v>40865</v>
      </c>
      <c r="N7341" t="s">
        <v>42669</v>
      </c>
      <c r="O7341" t="s">
        <v>42670</v>
      </c>
      <c r="P7341">
        <v>0</v>
      </c>
      <c r="Q7341">
        <v>0</v>
      </c>
      <c r="R7341" t="s">
        <v>42678</v>
      </c>
      <c r="S7341" t="s">
        <v>42866</v>
      </c>
      <c r="T7341" t="s">
        <v>44517</v>
      </c>
      <c r="U7341" t="s">
        <v>50816</v>
      </c>
      <c r="W7341" t="s">
        <v>40865</v>
      </c>
      <c r="X7341" t="s">
        <v>42679</v>
      </c>
    </row>
    <row r="7342" spans="1:24">
      <c r="A7342">
        <f>HYPERLINK("https://www.philgeps.gov.ph/GEPSNONPILOT/Tender/SplashBidNoticeAbstractUI.aspx?menuIndex=3&amp;refID=7181429&amp;Result=3","7181429")</f>
        <v>0</v>
      </c>
      <c r="B7342" t="s">
        <v>2367</v>
      </c>
      <c r="C7342" t="s">
        <v>10540</v>
      </c>
      <c r="D7342" t="s">
        <v>17172</v>
      </c>
      <c r="E7342" t="s">
        <v>23600</v>
      </c>
      <c r="F7342" t="s">
        <v>29372</v>
      </c>
      <c r="G7342" t="s">
        <v>29379</v>
      </c>
      <c r="H7342" t="s">
        <v>11048</v>
      </c>
      <c r="I7342" t="s">
        <v>29424</v>
      </c>
      <c r="J7342" t="s">
        <v>34266</v>
      </c>
      <c r="K7342" t="s">
        <v>38528</v>
      </c>
      <c r="M7342" t="s">
        <v>41307</v>
      </c>
      <c r="N7342" t="s">
        <v>42669</v>
      </c>
      <c r="O7342" t="s">
        <v>42670</v>
      </c>
      <c r="P7342">
        <v>0</v>
      </c>
      <c r="Q7342">
        <v>3</v>
      </c>
      <c r="R7342" t="s">
        <v>42678</v>
      </c>
      <c r="S7342" t="s">
        <v>42866</v>
      </c>
      <c r="T7342" t="s">
        <v>44401</v>
      </c>
      <c r="U7342" t="s">
        <v>50817</v>
      </c>
      <c r="W7342" t="s">
        <v>41307</v>
      </c>
      <c r="X7342" t="s">
        <v>42679</v>
      </c>
    </row>
    <row r="7343" spans="1:24">
      <c r="A7343">
        <f>HYPERLINK("https://www.philgeps.gov.ph/GEPSNONPILOT/Tender/SplashBidNoticeAbstractUI.aspx?menuIndex=3&amp;refID=7181434&amp;Result=3","7181434")</f>
        <v>0</v>
      </c>
      <c r="B7343" t="s">
        <v>1978</v>
      </c>
      <c r="C7343" t="s">
        <v>10541</v>
      </c>
      <c r="D7343" t="s">
        <v>17164</v>
      </c>
      <c r="E7343" t="s">
        <v>23601</v>
      </c>
      <c r="F7343" t="s">
        <v>29372</v>
      </c>
      <c r="G7343" t="s">
        <v>29380</v>
      </c>
      <c r="H7343" t="s">
        <v>11048</v>
      </c>
      <c r="I7343" t="s">
        <v>29415</v>
      </c>
      <c r="J7343" t="s">
        <v>30434</v>
      </c>
      <c r="K7343" t="s">
        <v>38488</v>
      </c>
      <c r="M7343" t="s">
        <v>40865</v>
      </c>
      <c r="N7343" t="s">
        <v>42669</v>
      </c>
      <c r="O7343" t="s">
        <v>42670</v>
      </c>
      <c r="P7343">
        <v>0</v>
      </c>
      <c r="Q7343">
        <v>2</v>
      </c>
      <c r="R7343" t="s">
        <v>42678</v>
      </c>
      <c r="S7343" t="s">
        <v>42866</v>
      </c>
      <c r="T7343" t="s">
        <v>44517</v>
      </c>
      <c r="U7343" t="s">
        <v>50818</v>
      </c>
      <c r="W7343" t="s">
        <v>40865</v>
      </c>
      <c r="X7343" t="s">
        <v>42679</v>
      </c>
    </row>
    <row r="7344" spans="1:24">
      <c r="A7344">
        <f>HYPERLINK("https://www.philgeps.gov.ph/GEPSNONPILOT/Tender/SplashBidNoticeAbstractUI.aspx?menuIndex=3&amp;refID=7181259&amp;Result=3","7181259")</f>
        <v>0</v>
      </c>
      <c r="B7344" t="s">
        <v>2349</v>
      </c>
      <c r="C7344" t="s">
        <v>10542</v>
      </c>
      <c r="D7344" t="s">
        <v>17187</v>
      </c>
      <c r="E7344" t="s">
        <v>23602</v>
      </c>
      <c r="F7344" t="s">
        <v>29372</v>
      </c>
      <c r="G7344" t="s">
        <v>29379</v>
      </c>
      <c r="H7344" t="s">
        <v>11048</v>
      </c>
      <c r="I7344" t="s">
        <v>29414</v>
      </c>
      <c r="J7344" t="s">
        <v>34267</v>
      </c>
      <c r="K7344" t="s">
        <v>38491</v>
      </c>
      <c r="M7344" t="s">
        <v>41282</v>
      </c>
      <c r="N7344" t="s">
        <v>42669</v>
      </c>
      <c r="O7344" t="s">
        <v>42670</v>
      </c>
      <c r="P7344">
        <v>0</v>
      </c>
      <c r="Q7344">
        <v>5</v>
      </c>
      <c r="R7344" t="s">
        <v>42678</v>
      </c>
      <c r="S7344" t="s">
        <v>42866</v>
      </c>
      <c r="T7344" t="s">
        <v>44429</v>
      </c>
      <c r="U7344" t="s">
        <v>50720</v>
      </c>
      <c r="W7344" t="s">
        <v>41282</v>
      </c>
      <c r="X7344" t="s">
        <v>42679</v>
      </c>
    </row>
    <row r="7345" spans="1:24">
      <c r="A7345">
        <f>HYPERLINK("https://www.philgeps.gov.ph/GEPSNONPILOT/Tender/SplashBidNoticeAbstractUI.aspx?menuIndex=3&amp;refID=7181426&amp;Result=3","7181426")</f>
        <v>0</v>
      </c>
      <c r="B7345" t="s">
        <v>2179</v>
      </c>
      <c r="C7345" t="s">
        <v>10543</v>
      </c>
      <c r="D7345" t="s">
        <v>17144</v>
      </c>
      <c r="E7345" t="s">
        <v>23603</v>
      </c>
      <c r="F7345" t="s">
        <v>29372</v>
      </c>
      <c r="G7345" t="s">
        <v>29379</v>
      </c>
      <c r="H7345" t="s">
        <v>11048</v>
      </c>
      <c r="I7345" t="s">
        <v>29409</v>
      </c>
      <c r="J7345" t="s">
        <v>30355</v>
      </c>
      <c r="K7345" t="s">
        <v>38495</v>
      </c>
      <c r="M7345" t="s">
        <v>41093</v>
      </c>
      <c r="N7345" t="s">
        <v>42669</v>
      </c>
      <c r="O7345" t="s">
        <v>42670</v>
      </c>
      <c r="P7345">
        <v>0</v>
      </c>
      <c r="Q7345">
        <v>11</v>
      </c>
      <c r="R7345" t="s">
        <v>42678</v>
      </c>
      <c r="S7345" t="s">
        <v>42866</v>
      </c>
      <c r="T7345" t="s">
        <v>44432</v>
      </c>
      <c r="U7345" t="s">
        <v>50819</v>
      </c>
      <c r="W7345" t="s">
        <v>41093</v>
      </c>
      <c r="X7345" t="s">
        <v>42679</v>
      </c>
    </row>
    <row r="7346" spans="1:24">
      <c r="A7346">
        <f>HYPERLINK("https://www.philgeps.gov.ph/GEPSNONPILOT/Tender/SplashBidNoticeAbstractUI.aspx?menuIndex=3&amp;refID=7181422&amp;Result=3","7181422")</f>
        <v>0</v>
      </c>
      <c r="B7346" t="s">
        <v>1337</v>
      </c>
      <c r="C7346" t="s">
        <v>10544</v>
      </c>
      <c r="D7346" t="s">
        <v>17148</v>
      </c>
      <c r="E7346" t="s">
        <v>23604</v>
      </c>
      <c r="F7346" t="s">
        <v>29372</v>
      </c>
      <c r="G7346" t="s">
        <v>29380</v>
      </c>
      <c r="H7346" t="s">
        <v>29389</v>
      </c>
      <c r="I7346" t="s">
        <v>10408</v>
      </c>
      <c r="J7346" t="s">
        <v>34268</v>
      </c>
      <c r="K7346" t="s">
        <v>38522</v>
      </c>
      <c r="L7346" t="s">
        <v>1337</v>
      </c>
      <c r="M7346" t="s">
        <v>40173</v>
      </c>
      <c r="N7346" t="s">
        <v>42669</v>
      </c>
      <c r="O7346" t="s">
        <v>42670</v>
      </c>
      <c r="P7346">
        <v>0</v>
      </c>
      <c r="Q7346">
        <v>13</v>
      </c>
      <c r="R7346" t="s">
        <v>42678</v>
      </c>
      <c r="S7346" t="s">
        <v>42866</v>
      </c>
      <c r="T7346" t="s">
        <v>44368</v>
      </c>
      <c r="U7346" t="s">
        <v>50820</v>
      </c>
      <c r="W7346" t="s">
        <v>40173</v>
      </c>
      <c r="X7346" t="s">
        <v>42679</v>
      </c>
    </row>
    <row r="7347" spans="1:24">
      <c r="A7347">
        <f>HYPERLINK("https://www.philgeps.gov.ph/GEPSNONPILOT/Tender/SplashBidNoticeAbstractUI.aspx?menuIndex=3&amp;refID=7179900&amp;Result=3","7179900")</f>
        <v>0</v>
      </c>
      <c r="B7347" t="s">
        <v>2307</v>
      </c>
      <c r="C7347" t="s">
        <v>10545</v>
      </c>
      <c r="D7347" t="s">
        <v>17151</v>
      </c>
      <c r="E7347" t="s">
        <v>23605</v>
      </c>
      <c r="F7347" t="s">
        <v>29372</v>
      </c>
      <c r="G7347" t="s">
        <v>29380</v>
      </c>
      <c r="H7347" t="s">
        <v>11048</v>
      </c>
      <c r="I7347" t="s">
        <v>8614</v>
      </c>
      <c r="J7347" t="s">
        <v>31533</v>
      </c>
      <c r="K7347" t="s">
        <v>38488</v>
      </c>
      <c r="M7347" t="s">
        <v>41236</v>
      </c>
      <c r="N7347" t="s">
        <v>42669</v>
      </c>
      <c r="O7347" t="s">
        <v>42670</v>
      </c>
      <c r="P7347">
        <v>0</v>
      </c>
      <c r="Q7347">
        <v>3</v>
      </c>
      <c r="R7347" t="s">
        <v>42678</v>
      </c>
      <c r="S7347" t="s">
        <v>42866</v>
      </c>
      <c r="T7347" t="s">
        <v>44368</v>
      </c>
      <c r="U7347" t="s">
        <v>50821</v>
      </c>
      <c r="V7347" t="s">
        <v>57177</v>
      </c>
      <c r="W7347" t="s">
        <v>41236</v>
      </c>
      <c r="X7347" t="s">
        <v>42682</v>
      </c>
    </row>
    <row r="7348" spans="1:24">
      <c r="A7348">
        <f>HYPERLINK("https://www.philgeps.gov.ph/GEPSNONPILOT/Tender/SplashBidNoticeAbstractUI.aspx?menuIndex=3&amp;refID=7181447&amp;Result=3","7181447")</f>
        <v>0</v>
      </c>
      <c r="B7348" t="s">
        <v>2368</v>
      </c>
      <c r="C7348" t="s">
        <v>10546</v>
      </c>
      <c r="D7348" t="s">
        <v>17141</v>
      </c>
      <c r="E7348" t="s">
        <v>23606</v>
      </c>
      <c r="F7348" t="s">
        <v>29372</v>
      </c>
      <c r="G7348" t="s">
        <v>29380</v>
      </c>
      <c r="H7348" t="s">
        <v>29390</v>
      </c>
      <c r="I7348" t="s">
        <v>10408</v>
      </c>
      <c r="J7348" t="s">
        <v>29937</v>
      </c>
      <c r="K7348" t="s">
        <v>38485</v>
      </c>
      <c r="M7348" t="s">
        <v>41308</v>
      </c>
      <c r="N7348" t="s">
        <v>42669</v>
      </c>
      <c r="O7348" t="s">
        <v>42670</v>
      </c>
      <c r="P7348">
        <v>0</v>
      </c>
      <c r="Q7348">
        <v>1</v>
      </c>
      <c r="R7348" t="s">
        <v>42678</v>
      </c>
      <c r="S7348" t="s">
        <v>42866</v>
      </c>
      <c r="T7348" t="s">
        <v>44481</v>
      </c>
      <c r="U7348" t="s">
        <v>50822</v>
      </c>
      <c r="W7348" t="s">
        <v>41308</v>
      </c>
      <c r="X7348" t="s">
        <v>42679</v>
      </c>
    </row>
    <row r="7349" spans="1:24">
      <c r="A7349">
        <f>HYPERLINK("https://www.philgeps.gov.ph/GEPSNONPILOT/Tender/SplashBidNoticeAbstractUI.aspx?menuIndex=3&amp;refID=7181428&amp;Result=3","7181428")</f>
        <v>0</v>
      </c>
      <c r="B7349" t="s">
        <v>240</v>
      </c>
      <c r="C7349" t="s">
        <v>10547</v>
      </c>
      <c r="D7349" t="s">
        <v>17185</v>
      </c>
      <c r="E7349" t="s">
        <v>23607</v>
      </c>
      <c r="F7349" t="s">
        <v>29372</v>
      </c>
      <c r="G7349" t="s">
        <v>29379</v>
      </c>
      <c r="H7349" t="s">
        <v>11048</v>
      </c>
      <c r="I7349" t="s">
        <v>29396</v>
      </c>
      <c r="J7349" t="s">
        <v>30435</v>
      </c>
      <c r="K7349" t="s">
        <v>38490</v>
      </c>
      <c r="M7349" t="s">
        <v>38999</v>
      </c>
      <c r="N7349" t="s">
        <v>42669</v>
      </c>
      <c r="O7349" t="s">
        <v>42670</v>
      </c>
      <c r="P7349">
        <v>0</v>
      </c>
      <c r="Q7349">
        <v>0</v>
      </c>
      <c r="R7349" t="s">
        <v>42678</v>
      </c>
      <c r="S7349" t="s">
        <v>42866</v>
      </c>
      <c r="T7349" t="s">
        <v>44481</v>
      </c>
      <c r="U7349" t="s">
        <v>50823</v>
      </c>
      <c r="W7349" t="s">
        <v>38999</v>
      </c>
      <c r="X7349" t="s">
        <v>42679</v>
      </c>
    </row>
    <row r="7350" spans="1:24">
      <c r="A7350">
        <f>HYPERLINK("https://www.philgeps.gov.ph/GEPSNONPILOT/Tender/SplashBidNoticeAbstractUI.aspx?menuIndex=3&amp;refID=7181406&amp;Result=3","7181406")</f>
        <v>0</v>
      </c>
      <c r="B7350" t="s">
        <v>2369</v>
      </c>
      <c r="C7350" t="s">
        <v>10548</v>
      </c>
      <c r="D7350" t="s">
        <v>17182</v>
      </c>
      <c r="E7350" t="s">
        <v>17552</v>
      </c>
      <c r="F7350" t="s">
        <v>29372</v>
      </c>
      <c r="G7350" t="s">
        <v>29383</v>
      </c>
      <c r="H7350" t="s">
        <v>11048</v>
      </c>
      <c r="I7350" t="s">
        <v>29409</v>
      </c>
      <c r="J7350" t="s">
        <v>34269</v>
      </c>
      <c r="K7350" t="s">
        <v>38517</v>
      </c>
      <c r="M7350" t="s">
        <v>41309</v>
      </c>
      <c r="N7350" t="s">
        <v>42669</v>
      </c>
      <c r="O7350" t="s">
        <v>42670</v>
      </c>
      <c r="Q7350">
        <v>5</v>
      </c>
      <c r="R7350" t="s">
        <v>42678</v>
      </c>
      <c r="S7350" t="s">
        <v>42890</v>
      </c>
      <c r="T7350" t="s">
        <v>44748</v>
      </c>
      <c r="U7350" t="s">
        <v>50824</v>
      </c>
      <c r="V7350" t="s">
        <v>57178</v>
      </c>
      <c r="W7350" t="s">
        <v>41309</v>
      </c>
      <c r="X7350" t="s">
        <v>42679</v>
      </c>
    </row>
    <row r="7351" spans="1:24">
      <c r="A7351">
        <f>HYPERLINK("https://www.philgeps.gov.ph/GEPSNONPILOT/Tender/SplashBidNoticeAbstractUI.aspx?menuIndex=3&amp;refID=7181401&amp;Result=3","7181401")</f>
        <v>0</v>
      </c>
      <c r="B7351" t="s">
        <v>2026</v>
      </c>
      <c r="C7351" t="s">
        <v>10549</v>
      </c>
      <c r="D7351" t="s">
        <v>17199</v>
      </c>
      <c r="E7351" t="s">
        <v>23608</v>
      </c>
      <c r="F7351" t="s">
        <v>29372</v>
      </c>
      <c r="G7351" t="s">
        <v>29380</v>
      </c>
      <c r="H7351" t="s">
        <v>11048</v>
      </c>
      <c r="I7351" t="s">
        <v>4709</v>
      </c>
      <c r="J7351" t="s">
        <v>34270</v>
      </c>
      <c r="K7351" t="s">
        <v>38489</v>
      </c>
      <c r="M7351" t="s">
        <v>41310</v>
      </c>
      <c r="N7351" t="s">
        <v>42669</v>
      </c>
      <c r="O7351" t="s">
        <v>42670</v>
      </c>
      <c r="P7351">
        <v>0</v>
      </c>
      <c r="Q7351">
        <v>0</v>
      </c>
      <c r="R7351" t="s">
        <v>42678</v>
      </c>
      <c r="S7351" t="s">
        <v>42866</v>
      </c>
      <c r="T7351" t="s">
        <v>44432</v>
      </c>
      <c r="U7351" t="s">
        <v>50825</v>
      </c>
      <c r="W7351" t="s">
        <v>41310</v>
      </c>
      <c r="X7351" t="s">
        <v>42679</v>
      </c>
    </row>
    <row r="7352" spans="1:24">
      <c r="A7352">
        <f>HYPERLINK("https://www.philgeps.gov.ph/GEPSNONPILOT/Tender/SplashBidNoticeAbstractUI.aspx?menuIndex=3&amp;refID=7181411&amp;Result=3","7181411")</f>
        <v>0</v>
      </c>
      <c r="B7352" t="s">
        <v>2061</v>
      </c>
      <c r="C7352" t="s">
        <v>10550</v>
      </c>
      <c r="D7352" t="s">
        <v>17205</v>
      </c>
      <c r="E7352" t="s">
        <v>23609</v>
      </c>
      <c r="F7352" t="s">
        <v>29372</v>
      </c>
      <c r="G7352" t="s">
        <v>29380</v>
      </c>
      <c r="H7352" t="s">
        <v>11048</v>
      </c>
      <c r="I7352" t="s">
        <v>29397</v>
      </c>
      <c r="J7352" t="s">
        <v>29937</v>
      </c>
      <c r="K7352" t="s">
        <v>38488</v>
      </c>
      <c r="M7352" t="s">
        <v>40959</v>
      </c>
      <c r="N7352" t="s">
        <v>42669</v>
      </c>
      <c r="O7352" t="s">
        <v>42670</v>
      </c>
      <c r="P7352">
        <v>0</v>
      </c>
      <c r="Q7352">
        <v>4</v>
      </c>
      <c r="R7352" t="s">
        <v>42678</v>
      </c>
      <c r="S7352" t="s">
        <v>42866</v>
      </c>
      <c r="T7352" t="s">
        <v>44432</v>
      </c>
      <c r="U7352" t="s">
        <v>50826</v>
      </c>
      <c r="V7352" t="s">
        <v>57179</v>
      </c>
      <c r="W7352" t="s">
        <v>40959</v>
      </c>
      <c r="X7352" t="s">
        <v>42679</v>
      </c>
    </row>
    <row r="7353" spans="1:24">
      <c r="A7353">
        <f>HYPERLINK("https://www.philgeps.gov.ph/GEPSNONPILOT/Tender/SplashBidNoticeAbstractUI.aspx?menuIndex=3&amp;refID=7181513&amp;Result=3","7181513")</f>
        <v>0</v>
      </c>
      <c r="B7353" t="s">
        <v>2020</v>
      </c>
      <c r="C7353" t="s">
        <v>10551</v>
      </c>
      <c r="D7353" t="s">
        <v>17177</v>
      </c>
      <c r="E7353" t="s">
        <v>23610</v>
      </c>
      <c r="F7353" t="s">
        <v>29372</v>
      </c>
      <c r="G7353" t="s">
        <v>29380</v>
      </c>
      <c r="H7353" t="s">
        <v>29389</v>
      </c>
      <c r="I7353" t="s">
        <v>10408</v>
      </c>
      <c r="J7353" t="s">
        <v>34271</v>
      </c>
      <c r="K7353" t="s">
        <v>38525</v>
      </c>
      <c r="M7353" t="s">
        <v>41241</v>
      </c>
      <c r="N7353" t="s">
        <v>42669</v>
      </c>
      <c r="O7353" t="s">
        <v>42670</v>
      </c>
      <c r="P7353">
        <v>0</v>
      </c>
      <c r="Q7353">
        <v>0</v>
      </c>
      <c r="R7353" t="s">
        <v>42678</v>
      </c>
      <c r="S7353" t="s">
        <v>42866</v>
      </c>
      <c r="T7353" t="s">
        <v>44475</v>
      </c>
      <c r="U7353" t="s">
        <v>50771</v>
      </c>
      <c r="V7353" t="s">
        <v>57146</v>
      </c>
      <c r="W7353" t="s">
        <v>41241</v>
      </c>
      <c r="X7353" t="s">
        <v>42679</v>
      </c>
    </row>
    <row r="7354" spans="1:24">
      <c r="A7354">
        <f>HYPERLINK("https://www.philgeps.gov.ph/GEPSNONPILOT/Tender/SplashBidNoticeAbstractUI.aspx?menuIndex=3&amp;refID=7181509&amp;Result=3","7181509")</f>
        <v>0</v>
      </c>
      <c r="B7354" t="s">
        <v>82</v>
      </c>
      <c r="C7354" t="s">
        <v>10552</v>
      </c>
      <c r="D7354" t="s">
        <v>17172</v>
      </c>
      <c r="E7354" t="s">
        <v>23611</v>
      </c>
      <c r="F7354" t="s">
        <v>29372</v>
      </c>
      <c r="G7354" t="s">
        <v>29380</v>
      </c>
      <c r="H7354" t="s">
        <v>11048</v>
      </c>
      <c r="I7354" t="s">
        <v>3839</v>
      </c>
      <c r="J7354" t="s">
        <v>34272</v>
      </c>
      <c r="K7354" t="s">
        <v>38490</v>
      </c>
      <c r="M7354" t="s">
        <v>38836</v>
      </c>
      <c r="N7354" t="s">
        <v>42669</v>
      </c>
      <c r="O7354" t="s">
        <v>42670</v>
      </c>
      <c r="P7354">
        <v>0</v>
      </c>
      <c r="Q7354">
        <v>8</v>
      </c>
      <c r="R7354" t="s">
        <v>42678</v>
      </c>
      <c r="S7354" t="s">
        <v>42866</v>
      </c>
      <c r="T7354" t="s">
        <v>44517</v>
      </c>
      <c r="U7354" t="s">
        <v>50773</v>
      </c>
      <c r="W7354" t="s">
        <v>38836</v>
      </c>
      <c r="X7354" t="s">
        <v>42679</v>
      </c>
    </row>
    <row r="7355" spans="1:24">
      <c r="A7355">
        <f>HYPERLINK("https://www.philgeps.gov.ph/GEPSNONPILOT/Tender/SplashBidNoticeAbstractUI.aspx?menuIndex=3&amp;refID=7181504&amp;Result=3","7181504")</f>
        <v>0</v>
      </c>
      <c r="B7355" t="s">
        <v>1061</v>
      </c>
      <c r="C7355" t="s">
        <v>10553</v>
      </c>
      <c r="D7355" t="s">
        <v>17174</v>
      </c>
      <c r="E7355" t="s">
        <v>23612</v>
      </c>
      <c r="F7355" t="s">
        <v>29372</v>
      </c>
      <c r="G7355" t="s">
        <v>29380</v>
      </c>
      <c r="H7355" t="s">
        <v>29389</v>
      </c>
      <c r="I7355" t="s">
        <v>29418</v>
      </c>
      <c r="J7355" t="s">
        <v>34273</v>
      </c>
      <c r="K7355" t="s">
        <v>38485</v>
      </c>
      <c r="M7355" t="s">
        <v>39868</v>
      </c>
      <c r="N7355" t="s">
        <v>42669</v>
      </c>
      <c r="O7355" t="s">
        <v>42670</v>
      </c>
      <c r="P7355">
        <v>0</v>
      </c>
      <c r="Q7355">
        <v>0</v>
      </c>
      <c r="R7355" t="s">
        <v>42678</v>
      </c>
      <c r="S7355" t="s">
        <v>42866</v>
      </c>
      <c r="T7355" t="s">
        <v>44488</v>
      </c>
      <c r="U7355" t="s">
        <v>48095</v>
      </c>
      <c r="W7355" t="s">
        <v>39868</v>
      </c>
      <c r="X7355" t="s">
        <v>42679</v>
      </c>
    </row>
    <row r="7356" spans="1:24">
      <c r="A7356">
        <f>HYPERLINK("https://www.philgeps.gov.ph/GEPSNONPILOT/Tender/SplashBidNoticeAbstractUI.aspx?menuIndex=3&amp;refID=7181503&amp;Result=3","7181503")</f>
        <v>0</v>
      </c>
      <c r="B7356" t="s">
        <v>2370</v>
      </c>
      <c r="C7356" t="s">
        <v>10554</v>
      </c>
      <c r="D7356" t="s">
        <v>17165</v>
      </c>
      <c r="E7356" t="s">
        <v>23613</v>
      </c>
      <c r="F7356" t="s">
        <v>29372</v>
      </c>
      <c r="G7356" t="s">
        <v>29380</v>
      </c>
      <c r="H7356" t="s">
        <v>11048</v>
      </c>
      <c r="I7356" t="s">
        <v>29394</v>
      </c>
      <c r="J7356" t="s">
        <v>34274</v>
      </c>
      <c r="K7356" t="s">
        <v>38487</v>
      </c>
      <c r="M7356" t="s">
        <v>41311</v>
      </c>
      <c r="N7356" t="s">
        <v>42669</v>
      </c>
      <c r="O7356" t="s">
        <v>42670</v>
      </c>
      <c r="P7356">
        <v>0</v>
      </c>
      <c r="Q7356">
        <v>2</v>
      </c>
      <c r="R7356" t="s">
        <v>42678</v>
      </c>
      <c r="S7356" t="s">
        <v>42866</v>
      </c>
      <c r="T7356" t="s">
        <v>44749</v>
      </c>
      <c r="U7356" t="s">
        <v>50827</v>
      </c>
      <c r="W7356" t="s">
        <v>41311</v>
      </c>
      <c r="X7356" t="s">
        <v>42679</v>
      </c>
    </row>
    <row r="7357" spans="1:24">
      <c r="A7357">
        <f>HYPERLINK("https://www.philgeps.gov.ph/GEPSNONPILOT/Tender/SplashBidNoticeAbstractUI.aspx?menuIndex=3&amp;refID=7181414&amp;Result=3","7181414")</f>
        <v>0</v>
      </c>
      <c r="B7357" t="s">
        <v>1176</v>
      </c>
      <c r="C7357" t="s">
        <v>10555</v>
      </c>
      <c r="D7357" t="s">
        <v>17199</v>
      </c>
      <c r="E7357" t="s">
        <v>23614</v>
      </c>
      <c r="F7357" t="s">
        <v>29372</v>
      </c>
      <c r="G7357" t="s">
        <v>29380</v>
      </c>
      <c r="H7357" t="s">
        <v>11048</v>
      </c>
      <c r="I7357" t="s">
        <v>29425</v>
      </c>
      <c r="J7357" t="s">
        <v>31092</v>
      </c>
      <c r="K7357" t="s">
        <v>38490</v>
      </c>
      <c r="M7357" t="s">
        <v>39991</v>
      </c>
      <c r="N7357" t="s">
        <v>42669</v>
      </c>
      <c r="O7357" t="s">
        <v>42670</v>
      </c>
      <c r="P7357">
        <v>0</v>
      </c>
      <c r="Q7357">
        <v>7</v>
      </c>
      <c r="R7357" t="s">
        <v>42678</v>
      </c>
      <c r="S7357" t="s">
        <v>42866</v>
      </c>
      <c r="T7357" t="s">
        <v>44474</v>
      </c>
      <c r="U7357" t="s">
        <v>50828</v>
      </c>
      <c r="W7357" t="s">
        <v>39991</v>
      </c>
      <c r="X7357" t="s">
        <v>42679</v>
      </c>
    </row>
    <row r="7358" spans="1:24">
      <c r="A7358">
        <f>HYPERLINK("https://www.philgeps.gov.ph/GEPSNONPILOT/Tender/SplashBidNoticeAbstractUI.aspx?menuIndex=3&amp;refID=7181501&amp;Result=3","7181501")</f>
        <v>0</v>
      </c>
      <c r="B7358" t="s">
        <v>2321</v>
      </c>
      <c r="C7358" t="s">
        <v>10556</v>
      </c>
      <c r="D7358" t="s">
        <v>17162</v>
      </c>
      <c r="E7358" t="s">
        <v>23615</v>
      </c>
      <c r="F7358" t="s">
        <v>29372</v>
      </c>
      <c r="G7358" t="s">
        <v>29379</v>
      </c>
      <c r="H7358" t="s">
        <v>11048</v>
      </c>
      <c r="I7358" t="s">
        <v>29415</v>
      </c>
      <c r="J7358" t="s">
        <v>29555</v>
      </c>
      <c r="K7358" t="s">
        <v>38517</v>
      </c>
      <c r="M7358" t="s">
        <v>41253</v>
      </c>
      <c r="N7358" t="s">
        <v>42669</v>
      </c>
      <c r="O7358" t="s">
        <v>42670</v>
      </c>
      <c r="P7358">
        <v>0</v>
      </c>
      <c r="Q7358">
        <v>5</v>
      </c>
      <c r="R7358" t="s">
        <v>42678</v>
      </c>
      <c r="S7358" t="s">
        <v>42866</v>
      </c>
      <c r="T7358" t="s">
        <v>44429</v>
      </c>
      <c r="U7358" t="s">
        <v>50829</v>
      </c>
      <c r="W7358" t="s">
        <v>41253</v>
      </c>
      <c r="X7358" t="s">
        <v>42679</v>
      </c>
    </row>
    <row r="7359" spans="1:24">
      <c r="A7359">
        <f>HYPERLINK("https://www.philgeps.gov.ph/GEPSNONPILOT/Tender/SplashBidNoticeAbstractUI.aspx?menuIndex=3&amp;refID=7181497&amp;Result=3","7181497")</f>
        <v>0</v>
      </c>
      <c r="B7359" t="s">
        <v>82</v>
      </c>
      <c r="C7359" t="s">
        <v>10557</v>
      </c>
      <c r="D7359" t="s">
        <v>17172</v>
      </c>
      <c r="E7359" t="s">
        <v>19960</v>
      </c>
      <c r="F7359" t="s">
        <v>29372</v>
      </c>
      <c r="G7359" t="s">
        <v>29380</v>
      </c>
      <c r="H7359" t="s">
        <v>11048</v>
      </c>
      <c r="I7359" t="s">
        <v>3670</v>
      </c>
      <c r="J7359" t="s">
        <v>34275</v>
      </c>
      <c r="K7359" t="s">
        <v>38490</v>
      </c>
      <c r="M7359" t="s">
        <v>38836</v>
      </c>
      <c r="N7359" t="s">
        <v>42669</v>
      </c>
      <c r="O7359" t="s">
        <v>42670</v>
      </c>
      <c r="P7359">
        <v>0</v>
      </c>
      <c r="Q7359">
        <v>3</v>
      </c>
      <c r="R7359" t="s">
        <v>42678</v>
      </c>
      <c r="S7359" t="s">
        <v>42866</v>
      </c>
      <c r="T7359" t="s">
        <v>44427</v>
      </c>
      <c r="U7359" t="s">
        <v>50773</v>
      </c>
      <c r="W7359" t="s">
        <v>38836</v>
      </c>
      <c r="X7359" t="s">
        <v>42679</v>
      </c>
    </row>
    <row r="7360" spans="1:24">
      <c r="A7360">
        <f>HYPERLINK("https://www.philgeps.gov.ph/GEPSNONPILOT/Tender/SplashBidNoticeAbstractUI.aspx?menuIndex=3&amp;refID=7181493&amp;Result=3","7181493")</f>
        <v>0</v>
      </c>
      <c r="B7360" t="s">
        <v>1978</v>
      </c>
      <c r="C7360" t="s">
        <v>10558</v>
      </c>
      <c r="D7360" t="s">
        <v>17164</v>
      </c>
      <c r="E7360" t="s">
        <v>23616</v>
      </c>
      <c r="F7360" t="s">
        <v>29372</v>
      </c>
      <c r="G7360" t="s">
        <v>29380</v>
      </c>
      <c r="H7360" t="s">
        <v>29389</v>
      </c>
      <c r="I7360" t="s">
        <v>10408</v>
      </c>
      <c r="J7360" t="s">
        <v>34276</v>
      </c>
      <c r="K7360" t="s">
        <v>38485</v>
      </c>
      <c r="M7360" t="s">
        <v>40865</v>
      </c>
      <c r="N7360" t="s">
        <v>42669</v>
      </c>
      <c r="O7360" t="s">
        <v>42670</v>
      </c>
      <c r="P7360">
        <v>0</v>
      </c>
      <c r="Q7360">
        <v>0</v>
      </c>
      <c r="R7360" t="s">
        <v>42678</v>
      </c>
      <c r="S7360" t="s">
        <v>42866</v>
      </c>
      <c r="T7360" t="s">
        <v>44517</v>
      </c>
      <c r="U7360" t="s">
        <v>50830</v>
      </c>
      <c r="W7360" t="s">
        <v>40865</v>
      </c>
      <c r="X7360" t="s">
        <v>42679</v>
      </c>
    </row>
    <row r="7361" spans="1:24">
      <c r="A7361">
        <f>HYPERLINK("https://www.philgeps.gov.ph/GEPSNONPILOT/Tender/SplashBidNoticeAbstractUI.aspx?menuIndex=3&amp;refID=7181487&amp;Result=3","7181487")</f>
        <v>0</v>
      </c>
      <c r="B7361" t="s">
        <v>2096</v>
      </c>
      <c r="C7361" t="s">
        <v>10559</v>
      </c>
      <c r="D7361" t="s">
        <v>17187</v>
      </c>
      <c r="E7361" t="s">
        <v>23617</v>
      </c>
      <c r="F7361" t="s">
        <v>29375</v>
      </c>
      <c r="G7361" t="s">
        <v>29380</v>
      </c>
      <c r="H7361" t="s">
        <v>11048</v>
      </c>
      <c r="I7361" t="s">
        <v>5383</v>
      </c>
      <c r="J7361" t="s">
        <v>31893</v>
      </c>
      <c r="K7361" t="s">
        <v>38496</v>
      </c>
      <c r="M7361" t="s">
        <v>40998</v>
      </c>
      <c r="N7361" t="s">
        <v>42669</v>
      </c>
      <c r="O7361" t="s">
        <v>42670</v>
      </c>
      <c r="P7361">
        <v>0</v>
      </c>
      <c r="Q7361">
        <v>2</v>
      </c>
      <c r="R7361" t="s">
        <v>42678</v>
      </c>
      <c r="S7361" t="s">
        <v>42866</v>
      </c>
      <c r="T7361" t="s">
        <v>44357</v>
      </c>
      <c r="U7361" t="s">
        <v>50831</v>
      </c>
      <c r="W7361" t="s">
        <v>40998</v>
      </c>
      <c r="X7361" t="s">
        <v>42679</v>
      </c>
    </row>
    <row r="7362" spans="1:24">
      <c r="A7362">
        <f>HYPERLINK("https://www.philgeps.gov.ph/GEPSNONPILOT/Tender/SplashBidNoticeAbstractUI.aspx?menuIndex=3&amp;refID=7181479&amp;Result=3","7181479")</f>
        <v>0</v>
      </c>
      <c r="B7362" t="s">
        <v>2371</v>
      </c>
      <c r="C7362" t="s">
        <v>10560</v>
      </c>
      <c r="D7362" t="s">
        <v>17215</v>
      </c>
      <c r="E7362" t="s">
        <v>23618</v>
      </c>
      <c r="F7362" t="s">
        <v>29372</v>
      </c>
      <c r="G7362" t="s">
        <v>29380</v>
      </c>
      <c r="H7362" t="s">
        <v>29389</v>
      </c>
      <c r="I7362" t="s">
        <v>10408</v>
      </c>
      <c r="J7362" t="s">
        <v>34277</v>
      </c>
      <c r="K7362" t="s">
        <v>38522</v>
      </c>
      <c r="M7362" t="s">
        <v>41312</v>
      </c>
      <c r="N7362" t="s">
        <v>42669</v>
      </c>
      <c r="O7362" t="s">
        <v>42670</v>
      </c>
      <c r="Q7362">
        <v>3</v>
      </c>
      <c r="R7362" t="s">
        <v>42678</v>
      </c>
      <c r="S7362" t="s">
        <v>42891</v>
      </c>
      <c r="T7362" t="s">
        <v>44597</v>
      </c>
      <c r="U7362" t="s">
        <v>50832</v>
      </c>
      <c r="W7362" t="s">
        <v>41312</v>
      </c>
      <c r="X7362" t="s">
        <v>42679</v>
      </c>
    </row>
    <row r="7363" spans="1:24">
      <c r="A7363">
        <f>HYPERLINK("https://www.philgeps.gov.ph/GEPSNONPILOT/Tender/SplashBidNoticeAbstractUI.aspx?menuIndex=3&amp;refID=7181505&amp;Result=3","7181505")</f>
        <v>0</v>
      </c>
      <c r="B7363" t="s">
        <v>2026</v>
      </c>
      <c r="C7363" t="s">
        <v>10561</v>
      </c>
      <c r="D7363" t="s">
        <v>17199</v>
      </c>
      <c r="E7363" t="s">
        <v>23619</v>
      </c>
      <c r="F7363" t="s">
        <v>29372</v>
      </c>
      <c r="G7363" t="s">
        <v>29380</v>
      </c>
      <c r="H7363" t="s">
        <v>11048</v>
      </c>
      <c r="I7363" t="s">
        <v>4709</v>
      </c>
      <c r="J7363" t="s">
        <v>34278</v>
      </c>
      <c r="K7363" t="s">
        <v>38489</v>
      </c>
      <c r="M7363" t="s">
        <v>40921</v>
      </c>
      <c r="N7363" t="s">
        <v>42669</v>
      </c>
      <c r="O7363" t="s">
        <v>42670</v>
      </c>
      <c r="P7363">
        <v>0</v>
      </c>
      <c r="Q7363">
        <v>0</v>
      </c>
      <c r="R7363" t="s">
        <v>42678</v>
      </c>
      <c r="S7363" t="s">
        <v>42866</v>
      </c>
      <c r="T7363" t="s">
        <v>44432</v>
      </c>
      <c r="U7363" t="s">
        <v>50833</v>
      </c>
      <c r="W7363" t="s">
        <v>40921</v>
      </c>
      <c r="X7363" t="s">
        <v>42679</v>
      </c>
    </row>
    <row r="7364" spans="1:24">
      <c r="A7364">
        <f>HYPERLINK("https://www.philgeps.gov.ph/GEPSNONPILOT/Tender/SplashBidNoticeAbstractUI.aspx?menuIndex=3&amp;refID=7181488&amp;Result=3","7181488")</f>
        <v>0</v>
      </c>
      <c r="B7364" t="s">
        <v>2020</v>
      </c>
      <c r="C7364" t="s">
        <v>10562</v>
      </c>
      <c r="D7364" t="s">
        <v>17177</v>
      </c>
      <c r="E7364" t="s">
        <v>23620</v>
      </c>
      <c r="F7364" t="s">
        <v>29372</v>
      </c>
      <c r="G7364" t="s">
        <v>29380</v>
      </c>
      <c r="H7364" t="s">
        <v>29389</v>
      </c>
      <c r="I7364" t="s">
        <v>10408</v>
      </c>
      <c r="J7364" t="s">
        <v>34279</v>
      </c>
      <c r="K7364" t="s">
        <v>38496</v>
      </c>
      <c r="M7364" t="s">
        <v>41241</v>
      </c>
      <c r="N7364" t="s">
        <v>42669</v>
      </c>
      <c r="O7364" t="s">
        <v>42670</v>
      </c>
      <c r="P7364">
        <v>0</v>
      </c>
      <c r="Q7364">
        <v>0</v>
      </c>
      <c r="R7364" t="s">
        <v>42678</v>
      </c>
      <c r="S7364" t="s">
        <v>42866</v>
      </c>
      <c r="T7364" t="s">
        <v>44475</v>
      </c>
      <c r="U7364" t="s">
        <v>50771</v>
      </c>
      <c r="V7364" t="s">
        <v>57146</v>
      </c>
      <c r="W7364" t="s">
        <v>41241</v>
      </c>
      <c r="X7364" t="s">
        <v>42679</v>
      </c>
    </row>
    <row r="7365" spans="1:24">
      <c r="A7365">
        <f>HYPERLINK("https://www.philgeps.gov.ph/GEPSNONPILOT/Tender/SplashBidNoticeAbstractUI.aspx?menuIndex=3&amp;refID=7181483&amp;Result=3","7181483")</f>
        <v>0</v>
      </c>
      <c r="B7365" t="s">
        <v>82</v>
      </c>
      <c r="C7365" t="s">
        <v>10563</v>
      </c>
      <c r="D7365" t="s">
        <v>17172</v>
      </c>
      <c r="E7365" t="s">
        <v>22620</v>
      </c>
      <c r="F7365" t="s">
        <v>29372</v>
      </c>
      <c r="G7365" t="s">
        <v>29380</v>
      </c>
      <c r="H7365" t="s">
        <v>11048</v>
      </c>
      <c r="I7365" t="s">
        <v>4487</v>
      </c>
      <c r="J7365" t="s">
        <v>34280</v>
      </c>
      <c r="K7365" t="s">
        <v>38490</v>
      </c>
      <c r="M7365" t="s">
        <v>38836</v>
      </c>
      <c r="N7365" t="s">
        <v>42669</v>
      </c>
      <c r="O7365" t="s">
        <v>42670</v>
      </c>
      <c r="P7365">
        <v>0</v>
      </c>
      <c r="Q7365">
        <v>3</v>
      </c>
      <c r="R7365" t="s">
        <v>42678</v>
      </c>
      <c r="S7365" t="s">
        <v>42866</v>
      </c>
      <c r="T7365" t="s">
        <v>44427</v>
      </c>
      <c r="U7365" t="s">
        <v>50773</v>
      </c>
      <c r="W7365" t="s">
        <v>38836</v>
      </c>
      <c r="X7365" t="s">
        <v>42679</v>
      </c>
    </row>
    <row r="7366" spans="1:24">
      <c r="A7366">
        <f>HYPERLINK("https://www.philgeps.gov.ph/GEPSNONPILOT/Tender/SplashBidNoticeAbstractUI.aspx?menuIndex=3&amp;refID=7181474&amp;Result=3","7181474")</f>
        <v>0</v>
      </c>
      <c r="B7366" t="s">
        <v>1978</v>
      </c>
      <c r="C7366" t="s">
        <v>10564</v>
      </c>
      <c r="D7366" t="s">
        <v>17164</v>
      </c>
      <c r="E7366" t="s">
        <v>23621</v>
      </c>
      <c r="F7366" t="s">
        <v>29372</v>
      </c>
      <c r="G7366" t="s">
        <v>29380</v>
      </c>
      <c r="H7366" t="s">
        <v>29389</v>
      </c>
      <c r="I7366" t="s">
        <v>10408</v>
      </c>
      <c r="J7366" t="s">
        <v>34281</v>
      </c>
      <c r="K7366" t="s">
        <v>38485</v>
      </c>
      <c r="M7366" t="s">
        <v>40865</v>
      </c>
      <c r="N7366" t="s">
        <v>42669</v>
      </c>
      <c r="O7366" t="s">
        <v>42670</v>
      </c>
      <c r="P7366">
        <v>0</v>
      </c>
      <c r="Q7366">
        <v>0</v>
      </c>
      <c r="R7366" t="s">
        <v>42678</v>
      </c>
      <c r="S7366" t="s">
        <v>42866</v>
      </c>
      <c r="T7366" t="s">
        <v>44517</v>
      </c>
      <c r="U7366" t="s">
        <v>50830</v>
      </c>
      <c r="W7366" t="s">
        <v>40865</v>
      </c>
      <c r="X7366" t="s">
        <v>42679</v>
      </c>
    </row>
    <row r="7367" spans="1:24">
      <c r="A7367">
        <f>HYPERLINK("https://www.philgeps.gov.ph/GEPSNONPILOT/Tender/SplashBidNoticeAbstractUI.aspx?menuIndex=3&amp;refID=7181472&amp;Result=3","7181472")</f>
        <v>0</v>
      </c>
      <c r="B7367" t="s">
        <v>2217</v>
      </c>
      <c r="C7367" t="s">
        <v>10565</v>
      </c>
      <c r="D7367" t="s">
        <v>17168</v>
      </c>
      <c r="E7367" t="s">
        <v>23622</v>
      </c>
      <c r="F7367" t="s">
        <v>29372</v>
      </c>
      <c r="G7367" t="s">
        <v>29379</v>
      </c>
      <c r="H7367" t="s">
        <v>11048</v>
      </c>
      <c r="I7367" t="s">
        <v>29394</v>
      </c>
      <c r="J7367" t="s">
        <v>34282</v>
      </c>
      <c r="K7367" t="s">
        <v>38485</v>
      </c>
      <c r="M7367" t="s">
        <v>41134</v>
      </c>
      <c r="N7367" t="s">
        <v>42669</v>
      </c>
      <c r="O7367" t="s">
        <v>42670</v>
      </c>
      <c r="P7367">
        <v>0</v>
      </c>
      <c r="Q7367">
        <v>3</v>
      </c>
      <c r="R7367" t="s">
        <v>42678</v>
      </c>
      <c r="S7367" t="s">
        <v>42866</v>
      </c>
      <c r="T7367" t="s">
        <v>44441</v>
      </c>
      <c r="U7367" t="s">
        <v>50834</v>
      </c>
      <c r="W7367" t="s">
        <v>41134</v>
      </c>
      <c r="X7367" t="s">
        <v>42679</v>
      </c>
    </row>
    <row r="7368" spans="1:24">
      <c r="A7368">
        <f>HYPERLINK("https://www.philgeps.gov.ph/GEPSNONPILOT/Tender/SplashBidNoticeAbstractUI.aspx?menuIndex=3&amp;refID=7181467&amp;Result=3","7181467")</f>
        <v>0</v>
      </c>
      <c r="B7368" t="s">
        <v>2372</v>
      </c>
      <c r="C7368" t="s">
        <v>10566</v>
      </c>
      <c r="D7368" t="s">
        <v>17164</v>
      </c>
      <c r="E7368" t="s">
        <v>23623</v>
      </c>
      <c r="F7368" t="s">
        <v>29372</v>
      </c>
      <c r="G7368" t="s">
        <v>29380</v>
      </c>
      <c r="H7368" t="s">
        <v>11048</v>
      </c>
      <c r="I7368" t="s">
        <v>29397</v>
      </c>
      <c r="J7368" t="s">
        <v>29604</v>
      </c>
      <c r="K7368" t="s">
        <v>38496</v>
      </c>
      <c r="M7368" t="s">
        <v>41313</v>
      </c>
      <c r="N7368" t="s">
        <v>42669</v>
      </c>
      <c r="O7368" t="s">
        <v>42670</v>
      </c>
      <c r="P7368">
        <v>0</v>
      </c>
      <c r="Q7368">
        <v>3</v>
      </c>
      <c r="R7368" t="s">
        <v>42678</v>
      </c>
      <c r="S7368" t="s">
        <v>42866</v>
      </c>
      <c r="T7368" t="s">
        <v>44481</v>
      </c>
      <c r="U7368" t="s">
        <v>50835</v>
      </c>
      <c r="W7368" t="s">
        <v>41313</v>
      </c>
      <c r="X7368" t="s">
        <v>42679</v>
      </c>
    </row>
    <row r="7369" spans="1:24">
      <c r="A7369">
        <f>HYPERLINK("https://www.philgeps.gov.ph/GEPSNONPILOT/Tender/SplashBidNoticeAbstractUI.aspx?menuIndex=3&amp;refID=7181419&amp;Result=3","7181419")</f>
        <v>0</v>
      </c>
      <c r="B7369" t="s">
        <v>2370</v>
      </c>
      <c r="C7369" t="s">
        <v>10567</v>
      </c>
      <c r="D7369" t="s">
        <v>17165</v>
      </c>
      <c r="E7369" t="s">
        <v>23624</v>
      </c>
      <c r="F7369" t="s">
        <v>29372</v>
      </c>
      <c r="G7369" t="s">
        <v>29380</v>
      </c>
      <c r="H7369" t="s">
        <v>11048</v>
      </c>
      <c r="I7369" t="s">
        <v>29394</v>
      </c>
      <c r="J7369" t="s">
        <v>34283</v>
      </c>
      <c r="K7369" t="s">
        <v>38487</v>
      </c>
      <c r="M7369" t="s">
        <v>41311</v>
      </c>
      <c r="N7369" t="s">
        <v>42669</v>
      </c>
      <c r="O7369" t="s">
        <v>42670</v>
      </c>
      <c r="P7369">
        <v>0</v>
      </c>
      <c r="Q7369">
        <v>2</v>
      </c>
      <c r="R7369" t="s">
        <v>42678</v>
      </c>
      <c r="S7369" t="s">
        <v>42866</v>
      </c>
      <c r="T7369" t="s">
        <v>44410</v>
      </c>
      <c r="U7369" t="s">
        <v>50827</v>
      </c>
      <c r="W7369" t="s">
        <v>41311</v>
      </c>
      <c r="X7369" t="s">
        <v>42679</v>
      </c>
    </row>
    <row r="7370" spans="1:24">
      <c r="A7370">
        <f>HYPERLINK("https://www.philgeps.gov.ph/GEPSNONPILOT/Tender/SplashBidNoticeAbstractUI.aspx?menuIndex=3&amp;refID=7181438&amp;Result=3","7181438")</f>
        <v>0</v>
      </c>
      <c r="B7370" t="s">
        <v>395</v>
      </c>
      <c r="C7370" t="s">
        <v>10568</v>
      </c>
      <c r="D7370" t="s">
        <v>17141</v>
      </c>
      <c r="E7370" t="s">
        <v>23625</v>
      </c>
      <c r="F7370" t="s">
        <v>29372</v>
      </c>
      <c r="G7370" t="s">
        <v>29379</v>
      </c>
      <c r="H7370" t="s">
        <v>11048</v>
      </c>
      <c r="I7370" t="s">
        <v>3670</v>
      </c>
      <c r="J7370" t="s">
        <v>34284</v>
      </c>
      <c r="K7370" t="s">
        <v>38491</v>
      </c>
      <c r="M7370" t="s">
        <v>39166</v>
      </c>
      <c r="N7370" t="s">
        <v>42669</v>
      </c>
      <c r="O7370" t="s">
        <v>42670</v>
      </c>
      <c r="P7370">
        <v>0</v>
      </c>
      <c r="Q7370">
        <v>0</v>
      </c>
      <c r="R7370" t="s">
        <v>42678</v>
      </c>
      <c r="S7370" t="s">
        <v>42866</v>
      </c>
      <c r="T7370" t="s">
        <v>44488</v>
      </c>
      <c r="U7370" t="s">
        <v>50836</v>
      </c>
      <c r="W7370" t="s">
        <v>39166</v>
      </c>
      <c r="X7370" t="s">
        <v>42679</v>
      </c>
    </row>
    <row r="7371" spans="1:24">
      <c r="A7371">
        <f>HYPERLINK("https://www.philgeps.gov.ph/GEPSNONPILOT/Tender/SplashBidNoticeAbstractUI.aspx?menuIndex=3&amp;refID=7181475&amp;Result=3","7181475")</f>
        <v>0</v>
      </c>
      <c r="B7371" t="s">
        <v>2370</v>
      </c>
      <c r="C7371" t="s">
        <v>10569</v>
      </c>
      <c r="D7371" t="s">
        <v>17165</v>
      </c>
      <c r="E7371" t="s">
        <v>23626</v>
      </c>
      <c r="F7371" t="s">
        <v>29372</v>
      </c>
      <c r="G7371" t="s">
        <v>29380</v>
      </c>
      <c r="H7371" t="s">
        <v>11048</v>
      </c>
      <c r="I7371" t="s">
        <v>4709</v>
      </c>
      <c r="J7371" t="s">
        <v>34285</v>
      </c>
      <c r="K7371" t="s">
        <v>38487</v>
      </c>
      <c r="M7371" t="s">
        <v>41311</v>
      </c>
      <c r="N7371" t="s">
        <v>42669</v>
      </c>
      <c r="O7371" t="s">
        <v>42670</v>
      </c>
      <c r="P7371">
        <v>0</v>
      </c>
      <c r="Q7371">
        <v>1</v>
      </c>
      <c r="R7371" t="s">
        <v>42678</v>
      </c>
      <c r="S7371" t="s">
        <v>42866</v>
      </c>
      <c r="T7371" t="s">
        <v>44750</v>
      </c>
      <c r="U7371" t="s">
        <v>50827</v>
      </c>
      <c r="W7371" t="s">
        <v>41311</v>
      </c>
      <c r="X7371" t="s">
        <v>42679</v>
      </c>
    </row>
    <row r="7372" spans="1:24">
      <c r="A7372">
        <f>HYPERLINK("https://www.philgeps.gov.ph/GEPSNONPILOT/Tender/SplashBidNoticeAbstractUI.aspx?menuIndex=3&amp;refID=7181569&amp;Result=3","7181569")</f>
        <v>0</v>
      </c>
      <c r="B7372" t="s">
        <v>2297</v>
      </c>
      <c r="C7372" t="s">
        <v>10570</v>
      </c>
      <c r="D7372" t="s">
        <v>17181</v>
      </c>
      <c r="E7372" t="s">
        <v>23627</v>
      </c>
      <c r="F7372" t="s">
        <v>29372</v>
      </c>
      <c r="G7372" t="s">
        <v>29380</v>
      </c>
      <c r="H7372" t="s">
        <v>11048</v>
      </c>
      <c r="I7372" t="s">
        <v>9642</v>
      </c>
      <c r="J7372" t="s">
        <v>34286</v>
      </c>
      <c r="K7372" t="s">
        <v>38490</v>
      </c>
      <c r="M7372" t="s">
        <v>41284</v>
      </c>
      <c r="N7372" t="s">
        <v>42669</v>
      </c>
      <c r="O7372" t="s">
        <v>42670</v>
      </c>
      <c r="P7372">
        <v>0</v>
      </c>
      <c r="Q7372">
        <v>12</v>
      </c>
      <c r="R7372" t="s">
        <v>42678</v>
      </c>
      <c r="S7372" t="s">
        <v>42866</v>
      </c>
      <c r="T7372" t="s">
        <v>44507</v>
      </c>
      <c r="U7372" t="s">
        <v>50837</v>
      </c>
      <c r="W7372" t="s">
        <v>41284</v>
      </c>
      <c r="X7372" t="s">
        <v>42679</v>
      </c>
    </row>
    <row r="7373" spans="1:24">
      <c r="A7373">
        <f>HYPERLINK("https://www.philgeps.gov.ph/GEPSNONPILOT/Tender/SplashBidNoticeAbstractUI.aspx?menuIndex=3&amp;refID=7181470&amp;Result=3","7181470")</f>
        <v>0</v>
      </c>
      <c r="B7373" t="s">
        <v>82</v>
      </c>
      <c r="C7373" t="s">
        <v>10571</v>
      </c>
      <c r="D7373" t="s">
        <v>17172</v>
      </c>
      <c r="E7373" t="s">
        <v>18903</v>
      </c>
      <c r="F7373" t="s">
        <v>29372</v>
      </c>
      <c r="G7373" t="s">
        <v>29381</v>
      </c>
      <c r="H7373" t="s">
        <v>11048</v>
      </c>
      <c r="I7373" t="s">
        <v>14920</v>
      </c>
      <c r="J7373" t="s">
        <v>34287</v>
      </c>
      <c r="K7373" t="s">
        <v>38490</v>
      </c>
      <c r="M7373" t="s">
        <v>38836</v>
      </c>
      <c r="N7373" t="s">
        <v>42669</v>
      </c>
      <c r="O7373" t="s">
        <v>42670</v>
      </c>
      <c r="P7373">
        <v>0</v>
      </c>
      <c r="Q7373">
        <v>0</v>
      </c>
      <c r="R7373" t="s">
        <v>42678</v>
      </c>
      <c r="S7373" t="s">
        <v>42866</v>
      </c>
      <c r="T7373" t="s">
        <v>44427</v>
      </c>
      <c r="U7373" t="s">
        <v>50773</v>
      </c>
      <c r="W7373" t="s">
        <v>38836</v>
      </c>
      <c r="X7373" t="s">
        <v>42679</v>
      </c>
    </row>
    <row r="7374" spans="1:24">
      <c r="A7374">
        <f>HYPERLINK("https://www.philgeps.gov.ph/GEPSNONPILOT/Tender/SplashBidNoticeAbstractUI.aspx?menuIndex=3&amp;refID=7181575&amp;Result=3","7181575")</f>
        <v>0</v>
      </c>
      <c r="B7374" t="s">
        <v>1337</v>
      </c>
      <c r="C7374" t="s">
        <v>10572</v>
      </c>
      <c r="D7374" t="s">
        <v>17148</v>
      </c>
      <c r="E7374" t="s">
        <v>23628</v>
      </c>
      <c r="F7374" t="s">
        <v>29372</v>
      </c>
      <c r="G7374" t="s">
        <v>29380</v>
      </c>
      <c r="H7374" t="s">
        <v>29389</v>
      </c>
      <c r="I7374" t="s">
        <v>10408</v>
      </c>
      <c r="J7374" t="s">
        <v>34288</v>
      </c>
      <c r="K7374" t="s">
        <v>38523</v>
      </c>
      <c r="L7374" t="s">
        <v>1337</v>
      </c>
      <c r="M7374" t="s">
        <v>40173</v>
      </c>
      <c r="N7374" t="s">
        <v>42669</v>
      </c>
      <c r="O7374" t="s">
        <v>42670</v>
      </c>
      <c r="P7374">
        <v>0</v>
      </c>
      <c r="Q7374">
        <v>19</v>
      </c>
      <c r="R7374" t="s">
        <v>42678</v>
      </c>
      <c r="S7374" t="s">
        <v>42866</v>
      </c>
      <c r="T7374" t="s">
        <v>44542</v>
      </c>
      <c r="U7374" t="s">
        <v>50838</v>
      </c>
      <c r="W7374" t="s">
        <v>40173</v>
      </c>
      <c r="X7374" t="s">
        <v>42679</v>
      </c>
    </row>
    <row r="7375" spans="1:24">
      <c r="A7375">
        <f>HYPERLINK("https://www.philgeps.gov.ph/GEPSNONPILOT/Tender/SplashBidNoticeAbstractUI.aspx?menuIndex=3&amp;refID=7181560&amp;Result=3","7181560")</f>
        <v>0</v>
      </c>
      <c r="B7375" t="s">
        <v>1978</v>
      </c>
      <c r="C7375" t="s">
        <v>10573</v>
      </c>
      <c r="D7375" t="s">
        <v>17164</v>
      </c>
      <c r="E7375" t="s">
        <v>23629</v>
      </c>
      <c r="F7375" t="s">
        <v>29372</v>
      </c>
      <c r="G7375" t="s">
        <v>29380</v>
      </c>
      <c r="H7375" t="s">
        <v>29389</v>
      </c>
      <c r="I7375" t="s">
        <v>10408</v>
      </c>
      <c r="J7375" t="s">
        <v>34289</v>
      </c>
      <c r="K7375" t="s">
        <v>38485</v>
      </c>
      <c r="M7375" t="s">
        <v>40865</v>
      </c>
      <c r="N7375" t="s">
        <v>42669</v>
      </c>
      <c r="O7375" t="s">
        <v>42670</v>
      </c>
      <c r="P7375">
        <v>0</v>
      </c>
      <c r="Q7375">
        <v>0</v>
      </c>
      <c r="R7375" t="s">
        <v>42678</v>
      </c>
      <c r="S7375" t="s">
        <v>42866</v>
      </c>
      <c r="T7375" t="s">
        <v>44517</v>
      </c>
      <c r="U7375" t="s">
        <v>50839</v>
      </c>
      <c r="W7375" t="s">
        <v>40865</v>
      </c>
      <c r="X7375" t="s">
        <v>42679</v>
      </c>
    </row>
    <row r="7376" spans="1:24">
      <c r="A7376">
        <f>HYPERLINK("https://www.philgeps.gov.ph/GEPSNONPILOT/Tender/SplashBidNoticeAbstractUI.aspx?menuIndex=3&amp;refID=7181555&amp;Result=3","7181555")</f>
        <v>0</v>
      </c>
      <c r="B7376" t="s">
        <v>2373</v>
      </c>
      <c r="C7376" t="s">
        <v>10574</v>
      </c>
      <c r="D7376" t="s">
        <v>17172</v>
      </c>
      <c r="E7376" t="s">
        <v>23630</v>
      </c>
      <c r="F7376" t="s">
        <v>29373</v>
      </c>
      <c r="G7376" t="s">
        <v>29380</v>
      </c>
      <c r="H7376" t="s">
        <v>29389</v>
      </c>
      <c r="I7376" t="s">
        <v>10408</v>
      </c>
      <c r="J7376" t="s">
        <v>34290</v>
      </c>
      <c r="K7376" t="s">
        <v>38664</v>
      </c>
      <c r="L7376" t="s">
        <v>2373</v>
      </c>
      <c r="M7376" t="s">
        <v>41314</v>
      </c>
      <c r="N7376" t="s">
        <v>42669</v>
      </c>
      <c r="O7376" t="s">
        <v>42670</v>
      </c>
      <c r="P7376">
        <v>0</v>
      </c>
      <c r="Q7376">
        <v>0</v>
      </c>
      <c r="R7376" t="s">
        <v>42678</v>
      </c>
      <c r="S7376" t="s">
        <v>42866</v>
      </c>
      <c r="T7376" t="s">
        <v>44355</v>
      </c>
      <c r="U7376" t="s">
        <v>50840</v>
      </c>
      <c r="W7376" t="s">
        <v>41314</v>
      </c>
      <c r="X7376" t="s">
        <v>42679</v>
      </c>
    </row>
    <row r="7377" spans="1:24">
      <c r="A7377">
        <f>HYPERLINK("https://www.philgeps.gov.ph/GEPSNONPILOT/Tender/SplashBidNoticeAbstractUI.aspx?menuIndex=3&amp;refID=7181566&amp;Result=3","7181566")</f>
        <v>0</v>
      </c>
      <c r="B7377" t="s">
        <v>883</v>
      </c>
      <c r="C7377" t="s">
        <v>10575</v>
      </c>
      <c r="D7377" t="s">
        <v>17161</v>
      </c>
      <c r="E7377" t="s">
        <v>23631</v>
      </c>
      <c r="F7377" t="s">
        <v>29372</v>
      </c>
      <c r="G7377" t="s">
        <v>29380</v>
      </c>
      <c r="H7377" t="s">
        <v>11048</v>
      </c>
      <c r="I7377" t="s">
        <v>10408</v>
      </c>
      <c r="J7377" t="s">
        <v>34291</v>
      </c>
      <c r="K7377" t="s">
        <v>38538</v>
      </c>
      <c r="M7377" t="s">
        <v>39675</v>
      </c>
      <c r="N7377" t="s">
        <v>42669</v>
      </c>
      <c r="O7377" t="s">
        <v>42670</v>
      </c>
      <c r="P7377">
        <v>0</v>
      </c>
      <c r="Q7377">
        <v>1</v>
      </c>
      <c r="R7377" t="s">
        <v>42678</v>
      </c>
      <c r="S7377" t="s">
        <v>42866</v>
      </c>
      <c r="T7377" t="s">
        <v>44368</v>
      </c>
      <c r="U7377" t="s">
        <v>50841</v>
      </c>
      <c r="W7377" t="s">
        <v>39675</v>
      </c>
      <c r="X7377" t="s">
        <v>42679</v>
      </c>
    </row>
    <row r="7378" spans="1:24">
      <c r="A7378">
        <f>HYPERLINK("https://www.philgeps.gov.ph/GEPSNONPILOT/Tender/SplashBidNoticeAbstractUI.aspx?menuIndex=3&amp;refID=7181563&amp;Result=3","7181563")</f>
        <v>0</v>
      </c>
      <c r="B7378" t="s">
        <v>2020</v>
      </c>
      <c r="C7378" t="s">
        <v>10576</v>
      </c>
      <c r="D7378" t="s">
        <v>17177</v>
      </c>
      <c r="E7378" t="s">
        <v>23632</v>
      </c>
      <c r="F7378" t="s">
        <v>29372</v>
      </c>
      <c r="G7378" t="s">
        <v>29380</v>
      </c>
      <c r="H7378" t="s">
        <v>29389</v>
      </c>
      <c r="I7378" t="s">
        <v>10408</v>
      </c>
      <c r="J7378" t="s">
        <v>34292</v>
      </c>
      <c r="K7378" t="s">
        <v>38485</v>
      </c>
      <c r="M7378" t="s">
        <v>41241</v>
      </c>
      <c r="N7378" t="s">
        <v>42669</v>
      </c>
      <c r="O7378" t="s">
        <v>42670</v>
      </c>
      <c r="P7378">
        <v>0</v>
      </c>
      <c r="Q7378">
        <v>0</v>
      </c>
      <c r="R7378" t="s">
        <v>42678</v>
      </c>
      <c r="S7378" t="s">
        <v>42866</v>
      </c>
      <c r="T7378" t="s">
        <v>44475</v>
      </c>
      <c r="U7378" t="s">
        <v>50842</v>
      </c>
      <c r="V7378" t="s">
        <v>57146</v>
      </c>
      <c r="W7378" t="s">
        <v>41241</v>
      </c>
      <c r="X7378" t="s">
        <v>42679</v>
      </c>
    </row>
    <row r="7379" spans="1:24">
      <c r="A7379">
        <f>HYPERLINK("https://www.philgeps.gov.ph/GEPSNONPILOT/Tender/SplashBidNoticeAbstractUI.aspx?menuIndex=3&amp;refID=7181547&amp;Result=3","7181547")</f>
        <v>0</v>
      </c>
      <c r="B7379" t="s">
        <v>1061</v>
      </c>
      <c r="C7379" t="s">
        <v>10577</v>
      </c>
      <c r="D7379" t="s">
        <v>17174</v>
      </c>
      <c r="E7379" t="s">
        <v>23633</v>
      </c>
      <c r="F7379" t="s">
        <v>29372</v>
      </c>
      <c r="G7379" t="s">
        <v>29380</v>
      </c>
      <c r="H7379" t="s">
        <v>29389</v>
      </c>
      <c r="I7379" t="s">
        <v>10408</v>
      </c>
      <c r="J7379" t="s">
        <v>34293</v>
      </c>
      <c r="K7379" t="s">
        <v>38496</v>
      </c>
      <c r="M7379" t="s">
        <v>39868</v>
      </c>
      <c r="N7379" t="s">
        <v>42669</v>
      </c>
      <c r="O7379" t="s">
        <v>42670</v>
      </c>
      <c r="P7379">
        <v>0</v>
      </c>
      <c r="Q7379">
        <v>0</v>
      </c>
      <c r="R7379" t="s">
        <v>42678</v>
      </c>
      <c r="S7379" t="s">
        <v>42866</v>
      </c>
      <c r="T7379" t="s">
        <v>44488</v>
      </c>
      <c r="U7379" t="s">
        <v>50843</v>
      </c>
      <c r="W7379" t="s">
        <v>39868</v>
      </c>
      <c r="X7379" t="s">
        <v>42679</v>
      </c>
    </row>
    <row r="7380" spans="1:24">
      <c r="A7380">
        <f>HYPERLINK("https://www.philgeps.gov.ph/GEPSNONPILOT/Tender/SplashBidNoticeAbstractUI.aspx?menuIndex=3&amp;refID=7181542&amp;Result=3","7181542")</f>
        <v>0</v>
      </c>
      <c r="B7380" t="s">
        <v>1978</v>
      </c>
      <c r="C7380" t="s">
        <v>10578</v>
      </c>
      <c r="D7380" t="s">
        <v>17164</v>
      </c>
      <c r="E7380" t="s">
        <v>23634</v>
      </c>
      <c r="F7380" t="s">
        <v>29372</v>
      </c>
      <c r="G7380" t="s">
        <v>29380</v>
      </c>
      <c r="H7380" t="s">
        <v>29389</v>
      </c>
      <c r="I7380" t="s">
        <v>10408</v>
      </c>
      <c r="J7380" t="s">
        <v>29571</v>
      </c>
      <c r="K7380" t="s">
        <v>38518</v>
      </c>
      <c r="M7380" t="s">
        <v>40865</v>
      </c>
      <c r="N7380" t="s">
        <v>42669</v>
      </c>
      <c r="O7380" t="s">
        <v>42670</v>
      </c>
      <c r="P7380">
        <v>0</v>
      </c>
      <c r="Q7380">
        <v>0</v>
      </c>
      <c r="R7380" t="s">
        <v>42678</v>
      </c>
      <c r="S7380" t="s">
        <v>42866</v>
      </c>
      <c r="T7380" t="s">
        <v>44517</v>
      </c>
      <c r="U7380" t="s">
        <v>50844</v>
      </c>
      <c r="W7380" t="s">
        <v>40865</v>
      </c>
      <c r="X7380" t="s">
        <v>42679</v>
      </c>
    </row>
    <row r="7381" spans="1:24">
      <c r="A7381">
        <f>HYPERLINK("https://www.philgeps.gov.ph/GEPSNONPILOT/Tender/SplashBidNoticeAbstractUI.aspx?menuIndex=3&amp;refID=7181554&amp;Result=3","7181554")</f>
        <v>0</v>
      </c>
      <c r="B7381" t="s">
        <v>2020</v>
      </c>
      <c r="C7381" t="s">
        <v>10579</v>
      </c>
      <c r="D7381" t="s">
        <v>17177</v>
      </c>
      <c r="E7381" t="s">
        <v>23635</v>
      </c>
      <c r="F7381" t="s">
        <v>29372</v>
      </c>
      <c r="G7381" t="s">
        <v>29380</v>
      </c>
      <c r="H7381" t="s">
        <v>29389</v>
      </c>
      <c r="I7381" t="s">
        <v>10408</v>
      </c>
      <c r="J7381" t="s">
        <v>34294</v>
      </c>
      <c r="K7381" t="s">
        <v>38525</v>
      </c>
      <c r="M7381" t="s">
        <v>41241</v>
      </c>
      <c r="N7381" t="s">
        <v>42669</v>
      </c>
      <c r="O7381" t="s">
        <v>42670</v>
      </c>
      <c r="P7381">
        <v>0</v>
      </c>
      <c r="Q7381">
        <v>0</v>
      </c>
      <c r="R7381" t="s">
        <v>42678</v>
      </c>
      <c r="S7381" t="s">
        <v>42866</v>
      </c>
      <c r="T7381" t="s">
        <v>44475</v>
      </c>
      <c r="U7381" t="s">
        <v>50842</v>
      </c>
      <c r="V7381" t="s">
        <v>57146</v>
      </c>
      <c r="W7381" t="s">
        <v>41241</v>
      </c>
      <c r="X7381" t="s">
        <v>42679</v>
      </c>
    </row>
    <row r="7382" spans="1:24">
      <c r="A7382">
        <f>HYPERLINK("https://www.philgeps.gov.ph/GEPSNONPILOT/Tender/SplashBidNoticeAbstractUI.aspx?menuIndex=3&amp;refID=7181620&amp;Result=3","7181620")</f>
        <v>0</v>
      </c>
      <c r="B7382" t="s">
        <v>2040</v>
      </c>
      <c r="C7382" t="s">
        <v>10580</v>
      </c>
      <c r="D7382" t="s">
        <v>17216</v>
      </c>
      <c r="E7382" t="s">
        <v>23636</v>
      </c>
      <c r="F7382" t="s">
        <v>29372</v>
      </c>
      <c r="G7382" t="s">
        <v>29380</v>
      </c>
      <c r="H7382" t="s">
        <v>29389</v>
      </c>
      <c r="I7382" t="s">
        <v>10408</v>
      </c>
      <c r="J7382" t="s">
        <v>29973</v>
      </c>
      <c r="K7382" t="s">
        <v>38522</v>
      </c>
      <c r="M7382" t="s">
        <v>40937</v>
      </c>
      <c r="N7382" t="s">
        <v>42669</v>
      </c>
      <c r="O7382" t="s">
        <v>42670</v>
      </c>
      <c r="P7382">
        <v>0</v>
      </c>
      <c r="Q7382">
        <v>1</v>
      </c>
      <c r="R7382" t="s">
        <v>42678</v>
      </c>
      <c r="S7382" t="s">
        <v>42866</v>
      </c>
      <c r="T7382" t="s">
        <v>44684</v>
      </c>
      <c r="U7382" t="s">
        <v>50845</v>
      </c>
      <c r="W7382" t="s">
        <v>40937</v>
      </c>
      <c r="X7382" t="s">
        <v>42679</v>
      </c>
    </row>
    <row r="7383" spans="1:24">
      <c r="A7383">
        <f>HYPERLINK("https://www.philgeps.gov.ph/GEPSNONPILOT/Tender/SplashBidNoticeAbstractUI.aspx?menuIndex=3&amp;refID=7181565&amp;Result=3","7181565")</f>
        <v>0</v>
      </c>
      <c r="B7383" t="s">
        <v>2328</v>
      </c>
      <c r="C7383" t="s">
        <v>10581</v>
      </c>
      <c r="D7383" t="s">
        <v>17202</v>
      </c>
      <c r="E7383" t="s">
        <v>23637</v>
      </c>
      <c r="F7383" t="s">
        <v>29372</v>
      </c>
      <c r="G7383" t="s">
        <v>29380</v>
      </c>
      <c r="H7383" t="s">
        <v>11048</v>
      </c>
      <c r="I7383" t="s">
        <v>9469</v>
      </c>
      <c r="J7383" t="s">
        <v>29751</v>
      </c>
      <c r="K7383" t="s">
        <v>38485</v>
      </c>
      <c r="M7383" t="s">
        <v>41260</v>
      </c>
      <c r="N7383" t="s">
        <v>42669</v>
      </c>
      <c r="O7383" t="s">
        <v>42670</v>
      </c>
      <c r="P7383">
        <v>0</v>
      </c>
      <c r="Q7383">
        <v>0</v>
      </c>
      <c r="R7383" t="s">
        <v>42678</v>
      </c>
      <c r="S7383" t="s">
        <v>42866</v>
      </c>
      <c r="T7383" t="s">
        <v>44593</v>
      </c>
      <c r="U7383" t="s">
        <v>50846</v>
      </c>
      <c r="W7383" t="s">
        <v>41260</v>
      </c>
      <c r="X7383" t="s">
        <v>42679</v>
      </c>
    </row>
    <row r="7384" spans="1:24">
      <c r="A7384">
        <f>HYPERLINK("https://www.philgeps.gov.ph/GEPSNONPILOT/Tender/SplashBidNoticeAbstractUI.aspx?menuIndex=3&amp;refID=7181616&amp;Result=3","7181616")</f>
        <v>0</v>
      </c>
      <c r="B7384" t="s">
        <v>2360</v>
      </c>
      <c r="C7384" t="s">
        <v>10582</v>
      </c>
      <c r="D7384" t="s">
        <v>17168</v>
      </c>
      <c r="E7384" t="s">
        <v>23638</v>
      </c>
      <c r="F7384" t="s">
        <v>29372</v>
      </c>
      <c r="G7384" t="s">
        <v>29380</v>
      </c>
      <c r="H7384" t="s">
        <v>11048</v>
      </c>
      <c r="I7384" t="s">
        <v>4709</v>
      </c>
      <c r="J7384" t="s">
        <v>34295</v>
      </c>
      <c r="K7384" t="s">
        <v>38538</v>
      </c>
      <c r="M7384" t="s">
        <v>41296</v>
      </c>
      <c r="N7384" t="s">
        <v>42669</v>
      </c>
      <c r="O7384" t="s">
        <v>42670</v>
      </c>
      <c r="P7384">
        <v>0</v>
      </c>
      <c r="Q7384">
        <v>0</v>
      </c>
      <c r="R7384" t="s">
        <v>42678</v>
      </c>
      <c r="S7384" t="s">
        <v>42866</v>
      </c>
      <c r="T7384" t="s">
        <v>44431</v>
      </c>
      <c r="U7384" t="s">
        <v>50847</v>
      </c>
      <c r="W7384" t="s">
        <v>41296</v>
      </c>
      <c r="X7384" t="s">
        <v>42679</v>
      </c>
    </row>
    <row r="7385" spans="1:24">
      <c r="A7385">
        <f>HYPERLINK("https://www.philgeps.gov.ph/GEPSNONPILOT/Tender/SplashBidNoticeAbstractUI.aspx?menuIndex=3&amp;refID=7181537&amp;Result=3","7181537")</f>
        <v>0</v>
      </c>
      <c r="B7385" t="s">
        <v>2161</v>
      </c>
      <c r="C7385" t="s">
        <v>10583</v>
      </c>
      <c r="D7385" t="s">
        <v>17175</v>
      </c>
      <c r="E7385" t="s">
        <v>23639</v>
      </c>
      <c r="F7385" t="s">
        <v>29372</v>
      </c>
      <c r="G7385" t="s">
        <v>29380</v>
      </c>
      <c r="H7385" t="s">
        <v>11048</v>
      </c>
      <c r="I7385" t="s">
        <v>10408</v>
      </c>
      <c r="J7385" t="s">
        <v>29922</v>
      </c>
      <c r="K7385" t="s">
        <v>38490</v>
      </c>
      <c r="M7385" t="s">
        <v>41072</v>
      </c>
      <c r="N7385" t="s">
        <v>42669</v>
      </c>
      <c r="O7385" t="s">
        <v>42670</v>
      </c>
      <c r="P7385">
        <v>0</v>
      </c>
      <c r="Q7385">
        <v>0</v>
      </c>
      <c r="R7385" t="s">
        <v>42678</v>
      </c>
      <c r="S7385" t="s">
        <v>42866</v>
      </c>
      <c r="T7385" t="s">
        <v>44355</v>
      </c>
      <c r="U7385" t="s">
        <v>50848</v>
      </c>
      <c r="W7385" t="s">
        <v>41072</v>
      </c>
      <c r="X7385" t="s">
        <v>42679</v>
      </c>
    </row>
    <row r="7386" spans="1:24">
      <c r="A7386">
        <f>HYPERLINK("https://www.philgeps.gov.ph/GEPSNONPILOT/Tender/SplashBidNoticeAbstractUI.aspx?menuIndex=3&amp;refID=7181551&amp;Result=3","7181551")</f>
        <v>0</v>
      </c>
      <c r="B7386" t="s">
        <v>82</v>
      </c>
      <c r="C7386" t="s">
        <v>10584</v>
      </c>
      <c r="D7386" t="s">
        <v>17172</v>
      </c>
      <c r="E7386" t="s">
        <v>23640</v>
      </c>
      <c r="F7386" t="s">
        <v>29372</v>
      </c>
      <c r="G7386" t="s">
        <v>29380</v>
      </c>
      <c r="H7386" t="s">
        <v>29389</v>
      </c>
      <c r="I7386" t="s">
        <v>10408</v>
      </c>
      <c r="J7386" t="s">
        <v>34296</v>
      </c>
      <c r="K7386" t="s">
        <v>38490</v>
      </c>
      <c r="M7386" t="s">
        <v>38836</v>
      </c>
      <c r="N7386" t="s">
        <v>42669</v>
      </c>
      <c r="O7386" t="s">
        <v>42670</v>
      </c>
      <c r="P7386">
        <v>0</v>
      </c>
      <c r="Q7386">
        <v>1</v>
      </c>
      <c r="R7386" t="s">
        <v>42678</v>
      </c>
      <c r="S7386" t="s">
        <v>42866</v>
      </c>
      <c r="T7386" t="s">
        <v>44427</v>
      </c>
      <c r="U7386" t="s">
        <v>50773</v>
      </c>
      <c r="W7386" t="s">
        <v>38836</v>
      </c>
      <c r="X7386" t="s">
        <v>42679</v>
      </c>
    </row>
    <row r="7387" spans="1:24">
      <c r="A7387">
        <f>HYPERLINK("https://www.philgeps.gov.ph/GEPSNONPILOT/Tender/SplashBidNoticeAbstractUI.aspx?menuIndex=3&amp;refID=7181610&amp;Result=3","7181610")</f>
        <v>0</v>
      </c>
      <c r="B7387" t="s">
        <v>25</v>
      </c>
      <c r="C7387" t="s">
        <v>10585</v>
      </c>
      <c r="D7387" t="s">
        <v>17142</v>
      </c>
      <c r="E7387" t="s">
        <v>10585</v>
      </c>
      <c r="F7387" t="s">
        <v>29372</v>
      </c>
      <c r="G7387" t="s">
        <v>29383</v>
      </c>
      <c r="H7387" t="s">
        <v>11048</v>
      </c>
      <c r="I7387" t="s">
        <v>14920</v>
      </c>
      <c r="J7387" t="s">
        <v>34297</v>
      </c>
      <c r="K7387" t="s">
        <v>38485</v>
      </c>
      <c r="M7387" t="s">
        <v>38778</v>
      </c>
      <c r="N7387" t="s">
        <v>42669</v>
      </c>
      <c r="O7387" t="s">
        <v>42670</v>
      </c>
      <c r="P7387">
        <v>0</v>
      </c>
      <c r="Q7387">
        <v>0</v>
      </c>
      <c r="R7387" t="s">
        <v>42678</v>
      </c>
      <c r="S7387" t="s">
        <v>42866</v>
      </c>
      <c r="T7387" t="s">
        <v>44427</v>
      </c>
      <c r="U7387" t="s">
        <v>50849</v>
      </c>
      <c r="W7387" t="s">
        <v>38778</v>
      </c>
      <c r="X7387" t="s">
        <v>42679</v>
      </c>
    </row>
    <row r="7388" spans="1:24">
      <c r="A7388">
        <f>HYPERLINK("https://www.philgeps.gov.ph/GEPSNONPILOT/Tender/SplashBidNoticeAbstractUI.aspx?menuIndex=3&amp;refID=7181607&amp;Result=3","7181607")</f>
        <v>0</v>
      </c>
      <c r="B7388" t="s">
        <v>1513</v>
      </c>
      <c r="C7388" t="s">
        <v>10586</v>
      </c>
      <c r="D7388" t="s">
        <v>17171</v>
      </c>
      <c r="E7388" t="s">
        <v>23641</v>
      </c>
      <c r="F7388" t="s">
        <v>29372</v>
      </c>
      <c r="G7388" t="s">
        <v>29380</v>
      </c>
      <c r="H7388" t="s">
        <v>11048</v>
      </c>
      <c r="I7388" t="s">
        <v>29409</v>
      </c>
      <c r="J7388" t="s">
        <v>29797</v>
      </c>
      <c r="K7388" t="s">
        <v>38490</v>
      </c>
      <c r="M7388" t="s">
        <v>40357</v>
      </c>
      <c r="N7388" t="s">
        <v>42669</v>
      </c>
      <c r="O7388" t="s">
        <v>42670</v>
      </c>
      <c r="P7388">
        <v>0</v>
      </c>
      <c r="Q7388">
        <v>0</v>
      </c>
      <c r="R7388" t="s">
        <v>42678</v>
      </c>
      <c r="S7388" t="s">
        <v>42866</v>
      </c>
      <c r="T7388" t="s">
        <v>44570</v>
      </c>
      <c r="U7388" t="s">
        <v>50850</v>
      </c>
      <c r="V7388" t="s">
        <v>57180</v>
      </c>
      <c r="W7388" t="s">
        <v>40357</v>
      </c>
      <c r="X7388" t="s">
        <v>42679</v>
      </c>
    </row>
    <row r="7389" spans="1:24">
      <c r="A7389">
        <f>HYPERLINK("https://www.philgeps.gov.ph/GEPSNONPILOT/Tender/SplashBidNoticeAbstractUI.aspx?menuIndex=3&amp;refID=7181613&amp;Result=3","7181613")</f>
        <v>0</v>
      </c>
      <c r="B7389" t="s">
        <v>1978</v>
      </c>
      <c r="C7389" t="s">
        <v>10587</v>
      </c>
      <c r="D7389" t="s">
        <v>17164</v>
      </c>
      <c r="E7389" t="s">
        <v>23642</v>
      </c>
      <c r="F7389" t="s">
        <v>29372</v>
      </c>
      <c r="G7389" t="s">
        <v>29380</v>
      </c>
      <c r="H7389" t="s">
        <v>29389</v>
      </c>
      <c r="I7389" t="s">
        <v>10408</v>
      </c>
      <c r="J7389" t="s">
        <v>34298</v>
      </c>
      <c r="K7389" t="s">
        <v>38518</v>
      </c>
      <c r="M7389" t="s">
        <v>40865</v>
      </c>
      <c r="N7389" t="s">
        <v>42669</v>
      </c>
      <c r="O7389" t="s">
        <v>42670</v>
      </c>
      <c r="P7389">
        <v>0</v>
      </c>
      <c r="Q7389">
        <v>0</v>
      </c>
      <c r="R7389" t="s">
        <v>42678</v>
      </c>
      <c r="S7389" t="s">
        <v>42866</v>
      </c>
      <c r="T7389" t="s">
        <v>44517</v>
      </c>
      <c r="U7389" t="s">
        <v>50839</v>
      </c>
      <c r="W7389" t="s">
        <v>40865</v>
      </c>
      <c r="X7389" t="s">
        <v>42679</v>
      </c>
    </row>
    <row r="7390" spans="1:24">
      <c r="A7390">
        <f>HYPERLINK("https://www.philgeps.gov.ph/GEPSNONPILOT/Tender/SplashBidNoticeAbstractUI.aspx?menuIndex=3&amp;refID=7181476&amp;Result=3","7181476")</f>
        <v>0</v>
      </c>
      <c r="B7390" t="s">
        <v>2113</v>
      </c>
      <c r="C7390" t="s">
        <v>10588</v>
      </c>
      <c r="D7390" t="s">
        <v>17161</v>
      </c>
      <c r="E7390" t="s">
        <v>23643</v>
      </c>
      <c r="F7390" t="s">
        <v>29372</v>
      </c>
      <c r="G7390" t="s">
        <v>29380</v>
      </c>
      <c r="H7390" t="s">
        <v>29389</v>
      </c>
      <c r="I7390" t="s">
        <v>10408</v>
      </c>
      <c r="J7390" t="s">
        <v>34299</v>
      </c>
      <c r="K7390" t="s">
        <v>38514</v>
      </c>
      <c r="M7390" t="s">
        <v>41016</v>
      </c>
      <c r="N7390" t="s">
        <v>42669</v>
      </c>
      <c r="O7390" t="s">
        <v>42670</v>
      </c>
      <c r="P7390">
        <v>0</v>
      </c>
      <c r="Q7390">
        <v>1</v>
      </c>
      <c r="R7390" t="s">
        <v>42678</v>
      </c>
      <c r="S7390" t="s">
        <v>42866</v>
      </c>
      <c r="T7390" t="s">
        <v>44361</v>
      </c>
      <c r="U7390" t="s">
        <v>50851</v>
      </c>
      <c r="W7390" t="s">
        <v>41016</v>
      </c>
      <c r="X7390" t="s">
        <v>42679</v>
      </c>
    </row>
    <row r="7391" spans="1:24">
      <c r="A7391">
        <f>HYPERLINK("https://www.philgeps.gov.ph/GEPSNONPILOT/Tender/SplashBidNoticeAbstractUI.aspx?menuIndex=3&amp;refID=7181612&amp;Result=3","7181612")</f>
        <v>0</v>
      </c>
      <c r="B7391" t="s">
        <v>697</v>
      </c>
      <c r="C7391" t="s">
        <v>10589</v>
      </c>
      <c r="D7391" t="s">
        <v>17174</v>
      </c>
      <c r="E7391" t="s">
        <v>23644</v>
      </c>
      <c r="F7391" t="s">
        <v>29372</v>
      </c>
      <c r="G7391" t="s">
        <v>29381</v>
      </c>
      <c r="H7391" t="s">
        <v>11048</v>
      </c>
      <c r="I7391" t="s">
        <v>10408</v>
      </c>
      <c r="J7391" t="s">
        <v>31223</v>
      </c>
      <c r="K7391" t="s">
        <v>38485</v>
      </c>
      <c r="M7391" t="s">
        <v>39474</v>
      </c>
      <c r="N7391" t="s">
        <v>42669</v>
      </c>
      <c r="O7391" t="s">
        <v>42670</v>
      </c>
      <c r="P7391">
        <v>0</v>
      </c>
      <c r="Q7391">
        <v>0</v>
      </c>
      <c r="R7391" t="s">
        <v>42678</v>
      </c>
      <c r="S7391" t="s">
        <v>42866</v>
      </c>
      <c r="T7391" t="s">
        <v>44491</v>
      </c>
      <c r="U7391" t="s">
        <v>50852</v>
      </c>
      <c r="W7391" t="s">
        <v>39474</v>
      </c>
      <c r="X7391" t="s">
        <v>42679</v>
      </c>
    </row>
    <row r="7392" spans="1:24">
      <c r="A7392">
        <f>HYPERLINK("https://www.philgeps.gov.ph/GEPSNONPILOT/Tender/SplashBidNoticeAbstractUI.aspx?menuIndex=3&amp;refID=7181598&amp;Result=3","7181598")</f>
        <v>0</v>
      </c>
      <c r="B7392" t="s">
        <v>2020</v>
      </c>
      <c r="C7392" t="s">
        <v>10590</v>
      </c>
      <c r="D7392" t="s">
        <v>17177</v>
      </c>
      <c r="E7392" t="s">
        <v>23645</v>
      </c>
      <c r="F7392" t="s">
        <v>29372</v>
      </c>
      <c r="G7392" t="s">
        <v>29380</v>
      </c>
      <c r="H7392" t="s">
        <v>29389</v>
      </c>
      <c r="I7392" t="s">
        <v>10408</v>
      </c>
      <c r="J7392" t="s">
        <v>34300</v>
      </c>
      <c r="K7392" t="s">
        <v>38503</v>
      </c>
      <c r="M7392" t="s">
        <v>41241</v>
      </c>
      <c r="N7392" t="s">
        <v>42669</v>
      </c>
      <c r="O7392" t="s">
        <v>42670</v>
      </c>
      <c r="P7392">
        <v>0</v>
      </c>
      <c r="Q7392">
        <v>0</v>
      </c>
      <c r="R7392" t="s">
        <v>42678</v>
      </c>
      <c r="S7392" t="s">
        <v>42866</v>
      </c>
      <c r="T7392" t="s">
        <v>44475</v>
      </c>
      <c r="U7392" t="s">
        <v>50842</v>
      </c>
      <c r="V7392" t="s">
        <v>57146</v>
      </c>
      <c r="W7392" t="s">
        <v>41241</v>
      </c>
      <c r="X7392" t="s">
        <v>42679</v>
      </c>
    </row>
    <row r="7393" spans="1:24">
      <c r="A7393">
        <f>HYPERLINK("https://www.philgeps.gov.ph/GEPSNONPILOT/Tender/SplashBidNoticeAbstractUI.aspx?menuIndex=3&amp;refID=7181596&amp;Result=3","7181596")</f>
        <v>0</v>
      </c>
      <c r="B7393" t="s">
        <v>1978</v>
      </c>
      <c r="C7393" t="s">
        <v>10591</v>
      </c>
      <c r="D7393" t="s">
        <v>17164</v>
      </c>
      <c r="E7393" t="s">
        <v>23646</v>
      </c>
      <c r="F7393" t="s">
        <v>29372</v>
      </c>
      <c r="G7393" t="s">
        <v>29380</v>
      </c>
      <c r="H7393" t="s">
        <v>29389</v>
      </c>
      <c r="I7393" t="s">
        <v>10408</v>
      </c>
      <c r="J7393" t="s">
        <v>34301</v>
      </c>
      <c r="K7393" t="s">
        <v>38485</v>
      </c>
      <c r="M7393" t="s">
        <v>40865</v>
      </c>
      <c r="N7393" t="s">
        <v>42669</v>
      </c>
      <c r="O7393" t="s">
        <v>42670</v>
      </c>
      <c r="P7393">
        <v>0</v>
      </c>
      <c r="Q7393">
        <v>0</v>
      </c>
      <c r="R7393" t="s">
        <v>42678</v>
      </c>
      <c r="S7393" t="s">
        <v>42866</v>
      </c>
      <c r="T7393" t="s">
        <v>44517</v>
      </c>
      <c r="U7393" t="s">
        <v>50839</v>
      </c>
      <c r="W7393" t="s">
        <v>40865</v>
      </c>
      <c r="X7393" t="s">
        <v>42679</v>
      </c>
    </row>
    <row r="7394" spans="1:24">
      <c r="A7394">
        <f>HYPERLINK("https://www.philgeps.gov.ph/GEPSNONPILOT/Tender/SplashBidNoticeAbstractUI.aspx?menuIndex=3&amp;refID=7181593&amp;Result=3","7181593")</f>
        <v>0</v>
      </c>
      <c r="B7394" t="s">
        <v>1513</v>
      </c>
      <c r="C7394" t="s">
        <v>10592</v>
      </c>
      <c r="D7394" t="s">
        <v>17171</v>
      </c>
      <c r="E7394" t="s">
        <v>23647</v>
      </c>
      <c r="F7394" t="s">
        <v>29372</v>
      </c>
      <c r="G7394" t="s">
        <v>29380</v>
      </c>
      <c r="H7394" t="s">
        <v>11048</v>
      </c>
      <c r="I7394" t="s">
        <v>3629</v>
      </c>
      <c r="J7394" t="s">
        <v>34302</v>
      </c>
      <c r="K7394" t="s">
        <v>38490</v>
      </c>
      <c r="M7394" t="s">
        <v>40357</v>
      </c>
      <c r="N7394" t="s">
        <v>42669</v>
      </c>
      <c r="O7394" t="s">
        <v>42670</v>
      </c>
      <c r="P7394">
        <v>0</v>
      </c>
      <c r="Q7394">
        <v>0</v>
      </c>
      <c r="R7394" t="s">
        <v>42678</v>
      </c>
      <c r="S7394" t="s">
        <v>42866</v>
      </c>
      <c r="T7394" t="s">
        <v>44570</v>
      </c>
      <c r="U7394" t="s">
        <v>50853</v>
      </c>
      <c r="V7394" t="s">
        <v>57180</v>
      </c>
      <c r="W7394" t="s">
        <v>40357</v>
      </c>
      <c r="X7394" t="s">
        <v>42679</v>
      </c>
    </row>
    <row r="7395" spans="1:24">
      <c r="A7395">
        <f>HYPERLINK("https://www.philgeps.gov.ph/GEPSNONPILOT/Tender/SplashBidNoticeAbstractUI.aspx?menuIndex=3&amp;refID=7181586&amp;Result=3","7181586")</f>
        <v>0</v>
      </c>
      <c r="B7395" t="s">
        <v>2020</v>
      </c>
      <c r="C7395" t="s">
        <v>10593</v>
      </c>
      <c r="D7395" t="s">
        <v>17177</v>
      </c>
      <c r="E7395" t="s">
        <v>23648</v>
      </c>
      <c r="F7395" t="s">
        <v>29372</v>
      </c>
      <c r="G7395" t="s">
        <v>29380</v>
      </c>
      <c r="H7395" t="s">
        <v>29389</v>
      </c>
      <c r="I7395" t="s">
        <v>10408</v>
      </c>
      <c r="J7395" t="s">
        <v>34303</v>
      </c>
      <c r="K7395" t="s">
        <v>38496</v>
      </c>
      <c r="M7395" t="s">
        <v>41241</v>
      </c>
      <c r="N7395" t="s">
        <v>42669</v>
      </c>
      <c r="O7395" t="s">
        <v>42670</v>
      </c>
      <c r="P7395">
        <v>0</v>
      </c>
      <c r="Q7395">
        <v>0</v>
      </c>
      <c r="R7395" t="s">
        <v>42678</v>
      </c>
      <c r="S7395" t="s">
        <v>42866</v>
      </c>
      <c r="T7395" t="s">
        <v>44475</v>
      </c>
      <c r="U7395" t="s">
        <v>50842</v>
      </c>
      <c r="V7395" t="s">
        <v>57146</v>
      </c>
      <c r="W7395" t="s">
        <v>41241</v>
      </c>
      <c r="X7395" t="s">
        <v>42679</v>
      </c>
    </row>
    <row r="7396" spans="1:24">
      <c r="A7396">
        <f>HYPERLINK("https://www.philgeps.gov.ph/GEPSNONPILOT/Tender/SplashBidNoticeAbstractUI.aspx?menuIndex=3&amp;refID=7181606&amp;Result=3","7181606")</f>
        <v>0</v>
      </c>
      <c r="B7396" t="s">
        <v>2374</v>
      </c>
      <c r="C7396" t="s">
        <v>10594</v>
      </c>
      <c r="D7396" t="s">
        <v>17163</v>
      </c>
      <c r="E7396" t="s">
        <v>23649</v>
      </c>
      <c r="F7396" t="s">
        <v>29372</v>
      </c>
      <c r="G7396" t="s">
        <v>29379</v>
      </c>
      <c r="H7396" t="s">
        <v>11048</v>
      </c>
      <c r="I7396" t="s">
        <v>3839</v>
      </c>
      <c r="J7396" t="s">
        <v>34304</v>
      </c>
      <c r="K7396" t="s">
        <v>38490</v>
      </c>
      <c r="M7396" t="s">
        <v>41315</v>
      </c>
      <c r="N7396" t="s">
        <v>42669</v>
      </c>
      <c r="O7396" t="s">
        <v>42670</v>
      </c>
      <c r="Q7396">
        <v>2</v>
      </c>
      <c r="R7396" t="s">
        <v>42678</v>
      </c>
      <c r="S7396" t="s">
        <v>42892</v>
      </c>
      <c r="T7396" t="s">
        <v>44651</v>
      </c>
      <c r="U7396" t="s">
        <v>50854</v>
      </c>
      <c r="W7396" t="s">
        <v>58085</v>
      </c>
      <c r="X7396" t="s">
        <v>42679</v>
      </c>
    </row>
    <row r="7397" spans="1:24">
      <c r="A7397">
        <f>HYPERLINK("https://www.philgeps.gov.ph/GEPSNONPILOT/Tender/SplashBidNoticeAbstractUI.aspx?menuIndex=3&amp;refID=7181584&amp;Result=3","7181584")</f>
        <v>0</v>
      </c>
      <c r="B7397" t="s">
        <v>2310</v>
      </c>
      <c r="C7397" t="s">
        <v>10595</v>
      </c>
      <c r="D7397" t="s">
        <v>17178</v>
      </c>
      <c r="E7397" t="s">
        <v>23650</v>
      </c>
      <c r="F7397" t="s">
        <v>29372</v>
      </c>
      <c r="G7397" t="s">
        <v>29379</v>
      </c>
      <c r="H7397" t="s">
        <v>11048</v>
      </c>
      <c r="I7397" t="s">
        <v>29407</v>
      </c>
      <c r="J7397" t="s">
        <v>34305</v>
      </c>
      <c r="K7397" t="s">
        <v>38485</v>
      </c>
      <c r="M7397" t="s">
        <v>41240</v>
      </c>
      <c r="N7397" t="s">
        <v>42669</v>
      </c>
      <c r="O7397" t="s">
        <v>42670</v>
      </c>
      <c r="P7397">
        <v>0</v>
      </c>
      <c r="Q7397">
        <v>7</v>
      </c>
      <c r="R7397" t="s">
        <v>42678</v>
      </c>
      <c r="S7397" t="s">
        <v>42866</v>
      </c>
      <c r="T7397" t="s">
        <v>44512</v>
      </c>
      <c r="U7397" t="s">
        <v>50855</v>
      </c>
      <c r="W7397" t="s">
        <v>41240</v>
      </c>
      <c r="X7397" t="s">
        <v>42679</v>
      </c>
    </row>
    <row r="7398" spans="1:24">
      <c r="A7398">
        <f>HYPERLINK("https://www.philgeps.gov.ph/GEPSNONPILOT/Tender/SplashBidNoticeAbstractUI.aspx?menuIndex=3&amp;refID=7181602&amp;Result=3","7181602")</f>
        <v>0</v>
      </c>
      <c r="B7398" t="s">
        <v>2375</v>
      </c>
      <c r="C7398" t="s">
        <v>10596</v>
      </c>
      <c r="D7398" t="s">
        <v>17177</v>
      </c>
      <c r="E7398" t="s">
        <v>23651</v>
      </c>
      <c r="F7398" t="s">
        <v>29372</v>
      </c>
      <c r="G7398" t="s">
        <v>29380</v>
      </c>
      <c r="H7398" t="s">
        <v>29389</v>
      </c>
      <c r="I7398" t="s">
        <v>10408</v>
      </c>
      <c r="J7398" t="s">
        <v>29543</v>
      </c>
      <c r="K7398" t="s">
        <v>38571</v>
      </c>
      <c r="M7398" t="s">
        <v>41316</v>
      </c>
      <c r="N7398" t="s">
        <v>42669</v>
      </c>
      <c r="O7398" t="s">
        <v>42670</v>
      </c>
      <c r="P7398">
        <v>0</v>
      </c>
      <c r="Q7398">
        <v>0</v>
      </c>
      <c r="R7398" t="s">
        <v>42678</v>
      </c>
      <c r="S7398" t="s">
        <v>42866</v>
      </c>
      <c r="T7398" t="s">
        <v>44446</v>
      </c>
      <c r="U7398" t="s">
        <v>50856</v>
      </c>
      <c r="W7398" t="s">
        <v>41316</v>
      </c>
      <c r="X7398" t="s">
        <v>42679</v>
      </c>
    </row>
    <row r="7399" spans="1:24">
      <c r="A7399">
        <f>HYPERLINK("https://www.philgeps.gov.ph/GEPSNONPILOT/Tender/SplashBidNoticeAbstractUI.aspx?menuIndex=3&amp;refID=7181659&amp;Result=3","7181659")</f>
        <v>0</v>
      </c>
      <c r="B7399" t="s">
        <v>1930</v>
      </c>
      <c r="C7399" t="s">
        <v>10597</v>
      </c>
      <c r="D7399" t="s">
        <v>17185</v>
      </c>
      <c r="E7399" t="s">
        <v>23652</v>
      </c>
      <c r="F7399" t="s">
        <v>29372</v>
      </c>
      <c r="G7399" t="s">
        <v>29380</v>
      </c>
      <c r="H7399" t="s">
        <v>11048</v>
      </c>
      <c r="I7399" t="s">
        <v>5383</v>
      </c>
      <c r="J7399" t="s">
        <v>34306</v>
      </c>
      <c r="K7399" t="s">
        <v>38490</v>
      </c>
      <c r="M7399" t="s">
        <v>41317</v>
      </c>
      <c r="N7399" t="s">
        <v>42669</v>
      </c>
      <c r="O7399" t="s">
        <v>42670</v>
      </c>
      <c r="P7399">
        <v>0</v>
      </c>
      <c r="Q7399">
        <v>2</v>
      </c>
      <c r="R7399" t="s">
        <v>42678</v>
      </c>
      <c r="S7399" t="s">
        <v>42866</v>
      </c>
      <c r="T7399" t="s">
        <v>44554</v>
      </c>
      <c r="U7399" t="s">
        <v>50857</v>
      </c>
      <c r="W7399" t="s">
        <v>41317</v>
      </c>
      <c r="X7399" t="s">
        <v>42679</v>
      </c>
    </row>
    <row r="7400" spans="1:24">
      <c r="A7400">
        <f>HYPERLINK("https://www.philgeps.gov.ph/GEPSNONPILOT/Tender/SplashBidNoticeAbstractUI.aspx?menuIndex=3&amp;refID=7181614&amp;Result=3","7181614")</f>
        <v>0</v>
      </c>
      <c r="B7400" t="s">
        <v>579</v>
      </c>
      <c r="C7400" t="s">
        <v>10598</v>
      </c>
      <c r="D7400" t="s">
        <v>17141</v>
      </c>
      <c r="E7400" t="s">
        <v>23653</v>
      </c>
      <c r="F7400" t="s">
        <v>29373</v>
      </c>
      <c r="G7400" t="s">
        <v>29380</v>
      </c>
      <c r="H7400" t="s">
        <v>11048</v>
      </c>
      <c r="I7400" t="s">
        <v>4709</v>
      </c>
      <c r="J7400" t="s">
        <v>34307</v>
      </c>
      <c r="K7400" t="s">
        <v>38485</v>
      </c>
      <c r="M7400" t="s">
        <v>39348</v>
      </c>
      <c r="N7400" t="s">
        <v>42669</v>
      </c>
      <c r="O7400" t="s">
        <v>42670</v>
      </c>
      <c r="P7400">
        <v>0</v>
      </c>
      <c r="Q7400">
        <v>0</v>
      </c>
      <c r="R7400" t="s">
        <v>42678</v>
      </c>
      <c r="S7400" t="s">
        <v>42866</v>
      </c>
      <c r="T7400" t="s">
        <v>44375</v>
      </c>
      <c r="U7400" t="s">
        <v>50858</v>
      </c>
      <c r="V7400" t="s">
        <v>56504</v>
      </c>
      <c r="W7400" t="s">
        <v>39348</v>
      </c>
      <c r="X7400" t="s">
        <v>42679</v>
      </c>
    </row>
    <row r="7401" spans="1:24">
      <c r="A7401">
        <f>HYPERLINK("https://www.philgeps.gov.ph/GEPSNONPILOT/Tender/SplashBidNoticeAbstractUI.aspx?menuIndex=3&amp;refID=7181594&amp;Result=3","7181594")</f>
        <v>0</v>
      </c>
      <c r="B7401" t="s">
        <v>25</v>
      </c>
      <c r="C7401" t="s">
        <v>10599</v>
      </c>
      <c r="D7401" t="s">
        <v>17142</v>
      </c>
      <c r="E7401" t="s">
        <v>10599</v>
      </c>
      <c r="F7401" t="s">
        <v>29372</v>
      </c>
      <c r="G7401" t="s">
        <v>29383</v>
      </c>
      <c r="H7401" t="s">
        <v>11048</v>
      </c>
      <c r="I7401" t="s">
        <v>14920</v>
      </c>
      <c r="J7401" t="s">
        <v>34308</v>
      </c>
      <c r="K7401" t="s">
        <v>38485</v>
      </c>
      <c r="M7401" t="s">
        <v>38778</v>
      </c>
      <c r="N7401" t="s">
        <v>42669</v>
      </c>
      <c r="O7401" t="s">
        <v>42670</v>
      </c>
      <c r="P7401">
        <v>0</v>
      </c>
      <c r="Q7401">
        <v>0</v>
      </c>
      <c r="R7401" t="s">
        <v>42678</v>
      </c>
      <c r="S7401" t="s">
        <v>42866</v>
      </c>
      <c r="T7401" t="s">
        <v>44432</v>
      </c>
      <c r="U7401" t="s">
        <v>50859</v>
      </c>
      <c r="W7401" t="s">
        <v>38778</v>
      </c>
      <c r="X7401" t="s">
        <v>42679</v>
      </c>
    </row>
    <row r="7402" spans="1:24">
      <c r="A7402">
        <f>HYPERLINK("https://www.philgeps.gov.ph/GEPSNONPILOT/Tender/SplashBidNoticeAbstractUI.aspx?menuIndex=3&amp;refID=7181678&amp;Result=3","7181678")</f>
        <v>0</v>
      </c>
      <c r="B7402" t="s">
        <v>1499</v>
      </c>
      <c r="C7402" t="s">
        <v>10600</v>
      </c>
      <c r="D7402" t="s">
        <v>17231</v>
      </c>
      <c r="E7402" t="s">
        <v>18739</v>
      </c>
      <c r="F7402" t="s">
        <v>29372</v>
      </c>
      <c r="G7402" t="s">
        <v>29380</v>
      </c>
      <c r="H7402" t="s">
        <v>29389</v>
      </c>
      <c r="I7402" t="s">
        <v>10408</v>
      </c>
      <c r="J7402" t="s">
        <v>34309</v>
      </c>
      <c r="K7402" t="s">
        <v>38583</v>
      </c>
      <c r="M7402" t="s">
        <v>40343</v>
      </c>
      <c r="N7402" t="s">
        <v>42669</v>
      </c>
      <c r="O7402" t="s">
        <v>42670</v>
      </c>
      <c r="P7402">
        <v>0</v>
      </c>
      <c r="Q7402">
        <v>0</v>
      </c>
      <c r="R7402" t="s">
        <v>42678</v>
      </c>
      <c r="S7402" t="s">
        <v>42866</v>
      </c>
      <c r="T7402" t="s">
        <v>44355</v>
      </c>
      <c r="U7402" t="s">
        <v>50860</v>
      </c>
      <c r="W7402" t="s">
        <v>40343</v>
      </c>
      <c r="X7402" t="s">
        <v>42679</v>
      </c>
    </row>
    <row r="7403" spans="1:24">
      <c r="A7403">
        <f>HYPERLINK("https://www.philgeps.gov.ph/GEPSNONPILOT/Tender/SplashBidNoticeAbstractUI.aspx?menuIndex=3&amp;refID=7181675&amp;Result=3","7181675")</f>
        <v>0</v>
      </c>
      <c r="B7403" t="s">
        <v>1513</v>
      </c>
      <c r="C7403" t="s">
        <v>10601</v>
      </c>
      <c r="D7403" t="s">
        <v>17171</v>
      </c>
      <c r="E7403" t="s">
        <v>23654</v>
      </c>
      <c r="F7403" t="s">
        <v>29372</v>
      </c>
      <c r="G7403" t="s">
        <v>29380</v>
      </c>
      <c r="H7403" t="s">
        <v>11048</v>
      </c>
      <c r="I7403" t="s">
        <v>29407</v>
      </c>
      <c r="J7403" t="s">
        <v>30352</v>
      </c>
      <c r="K7403" t="s">
        <v>38490</v>
      </c>
      <c r="M7403" t="s">
        <v>40357</v>
      </c>
      <c r="N7403" t="s">
        <v>42669</v>
      </c>
      <c r="O7403" t="s">
        <v>42670</v>
      </c>
      <c r="P7403">
        <v>0</v>
      </c>
      <c r="Q7403">
        <v>4</v>
      </c>
      <c r="R7403" t="s">
        <v>42678</v>
      </c>
      <c r="S7403" t="s">
        <v>42866</v>
      </c>
      <c r="T7403" t="s">
        <v>44570</v>
      </c>
      <c r="U7403" t="s">
        <v>50861</v>
      </c>
      <c r="V7403" t="s">
        <v>56790</v>
      </c>
      <c r="W7403" t="s">
        <v>40357</v>
      </c>
      <c r="X7403" t="s">
        <v>42679</v>
      </c>
    </row>
    <row r="7404" spans="1:24">
      <c r="A7404">
        <f>HYPERLINK("https://www.philgeps.gov.ph/GEPSNONPILOT/Tender/SplashBidNoticeAbstractUI.aspx?menuIndex=3&amp;refID=7181670&amp;Result=3","7181670")</f>
        <v>0</v>
      </c>
      <c r="B7404" t="s">
        <v>2140</v>
      </c>
      <c r="C7404" t="s">
        <v>10602</v>
      </c>
      <c r="D7404" t="s">
        <v>17153</v>
      </c>
      <c r="E7404" t="s">
        <v>23655</v>
      </c>
      <c r="F7404" t="s">
        <v>29372</v>
      </c>
      <c r="G7404" t="s">
        <v>29380</v>
      </c>
      <c r="H7404" t="s">
        <v>11048</v>
      </c>
      <c r="I7404" t="s">
        <v>29423</v>
      </c>
      <c r="J7404" t="s">
        <v>34310</v>
      </c>
      <c r="K7404" t="s">
        <v>38496</v>
      </c>
      <c r="M7404" t="s">
        <v>41045</v>
      </c>
      <c r="N7404" t="s">
        <v>42669</v>
      </c>
      <c r="O7404" t="s">
        <v>42670</v>
      </c>
      <c r="P7404">
        <v>0</v>
      </c>
      <c r="Q7404">
        <v>6</v>
      </c>
      <c r="R7404" t="s">
        <v>42678</v>
      </c>
      <c r="S7404" t="s">
        <v>42866</v>
      </c>
      <c r="T7404" t="s">
        <v>44432</v>
      </c>
      <c r="U7404" t="s">
        <v>49965</v>
      </c>
      <c r="V7404" t="s">
        <v>57051</v>
      </c>
      <c r="W7404" t="s">
        <v>41045</v>
      </c>
      <c r="X7404" t="s">
        <v>42679</v>
      </c>
    </row>
    <row r="7405" spans="1:24">
      <c r="A7405">
        <f>HYPERLINK("https://www.philgeps.gov.ph/GEPSNONPILOT/Tender/SplashBidNoticeAbstractUI.aspx?menuIndex=3&amp;refID=7181658&amp;Result=3","7181658")</f>
        <v>0</v>
      </c>
      <c r="B7405" t="s">
        <v>1513</v>
      </c>
      <c r="C7405" t="s">
        <v>10603</v>
      </c>
      <c r="D7405" t="s">
        <v>17171</v>
      </c>
      <c r="E7405" t="s">
        <v>23656</v>
      </c>
      <c r="F7405" t="s">
        <v>29372</v>
      </c>
      <c r="G7405" t="s">
        <v>29380</v>
      </c>
      <c r="H7405" t="s">
        <v>11048</v>
      </c>
      <c r="I7405" t="s">
        <v>5383</v>
      </c>
      <c r="J7405" t="s">
        <v>34311</v>
      </c>
      <c r="K7405" t="s">
        <v>38490</v>
      </c>
      <c r="M7405" t="s">
        <v>40357</v>
      </c>
      <c r="N7405" t="s">
        <v>42669</v>
      </c>
      <c r="O7405" t="s">
        <v>42670</v>
      </c>
      <c r="P7405">
        <v>0</v>
      </c>
      <c r="Q7405">
        <v>0</v>
      </c>
      <c r="R7405" t="s">
        <v>42678</v>
      </c>
      <c r="S7405" t="s">
        <v>42866</v>
      </c>
      <c r="T7405" t="s">
        <v>44570</v>
      </c>
      <c r="U7405" t="s">
        <v>50862</v>
      </c>
      <c r="V7405" t="s">
        <v>57180</v>
      </c>
      <c r="W7405" t="s">
        <v>40357</v>
      </c>
      <c r="X7405" t="s">
        <v>42679</v>
      </c>
    </row>
    <row r="7406" spans="1:24">
      <c r="A7406">
        <f>HYPERLINK("https://www.philgeps.gov.ph/GEPSNONPILOT/Tender/SplashBidNoticeAbstractUI.aspx?menuIndex=3&amp;refID=7181653&amp;Result=3","7181653")</f>
        <v>0</v>
      </c>
      <c r="B7406" t="s">
        <v>1513</v>
      </c>
      <c r="C7406" t="s">
        <v>10604</v>
      </c>
      <c r="D7406" t="s">
        <v>17171</v>
      </c>
      <c r="E7406" t="s">
        <v>23657</v>
      </c>
      <c r="F7406" t="s">
        <v>29372</v>
      </c>
      <c r="G7406" t="s">
        <v>29380</v>
      </c>
      <c r="H7406" t="s">
        <v>11048</v>
      </c>
      <c r="I7406" t="s">
        <v>8614</v>
      </c>
      <c r="J7406" t="s">
        <v>29929</v>
      </c>
      <c r="K7406" t="s">
        <v>38490</v>
      </c>
      <c r="M7406" t="s">
        <v>40357</v>
      </c>
      <c r="N7406" t="s">
        <v>42669</v>
      </c>
      <c r="O7406" t="s">
        <v>42670</v>
      </c>
      <c r="P7406">
        <v>0</v>
      </c>
      <c r="Q7406">
        <v>0</v>
      </c>
      <c r="R7406" t="s">
        <v>42678</v>
      </c>
      <c r="S7406" t="s">
        <v>42866</v>
      </c>
      <c r="T7406" t="s">
        <v>44570</v>
      </c>
      <c r="U7406" t="s">
        <v>50863</v>
      </c>
      <c r="V7406" t="s">
        <v>57181</v>
      </c>
      <c r="W7406" t="s">
        <v>40357</v>
      </c>
      <c r="X7406" t="s">
        <v>42679</v>
      </c>
    </row>
    <row r="7407" spans="1:24">
      <c r="A7407">
        <f>HYPERLINK("https://www.philgeps.gov.ph/GEPSNONPILOT/Tender/SplashBidNoticeAbstractUI.aspx?menuIndex=3&amp;refID=7181679&amp;Result=3","7181679")</f>
        <v>0</v>
      </c>
      <c r="B7407" t="s">
        <v>587</v>
      </c>
      <c r="C7407" t="s">
        <v>10605</v>
      </c>
      <c r="D7407" t="s">
        <v>17161</v>
      </c>
      <c r="E7407" t="s">
        <v>23658</v>
      </c>
      <c r="F7407" t="s">
        <v>29372</v>
      </c>
      <c r="G7407" t="s">
        <v>29381</v>
      </c>
      <c r="H7407" t="s">
        <v>11048</v>
      </c>
      <c r="I7407" t="s">
        <v>29407</v>
      </c>
      <c r="J7407" t="s">
        <v>34312</v>
      </c>
      <c r="K7407" t="s">
        <v>38488</v>
      </c>
      <c r="M7407" t="s">
        <v>39356</v>
      </c>
      <c r="N7407" t="s">
        <v>42669</v>
      </c>
      <c r="O7407" t="s">
        <v>42670</v>
      </c>
      <c r="P7407">
        <v>0</v>
      </c>
      <c r="Q7407">
        <v>5</v>
      </c>
      <c r="R7407" t="s">
        <v>42678</v>
      </c>
      <c r="S7407" t="s">
        <v>42866</v>
      </c>
      <c r="T7407" t="s">
        <v>44512</v>
      </c>
      <c r="U7407" t="s">
        <v>50864</v>
      </c>
      <c r="W7407" t="s">
        <v>39356</v>
      </c>
      <c r="X7407" t="s">
        <v>42679</v>
      </c>
    </row>
    <row r="7408" spans="1:24">
      <c r="A7408">
        <f>HYPERLINK("https://www.philgeps.gov.ph/GEPSNONPILOT/Tender/SplashBidNoticeAbstractUI.aspx?menuIndex=3&amp;refID=7181651&amp;Result=3","7181651")</f>
        <v>0</v>
      </c>
      <c r="B7408" t="s">
        <v>1513</v>
      </c>
      <c r="C7408" t="s">
        <v>10606</v>
      </c>
      <c r="D7408" t="s">
        <v>17171</v>
      </c>
      <c r="E7408" t="s">
        <v>23659</v>
      </c>
      <c r="F7408" t="s">
        <v>29372</v>
      </c>
      <c r="G7408" t="s">
        <v>29380</v>
      </c>
      <c r="H7408" t="s">
        <v>11048</v>
      </c>
      <c r="I7408" t="s">
        <v>29444</v>
      </c>
      <c r="J7408" t="s">
        <v>34313</v>
      </c>
      <c r="K7408" t="s">
        <v>38490</v>
      </c>
      <c r="M7408" t="s">
        <v>40357</v>
      </c>
      <c r="N7408" t="s">
        <v>42669</v>
      </c>
      <c r="O7408" t="s">
        <v>42670</v>
      </c>
      <c r="P7408">
        <v>0</v>
      </c>
      <c r="Q7408">
        <v>0</v>
      </c>
      <c r="R7408" t="s">
        <v>42678</v>
      </c>
      <c r="S7408" t="s">
        <v>42866</v>
      </c>
      <c r="T7408" t="s">
        <v>44570</v>
      </c>
      <c r="U7408" t="s">
        <v>50865</v>
      </c>
      <c r="V7408" t="s">
        <v>57180</v>
      </c>
      <c r="W7408" t="s">
        <v>40357</v>
      </c>
      <c r="X7408" t="s">
        <v>42679</v>
      </c>
    </row>
    <row r="7409" spans="1:24">
      <c r="A7409">
        <f>HYPERLINK("https://www.philgeps.gov.ph/GEPSNONPILOT/Tender/SplashBidNoticeAbstractUI.aspx?menuIndex=3&amp;refID=7181585&amp;Result=3","7181585")</f>
        <v>0</v>
      </c>
      <c r="B7409" t="s">
        <v>2006</v>
      </c>
      <c r="C7409" t="s">
        <v>10607</v>
      </c>
      <c r="D7409" t="s">
        <v>17143</v>
      </c>
      <c r="E7409" t="s">
        <v>23660</v>
      </c>
      <c r="F7409" t="s">
        <v>29372</v>
      </c>
      <c r="G7409" t="s">
        <v>29380</v>
      </c>
      <c r="H7409" t="s">
        <v>29390</v>
      </c>
      <c r="I7409" t="s">
        <v>29392</v>
      </c>
      <c r="J7409" t="s">
        <v>34314</v>
      </c>
      <c r="K7409" t="s">
        <v>38575</v>
      </c>
      <c r="M7409" t="s">
        <v>40897</v>
      </c>
      <c r="N7409" t="s">
        <v>42669</v>
      </c>
      <c r="O7409" t="s">
        <v>42670</v>
      </c>
      <c r="Q7409">
        <v>1</v>
      </c>
      <c r="R7409" t="s">
        <v>42678</v>
      </c>
      <c r="S7409" t="s">
        <v>42893</v>
      </c>
      <c r="T7409" t="s">
        <v>44459</v>
      </c>
      <c r="U7409" t="s">
        <v>50866</v>
      </c>
      <c r="W7409" t="s">
        <v>40897</v>
      </c>
      <c r="X7409" t="s">
        <v>42679</v>
      </c>
    </row>
    <row r="7410" spans="1:24">
      <c r="A7410">
        <f>HYPERLINK("https://www.philgeps.gov.ph/GEPSNONPILOT/Tender/SplashBidNoticeAbstractUI.aspx?menuIndex=3&amp;refID=7181665&amp;Result=3","7181665")</f>
        <v>0</v>
      </c>
      <c r="B7410" t="s">
        <v>1513</v>
      </c>
      <c r="C7410" t="s">
        <v>10608</v>
      </c>
      <c r="D7410" t="s">
        <v>17171</v>
      </c>
      <c r="E7410" t="s">
        <v>23661</v>
      </c>
      <c r="F7410" t="s">
        <v>29372</v>
      </c>
      <c r="G7410" t="s">
        <v>29380</v>
      </c>
      <c r="H7410" t="s">
        <v>11048</v>
      </c>
      <c r="I7410" t="s">
        <v>29395</v>
      </c>
      <c r="J7410" t="s">
        <v>34315</v>
      </c>
      <c r="K7410" t="s">
        <v>38490</v>
      </c>
      <c r="M7410" t="s">
        <v>40357</v>
      </c>
      <c r="N7410" t="s">
        <v>42669</v>
      </c>
      <c r="O7410" t="s">
        <v>42670</v>
      </c>
      <c r="P7410">
        <v>0</v>
      </c>
      <c r="Q7410">
        <v>0</v>
      </c>
      <c r="R7410" t="s">
        <v>42678</v>
      </c>
      <c r="S7410" t="s">
        <v>42866</v>
      </c>
      <c r="T7410" t="s">
        <v>44570</v>
      </c>
      <c r="U7410" t="s">
        <v>50867</v>
      </c>
      <c r="V7410" t="s">
        <v>56790</v>
      </c>
      <c r="W7410" t="s">
        <v>40357</v>
      </c>
      <c r="X7410" t="s">
        <v>42679</v>
      </c>
    </row>
    <row r="7411" spans="1:24">
      <c r="A7411">
        <f>HYPERLINK("https://www.philgeps.gov.ph/GEPSNONPILOT/Tender/SplashBidNoticeAbstractUI.aspx?menuIndex=3&amp;refID=7181639&amp;Result=3","7181639")</f>
        <v>0</v>
      </c>
      <c r="B7411" t="s">
        <v>2328</v>
      </c>
      <c r="C7411" t="s">
        <v>10609</v>
      </c>
      <c r="D7411" t="s">
        <v>17202</v>
      </c>
      <c r="E7411" t="s">
        <v>23662</v>
      </c>
      <c r="F7411" t="s">
        <v>29372</v>
      </c>
      <c r="G7411" t="s">
        <v>29380</v>
      </c>
      <c r="H7411" t="s">
        <v>11048</v>
      </c>
      <c r="I7411" t="s">
        <v>3839</v>
      </c>
      <c r="J7411" t="s">
        <v>34187</v>
      </c>
      <c r="K7411" t="s">
        <v>38485</v>
      </c>
      <c r="M7411" t="s">
        <v>41260</v>
      </c>
      <c r="N7411" t="s">
        <v>42669</v>
      </c>
      <c r="O7411" t="s">
        <v>42670</v>
      </c>
      <c r="P7411">
        <v>0</v>
      </c>
      <c r="Q7411">
        <v>0</v>
      </c>
      <c r="R7411" t="s">
        <v>42678</v>
      </c>
      <c r="S7411" t="s">
        <v>42866</v>
      </c>
      <c r="T7411" t="s">
        <v>44593</v>
      </c>
      <c r="U7411" t="s">
        <v>50868</v>
      </c>
      <c r="W7411" t="s">
        <v>41260</v>
      </c>
      <c r="X7411" t="s">
        <v>42679</v>
      </c>
    </row>
    <row r="7412" spans="1:24">
      <c r="A7412">
        <f>HYPERLINK("https://www.philgeps.gov.ph/GEPSNONPILOT/Tender/SplashBidNoticeAbstractUI.aspx?menuIndex=3&amp;refID=7181661&amp;Result=3","7181661")</f>
        <v>0</v>
      </c>
      <c r="B7412" t="s">
        <v>1513</v>
      </c>
      <c r="C7412" t="s">
        <v>10610</v>
      </c>
      <c r="D7412" t="s">
        <v>17171</v>
      </c>
      <c r="E7412" t="s">
        <v>23663</v>
      </c>
      <c r="F7412" t="s">
        <v>29372</v>
      </c>
      <c r="G7412" t="s">
        <v>29380</v>
      </c>
      <c r="H7412" t="s">
        <v>11048</v>
      </c>
      <c r="I7412" t="s">
        <v>29411</v>
      </c>
      <c r="J7412" t="s">
        <v>29692</v>
      </c>
      <c r="K7412" t="s">
        <v>38490</v>
      </c>
      <c r="M7412" t="s">
        <v>40357</v>
      </c>
      <c r="N7412" t="s">
        <v>42669</v>
      </c>
      <c r="O7412" t="s">
        <v>42670</v>
      </c>
      <c r="P7412">
        <v>0</v>
      </c>
      <c r="Q7412">
        <v>0</v>
      </c>
      <c r="R7412" t="s">
        <v>42678</v>
      </c>
      <c r="S7412" t="s">
        <v>42866</v>
      </c>
      <c r="T7412" t="s">
        <v>44570</v>
      </c>
      <c r="U7412" t="s">
        <v>50869</v>
      </c>
      <c r="V7412" t="s">
        <v>56790</v>
      </c>
      <c r="W7412" t="s">
        <v>40357</v>
      </c>
      <c r="X7412" t="s">
        <v>42679</v>
      </c>
    </row>
    <row r="7413" spans="1:24">
      <c r="A7413">
        <f>HYPERLINK("https://www.philgeps.gov.ph/GEPSNONPILOT/Tender/SplashBidNoticeAbstractUI.aspx?menuIndex=3&amp;refID=7181635&amp;Result=3","7181635")</f>
        <v>0</v>
      </c>
      <c r="B7413" t="s">
        <v>1513</v>
      </c>
      <c r="C7413" t="s">
        <v>10611</v>
      </c>
      <c r="D7413" t="s">
        <v>17171</v>
      </c>
      <c r="E7413" t="s">
        <v>23664</v>
      </c>
      <c r="F7413" t="s">
        <v>29372</v>
      </c>
      <c r="G7413" t="s">
        <v>29380</v>
      </c>
      <c r="H7413" t="s">
        <v>11048</v>
      </c>
      <c r="I7413" t="s">
        <v>29395</v>
      </c>
      <c r="J7413" t="s">
        <v>34316</v>
      </c>
      <c r="K7413" t="s">
        <v>38490</v>
      </c>
      <c r="M7413" t="s">
        <v>40357</v>
      </c>
      <c r="N7413" t="s">
        <v>42669</v>
      </c>
      <c r="O7413" t="s">
        <v>42670</v>
      </c>
      <c r="P7413">
        <v>0</v>
      </c>
      <c r="Q7413">
        <v>0</v>
      </c>
      <c r="R7413" t="s">
        <v>42678</v>
      </c>
      <c r="S7413" t="s">
        <v>42866</v>
      </c>
      <c r="T7413" t="s">
        <v>44570</v>
      </c>
      <c r="U7413" t="s">
        <v>50870</v>
      </c>
      <c r="V7413" t="s">
        <v>57180</v>
      </c>
      <c r="W7413" t="s">
        <v>40357</v>
      </c>
      <c r="X7413" t="s">
        <v>42679</v>
      </c>
    </row>
    <row r="7414" spans="1:24">
      <c r="A7414">
        <f>HYPERLINK("https://www.philgeps.gov.ph/GEPSNONPILOT/Tender/SplashBidNoticeAbstractUI.aspx?menuIndex=3&amp;refID=7181256&amp;Result=3","7181256")</f>
        <v>0</v>
      </c>
      <c r="B7414" t="s">
        <v>2048</v>
      </c>
      <c r="C7414" t="s">
        <v>10612</v>
      </c>
      <c r="D7414" t="s">
        <v>17173</v>
      </c>
      <c r="E7414" t="s">
        <v>18075</v>
      </c>
      <c r="F7414" t="s">
        <v>29372</v>
      </c>
      <c r="G7414" t="s">
        <v>29380</v>
      </c>
      <c r="H7414" t="s">
        <v>29389</v>
      </c>
      <c r="I7414" t="s">
        <v>10408</v>
      </c>
      <c r="J7414" t="s">
        <v>34317</v>
      </c>
      <c r="K7414" t="s">
        <v>38522</v>
      </c>
      <c r="M7414" t="s">
        <v>40946</v>
      </c>
      <c r="N7414" t="s">
        <v>42669</v>
      </c>
      <c r="O7414" t="s">
        <v>42670</v>
      </c>
      <c r="Q7414">
        <v>2</v>
      </c>
      <c r="R7414" t="s">
        <v>42678</v>
      </c>
      <c r="S7414" t="s">
        <v>42808</v>
      </c>
      <c r="T7414" t="s">
        <v>44664</v>
      </c>
      <c r="U7414" t="s">
        <v>50871</v>
      </c>
      <c r="V7414" t="s">
        <v>57013</v>
      </c>
      <c r="W7414" t="s">
        <v>40946</v>
      </c>
      <c r="X7414" t="s">
        <v>42679</v>
      </c>
    </row>
    <row r="7415" spans="1:24">
      <c r="A7415">
        <f>HYPERLINK("https://www.philgeps.gov.ph/GEPSNONPILOT/Tender/SplashBidNoticeAbstractUI.aspx?menuIndex=3&amp;refID=7181631&amp;Result=3","7181631")</f>
        <v>0</v>
      </c>
      <c r="B7415" t="s">
        <v>25</v>
      </c>
      <c r="C7415" t="s">
        <v>10613</v>
      </c>
      <c r="D7415" t="s">
        <v>17142</v>
      </c>
      <c r="E7415" t="s">
        <v>10613</v>
      </c>
      <c r="F7415" t="s">
        <v>29372</v>
      </c>
      <c r="G7415" t="s">
        <v>29383</v>
      </c>
      <c r="H7415" t="s">
        <v>11048</v>
      </c>
      <c r="I7415" t="s">
        <v>5383</v>
      </c>
      <c r="J7415" t="s">
        <v>34318</v>
      </c>
      <c r="K7415" t="s">
        <v>38485</v>
      </c>
      <c r="M7415" t="s">
        <v>38778</v>
      </c>
      <c r="N7415" t="s">
        <v>42669</v>
      </c>
      <c r="O7415" t="s">
        <v>42670</v>
      </c>
      <c r="P7415">
        <v>0</v>
      </c>
      <c r="Q7415">
        <v>0</v>
      </c>
      <c r="R7415" t="s">
        <v>42678</v>
      </c>
      <c r="S7415" t="s">
        <v>42866</v>
      </c>
      <c r="T7415" t="s">
        <v>44394</v>
      </c>
      <c r="U7415" t="s">
        <v>50872</v>
      </c>
      <c r="W7415" t="s">
        <v>38778</v>
      </c>
      <c r="X7415" t="s">
        <v>42679</v>
      </c>
    </row>
    <row r="7416" spans="1:24">
      <c r="A7416">
        <f>HYPERLINK("https://www.philgeps.gov.ph/GEPSNONPILOT/Tender/SplashBidNoticeAbstractUI.aspx?menuIndex=3&amp;refID=7181623&amp;Result=3","7181623")</f>
        <v>0</v>
      </c>
      <c r="B7416" t="s">
        <v>2186</v>
      </c>
      <c r="C7416" t="s">
        <v>10614</v>
      </c>
      <c r="D7416" t="s">
        <v>17148</v>
      </c>
      <c r="E7416" t="s">
        <v>18523</v>
      </c>
      <c r="F7416" t="s">
        <v>29372</v>
      </c>
      <c r="G7416" t="s">
        <v>29380</v>
      </c>
      <c r="H7416" t="s">
        <v>11048</v>
      </c>
      <c r="I7416" t="s">
        <v>4487</v>
      </c>
      <c r="J7416" t="s">
        <v>34319</v>
      </c>
      <c r="K7416" t="s">
        <v>38488</v>
      </c>
      <c r="M7416" t="s">
        <v>41100</v>
      </c>
      <c r="N7416" t="s">
        <v>42669</v>
      </c>
      <c r="O7416" t="s">
        <v>42670</v>
      </c>
      <c r="P7416">
        <v>0</v>
      </c>
      <c r="Q7416">
        <v>0</v>
      </c>
      <c r="R7416" t="s">
        <v>42678</v>
      </c>
      <c r="S7416" t="s">
        <v>42866</v>
      </c>
      <c r="T7416" t="s">
        <v>44432</v>
      </c>
      <c r="U7416" t="s">
        <v>50873</v>
      </c>
      <c r="V7416" t="s">
        <v>57182</v>
      </c>
      <c r="W7416" t="s">
        <v>41100</v>
      </c>
      <c r="X7416" t="s">
        <v>42679</v>
      </c>
    </row>
    <row r="7417" spans="1:24">
      <c r="A7417">
        <f>HYPERLINK("https://www.philgeps.gov.ph/GEPSNONPILOT/Tender/SplashBidNoticeAbstractUI.aspx?menuIndex=3&amp;refID=7181627&amp;Result=3","7181627")</f>
        <v>0</v>
      </c>
      <c r="B7417" t="s">
        <v>1513</v>
      </c>
      <c r="C7417" t="s">
        <v>10615</v>
      </c>
      <c r="D7417" t="s">
        <v>17171</v>
      </c>
      <c r="E7417" t="s">
        <v>23665</v>
      </c>
      <c r="F7417" t="s">
        <v>29372</v>
      </c>
      <c r="G7417" t="s">
        <v>29380</v>
      </c>
      <c r="H7417" t="s">
        <v>11048</v>
      </c>
      <c r="I7417" t="s">
        <v>29395</v>
      </c>
      <c r="J7417" t="s">
        <v>34320</v>
      </c>
      <c r="K7417" t="s">
        <v>38490</v>
      </c>
      <c r="M7417" t="s">
        <v>40357</v>
      </c>
      <c r="N7417" t="s">
        <v>42669</v>
      </c>
      <c r="O7417" t="s">
        <v>42670</v>
      </c>
      <c r="P7417">
        <v>0</v>
      </c>
      <c r="Q7417">
        <v>0</v>
      </c>
      <c r="R7417" t="s">
        <v>42678</v>
      </c>
      <c r="S7417" t="s">
        <v>42866</v>
      </c>
      <c r="T7417" t="s">
        <v>44570</v>
      </c>
      <c r="U7417" t="s">
        <v>50874</v>
      </c>
      <c r="V7417" t="s">
        <v>56790</v>
      </c>
      <c r="W7417" t="s">
        <v>40357</v>
      </c>
      <c r="X7417" t="s">
        <v>42679</v>
      </c>
    </row>
    <row r="7418" spans="1:24">
      <c r="A7418">
        <f>HYPERLINK("https://www.philgeps.gov.ph/GEPSNONPILOT/Tender/SplashBidNoticeAbstractUI.aspx?menuIndex=3&amp;refID=7181583&amp;Result=3","7181583")</f>
        <v>0</v>
      </c>
      <c r="B7418" t="s">
        <v>1930</v>
      </c>
      <c r="C7418" t="s">
        <v>10616</v>
      </c>
      <c r="D7418" t="s">
        <v>17199</v>
      </c>
      <c r="E7418" t="s">
        <v>23666</v>
      </c>
      <c r="F7418" t="s">
        <v>29372</v>
      </c>
      <c r="G7418" t="s">
        <v>29380</v>
      </c>
      <c r="H7418" t="s">
        <v>11048</v>
      </c>
      <c r="I7418" t="s">
        <v>3670</v>
      </c>
      <c r="J7418" t="s">
        <v>34321</v>
      </c>
      <c r="K7418" t="s">
        <v>38490</v>
      </c>
      <c r="M7418" t="s">
        <v>41317</v>
      </c>
      <c r="N7418" t="s">
        <v>42669</v>
      </c>
      <c r="O7418" t="s">
        <v>42670</v>
      </c>
      <c r="P7418">
        <v>0</v>
      </c>
      <c r="Q7418">
        <v>1</v>
      </c>
      <c r="R7418" t="s">
        <v>42678</v>
      </c>
      <c r="S7418" t="s">
        <v>42866</v>
      </c>
      <c r="T7418" t="s">
        <v>44554</v>
      </c>
      <c r="U7418" t="s">
        <v>50875</v>
      </c>
      <c r="W7418" t="s">
        <v>41317</v>
      </c>
      <c r="X7418" t="s">
        <v>42679</v>
      </c>
    </row>
    <row r="7419" spans="1:24">
      <c r="A7419">
        <f>HYPERLINK("https://www.philgeps.gov.ph/GEPSNONPILOT/Tender/SplashBidNoticeAbstractUI.aspx?menuIndex=3&amp;refID=7181636&amp;Result=3","7181636")</f>
        <v>0</v>
      </c>
      <c r="B7419" t="s">
        <v>2224</v>
      </c>
      <c r="C7419" t="s">
        <v>10617</v>
      </c>
      <c r="D7419" t="s">
        <v>17143</v>
      </c>
      <c r="E7419" t="s">
        <v>17269</v>
      </c>
      <c r="F7419" t="s">
        <v>29372</v>
      </c>
      <c r="G7419" t="s">
        <v>29381</v>
      </c>
      <c r="H7419" t="s">
        <v>11048</v>
      </c>
      <c r="I7419" t="s">
        <v>29394</v>
      </c>
      <c r="J7419" t="s">
        <v>34322</v>
      </c>
      <c r="K7419" t="s">
        <v>38485</v>
      </c>
      <c r="M7419" t="s">
        <v>41142</v>
      </c>
      <c r="N7419" t="s">
        <v>42669</v>
      </c>
      <c r="O7419" t="s">
        <v>42670</v>
      </c>
      <c r="P7419">
        <v>0</v>
      </c>
      <c r="Q7419">
        <v>0</v>
      </c>
      <c r="R7419" t="s">
        <v>42678</v>
      </c>
      <c r="S7419" t="s">
        <v>42866</v>
      </c>
      <c r="T7419" t="s">
        <v>44481</v>
      </c>
      <c r="U7419" t="s">
        <v>50876</v>
      </c>
      <c r="V7419" t="s">
        <v>57183</v>
      </c>
      <c r="W7419" t="s">
        <v>41142</v>
      </c>
      <c r="X7419" t="s">
        <v>42679</v>
      </c>
    </row>
    <row r="7420" spans="1:24">
      <c r="A7420">
        <f>HYPERLINK("https://www.philgeps.gov.ph/GEPSNONPILOT/Tender/SplashBidNoticeAbstractUI.aspx?menuIndex=3&amp;refID=7181579&amp;Result=3","7181579")</f>
        <v>0</v>
      </c>
      <c r="B7420" t="s">
        <v>2376</v>
      </c>
      <c r="C7420" t="s">
        <v>10618</v>
      </c>
      <c r="D7420" t="s">
        <v>17164</v>
      </c>
      <c r="E7420" t="s">
        <v>22385</v>
      </c>
      <c r="F7420" t="s">
        <v>29372</v>
      </c>
      <c r="G7420" t="s">
        <v>29380</v>
      </c>
      <c r="H7420" t="s">
        <v>11048</v>
      </c>
      <c r="I7420" t="s">
        <v>29415</v>
      </c>
      <c r="J7420" t="s">
        <v>34323</v>
      </c>
      <c r="K7420" t="s">
        <v>38485</v>
      </c>
      <c r="M7420" t="s">
        <v>41318</v>
      </c>
      <c r="N7420" t="s">
        <v>42669</v>
      </c>
      <c r="O7420" t="s">
        <v>42670</v>
      </c>
      <c r="P7420">
        <v>0</v>
      </c>
      <c r="Q7420">
        <v>8</v>
      </c>
      <c r="R7420" t="s">
        <v>42678</v>
      </c>
      <c r="S7420" t="s">
        <v>42866</v>
      </c>
      <c r="T7420" t="s">
        <v>44355</v>
      </c>
      <c r="U7420" t="s">
        <v>45549</v>
      </c>
      <c r="W7420" t="s">
        <v>41318</v>
      </c>
      <c r="X7420" t="s">
        <v>42679</v>
      </c>
    </row>
    <row r="7421" spans="1:24">
      <c r="A7421">
        <f>HYPERLINK("https://www.philgeps.gov.ph/GEPSNONPILOT/Tender/SplashBidNoticeAbstractUI.aspx?menuIndex=3&amp;refID=7181578&amp;Result=3","7181578")</f>
        <v>0</v>
      </c>
      <c r="B7421" t="s">
        <v>2020</v>
      </c>
      <c r="C7421" t="s">
        <v>10619</v>
      </c>
      <c r="D7421" t="s">
        <v>17177</v>
      </c>
      <c r="E7421" t="s">
        <v>23667</v>
      </c>
      <c r="F7421" t="s">
        <v>29372</v>
      </c>
      <c r="G7421" t="s">
        <v>29380</v>
      </c>
      <c r="H7421" t="s">
        <v>29389</v>
      </c>
      <c r="I7421" t="s">
        <v>10408</v>
      </c>
      <c r="J7421" t="s">
        <v>34324</v>
      </c>
      <c r="K7421" t="s">
        <v>38496</v>
      </c>
      <c r="M7421" t="s">
        <v>41241</v>
      </c>
      <c r="N7421" t="s">
        <v>42669</v>
      </c>
      <c r="O7421" t="s">
        <v>42670</v>
      </c>
      <c r="P7421">
        <v>0</v>
      </c>
      <c r="Q7421">
        <v>0</v>
      </c>
      <c r="R7421" t="s">
        <v>42678</v>
      </c>
      <c r="S7421" t="s">
        <v>42866</v>
      </c>
      <c r="T7421" t="s">
        <v>44475</v>
      </c>
      <c r="U7421" t="s">
        <v>50842</v>
      </c>
      <c r="V7421" t="s">
        <v>57146</v>
      </c>
      <c r="W7421" t="s">
        <v>41241</v>
      </c>
      <c r="X7421" t="s">
        <v>42679</v>
      </c>
    </row>
    <row r="7422" spans="1:24">
      <c r="A7422">
        <f>HYPERLINK("https://www.philgeps.gov.ph/GEPSNONPILOT/Tender/SplashBidNoticeAbstractUI.aspx?menuIndex=3&amp;refID=7181576&amp;Result=3","7181576")</f>
        <v>0</v>
      </c>
      <c r="B7422" t="s">
        <v>1978</v>
      </c>
      <c r="C7422" t="s">
        <v>10620</v>
      </c>
      <c r="D7422" t="s">
        <v>17164</v>
      </c>
      <c r="E7422" t="s">
        <v>23668</v>
      </c>
      <c r="F7422" t="s">
        <v>29372</v>
      </c>
      <c r="G7422" t="s">
        <v>29380</v>
      </c>
      <c r="H7422" t="s">
        <v>29389</v>
      </c>
      <c r="I7422" t="s">
        <v>10408</v>
      </c>
      <c r="J7422" t="s">
        <v>33228</v>
      </c>
      <c r="K7422" t="s">
        <v>38485</v>
      </c>
      <c r="M7422" t="s">
        <v>40865</v>
      </c>
      <c r="N7422" t="s">
        <v>42669</v>
      </c>
      <c r="O7422" t="s">
        <v>42670</v>
      </c>
      <c r="P7422">
        <v>0</v>
      </c>
      <c r="Q7422">
        <v>0</v>
      </c>
      <c r="R7422" t="s">
        <v>42678</v>
      </c>
      <c r="S7422" t="s">
        <v>42866</v>
      </c>
      <c r="T7422" t="s">
        <v>44517</v>
      </c>
      <c r="U7422" t="s">
        <v>50839</v>
      </c>
      <c r="W7422" t="s">
        <v>40865</v>
      </c>
      <c r="X7422" t="s">
        <v>42679</v>
      </c>
    </row>
    <row r="7423" spans="1:24">
      <c r="A7423">
        <f>HYPERLINK("https://www.philgeps.gov.ph/GEPSNONPILOT/Tender/SplashBidNoticeAbstractUI.aspx?menuIndex=3&amp;refID=7181532&amp;Result=3","7181532")</f>
        <v>0</v>
      </c>
      <c r="B7423" t="s">
        <v>243</v>
      </c>
      <c r="C7423" t="s">
        <v>10621</v>
      </c>
      <c r="D7423" t="s">
        <v>17145</v>
      </c>
      <c r="E7423" t="s">
        <v>23669</v>
      </c>
      <c r="F7423" t="s">
        <v>29372</v>
      </c>
      <c r="G7423" t="s">
        <v>29383</v>
      </c>
      <c r="H7423" t="s">
        <v>11048</v>
      </c>
      <c r="I7423" t="s">
        <v>4709</v>
      </c>
      <c r="J7423" t="s">
        <v>34325</v>
      </c>
      <c r="K7423" t="s">
        <v>38489</v>
      </c>
      <c r="M7423" t="s">
        <v>39002</v>
      </c>
      <c r="N7423" t="s">
        <v>42669</v>
      </c>
      <c r="O7423" t="s">
        <v>42670</v>
      </c>
      <c r="P7423">
        <v>0</v>
      </c>
      <c r="Q7423">
        <v>0</v>
      </c>
      <c r="R7423" t="s">
        <v>42678</v>
      </c>
      <c r="S7423" t="s">
        <v>42866</v>
      </c>
      <c r="T7423" t="s">
        <v>44488</v>
      </c>
      <c r="U7423" t="s">
        <v>50877</v>
      </c>
      <c r="W7423" t="s">
        <v>39002</v>
      </c>
      <c r="X7423" t="s">
        <v>42679</v>
      </c>
    </row>
    <row r="7424" spans="1:24">
      <c r="A7424">
        <f>HYPERLINK("https://www.philgeps.gov.ph/GEPSNONPILOT/Tender/SplashBidNoticeAbstractUI.aspx?menuIndex=3&amp;refID=7181626&amp;Result=3","7181626")</f>
        <v>0</v>
      </c>
      <c r="B7424" t="s">
        <v>1091</v>
      </c>
      <c r="C7424" t="s">
        <v>10622</v>
      </c>
      <c r="D7424" t="s">
        <v>17141</v>
      </c>
      <c r="E7424" t="s">
        <v>23670</v>
      </c>
      <c r="F7424" t="s">
        <v>29372</v>
      </c>
      <c r="G7424" t="s">
        <v>29382</v>
      </c>
      <c r="H7424" t="s">
        <v>11048</v>
      </c>
      <c r="I7424" t="s">
        <v>5383</v>
      </c>
      <c r="J7424" t="s">
        <v>34326</v>
      </c>
      <c r="K7424" t="s">
        <v>38488</v>
      </c>
      <c r="M7424" t="s">
        <v>41319</v>
      </c>
      <c r="N7424" t="s">
        <v>42669</v>
      </c>
      <c r="O7424" t="s">
        <v>42670</v>
      </c>
      <c r="P7424">
        <v>0</v>
      </c>
      <c r="Q7424">
        <v>10</v>
      </c>
      <c r="R7424" t="s">
        <v>42678</v>
      </c>
      <c r="S7424" t="s">
        <v>42866</v>
      </c>
      <c r="T7424" t="s">
        <v>44493</v>
      </c>
      <c r="U7424" t="s">
        <v>50878</v>
      </c>
      <c r="W7424" t="s">
        <v>41319</v>
      </c>
      <c r="X7424" t="s">
        <v>42679</v>
      </c>
    </row>
    <row r="7425" spans="1:24">
      <c r="A7425">
        <f>HYPERLINK("https://www.philgeps.gov.ph/GEPSNONPILOT/Tender/SplashBidNoticeAbstractUI.aspx?menuIndex=3&amp;refID=7181633&amp;Result=3","7181633")</f>
        <v>0</v>
      </c>
      <c r="B7425" t="s">
        <v>2377</v>
      </c>
      <c r="C7425" t="s">
        <v>10623</v>
      </c>
      <c r="D7425" t="s">
        <v>17168</v>
      </c>
      <c r="E7425" t="s">
        <v>23671</v>
      </c>
      <c r="F7425" t="s">
        <v>29372</v>
      </c>
      <c r="G7425" t="s">
        <v>29380</v>
      </c>
      <c r="H7425" t="s">
        <v>11048</v>
      </c>
      <c r="I7425" t="s">
        <v>3629</v>
      </c>
      <c r="J7425" t="s">
        <v>31086</v>
      </c>
      <c r="K7425" t="s">
        <v>38485</v>
      </c>
      <c r="M7425" t="s">
        <v>41320</v>
      </c>
      <c r="N7425" t="s">
        <v>42669</v>
      </c>
      <c r="O7425" t="s">
        <v>42670</v>
      </c>
      <c r="P7425">
        <v>0</v>
      </c>
      <c r="Q7425">
        <v>0</v>
      </c>
      <c r="R7425" t="s">
        <v>42678</v>
      </c>
      <c r="S7425" t="s">
        <v>42866</v>
      </c>
      <c r="T7425" t="s">
        <v>44463</v>
      </c>
      <c r="U7425" t="s">
        <v>50879</v>
      </c>
      <c r="W7425" t="s">
        <v>41320</v>
      </c>
      <c r="X7425" t="s">
        <v>42679</v>
      </c>
    </row>
    <row r="7426" spans="1:24">
      <c r="A7426">
        <f>HYPERLINK("https://www.philgeps.gov.ph/GEPSNONPILOT/Tender/SplashBidNoticeAbstractUI.aspx?menuIndex=3&amp;refID=7181534&amp;Result=3","7181534")</f>
        <v>0</v>
      </c>
      <c r="B7426" t="s">
        <v>82</v>
      </c>
      <c r="C7426" t="s">
        <v>10624</v>
      </c>
      <c r="D7426" t="s">
        <v>17172</v>
      </c>
      <c r="E7426" t="s">
        <v>23672</v>
      </c>
      <c r="F7426" t="s">
        <v>29372</v>
      </c>
      <c r="G7426" t="s">
        <v>29380</v>
      </c>
      <c r="H7426" t="s">
        <v>29389</v>
      </c>
      <c r="I7426" t="s">
        <v>10408</v>
      </c>
      <c r="J7426" t="s">
        <v>34327</v>
      </c>
      <c r="K7426" t="s">
        <v>38490</v>
      </c>
      <c r="M7426" t="s">
        <v>38836</v>
      </c>
      <c r="N7426" t="s">
        <v>42669</v>
      </c>
      <c r="O7426" t="s">
        <v>42670</v>
      </c>
      <c r="P7426">
        <v>0</v>
      </c>
      <c r="Q7426">
        <v>2</v>
      </c>
      <c r="R7426" t="s">
        <v>42678</v>
      </c>
      <c r="S7426" t="s">
        <v>42866</v>
      </c>
      <c r="T7426" t="s">
        <v>44427</v>
      </c>
      <c r="U7426" t="s">
        <v>50773</v>
      </c>
      <c r="W7426" t="s">
        <v>38836</v>
      </c>
      <c r="X7426" t="s">
        <v>42679</v>
      </c>
    </row>
    <row r="7427" spans="1:24">
      <c r="A7427">
        <f>HYPERLINK("https://www.philgeps.gov.ph/GEPSNONPILOT/Tender/SplashBidNoticeAbstractUI.aspx?menuIndex=3&amp;refID=7181625&amp;Result=3","7181625")</f>
        <v>0</v>
      </c>
      <c r="B7427" t="s">
        <v>883</v>
      </c>
      <c r="C7427" t="s">
        <v>10625</v>
      </c>
      <c r="D7427" t="s">
        <v>17161</v>
      </c>
      <c r="E7427" t="s">
        <v>23673</v>
      </c>
      <c r="F7427" t="s">
        <v>29372</v>
      </c>
      <c r="G7427" t="s">
        <v>29383</v>
      </c>
      <c r="H7427" t="s">
        <v>11048</v>
      </c>
      <c r="I7427" t="s">
        <v>29399</v>
      </c>
      <c r="J7427" t="s">
        <v>29555</v>
      </c>
      <c r="K7427" t="s">
        <v>38538</v>
      </c>
      <c r="M7427" t="s">
        <v>39675</v>
      </c>
      <c r="N7427" t="s">
        <v>42669</v>
      </c>
      <c r="O7427" t="s">
        <v>42670</v>
      </c>
      <c r="P7427">
        <v>0</v>
      </c>
      <c r="Q7427">
        <v>1</v>
      </c>
      <c r="R7427" t="s">
        <v>42678</v>
      </c>
      <c r="S7427" t="s">
        <v>42866</v>
      </c>
      <c r="T7427" t="s">
        <v>44357</v>
      </c>
      <c r="U7427" t="s">
        <v>50880</v>
      </c>
      <c r="W7427" t="s">
        <v>39675</v>
      </c>
      <c r="X7427" t="s">
        <v>42679</v>
      </c>
    </row>
    <row r="7428" spans="1:24">
      <c r="A7428">
        <f>HYPERLINK("https://www.philgeps.gov.ph/GEPSNONPILOT/Tender/SplashBidNoticeAbstractUI.aspx?menuIndex=3&amp;refID=7181730&amp;Result=3","7181730")</f>
        <v>0</v>
      </c>
      <c r="B7428" t="s">
        <v>956</v>
      </c>
      <c r="C7428" t="s">
        <v>10626</v>
      </c>
      <c r="D7428" t="s">
        <v>17141</v>
      </c>
      <c r="E7428" t="s">
        <v>23674</v>
      </c>
      <c r="F7428" t="s">
        <v>29372</v>
      </c>
      <c r="G7428" t="s">
        <v>29380</v>
      </c>
      <c r="H7428" t="s">
        <v>11048</v>
      </c>
      <c r="I7428" t="s">
        <v>29423</v>
      </c>
      <c r="J7428" t="s">
        <v>34328</v>
      </c>
      <c r="K7428" t="s">
        <v>38495</v>
      </c>
      <c r="M7428" t="s">
        <v>41321</v>
      </c>
      <c r="N7428" t="s">
        <v>42669</v>
      </c>
      <c r="O7428" t="s">
        <v>42670</v>
      </c>
      <c r="P7428">
        <v>0</v>
      </c>
      <c r="Q7428">
        <v>3</v>
      </c>
      <c r="R7428" t="s">
        <v>42678</v>
      </c>
      <c r="S7428" t="s">
        <v>42866</v>
      </c>
      <c r="T7428" t="s">
        <v>44542</v>
      </c>
      <c r="U7428" t="s">
        <v>50881</v>
      </c>
      <c r="W7428" t="s">
        <v>41321</v>
      </c>
      <c r="X7428" t="s">
        <v>42679</v>
      </c>
    </row>
    <row r="7429" spans="1:24">
      <c r="A7429">
        <f>HYPERLINK("https://www.philgeps.gov.ph/GEPSNONPILOT/Tender/SplashBidNoticeAbstractUI.aspx?menuIndex=3&amp;refID=7181527&amp;Result=3","7181527")</f>
        <v>0</v>
      </c>
      <c r="B7429" t="s">
        <v>2378</v>
      </c>
      <c r="C7429" t="s">
        <v>10627</v>
      </c>
      <c r="D7429" t="s">
        <v>17170</v>
      </c>
      <c r="E7429" t="s">
        <v>23675</v>
      </c>
      <c r="F7429" t="s">
        <v>29372</v>
      </c>
      <c r="G7429" t="s">
        <v>29379</v>
      </c>
      <c r="H7429" t="s">
        <v>11048</v>
      </c>
      <c r="I7429" t="s">
        <v>29479</v>
      </c>
      <c r="J7429" t="s">
        <v>34329</v>
      </c>
      <c r="K7429" t="s">
        <v>38485</v>
      </c>
      <c r="M7429" t="s">
        <v>41322</v>
      </c>
      <c r="N7429" t="s">
        <v>42669</v>
      </c>
      <c r="O7429" t="s">
        <v>42670</v>
      </c>
      <c r="P7429">
        <v>0</v>
      </c>
      <c r="Q7429">
        <v>9</v>
      </c>
      <c r="R7429" t="s">
        <v>42678</v>
      </c>
      <c r="S7429" t="s">
        <v>42866</v>
      </c>
      <c r="T7429" t="s">
        <v>44488</v>
      </c>
      <c r="U7429" t="s">
        <v>50882</v>
      </c>
      <c r="W7429" t="s">
        <v>41322</v>
      </c>
      <c r="X7429" t="s">
        <v>42679</v>
      </c>
    </row>
    <row r="7430" spans="1:24">
      <c r="A7430">
        <f>HYPERLINK("https://www.philgeps.gov.ph/GEPSNONPILOT/Tender/SplashBidNoticeAbstractUI.aspx?menuIndex=3&amp;refID=7181407&amp;Result=3","7181407")</f>
        <v>0</v>
      </c>
      <c r="B7430" t="s">
        <v>1161</v>
      </c>
      <c r="C7430" t="s">
        <v>10628</v>
      </c>
      <c r="D7430" t="s">
        <v>17144</v>
      </c>
      <c r="E7430" t="s">
        <v>23676</v>
      </c>
      <c r="F7430" t="s">
        <v>29372</v>
      </c>
      <c r="G7430" t="s">
        <v>29379</v>
      </c>
      <c r="H7430" t="s">
        <v>11048</v>
      </c>
      <c r="I7430" t="s">
        <v>29452</v>
      </c>
      <c r="J7430" t="s">
        <v>34330</v>
      </c>
      <c r="K7430" t="s">
        <v>38488</v>
      </c>
      <c r="M7430" t="s">
        <v>41323</v>
      </c>
      <c r="N7430" t="s">
        <v>42669</v>
      </c>
      <c r="O7430" t="s">
        <v>42670</v>
      </c>
      <c r="P7430">
        <v>0</v>
      </c>
      <c r="Q7430">
        <v>4</v>
      </c>
      <c r="R7430" t="s">
        <v>42678</v>
      </c>
      <c r="S7430" t="s">
        <v>42866</v>
      </c>
      <c r="T7430" t="s">
        <v>44491</v>
      </c>
      <c r="U7430" t="s">
        <v>50883</v>
      </c>
      <c r="W7430" t="s">
        <v>41323</v>
      </c>
      <c r="X7430" t="s">
        <v>42679</v>
      </c>
    </row>
    <row r="7431" spans="1:24">
      <c r="A7431">
        <f>HYPERLINK("https://www.philgeps.gov.ph/GEPSNONPILOT/Tender/SplashBidNoticeAbstractUI.aspx?menuIndex=3&amp;refID=7181726&amp;Result=3","7181726")</f>
        <v>0</v>
      </c>
      <c r="B7431" t="s">
        <v>1513</v>
      </c>
      <c r="C7431" t="s">
        <v>10629</v>
      </c>
      <c r="D7431" t="s">
        <v>17171</v>
      </c>
      <c r="E7431" t="s">
        <v>23677</v>
      </c>
      <c r="F7431" t="s">
        <v>29372</v>
      </c>
      <c r="G7431" t="s">
        <v>29380</v>
      </c>
      <c r="H7431" t="s">
        <v>11048</v>
      </c>
      <c r="I7431" t="s">
        <v>3670</v>
      </c>
      <c r="J7431" t="s">
        <v>33419</v>
      </c>
      <c r="K7431" t="s">
        <v>38490</v>
      </c>
      <c r="M7431" t="s">
        <v>40357</v>
      </c>
      <c r="N7431" t="s">
        <v>42669</v>
      </c>
      <c r="O7431" t="s">
        <v>42670</v>
      </c>
      <c r="P7431">
        <v>0</v>
      </c>
      <c r="Q7431">
        <v>0</v>
      </c>
      <c r="R7431" t="s">
        <v>42678</v>
      </c>
      <c r="S7431" t="s">
        <v>42866</v>
      </c>
      <c r="T7431" t="s">
        <v>44570</v>
      </c>
      <c r="U7431" t="s">
        <v>50884</v>
      </c>
      <c r="V7431" t="s">
        <v>56790</v>
      </c>
      <c r="W7431" t="s">
        <v>40357</v>
      </c>
      <c r="X7431" t="s">
        <v>42679</v>
      </c>
    </row>
    <row r="7432" spans="1:24">
      <c r="A7432">
        <f>HYPERLINK("https://www.philgeps.gov.ph/GEPSNONPILOT/Tender/SplashBidNoticeAbstractUI.aspx?menuIndex=3&amp;refID=7181722&amp;Result=3","7181722")</f>
        <v>0</v>
      </c>
      <c r="B7432" t="s">
        <v>2179</v>
      </c>
      <c r="C7432" t="s">
        <v>10630</v>
      </c>
      <c r="D7432" t="s">
        <v>17144</v>
      </c>
      <c r="E7432" t="s">
        <v>23678</v>
      </c>
      <c r="F7432" t="s">
        <v>29372</v>
      </c>
      <c r="G7432" t="s">
        <v>29380</v>
      </c>
      <c r="H7432" t="s">
        <v>11048</v>
      </c>
      <c r="I7432" t="s">
        <v>29405</v>
      </c>
      <c r="J7432" t="s">
        <v>34331</v>
      </c>
      <c r="K7432" t="s">
        <v>38495</v>
      </c>
      <c r="M7432" t="s">
        <v>41093</v>
      </c>
      <c r="N7432" t="s">
        <v>42669</v>
      </c>
      <c r="O7432" t="s">
        <v>42670</v>
      </c>
      <c r="P7432">
        <v>0</v>
      </c>
      <c r="Q7432">
        <v>14</v>
      </c>
      <c r="R7432" t="s">
        <v>42678</v>
      </c>
      <c r="S7432" t="s">
        <v>42866</v>
      </c>
      <c r="T7432" t="s">
        <v>44460</v>
      </c>
      <c r="U7432" t="s">
        <v>50885</v>
      </c>
      <c r="W7432" t="s">
        <v>41093</v>
      </c>
      <c r="X7432" t="s">
        <v>42679</v>
      </c>
    </row>
    <row r="7433" spans="1:24">
      <c r="A7433">
        <f>HYPERLINK("https://www.philgeps.gov.ph/GEPSNONPILOT/Tender/SplashBidNoticeAbstractUI.aspx?menuIndex=3&amp;refID=7181707&amp;Result=3","7181707")</f>
        <v>0</v>
      </c>
      <c r="B7433" t="s">
        <v>2364</v>
      </c>
      <c r="C7433" t="s">
        <v>10631</v>
      </c>
      <c r="D7433" t="s">
        <v>17141</v>
      </c>
      <c r="E7433" t="s">
        <v>23581</v>
      </c>
      <c r="F7433" t="s">
        <v>29372</v>
      </c>
      <c r="G7433" t="s">
        <v>29380</v>
      </c>
      <c r="H7433" t="s">
        <v>11048</v>
      </c>
      <c r="I7433" t="s">
        <v>5383</v>
      </c>
      <c r="J7433" t="s">
        <v>34332</v>
      </c>
      <c r="K7433" t="s">
        <v>38485</v>
      </c>
      <c r="M7433" t="s">
        <v>41302</v>
      </c>
      <c r="N7433" t="s">
        <v>42669</v>
      </c>
      <c r="O7433" t="s">
        <v>42670</v>
      </c>
      <c r="P7433">
        <v>0</v>
      </c>
      <c r="Q7433">
        <v>9</v>
      </c>
      <c r="R7433" t="s">
        <v>42678</v>
      </c>
      <c r="S7433" t="s">
        <v>42866</v>
      </c>
      <c r="T7433" t="s">
        <v>44431</v>
      </c>
      <c r="U7433" t="s">
        <v>50886</v>
      </c>
      <c r="W7433" t="s">
        <v>41302</v>
      </c>
      <c r="X7433" t="s">
        <v>42679</v>
      </c>
    </row>
    <row r="7434" spans="1:24">
      <c r="A7434">
        <f>HYPERLINK("https://www.philgeps.gov.ph/GEPSNONPILOT/Tender/SplashBidNoticeAbstractUI.aspx?menuIndex=3&amp;refID=7181714&amp;Result=3","7181714")</f>
        <v>0</v>
      </c>
      <c r="B7434" t="s">
        <v>820</v>
      </c>
      <c r="C7434" t="s">
        <v>10632</v>
      </c>
      <c r="D7434" t="s">
        <v>17165</v>
      </c>
      <c r="E7434" t="s">
        <v>23679</v>
      </c>
      <c r="F7434" t="s">
        <v>29372</v>
      </c>
      <c r="G7434" t="s">
        <v>29379</v>
      </c>
      <c r="H7434" t="s">
        <v>11048</v>
      </c>
      <c r="I7434" t="s">
        <v>29395</v>
      </c>
      <c r="J7434" t="s">
        <v>34333</v>
      </c>
      <c r="K7434" t="s">
        <v>38488</v>
      </c>
      <c r="M7434" t="s">
        <v>39606</v>
      </c>
      <c r="N7434" t="s">
        <v>42669</v>
      </c>
      <c r="O7434" t="s">
        <v>42670</v>
      </c>
      <c r="P7434">
        <v>0</v>
      </c>
      <c r="Q7434">
        <v>2</v>
      </c>
      <c r="R7434" t="s">
        <v>42678</v>
      </c>
      <c r="S7434" t="s">
        <v>42866</v>
      </c>
      <c r="T7434" t="s">
        <v>44491</v>
      </c>
      <c r="U7434" t="s">
        <v>50887</v>
      </c>
      <c r="W7434" t="s">
        <v>39606</v>
      </c>
      <c r="X7434" t="s">
        <v>42679</v>
      </c>
    </row>
    <row r="7435" spans="1:24">
      <c r="A7435">
        <f>HYPERLINK("https://www.philgeps.gov.ph/GEPSNONPILOT/Tender/SplashBidNoticeAbstractUI.aspx?menuIndex=3&amp;refID=7181703&amp;Result=3","7181703")</f>
        <v>0</v>
      </c>
      <c r="B7435" t="s">
        <v>2379</v>
      </c>
      <c r="C7435" t="s">
        <v>10633</v>
      </c>
      <c r="D7435" t="s">
        <v>17161</v>
      </c>
      <c r="E7435" t="s">
        <v>17482</v>
      </c>
      <c r="F7435" t="s">
        <v>29372</v>
      </c>
      <c r="G7435" t="s">
        <v>29380</v>
      </c>
      <c r="H7435" t="s">
        <v>11048</v>
      </c>
      <c r="I7435" t="s">
        <v>29461</v>
      </c>
      <c r="J7435" t="s">
        <v>29587</v>
      </c>
      <c r="K7435" t="s">
        <v>38490</v>
      </c>
      <c r="M7435" t="s">
        <v>41324</v>
      </c>
      <c r="N7435" t="s">
        <v>42669</v>
      </c>
      <c r="O7435" t="s">
        <v>42670</v>
      </c>
      <c r="P7435">
        <v>0</v>
      </c>
      <c r="Q7435">
        <v>0</v>
      </c>
      <c r="R7435" t="s">
        <v>42678</v>
      </c>
      <c r="S7435" t="s">
        <v>42866</v>
      </c>
      <c r="T7435" t="s">
        <v>44432</v>
      </c>
      <c r="U7435" t="s">
        <v>50888</v>
      </c>
      <c r="W7435" t="s">
        <v>41324</v>
      </c>
      <c r="X7435" t="s">
        <v>42679</v>
      </c>
    </row>
    <row r="7436" spans="1:24">
      <c r="A7436">
        <f>HYPERLINK("https://www.philgeps.gov.ph/GEPSNONPILOT/Tender/SplashBidNoticeAbstractUI.aspx?menuIndex=3&amp;refID=7181696&amp;Result=3","7181696")</f>
        <v>0</v>
      </c>
      <c r="B7436" t="s">
        <v>2364</v>
      </c>
      <c r="C7436" t="s">
        <v>10634</v>
      </c>
      <c r="D7436" t="s">
        <v>17141</v>
      </c>
      <c r="E7436" t="s">
        <v>23581</v>
      </c>
      <c r="F7436" t="s">
        <v>29372</v>
      </c>
      <c r="G7436" t="s">
        <v>29380</v>
      </c>
      <c r="H7436" t="s">
        <v>11048</v>
      </c>
      <c r="I7436" t="s">
        <v>8614</v>
      </c>
      <c r="J7436" t="s">
        <v>34334</v>
      </c>
      <c r="K7436" t="s">
        <v>38485</v>
      </c>
      <c r="M7436" t="s">
        <v>41302</v>
      </c>
      <c r="N7436" t="s">
        <v>42669</v>
      </c>
      <c r="O7436" t="s">
        <v>42670</v>
      </c>
      <c r="P7436">
        <v>0</v>
      </c>
      <c r="Q7436">
        <v>10</v>
      </c>
      <c r="R7436" t="s">
        <v>42678</v>
      </c>
      <c r="S7436" t="s">
        <v>42866</v>
      </c>
      <c r="T7436" t="s">
        <v>44525</v>
      </c>
      <c r="U7436" t="s">
        <v>50889</v>
      </c>
      <c r="W7436" t="s">
        <v>41302</v>
      </c>
      <c r="X7436" t="s">
        <v>42679</v>
      </c>
    </row>
    <row r="7437" spans="1:24">
      <c r="A7437">
        <f>HYPERLINK("https://www.philgeps.gov.ph/GEPSNONPILOT/Tender/SplashBidNoticeAbstractUI.aspx?menuIndex=3&amp;refID=7181699&amp;Result=3","7181699")</f>
        <v>0</v>
      </c>
      <c r="B7437" t="s">
        <v>2380</v>
      </c>
      <c r="C7437" t="s">
        <v>10635</v>
      </c>
      <c r="D7437" t="s">
        <v>17169</v>
      </c>
      <c r="E7437" t="s">
        <v>20432</v>
      </c>
      <c r="F7437" t="s">
        <v>29375</v>
      </c>
      <c r="G7437" t="s">
        <v>29380</v>
      </c>
      <c r="H7437" t="s">
        <v>29389</v>
      </c>
      <c r="I7437" t="s">
        <v>10408</v>
      </c>
      <c r="J7437" t="s">
        <v>31317</v>
      </c>
      <c r="K7437" t="s">
        <v>38485</v>
      </c>
      <c r="M7437" t="s">
        <v>41325</v>
      </c>
      <c r="N7437" t="s">
        <v>42669</v>
      </c>
      <c r="O7437" t="s">
        <v>42670</v>
      </c>
      <c r="P7437">
        <v>0</v>
      </c>
      <c r="Q7437">
        <v>0</v>
      </c>
      <c r="R7437" t="s">
        <v>42678</v>
      </c>
      <c r="S7437" t="s">
        <v>42866</v>
      </c>
      <c r="T7437" t="s">
        <v>44412</v>
      </c>
      <c r="U7437" t="s">
        <v>50890</v>
      </c>
      <c r="W7437" t="s">
        <v>41325</v>
      </c>
      <c r="X7437" t="s">
        <v>42679</v>
      </c>
    </row>
    <row r="7438" spans="1:24">
      <c r="A7438">
        <f>HYPERLINK("https://www.philgeps.gov.ph/GEPSNONPILOT/Tender/SplashBidNoticeAbstractUI.aspx?menuIndex=3&amp;refID=7181728&amp;Result=3","7181728")</f>
        <v>0</v>
      </c>
      <c r="B7438" t="s">
        <v>2381</v>
      </c>
      <c r="C7438" t="s">
        <v>10636</v>
      </c>
      <c r="D7438" t="s">
        <v>17163</v>
      </c>
      <c r="E7438" t="s">
        <v>23680</v>
      </c>
      <c r="F7438" t="s">
        <v>29372</v>
      </c>
      <c r="G7438" t="s">
        <v>29380</v>
      </c>
      <c r="H7438" t="s">
        <v>11048</v>
      </c>
      <c r="I7438" t="s">
        <v>4709</v>
      </c>
      <c r="J7438" t="s">
        <v>34335</v>
      </c>
      <c r="K7438" t="s">
        <v>38510</v>
      </c>
      <c r="M7438" t="s">
        <v>41326</v>
      </c>
      <c r="N7438" t="s">
        <v>42669</v>
      </c>
      <c r="O7438" t="s">
        <v>42670</v>
      </c>
      <c r="P7438">
        <v>0</v>
      </c>
      <c r="Q7438">
        <v>0</v>
      </c>
      <c r="R7438" t="s">
        <v>42678</v>
      </c>
      <c r="S7438" t="s">
        <v>42866</v>
      </c>
      <c r="T7438" t="s">
        <v>44488</v>
      </c>
      <c r="U7438" t="s">
        <v>48075</v>
      </c>
      <c r="V7438" t="s">
        <v>56753</v>
      </c>
      <c r="W7438" t="s">
        <v>41326</v>
      </c>
      <c r="X7438" t="s">
        <v>42679</v>
      </c>
    </row>
    <row r="7439" spans="1:24">
      <c r="A7439">
        <f>HYPERLINK("https://www.philgeps.gov.ph/GEPSNONPILOT/Tender/SplashBidNoticeAbstractUI.aspx?menuIndex=3&amp;refID=7181724&amp;Result=3","7181724")</f>
        <v>0</v>
      </c>
      <c r="B7439" t="s">
        <v>2382</v>
      </c>
      <c r="C7439" t="s">
        <v>10637</v>
      </c>
      <c r="D7439" t="s">
        <v>17209</v>
      </c>
      <c r="E7439" t="s">
        <v>23681</v>
      </c>
      <c r="F7439" t="s">
        <v>29372</v>
      </c>
      <c r="G7439" t="s">
        <v>29383</v>
      </c>
      <c r="H7439" t="s">
        <v>11048</v>
      </c>
      <c r="I7439" t="s">
        <v>4709</v>
      </c>
      <c r="J7439" t="s">
        <v>34336</v>
      </c>
      <c r="K7439" t="s">
        <v>38491</v>
      </c>
      <c r="M7439" t="s">
        <v>41327</v>
      </c>
      <c r="N7439" t="s">
        <v>42669</v>
      </c>
      <c r="O7439" t="s">
        <v>42670</v>
      </c>
      <c r="P7439">
        <v>0</v>
      </c>
      <c r="Q7439">
        <v>0</v>
      </c>
      <c r="R7439" t="s">
        <v>42678</v>
      </c>
      <c r="S7439" t="s">
        <v>42866</v>
      </c>
      <c r="T7439" t="s">
        <v>44548</v>
      </c>
      <c r="U7439" t="s">
        <v>50891</v>
      </c>
      <c r="W7439" t="s">
        <v>41327</v>
      </c>
      <c r="X7439" t="s">
        <v>42679</v>
      </c>
    </row>
    <row r="7440" spans="1:24">
      <c r="A7440">
        <f>HYPERLINK("https://www.philgeps.gov.ph/GEPSNONPILOT/Tender/SplashBidNoticeAbstractUI.aspx?menuIndex=3&amp;refID=7181691&amp;Result=3","7181691")</f>
        <v>0</v>
      </c>
      <c r="B7440" t="s">
        <v>1499</v>
      </c>
      <c r="C7440" t="s">
        <v>10638</v>
      </c>
      <c r="D7440" t="s">
        <v>17231</v>
      </c>
      <c r="E7440" t="s">
        <v>23682</v>
      </c>
      <c r="F7440" t="s">
        <v>29372</v>
      </c>
      <c r="G7440" t="s">
        <v>29380</v>
      </c>
      <c r="H7440" t="s">
        <v>11048</v>
      </c>
      <c r="I7440" t="s">
        <v>3670</v>
      </c>
      <c r="J7440" t="s">
        <v>33118</v>
      </c>
      <c r="K7440" t="s">
        <v>38496</v>
      </c>
      <c r="M7440" t="s">
        <v>40343</v>
      </c>
      <c r="N7440" t="s">
        <v>42669</v>
      </c>
      <c r="O7440" t="s">
        <v>42670</v>
      </c>
      <c r="P7440">
        <v>0</v>
      </c>
      <c r="Q7440">
        <v>2</v>
      </c>
      <c r="R7440" t="s">
        <v>42678</v>
      </c>
      <c r="S7440" t="s">
        <v>42866</v>
      </c>
      <c r="T7440" t="s">
        <v>44355</v>
      </c>
      <c r="U7440" t="s">
        <v>50892</v>
      </c>
      <c r="W7440" t="s">
        <v>40343</v>
      </c>
      <c r="X7440" t="s">
        <v>42679</v>
      </c>
    </row>
    <row r="7441" spans="1:24">
      <c r="A7441">
        <f>HYPERLINK("https://www.philgeps.gov.ph/GEPSNONPILOT/Tender/SplashBidNoticeAbstractUI.aspx?menuIndex=3&amp;refID=7181690&amp;Result=3","7181690")</f>
        <v>0</v>
      </c>
      <c r="B7441" t="s">
        <v>2364</v>
      </c>
      <c r="C7441" t="s">
        <v>10639</v>
      </c>
      <c r="D7441" t="s">
        <v>17141</v>
      </c>
      <c r="E7441" t="s">
        <v>23581</v>
      </c>
      <c r="F7441" t="s">
        <v>29372</v>
      </c>
      <c r="G7441" t="s">
        <v>29380</v>
      </c>
      <c r="H7441" t="s">
        <v>11048</v>
      </c>
      <c r="I7441" t="s">
        <v>3839</v>
      </c>
      <c r="J7441" t="s">
        <v>34337</v>
      </c>
      <c r="K7441" t="s">
        <v>38485</v>
      </c>
      <c r="M7441" t="s">
        <v>41302</v>
      </c>
      <c r="N7441" t="s">
        <v>42669</v>
      </c>
      <c r="O7441" t="s">
        <v>42670</v>
      </c>
      <c r="P7441">
        <v>0</v>
      </c>
      <c r="Q7441">
        <v>7</v>
      </c>
      <c r="R7441" t="s">
        <v>42678</v>
      </c>
      <c r="S7441" t="s">
        <v>42866</v>
      </c>
      <c r="T7441" t="s">
        <v>44530</v>
      </c>
      <c r="U7441" t="s">
        <v>50893</v>
      </c>
      <c r="W7441" t="s">
        <v>41302</v>
      </c>
      <c r="X7441" t="s">
        <v>42679</v>
      </c>
    </row>
    <row r="7442" spans="1:24">
      <c r="A7442">
        <f>HYPERLINK("https://www.philgeps.gov.ph/GEPSNONPILOT/Tender/SplashBidNoticeAbstractUI.aspx?menuIndex=3&amp;refID=7181685&amp;Result=3","7181685")</f>
        <v>0</v>
      </c>
      <c r="B7442" t="s">
        <v>1513</v>
      </c>
      <c r="C7442" t="s">
        <v>10640</v>
      </c>
      <c r="D7442" t="s">
        <v>17171</v>
      </c>
      <c r="E7442" t="s">
        <v>23683</v>
      </c>
      <c r="F7442" t="s">
        <v>29372</v>
      </c>
      <c r="G7442" t="s">
        <v>29380</v>
      </c>
      <c r="H7442" t="s">
        <v>11048</v>
      </c>
      <c r="I7442" t="s">
        <v>3670</v>
      </c>
      <c r="J7442" t="s">
        <v>34338</v>
      </c>
      <c r="K7442" t="s">
        <v>38490</v>
      </c>
      <c r="M7442" t="s">
        <v>40357</v>
      </c>
      <c r="N7442" t="s">
        <v>42669</v>
      </c>
      <c r="O7442" t="s">
        <v>42670</v>
      </c>
      <c r="P7442">
        <v>0</v>
      </c>
      <c r="Q7442">
        <v>1</v>
      </c>
      <c r="R7442" t="s">
        <v>42678</v>
      </c>
      <c r="S7442" t="s">
        <v>42866</v>
      </c>
      <c r="T7442" t="s">
        <v>44570</v>
      </c>
      <c r="U7442" t="s">
        <v>50894</v>
      </c>
      <c r="V7442" t="s">
        <v>56790</v>
      </c>
      <c r="W7442" t="s">
        <v>40357</v>
      </c>
      <c r="X7442" t="s">
        <v>42679</v>
      </c>
    </row>
    <row r="7443" spans="1:24">
      <c r="A7443">
        <f>HYPERLINK("https://www.philgeps.gov.ph/GEPSNONPILOT/Tender/SplashBidNoticeAbstractUI.aspx?menuIndex=3&amp;refID=7181692&amp;Result=3","7181692")</f>
        <v>0</v>
      </c>
      <c r="B7443" t="s">
        <v>1513</v>
      </c>
      <c r="C7443" t="s">
        <v>10641</v>
      </c>
      <c r="D7443" t="s">
        <v>17171</v>
      </c>
      <c r="E7443" t="s">
        <v>23684</v>
      </c>
      <c r="F7443" t="s">
        <v>29372</v>
      </c>
      <c r="G7443" t="s">
        <v>29380</v>
      </c>
      <c r="H7443" t="s">
        <v>11048</v>
      </c>
      <c r="I7443" t="s">
        <v>8614</v>
      </c>
      <c r="J7443" t="s">
        <v>34339</v>
      </c>
      <c r="K7443" t="s">
        <v>38490</v>
      </c>
      <c r="M7443" t="s">
        <v>40357</v>
      </c>
      <c r="N7443" t="s">
        <v>42669</v>
      </c>
      <c r="O7443" t="s">
        <v>42670</v>
      </c>
      <c r="P7443">
        <v>0</v>
      </c>
      <c r="Q7443">
        <v>1</v>
      </c>
      <c r="R7443" t="s">
        <v>42678</v>
      </c>
      <c r="S7443" t="s">
        <v>42866</v>
      </c>
      <c r="T7443" t="s">
        <v>44570</v>
      </c>
      <c r="U7443" t="s">
        <v>50895</v>
      </c>
      <c r="V7443" t="s">
        <v>56790</v>
      </c>
      <c r="W7443" t="s">
        <v>40357</v>
      </c>
      <c r="X7443" t="s">
        <v>42679</v>
      </c>
    </row>
    <row r="7444" spans="1:24">
      <c r="A7444">
        <f>HYPERLINK("https://www.philgeps.gov.ph/GEPSNONPILOT/Tender/SplashBidNoticeAbstractUI.aspx?menuIndex=3&amp;refID=7181682&amp;Result=3","7181682")</f>
        <v>0</v>
      </c>
      <c r="B7444" t="s">
        <v>2383</v>
      </c>
      <c r="C7444" t="s">
        <v>10642</v>
      </c>
      <c r="D7444" t="s">
        <v>17189</v>
      </c>
      <c r="E7444" t="s">
        <v>17533</v>
      </c>
      <c r="F7444" t="s">
        <v>29372</v>
      </c>
      <c r="G7444" t="s">
        <v>29383</v>
      </c>
      <c r="H7444" t="s">
        <v>29389</v>
      </c>
      <c r="I7444" t="s">
        <v>4709</v>
      </c>
      <c r="J7444" t="s">
        <v>30224</v>
      </c>
      <c r="K7444" t="s">
        <v>38530</v>
      </c>
      <c r="M7444" t="s">
        <v>41328</v>
      </c>
      <c r="N7444" t="s">
        <v>42669</v>
      </c>
      <c r="O7444" t="s">
        <v>42670</v>
      </c>
      <c r="P7444">
        <v>0</v>
      </c>
      <c r="Q7444">
        <v>0</v>
      </c>
      <c r="R7444" t="s">
        <v>42678</v>
      </c>
      <c r="S7444" t="s">
        <v>42866</v>
      </c>
      <c r="T7444" t="s">
        <v>44433</v>
      </c>
      <c r="U7444" t="s">
        <v>50896</v>
      </c>
      <c r="W7444" t="s">
        <v>41328</v>
      </c>
      <c r="X7444" t="s">
        <v>42679</v>
      </c>
    </row>
    <row r="7445" spans="1:24">
      <c r="A7445">
        <f>HYPERLINK("https://www.philgeps.gov.ph/GEPSNONPILOT/Tender/SplashBidNoticeAbstractUI.aspx?menuIndex=3&amp;refID=7181689&amp;Result=3","7181689")</f>
        <v>0</v>
      </c>
      <c r="B7445" t="s">
        <v>1513</v>
      </c>
      <c r="C7445" t="s">
        <v>10643</v>
      </c>
      <c r="D7445" t="s">
        <v>17171</v>
      </c>
      <c r="E7445" t="s">
        <v>23685</v>
      </c>
      <c r="F7445" t="s">
        <v>29372</v>
      </c>
      <c r="G7445" t="s">
        <v>29380</v>
      </c>
      <c r="H7445" t="s">
        <v>11048</v>
      </c>
      <c r="I7445" t="s">
        <v>8614</v>
      </c>
      <c r="J7445" t="s">
        <v>31666</v>
      </c>
      <c r="K7445" t="s">
        <v>38490</v>
      </c>
      <c r="M7445" t="s">
        <v>40357</v>
      </c>
      <c r="N7445" t="s">
        <v>42669</v>
      </c>
      <c r="O7445" t="s">
        <v>42670</v>
      </c>
      <c r="P7445">
        <v>0</v>
      </c>
      <c r="Q7445">
        <v>1</v>
      </c>
      <c r="R7445" t="s">
        <v>42678</v>
      </c>
      <c r="S7445" t="s">
        <v>42866</v>
      </c>
      <c r="T7445" t="s">
        <v>44570</v>
      </c>
      <c r="U7445" t="s">
        <v>50897</v>
      </c>
      <c r="V7445" t="s">
        <v>56790</v>
      </c>
      <c r="W7445" t="s">
        <v>40357</v>
      </c>
      <c r="X7445" t="s">
        <v>42679</v>
      </c>
    </row>
    <row r="7446" spans="1:24">
      <c r="A7446">
        <f>HYPERLINK("https://www.philgeps.gov.ph/GEPSNONPILOT/Tender/SplashBidNoticeAbstractUI.aspx?menuIndex=3&amp;refID=7181695&amp;Result=3","7181695")</f>
        <v>0</v>
      </c>
      <c r="B7446" t="s">
        <v>820</v>
      </c>
      <c r="C7446" t="s">
        <v>10644</v>
      </c>
      <c r="D7446" t="s">
        <v>17165</v>
      </c>
      <c r="E7446" t="s">
        <v>23686</v>
      </c>
      <c r="F7446" t="s">
        <v>29372</v>
      </c>
      <c r="G7446" t="s">
        <v>29379</v>
      </c>
      <c r="H7446" t="s">
        <v>11048</v>
      </c>
      <c r="I7446" t="s">
        <v>3670</v>
      </c>
      <c r="J7446" t="s">
        <v>34340</v>
      </c>
      <c r="K7446" t="s">
        <v>38488</v>
      </c>
      <c r="M7446" t="s">
        <v>39606</v>
      </c>
      <c r="N7446" t="s">
        <v>42669</v>
      </c>
      <c r="O7446" t="s">
        <v>42670</v>
      </c>
      <c r="P7446">
        <v>0</v>
      </c>
      <c r="Q7446">
        <v>3</v>
      </c>
      <c r="R7446" t="s">
        <v>42678</v>
      </c>
      <c r="S7446" t="s">
        <v>42866</v>
      </c>
      <c r="T7446" t="s">
        <v>44491</v>
      </c>
      <c r="U7446" t="s">
        <v>50898</v>
      </c>
      <c r="W7446" t="s">
        <v>39606</v>
      </c>
      <c r="X7446" t="s">
        <v>42679</v>
      </c>
    </row>
    <row r="7447" spans="1:24">
      <c r="A7447">
        <f>HYPERLINK("https://www.philgeps.gov.ph/GEPSNONPILOT/Tender/SplashBidNoticeAbstractUI.aspx?menuIndex=3&amp;refID=7181797&amp;Result=3","7181797")</f>
        <v>0</v>
      </c>
      <c r="B7447" t="s">
        <v>2384</v>
      </c>
      <c r="C7447" t="s">
        <v>10645</v>
      </c>
      <c r="D7447" t="s">
        <v>17164</v>
      </c>
      <c r="E7447" t="s">
        <v>23687</v>
      </c>
      <c r="F7447" t="s">
        <v>29372</v>
      </c>
      <c r="G7447" t="s">
        <v>29380</v>
      </c>
      <c r="H7447" t="s">
        <v>29389</v>
      </c>
      <c r="I7447" t="s">
        <v>10408</v>
      </c>
      <c r="J7447" t="s">
        <v>34341</v>
      </c>
      <c r="K7447" t="s">
        <v>38520</v>
      </c>
      <c r="M7447" t="s">
        <v>41329</v>
      </c>
      <c r="N7447" t="s">
        <v>42669</v>
      </c>
      <c r="O7447" t="s">
        <v>42670</v>
      </c>
      <c r="P7447">
        <v>0</v>
      </c>
      <c r="Q7447">
        <v>2</v>
      </c>
      <c r="R7447" t="s">
        <v>42678</v>
      </c>
      <c r="S7447" t="s">
        <v>42866</v>
      </c>
      <c r="T7447" t="s">
        <v>44368</v>
      </c>
      <c r="U7447" t="s">
        <v>50899</v>
      </c>
      <c r="W7447" t="s">
        <v>41329</v>
      </c>
      <c r="X7447" t="s">
        <v>42679</v>
      </c>
    </row>
    <row r="7448" spans="1:24">
      <c r="A7448">
        <f>HYPERLINK("https://www.philgeps.gov.ph/GEPSNONPILOT/Tender/SplashBidNoticeAbstractUI.aspx?menuIndex=3&amp;refID=7181796&amp;Result=3","7181796")</f>
        <v>0</v>
      </c>
      <c r="B7448" t="s">
        <v>1289</v>
      </c>
      <c r="C7448" t="s">
        <v>10646</v>
      </c>
      <c r="D7448" t="s">
        <v>17202</v>
      </c>
      <c r="E7448" t="s">
        <v>23688</v>
      </c>
      <c r="F7448" t="s">
        <v>29372</v>
      </c>
      <c r="G7448" t="s">
        <v>29380</v>
      </c>
      <c r="H7448" t="s">
        <v>29389</v>
      </c>
      <c r="I7448" t="s">
        <v>10408</v>
      </c>
      <c r="J7448" t="s">
        <v>29587</v>
      </c>
      <c r="K7448" t="s">
        <v>38487</v>
      </c>
      <c r="L7448" t="s">
        <v>1289</v>
      </c>
      <c r="M7448" t="s">
        <v>40118</v>
      </c>
      <c r="N7448" t="s">
        <v>42669</v>
      </c>
      <c r="O7448" t="s">
        <v>42670</v>
      </c>
      <c r="P7448">
        <v>0</v>
      </c>
      <c r="Q7448">
        <v>0</v>
      </c>
      <c r="R7448" t="s">
        <v>42678</v>
      </c>
      <c r="S7448" t="s">
        <v>42866</v>
      </c>
      <c r="T7448" t="s">
        <v>44488</v>
      </c>
      <c r="U7448" t="s">
        <v>50900</v>
      </c>
      <c r="W7448" t="s">
        <v>40118</v>
      </c>
      <c r="X7448" t="s">
        <v>42679</v>
      </c>
    </row>
    <row r="7449" spans="1:24">
      <c r="A7449">
        <f>HYPERLINK("https://www.philgeps.gov.ph/GEPSNONPILOT/Tender/SplashBidNoticeAbstractUI.aspx?menuIndex=3&amp;refID=7181792&amp;Result=3","7181792")</f>
        <v>0</v>
      </c>
      <c r="B7449" t="s">
        <v>662</v>
      </c>
      <c r="C7449" t="s">
        <v>10647</v>
      </c>
      <c r="D7449" t="s">
        <v>17211</v>
      </c>
      <c r="E7449" t="s">
        <v>23689</v>
      </c>
      <c r="F7449" t="s">
        <v>29372</v>
      </c>
      <c r="G7449" t="s">
        <v>29380</v>
      </c>
      <c r="H7449" t="s">
        <v>11048</v>
      </c>
      <c r="I7449" t="s">
        <v>29425</v>
      </c>
      <c r="J7449" t="s">
        <v>34342</v>
      </c>
      <c r="K7449" t="s">
        <v>38496</v>
      </c>
      <c r="M7449" t="s">
        <v>39438</v>
      </c>
      <c r="N7449" t="s">
        <v>42669</v>
      </c>
      <c r="O7449" t="s">
        <v>42670</v>
      </c>
      <c r="P7449">
        <v>0</v>
      </c>
      <c r="Q7449">
        <v>1</v>
      </c>
      <c r="R7449" t="s">
        <v>42678</v>
      </c>
      <c r="S7449" t="s">
        <v>42866</v>
      </c>
      <c r="T7449" t="s">
        <v>44401</v>
      </c>
      <c r="U7449" t="s">
        <v>50901</v>
      </c>
      <c r="W7449" t="s">
        <v>39438</v>
      </c>
      <c r="X7449" t="s">
        <v>42679</v>
      </c>
    </row>
    <row r="7450" spans="1:24">
      <c r="A7450">
        <f>HYPERLINK("https://www.philgeps.gov.ph/GEPSNONPILOT/Tender/SplashBidNoticeAbstractUI.aspx?menuIndex=3&amp;refID=7181791&amp;Result=3","7181791")</f>
        <v>0</v>
      </c>
      <c r="B7450" t="s">
        <v>2385</v>
      </c>
      <c r="C7450" t="s">
        <v>10648</v>
      </c>
      <c r="D7450" t="s">
        <v>17177</v>
      </c>
      <c r="E7450" t="s">
        <v>17648</v>
      </c>
      <c r="F7450" t="s">
        <v>29372</v>
      </c>
      <c r="G7450" t="s">
        <v>29380</v>
      </c>
      <c r="H7450" t="s">
        <v>29389</v>
      </c>
      <c r="I7450" t="s">
        <v>10408</v>
      </c>
      <c r="J7450" t="s">
        <v>34343</v>
      </c>
      <c r="K7450" t="s">
        <v>38489</v>
      </c>
      <c r="M7450" t="s">
        <v>41330</v>
      </c>
      <c r="N7450" t="s">
        <v>42669</v>
      </c>
      <c r="O7450" t="s">
        <v>42670</v>
      </c>
      <c r="P7450">
        <v>0</v>
      </c>
      <c r="Q7450">
        <v>0</v>
      </c>
      <c r="R7450" t="s">
        <v>42678</v>
      </c>
      <c r="S7450" t="s">
        <v>42866</v>
      </c>
      <c r="T7450" t="s">
        <v>44572</v>
      </c>
      <c r="U7450" t="s">
        <v>50902</v>
      </c>
      <c r="W7450" t="s">
        <v>41330</v>
      </c>
      <c r="X7450" t="s">
        <v>42679</v>
      </c>
    </row>
    <row r="7451" spans="1:24">
      <c r="A7451">
        <f>HYPERLINK("https://www.philgeps.gov.ph/GEPSNONPILOT/Tender/SplashBidNoticeAbstractUI.aspx?menuIndex=3&amp;refID=7181789&amp;Result=3","7181789")</f>
        <v>0</v>
      </c>
      <c r="B7451" t="s">
        <v>278</v>
      </c>
      <c r="C7451" t="s">
        <v>10649</v>
      </c>
      <c r="D7451" t="s">
        <v>17206</v>
      </c>
      <c r="E7451" t="s">
        <v>23690</v>
      </c>
      <c r="F7451" t="s">
        <v>29372</v>
      </c>
      <c r="G7451" t="s">
        <v>29380</v>
      </c>
      <c r="H7451" t="s">
        <v>11048</v>
      </c>
      <c r="I7451" t="s">
        <v>29417</v>
      </c>
      <c r="J7451" t="s">
        <v>34344</v>
      </c>
      <c r="K7451" t="s">
        <v>38496</v>
      </c>
      <c r="M7451" t="s">
        <v>39138</v>
      </c>
      <c r="N7451" t="s">
        <v>42669</v>
      </c>
      <c r="O7451" t="s">
        <v>42670</v>
      </c>
      <c r="P7451">
        <v>0</v>
      </c>
      <c r="Q7451">
        <v>2</v>
      </c>
      <c r="R7451" t="s">
        <v>42678</v>
      </c>
      <c r="S7451" t="s">
        <v>42866</v>
      </c>
      <c r="T7451" t="s">
        <v>44664</v>
      </c>
      <c r="U7451" t="s">
        <v>50903</v>
      </c>
      <c r="W7451" t="s">
        <v>39138</v>
      </c>
      <c r="X7451" t="s">
        <v>42679</v>
      </c>
    </row>
    <row r="7452" spans="1:24">
      <c r="A7452">
        <f>HYPERLINK("https://www.philgeps.gov.ph/GEPSNONPILOT/Tender/SplashBidNoticeAbstractUI.aspx?menuIndex=3&amp;refID=7181782&amp;Result=3","7181782")</f>
        <v>0</v>
      </c>
      <c r="B7452" t="s">
        <v>1466</v>
      </c>
      <c r="C7452" t="s">
        <v>10650</v>
      </c>
      <c r="E7452" t="s">
        <v>23691</v>
      </c>
      <c r="F7452" t="s">
        <v>29372</v>
      </c>
      <c r="G7452" t="s">
        <v>29379</v>
      </c>
      <c r="H7452" t="s">
        <v>11048</v>
      </c>
      <c r="I7452" t="s">
        <v>3670</v>
      </c>
      <c r="J7452" t="s">
        <v>34345</v>
      </c>
      <c r="K7452" t="s">
        <v>38490</v>
      </c>
      <c r="M7452" t="s">
        <v>40309</v>
      </c>
      <c r="N7452" t="s">
        <v>42669</v>
      </c>
      <c r="O7452" t="s">
        <v>42670</v>
      </c>
      <c r="P7452">
        <v>0</v>
      </c>
      <c r="Q7452">
        <v>1</v>
      </c>
      <c r="R7452" t="s">
        <v>42678</v>
      </c>
      <c r="S7452" t="s">
        <v>42866</v>
      </c>
      <c r="T7452" t="s">
        <v>44432</v>
      </c>
      <c r="U7452" t="s">
        <v>50759</v>
      </c>
      <c r="W7452" t="s">
        <v>40309</v>
      </c>
      <c r="X7452" t="s">
        <v>42679</v>
      </c>
    </row>
    <row r="7453" spans="1:24">
      <c r="A7453">
        <f>HYPERLINK("https://www.philgeps.gov.ph/GEPSNONPILOT/Tender/SplashBidNoticeAbstractUI.aspx?menuIndex=3&amp;refID=7181776&amp;Result=3","7181776")</f>
        <v>0</v>
      </c>
      <c r="B7453" t="s">
        <v>1978</v>
      </c>
      <c r="C7453" t="s">
        <v>10651</v>
      </c>
      <c r="D7453" t="s">
        <v>17164</v>
      </c>
      <c r="E7453" t="s">
        <v>23692</v>
      </c>
      <c r="F7453" t="s">
        <v>29372</v>
      </c>
      <c r="G7453" t="s">
        <v>29380</v>
      </c>
      <c r="H7453" t="s">
        <v>11048</v>
      </c>
      <c r="I7453" t="s">
        <v>4709</v>
      </c>
      <c r="J7453" t="s">
        <v>30127</v>
      </c>
      <c r="K7453" t="s">
        <v>38488</v>
      </c>
      <c r="M7453" t="s">
        <v>40865</v>
      </c>
      <c r="N7453" t="s">
        <v>42669</v>
      </c>
      <c r="O7453" t="s">
        <v>42670</v>
      </c>
      <c r="P7453">
        <v>0</v>
      </c>
      <c r="Q7453">
        <v>0</v>
      </c>
      <c r="R7453" t="s">
        <v>42678</v>
      </c>
      <c r="S7453" t="s">
        <v>42866</v>
      </c>
      <c r="T7453" t="s">
        <v>44474</v>
      </c>
      <c r="U7453" t="s">
        <v>49501</v>
      </c>
      <c r="W7453" t="s">
        <v>40865</v>
      </c>
      <c r="X7453" t="s">
        <v>42679</v>
      </c>
    </row>
    <row r="7454" spans="1:24">
      <c r="A7454">
        <f>HYPERLINK("https://www.philgeps.gov.ph/GEPSNONPILOT/Tender/SplashBidNoticeAbstractUI.aspx?menuIndex=3&amp;refID=7181771&amp;Result=3","7181771")</f>
        <v>0</v>
      </c>
      <c r="B7454" t="s">
        <v>1466</v>
      </c>
      <c r="C7454" t="s">
        <v>10652</v>
      </c>
      <c r="E7454" t="s">
        <v>23693</v>
      </c>
      <c r="F7454" t="s">
        <v>29372</v>
      </c>
      <c r="G7454" t="s">
        <v>29379</v>
      </c>
      <c r="H7454" t="s">
        <v>11048</v>
      </c>
      <c r="I7454" t="s">
        <v>3670</v>
      </c>
      <c r="J7454" t="s">
        <v>34215</v>
      </c>
      <c r="K7454" t="s">
        <v>38490</v>
      </c>
      <c r="M7454" t="s">
        <v>40309</v>
      </c>
      <c r="N7454" t="s">
        <v>42669</v>
      </c>
      <c r="O7454" t="s">
        <v>42670</v>
      </c>
      <c r="P7454">
        <v>0</v>
      </c>
      <c r="Q7454">
        <v>1</v>
      </c>
      <c r="R7454" t="s">
        <v>42678</v>
      </c>
      <c r="S7454" t="s">
        <v>42866</v>
      </c>
      <c r="T7454" t="s">
        <v>44432</v>
      </c>
      <c r="U7454" t="s">
        <v>48135</v>
      </c>
      <c r="W7454" t="s">
        <v>40309</v>
      </c>
      <c r="X7454" t="s">
        <v>42679</v>
      </c>
    </row>
    <row r="7455" spans="1:24">
      <c r="A7455">
        <f>HYPERLINK("https://www.philgeps.gov.ph/GEPSNONPILOT/Tender/SplashBidNoticeAbstractUI.aspx?menuIndex=3&amp;refID=7181531&amp;Result=3","7181531")</f>
        <v>0</v>
      </c>
      <c r="B7455" t="s">
        <v>2048</v>
      </c>
      <c r="C7455" t="s">
        <v>10653</v>
      </c>
      <c r="D7455" t="s">
        <v>17173</v>
      </c>
      <c r="E7455" t="s">
        <v>23694</v>
      </c>
      <c r="F7455" t="s">
        <v>29372</v>
      </c>
      <c r="G7455" t="s">
        <v>29380</v>
      </c>
      <c r="H7455" t="s">
        <v>29389</v>
      </c>
      <c r="I7455" t="s">
        <v>10408</v>
      </c>
      <c r="J7455" t="s">
        <v>34346</v>
      </c>
      <c r="K7455" t="s">
        <v>38525</v>
      </c>
      <c r="M7455" t="s">
        <v>40946</v>
      </c>
      <c r="N7455" t="s">
        <v>42669</v>
      </c>
      <c r="O7455" t="s">
        <v>42670</v>
      </c>
      <c r="P7455">
        <v>0</v>
      </c>
      <c r="Q7455">
        <v>2</v>
      </c>
      <c r="R7455" t="s">
        <v>42678</v>
      </c>
      <c r="S7455" t="s">
        <v>42866</v>
      </c>
      <c r="T7455" t="s">
        <v>44664</v>
      </c>
      <c r="U7455" t="s">
        <v>50904</v>
      </c>
      <c r="V7455" t="s">
        <v>57013</v>
      </c>
      <c r="W7455" t="s">
        <v>40946</v>
      </c>
      <c r="X7455" t="s">
        <v>42679</v>
      </c>
    </row>
    <row r="7456" spans="1:24">
      <c r="A7456">
        <f>HYPERLINK("https://www.philgeps.gov.ph/GEPSNONPILOT/Tender/SplashBidNoticeAbstractUI.aspx?menuIndex=3&amp;refID=7181764&amp;Result=3","7181764")</f>
        <v>0</v>
      </c>
      <c r="B7456" t="s">
        <v>2386</v>
      </c>
      <c r="C7456" t="s">
        <v>10654</v>
      </c>
      <c r="D7456" t="s">
        <v>17170</v>
      </c>
      <c r="E7456" t="s">
        <v>23695</v>
      </c>
      <c r="F7456" t="s">
        <v>29372</v>
      </c>
      <c r="G7456" t="s">
        <v>29380</v>
      </c>
      <c r="H7456" t="s">
        <v>11048</v>
      </c>
      <c r="I7456" t="s">
        <v>9469</v>
      </c>
      <c r="J7456" t="s">
        <v>29555</v>
      </c>
      <c r="K7456" t="s">
        <v>38485</v>
      </c>
      <c r="M7456" t="s">
        <v>41331</v>
      </c>
      <c r="N7456" t="s">
        <v>42669</v>
      </c>
      <c r="O7456" t="s">
        <v>42670</v>
      </c>
      <c r="P7456">
        <v>0</v>
      </c>
      <c r="Q7456">
        <v>0</v>
      </c>
      <c r="R7456" t="s">
        <v>42678</v>
      </c>
      <c r="S7456" t="s">
        <v>42866</v>
      </c>
      <c r="T7456" t="s">
        <v>44469</v>
      </c>
      <c r="U7456" t="s">
        <v>50905</v>
      </c>
      <c r="V7456" t="s">
        <v>57184</v>
      </c>
      <c r="W7456" t="s">
        <v>41331</v>
      </c>
      <c r="X7456" t="s">
        <v>42679</v>
      </c>
    </row>
    <row r="7457" spans="1:24">
      <c r="A7457">
        <f>HYPERLINK("https://www.philgeps.gov.ph/GEPSNONPILOT/Tender/SplashBidNoticeAbstractUI.aspx?menuIndex=3&amp;refID=7181681&amp;Result=3","7181681")</f>
        <v>0</v>
      </c>
      <c r="B7457" t="s">
        <v>1513</v>
      </c>
      <c r="C7457" t="s">
        <v>10655</v>
      </c>
      <c r="D7457" t="s">
        <v>17171</v>
      </c>
      <c r="E7457" t="s">
        <v>23696</v>
      </c>
      <c r="F7457" t="s">
        <v>29372</v>
      </c>
      <c r="G7457" t="s">
        <v>29380</v>
      </c>
      <c r="H7457" t="s">
        <v>11048</v>
      </c>
      <c r="I7457" t="s">
        <v>29395</v>
      </c>
      <c r="J7457" t="s">
        <v>34347</v>
      </c>
      <c r="K7457" t="s">
        <v>38490</v>
      </c>
      <c r="M7457" t="s">
        <v>40357</v>
      </c>
      <c r="N7457" t="s">
        <v>42669</v>
      </c>
      <c r="O7457" t="s">
        <v>42670</v>
      </c>
      <c r="P7457">
        <v>0</v>
      </c>
      <c r="Q7457">
        <v>0</v>
      </c>
      <c r="R7457" t="s">
        <v>42678</v>
      </c>
      <c r="S7457" t="s">
        <v>42866</v>
      </c>
      <c r="T7457" t="s">
        <v>44570</v>
      </c>
      <c r="U7457" t="s">
        <v>50906</v>
      </c>
      <c r="V7457" t="s">
        <v>56790</v>
      </c>
      <c r="W7457" t="s">
        <v>40357</v>
      </c>
      <c r="X7457" t="s">
        <v>42679</v>
      </c>
    </row>
    <row r="7458" spans="1:24">
      <c r="A7458">
        <f>HYPERLINK("https://www.philgeps.gov.ph/GEPSNONPILOT/Tender/SplashBidNoticeAbstractUI.aspx?menuIndex=3&amp;refID=7181644&amp;Result=3","7181644")</f>
        <v>0</v>
      </c>
      <c r="B7458" t="s">
        <v>2387</v>
      </c>
      <c r="C7458" t="s">
        <v>10656</v>
      </c>
      <c r="D7458" t="s">
        <v>17169</v>
      </c>
      <c r="E7458" t="s">
        <v>22704</v>
      </c>
      <c r="F7458" t="s">
        <v>29373</v>
      </c>
      <c r="G7458" t="s">
        <v>29380</v>
      </c>
      <c r="H7458" t="s">
        <v>11048</v>
      </c>
      <c r="I7458" t="s">
        <v>29397</v>
      </c>
      <c r="J7458" t="s">
        <v>29571</v>
      </c>
      <c r="K7458" t="s">
        <v>38490</v>
      </c>
      <c r="M7458" t="s">
        <v>41332</v>
      </c>
      <c r="N7458" t="s">
        <v>42669</v>
      </c>
      <c r="O7458" t="s">
        <v>42670</v>
      </c>
      <c r="P7458">
        <v>0</v>
      </c>
      <c r="Q7458">
        <v>1</v>
      </c>
      <c r="R7458" t="s">
        <v>42678</v>
      </c>
      <c r="S7458" t="s">
        <v>42866</v>
      </c>
      <c r="T7458" t="s">
        <v>44412</v>
      </c>
      <c r="U7458" t="s">
        <v>50907</v>
      </c>
      <c r="W7458" t="s">
        <v>41332</v>
      </c>
      <c r="X7458" t="s">
        <v>42679</v>
      </c>
    </row>
    <row r="7459" spans="1:24">
      <c r="A7459">
        <f>HYPERLINK("https://www.philgeps.gov.ph/GEPSNONPILOT/Tender/SplashBidNoticeAbstractUI.aspx?menuIndex=3&amp;refID=7181759&amp;Result=3","7181759")</f>
        <v>0</v>
      </c>
      <c r="B7459" t="s">
        <v>2388</v>
      </c>
      <c r="C7459" t="s">
        <v>10657</v>
      </c>
      <c r="D7459" t="s">
        <v>17185</v>
      </c>
      <c r="E7459" t="s">
        <v>23697</v>
      </c>
      <c r="F7459" t="s">
        <v>29372</v>
      </c>
      <c r="G7459" t="s">
        <v>29380</v>
      </c>
      <c r="H7459" t="s">
        <v>11048</v>
      </c>
      <c r="I7459" t="s">
        <v>4709</v>
      </c>
      <c r="J7459" t="s">
        <v>34348</v>
      </c>
      <c r="K7459" t="s">
        <v>38488</v>
      </c>
      <c r="M7459" t="s">
        <v>41333</v>
      </c>
      <c r="N7459" t="s">
        <v>42669</v>
      </c>
      <c r="O7459" t="s">
        <v>42670</v>
      </c>
      <c r="P7459">
        <v>0</v>
      </c>
      <c r="Q7459">
        <v>3</v>
      </c>
      <c r="R7459" t="s">
        <v>42678</v>
      </c>
      <c r="S7459" t="s">
        <v>42866</v>
      </c>
      <c r="T7459" t="s">
        <v>44442</v>
      </c>
      <c r="U7459" t="s">
        <v>50908</v>
      </c>
      <c r="W7459" t="s">
        <v>41333</v>
      </c>
      <c r="X7459" t="s">
        <v>42679</v>
      </c>
    </row>
    <row r="7460" spans="1:24">
      <c r="A7460">
        <f>HYPERLINK("https://www.philgeps.gov.ph/GEPSNONPILOT/Tender/SplashBidNoticeAbstractUI.aspx?menuIndex=3&amp;refID=7181693&amp;Result=3","7181693")</f>
        <v>0</v>
      </c>
      <c r="B7460" t="s">
        <v>2374</v>
      </c>
      <c r="C7460" t="s">
        <v>10658</v>
      </c>
      <c r="D7460" t="s">
        <v>17163</v>
      </c>
      <c r="E7460" t="s">
        <v>23698</v>
      </c>
      <c r="F7460" t="s">
        <v>29372</v>
      </c>
      <c r="G7460" t="s">
        <v>29383</v>
      </c>
      <c r="H7460" t="s">
        <v>11048</v>
      </c>
      <c r="I7460" t="s">
        <v>5383</v>
      </c>
      <c r="J7460" t="s">
        <v>34349</v>
      </c>
      <c r="K7460" t="s">
        <v>38490</v>
      </c>
      <c r="M7460" t="s">
        <v>41315</v>
      </c>
      <c r="N7460" t="s">
        <v>42669</v>
      </c>
      <c r="O7460" t="s">
        <v>42670</v>
      </c>
      <c r="Q7460">
        <v>3</v>
      </c>
      <c r="R7460" t="s">
        <v>42678</v>
      </c>
      <c r="S7460" t="s">
        <v>42894</v>
      </c>
      <c r="T7460" t="s">
        <v>44493</v>
      </c>
      <c r="U7460" t="s">
        <v>50909</v>
      </c>
      <c r="W7460" t="s">
        <v>58085</v>
      </c>
      <c r="X7460" t="s">
        <v>42679</v>
      </c>
    </row>
    <row r="7461" spans="1:24">
      <c r="A7461">
        <f>HYPERLINK("https://www.philgeps.gov.ph/GEPSNONPILOT/Tender/SplashBidNoticeAbstractUI.aspx?menuIndex=3&amp;refID=7181769&amp;Result=3","7181769")</f>
        <v>0</v>
      </c>
      <c r="B7461" t="s">
        <v>2389</v>
      </c>
      <c r="C7461" t="s">
        <v>10659</v>
      </c>
      <c r="D7461" t="s">
        <v>17177</v>
      </c>
      <c r="E7461" t="s">
        <v>23699</v>
      </c>
      <c r="F7461" t="s">
        <v>29372</v>
      </c>
      <c r="G7461" t="s">
        <v>29380</v>
      </c>
      <c r="H7461" t="s">
        <v>29389</v>
      </c>
      <c r="I7461" t="s">
        <v>10408</v>
      </c>
      <c r="J7461" t="s">
        <v>34350</v>
      </c>
      <c r="K7461" t="s">
        <v>38564</v>
      </c>
      <c r="M7461" t="s">
        <v>41334</v>
      </c>
      <c r="N7461" t="s">
        <v>42669</v>
      </c>
      <c r="O7461" t="s">
        <v>42670</v>
      </c>
      <c r="P7461">
        <v>0</v>
      </c>
      <c r="Q7461">
        <v>3</v>
      </c>
      <c r="R7461" t="s">
        <v>42678</v>
      </c>
      <c r="S7461" t="s">
        <v>42866</v>
      </c>
      <c r="T7461" t="s">
        <v>44446</v>
      </c>
      <c r="U7461" t="s">
        <v>50910</v>
      </c>
      <c r="V7461" t="s">
        <v>57185</v>
      </c>
      <c r="W7461" t="s">
        <v>41334</v>
      </c>
      <c r="X7461" t="s">
        <v>42679</v>
      </c>
    </row>
    <row r="7462" spans="1:24">
      <c r="A7462">
        <f>HYPERLINK("https://www.philgeps.gov.ph/GEPSNONPILOT/Tender/SplashBidNoticeAbstractUI.aspx?menuIndex=3&amp;refID=7181766&amp;Result=3","7181766")</f>
        <v>0</v>
      </c>
      <c r="B7462" t="s">
        <v>1403</v>
      </c>
      <c r="C7462" t="s">
        <v>10660</v>
      </c>
      <c r="D7462" t="s">
        <v>17144</v>
      </c>
      <c r="E7462" t="s">
        <v>23700</v>
      </c>
      <c r="F7462" t="s">
        <v>29372</v>
      </c>
      <c r="G7462" t="s">
        <v>29379</v>
      </c>
      <c r="H7462" t="s">
        <v>11048</v>
      </c>
      <c r="I7462" t="s">
        <v>3629</v>
      </c>
      <c r="J7462" t="s">
        <v>29625</v>
      </c>
      <c r="K7462" t="s">
        <v>38488</v>
      </c>
      <c r="M7462" t="s">
        <v>40242</v>
      </c>
      <c r="N7462" t="s">
        <v>42669</v>
      </c>
      <c r="O7462" t="s">
        <v>42670</v>
      </c>
      <c r="P7462">
        <v>0</v>
      </c>
      <c r="Q7462">
        <v>0</v>
      </c>
      <c r="R7462" t="s">
        <v>42678</v>
      </c>
      <c r="S7462" t="s">
        <v>42866</v>
      </c>
      <c r="T7462" t="s">
        <v>44491</v>
      </c>
      <c r="U7462" t="s">
        <v>50911</v>
      </c>
      <c r="W7462" t="s">
        <v>40242</v>
      </c>
      <c r="X7462" t="s">
        <v>42679</v>
      </c>
    </row>
    <row r="7463" spans="1:24">
      <c r="A7463">
        <f>HYPERLINK("https://www.philgeps.gov.ph/GEPSNONPILOT/Tender/SplashBidNoticeAbstractUI.aspx?menuIndex=3&amp;refID=7181736&amp;Result=3","7181736")</f>
        <v>0</v>
      </c>
      <c r="B7463" t="s">
        <v>1513</v>
      </c>
      <c r="C7463" t="s">
        <v>10661</v>
      </c>
      <c r="D7463" t="s">
        <v>17171</v>
      </c>
      <c r="E7463" t="s">
        <v>23701</v>
      </c>
      <c r="F7463" t="s">
        <v>29372</v>
      </c>
      <c r="G7463" t="s">
        <v>29380</v>
      </c>
      <c r="H7463" t="s">
        <v>11048</v>
      </c>
      <c r="I7463" t="s">
        <v>29458</v>
      </c>
      <c r="J7463" t="s">
        <v>32690</v>
      </c>
      <c r="K7463" t="s">
        <v>38490</v>
      </c>
      <c r="M7463" t="s">
        <v>40357</v>
      </c>
      <c r="N7463" t="s">
        <v>42669</v>
      </c>
      <c r="O7463" t="s">
        <v>42670</v>
      </c>
      <c r="P7463">
        <v>0</v>
      </c>
      <c r="Q7463">
        <v>3</v>
      </c>
      <c r="R7463" t="s">
        <v>42678</v>
      </c>
      <c r="S7463" t="s">
        <v>42866</v>
      </c>
      <c r="T7463" t="s">
        <v>44570</v>
      </c>
      <c r="U7463" t="s">
        <v>50912</v>
      </c>
      <c r="V7463" t="s">
        <v>56790</v>
      </c>
      <c r="W7463" t="s">
        <v>40357</v>
      </c>
      <c r="X7463" t="s">
        <v>42679</v>
      </c>
    </row>
    <row r="7464" spans="1:24">
      <c r="A7464">
        <f>HYPERLINK("https://www.philgeps.gov.ph/GEPSNONPILOT/Tender/SplashBidNoticeAbstractUI.aspx?menuIndex=3&amp;refID=7181733&amp;Result=3","7181733")</f>
        <v>0</v>
      </c>
      <c r="B7464" t="s">
        <v>249</v>
      </c>
      <c r="C7464" t="s">
        <v>10662</v>
      </c>
      <c r="D7464" t="s">
        <v>17170</v>
      </c>
      <c r="E7464" t="s">
        <v>17850</v>
      </c>
      <c r="F7464" t="s">
        <v>29372</v>
      </c>
      <c r="G7464" t="s">
        <v>29380</v>
      </c>
      <c r="H7464" t="s">
        <v>29389</v>
      </c>
      <c r="I7464" t="s">
        <v>10408</v>
      </c>
      <c r="J7464" t="s">
        <v>29708</v>
      </c>
      <c r="K7464" t="s">
        <v>38490</v>
      </c>
      <c r="M7464" t="s">
        <v>39008</v>
      </c>
      <c r="N7464" t="s">
        <v>42669</v>
      </c>
      <c r="O7464" t="s">
        <v>42670</v>
      </c>
      <c r="P7464">
        <v>0</v>
      </c>
      <c r="Q7464">
        <v>0</v>
      </c>
      <c r="R7464" t="s">
        <v>42678</v>
      </c>
      <c r="S7464" t="s">
        <v>42866</v>
      </c>
      <c r="T7464" t="s">
        <v>44417</v>
      </c>
      <c r="U7464" t="s">
        <v>50913</v>
      </c>
      <c r="W7464" t="s">
        <v>39008</v>
      </c>
      <c r="X7464" t="s">
        <v>42679</v>
      </c>
    </row>
    <row r="7465" spans="1:24">
      <c r="A7465">
        <f>HYPERLINK("https://www.philgeps.gov.ph/GEPSNONPILOT/Tender/SplashBidNoticeAbstractUI.aspx?menuIndex=3&amp;refID=7181732&amp;Result=3","7181732")</f>
        <v>0</v>
      </c>
      <c r="B7465" t="s">
        <v>2388</v>
      </c>
      <c r="C7465" t="s">
        <v>10663</v>
      </c>
      <c r="D7465" t="s">
        <v>17185</v>
      </c>
      <c r="E7465" t="s">
        <v>23697</v>
      </c>
      <c r="F7465" t="s">
        <v>29372</v>
      </c>
      <c r="G7465" t="s">
        <v>29380</v>
      </c>
      <c r="H7465" t="s">
        <v>11048</v>
      </c>
      <c r="I7465" t="s">
        <v>4709</v>
      </c>
      <c r="J7465" t="s">
        <v>34351</v>
      </c>
      <c r="K7465" t="s">
        <v>38488</v>
      </c>
      <c r="M7465" t="s">
        <v>41333</v>
      </c>
      <c r="N7465" t="s">
        <v>42669</v>
      </c>
      <c r="O7465" t="s">
        <v>42670</v>
      </c>
      <c r="P7465">
        <v>0</v>
      </c>
      <c r="Q7465">
        <v>4</v>
      </c>
      <c r="R7465" t="s">
        <v>42678</v>
      </c>
      <c r="S7465" t="s">
        <v>42866</v>
      </c>
      <c r="T7465" t="s">
        <v>44442</v>
      </c>
      <c r="U7465" t="s">
        <v>50914</v>
      </c>
      <c r="W7465" t="s">
        <v>41333</v>
      </c>
      <c r="X7465" t="s">
        <v>42679</v>
      </c>
    </row>
    <row r="7466" spans="1:24">
      <c r="A7466">
        <f>HYPERLINK("https://www.philgeps.gov.ph/GEPSNONPILOT/Tender/SplashBidNoticeAbstractUI.aspx?menuIndex=3&amp;refID=7181525&amp;Result=3","7181525")</f>
        <v>0</v>
      </c>
      <c r="B7466" t="s">
        <v>2390</v>
      </c>
      <c r="C7466" t="s">
        <v>10664</v>
      </c>
      <c r="E7466" t="s">
        <v>23702</v>
      </c>
      <c r="F7466" t="s">
        <v>29372</v>
      </c>
      <c r="G7466" t="s">
        <v>29380</v>
      </c>
      <c r="H7466" t="s">
        <v>29389</v>
      </c>
      <c r="I7466" t="s">
        <v>10408</v>
      </c>
      <c r="J7466" t="s">
        <v>34352</v>
      </c>
      <c r="K7466" t="s">
        <v>38485</v>
      </c>
      <c r="M7466" t="s">
        <v>41335</v>
      </c>
      <c r="N7466" t="s">
        <v>42669</v>
      </c>
      <c r="O7466" t="s">
        <v>42670</v>
      </c>
      <c r="P7466">
        <v>0</v>
      </c>
      <c r="Q7466">
        <v>0</v>
      </c>
      <c r="R7466" t="s">
        <v>42678</v>
      </c>
      <c r="S7466" t="s">
        <v>42866</v>
      </c>
      <c r="T7466" t="s">
        <v>44489</v>
      </c>
      <c r="U7466" t="s">
        <v>50915</v>
      </c>
      <c r="W7466" t="s">
        <v>41335</v>
      </c>
      <c r="X7466" t="s">
        <v>42679</v>
      </c>
    </row>
    <row r="7467" spans="1:24">
      <c r="A7467">
        <f>HYPERLINK("https://www.philgeps.gov.ph/GEPSNONPILOT/Tender/SplashBidNoticeAbstractUI.aspx?menuIndex=3&amp;refID=7181523&amp;Result=3","7181523")</f>
        <v>0</v>
      </c>
      <c r="B7467" t="s">
        <v>1978</v>
      </c>
      <c r="C7467" t="s">
        <v>10665</v>
      </c>
      <c r="D7467" t="s">
        <v>17164</v>
      </c>
      <c r="E7467" t="s">
        <v>23703</v>
      </c>
      <c r="F7467" t="s">
        <v>29372</v>
      </c>
      <c r="G7467" t="s">
        <v>29380</v>
      </c>
      <c r="H7467" t="s">
        <v>29389</v>
      </c>
      <c r="I7467" t="s">
        <v>10408</v>
      </c>
      <c r="J7467" t="s">
        <v>34353</v>
      </c>
      <c r="K7467" t="s">
        <v>38485</v>
      </c>
      <c r="M7467" t="s">
        <v>40865</v>
      </c>
      <c r="N7467" t="s">
        <v>42669</v>
      </c>
      <c r="O7467" t="s">
        <v>42670</v>
      </c>
      <c r="P7467">
        <v>0</v>
      </c>
      <c r="Q7467">
        <v>0</v>
      </c>
      <c r="R7467" t="s">
        <v>42678</v>
      </c>
      <c r="S7467" t="s">
        <v>42866</v>
      </c>
      <c r="T7467" t="s">
        <v>44517</v>
      </c>
      <c r="U7467" t="s">
        <v>50916</v>
      </c>
      <c r="W7467" t="s">
        <v>40865</v>
      </c>
      <c r="X7467" t="s">
        <v>42679</v>
      </c>
    </row>
    <row r="7468" spans="1:24">
      <c r="A7468">
        <f>HYPERLINK("https://www.philgeps.gov.ph/GEPSNONPILOT/Tender/SplashBidNoticeAbstractUI.aspx?menuIndex=3&amp;refID=7181800&amp;Result=3","7181800")</f>
        <v>0</v>
      </c>
      <c r="B7468" t="s">
        <v>2388</v>
      </c>
      <c r="C7468" t="s">
        <v>10666</v>
      </c>
      <c r="D7468" t="s">
        <v>17185</v>
      </c>
      <c r="E7468" t="s">
        <v>23704</v>
      </c>
      <c r="F7468" t="s">
        <v>29372</v>
      </c>
      <c r="G7468" t="s">
        <v>29380</v>
      </c>
      <c r="H7468" t="s">
        <v>11048</v>
      </c>
      <c r="I7468" t="s">
        <v>4709</v>
      </c>
      <c r="J7468" t="s">
        <v>34354</v>
      </c>
      <c r="K7468" t="s">
        <v>38488</v>
      </c>
      <c r="M7468" t="s">
        <v>41333</v>
      </c>
      <c r="N7468" t="s">
        <v>42669</v>
      </c>
      <c r="O7468" t="s">
        <v>42670</v>
      </c>
      <c r="P7468">
        <v>0</v>
      </c>
      <c r="Q7468">
        <v>2</v>
      </c>
      <c r="R7468" t="s">
        <v>42678</v>
      </c>
      <c r="S7468" t="s">
        <v>42866</v>
      </c>
      <c r="T7468" t="s">
        <v>44493</v>
      </c>
      <c r="U7468" t="s">
        <v>50917</v>
      </c>
      <c r="W7468" t="s">
        <v>41333</v>
      </c>
      <c r="X7468" t="s">
        <v>42679</v>
      </c>
    </row>
    <row r="7469" spans="1:24">
      <c r="A7469">
        <f>HYPERLINK("https://www.philgeps.gov.ph/GEPSNONPILOT/Tender/SplashBidNoticeAbstractUI.aspx?menuIndex=3&amp;refID=7181745&amp;Result=3","7181745")</f>
        <v>0</v>
      </c>
      <c r="B7469" t="s">
        <v>2391</v>
      </c>
      <c r="C7469" t="s">
        <v>10667</v>
      </c>
      <c r="D7469" t="s">
        <v>17190</v>
      </c>
      <c r="E7469" t="s">
        <v>23705</v>
      </c>
      <c r="F7469" t="s">
        <v>29372</v>
      </c>
      <c r="G7469" t="s">
        <v>29380</v>
      </c>
      <c r="H7469" t="s">
        <v>11048</v>
      </c>
      <c r="I7469" t="s">
        <v>29445</v>
      </c>
      <c r="J7469" t="s">
        <v>29619</v>
      </c>
      <c r="K7469" t="s">
        <v>38488</v>
      </c>
      <c r="M7469" t="s">
        <v>41336</v>
      </c>
      <c r="N7469" t="s">
        <v>42669</v>
      </c>
      <c r="O7469" t="s">
        <v>42670</v>
      </c>
      <c r="P7469">
        <v>0</v>
      </c>
      <c r="Q7469">
        <v>1</v>
      </c>
      <c r="R7469" t="s">
        <v>42678</v>
      </c>
      <c r="S7469" t="s">
        <v>42866</v>
      </c>
      <c r="T7469" t="s">
        <v>44510</v>
      </c>
      <c r="U7469" t="s">
        <v>50918</v>
      </c>
      <c r="W7469" t="s">
        <v>41336</v>
      </c>
      <c r="X7469" t="s">
        <v>42679</v>
      </c>
    </row>
    <row r="7470" spans="1:24">
      <c r="A7470">
        <f>HYPERLINK("https://www.philgeps.gov.ph/GEPSNONPILOT/Tender/SplashBidNoticeAbstractUI.aspx?menuIndex=3&amp;refID=7181740&amp;Result=3","7181740")</f>
        <v>0</v>
      </c>
      <c r="B7470" t="s">
        <v>1499</v>
      </c>
      <c r="C7470" t="s">
        <v>10668</v>
      </c>
      <c r="D7470" t="s">
        <v>17231</v>
      </c>
      <c r="E7470" t="s">
        <v>23706</v>
      </c>
      <c r="F7470" t="s">
        <v>29372</v>
      </c>
      <c r="G7470" t="s">
        <v>29380</v>
      </c>
      <c r="H7470" t="s">
        <v>11048</v>
      </c>
      <c r="I7470" t="s">
        <v>29398</v>
      </c>
      <c r="J7470" t="s">
        <v>30056</v>
      </c>
      <c r="K7470" t="s">
        <v>38496</v>
      </c>
      <c r="M7470" t="s">
        <v>40343</v>
      </c>
      <c r="N7470" t="s">
        <v>42669</v>
      </c>
      <c r="O7470" t="s">
        <v>42670</v>
      </c>
      <c r="P7470">
        <v>0</v>
      </c>
      <c r="Q7470">
        <v>3</v>
      </c>
      <c r="R7470" t="s">
        <v>42678</v>
      </c>
      <c r="S7470" t="s">
        <v>42866</v>
      </c>
      <c r="T7470" t="s">
        <v>44355</v>
      </c>
      <c r="U7470" t="s">
        <v>50919</v>
      </c>
      <c r="W7470" t="s">
        <v>40343</v>
      </c>
      <c r="X7470" t="s">
        <v>42679</v>
      </c>
    </row>
    <row r="7471" spans="1:24">
      <c r="A7471">
        <f>HYPERLINK("https://www.philgeps.gov.ph/GEPSNONPILOT/Tender/SplashBidNoticeAbstractUI.aspx?menuIndex=3&amp;refID=7181849&amp;Result=3","7181849")</f>
        <v>0</v>
      </c>
      <c r="B7471" t="s">
        <v>2392</v>
      </c>
      <c r="C7471" t="s">
        <v>10669</v>
      </c>
      <c r="E7471" t="s">
        <v>23707</v>
      </c>
      <c r="F7471" t="s">
        <v>29372</v>
      </c>
      <c r="G7471" t="s">
        <v>29380</v>
      </c>
      <c r="H7471" t="s">
        <v>11048</v>
      </c>
      <c r="I7471" t="s">
        <v>3670</v>
      </c>
      <c r="J7471" t="s">
        <v>29580</v>
      </c>
      <c r="K7471" t="s">
        <v>38490</v>
      </c>
      <c r="M7471" t="s">
        <v>41337</v>
      </c>
      <c r="N7471" t="s">
        <v>42669</v>
      </c>
      <c r="O7471" t="s">
        <v>42670</v>
      </c>
      <c r="P7471">
        <v>0</v>
      </c>
      <c r="Q7471">
        <v>1</v>
      </c>
      <c r="R7471" t="s">
        <v>42678</v>
      </c>
      <c r="S7471" t="s">
        <v>42866</v>
      </c>
      <c r="T7471" t="s">
        <v>44401</v>
      </c>
      <c r="U7471" t="s">
        <v>50920</v>
      </c>
      <c r="W7471" t="s">
        <v>41337</v>
      </c>
      <c r="X7471" t="s">
        <v>42679</v>
      </c>
    </row>
    <row r="7472" spans="1:24">
      <c r="A7472">
        <f>HYPERLINK("https://www.philgeps.gov.ph/GEPSNONPILOT/Tender/SplashBidNoticeAbstractUI.aspx?menuIndex=3&amp;refID=7181734&amp;Result=3","7181734")</f>
        <v>0</v>
      </c>
      <c r="B7472" t="s">
        <v>820</v>
      </c>
      <c r="C7472" t="s">
        <v>10670</v>
      </c>
      <c r="D7472" t="s">
        <v>17165</v>
      </c>
      <c r="E7472" t="s">
        <v>23708</v>
      </c>
      <c r="F7472" t="s">
        <v>29372</v>
      </c>
      <c r="G7472" t="s">
        <v>29379</v>
      </c>
      <c r="H7472" t="s">
        <v>11048</v>
      </c>
      <c r="I7472" t="s">
        <v>29396</v>
      </c>
      <c r="J7472" t="s">
        <v>29526</v>
      </c>
      <c r="K7472" t="s">
        <v>38567</v>
      </c>
      <c r="M7472" t="s">
        <v>39606</v>
      </c>
      <c r="N7472" t="s">
        <v>42669</v>
      </c>
      <c r="O7472" t="s">
        <v>42670</v>
      </c>
      <c r="P7472">
        <v>0</v>
      </c>
      <c r="Q7472">
        <v>0</v>
      </c>
      <c r="R7472" t="s">
        <v>42678</v>
      </c>
      <c r="S7472" t="s">
        <v>42866</v>
      </c>
      <c r="T7472" t="s">
        <v>44491</v>
      </c>
      <c r="U7472" t="s">
        <v>50921</v>
      </c>
      <c r="W7472" t="s">
        <v>39606</v>
      </c>
      <c r="X7472" t="s">
        <v>42679</v>
      </c>
    </row>
    <row r="7473" spans="1:24">
      <c r="A7473">
        <f>HYPERLINK("https://www.philgeps.gov.ph/GEPSNONPILOT/Tender/SplashBidNoticeAbstractUI.aspx?menuIndex=3&amp;refID=7181847&amp;Result=3","7181847")</f>
        <v>0</v>
      </c>
      <c r="B7473" t="s">
        <v>2393</v>
      </c>
      <c r="C7473" t="s">
        <v>10671</v>
      </c>
      <c r="D7473" t="s">
        <v>17196</v>
      </c>
      <c r="E7473" t="s">
        <v>23709</v>
      </c>
      <c r="F7473" t="s">
        <v>29372</v>
      </c>
      <c r="G7473" t="s">
        <v>29383</v>
      </c>
      <c r="H7473" t="s">
        <v>11048</v>
      </c>
      <c r="I7473" t="s">
        <v>29404</v>
      </c>
      <c r="J7473" t="s">
        <v>30127</v>
      </c>
      <c r="K7473" t="s">
        <v>38510</v>
      </c>
      <c r="M7473" t="s">
        <v>41338</v>
      </c>
      <c r="N7473" t="s">
        <v>42669</v>
      </c>
      <c r="O7473" t="s">
        <v>42670</v>
      </c>
      <c r="P7473">
        <v>0</v>
      </c>
      <c r="Q7473">
        <v>0</v>
      </c>
      <c r="R7473" t="s">
        <v>42678</v>
      </c>
      <c r="S7473" t="s">
        <v>42866</v>
      </c>
      <c r="T7473" t="s">
        <v>44389</v>
      </c>
      <c r="U7473" t="s">
        <v>50922</v>
      </c>
      <c r="W7473" t="s">
        <v>41338</v>
      </c>
      <c r="X7473" t="s">
        <v>42679</v>
      </c>
    </row>
    <row r="7474" spans="1:24">
      <c r="A7474">
        <f>HYPERLINK("https://www.philgeps.gov.ph/GEPSNONPILOT/Tender/SplashBidNoticeAbstractUI.aspx?menuIndex=3&amp;refID=7181697&amp;Result=3","7181697")</f>
        <v>0</v>
      </c>
      <c r="B7474" t="s">
        <v>2140</v>
      </c>
      <c r="C7474" t="s">
        <v>10672</v>
      </c>
      <c r="D7474" t="s">
        <v>17153</v>
      </c>
      <c r="E7474" t="s">
        <v>23710</v>
      </c>
      <c r="F7474" t="s">
        <v>29372</v>
      </c>
      <c r="G7474" t="s">
        <v>29379</v>
      </c>
      <c r="H7474" t="s">
        <v>11048</v>
      </c>
      <c r="I7474" t="s">
        <v>3952</v>
      </c>
      <c r="J7474" t="s">
        <v>34319</v>
      </c>
      <c r="K7474" t="s">
        <v>38485</v>
      </c>
      <c r="M7474" t="s">
        <v>41045</v>
      </c>
      <c r="N7474" t="s">
        <v>42669</v>
      </c>
      <c r="O7474" t="s">
        <v>42670</v>
      </c>
      <c r="P7474">
        <v>0</v>
      </c>
      <c r="Q7474">
        <v>9</v>
      </c>
      <c r="R7474" t="s">
        <v>42678</v>
      </c>
      <c r="S7474" t="s">
        <v>42866</v>
      </c>
      <c r="T7474" t="s">
        <v>44387</v>
      </c>
      <c r="U7474" t="s">
        <v>50923</v>
      </c>
      <c r="V7474" t="s">
        <v>57051</v>
      </c>
      <c r="W7474" t="s">
        <v>41045</v>
      </c>
      <c r="X7474" t="s">
        <v>42679</v>
      </c>
    </row>
    <row r="7475" spans="1:24">
      <c r="A7475">
        <f>HYPERLINK("https://www.philgeps.gov.ph/GEPSNONPILOT/Tender/SplashBidNoticeAbstractUI.aspx?menuIndex=3&amp;refID=7181842&amp;Result=3","7181842")</f>
        <v>0</v>
      </c>
      <c r="B7475" t="s">
        <v>1417</v>
      </c>
      <c r="C7475" t="s">
        <v>10673</v>
      </c>
      <c r="D7475" t="s">
        <v>17161</v>
      </c>
      <c r="E7475" t="s">
        <v>23711</v>
      </c>
      <c r="F7475" t="s">
        <v>29372</v>
      </c>
      <c r="G7475" t="s">
        <v>29381</v>
      </c>
      <c r="H7475" t="s">
        <v>11048</v>
      </c>
      <c r="I7475" t="s">
        <v>3597</v>
      </c>
      <c r="J7475" t="s">
        <v>34355</v>
      </c>
      <c r="K7475" t="s">
        <v>38491</v>
      </c>
      <c r="M7475" t="s">
        <v>40256</v>
      </c>
      <c r="N7475" t="s">
        <v>42669</v>
      </c>
      <c r="O7475" t="s">
        <v>42670</v>
      </c>
      <c r="P7475">
        <v>0</v>
      </c>
      <c r="Q7475">
        <v>3</v>
      </c>
      <c r="R7475" t="s">
        <v>42678</v>
      </c>
      <c r="S7475" t="s">
        <v>42866</v>
      </c>
      <c r="T7475" t="s">
        <v>44488</v>
      </c>
      <c r="U7475" t="s">
        <v>50924</v>
      </c>
      <c r="W7475" t="s">
        <v>40256</v>
      </c>
      <c r="X7475" t="s">
        <v>42679</v>
      </c>
    </row>
    <row r="7476" spans="1:24">
      <c r="A7476">
        <f>HYPERLINK("https://www.philgeps.gov.ph/GEPSNONPILOT/Tender/SplashBidNoticeAbstractUI.aspx?menuIndex=3&amp;refID=7181519&amp;Result=3","7181519")</f>
        <v>0</v>
      </c>
      <c r="B7476" t="s">
        <v>1513</v>
      </c>
      <c r="C7476" t="s">
        <v>10674</v>
      </c>
      <c r="D7476" t="s">
        <v>17171</v>
      </c>
      <c r="E7476" t="s">
        <v>23712</v>
      </c>
      <c r="F7476" t="s">
        <v>29372</v>
      </c>
      <c r="G7476" t="s">
        <v>29380</v>
      </c>
      <c r="H7476" t="s">
        <v>11048</v>
      </c>
      <c r="I7476" t="s">
        <v>9469</v>
      </c>
      <c r="J7476" t="s">
        <v>34356</v>
      </c>
      <c r="K7476" t="s">
        <v>38490</v>
      </c>
      <c r="M7476" t="s">
        <v>40357</v>
      </c>
      <c r="N7476" t="s">
        <v>42669</v>
      </c>
      <c r="O7476" t="s">
        <v>42670</v>
      </c>
      <c r="P7476">
        <v>0</v>
      </c>
      <c r="Q7476">
        <v>2</v>
      </c>
      <c r="R7476" t="s">
        <v>42678</v>
      </c>
      <c r="S7476" t="s">
        <v>42866</v>
      </c>
      <c r="T7476" t="s">
        <v>44570</v>
      </c>
      <c r="U7476" t="s">
        <v>50925</v>
      </c>
      <c r="V7476" t="s">
        <v>57181</v>
      </c>
      <c r="W7476" t="s">
        <v>40357</v>
      </c>
      <c r="X7476" t="s">
        <v>42679</v>
      </c>
    </row>
    <row r="7477" spans="1:24">
      <c r="A7477">
        <f>HYPERLINK("https://www.philgeps.gov.ph/GEPSNONPILOT/Tender/SplashBidNoticeAbstractUI.aspx?menuIndex=3&amp;refID=7181840&amp;Result=3","7181840")</f>
        <v>0</v>
      </c>
      <c r="B7477" t="s">
        <v>1416</v>
      </c>
      <c r="C7477" t="s">
        <v>10675</v>
      </c>
      <c r="D7477" t="s">
        <v>17202</v>
      </c>
      <c r="E7477" t="s">
        <v>23713</v>
      </c>
      <c r="F7477" t="s">
        <v>29372</v>
      </c>
      <c r="G7477" t="s">
        <v>29383</v>
      </c>
      <c r="H7477" t="s">
        <v>11048</v>
      </c>
      <c r="I7477" t="s">
        <v>29398</v>
      </c>
      <c r="J7477" t="s">
        <v>34357</v>
      </c>
      <c r="K7477" t="s">
        <v>38510</v>
      </c>
      <c r="M7477" t="s">
        <v>40255</v>
      </c>
      <c r="N7477" t="s">
        <v>42669</v>
      </c>
      <c r="O7477" t="s">
        <v>42670</v>
      </c>
      <c r="P7477">
        <v>0</v>
      </c>
      <c r="Q7477">
        <v>0</v>
      </c>
      <c r="R7477" t="s">
        <v>42678</v>
      </c>
      <c r="S7477" t="s">
        <v>42866</v>
      </c>
      <c r="T7477" t="s">
        <v>44488</v>
      </c>
      <c r="U7477" t="s">
        <v>50926</v>
      </c>
      <c r="V7477" t="s">
        <v>57186</v>
      </c>
      <c r="W7477" t="s">
        <v>40255</v>
      </c>
      <c r="X7477" t="s">
        <v>42679</v>
      </c>
    </row>
    <row r="7478" spans="1:24">
      <c r="A7478">
        <f>HYPERLINK("https://www.philgeps.gov.ph/GEPSNONPILOT/Tender/SplashBidNoticeAbstractUI.aspx?menuIndex=3&amp;refID=7181839&amp;Result=3","7181839")</f>
        <v>0</v>
      </c>
      <c r="B7478" t="s">
        <v>278</v>
      </c>
      <c r="C7478" t="s">
        <v>10676</v>
      </c>
      <c r="D7478" t="s">
        <v>17206</v>
      </c>
      <c r="E7478" t="s">
        <v>23714</v>
      </c>
      <c r="F7478" t="s">
        <v>29372</v>
      </c>
      <c r="G7478" t="s">
        <v>29380</v>
      </c>
      <c r="H7478" t="s">
        <v>11048</v>
      </c>
      <c r="I7478" t="s">
        <v>29423</v>
      </c>
      <c r="J7478" t="s">
        <v>30300</v>
      </c>
      <c r="K7478" t="s">
        <v>38496</v>
      </c>
      <c r="M7478" t="s">
        <v>39138</v>
      </c>
      <c r="N7478" t="s">
        <v>42669</v>
      </c>
      <c r="O7478" t="s">
        <v>42670</v>
      </c>
      <c r="P7478">
        <v>0</v>
      </c>
      <c r="Q7478">
        <v>4</v>
      </c>
      <c r="R7478" t="s">
        <v>42678</v>
      </c>
      <c r="S7478" t="s">
        <v>42866</v>
      </c>
      <c r="T7478" t="s">
        <v>44664</v>
      </c>
      <c r="U7478" t="s">
        <v>50927</v>
      </c>
      <c r="W7478" t="s">
        <v>39138</v>
      </c>
      <c r="X7478" t="s">
        <v>42679</v>
      </c>
    </row>
    <row r="7479" spans="1:24">
      <c r="A7479">
        <f>HYPERLINK("https://www.philgeps.gov.ph/GEPSNONPILOT/Tender/SplashBidNoticeAbstractUI.aspx?menuIndex=3&amp;refID=7181837&amp;Result=3","7181837")</f>
        <v>0</v>
      </c>
      <c r="B7479" t="s">
        <v>2389</v>
      </c>
      <c r="C7479" t="s">
        <v>10677</v>
      </c>
      <c r="D7479" t="s">
        <v>17177</v>
      </c>
      <c r="E7479" t="s">
        <v>23715</v>
      </c>
      <c r="F7479" t="s">
        <v>29372</v>
      </c>
      <c r="G7479" t="s">
        <v>29380</v>
      </c>
      <c r="H7479" t="s">
        <v>29389</v>
      </c>
      <c r="I7479" t="s">
        <v>10408</v>
      </c>
      <c r="J7479" t="s">
        <v>34358</v>
      </c>
      <c r="K7479" t="s">
        <v>38564</v>
      </c>
      <c r="M7479" t="s">
        <v>41334</v>
      </c>
      <c r="N7479" t="s">
        <v>42669</v>
      </c>
      <c r="O7479" t="s">
        <v>42670</v>
      </c>
      <c r="P7479">
        <v>0</v>
      </c>
      <c r="Q7479">
        <v>3</v>
      </c>
      <c r="R7479" t="s">
        <v>42678</v>
      </c>
      <c r="S7479" t="s">
        <v>42866</v>
      </c>
      <c r="T7479" t="s">
        <v>44446</v>
      </c>
      <c r="U7479" t="s">
        <v>50928</v>
      </c>
      <c r="V7479" t="s">
        <v>57185</v>
      </c>
      <c r="W7479" t="s">
        <v>41334</v>
      </c>
      <c r="X7479" t="s">
        <v>42679</v>
      </c>
    </row>
    <row r="7480" spans="1:24">
      <c r="A7480">
        <f>HYPERLINK("https://www.philgeps.gov.ph/GEPSNONPILOT/Tender/SplashBidNoticeAbstractUI.aspx?menuIndex=3&amp;refID=7181848&amp;Result=3","7181848")</f>
        <v>0</v>
      </c>
      <c r="B7480" t="s">
        <v>1466</v>
      </c>
      <c r="C7480" t="s">
        <v>10678</v>
      </c>
      <c r="E7480" t="s">
        <v>23716</v>
      </c>
      <c r="F7480" t="s">
        <v>29372</v>
      </c>
      <c r="G7480" t="s">
        <v>29379</v>
      </c>
      <c r="H7480" t="s">
        <v>11048</v>
      </c>
      <c r="I7480" t="s">
        <v>3670</v>
      </c>
      <c r="J7480" t="s">
        <v>34359</v>
      </c>
      <c r="K7480" t="s">
        <v>38490</v>
      </c>
      <c r="M7480" t="s">
        <v>40309</v>
      </c>
      <c r="N7480" t="s">
        <v>42669</v>
      </c>
      <c r="O7480" t="s">
        <v>42670</v>
      </c>
      <c r="P7480">
        <v>0</v>
      </c>
      <c r="Q7480">
        <v>1</v>
      </c>
      <c r="R7480" t="s">
        <v>42678</v>
      </c>
      <c r="S7480" t="s">
        <v>42866</v>
      </c>
      <c r="T7480" t="s">
        <v>44432</v>
      </c>
      <c r="U7480" t="s">
        <v>50759</v>
      </c>
      <c r="W7480" t="s">
        <v>40309</v>
      </c>
      <c r="X7480" t="s">
        <v>42679</v>
      </c>
    </row>
    <row r="7481" spans="1:24">
      <c r="A7481">
        <f>HYPERLINK("https://www.philgeps.gov.ph/GEPSNONPILOT/Tender/SplashBidNoticeAbstractUI.aspx?menuIndex=3&amp;refID=7181757&amp;Result=3","7181757")</f>
        <v>0</v>
      </c>
      <c r="B7481" t="s">
        <v>2394</v>
      </c>
      <c r="C7481" t="s">
        <v>10679</v>
      </c>
      <c r="D7481" t="s">
        <v>17171</v>
      </c>
      <c r="E7481" t="s">
        <v>23717</v>
      </c>
      <c r="F7481" t="s">
        <v>29372</v>
      </c>
      <c r="G7481" t="s">
        <v>29380</v>
      </c>
      <c r="H7481" t="s">
        <v>29389</v>
      </c>
      <c r="I7481" t="s">
        <v>10408</v>
      </c>
      <c r="J7481" t="s">
        <v>29543</v>
      </c>
      <c r="K7481" t="s">
        <v>38577</v>
      </c>
      <c r="M7481" t="s">
        <v>41339</v>
      </c>
      <c r="N7481" t="s">
        <v>42669</v>
      </c>
      <c r="O7481" t="s">
        <v>42670</v>
      </c>
      <c r="P7481">
        <v>0</v>
      </c>
      <c r="Q7481">
        <v>1</v>
      </c>
      <c r="R7481" t="s">
        <v>42678</v>
      </c>
      <c r="S7481" t="s">
        <v>42866</v>
      </c>
      <c r="T7481" t="s">
        <v>44355</v>
      </c>
      <c r="U7481" t="s">
        <v>50929</v>
      </c>
      <c r="W7481" t="s">
        <v>41339</v>
      </c>
      <c r="X7481" t="s">
        <v>42679</v>
      </c>
    </row>
    <row r="7482" spans="1:24">
      <c r="A7482">
        <f>HYPERLINK("https://www.philgeps.gov.ph/GEPSNONPILOT/Tender/SplashBidNoticeAbstractUI.aspx?menuIndex=3&amp;refID=7181831&amp;Result=3","7181831")</f>
        <v>0</v>
      </c>
      <c r="B7482" t="s">
        <v>2392</v>
      </c>
      <c r="C7482" t="s">
        <v>3982</v>
      </c>
      <c r="D7482" t="s">
        <v>17170</v>
      </c>
      <c r="E7482" t="s">
        <v>23718</v>
      </c>
      <c r="F7482" t="s">
        <v>29372</v>
      </c>
      <c r="G7482" t="s">
        <v>29380</v>
      </c>
      <c r="H7482" t="s">
        <v>11048</v>
      </c>
      <c r="I7482" t="s">
        <v>4487</v>
      </c>
      <c r="J7482" t="s">
        <v>34360</v>
      </c>
      <c r="K7482" t="s">
        <v>38490</v>
      </c>
      <c r="M7482" t="s">
        <v>41337</v>
      </c>
      <c r="N7482" t="s">
        <v>42669</v>
      </c>
      <c r="O7482" t="s">
        <v>42670</v>
      </c>
      <c r="P7482">
        <v>0</v>
      </c>
      <c r="Q7482">
        <v>3</v>
      </c>
      <c r="R7482" t="s">
        <v>42678</v>
      </c>
      <c r="S7482" t="s">
        <v>42866</v>
      </c>
      <c r="T7482" t="s">
        <v>44401</v>
      </c>
      <c r="U7482" t="s">
        <v>50930</v>
      </c>
      <c r="W7482" t="s">
        <v>41337</v>
      </c>
      <c r="X7482" t="s">
        <v>42679</v>
      </c>
    </row>
    <row r="7483" spans="1:24">
      <c r="A7483">
        <f>HYPERLINK("https://www.philgeps.gov.ph/GEPSNONPILOT/Tender/SplashBidNoticeAbstractUI.aspx?menuIndex=3&amp;refID=7181823&amp;Result=3","7181823")</f>
        <v>0</v>
      </c>
      <c r="B7483" t="s">
        <v>771</v>
      </c>
      <c r="C7483" t="s">
        <v>8915</v>
      </c>
      <c r="D7483" t="s">
        <v>17141</v>
      </c>
      <c r="E7483" t="s">
        <v>23719</v>
      </c>
      <c r="F7483" t="s">
        <v>29372</v>
      </c>
      <c r="G7483" t="s">
        <v>29382</v>
      </c>
      <c r="H7483" t="s">
        <v>11048</v>
      </c>
      <c r="I7483" t="s">
        <v>29411</v>
      </c>
      <c r="J7483" t="s">
        <v>30142</v>
      </c>
      <c r="K7483" t="s">
        <v>38488</v>
      </c>
      <c r="M7483" t="s">
        <v>39555</v>
      </c>
      <c r="N7483" t="s">
        <v>42669</v>
      </c>
      <c r="O7483" t="s">
        <v>42670</v>
      </c>
      <c r="P7483">
        <v>0</v>
      </c>
      <c r="Q7483">
        <v>8</v>
      </c>
      <c r="R7483" t="s">
        <v>42678</v>
      </c>
      <c r="S7483" t="s">
        <v>42866</v>
      </c>
      <c r="T7483" t="s">
        <v>44382</v>
      </c>
      <c r="U7483" t="s">
        <v>46440</v>
      </c>
      <c r="W7483" t="s">
        <v>39555</v>
      </c>
      <c r="X7483" t="s">
        <v>42679</v>
      </c>
    </row>
    <row r="7484" spans="1:24">
      <c r="A7484">
        <f>HYPERLINK("https://www.philgeps.gov.ph/GEPSNONPILOT/Tender/SplashBidNoticeAbstractUI.aspx?menuIndex=3&amp;refID=7181822&amp;Result=3","7181822")</f>
        <v>0</v>
      </c>
      <c r="B7484" t="s">
        <v>1466</v>
      </c>
      <c r="C7484" t="s">
        <v>10680</v>
      </c>
      <c r="E7484" t="s">
        <v>23720</v>
      </c>
      <c r="F7484" t="s">
        <v>29372</v>
      </c>
      <c r="G7484" t="s">
        <v>29379</v>
      </c>
      <c r="H7484" t="s">
        <v>11048</v>
      </c>
      <c r="I7484" t="s">
        <v>3670</v>
      </c>
      <c r="J7484" t="s">
        <v>34361</v>
      </c>
      <c r="K7484" t="s">
        <v>38490</v>
      </c>
      <c r="M7484" t="s">
        <v>40309</v>
      </c>
      <c r="N7484" t="s">
        <v>42669</v>
      </c>
      <c r="O7484" t="s">
        <v>42670</v>
      </c>
      <c r="P7484">
        <v>0</v>
      </c>
      <c r="Q7484">
        <v>1</v>
      </c>
      <c r="R7484" t="s">
        <v>42678</v>
      </c>
      <c r="S7484" t="s">
        <v>42866</v>
      </c>
      <c r="T7484" t="s">
        <v>44432</v>
      </c>
      <c r="U7484" t="s">
        <v>50759</v>
      </c>
      <c r="W7484" t="s">
        <v>40309</v>
      </c>
      <c r="X7484" t="s">
        <v>42679</v>
      </c>
    </row>
    <row r="7485" spans="1:24">
      <c r="A7485">
        <f>HYPERLINK("https://www.philgeps.gov.ph/GEPSNONPILOT/Tender/SplashBidNoticeAbstractUI.aspx?menuIndex=3&amp;refID=7181814&amp;Result=3","7181814")</f>
        <v>0</v>
      </c>
      <c r="B7485" t="s">
        <v>76</v>
      </c>
      <c r="C7485" t="s">
        <v>10681</v>
      </c>
      <c r="D7485" t="s">
        <v>17168</v>
      </c>
      <c r="E7485" t="s">
        <v>23721</v>
      </c>
      <c r="F7485" t="s">
        <v>29372</v>
      </c>
      <c r="G7485" t="s">
        <v>29380</v>
      </c>
      <c r="H7485" t="s">
        <v>29389</v>
      </c>
      <c r="I7485" t="s">
        <v>10408</v>
      </c>
      <c r="J7485" t="s">
        <v>34362</v>
      </c>
      <c r="K7485" t="s">
        <v>38503</v>
      </c>
      <c r="M7485" t="s">
        <v>40879</v>
      </c>
      <c r="N7485" t="s">
        <v>42669</v>
      </c>
      <c r="O7485" t="s">
        <v>42670</v>
      </c>
      <c r="P7485">
        <v>0</v>
      </c>
      <c r="Q7485">
        <v>1</v>
      </c>
      <c r="R7485" t="s">
        <v>42678</v>
      </c>
      <c r="S7485" t="s">
        <v>42866</v>
      </c>
      <c r="T7485" t="s">
        <v>44373</v>
      </c>
      <c r="U7485" t="s">
        <v>50931</v>
      </c>
      <c r="W7485" t="s">
        <v>40879</v>
      </c>
      <c r="X7485" t="s">
        <v>42679</v>
      </c>
    </row>
    <row r="7486" spans="1:24">
      <c r="A7486">
        <f>HYPERLINK("https://www.philgeps.gov.ph/GEPSNONPILOT/Tender/SplashBidNoticeAbstractUI.aspx?menuIndex=3&amp;refID=7181852&amp;Result=3","7181852")</f>
        <v>0</v>
      </c>
      <c r="B7486" t="s">
        <v>2329</v>
      </c>
      <c r="C7486" t="s">
        <v>4662</v>
      </c>
      <c r="E7486" t="s">
        <v>23722</v>
      </c>
      <c r="F7486" t="s">
        <v>29372</v>
      </c>
      <c r="G7486" t="s">
        <v>29380</v>
      </c>
      <c r="H7486" t="s">
        <v>11048</v>
      </c>
      <c r="I7486" t="s">
        <v>5383</v>
      </c>
      <c r="J7486" t="s">
        <v>34363</v>
      </c>
      <c r="K7486" t="s">
        <v>38490</v>
      </c>
      <c r="M7486" t="s">
        <v>41300</v>
      </c>
      <c r="N7486" t="s">
        <v>42669</v>
      </c>
      <c r="O7486" t="s">
        <v>42670</v>
      </c>
      <c r="P7486">
        <v>0</v>
      </c>
      <c r="Q7486">
        <v>5</v>
      </c>
      <c r="R7486" t="s">
        <v>42678</v>
      </c>
      <c r="S7486" t="s">
        <v>42866</v>
      </c>
      <c r="T7486" t="s">
        <v>44375</v>
      </c>
      <c r="U7486" t="s">
        <v>50932</v>
      </c>
      <c r="W7486" t="s">
        <v>41300</v>
      </c>
      <c r="X7486" t="s">
        <v>42679</v>
      </c>
    </row>
    <row r="7487" spans="1:24">
      <c r="A7487">
        <f>HYPERLINK("https://www.philgeps.gov.ph/GEPSNONPILOT/Tender/SplashBidNoticeAbstractUI.aspx?menuIndex=3&amp;refID=7181832&amp;Result=3","7181832")</f>
        <v>0</v>
      </c>
      <c r="B7487" t="s">
        <v>2395</v>
      </c>
      <c r="C7487" t="s">
        <v>10682</v>
      </c>
      <c r="D7487" t="s">
        <v>17201</v>
      </c>
      <c r="E7487" t="s">
        <v>23723</v>
      </c>
      <c r="F7487" t="s">
        <v>29372</v>
      </c>
      <c r="G7487" t="s">
        <v>29380</v>
      </c>
      <c r="H7487" t="s">
        <v>29389</v>
      </c>
      <c r="I7487" t="s">
        <v>10408</v>
      </c>
      <c r="J7487" t="s">
        <v>34364</v>
      </c>
      <c r="K7487" t="s">
        <v>38564</v>
      </c>
      <c r="M7487" t="s">
        <v>41340</v>
      </c>
      <c r="N7487" t="s">
        <v>42669</v>
      </c>
      <c r="O7487" t="s">
        <v>42670</v>
      </c>
      <c r="P7487">
        <v>0</v>
      </c>
      <c r="Q7487">
        <v>0</v>
      </c>
      <c r="R7487" t="s">
        <v>42678</v>
      </c>
      <c r="S7487" t="s">
        <v>42866</v>
      </c>
      <c r="T7487" t="s">
        <v>44517</v>
      </c>
      <c r="U7487" t="s">
        <v>50933</v>
      </c>
      <c r="W7487" t="s">
        <v>41340</v>
      </c>
      <c r="X7487" t="s">
        <v>42679</v>
      </c>
    </row>
    <row r="7488" spans="1:24">
      <c r="A7488">
        <f>HYPERLINK("https://www.philgeps.gov.ph/GEPSNONPILOT/Tender/SplashBidNoticeAbstractUI.aspx?menuIndex=3&amp;refID=7181879&amp;Result=3","7181879")</f>
        <v>0</v>
      </c>
      <c r="B7488" t="s">
        <v>1466</v>
      </c>
      <c r="C7488" t="s">
        <v>10683</v>
      </c>
      <c r="E7488" t="s">
        <v>23724</v>
      </c>
      <c r="F7488" t="s">
        <v>29372</v>
      </c>
      <c r="G7488" t="s">
        <v>29379</v>
      </c>
      <c r="H7488" t="s">
        <v>11048</v>
      </c>
      <c r="I7488" t="s">
        <v>3670</v>
      </c>
      <c r="J7488" t="s">
        <v>34365</v>
      </c>
      <c r="K7488" t="s">
        <v>38490</v>
      </c>
      <c r="M7488" t="s">
        <v>40309</v>
      </c>
      <c r="N7488" t="s">
        <v>42669</v>
      </c>
      <c r="O7488" t="s">
        <v>42670</v>
      </c>
      <c r="P7488">
        <v>0</v>
      </c>
      <c r="Q7488">
        <v>2</v>
      </c>
      <c r="R7488" t="s">
        <v>42678</v>
      </c>
      <c r="S7488" t="s">
        <v>42866</v>
      </c>
      <c r="T7488" t="s">
        <v>44432</v>
      </c>
      <c r="U7488" t="s">
        <v>48135</v>
      </c>
      <c r="W7488" t="s">
        <v>40309</v>
      </c>
      <c r="X7488" t="s">
        <v>42679</v>
      </c>
    </row>
    <row r="7489" spans="1:24">
      <c r="A7489">
        <f>HYPERLINK("https://www.philgeps.gov.ph/GEPSNONPILOT/Tender/SplashBidNoticeAbstractUI.aspx?menuIndex=3&amp;refID=7181901&amp;Result=3","7181901")</f>
        <v>0</v>
      </c>
      <c r="B7489" t="s">
        <v>680</v>
      </c>
      <c r="C7489" t="s">
        <v>10684</v>
      </c>
      <c r="D7489" t="s">
        <v>17196</v>
      </c>
      <c r="E7489" t="s">
        <v>23725</v>
      </c>
      <c r="F7489" t="s">
        <v>29372</v>
      </c>
      <c r="G7489" t="s">
        <v>29383</v>
      </c>
      <c r="H7489" t="s">
        <v>11048</v>
      </c>
      <c r="I7489" t="s">
        <v>4709</v>
      </c>
      <c r="J7489" t="s">
        <v>34366</v>
      </c>
      <c r="K7489" t="s">
        <v>38528</v>
      </c>
      <c r="M7489" t="s">
        <v>41341</v>
      </c>
      <c r="N7489" t="s">
        <v>42669</v>
      </c>
      <c r="O7489" t="s">
        <v>42670</v>
      </c>
      <c r="Q7489">
        <v>1</v>
      </c>
      <c r="R7489" t="s">
        <v>42678</v>
      </c>
      <c r="S7489" t="s">
        <v>42895</v>
      </c>
      <c r="T7489" t="s">
        <v>44425</v>
      </c>
      <c r="U7489" t="s">
        <v>50934</v>
      </c>
      <c r="V7489" t="s">
        <v>57187</v>
      </c>
      <c r="W7489" t="s">
        <v>41341</v>
      </c>
      <c r="X7489" t="s">
        <v>42679</v>
      </c>
    </row>
    <row r="7490" spans="1:24">
      <c r="A7490">
        <f>HYPERLINK("https://www.philgeps.gov.ph/GEPSNONPILOT/Tender/SplashBidNoticeAbstractUI.aspx?menuIndex=3&amp;refID=7181813&amp;Result=3","7181813")</f>
        <v>0</v>
      </c>
      <c r="B7490" t="s">
        <v>1499</v>
      </c>
      <c r="C7490" t="s">
        <v>10685</v>
      </c>
      <c r="D7490" t="s">
        <v>17231</v>
      </c>
      <c r="E7490" t="s">
        <v>23726</v>
      </c>
      <c r="F7490" t="s">
        <v>29372</v>
      </c>
      <c r="G7490" t="s">
        <v>29380</v>
      </c>
      <c r="H7490" t="s">
        <v>11048</v>
      </c>
      <c r="I7490" t="s">
        <v>4709</v>
      </c>
      <c r="J7490" t="s">
        <v>34367</v>
      </c>
      <c r="K7490" t="s">
        <v>38496</v>
      </c>
      <c r="M7490" t="s">
        <v>40343</v>
      </c>
      <c r="N7490" t="s">
        <v>42669</v>
      </c>
      <c r="O7490" t="s">
        <v>42670</v>
      </c>
      <c r="P7490">
        <v>0</v>
      </c>
      <c r="Q7490">
        <v>1</v>
      </c>
      <c r="R7490" t="s">
        <v>42678</v>
      </c>
      <c r="S7490" t="s">
        <v>42866</v>
      </c>
      <c r="T7490" t="s">
        <v>44488</v>
      </c>
      <c r="U7490" t="s">
        <v>50935</v>
      </c>
      <c r="W7490" t="s">
        <v>40343</v>
      </c>
      <c r="X7490" t="s">
        <v>42679</v>
      </c>
    </row>
    <row r="7491" spans="1:24">
      <c r="A7491">
        <f>HYPERLINK("https://www.philgeps.gov.ph/GEPSNONPILOT/Tender/SplashBidNoticeAbstractUI.aspx?menuIndex=3&amp;refID=7181830&amp;Result=3","7181830")</f>
        <v>0</v>
      </c>
      <c r="B7491" t="s">
        <v>1466</v>
      </c>
      <c r="C7491" t="s">
        <v>10686</v>
      </c>
      <c r="E7491" t="s">
        <v>23727</v>
      </c>
      <c r="F7491" t="s">
        <v>29372</v>
      </c>
      <c r="G7491" t="s">
        <v>29379</v>
      </c>
      <c r="H7491" t="s">
        <v>11048</v>
      </c>
      <c r="I7491" t="s">
        <v>3670</v>
      </c>
      <c r="J7491" t="s">
        <v>34368</v>
      </c>
      <c r="K7491" t="s">
        <v>38490</v>
      </c>
      <c r="M7491" t="s">
        <v>40309</v>
      </c>
      <c r="N7491" t="s">
        <v>42669</v>
      </c>
      <c r="O7491" t="s">
        <v>42670</v>
      </c>
      <c r="P7491">
        <v>0</v>
      </c>
      <c r="Q7491">
        <v>1</v>
      </c>
      <c r="R7491" t="s">
        <v>42678</v>
      </c>
      <c r="S7491" t="s">
        <v>42866</v>
      </c>
      <c r="T7491" t="s">
        <v>44432</v>
      </c>
      <c r="U7491" t="s">
        <v>50759</v>
      </c>
      <c r="W7491" t="s">
        <v>40309</v>
      </c>
      <c r="X7491" t="s">
        <v>42679</v>
      </c>
    </row>
    <row r="7492" spans="1:24">
      <c r="A7492">
        <f>HYPERLINK("https://www.philgeps.gov.ph/GEPSNONPILOT/Tender/SplashBidNoticeAbstractUI.aspx?menuIndex=3&amp;refID=7181898&amp;Result=3","7181898")</f>
        <v>0</v>
      </c>
      <c r="B7492" t="s">
        <v>63</v>
      </c>
      <c r="C7492" t="s">
        <v>10687</v>
      </c>
      <c r="D7492" t="s">
        <v>17161</v>
      </c>
      <c r="E7492" t="s">
        <v>23728</v>
      </c>
      <c r="F7492" t="s">
        <v>29372</v>
      </c>
      <c r="G7492" t="s">
        <v>29380</v>
      </c>
      <c r="H7492" t="s">
        <v>11048</v>
      </c>
      <c r="I7492" t="s">
        <v>4709</v>
      </c>
      <c r="J7492" t="s">
        <v>34369</v>
      </c>
      <c r="K7492" t="s">
        <v>38490</v>
      </c>
      <c r="M7492" t="s">
        <v>38817</v>
      </c>
      <c r="N7492" t="s">
        <v>42669</v>
      </c>
      <c r="O7492" t="s">
        <v>42670</v>
      </c>
      <c r="P7492">
        <v>0</v>
      </c>
      <c r="Q7492">
        <v>0</v>
      </c>
      <c r="R7492" t="s">
        <v>42678</v>
      </c>
      <c r="S7492" t="s">
        <v>42866</v>
      </c>
      <c r="T7492" t="s">
        <v>44570</v>
      </c>
      <c r="U7492" t="s">
        <v>50936</v>
      </c>
      <c r="W7492" t="s">
        <v>38817</v>
      </c>
      <c r="X7492" t="s">
        <v>42679</v>
      </c>
    </row>
    <row r="7493" spans="1:24">
      <c r="A7493">
        <f>HYPERLINK("https://www.philgeps.gov.ph/GEPSNONPILOT/Tender/SplashBidNoticeAbstractUI.aspx?menuIndex=3&amp;refID=7181899&amp;Result=3","7181899")</f>
        <v>0</v>
      </c>
      <c r="B7493" t="s">
        <v>2396</v>
      </c>
      <c r="C7493" t="s">
        <v>10688</v>
      </c>
      <c r="D7493" t="s">
        <v>17143</v>
      </c>
      <c r="E7493" t="s">
        <v>23729</v>
      </c>
      <c r="F7493" t="s">
        <v>29372</v>
      </c>
      <c r="G7493" t="s">
        <v>29380</v>
      </c>
      <c r="H7493" t="s">
        <v>11048</v>
      </c>
      <c r="I7493" t="s">
        <v>4709</v>
      </c>
      <c r="J7493" t="s">
        <v>34370</v>
      </c>
      <c r="K7493" t="s">
        <v>38502</v>
      </c>
      <c r="M7493" t="s">
        <v>41342</v>
      </c>
      <c r="N7493" t="s">
        <v>42669</v>
      </c>
      <c r="O7493" t="s">
        <v>42670</v>
      </c>
      <c r="P7493">
        <v>0</v>
      </c>
      <c r="Q7493">
        <v>2</v>
      </c>
      <c r="R7493" t="s">
        <v>42678</v>
      </c>
      <c r="S7493" t="s">
        <v>42866</v>
      </c>
      <c r="T7493" t="s">
        <v>44515</v>
      </c>
      <c r="U7493" t="s">
        <v>50937</v>
      </c>
      <c r="W7493" t="s">
        <v>41342</v>
      </c>
      <c r="X7493" t="s">
        <v>42679</v>
      </c>
    </row>
    <row r="7494" spans="1:24">
      <c r="A7494">
        <f>HYPERLINK("https://www.philgeps.gov.ph/GEPSNONPILOT/Tender/SplashBidNoticeAbstractUI.aspx?menuIndex=3&amp;refID=7181890&amp;Result=3","7181890")</f>
        <v>0</v>
      </c>
      <c r="B7494" t="s">
        <v>2395</v>
      </c>
      <c r="C7494" t="s">
        <v>10689</v>
      </c>
      <c r="D7494" t="s">
        <v>17201</v>
      </c>
      <c r="E7494" t="s">
        <v>23730</v>
      </c>
      <c r="F7494" t="s">
        <v>29372</v>
      </c>
      <c r="G7494" t="s">
        <v>29380</v>
      </c>
      <c r="H7494" t="s">
        <v>11048</v>
      </c>
      <c r="I7494" t="s">
        <v>29469</v>
      </c>
      <c r="J7494" t="s">
        <v>30225</v>
      </c>
      <c r="K7494" t="s">
        <v>38496</v>
      </c>
      <c r="M7494" t="s">
        <v>41340</v>
      </c>
      <c r="N7494" t="s">
        <v>42669</v>
      </c>
      <c r="O7494" t="s">
        <v>42670</v>
      </c>
      <c r="P7494">
        <v>0</v>
      </c>
      <c r="Q7494">
        <v>4</v>
      </c>
      <c r="R7494" t="s">
        <v>42678</v>
      </c>
      <c r="S7494" t="s">
        <v>42866</v>
      </c>
      <c r="T7494" t="s">
        <v>44517</v>
      </c>
      <c r="U7494" t="s">
        <v>50938</v>
      </c>
      <c r="W7494" t="s">
        <v>41340</v>
      </c>
      <c r="X7494" t="s">
        <v>42679</v>
      </c>
    </row>
    <row r="7495" spans="1:24">
      <c r="A7495">
        <f>HYPERLINK("https://www.philgeps.gov.ph/GEPSNONPILOT/Tender/SplashBidNoticeAbstractUI.aspx?menuIndex=3&amp;refID=7181892&amp;Result=3","7181892")</f>
        <v>0</v>
      </c>
      <c r="B7495" t="s">
        <v>1513</v>
      </c>
      <c r="C7495" t="s">
        <v>10690</v>
      </c>
      <c r="D7495" t="s">
        <v>17171</v>
      </c>
      <c r="E7495" t="s">
        <v>23731</v>
      </c>
      <c r="F7495" t="s">
        <v>29372</v>
      </c>
      <c r="G7495" t="s">
        <v>29380</v>
      </c>
      <c r="H7495" t="s">
        <v>11048</v>
      </c>
      <c r="I7495" t="s">
        <v>29424</v>
      </c>
      <c r="J7495" t="s">
        <v>34371</v>
      </c>
      <c r="K7495" t="s">
        <v>38490</v>
      </c>
      <c r="M7495" t="s">
        <v>40357</v>
      </c>
      <c r="N7495" t="s">
        <v>42669</v>
      </c>
      <c r="O7495" t="s">
        <v>42670</v>
      </c>
      <c r="P7495">
        <v>0</v>
      </c>
      <c r="Q7495">
        <v>1</v>
      </c>
      <c r="R7495" t="s">
        <v>42678</v>
      </c>
      <c r="S7495" t="s">
        <v>42866</v>
      </c>
      <c r="T7495" t="s">
        <v>44570</v>
      </c>
      <c r="U7495" t="s">
        <v>50939</v>
      </c>
      <c r="V7495" t="s">
        <v>56790</v>
      </c>
      <c r="W7495" t="s">
        <v>40357</v>
      </c>
      <c r="X7495" t="s">
        <v>42679</v>
      </c>
    </row>
    <row r="7496" spans="1:24">
      <c r="A7496">
        <f>HYPERLINK("https://www.philgeps.gov.ph/GEPSNONPILOT/Tender/SplashBidNoticeAbstractUI.aspx?menuIndex=3&amp;refID=7181815&amp;Result=3","7181815")</f>
        <v>0</v>
      </c>
      <c r="B7496" t="s">
        <v>2397</v>
      </c>
      <c r="C7496" t="s">
        <v>10691</v>
      </c>
      <c r="D7496" t="s">
        <v>17163</v>
      </c>
      <c r="E7496" t="s">
        <v>23732</v>
      </c>
      <c r="F7496" t="s">
        <v>29372</v>
      </c>
      <c r="G7496" t="s">
        <v>29380</v>
      </c>
      <c r="H7496" t="s">
        <v>11048</v>
      </c>
      <c r="I7496" t="s">
        <v>3695</v>
      </c>
      <c r="J7496" t="s">
        <v>30056</v>
      </c>
      <c r="K7496" t="s">
        <v>38485</v>
      </c>
      <c r="M7496" t="s">
        <v>41343</v>
      </c>
      <c r="N7496" t="s">
        <v>42669</v>
      </c>
      <c r="O7496" t="s">
        <v>42670</v>
      </c>
      <c r="P7496">
        <v>0</v>
      </c>
      <c r="Q7496">
        <v>13</v>
      </c>
      <c r="R7496" t="s">
        <v>42678</v>
      </c>
      <c r="S7496" t="s">
        <v>42866</v>
      </c>
      <c r="T7496" t="s">
        <v>44488</v>
      </c>
      <c r="U7496" t="s">
        <v>50940</v>
      </c>
      <c r="W7496" t="s">
        <v>41343</v>
      </c>
      <c r="X7496" t="s">
        <v>42679</v>
      </c>
    </row>
    <row r="7497" spans="1:24">
      <c r="A7497">
        <f>HYPERLINK("https://www.philgeps.gov.ph/GEPSNONPILOT/Tender/SplashBidNoticeAbstractUI.aspx?menuIndex=3&amp;refID=7181900&amp;Result=3","7181900")</f>
        <v>0</v>
      </c>
      <c r="B7497" t="s">
        <v>2394</v>
      </c>
      <c r="C7497" t="s">
        <v>10692</v>
      </c>
      <c r="D7497" t="s">
        <v>17171</v>
      </c>
      <c r="E7497" t="s">
        <v>23733</v>
      </c>
      <c r="F7497" t="s">
        <v>29372</v>
      </c>
      <c r="G7497" t="s">
        <v>29380</v>
      </c>
      <c r="H7497" t="s">
        <v>29389</v>
      </c>
      <c r="I7497" t="s">
        <v>10408</v>
      </c>
      <c r="J7497" t="s">
        <v>34372</v>
      </c>
      <c r="K7497" t="s">
        <v>38509</v>
      </c>
      <c r="M7497" t="s">
        <v>41339</v>
      </c>
      <c r="N7497" t="s">
        <v>42669</v>
      </c>
      <c r="O7497" t="s">
        <v>42670</v>
      </c>
      <c r="P7497">
        <v>0</v>
      </c>
      <c r="Q7497">
        <v>0</v>
      </c>
      <c r="R7497" t="s">
        <v>42678</v>
      </c>
      <c r="S7497" t="s">
        <v>42866</v>
      </c>
      <c r="T7497" t="s">
        <v>44544</v>
      </c>
      <c r="U7497" t="s">
        <v>50941</v>
      </c>
      <c r="W7497" t="s">
        <v>41339</v>
      </c>
      <c r="X7497" t="s">
        <v>42679</v>
      </c>
    </row>
    <row r="7498" spans="1:24">
      <c r="A7498">
        <f>HYPERLINK("https://www.philgeps.gov.ph/GEPSNONPILOT/Tender/SplashBidNoticeAbstractUI.aspx?menuIndex=3&amp;refID=7181873&amp;Result=3","7181873")</f>
        <v>0</v>
      </c>
      <c r="B7498" t="s">
        <v>579</v>
      </c>
      <c r="C7498" t="s">
        <v>10693</v>
      </c>
      <c r="D7498" t="s">
        <v>17141</v>
      </c>
      <c r="E7498" t="s">
        <v>23734</v>
      </c>
      <c r="F7498" t="s">
        <v>29373</v>
      </c>
      <c r="G7498" t="s">
        <v>29380</v>
      </c>
      <c r="H7498" t="s">
        <v>11048</v>
      </c>
      <c r="I7498" t="s">
        <v>4487</v>
      </c>
      <c r="J7498" t="s">
        <v>34373</v>
      </c>
      <c r="K7498" t="s">
        <v>38485</v>
      </c>
      <c r="M7498" t="s">
        <v>39348</v>
      </c>
      <c r="N7498" t="s">
        <v>42669</v>
      </c>
      <c r="O7498" t="s">
        <v>42670</v>
      </c>
      <c r="P7498">
        <v>0</v>
      </c>
      <c r="Q7498">
        <v>2</v>
      </c>
      <c r="R7498" t="s">
        <v>42678</v>
      </c>
      <c r="S7498" t="s">
        <v>42866</v>
      </c>
      <c r="T7498" t="s">
        <v>44361</v>
      </c>
      <c r="U7498" t="s">
        <v>50942</v>
      </c>
      <c r="V7498" t="s">
        <v>56504</v>
      </c>
      <c r="W7498" t="s">
        <v>39348</v>
      </c>
      <c r="X7498" t="s">
        <v>42679</v>
      </c>
    </row>
    <row r="7499" spans="1:24">
      <c r="A7499">
        <f>HYPERLINK("https://www.philgeps.gov.ph/GEPSNONPILOT/Tender/SplashBidNoticeAbstractUI.aspx?menuIndex=3&amp;refID=7181868&amp;Result=3","7181868")</f>
        <v>0</v>
      </c>
      <c r="B7499" t="s">
        <v>2398</v>
      </c>
      <c r="C7499" t="s">
        <v>10694</v>
      </c>
      <c r="D7499" t="s">
        <v>17210</v>
      </c>
      <c r="E7499" t="s">
        <v>23735</v>
      </c>
      <c r="F7499" t="s">
        <v>29372</v>
      </c>
      <c r="G7499" t="s">
        <v>29380</v>
      </c>
      <c r="H7499" t="s">
        <v>11048</v>
      </c>
      <c r="I7499" t="s">
        <v>29397</v>
      </c>
      <c r="J7499" t="s">
        <v>30308</v>
      </c>
      <c r="K7499" t="s">
        <v>38522</v>
      </c>
      <c r="M7499" t="s">
        <v>41344</v>
      </c>
      <c r="N7499" t="s">
        <v>42669</v>
      </c>
      <c r="O7499" t="s">
        <v>42670</v>
      </c>
      <c r="P7499">
        <v>0</v>
      </c>
      <c r="Q7499">
        <v>6</v>
      </c>
      <c r="R7499" t="s">
        <v>42678</v>
      </c>
      <c r="S7499" t="s">
        <v>42866</v>
      </c>
      <c r="T7499" t="s">
        <v>44357</v>
      </c>
      <c r="U7499" t="s">
        <v>50943</v>
      </c>
      <c r="W7499" t="s">
        <v>41344</v>
      </c>
      <c r="X7499" t="s">
        <v>42679</v>
      </c>
    </row>
    <row r="7500" spans="1:24">
      <c r="A7500">
        <f>HYPERLINK("https://www.philgeps.gov.ph/GEPSNONPILOT/Tender/SplashBidNoticeAbstractUI.aspx?menuIndex=3&amp;refID=7181741&amp;Result=3","7181741")</f>
        <v>0</v>
      </c>
      <c r="B7500" t="s">
        <v>2399</v>
      </c>
      <c r="C7500" t="s">
        <v>10695</v>
      </c>
      <c r="D7500" t="s">
        <v>17163</v>
      </c>
      <c r="E7500" t="s">
        <v>23736</v>
      </c>
      <c r="F7500" t="s">
        <v>29372</v>
      </c>
      <c r="G7500" t="s">
        <v>29379</v>
      </c>
      <c r="H7500" t="s">
        <v>29390</v>
      </c>
      <c r="I7500" t="s">
        <v>29403</v>
      </c>
      <c r="J7500" t="s">
        <v>34374</v>
      </c>
      <c r="K7500" t="s">
        <v>38526</v>
      </c>
      <c r="M7500" t="s">
        <v>41345</v>
      </c>
      <c r="N7500" t="s">
        <v>42669</v>
      </c>
      <c r="O7500" t="s">
        <v>42670</v>
      </c>
      <c r="P7500">
        <v>0</v>
      </c>
      <c r="Q7500">
        <v>0</v>
      </c>
      <c r="R7500" t="s">
        <v>42678</v>
      </c>
      <c r="S7500" t="s">
        <v>42866</v>
      </c>
      <c r="T7500" t="s">
        <v>44399</v>
      </c>
      <c r="U7500" t="s">
        <v>50944</v>
      </c>
      <c r="W7500" t="s">
        <v>41345</v>
      </c>
      <c r="X7500" t="s">
        <v>42679</v>
      </c>
    </row>
    <row r="7501" spans="1:24">
      <c r="A7501">
        <f>HYPERLINK("https://www.philgeps.gov.ph/GEPSNONPILOT/Tender/SplashBidNoticeAbstractUI.aspx?menuIndex=3&amp;refID=7181850&amp;Result=3","7181850")</f>
        <v>0</v>
      </c>
      <c r="B7501" t="s">
        <v>2400</v>
      </c>
      <c r="C7501" t="s">
        <v>10696</v>
      </c>
      <c r="D7501" t="s">
        <v>17168</v>
      </c>
      <c r="E7501" t="s">
        <v>17347</v>
      </c>
      <c r="F7501" t="s">
        <v>29372</v>
      </c>
      <c r="G7501" t="s">
        <v>29380</v>
      </c>
      <c r="H7501" t="s">
        <v>11048</v>
      </c>
      <c r="I7501" t="s">
        <v>4709</v>
      </c>
      <c r="J7501" t="s">
        <v>34375</v>
      </c>
      <c r="K7501" t="s">
        <v>38488</v>
      </c>
      <c r="M7501" t="s">
        <v>41346</v>
      </c>
      <c r="N7501" t="s">
        <v>42669</v>
      </c>
      <c r="O7501" t="s">
        <v>42670</v>
      </c>
      <c r="P7501">
        <v>0</v>
      </c>
      <c r="Q7501">
        <v>0</v>
      </c>
      <c r="R7501" t="s">
        <v>42678</v>
      </c>
      <c r="S7501" t="s">
        <v>42866</v>
      </c>
      <c r="T7501" t="s">
        <v>44504</v>
      </c>
      <c r="U7501" t="s">
        <v>50945</v>
      </c>
      <c r="V7501" t="s">
        <v>57188</v>
      </c>
      <c r="W7501" t="s">
        <v>41346</v>
      </c>
      <c r="X7501" t="s">
        <v>42679</v>
      </c>
    </row>
    <row r="7502" spans="1:24">
      <c r="A7502">
        <f>HYPERLINK("https://www.philgeps.gov.ph/GEPSNONPILOT/Tender/SplashBidNoticeAbstractUI.aspx?menuIndex=3&amp;refID=7181838&amp;Result=3","7181838")</f>
        <v>0</v>
      </c>
      <c r="B7502" t="s">
        <v>2401</v>
      </c>
      <c r="C7502" t="s">
        <v>10697</v>
      </c>
      <c r="D7502" t="s">
        <v>17183</v>
      </c>
      <c r="E7502" t="s">
        <v>18536</v>
      </c>
      <c r="F7502" t="s">
        <v>29372</v>
      </c>
      <c r="G7502" t="s">
        <v>29380</v>
      </c>
      <c r="H7502" t="s">
        <v>11048</v>
      </c>
      <c r="I7502" t="s">
        <v>4487</v>
      </c>
      <c r="J7502" t="s">
        <v>34376</v>
      </c>
      <c r="K7502" t="s">
        <v>38491</v>
      </c>
      <c r="M7502" t="s">
        <v>41347</v>
      </c>
      <c r="N7502" t="s">
        <v>42669</v>
      </c>
      <c r="O7502" t="s">
        <v>42670</v>
      </c>
      <c r="P7502">
        <v>0</v>
      </c>
      <c r="Q7502">
        <v>2</v>
      </c>
      <c r="R7502" t="s">
        <v>42678</v>
      </c>
      <c r="S7502" t="s">
        <v>42866</v>
      </c>
      <c r="T7502" t="s">
        <v>44512</v>
      </c>
      <c r="U7502" t="s">
        <v>50946</v>
      </c>
      <c r="W7502" t="s">
        <v>41347</v>
      </c>
      <c r="X7502" t="s">
        <v>42679</v>
      </c>
    </row>
    <row r="7503" spans="1:24">
      <c r="A7503">
        <f>HYPERLINK("https://www.philgeps.gov.ph/GEPSNONPILOT/Tender/SplashBidNoticeAbstractUI.aspx?menuIndex=3&amp;refID=7181929&amp;Result=3","7181929")</f>
        <v>0</v>
      </c>
      <c r="B7503" t="s">
        <v>2400</v>
      </c>
      <c r="C7503" t="s">
        <v>10698</v>
      </c>
      <c r="D7503" t="s">
        <v>17168</v>
      </c>
      <c r="E7503" t="s">
        <v>17347</v>
      </c>
      <c r="F7503" t="s">
        <v>29372</v>
      </c>
      <c r="G7503" t="s">
        <v>29380</v>
      </c>
      <c r="H7503" t="s">
        <v>11048</v>
      </c>
      <c r="I7503" t="s">
        <v>4709</v>
      </c>
      <c r="J7503" t="s">
        <v>34377</v>
      </c>
      <c r="K7503" t="s">
        <v>38488</v>
      </c>
      <c r="M7503" t="s">
        <v>41346</v>
      </c>
      <c r="N7503" t="s">
        <v>42669</v>
      </c>
      <c r="O7503" t="s">
        <v>42670</v>
      </c>
      <c r="P7503">
        <v>0</v>
      </c>
      <c r="Q7503">
        <v>0</v>
      </c>
      <c r="R7503" t="s">
        <v>42678</v>
      </c>
      <c r="S7503" t="s">
        <v>42866</v>
      </c>
      <c r="T7503" t="s">
        <v>44577</v>
      </c>
      <c r="U7503" t="s">
        <v>50947</v>
      </c>
      <c r="V7503" t="s">
        <v>57189</v>
      </c>
      <c r="W7503" t="s">
        <v>41346</v>
      </c>
      <c r="X7503" t="s">
        <v>42679</v>
      </c>
    </row>
    <row r="7504" spans="1:24">
      <c r="A7504">
        <f>HYPERLINK("https://www.philgeps.gov.ph/GEPSNONPILOT/Tender/SplashBidNoticeAbstractUI.aspx?menuIndex=3&amp;refID=7181885&amp;Result=3","7181885")</f>
        <v>0</v>
      </c>
      <c r="B7504" t="s">
        <v>2329</v>
      </c>
      <c r="C7504" t="s">
        <v>10699</v>
      </c>
      <c r="E7504" t="s">
        <v>23722</v>
      </c>
      <c r="F7504" t="s">
        <v>29372</v>
      </c>
      <c r="G7504" t="s">
        <v>29380</v>
      </c>
      <c r="H7504" t="s">
        <v>11048</v>
      </c>
      <c r="I7504" t="s">
        <v>29466</v>
      </c>
      <c r="J7504" t="s">
        <v>34378</v>
      </c>
      <c r="K7504" t="s">
        <v>38490</v>
      </c>
      <c r="M7504" t="s">
        <v>41300</v>
      </c>
      <c r="N7504" t="s">
        <v>42669</v>
      </c>
      <c r="O7504" t="s">
        <v>42670</v>
      </c>
      <c r="P7504">
        <v>0</v>
      </c>
      <c r="Q7504">
        <v>0</v>
      </c>
      <c r="R7504" t="s">
        <v>42678</v>
      </c>
      <c r="S7504" t="s">
        <v>42866</v>
      </c>
      <c r="T7504" t="s">
        <v>44375</v>
      </c>
      <c r="U7504" t="s">
        <v>50948</v>
      </c>
      <c r="W7504" t="s">
        <v>41300</v>
      </c>
      <c r="X7504" t="s">
        <v>42679</v>
      </c>
    </row>
    <row r="7505" spans="1:24">
      <c r="A7505">
        <f>HYPERLINK("https://www.philgeps.gov.ph/GEPSNONPILOT/Tender/SplashBidNoticeAbstractUI.aspx?menuIndex=3&amp;refID=7181962&amp;Result=3","7181962")</f>
        <v>0</v>
      </c>
      <c r="B7505" t="s">
        <v>2224</v>
      </c>
      <c r="C7505" t="s">
        <v>10700</v>
      </c>
      <c r="D7505" t="s">
        <v>17143</v>
      </c>
      <c r="E7505" t="s">
        <v>18589</v>
      </c>
      <c r="F7505" t="s">
        <v>29372</v>
      </c>
      <c r="G7505" t="s">
        <v>29380</v>
      </c>
      <c r="H7505" t="s">
        <v>11048</v>
      </c>
      <c r="I7505" t="s">
        <v>29394</v>
      </c>
      <c r="J7505" t="s">
        <v>30331</v>
      </c>
      <c r="K7505" t="s">
        <v>38485</v>
      </c>
      <c r="M7505" t="s">
        <v>41142</v>
      </c>
      <c r="N7505" t="s">
        <v>42669</v>
      </c>
      <c r="O7505" t="s">
        <v>42670</v>
      </c>
      <c r="P7505">
        <v>0</v>
      </c>
      <c r="Q7505">
        <v>0</v>
      </c>
      <c r="R7505" t="s">
        <v>42678</v>
      </c>
      <c r="S7505" t="s">
        <v>42866</v>
      </c>
      <c r="T7505" t="s">
        <v>44481</v>
      </c>
      <c r="U7505" t="s">
        <v>50949</v>
      </c>
      <c r="V7505" t="s">
        <v>57190</v>
      </c>
      <c r="W7505" t="s">
        <v>41142</v>
      </c>
      <c r="X7505" t="s">
        <v>42679</v>
      </c>
    </row>
    <row r="7506" spans="1:24">
      <c r="A7506">
        <f>HYPERLINK("https://www.philgeps.gov.ph/GEPSNONPILOT/Tender/SplashBidNoticeAbstractUI.aspx?menuIndex=3&amp;refID=7181871&amp;Result=3","7181871")</f>
        <v>0</v>
      </c>
      <c r="B7506" t="s">
        <v>1466</v>
      </c>
      <c r="C7506" t="s">
        <v>10701</v>
      </c>
      <c r="E7506" t="s">
        <v>23737</v>
      </c>
      <c r="F7506" t="s">
        <v>29372</v>
      </c>
      <c r="G7506" t="s">
        <v>29379</v>
      </c>
      <c r="H7506" t="s">
        <v>11048</v>
      </c>
      <c r="I7506" t="s">
        <v>3670</v>
      </c>
      <c r="J7506" t="s">
        <v>34379</v>
      </c>
      <c r="K7506" t="s">
        <v>38490</v>
      </c>
      <c r="M7506" t="s">
        <v>40309</v>
      </c>
      <c r="N7506" t="s">
        <v>42669</v>
      </c>
      <c r="O7506" t="s">
        <v>42670</v>
      </c>
      <c r="P7506">
        <v>0</v>
      </c>
      <c r="Q7506">
        <v>1</v>
      </c>
      <c r="R7506" t="s">
        <v>42678</v>
      </c>
      <c r="S7506" t="s">
        <v>42866</v>
      </c>
      <c r="T7506" t="s">
        <v>44432</v>
      </c>
      <c r="U7506" t="s">
        <v>50759</v>
      </c>
      <c r="W7506" t="s">
        <v>40309</v>
      </c>
      <c r="X7506" t="s">
        <v>42679</v>
      </c>
    </row>
    <row r="7507" spans="1:24">
      <c r="A7507">
        <f>HYPERLINK("https://www.philgeps.gov.ph/GEPSNONPILOT/Tender/SplashBidNoticeAbstractUI.aspx?menuIndex=3&amp;refID=7181955&amp;Result=3","7181955")</f>
        <v>0</v>
      </c>
      <c r="B7507" t="s">
        <v>2384</v>
      </c>
      <c r="C7507" t="s">
        <v>10702</v>
      </c>
      <c r="D7507" t="s">
        <v>17164</v>
      </c>
      <c r="E7507" t="s">
        <v>23738</v>
      </c>
      <c r="F7507" t="s">
        <v>29372</v>
      </c>
      <c r="G7507" t="s">
        <v>29380</v>
      </c>
      <c r="H7507" t="s">
        <v>29389</v>
      </c>
      <c r="I7507" t="s">
        <v>10408</v>
      </c>
      <c r="J7507" t="s">
        <v>34380</v>
      </c>
      <c r="K7507" t="s">
        <v>38533</v>
      </c>
      <c r="M7507" t="s">
        <v>41329</v>
      </c>
      <c r="N7507" t="s">
        <v>42669</v>
      </c>
      <c r="O7507" t="s">
        <v>42670</v>
      </c>
      <c r="P7507">
        <v>0</v>
      </c>
      <c r="Q7507">
        <v>4</v>
      </c>
      <c r="R7507" t="s">
        <v>42678</v>
      </c>
      <c r="S7507" t="s">
        <v>42866</v>
      </c>
      <c r="T7507" t="s">
        <v>44368</v>
      </c>
      <c r="U7507" t="s">
        <v>50950</v>
      </c>
      <c r="W7507" t="s">
        <v>41329</v>
      </c>
      <c r="X7507" t="s">
        <v>42679</v>
      </c>
    </row>
    <row r="7508" spans="1:24">
      <c r="A7508">
        <f>HYPERLINK("https://www.philgeps.gov.ph/GEPSNONPILOT/Tender/SplashBidNoticeAbstractUI.aspx?menuIndex=3&amp;refID=7181865&amp;Result=3","7181865")</f>
        <v>0</v>
      </c>
      <c r="B7508" t="s">
        <v>1466</v>
      </c>
      <c r="C7508" t="s">
        <v>10703</v>
      </c>
      <c r="E7508" t="s">
        <v>23739</v>
      </c>
      <c r="F7508" t="s">
        <v>29372</v>
      </c>
      <c r="G7508" t="s">
        <v>29379</v>
      </c>
      <c r="H7508" t="s">
        <v>11048</v>
      </c>
      <c r="I7508" t="s">
        <v>3670</v>
      </c>
      <c r="J7508" t="s">
        <v>34381</v>
      </c>
      <c r="K7508" t="s">
        <v>38490</v>
      </c>
      <c r="M7508" t="s">
        <v>40309</v>
      </c>
      <c r="N7508" t="s">
        <v>42669</v>
      </c>
      <c r="O7508" t="s">
        <v>42670</v>
      </c>
      <c r="P7508">
        <v>0</v>
      </c>
      <c r="Q7508">
        <v>1</v>
      </c>
      <c r="R7508" t="s">
        <v>42678</v>
      </c>
      <c r="S7508" t="s">
        <v>42866</v>
      </c>
      <c r="T7508" t="s">
        <v>44432</v>
      </c>
      <c r="U7508" t="s">
        <v>50759</v>
      </c>
      <c r="W7508" t="s">
        <v>40309</v>
      </c>
      <c r="X7508" t="s">
        <v>42679</v>
      </c>
    </row>
    <row r="7509" spans="1:24">
      <c r="A7509">
        <f>HYPERLINK("https://www.philgeps.gov.ph/GEPSNONPILOT/Tender/SplashBidNoticeAbstractUI.aspx?menuIndex=3&amp;refID=7181949&amp;Result=3","7181949")</f>
        <v>0</v>
      </c>
      <c r="B7509" t="s">
        <v>1466</v>
      </c>
      <c r="C7509" t="s">
        <v>10704</v>
      </c>
      <c r="E7509" t="s">
        <v>23740</v>
      </c>
      <c r="F7509" t="s">
        <v>29372</v>
      </c>
      <c r="G7509" t="s">
        <v>29379</v>
      </c>
      <c r="H7509" t="s">
        <v>11048</v>
      </c>
      <c r="I7509" t="s">
        <v>3670</v>
      </c>
      <c r="J7509" t="s">
        <v>29769</v>
      </c>
      <c r="K7509" t="s">
        <v>38490</v>
      </c>
      <c r="M7509" t="s">
        <v>40309</v>
      </c>
      <c r="N7509" t="s">
        <v>42669</v>
      </c>
      <c r="O7509" t="s">
        <v>42670</v>
      </c>
      <c r="P7509">
        <v>0</v>
      </c>
      <c r="Q7509">
        <v>0</v>
      </c>
      <c r="R7509" t="s">
        <v>42678</v>
      </c>
      <c r="S7509" t="s">
        <v>42866</v>
      </c>
      <c r="T7509" t="s">
        <v>44432</v>
      </c>
      <c r="U7509" t="s">
        <v>50759</v>
      </c>
      <c r="W7509" t="s">
        <v>40309</v>
      </c>
      <c r="X7509" t="s">
        <v>42679</v>
      </c>
    </row>
    <row r="7510" spans="1:24">
      <c r="A7510">
        <f>HYPERLINK("https://www.philgeps.gov.ph/GEPSNONPILOT/Tender/SplashBidNoticeAbstractUI.aspx?menuIndex=3&amp;refID=7181939&amp;Result=3","7181939")</f>
        <v>0</v>
      </c>
      <c r="B7510" t="s">
        <v>1417</v>
      </c>
      <c r="C7510" t="s">
        <v>10705</v>
      </c>
      <c r="D7510" t="s">
        <v>17161</v>
      </c>
      <c r="E7510" t="s">
        <v>23741</v>
      </c>
      <c r="F7510" t="s">
        <v>29372</v>
      </c>
      <c r="G7510" t="s">
        <v>29380</v>
      </c>
      <c r="H7510" t="s">
        <v>11048</v>
      </c>
      <c r="I7510" t="s">
        <v>29417</v>
      </c>
      <c r="J7510" t="s">
        <v>30024</v>
      </c>
      <c r="K7510" t="s">
        <v>38510</v>
      </c>
      <c r="M7510" t="s">
        <v>40256</v>
      </c>
      <c r="N7510" t="s">
        <v>42669</v>
      </c>
      <c r="O7510" t="s">
        <v>42670</v>
      </c>
      <c r="P7510">
        <v>0</v>
      </c>
      <c r="Q7510">
        <v>0</v>
      </c>
      <c r="R7510" t="s">
        <v>42678</v>
      </c>
      <c r="S7510" t="s">
        <v>42866</v>
      </c>
      <c r="T7510" t="s">
        <v>44488</v>
      </c>
      <c r="U7510" t="s">
        <v>50951</v>
      </c>
      <c r="W7510" t="s">
        <v>40256</v>
      </c>
      <c r="X7510" t="s">
        <v>42679</v>
      </c>
    </row>
    <row r="7511" spans="1:24">
      <c r="A7511">
        <f>HYPERLINK("https://www.philgeps.gov.ph/GEPSNONPILOT/Tender/SplashBidNoticeAbstractUI.aspx?menuIndex=3&amp;refID=7181924&amp;Result=3","7181924")</f>
        <v>0</v>
      </c>
      <c r="B7511" t="s">
        <v>2380</v>
      </c>
      <c r="C7511" t="s">
        <v>10706</v>
      </c>
      <c r="D7511" t="s">
        <v>17169</v>
      </c>
      <c r="E7511" t="s">
        <v>23742</v>
      </c>
      <c r="F7511" t="s">
        <v>29375</v>
      </c>
      <c r="G7511" t="s">
        <v>29380</v>
      </c>
      <c r="H7511" t="s">
        <v>29389</v>
      </c>
      <c r="I7511" t="s">
        <v>10408</v>
      </c>
      <c r="J7511" t="s">
        <v>34382</v>
      </c>
      <c r="K7511" t="s">
        <v>38485</v>
      </c>
      <c r="M7511" t="s">
        <v>41325</v>
      </c>
      <c r="N7511" t="s">
        <v>42669</v>
      </c>
      <c r="O7511" t="s">
        <v>42670</v>
      </c>
      <c r="P7511">
        <v>0</v>
      </c>
      <c r="Q7511">
        <v>0</v>
      </c>
      <c r="R7511" t="s">
        <v>42678</v>
      </c>
      <c r="S7511" t="s">
        <v>42866</v>
      </c>
      <c r="T7511" t="s">
        <v>44412</v>
      </c>
      <c r="U7511" t="s">
        <v>50890</v>
      </c>
      <c r="W7511" t="s">
        <v>41325</v>
      </c>
      <c r="X7511" t="s">
        <v>42679</v>
      </c>
    </row>
    <row r="7512" spans="1:24">
      <c r="A7512">
        <f>HYPERLINK("https://www.philgeps.gov.ph/GEPSNONPILOT/Tender/SplashBidNoticeAbstractUI.aspx?menuIndex=3&amp;refID=7181864&amp;Result=3","7181864")</f>
        <v>0</v>
      </c>
      <c r="B7512" t="s">
        <v>2402</v>
      </c>
      <c r="C7512" t="s">
        <v>10707</v>
      </c>
      <c r="D7512" t="s">
        <v>17147</v>
      </c>
      <c r="E7512" t="s">
        <v>23743</v>
      </c>
      <c r="F7512" t="s">
        <v>29372</v>
      </c>
      <c r="G7512" t="s">
        <v>29380</v>
      </c>
      <c r="H7512" t="s">
        <v>29389</v>
      </c>
      <c r="I7512" t="s">
        <v>10408</v>
      </c>
      <c r="J7512" t="s">
        <v>30056</v>
      </c>
      <c r="K7512" t="s">
        <v>38503</v>
      </c>
      <c r="M7512" t="s">
        <v>41348</v>
      </c>
      <c r="N7512" t="s">
        <v>42669</v>
      </c>
      <c r="O7512" t="s">
        <v>42670</v>
      </c>
      <c r="P7512">
        <v>0</v>
      </c>
      <c r="Q7512">
        <v>0</v>
      </c>
      <c r="R7512" t="s">
        <v>42678</v>
      </c>
      <c r="S7512" t="s">
        <v>42866</v>
      </c>
      <c r="T7512" t="s">
        <v>44355</v>
      </c>
      <c r="U7512" t="s">
        <v>50952</v>
      </c>
      <c r="V7512" t="s">
        <v>57191</v>
      </c>
      <c r="W7512" t="s">
        <v>41348</v>
      </c>
      <c r="X7512" t="s">
        <v>42679</v>
      </c>
    </row>
    <row r="7513" spans="1:24">
      <c r="A7513">
        <f>HYPERLINK("https://www.philgeps.gov.ph/GEPSNONPILOT/Tender/SplashBidNoticeAbstractUI.aspx?menuIndex=3&amp;refID=7181923&amp;Result=3","7181923")</f>
        <v>0</v>
      </c>
      <c r="B7513" t="s">
        <v>883</v>
      </c>
      <c r="C7513" t="s">
        <v>10708</v>
      </c>
      <c r="D7513" t="s">
        <v>17161</v>
      </c>
      <c r="E7513" t="s">
        <v>23744</v>
      </c>
      <c r="F7513" t="s">
        <v>29372</v>
      </c>
      <c r="G7513" t="s">
        <v>29380</v>
      </c>
      <c r="H7513" t="s">
        <v>11048</v>
      </c>
      <c r="I7513" t="s">
        <v>29398</v>
      </c>
      <c r="J7513" t="s">
        <v>34383</v>
      </c>
      <c r="K7513" t="s">
        <v>38538</v>
      </c>
      <c r="M7513" t="s">
        <v>39675</v>
      </c>
      <c r="N7513" t="s">
        <v>42669</v>
      </c>
      <c r="O7513" t="s">
        <v>42670</v>
      </c>
      <c r="P7513">
        <v>0</v>
      </c>
      <c r="Q7513">
        <v>0</v>
      </c>
      <c r="R7513" t="s">
        <v>42678</v>
      </c>
      <c r="S7513" t="s">
        <v>42866</v>
      </c>
      <c r="T7513" t="s">
        <v>44357</v>
      </c>
      <c r="U7513" t="s">
        <v>50953</v>
      </c>
      <c r="W7513" t="s">
        <v>39675</v>
      </c>
      <c r="X7513" t="s">
        <v>42679</v>
      </c>
    </row>
    <row r="7514" spans="1:24">
      <c r="A7514">
        <f>HYPERLINK("https://www.philgeps.gov.ph/GEPSNONPILOT/Tender/SplashBidNoticeAbstractUI.aspx?menuIndex=3&amp;refID=7181872&amp;Result=3","7181872")</f>
        <v>0</v>
      </c>
      <c r="B7514" t="s">
        <v>2403</v>
      </c>
      <c r="C7514" t="s">
        <v>10709</v>
      </c>
      <c r="D7514" t="s">
        <v>17188</v>
      </c>
      <c r="E7514" t="s">
        <v>19019</v>
      </c>
      <c r="F7514" t="s">
        <v>29372</v>
      </c>
      <c r="G7514" t="s">
        <v>29380</v>
      </c>
      <c r="H7514" t="s">
        <v>29389</v>
      </c>
      <c r="I7514" t="s">
        <v>10408</v>
      </c>
      <c r="J7514" t="s">
        <v>30752</v>
      </c>
      <c r="K7514" t="s">
        <v>38530</v>
      </c>
      <c r="M7514" t="s">
        <v>41349</v>
      </c>
      <c r="N7514" t="s">
        <v>42669</v>
      </c>
      <c r="O7514" t="s">
        <v>42670</v>
      </c>
      <c r="P7514">
        <v>0</v>
      </c>
      <c r="Q7514">
        <v>0</v>
      </c>
      <c r="R7514" t="s">
        <v>42678</v>
      </c>
      <c r="S7514" t="s">
        <v>42866</v>
      </c>
      <c r="T7514" t="s">
        <v>44375</v>
      </c>
      <c r="U7514" t="s">
        <v>50954</v>
      </c>
      <c r="W7514" t="s">
        <v>41349</v>
      </c>
      <c r="X7514" t="s">
        <v>42679</v>
      </c>
    </row>
    <row r="7515" spans="1:24">
      <c r="A7515">
        <f>HYPERLINK("https://www.philgeps.gov.ph/GEPSNONPILOT/Tender/SplashBidNoticeAbstractUI.aspx?menuIndex=3&amp;refID=7181960&amp;Result=3","7181960")</f>
        <v>0</v>
      </c>
      <c r="B7515" t="s">
        <v>1499</v>
      </c>
      <c r="C7515" t="s">
        <v>10710</v>
      </c>
      <c r="D7515" t="s">
        <v>17231</v>
      </c>
      <c r="E7515" t="s">
        <v>23745</v>
      </c>
      <c r="F7515" t="s">
        <v>29372</v>
      </c>
      <c r="G7515" t="s">
        <v>29380</v>
      </c>
      <c r="H7515" t="s">
        <v>11048</v>
      </c>
      <c r="I7515" t="s">
        <v>14920</v>
      </c>
      <c r="J7515" t="s">
        <v>34384</v>
      </c>
      <c r="K7515" t="s">
        <v>38496</v>
      </c>
      <c r="M7515" t="s">
        <v>40343</v>
      </c>
      <c r="N7515" t="s">
        <v>42669</v>
      </c>
      <c r="O7515" t="s">
        <v>42670</v>
      </c>
      <c r="P7515">
        <v>0</v>
      </c>
      <c r="Q7515">
        <v>0</v>
      </c>
      <c r="R7515" t="s">
        <v>42678</v>
      </c>
      <c r="S7515" t="s">
        <v>42866</v>
      </c>
      <c r="T7515" t="s">
        <v>44488</v>
      </c>
      <c r="U7515" t="s">
        <v>50955</v>
      </c>
      <c r="W7515" t="s">
        <v>40343</v>
      </c>
      <c r="X7515" t="s">
        <v>42679</v>
      </c>
    </row>
    <row r="7516" spans="1:24">
      <c r="A7516">
        <f>HYPERLINK("https://www.philgeps.gov.ph/GEPSNONPILOT/Tender/SplashBidNoticeAbstractUI.aspx?menuIndex=3&amp;refID=7181916&amp;Result=3","7181916")</f>
        <v>0</v>
      </c>
      <c r="B7516" t="s">
        <v>2404</v>
      </c>
      <c r="C7516" t="s">
        <v>10711</v>
      </c>
      <c r="D7516" t="s">
        <v>17170</v>
      </c>
      <c r="E7516" t="s">
        <v>19456</v>
      </c>
      <c r="F7516" t="s">
        <v>29372</v>
      </c>
      <c r="G7516" t="s">
        <v>29380</v>
      </c>
      <c r="H7516" t="s">
        <v>11048</v>
      </c>
      <c r="I7516" t="s">
        <v>29394</v>
      </c>
      <c r="J7516" t="s">
        <v>34385</v>
      </c>
      <c r="K7516" t="s">
        <v>38485</v>
      </c>
      <c r="M7516" t="s">
        <v>41350</v>
      </c>
      <c r="N7516" t="s">
        <v>42669</v>
      </c>
      <c r="O7516" t="s">
        <v>42670</v>
      </c>
      <c r="P7516">
        <v>0</v>
      </c>
      <c r="Q7516">
        <v>0</v>
      </c>
      <c r="R7516" t="s">
        <v>42678</v>
      </c>
      <c r="S7516" t="s">
        <v>42866</v>
      </c>
      <c r="T7516" t="s">
        <v>44519</v>
      </c>
      <c r="U7516" t="s">
        <v>50956</v>
      </c>
      <c r="W7516" t="s">
        <v>41350</v>
      </c>
      <c r="X7516" t="s">
        <v>42679</v>
      </c>
    </row>
    <row r="7517" spans="1:24">
      <c r="A7517">
        <f>HYPERLINK("https://www.philgeps.gov.ph/GEPSNONPILOT/Tender/SplashBidNoticeAbstractUI.aspx?menuIndex=3&amp;refID=7181920&amp;Result=3","7181920")</f>
        <v>0</v>
      </c>
      <c r="B7517" t="s">
        <v>76</v>
      </c>
      <c r="C7517" t="s">
        <v>10712</v>
      </c>
      <c r="D7517" t="s">
        <v>17168</v>
      </c>
      <c r="E7517" t="s">
        <v>23746</v>
      </c>
      <c r="F7517" t="s">
        <v>29372</v>
      </c>
      <c r="G7517" t="s">
        <v>29380</v>
      </c>
      <c r="H7517" t="s">
        <v>11048</v>
      </c>
      <c r="I7517" t="s">
        <v>4709</v>
      </c>
      <c r="J7517" t="s">
        <v>34386</v>
      </c>
      <c r="K7517" t="s">
        <v>38488</v>
      </c>
      <c r="M7517" t="s">
        <v>40879</v>
      </c>
      <c r="N7517" t="s">
        <v>42669</v>
      </c>
      <c r="O7517" t="s">
        <v>42670</v>
      </c>
      <c r="P7517">
        <v>0</v>
      </c>
      <c r="Q7517">
        <v>0</v>
      </c>
      <c r="R7517" t="s">
        <v>42678</v>
      </c>
      <c r="S7517" t="s">
        <v>42866</v>
      </c>
      <c r="T7517" t="s">
        <v>44373</v>
      </c>
      <c r="U7517" t="s">
        <v>50957</v>
      </c>
      <c r="W7517" t="s">
        <v>40879</v>
      </c>
      <c r="X7517" t="s">
        <v>42679</v>
      </c>
    </row>
    <row r="7518" spans="1:24">
      <c r="A7518">
        <f>HYPERLINK("https://www.philgeps.gov.ph/GEPSNONPILOT/Tender/SplashBidNoticeAbstractUI.aspx?menuIndex=3&amp;refID=7181915&amp;Result=3","7181915")</f>
        <v>0</v>
      </c>
      <c r="B7518" t="s">
        <v>1513</v>
      </c>
      <c r="C7518" t="s">
        <v>10713</v>
      </c>
      <c r="D7518" t="s">
        <v>17171</v>
      </c>
      <c r="E7518" t="s">
        <v>23747</v>
      </c>
      <c r="F7518" t="s">
        <v>29372</v>
      </c>
      <c r="G7518" t="s">
        <v>29380</v>
      </c>
      <c r="H7518" t="s">
        <v>11048</v>
      </c>
      <c r="I7518" t="s">
        <v>29432</v>
      </c>
      <c r="J7518" t="s">
        <v>32343</v>
      </c>
      <c r="K7518" t="s">
        <v>38490</v>
      </c>
      <c r="M7518" t="s">
        <v>40357</v>
      </c>
      <c r="N7518" t="s">
        <v>42669</v>
      </c>
      <c r="O7518" t="s">
        <v>42670</v>
      </c>
      <c r="P7518">
        <v>0</v>
      </c>
      <c r="Q7518">
        <v>1</v>
      </c>
      <c r="R7518" t="s">
        <v>42678</v>
      </c>
      <c r="S7518" t="s">
        <v>42866</v>
      </c>
      <c r="T7518" t="s">
        <v>44570</v>
      </c>
      <c r="U7518" t="s">
        <v>50958</v>
      </c>
      <c r="V7518" t="s">
        <v>56790</v>
      </c>
      <c r="W7518" t="s">
        <v>40357</v>
      </c>
      <c r="X7518" t="s">
        <v>42679</v>
      </c>
    </row>
    <row r="7519" spans="1:24">
      <c r="A7519">
        <f>HYPERLINK("https://www.philgeps.gov.ph/GEPSNONPILOT/Tender/SplashBidNoticeAbstractUI.aspx?menuIndex=3&amp;refID=7181907&amp;Result=3","7181907")</f>
        <v>0</v>
      </c>
      <c r="B7519" t="s">
        <v>278</v>
      </c>
      <c r="C7519" t="s">
        <v>10714</v>
      </c>
      <c r="D7519" t="s">
        <v>17206</v>
      </c>
      <c r="E7519" t="s">
        <v>23748</v>
      </c>
      <c r="F7519" t="s">
        <v>29372</v>
      </c>
      <c r="G7519" t="s">
        <v>29380</v>
      </c>
      <c r="H7519" t="s">
        <v>11048</v>
      </c>
      <c r="I7519" t="s">
        <v>29423</v>
      </c>
      <c r="J7519" t="s">
        <v>34387</v>
      </c>
      <c r="K7519" t="s">
        <v>38496</v>
      </c>
      <c r="M7519" t="s">
        <v>39138</v>
      </c>
      <c r="N7519" t="s">
        <v>42669</v>
      </c>
      <c r="O7519" t="s">
        <v>42670</v>
      </c>
      <c r="P7519">
        <v>0</v>
      </c>
      <c r="Q7519">
        <v>5</v>
      </c>
      <c r="R7519" t="s">
        <v>42678</v>
      </c>
      <c r="S7519" t="s">
        <v>42866</v>
      </c>
      <c r="T7519" t="s">
        <v>44664</v>
      </c>
      <c r="U7519" t="s">
        <v>50959</v>
      </c>
      <c r="W7519" t="s">
        <v>39138</v>
      </c>
      <c r="X7519" t="s">
        <v>42679</v>
      </c>
    </row>
    <row r="7520" spans="1:24">
      <c r="A7520">
        <f>HYPERLINK("https://www.philgeps.gov.ph/GEPSNONPILOT/Tender/SplashBidNoticeAbstractUI.aspx?menuIndex=3&amp;refID=7181903&amp;Result=3","7181903")</f>
        <v>0</v>
      </c>
      <c r="B7520" t="s">
        <v>2329</v>
      </c>
      <c r="C7520" t="s">
        <v>10715</v>
      </c>
      <c r="E7520" t="s">
        <v>23749</v>
      </c>
      <c r="F7520" t="s">
        <v>29372</v>
      </c>
      <c r="G7520" t="s">
        <v>29380</v>
      </c>
      <c r="H7520" t="s">
        <v>11048</v>
      </c>
      <c r="I7520" t="s">
        <v>29429</v>
      </c>
      <c r="J7520" t="s">
        <v>29604</v>
      </c>
      <c r="K7520" t="s">
        <v>38490</v>
      </c>
      <c r="M7520" t="s">
        <v>41300</v>
      </c>
      <c r="N7520" t="s">
        <v>42669</v>
      </c>
      <c r="O7520" t="s">
        <v>42670</v>
      </c>
      <c r="P7520">
        <v>0</v>
      </c>
      <c r="Q7520">
        <v>2</v>
      </c>
      <c r="R7520" t="s">
        <v>42678</v>
      </c>
      <c r="S7520" t="s">
        <v>42866</v>
      </c>
      <c r="T7520" t="s">
        <v>44375</v>
      </c>
      <c r="U7520" t="s">
        <v>50960</v>
      </c>
      <c r="W7520" t="s">
        <v>41300</v>
      </c>
      <c r="X7520" t="s">
        <v>42679</v>
      </c>
    </row>
    <row r="7521" spans="1:24">
      <c r="A7521">
        <f>HYPERLINK("https://www.philgeps.gov.ph/GEPSNONPILOT/Tender/SplashBidNoticeAbstractUI.aspx?menuIndex=3&amp;refID=7181863&amp;Result=3","7181863")</f>
        <v>0</v>
      </c>
      <c r="B7521" t="s">
        <v>1818</v>
      </c>
      <c r="C7521" t="s">
        <v>10716</v>
      </c>
      <c r="D7521" t="s">
        <v>17163</v>
      </c>
      <c r="E7521" t="s">
        <v>23750</v>
      </c>
      <c r="F7521" t="s">
        <v>29372</v>
      </c>
      <c r="G7521" t="s">
        <v>29380</v>
      </c>
      <c r="H7521" t="s">
        <v>29389</v>
      </c>
      <c r="I7521" t="s">
        <v>10408</v>
      </c>
      <c r="J7521" t="s">
        <v>34388</v>
      </c>
      <c r="K7521" t="s">
        <v>38526</v>
      </c>
      <c r="M7521" t="s">
        <v>40689</v>
      </c>
      <c r="N7521" t="s">
        <v>42669</v>
      </c>
      <c r="O7521" t="s">
        <v>42670</v>
      </c>
      <c r="P7521">
        <v>0</v>
      </c>
      <c r="Q7521">
        <v>8</v>
      </c>
      <c r="R7521" t="s">
        <v>42678</v>
      </c>
      <c r="S7521" t="s">
        <v>42866</v>
      </c>
      <c r="T7521" t="s">
        <v>44517</v>
      </c>
      <c r="U7521" t="s">
        <v>50961</v>
      </c>
      <c r="W7521" t="s">
        <v>40689</v>
      </c>
      <c r="X7521" t="s">
        <v>42679</v>
      </c>
    </row>
    <row r="7522" spans="1:24">
      <c r="A7522">
        <f>HYPERLINK("https://www.philgeps.gov.ph/GEPSNONPILOT/Tender/SplashBidNoticeAbstractUI.aspx?menuIndex=3&amp;refID=7181950&amp;Result=3","7181950")</f>
        <v>0</v>
      </c>
      <c r="B7522" t="s">
        <v>579</v>
      </c>
      <c r="C7522" t="s">
        <v>10717</v>
      </c>
      <c r="D7522" t="s">
        <v>17141</v>
      </c>
      <c r="E7522" t="s">
        <v>23751</v>
      </c>
      <c r="F7522" t="s">
        <v>29373</v>
      </c>
      <c r="G7522" t="s">
        <v>29380</v>
      </c>
      <c r="H7522" t="s">
        <v>11048</v>
      </c>
      <c r="I7522" t="s">
        <v>4487</v>
      </c>
      <c r="J7522" t="s">
        <v>34389</v>
      </c>
      <c r="K7522" t="s">
        <v>38485</v>
      </c>
      <c r="M7522" t="s">
        <v>39348</v>
      </c>
      <c r="N7522" t="s">
        <v>42669</v>
      </c>
      <c r="O7522" t="s">
        <v>42670</v>
      </c>
      <c r="P7522">
        <v>0</v>
      </c>
      <c r="Q7522">
        <v>0</v>
      </c>
      <c r="R7522" t="s">
        <v>42678</v>
      </c>
      <c r="S7522" t="s">
        <v>42866</v>
      </c>
      <c r="T7522" t="s">
        <v>44412</v>
      </c>
      <c r="U7522" t="s">
        <v>50962</v>
      </c>
      <c r="V7522" t="s">
        <v>56504</v>
      </c>
      <c r="W7522" t="s">
        <v>39348</v>
      </c>
      <c r="X7522" t="s">
        <v>42679</v>
      </c>
    </row>
    <row r="7523" spans="1:24">
      <c r="A7523">
        <f>HYPERLINK("https://www.philgeps.gov.ph/GEPSNONPILOT/Tender/SplashBidNoticeAbstractUI.aspx?menuIndex=3&amp;refID=7181937&amp;Result=3","7181937")</f>
        <v>0</v>
      </c>
      <c r="B7523" t="s">
        <v>662</v>
      </c>
      <c r="C7523" t="s">
        <v>10718</v>
      </c>
      <c r="D7523" t="s">
        <v>17211</v>
      </c>
      <c r="E7523" t="s">
        <v>23752</v>
      </c>
      <c r="F7523" t="s">
        <v>29372</v>
      </c>
      <c r="G7523" t="s">
        <v>29380</v>
      </c>
      <c r="H7523" t="s">
        <v>11048</v>
      </c>
      <c r="I7523" t="s">
        <v>29405</v>
      </c>
      <c r="J7523" t="s">
        <v>34024</v>
      </c>
      <c r="K7523" t="s">
        <v>38496</v>
      </c>
      <c r="M7523" t="s">
        <v>39438</v>
      </c>
      <c r="N7523" t="s">
        <v>42669</v>
      </c>
      <c r="O7523" t="s">
        <v>42670</v>
      </c>
      <c r="P7523">
        <v>0</v>
      </c>
      <c r="Q7523">
        <v>1</v>
      </c>
      <c r="R7523" t="s">
        <v>42678</v>
      </c>
      <c r="S7523" t="s">
        <v>42866</v>
      </c>
      <c r="T7523" t="s">
        <v>44401</v>
      </c>
      <c r="U7523" t="s">
        <v>50963</v>
      </c>
      <c r="W7523" t="s">
        <v>39438</v>
      </c>
      <c r="X7523" t="s">
        <v>42679</v>
      </c>
    </row>
    <row r="7524" spans="1:24">
      <c r="A7524">
        <f>HYPERLINK("https://www.philgeps.gov.ph/GEPSNONPILOT/Tender/SplashBidNoticeAbstractUI.aspx?menuIndex=3&amp;refID=7181857&amp;Result=3","7181857")</f>
        <v>0</v>
      </c>
      <c r="B7524" t="s">
        <v>2395</v>
      </c>
      <c r="C7524" t="s">
        <v>10719</v>
      </c>
      <c r="D7524" t="s">
        <v>17201</v>
      </c>
      <c r="E7524" t="s">
        <v>23753</v>
      </c>
      <c r="F7524" t="s">
        <v>29372</v>
      </c>
      <c r="G7524" t="s">
        <v>29380</v>
      </c>
      <c r="H7524" t="s">
        <v>29389</v>
      </c>
      <c r="I7524" t="s">
        <v>10408</v>
      </c>
      <c r="J7524" t="s">
        <v>34364</v>
      </c>
      <c r="K7524" t="s">
        <v>38564</v>
      </c>
      <c r="M7524" t="s">
        <v>41340</v>
      </c>
      <c r="N7524" t="s">
        <v>42669</v>
      </c>
      <c r="O7524" t="s">
        <v>42670</v>
      </c>
      <c r="P7524">
        <v>0</v>
      </c>
      <c r="Q7524">
        <v>0</v>
      </c>
      <c r="R7524" t="s">
        <v>42678</v>
      </c>
      <c r="S7524" t="s">
        <v>42866</v>
      </c>
      <c r="T7524" t="s">
        <v>44517</v>
      </c>
      <c r="U7524" t="s">
        <v>50964</v>
      </c>
      <c r="W7524" t="s">
        <v>41340</v>
      </c>
      <c r="X7524" t="s">
        <v>42679</v>
      </c>
    </row>
    <row r="7525" spans="1:24">
      <c r="A7525">
        <f>HYPERLINK("https://www.philgeps.gov.ph/GEPSNONPILOT/Tender/SplashBidNoticeAbstractUI.aspx?menuIndex=3&amp;refID=7181860&amp;Result=3","7181860")</f>
        <v>0</v>
      </c>
      <c r="B7525" t="s">
        <v>771</v>
      </c>
      <c r="C7525" t="s">
        <v>9311</v>
      </c>
      <c r="D7525" t="s">
        <v>17141</v>
      </c>
      <c r="E7525" t="s">
        <v>23754</v>
      </c>
      <c r="F7525" t="s">
        <v>29372</v>
      </c>
      <c r="G7525" t="s">
        <v>29379</v>
      </c>
      <c r="H7525" t="s">
        <v>11048</v>
      </c>
      <c r="I7525" t="s">
        <v>5383</v>
      </c>
      <c r="J7525" t="s">
        <v>34390</v>
      </c>
      <c r="K7525" t="s">
        <v>38488</v>
      </c>
      <c r="M7525" t="s">
        <v>39555</v>
      </c>
      <c r="N7525" t="s">
        <v>42669</v>
      </c>
      <c r="O7525" t="s">
        <v>42670</v>
      </c>
      <c r="P7525">
        <v>0</v>
      </c>
      <c r="Q7525">
        <v>18</v>
      </c>
      <c r="R7525" t="s">
        <v>42678</v>
      </c>
      <c r="S7525" t="s">
        <v>42866</v>
      </c>
      <c r="T7525" t="s">
        <v>44382</v>
      </c>
      <c r="U7525" t="s">
        <v>46440</v>
      </c>
      <c r="W7525" t="s">
        <v>39555</v>
      </c>
      <c r="X7525" t="s">
        <v>42679</v>
      </c>
    </row>
    <row r="7526" spans="1:24">
      <c r="A7526">
        <f>HYPERLINK("https://www.philgeps.gov.ph/GEPSNONPILOT/Tender/SplashBidNoticeAbstractUI.aspx?menuIndex=3&amp;refID=7181851&amp;Result=3","7181851")</f>
        <v>0</v>
      </c>
      <c r="B7526" t="s">
        <v>1726</v>
      </c>
      <c r="C7526" t="s">
        <v>10720</v>
      </c>
      <c r="D7526" t="s">
        <v>17202</v>
      </c>
      <c r="E7526" t="s">
        <v>23755</v>
      </c>
      <c r="F7526" t="s">
        <v>29372</v>
      </c>
      <c r="G7526" t="s">
        <v>29380</v>
      </c>
      <c r="H7526" t="s">
        <v>11048</v>
      </c>
      <c r="I7526" t="s">
        <v>29413</v>
      </c>
      <c r="J7526" t="s">
        <v>34391</v>
      </c>
      <c r="K7526" t="s">
        <v>38489</v>
      </c>
      <c r="M7526" t="s">
        <v>40590</v>
      </c>
      <c r="N7526" t="s">
        <v>42669</v>
      </c>
      <c r="O7526" t="s">
        <v>42670</v>
      </c>
      <c r="P7526">
        <v>0</v>
      </c>
      <c r="Q7526">
        <v>1</v>
      </c>
      <c r="R7526" t="s">
        <v>42678</v>
      </c>
      <c r="S7526" t="s">
        <v>42866</v>
      </c>
      <c r="T7526" t="s">
        <v>44481</v>
      </c>
      <c r="U7526" t="s">
        <v>50965</v>
      </c>
      <c r="V7526" t="s">
        <v>56902</v>
      </c>
      <c r="W7526" t="s">
        <v>40590</v>
      </c>
      <c r="X7526" t="s">
        <v>42679</v>
      </c>
    </row>
    <row r="7527" spans="1:24">
      <c r="A7527">
        <f>HYPERLINK("https://www.philgeps.gov.ph/GEPSNONPILOT/Tender/SplashBidNoticeAbstractUI.aspx?menuIndex=3&amp;refID=7181859&amp;Result=3","7181859")</f>
        <v>0</v>
      </c>
      <c r="B7527" t="s">
        <v>2397</v>
      </c>
      <c r="C7527" t="s">
        <v>10721</v>
      </c>
      <c r="D7527" t="s">
        <v>17163</v>
      </c>
      <c r="E7527" t="s">
        <v>23756</v>
      </c>
      <c r="F7527" t="s">
        <v>29372</v>
      </c>
      <c r="G7527" t="s">
        <v>29380</v>
      </c>
      <c r="H7527" t="s">
        <v>11048</v>
      </c>
      <c r="I7527" t="s">
        <v>3695</v>
      </c>
      <c r="J7527" t="s">
        <v>30056</v>
      </c>
      <c r="K7527" t="s">
        <v>38485</v>
      </c>
      <c r="M7527" t="s">
        <v>41343</v>
      </c>
      <c r="N7527" t="s">
        <v>42669</v>
      </c>
      <c r="O7527" t="s">
        <v>42670</v>
      </c>
      <c r="P7527">
        <v>0</v>
      </c>
      <c r="Q7527">
        <v>14</v>
      </c>
      <c r="R7527" t="s">
        <v>42678</v>
      </c>
      <c r="S7527" t="s">
        <v>42866</v>
      </c>
      <c r="T7527" t="s">
        <v>44488</v>
      </c>
      <c r="U7527" t="s">
        <v>50966</v>
      </c>
      <c r="W7527" t="s">
        <v>41343</v>
      </c>
      <c r="X7527" t="s">
        <v>42679</v>
      </c>
    </row>
    <row r="7528" spans="1:24">
      <c r="A7528">
        <f>HYPERLINK("https://www.philgeps.gov.ph/GEPSNONPILOT/Tender/SplashBidNoticeAbstractUI.aspx?menuIndex=3&amp;refID=7181902&amp;Result=3","7181902")</f>
        <v>0</v>
      </c>
      <c r="B7528" t="s">
        <v>1971</v>
      </c>
      <c r="C7528" t="s">
        <v>10722</v>
      </c>
      <c r="D7528" t="s">
        <v>17199</v>
      </c>
      <c r="E7528" t="s">
        <v>23757</v>
      </c>
      <c r="F7528" t="s">
        <v>29372</v>
      </c>
      <c r="G7528" t="s">
        <v>29380</v>
      </c>
      <c r="H7528" t="s">
        <v>11048</v>
      </c>
      <c r="I7528" t="s">
        <v>8614</v>
      </c>
      <c r="J7528" t="s">
        <v>30169</v>
      </c>
      <c r="K7528" t="s">
        <v>38488</v>
      </c>
      <c r="M7528" t="s">
        <v>40858</v>
      </c>
      <c r="N7528" t="s">
        <v>42669</v>
      </c>
      <c r="O7528" t="s">
        <v>42670</v>
      </c>
      <c r="P7528">
        <v>0</v>
      </c>
      <c r="Q7528">
        <v>3</v>
      </c>
      <c r="R7528" t="s">
        <v>42678</v>
      </c>
      <c r="S7528" t="s">
        <v>42866</v>
      </c>
      <c r="T7528" t="s">
        <v>44548</v>
      </c>
      <c r="U7528" t="s">
        <v>50967</v>
      </c>
      <c r="W7528" t="s">
        <v>40858</v>
      </c>
      <c r="X7528" t="s">
        <v>42679</v>
      </c>
    </row>
    <row r="7529" spans="1:24">
      <c r="A7529">
        <f>HYPERLINK("https://www.philgeps.gov.ph/GEPSNONPILOT/Tender/SplashBidNoticeAbstractUI.aspx?menuIndex=3&amp;refID=7182013&amp;Result=3","7182013")</f>
        <v>0</v>
      </c>
      <c r="B7529" t="s">
        <v>684</v>
      </c>
      <c r="C7529" t="s">
        <v>10723</v>
      </c>
      <c r="D7529" t="s">
        <v>17188</v>
      </c>
      <c r="E7529" t="s">
        <v>23758</v>
      </c>
      <c r="F7529" t="s">
        <v>29376</v>
      </c>
      <c r="G7529" t="s">
        <v>29386</v>
      </c>
      <c r="H7529" t="s">
        <v>29391</v>
      </c>
      <c r="I7529" t="s">
        <v>29391</v>
      </c>
      <c r="J7529" t="s">
        <v>34166</v>
      </c>
      <c r="K7529" t="s">
        <v>38522</v>
      </c>
      <c r="M7529" t="s">
        <v>39779</v>
      </c>
      <c r="N7529" t="s">
        <v>42669</v>
      </c>
      <c r="O7529" t="s">
        <v>42670</v>
      </c>
      <c r="P7529">
        <v>0</v>
      </c>
      <c r="Q7529">
        <v>2</v>
      </c>
      <c r="R7529" t="s">
        <v>42678</v>
      </c>
      <c r="S7529" t="s">
        <v>42866</v>
      </c>
      <c r="T7529" t="s">
        <v>44488</v>
      </c>
      <c r="U7529" t="s">
        <v>50968</v>
      </c>
      <c r="V7529" t="s">
        <v>45789</v>
      </c>
      <c r="W7529" t="s">
        <v>39779</v>
      </c>
      <c r="X7529" t="s">
        <v>42679</v>
      </c>
    </row>
    <row r="7530" spans="1:24">
      <c r="A7530">
        <f>HYPERLINK("https://www.philgeps.gov.ph/GEPSNONPILOT/Tender/SplashBidNoticeAbstractUI.aspx?menuIndex=3&amp;refID=7181906&amp;Result=3","7181906")</f>
        <v>0</v>
      </c>
      <c r="B7530" t="s">
        <v>2397</v>
      </c>
      <c r="C7530" t="s">
        <v>10724</v>
      </c>
      <c r="D7530" t="s">
        <v>17163</v>
      </c>
      <c r="E7530" t="s">
        <v>23759</v>
      </c>
      <c r="F7530" t="s">
        <v>29372</v>
      </c>
      <c r="G7530" t="s">
        <v>29380</v>
      </c>
      <c r="H7530" t="s">
        <v>29389</v>
      </c>
      <c r="I7530" t="s">
        <v>4709</v>
      </c>
      <c r="J7530" t="s">
        <v>34392</v>
      </c>
      <c r="K7530" t="s">
        <v>38485</v>
      </c>
      <c r="M7530" t="s">
        <v>41343</v>
      </c>
      <c r="N7530" t="s">
        <v>42669</v>
      </c>
      <c r="O7530" t="s">
        <v>42670</v>
      </c>
      <c r="P7530">
        <v>0</v>
      </c>
      <c r="Q7530">
        <v>3</v>
      </c>
      <c r="R7530" t="s">
        <v>42678</v>
      </c>
      <c r="S7530" t="s">
        <v>42866</v>
      </c>
      <c r="T7530" t="s">
        <v>44488</v>
      </c>
      <c r="U7530" t="s">
        <v>50969</v>
      </c>
      <c r="W7530" t="s">
        <v>41343</v>
      </c>
      <c r="X7530" t="s">
        <v>42679</v>
      </c>
    </row>
    <row r="7531" spans="1:24">
      <c r="A7531">
        <f>HYPERLINK("https://www.philgeps.gov.ph/GEPSNONPILOT/Tender/SplashBidNoticeAbstractUI.aspx?menuIndex=3&amp;refID=7182010&amp;Result=3","7182010")</f>
        <v>0</v>
      </c>
      <c r="B7531" t="s">
        <v>982</v>
      </c>
      <c r="C7531" t="s">
        <v>10725</v>
      </c>
      <c r="D7531" t="s">
        <v>17166</v>
      </c>
      <c r="E7531" t="s">
        <v>23760</v>
      </c>
      <c r="F7531" t="s">
        <v>29372</v>
      </c>
      <c r="G7531" t="s">
        <v>29380</v>
      </c>
      <c r="H7531" t="s">
        <v>29389</v>
      </c>
      <c r="I7531" t="s">
        <v>10408</v>
      </c>
      <c r="J7531" t="s">
        <v>34393</v>
      </c>
      <c r="K7531" t="s">
        <v>38564</v>
      </c>
      <c r="M7531" t="s">
        <v>39780</v>
      </c>
      <c r="N7531" t="s">
        <v>42669</v>
      </c>
      <c r="O7531" t="s">
        <v>42670</v>
      </c>
      <c r="P7531">
        <v>0</v>
      </c>
      <c r="Q7531">
        <v>0</v>
      </c>
      <c r="R7531" t="s">
        <v>42678</v>
      </c>
      <c r="S7531" t="s">
        <v>42866</v>
      </c>
      <c r="T7531" t="s">
        <v>44355</v>
      </c>
      <c r="U7531" t="s">
        <v>50970</v>
      </c>
      <c r="W7531" t="s">
        <v>58030</v>
      </c>
      <c r="X7531" t="s">
        <v>42679</v>
      </c>
    </row>
    <row r="7532" spans="1:24">
      <c r="A7532">
        <f>HYPERLINK("https://www.philgeps.gov.ph/GEPSNONPILOT/Tender/SplashBidNoticeAbstractUI.aspx?menuIndex=3&amp;refID=7181999&amp;Result=3","7181999")</f>
        <v>0</v>
      </c>
      <c r="B7532" t="s">
        <v>883</v>
      </c>
      <c r="C7532" t="s">
        <v>10726</v>
      </c>
      <c r="D7532" t="s">
        <v>17161</v>
      </c>
      <c r="E7532" t="s">
        <v>23761</v>
      </c>
      <c r="F7532" t="s">
        <v>29372</v>
      </c>
      <c r="G7532" t="s">
        <v>29383</v>
      </c>
      <c r="H7532" t="s">
        <v>11048</v>
      </c>
      <c r="I7532" t="s">
        <v>29432</v>
      </c>
      <c r="J7532" t="s">
        <v>34394</v>
      </c>
      <c r="K7532" t="s">
        <v>38491</v>
      </c>
      <c r="M7532" t="s">
        <v>39675</v>
      </c>
      <c r="N7532" t="s">
        <v>42669</v>
      </c>
      <c r="O7532" t="s">
        <v>42670</v>
      </c>
      <c r="P7532">
        <v>0</v>
      </c>
      <c r="Q7532">
        <v>0</v>
      </c>
      <c r="R7532" t="s">
        <v>42678</v>
      </c>
      <c r="S7532" t="s">
        <v>42866</v>
      </c>
      <c r="T7532" t="s">
        <v>44488</v>
      </c>
      <c r="U7532" t="s">
        <v>50971</v>
      </c>
      <c r="W7532" t="s">
        <v>39675</v>
      </c>
      <c r="X7532" t="s">
        <v>42679</v>
      </c>
    </row>
    <row r="7533" spans="1:24">
      <c r="A7533">
        <f>HYPERLINK("https://www.philgeps.gov.ph/GEPSNONPILOT/Tender/SplashBidNoticeAbstractUI.aspx?menuIndex=3&amp;refID=7182011&amp;Result=3","7182011")</f>
        <v>0</v>
      </c>
      <c r="B7533" t="s">
        <v>1513</v>
      </c>
      <c r="C7533" t="s">
        <v>10727</v>
      </c>
      <c r="D7533" t="s">
        <v>17171</v>
      </c>
      <c r="E7533" t="s">
        <v>23762</v>
      </c>
      <c r="F7533" t="s">
        <v>29372</v>
      </c>
      <c r="G7533" t="s">
        <v>29380</v>
      </c>
      <c r="H7533" t="s">
        <v>11048</v>
      </c>
      <c r="I7533" t="s">
        <v>29418</v>
      </c>
      <c r="J7533" t="s">
        <v>34395</v>
      </c>
      <c r="K7533" t="s">
        <v>38490</v>
      </c>
      <c r="M7533" t="s">
        <v>40357</v>
      </c>
      <c r="N7533" t="s">
        <v>42669</v>
      </c>
      <c r="O7533" t="s">
        <v>42670</v>
      </c>
      <c r="P7533">
        <v>0</v>
      </c>
      <c r="Q7533">
        <v>1</v>
      </c>
      <c r="R7533" t="s">
        <v>42678</v>
      </c>
      <c r="S7533" t="s">
        <v>42866</v>
      </c>
      <c r="T7533" t="s">
        <v>44570</v>
      </c>
      <c r="U7533" t="s">
        <v>50972</v>
      </c>
      <c r="V7533" t="s">
        <v>56790</v>
      </c>
      <c r="W7533" t="s">
        <v>40357</v>
      </c>
      <c r="X7533" t="s">
        <v>42679</v>
      </c>
    </row>
    <row r="7534" spans="1:24">
      <c r="A7534">
        <f>HYPERLINK("https://www.philgeps.gov.ph/GEPSNONPILOT/Tender/SplashBidNoticeAbstractUI.aspx?menuIndex=3&amp;refID=7181995&amp;Result=3","7181995")</f>
        <v>0</v>
      </c>
      <c r="B7534" t="s">
        <v>1919</v>
      </c>
      <c r="C7534" t="s">
        <v>10728</v>
      </c>
      <c r="D7534" t="s">
        <v>17194</v>
      </c>
      <c r="E7534" t="s">
        <v>23763</v>
      </c>
      <c r="F7534" t="s">
        <v>29372</v>
      </c>
      <c r="G7534" t="s">
        <v>29380</v>
      </c>
      <c r="H7534" t="s">
        <v>11048</v>
      </c>
      <c r="I7534" t="s">
        <v>4486</v>
      </c>
      <c r="J7534" t="s">
        <v>34396</v>
      </c>
      <c r="K7534" t="s">
        <v>38485</v>
      </c>
      <c r="M7534" t="s">
        <v>40820</v>
      </c>
      <c r="N7534" t="s">
        <v>42669</v>
      </c>
      <c r="O7534" t="s">
        <v>42670</v>
      </c>
      <c r="P7534">
        <v>0</v>
      </c>
      <c r="Q7534">
        <v>3</v>
      </c>
      <c r="R7534" t="s">
        <v>42678</v>
      </c>
      <c r="S7534" t="s">
        <v>42866</v>
      </c>
      <c r="T7534" t="s">
        <v>44446</v>
      </c>
      <c r="U7534" t="s">
        <v>49323</v>
      </c>
      <c r="V7534" t="s">
        <v>56972</v>
      </c>
      <c r="W7534" t="s">
        <v>40820</v>
      </c>
      <c r="X7534" t="s">
        <v>42679</v>
      </c>
    </row>
    <row r="7535" spans="1:24">
      <c r="A7535">
        <f>HYPERLINK("https://www.philgeps.gov.ph/GEPSNONPILOT/Tender/SplashBidNoticeAbstractUI.aspx?menuIndex=3&amp;refID=7181994&amp;Result=3","7181994")</f>
        <v>0</v>
      </c>
      <c r="B7535" t="s">
        <v>1499</v>
      </c>
      <c r="C7535" t="s">
        <v>10729</v>
      </c>
      <c r="D7535" t="s">
        <v>17231</v>
      </c>
      <c r="E7535" t="s">
        <v>23764</v>
      </c>
      <c r="F7535" t="s">
        <v>29372</v>
      </c>
      <c r="G7535" t="s">
        <v>29380</v>
      </c>
      <c r="H7535" t="s">
        <v>11048</v>
      </c>
      <c r="I7535" t="s">
        <v>3670</v>
      </c>
      <c r="J7535" t="s">
        <v>34397</v>
      </c>
      <c r="K7535" t="s">
        <v>38496</v>
      </c>
      <c r="M7535" t="s">
        <v>40343</v>
      </c>
      <c r="N7535" t="s">
        <v>42669</v>
      </c>
      <c r="O7535" t="s">
        <v>42670</v>
      </c>
      <c r="P7535">
        <v>0</v>
      </c>
      <c r="Q7535">
        <v>0</v>
      </c>
      <c r="R7535" t="s">
        <v>42678</v>
      </c>
      <c r="S7535" t="s">
        <v>42866</v>
      </c>
      <c r="T7535" t="s">
        <v>44488</v>
      </c>
      <c r="U7535" t="s">
        <v>50973</v>
      </c>
      <c r="W7535" t="s">
        <v>40343</v>
      </c>
      <c r="X7535" t="s">
        <v>42679</v>
      </c>
    </row>
    <row r="7536" spans="1:24">
      <c r="A7536">
        <f>HYPERLINK("https://www.philgeps.gov.ph/GEPSNONPILOT/Tender/SplashBidNoticeAbstractUI.aspx?menuIndex=3&amp;refID=7181998&amp;Result=3","7181998")</f>
        <v>0</v>
      </c>
      <c r="B7536" t="s">
        <v>240</v>
      </c>
      <c r="C7536" t="s">
        <v>10730</v>
      </c>
      <c r="D7536" t="s">
        <v>17185</v>
      </c>
      <c r="E7536" t="s">
        <v>23765</v>
      </c>
      <c r="F7536" t="s">
        <v>29372</v>
      </c>
      <c r="G7536" t="s">
        <v>29379</v>
      </c>
      <c r="H7536" t="s">
        <v>11048</v>
      </c>
      <c r="I7536" t="s">
        <v>3839</v>
      </c>
      <c r="J7536" t="s">
        <v>34398</v>
      </c>
      <c r="K7536" t="s">
        <v>38490</v>
      </c>
      <c r="M7536" t="s">
        <v>38999</v>
      </c>
      <c r="N7536" t="s">
        <v>42669</v>
      </c>
      <c r="O7536" t="s">
        <v>42670</v>
      </c>
      <c r="P7536">
        <v>0</v>
      </c>
      <c r="Q7536">
        <v>0</v>
      </c>
      <c r="R7536" t="s">
        <v>42678</v>
      </c>
      <c r="S7536" t="s">
        <v>42866</v>
      </c>
      <c r="T7536" t="s">
        <v>44481</v>
      </c>
      <c r="U7536" t="s">
        <v>50974</v>
      </c>
      <c r="W7536" t="s">
        <v>38999</v>
      </c>
      <c r="X7536" t="s">
        <v>42679</v>
      </c>
    </row>
    <row r="7537" spans="1:24">
      <c r="A7537">
        <f>HYPERLINK("https://www.philgeps.gov.ph/GEPSNONPILOT/Tender/SplashBidNoticeAbstractUI.aspx?menuIndex=3&amp;refID=7181996&amp;Result=3","7181996")</f>
        <v>0</v>
      </c>
      <c r="B7537" t="s">
        <v>2376</v>
      </c>
      <c r="C7537" t="s">
        <v>10731</v>
      </c>
      <c r="D7537" t="s">
        <v>17164</v>
      </c>
      <c r="E7537" t="s">
        <v>10731</v>
      </c>
      <c r="F7537" t="s">
        <v>29372</v>
      </c>
      <c r="G7537" t="s">
        <v>29380</v>
      </c>
      <c r="H7537" t="s">
        <v>29389</v>
      </c>
      <c r="I7537" t="s">
        <v>10408</v>
      </c>
      <c r="J7537" t="s">
        <v>34399</v>
      </c>
      <c r="K7537" t="s">
        <v>38563</v>
      </c>
      <c r="M7537" t="s">
        <v>41318</v>
      </c>
      <c r="N7537" t="s">
        <v>42669</v>
      </c>
      <c r="O7537" t="s">
        <v>42670</v>
      </c>
      <c r="P7537">
        <v>0</v>
      </c>
      <c r="Q7537">
        <v>7</v>
      </c>
      <c r="R7537" t="s">
        <v>42678</v>
      </c>
      <c r="S7537" t="s">
        <v>42866</v>
      </c>
      <c r="T7537" t="s">
        <v>44517</v>
      </c>
      <c r="U7537" t="s">
        <v>50975</v>
      </c>
      <c r="W7537" t="s">
        <v>41318</v>
      </c>
      <c r="X7537" t="s">
        <v>42679</v>
      </c>
    </row>
    <row r="7538" spans="1:24">
      <c r="A7538">
        <f>HYPERLINK("https://www.philgeps.gov.ph/GEPSNONPILOT/Tender/SplashBidNoticeAbstractUI.aspx?menuIndex=3&amp;refID=7181991&amp;Result=3","7181991")</f>
        <v>0</v>
      </c>
      <c r="B7538" t="s">
        <v>2405</v>
      </c>
      <c r="C7538" t="s">
        <v>10732</v>
      </c>
      <c r="D7538" t="s">
        <v>17166</v>
      </c>
      <c r="E7538" t="s">
        <v>23766</v>
      </c>
      <c r="F7538" t="s">
        <v>29372</v>
      </c>
      <c r="G7538" t="s">
        <v>29380</v>
      </c>
      <c r="H7538" t="s">
        <v>29390</v>
      </c>
      <c r="I7538" t="s">
        <v>8614</v>
      </c>
      <c r="J7538" t="s">
        <v>30412</v>
      </c>
      <c r="K7538" t="s">
        <v>38485</v>
      </c>
      <c r="M7538" t="s">
        <v>41351</v>
      </c>
      <c r="N7538" t="s">
        <v>42669</v>
      </c>
      <c r="O7538" t="s">
        <v>42670</v>
      </c>
      <c r="P7538">
        <v>0</v>
      </c>
      <c r="Q7538">
        <v>2</v>
      </c>
      <c r="R7538" t="s">
        <v>42678</v>
      </c>
      <c r="S7538" t="s">
        <v>42866</v>
      </c>
      <c r="T7538" t="s">
        <v>44401</v>
      </c>
      <c r="U7538" t="s">
        <v>50976</v>
      </c>
      <c r="W7538" t="s">
        <v>41351</v>
      </c>
      <c r="X7538" t="s">
        <v>42679</v>
      </c>
    </row>
    <row r="7539" spans="1:24">
      <c r="A7539">
        <f>HYPERLINK("https://www.philgeps.gov.ph/GEPSNONPILOT/Tender/SplashBidNoticeAbstractUI.aspx?menuIndex=3&amp;refID=7182062&amp;Result=3","7182062")</f>
        <v>0</v>
      </c>
      <c r="B7539" t="s">
        <v>820</v>
      </c>
      <c r="C7539" t="s">
        <v>10733</v>
      </c>
      <c r="D7539" t="s">
        <v>17165</v>
      </c>
      <c r="E7539" t="s">
        <v>23767</v>
      </c>
      <c r="F7539" t="s">
        <v>29372</v>
      </c>
      <c r="G7539" t="s">
        <v>29379</v>
      </c>
      <c r="H7539" t="s">
        <v>11048</v>
      </c>
      <c r="I7539" t="s">
        <v>29403</v>
      </c>
      <c r="J7539" t="s">
        <v>34400</v>
      </c>
      <c r="K7539" t="s">
        <v>38488</v>
      </c>
      <c r="M7539" t="s">
        <v>39606</v>
      </c>
      <c r="N7539" t="s">
        <v>42669</v>
      </c>
      <c r="O7539" t="s">
        <v>42670</v>
      </c>
      <c r="P7539">
        <v>0</v>
      </c>
      <c r="Q7539">
        <v>1</v>
      </c>
      <c r="R7539" t="s">
        <v>42678</v>
      </c>
      <c r="S7539" t="s">
        <v>42866</v>
      </c>
      <c r="T7539" t="s">
        <v>44491</v>
      </c>
      <c r="U7539" t="s">
        <v>50977</v>
      </c>
      <c r="W7539" t="s">
        <v>39606</v>
      </c>
      <c r="X7539" t="s">
        <v>42679</v>
      </c>
    </row>
    <row r="7540" spans="1:24">
      <c r="A7540">
        <f>HYPERLINK("https://www.philgeps.gov.ph/GEPSNONPILOT/Tender/SplashBidNoticeAbstractUI.aspx?menuIndex=3&amp;refID=7182063&amp;Result=3","7182063")</f>
        <v>0</v>
      </c>
      <c r="B7540" t="s">
        <v>936</v>
      </c>
      <c r="C7540" t="s">
        <v>10734</v>
      </c>
      <c r="D7540" t="s">
        <v>17186</v>
      </c>
      <c r="E7540" t="s">
        <v>23768</v>
      </c>
      <c r="F7540" t="s">
        <v>29372</v>
      </c>
      <c r="G7540" t="s">
        <v>29380</v>
      </c>
      <c r="H7540" t="s">
        <v>29389</v>
      </c>
      <c r="I7540" t="s">
        <v>10408</v>
      </c>
      <c r="J7540" t="s">
        <v>34401</v>
      </c>
      <c r="K7540" t="s">
        <v>38587</v>
      </c>
      <c r="M7540" t="s">
        <v>39731</v>
      </c>
      <c r="N7540" t="s">
        <v>42669</v>
      </c>
      <c r="O7540" t="s">
        <v>42670</v>
      </c>
      <c r="P7540">
        <v>0</v>
      </c>
      <c r="Q7540">
        <v>2</v>
      </c>
      <c r="R7540" t="s">
        <v>42678</v>
      </c>
      <c r="S7540" t="s">
        <v>42866</v>
      </c>
      <c r="T7540" t="s">
        <v>44368</v>
      </c>
      <c r="U7540" t="s">
        <v>50978</v>
      </c>
      <c r="W7540" t="s">
        <v>39731</v>
      </c>
      <c r="X7540" t="s">
        <v>42679</v>
      </c>
    </row>
    <row r="7541" spans="1:24">
      <c r="A7541">
        <f>HYPERLINK("https://www.philgeps.gov.ph/GEPSNONPILOT/Tender/SplashBidNoticeAbstractUI.aspx?menuIndex=3&amp;refID=7181905&amp;Result=3","7181905")</f>
        <v>0</v>
      </c>
      <c r="B7541" t="s">
        <v>2406</v>
      </c>
      <c r="C7541" t="s">
        <v>10735</v>
      </c>
      <c r="D7541" t="s">
        <v>17208</v>
      </c>
      <c r="E7541" t="s">
        <v>10735</v>
      </c>
      <c r="F7541" t="s">
        <v>29372</v>
      </c>
      <c r="G7541" t="s">
        <v>29379</v>
      </c>
      <c r="H7541" t="s">
        <v>11048</v>
      </c>
      <c r="I7541" t="s">
        <v>9642</v>
      </c>
      <c r="J7541" t="s">
        <v>34402</v>
      </c>
      <c r="K7541" t="s">
        <v>38488</v>
      </c>
      <c r="M7541" t="s">
        <v>41352</v>
      </c>
      <c r="N7541" t="s">
        <v>42669</v>
      </c>
      <c r="O7541" t="s">
        <v>42670</v>
      </c>
      <c r="P7541">
        <v>0</v>
      </c>
      <c r="Q7541">
        <v>4</v>
      </c>
      <c r="R7541" t="s">
        <v>42678</v>
      </c>
      <c r="S7541" t="s">
        <v>42866</v>
      </c>
      <c r="T7541" t="s">
        <v>44441</v>
      </c>
      <c r="U7541" t="s">
        <v>50979</v>
      </c>
      <c r="W7541" t="s">
        <v>41352</v>
      </c>
      <c r="X7541" t="s">
        <v>42679</v>
      </c>
    </row>
    <row r="7542" spans="1:24">
      <c r="A7542">
        <f>HYPERLINK("https://www.philgeps.gov.ph/GEPSNONPILOT/Tender/SplashBidNoticeAbstractUI.aspx?menuIndex=3&amp;refID=7182054&amp;Result=3","7182054")</f>
        <v>0</v>
      </c>
      <c r="B7542" t="s">
        <v>899</v>
      </c>
      <c r="C7542" t="s">
        <v>9012</v>
      </c>
      <c r="D7542" t="s">
        <v>17213</v>
      </c>
      <c r="E7542" t="s">
        <v>23769</v>
      </c>
      <c r="F7542" t="s">
        <v>29372</v>
      </c>
      <c r="G7542" t="s">
        <v>29379</v>
      </c>
      <c r="H7542" t="s">
        <v>11048</v>
      </c>
      <c r="I7542" t="s">
        <v>29433</v>
      </c>
      <c r="J7542" t="s">
        <v>34403</v>
      </c>
      <c r="K7542" t="s">
        <v>38488</v>
      </c>
      <c r="M7542" t="s">
        <v>39692</v>
      </c>
      <c r="N7542" t="s">
        <v>42669</v>
      </c>
      <c r="O7542" t="s">
        <v>42670</v>
      </c>
      <c r="P7542">
        <v>0</v>
      </c>
      <c r="Q7542">
        <v>7</v>
      </c>
      <c r="R7542" t="s">
        <v>42678</v>
      </c>
      <c r="S7542" t="s">
        <v>42866</v>
      </c>
      <c r="T7542" t="s">
        <v>44491</v>
      </c>
      <c r="U7542" t="s">
        <v>50980</v>
      </c>
      <c r="W7542" t="s">
        <v>39692</v>
      </c>
      <c r="X7542" t="s">
        <v>42679</v>
      </c>
    </row>
    <row r="7543" spans="1:24">
      <c r="A7543">
        <f>HYPERLINK("https://www.philgeps.gov.ph/GEPSNONPILOT/Tender/SplashBidNoticeAbstractUI.aspx?menuIndex=3&amp;refID=7182053&amp;Result=3","7182053")</f>
        <v>0</v>
      </c>
      <c r="B7543" t="s">
        <v>883</v>
      </c>
      <c r="C7543" t="s">
        <v>10736</v>
      </c>
      <c r="D7543" t="s">
        <v>17161</v>
      </c>
      <c r="E7543" t="s">
        <v>23770</v>
      </c>
      <c r="F7543" t="s">
        <v>29372</v>
      </c>
      <c r="G7543" t="s">
        <v>29383</v>
      </c>
      <c r="H7543" t="s">
        <v>11048</v>
      </c>
      <c r="I7543" t="s">
        <v>3952</v>
      </c>
      <c r="J7543" t="s">
        <v>30670</v>
      </c>
      <c r="K7543" t="s">
        <v>38491</v>
      </c>
      <c r="M7543" t="s">
        <v>39675</v>
      </c>
      <c r="N7543" t="s">
        <v>42669</v>
      </c>
      <c r="O7543" t="s">
        <v>42670</v>
      </c>
      <c r="P7543">
        <v>0</v>
      </c>
      <c r="Q7543">
        <v>0</v>
      </c>
      <c r="R7543" t="s">
        <v>42678</v>
      </c>
      <c r="S7543" t="s">
        <v>42866</v>
      </c>
      <c r="T7543" t="s">
        <v>44488</v>
      </c>
      <c r="U7543" t="s">
        <v>50981</v>
      </c>
      <c r="W7543" t="s">
        <v>39675</v>
      </c>
      <c r="X7543" t="s">
        <v>42679</v>
      </c>
    </row>
    <row r="7544" spans="1:24">
      <c r="A7544">
        <f>HYPERLINK("https://www.philgeps.gov.ph/GEPSNONPILOT/Tender/SplashBidNoticeAbstractUI.aspx?menuIndex=3&amp;refID=7182052&amp;Result=3","7182052")</f>
        <v>0</v>
      </c>
      <c r="B7544" t="s">
        <v>1238</v>
      </c>
      <c r="C7544" t="s">
        <v>10737</v>
      </c>
      <c r="D7544" t="s">
        <v>17145</v>
      </c>
      <c r="E7544" t="s">
        <v>18903</v>
      </c>
      <c r="F7544" t="s">
        <v>29372</v>
      </c>
      <c r="G7544" t="s">
        <v>29380</v>
      </c>
      <c r="H7544" t="s">
        <v>11048</v>
      </c>
      <c r="I7544" t="s">
        <v>29394</v>
      </c>
      <c r="J7544" t="s">
        <v>30087</v>
      </c>
      <c r="K7544" t="s">
        <v>38487</v>
      </c>
      <c r="M7544" t="s">
        <v>40060</v>
      </c>
      <c r="N7544" t="s">
        <v>42669</v>
      </c>
      <c r="O7544" t="s">
        <v>42670</v>
      </c>
      <c r="P7544">
        <v>0</v>
      </c>
      <c r="Q7544">
        <v>2</v>
      </c>
      <c r="R7544" t="s">
        <v>42678</v>
      </c>
      <c r="S7544" t="s">
        <v>42866</v>
      </c>
      <c r="T7544" t="s">
        <v>44410</v>
      </c>
      <c r="U7544" t="s">
        <v>50982</v>
      </c>
      <c r="W7544" t="s">
        <v>40060</v>
      </c>
      <c r="X7544" t="s">
        <v>42679</v>
      </c>
    </row>
    <row r="7545" spans="1:24">
      <c r="A7545">
        <f>HYPERLINK("https://www.philgeps.gov.ph/GEPSNONPILOT/Tender/SplashBidNoticeAbstractUI.aspx?menuIndex=3&amp;refID=7182051&amp;Result=3","7182051")</f>
        <v>0</v>
      </c>
      <c r="B7545" t="s">
        <v>2407</v>
      </c>
      <c r="C7545" t="s">
        <v>10738</v>
      </c>
      <c r="D7545" t="s">
        <v>17169</v>
      </c>
      <c r="E7545" t="s">
        <v>23771</v>
      </c>
      <c r="F7545" t="s">
        <v>29372</v>
      </c>
      <c r="G7545" t="s">
        <v>29380</v>
      </c>
      <c r="H7545" t="s">
        <v>11048</v>
      </c>
      <c r="I7545" t="s">
        <v>3670</v>
      </c>
      <c r="J7545" t="s">
        <v>34404</v>
      </c>
      <c r="K7545" t="s">
        <v>38510</v>
      </c>
      <c r="M7545" t="s">
        <v>41353</v>
      </c>
      <c r="N7545" t="s">
        <v>42669</v>
      </c>
      <c r="O7545" t="s">
        <v>42670</v>
      </c>
      <c r="P7545">
        <v>0</v>
      </c>
      <c r="Q7545">
        <v>0</v>
      </c>
      <c r="R7545" t="s">
        <v>42678</v>
      </c>
      <c r="S7545" t="s">
        <v>42866</v>
      </c>
      <c r="T7545" t="s">
        <v>44491</v>
      </c>
      <c r="U7545" t="s">
        <v>50983</v>
      </c>
      <c r="W7545" t="s">
        <v>41353</v>
      </c>
      <c r="X7545" t="s">
        <v>42679</v>
      </c>
    </row>
    <row r="7546" spans="1:24">
      <c r="A7546">
        <f>HYPERLINK("https://www.philgeps.gov.ph/GEPSNONPILOT/Tender/SplashBidNoticeAbstractUI.aspx?menuIndex=3&amp;refID=7182044&amp;Result=3","7182044")</f>
        <v>0</v>
      </c>
      <c r="B7546" t="s">
        <v>982</v>
      </c>
      <c r="C7546" t="s">
        <v>10739</v>
      </c>
      <c r="D7546" t="s">
        <v>17166</v>
      </c>
      <c r="E7546" t="s">
        <v>23772</v>
      </c>
      <c r="F7546" t="s">
        <v>29372</v>
      </c>
      <c r="G7546" t="s">
        <v>29380</v>
      </c>
      <c r="H7546" t="s">
        <v>29389</v>
      </c>
      <c r="I7546" t="s">
        <v>10408</v>
      </c>
      <c r="J7546" t="s">
        <v>34405</v>
      </c>
      <c r="K7546" t="s">
        <v>38548</v>
      </c>
      <c r="M7546" t="s">
        <v>39780</v>
      </c>
      <c r="N7546" t="s">
        <v>42669</v>
      </c>
      <c r="O7546" t="s">
        <v>42670</v>
      </c>
      <c r="P7546">
        <v>0</v>
      </c>
      <c r="Q7546">
        <v>0</v>
      </c>
      <c r="R7546" t="s">
        <v>42678</v>
      </c>
      <c r="S7546" t="s">
        <v>42866</v>
      </c>
      <c r="T7546" t="s">
        <v>44355</v>
      </c>
      <c r="U7546" t="s">
        <v>50984</v>
      </c>
      <c r="W7546" t="s">
        <v>58030</v>
      </c>
      <c r="X7546" t="s">
        <v>42679</v>
      </c>
    </row>
    <row r="7547" spans="1:24">
      <c r="A7547">
        <f>HYPERLINK("https://www.philgeps.gov.ph/GEPSNONPILOT/Tender/SplashBidNoticeAbstractUI.aspx?menuIndex=3&amp;refID=7182012&amp;Result=3","7182012")</f>
        <v>0</v>
      </c>
      <c r="B7547" t="s">
        <v>2408</v>
      </c>
      <c r="C7547" t="s">
        <v>10740</v>
      </c>
      <c r="D7547" t="s">
        <v>17172</v>
      </c>
      <c r="E7547" t="s">
        <v>23773</v>
      </c>
      <c r="F7547" t="s">
        <v>29372</v>
      </c>
      <c r="G7547" t="s">
        <v>29381</v>
      </c>
      <c r="H7547" t="s">
        <v>11048</v>
      </c>
      <c r="I7547" t="s">
        <v>4709</v>
      </c>
      <c r="J7547" t="s">
        <v>34406</v>
      </c>
      <c r="K7547" t="s">
        <v>38488</v>
      </c>
      <c r="M7547" t="s">
        <v>41354</v>
      </c>
      <c r="N7547" t="s">
        <v>42669</v>
      </c>
      <c r="O7547" t="s">
        <v>42670</v>
      </c>
      <c r="P7547">
        <v>0</v>
      </c>
      <c r="Q7547">
        <v>2</v>
      </c>
      <c r="R7547" t="s">
        <v>42678</v>
      </c>
      <c r="S7547" t="s">
        <v>42866</v>
      </c>
      <c r="T7547" t="s">
        <v>44425</v>
      </c>
      <c r="U7547" t="s">
        <v>50985</v>
      </c>
      <c r="W7547" t="s">
        <v>41354</v>
      </c>
      <c r="X7547" t="s">
        <v>42679</v>
      </c>
    </row>
    <row r="7548" spans="1:24">
      <c r="A7548">
        <f>HYPERLINK("https://www.philgeps.gov.ph/GEPSNONPILOT/Tender/SplashBidNoticeAbstractUI.aspx?menuIndex=3&amp;refID=7182043&amp;Result=3","7182043")</f>
        <v>0</v>
      </c>
      <c r="B7548" t="s">
        <v>2409</v>
      </c>
      <c r="C7548" t="s">
        <v>10741</v>
      </c>
      <c r="D7548" t="s">
        <v>17153</v>
      </c>
      <c r="E7548" t="s">
        <v>23774</v>
      </c>
      <c r="F7548" t="s">
        <v>29372</v>
      </c>
      <c r="G7548" t="s">
        <v>29380</v>
      </c>
      <c r="H7548" t="s">
        <v>29389</v>
      </c>
      <c r="I7548" t="s">
        <v>10408</v>
      </c>
      <c r="J7548" t="s">
        <v>31764</v>
      </c>
      <c r="K7548" t="s">
        <v>38522</v>
      </c>
      <c r="L7548" t="s">
        <v>2409</v>
      </c>
      <c r="M7548" t="s">
        <v>41355</v>
      </c>
      <c r="N7548" t="s">
        <v>42669</v>
      </c>
      <c r="O7548" t="s">
        <v>42670</v>
      </c>
      <c r="P7548">
        <v>0</v>
      </c>
      <c r="Q7548">
        <v>9</v>
      </c>
      <c r="R7548" t="s">
        <v>42678</v>
      </c>
      <c r="S7548" t="s">
        <v>42866</v>
      </c>
      <c r="T7548" t="s">
        <v>44557</v>
      </c>
      <c r="U7548" t="s">
        <v>50986</v>
      </c>
      <c r="W7548" t="s">
        <v>41355</v>
      </c>
      <c r="X7548" t="s">
        <v>42679</v>
      </c>
    </row>
    <row r="7549" spans="1:24">
      <c r="A7549">
        <f>HYPERLINK("https://www.philgeps.gov.ph/GEPSNONPILOT/Tender/SplashBidNoticeAbstractUI.aspx?menuIndex=3&amp;refID=7182064&amp;Result=3","7182064")</f>
        <v>0</v>
      </c>
      <c r="B7549" t="s">
        <v>1742</v>
      </c>
      <c r="C7549" t="s">
        <v>10742</v>
      </c>
      <c r="D7549" t="s">
        <v>17197</v>
      </c>
      <c r="E7549" t="s">
        <v>23775</v>
      </c>
      <c r="F7549" t="s">
        <v>29372</v>
      </c>
      <c r="G7549" t="s">
        <v>29380</v>
      </c>
      <c r="H7549" t="s">
        <v>11048</v>
      </c>
      <c r="I7549" t="s">
        <v>29424</v>
      </c>
      <c r="J7549" t="s">
        <v>34187</v>
      </c>
      <c r="K7549" t="s">
        <v>38488</v>
      </c>
      <c r="M7549" t="s">
        <v>40607</v>
      </c>
      <c r="N7549" t="s">
        <v>42669</v>
      </c>
      <c r="O7549" t="s">
        <v>42670</v>
      </c>
      <c r="P7549">
        <v>0</v>
      </c>
      <c r="Q7549">
        <v>3</v>
      </c>
      <c r="R7549" t="s">
        <v>42678</v>
      </c>
      <c r="S7549" t="s">
        <v>42866</v>
      </c>
      <c r="T7549" t="s">
        <v>44478</v>
      </c>
      <c r="U7549" t="s">
        <v>50987</v>
      </c>
      <c r="W7549" t="s">
        <v>40607</v>
      </c>
      <c r="X7549" t="s">
        <v>42679</v>
      </c>
    </row>
    <row r="7550" spans="1:24">
      <c r="A7550">
        <f>HYPERLINK("https://www.philgeps.gov.ph/GEPSNONPILOT/Tender/SplashBidNoticeAbstractUI.aspx?menuIndex=3&amp;refID=7182119&amp;Result=3","7182119")</f>
        <v>0</v>
      </c>
      <c r="B7550" t="s">
        <v>2410</v>
      </c>
      <c r="C7550" t="s">
        <v>10236</v>
      </c>
      <c r="D7550" t="s">
        <v>17189</v>
      </c>
      <c r="E7550" t="s">
        <v>20026</v>
      </c>
      <c r="F7550" t="s">
        <v>29372</v>
      </c>
      <c r="G7550" t="s">
        <v>29380</v>
      </c>
      <c r="H7550" t="s">
        <v>11048</v>
      </c>
      <c r="I7550" t="s">
        <v>9469</v>
      </c>
      <c r="J7550" t="s">
        <v>30161</v>
      </c>
      <c r="K7550" t="s">
        <v>38510</v>
      </c>
      <c r="M7550" t="s">
        <v>41356</v>
      </c>
      <c r="N7550" t="s">
        <v>42669</v>
      </c>
      <c r="O7550" t="s">
        <v>42670</v>
      </c>
      <c r="P7550">
        <v>0</v>
      </c>
      <c r="Q7550">
        <v>9</v>
      </c>
      <c r="R7550" t="s">
        <v>42678</v>
      </c>
      <c r="S7550" t="s">
        <v>42866</v>
      </c>
      <c r="T7550" t="s">
        <v>44572</v>
      </c>
      <c r="U7550" t="s">
        <v>50988</v>
      </c>
      <c r="W7550" t="s">
        <v>41356</v>
      </c>
      <c r="X7550" t="s">
        <v>42679</v>
      </c>
    </row>
    <row r="7551" spans="1:24">
      <c r="A7551">
        <f>HYPERLINK("https://www.philgeps.gov.ph/GEPSNONPILOT/Tender/SplashBidNoticeAbstractUI.aspx?menuIndex=3&amp;refID=7182045&amp;Result=3","7182045")</f>
        <v>0</v>
      </c>
      <c r="B7551" t="s">
        <v>1417</v>
      </c>
      <c r="C7551" t="s">
        <v>10743</v>
      </c>
      <c r="D7551" t="s">
        <v>17161</v>
      </c>
      <c r="E7551" t="s">
        <v>23776</v>
      </c>
      <c r="F7551" t="s">
        <v>29372</v>
      </c>
      <c r="G7551" t="s">
        <v>29380</v>
      </c>
      <c r="H7551" t="s">
        <v>11048</v>
      </c>
      <c r="I7551" t="s">
        <v>4709</v>
      </c>
      <c r="J7551" t="s">
        <v>29648</v>
      </c>
      <c r="K7551" t="s">
        <v>38510</v>
      </c>
      <c r="M7551" t="s">
        <v>40256</v>
      </c>
      <c r="N7551" t="s">
        <v>42669</v>
      </c>
      <c r="O7551" t="s">
        <v>42670</v>
      </c>
      <c r="P7551">
        <v>0</v>
      </c>
      <c r="Q7551">
        <v>0</v>
      </c>
      <c r="R7551" t="s">
        <v>42678</v>
      </c>
      <c r="S7551" t="s">
        <v>42866</v>
      </c>
      <c r="T7551" t="s">
        <v>44488</v>
      </c>
      <c r="U7551" t="s">
        <v>50989</v>
      </c>
      <c r="W7551" t="s">
        <v>40256</v>
      </c>
      <c r="X7551" t="s">
        <v>42679</v>
      </c>
    </row>
    <row r="7552" spans="1:24">
      <c r="A7552">
        <f>HYPERLINK("https://www.philgeps.gov.ph/GEPSNONPILOT/Tender/SplashBidNoticeAbstractUI.aspx?menuIndex=3&amp;refID=7182117&amp;Result=3","7182117")</f>
        <v>0</v>
      </c>
      <c r="B7552" t="s">
        <v>820</v>
      </c>
      <c r="C7552" t="s">
        <v>10744</v>
      </c>
      <c r="D7552" t="s">
        <v>17165</v>
      </c>
      <c r="E7552" t="s">
        <v>23777</v>
      </c>
      <c r="F7552" t="s">
        <v>29372</v>
      </c>
      <c r="G7552" t="s">
        <v>29379</v>
      </c>
      <c r="H7552" t="s">
        <v>11048</v>
      </c>
      <c r="I7552" t="s">
        <v>3670</v>
      </c>
      <c r="J7552" t="s">
        <v>34407</v>
      </c>
      <c r="K7552" t="s">
        <v>38485</v>
      </c>
      <c r="M7552" t="s">
        <v>39606</v>
      </c>
      <c r="N7552" t="s">
        <v>42669</v>
      </c>
      <c r="O7552" t="s">
        <v>42670</v>
      </c>
      <c r="P7552">
        <v>0</v>
      </c>
      <c r="Q7552">
        <v>3</v>
      </c>
      <c r="R7552" t="s">
        <v>42678</v>
      </c>
      <c r="S7552" t="s">
        <v>42866</v>
      </c>
      <c r="T7552" t="s">
        <v>44491</v>
      </c>
      <c r="U7552" t="s">
        <v>50990</v>
      </c>
      <c r="W7552" t="s">
        <v>39606</v>
      </c>
      <c r="X7552" t="s">
        <v>42679</v>
      </c>
    </row>
    <row r="7553" spans="1:24">
      <c r="A7553">
        <f>HYPERLINK("https://www.philgeps.gov.ph/GEPSNONPILOT/Tender/SplashBidNoticeAbstractUI.aspx?menuIndex=3&amp;refID=7182115&amp;Result=3","7182115")</f>
        <v>0</v>
      </c>
      <c r="B7553" t="s">
        <v>2411</v>
      </c>
      <c r="C7553" t="s">
        <v>10745</v>
      </c>
      <c r="D7553" t="s">
        <v>17158</v>
      </c>
      <c r="E7553" t="s">
        <v>23778</v>
      </c>
      <c r="F7553" t="s">
        <v>29372</v>
      </c>
      <c r="G7553" t="s">
        <v>29379</v>
      </c>
      <c r="H7553" t="s">
        <v>11048</v>
      </c>
      <c r="I7553" t="s">
        <v>29458</v>
      </c>
      <c r="J7553" t="s">
        <v>29642</v>
      </c>
      <c r="K7553" t="s">
        <v>38488</v>
      </c>
      <c r="L7553" t="s">
        <v>2411</v>
      </c>
      <c r="M7553" t="s">
        <v>41357</v>
      </c>
      <c r="N7553" t="s">
        <v>42669</v>
      </c>
      <c r="O7553" t="s">
        <v>42670</v>
      </c>
      <c r="P7553">
        <v>0</v>
      </c>
      <c r="Q7553">
        <v>0</v>
      </c>
      <c r="R7553" t="s">
        <v>42678</v>
      </c>
      <c r="S7553" t="s">
        <v>42866</v>
      </c>
      <c r="T7553" t="s">
        <v>44432</v>
      </c>
      <c r="U7553" t="s">
        <v>50991</v>
      </c>
      <c r="W7553" t="s">
        <v>41357</v>
      </c>
      <c r="X7553" t="s">
        <v>42679</v>
      </c>
    </row>
    <row r="7554" spans="1:24">
      <c r="A7554">
        <f>HYPERLINK("https://www.philgeps.gov.ph/GEPSNONPILOT/Tender/SplashBidNoticeAbstractUI.aspx?menuIndex=3&amp;refID=7182058&amp;Result=3","7182058")</f>
        <v>0</v>
      </c>
      <c r="B7554" t="s">
        <v>2224</v>
      </c>
      <c r="C7554" t="s">
        <v>10746</v>
      </c>
      <c r="D7554" t="s">
        <v>17143</v>
      </c>
      <c r="E7554" t="s">
        <v>19139</v>
      </c>
      <c r="F7554" t="s">
        <v>29372</v>
      </c>
      <c r="G7554" t="s">
        <v>29380</v>
      </c>
      <c r="H7554" t="s">
        <v>29389</v>
      </c>
      <c r="I7554" t="s">
        <v>10408</v>
      </c>
      <c r="J7554" t="s">
        <v>30161</v>
      </c>
      <c r="K7554" t="s">
        <v>38495</v>
      </c>
      <c r="M7554" t="s">
        <v>41142</v>
      </c>
      <c r="N7554" t="s">
        <v>42669</v>
      </c>
      <c r="O7554" t="s">
        <v>42670</v>
      </c>
      <c r="P7554">
        <v>0</v>
      </c>
      <c r="Q7554">
        <v>1</v>
      </c>
      <c r="R7554" t="s">
        <v>42678</v>
      </c>
      <c r="S7554" t="s">
        <v>42866</v>
      </c>
      <c r="T7554" t="s">
        <v>44476</v>
      </c>
      <c r="U7554" t="s">
        <v>50992</v>
      </c>
      <c r="W7554" t="s">
        <v>41142</v>
      </c>
      <c r="X7554" t="s">
        <v>42679</v>
      </c>
    </row>
    <row r="7555" spans="1:24">
      <c r="A7555">
        <f>HYPERLINK("https://www.philgeps.gov.ph/GEPSNONPILOT/Tender/SplashBidNoticeAbstractUI.aspx?menuIndex=3&amp;refID=7182104&amp;Result=3","7182104")</f>
        <v>0</v>
      </c>
      <c r="B7555" t="s">
        <v>883</v>
      </c>
      <c r="C7555" t="s">
        <v>10747</v>
      </c>
      <c r="D7555" t="s">
        <v>17161</v>
      </c>
      <c r="E7555" t="s">
        <v>23779</v>
      </c>
      <c r="F7555" t="s">
        <v>29372</v>
      </c>
      <c r="G7555" t="s">
        <v>29383</v>
      </c>
      <c r="H7555" t="s">
        <v>11048</v>
      </c>
      <c r="I7555" t="s">
        <v>29399</v>
      </c>
      <c r="J7555" t="s">
        <v>30026</v>
      </c>
      <c r="K7555" t="s">
        <v>38491</v>
      </c>
      <c r="M7555" t="s">
        <v>39675</v>
      </c>
      <c r="N7555" t="s">
        <v>42669</v>
      </c>
      <c r="O7555" t="s">
        <v>42670</v>
      </c>
      <c r="P7555">
        <v>0</v>
      </c>
      <c r="Q7555">
        <v>0</v>
      </c>
      <c r="R7555" t="s">
        <v>42678</v>
      </c>
      <c r="S7555" t="s">
        <v>42866</v>
      </c>
      <c r="T7555" t="s">
        <v>44488</v>
      </c>
      <c r="U7555" t="s">
        <v>50993</v>
      </c>
      <c r="W7555" t="s">
        <v>39675</v>
      </c>
      <c r="X7555" t="s">
        <v>42679</v>
      </c>
    </row>
    <row r="7556" spans="1:24">
      <c r="A7556">
        <f>HYPERLINK("https://www.philgeps.gov.ph/GEPSNONPILOT/Tender/SplashBidNoticeAbstractUI.aspx?menuIndex=3&amp;refID=7182113&amp;Result=3","7182113")</f>
        <v>0</v>
      </c>
      <c r="B7556" t="s">
        <v>579</v>
      </c>
      <c r="C7556" t="s">
        <v>10748</v>
      </c>
      <c r="D7556" t="s">
        <v>17141</v>
      </c>
      <c r="E7556" t="s">
        <v>23780</v>
      </c>
      <c r="F7556" t="s">
        <v>29373</v>
      </c>
      <c r="G7556" t="s">
        <v>29380</v>
      </c>
      <c r="H7556" t="s">
        <v>11048</v>
      </c>
      <c r="I7556" t="s">
        <v>4487</v>
      </c>
      <c r="J7556" t="s">
        <v>34408</v>
      </c>
      <c r="K7556" t="s">
        <v>38485</v>
      </c>
      <c r="M7556" t="s">
        <v>39348</v>
      </c>
      <c r="N7556" t="s">
        <v>42669</v>
      </c>
      <c r="O7556" t="s">
        <v>42670</v>
      </c>
      <c r="P7556">
        <v>0</v>
      </c>
      <c r="Q7556">
        <v>1</v>
      </c>
      <c r="R7556" t="s">
        <v>42678</v>
      </c>
      <c r="S7556" t="s">
        <v>42866</v>
      </c>
      <c r="T7556" t="s">
        <v>44457</v>
      </c>
      <c r="U7556" t="s">
        <v>50994</v>
      </c>
      <c r="V7556" t="s">
        <v>56504</v>
      </c>
      <c r="W7556" t="s">
        <v>39348</v>
      </c>
      <c r="X7556" t="s">
        <v>42679</v>
      </c>
    </row>
    <row r="7557" spans="1:24">
      <c r="A7557">
        <f>HYPERLINK("https://www.philgeps.gov.ph/GEPSNONPILOT/Tender/SplashBidNoticeAbstractUI.aspx?menuIndex=3&amp;refID=7181992&amp;Result=3","7181992")</f>
        <v>0</v>
      </c>
      <c r="B7557" t="s">
        <v>2338</v>
      </c>
      <c r="C7557" t="s">
        <v>10749</v>
      </c>
      <c r="D7557" t="s">
        <v>17160</v>
      </c>
      <c r="E7557" t="s">
        <v>23781</v>
      </c>
      <c r="F7557" t="s">
        <v>29372</v>
      </c>
      <c r="G7557" t="s">
        <v>29380</v>
      </c>
      <c r="H7557" t="s">
        <v>29389</v>
      </c>
      <c r="I7557" t="s">
        <v>10408</v>
      </c>
      <c r="J7557" t="s">
        <v>34409</v>
      </c>
      <c r="K7557" t="s">
        <v>38533</v>
      </c>
      <c r="M7557" t="s">
        <v>41271</v>
      </c>
      <c r="N7557" t="s">
        <v>42669</v>
      </c>
      <c r="O7557" t="s">
        <v>42670</v>
      </c>
      <c r="P7557">
        <v>0</v>
      </c>
      <c r="Q7557">
        <v>9</v>
      </c>
      <c r="R7557" t="s">
        <v>42678</v>
      </c>
      <c r="S7557" t="s">
        <v>42866</v>
      </c>
      <c r="T7557" t="s">
        <v>44368</v>
      </c>
      <c r="U7557" t="s">
        <v>50995</v>
      </c>
      <c r="W7557" t="s">
        <v>41271</v>
      </c>
      <c r="X7557" t="s">
        <v>42679</v>
      </c>
    </row>
    <row r="7558" spans="1:24">
      <c r="A7558">
        <f>HYPERLINK("https://www.philgeps.gov.ph/GEPSNONPILOT/Tender/SplashBidNoticeAbstractUI.aspx?menuIndex=3&amp;refID=7182109&amp;Result=3","7182109")</f>
        <v>0</v>
      </c>
      <c r="B7558" t="s">
        <v>2412</v>
      </c>
      <c r="C7558" t="s">
        <v>10750</v>
      </c>
      <c r="D7558" t="s">
        <v>17177</v>
      </c>
      <c r="E7558" t="s">
        <v>23782</v>
      </c>
      <c r="F7558" t="s">
        <v>29372</v>
      </c>
      <c r="G7558" t="s">
        <v>29380</v>
      </c>
      <c r="H7558" t="s">
        <v>11048</v>
      </c>
      <c r="I7558" t="s">
        <v>4709</v>
      </c>
      <c r="J7558" t="s">
        <v>34410</v>
      </c>
      <c r="K7558" t="s">
        <v>38491</v>
      </c>
      <c r="M7558" t="s">
        <v>41358</v>
      </c>
      <c r="N7558" t="s">
        <v>42669</v>
      </c>
      <c r="O7558" t="s">
        <v>42670</v>
      </c>
      <c r="P7558">
        <v>0</v>
      </c>
      <c r="Q7558">
        <v>0</v>
      </c>
      <c r="R7558" t="s">
        <v>42678</v>
      </c>
      <c r="S7558" t="s">
        <v>42866</v>
      </c>
      <c r="T7558" t="s">
        <v>44488</v>
      </c>
      <c r="U7558" t="s">
        <v>50996</v>
      </c>
      <c r="V7558" t="s">
        <v>57192</v>
      </c>
      <c r="W7558" t="s">
        <v>41358</v>
      </c>
      <c r="X7558" t="s">
        <v>42679</v>
      </c>
    </row>
    <row r="7559" spans="1:24">
      <c r="A7559">
        <f>HYPERLINK("https://www.philgeps.gov.ph/GEPSNONPILOT/Tender/SplashBidNoticeAbstractUI.aspx?menuIndex=3&amp;refID=7182094&amp;Result=3","7182094")</f>
        <v>0</v>
      </c>
      <c r="B7559" t="s">
        <v>2413</v>
      </c>
      <c r="C7559" t="s">
        <v>5129</v>
      </c>
      <c r="D7559" t="s">
        <v>17172</v>
      </c>
      <c r="E7559" t="s">
        <v>17947</v>
      </c>
      <c r="F7559" t="s">
        <v>29372</v>
      </c>
      <c r="G7559" t="s">
        <v>29380</v>
      </c>
      <c r="H7559" t="s">
        <v>29390</v>
      </c>
      <c r="I7559" t="s">
        <v>9469</v>
      </c>
      <c r="J7559" t="s">
        <v>34411</v>
      </c>
      <c r="K7559" t="s">
        <v>38518</v>
      </c>
      <c r="M7559" t="s">
        <v>41359</v>
      </c>
      <c r="N7559" t="s">
        <v>42669</v>
      </c>
      <c r="O7559" t="s">
        <v>42670</v>
      </c>
      <c r="P7559">
        <v>0</v>
      </c>
      <c r="Q7559">
        <v>1</v>
      </c>
      <c r="R7559" t="s">
        <v>42678</v>
      </c>
      <c r="S7559" t="s">
        <v>42866</v>
      </c>
      <c r="T7559" t="s">
        <v>44432</v>
      </c>
      <c r="U7559" t="s">
        <v>50997</v>
      </c>
      <c r="W7559" t="s">
        <v>41359</v>
      </c>
      <c r="X7559" t="s">
        <v>42679</v>
      </c>
    </row>
    <row r="7560" spans="1:24">
      <c r="A7560">
        <f>HYPERLINK("https://www.philgeps.gov.ph/GEPSNONPILOT/Tender/SplashBidNoticeAbstractUI.aspx?menuIndex=3&amp;refID=7182089&amp;Result=3","7182089")</f>
        <v>0</v>
      </c>
      <c r="B7560" t="s">
        <v>2224</v>
      </c>
      <c r="C7560" t="s">
        <v>10751</v>
      </c>
      <c r="D7560" t="s">
        <v>17143</v>
      </c>
      <c r="E7560" t="s">
        <v>19666</v>
      </c>
      <c r="F7560" t="s">
        <v>29372</v>
      </c>
      <c r="G7560" t="s">
        <v>29380</v>
      </c>
      <c r="H7560" t="s">
        <v>29389</v>
      </c>
      <c r="I7560" t="s">
        <v>10408</v>
      </c>
      <c r="J7560" t="s">
        <v>30161</v>
      </c>
      <c r="K7560" t="s">
        <v>38495</v>
      </c>
      <c r="M7560" t="s">
        <v>41142</v>
      </c>
      <c r="N7560" t="s">
        <v>42669</v>
      </c>
      <c r="O7560" t="s">
        <v>42670</v>
      </c>
      <c r="P7560">
        <v>0</v>
      </c>
      <c r="Q7560">
        <v>0</v>
      </c>
      <c r="R7560" t="s">
        <v>42678</v>
      </c>
      <c r="S7560" t="s">
        <v>42866</v>
      </c>
      <c r="T7560" t="s">
        <v>44476</v>
      </c>
      <c r="U7560" t="s">
        <v>50998</v>
      </c>
      <c r="W7560" t="s">
        <v>41142</v>
      </c>
      <c r="X7560" t="s">
        <v>42679</v>
      </c>
    </row>
    <row r="7561" spans="1:24">
      <c r="A7561">
        <f>HYPERLINK("https://www.philgeps.gov.ph/GEPSNONPILOT/Tender/SplashBidNoticeAbstractUI.aspx?menuIndex=3&amp;refID=7182084&amp;Result=3","7182084")</f>
        <v>0</v>
      </c>
      <c r="B7561" t="s">
        <v>2394</v>
      </c>
      <c r="C7561" t="s">
        <v>10752</v>
      </c>
      <c r="D7561" t="s">
        <v>17171</v>
      </c>
      <c r="E7561" t="s">
        <v>23783</v>
      </c>
      <c r="F7561" t="s">
        <v>29372</v>
      </c>
      <c r="G7561" t="s">
        <v>29380</v>
      </c>
      <c r="H7561" t="s">
        <v>29389</v>
      </c>
      <c r="I7561" t="s">
        <v>10408</v>
      </c>
      <c r="J7561" t="s">
        <v>34412</v>
      </c>
      <c r="K7561" t="s">
        <v>38487</v>
      </c>
      <c r="M7561" t="s">
        <v>41339</v>
      </c>
      <c r="N7561" t="s">
        <v>42669</v>
      </c>
      <c r="O7561" t="s">
        <v>42670</v>
      </c>
      <c r="P7561">
        <v>0</v>
      </c>
      <c r="Q7561">
        <v>0</v>
      </c>
      <c r="R7561" t="s">
        <v>42678</v>
      </c>
      <c r="S7561" t="s">
        <v>42866</v>
      </c>
      <c r="T7561" t="s">
        <v>44544</v>
      </c>
      <c r="U7561" t="s">
        <v>50941</v>
      </c>
      <c r="W7561" t="s">
        <v>41339</v>
      </c>
      <c r="X7561" t="s">
        <v>42679</v>
      </c>
    </row>
    <row r="7562" spans="1:24">
      <c r="A7562">
        <f>HYPERLINK("https://www.philgeps.gov.ph/GEPSNONPILOT/Tender/SplashBidNoticeAbstractUI.aspx?menuIndex=3&amp;refID=7182103&amp;Result=3","7182103")</f>
        <v>0</v>
      </c>
      <c r="B7562" t="s">
        <v>240</v>
      </c>
      <c r="C7562" t="s">
        <v>10753</v>
      </c>
      <c r="D7562" t="s">
        <v>17185</v>
      </c>
      <c r="E7562" t="s">
        <v>23784</v>
      </c>
      <c r="F7562" t="s">
        <v>29372</v>
      </c>
      <c r="G7562" t="s">
        <v>29379</v>
      </c>
      <c r="H7562" t="s">
        <v>11048</v>
      </c>
      <c r="I7562" t="s">
        <v>3839</v>
      </c>
      <c r="J7562" t="s">
        <v>29708</v>
      </c>
      <c r="K7562" t="s">
        <v>38490</v>
      </c>
      <c r="M7562" t="s">
        <v>38999</v>
      </c>
      <c r="N7562" t="s">
        <v>42669</v>
      </c>
      <c r="O7562" t="s">
        <v>42670</v>
      </c>
      <c r="P7562">
        <v>0</v>
      </c>
      <c r="Q7562">
        <v>1</v>
      </c>
      <c r="R7562" t="s">
        <v>42678</v>
      </c>
      <c r="S7562" t="s">
        <v>42866</v>
      </c>
      <c r="T7562" t="s">
        <v>44481</v>
      </c>
      <c r="U7562" t="s">
        <v>50999</v>
      </c>
      <c r="W7562" t="s">
        <v>38999</v>
      </c>
      <c r="X7562" t="s">
        <v>42679</v>
      </c>
    </row>
    <row r="7563" spans="1:24">
      <c r="A7563">
        <f>HYPERLINK("https://www.philgeps.gov.ph/GEPSNONPILOT/Tender/SplashBidNoticeAbstractUI.aspx?menuIndex=3&amp;refID=7181802&amp;Result=3","7181802")</f>
        <v>0</v>
      </c>
      <c r="B7563" t="s">
        <v>547</v>
      </c>
      <c r="C7563" t="s">
        <v>10754</v>
      </c>
      <c r="E7563" t="s">
        <v>23785</v>
      </c>
      <c r="F7563" t="s">
        <v>29372</v>
      </c>
      <c r="G7563" t="s">
        <v>29382</v>
      </c>
      <c r="H7563" t="s">
        <v>11048</v>
      </c>
      <c r="I7563" t="s">
        <v>5383</v>
      </c>
      <c r="J7563" t="s">
        <v>30758</v>
      </c>
      <c r="K7563" t="s">
        <v>38485</v>
      </c>
      <c r="M7563" t="s">
        <v>39363</v>
      </c>
      <c r="N7563" t="s">
        <v>42669</v>
      </c>
      <c r="O7563" t="s">
        <v>42670</v>
      </c>
      <c r="P7563">
        <v>0</v>
      </c>
      <c r="Q7563">
        <v>0</v>
      </c>
      <c r="R7563" t="s">
        <v>42678</v>
      </c>
      <c r="S7563" t="s">
        <v>42866</v>
      </c>
      <c r="T7563" t="s">
        <v>44378</v>
      </c>
      <c r="U7563" t="s">
        <v>51000</v>
      </c>
      <c r="W7563" t="s">
        <v>58018</v>
      </c>
      <c r="X7563" t="s">
        <v>42679</v>
      </c>
    </row>
    <row r="7564" spans="1:24">
      <c r="A7564">
        <f>HYPERLINK("https://www.philgeps.gov.ph/GEPSNONPILOT/Tender/SplashBidNoticeAbstractUI.aspx?menuIndex=3&amp;refID=7182118&amp;Result=3","7182118")</f>
        <v>0</v>
      </c>
      <c r="B7564" t="s">
        <v>508</v>
      </c>
      <c r="C7564" t="s">
        <v>10755</v>
      </c>
      <c r="D7564" t="s">
        <v>17188</v>
      </c>
      <c r="E7564" t="s">
        <v>23786</v>
      </c>
      <c r="F7564" t="s">
        <v>29372</v>
      </c>
      <c r="G7564" t="s">
        <v>29380</v>
      </c>
      <c r="H7564" t="s">
        <v>11048</v>
      </c>
      <c r="I7564" t="s">
        <v>3695</v>
      </c>
      <c r="J7564" t="s">
        <v>34413</v>
      </c>
      <c r="K7564" t="s">
        <v>38490</v>
      </c>
      <c r="M7564" t="s">
        <v>41360</v>
      </c>
      <c r="N7564" t="s">
        <v>42669</v>
      </c>
      <c r="O7564" t="s">
        <v>42670</v>
      </c>
      <c r="P7564">
        <v>0</v>
      </c>
      <c r="Q7564">
        <v>8</v>
      </c>
      <c r="R7564" t="s">
        <v>42678</v>
      </c>
      <c r="S7564" t="s">
        <v>42866</v>
      </c>
      <c r="T7564" t="s">
        <v>44539</v>
      </c>
      <c r="U7564" t="s">
        <v>51001</v>
      </c>
      <c r="V7564" t="s">
        <v>57193</v>
      </c>
      <c r="W7564" t="s">
        <v>41360</v>
      </c>
      <c r="X7564" t="s">
        <v>42679</v>
      </c>
    </row>
    <row r="7565" spans="1:24">
      <c r="A7565">
        <f>HYPERLINK("https://www.philgeps.gov.ph/GEPSNONPILOT/Tender/SplashBidNoticeAbstractUI.aspx?menuIndex=3&amp;refID=7182179&amp;Result=3","7182179")</f>
        <v>0</v>
      </c>
      <c r="B7565" t="s">
        <v>2414</v>
      </c>
      <c r="C7565" t="s">
        <v>10756</v>
      </c>
      <c r="D7565" t="s">
        <v>17211</v>
      </c>
      <c r="E7565" t="s">
        <v>23787</v>
      </c>
      <c r="F7565" t="s">
        <v>29372</v>
      </c>
      <c r="G7565" t="s">
        <v>29380</v>
      </c>
      <c r="H7565" t="s">
        <v>29389</v>
      </c>
      <c r="I7565" t="s">
        <v>10408</v>
      </c>
      <c r="J7565" t="s">
        <v>34414</v>
      </c>
      <c r="K7565" t="s">
        <v>38527</v>
      </c>
      <c r="M7565" t="s">
        <v>41361</v>
      </c>
      <c r="N7565" t="s">
        <v>42669</v>
      </c>
      <c r="O7565" t="s">
        <v>42670</v>
      </c>
      <c r="P7565">
        <v>0</v>
      </c>
      <c r="Q7565">
        <v>0</v>
      </c>
      <c r="R7565" t="s">
        <v>42678</v>
      </c>
      <c r="S7565" t="s">
        <v>42866</v>
      </c>
      <c r="T7565" t="s">
        <v>44475</v>
      </c>
      <c r="U7565" t="s">
        <v>51002</v>
      </c>
      <c r="V7565" t="s">
        <v>57194</v>
      </c>
      <c r="W7565" t="s">
        <v>41361</v>
      </c>
      <c r="X7565" t="s">
        <v>42679</v>
      </c>
    </row>
    <row r="7566" spans="1:24">
      <c r="A7566">
        <f>HYPERLINK("https://www.philgeps.gov.ph/GEPSNONPILOT/Tender/SplashBidNoticeAbstractUI.aspx?menuIndex=3&amp;refID=7182172&amp;Result=3","7182172")</f>
        <v>0</v>
      </c>
      <c r="B7566" t="s">
        <v>2410</v>
      </c>
      <c r="C7566" t="s">
        <v>10757</v>
      </c>
      <c r="D7566" t="s">
        <v>17189</v>
      </c>
      <c r="E7566" t="s">
        <v>20026</v>
      </c>
      <c r="F7566" t="s">
        <v>29372</v>
      </c>
      <c r="G7566" t="s">
        <v>29380</v>
      </c>
      <c r="H7566" t="s">
        <v>29389</v>
      </c>
      <c r="I7566" t="s">
        <v>10408</v>
      </c>
      <c r="J7566" t="s">
        <v>34415</v>
      </c>
      <c r="K7566" t="s">
        <v>38510</v>
      </c>
      <c r="M7566" t="s">
        <v>41356</v>
      </c>
      <c r="N7566" t="s">
        <v>42669</v>
      </c>
      <c r="O7566" t="s">
        <v>42670</v>
      </c>
      <c r="P7566">
        <v>0</v>
      </c>
      <c r="Q7566">
        <v>2</v>
      </c>
      <c r="R7566" t="s">
        <v>42678</v>
      </c>
      <c r="S7566" t="s">
        <v>42866</v>
      </c>
      <c r="T7566" t="s">
        <v>44482</v>
      </c>
      <c r="U7566" t="s">
        <v>51003</v>
      </c>
      <c r="W7566" t="s">
        <v>41356</v>
      </c>
      <c r="X7566" t="s">
        <v>42679</v>
      </c>
    </row>
    <row r="7567" spans="1:24">
      <c r="A7567">
        <f>HYPERLINK("https://www.philgeps.gov.ph/GEPSNONPILOT/Tender/SplashBidNoticeAbstractUI.aspx?menuIndex=3&amp;refID=7182174&amp;Result=3","7182174")</f>
        <v>0</v>
      </c>
      <c r="B7567" t="s">
        <v>1682</v>
      </c>
      <c r="C7567" t="s">
        <v>10758</v>
      </c>
      <c r="D7567" t="s">
        <v>17164</v>
      </c>
      <c r="E7567" t="s">
        <v>23788</v>
      </c>
      <c r="F7567" t="s">
        <v>29372</v>
      </c>
      <c r="G7567" t="s">
        <v>29380</v>
      </c>
      <c r="H7567" t="s">
        <v>29389</v>
      </c>
      <c r="I7567" t="s">
        <v>10408</v>
      </c>
      <c r="J7567" t="s">
        <v>34416</v>
      </c>
      <c r="K7567" t="s">
        <v>38533</v>
      </c>
      <c r="M7567" t="s">
        <v>40542</v>
      </c>
      <c r="N7567" t="s">
        <v>42669</v>
      </c>
      <c r="O7567" t="s">
        <v>42670</v>
      </c>
      <c r="P7567">
        <v>0</v>
      </c>
      <c r="Q7567">
        <v>2</v>
      </c>
      <c r="R7567" t="s">
        <v>42678</v>
      </c>
      <c r="S7567" t="s">
        <v>42866</v>
      </c>
      <c r="T7567" t="s">
        <v>44368</v>
      </c>
      <c r="U7567" t="s">
        <v>51004</v>
      </c>
      <c r="W7567" t="s">
        <v>40542</v>
      </c>
      <c r="X7567" t="s">
        <v>42679</v>
      </c>
    </row>
    <row r="7568" spans="1:24">
      <c r="A7568">
        <f>HYPERLINK("https://www.philgeps.gov.ph/GEPSNONPILOT/Tender/SplashBidNoticeAbstractUI.aspx?menuIndex=3&amp;refID=7182082&amp;Result=3","7182082")</f>
        <v>0</v>
      </c>
      <c r="B7568" t="s">
        <v>2415</v>
      </c>
      <c r="C7568" t="s">
        <v>10759</v>
      </c>
      <c r="D7568" t="s">
        <v>17206</v>
      </c>
      <c r="E7568" t="s">
        <v>17648</v>
      </c>
      <c r="F7568" t="s">
        <v>29372</v>
      </c>
      <c r="G7568" t="s">
        <v>29380</v>
      </c>
      <c r="H7568" t="s">
        <v>11048</v>
      </c>
      <c r="I7568" t="s">
        <v>3839</v>
      </c>
      <c r="J7568" t="s">
        <v>29526</v>
      </c>
      <c r="K7568" t="s">
        <v>38490</v>
      </c>
      <c r="M7568" t="s">
        <v>41362</v>
      </c>
      <c r="N7568" t="s">
        <v>42669</v>
      </c>
      <c r="O7568" t="s">
        <v>42670</v>
      </c>
      <c r="P7568">
        <v>0</v>
      </c>
      <c r="Q7568">
        <v>2</v>
      </c>
      <c r="R7568" t="s">
        <v>42678</v>
      </c>
      <c r="S7568" t="s">
        <v>42866</v>
      </c>
      <c r="T7568" t="s">
        <v>44432</v>
      </c>
      <c r="U7568" t="s">
        <v>51005</v>
      </c>
      <c r="W7568" t="s">
        <v>41362</v>
      </c>
      <c r="X7568" t="s">
        <v>42679</v>
      </c>
    </row>
    <row r="7569" spans="1:24">
      <c r="A7569">
        <f>HYPERLINK("https://www.philgeps.gov.ph/GEPSNONPILOT/Tender/SplashBidNoticeAbstractUI.aspx?menuIndex=3&amp;refID=7182166&amp;Result=3","7182166")</f>
        <v>0</v>
      </c>
      <c r="B7569" t="s">
        <v>1742</v>
      </c>
      <c r="C7569" t="s">
        <v>10760</v>
      </c>
      <c r="D7569" t="s">
        <v>17197</v>
      </c>
      <c r="E7569" t="s">
        <v>23789</v>
      </c>
      <c r="F7569" t="s">
        <v>29372</v>
      </c>
      <c r="G7569" t="s">
        <v>29380</v>
      </c>
      <c r="H7569" t="s">
        <v>11048</v>
      </c>
      <c r="I7569" t="s">
        <v>29444</v>
      </c>
      <c r="J7569" t="s">
        <v>34417</v>
      </c>
      <c r="K7569" t="s">
        <v>38488</v>
      </c>
      <c r="M7569" t="s">
        <v>40607</v>
      </c>
      <c r="N7569" t="s">
        <v>42669</v>
      </c>
      <c r="O7569" t="s">
        <v>42670</v>
      </c>
      <c r="P7569">
        <v>0</v>
      </c>
      <c r="Q7569">
        <v>0</v>
      </c>
      <c r="R7569" t="s">
        <v>42678</v>
      </c>
      <c r="S7569" t="s">
        <v>42866</v>
      </c>
      <c r="T7569" t="s">
        <v>44450</v>
      </c>
      <c r="U7569" t="s">
        <v>51006</v>
      </c>
      <c r="W7569" t="s">
        <v>40607</v>
      </c>
      <c r="X7569" t="s">
        <v>42679</v>
      </c>
    </row>
    <row r="7570" spans="1:24">
      <c r="A7570">
        <f>HYPERLINK("https://www.philgeps.gov.ph/GEPSNONPILOT/Tender/SplashBidNoticeAbstractUI.aspx?menuIndex=3&amp;refID=7182163&amp;Result=3","7182163")</f>
        <v>0</v>
      </c>
      <c r="B7570" t="s">
        <v>820</v>
      </c>
      <c r="C7570" t="s">
        <v>10761</v>
      </c>
      <c r="D7570" t="s">
        <v>17165</v>
      </c>
      <c r="E7570" t="s">
        <v>23790</v>
      </c>
      <c r="F7570" t="s">
        <v>29372</v>
      </c>
      <c r="G7570" t="s">
        <v>29379</v>
      </c>
      <c r="H7570" t="s">
        <v>11048</v>
      </c>
      <c r="I7570" t="s">
        <v>3670</v>
      </c>
      <c r="J7570" t="s">
        <v>34418</v>
      </c>
      <c r="K7570" t="s">
        <v>38488</v>
      </c>
      <c r="M7570" t="s">
        <v>39606</v>
      </c>
      <c r="N7570" t="s">
        <v>42669</v>
      </c>
      <c r="O7570" t="s">
        <v>42670</v>
      </c>
      <c r="P7570">
        <v>0</v>
      </c>
      <c r="Q7570">
        <v>2</v>
      </c>
      <c r="R7570" t="s">
        <v>42678</v>
      </c>
      <c r="S7570" t="s">
        <v>42866</v>
      </c>
      <c r="T7570" t="s">
        <v>44491</v>
      </c>
      <c r="U7570" t="s">
        <v>51007</v>
      </c>
      <c r="W7570" t="s">
        <v>39606</v>
      </c>
      <c r="X7570" t="s">
        <v>42679</v>
      </c>
    </row>
    <row r="7571" spans="1:24">
      <c r="A7571">
        <f>HYPERLINK("https://www.philgeps.gov.ph/GEPSNONPILOT/Tender/SplashBidNoticeAbstractUI.aspx?menuIndex=3&amp;refID=7181910&amp;Result=3","7181910")</f>
        <v>0</v>
      </c>
      <c r="B7571" t="s">
        <v>1417</v>
      </c>
      <c r="C7571" t="s">
        <v>10762</v>
      </c>
      <c r="D7571" t="s">
        <v>17161</v>
      </c>
      <c r="E7571" t="s">
        <v>23791</v>
      </c>
      <c r="F7571" t="s">
        <v>29372</v>
      </c>
      <c r="G7571" t="s">
        <v>29380</v>
      </c>
      <c r="H7571" t="s">
        <v>11048</v>
      </c>
      <c r="I7571" t="s">
        <v>4709</v>
      </c>
      <c r="J7571" t="s">
        <v>34419</v>
      </c>
      <c r="K7571" t="s">
        <v>38510</v>
      </c>
      <c r="M7571" t="s">
        <v>40256</v>
      </c>
      <c r="N7571" t="s">
        <v>42669</v>
      </c>
      <c r="O7571" t="s">
        <v>42670</v>
      </c>
      <c r="P7571">
        <v>0</v>
      </c>
      <c r="Q7571">
        <v>0</v>
      </c>
      <c r="R7571" t="s">
        <v>42678</v>
      </c>
      <c r="S7571" t="s">
        <v>42866</v>
      </c>
      <c r="T7571" t="s">
        <v>44488</v>
      </c>
      <c r="U7571" t="s">
        <v>51008</v>
      </c>
      <c r="W7571" t="s">
        <v>40256</v>
      </c>
      <c r="X7571" t="s">
        <v>42679</v>
      </c>
    </row>
    <row r="7572" spans="1:24">
      <c r="A7572">
        <f>HYPERLINK("https://www.philgeps.gov.ph/GEPSNONPILOT/Tender/SplashBidNoticeAbstractUI.aspx?menuIndex=3&amp;refID=7182158&amp;Result=3","7182158")</f>
        <v>0</v>
      </c>
      <c r="B7572" t="s">
        <v>2416</v>
      </c>
      <c r="C7572" t="s">
        <v>10763</v>
      </c>
      <c r="D7572" t="s">
        <v>17166</v>
      </c>
      <c r="E7572" t="s">
        <v>20703</v>
      </c>
      <c r="F7572" t="s">
        <v>29372</v>
      </c>
      <c r="G7572" t="s">
        <v>29379</v>
      </c>
      <c r="H7572" t="s">
        <v>11048</v>
      </c>
      <c r="I7572" t="s">
        <v>5383</v>
      </c>
      <c r="J7572" t="s">
        <v>32737</v>
      </c>
      <c r="K7572" t="s">
        <v>38485</v>
      </c>
      <c r="M7572" t="s">
        <v>41363</v>
      </c>
      <c r="N7572" t="s">
        <v>42669</v>
      </c>
      <c r="O7572" t="s">
        <v>42670</v>
      </c>
      <c r="P7572">
        <v>0</v>
      </c>
      <c r="Q7572">
        <v>7</v>
      </c>
      <c r="R7572" t="s">
        <v>42678</v>
      </c>
      <c r="S7572" t="s">
        <v>42866</v>
      </c>
      <c r="T7572" t="s">
        <v>44512</v>
      </c>
      <c r="U7572" t="s">
        <v>51009</v>
      </c>
      <c r="V7572" t="s">
        <v>57195</v>
      </c>
      <c r="W7572" t="s">
        <v>41363</v>
      </c>
      <c r="X7572" t="s">
        <v>42679</v>
      </c>
    </row>
    <row r="7573" spans="1:24">
      <c r="A7573">
        <f>HYPERLINK("https://www.philgeps.gov.ph/GEPSNONPILOT/Tender/SplashBidNoticeAbstractUI.aspx?menuIndex=3&amp;refID=7182157&amp;Result=3","7182157")</f>
        <v>0</v>
      </c>
      <c r="B7573" t="s">
        <v>2409</v>
      </c>
      <c r="C7573" t="s">
        <v>10764</v>
      </c>
      <c r="D7573" t="s">
        <v>17153</v>
      </c>
      <c r="E7573" t="s">
        <v>23792</v>
      </c>
      <c r="F7573" t="s">
        <v>29372</v>
      </c>
      <c r="G7573" t="s">
        <v>29380</v>
      </c>
      <c r="H7573" t="s">
        <v>29389</v>
      </c>
      <c r="I7573" t="s">
        <v>4709</v>
      </c>
      <c r="J7573" t="s">
        <v>34420</v>
      </c>
      <c r="K7573" t="s">
        <v>38522</v>
      </c>
      <c r="L7573" t="s">
        <v>2409</v>
      </c>
      <c r="M7573" t="s">
        <v>41355</v>
      </c>
      <c r="N7573" t="s">
        <v>42669</v>
      </c>
      <c r="O7573" t="s">
        <v>42670</v>
      </c>
      <c r="P7573">
        <v>0</v>
      </c>
      <c r="Q7573">
        <v>6</v>
      </c>
      <c r="R7573" t="s">
        <v>42678</v>
      </c>
      <c r="S7573" t="s">
        <v>42866</v>
      </c>
      <c r="T7573" t="s">
        <v>44557</v>
      </c>
      <c r="U7573" t="s">
        <v>51010</v>
      </c>
      <c r="W7573" t="s">
        <v>41355</v>
      </c>
      <c r="X7573" t="s">
        <v>42679</v>
      </c>
    </row>
    <row r="7574" spans="1:24">
      <c r="A7574">
        <f>HYPERLINK("https://www.philgeps.gov.ph/GEPSNONPILOT/Tender/SplashBidNoticeAbstractUI.aspx?menuIndex=3&amp;refID=7182152&amp;Result=3","7182152")</f>
        <v>0</v>
      </c>
      <c r="B7574" t="s">
        <v>2417</v>
      </c>
      <c r="C7574" t="s">
        <v>10765</v>
      </c>
      <c r="D7574" t="s">
        <v>17172</v>
      </c>
      <c r="E7574" t="s">
        <v>22301</v>
      </c>
      <c r="F7574" t="s">
        <v>29372</v>
      </c>
      <c r="G7574" t="s">
        <v>29380</v>
      </c>
      <c r="H7574" t="s">
        <v>11048</v>
      </c>
      <c r="I7574" t="s">
        <v>4709</v>
      </c>
      <c r="J7574" t="s">
        <v>34421</v>
      </c>
      <c r="K7574" t="s">
        <v>38510</v>
      </c>
      <c r="M7574" t="s">
        <v>41364</v>
      </c>
      <c r="N7574" t="s">
        <v>42669</v>
      </c>
      <c r="O7574" t="s">
        <v>42670</v>
      </c>
      <c r="P7574">
        <v>0</v>
      </c>
      <c r="Q7574">
        <v>0</v>
      </c>
      <c r="R7574" t="s">
        <v>42678</v>
      </c>
      <c r="S7574" t="s">
        <v>42866</v>
      </c>
      <c r="T7574" t="s">
        <v>44419</v>
      </c>
      <c r="U7574" t="s">
        <v>51011</v>
      </c>
      <c r="W7574" t="s">
        <v>41364</v>
      </c>
      <c r="X7574" t="s">
        <v>42679</v>
      </c>
    </row>
    <row r="7575" spans="1:24">
      <c r="A7575">
        <f>HYPERLINK("https://www.philgeps.gov.ph/GEPSNONPILOT/Tender/SplashBidNoticeAbstractUI.aspx?menuIndex=3&amp;refID=7182240&amp;Result=3","7182240")</f>
        <v>0</v>
      </c>
      <c r="B7575" t="s">
        <v>2418</v>
      </c>
      <c r="C7575" t="s">
        <v>10766</v>
      </c>
      <c r="D7575" t="s">
        <v>17172</v>
      </c>
      <c r="E7575" t="s">
        <v>23793</v>
      </c>
      <c r="F7575" t="s">
        <v>29373</v>
      </c>
      <c r="G7575" t="s">
        <v>29380</v>
      </c>
      <c r="H7575" t="s">
        <v>29389</v>
      </c>
      <c r="I7575" t="s">
        <v>10408</v>
      </c>
      <c r="J7575" t="s">
        <v>34422</v>
      </c>
      <c r="K7575" t="s">
        <v>38522</v>
      </c>
      <c r="L7575" t="s">
        <v>2418</v>
      </c>
      <c r="M7575" t="s">
        <v>41365</v>
      </c>
      <c r="N7575" t="s">
        <v>42669</v>
      </c>
      <c r="O7575" t="s">
        <v>42670</v>
      </c>
      <c r="P7575">
        <v>0</v>
      </c>
      <c r="Q7575">
        <v>0</v>
      </c>
      <c r="R7575" t="s">
        <v>42678</v>
      </c>
      <c r="S7575" t="s">
        <v>42866</v>
      </c>
      <c r="T7575" t="s">
        <v>44407</v>
      </c>
      <c r="U7575" t="s">
        <v>51012</v>
      </c>
      <c r="V7575" t="s">
        <v>51533</v>
      </c>
      <c r="W7575" t="s">
        <v>41365</v>
      </c>
      <c r="X7575" t="s">
        <v>42679</v>
      </c>
    </row>
    <row r="7576" spans="1:24">
      <c r="A7576">
        <f>HYPERLINK("https://www.philgeps.gov.ph/GEPSNONPILOT/Tender/SplashBidNoticeAbstractUI.aspx?menuIndex=3&amp;refID=7182170&amp;Result=3","7182170")</f>
        <v>0</v>
      </c>
      <c r="B7576" t="s">
        <v>2419</v>
      </c>
      <c r="C7576" t="s">
        <v>10767</v>
      </c>
      <c r="D7576" t="s">
        <v>17187</v>
      </c>
      <c r="E7576" t="s">
        <v>23794</v>
      </c>
      <c r="F7576" t="s">
        <v>29372</v>
      </c>
      <c r="G7576" t="s">
        <v>29383</v>
      </c>
      <c r="H7576" t="s">
        <v>11048</v>
      </c>
      <c r="I7576" t="s">
        <v>29412</v>
      </c>
      <c r="J7576" t="s">
        <v>29650</v>
      </c>
      <c r="K7576" t="s">
        <v>38485</v>
      </c>
      <c r="M7576" t="s">
        <v>41366</v>
      </c>
      <c r="N7576" t="s">
        <v>42669</v>
      </c>
      <c r="O7576" t="s">
        <v>42670</v>
      </c>
      <c r="P7576">
        <v>0</v>
      </c>
      <c r="Q7576">
        <v>4</v>
      </c>
      <c r="R7576" t="s">
        <v>42678</v>
      </c>
      <c r="S7576" t="s">
        <v>42866</v>
      </c>
      <c r="T7576" t="s">
        <v>44493</v>
      </c>
      <c r="U7576" t="s">
        <v>51013</v>
      </c>
      <c r="W7576" t="s">
        <v>41366</v>
      </c>
      <c r="X7576" t="s">
        <v>42679</v>
      </c>
    </row>
    <row r="7577" spans="1:24">
      <c r="A7577">
        <f>HYPERLINK("https://www.philgeps.gov.ph/GEPSNONPILOT/Tender/SplashBidNoticeAbstractUI.aspx?menuIndex=3&amp;refID=7182238&amp;Result=3","7182238")</f>
        <v>0</v>
      </c>
      <c r="B7577" t="s">
        <v>2420</v>
      </c>
      <c r="C7577" t="s">
        <v>10768</v>
      </c>
      <c r="D7577" t="s">
        <v>17172</v>
      </c>
      <c r="E7577" t="s">
        <v>17279</v>
      </c>
      <c r="F7577" t="s">
        <v>29372</v>
      </c>
      <c r="G7577" t="s">
        <v>29380</v>
      </c>
      <c r="H7577" t="s">
        <v>11048</v>
      </c>
      <c r="I7577" t="s">
        <v>29458</v>
      </c>
      <c r="J7577" t="s">
        <v>34423</v>
      </c>
      <c r="K7577" t="s">
        <v>38488</v>
      </c>
      <c r="M7577" t="s">
        <v>41367</v>
      </c>
      <c r="N7577" t="s">
        <v>42669</v>
      </c>
      <c r="O7577" t="s">
        <v>42670</v>
      </c>
      <c r="P7577">
        <v>0</v>
      </c>
      <c r="Q7577">
        <v>2</v>
      </c>
      <c r="R7577" t="s">
        <v>42678</v>
      </c>
      <c r="S7577" t="s">
        <v>42866</v>
      </c>
      <c r="T7577" t="s">
        <v>44444</v>
      </c>
      <c r="U7577" t="s">
        <v>51014</v>
      </c>
      <c r="W7577" t="s">
        <v>41367</v>
      </c>
      <c r="X7577" t="s">
        <v>42679</v>
      </c>
    </row>
    <row r="7578" spans="1:24">
      <c r="A7578">
        <f>HYPERLINK("https://www.philgeps.gov.ph/GEPSNONPILOT/Tender/SplashBidNoticeAbstractUI.aspx?menuIndex=3&amp;refID=7181914&amp;Result=3","7181914")</f>
        <v>0</v>
      </c>
      <c r="B7578" t="s">
        <v>2421</v>
      </c>
      <c r="C7578" t="s">
        <v>10769</v>
      </c>
      <c r="D7578" t="s">
        <v>17147</v>
      </c>
      <c r="E7578" t="s">
        <v>23795</v>
      </c>
      <c r="F7578" t="s">
        <v>29372</v>
      </c>
      <c r="G7578" t="s">
        <v>29380</v>
      </c>
      <c r="H7578" t="s">
        <v>29389</v>
      </c>
      <c r="I7578" t="s">
        <v>4709</v>
      </c>
      <c r="J7578" t="s">
        <v>34424</v>
      </c>
      <c r="K7578" t="s">
        <v>38496</v>
      </c>
      <c r="M7578" t="s">
        <v>41368</v>
      </c>
      <c r="N7578" t="s">
        <v>42669</v>
      </c>
      <c r="O7578" t="s">
        <v>42670</v>
      </c>
      <c r="P7578">
        <v>0</v>
      </c>
      <c r="Q7578">
        <v>1</v>
      </c>
      <c r="R7578" t="s">
        <v>42678</v>
      </c>
      <c r="S7578" t="s">
        <v>42866</v>
      </c>
      <c r="T7578" t="s">
        <v>44530</v>
      </c>
      <c r="U7578" t="s">
        <v>51015</v>
      </c>
      <c r="V7578" t="s">
        <v>57196</v>
      </c>
      <c r="W7578" t="s">
        <v>41368</v>
      </c>
      <c r="X7578" t="s">
        <v>42679</v>
      </c>
    </row>
    <row r="7579" spans="1:24">
      <c r="A7579">
        <f>HYPERLINK("https://www.philgeps.gov.ph/GEPSNONPILOT/Tender/SplashBidNoticeAbstractUI.aspx?menuIndex=3&amp;refID=7182232&amp;Result=3","7182232")</f>
        <v>0</v>
      </c>
      <c r="B7579" t="s">
        <v>2422</v>
      </c>
      <c r="C7579" t="s">
        <v>5813</v>
      </c>
      <c r="D7579" t="s">
        <v>17166</v>
      </c>
      <c r="E7579" t="s">
        <v>18903</v>
      </c>
      <c r="F7579" t="s">
        <v>29372</v>
      </c>
      <c r="G7579" t="s">
        <v>29380</v>
      </c>
      <c r="H7579" t="s">
        <v>11048</v>
      </c>
      <c r="I7579" t="s">
        <v>3839</v>
      </c>
      <c r="J7579" t="s">
        <v>34425</v>
      </c>
      <c r="K7579" t="s">
        <v>38488</v>
      </c>
      <c r="M7579" t="s">
        <v>41369</v>
      </c>
      <c r="N7579" t="s">
        <v>42669</v>
      </c>
      <c r="O7579" t="s">
        <v>42670</v>
      </c>
      <c r="P7579">
        <v>0</v>
      </c>
      <c r="Q7579">
        <v>3</v>
      </c>
      <c r="R7579" t="s">
        <v>42678</v>
      </c>
      <c r="S7579" t="s">
        <v>42866</v>
      </c>
      <c r="T7579" t="s">
        <v>44707</v>
      </c>
      <c r="U7579" t="s">
        <v>51016</v>
      </c>
      <c r="W7579" t="s">
        <v>41369</v>
      </c>
      <c r="X7579" t="s">
        <v>42679</v>
      </c>
    </row>
    <row r="7580" spans="1:24">
      <c r="A7580">
        <f>HYPERLINK("https://www.philgeps.gov.ph/GEPSNONPILOT/Tender/SplashBidNoticeAbstractUI.aspx?menuIndex=3&amp;refID=7182159&amp;Result=3","7182159")</f>
        <v>0</v>
      </c>
      <c r="B7580" t="s">
        <v>2423</v>
      </c>
      <c r="C7580" t="s">
        <v>10770</v>
      </c>
      <c r="E7580" t="s">
        <v>23796</v>
      </c>
      <c r="F7580" t="s">
        <v>29372</v>
      </c>
      <c r="G7580" t="s">
        <v>29380</v>
      </c>
      <c r="H7580" t="s">
        <v>11048</v>
      </c>
      <c r="I7580" t="s">
        <v>10408</v>
      </c>
      <c r="J7580" t="s">
        <v>32246</v>
      </c>
      <c r="K7580" t="s">
        <v>38518</v>
      </c>
      <c r="M7580" t="s">
        <v>41370</v>
      </c>
      <c r="N7580" t="s">
        <v>42669</v>
      </c>
      <c r="O7580" t="s">
        <v>42670</v>
      </c>
      <c r="P7580">
        <v>0</v>
      </c>
      <c r="Q7580">
        <v>2</v>
      </c>
      <c r="R7580" t="s">
        <v>42678</v>
      </c>
      <c r="S7580" t="s">
        <v>42866</v>
      </c>
      <c r="T7580" t="s">
        <v>44432</v>
      </c>
      <c r="U7580" t="s">
        <v>51017</v>
      </c>
      <c r="W7580" t="s">
        <v>41370</v>
      </c>
      <c r="X7580" t="s">
        <v>42679</v>
      </c>
    </row>
    <row r="7581" spans="1:24">
      <c r="A7581">
        <f>HYPERLINK("https://www.philgeps.gov.ph/GEPSNONPILOT/Tender/SplashBidNoticeAbstractUI.aspx?menuIndex=3&amp;refID=7182230&amp;Result=3","7182230")</f>
        <v>0</v>
      </c>
      <c r="B7581" t="s">
        <v>2410</v>
      </c>
      <c r="C7581" t="s">
        <v>10771</v>
      </c>
      <c r="D7581" t="s">
        <v>17189</v>
      </c>
      <c r="E7581" t="s">
        <v>20026</v>
      </c>
      <c r="F7581" t="s">
        <v>29372</v>
      </c>
      <c r="G7581" t="s">
        <v>29380</v>
      </c>
      <c r="H7581" t="s">
        <v>11048</v>
      </c>
      <c r="I7581" t="s">
        <v>3629</v>
      </c>
      <c r="J7581" t="s">
        <v>34426</v>
      </c>
      <c r="K7581" t="s">
        <v>38510</v>
      </c>
      <c r="M7581" t="s">
        <v>41356</v>
      </c>
      <c r="N7581" t="s">
        <v>42669</v>
      </c>
      <c r="O7581" t="s">
        <v>42670</v>
      </c>
      <c r="P7581">
        <v>0</v>
      </c>
      <c r="Q7581">
        <v>2</v>
      </c>
      <c r="R7581" t="s">
        <v>42678</v>
      </c>
      <c r="S7581" t="s">
        <v>42866</v>
      </c>
      <c r="T7581" t="s">
        <v>44482</v>
      </c>
      <c r="U7581" t="s">
        <v>51018</v>
      </c>
      <c r="W7581" t="s">
        <v>41356</v>
      </c>
      <c r="X7581" t="s">
        <v>42679</v>
      </c>
    </row>
    <row r="7582" spans="1:24">
      <c r="A7582">
        <f>HYPERLINK("https://www.philgeps.gov.ph/GEPSNONPILOT/Tender/SplashBidNoticeAbstractUI.aspx?menuIndex=3&amp;refID=7182225&amp;Result=3","7182225")</f>
        <v>0</v>
      </c>
      <c r="B7582" t="s">
        <v>2424</v>
      </c>
      <c r="C7582" t="s">
        <v>10772</v>
      </c>
      <c r="D7582" t="s">
        <v>17213</v>
      </c>
      <c r="E7582" t="s">
        <v>23797</v>
      </c>
      <c r="F7582" t="s">
        <v>29372</v>
      </c>
      <c r="G7582" t="s">
        <v>29380</v>
      </c>
      <c r="H7582" t="s">
        <v>11048</v>
      </c>
      <c r="I7582" t="s">
        <v>29395</v>
      </c>
      <c r="J7582" t="s">
        <v>34427</v>
      </c>
      <c r="K7582" t="s">
        <v>38488</v>
      </c>
      <c r="L7582" t="s">
        <v>2424</v>
      </c>
      <c r="M7582" t="s">
        <v>41371</v>
      </c>
      <c r="N7582" t="s">
        <v>42669</v>
      </c>
      <c r="O7582" t="s">
        <v>42670</v>
      </c>
      <c r="P7582">
        <v>0</v>
      </c>
      <c r="Q7582">
        <v>0</v>
      </c>
      <c r="R7582" t="s">
        <v>42678</v>
      </c>
      <c r="S7582" t="s">
        <v>42866</v>
      </c>
      <c r="T7582" t="s">
        <v>44412</v>
      </c>
      <c r="U7582" t="s">
        <v>51019</v>
      </c>
      <c r="V7582" t="s">
        <v>57197</v>
      </c>
      <c r="W7582" t="s">
        <v>41371</v>
      </c>
      <c r="X7582" t="s">
        <v>42679</v>
      </c>
    </row>
    <row r="7583" spans="1:24">
      <c r="A7583">
        <f>HYPERLINK("https://www.philgeps.gov.ph/GEPSNONPILOT/Tender/SplashBidNoticeAbstractUI.aspx?menuIndex=3&amp;refID=7182223&amp;Result=3","7182223")</f>
        <v>0</v>
      </c>
      <c r="B7583" t="s">
        <v>2349</v>
      </c>
      <c r="C7583" t="s">
        <v>10773</v>
      </c>
      <c r="D7583" t="s">
        <v>17187</v>
      </c>
      <c r="E7583" t="s">
        <v>23798</v>
      </c>
      <c r="F7583" t="s">
        <v>29372</v>
      </c>
      <c r="G7583" t="s">
        <v>29379</v>
      </c>
      <c r="H7583" t="s">
        <v>11048</v>
      </c>
      <c r="I7583" t="s">
        <v>9642</v>
      </c>
      <c r="J7583" t="s">
        <v>33291</v>
      </c>
      <c r="K7583" t="s">
        <v>38491</v>
      </c>
      <c r="M7583" t="s">
        <v>41282</v>
      </c>
      <c r="N7583" t="s">
        <v>42669</v>
      </c>
      <c r="O7583" t="s">
        <v>42670</v>
      </c>
      <c r="P7583">
        <v>0</v>
      </c>
      <c r="Q7583">
        <v>6</v>
      </c>
      <c r="R7583" t="s">
        <v>42678</v>
      </c>
      <c r="S7583" t="s">
        <v>42866</v>
      </c>
      <c r="T7583" t="s">
        <v>44429</v>
      </c>
      <c r="U7583" t="s">
        <v>50720</v>
      </c>
      <c r="W7583" t="s">
        <v>41282</v>
      </c>
      <c r="X7583" t="s">
        <v>42679</v>
      </c>
    </row>
    <row r="7584" spans="1:24">
      <c r="A7584">
        <f>HYPERLINK("https://www.philgeps.gov.ph/GEPSNONPILOT/Tender/SplashBidNoticeAbstractUI.aspx?menuIndex=3&amp;refID=7182213&amp;Result=3","7182213")</f>
        <v>0</v>
      </c>
      <c r="B7584" t="s">
        <v>1084</v>
      </c>
      <c r="C7584" t="s">
        <v>10774</v>
      </c>
      <c r="D7584" t="s">
        <v>17179</v>
      </c>
      <c r="E7584" t="s">
        <v>23799</v>
      </c>
      <c r="F7584" t="s">
        <v>29372</v>
      </c>
      <c r="G7584" t="s">
        <v>29380</v>
      </c>
      <c r="H7584" t="s">
        <v>29389</v>
      </c>
      <c r="I7584" t="s">
        <v>10408</v>
      </c>
      <c r="J7584" t="s">
        <v>34428</v>
      </c>
      <c r="K7584" t="s">
        <v>38490</v>
      </c>
      <c r="M7584" t="s">
        <v>41372</v>
      </c>
      <c r="N7584" t="s">
        <v>42669</v>
      </c>
      <c r="O7584" t="s">
        <v>42670</v>
      </c>
      <c r="P7584">
        <v>0</v>
      </c>
      <c r="Q7584">
        <v>0</v>
      </c>
      <c r="R7584" t="s">
        <v>42678</v>
      </c>
      <c r="S7584" t="s">
        <v>42866</v>
      </c>
      <c r="T7584" t="s">
        <v>44450</v>
      </c>
      <c r="U7584" t="s">
        <v>51020</v>
      </c>
      <c r="W7584" t="s">
        <v>41372</v>
      </c>
      <c r="X7584" t="s">
        <v>42679</v>
      </c>
    </row>
    <row r="7585" spans="1:24">
      <c r="A7585">
        <f>HYPERLINK("https://www.philgeps.gov.ph/GEPSNONPILOT/Tender/SplashBidNoticeAbstractUI.aspx?menuIndex=3&amp;refID=7182237&amp;Result=3","7182237")</f>
        <v>0</v>
      </c>
      <c r="B7585" t="s">
        <v>1084</v>
      </c>
      <c r="C7585" t="s">
        <v>10775</v>
      </c>
      <c r="D7585" t="s">
        <v>17179</v>
      </c>
      <c r="E7585" t="s">
        <v>23800</v>
      </c>
      <c r="F7585" t="s">
        <v>29372</v>
      </c>
      <c r="G7585" t="s">
        <v>29380</v>
      </c>
      <c r="H7585" t="s">
        <v>29389</v>
      </c>
      <c r="I7585" t="s">
        <v>10408</v>
      </c>
      <c r="J7585" t="s">
        <v>34429</v>
      </c>
      <c r="K7585" t="s">
        <v>38490</v>
      </c>
      <c r="M7585" t="s">
        <v>41372</v>
      </c>
      <c r="N7585" t="s">
        <v>42669</v>
      </c>
      <c r="O7585" t="s">
        <v>42670</v>
      </c>
      <c r="P7585">
        <v>0</v>
      </c>
      <c r="Q7585">
        <v>0</v>
      </c>
      <c r="R7585" t="s">
        <v>42678</v>
      </c>
      <c r="S7585" t="s">
        <v>42866</v>
      </c>
      <c r="T7585" t="s">
        <v>44450</v>
      </c>
      <c r="U7585" t="s">
        <v>47177</v>
      </c>
      <c r="W7585" t="s">
        <v>41372</v>
      </c>
      <c r="X7585" t="s">
        <v>42679</v>
      </c>
    </row>
    <row r="7586" spans="1:24">
      <c r="A7586">
        <f>HYPERLINK("https://www.philgeps.gov.ph/GEPSNONPILOT/Tender/SplashBidNoticeAbstractUI.aspx?menuIndex=3&amp;refID=7182212&amp;Result=3","7182212")</f>
        <v>0</v>
      </c>
      <c r="B7586" t="s">
        <v>2349</v>
      </c>
      <c r="C7586" t="s">
        <v>10776</v>
      </c>
      <c r="D7586" t="s">
        <v>17187</v>
      </c>
      <c r="E7586" t="s">
        <v>23801</v>
      </c>
      <c r="F7586" t="s">
        <v>29372</v>
      </c>
      <c r="G7586" t="s">
        <v>29383</v>
      </c>
      <c r="H7586" t="s">
        <v>11048</v>
      </c>
      <c r="I7586" t="s">
        <v>29432</v>
      </c>
      <c r="J7586" t="s">
        <v>34430</v>
      </c>
      <c r="K7586" t="s">
        <v>38491</v>
      </c>
      <c r="M7586" t="s">
        <v>41282</v>
      </c>
      <c r="N7586" t="s">
        <v>42669</v>
      </c>
      <c r="O7586" t="s">
        <v>42670</v>
      </c>
      <c r="P7586">
        <v>0</v>
      </c>
      <c r="Q7586">
        <v>3</v>
      </c>
      <c r="R7586" t="s">
        <v>42678</v>
      </c>
      <c r="S7586" t="s">
        <v>42866</v>
      </c>
      <c r="T7586" t="s">
        <v>44429</v>
      </c>
      <c r="U7586" t="s">
        <v>50720</v>
      </c>
      <c r="W7586" t="s">
        <v>41282</v>
      </c>
      <c r="X7586" t="s">
        <v>42679</v>
      </c>
    </row>
    <row r="7587" spans="1:24">
      <c r="A7587">
        <f>HYPERLINK("https://www.philgeps.gov.ph/GEPSNONPILOT/Tender/SplashBidNoticeAbstractUI.aspx?menuIndex=3&amp;refID=7182202&amp;Result=3","7182202")</f>
        <v>0</v>
      </c>
      <c r="B7587" t="s">
        <v>2410</v>
      </c>
      <c r="C7587" t="s">
        <v>10777</v>
      </c>
      <c r="D7587" t="s">
        <v>17189</v>
      </c>
      <c r="E7587" t="s">
        <v>20026</v>
      </c>
      <c r="F7587" t="s">
        <v>29372</v>
      </c>
      <c r="G7587" t="s">
        <v>29380</v>
      </c>
      <c r="H7587" t="s">
        <v>29389</v>
      </c>
      <c r="I7587" t="s">
        <v>10408</v>
      </c>
      <c r="J7587" t="s">
        <v>34431</v>
      </c>
      <c r="K7587" t="s">
        <v>38510</v>
      </c>
      <c r="M7587" t="s">
        <v>41356</v>
      </c>
      <c r="N7587" t="s">
        <v>42669</v>
      </c>
      <c r="O7587" t="s">
        <v>42670</v>
      </c>
      <c r="P7587">
        <v>0</v>
      </c>
      <c r="Q7587">
        <v>1</v>
      </c>
      <c r="R7587" t="s">
        <v>42678</v>
      </c>
      <c r="S7587" t="s">
        <v>42866</v>
      </c>
      <c r="T7587" t="s">
        <v>44482</v>
      </c>
      <c r="U7587" t="s">
        <v>51021</v>
      </c>
      <c r="W7587" t="s">
        <v>41356</v>
      </c>
      <c r="X7587" t="s">
        <v>42679</v>
      </c>
    </row>
    <row r="7588" spans="1:24">
      <c r="A7588">
        <f>HYPERLINK("https://www.philgeps.gov.ph/GEPSNONPILOT/Tender/SplashBidNoticeAbstractUI.aspx?menuIndex=3&amp;refID=7182200&amp;Result=3","7182200")</f>
        <v>0</v>
      </c>
      <c r="B7588" t="s">
        <v>2423</v>
      </c>
      <c r="C7588" t="s">
        <v>10778</v>
      </c>
      <c r="D7588" t="s">
        <v>17172</v>
      </c>
      <c r="E7588" t="s">
        <v>23802</v>
      </c>
      <c r="F7588" t="s">
        <v>29372</v>
      </c>
      <c r="G7588" t="s">
        <v>29380</v>
      </c>
      <c r="H7588" t="s">
        <v>29389</v>
      </c>
      <c r="I7588" t="s">
        <v>10408</v>
      </c>
      <c r="J7588" t="s">
        <v>31347</v>
      </c>
      <c r="K7588" t="s">
        <v>38518</v>
      </c>
      <c r="M7588" t="s">
        <v>41370</v>
      </c>
      <c r="N7588" t="s">
        <v>42669</v>
      </c>
      <c r="O7588" t="s">
        <v>42670</v>
      </c>
      <c r="P7588">
        <v>0</v>
      </c>
      <c r="Q7588">
        <v>0</v>
      </c>
      <c r="R7588" t="s">
        <v>42678</v>
      </c>
      <c r="S7588" t="s">
        <v>42866</v>
      </c>
      <c r="T7588" t="s">
        <v>44427</v>
      </c>
      <c r="U7588" t="s">
        <v>51022</v>
      </c>
      <c r="W7588" t="s">
        <v>41370</v>
      </c>
      <c r="X7588" t="s">
        <v>42679</v>
      </c>
    </row>
    <row r="7589" spans="1:24">
      <c r="A7589">
        <f>HYPERLINK("https://www.philgeps.gov.ph/GEPSNONPILOT/Tender/SplashBidNoticeAbstractUI.aspx?menuIndex=3&amp;refID=7182199&amp;Result=3","7182199")</f>
        <v>0</v>
      </c>
      <c r="B7589" t="s">
        <v>2425</v>
      </c>
      <c r="C7589" t="s">
        <v>10779</v>
      </c>
      <c r="D7589" t="s">
        <v>17204</v>
      </c>
      <c r="E7589" t="s">
        <v>18800</v>
      </c>
      <c r="F7589" t="s">
        <v>29372</v>
      </c>
      <c r="G7589" t="s">
        <v>29383</v>
      </c>
      <c r="H7589" t="s">
        <v>11048</v>
      </c>
      <c r="I7589" t="s">
        <v>29398</v>
      </c>
      <c r="J7589" t="s">
        <v>29658</v>
      </c>
      <c r="K7589" t="s">
        <v>38490</v>
      </c>
      <c r="M7589" t="s">
        <v>41373</v>
      </c>
      <c r="N7589" t="s">
        <v>42669</v>
      </c>
      <c r="O7589" t="s">
        <v>42670</v>
      </c>
      <c r="P7589">
        <v>0</v>
      </c>
      <c r="Q7589">
        <v>10</v>
      </c>
      <c r="R7589" t="s">
        <v>42678</v>
      </c>
      <c r="S7589" t="s">
        <v>42866</v>
      </c>
      <c r="T7589" t="s">
        <v>44512</v>
      </c>
      <c r="U7589" t="s">
        <v>51023</v>
      </c>
      <c r="W7589" t="s">
        <v>41373</v>
      </c>
      <c r="X7589" t="s">
        <v>42679</v>
      </c>
    </row>
    <row r="7590" spans="1:24">
      <c r="A7590">
        <f>HYPERLINK("https://www.philgeps.gov.ph/GEPSNONPILOT/Tender/SplashBidNoticeAbstractUI.aspx?menuIndex=3&amp;refID=7182194&amp;Result=3","7182194")</f>
        <v>0</v>
      </c>
      <c r="B7590" t="s">
        <v>820</v>
      </c>
      <c r="C7590" t="s">
        <v>10780</v>
      </c>
      <c r="D7590" t="s">
        <v>17165</v>
      </c>
      <c r="E7590" t="s">
        <v>23803</v>
      </c>
      <c r="F7590" t="s">
        <v>29372</v>
      </c>
      <c r="G7590" t="s">
        <v>29379</v>
      </c>
      <c r="H7590" t="s">
        <v>11048</v>
      </c>
      <c r="I7590" t="s">
        <v>3695</v>
      </c>
      <c r="J7590" t="s">
        <v>34432</v>
      </c>
      <c r="K7590" t="s">
        <v>38488</v>
      </c>
      <c r="M7590" t="s">
        <v>39606</v>
      </c>
      <c r="N7590" t="s">
        <v>42669</v>
      </c>
      <c r="O7590" t="s">
        <v>42670</v>
      </c>
      <c r="P7590">
        <v>0</v>
      </c>
      <c r="Q7590">
        <v>3</v>
      </c>
      <c r="R7590" t="s">
        <v>42678</v>
      </c>
      <c r="S7590" t="s">
        <v>42866</v>
      </c>
      <c r="T7590" t="s">
        <v>44491</v>
      </c>
      <c r="U7590" t="s">
        <v>51024</v>
      </c>
      <c r="W7590" t="s">
        <v>39606</v>
      </c>
      <c r="X7590" t="s">
        <v>42679</v>
      </c>
    </row>
    <row r="7591" spans="1:24">
      <c r="A7591">
        <f>HYPERLINK("https://www.philgeps.gov.ph/GEPSNONPILOT/Tender/SplashBidNoticeAbstractUI.aspx?menuIndex=3&amp;refID=7182215&amp;Result=3","7182215")</f>
        <v>0</v>
      </c>
      <c r="B7591" t="s">
        <v>1682</v>
      </c>
      <c r="C7591" t="s">
        <v>10781</v>
      </c>
      <c r="D7591" t="s">
        <v>17164</v>
      </c>
      <c r="E7591" t="s">
        <v>23804</v>
      </c>
      <c r="F7591" t="s">
        <v>29372</v>
      </c>
      <c r="G7591" t="s">
        <v>29380</v>
      </c>
      <c r="H7591" t="s">
        <v>29389</v>
      </c>
      <c r="I7591" t="s">
        <v>10408</v>
      </c>
      <c r="J7591" t="s">
        <v>34433</v>
      </c>
      <c r="K7591" t="s">
        <v>38495</v>
      </c>
      <c r="M7591" t="s">
        <v>40542</v>
      </c>
      <c r="N7591" t="s">
        <v>42669</v>
      </c>
      <c r="O7591" t="s">
        <v>42670</v>
      </c>
      <c r="P7591">
        <v>0</v>
      </c>
      <c r="Q7591">
        <v>1</v>
      </c>
      <c r="R7591" t="s">
        <v>42678</v>
      </c>
      <c r="S7591" t="s">
        <v>42866</v>
      </c>
      <c r="T7591" t="s">
        <v>44368</v>
      </c>
      <c r="U7591" t="s">
        <v>51025</v>
      </c>
      <c r="W7591" t="s">
        <v>40542</v>
      </c>
      <c r="X7591" t="s">
        <v>42679</v>
      </c>
    </row>
    <row r="7592" spans="1:24">
      <c r="A7592">
        <f>HYPERLINK("https://www.philgeps.gov.ph/GEPSNONPILOT/Tender/SplashBidNoticeAbstractUI.aspx?menuIndex=3&amp;refID=7182167&amp;Result=3","7182167")</f>
        <v>0</v>
      </c>
      <c r="B7592" t="s">
        <v>2426</v>
      </c>
      <c r="C7592" t="s">
        <v>10782</v>
      </c>
      <c r="D7592" t="s">
        <v>17153</v>
      </c>
      <c r="E7592" t="s">
        <v>23805</v>
      </c>
      <c r="F7592" t="s">
        <v>29372</v>
      </c>
      <c r="G7592" t="s">
        <v>29380</v>
      </c>
      <c r="H7592" t="s">
        <v>11048</v>
      </c>
      <c r="I7592" t="s">
        <v>4487</v>
      </c>
      <c r="J7592" t="s">
        <v>34434</v>
      </c>
      <c r="K7592" t="s">
        <v>38485</v>
      </c>
      <c r="M7592" t="s">
        <v>41374</v>
      </c>
      <c r="N7592" t="s">
        <v>42669</v>
      </c>
      <c r="O7592" t="s">
        <v>42670</v>
      </c>
      <c r="P7592">
        <v>0</v>
      </c>
      <c r="Q7592">
        <v>4</v>
      </c>
      <c r="R7592" t="s">
        <v>42678</v>
      </c>
      <c r="S7592" t="s">
        <v>42866</v>
      </c>
      <c r="T7592" t="s">
        <v>44452</v>
      </c>
      <c r="U7592" t="s">
        <v>51026</v>
      </c>
      <c r="V7592" t="s">
        <v>57198</v>
      </c>
      <c r="W7592" t="s">
        <v>41374</v>
      </c>
      <c r="X7592" t="s">
        <v>42679</v>
      </c>
    </row>
    <row r="7593" spans="1:24">
      <c r="A7593">
        <f>HYPERLINK("https://www.philgeps.gov.ph/GEPSNONPILOT/Tender/SplashBidNoticeAbstractUI.aspx?menuIndex=3&amp;refID=7182093&amp;Result=3","7182093")</f>
        <v>0</v>
      </c>
      <c r="B7593" t="s">
        <v>1727</v>
      </c>
      <c r="C7593" t="s">
        <v>10783</v>
      </c>
      <c r="D7593" t="s">
        <v>17193</v>
      </c>
      <c r="E7593" t="s">
        <v>23806</v>
      </c>
      <c r="F7593" t="s">
        <v>29372</v>
      </c>
      <c r="G7593" t="s">
        <v>29380</v>
      </c>
      <c r="H7593" t="s">
        <v>11048</v>
      </c>
      <c r="I7593" t="s">
        <v>3839</v>
      </c>
      <c r="J7593" t="s">
        <v>29587</v>
      </c>
      <c r="K7593" t="s">
        <v>38490</v>
      </c>
      <c r="M7593" t="s">
        <v>40591</v>
      </c>
      <c r="N7593" t="s">
        <v>42669</v>
      </c>
      <c r="O7593" t="s">
        <v>42670</v>
      </c>
      <c r="P7593">
        <v>0</v>
      </c>
      <c r="Q7593">
        <v>4</v>
      </c>
      <c r="R7593" t="s">
        <v>42678</v>
      </c>
      <c r="S7593" t="s">
        <v>42866</v>
      </c>
      <c r="T7593" t="s">
        <v>44427</v>
      </c>
      <c r="U7593" t="s">
        <v>51027</v>
      </c>
      <c r="V7593" t="s">
        <v>57199</v>
      </c>
      <c r="W7593" t="s">
        <v>40591</v>
      </c>
      <c r="X7593" t="s">
        <v>42679</v>
      </c>
    </row>
    <row r="7594" spans="1:24">
      <c r="A7594">
        <f>HYPERLINK("https://www.philgeps.gov.ph/GEPSNONPILOT/Tender/SplashBidNoticeAbstractUI.aspx?menuIndex=3&amp;refID=7182190&amp;Result=3","7182190")</f>
        <v>0</v>
      </c>
      <c r="B7594" t="s">
        <v>2384</v>
      </c>
      <c r="C7594" t="s">
        <v>10784</v>
      </c>
      <c r="E7594" t="s">
        <v>23807</v>
      </c>
      <c r="F7594" t="s">
        <v>29372</v>
      </c>
      <c r="G7594" t="s">
        <v>29380</v>
      </c>
      <c r="H7594" t="s">
        <v>29389</v>
      </c>
      <c r="I7594" t="s">
        <v>10408</v>
      </c>
      <c r="J7594" t="s">
        <v>34435</v>
      </c>
      <c r="K7594" t="s">
        <v>38496</v>
      </c>
      <c r="M7594" t="s">
        <v>41329</v>
      </c>
      <c r="N7594" t="s">
        <v>42669</v>
      </c>
      <c r="O7594" t="s">
        <v>42670</v>
      </c>
      <c r="P7594">
        <v>0</v>
      </c>
      <c r="Q7594">
        <v>2</v>
      </c>
      <c r="R7594" t="s">
        <v>42678</v>
      </c>
      <c r="S7594" t="s">
        <v>42866</v>
      </c>
      <c r="T7594" t="s">
        <v>44368</v>
      </c>
      <c r="U7594" t="s">
        <v>51028</v>
      </c>
      <c r="W7594" t="s">
        <v>41329</v>
      </c>
      <c r="X7594" t="s">
        <v>42679</v>
      </c>
    </row>
    <row r="7595" spans="1:24">
      <c r="A7595">
        <f>HYPERLINK("https://www.philgeps.gov.ph/GEPSNONPILOT/Tender/SplashBidNoticeAbstractUI.aspx?menuIndex=3&amp;refID=7182185&amp;Result=3","7182185")</f>
        <v>0</v>
      </c>
      <c r="B7595" t="s">
        <v>2427</v>
      </c>
      <c r="C7595" t="s">
        <v>10785</v>
      </c>
      <c r="D7595" t="s">
        <v>17153</v>
      </c>
      <c r="E7595" t="s">
        <v>23808</v>
      </c>
      <c r="F7595" t="s">
        <v>29372</v>
      </c>
      <c r="G7595" t="s">
        <v>29380</v>
      </c>
      <c r="H7595" t="s">
        <v>11048</v>
      </c>
      <c r="I7595" t="s">
        <v>3839</v>
      </c>
      <c r="J7595" t="s">
        <v>34436</v>
      </c>
      <c r="K7595" t="s">
        <v>38603</v>
      </c>
      <c r="L7595" t="s">
        <v>2427</v>
      </c>
      <c r="M7595" t="s">
        <v>41375</v>
      </c>
      <c r="N7595" t="s">
        <v>42669</v>
      </c>
      <c r="O7595" t="s">
        <v>42670</v>
      </c>
      <c r="P7595">
        <v>0</v>
      </c>
      <c r="Q7595">
        <v>4</v>
      </c>
      <c r="R7595" t="s">
        <v>42678</v>
      </c>
      <c r="S7595" t="s">
        <v>42866</v>
      </c>
      <c r="T7595" t="s">
        <v>44517</v>
      </c>
      <c r="U7595" t="s">
        <v>51029</v>
      </c>
      <c r="W7595" t="s">
        <v>41375</v>
      </c>
      <c r="X7595" t="s">
        <v>42679</v>
      </c>
    </row>
    <row r="7596" spans="1:24">
      <c r="A7596">
        <f>HYPERLINK("https://www.philgeps.gov.ph/GEPSNONPILOT/Tender/SplashBidNoticeAbstractUI.aspx?menuIndex=3&amp;refID=7182181&amp;Result=3","7182181")</f>
        <v>0</v>
      </c>
      <c r="B7596" t="s">
        <v>2409</v>
      </c>
      <c r="C7596" t="s">
        <v>10786</v>
      </c>
      <c r="D7596" t="s">
        <v>17153</v>
      </c>
      <c r="E7596" t="s">
        <v>23809</v>
      </c>
      <c r="F7596" t="s">
        <v>29372</v>
      </c>
      <c r="G7596" t="s">
        <v>29380</v>
      </c>
      <c r="H7596" t="s">
        <v>29389</v>
      </c>
      <c r="I7596" t="s">
        <v>10408</v>
      </c>
      <c r="J7596" t="s">
        <v>34437</v>
      </c>
      <c r="K7596" t="s">
        <v>38495</v>
      </c>
      <c r="L7596" t="s">
        <v>2409</v>
      </c>
      <c r="M7596" t="s">
        <v>41355</v>
      </c>
      <c r="N7596" t="s">
        <v>42669</v>
      </c>
      <c r="O7596" t="s">
        <v>42670</v>
      </c>
      <c r="P7596">
        <v>0</v>
      </c>
      <c r="Q7596">
        <v>6</v>
      </c>
      <c r="R7596" t="s">
        <v>42678</v>
      </c>
      <c r="S7596" t="s">
        <v>42866</v>
      </c>
      <c r="T7596" t="s">
        <v>44557</v>
      </c>
      <c r="U7596" t="s">
        <v>51030</v>
      </c>
      <c r="W7596" t="s">
        <v>41355</v>
      </c>
      <c r="X7596" t="s">
        <v>42679</v>
      </c>
    </row>
    <row r="7597" spans="1:24">
      <c r="A7597">
        <f>HYPERLINK("https://www.philgeps.gov.ph/GEPSNONPILOT/Tender/SplashBidNoticeAbstractUI.aspx?menuIndex=3&amp;refID=7182141&amp;Result=3","7182141")</f>
        <v>0</v>
      </c>
      <c r="B7597" t="s">
        <v>2422</v>
      </c>
      <c r="C7597" t="s">
        <v>10787</v>
      </c>
      <c r="D7597" t="s">
        <v>17166</v>
      </c>
      <c r="E7597" t="s">
        <v>18886</v>
      </c>
      <c r="F7597" t="s">
        <v>29372</v>
      </c>
      <c r="G7597" t="s">
        <v>29380</v>
      </c>
      <c r="H7597" t="s">
        <v>11048</v>
      </c>
      <c r="I7597" t="s">
        <v>29424</v>
      </c>
      <c r="J7597" t="s">
        <v>29721</v>
      </c>
      <c r="K7597" t="s">
        <v>38488</v>
      </c>
      <c r="M7597" t="s">
        <v>41369</v>
      </c>
      <c r="N7597" t="s">
        <v>42669</v>
      </c>
      <c r="O7597" t="s">
        <v>42670</v>
      </c>
      <c r="P7597">
        <v>0</v>
      </c>
      <c r="Q7597">
        <v>3</v>
      </c>
      <c r="R7597" t="s">
        <v>42678</v>
      </c>
      <c r="S7597" t="s">
        <v>42866</v>
      </c>
      <c r="T7597" t="s">
        <v>44565</v>
      </c>
      <c r="U7597" t="s">
        <v>51031</v>
      </c>
      <c r="W7597" t="s">
        <v>41369</v>
      </c>
      <c r="X7597" t="s">
        <v>42679</v>
      </c>
    </row>
    <row r="7598" spans="1:24">
      <c r="A7598">
        <f>HYPERLINK("https://www.philgeps.gov.ph/GEPSNONPILOT/Tender/SplashBidNoticeAbstractUI.aspx?menuIndex=3&amp;refID=7182224&amp;Result=3","7182224")</f>
        <v>0</v>
      </c>
      <c r="B7598" t="s">
        <v>2409</v>
      </c>
      <c r="C7598" t="s">
        <v>10788</v>
      </c>
      <c r="D7598" t="s">
        <v>17153</v>
      </c>
      <c r="E7598" t="s">
        <v>23810</v>
      </c>
      <c r="F7598" t="s">
        <v>29372</v>
      </c>
      <c r="G7598" t="s">
        <v>29380</v>
      </c>
      <c r="H7598" t="s">
        <v>29389</v>
      </c>
      <c r="I7598" t="s">
        <v>10408</v>
      </c>
      <c r="J7598" t="s">
        <v>34438</v>
      </c>
      <c r="K7598" t="s">
        <v>38495</v>
      </c>
      <c r="L7598" t="s">
        <v>2409</v>
      </c>
      <c r="M7598" t="s">
        <v>41355</v>
      </c>
      <c r="N7598" t="s">
        <v>42669</v>
      </c>
      <c r="O7598" t="s">
        <v>42670</v>
      </c>
      <c r="P7598">
        <v>0</v>
      </c>
      <c r="Q7598">
        <v>6</v>
      </c>
      <c r="R7598" t="s">
        <v>42678</v>
      </c>
      <c r="S7598" t="s">
        <v>42866</v>
      </c>
      <c r="T7598" t="s">
        <v>44557</v>
      </c>
      <c r="U7598" t="s">
        <v>51032</v>
      </c>
      <c r="W7598" t="s">
        <v>41355</v>
      </c>
      <c r="X7598" t="s">
        <v>42679</v>
      </c>
    </row>
    <row r="7599" spans="1:24">
      <c r="A7599">
        <f>HYPERLINK("https://www.philgeps.gov.ph/GEPSNONPILOT/Tender/SplashBidNoticeAbstractUI.aspx?menuIndex=3&amp;refID=7182134&amp;Result=3","7182134")</f>
        <v>0</v>
      </c>
      <c r="B7599" t="s">
        <v>883</v>
      </c>
      <c r="C7599" t="s">
        <v>10789</v>
      </c>
      <c r="D7599" t="s">
        <v>17161</v>
      </c>
      <c r="E7599" t="s">
        <v>23811</v>
      </c>
      <c r="F7599" t="s">
        <v>29372</v>
      </c>
      <c r="G7599" t="s">
        <v>29383</v>
      </c>
      <c r="H7599" t="s">
        <v>11048</v>
      </c>
      <c r="I7599" t="s">
        <v>29399</v>
      </c>
      <c r="J7599" t="s">
        <v>34439</v>
      </c>
      <c r="K7599" t="s">
        <v>38491</v>
      </c>
      <c r="M7599" t="s">
        <v>39675</v>
      </c>
      <c r="N7599" t="s">
        <v>42669</v>
      </c>
      <c r="O7599" t="s">
        <v>42670</v>
      </c>
      <c r="P7599">
        <v>0</v>
      </c>
      <c r="Q7599">
        <v>0</v>
      </c>
      <c r="R7599" t="s">
        <v>42678</v>
      </c>
      <c r="S7599" t="s">
        <v>42866</v>
      </c>
      <c r="T7599" t="s">
        <v>44488</v>
      </c>
      <c r="U7599" t="s">
        <v>51033</v>
      </c>
      <c r="W7599" t="s">
        <v>39675</v>
      </c>
      <c r="X7599" t="s">
        <v>42679</v>
      </c>
    </row>
    <row r="7600" spans="1:24">
      <c r="A7600">
        <f>HYPERLINK("https://www.philgeps.gov.ph/GEPSNONPILOT/Tender/SplashBidNoticeAbstractUI.aspx?menuIndex=3&amp;refID=7182133&amp;Result=3","7182133")</f>
        <v>0</v>
      </c>
      <c r="B7600" t="s">
        <v>2428</v>
      </c>
      <c r="C7600" t="s">
        <v>10790</v>
      </c>
      <c r="D7600" t="s">
        <v>17166</v>
      </c>
      <c r="E7600" t="s">
        <v>17252</v>
      </c>
      <c r="F7600" t="s">
        <v>29372</v>
      </c>
      <c r="G7600" t="s">
        <v>29379</v>
      </c>
      <c r="H7600" t="s">
        <v>11048</v>
      </c>
      <c r="I7600" t="s">
        <v>29409</v>
      </c>
      <c r="J7600" t="s">
        <v>29769</v>
      </c>
      <c r="K7600" t="s">
        <v>38534</v>
      </c>
      <c r="M7600" t="s">
        <v>41376</v>
      </c>
      <c r="N7600" t="s">
        <v>42669</v>
      </c>
      <c r="O7600" t="s">
        <v>42670</v>
      </c>
      <c r="P7600">
        <v>0</v>
      </c>
      <c r="Q7600">
        <v>1</v>
      </c>
      <c r="R7600" t="s">
        <v>42678</v>
      </c>
      <c r="S7600" t="s">
        <v>42866</v>
      </c>
      <c r="T7600" t="s">
        <v>44468</v>
      </c>
      <c r="U7600" t="s">
        <v>51034</v>
      </c>
      <c r="W7600" t="s">
        <v>41376</v>
      </c>
      <c r="X7600" t="s">
        <v>42679</v>
      </c>
    </row>
    <row r="7601" spans="1:24">
      <c r="A7601">
        <f>HYPERLINK("https://www.philgeps.gov.ph/GEPSNONPILOT/Tender/SplashBidNoticeAbstractUI.aspx?menuIndex=3&amp;refID=7182132&amp;Result=3","7182132")</f>
        <v>0</v>
      </c>
      <c r="B7601" t="s">
        <v>2224</v>
      </c>
      <c r="C7601" t="s">
        <v>10791</v>
      </c>
      <c r="D7601" t="s">
        <v>17143</v>
      </c>
      <c r="E7601" t="s">
        <v>19278</v>
      </c>
      <c r="F7601" t="s">
        <v>29372</v>
      </c>
      <c r="G7601" t="s">
        <v>29380</v>
      </c>
      <c r="H7601" t="s">
        <v>29389</v>
      </c>
      <c r="I7601" t="s">
        <v>10408</v>
      </c>
      <c r="J7601" t="s">
        <v>30787</v>
      </c>
      <c r="K7601" t="s">
        <v>38622</v>
      </c>
      <c r="M7601" t="s">
        <v>41142</v>
      </c>
      <c r="N7601" t="s">
        <v>42669</v>
      </c>
      <c r="O7601" t="s">
        <v>42670</v>
      </c>
      <c r="P7601">
        <v>0</v>
      </c>
      <c r="Q7601">
        <v>0</v>
      </c>
      <c r="R7601" t="s">
        <v>42678</v>
      </c>
      <c r="S7601" t="s">
        <v>42866</v>
      </c>
      <c r="T7601" t="s">
        <v>44476</v>
      </c>
      <c r="U7601" t="s">
        <v>51035</v>
      </c>
      <c r="W7601" t="s">
        <v>41142</v>
      </c>
      <c r="X7601" t="s">
        <v>42679</v>
      </c>
    </row>
    <row r="7602" spans="1:24">
      <c r="A7602">
        <f>HYPERLINK("https://www.philgeps.gov.ph/GEPSNONPILOT/Tender/SplashBidNoticeAbstractUI.aspx?menuIndex=3&amp;refID=7182121&amp;Result=3","7182121")</f>
        <v>0</v>
      </c>
      <c r="B7602" t="s">
        <v>2384</v>
      </c>
      <c r="C7602" t="s">
        <v>10792</v>
      </c>
      <c r="D7602" t="s">
        <v>17164</v>
      </c>
      <c r="E7602" t="s">
        <v>23812</v>
      </c>
      <c r="F7602" t="s">
        <v>29372</v>
      </c>
      <c r="G7602" t="s">
        <v>29380</v>
      </c>
      <c r="H7602" t="s">
        <v>29389</v>
      </c>
      <c r="I7602" t="s">
        <v>10408</v>
      </c>
      <c r="J7602" t="s">
        <v>34440</v>
      </c>
      <c r="K7602" t="s">
        <v>38525</v>
      </c>
      <c r="M7602" t="s">
        <v>41329</v>
      </c>
      <c r="N7602" t="s">
        <v>42669</v>
      </c>
      <c r="O7602" t="s">
        <v>42670</v>
      </c>
      <c r="P7602">
        <v>0</v>
      </c>
      <c r="Q7602">
        <v>2</v>
      </c>
      <c r="R7602" t="s">
        <v>42678</v>
      </c>
      <c r="S7602" t="s">
        <v>42866</v>
      </c>
      <c r="T7602" t="s">
        <v>44368</v>
      </c>
      <c r="U7602" t="s">
        <v>51036</v>
      </c>
      <c r="W7602" t="s">
        <v>41329</v>
      </c>
      <c r="X7602" t="s">
        <v>42679</v>
      </c>
    </row>
    <row r="7603" spans="1:24">
      <c r="A7603">
        <f>HYPERLINK("https://www.philgeps.gov.ph/GEPSNONPILOT/Tender/SplashBidNoticeAbstractUI.aspx?menuIndex=3&amp;refID=7182081&amp;Result=3","7182081")</f>
        <v>0</v>
      </c>
      <c r="B7603" t="s">
        <v>2384</v>
      </c>
      <c r="C7603" t="s">
        <v>10793</v>
      </c>
      <c r="D7603" t="s">
        <v>17164</v>
      </c>
      <c r="E7603" t="s">
        <v>10793</v>
      </c>
      <c r="F7603" t="s">
        <v>29372</v>
      </c>
      <c r="G7603" t="s">
        <v>29380</v>
      </c>
      <c r="H7603" t="s">
        <v>29389</v>
      </c>
      <c r="I7603" t="s">
        <v>10408</v>
      </c>
      <c r="J7603" t="s">
        <v>34441</v>
      </c>
      <c r="K7603" t="s">
        <v>38622</v>
      </c>
      <c r="M7603" t="s">
        <v>41329</v>
      </c>
      <c r="N7603" t="s">
        <v>42669</v>
      </c>
      <c r="O7603" t="s">
        <v>42670</v>
      </c>
      <c r="P7603">
        <v>0</v>
      </c>
      <c r="Q7603">
        <v>2</v>
      </c>
      <c r="R7603" t="s">
        <v>42678</v>
      </c>
      <c r="S7603" t="s">
        <v>42866</v>
      </c>
      <c r="T7603" t="s">
        <v>44368</v>
      </c>
      <c r="U7603" t="s">
        <v>51037</v>
      </c>
      <c r="W7603" t="s">
        <v>41329</v>
      </c>
      <c r="X7603" t="s">
        <v>42679</v>
      </c>
    </row>
    <row r="7604" spans="1:24">
      <c r="A7604">
        <f>HYPERLINK("https://www.philgeps.gov.ph/GEPSNONPILOT/Tender/SplashBidNoticeAbstractUI.aspx?menuIndex=3&amp;refID=7182241&amp;Result=3","7182241")</f>
        <v>0</v>
      </c>
      <c r="B7604" t="s">
        <v>2349</v>
      </c>
      <c r="C7604" t="s">
        <v>10794</v>
      </c>
      <c r="D7604" t="s">
        <v>17187</v>
      </c>
      <c r="E7604" t="s">
        <v>23813</v>
      </c>
      <c r="F7604" t="s">
        <v>29372</v>
      </c>
      <c r="G7604" t="s">
        <v>29379</v>
      </c>
      <c r="H7604" t="s">
        <v>11048</v>
      </c>
      <c r="I7604" t="s">
        <v>8208</v>
      </c>
      <c r="J7604" t="s">
        <v>34442</v>
      </c>
      <c r="K7604" t="s">
        <v>38491</v>
      </c>
      <c r="M7604" t="s">
        <v>41282</v>
      </c>
      <c r="N7604" t="s">
        <v>42669</v>
      </c>
      <c r="O7604" t="s">
        <v>42670</v>
      </c>
      <c r="P7604">
        <v>0</v>
      </c>
      <c r="Q7604">
        <v>0</v>
      </c>
      <c r="R7604" t="s">
        <v>42678</v>
      </c>
      <c r="S7604" t="s">
        <v>42866</v>
      </c>
      <c r="T7604" t="s">
        <v>44429</v>
      </c>
      <c r="U7604" t="s">
        <v>50720</v>
      </c>
      <c r="W7604" t="s">
        <v>41282</v>
      </c>
      <c r="X7604" t="s">
        <v>42679</v>
      </c>
    </row>
    <row r="7605" spans="1:24">
      <c r="A7605">
        <f>HYPERLINK("https://www.philgeps.gov.ph/GEPSNONPILOT/Tender/SplashBidNoticeAbstractUI.aspx?menuIndex=3&amp;refID=7182270&amp;Result=3","7182270")</f>
        <v>0</v>
      </c>
      <c r="B7605" t="s">
        <v>2409</v>
      </c>
      <c r="C7605" t="s">
        <v>10795</v>
      </c>
      <c r="D7605" t="s">
        <v>17153</v>
      </c>
      <c r="E7605" t="s">
        <v>23814</v>
      </c>
      <c r="F7605" t="s">
        <v>29372</v>
      </c>
      <c r="G7605" t="s">
        <v>29380</v>
      </c>
      <c r="H7605" t="s">
        <v>11048</v>
      </c>
      <c r="I7605" t="s">
        <v>29394</v>
      </c>
      <c r="J7605" t="s">
        <v>31232</v>
      </c>
      <c r="K7605" t="s">
        <v>38485</v>
      </c>
      <c r="L7605" t="s">
        <v>2409</v>
      </c>
      <c r="M7605" t="s">
        <v>41355</v>
      </c>
      <c r="N7605" t="s">
        <v>42669</v>
      </c>
      <c r="O7605" t="s">
        <v>42670</v>
      </c>
      <c r="P7605">
        <v>0</v>
      </c>
      <c r="Q7605">
        <v>2</v>
      </c>
      <c r="R7605" t="s">
        <v>42678</v>
      </c>
      <c r="S7605" t="s">
        <v>42866</v>
      </c>
      <c r="T7605" t="s">
        <v>44557</v>
      </c>
      <c r="U7605" t="s">
        <v>51038</v>
      </c>
      <c r="W7605" t="s">
        <v>41355</v>
      </c>
      <c r="X7605" t="s">
        <v>42679</v>
      </c>
    </row>
    <row r="7606" spans="1:24">
      <c r="A7606">
        <f>HYPERLINK("https://www.philgeps.gov.ph/GEPSNONPILOT/Tender/SplashBidNoticeAbstractUI.aspx?menuIndex=3&amp;refID=7182143&amp;Result=3","7182143")</f>
        <v>0</v>
      </c>
      <c r="B7606" t="s">
        <v>2410</v>
      </c>
      <c r="C7606" t="s">
        <v>10796</v>
      </c>
      <c r="D7606" t="s">
        <v>17189</v>
      </c>
      <c r="E7606" t="s">
        <v>20026</v>
      </c>
      <c r="F7606" t="s">
        <v>29372</v>
      </c>
      <c r="G7606" t="s">
        <v>29380</v>
      </c>
      <c r="H7606" t="s">
        <v>11048</v>
      </c>
      <c r="I7606" t="s">
        <v>29419</v>
      </c>
      <c r="J7606" t="s">
        <v>31306</v>
      </c>
      <c r="K7606" t="s">
        <v>38510</v>
      </c>
      <c r="M7606" t="s">
        <v>41356</v>
      </c>
      <c r="N7606" t="s">
        <v>42669</v>
      </c>
      <c r="O7606" t="s">
        <v>42670</v>
      </c>
      <c r="P7606">
        <v>0</v>
      </c>
      <c r="Q7606">
        <v>6</v>
      </c>
      <c r="R7606" t="s">
        <v>42678</v>
      </c>
      <c r="S7606" t="s">
        <v>42866</v>
      </c>
      <c r="T7606" t="s">
        <v>44482</v>
      </c>
      <c r="U7606" t="s">
        <v>51039</v>
      </c>
      <c r="W7606" t="s">
        <v>41356</v>
      </c>
      <c r="X7606" t="s">
        <v>42679</v>
      </c>
    </row>
    <row r="7607" spans="1:24">
      <c r="A7607">
        <f>HYPERLINK("https://www.philgeps.gov.ph/GEPSNONPILOT/Tender/SplashBidNoticeAbstractUI.aspx?menuIndex=3&amp;refID=7182196&amp;Result=3","7182196")</f>
        <v>0</v>
      </c>
      <c r="B7607" t="s">
        <v>1084</v>
      </c>
      <c r="C7607" t="s">
        <v>10797</v>
      </c>
      <c r="D7607" t="s">
        <v>17179</v>
      </c>
      <c r="E7607" t="s">
        <v>23815</v>
      </c>
      <c r="F7607" t="s">
        <v>29372</v>
      </c>
      <c r="G7607" t="s">
        <v>29380</v>
      </c>
      <c r="H7607" t="s">
        <v>29389</v>
      </c>
      <c r="I7607" t="s">
        <v>10408</v>
      </c>
      <c r="J7607" t="s">
        <v>34443</v>
      </c>
      <c r="K7607" t="s">
        <v>38514</v>
      </c>
      <c r="M7607" t="s">
        <v>41372</v>
      </c>
      <c r="N7607" t="s">
        <v>42669</v>
      </c>
      <c r="O7607" t="s">
        <v>42670</v>
      </c>
      <c r="P7607">
        <v>0</v>
      </c>
      <c r="Q7607">
        <v>0</v>
      </c>
      <c r="R7607" t="s">
        <v>42678</v>
      </c>
      <c r="S7607" t="s">
        <v>42866</v>
      </c>
      <c r="T7607" t="s">
        <v>44450</v>
      </c>
      <c r="U7607" t="s">
        <v>51040</v>
      </c>
      <c r="W7607" t="s">
        <v>41372</v>
      </c>
      <c r="X7607" t="s">
        <v>42679</v>
      </c>
    </row>
    <row r="7608" spans="1:24">
      <c r="A7608">
        <f>HYPERLINK("https://www.philgeps.gov.ph/GEPSNONPILOT/Tender/SplashBidNoticeAbstractUI.aspx?menuIndex=3&amp;refID=7182287&amp;Result=3","7182287")</f>
        <v>0</v>
      </c>
      <c r="B7608" t="s">
        <v>2105</v>
      </c>
      <c r="C7608" t="s">
        <v>10798</v>
      </c>
      <c r="D7608" t="s">
        <v>17192</v>
      </c>
      <c r="E7608" t="s">
        <v>23816</v>
      </c>
      <c r="F7608" t="s">
        <v>29372</v>
      </c>
      <c r="G7608" t="s">
        <v>29380</v>
      </c>
      <c r="H7608" t="s">
        <v>11048</v>
      </c>
      <c r="I7608" t="s">
        <v>8614</v>
      </c>
      <c r="J7608" t="s">
        <v>34444</v>
      </c>
      <c r="K7608" t="s">
        <v>38485</v>
      </c>
      <c r="M7608" t="s">
        <v>41007</v>
      </c>
      <c r="N7608" t="s">
        <v>42669</v>
      </c>
      <c r="O7608" t="s">
        <v>42670</v>
      </c>
      <c r="P7608">
        <v>0</v>
      </c>
      <c r="Q7608">
        <v>4</v>
      </c>
      <c r="R7608" t="s">
        <v>42678</v>
      </c>
      <c r="S7608" t="s">
        <v>42866</v>
      </c>
      <c r="T7608" t="s">
        <v>44390</v>
      </c>
      <c r="U7608" t="s">
        <v>51041</v>
      </c>
      <c r="W7608" t="s">
        <v>41007</v>
      </c>
      <c r="X7608" t="s">
        <v>42679</v>
      </c>
    </row>
    <row r="7609" spans="1:24">
      <c r="A7609">
        <f>HYPERLINK("https://www.philgeps.gov.ph/GEPSNONPILOT/Tender/SplashBidNoticeAbstractUI.aspx?menuIndex=3&amp;refID=7182131&amp;Result=3","7182131")</f>
        <v>0</v>
      </c>
      <c r="B7609" t="s">
        <v>2429</v>
      </c>
      <c r="C7609" t="s">
        <v>3816</v>
      </c>
      <c r="E7609" t="s">
        <v>17493</v>
      </c>
      <c r="F7609" t="s">
        <v>29372</v>
      </c>
      <c r="G7609" t="s">
        <v>29380</v>
      </c>
      <c r="H7609" t="s">
        <v>11048</v>
      </c>
      <c r="I7609" t="s">
        <v>4487</v>
      </c>
      <c r="J7609" t="s">
        <v>34445</v>
      </c>
      <c r="K7609" t="s">
        <v>38490</v>
      </c>
      <c r="M7609" t="s">
        <v>41377</v>
      </c>
      <c r="N7609" t="s">
        <v>42669</v>
      </c>
      <c r="O7609" t="s">
        <v>42670</v>
      </c>
      <c r="P7609">
        <v>0</v>
      </c>
      <c r="Q7609">
        <v>6</v>
      </c>
      <c r="R7609" t="s">
        <v>42678</v>
      </c>
      <c r="S7609" t="s">
        <v>42866</v>
      </c>
      <c r="T7609" t="s">
        <v>44488</v>
      </c>
      <c r="U7609" t="s">
        <v>46808</v>
      </c>
      <c r="W7609" t="s">
        <v>41377</v>
      </c>
      <c r="X7609" t="s">
        <v>42679</v>
      </c>
    </row>
    <row r="7610" spans="1:24">
      <c r="A7610">
        <f>HYPERLINK("https://www.philgeps.gov.ph/GEPSNONPILOT/Tender/SplashBidNoticeAbstractUI.aspx?menuIndex=3&amp;refID=7182285&amp;Result=3","7182285")</f>
        <v>0</v>
      </c>
      <c r="B7610" t="s">
        <v>579</v>
      </c>
      <c r="C7610" t="s">
        <v>10799</v>
      </c>
      <c r="D7610" t="s">
        <v>17141</v>
      </c>
      <c r="E7610" t="s">
        <v>23817</v>
      </c>
      <c r="F7610" t="s">
        <v>29373</v>
      </c>
      <c r="G7610" t="s">
        <v>29380</v>
      </c>
      <c r="H7610" t="s">
        <v>11048</v>
      </c>
      <c r="I7610" t="s">
        <v>4487</v>
      </c>
      <c r="J7610" t="s">
        <v>34446</v>
      </c>
      <c r="K7610" t="s">
        <v>38485</v>
      </c>
      <c r="M7610" t="s">
        <v>39348</v>
      </c>
      <c r="N7610" t="s">
        <v>42669</v>
      </c>
      <c r="O7610" t="s">
        <v>42670</v>
      </c>
      <c r="P7610">
        <v>0</v>
      </c>
      <c r="Q7610">
        <v>1</v>
      </c>
      <c r="R7610" t="s">
        <v>42678</v>
      </c>
      <c r="S7610" t="s">
        <v>42866</v>
      </c>
      <c r="T7610" t="s">
        <v>44433</v>
      </c>
      <c r="U7610" t="s">
        <v>51042</v>
      </c>
      <c r="V7610" t="s">
        <v>56504</v>
      </c>
      <c r="W7610" t="s">
        <v>39348</v>
      </c>
      <c r="X7610" t="s">
        <v>42679</v>
      </c>
    </row>
    <row r="7611" spans="1:24">
      <c r="A7611">
        <f>HYPERLINK("https://www.philgeps.gov.ph/GEPSNONPILOT/Tender/SplashBidNoticeAbstractUI.aspx?menuIndex=3&amp;refID=7182280&amp;Result=3","7182280")</f>
        <v>0</v>
      </c>
      <c r="B7611" t="s">
        <v>2430</v>
      </c>
      <c r="C7611" t="s">
        <v>10800</v>
      </c>
      <c r="D7611" t="s">
        <v>17177</v>
      </c>
      <c r="E7611" t="s">
        <v>23818</v>
      </c>
      <c r="F7611" t="s">
        <v>29372</v>
      </c>
      <c r="G7611" t="s">
        <v>29379</v>
      </c>
      <c r="H7611" t="s">
        <v>11048</v>
      </c>
      <c r="I7611" t="s">
        <v>29395</v>
      </c>
      <c r="J7611" t="s">
        <v>32563</v>
      </c>
      <c r="K7611" t="s">
        <v>38490</v>
      </c>
      <c r="M7611" t="s">
        <v>41378</v>
      </c>
      <c r="N7611" t="s">
        <v>42669</v>
      </c>
      <c r="O7611" t="s">
        <v>42670</v>
      </c>
      <c r="P7611">
        <v>0</v>
      </c>
      <c r="Q7611">
        <v>1</v>
      </c>
      <c r="R7611" t="s">
        <v>42678</v>
      </c>
      <c r="S7611" t="s">
        <v>42866</v>
      </c>
      <c r="T7611" t="s">
        <v>44491</v>
      </c>
      <c r="U7611" t="s">
        <v>51043</v>
      </c>
      <c r="W7611" t="s">
        <v>41378</v>
      </c>
      <c r="X7611" t="s">
        <v>42679</v>
      </c>
    </row>
    <row r="7612" spans="1:24">
      <c r="A7612">
        <f>HYPERLINK("https://www.philgeps.gov.ph/GEPSNONPILOT/Tender/SplashBidNoticeAbstractUI.aspx?menuIndex=3&amp;refID=7182273&amp;Result=3","7182273")</f>
        <v>0</v>
      </c>
      <c r="B7612" t="s">
        <v>981</v>
      </c>
      <c r="C7612" t="s">
        <v>8208</v>
      </c>
      <c r="D7612" t="s">
        <v>17152</v>
      </c>
      <c r="E7612" t="s">
        <v>23819</v>
      </c>
      <c r="F7612" t="s">
        <v>29372</v>
      </c>
      <c r="G7612" t="s">
        <v>29380</v>
      </c>
      <c r="H7612" t="s">
        <v>11048</v>
      </c>
      <c r="I7612" t="s">
        <v>8208</v>
      </c>
      <c r="J7612" t="s">
        <v>29604</v>
      </c>
      <c r="K7612" t="s">
        <v>38490</v>
      </c>
      <c r="M7612" t="s">
        <v>39778</v>
      </c>
      <c r="N7612" t="s">
        <v>42669</v>
      </c>
      <c r="O7612" t="s">
        <v>42670</v>
      </c>
      <c r="P7612">
        <v>0</v>
      </c>
      <c r="Q7612">
        <v>0</v>
      </c>
      <c r="R7612" t="s">
        <v>42678</v>
      </c>
      <c r="S7612" t="s">
        <v>42866</v>
      </c>
      <c r="T7612" t="s">
        <v>44417</v>
      </c>
      <c r="U7612" t="s">
        <v>51044</v>
      </c>
      <c r="W7612" t="s">
        <v>39778</v>
      </c>
      <c r="X7612" t="s">
        <v>42679</v>
      </c>
    </row>
    <row r="7613" spans="1:24">
      <c r="A7613">
        <f>HYPERLINK("https://www.philgeps.gov.ph/GEPSNONPILOT/Tender/SplashBidNoticeAbstractUI.aspx?menuIndex=3&amp;refID=7182272&amp;Result=3","7182272")</f>
        <v>0</v>
      </c>
      <c r="B7613" t="s">
        <v>1416</v>
      </c>
      <c r="C7613" t="s">
        <v>10801</v>
      </c>
      <c r="D7613" t="s">
        <v>17202</v>
      </c>
      <c r="E7613" t="s">
        <v>23820</v>
      </c>
      <c r="F7613" t="s">
        <v>29372</v>
      </c>
      <c r="G7613" t="s">
        <v>29383</v>
      </c>
      <c r="H7613" t="s">
        <v>11048</v>
      </c>
      <c r="I7613" t="s">
        <v>29407</v>
      </c>
      <c r="J7613" t="s">
        <v>29642</v>
      </c>
      <c r="K7613" t="s">
        <v>38510</v>
      </c>
      <c r="M7613" t="s">
        <v>40255</v>
      </c>
      <c r="N7613" t="s">
        <v>42669</v>
      </c>
      <c r="O7613" t="s">
        <v>42670</v>
      </c>
      <c r="P7613">
        <v>0</v>
      </c>
      <c r="Q7613">
        <v>14</v>
      </c>
      <c r="R7613" t="s">
        <v>42678</v>
      </c>
      <c r="S7613" t="s">
        <v>42866</v>
      </c>
      <c r="T7613" t="s">
        <v>44488</v>
      </c>
      <c r="U7613" t="s">
        <v>51045</v>
      </c>
      <c r="V7613" t="s">
        <v>56740</v>
      </c>
      <c r="W7613" t="s">
        <v>40255</v>
      </c>
      <c r="X7613" t="s">
        <v>42679</v>
      </c>
    </row>
    <row r="7614" spans="1:24">
      <c r="A7614">
        <f>HYPERLINK("https://www.philgeps.gov.ph/GEPSNONPILOT/Tender/SplashBidNoticeAbstractUI.aspx?menuIndex=3&amp;refID=7182267&amp;Result=3","7182267")</f>
        <v>0</v>
      </c>
      <c r="B7614" t="s">
        <v>1084</v>
      </c>
      <c r="C7614" t="s">
        <v>10802</v>
      </c>
      <c r="D7614" t="s">
        <v>17179</v>
      </c>
      <c r="E7614" t="s">
        <v>23821</v>
      </c>
      <c r="F7614" t="s">
        <v>29372</v>
      </c>
      <c r="G7614" t="s">
        <v>29380</v>
      </c>
      <c r="H7614" t="s">
        <v>29389</v>
      </c>
      <c r="I7614" t="s">
        <v>10408</v>
      </c>
      <c r="J7614" t="s">
        <v>34447</v>
      </c>
      <c r="K7614" t="s">
        <v>38490</v>
      </c>
      <c r="M7614" t="s">
        <v>41372</v>
      </c>
      <c r="N7614" t="s">
        <v>42669</v>
      </c>
      <c r="O7614" t="s">
        <v>42670</v>
      </c>
      <c r="P7614">
        <v>0</v>
      </c>
      <c r="Q7614">
        <v>2</v>
      </c>
      <c r="R7614" t="s">
        <v>42678</v>
      </c>
      <c r="S7614" t="s">
        <v>42866</v>
      </c>
      <c r="T7614" t="s">
        <v>44450</v>
      </c>
      <c r="U7614" t="s">
        <v>47177</v>
      </c>
      <c r="W7614" t="s">
        <v>41372</v>
      </c>
      <c r="X7614" t="s">
        <v>42679</v>
      </c>
    </row>
    <row r="7615" spans="1:24">
      <c r="A7615">
        <f>HYPERLINK("https://www.philgeps.gov.ph/GEPSNONPILOT/Tender/SplashBidNoticeAbstractUI.aspx?menuIndex=3&amp;refID=7182266&amp;Result=3","7182266")</f>
        <v>0</v>
      </c>
      <c r="B7615" t="s">
        <v>2430</v>
      </c>
      <c r="C7615" t="s">
        <v>10803</v>
      </c>
      <c r="D7615" t="s">
        <v>17177</v>
      </c>
      <c r="E7615" t="s">
        <v>23822</v>
      </c>
      <c r="F7615" t="s">
        <v>29372</v>
      </c>
      <c r="G7615" t="s">
        <v>29379</v>
      </c>
      <c r="H7615" t="s">
        <v>11048</v>
      </c>
      <c r="I7615" t="s">
        <v>29395</v>
      </c>
      <c r="J7615" t="s">
        <v>34448</v>
      </c>
      <c r="K7615" t="s">
        <v>38490</v>
      </c>
      <c r="M7615" t="s">
        <v>41378</v>
      </c>
      <c r="N7615" t="s">
        <v>42669</v>
      </c>
      <c r="O7615" t="s">
        <v>42670</v>
      </c>
      <c r="P7615">
        <v>0</v>
      </c>
      <c r="Q7615">
        <v>1</v>
      </c>
      <c r="R7615" t="s">
        <v>42678</v>
      </c>
      <c r="S7615" t="s">
        <v>42866</v>
      </c>
      <c r="T7615" t="s">
        <v>44491</v>
      </c>
      <c r="U7615" t="s">
        <v>51046</v>
      </c>
      <c r="W7615" t="s">
        <v>41378</v>
      </c>
      <c r="X7615" t="s">
        <v>42679</v>
      </c>
    </row>
    <row r="7616" spans="1:24">
      <c r="A7616">
        <f>HYPERLINK("https://www.philgeps.gov.ph/GEPSNONPILOT/Tender/SplashBidNoticeAbstractUI.aspx?menuIndex=3&amp;refID=7182262&amp;Result=3","7182262")</f>
        <v>0</v>
      </c>
      <c r="B7616" t="s">
        <v>2420</v>
      </c>
      <c r="C7616" t="s">
        <v>10804</v>
      </c>
      <c r="D7616" t="s">
        <v>17172</v>
      </c>
      <c r="E7616" t="s">
        <v>17482</v>
      </c>
      <c r="F7616" t="s">
        <v>29372</v>
      </c>
      <c r="G7616" t="s">
        <v>29383</v>
      </c>
      <c r="H7616" t="s">
        <v>11048</v>
      </c>
      <c r="I7616" t="s">
        <v>4709</v>
      </c>
      <c r="J7616" t="s">
        <v>29799</v>
      </c>
      <c r="K7616" t="s">
        <v>38510</v>
      </c>
      <c r="M7616" t="s">
        <v>41367</v>
      </c>
      <c r="N7616" t="s">
        <v>42669</v>
      </c>
      <c r="O7616" t="s">
        <v>42670</v>
      </c>
      <c r="P7616">
        <v>0</v>
      </c>
      <c r="Q7616">
        <v>0</v>
      </c>
      <c r="R7616" t="s">
        <v>42678</v>
      </c>
      <c r="S7616" t="s">
        <v>42866</v>
      </c>
      <c r="T7616" t="s">
        <v>44469</v>
      </c>
      <c r="U7616" t="s">
        <v>51047</v>
      </c>
      <c r="W7616" t="s">
        <v>41367</v>
      </c>
      <c r="X7616" t="s">
        <v>42679</v>
      </c>
    </row>
    <row r="7617" spans="1:24">
      <c r="A7617">
        <f>HYPERLINK("https://www.philgeps.gov.ph/GEPSNONPILOT/Tender/SplashBidNoticeAbstractUI.aspx?menuIndex=3&amp;refID=7182256&amp;Result=3","7182256")</f>
        <v>0</v>
      </c>
      <c r="B7617" t="s">
        <v>1084</v>
      </c>
      <c r="C7617" t="s">
        <v>10805</v>
      </c>
      <c r="D7617" t="s">
        <v>17179</v>
      </c>
      <c r="E7617" t="s">
        <v>23823</v>
      </c>
      <c r="F7617" t="s">
        <v>29372</v>
      </c>
      <c r="G7617" t="s">
        <v>29380</v>
      </c>
      <c r="H7617" t="s">
        <v>29389</v>
      </c>
      <c r="I7617" t="s">
        <v>10408</v>
      </c>
      <c r="J7617" t="s">
        <v>34449</v>
      </c>
      <c r="K7617" t="s">
        <v>38490</v>
      </c>
      <c r="M7617" t="s">
        <v>41372</v>
      </c>
      <c r="N7617" t="s">
        <v>42669</v>
      </c>
      <c r="O7617" t="s">
        <v>42670</v>
      </c>
      <c r="P7617">
        <v>0</v>
      </c>
      <c r="Q7617">
        <v>2</v>
      </c>
      <c r="R7617" t="s">
        <v>42678</v>
      </c>
      <c r="S7617" t="s">
        <v>42866</v>
      </c>
      <c r="T7617" t="s">
        <v>44450</v>
      </c>
      <c r="U7617" t="s">
        <v>51048</v>
      </c>
      <c r="W7617" t="s">
        <v>41372</v>
      </c>
      <c r="X7617" t="s">
        <v>42679</v>
      </c>
    </row>
    <row r="7618" spans="1:24">
      <c r="A7618">
        <f>HYPERLINK("https://www.philgeps.gov.ph/GEPSNONPILOT/Tender/SplashBidNoticeAbstractUI.aspx?menuIndex=3&amp;refID=7182252&amp;Result=3","7182252")</f>
        <v>0</v>
      </c>
      <c r="B7618" t="s">
        <v>1682</v>
      </c>
      <c r="C7618" t="s">
        <v>10806</v>
      </c>
      <c r="D7618" t="s">
        <v>17164</v>
      </c>
      <c r="E7618" t="s">
        <v>23804</v>
      </c>
      <c r="F7618" t="s">
        <v>29372</v>
      </c>
      <c r="G7618" t="s">
        <v>29380</v>
      </c>
      <c r="H7618" t="s">
        <v>29389</v>
      </c>
      <c r="I7618" t="s">
        <v>10408</v>
      </c>
      <c r="J7618" t="s">
        <v>32743</v>
      </c>
      <c r="K7618" t="s">
        <v>38488</v>
      </c>
      <c r="M7618" t="s">
        <v>40542</v>
      </c>
      <c r="N7618" t="s">
        <v>42669</v>
      </c>
      <c r="O7618" t="s">
        <v>42670</v>
      </c>
      <c r="P7618">
        <v>0</v>
      </c>
      <c r="Q7618">
        <v>1</v>
      </c>
      <c r="R7618" t="s">
        <v>42678</v>
      </c>
      <c r="S7618" t="s">
        <v>42866</v>
      </c>
      <c r="T7618" t="s">
        <v>44368</v>
      </c>
      <c r="U7618" t="s">
        <v>51049</v>
      </c>
      <c r="W7618" t="s">
        <v>40542</v>
      </c>
      <c r="X7618" t="s">
        <v>42679</v>
      </c>
    </row>
    <row r="7619" spans="1:24">
      <c r="A7619">
        <f>HYPERLINK("https://www.philgeps.gov.ph/GEPSNONPILOT/Tender/SplashBidNoticeAbstractUI.aspx?menuIndex=3&amp;refID=7182250&amp;Result=3","7182250")</f>
        <v>0</v>
      </c>
      <c r="B7619" t="s">
        <v>2409</v>
      </c>
      <c r="C7619" t="s">
        <v>10807</v>
      </c>
      <c r="D7619" t="s">
        <v>17153</v>
      </c>
      <c r="E7619" t="s">
        <v>23824</v>
      </c>
      <c r="F7619" t="s">
        <v>29372</v>
      </c>
      <c r="G7619" t="s">
        <v>29380</v>
      </c>
      <c r="H7619" t="s">
        <v>29389</v>
      </c>
      <c r="I7619" t="s">
        <v>10408</v>
      </c>
      <c r="J7619" t="s">
        <v>29543</v>
      </c>
      <c r="K7619" t="s">
        <v>38496</v>
      </c>
      <c r="L7619" t="s">
        <v>2409</v>
      </c>
      <c r="M7619" t="s">
        <v>41355</v>
      </c>
      <c r="N7619" t="s">
        <v>42669</v>
      </c>
      <c r="O7619" t="s">
        <v>42670</v>
      </c>
      <c r="P7619">
        <v>0</v>
      </c>
      <c r="Q7619">
        <v>4</v>
      </c>
      <c r="R7619" t="s">
        <v>42678</v>
      </c>
      <c r="S7619" t="s">
        <v>42866</v>
      </c>
      <c r="T7619" t="s">
        <v>44557</v>
      </c>
      <c r="U7619" t="s">
        <v>51050</v>
      </c>
      <c r="W7619" t="s">
        <v>41355</v>
      </c>
      <c r="X7619" t="s">
        <v>42679</v>
      </c>
    </row>
    <row r="7620" spans="1:24">
      <c r="A7620">
        <f>HYPERLINK("https://www.philgeps.gov.ph/GEPSNONPILOT/Tender/SplashBidNoticeAbstractUI.aspx?menuIndex=3&amp;refID=7182248&amp;Result=3","7182248")</f>
        <v>0</v>
      </c>
      <c r="B7620" t="s">
        <v>2384</v>
      </c>
      <c r="C7620" t="s">
        <v>10808</v>
      </c>
      <c r="D7620" t="s">
        <v>17164</v>
      </c>
      <c r="E7620" t="s">
        <v>23825</v>
      </c>
      <c r="F7620" t="s">
        <v>29372</v>
      </c>
      <c r="G7620" t="s">
        <v>29380</v>
      </c>
      <c r="H7620" t="s">
        <v>29389</v>
      </c>
      <c r="I7620" t="s">
        <v>10408</v>
      </c>
      <c r="J7620" t="s">
        <v>29590</v>
      </c>
      <c r="K7620" t="s">
        <v>38485</v>
      </c>
      <c r="M7620" t="s">
        <v>41329</v>
      </c>
      <c r="N7620" t="s">
        <v>42669</v>
      </c>
      <c r="O7620" t="s">
        <v>42670</v>
      </c>
      <c r="P7620">
        <v>0</v>
      </c>
      <c r="Q7620">
        <v>2</v>
      </c>
      <c r="R7620" t="s">
        <v>42678</v>
      </c>
      <c r="S7620" t="s">
        <v>42866</v>
      </c>
      <c r="T7620" t="s">
        <v>44368</v>
      </c>
      <c r="U7620" t="s">
        <v>51051</v>
      </c>
      <c r="W7620" t="s">
        <v>41329</v>
      </c>
      <c r="X7620" t="s">
        <v>42679</v>
      </c>
    </row>
    <row r="7621" spans="1:24">
      <c r="A7621">
        <f>HYPERLINK("https://www.philgeps.gov.ph/GEPSNONPILOT/Tender/SplashBidNoticeAbstractUI.aspx?menuIndex=3&amp;refID=7182282&amp;Result=3","7182282")</f>
        <v>0</v>
      </c>
      <c r="B7621" t="s">
        <v>2410</v>
      </c>
      <c r="C7621" t="s">
        <v>10809</v>
      </c>
      <c r="D7621" t="s">
        <v>17189</v>
      </c>
      <c r="E7621" t="s">
        <v>20026</v>
      </c>
      <c r="F7621" t="s">
        <v>29372</v>
      </c>
      <c r="G7621" t="s">
        <v>29380</v>
      </c>
      <c r="H7621" t="s">
        <v>29389</v>
      </c>
      <c r="I7621" t="s">
        <v>10408</v>
      </c>
      <c r="J7621" t="s">
        <v>34450</v>
      </c>
      <c r="K7621" t="s">
        <v>38510</v>
      </c>
      <c r="M7621" t="s">
        <v>41356</v>
      </c>
      <c r="N7621" t="s">
        <v>42669</v>
      </c>
      <c r="O7621" t="s">
        <v>42670</v>
      </c>
      <c r="P7621">
        <v>0</v>
      </c>
      <c r="Q7621">
        <v>0</v>
      </c>
      <c r="R7621" t="s">
        <v>42678</v>
      </c>
      <c r="S7621" t="s">
        <v>42866</v>
      </c>
      <c r="T7621" t="s">
        <v>44563</v>
      </c>
      <c r="U7621" t="s">
        <v>51052</v>
      </c>
      <c r="W7621" t="s">
        <v>41356</v>
      </c>
      <c r="X7621" t="s">
        <v>42679</v>
      </c>
    </row>
    <row r="7622" spans="1:24">
      <c r="A7622">
        <f>HYPERLINK("https://www.philgeps.gov.ph/GEPSNONPILOT/Tender/SplashBidNoticeAbstractUI.aspx?menuIndex=3&amp;refID=7182192&amp;Result=3","7182192")</f>
        <v>0</v>
      </c>
      <c r="B7622" t="s">
        <v>1676</v>
      </c>
      <c r="C7622" t="s">
        <v>10810</v>
      </c>
      <c r="D7622" t="s">
        <v>17155</v>
      </c>
      <c r="E7622" t="s">
        <v>23826</v>
      </c>
      <c r="F7622" t="s">
        <v>29372</v>
      </c>
      <c r="G7622" t="s">
        <v>29380</v>
      </c>
      <c r="H7622" t="s">
        <v>29389</v>
      </c>
      <c r="I7622" t="s">
        <v>10408</v>
      </c>
      <c r="J7622" t="s">
        <v>34451</v>
      </c>
      <c r="K7622" t="s">
        <v>38653</v>
      </c>
      <c r="M7622" t="s">
        <v>40536</v>
      </c>
      <c r="N7622" t="s">
        <v>42669</v>
      </c>
      <c r="O7622" t="s">
        <v>42670</v>
      </c>
      <c r="P7622">
        <v>0</v>
      </c>
      <c r="Q7622">
        <v>3</v>
      </c>
      <c r="R7622" t="s">
        <v>42678</v>
      </c>
      <c r="S7622" t="s">
        <v>42866</v>
      </c>
      <c r="T7622" t="s">
        <v>44446</v>
      </c>
      <c r="U7622" t="s">
        <v>51053</v>
      </c>
      <c r="W7622" t="s">
        <v>40536</v>
      </c>
      <c r="X7622" t="s">
        <v>42679</v>
      </c>
    </row>
    <row r="7623" spans="1:24">
      <c r="A7623">
        <f>HYPERLINK("https://www.philgeps.gov.ph/GEPSNONPILOT/Tender/SplashBidNoticeAbstractUI.aspx?menuIndex=3&amp;refID=7182291&amp;Result=3","7182291")</f>
        <v>0</v>
      </c>
      <c r="B7623" t="s">
        <v>1084</v>
      </c>
      <c r="C7623" t="s">
        <v>10811</v>
      </c>
      <c r="D7623" t="s">
        <v>17179</v>
      </c>
      <c r="E7623" t="s">
        <v>23827</v>
      </c>
      <c r="F7623" t="s">
        <v>29372</v>
      </c>
      <c r="G7623" t="s">
        <v>29379</v>
      </c>
      <c r="H7623" t="s">
        <v>11048</v>
      </c>
      <c r="I7623" t="s">
        <v>3839</v>
      </c>
      <c r="J7623" t="s">
        <v>30832</v>
      </c>
      <c r="K7623" t="s">
        <v>38490</v>
      </c>
      <c r="M7623" t="s">
        <v>39891</v>
      </c>
      <c r="N7623" t="s">
        <v>42669</v>
      </c>
      <c r="O7623" t="s">
        <v>42670</v>
      </c>
      <c r="P7623">
        <v>0</v>
      </c>
      <c r="Q7623">
        <v>2</v>
      </c>
      <c r="R7623" t="s">
        <v>42678</v>
      </c>
      <c r="S7623" t="s">
        <v>42866</v>
      </c>
      <c r="T7623" t="s">
        <v>44491</v>
      </c>
      <c r="U7623" t="s">
        <v>47177</v>
      </c>
      <c r="W7623" t="s">
        <v>39891</v>
      </c>
      <c r="X7623" t="s">
        <v>42679</v>
      </c>
    </row>
    <row r="7624" spans="1:24">
      <c r="A7624">
        <f>HYPERLINK("https://www.philgeps.gov.ph/GEPSNONPILOT/Tender/SplashBidNoticeAbstractUI.aspx?menuIndex=3&amp;refID=7182344&amp;Result=3","7182344")</f>
        <v>0</v>
      </c>
      <c r="B7624" t="s">
        <v>407</v>
      </c>
      <c r="C7624" t="s">
        <v>10812</v>
      </c>
      <c r="D7624" t="s">
        <v>17182</v>
      </c>
      <c r="E7624" t="s">
        <v>23828</v>
      </c>
      <c r="F7624" t="s">
        <v>29372</v>
      </c>
      <c r="G7624" t="s">
        <v>29380</v>
      </c>
      <c r="H7624" t="s">
        <v>29390</v>
      </c>
      <c r="I7624" t="s">
        <v>29398</v>
      </c>
      <c r="J7624" t="s">
        <v>29644</v>
      </c>
      <c r="K7624" t="s">
        <v>38489</v>
      </c>
      <c r="M7624" t="s">
        <v>39171</v>
      </c>
      <c r="N7624" t="s">
        <v>42669</v>
      </c>
      <c r="O7624" t="s">
        <v>42670</v>
      </c>
      <c r="P7624">
        <v>0</v>
      </c>
      <c r="Q7624">
        <v>0</v>
      </c>
      <c r="R7624" t="s">
        <v>42678</v>
      </c>
      <c r="S7624" t="s">
        <v>42866</v>
      </c>
      <c r="T7624" t="s">
        <v>44488</v>
      </c>
      <c r="U7624" t="s">
        <v>45767</v>
      </c>
      <c r="V7624" t="s">
        <v>57200</v>
      </c>
      <c r="W7624" t="s">
        <v>39171</v>
      </c>
      <c r="X7624" t="s">
        <v>42679</v>
      </c>
    </row>
    <row r="7625" spans="1:24">
      <c r="A7625">
        <f>HYPERLINK("https://www.philgeps.gov.ph/GEPSNONPILOT/Tender/SplashBidNoticeAbstractUI.aspx?menuIndex=3&amp;refID=7182271&amp;Result=3","7182271")</f>
        <v>0</v>
      </c>
      <c r="B7625" t="s">
        <v>2431</v>
      </c>
      <c r="C7625" t="s">
        <v>10813</v>
      </c>
      <c r="D7625" t="s">
        <v>17197</v>
      </c>
      <c r="E7625" t="s">
        <v>23829</v>
      </c>
      <c r="F7625" t="s">
        <v>29372</v>
      </c>
      <c r="G7625" t="s">
        <v>29380</v>
      </c>
      <c r="H7625" t="s">
        <v>11048</v>
      </c>
      <c r="I7625" t="s">
        <v>29415</v>
      </c>
      <c r="J7625" t="s">
        <v>33676</v>
      </c>
      <c r="K7625" t="s">
        <v>38488</v>
      </c>
      <c r="M7625" t="s">
        <v>41379</v>
      </c>
      <c r="N7625" t="s">
        <v>42669</v>
      </c>
      <c r="O7625" t="s">
        <v>42670</v>
      </c>
      <c r="P7625">
        <v>0</v>
      </c>
      <c r="Q7625">
        <v>5</v>
      </c>
      <c r="R7625" t="s">
        <v>42678</v>
      </c>
      <c r="S7625" t="s">
        <v>42866</v>
      </c>
      <c r="T7625" t="s">
        <v>44491</v>
      </c>
      <c r="U7625" t="s">
        <v>51054</v>
      </c>
      <c r="W7625" t="s">
        <v>41379</v>
      </c>
      <c r="X7625" t="s">
        <v>42679</v>
      </c>
    </row>
    <row r="7626" spans="1:24">
      <c r="A7626">
        <f>HYPERLINK("https://www.philgeps.gov.ph/GEPSNONPILOT/Tender/SplashBidNoticeAbstractUI.aspx?menuIndex=3&amp;refID=7182342&amp;Result=3","7182342")</f>
        <v>0</v>
      </c>
      <c r="B7626" t="s">
        <v>2431</v>
      </c>
      <c r="C7626" t="s">
        <v>10814</v>
      </c>
      <c r="D7626" t="s">
        <v>17197</v>
      </c>
      <c r="E7626" t="s">
        <v>23830</v>
      </c>
      <c r="F7626" t="s">
        <v>29372</v>
      </c>
      <c r="G7626" t="s">
        <v>29379</v>
      </c>
      <c r="H7626" t="s">
        <v>11048</v>
      </c>
      <c r="I7626" t="s">
        <v>29403</v>
      </c>
      <c r="J7626" t="s">
        <v>34452</v>
      </c>
      <c r="K7626" t="s">
        <v>38488</v>
      </c>
      <c r="M7626" t="s">
        <v>41379</v>
      </c>
      <c r="N7626" t="s">
        <v>42669</v>
      </c>
      <c r="O7626" t="s">
        <v>42670</v>
      </c>
      <c r="P7626">
        <v>0</v>
      </c>
      <c r="Q7626">
        <v>1</v>
      </c>
      <c r="R7626" t="s">
        <v>42678</v>
      </c>
      <c r="S7626" t="s">
        <v>42866</v>
      </c>
      <c r="T7626" t="s">
        <v>44491</v>
      </c>
      <c r="U7626" t="s">
        <v>51055</v>
      </c>
      <c r="W7626" t="s">
        <v>41379</v>
      </c>
      <c r="X7626" t="s">
        <v>42679</v>
      </c>
    </row>
    <row r="7627" spans="1:24">
      <c r="A7627">
        <f>HYPERLINK("https://www.philgeps.gov.ph/GEPSNONPILOT/Tender/SplashBidNoticeAbstractUI.aspx?menuIndex=3&amp;refID=7182336&amp;Result=3","7182336")</f>
        <v>0</v>
      </c>
      <c r="B7627" t="s">
        <v>1676</v>
      </c>
      <c r="C7627" t="s">
        <v>10815</v>
      </c>
      <c r="D7627" t="s">
        <v>17155</v>
      </c>
      <c r="E7627" t="s">
        <v>23831</v>
      </c>
      <c r="F7627" t="s">
        <v>29372</v>
      </c>
      <c r="G7627" t="s">
        <v>29380</v>
      </c>
      <c r="H7627" t="s">
        <v>29389</v>
      </c>
      <c r="I7627" t="s">
        <v>10408</v>
      </c>
      <c r="J7627" t="s">
        <v>30244</v>
      </c>
      <c r="K7627" t="s">
        <v>38544</v>
      </c>
      <c r="M7627" t="s">
        <v>40536</v>
      </c>
      <c r="N7627" t="s">
        <v>42669</v>
      </c>
      <c r="O7627" t="s">
        <v>42670</v>
      </c>
      <c r="P7627">
        <v>0</v>
      </c>
      <c r="Q7627">
        <v>1</v>
      </c>
      <c r="R7627" t="s">
        <v>42678</v>
      </c>
      <c r="S7627" t="s">
        <v>42866</v>
      </c>
      <c r="T7627" t="s">
        <v>44446</v>
      </c>
      <c r="U7627" t="s">
        <v>51056</v>
      </c>
      <c r="W7627" t="s">
        <v>40536</v>
      </c>
      <c r="X7627" t="s">
        <v>42679</v>
      </c>
    </row>
    <row r="7628" spans="1:24">
      <c r="A7628">
        <f>HYPERLINK("https://www.philgeps.gov.ph/GEPSNONPILOT/Tender/SplashBidNoticeAbstractUI.aspx?menuIndex=3&amp;refID=7182128&amp;Result=3","7182128")</f>
        <v>0</v>
      </c>
      <c r="B7628" t="s">
        <v>1682</v>
      </c>
      <c r="C7628" t="s">
        <v>10816</v>
      </c>
      <c r="D7628" t="s">
        <v>17164</v>
      </c>
      <c r="E7628" t="s">
        <v>23832</v>
      </c>
      <c r="F7628" t="s">
        <v>29372</v>
      </c>
      <c r="G7628" t="s">
        <v>29380</v>
      </c>
      <c r="H7628" t="s">
        <v>29389</v>
      </c>
      <c r="I7628" t="s">
        <v>10408</v>
      </c>
      <c r="J7628" t="s">
        <v>32431</v>
      </c>
      <c r="K7628" t="s">
        <v>38533</v>
      </c>
      <c r="M7628" t="s">
        <v>40542</v>
      </c>
      <c r="N7628" t="s">
        <v>42669</v>
      </c>
      <c r="O7628" t="s">
        <v>42670</v>
      </c>
      <c r="P7628">
        <v>0</v>
      </c>
      <c r="Q7628">
        <v>2</v>
      </c>
      <c r="R7628" t="s">
        <v>42678</v>
      </c>
      <c r="S7628" t="s">
        <v>42866</v>
      </c>
      <c r="T7628" t="s">
        <v>44368</v>
      </c>
      <c r="U7628" t="s">
        <v>51057</v>
      </c>
      <c r="W7628" t="s">
        <v>40542</v>
      </c>
      <c r="X7628" t="s">
        <v>42679</v>
      </c>
    </row>
    <row r="7629" spans="1:24">
      <c r="A7629">
        <f>HYPERLINK("https://www.philgeps.gov.ph/GEPSNONPILOT/Tender/SplashBidNoticeAbstractUI.aspx?menuIndex=3&amp;refID=7182249&amp;Result=3","7182249")</f>
        <v>0</v>
      </c>
      <c r="B7629" t="s">
        <v>2430</v>
      </c>
      <c r="C7629" t="s">
        <v>5049</v>
      </c>
      <c r="D7629" t="s">
        <v>17177</v>
      </c>
      <c r="E7629" t="s">
        <v>23833</v>
      </c>
      <c r="F7629" t="s">
        <v>29372</v>
      </c>
      <c r="G7629" t="s">
        <v>29379</v>
      </c>
      <c r="H7629" t="s">
        <v>11048</v>
      </c>
      <c r="I7629" t="s">
        <v>29395</v>
      </c>
      <c r="J7629" t="s">
        <v>34453</v>
      </c>
      <c r="K7629" t="s">
        <v>38490</v>
      </c>
      <c r="M7629" t="s">
        <v>41378</v>
      </c>
      <c r="N7629" t="s">
        <v>42669</v>
      </c>
      <c r="O7629" t="s">
        <v>42670</v>
      </c>
      <c r="P7629">
        <v>0</v>
      </c>
      <c r="Q7629">
        <v>1</v>
      </c>
      <c r="R7629" t="s">
        <v>42678</v>
      </c>
      <c r="S7629" t="s">
        <v>42866</v>
      </c>
      <c r="T7629" t="s">
        <v>44491</v>
      </c>
      <c r="U7629" t="s">
        <v>51058</v>
      </c>
      <c r="W7629" t="s">
        <v>41378</v>
      </c>
      <c r="X7629" t="s">
        <v>42679</v>
      </c>
    </row>
    <row r="7630" spans="1:24">
      <c r="A7630">
        <f>HYPERLINK("https://www.philgeps.gov.ph/GEPSNONPILOT/Tender/SplashBidNoticeAbstractUI.aspx?menuIndex=3&amp;refID=7182326&amp;Result=3","7182326")</f>
        <v>0</v>
      </c>
      <c r="B7630" t="s">
        <v>1084</v>
      </c>
      <c r="C7630" t="s">
        <v>10817</v>
      </c>
      <c r="D7630" t="s">
        <v>17179</v>
      </c>
      <c r="E7630" t="s">
        <v>23834</v>
      </c>
      <c r="F7630" t="s">
        <v>29372</v>
      </c>
      <c r="G7630" t="s">
        <v>29379</v>
      </c>
      <c r="H7630" t="s">
        <v>11048</v>
      </c>
      <c r="I7630" t="s">
        <v>5383</v>
      </c>
      <c r="J7630" t="s">
        <v>34454</v>
      </c>
      <c r="K7630" t="s">
        <v>38490</v>
      </c>
      <c r="M7630" t="s">
        <v>39891</v>
      </c>
      <c r="N7630" t="s">
        <v>42669</v>
      </c>
      <c r="O7630" t="s">
        <v>42670</v>
      </c>
      <c r="P7630">
        <v>0</v>
      </c>
      <c r="Q7630">
        <v>3</v>
      </c>
      <c r="R7630" t="s">
        <v>42678</v>
      </c>
      <c r="S7630" t="s">
        <v>42866</v>
      </c>
      <c r="T7630" t="s">
        <v>44491</v>
      </c>
      <c r="U7630" t="s">
        <v>47177</v>
      </c>
      <c r="W7630" t="s">
        <v>39891</v>
      </c>
      <c r="X7630" t="s">
        <v>42679</v>
      </c>
    </row>
    <row r="7631" spans="1:24">
      <c r="A7631">
        <f>HYPERLINK("https://www.philgeps.gov.ph/GEPSNONPILOT/Tender/SplashBidNoticeAbstractUI.aspx?menuIndex=3&amp;refID=7182153&amp;Result=3","7182153")</f>
        <v>0</v>
      </c>
      <c r="B7631" t="s">
        <v>2328</v>
      </c>
      <c r="C7631" t="s">
        <v>10818</v>
      </c>
      <c r="D7631" t="s">
        <v>17162</v>
      </c>
      <c r="E7631" t="s">
        <v>23835</v>
      </c>
      <c r="F7631" t="s">
        <v>29372</v>
      </c>
      <c r="G7631" t="s">
        <v>29380</v>
      </c>
      <c r="H7631" t="s">
        <v>29389</v>
      </c>
      <c r="I7631" t="s">
        <v>10408</v>
      </c>
      <c r="J7631" t="s">
        <v>30161</v>
      </c>
      <c r="K7631" t="s">
        <v>38682</v>
      </c>
      <c r="M7631" t="s">
        <v>41260</v>
      </c>
      <c r="N7631" t="s">
        <v>42669</v>
      </c>
      <c r="O7631" t="s">
        <v>42670</v>
      </c>
      <c r="P7631">
        <v>0</v>
      </c>
      <c r="Q7631">
        <v>0</v>
      </c>
      <c r="R7631" t="s">
        <v>42678</v>
      </c>
      <c r="S7631" t="s">
        <v>42866</v>
      </c>
      <c r="T7631" t="s">
        <v>44368</v>
      </c>
      <c r="U7631" t="s">
        <v>51059</v>
      </c>
      <c r="W7631" t="s">
        <v>41260</v>
      </c>
      <c r="X7631" t="s">
        <v>42679</v>
      </c>
    </row>
    <row r="7632" spans="1:24">
      <c r="A7632">
        <f>HYPERLINK("https://www.philgeps.gov.ph/GEPSNONPILOT/Tender/SplashBidNoticeAbstractUI.aspx?menuIndex=3&amp;refID=7182319&amp;Result=3","7182319")</f>
        <v>0</v>
      </c>
      <c r="B7632" t="s">
        <v>140</v>
      </c>
      <c r="C7632" t="s">
        <v>10819</v>
      </c>
      <c r="D7632" t="s">
        <v>17170</v>
      </c>
      <c r="E7632" t="s">
        <v>23836</v>
      </c>
      <c r="F7632" t="s">
        <v>29372</v>
      </c>
      <c r="G7632" t="s">
        <v>29380</v>
      </c>
      <c r="H7632" t="s">
        <v>11048</v>
      </c>
      <c r="I7632" t="s">
        <v>29400</v>
      </c>
      <c r="J7632" t="s">
        <v>34455</v>
      </c>
      <c r="K7632" t="s">
        <v>38496</v>
      </c>
      <c r="M7632" t="s">
        <v>38895</v>
      </c>
      <c r="N7632" t="s">
        <v>42669</v>
      </c>
      <c r="O7632" t="s">
        <v>42670</v>
      </c>
      <c r="P7632">
        <v>0</v>
      </c>
      <c r="Q7632">
        <v>17</v>
      </c>
      <c r="R7632" t="s">
        <v>42678</v>
      </c>
      <c r="S7632" t="s">
        <v>42866</v>
      </c>
      <c r="T7632" t="s">
        <v>44664</v>
      </c>
      <c r="U7632" t="s">
        <v>51060</v>
      </c>
      <c r="W7632" t="s">
        <v>38895</v>
      </c>
      <c r="X7632" t="s">
        <v>42679</v>
      </c>
    </row>
    <row r="7633" spans="1:24">
      <c r="A7633">
        <f>HYPERLINK("https://www.philgeps.gov.ph/GEPSNONPILOT/Tender/SplashBidNoticeAbstractUI.aspx?menuIndex=3&amp;refID=7182316&amp;Result=3","7182316")</f>
        <v>0</v>
      </c>
      <c r="B7633" t="s">
        <v>2432</v>
      </c>
      <c r="C7633" t="s">
        <v>10820</v>
      </c>
      <c r="D7633" t="s">
        <v>17148</v>
      </c>
      <c r="E7633" t="s">
        <v>18800</v>
      </c>
      <c r="F7633" t="s">
        <v>29372</v>
      </c>
      <c r="G7633" t="s">
        <v>29380</v>
      </c>
      <c r="H7633" t="s">
        <v>29389</v>
      </c>
      <c r="I7633" t="s">
        <v>4709</v>
      </c>
      <c r="J7633" t="s">
        <v>34456</v>
      </c>
      <c r="K7633" t="s">
        <v>38488</v>
      </c>
      <c r="M7633" t="s">
        <v>41380</v>
      </c>
      <c r="N7633" t="s">
        <v>42669</v>
      </c>
      <c r="O7633" t="s">
        <v>42670</v>
      </c>
      <c r="P7633">
        <v>0</v>
      </c>
      <c r="Q7633">
        <v>3</v>
      </c>
      <c r="R7633" t="s">
        <v>42678</v>
      </c>
      <c r="S7633" t="s">
        <v>42866</v>
      </c>
      <c r="T7633" t="s">
        <v>44525</v>
      </c>
      <c r="U7633" t="s">
        <v>51061</v>
      </c>
      <c r="W7633" t="s">
        <v>41380</v>
      </c>
      <c r="X7633" t="s">
        <v>42679</v>
      </c>
    </row>
    <row r="7634" spans="1:24">
      <c r="A7634">
        <f>HYPERLINK("https://www.philgeps.gov.ph/GEPSNONPILOT/Tender/SplashBidNoticeAbstractUI.aspx?menuIndex=3&amp;refID=7182254&amp;Result=3","7182254")</f>
        <v>0</v>
      </c>
      <c r="B7634" t="s">
        <v>2433</v>
      </c>
      <c r="C7634" t="s">
        <v>10821</v>
      </c>
      <c r="D7634" t="s">
        <v>17193</v>
      </c>
      <c r="E7634" t="s">
        <v>23837</v>
      </c>
      <c r="F7634" t="s">
        <v>29372</v>
      </c>
      <c r="G7634" t="s">
        <v>29381</v>
      </c>
      <c r="H7634" t="s">
        <v>11048</v>
      </c>
      <c r="I7634" t="s">
        <v>3839</v>
      </c>
      <c r="J7634" t="s">
        <v>34457</v>
      </c>
      <c r="K7634" t="s">
        <v>38488</v>
      </c>
      <c r="M7634" t="s">
        <v>41381</v>
      </c>
      <c r="N7634" t="s">
        <v>42669</v>
      </c>
      <c r="O7634" t="s">
        <v>42670</v>
      </c>
      <c r="P7634">
        <v>0</v>
      </c>
      <c r="Q7634">
        <v>5</v>
      </c>
      <c r="R7634" t="s">
        <v>42678</v>
      </c>
      <c r="S7634" t="s">
        <v>42866</v>
      </c>
      <c r="T7634" t="s">
        <v>44488</v>
      </c>
      <c r="U7634" t="s">
        <v>51062</v>
      </c>
      <c r="V7634" t="s">
        <v>57201</v>
      </c>
      <c r="W7634" t="s">
        <v>41381</v>
      </c>
      <c r="X7634" t="s">
        <v>42679</v>
      </c>
    </row>
    <row r="7635" spans="1:24">
      <c r="A7635">
        <f>HYPERLINK("https://www.philgeps.gov.ph/GEPSNONPILOT/Tender/SplashBidNoticeAbstractUI.aspx?menuIndex=3&amp;refID=7182314&amp;Result=3","7182314")</f>
        <v>0</v>
      </c>
      <c r="B7635" t="s">
        <v>2410</v>
      </c>
      <c r="C7635" t="s">
        <v>10822</v>
      </c>
      <c r="D7635" t="s">
        <v>17189</v>
      </c>
      <c r="E7635" t="s">
        <v>20026</v>
      </c>
      <c r="F7635" t="s">
        <v>29372</v>
      </c>
      <c r="G7635" t="s">
        <v>29380</v>
      </c>
      <c r="H7635" t="s">
        <v>11048</v>
      </c>
      <c r="I7635" t="s">
        <v>29495</v>
      </c>
      <c r="J7635" t="s">
        <v>31353</v>
      </c>
      <c r="K7635" t="s">
        <v>38510</v>
      </c>
      <c r="M7635" t="s">
        <v>41356</v>
      </c>
      <c r="N7635" t="s">
        <v>42669</v>
      </c>
      <c r="O7635" t="s">
        <v>42670</v>
      </c>
      <c r="P7635">
        <v>0</v>
      </c>
      <c r="Q7635">
        <v>0</v>
      </c>
      <c r="R7635" t="s">
        <v>42678</v>
      </c>
      <c r="S7635" t="s">
        <v>42866</v>
      </c>
      <c r="T7635" t="s">
        <v>44482</v>
      </c>
      <c r="U7635" t="s">
        <v>51063</v>
      </c>
      <c r="W7635" t="s">
        <v>41356</v>
      </c>
      <c r="X7635" t="s">
        <v>42679</v>
      </c>
    </row>
    <row r="7636" spans="1:24">
      <c r="A7636">
        <f>HYPERLINK("https://www.philgeps.gov.ph/GEPSNONPILOT/Tender/SplashBidNoticeAbstractUI.aspx?menuIndex=3&amp;refID=7182315&amp;Result=3","7182315")</f>
        <v>0</v>
      </c>
      <c r="B7636" t="s">
        <v>2434</v>
      </c>
      <c r="C7636" t="s">
        <v>10823</v>
      </c>
      <c r="D7636" t="s">
        <v>17172</v>
      </c>
      <c r="E7636" t="s">
        <v>23838</v>
      </c>
      <c r="F7636" t="s">
        <v>29373</v>
      </c>
      <c r="G7636" t="s">
        <v>29379</v>
      </c>
      <c r="H7636" t="s">
        <v>11048</v>
      </c>
      <c r="I7636" t="s">
        <v>5383</v>
      </c>
      <c r="J7636" t="s">
        <v>34458</v>
      </c>
      <c r="K7636" t="s">
        <v>38495</v>
      </c>
      <c r="M7636" t="s">
        <v>41382</v>
      </c>
      <c r="N7636" t="s">
        <v>42669</v>
      </c>
      <c r="O7636" t="s">
        <v>42670</v>
      </c>
      <c r="P7636">
        <v>0</v>
      </c>
      <c r="Q7636">
        <v>5</v>
      </c>
      <c r="R7636" t="s">
        <v>42678</v>
      </c>
      <c r="S7636" t="s">
        <v>42866</v>
      </c>
      <c r="T7636" t="s">
        <v>44432</v>
      </c>
      <c r="U7636" t="s">
        <v>51064</v>
      </c>
      <c r="W7636" t="s">
        <v>41382</v>
      </c>
      <c r="X7636" t="s">
        <v>42679</v>
      </c>
    </row>
    <row r="7637" spans="1:24">
      <c r="A7637">
        <f>HYPERLINK("https://www.philgeps.gov.ph/GEPSNONPILOT/Tender/SplashBidNoticeAbstractUI.aspx?menuIndex=3&amp;refID=7182308&amp;Result=3","7182308")</f>
        <v>0</v>
      </c>
      <c r="B7637" t="s">
        <v>79</v>
      </c>
      <c r="C7637" t="s">
        <v>10824</v>
      </c>
      <c r="D7637" t="s">
        <v>17172</v>
      </c>
      <c r="E7637" t="s">
        <v>23839</v>
      </c>
      <c r="F7637" t="s">
        <v>29372</v>
      </c>
      <c r="G7637" t="s">
        <v>29380</v>
      </c>
      <c r="H7637" t="s">
        <v>11048</v>
      </c>
      <c r="I7637" t="s">
        <v>9469</v>
      </c>
      <c r="J7637" t="s">
        <v>34459</v>
      </c>
      <c r="K7637" t="s">
        <v>38485</v>
      </c>
      <c r="M7637" t="s">
        <v>38833</v>
      </c>
      <c r="N7637" t="s">
        <v>42669</v>
      </c>
      <c r="O7637" t="s">
        <v>42670</v>
      </c>
      <c r="Q7637">
        <v>5</v>
      </c>
      <c r="R7637" t="s">
        <v>42678</v>
      </c>
      <c r="S7637" t="s">
        <v>42896</v>
      </c>
      <c r="T7637" t="s">
        <v>44355</v>
      </c>
      <c r="U7637" t="s">
        <v>51065</v>
      </c>
      <c r="V7637" t="s">
        <v>56344</v>
      </c>
      <c r="W7637" t="s">
        <v>38833</v>
      </c>
      <c r="X7637" t="s">
        <v>42679</v>
      </c>
    </row>
    <row r="7638" spans="1:24">
      <c r="A7638">
        <f>HYPERLINK("https://www.philgeps.gov.ph/GEPSNONPILOT/Tender/SplashBidNoticeAbstractUI.aspx?menuIndex=3&amp;refID=7182307&amp;Result=3","7182307")</f>
        <v>0</v>
      </c>
      <c r="B7638" t="s">
        <v>2384</v>
      </c>
      <c r="C7638" t="s">
        <v>3816</v>
      </c>
      <c r="D7638" t="s">
        <v>17164</v>
      </c>
      <c r="E7638" t="s">
        <v>23840</v>
      </c>
      <c r="F7638" t="s">
        <v>29372</v>
      </c>
      <c r="G7638" t="s">
        <v>29380</v>
      </c>
      <c r="H7638" t="s">
        <v>11048</v>
      </c>
      <c r="I7638" t="s">
        <v>4487</v>
      </c>
      <c r="J7638" t="s">
        <v>34460</v>
      </c>
      <c r="K7638" t="s">
        <v>38491</v>
      </c>
      <c r="M7638" t="s">
        <v>41329</v>
      </c>
      <c r="N7638" t="s">
        <v>42669</v>
      </c>
      <c r="O7638" t="s">
        <v>42670</v>
      </c>
      <c r="P7638">
        <v>0</v>
      </c>
      <c r="Q7638">
        <v>2</v>
      </c>
      <c r="R7638" t="s">
        <v>42678</v>
      </c>
      <c r="S7638" t="s">
        <v>42866</v>
      </c>
      <c r="T7638" t="s">
        <v>44368</v>
      </c>
      <c r="U7638" t="s">
        <v>51066</v>
      </c>
      <c r="W7638" t="s">
        <v>41329</v>
      </c>
      <c r="X7638" t="s">
        <v>42679</v>
      </c>
    </row>
    <row r="7639" spans="1:24">
      <c r="A7639">
        <f>HYPERLINK("https://www.philgeps.gov.ph/GEPSNONPILOT/Tender/SplashBidNoticeAbstractUI.aspx?menuIndex=3&amp;refID=7182298&amp;Result=3","7182298")</f>
        <v>0</v>
      </c>
      <c r="B7639" t="s">
        <v>2349</v>
      </c>
      <c r="C7639" t="s">
        <v>10825</v>
      </c>
      <c r="D7639" t="s">
        <v>17187</v>
      </c>
      <c r="E7639" t="s">
        <v>23841</v>
      </c>
      <c r="F7639" t="s">
        <v>29372</v>
      </c>
      <c r="G7639" t="s">
        <v>29379</v>
      </c>
      <c r="H7639" t="s">
        <v>11048</v>
      </c>
      <c r="I7639" t="s">
        <v>29409</v>
      </c>
      <c r="J7639" t="s">
        <v>34461</v>
      </c>
      <c r="K7639" t="s">
        <v>38491</v>
      </c>
      <c r="M7639" t="s">
        <v>41282</v>
      </c>
      <c r="N7639" t="s">
        <v>42669</v>
      </c>
      <c r="O7639" t="s">
        <v>42670</v>
      </c>
      <c r="P7639">
        <v>0</v>
      </c>
      <c r="Q7639">
        <v>4</v>
      </c>
      <c r="R7639" t="s">
        <v>42678</v>
      </c>
      <c r="S7639" t="s">
        <v>42866</v>
      </c>
      <c r="T7639" t="s">
        <v>44429</v>
      </c>
      <c r="U7639" t="s">
        <v>50720</v>
      </c>
      <c r="W7639" t="s">
        <v>41282</v>
      </c>
      <c r="X7639" t="s">
        <v>42679</v>
      </c>
    </row>
    <row r="7640" spans="1:24">
      <c r="A7640">
        <f>HYPERLINK("https://www.philgeps.gov.ph/GEPSNONPILOT/Tender/SplashBidNoticeAbstractUI.aspx?menuIndex=3&amp;refID=7182294&amp;Result=3","7182294")</f>
        <v>0</v>
      </c>
      <c r="B7640" t="s">
        <v>1676</v>
      </c>
      <c r="C7640" t="s">
        <v>10826</v>
      </c>
      <c r="D7640" t="s">
        <v>17155</v>
      </c>
      <c r="E7640" t="s">
        <v>23842</v>
      </c>
      <c r="F7640" t="s">
        <v>29372</v>
      </c>
      <c r="G7640" t="s">
        <v>29380</v>
      </c>
      <c r="H7640" t="s">
        <v>29389</v>
      </c>
      <c r="I7640" t="s">
        <v>10408</v>
      </c>
      <c r="J7640" t="s">
        <v>29573</v>
      </c>
      <c r="K7640" t="s">
        <v>38543</v>
      </c>
      <c r="M7640" t="s">
        <v>40536</v>
      </c>
      <c r="N7640" t="s">
        <v>42669</v>
      </c>
      <c r="O7640" t="s">
        <v>42670</v>
      </c>
      <c r="P7640">
        <v>0</v>
      </c>
      <c r="Q7640">
        <v>1</v>
      </c>
      <c r="R7640" t="s">
        <v>42678</v>
      </c>
      <c r="S7640" t="s">
        <v>42866</v>
      </c>
      <c r="T7640" t="s">
        <v>44446</v>
      </c>
      <c r="U7640" t="s">
        <v>51067</v>
      </c>
      <c r="W7640" t="s">
        <v>40536</v>
      </c>
      <c r="X7640" t="s">
        <v>42679</v>
      </c>
    </row>
    <row r="7641" spans="1:24">
      <c r="A7641">
        <f>HYPERLINK("https://www.philgeps.gov.ph/GEPSNONPILOT/Tender/SplashBidNoticeAbstractUI.aspx?menuIndex=3&amp;refID=7182309&amp;Result=3","7182309")</f>
        <v>0</v>
      </c>
      <c r="B7641" t="s">
        <v>2435</v>
      </c>
      <c r="C7641" t="s">
        <v>10827</v>
      </c>
      <c r="D7641" t="s">
        <v>17170</v>
      </c>
      <c r="E7641" t="s">
        <v>23843</v>
      </c>
      <c r="F7641" t="s">
        <v>29372</v>
      </c>
      <c r="G7641" t="s">
        <v>29380</v>
      </c>
      <c r="H7641" t="s">
        <v>29389</v>
      </c>
      <c r="I7641" t="s">
        <v>10408</v>
      </c>
      <c r="J7641" t="s">
        <v>34462</v>
      </c>
      <c r="K7641" t="s">
        <v>38526</v>
      </c>
      <c r="M7641" t="s">
        <v>41383</v>
      </c>
      <c r="N7641" t="s">
        <v>42669</v>
      </c>
      <c r="O7641" t="s">
        <v>42670</v>
      </c>
      <c r="P7641">
        <v>0</v>
      </c>
      <c r="Q7641">
        <v>1</v>
      </c>
      <c r="R7641" t="s">
        <v>42678</v>
      </c>
      <c r="S7641" t="s">
        <v>42866</v>
      </c>
      <c r="T7641" t="s">
        <v>44450</v>
      </c>
      <c r="U7641" t="s">
        <v>51068</v>
      </c>
      <c r="V7641" t="s">
        <v>57202</v>
      </c>
      <c r="W7641" t="s">
        <v>41383</v>
      </c>
      <c r="X7641" t="s">
        <v>42679</v>
      </c>
    </row>
    <row r="7642" spans="1:24">
      <c r="A7642">
        <f>HYPERLINK("https://www.philgeps.gov.ph/GEPSNONPILOT/Tender/SplashBidNoticeAbstractUI.aspx?menuIndex=3&amp;refID=7182293&amp;Result=3","7182293")</f>
        <v>0</v>
      </c>
      <c r="B7642" t="s">
        <v>2328</v>
      </c>
      <c r="C7642" t="s">
        <v>10828</v>
      </c>
      <c r="D7642" t="s">
        <v>17202</v>
      </c>
      <c r="E7642" t="s">
        <v>23844</v>
      </c>
      <c r="F7642" t="s">
        <v>29372</v>
      </c>
      <c r="G7642" t="s">
        <v>29380</v>
      </c>
      <c r="H7642" t="s">
        <v>29389</v>
      </c>
      <c r="I7642" t="s">
        <v>10408</v>
      </c>
      <c r="J7642" t="s">
        <v>34463</v>
      </c>
      <c r="K7642" t="s">
        <v>38502</v>
      </c>
      <c r="M7642" t="s">
        <v>41260</v>
      </c>
      <c r="N7642" t="s">
        <v>42669</v>
      </c>
      <c r="O7642" t="s">
        <v>42670</v>
      </c>
      <c r="P7642">
        <v>0</v>
      </c>
      <c r="Q7642">
        <v>0</v>
      </c>
      <c r="R7642" t="s">
        <v>42678</v>
      </c>
      <c r="S7642" t="s">
        <v>42866</v>
      </c>
      <c r="T7642" t="s">
        <v>44368</v>
      </c>
      <c r="U7642" t="s">
        <v>51069</v>
      </c>
      <c r="W7642" t="s">
        <v>41260</v>
      </c>
      <c r="X7642" t="s">
        <v>42679</v>
      </c>
    </row>
    <row r="7643" spans="1:24">
      <c r="A7643">
        <f>HYPERLINK("https://www.philgeps.gov.ph/GEPSNONPILOT/Tender/SplashBidNoticeAbstractUI.aspx?menuIndex=3&amp;refID=7182300&amp;Result=3","7182300")</f>
        <v>0</v>
      </c>
      <c r="B7643" t="s">
        <v>1524</v>
      </c>
      <c r="C7643" t="s">
        <v>10829</v>
      </c>
      <c r="D7643" t="s">
        <v>17194</v>
      </c>
      <c r="E7643" t="s">
        <v>23845</v>
      </c>
      <c r="F7643" t="s">
        <v>29372</v>
      </c>
      <c r="G7643" t="s">
        <v>29380</v>
      </c>
      <c r="H7643" t="s">
        <v>29390</v>
      </c>
      <c r="I7643" t="s">
        <v>3670</v>
      </c>
      <c r="J7643" t="s">
        <v>34464</v>
      </c>
      <c r="K7643" t="s">
        <v>38491</v>
      </c>
      <c r="M7643" t="s">
        <v>40371</v>
      </c>
      <c r="N7643" t="s">
        <v>42669</v>
      </c>
      <c r="O7643" t="s">
        <v>42670</v>
      </c>
      <c r="P7643">
        <v>0</v>
      </c>
      <c r="Q7643">
        <v>1</v>
      </c>
      <c r="R7643" t="s">
        <v>42678</v>
      </c>
      <c r="S7643" t="s">
        <v>42866</v>
      </c>
      <c r="T7643" t="s">
        <v>44493</v>
      </c>
      <c r="U7643" t="s">
        <v>51070</v>
      </c>
      <c r="W7643" t="s">
        <v>40371</v>
      </c>
      <c r="X7643" t="s">
        <v>42679</v>
      </c>
    </row>
    <row r="7644" spans="1:24">
      <c r="A7644">
        <f>HYPERLINK("https://www.philgeps.gov.ph/GEPSNONPILOT/Tender/SplashBidNoticeAbstractUI.aspx?menuIndex=3&amp;refID=7182328&amp;Result=3","7182328")</f>
        <v>0</v>
      </c>
      <c r="B7644" t="s">
        <v>2436</v>
      </c>
      <c r="C7644" t="s">
        <v>3992</v>
      </c>
      <c r="D7644" t="s">
        <v>17172</v>
      </c>
      <c r="E7644" t="s">
        <v>17540</v>
      </c>
      <c r="F7644" t="s">
        <v>29372</v>
      </c>
      <c r="G7644" t="s">
        <v>29380</v>
      </c>
      <c r="H7644" t="s">
        <v>11048</v>
      </c>
      <c r="I7644" t="s">
        <v>29413</v>
      </c>
      <c r="J7644" t="s">
        <v>30036</v>
      </c>
      <c r="K7644" t="s">
        <v>38485</v>
      </c>
      <c r="M7644" t="s">
        <v>41384</v>
      </c>
      <c r="N7644" t="s">
        <v>42669</v>
      </c>
      <c r="O7644" t="s">
        <v>42670</v>
      </c>
      <c r="P7644">
        <v>0</v>
      </c>
      <c r="Q7644">
        <v>0</v>
      </c>
      <c r="R7644" t="s">
        <v>42678</v>
      </c>
      <c r="S7644" t="s">
        <v>42866</v>
      </c>
      <c r="T7644" t="s">
        <v>44512</v>
      </c>
      <c r="U7644" t="s">
        <v>51071</v>
      </c>
      <c r="W7644" t="s">
        <v>41384</v>
      </c>
      <c r="X7644" t="s">
        <v>42679</v>
      </c>
    </row>
    <row r="7645" spans="1:24">
      <c r="A7645">
        <f>HYPERLINK("https://www.philgeps.gov.ph/GEPSNONPILOT/Tender/SplashBidNoticeAbstractUI.aspx?menuIndex=3&amp;refID=7182074&amp;Result=3","7182074")</f>
        <v>0</v>
      </c>
      <c r="B7645" t="s">
        <v>1818</v>
      </c>
      <c r="C7645" t="s">
        <v>10830</v>
      </c>
      <c r="D7645" t="s">
        <v>17163</v>
      </c>
      <c r="E7645" t="s">
        <v>23846</v>
      </c>
      <c r="F7645" t="s">
        <v>29372</v>
      </c>
      <c r="G7645" t="s">
        <v>29381</v>
      </c>
      <c r="H7645" t="s">
        <v>11048</v>
      </c>
      <c r="I7645" t="s">
        <v>29412</v>
      </c>
      <c r="J7645" t="s">
        <v>34465</v>
      </c>
      <c r="K7645" t="s">
        <v>38496</v>
      </c>
      <c r="M7645" t="s">
        <v>40689</v>
      </c>
      <c r="N7645" t="s">
        <v>42669</v>
      </c>
      <c r="O7645" t="s">
        <v>42670</v>
      </c>
      <c r="P7645">
        <v>0</v>
      </c>
      <c r="Q7645">
        <v>4</v>
      </c>
      <c r="R7645" t="s">
        <v>42678</v>
      </c>
      <c r="S7645" t="s">
        <v>42866</v>
      </c>
      <c r="T7645" t="s">
        <v>44387</v>
      </c>
      <c r="U7645" t="s">
        <v>51072</v>
      </c>
      <c r="V7645" t="s">
        <v>57203</v>
      </c>
      <c r="W7645" t="s">
        <v>40689</v>
      </c>
      <c r="X7645" t="s">
        <v>42679</v>
      </c>
    </row>
    <row r="7646" spans="1:24">
      <c r="A7646">
        <f>HYPERLINK("https://www.philgeps.gov.ph/GEPSNONPILOT/Tender/SplashBidNoticeAbstractUI.aspx?menuIndex=3&amp;refID=7182075&amp;Result=3","7182075")</f>
        <v>0</v>
      </c>
      <c r="B7646" t="s">
        <v>1412</v>
      </c>
      <c r="C7646" t="s">
        <v>10831</v>
      </c>
      <c r="D7646" t="s">
        <v>17226</v>
      </c>
      <c r="E7646" t="s">
        <v>23847</v>
      </c>
      <c r="F7646" t="s">
        <v>29372</v>
      </c>
      <c r="G7646" t="s">
        <v>29380</v>
      </c>
      <c r="H7646" t="s">
        <v>29389</v>
      </c>
      <c r="I7646" t="s">
        <v>10408</v>
      </c>
      <c r="J7646" t="s">
        <v>34466</v>
      </c>
      <c r="K7646" t="s">
        <v>38531</v>
      </c>
      <c r="M7646" t="s">
        <v>40251</v>
      </c>
      <c r="N7646" t="s">
        <v>42669</v>
      </c>
      <c r="O7646" t="s">
        <v>42670</v>
      </c>
      <c r="P7646">
        <v>0</v>
      </c>
      <c r="Q7646">
        <v>0</v>
      </c>
      <c r="R7646" t="s">
        <v>42678</v>
      </c>
      <c r="S7646" t="s">
        <v>42866</v>
      </c>
      <c r="T7646" t="s">
        <v>44481</v>
      </c>
      <c r="U7646" t="s">
        <v>48027</v>
      </c>
      <c r="W7646" t="s">
        <v>40251</v>
      </c>
      <c r="X7646" t="s">
        <v>42679</v>
      </c>
    </row>
    <row r="7647" spans="1:24">
      <c r="A7647">
        <f>HYPERLINK("https://www.philgeps.gov.ph/GEPSNONPILOT/Tender/SplashBidNoticeAbstractUI.aspx?menuIndex=3&amp;refID=7182069&amp;Result=3","7182069")</f>
        <v>0</v>
      </c>
      <c r="B7647" t="s">
        <v>1417</v>
      </c>
      <c r="C7647" t="s">
        <v>10832</v>
      </c>
      <c r="D7647" t="s">
        <v>17161</v>
      </c>
      <c r="E7647" t="s">
        <v>23848</v>
      </c>
      <c r="F7647" t="s">
        <v>29372</v>
      </c>
      <c r="G7647" t="s">
        <v>29381</v>
      </c>
      <c r="H7647" t="s">
        <v>11048</v>
      </c>
      <c r="I7647" t="s">
        <v>4709</v>
      </c>
      <c r="J7647" t="s">
        <v>34467</v>
      </c>
      <c r="K7647" t="s">
        <v>38491</v>
      </c>
      <c r="M7647" t="s">
        <v>40256</v>
      </c>
      <c r="N7647" t="s">
        <v>42669</v>
      </c>
      <c r="O7647" t="s">
        <v>42670</v>
      </c>
      <c r="P7647">
        <v>0</v>
      </c>
      <c r="Q7647">
        <v>0</v>
      </c>
      <c r="R7647" t="s">
        <v>42678</v>
      </c>
      <c r="S7647" t="s">
        <v>42866</v>
      </c>
      <c r="T7647" t="s">
        <v>44488</v>
      </c>
      <c r="U7647" t="s">
        <v>51073</v>
      </c>
      <c r="W7647" t="s">
        <v>40256</v>
      </c>
      <c r="X7647" t="s">
        <v>42679</v>
      </c>
    </row>
    <row r="7648" spans="1:24">
      <c r="A7648">
        <f>HYPERLINK("https://www.philgeps.gov.ph/GEPSNONPILOT/Tender/SplashBidNoticeAbstractUI.aspx?menuIndex=3&amp;refID=7182068&amp;Result=3","7182068")</f>
        <v>0</v>
      </c>
      <c r="B7648" t="s">
        <v>2409</v>
      </c>
      <c r="C7648" t="s">
        <v>10833</v>
      </c>
      <c r="D7648" t="s">
        <v>17153</v>
      </c>
      <c r="E7648" t="s">
        <v>23849</v>
      </c>
      <c r="F7648" t="s">
        <v>29372</v>
      </c>
      <c r="G7648" t="s">
        <v>29380</v>
      </c>
      <c r="H7648" t="s">
        <v>29389</v>
      </c>
      <c r="I7648" t="s">
        <v>10408</v>
      </c>
      <c r="J7648" t="s">
        <v>31893</v>
      </c>
      <c r="K7648" t="s">
        <v>38495</v>
      </c>
      <c r="L7648" t="s">
        <v>2409</v>
      </c>
      <c r="M7648" t="s">
        <v>41355</v>
      </c>
      <c r="N7648" t="s">
        <v>42669</v>
      </c>
      <c r="O7648" t="s">
        <v>42670</v>
      </c>
      <c r="P7648">
        <v>0</v>
      </c>
      <c r="Q7648">
        <v>5</v>
      </c>
      <c r="R7648" t="s">
        <v>42678</v>
      </c>
      <c r="S7648" t="s">
        <v>42866</v>
      </c>
      <c r="T7648" t="s">
        <v>44557</v>
      </c>
      <c r="U7648" t="s">
        <v>51074</v>
      </c>
      <c r="W7648" t="s">
        <v>41355</v>
      </c>
      <c r="X7648" t="s">
        <v>42679</v>
      </c>
    </row>
    <row r="7649" spans="1:24">
      <c r="A7649">
        <f>HYPERLINK("https://www.philgeps.gov.ph/GEPSNONPILOT/Tender/SplashBidNoticeAbstractUI.aspx?menuIndex=3&amp;refID=7182040&amp;Result=3","7182040")</f>
        <v>0</v>
      </c>
      <c r="B7649" t="s">
        <v>1481</v>
      </c>
      <c r="C7649" t="s">
        <v>10834</v>
      </c>
      <c r="D7649" t="s">
        <v>17216</v>
      </c>
      <c r="E7649" t="s">
        <v>23850</v>
      </c>
      <c r="F7649" t="s">
        <v>29372</v>
      </c>
      <c r="G7649" t="s">
        <v>29380</v>
      </c>
      <c r="H7649" t="s">
        <v>29389</v>
      </c>
      <c r="I7649" t="s">
        <v>29504</v>
      </c>
      <c r="J7649" t="s">
        <v>34468</v>
      </c>
      <c r="K7649" t="s">
        <v>38515</v>
      </c>
      <c r="M7649" t="s">
        <v>40324</v>
      </c>
      <c r="N7649" t="s">
        <v>42669</v>
      </c>
      <c r="O7649" t="s">
        <v>42670</v>
      </c>
      <c r="P7649">
        <v>0</v>
      </c>
      <c r="Q7649">
        <v>1</v>
      </c>
      <c r="R7649" t="s">
        <v>42678</v>
      </c>
      <c r="S7649" t="s">
        <v>42866</v>
      </c>
      <c r="T7649" t="s">
        <v>44429</v>
      </c>
      <c r="U7649" t="s">
        <v>51075</v>
      </c>
      <c r="V7649" t="s">
        <v>57204</v>
      </c>
      <c r="W7649" t="s">
        <v>40324</v>
      </c>
      <c r="X7649" t="s">
        <v>42679</v>
      </c>
    </row>
    <row r="7650" spans="1:24">
      <c r="A7650">
        <f>HYPERLINK("https://www.philgeps.gov.ph/GEPSNONPILOT/Tender/SplashBidNoticeAbstractUI.aspx?menuIndex=3&amp;refID=7182038&amp;Result=3","7182038")</f>
        <v>0</v>
      </c>
      <c r="B7650" t="s">
        <v>2437</v>
      </c>
      <c r="C7650" t="s">
        <v>10835</v>
      </c>
      <c r="D7650" t="s">
        <v>17169</v>
      </c>
      <c r="E7650" t="s">
        <v>23851</v>
      </c>
      <c r="F7650" t="s">
        <v>29372</v>
      </c>
      <c r="G7650" t="s">
        <v>29380</v>
      </c>
      <c r="H7650" t="s">
        <v>11048</v>
      </c>
      <c r="I7650" t="s">
        <v>3695</v>
      </c>
      <c r="J7650" t="s">
        <v>29590</v>
      </c>
      <c r="K7650" t="s">
        <v>38490</v>
      </c>
      <c r="M7650" t="s">
        <v>41385</v>
      </c>
      <c r="N7650" t="s">
        <v>42669</v>
      </c>
      <c r="O7650" t="s">
        <v>42670</v>
      </c>
      <c r="P7650">
        <v>0</v>
      </c>
      <c r="Q7650">
        <v>3</v>
      </c>
      <c r="R7650" t="s">
        <v>42678</v>
      </c>
      <c r="S7650" t="s">
        <v>42866</v>
      </c>
      <c r="T7650" t="s">
        <v>44491</v>
      </c>
      <c r="U7650" t="s">
        <v>51076</v>
      </c>
      <c r="W7650" t="s">
        <v>41385</v>
      </c>
      <c r="X7650" t="s">
        <v>42679</v>
      </c>
    </row>
    <row r="7651" spans="1:24">
      <c r="A7651">
        <f>HYPERLINK("https://www.philgeps.gov.ph/GEPSNONPILOT/Tender/SplashBidNoticeAbstractUI.aspx?menuIndex=3&amp;refID=7182035&amp;Result=3","7182035")</f>
        <v>0</v>
      </c>
      <c r="B7651" t="s">
        <v>1513</v>
      </c>
      <c r="C7651" t="s">
        <v>10836</v>
      </c>
      <c r="D7651" t="s">
        <v>17171</v>
      </c>
      <c r="E7651" t="s">
        <v>23852</v>
      </c>
      <c r="F7651" t="s">
        <v>29372</v>
      </c>
      <c r="G7651" t="s">
        <v>29380</v>
      </c>
      <c r="H7651" t="s">
        <v>11048</v>
      </c>
      <c r="I7651" t="s">
        <v>29395</v>
      </c>
      <c r="J7651" t="s">
        <v>34469</v>
      </c>
      <c r="K7651" t="s">
        <v>38490</v>
      </c>
      <c r="M7651" t="s">
        <v>40357</v>
      </c>
      <c r="N7651" t="s">
        <v>42669</v>
      </c>
      <c r="O7651" t="s">
        <v>42670</v>
      </c>
      <c r="P7651">
        <v>0</v>
      </c>
      <c r="Q7651">
        <v>0</v>
      </c>
      <c r="R7651" t="s">
        <v>42678</v>
      </c>
      <c r="S7651" t="s">
        <v>42866</v>
      </c>
      <c r="T7651" t="s">
        <v>44570</v>
      </c>
      <c r="U7651" t="s">
        <v>51077</v>
      </c>
      <c r="V7651" t="s">
        <v>56790</v>
      </c>
      <c r="W7651" t="s">
        <v>40357</v>
      </c>
      <c r="X7651" t="s">
        <v>42679</v>
      </c>
    </row>
    <row r="7652" spans="1:24">
      <c r="A7652">
        <f>HYPERLINK("https://www.philgeps.gov.ph/GEPSNONPILOT/Tender/SplashBidNoticeAbstractUI.aspx?menuIndex=3&amp;refID=7182071&amp;Result=3","7182071")</f>
        <v>0</v>
      </c>
      <c r="B7652" t="s">
        <v>2438</v>
      </c>
      <c r="C7652" t="s">
        <v>10837</v>
      </c>
      <c r="D7652" t="s">
        <v>17159</v>
      </c>
      <c r="E7652" t="s">
        <v>23853</v>
      </c>
      <c r="F7652" t="s">
        <v>29372</v>
      </c>
      <c r="G7652" t="s">
        <v>29380</v>
      </c>
      <c r="H7652" t="s">
        <v>11048</v>
      </c>
      <c r="I7652" t="s">
        <v>29413</v>
      </c>
      <c r="J7652" t="s">
        <v>30244</v>
      </c>
      <c r="K7652" t="s">
        <v>38490</v>
      </c>
      <c r="M7652" t="s">
        <v>41386</v>
      </c>
      <c r="N7652" t="s">
        <v>42669</v>
      </c>
      <c r="O7652" t="s">
        <v>42670</v>
      </c>
      <c r="P7652">
        <v>0</v>
      </c>
      <c r="Q7652">
        <v>4</v>
      </c>
      <c r="R7652" t="s">
        <v>42678</v>
      </c>
      <c r="S7652" t="s">
        <v>42866</v>
      </c>
      <c r="T7652" t="s">
        <v>44454</v>
      </c>
      <c r="U7652" t="s">
        <v>51078</v>
      </c>
      <c r="W7652" t="s">
        <v>41386</v>
      </c>
      <c r="X7652" t="s">
        <v>42679</v>
      </c>
    </row>
    <row r="7653" spans="1:24">
      <c r="A7653">
        <f>HYPERLINK("https://www.philgeps.gov.ph/GEPSNONPILOT/Tender/SplashBidNoticeAbstractUI.aspx?menuIndex=3&amp;refID=7182244&amp;Result=3","7182244")</f>
        <v>0</v>
      </c>
      <c r="B7653" t="s">
        <v>2439</v>
      </c>
      <c r="C7653" t="s">
        <v>10838</v>
      </c>
      <c r="D7653" t="s">
        <v>17163</v>
      </c>
      <c r="E7653" t="s">
        <v>23854</v>
      </c>
      <c r="F7653" t="s">
        <v>29372</v>
      </c>
      <c r="G7653" t="s">
        <v>29379</v>
      </c>
      <c r="H7653" t="s">
        <v>11048</v>
      </c>
      <c r="I7653" t="s">
        <v>29409</v>
      </c>
      <c r="J7653" t="s">
        <v>34470</v>
      </c>
      <c r="K7653" t="s">
        <v>38517</v>
      </c>
      <c r="M7653" t="s">
        <v>41387</v>
      </c>
      <c r="N7653" t="s">
        <v>42669</v>
      </c>
      <c r="O7653" t="s">
        <v>42670</v>
      </c>
      <c r="P7653">
        <v>0</v>
      </c>
      <c r="Q7653">
        <v>11</v>
      </c>
      <c r="R7653" t="s">
        <v>42678</v>
      </c>
      <c r="S7653" t="s">
        <v>42866</v>
      </c>
      <c r="T7653" t="s">
        <v>44371</v>
      </c>
      <c r="U7653" t="s">
        <v>51079</v>
      </c>
      <c r="W7653" t="s">
        <v>41387</v>
      </c>
      <c r="X7653" t="s">
        <v>42679</v>
      </c>
    </row>
    <row r="7654" spans="1:24">
      <c r="A7654">
        <f>HYPERLINK("https://www.philgeps.gov.ph/GEPSNONPILOT/Tender/SplashBidNoticeAbstractUI.aspx?menuIndex=3&amp;refID=7182337&amp;Result=3","7182337")</f>
        <v>0</v>
      </c>
      <c r="B7654" t="s">
        <v>2440</v>
      </c>
      <c r="C7654" t="s">
        <v>10839</v>
      </c>
      <c r="D7654" t="s">
        <v>17153</v>
      </c>
      <c r="E7654" t="s">
        <v>23855</v>
      </c>
      <c r="F7654" t="s">
        <v>29372</v>
      </c>
      <c r="G7654" t="s">
        <v>29380</v>
      </c>
      <c r="H7654" t="s">
        <v>29389</v>
      </c>
      <c r="I7654" t="s">
        <v>10408</v>
      </c>
      <c r="J7654" t="s">
        <v>29532</v>
      </c>
      <c r="K7654" t="s">
        <v>38490</v>
      </c>
      <c r="M7654" t="s">
        <v>41388</v>
      </c>
      <c r="N7654" t="s">
        <v>42669</v>
      </c>
      <c r="O7654" t="s">
        <v>42670</v>
      </c>
      <c r="P7654">
        <v>0</v>
      </c>
      <c r="Q7654">
        <v>0</v>
      </c>
      <c r="R7654" t="s">
        <v>42678</v>
      </c>
      <c r="S7654" t="s">
        <v>42866</v>
      </c>
      <c r="T7654" t="s">
        <v>44432</v>
      </c>
      <c r="U7654" t="s">
        <v>51080</v>
      </c>
      <c r="W7654" t="s">
        <v>41388</v>
      </c>
      <c r="X7654" t="s">
        <v>42679</v>
      </c>
    </row>
    <row r="7655" spans="1:24">
      <c r="A7655">
        <f>HYPERLINK("https://www.philgeps.gov.ph/GEPSNONPILOT/Tender/SplashBidNoticeAbstractUI.aspx?menuIndex=3&amp;refID=7182028&amp;Result=3","7182028")</f>
        <v>0</v>
      </c>
      <c r="B7655" t="s">
        <v>2429</v>
      </c>
      <c r="C7655" t="s">
        <v>10840</v>
      </c>
      <c r="D7655" t="s">
        <v>17141</v>
      </c>
      <c r="E7655" t="s">
        <v>18590</v>
      </c>
      <c r="F7655" t="s">
        <v>29372</v>
      </c>
      <c r="G7655" t="s">
        <v>29380</v>
      </c>
      <c r="H7655" t="s">
        <v>11048</v>
      </c>
      <c r="I7655" t="s">
        <v>29413</v>
      </c>
      <c r="J7655" t="s">
        <v>34471</v>
      </c>
      <c r="K7655" t="s">
        <v>38491</v>
      </c>
      <c r="M7655" t="s">
        <v>41377</v>
      </c>
      <c r="N7655" t="s">
        <v>42669</v>
      </c>
      <c r="O7655" t="s">
        <v>42670</v>
      </c>
      <c r="P7655">
        <v>0</v>
      </c>
      <c r="Q7655">
        <v>4</v>
      </c>
      <c r="R7655" t="s">
        <v>42678</v>
      </c>
      <c r="S7655" t="s">
        <v>42866</v>
      </c>
      <c r="T7655" t="s">
        <v>44488</v>
      </c>
      <c r="U7655" t="s">
        <v>51081</v>
      </c>
      <c r="W7655" t="s">
        <v>41377</v>
      </c>
      <c r="X7655" t="s">
        <v>42679</v>
      </c>
    </row>
    <row r="7656" spans="1:24">
      <c r="A7656">
        <f>HYPERLINK("https://www.philgeps.gov.ph/GEPSNONPILOT/Tender/SplashBidNoticeAbstractUI.aspx?menuIndex=3&amp;refID=7182027&amp;Result=3","7182027")</f>
        <v>0</v>
      </c>
      <c r="B7656" t="s">
        <v>2384</v>
      </c>
      <c r="C7656" t="s">
        <v>10841</v>
      </c>
      <c r="D7656" t="s">
        <v>17164</v>
      </c>
      <c r="E7656" t="s">
        <v>23856</v>
      </c>
      <c r="F7656" t="s">
        <v>29372</v>
      </c>
      <c r="G7656" t="s">
        <v>29380</v>
      </c>
      <c r="H7656" t="s">
        <v>29389</v>
      </c>
      <c r="I7656" t="s">
        <v>10408</v>
      </c>
      <c r="J7656" t="s">
        <v>34472</v>
      </c>
      <c r="K7656" t="s">
        <v>38622</v>
      </c>
      <c r="M7656" t="s">
        <v>41329</v>
      </c>
      <c r="N7656" t="s">
        <v>42669</v>
      </c>
      <c r="O7656" t="s">
        <v>42670</v>
      </c>
      <c r="P7656">
        <v>0</v>
      </c>
      <c r="Q7656">
        <v>3</v>
      </c>
      <c r="R7656" t="s">
        <v>42678</v>
      </c>
      <c r="S7656" t="s">
        <v>42866</v>
      </c>
      <c r="T7656" t="s">
        <v>44368</v>
      </c>
      <c r="U7656" t="s">
        <v>51082</v>
      </c>
      <c r="W7656" t="s">
        <v>41329</v>
      </c>
      <c r="X7656" t="s">
        <v>42679</v>
      </c>
    </row>
    <row r="7657" spans="1:24">
      <c r="A7657">
        <f>HYPERLINK("https://www.philgeps.gov.ph/GEPSNONPILOT/Tender/SplashBidNoticeAbstractUI.aspx?menuIndex=3&amp;refID=7182410&amp;Result=3","7182410")</f>
        <v>0</v>
      </c>
      <c r="B7657" t="s">
        <v>1676</v>
      </c>
      <c r="C7657" t="s">
        <v>10842</v>
      </c>
      <c r="D7657" t="s">
        <v>17155</v>
      </c>
      <c r="E7657" t="s">
        <v>23857</v>
      </c>
      <c r="F7657" t="s">
        <v>29372</v>
      </c>
      <c r="G7657" t="s">
        <v>29380</v>
      </c>
      <c r="H7657" t="s">
        <v>29389</v>
      </c>
      <c r="I7657" t="s">
        <v>10408</v>
      </c>
      <c r="J7657" t="s">
        <v>34473</v>
      </c>
      <c r="K7657" t="s">
        <v>38666</v>
      </c>
      <c r="M7657" t="s">
        <v>40536</v>
      </c>
      <c r="N7657" t="s">
        <v>42669</v>
      </c>
      <c r="O7657" t="s">
        <v>42670</v>
      </c>
      <c r="P7657">
        <v>0</v>
      </c>
      <c r="Q7657">
        <v>0</v>
      </c>
      <c r="R7657" t="s">
        <v>42678</v>
      </c>
      <c r="S7657" t="s">
        <v>42866</v>
      </c>
      <c r="T7657" t="s">
        <v>44446</v>
      </c>
      <c r="U7657" t="s">
        <v>51083</v>
      </c>
      <c r="W7657" t="s">
        <v>40536</v>
      </c>
      <c r="X7657" t="s">
        <v>42679</v>
      </c>
    </row>
    <row r="7658" spans="1:24">
      <c r="A7658">
        <f>HYPERLINK("https://www.philgeps.gov.ph/GEPSNONPILOT/Tender/SplashBidNoticeAbstractUI.aspx?menuIndex=3&amp;refID=7182346&amp;Result=3","7182346")</f>
        <v>0</v>
      </c>
      <c r="B7658" t="s">
        <v>2105</v>
      </c>
      <c r="C7658" t="s">
        <v>10843</v>
      </c>
      <c r="D7658" t="s">
        <v>17192</v>
      </c>
      <c r="E7658" t="s">
        <v>23858</v>
      </c>
      <c r="F7658" t="s">
        <v>29372</v>
      </c>
      <c r="G7658" t="s">
        <v>29379</v>
      </c>
      <c r="H7658" t="s">
        <v>11048</v>
      </c>
      <c r="I7658" t="s">
        <v>29407</v>
      </c>
      <c r="J7658" t="s">
        <v>29708</v>
      </c>
      <c r="K7658" t="s">
        <v>38491</v>
      </c>
      <c r="M7658" t="s">
        <v>41007</v>
      </c>
      <c r="N7658" t="s">
        <v>42669</v>
      </c>
      <c r="O7658" t="s">
        <v>42670</v>
      </c>
      <c r="P7658">
        <v>0</v>
      </c>
      <c r="Q7658">
        <v>6</v>
      </c>
      <c r="R7658" t="s">
        <v>42678</v>
      </c>
      <c r="S7658" t="s">
        <v>42866</v>
      </c>
      <c r="T7658" t="s">
        <v>44488</v>
      </c>
      <c r="U7658" t="s">
        <v>51084</v>
      </c>
      <c r="W7658" t="s">
        <v>41007</v>
      </c>
      <c r="X7658" t="s">
        <v>42679</v>
      </c>
    </row>
    <row r="7659" spans="1:24">
      <c r="A7659">
        <f>HYPERLINK("https://www.philgeps.gov.ph/GEPSNONPILOT/Tender/SplashBidNoticeAbstractUI.aspx?menuIndex=3&amp;refID=7182409&amp;Result=3","7182409")</f>
        <v>0</v>
      </c>
      <c r="B7659" t="s">
        <v>2040</v>
      </c>
      <c r="C7659" t="s">
        <v>10844</v>
      </c>
      <c r="D7659" t="s">
        <v>17216</v>
      </c>
      <c r="E7659" t="s">
        <v>23859</v>
      </c>
      <c r="F7659" t="s">
        <v>29372</v>
      </c>
      <c r="G7659" t="s">
        <v>29380</v>
      </c>
      <c r="H7659" t="s">
        <v>29389</v>
      </c>
      <c r="I7659" t="s">
        <v>10408</v>
      </c>
      <c r="J7659" t="s">
        <v>29619</v>
      </c>
      <c r="K7659" t="s">
        <v>38485</v>
      </c>
      <c r="M7659" t="s">
        <v>40937</v>
      </c>
      <c r="N7659" t="s">
        <v>42669</v>
      </c>
      <c r="O7659" t="s">
        <v>42670</v>
      </c>
      <c r="P7659">
        <v>0</v>
      </c>
      <c r="Q7659">
        <v>0</v>
      </c>
      <c r="R7659" t="s">
        <v>42678</v>
      </c>
      <c r="S7659" t="s">
        <v>42866</v>
      </c>
      <c r="T7659" t="s">
        <v>44684</v>
      </c>
      <c r="U7659" t="s">
        <v>51085</v>
      </c>
      <c r="W7659" t="s">
        <v>40937</v>
      </c>
      <c r="X7659" t="s">
        <v>42679</v>
      </c>
    </row>
    <row r="7660" spans="1:24">
      <c r="A7660">
        <f>HYPERLINK("https://www.philgeps.gov.ph/GEPSNONPILOT/Tender/SplashBidNoticeAbstractUI.aspx?menuIndex=3&amp;refID=7182408&amp;Result=3","7182408")</f>
        <v>0</v>
      </c>
      <c r="B7660" t="s">
        <v>508</v>
      </c>
      <c r="C7660" t="s">
        <v>10845</v>
      </c>
      <c r="D7660" t="s">
        <v>17188</v>
      </c>
      <c r="E7660" t="s">
        <v>23786</v>
      </c>
      <c r="F7660" t="s">
        <v>29372</v>
      </c>
      <c r="G7660" t="s">
        <v>29380</v>
      </c>
      <c r="H7660" t="s">
        <v>11048</v>
      </c>
      <c r="I7660" t="s">
        <v>29407</v>
      </c>
      <c r="J7660" t="s">
        <v>34474</v>
      </c>
      <c r="K7660" t="s">
        <v>38490</v>
      </c>
      <c r="M7660" t="s">
        <v>41360</v>
      </c>
      <c r="N7660" t="s">
        <v>42669</v>
      </c>
      <c r="O7660" t="s">
        <v>42670</v>
      </c>
      <c r="P7660">
        <v>0</v>
      </c>
      <c r="Q7660">
        <v>8</v>
      </c>
      <c r="R7660" t="s">
        <v>42678</v>
      </c>
      <c r="S7660" t="s">
        <v>42866</v>
      </c>
      <c r="T7660" t="s">
        <v>44539</v>
      </c>
      <c r="U7660" t="s">
        <v>51001</v>
      </c>
      <c r="V7660" t="s">
        <v>57193</v>
      </c>
      <c r="W7660" t="s">
        <v>41360</v>
      </c>
      <c r="X7660" t="s">
        <v>42679</v>
      </c>
    </row>
    <row r="7661" spans="1:24">
      <c r="A7661">
        <f>HYPERLINK("https://www.philgeps.gov.ph/GEPSNONPILOT/Tender/SplashBidNoticeAbstractUI.aspx?menuIndex=3&amp;refID=7182405&amp;Result=3","7182405")</f>
        <v>0</v>
      </c>
      <c r="B7661" t="s">
        <v>52</v>
      </c>
      <c r="C7661" t="s">
        <v>10846</v>
      </c>
      <c r="D7661" t="s">
        <v>17164</v>
      </c>
      <c r="E7661" t="s">
        <v>23860</v>
      </c>
      <c r="F7661" t="s">
        <v>29372</v>
      </c>
      <c r="G7661" t="s">
        <v>29379</v>
      </c>
      <c r="H7661" t="s">
        <v>11048</v>
      </c>
      <c r="I7661" t="s">
        <v>14920</v>
      </c>
      <c r="J7661" t="s">
        <v>34475</v>
      </c>
      <c r="K7661" t="s">
        <v>38522</v>
      </c>
      <c r="M7661" t="s">
        <v>40848</v>
      </c>
      <c r="N7661" t="s">
        <v>42669</v>
      </c>
      <c r="O7661" t="s">
        <v>42670</v>
      </c>
      <c r="Q7661">
        <v>0</v>
      </c>
      <c r="R7661" t="s">
        <v>42678</v>
      </c>
      <c r="S7661" t="s">
        <v>42897</v>
      </c>
      <c r="T7661" t="s">
        <v>44635</v>
      </c>
      <c r="U7661" t="s">
        <v>51086</v>
      </c>
      <c r="W7661" t="s">
        <v>40848</v>
      </c>
      <c r="X7661" t="s">
        <v>42679</v>
      </c>
    </row>
    <row r="7662" spans="1:24">
      <c r="A7662">
        <f>HYPERLINK("https://www.philgeps.gov.ph/GEPSNONPILOT/Tender/SplashBidNoticeAbstractUI.aspx?menuIndex=3&amp;refID=7182403&amp;Result=3","7182403")</f>
        <v>0</v>
      </c>
      <c r="B7662" t="s">
        <v>2441</v>
      </c>
      <c r="C7662" t="s">
        <v>10847</v>
      </c>
      <c r="D7662" t="s">
        <v>17156</v>
      </c>
      <c r="E7662" t="s">
        <v>23861</v>
      </c>
      <c r="F7662" t="s">
        <v>29372</v>
      </c>
      <c r="G7662" t="s">
        <v>29383</v>
      </c>
      <c r="H7662" t="s">
        <v>11048</v>
      </c>
      <c r="I7662" t="s">
        <v>29399</v>
      </c>
      <c r="J7662" t="s">
        <v>30412</v>
      </c>
      <c r="K7662" t="s">
        <v>38534</v>
      </c>
      <c r="M7662" t="s">
        <v>41389</v>
      </c>
      <c r="N7662" t="s">
        <v>42669</v>
      </c>
      <c r="O7662" t="s">
        <v>42670</v>
      </c>
      <c r="P7662">
        <v>0</v>
      </c>
      <c r="Q7662">
        <v>0</v>
      </c>
      <c r="R7662" t="s">
        <v>42678</v>
      </c>
      <c r="S7662" t="s">
        <v>42866</v>
      </c>
      <c r="T7662" t="s">
        <v>44382</v>
      </c>
      <c r="U7662" t="s">
        <v>51087</v>
      </c>
      <c r="W7662" t="s">
        <v>41389</v>
      </c>
      <c r="X7662" t="s">
        <v>42679</v>
      </c>
    </row>
    <row r="7663" spans="1:24">
      <c r="A7663">
        <f>HYPERLINK("https://www.philgeps.gov.ph/GEPSNONPILOT/Tender/SplashBidNoticeAbstractUI.aspx?menuIndex=3&amp;refID=7182398&amp;Result=3","7182398")</f>
        <v>0</v>
      </c>
      <c r="B7663" t="s">
        <v>2409</v>
      </c>
      <c r="C7663" t="s">
        <v>10848</v>
      </c>
      <c r="D7663" t="s">
        <v>17153</v>
      </c>
      <c r="E7663" t="s">
        <v>23862</v>
      </c>
      <c r="F7663" t="s">
        <v>29372</v>
      </c>
      <c r="G7663" t="s">
        <v>29380</v>
      </c>
      <c r="H7663" t="s">
        <v>11048</v>
      </c>
      <c r="I7663" t="s">
        <v>29423</v>
      </c>
      <c r="J7663" t="s">
        <v>30752</v>
      </c>
      <c r="K7663" t="s">
        <v>38485</v>
      </c>
      <c r="L7663" t="s">
        <v>2409</v>
      </c>
      <c r="M7663" t="s">
        <v>41355</v>
      </c>
      <c r="N7663" t="s">
        <v>42669</v>
      </c>
      <c r="O7663" t="s">
        <v>42670</v>
      </c>
      <c r="P7663">
        <v>0</v>
      </c>
      <c r="Q7663">
        <v>1</v>
      </c>
      <c r="R7663" t="s">
        <v>42678</v>
      </c>
      <c r="S7663" t="s">
        <v>42866</v>
      </c>
      <c r="T7663" t="s">
        <v>44557</v>
      </c>
      <c r="U7663" t="s">
        <v>51088</v>
      </c>
      <c r="W7663" t="s">
        <v>41355</v>
      </c>
      <c r="X7663" t="s">
        <v>42679</v>
      </c>
    </row>
    <row r="7664" spans="1:24">
      <c r="A7664">
        <f>HYPERLINK("https://www.philgeps.gov.ph/GEPSNONPILOT/Tender/SplashBidNoticeAbstractUI.aspx?menuIndex=3&amp;refID=7182391&amp;Result=3","7182391")</f>
        <v>0</v>
      </c>
      <c r="B7664" t="s">
        <v>579</v>
      </c>
      <c r="C7664" t="s">
        <v>10849</v>
      </c>
      <c r="D7664" t="s">
        <v>17141</v>
      </c>
      <c r="E7664" t="s">
        <v>23863</v>
      </c>
      <c r="F7664" t="s">
        <v>29373</v>
      </c>
      <c r="G7664" t="s">
        <v>29380</v>
      </c>
      <c r="H7664" t="s">
        <v>11048</v>
      </c>
      <c r="I7664" t="s">
        <v>4709</v>
      </c>
      <c r="J7664" t="s">
        <v>30302</v>
      </c>
      <c r="K7664" t="s">
        <v>38485</v>
      </c>
      <c r="M7664" t="s">
        <v>39348</v>
      </c>
      <c r="N7664" t="s">
        <v>42669</v>
      </c>
      <c r="O7664" t="s">
        <v>42670</v>
      </c>
      <c r="P7664">
        <v>0</v>
      </c>
      <c r="Q7664">
        <v>0</v>
      </c>
      <c r="R7664" t="s">
        <v>42678</v>
      </c>
      <c r="S7664" t="s">
        <v>42866</v>
      </c>
      <c r="T7664" t="s">
        <v>44391</v>
      </c>
      <c r="U7664" t="s">
        <v>51089</v>
      </c>
      <c r="V7664" t="s">
        <v>56504</v>
      </c>
      <c r="W7664" t="s">
        <v>39348</v>
      </c>
      <c r="X7664" t="s">
        <v>42679</v>
      </c>
    </row>
    <row r="7665" spans="1:24">
      <c r="A7665">
        <f>HYPERLINK("https://www.philgeps.gov.ph/GEPSNONPILOT/Tender/SplashBidNoticeAbstractUI.aspx?menuIndex=3&amp;refID=7182024&amp;Result=3","7182024")</f>
        <v>0</v>
      </c>
      <c r="B7665" t="s">
        <v>2442</v>
      </c>
      <c r="C7665" t="s">
        <v>10850</v>
      </c>
      <c r="D7665" t="s">
        <v>17170</v>
      </c>
      <c r="E7665" t="s">
        <v>23864</v>
      </c>
      <c r="F7665" t="s">
        <v>29373</v>
      </c>
      <c r="G7665" t="s">
        <v>29380</v>
      </c>
      <c r="H7665" t="s">
        <v>11048</v>
      </c>
      <c r="I7665" t="s">
        <v>3670</v>
      </c>
      <c r="J7665" t="s">
        <v>34476</v>
      </c>
      <c r="K7665" t="s">
        <v>38490</v>
      </c>
      <c r="M7665" t="s">
        <v>41390</v>
      </c>
      <c r="N7665" t="s">
        <v>42669</v>
      </c>
      <c r="O7665" t="s">
        <v>42670</v>
      </c>
      <c r="P7665">
        <v>0</v>
      </c>
      <c r="Q7665">
        <v>0</v>
      </c>
      <c r="R7665" t="s">
        <v>42678</v>
      </c>
      <c r="S7665" t="s">
        <v>42866</v>
      </c>
      <c r="T7665" t="s">
        <v>44452</v>
      </c>
      <c r="U7665" t="s">
        <v>51090</v>
      </c>
      <c r="W7665" t="s">
        <v>41390</v>
      </c>
      <c r="X7665" t="s">
        <v>42679</v>
      </c>
    </row>
    <row r="7666" spans="1:24">
      <c r="A7666">
        <f>HYPERLINK("https://www.philgeps.gov.ph/GEPSNONPILOT/Tender/SplashBidNoticeAbstractUI.aspx?menuIndex=3&amp;refID=7182388&amp;Result=3","7182388")</f>
        <v>0</v>
      </c>
      <c r="B7666" t="s">
        <v>1720</v>
      </c>
      <c r="C7666" t="s">
        <v>10851</v>
      </c>
      <c r="D7666" t="s">
        <v>17189</v>
      </c>
      <c r="E7666" t="s">
        <v>22818</v>
      </c>
      <c r="F7666" t="s">
        <v>29372</v>
      </c>
      <c r="G7666" t="s">
        <v>29380</v>
      </c>
      <c r="H7666" t="s">
        <v>11048</v>
      </c>
      <c r="I7666" t="s">
        <v>4709</v>
      </c>
      <c r="J7666" t="s">
        <v>34477</v>
      </c>
      <c r="K7666" t="s">
        <v>38510</v>
      </c>
      <c r="M7666" t="s">
        <v>40583</v>
      </c>
      <c r="N7666" t="s">
        <v>42669</v>
      </c>
      <c r="O7666" t="s">
        <v>42670</v>
      </c>
      <c r="Q7666">
        <v>0</v>
      </c>
      <c r="R7666" t="s">
        <v>42678</v>
      </c>
      <c r="S7666" t="s">
        <v>42898</v>
      </c>
      <c r="T7666" t="s">
        <v>44631</v>
      </c>
      <c r="U7666" t="s">
        <v>51091</v>
      </c>
      <c r="W7666" t="s">
        <v>40583</v>
      </c>
      <c r="X7666" t="s">
        <v>42679</v>
      </c>
    </row>
    <row r="7667" spans="1:24">
      <c r="A7667">
        <f>HYPERLINK("https://www.philgeps.gov.ph/GEPSNONPILOT/Tender/SplashBidNoticeAbstractUI.aspx?menuIndex=3&amp;refID=7182373&amp;Result=3","7182373")</f>
        <v>0</v>
      </c>
      <c r="B7667" t="s">
        <v>1084</v>
      </c>
      <c r="C7667" t="s">
        <v>10852</v>
      </c>
      <c r="D7667" t="s">
        <v>17179</v>
      </c>
      <c r="E7667" t="s">
        <v>23865</v>
      </c>
      <c r="F7667" t="s">
        <v>29372</v>
      </c>
      <c r="G7667" t="s">
        <v>29379</v>
      </c>
      <c r="H7667" t="s">
        <v>11048</v>
      </c>
      <c r="I7667" t="s">
        <v>4486</v>
      </c>
      <c r="J7667" t="s">
        <v>29582</v>
      </c>
      <c r="K7667" t="s">
        <v>38490</v>
      </c>
      <c r="M7667" t="s">
        <v>39891</v>
      </c>
      <c r="N7667" t="s">
        <v>42669</v>
      </c>
      <c r="O7667" t="s">
        <v>42670</v>
      </c>
      <c r="P7667">
        <v>0</v>
      </c>
      <c r="Q7667">
        <v>5</v>
      </c>
      <c r="R7667" t="s">
        <v>42678</v>
      </c>
      <c r="S7667" t="s">
        <v>42866</v>
      </c>
      <c r="T7667" t="s">
        <v>44491</v>
      </c>
      <c r="U7667" t="s">
        <v>47177</v>
      </c>
      <c r="W7667" t="s">
        <v>39891</v>
      </c>
      <c r="X7667" t="s">
        <v>42679</v>
      </c>
    </row>
    <row r="7668" spans="1:24">
      <c r="A7668">
        <f>HYPERLINK("https://www.philgeps.gov.ph/GEPSNONPILOT/Tender/SplashBidNoticeAbstractUI.aspx?menuIndex=3&amp;refID=7182407&amp;Result=3","7182407")</f>
        <v>0</v>
      </c>
      <c r="B7668" t="s">
        <v>2424</v>
      </c>
      <c r="C7668" t="s">
        <v>10853</v>
      </c>
      <c r="D7668" t="s">
        <v>17213</v>
      </c>
      <c r="E7668" t="s">
        <v>23797</v>
      </c>
      <c r="F7668" t="s">
        <v>29372</v>
      </c>
      <c r="G7668" t="s">
        <v>29380</v>
      </c>
      <c r="H7668" t="s">
        <v>11048</v>
      </c>
      <c r="I7668" t="s">
        <v>29395</v>
      </c>
      <c r="J7668" t="s">
        <v>34478</v>
      </c>
      <c r="K7668" t="s">
        <v>38488</v>
      </c>
      <c r="L7668" t="s">
        <v>2424</v>
      </c>
      <c r="M7668" t="s">
        <v>41371</v>
      </c>
      <c r="N7668" t="s">
        <v>42669</v>
      </c>
      <c r="O7668" t="s">
        <v>42670</v>
      </c>
      <c r="P7668">
        <v>0</v>
      </c>
      <c r="Q7668">
        <v>0</v>
      </c>
      <c r="R7668" t="s">
        <v>42678</v>
      </c>
      <c r="S7668" t="s">
        <v>42866</v>
      </c>
      <c r="T7668" t="s">
        <v>44751</v>
      </c>
      <c r="U7668" t="s">
        <v>51092</v>
      </c>
      <c r="V7668" t="s">
        <v>57205</v>
      </c>
      <c r="W7668" t="s">
        <v>41371</v>
      </c>
      <c r="X7668" t="s">
        <v>42679</v>
      </c>
    </row>
    <row r="7669" spans="1:24">
      <c r="A7669">
        <f>HYPERLINK("https://www.philgeps.gov.ph/GEPSNONPILOT/Tender/SplashBidNoticeAbstractUI.aspx?menuIndex=3&amp;refID=7182361&amp;Result=3","7182361")</f>
        <v>0</v>
      </c>
      <c r="B7669" t="s">
        <v>1067</v>
      </c>
      <c r="C7669" t="s">
        <v>10854</v>
      </c>
      <c r="D7669" t="s">
        <v>17190</v>
      </c>
      <c r="E7669" t="s">
        <v>23866</v>
      </c>
      <c r="F7669" t="s">
        <v>29372</v>
      </c>
      <c r="G7669" t="s">
        <v>29380</v>
      </c>
      <c r="H7669" t="s">
        <v>29389</v>
      </c>
      <c r="I7669" t="s">
        <v>10408</v>
      </c>
      <c r="J7669" t="s">
        <v>34479</v>
      </c>
      <c r="K7669" t="s">
        <v>38622</v>
      </c>
      <c r="M7669" t="s">
        <v>39874</v>
      </c>
      <c r="N7669" t="s">
        <v>42669</v>
      </c>
      <c r="O7669" t="s">
        <v>42670</v>
      </c>
      <c r="P7669">
        <v>0</v>
      </c>
      <c r="Q7669">
        <v>0</v>
      </c>
      <c r="R7669" t="s">
        <v>42678</v>
      </c>
      <c r="S7669" t="s">
        <v>42866</v>
      </c>
      <c r="T7669" t="s">
        <v>44357</v>
      </c>
      <c r="U7669" t="s">
        <v>51093</v>
      </c>
      <c r="W7669" t="s">
        <v>39874</v>
      </c>
      <c r="X7669" t="s">
        <v>42679</v>
      </c>
    </row>
    <row r="7670" spans="1:24">
      <c r="A7670">
        <f>HYPERLINK("https://www.philgeps.gov.ph/GEPSNONPILOT/Tender/SplashBidNoticeAbstractUI.aspx?menuIndex=3&amp;refID=7182448&amp;Result=3","7182448")</f>
        <v>0</v>
      </c>
      <c r="B7670" t="s">
        <v>1469</v>
      </c>
      <c r="C7670" t="s">
        <v>10855</v>
      </c>
      <c r="D7670" t="s">
        <v>17181</v>
      </c>
      <c r="E7670" t="s">
        <v>23867</v>
      </c>
      <c r="F7670" t="s">
        <v>29372</v>
      </c>
      <c r="G7670" t="s">
        <v>29379</v>
      </c>
      <c r="H7670" t="s">
        <v>11048</v>
      </c>
      <c r="I7670" t="s">
        <v>4709</v>
      </c>
      <c r="J7670" t="s">
        <v>34480</v>
      </c>
      <c r="K7670" t="s">
        <v>38489</v>
      </c>
      <c r="M7670" t="s">
        <v>40312</v>
      </c>
      <c r="N7670" t="s">
        <v>42669</v>
      </c>
      <c r="O7670" t="s">
        <v>42670</v>
      </c>
      <c r="P7670">
        <v>0</v>
      </c>
      <c r="Q7670">
        <v>0</v>
      </c>
      <c r="R7670" t="s">
        <v>42678</v>
      </c>
      <c r="S7670" t="s">
        <v>42866</v>
      </c>
      <c r="T7670" t="s">
        <v>44493</v>
      </c>
      <c r="U7670" t="s">
        <v>51094</v>
      </c>
      <c r="W7670" t="s">
        <v>40312</v>
      </c>
      <c r="X7670" t="s">
        <v>42679</v>
      </c>
    </row>
    <row r="7671" spans="1:24">
      <c r="A7671">
        <f>HYPERLINK("https://www.philgeps.gov.ph/GEPSNONPILOT/Tender/SplashBidNoticeAbstractUI.aspx?menuIndex=3&amp;refID=7182447&amp;Result=3","7182447")</f>
        <v>0</v>
      </c>
      <c r="B7671" t="s">
        <v>2409</v>
      </c>
      <c r="C7671" t="s">
        <v>10856</v>
      </c>
      <c r="D7671" t="s">
        <v>17153</v>
      </c>
      <c r="E7671" t="s">
        <v>23868</v>
      </c>
      <c r="F7671" t="s">
        <v>29372</v>
      </c>
      <c r="G7671" t="s">
        <v>29380</v>
      </c>
      <c r="H7671" t="s">
        <v>11048</v>
      </c>
      <c r="I7671" t="s">
        <v>29403</v>
      </c>
      <c r="J7671" t="s">
        <v>30302</v>
      </c>
      <c r="K7671" t="s">
        <v>38488</v>
      </c>
      <c r="L7671" t="s">
        <v>2409</v>
      </c>
      <c r="M7671" t="s">
        <v>41355</v>
      </c>
      <c r="N7671" t="s">
        <v>42669</v>
      </c>
      <c r="O7671" t="s">
        <v>42670</v>
      </c>
      <c r="P7671">
        <v>0</v>
      </c>
      <c r="Q7671">
        <v>0</v>
      </c>
      <c r="R7671" t="s">
        <v>42678</v>
      </c>
      <c r="S7671" t="s">
        <v>42866</v>
      </c>
      <c r="T7671" t="s">
        <v>44557</v>
      </c>
      <c r="U7671" t="s">
        <v>51095</v>
      </c>
      <c r="W7671" t="s">
        <v>41355</v>
      </c>
      <c r="X7671" t="s">
        <v>42679</v>
      </c>
    </row>
    <row r="7672" spans="1:24">
      <c r="A7672">
        <f>HYPERLINK("https://www.philgeps.gov.ph/GEPSNONPILOT/Tender/SplashBidNoticeAbstractUI.aspx?menuIndex=3&amp;refID=7182390&amp;Result=3","7182390")</f>
        <v>0</v>
      </c>
      <c r="B7672" t="s">
        <v>427</v>
      </c>
      <c r="C7672" t="s">
        <v>10857</v>
      </c>
      <c r="D7672" t="s">
        <v>17167</v>
      </c>
      <c r="E7672" t="s">
        <v>23869</v>
      </c>
      <c r="F7672" t="s">
        <v>29372</v>
      </c>
      <c r="G7672" t="s">
        <v>29379</v>
      </c>
      <c r="H7672" t="s">
        <v>11048</v>
      </c>
      <c r="I7672" t="s">
        <v>3629</v>
      </c>
      <c r="J7672" t="s">
        <v>30155</v>
      </c>
      <c r="K7672" t="s">
        <v>38488</v>
      </c>
      <c r="M7672" t="s">
        <v>39191</v>
      </c>
      <c r="N7672" t="s">
        <v>42669</v>
      </c>
      <c r="O7672" t="s">
        <v>42670</v>
      </c>
      <c r="P7672">
        <v>0</v>
      </c>
      <c r="Q7672">
        <v>1</v>
      </c>
      <c r="R7672" t="s">
        <v>42678</v>
      </c>
      <c r="S7672" t="s">
        <v>42866</v>
      </c>
      <c r="T7672" t="s">
        <v>44432</v>
      </c>
      <c r="U7672" t="s">
        <v>51096</v>
      </c>
      <c r="W7672" t="s">
        <v>39191</v>
      </c>
      <c r="X7672" t="s">
        <v>42679</v>
      </c>
    </row>
    <row r="7673" spans="1:24">
      <c r="A7673">
        <f>HYPERLINK("https://www.philgeps.gov.ph/GEPSNONPILOT/Tender/SplashBidNoticeAbstractUI.aspx?menuIndex=3&amp;refID=7182445&amp;Result=3","7182445")</f>
        <v>0</v>
      </c>
      <c r="B7673" t="s">
        <v>832</v>
      </c>
      <c r="C7673" t="s">
        <v>10858</v>
      </c>
      <c r="E7673" t="s">
        <v>23870</v>
      </c>
      <c r="F7673" t="s">
        <v>29372</v>
      </c>
      <c r="G7673" t="s">
        <v>29380</v>
      </c>
      <c r="H7673" t="s">
        <v>11048</v>
      </c>
      <c r="I7673" t="s">
        <v>29410</v>
      </c>
      <c r="J7673" t="s">
        <v>32182</v>
      </c>
      <c r="K7673" t="s">
        <v>38490</v>
      </c>
      <c r="M7673" t="s">
        <v>39621</v>
      </c>
      <c r="N7673" t="s">
        <v>42669</v>
      </c>
      <c r="O7673" t="s">
        <v>42670</v>
      </c>
      <c r="P7673">
        <v>0</v>
      </c>
      <c r="Q7673">
        <v>19</v>
      </c>
      <c r="R7673" t="s">
        <v>42678</v>
      </c>
      <c r="S7673" t="s">
        <v>42866</v>
      </c>
      <c r="T7673" t="s">
        <v>44685</v>
      </c>
      <c r="U7673" t="s">
        <v>51097</v>
      </c>
      <c r="W7673" t="s">
        <v>39621</v>
      </c>
      <c r="X7673" t="s">
        <v>42679</v>
      </c>
    </row>
    <row r="7674" spans="1:24">
      <c r="A7674">
        <f>HYPERLINK("https://www.philgeps.gov.ph/GEPSNONPILOT/Tender/SplashBidNoticeAbstractUI.aspx?menuIndex=3&amp;refID=7182381&amp;Result=3","7182381")</f>
        <v>0</v>
      </c>
      <c r="B7674" t="s">
        <v>1067</v>
      </c>
      <c r="C7674" t="s">
        <v>10859</v>
      </c>
      <c r="D7674" t="s">
        <v>17190</v>
      </c>
      <c r="E7674" t="s">
        <v>23871</v>
      </c>
      <c r="F7674" t="s">
        <v>29372</v>
      </c>
      <c r="G7674" t="s">
        <v>29380</v>
      </c>
      <c r="H7674" t="s">
        <v>29389</v>
      </c>
      <c r="I7674" t="s">
        <v>10408</v>
      </c>
      <c r="J7674" t="s">
        <v>30262</v>
      </c>
      <c r="K7674" t="s">
        <v>38515</v>
      </c>
      <c r="M7674" t="s">
        <v>39874</v>
      </c>
      <c r="N7674" t="s">
        <v>42669</v>
      </c>
      <c r="O7674" t="s">
        <v>42670</v>
      </c>
      <c r="P7674">
        <v>0</v>
      </c>
      <c r="Q7674">
        <v>0</v>
      </c>
      <c r="R7674" t="s">
        <v>42678</v>
      </c>
      <c r="S7674" t="s">
        <v>42866</v>
      </c>
      <c r="T7674" t="s">
        <v>44357</v>
      </c>
      <c r="U7674" t="s">
        <v>51098</v>
      </c>
      <c r="W7674" t="s">
        <v>39874</v>
      </c>
      <c r="X7674" t="s">
        <v>42679</v>
      </c>
    </row>
    <row r="7675" spans="1:24">
      <c r="A7675">
        <f>HYPERLINK("https://www.philgeps.gov.ph/GEPSNONPILOT/Tender/SplashBidNoticeAbstractUI.aspx?menuIndex=3&amp;refID=7182439&amp;Result=3","7182439")</f>
        <v>0</v>
      </c>
      <c r="B7675" t="s">
        <v>2443</v>
      </c>
      <c r="C7675" t="s">
        <v>10860</v>
      </c>
      <c r="D7675" t="s">
        <v>17169</v>
      </c>
      <c r="E7675" t="s">
        <v>23872</v>
      </c>
      <c r="F7675" t="s">
        <v>29372</v>
      </c>
      <c r="G7675" t="s">
        <v>29380</v>
      </c>
      <c r="H7675" t="s">
        <v>11048</v>
      </c>
      <c r="I7675" t="s">
        <v>29392</v>
      </c>
      <c r="J7675" t="s">
        <v>34481</v>
      </c>
      <c r="K7675" t="s">
        <v>38570</v>
      </c>
      <c r="M7675" t="s">
        <v>41391</v>
      </c>
      <c r="N7675" t="s">
        <v>42669</v>
      </c>
      <c r="O7675" t="s">
        <v>42670</v>
      </c>
      <c r="P7675">
        <v>0</v>
      </c>
      <c r="Q7675">
        <v>4</v>
      </c>
      <c r="R7675" t="s">
        <v>42678</v>
      </c>
      <c r="S7675" t="s">
        <v>42866</v>
      </c>
      <c r="T7675" t="s">
        <v>44517</v>
      </c>
      <c r="U7675" t="s">
        <v>51099</v>
      </c>
      <c r="W7675" t="s">
        <v>41391</v>
      </c>
      <c r="X7675" t="s">
        <v>42679</v>
      </c>
    </row>
    <row r="7676" spans="1:24">
      <c r="A7676">
        <f>HYPERLINK("https://www.philgeps.gov.ph/GEPSNONPILOT/Tender/SplashBidNoticeAbstractUI.aspx?menuIndex=3&amp;refID=7182401&amp;Result=3","7182401")</f>
        <v>0</v>
      </c>
      <c r="B7676" t="s">
        <v>2444</v>
      </c>
      <c r="C7676" t="s">
        <v>10861</v>
      </c>
      <c r="D7676" t="s">
        <v>17205</v>
      </c>
      <c r="E7676" t="s">
        <v>23873</v>
      </c>
      <c r="F7676" t="s">
        <v>29372</v>
      </c>
      <c r="G7676" t="s">
        <v>29380</v>
      </c>
      <c r="H7676" t="s">
        <v>11048</v>
      </c>
      <c r="I7676" t="s">
        <v>4487</v>
      </c>
      <c r="J7676" t="s">
        <v>34482</v>
      </c>
      <c r="K7676" t="s">
        <v>38488</v>
      </c>
      <c r="M7676" t="s">
        <v>41392</v>
      </c>
      <c r="N7676" t="s">
        <v>42669</v>
      </c>
      <c r="O7676" t="s">
        <v>42670</v>
      </c>
      <c r="P7676">
        <v>0</v>
      </c>
      <c r="Q7676">
        <v>0</v>
      </c>
      <c r="R7676" t="s">
        <v>42678</v>
      </c>
      <c r="S7676" t="s">
        <v>42866</v>
      </c>
      <c r="T7676" t="s">
        <v>44517</v>
      </c>
      <c r="U7676" t="s">
        <v>51100</v>
      </c>
      <c r="V7676" t="s">
        <v>57206</v>
      </c>
      <c r="W7676" t="s">
        <v>41392</v>
      </c>
      <c r="X7676" t="s">
        <v>42679</v>
      </c>
    </row>
    <row r="7677" spans="1:24">
      <c r="A7677">
        <f>HYPERLINK("https://www.philgeps.gov.ph/GEPSNONPILOT/Tender/SplashBidNoticeAbstractUI.aspx?menuIndex=3&amp;refID=7182434&amp;Result=3","7182434")</f>
        <v>0</v>
      </c>
      <c r="B7677" t="s">
        <v>1720</v>
      </c>
      <c r="C7677" t="s">
        <v>10862</v>
      </c>
      <c r="D7677" t="s">
        <v>17189</v>
      </c>
      <c r="E7677" t="s">
        <v>22808</v>
      </c>
      <c r="F7677" t="s">
        <v>29372</v>
      </c>
      <c r="G7677" t="s">
        <v>29380</v>
      </c>
      <c r="H7677" t="s">
        <v>11048</v>
      </c>
      <c r="I7677" t="s">
        <v>4709</v>
      </c>
      <c r="J7677" t="s">
        <v>34483</v>
      </c>
      <c r="K7677" t="s">
        <v>38510</v>
      </c>
      <c r="M7677" t="s">
        <v>40583</v>
      </c>
      <c r="N7677" t="s">
        <v>42669</v>
      </c>
      <c r="O7677" t="s">
        <v>42670</v>
      </c>
      <c r="P7677">
        <v>0</v>
      </c>
      <c r="Q7677">
        <v>0</v>
      </c>
      <c r="R7677" t="s">
        <v>42678</v>
      </c>
      <c r="S7677" t="s">
        <v>42866</v>
      </c>
      <c r="T7677" t="s">
        <v>44631</v>
      </c>
      <c r="U7677" t="s">
        <v>51101</v>
      </c>
      <c r="W7677" t="s">
        <v>40583</v>
      </c>
      <c r="X7677" t="s">
        <v>42679</v>
      </c>
    </row>
    <row r="7678" spans="1:24">
      <c r="A7678">
        <f>HYPERLINK("https://www.philgeps.gov.ph/GEPSNONPILOT/Tender/SplashBidNoticeAbstractUI.aspx?menuIndex=3&amp;refID=7182243&amp;Result=3","7182243")</f>
        <v>0</v>
      </c>
      <c r="B7678" t="s">
        <v>2423</v>
      </c>
      <c r="C7678" t="s">
        <v>10863</v>
      </c>
      <c r="D7678" t="s">
        <v>17172</v>
      </c>
      <c r="E7678" t="s">
        <v>23874</v>
      </c>
      <c r="F7678" t="s">
        <v>29372</v>
      </c>
      <c r="G7678" t="s">
        <v>29380</v>
      </c>
      <c r="H7678" t="s">
        <v>29389</v>
      </c>
      <c r="I7678" t="s">
        <v>10408</v>
      </c>
      <c r="J7678" t="s">
        <v>29532</v>
      </c>
      <c r="K7678" t="s">
        <v>38518</v>
      </c>
      <c r="M7678" t="s">
        <v>41370</v>
      </c>
      <c r="N7678" t="s">
        <v>42669</v>
      </c>
      <c r="O7678" t="s">
        <v>42670</v>
      </c>
      <c r="P7678">
        <v>0</v>
      </c>
      <c r="Q7678">
        <v>0</v>
      </c>
      <c r="R7678" t="s">
        <v>42678</v>
      </c>
      <c r="S7678" t="s">
        <v>42866</v>
      </c>
      <c r="T7678" t="s">
        <v>44432</v>
      </c>
      <c r="U7678" t="s">
        <v>51102</v>
      </c>
      <c r="W7678" t="s">
        <v>41370</v>
      </c>
      <c r="X7678" t="s">
        <v>42679</v>
      </c>
    </row>
    <row r="7679" spans="1:24">
      <c r="A7679">
        <f>HYPERLINK("https://www.philgeps.gov.ph/GEPSNONPILOT/Tender/SplashBidNoticeAbstractUI.aspx?menuIndex=3&amp;refID=7182431&amp;Result=3","7182431")</f>
        <v>0</v>
      </c>
      <c r="B7679" t="s">
        <v>2445</v>
      </c>
      <c r="C7679" t="s">
        <v>10864</v>
      </c>
      <c r="D7679" t="s">
        <v>17205</v>
      </c>
      <c r="E7679" t="s">
        <v>23875</v>
      </c>
      <c r="F7679" t="s">
        <v>29372</v>
      </c>
      <c r="G7679" t="s">
        <v>29380</v>
      </c>
      <c r="H7679" t="s">
        <v>29389</v>
      </c>
      <c r="I7679" t="s">
        <v>10408</v>
      </c>
      <c r="J7679" t="s">
        <v>29590</v>
      </c>
      <c r="K7679" t="s">
        <v>38496</v>
      </c>
      <c r="M7679" t="s">
        <v>41393</v>
      </c>
      <c r="N7679" t="s">
        <v>42669</v>
      </c>
      <c r="O7679" t="s">
        <v>42670</v>
      </c>
      <c r="P7679">
        <v>0</v>
      </c>
      <c r="Q7679">
        <v>12</v>
      </c>
      <c r="R7679" t="s">
        <v>42678</v>
      </c>
      <c r="S7679" t="s">
        <v>42866</v>
      </c>
      <c r="T7679" t="s">
        <v>44442</v>
      </c>
      <c r="U7679" t="s">
        <v>51103</v>
      </c>
      <c r="W7679" t="s">
        <v>41393</v>
      </c>
      <c r="X7679" t="s">
        <v>42679</v>
      </c>
    </row>
    <row r="7680" spans="1:24">
      <c r="A7680">
        <f>HYPERLINK("https://www.philgeps.gov.ph/GEPSNONPILOT/Tender/SplashBidNoticeAbstractUI.aspx?menuIndex=3&amp;refID=7182430&amp;Result=3","7182430")</f>
        <v>0</v>
      </c>
      <c r="B7680" t="s">
        <v>2446</v>
      </c>
      <c r="C7680" t="s">
        <v>10865</v>
      </c>
      <c r="D7680" t="s">
        <v>17174</v>
      </c>
      <c r="E7680" t="s">
        <v>23876</v>
      </c>
      <c r="F7680" t="s">
        <v>29372</v>
      </c>
      <c r="G7680" t="s">
        <v>29380</v>
      </c>
      <c r="H7680" t="s">
        <v>11048</v>
      </c>
      <c r="I7680" t="s">
        <v>4709</v>
      </c>
      <c r="J7680" t="s">
        <v>29764</v>
      </c>
      <c r="K7680" t="s">
        <v>38485</v>
      </c>
      <c r="M7680" t="s">
        <v>41394</v>
      </c>
      <c r="N7680" t="s">
        <v>42669</v>
      </c>
      <c r="O7680" t="s">
        <v>42670</v>
      </c>
      <c r="P7680">
        <v>0</v>
      </c>
      <c r="Q7680">
        <v>0</v>
      </c>
      <c r="R7680" t="s">
        <v>42678</v>
      </c>
      <c r="S7680" t="s">
        <v>42866</v>
      </c>
      <c r="T7680" t="s">
        <v>44437</v>
      </c>
      <c r="U7680" t="s">
        <v>51104</v>
      </c>
      <c r="W7680" t="s">
        <v>41394</v>
      </c>
      <c r="X7680" t="s">
        <v>42679</v>
      </c>
    </row>
    <row r="7681" spans="1:24">
      <c r="A7681">
        <f>HYPERLINK("https://www.philgeps.gov.ph/GEPSNONPILOT/Tender/SplashBidNoticeAbstractUI.aspx?menuIndex=3&amp;refID=7182435&amp;Result=3","7182435")</f>
        <v>0</v>
      </c>
      <c r="B7681" t="s">
        <v>2447</v>
      </c>
      <c r="C7681" t="s">
        <v>10866</v>
      </c>
      <c r="D7681" t="s">
        <v>17216</v>
      </c>
      <c r="E7681" t="s">
        <v>23877</v>
      </c>
      <c r="F7681" t="s">
        <v>29372</v>
      </c>
      <c r="G7681" t="s">
        <v>29380</v>
      </c>
      <c r="H7681" t="s">
        <v>29389</v>
      </c>
      <c r="I7681" t="s">
        <v>10408</v>
      </c>
      <c r="J7681" t="s">
        <v>29543</v>
      </c>
      <c r="K7681" t="s">
        <v>38487</v>
      </c>
      <c r="M7681" t="s">
        <v>41395</v>
      </c>
      <c r="N7681" t="s">
        <v>42669</v>
      </c>
      <c r="O7681" t="s">
        <v>42670</v>
      </c>
      <c r="P7681">
        <v>0</v>
      </c>
      <c r="Q7681">
        <v>0</v>
      </c>
      <c r="R7681" t="s">
        <v>42678</v>
      </c>
      <c r="S7681" t="s">
        <v>42866</v>
      </c>
      <c r="T7681" t="s">
        <v>44450</v>
      </c>
      <c r="U7681" t="s">
        <v>51105</v>
      </c>
      <c r="W7681" t="s">
        <v>41395</v>
      </c>
      <c r="X7681" t="s">
        <v>42679</v>
      </c>
    </row>
    <row r="7682" spans="1:24">
      <c r="A7682">
        <f>HYPERLINK("https://www.philgeps.gov.ph/GEPSNONPILOT/Tender/SplashBidNoticeAbstractUI.aspx?menuIndex=3&amp;refID=7182423&amp;Result=3","7182423")</f>
        <v>0</v>
      </c>
      <c r="B7682" t="s">
        <v>989</v>
      </c>
      <c r="C7682" t="s">
        <v>10867</v>
      </c>
      <c r="D7682" t="s">
        <v>17197</v>
      </c>
      <c r="E7682" t="s">
        <v>23878</v>
      </c>
      <c r="F7682" t="s">
        <v>29372</v>
      </c>
      <c r="G7682" t="s">
        <v>29379</v>
      </c>
      <c r="H7682" t="s">
        <v>11048</v>
      </c>
      <c r="I7682" t="s">
        <v>29409</v>
      </c>
      <c r="J7682" t="s">
        <v>30010</v>
      </c>
      <c r="K7682" t="s">
        <v>38488</v>
      </c>
      <c r="M7682" t="s">
        <v>41171</v>
      </c>
      <c r="N7682" t="s">
        <v>42669</v>
      </c>
      <c r="O7682" t="s">
        <v>42670</v>
      </c>
      <c r="P7682">
        <v>0</v>
      </c>
      <c r="Q7682">
        <v>3</v>
      </c>
      <c r="R7682" t="s">
        <v>42678</v>
      </c>
      <c r="S7682" t="s">
        <v>42866</v>
      </c>
      <c r="T7682" t="s">
        <v>44488</v>
      </c>
      <c r="U7682" t="s">
        <v>51106</v>
      </c>
      <c r="W7682" t="s">
        <v>41171</v>
      </c>
      <c r="X7682" t="s">
        <v>42679</v>
      </c>
    </row>
    <row r="7683" spans="1:24">
      <c r="A7683">
        <f>HYPERLINK("https://www.philgeps.gov.ph/GEPSNONPILOT/Tender/SplashBidNoticeAbstractUI.aspx?menuIndex=3&amp;refID=7182442&amp;Result=3","7182442")</f>
        <v>0</v>
      </c>
      <c r="B7683" t="s">
        <v>2186</v>
      </c>
      <c r="C7683" t="s">
        <v>10868</v>
      </c>
      <c r="D7683" t="s">
        <v>17148</v>
      </c>
      <c r="E7683" t="s">
        <v>23879</v>
      </c>
      <c r="F7683" t="s">
        <v>29372</v>
      </c>
      <c r="G7683" t="s">
        <v>29380</v>
      </c>
      <c r="H7683" t="s">
        <v>11048</v>
      </c>
      <c r="I7683" t="s">
        <v>8614</v>
      </c>
      <c r="J7683" t="s">
        <v>34484</v>
      </c>
      <c r="K7683" t="s">
        <v>38488</v>
      </c>
      <c r="M7683" t="s">
        <v>41100</v>
      </c>
      <c r="N7683" t="s">
        <v>42669</v>
      </c>
      <c r="O7683" t="s">
        <v>42670</v>
      </c>
      <c r="Q7683">
        <v>2</v>
      </c>
      <c r="R7683" t="s">
        <v>42678</v>
      </c>
      <c r="S7683" t="s">
        <v>42899</v>
      </c>
      <c r="T7683" t="s">
        <v>44432</v>
      </c>
      <c r="U7683" t="s">
        <v>51107</v>
      </c>
      <c r="V7683" t="s">
        <v>57207</v>
      </c>
      <c r="W7683" t="s">
        <v>41100</v>
      </c>
      <c r="X7683" t="s">
        <v>42679</v>
      </c>
    </row>
    <row r="7684" spans="1:24">
      <c r="A7684">
        <f>HYPERLINK("https://www.philgeps.gov.ph/GEPSNONPILOT/Tender/SplashBidNoticeAbstractUI.aspx?menuIndex=3&amp;refID=7182422&amp;Result=3","7182422")</f>
        <v>0</v>
      </c>
      <c r="B7684" t="s">
        <v>2448</v>
      </c>
      <c r="C7684" t="s">
        <v>10869</v>
      </c>
      <c r="D7684" t="s">
        <v>17195</v>
      </c>
      <c r="E7684" t="s">
        <v>17266</v>
      </c>
      <c r="F7684" t="s">
        <v>29372</v>
      </c>
      <c r="G7684" t="s">
        <v>29380</v>
      </c>
      <c r="H7684" t="s">
        <v>29389</v>
      </c>
      <c r="I7684" t="s">
        <v>10408</v>
      </c>
      <c r="J7684" t="s">
        <v>31594</v>
      </c>
      <c r="K7684" t="s">
        <v>38522</v>
      </c>
      <c r="M7684" t="s">
        <v>41396</v>
      </c>
      <c r="N7684" t="s">
        <v>42669</v>
      </c>
      <c r="O7684" t="s">
        <v>42670</v>
      </c>
      <c r="P7684">
        <v>0</v>
      </c>
      <c r="Q7684">
        <v>19</v>
      </c>
      <c r="R7684" t="s">
        <v>42678</v>
      </c>
      <c r="S7684" t="s">
        <v>42866</v>
      </c>
      <c r="T7684" t="s">
        <v>44663</v>
      </c>
      <c r="U7684" t="s">
        <v>51108</v>
      </c>
      <c r="W7684" t="s">
        <v>41396</v>
      </c>
      <c r="X7684" t="s">
        <v>42679</v>
      </c>
    </row>
    <row r="7685" spans="1:24">
      <c r="A7685">
        <f>HYPERLINK("https://www.philgeps.gov.ph/GEPSNONPILOT/Tender/SplashBidNoticeAbstractUI.aspx?menuIndex=3&amp;refID=7182420&amp;Result=3","7182420")</f>
        <v>0</v>
      </c>
      <c r="B7685" t="s">
        <v>883</v>
      </c>
      <c r="C7685" t="s">
        <v>10870</v>
      </c>
      <c r="D7685" t="s">
        <v>17161</v>
      </c>
      <c r="E7685" t="s">
        <v>23880</v>
      </c>
      <c r="F7685" t="s">
        <v>29372</v>
      </c>
      <c r="G7685" t="s">
        <v>29380</v>
      </c>
      <c r="H7685" t="s">
        <v>11048</v>
      </c>
      <c r="I7685" t="s">
        <v>29398</v>
      </c>
      <c r="J7685" t="s">
        <v>34485</v>
      </c>
      <c r="K7685" t="s">
        <v>38538</v>
      </c>
      <c r="M7685" t="s">
        <v>39675</v>
      </c>
      <c r="N7685" t="s">
        <v>42669</v>
      </c>
      <c r="O7685" t="s">
        <v>42670</v>
      </c>
      <c r="P7685">
        <v>0</v>
      </c>
      <c r="Q7685">
        <v>0</v>
      </c>
      <c r="R7685" t="s">
        <v>42678</v>
      </c>
      <c r="S7685" t="s">
        <v>42866</v>
      </c>
      <c r="T7685" t="s">
        <v>44357</v>
      </c>
      <c r="U7685" t="s">
        <v>51109</v>
      </c>
      <c r="W7685" t="s">
        <v>39675</v>
      </c>
      <c r="X7685" t="s">
        <v>42679</v>
      </c>
    </row>
    <row r="7686" spans="1:24">
      <c r="A7686">
        <f>HYPERLINK("https://www.philgeps.gov.ph/GEPSNONPILOT/Tender/SplashBidNoticeAbstractUI.aspx?menuIndex=3&amp;refID=7182429&amp;Result=3","7182429")</f>
        <v>0</v>
      </c>
      <c r="B7686" t="s">
        <v>2449</v>
      </c>
      <c r="C7686" t="s">
        <v>10871</v>
      </c>
      <c r="D7686" t="s">
        <v>17226</v>
      </c>
      <c r="E7686" t="s">
        <v>23881</v>
      </c>
      <c r="F7686" t="s">
        <v>29372</v>
      </c>
      <c r="G7686" t="s">
        <v>29380</v>
      </c>
      <c r="H7686" t="s">
        <v>11048</v>
      </c>
      <c r="I7686" t="s">
        <v>4709</v>
      </c>
      <c r="J7686" t="s">
        <v>34486</v>
      </c>
      <c r="K7686" t="s">
        <v>38518</v>
      </c>
      <c r="L7686" t="s">
        <v>2449</v>
      </c>
      <c r="M7686" t="s">
        <v>41397</v>
      </c>
      <c r="N7686" t="s">
        <v>42669</v>
      </c>
      <c r="O7686" t="s">
        <v>42670</v>
      </c>
      <c r="P7686">
        <v>0</v>
      </c>
      <c r="Q7686">
        <v>0</v>
      </c>
      <c r="R7686" t="s">
        <v>42678</v>
      </c>
      <c r="S7686" t="s">
        <v>42866</v>
      </c>
      <c r="T7686" t="s">
        <v>44502</v>
      </c>
      <c r="U7686" t="s">
        <v>46036</v>
      </c>
      <c r="W7686" t="s">
        <v>41397</v>
      </c>
      <c r="X7686" t="s">
        <v>42679</v>
      </c>
    </row>
    <row r="7687" spans="1:24">
      <c r="A7687">
        <f>HYPERLINK("https://www.philgeps.gov.ph/GEPSNONPILOT/Tender/SplashBidNoticeAbstractUI.aspx?menuIndex=3&amp;refID=7182417&amp;Result=3","7182417")</f>
        <v>0</v>
      </c>
      <c r="B7687" t="s">
        <v>2450</v>
      </c>
      <c r="C7687" t="s">
        <v>10872</v>
      </c>
      <c r="D7687" t="s">
        <v>17158</v>
      </c>
      <c r="E7687" t="s">
        <v>23882</v>
      </c>
      <c r="F7687" t="s">
        <v>29372</v>
      </c>
      <c r="G7687" t="s">
        <v>29380</v>
      </c>
      <c r="H7687" t="s">
        <v>11048</v>
      </c>
      <c r="I7687" t="s">
        <v>9642</v>
      </c>
      <c r="J7687" t="s">
        <v>34487</v>
      </c>
      <c r="K7687" t="s">
        <v>38496</v>
      </c>
      <c r="M7687" t="s">
        <v>41398</v>
      </c>
      <c r="N7687" t="s">
        <v>42669</v>
      </c>
      <c r="O7687" t="s">
        <v>42670</v>
      </c>
      <c r="P7687">
        <v>0</v>
      </c>
      <c r="Q7687">
        <v>17</v>
      </c>
      <c r="R7687" t="s">
        <v>42678</v>
      </c>
      <c r="S7687" t="s">
        <v>42866</v>
      </c>
      <c r="T7687" t="s">
        <v>44517</v>
      </c>
      <c r="U7687" t="s">
        <v>51110</v>
      </c>
      <c r="W7687" t="s">
        <v>41398</v>
      </c>
      <c r="X7687" t="s">
        <v>42679</v>
      </c>
    </row>
    <row r="7688" spans="1:24">
      <c r="A7688">
        <f>HYPERLINK("https://www.philgeps.gov.ph/GEPSNONPILOT/Tender/SplashBidNoticeAbstractUI.aspx?menuIndex=3&amp;refID=7182411&amp;Result=3","7182411")</f>
        <v>0</v>
      </c>
      <c r="B7688" t="s">
        <v>2384</v>
      </c>
      <c r="C7688" t="s">
        <v>10873</v>
      </c>
      <c r="D7688" t="s">
        <v>17164</v>
      </c>
      <c r="E7688" t="s">
        <v>23883</v>
      </c>
      <c r="F7688" t="s">
        <v>29372</v>
      </c>
      <c r="G7688" t="s">
        <v>29380</v>
      </c>
      <c r="H7688" t="s">
        <v>11048</v>
      </c>
      <c r="I7688" t="s">
        <v>29469</v>
      </c>
      <c r="J7688" t="s">
        <v>29532</v>
      </c>
      <c r="K7688" t="s">
        <v>38490</v>
      </c>
      <c r="M7688" t="s">
        <v>41329</v>
      </c>
      <c r="N7688" t="s">
        <v>42669</v>
      </c>
      <c r="O7688" t="s">
        <v>42670</v>
      </c>
      <c r="P7688">
        <v>0</v>
      </c>
      <c r="Q7688">
        <v>2</v>
      </c>
      <c r="R7688" t="s">
        <v>42678</v>
      </c>
      <c r="S7688" t="s">
        <v>42866</v>
      </c>
      <c r="T7688" t="s">
        <v>44531</v>
      </c>
      <c r="U7688" t="s">
        <v>51111</v>
      </c>
      <c r="W7688" t="s">
        <v>41329</v>
      </c>
      <c r="X7688" t="s">
        <v>42679</v>
      </c>
    </row>
    <row r="7689" spans="1:24">
      <c r="A7689">
        <f>HYPERLINK("https://www.philgeps.gov.ph/GEPSNONPILOT/Tender/SplashBidNoticeAbstractUI.aspx?menuIndex=3&amp;refID=7182358&amp;Result=3","7182358")</f>
        <v>0</v>
      </c>
      <c r="B7689" t="s">
        <v>1084</v>
      </c>
      <c r="C7689" t="s">
        <v>10874</v>
      </c>
      <c r="D7689" t="s">
        <v>17179</v>
      </c>
      <c r="E7689" t="s">
        <v>23884</v>
      </c>
      <c r="F7689" t="s">
        <v>29372</v>
      </c>
      <c r="G7689" t="s">
        <v>29379</v>
      </c>
      <c r="H7689" t="s">
        <v>11048</v>
      </c>
      <c r="I7689" t="s">
        <v>29426</v>
      </c>
      <c r="J7689" t="s">
        <v>34488</v>
      </c>
      <c r="K7689" t="s">
        <v>38490</v>
      </c>
      <c r="M7689" t="s">
        <v>39891</v>
      </c>
      <c r="N7689" t="s">
        <v>42669</v>
      </c>
      <c r="O7689" t="s">
        <v>42670</v>
      </c>
      <c r="P7689">
        <v>0</v>
      </c>
      <c r="Q7689">
        <v>3</v>
      </c>
      <c r="R7689" t="s">
        <v>42678</v>
      </c>
      <c r="S7689" t="s">
        <v>42866</v>
      </c>
      <c r="T7689" t="s">
        <v>44491</v>
      </c>
      <c r="U7689" t="s">
        <v>47177</v>
      </c>
      <c r="W7689" t="s">
        <v>39891</v>
      </c>
      <c r="X7689" t="s">
        <v>42679</v>
      </c>
    </row>
    <row r="7690" spans="1:24">
      <c r="A7690">
        <f>HYPERLINK("https://www.philgeps.gov.ph/GEPSNONPILOT/Tender/SplashBidNoticeAbstractUI.aspx?menuIndex=3&amp;refID=7182355&amp;Result=3","7182355")</f>
        <v>0</v>
      </c>
      <c r="B7690" t="s">
        <v>2451</v>
      </c>
      <c r="C7690" t="s">
        <v>10875</v>
      </c>
      <c r="D7690" t="s">
        <v>17228</v>
      </c>
      <c r="E7690" t="s">
        <v>23885</v>
      </c>
      <c r="F7690" t="s">
        <v>29372</v>
      </c>
      <c r="G7690" t="s">
        <v>29380</v>
      </c>
      <c r="H7690" t="s">
        <v>29389</v>
      </c>
      <c r="I7690" t="s">
        <v>10408</v>
      </c>
      <c r="J7690" t="s">
        <v>34489</v>
      </c>
      <c r="K7690" t="s">
        <v>38490</v>
      </c>
      <c r="M7690" t="s">
        <v>41399</v>
      </c>
      <c r="N7690" t="s">
        <v>42669</v>
      </c>
      <c r="O7690" t="s">
        <v>42670</v>
      </c>
      <c r="P7690">
        <v>0</v>
      </c>
      <c r="Q7690">
        <v>0</v>
      </c>
      <c r="R7690" t="s">
        <v>42678</v>
      </c>
      <c r="S7690" t="s">
        <v>42866</v>
      </c>
      <c r="T7690" t="s">
        <v>44517</v>
      </c>
      <c r="U7690" t="s">
        <v>51112</v>
      </c>
      <c r="W7690" t="s">
        <v>41399</v>
      </c>
      <c r="X7690" t="s">
        <v>42679</v>
      </c>
    </row>
    <row r="7691" spans="1:24">
      <c r="A7691">
        <f>HYPERLINK("https://www.philgeps.gov.ph/GEPSNONPILOT/Tender/SplashBidNoticeAbstractUI.aspx?menuIndex=3&amp;refID=7182428&amp;Result=3","7182428")</f>
        <v>0</v>
      </c>
      <c r="B7691" t="s">
        <v>2452</v>
      </c>
      <c r="C7691" t="s">
        <v>10876</v>
      </c>
      <c r="D7691" t="s">
        <v>17168</v>
      </c>
      <c r="E7691" t="s">
        <v>23886</v>
      </c>
      <c r="F7691" t="s">
        <v>29372</v>
      </c>
      <c r="G7691" t="s">
        <v>29380</v>
      </c>
      <c r="H7691" t="s">
        <v>11048</v>
      </c>
      <c r="I7691" t="s">
        <v>5383</v>
      </c>
      <c r="J7691" t="s">
        <v>34490</v>
      </c>
      <c r="K7691" t="s">
        <v>38485</v>
      </c>
      <c r="M7691" t="s">
        <v>41400</v>
      </c>
      <c r="N7691" t="s">
        <v>42669</v>
      </c>
      <c r="O7691" t="s">
        <v>42670</v>
      </c>
      <c r="P7691">
        <v>0</v>
      </c>
      <c r="Q7691">
        <v>7</v>
      </c>
      <c r="R7691" t="s">
        <v>42678</v>
      </c>
      <c r="S7691" t="s">
        <v>42866</v>
      </c>
      <c r="T7691" t="s">
        <v>44368</v>
      </c>
      <c r="U7691" t="s">
        <v>51113</v>
      </c>
      <c r="W7691" t="s">
        <v>41400</v>
      </c>
      <c r="X7691" t="s">
        <v>42679</v>
      </c>
    </row>
    <row r="7692" spans="1:24">
      <c r="A7692">
        <f>HYPERLINK("https://www.philgeps.gov.ph/GEPSNONPILOT/Tender/SplashBidNoticeAbstractUI.aspx?menuIndex=3&amp;refID=7182433&amp;Result=3","7182433")</f>
        <v>0</v>
      </c>
      <c r="B7692" t="s">
        <v>2453</v>
      </c>
      <c r="C7692" t="s">
        <v>10877</v>
      </c>
      <c r="D7692" t="s">
        <v>17216</v>
      </c>
      <c r="E7692" t="s">
        <v>23887</v>
      </c>
      <c r="F7692" t="s">
        <v>29372</v>
      </c>
      <c r="G7692" t="s">
        <v>29380</v>
      </c>
      <c r="H7692" t="s">
        <v>29389</v>
      </c>
      <c r="I7692" t="s">
        <v>10408</v>
      </c>
      <c r="J7692" t="s">
        <v>30056</v>
      </c>
      <c r="K7692" t="s">
        <v>38531</v>
      </c>
      <c r="M7692" t="s">
        <v>41401</v>
      </c>
      <c r="N7692" t="s">
        <v>42669</v>
      </c>
      <c r="O7692" t="s">
        <v>42670</v>
      </c>
      <c r="P7692">
        <v>0</v>
      </c>
      <c r="Q7692">
        <v>0</v>
      </c>
      <c r="R7692" t="s">
        <v>42678</v>
      </c>
      <c r="S7692" t="s">
        <v>42866</v>
      </c>
      <c r="T7692" t="s">
        <v>44450</v>
      </c>
      <c r="U7692" t="s">
        <v>51114</v>
      </c>
      <c r="W7692" t="s">
        <v>41401</v>
      </c>
      <c r="X7692" t="s">
        <v>42679</v>
      </c>
    </row>
    <row r="7693" spans="1:24">
      <c r="A7693">
        <f>HYPERLINK("https://www.philgeps.gov.ph/GEPSNONPILOT/Tender/SplashBidNoticeAbstractUI.aspx?menuIndex=3&amp;refID=7182351&amp;Result=3","7182351")</f>
        <v>0</v>
      </c>
      <c r="B7693" t="s">
        <v>52</v>
      </c>
      <c r="C7693" t="s">
        <v>10878</v>
      </c>
      <c r="D7693" t="s">
        <v>17164</v>
      </c>
      <c r="E7693" t="s">
        <v>23888</v>
      </c>
      <c r="F7693" t="s">
        <v>29372</v>
      </c>
      <c r="G7693" t="s">
        <v>29379</v>
      </c>
      <c r="H7693" t="s">
        <v>11048</v>
      </c>
      <c r="I7693" t="s">
        <v>14920</v>
      </c>
      <c r="J7693" t="s">
        <v>31159</v>
      </c>
      <c r="K7693" t="s">
        <v>38522</v>
      </c>
      <c r="M7693" t="s">
        <v>40848</v>
      </c>
      <c r="N7693" t="s">
        <v>42669</v>
      </c>
      <c r="O7693" t="s">
        <v>42670</v>
      </c>
      <c r="Q7693">
        <v>0</v>
      </c>
      <c r="R7693" t="s">
        <v>42678</v>
      </c>
      <c r="S7693" t="s">
        <v>42900</v>
      </c>
      <c r="T7693" t="s">
        <v>44635</v>
      </c>
      <c r="U7693" t="s">
        <v>51115</v>
      </c>
      <c r="W7693" t="s">
        <v>40848</v>
      </c>
      <c r="X7693" t="s">
        <v>42679</v>
      </c>
    </row>
    <row r="7694" spans="1:24">
      <c r="A7694">
        <f>HYPERLINK("https://www.philgeps.gov.ph/GEPSNONPILOT/Tender/SplashBidNoticeAbstractUI.aspx?menuIndex=3&amp;refID=7182348&amp;Result=3","7182348")</f>
        <v>0</v>
      </c>
      <c r="B7694" t="s">
        <v>662</v>
      </c>
      <c r="C7694" t="s">
        <v>10879</v>
      </c>
      <c r="D7694" t="s">
        <v>17211</v>
      </c>
      <c r="E7694" t="s">
        <v>23889</v>
      </c>
      <c r="F7694" t="s">
        <v>29372</v>
      </c>
      <c r="G7694" t="s">
        <v>29380</v>
      </c>
      <c r="H7694" t="s">
        <v>11048</v>
      </c>
      <c r="I7694" t="s">
        <v>3695</v>
      </c>
      <c r="J7694" t="s">
        <v>34491</v>
      </c>
      <c r="K7694" t="s">
        <v>38496</v>
      </c>
      <c r="M7694" t="s">
        <v>39438</v>
      </c>
      <c r="N7694" t="s">
        <v>42669</v>
      </c>
      <c r="O7694" t="s">
        <v>42670</v>
      </c>
      <c r="P7694">
        <v>0</v>
      </c>
      <c r="Q7694">
        <v>2</v>
      </c>
      <c r="R7694" t="s">
        <v>42678</v>
      </c>
      <c r="S7694" t="s">
        <v>42866</v>
      </c>
      <c r="T7694" t="s">
        <v>44401</v>
      </c>
      <c r="U7694" t="s">
        <v>51116</v>
      </c>
      <c r="W7694" t="s">
        <v>39438</v>
      </c>
      <c r="X7694" t="s">
        <v>42679</v>
      </c>
    </row>
    <row r="7695" spans="1:24">
      <c r="A7695">
        <f>HYPERLINK("https://www.philgeps.gov.ph/GEPSNONPILOT/Tender/SplashBidNoticeAbstractUI.aspx?menuIndex=3&amp;refID=7182345&amp;Result=3","7182345")</f>
        <v>0</v>
      </c>
      <c r="B7695" t="s">
        <v>2409</v>
      </c>
      <c r="C7695" t="s">
        <v>10880</v>
      </c>
      <c r="D7695" t="s">
        <v>17153</v>
      </c>
      <c r="E7695" t="s">
        <v>23890</v>
      </c>
      <c r="F7695" t="s">
        <v>29372</v>
      </c>
      <c r="G7695" t="s">
        <v>29380</v>
      </c>
      <c r="H7695" t="s">
        <v>11048</v>
      </c>
      <c r="I7695" t="s">
        <v>29394</v>
      </c>
      <c r="J7695" t="s">
        <v>34492</v>
      </c>
      <c r="K7695" t="s">
        <v>38485</v>
      </c>
      <c r="L7695" t="s">
        <v>2409</v>
      </c>
      <c r="M7695" t="s">
        <v>41355</v>
      </c>
      <c r="N7695" t="s">
        <v>42669</v>
      </c>
      <c r="O7695" t="s">
        <v>42670</v>
      </c>
      <c r="P7695">
        <v>0</v>
      </c>
      <c r="Q7695">
        <v>2</v>
      </c>
      <c r="R7695" t="s">
        <v>42678</v>
      </c>
      <c r="S7695" t="s">
        <v>42866</v>
      </c>
      <c r="T7695" t="s">
        <v>44557</v>
      </c>
      <c r="U7695" t="s">
        <v>51117</v>
      </c>
      <c r="W7695" t="s">
        <v>41355</v>
      </c>
      <c r="X7695" t="s">
        <v>42679</v>
      </c>
    </row>
    <row r="7696" spans="1:24">
      <c r="A7696">
        <f>HYPERLINK("https://www.philgeps.gov.ph/GEPSNONPILOT/Tender/SplashBidNoticeAbstractUI.aspx?menuIndex=3&amp;refID=7182414&amp;Result=3","7182414")</f>
        <v>0</v>
      </c>
      <c r="B7696" t="s">
        <v>2451</v>
      </c>
      <c r="C7696" t="s">
        <v>10881</v>
      </c>
      <c r="D7696" t="s">
        <v>17228</v>
      </c>
      <c r="E7696" t="s">
        <v>23891</v>
      </c>
      <c r="F7696" t="s">
        <v>29372</v>
      </c>
      <c r="G7696" t="s">
        <v>29380</v>
      </c>
      <c r="H7696" t="s">
        <v>29389</v>
      </c>
      <c r="I7696" t="s">
        <v>10408</v>
      </c>
      <c r="J7696" t="s">
        <v>29619</v>
      </c>
      <c r="K7696" t="s">
        <v>38490</v>
      </c>
      <c r="M7696" t="s">
        <v>41399</v>
      </c>
      <c r="N7696" t="s">
        <v>42669</v>
      </c>
      <c r="O7696" t="s">
        <v>42670</v>
      </c>
      <c r="P7696">
        <v>0</v>
      </c>
      <c r="Q7696">
        <v>0</v>
      </c>
      <c r="R7696" t="s">
        <v>42678</v>
      </c>
      <c r="S7696" t="s">
        <v>42866</v>
      </c>
      <c r="T7696" t="s">
        <v>44517</v>
      </c>
      <c r="U7696" t="s">
        <v>51112</v>
      </c>
      <c r="W7696" t="s">
        <v>41399</v>
      </c>
      <c r="X7696" t="s">
        <v>42679</v>
      </c>
    </row>
    <row r="7697" spans="1:24">
      <c r="A7697">
        <f>HYPERLINK("https://www.philgeps.gov.ph/GEPSNONPILOT/Tender/SplashBidNoticeAbstractUI.aspx?menuIndex=3&amp;refID=7182421&amp;Result=3","7182421")</f>
        <v>0</v>
      </c>
      <c r="B7697" t="s">
        <v>2454</v>
      </c>
      <c r="C7697" t="s">
        <v>10882</v>
      </c>
      <c r="D7697" t="s">
        <v>17195</v>
      </c>
      <c r="E7697" t="s">
        <v>23892</v>
      </c>
      <c r="F7697" t="s">
        <v>29372</v>
      </c>
      <c r="G7697" t="s">
        <v>29380</v>
      </c>
      <c r="H7697" t="s">
        <v>11048</v>
      </c>
      <c r="I7697" t="s">
        <v>29486</v>
      </c>
      <c r="J7697" t="s">
        <v>34493</v>
      </c>
      <c r="K7697" t="s">
        <v>38488</v>
      </c>
      <c r="M7697" t="s">
        <v>41402</v>
      </c>
      <c r="N7697" t="s">
        <v>42669</v>
      </c>
      <c r="O7697" t="s">
        <v>42670</v>
      </c>
      <c r="P7697">
        <v>0</v>
      </c>
      <c r="Q7697">
        <v>1</v>
      </c>
      <c r="R7697" t="s">
        <v>42678</v>
      </c>
      <c r="S7697" t="s">
        <v>42866</v>
      </c>
      <c r="T7697" t="s">
        <v>44488</v>
      </c>
      <c r="U7697" t="s">
        <v>51118</v>
      </c>
      <c r="W7697" t="s">
        <v>41402</v>
      </c>
      <c r="X7697" t="s">
        <v>42679</v>
      </c>
    </row>
    <row r="7698" spans="1:24">
      <c r="A7698">
        <f>HYPERLINK("https://www.philgeps.gov.ph/GEPSNONPILOT/Tender/SplashBidNoticeAbstractUI.aspx?menuIndex=3&amp;refID=7182490&amp;Result=3","7182490")</f>
        <v>0</v>
      </c>
      <c r="B7698" t="s">
        <v>2455</v>
      </c>
      <c r="C7698" t="s">
        <v>10883</v>
      </c>
      <c r="D7698" t="s">
        <v>17168</v>
      </c>
      <c r="E7698" t="s">
        <v>17404</v>
      </c>
      <c r="F7698" t="s">
        <v>29372</v>
      </c>
      <c r="G7698" t="s">
        <v>29380</v>
      </c>
      <c r="H7698" t="s">
        <v>29389</v>
      </c>
      <c r="I7698" t="s">
        <v>10408</v>
      </c>
      <c r="J7698" t="s">
        <v>34494</v>
      </c>
      <c r="K7698" t="s">
        <v>38490</v>
      </c>
      <c r="M7698" t="s">
        <v>41403</v>
      </c>
      <c r="N7698" t="s">
        <v>42669</v>
      </c>
      <c r="O7698" t="s">
        <v>42670</v>
      </c>
      <c r="P7698">
        <v>0</v>
      </c>
      <c r="Q7698">
        <v>0</v>
      </c>
      <c r="R7698" t="s">
        <v>42678</v>
      </c>
      <c r="S7698" t="s">
        <v>42866</v>
      </c>
      <c r="T7698" t="s">
        <v>44489</v>
      </c>
      <c r="U7698" t="s">
        <v>51119</v>
      </c>
      <c r="W7698" t="s">
        <v>41403</v>
      </c>
      <c r="X7698" t="s">
        <v>42679</v>
      </c>
    </row>
    <row r="7699" spans="1:24">
      <c r="A7699">
        <f>HYPERLINK("https://www.philgeps.gov.ph/GEPSNONPILOT/Tender/SplashBidNoticeAbstractUI.aspx?menuIndex=3&amp;refID=7182507&amp;Result=3","7182507")</f>
        <v>0</v>
      </c>
      <c r="B7699" t="s">
        <v>2409</v>
      </c>
      <c r="C7699" t="s">
        <v>10884</v>
      </c>
      <c r="D7699" t="s">
        <v>17153</v>
      </c>
      <c r="E7699" t="s">
        <v>23893</v>
      </c>
      <c r="F7699" t="s">
        <v>29372</v>
      </c>
      <c r="G7699" t="s">
        <v>29380</v>
      </c>
      <c r="H7699" t="s">
        <v>11048</v>
      </c>
      <c r="I7699" t="s">
        <v>4486</v>
      </c>
      <c r="J7699" t="s">
        <v>34495</v>
      </c>
      <c r="K7699" t="s">
        <v>38495</v>
      </c>
      <c r="L7699" t="s">
        <v>2409</v>
      </c>
      <c r="M7699" t="s">
        <v>41355</v>
      </c>
      <c r="N7699" t="s">
        <v>42669</v>
      </c>
      <c r="O7699" t="s">
        <v>42670</v>
      </c>
      <c r="P7699">
        <v>0</v>
      </c>
      <c r="Q7699">
        <v>2</v>
      </c>
      <c r="R7699" t="s">
        <v>42678</v>
      </c>
      <c r="S7699" t="s">
        <v>42866</v>
      </c>
      <c r="T7699" t="s">
        <v>44557</v>
      </c>
      <c r="U7699" t="s">
        <v>51120</v>
      </c>
      <c r="W7699" t="s">
        <v>41355</v>
      </c>
      <c r="X7699" t="s">
        <v>42679</v>
      </c>
    </row>
    <row r="7700" spans="1:24">
      <c r="A7700">
        <f>HYPERLINK("https://www.philgeps.gov.ph/GEPSNONPILOT/Tender/SplashBidNoticeAbstractUI.aspx?menuIndex=3&amp;refID=7182415&amp;Result=3","7182415")</f>
        <v>0</v>
      </c>
      <c r="B7700" t="s">
        <v>2409</v>
      </c>
      <c r="C7700" t="s">
        <v>10885</v>
      </c>
      <c r="D7700" t="s">
        <v>17153</v>
      </c>
      <c r="E7700" t="s">
        <v>23894</v>
      </c>
      <c r="F7700" t="s">
        <v>29372</v>
      </c>
      <c r="G7700" t="s">
        <v>29380</v>
      </c>
      <c r="H7700" t="s">
        <v>11048</v>
      </c>
      <c r="I7700" t="s">
        <v>3839</v>
      </c>
      <c r="J7700" t="s">
        <v>30224</v>
      </c>
      <c r="K7700" t="s">
        <v>38488</v>
      </c>
      <c r="L7700" t="s">
        <v>2409</v>
      </c>
      <c r="M7700" t="s">
        <v>41355</v>
      </c>
      <c r="N7700" t="s">
        <v>42669</v>
      </c>
      <c r="O7700" t="s">
        <v>42670</v>
      </c>
      <c r="P7700">
        <v>0</v>
      </c>
      <c r="Q7700">
        <v>1</v>
      </c>
      <c r="R7700" t="s">
        <v>42678</v>
      </c>
      <c r="S7700" t="s">
        <v>42866</v>
      </c>
      <c r="T7700" t="s">
        <v>44557</v>
      </c>
      <c r="U7700" t="s">
        <v>51121</v>
      </c>
      <c r="W7700" t="s">
        <v>41355</v>
      </c>
      <c r="X7700" t="s">
        <v>42679</v>
      </c>
    </row>
    <row r="7701" spans="1:24">
      <c r="A7701">
        <f>HYPERLINK("https://www.philgeps.gov.ph/GEPSNONPILOT/Tender/SplashBidNoticeAbstractUI.aspx?menuIndex=3&amp;refID=7182506&amp;Result=3","7182506")</f>
        <v>0</v>
      </c>
      <c r="B7701" t="s">
        <v>689</v>
      </c>
      <c r="C7701" t="s">
        <v>10886</v>
      </c>
      <c r="D7701" t="s">
        <v>17216</v>
      </c>
      <c r="E7701" t="s">
        <v>23895</v>
      </c>
      <c r="F7701" t="s">
        <v>29372</v>
      </c>
      <c r="G7701" t="s">
        <v>29383</v>
      </c>
      <c r="H7701" t="s">
        <v>11048</v>
      </c>
      <c r="I7701" t="s">
        <v>5383</v>
      </c>
      <c r="J7701" t="s">
        <v>34496</v>
      </c>
      <c r="K7701" t="s">
        <v>38488</v>
      </c>
      <c r="M7701" t="s">
        <v>39465</v>
      </c>
      <c r="N7701" t="s">
        <v>42669</v>
      </c>
      <c r="O7701" t="s">
        <v>42670</v>
      </c>
      <c r="P7701">
        <v>0</v>
      </c>
      <c r="Q7701">
        <v>2</v>
      </c>
      <c r="R7701" t="s">
        <v>42678</v>
      </c>
      <c r="S7701" t="s">
        <v>42866</v>
      </c>
      <c r="T7701" t="s">
        <v>44489</v>
      </c>
      <c r="U7701" t="s">
        <v>51122</v>
      </c>
      <c r="W7701" t="s">
        <v>39465</v>
      </c>
      <c r="X7701" t="s">
        <v>42679</v>
      </c>
    </row>
    <row r="7702" spans="1:24">
      <c r="A7702">
        <f>HYPERLINK("https://www.philgeps.gov.ph/GEPSNONPILOT/Tender/SplashBidNoticeAbstractUI.aspx?menuIndex=3&amp;refID=7182503&amp;Result=3","7182503")</f>
        <v>0</v>
      </c>
      <c r="B7702" t="s">
        <v>2456</v>
      </c>
      <c r="C7702" t="s">
        <v>10887</v>
      </c>
      <c r="D7702" t="s">
        <v>17188</v>
      </c>
      <c r="E7702" t="s">
        <v>23896</v>
      </c>
      <c r="F7702" t="s">
        <v>29372</v>
      </c>
      <c r="G7702" t="s">
        <v>29380</v>
      </c>
      <c r="H7702" t="s">
        <v>29389</v>
      </c>
      <c r="I7702" t="s">
        <v>10408</v>
      </c>
      <c r="J7702" t="s">
        <v>34497</v>
      </c>
      <c r="K7702" t="s">
        <v>38495</v>
      </c>
      <c r="M7702" t="s">
        <v>41404</v>
      </c>
      <c r="N7702" t="s">
        <v>42669</v>
      </c>
      <c r="O7702" t="s">
        <v>42670</v>
      </c>
      <c r="P7702">
        <v>0</v>
      </c>
      <c r="Q7702">
        <v>0</v>
      </c>
      <c r="R7702" t="s">
        <v>42678</v>
      </c>
      <c r="S7702" t="s">
        <v>42866</v>
      </c>
      <c r="T7702" t="s">
        <v>44446</v>
      </c>
      <c r="U7702" t="s">
        <v>51123</v>
      </c>
      <c r="W7702" t="s">
        <v>41404</v>
      </c>
      <c r="X7702" t="s">
        <v>42679</v>
      </c>
    </row>
    <row r="7703" spans="1:24">
      <c r="A7703">
        <f>HYPERLINK("https://www.philgeps.gov.ph/GEPSNONPILOT/Tender/SplashBidNoticeAbstractUI.aspx?menuIndex=3&amp;refID=7182492&amp;Result=3","7182492")</f>
        <v>0</v>
      </c>
      <c r="B7703" t="s">
        <v>2453</v>
      </c>
      <c r="C7703" t="s">
        <v>10888</v>
      </c>
      <c r="D7703" t="s">
        <v>17216</v>
      </c>
      <c r="E7703" t="s">
        <v>23897</v>
      </c>
      <c r="F7703" t="s">
        <v>29372</v>
      </c>
      <c r="G7703" t="s">
        <v>29380</v>
      </c>
      <c r="H7703" t="s">
        <v>11048</v>
      </c>
      <c r="I7703" t="s">
        <v>4709</v>
      </c>
      <c r="J7703" t="s">
        <v>34498</v>
      </c>
      <c r="K7703" t="s">
        <v>38510</v>
      </c>
      <c r="M7703" t="s">
        <v>41401</v>
      </c>
      <c r="N7703" t="s">
        <v>42669</v>
      </c>
      <c r="O7703" t="s">
        <v>42670</v>
      </c>
      <c r="P7703">
        <v>0</v>
      </c>
      <c r="Q7703">
        <v>1</v>
      </c>
      <c r="R7703" t="s">
        <v>42678</v>
      </c>
      <c r="S7703" t="s">
        <v>42866</v>
      </c>
      <c r="T7703" t="s">
        <v>44450</v>
      </c>
      <c r="U7703" t="s">
        <v>51124</v>
      </c>
      <c r="W7703" t="s">
        <v>41401</v>
      </c>
      <c r="X7703" t="s">
        <v>42679</v>
      </c>
    </row>
    <row r="7704" spans="1:24">
      <c r="A7704">
        <f>HYPERLINK("https://www.philgeps.gov.ph/GEPSNONPILOT/Tender/SplashBidNoticeAbstractUI.aspx?menuIndex=3&amp;refID=7182483&amp;Result=3","7182483")</f>
        <v>0</v>
      </c>
      <c r="B7704" t="s">
        <v>2457</v>
      </c>
      <c r="C7704" t="s">
        <v>10889</v>
      </c>
      <c r="D7704" t="s">
        <v>17160</v>
      </c>
      <c r="E7704" t="s">
        <v>23898</v>
      </c>
      <c r="F7704" t="s">
        <v>29372</v>
      </c>
      <c r="G7704" t="s">
        <v>29380</v>
      </c>
      <c r="H7704" t="s">
        <v>29389</v>
      </c>
      <c r="I7704" t="s">
        <v>10408</v>
      </c>
      <c r="J7704" t="s">
        <v>29724</v>
      </c>
      <c r="K7704" t="s">
        <v>38627</v>
      </c>
      <c r="M7704" t="s">
        <v>41405</v>
      </c>
      <c r="N7704" t="s">
        <v>42669</v>
      </c>
      <c r="O7704" t="s">
        <v>42670</v>
      </c>
      <c r="P7704">
        <v>0</v>
      </c>
      <c r="Q7704">
        <v>0</v>
      </c>
      <c r="R7704" t="s">
        <v>42678</v>
      </c>
      <c r="S7704" t="s">
        <v>42866</v>
      </c>
      <c r="T7704" t="s">
        <v>44512</v>
      </c>
      <c r="U7704" t="s">
        <v>51125</v>
      </c>
      <c r="V7704" t="s">
        <v>57208</v>
      </c>
      <c r="W7704" t="s">
        <v>41405</v>
      </c>
      <c r="X7704" t="s">
        <v>42679</v>
      </c>
    </row>
    <row r="7705" spans="1:24">
      <c r="A7705">
        <f>HYPERLINK("https://www.philgeps.gov.ph/GEPSNONPILOT/Tender/SplashBidNoticeAbstractUI.aspx?menuIndex=3&amp;refID=7182482&amp;Result=3","7182482")</f>
        <v>0</v>
      </c>
      <c r="B7705" t="s">
        <v>1720</v>
      </c>
      <c r="C7705" t="s">
        <v>10890</v>
      </c>
      <c r="D7705" t="s">
        <v>17189</v>
      </c>
      <c r="E7705" t="s">
        <v>23899</v>
      </c>
      <c r="F7705" t="s">
        <v>29372</v>
      </c>
      <c r="G7705" t="s">
        <v>29380</v>
      </c>
      <c r="H7705" t="s">
        <v>11048</v>
      </c>
      <c r="I7705" t="s">
        <v>4709</v>
      </c>
      <c r="J7705" t="s">
        <v>34499</v>
      </c>
      <c r="K7705" t="s">
        <v>38510</v>
      </c>
      <c r="M7705" t="s">
        <v>40583</v>
      </c>
      <c r="N7705" t="s">
        <v>42669</v>
      </c>
      <c r="O7705" t="s">
        <v>42670</v>
      </c>
      <c r="P7705">
        <v>0</v>
      </c>
      <c r="Q7705">
        <v>0</v>
      </c>
      <c r="R7705" t="s">
        <v>42678</v>
      </c>
      <c r="S7705" t="s">
        <v>42866</v>
      </c>
      <c r="T7705" t="s">
        <v>44631</v>
      </c>
      <c r="U7705" t="s">
        <v>51126</v>
      </c>
      <c r="W7705" t="s">
        <v>40583</v>
      </c>
      <c r="X7705" t="s">
        <v>42679</v>
      </c>
    </row>
    <row r="7706" spans="1:24">
      <c r="A7706">
        <f>HYPERLINK("https://www.philgeps.gov.ph/GEPSNONPILOT/Tender/SplashBidNoticeAbstractUI.aspx?menuIndex=3&amp;refID=7182481&amp;Result=3","7182481")</f>
        <v>0</v>
      </c>
      <c r="B7706" t="s">
        <v>2409</v>
      </c>
      <c r="C7706" t="s">
        <v>10891</v>
      </c>
      <c r="D7706" t="s">
        <v>17153</v>
      </c>
      <c r="E7706" t="s">
        <v>23900</v>
      </c>
      <c r="F7706" t="s">
        <v>29372</v>
      </c>
      <c r="G7706" t="s">
        <v>29380</v>
      </c>
      <c r="H7706" t="s">
        <v>11048</v>
      </c>
      <c r="I7706" t="s">
        <v>4487</v>
      </c>
      <c r="J7706" t="s">
        <v>34500</v>
      </c>
      <c r="K7706" t="s">
        <v>38495</v>
      </c>
      <c r="L7706" t="s">
        <v>2409</v>
      </c>
      <c r="M7706" t="s">
        <v>41355</v>
      </c>
      <c r="N7706" t="s">
        <v>42669</v>
      </c>
      <c r="O7706" t="s">
        <v>42670</v>
      </c>
      <c r="P7706">
        <v>0</v>
      </c>
      <c r="Q7706">
        <v>3</v>
      </c>
      <c r="R7706" t="s">
        <v>42678</v>
      </c>
      <c r="S7706" t="s">
        <v>42866</v>
      </c>
      <c r="T7706" t="s">
        <v>44557</v>
      </c>
      <c r="U7706" t="s">
        <v>51127</v>
      </c>
      <c r="W7706" t="s">
        <v>41355</v>
      </c>
      <c r="X7706" t="s">
        <v>42679</v>
      </c>
    </row>
    <row r="7707" spans="1:24">
      <c r="A7707">
        <f>HYPERLINK("https://www.philgeps.gov.ph/GEPSNONPILOT/Tender/SplashBidNoticeAbstractUI.aspx?menuIndex=3&amp;refID=7182469&amp;Result=3","7182469")</f>
        <v>0</v>
      </c>
      <c r="B7707" t="s">
        <v>689</v>
      </c>
      <c r="C7707" t="s">
        <v>10892</v>
      </c>
      <c r="D7707" t="s">
        <v>17216</v>
      </c>
      <c r="E7707" t="s">
        <v>23901</v>
      </c>
      <c r="F7707" t="s">
        <v>29372</v>
      </c>
      <c r="G7707" t="s">
        <v>29383</v>
      </c>
      <c r="H7707" t="s">
        <v>11048</v>
      </c>
      <c r="I7707" t="s">
        <v>9469</v>
      </c>
      <c r="J7707" t="s">
        <v>34501</v>
      </c>
      <c r="K7707" t="s">
        <v>38488</v>
      </c>
      <c r="M7707" t="s">
        <v>39465</v>
      </c>
      <c r="N7707" t="s">
        <v>42669</v>
      </c>
      <c r="O7707" t="s">
        <v>42670</v>
      </c>
      <c r="P7707">
        <v>0</v>
      </c>
      <c r="Q7707">
        <v>0</v>
      </c>
      <c r="R7707" t="s">
        <v>42678</v>
      </c>
      <c r="S7707" t="s">
        <v>42866</v>
      </c>
      <c r="T7707" t="s">
        <v>44489</v>
      </c>
      <c r="U7707" t="s">
        <v>51128</v>
      </c>
      <c r="W7707" t="s">
        <v>39465</v>
      </c>
      <c r="X7707" t="s">
        <v>42679</v>
      </c>
    </row>
    <row r="7708" spans="1:24">
      <c r="A7708">
        <f>HYPERLINK("https://www.philgeps.gov.ph/GEPSNONPILOT/Tender/SplashBidNoticeAbstractUI.aspx?menuIndex=3&amp;refID=7182470&amp;Result=3","7182470")</f>
        <v>0</v>
      </c>
      <c r="B7708" t="s">
        <v>2236</v>
      </c>
      <c r="C7708" t="s">
        <v>10893</v>
      </c>
      <c r="D7708" t="s">
        <v>17205</v>
      </c>
      <c r="E7708" t="s">
        <v>23902</v>
      </c>
      <c r="F7708" t="s">
        <v>29372</v>
      </c>
      <c r="G7708" t="s">
        <v>29380</v>
      </c>
      <c r="H7708" t="s">
        <v>29389</v>
      </c>
      <c r="I7708" t="s">
        <v>10408</v>
      </c>
      <c r="J7708" t="s">
        <v>34502</v>
      </c>
      <c r="K7708" t="s">
        <v>38487</v>
      </c>
      <c r="L7708" t="s">
        <v>2236</v>
      </c>
      <c r="M7708" t="s">
        <v>41154</v>
      </c>
      <c r="N7708" t="s">
        <v>42669</v>
      </c>
      <c r="O7708" t="s">
        <v>42670</v>
      </c>
      <c r="P7708">
        <v>0</v>
      </c>
      <c r="Q7708">
        <v>49</v>
      </c>
      <c r="R7708" t="s">
        <v>42678</v>
      </c>
      <c r="S7708" t="s">
        <v>42866</v>
      </c>
      <c r="T7708" t="s">
        <v>44432</v>
      </c>
      <c r="U7708" t="s">
        <v>51129</v>
      </c>
      <c r="W7708" t="s">
        <v>41154</v>
      </c>
      <c r="X7708" t="s">
        <v>42679</v>
      </c>
    </row>
    <row r="7709" spans="1:24">
      <c r="A7709">
        <f>HYPERLINK("https://www.philgeps.gov.ph/GEPSNONPILOT/Tender/SplashBidNoticeAbstractUI.aspx?menuIndex=3&amp;refID=7182465&amp;Result=3","7182465")</f>
        <v>0</v>
      </c>
      <c r="B7709" t="s">
        <v>2458</v>
      </c>
      <c r="C7709" t="s">
        <v>10894</v>
      </c>
      <c r="D7709" t="s">
        <v>17194</v>
      </c>
      <c r="E7709" t="s">
        <v>23903</v>
      </c>
      <c r="F7709" t="s">
        <v>29372</v>
      </c>
      <c r="G7709" t="s">
        <v>29380</v>
      </c>
      <c r="H7709" t="s">
        <v>11048</v>
      </c>
      <c r="I7709" t="s">
        <v>4709</v>
      </c>
      <c r="J7709" t="s">
        <v>30422</v>
      </c>
      <c r="K7709" t="s">
        <v>38491</v>
      </c>
      <c r="M7709" t="s">
        <v>41406</v>
      </c>
      <c r="N7709" t="s">
        <v>42669</v>
      </c>
      <c r="O7709" t="s">
        <v>42670</v>
      </c>
      <c r="P7709">
        <v>0</v>
      </c>
      <c r="Q7709">
        <v>0</v>
      </c>
      <c r="R7709" t="s">
        <v>42678</v>
      </c>
      <c r="S7709" t="s">
        <v>42866</v>
      </c>
      <c r="T7709" t="s">
        <v>44371</v>
      </c>
      <c r="U7709" t="s">
        <v>51130</v>
      </c>
      <c r="V7709" t="s">
        <v>57209</v>
      </c>
      <c r="W7709" t="s">
        <v>41406</v>
      </c>
      <c r="X7709" t="s">
        <v>42679</v>
      </c>
    </row>
    <row r="7710" spans="1:24">
      <c r="A7710">
        <f>HYPERLINK("https://www.philgeps.gov.ph/GEPSNONPILOT/Tender/SplashBidNoticeAbstractUI.aspx?menuIndex=3&amp;refID=7182305&amp;Result=3","7182305")</f>
        <v>0</v>
      </c>
      <c r="B7710" t="s">
        <v>1084</v>
      </c>
      <c r="C7710" t="s">
        <v>10895</v>
      </c>
      <c r="D7710" t="s">
        <v>17179</v>
      </c>
      <c r="E7710" t="s">
        <v>23904</v>
      </c>
      <c r="F7710" t="s">
        <v>29372</v>
      </c>
      <c r="G7710" t="s">
        <v>29379</v>
      </c>
      <c r="H7710" t="s">
        <v>11048</v>
      </c>
      <c r="I7710" t="s">
        <v>9469</v>
      </c>
      <c r="J7710" t="s">
        <v>30802</v>
      </c>
      <c r="K7710" t="s">
        <v>38490</v>
      </c>
      <c r="M7710" t="s">
        <v>39891</v>
      </c>
      <c r="N7710" t="s">
        <v>42669</v>
      </c>
      <c r="O7710" t="s">
        <v>42670</v>
      </c>
      <c r="P7710">
        <v>0</v>
      </c>
      <c r="Q7710">
        <v>0</v>
      </c>
      <c r="R7710" t="s">
        <v>42678</v>
      </c>
      <c r="S7710" t="s">
        <v>42866</v>
      </c>
      <c r="T7710" t="s">
        <v>44491</v>
      </c>
      <c r="U7710" t="s">
        <v>47177</v>
      </c>
      <c r="W7710" t="s">
        <v>39891</v>
      </c>
      <c r="X7710" t="s">
        <v>42679</v>
      </c>
    </row>
    <row r="7711" spans="1:24">
      <c r="A7711">
        <f>HYPERLINK("https://www.philgeps.gov.ph/GEPSNONPILOT/Tender/SplashBidNoticeAbstractUI.aspx?menuIndex=3&amp;refID=7182502&amp;Result=3","7182502")</f>
        <v>0</v>
      </c>
      <c r="B7711" t="s">
        <v>1426</v>
      </c>
      <c r="C7711" t="s">
        <v>10896</v>
      </c>
      <c r="D7711" t="s">
        <v>17189</v>
      </c>
      <c r="E7711" t="s">
        <v>23905</v>
      </c>
      <c r="F7711" t="s">
        <v>29372</v>
      </c>
      <c r="G7711" t="s">
        <v>29379</v>
      </c>
      <c r="H7711" t="s">
        <v>11048</v>
      </c>
      <c r="I7711" t="s">
        <v>6417</v>
      </c>
      <c r="J7711" t="s">
        <v>29555</v>
      </c>
      <c r="K7711" t="s">
        <v>38488</v>
      </c>
      <c r="M7711" t="s">
        <v>40266</v>
      </c>
      <c r="N7711" t="s">
        <v>42669</v>
      </c>
      <c r="O7711" t="s">
        <v>42670</v>
      </c>
      <c r="P7711">
        <v>0</v>
      </c>
      <c r="Q7711">
        <v>1</v>
      </c>
      <c r="R7711" t="s">
        <v>42678</v>
      </c>
      <c r="S7711" t="s">
        <v>42866</v>
      </c>
      <c r="T7711" t="s">
        <v>44512</v>
      </c>
      <c r="U7711" t="s">
        <v>48050</v>
      </c>
      <c r="V7711" t="s">
        <v>57210</v>
      </c>
      <c r="W7711" t="s">
        <v>40266</v>
      </c>
      <c r="X7711" t="s">
        <v>42679</v>
      </c>
    </row>
    <row r="7712" spans="1:24">
      <c r="A7712">
        <f>HYPERLINK("https://www.philgeps.gov.ph/GEPSNONPILOT/Tender/SplashBidNoticeAbstractUI.aspx?menuIndex=3&amp;refID=7182493&amp;Result=3","7182493")</f>
        <v>0</v>
      </c>
      <c r="B7712" t="s">
        <v>2459</v>
      </c>
      <c r="C7712" t="s">
        <v>10897</v>
      </c>
      <c r="D7712" t="s">
        <v>17179</v>
      </c>
      <c r="E7712" t="s">
        <v>17533</v>
      </c>
      <c r="F7712" t="s">
        <v>29372</v>
      </c>
      <c r="G7712" t="s">
        <v>29380</v>
      </c>
      <c r="H7712" t="s">
        <v>11048</v>
      </c>
      <c r="I7712" t="s">
        <v>3952</v>
      </c>
      <c r="J7712" t="s">
        <v>34503</v>
      </c>
      <c r="K7712" t="s">
        <v>38491</v>
      </c>
      <c r="M7712" t="s">
        <v>41407</v>
      </c>
      <c r="N7712" t="s">
        <v>42669</v>
      </c>
      <c r="O7712" t="s">
        <v>42670</v>
      </c>
      <c r="P7712">
        <v>0</v>
      </c>
      <c r="Q7712">
        <v>0</v>
      </c>
      <c r="R7712" t="s">
        <v>42678</v>
      </c>
      <c r="S7712" t="s">
        <v>42866</v>
      </c>
      <c r="T7712" t="s">
        <v>44557</v>
      </c>
      <c r="U7712" t="s">
        <v>51131</v>
      </c>
      <c r="W7712" t="s">
        <v>41407</v>
      </c>
      <c r="X7712" t="s">
        <v>42679</v>
      </c>
    </row>
    <row r="7713" spans="1:24">
      <c r="A7713">
        <f>HYPERLINK("https://www.philgeps.gov.ph/GEPSNONPILOT/Tender/SplashBidNoticeAbstractUI.aspx?menuIndex=3&amp;refID=7182559&amp;Result=3","7182559")</f>
        <v>0</v>
      </c>
      <c r="B7713" t="s">
        <v>1247</v>
      </c>
      <c r="C7713" t="s">
        <v>10898</v>
      </c>
      <c r="D7713" t="s">
        <v>17154</v>
      </c>
      <c r="E7713" t="s">
        <v>23597</v>
      </c>
      <c r="F7713" t="s">
        <v>29372</v>
      </c>
      <c r="G7713" t="s">
        <v>29380</v>
      </c>
      <c r="H7713" t="s">
        <v>11048</v>
      </c>
      <c r="I7713" t="s">
        <v>4487</v>
      </c>
      <c r="J7713" t="s">
        <v>34504</v>
      </c>
      <c r="K7713" t="s">
        <v>38491</v>
      </c>
      <c r="M7713" t="s">
        <v>40072</v>
      </c>
      <c r="N7713" t="s">
        <v>42669</v>
      </c>
      <c r="O7713" t="s">
        <v>42670</v>
      </c>
      <c r="P7713">
        <v>0</v>
      </c>
      <c r="Q7713">
        <v>3</v>
      </c>
      <c r="R7713" t="s">
        <v>42678</v>
      </c>
      <c r="S7713" t="s">
        <v>42866</v>
      </c>
      <c r="T7713" t="s">
        <v>44481</v>
      </c>
      <c r="U7713" t="s">
        <v>51132</v>
      </c>
      <c r="W7713" t="s">
        <v>40072</v>
      </c>
      <c r="X7713" t="s">
        <v>42679</v>
      </c>
    </row>
    <row r="7714" spans="1:24">
      <c r="A7714">
        <f>HYPERLINK("https://www.philgeps.gov.ph/GEPSNONPILOT/Tender/SplashBidNoticeAbstractUI.aspx?menuIndex=3&amp;refID=7182560&amp;Result=3","7182560")</f>
        <v>0</v>
      </c>
      <c r="B7714" t="s">
        <v>2460</v>
      </c>
      <c r="C7714" t="s">
        <v>10899</v>
      </c>
      <c r="D7714" t="s">
        <v>17153</v>
      </c>
      <c r="E7714" t="s">
        <v>21599</v>
      </c>
      <c r="F7714" t="s">
        <v>29373</v>
      </c>
      <c r="G7714" t="s">
        <v>29381</v>
      </c>
      <c r="H7714" t="s">
        <v>11048</v>
      </c>
      <c r="I7714" t="s">
        <v>29404</v>
      </c>
      <c r="J7714" t="s">
        <v>34505</v>
      </c>
      <c r="K7714" t="s">
        <v>38491</v>
      </c>
      <c r="M7714" t="s">
        <v>41408</v>
      </c>
      <c r="N7714" t="s">
        <v>42669</v>
      </c>
      <c r="O7714" t="s">
        <v>42670</v>
      </c>
      <c r="P7714">
        <v>0</v>
      </c>
      <c r="Q7714">
        <v>2</v>
      </c>
      <c r="R7714" t="s">
        <v>42678</v>
      </c>
      <c r="S7714" t="s">
        <v>42866</v>
      </c>
      <c r="T7714" t="s">
        <v>44368</v>
      </c>
      <c r="U7714" t="s">
        <v>51133</v>
      </c>
      <c r="V7714" t="s">
        <v>57211</v>
      </c>
      <c r="W7714" t="s">
        <v>41408</v>
      </c>
      <c r="X7714" t="s">
        <v>42679</v>
      </c>
    </row>
    <row r="7715" spans="1:24">
      <c r="A7715">
        <f>HYPERLINK("https://www.philgeps.gov.ph/GEPSNONPILOT/Tender/SplashBidNoticeAbstractUI.aspx?menuIndex=3&amp;refID=7182555&amp;Result=3","7182555")</f>
        <v>0</v>
      </c>
      <c r="B7715" t="s">
        <v>1676</v>
      </c>
      <c r="C7715" t="s">
        <v>10900</v>
      </c>
      <c r="E7715" t="s">
        <v>23906</v>
      </c>
      <c r="F7715" t="s">
        <v>29372</v>
      </c>
      <c r="G7715" t="s">
        <v>29380</v>
      </c>
      <c r="H7715" t="s">
        <v>29389</v>
      </c>
      <c r="I7715" t="s">
        <v>10408</v>
      </c>
      <c r="J7715" t="s">
        <v>34506</v>
      </c>
      <c r="K7715" t="s">
        <v>38496</v>
      </c>
      <c r="M7715" t="s">
        <v>40536</v>
      </c>
      <c r="N7715" t="s">
        <v>42669</v>
      </c>
      <c r="O7715" t="s">
        <v>42670</v>
      </c>
      <c r="P7715">
        <v>0</v>
      </c>
      <c r="Q7715">
        <v>1</v>
      </c>
      <c r="R7715" t="s">
        <v>42678</v>
      </c>
      <c r="S7715" t="s">
        <v>42866</v>
      </c>
      <c r="T7715" t="s">
        <v>44446</v>
      </c>
      <c r="U7715" t="s">
        <v>51134</v>
      </c>
      <c r="W7715" t="s">
        <v>40536</v>
      </c>
      <c r="X7715" t="s">
        <v>42679</v>
      </c>
    </row>
    <row r="7716" spans="1:24">
      <c r="A7716">
        <f>HYPERLINK("https://www.philgeps.gov.ph/GEPSNONPILOT/Tender/SplashBidNoticeAbstractUI.aspx?menuIndex=3&amp;refID=7182573&amp;Result=3","7182573")</f>
        <v>0</v>
      </c>
      <c r="B7716" t="s">
        <v>2409</v>
      </c>
      <c r="C7716" t="s">
        <v>10901</v>
      </c>
      <c r="D7716" t="s">
        <v>17153</v>
      </c>
      <c r="E7716" t="s">
        <v>23907</v>
      </c>
      <c r="F7716" t="s">
        <v>29372</v>
      </c>
      <c r="G7716" t="s">
        <v>29380</v>
      </c>
      <c r="H7716" t="s">
        <v>11048</v>
      </c>
      <c r="I7716" t="s">
        <v>4487</v>
      </c>
      <c r="J7716" t="s">
        <v>29526</v>
      </c>
      <c r="K7716" t="s">
        <v>38537</v>
      </c>
      <c r="L7716" t="s">
        <v>2409</v>
      </c>
      <c r="M7716" t="s">
        <v>41355</v>
      </c>
      <c r="N7716" t="s">
        <v>42669</v>
      </c>
      <c r="O7716" t="s">
        <v>42670</v>
      </c>
      <c r="P7716">
        <v>0</v>
      </c>
      <c r="Q7716">
        <v>3</v>
      </c>
      <c r="R7716" t="s">
        <v>42678</v>
      </c>
      <c r="S7716" t="s">
        <v>42866</v>
      </c>
      <c r="T7716" t="s">
        <v>44557</v>
      </c>
      <c r="U7716" t="s">
        <v>51135</v>
      </c>
      <c r="W7716" t="s">
        <v>41355</v>
      </c>
      <c r="X7716" t="s">
        <v>42679</v>
      </c>
    </row>
    <row r="7717" spans="1:24">
      <c r="A7717">
        <f>HYPERLINK("https://www.philgeps.gov.ph/GEPSNONPILOT/Tender/SplashBidNoticeAbstractUI.aspx?menuIndex=3&amp;refID=7182550&amp;Result=3","7182550")</f>
        <v>0</v>
      </c>
      <c r="B7717" t="s">
        <v>832</v>
      </c>
      <c r="C7717" t="s">
        <v>10902</v>
      </c>
      <c r="E7717" t="s">
        <v>23908</v>
      </c>
      <c r="F7717" t="s">
        <v>29372</v>
      </c>
      <c r="G7717" t="s">
        <v>29380</v>
      </c>
      <c r="H7717" t="s">
        <v>11048</v>
      </c>
      <c r="I7717" t="s">
        <v>29439</v>
      </c>
      <c r="J7717" t="s">
        <v>29761</v>
      </c>
      <c r="K7717" t="s">
        <v>38490</v>
      </c>
      <c r="M7717" t="s">
        <v>39621</v>
      </c>
      <c r="N7717" t="s">
        <v>42669</v>
      </c>
      <c r="O7717" t="s">
        <v>42670</v>
      </c>
      <c r="P7717">
        <v>0</v>
      </c>
      <c r="Q7717">
        <v>4</v>
      </c>
      <c r="R7717" t="s">
        <v>42678</v>
      </c>
      <c r="S7717" t="s">
        <v>42866</v>
      </c>
      <c r="T7717" t="s">
        <v>44685</v>
      </c>
      <c r="U7717" t="s">
        <v>51136</v>
      </c>
      <c r="W7717" t="s">
        <v>39621</v>
      </c>
      <c r="X7717" t="s">
        <v>42679</v>
      </c>
    </row>
    <row r="7718" spans="1:24">
      <c r="A7718">
        <f>HYPERLINK("https://www.philgeps.gov.ph/GEPSNONPILOT/Tender/SplashBidNoticeAbstractUI.aspx?menuIndex=3&amp;refID=7182498&amp;Result=3","7182498")</f>
        <v>0</v>
      </c>
      <c r="B7718" t="s">
        <v>2461</v>
      </c>
      <c r="C7718" t="s">
        <v>10903</v>
      </c>
      <c r="D7718" t="s">
        <v>17186</v>
      </c>
      <c r="E7718" t="s">
        <v>20660</v>
      </c>
      <c r="F7718" t="s">
        <v>29372</v>
      </c>
      <c r="G7718" t="s">
        <v>29383</v>
      </c>
      <c r="H7718" t="s">
        <v>11048</v>
      </c>
      <c r="I7718" t="s">
        <v>5383</v>
      </c>
      <c r="J7718" t="s">
        <v>34507</v>
      </c>
      <c r="K7718" t="s">
        <v>38489</v>
      </c>
      <c r="M7718" t="s">
        <v>41409</v>
      </c>
      <c r="N7718" t="s">
        <v>42669</v>
      </c>
      <c r="O7718" t="s">
        <v>42670</v>
      </c>
      <c r="P7718">
        <v>0</v>
      </c>
      <c r="Q7718">
        <v>3</v>
      </c>
      <c r="R7718" t="s">
        <v>42678</v>
      </c>
      <c r="S7718" t="s">
        <v>42866</v>
      </c>
      <c r="T7718" t="s">
        <v>44378</v>
      </c>
      <c r="U7718" t="s">
        <v>51137</v>
      </c>
      <c r="W7718" t="s">
        <v>41409</v>
      </c>
      <c r="X7718" t="s">
        <v>42679</v>
      </c>
    </row>
    <row r="7719" spans="1:24">
      <c r="A7719">
        <f>HYPERLINK("https://www.philgeps.gov.ph/GEPSNONPILOT/Tender/SplashBidNoticeAbstractUI.aspx?menuIndex=3&amp;refID=7182542&amp;Result=3","7182542")</f>
        <v>0</v>
      </c>
      <c r="B7719" t="s">
        <v>920</v>
      </c>
      <c r="C7719" t="s">
        <v>10904</v>
      </c>
      <c r="D7719" t="s">
        <v>17145</v>
      </c>
      <c r="E7719" t="s">
        <v>23909</v>
      </c>
      <c r="F7719" t="s">
        <v>29372</v>
      </c>
      <c r="G7719" t="s">
        <v>29380</v>
      </c>
      <c r="H7719" t="s">
        <v>29389</v>
      </c>
      <c r="I7719" t="s">
        <v>10408</v>
      </c>
      <c r="J7719" t="s">
        <v>29724</v>
      </c>
      <c r="K7719" t="s">
        <v>38490</v>
      </c>
      <c r="M7719" t="s">
        <v>39715</v>
      </c>
      <c r="N7719" t="s">
        <v>42669</v>
      </c>
      <c r="O7719" t="s">
        <v>42670</v>
      </c>
      <c r="P7719">
        <v>0</v>
      </c>
      <c r="Q7719">
        <v>3</v>
      </c>
      <c r="R7719" t="s">
        <v>42678</v>
      </c>
      <c r="S7719" t="s">
        <v>42866</v>
      </c>
      <c r="T7719" t="s">
        <v>44476</v>
      </c>
      <c r="U7719" t="s">
        <v>51138</v>
      </c>
      <c r="V7719" t="s">
        <v>57212</v>
      </c>
      <c r="W7719" t="s">
        <v>39715</v>
      </c>
      <c r="X7719" t="s">
        <v>42679</v>
      </c>
    </row>
    <row r="7720" spans="1:24">
      <c r="A7720">
        <f>HYPERLINK("https://www.philgeps.gov.ph/GEPSNONPILOT/Tender/SplashBidNoticeAbstractUI.aspx?menuIndex=3&amp;refID=7182570&amp;Result=3","7182570")</f>
        <v>0</v>
      </c>
      <c r="B7720" t="s">
        <v>1720</v>
      </c>
      <c r="C7720" t="s">
        <v>10905</v>
      </c>
      <c r="D7720" t="s">
        <v>17189</v>
      </c>
      <c r="E7720" t="s">
        <v>22671</v>
      </c>
      <c r="F7720" t="s">
        <v>29372</v>
      </c>
      <c r="G7720" t="s">
        <v>29380</v>
      </c>
      <c r="H7720" t="s">
        <v>11048</v>
      </c>
      <c r="I7720" t="s">
        <v>4709</v>
      </c>
      <c r="J7720" t="s">
        <v>34508</v>
      </c>
      <c r="K7720" t="s">
        <v>38510</v>
      </c>
      <c r="M7720" t="s">
        <v>40583</v>
      </c>
      <c r="N7720" t="s">
        <v>42669</v>
      </c>
      <c r="O7720" t="s">
        <v>42670</v>
      </c>
      <c r="P7720">
        <v>0</v>
      </c>
      <c r="Q7720">
        <v>1</v>
      </c>
      <c r="R7720" t="s">
        <v>42678</v>
      </c>
      <c r="S7720" t="s">
        <v>42866</v>
      </c>
      <c r="T7720" t="s">
        <v>44631</v>
      </c>
      <c r="U7720" t="s">
        <v>51139</v>
      </c>
      <c r="W7720" t="s">
        <v>40583</v>
      </c>
      <c r="X7720" t="s">
        <v>42679</v>
      </c>
    </row>
    <row r="7721" spans="1:24">
      <c r="A7721">
        <f>HYPERLINK("https://www.philgeps.gov.ph/GEPSNONPILOT/Tender/SplashBidNoticeAbstractUI.aspx?menuIndex=3&amp;refID=7182529&amp;Result=3","7182529")</f>
        <v>0</v>
      </c>
      <c r="B7721" t="s">
        <v>508</v>
      </c>
      <c r="C7721" t="s">
        <v>10906</v>
      </c>
      <c r="D7721" t="s">
        <v>17188</v>
      </c>
      <c r="E7721" t="s">
        <v>23786</v>
      </c>
      <c r="F7721" t="s">
        <v>29372</v>
      </c>
      <c r="G7721" t="s">
        <v>29380</v>
      </c>
      <c r="H7721" t="s">
        <v>11048</v>
      </c>
      <c r="I7721" t="s">
        <v>29400</v>
      </c>
      <c r="J7721" t="s">
        <v>34509</v>
      </c>
      <c r="K7721" t="s">
        <v>38490</v>
      </c>
      <c r="M7721" t="s">
        <v>41360</v>
      </c>
      <c r="N7721" t="s">
        <v>42669</v>
      </c>
      <c r="O7721" t="s">
        <v>42670</v>
      </c>
      <c r="P7721">
        <v>0</v>
      </c>
      <c r="Q7721">
        <v>9</v>
      </c>
      <c r="R7721" t="s">
        <v>42678</v>
      </c>
      <c r="S7721" t="s">
        <v>42866</v>
      </c>
      <c r="T7721" t="s">
        <v>44539</v>
      </c>
      <c r="U7721" t="s">
        <v>51001</v>
      </c>
      <c r="V7721" t="s">
        <v>57193</v>
      </c>
      <c r="W7721" t="s">
        <v>41360</v>
      </c>
      <c r="X7721" t="s">
        <v>42679</v>
      </c>
    </row>
    <row r="7722" spans="1:24">
      <c r="A7722">
        <f>HYPERLINK("https://www.philgeps.gov.ph/GEPSNONPILOT/Tender/SplashBidNoticeAbstractUI.aspx?menuIndex=3&amp;refID=7182528&amp;Result=3","7182528")</f>
        <v>0</v>
      </c>
      <c r="B7722" t="s">
        <v>2236</v>
      </c>
      <c r="C7722" t="s">
        <v>10907</v>
      </c>
      <c r="D7722" t="s">
        <v>17205</v>
      </c>
      <c r="E7722" t="s">
        <v>23910</v>
      </c>
      <c r="F7722" t="s">
        <v>29372</v>
      </c>
      <c r="G7722" t="s">
        <v>29380</v>
      </c>
      <c r="H7722" t="s">
        <v>29389</v>
      </c>
      <c r="I7722" t="s">
        <v>10408</v>
      </c>
      <c r="J7722" t="s">
        <v>29590</v>
      </c>
      <c r="K7722" t="s">
        <v>38485</v>
      </c>
      <c r="L7722" t="s">
        <v>2236</v>
      </c>
      <c r="M7722" t="s">
        <v>41154</v>
      </c>
      <c r="N7722" t="s">
        <v>42669</v>
      </c>
      <c r="O7722" t="s">
        <v>42670</v>
      </c>
      <c r="P7722">
        <v>0</v>
      </c>
      <c r="Q7722">
        <v>42</v>
      </c>
      <c r="R7722" t="s">
        <v>42678</v>
      </c>
      <c r="S7722" t="s">
        <v>42866</v>
      </c>
      <c r="T7722" t="s">
        <v>44488</v>
      </c>
      <c r="U7722" t="s">
        <v>51140</v>
      </c>
      <c r="W7722" t="s">
        <v>41154</v>
      </c>
      <c r="X7722" t="s">
        <v>42679</v>
      </c>
    </row>
    <row r="7723" spans="1:24">
      <c r="A7723">
        <f>HYPERLINK("https://www.philgeps.gov.ph/GEPSNONPILOT/Tender/SplashBidNoticeAbstractUI.aspx?menuIndex=3&amp;refID=7182552&amp;Result=3","7182552")</f>
        <v>0</v>
      </c>
      <c r="B7723" t="s">
        <v>2462</v>
      </c>
      <c r="C7723" t="s">
        <v>10908</v>
      </c>
      <c r="D7723" t="s">
        <v>17141</v>
      </c>
      <c r="E7723" t="s">
        <v>23911</v>
      </c>
      <c r="F7723" t="s">
        <v>29372</v>
      </c>
      <c r="G7723" t="s">
        <v>29379</v>
      </c>
      <c r="H7723" t="s">
        <v>11048</v>
      </c>
      <c r="I7723" t="s">
        <v>29450</v>
      </c>
      <c r="J7723" t="s">
        <v>29680</v>
      </c>
      <c r="K7723" t="s">
        <v>38490</v>
      </c>
      <c r="M7723" t="s">
        <v>41410</v>
      </c>
      <c r="N7723" t="s">
        <v>42669</v>
      </c>
      <c r="O7723" t="s">
        <v>42670</v>
      </c>
      <c r="P7723">
        <v>0</v>
      </c>
      <c r="Q7723">
        <v>2</v>
      </c>
      <c r="R7723" t="s">
        <v>42678</v>
      </c>
      <c r="S7723" t="s">
        <v>42866</v>
      </c>
      <c r="T7723" t="s">
        <v>44454</v>
      </c>
      <c r="U7723" t="s">
        <v>51141</v>
      </c>
      <c r="W7723" t="s">
        <v>41410</v>
      </c>
      <c r="X7723" t="s">
        <v>42679</v>
      </c>
    </row>
    <row r="7724" spans="1:24">
      <c r="A7724">
        <f>HYPERLINK("https://www.philgeps.gov.ph/GEPSNONPILOT/Tender/SplashBidNoticeAbstractUI.aspx?menuIndex=3&amp;refID=7182524&amp;Result=3","7182524")</f>
        <v>0</v>
      </c>
      <c r="B7724" t="s">
        <v>1720</v>
      </c>
      <c r="C7724" t="s">
        <v>10909</v>
      </c>
      <c r="D7724" t="s">
        <v>17189</v>
      </c>
      <c r="E7724" t="s">
        <v>23912</v>
      </c>
      <c r="F7724" t="s">
        <v>29372</v>
      </c>
      <c r="G7724" t="s">
        <v>29380</v>
      </c>
      <c r="H7724" t="s">
        <v>11048</v>
      </c>
      <c r="I7724" t="s">
        <v>4709</v>
      </c>
      <c r="J7724" t="s">
        <v>34510</v>
      </c>
      <c r="K7724" t="s">
        <v>38510</v>
      </c>
      <c r="M7724" t="s">
        <v>40583</v>
      </c>
      <c r="N7724" t="s">
        <v>42669</v>
      </c>
      <c r="O7724" t="s">
        <v>42670</v>
      </c>
      <c r="P7724">
        <v>0</v>
      </c>
      <c r="Q7724">
        <v>0</v>
      </c>
      <c r="R7724" t="s">
        <v>42678</v>
      </c>
      <c r="S7724" t="s">
        <v>42866</v>
      </c>
      <c r="T7724" t="s">
        <v>44631</v>
      </c>
      <c r="U7724" t="s">
        <v>51142</v>
      </c>
      <c r="W7724" t="s">
        <v>40583</v>
      </c>
      <c r="X7724" t="s">
        <v>42679</v>
      </c>
    </row>
    <row r="7725" spans="1:24">
      <c r="A7725">
        <f>HYPERLINK("https://www.philgeps.gov.ph/GEPSNONPILOT/Tender/SplashBidNoticeAbstractUI.aspx?menuIndex=3&amp;refID=7182545&amp;Result=3","7182545")</f>
        <v>0</v>
      </c>
      <c r="B7725" t="s">
        <v>2409</v>
      </c>
      <c r="C7725" t="s">
        <v>10910</v>
      </c>
      <c r="D7725" t="s">
        <v>17153</v>
      </c>
      <c r="E7725" t="s">
        <v>23913</v>
      </c>
      <c r="F7725" t="s">
        <v>29372</v>
      </c>
      <c r="G7725" t="s">
        <v>29380</v>
      </c>
      <c r="H7725" t="s">
        <v>11048</v>
      </c>
      <c r="I7725" t="s">
        <v>3839</v>
      </c>
      <c r="J7725" t="s">
        <v>31219</v>
      </c>
      <c r="K7725" t="s">
        <v>38537</v>
      </c>
      <c r="L7725" t="s">
        <v>2409</v>
      </c>
      <c r="M7725" t="s">
        <v>41355</v>
      </c>
      <c r="N7725" t="s">
        <v>42669</v>
      </c>
      <c r="O7725" t="s">
        <v>42670</v>
      </c>
      <c r="P7725">
        <v>0</v>
      </c>
      <c r="Q7725">
        <v>3</v>
      </c>
      <c r="R7725" t="s">
        <v>42678</v>
      </c>
      <c r="S7725" t="s">
        <v>42866</v>
      </c>
      <c r="T7725" t="s">
        <v>44557</v>
      </c>
      <c r="U7725" t="s">
        <v>51143</v>
      </c>
      <c r="W7725" t="s">
        <v>41355</v>
      </c>
      <c r="X7725" t="s">
        <v>42679</v>
      </c>
    </row>
    <row r="7726" spans="1:24">
      <c r="A7726">
        <f>HYPERLINK("https://www.philgeps.gov.ph/GEPSNONPILOT/Tender/SplashBidNoticeAbstractUI.aspx?menuIndex=3&amp;refID=7182630&amp;Result=3","7182630")</f>
        <v>0</v>
      </c>
      <c r="B7726" t="s">
        <v>2463</v>
      </c>
      <c r="C7726" t="s">
        <v>10911</v>
      </c>
      <c r="D7726" t="s">
        <v>17141</v>
      </c>
      <c r="E7726" t="s">
        <v>23914</v>
      </c>
      <c r="F7726" t="s">
        <v>29372</v>
      </c>
      <c r="G7726" t="s">
        <v>29380</v>
      </c>
      <c r="H7726" t="s">
        <v>29389</v>
      </c>
      <c r="I7726" t="s">
        <v>10408</v>
      </c>
      <c r="J7726" t="s">
        <v>34511</v>
      </c>
      <c r="K7726" t="s">
        <v>38490</v>
      </c>
      <c r="M7726" t="s">
        <v>41411</v>
      </c>
      <c r="N7726" t="s">
        <v>42669</v>
      </c>
      <c r="O7726" t="s">
        <v>42670</v>
      </c>
      <c r="P7726">
        <v>0</v>
      </c>
      <c r="Q7726">
        <v>0</v>
      </c>
      <c r="R7726" t="s">
        <v>42678</v>
      </c>
      <c r="S7726" t="s">
        <v>42866</v>
      </c>
      <c r="T7726" t="s">
        <v>44600</v>
      </c>
      <c r="U7726" t="s">
        <v>51144</v>
      </c>
      <c r="W7726" t="s">
        <v>41411</v>
      </c>
      <c r="X7726" t="s">
        <v>42679</v>
      </c>
    </row>
    <row r="7727" spans="1:24">
      <c r="A7727">
        <f>HYPERLINK("https://www.philgeps.gov.ph/GEPSNONPILOT/Tender/SplashBidNoticeAbstractUI.aspx?menuIndex=3&amp;refID=7182486&amp;Result=3","7182486")</f>
        <v>0</v>
      </c>
      <c r="B7727" t="s">
        <v>264</v>
      </c>
      <c r="C7727" t="s">
        <v>10912</v>
      </c>
      <c r="E7727" t="s">
        <v>23915</v>
      </c>
      <c r="F7727" t="s">
        <v>29372</v>
      </c>
      <c r="G7727" t="s">
        <v>29380</v>
      </c>
      <c r="H7727" t="s">
        <v>11048</v>
      </c>
      <c r="I7727" t="s">
        <v>29440</v>
      </c>
      <c r="J7727" t="s">
        <v>34512</v>
      </c>
      <c r="K7727" t="s">
        <v>38490</v>
      </c>
      <c r="M7727" t="s">
        <v>41412</v>
      </c>
      <c r="N7727" t="s">
        <v>42669</v>
      </c>
      <c r="O7727" t="s">
        <v>42670</v>
      </c>
      <c r="P7727">
        <v>0</v>
      </c>
      <c r="Q7727">
        <v>7</v>
      </c>
      <c r="R7727" t="s">
        <v>42678</v>
      </c>
      <c r="S7727" t="s">
        <v>42866</v>
      </c>
      <c r="T7727" t="s">
        <v>44476</v>
      </c>
      <c r="U7727" t="s">
        <v>51145</v>
      </c>
      <c r="W7727" t="s">
        <v>41412</v>
      </c>
      <c r="X7727" t="s">
        <v>42679</v>
      </c>
    </row>
    <row r="7728" spans="1:24">
      <c r="A7728">
        <f>HYPERLINK("https://www.philgeps.gov.ph/GEPSNONPILOT/Tender/SplashBidNoticeAbstractUI.aspx?menuIndex=3&amp;refID=7182627&amp;Result=3","7182627")</f>
        <v>0</v>
      </c>
      <c r="B7728" t="s">
        <v>2432</v>
      </c>
      <c r="C7728" t="s">
        <v>10913</v>
      </c>
      <c r="D7728" t="s">
        <v>17148</v>
      </c>
      <c r="E7728" t="s">
        <v>19663</v>
      </c>
      <c r="F7728" t="s">
        <v>29372</v>
      </c>
      <c r="G7728" t="s">
        <v>29380</v>
      </c>
      <c r="H7728" t="s">
        <v>29389</v>
      </c>
      <c r="I7728" t="s">
        <v>4709</v>
      </c>
      <c r="J7728" t="s">
        <v>34513</v>
      </c>
      <c r="K7728" t="s">
        <v>38488</v>
      </c>
      <c r="M7728" t="s">
        <v>41380</v>
      </c>
      <c r="N7728" t="s">
        <v>42669</v>
      </c>
      <c r="O7728" t="s">
        <v>42670</v>
      </c>
      <c r="P7728">
        <v>0</v>
      </c>
      <c r="Q7728">
        <v>3</v>
      </c>
      <c r="R7728" t="s">
        <v>42678</v>
      </c>
      <c r="S7728" t="s">
        <v>42866</v>
      </c>
      <c r="T7728" t="s">
        <v>44525</v>
      </c>
      <c r="U7728" t="s">
        <v>51146</v>
      </c>
      <c r="W7728" t="s">
        <v>41380</v>
      </c>
      <c r="X7728" t="s">
        <v>42679</v>
      </c>
    </row>
    <row r="7729" spans="1:24">
      <c r="A7729">
        <f>HYPERLINK("https://www.philgeps.gov.ph/GEPSNONPILOT/Tender/SplashBidNoticeAbstractUI.aspx?menuIndex=3&amp;refID=7182558&amp;Result=3","7182558")</f>
        <v>0</v>
      </c>
      <c r="B7729" t="s">
        <v>1773</v>
      </c>
      <c r="C7729" t="s">
        <v>10914</v>
      </c>
      <c r="D7729" t="s">
        <v>17180</v>
      </c>
      <c r="E7729" t="s">
        <v>23916</v>
      </c>
      <c r="F7729" t="s">
        <v>29372</v>
      </c>
      <c r="G7729" t="s">
        <v>29379</v>
      </c>
      <c r="H7729" t="s">
        <v>11048</v>
      </c>
      <c r="I7729" t="s">
        <v>29476</v>
      </c>
      <c r="J7729" t="s">
        <v>31326</v>
      </c>
      <c r="K7729" t="s">
        <v>38531</v>
      </c>
      <c r="M7729" t="s">
        <v>40641</v>
      </c>
      <c r="N7729" t="s">
        <v>42669</v>
      </c>
      <c r="O7729" t="s">
        <v>42670</v>
      </c>
      <c r="P7729">
        <v>0</v>
      </c>
      <c r="Q7729">
        <v>4</v>
      </c>
      <c r="R7729" t="s">
        <v>42678</v>
      </c>
      <c r="S7729" t="s">
        <v>42866</v>
      </c>
      <c r="T7729" t="s">
        <v>44399</v>
      </c>
      <c r="U7729" t="s">
        <v>51147</v>
      </c>
      <c r="W7729" t="s">
        <v>40641</v>
      </c>
      <c r="X7729" t="s">
        <v>42679</v>
      </c>
    </row>
    <row r="7730" spans="1:24">
      <c r="A7730">
        <f>HYPERLINK("https://www.philgeps.gov.ph/GEPSNONPILOT/Tender/SplashBidNoticeAbstractUI.aspx?menuIndex=3&amp;refID=7182320&amp;Result=3","7182320")</f>
        <v>0</v>
      </c>
      <c r="B7730" t="s">
        <v>2105</v>
      </c>
      <c r="C7730" t="s">
        <v>10915</v>
      </c>
      <c r="D7730" t="s">
        <v>17192</v>
      </c>
      <c r="E7730" t="s">
        <v>23917</v>
      </c>
      <c r="F7730" t="s">
        <v>29372</v>
      </c>
      <c r="G7730" t="s">
        <v>29380</v>
      </c>
      <c r="H7730" t="s">
        <v>11048</v>
      </c>
      <c r="I7730" t="s">
        <v>29415</v>
      </c>
      <c r="J7730" t="s">
        <v>29590</v>
      </c>
      <c r="K7730" t="s">
        <v>38485</v>
      </c>
      <c r="M7730" t="s">
        <v>41007</v>
      </c>
      <c r="N7730" t="s">
        <v>42669</v>
      </c>
      <c r="O7730" t="s">
        <v>42670</v>
      </c>
      <c r="P7730">
        <v>0</v>
      </c>
      <c r="Q7730">
        <v>2</v>
      </c>
      <c r="R7730" t="s">
        <v>42678</v>
      </c>
      <c r="S7730" t="s">
        <v>42866</v>
      </c>
      <c r="T7730" t="s">
        <v>44488</v>
      </c>
      <c r="U7730" t="s">
        <v>51148</v>
      </c>
      <c r="W7730" t="s">
        <v>41007</v>
      </c>
      <c r="X7730" t="s">
        <v>42679</v>
      </c>
    </row>
    <row r="7731" spans="1:24">
      <c r="A7731">
        <f>HYPERLINK("https://www.philgeps.gov.ph/GEPSNONPILOT/Tender/SplashBidNoticeAbstractUI.aspx?menuIndex=3&amp;refID=7182625&amp;Result=3","7182625")</f>
        <v>0</v>
      </c>
      <c r="B7731" t="s">
        <v>666</v>
      </c>
      <c r="C7731" t="s">
        <v>10916</v>
      </c>
      <c r="D7731" t="s">
        <v>17205</v>
      </c>
      <c r="E7731" t="s">
        <v>23918</v>
      </c>
      <c r="F7731" t="s">
        <v>29372</v>
      </c>
      <c r="G7731" t="s">
        <v>29379</v>
      </c>
      <c r="H7731" t="s">
        <v>29389</v>
      </c>
      <c r="I7731" t="s">
        <v>10408</v>
      </c>
      <c r="J7731" t="s">
        <v>34514</v>
      </c>
      <c r="K7731" t="s">
        <v>38490</v>
      </c>
      <c r="M7731" t="s">
        <v>39442</v>
      </c>
      <c r="N7731" t="s">
        <v>42669</v>
      </c>
      <c r="O7731" t="s">
        <v>42670</v>
      </c>
      <c r="P7731">
        <v>0</v>
      </c>
      <c r="Q7731">
        <v>0</v>
      </c>
      <c r="R7731" t="s">
        <v>42678</v>
      </c>
      <c r="S7731" t="s">
        <v>42866</v>
      </c>
      <c r="T7731" t="s">
        <v>44493</v>
      </c>
      <c r="U7731" t="s">
        <v>51149</v>
      </c>
      <c r="W7731" t="s">
        <v>39442</v>
      </c>
      <c r="X7731" t="s">
        <v>42679</v>
      </c>
    </row>
    <row r="7732" spans="1:24">
      <c r="A7732">
        <f>HYPERLINK("https://www.philgeps.gov.ph/GEPSNONPILOT/Tender/SplashBidNoticeAbstractUI.aspx?menuIndex=3&amp;refID=7182619&amp;Result=3","7182619")</f>
        <v>0</v>
      </c>
      <c r="B7732" t="s">
        <v>2464</v>
      </c>
      <c r="C7732" t="s">
        <v>10917</v>
      </c>
      <c r="D7732" t="s">
        <v>17181</v>
      </c>
      <c r="E7732" t="s">
        <v>23919</v>
      </c>
      <c r="F7732" t="s">
        <v>29372</v>
      </c>
      <c r="G7732" t="s">
        <v>29380</v>
      </c>
      <c r="H7732" t="s">
        <v>11048</v>
      </c>
      <c r="I7732" t="s">
        <v>29395</v>
      </c>
      <c r="J7732" t="s">
        <v>29625</v>
      </c>
      <c r="K7732" t="s">
        <v>38485</v>
      </c>
      <c r="M7732" t="s">
        <v>41413</v>
      </c>
      <c r="N7732" t="s">
        <v>42669</v>
      </c>
      <c r="O7732" t="s">
        <v>42670</v>
      </c>
      <c r="P7732">
        <v>0</v>
      </c>
      <c r="Q7732">
        <v>0</v>
      </c>
      <c r="R7732" t="s">
        <v>42678</v>
      </c>
      <c r="S7732" t="s">
        <v>42866</v>
      </c>
      <c r="T7732" t="s">
        <v>44432</v>
      </c>
      <c r="U7732" t="s">
        <v>51150</v>
      </c>
      <c r="W7732" t="s">
        <v>41413</v>
      </c>
      <c r="X7732" t="s">
        <v>42679</v>
      </c>
    </row>
    <row r="7733" spans="1:24">
      <c r="A7733">
        <f>HYPERLINK("https://www.philgeps.gov.ph/GEPSNONPILOT/Tender/SplashBidNoticeAbstractUI.aspx?menuIndex=3&amp;refID=7182616&amp;Result=3","7182616")</f>
        <v>0</v>
      </c>
      <c r="B7733" t="s">
        <v>2448</v>
      </c>
      <c r="C7733" t="s">
        <v>10918</v>
      </c>
      <c r="D7733" t="s">
        <v>17195</v>
      </c>
      <c r="E7733" t="s">
        <v>17279</v>
      </c>
      <c r="F7733" t="s">
        <v>29372</v>
      </c>
      <c r="G7733" t="s">
        <v>29380</v>
      </c>
      <c r="H7733" t="s">
        <v>29389</v>
      </c>
      <c r="I7733" t="s">
        <v>10408</v>
      </c>
      <c r="J7733" t="s">
        <v>32469</v>
      </c>
      <c r="K7733" t="s">
        <v>38563</v>
      </c>
      <c r="M7733" t="s">
        <v>41396</v>
      </c>
      <c r="N7733" t="s">
        <v>42669</v>
      </c>
      <c r="O7733" t="s">
        <v>42670</v>
      </c>
      <c r="P7733">
        <v>0</v>
      </c>
      <c r="Q7733">
        <v>18</v>
      </c>
      <c r="R7733" t="s">
        <v>42678</v>
      </c>
      <c r="S7733" t="s">
        <v>42866</v>
      </c>
      <c r="T7733" t="s">
        <v>44663</v>
      </c>
      <c r="U7733" t="s">
        <v>51151</v>
      </c>
      <c r="W7733" t="s">
        <v>41396</v>
      </c>
      <c r="X7733" t="s">
        <v>42679</v>
      </c>
    </row>
    <row r="7734" spans="1:24">
      <c r="A7734">
        <f>HYPERLINK("https://www.philgeps.gov.ph/GEPSNONPILOT/Tender/SplashBidNoticeAbstractUI.aspx?menuIndex=3&amp;refID=7182628&amp;Result=3","7182628")</f>
        <v>0</v>
      </c>
      <c r="B7734" t="s">
        <v>2465</v>
      </c>
      <c r="C7734" t="s">
        <v>10919</v>
      </c>
      <c r="D7734" t="s">
        <v>17143</v>
      </c>
      <c r="E7734" t="s">
        <v>18290</v>
      </c>
      <c r="F7734" t="s">
        <v>29372</v>
      </c>
      <c r="G7734" t="s">
        <v>29380</v>
      </c>
      <c r="H7734" t="s">
        <v>11048</v>
      </c>
      <c r="I7734" t="s">
        <v>3670</v>
      </c>
      <c r="J7734" t="s">
        <v>34515</v>
      </c>
      <c r="K7734" t="s">
        <v>38488</v>
      </c>
      <c r="M7734" t="s">
        <v>41414</v>
      </c>
      <c r="N7734" t="s">
        <v>42669</v>
      </c>
      <c r="O7734" t="s">
        <v>42670</v>
      </c>
      <c r="P7734">
        <v>0</v>
      </c>
      <c r="Q7734">
        <v>3</v>
      </c>
      <c r="R7734" t="s">
        <v>42678</v>
      </c>
      <c r="S7734" t="s">
        <v>42866</v>
      </c>
      <c r="T7734" t="s">
        <v>44452</v>
      </c>
      <c r="U7734" t="s">
        <v>51152</v>
      </c>
      <c r="V7734" t="s">
        <v>57213</v>
      </c>
      <c r="W7734" t="s">
        <v>41414</v>
      </c>
      <c r="X7734" t="s">
        <v>42679</v>
      </c>
    </row>
    <row r="7735" spans="1:24">
      <c r="A7735">
        <f>HYPERLINK("https://www.philgeps.gov.ph/GEPSNONPILOT/Tender/SplashBidNoticeAbstractUI.aspx?menuIndex=3&amp;refID=7182609&amp;Result=3","7182609")</f>
        <v>0</v>
      </c>
      <c r="B7735" t="s">
        <v>2378</v>
      </c>
      <c r="C7735" t="s">
        <v>10920</v>
      </c>
      <c r="D7735" t="s">
        <v>17170</v>
      </c>
      <c r="E7735" t="s">
        <v>23920</v>
      </c>
      <c r="F7735" t="s">
        <v>29372</v>
      </c>
      <c r="G7735" t="s">
        <v>29379</v>
      </c>
      <c r="H7735" t="s">
        <v>11048</v>
      </c>
      <c r="I7735" t="s">
        <v>29407</v>
      </c>
      <c r="J7735" t="s">
        <v>30302</v>
      </c>
      <c r="K7735" t="s">
        <v>38485</v>
      </c>
      <c r="M7735" t="s">
        <v>41322</v>
      </c>
      <c r="N7735" t="s">
        <v>42669</v>
      </c>
      <c r="O7735" t="s">
        <v>42670</v>
      </c>
      <c r="P7735">
        <v>0</v>
      </c>
      <c r="Q7735">
        <v>17</v>
      </c>
      <c r="R7735" t="s">
        <v>42678</v>
      </c>
      <c r="S7735" t="s">
        <v>42866</v>
      </c>
      <c r="T7735" t="s">
        <v>44488</v>
      </c>
      <c r="U7735" t="s">
        <v>50882</v>
      </c>
      <c r="W7735" t="s">
        <v>41322</v>
      </c>
      <c r="X7735" t="s">
        <v>42679</v>
      </c>
    </row>
    <row r="7736" spans="1:24">
      <c r="A7736">
        <f>HYPERLINK("https://www.philgeps.gov.ph/GEPSNONPILOT/Tender/SplashBidNoticeAbstractUI.aspx?menuIndex=3&amp;refID=7182605&amp;Result=3","7182605")</f>
        <v>0</v>
      </c>
      <c r="B7736" t="s">
        <v>1247</v>
      </c>
      <c r="C7736" t="s">
        <v>10921</v>
      </c>
      <c r="D7736" t="s">
        <v>17154</v>
      </c>
      <c r="E7736" t="s">
        <v>23921</v>
      </c>
      <c r="F7736" t="s">
        <v>29372</v>
      </c>
      <c r="G7736" t="s">
        <v>29380</v>
      </c>
      <c r="H7736" t="s">
        <v>11048</v>
      </c>
      <c r="I7736" t="s">
        <v>4487</v>
      </c>
      <c r="J7736" t="s">
        <v>34516</v>
      </c>
      <c r="K7736" t="s">
        <v>38491</v>
      </c>
      <c r="M7736" t="s">
        <v>40072</v>
      </c>
      <c r="N7736" t="s">
        <v>42669</v>
      </c>
      <c r="O7736" t="s">
        <v>42670</v>
      </c>
      <c r="P7736">
        <v>0</v>
      </c>
      <c r="Q7736">
        <v>4</v>
      </c>
      <c r="R7736" t="s">
        <v>42678</v>
      </c>
      <c r="S7736" t="s">
        <v>42866</v>
      </c>
      <c r="T7736" t="s">
        <v>44481</v>
      </c>
      <c r="U7736" t="s">
        <v>51153</v>
      </c>
      <c r="W7736" t="s">
        <v>40072</v>
      </c>
      <c r="X7736" t="s">
        <v>42679</v>
      </c>
    </row>
    <row r="7737" spans="1:24">
      <c r="A7737">
        <f>HYPERLINK("https://www.philgeps.gov.ph/GEPSNONPILOT/Tender/SplashBidNoticeAbstractUI.aspx?menuIndex=3&amp;refID=7182622&amp;Result=3","7182622")</f>
        <v>0</v>
      </c>
      <c r="B7737" t="s">
        <v>2409</v>
      </c>
      <c r="C7737" t="s">
        <v>10922</v>
      </c>
      <c r="D7737" t="s">
        <v>17153</v>
      </c>
      <c r="E7737" t="s">
        <v>23922</v>
      </c>
      <c r="F7737" t="s">
        <v>29372</v>
      </c>
      <c r="G7737" t="s">
        <v>29380</v>
      </c>
      <c r="H7737" t="s">
        <v>11048</v>
      </c>
      <c r="I7737" t="s">
        <v>9469</v>
      </c>
      <c r="J7737" t="s">
        <v>29924</v>
      </c>
      <c r="K7737" t="s">
        <v>38534</v>
      </c>
      <c r="L7737" t="s">
        <v>2409</v>
      </c>
      <c r="M7737" t="s">
        <v>41355</v>
      </c>
      <c r="N7737" t="s">
        <v>42669</v>
      </c>
      <c r="O7737" t="s">
        <v>42670</v>
      </c>
      <c r="P7737">
        <v>0</v>
      </c>
      <c r="Q7737">
        <v>3</v>
      </c>
      <c r="R7737" t="s">
        <v>42678</v>
      </c>
      <c r="S7737" t="s">
        <v>42866</v>
      </c>
      <c r="T7737" t="s">
        <v>44557</v>
      </c>
      <c r="U7737" t="s">
        <v>51154</v>
      </c>
      <c r="W7737" t="s">
        <v>41355</v>
      </c>
      <c r="X7737" t="s">
        <v>42679</v>
      </c>
    </row>
    <row r="7738" spans="1:24">
      <c r="A7738">
        <f>HYPERLINK("https://www.philgeps.gov.ph/GEPSNONPILOT/Tender/SplashBidNoticeAbstractUI.aspx?menuIndex=3&amp;refID=7182534&amp;Result=3","7182534")</f>
        <v>0</v>
      </c>
      <c r="B7738" t="s">
        <v>671</v>
      </c>
      <c r="C7738" t="s">
        <v>10923</v>
      </c>
      <c r="D7738" t="s">
        <v>17177</v>
      </c>
      <c r="E7738" t="s">
        <v>23923</v>
      </c>
      <c r="F7738" t="s">
        <v>29372</v>
      </c>
      <c r="G7738" t="s">
        <v>29380</v>
      </c>
      <c r="H7738" t="s">
        <v>11048</v>
      </c>
      <c r="I7738" t="s">
        <v>29394</v>
      </c>
      <c r="J7738" t="s">
        <v>34517</v>
      </c>
      <c r="K7738" t="s">
        <v>38518</v>
      </c>
      <c r="M7738" t="s">
        <v>39509</v>
      </c>
      <c r="N7738" t="s">
        <v>42669</v>
      </c>
      <c r="O7738" t="s">
        <v>42670</v>
      </c>
      <c r="P7738">
        <v>0</v>
      </c>
      <c r="Q7738">
        <v>2</v>
      </c>
      <c r="R7738" t="s">
        <v>42678</v>
      </c>
      <c r="S7738" t="s">
        <v>42866</v>
      </c>
      <c r="T7738" t="s">
        <v>44446</v>
      </c>
      <c r="U7738" t="s">
        <v>51155</v>
      </c>
      <c r="W7738" t="s">
        <v>39509</v>
      </c>
      <c r="X7738" t="s">
        <v>42679</v>
      </c>
    </row>
    <row r="7739" spans="1:24">
      <c r="A7739">
        <f>HYPERLINK("https://www.philgeps.gov.ph/GEPSNONPILOT/Tender/SplashBidNoticeAbstractUI.aspx?menuIndex=3&amp;refID=7182610&amp;Result=3","7182610")</f>
        <v>0</v>
      </c>
      <c r="B7739" t="s">
        <v>52</v>
      </c>
      <c r="C7739" t="s">
        <v>10924</v>
      </c>
      <c r="D7739" t="s">
        <v>17164</v>
      </c>
      <c r="E7739" t="s">
        <v>23924</v>
      </c>
      <c r="F7739" t="s">
        <v>29372</v>
      </c>
      <c r="G7739" t="s">
        <v>29379</v>
      </c>
      <c r="H7739" t="s">
        <v>11048</v>
      </c>
      <c r="I7739" t="s">
        <v>14920</v>
      </c>
      <c r="J7739" t="s">
        <v>29729</v>
      </c>
      <c r="K7739" t="s">
        <v>38522</v>
      </c>
      <c r="M7739" t="s">
        <v>40848</v>
      </c>
      <c r="N7739" t="s">
        <v>42669</v>
      </c>
      <c r="O7739" t="s">
        <v>42670</v>
      </c>
      <c r="Q7739">
        <v>0</v>
      </c>
      <c r="R7739" t="s">
        <v>42678</v>
      </c>
      <c r="S7739" t="s">
        <v>42901</v>
      </c>
      <c r="T7739" t="s">
        <v>44635</v>
      </c>
      <c r="U7739" t="s">
        <v>51156</v>
      </c>
      <c r="W7739" t="s">
        <v>40848</v>
      </c>
      <c r="X7739" t="s">
        <v>42679</v>
      </c>
    </row>
    <row r="7740" spans="1:24">
      <c r="A7740">
        <f>HYPERLINK("https://www.philgeps.gov.ph/GEPSNONPILOT/Tender/SplashBidNoticeAbstractUI.aspx?menuIndex=3&amp;refID=7182603&amp;Result=3","7182603")</f>
        <v>0</v>
      </c>
      <c r="B7740" t="s">
        <v>2463</v>
      </c>
      <c r="C7740" t="s">
        <v>10925</v>
      </c>
      <c r="D7740" t="s">
        <v>17141</v>
      </c>
      <c r="E7740" t="s">
        <v>23925</v>
      </c>
      <c r="F7740" t="s">
        <v>29372</v>
      </c>
      <c r="G7740" t="s">
        <v>29380</v>
      </c>
      <c r="H7740" t="s">
        <v>11048</v>
      </c>
      <c r="I7740" t="s">
        <v>29495</v>
      </c>
      <c r="J7740" t="s">
        <v>30907</v>
      </c>
      <c r="K7740" t="s">
        <v>38490</v>
      </c>
      <c r="M7740" t="s">
        <v>41411</v>
      </c>
      <c r="N7740" t="s">
        <v>42669</v>
      </c>
      <c r="O7740" t="s">
        <v>42670</v>
      </c>
      <c r="P7740">
        <v>0</v>
      </c>
      <c r="Q7740">
        <v>1</v>
      </c>
      <c r="R7740" t="s">
        <v>42678</v>
      </c>
      <c r="S7740" t="s">
        <v>42866</v>
      </c>
      <c r="T7740" t="s">
        <v>44600</v>
      </c>
      <c r="U7740" t="s">
        <v>51157</v>
      </c>
      <c r="W7740" t="s">
        <v>41411</v>
      </c>
      <c r="X7740" t="s">
        <v>42679</v>
      </c>
    </row>
    <row r="7741" spans="1:24">
      <c r="A7741">
        <f>HYPERLINK("https://www.philgeps.gov.ph/GEPSNONPILOT/Tender/SplashBidNoticeAbstractUI.aspx?menuIndex=3&amp;refID=7182586&amp;Result=3","7182586")</f>
        <v>0</v>
      </c>
      <c r="B7741" t="s">
        <v>1426</v>
      </c>
      <c r="C7741" t="s">
        <v>10926</v>
      </c>
      <c r="D7741" t="s">
        <v>17189</v>
      </c>
      <c r="E7741" t="s">
        <v>23926</v>
      </c>
      <c r="F7741" t="s">
        <v>29372</v>
      </c>
      <c r="G7741" t="s">
        <v>29379</v>
      </c>
      <c r="H7741" t="s">
        <v>11048</v>
      </c>
      <c r="I7741" t="s">
        <v>29393</v>
      </c>
      <c r="J7741" t="s">
        <v>34518</v>
      </c>
      <c r="K7741" t="s">
        <v>38510</v>
      </c>
      <c r="M7741" t="s">
        <v>40266</v>
      </c>
      <c r="N7741" t="s">
        <v>42669</v>
      </c>
      <c r="O7741" t="s">
        <v>42670</v>
      </c>
      <c r="P7741">
        <v>0</v>
      </c>
      <c r="Q7741">
        <v>0</v>
      </c>
      <c r="R7741" t="s">
        <v>42678</v>
      </c>
      <c r="S7741" t="s">
        <v>42866</v>
      </c>
      <c r="T7741" t="s">
        <v>44512</v>
      </c>
      <c r="U7741" t="s">
        <v>48050</v>
      </c>
      <c r="W7741" t="s">
        <v>40266</v>
      </c>
      <c r="X7741" t="s">
        <v>42679</v>
      </c>
    </row>
    <row r="7742" spans="1:24">
      <c r="A7742">
        <f>HYPERLINK("https://www.philgeps.gov.ph/GEPSNONPILOT/Tender/SplashBidNoticeAbstractUI.aspx?menuIndex=3&amp;refID=7182596&amp;Result=3","7182596")</f>
        <v>0</v>
      </c>
      <c r="B7742" t="s">
        <v>1720</v>
      </c>
      <c r="C7742" t="s">
        <v>10927</v>
      </c>
      <c r="D7742" t="s">
        <v>17189</v>
      </c>
      <c r="E7742" t="s">
        <v>23927</v>
      </c>
      <c r="F7742" t="s">
        <v>29372</v>
      </c>
      <c r="G7742" t="s">
        <v>29380</v>
      </c>
      <c r="H7742" t="s">
        <v>11048</v>
      </c>
      <c r="I7742" t="s">
        <v>4709</v>
      </c>
      <c r="J7742" t="s">
        <v>34519</v>
      </c>
      <c r="K7742" t="s">
        <v>38510</v>
      </c>
      <c r="M7742" t="s">
        <v>40583</v>
      </c>
      <c r="N7742" t="s">
        <v>42669</v>
      </c>
      <c r="O7742" t="s">
        <v>42670</v>
      </c>
      <c r="P7742">
        <v>0</v>
      </c>
      <c r="Q7742">
        <v>0</v>
      </c>
      <c r="R7742" t="s">
        <v>42678</v>
      </c>
      <c r="S7742" t="s">
        <v>42866</v>
      </c>
      <c r="T7742" t="s">
        <v>44631</v>
      </c>
      <c r="U7742" t="s">
        <v>51158</v>
      </c>
      <c r="W7742" t="s">
        <v>40583</v>
      </c>
      <c r="X7742" t="s">
        <v>42679</v>
      </c>
    </row>
    <row r="7743" spans="1:24">
      <c r="A7743">
        <f>HYPERLINK("https://www.philgeps.gov.ph/GEPSNONPILOT/Tender/SplashBidNoticeAbstractUI.aspx?menuIndex=3&amp;refID=7182525&amp;Result=3","7182525")</f>
        <v>0</v>
      </c>
      <c r="B7743" t="s">
        <v>2466</v>
      </c>
      <c r="C7743" t="s">
        <v>10928</v>
      </c>
      <c r="D7743" t="s">
        <v>17205</v>
      </c>
      <c r="E7743" t="s">
        <v>23928</v>
      </c>
      <c r="F7743" t="s">
        <v>29372</v>
      </c>
      <c r="G7743" t="s">
        <v>29380</v>
      </c>
      <c r="H7743" t="s">
        <v>11048</v>
      </c>
      <c r="I7743" t="s">
        <v>9469</v>
      </c>
      <c r="J7743" t="s">
        <v>31074</v>
      </c>
      <c r="K7743" t="s">
        <v>38485</v>
      </c>
      <c r="M7743" t="s">
        <v>41415</v>
      </c>
      <c r="N7743" t="s">
        <v>42669</v>
      </c>
      <c r="O7743" t="s">
        <v>42670</v>
      </c>
      <c r="P7743">
        <v>0</v>
      </c>
      <c r="Q7743">
        <v>3</v>
      </c>
      <c r="R7743" t="s">
        <v>42678</v>
      </c>
      <c r="S7743" t="s">
        <v>42866</v>
      </c>
      <c r="T7743" t="s">
        <v>44517</v>
      </c>
      <c r="U7743" t="s">
        <v>51159</v>
      </c>
      <c r="W7743" t="s">
        <v>58086</v>
      </c>
      <c r="X7743" t="s">
        <v>42679</v>
      </c>
    </row>
    <row r="7744" spans="1:24">
      <c r="A7744">
        <f>HYPERLINK("https://www.philgeps.gov.ph/GEPSNONPILOT/Tender/SplashBidNoticeAbstractUI.aspx?menuIndex=3&amp;refID=7182604&amp;Result=3","7182604")</f>
        <v>0</v>
      </c>
      <c r="B7744" t="s">
        <v>2456</v>
      </c>
      <c r="C7744" t="s">
        <v>10929</v>
      </c>
      <c r="D7744" t="s">
        <v>17188</v>
      </c>
      <c r="E7744" t="s">
        <v>23929</v>
      </c>
      <c r="F7744" t="s">
        <v>29372</v>
      </c>
      <c r="G7744" t="s">
        <v>29380</v>
      </c>
      <c r="H7744" t="s">
        <v>11048</v>
      </c>
      <c r="I7744" t="s">
        <v>29466</v>
      </c>
      <c r="J7744" t="s">
        <v>30308</v>
      </c>
      <c r="K7744" t="s">
        <v>38495</v>
      </c>
      <c r="M7744" t="s">
        <v>41404</v>
      </c>
      <c r="N7744" t="s">
        <v>42669</v>
      </c>
      <c r="O7744" t="s">
        <v>42670</v>
      </c>
      <c r="P7744">
        <v>0</v>
      </c>
      <c r="Q7744">
        <v>7</v>
      </c>
      <c r="R7744" t="s">
        <v>42678</v>
      </c>
      <c r="S7744" t="s">
        <v>42866</v>
      </c>
      <c r="T7744" t="s">
        <v>44446</v>
      </c>
      <c r="U7744" t="s">
        <v>51160</v>
      </c>
      <c r="W7744" t="s">
        <v>41404</v>
      </c>
      <c r="X7744" t="s">
        <v>42679</v>
      </c>
    </row>
    <row r="7745" spans="1:24">
      <c r="A7745">
        <f>HYPERLINK("https://www.philgeps.gov.ph/GEPSNONPILOT/Tender/SplashBidNoticeAbstractUI.aspx?menuIndex=3&amp;refID=7182583&amp;Result=3","7182583")</f>
        <v>0</v>
      </c>
      <c r="B7745" t="s">
        <v>989</v>
      </c>
      <c r="C7745" t="s">
        <v>10930</v>
      </c>
      <c r="D7745" t="s">
        <v>17197</v>
      </c>
      <c r="E7745" t="s">
        <v>23930</v>
      </c>
      <c r="F7745" t="s">
        <v>29372</v>
      </c>
      <c r="G7745" t="s">
        <v>29379</v>
      </c>
      <c r="H7745" t="s">
        <v>11048</v>
      </c>
      <c r="I7745" t="s">
        <v>3629</v>
      </c>
      <c r="J7745" t="s">
        <v>34520</v>
      </c>
      <c r="K7745" t="s">
        <v>38488</v>
      </c>
      <c r="M7745" t="s">
        <v>41171</v>
      </c>
      <c r="N7745" t="s">
        <v>42669</v>
      </c>
      <c r="O7745" t="s">
        <v>42670</v>
      </c>
      <c r="P7745">
        <v>0</v>
      </c>
      <c r="Q7745">
        <v>2</v>
      </c>
      <c r="R7745" t="s">
        <v>42678</v>
      </c>
      <c r="S7745" t="s">
        <v>42866</v>
      </c>
      <c r="T7745" t="s">
        <v>44488</v>
      </c>
      <c r="U7745" t="s">
        <v>51161</v>
      </c>
      <c r="W7745" t="s">
        <v>41171</v>
      </c>
      <c r="X7745" t="s">
        <v>42679</v>
      </c>
    </row>
    <row r="7746" spans="1:24">
      <c r="A7746">
        <f>HYPERLINK("https://www.philgeps.gov.ph/GEPSNONPILOT/Tender/SplashBidNoticeAbstractUI.aspx?menuIndex=3&amp;refID=7182582&amp;Result=3","7182582")</f>
        <v>0</v>
      </c>
      <c r="B7746" t="s">
        <v>451</v>
      </c>
      <c r="C7746" t="s">
        <v>10931</v>
      </c>
      <c r="E7746" t="s">
        <v>17448</v>
      </c>
      <c r="F7746" t="s">
        <v>29372</v>
      </c>
      <c r="G7746" t="s">
        <v>29380</v>
      </c>
      <c r="H7746" t="s">
        <v>29389</v>
      </c>
      <c r="I7746" t="s">
        <v>10408</v>
      </c>
      <c r="J7746" t="s">
        <v>34521</v>
      </c>
      <c r="K7746" t="s">
        <v>38503</v>
      </c>
      <c r="M7746" t="s">
        <v>39215</v>
      </c>
      <c r="N7746" t="s">
        <v>42669</v>
      </c>
      <c r="O7746" t="s">
        <v>42670</v>
      </c>
      <c r="P7746">
        <v>0</v>
      </c>
      <c r="Q7746">
        <v>6</v>
      </c>
      <c r="R7746" t="s">
        <v>42678</v>
      </c>
      <c r="S7746" t="s">
        <v>42866</v>
      </c>
      <c r="T7746" t="s">
        <v>44482</v>
      </c>
      <c r="U7746" t="s">
        <v>51162</v>
      </c>
      <c r="W7746" t="s">
        <v>39215</v>
      </c>
      <c r="X7746" t="s">
        <v>42679</v>
      </c>
    </row>
    <row r="7747" spans="1:24">
      <c r="A7747">
        <f>HYPERLINK("https://www.philgeps.gov.ph/GEPSNONPILOT/Tender/SplashBidNoticeAbstractUI.aspx?menuIndex=3&amp;refID=7182521&amp;Result=3","7182521")</f>
        <v>0</v>
      </c>
      <c r="B7747" t="s">
        <v>2467</v>
      </c>
      <c r="C7747" t="s">
        <v>10932</v>
      </c>
      <c r="D7747" t="s">
        <v>17161</v>
      </c>
      <c r="E7747" t="s">
        <v>23931</v>
      </c>
      <c r="F7747" t="s">
        <v>29372</v>
      </c>
      <c r="G7747" t="s">
        <v>29379</v>
      </c>
      <c r="H7747" t="s">
        <v>11048</v>
      </c>
      <c r="I7747" t="s">
        <v>3952</v>
      </c>
      <c r="J7747" t="s">
        <v>29929</v>
      </c>
      <c r="K7747" t="s">
        <v>38488</v>
      </c>
      <c r="M7747" t="s">
        <v>41416</v>
      </c>
      <c r="N7747" t="s">
        <v>42669</v>
      </c>
      <c r="O7747" t="s">
        <v>42670</v>
      </c>
      <c r="P7747">
        <v>0</v>
      </c>
      <c r="Q7747">
        <v>2</v>
      </c>
      <c r="R7747" t="s">
        <v>42678</v>
      </c>
      <c r="S7747" t="s">
        <v>42866</v>
      </c>
      <c r="T7747" t="s">
        <v>44385</v>
      </c>
      <c r="U7747" t="s">
        <v>51163</v>
      </c>
      <c r="W7747" t="s">
        <v>41416</v>
      </c>
      <c r="X7747" t="s">
        <v>42679</v>
      </c>
    </row>
    <row r="7748" spans="1:24">
      <c r="A7748">
        <f>HYPERLINK("https://www.philgeps.gov.ph/GEPSNONPILOT/Tender/SplashBidNoticeAbstractUI.aspx?menuIndex=3&amp;refID=7182520&amp;Result=3","7182520")</f>
        <v>0</v>
      </c>
      <c r="B7748" t="s">
        <v>52</v>
      </c>
      <c r="C7748" t="s">
        <v>10933</v>
      </c>
      <c r="D7748" t="s">
        <v>17164</v>
      </c>
      <c r="E7748" t="s">
        <v>23932</v>
      </c>
      <c r="F7748" t="s">
        <v>29372</v>
      </c>
      <c r="G7748" t="s">
        <v>29379</v>
      </c>
      <c r="H7748" t="s">
        <v>11048</v>
      </c>
      <c r="I7748" t="s">
        <v>14920</v>
      </c>
      <c r="J7748" t="s">
        <v>34522</v>
      </c>
      <c r="K7748" t="s">
        <v>38522</v>
      </c>
      <c r="M7748" t="s">
        <v>40848</v>
      </c>
      <c r="N7748" t="s">
        <v>42669</v>
      </c>
      <c r="O7748" t="s">
        <v>42670</v>
      </c>
      <c r="Q7748">
        <v>0</v>
      </c>
      <c r="R7748" t="s">
        <v>42678</v>
      </c>
      <c r="S7748" t="s">
        <v>42807</v>
      </c>
      <c r="T7748" t="s">
        <v>44635</v>
      </c>
      <c r="U7748" t="s">
        <v>51164</v>
      </c>
      <c r="W7748" t="s">
        <v>40848</v>
      </c>
      <c r="X7748" t="s">
        <v>42679</v>
      </c>
    </row>
    <row r="7749" spans="1:24">
      <c r="A7749">
        <f>HYPERLINK("https://www.philgeps.gov.ph/GEPSNONPILOT/Tender/SplashBidNoticeAbstractUI.aspx?menuIndex=3&amp;refID=7182517&amp;Result=3","7182517")</f>
        <v>0</v>
      </c>
      <c r="B7749" t="s">
        <v>1737</v>
      </c>
      <c r="C7749" t="s">
        <v>10934</v>
      </c>
      <c r="D7749" t="s">
        <v>17221</v>
      </c>
      <c r="E7749" t="s">
        <v>23933</v>
      </c>
      <c r="F7749" t="s">
        <v>29372</v>
      </c>
      <c r="G7749" t="s">
        <v>29380</v>
      </c>
      <c r="H7749" t="s">
        <v>29389</v>
      </c>
      <c r="I7749" t="s">
        <v>29429</v>
      </c>
      <c r="J7749" t="s">
        <v>29590</v>
      </c>
      <c r="K7749" t="s">
        <v>38530</v>
      </c>
      <c r="M7749" t="s">
        <v>40602</v>
      </c>
      <c r="N7749" t="s">
        <v>42669</v>
      </c>
      <c r="O7749" t="s">
        <v>42670</v>
      </c>
      <c r="P7749">
        <v>0</v>
      </c>
      <c r="Q7749">
        <v>0</v>
      </c>
      <c r="R7749" t="s">
        <v>42678</v>
      </c>
      <c r="S7749" t="s">
        <v>42866</v>
      </c>
      <c r="T7749" t="s">
        <v>44481</v>
      </c>
      <c r="U7749" t="s">
        <v>48632</v>
      </c>
      <c r="W7749" t="s">
        <v>40602</v>
      </c>
      <c r="X7749" t="s">
        <v>42679</v>
      </c>
    </row>
    <row r="7750" spans="1:24">
      <c r="A7750">
        <f>HYPERLINK("https://www.philgeps.gov.ph/GEPSNONPILOT/Tender/SplashBidNoticeAbstractUI.aspx?menuIndex=3&amp;refID=7182593&amp;Result=3","7182593")</f>
        <v>0</v>
      </c>
      <c r="B7750" t="s">
        <v>617</v>
      </c>
      <c r="C7750" t="s">
        <v>10935</v>
      </c>
      <c r="D7750" t="s">
        <v>17215</v>
      </c>
      <c r="E7750" t="s">
        <v>23934</v>
      </c>
      <c r="F7750" t="s">
        <v>29372</v>
      </c>
      <c r="G7750" t="s">
        <v>29380</v>
      </c>
      <c r="H7750" t="s">
        <v>29389</v>
      </c>
      <c r="I7750" t="s">
        <v>10408</v>
      </c>
      <c r="J7750" t="s">
        <v>33476</v>
      </c>
      <c r="K7750" t="s">
        <v>38564</v>
      </c>
      <c r="M7750" t="s">
        <v>39388</v>
      </c>
      <c r="N7750" t="s">
        <v>42669</v>
      </c>
      <c r="O7750" t="s">
        <v>42670</v>
      </c>
      <c r="P7750">
        <v>0</v>
      </c>
      <c r="Q7750">
        <v>6</v>
      </c>
      <c r="R7750" t="s">
        <v>42678</v>
      </c>
      <c r="S7750" t="s">
        <v>42866</v>
      </c>
      <c r="T7750" t="s">
        <v>44474</v>
      </c>
      <c r="U7750" t="s">
        <v>51165</v>
      </c>
      <c r="V7750" t="s">
        <v>57214</v>
      </c>
      <c r="W7750" t="s">
        <v>39388</v>
      </c>
      <c r="X7750" t="s">
        <v>42679</v>
      </c>
    </row>
    <row r="7751" spans="1:24">
      <c r="A7751">
        <f>HYPERLINK("https://www.philgeps.gov.ph/GEPSNONPILOT/Tender/SplashBidNoticeAbstractUI.aspx?menuIndex=3&amp;refID=7182679&amp;Result=3","7182679")</f>
        <v>0</v>
      </c>
      <c r="B7751" t="s">
        <v>2448</v>
      </c>
      <c r="C7751" t="s">
        <v>10936</v>
      </c>
      <c r="D7751" t="s">
        <v>17195</v>
      </c>
      <c r="E7751" t="s">
        <v>17482</v>
      </c>
      <c r="F7751" t="s">
        <v>29372</v>
      </c>
      <c r="G7751" t="s">
        <v>29380</v>
      </c>
      <c r="H7751" t="s">
        <v>29389</v>
      </c>
      <c r="I7751" t="s">
        <v>10408</v>
      </c>
      <c r="J7751" t="s">
        <v>32431</v>
      </c>
      <c r="K7751" t="s">
        <v>38563</v>
      </c>
      <c r="M7751" t="s">
        <v>41396</v>
      </c>
      <c r="N7751" t="s">
        <v>42669</v>
      </c>
      <c r="O7751" t="s">
        <v>42670</v>
      </c>
      <c r="P7751">
        <v>0</v>
      </c>
      <c r="Q7751">
        <v>18</v>
      </c>
      <c r="R7751" t="s">
        <v>42678</v>
      </c>
      <c r="S7751" t="s">
        <v>42866</v>
      </c>
      <c r="T7751" t="s">
        <v>44663</v>
      </c>
      <c r="U7751" t="s">
        <v>51166</v>
      </c>
      <c r="W7751" t="s">
        <v>41396</v>
      </c>
      <c r="X7751" t="s">
        <v>42679</v>
      </c>
    </row>
    <row r="7752" spans="1:24">
      <c r="A7752">
        <f>HYPERLINK("https://www.philgeps.gov.ph/GEPSNONPILOT/Tender/SplashBidNoticeAbstractUI.aspx?menuIndex=3&amp;refID=7182594&amp;Result=3","7182594")</f>
        <v>0</v>
      </c>
      <c r="B7752" t="s">
        <v>2468</v>
      </c>
      <c r="C7752" t="s">
        <v>10937</v>
      </c>
      <c r="E7752" t="s">
        <v>23935</v>
      </c>
      <c r="F7752" t="s">
        <v>29372</v>
      </c>
      <c r="G7752" t="s">
        <v>29380</v>
      </c>
      <c r="H7752" t="s">
        <v>29389</v>
      </c>
      <c r="I7752" t="s">
        <v>10408</v>
      </c>
      <c r="J7752" t="s">
        <v>34523</v>
      </c>
      <c r="K7752" t="s">
        <v>38490</v>
      </c>
      <c r="M7752" t="s">
        <v>41417</v>
      </c>
      <c r="N7752" t="s">
        <v>42669</v>
      </c>
      <c r="O7752" t="s">
        <v>42670</v>
      </c>
      <c r="P7752">
        <v>0</v>
      </c>
      <c r="Q7752">
        <v>0</v>
      </c>
      <c r="R7752" t="s">
        <v>42678</v>
      </c>
      <c r="S7752" t="s">
        <v>42866</v>
      </c>
      <c r="T7752" t="s">
        <v>44400</v>
      </c>
      <c r="U7752" t="s">
        <v>51167</v>
      </c>
      <c r="V7752" t="s">
        <v>57215</v>
      </c>
      <c r="W7752" t="s">
        <v>41417</v>
      </c>
      <c r="X7752" t="s">
        <v>42679</v>
      </c>
    </row>
    <row r="7753" spans="1:24">
      <c r="A7753">
        <f>HYPERLINK("https://www.philgeps.gov.ph/GEPSNONPILOT/Tender/SplashBidNoticeAbstractUI.aspx?menuIndex=3&amp;refID=7182678&amp;Result=3","7182678")</f>
        <v>0</v>
      </c>
      <c r="B7753" t="s">
        <v>1188</v>
      </c>
      <c r="C7753" t="s">
        <v>10938</v>
      </c>
      <c r="D7753" t="s">
        <v>17162</v>
      </c>
      <c r="E7753" t="s">
        <v>23936</v>
      </c>
      <c r="F7753" t="s">
        <v>29372</v>
      </c>
      <c r="G7753" t="s">
        <v>29380</v>
      </c>
      <c r="H7753" t="s">
        <v>29391</v>
      </c>
      <c r="I7753" t="s">
        <v>29391</v>
      </c>
      <c r="J7753" t="s">
        <v>29724</v>
      </c>
      <c r="K7753" t="s">
        <v>38490</v>
      </c>
      <c r="M7753" t="s">
        <v>40004</v>
      </c>
      <c r="N7753" t="s">
        <v>42669</v>
      </c>
      <c r="O7753" t="s">
        <v>42670</v>
      </c>
      <c r="P7753">
        <v>0</v>
      </c>
      <c r="Q7753">
        <v>9</v>
      </c>
      <c r="R7753" t="s">
        <v>42678</v>
      </c>
      <c r="S7753" t="s">
        <v>42866</v>
      </c>
      <c r="T7753" t="s">
        <v>44542</v>
      </c>
      <c r="U7753" t="s">
        <v>51168</v>
      </c>
      <c r="W7753" t="s">
        <v>58038</v>
      </c>
      <c r="X7753" t="s">
        <v>42679</v>
      </c>
    </row>
    <row r="7754" spans="1:24">
      <c r="A7754">
        <f>HYPERLINK("https://www.philgeps.gov.ph/GEPSNONPILOT/Tender/SplashBidNoticeAbstractUI.aspx?menuIndex=3&amp;refID=7182676&amp;Result=3","7182676")</f>
        <v>0</v>
      </c>
      <c r="B7754" t="s">
        <v>989</v>
      </c>
      <c r="C7754" t="s">
        <v>10939</v>
      </c>
      <c r="D7754" t="s">
        <v>17197</v>
      </c>
      <c r="E7754" t="s">
        <v>23937</v>
      </c>
      <c r="F7754" t="s">
        <v>29372</v>
      </c>
      <c r="G7754" t="s">
        <v>29379</v>
      </c>
      <c r="H7754" t="s">
        <v>11048</v>
      </c>
      <c r="I7754" t="s">
        <v>3629</v>
      </c>
      <c r="J7754" t="s">
        <v>34524</v>
      </c>
      <c r="K7754" t="s">
        <v>38488</v>
      </c>
      <c r="M7754" t="s">
        <v>41171</v>
      </c>
      <c r="N7754" t="s">
        <v>42669</v>
      </c>
      <c r="O7754" t="s">
        <v>42670</v>
      </c>
      <c r="P7754">
        <v>0</v>
      </c>
      <c r="Q7754">
        <v>2</v>
      </c>
      <c r="R7754" t="s">
        <v>42678</v>
      </c>
      <c r="S7754" t="s">
        <v>42866</v>
      </c>
      <c r="T7754" t="s">
        <v>44488</v>
      </c>
      <c r="U7754" t="s">
        <v>51161</v>
      </c>
      <c r="W7754" t="s">
        <v>41171</v>
      </c>
      <c r="X7754" t="s">
        <v>42679</v>
      </c>
    </row>
    <row r="7755" spans="1:24">
      <c r="A7755">
        <f>HYPERLINK("https://www.philgeps.gov.ph/GEPSNONPILOT/Tender/SplashBidNoticeAbstractUI.aspx?menuIndex=3&amp;refID=7182462&amp;Result=3","7182462")</f>
        <v>0</v>
      </c>
      <c r="B7755" t="s">
        <v>2469</v>
      </c>
      <c r="C7755" t="s">
        <v>10940</v>
      </c>
      <c r="D7755" t="s">
        <v>17193</v>
      </c>
      <c r="E7755" t="s">
        <v>22774</v>
      </c>
      <c r="F7755" t="s">
        <v>29372</v>
      </c>
      <c r="G7755" t="s">
        <v>29380</v>
      </c>
      <c r="H7755" t="s">
        <v>29389</v>
      </c>
      <c r="I7755" t="s">
        <v>10408</v>
      </c>
      <c r="J7755" t="s">
        <v>34525</v>
      </c>
      <c r="K7755" t="s">
        <v>38501</v>
      </c>
      <c r="M7755" t="s">
        <v>41418</v>
      </c>
      <c r="N7755" t="s">
        <v>42669</v>
      </c>
      <c r="O7755" t="s">
        <v>42670</v>
      </c>
      <c r="P7755">
        <v>0</v>
      </c>
      <c r="Q7755">
        <v>0</v>
      </c>
      <c r="R7755" t="s">
        <v>42678</v>
      </c>
      <c r="S7755" t="s">
        <v>42866</v>
      </c>
      <c r="T7755" t="s">
        <v>44432</v>
      </c>
      <c r="U7755" t="s">
        <v>51169</v>
      </c>
      <c r="W7755" t="s">
        <v>41418</v>
      </c>
      <c r="X7755" t="s">
        <v>42679</v>
      </c>
    </row>
    <row r="7756" spans="1:24">
      <c r="A7756">
        <f>HYPERLINK("https://www.philgeps.gov.ph/GEPSNONPILOT/Tender/SplashBidNoticeAbstractUI.aspx?menuIndex=3&amp;refID=7182674&amp;Result=3","7182674")</f>
        <v>0</v>
      </c>
      <c r="B7756" t="s">
        <v>1798</v>
      </c>
      <c r="C7756" t="s">
        <v>10941</v>
      </c>
      <c r="D7756" t="s">
        <v>17166</v>
      </c>
      <c r="E7756" t="s">
        <v>19315</v>
      </c>
      <c r="F7756" t="s">
        <v>29372</v>
      </c>
      <c r="G7756" t="s">
        <v>29383</v>
      </c>
      <c r="H7756" t="s">
        <v>11048</v>
      </c>
      <c r="I7756" t="s">
        <v>4487</v>
      </c>
      <c r="J7756" t="s">
        <v>32832</v>
      </c>
      <c r="K7756" t="s">
        <v>38535</v>
      </c>
      <c r="M7756" t="s">
        <v>40669</v>
      </c>
      <c r="N7756" t="s">
        <v>42669</v>
      </c>
      <c r="O7756" t="s">
        <v>42670</v>
      </c>
      <c r="P7756">
        <v>0</v>
      </c>
      <c r="Q7756">
        <v>5</v>
      </c>
      <c r="R7756" t="s">
        <v>42678</v>
      </c>
      <c r="S7756" t="s">
        <v>42866</v>
      </c>
      <c r="T7756" t="s">
        <v>44469</v>
      </c>
      <c r="U7756" t="s">
        <v>48974</v>
      </c>
      <c r="W7756" t="s">
        <v>40669</v>
      </c>
      <c r="X7756" t="s">
        <v>42679</v>
      </c>
    </row>
    <row r="7757" spans="1:24">
      <c r="A7757">
        <f>HYPERLINK("https://www.philgeps.gov.ph/GEPSNONPILOT/Tender/SplashBidNoticeAbstractUI.aspx?menuIndex=3&amp;refID=7182617&amp;Result=3","7182617")</f>
        <v>0</v>
      </c>
      <c r="B7757" t="s">
        <v>1676</v>
      </c>
      <c r="C7757" t="s">
        <v>10942</v>
      </c>
      <c r="D7757" t="s">
        <v>17155</v>
      </c>
      <c r="E7757" t="s">
        <v>23938</v>
      </c>
      <c r="F7757" t="s">
        <v>29372</v>
      </c>
      <c r="G7757" t="s">
        <v>29380</v>
      </c>
      <c r="H7757" t="s">
        <v>29389</v>
      </c>
      <c r="I7757" t="s">
        <v>10408</v>
      </c>
      <c r="J7757" t="s">
        <v>34526</v>
      </c>
      <c r="K7757" t="s">
        <v>38496</v>
      </c>
      <c r="M7757" t="s">
        <v>40536</v>
      </c>
      <c r="N7757" t="s">
        <v>42669</v>
      </c>
      <c r="O7757" t="s">
        <v>42670</v>
      </c>
      <c r="P7757">
        <v>0</v>
      </c>
      <c r="Q7757">
        <v>0</v>
      </c>
      <c r="R7757" t="s">
        <v>42678</v>
      </c>
      <c r="S7757" t="s">
        <v>42866</v>
      </c>
      <c r="T7757" t="s">
        <v>44446</v>
      </c>
      <c r="U7757" t="s">
        <v>51170</v>
      </c>
      <c r="W7757" t="s">
        <v>40536</v>
      </c>
      <c r="X7757" t="s">
        <v>42679</v>
      </c>
    </row>
    <row r="7758" spans="1:24">
      <c r="A7758">
        <f>HYPERLINK("https://www.philgeps.gov.ph/GEPSNONPILOT/Tender/SplashBidNoticeAbstractUI.aspx?menuIndex=3&amp;refID=7182670&amp;Result=3","7182670")</f>
        <v>0</v>
      </c>
      <c r="B7758" t="s">
        <v>666</v>
      </c>
      <c r="C7758" t="s">
        <v>10943</v>
      </c>
      <c r="D7758" t="s">
        <v>17205</v>
      </c>
      <c r="E7758" t="s">
        <v>23939</v>
      </c>
      <c r="F7758" t="s">
        <v>29372</v>
      </c>
      <c r="G7758" t="s">
        <v>29379</v>
      </c>
      <c r="H7758" t="s">
        <v>11048</v>
      </c>
      <c r="I7758" t="s">
        <v>8614</v>
      </c>
      <c r="J7758" t="s">
        <v>29625</v>
      </c>
      <c r="K7758" t="s">
        <v>38490</v>
      </c>
      <c r="M7758" t="s">
        <v>39442</v>
      </c>
      <c r="N7758" t="s">
        <v>42669</v>
      </c>
      <c r="O7758" t="s">
        <v>42670</v>
      </c>
      <c r="P7758">
        <v>0</v>
      </c>
      <c r="Q7758">
        <v>0</v>
      </c>
      <c r="R7758" t="s">
        <v>42678</v>
      </c>
      <c r="S7758" t="s">
        <v>42866</v>
      </c>
      <c r="T7758" t="s">
        <v>44493</v>
      </c>
      <c r="U7758" t="s">
        <v>51171</v>
      </c>
      <c r="W7758" t="s">
        <v>39442</v>
      </c>
      <c r="X7758" t="s">
        <v>42679</v>
      </c>
    </row>
    <row r="7759" spans="1:24">
      <c r="A7759">
        <f>HYPERLINK("https://www.philgeps.gov.ph/GEPSNONPILOT/Tender/SplashBidNoticeAbstractUI.aspx?menuIndex=3&amp;refID=7182677&amp;Result=3","7182677")</f>
        <v>0</v>
      </c>
      <c r="B7759" t="s">
        <v>2470</v>
      </c>
      <c r="C7759" t="s">
        <v>10944</v>
      </c>
      <c r="D7759" t="s">
        <v>17199</v>
      </c>
      <c r="E7759" t="s">
        <v>23940</v>
      </c>
      <c r="F7759" t="s">
        <v>29372</v>
      </c>
      <c r="G7759" t="s">
        <v>29379</v>
      </c>
      <c r="H7759" t="s">
        <v>11048</v>
      </c>
      <c r="I7759" t="s">
        <v>29449</v>
      </c>
      <c r="J7759" t="s">
        <v>34527</v>
      </c>
      <c r="K7759" t="s">
        <v>38490</v>
      </c>
      <c r="M7759" t="s">
        <v>41419</v>
      </c>
      <c r="N7759" t="s">
        <v>42669</v>
      </c>
      <c r="O7759" t="s">
        <v>42670</v>
      </c>
      <c r="P7759">
        <v>0</v>
      </c>
      <c r="Q7759">
        <v>0</v>
      </c>
      <c r="R7759" t="s">
        <v>42678</v>
      </c>
      <c r="S7759" t="s">
        <v>42866</v>
      </c>
      <c r="T7759" t="s">
        <v>44493</v>
      </c>
      <c r="U7759" t="s">
        <v>51172</v>
      </c>
      <c r="W7759" t="s">
        <v>41419</v>
      </c>
      <c r="X7759" t="s">
        <v>42679</v>
      </c>
    </row>
    <row r="7760" spans="1:24">
      <c r="A7760">
        <f>HYPERLINK("https://www.philgeps.gov.ph/GEPSNONPILOT/Tender/SplashBidNoticeAbstractUI.aspx?menuIndex=3&amp;refID=7182664&amp;Result=3","7182664")</f>
        <v>0</v>
      </c>
      <c r="B7760" t="s">
        <v>2456</v>
      </c>
      <c r="C7760" t="s">
        <v>10945</v>
      </c>
      <c r="D7760" t="s">
        <v>17188</v>
      </c>
      <c r="E7760" t="s">
        <v>23941</v>
      </c>
      <c r="F7760" t="s">
        <v>29372</v>
      </c>
      <c r="G7760" t="s">
        <v>29380</v>
      </c>
      <c r="H7760" t="s">
        <v>11048</v>
      </c>
      <c r="I7760" t="s">
        <v>29446</v>
      </c>
      <c r="J7760" t="s">
        <v>29788</v>
      </c>
      <c r="K7760" t="s">
        <v>38495</v>
      </c>
      <c r="M7760" t="s">
        <v>41404</v>
      </c>
      <c r="N7760" t="s">
        <v>42669</v>
      </c>
      <c r="O7760" t="s">
        <v>42670</v>
      </c>
      <c r="P7760">
        <v>0</v>
      </c>
      <c r="Q7760">
        <v>5</v>
      </c>
      <c r="R7760" t="s">
        <v>42678</v>
      </c>
      <c r="S7760" t="s">
        <v>42866</v>
      </c>
      <c r="T7760" t="s">
        <v>44446</v>
      </c>
      <c r="U7760" t="s">
        <v>51173</v>
      </c>
      <c r="W7760" t="s">
        <v>41404</v>
      </c>
      <c r="X7760" t="s">
        <v>42679</v>
      </c>
    </row>
    <row r="7761" spans="1:24">
      <c r="A7761">
        <f>HYPERLINK("https://www.philgeps.gov.ph/GEPSNONPILOT/Tender/SplashBidNoticeAbstractUI.aspx?menuIndex=3&amp;refID=7182659&amp;Result=3","7182659")</f>
        <v>0</v>
      </c>
      <c r="B7761" t="s">
        <v>508</v>
      </c>
      <c r="C7761" t="s">
        <v>10946</v>
      </c>
      <c r="D7761" t="s">
        <v>17188</v>
      </c>
      <c r="E7761" t="s">
        <v>23786</v>
      </c>
      <c r="F7761" t="s">
        <v>29372</v>
      </c>
      <c r="G7761" t="s">
        <v>29380</v>
      </c>
      <c r="H7761" t="s">
        <v>11048</v>
      </c>
      <c r="I7761" t="s">
        <v>29458</v>
      </c>
      <c r="J7761" t="s">
        <v>30161</v>
      </c>
      <c r="K7761" t="s">
        <v>38490</v>
      </c>
      <c r="M7761" t="s">
        <v>41360</v>
      </c>
      <c r="N7761" t="s">
        <v>42669</v>
      </c>
      <c r="O7761" t="s">
        <v>42670</v>
      </c>
      <c r="P7761">
        <v>0</v>
      </c>
      <c r="Q7761">
        <v>2</v>
      </c>
      <c r="R7761" t="s">
        <v>42678</v>
      </c>
      <c r="S7761" t="s">
        <v>42866</v>
      </c>
      <c r="T7761" t="s">
        <v>44539</v>
      </c>
      <c r="U7761" t="s">
        <v>51001</v>
      </c>
      <c r="V7761" t="s">
        <v>57193</v>
      </c>
      <c r="W7761" t="s">
        <v>41360</v>
      </c>
      <c r="X7761" t="s">
        <v>42679</v>
      </c>
    </row>
    <row r="7762" spans="1:24">
      <c r="A7762">
        <f>HYPERLINK("https://www.philgeps.gov.ph/GEPSNONPILOT/Tender/SplashBidNoticeAbstractUI.aspx?menuIndex=3&amp;refID=7182516&amp;Result=3","7182516")</f>
        <v>0</v>
      </c>
      <c r="B7762" t="s">
        <v>414</v>
      </c>
      <c r="C7762" t="s">
        <v>10947</v>
      </c>
      <c r="D7762" t="s">
        <v>17172</v>
      </c>
      <c r="E7762" t="s">
        <v>23942</v>
      </c>
      <c r="F7762" t="s">
        <v>29373</v>
      </c>
      <c r="G7762" t="s">
        <v>29380</v>
      </c>
      <c r="H7762" t="s">
        <v>29389</v>
      </c>
      <c r="I7762" t="s">
        <v>10408</v>
      </c>
      <c r="J7762" t="s">
        <v>34528</v>
      </c>
      <c r="K7762" t="s">
        <v>38523</v>
      </c>
      <c r="M7762" t="s">
        <v>39178</v>
      </c>
      <c r="N7762" t="s">
        <v>42669</v>
      </c>
      <c r="O7762" t="s">
        <v>42670</v>
      </c>
      <c r="P7762">
        <v>0</v>
      </c>
      <c r="Q7762">
        <v>3</v>
      </c>
      <c r="R7762" t="s">
        <v>42678</v>
      </c>
      <c r="S7762" t="s">
        <v>42866</v>
      </c>
      <c r="T7762" t="s">
        <v>44517</v>
      </c>
      <c r="U7762" t="s">
        <v>45780</v>
      </c>
      <c r="V7762" t="s">
        <v>57216</v>
      </c>
      <c r="W7762" t="s">
        <v>39178</v>
      </c>
      <c r="X7762" t="s">
        <v>42679</v>
      </c>
    </row>
    <row r="7763" spans="1:24">
      <c r="A7763">
        <f>HYPERLINK("https://www.philgeps.gov.ph/GEPSNONPILOT/Tender/SplashBidNoticeAbstractUI.aspx?menuIndex=3&amp;refID=7182648&amp;Result=3","7182648")</f>
        <v>0</v>
      </c>
      <c r="B7763" t="s">
        <v>2409</v>
      </c>
      <c r="C7763" t="s">
        <v>10948</v>
      </c>
      <c r="D7763" t="s">
        <v>17153</v>
      </c>
      <c r="E7763" t="s">
        <v>23943</v>
      </c>
      <c r="F7763" t="s">
        <v>29372</v>
      </c>
      <c r="G7763" t="s">
        <v>29380</v>
      </c>
      <c r="H7763" t="s">
        <v>11048</v>
      </c>
      <c r="I7763" t="s">
        <v>9469</v>
      </c>
      <c r="J7763" t="s">
        <v>29801</v>
      </c>
      <c r="K7763" t="s">
        <v>38495</v>
      </c>
      <c r="L7763" t="s">
        <v>2409</v>
      </c>
      <c r="M7763" t="s">
        <v>41355</v>
      </c>
      <c r="N7763" t="s">
        <v>42669</v>
      </c>
      <c r="O7763" t="s">
        <v>42670</v>
      </c>
      <c r="P7763">
        <v>0</v>
      </c>
      <c r="Q7763">
        <v>1</v>
      </c>
      <c r="R7763" t="s">
        <v>42678</v>
      </c>
      <c r="S7763" t="s">
        <v>42866</v>
      </c>
      <c r="T7763" t="s">
        <v>44557</v>
      </c>
      <c r="U7763" t="s">
        <v>51174</v>
      </c>
      <c r="W7763" t="s">
        <v>41355</v>
      </c>
      <c r="X7763" t="s">
        <v>42679</v>
      </c>
    </row>
    <row r="7764" spans="1:24">
      <c r="A7764">
        <f>HYPERLINK("https://www.philgeps.gov.ph/GEPSNONPILOT/Tender/SplashBidNoticeAbstractUI.aspx?menuIndex=3&amp;refID=7182672&amp;Result=3","7182672")</f>
        <v>0</v>
      </c>
      <c r="B7764" t="s">
        <v>2471</v>
      </c>
      <c r="C7764" t="s">
        <v>10949</v>
      </c>
      <c r="D7764" t="s">
        <v>17148</v>
      </c>
      <c r="E7764" t="s">
        <v>23944</v>
      </c>
      <c r="F7764" t="s">
        <v>29372</v>
      </c>
      <c r="G7764" t="s">
        <v>29380</v>
      </c>
      <c r="H7764" t="s">
        <v>11048</v>
      </c>
      <c r="I7764" t="s">
        <v>4709</v>
      </c>
      <c r="J7764" t="s">
        <v>34529</v>
      </c>
      <c r="K7764" t="s">
        <v>38487</v>
      </c>
      <c r="M7764" t="s">
        <v>41420</v>
      </c>
      <c r="N7764" t="s">
        <v>42669</v>
      </c>
      <c r="O7764" t="s">
        <v>42670</v>
      </c>
      <c r="P7764">
        <v>0</v>
      </c>
      <c r="Q7764">
        <v>2</v>
      </c>
      <c r="R7764" t="s">
        <v>42678</v>
      </c>
      <c r="S7764" t="s">
        <v>42866</v>
      </c>
      <c r="T7764" t="s">
        <v>44432</v>
      </c>
      <c r="U7764" t="s">
        <v>51175</v>
      </c>
      <c r="W7764" t="s">
        <v>41420</v>
      </c>
      <c r="X7764" t="s">
        <v>42679</v>
      </c>
    </row>
    <row r="7765" spans="1:24">
      <c r="A7765">
        <f>HYPERLINK("https://www.philgeps.gov.ph/GEPSNONPILOT/Tender/SplashBidNoticeAbstractUI.aspx?menuIndex=3&amp;refID=7182663&amp;Result=3","7182663")</f>
        <v>0</v>
      </c>
      <c r="B7765" t="s">
        <v>52</v>
      </c>
      <c r="C7765" t="s">
        <v>10950</v>
      </c>
      <c r="D7765" t="s">
        <v>17164</v>
      </c>
      <c r="E7765" t="s">
        <v>23945</v>
      </c>
      <c r="F7765" t="s">
        <v>29372</v>
      </c>
      <c r="G7765" t="s">
        <v>29379</v>
      </c>
      <c r="H7765" t="s">
        <v>11048</v>
      </c>
      <c r="I7765" t="s">
        <v>14920</v>
      </c>
      <c r="J7765" t="s">
        <v>34530</v>
      </c>
      <c r="K7765" t="s">
        <v>38522</v>
      </c>
      <c r="M7765" t="s">
        <v>40848</v>
      </c>
      <c r="N7765" t="s">
        <v>42669</v>
      </c>
      <c r="O7765" t="s">
        <v>42670</v>
      </c>
      <c r="Q7765">
        <v>2</v>
      </c>
      <c r="R7765" t="s">
        <v>42678</v>
      </c>
      <c r="S7765" t="s">
        <v>42902</v>
      </c>
      <c r="T7765" t="s">
        <v>44635</v>
      </c>
      <c r="U7765" t="s">
        <v>51176</v>
      </c>
      <c r="W7765" t="s">
        <v>40848</v>
      </c>
      <c r="X7765" t="s">
        <v>42679</v>
      </c>
    </row>
    <row r="7766" spans="1:24">
      <c r="A7766">
        <f>HYPERLINK("https://www.philgeps.gov.ph/GEPSNONPILOT/Tender/SplashBidNoticeAbstractUI.aspx?menuIndex=3&amp;refID=7182645&amp;Result=3","7182645")</f>
        <v>0</v>
      </c>
      <c r="B7766" t="s">
        <v>1247</v>
      </c>
      <c r="C7766" t="s">
        <v>10951</v>
      </c>
      <c r="D7766" t="s">
        <v>17154</v>
      </c>
      <c r="E7766" t="s">
        <v>23946</v>
      </c>
      <c r="F7766" t="s">
        <v>29372</v>
      </c>
      <c r="G7766" t="s">
        <v>29380</v>
      </c>
      <c r="H7766" t="s">
        <v>11048</v>
      </c>
      <c r="I7766" t="s">
        <v>4487</v>
      </c>
      <c r="J7766" t="s">
        <v>34531</v>
      </c>
      <c r="K7766" t="s">
        <v>38491</v>
      </c>
      <c r="M7766" t="s">
        <v>40072</v>
      </c>
      <c r="N7766" t="s">
        <v>42669</v>
      </c>
      <c r="O7766" t="s">
        <v>42670</v>
      </c>
      <c r="P7766">
        <v>0</v>
      </c>
      <c r="Q7766">
        <v>4</v>
      </c>
      <c r="R7766" t="s">
        <v>42678</v>
      </c>
      <c r="S7766" t="s">
        <v>42866</v>
      </c>
      <c r="T7766" t="s">
        <v>44481</v>
      </c>
      <c r="U7766" t="s">
        <v>51177</v>
      </c>
      <c r="W7766" t="s">
        <v>40072</v>
      </c>
      <c r="X7766" t="s">
        <v>42679</v>
      </c>
    </row>
    <row r="7767" spans="1:24">
      <c r="A7767">
        <f>HYPERLINK("https://www.philgeps.gov.ph/GEPSNONPILOT/Tender/SplashBidNoticeAbstractUI.aspx?menuIndex=3&amp;refID=7182638&amp;Result=3","7182638")</f>
        <v>0</v>
      </c>
      <c r="B7767" t="s">
        <v>2442</v>
      </c>
      <c r="C7767" t="s">
        <v>10952</v>
      </c>
      <c r="D7767" t="s">
        <v>17170</v>
      </c>
      <c r="E7767" t="s">
        <v>23947</v>
      </c>
      <c r="F7767" t="s">
        <v>29373</v>
      </c>
      <c r="G7767" t="s">
        <v>29381</v>
      </c>
      <c r="H7767" t="s">
        <v>11048</v>
      </c>
      <c r="I7767" t="s">
        <v>3670</v>
      </c>
      <c r="J7767" t="s">
        <v>34532</v>
      </c>
      <c r="K7767" t="s">
        <v>38490</v>
      </c>
      <c r="M7767" t="s">
        <v>41390</v>
      </c>
      <c r="N7767" t="s">
        <v>42669</v>
      </c>
      <c r="O7767" t="s">
        <v>42670</v>
      </c>
      <c r="P7767">
        <v>0</v>
      </c>
      <c r="Q7767">
        <v>0</v>
      </c>
      <c r="R7767" t="s">
        <v>42678</v>
      </c>
      <c r="S7767" t="s">
        <v>42866</v>
      </c>
      <c r="T7767" t="s">
        <v>44493</v>
      </c>
      <c r="U7767" t="s">
        <v>51178</v>
      </c>
      <c r="W7767" t="s">
        <v>41390</v>
      </c>
      <c r="X7767" t="s">
        <v>42679</v>
      </c>
    </row>
    <row r="7768" spans="1:24">
      <c r="A7768">
        <f>HYPERLINK("https://www.philgeps.gov.ph/GEPSNONPILOT/Tender/SplashBidNoticeAbstractUI.aspx?menuIndex=3&amp;refID=7182666&amp;Result=3","7182666")</f>
        <v>0</v>
      </c>
      <c r="B7768" t="s">
        <v>264</v>
      </c>
      <c r="C7768" t="s">
        <v>10953</v>
      </c>
      <c r="D7768" t="s">
        <v>17141</v>
      </c>
      <c r="E7768" t="s">
        <v>23948</v>
      </c>
      <c r="F7768" t="s">
        <v>29372</v>
      </c>
      <c r="G7768" t="s">
        <v>29380</v>
      </c>
      <c r="H7768" t="s">
        <v>11048</v>
      </c>
      <c r="I7768" t="s">
        <v>29400</v>
      </c>
      <c r="J7768" t="s">
        <v>29829</v>
      </c>
      <c r="K7768" t="s">
        <v>38496</v>
      </c>
      <c r="M7768" t="s">
        <v>39023</v>
      </c>
      <c r="N7768" t="s">
        <v>42669</v>
      </c>
      <c r="O7768" t="s">
        <v>42670</v>
      </c>
      <c r="P7768">
        <v>0</v>
      </c>
      <c r="Q7768">
        <v>24</v>
      </c>
      <c r="R7768" t="s">
        <v>42678</v>
      </c>
      <c r="S7768" t="s">
        <v>42866</v>
      </c>
      <c r="T7768" t="s">
        <v>44415</v>
      </c>
      <c r="U7768" t="s">
        <v>51179</v>
      </c>
      <c r="W7768" t="s">
        <v>39023</v>
      </c>
      <c r="X7768" t="s">
        <v>42679</v>
      </c>
    </row>
    <row r="7769" spans="1:24">
      <c r="A7769">
        <f>HYPERLINK("https://www.philgeps.gov.ph/GEPSNONPILOT/Tender/SplashBidNoticeAbstractUI.aspx?menuIndex=3&amp;refID=7182636&amp;Result=3","7182636")</f>
        <v>0</v>
      </c>
      <c r="B7769" t="s">
        <v>2472</v>
      </c>
      <c r="C7769" t="s">
        <v>10954</v>
      </c>
      <c r="D7769" t="s">
        <v>17169</v>
      </c>
      <c r="E7769" t="s">
        <v>23771</v>
      </c>
      <c r="F7769" t="s">
        <v>29372</v>
      </c>
      <c r="G7769" t="s">
        <v>29380</v>
      </c>
      <c r="H7769" t="s">
        <v>11048</v>
      </c>
      <c r="I7769" t="s">
        <v>8614</v>
      </c>
      <c r="J7769" t="s">
        <v>29604</v>
      </c>
      <c r="K7769" t="s">
        <v>38510</v>
      </c>
      <c r="M7769" t="s">
        <v>41421</v>
      </c>
      <c r="N7769" t="s">
        <v>42669</v>
      </c>
      <c r="O7769" t="s">
        <v>42670</v>
      </c>
      <c r="P7769">
        <v>0</v>
      </c>
      <c r="Q7769">
        <v>2</v>
      </c>
      <c r="R7769" t="s">
        <v>42678</v>
      </c>
      <c r="S7769" t="s">
        <v>42866</v>
      </c>
      <c r="T7769" t="s">
        <v>44491</v>
      </c>
      <c r="U7769" t="s">
        <v>51180</v>
      </c>
      <c r="W7769" t="s">
        <v>41421</v>
      </c>
      <c r="X7769" t="s">
        <v>42679</v>
      </c>
    </row>
    <row r="7770" spans="1:24">
      <c r="A7770">
        <f>HYPERLINK("https://www.philgeps.gov.ph/GEPSNONPILOT/Tender/SplashBidNoticeAbstractUI.aspx?menuIndex=3&amp;refID=7182744&amp;Result=3","7182744")</f>
        <v>0</v>
      </c>
      <c r="B7770" t="s">
        <v>63</v>
      </c>
      <c r="C7770" t="s">
        <v>10955</v>
      </c>
      <c r="D7770" t="s">
        <v>17161</v>
      </c>
      <c r="E7770" t="s">
        <v>23949</v>
      </c>
      <c r="F7770" t="s">
        <v>29372</v>
      </c>
      <c r="G7770" t="s">
        <v>29379</v>
      </c>
      <c r="H7770" t="s">
        <v>11048</v>
      </c>
      <c r="I7770" t="s">
        <v>9642</v>
      </c>
      <c r="J7770" t="s">
        <v>29580</v>
      </c>
      <c r="K7770" t="s">
        <v>38490</v>
      </c>
      <c r="M7770" t="s">
        <v>38817</v>
      </c>
      <c r="N7770" t="s">
        <v>42669</v>
      </c>
      <c r="O7770" t="s">
        <v>42670</v>
      </c>
      <c r="P7770">
        <v>0</v>
      </c>
      <c r="Q7770">
        <v>3</v>
      </c>
      <c r="R7770" t="s">
        <v>42678</v>
      </c>
      <c r="S7770" t="s">
        <v>42866</v>
      </c>
      <c r="T7770" t="s">
        <v>44570</v>
      </c>
      <c r="U7770" t="s">
        <v>51181</v>
      </c>
      <c r="W7770" t="s">
        <v>38817</v>
      </c>
      <c r="X7770" t="s">
        <v>42679</v>
      </c>
    </row>
    <row r="7771" spans="1:24">
      <c r="A7771">
        <f>HYPERLINK("https://www.philgeps.gov.ph/GEPSNONPILOT/Tender/SplashBidNoticeAbstractUI.aspx?menuIndex=3&amp;refID=7182650&amp;Result=3","7182650")</f>
        <v>0</v>
      </c>
      <c r="B7771" t="s">
        <v>2373</v>
      </c>
      <c r="C7771" t="s">
        <v>10956</v>
      </c>
      <c r="D7771" t="s">
        <v>17172</v>
      </c>
      <c r="E7771" t="s">
        <v>23630</v>
      </c>
      <c r="F7771" t="s">
        <v>29373</v>
      </c>
      <c r="G7771" t="s">
        <v>29380</v>
      </c>
      <c r="H7771" t="s">
        <v>11048</v>
      </c>
      <c r="I7771" t="s">
        <v>10408</v>
      </c>
      <c r="J7771" t="s">
        <v>30704</v>
      </c>
      <c r="K7771" t="s">
        <v>38558</v>
      </c>
      <c r="L7771" t="s">
        <v>2373</v>
      </c>
      <c r="M7771" t="s">
        <v>41314</v>
      </c>
      <c r="N7771" t="s">
        <v>42669</v>
      </c>
      <c r="O7771" t="s">
        <v>42670</v>
      </c>
      <c r="P7771">
        <v>0</v>
      </c>
      <c r="Q7771">
        <v>0</v>
      </c>
      <c r="R7771" t="s">
        <v>42678</v>
      </c>
      <c r="S7771" t="s">
        <v>42866</v>
      </c>
      <c r="T7771" t="s">
        <v>44355</v>
      </c>
      <c r="U7771" t="s">
        <v>51182</v>
      </c>
      <c r="W7771" t="s">
        <v>41314</v>
      </c>
      <c r="X7771" t="s">
        <v>42679</v>
      </c>
    </row>
    <row r="7772" spans="1:24">
      <c r="A7772">
        <f>HYPERLINK("https://www.philgeps.gov.ph/GEPSNONPILOT/Tender/SplashBidNoticeAbstractUI.aspx?menuIndex=3&amp;refID=7182738&amp;Result=3","7182738")</f>
        <v>0</v>
      </c>
      <c r="B7772" t="s">
        <v>1499</v>
      </c>
      <c r="C7772" t="s">
        <v>10957</v>
      </c>
      <c r="D7772" t="s">
        <v>17231</v>
      </c>
      <c r="E7772" t="s">
        <v>23950</v>
      </c>
      <c r="F7772" t="s">
        <v>29372</v>
      </c>
      <c r="G7772" t="s">
        <v>29380</v>
      </c>
      <c r="H7772" t="s">
        <v>11048</v>
      </c>
      <c r="I7772" t="s">
        <v>3670</v>
      </c>
      <c r="J7772" t="s">
        <v>34533</v>
      </c>
      <c r="K7772" t="s">
        <v>38496</v>
      </c>
      <c r="M7772" t="s">
        <v>40343</v>
      </c>
      <c r="N7772" t="s">
        <v>42669</v>
      </c>
      <c r="O7772" t="s">
        <v>42670</v>
      </c>
      <c r="P7772">
        <v>0</v>
      </c>
      <c r="Q7772">
        <v>1</v>
      </c>
      <c r="R7772" t="s">
        <v>42678</v>
      </c>
      <c r="S7772" t="s">
        <v>42866</v>
      </c>
      <c r="T7772" t="s">
        <v>44488</v>
      </c>
      <c r="U7772" t="s">
        <v>51183</v>
      </c>
      <c r="W7772" t="s">
        <v>40343</v>
      </c>
      <c r="X7772" t="s">
        <v>42679</v>
      </c>
    </row>
    <row r="7773" spans="1:24">
      <c r="A7773">
        <f>HYPERLINK("https://www.philgeps.gov.ph/GEPSNONPILOT/Tender/SplashBidNoticeAbstractUI.aspx?menuIndex=3&amp;refID=7182734&amp;Result=3","7182734")</f>
        <v>0</v>
      </c>
      <c r="B7773" t="s">
        <v>719</v>
      </c>
      <c r="C7773" t="s">
        <v>10958</v>
      </c>
      <c r="D7773" t="s">
        <v>17170</v>
      </c>
      <c r="E7773" t="s">
        <v>23951</v>
      </c>
      <c r="F7773" t="s">
        <v>29373</v>
      </c>
      <c r="G7773" t="s">
        <v>29380</v>
      </c>
      <c r="H7773" t="s">
        <v>11048</v>
      </c>
      <c r="I7773" t="s">
        <v>4487</v>
      </c>
      <c r="J7773" t="s">
        <v>34534</v>
      </c>
      <c r="K7773" t="s">
        <v>38485</v>
      </c>
      <c r="M7773" t="s">
        <v>41086</v>
      </c>
      <c r="N7773" t="s">
        <v>42669</v>
      </c>
      <c r="O7773" t="s">
        <v>42670</v>
      </c>
      <c r="P7773">
        <v>0</v>
      </c>
      <c r="Q7773">
        <v>8</v>
      </c>
      <c r="R7773" t="s">
        <v>42678</v>
      </c>
      <c r="S7773" t="s">
        <v>42866</v>
      </c>
      <c r="T7773" t="s">
        <v>44450</v>
      </c>
      <c r="U7773" t="s">
        <v>51184</v>
      </c>
      <c r="W7773" t="s">
        <v>41086</v>
      </c>
      <c r="X7773" t="s">
        <v>42679</v>
      </c>
    </row>
    <row r="7774" spans="1:24">
      <c r="A7774">
        <f>HYPERLINK("https://www.philgeps.gov.ph/GEPSNONPILOT/Tender/SplashBidNoticeAbstractUI.aspx?menuIndex=3&amp;refID=7182752&amp;Result=3","7182752")</f>
        <v>0</v>
      </c>
      <c r="B7774" t="s">
        <v>1195</v>
      </c>
      <c r="C7774" t="s">
        <v>10959</v>
      </c>
      <c r="D7774" t="s">
        <v>17169</v>
      </c>
      <c r="E7774" t="s">
        <v>23952</v>
      </c>
      <c r="F7774" t="s">
        <v>29372</v>
      </c>
      <c r="G7774" t="s">
        <v>29380</v>
      </c>
      <c r="H7774" t="s">
        <v>11048</v>
      </c>
      <c r="I7774" t="s">
        <v>29458</v>
      </c>
      <c r="J7774" t="s">
        <v>34535</v>
      </c>
      <c r="K7774" t="s">
        <v>38490</v>
      </c>
      <c r="M7774" t="s">
        <v>40034</v>
      </c>
      <c r="N7774" t="s">
        <v>42669</v>
      </c>
      <c r="O7774" t="s">
        <v>42670</v>
      </c>
      <c r="P7774">
        <v>0</v>
      </c>
      <c r="Q7774">
        <v>1</v>
      </c>
      <c r="R7774" t="s">
        <v>42678</v>
      </c>
      <c r="S7774" t="s">
        <v>42866</v>
      </c>
      <c r="T7774" t="s">
        <v>44580</v>
      </c>
      <c r="U7774" t="s">
        <v>51185</v>
      </c>
      <c r="W7774" t="s">
        <v>40012</v>
      </c>
      <c r="X7774" t="s">
        <v>42679</v>
      </c>
    </row>
    <row r="7775" spans="1:24">
      <c r="A7775">
        <f>HYPERLINK("https://www.philgeps.gov.ph/GEPSNONPILOT/Tender/SplashBidNoticeAbstractUI.aspx?menuIndex=3&amp;refID=7182641&amp;Result=3","7182641")</f>
        <v>0</v>
      </c>
      <c r="B7775" t="s">
        <v>1081</v>
      </c>
      <c r="C7775" t="s">
        <v>10960</v>
      </c>
      <c r="D7775" t="s">
        <v>17141</v>
      </c>
      <c r="E7775" t="s">
        <v>19714</v>
      </c>
      <c r="F7775" t="s">
        <v>29372</v>
      </c>
      <c r="G7775" t="s">
        <v>29380</v>
      </c>
      <c r="H7775" t="s">
        <v>11048</v>
      </c>
      <c r="I7775" t="s">
        <v>3670</v>
      </c>
      <c r="J7775" t="s">
        <v>29532</v>
      </c>
      <c r="K7775" t="s">
        <v>38489</v>
      </c>
      <c r="M7775" t="s">
        <v>39888</v>
      </c>
      <c r="N7775" t="s">
        <v>42669</v>
      </c>
      <c r="O7775" t="s">
        <v>42670</v>
      </c>
      <c r="P7775">
        <v>0</v>
      </c>
      <c r="Q7775">
        <v>3</v>
      </c>
      <c r="R7775" t="s">
        <v>42678</v>
      </c>
      <c r="S7775" t="s">
        <v>42866</v>
      </c>
      <c r="T7775" t="s">
        <v>44401</v>
      </c>
      <c r="U7775" t="s">
        <v>51186</v>
      </c>
      <c r="W7775" t="s">
        <v>39888</v>
      </c>
      <c r="X7775" t="s">
        <v>42679</v>
      </c>
    </row>
    <row r="7776" spans="1:24">
      <c r="A7776">
        <f>HYPERLINK("https://www.philgeps.gov.ph/GEPSNONPILOT/Tender/SplashBidNoticeAbstractUI.aspx?menuIndex=3&amp;refID=7182721&amp;Result=3","7182721")</f>
        <v>0</v>
      </c>
      <c r="B7776" t="s">
        <v>2409</v>
      </c>
      <c r="C7776" t="s">
        <v>10961</v>
      </c>
      <c r="D7776" t="s">
        <v>17153</v>
      </c>
      <c r="E7776" t="s">
        <v>23953</v>
      </c>
      <c r="F7776" t="s">
        <v>29372</v>
      </c>
      <c r="G7776" t="s">
        <v>29380</v>
      </c>
      <c r="H7776" t="s">
        <v>11048</v>
      </c>
      <c r="I7776" t="s">
        <v>29457</v>
      </c>
      <c r="J7776" t="s">
        <v>29526</v>
      </c>
      <c r="K7776" t="s">
        <v>38537</v>
      </c>
      <c r="L7776" t="s">
        <v>2409</v>
      </c>
      <c r="M7776" t="s">
        <v>41355</v>
      </c>
      <c r="N7776" t="s">
        <v>42669</v>
      </c>
      <c r="O7776" t="s">
        <v>42670</v>
      </c>
      <c r="P7776">
        <v>0</v>
      </c>
      <c r="Q7776">
        <v>1</v>
      </c>
      <c r="R7776" t="s">
        <v>42678</v>
      </c>
      <c r="S7776" t="s">
        <v>42866</v>
      </c>
      <c r="T7776" t="s">
        <v>44557</v>
      </c>
      <c r="U7776" t="s">
        <v>51187</v>
      </c>
      <c r="W7776" t="s">
        <v>41355</v>
      </c>
      <c r="X7776" t="s">
        <v>42679</v>
      </c>
    </row>
    <row r="7777" spans="1:24">
      <c r="A7777">
        <f>HYPERLINK("https://www.philgeps.gov.ph/GEPSNONPILOT/Tender/SplashBidNoticeAbstractUI.aspx?menuIndex=3&amp;refID=7182732&amp;Result=3","7182732")</f>
        <v>0</v>
      </c>
      <c r="B7777" t="s">
        <v>1740</v>
      </c>
      <c r="C7777" t="s">
        <v>10962</v>
      </c>
      <c r="D7777" t="s">
        <v>17196</v>
      </c>
      <c r="E7777" t="s">
        <v>23954</v>
      </c>
      <c r="F7777" t="s">
        <v>29372</v>
      </c>
      <c r="G7777" t="s">
        <v>29383</v>
      </c>
      <c r="H7777" t="s">
        <v>11048</v>
      </c>
      <c r="I7777" t="s">
        <v>29395</v>
      </c>
      <c r="J7777" t="s">
        <v>34536</v>
      </c>
      <c r="K7777" t="s">
        <v>38490</v>
      </c>
      <c r="M7777" t="s">
        <v>40605</v>
      </c>
      <c r="N7777" t="s">
        <v>42669</v>
      </c>
      <c r="O7777" t="s">
        <v>42670</v>
      </c>
      <c r="P7777">
        <v>0</v>
      </c>
      <c r="Q7777">
        <v>1</v>
      </c>
      <c r="R7777" t="s">
        <v>42678</v>
      </c>
      <c r="S7777" t="s">
        <v>42866</v>
      </c>
      <c r="T7777" t="s">
        <v>44488</v>
      </c>
      <c r="U7777" t="s">
        <v>48773</v>
      </c>
      <c r="W7777" t="s">
        <v>58053</v>
      </c>
      <c r="X7777" t="s">
        <v>42679</v>
      </c>
    </row>
    <row r="7778" spans="1:24">
      <c r="A7778">
        <f>HYPERLINK("https://www.philgeps.gov.ph/GEPSNONPILOT/Tender/SplashBidNoticeAbstractUI.aspx?menuIndex=3&amp;refID=7182727&amp;Result=3","7182727")</f>
        <v>0</v>
      </c>
      <c r="B7778" t="s">
        <v>2453</v>
      </c>
      <c r="C7778" t="s">
        <v>10963</v>
      </c>
      <c r="D7778" t="s">
        <v>17216</v>
      </c>
      <c r="E7778" t="s">
        <v>23955</v>
      </c>
      <c r="F7778" t="s">
        <v>29372</v>
      </c>
      <c r="G7778" t="s">
        <v>29380</v>
      </c>
      <c r="H7778" t="s">
        <v>11048</v>
      </c>
      <c r="I7778" t="s">
        <v>3839</v>
      </c>
      <c r="J7778" t="s">
        <v>34537</v>
      </c>
      <c r="K7778" t="s">
        <v>38510</v>
      </c>
      <c r="M7778" t="s">
        <v>41401</v>
      </c>
      <c r="N7778" t="s">
        <v>42669</v>
      </c>
      <c r="O7778" t="s">
        <v>42670</v>
      </c>
      <c r="P7778">
        <v>0</v>
      </c>
      <c r="Q7778">
        <v>6</v>
      </c>
      <c r="R7778" t="s">
        <v>42678</v>
      </c>
      <c r="S7778" t="s">
        <v>42866</v>
      </c>
      <c r="T7778" t="s">
        <v>44450</v>
      </c>
      <c r="U7778" t="s">
        <v>51114</v>
      </c>
      <c r="W7778" t="s">
        <v>41401</v>
      </c>
      <c r="X7778" t="s">
        <v>42679</v>
      </c>
    </row>
    <row r="7779" spans="1:24">
      <c r="A7779">
        <f>HYPERLINK("https://www.philgeps.gov.ph/GEPSNONPILOT/Tender/SplashBidNoticeAbstractUI.aspx?menuIndex=3&amp;refID=7182743&amp;Result=3","7182743")</f>
        <v>0</v>
      </c>
      <c r="B7779" t="s">
        <v>508</v>
      </c>
      <c r="C7779" t="s">
        <v>10964</v>
      </c>
      <c r="D7779" t="s">
        <v>17188</v>
      </c>
      <c r="E7779" t="s">
        <v>23786</v>
      </c>
      <c r="F7779" t="s">
        <v>29372</v>
      </c>
      <c r="G7779" t="s">
        <v>29380</v>
      </c>
      <c r="H7779" t="s">
        <v>11048</v>
      </c>
      <c r="I7779" t="s">
        <v>3670</v>
      </c>
      <c r="J7779" t="s">
        <v>34538</v>
      </c>
      <c r="K7779" t="s">
        <v>38490</v>
      </c>
      <c r="M7779" t="s">
        <v>41360</v>
      </c>
      <c r="N7779" t="s">
        <v>42669</v>
      </c>
      <c r="O7779" t="s">
        <v>42670</v>
      </c>
      <c r="P7779">
        <v>0</v>
      </c>
      <c r="Q7779">
        <v>1</v>
      </c>
      <c r="R7779" t="s">
        <v>42678</v>
      </c>
      <c r="S7779" t="s">
        <v>42866</v>
      </c>
      <c r="T7779" t="s">
        <v>44539</v>
      </c>
      <c r="U7779" t="s">
        <v>51001</v>
      </c>
      <c r="V7779" t="s">
        <v>57193</v>
      </c>
      <c r="W7779" t="s">
        <v>41360</v>
      </c>
      <c r="X7779" t="s">
        <v>42679</v>
      </c>
    </row>
    <row r="7780" spans="1:24">
      <c r="A7780">
        <f>HYPERLINK("https://www.philgeps.gov.ph/GEPSNONPILOT/Tender/SplashBidNoticeAbstractUI.aspx?menuIndex=3&amp;refID=7182713&amp;Result=3","7182713")</f>
        <v>0</v>
      </c>
      <c r="B7780" t="s">
        <v>2470</v>
      </c>
      <c r="C7780" t="s">
        <v>10965</v>
      </c>
      <c r="D7780" t="s">
        <v>17199</v>
      </c>
      <c r="E7780" t="s">
        <v>23956</v>
      </c>
      <c r="F7780" t="s">
        <v>29372</v>
      </c>
      <c r="G7780" t="s">
        <v>29379</v>
      </c>
      <c r="H7780" t="s">
        <v>11048</v>
      </c>
      <c r="I7780" t="s">
        <v>29423</v>
      </c>
      <c r="J7780" t="s">
        <v>34539</v>
      </c>
      <c r="K7780" t="s">
        <v>38490</v>
      </c>
      <c r="M7780" t="s">
        <v>41419</v>
      </c>
      <c r="N7780" t="s">
        <v>42669</v>
      </c>
      <c r="O7780" t="s">
        <v>42670</v>
      </c>
      <c r="P7780">
        <v>0</v>
      </c>
      <c r="Q7780">
        <v>0</v>
      </c>
      <c r="R7780" t="s">
        <v>42678</v>
      </c>
      <c r="S7780" t="s">
        <v>42866</v>
      </c>
      <c r="T7780" t="s">
        <v>44493</v>
      </c>
      <c r="U7780" t="s">
        <v>51188</v>
      </c>
      <c r="W7780" t="s">
        <v>41419</v>
      </c>
      <c r="X7780" t="s">
        <v>42679</v>
      </c>
    </row>
    <row r="7781" spans="1:24">
      <c r="A7781">
        <f>HYPERLINK("https://www.philgeps.gov.ph/GEPSNONPILOT/Tender/SplashBidNoticeAbstractUI.aspx?menuIndex=3&amp;refID=7182703&amp;Result=3","7182703")</f>
        <v>0</v>
      </c>
      <c r="B7781" t="s">
        <v>52</v>
      </c>
      <c r="C7781" t="s">
        <v>10966</v>
      </c>
      <c r="D7781" t="s">
        <v>17164</v>
      </c>
      <c r="E7781" t="s">
        <v>23957</v>
      </c>
      <c r="F7781" t="s">
        <v>29372</v>
      </c>
      <c r="G7781" t="s">
        <v>29379</v>
      </c>
      <c r="H7781" t="s">
        <v>11048</v>
      </c>
      <c r="I7781" t="s">
        <v>14920</v>
      </c>
      <c r="J7781" t="s">
        <v>32952</v>
      </c>
      <c r="K7781" t="s">
        <v>38522</v>
      </c>
      <c r="M7781" t="s">
        <v>40848</v>
      </c>
      <c r="N7781" t="s">
        <v>42669</v>
      </c>
      <c r="O7781" t="s">
        <v>42670</v>
      </c>
      <c r="Q7781">
        <v>0</v>
      </c>
      <c r="R7781" t="s">
        <v>42678</v>
      </c>
      <c r="S7781" t="s">
        <v>42903</v>
      </c>
      <c r="T7781" t="s">
        <v>44635</v>
      </c>
      <c r="U7781" t="s">
        <v>51189</v>
      </c>
      <c r="W7781" t="s">
        <v>40848</v>
      </c>
      <c r="X7781" t="s">
        <v>42679</v>
      </c>
    </row>
    <row r="7782" spans="1:24">
      <c r="A7782">
        <f>HYPERLINK("https://www.philgeps.gov.ph/GEPSNONPILOT/Tender/SplashBidNoticeAbstractUI.aspx?menuIndex=3&amp;refID=7182726&amp;Result=3","7182726")</f>
        <v>0</v>
      </c>
      <c r="B7782" t="s">
        <v>2473</v>
      </c>
      <c r="C7782" t="s">
        <v>10967</v>
      </c>
      <c r="D7782" t="s">
        <v>17141</v>
      </c>
      <c r="E7782" t="s">
        <v>17994</v>
      </c>
      <c r="F7782" t="s">
        <v>29372</v>
      </c>
      <c r="G7782" t="s">
        <v>29380</v>
      </c>
      <c r="H7782" t="s">
        <v>11048</v>
      </c>
      <c r="I7782" t="s">
        <v>29426</v>
      </c>
      <c r="J7782" t="s">
        <v>29988</v>
      </c>
      <c r="K7782" t="s">
        <v>38491</v>
      </c>
      <c r="M7782" t="s">
        <v>41422</v>
      </c>
      <c r="N7782" t="s">
        <v>42669</v>
      </c>
      <c r="O7782" t="s">
        <v>42670</v>
      </c>
      <c r="P7782">
        <v>0</v>
      </c>
      <c r="Q7782">
        <v>4</v>
      </c>
      <c r="R7782" t="s">
        <v>42678</v>
      </c>
      <c r="S7782" t="s">
        <v>42866</v>
      </c>
      <c r="T7782" t="s">
        <v>44432</v>
      </c>
      <c r="U7782" t="s">
        <v>51190</v>
      </c>
      <c r="W7782" t="s">
        <v>41422</v>
      </c>
      <c r="X7782" t="s">
        <v>42679</v>
      </c>
    </row>
    <row r="7783" spans="1:24">
      <c r="A7783">
        <f>HYPERLINK("https://www.philgeps.gov.ph/GEPSNONPILOT/Tender/SplashBidNoticeAbstractUI.aspx?menuIndex=3&amp;refID=7182665&amp;Result=3","7182665")</f>
        <v>0</v>
      </c>
      <c r="B7783" t="s">
        <v>1426</v>
      </c>
      <c r="C7783" t="s">
        <v>10968</v>
      </c>
      <c r="D7783" t="s">
        <v>17189</v>
      </c>
      <c r="E7783" t="s">
        <v>23958</v>
      </c>
      <c r="F7783" t="s">
        <v>29372</v>
      </c>
      <c r="G7783" t="s">
        <v>29379</v>
      </c>
      <c r="H7783" t="s">
        <v>11048</v>
      </c>
      <c r="I7783" t="s">
        <v>4709</v>
      </c>
      <c r="J7783" t="s">
        <v>34540</v>
      </c>
      <c r="K7783" t="s">
        <v>38510</v>
      </c>
      <c r="M7783" t="s">
        <v>40266</v>
      </c>
      <c r="N7783" t="s">
        <v>42669</v>
      </c>
      <c r="O7783" t="s">
        <v>42670</v>
      </c>
      <c r="P7783">
        <v>0</v>
      </c>
      <c r="Q7783">
        <v>0</v>
      </c>
      <c r="R7783" t="s">
        <v>42678</v>
      </c>
      <c r="S7783" t="s">
        <v>42866</v>
      </c>
      <c r="T7783" t="s">
        <v>44512</v>
      </c>
      <c r="U7783" t="s">
        <v>48050</v>
      </c>
      <c r="W7783" t="s">
        <v>40266</v>
      </c>
      <c r="X7783" t="s">
        <v>42679</v>
      </c>
    </row>
    <row r="7784" spans="1:24">
      <c r="A7784">
        <f>HYPERLINK("https://www.philgeps.gov.ph/GEPSNONPILOT/Tender/SplashBidNoticeAbstractUI.aspx?menuIndex=3&amp;refID=7182700&amp;Result=3","7182700")</f>
        <v>0</v>
      </c>
      <c r="B7784" t="s">
        <v>63</v>
      </c>
      <c r="C7784" t="s">
        <v>10969</v>
      </c>
      <c r="D7784" t="s">
        <v>17161</v>
      </c>
      <c r="E7784" t="s">
        <v>23959</v>
      </c>
      <c r="F7784" t="s">
        <v>29372</v>
      </c>
      <c r="G7784" t="s">
        <v>29379</v>
      </c>
      <c r="H7784" t="s">
        <v>11048</v>
      </c>
      <c r="I7784" t="s">
        <v>29433</v>
      </c>
      <c r="J7784" t="s">
        <v>34541</v>
      </c>
      <c r="K7784" t="s">
        <v>38490</v>
      </c>
      <c r="M7784" t="s">
        <v>38817</v>
      </c>
      <c r="N7784" t="s">
        <v>42669</v>
      </c>
      <c r="O7784" t="s">
        <v>42670</v>
      </c>
      <c r="P7784">
        <v>0</v>
      </c>
      <c r="Q7784">
        <v>9</v>
      </c>
      <c r="R7784" t="s">
        <v>42678</v>
      </c>
      <c r="S7784" t="s">
        <v>42866</v>
      </c>
      <c r="T7784" t="s">
        <v>44570</v>
      </c>
      <c r="U7784" t="s">
        <v>51181</v>
      </c>
      <c r="W7784" t="s">
        <v>38817</v>
      </c>
      <c r="X7784" t="s">
        <v>42679</v>
      </c>
    </row>
    <row r="7785" spans="1:24">
      <c r="A7785">
        <f>HYPERLINK("https://www.philgeps.gov.ph/GEPSNONPILOT/Tender/SplashBidNoticeAbstractUI.aspx?menuIndex=3&amp;refID=7182718&amp;Result=3","7182718")</f>
        <v>0</v>
      </c>
      <c r="B7785" t="s">
        <v>2388</v>
      </c>
      <c r="C7785" t="s">
        <v>10970</v>
      </c>
      <c r="D7785" t="s">
        <v>17185</v>
      </c>
      <c r="E7785" t="s">
        <v>23697</v>
      </c>
      <c r="F7785" t="s">
        <v>29372</v>
      </c>
      <c r="G7785" t="s">
        <v>29380</v>
      </c>
      <c r="H7785" t="s">
        <v>11048</v>
      </c>
      <c r="I7785" t="s">
        <v>8614</v>
      </c>
      <c r="J7785" t="s">
        <v>34542</v>
      </c>
      <c r="K7785" t="s">
        <v>38485</v>
      </c>
      <c r="M7785" t="s">
        <v>41333</v>
      </c>
      <c r="N7785" t="s">
        <v>42669</v>
      </c>
      <c r="O7785" t="s">
        <v>42670</v>
      </c>
      <c r="P7785">
        <v>0</v>
      </c>
      <c r="Q7785">
        <v>11</v>
      </c>
      <c r="R7785" t="s">
        <v>42678</v>
      </c>
      <c r="S7785" t="s">
        <v>42866</v>
      </c>
      <c r="T7785" t="s">
        <v>44442</v>
      </c>
      <c r="U7785" t="s">
        <v>51191</v>
      </c>
      <c r="W7785" t="s">
        <v>41333</v>
      </c>
      <c r="X7785" t="s">
        <v>42679</v>
      </c>
    </row>
    <row r="7786" spans="1:24">
      <c r="A7786">
        <f>HYPERLINK("https://www.philgeps.gov.ph/GEPSNONPILOT/Tender/SplashBidNoticeAbstractUI.aspx?menuIndex=3&amp;refID=7182756&amp;Result=3","7182756")</f>
        <v>0</v>
      </c>
      <c r="B7786" t="s">
        <v>2474</v>
      </c>
      <c r="C7786" t="s">
        <v>10971</v>
      </c>
      <c r="D7786" t="s">
        <v>17177</v>
      </c>
      <c r="E7786" t="s">
        <v>23960</v>
      </c>
      <c r="F7786" t="s">
        <v>29372</v>
      </c>
      <c r="G7786" t="s">
        <v>29380</v>
      </c>
      <c r="H7786" t="s">
        <v>11048</v>
      </c>
      <c r="I7786" t="s">
        <v>4709</v>
      </c>
      <c r="J7786" t="s">
        <v>34543</v>
      </c>
      <c r="K7786" t="s">
        <v>38510</v>
      </c>
      <c r="M7786" t="s">
        <v>41423</v>
      </c>
      <c r="N7786" t="s">
        <v>42669</v>
      </c>
      <c r="O7786" t="s">
        <v>42670</v>
      </c>
      <c r="P7786">
        <v>0</v>
      </c>
      <c r="Q7786">
        <v>0</v>
      </c>
      <c r="R7786" t="s">
        <v>42678</v>
      </c>
      <c r="S7786" t="s">
        <v>42866</v>
      </c>
      <c r="T7786" t="s">
        <v>44494</v>
      </c>
      <c r="U7786" t="s">
        <v>51192</v>
      </c>
      <c r="W7786" t="s">
        <v>41423</v>
      </c>
      <c r="X7786" t="s">
        <v>42679</v>
      </c>
    </row>
    <row r="7787" spans="1:24">
      <c r="A7787">
        <f>HYPERLINK("https://www.philgeps.gov.ph/GEPSNONPILOT/Tender/SplashBidNoticeAbstractUI.aspx?menuIndex=3&amp;refID=7182597&amp;Result=3","7182597")</f>
        <v>0</v>
      </c>
      <c r="B7787" t="s">
        <v>2475</v>
      </c>
      <c r="C7787" t="s">
        <v>10972</v>
      </c>
      <c r="D7787" t="s">
        <v>17188</v>
      </c>
      <c r="E7787" t="s">
        <v>19039</v>
      </c>
      <c r="F7787" t="s">
        <v>29372</v>
      </c>
      <c r="G7787" t="s">
        <v>29380</v>
      </c>
      <c r="H7787" t="s">
        <v>29389</v>
      </c>
      <c r="I7787" t="s">
        <v>10408</v>
      </c>
      <c r="J7787" t="s">
        <v>34544</v>
      </c>
      <c r="K7787" t="s">
        <v>38487</v>
      </c>
      <c r="M7787" t="s">
        <v>41424</v>
      </c>
      <c r="N7787" t="s">
        <v>42669</v>
      </c>
      <c r="O7787" t="s">
        <v>42670</v>
      </c>
      <c r="P7787">
        <v>0</v>
      </c>
      <c r="Q7787">
        <v>0</v>
      </c>
      <c r="R7787" t="s">
        <v>42678</v>
      </c>
      <c r="S7787" t="s">
        <v>42866</v>
      </c>
      <c r="T7787" t="s">
        <v>44375</v>
      </c>
      <c r="U7787" t="s">
        <v>51193</v>
      </c>
      <c r="W7787" t="s">
        <v>41424</v>
      </c>
      <c r="X7787" t="s">
        <v>42679</v>
      </c>
    </row>
    <row r="7788" spans="1:24">
      <c r="A7788">
        <f>HYPERLINK("https://www.philgeps.gov.ph/GEPSNONPILOT/Tender/SplashBidNoticeAbstractUI.aspx?menuIndex=3&amp;refID=7182780&amp;Result=3","7182780")</f>
        <v>0</v>
      </c>
      <c r="B7788" t="s">
        <v>1740</v>
      </c>
      <c r="C7788" t="s">
        <v>10973</v>
      </c>
      <c r="D7788" t="s">
        <v>17196</v>
      </c>
      <c r="E7788" t="s">
        <v>23961</v>
      </c>
      <c r="F7788" t="s">
        <v>29372</v>
      </c>
      <c r="G7788" t="s">
        <v>29383</v>
      </c>
      <c r="H7788" t="s">
        <v>11048</v>
      </c>
      <c r="I7788" t="s">
        <v>4709</v>
      </c>
      <c r="J7788" t="s">
        <v>34545</v>
      </c>
      <c r="K7788" t="s">
        <v>38490</v>
      </c>
      <c r="M7788" t="s">
        <v>40605</v>
      </c>
      <c r="N7788" t="s">
        <v>42669</v>
      </c>
      <c r="O7788" t="s">
        <v>42670</v>
      </c>
      <c r="P7788">
        <v>0</v>
      </c>
      <c r="Q7788">
        <v>1</v>
      </c>
      <c r="R7788" t="s">
        <v>42678</v>
      </c>
      <c r="S7788" t="s">
        <v>42866</v>
      </c>
      <c r="T7788" t="s">
        <v>44488</v>
      </c>
      <c r="U7788" t="s">
        <v>48773</v>
      </c>
      <c r="W7788" t="s">
        <v>58053</v>
      </c>
      <c r="X7788" t="s">
        <v>42679</v>
      </c>
    </row>
    <row r="7789" spans="1:24">
      <c r="A7789">
        <f>HYPERLINK("https://www.philgeps.gov.ph/GEPSNONPILOT/Tender/SplashBidNoticeAbstractUI.aspx?menuIndex=3&amp;refID=7182712&amp;Result=3","7182712")</f>
        <v>0</v>
      </c>
      <c r="B7789" t="s">
        <v>2456</v>
      </c>
      <c r="C7789" t="s">
        <v>10974</v>
      </c>
      <c r="D7789" t="s">
        <v>17188</v>
      </c>
      <c r="E7789" t="s">
        <v>23962</v>
      </c>
      <c r="F7789" t="s">
        <v>29372</v>
      </c>
      <c r="G7789" t="s">
        <v>29380</v>
      </c>
      <c r="H7789" t="s">
        <v>11048</v>
      </c>
      <c r="I7789" t="s">
        <v>9469</v>
      </c>
      <c r="J7789" t="s">
        <v>30056</v>
      </c>
      <c r="K7789" t="s">
        <v>38496</v>
      </c>
      <c r="M7789" t="s">
        <v>41404</v>
      </c>
      <c r="N7789" t="s">
        <v>42669</v>
      </c>
      <c r="O7789" t="s">
        <v>42670</v>
      </c>
      <c r="P7789">
        <v>0</v>
      </c>
      <c r="Q7789">
        <v>4</v>
      </c>
      <c r="R7789" t="s">
        <v>42678</v>
      </c>
      <c r="S7789" t="s">
        <v>42866</v>
      </c>
      <c r="T7789" t="s">
        <v>44446</v>
      </c>
      <c r="U7789" t="s">
        <v>51194</v>
      </c>
      <c r="W7789" t="s">
        <v>41404</v>
      </c>
      <c r="X7789" t="s">
        <v>42679</v>
      </c>
    </row>
    <row r="7790" spans="1:24">
      <c r="A7790">
        <f>HYPERLINK("https://www.philgeps.gov.ph/GEPSNONPILOT/Tender/SplashBidNoticeAbstractUI.aspx?menuIndex=3&amp;refID=7182697&amp;Result=3","7182697")</f>
        <v>0</v>
      </c>
      <c r="B7790" t="s">
        <v>2476</v>
      </c>
      <c r="C7790" t="s">
        <v>10975</v>
      </c>
      <c r="D7790" t="s">
        <v>17188</v>
      </c>
      <c r="E7790" t="s">
        <v>23963</v>
      </c>
      <c r="F7790" t="s">
        <v>29372</v>
      </c>
      <c r="G7790" t="s">
        <v>29380</v>
      </c>
      <c r="H7790" t="s">
        <v>29389</v>
      </c>
      <c r="I7790" t="s">
        <v>4709</v>
      </c>
      <c r="J7790" t="s">
        <v>34546</v>
      </c>
      <c r="K7790" t="s">
        <v>38490</v>
      </c>
      <c r="M7790" t="s">
        <v>41425</v>
      </c>
      <c r="N7790" t="s">
        <v>42669</v>
      </c>
      <c r="O7790" t="s">
        <v>42670</v>
      </c>
      <c r="P7790">
        <v>0</v>
      </c>
      <c r="Q7790">
        <v>0</v>
      </c>
      <c r="R7790" t="s">
        <v>42678</v>
      </c>
      <c r="S7790" t="s">
        <v>42866</v>
      </c>
      <c r="T7790" t="s">
        <v>44386</v>
      </c>
      <c r="U7790" t="s">
        <v>51195</v>
      </c>
      <c r="W7790" t="s">
        <v>41425</v>
      </c>
      <c r="X7790" t="s">
        <v>42679</v>
      </c>
    </row>
    <row r="7791" spans="1:24">
      <c r="A7791">
        <f>HYPERLINK("https://www.philgeps.gov.ph/GEPSNONPILOT/Tender/SplashBidNoticeAbstractUI.aspx?menuIndex=3&amp;refID=7182518&amp;Result=3","7182518")</f>
        <v>0</v>
      </c>
      <c r="B7791" t="s">
        <v>2477</v>
      </c>
      <c r="C7791" t="s">
        <v>10976</v>
      </c>
      <c r="D7791" t="s">
        <v>17177</v>
      </c>
      <c r="E7791" t="s">
        <v>23964</v>
      </c>
      <c r="F7791" t="s">
        <v>29372</v>
      </c>
      <c r="G7791" t="s">
        <v>29380</v>
      </c>
      <c r="H7791" t="s">
        <v>11048</v>
      </c>
      <c r="I7791" t="s">
        <v>4487</v>
      </c>
      <c r="J7791" t="s">
        <v>34547</v>
      </c>
      <c r="K7791" t="s">
        <v>38488</v>
      </c>
      <c r="M7791" t="s">
        <v>41426</v>
      </c>
      <c r="N7791" t="s">
        <v>42669</v>
      </c>
      <c r="O7791" t="s">
        <v>42670</v>
      </c>
      <c r="P7791">
        <v>0</v>
      </c>
      <c r="Q7791">
        <v>5</v>
      </c>
      <c r="R7791" t="s">
        <v>42678</v>
      </c>
      <c r="S7791" t="s">
        <v>42866</v>
      </c>
      <c r="T7791" t="s">
        <v>44515</v>
      </c>
      <c r="U7791" t="s">
        <v>51196</v>
      </c>
      <c r="W7791" t="s">
        <v>41426</v>
      </c>
      <c r="X7791" t="s">
        <v>42679</v>
      </c>
    </row>
    <row r="7792" spans="1:24">
      <c r="A7792">
        <f>HYPERLINK("https://www.philgeps.gov.ph/GEPSNONPILOT/Tender/SplashBidNoticeAbstractUI.aspx?menuIndex=3&amp;refID=7182783&amp;Result=3","7182783")</f>
        <v>0</v>
      </c>
      <c r="B7792" t="s">
        <v>2470</v>
      </c>
      <c r="C7792" t="s">
        <v>10977</v>
      </c>
      <c r="D7792" t="s">
        <v>17199</v>
      </c>
      <c r="E7792" t="s">
        <v>23965</v>
      </c>
      <c r="F7792" t="s">
        <v>29372</v>
      </c>
      <c r="G7792" t="s">
        <v>29379</v>
      </c>
      <c r="H7792" t="s">
        <v>11048</v>
      </c>
      <c r="I7792" t="s">
        <v>29403</v>
      </c>
      <c r="J7792" t="s">
        <v>32336</v>
      </c>
      <c r="K7792" t="s">
        <v>38490</v>
      </c>
      <c r="M7792" t="s">
        <v>41419</v>
      </c>
      <c r="N7792" t="s">
        <v>42669</v>
      </c>
      <c r="O7792" t="s">
        <v>42670</v>
      </c>
      <c r="P7792">
        <v>0</v>
      </c>
      <c r="Q7792">
        <v>0</v>
      </c>
      <c r="R7792" t="s">
        <v>42678</v>
      </c>
      <c r="S7792" t="s">
        <v>42866</v>
      </c>
      <c r="T7792" t="s">
        <v>44493</v>
      </c>
      <c r="U7792" t="s">
        <v>51197</v>
      </c>
      <c r="W7792" t="s">
        <v>41419</v>
      </c>
      <c r="X7792" t="s">
        <v>42679</v>
      </c>
    </row>
    <row r="7793" spans="1:24">
      <c r="A7793">
        <f>HYPERLINK("https://www.philgeps.gov.ph/GEPSNONPILOT/Tender/SplashBidNoticeAbstractUI.aspx?menuIndex=3&amp;refID=7182696&amp;Result=3","7182696")</f>
        <v>0</v>
      </c>
      <c r="B7793" t="s">
        <v>1345</v>
      </c>
      <c r="C7793" t="s">
        <v>10978</v>
      </c>
      <c r="D7793" t="s">
        <v>17169</v>
      </c>
      <c r="E7793" t="s">
        <v>23966</v>
      </c>
      <c r="F7793" t="s">
        <v>29372</v>
      </c>
      <c r="G7793" t="s">
        <v>29380</v>
      </c>
      <c r="H7793" t="s">
        <v>29389</v>
      </c>
      <c r="I7793" t="s">
        <v>10408</v>
      </c>
      <c r="J7793" t="s">
        <v>34548</v>
      </c>
      <c r="K7793" t="s">
        <v>38485</v>
      </c>
      <c r="M7793" t="s">
        <v>40181</v>
      </c>
      <c r="N7793" t="s">
        <v>42669</v>
      </c>
      <c r="O7793" t="s">
        <v>42670</v>
      </c>
      <c r="P7793">
        <v>0</v>
      </c>
      <c r="Q7793">
        <v>0</v>
      </c>
      <c r="R7793" t="s">
        <v>42678</v>
      </c>
      <c r="S7793" t="s">
        <v>42866</v>
      </c>
      <c r="T7793" t="s">
        <v>44512</v>
      </c>
      <c r="U7793" t="s">
        <v>51198</v>
      </c>
      <c r="W7793" t="s">
        <v>40181</v>
      </c>
      <c r="X7793" t="s">
        <v>42679</v>
      </c>
    </row>
    <row r="7794" spans="1:24">
      <c r="A7794">
        <f>HYPERLINK("https://www.philgeps.gov.ph/GEPSNONPILOT/Tender/SplashBidNoticeAbstractUI.aspx?menuIndex=3&amp;refID=7182778&amp;Result=3","7182778")</f>
        <v>0</v>
      </c>
      <c r="B7794" t="s">
        <v>1195</v>
      </c>
      <c r="C7794" t="s">
        <v>10979</v>
      </c>
      <c r="D7794" t="s">
        <v>17169</v>
      </c>
      <c r="E7794" t="s">
        <v>23967</v>
      </c>
      <c r="F7794" t="s">
        <v>29372</v>
      </c>
      <c r="G7794" t="s">
        <v>29380</v>
      </c>
      <c r="H7794" t="s">
        <v>11048</v>
      </c>
      <c r="I7794" t="s">
        <v>29403</v>
      </c>
      <c r="J7794" t="s">
        <v>34549</v>
      </c>
      <c r="K7794" t="s">
        <v>38490</v>
      </c>
      <c r="M7794" t="s">
        <v>40012</v>
      </c>
      <c r="N7794" t="s">
        <v>42669</v>
      </c>
      <c r="O7794" t="s">
        <v>42670</v>
      </c>
      <c r="P7794">
        <v>0</v>
      </c>
      <c r="Q7794">
        <v>0</v>
      </c>
      <c r="R7794" t="s">
        <v>42678</v>
      </c>
      <c r="S7794" t="s">
        <v>42866</v>
      </c>
      <c r="T7794" t="s">
        <v>44580</v>
      </c>
      <c r="U7794" t="s">
        <v>51199</v>
      </c>
      <c r="W7794" t="s">
        <v>40012</v>
      </c>
      <c r="X7794" t="s">
        <v>42679</v>
      </c>
    </row>
    <row r="7795" spans="1:24">
      <c r="A7795">
        <f>HYPERLINK("https://www.philgeps.gov.ph/GEPSNONPILOT/Tender/SplashBidNoticeAbstractUI.aspx?menuIndex=3&amp;refID=7182789&amp;Result=3","7182789")</f>
        <v>0</v>
      </c>
      <c r="B7795" t="s">
        <v>52</v>
      </c>
      <c r="C7795" t="s">
        <v>10980</v>
      </c>
      <c r="D7795" t="s">
        <v>17164</v>
      </c>
      <c r="E7795" t="s">
        <v>23968</v>
      </c>
      <c r="F7795" t="s">
        <v>29372</v>
      </c>
      <c r="G7795" t="s">
        <v>29379</v>
      </c>
      <c r="H7795" t="s">
        <v>11048</v>
      </c>
      <c r="I7795" t="s">
        <v>14920</v>
      </c>
      <c r="J7795" t="s">
        <v>34550</v>
      </c>
      <c r="K7795" t="s">
        <v>38522</v>
      </c>
      <c r="M7795" t="s">
        <v>40848</v>
      </c>
      <c r="N7795" t="s">
        <v>42669</v>
      </c>
      <c r="O7795" t="s">
        <v>42670</v>
      </c>
      <c r="Q7795">
        <v>1</v>
      </c>
      <c r="R7795" t="s">
        <v>42678</v>
      </c>
      <c r="S7795" t="s">
        <v>42904</v>
      </c>
      <c r="T7795" t="s">
        <v>44635</v>
      </c>
      <c r="U7795" t="s">
        <v>51200</v>
      </c>
      <c r="W7795" t="s">
        <v>40848</v>
      </c>
      <c r="X7795" t="s">
        <v>42679</v>
      </c>
    </row>
    <row r="7796" spans="1:24">
      <c r="A7796">
        <f>HYPERLINK("https://www.philgeps.gov.ph/GEPSNONPILOT/Tender/SplashBidNoticeAbstractUI.aspx?menuIndex=3&amp;refID=7182775&amp;Result=3","7182775")</f>
        <v>0</v>
      </c>
      <c r="B7796" t="s">
        <v>63</v>
      </c>
      <c r="C7796" t="s">
        <v>10981</v>
      </c>
      <c r="D7796" t="s">
        <v>17161</v>
      </c>
      <c r="E7796" t="s">
        <v>23969</v>
      </c>
      <c r="F7796" t="s">
        <v>29372</v>
      </c>
      <c r="G7796" t="s">
        <v>29379</v>
      </c>
      <c r="H7796" t="s">
        <v>11048</v>
      </c>
      <c r="I7796" t="s">
        <v>3629</v>
      </c>
      <c r="J7796" t="s">
        <v>34551</v>
      </c>
      <c r="K7796" t="s">
        <v>38490</v>
      </c>
      <c r="M7796" t="s">
        <v>38817</v>
      </c>
      <c r="N7796" t="s">
        <v>42669</v>
      </c>
      <c r="O7796" t="s">
        <v>42670</v>
      </c>
      <c r="P7796">
        <v>0</v>
      </c>
      <c r="Q7796">
        <v>1</v>
      </c>
      <c r="R7796" t="s">
        <v>42678</v>
      </c>
      <c r="S7796" t="s">
        <v>42866</v>
      </c>
      <c r="T7796" t="s">
        <v>44570</v>
      </c>
      <c r="U7796" t="s">
        <v>51181</v>
      </c>
      <c r="W7796" t="s">
        <v>38817</v>
      </c>
      <c r="X7796" t="s">
        <v>42679</v>
      </c>
    </row>
    <row r="7797" spans="1:24">
      <c r="A7797">
        <f>HYPERLINK("https://www.philgeps.gov.ph/GEPSNONPILOT/Tender/SplashBidNoticeAbstractUI.aspx?menuIndex=3&amp;refID=7182774&amp;Result=3","7182774")</f>
        <v>0</v>
      </c>
      <c r="B7797" t="s">
        <v>539</v>
      </c>
      <c r="C7797" t="s">
        <v>10982</v>
      </c>
      <c r="D7797" t="s">
        <v>17141</v>
      </c>
      <c r="E7797" t="s">
        <v>23970</v>
      </c>
      <c r="F7797" t="s">
        <v>29372</v>
      </c>
      <c r="G7797" t="s">
        <v>29381</v>
      </c>
      <c r="H7797" t="s">
        <v>29390</v>
      </c>
      <c r="I7797" t="s">
        <v>29405</v>
      </c>
      <c r="J7797" t="s">
        <v>29785</v>
      </c>
      <c r="K7797" t="s">
        <v>38580</v>
      </c>
      <c r="M7797" t="s">
        <v>41427</v>
      </c>
      <c r="N7797" t="s">
        <v>42669</v>
      </c>
      <c r="O7797" t="s">
        <v>42670</v>
      </c>
      <c r="Q7797">
        <v>5</v>
      </c>
      <c r="R7797" t="s">
        <v>42678</v>
      </c>
      <c r="S7797" t="s">
        <v>42905</v>
      </c>
      <c r="T7797" t="s">
        <v>44391</v>
      </c>
      <c r="U7797" t="s">
        <v>51201</v>
      </c>
      <c r="W7797" t="s">
        <v>41427</v>
      </c>
      <c r="X7797" t="s">
        <v>42679</v>
      </c>
    </row>
    <row r="7798" spans="1:24">
      <c r="A7798">
        <f>HYPERLINK("https://www.philgeps.gov.ph/GEPSNONPILOT/Tender/SplashBidNoticeAbstractUI.aspx?menuIndex=3&amp;refID=7182772&amp;Result=3","7182772")</f>
        <v>0</v>
      </c>
      <c r="B7798" t="s">
        <v>2445</v>
      </c>
      <c r="C7798" t="s">
        <v>10983</v>
      </c>
      <c r="D7798" t="s">
        <v>17205</v>
      </c>
      <c r="E7798" t="s">
        <v>23971</v>
      </c>
      <c r="F7798" t="s">
        <v>29372</v>
      </c>
      <c r="G7798" t="s">
        <v>29380</v>
      </c>
      <c r="H7798" t="s">
        <v>29389</v>
      </c>
      <c r="I7798" t="s">
        <v>10408</v>
      </c>
      <c r="J7798" t="s">
        <v>29526</v>
      </c>
      <c r="K7798" t="s">
        <v>38485</v>
      </c>
      <c r="M7798" t="s">
        <v>41393</v>
      </c>
      <c r="N7798" t="s">
        <v>42669</v>
      </c>
      <c r="O7798" t="s">
        <v>42670</v>
      </c>
      <c r="P7798">
        <v>0</v>
      </c>
      <c r="Q7798">
        <v>2</v>
      </c>
      <c r="R7798" t="s">
        <v>42678</v>
      </c>
      <c r="S7798" t="s">
        <v>42866</v>
      </c>
      <c r="T7798" t="s">
        <v>44365</v>
      </c>
      <c r="U7798" t="s">
        <v>51202</v>
      </c>
      <c r="W7798" t="s">
        <v>41393</v>
      </c>
      <c r="X7798" t="s">
        <v>42679</v>
      </c>
    </row>
    <row r="7799" spans="1:24">
      <c r="A7799">
        <f>HYPERLINK("https://www.philgeps.gov.ph/GEPSNONPILOT/Tender/SplashBidNoticeAbstractUI.aspx?menuIndex=3&amp;refID=7182771&amp;Result=3","7182771")</f>
        <v>0</v>
      </c>
      <c r="B7799" t="s">
        <v>1345</v>
      </c>
      <c r="C7799" t="s">
        <v>10984</v>
      </c>
      <c r="D7799" t="s">
        <v>17169</v>
      </c>
      <c r="E7799" t="s">
        <v>23972</v>
      </c>
      <c r="F7799" t="s">
        <v>29372</v>
      </c>
      <c r="G7799" t="s">
        <v>29380</v>
      </c>
      <c r="H7799" t="s">
        <v>29389</v>
      </c>
      <c r="I7799" t="s">
        <v>10408</v>
      </c>
      <c r="J7799" t="s">
        <v>34548</v>
      </c>
      <c r="K7799" t="s">
        <v>38485</v>
      </c>
      <c r="M7799" t="s">
        <v>40181</v>
      </c>
      <c r="N7799" t="s">
        <v>42669</v>
      </c>
      <c r="O7799" t="s">
        <v>42670</v>
      </c>
      <c r="P7799">
        <v>0</v>
      </c>
      <c r="Q7799">
        <v>0</v>
      </c>
      <c r="R7799" t="s">
        <v>42678</v>
      </c>
      <c r="S7799" t="s">
        <v>42866</v>
      </c>
      <c r="T7799" t="s">
        <v>44512</v>
      </c>
      <c r="U7799" t="s">
        <v>51203</v>
      </c>
      <c r="W7799" t="s">
        <v>40181</v>
      </c>
      <c r="X7799" t="s">
        <v>42679</v>
      </c>
    </row>
    <row r="7800" spans="1:24">
      <c r="A7800">
        <f>HYPERLINK("https://www.philgeps.gov.ph/GEPSNONPILOT/Tender/SplashBidNoticeAbstractUI.aspx?menuIndex=3&amp;refID=7182770&amp;Result=3","7182770")</f>
        <v>0</v>
      </c>
      <c r="B7800" t="s">
        <v>666</v>
      </c>
      <c r="C7800" t="s">
        <v>10985</v>
      </c>
      <c r="D7800" t="s">
        <v>17205</v>
      </c>
      <c r="E7800" t="s">
        <v>23973</v>
      </c>
      <c r="F7800" t="s">
        <v>29372</v>
      </c>
      <c r="G7800" t="s">
        <v>29379</v>
      </c>
      <c r="H7800" t="s">
        <v>11048</v>
      </c>
      <c r="I7800" t="s">
        <v>8614</v>
      </c>
      <c r="J7800" t="s">
        <v>29929</v>
      </c>
      <c r="K7800" t="s">
        <v>38490</v>
      </c>
      <c r="M7800" t="s">
        <v>39442</v>
      </c>
      <c r="N7800" t="s">
        <v>42669</v>
      </c>
      <c r="O7800" t="s">
        <v>42670</v>
      </c>
      <c r="P7800">
        <v>0</v>
      </c>
      <c r="Q7800">
        <v>1</v>
      </c>
      <c r="R7800" t="s">
        <v>42678</v>
      </c>
      <c r="S7800" t="s">
        <v>42866</v>
      </c>
      <c r="T7800" t="s">
        <v>44493</v>
      </c>
      <c r="U7800" t="s">
        <v>51204</v>
      </c>
      <c r="W7800" t="s">
        <v>39442</v>
      </c>
      <c r="X7800" t="s">
        <v>42679</v>
      </c>
    </row>
    <row r="7801" spans="1:24">
      <c r="A7801">
        <f>HYPERLINK("https://www.philgeps.gov.ph/GEPSNONPILOT/Tender/SplashBidNoticeAbstractUI.aspx?menuIndex=3&amp;refID=7182765&amp;Result=3","7182765")</f>
        <v>0</v>
      </c>
      <c r="B7801" t="s">
        <v>2394</v>
      </c>
      <c r="C7801" t="s">
        <v>10986</v>
      </c>
      <c r="D7801" t="s">
        <v>17171</v>
      </c>
      <c r="E7801" t="s">
        <v>23974</v>
      </c>
      <c r="F7801" t="s">
        <v>29372</v>
      </c>
      <c r="G7801" t="s">
        <v>29380</v>
      </c>
      <c r="H7801" t="s">
        <v>11048</v>
      </c>
      <c r="I7801" t="s">
        <v>10408</v>
      </c>
      <c r="J7801" t="s">
        <v>29734</v>
      </c>
      <c r="K7801" t="s">
        <v>38488</v>
      </c>
      <c r="M7801" t="s">
        <v>41339</v>
      </c>
      <c r="N7801" t="s">
        <v>42669</v>
      </c>
      <c r="O7801" t="s">
        <v>42670</v>
      </c>
      <c r="P7801">
        <v>0</v>
      </c>
      <c r="Q7801">
        <v>1</v>
      </c>
      <c r="R7801" t="s">
        <v>42678</v>
      </c>
      <c r="S7801" t="s">
        <v>42866</v>
      </c>
      <c r="T7801" t="s">
        <v>44544</v>
      </c>
      <c r="U7801" t="s">
        <v>51205</v>
      </c>
      <c r="W7801" t="s">
        <v>41339</v>
      </c>
      <c r="X7801" t="s">
        <v>42679</v>
      </c>
    </row>
    <row r="7802" spans="1:24">
      <c r="A7802">
        <f>HYPERLINK("https://www.philgeps.gov.ph/GEPSNONPILOT/Tender/SplashBidNoticeAbstractUI.aspx?menuIndex=3&amp;refID=7182759&amp;Result=3","7182759")</f>
        <v>0</v>
      </c>
      <c r="B7802" t="s">
        <v>1153</v>
      </c>
      <c r="C7802" t="s">
        <v>10987</v>
      </c>
      <c r="D7802" t="s">
        <v>17169</v>
      </c>
      <c r="E7802" t="s">
        <v>23975</v>
      </c>
      <c r="F7802" t="s">
        <v>29372</v>
      </c>
      <c r="G7802" t="s">
        <v>29380</v>
      </c>
      <c r="H7802" t="s">
        <v>11048</v>
      </c>
      <c r="I7802" t="s">
        <v>8614</v>
      </c>
      <c r="J7802" t="s">
        <v>34552</v>
      </c>
      <c r="K7802" t="s">
        <v>38491</v>
      </c>
      <c r="M7802" t="s">
        <v>39967</v>
      </c>
      <c r="N7802" t="s">
        <v>42669</v>
      </c>
      <c r="O7802" t="s">
        <v>42670</v>
      </c>
      <c r="P7802">
        <v>0</v>
      </c>
      <c r="Q7802">
        <v>2</v>
      </c>
      <c r="R7802" t="s">
        <v>42678</v>
      </c>
      <c r="S7802" t="s">
        <v>42866</v>
      </c>
      <c r="T7802" t="s">
        <v>44493</v>
      </c>
      <c r="U7802" t="s">
        <v>51206</v>
      </c>
      <c r="W7802" t="s">
        <v>39967</v>
      </c>
      <c r="X7802" t="s">
        <v>42679</v>
      </c>
    </row>
    <row r="7803" spans="1:24">
      <c r="A7803">
        <f>HYPERLINK("https://www.philgeps.gov.ph/GEPSNONPILOT/Tender/SplashBidNoticeAbstractUI.aspx?menuIndex=3&amp;refID=7182779&amp;Result=3","7182779")</f>
        <v>0</v>
      </c>
      <c r="B7803" t="s">
        <v>2478</v>
      </c>
      <c r="C7803" t="s">
        <v>10988</v>
      </c>
      <c r="D7803" t="s">
        <v>17169</v>
      </c>
      <c r="E7803" t="s">
        <v>23976</v>
      </c>
      <c r="F7803" t="s">
        <v>29372</v>
      </c>
      <c r="G7803" t="s">
        <v>29380</v>
      </c>
      <c r="H7803" t="s">
        <v>11048</v>
      </c>
      <c r="I7803" t="s">
        <v>4709</v>
      </c>
      <c r="J7803" t="s">
        <v>34553</v>
      </c>
      <c r="K7803" t="s">
        <v>38490</v>
      </c>
      <c r="M7803" t="s">
        <v>41428</v>
      </c>
      <c r="N7803" t="s">
        <v>42669</v>
      </c>
      <c r="O7803" t="s">
        <v>42670</v>
      </c>
      <c r="P7803">
        <v>0</v>
      </c>
      <c r="Q7803">
        <v>2</v>
      </c>
      <c r="R7803" t="s">
        <v>42678</v>
      </c>
      <c r="S7803" t="s">
        <v>42866</v>
      </c>
      <c r="T7803" t="s">
        <v>44542</v>
      </c>
      <c r="U7803" t="s">
        <v>51207</v>
      </c>
      <c r="V7803" t="s">
        <v>57217</v>
      </c>
      <c r="W7803" t="s">
        <v>41428</v>
      </c>
      <c r="X7803" t="s">
        <v>42679</v>
      </c>
    </row>
    <row r="7804" spans="1:24">
      <c r="A7804">
        <f>HYPERLINK("https://www.philgeps.gov.ph/GEPSNONPILOT/Tender/SplashBidNoticeAbstractUI.aspx?menuIndex=3&amp;refID=7182762&amp;Result=3","7182762")</f>
        <v>0</v>
      </c>
      <c r="B7804" t="s">
        <v>2012</v>
      </c>
      <c r="C7804" t="s">
        <v>10989</v>
      </c>
      <c r="D7804" t="s">
        <v>17197</v>
      </c>
      <c r="E7804" t="s">
        <v>23977</v>
      </c>
      <c r="F7804" t="s">
        <v>29372</v>
      </c>
      <c r="G7804" t="s">
        <v>29380</v>
      </c>
      <c r="H7804" t="s">
        <v>29389</v>
      </c>
      <c r="I7804" t="s">
        <v>10408</v>
      </c>
      <c r="J7804" t="s">
        <v>34554</v>
      </c>
      <c r="K7804" t="s">
        <v>38495</v>
      </c>
      <c r="M7804" t="s">
        <v>40903</v>
      </c>
      <c r="N7804" t="s">
        <v>42669</v>
      </c>
      <c r="O7804" t="s">
        <v>42670</v>
      </c>
      <c r="P7804">
        <v>0</v>
      </c>
      <c r="Q7804">
        <v>0</v>
      </c>
      <c r="R7804" t="s">
        <v>42678</v>
      </c>
      <c r="S7804" t="s">
        <v>42866</v>
      </c>
      <c r="T7804" t="s">
        <v>44355</v>
      </c>
      <c r="U7804" t="s">
        <v>51208</v>
      </c>
      <c r="W7804" t="s">
        <v>40903</v>
      </c>
      <c r="X7804" t="s">
        <v>42679</v>
      </c>
    </row>
    <row r="7805" spans="1:24">
      <c r="A7805">
        <f>HYPERLINK("https://www.philgeps.gov.ph/GEPSNONPILOT/Tender/SplashBidNoticeAbstractUI.aspx?menuIndex=3&amp;refID=7182761&amp;Result=3","7182761")</f>
        <v>0</v>
      </c>
      <c r="B7805" t="s">
        <v>2479</v>
      </c>
      <c r="C7805" t="s">
        <v>10990</v>
      </c>
      <c r="D7805" t="s">
        <v>17199</v>
      </c>
      <c r="E7805" t="s">
        <v>23978</v>
      </c>
      <c r="F7805" t="s">
        <v>29372</v>
      </c>
      <c r="G7805" t="s">
        <v>29379</v>
      </c>
      <c r="H7805" t="s">
        <v>11048</v>
      </c>
      <c r="I7805" t="s">
        <v>8614</v>
      </c>
      <c r="J7805" t="s">
        <v>29587</v>
      </c>
      <c r="K7805" t="s">
        <v>38488</v>
      </c>
      <c r="M7805" t="s">
        <v>41429</v>
      </c>
      <c r="N7805" t="s">
        <v>42669</v>
      </c>
      <c r="O7805" t="s">
        <v>42670</v>
      </c>
      <c r="P7805">
        <v>0</v>
      </c>
      <c r="Q7805">
        <v>5</v>
      </c>
      <c r="R7805" t="s">
        <v>42678</v>
      </c>
      <c r="S7805" t="s">
        <v>42866</v>
      </c>
      <c r="T7805" t="s">
        <v>44488</v>
      </c>
      <c r="U7805" t="s">
        <v>51209</v>
      </c>
      <c r="V7805" t="s">
        <v>57218</v>
      </c>
      <c r="W7805" t="s">
        <v>41429</v>
      </c>
      <c r="X7805" t="s">
        <v>42679</v>
      </c>
    </row>
    <row r="7806" spans="1:24">
      <c r="A7806">
        <f>HYPERLINK("https://www.philgeps.gov.ph/GEPSNONPILOT/Tender/SplashBidNoticeAbstractUI.aspx?menuIndex=3&amp;refID=7182773&amp;Result=3","7182773")</f>
        <v>0</v>
      </c>
      <c r="B7806" t="s">
        <v>2463</v>
      </c>
      <c r="C7806" t="s">
        <v>10991</v>
      </c>
      <c r="D7806" t="s">
        <v>17141</v>
      </c>
      <c r="E7806" t="s">
        <v>23979</v>
      </c>
      <c r="F7806" t="s">
        <v>29372</v>
      </c>
      <c r="G7806" t="s">
        <v>29380</v>
      </c>
      <c r="H7806" t="s">
        <v>11048</v>
      </c>
      <c r="I7806" t="s">
        <v>29426</v>
      </c>
      <c r="J7806" t="s">
        <v>34555</v>
      </c>
      <c r="K7806" t="s">
        <v>38490</v>
      </c>
      <c r="M7806" t="s">
        <v>41411</v>
      </c>
      <c r="N7806" t="s">
        <v>42669</v>
      </c>
      <c r="O7806" t="s">
        <v>42670</v>
      </c>
      <c r="P7806">
        <v>0</v>
      </c>
      <c r="Q7806">
        <v>9</v>
      </c>
      <c r="R7806" t="s">
        <v>42678</v>
      </c>
      <c r="S7806" t="s">
        <v>42866</v>
      </c>
      <c r="T7806" t="s">
        <v>44600</v>
      </c>
      <c r="U7806" t="s">
        <v>51210</v>
      </c>
      <c r="W7806" t="s">
        <v>41411</v>
      </c>
      <c r="X7806" t="s">
        <v>42679</v>
      </c>
    </row>
    <row r="7807" spans="1:24">
      <c r="A7807">
        <f>HYPERLINK("https://www.philgeps.gov.ph/GEPSNONPILOT/Tender/SplashBidNoticeAbstractUI.aspx?menuIndex=3&amp;refID=7182695&amp;Result=3","7182695")</f>
        <v>0</v>
      </c>
      <c r="B7807" t="s">
        <v>2012</v>
      </c>
      <c r="C7807" t="s">
        <v>10992</v>
      </c>
      <c r="D7807" t="s">
        <v>17197</v>
      </c>
      <c r="E7807" t="s">
        <v>23980</v>
      </c>
      <c r="F7807" t="s">
        <v>29372</v>
      </c>
      <c r="G7807" t="s">
        <v>29380</v>
      </c>
      <c r="H7807" t="s">
        <v>29389</v>
      </c>
      <c r="I7807" t="s">
        <v>10408</v>
      </c>
      <c r="J7807" t="s">
        <v>34556</v>
      </c>
      <c r="K7807" t="s">
        <v>38495</v>
      </c>
      <c r="M7807" t="s">
        <v>40903</v>
      </c>
      <c r="N7807" t="s">
        <v>42669</v>
      </c>
      <c r="O7807" t="s">
        <v>42670</v>
      </c>
      <c r="P7807">
        <v>0</v>
      </c>
      <c r="Q7807">
        <v>0</v>
      </c>
      <c r="R7807" t="s">
        <v>42678</v>
      </c>
      <c r="S7807" t="s">
        <v>42866</v>
      </c>
      <c r="T7807" t="s">
        <v>44474</v>
      </c>
      <c r="U7807" t="s">
        <v>51211</v>
      </c>
      <c r="W7807" t="s">
        <v>40903</v>
      </c>
      <c r="X7807" t="s">
        <v>42679</v>
      </c>
    </row>
    <row r="7808" spans="1:24">
      <c r="A7808">
        <f>HYPERLINK("https://www.philgeps.gov.ph/GEPSNONPILOT/Tender/SplashBidNoticeAbstractUI.aspx?menuIndex=3&amp;refID=7182682&amp;Result=3","7182682")</f>
        <v>0</v>
      </c>
      <c r="B7808" t="s">
        <v>2224</v>
      </c>
      <c r="C7808" t="s">
        <v>10993</v>
      </c>
      <c r="D7808" t="s">
        <v>17143</v>
      </c>
      <c r="E7808" t="s">
        <v>18455</v>
      </c>
      <c r="F7808" t="s">
        <v>29372</v>
      </c>
      <c r="G7808" t="s">
        <v>29380</v>
      </c>
      <c r="H7808" t="s">
        <v>29389</v>
      </c>
      <c r="I7808" t="s">
        <v>10408</v>
      </c>
      <c r="J7808" t="s">
        <v>29937</v>
      </c>
      <c r="K7808" t="s">
        <v>38496</v>
      </c>
      <c r="M7808" t="s">
        <v>41142</v>
      </c>
      <c r="N7808" t="s">
        <v>42669</v>
      </c>
      <c r="O7808" t="s">
        <v>42670</v>
      </c>
      <c r="P7808">
        <v>0</v>
      </c>
      <c r="Q7808">
        <v>0</v>
      </c>
      <c r="R7808" t="s">
        <v>42678</v>
      </c>
      <c r="S7808" t="s">
        <v>42866</v>
      </c>
      <c r="T7808" t="s">
        <v>44476</v>
      </c>
      <c r="U7808" t="s">
        <v>51212</v>
      </c>
      <c r="W7808" t="s">
        <v>41142</v>
      </c>
      <c r="X7808" t="s">
        <v>42679</v>
      </c>
    </row>
    <row r="7809" spans="1:24">
      <c r="A7809">
        <f>HYPERLINK("https://www.philgeps.gov.ph/GEPSNONPILOT/Tender/SplashBidNoticeAbstractUI.aspx?menuIndex=3&amp;refID=7182634&amp;Result=3","7182634")</f>
        <v>0</v>
      </c>
      <c r="B7809" t="s">
        <v>2480</v>
      </c>
      <c r="C7809" t="s">
        <v>10994</v>
      </c>
      <c r="D7809" t="s">
        <v>17144</v>
      </c>
      <c r="E7809" t="s">
        <v>23981</v>
      </c>
      <c r="F7809" t="s">
        <v>29372</v>
      </c>
      <c r="G7809" t="s">
        <v>29379</v>
      </c>
      <c r="H7809" t="s">
        <v>29391</v>
      </c>
      <c r="I7809" t="s">
        <v>29392</v>
      </c>
      <c r="J7809" t="s">
        <v>31214</v>
      </c>
      <c r="K7809" t="s">
        <v>38580</v>
      </c>
      <c r="M7809" t="s">
        <v>41430</v>
      </c>
      <c r="N7809" t="s">
        <v>42669</v>
      </c>
      <c r="O7809" t="s">
        <v>42670</v>
      </c>
      <c r="P7809">
        <v>0</v>
      </c>
      <c r="Q7809">
        <v>1</v>
      </c>
      <c r="R7809" t="s">
        <v>42678</v>
      </c>
      <c r="S7809" t="s">
        <v>42866</v>
      </c>
      <c r="T7809" t="s">
        <v>44417</v>
      </c>
      <c r="U7809" t="s">
        <v>51213</v>
      </c>
      <c r="V7809" t="s">
        <v>57219</v>
      </c>
      <c r="W7809" t="s">
        <v>41430</v>
      </c>
      <c r="X7809" t="s">
        <v>42679</v>
      </c>
    </row>
    <row r="7810" spans="1:24">
      <c r="A7810">
        <f>HYPERLINK("https://www.philgeps.gov.ph/GEPSNONPILOT/Tender/SplashBidNoticeAbstractUI.aspx?menuIndex=3&amp;refID=7182788&amp;Result=3","7182788")</f>
        <v>0</v>
      </c>
      <c r="B7810" t="s">
        <v>2481</v>
      </c>
      <c r="C7810" t="s">
        <v>10995</v>
      </c>
      <c r="D7810" t="s">
        <v>17151</v>
      </c>
      <c r="E7810" t="s">
        <v>23982</v>
      </c>
      <c r="F7810" t="s">
        <v>29372</v>
      </c>
      <c r="G7810" t="s">
        <v>29379</v>
      </c>
      <c r="H7810" t="s">
        <v>11048</v>
      </c>
      <c r="I7810" t="s">
        <v>29446</v>
      </c>
      <c r="J7810" t="s">
        <v>34557</v>
      </c>
      <c r="K7810" t="s">
        <v>38485</v>
      </c>
      <c r="M7810" t="s">
        <v>41431</v>
      </c>
      <c r="N7810" t="s">
        <v>42669</v>
      </c>
      <c r="O7810" t="s">
        <v>42670</v>
      </c>
      <c r="P7810">
        <v>0</v>
      </c>
      <c r="Q7810">
        <v>3</v>
      </c>
      <c r="R7810" t="s">
        <v>42678</v>
      </c>
      <c r="S7810" t="s">
        <v>42866</v>
      </c>
      <c r="T7810" t="s">
        <v>44468</v>
      </c>
      <c r="U7810" t="s">
        <v>51214</v>
      </c>
      <c r="W7810" t="s">
        <v>41431</v>
      </c>
      <c r="X7810" t="s">
        <v>42679</v>
      </c>
    </row>
    <row r="7811" spans="1:24">
      <c r="A7811">
        <f>HYPERLINK("https://www.philgeps.gov.ph/GEPSNONPILOT/Tender/SplashBidNoticeAbstractUI.aspx?menuIndex=3&amp;refID=7182461&amp;Result=3","7182461")</f>
        <v>0</v>
      </c>
      <c r="B7811" t="s">
        <v>1002</v>
      </c>
      <c r="C7811" t="s">
        <v>10996</v>
      </c>
      <c r="D7811" t="s">
        <v>17165</v>
      </c>
      <c r="E7811" t="s">
        <v>23983</v>
      </c>
      <c r="F7811" t="s">
        <v>29372</v>
      </c>
      <c r="G7811" t="s">
        <v>29380</v>
      </c>
      <c r="H7811" t="s">
        <v>29389</v>
      </c>
      <c r="I7811" t="s">
        <v>10408</v>
      </c>
      <c r="J7811" t="s">
        <v>34558</v>
      </c>
      <c r="K7811" t="s">
        <v>38522</v>
      </c>
      <c r="M7811" t="s">
        <v>39802</v>
      </c>
      <c r="N7811" t="s">
        <v>42669</v>
      </c>
      <c r="O7811" t="s">
        <v>42670</v>
      </c>
      <c r="P7811">
        <v>0</v>
      </c>
      <c r="Q7811">
        <v>0</v>
      </c>
      <c r="R7811" t="s">
        <v>42678</v>
      </c>
      <c r="S7811" t="s">
        <v>42866</v>
      </c>
      <c r="T7811" t="s">
        <v>44355</v>
      </c>
      <c r="U7811" t="s">
        <v>48942</v>
      </c>
      <c r="W7811" t="s">
        <v>39802</v>
      </c>
      <c r="X7811" t="s">
        <v>42679</v>
      </c>
    </row>
    <row r="7812" spans="1:24">
      <c r="A7812">
        <f>HYPERLINK("https://www.philgeps.gov.ph/GEPSNONPILOT/Tender/SplashBidNoticeAbstractUI.aspx?menuIndex=3&amp;refID=7182757&amp;Result=3","7182757")</f>
        <v>0</v>
      </c>
      <c r="B7812" t="s">
        <v>80</v>
      </c>
      <c r="C7812" t="s">
        <v>10997</v>
      </c>
      <c r="D7812" t="s">
        <v>17142</v>
      </c>
      <c r="E7812" t="s">
        <v>23984</v>
      </c>
      <c r="F7812" t="s">
        <v>29372</v>
      </c>
      <c r="G7812" t="s">
        <v>29382</v>
      </c>
      <c r="H7812" t="s">
        <v>11048</v>
      </c>
      <c r="I7812" t="s">
        <v>29414</v>
      </c>
      <c r="J7812" t="s">
        <v>34559</v>
      </c>
      <c r="K7812" t="s">
        <v>38489</v>
      </c>
      <c r="M7812" t="s">
        <v>38834</v>
      </c>
      <c r="N7812" t="s">
        <v>42669</v>
      </c>
      <c r="O7812" t="s">
        <v>42670</v>
      </c>
      <c r="P7812">
        <v>0</v>
      </c>
      <c r="Q7812">
        <v>5</v>
      </c>
      <c r="R7812" t="s">
        <v>42678</v>
      </c>
      <c r="S7812" t="s">
        <v>42866</v>
      </c>
      <c r="T7812" t="s">
        <v>44512</v>
      </c>
      <c r="U7812" t="s">
        <v>51215</v>
      </c>
      <c r="W7812" t="s">
        <v>38834</v>
      </c>
      <c r="X7812" t="s">
        <v>42679</v>
      </c>
    </row>
    <row r="7813" spans="1:24">
      <c r="A7813">
        <f>HYPERLINK("https://www.philgeps.gov.ph/GEPSNONPILOT/Tender/SplashBidNoticeAbstractUI.aspx?menuIndex=3&amp;refID=7182833&amp;Result=3","7182833")</f>
        <v>0</v>
      </c>
      <c r="B7813" t="s">
        <v>1805</v>
      </c>
      <c r="C7813" t="s">
        <v>10998</v>
      </c>
      <c r="D7813" t="s">
        <v>17194</v>
      </c>
      <c r="E7813" t="s">
        <v>21751</v>
      </c>
      <c r="F7813" t="s">
        <v>29372</v>
      </c>
      <c r="G7813" t="s">
        <v>29380</v>
      </c>
      <c r="H7813" t="s">
        <v>11048</v>
      </c>
      <c r="I7813" t="s">
        <v>4487</v>
      </c>
      <c r="J7813" t="s">
        <v>29583</v>
      </c>
      <c r="K7813" t="s">
        <v>38510</v>
      </c>
      <c r="M7813" t="s">
        <v>40676</v>
      </c>
      <c r="N7813" t="s">
        <v>42669</v>
      </c>
      <c r="O7813" t="s">
        <v>42670</v>
      </c>
      <c r="P7813">
        <v>0</v>
      </c>
      <c r="Q7813">
        <v>6</v>
      </c>
      <c r="R7813" t="s">
        <v>42678</v>
      </c>
      <c r="S7813" t="s">
        <v>42866</v>
      </c>
      <c r="T7813" t="s">
        <v>44488</v>
      </c>
      <c r="U7813" t="s">
        <v>48990</v>
      </c>
      <c r="W7813" t="s">
        <v>40676</v>
      </c>
      <c r="X7813" t="s">
        <v>42679</v>
      </c>
    </row>
    <row r="7814" spans="1:24">
      <c r="A7814">
        <f>HYPERLINK("https://www.philgeps.gov.ph/GEPSNONPILOT/Tender/SplashBidNoticeAbstractUI.aspx?menuIndex=3&amp;refID=7182843&amp;Result=3","7182843")</f>
        <v>0</v>
      </c>
      <c r="B7814" t="s">
        <v>2109</v>
      </c>
      <c r="C7814" t="s">
        <v>10999</v>
      </c>
      <c r="D7814" t="s">
        <v>17170</v>
      </c>
      <c r="E7814" t="s">
        <v>23985</v>
      </c>
      <c r="F7814" t="s">
        <v>29372</v>
      </c>
      <c r="G7814" t="s">
        <v>29379</v>
      </c>
      <c r="H7814" t="s">
        <v>11048</v>
      </c>
      <c r="I7814" t="s">
        <v>29505</v>
      </c>
      <c r="J7814" t="s">
        <v>34560</v>
      </c>
      <c r="K7814" t="s">
        <v>38490</v>
      </c>
      <c r="M7814" t="s">
        <v>41012</v>
      </c>
      <c r="N7814" t="s">
        <v>42669</v>
      </c>
      <c r="O7814" t="s">
        <v>42670</v>
      </c>
      <c r="P7814">
        <v>0</v>
      </c>
      <c r="Q7814">
        <v>2</v>
      </c>
      <c r="R7814" t="s">
        <v>42678</v>
      </c>
      <c r="S7814" t="s">
        <v>42866</v>
      </c>
      <c r="T7814" t="s">
        <v>44481</v>
      </c>
      <c r="U7814" t="s">
        <v>51216</v>
      </c>
      <c r="W7814" t="s">
        <v>41012</v>
      </c>
      <c r="X7814" t="s">
        <v>42679</v>
      </c>
    </row>
    <row r="7815" spans="1:24">
      <c r="A7815">
        <f>HYPERLINK("https://www.philgeps.gov.ph/GEPSNONPILOT/Tender/SplashBidNoticeAbstractUI.aspx?menuIndex=3&amp;refID=7182683&amp;Result=3","7182683")</f>
        <v>0</v>
      </c>
      <c r="B7815" t="s">
        <v>1676</v>
      </c>
      <c r="C7815" t="s">
        <v>11000</v>
      </c>
      <c r="D7815" t="s">
        <v>17155</v>
      </c>
      <c r="E7815" t="s">
        <v>23986</v>
      </c>
      <c r="F7815" t="s">
        <v>29372</v>
      </c>
      <c r="G7815" t="s">
        <v>29380</v>
      </c>
      <c r="H7815" t="s">
        <v>29389</v>
      </c>
      <c r="I7815" t="s">
        <v>10408</v>
      </c>
      <c r="J7815" t="s">
        <v>29724</v>
      </c>
      <c r="K7815" t="s">
        <v>38502</v>
      </c>
      <c r="M7815" t="s">
        <v>40536</v>
      </c>
      <c r="N7815" t="s">
        <v>42669</v>
      </c>
      <c r="O7815" t="s">
        <v>42670</v>
      </c>
      <c r="P7815">
        <v>0</v>
      </c>
      <c r="Q7815">
        <v>1</v>
      </c>
      <c r="R7815" t="s">
        <v>42678</v>
      </c>
      <c r="S7815" t="s">
        <v>42866</v>
      </c>
      <c r="T7815" t="s">
        <v>44446</v>
      </c>
      <c r="U7815" t="s">
        <v>51217</v>
      </c>
      <c r="W7815" t="s">
        <v>40536</v>
      </c>
      <c r="X7815" t="s">
        <v>42679</v>
      </c>
    </row>
    <row r="7816" spans="1:24">
      <c r="A7816">
        <f>HYPERLINK("https://www.philgeps.gov.ph/GEPSNONPILOT/Tender/SplashBidNoticeAbstractUI.aspx?menuIndex=3&amp;refID=7182635&amp;Result=3","7182635")</f>
        <v>0</v>
      </c>
      <c r="B7816" t="s">
        <v>2453</v>
      </c>
      <c r="C7816" t="s">
        <v>11001</v>
      </c>
      <c r="D7816" t="s">
        <v>17216</v>
      </c>
      <c r="E7816" t="s">
        <v>23987</v>
      </c>
      <c r="F7816" t="s">
        <v>29372</v>
      </c>
      <c r="G7816" t="s">
        <v>29380</v>
      </c>
      <c r="H7816" t="s">
        <v>11048</v>
      </c>
      <c r="I7816" t="s">
        <v>3839</v>
      </c>
      <c r="J7816" t="s">
        <v>34086</v>
      </c>
      <c r="K7816" t="s">
        <v>38510</v>
      </c>
      <c r="M7816" t="s">
        <v>41401</v>
      </c>
      <c r="N7816" t="s">
        <v>42669</v>
      </c>
      <c r="O7816" t="s">
        <v>42670</v>
      </c>
      <c r="P7816">
        <v>0</v>
      </c>
      <c r="Q7816">
        <v>5</v>
      </c>
      <c r="R7816" t="s">
        <v>42678</v>
      </c>
      <c r="S7816" t="s">
        <v>42866</v>
      </c>
      <c r="T7816" t="s">
        <v>44450</v>
      </c>
      <c r="U7816" t="s">
        <v>51114</v>
      </c>
      <c r="W7816" t="s">
        <v>41401</v>
      </c>
      <c r="X7816" t="s">
        <v>42679</v>
      </c>
    </row>
    <row r="7817" spans="1:24">
      <c r="A7817">
        <f>HYPERLINK("https://www.philgeps.gov.ph/GEPSNONPILOT/Tender/SplashBidNoticeAbstractUI.aspx?menuIndex=3&amp;refID=7182841&amp;Result=3","7182841")</f>
        <v>0</v>
      </c>
      <c r="B7817" t="s">
        <v>1195</v>
      </c>
      <c r="C7817" t="s">
        <v>11002</v>
      </c>
      <c r="D7817" t="s">
        <v>17169</v>
      </c>
      <c r="E7817" t="s">
        <v>23988</v>
      </c>
      <c r="F7817" t="s">
        <v>29372</v>
      </c>
      <c r="G7817" t="s">
        <v>29380</v>
      </c>
      <c r="H7817" t="s">
        <v>11048</v>
      </c>
      <c r="I7817" t="s">
        <v>29407</v>
      </c>
      <c r="J7817" t="s">
        <v>34561</v>
      </c>
      <c r="K7817" t="s">
        <v>38490</v>
      </c>
      <c r="M7817" t="s">
        <v>40034</v>
      </c>
      <c r="N7817" t="s">
        <v>42669</v>
      </c>
      <c r="O7817" t="s">
        <v>42670</v>
      </c>
      <c r="P7817">
        <v>0</v>
      </c>
      <c r="Q7817">
        <v>5</v>
      </c>
      <c r="R7817" t="s">
        <v>42678</v>
      </c>
      <c r="S7817" t="s">
        <v>42866</v>
      </c>
      <c r="T7817" t="s">
        <v>44580</v>
      </c>
      <c r="U7817" t="s">
        <v>51218</v>
      </c>
      <c r="W7817" t="s">
        <v>40012</v>
      </c>
      <c r="X7817" t="s">
        <v>42679</v>
      </c>
    </row>
    <row r="7818" spans="1:24">
      <c r="A7818">
        <f>HYPERLINK("https://www.philgeps.gov.ph/GEPSNONPILOT/Tender/SplashBidNoticeAbstractUI.aspx?menuIndex=3&amp;refID=7182839&amp;Result=3","7182839")</f>
        <v>0</v>
      </c>
      <c r="B7818" t="s">
        <v>1804</v>
      </c>
      <c r="C7818" t="s">
        <v>11003</v>
      </c>
      <c r="D7818" t="s">
        <v>17213</v>
      </c>
      <c r="E7818" t="s">
        <v>23989</v>
      </c>
      <c r="F7818" t="s">
        <v>29372</v>
      </c>
      <c r="G7818" t="s">
        <v>29383</v>
      </c>
      <c r="H7818" t="s">
        <v>11048</v>
      </c>
      <c r="I7818" t="s">
        <v>4709</v>
      </c>
      <c r="J7818" t="s">
        <v>34562</v>
      </c>
      <c r="K7818" t="s">
        <v>38485</v>
      </c>
      <c r="M7818" t="s">
        <v>40675</v>
      </c>
      <c r="N7818" t="s">
        <v>42669</v>
      </c>
      <c r="O7818" t="s">
        <v>42670</v>
      </c>
      <c r="P7818">
        <v>0</v>
      </c>
      <c r="Q7818">
        <v>0</v>
      </c>
      <c r="R7818" t="s">
        <v>42678</v>
      </c>
      <c r="S7818" t="s">
        <v>42866</v>
      </c>
      <c r="T7818" t="s">
        <v>44441</v>
      </c>
      <c r="U7818" t="s">
        <v>51219</v>
      </c>
      <c r="W7818" t="s">
        <v>40675</v>
      </c>
      <c r="X7818" t="s">
        <v>42679</v>
      </c>
    </row>
    <row r="7819" spans="1:24">
      <c r="A7819">
        <f>HYPERLINK("https://www.philgeps.gov.ph/GEPSNONPILOT/Tender/SplashBidNoticeAbstractUI.aspx?menuIndex=3&amp;refID=7182834&amp;Result=3","7182834")</f>
        <v>0</v>
      </c>
      <c r="B7819" t="s">
        <v>339</v>
      </c>
      <c r="C7819" t="s">
        <v>11004</v>
      </c>
      <c r="D7819" t="s">
        <v>17156</v>
      </c>
      <c r="E7819" t="s">
        <v>11004</v>
      </c>
      <c r="F7819" t="s">
        <v>29372</v>
      </c>
      <c r="G7819" t="s">
        <v>29380</v>
      </c>
      <c r="H7819" t="s">
        <v>11048</v>
      </c>
      <c r="I7819" t="s">
        <v>29415</v>
      </c>
      <c r="J7819" t="s">
        <v>30046</v>
      </c>
      <c r="K7819" t="s">
        <v>38485</v>
      </c>
      <c r="M7819" t="s">
        <v>39651</v>
      </c>
      <c r="N7819" t="s">
        <v>42669</v>
      </c>
      <c r="O7819" t="s">
        <v>42670</v>
      </c>
      <c r="P7819">
        <v>0</v>
      </c>
      <c r="Q7819">
        <v>2</v>
      </c>
      <c r="R7819" t="s">
        <v>42678</v>
      </c>
      <c r="S7819" t="s">
        <v>42866</v>
      </c>
      <c r="T7819" t="s">
        <v>44414</v>
      </c>
      <c r="U7819" t="s">
        <v>51220</v>
      </c>
      <c r="W7819" t="s">
        <v>39651</v>
      </c>
      <c r="X7819" t="s">
        <v>42679</v>
      </c>
    </row>
    <row r="7820" spans="1:24">
      <c r="A7820">
        <f>HYPERLINK("https://www.philgeps.gov.ph/GEPSNONPILOT/Tender/SplashBidNoticeAbstractUI.aspx?menuIndex=3&amp;refID=7182832&amp;Result=3","7182832")</f>
        <v>0</v>
      </c>
      <c r="B7820" t="s">
        <v>63</v>
      </c>
      <c r="C7820" t="s">
        <v>11005</v>
      </c>
      <c r="D7820" t="s">
        <v>17161</v>
      </c>
      <c r="E7820" t="s">
        <v>23990</v>
      </c>
      <c r="F7820" t="s">
        <v>29372</v>
      </c>
      <c r="G7820" t="s">
        <v>29379</v>
      </c>
      <c r="H7820" t="s">
        <v>11048</v>
      </c>
      <c r="I7820" t="s">
        <v>29407</v>
      </c>
      <c r="J7820" t="s">
        <v>34563</v>
      </c>
      <c r="K7820" t="s">
        <v>38490</v>
      </c>
      <c r="M7820" t="s">
        <v>38817</v>
      </c>
      <c r="N7820" t="s">
        <v>42669</v>
      </c>
      <c r="O7820" t="s">
        <v>42670</v>
      </c>
      <c r="P7820">
        <v>0</v>
      </c>
      <c r="Q7820">
        <v>4</v>
      </c>
      <c r="R7820" t="s">
        <v>42678</v>
      </c>
      <c r="S7820" t="s">
        <v>42866</v>
      </c>
      <c r="T7820" t="s">
        <v>44570</v>
      </c>
      <c r="U7820" t="s">
        <v>51181</v>
      </c>
      <c r="W7820" t="s">
        <v>38817</v>
      </c>
      <c r="X7820" t="s">
        <v>42679</v>
      </c>
    </row>
    <row r="7821" spans="1:24">
      <c r="A7821">
        <f>HYPERLINK("https://www.philgeps.gov.ph/GEPSNONPILOT/Tender/SplashBidNoticeAbstractUI.aspx?menuIndex=3&amp;refID=7182818&amp;Result=3","7182818")</f>
        <v>0</v>
      </c>
      <c r="B7821" t="s">
        <v>339</v>
      </c>
      <c r="C7821" t="s">
        <v>11006</v>
      </c>
      <c r="D7821" t="s">
        <v>17156</v>
      </c>
      <c r="E7821" t="s">
        <v>11006</v>
      </c>
      <c r="F7821" t="s">
        <v>29372</v>
      </c>
      <c r="G7821" t="s">
        <v>29380</v>
      </c>
      <c r="H7821" t="s">
        <v>11048</v>
      </c>
      <c r="I7821" t="s">
        <v>29432</v>
      </c>
      <c r="J7821" t="s">
        <v>34564</v>
      </c>
      <c r="K7821" t="s">
        <v>38485</v>
      </c>
      <c r="M7821" t="s">
        <v>39651</v>
      </c>
      <c r="N7821" t="s">
        <v>42669</v>
      </c>
      <c r="O7821" t="s">
        <v>42670</v>
      </c>
      <c r="P7821">
        <v>0</v>
      </c>
      <c r="Q7821">
        <v>0</v>
      </c>
      <c r="R7821" t="s">
        <v>42678</v>
      </c>
      <c r="S7821" t="s">
        <v>42866</v>
      </c>
      <c r="T7821" t="s">
        <v>44414</v>
      </c>
      <c r="U7821" t="s">
        <v>51221</v>
      </c>
      <c r="W7821" t="s">
        <v>39651</v>
      </c>
      <c r="X7821" t="s">
        <v>42679</v>
      </c>
    </row>
    <row r="7822" spans="1:24">
      <c r="A7822">
        <f>HYPERLINK("https://www.philgeps.gov.ph/GEPSNONPILOT/Tender/SplashBidNoticeAbstractUI.aspx?menuIndex=3&amp;refID=7182837&amp;Result=3","7182837")</f>
        <v>0</v>
      </c>
      <c r="B7822" t="s">
        <v>2388</v>
      </c>
      <c r="C7822" t="s">
        <v>11007</v>
      </c>
      <c r="D7822" t="s">
        <v>17185</v>
      </c>
      <c r="E7822" t="s">
        <v>23991</v>
      </c>
      <c r="F7822" t="s">
        <v>29372</v>
      </c>
      <c r="G7822" t="s">
        <v>29380</v>
      </c>
      <c r="H7822" t="s">
        <v>11048</v>
      </c>
      <c r="I7822" t="s">
        <v>8614</v>
      </c>
      <c r="J7822" t="s">
        <v>29587</v>
      </c>
      <c r="K7822" t="s">
        <v>38485</v>
      </c>
      <c r="M7822" t="s">
        <v>41333</v>
      </c>
      <c r="N7822" t="s">
        <v>42669</v>
      </c>
      <c r="O7822" t="s">
        <v>42670</v>
      </c>
      <c r="P7822">
        <v>0</v>
      </c>
      <c r="Q7822">
        <v>5</v>
      </c>
      <c r="R7822" t="s">
        <v>42678</v>
      </c>
      <c r="S7822" t="s">
        <v>42866</v>
      </c>
      <c r="T7822" t="s">
        <v>44442</v>
      </c>
      <c r="U7822" t="s">
        <v>51222</v>
      </c>
      <c r="W7822" t="s">
        <v>41333</v>
      </c>
      <c r="X7822" t="s">
        <v>42679</v>
      </c>
    </row>
    <row r="7823" spans="1:24">
      <c r="A7823">
        <f>HYPERLINK("https://www.philgeps.gov.ph/GEPSNONPILOT/Tender/SplashBidNoticeAbstractUI.aspx?menuIndex=3&amp;refID=7182808&amp;Result=3","7182808")</f>
        <v>0</v>
      </c>
      <c r="B7823" t="s">
        <v>2482</v>
      </c>
      <c r="C7823" t="s">
        <v>11008</v>
      </c>
      <c r="D7823" t="s">
        <v>17141</v>
      </c>
      <c r="E7823" t="s">
        <v>23992</v>
      </c>
      <c r="F7823" t="s">
        <v>29372</v>
      </c>
      <c r="G7823" t="s">
        <v>29380</v>
      </c>
      <c r="H7823" t="s">
        <v>11048</v>
      </c>
      <c r="I7823" t="s">
        <v>4487</v>
      </c>
      <c r="J7823" t="s">
        <v>34565</v>
      </c>
      <c r="K7823" t="s">
        <v>38489</v>
      </c>
      <c r="M7823" t="s">
        <v>41432</v>
      </c>
      <c r="N7823" t="s">
        <v>42669</v>
      </c>
      <c r="O7823" t="s">
        <v>42670</v>
      </c>
      <c r="P7823">
        <v>0</v>
      </c>
      <c r="Q7823">
        <v>0</v>
      </c>
      <c r="R7823" t="s">
        <v>42678</v>
      </c>
      <c r="S7823" t="s">
        <v>42866</v>
      </c>
      <c r="T7823" t="s">
        <v>44488</v>
      </c>
      <c r="U7823" t="s">
        <v>51223</v>
      </c>
      <c r="W7823" t="s">
        <v>41432</v>
      </c>
      <c r="X7823" t="s">
        <v>42679</v>
      </c>
    </row>
    <row r="7824" spans="1:24">
      <c r="A7824">
        <f>HYPERLINK("https://www.philgeps.gov.ph/GEPSNONPILOT/Tender/SplashBidNoticeAbstractUI.aspx?menuIndex=3&amp;refID=7182830&amp;Result=3","7182830")</f>
        <v>0</v>
      </c>
      <c r="B7824" t="s">
        <v>1195</v>
      </c>
      <c r="C7824" t="s">
        <v>11009</v>
      </c>
      <c r="D7824" t="s">
        <v>17169</v>
      </c>
      <c r="E7824" t="s">
        <v>23993</v>
      </c>
      <c r="F7824" t="s">
        <v>29372</v>
      </c>
      <c r="G7824" t="s">
        <v>29380</v>
      </c>
      <c r="H7824" t="s">
        <v>11048</v>
      </c>
      <c r="I7824" t="s">
        <v>29395</v>
      </c>
      <c r="J7824" t="s">
        <v>34566</v>
      </c>
      <c r="K7824" t="s">
        <v>38490</v>
      </c>
      <c r="M7824" t="s">
        <v>40034</v>
      </c>
      <c r="N7824" t="s">
        <v>42669</v>
      </c>
      <c r="O7824" t="s">
        <v>42670</v>
      </c>
      <c r="P7824">
        <v>0</v>
      </c>
      <c r="Q7824">
        <v>0</v>
      </c>
      <c r="R7824" t="s">
        <v>42678</v>
      </c>
      <c r="S7824" t="s">
        <v>42866</v>
      </c>
      <c r="T7824" t="s">
        <v>44580</v>
      </c>
      <c r="U7824" t="s">
        <v>51224</v>
      </c>
      <c r="W7824" t="s">
        <v>40012</v>
      </c>
      <c r="X7824" t="s">
        <v>42679</v>
      </c>
    </row>
    <row r="7825" spans="1:24">
      <c r="A7825">
        <f>HYPERLINK("https://www.philgeps.gov.ph/GEPSNONPILOT/Tender/SplashBidNoticeAbstractUI.aspx?menuIndex=3&amp;refID=7182804&amp;Result=3","7182804")</f>
        <v>0</v>
      </c>
      <c r="B7825" t="s">
        <v>1195</v>
      </c>
      <c r="C7825" t="s">
        <v>11010</v>
      </c>
      <c r="D7825" t="s">
        <v>17169</v>
      </c>
      <c r="E7825" t="s">
        <v>23994</v>
      </c>
      <c r="F7825" t="s">
        <v>29372</v>
      </c>
      <c r="G7825" t="s">
        <v>29380</v>
      </c>
      <c r="H7825" t="s">
        <v>11048</v>
      </c>
      <c r="I7825" t="s">
        <v>29444</v>
      </c>
      <c r="J7825" t="s">
        <v>34567</v>
      </c>
      <c r="K7825" t="s">
        <v>38490</v>
      </c>
      <c r="M7825" t="s">
        <v>40034</v>
      </c>
      <c r="N7825" t="s">
        <v>42669</v>
      </c>
      <c r="O7825" t="s">
        <v>42670</v>
      </c>
      <c r="P7825">
        <v>0</v>
      </c>
      <c r="Q7825">
        <v>4</v>
      </c>
      <c r="R7825" t="s">
        <v>42678</v>
      </c>
      <c r="S7825" t="s">
        <v>42866</v>
      </c>
      <c r="T7825" t="s">
        <v>44580</v>
      </c>
      <c r="U7825" t="s">
        <v>51225</v>
      </c>
      <c r="W7825" t="s">
        <v>40012</v>
      </c>
      <c r="X7825" t="s">
        <v>42679</v>
      </c>
    </row>
    <row r="7826" spans="1:24">
      <c r="A7826">
        <f>HYPERLINK("https://www.philgeps.gov.ph/GEPSNONPILOT/Tender/SplashBidNoticeAbstractUI.aspx?menuIndex=3&amp;refID=7182802&amp;Result=3","7182802")</f>
        <v>0</v>
      </c>
      <c r="B7826" t="s">
        <v>2483</v>
      </c>
      <c r="C7826" t="s">
        <v>11011</v>
      </c>
      <c r="D7826" t="s">
        <v>17205</v>
      </c>
      <c r="E7826" t="s">
        <v>18859</v>
      </c>
      <c r="F7826" t="s">
        <v>29372</v>
      </c>
      <c r="G7826" t="s">
        <v>29380</v>
      </c>
      <c r="H7826" t="s">
        <v>11048</v>
      </c>
      <c r="I7826" t="s">
        <v>4709</v>
      </c>
      <c r="J7826" t="s">
        <v>34568</v>
      </c>
      <c r="K7826" t="s">
        <v>38491</v>
      </c>
      <c r="M7826" t="s">
        <v>41433</v>
      </c>
      <c r="N7826" t="s">
        <v>42669</v>
      </c>
      <c r="O7826" t="s">
        <v>42670</v>
      </c>
      <c r="P7826">
        <v>0</v>
      </c>
      <c r="Q7826">
        <v>1</v>
      </c>
      <c r="R7826" t="s">
        <v>42678</v>
      </c>
      <c r="S7826" t="s">
        <v>42866</v>
      </c>
      <c r="T7826" t="s">
        <v>44660</v>
      </c>
      <c r="U7826" t="s">
        <v>51226</v>
      </c>
      <c r="V7826" t="s">
        <v>57220</v>
      </c>
      <c r="W7826" t="s">
        <v>41433</v>
      </c>
      <c r="X7826" t="s">
        <v>42679</v>
      </c>
    </row>
    <row r="7827" spans="1:24">
      <c r="A7827">
        <f>HYPERLINK("https://www.philgeps.gov.ph/GEPSNONPILOT/Tender/SplashBidNoticeAbstractUI.aspx?menuIndex=3&amp;refID=7182819&amp;Result=3","7182819")</f>
        <v>0</v>
      </c>
      <c r="B7827" t="s">
        <v>1189</v>
      </c>
      <c r="C7827" t="s">
        <v>11012</v>
      </c>
      <c r="D7827" t="s">
        <v>17221</v>
      </c>
      <c r="E7827" t="s">
        <v>23995</v>
      </c>
      <c r="F7827" t="s">
        <v>29372</v>
      </c>
      <c r="G7827" t="s">
        <v>29379</v>
      </c>
      <c r="H7827" t="s">
        <v>11048</v>
      </c>
      <c r="I7827" t="s">
        <v>29393</v>
      </c>
      <c r="J7827" t="s">
        <v>31951</v>
      </c>
      <c r="K7827" t="s">
        <v>38510</v>
      </c>
      <c r="M7827" t="s">
        <v>40005</v>
      </c>
      <c r="N7827" t="s">
        <v>42669</v>
      </c>
      <c r="O7827" t="s">
        <v>42670</v>
      </c>
      <c r="P7827">
        <v>0</v>
      </c>
      <c r="Q7827">
        <v>0</v>
      </c>
      <c r="R7827" t="s">
        <v>42678</v>
      </c>
      <c r="S7827" t="s">
        <v>42866</v>
      </c>
      <c r="T7827" t="s">
        <v>44371</v>
      </c>
      <c r="U7827" t="s">
        <v>51227</v>
      </c>
      <c r="W7827" t="s">
        <v>40005</v>
      </c>
      <c r="X7827" t="s">
        <v>42679</v>
      </c>
    </row>
    <row r="7828" spans="1:24">
      <c r="A7828">
        <f>HYPERLINK("https://www.philgeps.gov.ph/GEPSNONPILOT/Tender/SplashBidNoticeAbstractUI.aspx?menuIndex=3&amp;refID=7182798&amp;Result=3","7182798")</f>
        <v>0</v>
      </c>
      <c r="B7828" t="s">
        <v>264</v>
      </c>
      <c r="C7828" t="s">
        <v>11013</v>
      </c>
      <c r="D7828" t="s">
        <v>17141</v>
      </c>
      <c r="E7828" t="s">
        <v>23996</v>
      </c>
      <c r="F7828" t="s">
        <v>29372</v>
      </c>
      <c r="G7828" t="s">
        <v>29380</v>
      </c>
      <c r="H7828" t="s">
        <v>11048</v>
      </c>
      <c r="I7828" t="s">
        <v>29426</v>
      </c>
      <c r="J7828" t="s">
        <v>34569</v>
      </c>
      <c r="K7828" t="s">
        <v>38490</v>
      </c>
      <c r="M7828" t="s">
        <v>39023</v>
      </c>
      <c r="N7828" t="s">
        <v>42669</v>
      </c>
      <c r="O7828" t="s">
        <v>42670</v>
      </c>
      <c r="P7828">
        <v>0</v>
      </c>
      <c r="Q7828">
        <v>9</v>
      </c>
      <c r="R7828" t="s">
        <v>42678</v>
      </c>
      <c r="S7828" t="s">
        <v>42866</v>
      </c>
      <c r="T7828" t="s">
        <v>44415</v>
      </c>
      <c r="U7828" t="s">
        <v>51228</v>
      </c>
      <c r="W7828" t="s">
        <v>39023</v>
      </c>
      <c r="X7828" t="s">
        <v>42679</v>
      </c>
    </row>
    <row r="7829" spans="1:24">
      <c r="A7829">
        <f>HYPERLINK("https://www.philgeps.gov.ph/GEPSNONPILOT/Tender/SplashBidNoticeAbstractUI.aspx?menuIndex=3&amp;refID=7182795&amp;Result=3","7182795")</f>
        <v>0</v>
      </c>
      <c r="B7829" t="s">
        <v>339</v>
      </c>
      <c r="C7829" t="s">
        <v>11014</v>
      </c>
      <c r="D7829" t="s">
        <v>17156</v>
      </c>
      <c r="E7829" t="s">
        <v>11014</v>
      </c>
      <c r="F7829" t="s">
        <v>29372</v>
      </c>
      <c r="G7829" t="s">
        <v>29380</v>
      </c>
      <c r="H7829" t="s">
        <v>11048</v>
      </c>
      <c r="I7829" t="s">
        <v>3839</v>
      </c>
      <c r="J7829" t="s">
        <v>34570</v>
      </c>
      <c r="K7829" t="s">
        <v>38485</v>
      </c>
      <c r="M7829" t="s">
        <v>39651</v>
      </c>
      <c r="N7829" t="s">
        <v>42669</v>
      </c>
      <c r="O7829" t="s">
        <v>42670</v>
      </c>
      <c r="P7829">
        <v>0</v>
      </c>
      <c r="Q7829">
        <v>0</v>
      </c>
      <c r="R7829" t="s">
        <v>42678</v>
      </c>
      <c r="S7829" t="s">
        <v>42866</v>
      </c>
      <c r="T7829" t="s">
        <v>44414</v>
      </c>
      <c r="U7829" t="s">
        <v>51229</v>
      </c>
      <c r="W7829" t="s">
        <v>39651</v>
      </c>
      <c r="X7829" t="s">
        <v>42679</v>
      </c>
    </row>
    <row r="7830" spans="1:24">
      <c r="A7830">
        <f>HYPERLINK("https://www.philgeps.gov.ph/GEPSNONPILOT/Tender/SplashBidNoticeAbstractUI.aspx?menuIndex=3&amp;refID=7182801&amp;Result=3","7182801")</f>
        <v>0</v>
      </c>
      <c r="B7830" t="s">
        <v>2448</v>
      </c>
      <c r="C7830" t="s">
        <v>11015</v>
      </c>
      <c r="D7830" t="s">
        <v>17195</v>
      </c>
      <c r="E7830" t="s">
        <v>17529</v>
      </c>
      <c r="F7830" t="s">
        <v>29372</v>
      </c>
      <c r="G7830" t="s">
        <v>29380</v>
      </c>
      <c r="H7830" t="s">
        <v>29389</v>
      </c>
      <c r="I7830" t="s">
        <v>10408</v>
      </c>
      <c r="J7830" t="s">
        <v>34571</v>
      </c>
      <c r="K7830" t="s">
        <v>38522</v>
      </c>
      <c r="M7830" t="s">
        <v>41396</v>
      </c>
      <c r="N7830" t="s">
        <v>42669</v>
      </c>
      <c r="O7830" t="s">
        <v>42670</v>
      </c>
      <c r="P7830">
        <v>0</v>
      </c>
      <c r="Q7830">
        <v>15</v>
      </c>
      <c r="R7830" t="s">
        <v>42678</v>
      </c>
      <c r="S7830" t="s">
        <v>42866</v>
      </c>
      <c r="T7830" t="s">
        <v>44663</v>
      </c>
      <c r="U7830" t="s">
        <v>51230</v>
      </c>
      <c r="W7830" t="s">
        <v>41396</v>
      </c>
      <c r="X7830" t="s">
        <v>42679</v>
      </c>
    </row>
    <row r="7831" spans="1:24">
      <c r="A7831">
        <f>HYPERLINK("https://www.philgeps.gov.ph/GEPSNONPILOT/Tender/SplashBidNoticeAbstractUI.aspx?menuIndex=3&amp;refID=7182809&amp;Result=3","7182809")</f>
        <v>0</v>
      </c>
      <c r="B7831" t="s">
        <v>63</v>
      </c>
      <c r="C7831" t="s">
        <v>11016</v>
      </c>
      <c r="D7831" t="s">
        <v>17161</v>
      </c>
      <c r="E7831" t="s">
        <v>23997</v>
      </c>
      <c r="F7831" t="s">
        <v>29372</v>
      </c>
      <c r="G7831" t="s">
        <v>29379</v>
      </c>
      <c r="H7831" t="s">
        <v>11048</v>
      </c>
      <c r="I7831" t="s">
        <v>4709</v>
      </c>
      <c r="J7831" t="s">
        <v>34572</v>
      </c>
      <c r="K7831" t="s">
        <v>38490</v>
      </c>
      <c r="M7831" t="s">
        <v>38817</v>
      </c>
      <c r="N7831" t="s">
        <v>42669</v>
      </c>
      <c r="O7831" t="s">
        <v>42670</v>
      </c>
      <c r="P7831">
        <v>0</v>
      </c>
      <c r="Q7831">
        <v>0</v>
      </c>
      <c r="R7831" t="s">
        <v>42678</v>
      </c>
      <c r="S7831" t="s">
        <v>42866</v>
      </c>
      <c r="T7831" t="s">
        <v>44570</v>
      </c>
      <c r="U7831" t="s">
        <v>51181</v>
      </c>
      <c r="W7831" t="s">
        <v>38817</v>
      </c>
      <c r="X7831" t="s">
        <v>42679</v>
      </c>
    </row>
    <row r="7832" spans="1:24">
      <c r="A7832">
        <f>HYPERLINK("https://www.philgeps.gov.ph/GEPSNONPILOT/Tender/SplashBidNoticeAbstractUI.aspx?menuIndex=3&amp;refID=7182892&amp;Result=3","7182892")</f>
        <v>0</v>
      </c>
      <c r="B7832" t="s">
        <v>2012</v>
      </c>
      <c r="C7832" t="s">
        <v>11017</v>
      </c>
      <c r="D7832" t="s">
        <v>17197</v>
      </c>
      <c r="E7832" t="s">
        <v>23998</v>
      </c>
      <c r="F7832" t="s">
        <v>29372</v>
      </c>
      <c r="G7832" t="s">
        <v>29380</v>
      </c>
      <c r="H7832" t="s">
        <v>29389</v>
      </c>
      <c r="I7832" t="s">
        <v>10408</v>
      </c>
      <c r="J7832" t="s">
        <v>34573</v>
      </c>
      <c r="K7832" t="s">
        <v>38495</v>
      </c>
      <c r="M7832" t="s">
        <v>40903</v>
      </c>
      <c r="N7832" t="s">
        <v>42669</v>
      </c>
      <c r="O7832" t="s">
        <v>42670</v>
      </c>
      <c r="P7832">
        <v>0</v>
      </c>
      <c r="Q7832">
        <v>0</v>
      </c>
      <c r="R7832" t="s">
        <v>42678</v>
      </c>
      <c r="S7832" t="s">
        <v>42866</v>
      </c>
      <c r="T7832" t="s">
        <v>44355</v>
      </c>
      <c r="U7832" t="s">
        <v>51231</v>
      </c>
      <c r="W7832" t="s">
        <v>40903</v>
      </c>
      <c r="X7832" t="s">
        <v>42679</v>
      </c>
    </row>
    <row r="7833" spans="1:24">
      <c r="A7833">
        <f>HYPERLINK("https://www.philgeps.gov.ph/GEPSNONPILOT/Tender/SplashBidNoticeAbstractUI.aspx?menuIndex=3&amp;refID=7182891&amp;Result=3","7182891")</f>
        <v>0</v>
      </c>
      <c r="B7833" t="s">
        <v>689</v>
      </c>
      <c r="C7833" t="s">
        <v>11018</v>
      </c>
      <c r="D7833" t="s">
        <v>17216</v>
      </c>
      <c r="E7833" t="s">
        <v>23999</v>
      </c>
      <c r="F7833" t="s">
        <v>29372</v>
      </c>
      <c r="G7833" t="s">
        <v>29383</v>
      </c>
      <c r="H7833" t="s">
        <v>11048</v>
      </c>
      <c r="I7833" t="s">
        <v>29403</v>
      </c>
      <c r="J7833" t="s">
        <v>34574</v>
      </c>
      <c r="K7833" t="s">
        <v>38488</v>
      </c>
      <c r="M7833" t="s">
        <v>39465</v>
      </c>
      <c r="N7833" t="s">
        <v>42669</v>
      </c>
      <c r="O7833" t="s">
        <v>42670</v>
      </c>
      <c r="P7833">
        <v>0</v>
      </c>
      <c r="Q7833">
        <v>0</v>
      </c>
      <c r="R7833" t="s">
        <v>42678</v>
      </c>
      <c r="S7833" t="s">
        <v>42866</v>
      </c>
      <c r="T7833" t="s">
        <v>44489</v>
      </c>
      <c r="U7833" t="s">
        <v>51232</v>
      </c>
      <c r="W7833" t="s">
        <v>39465</v>
      </c>
      <c r="X7833" t="s">
        <v>42679</v>
      </c>
    </row>
    <row r="7834" spans="1:24">
      <c r="A7834">
        <f>HYPERLINK("https://www.philgeps.gov.ph/GEPSNONPILOT/Tender/SplashBidNoticeAbstractUI.aspx?menuIndex=3&amp;refID=7182887&amp;Result=3","7182887")</f>
        <v>0</v>
      </c>
      <c r="B7834" t="s">
        <v>2484</v>
      </c>
      <c r="C7834" t="s">
        <v>11019</v>
      </c>
      <c r="D7834" t="s">
        <v>17141</v>
      </c>
      <c r="E7834" t="s">
        <v>24000</v>
      </c>
      <c r="F7834" t="s">
        <v>29372</v>
      </c>
      <c r="G7834" t="s">
        <v>29383</v>
      </c>
      <c r="H7834" t="s">
        <v>29389</v>
      </c>
      <c r="I7834" t="s">
        <v>10408</v>
      </c>
      <c r="J7834" t="s">
        <v>34575</v>
      </c>
      <c r="K7834" t="s">
        <v>38488</v>
      </c>
      <c r="M7834" t="s">
        <v>41434</v>
      </c>
      <c r="N7834" t="s">
        <v>42669</v>
      </c>
      <c r="O7834" t="s">
        <v>42670</v>
      </c>
      <c r="P7834">
        <v>0</v>
      </c>
      <c r="Q7834">
        <v>6</v>
      </c>
      <c r="R7834" t="s">
        <v>42678</v>
      </c>
      <c r="S7834" t="s">
        <v>42866</v>
      </c>
      <c r="T7834" t="s">
        <v>44491</v>
      </c>
      <c r="U7834" t="s">
        <v>51233</v>
      </c>
      <c r="W7834" t="s">
        <v>41434</v>
      </c>
      <c r="X7834" t="s">
        <v>42679</v>
      </c>
    </row>
    <row r="7835" spans="1:24">
      <c r="A7835">
        <f>HYPERLINK("https://www.philgeps.gov.ph/GEPSNONPILOT/Tender/SplashBidNoticeAbstractUI.aspx?menuIndex=3&amp;refID=7182844&amp;Result=3","7182844")</f>
        <v>0</v>
      </c>
      <c r="B7835" t="s">
        <v>1002</v>
      </c>
      <c r="C7835" t="s">
        <v>11020</v>
      </c>
      <c r="D7835" t="s">
        <v>17165</v>
      </c>
      <c r="E7835" t="s">
        <v>24001</v>
      </c>
      <c r="F7835" t="s">
        <v>29372</v>
      </c>
      <c r="G7835" t="s">
        <v>29380</v>
      </c>
      <c r="H7835" t="s">
        <v>29389</v>
      </c>
      <c r="I7835" t="s">
        <v>10408</v>
      </c>
      <c r="J7835" t="s">
        <v>34576</v>
      </c>
      <c r="K7835" t="s">
        <v>38496</v>
      </c>
      <c r="M7835" t="s">
        <v>39802</v>
      </c>
      <c r="N7835" t="s">
        <v>42669</v>
      </c>
      <c r="O7835" t="s">
        <v>42670</v>
      </c>
      <c r="P7835">
        <v>0</v>
      </c>
      <c r="Q7835">
        <v>0</v>
      </c>
      <c r="R7835" t="s">
        <v>42678</v>
      </c>
      <c r="S7835" t="s">
        <v>42866</v>
      </c>
      <c r="T7835" t="s">
        <v>44355</v>
      </c>
      <c r="U7835" t="s">
        <v>48942</v>
      </c>
      <c r="W7835" t="s">
        <v>39802</v>
      </c>
      <c r="X7835" t="s">
        <v>42679</v>
      </c>
    </row>
    <row r="7836" spans="1:24">
      <c r="A7836">
        <f>HYPERLINK("https://www.philgeps.gov.ph/GEPSNONPILOT/Tender/SplashBidNoticeAbstractUI.aspx?menuIndex=3&amp;refID=7182885&amp;Result=3","7182885")</f>
        <v>0</v>
      </c>
      <c r="B7836" t="s">
        <v>1195</v>
      </c>
      <c r="C7836" t="s">
        <v>11021</v>
      </c>
      <c r="D7836" t="s">
        <v>17169</v>
      </c>
      <c r="E7836" t="s">
        <v>24002</v>
      </c>
      <c r="F7836" t="s">
        <v>29372</v>
      </c>
      <c r="G7836" t="s">
        <v>29380</v>
      </c>
      <c r="H7836" t="s">
        <v>11048</v>
      </c>
      <c r="I7836" t="s">
        <v>29403</v>
      </c>
      <c r="J7836" t="s">
        <v>34577</v>
      </c>
      <c r="K7836" t="s">
        <v>38490</v>
      </c>
      <c r="M7836" t="s">
        <v>40012</v>
      </c>
      <c r="N7836" t="s">
        <v>42669</v>
      </c>
      <c r="O7836" t="s">
        <v>42670</v>
      </c>
      <c r="P7836">
        <v>0</v>
      </c>
      <c r="Q7836">
        <v>0</v>
      </c>
      <c r="R7836" t="s">
        <v>42678</v>
      </c>
      <c r="S7836" t="s">
        <v>42866</v>
      </c>
      <c r="T7836" t="s">
        <v>44580</v>
      </c>
      <c r="U7836" t="s">
        <v>51234</v>
      </c>
      <c r="W7836" t="s">
        <v>40012</v>
      </c>
      <c r="X7836" t="s">
        <v>42679</v>
      </c>
    </row>
    <row r="7837" spans="1:24">
      <c r="A7837">
        <f>HYPERLINK("https://www.philgeps.gov.ph/GEPSNONPILOT/Tender/SplashBidNoticeAbstractUI.aspx?menuIndex=3&amp;refID=7182882&amp;Result=3","7182882")</f>
        <v>0</v>
      </c>
      <c r="B7837" t="s">
        <v>1247</v>
      </c>
      <c r="C7837" t="s">
        <v>11022</v>
      </c>
      <c r="D7837" t="s">
        <v>17154</v>
      </c>
      <c r="E7837" t="s">
        <v>23921</v>
      </c>
      <c r="F7837" t="s">
        <v>29372</v>
      </c>
      <c r="G7837" t="s">
        <v>29380</v>
      </c>
      <c r="H7837" t="s">
        <v>29389</v>
      </c>
      <c r="I7837" t="s">
        <v>10408</v>
      </c>
      <c r="J7837" t="s">
        <v>34578</v>
      </c>
      <c r="K7837" t="s">
        <v>38485</v>
      </c>
      <c r="M7837" t="s">
        <v>40072</v>
      </c>
      <c r="N7837" t="s">
        <v>42669</v>
      </c>
      <c r="O7837" t="s">
        <v>42670</v>
      </c>
      <c r="P7837">
        <v>0</v>
      </c>
      <c r="Q7837">
        <v>0</v>
      </c>
      <c r="R7837" t="s">
        <v>42678</v>
      </c>
      <c r="S7837" t="s">
        <v>42866</v>
      </c>
      <c r="T7837" t="s">
        <v>44401</v>
      </c>
      <c r="U7837" t="s">
        <v>51235</v>
      </c>
      <c r="W7837" t="s">
        <v>40072</v>
      </c>
      <c r="X7837" t="s">
        <v>42679</v>
      </c>
    </row>
    <row r="7838" spans="1:24">
      <c r="A7838">
        <f>HYPERLINK("https://www.philgeps.gov.ph/GEPSNONPILOT/Tender/SplashBidNoticeAbstractUI.aspx?menuIndex=3&amp;refID=7182877&amp;Result=3","7182877")</f>
        <v>0</v>
      </c>
      <c r="B7838" t="s">
        <v>2485</v>
      </c>
      <c r="C7838" t="s">
        <v>11023</v>
      </c>
      <c r="D7838" t="s">
        <v>17186</v>
      </c>
      <c r="E7838" t="s">
        <v>24003</v>
      </c>
      <c r="F7838" t="s">
        <v>29372</v>
      </c>
      <c r="G7838" t="s">
        <v>29380</v>
      </c>
      <c r="H7838" t="s">
        <v>29389</v>
      </c>
      <c r="I7838" t="s">
        <v>29408</v>
      </c>
      <c r="J7838" t="s">
        <v>34579</v>
      </c>
      <c r="K7838" t="s">
        <v>38525</v>
      </c>
      <c r="M7838" t="s">
        <v>41435</v>
      </c>
      <c r="N7838" t="s">
        <v>42669</v>
      </c>
      <c r="O7838" t="s">
        <v>42670</v>
      </c>
      <c r="P7838">
        <v>0</v>
      </c>
      <c r="Q7838">
        <v>3</v>
      </c>
      <c r="R7838" t="s">
        <v>42678</v>
      </c>
      <c r="S7838" t="s">
        <v>42866</v>
      </c>
      <c r="T7838" t="s">
        <v>44517</v>
      </c>
      <c r="U7838" t="s">
        <v>51236</v>
      </c>
      <c r="W7838" t="s">
        <v>41435</v>
      </c>
      <c r="X7838" t="s">
        <v>42679</v>
      </c>
    </row>
    <row r="7839" spans="1:24">
      <c r="A7839">
        <f>HYPERLINK("https://www.philgeps.gov.ph/GEPSNONPILOT/Tender/SplashBidNoticeAbstractUI.aspx?menuIndex=3&amp;refID=7182784&amp;Result=3","7182784")</f>
        <v>0</v>
      </c>
      <c r="B7839" t="s">
        <v>1088</v>
      </c>
      <c r="C7839" t="s">
        <v>11024</v>
      </c>
      <c r="E7839" t="s">
        <v>24004</v>
      </c>
      <c r="F7839" t="s">
        <v>29372</v>
      </c>
      <c r="G7839" t="s">
        <v>29380</v>
      </c>
      <c r="H7839" t="s">
        <v>29391</v>
      </c>
      <c r="I7839" t="s">
        <v>29391</v>
      </c>
      <c r="J7839" t="s">
        <v>34580</v>
      </c>
      <c r="K7839" t="s">
        <v>38490</v>
      </c>
      <c r="M7839" t="s">
        <v>40660</v>
      </c>
      <c r="N7839" t="s">
        <v>42669</v>
      </c>
      <c r="O7839" t="s">
        <v>42670</v>
      </c>
      <c r="P7839">
        <v>0</v>
      </c>
      <c r="Q7839">
        <v>8</v>
      </c>
      <c r="R7839" t="s">
        <v>42678</v>
      </c>
      <c r="S7839" t="s">
        <v>42866</v>
      </c>
      <c r="T7839" t="s">
        <v>44752</v>
      </c>
      <c r="U7839" t="s">
        <v>51237</v>
      </c>
      <c r="W7839" t="s">
        <v>41517</v>
      </c>
      <c r="X7839" t="s">
        <v>42679</v>
      </c>
    </row>
    <row r="7840" spans="1:24">
      <c r="A7840">
        <f>HYPERLINK("https://www.philgeps.gov.ph/GEPSNONPILOT/Tender/SplashBidNoticeAbstractUI.aspx?menuIndex=3&amp;refID=7182872&amp;Result=3","7182872")</f>
        <v>0</v>
      </c>
      <c r="B7840" t="s">
        <v>63</v>
      </c>
      <c r="C7840" t="s">
        <v>11025</v>
      </c>
      <c r="D7840" t="s">
        <v>17161</v>
      </c>
      <c r="E7840" t="s">
        <v>24005</v>
      </c>
      <c r="F7840" t="s">
        <v>29372</v>
      </c>
      <c r="G7840" t="s">
        <v>29379</v>
      </c>
      <c r="H7840" t="s">
        <v>11048</v>
      </c>
      <c r="I7840" t="s">
        <v>29403</v>
      </c>
      <c r="J7840" t="s">
        <v>34581</v>
      </c>
      <c r="K7840" t="s">
        <v>38490</v>
      </c>
      <c r="M7840" t="s">
        <v>38817</v>
      </c>
      <c r="N7840" t="s">
        <v>42669</v>
      </c>
      <c r="O7840" t="s">
        <v>42670</v>
      </c>
      <c r="P7840">
        <v>0</v>
      </c>
      <c r="Q7840">
        <v>0</v>
      </c>
      <c r="R7840" t="s">
        <v>42678</v>
      </c>
      <c r="S7840" t="s">
        <v>42866</v>
      </c>
      <c r="T7840" t="s">
        <v>44570</v>
      </c>
      <c r="U7840" t="s">
        <v>51181</v>
      </c>
      <c r="W7840" t="s">
        <v>38817</v>
      </c>
      <c r="X7840" t="s">
        <v>42679</v>
      </c>
    </row>
    <row r="7841" spans="1:24">
      <c r="A7841">
        <f>HYPERLINK("https://www.philgeps.gov.ph/GEPSNONPILOT/Tender/SplashBidNoticeAbstractUI.aspx?menuIndex=3&amp;refID=7182870&amp;Result=3","7182870")</f>
        <v>0</v>
      </c>
      <c r="B7841" t="s">
        <v>339</v>
      </c>
      <c r="C7841" t="s">
        <v>11026</v>
      </c>
      <c r="D7841" t="s">
        <v>17156</v>
      </c>
      <c r="E7841" t="s">
        <v>11026</v>
      </c>
      <c r="F7841" t="s">
        <v>29372</v>
      </c>
      <c r="G7841" t="s">
        <v>29380</v>
      </c>
      <c r="H7841" t="s">
        <v>11048</v>
      </c>
      <c r="I7841" t="s">
        <v>8614</v>
      </c>
      <c r="J7841" t="s">
        <v>29825</v>
      </c>
      <c r="K7841" t="s">
        <v>38485</v>
      </c>
      <c r="M7841" t="s">
        <v>39651</v>
      </c>
      <c r="N7841" t="s">
        <v>42669</v>
      </c>
      <c r="O7841" t="s">
        <v>42670</v>
      </c>
      <c r="P7841">
        <v>0</v>
      </c>
      <c r="Q7841">
        <v>0</v>
      </c>
      <c r="R7841" t="s">
        <v>42678</v>
      </c>
      <c r="S7841" t="s">
        <v>42866</v>
      </c>
      <c r="T7841" t="s">
        <v>44414</v>
      </c>
      <c r="U7841" t="s">
        <v>51238</v>
      </c>
      <c r="W7841" t="s">
        <v>39651</v>
      </c>
      <c r="X7841" t="s">
        <v>42679</v>
      </c>
    </row>
    <row r="7842" spans="1:24">
      <c r="A7842">
        <f>HYPERLINK("https://www.philgeps.gov.ph/GEPSNONPILOT/Tender/SplashBidNoticeAbstractUI.aspx?menuIndex=3&amp;refID=7182869&amp;Result=3","7182869")</f>
        <v>0</v>
      </c>
      <c r="B7842" t="s">
        <v>1195</v>
      </c>
      <c r="C7842" t="s">
        <v>11009</v>
      </c>
      <c r="D7842" t="s">
        <v>17169</v>
      </c>
      <c r="E7842" t="s">
        <v>24006</v>
      </c>
      <c r="F7842" t="s">
        <v>29372</v>
      </c>
      <c r="G7842" t="s">
        <v>29380</v>
      </c>
      <c r="H7842" t="s">
        <v>11048</v>
      </c>
      <c r="I7842" t="s">
        <v>29395</v>
      </c>
      <c r="J7842" t="s">
        <v>34582</v>
      </c>
      <c r="K7842" t="s">
        <v>38490</v>
      </c>
      <c r="M7842" t="s">
        <v>40012</v>
      </c>
      <c r="N7842" t="s">
        <v>42669</v>
      </c>
      <c r="O7842" t="s">
        <v>42670</v>
      </c>
      <c r="P7842">
        <v>0</v>
      </c>
      <c r="Q7842">
        <v>0</v>
      </c>
      <c r="R7842" t="s">
        <v>42678</v>
      </c>
      <c r="S7842" t="s">
        <v>42866</v>
      </c>
      <c r="T7842" t="s">
        <v>44580</v>
      </c>
      <c r="U7842" t="s">
        <v>51239</v>
      </c>
      <c r="W7842" t="s">
        <v>40012</v>
      </c>
      <c r="X7842" t="s">
        <v>42679</v>
      </c>
    </row>
    <row r="7843" spans="1:24">
      <c r="A7843">
        <f>HYPERLINK("https://www.philgeps.gov.ph/GEPSNONPILOT/Tender/SplashBidNoticeAbstractUI.aspx?menuIndex=3&amp;refID=7182865&amp;Result=3","7182865")</f>
        <v>0</v>
      </c>
      <c r="B7843" t="s">
        <v>1189</v>
      </c>
      <c r="C7843" t="s">
        <v>11027</v>
      </c>
      <c r="D7843" t="s">
        <v>17221</v>
      </c>
      <c r="E7843" t="s">
        <v>24007</v>
      </c>
      <c r="F7843" t="s">
        <v>29372</v>
      </c>
      <c r="G7843" t="s">
        <v>29379</v>
      </c>
      <c r="H7843" t="s">
        <v>11048</v>
      </c>
      <c r="I7843" t="s">
        <v>29393</v>
      </c>
      <c r="J7843" t="s">
        <v>29619</v>
      </c>
      <c r="K7843" t="s">
        <v>38510</v>
      </c>
      <c r="M7843" t="s">
        <v>40005</v>
      </c>
      <c r="N7843" t="s">
        <v>42669</v>
      </c>
      <c r="O7843" t="s">
        <v>42670</v>
      </c>
      <c r="P7843">
        <v>0</v>
      </c>
      <c r="Q7843">
        <v>0</v>
      </c>
      <c r="R7843" t="s">
        <v>42678</v>
      </c>
      <c r="S7843" t="s">
        <v>42866</v>
      </c>
      <c r="T7843" t="s">
        <v>44371</v>
      </c>
      <c r="U7843" t="s">
        <v>51240</v>
      </c>
      <c r="W7843" t="s">
        <v>40005</v>
      </c>
      <c r="X7843" t="s">
        <v>42679</v>
      </c>
    </row>
    <row r="7844" spans="1:24">
      <c r="A7844">
        <f>HYPERLINK("https://www.philgeps.gov.ph/GEPSNONPILOT/Tender/SplashBidNoticeAbstractUI.aspx?menuIndex=3&amp;refID=7182858&amp;Result=3","7182858")</f>
        <v>0</v>
      </c>
      <c r="B7844" t="s">
        <v>1195</v>
      </c>
      <c r="C7844" t="s">
        <v>6624</v>
      </c>
      <c r="D7844" t="s">
        <v>17169</v>
      </c>
      <c r="E7844" t="s">
        <v>24008</v>
      </c>
      <c r="F7844" t="s">
        <v>29372</v>
      </c>
      <c r="G7844" t="s">
        <v>29380</v>
      </c>
      <c r="H7844" t="s">
        <v>11048</v>
      </c>
      <c r="I7844" t="s">
        <v>4487</v>
      </c>
      <c r="J7844" t="s">
        <v>34583</v>
      </c>
      <c r="K7844" t="s">
        <v>38490</v>
      </c>
      <c r="M7844" t="s">
        <v>40012</v>
      </c>
      <c r="N7844" t="s">
        <v>42669</v>
      </c>
      <c r="O7844" t="s">
        <v>42670</v>
      </c>
      <c r="P7844">
        <v>0</v>
      </c>
      <c r="Q7844">
        <v>0</v>
      </c>
      <c r="R7844" t="s">
        <v>42678</v>
      </c>
      <c r="S7844" t="s">
        <v>42866</v>
      </c>
      <c r="T7844" t="s">
        <v>44580</v>
      </c>
      <c r="U7844" t="s">
        <v>51241</v>
      </c>
      <c r="W7844" t="s">
        <v>40012</v>
      </c>
      <c r="X7844" t="s">
        <v>42679</v>
      </c>
    </row>
    <row r="7845" spans="1:24">
      <c r="A7845">
        <f>HYPERLINK("https://www.philgeps.gov.ph/GEPSNONPILOT/Tender/SplashBidNoticeAbstractUI.aspx?menuIndex=3&amp;refID=7182873&amp;Result=3","7182873")</f>
        <v>0</v>
      </c>
      <c r="B7845" t="s">
        <v>579</v>
      </c>
      <c r="C7845" t="s">
        <v>11028</v>
      </c>
      <c r="D7845" t="s">
        <v>17141</v>
      </c>
      <c r="E7845" t="s">
        <v>24009</v>
      </c>
      <c r="F7845" t="s">
        <v>29373</v>
      </c>
      <c r="G7845" t="s">
        <v>29380</v>
      </c>
      <c r="H7845" t="s">
        <v>11048</v>
      </c>
      <c r="I7845" t="s">
        <v>4487</v>
      </c>
      <c r="J7845" t="s">
        <v>34584</v>
      </c>
      <c r="K7845" t="s">
        <v>38485</v>
      </c>
      <c r="M7845" t="s">
        <v>39348</v>
      </c>
      <c r="N7845" t="s">
        <v>42669</v>
      </c>
      <c r="O7845" t="s">
        <v>42670</v>
      </c>
      <c r="P7845">
        <v>0</v>
      </c>
      <c r="Q7845">
        <v>1</v>
      </c>
      <c r="R7845" t="s">
        <v>42678</v>
      </c>
      <c r="S7845" t="s">
        <v>42866</v>
      </c>
      <c r="T7845" t="s">
        <v>44453</v>
      </c>
      <c r="U7845" t="s">
        <v>51242</v>
      </c>
      <c r="V7845" t="s">
        <v>56504</v>
      </c>
      <c r="W7845" t="s">
        <v>39348</v>
      </c>
      <c r="X7845" t="s">
        <v>42679</v>
      </c>
    </row>
    <row r="7846" spans="1:24">
      <c r="A7846">
        <f>HYPERLINK("https://www.philgeps.gov.ph/GEPSNONPILOT/Tender/SplashBidNoticeAbstractUI.aspx?menuIndex=3&amp;refID=7182857&amp;Result=3","7182857")</f>
        <v>0</v>
      </c>
      <c r="B7846" t="s">
        <v>2448</v>
      </c>
      <c r="C7846" t="s">
        <v>11029</v>
      </c>
      <c r="D7846" t="s">
        <v>17195</v>
      </c>
      <c r="E7846" t="s">
        <v>19807</v>
      </c>
      <c r="F7846" t="s">
        <v>29372</v>
      </c>
      <c r="G7846" t="s">
        <v>29380</v>
      </c>
      <c r="H7846" t="s">
        <v>29389</v>
      </c>
      <c r="I7846" t="s">
        <v>10408</v>
      </c>
      <c r="J7846" t="s">
        <v>34585</v>
      </c>
      <c r="K7846" t="s">
        <v>38522</v>
      </c>
      <c r="M7846" t="s">
        <v>41396</v>
      </c>
      <c r="N7846" t="s">
        <v>42669</v>
      </c>
      <c r="O7846" t="s">
        <v>42670</v>
      </c>
      <c r="P7846">
        <v>0</v>
      </c>
      <c r="Q7846">
        <v>12</v>
      </c>
      <c r="R7846" t="s">
        <v>42678</v>
      </c>
      <c r="S7846" t="s">
        <v>42866</v>
      </c>
      <c r="T7846" t="s">
        <v>44663</v>
      </c>
      <c r="U7846" t="s">
        <v>51243</v>
      </c>
      <c r="W7846" t="s">
        <v>41396</v>
      </c>
      <c r="X7846" t="s">
        <v>42679</v>
      </c>
    </row>
    <row r="7847" spans="1:24">
      <c r="A7847">
        <f>HYPERLINK("https://www.philgeps.gov.ph/GEPSNONPILOT/Tender/SplashBidNoticeAbstractUI.aspx?menuIndex=3&amp;refID=7182851&amp;Result=3","7182851")</f>
        <v>0</v>
      </c>
      <c r="B7847" t="s">
        <v>63</v>
      </c>
      <c r="C7847" t="s">
        <v>11030</v>
      </c>
      <c r="D7847" t="s">
        <v>17161</v>
      </c>
      <c r="E7847" t="s">
        <v>24010</v>
      </c>
      <c r="F7847" t="s">
        <v>29372</v>
      </c>
      <c r="G7847" t="s">
        <v>29379</v>
      </c>
      <c r="H7847" t="s">
        <v>11048</v>
      </c>
      <c r="I7847" t="s">
        <v>29424</v>
      </c>
      <c r="J7847" t="s">
        <v>34586</v>
      </c>
      <c r="K7847" t="s">
        <v>38490</v>
      </c>
      <c r="M7847" t="s">
        <v>38817</v>
      </c>
      <c r="N7847" t="s">
        <v>42669</v>
      </c>
      <c r="O7847" t="s">
        <v>42670</v>
      </c>
      <c r="P7847">
        <v>0</v>
      </c>
      <c r="Q7847">
        <v>4</v>
      </c>
      <c r="R7847" t="s">
        <v>42678</v>
      </c>
      <c r="S7847" t="s">
        <v>42866</v>
      </c>
      <c r="T7847" t="s">
        <v>44570</v>
      </c>
      <c r="U7847" t="s">
        <v>51181</v>
      </c>
      <c r="W7847" t="s">
        <v>38817</v>
      </c>
      <c r="X7847" t="s">
        <v>42679</v>
      </c>
    </row>
    <row r="7848" spans="1:24">
      <c r="A7848">
        <f>HYPERLINK("https://www.philgeps.gov.ph/GEPSNONPILOT/Tender/SplashBidNoticeAbstractUI.aspx?menuIndex=3&amp;refID=7182850&amp;Result=3","7182850")</f>
        <v>0</v>
      </c>
      <c r="B7848" t="s">
        <v>170</v>
      </c>
      <c r="C7848" t="s">
        <v>11031</v>
      </c>
      <c r="D7848" t="s">
        <v>17195</v>
      </c>
      <c r="E7848" t="s">
        <v>24011</v>
      </c>
      <c r="F7848" t="s">
        <v>29372</v>
      </c>
      <c r="G7848" t="s">
        <v>29379</v>
      </c>
      <c r="H7848" t="s">
        <v>11048</v>
      </c>
      <c r="I7848" t="s">
        <v>8208</v>
      </c>
      <c r="J7848" t="s">
        <v>34587</v>
      </c>
      <c r="K7848" t="s">
        <v>38495</v>
      </c>
      <c r="M7848" t="s">
        <v>38927</v>
      </c>
      <c r="N7848" t="s">
        <v>42669</v>
      </c>
      <c r="O7848" t="s">
        <v>42670</v>
      </c>
      <c r="P7848">
        <v>0</v>
      </c>
      <c r="Q7848">
        <v>0</v>
      </c>
      <c r="R7848" t="s">
        <v>42678</v>
      </c>
      <c r="S7848" t="s">
        <v>42866</v>
      </c>
      <c r="T7848" t="s">
        <v>44510</v>
      </c>
      <c r="U7848" t="s">
        <v>47920</v>
      </c>
      <c r="W7848" t="s">
        <v>38927</v>
      </c>
      <c r="X7848" t="s">
        <v>42679</v>
      </c>
    </row>
    <row r="7849" spans="1:24">
      <c r="A7849">
        <f>HYPERLINK("https://www.philgeps.gov.ph/GEPSNONPILOT/Tender/SplashBidNoticeAbstractUI.aspx?menuIndex=3&amp;refID=7182890&amp;Result=3","7182890")</f>
        <v>0</v>
      </c>
      <c r="B7849" t="s">
        <v>1947</v>
      </c>
      <c r="C7849" t="s">
        <v>11032</v>
      </c>
      <c r="D7849" t="s">
        <v>17194</v>
      </c>
      <c r="E7849" t="s">
        <v>24012</v>
      </c>
      <c r="F7849" t="s">
        <v>29372</v>
      </c>
      <c r="G7849" t="s">
        <v>29380</v>
      </c>
      <c r="H7849" t="s">
        <v>11048</v>
      </c>
      <c r="I7849" t="s">
        <v>4709</v>
      </c>
      <c r="J7849" t="s">
        <v>34588</v>
      </c>
      <c r="K7849" t="s">
        <v>38518</v>
      </c>
      <c r="M7849" t="s">
        <v>40829</v>
      </c>
      <c r="N7849" t="s">
        <v>42669</v>
      </c>
      <c r="O7849" t="s">
        <v>42670</v>
      </c>
      <c r="P7849">
        <v>0</v>
      </c>
      <c r="Q7849">
        <v>0</v>
      </c>
      <c r="R7849" t="s">
        <v>42678</v>
      </c>
      <c r="S7849" t="s">
        <v>42866</v>
      </c>
      <c r="T7849" t="s">
        <v>44375</v>
      </c>
      <c r="U7849" t="s">
        <v>51244</v>
      </c>
      <c r="W7849" t="s">
        <v>40829</v>
      </c>
      <c r="X7849" t="s">
        <v>42679</v>
      </c>
    </row>
    <row r="7850" spans="1:24">
      <c r="A7850">
        <f>HYPERLINK("https://www.philgeps.gov.ph/GEPSNONPILOT/Tender/SplashBidNoticeAbstractUI.aspx?menuIndex=3&amp;refID=7182792&amp;Result=3","7182792")</f>
        <v>0</v>
      </c>
      <c r="B7850" t="s">
        <v>1947</v>
      </c>
      <c r="C7850" t="s">
        <v>11033</v>
      </c>
      <c r="D7850" t="s">
        <v>17194</v>
      </c>
      <c r="E7850" t="s">
        <v>24013</v>
      </c>
      <c r="F7850" t="s">
        <v>29372</v>
      </c>
      <c r="G7850" t="s">
        <v>29380</v>
      </c>
      <c r="H7850" t="s">
        <v>11048</v>
      </c>
      <c r="I7850" t="s">
        <v>4709</v>
      </c>
      <c r="J7850" t="s">
        <v>34589</v>
      </c>
      <c r="K7850" t="s">
        <v>38683</v>
      </c>
      <c r="M7850" t="s">
        <v>40829</v>
      </c>
      <c r="N7850" t="s">
        <v>42669</v>
      </c>
      <c r="O7850" t="s">
        <v>42670</v>
      </c>
      <c r="P7850">
        <v>0</v>
      </c>
      <c r="Q7850">
        <v>0</v>
      </c>
      <c r="R7850" t="s">
        <v>42678</v>
      </c>
      <c r="S7850" t="s">
        <v>42866</v>
      </c>
      <c r="T7850" t="s">
        <v>44375</v>
      </c>
      <c r="U7850" t="s">
        <v>51245</v>
      </c>
      <c r="W7850" t="s">
        <v>40829</v>
      </c>
      <c r="X7850" t="s">
        <v>42679</v>
      </c>
    </row>
    <row r="7851" spans="1:24">
      <c r="A7851">
        <f>HYPERLINK("https://www.philgeps.gov.ph/GEPSNONPILOT/Tender/SplashBidNoticeAbstractUI.aspx?menuIndex=3&amp;refID=7182861&amp;Result=3","7182861")</f>
        <v>0</v>
      </c>
      <c r="B7851" t="s">
        <v>2486</v>
      </c>
      <c r="C7851" t="s">
        <v>11034</v>
      </c>
      <c r="D7851" t="s">
        <v>17168</v>
      </c>
      <c r="E7851" t="s">
        <v>24014</v>
      </c>
      <c r="F7851" t="s">
        <v>29372</v>
      </c>
      <c r="G7851" t="s">
        <v>29380</v>
      </c>
      <c r="H7851" t="s">
        <v>29389</v>
      </c>
      <c r="I7851" t="s">
        <v>10408</v>
      </c>
      <c r="J7851" t="s">
        <v>34590</v>
      </c>
      <c r="K7851" t="s">
        <v>38485</v>
      </c>
      <c r="M7851" t="s">
        <v>41436</v>
      </c>
      <c r="N7851" t="s">
        <v>42669</v>
      </c>
      <c r="O7851" t="s">
        <v>42670</v>
      </c>
      <c r="P7851">
        <v>0</v>
      </c>
      <c r="Q7851">
        <v>0</v>
      </c>
      <c r="R7851" t="s">
        <v>42678</v>
      </c>
      <c r="S7851" t="s">
        <v>42866</v>
      </c>
      <c r="T7851" t="s">
        <v>44427</v>
      </c>
      <c r="U7851" t="s">
        <v>51246</v>
      </c>
      <c r="W7851" t="s">
        <v>41436</v>
      </c>
      <c r="X7851" t="s">
        <v>42679</v>
      </c>
    </row>
    <row r="7852" spans="1:24">
      <c r="A7852">
        <f>HYPERLINK("https://www.philgeps.gov.ph/GEPSNONPILOT/Tender/SplashBidNoticeAbstractUI.aspx?menuIndex=3&amp;refID=7182456&amp;Result=3","7182456")</f>
        <v>0</v>
      </c>
      <c r="B7852" t="s">
        <v>666</v>
      </c>
      <c r="C7852" t="s">
        <v>11035</v>
      </c>
      <c r="D7852" t="s">
        <v>17205</v>
      </c>
      <c r="E7852" t="s">
        <v>24015</v>
      </c>
      <c r="F7852" t="s">
        <v>29372</v>
      </c>
      <c r="G7852" t="s">
        <v>29384</v>
      </c>
      <c r="H7852" t="s">
        <v>11048</v>
      </c>
      <c r="I7852" t="s">
        <v>4709</v>
      </c>
      <c r="J7852" t="s">
        <v>34591</v>
      </c>
      <c r="K7852" t="s">
        <v>38490</v>
      </c>
      <c r="M7852" t="s">
        <v>39442</v>
      </c>
      <c r="N7852" t="s">
        <v>42669</v>
      </c>
      <c r="O7852" t="s">
        <v>42670</v>
      </c>
      <c r="P7852">
        <v>0</v>
      </c>
      <c r="Q7852">
        <v>1</v>
      </c>
      <c r="R7852" t="s">
        <v>42678</v>
      </c>
      <c r="S7852" t="s">
        <v>42866</v>
      </c>
      <c r="T7852" t="s">
        <v>44493</v>
      </c>
      <c r="U7852" t="s">
        <v>51247</v>
      </c>
      <c r="W7852" t="s">
        <v>39442</v>
      </c>
      <c r="X7852" t="s">
        <v>42679</v>
      </c>
    </row>
    <row r="7853" spans="1:24">
      <c r="A7853">
        <f>HYPERLINK("https://www.philgeps.gov.ph/GEPSNONPILOT/Tender/SplashBidNoticeAbstractUI.aspx?menuIndex=3&amp;refID=7182893&amp;Result=3","7182893")</f>
        <v>0</v>
      </c>
      <c r="B7853" t="s">
        <v>339</v>
      </c>
      <c r="C7853" t="s">
        <v>11036</v>
      </c>
      <c r="D7853" t="s">
        <v>17156</v>
      </c>
      <c r="E7853" t="s">
        <v>11036</v>
      </c>
      <c r="F7853" t="s">
        <v>29372</v>
      </c>
      <c r="G7853" t="s">
        <v>29380</v>
      </c>
      <c r="H7853" t="s">
        <v>11048</v>
      </c>
      <c r="I7853" t="s">
        <v>3670</v>
      </c>
      <c r="J7853" t="s">
        <v>30649</v>
      </c>
      <c r="K7853" t="s">
        <v>38485</v>
      </c>
      <c r="M7853" t="s">
        <v>39651</v>
      </c>
      <c r="N7853" t="s">
        <v>42669</v>
      </c>
      <c r="O7853" t="s">
        <v>42670</v>
      </c>
      <c r="P7853">
        <v>0</v>
      </c>
      <c r="Q7853">
        <v>0</v>
      </c>
      <c r="R7853" t="s">
        <v>42678</v>
      </c>
      <c r="S7853" t="s">
        <v>42866</v>
      </c>
      <c r="T7853" t="s">
        <v>44414</v>
      </c>
      <c r="U7853" t="s">
        <v>51248</v>
      </c>
      <c r="W7853" t="s">
        <v>39651</v>
      </c>
      <c r="X7853" t="s">
        <v>42679</v>
      </c>
    </row>
    <row r="7854" spans="1:24">
      <c r="A7854">
        <f>HYPERLINK("https://www.philgeps.gov.ph/GEPSNONPILOT/Tender/SplashBidNoticeAbstractUI.aspx?menuIndex=3&amp;refID=7182454&amp;Result=3","7182454")</f>
        <v>0</v>
      </c>
      <c r="B7854" t="s">
        <v>2452</v>
      </c>
      <c r="C7854" t="s">
        <v>11037</v>
      </c>
      <c r="D7854" t="s">
        <v>17168</v>
      </c>
      <c r="E7854" t="s">
        <v>24016</v>
      </c>
      <c r="F7854" t="s">
        <v>29372</v>
      </c>
      <c r="G7854" t="s">
        <v>29379</v>
      </c>
      <c r="H7854" t="s">
        <v>11048</v>
      </c>
      <c r="I7854" t="s">
        <v>5383</v>
      </c>
      <c r="J7854" t="s">
        <v>34592</v>
      </c>
      <c r="K7854" t="s">
        <v>38488</v>
      </c>
      <c r="M7854" t="s">
        <v>41400</v>
      </c>
      <c r="N7854" t="s">
        <v>42669</v>
      </c>
      <c r="O7854" t="s">
        <v>42670</v>
      </c>
      <c r="P7854">
        <v>0</v>
      </c>
      <c r="Q7854">
        <v>2</v>
      </c>
      <c r="R7854" t="s">
        <v>42678</v>
      </c>
      <c r="S7854" t="s">
        <v>42866</v>
      </c>
      <c r="T7854" t="s">
        <v>44481</v>
      </c>
      <c r="U7854" t="s">
        <v>51249</v>
      </c>
      <c r="W7854" t="s">
        <v>41400</v>
      </c>
      <c r="X7854" t="s">
        <v>42679</v>
      </c>
    </row>
    <row r="7855" spans="1:24">
      <c r="A7855">
        <f>HYPERLINK("https://www.philgeps.gov.ph/GEPSNONPILOT/Tender/SplashBidNoticeAbstractUI.aspx?menuIndex=3&amp;refID=7182845&amp;Result=3","7182845")</f>
        <v>0</v>
      </c>
      <c r="B7855" t="s">
        <v>339</v>
      </c>
      <c r="C7855" t="s">
        <v>11038</v>
      </c>
      <c r="D7855" t="s">
        <v>17156</v>
      </c>
      <c r="E7855" t="s">
        <v>11038</v>
      </c>
      <c r="F7855" t="s">
        <v>29372</v>
      </c>
      <c r="G7855" t="s">
        <v>29380</v>
      </c>
      <c r="H7855" t="s">
        <v>11048</v>
      </c>
      <c r="I7855" t="s">
        <v>29485</v>
      </c>
      <c r="J7855" t="s">
        <v>34593</v>
      </c>
      <c r="K7855" t="s">
        <v>38485</v>
      </c>
      <c r="M7855" t="s">
        <v>39651</v>
      </c>
      <c r="N7855" t="s">
        <v>42669</v>
      </c>
      <c r="O7855" t="s">
        <v>42670</v>
      </c>
      <c r="P7855">
        <v>0</v>
      </c>
      <c r="Q7855">
        <v>0</v>
      </c>
      <c r="R7855" t="s">
        <v>42678</v>
      </c>
      <c r="S7855" t="s">
        <v>42866</v>
      </c>
      <c r="T7855" t="s">
        <v>44414</v>
      </c>
      <c r="U7855" t="s">
        <v>51250</v>
      </c>
      <c r="W7855" t="s">
        <v>39651</v>
      </c>
      <c r="X7855" t="s">
        <v>42679</v>
      </c>
    </row>
    <row r="7856" spans="1:24">
      <c r="A7856">
        <f>HYPERLINK("https://www.philgeps.gov.ph/GEPSNONPILOT/Tender/SplashBidNoticeAbstractUI.aspx?menuIndex=3&amp;refID=7182933&amp;Result=3","7182933")</f>
        <v>0</v>
      </c>
      <c r="B7856" t="s">
        <v>294</v>
      </c>
      <c r="C7856" t="s">
        <v>11039</v>
      </c>
      <c r="D7856" t="s">
        <v>17209</v>
      </c>
      <c r="E7856" t="s">
        <v>17930</v>
      </c>
      <c r="F7856" t="s">
        <v>29372</v>
      </c>
      <c r="G7856" t="s">
        <v>29380</v>
      </c>
      <c r="H7856" t="s">
        <v>11048</v>
      </c>
      <c r="I7856" t="s">
        <v>29403</v>
      </c>
      <c r="J7856" t="s">
        <v>34594</v>
      </c>
      <c r="K7856" t="s">
        <v>38485</v>
      </c>
      <c r="M7856" t="s">
        <v>39053</v>
      </c>
      <c r="N7856" t="s">
        <v>42669</v>
      </c>
      <c r="O7856" t="s">
        <v>42670</v>
      </c>
      <c r="P7856">
        <v>0</v>
      </c>
      <c r="Q7856">
        <v>1</v>
      </c>
      <c r="R7856" t="s">
        <v>42678</v>
      </c>
      <c r="S7856" t="s">
        <v>42866</v>
      </c>
      <c r="T7856" t="s">
        <v>44390</v>
      </c>
      <c r="U7856" t="s">
        <v>51251</v>
      </c>
      <c r="W7856" t="s">
        <v>39053</v>
      </c>
      <c r="X7856" t="s">
        <v>42679</v>
      </c>
    </row>
    <row r="7857" spans="1:24">
      <c r="A7857">
        <f>HYPERLINK("https://www.philgeps.gov.ph/GEPSNONPILOT/Tender/SplashBidNoticeAbstractUI.aspx?menuIndex=3&amp;refID=7182846&amp;Result=3","7182846")</f>
        <v>0</v>
      </c>
      <c r="B7857" t="s">
        <v>52</v>
      </c>
      <c r="C7857" t="s">
        <v>11040</v>
      </c>
      <c r="D7857" t="s">
        <v>17164</v>
      </c>
      <c r="E7857" t="s">
        <v>24017</v>
      </c>
      <c r="F7857" t="s">
        <v>29372</v>
      </c>
      <c r="G7857" t="s">
        <v>29379</v>
      </c>
      <c r="H7857" t="s">
        <v>11048</v>
      </c>
      <c r="I7857" t="s">
        <v>14920</v>
      </c>
      <c r="J7857" t="s">
        <v>32201</v>
      </c>
      <c r="K7857" t="s">
        <v>38522</v>
      </c>
      <c r="M7857" t="s">
        <v>40848</v>
      </c>
      <c r="N7857" t="s">
        <v>42669</v>
      </c>
      <c r="O7857" t="s">
        <v>42670</v>
      </c>
      <c r="Q7857">
        <v>0</v>
      </c>
      <c r="R7857" t="s">
        <v>42678</v>
      </c>
      <c r="S7857" t="s">
        <v>42906</v>
      </c>
      <c r="T7857" t="s">
        <v>44635</v>
      </c>
      <c r="U7857" t="s">
        <v>51252</v>
      </c>
      <c r="W7857" t="s">
        <v>40848</v>
      </c>
      <c r="X7857" t="s">
        <v>42679</v>
      </c>
    </row>
    <row r="7858" spans="1:24">
      <c r="A7858">
        <f>HYPERLINK("https://www.philgeps.gov.ph/GEPSNONPILOT/Tender/SplashBidNoticeAbstractUI.aspx?menuIndex=3&amp;refID=7182881&amp;Result=3","7182881")</f>
        <v>0</v>
      </c>
      <c r="B7858" t="s">
        <v>170</v>
      </c>
      <c r="C7858" t="s">
        <v>11041</v>
      </c>
      <c r="D7858" t="s">
        <v>17195</v>
      </c>
      <c r="E7858" t="s">
        <v>24018</v>
      </c>
      <c r="F7858" t="s">
        <v>29372</v>
      </c>
      <c r="G7858" t="s">
        <v>29379</v>
      </c>
      <c r="H7858" t="s">
        <v>11048</v>
      </c>
      <c r="I7858" t="s">
        <v>5383</v>
      </c>
      <c r="J7858" t="s">
        <v>34595</v>
      </c>
      <c r="K7858" t="s">
        <v>38495</v>
      </c>
      <c r="M7858" t="s">
        <v>38927</v>
      </c>
      <c r="N7858" t="s">
        <v>42669</v>
      </c>
      <c r="O7858" t="s">
        <v>42670</v>
      </c>
      <c r="P7858">
        <v>0</v>
      </c>
      <c r="Q7858">
        <v>0</v>
      </c>
      <c r="R7858" t="s">
        <v>42678</v>
      </c>
      <c r="S7858" t="s">
        <v>42866</v>
      </c>
      <c r="T7858" t="s">
        <v>44419</v>
      </c>
      <c r="U7858" t="s">
        <v>47920</v>
      </c>
      <c r="W7858" t="s">
        <v>38927</v>
      </c>
      <c r="X7858" t="s">
        <v>42679</v>
      </c>
    </row>
    <row r="7859" spans="1:24">
      <c r="A7859">
        <f>HYPERLINK("https://www.philgeps.gov.ph/GEPSNONPILOT/Tender/SplashBidNoticeAbstractUI.aspx?menuIndex=3&amp;refID=7182927&amp;Result=3","7182927")</f>
        <v>0</v>
      </c>
      <c r="B7859" t="s">
        <v>2409</v>
      </c>
      <c r="C7859" t="s">
        <v>11042</v>
      </c>
      <c r="D7859" t="s">
        <v>17153</v>
      </c>
      <c r="E7859" t="s">
        <v>24019</v>
      </c>
      <c r="F7859" t="s">
        <v>29372</v>
      </c>
      <c r="G7859" t="s">
        <v>29380</v>
      </c>
      <c r="H7859" t="s">
        <v>11048</v>
      </c>
      <c r="I7859" t="s">
        <v>29457</v>
      </c>
      <c r="J7859" t="s">
        <v>29526</v>
      </c>
      <c r="K7859" t="s">
        <v>38537</v>
      </c>
      <c r="L7859" t="s">
        <v>2409</v>
      </c>
      <c r="M7859" t="s">
        <v>41355</v>
      </c>
      <c r="N7859" t="s">
        <v>42669</v>
      </c>
      <c r="O7859" t="s">
        <v>42670</v>
      </c>
      <c r="P7859">
        <v>0</v>
      </c>
      <c r="Q7859">
        <v>1</v>
      </c>
      <c r="R7859" t="s">
        <v>42678</v>
      </c>
      <c r="S7859" t="s">
        <v>42866</v>
      </c>
      <c r="T7859" t="s">
        <v>44557</v>
      </c>
      <c r="U7859" t="s">
        <v>51253</v>
      </c>
      <c r="W7859" t="s">
        <v>41355</v>
      </c>
      <c r="X7859" t="s">
        <v>42679</v>
      </c>
    </row>
    <row r="7860" spans="1:24">
      <c r="A7860">
        <f>HYPERLINK("https://www.philgeps.gov.ph/GEPSNONPILOT/Tender/SplashBidNoticeAbstractUI.aspx?menuIndex=3&amp;refID=7182753&amp;Result=3","7182753")</f>
        <v>0</v>
      </c>
      <c r="B7860" t="s">
        <v>221</v>
      </c>
      <c r="C7860" t="s">
        <v>11043</v>
      </c>
      <c r="D7860" t="s">
        <v>17202</v>
      </c>
      <c r="E7860" t="s">
        <v>24020</v>
      </c>
      <c r="F7860" t="s">
        <v>29372</v>
      </c>
      <c r="G7860" t="s">
        <v>29379</v>
      </c>
      <c r="H7860" t="s">
        <v>11048</v>
      </c>
      <c r="I7860" t="s">
        <v>8614</v>
      </c>
      <c r="J7860" t="s">
        <v>34596</v>
      </c>
      <c r="K7860" t="s">
        <v>38488</v>
      </c>
      <c r="M7860" t="s">
        <v>38980</v>
      </c>
      <c r="N7860" t="s">
        <v>42669</v>
      </c>
      <c r="O7860" t="s">
        <v>42670</v>
      </c>
      <c r="P7860">
        <v>0</v>
      </c>
      <c r="Q7860">
        <v>4</v>
      </c>
      <c r="R7860" t="s">
        <v>42678</v>
      </c>
      <c r="S7860" t="s">
        <v>42866</v>
      </c>
      <c r="T7860" t="s">
        <v>44548</v>
      </c>
      <c r="U7860" t="s">
        <v>45327</v>
      </c>
      <c r="W7860" t="s">
        <v>38980</v>
      </c>
      <c r="X7860" t="s">
        <v>42679</v>
      </c>
    </row>
    <row r="7861" spans="1:24">
      <c r="A7861">
        <f>HYPERLINK("https://www.philgeps.gov.ph/GEPSNONPILOT/Tender/SplashBidNoticeAbstractUI.aspx?menuIndex=3&amp;refID=7182920&amp;Result=3","7182920")</f>
        <v>0</v>
      </c>
      <c r="B7861" t="s">
        <v>1751</v>
      </c>
      <c r="C7861" t="s">
        <v>11044</v>
      </c>
      <c r="D7861" t="s">
        <v>17165</v>
      </c>
      <c r="E7861" t="s">
        <v>24021</v>
      </c>
      <c r="F7861" t="s">
        <v>29372</v>
      </c>
      <c r="G7861" t="s">
        <v>29380</v>
      </c>
      <c r="H7861" t="s">
        <v>29389</v>
      </c>
      <c r="I7861" t="s">
        <v>10408</v>
      </c>
      <c r="J7861" t="s">
        <v>34597</v>
      </c>
      <c r="K7861" t="s">
        <v>38496</v>
      </c>
      <c r="M7861" t="s">
        <v>40616</v>
      </c>
      <c r="N7861" t="s">
        <v>42669</v>
      </c>
      <c r="O7861" t="s">
        <v>42670</v>
      </c>
      <c r="P7861">
        <v>0</v>
      </c>
      <c r="Q7861">
        <v>1</v>
      </c>
      <c r="R7861" t="s">
        <v>42678</v>
      </c>
      <c r="S7861" t="s">
        <v>42866</v>
      </c>
      <c r="T7861" t="s">
        <v>44481</v>
      </c>
      <c r="U7861" t="s">
        <v>51254</v>
      </c>
      <c r="W7861" t="s">
        <v>40616</v>
      </c>
      <c r="X7861" t="s">
        <v>42679</v>
      </c>
    </row>
    <row r="7862" spans="1:24">
      <c r="A7862">
        <f>HYPERLINK("https://www.philgeps.gov.ph/GEPSNONPILOT/Tender/SplashBidNoticeAbstractUI.aspx?menuIndex=3&amp;refID=7182926&amp;Result=3","7182926")</f>
        <v>0</v>
      </c>
      <c r="B7862" t="s">
        <v>1426</v>
      </c>
      <c r="C7862" t="s">
        <v>11045</v>
      </c>
      <c r="D7862" t="s">
        <v>17189</v>
      </c>
      <c r="E7862" t="s">
        <v>24022</v>
      </c>
      <c r="F7862" t="s">
        <v>29372</v>
      </c>
      <c r="G7862" t="s">
        <v>29379</v>
      </c>
      <c r="H7862" t="s">
        <v>11048</v>
      </c>
      <c r="I7862" t="s">
        <v>4709</v>
      </c>
      <c r="J7862" t="s">
        <v>34598</v>
      </c>
      <c r="K7862" t="s">
        <v>38510</v>
      </c>
      <c r="M7862" t="s">
        <v>40266</v>
      </c>
      <c r="N7862" t="s">
        <v>42669</v>
      </c>
      <c r="O7862" t="s">
        <v>42670</v>
      </c>
      <c r="P7862">
        <v>0</v>
      </c>
      <c r="Q7862">
        <v>1</v>
      </c>
      <c r="R7862" t="s">
        <v>42678</v>
      </c>
      <c r="S7862" t="s">
        <v>42866</v>
      </c>
      <c r="T7862" t="s">
        <v>44512</v>
      </c>
      <c r="U7862" t="s">
        <v>48050</v>
      </c>
      <c r="W7862" t="s">
        <v>40266</v>
      </c>
      <c r="X7862" t="s">
        <v>42679</v>
      </c>
    </row>
    <row r="7863" spans="1:24">
      <c r="A7863">
        <f>HYPERLINK("https://www.philgeps.gov.ph/GEPSNONPILOT/Tender/SplashBidNoticeAbstractUI.aspx?menuIndex=3&amp;refID=7182917&amp;Result=3","7182917")</f>
        <v>0</v>
      </c>
      <c r="B7863" t="s">
        <v>2487</v>
      </c>
      <c r="C7863" t="s">
        <v>11046</v>
      </c>
      <c r="D7863" t="s">
        <v>17169</v>
      </c>
      <c r="E7863" t="s">
        <v>24023</v>
      </c>
      <c r="F7863" t="s">
        <v>29372</v>
      </c>
      <c r="G7863" t="s">
        <v>29380</v>
      </c>
      <c r="H7863" t="s">
        <v>29389</v>
      </c>
      <c r="I7863" t="s">
        <v>10408</v>
      </c>
      <c r="J7863" t="s">
        <v>34599</v>
      </c>
      <c r="K7863" t="s">
        <v>38662</v>
      </c>
      <c r="M7863" t="s">
        <v>41437</v>
      </c>
      <c r="N7863" t="s">
        <v>42669</v>
      </c>
      <c r="O7863" t="s">
        <v>42670</v>
      </c>
      <c r="P7863">
        <v>0</v>
      </c>
      <c r="Q7863">
        <v>1</v>
      </c>
      <c r="R7863" t="s">
        <v>42678</v>
      </c>
      <c r="S7863" t="s">
        <v>42866</v>
      </c>
      <c r="T7863" t="s">
        <v>44355</v>
      </c>
      <c r="U7863" t="s">
        <v>51255</v>
      </c>
      <c r="W7863" t="s">
        <v>41437</v>
      </c>
      <c r="X7863" t="s">
        <v>42679</v>
      </c>
    </row>
    <row r="7864" spans="1:24">
      <c r="A7864">
        <f>HYPERLINK("https://www.philgeps.gov.ph/GEPSNONPILOT/Tender/SplashBidNoticeAbstractUI.aspx?menuIndex=3&amp;refID=7182914&amp;Result=3","7182914")</f>
        <v>0</v>
      </c>
      <c r="B7864" t="s">
        <v>771</v>
      </c>
      <c r="C7864" t="s">
        <v>5408</v>
      </c>
      <c r="D7864" t="s">
        <v>17141</v>
      </c>
      <c r="E7864" t="s">
        <v>24024</v>
      </c>
      <c r="F7864" t="s">
        <v>29372</v>
      </c>
      <c r="G7864" t="s">
        <v>29379</v>
      </c>
      <c r="H7864" t="s">
        <v>11048</v>
      </c>
      <c r="I7864" t="s">
        <v>29426</v>
      </c>
      <c r="J7864" t="s">
        <v>34600</v>
      </c>
      <c r="K7864" t="s">
        <v>38488</v>
      </c>
      <c r="M7864" t="s">
        <v>39555</v>
      </c>
      <c r="N7864" t="s">
        <v>42669</v>
      </c>
      <c r="O7864" t="s">
        <v>42670</v>
      </c>
      <c r="P7864">
        <v>0</v>
      </c>
      <c r="Q7864">
        <v>12</v>
      </c>
      <c r="R7864" t="s">
        <v>42678</v>
      </c>
      <c r="S7864" t="s">
        <v>42866</v>
      </c>
      <c r="T7864" t="s">
        <v>44382</v>
      </c>
      <c r="U7864" t="s">
        <v>46440</v>
      </c>
      <c r="W7864" t="s">
        <v>39555</v>
      </c>
      <c r="X7864" t="s">
        <v>42679</v>
      </c>
    </row>
    <row r="7865" spans="1:24">
      <c r="A7865">
        <f>HYPERLINK("https://www.philgeps.gov.ph/GEPSNONPILOT/Tender/SplashBidNoticeAbstractUI.aspx?menuIndex=3&amp;refID=7182913&amp;Result=3","7182913")</f>
        <v>0</v>
      </c>
      <c r="B7865" t="s">
        <v>52</v>
      </c>
      <c r="C7865" t="s">
        <v>11047</v>
      </c>
      <c r="D7865" t="s">
        <v>17164</v>
      </c>
      <c r="E7865" t="s">
        <v>24025</v>
      </c>
      <c r="F7865" t="s">
        <v>29372</v>
      </c>
      <c r="G7865" t="s">
        <v>29379</v>
      </c>
      <c r="H7865" t="s">
        <v>11048</v>
      </c>
      <c r="I7865" t="s">
        <v>14920</v>
      </c>
      <c r="J7865" t="s">
        <v>32791</v>
      </c>
      <c r="K7865" t="s">
        <v>38522</v>
      </c>
      <c r="M7865" t="s">
        <v>40848</v>
      </c>
      <c r="N7865" t="s">
        <v>42669</v>
      </c>
      <c r="O7865" t="s">
        <v>42670</v>
      </c>
      <c r="Q7865">
        <v>1</v>
      </c>
      <c r="R7865" t="s">
        <v>42678</v>
      </c>
      <c r="S7865" t="s">
        <v>42907</v>
      </c>
      <c r="T7865" t="s">
        <v>44635</v>
      </c>
      <c r="U7865" t="s">
        <v>51256</v>
      </c>
      <c r="W7865" t="s">
        <v>40848</v>
      </c>
      <c r="X7865" t="s">
        <v>42679</v>
      </c>
    </row>
    <row r="7866" spans="1:24">
      <c r="A7866">
        <f>HYPERLINK("https://www.philgeps.gov.ph/GEPSNONPILOT/Tender/SplashBidNoticeAbstractUI.aspx?menuIndex=3&amp;refID=7182909&amp;Result=3","7182909")</f>
        <v>0</v>
      </c>
      <c r="B7866" t="s">
        <v>2488</v>
      </c>
      <c r="C7866" t="s">
        <v>11048</v>
      </c>
      <c r="D7866" t="s">
        <v>17151</v>
      </c>
      <c r="E7866" t="s">
        <v>17533</v>
      </c>
      <c r="F7866" t="s">
        <v>29372</v>
      </c>
      <c r="G7866" t="s">
        <v>29382</v>
      </c>
      <c r="H7866" t="s">
        <v>11048</v>
      </c>
      <c r="I7866" t="s">
        <v>5383</v>
      </c>
      <c r="J7866" t="s">
        <v>34601</v>
      </c>
      <c r="K7866" t="s">
        <v>38490</v>
      </c>
      <c r="M7866" t="s">
        <v>41438</v>
      </c>
      <c r="N7866" t="s">
        <v>42669</v>
      </c>
      <c r="O7866" t="s">
        <v>42670</v>
      </c>
      <c r="P7866">
        <v>0</v>
      </c>
      <c r="Q7866">
        <v>2</v>
      </c>
      <c r="R7866" t="s">
        <v>42678</v>
      </c>
      <c r="S7866" t="s">
        <v>42866</v>
      </c>
      <c r="T7866" t="s">
        <v>44753</v>
      </c>
      <c r="U7866" t="s">
        <v>51257</v>
      </c>
      <c r="W7866" t="s">
        <v>41438</v>
      </c>
      <c r="X7866" t="s">
        <v>42679</v>
      </c>
    </row>
    <row r="7867" spans="1:24">
      <c r="A7867">
        <f>HYPERLINK("https://www.philgeps.gov.ph/GEPSNONPILOT/Tender/SplashBidNoticeAbstractUI.aspx?menuIndex=3&amp;refID=7182716&amp;Result=3","7182716")</f>
        <v>0</v>
      </c>
      <c r="B7867" t="s">
        <v>2487</v>
      </c>
      <c r="C7867" t="s">
        <v>11049</v>
      </c>
      <c r="D7867" t="s">
        <v>17169</v>
      </c>
      <c r="E7867" t="s">
        <v>24026</v>
      </c>
      <c r="F7867" t="s">
        <v>29372</v>
      </c>
      <c r="G7867" t="s">
        <v>29380</v>
      </c>
      <c r="H7867" t="s">
        <v>11048</v>
      </c>
      <c r="I7867" t="s">
        <v>29486</v>
      </c>
      <c r="J7867" t="s">
        <v>29724</v>
      </c>
      <c r="K7867" t="s">
        <v>38491</v>
      </c>
      <c r="M7867" t="s">
        <v>41437</v>
      </c>
      <c r="N7867" t="s">
        <v>42669</v>
      </c>
      <c r="O7867" t="s">
        <v>42670</v>
      </c>
      <c r="P7867">
        <v>0</v>
      </c>
      <c r="Q7867">
        <v>4</v>
      </c>
      <c r="R7867" t="s">
        <v>42678</v>
      </c>
      <c r="S7867" t="s">
        <v>42866</v>
      </c>
      <c r="T7867" t="s">
        <v>44355</v>
      </c>
      <c r="U7867" t="s">
        <v>51258</v>
      </c>
      <c r="W7867" t="s">
        <v>41437</v>
      </c>
      <c r="X7867" t="s">
        <v>42679</v>
      </c>
    </row>
    <row r="7868" spans="1:24">
      <c r="A7868">
        <f>HYPERLINK("https://www.philgeps.gov.ph/GEPSNONPILOT/Tender/SplashBidNoticeAbstractUI.aspx?menuIndex=3&amp;refID=7182925&amp;Result=3","7182925")</f>
        <v>0</v>
      </c>
      <c r="B7868" t="s">
        <v>1654</v>
      </c>
      <c r="C7868" t="s">
        <v>11050</v>
      </c>
      <c r="D7868" t="s">
        <v>17153</v>
      </c>
      <c r="E7868" t="s">
        <v>24027</v>
      </c>
      <c r="F7868" t="s">
        <v>29373</v>
      </c>
      <c r="G7868" t="s">
        <v>29379</v>
      </c>
      <c r="H7868" t="s">
        <v>11048</v>
      </c>
      <c r="I7868" t="s">
        <v>29405</v>
      </c>
      <c r="J7868" t="s">
        <v>34602</v>
      </c>
      <c r="K7868" t="s">
        <v>38485</v>
      </c>
      <c r="M7868" t="s">
        <v>40511</v>
      </c>
      <c r="N7868" t="s">
        <v>42669</v>
      </c>
      <c r="O7868" t="s">
        <v>42670</v>
      </c>
      <c r="P7868">
        <v>0</v>
      </c>
      <c r="Q7868">
        <v>1</v>
      </c>
      <c r="R7868" t="s">
        <v>42678</v>
      </c>
      <c r="S7868" t="s">
        <v>42866</v>
      </c>
      <c r="T7868" t="s">
        <v>44386</v>
      </c>
      <c r="U7868" t="s">
        <v>51259</v>
      </c>
      <c r="V7868" t="s">
        <v>57221</v>
      </c>
      <c r="W7868" t="s">
        <v>40511</v>
      </c>
      <c r="X7868" t="s">
        <v>42679</v>
      </c>
    </row>
    <row r="7869" spans="1:24">
      <c r="A7869">
        <f>HYPERLINK("https://www.philgeps.gov.ph/GEPSNONPILOT/Tender/SplashBidNoticeAbstractUI.aspx?menuIndex=3&amp;refID=7182906&amp;Result=3","7182906")</f>
        <v>0</v>
      </c>
      <c r="B7869" t="s">
        <v>1397</v>
      </c>
      <c r="C7869" t="s">
        <v>11051</v>
      </c>
      <c r="D7869" t="s">
        <v>17213</v>
      </c>
      <c r="E7869" t="s">
        <v>21993</v>
      </c>
      <c r="F7869" t="s">
        <v>29373</v>
      </c>
      <c r="G7869" t="s">
        <v>29379</v>
      </c>
      <c r="H7869" t="s">
        <v>29390</v>
      </c>
      <c r="I7869" t="s">
        <v>29393</v>
      </c>
      <c r="J7869" t="s">
        <v>29767</v>
      </c>
      <c r="K7869" t="s">
        <v>38534</v>
      </c>
      <c r="M7869" t="s">
        <v>41439</v>
      </c>
      <c r="N7869" t="s">
        <v>42669</v>
      </c>
      <c r="O7869" t="s">
        <v>42670</v>
      </c>
      <c r="P7869">
        <v>0</v>
      </c>
      <c r="Q7869">
        <v>0</v>
      </c>
      <c r="R7869" t="s">
        <v>42678</v>
      </c>
      <c r="S7869" t="s">
        <v>42866</v>
      </c>
      <c r="T7869" t="s">
        <v>44394</v>
      </c>
      <c r="U7869" t="s">
        <v>51260</v>
      </c>
      <c r="W7869" t="s">
        <v>41439</v>
      </c>
      <c r="X7869" t="s">
        <v>42679</v>
      </c>
    </row>
    <row r="7870" spans="1:24">
      <c r="A7870">
        <f>HYPERLINK("https://www.philgeps.gov.ph/GEPSNONPILOT/Tender/SplashBidNoticeAbstractUI.aspx?menuIndex=3&amp;refID=7182902&amp;Result=3","7182902")</f>
        <v>0</v>
      </c>
      <c r="B7870" t="s">
        <v>2489</v>
      </c>
      <c r="C7870" t="s">
        <v>11052</v>
      </c>
      <c r="D7870" t="s">
        <v>17203</v>
      </c>
      <c r="E7870" t="s">
        <v>24028</v>
      </c>
      <c r="F7870" t="s">
        <v>29372</v>
      </c>
      <c r="G7870" t="s">
        <v>29380</v>
      </c>
      <c r="H7870" t="s">
        <v>29389</v>
      </c>
      <c r="I7870" t="s">
        <v>10408</v>
      </c>
      <c r="J7870" t="s">
        <v>34603</v>
      </c>
      <c r="K7870" t="s">
        <v>38495</v>
      </c>
      <c r="M7870" t="s">
        <v>41440</v>
      </c>
      <c r="N7870" t="s">
        <v>42669</v>
      </c>
      <c r="O7870" t="s">
        <v>42670</v>
      </c>
      <c r="P7870">
        <v>0</v>
      </c>
      <c r="Q7870">
        <v>0</v>
      </c>
      <c r="R7870" t="s">
        <v>42678</v>
      </c>
      <c r="S7870" t="s">
        <v>42866</v>
      </c>
      <c r="T7870" t="s">
        <v>44515</v>
      </c>
      <c r="U7870" t="s">
        <v>51261</v>
      </c>
      <c r="V7870" t="s">
        <v>57222</v>
      </c>
      <c r="W7870" t="s">
        <v>41440</v>
      </c>
      <c r="X7870" t="s">
        <v>42679</v>
      </c>
    </row>
    <row r="7871" spans="1:24">
      <c r="A7871">
        <f>HYPERLINK("https://www.philgeps.gov.ph/GEPSNONPILOT/Tender/SplashBidNoticeAbstractUI.aspx?menuIndex=3&amp;refID=7182901&amp;Result=3","7182901")</f>
        <v>0</v>
      </c>
      <c r="B7871" t="s">
        <v>63</v>
      </c>
      <c r="C7871" t="s">
        <v>11053</v>
      </c>
      <c r="D7871" t="s">
        <v>17161</v>
      </c>
      <c r="E7871" t="s">
        <v>24029</v>
      </c>
      <c r="F7871" t="s">
        <v>29372</v>
      </c>
      <c r="G7871" t="s">
        <v>29382</v>
      </c>
      <c r="H7871" t="s">
        <v>11048</v>
      </c>
      <c r="I7871" t="s">
        <v>8614</v>
      </c>
      <c r="J7871" t="s">
        <v>29929</v>
      </c>
      <c r="K7871" t="s">
        <v>38490</v>
      </c>
      <c r="M7871" t="s">
        <v>38817</v>
      </c>
      <c r="N7871" t="s">
        <v>42669</v>
      </c>
      <c r="O7871" t="s">
        <v>42670</v>
      </c>
      <c r="P7871">
        <v>0</v>
      </c>
      <c r="Q7871">
        <v>0</v>
      </c>
      <c r="R7871" t="s">
        <v>42678</v>
      </c>
      <c r="S7871" t="s">
        <v>42866</v>
      </c>
      <c r="T7871" t="s">
        <v>44570</v>
      </c>
      <c r="U7871" t="s">
        <v>51262</v>
      </c>
      <c r="W7871" t="s">
        <v>38817</v>
      </c>
      <c r="X7871" t="s">
        <v>42679</v>
      </c>
    </row>
    <row r="7872" spans="1:24">
      <c r="A7872">
        <f>HYPERLINK("https://www.philgeps.gov.ph/GEPSNONPILOT/Tender/SplashBidNoticeAbstractUI.aspx?menuIndex=3&amp;refID=7182930&amp;Result=3","7182930")</f>
        <v>0</v>
      </c>
      <c r="B7872" t="s">
        <v>339</v>
      </c>
      <c r="C7872" t="s">
        <v>11054</v>
      </c>
      <c r="D7872" t="s">
        <v>17156</v>
      </c>
      <c r="E7872" t="s">
        <v>11054</v>
      </c>
      <c r="F7872" t="s">
        <v>29372</v>
      </c>
      <c r="G7872" t="s">
        <v>29380</v>
      </c>
      <c r="H7872" t="s">
        <v>11048</v>
      </c>
      <c r="I7872" t="s">
        <v>3839</v>
      </c>
      <c r="J7872" t="s">
        <v>34604</v>
      </c>
      <c r="K7872" t="s">
        <v>38485</v>
      </c>
      <c r="M7872" t="s">
        <v>39651</v>
      </c>
      <c r="N7872" t="s">
        <v>42669</v>
      </c>
      <c r="O7872" t="s">
        <v>42670</v>
      </c>
      <c r="P7872">
        <v>0</v>
      </c>
      <c r="Q7872">
        <v>1</v>
      </c>
      <c r="R7872" t="s">
        <v>42678</v>
      </c>
      <c r="S7872" t="s">
        <v>42866</v>
      </c>
      <c r="T7872" t="s">
        <v>44414</v>
      </c>
      <c r="U7872" t="s">
        <v>51263</v>
      </c>
      <c r="W7872" t="s">
        <v>39651</v>
      </c>
      <c r="X7872" t="s">
        <v>42679</v>
      </c>
    </row>
    <row r="7873" spans="1:24">
      <c r="A7873">
        <f>HYPERLINK("https://www.philgeps.gov.ph/GEPSNONPILOT/Tender/SplashBidNoticeAbstractUI.aspx?menuIndex=3&amp;refID=7182895&amp;Result=3","7182895")</f>
        <v>0</v>
      </c>
      <c r="B7873" t="s">
        <v>433</v>
      </c>
      <c r="C7873" t="s">
        <v>11055</v>
      </c>
      <c r="D7873" t="s">
        <v>17188</v>
      </c>
      <c r="E7873" t="s">
        <v>24030</v>
      </c>
      <c r="F7873" t="s">
        <v>29372</v>
      </c>
      <c r="G7873" t="s">
        <v>29380</v>
      </c>
      <c r="H7873" t="s">
        <v>11048</v>
      </c>
      <c r="I7873" t="s">
        <v>29398</v>
      </c>
      <c r="J7873" t="s">
        <v>34605</v>
      </c>
      <c r="K7873" t="s">
        <v>38485</v>
      </c>
      <c r="M7873" t="s">
        <v>40058</v>
      </c>
      <c r="N7873" t="s">
        <v>42669</v>
      </c>
      <c r="O7873" t="s">
        <v>42670</v>
      </c>
      <c r="P7873">
        <v>0</v>
      </c>
      <c r="Q7873">
        <v>6</v>
      </c>
      <c r="R7873" t="s">
        <v>42678</v>
      </c>
      <c r="S7873" t="s">
        <v>42866</v>
      </c>
      <c r="T7873" t="s">
        <v>44643</v>
      </c>
      <c r="U7873" t="s">
        <v>51264</v>
      </c>
      <c r="W7873" t="s">
        <v>40058</v>
      </c>
      <c r="X7873" t="s">
        <v>42679</v>
      </c>
    </row>
    <row r="7874" spans="1:24">
      <c r="A7874">
        <f>HYPERLINK("https://www.philgeps.gov.ph/GEPSNONPILOT/Tender/SplashBidNoticeAbstractUI.aspx?menuIndex=3&amp;refID=7182904&amp;Result=3","7182904")</f>
        <v>0</v>
      </c>
      <c r="B7874" t="s">
        <v>2490</v>
      </c>
      <c r="C7874" t="s">
        <v>11056</v>
      </c>
      <c r="D7874" t="s">
        <v>17155</v>
      </c>
      <c r="E7874" t="s">
        <v>24031</v>
      </c>
      <c r="F7874" t="s">
        <v>29372</v>
      </c>
      <c r="G7874" t="s">
        <v>29380</v>
      </c>
      <c r="H7874" t="s">
        <v>11048</v>
      </c>
      <c r="I7874" t="s">
        <v>3695</v>
      </c>
      <c r="J7874" t="s">
        <v>34606</v>
      </c>
      <c r="K7874" t="s">
        <v>38485</v>
      </c>
      <c r="M7874" t="s">
        <v>41441</v>
      </c>
      <c r="N7874" t="s">
        <v>42669</v>
      </c>
      <c r="O7874" t="s">
        <v>42670</v>
      </c>
      <c r="P7874">
        <v>0</v>
      </c>
      <c r="Q7874">
        <v>3</v>
      </c>
      <c r="R7874" t="s">
        <v>42678</v>
      </c>
      <c r="S7874" t="s">
        <v>42866</v>
      </c>
      <c r="T7874" t="s">
        <v>44474</v>
      </c>
      <c r="U7874" t="s">
        <v>47173</v>
      </c>
      <c r="W7874" t="s">
        <v>41441</v>
      </c>
      <c r="X7874" t="s">
        <v>42679</v>
      </c>
    </row>
    <row r="7875" spans="1:24">
      <c r="A7875">
        <f>HYPERLINK("https://www.philgeps.gov.ph/GEPSNONPILOT/Tender/SplashBidNoticeAbstractUI.aspx?menuIndex=3&amp;refID=7182894&amp;Result=3","7182894")</f>
        <v>0</v>
      </c>
      <c r="B7875" t="s">
        <v>2491</v>
      </c>
      <c r="C7875" t="s">
        <v>11057</v>
      </c>
      <c r="D7875" t="s">
        <v>17174</v>
      </c>
      <c r="E7875" t="s">
        <v>24032</v>
      </c>
      <c r="F7875" t="s">
        <v>29372</v>
      </c>
      <c r="G7875" t="s">
        <v>29380</v>
      </c>
      <c r="H7875" t="s">
        <v>29389</v>
      </c>
      <c r="I7875" t="s">
        <v>10408</v>
      </c>
      <c r="J7875" t="s">
        <v>29619</v>
      </c>
      <c r="K7875" t="s">
        <v>38496</v>
      </c>
      <c r="M7875" t="s">
        <v>41442</v>
      </c>
      <c r="N7875" t="s">
        <v>42669</v>
      </c>
      <c r="O7875" t="s">
        <v>42670</v>
      </c>
      <c r="P7875">
        <v>0</v>
      </c>
      <c r="Q7875">
        <v>0</v>
      </c>
      <c r="R7875" t="s">
        <v>42678</v>
      </c>
      <c r="S7875" t="s">
        <v>42866</v>
      </c>
      <c r="T7875" t="s">
        <v>44371</v>
      </c>
      <c r="U7875" t="s">
        <v>51265</v>
      </c>
      <c r="W7875" t="s">
        <v>41442</v>
      </c>
      <c r="X7875" t="s">
        <v>42679</v>
      </c>
    </row>
    <row r="7876" spans="1:24">
      <c r="A7876">
        <f>HYPERLINK("https://www.philgeps.gov.ph/GEPSNONPILOT/Tender/SplashBidNoticeAbstractUI.aspx?menuIndex=3&amp;refID=7182023&amp;Result=3","7182023")</f>
        <v>0</v>
      </c>
      <c r="B7876" t="s">
        <v>2492</v>
      </c>
      <c r="C7876" t="s">
        <v>11058</v>
      </c>
      <c r="D7876" t="s">
        <v>17142</v>
      </c>
      <c r="E7876" t="s">
        <v>24033</v>
      </c>
      <c r="F7876" t="s">
        <v>29372</v>
      </c>
      <c r="G7876" t="s">
        <v>29380</v>
      </c>
      <c r="H7876" t="s">
        <v>11048</v>
      </c>
      <c r="I7876" t="s">
        <v>4709</v>
      </c>
      <c r="J7876" t="s">
        <v>34607</v>
      </c>
      <c r="K7876" t="s">
        <v>38490</v>
      </c>
      <c r="M7876" t="s">
        <v>41443</v>
      </c>
      <c r="N7876" t="s">
        <v>42669</v>
      </c>
      <c r="O7876" t="s">
        <v>42670</v>
      </c>
      <c r="P7876">
        <v>0</v>
      </c>
      <c r="Q7876">
        <v>0</v>
      </c>
      <c r="R7876" t="s">
        <v>42678</v>
      </c>
      <c r="S7876" t="s">
        <v>42866</v>
      </c>
      <c r="T7876" t="s">
        <v>44481</v>
      </c>
      <c r="U7876" t="s">
        <v>51266</v>
      </c>
      <c r="W7876" t="s">
        <v>41443</v>
      </c>
      <c r="X7876" t="s">
        <v>42679</v>
      </c>
    </row>
    <row r="7877" spans="1:24">
      <c r="A7877">
        <f>HYPERLINK("https://www.philgeps.gov.ph/GEPSNONPILOT/Tender/SplashBidNoticeAbstractUI.aspx?menuIndex=3&amp;refID=7182022&amp;Result=3","7182022")</f>
        <v>0</v>
      </c>
      <c r="B7877" t="s">
        <v>2338</v>
      </c>
      <c r="C7877" t="s">
        <v>11059</v>
      </c>
      <c r="D7877" t="s">
        <v>17160</v>
      </c>
      <c r="E7877" t="s">
        <v>24034</v>
      </c>
      <c r="F7877" t="s">
        <v>29372</v>
      </c>
      <c r="G7877" t="s">
        <v>29380</v>
      </c>
      <c r="H7877" t="s">
        <v>29389</v>
      </c>
      <c r="I7877" t="s">
        <v>10408</v>
      </c>
      <c r="J7877" t="s">
        <v>34608</v>
      </c>
      <c r="K7877" t="s">
        <v>38525</v>
      </c>
      <c r="M7877" t="s">
        <v>41271</v>
      </c>
      <c r="N7877" t="s">
        <v>42669</v>
      </c>
      <c r="O7877" t="s">
        <v>42670</v>
      </c>
      <c r="P7877">
        <v>0</v>
      </c>
      <c r="Q7877">
        <v>6</v>
      </c>
      <c r="R7877" t="s">
        <v>42678</v>
      </c>
      <c r="S7877" t="s">
        <v>42866</v>
      </c>
      <c r="T7877" t="s">
        <v>44368</v>
      </c>
      <c r="U7877" t="s">
        <v>51267</v>
      </c>
      <c r="W7877" t="s">
        <v>41271</v>
      </c>
      <c r="X7877" t="s">
        <v>42679</v>
      </c>
    </row>
    <row r="7878" spans="1:24">
      <c r="A7878">
        <f>HYPERLINK("https://www.philgeps.gov.ph/GEPSNONPILOT/Tender/SplashBidNoticeAbstractUI.aspx?menuIndex=3&amp;refID=7182791&amp;Result=3","7182791")</f>
        <v>0</v>
      </c>
      <c r="B7878" t="s">
        <v>1426</v>
      </c>
      <c r="C7878" t="s">
        <v>11060</v>
      </c>
      <c r="D7878" t="s">
        <v>17189</v>
      </c>
      <c r="E7878" t="s">
        <v>24035</v>
      </c>
      <c r="F7878" t="s">
        <v>29372</v>
      </c>
      <c r="G7878" t="s">
        <v>29379</v>
      </c>
      <c r="H7878" t="s">
        <v>11048</v>
      </c>
      <c r="I7878" t="s">
        <v>4709</v>
      </c>
      <c r="J7878" t="s">
        <v>34609</v>
      </c>
      <c r="K7878" t="s">
        <v>38510</v>
      </c>
      <c r="M7878" t="s">
        <v>40266</v>
      </c>
      <c r="N7878" t="s">
        <v>42669</v>
      </c>
      <c r="O7878" t="s">
        <v>42670</v>
      </c>
      <c r="P7878">
        <v>0</v>
      </c>
      <c r="Q7878">
        <v>1</v>
      </c>
      <c r="R7878" t="s">
        <v>42678</v>
      </c>
      <c r="S7878" t="s">
        <v>42866</v>
      </c>
      <c r="T7878" t="s">
        <v>44512</v>
      </c>
      <c r="U7878" t="s">
        <v>48050</v>
      </c>
      <c r="W7878" t="s">
        <v>40266</v>
      </c>
      <c r="X7878" t="s">
        <v>42679</v>
      </c>
    </row>
    <row r="7879" spans="1:24">
      <c r="A7879">
        <f>HYPERLINK("https://www.philgeps.gov.ph/GEPSNONPILOT/Tender/SplashBidNoticeAbstractUI.aspx?menuIndex=3&amp;refID=7181988&amp;Result=3","7181988")</f>
        <v>0</v>
      </c>
      <c r="B7879" t="s">
        <v>2224</v>
      </c>
      <c r="C7879" t="s">
        <v>11061</v>
      </c>
      <c r="D7879" t="s">
        <v>17143</v>
      </c>
      <c r="E7879" t="s">
        <v>19635</v>
      </c>
      <c r="F7879" t="s">
        <v>29372</v>
      </c>
      <c r="G7879" t="s">
        <v>29380</v>
      </c>
      <c r="H7879" t="s">
        <v>29389</v>
      </c>
      <c r="I7879" t="s">
        <v>10408</v>
      </c>
      <c r="J7879" t="s">
        <v>30161</v>
      </c>
      <c r="K7879" t="s">
        <v>38495</v>
      </c>
      <c r="M7879" t="s">
        <v>41142</v>
      </c>
      <c r="N7879" t="s">
        <v>42669</v>
      </c>
      <c r="O7879" t="s">
        <v>42670</v>
      </c>
      <c r="P7879">
        <v>0</v>
      </c>
      <c r="Q7879">
        <v>1</v>
      </c>
      <c r="R7879" t="s">
        <v>42678</v>
      </c>
      <c r="S7879" t="s">
        <v>42866</v>
      </c>
      <c r="T7879" t="s">
        <v>44476</v>
      </c>
      <c r="U7879" t="s">
        <v>51268</v>
      </c>
      <c r="W7879" t="s">
        <v>41142</v>
      </c>
      <c r="X7879" t="s">
        <v>42679</v>
      </c>
    </row>
    <row r="7880" spans="1:24">
      <c r="A7880">
        <f>HYPERLINK("https://www.philgeps.gov.ph/GEPSNONPILOT/Tender/SplashBidNoticeAbstractUI.aspx?menuIndex=3&amp;refID=7182905&amp;Result=3","7182905")</f>
        <v>0</v>
      </c>
      <c r="B7880" t="s">
        <v>73</v>
      </c>
      <c r="C7880" t="s">
        <v>11062</v>
      </c>
      <c r="D7880" t="s">
        <v>17171</v>
      </c>
      <c r="E7880" t="s">
        <v>24036</v>
      </c>
      <c r="F7880" t="s">
        <v>29372</v>
      </c>
      <c r="G7880" t="s">
        <v>29380</v>
      </c>
      <c r="H7880" t="s">
        <v>29389</v>
      </c>
      <c r="I7880" t="s">
        <v>10408</v>
      </c>
      <c r="J7880" t="s">
        <v>29532</v>
      </c>
      <c r="K7880" t="s">
        <v>38490</v>
      </c>
      <c r="M7880" t="s">
        <v>38827</v>
      </c>
      <c r="N7880" t="s">
        <v>42669</v>
      </c>
      <c r="O7880" t="s">
        <v>42670</v>
      </c>
      <c r="P7880">
        <v>0</v>
      </c>
      <c r="Q7880">
        <v>0</v>
      </c>
      <c r="R7880" t="s">
        <v>42678</v>
      </c>
      <c r="S7880" t="s">
        <v>42866</v>
      </c>
      <c r="T7880" t="s">
        <v>44491</v>
      </c>
      <c r="U7880" t="s">
        <v>49755</v>
      </c>
      <c r="W7880" t="s">
        <v>38827</v>
      </c>
      <c r="X7880" t="s">
        <v>42679</v>
      </c>
    </row>
    <row r="7881" spans="1:24">
      <c r="A7881">
        <f>HYPERLINK("https://www.philgeps.gov.ph/GEPSNONPILOT/Tender/SplashBidNoticeAbstractUI.aspx?menuIndex=3&amp;refID=7182900&amp;Result=3","7182900")</f>
        <v>0</v>
      </c>
      <c r="B7881" t="s">
        <v>2493</v>
      </c>
      <c r="C7881" t="s">
        <v>11063</v>
      </c>
      <c r="D7881" t="s">
        <v>17170</v>
      </c>
      <c r="E7881" t="s">
        <v>22891</v>
      </c>
      <c r="F7881" t="s">
        <v>29372</v>
      </c>
      <c r="G7881" t="s">
        <v>29380</v>
      </c>
      <c r="H7881" t="s">
        <v>11048</v>
      </c>
      <c r="I7881" t="s">
        <v>14920</v>
      </c>
      <c r="J7881" t="s">
        <v>34610</v>
      </c>
      <c r="K7881" t="s">
        <v>38510</v>
      </c>
      <c r="M7881" t="s">
        <v>41444</v>
      </c>
      <c r="N7881" t="s">
        <v>42669</v>
      </c>
      <c r="O7881" t="s">
        <v>42670</v>
      </c>
      <c r="P7881">
        <v>0</v>
      </c>
      <c r="Q7881">
        <v>0</v>
      </c>
      <c r="R7881" t="s">
        <v>42678</v>
      </c>
      <c r="S7881" t="s">
        <v>42866</v>
      </c>
      <c r="T7881" t="s">
        <v>44452</v>
      </c>
      <c r="U7881" t="s">
        <v>51269</v>
      </c>
      <c r="W7881" t="s">
        <v>41444</v>
      </c>
      <c r="X7881" t="s">
        <v>42679</v>
      </c>
    </row>
    <row r="7882" spans="1:24">
      <c r="A7882">
        <f>HYPERLINK("https://www.philgeps.gov.ph/GEPSNONPILOT/Tender/SplashBidNoticeAbstractUI.aspx?menuIndex=3&amp;refID=7182972&amp;Result=3","7182972")</f>
        <v>0</v>
      </c>
      <c r="B7882" t="s">
        <v>2494</v>
      </c>
      <c r="C7882" t="s">
        <v>11064</v>
      </c>
      <c r="D7882" t="s">
        <v>17169</v>
      </c>
      <c r="E7882" t="s">
        <v>24037</v>
      </c>
      <c r="F7882" t="s">
        <v>29372</v>
      </c>
      <c r="G7882" t="s">
        <v>29383</v>
      </c>
      <c r="H7882" t="s">
        <v>29390</v>
      </c>
      <c r="I7882" t="s">
        <v>29403</v>
      </c>
      <c r="J7882" t="s">
        <v>31642</v>
      </c>
      <c r="K7882" t="s">
        <v>38488</v>
      </c>
      <c r="M7882" t="s">
        <v>41445</v>
      </c>
      <c r="N7882" t="s">
        <v>42669</v>
      </c>
      <c r="O7882" t="s">
        <v>42670</v>
      </c>
      <c r="P7882">
        <v>0</v>
      </c>
      <c r="Q7882">
        <v>1</v>
      </c>
      <c r="R7882" t="s">
        <v>42678</v>
      </c>
      <c r="S7882" t="s">
        <v>42866</v>
      </c>
      <c r="T7882" t="s">
        <v>44432</v>
      </c>
      <c r="U7882" t="s">
        <v>51270</v>
      </c>
      <c r="W7882" t="s">
        <v>41445</v>
      </c>
      <c r="X7882" t="s">
        <v>42679</v>
      </c>
    </row>
    <row r="7883" spans="1:24">
      <c r="A7883">
        <f>HYPERLINK("https://www.philgeps.gov.ph/GEPSNONPILOT/Tender/SplashBidNoticeAbstractUI.aspx?menuIndex=3&amp;refID=7182993&amp;Result=3","7182993")</f>
        <v>0</v>
      </c>
      <c r="B7883" t="s">
        <v>2495</v>
      </c>
      <c r="C7883" t="s">
        <v>11065</v>
      </c>
      <c r="D7883" t="s">
        <v>17149</v>
      </c>
      <c r="E7883" t="s">
        <v>24038</v>
      </c>
      <c r="F7883" t="s">
        <v>29372</v>
      </c>
      <c r="G7883" t="s">
        <v>29380</v>
      </c>
      <c r="H7883" t="s">
        <v>29389</v>
      </c>
      <c r="I7883" t="s">
        <v>10408</v>
      </c>
      <c r="J7883" t="s">
        <v>34611</v>
      </c>
      <c r="K7883" t="s">
        <v>38656</v>
      </c>
      <c r="M7883" t="s">
        <v>41446</v>
      </c>
      <c r="N7883" t="s">
        <v>42669</v>
      </c>
      <c r="O7883" t="s">
        <v>42670</v>
      </c>
      <c r="P7883">
        <v>0</v>
      </c>
      <c r="Q7883">
        <v>0</v>
      </c>
      <c r="R7883" t="s">
        <v>42678</v>
      </c>
      <c r="S7883" t="s">
        <v>42866</v>
      </c>
      <c r="T7883" t="s">
        <v>44450</v>
      </c>
      <c r="U7883" t="s">
        <v>51271</v>
      </c>
      <c r="W7883" t="s">
        <v>41446</v>
      </c>
      <c r="X7883" t="s">
        <v>42679</v>
      </c>
    </row>
    <row r="7884" spans="1:24">
      <c r="A7884">
        <f>HYPERLINK("https://www.philgeps.gov.ph/GEPSNONPILOT/Tender/SplashBidNoticeAbstractUI.aspx?menuIndex=3&amp;refID=7182449&amp;Result=3","7182449")</f>
        <v>0</v>
      </c>
      <c r="B7884" t="s">
        <v>2297</v>
      </c>
      <c r="C7884" t="s">
        <v>10236</v>
      </c>
      <c r="D7884" t="s">
        <v>17181</v>
      </c>
      <c r="E7884" t="s">
        <v>24039</v>
      </c>
      <c r="F7884" t="s">
        <v>29372</v>
      </c>
      <c r="G7884" t="s">
        <v>29380</v>
      </c>
      <c r="H7884" t="s">
        <v>11048</v>
      </c>
      <c r="I7884" t="s">
        <v>9469</v>
      </c>
      <c r="J7884" t="s">
        <v>29789</v>
      </c>
      <c r="K7884" t="s">
        <v>38490</v>
      </c>
      <c r="M7884" t="s">
        <v>41284</v>
      </c>
      <c r="N7884" t="s">
        <v>42669</v>
      </c>
      <c r="O7884" t="s">
        <v>42670</v>
      </c>
      <c r="P7884">
        <v>0</v>
      </c>
      <c r="Q7884">
        <v>4</v>
      </c>
      <c r="R7884" t="s">
        <v>42678</v>
      </c>
      <c r="S7884" t="s">
        <v>42866</v>
      </c>
      <c r="T7884" t="s">
        <v>44507</v>
      </c>
      <c r="U7884" t="s">
        <v>51272</v>
      </c>
      <c r="W7884" t="s">
        <v>41284</v>
      </c>
      <c r="X7884" t="s">
        <v>42679</v>
      </c>
    </row>
    <row r="7885" spans="1:24">
      <c r="A7885">
        <f>HYPERLINK("https://www.philgeps.gov.ph/GEPSNONPILOT/Tender/SplashBidNoticeAbstractUI.aspx?menuIndex=3&amp;refID=7182018&amp;Result=3","7182018")</f>
        <v>0</v>
      </c>
      <c r="B7885" t="s">
        <v>1417</v>
      </c>
      <c r="C7885" t="s">
        <v>11066</v>
      </c>
      <c r="D7885" t="s">
        <v>17161</v>
      </c>
      <c r="E7885" t="s">
        <v>24040</v>
      </c>
      <c r="F7885" t="s">
        <v>29372</v>
      </c>
      <c r="G7885" t="s">
        <v>29380</v>
      </c>
      <c r="H7885" t="s">
        <v>11048</v>
      </c>
      <c r="I7885" t="s">
        <v>4709</v>
      </c>
      <c r="J7885" t="s">
        <v>34612</v>
      </c>
      <c r="K7885" t="s">
        <v>38510</v>
      </c>
      <c r="M7885" t="s">
        <v>40256</v>
      </c>
      <c r="N7885" t="s">
        <v>42669</v>
      </c>
      <c r="O7885" t="s">
        <v>42670</v>
      </c>
      <c r="P7885">
        <v>0</v>
      </c>
      <c r="Q7885">
        <v>0</v>
      </c>
      <c r="R7885" t="s">
        <v>42678</v>
      </c>
      <c r="S7885" t="s">
        <v>42866</v>
      </c>
      <c r="T7885" t="s">
        <v>44488</v>
      </c>
      <c r="U7885" t="s">
        <v>51273</v>
      </c>
      <c r="W7885" t="s">
        <v>40256</v>
      </c>
      <c r="X7885" t="s">
        <v>42679</v>
      </c>
    </row>
    <row r="7886" spans="1:24">
      <c r="A7886">
        <f>HYPERLINK("https://www.philgeps.gov.ph/GEPSNONPILOT/Tender/SplashBidNoticeAbstractUI.aspx?menuIndex=3&amp;refID=7182918&amp;Result=3","7182918")</f>
        <v>0</v>
      </c>
      <c r="B7886" t="s">
        <v>91</v>
      </c>
      <c r="C7886" t="s">
        <v>11067</v>
      </c>
      <c r="D7886" t="s">
        <v>17176</v>
      </c>
      <c r="E7886" t="s">
        <v>24041</v>
      </c>
      <c r="F7886" t="s">
        <v>29372</v>
      </c>
      <c r="G7886" t="s">
        <v>29379</v>
      </c>
      <c r="H7886" t="s">
        <v>29389</v>
      </c>
      <c r="I7886" t="s">
        <v>10408</v>
      </c>
      <c r="J7886" t="s">
        <v>34613</v>
      </c>
      <c r="K7886" t="s">
        <v>38684</v>
      </c>
      <c r="M7886" t="s">
        <v>41447</v>
      </c>
      <c r="N7886" t="s">
        <v>42669</v>
      </c>
      <c r="O7886" t="s">
        <v>42670</v>
      </c>
      <c r="P7886">
        <v>0</v>
      </c>
      <c r="Q7886">
        <v>0</v>
      </c>
      <c r="R7886" t="s">
        <v>42678</v>
      </c>
      <c r="S7886" t="s">
        <v>42866</v>
      </c>
      <c r="T7886" t="s">
        <v>44493</v>
      </c>
      <c r="U7886" t="s">
        <v>51274</v>
      </c>
      <c r="W7886" t="s">
        <v>41447</v>
      </c>
      <c r="X7886" t="s">
        <v>42679</v>
      </c>
    </row>
    <row r="7887" spans="1:24">
      <c r="A7887">
        <f>HYPERLINK("https://www.philgeps.gov.ph/GEPSNONPILOT/Tender/SplashBidNoticeAbstractUI.aspx?menuIndex=3&amp;refID=7181986&amp;Result=3","7181986")</f>
        <v>0</v>
      </c>
      <c r="B7887" t="s">
        <v>1513</v>
      </c>
      <c r="C7887" t="s">
        <v>11068</v>
      </c>
      <c r="D7887" t="s">
        <v>17171</v>
      </c>
      <c r="E7887" t="s">
        <v>24042</v>
      </c>
      <c r="F7887" t="s">
        <v>29372</v>
      </c>
      <c r="G7887" t="s">
        <v>29380</v>
      </c>
      <c r="H7887" t="s">
        <v>11048</v>
      </c>
      <c r="I7887" t="s">
        <v>29407</v>
      </c>
      <c r="J7887" t="s">
        <v>29532</v>
      </c>
      <c r="K7887" t="s">
        <v>38490</v>
      </c>
      <c r="M7887" t="s">
        <v>40357</v>
      </c>
      <c r="N7887" t="s">
        <v>42669</v>
      </c>
      <c r="O7887" t="s">
        <v>42670</v>
      </c>
      <c r="P7887">
        <v>0</v>
      </c>
      <c r="Q7887">
        <v>4</v>
      </c>
      <c r="R7887" t="s">
        <v>42678</v>
      </c>
      <c r="S7887" t="s">
        <v>42866</v>
      </c>
      <c r="T7887" t="s">
        <v>44570</v>
      </c>
      <c r="U7887" t="s">
        <v>51275</v>
      </c>
      <c r="V7887" t="s">
        <v>56790</v>
      </c>
      <c r="W7887" t="s">
        <v>40357</v>
      </c>
      <c r="X7887" t="s">
        <v>42679</v>
      </c>
    </row>
    <row r="7888" spans="1:24">
      <c r="A7888">
        <f>HYPERLINK("https://www.philgeps.gov.ph/GEPSNONPILOT/Tender/SplashBidNoticeAbstractUI.aspx?menuIndex=3&amp;refID=7182992&amp;Result=3","7182992")</f>
        <v>0</v>
      </c>
      <c r="B7888" t="s">
        <v>231</v>
      </c>
      <c r="C7888" t="s">
        <v>11069</v>
      </c>
      <c r="E7888" t="s">
        <v>24043</v>
      </c>
      <c r="F7888" t="s">
        <v>29372</v>
      </c>
      <c r="G7888" t="s">
        <v>29380</v>
      </c>
      <c r="H7888" t="s">
        <v>11048</v>
      </c>
      <c r="I7888" t="s">
        <v>9642</v>
      </c>
      <c r="J7888" t="s">
        <v>34614</v>
      </c>
      <c r="K7888" t="s">
        <v>38490</v>
      </c>
      <c r="M7888" t="s">
        <v>39927</v>
      </c>
      <c r="N7888" t="s">
        <v>42669</v>
      </c>
      <c r="O7888" t="s">
        <v>42670</v>
      </c>
      <c r="P7888">
        <v>0</v>
      </c>
      <c r="Q7888">
        <v>23</v>
      </c>
      <c r="R7888" t="s">
        <v>42678</v>
      </c>
      <c r="S7888" t="s">
        <v>42866</v>
      </c>
      <c r="T7888" t="s">
        <v>44567</v>
      </c>
      <c r="U7888" t="s">
        <v>51276</v>
      </c>
      <c r="W7888" t="s">
        <v>39927</v>
      </c>
      <c r="X7888" t="s">
        <v>42679</v>
      </c>
    </row>
    <row r="7889" spans="1:24">
      <c r="A7889">
        <f>HYPERLINK("https://www.philgeps.gov.ph/GEPSNONPILOT/Tender/SplashBidNoticeAbstractUI.aspx?menuIndex=3&amp;refID=7182975&amp;Result=3","7182975")</f>
        <v>0</v>
      </c>
      <c r="B7889" t="s">
        <v>2495</v>
      </c>
      <c r="C7889" t="s">
        <v>11070</v>
      </c>
      <c r="D7889" t="s">
        <v>17149</v>
      </c>
      <c r="E7889" t="s">
        <v>24044</v>
      </c>
      <c r="F7889" t="s">
        <v>29372</v>
      </c>
      <c r="G7889" t="s">
        <v>29380</v>
      </c>
      <c r="H7889" t="s">
        <v>29389</v>
      </c>
      <c r="I7889" t="s">
        <v>10408</v>
      </c>
      <c r="J7889" t="s">
        <v>34615</v>
      </c>
      <c r="K7889" t="s">
        <v>38685</v>
      </c>
      <c r="M7889" t="s">
        <v>41446</v>
      </c>
      <c r="N7889" t="s">
        <v>42669</v>
      </c>
      <c r="O7889" t="s">
        <v>42670</v>
      </c>
      <c r="P7889">
        <v>0</v>
      </c>
      <c r="Q7889">
        <v>0</v>
      </c>
      <c r="R7889" t="s">
        <v>42678</v>
      </c>
      <c r="S7889" t="s">
        <v>42866</v>
      </c>
      <c r="T7889" t="s">
        <v>44450</v>
      </c>
      <c r="U7889" t="s">
        <v>51277</v>
      </c>
      <c r="W7889" t="s">
        <v>41446</v>
      </c>
      <c r="X7889" t="s">
        <v>42679</v>
      </c>
    </row>
    <row r="7890" spans="1:24">
      <c r="A7890">
        <f>HYPERLINK("https://www.philgeps.gov.ph/GEPSNONPILOT/Tender/SplashBidNoticeAbstractUI.aspx?menuIndex=3&amp;refID=7182987&amp;Result=3","7182987")</f>
        <v>0</v>
      </c>
      <c r="B7890" t="s">
        <v>2493</v>
      </c>
      <c r="C7890" t="s">
        <v>11071</v>
      </c>
      <c r="D7890" t="s">
        <v>17170</v>
      </c>
      <c r="E7890" t="s">
        <v>22891</v>
      </c>
      <c r="F7890" t="s">
        <v>29372</v>
      </c>
      <c r="G7890" t="s">
        <v>29380</v>
      </c>
      <c r="H7890" t="s">
        <v>11048</v>
      </c>
      <c r="I7890" t="s">
        <v>8208</v>
      </c>
      <c r="J7890" t="s">
        <v>29587</v>
      </c>
      <c r="K7890" t="s">
        <v>38485</v>
      </c>
      <c r="M7890" t="s">
        <v>41444</v>
      </c>
      <c r="N7890" t="s">
        <v>42669</v>
      </c>
      <c r="O7890" t="s">
        <v>42670</v>
      </c>
      <c r="P7890">
        <v>0</v>
      </c>
      <c r="Q7890">
        <v>0</v>
      </c>
      <c r="R7890" t="s">
        <v>42678</v>
      </c>
      <c r="S7890" t="s">
        <v>42866</v>
      </c>
      <c r="T7890" t="s">
        <v>44452</v>
      </c>
      <c r="U7890" t="s">
        <v>51278</v>
      </c>
      <c r="W7890" t="s">
        <v>41444</v>
      </c>
      <c r="X7890" t="s">
        <v>42679</v>
      </c>
    </row>
    <row r="7891" spans="1:24">
      <c r="A7891">
        <f>HYPERLINK("https://www.philgeps.gov.ph/GEPSNONPILOT/Tender/SplashBidNoticeAbstractUI.aspx?menuIndex=3&amp;refID=7182984&amp;Result=3","7182984")</f>
        <v>0</v>
      </c>
      <c r="B7891" t="s">
        <v>52</v>
      </c>
      <c r="C7891" t="s">
        <v>11072</v>
      </c>
      <c r="D7891" t="s">
        <v>17164</v>
      </c>
      <c r="E7891" t="s">
        <v>24045</v>
      </c>
      <c r="F7891" t="s">
        <v>29372</v>
      </c>
      <c r="G7891" t="s">
        <v>29379</v>
      </c>
      <c r="H7891" t="s">
        <v>11048</v>
      </c>
      <c r="I7891" t="s">
        <v>14920</v>
      </c>
      <c r="J7891" t="s">
        <v>34550</v>
      </c>
      <c r="K7891" t="s">
        <v>38522</v>
      </c>
      <c r="M7891" t="s">
        <v>40848</v>
      </c>
      <c r="N7891" t="s">
        <v>42669</v>
      </c>
      <c r="O7891" t="s">
        <v>42670</v>
      </c>
      <c r="Q7891">
        <v>2</v>
      </c>
      <c r="R7891" t="s">
        <v>42678</v>
      </c>
      <c r="S7891" t="s">
        <v>42908</v>
      </c>
      <c r="T7891" t="s">
        <v>44635</v>
      </c>
      <c r="U7891" t="s">
        <v>51279</v>
      </c>
      <c r="W7891" t="s">
        <v>40848</v>
      </c>
      <c r="X7891" t="s">
        <v>42679</v>
      </c>
    </row>
    <row r="7892" spans="1:24">
      <c r="A7892">
        <f>HYPERLINK("https://www.philgeps.gov.ph/GEPSNONPILOT/Tender/SplashBidNoticeAbstractUI.aspx?menuIndex=3&amp;refID=7182961&amp;Result=3","7182961")</f>
        <v>0</v>
      </c>
      <c r="B7892" t="s">
        <v>2388</v>
      </c>
      <c r="C7892" t="s">
        <v>11073</v>
      </c>
      <c r="D7892" t="s">
        <v>17185</v>
      </c>
      <c r="E7892" t="s">
        <v>23697</v>
      </c>
      <c r="F7892" t="s">
        <v>29372</v>
      </c>
      <c r="G7892" t="s">
        <v>29380</v>
      </c>
      <c r="H7892" t="s">
        <v>11048</v>
      </c>
      <c r="I7892" t="s">
        <v>8614</v>
      </c>
      <c r="J7892" t="s">
        <v>34616</v>
      </c>
      <c r="K7892" t="s">
        <v>38485</v>
      </c>
      <c r="M7892" t="s">
        <v>41333</v>
      </c>
      <c r="N7892" t="s">
        <v>42669</v>
      </c>
      <c r="O7892" t="s">
        <v>42670</v>
      </c>
      <c r="Q7892">
        <v>7</v>
      </c>
      <c r="R7892" t="s">
        <v>42678</v>
      </c>
      <c r="S7892" t="s">
        <v>42909</v>
      </c>
      <c r="T7892" t="s">
        <v>44442</v>
      </c>
      <c r="U7892" t="s">
        <v>51280</v>
      </c>
      <c r="W7892" t="s">
        <v>41333</v>
      </c>
      <c r="X7892" t="s">
        <v>42679</v>
      </c>
    </row>
    <row r="7893" spans="1:24">
      <c r="A7893">
        <f>HYPERLINK("https://www.philgeps.gov.ph/GEPSNONPILOT/Tender/SplashBidNoticeAbstractUI.aspx?menuIndex=3&amp;refID=7182958&amp;Result=3","7182958")</f>
        <v>0</v>
      </c>
      <c r="B7893" t="s">
        <v>2490</v>
      </c>
      <c r="C7893" t="s">
        <v>11074</v>
      </c>
      <c r="D7893" t="s">
        <v>17155</v>
      </c>
      <c r="E7893" t="s">
        <v>24046</v>
      </c>
      <c r="F7893" t="s">
        <v>29372</v>
      </c>
      <c r="G7893" t="s">
        <v>29380</v>
      </c>
      <c r="H7893" t="s">
        <v>11048</v>
      </c>
      <c r="I7893" t="s">
        <v>5383</v>
      </c>
      <c r="J7893" t="s">
        <v>34617</v>
      </c>
      <c r="K7893" t="s">
        <v>38487</v>
      </c>
      <c r="M7893" t="s">
        <v>41441</v>
      </c>
      <c r="N7893" t="s">
        <v>42669</v>
      </c>
      <c r="O7893" t="s">
        <v>42670</v>
      </c>
      <c r="P7893">
        <v>0</v>
      </c>
      <c r="Q7893">
        <v>2</v>
      </c>
      <c r="R7893" t="s">
        <v>42678</v>
      </c>
      <c r="S7893" t="s">
        <v>42866</v>
      </c>
      <c r="T7893" t="s">
        <v>44474</v>
      </c>
      <c r="U7893" t="s">
        <v>51281</v>
      </c>
      <c r="W7893" t="s">
        <v>41441</v>
      </c>
      <c r="X7893" t="s">
        <v>42679</v>
      </c>
    </row>
    <row r="7894" spans="1:24">
      <c r="A7894">
        <f>HYPERLINK("https://www.philgeps.gov.ph/GEPSNONPILOT/Tender/SplashBidNoticeAbstractUI.aspx?menuIndex=3&amp;refID=7182954&amp;Result=3","7182954")</f>
        <v>0</v>
      </c>
      <c r="B7894" t="s">
        <v>430</v>
      </c>
      <c r="C7894" t="s">
        <v>11075</v>
      </c>
      <c r="D7894" t="s">
        <v>17168</v>
      </c>
      <c r="E7894" t="s">
        <v>24047</v>
      </c>
      <c r="F7894" t="s">
        <v>29372</v>
      </c>
      <c r="G7894" t="s">
        <v>29380</v>
      </c>
      <c r="H7894" t="s">
        <v>29389</v>
      </c>
      <c r="I7894" t="s">
        <v>10408</v>
      </c>
      <c r="J7894" t="s">
        <v>34618</v>
      </c>
      <c r="K7894" t="s">
        <v>38487</v>
      </c>
      <c r="M7894" t="s">
        <v>40337</v>
      </c>
      <c r="N7894" t="s">
        <v>42669</v>
      </c>
      <c r="O7894" t="s">
        <v>42670</v>
      </c>
      <c r="P7894">
        <v>0</v>
      </c>
      <c r="Q7894">
        <v>0</v>
      </c>
      <c r="R7894" t="s">
        <v>42678</v>
      </c>
      <c r="S7894" t="s">
        <v>42866</v>
      </c>
      <c r="T7894" t="s">
        <v>44391</v>
      </c>
      <c r="U7894" t="s">
        <v>51282</v>
      </c>
      <c r="W7894" t="s">
        <v>40337</v>
      </c>
      <c r="X7894" t="s">
        <v>42679</v>
      </c>
    </row>
    <row r="7895" spans="1:24">
      <c r="A7895">
        <f>HYPERLINK("https://www.philgeps.gov.ph/GEPSNONPILOT/Tender/SplashBidNoticeAbstractUI.aspx?menuIndex=3&amp;refID=7182960&amp;Result=3","7182960")</f>
        <v>0</v>
      </c>
      <c r="B7895" t="s">
        <v>2495</v>
      </c>
      <c r="C7895" t="s">
        <v>11076</v>
      </c>
      <c r="D7895" t="s">
        <v>17149</v>
      </c>
      <c r="E7895" t="s">
        <v>24048</v>
      </c>
      <c r="F7895" t="s">
        <v>29372</v>
      </c>
      <c r="G7895" t="s">
        <v>29380</v>
      </c>
      <c r="H7895" t="s">
        <v>29389</v>
      </c>
      <c r="I7895" t="s">
        <v>10408</v>
      </c>
      <c r="J7895" t="s">
        <v>34619</v>
      </c>
      <c r="K7895" t="s">
        <v>38686</v>
      </c>
      <c r="M7895" t="s">
        <v>41446</v>
      </c>
      <c r="N7895" t="s">
        <v>42669</v>
      </c>
      <c r="O7895" t="s">
        <v>42670</v>
      </c>
      <c r="P7895">
        <v>0</v>
      </c>
      <c r="Q7895">
        <v>0</v>
      </c>
      <c r="R7895" t="s">
        <v>42678</v>
      </c>
      <c r="S7895" t="s">
        <v>42866</v>
      </c>
      <c r="T7895" t="s">
        <v>44450</v>
      </c>
      <c r="U7895" t="s">
        <v>51283</v>
      </c>
      <c r="W7895" t="s">
        <v>41446</v>
      </c>
      <c r="X7895" t="s">
        <v>42679</v>
      </c>
    </row>
    <row r="7896" spans="1:24">
      <c r="A7896">
        <f>HYPERLINK("https://www.philgeps.gov.ph/GEPSNONPILOT/Tender/SplashBidNoticeAbstractUI.aspx?menuIndex=3&amp;refID=7182952&amp;Result=3","7182952")</f>
        <v>0</v>
      </c>
      <c r="B7896" t="s">
        <v>616</v>
      </c>
      <c r="C7896" t="s">
        <v>11077</v>
      </c>
      <c r="D7896" t="s">
        <v>17204</v>
      </c>
      <c r="E7896" t="s">
        <v>24049</v>
      </c>
      <c r="F7896" t="s">
        <v>29372</v>
      </c>
      <c r="G7896" t="s">
        <v>29379</v>
      </c>
      <c r="H7896" t="s">
        <v>11048</v>
      </c>
      <c r="I7896" t="s">
        <v>4487</v>
      </c>
      <c r="J7896" t="s">
        <v>34620</v>
      </c>
      <c r="K7896" t="s">
        <v>38485</v>
      </c>
      <c r="M7896" t="s">
        <v>40263</v>
      </c>
      <c r="N7896" t="s">
        <v>42669</v>
      </c>
      <c r="O7896" t="s">
        <v>42670</v>
      </c>
      <c r="P7896">
        <v>0</v>
      </c>
      <c r="Q7896">
        <v>10</v>
      </c>
      <c r="R7896" t="s">
        <v>42678</v>
      </c>
      <c r="S7896" t="s">
        <v>42866</v>
      </c>
      <c r="T7896" t="s">
        <v>44469</v>
      </c>
      <c r="U7896" t="s">
        <v>51284</v>
      </c>
      <c r="W7896" t="s">
        <v>40263</v>
      </c>
      <c r="X7896" t="s">
        <v>42679</v>
      </c>
    </row>
    <row r="7897" spans="1:24">
      <c r="A7897">
        <f>HYPERLINK("https://www.philgeps.gov.ph/GEPSNONPILOT/Tender/SplashBidNoticeAbstractUI.aspx?menuIndex=3&amp;refID=7182945&amp;Result=3","7182945")</f>
        <v>0</v>
      </c>
      <c r="B7897" t="s">
        <v>2448</v>
      </c>
      <c r="C7897" t="s">
        <v>11078</v>
      </c>
      <c r="D7897" t="s">
        <v>17195</v>
      </c>
      <c r="E7897" t="s">
        <v>18589</v>
      </c>
      <c r="F7897" t="s">
        <v>29372</v>
      </c>
      <c r="G7897" t="s">
        <v>29380</v>
      </c>
      <c r="H7897" t="s">
        <v>29389</v>
      </c>
      <c r="I7897" t="s">
        <v>10408</v>
      </c>
      <c r="J7897" t="s">
        <v>34621</v>
      </c>
      <c r="K7897" t="s">
        <v>38522</v>
      </c>
      <c r="M7897" t="s">
        <v>41396</v>
      </c>
      <c r="N7897" t="s">
        <v>42669</v>
      </c>
      <c r="O7897" t="s">
        <v>42670</v>
      </c>
      <c r="P7897">
        <v>0</v>
      </c>
      <c r="Q7897">
        <v>13</v>
      </c>
      <c r="R7897" t="s">
        <v>42678</v>
      </c>
      <c r="S7897" t="s">
        <v>42866</v>
      </c>
      <c r="T7897" t="s">
        <v>44663</v>
      </c>
      <c r="U7897" t="s">
        <v>51285</v>
      </c>
      <c r="W7897" t="s">
        <v>41396</v>
      </c>
      <c r="X7897" t="s">
        <v>42679</v>
      </c>
    </row>
    <row r="7898" spans="1:24">
      <c r="A7898">
        <f>HYPERLINK("https://www.philgeps.gov.ph/GEPSNONPILOT/Tender/SplashBidNoticeAbstractUI.aspx?menuIndex=3&amp;refID=7182944&amp;Result=3","7182944")</f>
        <v>0</v>
      </c>
      <c r="B7898" t="s">
        <v>2495</v>
      </c>
      <c r="C7898" t="s">
        <v>11079</v>
      </c>
      <c r="D7898" t="s">
        <v>17149</v>
      </c>
      <c r="E7898" t="s">
        <v>24050</v>
      </c>
      <c r="F7898" t="s">
        <v>29372</v>
      </c>
      <c r="G7898" t="s">
        <v>29380</v>
      </c>
      <c r="H7898" t="s">
        <v>29389</v>
      </c>
      <c r="I7898" t="s">
        <v>10408</v>
      </c>
      <c r="J7898" t="s">
        <v>34622</v>
      </c>
      <c r="K7898" t="s">
        <v>38687</v>
      </c>
      <c r="M7898" t="s">
        <v>41446</v>
      </c>
      <c r="N7898" t="s">
        <v>42669</v>
      </c>
      <c r="O7898" t="s">
        <v>42670</v>
      </c>
      <c r="P7898">
        <v>0</v>
      </c>
      <c r="Q7898">
        <v>1</v>
      </c>
      <c r="R7898" t="s">
        <v>42678</v>
      </c>
      <c r="S7898" t="s">
        <v>42866</v>
      </c>
      <c r="T7898" t="s">
        <v>44450</v>
      </c>
      <c r="U7898" t="s">
        <v>51286</v>
      </c>
      <c r="W7898" t="s">
        <v>41446</v>
      </c>
      <c r="X7898" t="s">
        <v>42679</v>
      </c>
    </row>
    <row r="7899" spans="1:24">
      <c r="A7899">
        <f>HYPERLINK("https://www.philgeps.gov.ph/GEPSNONPILOT/Tender/SplashBidNoticeAbstractUI.aspx?menuIndex=3&amp;refID=7182017&amp;Result=3","7182017")</f>
        <v>0</v>
      </c>
      <c r="B7899" t="s">
        <v>1238</v>
      </c>
      <c r="C7899" t="s">
        <v>11080</v>
      </c>
      <c r="D7899" t="s">
        <v>17145</v>
      </c>
      <c r="E7899" t="s">
        <v>18886</v>
      </c>
      <c r="F7899" t="s">
        <v>29372</v>
      </c>
      <c r="G7899" t="s">
        <v>29380</v>
      </c>
      <c r="H7899" t="s">
        <v>11048</v>
      </c>
      <c r="I7899" t="s">
        <v>29393</v>
      </c>
      <c r="J7899" t="s">
        <v>34623</v>
      </c>
      <c r="K7899" t="s">
        <v>38491</v>
      </c>
      <c r="M7899" t="s">
        <v>40060</v>
      </c>
      <c r="N7899" t="s">
        <v>42669</v>
      </c>
      <c r="O7899" t="s">
        <v>42670</v>
      </c>
      <c r="P7899">
        <v>0</v>
      </c>
      <c r="Q7899">
        <v>0</v>
      </c>
      <c r="R7899" t="s">
        <v>42678</v>
      </c>
      <c r="S7899" t="s">
        <v>42866</v>
      </c>
      <c r="T7899" t="s">
        <v>44580</v>
      </c>
      <c r="U7899" t="s">
        <v>51287</v>
      </c>
      <c r="W7899" t="s">
        <v>40060</v>
      </c>
      <c r="X7899" t="s">
        <v>42679</v>
      </c>
    </row>
    <row r="7900" spans="1:24">
      <c r="A7900">
        <f>HYPERLINK("https://www.philgeps.gov.ph/GEPSNONPILOT/Tender/SplashBidNoticeAbstractUI.aspx?menuIndex=3&amp;refID=7182971&amp;Result=3","7182971")</f>
        <v>0</v>
      </c>
      <c r="B7900" t="s">
        <v>339</v>
      </c>
      <c r="C7900" t="s">
        <v>11081</v>
      </c>
      <c r="D7900" t="s">
        <v>17156</v>
      </c>
      <c r="E7900" t="s">
        <v>24051</v>
      </c>
      <c r="F7900" t="s">
        <v>29372</v>
      </c>
      <c r="G7900" t="s">
        <v>29380</v>
      </c>
      <c r="H7900" t="s">
        <v>11048</v>
      </c>
      <c r="I7900" t="s">
        <v>3629</v>
      </c>
      <c r="J7900" t="s">
        <v>34624</v>
      </c>
      <c r="K7900" t="s">
        <v>38485</v>
      </c>
      <c r="M7900" t="s">
        <v>39651</v>
      </c>
      <c r="N7900" t="s">
        <v>42669</v>
      </c>
      <c r="O7900" t="s">
        <v>42670</v>
      </c>
      <c r="P7900">
        <v>0</v>
      </c>
      <c r="Q7900">
        <v>0</v>
      </c>
      <c r="R7900" t="s">
        <v>42678</v>
      </c>
      <c r="S7900" t="s">
        <v>42866</v>
      </c>
      <c r="T7900" t="s">
        <v>44414</v>
      </c>
      <c r="U7900" t="s">
        <v>51288</v>
      </c>
      <c r="W7900" t="s">
        <v>39651</v>
      </c>
      <c r="X7900" t="s">
        <v>42679</v>
      </c>
    </row>
    <row r="7901" spans="1:24">
      <c r="A7901">
        <f>HYPERLINK("https://www.philgeps.gov.ph/GEPSNONPILOT/Tender/SplashBidNoticeAbstractUI.aspx?menuIndex=3&amp;refID=7182986&amp;Result=3","7182986")</f>
        <v>0</v>
      </c>
      <c r="B7901" t="s">
        <v>1233</v>
      </c>
      <c r="C7901" t="s">
        <v>11082</v>
      </c>
      <c r="E7901" t="s">
        <v>24052</v>
      </c>
      <c r="F7901" t="s">
        <v>29372</v>
      </c>
      <c r="G7901" t="s">
        <v>29380</v>
      </c>
      <c r="H7901" t="s">
        <v>29389</v>
      </c>
      <c r="I7901" t="s">
        <v>10408</v>
      </c>
      <c r="J7901" t="s">
        <v>34625</v>
      </c>
      <c r="K7901" t="s">
        <v>38490</v>
      </c>
      <c r="M7901" t="s">
        <v>40054</v>
      </c>
      <c r="N7901" t="s">
        <v>42669</v>
      </c>
      <c r="O7901" t="s">
        <v>42670</v>
      </c>
      <c r="Q7901">
        <v>5</v>
      </c>
      <c r="R7901" t="s">
        <v>42678</v>
      </c>
      <c r="S7901" t="s">
        <v>42910</v>
      </c>
      <c r="T7901" t="s">
        <v>44355</v>
      </c>
      <c r="U7901" t="s">
        <v>51289</v>
      </c>
      <c r="W7901" t="s">
        <v>58041</v>
      </c>
      <c r="X7901" t="s">
        <v>42679</v>
      </c>
    </row>
    <row r="7902" spans="1:24">
      <c r="A7902">
        <f>HYPERLINK("https://www.philgeps.gov.ph/GEPSNONPILOT/Tender/SplashBidNoticeAbstractUI.aspx?menuIndex=3&amp;refID=7182940&amp;Result=3","7182940")</f>
        <v>0</v>
      </c>
      <c r="B7902" t="s">
        <v>272</v>
      </c>
      <c r="C7902" t="s">
        <v>11083</v>
      </c>
      <c r="D7902" t="s">
        <v>17206</v>
      </c>
      <c r="E7902" t="s">
        <v>24053</v>
      </c>
      <c r="F7902" t="s">
        <v>29372</v>
      </c>
      <c r="G7902" t="s">
        <v>29380</v>
      </c>
      <c r="H7902" t="s">
        <v>11048</v>
      </c>
      <c r="I7902" t="s">
        <v>29452</v>
      </c>
      <c r="J7902" t="s">
        <v>34158</v>
      </c>
      <c r="K7902" t="s">
        <v>38510</v>
      </c>
      <c r="M7902" t="s">
        <v>41448</v>
      </c>
      <c r="N7902" t="s">
        <v>42669</v>
      </c>
      <c r="O7902" t="s">
        <v>42670</v>
      </c>
      <c r="P7902">
        <v>0</v>
      </c>
      <c r="Q7902">
        <v>0</v>
      </c>
      <c r="R7902" t="s">
        <v>42678</v>
      </c>
      <c r="S7902" t="s">
        <v>42866</v>
      </c>
      <c r="T7902" t="s">
        <v>44427</v>
      </c>
      <c r="U7902" t="s">
        <v>51290</v>
      </c>
      <c r="W7902" t="s">
        <v>41448</v>
      </c>
      <c r="X7902" t="s">
        <v>42679</v>
      </c>
    </row>
    <row r="7903" spans="1:24">
      <c r="A7903">
        <f>HYPERLINK("https://www.philgeps.gov.ph/GEPSNONPILOT/Tender/SplashBidNoticeAbstractUI.aspx?menuIndex=3&amp;refID=7182951&amp;Result=3","7182951")</f>
        <v>0</v>
      </c>
      <c r="B7903" t="s">
        <v>2496</v>
      </c>
      <c r="C7903" t="s">
        <v>11084</v>
      </c>
      <c r="D7903" t="s">
        <v>17169</v>
      </c>
      <c r="E7903" t="s">
        <v>24054</v>
      </c>
      <c r="F7903" t="s">
        <v>29372</v>
      </c>
      <c r="G7903" t="s">
        <v>29383</v>
      </c>
      <c r="H7903" t="s">
        <v>29390</v>
      </c>
      <c r="I7903" t="s">
        <v>29398</v>
      </c>
      <c r="J7903" t="s">
        <v>34626</v>
      </c>
      <c r="K7903" t="s">
        <v>38488</v>
      </c>
      <c r="M7903" t="s">
        <v>41449</v>
      </c>
      <c r="N7903" t="s">
        <v>42669</v>
      </c>
      <c r="O7903" t="s">
        <v>42670</v>
      </c>
      <c r="P7903">
        <v>0</v>
      </c>
      <c r="Q7903">
        <v>2</v>
      </c>
      <c r="R7903" t="s">
        <v>42678</v>
      </c>
      <c r="S7903" t="s">
        <v>42866</v>
      </c>
      <c r="T7903" t="s">
        <v>44432</v>
      </c>
      <c r="U7903" t="s">
        <v>51291</v>
      </c>
      <c r="W7903" t="s">
        <v>41449</v>
      </c>
      <c r="X7903" t="s">
        <v>42679</v>
      </c>
    </row>
    <row r="7904" spans="1:24">
      <c r="A7904">
        <f>HYPERLINK("https://www.philgeps.gov.ph/GEPSNONPILOT/Tender/SplashBidNoticeAbstractUI.aspx?menuIndex=3&amp;refID=7183043&amp;Result=3","7183043")</f>
        <v>0</v>
      </c>
      <c r="B7904" t="s">
        <v>430</v>
      </c>
      <c r="C7904" t="s">
        <v>11085</v>
      </c>
      <c r="D7904" t="s">
        <v>17168</v>
      </c>
      <c r="E7904" t="s">
        <v>24055</v>
      </c>
      <c r="F7904" t="s">
        <v>29372</v>
      </c>
      <c r="G7904" t="s">
        <v>29380</v>
      </c>
      <c r="H7904" t="s">
        <v>11048</v>
      </c>
      <c r="I7904" t="s">
        <v>29433</v>
      </c>
      <c r="J7904" t="s">
        <v>29604</v>
      </c>
      <c r="K7904" t="s">
        <v>38485</v>
      </c>
      <c r="M7904" t="s">
        <v>40337</v>
      </c>
      <c r="N7904" t="s">
        <v>42669</v>
      </c>
      <c r="O7904" t="s">
        <v>42670</v>
      </c>
      <c r="P7904">
        <v>0</v>
      </c>
      <c r="Q7904">
        <v>17</v>
      </c>
      <c r="R7904" t="s">
        <v>42678</v>
      </c>
      <c r="S7904" t="s">
        <v>42866</v>
      </c>
      <c r="T7904" t="s">
        <v>44391</v>
      </c>
      <c r="U7904" t="s">
        <v>51292</v>
      </c>
      <c r="W7904" t="s">
        <v>40337</v>
      </c>
      <c r="X7904" t="s">
        <v>42679</v>
      </c>
    </row>
    <row r="7905" spans="1:24">
      <c r="A7905">
        <f>HYPERLINK("https://www.philgeps.gov.ph/GEPSNONPILOT/Tender/SplashBidNoticeAbstractUI.aspx?menuIndex=3&amp;refID=7182946&amp;Result=3","7182946")</f>
        <v>0</v>
      </c>
      <c r="B7905" t="s">
        <v>2497</v>
      </c>
      <c r="C7905" t="s">
        <v>11086</v>
      </c>
      <c r="D7905" t="s">
        <v>17172</v>
      </c>
      <c r="E7905" t="s">
        <v>24056</v>
      </c>
      <c r="F7905" t="s">
        <v>29373</v>
      </c>
      <c r="G7905" t="s">
        <v>29383</v>
      </c>
      <c r="H7905" t="s">
        <v>11048</v>
      </c>
      <c r="I7905" t="s">
        <v>29419</v>
      </c>
      <c r="J7905" t="s">
        <v>31463</v>
      </c>
      <c r="K7905" t="s">
        <v>38491</v>
      </c>
      <c r="L7905" t="s">
        <v>2497</v>
      </c>
      <c r="M7905" t="s">
        <v>41450</v>
      </c>
      <c r="N7905" t="s">
        <v>42669</v>
      </c>
      <c r="O7905" t="s">
        <v>42670</v>
      </c>
      <c r="P7905">
        <v>0</v>
      </c>
      <c r="Q7905">
        <v>0</v>
      </c>
      <c r="R7905" t="s">
        <v>42678</v>
      </c>
      <c r="S7905" t="s">
        <v>42866</v>
      </c>
      <c r="T7905" t="s">
        <v>44470</v>
      </c>
      <c r="U7905" t="s">
        <v>51293</v>
      </c>
      <c r="W7905" t="s">
        <v>41450</v>
      </c>
      <c r="X7905" t="s">
        <v>42679</v>
      </c>
    </row>
    <row r="7906" spans="1:24">
      <c r="A7906">
        <f>HYPERLINK("https://www.philgeps.gov.ph/GEPSNONPILOT/Tender/SplashBidNoticeAbstractUI.aspx?menuIndex=3&amp;refID=7183042&amp;Result=3","7183042")</f>
        <v>0</v>
      </c>
      <c r="B7906" t="s">
        <v>2498</v>
      </c>
      <c r="C7906" t="s">
        <v>11087</v>
      </c>
      <c r="D7906" t="s">
        <v>17158</v>
      </c>
      <c r="E7906" t="s">
        <v>24057</v>
      </c>
      <c r="F7906" t="s">
        <v>29372</v>
      </c>
      <c r="G7906" t="s">
        <v>29380</v>
      </c>
      <c r="H7906" t="s">
        <v>11048</v>
      </c>
      <c r="I7906" t="s">
        <v>5383</v>
      </c>
      <c r="J7906" t="s">
        <v>34627</v>
      </c>
      <c r="K7906" t="s">
        <v>38485</v>
      </c>
      <c r="M7906" t="s">
        <v>41451</v>
      </c>
      <c r="N7906" t="s">
        <v>42669</v>
      </c>
      <c r="O7906" t="s">
        <v>42670</v>
      </c>
      <c r="P7906">
        <v>0</v>
      </c>
      <c r="Q7906">
        <v>3</v>
      </c>
      <c r="R7906" t="s">
        <v>42678</v>
      </c>
      <c r="S7906" t="s">
        <v>42866</v>
      </c>
      <c r="T7906" t="s">
        <v>44517</v>
      </c>
      <c r="U7906" t="s">
        <v>51294</v>
      </c>
      <c r="W7906" t="s">
        <v>41451</v>
      </c>
      <c r="X7906" t="s">
        <v>42679</v>
      </c>
    </row>
    <row r="7907" spans="1:24">
      <c r="A7907">
        <f>HYPERLINK("https://www.philgeps.gov.ph/GEPSNONPILOT/Tender/SplashBidNoticeAbstractUI.aspx?menuIndex=3&amp;refID=7183039&amp;Result=3","7183039")</f>
        <v>0</v>
      </c>
      <c r="B7907" t="s">
        <v>1751</v>
      </c>
      <c r="C7907" t="s">
        <v>11088</v>
      </c>
      <c r="D7907" t="s">
        <v>17165</v>
      </c>
      <c r="E7907" t="s">
        <v>24058</v>
      </c>
      <c r="F7907" t="s">
        <v>29372</v>
      </c>
      <c r="G7907" t="s">
        <v>29380</v>
      </c>
      <c r="H7907" t="s">
        <v>11048</v>
      </c>
      <c r="I7907" t="s">
        <v>3670</v>
      </c>
      <c r="J7907" t="s">
        <v>29555</v>
      </c>
      <c r="K7907" t="s">
        <v>38488</v>
      </c>
      <c r="M7907" t="s">
        <v>40616</v>
      </c>
      <c r="N7907" t="s">
        <v>42669</v>
      </c>
      <c r="O7907" t="s">
        <v>42670</v>
      </c>
      <c r="P7907">
        <v>0</v>
      </c>
      <c r="Q7907">
        <v>2</v>
      </c>
      <c r="R7907" t="s">
        <v>42678</v>
      </c>
      <c r="S7907" t="s">
        <v>42866</v>
      </c>
      <c r="T7907" t="s">
        <v>44481</v>
      </c>
      <c r="U7907" t="s">
        <v>51295</v>
      </c>
      <c r="W7907" t="s">
        <v>40616</v>
      </c>
      <c r="X7907" t="s">
        <v>42679</v>
      </c>
    </row>
    <row r="7908" spans="1:24">
      <c r="A7908">
        <f>HYPERLINK("https://www.philgeps.gov.ph/GEPSNONPILOT/Tender/SplashBidNoticeAbstractUI.aspx?menuIndex=3&amp;refID=7182964&amp;Result=3","7182964")</f>
        <v>0</v>
      </c>
      <c r="B7908" t="s">
        <v>1817</v>
      </c>
      <c r="C7908" t="s">
        <v>11089</v>
      </c>
      <c r="D7908" t="s">
        <v>17153</v>
      </c>
      <c r="E7908" t="s">
        <v>24059</v>
      </c>
      <c r="F7908" t="s">
        <v>29372</v>
      </c>
      <c r="G7908" t="s">
        <v>29380</v>
      </c>
      <c r="H7908" t="s">
        <v>11048</v>
      </c>
      <c r="I7908" t="s">
        <v>4487</v>
      </c>
      <c r="J7908" t="s">
        <v>34628</v>
      </c>
      <c r="K7908" t="s">
        <v>38496</v>
      </c>
      <c r="M7908" t="s">
        <v>40688</v>
      </c>
      <c r="N7908" t="s">
        <v>42669</v>
      </c>
      <c r="O7908" t="s">
        <v>42670</v>
      </c>
      <c r="P7908">
        <v>0</v>
      </c>
      <c r="Q7908">
        <v>2</v>
      </c>
      <c r="R7908" t="s">
        <v>42678</v>
      </c>
      <c r="S7908" t="s">
        <v>42866</v>
      </c>
      <c r="T7908" t="s">
        <v>44450</v>
      </c>
      <c r="U7908" t="s">
        <v>51296</v>
      </c>
      <c r="W7908" t="s">
        <v>40688</v>
      </c>
      <c r="X7908" t="s">
        <v>42679</v>
      </c>
    </row>
    <row r="7909" spans="1:24">
      <c r="A7909">
        <f>HYPERLINK("https://www.philgeps.gov.ph/GEPSNONPILOT/Tender/SplashBidNoticeAbstractUI.aspx?menuIndex=3&amp;refID=7181984&amp;Result=3","7181984")</f>
        <v>0</v>
      </c>
      <c r="B7909" t="s">
        <v>2406</v>
      </c>
      <c r="C7909" t="s">
        <v>11090</v>
      </c>
      <c r="D7909" t="s">
        <v>17208</v>
      </c>
      <c r="E7909" t="s">
        <v>11090</v>
      </c>
      <c r="F7909" t="s">
        <v>29372</v>
      </c>
      <c r="G7909" t="s">
        <v>29380</v>
      </c>
      <c r="H7909" t="s">
        <v>11048</v>
      </c>
      <c r="I7909" t="s">
        <v>3839</v>
      </c>
      <c r="J7909" t="s">
        <v>34629</v>
      </c>
      <c r="K7909" t="s">
        <v>38485</v>
      </c>
      <c r="M7909" t="s">
        <v>41352</v>
      </c>
      <c r="N7909" t="s">
        <v>42669</v>
      </c>
      <c r="O7909" t="s">
        <v>42670</v>
      </c>
      <c r="P7909">
        <v>0</v>
      </c>
      <c r="Q7909">
        <v>3</v>
      </c>
      <c r="R7909" t="s">
        <v>42678</v>
      </c>
      <c r="S7909" t="s">
        <v>42866</v>
      </c>
      <c r="T7909" t="s">
        <v>44685</v>
      </c>
      <c r="U7909" t="s">
        <v>51297</v>
      </c>
      <c r="W7909" t="s">
        <v>41352</v>
      </c>
      <c r="X7909" t="s">
        <v>42679</v>
      </c>
    </row>
    <row r="7910" spans="1:24">
      <c r="A7910">
        <f>HYPERLINK("https://www.philgeps.gov.ph/GEPSNONPILOT/Tender/SplashBidNoticeAbstractUI.aspx?menuIndex=3&amp;refID=7183028&amp;Result=3","7183028")</f>
        <v>0</v>
      </c>
      <c r="B7910" t="s">
        <v>2489</v>
      </c>
      <c r="C7910" t="s">
        <v>11091</v>
      </c>
      <c r="D7910" t="s">
        <v>17203</v>
      </c>
      <c r="E7910" t="s">
        <v>24060</v>
      </c>
      <c r="F7910" t="s">
        <v>29372</v>
      </c>
      <c r="G7910" t="s">
        <v>29380</v>
      </c>
      <c r="H7910" t="s">
        <v>29389</v>
      </c>
      <c r="I7910" t="s">
        <v>10408</v>
      </c>
      <c r="J7910" t="s">
        <v>34630</v>
      </c>
      <c r="K7910" t="s">
        <v>38496</v>
      </c>
      <c r="M7910" t="s">
        <v>41440</v>
      </c>
      <c r="N7910" t="s">
        <v>42669</v>
      </c>
      <c r="O7910" t="s">
        <v>42670</v>
      </c>
      <c r="P7910">
        <v>0</v>
      </c>
      <c r="Q7910">
        <v>0</v>
      </c>
      <c r="R7910" t="s">
        <v>42678</v>
      </c>
      <c r="S7910" t="s">
        <v>42866</v>
      </c>
      <c r="T7910" t="s">
        <v>44515</v>
      </c>
      <c r="U7910" t="s">
        <v>51298</v>
      </c>
      <c r="V7910" t="s">
        <v>57222</v>
      </c>
      <c r="W7910" t="s">
        <v>41440</v>
      </c>
      <c r="X7910" t="s">
        <v>42679</v>
      </c>
    </row>
    <row r="7911" spans="1:24">
      <c r="A7911">
        <f>HYPERLINK("https://www.philgeps.gov.ph/GEPSNONPILOT/Tender/SplashBidNoticeAbstractUI.aspx?menuIndex=3&amp;refID=7181983&amp;Result=3","7181983")</f>
        <v>0</v>
      </c>
      <c r="B7911" t="s">
        <v>1930</v>
      </c>
      <c r="C7911" t="s">
        <v>11092</v>
      </c>
      <c r="D7911" t="s">
        <v>17238</v>
      </c>
      <c r="E7911" t="s">
        <v>24061</v>
      </c>
      <c r="F7911" t="s">
        <v>29372</v>
      </c>
      <c r="G7911" t="s">
        <v>29380</v>
      </c>
      <c r="H7911" t="s">
        <v>11048</v>
      </c>
      <c r="I7911" t="s">
        <v>3670</v>
      </c>
      <c r="J7911" t="s">
        <v>34631</v>
      </c>
      <c r="K7911" t="s">
        <v>38490</v>
      </c>
      <c r="M7911" t="s">
        <v>41452</v>
      </c>
      <c r="N7911" t="s">
        <v>42669</v>
      </c>
      <c r="O7911" t="s">
        <v>42670</v>
      </c>
      <c r="P7911">
        <v>0</v>
      </c>
      <c r="Q7911">
        <v>1</v>
      </c>
      <c r="R7911" t="s">
        <v>42678</v>
      </c>
      <c r="S7911" t="s">
        <v>42866</v>
      </c>
      <c r="T7911" t="s">
        <v>44554</v>
      </c>
      <c r="U7911" t="s">
        <v>51299</v>
      </c>
      <c r="W7911" t="s">
        <v>41452</v>
      </c>
      <c r="X7911" t="s">
        <v>42679</v>
      </c>
    </row>
    <row r="7912" spans="1:24">
      <c r="A7912">
        <f>HYPERLINK("https://www.philgeps.gov.ph/GEPSNONPILOT/Tender/SplashBidNoticeAbstractUI.aspx?menuIndex=3&amp;refID=7183017&amp;Result=3","7183017")</f>
        <v>0</v>
      </c>
      <c r="B7912" t="s">
        <v>2498</v>
      </c>
      <c r="C7912" t="s">
        <v>11093</v>
      </c>
      <c r="D7912" t="s">
        <v>17158</v>
      </c>
      <c r="E7912" t="s">
        <v>24062</v>
      </c>
      <c r="F7912" t="s">
        <v>29372</v>
      </c>
      <c r="G7912" t="s">
        <v>29380</v>
      </c>
      <c r="H7912" t="s">
        <v>11048</v>
      </c>
      <c r="I7912" t="s">
        <v>5383</v>
      </c>
      <c r="J7912" t="s">
        <v>34632</v>
      </c>
      <c r="K7912" t="s">
        <v>38485</v>
      </c>
      <c r="M7912" t="s">
        <v>41451</v>
      </c>
      <c r="N7912" t="s">
        <v>42669</v>
      </c>
      <c r="O7912" t="s">
        <v>42670</v>
      </c>
      <c r="P7912">
        <v>0</v>
      </c>
      <c r="Q7912">
        <v>3</v>
      </c>
      <c r="R7912" t="s">
        <v>42678</v>
      </c>
      <c r="S7912" t="s">
        <v>42866</v>
      </c>
      <c r="T7912" t="s">
        <v>44517</v>
      </c>
      <c r="U7912" t="s">
        <v>51294</v>
      </c>
      <c r="W7912" t="s">
        <v>41451</v>
      </c>
      <c r="X7912" t="s">
        <v>42679</v>
      </c>
    </row>
    <row r="7913" spans="1:24">
      <c r="A7913">
        <f>HYPERLINK("https://www.philgeps.gov.ph/GEPSNONPILOT/Tender/SplashBidNoticeAbstractUI.aspx?menuIndex=3&amp;refID=7183016&amp;Result=3","7183016")</f>
        <v>0</v>
      </c>
      <c r="B7913" t="s">
        <v>702</v>
      </c>
      <c r="C7913" t="s">
        <v>11094</v>
      </c>
      <c r="D7913" t="s">
        <v>17221</v>
      </c>
      <c r="E7913" t="s">
        <v>24063</v>
      </c>
      <c r="F7913" t="s">
        <v>29372</v>
      </c>
      <c r="G7913" t="s">
        <v>29380</v>
      </c>
      <c r="H7913" t="s">
        <v>11048</v>
      </c>
      <c r="I7913" t="s">
        <v>4487</v>
      </c>
      <c r="J7913" t="s">
        <v>34633</v>
      </c>
      <c r="K7913" t="s">
        <v>38491</v>
      </c>
      <c r="M7913" t="s">
        <v>39480</v>
      </c>
      <c r="N7913" t="s">
        <v>42669</v>
      </c>
      <c r="O7913" t="s">
        <v>42670</v>
      </c>
      <c r="P7913">
        <v>0</v>
      </c>
      <c r="Q7913">
        <v>1</v>
      </c>
      <c r="R7913" t="s">
        <v>42678</v>
      </c>
      <c r="S7913" t="s">
        <v>42866</v>
      </c>
      <c r="T7913" t="s">
        <v>44481</v>
      </c>
      <c r="U7913" t="s">
        <v>51300</v>
      </c>
      <c r="V7913" t="s">
        <v>57223</v>
      </c>
      <c r="W7913" t="s">
        <v>39480</v>
      </c>
      <c r="X7913" t="s">
        <v>42679</v>
      </c>
    </row>
    <row r="7914" spans="1:24">
      <c r="A7914">
        <f>HYPERLINK("https://www.philgeps.gov.ph/GEPSNONPILOT/Tender/SplashBidNoticeAbstractUI.aspx?menuIndex=3&amp;refID=7183040&amp;Result=3","7183040")</f>
        <v>0</v>
      </c>
      <c r="B7914" t="s">
        <v>1466</v>
      </c>
      <c r="C7914" t="s">
        <v>11095</v>
      </c>
      <c r="E7914" t="s">
        <v>24064</v>
      </c>
      <c r="F7914" t="s">
        <v>29372</v>
      </c>
      <c r="G7914" t="s">
        <v>29379</v>
      </c>
      <c r="H7914" t="s">
        <v>11048</v>
      </c>
      <c r="I7914" t="s">
        <v>5383</v>
      </c>
      <c r="J7914" t="s">
        <v>34634</v>
      </c>
      <c r="K7914" t="s">
        <v>38490</v>
      </c>
      <c r="M7914" t="s">
        <v>41453</v>
      </c>
      <c r="N7914" t="s">
        <v>42669</v>
      </c>
      <c r="O7914" t="s">
        <v>42670</v>
      </c>
      <c r="P7914">
        <v>0</v>
      </c>
      <c r="Q7914">
        <v>1</v>
      </c>
      <c r="R7914" t="s">
        <v>42678</v>
      </c>
      <c r="S7914" t="s">
        <v>42866</v>
      </c>
      <c r="T7914" t="s">
        <v>44570</v>
      </c>
      <c r="U7914" t="s">
        <v>51301</v>
      </c>
      <c r="W7914" t="s">
        <v>41453</v>
      </c>
      <c r="X7914" t="s">
        <v>42679</v>
      </c>
    </row>
    <row r="7915" spans="1:24">
      <c r="A7915">
        <f>HYPERLINK("https://www.philgeps.gov.ph/GEPSNONPILOT/Tender/SplashBidNoticeAbstractUI.aspx?menuIndex=3&amp;refID=7183014&amp;Result=3","7183014")</f>
        <v>0</v>
      </c>
      <c r="B7915" t="s">
        <v>2487</v>
      </c>
      <c r="C7915" t="s">
        <v>11096</v>
      </c>
      <c r="D7915" t="s">
        <v>17169</v>
      </c>
      <c r="E7915" t="s">
        <v>24065</v>
      </c>
      <c r="F7915" t="s">
        <v>29372</v>
      </c>
      <c r="G7915" t="s">
        <v>29380</v>
      </c>
      <c r="H7915" t="s">
        <v>29389</v>
      </c>
      <c r="I7915" t="s">
        <v>10408</v>
      </c>
      <c r="J7915" t="s">
        <v>34599</v>
      </c>
      <c r="K7915" t="s">
        <v>38662</v>
      </c>
      <c r="M7915" t="s">
        <v>41437</v>
      </c>
      <c r="N7915" t="s">
        <v>42669</v>
      </c>
      <c r="O7915" t="s">
        <v>42670</v>
      </c>
      <c r="P7915">
        <v>0</v>
      </c>
      <c r="Q7915">
        <v>2</v>
      </c>
      <c r="R7915" t="s">
        <v>42678</v>
      </c>
      <c r="S7915" t="s">
        <v>42866</v>
      </c>
      <c r="T7915" t="s">
        <v>44355</v>
      </c>
      <c r="U7915" t="s">
        <v>51255</v>
      </c>
      <c r="W7915" t="s">
        <v>41437</v>
      </c>
      <c r="X7915" t="s">
        <v>42679</v>
      </c>
    </row>
    <row r="7916" spans="1:24">
      <c r="A7916">
        <f>HYPERLINK("https://www.philgeps.gov.ph/GEPSNONPILOT/Tender/SplashBidNoticeAbstractUI.aspx?menuIndex=3&amp;refID=7183012&amp;Result=3","7183012")</f>
        <v>0</v>
      </c>
      <c r="B7916" t="s">
        <v>1751</v>
      </c>
      <c r="C7916" t="s">
        <v>11097</v>
      </c>
      <c r="D7916" t="s">
        <v>17165</v>
      </c>
      <c r="E7916" t="s">
        <v>24066</v>
      </c>
      <c r="F7916" t="s">
        <v>29372</v>
      </c>
      <c r="G7916" t="s">
        <v>29380</v>
      </c>
      <c r="H7916" t="s">
        <v>11048</v>
      </c>
      <c r="I7916" t="s">
        <v>4486</v>
      </c>
      <c r="J7916" t="s">
        <v>30752</v>
      </c>
      <c r="K7916" t="s">
        <v>38488</v>
      </c>
      <c r="M7916" t="s">
        <v>40616</v>
      </c>
      <c r="N7916" t="s">
        <v>42669</v>
      </c>
      <c r="O7916" t="s">
        <v>42670</v>
      </c>
      <c r="P7916">
        <v>0</v>
      </c>
      <c r="Q7916">
        <v>2</v>
      </c>
      <c r="R7916" t="s">
        <v>42678</v>
      </c>
      <c r="S7916" t="s">
        <v>42866</v>
      </c>
      <c r="T7916" t="s">
        <v>44481</v>
      </c>
      <c r="U7916" t="s">
        <v>51302</v>
      </c>
      <c r="W7916" t="s">
        <v>40616</v>
      </c>
      <c r="X7916" t="s">
        <v>42679</v>
      </c>
    </row>
    <row r="7917" spans="1:24">
      <c r="A7917">
        <f>HYPERLINK("https://www.philgeps.gov.ph/GEPSNONPILOT/Tender/SplashBidNoticeAbstractUI.aspx?menuIndex=3&amp;refID=7183026&amp;Result=3","7183026")</f>
        <v>0</v>
      </c>
      <c r="B7917" t="s">
        <v>834</v>
      </c>
      <c r="C7917" t="s">
        <v>11098</v>
      </c>
      <c r="D7917" t="s">
        <v>17187</v>
      </c>
      <c r="E7917" t="s">
        <v>24067</v>
      </c>
      <c r="F7917" t="s">
        <v>29372</v>
      </c>
      <c r="G7917" t="s">
        <v>29379</v>
      </c>
      <c r="H7917" t="s">
        <v>11048</v>
      </c>
      <c r="I7917" t="s">
        <v>3670</v>
      </c>
      <c r="J7917" t="s">
        <v>34635</v>
      </c>
      <c r="K7917" t="s">
        <v>38496</v>
      </c>
      <c r="M7917" t="s">
        <v>41454</v>
      </c>
      <c r="N7917" t="s">
        <v>42669</v>
      </c>
      <c r="O7917" t="s">
        <v>42670</v>
      </c>
      <c r="P7917">
        <v>0</v>
      </c>
      <c r="Q7917">
        <v>14</v>
      </c>
      <c r="R7917" t="s">
        <v>42678</v>
      </c>
      <c r="S7917" t="s">
        <v>42866</v>
      </c>
      <c r="T7917" t="s">
        <v>44399</v>
      </c>
      <c r="U7917" t="s">
        <v>51303</v>
      </c>
      <c r="W7917" t="s">
        <v>41454</v>
      </c>
      <c r="X7917" t="s">
        <v>42679</v>
      </c>
    </row>
    <row r="7918" spans="1:24">
      <c r="A7918">
        <f>HYPERLINK("https://www.philgeps.gov.ph/GEPSNONPILOT/Tender/SplashBidNoticeAbstractUI.aspx?menuIndex=3&amp;refID=7183004&amp;Result=3","7183004")</f>
        <v>0</v>
      </c>
      <c r="B7918" t="s">
        <v>2495</v>
      </c>
      <c r="C7918" t="s">
        <v>11099</v>
      </c>
      <c r="D7918" t="s">
        <v>17149</v>
      </c>
      <c r="E7918" t="s">
        <v>24068</v>
      </c>
      <c r="F7918" t="s">
        <v>29372</v>
      </c>
      <c r="G7918" t="s">
        <v>29380</v>
      </c>
      <c r="H7918" t="s">
        <v>29389</v>
      </c>
      <c r="I7918" t="s">
        <v>10408</v>
      </c>
      <c r="J7918" t="s">
        <v>34636</v>
      </c>
      <c r="K7918" t="s">
        <v>38503</v>
      </c>
      <c r="M7918" t="s">
        <v>41446</v>
      </c>
      <c r="N7918" t="s">
        <v>42669</v>
      </c>
      <c r="O7918" t="s">
        <v>42670</v>
      </c>
      <c r="P7918">
        <v>0</v>
      </c>
      <c r="Q7918">
        <v>0</v>
      </c>
      <c r="R7918" t="s">
        <v>42678</v>
      </c>
      <c r="S7918" t="s">
        <v>42866</v>
      </c>
      <c r="T7918" t="s">
        <v>44450</v>
      </c>
      <c r="U7918" t="s">
        <v>51304</v>
      </c>
      <c r="W7918" t="s">
        <v>41446</v>
      </c>
      <c r="X7918" t="s">
        <v>42679</v>
      </c>
    </row>
    <row r="7919" spans="1:24">
      <c r="A7919">
        <f>HYPERLINK("https://www.philgeps.gov.ph/GEPSNONPILOT/Tender/SplashBidNoticeAbstractUI.aspx?menuIndex=3&amp;refID=7183112&amp;Result=3","7183112")</f>
        <v>0</v>
      </c>
      <c r="B7919" t="s">
        <v>2499</v>
      </c>
      <c r="C7919" t="s">
        <v>11100</v>
      </c>
      <c r="D7919" t="s">
        <v>17188</v>
      </c>
      <c r="E7919" t="s">
        <v>24069</v>
      </c>
      <c r="F7919" t="s">
        <v>29372</v>
      </c>
      <c r="G7919" t="s">
        <v>29380</v>
      </c>
      <c r="H7919" t="s">
        <v>11048</v>
      </c>
      <c r="I7919" t="s">
        <v>4709</v>
      </c>
      <c r="J7919" t="s">
        <v>34637</v>
      </c>
      <c r="K7919" t="s">
        <v>38490</v>
      </c>
      <c r="M7919" t="s">
        <v>41455</v>
      </c>
      <c r="N7919" t="s">
        <v>42669</v>
      </c>
      <c r="O7919" t="s">
        <v>42670</v>
      </c>
      <c r="P7919">
        <v>0</v>
      </c>
      <c r="Q7919">
        <v>0</v>
      </c>
      <c r="R7919" t="s">
        <v>42678</v>
      </c>
      <c r="S7919" t="s">
        <v>42866</v>
      </c>
      <c r="T7919" t="s">
        <v>44432</v>
      </c>
      <c r="U7919" t="s">
        <v>51305</v>
      </c>
      <c r="W7919" t="s">
        <v>41455</v>
      </c>
      <c r="X7919" t="s">
        <v>42679</v>
      </c>
    </row>
    <row r="7920" spans="1:24">
      <c r="A7920">
        <f>HYPERLINK("https://www.philgeps.gov.ph/GEPSNONPILOT/Tender/SplashBidNoticeAbstractUI.aspx?menuIndex=3&amp;refID=7183041&amp;Result=3","7183041")</f>
        <v>0</v>
      </c>
      <c r="B7920" t="s">
        <v>2495</v>
      </c>
      <c r="C7920" t="s">
        <v>11101</v>
      </c>
      <c r="D7920" t="s">
        <v>17149</v>
      </c>
      <c r="E7920" t="s">
        <v>24070</v>
      </c>
      <c r="F7920" t="s">
        <v>29372</v>
      </c>
      <c r="G7920" t="s">
        <v>29380</v>
      </c>
      <c r="H7920" t="s">
        <v>29389</v>
      </c>
      <c r="I7920" t="s">
        <v>10408</v>
      </c>
      <c r="J7920" t="s">
        <v>34638</v>
      </c>
      <c r="K7920" t="s">
        <v>38497</v>
      </c>
      <c r="M7920" t="s">
        <v>41446</v>
      </c>
      <c r="N7920" t="s">
        <v>42669</v>
      </c>
      <c r="O7920" t="s">
        <v>42670</v>
      </c>
      <c r="P7920">
        <v>0</v>
      </c>
      <c r="Q7920">
        <v>0</v>
      </c>
      <c r="R7920" t="s">
        <v>42678</v>
      </c>
      <c r="S7920" t="s">
        <v>42866</v>
      </c>
      <c r="T7920" t="s">
        <v>44450</v>
      </c>
      <c r="U7920" t="s">
        <v>51306</v>
      </c>
      <c r="W7920" t="s">
        <v>41446</v>
      </c>
      <c r="X7920" t="s">
        <v>42679</v>
      </c>
    </row>
    <row r="7921" spans="1:24">
      <c r="A7921">
        <f>HYPERLINK("https://www.philgeps.gov.ph/GEPSNONPILOT/Tender/SplashBidNoticeAbstractUI.aspx?menuIndex=3&amp;refID=7183025&amp;Result=3","7183025")</f>
        <v>0</v>
      </c>
      <c r="B7921" t="s">
        <v>1271</v>
      </c>
      <c r="C7921" t="s">
        <v>11102</v>
      </c>
      <c r="D7921" t="s">
        <v>17159</v>
      </c>
      <c r="E7921" t="s">
        <v>24071</v>
      </c>
      <c r="F7921" t="s">
        <v>29372</v>
      </c>
      <c r="G7921" t="s">
        <v>29381</v>
      </c>
      <c r="H7921" t="s">
        <v>11048</v>
      </c>
      <c r="I7921" t="s">
        <v>9642</v>
      </c>
      <c r="J7921" t="s">
        <v>34639</v>
      </c>
      <c r="K7921" t="s">
        <v>38485</v>
      </c>
      <c r="M7921" t="s">
        <v>40098</v>
      </c>
      <c r="N7921" t="s">
        <v>42669</v>
      </c>
      <c r="O7921" t="s">
        <v>42670</v>
      </c>
      <c r="P7921">
        <v>0</v>
      </c>
      <c r="Q7921">
        <v>10</v>
      </c>
      <c r="R7921" t="s">
        <v>42678</v>
      </c>
      <c r="S7921" t="s">
        <v>42866</v>
      </c>
      <c r="T7921" t="s">
        <v>44382</v>
      </c>
      <c r="U7921" t="s">
        <v>51307</v>
      </c>
      <c r="W7921" t="s">
        <v>40098</v>
      </c>
      <c r="X7921" t="s">
        <v>42679</v>
      </c>
    </row>
    <row r="7922" spans="1:24">
      <c r="A7922">
        <f>HYPERLINK("https://www.philgeps.gov.ph/GEPSNONPILOT/Tender/SplashBidNoticeAbstractUI.aspx?menuIndex=3&amp;refID=7183013&amp;Result=3","7183013")</f>
        <v>0</v>
      </c>
      <c r="B7922" t="s">
        <v>2344</v>
      </c>
      <c r="C7922" t="s">
        <v>11103</v>
      </c>
      <c r="D7922" t="s">
        <v>17151</v>
      </c>
      <c r="E7922" t="s">
        <v>24072</v>
      </c>
      <c r="F7922" t="s">
        <v>29373</v>
      </c>
      <c r="G7922" t="s">
        <v>29380</v>
      </c>
      <c r="H7922" t="s">
        <v>11048</v>
      </c>
      <c r="I7922" t="s">
        <v>5383</v>
      </c>
      <c r="J7922" t="s">
        <v>34640</v>
      </c>
      <c r="K7922" t="s">
        <v>38527</v>
      </c>
      <c r="M7922" t="s">
        <v>41277</v>
      </c>
      <c r="N7922" t="s">
        <v>42669</v>
      </c>
      <c r="O7922" t="s">
        <v>42670</v>
      </c>
      <c r="P7922">
        <v>0</v>
      </c>
      <c r="Q7922">
        <v>9</v>
      </c>
      <c r="R7922" t="s">
        <v>42678</v>
      </c>
      <c r="S7922" t="s">
        <v>42866</v>
      </c>
      <c r="T7922" t="s">
        <v>44685</v>
      </c>
      <c r="U7922" t="s">
        <v>51308</v>
      </c>
      <c r="W7922" t="s">
        <v>41277</v>
      </c>
      <c r="X7922" t="s">
        <v>42679</v>
      </c>
    </row>
    <row r="7923" spans="1:24">
      <c r="A7923">
        <f>HYPERLINK("https://www.philgeps.gov.ph/GEPSNONPILOT/Tender/SplashBidNoticeAbstractUI.aspx?menuIndex=3&amp;refID=7183109&amp;Result=3","7183109")</f>
        <v>0</v>
      </c>
      <c r="B7923" t="s">
        <v>1751</v>
      </c>
      <c r="C7923" t="s">
        <v>11104</v>
      </c>
      <c r="D7923" t="s">
        <v>17165</v>
      </c>
      <c r="E7923" t="s">
        <v>24073</v>
      </c>
      <c r="F7923" t="s">
        <v>29372</v>
      </c>
      <c r="G7923" t="s">
        <v>29381</v>
      </c>
      <c r="H7923" t="s">
        <v>11048</v>
      </c>
      <c r="I7923" t="s">
        <v>5383</v>
      </c>
      <c r="J7923" t="s">
        <v>34641</v>
      </c>
      <c r="K7923" t="s">
        <v>38488</v>
      </c>
      <c r="M7923" t="s">
        <v>40616</v>
      </c>
      <c r="N7923" t="s">
        <v>42669</v>
      </c>
      <c r="O7923" t="s">
        <v>42670</v>
      </c>
      <c r="P7923">
        <v>0</v>
      </c>
      <c r="Q7923">
        <v>3</v>
      </c>
      <c r="R7923" t="s">
        <v>42678</v>
      </c>
      <c r="S7923" t="s">
        <v>42866</v>
      </c>
      <c r="T7923" t="s">
        <v>44481</v>
      </c>
      <c r="U7923" t="s">
        <v>49511</v>
      </c>
      <c r="W7923" t="s">
        <v>40616</v>
      </c>
      <c r="X7923" t="s">
        <v>42679</v>
      </c>
    </row>
    <row r="7924" spans="1:24">
      <c r="A7924">
        <f>HYPERLINK("https://www.philgeps.gov.ph/GEPSNONPILOT/Tender/SplashBidNoticeAbstractUI.aspx?menuIndex=3&amp;refID=7183005&amp;Result=3","7183005")</f>
        <v>0</v>
      </c>
      <c r="B7924" t="s">
        <v>1345</v>
      </c>
      <c r="C7924" t="s">
        <v>11105</v>
      </c>
      <c r="D7924" t="s">
        <v>17169</v>
      </c>
      <c r="E7924" t="s">
        <v>24074</v>
      </c>
      <c r="F7924" t="s">
        <v>29372</v>
      </c>
      <c r="G7924" t="s">
        <v>29380</v>
      </c>
      <c r="H7924" t="s">
        <v>29389</v>
      </c>
      <c r="I7924" t="s">
        <v>10408</v>
      </c>
      <c r="J7924" t="s">
        <v>34642</v>
      </c>
      <c r="K7924" t="s">
        <v>38487</v>
      </c>
      <c r="M7924" t="s">
        <v>40181</v>
      </c>
      <c r="N7924" t="s">
        <v>42669</v>
      </c>
      <c r="O7924" t="s">
        <v>42670</v>
      </c>
      <c r="P7924">
        <v>0</v>
      </c>
      <c r="Q7924">
        <v>0</v>
      </c>
      <c r="R7924" t="s">
        <v>42678</v>
      </c>
      <c r="S7924" t="s">
        <v>42866</v>
      </c>
      <c r="T7924" t="s">
        <v>44512</v>
      </c>
      <c r="U7924" t="s">
        <v>51309</v>
      </c>
      <c r="W7924" t="s">
        <v>40181</v>
      </c>
      <c r="X7924" t="s">
        <v>42679</v>
      </c>
    </row>
    <row r="7925" spans="1:24">
      <c r="A7925">
        <f>HYPERLINK("https://www.philgeps.gov.ph/GEPSNONPILOT/Tender/SplashBidNoticeAbstractUI.aspx?menuIndex=3&amp;refID=7183095&amp;Result=3","7183095")</f>
        <v>0</v>
      </c>
      <c r="B7925" t="s">
        <v>2409</v>
      </c>
      <c r="C7925" t="s">
        <v>6354</v>
      </c>
      <c r="D7925" t="s">
        <v>17153</v>
      </c>
      <c r="E7925" t="s">
        <v>24075</v>
      </c>
      <c r="F7925" t="s">
        <v>29372</v>
      </c>
      <c r="G7925" t="s">
        <v>29379</v>
      </c>
      <c r="H7925" t="s">
        <v>11048</v>
      </c>
      <c r="I7925" t="s">
        <v>29393</v>
      </c>
      <c r="J7925" t="s">
        <v>34643</v>
      </c>
      <c r="K7925" t="s">
        <v>38534</v>
      </c>
      <c r="L7925" t="s">
        <v>2409</v>
      </c>
      <c r="M7925" t="s">
        <v>41355</v>
      </c>
      <c r="N7925" t="s">
        <v>42669</v>
      </c>
      <c r="O7925" t="s">
        <v>42670</v>
      </c>
      <c r="P7925">
        <v>0</v>
      </c>
      <c r="Q7925">
        <v>0</v>
      </c>
      <c r="R7925" t="s">
        <v>42678</v>
      </c>
      <c r="S7925" t="s">
        <v>42866</v>
      </c>
      <c r="T7925" t="s">
        <v>44480</v>
      </c>
      <c r="U7925" t="s">
        <v>51310</v>
      </c>
      <c r="W7925" t="s">
        <v>41355</v>
      </c>
      <c r="X7925" t="s">
        <v>42679</v>
      </c>
    </row>
    <row r="7926" spans="1:24">
      <c r="A7926">
        <f>HYPERLINK("https://www.philgeps.gov.ph/GEPSNONPILOT/Tender/SplashBidNoticeAbstractUI.aspx?menuIndex=3&amp;refID=7182967&amp;Result=3","7182967")</f>
        <v>0</v>
      </c>
      <c r="B7926" t="s">
        <v>2500</v>
      </c>
      <c r="C7926" t="s">
        <v>11106</v>
      </c>
      <c r="D7926" t="s">
        <v>17167</v>
      </c>
      <c r="E7926" t="s">
        <v>24076</v>
      </c>
      <c r="F7926" t="s">
        <v>29372</v>
      </c>
      <c r="G7926" t="s">
        <v>29380</v>
      </c>
      <c r="H7926" t="s">
        <v>11048</v>
      </c>
      <c r="I7926" t="s">
        <v>4709</v>
      </c>
      <c r="J7926" t="s">
        <v>34644</v>
      </c>
      <c r="K7926" t="s">
        <v>38485</v>
      </c>
      <c r="M7926" t="s">
        <v>41456</v>
      </c>
      <c r="N7926" t="s">
        <v>42669</v>
      </c>
      <c r="O7926" t="s">
        <v>42670</v>
      </c>
      <c r="P7926">
        <v>0</v>
      </c>
      <c r="Q7926">
        <v>0</v>
      </c>
      <c r="R7926" t="s">
        <v>42678</v>
      </c>
      <c r="S7926" t="s">
        <v>42866</v>
      </c>
      <c r="T7926" t="s">
        <v>44493</v>
      </c>
      <c r="U7926" t="s">
        <v>51311</v>
      </c>
      <c r="V7926" t="s">
        <v>57224</v>
      </c>
      <c r="W7926" t="s">
        <v>41456</v>
      </c>
      <c r="X7926" t="s">
        <v>42679</v>
      </c>
    </row>
    <row r="7927" spans="1:24">
      <c r="A7927">
        <f>HYPERLINK("https://www.philgeps.gov.ph/GEPSNONPILOT/Tender/SplashBidNoticeAbstractUI.aspx?menuIndex=3&amp;refID=7183104&amp;Result=3","7183104")</f>
        <v>0</v>
      </c>
      <c r="B7927" t="s">
        <v>2487</v>
      </c>
      <c r="C7927" t="s">
        <v>11107</v>
      </c>
      <c r="D7927" t="s">
        <v>17169</v>
      </c>
      <c r="E7927" t="s">
        <v>24077</v>
      </c>
      <c r="F7927" t="s">
        <v>29372</v>
      </c>
      <c r="G7927" t="s">
        <v>29380</v>
      </c>
      <c r="H7927" t="s">
        <v>29389</v>
      </c>
      <c r="I7927" t="s">
        <v>10408</v>
      </c>
      <c r="J7927" t="s">
        <v>34645</v>
      </c>
      <c r="K7927" t="s">
        <v>38526</v>
      </c>
      <c r="M7927" t="s">
        <v>41437</v>
      </c>
      <c r="N7927" t="s">
        <v>42669</v>
      </c>
      <c r="O7927" t="s">
        <v>42670</v>
      </c>
      <c r="P7927">
        <v>0</v>
      </c>
      <c r="Q7927">
        <v>1</v>
      </c>
      <c r="R7927" t="s">
        <v>42678</v>
      </c>
      <c r="S7927" t="s">
        <v>42866</v>
      </c>
      <c r="T7927" t="s">
        <v>44355</v>
      </c>
      <c r="U7927" t="s">
        <v>51312</v>
      </c>
      <c r="W7927" t="s">
        <v>41437</v>
      </c>
      <c r="X7927" t="s">
        <v>42679</v>
      </c>
    </row>
    <row r="7928" spans="1:24">
      <c r="A7928">
        <f>HYPERLINK("https://www.philgeps.gov.ph/GEPSNONPILOT/Tender/SplashBidNoticeAbstractUI.aspx?menuIndex=3&amp;refID=7183082&amp;Result=3","7183082")</f>
        <v>0</v>
      </c>
      <c r="B7928" t="s">
        <v>1751</v>
      </c>
      <c r="C7928" t="s">
        <v>11108</v>
      </c>
      <c r="D7928" t="s">
        <v>17165</v>
      </c>
      <c r="E7928" t="s">
        <v>24078</v>
      </c>
      <c r="F7928" t="s">
        <v>29372</v>
      </c>
      <c r="G7928" t="s">
        <v>29380</v>
      </c>
      <c r="H7928" t="s">
        <v>11048</v>
      </c>
      <c r="I7928" t="s">
        <v>29393</v>
      </c>
      <c r="J7928" t="s">
        <v>34646</v>
      </c>
      <c r="K7928" t="s">
        <v>38488</v>
      </c>
      <c r="M7928" t="s">
        <v>40616</v>
      </c>
      <c r="N7928" t="s">
        <v>42669</v>
      </c>
      <c r="O7928" t="s">
        <v>42670</v>
      </c>
      <c r="P7928">
        <v>0</v>
      </c>
      <c r="Q7928">
        <v>0</v>
      </c>
      <c r="R7928" t="s">
        <v>42678</v>
      </c>
      <c r="S7928" t="s">
        <v>42866</v>
      </c>
      <c r="T7928" t="s">
        <v>44481</v>
      </c>
      <c r="U7928" t="s">
        <v>51313</v>
      </c>
      <c r="W7928" t="s">
        <v>40616</v>
      </c>
      <c r="X7928" t="s">
        <v>42679</v>
      </c>
    </row>
    <row r="7929" spans="1:24">
      <c r="A7929">
        <f>HYPERLINK("https://www.philgeps.gov.ph/GEPSNONPILOT/Tender/SplashBidNoticeAbstractUI.aspx?menuIndex=3&amp;refID=7183065&amp;Result=3","7183065")</f>
        <v>0</v>
      </c>
      <c r="B7929" t="s">
        <v>2501</v>
      </c>
      <c r="C7929" t="s">
        <v>11109</v>
      </c>
      <c r="D7929" t="s">
        <v>17156</v>
      </c>
      <c r="E7929" t="s">
        <v>24079</v>
      </c>
      <c r="F7929" t="s">
        <v>29372</v>
      </c>
      <c r="G7929" t="s">
        <v>29379</v>
      </c>
      <c r="H7929" t="s">
        <v>11048</v>
      </c>
      <c r="I7929" t="s">
        <v>29407</v>
      </c>
      <c r="J7929" t="s">
        <v>29914</v>
      </c>
      <c r="K7929" t="s">
        <v>38485</v>
      </c>
      <c r="M7929" t="s">
        <v>41457</v>
      </c>
      <c r="N7929" t="s">
        <v>42669</v>
      </c>
      <c r="O7929" t="s">
        <v>42670</v>
      </c>
      <c r="P7929">
        <v>0</v>
      </c>
      <c r="Q7929">
        <v>4</v>
      </c>
      <c r="R7929" t="s">
        <v>42678</v>
      </c>
      <c r="S7929" t="s">
        <v>42866</v>
      </c>
      <c r="T7929" t="s">
        <v>44489</v>
      </c>
      <c r="U7929" t="s">
        <v>51314</v>
      </c>
      <c r="V7929" t="s">
        <v>57225</v>
      </c>
      <c r="W7929" t="s">
        <v>41457</v>
      </c>
      <c r="X7929" t="s">
        <v>42679</v>
      </c>
    </row>
    <row r="7930" spans="1:24">
      <c r="A7930">
        <f>HYPERLINK("https://www.philgeps.gov.ph/GEPSNONPILOT/Tender/SplashBidNoticeAbstractUI.aspx?menuIndex=3&amp;refID=7183064&amp;Result=3","7183064")</f>
        <v>0</v>
      </c>
      <c r="B7930" t="s">
        <v>1817</v>
      </c>
      <c r="C7930" t="s">
        <v>11110</v>
      </c>
      <c r="D7930" t="s">
        <v>17153</v>
      </c>
      <c r="E7930" t="s">
        <v>24080</v>
      </c>
      <c r="F7930" t="s">
        <v>29372</v>
      </c>
      <c r="G7930" t="s">
        <v>29380</v>
      </c>
      <c r="H7930" t="s">
        <v>11048</v>
      </c>
      <c r="I7930" t="s">
        <v>29447</v>
      </c>
      <c r="J7930" t="s">
        <v>34647</v>
      </c>
      <c r="K7930" t="s">
        <v>38485</v>
      </c>
      <c r="M7930" t="s">
        <v>40688</v>
      </c>
      <c r="N7930" t="s">
        <v>42669</v>
      </c>
      <c r="O7930" t="s">
        <v>42670</v>
      </c>
      <c r="P7930">
        <v>0</v>
      </c>
      <c r="Q7930">
        <v>4</v>
      </c>
      <c r="R7930" t="s">
        <v>42678</v>
      </c>
      <c r="S7930" t="s">
        <v>42866</v>
      </c>
      <c r="T7930" t="s">
        <v>44399</v>
      </c>
      <c r="U7930" t="s">
        <v>51296</v>
      </c>
      <c r="W7930" t="s">
        <v>40688</v>
      </c>
      <c r="X7930" t="s">
        <v>42679</v>
      </c>
    </row>
    <row r="7931" spans="1:24">
      <c r="A7931">
        <f>HYPERLINK("https://www.philgeps.gov.ph/GEPSNONPILOT/Tender/SplashBidNoticeAbstractUI.aspx?menuIndex=3&amp;refID=7183093&amp;Result=3","7183093")</f>
        <v>0</v>
      </c>
      <c r="B7931" t="s">
        <v>2498</v>
      </c>
      <c r="C7931" t="s">
        <v>11111</v>
      </c>
      <c r="D7931" t="s">
        <v>17158</v>
      </c>
      <c r="E7931" t="s">
        <v>24081</v>
      </c>
      <c r="F7931" t="s">
        <v>29372</v>
      </c>
      <c r="G7931" t="s">
        <v>29380</v>
      </c>
      <c r="H7931" t="s">
        <v>11048</v>
      </c>
      <c r="I7931" t="s">
        <v>5383</v>
      </c>
      <c r="J7931" t="s">
        <v>34648</v>
      </c>
      <c r="K7931" t="s">
        <v>38485</v>
      </c>
      <c r="M7931" t="s">
        <v>41451</v>
      </c>
      <c r="N7931" t="s">
        <v>42669</v>
      </c>
      <c r="O7931" t="s">
        <v>42670</v>
      </c>
      <c r="P7931">
        <v>0</v>
      </c>
      <c r="Q7931">
        <v>3</v>
      </c>
      <c r="R7931" t="s">
        <v>42678</v>
      </c>
      <c r="S7931" t="s">
        <v>42866</v>
      </c>
      <c r="T7931" t="s">
        <v>44517</v>
      </c>
      <c r="U7931" t="s">
        <v>51294</v>
      </c>
      <c r="W7931" t="s">
        <v>41451</v>
      </c>
      <c r="X7931" t="s">
        <v>42679</v>
      </c>
    </row>
    <row r="7932" spans="1:24">
      <c r="A7932">
        <f>HYPERLINK("https://www.philgeps.gov.ph/GEPSNONPILOT/Tender/SplashBidNoticeAbstractUI.aspx?menuIndex=3&amp;refID=7183098&amp;Result=3","7183098")</f>
        <v>0</v>
      </c>
      <c r="B7932" t="s">
        <v>119</v>
      </c>
      <c r="C7932" t="s">
        <v>11112</v>
      </c>
      <c r="D7932" t="s">
        <v>17141</v>
      </c>
      <c r="E7932" t="s">
        <v>24082</v>
      </c>
      <c r="F7932" t="s">
        <v>29372</v>
      </c>
      <c r="G7932" t="s">
        <v>29380</v>
      </c>
      <c r="H7932" t="s">
        <v>11048</v>
      </c>
      <c r="I7932" t="s">
        <v>9642</v>
      </c>
      <c r="J7932" t="s">
        <v>34649</v>
      </c>
      <c r="K7932" t="s">
        <v>38503</v>
      </c>
      <c r="M7932" t="s">
        <v>41458</v>
      </c>
      <c r="N7932" t="s">
        <v>42669</v>
      </c>
      <c r="O7932" t="s">
        <v>42670</v>
      </c>
      <c r="P7932">
        <v>0</v>
      </c>
      <c r="Q7932">
        <v>23</v>
      </c>
      <c r="R7932" t="s">
        <v>42678</v>
      </c>
      <c r="S7932" t="s">
        <v>42866</v>
      </c>
      <c r="T7932" t="s">
        <v>44544</v>
      </c>
      <c r="U7932" t="s">
        <v>51315</v>
      </c>
      <c r="W7932" t="s">
        <v>41458</v>
      </c>
      <c r="X7932" t="s">
        <v>42679</v>
      </c>
    </row>
    <row r="7933" spans="1:24">
      <c r="A7933">
        <f>HYPERLINK("https://www.philgeps.gov.ph/GEPSNONPILOT/Tender/SplashBidNoticeAbstractUI.aspx?menuIndex=3&amp;refID=7183053&amp;Result=3","7183053")</f>
        <v>0</v>
      </c>
      <c r="B7933" t="s">
        <v>339</v>
      </c>
      <c r="C7933" t="s">
        <v>11113</v>
      </c>
      <c r="D7933" t="s">
        <v>17156</v>
      </c>
      <c r="E7933" t="s">
        <v>11113</v>
      </c>
      <c r="F7933" t="s">
        <v>29372</v>
      </c>
      <c r="G7933" t="s">
        <v>29380</v>
      </c>
      <c r="H7933" t="s">
        <v>11048</v>
      </c>
      <c r="I7933" t="s">
        <v>9642</v>
      </c>
      <c r="J7933" t="s">
        <v>34650</v>
      </c>
      <c r="K7933" t="s">
        <v>38485</v>
      </c>
      <c r="M7933" t="s">
        <v>39651</v>
      </c>
      <c r="N7933" t="s">
        <v>42669</v>
      </c>
      <c r="O7933" t="s">
        <v>42670</v>
      </c>
      <c r="P7933">
        <v>0</v>
      </c>
      <c r="Q7933">
        <v>3</v>
      </c>
      <c r="R7933" t="s">
        <v>42678</v>
      </c>
      <c r="S7933" t="s">
        <v>42866</v>
      </c>
      <c r="T7933" t="s">
        <v>44414</v>
      </c>
      <c r="U7933" t="s">
        <v>51316</v>
      </c>
      <c r="W7933" t="s">
        <v>39651</v>
      </c>
      <c r="X7933" t="s">
        <v>42679</v>
      </c>
    </row>
    <row r="7934" spans="1:24">
      <c r="A7934">
        <f>HYPERLINK("https://www.philgeps.gov.ph/GEPSNONPILOT/Tender/SplashBidNoticeAbstractUI.aspx?menuIndex=3&amp;refID=7183051&amp;Result=3","7183051")</f>
        <v>0</v>
      </c>
      <c r="B7934" t="s">
        <v>2495</v>
      </c>
      <c r="C7934" t="s">
        <v>11114</v>
      </c>
      <c r="D7934" t="s">
        <v>17149</v>
      </c>
      <c r="E7934" t="s">
        <v>24083</v>
      </c>
      <c r="F7934" t="s">
        <v>29372</v>
      </c>
      <c r="G7934" t="s">
        <v>29380</v>
      </c>
      <c r="H7934" t="s">
        <v>29389</v>
      </c>
      <c r="I7934" t="s">
        <v>10408</v>
      </c>
      <c r="J7934" t="s">
        <v>34651</v>
      </c>
      <c r="K7934" t="s">
        <v>38503</v>
      </c>
      <c r="M7934" t="s">
        <v>41446</v>
      </c>
      <c r="N7934" t="s">
        <v>42669</v>
      </c>
      <c r="O7934" t="s">
        <v>42670</v>
      </c>
      <c r="P7934">
        <v>0</v>
      </c>
      <c r="Q7934">
        <v>0</v>
      </c>
      <c r="R7934" t="s">
        <v>42678</v>
      </c>
      <c r="S7934" t="s">
        <v>42866</v>
      </c>
      <c r="T7934" t="s">
        <v>44450</v>
      </c>
      <c r="U7934" t="s">
        <v>51317</v>
      </c>
      <c r="W7934" t="s">
        <v>41446</v>
      </c>
      <c r="X7934" t="s">
        <v>42679</v>
      </c>
    </row>
    <row r="7935" spans="1:24">
      <c r="A7935">
        <f>HYPERLINK("https://www.philgeps.gov.ph/GEPSNONPILOT/Tender/SplashBidNoticeAbstractUI.aspx?menuIndex=3&amp;refID=7183050&amp;Result=3","7183050")</f>
        <v>0</v>
      </c>
      <c r="B7935" t="s">
        <v>2409</v>
      </c>
      <c r="C7935" t="s">
        <v>11115</v>
      </c>
      <c r="D7935" t="s">
        <v>17153</v>
      </c>
      <c r="E7935" t="s">
        <v>24084</v>
      </c>
      <c r="F7935" t="s">
        <v>29372</v>
      </c>
      <c r="G7935" t="s">
        <v>29380</v>
      </c>
      <c r="H7935" t="s">
        <v>11048</v>
      </c>
      <c r="I7935" t="s">
        <v>3629</v>
      </c>
      <c r="J7935" t="s">
        <v>30302</v>
      </c>
      <c r="K7935" t="s">
        <v>38488</v>
      </c>
      <c r="L7935" t="s">
        <v>2409</v>
      </c>
      <c r="M7935" t="s">
        <v>41355</v>
      </c>
      <c r="N7935" t="s">
        <v>42669</v>
      </c>
      <c r="O7935" t="s">
        <v>42670</v>
      </c>
      <c r="P7935">
        <v>0</v>
      </c>
      <c r="Q7935">
        <v>0</v>
      </c>
      <c r="R7935" t="s">
        <v>42678</v>
      </c>
      <c r="S7935" t="s">
        <v>42866</v>
      </c>
      <c r="T7935" t="s">
        <v>44557</v>
      </c>
      <c r="U7935" t="s">
        <v>51318</v>
      </c>
      <c r="W7935" t="s">
        <v>41355</v>
      </c>
      <c r="X7935" t="s">
        <v>42679</v>
      </c>
    </row>
    <row r="7936" spans="1:24">
      <c r="A7936">
        <f>HYPERLINK("https://www.philgeps.gov.ph/GEPSNONPILOT/Tender/SplashBidNoticeAbstractUI.aspx?menuIndex=3&amp;refID=7183049&amp;Result=3","7183049")</f>
        <v>0</v>
      </c>
      <c r="B7936" t="s">
        <v>660</v>
      </c>
      <c r="C7936" t="s">
        <v>11116</v>
      </c>
      <c r="D7936" t="s">
        <v>17199</v>
      </c>
      <c r="E7936" t="s">
        <v>11116</v>
      </c>
      <c r="F7936" t="s">
        <v>29372</v>
      </c>
      <c r="G7936" t="s">
        <v>29380</v>
      </c>
      <c r="H7936" t="s">
        <v>29389</v>
      </c>
      <c r="I7936" t="s">
        <v>29450</v>
      </c>
      <c r="J7936" t="s">
        <v>30056</v>
      </c>
      <c r="K7936" t="s">
        <v>38490</v>
      </c>
      <c r="M7936" t="s">
        <v>41459</v>
      </c>
      <c r="N7936" t="s">
        <v>42669</v>
      </c>
      <c r="O7936" t="s">
        <v>42670</v>
      </c>
      <c r="P7936">
        <v>0</v>
      </c>
      <c r="Q7936">
        <v>0</v>
      </c>
      <c r="R7936" t="s">
        <v>42678</v>
      </c>
      <c r="S7936" t="s">
        <v>42866</v>
      </c>
      <c r="T7936" t="s">
        <v>44684</v>
      </c>
      <c r="U7936" t="s">
        <v>51319</v>
      </c>
      <c r="W7936" t="s">
        <v>41459</v>
      </c>
      <c r="X7936" t="s">
        <v>42679</v>
      </c>
    </row>
    <row r="7937" spans="1:24">
      <c r="A7937">
        <f>HYPERLINK("https://www.philgeps.gov.ph/GEPSNONPILOT/Tender/SplashBidNoticeAbstractUI.aspx?menuIndex=3&amp;refID=7183058&amp;Result=3","7183058")</f>
        <v>0</v>
      </c>
      <c r="B7937" t="s">
        <v>834</v>
      </c>
      <c r="C7937" t="s">
        <v>11117</v>
      </c>
      <c r="E7937" t="s">
        <v>24085</v>
      </c>
      <c r="F7937" t="s">
        <v>29372</v>
      </c>
      <c r="G7937" t="s">
        <v>29379</v>
      </c>
      <c r="H7937" t="s">
        <v>11048</v>
      </c>
      <c r="I7937" t="s">
        <v>3670</v>
      </c>
      <c r="J7937" t="s">
        <v>30596</v>
      </c>
      <c r="K7937" t="s">
        <v>38525</v>
      </c>
      <c r="M7937" t="s">
        <v>41454</v>
      </c>
      <c r="N7937" t="s">
        <v>42669</v>
      </c>
      <c r="O7937" t="s">
        <v>42670</v>
      </c>
      <c r="P7937">
        <v>0</v>
      </c>
      <c r="Q7937">
        <v>12</v>
      </c>
      <c r="R7937" t="s">
        <v>42678</v>
      </c>
      <c r="S7937" t="s">
        <v>42866</v>
      </c>
      <c r="T7937" t="s">
        <v>44399</v>
      </c>
      <c r="U7937" t="s">
        <v>51303</v>
      </c>
      <c r="W7937" t="s">
        <v>41454</v>
      </c>
      <c r="X7937" t="s">
        <v>42679</v>
      </c>
    </row>
    <row r="7938" spans="1:24">
      <c r="A7938">
        <f>HYPERLINK("https://www.philgeps.gov.ph/GEPSNONPILOT/Tender/SplashBidNoticeAbstractUI.aspx?menuIndex=3&amp;refID=7183046&amp;Result=3","7183046")</f>
        <v>0</v>
      </c>
      <c r="B7938" t="s">
        <v>1947</v>
      </c>
      <c r="C7938" t="s">
        <v>11118</v>
      </c>
      <c r="D7938" t="s">
        <v>17194</v>
      </c>
      <c r="E7938" t="s">
        <v>24086</v>
      </c>
      <c r="F7938" t="s">
        <v>29372</v>
      </c>
      <c r="G7938" t="s">
        <v>29380</v>
      </c>
      <c r="H7938" t="s">
        <v>11048</v>
      </c>
      <c r="I7938" t="s">
        <v>29393</v>
      </c>
      <c r="J7938" t="s">
        <v>34652</v>
      </c>
      <c r="K7938" t="s">
        <v>38518</v>
      </c>
      <c r="M7938" t="s">
        <v>40829</v>
      </c>
      <c r="N7938" t="s">
        <v>42669</v>
      </c>
      <c r="O7938" t="s">
        <v>42670</v>
      </c>
      <c r="P7938">
        <v>0</v>
      </c>
      <c r="Q7938">
        <v>0</v>
      </c>
      <c r="R7938" t="s">
        <v>42678</v>
      </c>
      <c r="S7938" t="s">
        <v>42866</v>
      </c>
      <c r="T7938" t="s">
        <v>44375</v>
      </c>
      <c r="U7938" t="s">
        <v>51320</v>
      </c>
      <c r="W7938" t="s">
        <v>40829</v>
      </c>
      <c r="X7938" t="s">
        <v>42679</v>
      </c>
    </row>
    <row r="7939" spans="1:24">
      <c r="A7939">
        <f>HYPERLINK("https://www.philgeps.gov.ph/GEPSNONPILOT/Tender/SplashBidNoticeAbstractUI.aspx?menuIndex=3&amp;refID=7183157&amp;Result=3","7183157")</f>
        <v>0</v>
      </c>
      <c r="B7939" t="s">
        <v>1782</v>
      </c>
      <c r="C7939" t="s">
        <v>11119</v>
      </c>
      <c r="D7939" t="s">
        <v>17177</v>
      </c>
      <c r="E7939" t="s">
        <v>24087</v>
      </c>
      <c r="F7939" t="s">
        <v>29372</v>
      </c>
      <c r="G7939" t="s">
        <v>29380</v>
      </c>
      <c r="H7939" t="s">
        <v>11048</v>
      </c>
      <c r="I7939" t="s">
        <v>9642</v>
      </c>
      <c r="J7939" t="s">
        <v>34653</v>
      </c>
      <c r="K7939" t="s">
        <v>38487</v>
      </c>
      <c r="M7939" t="s">
        <v>40651</v>
      </c>
      <c r="N7939" t="s">
        <v>42669</v>
      </c>
      <c r="O7939" t="s">
        <v>42670</v>
      </c>
      <c r="P7939">
        <v>0</v>
      </c>
      <c r="Q7939">
        <v>23</v>
      </c>
      <c r="R7939" t="s">
        <v>42678</v>
      </c>
      <c r="S7939" t="s">
        <v>42866</v>
      </c>
      <c r="T7939" t="s">
        <v>44517</v>
      </c>
      <c r="U7939" t="s">
        <v>48917</v>
      </c>
      <c r="V7939" t="s">
        <v>57226</v>
      </c>
      <c r="W7939" t="s">
        <v>40651</v>
      </c>
      <c r="X7939" t="s">
        <v>42679</v>
      </c>
    </row>
    <row r="7940" spans="1:24">
      <c r="A7940">
        <f>HYPERLINK("https://www.philgeps.gov.ph/GEPSNONPILOT/Tender/SplashBidNoticeAbstractUI.aspx?menuIndex=3&amp;refID=7183111&amp;Result=3","7183111")</f>
        <v>0</v>
      </c>
      <c r="B7940" t="s">
        <v>2489</v>
      </c>
      <c r="C7940" t="s">
        <v>11120</v>
      </c>
      <c r="D7940" t="s">
        <v>17203</v>
      </c>
      <c r="E7940" t="s">
        <v>24088</v>
      </c>
      <c r="F7940" t="s">
        <v>29372</v>
      </c>
      <c r="G7940" t="s">
        <v>29380</v>
      </c>
      <c r="H7940" t="s">
        <v>29389</v>
      </c>
      <c r="I7940" t="s">
        <v>10408</v>
      </c>
      <c r="J7940" t="s">
        <v>34654</v>
      </c>
      <c r="K7940" t="s">
        <v>38495</v>
      </c>
      <c r="M7940" t="s">
        <v>41440</v>
      </c>
      <c r="N7940" t="s">
        <v>42669</v>
      </c>
      <c r="O7940" t="s">
        <v>42670</v>
      </c>
      <c r="P7940">
        <v>0</v>
      </c>
      <c r="Q7940">
        <v>1</v>
      </c>
      <c r="R7940" t="s">
        <v>42678</v>
      </c>
      <c r="S7940" t="s">
        <v>42866</v>
      </c>
      <c r="T7940" t="s">
        <v>44515</v>
      </c>
      <c r="U7940" t="s">
        <v>51321</v>
      </c>
      <c r="V7940" t="s">
        <v>57222</v>
      </c>
      <c r="W7940" t="s">
        <v>41440</v>
      </c>
      <c r="X7940" t="s">
        <v>42679</v>
      </c>
    </row>
    <row r="7941" spans="1:24">
      <c r="A7941">
        <f>HYPERLINK("https://www.philgeps.gov.ph/GEPSNONPILOT/Tender/SplashBidNoticeAbstractUI.aspx?menuIndex=3&amp;refID=7183048&amp;Result=3","7183048")</f>
        <v>0</v>
      </c>
      <c r="B7941" t="s">
        <v>170</v>
      </c>
      <c r="C7941" t="s">
        <v>11121</v>
      </c>
      <c r="D7941" t="s">
        <v>17195</v>
      </c>
      <c r="E7941" t="s">
        <v>24089</v>
      </c>
      <c r="F7941" t="s">
        <v>29372</v>
      </c>
      <c r="G7941" t="s">
        <v>29379</v>
      </c>
      <c r="H7941" t="s">
        <v>11048</v>
      </c>
      <c r="I7941" t="s">
        <v>3860</v>
      </c>
      <c r="J7941" t="s">
        <v>29767</v>
      </c>
      <c r="K7941" t="s">
        <v>38495</v>
      </c>
      <c r="M7941" t="s">
        <v>38927</v>
      </c>
      <c r="N7941" t="s">
        <v>42669</v>
      </c>
      <c r="O7941" t="s">
        <v>42670</v>
      </c>
      <c r="P7941">
        <v>0</v>
      </c>
      <c r="Q7941">
        <v>0</v>
      </c>
      <c r="R7941" t="s">
        <v>42678</v>
      </c>
      <c r="S7941" t="s">
        <v>42866</v>
      </c>
      <c r="T7941" t="s">
        <v>44470</v>
      </c>
      <c r="U7941" t="s">
        <v>47920</v>
      </c>
      <c r="W7941" t="s">
        <v>38927</v>
      </c>
      <c r="X7941" t="s">
        <v>42679</v>
      </c>
    </row>
    <row r="7942" spans="1:24">
      <c r="A7942">
        <f>HYPERLINK("https://www.philgeps.gov.ph/GEPSNONPILOT/Tender/SplashBidNoticeAbstractUI.aspx?menuIndex=3&amp;refID=7183062&amp;Result=3","7183062")</f>
        <v>0</v>
      </c>
      <c r="B7942" t="s">
        <v>1466</v>
      </c>
      <c r="C7942" t="s">
        <v>11122</v>
      </c>
      <c r="E7942" t="s">
        <v>24090</v>
      </c>
      <c r="F7942" t="s">
        <v>29372</v>
      </c>
      <c r="G7942" t="s">
        <v>29379</v>
      </c>
      <c r="H7942" t="s">
        <v>11048</v>
      </c>
      <c r="I7942" t="s">
        <v>5383</v>
      </c>
      <c r="J7942" t="s">
        <v>34655</v>
      </c>
      <c r="K7942" t="s">
        <v>38490</v>
      </c>
      <c r="M7942" t="s">
        <v>41453</v>
      </c>
      <c r="N7942" t="s">
        <v>42669</v>
      </c>
      <c r="O7942" t="s">
        <v>42670</v>
      </c>
      <c r="P7942">
        <v>0</v>
      </c>
      <c r="Q7942">
        <v>1</v>
      </c>
      <c r="R7942" t="s">
        <v>42678</v>
      </c>
      <c r="S7942" t="s">
        <v>42866</v>
      </c>
      <c r="T7942" t="s">
        <v>44570</v>
      </c>
      <c r="U7942" t="s">
        <v>51301</v>
      </c>
      <c r="W7942" t="s">
        <v>41453</v>
      </c>
      <c r="X7942" t="s">
        <v>42679</v>
      </c>
    </row>
    <row r="7943" spans="1:24">
      <c r="A7943">
        <f>HYPERLINK("https://www.philgeps.gov.ph/GEPSNONPILOT/Tender/SplashBidNoticeAbstractUI.aspx?menuIndex=3&amp;refID=7183151&amp;Result=3","7183151")</f>
        <v>0</v>
      </c>
      <c r="B7943" t="s">
        <v>669</v>
      </c>
      <c r="C7943" t="s">
        <v>11123</v>
      </c>
      <c r="D7943" t="s">
        <v>17147</v>
      </c>
      <c r="E7943" t="s">
        <v>24091</v>
      </c>
      <c r="F7943" t="s">
        <v>29374</v>
      </c>
      <c r="G7943" t="s">
        <v>29380</v>
      </c>
      <c r="H7943" t="s">
        <v>29389</v>
      </c>
      <c r="I7943" t="s">
        <v>10408</v>
      </c>
      <c r="J7943" t="s">
        <v>34656</v>
      </c>
      <c r="K7943" t="s">
        <v>38549</v>
      </c>
      <c r="M7943" t="s">
        <v>41046</v>
      </c>
      <c r="N7943" t="s">
        <v>42669</v>
      </c>
      <c r="O7943" t="s">
        <v>42670</v>
      </c>
      <c r="P7943">
        <v>0</v>
      </c>
      <c r="Q7943">
        <v>0</v>
      </c>
      <c r="R7943" t="s">
        <v>42678</v>
      </c>
      <c r="S7943" t="s">
        <v>42866</v>
      </c>
      <c r="T7943" t="s">
        <v>44450</v>
      </c>
      <c r="U7943" t="s">
        <v>51322</v>
      </c>
      <c r="V7943" t="s">
        <v>57227</v>
      </c>
      <c r="W7943" t="s">
        <v>41046</v>
      </c>
      <c r="X7943" t="s">
        <v>42679</v>
      </c>
    </row>
    <row r="7944" spans="1:24">
      <c r="A7944">
        <f>HYPERLINK("https://www.philgeps.gov.ph/GEPSNONPILOT/Tender/SplashBidNoticeAbstractUI.aspx?menuIndex=3&amp;refID=7183149&amp;Result=3","7183149")</f>
        <v>0</v>
      </c>
      <c r="B7944" t="s">
        <v>1247</v>
      </c>
      <c r="C7944" t="s">
        <v>11124</v>
      </c>
      <c r="D7944" t="s">
        <v>17154</v>
      </c>
      <c r="E7944" t="s">
        <v>24092</v>
      </c>
      <c r="F7944" t="s">
        <v>29372</v>
      </c>
      <c r="G7944" t="s">
        <v>29380</v>
      </c>
      <c r="H7944" t="s">
        <v>11048</v>
      </c>
      <c r="I7944" t="s">
        <v>4487</v>
      </c>
      <c r="J7944" t="s">
        <v>34657</v>
      </c>
      <c r="K7944" t="s">
        <v>38491</v>
      </c>
      <c r="M7944" t="s">
        <v>40072</v>
      </c>
      <c r="N7944" t="s">
        <v>42669</v>
      </c>
      <c r="O7944" t="s">
        <v>42670</v>
      </c>
      <c r="P7944">
        <v>0</v>
      </c>
      <c r="Q7944">
        <v>5</v>
      </c>
      <c r="R7944" t="s">
        <v>42678</v>
      </c>
      <c r="S7944" t="s">
        <v>42866</v>
      </c>
      <c r="T7944" t="s">
        <v>44444</v>
      </c>
      <c r="U7944" t="s">
        <v>51323</v>
      </c>
      <c r="W7944" t="s">
        <v>40072</v>
      </c>
      <c r="X7944" t="s">
        <v>42679</v>
      </c>
    </row>
    <row r="7945" spans="1:24">
      <c r="A7945">
        <f>HYPERLINK("https://www.philgeps.gov.ph/GEPSNONPILOT/Tender/SplashBidNoticeAbstractUI.aspx?menuIndex=3&amp;refID=7183147&amp;Result=3","7183147")</f>
        <v>0</v>
      </c>
      <c r="B7945" t="s">
        <v>1195</v>
      </c>
      <c r="C7945" t="s">
        <v>11125</v>
      </c>
      <c r="D7945" t="s">
        <v>17169</v>
      </c>
      <c r="E7945" t="s">
        <v>24093</v>
      </c>
      <c r="F7945" t="s">
        <v>29372</v>
      </c>
      <c r="G7945" t="s">
        <v>29380</v>
      </c>
      <c r="H7945" t="s">
        <v>11048</v>
      </c>
      <c r="I7945" t="s">
        <v>3670</v>
      </c>
      <c r="J7945" t="s">
        <v>34658</v>
      </c>
      <c r="K7945" t="s">
        <v>38490</v>
      </c>
      <c r="M7945" t="s">
        <v>40012</v>
      </c>
      <c r="N7945" t="s">
        <v>42669</v>
      </c>
      <c r="O7945" t="s">
        <v>42670</v>
      </c>
      <c r="P7945">
        <v>0</v>
      </c>
      <c r="Q7945">
        <v>6</v>
      </c>
      <c r="R7945" t="s">
        <v>42678</v>
      </c>
      <c r="S7945" t="s">
        <v>42866</v>
      </c>
      <c r="T7945" t="s">
        <v>44579</v>
      </c>
      <c r="U7945" t="s">
        <v>51324</v>
      </c>
      <c r="W7945" t="s">
        <v>40012</v>
      </c>
      <c r="X7945" t="s">
        <v>42679</v>
      </c>
    </row>
    <row r="7946" spans="1:24">
      <c r="A7946">
        <f>HYPERLINK("https://www.philgeps.gov.ph/GEPSNONPILOT/Tender/SplashBidNoticeAbstractUI.aspx?menuIndex=3&amp;refID=7183146&amp;Result=3","7183146")</f>
        <v>0</v>
      </c>
      <c r="B7946" t="s">
        <v>2502</v>
      </c>
      <c r="C7946" t="s">
        <v>11126</v>
      </c>
      <c r="D7946" t="s">
        <v>17180</v>
      </c>
      <c r="E7946" t="s">
        <v>20719</v>
      </c>
      <c r="F7946" t="s">
        <v>29372</v>
      </c>
      <c r="G7946" t="s">
        <v>29380</v>
      </c>
      <c r="H7946" t="s">
        <v>11048</v>
      </c>
      <c r="I7946" t="s">
        <v>29395</v>
      </c>
      <c r="J7946" t="s">
        <v>34659</v>
      </c>
      <c r="K7946" t="s">
        <v>38490</v>
      </c>
      <c r="M7946" t="s">
        <v>41460</v>
      </c>
      <c r="N7946" t="s">
        <v>42669</v>
      </c>
      <c r="O7946" t="s">
        <v>42670</v>
      </c>
      <c r="P7946">
        <v>0</v>
      </c>
      <c r="Q7946">
        <v>0</v>
      </c>
      <c r="R7946" t="s">
        <v>42678</v>
      </c>
      <c r="S7946" t="s">
        <v>42866</v>
      </c>
      <c r="T7946" t="s">
        <v>44512</v>
      </c>
      <c r="U7946" t="s">
        <v>51325</v>
      </c>
      <c r="W7946" t="s">
        <v>41460</v>
      </c>
      <c r="X7946" t="s">
        <v>42679</v>
      </c>
    </row>
    <row r="7947" spans="1:24">
      <c r="A7947">
        <f>HYPERLINK("https://www.philgeps.gov.ph/GEPSNONPILOT/Tender/SplashBidNoticeAbstractUI.aspx?menuIndex=3&amp;refID=7183153&amp;Result=3","7183153")</f>
        <v>0</v>
      </c>
      <c r="B7947" t="s">
        <v>2181</v>
      </c>
      <c r="C7947" t="s">
        <v>11127</v>
      </c>
      <c r="E7947" t="s">
        <v>24094</v>
      </c>
      <c r="F7947" t="s">
        <v>29372</v>
      </c>
      <c r="G7947" t="s">
        <v>29380</v>
      </c>
      <c r="H7947" t="s">
        <v>11048</v>
      </c>
      <c r="I7947" t="s">
        <v>3952</v>
      </c>
      <c r="J7947" t="s">
        <v>34660</v>
      </c>
      <c r="K7947" t="s">
        <v>38496</v>
      </c>
      <c r="M7947" t="s">
        <v>41095</v>
      </c>
      <c r="N7947" t="s">
        <v>42669</v>
      </c>
      <c r="O7947" t="s">
        <v>42670</v>
      </c>
      <c r="P7947">
        <v>0</v>
      </c>
      <c r="Q7947">
        <v>5</v>
      </c>
      <c r="R7947" t="s">
        <v>42678</v>
      </c>
      <c r="S7947" t="s">
        <v>42866</v>
      </c>
      <c r="T7947" t="s">
        <v>44685</v>
      </c>
      <c r="U7947" t="s">
        <v>51326</v>
      </c>
      <c r="V7947" t="s">
        <v>57228</v>
      </c>
      <c r="W7947" t="s">
        <v>41095</v>
      </c>
      <c r="X7947" t="s">
        <v>42679</v>
      </c>
    </row>
    <row r="7948" spans="1:24">
      <c r="A7948">
        <f>HYPERLINK("https://www.philgeps.gov.ph/GEPSNONPILOT/Tender/SplashBidNoticeAbstractUI.aspx?menuIndex=3&amp;refID=7183138&amp;Result=3","7183138")</f>
        <v>0</v>
      </c>
      <c r="B7948" t="s">
        <v>2503</v>
      </c>
      <c r="C7948" t="s">
        <v>11128</v>
      </c>
      <c r="D7948" t="s">
        <v>17192</v>
      </c>
      <c r="E7948" t="s">
        <v>24095</v>
      </c>
      <c r="F7948" t="s">
        <v>29372</v>
      </c>
      <c r="G7948" t="s">
        <v>29380</v>
      </c>
      <c r="H7948" t="s">
        <v>11048</v>
      </c>
      <c r="I7948" t="s">
        <v>29409</v>
      </c>
      <c r="J7948" t="s">
        <v>34661</v>
      </c>
      <c r="K7948" t="s">
        <v>38488</v>
      </c>
      <c r="M7948" t="s">
        <v>41461</v>
      </c>
      <c r="N7948" t="s">
        <v>42669</v>
      </c>
      <c r="O7948" t="s">
        <v>42670</v>
      </c>
      <c r="P7948">
        <v>0</v>
      </c>
      <c r="Q7948">
        <v>11</v>
      </c>
      <c r="R7948" t="s">
        <v>42678</v>
      </c>
      <c r="S7948" t="s">
        <v>42866</v>
      </c>
      <c r="T7948" t="s">
        <v>44430</v>
      </c>
      <c r="U7948" t="s">
        <v>51327</v>
      </c>
      <c r="W7948" t="s">
        <v>41461</v>
      </c>
      <c r="X7948" t="s">
        <v>42679</v>
      </c>
    </row>
    <row r="7949" spans="1:24">
      <c r="A7949">
        <f>HYPERLINK("https://www.philgeps.gov.ph/GEPSNONPILOT/Tender/SplashBidNoticeAbstractUI.aspx?menuIndex=3&amp;refID=7183137&amp;Result=3","7183137")</f>
        <v>0</v>
      </c>
      <c r="B7949" t="s">
        <v>1195</v>
      </c>
      <c r="C7949" t="s">
        <v>11129</v>
      </c>
      <c r="D7949" t="s">
        <v>17169</v>
      </c>
      <c r="E7949" t="s">
        <v>24096</v>
      </c>
      <c r="F7949" t="s">
        <v>29372</v>
      </c>
      <c r="G7949" t="s">
        <v>29380</v>
      </c>
      <c r="H7949" t="s">
        <v>11048</v>
      </c>
      <c r="I7949" t="s">
        <v>3670</v>
      </c>
      <c r="J7949" t="s">
        <v>34662</v>
      </c>
      <c r="K7949" t="s">
        <v>38490</v>
      </c>
      <c r="M7949" t="s">
        <v>40012</v>
      </c>
      <c r="N7949" t="s">
        <v>42669</v>
      </c>
      <c r="O7949" t="s">
        <v>42670</v>
      </c>
      <c r="P7949">
        <v>0</v>
      </c>
      <c r="Q7949">
        <v>0</v>
      </c>
      <c r="R7949" t="s">
        <v>42678</v>
      </c>
      <c r="S7949" t="s">
        <v>42866</v>
      </c>
      <c r="T7949" t="s">
        <v>44579</v>
      </c>
      <c r="U7949" t="s">
        <v>51328</v>
      </c>
      <c r="W7949" t="s">
        <v>40012</v>
      </c>
      <c r="X7949" t="s">
        <v>42679</v>
      </c>
    </row>
    <row r="7950" spans="1:24">
      <c r="A7950">
        <f>HYPERLINK("https://www.philgeps.gov.ph/GEPSNONPILOT/Tender/SplashBidNoticeAbstractUI.aspx?menuIndex=3&amp;refID=7183092&amp;Result=3","7183092")</f>
        <v>0</v>
      </c>
      <c r="B7950" t="s">
        <v>1466</v>
      </c>
      <c r="C7950" t="s">
        <v>11130</v>
      </c>
      <c r="E7950" t="s">
        <v>24097</v>
      </c>
      <c r="F7950" t="s">
        <v>29372</v>
      </c>
      <c r="G7950" t="s">
        <v>29379</v>
      </c>
      <c r="H7950" t="s">
        <v>11048</v>
      </c>
      <c r="I7950" t="s">
        <v>5383</v>
      </c>
      <c r="J7950" t="s">
        <v>34663</v>
      </c>
      <c r="K7950" t="s">
        <v>38490</v>
      </c>
      <c r="M7950" t="s">
        <v>41453</v>
      </c>
      <c r="N7950" t="s">
        <v>42669</v>
      </c>
      <c r="O7950" t="s">
        <v>42670</v>
      </c>
      <c r="P7950">
        <v>0</v>
      </c>
      <c r="Q7950">
        <v>1</v>
      </c>
      <c r="R7950" t="s">
        <v>42678</v>
      </c>
      <c r="S7950" t="s">
        <v>42866</v>
      </c>
      <c r="T7950" t="s">
        <v>44570</v>
      </c>
      <c r="U7950" t="s">
        <v>51329</v>
      </c>
      <c r="W7950" t="s">
        <v>41453</v>
      </c>
      <c r="X7950" t="s">
        <v>42679</v>
      </c>
    </row>
    <row r="7951" spans="1:24">
      <c r="A7951">
        <f>HYPERLINK("https://www.philgeps.gov.ph/GEPSNONPILOT/Tender/SplashBidNoticeAbstractUI.aspx?menuIndex=3&amp;refID=7183136&amp;Result=3","7183136")</f>
        <v>0</v>
      </c>
      <c r="B7951" t="s">
        <v>811</v>
      </c>
      <c r="C7951" t="s">
        <v>11131</v>
      </c>
      <c r="D7951" t="s">
        <v>17183</v>
      </c>
      <c r="E7951" t="s">
        <v>24098</v>
      </c>
      <c r="F7951" t="s">
        <v>29372</v>
      </c>
      <c r="G7951" t="s">
        <v>29380</v>
      </c>
      <c r="H7951" t="s">
        <v>29389</v>
      </c>
      <c r="I7951" t="s">
        <v>10408</v>
      </c>
      <c r="J7951" t="s">
        <v>31498</v>
      </c>
      <c r="K7951" t="s">
        <v>38629</v>
      </c>
      <c r="M7951" t="s">
        <v>39597</v>
      </c>
      <c r="N7951" t="s">
        <v>42669</v>
      </c>
      <c r="O7951" t="s">
        <v>42670</v>
      </c>
      <c r="P7951">
        <v>0</v>
      </c>
      <c r="Q7951">
        <v>0</v>
      </c>
      <c r="R7951" t="s">
        <v>42678</v>
      </c>
      <c r="S7951" t="s">
        <v>42866</v>
      </c>
      <c r="T7951" t="s">
        <v>44474</v>
      </c>
      <c r="U7951" t="s">
        <v>51330</v>
      </c>
      <c r="W7951" t="s">
        <v>39597</v>
      </c>
      <c r="X7951" t="s">
        <v>42679</v>
      </c>
    </row>
    <row r="7952" spans="1:24">
      <c r="A7952">
        <f>HYPERLINK("https://www.philgeps.gov.ph/GEPSNONPILOT/Tender/SplashBidNoticeAbstractUI.aspx?menuIndex=3&amp;refID=7183120&amp;Result=3","7183120")</f>
        <v>0</v>
      </c>
      <c r="B7952" t="s">
        <v>1195</v>
      </c>
      <c r="C7952" t="s">
        <v>11132</v>
      </c>
      <c r="D7952" t="s">
        <v>17169</v>
      </c>
      <c r="E7952" t="s">
        <v>24099</v>
      </c>
      <c r="F7952" t="s">
        <v>29372</v>
      </c>
      <c r="G7952" t="s">
        <v>29380</v>
      </c>
      <c r="H7952" t="s">
        <v>11048</v>
      </c>
      <c r="I7952" t="s">
        <v>29395</v>
      </c>
      <c r="J7952" t="s">
        <v>34664</v>
      </c>
      <c r="K7952" t="s">
        <v>38490</v>
      </c>
      <c r="M7952" t="s">
        <v>40012</v>
      </c>
      <c r="N7952" t="s">
        <v>42669</v>
      </c>
      <c r="O7952" t="s">
        <v>42670</v>
      </c>
      <c r="P7952">
        <v>0</v>
      </c>
      <c r="Q7952">
        <v>2</v>
      </c>
      <c r="R7952" t="s">
        <v>42678</v>
      </c>
      <c r="S7952" t="s">
        <v>42866</v>
      </c>
      <c r="T7952" t="s">
        <v>44579</v>
      </c>
      <c r="U7952" t="s">
        <v>51331</v>
      </c>
      <c r="W7952" t="s">
        <v>40012</v>
      </c>
      <c r="X7952" t="s">
        <v>42679</v>
      </c>
    </row>
    <row r="7953" spans="1:24">
      <c r="A7953">
        <f>HYPERLINK("https://www.philgeps.gov.ph/GEPSNONPILOT/Tender/SplashBidNoticeAbstractUI.aspx?menuIndex=3&amp;refID=7183133&amp;Result=3","7183133")</f>
        <v>0</v>
      </c>
      <c r="B7953" t="s">
        <v>252</v>
      </c>
      <c r="C7953" t="s">
        <v>11133</v>
      </c>
      <c r="D7953" t="s">
        <v>17160</v>
      </c>
      <c r="E7953" t="s">
        <v>24100</v>
      </c>
      <c r="F7953" t="s">
        <v>29372</v>
      </c>
      <c r="G7953" t="s">
        <v>29380</v>
      </c>
      <c r="H7953" t="s">
        <v>29389</v>
      </c>
      <c r="I7953" t="s">
        <v>10408</v>
      </c>
      <c r="J7953" t="s">
        <v>29543</v>
      </c>
      <c r="K7953" t="s">
        <v>38485</v>
      </c>
      <c r="M7953" t="s">
        <v>39011</v>
      </c>
      <c r="N7953" t="s">
        <v>42669</v>
      </c>
      <c r="O7953" t="s">
        <v>42670</v>
      </c>
      <c r="P7953">
        <v>0</v>
      </c>
      <c r="Q7953">
        <v>0</v>
      </c>
      <c r="R7953" t="s">
        <v>42678</v>
      </c>
      <c r="S7953" t="s">
        <v>42866</v>
      </c>
      <c r="T7953" t="s">
        <v>44468</v>
      </c>
      <c r="U7953" t="s">
        <v>51332</v>
      </c>
      <c r="V7953" t="s">
        <v>57229</v>
      </c>
      <c r="W7953" t="s">
        <v>39011</v>
      </c>
      <c r="X7953" t="s">
        <v>42679</v>
      </c>
    </row>
    <row r="7954" spans="1:24">
      <c r="A7954">
        <f>HYPERLINK("https://www.philgeps.gov.ph/GEPSNONPILOT/Tender/SplashBidNoticeAbstractUI.aspx?menuIndex=3&amp;refID=7183118&amp;Result=3","7183118")</f>
        <v>0</v>
      </c>
      <c r="B7954" t="s">
        <v>1817</v>
      </c>
      <c r="C7954" t="s">
        <v>11134</v>
      </c>
      <c r="D7954" t="s">
        <v>17153</v>
      </c>
      <c r="E7954" t="s">
        <v>24101</v>
      </c>
      <c r="F7954" t="s">
        <v>29372</v>
      </c>
      <c r="G7954" t="s">
        <v>29380</v>
      </c>
      <c r="H7954" t="s">
        <v>11048</v>
      </c>
      <c r="I7954" t="s">
        <v>29403</v>
      </c>
      <c r="J7954" t="s">
        <v>33591</v>
      </c>
      <c r="K7954" t="s">
        <v>38485</v>
      </c>
      <c r="M7954" t="s">
        <v>40688</v>
      </c>
      <c r="N7954" t="s">
        <v>42669</v>
      </c>
      <c r="O7954" t="s">
        <v>42670</v>
      </c>
      <c r="P7954">
        <v>0</v>
      </c>
      <c r="Q7954">
        <v>1</v>
      </c>
      <c r="R7954" t="s">
        <v>42678</v>
      </c>
      <c r="S7954" t="s">
        <v>42866</v>
      </c>
      <c r="T7954" t="s">
        <v>44399</v>
      </c>
      <c r="U7954" t="s">
        <v>51296</v>
      </c>
      <c r="W7954" t="s">
        <v>40688</v>
      </c>
      <c r="X7954" t="s">
        <v>42679</v>
      </c>
    </row>
    <row r="7955" spans="1:24">
      <c r="A7955">
        <f>HYPERLINK("https://www.philgeps.gov.ph/GEPSNONPILOT/Tender/SplashBidNoticeAbstractUI.aspx?menuIndex=3&amp;refID=7183117&amp;Result=3","7183117")</f>
        <v>0</v>
      </c>
      <c r="B7955" t="s">
        <v>2504</v>
      </c>
      <c r="C7955" t="s">
        <v>11135</v>
      </c>
      <c r="D7955" t="s">
        <v>17160</v>
      </c>
      <c r="E7955" t="s">
        <v>19601</v>
      </c>
      <c r="F7955" t="s">
        <v>29372</v>
      </c>
      <c r="G7955" t="s">
        <v>29380</v>
      </c>
      <c r="H7955" t="s">
        <v>29389</v>
      </c>
      <c r="I7955" t="s">
        <v>4709</v>
      </c>
      <c r="J7955" t="s">
        <v>34557</v>
      </c>
      <c r="K7955" t="s">
        <v>38488</v>
      </c>
      <c r="M7955" t="s">
        <v>41462</v>
      </c>
      <c r="N7955" t="s">
        <v>42669</v>
      </c>
      <c r="O7955" t="s">
        <v>42670</v>
      </c>
      <c r="P7955">
        <v>0</v>
      </c>
      <c r="Q7955">
        <v>0</v>
      </c>
      <c r="R7955" t="s">
        <v>42678</v>
      </c>
      <c r="S7955" t="s">
        <v>42866</v>
      </c>
      <c r="T7955" t="s">
        <v>44512</v>
      </c>
      <c r="U7955" t="s">
        <v>51333</v>
      </c>
      <c r="W7955" t="s">
        <v>41462</v>
      </c>
      <c r="X7955" t="s">
        <v>42679</v>
      </c>
    </row>
    <row r="7956" spans="1:24">
      <c r="A7956">
        <f>HYPERLINK("https://www.philgeps.gov.ph/GEPSNONPILOT/Tender/SplashBidNoticeAbstractUI.aspx?menuIndex=3&amp;refID=7183125&amp;Result=3","7183125")</f>
        <v>0</v>
      </c>
      <c r="B7956" t="s">
        <v>702</v>
      </c>
      <c r="C7956" t="s">
        <v>11136</v>
      </c>
      <c r="D7956" t="s">
        <v>17221</v>
      </c>
      <c r="E7956" t="s">
        <v>24102</v>
      </c>
      <c r="F7956" t="s">
        <v>29372</v>
      </c>
      <c r="G7956" t="s">
        <v>29380</v>
      </c>
      <c r="H7956" t="s">
        <v>11048</v>
      </c>
      <c r="I7956" t="s">
        <v>3629</v>
      </c>
      <c r="J7956" t="s">
        <v>34665</v>
      </c>
      <c r="K7956" t="s">
        <v>38491</v>
      </c>
      <c r="M7956" t="s">
        <v>39480</v>
      </c>
      <c r="N7956" t="s">
        <v>42669</v>
      </c>
      <c r="O7956" t="s">
        <v>42670</v>
      </c>
      <c r="P7956">
        <v>0</v>
      </c>
      <c r="Q7956">
        <v>0</v>
      </c>
      <c r="R7956" t="s">
        <v>42678</v>
      </c>
      <c r="S7956" t="s">
        <v>42866</v>
      </c>
      <c r="T7956" t="s">
        <v>44481</v>
      </c>
      <c r="U7956" t="s">
        <v>51334</v>
      </c>
      <c r="V7956" t="s">
        <v>57230</v>
      </c>
      <c r="W7956" t="s">
        <v>39480</v>
      </c>
      <c r="X7956" t="s">
        <v>42679</v>
      </c>
    </row>
    <row r="7957" spans="1:24">
      <c r="A7957">
        <f>HYPERLINK("https://www.philgeps.gov.ph/GEPSNONPILOT/Tender/SplashBidNoticeAbstractUI.aspx?menuIndex=3&amp;refID=7183116&amp;Result=3","7183116")</f>
        <v>0</v>
      </c>
      <c r="B7957" t="s">
        <v>1947</v>
      </c>
      <c r="C7957" t="s">
        <v>11137</v>
      </c>
      <c r="D7957" t="s">
        <v>17194</v>
      </c>
      <c r="E7957" t="s">
        <v>24103</v>
      </c>
      <c r="F7957" t="s">
        <v>29372</v>
      </c>
      <c r="G7957" t="s">
        <v>29380</v>
      </c>
      <c r="H7957" t="s">
        <v>11048</v>
      </c>
      <c r="I7957" t="s">
        <v>4709</v>
      </c>
      <c r="J7957" t="s">
        <v>34666</v>
      </c>
      <c r="K7957" t="s">
        <v>38518</v>
      </c>
      <c r="M7957" t="s">
        <v>40829</v>
      </c>
      <c r="N7957" t="s">
        <v>42669</v>
      </c>
      <c r="O7957" t="s">
        <v>42670</v>
      </c>
      <c r="P7957">
        <v>0</v>
      </c>
      <c r="Q7957">
        <v>0</v>
      </c>
      <c r="R7957" t="s">
        <v>42678</v>
      </c>
      <c r="S7957" t="s">
        <v>42866</v>
      </c>
      <c r="T7957" t="s">
        <v>44375</v>
      </c>
      <c r="U7957" t="s">
        <v>51335</v>
      </c>
      <c r="W7957" t="s">
        <v>40829</v>
      </c>
      <c r="X7957" t="s">
        <v>42679</v>
      </c>
    </row>
    <row r="7958" spans="1:24">
      <c r="A7958">
        <f>HYPERLINK("https://www.philgeps.gov.ph/GEPSNONPILOT/Tender/SplashBidNoticeAbstractUI.aspx?menuIndex=3&amp;refID=7183114&amp;Result=3","7183114")</f>
        <v>0</v>
      </c>
      <c r="B7958" t="s">
        <v>1271</v>
      </c>
      <c r="C7958" t="s">
        <v>11138</v>
      </c>
      <c r="D7958" t="s">
        <v>17159</v>
      </c>
      <c r="E7958" t="s">
        <v>24104</v>
      </c>
      <c r="F7958" t="s">
        <v>29372</v>
      </c>
      <c r="G7958" t="s">
        <v>29381</v>
      </c>
      <c r="H7958" t="s">
        <v>11048</v>
      </c>
      <c r="I7958" t="s">
        <v>4487</v>
      </c>
      <c r="J7958" t="s">
        <v>34667</v>
      </c>
      <c r="K7958" t="s">
        <v>38485</v>
      </c>
      <c r="M7958" t="s">
        <v>40098</v>
      </c>
      <c r="N7958" t="s">
        <v>42669</v>
      </c>
      <c r="O7958" t="s">
        <v>42670</v>
      </c>
      <c r="P7958">
        <v>0</v>
      </c>
      <c r="Q7958">
        <v>2</v>
      </c>
      <c r="R7958" t="s">
        <v>42678</v>
      </c>
      <c r="S7958" t="s">
        <v>42866</v>
      </c>
      <c r="T7958" t="s">
        <v>44382</v>
      </c>
      <c r="U7958" t="s">
        <v>51336</v>
      </c>
      <c r="W7958" t="s">
        <v>40098</v>
      </c>
      <c r="X7958" t="s">
        <v>42679</v>
      </c>
    </row>
    <row r="7959" spans="1:24">
      <c r="A7959">
        <f>HYPERLINK("https://www.philgeps.gov.ph/GEPSNONPILOT/Tender/SplashBidNoticeAbstractUI.aspx?menuIndex=3&amp;refID=7182997&amp;Result=3","7182997")</f>
        <v>0</v>
      </c>
      <c r="B7959" t="s">
        <v>2505</v>
      </c>
      <c r="C7959" t="s">
        <v>11139</v>
      </c>
      <c r="D7959" t="s">
        <v>17221</v>
      </c>
      <c r="E7959" t="s">
        <v>17540</v>
      </c>
      <c r="F7959" t="s">
        <v>29372</v>
      </c>
      <c r="G7959" t="s">
        <v>29380</v>
      </c>
      <c r="H7959" t="s">
        <v>11048</v>
      </c>
      <c r="I7959" t="s">
        <v>4709</v>
      </c>
      <c r="J7959" t="s">
        <v>34668</v>
      </c>
      <c r="K7959" t="s">
        <v>38488</v>
      </c>
      <c r="M7959" t="s">
        <v>41463</v>
      </c>
      <c r="N7959" t="s">
        <v>42669</v>
      </c>
      <c r="O7959" t="s">
        <v>42670</v>
      </c>
      <c r="P7959">
        <v>0</v>
      </c>
      <c r="Q7959">
        <v>0</v>
      </c>
      <c r="R7959" t="s">
        <v>42678</v>
      </c>
      <c r="S7959" t="s">
        <v>42866</v>
      </c>
      <c r="T7959" t="s">
        <v>44744</v>
      </c>
      <c r="U7959" t="s">
        <v>51337</v>
      </c>
      <c r="V7959" t="s">
        <v>57231</v>
      </c>
      <c r="W7959" t="s">
        <v>41463</v>
      </c>
      <c r="X7959" t="s">
        <v>42679</v>
      </c>
    </row>
    <row r="7960" spans="1:24">
      <c r="A7960">
        <f>HYPERLINK("https://www.philgeps.gov.ph/GEPSNONPILOT/Tender/SplashBidNoticeAbstractUI.aspx?menuIndex=3&amp;refID=7183129&amp;Result=3","7183129")</f>
        <v>0</v>
      </c>
      <c r="B7960" t="s">
        <v>2491</v>
      </c>
      <c r="C7960" t="s">
        <v>11140</v>
      </c>
      <c r="D7960" t="s">
        <v>17174</v>
      </c>
      <c r="E7960" t="s">
        <v>24105</v>
      </c>
      <c r="F7960" t="s">
        <v>29372</v>
      </c>
      <c r="G7960" t="s">
        <v>29380</v>
      </c>
      <c r="H7960" t="s">
        <v>29389</v>
      </c>
      <c r="I7960" t="s">
        <v>10408</v>
      </c>
      <c r="J7960" t="s">
        <v>29619</v>
      </c>
      <c r="K7960" t="s">
        <v>38525</v>
      </c>
      <c r="M7960" t="s">
        <v>41442</v>
      </c>
      <c r="N7960" t="s">
        <v>42669</v>
      </c>
      <c r="O7960" t="s">
        <v>42670</v>
      </c>
      <c r="P7960">
        <v>0</v>
      </c>
      <c r="Q7960">
        <v>0</v>
      </c>
      <c r="R7960" t="s">
        <v>42678</v>
      </c>
      <c r="S7960" t="s">
        <v>42866</v>
      </c>
      <c r="T7960" t="s">
        <v>44371</v>
      </c>
      <c r="U7960" t="s">
        <v>51338</v>
      </c>
      <c r="W7960" t="s">
        <v>41442</v>
      </c>
      <c r="X7960" t="s">
        <v>42679</v>
      </c>
    </row>
    <row r="7961" spans="1:24">
      <c r="A7961">
        <f>HYPERLINK("https://www.philgeps.gov.ph/GEPSNONPILOT/Tender/SplashBidNoticeAbstractUI.aspx?menuIndex=3&amp;refID=7183107&amp;Result=3","7183107")</f>
        <v>0</v>
      </c>
      <c r="B7961" t="s">
        <v>2506</v>
      </c>
      <c r="C7961" t="s">
        <v>11141</v>
      </c>
      <c r="D7961" t="s">
        <v>17169</v>
      </c>
      <c r="E7961" t="s">
        <v>18590</v>
      </c>
      <c r="F7961" t="s">
        <v>29372</v>
      </c>
      <c r="G7961" t="s">
        <v>29380</v>
      </c>
      <c r="H7961" t="s">
        <v>11048</v>
      </c>
      <c r="I7961" t="s">
        <v>10408</v>
      </c>
      <c r="J7961" t="s">
        <v>34669</v>
      </c>
      <c r="K7961" t="s">
        <v>38488</v>
      </c>
      <c r="M7961" t="s">
        <v>41464</v>
      </c>
      <c r="N7961" t="s">
        <v>42669</v>
      </c>
      <c r="O7961" t="s">
        <v>42670</v>
      </c>
      <c r="P7961">
        <v>0</v>
      </c>
      <c r="Q7961">
        <v>0</v>
      </c>
      <c r="R7961" t="s">
        <v>42678</v>
      </c>
      <c r="S7961" t="s">
        <v>42866</v>
      </c>
      <c r="T7961" t="s">
        <v>44491</v>
      </c>
      <c r="U7961" t="s">
        <v>51339</v>
      </c>
      <c r="W7961" t="s">
        <v>41464</v>
      </c>
      <c r="X7961" t="s">
        <v>42679</v>
      </c>
    </row>
    <row r="7962" spans="1:24">
      <c r="A7962">
        <f>HYPERLINK("https://www.philgeps.gov.ph/GEPSNONPILOT/Tender/SplashBidNoticeAbstractUI.aspx?menuIndex=3&amp;refID=7183145&amp;Result=3","7183145")</f>
        <v>0</v>
      </c>
      <c r="B7962" t="s">
        <v>2224</v>
      </c>
      <c r="C7962" t="s">
        <v>11142</v>
      </c>
      <c r="D7962" t="s">
        <v>17143</v>
      </c>
      <c r="E7962" t="s">
        <v>17897</v>
      </c>
      <c r="F7962" t="s">
        <v>29372</v>
      </c>
      <c r="G7962" t="s">
        <v>29380</v>
      </c>
      <c r="H7962" t="s">
        <v>29389</v>
      </c>
      <c r="I7962" t="s">
        <v>10408</v>
      </c>
      <c r="J7962" t="s">
        <v>30161</v>
      </c>
      <c r="K7962" t="s">
        <v>38495</v>
      </c>
      <c r="M7962" t="s">
        <v>41142</v>
      </c>
      <c r="N7962" t="s">
        <v>42669</v>
      </c>
      <c r="O7962" t="s">
        <v>42670</v>
      </c>
      <c r="P7962">
        <v>0</v>
      </c>
      <c r="Q7962">
        <v>0</v>
      </c>
      <c r="R7962" t="s">
        <v>42678</v>
      </c>
      <c r="S7962" t="s">
        <v>42866</v>
      </c>
      <c r="T7962" t="s">
        <v>44476</v>
      </c>
      <c r="U7962" t="s">
        <v>51340</v>
      </c>
      <c r="W7962" t="s">
        <v>41142</v>
      </c>
      <c r="X7962" t="s">
        <v>42679</v>
      </c>
    </row>
    <row r="7963" spans="1:24">
      <c r="A7963">
        <f>HYPERLINK("https://www.philgeps.gov.ph/GEPSNONPILOT/Tender/SplashBidNoticeAbstractUI.aspx?menuIndex=3&amp;refID=7183200&amp;Result=3","7183200")</f>
        <v>0</v>
      </c>
      <c r="B7963" t="s">
        <v>2507</v>
      </c>
      <c r="C7963" t="s">
        <v>11143</v>
      </c>
      <c r="D7963" t="s">
        <v>17226</v>
      </c>
      <c r="E7963" t="s">
        <v>19325</v>
      </c>
      <c r="F7963" t="s">
        <v>29372</v>
      </c>
      <c r="G7963" t="s">
        <v>29380</v>
      </c>
      <c r="H7963" t="s">
        <v>29389</v>
      </c>
      <c r="I7963" t="s">
        <v>10408</v>
      </c>
      <c r="J7963" t="s">
        <v>34670</v>
      </c>
      <c r="K7963" t="s">
        <v>38526</v>
      </c>
      <c r="M7963" t="s">
        <v>41465</v>
      </c>
      <c r="N7963" t="s">
        <v>42669</v>
      </c>
      <c r="O7963" t="s">
        <v>42670</v>
      </c>
      <c r="P7963">
        <v>0</v>
      </c>
      <c r="Q7963">
        <v>2</v>
      </c>
      <c r="R7963" t="s">
        <v>42678</v>
      </c>
      <c r="S7963" t="s">
        <v>42866</v>
      </c>
      <c r="T7963" t="s">
        <v>44515</v>
      </c>
      <c r="U7963" t="s">
        <v>51341</v>
      </c>
      <c r="V7963" t="s">
        <v>57232</v>
      </c>
      <c r="W7963" t="s">
        <v>41465</v>
      </c>
      <c r="X7963" t="s">
        <v>42679</v>
      </c>
    </row>
    <row r="7964" spans="1:24">
      <c r="A7964">
        <f>HYPERLINK("https://www.philgeps.gov.ph/GEPSNONPILOT/Tender/SplashBidNoticeAbstractUI.aspx?menuIndex=3&amp;refID=7183148&amp;Result=3","7183148")</f>
        <v>0</v>
      </c>
      <c r="B7964" t="s">
        <v>2487</v>
      </c>
      <c r="C7964" t="s">
        <v>11144</v>
      </c>
      <c r="D7964" t="s">
        <v>17169</v>
      </c>
      <c r="E7964" t="s">
        <v>24106</v>
      </c>
      <c r="F7964" t="s">
        <v>29372</v>
      </c>
      <c r="G7964" t="s">
        <v>29380</v>
      </c>
      <c r="H7964" t="s">
        <v>29389</v>
      </c>
      <c r="I7964" t="s">
        <v>10408</v>
      </c>
      <c r="J7964" t="s">
        <v>34671</v>
      </c>
      <c r="K7964" t="s">
        <v>38662</v>
      </c>
      <c r="M7964" t="s">
        <v>41437</v>
      </c>
      <c r="N7964" t="s">
        <v>42669</v>
      </c>
      <c r="O7964" t="s">
        <v>42670</v>
      </c>
      <c r="P7964">
        <v>0</v>
      </c>
      <c r="Q7964">
        <v>1</v>
      </c>
      <c r="R7964" t="s">
        <v>42678</v>
      </c>
      <c r="S7964" t="s">
        <v>42866</v>
      </c>
      <c r="T7964" t="s">
        <v>44355</v>
      </c>
      <c r="U7964" t="s">
        <v>51342</v>
      </c>
      <c r="W7964" t="s">
        <v>41437</v>
      </c>
      <c r="X7964" t="s">
        <v>42679</v>
      </c>
    </row>
    <row r="7965" spans="1:24">
      <c r="A7965">
        <f>HYPERLINK("https://www.philgeps.gov.ph/GEPSNONPILOT/Tender/SplashBidNoticeAbstractUI.aspx?menuIndex=3&amp;refID=7183198&amp;Result=3","7183198")</f>
        <v>0</v>
      </c>
      <c r="B7965" t="s">
        <v>1429</v>
      </c>
      <c r="C7965" t="s">
        <v>11145</v>
      </c>
      <c r="D7965" t="s">
        <v>17188</v>
      </c>
      <c r="E7965" t="s">
        <v>24107</v>
      </c>
      <c r="F7965" t="s">
        <v>29372</v>
      </c>
      <c r="G7965" t="s">
        <v>29380</v>
      </c>
      <c r="H7965" t="s">
        <v>11048</v>
      </c>
      <c r="I7965" t="s">
        <v>9469</v>
      </c>
      <c r="J7965" t="s">
        <v>34672</v>
      </c>
      <c r="K7965" t="s">
        <v>38487</v>
      </c>
      <c r="M7965" t="s">
        <v>41466</v>
      </c>
      <c r="N7965" t="s">
        <v>42669</v>
      </c>
      <c r="O7965" t="s">
        <v>42670</v>
      </c>
      <c r="P7965">
        <v>0</v>
      </c>
      <c r="Q7965">
        <v>4</v>
      </c>
      <c r="R7965" t="s">
        <v>42678</v>
      </c>
      <c r="S7965" t="s">
        <v>42866</v>
      </c>
      <c r="T7965" t="s">
        <v>44446</v>
      </c>
      <c r="U7965" t="s">
        <v>51343</v>
      </c>
      <c r="W7965" t="s">
        <v>41466</v>
      </c>
      <c r="X7965" t="s">
        <v>42679</v>
      </c>
    </row>
    <row r="7966" spans="1:24">
      <c r="A7966">
        <f>HYPERLINK("https://www.philgeps.gov.ph/GEPSNONPILOT/Tender/SplashBidNoticeAbstractUI.aspx?menuIndex=3&amp;refID=7182996&amp;Result=3","7182996")</f>
        <v>0</v>
      </c>
      <c r="B7966" t="s">
        <v>1190</v>
      </c>
      <c r="C7966" t="s">
        <v>11146</v>
      </c>
      <c r="E7966" t="s">
        <v>24108</v>
      </c>
      <c r="F7966" t="s">
        <v>29372</v>
      </c>
      <c r="G7966" t="s">
        <v>29379</v>
      </c>
      <c r="H7966" t="s">
        <v>11048</v>
      </c>
      <c r="I7966" t="s">
        <v>29409</v>
      </c>
      <c r="J7966" t="s">
        <v>32362</v>
      </c>
      <c r="K7966" t="s">
        <v>38490</v>
      </c>
      <c r="M7966" t="s">
        <v>40006</v>
      </c>
      <c r="N7966" t="s">
        <v>42669</v>
      </c>
      <c r="O7966" t="s">
        <v>42670</v>
      </c>
      <c r="P7966">
        <v>0</v>
      </c>
      <c r="Q7966">
        <v>19</v>
      </c>
      <c r="R7966" t="s">
        <v>42678</v>
      </c>
      <c r="S7966" t="s">
        <v>42866</v>
      </c>
      <c r="T7966" t="s">
        <v>44489</v>
      </c>
      <c r="U7966" t="s">
        <v>45789</v>
      </c>
      <c r="W7966" t="s">
        <v>40006</v>
      </c>
      <c r="X7966" t="s">
        <v>42679</v>
      </c>
    </row>
    <row r="7967" spans="1:24">
      <c r="A7967">
        <f>HYPERLINK("https://www.philgeps.gov.ph/GEPSNONPILOT/Tender/SplashBidNoticeAbstractUI.aspx?menuIndex=3&amp;refID=7183199&amp;Result=3","7183199")</f>
        <v>0</v>
      </c>
      <c r="B7967" t="s">
        <v>2487</v>
      </c>
      <c r="C7967" t="s">
        <v>11147</v>
      </c>
      <c r="D7967" t="s">
        <v>17169</v>
      </c>
      <c r="E7967" t="s">
        <v>24109</v>
      </c>
      <c r="F7967" t="s">
        <v>29372</v>
      </c>
      <c r="G7967" t="s">
        <v>29380</v>
      </c>
      <c r="H7967" t="s">
        <v>29389</v>
      </c>
      <c r="I7967" t="s">
        <v>10408</v>
      </c>
      <c r="J7967" t="s">
        <v>34673</v>
      </c>
      <c r="K7967" t="s">
        <v>38652</v>
      </c>
      <c r="M7967" t="s">
        <v>41437</v>
      </c>
      <c r="N7967" t="s">
        <v>42669</v>
      </c>
      <c r="O7967" t="s">
        <v>42670</v>
      </c>
      <c r="P7967">
        <v>0</v>
      </c>
      <c r="Q7967">
        <v>1</v>
      </c>
      <c r="R7967" t="s">
        <v>42678</v>
      </c>
      <c r="S7967" t="s">
        <v>42866</v>
      </c>
      <c r="T7967" t="s">
        <v>44355</v>
      </c>
      <c r="U7967" t="s">
        <v>51344</v>
      </c>
      <c r="W7967" t="s">
        <v>41437</v>
      </c>
      <c r="X7967" t="s">
        <v>42679</v>
      </c>
    </row>
    <row r="7968" spans="1:24">
      <c r="A7968">
        <f>HYPERLINK("https://www.philgeps.gov.ph/GEPSNONPILOT/Tender/SplashBidNoticeAbstractUI.aspx?menuIndex=3&amp;refID=7183190&amp;Result=3","7183190")</f>
        <v>0</v>
      </c>
      <c r="B7968" t="s">
        <v>1247</v>
      </c>
      <c r="C7968" t="s">
        <v>11148</v>
      </c>
      <c r="D7968" t="s">
        <v>17154</v>
      </c>
      <c r="E7968" t="s">
        <v>24110</v>
      </c>
      <c r="F7968" t="s">
        <v>29372</v>
      </c>
      <c r="G7968" t="s">
        <v>29380</v>
      </c>
      <c r="H7968" t="s">
        <v>11048</v>
      </c>
      <c r="I7968" t="s">
        <v>3695</v>
      </c>
      <c r="J7968" t="s">
        <v>34674</v>
      </c>
      <c r="K7968" t="s">
        <v>38491</v>
      </c>
      <c r="M7968" t="s">
        <v>40072</v>
      </c>
      <c r="N7968" t="s">
        <v>42669</v>
      </c>
      <c r="O7968" t="s">
        <v>42670</v>
      </c>
      <c r="P7968">
        <v>0</v>
      </c>
      <c r="Q7968">
        <v>11</v>
      </c>
      <c r="R7968" t="s">
        <v>42678</v>
      </c>
      <c r="S7968" t="s">
        <v>42866</v>
      </c>
      <c r="T7968" t="s">
        <v>44444</v>
      </c>
      <c r="U7968" t="s">
        <v>51345</v>
      </c>
      <c r="W7968" t="s">
        <v>40072</v>
      </c>
      <c r="X7968" t="s">
        <v>42679</v>
      </c>
    </row>
    <row r="7969" spans="1:24">
      <c r="A7969">
        <f>HYPERLINK("https://www.philgeps.gov.ph/GEPSNONPILOT/Tender/SplashBidNoticeAbstractUI.aspx?menuIndex=3&amp;refID=7183195&amp;Result=3","7183195")</f>
        <v>0</v>
      </c>
      <c r="B7969" t="s">
        <v>2181</v>
      </c>
      <c r="C7969" t="s">
        <v>11149</v>
      </c>
      <c r="E7969" t="s">
        <v>24111</v>
      </c>
      <c r="F7969" t="s">
        <v>29372</v>
      </c>
      <c r="G7969" t="s">
        <v>29380</v>
      </c>
      <c r="H7969" t="s">
        <v>11048</v>
      </c>
      <c r="I7969" t="s">
        <v>8614</v>
      </c>
      <c r="J7969" t="s">
        <v>29543</v>
      </c>
      <c r="K7969" t="s">
        <v>38491</v>
      </c>
      <c r="M7969" t="s">
        <v>41095</v>
      </c>
      <c r="N7969" t="s">
        <v>42669</v>
      </c>
      <c r="O7969" t="s">
        <v>42670</v>
      </c>
      <c r="P7969">
        <v>0</v>
      </c>
      <c r="Q7969">
        <v>8</v>
      </c>
      <c r="R7969" t="s">
        <v>42678</v>
      </c>
      <c r="S7969" t="s">
        <v>42866</v>
      </c>
      <c r="T7969" t="s">
        <v>44685</v>
      </c>
      <c r="U7969" t="s">
        <v>51346</v>
      </c>
      <c r="V7969" t="s">
        <v>57228</v>
      </c>
      <c r="W7969" t="s">
        <v>41095</v>
      </c>
      <c r="X7969" t="s">
        <v>42679</v>
      </c>
    </row>
    <row r="7970" spans="1:24">
      <c r="A7970">
        <f>HYPERLINK("https://www.philgeps.gov.ph/GEPSNONPILOT/Tender/SplashBidNoticeAbstractUI.aspx?menuIndex=3&amp;refID=7183187&amp;Result=3","7183187")</f>
        <v>0</v>
      </c>
      <c r="B7970" t="s">
        <v>1429</v>
      </c>
      <c r="C7970" t="s">
        <v>11150</v>
      </c>
      <c r="D7970" t="s">
        <v>17188</v>
      </c>
      <c r="E7970" t="s">
        <v>24112</v>
      </c>
      <c r="F7970" t="s">
        <v>29372</v>
      </c>
      <c r="G7970" t="s">
        <v>29380</v>
      </c>
      <c r="H7970" t="s">
        <v>11048</v>
      </c>
      <c r="I7970" t="s">
        <v>8614</v>
      </c>
      <c r="J7970" t="s">
        <v>34675</v>
      </c>
      <c r="K7970" t="s">
        <v>38485</v>
      </c>
      <c r="M7970" t="s">
        <v>41466</v>
      </c>
      <c r="N7970" t="s">
        <v>42669</v>
      </c>
      <c r="O7970" t="s">
        <v>42670</v>
      </c>
      <c r="P7970">
        <v>0</v>
      </c>
      <c r="Q7970">
        <v>5</v>
      </c>
      <c r="R7970" t="s">
        <v>42678</v>
      </c>
      <c r="S7970" t="s">
        <v>42866</v>
      </c>
      <c r="T7970" t="s">
        <v>44446</v>
      </c>
      <c r="U7970" t="s">
        <v>51347</v>
      </c>
      <c r="W7970" t="s">
        <v>41466</v>
      </c>
      <c r="X7970" t="s">
        <v>42679</v>
      </c>
    </row>
    <row r="7971" spans="1:24">
      <c r="A7971">
        <f>HYPERLINK("https://www.philgeps.gov.ph/GEPSNONPILOT/Tender/SplashBidNoticeAbstractUI.aspx?menuIndex=3&amp;refID=7183197&amp;Result=3","7183197")</f>
        <v>0</v>
      </c>
      <c r="B7971" t="s">
        <v>2508</v>
      </c>
      <c r="C7971" t="s">
        <v>11151</v>
      </c>
      <c r="D7971" t="s">
        <v>17180</v>
      </c>
      <c r="E7971" t="s">
        <v>24113</v>
      </c>
      <c r="F7971" t="s">
        <v>29372</v>
      </c>
      <c r="G7971" t="s">
        <v>29380</v>
      </c>
      <c r="H7971" t="s">
        <v>11048</v>
      </c>
      <c r="I7971" t="s">
        <v>29415</v>
      </c>
      <c r="J7971" t="s">
        <v>34676</v>
      </c>
      <c r="K7971" t="s">
        <v>38522</v>
      </c>
      <c r="M7971" t="s">
        <v>41467</v>
      </c>
      <c r="N7971" t="s">
        <v>42669</v>
      </c>
      <c r="O7971" t="s">
        <v>42670</v>
      </c>
      <c r="P7971">
        <v>0</v>
      </c>
      <c r="Q7971">
        <v>4</v>
      </c>
      <c r="R7971" t="s">
        <v>42678</v>
      </c>
      <c r="S7971" t="s">
        <v>42866</v>
      </c>
      <c r="T7971" t="s">
        <v>44515</v>
      </c>
      <c r="U7971" t="s">
        <v>51348</v>
      </c>
      <c r="W7971" t="s">
        <v>41467</v>
      </c>
      <c r="X7971" t="s">
        <v>42679</v>
      </c>
    </row>
    <row r="7972" spans="1:24">
      <c r="A7972">
        <f>HYPERLINK("https://www.philgeps.gov.ph/GEPSNONPILOT/Tender/SplashBidNoticeAbstractUI.aspx?menuIndex=3&amp;refID=7183184&amp;Result=3","7183184")</f>
        <v>0</v>
      </c>
      <c r="B7972" t="s">
        <v>512</v>
      </c>
      <c r="C7972" t="s">
        <v>11152</v>
      </c>
      <c r="D7972" t="s">
        <v>17193</v>
      </c>
      <c r="E7972" t="s">
        <v>24114</v>
      </c>
      <c r="F7972" t="s">
        <v>29372</v>
      </c>
      <c r="G7972" t="s">
        <v>29379</v>
      </c>
      <c r="H7972" t="s">
        <v>11048</v>
      </c>
      <c r="I7972" t="s">
        <v>4487</v>
      </c>
      <c r="J7972" t="s">
        <v>34677</v>
      </c>
      <c r="K7972" t="s">
        <v>38491</v>
      </c>
      <c r="M7972" t="s">
        <v>39279</v>
      </c>
      <c r="N7972" t="s">
        <v>42669</v>
      </c>
      <c r="O7972" t="s">
        <v>42670</v>
      </c>
      <c r="P7972">
        <v>0</v>
      </c>
      <c r="Q7972">
        <v>5</v>
      </c>
      <c r="R7972" t="s">
        <v>42678</v>
      </c>
      <c r="S7972" t="s">
        <v>42866</v>
      </c>
      <c r="T7972" t="s">
        <v>44432</v>
      </c>
      <c r="U7972" t="s">
        <v>51349</v>
      </c>
      <c r="W7972" t="s">
        <v>39279</v>
      </c>
      <c r="X7972" t="s">
        <v>42679</v>
      </c>
    </row>
    <row r="7973" spans="1:24">
      <c r="A7973">
        <f>HYPERLINK("https://www.philgeps.gov.ph/GEPSNONPILOT/Tender/SplashBidNoticeAbstractUI.aspx?menuIndex=3&amp;refID=7183185&amp;Result=3","7183185")</f>
        <v>0</v>
      </c>
      <c r="B7973" t="s">
        <v>2509</v>
      </c>
      <c r="C7973" t="s">
        <v>11153</v>
      </c>
      <c r="D7973" t="s">
        <v>17170</v>
      </c>
      <c r="E7973" t="s">
        <v>24115</v>
      </c>
      <c r="F7973" t="s">
        <v>29372</v>
      </c>
      <c r="G7973" t="s">
        <v>29380</v>
      </c>
      <c r="H7973" t="s">
        <v>29389</v>
      </c>
      <c r="I7973" t="s">
        <v>10408</v>
      </c>
      <c r="J7973" t="s">
        <v>34678</v>
      </c>
      <c r="K7973" t="s">
        <v>38688</v>
      </c>
      <c r="M7973" t="s">
        <v>41468</v>
      </c>
      <c r="N7973" t="s">
        <v>42669</v>
      </c>
      <c r="O7973" t="s">
        <v>42670</v>
      </c>
      <c r="P7973">
        <v>0</v>
      </c>
      <c r="Q7973">
        <v>3</v>
      </c>
      <c r="R7973" t="s">
        <v>42678</v>
      </c>
      <c r="S7973" t="s">
        <v>42866</v>
      </c>
      <c r="T7973" t="s">
        <v>44355</v>
      </c>
      <c r="U7973" t="s">
        <v>51350</v>
      </c>
      <c r="W7973" t="s">
        <v>41468</v>
      </c>
      <c r="X7973" t="s">
        <v>42679</v>
      </c>
    </row>
    <row r="7974" spans="1:24">
      <c r="A7974">
        <f>HYPERLINK("https://www.philgeps.gov.ph/GEPSNONPILOT/Tender/SplashBidNoticeAbstractUI.aspx?menuIndex=3&amp;refID=7183174&amp;Result=3","7183174")</f>
        <v>0</v>
      </c>
      <c r="B7974" t="s">
        <v>252</v>
      </c>
      <c r="C7974" t="s">
        <v>11154</v>
      </c>
      <c r="D7974" t="s">
        <v>17160</v>
      </c>
      <c r="E7974" t="s">
        <v>24116</v>
      </c>
      <c r="F7974" t="s">
        <v>29372</v>
      </c>
      <c r="G7974" t="s">
        <v>29380</v>
      </c>
      <c r="H7974" t="s">
        <v>29389</v>
      </c>
      <c r="I7974" t="s">
        <v>10408</v>
      </c>
      <c r="J7974" t="s">
        <v>29543</v>
      </c>
      <c r="K7974" t="s">
        <v>38485</v>
      </c>
      <c r="M7974" t="s">
        <v>39011</v>
      </c>
      <c r="N7974" t="s">
        <v>42669</v>
      </c>
      <c r="O7974" t="s">
        <v>42670</v>
      </c>
      <c r="P7974">
        <v>0</v>
      </c>
      <c r="Q7974">
        <v>0</v>
      </c>
      <c r="R7974" t="s">
        <v>42678</v>
      </c>
      <c r="S7974" t="s">
        <v>42866</v>
      </c>
      <c r="T7974" t="s">
        <v>44468</v>
      </c>
      <c r="U7974" t="s">
        <v>51351</v>
      </c>
      <c r="V7974" t="s">
        <v>57233</v>
      </c>
      <c r="W7974" t="s">
        <v>39011</v>
      </c>
      <c r="X7974" t="s">
        <v>42679</v>
      </c>
    </row>
    <row r="7975" spans="1:24">
      <c r="A7975">
        <f>HYPERLINK("https://www.philgeps.gov.ph/GEPSNONPILOT/Tender/SplashBidNoticeAbstractUI.aspx?menuIndex=3&amp;refID=7183173&amp;Result=3","7183173")</f>
        <v>0</v>
      </c>
      <c r="B7975" t="s">
        <v>2487</v>
      </c>
      <c r="C7975" t="s">
        <v>11155</v>
      </c>
      <c r="D7975" t="s">
        <v>17169</v>
      </c>
      <c r="E7975" t="s">
        <v>24117</v>
      </c>
      <c r="F7975" t="s">
        <v>29372</v>
      </c>
      <c r="G7975" t="s">
        <v>29380</v>
      </c>
      <c r="H7975" t="s">
        <v>29389</v>
      </c>
      <c r="I7975" t="s">
        <v>10408</v>
      </c>
      <c r="J7975" t="s">
        <v>34679</v>
      </c>
      <c r="K7975" t="s">
        <v>38505</v>
      </c>
      <c r="M7975" t="s">
        <v>41437</v>
      </c>
      <c r="N7975" t="s">
        <v>42669</v>
      </c>
      <c r="O7975" t="s">
        <v>42670</v>
      </c>
      <c r="P7975">
        <v>0</v>
      </c>
      <c r="Q7975">
        <v>2</v>
      </c>
      <c r="R7975" t="s">
        <v>42678</v>
      </c>
      <c r="S7975" t="s">
        <v>42866</v>
      </c>
      <c r="T7975" t="s">
        <v>44355</v>
      </c>
      <c r="U7975" t="s">
        <v>51342</v>
      </c>
      <c r="W7975" t="s">
        <v>41437</v>
      </c>
      <c r="X7975" t="s">
        <v>42679</v>
      </c>
    </row>
    <row r="7976" spans="1:24">
      <c r="A7976">
        <f>HYPERLINK("https://www.philgeps.gov.ph/GEPSNONPILOT/Tender/SplashBidNoticeAbstractUI.aspx?menuIndex=3&amp;refID=7183172&amp;Result=3","7183172")</f>
        <v>0</v>
      </c>
      <c r="B7976" t="s">
        <v>2510</v>
      </c>
      <c r="C7976" t="s">
        <v>11156</v>
      </c>
      <c r="E7976" t="s">
        <v>17994</v>
      </c>
      <c r="F7976" t="s">
        <v>29372</v>
      </c>
      <c r="G7976" t="s">
        <v>29380</v>
      </c>
      <c r="H7976" t="s">
        <v>11048</v>
      </c>
      <c r="I7976" t="s">
        <v>4709</v>
      </c>
      <c r="J7976" t="s">
        <v>29555</v>
      </c>
      <c r="K7976" t="s">
        <v>38490</v>
      </c>
      <c r="L7976" t="s">
        <v>2510</v>
      </c>
      <c r="M7976" t="s">
        <v>41469</v>
      </c>
      <c r="N7976" t="s">
        <v>42669</v>
      </c>
      <c r="O7976" t="s">
        <v>42670</v>
      </c>
      <c r="P7976">
        <v>0</v>
      </c>
      <c r="Q7976">
        <v>0</v>
      </c>
      <c r="R7976" t="s">
        <v>42678</v>
      </c>
      <c r="S7976" t="s">
        <v>42866</v>
      </c>
      <c r="T7976" t="s">
        <v>44543</v>
      </c>
      <c r="U7976" t="s">
        <v>51352</v>
      </c>
      <c r="W7976" t="s">
        <v>41469</v>
      </c>
      <c r="X7976" t="s">
        <v>42679</v>
      </c>
    </row>
    <row r="7977" spans="1:24">
      <c r="A7977">
        <f>HYPERLINK("https://www.philgeps.gov.ph/GEPSNONPILOT/Tender/SplashBidNoticeAbstractUI.aspx?menuIndex=3&amp;refID=7183171&amp;Result=3","7183171")</f>
        <v>0</v>
      </c>
      <c r="B7977" t="s">
        <v>2501</v>
      </c>
      <c r="C7977" t="s">
        <v>11157</v>
      </c>
      <c r="D7977" t="s">
        <v>17143</v>
      </c>
      <c r="E7977" t="s">
        <v>24118</v>
      </c>
      <c r="F7977" t="s">
        <v>29372</v>
      </c>
      <c r="G7977" t="s">
        <v>29379</v>
      </c>
      <c r="H7977" t="s">
        <v>11048</v>
      </c>
      <c r="I7977" t="s">
        <v>3839</v>
      </c>
      <c r="J7977" t="s">
        <v>30140</v>
      </c>
      <c r="K7977" t="s">
        <v>38485</v>
      </c>
      <c r="M7977" t="s">
        <v>41457</v>
      </c>
      <c r="N7977" t="s">
        <v>42669</v>
      </c>
      <c r="O7977" t="s">
        <v>42670</v>
      </c>
      <c r="P7977">
        <v>0</v>
      </c>
      <c r="Q7977">
        <v>0</v>
      </c>
      <c r="R7977" t="s">
        <v>42678</v>
      </c>
      <c r="S7977" t="s">
        <v>42866</v>
      </c>
      <c r="T7977" t="s">
        <v>44489</v>
      </c>
      <c r="U7977" t="s">
        <v>51353</v>
      </c>
      <c r="V7977" t="s">
        <v>57234</v>
      </c>
      <c r="W7977" t="s">
        <v>41457</v>
      </c>
      <c r="X7977" t="s">
        <v>42679</v>
      </c>
    </row>
    <row r="7978" spans="1:24">
      <c r="A7978">
        <f>HYPERLINK("https://www.philgeps.gov.ph/GEPSNONPILOT/Tender/SplashBidNoticeAbstractUI.aspx?menuIndex=3&amp;refID=7183178&amp;Result=3","7183178")</f>
        <v>0</v>
      </c>
      <c r="B7978" t="s">
        <v>2181</v>
      </c>
      <c r="C7978" t="s">
        <v>11158</v>
      </c>
      <c r="E7978" t="s">
        <v>24094</v>
      </c>
      <c r="F7978" t="s">
        <v>29372</v>
      </c>
      <c r="G7978" t="s">
        <v>29380</v>
      </c>
      <c r="H7978" t="s">
        <v>11048</v>
      </c>
      <c r="I7978" t="s">
        <v>3952</v>
      </c>
      <c r="J7978" t="s">
        <v>34680</v>
      </c>
      <c r="K7978" t="s">
        <v>38485</v>
      </c>
      <c r="M7978" t="s">
        <v>41095</v>
      </c>
      <c r="N7978" t="s">
        <v>42669</v>
      </c>
      <c r="O7978" t="s">
        <v>42670</v>
      </c>
      <c r="P7978">
        <v>0</v>
      </c>
      <c r="Q7978">
        <v>5</v>
      </c>
      <c r="R7978" t="s">
        <v>42678</v>
      </c>
      <c r="S7978" t="s">
        <v>42866</v>
      </c>
      <c r="T7978" t="s">
        <v>44685</v>
      </c>
      <c r="U7978" t="s">
        <v>51354</v>
      </c>
      <c r="V7978" t="s">
        <v>57228</v>
      </c>
      <c r="W7978" t="s">
        <v>41095</v>
      </c>
      <c r="X7978" t="s">
        <v>42679</v>
      </c>
    </row>
    <row r="7979" spans="1:24">
      <c r="A7979">
        <f>HYPERLINK("https://www.philgeps.gov.ph/GEPSNONPILOT/Tender/SplashBidNoticeAbstractUI.aspx?menuIndex=3&amp;refID=7183164&amp;Result=3","7183164")</f>
        <v>0</v>
      </c>
      <c r="B7979" t="s">
        <v>2489</v>
      </c>
      <c r="C7979" t="s">
        <v>11159</v>
      </c>
      <c r="D7979" t="s">
        <v>17203</v>
      </c>
      <c r="E7979" t="s">
        <v>24119</v>
      </c>
      <c r="F7979" t="s">
        <v>29372</v>
      </c>
      <c r="G7979" t="s">
        <v>29380</v>
      </c>
      <c r="H7979" t="s">
        <v>29389</v>
      </c>
      <c r="I7979" t="s">
        <v>10408</v>
      </c>
      <c r="J7979" t="s">
        <v>34681</v>
      </c>
      <c r="K7979" t="s">
        <v>38496</v>
      </c>
      <c r="M7979" t="s">
        <v>41440</v>
      </c>
      <c r="N7979" t="s">
        <v>42669</v>
      </c>
      <c r="O7979" t="s">
        <v>42670</v>
      </c>
      <c r="P7979">
        <v>0</v>
      </c>
      <c r="Q7979">
        <v>1</v>
      </c>
      <c r="R7979" t="s">
        <v>42678</v>
      </c>
      <c r="S7979" t="s">
        <v>42866</v>
      </c>
      <c r="T7979" t="s">
        <v>44515</v>
      </c>
      <c r="U7979" t="s">
        <v>51355</v>
      </c>
      <c r="V7979" t="s">
        <v>57222</v>
      </c>
      <c r="W7979" t="s">
        <v>41440</v>
      </c>
      <c r="X7979" t="s">
        <v>42679</v>
      </c>
    </row>
    <row r="7980" spans="1:24">
      <c r="A7980">
        <f>HYPERLINK("https://www.philgeps.gov.ph/GEPSNONPILOT/Tender/SplashBidNoticeAbstractUI.aspx?menuIndex=3&amp;refID=7183029&amp;Result=3","7183029")</f>
        <v>0</v>
      </c>
      <c r="B7980" t="s">
        <v>2495</v>
      </c>
      <c r="C7980" t="s">
        <v>11160</v>
      </c>
      <c r="D7980" t="s">
        <v>17149</v>
      </c>
      <c r="E7980" t="s">
        <v>24120</v>
      </c>
      <c r="F7980" t="s">
        <v>29372</v>
      </c>
      <c r="G7980" t="s">
        <v>29380</v>
      </c>
      <c r="H7980" t="s">
        <v>29389</v>
      </c>
      <c r="I7980" t="s">
        <v>10408</v>
      </c>
      <c r="J7980" t="s">
        <v>34682</v>
      </c>
      <c r="K7980" t="s">
        <v>38503</v>
      </c>
      <c r="M7980" t="s">
        <v>41446</v>
      </c>
      <c r="N7980" t="s">
        <v>42669</v>
      </c>
      <c r="O7980" t="s">
        <v>42670</v>
      </c>
      <c r="P7980">
        <v>0</v>
      </c>
      <c r="Q7980">
        <v>0</v>
      </c>
      <c r="R7980" t="s">
        <v>42678</v>
      </c>
      <c r="S7980" t="s">
        <v>42866</v>
      </c>
      <c r="T7980" t="s">
        <v>44450</v>
      </c>
      <c r="U7980" t="s">
        <v>51356</v>
      </c>
      <c r="W7980" t="s">
        <v>41446</v>
      </c>
      <c r="X7980" t="s">
        <v>42679</v>
      </c>
    </row>
    <row r="7981" spans="1:24">
      <c r="A7981">
        <f>HYPERLINK("https://www.philgeps.gov.ph/GEPSNONPILOT/Tender/SplashBidNoticeAbstractUI.aspx?menuIndex=3&amp;refID=7183159&amp;Result=3","7183159")</f>
        <v>0</v>
      </c>
      <c r="B7981" t="s">
        <v>1195</v>
      </c>
      <c r="C7981" t="s">
        <v>11161</v>
      </c>
      <c r="D7981" t="s">
        <v>17169</v>
      </c>
      <c r="E7981" t="s">
        <v>24121</v>
      </c>
      <c r="F7981" t="s">
        <v>29372</v>
      </c>
      <c r="G7981" t="s">
        <v>29380</v>
      </c>
      <c r="H7981" t="s">
        <v>11048</v>
      </c>
      <c r="I7981" t="s">
        <v>29409</v>
      </c>
      <c r="J7981" t="s">
        <v>34683</v>
      </c>
      <c r="K7981" t="s">
        <v>38490</v>
      </c>
      <c r="M7981" t="s">
        <v>40012</v>
      </c>
      <c r="N7981" t="s">
        <v>42669</v>
      </c>
      <c r="O7981" t="s">
        <v>42670</v>
      </c>
      <c r="P7981">
        <v>0</v>
      </c>
      <c r="Q7981">
        <v>5</v>
      </c>
      <c r="R7981" t="s">
        <v>42678</v>
      </c>
      <c r="S7981" t="s">
        <v>42866</v>
      </c>
      <c r="T7981" t="s">
        <v>44579</v>
      </c>
      <c r="U7981" t="s">
        <v>51357</v>
      </c>
      <c r="W7981" t="s">
        <v>40012</v>
      </c>
      <c r="X7981" t="s">
        <v>42679</v>
      </c>
    </row>
    <row r="7982" spans="1:24">
      <c r="A7982">
        <f>HYPERLINK("https://www.philgeps.gov.ph/GEPSNONPILOT/Tender/SplashBidNoticeAbstractUI.aspx?menuIndex=3&amp;refID=7183168&amp;Result=3","7183168")</f>
        <v>0</v>
      </c>
      <c r="B7982" t="s">
        <v>2498</v>
      </c>
      <c r="C7982" t="s">
        <v>11162</v>
      </c>
      <c r="D7982" t="s">
        <v>17158</v>
      </c>
      <c r="E7982" t="s">
        <v>24122</v>
      </c>
      <c r="F7982" t="s">
        <v>29372</v>
      </c>
      <c r="G7982" t="s">
        <v>29380</v>
      </c>
      <c r="H7982" t="s">
        <v>11048</v>
      </c>
      <c r="I7982" t="s">
        <v>5383</v>
      </c>
      <c r="J7982" t="s">
        <v>34684</v>
      </c>
      <c r="K7982" t="s">
        <v>38485</v>
      </c>
      <c r="M7982" t="s">
        <v>41451</v>
      </c>
      <c r="N7982" t="s">
        <v>42669</v>
      </c>
      <c r="O7982" t="s">
        <v>42670</v>
      </c>
      <c r="P7982">
        <v>0</v>
      </c>
      <c r="Q7982">
        <v>0</v>
      </c>
      <c r="R7982" t="s">
        <v>42678</v>
      </c>
      <c r="S7982" t="s">
        <v>42866</v>
      </c>
      <c r="T7982" t="s">
        <v>44517</v>
      </c>
      <c r="U7982" t="s">
        <v>51294</v>
      </c>
      <c r="W7982" t="s">
        <v>41451</v>
      </c>
      <c r="X7982" t="s">
        <v>42679</v>
      </c>
    </row>
    <row r="7983" spans="1:24">
      <c r="A7983">
        <f>HYPERLINK("https://www.philgeps.gov.ph/GEPSNONPILOT/Tender/SplashBidNoticeAbstractUI.aspx?menuIndex=3&amp;refID=7183227&amp;Result=3","7183227")</f>
        <v>0</v>
      </c>
      <c r="B7983" t="s">
        <v>252</v>
      </c>
      <c r="C7983" t="s">
        <v>11163</v>
      </c>
      <c r="D7983" t="s">
        <v>17160</v>
      </c>
      <c r="E7983" t="s">
        <v>24123</v>
      </c>
      <c r="F7983" t="s">
        <v>29372</v>
      </c>
      <c r="G7983" t="s">
        <v>29380</v>
      </c>
      <c r="H7983" t="s">
        <v>29389</v>
      </c>
      <c r="I7983" t="s">
        <v>10408</v>
      </c>
      <c r="J7983" t="s">
        <v>29543</v>
      </c>
      <c r="K7983" t="s">
        <v>38485</v>
      </c>
      <c r="M7983" t="s">
        <v>39011</v>
      </c>
      <c r="N7983" t="s">
        <v>42669</v>
      </c>
      <c r="O7983" t="s">
        <v>42670</v>
      </c>
      <c r="P7983">
        <v>0</v>
      </c>
      <c r="Q7983">
        <v>0</v>
      </c>
      <c r="R7983" t="s">
        <v>42678</v>
      </c>
      <c r="S7983" t="s">
        <v>42866</v>
      </c>
      <c r="T7983" t="s">
        <v>44468</v>
      </c>
      <c r="U7983" t="s">
        <v>51358</v>
      </c>
      <c r="V7983" t="s">
        <v>57235</v>
      </c>
      <c r="W7983" t="s">
        <v>39011</v>
      </c>
      <c r="X7983" t="s">
        <v>42679</v>
      </c>
    </row>
    <row r="7984" spans="1:24">
      <c r="A7984">
        <f>HYPERLINK("https://www.philgeps.gov.ph/GEPSNONPILOT/Tender/SplashBidNoticeAbstractUI.aspx?menuIndex=3&amp;refID=7183165&amp;Result=3","7183165")</f>
        <v>0</v>
      </c>
      <c r="B7984" t="s">
        <v>1195</v>
      </c>
      <c r="C7984" t="s">
        <v>11164</v>
      </c>
      <c r="D7984" t="s">
        <v>17169</v>
      </c>
      <c r="E7984" t="s">
        <v>24124</v>
      </c>
      <c r="F7984" t="s">
        <v>29372</v>
      </c>
      <c r="G7984" t="s">
        <v>29380</v>
      </c>
      <c r="H7984" t="s">
        <v>11048</v>
      </c>
      <c r="I7984" t="s">
        <v>29426</v>
      </c>
      <c r="J7984" t="s">
        <v>34685</v>
      </c>
      <c r="K7984" t="s">
        <v>38490</v>
      </c>
      <c r="M7984" t="s">
        <v>40012</v>
      </c>
      <c r="N7984" t="s">
        <v>42669</v>
      </c>
      <c r="O7984" t="s">
        <v>42670</v>
      </c>
      <c r="P7984">
        <v>0</v>
      </c>
      <c r="Q7984">
        <v>3</v>
      </c>
      <c r="R7984" t="s">
        <v>42678</v>
      </c>
      <c r="S7984" t="s">
        <v>42866</v>
      </c>
      <c r="T7984" t="s">
        <v>44579</v>
      </c>
      <c r="U7984" t="s">
        <v>51359</v>
      </c>
      <c r="W7984" t="s">
        <v>40012</v>
      </c>
      <c r="X7984" t="s">
        <v>42679</v>
      </c>
    </row>
    <row r="7985" spans="1:24">
      <c r="A7985">
        <f>HYPERLINK("https://www.philgeps.gov.ph/GEPSNONPILOT/Tender/SplashBidNoticeAbstractUI.aspx?menuIndex=3&amp;refID=7183193&amp;Result=3","7183193")</f>
        <v>0</v>
      </c>
      <c r="B7985" t="s">
        <v>2511</v>
      </c>
      <c r="C7985" t="s">
        <v>11165</v>
      </c>
      <c r="D7985" t="s">
        <v>17142</v>
      </c>
      <c r="E7985" t="s">
        <v>24125</v>
      </c>
      <c r="F7985" t="s">
        <v>29372</v>
      </c>
      <c r="G7985" t="s">
        <v>29384</v>
      </c>
      <c r="H7985" t="s">
        <v>29391</v>
      </c>
      <c r="I7985" t="s">
        <v>29391</v>
      </c>
      <c r="J7985" t="s">
        <v>34686</v>
      </c>
      <c r="K7985" t="s">
        <v>38522</v>
      </c>
      <c r="M7985" t="s">
        <v>41470</v>
      </c>
      <c r="N7985" t="s">
        <v>42669</v>
      </c>
      <c r="O7985" t="s">
        <v>42670</v>
      </c>
      <c r="P7985">
        <v>0</v>
      </c>
      <c r="Q7985">
        <v>10</v>
      </c>
      <c r="R7985" t="s">
        <v>42678</v>
      </c>
      <c r="S7985" t="s">
        <v>42866</v>
      </c>
      <c r="T7985" t="s">
        <v>44432</v>
      </c>
      <c r="U7985" t="s">
        <v>51360</v>
      </c>
      <c r="V7985" t="s">
        <v>57236</v>
      </c>
      <c r="W7985" t="s">
        <v>41470</v>
      </c>
      <c r="X7985" t="s">
        <v>42679</v>
      </c>
    </row>
    <row r="7986" spans="1:24">
      <c r="A7986">
        <f>HYPERLINK("https://www.philgeps.gov.ph/GEPSNONPILOT/Tender/SplashBidNoticeAbstractUI.aspx?menuIndex=3&amp;refID=7183186&amp;Result=3","7183186")</f>
        <v>0</v>
      </c>
      <c r="B7986" t="s">
        <v>1792</v>
      </c>
      <c r="C7986" t="s">
        <v>11166</v>
      </c>
      <c r="D7986" t="s">
        <v>17141</v>
      </c>
      <c r="E7986" t="s">
        <v>24126</v>
      </c>
      <c r="F7986" t="s">
        <v>29372</v>
      </c>
      <c r="G7986" t="s">
        <v>29382</v>
      </c>
      <c r="H7986" t="s">
        <v>11048</v>
      </c>
      <c r="I7986" t="s">
        <v>4709</v>
      </c>
      <c r="J7986" t="s">
        <v>34687</v>
      </c>
      <c r="K7986" t="s">
        <v>38488</v>
      </c>
      <c r="M7986" t="s">
        <v>41471</v>
      </c>
      <c r="N7986" t="s">
        <v>42669</v>
      </c>
      <c r="O7986" t="s">
        <v>42670</v>
      </c>
      <c r="P7986">
        <v>0</v>
      </c>
      <c r="Q7986">
        <v>5</v>
      </c>
      <c r="R7986" t="s">
        <v>42678</v>
      </c>
      <c r="S7986" t="s">
        <v>42866</v>
      </c>
      <c r="T7986" t="s">
        <v>44512</v>
      </c>
      <c r="U7986" t="s">
        <v>51361</v>
      </c>
      <c r="W7986" t="s">
        <v>41471</v>
      </c>
      <c r="X7986" t="s">
        <v>42679</v>
      </c>
    </row>
    <row r="7987" spans="1:24">
      <c r="A7987">
        <f>HYPERLINK("https://www.philgeps.gov.ph/GEPSNONPILOT/Tender/SplashBidNoticeAbstractUI.aspx?menuIndex=3&amp;refID=7183113&amp;Result=3","7183113")</f>
        <v>0</v>
      </c>
      <c r="B7987" t="s">
        <v>2498</v>
      </c>
      <c r="C7987" t="s">
        <v>11167</v>
      </c>
      <c r="D7987" t="s">
        <v>17158</v>
      </c>
      <c r="E7987" t="s">
        <v>24127</v>
      </c>
      <c r="F7987" t="s">
        <v>29372</v>
      </c>
      <c r="G7987" t="s">
        <v>29380</v>
      </c>
      <c r="H7987" t="s">
        <v>11048</v>
      </c>
      <c r="I7987" t="s">
        <v>5383</v>
      </c>
      <c r="J7987" t="s">
        <v>34688</v>
      </c>
      <c r="K7987" t="s">
        <v>38485</v>
      </c>
      <c r="M7987" t="s">
        <v>41451</v>
      </c>
      <c r="N7987" t="s">
        <v>42669</v>
      </c>
      <c r="O7987" t="s">
        <v>42670</v>
      </c>
      <c r="P7987">
        <v>0</v>
      </c>
      <c r="Q7987">
        <v>1</v>
      </c>
      <c r="R7987" t="s">
        <v>42678</v>
      </c>
      <c r="S7987" t="s">
        <v>42866</v>
      </c>
      <c r="T7987" t="s">
        <v>44517</v>
      </c>
      <c r="U7987" t="s">
        <v>51294</v>
      </c>
      <c r="W7987" t="s">
        <v>41451</v>
      </c>
      <c r="X7987" t="s">
        <v>42679</v>
      </c>
    </row>
    <row r="7988" spans="1:24">
      <c r="A7988">
        <f>HYPERLINK("https://www.philgeps.gov.ph/GEPSNONPILOT/Tender/SplashBidNoticeAbstractUI.aspx?menuIndex=3&amp;refID=7183233&amp;Result=3","7183233")</f>
        <v>0</v>
      </c>
      <c r="B7988" t="s">
        <v>2487</v>
      </c>
      <c r="C7988" t="s">
        <v>11168</v>
      </c>
      <c r="D7988" t="s">
        <v>17169</v>
      </c>
      <c r="E7988" t="s">
        <v>24128</v>
      </c>
      <c r="F7988" t="s">
        <v>29372</v>
      </c>
      <c r="G7988" t="s">
        <v>29380</v>
      </c>
      <c r="H7988" t="s">
        <v>29389</v>
      </c>
      <c r="I7988" t="s">
        <v>10408</v>
      </c>
      <c r="J7988" t="s">
        <v>34689</v>
      </c>
      <c r="K7988" t="s">
        <v>38496</v>
      </c>
      <c r="M7988" t="s">
        <v>41437</v>
      </c>
      <c r="N7988" t="s">
        <v>42669</v>
      </c>
      <c r="O7988" t="s">
        <v>42670</v>
      </c>
      <c r="P7988">
        <v>0</v>
      </c>
      <c r="Q7988">
        <v>2</v>
      </c>
      <c r="R7988" t="s">
        <v>42678</v>
      </c>
      <c r="S7988" t="s">
        <v>42866</v>
      </c>
      <c r="T7988" t="s">
        <v>44355</v>
      </c>
      <c r="U7988" t="s">
        <v>51362</v>
      </c>
      <c r="W7988" t="s">
        <v>41437</v>
      </c>
      <c r="X7988" t="s">
        <v>42679</v>
      </c>
    </row>
    <row r="7989" spans="1:24">
      <c r="A7989">
        <f>HYPERLINK("https://www.philgeps.gov.ph/GEPSNONPILOT/Tender/SplashBidNoticeAbstractUI.aspx?menuIndex=3&amp;refID=7183241&amp;Result=3","7183241")</f>
        <v>0</v>
      </c>
      <c r="B7989" t="s">
        <v>252</v>
      </c>
      <c r="C7989" t="s">
        <v>11169</v>
      </c>
      <c r="D7989" t="s">
        <v>17160</v>
      </c>
      <c r="E7989" t="s">
        <v>24129</v>
      </c>
      <c r="F7989" t="s">
        <v>29372</v>
      </c>
      <c r="G7989" t="s">
        <v>29380</v>
      </c>
      <c r="H7989" t="s">
        <v>29389</v>
      </c>
      <c r="I7989" t="s">
        <v>10408</v>
      </c>
      <c r="J7989" t="s">
        <v>29543</v>
      </c>
      <c r="K7989" t="s">
        <v>38485</v>
      </c>
      <c r="M7989" t="s">
        <v>39011</v>
      </c>
      <c r="N7989" t="s">
        <v>42669</v>
      </c>
      <c r="O7989" t="s">
        <v>42670</v>
      </c>
      <c r="P7989">
        <v>0</v>
      </c>
      <c r="Q7989">
        <v>0</v>
      </c>
      <c r="R7989" t="s">
        <v>42678</v>
      </c>
      <c r="S7989" t="s">
        <v>42866</v>
      </c>
      <c r="T7989" t="s">
        <v>44468</v>
      </c>
      <c r="U7989" t="s">
        <v>51363</v>
      </c>
      <c r="V7989" t="s">
        <v>57237</v>
      </c>
      <c r="W7989" t="s">
        <v>39011</v>
      </c>
      <c r="X7989" t="s">
        <v>42679</v>
      </c>
    </row>
    <row r="7990" spans="1:24">
      <c r="A7990">
        <f>HYPERLINK("https://www.philgeps.gov.ph/GEPSNONPILOT/Tender/SplashBidNoticeAbstractUI.aspx?menuIndex=3&amp;refID=7183230&amp;Result=3","7183230")</f>
        <v>0</v>
      </c>
      <c r="B7990" t="s">
        <v>91</v>
      </c>
      <c r="C7990" t="s">
        <v>11170</v>
      </c>
      <c r="D7990" t="s">
        <v>17176</v>
      </c>
      <c r="E7990" t="s">
        <v>24130</v>
      </c>
      <c r="F7990" t="s">
        <v>29372</v>
      </c>
      <c r="G7990" t="s">
        <v>29380</v>
      </c>
      <c r="H7990" t="s">
        <v>29389</v>
      </c>
      <c r="I7990" t="s">
        <v>10408</v>
      </c>
      <c r="J7990" t="s">
        <v>34690</v>
      </c>
      <c r="K7990" t="s">
        <v>38605</v>
      </c>
      <c r="M7990" t="s">
        <v>41447</v>
      </c>
      <c r="N7990" t="s">
        <v>42669</v>
      </c>
      <c r="O7990" t="s">
        <v>42670</v>
      </c>
      <c r="P7990">
        <v>0</v>
      </c>
      <c r="Q7990">
        <v>0</v>
      </c>
      <c r="R7990" t="s">
        <v>42678</v>
      </c>
      <c r="S7990" t="s">
        <v>42866</v>
      </c>
      <c r="T7990" t="s">
        <v>44442</v>
      </c>
      <c r="U7990" t="s">
        <v>51364</v>
      </c>
      <c r="W7990" t="s">
        <v>41447</v>
      </c>
      <c r="X7990" t="s">
        <v>42679</v>
      </c>
    </row>
    <row r="7991" spans="1:24">
      <c r="A7991">
        <f>HYPERLINK("https://www.philgeps.gov.ph/GEPSNONPILOT/Tender/SplashBidNoticeAbstractUI.aspx?menuIndex=3&amp;refID=7183240&amp;Result=3","7183240")</f>
        <v>0</v>
      </c>
      <c r="B7991" t="s">
        <v>2181</v>
      </c>
      <c r="C7991" t="s">
        <v>11171</v>
      </c>
      <c r="E7991" t="s">
        <v>24131</v>
      </c>
      <c r="F7991" t="s">
        <v>29372</v>
      </c>
      <c r="G7991" t="s">
        <v>29380</v>
      </c>
      <c r="H7991" t="s">
        <v>11048</v>
      </c>
      <c r="I7991" t="s">
        <v>4709</v>
      </c>
      <c r="J7991" t="s">
        <v>34691</v>
      </c>
      <c r="K7991" t="s">
        <v>38491</v>
      </c>
      <c r="M7991" t="s">
        <v>41095</v>
      </c>
      <c r="N7991" t="s">
        <v>42669</v>
      </c>
      <c r="O7991" t="s">
        <v>42670</v>
      </c>
      <c r="P7991">
        <v>0</v>
      </c>
      <c r="Q7991">
        <v>0</v>
      </c>
      <c r="R7991" t="s">
        <v>42678</v>
      </c>
      <c r="S7991" t="s">
        <v>42866</v>
      </c>
      <c r="T7991" t="s">
        <v>44685</v>
      </c>
      <c r="U7991" t="s">
        <v>51365</v>
      </c>
      <c r="V7991" t="s">
        <v>57228</v>
      </c>
      <c r="W7991" t="s">
        <v>41095</v>
      </c>
      <c r="X7991" t="s">
        <v>42679</v>
      </c>
    </row>
    <row r="7992" spans="1:24">
      <c r="A7992">
        <f>HYPERLINK("https://www.philgeps.gov.ph/GEPSNONPILOT/Tender/SplashBidNoticeAbstractUI.aspx?menuIndex=3&amp;refID=7183224&amp;Result=3","7183224")</f>
        <v>0</v>
      </c>
      <c r="B7992" t="s">
        <v>2512</v>
      </c>
      <c r="C7992" t="s">
        <v>6272</v>
      </c>
      <c r="D7992" t="s">
        <v>17169</v>
      </c>
      <c r="E7992" t="s">
        <v>17269</v>
      </c>
      <c r="F7992" t="s">
        <v>29372</v>
      </c>
      <c r="G7992" t="s">
        <v>29380</v>
      </c>
      <c r="H7992" t="s">
        <v>29389</v>
      </c>
      <c r="I7992" t="s">
        <v>10408</v>
      </c>
      <c r="J7992" t="s">
        <v>34692</v>
      </c>
      <c r="K7992" t="s">
        <v>38485</v>
      </c>
      <c r="M7992" t="s">
        <v>41472</v>
      </c>
      <c r="N7992" t="s">
        <v>42669</v>
      </c>
      <c r="O7992" t="s">
        <v>42670</v>
      </c>
      <c r="P7992">
        <v>0</v>
      </c>
      <c r="Q7992">
        <v>0</v>
      </c>
      <c r="R7992" t="s">
        <v>42678</v>
      </c>
      <c r="S7992" t="s">
        <v>42866</v>
      </c>
      <c r="T7992" t="s">
        <v>44493</v>
      </c>
      <c r="U7992" t="s">
        <v>51366</v>
      </c>
      <c r="W7992" t="s">
        <v>41472</v>
      </c>
      <c r="X7992" t="s">
        <v>42679</v>
      </c>
    </row>
    <row r="7993" spans="1:24">
      <c r="A7993">
        <f>HYPERLINK("https://www.philgeps.gov.ph/GEPSNONPILOT/Tender/SplashBidNoticeAbstractUI.aspx?menuIndex=3&amp;refID=7183214&amp;Result=3","7183214")</f>
        <v>0</v>
      </c>
      <c r="B7993" t="s">
        <v>2487</v>
      </c>
      <c r="C7993" t="s">
        <v>11172</v>
      </c>
      <c r="D7993" t="s">
        <v>17169</v>
      </c>
      <c r="E7993" t="s">
        <v>24132</v>
      </c>
      <c r="F7993" t="s">
        <v>29372</v>
      </c>
      <c r="G7993" t="s">
        <v>29380</v>
      </c>
      <c r="H7993" t="s">
        <v>29389</v>
      </c>
      <c r="I7993" t="s">
        <v>10408</v>
      </c>
      <c r="J7993" t="s">
        <v>34693</v>
      </c>
      <c r="K7993" t="s">
        <v>38604</v>
      </c>
      <c r="M7993" t="s">
        <v>41437</v>
      </c>
      <c r="N7993" t="s">
        <v>42669</v>
      </c>
      <c r="O7993" t="s">
        <v>42670</v>
      </c>
      <c r="P7993">
        <v>0</v>
      </c>
      <c r="Q7993">
        <v>1</v>
      </c>
      <c r="R7993" t="s">
        <v>42678</v>
      </c>
      <c r="S7993" t="s">
        <v>42866</v>
      </c>
      <c r="T7993" t="s">
        <v>44355</v>
      </c>
      <c r="U7993" t="s">
        <v>51367</v>
      </c>
      <c r="W7993" t="s">
        <v>41437</v>
      </c>
      <c r="X7993" t="s">
        <v>42679</v>
      </c>
    </row>
    <row r="7994" spans="1:24">
      <c r="A7994">
        <f>HYPERLINK("https://www.philgeps.gov.ph/GEPSNONPILOT/Tender/SplashBidNoticeAbstractUI.aspx?menuIndex=3&amp;refID=7182999&amp;Result=3","7182999")</f>
        <v>0</v>
      </c>
      <c r="B7994" t="s">
        <v>660</v>
      </c>
      <c r="C7994" t="s">
        <v>11173</v>
      </c>
      <c r="D7994" t="s">
        <v>17199</v>
      </c>
      <c r="E7994" t="s">
        <v>11173</v>
      </c>
      <c r="F7994" t="s">
        <v>29372</v>
      </c>
      <c r="G7994" t="s">
        <v>29380</v>
      </c>
      <c r="H7994" t="s">
        <v>29389</v>
      </c>
      <c r="I7994" t="s">
        <v>29450</v>
      </c>
      <c r="J7994" t="s">
        <v>34694</v>
      </c>
      <c r="K7994" t="s">
        <v>38490</v>
      </c>
      <c r="M7994" t="s">
        <v>41459</v>
      </c>
      <c r="N7994" t="s">
        <v>42669</v>
      </c>
      <c r="O7994" t="s">
        <v>42670</v>
      </c>
      <c r="P7994">
        <v>0</v>
      </c>
      <c r="Q7994">
        <v>2</v>
      </c>
      <c r="R7994" t="s">
        <v>42678</v>
      </c>
      <c r="S7994" t="s">
        <v>42866</v>
      </c>
      <c r="T7994" t="s">
        <v>44684</v>
      </c>
      <c r="U7994" t="s">
        <v>51368</v>
      </c>
      <c r="W7994" t="s">
        <v>41459</v>
      </c>
      <c r="X7994" t="s">
        <v>42679</v>
      </c>
    </row>
    <row r="7995" spans="1:24">
      <c r="A7995">
        <f>HYPERLINK("https://www.philgeps.gov.ph/GEPSNONPILOT/Tender/SplashBidNoticeAbstractUI.aspx?menuIndex=3&amp;refID=7183213&amp;Result=3","7183213")</f>
        <v>0</v>
      </c>
      <c r="B7995" t="s">
        <v>2489</v>
      </c>
      <c r="C7995" t="s">
        <v>11174</v>
      </c>
      <c r="D7995" t="s">
        <v>17203</v>
      </c>
      <c r="E7995" t="s">
        <v>24133</v>
      </c>
      <c r="F7995" t="s">
        <v>29372</v>
      </c>
      <c r="G7995" t="s">
        <v>29380</v>
      </c>
      <c r="H7995" t="s">
        <v>29389</v>
      </c>
      <c r="I7995" t="s">
        <v>10408</v>
      </c>
      <c r="J7995" t="s">
        <v>34695</v>
      </c>
      <c r="K7995" t="s">
        <v>38522</v>
      </c>
      <c r="M7995" t="s">
        <v>41440</v>
      </c>
      <c r="N7995" t="s">
        <v>42669</v>
      </c>
      <c r="O7995" t="s">
        <v>42670</v>
      </c>
      <c r="P7995">
        <v>0</v>
      </c>
      <c r="Q7995">
        <v>0</v>
      </c>
      <c r="R7995" t="s">
        <v>42678</v>
      </c>
      <c r="S7995" t="s">
        <v>42866</v>
      </c>
      <c r="T7995" t="s">
        <v>44515</v>
      </c>
      <c r="U7995" t="s">
        <v>51369</v>
      </c>
      <c r="V7995" t="s">
        <v>57222</v>
      </c>
      <c r="W7995" t="s">
        <v>41440</v>
      </c>
      <c r="X7995" t="s">
        <v>42679</v>
      </c>
    </row>
    <row r="7996" spans="1:24">
      <c r="A7996">
        <f>HYPERLINK("https://www.philgeps.gov.ph/GEPSNONPILOT/Tender/SplashBidNoticeAbstractUI.aspx?menuIndex=3&amp;refID=7183211&amp;Result=3","7183211")</f>
        <v>0</v>
      </c>
      <c r="B7996" t="s">
        <v>2181</v>
      </c>
      <c r="C7996" t="s">
        <v>11175</v>
      </c>
      <c r="E7996" t="s">
        <v>24134</v>
      </c>
      <c r="F7996" t="s">
        <v>29372</v>
      </c>
      <c r="G7996" t="s">
        <v>29380</v>
      </c>
      <c r="H7996" t="s">
        <v>11048</v>
      </c>
      <c r="I7996" t="s">
        <v>4709</v>
      </c>
      <c r="J7996" t="s">
        <v>34696</v>
      </c>
      <c r="K7996" t="s">
        <v>38491</v>
      </c>
      <c r="M7996" t="s">
        <v>41095</v>
      </c>
      <c r="N7996" t="s">
        <v>42669</v>
      </c>
      <c r="O7996" t="s">
        <v>42670</v>
      </c>
      <c r="P7996">
        <v>0</v>
      </c>
      <c r="Q7996">
        <v>1</v>
      </c>
      <c r="R7996" t="s">
        <v>42678</v>
      </c>
      <c r="S7996" t="s">
        <v>42866</v>
      </c>
      <c r="T7996" t="s">
        <v>44685</v>
      </c>
      <c r="U7996" t="s">
        <v>51370</v>
      </c>
      <c r="V7996" t="s">
        <v>57228</v>
      </c>
      <c r="W7996" t="s">
        <v>41095</v>
      </c>
      <c r="X7996" t="s">
        <v>42679</v>
      </c>
    </row>
    <row r="7997" spans="1:24">
      <c r="A7997">
        <f>HYPERLINK("https://www.philgeps.gov.ph/GEPSNONPILOT/Tender/SplashBidNoticeAbstractUI.aspx?menuIndex=3&amp;refID=7183217&amp;Result=3","7183217")</f>
        <v>0</v>
      </c>
      <c r="B7997" t="s">
        <v>2507</v>
      </c>
      <c r="C7997" t="s">
        <v>11176</v>
      </c>
      <c r="D7997" t="s">
        <v>17226</v>
      </c>
      <c r="E7997" t="s">
        <v>24135</v>
      </c>
      <c r="F7997" t="s">
        <v>29372</v>
      </c>
      <c r="G7997" t="s">
        <v>29380</v>
      </c>
      <c r="H7997" t="s">
        <v>29389</v>
      </c>
      <c r="I7997" t="s">
        <v>10408</v>
      </c>
      <c r="J7997" t="s">
        <v>34697</v>
      </c>
      <c r="K7997" t="s">
        <v>38526</v>
      </c>
      <c r="M7997" t="s">
        <v>41465</v>
      </c>
      <c r="N7997" t="s">
        <v>42669</v>
      </c>
      <c r="O7997" t="s">
        <v>42670</v>
      </c>
      <c r="P7997">
        <v>0</v>
      </c>
      <c r="Q7997">
        <v>0</v>
      </c>
      <c r="R7997" t="s">
        <v>42678</v>
      </c>
      <c r="S7997" t="s">
        <v>42866</v>
      </c>
      <c r="T7997" t="s">
        <v>44355</v>
      </c>
      <c r="U7997" t="s">
        <v>51371</v>
      </c>
      <c r="V7997" t="s">
        <v>57238</v>
      </c>
      <c r="W7997" t="s">
        <v>41465</v>
      </c>
      <c r="X7997" t="s">
        <v>42679</v>
      </c>
    </row>
    <row r="7998" spans="1:24">
      <c r="A7998">
        <f>HYPERLINK("https://www.philgeps.gov.ph/GEPSNONPILOT/Tender/SplashBidNoticeAbstractUI.aspx?menuIndex=3&amp;refID=7183271&amp;Result=3","7183271")</f>
        <v>0</v>
      </c>
      <c r="B7998" t="s">
        <v>733</v>
      </c>
      <c r="C7998" t="s">
        <v>11177</v>
      </c>
      <c r="D7998" t="s">
        <v>17156</v>
      </c>
      <c r="E7998" t="s">
        <v>24136</v>
      </c>
      <c r="F7998" t="s">
        <v>29372</v>
      </c>
      <c r="G7998" t="s">
        <v>29383</v>
      </c>
      <c r="H7998" t="s">
        <v>11048</v>
      </c>
      <c r="I7998" t="s">
        <v>29419</v>
      </c>
      <c r="J7998" t="s">
        <v>34522</v>
      </c>
      <c r="K7998" t="s">
        <v>38485</v>
      </c>
      <c r="M7998" t="s">
        <v>39514</v>
      </c>
      <c r="N7998" t="s">
        <v>42669</v>
      </c>
      <c r="O7998" t="s">
        <v>42670</v>
      </c>
      <c r="P7998">
        <v>0</v>
      </c>
      <c r="Q7998">
        <v>0</v>
      </c>
      <c r="R7998" t="s">
        <v>42678</v>
      </c>
      <c r="S7998" t="s">
        <v>42866</v>
      </c>
      <c r="T7998" t="s">
        <v>44488</v>
      </c>
      <c r="U7998" t="s">
        <v>51372</v>
      </c>
      <c r="V7998" t="s">
        <v>57239</v>
      </c>
      <c r="W7998" t="s">
        <v>58087</v>
      </c>
      <c r="X7998" t="s">
        <v>42679</v>
      </c>
    </row>
    <row r="7999" spans="1:24">
      <c r="A7999">
        <f>HYPERLINK("https://www.philgeps.gov.ph/GEPSNONPILOT/Tender/SplashBidNoticeAbstractUI.aspx?menuIndex=3&amp;refID=7183215&amp;Result=3","7183215")</f>
        <v>0</v>
      </c>
      <c r="B7999" t="s">
        <v>1792</v>
      </c>
      <c r="C7999" t="s">
        <v>11178</v>
      </c>
      <c r="D7999" t="s">
        <v>17141</v>
      </c>
      <c r="E7999" t="s">
        <v>24137</v>
      </c>
      <c r="F7999" t="s">
        <v>29372</v>
      </c>
      <c r="G7999" t="s">
        <v>29382</v>
      </c>
      <c r="H7999" t="s">
        <v>11048</v>
      </c>
      <c r="I7999" t="s">
        <v>29406</v>
      </c>
      <c r="J7999" t="s">
        <v>34698</v>
      </c>
      <c r="K7999" t="s">
        <v>38510</v>
      </c>
      <c r="M7999" t="s">
        <v>41471</v>
      </c>
      <c r="N7999" t="s">
        <v>42669</v>
      </c>
      <c r="O7999" t="s">
        <v>42670</v>
      </c>
      <c r="P7999">
        <v>0</v>
      </c>
      <c r="Q7999">
        <v>7</v>
      </c>
      <c r="R7999" t="s">
        <v>42678</v>
      </c>
      <c r="S7999" t="s">
        <v>42866</v>
      </c>
      <c r="T7999" t="s">
        <v>44512</v>
      </c>
      <c r="U7999" t="s">
        <v>51373</v>
      </c>
      <c r="W7999" t="s">
        <v>41471</v>
      </c>
      <c r="X7999" t="s">
        <v>42679</v>
      </c>
    </row>
    <row r="8000" spans="1:24">
      <c r="A8000">
        <f>HYPERLINK("https://www.philgeps.gov.ph/GEPSNONPILOT/Tender/SplashBidNoticeAbstractUI.aspx?menuIndex=3&amp;refID=7183279&amp;Result=3","7183279")</f>
        <v>0</v>
      </c>
      <c r="B8000" t="s">
        <v>2513</v>
      </c>
      <c r="C8000" t="s">
        <v>5539</v>
      </c>
      <c r="D8000" t="s">
        <v>17166</v>
      </c>
      <c r="E8000" t="s">
        <v>24138</v>
      </c>
      <c r="F8000" t="s">
        <v>29372</v>
      </c>
      <c r="G8000" t="s">
        <v>29380</v>
      </c>
      <c r="H8000" t="s">
        <v>11048</v>
      </c>
      <c r="I8000" t="s">
        <v>4487</v>
      </c>
      <c r="J8000" t="s">
        <v>32726</v>
      </c>
      <c r="K8000" t="s">
        <v>38528</v>
      </c>
      <c r="M8000" t="s">
        <v>41473</v>
      </c>
      <c r="N8000" t="s">
        <v>42669</v>
      </c>
      <c r="O8000" t="s">
        <v>42670</v>
      </c>
      <c r="P8000">
        <v>0</v>
      </c>
      <c r="Q8000">
        <v>1</v>
      </c>
      <c r="R8000" t="s">
        <v>42678</v>
      </c>
      <c r="S8000" t="s">
        <v>42866</v>
      </c>
      <c r="T8000" t="s">
        <v>44430</v>
      </c>
      <c r="U8000" t="s">
        <v>51374</v>
      </c>
      <c r="W8000" t="s">
        <v>41473</v>
      </c>
      <c r="X8000" t="s">
        <v>42679</v>
      </c>
    </row>
    <row r="8001" spans="1:24">
      <c r="A8001">
        <f>HYPERLINK("https://www.philgeps.gov.ph/GEPSNONPILOT/Tender/SplashBidNoticeAbstractUI.aspx?menuIndex=3&amp;refID=7183236&amp;Result=3","7183236")</f>
        <v>0</v>
      </c>
      <c r="B8001" t="s">
        <v>1792</v>
      </c>
      <c r="C8001" t="s">
        <v>11179</v>
      </c>
      <c r="D8001" t="s">
        <v>17141</v>
      </c>
      <c r="E8001" t="s">
        <v>24139</v>
      </c>
      <c r="F8001" t="s">
        <v>29372</v>
      </c>
      <c r="G8001" t="s">
        <v>29382</v>
      </c>
      <c r="H8001" t="s">
        <v>11048</v>
      </c>
      <c r="I8001" t="s">
        <v>4487</v>
      </c>
      <c r="J8001" t="s">
        <v>34699</v>
      </c>
      <c r="K8001" t="s">
        <v>38491</v>
      </c>
      <c r="M8001" t="s">
        <v>41471</v>
      </c>
      <c r="N8001" t="s">
        <v>42669</v>
      </c>
      <c r="O8001" t="s">
        <v>42670</v>
      </c>
      <c r="P8001">
        <v>0</v>
      </c>
      <c r="Q8001">
        <v>20</v>
      </c>
      <c r="R8001" t="s">
        <v>42678</v>
      </c>
      <c r="S8001" t="s">
        <v>42866</v>
      </c>
      <c r="T8001" t="s">
        <v>44512</v>
      </c>
      <c r="U8001" t="s">
        <v>51375</v>
      </c>
      <c r="W8001" t="s">
        <v>41471</v>
      </c>
      <c r="X8001" t="s">
        <v>42679</v>
      </c>
    </row>
    <row r="8002" spans="1:24">
      <c r="A8002">
        <f>HYPERLINK("https://www.philgeps.gov.ph/GEPSNONPILOT/Tender/SplashBidNoticeAbstractUI.aspx?menuIndex=3&amp;refID=7183275&amp;Result=3","7183275")</f>
        <v>0</v>
      </c>
      <c r="B8002" t="s">
        <v>252</v>
      </c>
      <c r="C8002" t="s">
        <v>11180</v>
      </c>
      <c r="D8002" t="s">
        <v>17160</v>
      </c>
      <c r="E8002" t="s">
        <v>24140</v>
      </c>
      <c r="F8002" t="s">
        <v>29372</v>
      </c>
      <c r="G8002" t="s">
        <v>29380</v>
      </c>
      <c r="H8002" t="s">
        <v>29389</v>
      </c>
      <c r="I8002" t="s">
        <v>10408</v>
      </c>
      <c r="J8002" t="s">
        <v>29543</v>
      </c>
      <c r="K8002" t="s">
        <v>38485</v>
      </c>
      <c r="M8002" t="s">
        <v>39011</v>
      </c>
      <c r="N8002" t="s">
        <v>42669</v>
      </c>
      <c r="O8002" t="s">
        <v>42670</v>
      </c>
      <c r="P8002">
        <v>0</v>
      </c>
      <c r="Q8002">
        <v>0</v>
      </c>
      <c r="R8002" t="s">
        <v>42678</v>
      </c>
      <c r="S8002" t="s">
        <v>42866</v>
      </c>
      <c r="T8002" t="s">
        <v>44468</v>
      </c>
      <c r="U8002" t="s">
        <v>51376</v>
      </c>
      <c r="V8002" t="s">
        <v>57235</v>
      </c>
      <c r="W8002" t="s">
        <v>39011</v>
      </c>
      <c r="X8002" t="s">
        <v>42679</v>
      </c>
    </row>
    <row r="8003" spans="1:24">
      <c r="A8003">
        <f>HYPERLINK("https://www.philgeps.gov.ph/GEPSNONPILOT/Tender/SplashBidNoticeAbstractUI.aspx?menuIndex=3&amp;refID=7183229&amp;Result=3","7183229")</f>
        <v>0</v>
      </c>
      <c r="B8003" t="s">
        <v>1259</v>
      </c>
      <c r="C8003" t="s">
        <v>11181</v>
      </c>
      <c r="D8003" t="s">
        <v>17170</v>
      </c>
      <c r="E8003" t="s">
        <v>24141</v>
      </c>
      <c r="F8003" t="s">
        <v>29372</v>
      </c>
      <c r="G8003" t="s">
        <v>29380</v>
      </c>
      <c r="H8003" t="s">
        <v>11048</v>
      </c>
      <c r="I8003" t="s">
        <v>14920</v>
      </c>
      <c r="J8003" t="s">
        <v>34700</v>
      </c>
      <c r="K8003" t="s">
        <v>38488</v>
      </c>
      <c r="M8003" t="s">
        <v>40086</v>
      </c>
      <c r="N8003" t="s">
        <v>42669</v>
      </c>
      <c r="O8003" t="s">
        <v>42670</v>
      </c>
      <c r="Q8003">
        <v>1</v>
      </c>
      <c r="R8003" t="s">
        <v>42678</v>
      </c>
      <c r="S8003" t="s">
        <v>42911</v>
      </c>
      <c r="T8003" t="s">
        <v>44558</v>
      </c>
      <c r="U8003" t="s">
        <v>51377</v>
      </c>
      <c r="V8003" t="s">
        <v>56675</v>
      </c>
      <c r="W8003" t="s">
        <v>40086</v>
      </c>
      <c r="X8003" t="s">
        <v>42679</v>
      </c>
    </row>
    <row r="8004" spans="1:24">
      <c r="A8004">
        <f>HYPERLINK("https://www.philgeps.gov.ph/GEPSNONPILOT/Tender/SplashBidNoticeAbstractUI.aspx?menuIndex=3&amp;refID=7183210&amp;Result=3","7183210")</f>
        <v>0</v>
      </c>
      <c r="B8004" t="s">
        <v>1429</v>
      </c>
      <c r="C8004" t="s">
        <v>11182</v>
      </c>
      <c r="D8004" t="s">
        <v>17188</v>
      </c>
      <c r="E8004" t="s">
        <v>24142</v>
      </c>
      <c r="F8004" t="s">
        <v>29372</v>
      </c>
      <c r="G8004" t="s">
        <v>29380</v>
      </c>
      <c r="H8004" t="s">
        <v>11048</v>
      </c>
      <c r="I8004" t="s">
        <v>9469</v>
      </c>
      <c r="J8004" t="s">
        <v>33423</v>
      </c>
      <c r="K8004" t="s">
        <v>38485</v>
      </c>
      <c r="M8004" t="s">
        <v>41466</v>
      </c>
      <c r="N8004" t="s">
        <v>42669</v>
      </c>
      <c r="O8004" t="s">
        <v>42670</v>
      </c>
      <c r="P8004">
        <v>0</v>
      </c>
      <c r="Q8004">
        <v>2</v>
      </c>
      <c r="R8004" t="s">
        <v>42678</v>
      </c>
      <c r="S8004" t="s">
        <v>42866</v>
      </c>
      <c r="T8004" t="s">
        <v>44446</v>
      </c>
      <c r="U8004" t="s">
        <v>51378</v>
      </c>
      <c r="W8004" t="s">
        <v>41466</v>
      </c>
      <c r="X8004" t="s">
        <v>42679</v>
      </c>
    </row>
    <row r="8005" spans="1:24">
      <c r="A8005">
        <f>HYPERLINK("https://www.philgeps.gov.ph/GEPSNONPILOT/Tender/SplashBidNoticeAbstractUI.aspx?menuIndex=3&amp;refID=7183274&amp;Result=3","7183274")</f>
        <v>0</v>
      </c>
      <c r="B8005" t="s">
        <v>1817</v>
      </c>
      <c r="C8005" t="s">
        <v>11183</v>
      </c>
      <c r="D8005" t="s">
        <v>17153</v>
      </c>
      <c r="E8005" t="s">
        <v>24143</v>
      </c>
      <c r="F8005" t="s">
        <v>29372</v>
      </c>
      <c r="G8005" t="s">
        <v>29380</v>
      </c>
      <c r="H8005" t="s">
        <v>11048</v>
      </c>
      <c r="I8005" t="s">
        <v>3597</v>
      </c>
      <c r="J8005" t="s">
        <v>30161</v>
      </c>
      <c r="K8005" t="s">
        <v>38496</v>
      </c>
      <c r="M8005" t="s">
        <v>40688</v>
      </c>
      <c r="N8005" t="s">
        <v>42669</v>
      </c>
      <c r="O8005" t="s">
        <v>42670</v>
      </c>
      <c r="P8005">
        <v>0</v>
      </c>
      <c r="Q8005">
        <v>2</v>
      </c>
      <c r="R8005" t="s">
        <v>42678</v>
      </c>
      <c r="S8005" t="s">
        <v>42866</v>
      </c>
      <c r="T8005" t="s">
        <v>44450</v>
      </c>
      <c r="U8005" t="s">
        <v>51296</v>
      </c>
      <c r="W8005" t="s">
        <v>40688</v>
      </c>
      <c r="X8005" t="s">
        <v>42679</v>
      </c>
    </row>
    <row r="8006" spans="1:24">
      <c r="A8006">
        <f>HYPERLINK("https://www.philgeps.gov.ph/GEPSNONPILOT/Tender/SplashBidNoticeAbstractUI.aspx?menuIndex=3&amp;refID=7183276&amp;Result=3","7183276")</f>
        <v>0</v>
      </c>
      <c r="B8006" t="s">
        <v>1380</v>
      </c>
      <c r="C8006" t="s">
        <v>11184</v>
      </c>
      <c r="D8006" t="s">
        <v>17200</v>
      </c>
      <c r="E8006" t="s">
        <v>24144</v>
      </c>
      <c r="F8006" t="s">
        <v>29372</v>
      </c>
      <c r="G8006" t="s">
        <v>29380</v>
      </c>
      <c r="H8006" t="s">
        <v>29389</v>
      </c>
      <c r="I8006" t="s">
        <v>10408</v>
      </c>
      <c r="J8006" t="s">
        <v>34701</v>
      </c>
      <c r="K8006" t="s">
        <v>38522</v>
      </c>
      <c r="M8006" t="s">
        <v>40217</v>
      </c>
      <c r="N8006" t="s">
        <v>42669</v>
      </c>
      <c r="O8006" t="s">
        <v>42670</v>
      </c>
      <c r="P8006">
        <v>0</v>
      </c>
      <c r="Q8006">
        <v>0</v>
      </c>
      <c r="R8006" t="s">
        <v>42678</v>
      </c>
      <c r="S8006" t="s">
        <v>42866</v>
      </c>
      <c r="T8006" t="s">
        <v>44355</v>
      </c>
      <c r="U8006" t="s">
        <v>51379</v>
      </c>
      <c r="V8006" t="s">
        <v>57240</v>
      </c>
      <c r="W8006" t="s">
        <v>40217</v>
      </c>
      <c r="X8006" t="s">
        <v>42679</v>
      </c>
    </row>
    <row r="8007" spans="1:24">
      <c r="A8007">
        <f>HYPERLINK("https://www.philgeps.gov.ph/GEPSNONPILOT/Tender/SplashBidNoticeAbstractUI.aspx?menuIndex=3&amp;refID=7183237&amp;Result=3","7183237")</f>
        <v>0</v>
      </c>
      <c r="B8007" t="s">
        <v>1263</v>
      </c>
      <c r="C8007" t="s">
        <v>11185</v>
      </c>
      <c r="E8007" t="s">
        <v>24145</v>
      </c>
      <c r="F8007" t="s">
        <v>29372</v>
      </c>
      <c r="G8007" t="s">
        <v>29380</v>
      </c>
      <c r="H8007" t="s">
        <v>29389</v>
      </c>
      <c r="I8007" t="s">
        <v>10408</v>
      </c>
      <c r="J8007" t="s">
        <v>29541</v>
      </c>
      <c r="K8007" t="s">
        <v>38522</v>
      </c>
      <c r="M8007" t="s">
        <v>40090</v>
      </c>
      <c r="N8007" t="s">
        <v>42669</v>
      </c>
      <c r="O8007" t="s">
        <v>42670</v>
      </c>
      <c r="P8007">
        <v>0</v>
      </c>
      <c r="Q8007">
        <v>3</v>
      </c>
      <c r="R8007" t="s">
        <v>42678</v>
      </c>
      <c r="S8007" t="s">
        <v>42866</v>
      </c>
      <c r="T8007" t="s">
        <v>44365</v>
      </c>
      <c r="U8007" t="s">
        <v>51380</v>
      </c>
      <c r="W8007" t="s">
        <v>40090</v>
      </c>
      <c r="X8007" t="s">
        <v>42679</v>
      </c>
    </row>
    <row r="8008" spans="1:24">
      <c r="A8008">
        <f>HYPERLINK("https://www.philgeps.gov.ph/GEPSNONPILOT/Tender/SplashBidNoticeAbstractUI.aspx?menuIndex=3&amp;refID=7183263&amp;Result=3","7183263")</f>
        <v>0</v>
      </c>
      <c r="B8008" t="s">
        <v>1590</v>
      </c>
      <c r="C8008" t="s">
        <v>11186</v>
      </c>
      <c r="D8008" t="s">
        <v>17155</v>
      </c>
      <c r="E8008" t="s">
        <v>24146</v>
      </c>
      <c r="F8008" t="s">
        <v>29372</v>
      </c>
      <c r="G8008" t="s">
        <v>29380</v>
      </c>
      <c r="H8008" t="s">
        <v>29389</v>
      </c>
      <c r="I8008" t="s">
        <v>10408</v>
      </c>
      <c r="J8008" t="s">
        <v>34702</v>
      </c>
      <c r="K8008" t="s">
        <v>38522</v>
      </c>
      <c r="M8008" t="s">
        <v>40441</v>
      </c>
      <c r="N8008" t="s">
        <v>42669</v>
      </c>
      <c r="O8008" t="s">
        <v>42670</v>
      </c>
      <c r="P8008">
        <v>0</v>
      </c>
      <c r="Q8008">
        <v>0</v>
      </c>
      <c r="R8008" t="s">
        <v>42678</v>
      </c>
      <c r="S8008" t="s">
        <v>42866</v>
      </c>
      <c r="T8008" t="s">
        <v>44478</v>
      </c>
      <c r="U8008" t="s">
        <v>51381</v>
      </c>
      <c r="W8008" t="s">
        <v>40441</v>
      </c>
      <c r="X8008" t="s">
        <v>42679</v>
      </c>
    </row>
    <row r="8009" spans="1:24">
      <c r="A8009">
        <f>HYPERLINK("https://www.philgeps.gov.ph/GEPSNONPILOT/Tender/SplashBidNoticeAbstractUI.aspx?menuIndex=3&amp;refID=7183262&amp;Result=3","7183262")</f>
        <v>0</v>
      </c>
      <c r="B8009" t="s">
        <v>252</v>
      </c>
      <c r="C8009" t="s">
        <v>11187</v>
      </c>
      <c r="D8009" t="s">
        <v>17160</v>
      </c>
      <c r="E8009" t="s">
        <v>24147</v>
      </c>
      <c r="F8009" t="s">
        <v>29372</v>
      </c>
      <c r="G8009" t="s">
        <v>29380</v>
      </c>
      <c r="H8009" t="s">
        <v>29389</v>
      </c>
      <c r="I8009" t="s">
        <v>10408</v>
      </c>
      <c r="J8009" t="s">
        <v>29543</v>
      </c>
      <c r="K8009" t="s">
        <v>38485</v>
      </c>
      <c r="M8009" t="s">
        <v>39011</v>
      </c>
      <c r="N8009" t="s">
        <v>42669</v>
      </c>
      <c r="O8009" t="s">
        <v>42670</v>
      </c>
      <c r="P8009">
        <v>0</v>
      </c>
      <c r="Q8009">
        <v>0</v>
      </c>
      <c r="R8009" t="s">
        <v>42678</v>
      </c>
      <c r="S8009" t="s">
        <v>42866</v>
      </c>
      <c r="T8009" t="s">
        <v>44468</v>
      </c>
      <c r="U8009" t="s">
        <v>51382</v>
      </c>
      <c r="V8009" t="s">
        <v>57241</v>
      </c>
      <c r="W8009" t="s">
        <v>39011</v>
      </c>
      <c r="X8009" t="s">
        <v>42679</v>
      </c>
    </row>
    <row r="8010" spans="1:24">
      <c r="A8010">
        <f>HYPERLINK("https://www.philgeps.gov.ph/GEPSNONPILOT/Tender/SplashBidNoticeAbstractUI.aspx?menuIndex=3&amp;refID=7183220&amp;Result=3","7183220")</f>
        <v>0</v>
      </c>
      <c r="B8010" t="s">
        <v>2514</v>
      </c>
      <c r="C8010" t="s">
        <v>11188</v>
      </c>
      <c r="E8010" t="s">
        <v>19114</v>
      </c>
      <c r="F8010" t="s">
        <v>29372</v>
      </c>
      <c r="G8010" t="s">
        <v>29380</v>
      </c>
      <c r="H8010" t="s">
        <v>11048</v>
      </c>
      <c r="I8010" t="s">
        <v>4709</v>
      </c>
      <c r="J8010" t="s">
        <v>34703</v>
      </c>
      <c r="K8010" t="s">
        <v>38517</v>
      </c>
      <c r="M8010" t="s">
        <v>41474</v>
      </c>
      <c r="N8010" t="s">
        <v>42669</v>
      </c>
      <c r="O8010" t="s">
        <v>42670</v>
      </c>
      <c r="P8010">
        <v>0</v>
      </c>
      <c r="Q8010">
        <v>0</v>
      </c>
      <c r="R8010" t="s">
        <v>42678</v>
      </c>
      <c r="S8010" t="s">
        <v>42866</v>
      </c>
      <c r="T8010" t="s">
        <v>44512</v>
      </c>
      <c r="U8010" t="s">
        <v>51383</v>
      </c>
      <c r="W8010" t="s">
        <v>41474</v>
      </c>
      <c r="X8010" t="s">
        <v>42679</v>
      </c>
    </row>
    <row r="8011" spans="1:24">
      <c r="A8011">
        <f>HYPERLINK("https://www.philgeps.gov.ph/GEPSNONPILOT/Tender/SplashBidNoticeAbstractUI.aspx?menuIndex=3&amp;refID=7183260&amp;Result=3","7183260")</f>
        <v>0</v>
      </c>
      <c r="B8011" t="s">
        <v>2181</v>
      </c>
      <c r="C8011" t="s">
        <v>11189</v>
      </c>
      <c r="E8011" t="s">
        <v>24148</v>
      </c>
      <c r="F8011" t="s">
        <v>29372</v>
      </c>
      <c r="G8011" t="s">
        <v>29380</v>
      </c>
      <c r="H8011" t="s">
        <v>11048</v>
      </c>
      <c r="I8011" t="s">
        <v>4709</v>
      </c>
      <c r="J8011" t="s">
        <v>34704</v>
      </c>
      <c r="K8011" t="s">
        <v>38491</v>
      </c>
      <c r="M8011" t="s">
        <v>41095</v>
      </c>
      <c r="N8011" t="s">
        <v>42669</v>
      </c>
      <c r="O8011" t="s">
        <v>42670</v>
      </c>
      <c r="P8011">
        <v>0</v>
      </c>
      <c r="Q8011">
        <v>1</v>
      </c>
      <c r="R8011" t="s">
        <v>42678</v>
      </c>
      <c r="S8011" t="s">
        <v>42866</v>
      </c>
      <c r="T8011" t="s">
        <v>44685</v>
      </c>
      <c r="U8011" t="s">
        <v>51384</v>
      </c>
      <c r="V8011" t="s">
        <v>57228</v>
      </c>
      <c r="W8011" t="s">
        <v>41095</v>
      </c>
      <c r="X8011" t="s">
        <v>42679</v>
      </c>
    </row>
    <row r="8012" spans="1:24">
      <c r="A8012">
        <f>HYPERLINK("https://www.philgeps.gov.ph/GEPSNONPILOT/Tender/SplashBidNoticeAbstractUI.aspx?menuIndex=3&amp;refID=7183254&amp;Result=3","7183254")</f>
        <v>0</v>
      </c>
      <c r="B8012" t="s">
        <v>1530</v>
      </c>
      <c r="C8012" t="s">
        <v>11190</v>
      </c>
      <c r="D8012" t="s">
        <v>17147</v>
      </c>
      <c r="E8012" t="s">
        <v>21533</v>
      </c>
      <c r="F8012" t="s">
        <v>29372</v>
      </c>
      <c r="G8012" t="s">
        <v>29380</v>
      </c>
      <c r="H8012" t="s">
        <v>11048</v>
      </c>
      <c r="I8012" t="s">
        <v>29452</v>
      </c>
      <c r="J8012" t="s">
        <v>30410</v>
      </c>
      <c r="K8012" t="s">
        <v>38485</v>
      </c>
      <c r="M8012" t="s">
        <v>40379</v>
      </c>
      <c r="N8012" t="s">
        <v>42669</v>
      </c>
      <c r="O8012" t="s">
        <v>42670</v>
      </c>
      <c r="P8012">
        <v>0</v>
      </c>
      <c r="Q8012">
        <v>9</v>
      </c>
      <c r="R8012" t="s">
        <v>42678</v>
      </c>
      <c r="S8012" t="s">
        <v>42866</v>
      </c>
      <c r="T8012" t="s">
        <v>44450</v>
      </c>
      <c r="U8012" t="s">
        <v>51385</v>
      </c>
      <c r="V8012" t="s">
        <v>57242</v>
      </c>
      <c r="W8012" t="s">
        <v>40379</v>
      </c>
      <c r="X8012" t="s">
        <v>42679</v>
      </c>
    </row>
    <row r="8013" spans="1:24">
      <c r="A8013">
        <f>HYPERLINK("https://www.philgeps.gov.ph/GEPSNONPILOT/Tender/SplashBidNoticeAbstractUI.aspx?menuIndex=3&amp;refID=7183253&amp;Result=3","7183253")</f>
        <v>0</v>
      </c>
      <c r="B8013" t="s">
        <v>1259</v>
      </c>
      <c r="C8013" t="s">
        <v>11191</v>
      </c>
      <c r="D8013" t="s">
        <v>17170</v>
      </c>
      <c r="E8013" t="s">
        <v>24149</v>
      </c>
      <c r="F8013" t="s">
        <v>29372</v>
      </c>
      <c r="G8013" t="s">
        <v>29380</v>
      </c>
      <c r="H8013" t="s">
        <v>11048</v>
      </c>
      <c r="I8013" t="s">
        <v>3695</v>
      </c>
      <c r="J8013" t="s">
        <v>34705</v>
      </c>
      <c r="K8013" t="s">
        <v>38488</v>
      </c>
      <c r="M8013" t="s">
        <v>40086</v>
      </c>
      <c r="N8013" t="s">
        <v>42669</v>
      </c>
      <c r="O8013" t="s">
        <v>42670</v>
      </c>
      <c r="Q8013">
        <v>6</v>
      </c>
      <c r="R8013" t="s">
        <v>42678</v>
      </c>
      <c r="S8013" t="s">
        <v>42912</v>
      </c>
      <c r="T8013" t="s">
        <v>44558</v>
      </c>
      <c r="U8013" t="s">
        <v>51377</v>
      </c>
      <c r="V8013" t="s">
        <v>56675</v>
      </c>
      <c r="W8013" t="s">
        <v>40086</v>
      </c>
      <c r="X8013" t="s">
        <v>42679</v>
      </c>
    </row>
    <row r="8014" spans="1:24">
      <c r="A8014">
        <f>HYPERLINK("https://www.philgeps.gov.ph/GEPSNONPILOT/Tender/SplashBidNoticeAbstractUI.aspx?menuIndex=3&amp;refID=7183268&amp;Result=3","7183268")</f>
        <v>0</v>
      </c>
      <c r="B8014" t="s">
        <v>1817</v>
      </c>
      <c r="C8014" t="s">
        <v>11192</v>
      </c>
      <c r="D8014" t="s">
        <v>17153</v>
      </c>
      <c r="E8014" t="s">
        <v>24150</v>
      </c>
      <c r="F8014" t="s">
        <v>29372</v>
      </c>
      <c r="G8014" t="s">
        <v>29380</v>
      </c>
      <c r="H8014" t="s">
        <v>11048</v>
      </c>
      <c r="I8014" t="s">
        <v>3597</v>
      </c>
      <c r="J8014" t="s">
        <v>34706</v>
      </c>
      <c r="K8014" t="s">
        <v>38496</v>
      </c>
      <c r="M8014" t="s">
        <v>40688</v>
      </c>
      <c r="N8014" t="s">
        <v>42669</v>
      </c>
      <c r="O8014" t="s">
        <v>42670</v>
      </c>
      <c r="P8014">
        <v>0</v>
      </c>
      <c r="Q8014">
        <v>2</v>
      </c>
      <c r="R8014" t="s">
        <v>42678</v>
      </c>
      <c r="S8014" t="s">
        <v>42866</v>
      </c>
      <c r="T8014" t="s">
        <v>44450</v>
      </c>
      <c r="U8014" t="s">
        <v>51296</v>
      </c>
      <c r="W8014" t="s">
        <v>40688</v>
      </c>
      <c r="X8014" t="s">
        <v>42679</v>
      </c>
    </row>
    <row r="8015" spans="1:24">
      <c r="A8015">
        <f>HYPERLINK("https://www.philgeps.gov.ph/GEPSNONPILOT/Tender/SplashBidNoticeAbstractUI.aspx?menuIndex=3&amp;refID=7183250&amp;Result=3","7183250")</f>
        <v>0</v>
      </c>
      <c r="B8015" t="s">
        <v>2515</v>
      </c>
      <c r="C8015" t="s">
        <v>11193</v>
      </c>
      <c r="D8015" t="s">
        <v>17169</v>
      </c>
      <c r="E8015" t="s">
        <v>24151</v>
      </c>
      <c r="F8015" t="s">
        <v>29372</v>
      </c>
      <c r="G8015" t="s">
        <v>29380</v>
      </c>
      <c r="H8015" t="s">
        <v>29389</v>
      </c>
      <c r="I8015" t="s">
        <v>29439</v>
      </c>
      <c r="J8015" t="s">
        <v>34707</v>
      </c>
      <c r="K8015" t="s">
        <v>38518</v>
      </c>
      <c r="M8015" t="s">
        <v>41475</v>
      </c>
      <c r="N8015" t="s">
        <v>42669</v>
      </c>
      <c r="O8015" t="s">
        <v>42670</v>
      </c>
      <c r="P8015">
        <v>0</v>
      </c>
      <c r="Q8015">
        <v>3</v>
      </c>
      <c r="R8015" t="s">
        <v>42678</v>
      </c>
      <c r="S8015" t="s">
        <v>42866</v>
      </c>
      <c r="T8015" t="s">
        <v>44493</v>
      </c>
      <c r="U8015" t="s">
        <v>51386</v>
      </c>
      <c r="W8015" t="s">
        <v>41475</v>
      </c>
      <c r="X8015" t="s">
        <v>42679</v>
      </c>
    </row>
    <row r="8016" spans="1:24">
      <c r="A8016">
        <f>HYPERLINK("https://www.philgeps.gov.ph/GEPSNONPILOT/Tender/SplashBidNoticeAbstractUI.aspx?menuIndex=3&amp;refID=7183247&amp;Result=3","7183247")</f>
        <v>0</v>
      </c>
      <c r="B8016" t="s">
        <v>91</v>
      </c>
      <c r="C8016" t="s">
        <v>11194</v>
      </c>
      <c r="D8016" t="s">
        <v>17176</v>
      </c>
      <c r="E8016" t="s">
        <v>24152</v>
      </c>
      <c r="F8016" t="s">
        <v>29372</v>
      </c>
      <c r="G8016" t="s">
        <v>29380</v>
      </c>
      <c r="H8016" t="s">
        <v>29389</v>
      </c>
      <c r="I8016" t="s">
        <v>10408</v>
      </c>
      <c r="J8016" t="s">
        <v>34708</v>
      </c>
      <c r="K8016" t="s">
        <v>38689</v>
      </c>
      <c r="M8016" t="s">
        <v>41447</v>
      </c>
      <c r="N8016" t="s">
        <v>42669</v>
      </c>
      <c r="O8016" t="s">
        <v>42670</v>
      </c>
      <c r="P8016">
        <v>0</v>
      </c>
      <c r="Q8016">
        <v>0</v>
      </c>
      <c r="R8016" t="s">
        <v>42678</v>
      </c>
      <c r="S8016" t="s">
        <v>42866</v>
      </c>
      <c r="T8016" t="s">
        <v>44442</v>
      </c>
      <c r="U8016" t="s">
        <v>51387</v>
      </c>
      <c r="W8016" t="s">
        <v>41447</v>
      </c>
      <c r="X8016" t="s">
        <v>42679</v>
      </c>
    </row>
    <row r="8017" spans="1:24">
      <c r="A8017">
        <f>HYPERLINK("https://www.philgeps.gov.ph/GEPSNONPILOT/Tender/SplashBidNoticeAbstractUI.aspx?menuIndex=3&amp;refID=7183270&amp;Result=3","7183270")</f>
        <v>0</v>
      </c>
      <c r="B8017" t="s">
        <v>2516</v>
      </c>
      <c r="C8017" t="s">
        <v>11195</v>
      </c>
      <c r="D8017" t="s">
        <v>17141</v>
      </c>
      <c r="E8017" t="s">
        <v>24153</v>
      </c>
      <c r="F8017" t="s">
        <v>29373</v>
      </c>
      <c r="G8017" t="s">
        <v>29379</v>
      </c>
      <c r="H8017" t="s">
        <v>11048</v>
      </c>
      <c r="I8017" t="s">
        <v>29409</v>
      </c>
      <c r="J8017" t="s">
        <v>29619</v>
      </c>
      <c r="K8017" t="s">
        <v>38528</v>
      </c>
      <c r="M8017" t="s">
        <v>41476</v>
      </c>
      <c r="N8017" t="s">
        <v>42669</v>
      </c>
      <c r="O8017" t="s">
        <v>42670</v>
      </c>
      <c r="P8017">
        <v>0</v>
      </c>
      <c r="Q8017">
        <v>7</v>
      </c>
      <c r="R8017" t="s">
        <v>42678</v>
      </c>
      <c r="S8017" t="s">
        <v>42866</v>
      </c>
      <c r="T8017" t="s">
        <v>44454</v>
      </c>
      <c r="U8017" t="s">
        <v>51388</v>
      </c>
      <c r="W8017" t="s">
        <v>41476</v>
      </c>
      <c r="X8017" t="s">
        <v>42679</v>
      </c>
    </row>
    <row r="8018" spans="1:24">
      <c r="A8018">
        <f>HYPERLINK("https://www.philgeps.gov.ph/GEPSNONPILOT/Tender/SplashBidNoticeAbstractUI.aspx?menuIndex=3&amp;refID=7183258&amp;Result=3","7183258")</f>
        <v>0</v>
      </c>
      <c r="B8018" t="s">
        <v>1817</v>
      </c>
      <c r="C8018" t="s">
        <v>11196</v>
      </c>
      <c r="D8018" t="s">
        <v>17153</v>
      </c>
      <c r="E8018" t="s">
        <v>24154</v>
      </c>
      <c r="F8018" t="s">
        <v>29372</v>
      </c>
      <c r="G8018" t="s">
        <v>29380</v>
      </c>
      <c r="H8018" t="s">
        <v>11048</v>
      </c>
      <c r="I8018" t="s">
        <v>3597</v>
      </c>
      <c r="J8018" t="s">
        <v>30335</v>
      </c>
      <c r="K8018" t="s">
        <v>38496</v>
      </c>
      <c r="M8018" t="s">
        <v>40688</v>
      </c>
      <c r="N8018" t="s">
        <v>42669</v>
      </c>
      <c r="O8018" t="s">
        <v>42670</v>
      </c>
      <c r="P8018">
        <v>0</v>
      </c>
      <c r="Q8018">
        <v>2</v>
      </c>
      <c r="R8018" t="s">
        <v>42678</v>
      </c>
      <c r="S8018" t="s">
        <v>42866</v>
      </c>
      <c r="T8018" t="s">
        <v>44450</v>
      </c>
      <c r="U8018" t="s">
        <v>51296</v>
      </c>
      <c r="W8018" t="s">
        <v>40688</v>
      </c>
      <c r="X8018" t="s">
        <v>42679</v>
      </c>
    </row>
    <row r="8019" spans="1:24">
      <c r="A8019">
        <f>HYPERLINK("https://www.philgeps.gov.ph/GEPSNONPILOT/Tender/SplashBidNoticeAbstractUI.aspx?menuIndex=3&amp;refID=7183277&amp;Result=3","7183277")</f>
        <v>0</v>
      </c>
      <c r="B8019" t="s">
        <v>2510</v>
      </c>
      <c r="C8019" t="s">
        <v>11197</v>
      </c>
      <c r="E8019" t="s">
        <v>17965</v>
      </c>
      <c r="F8019" t="s">
        <v>29372</v>
      </c>
      <c r="G8019" t="s">
        <v>29380</v>
      </c>
      <c r="H8019" t="s">
        <v>11048</v>
      </c>
      <c r="I8019" t="s">
        <v>29429</v>
      </c>
      <c r="J8019" t="s">
        <v>29526</v>
      </c>
      <c r="K8019" t="s">
        <v>38490</v>
      </c>
      <c r="L8019" t="s">
        <v>2510</v>
      </c>
      <c r="M8019" t="s">
        <v>41469</v>
      </c>
      <c r="N8019" t="s">
        <v>42669</v>
      </c>
      <c r="O8019" t="s">
        <v>42670</v>
      </c>
      <c r="P8019">
        <v>0</v>
      </c>
      <c r="Q8019">
        <v>0</v>
      </c>
      <c r="R8019" t="s">
        <v>42678</v>
      </c>
      <c r="S8019" t="s">
        <v>42866</v>
      </c>
      <c r="T8019" t="s">
        <v>44430</v>
      </c>
      <c r="U8019" t="s">
        <v>51389</v>
      </c>
      <c r="W8019" t="s">
        <v>41469</v>
      </c>
      <c r="X8019" t="s">
        <v>42679</v>
      </c>
    </row>
    <row r="8020" spans="1:24">
      <c r="A8020">
        <f>HYPERLINK("https://www.philgeps.gov.ph/GEPSNONPILOT/Tender/SplashBidNoticeAbstractUI.aspx?menuIndex=3&amp;refID=7183208&amp;Result=3","7183208")</f>
        <v>0</v>
      </c>
      <c r="B8020" t="s">
        <v>414</v>
      </c>
      <c r="C8020" t="s">
        <v>11198</v>
      </c>
      <c r="D8020" t="s">
        <v>17172</v>
      </c>
      <c r="E8020" t="s">
        <v>24155</v>
      </c>
      <c r="F8020" t="s">
        <v>29373</v>
      </c>
      <c r="G8020" t="s">
        <v>29380</v>
      </c>
      <c r="H8020" t="s">
        <v>29389</v>
      </c>
      <c r="I8020" t="s">
        <v>10408</v>
      </c>
      <c r="J8020" t="s">
        <v>34709</v>
      </c>
      <c r="K8020" t="s">
        <v>38533</v>
      </c>
      <c r="M8020" t="s">
        <v>39178</v>
      </c>
      <c r="N8020" t="s">
        <v>42669</v>
      </c>
      <c r="O8020" t="s">
        <v>42670</v>
      </c>
      <c r="P8020">
        <v>0</v>
      </c>
      <c r="Q8020">
        <v>4</v>
      </c>
      <c r="R8020" t="s">
        <v>42678</v>
      </c>
      <c r="S8020" t="s">
        <v>42866</v>
      </c>
      <c r="T8020" t="s">
        <v>44517</v>
      </c>
      <c r="U8020" t="s">
        <v>45780</v>
      </c>
      <c r="V8020" t="s">
        <v>56457</v>
      </c>
      <c r="W8020" t="s">
        <v>39178</v>
      </c>
      <c r="X8020" t="s">
        <v>42679</v>
      </c>
    </row>
    <row r="8021" spans="1:24">
      <c r="A8021">
        <f>HYPERLINK("https://www.philgeps.gov.ph/GEPSNONPILOT/Tender/SplashBidNoticeAbstractUI.aspx?menuIndex=3&amp;refID=7183206&amp;Result=3","7183206")</f>
        <v>0</v>
      </c>
      <c r="B8021" t="s">
        <v>2512</v>
      </c>
      <c r="C8021" t="s">
        <v>11199</v>
      </c>
      <c r="D8021" t="s">
        <v>17169</v>
      </c>
      <c r="E8021" t="s">
        <v>17267</v>
      </c>
      <c r="F8021" t="s">
        <v>29372</v>
      </c>
      <c r="G8021" t="s">
        <v>29380</v>
      </c>
      <c r="H8021" t="s">
        <v>29389</v>
      </c>
      <c r="I8021" t="s">
        <v>10408</v>
      </c>
      <c r="J8021" t="s">
        <v>34710</v>
      </c>
      <c r="K8021" t="s">
        <v>38485</v>
      </c>
      <c r="M8021" t="s">
        <v>41472</v>
      </c>
      <c r="N8021" t="s">
        <v>42669</v>
      </c>
      <c r="O8021" t="s">
        <v>42670</v>
      </c>
      <c r="P8021">
        <v>0</v>
      </c>
      <c r="Q8021">
        <v>0</v>
      </c>
      <c r="R8021" t="s">
        <v>42678</v>
      </c>
      <c r="S8021" t="s">
        <v>42866</v>
      </c>
      <c r="T8021" t="s">
        <v>44493</v>
      </c>
      <c r="U8021" t="s">
        <v>51366</v>
      </c>
      <c r="W8021" t="s">
        <v>41472</v>
      </c>
      <c r="X8021" t="s">
        <v>42679</v>
      </c>
    </row>
    <row r="8022" spans="1:24">
      <c r="A8022">
        <f>HYPERLINK("https://www.philgeps.gov.ph/GEPSNONPILOT/Tender/SplashBidNoticeAbstractUI.aspx?menuIndex=3&amp;refID=7183205&amp;Result=3","7183205")</f>
        <v>0</v>
      </c>
      <c r="B8022" t="s">
        <v>252</v>
      </c>
      <c r="C8022" t="s">
        <v>11200</v>
      </c>
      <c r="D8022" t="s">
        <v>17160</v>
      </c>
      <c r="E8022" t="s">
        <v>24156</v>
      </c>
      <c r="F8022" t="s">
        <v>29372</v>
      </c>
      <c r="G8022" t="s">
        <v>29380</v>
      </c>
      <c r="H8022" t="s">
        <v>29389</v>
      </c>
      <c r="I8022" t="s">
        <v>10408</v>
      </c>
      <c r="J8022" t="s">
        <v>29543</v>
      </c>
      <c r="K8022" t="s">
        <v>38485</v>
      </c>
      <c r="M8022" t="s">
        <v>39011</v>
      </c>
      <c r="N8022" t="s">
        <v>42669</v>
      </c>
      <c r="O8022" t="s">
        <v>42670</v>
      </c>
      <c r="P8022">
        <v>0</v>
      </c>
      <c r="Q8022">
        <v>0</v>
      </c>
      <c r="R8022" t="s">
        <v>42678</v>
      </c>
      <c r="S8022" t="s">
        <v>42866</v>
      </c>
      <c r="T8022" t="s">
        <v>44468</v>
      </c>
      <c r="U8022" t="s">
        <v>51390</v>
      </c>
      <c r="V8022" t="s">
        <v>57243</v>
      </c>
      <c r="W8022" t="s">
        <v>39011</v>
      </c>
      <c r="X8022" t="s">
        <v>42679</v>
      </c>
    </row>
    <row r="8023" spans="1:24">
      <c r="A8023">
        <f>HYPERLINK("https://www.philgeps.gov.ph/GEPSNONPILOT/Tender/SplashBidNoticeAbstractUI.aspx?menuIndex=3&amp;refID=7183272&amp;Result=3","7183272")</f>
        <v>0</v>
      </c>
      <c r="B8023" t="s">
        <v>2181</v>
      </c>
      <c r="C8023" t="s">
        <v>11201</v>
      </c>
      <c r="E8023" t="s">
        <v>24157</v>
      </c>
      <c r="F8023" t="s">
        <v>29372</v>
      </c>
      <c r="G8023" t="s">
        <v>29380</v>
      </c>
      <c r="H8023" t="s">
        <v>11048</v>
      </c>
      <c r="I8023" t="s">
        <v>4709</v>
      </c>
      <c r="J8023" t="s">
        <v>34711</v>
      </c>
      <c r="K8023" t="s">
        <v>38491</v>
      </c>
      <c r="M8023" t="s">
        <v>41095</v>
      </c>
      <c r="N8023" t="s">
        <v>42669</v>
      </c>
      <c r="O8023" t="s">
        <v>42670</v>
      </c>
      <c r="P8023">
        <v>0</v>
      </c>
      <c r="Q8023">
        <v>2</v>
      </c>
      <c r="R8023" t="s">
        <v>42678</v>
      </c>
      <c r="S8023" t="s">
        <v>42866</v>
      </c>
      <c r="T8023" t="s">
        <v>44685</v>
      </c>
      <c r="U8023" t="s">
        <v>51391</v>
      </c>
      <c r="V8023" t="s">
        <v>57228</v>
      </c>
      <c r="W8023" t="s">
        <v>41095</v>
      </c>
      <c r="X8023" t="s">
        <v>42679</v>
      </c>
    </row>
    <row r="8024" spans="1:24">
      <c r="A8024">
        <f>HYPERLINK("https://www.philgeps.gov.ph/GEPSNONPILOT/Tender/SplashBidNoticeAbstractUI.aspx?menuIndex=3&amp;refID=7183207&amp;Result=3","7183207")</f>
        <v>0</v>
      </c>
      <c r="B8024" t="s">
        <v>844</v>
      </c>
      <c r="C8024" t="s">
        <v>11202</v>
      </c>
      <c r="D8024" t="s">
        <v>17143</v>
      </c>
      <c r="E8024" t="s">
        <v>21025</v>
      </c>
      <c r="F8024" t="s">
        <v>29372</v>
      </c>
      <c r="G8024" t="s">
        <v>29380</v>
      </c>
      <c r="H8024" t="s">
        <v>11048</v>
      </c>
      <c r="I8024" t="s">
        <v>3670</v>
      </c>
      <c r="J8024" t="s">
        <v>32414</v>
      </c>
      <c r="K8024" t="s">
        <v>38485</v>
      </c>
      <c r="M8024" t="s">
        <v>39634</v>
      </c>
      <c r="N8024" t="s">
        <v>42669</v>
      </c>
      <c r="O8024" t="s">
        <v>42670</v>
      </c>
      <c r="P8024">
        <v>0</v>
      </c>
      <c r="Q8024">
        <v>5</v>
      </c>
      <c r="R8024" t="s">
        <v>42678</v>
      </c>
      <c r="S8024" t="s">
        <v>42866</v>
      </c>
      <c r="T8024" t="s">
        <v>44429</v>
      </c>
      <c r="U8024" t="s">
        <v>51392</v>
      </c>
      <c r="W8024" t="s">
        <v>39634</v>
      </c>
      <c r="X8024" t="s">
        <v>42679</v>
      </c>
    </row>
    <row r="8025" spans="1:24">
      <c r="A8025">
        <f>HYPERLINK("https://www.philgeps.gov.ph/GEPSNONPILOT/Tender/SplashBidNoticeAbstractUI.aspx?menuIndex=3&amp;refID=7181977&amp;Result=3","7181977")</f>
        <v>0</v>
      </c>
      <c r="B8025" t="s">
        <v>2397</v>
      </c>
      <c r="C8025" t="s">
        <v>11203</v>
      </c>
      <c r="D8025" t="s">
        <v>17163</v>
      </c>
      <c r="E8025" t="s">
        <v>24158</v>
      </c>
      <c r="F8025" t="s">
        <v>29372</v>
      </c>
      <c r="G8025" t="s">
        <v>29380</v>
      </c>
      <c r="H8025" t="s">
        <v>29389</v>
      </c>
      <c r="I8025" t="s">
        <v>4709</v>
      </c>
      <c r="J8025" t="s">
        <v>34712</v>
      </c>
      <c r="K8025" t="s">
        <v>38485</v>
      </c>
      <c r="M8025" t="s">
        <v>41343</v>
      </c>
      <c r="N8025" t="s">
        <v>42669</v>
      </c>
      <c r="O8025" t="s">
        <v>42670</v>
      </c>
      <c r="P8025">
        <v>0</v>
      </c>
      <c r="Q8025">
        <v>3</v>
      </c>
      <c r="R8025" t="s">
        <v>42678</v>
      </c>
      <c r="S8025" t="s">
        <v>42866</v>
      </c>
      <c r="T8025" t="s">
        <v>44488</v>
      </c>
      <c r="U8025" t="s">
        <v>51393</v>
      </c>
      <c r="W8025" t="s">
        <v>41343</v>
      </c>
      <c r="X8025" t="s">
        <v>42679</v>
      </c>
    </row>
    <row r="8026" spans="1:24">
      <c r="A8026">
        <f>HYPERLINK("https://www.philgeps.gov.ph/GEPSNONPILOT/Tender/SplashBidNoticeAbstractUI.aspx?menuIndex=3&amp;refID=7181978&amp;Result=3","7181978")</f>
        <v>0</v>
      </c>
      <c r="B8026" t="s">
        <v>1417</v>
      </c>
      <c r="C8026" t="s">
        <v>11204</v>
      </c>
      <c r="D8026" t="s">
        <v>17161</v>
      </c>
      <c r="E8026" t="s">
        <v>24159</v>
      </c>
      <c r="F8026" t="s">
        <v>29372</v>
      </c>
      <c r="G8026" t="s">
        <v>29380</v>
      </c>
      <c r="H8026" t="s">
        <v>11048</v>
      </c>
      <c r="I8026" t="s">
        <v>4709</v>
      </c>
      <c r="J8026" t="s">
        <v>32104</v>
      </c>
      <c r="K8026" t="s">
        <v>38510</v>
      </c>
      <c r="M8026" t="s">
        <v>40256</v>
      </c>
      <c r="N8026" t="s">
        <v>42669</v>
      </c>
      <c r="O8026" t="s">
        <v>42670</v>
      </c>
      <c r="P8026">
        <v>0</v>
      </c>
      <c r="Q8026">
        <v>0</v>
      </c>
      <c r="R8026" t="s">
        <v>42678</v>
      </c>
      <c r="S8026" t="s">
        <v>42866</v>
      </c>
      <c r="T8026" t="s">
        <v>44488</v>
      </c>
      <c r="U8026" t="s">
        <v>51394</v>
      </c>
      <c r="W8026" t="s">
        <v>40256</v>
      </c>
      <c r="X8026" t="s">
        <v>42679</v>
      </c>
    </row>
    <row r="8027" spans="1:24">
      <c r="A8027">
        <f>HYPERLINK("https://www.philgeps.gov.ph/GEPSNONPILOT/Tender/SplashBidNoticeAbstractUI.aspx?menuIndex=3&amp;refID=7181967&amp;Result=3","7181967")</f>
        <v>0</v>
      </c>
      <c r="B8027" t="s">
        <v>807</v>
      </c>
      <c r="C8027" t="s">
        <v>11205</v>
      </c>
      <c r="D8027" t="s">
        <v>17198</v>
      </c>
      <c r="E8027" t="s">
        <v>24160</v>
      </c>
      <c r="F8027" t="s">
        <v>29372</v>
      </c>
      <c r="G8027" t="s">
        <v>29379</v>
      </c>
      <c r="H8027" t="s">
        <v>11048</v>
      </c>
      <c r="I8027" t="s">
        <v>29496</v>
      </c>
      <c r="J8027" t="s">
        <v>34713</v>
      </c>
      <c r="K8027" t="s">
        <v>38518</v>
      </c>
      <c r="M8027" t="s">
        <v>41477</v>
      </c>
      <c r="N8027" t="s">
        <v>42669</v>
      </c>
      <c r="O8027" t="s">
        <v>42670</v>
      </c>
      <c r="Q8027">
        <v>0</v>
      </c>
      <c r="R8027" t="s">
        <v>42678</v>
      </c>
      <c r="S8027" t="s">
        <v>42913</v>
      </c>
      <c r="T8027" t="s">
        <v>44432</v>
      </c>
      <c r="U8027" t="s">
        <v>51395</v>
      </c>
      <c r="V8027" t="s">
        <v>57244</v>
      </c>
      <c r="W8027" t="s">
        <v>41477</v>
      </c>
      <c r="X8027" t="s">
        <v>42679</v>
      </c>
    </row>
    <row r="8028" spans="1:24">
      <c r="A8028">
        <f>HYPERLINK("https://www.philgeps.gov.ph/GEPSNONPILOT/Tender/SplashBidNoticeAbstractUI.aspx?menuIndex=3&amp;refID=7181518&amp;Result=3","7181518")</f>
        <v>0</v>
      </c>
      <c r="B8028" t="s">
        <v>2517</v>
      </c>
      <c r="C8028" t="s">
        <v>11206</v>
      </c>
      <c r="D8028" t="s">
        <v>17204</v>
      </c>
      <c r="E8028" t="s">
        <v>18026</v>
      </c>
      <c r="F8028" t="s">
        <v>29372</v>
      </c>
      <c r="G8028" t="s">
        <v>29380</v>
      </c>
      <c r="H8028" t="s">
        <v>11048</v>
      </c>
      <c r="I8028" t="s">
        <v>29487</v>
      </c>
      <c r="J8028" t="s">
        <v>29571</v>
      </c>
      <c r="K8028" t="s">
        <v>38528</v>
      </c>
      <c r="M8028" t="s">
        <v>41478</v>
      </c>
      <c r="N8028" t="s">
        <v>42669</v>
      </c>
      <c r="O8028" t="s">
        <v>42670</v>
      </c>
      <c r="P8028">
        <v>0</v>
      </c>
      <c r="Q8028">
        <v>0</v>
      </c>
      <c r="R8028" t="s">
        <v>42678</v>
      </c>
      <c r="S8028" t="s">
        <v>42866</v>
      </c>
      <c r="T8028" t="s">
        <v>44417</v>
      </c>
      <c r="U8028" t="s">
        <v>51396</v>
      </c>
      <c r="V8028" t="s">
        <v>57245</v>
      </c>
      <c r="W8028" t="s">
        <v>41478</v>
      </c>
      <c r="X8028" t="s">
        <v>42679</v>
      </c>
    </row>
    <row r="8029" spans="1:24">
      <c r="A8029">
        <f>HYPERLINK("https://www.philgeps.gov.ph/GEPSNONPILOT/Tender/SplashBidNoticeAbstractUI.aspx?menuIndex=3&amp;refID=7181465&amp;Result=3","7181465")</f>
        <v>0</v>
      </c>
      <c r="B8029" t="s">
        <v>2373</v>
      </c>
      <c r="C8029" t="s">
        <v>11207</v>
      </c>
      <c r="D8029" t="s">
        <v>17172</v>
      </c>
      <c r="E8029" t="s">
        <v>23630</v>
      </c>
      <c r="F8029" t="s">
        <v>29373</v>
      </c>
      <c r="G8029" t="s">
        <v>29383</v>
      </c>
      <c r="H8029" t="s">
        <v>29389</v>
      </c>
      <c r="I8029" t="s">
        <v>4709</v>
      </c>
      <c r="J8029" t="s">
        <v>34714</v>
      </c>
      <c r="K8029" t="s">
        <v>38491</v>
      </c>
      <c r="L8029" t="s">
        <v>2373</v>
      </c>
      <c r="M8029" t="s">
        <v>41314</v>
      </c>
      <c r="N8029" t="s">
        <v>42669</v>
      </c>
      <c r="O8029" t="s">
        <v>42670</v>
      </c>
      <c r="P8029">
        <v>0</v>
      </c>
      <c r="Q8029">
        <v>0</v>
      </c>
      <c r="R8029" t="s">
        <v>42678</v>
      </c>
      <c r="S8029" t="s">
        <v>42866</v>
      </c>
      <c r="T8029" t="s">
        <v>44470</v>
      </c>
      <c r="U8029" t="s">
        <v>51397</v>
      </c>
      <c r="W8029" t="s">
        <v>41314</v>
      </c>
      <c r="X8029" t="s">
        <v>42679</v>
      </c>
    </row>
    <row r="8030" spans="1:24">
      <c r="A8030">
        <f>HYPERLINK("https://www.philgeps.gov.ph/GEPSNONPILOT/Tender/SplashBidNoticeAbstractUI.aspx?menuIndex=3&amp;refID=7183245&amp;Result=3","7183245")</f>
        <v>0</v>
      </c>
      <c r="B8030" t="s">
        <v>2518</v>
      </c>
      <c r="C8030" t="s">
        <v>11208</v>
      </c>
      <c r="D8030" t="s">
        <v>17144</v>
      </c>
      <c r="E8030" t="s">
        <v>24161</v>
      </c>
      <c r="F8030" t="s">
        <v>29372</v>
      </c>
      <c r="G8030" t="s">
        <v>29379</v>
      </c>
      <c r="H8030" t="s">
        <v>11048</v>
      </c>
      <c r="I8030" t="s">
        <v>29408</v>
      </c>
      <c r="J8030" t="s">
        <v>34715</v>
      </c>
      <c r="K8030" t="s">
        <v>38491</v>
      </c>
      <c r="M8030" t="s">
        <v>41479</v>
      </c>
      <c r="N8030" t="s">
        <v>42669</v>
      </c>
      <c r="O8030" t="s">
        <v>42670</v>
      </c>
      <c r="P8030">
        <v>0</v>
      </c>
      <c r="Q8030">
        <v>0</v>
      </c>
      <c r="R8030" t="s">
        <v>42678</v>
      </c>
      <c r="S8030" t="s">
        <v>42866</v>
      </c>
      <c r="T8030" t="s">
        <v>44491</v>
      </c>
      <c r="U8030" t="s">
        <v>51398</v>
      </c>
      <c r="W8030" t="s">
        <v>41479</v>
      </c>
      <c r="X8030" t="s">
        <v>42679</v>
      </c>
    </row>
    <row r="8031" spans="1:24">
      <c r="A8031">
        <f>HYPERLINK("https://www.philgeps.gov.ph/GEPSNONPILOT/Tender/SplashBidNoticeAbstractUI.aspx?menuIndex=3&amp;refID=7181968&amp;Result=3","7181968")</f>
        <v>0</v>
      </c>
      <c r="B8031" t="s">
        <v>899</v>
      </c>
      <c r="C8031" t="s">
        <v>9525</v>
      </c>
      <c r="D8031" t="s">
        <v>17213</v>
      </c>
      <c r="E8031" t="s">
        <v>24162</v>
      </c>
      <c r="F8031" t="s">
        <v>29372</v>
      </c>
      <c r="G8031" t="s">
        <v>29379</v>
      </c>
      <c r="H8031" t="s">
        <v>11048</v>
      </c>
      <c r="I8031" t="s">
        <v>3695</v>
      </c>
      <c r="J8031" t="s">
        <v>34716</v>
      </c>
      <c r="K8031" t="s">
        <v>38488</v>
      </c>
      <c r="M8031" t="s">
        <v>39692</v>
      </c>
      <c r="N8031" t="s">
        <v>42669</v>
      </c>
      <c r="O8031" t="s">
        <v>42670</v>
      </c>
      <c r="P8031">
        <v>0</v>
      </c>
      <c r="Q8031">
        <v>0</v>
      </c>
      <c r="R8031" t="s">
        <v>42678</v>
      </c>
      <c r="S8031" t="s">
        <v>42866</v>
      </c>
      <c r="T8031" t="s">
        <v>44491</v>
      </c>
      <c r="U8031" t="s">
        <v>51399</v>
      </c>
      <c r="W8031" t="s">
        <v>39692</v>
      </c>
      <c r="X8031" t="s">
        <v>42679</v>
      </c>
    </row>
    <row r="8032" spans="1:24">
      <c r="A8032">
        <f>HYPERLINK("https://www.philgeps.gov.ph/GEPSNONPILOT/Tender/SplashBidNoticeAbstractUI.aspx?menuIndex=3&amp;refID=7181457&amp;Result=3","7181457")</f>
        <v>0</v>
      </c>
      <c r="B8032" t="s">
        <v>1978</v>
      </c>
      <c r="C8032" t="s">
        <v>11209</v>
      </c>
      <c r="D8032" t="s">
        <v>17164</v>
      </c>
      <c r="E8032" t="s">
        <v>24163</v>
      </c>
      <c r="F8032" t="s">
        <v>29372</v>
      </c>
      <c r="G8032" t="s">
        <v>29380</v>
      </c>
      <c r="H8032" t="s">
        <v>29389</v>
      </c>
      <c r="I8032" t="s">
        <v>10408</v>
      </c>
      <c r="J8032" t="s">
        <v>32586</v>
      </c>
      <c r="K8032" t="s">
        <v>38485</v>
      </c>
      <c r="M8032" t="s">
        <v>40865</v>
      </c>
      <c r="N8032" t="s">
        <v>42669</v>
      </c>
      <c r="O8032" t="s">
        <v>42670</v>
      </c>
      <c r="P8032">
        <v>0</v>
      </c>
      <c r="Q8032">
        <v>0</v>
      </c>
      <c r="R8032" t="s">
        <v>42678</v>
      </c>
      <c r="S8032" t="s">
        <v>42866</v>
      </c>
      <c r="T8032" t="s">
        <v>44517</v>
      </c>
      <c r="U8032" t="s">
        <v>51400</v>
      </c>
      <c r="W8032" t="s">
        <v>40865</v>
      </c>
      <c r="X8032" t="s">
        <v>42679</v>
      </c>
    </row>
    <row r="8033" spans="1:24">
      <c r="A8033">
        <f>HYPERLINK("https://www.philgeps.gov.ph/GEPSNONPILOT/Tender/SplashBidNoticeAbstractUI.aspx?menuIndex=3&amp;refID=7181397&amp;Result=3","7181397")</f>
        <v>0</v>
      </c>
      <c r="B8033" t="s">
        <v>2217</v>
      </c>
      <c r="C8033" t="s">
        <v>11210</v>
      </c>
      <c r="D8033" t="s">
        <v>17168</v>
      </c>
      <c r="E8033" t="s">
        <v>24164</v>
      </c>
      <c r="F8033" t="s">
        <v>29372</v>
      </c>
      <c r="G8033" t="s">
        <v>29379</v>
      </c>
      <c r="H8033" t="s">
        <v>11048</v>
      </c>
      <c r="I8033" t="s">
        <v>3670</v>
      </c>
      <c r="J8033" t="s">
        <v>29555</v>
      </c>
      <c r="K8033" t="s">
        <v>38488</v>
      </c>
      <c r="M8033" t="s">
        <v>41134</v>
      </c>
      <c r="N8033" t="s">
        <v>42669</v>
      </c>
      <c r="O8033" t="s">
        <v>42670</v>
      </c>
      <c r="P8033">
        <v>0</v>
      </c>
      <c r="Q8033">
        <v>4</v>
      </c>
      <c r="R8033" t="s">
        <v>42678</v>
      </c>
      <c r="S8033" t="s">
        <v>42866</v>
      </c>
      <c r="T8033" t="s">
        <v>44441</v>
      </c>
      <c r="U8033" t="s">
        <v>51401</v>
      </c>
      <c r="W8033" t="s">
        <v>41134</v>
      </c>
      <c r="X8033" t="s">
        <v>42679</v>
      </c>
    </row>
    <row r="8034" spans="1:24">
      <c r="A8034">
        <f>HYPERLINK("https://www.philgeps.gov.ph/GEPSNONPILOT/Tender/SplashBidNoticeAbstractUI.aspx?menuIndex=3&amp;refID=7181799&amp;Result=3","7181799")</f>
        <v>0</v>
      </c>
      <c r="B8034" t="s">
        <v>1976</v>
      </c>
      <c r="C8034" t="s">
        <v>11211</v>
      </c>
      <c r="D8034" t="s">
        <v>17143</v>
      </c>
      <c r="E8034" t="s">
        <v>24165</v>
      </c>
      <c r="F8034" t="s">
        <v>29372</v>
      </c>
      <c r="G8034" t="s">
        <v>29379</v>
      </c>
      <c r="H8034" t="s">
        <v>11048</v>
      </c>
      <c r="I8034" t="s">
        <v>29449</v>
      </c>
      <c r="J8034" t="s">
        <v>34717</v>
      </c>
      <c r="K8034" t="s">
        <v>38488</v>
      </c>
      <c r="M8034" t="s">
        <v>40863</v>
      </c>
      <c r="N8034" t="s">
        <v>42669</v>
      </c>
      <c r="O8034" t="s">
        <v>42670</v>
      </c>
      <c r="P8034">
        <v>0</v>
      </c>
      <c r="Q8034">
        <v>0</v>
      </c>
      <c r="R8034" t="s">
        <v>42678</v>
      </c>
      <c r="S8034" t="s">
        <v>42866</v>
      </c>
      <c r="T8034" t="s">
        <v>44493</v>
      </c>
      <c r="U8034" t="s">
        <v>51402</v>
      </c>
      <c r="W8034" t="s">
        <v>40863</v>
      </c>
      <c r="X8034" t="s">
        <v>42679</v>
      </c>
    </row>
    <row r="8035" spans="1:24">
      <c r="A8035">
        <f>HYPERLINK("https://www.philgeps.gov.ph/GEPSNONPILOT/Tender/SplashBidNoticeAbstractUI.aspx?menuIndex=3&amp;refID=7181395&amp;Result=3","7181395")</f>
        <v>0</v>
      </c>
      <c r="B8035" t="s">
        <v>547</v>
      </c>
      <c r="C8035" t="s">
        <v>11212</v>
      </c>
      <c r="E8035" t="s">
        <v>24166</v>
      </c>
      <c r="F8035" t="s">
        <v>29372</v>
      </c>
      <c r="G8035" t="s">
        <v>29379</v>
      </c>
      <c r="H8035" t="s">
        <v>11048</v>
      </c>
      <c r="I8035" t="s">
        <v>29394</v>
      </c>
      <c r="J8035" t="s">
        <v>34718</v>
      </c>
      <c r="K8035" t="s">
        <v>38485</v>
      </c>
      <c r="M8035" t="s">
        <v>39363</v>
      </c>
      <c r="N8035" t="s">
        <v>42669</v>
      </c>
      <c r="O8035" t="s">
        <v>42670</v>
      </c>
      <c r="P8035">
        <v>0</v>
      </c>
      <c r="Q8035">
        <v>1</v>
      </c>
      <c r="R8035" t="s">
        <v>42678</v>
      </c>
      <c r="S8035" t="s">
        <v>42866</v>
      </c>
      <c r="T8035" t="s">
        <v>44378</v>
      </c>
      <c r="U8035" t="s">
        <v>51403</v>
      </c>
      <c r="W8035" t="s">
        <v>58018</v>
      </c>
      <c r="X8035" t="s">
        <v>42679</v>
      </c>
    </row>
    <row r="8036" spans="1:24">
      <c r="A8036">
        <f>HYPERLINK("https://www.philgeps.gov.ph/GEPSNONPILOT/Tender/SplashBidNoticeAbstractUI.aspx?menuIndex=3&amp;refID=7183317&amp;Result=3","7183317")</f>
        <v>0</v>
      </c>
      <c r="B8036" t="s">
        <v>2519</v>
      </c>
      <c r="C8036" t="s">
        <v>11213</v>
      </c>
      <c r="D8036" t="s">
        <v>17189</v>
      </c>
      <c r="E8036" t="s">
        <v>24167</v>
      </c>
      <c r="F8036" t="s">
        <v>29375</v>
      </c>
      <c r="G8036" t="s">
        <v>29379</v>
      </c>
      <c r="H8036" t="s">
        <v>11048</v>
      </c>
      <c r="I8036" t="s">
        <v>5383</v>
      </c>
      <c r="J8036" t="s">
        <v>34719</v>
      </c>
      <c r="K8036" t="s">
        <v>38534</v>
      </c>
      <c r="M8036" t="s">
        <v>41480</v>
      </c>
      <c r="N8036" t="s">
        <v>42669</v>
      </c>
      <c r="O8036" t="s">
        <v>42670</v>
      </c>
      <c r="P8036">
        <v>0</v>
      </c>
      <c r="Q8036">
        <v>0</v>
      </c>
      <c r="R8036" t="s">
        <v>42678</v>
      </c>
      <c r="S8036" t="s">
        <v>42866</v>
      </c>
      <c r="T8036" t="s">
        <v>44489</v>
      </c>
      <c r="U8036" t="s">
        <v>51404</v>
      </c>
      <c r="V8036" t="s">
        <v>57246</v>
      </c>
      <c r="W8036" t="s">
        <v>41480</v>
      </c>
      <c r="X8036" t="s">
        <v>42679</v>
      </c>
    </row>
    <row r="8037" spans="1:24">
      <c r="A8037">
        <f>HYPERLINK("https://www.philgeps.gov.ph/GEPSNONPILOT/Tender/SplashBidNoticeAbstractUI.aspx?menuIndex=3&amp;refID=7183312&amp;Result=3","7183312")</f>
        <v>0</v>
      </c>
      <c r="B8037" t="s">
        <v>733</v>
      </c>
      <c r="C8037" t="s">
        <v>11214</v>
      </c>
      <c r="D8037" t="s">
        <v>17156</v>
      </c>
      <c r="E8037" t="s">
        <v>24168</v>
      </c>
      <c r="F8037" t="s">
        <v>29372</v>
      </c>
      <c r="G8037" t="s">
        <v>29380</v>
      </c>
      <c r="H8037" t="s">
        <v>29389</v>
      </c>
      <c r="I8037" t="s">
        <v>10408</v>
      </c>
      <c r="J8037" t="s">
        <v>34720</v>
      </c>
      <c r="K8037" t="s">
        <v>38566</v>
      </c>
      <c r="M8037" t="s">
        <v>39514</v>
      </c>
      <c r="N8037" t="s">
        <v>42669</v>
      </c>
      <c r="O8037" t="s">
        <v>42670</v>
      </c>
      <c r="P8037">
        <v>0</v>
      </c>
      <c r="Q8037">
        <v>2</v>
      </c>
      <c r="R8037" t="s">
        <v>42678</v>
      </c>
      <c r="S8037" t="s">
        <v>42866</v>
      </c>
      <c r="T8037" t="s">
        <v>44368</v>
      </c>
      <c r="U8037" t="s">
        <v>51405</v>
      </c>
      <c r="V8037" t="s">
        <v>57247</v>
      </c>
      <c r="W8037" t="s">
        <v>58087</v>
      </c>
      <c r="X8037" t="s">
        <v>42679</v>
      </c>
    </row>
    <row r="8038" spans="1:24">
      <c r="A8038">
        <f>HYPERLINK("https://www.philgeps.gov.ph/GEPSNONPILOT/Tender/SplashBidNoticeAbstractUI.aspx?menuIndex=3&amp;refID=7183314&amp;Result=3","7183314")</f>
        <v>0</v>
      </c>
      <c r="B8038" t="s">
        <v>2498</v>
      </c>
      <c r="C8038" t="s">
        <v>11215</v>
      </c>
      <c r="D8038" t="s">
        <v>17158</v>
      </c>
      <c r="E8038" t="s">
        <v>24169</v>
      </c>
      <c r="F8038" t="s">
        <v>29372</v>
      </c>
      <c r="G8038" t="s">
        <v>29380</v>
      </c>
      <c r="H8038" t="s">
        <v>11048</v>
      </c>
      <c r="I8038" t="s">
        <v>5383</v>
      </c>
      <c r="J8038" t="s">
        <v>34721</v>
      </c>
      <c r="K8038" t="s">
        <v>38485</v>
      </c>
      <c r="M8038" t="s">
        <v>41451</v>
      </c>
      <c r="N8038" t="s">
        <v>42669</v>
      </c>
      <c r="O8038" t="s">
        <v>42670</v>
      </c>
      <c r="P8038">
        <v>0</v>
      </c>
      <c r="Q8038">
        <v>1</v>
      </c>
      <c r="R8038" t="s">
        <v>42678</v>
      </c>
      <c r="S8038" t="s">
        <v>42866</v>
      </c>
      <c r="T8038" t="s">
        <v>44517</v>
      </c>
      <c r="U8038" t="s">
        <v>51294</v>
      </c>
      <c r="W8038" t="s">
        <v>41451</v>
      </c>
      <c r="X8038" t="s">
        <v>42679</v>
      </c>
    </row>
    <row r="8039" spans="1:24">
      <c r="A8039">
        <f>HYPERLINK("https://www.philgeps.gov.ph/GEPSNONPILOT/Tender/SplashBidNoticeAbstractUI.aspx?menuIndex=3&amp;refID=7183310&amp;Result=3","7183310")</f>
        <v>0</v>
      </c>
      <c r="B8039" t="s">
        <v>252</v>
      </c>
      <c r="C8039" t="s">
        <v>11216</v>
      </c>
      <c r="D8039" t="s">
        <v>17160</v>
      </c>
      <c r="E8039" t="s">
        <v>24170</v>
      </c>
      <c r="F8039" t="s">
        <v>29372</v>
      </c>
      <c r="G8039" t="s">
        <v>29380</v>
      </c>
      <c r="H8039" t="s">
        <v>29389</v>
      </c>
      <c r="I8039" t="s">
        <v>10408</v>
      </c>
      <c r="J8039" t="s">
        <v>29543</v>
      </c>
      <c r="K8039" t="s">
        <v>38485</v>
      </c>
      <c r="M8039" t="s">
        <v>39011</v>
      </c>
      <c r="N8039" t="s">
        <v>42669</v>
      </c>
      <c r="O8039" t="s">
        <v>42670</v>
      </c>
      <c r="P8039">
        <v>0</v>
      </c>
      <c r="Q8039">
        <v>0</v>
      </c>
      <c r="R8039" t="s">
        <v>42678</v>
      </c>
      <c r="S8039" t="s">
        <v>42866</v>
      </c>
      <c r="T8039" t="s">
        <v>44468</v>
      </c>
      <c r="U8039" t="s">
        <v>51406</v>
      </c>
      <c r="V8039" t="s">
        <v>57237</v>
      </c>
      <c r="W8039" t="s">
        <v>39011</v>
      </c>
      <c r="X8039" t="s">
        <v>42679</v>
      </c>
    </row>
    <row r="8040" spans="1:24">
      <c r="A8040">
        <f>HYPERLINK("https://www.philgeps.gov.ph/GEPSNONPILOT/Tender/SplashBidNoticeAbstractUI.aspx?menuIndex=3&amp;refID=7178787&amp;Result=3","7178787")</f>
        <v>0</v>
      </c>
      <c r="B8040" t="s">
        <v>35</v>
      </c>
      <c r="C8040" t="s">
        <v>11217</v>
      </c>
      <c r="D8040" t="s">
        <v>17149</v>
      </c>
      <c r="E8040" t="s">
        <v>23382</v>
      </c>
      <c r="F8040" t="s">
        <v>29372</v>
      </c>
      <c r="G8040" t="s">
        <v>29380</v>
      </c>
      <c r="H8040" t="s">
        <v>11048</v>
      </c>
      <c r="I8040" t="s">
        <v>5383</v>
      </c>
      <c r="J8040" t="s">
        <v>34722</v>
      </c>
      <c r="K8040" t="s">
        <v>38490</v>
      </c>
      <c r="M8040" t="s">
        <v>41135</v>
      </c>
      <c r="N8040" t="s">
        <v>42669</v>
      </c>
      <c r="O8040" t="s">
        <v>42670</v>
      </c>
      <c r="P8040">
        <v>0</v>
      </c>
      <c r="Q8040">
        <v>0</v>
      </c>
      <c r="R8040" t="s">
        <v>42678</v>
      </c>
      <c r="S8040" t="s">
        <v>42866</v>
      </c>
      <c r="T8040" t="s">
        <v>44570</v>
      </c>
      <c r="U8040" t="s">
        <v>51407</v>
      </c>
      <c r="W8040" t="s">
        <v>58072</v>
      </c>
      <c r="X8040" t="s">
        <v>42682</v>
      </c>
    </row>
    <row r="8041" spans="1:24">
      <c r="A8041">
        <f>HYPERLINK("https://www.philgeps.gov.ph/GEPSNONPILOT/Tender/SplashBidNoticeAbstractUI.aspx?menuIndex=3&amp;refID=7181982&amp;Result=3","7181982")</f>
        <v>0</v>
      </c>
      <c r="B8041" t="s">
        <v>1919</v>
      </c>
      <c r="C8041" t="s">
        <v>11218</v>
      </c>
      <c r="D8041" t="s">
        <v>17194</v>
      </c>
      <c r="E8041" t="s">
        <v>24171</v>
      </c>
      <c r="F8041" t="s">
        <v>29372</v>
      </c>
      <c r="G8041" t="s">
        <v>29380</v>
      </c>
      <c r="H8041" t="s">
        <v>11048</v>
      </c>
      <c r="I8041" t="s">
        <v>4709</v>
      </c>
      <c r="J8041" t="s">
        <v>34723</v>
      </c>
      <c r="K8041" t="s">
        <v>38485</v>
      </c>
      <c r="M8041" t="s">
        <v>40820</v>
      </c>
      <c r="N8041" t="s">
        <v>42669</v>
      </c>
      <c r="O8041" t="s">
        <v>42670</v>
      </c>
      <c r="P8041">
        <v>0</v>
      </c>
      <c r="Q8041">
        <v>0</v>
      </c>
      <c r="R8041" t="s">
        <v>42678</v>
      </c>
      <c r="S8041" t="s">
        <v>42866</v>
      </c>
      <c r="T8041" t="s">
        <v>44446</v>
      </c>
      <c r="U8041" t="s">
        <v>49323</v>
      </c>
      <c r="V8041" t="s">
        <v>56972</v>
      </c>
      <c r="W8041" t="s">
        <v>40820</v>
      </c>
      <c r="X8041" t="s">
        <v>42679</v>
      </c>
    </row>
    <row r="8042" spans="1:24">
      <c r="A8042">
        <f>HYPERLINK("https://www.philgeps.gov.ph/GEPSNONPILOT/Tender/SplashBidNoticeAbstractUI.aspx?menuIndex=3&amp;refID=7183309&amp;Result=3","7183309")</f>
        <v>0</v>
      </c>
      <c r="B8042" t="s">
        <v>2520</v>
      </c>
      <c r="C8042" t="s">
        <v>11219</v>
      </c>
      <c r="D8042" t="s">
        <v>17164</v>
      </c>
      <c r="E8042" t="s">
        <v>24172</v>
      </c>
      <c r="F8042" t="s">
        <v>29372</v>
      </c>
      <c r="G8042" t="s">
        <v>29380</v>
      </c>
      <c r="H8042" t="s">
        <v>29389</v>
      </c>
      <c r="I8042" t="s">
        <v>10408</v>
      </c>
      <c r="J8042" t="s">
        <v>34724</v>
      </c>
      <c r="K8042" t="s">
        <v>38664</v>
      </c>
      <c r="M8042" t="s">
        <v>41481</v>
      </c>
      <c r="N8042" t="s">
        <v>42669</v>
      </c>
      <c r="O8042" t="s">
        <v>42670</v>
      </c>
      <c r="P8042">
        <v>0</v>
      </c>
      <c r="Q8042">
        <v>0</v>
      </c>
      <c r="R8042" t="s">
        <v>42678</v>
      </c>
      <c r="S8042" t="s">
        <v>42866</v>
      </c>
      <c r="T8042" t="s">
        <v>44378</v>
      </c>
      <c r="U8042" t="s">
        <v>51408</v>
      </c>
      <c r="W8042" t="s">
        <v>41481</v>
      </c>
      <c r="X8042" t="s">
        <v>42679</v>
      </c>
    </row>
    <row r="8043" spans="1:24">
      <c r="A8043">
        <f>HYPERLINK("https://www.philgeps.gov.ph/GEPSNONPILOT/Tender/SplashBidNoticeAbstractUI.aspx?menuIndex=3&amp;refID=7183307&amp;Result=3","7183307")</f>
        <v>0</v>
      </c>
      <c r="B8043" t="s">
        <v>2498</v>
      </c>
      <c r="C8043" t="s">
        <v>11220</v>
      </c>
      <c r="D8043" t="s">
        <v>17158</v>
      </c>
      <c r="E8043" t="s">
        <v>24173</v>
      </c>
      <c r="F8043" t="s">
        <v>29372</v>
      </c>
      <c r="G8043" t="s">
        <v>29380</v>
      </c>
      <c r="H8043" t="s">
        <v>11048</v>
      </c>
      <c r="I8043" t="s">
        <v>5383</v>
      </c>
      <c r="J8043" t="s">
        <v>34725</v>
      </c>
      <c r="K8043" t="s">
        <v>38485</v>
      </c>
      <c r="M8043" t="s">
        <v>41451</v>
      </c>
      <c r="N8043" t="s">
        <v>42669</v>
      </c>
      <c r="O8043" t="s">
        <v>42670</v>
      </c>
      <c r="P8043">
        <v>0</v>
      </c>
      <c r="Q8043">
        <v>1</v>
      </c>
      <c r="R8043" t="s">
        <v>42678</v>
      </c>
      <c r="S8043" t="s">
        <v>42866</v>
      </c>
      <c r="T8043" t="s">
        <v>44517</v>
      </c>
      <c r="U8043" t="s">
        <v>51294</v>
      </c>
      <c r="W8043" t="s">
        <v>41451</v>
      </c>
      <c r="X8043" t="s">
        <v>42679</v>
      </c>
    </row>
    <row r="8044" spans="1:24">
      <c r="A8044">
        <f>HYPERLINK("https://www.philgeps.gov.ph/GEPSNONPILOT/Tender/SplashBidNoticeAbstractUI.aspx?menuIndex=3&amp;refID=7183298&amp;Result=3","7183298")</f>
        <v>0</v>
      </c>
      <c r="B8044" t="s">
        <v>2498</v>
      </c>
      <c r="C8044" t="s">
        <v>11221</v>
      </c>
      <c r="D8044" t="s">
        <v>17158</v>
      </c>
      <c r="E8044" t="s">
        <v>24174</v>
      </c>
      <c r="F8044" t="s">
        <v>29372</v>
      </c>
      <c r="G8044" t="s">
        <v>29380</v>
      </c>
      <c r="H8044" t="s">
        <v>11048</v>
      </c>
      <c r="I8044" t="s">
        <v>5383</v>
      </c>
      <c r="J8044" t="s">
        <v>34726</v>
      </c>
      <c r="K8044" t="s">
        <v>38485</v>
      </c>
      <c r="M8044" t="s">
        <v>41451</v>
      </c>
      <c r="N8044" t="s">
        <v>42669</v>
      </c>
      <c r="O8044" t="s">
        <v>42670</v>
      </c>
      <c r="P8044">
        <v>0</v>
      </c>
      <c r="Q8044">
        <v>1</v>
      </c>
      <c r="R8044" t="s">
        <v>42678</v>
      </c>
      <c r="S8044" t="s">
        <v>42866</v>
      </c>
      <c r="T8044" t="s">
        <v>44517</v>
      </c>
      <c r="U8044" t="s">
        <v>51294</v>
      </c>
      <c r="W8044" t="s">
        <v>41451</v>
      </c>
      <c r="X8044" t="s">
        <v>42679</v>
      </c>
    </row>
    <row r="8045" spans="1:24">
      <c r="A8045">
        <f>HYPERLINK("https://www.philgeps.gov.ph/GEPSNONPILOT/Tender/SplashBidNoticeAbstractUI.aspx?menuIndex=3&amp;refID=7183303&amp;Result=3","7183303")</f>
        <v>0</v>
      </c>
      <c r="B8045" t="s">
        <v>1439</v>
      </c>
      <c r="C8045" t="s">
        <v>11222</v>
      </c>
      <c r="D8045" t="s">
        <v>17149</v>
      </c>
      <c r="E8045" t="s">
        <v>24175</v>
      </c>
      <c r="F8045" t="s">
        <v>29372</v>
      </c>
      <c r="G8045" t="s">
        <v>29380</v>
      </c>
      <c r="H8045" t="s">
        <v>29389</v>
      </c>
      <c r="I8045" t="s">
        <v>10408</v>
      </c>
      <c r="J8045" t="s">
        <v>34727</v>
      </c>
      <c r="K8045" t="s">
        <v>38533</v>
      </c>
      <c r="M8045" t="s">
        <v>40280</v>
      </c>
      <c r="N8045" t="s">
        <v>42669</v>
      </c>
      <c r="O8045" t="s">
        <v>42670</v>
      </c>
      <c r="P8045">
        <v>0</v>
      </c>
      <c r="Q8045">
        <v>0</v>
      </c>
      <c r="R8045" t="s">
        <v>42678</v>
      </c>
      <c r="S8045" t="s">
        <v>42866</v>
      </c>
      <c r="T8045" t="s">
        <v>44450</v>
      </c>
      <c r="U8045" t="s">
        <v>51409</v>
      </c>
      <c r="W8045" t="s">
        <v>40280</v>
      </c>
      <c r="X8045" t="s">
        <v>42679</v>
      </c>
    </row>
    <row r="8046" spans="1:24">
      <c r="A8046">
        <f>HYPERLINK("https://www.philgeps.gov.ph/GEPSNONPILOT/Tender/SplashBidNoticeAbstractUI.aspx?menuIndex=3&amp;refID=7183293&amp;Result=3","7183293")</f>
        <v>0</v>
      </c>
      <c r="B8046" t="s">
        <v>1817</v>
      </c>
      <c r="C8046" t="s">
        <v>11223</v>
      </c>
      <c r="D8046" t="s">
        <v>17153</v>
      </c>
      <c r="E8046" t="s">
        <v>24176</v>
      </c>
      <c r="F8046" t="s">
        <v>29372</v>
      </c>
      <c r="G8046" t="s">
        <v>29380</v>
      </c>
      <c r="H8046" t="s">
        <v>11048</v>
      </c>
      <c r="I8046" t="s">
        <v>9469</v>
      </c>
      <c r="J8046" t="s">
        <v>29724</v>
      </c>
      <c r="K8046" t="s">
        <v>38496</v>
      </c>
      <c r="M8046" t="s">
        <v>40688</v>
      </c>
      <c r="N8046" t="s">
        <v>42669</v>
      </c>
      <c r="O8046" t="s">
        <v>42670</v>
      </c>
      <c r="P8046">
        <v>0</v>
      </c>
      <c r="Q8046">
        <v>3</v>
      </c>
      <c r="R8046" t="s">
        <v>42678</v>
      </c>
      <c r="S8046" t="s">
        <v>42866</v>
      </c>
      <c r="T8046" t="s">
        <v>44450</v>
      </c>
      <c r="U8046" t="s">
        <v>51296</v>
      </c>
      <c r="W8046" t="s">
        <v>40688</v>
      </c>
      <c r="X8046" t="s">
        <v>42679</v>
      </c>
    </row>
    <row r="8047" spans="1:24">
      <c r="A8047">
        <f>HYPERLINK("https://www.philgeps.gov.ph/GEPSNONPILOT/Tender/SplashBidNoticeAbstractUI.aspx?menuIndex=3&amp;refID=7183315&amp;Result=3","7183315")</f>
        <v>0</v>
      </c>
      <c r="B8047" t="s">
        <v>2498</v>
      </c>
      <c r="C8047" t="s">
        <v>11224</v>
      </c>
      <c r="D8047" t="s">
        <v>17158</v>
      </c>
      <c r="E8047" t="s">
        <v>24177</v>
      </c>
      <c r="F8047" t="s">
        <v>29372</v>
      </c>
      <c r="G8047" t="s">
        <v>29380</v>
      </c>
      <c r="H8047" t="s">
        <v>11048</v>
      </c>
      <c r="I8047" t="s">
        <v>5383</v>
      </c>
      <c r="J8047" t="s">
        <v>34728</v>
      </c>
      <c r="K8047" t="s">
        <v>38485</v>
      </c>
      <c r="M8047" t="s">
        <v>41451</v>
      </c>
      <c r="N8047" t="s">
        <v>42669</v>
      </c>
      <c r="O8047" t="s">
        <v>42670</v>
      </c>
      <c r="P8047">
        <v>0</v>
      </c>
      <c r="Q8047">
        <v>1</v>
      </c>
      <c r="R8047" t="s">
        <v>42678</v>
      </c>
      <c r="S8047" t="s">
        <v>42866</v>
      </c>
      <c r="T8047" t="s">
        <v>44517</v>
      </c>
      <c r="U8047" t="s">
        <v>51294</v>
      </c>
      <c r="W8047" t="s">
        <v>41451</v>
      </c>
      <c r="X8047" t="s">
        <v>42679</v>
      </c>
    </row>
    <row r="8048" spans="1:24">
      <c r="A8048">
        <f>HYPERLINK("https://www.philgeps.gov.ph/GEPSNONPILOT/Tender/SplashBidNoticeAbstractUI.aspx?menuIndex=3&amp;refID=7182994&amp;Result=3","7182994")</f>
        <v>0</v>
      </c>
      <c r="B8048" t="s">
        <v>582</v>
      </c>
      <c r="C8048" t="s">
        <v>11225</v>
      </c>
      <c r="D8048" t="s">
        <v>17145</v>
      </c>
      <c r="E8048" t="s">
        <v>24178</v>
      </c>
      <c r="F8048" t="s">
        <v>29372</v>
      </c>
      <c r="G8048" t="s">
        <v>29379</v>
      </c>
      <c r="H8048" t="s">
        <v>11048</v>
      </c>
      <c r="I8048" t="s">
        <v>29432</v>
      </c>
      <c r="J8048" t="s">
        <v>30232</v>
      </c>
      <c r="K8048" t="s">
        <v>38488</v>
      </c>
      <c r="M8048" t="s">
        <v>39351</v>
      </c>
      <c r="N8048" t="s">
        <v>42669</v>
      </c>
      <c r="O8048" t="s">
        <v>42670</v>
      </c>
      <c r="Q8048">
        <v>1</v>
      </c>
      <c r="R8048" t="s">
        <v>42678</v>
      </c>
      <c r="S8048" t="s">
        <v>42914</v>
      </c>
      <c r="T8048" t="s">
        <v>44432</v>
      </c>
      <c r="U8048" t="s">
        <v>51410</v>
      </c>
      <c r="W8048" t="s">
        <v>39351</v>
      </c>
      <c r="X8048" t="s">
        <v>42679</v>
      </c>
    </row>
    <row r="8049" spans="1:24">
      <c r="A8049">
        <f>HYPERLINK("https://www.philgeps.gov.ph/GEPSNONPILOT/Tender/SplashBidNoticeAbstractUI.aspx?menuIndex=3&amp;refID=7183304&amp;Result=3","7183304")</f>
        <v>0</v>
      </c>
      <c r="B8049" t="s">
        <v>2181</v>
      </c>
      <c r="C8049" t="s">
        <v>11226</v>
      </c>
      <c r="E8049" t="s">
        <v>24179</v>
      </c>
      <c r="F8049" t="s">
        <v>29372</v>
      </c>
      <c r="G8049" t="s">
        <v>29380</v>
      </c>
      <c r="H8049" t="s">
        <v>29389</v>
      </c>
      <c r="I8049" t="s">
        <v>10408</v>
      </c>
      <c r="J8049" t="s">
        <v>34729</v>
      </c>
      <c r="K8049" t="s">
        <v>38495</v>
      </c>
      <c r="M8049" t="s">
        <v>41095</v>
      </c>
      <c r="N8049" t="s">
        <v>42669</v>
      </c>
      <c r="O8049" t="s">
        <v>42670</v>
      </c>
      <c r="P8049">
        <v>0</v>
      </c>
      <c r="Q8049">
        <v>1</v>
      </c>
      <c r="R8049" t="s">
        <v>42678</v>
      </c>
      <c r="S8049" t="s">
        <v>42866</v>
      </c>
      <c r="T8049" t="s">
        <v>44685</v>
      </c>
      <c r="U8049" t="s">
        <v>51411</v>
      </c>
      <c r="V8049" t="s">
        <v>57228</v>
      </c>
      <c r="W8049" t="s">
        <v>41095</v>
      </c>
      <c r="X8049" t="s">
        <v>42679</v>
      </c>
    </row>
    <row r="8050" spans="1:24">
      <c r="A8050">
        <f>HYPERLINK("https://www.philgeps.gov.ph/GEPSNONPILOT/Tender/SplashBidNoticeAbstractUI.aspx?menuIndex=3&amp;refID=7183243&amp;Result=3","7183243")</f>
        <v>0</v>
      </c>
      <c r="B8050" t="s">
        <v>1817</v>
      </c>
      <c r="C8050" t="s">
        <v>11227</v>
      </c>
      <c r="D8050" t="s">
        <v>17153</v>
      </c>
      <c r="E8050" t="s">
        <v>24180</v>
      </c>
      <c r="F8050" t="s">
        <v>29372</v>
      </c>
      <c r="G8050" t="s">
        <v>29380</v>
      </c>
      <c r="H8050" t="s">
        <v>11048</v>
      </c>
      <c r="I8050" t="s">
        <v>8208</v>
      </c>
      <c r="J8050" t="s">
        <v>34730</v>
      </c>
      <c r="K8050" t="s">
        <v>38495</v>
      </c>
      <c r="M8050" t="s">
        <v>40688</v>
      </c>
      <c r="N8050" t="s">
        <v>42669</v>
      </c>
      <c r="O8050" t="s">
        <v>42670</v>
      </c>
      <c r="P8050">
        <v>0</v>
      </c>
      <c r="Q8050">
        <v>0</v>
      </c>
      <c r="R8050" t="s">
        <v>42678</v>
      </c>
      <c r="S8050" t="s">
        <v>42866</v>
      </c>
      <c r="T8050" t="s">
        <v>44399</v>
      </c>
      <c r="U8050" t="s">
        <v>51296</v>
      </c>
      <c r="W8050" t="s">
        <v>40688</v>
      </c>
      <c r="X8050" t="s">
        <v>42679</v>
      </c>
    </row>
    <row r="8051" spans="1:24">
      <c r="A8051">
        <f>HYPERLINK("https://www.philgeps.gov.ph/GEPSNONPILOT/Tender/SplashBidNoticeAbstractUI.aspx?menuIndex=3&amp;refID=7183353&amp;Result=3","7183353")</f>
        <v>0</v>
      </c>
      <c r="B8051" t="s">
        <v>733</v>
      </c>
      <c r="C8051" t="s">
        <v>11228</v>
      </c>
      <c r="D8051" t="s">
        <v>17156</v>
      </c>
      <c r="E8051" t="s">
        <v>24181</v>
      </c>
      <c r="F8051" t="s">
        <v>29372</v>
      </c>
      <c r="G8051" t="s">
        <v>29380</v>
      </c>
      <c r="H8051" t="s">
        <v>29389</v>
      </c>
      <c r="I8051" t="s">
        <v>10408</v>
      </c>
      <c r="J8051" t="s">
        <v>30845</v>
      </c>
      <c r="K8051" t="s">
        <v>38495</v>
      </c>
      <c r="M8051" t="s">
        <v>39514</v>
      </c>
      <c r="N8051" t="s">
        <v>42669</v>
      </c>
      <c r="O8051" t="s">
        <v>42670</v>
      </c>
      <c r="P8051">
        <v>0</v>
      </c>
      <c r="Q8051">
        <v>2</v>
      </c>
      <c r="R8051" t="s">
        <v>42678</v>
      </c>
      <c r="S8051" t="s">
        <v>42866</v>
      </c>
      <c r="T8051" t="s">
        <v>44368</v>
      </c>
      <c r="U8051" t="s">
        <v>51412</v>
      </c>
      <c r="V8051" t="s">
        <v>57248</v>
      </c>
      <c r="W8051" t="s">
        <v>58087</v>
      </c>
      <c r="X8051" t="s">
        <v>42679</v>
      </c>
    </row>
    <row r="8052" spans="1:24">
      <c r="A8052">
        <f>HYPERLINK("https://www.philgeps.gov.ph/GEPSNONPILOT/Tender/SplashBidNoticeAbstractUI.aspx?menuIndex=3&amp;refID=7183297&amp;Result=3","7183297")</f>
        <v>0</v>
      </c>
      <c r="B8052" t="s">
        <v>2181</v>
      </c>
      <c r="C8052" t="s">
        <v>11229</v>
      </c>
      <c r="E8052" t="s">
        <v>24182</v>
      </c>
      <c r="F8052" t="s">
        <v>29372</v>
      </c>
      <c r="G8052" t="s">
        <v>29380</v>
      </c>
      <c r="H8052" t="s">
        <v>11048</v>
      </c>
      <c r="I8052" t="s">
        <v>9469</v>
      </c>
      <c r="J8052" t="s">
        <v>29788</v>
      </c>
      <c r="K8052" t="s">
        <v>38485</v>
      </c>
      <c r="M8052" t="s">
        <v>41095</v>
      </c>
      <c r="N8052" t="s">
        <v>42669</v>
      </c>
      <c r="O8052" t="s">
        <v>42670</v>
      </c>
      <c r="P8052">
        <v>0</v>
      </c>
      <c r="Q8052">
        <v>6</v>
      </c>
      <c r="R8052" t="s">
        <v>42678</v>
      </c>
      <c r="S8052" t="s">
        <v>42866</v>
      </c>
      <c r="T8052" t="s">
        <v>44685</v>
      </c>
      <c r="U8052" t="s">
        <v>51413</v>
      </c>
      <c r="V8052" t="s">
        <v>57228</v>
      </c>
      <c r="W8052" t="s">
        <v>41095</v>
      </c>
      <c r="X8052" t="s">
        <v>42679</v>
      </c>
    </row>
    <row r="8053" spans="1:24">
      <c r="A8053">
        <f>HYPERLINK("https://www.philgeps.gov.ph/GEPSNONPILOT/Tender/SplashBidNoticeAbstractUI.aspx?menuIndex=3&amp;refID=7183352&amp;Result=3","7183352")</f>
        <v>0</v>
      </c>
      <c r="B8053" t="s">
        <v>2498</v>
      </c>
      <c r="C8053" t="s">
        <v>11230</v>
      </c>
      <c r="D8053" t="s">
        <v>17158</v>
      </c>
      <c r="E8053" t="s">
        <v>24183</v>
      </c>
      <c r="F8053" t="s">
        <v>29372</v>
      </c>
      <c r="G8053" t="s">
        <v>29380</v>
      </c>
      <c r="H8053" t="s">
        <v>11048</v>
      </c>
      <c r="I8053" t="s">
        <v>5383</v>
      </c>
      <c r="J8053" t="s">
        <v>34731</v>
      </c>
      <c r="K8053" t="s">
        <v>38485</v>
      </c>
      <c r="M8053" t="s">
        <v>41451</v>
      </c>
      <c r="N8053" t="s">
        <v>42669</v>
      </c>
      <c r="O8053" t="s">
        <v>42670</v>
      </c>
      <c r="P8053">
        <v>0</v>
      </c>
      <c r="Q8053">
        <v>2</v>
      </c>
      <c r="R8053" t="s">
        <v>42678</v>
      </c>
      <c r="S8053" t="s">
        <v>42866</v>
      </c>
      <c r="T8053" t="s">
        <v>44517</v>
      </c>
      <c r="U8053" t="s">
        <v>51294</v>
      </c>
      <c r="W8053" t="s">
        <v>41451</v>
      </c>
      <c r="X8053" t="s">
        <v>42679</v>
      </c>
    </row>
    <row r="8054" spans="1:24">
      <c r="A8054">
        <f>HYPERLINK("https://www.philgeps.gov.ph/GEPSNONPILOT/Tender/SplashBidNoticeAbstractUI.aspx?menuIndex=3&amp;refID=7183244&amp;Result=3","7183244")</f>
        <v>0</v>
      </c>
      <c r="B8054" t="s">
        <v>2487</v>
      </c>
      <c r="C8054" t="s">
        <v>11231</v>
      </c>
      <c r="D8054" t="s">
        <v>17169</v>
      </c>
      <c r="E8054" t="s">
        <v>24184</v>
      </c>
      <c r="F8054" t="s">
        <v>29372</v>
      </c>
      <c r="G8054" t="s">
        <v>29380</v>
      </c>
      <c r="H8054" t="s">
        <v>29389</v>
      </c>
      <c r="I8054" t="s">
        <v>10408</v>
      </c>
      <c r="J8054" t="s">
        <v>34732</v>
      </c>
      <c r="K8054" t="s">
        <v>38496</v>
      </c>
      <c r="M8054" t="s">
        <v>41437</v>
      </c>
      <c r="N8054" t="s">
        <v>42669</v>
      </c>
      <c r="O8054" t="s">
        <v>42670</v>
      </c>
      <c r="P8054">
        <v>0</v>
      </c>
      <c r="Q8054">
        <v>0</v>
      </c>
      <c r="R8054" t="s">
        <v>42678</v>
      </c>
      <c r="S8054" t="s">
        <v>42866</v>
      </c>
      <c r="T8054" t="s">
        <v>44355</v>
      </c>
      <c r="U8054" t="s">
        <v>51414</v>
      </c>
      <c r="W8054" t="s">
        <v>41437</v>
      </c>
      <c r="X8054" t="s">
        <v>42679</v>
      </c>
    </row>
    <row r="8055" spans="1:24">
      <c r="A8055">
        <f>HYPERLINK("https://www.philgeps.gov.ph/GEPSNONPILOT/Tender/SplashBidNoticeAbstractUI.aspx?menuIndex=3&amp;refID=7183345&amp;Result=3","7183345")</f>
        <v>0</v>
      </c>
      <c r="B8055" t="s">
        <v>2521</v>
      </c>
      <c r="C8055" t="s">
        <v>11232</v>
      </c>
      <c r="D8055" t="s">
        <v>17164</v>
      </c>
      <c r="E8055" t="s">
        <v>24185</v>
      </c>
      <c r="F8055" t="s">
        <v>29372</v>
      </c>
      <c r="G8055" t="s">
        <v>29380</v>
      </c>
      <c r="H8055" t="s">
        <v>29389</v>
      </c>
      <c r="I8055" t="s">
        <v>10408</v>
      </c>
      <c r="J8055" t="s">
        <v>34733</v>
      </c>
      <c r="K8055" t="s">
        <v>38511</v>
      </c>
      <c r="M8055" t="s">
        <v>41482</v>
      </c>
      <c r="N8055" t="s">
        <v>42669</v>
      </c>
      <c r="O8055" t="s">
        <v>42670</v>
      </c>
      <c r="P8055">
        <v>0</v>
      </c>
      <c r="Q8055">
        <v>0</v>
      </c>
      <c r="R8055" t="s">
        <v>42678</v>
      </c>
      <c r="S8055" t="s">
        <v>42866</v>
      </c>
      <c r="T8055" t="s">
        <v>44378</v>
      </c>
      <c r="U8055" t="s">
        <v>51415</v>
      </c>
      <c r="W8055" t="s">
        <v>41482</v>
      </c>
      <c r="X8055" t="s">
        <v>42679</v>
      </c>
    </row>
    <row r="8056" spans="1:24">
      <c r="A8056">
        <f>HYPERLINK("https://www.philgeps.gov.ph/GEPSNONPILOT/Tender/SplashBidNoticeAbstractUI.aspx?menuIndex=3&amp;refID=7183351&amp;Result=3","7183351")</f>
        <v>0</v>
      </c>
      <c r="B8056" t="s">
        <v>2522</v>
      </c>
      <c r="C8056" t="s">
        <v>11233</v>
      </c>
      <c r="D8056" t="s">
        <v>17172</v>
      </c>
      <c r="E8056" t="s">
        <v>24186</v>
      </c>
      <c r="F8056" t="s">
        <v>29372</v>
      </c>
      <c r="G8056" t="s">
        <v>29380</v>
      </c>
      <c r="H8056" t="s">
        <v>29389</v>
      </c>
      <c r="I8056" t="s">
        <v>10408</v>
      </c>
      <c r="J8056" t="s">
        <v>32508</v>
      </c>
      <c r="K8056" t="s">
        <v>38496</v>
      </c>
      <c r="M8056" t="s">
        <v>41483</v>
      </c>
      <c r="N8056" t="s">
        <v>42669</v>
      </c>
      <c r="O8056" t="s">
        <v>42670</v>
      </c>
      <c r="Q8056">
        <v>2</v>
      </c>
      <c r="R8056" t="s">
        <v>42678</v>
      </c>
      <c r="S8056" t="s">
        <v>42915</v>
      </c>
      <c r="T8056" t="s">
        <v>44605</v>
      </c>
      <c r="U8056" t="s">
        <v>51416</v>
      </c>
      <c r="W8056" t="s">
        <v>41483</v>
      </c>
      <c r="X8056" t="s">
        <v>42679</v>
      </c>
    </row>
    <row r="8057" spans="1:24">
      <c r="A8057">
        <f>HYPERLINK("https://www.philgeps.gov.ph/GEPSNONPILOT/Tender/SplashBidNoticeAbstractUI.aspx?menuIndex=3&amp;refID=7183343&amp;Result=3","7183343")</f>
        <v>0</v>
      </c>
      <c r="B8057" t="s">
        <v>2498</v>
      </c>
      <c r="C8057" t="s">
        <v>11234</v>
      </c>
      <c r="D8057" t="s">
        <v>17158</v>
      </c>
      <c r="E8057" t="s">
        <v>24187</v>
      </c>
      <c r="F8057" t="s">
        <v>29372</v>
      </c>
      <c r="G8057" t="s">
        <v>29380</v>
      </c>
      <c r="H8057" t="s">
        <v>11048</v>
      </c>
      <c r="I8057" t="s">
        <v>5383</v>
      </c>
      <c r="J8057" t="s">
        <v>34734</v>
      </c>
      <c r="K8057" t="s">
        <v>38485</v>
      </c>
      <c r="M8057" t="s">
        <v>41451</v>
      </c>
      <c r="N8057" t="s">
        <v>42669</v>
      </c>
      <c r="O8057" t="s">
        <v>42670</v>
      </c>
      <c r="P8057">
        <v>0</v>
      </c>
      <c r="Q8057">
        <v>2</v>
      </c>
      <c r="R8057" t="s">
        <v>42678</v>
      </c>
      <c r="S8057" t="s">
        <v>42866</v>
      </c>
      <c r="T8057" t="s">
        <v>44517</v>
      </c>
      <c r="U8057" t="s">
        <v>51294</v>
      </c>
      <c r="W8057" t="s">
        <v>41451</v>
      </c>
      <c r="X8057" t="s">
        <v>42679</v>
      </c>
    </row>
    <row r="8058" spans="1:24">
      <c r="A8058">
        <f>HYPERLINK("https://www.philgeps.gov.ph/GEPSNONPILOT/Tender/SplashBidNoticeAbstractUI.aspx?menuIndex=3&amp;refID=7183341&amp;Result=3","7183341")</f>
        <v>0</v>
      </c>
      <c r="B8058" t="s">
        <v>1311</v>
      </c>
      <c r="C8058" t="s">
        <v>11235</v>
      </c>
      <c r="E8058" t="s">
        <v>24188</v>
      </c>
      <c r="F8058" t="s">
        <v>29372</v>
      </c>
      <c r="G8058" t="s">
        <v>29380</v>
      </c>
      <c r="H8058" t="s">
        <v>11048</v>
      </c>
      <c r="I8058" t="s">
        <v>29460</v>
      </c>
      <c r="J8058" t="s">
        <v>34735</v>
      </c>
      <c r="K8058" t="s">
        <v>38629</v>
      </c>
      <c r="M8058" t="s">
        <v>41484</v>
      </c>
      <c r="N8058" t="s">
        <v>42669</v>
      </c>
      <c r="O8058" t="s">
        <v>42670</v>
      </c>
      <c r="P8058">
        <v>0</v>
      </c>
      <c r="Q8058">
        <v>12</v>
      </c>
      <c r="R8058" t="s">
        <v>42678</v>
      </c>
      <c r="S8058" t="s">
        <v>42866</v>
      </c>
      <c r="T8058" t="s">
        <v>44368</v>
      </c>
      <c r="U8058" t="s">
        <v>51417</v>
      </c>
      <c r="W8058" t="s">
        <v>41484</v>
      </c>
      <c r="X8058" t="s">
        <v>42679</v>
      </c>
    </row>
    <row r="8059" spans="1:24">
      <c r="A8059">
        <f>HYPERLINK("https://www.philgeps.gov.ph/GEPSNONPILOT/Tender/SplashBidNoticeAbstractUI.aspx?menuIndex=3&amp;refID=7183340&amp;Result=3","7183340")</f>
        <v>0</v>
      </c>
      <c r="B8059" t="s">
        <v>2523</v>
      </c>
      <c r="C8059" t="s">
        <v>11236</v>
      </c>
      <c r="D8059" t="s">
        <v>17206</v>
      </c>
      <c r="E8059" t="s">
        <v>24189</v>
      </c>
      <c r="F8059" t="s">
        <v>29372</v>
      </c>
      <c r="G8059" t="s">
        <v>29380</v>
      </c>
      <c r="H8059" t="s">
        <v>11048</v>
      </c>
      <c r="I8059" t="s">
        <v>29433</v>
      </c>
      <c r="J8059" t="s">
        <v>29728</v>
      </c>
      <c r="K8059" t="s">
        <v>38522</v>
      </c>
      <c r="M8059" t="s">
        <v>41485</v>
      </c>
      <c r="N8059" t="s">
        <v>42669</v>
      </c>
      <c r="O8059" t="s">
        <v>42670</v>
      </c>
      <c r="P8059">
        <v>0</v>
      </c>
      <c r="Q8059">
        <v>16</v>
      </c>
      <c r="R8059" t="s">
        <v>42678</v>
      </c>
      <c r="S8059" t="s">
        <v>42866</v>
      </c>
      <c r="T8059" t="s">
        <v>44355</v>
      </c>
      <c r="U8059" t="s">
        <v>51418</v>
      </c>
      <c r="W8059" t="s">
        <v>41485</v>
      </c>
      <c r="X8059" t="s">
        <v>42679</v>
      </c>
    </row>
    <row r="8060" spans="1:24">
      <c r="A8060">
        <f>HYPERLINK("https://www.philgeps.gov.ph/GEPSNONPILOT/Tender/SplashBidNoticeAbstractUI.aspx?menuIndex=3&amp;refID=7183330&amp;Result=3","7183330")</f>
        <v>0</v>
      </c>
      <c r="B8060" t="s">
        <v>252</v>
      </c>
      <c r="C8060" t="s">
        <v>11237</v>
      </c>
      <c r="D8060" t="s">
        <v>17160</v>
      </c>
      <c r="E8060" t="s">
        <v>24190</v>
      </c>
      <c r="F8060" t="s">
        <v>29372</v>
      </c>
      <c r="G8060" t="s">
        <v>29380</v>
      </c>
      <c r="H8060" t="s">
        <v>29389</v>
      </c>
      <c r="I8060" t="s">
        <v>10408</v>
      </c>
      <c r="J8060" t="s">
        <v>29543</v>
      </c>
      <c r="K8060" t="s">
        <v>38485</v>
      </c>
      <c r="M8060" t="s">
        <v>39011</v>
      </c>
      <c r="N8060" t="s">
        <v>42669</v>
      </c>
      <c r="O8060" t="s">
        <v>42670</v>
      </c>
      <c r="P8060">
        <v>0</v>
      </c>
      <c r="Q8060">
        <v>0</v>
      </c>
      <c r="R8060" t="s">
        <v>42678</v>
      </c>
      <c r="S8060" t="s">
        <v>42866</v>
      </c>
      <c r="T8060" t="s">
        <v>44468</v>
      </c>
      <c r="U8060" t="s">
        <v>51419</v>
      </c>
      <c r="V8060" t="s">
        <v>57249</v>
      </c>
      <c r="W8060" t="s">
        <v>39011</v>
      </c>
      <c r="X8060" t="s">
        <v>42679</v>
      </c>
    </row>
    <row r="8061" spans="1:24">
      <c r="A8061">
        <f>HYPERLINK("https://www.philgeps.gov.ph/GEPSNONPILOT/Tender/SplashBidNoticeAbstractUI.aspx?menuIndex=3&amp;refID=7183348&amp;Result=3","7183348")</f>
        <v>0</v>
      </c>
      <c r="B8061" t="s">
        <v>2498</v>
      </c>
      <c r="C8061" t="s">
        <v>11238</v>
      </c>
      <c r="D8061" t="s">
        <v>17158</v>
      </c>
      <c r="E8061" t="s">
        <v>24191</v>
      </c>
      <c r="F8061" t="s">
        <v>29372</v>
      </c>
      <c r="G8061" t="s">
        <v>29380</v>
      </c>
      <c r="H8061" t="s">
        <v>11048</v>
      </c>
      <c r="I8061" t="s">
        <v>5383</v>
      </c>
      <c r="J8061" t="s">
        <v>34736</v>
      </c>
      <c r="K8061" t="s">
        <v>38485</v>
      </c>
      <c r="M8061" t="s">
        <v>41451</v>
      </c>
      <c r="N8061" t="s">
        <v>42669</v>
      </c>
      <c r="O8061" t="s">
        <v>42670</v>
      </c>
      <c r="P8061">
        <v>0</v>
      </c>
      <c r="Q8061">
        <v>1</v>
      </c>
      <c r="R8061" t="s">
        <v>42678</v>
      </c>
      <c r="S8061" t="s">
        <v>42866</v>
      </c>
      <c r="T8061" t="s">
        <v>44517</v>
      </c>
      <c r="U8061" t="s">
        <v>51294</v>
      </c>
      <c r="W8061" t="s">
        <v>41451</v>
      </c>
      <c r="X8061" t="s">
        <v>42679</v>
      </c>
    </row>
    <row r="8062" spans="1:24">
      <c r="A8062">
        <f>HYPERLINK("https://www.philgeps.gov.ph/GEPSNONPILOT/Tender/SplashBidNoticeAbstractUI.aspx?menuIndex=3&amp;refID=7183347&amp;Result=3","7183347")</f>
        <v>0</v>
      </c>
      <c r="B8062" t="s">
        <v>252</v>
      </c>
      <c r="C8062" t="s">
        <v>11239</v>
      </c>
      <c r="D8062" t="s">
        <v>17160</v>
      </c>
      <c r="E8062" t="s">
        <v>24192</v>
      </c>
      <c r="F8062" t="s">
        <v>29372</v>
      </c>
      <c r="G8062" t="s">
        <v>29380</v>
      </c>
      <c r="H8062" t="s">
        <v>11048</v>
      </c>
      <c r="I8062" t="s">
        <v>3839</v>
      </c>
      <c r="J8062" t="s">
        <v>34737</v>
      </c>
      <c r="K8062" t="s">
        <v>38489</v>
      </c>
      <c r="M8062" t="s">
        <v>39011</v>
      </c>
      <c r="N8062" t="s">
        <v>42669</v>
      </c>
      <c r="O8062" t="s">
        <v>42670</v>
      </c>
      <c r="P8062">
        <v>0</v>
      </c>
      <c r="Q8062">
        <v>4</v>
      </c>
      <c r="R8062" t="s">
        <v>42678</v>
      </c>
      <c r="S8062" t="s">
        <v>42866</v>
      </c>
      <c r="T8062" t="s">
        <v>44468</v>
      </c>
      <c r="U8062" t="s">
        <v>51420</v>
      </c>
      <c r="V8062" t="s">
        <v>57235</v>
      </c>
      <c r="W8062" t="s">
        <v>39011</v>
      </c>
      <c r="X8062" t="s">
        <v>42679</v>
      </c>
    </row>
    <row r="8063" spans="1:24">
      <c r="A8063">
        <f>HYPERLINK("https://www.philgeps.gov.ph/GEPSNONPILOT/Tender/SplashBidNoticeAbstractUI.aspx?menuIndex=3&amp;refID=7183407&amp;Result=3","7183407")</f>
        <v>0</v>
      </c>
      <c r="B8063" t="s">
        <v>2524</v>
      </c>
      <c r="C8063" t="s">
        <v>11240</v>
      </c>
      <c r="D8063" t="s">
        <v>17172</v>
      </c>
      <c r="E8063" t="s">
        <v>24193</v>
      </c>
      <c r="F8063" t="s">
        <v>29372</v>
      </c>
      <c r="G8063" t="s">
        <v>29380</v>
      </c>
      <c r="H8063" t="s">
        <v>29389</v>
      </c>
      <c r="I8063" t="s">
        <v>10408</v>
      </c>
      <c r="J8063" t="s">
        <v>34738</v>
      </c>
      <c r="K8063" t="s">
        <v>38665</v>
      </c>
      <c r="M8063" t="s">
        <v>41486</v>
      </c>
      <c r="N8063" t="s">
        <v>42669</v>
      </c>
      <c r="O8063" t="s">
        <v>42670</v>
      </c>
      <c r="P8063">
        <v>0</v>
      </c>
      <c r="Q8063">
        <v>3</v>
      </c>
      <c r="R8063" t="s">
        <v>42678</v>
      </c>
      <c r="S8063" t="s">
        <v>42866</v>
      </c>
      <c r="T8063" t="s">
        <v>44355</v>
      </c>
      <c r="U8063" t="s">
        <v>51421</v>
      </c>
      <c r="W8063" t="s">
        <v>41486</v>
      </c>
      <c r="X8063" t="s">
        <v>42679</v>
      </c>
    </row>
    <row r="8064" spans="1:24">
      <c r="A8064">
        <f>HYPERLINK("https://www.philgeps.gov.ph/GEPSNONPILOT/Tender/SplashBidNoticeAbstractUI.aspx?menuIndex=3&amp;refID=7183404&amp;Result=3","7183404")</f>
        <v>0</v>
      </c>
      <c r="B8064" t="s">
        <v>2525</v>
      </c>
      <c r="C8064" t="s">
        <v>11241</v>
      </c>
      <c r="D8064" t="s">
        <v>17221</v>
      </c>
      <c r="E8064" t="s">
        <v>18590</v>
      </c>
      <c r="F8064" t="s">
        <v>29372</v>
      </c>
      <c r="G8064" t="s">
        <v>29380</v>
      </c>
      <c r="H8064" t="s">
        <v>29389</v>
      </c>
      <c r="I8064" t="s">
        <v>10408</v>
      </c>
      <c r="J8064" t="s">
        <v>31449</v>
      </c>
      <c r="K8064" t="s">
        <v>38495</v>
      </c>
      <c r="M8064" t="s">
        <v>41487</v>
      </c>
      <c r="N8064" t="s">
        <v>42669</v>
      </c>
      <c r="O8064" t="s">
        <v>42670</v>
      </c>
      <c r="P8064">
        <v>0</v>
      </c>
      <c r="Q8064">
        <v>0</v>
      </c>
      <c r="R8064" t="s">
        <v>42678</v>
      </c>
      <c r="S8064" t="s">
        <v>42866</v>
      </c>
      <c r="T8064" t="s">
        <v>44356</v>
      </c>
      <c r="U8064" t="s">
        <v>51422</v>
      </c>
      <c r="W8064" t="s">
        <v>41487</v>
      </c>
      <c r="X8064" t="s">
        <v>42679</v>
      </c>
    </row>
    <row r="8065" spans="1:24">
      <c r="A8065">
        <f>HYPERLINK("https://www.philgeps.gov.ph/GEPSNONPILOT/Tender/SplashBidNoticeAbstractUI.aspx?menuIndex=3&amp;refID=7183397&amp;Result=3","7183397")</f>
        <v>0</v>
      </c>
      <c r="B8065" t="s">
        <v>2526</v>
      </c>
      <c r="C8065" t="s">
        <v>11242</v>
      </c>
      <c r="E8065" t="s">
        <v>24194</v>
      </c>
      <c r="F8065" t="s">
        <v>29372</v>
      </c>
      <c r="G8065" t="s">
        <v>29380</v>
      </c>
      <c r="H8065" t="s">
        <v>11048</v>
      </c>
      <c r="I8065" t="s">
        <v>29419</v>
      </c>
      <c r="J8065" t="s">
        <v>34739</v>
      </c>
      <c r="K8065" t="s">
        <v>38485</v>
      </c>
      <c r="M8065" t="s">
        <v>41488</v>
      </c>
      <c r="N8065" t="s">
        <v>42669</v>
      </c>
      <c r="O8065" t="s">
        <v>42670</v>
      </c>
      <c r="P8065">
        <v>0</v>
      </c>
      <c r="Q8065">
        <v>5</v>
      </c>
      <c r="R8065" t="s">
        <v>42678</v>
      </c>
      <c r="S8065" t="s">
        <v>42866</v>
      </c>
      <c r="T8065" t="s">
        <v>44394</v>
      </c>
      <c r="U8065" t="s">
        <v>51423</v>
      </c>
      <c r="W8065" t="s">
        <v>41488</v>
      </c>
      <c r="X8065" t="s">
        <v>42679</v>
      </c>
    </row>
    <row r="8066" spans="1:24">
      <c r="A8066">
        <f>HYPERLINK("https://www.philgeps.gov.ph/GEPSNONPILOT/Tender/SplashBidNoticeAbstractUI.aspx?menuIndex=3&amp;refID=7183389&amp;Result=3","7183389")</f>
        <v>0</v>
      </c>
      <c r="B8066" t="s">
        <v>1828</v>
      </c>
      <c r="C8066" t="s">
        <v>3816</v>
      </c>
      <c r="D8066" t="s">
        <v>17197</v>
      </c>
      <c r="E8066" t="s">
        <v>24195</v>
      </c>
      <c r="F8066" t="s">
        <v>29372</v>
      </c>
      <c r="G8066" t="s">
        <v>29383</v>
      </c>
      <c r="H8066" t="s">
        <v>11048</v>
      </c>
      <c r="I8066" t="s">
        <v>5383</v>
      </c>
      <c r="J8066" t="s">
        <v>34740</v>
      </c>
      <c r="K8066" t="s">
        <v>38485</v>
      </c>
      <c r="M8066" t="s">
        <v>40699</v>
      </c>
      <c r="N8066" t="s">
        <v>42669</v>
      </c>
      <c r="O8066" t="s">
        <v>42670</v>
      </c>
      <c r="P8066">
        <v>0</v>
      </c>
      <c r="Q8066">
        <v>0</v>
      </c>
      <c r="R8066" t="s">
        <v>42678</v>
      </c>
      <c r="S8066" t="s">
        <v>42866</v>
      </c>
      <c r="T8066" t="s">
        <v>44493</v>
      </c>
      <c r="U8066" t="s">
        <v>51424</v>
      </c>
      <c r="W8066" t="s">
        <v>40699</v>
      </c>
      <c r="X8066" t="s">
        <v>42679</v>
      </c>
    </row>
    <row r="8067" spans="1:24">
      <c r="A8067">
        <f>HYPERLINK("https://www.philgeps.gov.ph/GEPSNONPILOT/Tender/SplashBidNoticeAbstractUI.aspx?menuIndex=3&amp;refID=7183386&amp;Result=3","7183386")</f>
        <v>0</v>
      </c>
      <c r="B8067" t="s">
        <v>2527</v>
      </c>
      <c r="C8067" t="s">
        <v>11243</v>
      </c>
      <c r="D8067" t="s">
        <v>17181</v>
      </c>
      <c r="E8067" t="s">
        <v>17540</v>
      </c>
      <c r="F8067" t="s">
        <v>29372</v>
      </c>
      <c r="G8067" t="s">
        <v>29380</v>
      </c>
      <c r="H8067" t="s">
        <v>29389</v>
      </c>
      <c r="I8067" t="s">
        <v>10408</v>
      </c>
      <c r="J8067" t="s">
        <v>34741</v>
      </c>
      <c r="K8067" t="s">
        <v>38564</v>
      </c>
      <c r="M8067" t="s">
        <v>41489</v>
      </c>
      <c r="N8067" t="s">
        <v>42669</v>
      </c>
      <c r="O8067" t="s">
        <v>42670</v>
      </c>
      <c r="P8067">
        <v>0</v>
      </c>
      <c r="Q8067">
        <v>1</v>
      </c>
      <c r="R8067" t="s">
        <v>42678</v>
      </c>
      <c r="S8067" t="s">
        <v>42866</v>
      </c>
      <c r="T8067" t="s">
        <v>44517</v>
      </c>
      <c r="U8067" t="s">
        <v>51425</v>
      </c>
      <c r="W8067" t="s">
        <v>41489</v>
      </c>
      <c r="X8067" t="s">
        <v>42679</v>
      </c>
    </row>
    <row r="8068" spans="1:24">
      <c r="A8068">
        <f>HYPERLINK("https://www.philgeps.gov.ph/GEPSNONPILOT/Tender/SplashBidNoticeAbstractUI.aspx?menuIndex=3&amp;refID=7183382&amp;Result=3","7183382")</f>
        <v>0</v>
      </c>
      <c r="B8068" t="s">
        <v>983</v>
      </c>
      <c r="C8068" t="s">
        <v>11244</v>
      </c>
      <c r="D8068" t="s">
        <v>17189</v>
      </c>
      <c r="E8068" t="s">
        <v>24196</v>
      </c>
      <c r="F8068" t="s">
        <v>29372</v>
      </c>
      <c r="G8068" t="s">
        <v>29380</v>
      </c>
      <c r="H8068" t="s">
        <v>11048</v>
      </c>
      <c r="I8068" t="s">
        <v>4709</v>
      </c>
      <c r="J8068" t="s">
        <v>34742</v>
      </c>
      <c r="K8068" t="s">
        <v>38488</v>
      </c>
      <c r="M8068" t="s">
        <v>39781</v>
      </c>
      <c r="N8068" t="s">
        <v>42669</v>
      </c>
      <c r="O8068" t="s">
        <v>42670</v>
      </c>
      <c r="P8068">
        <v>0</v>
      </c>
      <c r="Q8068">
        <v>1</v>
      </c>
      <c r="R8068" t="s">
        <v>42678</v>
      </c>
      <c r="S8068" t="s">
        <v>42866</v>
      </c>
      <c r="T8068" t="s">
        <v>44744</v>
      </c>
      <c r="U8068" t="s">
        <v>51426</v>
      </c>
      <c r="V8068" t="s">
        <v>57250</v>
      </c>
      <c r="W8068" t="s">
        <v>39781</v>
      </c>
      <c r="X8068" t="s">
        <v>42679</v>
      </c>
    </row>
    <row r="8069" spans="1:24">
      <c r="A8069">
        <f>HYPERLINK("https://www.philgeps.gov.ph/GEPSNONPILOT/Tender/SplashBidNoticeAbstractUI.aspx?menuIndex=3&amp;refID=7183338&amp;Result=3","7183338")</f>
        <v>0</v>
      </c>
      <c r="B8069" t="s">
        <v>2528</v>
      </c>
      <c r="C8069" t="s">
        <v>11245</v>
      </c>
      <c r="D8069" t="s">
        <v>17143</v>
      </c>
      <c r="E8069" t="s">
        <v>24197</v>
      </c>
      <c r="F8069" t="s">
        <v>29372</v>
      </c>
      <c r="G8069" t="s">
        <v>29380</v>
      </c>
      <c r="H8069" t="s">
        <v>29389</v>
      </c>
      <c r="I8069" t="s">
        <v>10408</v>
      </c>
      <c r="J8069" t="s">
        <v>34743</v>
      </c>
      <c r="K8069" t="s">
        <v>38509</v>
      </c>
      <c r="M8069" t="s">
        <v>41490</v>
      </c>
      <c r="N8069" t="s">
        <v>42669</v>
      </c>
      <c r="O8069" t="s">
        <v>42670</v>
      </c>
      <c r="P8069">
        <v>0</v>
      </c>
      <c r="Q8069">
        <v>0</v>
      </c>
      <c r="R8069" t="s">
        <v>42678</v>
      </c>
      <c r="S8069" t="s">
        <v>42866</v>
      </c>
      <c r="T8069" t="s">
        <v>44355</v>
      </c>
      <c r="U8069" t="s">
        <v>51427</v>
      </c>
      <c r="V8069" t="s">
        <v>57251</v>
      </c>
      <c r="W8069" t="s">
        <v>41490</v>
      </c>
      <c r="X8069" t="s">
        <v>42679</v>
      </c>
    </row>
    <row r="8070" spans="1:24">
      <c r="A8070">
        <f>HYPERLINK("https://www.philgeps.gov.ph/GEPSNONPILOT/Tender/SplashBidNoticeAbstractUI.aspx?menuIndex=3&amp;refID=7183378&amp;Result=3","7183378")</f>
        <v>0</v>
      </c>
      <c r="B8070" t="s">
        <v>2498</v>
      </c>
      <c r="C8070" t="s">
        <v>11246</v>
      </c>
      <c r="D8070" t="s">
        <v>17158</v>
      </c>
      <c r="E8070" t="s">
        <v>24198</v>
      </c>
      <c r="F8070" t="s">
        <v>29372</v>
      </c>
      <c r="G8070" t="s">
        <v>29380</v>
      </c>
      <c r="H8070" t="s">
        <v>11048</v>
      </c>
      <c r="I8070" t="s">
        <v>5383</v>
      </c>
      <c r="J8070" t="s">
        <v>34734</v>
      </c>
      <c r="K8070" t="s">
        <v>38485</v>
      </c>
      <c r="M8070" t="s">
        <v>41451</v>
      </c>
      <c r="N8070" t="s">
        <v>42669</v>
      </c>
      <c r="O8070" t="s">
        <v>42670</v>
      </c>
      <c r="P8070">
        <v>0</v>
      </c>
      <c r="Q8070">
        <v>0</v>
      </c>
      <c r="R8070" t="s">
        <v>42678</v>
      </c>
      <c r="S8070" t="s">
        <v>42866</v>
      </c>
      <c r="T8070" t="s">
        <v>44517</v>
      </c>
      <c r="U8070" t="s">
        <v>51294</v>
      </c>
      <c r="W8070" t="s">
        <v>41451</v>
      </c>
      <c r="X8070" t="s">
        <v>42679</v>
      </c>
    </row>
    <row r="8071" spans="1:24">
      <c r="A8071">
        <f>HYPERLINK("https://www.philgeps.gov.ph/GEPSNONPILOT/Tender/SplashBidNoticeAbstractUI.aspx?menuIndex=3&amp;refID=7183377&amp;Result=3","7183377")</f>
        <v>0</v>
      </c>
      <c r="B8071" t="s">
        <v>2498</v>
      </c>
      <c r="C8071" t="s">
        <v>11247</v>
      </c>
      <c r="D8071" t="s">
        <v>17158</v>
      </c>
      <c r="E8071" t="s">
        <v>24199</v>
      </c>
      <c r="F8071" t="s">
        <v>29372</v>
      </c>
      <c r="G8071" t="s">
        <v>29380</v>
      </c>
      <c r="H8071" t="s">
        <v>11048</v>
      </c>
      <c r="I8071" t="s">
        <v>5383</v>
      </c>
      <c r="J8071" t="s">
        <v>34744</v>
      </c>
      <c r="K8071" t="s">
        <v>38485</v>
      </c>
      <c r="M8071" t="s">
        <v>41451</v>
      </c>
      <c r="N8071" t="s">
        <v>42669</v>
      </c>
      <c r="O8071" t="s">
        <v>42670</v>
      </c>
      <c r="P8071">
        <v>0</v>
      </c>
      <c r="Q8071">
        <v>2</v>
      </c>
      <c r="R8071" t="s">
        <v>42678</v>
      </c>
      <c r="S8071" t="s">
        <v>42866</v>
      </c>
      <c r="T8071" t="s">
        <v>44517</v>
      </c>
      <c r="U8071" t="s">
        <v>51294</v>
      </c>
      <c r="W8071" t="s">
        <v>41451</v>
      </c>
      <c r="X8071" t="s">
        <v>42679</v>
      </c>
    </row>
    <row r="8072" spans="1:24">
      <c r="A8072">
        <f>HYPERLINK("https://www.philgeps.gov.ph/GEPSNONPILOT/Tender/SplashBidNoticeAbstractUI.aspx?menuIndex=3&amp;refID=7183373&amp;Result=3","7183373")</f>
        <v>0</v>
      </c>
      <c r="B8072" t="s">
        <v>956</v>
      </c>
      <c r="C8072" t="s">
        <v>11248</v>
      </c>
      <c r="D8072" t="s">
        <v>17141</v>
      </c>
      <c r="E8072" t="s">
        <v>24200</v>
      </c>
      <c r="F8072" t="s">
        <v>29372</v>
      </c>
      <c r="G8072" t="s">
        <v>29380</v>
      </c>
      <c r="H8072" t="s">
        <v>11048</v>
      </c>
      <c r="I8072" t="s">
        <v>9469</v>
      </c>
      <c r="J8072" t="s">
        <v>34745</v>
      </c>
      <c r="K8072" t="s">
        <v>38487</v>
      </c>
      <c r="M8072" t="s">
        <v>39938</v>
      </c>
      <c r="N8072" t="s">
        <v>42669</v>
      </c>
      <c r="O8072" t="s">
        <v>42670</v>
      </c>
      <c r="P8072">
        <v>0</v>
      </c>
      <c r="Q8072">
        <v>6</v>
      </c>
      <c r="R8072" t="s">
        <v>42678</v>
      </c>
      <c r="S8072" t="s">
        <v>42866</v>
      </c>
      <c r="T8072" t="s">
        <v>44630</v>
      </c>
      <c r="U8072" t="s">
        <v>51428</v>
      </c>
      <c r="W8072" t="s">
        <v>39938</v>
      </c>
      <c r="X8072" t="s">
        <v>42679</v>
      </c>
    </row>
    <row r="8073" spans="1:24">
      <c r="A8073">
        <f>HYPERLINK("https://www.philgeps.gov.ph/GEPSNONPILOT/Tender/SplashBidNoticeAbstractUI.aspx?menuIndex=3&amp;refID=7183366&amp;Result=3","7183366")</f>
        <v>0</v>
      </c>
      <c r="B8073" t="s">
        <v>2498</v>
      </c>
      <c r="C8073" t="s">
        <v>11249</v>
      </c>
      <c r="D8073" t="s">
        <v>17158</v>
      </c>
      <c r="E8073" t="s">
        <v>24201</v>
      </c>
      <c r="F8073" t="s">
        <v>29372</v>
      </c>
      <c r="G8073" t="s">
        <v>29380</v>
      </c>
      <c r="H8073" t="s">
        <v>11048</v>
      </c>
      <c r="I8073" t="s">
        <v>5383</v>
      </c>
      <c r="J8073" t="s">
        <v>34746</v>
      </c>
      <c r="K8073" t="s">
        <v>38485</v>
      </c>
      <c r="M8073" t="s">
        <v>41451</v>
      </c>
      <c r="N8073" t="s">
        <v>42669</v>
      </c>
      <c r="O8073" t="s">
        <v>42670</v>
      </c>
      <c r="P8073">
        <v>0</v>
      </c>
      <c r="Q8073">
        <v>1</v>
      </c>
      <c r="R8073" t="s">
        <v>42678</v>
      </c>
      <c r="S8073" t="s">
        <v>42866</v>
      </c>
      <c r="T8073" t="s">
        <v>44517</v>
      </c>
      <c r="U8073" t="s">
        <v>51294</v>
      </c>
      <c r="W8073" t="s">
        <v>41451</v>
      </c>
      <c r="X8073" t="s">
        <v>42679</v>
      </c>
    </row>
    <row r="8074" spans="1:24">
      <c r="A8074">
        <f>HYPERLINK("https://www.philgeps.gov.ph/GEPSNONPILOT/Tender/SplashBidNoticeAbstractUI.aspx?menuIndex=3&amp;refID=7183381&amp;Result=3","7183381")</f>
        <v>0</v>
      </c>
      <c r="B8074" t="s">
        <v>2498</v>
      </c>
      <c r="C8074" t="s">
        <v>11250</v>
      </c>
      <c r="D8074" t="s">
        <v>17158</v>
      </c>
      <c r="E8074" t="s">
        <v>24202</v>
      </c>
      <c r="F8074" t="s">
        <v>29372</v>
      </c>
      <c r="G8074" t="s">
        <v>29380</v>
      </c>
      <c r="H8074" t="s">
        <v>11048</v>
      </c>
      <c r="I8074" t="s">
        <v>5383</v>
      </c>
      <c r="J8074" t="s">
        <v>34747</v>
      </c>
      <c r="K8074" t="s">
        <v>38485</v>
      </c>
      <c r="M8074" t="s">
        <v>41451</v>
      </c>
      <c r="N8074" t="s">
        <v>42669</v>
      </c>
      <c r="O8074" t="s">
        <v>42670</v>
      </c>
      <c r="P8074">
        <v>0</v>
      </c>
      <c r="Q8074">
        <v>0</v>
      </c>
      <c r="R8074" t="s">
        <v>42678</v>
      </c>
      <c r="S8074" t="s">
        <v>42866</v>
      </c>
      <c r="T8074" t="s">
        <v>44517</v>
      </c>
      <c r="U8074" t="s">
        <v>51294</v>
      </c>
      <c r="W8074" t="s">
        <v>41451</v>
      </c>
      <c r="X8074" t="s">
        <v>42679</v>
      </c>
    </row>
    <row r="8075" spans="1:24">
      <c r="A8075">
        <f>HYPERLINK("https://www.philgeps.gov.ph/GEPSNONPILOT/Tender/SplashBidNoticeAbstractUI.aspx?menuIndex=3&amp;refID=7183365&amp;Result=3","7183365")</f>
        <v>0</v>
      </c>
      <c r="B8075" t="s">
        <v>1828</v>
      </c>
      <c r="C8075" t="s">
        <v>11251</v>
      </c>
      <c r="D8075" t="s">
        <v>17197</v>
      </c>
      <c r="E8075" t="s">
        <v>24203</v>
      </c>
      <c r="F8075" t="s">
        <v>29372</v>
      </c>
      <c r="G8075" t="s">
        <v>29383</v>
      </c>
      <c r="H8075" t="s">
        <v>11048</v>
      </c>
      <c r="I8075" t="s">
        <v>29409</v>
      </c>
      <c r="J8075" t="s">
        <v>34748</v>
      </c>
      <c r="K8075" t="s">
        <v>38485</v>
      </c>
      <c r="M8075" t="s">
        <v>40699</v>
      </c>
      <c r="N8075" t="s">
        <v>42669</v>
      </c>
      <c r="O8075" t="s">
        <v>42670</v>
      </c>
      <c r="P8075">
        <v>0</v>
      </c>
      <c r="Q8075">
        <v>2</v>
      </c>
      <c r="R8075" t="s">
        <v>42678</v>
      </c>
      <c r="S8075" t="s">
        <v>42866</v>
      </c>
      <c r="T8075" t="s">
        <v>44493</v>
      </c>
      <c r="U8075" t="s">
        <v>51429</v>
      </c>
      <c r="W8075" t="s">
        <v>40699</v>
      </c>
      <c r="X8075" t="s">
        <v>42679</v>
      </c>
    </row>
    <row r="8076" spans="1:24">
      <c r="A8076">
        <f>HYPERLINK("https://www.philgeps.gov.ph/GEPSNONPILOT/Tender/SplashBidNoticeAbstractUI.aspx?menuIndex=3&amp;refID=7183334&amp;Result=3","7183334")</f>
        <v>0</v>
      </c>
      <c r="B8076" t="s">
        <v>2521</v>
      </c>
      <c r="C8076" t="s">
        <v>7504</v>
      </c>
      <c r="D8076" t="s">
        <v>17164</v>
      </c>
      <c r="E8076" t="s">
        <v>24204</v>
      </c>
      <c r="F8076" t="s">
        <v>29372</v>
      </c>
      <c r="G8076" t="s">
        <v>29380</v>
      </c>
      <c r="H8076" t="s">
        <v>29389</v>
      </c>
      <c r="I8076" t="s">
        <v>10408</v>
      </c>
      <c r="J8076" t="s">
        <v>29619</v>
      </c>
      <c r="K8076" t="s">
        <v>38518</v>
      </c>
      <c r="M8076" t="s">
        <v>41482</v>
      </c>
      <c r="N8076" t="s">
        <v>42669</v>
      </c>
      <c r="O8076" t="s">
        <v>42670</v>
      </c>
      <c r="P8076">
        <v>0</v>
      </c>
      <c r="Q8076">
        <v>0</v>
      </c>
      <c r="R8076" t="s">
        <v>42678</v>
      </c>
      <c r="S8076" t="s">
        <v>42866</v>
      </c>
      <c r="T8076" t="s">
        <v>44378</v>
      </c>
      <c r="U8076" t="s">
        <v>51430</v>
      </c>
      <c r="W8076" t="s">
        <v>41482</v>
      </c>
      <c r="X8076" t="s">
        <v>42679</v>
      </c>
    </row>
    <row r="8077" spans="1:24">
      <c r="A8077">
        <f>HYPERLINK("https://www.philgeps.gov.ph/GEPSNONPILOT/Tender/SplashBidNoticeAbstractUI.aspx?menuIndex=3&amp;refID=7183367&amp;Result=3","7183367")</f>
        <v>0</v>
      </c>
      <c r="B8077" t="s">
        <v>2498</v>
      </c>
      <c r="C8077" t="s">
        <v>11252</v>
      </c>
      <c r="D8077" t="s">
        <v>17158</v>
      </c>
      <c r="E8077" t="s">
        <v>24205</v>
      </c>
      <c r="F8077" t="s">
        <v>29372</v>
      </c>
      <c r="G8077" t="s">
        <v>29380</v>
      </c>
      <c r="H8077" t="s">
        <v>11048</v>
      </c>
      <c r="I8077" t="s">
        <v>5383</v>
      </c>
      <c r="J8077" t="s">
        <v>29825</v>
      </c>
      <c r="K8077" t="s">
        <v>38485</v>
      </c>
      <c r="M8077" t="s">
        <v>41451</v>
      </c>
      <c r="N8077" t="s">
        <v>42669</v>
      </c>
      <c r="O8077" t="s">
        <v>42670</v>
      </c>
      <c r="P8077">
        <v>0</v>
      </c>
      <c r="Q8077">
        <v>2</v>
      </c>
      <c r="R8077" t="s">
        <v>42678</v>
      </c>
      <c r="S8077" t="s">
        <v>42866</v>
      </c>
      <c r="T8077" t="s">
        <v>44517</v>
      </c>
      <c r="U8077" t="s">
        <v>51294</v>
      </c>
      <c r="W8077" t="s">
        <v>41451</v>
      </c>
      <c r="X8077" t="s">
        <v>42679</v>
      </c>
    </row>
    <row r="8078" spans="1:24">
      <c r="A8078">
        <f>HYPERLINK("https://www.philgeps.gov.ph/GEPSNONPILOT/Tender/SplashBidNoticeAbstractUI.aspx?menuIndex=3&amp;refID=7183359&amp;Result=3","7183359")</f>
        <v>0</v>
      </c>
      <c r="B8078" t="s">
        <v>252</v>
      </c>
      <c r="C8078" t="s">
        <v>11239</v>
      </c>
      <c r="D8078" t="s">
        <v>17160</v>
      </c>
      <c r="E8078" t="s">
        <v>24206</v>
      </c>
      <c r="F8078" t="s">
        <v>29372</v>
      </c>
      <c r="G8078" t="s">
        <v>29380</v>
      </c>
      <c r="H8078" t="s">
        <v>11048</v>
      </c>
      <c r="I8078" t="s">
        <v>3839</v>
      </c>
      <c r="J8078" t="s">
        <v>30924</v>
      </c>
      <c r="K8078" t="s">
        <v>38489</v>
      </c>
      <c r="M8078" t="s">
        <v>39011</v>
      </c>
      <c r="N8078" t="s">
        <v>42669</v>
      </c>
      <c r="O8078" t="s">
        <v>42670</v>
      </c>
      <c r="P8078">
        <v>0</v>
      </c>
      <c r="Q8078">
        <v>3</v>
      </c>
      <c r="R8078" t="s">
        <v>42678</v>
      </c>
      <c r="S8078" t="s">
        <v>42866</v>
      </c>
      <c r="T8078" t="s">
        <v>44468</v>
      </c>
      <c r="U8078" t="s">
        <v>51431</v>
      </c>
      <c r="V8078" t="s">
        <v>57252</v>
      </c>
      <c r="W8078" t="s">
        <v>39011</v>
      </c>
      <c r="X8078" t="s">
        <v>42679</v>
      </c>
    </row>
    <row r="8079" spans="1:24">
      <c r="A8079">
        <f>HYPERLINK("https://www.philgeps.gov.ph/GEPSNONPILOT/Tender/SplashBidNoticeAbstractUI.aspx?menuIndex=3&amp;refID=7183336&amp;Result=3","7183336")</f>
        <v>0</v>
      </c>
      <c r="B8079" t="s">
        <v>2498</v>
      </c>
      <c r="C8079" t="s">
        <v>11253</v>
      </c>
      <c r="D8079" t="s">
        <v>17158</v>
      </c>
      <c r="E8079" t="s">
        <v>24207</v>
      </c>
      <c r="F8079" t="s">
        <v>29372</v>
      </c>
      <c r="G8079" t="s">
        <v>29380</v>
      </c>
      <c r="H8079" t="s">
        <v>11048</v>
      </c>
      <c r="I8079" t="s">
        <v>5383</v>
      </c>
      <c r="J8079" t="s">
        <v>34749</v>
      </c>
      <c r="K8079" t="s">
        <v>38485</v>
      </c>
      <c r="M8079" t="s">
        <v>41451</v>
      </c>
      <c r="N8079" t="s">
        <v>42669</v>
      </c>
      <c r="O8079" t="s">
        <v>42670</v>
      </c>
      <c r="P8079">
        <v>0</v>
      </c>
      <c r="Q8079">
        <v>2</v>
      </c>
      <c r="R8079" t="s">
        <v>42678</v>
      </c>
      <c r="S8079" t="s">
        <v>42866</v>
      </c>
      <c r="T8079" t="s">
        <v>44517</v>
      </c>
      <c r="U8079" t="s">
        <v>51294</v>
      </c>
      <c r="W8079" t="s">
        <v>41451</v>
      </c>
      <c r="X8079" t="s">
        <v>42679</v>
      </c>
    </row>
    <row r="8080" spans="1:24">
      <c r="A8080">
        <f>HYPERLINK("https://www.philgeps.gov.ph/GEPSNONPILOT/Tender/SplashBidNoticeAbstractUI.aspx?menuIndex=3&amp;refID=7183355&amp;Result=3","7183355")</f>
        <v>0</v>
      </c>
      <c r="B8080" t="s">
        <v>2498</v>
      </c>
      <c r="C8080" t="s">
        <v>11254</v>
      </c>
      <c r="D8080" t="s">
        <v>17158</v>
      </c>
      <c r="E8080" t="s">
        <v>24208</v>
      </c>
      <c r="F8080" t="s">
        <v>29372</v>
      </c>
      <c r="G8080" t="s">
        <v>29380</v>
      </c>
      <c r="H8080" t="s">
        <v>11048</v>
      </c>
      <c r="I8080" t="s">
        <v>5383</v>
      </c>
      <c r="J8080" t="s">
        <v>34750</v>
      </c>
      <c r="K8080" t="s">
        <v>38485</v>
      </c>
      <c r="M8080" t="s">
        <v>41451</v>
      </c>
      <c r="N8080" t="s">
        <v>42669</v>
      </c>
      <c r="O8080" t="s">
        <v>42670</v>
      </c>
      <c r="P8080">
        <v>0</v>
      </c>
      <c r="Q8080">
        <v>2</v>
      </c>
      <c r="R8080" t="s">
        <v>42678</v>
      </c>
      <c r="S8080" t="s">
        <v>42866</v>
      </c>
      <c r="T8080" t="s">
        <v>44517</v>
      </c>
      <c r="U8080" t="s">
        <v>51294</v>
      </c>
      <c r="W8080" t="s">
        <v>41451</v>
      </c>
      <c r="X8080" t="s">
        <v>42679</v>
      </c>
    </row>
    <row r="8081" spans="1:24">
      <c r="A8081">
        <f>HYPERLINK("https://www.philgeps.gov.ph/GEPSNONPILOT/Tender/SplashBidNoticeAbstractUI.aspx?menuIndex=3&amp;refID=7183362&amp;Result=3","7183362")</f>
        <v>0</v>
      </c>
      <c r="B8081" t="s">
        <v>733</v>
      </c>
      <c r="C8081" t="s">
        <v>11255</v>
      </c>
      <c r="D8081" t="s">
        <v>17156</v>
      </c>
      <c r="E8081" t="s">
        <v>24209</v>
      </c>
      <c r="F8081" t="s">
        <v>29372</v>
      </c>
      <c r="G8081" t="s">
        <v>29380</v>
      </c>
      <c r="H8081" t="s">
        <v>29389</v>
      </c>
      <c r="I8081" t="s">
        <v>10408</v>
      </c>
      <c r="J8081" t="s">
        <v>34751</v>
      </c>
      <c r="K8081" t="s">
        <v>38690</v>
      </c>
      <c r="M8081" t="s">
        <v>39514</v>
      </c>
      <c r="N8081" t="s">
        <v>42669</v>
      </c>
      <c r="O8081" t="s">
        <v>42670</v>
      </c>
      <c r="P8081">
        <v>0</v>
      </c>
      <c r="Q8081">
        <v>2</v>
      </c>
      <c r="R8081" t="s">
        <v>42678</v>
      </c>
      <c r="S8081" t="s">
        <v>42866</v>
      </c>
      <c r="T8081" t="s">
        <v>44368</v>
      </c>
      <c r="U8081" t="s">
        <v>51432</v>
      </c>
      <c r="V8081" t="s">
        <v>57253</v>
      </c>
      <c r="W8081" t="s">
        <v>58087</v>
      </c>
      <c r="X8081" t="s">
        <v>42679</v>
      </c>
    </row>
    <row r="8082" spans="1:24">
      <c r="A8082">
        <f>HYPERLINK("https://www.philgeps.gov.ph/GEPSNONPILOT/Tender/SplashBidNoticeAbstractUI.aspx?menuIndex=3&amp;refID=7183372&amp;Result=3","7183372")</f>
        <v>0</v>
      </c>
      <c r="B8082" t="s">
        <v>2498</v>
      </c>
      <c r="C8082" t="s">
        <v>11256</v>
      </c>
      <c r="D8082" t="s">
        <v>17158</v>
      </c>
      <c r="E8082" t="s">
        <v>24210</v>
      </c>
      <c r="F8082" t="s">
        <v>29372</v>
      </c>
      <c r="G8082" t="s">
        <v>29380</v>
      </c>
      <c r="H8082" t="s">
        <v>11048</v>
      </c>
      <c r="I8082" t="s">
        <v>5383</v>
      </c>
      <c r="J8082" t="s">
        <v>34752</v>
      </c>
      <c r="K8082" t="s">
        <v>38485</v>
      </c>
      <c r="M8082" t="s">
        <v>41451</v>
      </c>
      <c r="N8082" t="s">
        <v>42669</v>
      </c>
      <c r="O8082" t="s">
        <v>42670</v>
      </c>
      <c r="P8082">
        <v>0</v>
      </c>
      <c r="Q8082">
        <v>3</v>
      </c>
      <c r="R8082" t="s">
        <v>42678</v>
      </c>
      <c r="S8082" t="s">
        <v>42866</v>
      </c>
      <c r="T8082" t="s">
        <v>44517</v>
      </c>
      <c r="U8082" t="s">
        <v>51294</v>
      </c>
      <c r="W8082" t="s">
        <v>41451</v>
      </c>
      <c r="X8082" t="s">
        <v>42679</v>
      </c>
    </row>
    <row r="8083" spans="1:24">
      <c r="A8083">
        <f>HYPERLINK("https://www.philgeps.gov.ph/GEPSNONPILOT/Tender/SplashBidNoticeAbstractUI.aspx?menuIndex=3&amp;refID=7183325&amp;Result=3","7183325")</f>
        <v>0</v>
      </c>
      <c r="B8083" t="s">
        <v>733</v>
      </c>
      <c r="C8083" t="s">
        <v>11257</v>
      </c>
      <c r="D8083" t="s">
        <v>17156</v>
      </c>
      <c r="E8083" t="s">
        <v>24211</v>
      </c>
      <c r="F8083" t="s">
        <v>29372</v>
      </c>
      <c r="G8083" t="s">
        <v>29380</v>
      </c>
      <c r="H8083" t="s">
        <v>29389</v>
      </c>
      <c r="I8083" t="s">
        <v>10408</v>
      </c>
      <c r="J8083" t="s">
        <v>31850</v>
      </c>
      <c r="K8083" t="s">
        <v>38598</v>
      </c>
      <c r="M8083" t="s">
        <v>39514</v>
      </c>
      <c r="N8083" t="s">
        <v>42669</v>
      </c>
      <c r="O8083" t="s">
        <v>42670</v>
      </c>
      <c r="P8083">
        <v>0</v>
      </c>
      <c r="Q8083">
        <v>0</v>
      </c>
      <c r="R8083" t="s">
        <v>42678</v>
      </c>
      <c r="S8083" t="s">
        <v>42866</v>
      </c>
      <c r="T8083" t="s">
        <v>44368</v>
      </c>
      <c r="U8083" t="s">
        <v>51433</v>
      </c>
      <c r="V8083" t="s">
        <v>57254</v>
      </c>
      <c r="W8083" t="s">
        <v>58087</v>
      </c>
      <c r="X8083" t="s">
        <v>42679</v>
      </c>
    </row>
    <row r="8084" spans="1:24">
      <c r="A8084">
        <f>HYPERLINK("https://www.philgeps.gov.ph/GEPSNONPILOT/Tender/SplashBidNoticeAbstractUI.aspx?menuIndex=3&amp;refID=7183361&amp;Result=3","7183361")</f>
        <v>0</v>
      </c>
      <c r="B8084" t="s">
        <v>2498</v>
      </c>
      <c r="C8084" t="s">
        <v>11258</v>
      </c>
      <c r="D8084" t="s">
        <v>17158</v>
      </c>
      <c r="E8084" t="s">
        <v>24212</v>
      </c>
      <c r="F8084" t="s">
        <v>29372</v>
      </c>
      <c r="G8084" t="s">
        <v>29380</v>
      </c>
      <c r="H8084" t="s">
        <v>11048</v>
      </c>
      <c r="I8084" t="s">
        <v>5383</v>
      </c>
      <c r="J8084" t="s">
        <v>34753</v>
      </c>
      <c r="K8084" t="s">
        <v>38485</v>
      </c>
      <c r="M8084" t="s">
        <v>41451</v>
      </c>
      <c r="N8084" t="s">
        <v>42669</v>
      </c>
      <c r="O8084" t="s">
        <v>42670</v>
      </c>
      <c r="P8084">
        <v>0</v>
      </c>
      <c r="Q8084">
        <v>1</v>
      </c>
      <c r="R8084" t="s">
        <v>42678</v>
      </c>
      <c r="S8084" t="s">
        <v>42866</v>
      </c>
      <c r="T8084" t="s">
        <v>44517</v>
      </c>
      <c r="U8084" t="s">
        <v>51294</v>
      </c>
      <c r="W8084" t="s">
        <v>41451</v>
      </c>
      <c r="X8084" t="s">
        <v>42679</v>
      </c>
    </row>
    <row r="8085" spans="1:24">
      <c r="A8085">
        <f>HYPERLINK("https://www.philgeps.gov.ph/GEPSNONPILOT/Tender/SplashBidNoticeAbstractUI.aspx?menuIndex=3&amp;refID=7183342&amp;Result=3","7183342")</f>
        <v>0</v>
      </c>
      <c r="B8085" t="s">
        <v>733</v>
      </c>
      <c r="C8085" t="s">
        <v>11259</v>
      </c>
      <c r="D8085" t="s">
        <v>17156</v>
      </c>
      <c r="E8085" t="s">
        <v>24213</v>
      </c>
      <c r="F8085" t="s">
        <v>29372</v>
      </c>
      <c r="G8085" t="s">
        <v>29380</v>
      </c>
      <c r="H8085" t="s">
        <v>29389</v>
      </c>
      <c r="I8085" t="s">
        <v>10408</v>
      </c>
      <c r="J8085" t="s">
        <v>34754</v>
      </c>
      <c r="K8085" t="s">
        <v>38525</v>
      </c>
      <c r="M8085" t="s">
        <v>39514</v>
      </c>
      <c r="N8085" t="s">
        <v>42669</v>
      </c>
      <c r="O8085" t="s">
        <v>42670</v>
      </c>
      <c r="P8085">
        <v>0</v>
      </c>
      <c r="Q8085">
        <v>2</v>
      </c>
      <c r="R8085" t="s">
        <v>42678</v>
      </c>
      <c r="S8085" t="s">
        <v>42866</v>
      </c>
      <c r="T8085" t="s">
        <v>44368</v>
      </c>
      <c r="U8085" t="s">
        <v>51434</v>
      </c>
      <c r="V8085" t="s">
        <v>57255</v>
      </c>
      <c r="W8085" t="s">
        <v>58087</v>
      </c>
      <c r="X8085" t="s">
        <v>42679</v>
      </c>
    </row>
    <row r="8086" spans="1:24">
      <c r="A8086">
        <f>HYPERLINK("https://www.philgeps.gov.ph/GEPSNONPILOT/Tender/SplashBidNoticeAbstractUI.aspx?menuIndex=3&amp;refID=7183319&amp;Result=3","7183319")</f>
        <v>0</v>
      </c>
      <c r="B8086" t="s">
        <v>2521</v>
      </c>
      <c r="C8086" t="s">
        <v>11232</v>
      </c>
      <c r="D8086" t="s">
        <v>17164</v>
      </c>
      <c r="E8086" t="s">
        <v>24214</v>
      </c>
      <c r="F8086" t="s">
        <v>29372</v>
      </c>
      <c r="G8086" t="s">
        <v>29380</v>
      </c>
      <c r="H8086" t="s">
        <v>29389</v>
      </c>
      <c r="I8086" t="s">
        <v>10408</v>
      </c>
      <c r="J8086" t="s">
        <v>34755</v>
      </c>
      <c r="K8086" t="s">
        <v>38489</v>
      </c>
      <c r="M8086" t="s">
        <v>41482</v>
      </c>
      <c r="N8086" t="s">
        <v>42669</v>
      </c>
      <c r="O8086" t="s">
        <v>42670</v>
      </c>
      <c r="P8086">
        <v>0</v>
      </c>
      <c r="Q8086">
        <v>0</v>
      </c>
      <c r="R8086" t="s">
        <v>42678</v>
      </c>
      <c r="S8086" t="s">
        <v>42866</v>
      </c>
      <c r="T8086" t="s">
        <v>44378</v>
      </c>
      <c r="U8086" t="s">
        <v>51415</v>
      </c>
      <c r="W8086" t="s">
        <v>41482</v>
      </c>
      <c r="X8086" t="s">
        <v>42679</v>
      </c>
    </row>
    <row r="8087" spans="1:24">
      <c r="A8087">
        <f>HYPERLINK("https://www.philgeps.gov.ph/GEPSNONPILOT/Tender/SplashBidNoticeAbstractUI.aspx?menuIndex=3&amp;refID=7183459&amp;Result=3","7183459")</f>
        <v>0</v>
      </c>
      <c r="B8087" t="s">
        <v>2529</v>
      </c>
      <c r="C8087" t="s">
        <v>11260</v>
      </c>
      <c r="D8087" t="s">
        <v>17189</v>
      </c>
      <c r="E8087" t="s">
        <v>17870</v>
      </c>
      <c r="F8087" t="s">
        <v>29372</v>
      </c>
      <c r="G8087" t="s">
        <v>29380</v>
      </c>
      <c r="H8087" t="s">
        <v>11048</v>
      </c>
      <c r="I8087" t="s">
        <v>29412</v>
      </c>
      <c r="J8087" t="s">
        <v>34756</v>
      </c>
      <c r="K8087" t="s">
        <v>38528</v>
      </c>
      <c r="M8087" t="s">
        <v>41491</v>
      </c>
      <c r="N8087" t="s">
        <v>42669</v>
      </c>
      <c r="O8087" t="s">
        <v>42670</v>
      </c>
      <c r="P8087">
        <v>0</v>
      </c>
      <c r="Q8087">
        <v>2</v>
      </c>
      <c r="R8087" t="s">
        <v>42678</v>
      </c>
      <c r="S8087" t="s">
        <v>42866</v>
      </c>
      <c r="T8087" t="s">
        <v>44543</v>
      </c>
      <c r="U8087" t="s">
        <v>51435</v>
      </c>
      <c r="W8087" t="s">
        <v>41491</v>
      </c>
      <c r="X8087" t="s">
        <v>42679</v>
      </c>
    </row>
    <row r="8088" spans="1:24">
      <c r="A8088">
        <f>HYPERLINK("https://www.philgeps.gov.ph/GEPSNONPILOT/Tender/SplashBidNoticeAbstractUI.aspx?menuIndex=3&amp;refID=7183356&amp;Result=3","7183356")</f>
        <v>0</v>
      </c>
      <c r="B8088" t="s">
        <v>2524</v>
      </c>
      <c r="C8088" t="s">
        <v>11261</v>
      </c>
      <c r="D8088" t="s">
        <v>17172</v>
      </c>
      <c r="E8088" t="s">
        <v>24215</v>
      </c>
      <c r="F8088" t="s">
        <v>29372</v>
      </c>
      <c r="G8088" t="s">
        <v>29380</v>
      </c>
      <c r="H8088" t="s">
        <v>29389</v>
      </c>
      <c r="I8088" t="s">
        <v>10408</v>
      </c>
      <c r="J8088" t="s">
        <v>34757</v>
      </c>
      <c r="K8088" t="s">
        <v>38490</v>
      </c>
      <c r="M8088" t="s">
        <v>41486</v>
      </c>
      <c r="N8088" t="s">
        <v>42669</v>
      </c>
      <c r="O8088" t="s">
        <v>42670</v>
      </c>
      <c r="P8088">
        <v>0</v>
      </c>
      <c r="Q8088">
        <v>2</v>
      </c>
      <c r="R8088" t="s">
        <v>42678</v>
      </c>
      <c r="S8088" t="s">
        <v>42866</v>
      </c>
      <c r="T8088" t="s">
        <v>44355</v>
      </c>
      <c r="U8088" t="s">
        <v>51436</v>
      </c>
      <c r="W8088" t="s">
        <v>41486</v>
      </c>
      <c r="X8088" t="s">
        <v>42679</v>
      </c>
    </row>
    <row r="8089" spans="1:24">
      <c r="A8089">
        <f>HYPERLINK("https://www.philgeps.gov.ph/GEPSNONPILOT/Tender/SplashBidNoticeAbstractUI.aspx?menuIndex=3&amp;refID=7183458&amp;Result=3","7183458")</f>
        <v>0</v>
      </c>
      <c r="B8089" t="s">
        <v>2530</v>
      </c>
      <c r="C8089" t="s">
        <v>11262</v>
      </c>
      <c r="D8089" t="s">
        <v>17167</v>
      </c>
      <c r="E8089" t="s">
        <v>17540</v>
      </c>
      <c r="F8089" t="s">
        <v>29372</v>
      </c>
      <c r="G8089" t="s">
        <v>29380</v>
      </c>
      <c r="H8089" t="s">
        <v>11048</v>
      </c>
      <c r="I8089" t="s">
        <v>4709</v>
      </c>
      <c r="J8089" t="s">
        <v>34758</v>
      </c>
      <c r="K8089" t="s">
        <v>38490</v>
      </c>
      <c r="M8089" t="s">
        <v>41492</v>
      </c>
      <c r="N8089" t="s">
        <v>42669</v>
      </c>
      <c r="O8089" t="s">
        <v>42670</v>
      </c>
      <c r="P8089">
        <v>0</v>
      </c>
      <c r="Q8089">
        <v>0</v>
      </c>
      <c r="R8089" t="s">
        <v>42678</v>
      </c>
      <c r="S8089" t="s">
        <v>42866</v>
      </c>
      <c r="T8089" t="s">
        <v>44427</v>
      </c>
      <c r="U8089" t="s">
        <v>51437</v>
      </c>
      <c r="W8089" t="s">
        <v>41492</v>
      </c>
      <c r="X8089" t="s">
        <v>42679</v>
      </c>
    </row>
    <row r="8090" spans="1:24">
      <c r="A8090">
        <f>HYPERLINK("https://www.philgeps.gov.ph/GEPSNONPILOT/Tender/SplashBidNoticeAbstractUI.aspx?menuIndex=3&amp;refID=7183457&amp;Result=3","7183457")</f>
        <v>0</v>
      </c>
      <c r="B8090" t="s">
        <v>2531</v>
      </c>
      <c r="C8090" t="s">
        <v>11263</v>
      </c>
      <c r="D8090" t="s">
        <v>17141</v>
      </c>
      <c r="E8090" t="s">
        <v>24216</v>
      </c>
      <c r="F8090" t="s">
        <v>29372</v>
      </c>
      <c r="G8090" t="s">
        <v>29379</v>
      </c>
      <c r="H8090" t="s">
        <v>11048</v>
      </c>
      <c r="I8090" t="s">
        <v>3839</v>
      </c>
      <c r="J8090" t="s">
        <v>34759</v>
      </c>
      <c r="K8090" t="s">
        <v>38538</v>
      </c>
      <c r="M8090" t="s">
        <v>41493</v>
      </c>
      <c r="N8090" t="s">
        <v>42669</v>
      </c>
      <c r="O8090" t="s">
        <v>42670</v>
      </c>
      <c r="P8090">
        <v>0</v>
      </c>
      <c r="Q8090">
        <v>6</v>
      </c>
      <c r="R8090" t="s">
        <v>42678</v>
      </c>
      <c r="S8090" t="s">
        <v>42866</v>
      </c>
      <c r="T8090" t="s">
        <v>44496</v>
      </c>
      <c r="U8090" t="s">
        <v>51438</v>
      </c>
      <c r="V8090" t="s">
        <v>57256</v>
      </c>
      <c r="W8090" t="s">
        <v>41493</v>
      </c>
      <c r="X8090" t="s">
        <v>42679</v>
      </c>
    </row>
    <row r="8091" spans="1:24">
      <c r="A8091">
        <f>HYPERLINK("https://www.philgeps.gov.ph/GEPSNONPILOT/Tender/SplashBidNoticeAbstractUI.aspx?menuIndex=3&amp;refID=7183452&amp;Result=3","7183452")</f>
        <v>0</v>
      </c>
      <c r="B8091" t="s">
        <v>2527</v>
      </c>
      <c r="C8091" t="s">
        <v>11264</v>
      </c>
      <c r="D8091" t="s">
        <v>17181</v>
      </c>
      <c r="E8091" t="s">
        <v>18590</v>
      </c>
      <c r="F8091" t="s">
        <v>29372</v>
      </c>
      <c r="G8091" t="s">
        <v>29380</v>
      </c>
      <c r="H8091" t="s">
        <v>29389</v>
      </c>
      <c r="I8091" t="s">
        <v>29417</v>
      </c>
      <c r="J8091" t="s">
        <v>34760</v>
      </c>
      <c r="K8091" t="s">
        <v>38522</v>
      </c>
      <c r="M8091" t="s">
        <v>41489</v>
      </c>
      <c r="N8091" t="s">
        <v>42669</v>
      </c>
      <c r="O8091" t="s">
        <v>42670</v>
      </c>
      <c r="P8091">
        <v>0</v>
      </c>
      <c r="Q8091">
        <v>3</v>
      </c>
      <c r="R8091" t="s">
        <v>42678</v>
      </c>
      <c r="S8091" t="s">
        <v>42866</v>
      </c>
      <c r="T8091" t="s">
        <v>44446</v>
      </c>
      <c r="U8091" t="s">
        <v>51439</v>
      </c>
      <c r="W8091" t="s">
        <v>41489</v>
      </c>
      <c r="X8091" t="s">
        <v>42679</v>
      </c>
    </row>
    <row r="8092" spans="1:24">
      <c r="A8092">
        <f>HYPERLINK("https://www.philgeps.gov.ph/GEPSNONPILOT/Tender/SplashBidNoticeAbstractUI.aspx?menuIndex=3&amp;refID=7183451&amp;Result=3","7183451")</f>
        <v>0</v>
      </c>
      <c r="B8092" t="s">
        <v>2524</v>
      </c>
      <c r="C8092" t="s">
        <v>11265</v>
      </c>
      <c r="D8092" t="s">
        <v>17172</v>
      </c>
      <c r="E8092" t="s">
        <v>24217</v>
      </c>
      <c r="F8092" t="s">
        <v>29372</v>
      </c>
      <c r="G8092" t="s">
        <v>29380</v>
      </c>
      <c r="H8092" t="s">
        <v>29389</v>
      </c>
      <c r="I8092" t="s">
        <v>10408</v>
      </c>
      <c r="J8092" t="s">
        <v>34761</v>
      </c>
      <c r="K8092" t="s">
        <v>38522</v>
      </c>
      <c r="M8092" t="s">
        <v>41486</v>
      </c>
      <c r="N8092" t="s">
        <v>42669</v>
      </c>
      <c r="O8092" t="s">
        <v>42670</v>
      </c>
      <c r="P8092">
        <v>0</v>
      </c>
      <c r="Q8092">
        <v>3</v>
      </c>
      <c r="R8092" t="s">
        <v>42678</v>
      </c>
      <c r="S8092" t="s">
        <v>42866</v>
      </c>
      <c r="T8092" t="s">
        <v>44355</v>
      </c>
      <c r="U8092" t="s">
        <v>51440</v>
      </c>
      <c r="W8092" t="s">
        <v>41486</v>
      </c>
      <c r="X8092" t="s">
        <v>42679</v>
      </c>
    </row>
    <row r="8093" spans="1:24">
      <c r="A8093">
        <f>HYPERLINK("https://www.philgeps.gov.ph/GEPSNONPILOT/Tender/SplashBidNoticeAbstractUI.aspx?menuIndex=3&amp;refID=7183448&amp;Result=3","7183448")</f>
        <v>0</v>
      </c>
      <c r="B8093" t="s">
        <v>2273</v>
      </c>
      <c r="C8093" t="s">
        <v>11266</v>
      </c>
      <c r="D8093" t="s">
        <v>17201</v>
      </c>
      <c r="E8093" t="s">
        <v>23323</v>
      </c>
      <c r="F8093" t="s">
        <v>29372</v>
      </c>
      <c r="G8093" t="s">
        <v>29380</v>
      </c>
      <c r="H8093" t="s">
        <v>29389</v>
      </c>
      <c r="I8093" t="s">
        <v>10408</v>
      </c>
      <c r="J8093" t="s">
        <v>34762</v>
      </c>
      <c r="K8093" t="s">
        <v>38527</v>
      </c>
      <c r="L8093" t="s">
        <v>2273</v>
      </c>
      <c r="M8093" t="s">
        <v>41195</v>
      </c>
      <c r="N8093" t="s">
        <v>42669</v>
      </c>
      <c r="O8093" t="s">
        <v>42670</v>
      </c>
      <c r="P8093">
        <v>0</v>
      </c>
      <c r="Q8093">
        <v>0</v>
      </c>
      <c r="R8093" t="s">
        <v>42678</v>
      </c>
      <c r="S8093" t="s">
        <v>42866</v>
      </c>
      <c r="T8093" t="s">
        <v>44443</v>
      </c>
      <c r="U8093" t="s">
        <v>51441</v>
      </c>
      <c r="W8093" t="s">
        <v>41195</v>
      </c>
      <c r="X8093" t="s">
        <v>42679</v>
      </c>
    </row>
    <row r="8094" spans="1:24">
      <c r="A8094">
        <f>HYPERLINK("https://www.philgeps.gov.ph/GEPSNONPILOT/Tender/SplashBidNoticeAbstractUI.aspx?menuIndex=3&amp;refID=7183446&amp;Result=3","7183446")</f>
        <v>0</v>
      </c>
      <c r="B8094" t="s">
        <v>2531</v>
      </c>
      <c r="C8094" t="s">
        <v>11267</v>
      </c>
      <c r="D8094" t="s">
        <v>17141</v>
      </c>
      <c r="E8094" t="s">
        <v>24218</v>
      </c>
      <c r="F8094" t="s">
        <v>29372</v>
      </c>
      <c r="G8094" t="s">
        <v>29379</v>
      </c>
      <c r="H8094" t="s">
        <v>11048</v>
      </c>
      <c r="I8094" t="s">
        <v>5383</v>
      </c>
      <c r="J8094" t="s">
        <v>30038</v>
      </c>
      <c r="K8094" t="s">
        <v>38538</v>
      </c>
      <c r="M8094" t="s">
        <v>41493</v>
      </c>
      <c r="N8094" t="s">
        <v>42669</v>
      </c>
      <c r="O8094" t="s">
        <v>42670</v>
      </c>
      <c r="P8094">
        <v>0</v>
      </c>
      <c r="Q8094">
        <v>2</v>
      </c>
      <c r="R8094" t="s">
        <v>42678</v>
      </c>
      <c r="S8094" t="s">
        <v>42866</v>
      </c>
      <c r="T8094" t="s">
        <v>44496</v>
      </c>
      <c r="U8094" t="s">
        <v>51442</v>
      </c>
      <c r="V8094" t="s">
        <v>57256</v>
      </c>
      <c r="W8094" t="s">
        <v>41493</v>
      </c>
      <c r="X8094" t="s">
        <v>42679</v>
      </c>
    </row>
    <row r="8095" spans="1:24">
      <c r="A8095">
        <f>HYPERLINK("https://www.philgeps.gov.ph/GEPSNONPILOT/Tender/SplashBidNoticeAbstractUI.aspx?menuIndex=3&amp;refID=7183444&amp;Result=3","7183444")</f>
        <v>0</v>
      </c>
      <c r="B8095" t="s">
        <v>1812</v>
      </c>
      <c r="C8095" t="s">
        <v>11268</v>
      </c>
      <c r="D8095" t="s">
        <v>17194</v>
      </c>
      <c r="E8095" t="s">
        <v>24219</v>
      </c>
      <c r="F8095" t="s">
        <v>29372</v>
      </c>
      <c r="G8095" t="s">
        <v>29380</v>
      </c>
      <c r="H8095" t="s">
        <v>11048</v>
      </c>
      <c r="I8095" t="s">
        <v>29393</v>
      </c>
      <c r="J8095" t="s">
        <v>29889</v>
      </c>
      <c r="K8095" t="s">
        <v>38490</v>
      </c>
      <c r="M8095" t="s">
        <v>40683</v>
      </c>
      <c r="N8095" t="s">
        <v>42669</v>
      </c>
      <c r="O8095" t="s">
        <v>42670</v>
      </c>
      <c r="P8095">
        <v>0</v>
      </c>
      <c r="Q8095">
        <v>0</v>
      </c>
      <c r="R8095" t="s">
        <v>42678</v>
      </c>
      <c r="S8095" t="s">
        <v>42866</v>
      </c>
      <c r="T8095" t="s">
        <v>44354</v>
      </c>
      <c r="U8095" t="s">
        <v>51443</v>
      </c>
      <c r="W8095" t="s">
        <v>40683</v>
      </c>
      <c r="X8095" t="s">
        <v>42679</v>
      </c>
    </row>
    <row r="8096" spans="1:24">
      <c r="A8096">
        <f>HYPERLINK("https://www.philgeps.gov.ph/GEPSNONPILOT/Tender/SplashBidNoticeAbstractUI.aspx?menuIndex=3&amp;refID=7183329&amp;Result=3","7183329")</f>
        <v>0</v>
      </c>
      <c r="B8096" t="s">
        <v>2498</v>
      </c>
      <c r="C8096" t="s">
        <v>11269</v>
      </c>
      <c r="D8096" t="s">
        <v>17158</v>
      </c>
      <c r="E8096" t="s">
        <v>24220</v>
      </c>
      <c r="F8096" t="s">
        <v>29372</v>
      </c>
      <c r="G8096" t="s">
        <v>29380</v>
      </c>
      <c r="H8096" t="s">
        <v>11048</v>
      </c>
      <c r="I8096" t="s">
        <v>5383</v>
      </c>
      <c r="J8096" t="s">
        <v>34731</v>
      </c>
      <c r="K8096" t="s">
        <v>38485</v>
      </c>
      <c r="M8096" t="s">
        <v>41451</v>
      </c>
      <c r="N8096" t="s">
        <v>42669</v>
      </c>
      <c r="O8096" t="s">
        <v>42670</v>
      </c>
      <c r="P8096">
        <v>0</v>
      </c>
      <c r="Q8096">
        <v>2</v>
      </c>
      <c r="R8096" t="s">
        <v>42678</v>
      </c>
      <c r="S8096" t="s">
        <v>42866</v>
      </c>
      <c r="T8096" t="s">
        <v>44517</v>
      </c>
      <c r="U8096" t="s">
        <v>51294</v>
      </c>
      <c r="W8096" t="s">
        <v>41451</v>
      </c>
      <c r="X8096" t="s">
        <v>42679</v>
      </c>
    </row>
    <row r="8097" spans="1:24">
      <c r="A8097">
        <f>HYPERLINK("https://www.philgeps.gov.ph/GEPSNONPILOT/Tender/SplashBidNoticeAbstractUI.aspx?menuIndex=3&amp;refID=7183445&amp;Result=3","7183445")</f>
        <v>0</v>
      </c>
      <c r="B8097" t="s">
        <v>105</v>
      </c>
      <c r="C8097" t="s">
        <v>11270</v>
      </c>
      <c r="D8097" t="s">
        <v>17181</v>
      </c>
      <c r="E8097" t="s">
        <v>24221</v>
      </c>
      <c r="F8097" t="s">
        <v>29372</v>
      </c>
      <c r="G8097" t="s">
        <v>29380</v>
      </c>
      <c r="H8097" t="s">
        <v>11048</v>
      </c>
      <c r="I8097" t="s">
        <v>4709</v>
      </c>
      <c r="J8097" t="s">
        <v>34763</v>
      </c>
      <c r="K8097" t="s">
        <v>38485</v>
      </c>
      <c r="M8097" t="s">
        <v>38860</v>
      </c>
      <c r="N8097" t="s">
        <v>42669</v>
      </c>
      <c r="O8097" t="s">
        <v>42670</v>
      </c>
      <c r="P8097">
        <v>0</v>
      </c>
      <c r="Q8097">
        <v>4</v>
      </c>
      <c r="R8097" t="s">
        <v>42678</v>
      </c>
      <c r="S8097" t="s">
        <v>42866</v>
      </c>
      <c r="T8097" t="s">
        <v>44442</v>
      </c>
      <c r="U8097" t="s">
        <v>51444</v>
      </c>
      <c r="W8097" t="s">
        <v>38860</v>
      </c>
      <c r="X8097" t="s">
        <v>42679</v>
      </c>
    </row>
    <row r="8098" spans="1:24">
      <c r="A8098">
        <f>HYPERLINK("https://www.philgeps.gov.ph/GEPSNONPILOT/Tender/SplashBidNoticeAbstractUI.aspx?menuIndex=3&amp;refID=7183364&amp;Result=3","7183364")</f>
        <v>0</v>
      </c>
      <c r="B8098" t="s">
        <v>2532</v>
      </c>
      <c r="C8098" t="s">
        <v>11271</v>
      </c>
      <c r="D8098" t="s">
        <v>17195</v>
      </c>
      <c r="E8098" t="s">
        <v>24222</v>
      </c>
      <c r="F8098" t="s">
        <v>29372</v>
      </c>
      <c r="G8098" t="s">
        <v>29381</v>
      </c>
      <c r="H8098" t="s">
        <v>29389</v>
      </c>
      <c r="I8098" t="s">
        <v>10408</v>
      </c>
      <c r="J8098" t="s">
        <v>34764</v>
      </c>
      <c r="K8098" t="s">
        <v>38564</v>
      </c>
      <c r="M8098" t="s">
        <v>41494</v>
      </c>
      <c r="N8098" t="s">
        <v>42669</v>
      </c>
      <c r="O8098" t="s">
        <v>42670</v>
      </c>
      <c r="P8098">
        <v>0</v>
      </c>
      <c r="Q8098">
        <v>4</v>
      </c>
      <c r="R8098" t="s">
        <v>42678</v>
      </c>
      <c r="S8098" t="s">
        <v>42866</v>
      </c>
      <c r="T8098" t="s">
        <v>44517</v>
      </c>
      <c r="U8098" t="s">
        <v>51445</v>
      </c>
      <c r="W8098" t="s">
        <v>41494</v>
      </c>
      <c r="X8098" t="s">
        <v>42679</v>
      </c>
    </row>
    <row r="8099" spans="1:24">
      <c r="A8099">
        <f>HYPERLINK("https://www.philgeps.gov.ph/GEPSNONPILOT/Tender/SplashBidNoticeAbstractUI.aspx?menuIndex=3&amp;refID=7183442&amp;Result=3","7183442")</f>
        <v>0</v>
      </c>
      <c r="B8099" t="s">
        <v>1202</v>
      </c>
      <c r="C8099" t="s">
        <v>11272</v>
      </c>
      <c r="E8099" t="s">
        <v>24223</v>
      </c>
      <c r="F8099" t="s">
        <v>29372</v>
      </c>
      <c r="G8099" t="s">
        <v>29379</v>
      </c>
      <c r="H8099" t="s">
        <v>11048</v>
      </c>
      <c r="I8099" t="s">
        <v>29419</v>
      </c>
      <c r="J8099" t="s">
        <v>34765</v>
      </c>
      <c r="K8099" t="s">
        <v>38485</v>
      </c>
      <c r="M8099" t="s">
        <v>40019</v>
      </c>
      <c r="N8099" t="s">
        <v>42669</v>
      </c>
      <c r="O8099" t="s">
        <v>42670</v>
      </c>
      <c r="P8099">
        <v>0</v>
      </c>
      <c r="Q8099">
        <v>1</v>
      </c>
      <c r="R8099" t="s">
        <v>42678</v>
      </c>
      <c r="S8099" t="s">
        <v>42866</v>
      </c>
      <c r="T8099" t="s">
        <v>44432</v>
      </c>
      <c r="U8099" t="s">
        <v>51446</v>
      </c>
      <c r="W8099" t="s">
        <v>40019</v>
      </c>
      <c r="X8099" t="s">
        <v>42679</v>
      </c>
    </row>
    <row r="8100" spans="1:24">
      <c r="A8100">
        <f>HYPERLINK("https://www.philgeps.gov.ph/GEPSNONPILOT/Tender/SplashBidNoticeAbstractUI.aspx?menuIndex=3&amp;refID=7183454&amp;Result=3","7183454")</f>
        <v>0</v>
      </c>
      <c r="B8100" t="s">
        <v>2533</v>
      </c>
      <c r="C8100" t="s">
        <v>3839</v>
      </c>
      <c r="E8100" t="s">
        <v>24224</v>
      </c>
      <c r="F8100" t="s">
        <v>29372</v>
      </c>
      <c r="G8100" t="s">
        <v>29380</v>
      </c>
      <c r="H8100" t="s">
        <v>11048</v>
      </c>
      <c r="I8100" t="s">
        <v>3839</v>
      </c>
      <c r="J8100" t="s">
        <v>34766</v>
      </c>
      <c r="K8100" t="s">
        <v>38490</v>
      </c>
      <c r="M8100" t="s">
        <v>41495</v>
      </c>
      <c r="N8100" t="s">
        <v>42669</v>
      </c>
      <c r="O8100" t="s">
        <v>42670</v>
      </c>
      <c r="P8100">
        <v>0</v>
      </c>
      <c r="Q8100">
        <v>5</v>
      </c>
      <c r="R8100" t="s">
        <v>42678</v>
      </c>
      <c r="S8100" t="s">
        <v>42866</v>
      </c>
      <c r="T8100" t="s">
        <v>44754</v>
      </c>
      <c r="U8100" t="s">
        <v>51447</v>
      </c>
      <c r="W8100" t="s">
        <v>41495</v>
      </c>
      <c r="X8100" t="s">
        <v>42679</v>
      </c>
    </row>
    <row r="8101" spans="1:24">
      <c r="A8101">
        <f>HYPERLINK("https://www.philgeps.gov.ph/GEPSNONPILOT/Tender/SplashBidNoticeAbstractUI.aspx?menuIndex=3&amp;refID=7183428&amp;Result=3","7183428")</f>
        <v>0</v>
      </c>
      <c r="B8101" t="s">
        <v>733</v>
      </c>
      <c r="C8101" t="s">
        <v>11273</v>
      </c>
      <c r="D8101" t="s">
        <v>17156</v>
      </c>
      <c r="E8101" t="s">
        <v>24225</v>
      </c>
      <c r="F8101" t="s">
        <v>29372</v>
      </c>
      <c r="G8101" t="s">
        <v>29380</v>
      </c>
      <c r="H8101" t="s">
        <v>29389</v>
      </c>
      <c r="I8101" t="s">
        <v>10408</v>
      </c>
      <c r="J8101" t="s">
        <v>30845</v>
      </c>
      <c r="K8101" t="s">
        <v>38495</v>
      </c>
      <c r="M8101" t="s">
        <v>39514</v>
      </c>
      <c r="N8101" t="s">
        <v>42669</v>
      </c>
      <c r="O8101" t="s">
        <v>42670</v>
      </c>
      <c r="P8101">
        <v>0</v>
      </c>
      <c r="Q8101">
        <v>1</v>
      </c>
      <c r="R8101" t="s">
        <v>42678</v>
      </c>
      <c r="S8101" t="s">
        <v>42866</v>
      </c>
      <c r="T8101" t="s">
        <v>44368</v>
      </c>
      <c r="U8101" t="s">
        <v>51448</v>
      </c>
      <c r="V8101" t="s">
        <v>57257</v>
      </c>
      <c r="W8101" t="s">
        <v>58087</v>
      </c>
      <c r="X8101" t="s">
        <v>42679</v>
      </c>
    </row>
    <row r="8102" spans="1:24">
      <c r="A8102">
        <f>HYPERLINK("https://www.philgeps.gov.ph/GEPSNONPILOT/Tender/SplashBidNoticeAbstractUI.aspx?menuIndex=3&amp;refID=7183441&amp;Result=3","7183441")</f>
        <v>0</v>
      </c>
      <c r="B8102" t="s">
        <v>2524</v>
      </c>
      <c r="C8102" t="s">
        <v>11274</v>
      </c>
      <c r="D8102" t="s">
        <v>17172</v>
      </c>
      <c r="E8102" t="s">
        <v>24226</v>
      </c>
      <c r="F8102" t="s">
        <v>29372</v>
      </c>
      <c r="G8102" t="s">
        <v>29380</v>
      </c>
      <c r="H8102" t="s">
        <v>29389</v>
      </c>
      <c r="I8102" t="s">
        <v>10408</v>
      </c>
      <c r="J8102" t="s">
        <v>34767</v>
      </c>
      <c r="K8102" t="s">
        <v>38691</v>
      </c>
      <c r="M8102" t="s">
        <v>41486</v>
      </c>
      <c r="N8102" t="s">
        <v>42669</v>
      </c>
      <c r="O8102" t="s">
        <v>42670</v>
      </c>
      <c r="P8102">
        <v>0</v>
      </c>
      <c r="Q8102">
        <v>3</v>
      </c>
      <c r="R8102" t="s">
        <v>42678</v>
      </c>
      <c r="S8102" t="s">
        <v>42866</v>
      </c>
      <c r="T8102" t="s">
        <v>44355</v>
      </c>
      <c r="U8102" t="s">
        <v>51449</v>
      </c>
      <c r="W8102" t="s">
        <v>41486</v>
      </c>
      <c r="X8102" t="s">
        <v>42679</v>
      </c>
    </row>
    <row r="8103" spans="1:24">
      <c r="A8103">
        <f>HYPERLINK("https://www.philgeps.gov.ph/GEPSNONPILOT/Tender/SplashBidNoticeAbstractUI.aspx?menuIndex=3&amp;refID=7183420&amp;Result=3","7183420")</f>
        <v>0</v>
      </c>
      <c r="B8103" t="s">
        <v>2524</v>
      </c>
      <c r="C8103" t="s">
        <v>11275</v>
      </c>
      <c r="D8103" t="s">
        <v>17172</v>
      </c>
      <c r="E8103" t="s">
        <v>24227</v>
      </c>
      <c r="F8103" t="s">
        <v>29372</v>
      </c>
      <c r="G8103" t="s">
        <v>29380</v>
      </c>
      <c r="H8103" t="s">
        <v>29389</v>
      </c>
      <c r="I8103" t="s">
        <v>10408</v>
      </c>
      <c r="J8103" t="s">
        <v>34768</v>
      </c>
      <c r="K8103" t="s">
        <v>38564</v>
      </c>
      <c r="M8103" t="s">
        <v>41486</v>
      </c>
      <c r="N8103" t="s">
        <v>42669</v>
      </c>
      <c r="O8103" t="s">
        <v>42670</v>
      </c>
      <c r="P8103">
        <v>0</v>
      </c>
      <c r="Q8103">
        <v>4</v>
      </c>
      <c r="R8103" t="s">
        <v>42678</v>
      </c>
      <c r="S8103" t="s">
        <v>42866</v>
      </c>
      <c r="T8103" t="s">
        <v>44355</v>
      </c>
      <c r="U8103" t="s">
        <v>51450</v>
      </c>
      <c r="W8103" t="s">
        <v>41486</v>
      </c>
      <c r="X8103" t="s">
        <v>42679</v>
      </c>
    </row>
    <row r="8104" spans="1:24">
      <c r="A8104">
        <f>HYPERLINK("https://www.philgeps.gov.ph/GEPSNONPILOT/Tender/SplashBidNoticeAbstractUI.aspx?menuIndex=3&amp;refID=7183413&amp;Result=3","7183413")</f>
        <v>0</v>
      </c>
      <c r="B8104" t="s">
        <v>2273</v>
      </c>
      <c r="C8104" t="s">
        <v>11276</v>
      </c>
      <c r="D8104" t="s">
        <v>17201</v>
      </c>
      <c r="E8104" t="s">
        <v>24228</v>
      </c>
      <c r="F8104" t="s">
        <v>29372</v>
      </c>
      <c r="G8104" t="s">
        <v>29380</v>
      </c>
      <c r="H8104" t="s">
        <v>29389</v>
      </c>
      <c r="I8104" t="s">
        <v>10408</v>
      </c>
      <c r="J8104" t="s">
        <v>29988</v>
      </c>
      <c r="K8104" t="s">
        <v>38485</v>
      </c>
      <c r="L8104" t="s">
        <v>2273</v>
      </c>
      <c r="M8104" t="s">
        <v>41195</v>
      </c>
      <c r="N8104" t="s">
        <v>42669</v>
      </c>
      <c r="O8104" t="s">
        <v>42670</v>
      </c>
      <c r="P8104">
        <v>0</v>
      </c>
      <c r="Q8104">
        <v>0</v>
      </c>
      <c r="R8104" t="s">
        <v>42678</v>
      </c>
      <c r="S8104" t="s">
        <v>42866</v>
      </c>
      <c r="T8104" t="s">
        <v>44446</v>
      </c>
      <c r="U8104" t="s">
        <v>51451</v>
      </c>
      <c r="W8104" t="s">
        <v>41195</v>
      </c>
      <c r="X8104" t="s">
        <v>42679</v>
      </c>
    </row>
    <row r="8105" spans="1:24">
      <c r="A8105">
        <f>HYPERLINK("https://www.philgeps.gov.ph/GEPSNONPILOT/Tender/SplashBidNoticeAbstractUI.aspx?menuIndex=3&amp;refID=7183410&amp;Result=3","7183410")</f>
        <v>0</v>
      </c>
      <c r="B8105" t="s">
        <v>2527</v>
      </c>
      <c r="C8105" t="s">
        <v>11277</v>
      </c>
      <c r="D8105" t="s">
        <v>17181</v>
      </c>
      <c r="E8105" t="s">
        <v>17480</v>
      </c>
      <c r="F8105" t="s">
        <v>29372</v>
      </c>
      <c r="G8105" t="s">
        <v>29380</v>
      </c>
      <c r="H8105" t="s">
        <v>29389</v>
      </c>
      <c r="I8105" t="s">
        <v>10408</v>
      </c>
      <c r="J8105" t="s">
        <v>34769</v>
      </c>
      <c r="K8105" t="s">
        <v>38522</v>
      </c>
      <c r="M8105" t="s">
        <v>41489</v>
      </c>
      <c r="N8105" t="s">
        <v>42669</v>
      </c>
      <c r="O8105" t="s">
        <v>42670</v>
      </c>
      <c r="P8105">
        <v>0</v>
      </c>
      <c r="Q8105">
        <v>1</v>
      </c>
      <c r="R8105" t="s">
        <v>42678</v>
      </c>
      <c r="S8105" t="s">
        <v>42866</v>
      </c>
      <c r="T8105" t="s">
        <v>44517</v>
      </c>
      <c r="U8105" t="s">
        <v>51452</v>
      </c>
      <c r="W8105" t="s">
        <v>41489</v>
      </c>
      <c r="X8105" t="s">
        <v>42679</v>
      </c>
    </row>
    <row r="8106" spans="1:24">
      <c r="A8106">
        <f>HYPERLINK("https://www.philgeps.gov.ph/GEPSNONPILOT/Tender/SplashBidNoticeAbstractUI.aspx?menuIndex=3&amp;refID=7183326&amp;Result=3","7183326")</f>
        <v>0</v>
      </c>
      <c r="B8106" t="s">
        <v>2521</v>
      </c>
      <c r="C8106" t="s">
        <v>11278</v>
      </c>
      <c r="D8106" t="s">
        <v>17164</v>
      </c>
      <c r="E8106" t="s">
        <v>24229</v>
      </c>
      <c r="F8106" t="s">
        <v>29372</v>
      </c>
      <c r="G8106" t="s">
        <v>29380</v>
      </c>
      <c r="H8106" t="s">
        <v>29389</v>
      </c>
      <c r="I8106" t="s">
        <v>10408</v>
      </c>
      <c r="J8106" t="s">
        <v>29555</v>
      </c>
      <c r="K8106" t="s">
        <v>38524</v>
      </c>
      <c r="M8106" t="s">
        <v>41482</v>
      </c>
      <c r="N8106" t="s">
        <v>42669</v>
      </c>
      <c r="O8106" t="s">
        <v>42670</v>
      </c>
      <c r="P8106">
        <v>0</v>
      </c>
      <c r="Q8106">
        <v>0</v>
      </c>
      <c r="R8106" t="s">
        <v>42678</v>
      </c>
      <c r="S8106" t="s">
        <v>42866</v>
      </c>
      <c r="T8106" t="s">
        <v>44378</v>
      </c>
      <c r="U8106" t="s">
        <v>51453</v>
      </c>
      <c r="W8106" t="s">
        <v>41482</v>
      </c>
      <c r="X8106" t="s">
        <v>42679</v>
      </c>
    </row>
    <row r="8107" spans="1:24">
      <c r="A8107">
        <f>HYPERLINK("https://www.philgeps.gov.ph/GEPSNONPILOT/Tender/SplashBidNoticeAbstractUI.aspx?menuIndex=3&amp;refID=7183431&amp;Result=3","7183431")</f>
        <v>0</v>
      </c>
      <c r="B8107" t="s">
        <v>2273</v>
      </c>
      <c r="C8107" t="s">
        <v>11279</v>
      </c>
      <c r="D8107" t="s">
        <v>17201</v>
      </c>
      <c r="E8107" t="s">
        <v>24230</v>
      </c>
      <c r="F8107" t="s">
        <v>29372</v>
      </c>
      <c r="G8107" t="s">
        <v>29380</v>
      </c>
      <c r="H8107" t="s">
        <v>29389</v>
      </c>
      <c r="I8107" t="s">
        <v>10408</v>
      </c>
      <c r="J8107" t="s">
        <v>34770</v>
      </c>
      <c r="K8107" t="s">
        <v>38565</v>
      </c>
      <c r="L8107" t="s">
        <v>2273</v>
      </c>
      <c r="M8107" t="s">
        <v>41195</v>
      </c>
      <c r="N8107" t="s">
        <v>42669</v>
      </c>
      <c r="O8107" t="s">
        <v>42670</v>
      </c>
      <c r="P8107">
        <v>0</v>
      </c>
      <c r="Q8107">
        <v>0</v>
      </c>
      <c r="R8107" t="s">
        <v>42678</v>
      </c>
      <c r="S8107" t="s">
        <v>42866</v>
      </c>
      <c r="T8107" t="s">
        <v>44368</v>
      </c>
      <c r="U8107" t="s">
        <v>51454</v>
      </c>
      <c r="W8107" t="s">
        <v>41195</v>
      </c>
      <c r="X8107" t="s">
        <v>42679</v>
      </c>
    </row>
    <row r="8108" spans="1:24">
      <c r="A8108">
        <f>HYPERLINK("https://www.philgeps.gov.ph/GEPSNONPILOT/Tender/SplashBidNoticeAbstractUI.aspx?menuIndex=3&amp;refID=7183320&amp;Result=3","7183320")</f>
        <v>0</v>
      </c>
      <c r="B8108" t="s">
        <v>2498</v>
      </c>
      <c r="C8108" t="s">
        <v>11280</v>
      </c>
      <c r="D8108" t="s">
        <v>17158</v>
      </c>
      <c r="E8108" t="s">
        <v>24231</v>
      </c>
      <c r="F8108" t="s">
        <v>29372</v>
      </c>
      <c r="G8108" t="s">
        <v>29380</v>
      </c>
      <c r="H8108" t="s">
        <v>11048</v>
      </c>
      <c r="I8108" t="s">
        <v>5383</v>
      </c>
      <c r="J8108" t="s">
        <v>34771</v>
      </c>
      <c r="K8108" t="s">
        <v>38485</v>
      </c>
      <c r="M8108" t="s">
        <v>41451</v>
      </c>
      <c r="N8108" t="s">
        <v>42669</v>
      </c>
      <c r="O8108" t="s">
        <v>42670</v>
      </c>
      <c r="P8108">
        <v>0</v>
      </c>
      <c r="Q8108">
        <v>1</v>
      </c>
      <c r="R8108" t="s">
        <v>42678</v>
      </c>
      <c r="S8108" t="s">
        <v>42866</v>
      </c>
      <c r="T8108" t="s">
        <v>44517</v>
      </c>
      <c r="U8108" t="s">
        <v>51294</v>
      </c>
      <c r="W8108" t="s">
        <v>41451</v>
      </c>
      <c r="X8108" t="s">
        <v>42679</v>
      </c>
    </row>
    <row r="8109" spans="1:24">
      <c r="A8109">
        <f>HYPERLINK("https://www.philgeps.gov.ph/GEPSNONPILOT/Tender/SplashBidNoticeAbstractUI.aspx?menuIndex=3&amp;refID=7183430&amp;Result=3","7183430")</f>
        <v>0</v>
      </c>
      <c r="B8109" t="s">
        <v>2524</v>
      </c>
      <c r="C8109" t="s">
        <v>11281</v>
      </c>
      <c r="D8109" t="s">
        <v>17172</v>
      </c>
      <c r="E8109" t="s">
        <v>24232</v>
      </c>
      <c r="F8109" t="s">
        <v>29372</v>
      </c>
      <c r="G8109" t="s">
        <v>29380</v>
      </c>
      <c r="H8109" t="s">
        <v>29389</v>
      </c>
      <c r="I8109" t="s">
        <v>10408</v>
      </c>
      <c r="J8109" t="s">
        <v>34772</v>
      </c>
      <c r="K8109" t="s">
        <v>38522</v>
      </c>
      <c r="M8109" t="s">
        <v>41486</v>
      </c>
      <c r="N8109" t="s">
        <v>42669</v>
      </c>
      <c r="O8109" t="s">
        <v>42670</v>
      </c>
      <c r="P8109">
        <v>0</v>
      </c>
      <c r="Q8109">
        <v>2</v>
      </c>
      <c r="R8109" t="s">
        <v>42678</v>
      </c>
      <c r="S8109" t="s">
        <v>42866</v>
      </c>
      <c r="T8109" t="s">
        <v>44355</v>
      </c>
      <c r="U8109" t="s">
        <v>51455</v>
      </c>
      <c r="W8109" t="s">
        <v>41486</v>
      </c>
      <c r="X8109" t="s">
        <v>42679</v>
      </c>
    </row>
    <row r="8110" spans="1:24">
      <c r="A8110">
        <f>HYPERLINK("https://www.philgeps.gov.ph/GEPSNONPILOT/Tender/SplashBidNoticeAbstractUI.aspx?menuIndex=3&amp;refID=7183498&amp;Result=3","7183498")</f>
        <v>0</v>
      </c>
      <c r="B8110" t="s">
        <v>2527</v>
      </c>
      <c r="C8110" t="s">
        <v>11282</v>
      </c>
      <c r="D8110" t="s">
        <v>17181</v>
      </c>
      <c r="E8110" t="s">
        <v>18519</v>
      </c>
      <c r="F8110" t="s">
        <v>29372</v>
      </c>
      <c r="G8110" t="s">
        <v>29380</v>
      </c>
      <c r="H8110" t="s">
        <v>29389</v>
      </c>
      <c r="I8110" t="s">
        <v>29417</v>
      </c>
      <c r="J8110" t="s">
        <v>34773</v>
      </c>
      <c r="K8110" t="s">
        <v>38522</v>
      </c>
      <c r="M8110" t="s">
        <v>41489</v>
      </c>
      <c r="N8110" t="s">
        <v>42669</v>
      </c>
      <c r="O8110" t="s">
        <v>42670</v>
      </c>
      <c r="P8110">
        <v>0</v>
      </c>
      <c r="Q8110">
        <v>1</v>
      </c>
      <c r="R8110" t="s">
        <v>42678</v>
      </c>
      <c r="S8110" t="s">
        <v>42866</v>
      </c>
      <c r="T8110" t="s">
        <v>44446</v>
      </c>
      <c r="U8110" t="s">
        <v>51456</v>
      </c>
      <c r="W8110" t="s">
        <v>41489</v>
      </c>
      <c r="X8110" t="s">
        <v>42679</v>
      </c>
    </row>
    <row r="8111" spans="1:24">
      <c r="A8111">
        <f>HYPERLINK("https://www.philgeps.gov.ph/GEPSNONPILOT/Tender/SplashBidNoticeAbstractUI.aspx?menuIndex=3&amp;refID=7183318&amp;Result=3","7183318")</f>
        <v>0</v>
      </c>
      <c r="B8111" t="s">
        <v>252</v>
      </c>
      <c r="C8111" t="s">
        <v>11283</v>
      </c>
      <c r="D8111" t="s">
        <v>17160</v>
      </c>
      <c r="E8111" t="s">
        <v>24233</v>
      </c>
      <c r="F8111" t="s">
        <v>29372</v>
      </c>
      <c r="G8111" t="s">
        <v>29380</v>
      </c>
      <c r="H8111" t="s">
        <v>29389</v>
      </c>
      <c r="I8111" t="s">
        <v>10408</v>
      </c>
      <c r="J8111" t="s">
        <v>29543</v>
      </c>
      <c r="K8111" t="s">
        <v>38485</v>
      </c>
      <c r="M8111" t="s">
        <v>39011</v>
      </c>
      <c r="N8111" t="s">
        <v>42669</v>
      </c>
      <c r="O8111" t="s">
        <v>42670</v>
      </c>
      <c r="P8111">
        <v>0</v>
      </c>
      <c r="Q8111">
        <v>0</v>
      </c>
      <c r="R8111" t="s">
        <v>42678</v>
      </c>
      <c r="S8111" t="s">
        <v>42866</v>
      </c>
      <c r="T8111" t="s">
        <v>44468</v>
      </c>
      <c r="U8111" t="s">
        <v>51457</v>
      </c>
      <c r="V8111" t="s">
        <v>57237</v>
      </c>
      <c r="W8111" t="s">
        <v>39011</v>
      </c>
      <c r="X8111" t="s">
        <v>42679</v>
      </c>
    </row>
    <row r="8112" spans="1:24">
      <c r="A8112">
        <f>HYPERLINK("https://www.philgeps.gov.ph/GEPSNONPILOT/Tender/SplashBidNoticeAbstractUI.aspx?menuIndex=3&amp;refID=7183290&amp;Result=3","7183290")</f>
        <v>0</v>
      </c>
      <c r="B8112" t="s">
        <v>733</v>
      </c>
      <c r="C8112" t="s">
        <v>11284</v>
      </c>
      <c r="D8112" t="s">
        <v>17156</v>
      </c>
      <c r="E8112" t="s">
        <v>24234</v>
      </c>
      <c r="F8112" t="s">
        <v>29372</v>
      </c>
      <c r="G8112" t="s">
        <v>29383</v>
      </c>
      <c r="H8112" t="s">
        <v>11048</v>
      </c>
      <c r="I8112" t="s">
        <v>3597</v>
      </c>
      <c r="J8112" t="s">
        <v>30265</v>
      </c>
      <c r="K8112" t="s">
        <v>38485</v>
      </c>
      <c r="M8112" t="s">
        <v>39514</v>
      </c>
      <c r="N8112" t="s">
        <v>42669</v>
      </c>
      <c r="O8112" t="s">
        <v>42670</v>
      </c>
      <c r="P8112">
        <v>0</v>
      </c>
      <c r="Q8112">
        <v>1</v>
      </c>
      <c r="R8112" t="s">
        <v>42678</v>
      </c>
      <c r="S8112" t="s">
        <v>42866</v>
      </c>
      <c r="T8112" t="s">
        <v>44488</v>
      </c>
      <c r="U8112" t="s">
        <v>51458</v>
      </c>
      <c r="V8112" t="s">
        <v>57258</v>
      </c>
      <c r="W8112" t="s">
        <v>58087</v>
      </c>
      <c r="X8112" t="s">
        <v>42679</v>
      </c>
    </row>
    <row r="8113" spans="1:24">
      <c r="A8113">
        <f>HYPERLINK("https://www.philgeps.gov.ph/GEPSNONPILOT/Tender/SplashBidNoticeAbstractUI.aspx?menuIndex=3&amp;refID=7183487&amp;Result=3","7183487")</f>
        <v>0</v>
      </c>
      <c r="B8113" t="s">
        <v>2534</v>
      </c>
      <c r="C8113" t="s">
        <v>11285</v>
      </c>
      <c r="D8113" t="s">
        <v>17163</v>
      </c>
      <c r="E8113" t="s">
        <v>24235</v>
      </c>
      <c r="F8113" t="s">
        <v>29372</v>
      </c>
      <c r="G8113" t="s">
        <v>29380</v>
      </c>
      <c r="H8113" t="s">
        <v>29390</v>
      </c>
      <c r="I8113" t="s">
        <v>29435</v>
      </c>
      <c r="J8113" t="s">
        <v>31086</v>
      </c>
      <c r="K8113" t="s">
        <v>38485</v>
      </c>
      <c r="M8113" t="s">
        <v>41496</v>
      </c>
      <c r="N8113" t="s">
        <v>42669</v>
      </c>
      <c r="O8113" t="s">
        <v>42670</v>
      </c>
      <c r="P8113">
        <v>0</v>
      </c>
      <c r="Q8113">
        <v>1</v>
      </c>
      <c r="R8113" t="s">
        <v>42678</v>
      </c>
      <c r="S8113" t="s">
        <v>42866</v>
      </c>
      <c r="T8113" t="s">
        <v>44470</v>
      </c>
      <c r="U8113" t="s">
        <v>51459</v>
      </c>
      <c r="W8113" t="s">
        <v>41496</v>
      </c>
      <c r="X8113" t="s">
        <v>42679</v>
      </c>
    </row>
    <row r="8114" spans="1:24">
      <c r="A8114">
        <f>HYPERLINK("https://www.philgeps.gov.ph/GEPSNONPILOT/Tender/SplashBidNoticeAbstractUI.aspx?menuIndex=3&amp;refID=7183289&amp;Result=3","7183289")</f>
        <v>0</v>
      </c>
      <c r="B8114" t="s">
        <v>1311</v>
      </c>
      <c r="C8114" t="s">
        <v>11286</v>
      </c>
      <c r="E8114" t="s">
        <v>24188</v>
      </c>
      <c r="F8114" t="s">
        <v>29372</v>
      </c>
      <c r="G8114" t="s">
        <v>29380</v>
      </c>
      <c r="H8114" t="s">
        <v>29389</v>
      </c>
      <c r="I8114" t="s">
        <v>29417</v>
      </c>
      <c r="J8114" t="s">
        <v>34774</v>
      </c>
      <c r="K8114" t="s">
        <v>38520</v>
      </c>
      <c r="M8114" t="s">
        <v>41484</v>
      </c>
      <c r="N8114" t="s">
        <v>42669</v>
      </c>
      <c r="O8114" t="s">
        <v>42670</v>
      </c>
      <c r="P8114">
        <v>0</v>
      </c>
      <c r="Q8114">
        <v>3</v>
      </c>
      <c r="R8114" t="s">
        <v>42678</v>
      </c>
      <c r="S8114" t="s">
        <v>42866</v>
      </c>
      <c r="T8114" t="s">
        <v>44503</v>
      </c>
      <c r="U8114" t="s">
        <v>51460</v>
      </c>
      <c r="W8114" t="s">
        <v>41484</v>
      </c>
      <c r="X8114" t="s">
        <v>42679</v>
      </c>
    </row>
    <row r="8115" spans="1:24">
      <c r="A8115">
        <f>HYPERLINK("https://www.philgeps.gov.ph/GEPSNONPILOT/Tender/SplashBidNoticeAbstractUI.aspx?menuIndex=3&amp;refID=7183483&amp;Result=3","7183483")</f>
        <v>0</v>
      </c>
      <c r="B8115" t="s">
        <v>2533</v>
      </c>
      <c r="C8115" t="s">
        <v>11287</v>
      </c>
      <c r="E8115" t="s">
        <v>24236</v>
      </c>
      <c r="F8115" t="s">
        <v>29372</v>
      </c>
      <c r="G8115" t="s">
        <v>29380</v>
      </c>
      <c r="H8115" t="s">
        <v>11048</v>
      </c>
      <c r="I8115" t="s">
        <v>29460</v>
      </c>
      <c r="J8115" t="s">
        <v>34775</v>
      </c>
      <c r="K8115" t="s">
        <v>38490</v>
      </c>
      <c r="M8115" t="s">
        <v>41495</v>
      </c>
      <c r="N8115" t="s">
        <v>42669</v>
      </c>
      <c r="O8115" t="s">
        <v>42670</v>
      </c>
      <c r="P8115">
        <v>0</v>
      </c>
      <c r="Q8115">
        <v>12</v>
      </c>
      <c r="R8115" t="s">
        <v>42678</v>
      </c>
      <c r="S8115" t="s">
        <v>42866</v>
      </c>
      <c r="T8115" t="s">
        <v>44754</v>
      </c>
      <c r="U8115" t="s">
        <v>51447</v>
      </c>
      <c r="W8115" t="s">
        <v>41495</v>
      </c>
      <c r="X8115" t="s">
        <v>42679</v>
      </c>
    </row>
    <row r="8116" spans="1:24">
      <c r="A8116">
        <f>HYPERLINK("https://www.philgeps.gov.ph/GEPSNONPILOT/Tender/SplashBidNoticeAbstractUI.aspx?menuIndex=3&amp;refID=7183481&amp;Result=3","7183481")</f>
        <v>0</v>
      </c>
      <c r="B8116" t="s">
        <v>2527</v>
      </c>
      <c r="C8116" t="s">
        <v>11288</v>
      </c>
      <c r="D8116" t="s">
        <v>17181</v>
      </c>
      <c r="E8116" t="s">
        <v>17477</v>
      </c>
      <c r="F8116" t="s">
        <v>29372</v>
      </c>
      <c r="G8116" t="s">
        <v>29380</v>
      </c>
      <c r="H8116" t="s">
        <v>29389</v>
      </c>
      <c r="I8116" t="s">
        <v>29417</v>
      </c>
      <c r="J8116" t="s">
        <v>34776</v>
      </c>
      <c r="K8116" t="s">
        <v>38522</v>
      </c>
      <c r="M8116" t="s">
        <v>41489</v>
      </c>
      <c r="N8116" t="s">
        <v>42669</v>
      </c>
      <c r="O8116" t="s">
        <v>42670</v>
      </c>
      <c r="P8116">
        <v>0</v>
      </c>
      <c r="Q8116">
        <v>2</v>
      </c>
      <c r="R8116" t="s">
        <v>42678</v>
      </c>
      <c r="S8116" t="s">
        <v>42866</v>
      </c>
      <c r="T8116" t="s">
        <v>44446</v>
      </c>
      <c r="U8116" t="s">
        <v>51461</v>
      </c>
      <c r="W8116" t="s">
        <v>41489</v>
      </c>
      <c r="X8116" t="s">
        <v>42679</v>
      </c>
    </row>
    <row r="8117" spans="1:24">
      <c r="A8117">
        <f>HYPERLINK("https://www.philgeps.gov.ph/GEPSNONPILOT/Tender/SplashBidNoticeAbstractUI.aspx?menuIndex=3&amp;refID=7183494&amp;Result=3","7183494")</f>
        <v>0</v>
      </c>
      <c r="B8117" t="s">
        <v>2533</v>
      </c>
      <c r="C8117" t="s">
        <v>11289</v>
      </c>
      <c r="E8117" t="s">
        <v>24237</v>
      </c>
      <c r="F8117" t="s">
        <v>29372</v>
      </c>
      <c r="G8117" t="s">
        <v>29380</v>
      </c>
      <c r="H8117" t="s">
        <v>11048</v>
      </c>
      <c r="I8117" t="s">
        <v>29460</v>
      </c>
      <c r="J8117" t="s">
        <v>34775</v>
      </c>
      <c r="K8117" t="s">
        <v>38490</v>
      </c>
      <c r="M8117" t="s">
        <v>41495</v>
      </c>
      <c r="N8117" t="s">
        <v>42669</v>
      </c>
      <c r="O8117" t="s">
        <v>42670</v>
      </c>
      <c r="P8117">
        <v>0</v>
      </c>
      <c r="Q8117">
        <v>12</v>
      </c>
      <c r="R8117" t="s">
        <v>42678</v>
      </c>
      <c r="S8117" t="s">
        <v>42866</v>
      </c>
      <c r="T8117" t="s">
        <v>44754</v>
      </c>
      <c r="U8117" t="s">
        <v>51447</v>
      </c>
      <c r="W8117" t="s">
        <v>41495</v>
      </c>
      <c r="X8117" t="s">
        <v>42679</v>
      </c>
    </row>
    <row r="8118" spans="1:24">
      <c r="A8118">
        <f>HYPERLINK("https://www.philgeps.gov.ph/GEPSNONPILOT/Tender/SplashBidNoticeAbstractUI.aspx?menuIndex=3&amp;refID=7183479&amp;Result=3","7183479")</f>
        <v>0</v>
      </c>
      <c r="B8118" t="s">
        <v>2524</v>
      </c>
      <c r="C8118" t="s">
        <v>11290</v>
      </c>
      <c r="D8118" t="s">
        <v>17214</v>
      </c>
      <c r="E8118" t="s">
        <v>24238</v>
      </c>
      <c r="F8118" t="s">
        <v>29372</v>
      </c>
      <c r="G8118" t="s">
        <v>29380</v>
      </c>
      <c r="H8118" t="s">
        <v>29389</v>
      </c>
      <c r="I8118" t="s">
        <v>10408</v>
      </c>
      <c r="J8118" t="s">
        <v>34777</v>
      </c>
      <c r="K8118" t="s">
        <v>38654</v>
      </c>
      <c r="M8118" t="s">
        <v>41486</v>
      </c>
      <c r="N8118" t="s">
        <v>42669</v>
      </c>
      <c r="O8118" t="s">
        <v>42670</v>
      </c>
      <c r="P8118">
        <v>0</v>
      </c>
      <c r="Q8118">
        <v>2</v>
      </c>
      <c r="R8118" t="s">
        <v>42678</v>
      </c>
      <c r="S8118" t="s">
        <v>42866</v>
      </c>
      <c r="T8118" t="s">
        <v>44355</v>
      </c>
      <c r="U8118" t="s">
        <v>51462</v>
      </c>
      <c r="W8118" t="s">
        <v>41486</v>
      </c>
      <c r="X8118" t="s">
        <v>42679</v>
      </c>
    </row>
    <row r="8119" spans="1:24">
      <c r="A8119">
        <f>HYPERLINK("https://www.philgeps.gov.ph/GEPSNONPILOT/Tender/SplashBidNoticeAbstractUI.aspx?menuIndex=3&amp;refID=7183492&amp;Result=3","7183492")</f>
        <v>0</v>
      </c>
      <c r="B8119" t="s">
        <v>1812</v>
      </c>
      <c r="C8119" t="s">
        <v>11291</v>
      </c>
      <c r="D8119" t="s">
        <v>17194</v>
      </c>
      <c r="E8119" t="s">
        <v>24239</v>
      </c>
      <c r="F8119" t="s">
        <v>29372</v>
      </c>
      <c r="G8119" t="s">
        <v>29380</v>
      </c>
      <c r="H8119" t="s">
        <v>29389</v>
      </c>
      <c r="I8119" t="s">
        <v>29417</v>
      </c>
      <c r="J8119" t="s">
        <v>34778</v>
      </c>
      <c r="K8119" t="s">
        <v>38490</v>
      </c>
      <c r="M8119" t="s">
        <v>40683</v>
      </c>
      <c r="N8119" t="s">
        <v>42669</v>
      </c>
      <c r="O8119" t="s">
        <v>42670</v>
      </c>
      <c r="P8119">
        <v>0</v>
      </c>
      <c r="Q8119">
        <v>1</v>
      </c>
      <c r="R8119" t="s">
        <v>42678</v>
      </c>
      <c r="S8119" t="s">
        <v>42866</v>
      </c>
      <c r="T8119" t="s">
        <v>44360</v>
      </c>
      <c r="U8119" t="s">
        <v>51443</v>
      </c>
      <c r="W8119" t="s">
        <v>40683</v>
      </c>
      <c r="X8119" t="s">
        <v>42679</v>
      </c>
    </row>
    <row r="8120" spans="1:24">
      <c r="A8120">
        <f>HYPERLINK("https://www.philgeps.gov.ph/GEPSNONPILOT/Tender/SplashBidNoticeAbstractUI.aspx?menuIndex=3&amp;refID=7183477&amp;Result=3","7183477")</f>
        <v>0</v>
      </c>
      <c r="B8120" t="s">
        <v>278</v>
      </c>
      <c r="C8120" t="s">
        <v>11292</v>
      </c>
      <c r="D8120" t="s">
        <v>17206</v>
      </c>
      <c r="E8120" t="s">
        <v>24240</v>
      </c>
      <c r="F8120" t="s">
        <v>29372</v>
      </c>
      <c r="G8120" t="s">
        <v>29379</v>
      </c>
      <c r="H8120" t="s">
        <v>11048</v>
      </c>
      <c r="I8120" t="s">
        <v>4709</v>
      </c>
      <c r="J8120" t="s">
        <v>30674</v>
      </c>
      <c r="K8120" t="s">
        <v>38485</v>
      </c>
      <c r="M8120" t="s">
        <v>41232</v>
      </c>
      <c r="N8120" t="s">
        <v>42669</v>
      </c>
      <c r="O8120" t="s">
        <v>42670</v>
      </c>
      <c r="P8120">
        <v>0</v>
      </c>
      <c r="Q8120">
        <v>0</v>
      </c>
      <c r="R8120" t="s">
        <v>42678</v>
      </c>
      <c r="S8120" t="s">
        <v>42866</v>
      </c>
      <c r="T8120" t="s">
        <v>44488</v>
      </c>
      <c r="U8120" t="s">
        <v>51463</v>
      </c>
      <c r="V8120" t="s">
        <v>57259</v>
      </c>
      <c r="W8120" t="s">
        <v>41232</v>
      </c>
      <c r="X8120" t="s">
        <v>42679</v>
      </c>
    </row>
    <row r="8121" spans="1:24">
      <c r="A8121">
        <f>HYPERLINK("https://www.philgeps.gov.ph/GEPSNONPILOT/Tender/SplashBidNoticeAbstractUI.aspx?menuIndex=3&amp;refID=7183476&amp;Result=3","7183476")</f>
        <v>0</v>
      </c>
      <c r="B8121" t="s">
        <v>2534</v>
      </c>
      <c r="C8121" t="s">
        <v>11293</v>
      </c>
      <c r="D8121" t="s">
        <v>17163</v>
      </c>
      <c r="E8121" t="s">
        <v>24241</v>
      </c>
      <c r="F8121" t="s">
        <v>29372</v>
      </c>
      <c r="G8121" t="s">
        <v>29380</v>
      </c>
      <c r="H8121" t="s">
        <v>11048</v>
      </c>
      <c r="I8121" t="s">
        <v>29410</v>
      </c>
      <c r="J8121" t="s">
        <v>30100</v>
      </c>
      <c r="K8121" t="s">
        <v>38488</v>
      </c>
      <c r="M8121" t="s">
        <v>41496</v>
      </c>
      <c r="N8121" t="s">
        <v>42669</v>
      </c>
      <c r="O8121" t="s">
        <v>42670</v>
      </c>
      <c r="P8121">
        <v>0</v>
      </c>
      <c r="Q8121">
        <v>7</v>
      </c>
      <c r="R8121" t="s">
        <v>42678</v>
      </c>
      <c r="S8121" t="s">
        <v>42866</v>
      </c>
      <c r="T8121" t="s">
        <v>44371</v>
      </c>
      <c r="U8121" t="s">
        <v>51464</v>
      </c>
      <c r="W8121" t="s">
        <v>41496</v>
      </c>
      <c r="X8121" t="s">
        <v>42679</v>
      </c>
    </row>
    <row r="8122" spans="1:24">
      <c r="A8122">
        <f>HYPERLINK("https://www.philgeps.gov.ph/GEPSNONPILOT/Tender/SplashBidNoticeAbstractUI.aspx?menuIndex=3&amp;refID=7183475&amp;Result=3","7183475")</f>
        <v>0</v>
      </c>
      <c r="B8122" t="s">
        <v>2535</v>
      </c>
      <c r="C8122" t="s">
        <v>11294</v>
      </c>
      <c r="D8122" t="s">
        <v>17172</v>
      </c>
      <c r="E8122" t="s">
        <v>24242</v>
      </c>
      <c r="F8122" t="s">
        <v>29372</v>
      </c>
      <c r="G8122" t="s">
        <v>29380</v>
      </c>
      <c r="H8122" t="s">
        <v>11048</v>
      </c>
      <c r="I8122" t="s">
        <v>29425</v>
      </c>
      <c r="J8122" t="s">
        <v>30787</v>
      </c>
      <c r="K8122" t="s">
        <v>38490</v>
      </c>
      <c r="M8122" t="s">
        <v>41497</v>
      </c>
      <c r="N8122" t="s">
        <v>42669</v>
      </c>
      <c r="O8122" t="s">
        <v>42670</v>
      </c>
      <c r="P8122">
        <v>0</v>
      </c>
      <c r="Q8122">
        <v>6</v>
      </c>
      <c r="R8122" t="s">
        <v>42678</v>
      </c>
      <c r="S8122" t="s">
        <v>42866</v>
      </c>
      <c r="T8122" t="s">
        <v>44390</v>
      </c>
      <c r="U8122" t="s">
        <v>51465</v>
      </c>
      <c r="W8122" t="s">
        <v>41497</v>
      </c>
      <c r="X8122" t="s">
        <v>42679</v>
      </c>
    </row>
    <row r="8123" spans="1:24">
      <c r="A8123">
        <f>HYPERLINK("https://www.philgeps.gov.ph/GEPSNONPILOT/Tender/SplashBidNoticeAbstractUI.aspx?menuIndex=3&amp;refID=7183474&amp;Result=3","7183474")</f>
        <v>0</v>
      </c>
      <c r="B8123" t="s">
        <v>2533</v>
      </c>
      <c r="C8123" t="s">
        <v>11295</v>
      </c>
      <c r="E8123" t="s">
        <v>24243</v>
      </c>
      <c r="F8123" t="s">
        <v>29372</v>
      </c>
      <c r="G8123" t="s">
        <v>29380</v>
      </c>
      <c r="H8123" t="s">
        <v>11048</v>
      </c>
      <c r="I8123" t="s">
        <v>29460</v>
      </c>
      <c r="J8123" t="s">
        <v>34779</v>
      </c>
      <c r="K8123" t="s">
        <v>38490</v>
      </c>
      <c r="M8123" t="s">
        <v>41495</v>
      </c>
      <c r="N8123" t="s">
        <v>42669</v>
      </c>
      <c r="O8123" t="s">
        <v>42670</v>
      </c>
      <c r="P8123">
        <v>0</v>
      </c>
      <c r="Q8123">
        <v>12</v>
      </c>
      <c r="R8123" t="s">
        <v>42678</v>
      </c>
      <c r="S8123" t="s">
        <v>42866</v>
      </c>
      <c r="T8123" t="s">
        <v>44754</v>
      </c>
      <c r="U8123" t="s">
        <v>51447</v>
      </c>
      <c r="W8123" t="s">
        <v>41495</v>
      </c>
      <c r="X8123" t="s">
        <v>42679</v>
      </c>
    </row>
    <row r="8124" spans="1:24">
      <c r="A8124">
        <f>HYPERLINK("https://www.philgeps.gov.ph/GEPSNONPILOT/Tender/SplashBidNoticeAbstractUI.aspx?menuIndex=3&amp;refID=7183502&amp;Result=3","7183502")</f>
        <v>0</v>
      </c>
      <c r="B8124" t="s">
        <v>2536</v>
      </c>
      <c r="C8124" t="s">
        <v>11296</v>
      </c>
      <c r="D8124" t="s">
        <v>17187</v>
      </c>
      <c r="E8124" t="s">
        <v>24244</v>
      </c>
      <c r="F8124" t="s">
        <v>29372</v>
      </c>
      <c r="G8124" t="s">
        <v>29383</v>
      </c>
      <c r="H8124" t="s">
        <v>11048</v>
      </c>
      <c r="I8124" t="s">
        <v>4709</v>
      </c>
      <c r="J8124" t="s">
        <v>34780</v>
      </c>
      <c r="K8124" t="s">
        <v>38510</v>
      </c>
      <c r="M8124" t="s">
        <v>41498</v>
      </c>
      <c r="N8124" t="s">
        <v>42669</v>
      </c>
      <c r="O8124" t="s">
        <v>42670</v>
      </c>
      <c r="P8124">
        <v>0</v>
      </c>
      <c r="Q8124">
        <v>3</v>
      </c>
      <c r="R8124" t="s">
        <v>42678</v>
      </c>
      <c r="S8124" t="s">
        <v>42866</v>
      </c>
      <c r="T8124" t="s">
        <v>44488</v>
      </c>
      <c r="U8124" t="s">
        <v>51466</v>
      </c>
      <c r="W8124" t="s">
        <v>41498</v>
      </c>
      <c r="X8124" t="s">
        <v>42679</v>
      </c>
    </row>
    <row r="8125" spans="1:24">
      <c r="A8125">
        <f>HYPERLINK("https://www.philgeps.gov.ph/GEPSNONPILOT/Tender/SplashBidNoticeAbstractUI.aspx?menuIndex=3&amp;refID=7183537&amp;Result=3","7183537")</f>
        <v>0</v>
      </c>
      <c r="B8125" t="s">
        <v>2537</v>
      </c>
      <c r="C8125" t="s">
        <v>7355</v>
      </c>
      <c r="D8125" t="s">
        <v>17164</v>
      </c>
      <c r="E8125" t="s">
        <v>24245</v>
      </c>
      <c r="F8125" t="s">
        <v>29372</v>
      </c>
      <c r="G8125" t="s">
        <v>29380</v>
      </c>
      <c r="H8125" t="s">
        <v>11048</v>
      </c>
      <c r="I8125" t="s">
        <v>3695</v>
      </c>
      <c r="J8125" t="s">
        <v>29555</v>
      </c>
      <c r="K8125" t="s">
        <v>38491</v>
      </c>
      <c r="M8125" t="s">
        <v>41499</v>
      </c>
      <c r="N8125" t="s">
        <v>42669</v>
      </c>
      <c r="O8125" t="s">
        <v>42670</v>
      </c>
      <c r="P8125">
        <v>0</v>
      </c>
      <c r="Q8125">
        <v>0</v>
      </c>
      <c r="R8125" t="s">
        <v>42678</v>
      </c>
      <c r="S8125" t="s">
        <v>42866</v>
      </c>
      <c r="T8125" t="s">
        <v>44432</v>
      </c>
      <c r="U8125" t="s">
        <v>51467</v>
      </c>
      <c r="W8125" t="s">
        <v>41499</v>
      </c>
      <c r="X8125" t="s">
        <v>42679</v>
      </c>
    </row>
    <row r="8126" spans="1:24">
      <c r="A8126">
        <f>HYPERLINK("https://www.philgeps.gov.ph/GEPSNONPILOT/Tender/SplashBidNoticeAbstractUI.aspx?menuIndex=3&amp;refID=7183542&amp;Result=3","7183542")</f>
        <v>0</v>
      </c>
      <c r="B8126" t="s">
        <v>983</v>
      </c>
      <c r="C8126" t="s">
        <v>11297</v>
      </c>
      <c r="D8126" t="s">
        <v>17189</v>
      </c>
      <c r="E8126" t="s">
        <v>24246</v>
      </c>
      <c r="F8126" t="s">
        <v>29372</v>
      </c>
      <c r="G8126" t="s">
        <v>29380</v>
      </c>
      <c r="H8126" t="s">
        <v>11048</v>
      </c>
      <c r="I8126" t="s">
        <v>4709</v>
      </c>
      <c r="J8126" t="s">
        <v>34781</v>
      </c>
      <c r="K8126" t="s">
        <v>38518</v>
      </c>
      <c r="M8126" t="s">
        <v>39781</v>
      </c>
      <c r="N8126" t="s">
        <v>42669</v>
      </c>
      <c r="O8126" t="s">
        <v>42670</v>
      </c>
      <c r="P8126">
        <v>0</v>
      </c>
      <c r="Q8126">
        <v>0</v>
      </c>
      <c r="R8126" t="s">
        <v>42678</v>
      </c>
      <c r="S8126" t="s">
        <v>42866</v>
      </c>
      <c r="T8126" t="s">
        <v>44744</v>
      </c>
      <c r="U8126" t="s">
        <v>51468</v>
      </c>
      <c r="V8126" t="s">
        <v>57152</v>
      </c>
      <c r="W8126" t="s">
        <v>39781</v>
      </c>
      <c r="X8126" t="s">
        <v>42679</v>
      </c>
    </row>
    <row r="8127" spans="1:24">
      <c r="A8127">
        <f>HYPERLINK("https://www.philgeps.gov.ph/GEPSNONPILOT/Tender/SplashBidNoticeAbstractUI.aspx?menuIndex=3&amp;refID=7183438&amp;Result=3","7183438")</f>
        <v>0</v>
      </c>
      <c r="B8127" t="s">
        <v>2527</v>
      </c>
      <c r="C8127" t="s">
        <v>11298</v>
      </c>
      <c r="D8127" t="s">
        <v>17181</v>
      </c>
      <c r="E8127" t="s">
        <v>19078</v>
      </c>
      <c r="F8127" t="s">
        <v>29372</v>
      </c>
      <c r="G8127" t="s">
        <v>29380</v>
      </c>
      <c r="H8127" t="s">
        <v>29389</v>
      </c>
      <c r="I8127" t="s">
        <v>10408</v>
      </c>
      <c r="J8127" t="s">
        <v>34782</v>
      </c>
      <c r="K8127" t="s">
        <v>38564</v>
      </c>
      <c r="M8127" t="s">
        <v>41489</v>
      </c>
      <c r="N8127" t="s">
        <v>42669</v>
      </c>
      <c r="O8127" t="s">
        <v>42670</v>
      </c>
      <c r="P8127">
        <v>0</v>
      </c>
      <c r="Q8127">
        <v>0</v>
      </c>
      <c r="R8127" t="s">
        <v>42678</v>
      </c>
      <c r="S8127" t="s">
        <v>42866</v>
      </c>
      <c r="T8127" t="s">
        <v>44517</v>
      </c>
      <c r="U8127" t="s">
        <v>51469</v>
      </c>
      <c r="W8127" t="s">
        <v>41489</v>
      </c>
      <c r="X8127" t="s">
        <v>42679</v>
      </c>
    </row>
    <row r="8128" spans="1:24">
      <c r="A8128">
        <f>HYPERLINK("https://www.philgeps.gov.ph/GEPSNONPILOT/Tender/SplashBidNoticeAbstractUI.aspx?menuIndex=3&amp;refID=7183543&amp;Result=3","7183543")</f>
        <v>0</v>
      </c>
      <c r="B8128" t="s">
        <v>1922</v>
      </c>
      <c r="C8128" t="s">
        <v>11299</v>
      </c>
      <c r="D8128" t="s">
        <v>17172</v>
      </c>
      <c r="E8128" t="s">
        <v>24247</v>
      </c>
      <c r="F8128" t="s">
        <v>29372</v>
      </c>
      <c r="G8128" t="s">
        <v>29380</v>
      </c>
      <c r="H8128" t="s">
        <v>29389</v>
      </c>
      <c r="I8128" t="s">
        <v>29417</v>
      </c>
      <c r="J8128" t="s">
        <v>29590</v>
      </c>
      <c r="K8128" t="s">
        <v>38485</v>
      </c>
      <c r="M8128" t="s">
        <v>40798</v>
      </c>
      <c r="N8128" t="s">
        <v>42669</v>
      </c>
      <c r="O8128" t="s">
        <v>42670</v>
      </c>
      <c r="P8128">
        <v>0</v>
      </c>
      <c r="Q8128">
        <v>4</v>
      </c>
      <c r="R8128" t="s">
        <v>42678</v>
      </c>
      <c r="S8128" t="s">
        <v>42866</v>
      </c>
      <c r="T8128" t="s">
        <v>44410</v>
      </c>
      <c r="U8128" t="s">
        <v>51470</v>
      </c>
      <c r="W8128" t="s">
        <v>40798</v>
      </c>
      <c r="X8128" t="s">
        <v>42679</v>
      </c>
    </row>
    <row r="8129" spans="1:24">
      <c r="A8129">
        <f>HYPERLINK("https://www.philgeps.gov.ph/GEPSNONPILOT/Tender/SplashBidNoticeAbstractUI.aspx?menuIndex=3&amp;refID=7183540&amp;Result=3","7183540")</f>
        <v>0</v>
      </c>
      <c r="B8129" t="s">
        <v>2538</v>
      </c>
      <c r="C8129" t="s">
        <v>11300</v>
      </c>
      <c r="D8129" t="s">
        <v>17170</v>
      </c>
      <c r="E8129" t="s">
        <v>23474</v>
      </c>
      <c r="F8129" t="s">
        <v>29372</v>
      </c>
      <c r="G8129" t="s">
        <v>29380</v>
      </c>
      <c r="H8129" t="s">
        <v>11048</v>
      </c>
      <c r="I8129" t="s">
        <v>29426</v>
      </c>
      <c r="J8129" t="s">
        <v>29625</v>
      </c>
      <c r="K8129" t="s">
        <v>38489</v>
      </c>
      <c r="M8129" t="s">
        <v>41500</v>
      </c>
      <c r="N8129" t="s">
        <v>42669</v>
      </c>
      <c r="O8129" t="s">
        <v>42670</v>
      </c>
      <c r="P8129">
        <v>0</v>
      </c>
      <c r="Q8129">
        <v>0</v>
      </c>
      <c r="R8129" t="s">
        <v>42678</v>
      </c>
      <c r="S8129" t="s">
        <v>42866</v>
      </c>
      <c r="T8129" t="s">
        <v>44493</v>
      </c>
      <c r="U8129" t="s">
        <v>51471</v>
      </c>
      <c r="V8129" t="s">
        <v>57260</v>
      </c>
      <c r="W8129" t="s">
        <v>41500</v>
      </c>
      <c r="X8129" t="s">
        <v>42679</v>
      </c>
    </row>
    <row r="8130" spans="1:24">
      <c r="A8130">
        <f>HYPERLINK("https://www.philgeps.gov.ph/GEPSNONPILOT/Tender/SplashBidNoticeAbstractUI.aspx?menuIndex=3&amp;refID=7183539&amp;Result=3","7183539")</f>
        <v>0</v>
      </c>
      <c r="B8130" t="s">
        <v>2539</v>
      </c>
      <c r="C8130" t="s">
        <v>11301</v>
      </c>
      <c r="E8130" t="s">
        <v>24248</v>
      </c>
      <c r="F8130" t="s">
        <v>29372</v>
      </c>
      <c r="G8130" t="s">
        <v>29380</v>
      </c>
      <c r="H8130" t="s">
        <v>11048</v>
      </c>
      <c r="I8130" t="s">
        <v>5383</v>
      </c>
      <c r="J8130" t="s">
        <v>34783</v>
      </c>
      <c r="K8130" t="s">
        <v>38490</v>
      </c>
      <c r="M8130" t="s">
        <v>41501</v>
      </c>
      <c r="N8130" t="s">
        <v>42669</v>
      </c>
      <c r="O8130" t="s">
        <v>42670</v>
      </c>
      <c r="Q8130">
        <v>11</v>
      </c>
      <c r="R8130" t="s">
        <v>42678</v>
      </c>
      <c r="S8130" t="s">
        <v>42916</v>
      </c>
      <c r="T8130" t="s">
        <v>44663</v>
      </c>
      <c r="U8130" t="s">
        <v>51472</v>
      </c>
      <c r="W8130" t="s">
        <v>41501</v>
      </c>
      <c r="X8130" t="s">
        <v>42679</v>
      </c>
    </row>
    <row r="8131" spans="1:24">
      <c r="A8131">
        <f>HYPERLINK("https://www.philgeps.gov.ph/GEPSNONPILOT/Tender/SplashBidNoticeAbstractUI.aspx?menuIndex=3&amp;refID=7183535&amp;Result=3","7183535")</f>
        <v>0</v>
      </c>
      <c r="B8131" t="s">
        <v>166</v>
      </c>
      <c r="C8131" t="s">
        <v>11302</v>
      </c>
      <c r="D8131" t="s">
        <v>17163</v>
      </c>
      <c r="E8131" t="s">
        <v>17533</v>
      </c>
      <c r="F8131" t="s">
        <v>29372</v>
      </c>
      <c r="G8131" t="s">
        <v>29379</v>
      </c>
      <c r="H8131" t="s">
        <v>29390</v>
      </c>
      <c r="I8131" t="s">
        <v>29409</v>
      </c>
      <c r="J8131" t="s">
        <v>30412</v>
      </c>
      <c r="K8131" t="s">
        <v>38528</v>
      </c>
      <c r="M8131" t="s">
        <v>38923</v>
      </c>
      <c r="N8131" t="s">
        <v>42669</v>
      </c>
      <c r="O8131" t="s">
        <v>42670</v>
      </c>
      <c r="P8131">
        <v>0</v>
      </c>
      <c r="Q8131">
        <v>1</v>
      </c>
      <c r="R8131" t="s">
        <v>42678</v>
      </c>
      <c r="S8131" t="s">
        <v>42866</v>
      </c>
      <c r="T8131" t="s">
        <v>44429</v>
      </c>
      <c r="U8131" t="s">
        <v>51473</v>
      </c>
      <c r="W8131" t="s">
        <v>38923</v>
      </c>
      <c r="X8131" t="s">
        <v>42679</v>
      </c>
    </row>
    <row r="8132" spans="1:24">
      <c r="A8132">
        <f>HYPERLINK("https://www.philgeps.gov.ph/GEPSNONPILOT/Tender/SplashBidNoticeAbstractUI.aspx?menuIndex=3&amp;refID=7183482&amp;Result=3","7183482")</f>
        <v>0</v>
      </c>
      <c r="B8132" t="s">
        <v>1812</v>
      </c>
      <c r="C8132" t="s">
        <v>11303</v>
      </c>
      <c r="D8132" t="s">
        <v>17194</v>
      </c>
      <c r="E8132" t="s">
        <v>24249</v>
      </c>
      <c r="F8132" t="s">
        <v>29372</v>
      </c>
      <c r="G8132" t="s">
        <v>29380</v>
      </c>
      <c r="H8132" t="s">
        <v>11048</v>
      </c>
      <c r="I8132" t="s">
        <v>3860</v>
      </c>
      <c r="J8132" t="s">
        <v>30412</v>
      </c>
      <c r="K8132" t="s">
        <v>38490</v>
      </c>
      <c r="M8132" t="s">
        <v>40683</v>
      </c>
      <c r="N8132" t="s">
        <v>42669</v>
      </c>
      <c r="O8132" t="s">
        <v>42670</v>
      </c>
      <c r="P8132">
        <v>0</v>
      </c>
      <c r="Q8132">
        <v>0</v>
      </c>
      <c r="R8132" t="s">
        <v>42678</v>
      </c>
      <c r="S8132" t="s">
        <v>42866</v>
      </c>
      <c r="T8132" t="s">
        <v>44354</v>
      </c>
      <c r="U8132" t="s">
        <v>51443</v>
      </c>
      <c r="W8132" t="s">
        <v>40683</v>
      </c>
      <c r="X8132" t="s">
        <v>42679</v>
      </c>
    </row>
    <row r="8133" spans="1:24">
      <c r="A8133">
        <f>HYPERLINK("https://www.philgeps.gov.ph/GEPSNONPILOT/Tender/SplashBidNoticeAbstractUI.aspx?menuIndex=3&amp;refID=7183480&amp;Result=3","7183480")</f>
        <v>0</v>
      </c>
      <c r="B8133" t="s">
        <v>2540</v>
      </c>
      <c r="C8133" t="s">
        <v>11304</v>
      </c>
      <c r="D8133" t="s">
        <v>17206</v>
      </c>
      <c r="E8133" t="s">
        <v>24250</v>
      </c>
      <c r="F8133" t="s">
        <v>29372</v>
      </c>
      <c r="G8133" t="s">
        <v>29380</v>
      </c>
      <c r="H8133" t="s">
        <v>29389</v>
      </c>
      <c r="I8133" t="s">
        <v>29423</v>
      </c>
      <c r="J8133" t="s">
        <v>30244</v>
      </c>
      <c r="K8133" t="s">
        <v>38495</v>
      </c>
      <c r="M8133" t="s">
        <v>41502</v>
      </c>
      <c r="N8133" t="s">
        <v>42669</v>
      </c>
      <c r="O8133" t="s">
        <v>42670</v>
      </c>
      <c r="P8133">
        <v>0</v>
      </c>
      <c r="Q8133">
        <v>9</v>
      </c>
      <c r="R8133" t="s">
        <v>42678</v>
      </c>
      <c r="S8133" t="s">
        <v>42866</v>
      </c>
      <c r="T8133" t="s">
        <v>44446</v>
      </c>
      <c r="U8133" t="s">
        <v>51474</v>
      </c>
      <c r="W8133" t="s">
        <v>41502</v>
      </c>
      <c r="X8133" t="s">
        <v>42679</v>
      </c>
    </row>
    <row r="8134" spans="1:24">
      <c r="A8134">
        <f>HYPERLINK("https://www.philgeps.gov.ph/GEPSNONPILOT/Tender/SplashBidNoticeAbstractUI.aspx?menuIndex=3&amp;refID=7183522&amp;Result=3","7183522")</f>
        <v>0</v>
      </c>
      <c r="B8134" t="s">
        <v>2541</v>
      </c>
      <c r="C8134" t="s">
        <v>11305</v>
      </c>
      <c r="E8134" t="s">
        <v>24251</v>
      </c>
      <c r="F8134" t="s">
        <v>29372</v>
      </c>
      <c r="G8134" t="s">
        <v>29380</v>
      </c>
      <c r="H8134" t="s">
        <v>11048</v>
      </c>
      <c r="I8134" t="s">
        <v>3670</v>
      </c>
      <c r="J8134" t="s">
        <v>34784</v>
      </c>
      <c r="K8134" t="s">
        <v>38495</v>
      </c>
      <c r="M8134" t="s">
        <v>41503</v>
      </c>
      <c r="N8134" t="s">
        <v>42669</v>
      </c>
      <c r="O8134" t="s">
        <v>42670</v>
      </c>
      <c r="Q8134">
        <v>23</v>
      </c>
      <c r="R8134" t="s">
        <v>42678</v>
      </c>
      <c r="S8134" t="s">
        <v>42917</v>
      </c>
      <c r="T8134" t="s">
        <v>44539</v>
      </c>
      <c r="U8134" t="s">
        <v>51475</v>
      </c>
      <c r="W8134" t="s">
        <v>58088</v>
      </c>
      <c r="X8134" t="s">
        <v>42679</v>
      </c>
    </row>
    <row r="8135" spans="1:24">
      <c r="A8135">
        <f>HYPERLINK("https://www.philgeps.gov.ph/GEPSNONPILOT/Tender/SplashBidNoticeAbstractUI.aspx?menuIndex=3&amp;refID=7183541&amp;Result=3","7183541")</f>
        <v>0</v>
      </c>
      <c r="B8135" t="s">
        <v>2542</v>
      </c>
      <c r="C8135" t="s">
        <v>11306</v>
      </c>
      <c r="E8135" t="s">
        <v>24252</v>
      </c>
      <c r="F8135" t="s">
        <v>29372</v>
      </c>
      <c r="G8135" t="s">
        <v>29380</v>
      </c>
      <c r="H8135" t="s">
        <v>11048</v>
      </c>
      <c r="I8135" t="s">
        <v>29408</v>
      </c>
      <c r="J8135" t="s">
        <v>34785</v>
      </c>
      <c r="K8135" t="s">
        <v>38490</v>
      </c>
      <c r="M8135" t="s">
        <v>41504</v>
      </c>
      <c r="N8135" t="s">
        <v>42669</v>
      </c>
      <c r="O8135" t="s">
        <v>42670</v>
      </c>
      <c r="P8135">
        <v>0</v>
      </c>
      <c r="Q8135">
        <v>0</v>
      </c>
      <c r="R8135" t="s">
        <v>42678</v>
      </c>
      <c r="S8135" t="s">
        <v>42866</v>
      </c>
      <c r="T8135" t="s">
        <v>44355</v>
      </c>
      <c r="U8135" t="s">
        <v>51476</v>
      </c>
      <c r="W8135" t="s">
        <v>41504</v>
      </c>
      <c r="X8135" t="s">
        <v>42679</v>
      </c>
    </row>
    <row r="8136" spans="1:24">
      <c r="A8136">
        <f>HYPERLINK("https://www.philgeps.gov.ph/GEPSNONPILOT/Tender/SplashBidNoticeAbstractUI.aspx?menuIndex=3&amp;refID=7183517&amp;Result=3","7183517")</f>
        <v>0</v>
      </c>
      <c r="B8136" t="s">
        <v>2533</v>
      </c>
      <c r="C8136" t="s">
        <v>11307</v>
      </c>
      <c r="E8136" t="s">
        <v>24253</v>
      </c>
      <c r="F8136" t="s">
        <v>29372</v>
      </c>
      <c r="G8136" t="s">
        <v>29380</v>
      </c>
      <c r="H8136" t="s">
        <v>11048</v>
      </c>
      <c r="I8136" t="s">
        <v>29460</v>
      </c>
      <c r="J8136" t="s">
        <v>34786</v>
      </c>
      <c r="K8136" t="s">
        <v>38490</v>
      </c>
      <c r="M8136" t="s">
        <v>41495</v>
      </c>
      <c r="N8136" t="s">
        <v>42669</v>
      </c>
      <c r="O8136" t="s">
        <v>42670</v>
      </c>
      <c r="P8136">
        <v>0</v>
      </c>
      <c r="Q8136">
        <v>12</v>
      </c>
      <c r="R8136" t="s">
        <v>42678</v>
      </c>
      <c r="S8136" t="s">
        <v>42866</v>
      </c>
      <c r="T8136" t="s">
        <v>44754</v>
      </c>
      <c r="U8136" t="s">
        <v>51447</v>
      </c>
      <c r="W8136" t="s">
        <v>41495</v>
      </c>
      <c r="X8136" t="s">
        <v>42679</v>
      </c>
    </row>
    <row r="8137" spans="1:24">
      <c r="A8137">
        <f>HYPERLINK("https://www.philgeps.gov.ph/GEPSNONPILOT/Tender/SplashBidNoticeAbstractUI.aspx?menuIndex=3&amp;refID=7183533&amp;Result=3","7183533")</f>
        <v>0</v>
      </c>
      <c r="B8137" t="s">
        <v>166</v>
      </c>
      <c r="C8137" t="s">
        <v>11308</v>
      </c>
      <c r="D8137" t="s">
        <v>17163</v>
      </c>
      <c r="E8137" t="s">
        <v>17533</v>
      </c>
      <c r="F8137" t="s">
        <v>29372</v>
      </c>
      <c r="G8137" t="s">
        <v>29379</v>
      </c>
      <c r="H8137" t="s">
        <v>29390</v>
      </c>
      <c r="I8137" t="s">
        <v>29409</v>
      </c>
      <c r="J8137" t="s">
        <v>29526</v>
      </c>
      <c r="K8137" t="s">
        <v>38528</v>
      </c>
      <c r="M8137" t="s">
        <v>38923</v>
      </c>
      <c r="N8137" t="s">
        <v>42669</v>
      </c>
      <c r="O8137" t="s">
        <v>42670</v>
      </c>
      <c r="P8137">
        <v>0</v>
      </c>
      <c r="Q8137">
        <v>3</v>
      </c>
      <c r="R8137" t="s">
        <v>42678</v>
      </c>
      <c r="S8137" t="s">
        <v>42866</v>
      </c>
      <c r="T8137" t="s">
        <v>44429</v>
      </c>
      <c r="U8137" t="s">
        <v>51477</v>
      </c>
      <c r="W8137" t="s">
        <v>38923</v>
      </c>
      <c r="X8137" t="s">
        <v>42679</v>
      </c>
    </row>
    <row r="8138" spans="1:24">
      <c r="A8138">
        <f>HYPERLINK("https://www.philgeps.gov.ph/GEPSNONPILOT/Tender/SplashBidNoticeAbstractUI.aspx?menuIndex=3&amp;refID=7183527&amp;Result=3","7183527")</f>
        <v>0</v>
      </c>
      <c r="B8138" t="s">
        <v>2543</v>
      </c>
      <c r="C8138" t="s">
        <v>11309</v>
      </c>
      <c r="D8138" t="s">
        <v>17192</v>
      </c>
      <c r="E8138" t="s">
        <v>17399</v>
      </c>
      <c r="F8138" t="s">
        <v>29372</v>
      </c>
      <c r="G8138" t="s">
        <v>29380</v>
      </c>
      <c r="H8138" t="s">
        <v>11048</v>
      </c>
      <c r="I8138" t="s">
        <v>29417</v>
      </c>
      <c r="J8138" t="s">
        <v>29694</v>
      </c>
      <c r="K8138" t="s">
        <v>38491</v>
      </c>
      <c r="M8138" t="s">
        <v>41505</v>
      </c>
      <c r="N8138" t="s">
        <v>42669</v>
      </c>
      <c r="O8138" t="s">
        <v>42670</v>
      </c>
      <c r="P8138">
        <v>0</v>
      </c>
      <c r="Q8138">
        <v>1</v>
      </c>
      <c r="R8138" t="s">
        <v>42678</v>
      </c>
      <c r="S8138" t="s">
        <v>42866</v>
      </c>
      <c r="T8138" t="s">
        <v>44481</v>
      </c>
      <c r="U8138" t="s">
        <v>51478</v>
      </c>
      <c r="W8138" t="s">
        <v>41505</v>
      </c>
      <c r="X8138" t="s">
        <v>42679</v>
      </c>
    </row>
    <row r="8139" spans="1:24">
      <c r="A8139">
        <f>HYPERLINK("https://www.philgeps.gov.ph/GEPSNONPILOT/Tender/SplashBidNoticeAbstractUI.aspx?menuIndex=3&amp;refID=7183510&amp;Result=3","7183510")</f>
        <v>0</v>
      </c>
      <c r="B8139" t="s">
        <v>2527</v>
      </c>
      <c r="C8139" t="s">
        <v>11310</v>
      </c>
      <c r="D8139" t="s">
        <v>17181</v>
      </c>
      <c r="E8139" t="s">
        <v>17571</v>
      </c>
      <c r="F8139" t="s">
        <v>29372</v>
      </c>
      <c r="G8139" t="s">
        <v>29380</v>
      </c>
      <c r="H8139" t="s">
        <v>29389</v>
      </c>
      <c r="I8139" t="s">
        <v>29417</v>
      </c>
      <c r="J8139" t="s">
        <v>34787</v>
      </c>
      <c r="K8139" t="s">
        <v>38522</v>
      </c>
      <c r="M8139" t="s">
        <v>41489</v>
      </c>
      <c r="N8139" t="s">
        <v>42669</v>
      </c>
      <c r="O8139" t="s">
        <v>42670</v>
      </c>
      <c r="P8139">
        <v>0</v>
      </c>
      <c r="Q8139">
        <v>2</v>
      </c>
      <c r="R8139" t="s">
        <v>42678</v>
      </c>
      <c r="S8139" t="s">
        <v>42866</v>
      </c>
      <c r="T8139" t="s">
        <v>44446</v>
      </c>
      <c r="U8139" t="s">
        <v>51479</v>
      </c>
      <c r="W8139" t="s">
        <v>41489</v>
      </c>
      <c r="X8139" t="s">
        <v>42679</v>
      </c>
    </row>
    <row r="8140" spans="1:24">
      <c r="A8140">
        <f>HYPERLINK("https://www.philgeps.gov.ph/GEPSNONPILOT/Tender/SplashBidNoticeAbstractUI.aspx?menuIndex=3&amp;refID=7183565&amp;Result=3","7183565")</f>
        <v>0</v>
      </c>
      <c r="B8140" t="s">
        <v>511</v>
      </c>
      <c r="C8140" t="s">
        <v>11311</v>
      </c>
      <c r="D8140" t="s">
        <v>17163</v>
      </c>
      <c r="E8140" t="s">
        <v>24254</v>
      </c>
      <c r="F8140" t="s">
        <v>29372</v>
      </c>
      <c r="G8140" t="s">
        <v>29383</v>
      </c>
      <c r="H8140" t="s">
        <v>11048</v>
      </c>
      <c r="I8140" t="s">
        <v>3695</v>
      </c>
      <c r="J8140" t="s">
        <v>34788</v>
      </c>
      <c r="K8140" t="s">
        <v>38490</v>
      </c>
      <c r="M8140" t="s">
        <v>39278</v>
      </c>
      <c r="N8140" t="s">
        <v>42669</v>
      </c>
      <c r="O8140" t="s">
        <v>42670</v>
      </c>
      <c r="P8140">
        <v>0</v>
      </c>
      <c r="Q8140">
        <v>6</v>
      </c>
      <c r="R8140" t="s">
        <v>42678</v>
      </c>
      <c r="S8140" t="s">
        <v>42866</v>
      </c>
      <c r="T8140" t="s">
        <v>44454</v>
      </c>
      <c r="U8140" t="s">
        <v>51480</v>
      </c>
      <c r="V8140" t="s">
        <v>56483</v>
      </c>
      <c r="W8140" t="s">
        <v>39278</v>
      </c>
      <c r="X8140" t="s">
        <v>42679</v>
      </c>
    </row>
    <row r="8141" spans="1:24">
      <c r="A8141">
        <f>HYPERLINK("https://www.philgeps.gov.ph/GEPSNONPILOT/Tender/SplashBidNoticeAbstractUI.aspx?menuIndex=3&amp;refID=7183575&amp;Result=3","7183575")</f>
        <v>0</v>
      </c>
      <c r="B8141" t="s">
        <v>2537</v>
      </c>
      <c r="C8141" t="s">
        <v>11312</v>
      </c>
      <c r="D8141" t="s">
        <v>17164</v>
      </c>
      <c r="E8141" t="s">
        <v>24255</v>
      </c>
      <c r="F8141" t="s">
        <v>29372</v>
      </c>
      <c r="G8141" t="s">
        <v>29381</v>
      </c>
      <c r="H8141" t="s">
        <v>11048</v>
      </c>
      <c r="I8141" t="s">
        <v>9469</v>
      </c>
      <c r="J8141" t="s">
        <v>30161</v>
      </c>
      <c r="K8141" t="s">
        <v>38488</v>
      </c>
      <c r="M8141" t="s">
        <v>41499</v>
      </c>
      <c r="N8141" t="s">
        <v>42669</v>
      </c>
      <c r="O8141" t="s">
        <v>42670</v>
      </c>
      <c r="P8141">
        <v>0</v>
      </c>
      <c r="Q8141">
        <v>1</v>
      </c>
      <c r="R8141" t="s">
        <v>42678</v>
      </c>
      <c r="S8141" t="s">
        <v>42866</v>
      </c>
      <c r="T8141" t="s">
        <v>44432</v>
      </c>
      <c r="U8141" t="s">
        <v>51481</v>
      </c>
      <c r="W8141" t="s">
        <v>41499</v>
      </c>
      <c r="X8141" t="s">
        <v>42679</v>
      </c>
    </row>
    <row r="8142" spans="1:24">
      <c r="A8142">
        <f>HYPERLINK("https://www.philgeps.gov.ph/GEPSNONPILOT/Tender/SplashBidNoticeAbstractUI.aspx?menuIndex=3&amp;refID=7183574&amp;Result=3","7183574")</f>
        <v>0</v>
      </c>
      <c r="B8142" t="s">
        <v>2544</v>
      </c>
      <c r="C8142" t="s">
        <v>11313</v>
      </c>
      <c r="D8142" t="s">
        <v>17141</v>
      </c>
      <c r="E8142" t="s">
        <v>24256</v>
      </c>
      <c r="F8142" t="s">
        <v>29372</v>
      </c>
      <c r="G8142" t="s">
        <v>29380</v>
      </c>
      <c r="H8142" t="s">
        <v>11048</v>
      </c>
      <c r="I8142" t="s">
        <v>3670</v>
      </c>
      <c r="J8142" t="s">
        <v>29526</v>
      </c>
      <c r="K8142" t="s">
        <v>38496</v>
      </c>
      <c r="M8142" t="s">
        <v>41506</v>
      </c>
      <c r="N8142" t="s">
        <v>42669</v>
      </c>
      <c r="O8142" t="s">
        <v>42670</v>
      </c>
      <c r="P8142">
        <v>0</v>
      </c>
      <c r="Q8142">
        <v>0</v>
      </c>
      <c r="R8142" t="s">
        <v>42678</v>
      </c>
      <c r="S8142" t="s">
        <v>42866</v>
      </c>
      <c r="T8142" t="s">
        <v>44427</v>
      </c>
      <c r="U8142" t="s">
        <v>51482</v>
      </c>
      <c r="W8142" t="s">
        <v>41506</v>
      </c>
      <c r="X8142" t="s">
        <v>42679</v>
      </c>
    </row>
    <row r="8143" spans="1:24">
      <c r="A8143">
        <f>HYPERLINK("https://www.philgeps.gov.ph/GEPSNONPILOT/Tender/SplashBidNoticeAbstractUI.aspx?menuIndex=3&amp;refID=7183513&amp;Result=3","7183513")</f>
        <v>0</v>
      </c>
      <c r="B8143" t="s">
        <v>2533</v>
      </c>
      <c r="C8143" t="s">
        <v>11314</v>
      </c>
      <c r="E8143" t="s">
        <v>24257</v>
      </c>
      <c r="F8143" t="s">
        <v>29372</v>
      </c>
      <c r="G8143" t="s">
        <v>29380</v>
      </c>
      <c r="H8143" t="s">
        <v>11048</v>
      </c>
      <c r="I8143" t="s">
        <v>29460</v>
      </c>
      <c r="J8143" t="s">
        <v>34789</v>
      </c>
      <c r="K8143" t="s">
        <v>38490</v>
      </c>
      <c r="M8143" t="s">
        <v>41495</v>
      </c>
      <c r="N8143" t="s">
        <v>42669</v>
      </c>
      <c r="O8143" t="s">
        <v>42670</v>
      </c>
      <c r="P8143">
        <v>0</v>
      </c>
      <c r="Q8143">
        <v>13</v>
      </c>
      <c r="R8143" t="s">
        <v>42678</v>
      </c>
      <c r="S8143" t="s">
        <v>42866</v>
      </c>
      <c r="T8143" t="s">
        <v>44754</v>
      </c>
      <c r="U8143" t="s">
        <v>51447</v>
      </c>
      <c r="W8143" t="s">
        <v>41495</v>
      </c>
      <c r="X8143" t="s">
        <v>42679</v>
      </c>
    </row>
    <row r="8144" spans="1:24">
      <c r="A8144">
        <f>HYPERLINK("https://www.philgeps.gov.ph/GEPSNONPILOT/Tender/SplashBidNoticeAbstractUI.aspx?menuIndex=3&amp;refID=7183573&amp;Result=3","7183573")</f>
        <v>0</v>
      </c>
      <c r="B8144" t="s">
        <v>983</v>
      </c>
      <c r="C8144" t="s">
        <v>11315</v>
      </c>
      <c r="D8144" t="s">
        <v>17189</v>
      </c>
      <c r="E8144" t="s">
        <v>24258</v>
      </c>
      <c r="F8144" t="s">
        <v>29372</v>
      </c>
      <c r="G8144" t="s">
        <v>29380</v>
      </c>
      <c r="H8144" t="s">
        <v>11048</v>
      </c>
      <c r="I8144" t="s">
        <v>3695</v>
      </c>
      <c r="J8144" t="s">
        <v>34790</v>
      </c>
      <c r="K8144" t="s">
        <v>38488</v>
      </c>
      <c r="M8144" t="s">
        <v>39781</v>
      </c>
      <c r="N8144" t="s">
        <v>42669</v>
      </c>
      <c r="O8144" t="s">
        <v>42670</v>
      </c>
      <c r="P8144">
        <v>0</v>
      </c>
      <c r="Q8144">
        <v>3</v>
      </c>
      <c r="R8144" t="s">
        <v>42678</v>
      </c>
      <c r="S8144" t="s">
        <v>42866</v>
      </c>
      <c r="T8144" t="s">
        <v>44744</v>
      </c>
      <c r="U8144" t="s">
        <v>51483</v>
      </c>
      <c r="V8144" t="s">
        <v>57250</v>
      </c>
      <c r="W8144" t="s">
        <v>39781</v>
      </c>
      <c r="X8144" t="s">
        <v>42679</v>
      </c>
    </row>
    <row r="8145" spans="1:24">
      <c r="A8145">
        <f>HYPERLINK("https://www.philgeps.gov.ph/GEPSNONPILOT/Tender/SplashBidNoticeAbstractUI.aspx?menuIndex=3&amp;refID=7183571&amp;Result=3","7183571")</f>
        <v>0</v>
      </c>
      <c r="B8145" t="s">
        <v>511</v>
      </c>
      <c r="C8145" t="s">
        <v>11316</v>
      </c>
      <c r="D8145" t="s">
        <v>17163</v>
      </c>
      <c r="E8145" t="s">
        <v>24259</v>
      </c>
      <c r="F8145" t="s">
        <v>29372</v>
      </c>
      <c r="G8145" t="s">
        <v>29383</v>
      </c>
      <c r="H8145" t="s">
        <v>11048</v>
      </c>
      <c r="I8145" t="s">
        <v>29407</v>
      </c>
      <c r="J8145" t="s">
        <v>34791</v>
      </c>
      <c r="K8145" t="s">
        <v>38490</v>
      </c>
      <c r="M8145" t="s">
        <v>39278</v>
      </c>
      <c r="N8145" t="s">
        <v>42669</v>
      </c>
      <c r="O8145" t="s">
        <v>42670</v>
      </c>
      <c r="P8145">
        <v>0</v>
      </c>
      <c r="Q8145">
        <v>30</v>
      </c>
      <c r="R8145" t="s">
        <v>42678</v>
      </c>
      <c r="S8145" t="s">
        <v>42866</v>
      </c>
      <c r="T8145" t="s">
        <v>44454</v>
      </c>
      <c r="U8145" t="s">
        <v>51484</v>
      </c>
      <c r="V8145" t="s">
        <v>56483</v>
      </c>
      <c r="W8145" t="s">
        <v>39278</v>
      </c>
      <c r="X8145" t="s">
        <v>42679</v>
      </c>
    </row>
    <row r="8146" spans="1:24">
      <c r="A8146">
        <f>HYPERLINK("https://www.philgeps.gov.ph/GEPSNONPILOT/Tender/SplashBidNoticeAbstractUI.aspx?menuIndex=3&amp;refID=7183520&amp;Result=3","7183520")</f>
        <v>0</v>
      </c>
      <c r="B8146" t="s">
        <v>2539</v>
      </c>
      <c r="C8146" t="s">
        <v>11317</v>
      </c>
      <c r="E8146" t="s">
        <v>24260</v>
      </c>
      <c r="F8146" t="s">
        <v>29372</v>
      </c>
      <c r="G8146" t="s">
        <v>29380</v>
      </c>
      <c r="H8146" t="s">
        <v>11048</v>
      </c>
      <c r="I8146" t="s">
        <v>29402</v>
      </c>
      <c r="J8146" t="s">
        <v>34792</v>
      </c>
      <c r="K8146" t="s">
        <v>38490</v>
      </c>
      <c r="M8146" t="s">
        <v>41501</v>
      </c>
      <c r="N8146" t="s">
        <v>42669</v>
      </c>
      <c r="O8146" t="s">
        <v>42670</v>
      </c>
      <c r="P8146">
        <v>0</v>
      </c>
      <c r="Q8146">
        <v>6</v>
      </c>
      <c r="R8146" t="s">
        <v>42678</v>
      </c>
      <c r="S8146" t="s">
        <v>42866</v>
      </c>
      <c r="T8146" t="s">
        <v>44355</v>
      </c>
      <c r="U8146" t="s">
        <v>51472</v>
      </c>
      <c r="W8146" t="s">
        <v>41501</v>
      </c>
      <c r="X8146" t="s">
        <v>42679</v>
      </c>
    </row>
    <row r="8147" spans="1:24">
      <c r="A8147">
        <f>HYPERLINK("https://www.philgeps.gov.ph/GEPSNONPILOT/Tender/SplashBidNoticeAbstractUI.aspx?menuIndex=3&amp;refID=7183536&amp;Result=3","7183536")</f>
        <v>0</v>
      </c>
      <c r="B8147" t="s">
        <v>2300</v>
      </c>
      <c r="C8147" t="s">
        <v>11318</v>
      </c>
      <c r="D8147" t="s">
        <v>17141</v>
      </c>
      <c r="E8147" t="s">
        <v>17794</v>
      </c>
      <c r="F8147" t="s">
        <v>29372</v>
      </c>
      <c r="G8147" t="s">
        <v>29380</v>
      </c>
      <c r="H8147" t="s">
        <v>11048</v>
      </c>
      <c r="I8147" t="s">
        <v>14920</v>
      </c>
      <c r="J8147" t="s">
        <v>31159</v>
      </c>
      <c r="K8147" t="s">
        <v>38485</v>
      </c>
      <c r="M8147" t="s">
        <v>41228</v>
      </c>
      <c r="N8147" t="s">
        <v>42669</v>
      </c>
      <c r="O8147" t="s">
        <v>42670</v>
      </c>
      <c r="P8147">
        <v>0</v>
      </c>
      <c r="Q8147">
        <v>1</v>
      </c>
      <c r="R8147" t="s">
        <v>42678</v>
      </c>
      <c r="S8147" t="s">
        <v>42866</v>
      </c>
      <c r="T8147" t="s">
        <v>44488</v>
      </c>
      <c r="U8147" t="s">
        <v>51485</v>
      </c>
      <c r="W8147" t="s">
        <v>41228</v>
      </c>
      <c r="X8147" t="s">
        <v>42679</v>
      </c>
    </row>
    <row r="8148" spans="1:24">
      <c r="A8148">
        <f>HYPERLINK("https://www.philgeps.gov.ph/GEPSNONPILOT/Tender/SplashBidNoticeAbstractUI.aspx?menuIndex=3&amp;refID=7183570&amp;Result=3","7183570")</f>
        <v>0</v>
      </c>
      <c r="B8148" t="s">
        <v>2510</v>
      </c>
      <c r="C8148" t="s">
        <v>11197</v>
      </c>
      <c r="E8148" t="s">
        <v>24261</v>
      </c>
      <c r="F8148" t="s">
        <v>29372</v>
      </c>
      <c r="G8148" t="s">
        <v>29380</v>
      </c>
      <c r="H8148" t="s">
        <v>11048</v>
      </c>
      <c r="I8148" t="s">
        <v>29429</v>
      </c>
      <c r="J8148" t="s">
        <v>29526</v>
      </c>
      <c r="K8148" t="s">
        <v>38490</v>
      </c>
      <c r="L8148" t="s">
        <v>2510</v>
      </c>
      <c r="M8148" t="s">
        <v>41469</v>
      </c>
      <c r="N8148" t="s">
        <v>42669</v>
      </c>
      <c r="O8148" t="s">
        <v>42670</v>
      </c>
      <c r="P8148">
        <v>0</v>
      </c>
      <c r="Q8148">
        <v>0</v>
      </c>
      <c r="R8148" t="s">
        <v>42678</v>
      </c>
      <c r="S8148" t="s">
        <v>42866</v>
      </c>
      <c r="T8148" t="s">
        <v>44543</v>
      </c>
      <c r="U8148" t="s">
        <v>51486</v>
      </c>
      <c r="W8148" t="s">
        <v>41469</v>
      </c>
      <c r="X8148" t="s">
        <v>42679</v>
      </c>
    </row>
    <row r="8149" spans="1:24">
      <c r="A8149">
        <f>HYPERLINK("https://www.philgeps.gov.ph/GEPSNONPILOT/Tender/SplashBidNoticeAbstractUI.aspx?menuIndex=3&amp;refID=7183516&amp;Result=3","7183516")</f>
        <v>0</v>
      </c>
      <c r="B8149" t="s">
        <v>2540</v>
      </c>
      <c r="C8149" t="s">
        <v>11319</v>
      </c>
      <c r="D8149" t="s">
        <v>17206</v>
      </c>
      <c r="E8149" t="s">
        <v>24262</v>
      </c>
      <c r="F8149" t="s">
        <v>29372</v>
      </c>
      <c r="G8149" t="s">
        <v>29380</v>
      </c>
      <c r="H8149" t="s">
        <v>29389</v>
      </c>
      <c r="I8149" t="s">
        <v>29423</v>
      </c>
      <c r="J8149" t="s">
        <v>32024</v>
      </c>
      <c r="K8149" t="s">
        <v>38495</v>
      </c>
      <c r="M8149" t="s">
        <v>41502</v>
      </c>
      <c r="N8149" t="s">
        <v>42669</v>
      </c>
      <c r="O8149" t="s">
        <v>42670</v>
      </c>
      <c r="P8149">
        <v>0</v>
      </c>
      <c r="Q8149">
        <v>9</v>
      </c>
      <c r="R8149" t="s">
        <v>42678</v>
      </c>
      <c r="S8149" t="s">
        <v>42866</v>
      </c>
      <c r="T8149" t="s">
        <v>44446</v>
      </c>
      <c r="U8149" t="s">
        <v>51474</v>
      </c>
      <c r="W8149" t="s">
        <v>41502</v>
      </c>
      <c r="X8149" t="s">
        <v>42679</v>
      </c>
    </row>
    <row r="8150" spans="1:24">
      <c r="A8150">
        <f>HYPERLINK("https://www.philgeps.gov.ph/GEPSNONPILOT/Tender/SplashBidNoticeAbstractUI.aspx?menuIndex=3&amp;refID=7183564&amp;Result=3","7183564")</f>
        <v>0</v>
      </c>
      <c r="B8150" t="s">
        <v>352</v>
      </c>
      <c r="C8150" t="s">
        <v>11320</v>
      </c>
      <c r="D8150" t="s">
        <v>17141</v>
      </c>
      <c r="E8150" t="s">
        <v>24263</v>
      </c>
      <c r="F8150" t="s">
        <v>29372</v>
      </c>
      <c r="G8150" t="s">
        <v>29380</v>
      </c>
      <c r="H8150" t="s">
        <v>11048</v>
      </c>
      <c r="I8150" t="s">
        <v>29412</v>
      </c>
      <c r="J8150" t="s">
        <v>29988</v>
      </c>
      <c r="K8150" t="s">
        <v>38491</v>
      </c>
      <c r="M8150" t="s">
        <v>41507</v>
      </c>
      <c r="N8150" t="s">
        <v>42669</v>
      </c>
      <c r="O8150" t="s">
        <v>42670</v>
      </c>
      <c r="P8150">
        <v>0</v>
      </c>
      <c r="Q8150">
        <v>0</v>
      </c>
      <c r="R8150" t="s">
        <v>42678</v>
      </c>
      <c r="S8150" t="s">
        <v>42866</v>
      </c>
      <c r="T8150" t="s">
        <v>44432</v>
      </c>
      <c r="U8150" t="s">
        <v>51487</v>
      </c>
      <c r="W8150" t="s">
        <v>41507</v>
      </c>
      <c r="X8150" t="s">
        <v>42679</v>
      </c>
    </row>
    <row r="8151" spans="1:24">
      <c r="A8151">
        <f>HYPERLINK("https://www.philgeps.gov.ph/GEPSNONPILOT/Tender/SplashBidNoticeAbstractUI.aspx?menuIndex=3&amp;refID=7183562&amp;Result=3","7183562")</f>
        <v>0</v>
      </c>
      <c r="B8151" t="s">
        <v>2498</v>
      </c>
      <c r="C8151" t="s">
        <v>11321</v>
      </c>
      <c r="D8151" t="s">
        <v>17158</v>
      </c>
      <c r="E8151" t="s">
        <v>24264</v>
      </c>
      <c r="F8151" t="s">
        <v>29372</v>
      </c>
      <c r="G8151" t="s">
        <v>29380</v>
      </c>
      <c r="H8151" t="s">
        <v>11048</v>
      </c>
      <c r="I8151" t="s">
        <v>5383</v>
      </c>
      <c r="J8151" t="s">
        <v>34793</v>
      </c>
      <c r="K8151" t="s">
        <v>38485</v>
      </c>
      <c r="M8151" t="s">
        <v>41451</v>
      </c>
      <c r="N8151" t="s">
        <v>42669</v>
      </c>
      <c r="O8151" t="s">
        <v>42670</v>
      </c>
      <c r="P8151">
        <v>0</v>
      </c>
      <c r="Q8151">
        <v>0</v>
      </c>
      <c r="R8151" t="s">
        <v>42678</v>
      </c>
      <c r="S8151" t="s">
        <v>42866</v>
      </c>
      <c r="T8151" t="s">
        <v>44517</v>
      </c>
      <c r="U8151" t="s">
        <v>51488</v>
      </c>
      <c r="W8151" t="s">
        <v>41451</v>
      </c>
      <c r="X8151" t="s">
        <v>42679</v>
      </c>
    </row>
    <row r="8152" spans="1:24">
      <c r="A8152">
        <f>HYPERLINK("https://www.philgeps.gov.ph/GEPSNONPILOT/Tender/SplashBidNoticeAbstractUI.aspx?menuIndex=3&amp;refID=7183558&amp;Result=3","7183558")</f>
        <v>0</v>
      </c>
      <c r="B8152" t="s">
        <v>2537</v>
      </c>
      <c r="C8152" t="s">
        <v>11322</v>
      </c>
      <c r="D8152" t="s">
        <v>17164</v>
      </c>
      <c r="E8152" t="s">
        <v>24265</v>
      </c>
      <c r="F8152" t="s">
        <v>29372</v>
      </c>
      <c r="G8152" t="s">
        <v>29380</v>
      </c>
      <c r="H8152" t="s">
        <v>29389</v>
      </c>
      <c r="I8152" t="s">
        <v>10408</v>
      </c>
      <c r="J8152" t="s">
        <v>34794</v>
      </c>
      <c r="K8152" t="s">
        <v>38645</v>
      </c>
      <c r="M8152" t="s">
        <v>41499</v>
      </c>
      <c r="N8152" t="s">
        <v>42669</v>
      </c>
      <c r="O8152" t="s">
        <v>42670</v>
      </c>
      <c r="P8152">
        <v>0</v>
      </c>
      <c r="Q8152">
        <v>0</v>
      </c>
      <c r="R8152" t="s">
        <v>42678</v>
      </c>
      <c r="S8152" t="s">
        <v>42866</v>
      </c>
      <c r="T8152" t="s">
        <v>44432</v>
      </c>
      <c r="U8152" t="s">
        <v>51489</v>
      </c>
      <c r="W8152" t="s">
        <v>41499</v>
      </c>
      <c r="X8152" t="s">
        <v>42679</v>
      </c>
    </row>
    <row r="8153" spans="1:24">
      <c r="A8153">
        <f>HYPERLINK("https://www.philgeps.gov.ph/GEPSNONPILOT/Tender/SplashBidNoticeAbstractUI.aspx?menuIndex=3&amp;refID=7183485&amp;Result=3","7183485")</f>
        <v>0</v>
      </c>
      <c r="B8153" t="s">
        <v>168</v>
      </c>
      <c r="C8153" t="s">
        <v>11323</v>
      </c>
      <c r="E8153" t="s">
        <v>24266</v>
      </c>
      <c r="F8153" t="s">
        <v>29372</v>
      </c>
      <c r="G8153" t="s">
        <v>29380</v>
      </c>
      <c r="H8153" t="s">
        <v>29389</v>
      </c>
      <c r="I8153" t="s">
        <v>8208</v>
      </c>
      <c r="J8153" t="s">
        <v>34795</v>
      </c>
      <c r="K8153" t="s">
        <v>38604</v>
      </c>
      <c r="M8153" t="s">
        <v>38925</v>
      </c>
      <c r="N8153" t="s">
        <v>42669</v>
      </c>
      <c r="O8153" t="s">
        <v>42670</v>
      </c>
      <c r="P8153">
        <v>0</v>
      </c>
      <c r="Q8153">
        <v>2</v>
      </c>
      <c r="R8153" t="s">
        <v>42678</v>
      </c>
      <c r="S8153" t="s">
        <v>42866</v>
      </c>
      <c r="T8153" t="s">
        <v>44629</v>
      </c>
      <c r="U8153" t="s">
        <v>51490</v>
      </c>
      <c r="W8153" t="s">
        <v>38925</v>
      </c>
      <c r="X8153" t="s">
        <v>42679</v>
      </c>
    </row>
    <row r="8154" spans="1:24">
      <c r="A8154">
        <f>HYPERLINK("https://www.philgeps.gov.ph/GEPSNONPILOT/Tender/SplashBidNoticeAbstractUI.aspx?menuIndex=3&amp;refID=7183409&amp;Result=3","7183409")</f>
        <v>0</v>
      </c>
      <c r="B8154" t="s">
        <v>2264</v>
      </c>
      <c r="C8154" t="s">
        <v>11324</v>
      </c>
      <c r="D8154" t="s">
        <v>17205</v>
      </c>
      <c r="E8154" t="s">
        <v>24267</v>
      </c>
      <c r="F8154" t="s">
        <v>29372</v>
      </c>
      <c r="G8154" t="s">
        <v>29380</v>
      </c>
      <c r="H8154" t="s">
        <v>11048</v>
      </c>
      <c r="I8154" t="s">
        <v>4487</v>
      </c>
      <c r="J8154" t="s">
        <v>34796</v>
      </c>
      <c r="K8154" t="s">
        <v>38490</v>
      </c>
      <c r="M8154" t="s">
        <v>41186</v>
      </c>
      <c r="N8154" t="s">
        <v>42669</v>
      </c>
      <c r="O8154" t="s">
        <v>42670</v>
      </c>
      <c r="P8154">
        <v>0</v>
      </c>
      <c r="Q8154">
        <v>3</v>
      </c>
      <c r="R8154" t="s">
        <v>42678</v>
      </c>
      <c r="S8154" t="s">
        <v>42866</v>
      </c>
      <c r="T8154" t="s">
        <v>44491</v>
      </c>
      <c r="U8154" t="s">
        <v>51491</v>
      </c>
      <c r="W8154" t="s">
        <v>41186</v>
      </c>
      <c r="X8154" t="s">
        <v>42679</v>
      </c>
    </row>
    <row r="8155" spans="1:24">
      <c r="A8155">
        <f>HYPERLINK("https://www.philgeps.gov.ph/GEPSNONPILOT/Tender/SplashBidNoticeAbstractUI.aspx?menuIndex=3&amp;refID=7183556&amp;Result=3","7183556")</f>
        <v>0</v>
      </c>
      <c r="B8155" t="s">
        <v>2151</v>
      </c>
      <c r="C8155" t="s">
        <v>11325</v>
      </c>
      <c r="E8155" t="s">
        <v>11325</v>
      </c>
      <c r="F8155" t="s">
        <v>29372</v>
      </c>
      <c r="G8155" t="s">
        <v>29379</v>
      </c>
      <c r="H8155" t="s">
        <v>11048</v>
      </c>
      <c r="I8155" t="s">
        <v>3839</v>
      </c>
      <c r="J8155" t="s">
        <v>34797</v>
      </c>
      <c r="K8155" t="s">
        <v>38490</v>
      </c>
      <c r="M8155" t="s">
        <v>41059</v>
      </c>
      <c r="N8155" t="s">
        <v>42669</v>
      </c>
      <c r="O8155" t="s">
        <v>42670</v>
      </c>
      <c r="P8155">
        <v>0</v>
      </c>
      <c r="Q8155">
        <v>4</v>
      </c>
      <c r="R8155" t="s">
        <v>42678</v>
      </c>
      <c r="S8155" t="s">
        <v>42866</v>
      </c>
      <c r="T8155" t="s">
        <v>44488</v>
      </c>
      <c r="U8155" t="s">
        <v>51492</v>
      </c>
      <c r="W8155" t="s">
        <v>41059</v>
      </c>
      <c r="X8155" t="s">
        <v>42679</v>
      </c>
    </row>
    <row r="8156" spans="1:24">
      <c r="A8156">
        <f>HYPERLINK("https://www.philgeps.gov.ph/GEPSNONPILOT/Tender/SplashBidNoticeAbstractUI.aspx?menuIndex=3&amp;refID=7183555&amp;Result=3","7183555")</f>
        <v>0</v>
      </c>
      <c r="B8156" t="s">
        <v>2300</v>
      </c>
      <c r="C8156" t="s">
        <v>11326</v>
      </c>
      <c r="D8156" t="s">
        <v>17141</v>
      </c>
      <c r="E8156" t="s">
        <v>17448</v>
      </c>
      <c r="F8156" t="s">
        <v>29372</v>
      </c>
      <c r="G8156" t="s">
        <v>29380</v>
      </c>
      <c r="H8156" t="s">
        <v>11048</v>
      </c>
      <c r="I8156" t="s">
        <v>3670</v>
      </c>
      <c r="J8156" t="s">
        <v>29587</v>
      </c>
      <c r="K8156" t="s">
        <v>38485</v>
      </c>
      <c r="M8156" t="s">
        <v>41228</v>
      </c>
      <c r="N8156" t="s">
        <v>42669</v>
      </c>
      <c r="O8156" t="s">
        <v>42670</v>
      </c>
      <c r="P8156">
        <v>0</v>
      </c>
      <c r="Q8156">
        <v>1</v>
      </c>
      <c r="R8156" t="s">
        <v>42678</v>
      </c>
      <c r="S8156" t="s">
        <v>42866</v>
      </c>
      <c r="T8156" t="s">
        <v>44488</v>
      </c>
      <c r="U8156" t="s">
        <v>51493</v>
      </c>
      <c r="W8156" t="s">
        <v>41228</v>
      </c>
      <c r="X8156" t="s">
        <v>42679</v>
      </c>
    </row>
    <row r="8157" spans="1:24">
      <c r="A8157">
        <f>HYPERLINK("https://www.philgeps.gov.ph/GEPSNONPILOT/Tender/SplashBidNoticeAbstractUI.aspx?menuIndex=3&amp;refID=7183563&amp;Result=3","7183563")</f>
        <v>0</v>
      </c>
      <c r="B8157" t="s">
        <v>119</v>
      </c>
      <c r="C8157" t="s">
        <v>11327</v>
      </c>
      <c r="D8157" t="s">
        <v>17141</v>
      </c>
      <c r="E8157" t="s">
        <v>24268</v>
      </c>
      <c r="F8157" t="s">
        <v>29372</v>
      </c>
      <c r="G8157" t="s">
        <v>29380</v>
      </c>
      <c r="H8157" t="s">
        <v>11048</v>
      </c>
      <c r="I8157" t="s">
        <v>8614</v>
      </c>
      <c r="J8157" t="s">
        <v>33728</v>
      </c>
      <c r="K8157" t="s">
        <v>38490</v>
      </c>
      <c r="M8157" t="s">
        <v>41287</v>
      </c>
      <c r="N8157" t="s">
        <v>42669</v>
      </c>
      <c r="O8157" t="s">
        <v>42670</v>
      </c>
      <c r="P8157">
        <v>0</v>
      </c>
      <c r="Q8157">
        <v>15</v>
      </c>
      <c r="R8157" t="s">
        <v>42678</v>
      </c>
      <c r="S8157" t="s">
        <v>42866</v>
      </c>
      <c r="T8157" t="s">
        <v>44452</v>
      </c>
      <c r="U8157" t="s">
        <v>51494</v>
      </c>
      <c r="V8157" t="s">
        <v>57261</v>
      </c>
      <c r="W8157" t="s">
        <v>41287</v>
      </c>
      <c r="X8157" t="s">
        <v>42679</v>
      </c>
    </row>
    <row r="8158" spans="1:24">
      <c r="A8158">
        <f>HYPERLINK("https://www.philgeps.gov.ph/GEPSNONPILOT/Tender/SplashBidNoticeAbstractUI.aspx?menuIndex=3&amp;refID=7183546&amp;Result=3","7183546")</f>
        <v>0</v>
      </c>
      <c r="B8158" t="s">
        <v>352</v>
      </c>
      <c r="C8158" t="s">
        <v>11328</v>
      </c>
      <c r="D8158" t="s">
        <v>17141</v>
      </c>
      <c r="E8158" t="s">
        <v>24269</v>
      </c>
      <c r="F8158" t="s">
        <v>29372</v>
      </c>
      <c r="G8158" t="s">
        <v>29380</v>
      </c>
      <c r="H8158" t="s">
        <v>11048</v>
      </c>
      <c r="I8158" t="s">
        <v>3670</v>
      </c>
      <c r="J8158" t="s">
        <v>29929</v>
      </c>
      <c r="K8158" t="s">
        <v>38491</v>
      </c>
      <c r="M8158" t="s">
        <v>41507</v>
      </c>
      <c r="N8158" t="s">
        <v>42669</v>
      </c>
      <c r="O8158" t="s">
        <v>42670</v>
      </c>
      <c r="P8158">
        <v>0</v>
      </c>
      <c r="Q8158">
        <v>0</v>
      </c>
      <c r="R8158" t="s">
        <v>42678</v>
      </c>
      <c r="S8158" t="s">
        <v>42866</v>
      </c>
      <c r="T8158" t="s">
        <v>44432</v>
      </c>
      <c r="U8158" t="s">
        <v>51495</v>
      </c>
      <c r="W8158" t="s">
        <v>41507</v>
      </c>
      <c r="X8158" t="s">
        <v>42679</v>
      </c>
    </row>
    <row r="8159" spans="1:24">
      <c r="A8159">
        <f>HYPERLINK("https://www.philgeps.gov.ph/GEPSNONPILOT/Tender/SplashBidNoticeAbstractUI.aspx?menuIndex=3&amp;refID=7183559&amp;Result=3","7183559")</f>
        <v>0</v>
      </c>
      <c r="B8159" t="s">
        <v>2540</v>
      </c>
      <c r="C8159" t="s">
        <v>11329</v>
      </c>
      <c r="D8159" t="s">
        <v>17206</v>
      </c>
      <c r="E8159" t="s">
        <v>24270</v>
      </c>
      <c r="F8159" t="s">
        <v>29372</v>
      </c>
      <c r="G8159" t="s">
        <v>29380</v>
      </c>
      <c r="H8159" t="s">
        <v>29389</v>
      </c>
      <c r="I8159" t="s">
        <v>29423</v>
      </c>
      <c r="J8159" t="s">
        <v>32024</v>
      </c>
      <c r="K8159" t="s">
        <v>38495</v>
      </c>
      <c r="M8159" t="s">
        <v>41502</v>
      </c>
      <c r="N8159" t="s">
        <v>42669</v>
      </c>
      <c r="O8159" t="s">
        <v>42670</v>
      </c>
      <c r="P8159">
        <v>0</v>
      </c>
      <c r="Q8159">
        <v>10</v>
      </c>
      <c r="R8159" t="s">
        <v>42678</v>
      </c>
      <c r="S8159" t="s">
        <v>42866</v>
      </c>
      <c r="T8159" t="s">
        <v>44446</v>
      </c>
      <c r="U8159" t="s">
        <v>51474</v>
      </c>
      <c r="W8159" t="s">
        <v>41502</v>
      </c>
      <c r="X8159" t="s">
        <v>42679</v>
      </c>
    </row>
    <row r="8160" spans="1:24">
      <c r="A8160">
        <f>HYPERLINK("https://www.philgeps.gov.ph/GEPSNONPILOT/Tender/SplashBidNoticeAbstractUI.aspx?menuIndex=3&amp;refID=7183611&amp;Result=3","7183611")</f>
        <v>0</v>
      </c>
      <c r="B8160" t="s">
        <v>2545</v>
      </c>
      <c r="C8160" t="s">
        <v>11330</v>
      </c>
      <c r="D8160" t="s">
        <v>17143</v>
      </c>
      <c r="E8160" t="s">
        <v>18078</v>
      </c>
      <c r="F8160" t="s">
        <v>29372</v>
      </c>
      <c r="G8160" t="s">
        <v>29380</v>
      </c>
      <c r="H8160" t="s">
        <v>11048</v>
      </c>
      <c r="I8160" t="s">
        <v>29393</v>
      </c>
      <c r="J8160" t="s">
        <v>34798</v>
      </c>
      <c r="K8160" t="s">
        <v>38586</v>
      </c>
      <c r="M8160" t="s">
        <v>41508</v>
      </c>
      <c r="N8160" t="s">
        <v>42669</v>
      </c>
      <c r="O8160" t="s">
        <v>42670</v>
      </c>
      <c r="P8160">
        <v>0</v>
      </c>
      <c r="Q8160">
        <v>0</v>
      </c>
      <c r="R8160" t="s">
        <v>42678</v>
      </c>
      <c r="S8160" t="s">
        <v>42866</v>
      </c>
      <c r="T8160" t="s">
        <v>44452</v>
      </c>
      <c r="U8160" t="s">
        <v>51496</v>
      </c>
      <c r="W8160" t="s">
        <v>41508</v>
      </c>
      <c r="X8160" t="s">
        <v>42679</v>
      </c>
    </row>
    <row r="8161" spans="1:24">
      <c r="A8161">
        <f>HYPERLINK("https://www.philgeps.gov.ph/GEPSNONPILOT/Tender/SplashBidNoticeAbstractUI.aspx?menuIndex=3&amp;refID=7183557&amp;Result=3","7183557")</f>
        <v>0</v>
      </c>
      <c r="B8161" t="s">
        <v>352</v>
      </c>
      <c r="C8161" t="s">
        <v>11331</v>
      </c>
      <c r="D8161" t="s">
        <v>17141</v>
      </c>
      <c r="E8161" t="s">
        <v>24271</v>
      </c>
      <c r="F8161" t="s">
        <v>29372</v>
      </c>
      <c r="G8161" t="s">
        <v>29380</v>
      </c>
      <c r="H8161" t="s">
        <v>11048</v>
      </c>
      <c r="I8161" t="s">
        <v>3670</v>
      </c>
      <c r="J8161" t="s">
        <v>29529</v>
      </c>
      <c r="K8161" t="s">
        <v>38491</v>
      </c>
      <c r="M8161" t="s">
        <v>41507</v>
      </c>
      <c r="N8161" t="s">
        <v>42669</v>
      </c>
      <c r="O8161" t="s">
        <v>42670</v>
      </c>
      <c r="P8161">
        <v>0</v>
      </c>
      <c r="Q8161">
        <v>1</v>
      </c>
      <c r="R8161" t="s">
        <v>42678</v>
      </c>
      <c r="S8161" t="s">
        <v>42866</v>
      </c>
      <c r="T8161" t="s">
        <v>44432</v>
      </c>
      <c r="U8161" t="s">
        <v>51497</v>
      </c>
      <c r="W8161" t="s">
        <v>41507</v>
      </c>
      <c r="X8161" t="s">
        <v>42679</v>
      </c>
    </row>
    <row r="8162" spans="1:24">
      <c r="A8162">
        <f>HYPERLINK("https://www.philgeps.gov.ph/GEPSNONPILOT/Tender/SplashBidNoticeAbstractUI.aspx?menuIndex=3&amp;refID=7183567&amp;Result=3","7183567")</f>
        <v>0</v>
      </c>
      <c r="B8162" t="s">
        <v>2544</v>
      </c>
      <c r="C8162" t="s">
        <v>11332</v>
      </c>
      <c r="D8162" t="s">
        <v>17141</v>
      </c>
      <c r="E8162" t="s">
        <v>24272</v>
      </c>
      <c r="F8162" t="s">
        <v>29372</v>
      </c>
      <c r="G8162" t="s">
        <v>29380</v>
      </c>
      <c r="H8162" t="s">
        <v>11048</v>
      </c>
      <c r="I8162" t="s">
        <v>3670</v>
      </c>
      <c r="J8162" t="s">
        <v>29555</v>
      </c>
      <c r="K8162" t="s">
        <v>38496</v>
      </c>
      <c r="M8162" t="s">
        <v>41506</v>
      </c>
      <c r="N8162" t="s">
        <v>42669</v>
      </c>
      <c r="O8162" t="s">
        <v>42670</v>
      </c>
      <c r="P8162">
        <v>0</v>
      </c>
      <c r="Q8162">
        <v>1</v>
      </c>
      <c r="R8162" t="s">
        <v>42678</v>
      </c>
      <c r="S8162" t="s">
        <v>42866</v>
      </c>
      <c r="T8162" t="s">
        <v>44427</v>
      </c>
      <c r="U8162" t="s">
        <v>51498</v>
      </c>
      <c r="W8162" t="s">
        <v>41506</v>
      </c>
      <c r="X8162" t="s">
        <v>42679</v>
      </c>
    </row>
    <row r="8163" spans="1:24">
      <c r="A8163">
        <f>HYPERLINK("https://www.philgeps.gov.ph/GEPSNONPILOT/Tender/SplashBidNoticeAbstractUI.aspx?menuIndex=3&amp;refID=7183608&amp;Result=3","7183608")</f>
        <v>0</v>
      </c>
      <c r="B8163" t="s">
        <v>2151</v>
      </c>
      <c r="C8163" t="s">
        <v>11333</v>
      </c>
      <c r="E8163" t="s">
        <v>11333</v>
      </c>
      <c r="F8163" t="s">
        <v>29372</v>
      </c>
      <c r="G8163" t="s">
        <v>29379</v>
      </c>
      <c r="H8163" t="s">
        <v>11048</v>
      </c>
      <c r="I8163" t="s">
        <v>29476</v>
      </c>
      <c r="J8163" t="s">
        <v>34799</v>
      </c>
      <c r="K8163" t="s">
        <v>38490</v>
      </c>
      <c r="M8163" t="s">
        <v>41059</v>
      </c>
      <c r="N8163" t="s">
        <v>42669</v>
      </c>
      <c r="O8163" t="s">
        <v>42670</v>
      </c>
      <c r="P8163">
        <v>0</v>
      </c>
      <c r="Q8163">
        <v>4</v>
      </c>
      <c r="R8163" t="s">
        <v>42678</v>
      </c>
      <c r="S8163" t="s">
        <v>42866</v>
      </c>
      <c r="T8163" t="s">
        <v>44488</v>
      </c>
      <c r="U8163" t="s">
        <v>51492</v>
      </c>
      <c r="W8163" t="s">
        <v>41059</v>
      </c>
      <c r="X8163" t="s">
        <v>42679</v>
      </c>
    </row>
    <row r="8164" spans="1:24">
      <c r="A8164">
        <f>HYPERLINK("https://www.philgeps.gov.ph/GEPSNONPILOT/Tender/SplashBidNoticeAbstractUI.aspx?menuIndex=3&amp;refID=7183607&amp;Result=3","7183607")</f>
        <v>0</v>
      </c>
      <c r="B8164" t="s">
        <v>2546</v>
      </c>
      <c r="C8164" t="s">
        <v>11334</v>
      </c>
      <c r="D8164" t="s">
        <v>17215</v>
      </c>
      <c r="E8164" t="s">
        <v>24273</v>
      </c>
      <c r="F8164" t="s">
        <v>29372</v>
      </c>
      <c r="G8164" t="s">
        <v>29380</v>
      </c>
      <c r="H8164" t="s">
        <v>11048</v>
      </c>
      <c r="I8164" t="s">
        <v>4709</v>
      </c>
      <c r="J8164" t="s">
        <v>34800</v>
      </c>
      <c r="K8164" t="s">
        <v>38528</v>
      </c>
      <c r="M8164" t="s">
        <v>41509</v>
      </c>
      <c r="N8164" t="s">
        <v>42669</v>
      </c>
      <c r="O8164" t="s">
        <v>42670</v>
      </c>
      <c r="P8164">
        <v>0</v>
      </c>
      <c r="Q8164">
        <v>0</v>
      </c>
      <c r="R8164" t="s">
        <v>42678</v>
      </c>
      <c r="S8164" t="s">
        <v>42866</v>
      </c>
      <c r="T8164" t="s">
        <v>44488</v>
      </c>
      <c r="U8164" t="s">
        <v>48075</v>
      </c>
      <c r="W8164" t="s">
        <v>41509</v>
      </c>
      <c r="X8164" t="s">
        <v>42679</v>
      </c>
    </row>
    <row r="8165" spans="1:24">
      <c r="A8165">
        <f>HYPERLINK("https://www.philgeps.gov.ph/GEPSNONPILOT/Tender/SplashBidNoticeAbstractUI.aspx?menuIndex=3&amp;refID=7183606&amp;Result=3","7183606")</f>
        <v>0</v>
      </c>
      <c r="B8165" t="s">
        <v>2547</v>
      </c>
      <c r="C8165" t="s">
        <v>11335</v>
      </c>
      <c r="D8165" t="s">
        <v>17212</v>
      </c>
      <c r="E8165" t="s">
        <v>24274</v>
      </c>
      <c r="F8165" t="s">
        <v>29372</v>
      </c>
      <c r="G8165" t="s">
        <v>29380</v>
      </c>
      <c r="H8165" t="s">
        <v>11048</v>
      </c>
      <c r="I8165" t="s">
        <v>29419</v>
      </c>
      <c r="J8165" t="s">
        <v>34801</v>
      </c>
      <c r="K8165" t="s">
        <v>38495</v>
      </c>
      <c r="M8165" t="s">
        <v>41510</v>
      </c>
      <c r="N8165" t="s">
        <v>42669</v>
      </c>
      <c r="O8165" t="s">
        <v>42670</v>
      </c>
      <c r="Q8165">
        <v>2</v>
      </c>
      <c r="R8165" t="s">
        <v>42678</v>
      </c>
      <c r="S8165" t="s">
        <v>42918</v>
      </c>
      <c r="T8165" t="s">
        <v>44505</v>
      </c>
      <c r="U8165" t="s">
        <v>51499</v>
      </c>
      <c r="W8165" t="s">
        <v>41510</v>
      </c>
      <c r="X8165" t="s">
        <v>42679</v>
      </c>
    </row>
    <row r="8166" spans="1:24">
      <c r="A8166">
        <f>HYPERLINK("https://www.philgeps.gov.ph/GEPSNONPILOT/Tender/SplashBidNoticeAbstractUI.aspx?menuIndex=3&amp;refID=7183603&amp;Result=3","7183603")</f>
        <v>0</v>
      </c>
      <c r="B8166" t="s">
        <v>2546</v>
      </c>
      <c r="C8166" t="s">
        <v>11336</v>
      </c>
      <c r="D8166" t="s">
        <v>17215</v>
      </c>
      <c r="E8166" t="s">
        <v>24275</v>
      </c>
      <c r="F8166" t="s">
        <v>29372</v>
      </c>
      <c r="G8166" t="s">
        <v>29380</v>
      </c>
      <c r="H8166" t="s">
        <v>11048</v>
      </c>
      <c r="I8166" t="s">
        <v>4709</v>
      </c>
      <c r="J8166" t="s">
        <v>34802</v>
      </c>
      <c r="K8166" t="s">
        <v>38528</v>
      </c>
      <c r="M8166" t="s">
        <v>41509</v>
      </c>
      <c r="N8166" t="s">
        <v>42669</v>
      </c>
      <c r="O8166" t="s">
        <v>42670</v>
      </c>
      <c r="P8166">
        <v>0</v>
      </c>
      <c r="Q8166">
        <v>0</v>
      </c>
      <c r="R8166" t="s">
        <v>42678</v>
      </c>
      <c r="S8166" t="s">
        <v>42866</v>
      </c>
      <c r="T8166" t="s">
        <v>44488</v>
      </c>
      <c r="U8166" t="s">
        <v>48075</v>
      </c>
      <c r="W8166" t="s">
        <v>41509</v>
      </c>
      <c r="X8166" t="s">
        <v>42679</v>
      </c>
    </row>
    <row r="8167" spans="1:24">
      <c r="A8167">
        <f>HYPERLINK("https://www.philgeps.gov.ph/GEPSNONPILOT/Tender/SplashBidNoticeAbstractUI.aspx?menuIndex=3&amp;refID=7183602&amp;Result=3","7183602")</f>
        <v>0</v>
      </c>
      <c r="B8167" t="s">
        <v>2548</v>
      </c>
      <c r="C8167" t="s">
        <v>11337</v>
      </c>
      <c r="D8167" t="s">
        <v>17142</v>
      </c>
      <c r="E8167" t="s">
        <v>24276</v>
      </c>
      <c r="F8167" t="s">
        <v>29372</v>
      </c>
      <c r="G8167" t="s">
        <v>29380</v>
      </c>
      <c r="H8167" t="s">
        <v>29389</v>
      </c>
      <c r="I8167" t="s">
        <v>10408</v>
      </c>
      <c r="J8167" t="s">
        <v>34803</v>
      </c>
      <c r="K8167" t="s">
        <v>38538</v>
      </c>
      <c r="M8167" t="s">
        <v>41511</v>
      </c>
      <c r="N8167" t="s">
        <v>42669</v>
      </c>
      <c r="O8167" t="s">
        <v>42670</v>
      </c>
      <c r="P8167">
        <v>0</v>
      </c>
      <c r="Q8167">
        <v>0</v>
      </c>
      <c r="R8167" t="s">
        <v>42678</v>
      </c>
      <c r="S8167" t="s">
        <v>42866</v>
      </c>
      <c r="T8167" t="s">
        <v>44491</v>
      </c>
      <c r="U8167" t="s">
        <v>51500</v>
      </c>
      <c r="W8167" t="s">
        <v>41511</v>
      </c>
      <c r="X8167" t="s">
        <v>42679</v>
      </c>
    </row>
    <row r="8168" spans="1:24">
      <c r="A8168">
        <f>HYPERLINK("https://www.philgeps.gov.ph/GEPSNONPILOT/Tender/SplashBidNoticeAbstractUI.aspx?menuIndex=3&amp;refID=7183601&amp;Result=3","7183601")</f>
        <v>0</v>
      </c>
      <c r="B8168" t="s">
        <v>2546</v>
      </c>
      <c r="C8168" t="s">
        <v>11338</v>
      </c>
      <c r="D8168" t="s">
        <v>17215</v>
      </c>
      <c r="E8168" t="s">
        <v>24277</v>
      </c>
      <c r="F8168" t="s">
        <v>29372</v>
      </c>
      <c r="G8168" t="s">
        <v>29380</v>
      </c>
      <c r="H8168" t="s">
        <v>11048</v>
      </c>
      <c r="I8168" t="s">
        <v>4709</v>
      </c>
      <c r="J8168" t="s">
        <v>34804</v>
      </c>
      <c r="K8168" t="s">
        <v>38528</v>
      </c>
      <c r="M8168" t="s">
        <v>41509</v>
      </c>
      <c r="N8168" t="s">
        <v>42669</v>
      </c>
      <c r="O8168" t="s">
        <v>42670</v>
      </c>
      <c r="P8168">
        <v>0</v>
      </c>
      <c r="Q8168">
        <v>0</v>
      </c>
      <c r="R8168" t="s">
        <v>42678</v>
      </c>
      <c r="S8168" t="s">
        <v>42866</v>
      </c>
      <c r="T8168" t="s">
        <v>44488</v>
      </c>
      <c r="U8168" t="s">
        <v>48075</v>
      </c>
      <c r="W8168" t="s">
        <v>41509</v>
      </c>
      <c r="X8168" t="s">
        <v>42679</v>
      </c>
    </row>
    <row r="8169" spans="1:24">
      <c r="A8169">
        <f>HYPERLINK("https://www.philgeps.gov.ph/GEPSNONPILOT/Tender/SplashBidNoticeAbstractUI.aspx?menuIndex=3&amp;refID=7183609&amp;Result=3","7183609")</f>
        <v>0</v>
      </c>
      <c r="B8169" t="s">
        <v>2549</v>
      </c>
      <c r="C8169" t="s">
        <v>11339</v>
      </c>
      <c r="D8169" t="s">
        <v>17173</v>
      </c>
      <c r="E8169" t="s">
        <v>24278</v>
      </c>
      <c r="F8169" t="s">
        <v>29372</v>
      </c>
      <c r="G8169" t="s">
        <v>29380</v>
      </c>
      <c r="H8169" t="s">
        <v>11048</v>
      </c>
      <c r="I8169" t="s">
        <v>29412</v>
      </c>
      <c r="J8169" t="s">
        <v>34805</v>
      </c>
      <c r="K8169" t="s">
        <v>38485</v>
      </c>
      <c r="M8169" t="s">
        <v>41512</v>
      </c>
      <c r="N8169" t="s">
        <v>42669</v>
      </c>
      <c r="O8169" t="s">
        <v>42670</v>
      </c>
      <c r="P8169">
        <v>0</v>
      </c>
      <c r="Q8169">
        <v>1</v>
      </c>
      <c r="R8169" t="s">
        <v>42678</v>
      </c>
      <c r="S8169" t="s">
        <v>42866</v>
      </c>
      <c r="T8169" t="s">
        <v>44515</v>
      </c>
      <c r="U8169" t="s">
        <v>51501</v>
      </c>
      <c r="W8169" t="s">
        <v>41512</v>
      </c>
      <c r="X8169" t="s">
        <v>42679</v>
      </c>
    </row>
    <row r="8170" spans="1:24">
      <c r="A8170">
        <f>HYPERLINK("https://www.philgeps.gov.ph/GEPSNONPILOT/Tender/SplashBidNoticeAbstractUI.aspx?menuIndex=3&amp;refID=7183550&amp;Result=3","7183550")</f>
        <v>0</v>
      </c>
      <c r="B8170" t="s">
        <v>1137</v>
      </c>
      <c r="C8170" t="s">
        <v>11340</v>
      </c>
      <c r="D8170" t="s">
        <v>17193</v>
      </c>
      <c r="E8170" t="s">
        <v>24279</v>
      </c>
      <c r="F8170" t="s">
        <v>29372</v>
      </c>
      <c r="G8170" t="s">
        <v>29380</v>
      </c>
      <c r="H8170" t="s">
        <v>11048</v>
      </c>
      <c r="I8170" t="s">
        <v>3670</v>
      </c>
      <c r="J8170" t="s">
        <v>30893</v>
      </c>
      <c r="K8170" t="s">
        <v>38490</v>
      </c>
      <c r="M8170" t="s">
        <v>39949</v>
      </c>
      <c r="N8170" t="s">
        <v>42669</v>
      </c>
      <c r="O8170" t="s">
        <v>42670</v>
      </c>
      <c r="P8170">
        <v>0</v>
      </c>
      <c r="Q8170">
        <v>3</v>
      </c>
      <c r="R8170" t="s">
        <v>42678</v>
      </c>
      <c r="S8170" t="s">
        <v>42866</v>
      </c>
      <c r="T8170" t="s">
        <v>44373</v>
      </c>
      <c r="U8170" t="s">
        <v>47338</v>
      </c>
      <c r="V8170" t="s">
        <v>57262</v>
      </c>
      <c r="W8170" t="s">
        <v>39949</v>
      </c>
      <c r="X8170" t="s">
        <v>42679</v>
      </c>
    </row>
    <row r="8171" spans="1:24">
      <c r="A8171">
        <f>HYPERLINK("https://www.philgeps.gov.ph/GEPSNONPILOT/Tender/SplashBidNoticeAbstractUI.aspx?menuIndex=3&amp;refID=7183605&amp;Result=3","7183605")</f>
        <v>0</v>
      </c>
      <c r="B8171" t="s">
        <v>2550</v>
      </c>
      <c r="C8171" t="s">
        <v>11341</v>
      </c>
      <c r="D8171" t="s">
        <v>17141</v>
      </c>
      <c r="E8171" t="s">
        <v>24280</v>
      </c>
      <c r="F8171" t="s">
        <v>29372</v>
      </c>
      <c r="G8171" t="s">
        <v>29379</v>
      </c>
      <c r="H8171" t="s">
        <v>11048</v>
      </c>
      <c r="I8171" t="s">
        <v>4709</v>
      </c>
      <c r="J8171" t="s">
        <v>34806</v>
      </c>
      <c r="K8171" t="s">
        <v>38488</v>
      </c>
      <c r="M8171" t="s">
        <v>41513</v>
      </c>
      <c r="N8171" t="s">
        <v>42669</v>
      </c>
      <c r="O8171" t="s">
        <v>42670</v>
      </c>
      <c r="Q8171">
        <v>0</v>
      </c>
      <c r="R8171" t="s">
        <v>42678</v>
      </c>
      <c r="S8171" t="s">
        <v>42919</v>
      </c>
      <c r="T8171" t="s">
        <v>44432</v>
      </c>
      <c r="U8171" t="s">
        <v>51502</v>
      </c>
      <c r="V8171" t="s">
        <v>57263</v>
      </c>
      <c r="W8171" t="s">
        <v>41513</v>
      </c>
      <c r="X8171" t="s">
        <v>42679</v>
      </c>
    </row>
    <row r="8172" spans="1:24">
      <c r="A8172">
        <f>HYPERLINK("https://www.philgeps.gov.ph/GEPSNONPILOT/Tender/SplashBidNoticeAbstractUI.aspx?menuIndex=3&amp;refID=7183597&amp;Result=3","7183597")</f>
        <v>0</v>
      </c>
      <c r="B8172" t="s">
        <v>2551</v>
      </c>
      <c r="C8172" t="s">
        <v>11342</v>
      </c>
      <c r="D8172" t="s">
        <v>17144</v>
      </c>
      <c r="E8172" t="s">
        <v>17533</v>
      </c>
      <c r="F8172" t="s">
        <v>29372</v>
      </c>
      <c r="G8172" t="s">
        <v>29380</v>
      </c>
      <c r="H8172" t="s">
        <v>11048</v>
      </c>
      <c r="I8172" t="s">
        <v>4709</v>
      </c>
      <c r="J8172" t="s">
        <v>34807</v>
      </c>
      <c r="K8172" t="s">
        <v>38489</v>
      </c>
      <c r="M8172" t="s">
        <v>41514</v>
      </c>
      <c r="N8172" t="s">
        <v>42669</v>
      </c>
      <c r="O8172" t="s">
        <v>42670</v>
      </c>
      <c r="P8172">
        <v>0</v>
      </c>
      <c r="Q8172">
        <v>0</v>
      </c>
      <c r="R8172" t="s">
        <v>42678</v>
      </c>
      <c r="S8172" t="s">
        <v>42866</v>
      </c>
      <c r="T8172" t="s">
        <v>44432</v>
      </c>
      <c r="U8172" t="s">
        <v>51503</v>
      </c>
      <c r="W8172" t="s">
        <v>41514</v>
      </c>
      <c r="X8172" t="s">
        <v>42679</v>
      </c>
    </row>
    <row r="8173" spans="1:24">
      <c r="A8173">
        <f>HYPERLINK("https://www.philgeps.gov.ph/GEPSNONPILOT/Tender/SplashBidNoticeAbstractUI.aspx?menuIndex=3&amp;refID=7183596&amp;Result=3","7183596")</f>
        <v>0</v>
      </c>
      <c r="B8173" t="s">
        <v>352</v>
      </c>
      <c r="C8173" t="s">
        <v>11343</v>
      </c>
      <c r="D8173" t="s">
        <v>17141</v>
      </c>
      <c r="E8173" t="s">
        <v>24281</v>
      </c>
      <c r="F8173" t="s">
        <v>29372</v>
      </c>
      <c r="G8173" t="s">
        <v>29380</v>
      </c>
      <c r="H8173" t="s">
        <v>11048</v>
      </c>
      <c r="I8173" t="s">
        <v>3670</v>
      </c>
      <c r="J8173" t="s">
        <v>29625</v>
      </c>
      <c r="K8173" t="s">
        <v>38491</v>
      </c>
      <c r="M8173" t="s">
        <v>41507</v>
      </c>
      <c r="N8173" t="s">
        <v>42669</v>
      </c>
      <c r="O8173" t="s">
        <v>42670</v>
      </c>
      <c r="P8173">
        <v>0</v>
      </c>
      <c r="Q8173">
        <v>0</v>
      </c>
      <c r="R8173" t="s">
        <v>42678</v>
      </c>
      <c r="S8173" t="s">
        <v>42866</v>
      </c>
      <c r="T8173" t="s">
        <v>44432</v>
      </c>
      <c r="U8173" t="s">
        <v>51504</v>
      </c>
      <c r="W8173" t="s">
        <v>41507</v>
      </c>
      <c r="X8173" t="s">
        <v>42679</v>
      </c>
    </row>
    <row r="8174" spans="1:24">
      <c r="A8174">
        <f>HYPERLINK("https://www.philgeps.gov.ph/GEPSNONPILOT/Tender/SplashBidNoticeAbstractUI.aspx?menuIndex=3&amp;refID=7183589&amp;Result=3","7183589")</f>
        <v>0</v>
      </c>
      <c r="B8174" t="s">
        <v>352</v>
      </c>
      <c r="C8174" t="s">
        <v>11344</v>
      </c>
      <c r="D8174" t="s">
        <v>17141</v>
      </c>
      <c r="E8174" t="s">
        <v>24282</v>
      </c>
      <c r="F8174" t="s">
        <v>29372</v>
      </c>
      <c r="G8174" t="s">
        <v>29380</v>
      </c>
      <c r="H8174" t="s">
        <v>11048</v>
      </c>
      <c r="I8174" t="s">
        <v>3670</v>
      </c>
      <c r="J8174" t="s">
        <v>29532</v>
      </c>
      <c r="K8174" t="s">
        <v>38491</v>
      </c>
      <c r="M8174" t="s">
        <v>41507</v>
      </c>
      <c r="N8174" t="s">
        <v>42669</v>
      </c>
      <c r="O8174" t="s">
        <v>42670</v>
      </c>
      <c r="P8174">
        <v>0</v>
      </c>
      <c r="Q8174">
        <v>0</v>
      </c>
      <c r="R8174" t="s">
        <v>42678</v>
      </c>
      <c r="S8174" t="s">
        <v>42866</v>
      </c>
      <c r="T8174" t="s">
        <v>44432</v>
      </c>
      <c r="U8174" t="s">
        <v>51505</v>
      </c>
      <c r="W8174" t="s">
        <v>41507</v>
      </c>
      <c r="X8174" t="s">
        <v>42679</v>
      </c>
    </row>
    <row r="8175" spans="1:24">
      <c r="A8175">
        <f>HYPERLINK("https://www.philgeps.gov.ph/GEPSNONPILOT/Tender/SplashBidNoticeAbstractUI.aspx?menuIndex=3&amp;refID=7183650&amp;Result=3","7183650")</f>
        <v>0</v>
      </c>
      <c r="B8175" t="s">
        <v>1122</v>
      </c>
      <c r="C8175" t="s">
        <v>11345</v>
      </c>
      <c r="D8175" t="s">
        <v>17146</v>
      </c>
      <c r="E8175" t="s">
        <v>17533</v>
      </c>
      <c r="F8175" t="s">
        <v>29372</v>
      </c>
      <c r="G8175" t="s">
        <v>29380</v>
      </c>
      <c r="H8175" t="s">
        <v>11048</v>
      </c>
      <c r="I8175" t="s">
        <v>4709</v>
      </c>
      <c r="J8175" t="s">
        <v>34808</v>
      </c>
      <c r="K8175" t="s">
        <v>38510</v>
      </c>
      <c r="M8175" t="s">
        <v>39932</v>
      </c>
      <c r="N8175" t="s">
        <v>42669</v>
      </c>
      <c r="O8175" t="s">
        <v>42670</v>
      </c>
      <c r="P8175">
        <v>0</v>
      </c>
      <c r="Q8175">
        <v>0</v>
      </c>
      <c r="R8175" t="s">
        <v>42678</v>
      </c>
      <c r="S8175" t="s">
        <v>42866</v>
      </c>
      <c r="T8175" t="s">
        <v>44432</v>
      </c>
      <c r="U8175" t="s">
        <v>51506</v>
      </c>
      <c r="W8175" t="s">
        <v>39932</v>
      </c>
      <c r="X8175" t="s">
        <v>42679</v>
      </c>
    </row>
    <row r="8176" spans="1:24">
      <c r="A8176">
        <f>HYPERLINK("https://www.philgeps.gov.ph/GEPSNONPILOT/Tender/SplashBidNoticeAbstractUI.aspx?menuIndex=3&amp;refID=7183648&amp;Result=3","7183648")</f>
        <v>0</v>
      </c>
      <c r="B8176" t="s">
        <v>2552</v>
      </c>
      <c r="C8176" t="s">
        <v>11346</v>
      </c>
      <c r="D8176" t="s">
        <v>17210</v>
      </c>
      <c r="E8176" t="s">
        <v>24283</v>
      </c>
      <c r="F8176" t="s">
        <v>29372</v>
      </c>
      <c r="G8176" t="s">
        <v>29380</v>
      </c>
      <c r="H8176" t="s">
        <v>11048</v>
      </c>
      <c r="I8176" t="s">
        <v>29466</v>
      </c>
      <c r="J8176" t="s">
        <v>29604</v>
      </c>
      <c r="K8176" t="s">
        <v>38485</v>
      </c>
      <c r="M8176" t="s">
        <v>41515</v>
      </c>
      <c r="N8176" t="s">
        <v>42669</v>
      </c>
      <c r="O8176" t="s">
        <v>42670</v>
      </c>
      <c r="P8176">
        <v>0</v>
      </c>
      <c r="Q8176">
        <v>3</v>
      </c>
      <c r="R8176" t="s">
        <v>42678</v>
      </c>
      <c r="S8176" t="s">
        <v>42866</v>
      </c>
      <c r="T8176" t="s">
        <v>44689</v>
      </c>
      <c r="U8176" t="s">
        <v>51507</v>
      </c>
      <c r="W8176" t="s">
        <v>41515</v>
      </c>
      <c r="X8176" t="s">
        <v>42679</v>
      </c>
    </row>
    <row r="8177" spans="1:24">
      <c r="A8177">
        <f>HYPERLINK("https://www.philgeps.gov.ph/GEPSNONPILOT/Tender/SplashBidNoticeAbstractUI.aspx?menuIndex=3&amp;refID=7183647&amp;Result=3","7183647")</f>
        <v>0</v>
      </c>
      <c r="B8177" t="s">
        <v>2553</v>
      </c>
      <c r="C8177" t="s">
        <v>11347</v>
      </c>
      <c r="D8177" t="s">
        <v>17154</v>
      </c>
      <c r="E8177" t="s">
        <v>24284</v>
      </c>
      <c r="F8177" t="s">
        <v>29372</v>
      </c>
      <c r="G8177" t="s">
        <v>29380</v>
      </c>
      <c r="H8177" t="s">
        <v>29389</v>
      </c>
      <c r="I8177" t="s">
        <v>10408</v>
      </c>
      <c r="J8177" t="s">
        <v>29590</v>
      </c>
      <c r="K8177" t="s">
        <v>38485</v>
      </c>
      <c r="M8177" t="s">
        <v>41516</v>
      </c>
      <c r="N8177" t="s">
        <v>42669</v>
      </c>
      <c r="O8177" t="s">
        <v>42670</v>
      </c>
      <c r="P8177">
        <v>0</v>
      </c>
      <c r="Q8177">
        <v>0</v>
      </c>
      <c r="R8177" t="s">
        <v>42678</v>
      </c>
      <c r="S8177" t="s">
        <v>42866</v>
      </c>
      <c r="T8177" t="s">
        <v>44542</v>
      </c>
      <c r="U8177" t="s">
        <v>51508</v>
      </c>
      <c r="W8177" t="s">
        <v>41516</v>
      </c>
      <c r="X8177" t="s">
        <v>42679</v>
      </c>
    </row>
    <row r="8178" spans="1:24">
      <c r="A8178">
        <f>HYPERLINK("https://www.philgeps.gov.ph/GEPSNONPILOT/Tender/SplashBidNoticeAbstractUI.aspx?menuIndex=3&amp;refID=7183613&amp;Result=3","7183613")</f>
        <v>0</v>
      </c>
      <c r="B8178" t="s">
        <v>2418</v>
      </c>
      <c r="C8178" t="s">
        <v>11348</v>
      </c>
      <c r="D8178" t="s">
        <v>17172</v>
      </c>
      <c r="E8178" t="s">
        <v>24285</v>
      </c>
      <c r="F8178" t="s">
        <v>29373</v>
      </c>
      <c r="G8178" t="s">
        <v>29380</v>
      </c>
      <c r="H8178" t="s">
        <v>29389</v>
      </c>
      <c r="I8178" t="s">
        <v>10408</v>
      </c>
      <c r="J8178" t="s">
        <v>34809</v>
      </c>
      <c r="K8178" t="s">
        <v>38495</v>
      </c>
      <c r="L8178" t="s">
        <v>2418</v>
      </c>
      <c r="M8178" t="s">
        <v>41365</v>
      </c>
      <c r="N8178" t="s">
        <v>42669</v>
      </c>
      <c r="O8178" t="s">
        <v>42670</v>
      </c>
      <c r="P8178">
        <v>0</v>
      </c>
      <c r="Q8178">
        <v>0</v>
      </c>
      <c r="R8178" t="s">
        <v>42678</v>
      </c>
      <c r="S8178" t="s">
        <v>42866</v>
      </c>
      <c r="T8178" t="s">
        <v>44407</v>
      </c>
      <c r="U8178" t="s">
        <v>51509</v>
      </c>
      <c r="V8178" t="s">
        <v>57264</v>
      </c>
      <c r="W8178" t="s">
        <v>41365</v>
      </c>
      <c r="X8178" t="s">
        <v>42679</v>
      </c>
    </row>
    <row r="8179" spans="1:24">
      <c r="A8179">
        <f>HYPERLINK("https://www.philgeps.gov.ph/GEPSNONPILOT/Tender/SplashBidNoticeAbstractUI.aspx?menuIndex=3&amp;refID=7183591&amp;Result=3","7183591")</f>
        <v>0</v>
      </c>
      <c r="B8179" t="s">
        <v>1088</v>
      </c>
      <c r="C8179" t="s">
        <v>11349</v>
      </c>
      <c r="D8179" t="s">
        <v>17141</v>
      </c>
      <c r="E8179" t="s">
        <v>24286</v>
      </c>
      <c r="F8179" t="s">
        <v>29372</v>
      </c>
      <c r="G8179" t="s">
        <v>29380</v>
      </c>
      <c r="H8179" t="s">
        <v>11048</v>
      </c>
      <c r="I8179" t="s">
        <v>8614</v>
      </c>
      <c r="J8179" t="s">
        <v>34810</v>
      </c>
      <c r="K8179" t="s">
        <v>38692</v>
      </c>
      <c r="M8179" t="s">
        <v>41517</v>
      </c>
      <c r="N8179" t="s">
        <v>42669</v>
      </c>
      <c r="O8179" t="s">
        <v>42670</v>
      </c>
      <c r="P8179">
        <v>0</v>
      </c>
      <c r="Q8179">
        <v>15</v>
      </c>
      <c r="R8179" t="s">
        <v>42678</v>
      </c>
      <c r="S8179" t="s">
        <v>42866</v>
      </c>
      <c r="T8179" t="s">
        <v>44392</v>
      </c>
      <c r="U8179" t="s">
        <v>51510</v>
      </c>
      <c r="W8179" t="s">
        <v>41517</v>
      </c>
      <c r="X8179" t="s">
        <v>42679</v>
      </c>
    </row>
    <row r="8180" spans="1:24">
      <c r="A8180">
        <f>HYPERLINK("https://www.philgeps.gov.ph/GEPSNONPILOT/Tender/SplashBidNoticeAbstractUI.aspx?menuIndex=3&amp;refID=7183645&amp;Result=3","7183645")</f>
        <v>0</v>
      </c>
      <c r="B8180" t="s">
        <v>33</v>
      </c>
      <c r="C8180" t="s">
        <v>11350</v>
      </c>
      <c r="D8180" t="s">
        <v>17147</v>
      </c>
      <c r="E8180" t="s">
        <v>24287</v>
      </c>
      <c r="F8180" t="s">
        <v>29372</v>
      </c>
      <c r="G8180" t="s">
        <v>29380</v>
      </c>
      <c r="H8180" t="s">
        <v>29389</v>
      </c>
      <c r="I8180" t="s">
        <v>10408</v>
      </c>
      <c r="J8180" t="s">
        <v>34811</v>
      </c>
      <c r="K8180" t="s">
        <v>38516</v>
      </c>
      <c r="M8180" t="s">
        <v>38786</v>
      </c>
      <c r="N8180" t="s">
        <v>42669</v>
      </c>
      <c r="O8180" t="s">
        <v>42670</v>
      </c>
      <c r="P8180">
        <v>0</v>
      </c>
      <c r="Q8180">
        <v>0</v>
      </c>
      <c r="R8180" t="s">
        <v>42678</v>
      </c>
      <c r="S8180" t="s">
        <v>42866</v>
      </c>
      <c r="T8180" t="s">
        <v>44488</v>
      </c>
      <c r="U8180" t="s">
        <v>51511</v>
      </c>
      <c r="W8180" t="s">
        <v>38786</v>
      </c>
      <c r="X8180" t="s">
        <v>42679</v>
      </c>
    </row>
    <row r="8181" spans="1:24">
      <c r="A8181">
        <f>HYPERLINK("https://www.philgeps.gov.ph/GEPSNONPILOT/Tender/SplashBidNoticeAbstractUI.aspx?menuIndex=3&amp;refID=7183643&amp;Result=3","7183643")</f>
        <v>0</v>
      </c>
      <c r="B8181" t="s">
        <v>2545</v>
      </c>
      <c r="C8181" t="s">
        <v>11351</v>
      </c>
      <c r="D8181" t="s">
        <v>17143</v>
      </c>
      <c r="E8181" t="s">
        <v>19601</v>
      </c>
      <c r="F8181" t="s">
        <v>29372</v>
      </c>
      <c r="G8181" t="s">
        <v>29380</v>
      </c>
      <c r="H8181" t="s">
        <v>29389</v>
      </c>
      <c r="I8181" t="s">
        <v>10408</v>
      </c>
      <c r="J8181" t="s">
        <v>30815</v>
      </c>
      <c r="K8181" t="s">
        <v>38495</v>
      </c>
      <c r="M8181" t="s">
        <v>41508</v>
      </c>
      <c r="N8181" t="s">
        <v>42669</v>
      </c>
      <c r="O8181" t="s">
        <v>42670</v>
      </c>
      <c r="P8181">
        <v>0</v>
      </c>
      <c r="Q8181">
        <v>0</v>
      </c>
      <c r="R8181" t="s">
        <v>42678</v>
      </c>
      <c r="S8181" t="s">
        <v>42866</v>
      </c>
      <c r="T8181" t="s">
        <v>44452</v>
      </c>
      <c r="U8181" t="s">
        <v>51512</v>
      </c>
      <c r="W8181" t="s">
        <v>41508</v>
      </c>
      <c r="X8181" t="s">
        <v>42679</v>
      </c>
    </row>
    <row r="8182" spans="1:24">
      <c r="A8182">
        <f>HYPERLINK("https://www.philgeps.gov.ph/GEPSNONPILOT/Tender/SplashBidNoticeAbstractUI.aspx?menuIndex=3&amp;refID=7183610&amp;Result=3","7183610")</f>
        <v>0</v>
      </c>
      <c r="B8182" t="s">
        <v>531</v>
      </c>
      <c r="C8182" t="s">
        <v>11352</v>
      </c>
      <c r="D8182" t="s">
        <v>17171</v>
      </c>
      <c r="E8182" t="s">
        <v>21633</v>
      </c>
      <c r="F8182" t="s">
        <v>29372</v>
      </c>
      <c r="G8182" t="s">
        <v>29380</v>
      </c>
      <c r="H8182" t="s">
        <v>11048</v>
      </c>
      <c r="I8182" t="s">
        <v>4487</v>
      </c>
      <c r="J8182" t="s">
        <v>30587</v>
      </c>
      <c r="K8182" t="s">
        <v>38485</v>
      </c>
      <c r="L8182" t="s">
        <v>531</v>
      </c>
      <c r="M8182" t="s">
        <v>39298</v>
      </c>
      <c r="N8182" t="s">
        <v>42669</v>
      </c>
      <c r="O8182" t="s">
        <v>42670</v>
      </c>
      <c r="Q8182">
        <v>3</v>
      </c>
      <c r="R8182" t="s">
        <v>42678</v>
      </c>
      <c r="S8182" t="s">
        <v>42920</v>
      </c>
      <c r="T8182" t="s">
        <v>44429</v>
      </c>
      <c r="U8182" t="s">
        <v>51513</v>
      </c>
      <c r="W8182" t="s">
        <v>39298</v>
      </c>
      <c r="X8182" t="s">
        <v>42679</v>
      </c>
    </row>
    <row r="8183" spans="1:24">
      <c r="A8183">
        <f>HYPERLINK("https://www.philgeps.gov.ph/GEPSNONPILOT/Tender/SplashBidNoticeAbstractUI.aspx?menuIndex=3&amp;refID=7183640&amp;Result=3","7183640")</f>
        <v>0</v>
      </c>
      <c r="B8183" t="s">
        <v>2554</v>
      </c>
      <c r="C8183" t="s">
        <v>11353</v>
      </c>
      <c r="D8183" t="s">
        <v>17160</v>
      </c>
      <c r="E8183" t="s">
        <v>24288</v>
      </c>
      <c r="F8183" t="s">
        <v>29372</v>
      </c>
      <c r="G8183" t="s">
        <v>29380</v>
      </c>
      <c r="H8183" t="s">
        <v>11048</v>
      </c>
      <c r="I8183" t="s">
        <v>7828</v>
      </c>
      <c r="J8183" t="s">
        <v>30815</v>
      </c>
      <c r="K8183" t="s">
        <v>38518</v>
      </c>
      <c r="M8183" t="s">
        <v>41518</v>
      </c>
      <c r="N8183" t="s">
        <v>42669</v>
      </c>
      <c r="O8183" t="s">
        <v>42670</v>
      </c>
      <c r="P8183">
        <v>0</v>
      </c>
      <c r="Q8183">
        <v>8</v>
      </c>
      <c r="R8183" t="s">
        <v>42678</v>
      </c>
      <c r="S8183" t="s">
        <v>42866</v>
      </c>
      <c r="T8183" t="s">
        <v>44355</v>
      </c>
      <c r="U8183" t="s">
        <v>51514</v>
      </c>
      <c r="W8183" t="s">
        <v>41518</v>
      </c>
      <c r="X8183" t="s">
        <v>42679</v>
      </c>
    </row>
    <row r="8184" spans="1:24">
      <c r="A8184">
        <f>HYPERLINK("https://www.philgeps.gov.ph/GEPSNONPILOT/Tender/SplashBidNoticeAbstractUI.aspx?menuIndex=3&amp;refID=7183636&amp;Result=3","7183636")</f>
        <v>0</v>
      </c>
      <c r="B8184" t="s">
        <v>2553</v>
      </c>
      <c r="C8184" t="s">
        <v>11354</v>
      </c>
      <c r="D8184" t="s">
        <v>17154</v>
      </c>
      <c r="E8184" t="s">
        <v>24289</v>
      </c>
      <c r="F8184" t="s">
        <v>29372</v>
      </c>
      <c r="G8184" t="s">
        <v>29380</v>
      </c>
      <c r="H8184" t="s">
        <v>29389</v>
      </c>
      <c r="I8184" t="s">
        <v>10408</v>
      </c>
      <c r="J8184" t="s">
        <v>29543</v>
      </c>
      <c r="K8184" t="s">
        <v>38496</v>
      </c>
      <c r="M8184" t="s">
        <v>41516</v>
      </c>
      <c r="N8184" t="s">
        <v>42669</v>
      </c>
      <c r="O8184" t="s">
        <v>42670</v>
      </c>
      <c r="P8184">
        <v>0</v>
      </c>
      <c r="Q8184">
        <v>1</v>
      </c>
      <c r="R8184" t="s">
        <v>42678</v>
      </c>
      <c r="S8184" t="s">
        <v>42866</v>
      </c>
      <c r="T8184" t="s">
        <v>44542</v>
      </c>
      <c r="U8184" t="s">
        <v>51515</v>
      </c>
      <c r="W8184" t="s">
        <v>41516</v>
      </c>
      <c r="X8184" t="s">
        <v>42679</v>
      </c>
    </row>
    <row r="8185" spans="1:24">
      <c r="A8185">
        <f>HYPERLINK("https://www.philgeps.gov.ph/GEPSNONPILOT/Tender/SplashBidNoticeAbstractUI.aspx?menuIndex=3&amp;refID=7183548&amp;Result=3","7183548")</f>
        <v>0</v>
      </c>
      <c r="B8185" t="s">
        <v>367</v>
      </c>
      <c r="C8185" t="s">
        <v>11355</v>
      </c>
      <c r="D8185" t="s">
        <v>17141</v>
      </c>
      <c r="E8185" t="s">
        <v>24290</v>
      </c>
      <c r="F8185" t="s">
        <v>29372</v>
      </c>
      <c r="G8185" t="s">
        <v>29384</v>
      </c>
      <c r="H8185" t="s">
        <v>11048</v>
      </c>
      <c r="I8185" t="s">
        <v>8614</v>
      </c>
      <c r="J8185" t="s">
        <v>33416</v>
      </c>
      <c r="K8185" t="s">
        <v>38485</v>
      </c>
      <c r="M8185" t="s">
        <v>41197</v>
      </c>
      <c r="N8185" t="s">
        <v>42669</v>
      </c>
      <c r="O8185" t="s">
        <v>42670</v>
      </c>
      <c r="P8185">
        <v>0</v>
      </c>
      <c r="Q8185">
        <v>21</v>
      </c>
      <c r="R8185" t="s">
        <v>42678</v>
      </c>
      <c r="S8185" t="s">
        <v>42866</v>
      </c>
      <c r="T8185" t="s">
        <v>44517</v>
      </c>
      <c r="U8185" t="s">
        <v>51516</v>
      </c>
      <c r="V8185" t="s">
        <v>56467</v>
      </c>
      <c r="W8185" t="s">
        <v>58014</v>
      </c>
      <c r="X8185" t="s">
        <v>42679</v>
      </c>
    </row>
    <row r="8186" spans="1:24">
      <c r="A8186">
        <f>HYPERLINK("https://www.philgeps.gov.ph/GEPSNONPILOT/Tender/SplashBidNoticeAbstractUI.aspx?menuIndex=3&amp;refID=7183635&amp;Result=3","7183635")</f>
        <v>0</v>
      </c>
      <c r="B8186" t="s">
        <v>2554</v>
      </c>
      <c r="C8186" t="s">
        <v>11356</v>
      </c>
      <c r="D8186" t="s">
        <v>17160</v>
      </c>
      <c r="E8186" t="s">
        <v>24291</v>
      </c>
      <c r="F8186" t="s">
        <v>29372</v>
      </c>
      <c r="G8186" t="s">
        <v>29380</v>
      </c>
      <c r="H8186" t="s">
        <v>11048</v>
      </c>
      <c r="I8186" t="s">
        <v>8614</v>
      </c>
      <c r="J8186" t="s">
        <v>29774</v>
      </c>
      <c r="K8186" t="s">
        <v>38518</v>
      </c>
      <c r="M8186" t="s">
        <v>41518</v>
      </c>
      <c r="N8186" t="s">
        <v>42669</v>
      </c>
      <c r="O8186" t="s">
        <v>42670</v>
      </c>
      <c r="P8186">
        <v>0</v>
      </c>
      <c r="Q8186">
        <v>6</v>
      </c>
      <c r="R8186" t="s">
        <v>42678</v>
      </c>
      <c r="S8186" t="s">
        <v>42866</v>
      </c>
      <c r="T8186" t="s">
        <v>44355</v>
      </c>
      <c r="U8186" t="s">
        <v>51517</v>
      </c>
      <c r="W8186" t="s">
        <v>41518</v>
      </c>
      <c r="X8186" t="s">
        <v>42679</v>
      </c>
    </row>
    <row r="8187" spans="1:24">
      <c r="A8187">
        <f>HYPERLINK("https://www.philgeps.gov.ph/GEPSNONPILOT/Tender/SplashBidNoticeAbstractUI.aspx?menuIndex=3&amp;refID=7183630&amp;Result=3","7183630")</f>
        <v>0</v>
      </c>
      <c r="B8187" t="s">
        <v>2555</v>
      </c>
      <c r="C8187" t="s">
        <v>11357</v>
      </c>
      <c r="D8187" t="s">
        <v>17172</v>
      </c>
      <c r="E8187" t="s">
        <v>24292</v>
      </c>
      <c r="F8187" t="s">
        <v>29372</v>
      </c>
      <c r="G8187" t="s">
        <v>29380</v>
      </c>
      <c r="H8187" t="s">
        <v>29389</v>
      </c>
      <c r="I8187" t="s">
        <v>10408</v>
      </c>
      <c r="J8187" t="s">
        <v>34812</v>
      </c>
      <c r="K8187" t="s">
        <v>38504</v>
      </c>
      <c r="M8187" t="s">
        <v>41519</v>
      </c>
      <c r="N8187" t="s">
        <v>42669</v>
      </c>
      <c r="O8187" t="s">
        <v>42670</v>
      </c>
      <c r="P8187">
        <v>0</v>
      </c>
      <c r="Q8187">
        <v>0</v>
      </c>
      <c r="R8187" t="s">
        <v>42678</v>
      </c>
      <c r="S8187" t="s">
        <v>42866</v>
      </c>
      <c r="T8187" t="s">
        <v>44488</v>
      </c>
      <c r="U8187" t="s">
        <v>51518</v>
      </c>
      <c r="W8187" t="s">
        <v>41519</v>
      </c>
      <c r="X8187" t="s">
        <v>42679</v>
      </c>
    </row>
    <row r="8188" spans="1:24">
      <c r="A8188">
        <f>HYPERLINK("https://www.philgeps.gov.ph/GEPSNONPILOT/Tender/SplashBidNoticeAbstractUI.aspx?menuIndex=3&amp;refID=7183628&amp;Result=3","7183628")</f>
        <v>0</v>
      </c>
      <c r="B8188" t="s">
        <v>2554</v>
      </c>
      <c r="C8188" t="s">
        <v>11358</v>
      </c>
      <c r="D8188" t="s">
        <v>17160</v>
      </c>
      <c r="E8188" t="s">
        <v>24293</v>
      </c>
      <c r="F8188" t="s">
        <v>29372</v>
      </c>
      <c r="G8188" t="s">
        <v>29380</v>
      </c>
      <c r="H8188" t="s">
        <v>11048</v>
      </c>
      <c r="I8188" t="s">
        <v>29409</v>
      </c>
      <c r="J8188" t="s">
        <v>34813</v>
      </c>
      <c r="K8188" t="s">
        <v>38518</v>
      </c>
      <c r="M8188" t="s">
        <v>41518</v>
      </c>
      <c r="N8188" t="s">
        <v>42669</v>
      </c>
      <c r="O8188" t="s">
        <v>42670</v>
      </c>
      <c r="P8188">
        <v>0</v>
      </c>
      <c r="Q8188">
        <v>11</v>
      </c>
      <c r="R8188" t="s">
        <v>42678</v>
      </c>
      <c r="S8188" t="s">
        <v>42866</v>
      </c>
      <c r="T8188" t="s">
        <v>44355</v>
      </c>
      <c r="U8188" t="s">
        <v>51519</v>
      </c>
      <c r="W8188" t="s">
        <v>41518</v>
      </c>
      <c r="X8188" t="s">
        <v>42679</v>
      </c>
    </row>
    <row r="8189" spans="1:24">
      <c r="A8189">
        <f>HYPERLINK("https://www.philgeps.gov.ph/GEPSNONPILOT/Tender/SplashBidNoticeAbstractUI.aspx?menuIndex=3&amp;refID=7183624&amp;Result=3","7183624")</f>
        <v>0</v>
      </c>
      <c r="B8189" t="s">
        <v>702</v>
      </c>
      <c r="C8189" t="s">
        <v>11359</v>
      </c>
      <c r="D8189" t="s">
        <v>17221</v>
      </c>
      <c r="E8189" t="s">
        <v>24294</v>
      </c>
      <c r="F8189" t="s">
        <v>29372</v>
      </c>
      <c r="G8189" t="s">
        <v>29380</v>
      </c>
      <c r="H8189" t="s">
        <v>11048</v>
      </c>
      <c r="I8189" t="s">
        <v>29393</v>
      </c>
      <c r="J8189" t="s">
        <v>34814</v>
      </c>
      <c r="K8189" t="s">
        <v>38491</v>
      </c>
      <c r="M8189" t="s">
        <v>39480</v>
      </c>
      <c r="N8189" t="s">
        <v>42669</v>
      </c>
      <c r="O8189" t="s">
        <v>42670</v>
      </c>
      <c r="P8189">
        <v>0</v>
      </c>
      <c r="Q8189">
        <v>0</v>
      </c>
      <c r="R8189" t="s">
        <v>42678</v>
      </c>
      <c r="S8189" t="s">
        <v>42866</v>
      </c>
      <c r="T8189" t="s">
        <v>44481</v>
      </c>
      <c r="U8189" t="s">
        <v>51520</v>
      </c>
      <c r="V8189" t="s">
        <v>57265</v>
      </c>
      <c r="W8189" t="s">
        <v>39480</v>
      </c>
      <c r="X8189" t="s">
        <v>42679</v>
      </c>
    </row>
    <row r="8190" spans="1:24">
      <c r="A8190">
        <f>HYPERLINK("https://www.philgeps.gov.ph/GEPSNONPILOT/Tender/SplashBidNoticeAbstractUI.aspx?menuIndex=3&amp;refID=7183642&amp;Result=3","7183642")</f>
        <v>0</v>
      </c>
      <c r="B8190" t="s">
        <v>2556</v>
      </c>
      <c r="C8190" t="s">
        <v>11360</v>
      </c>
      <c r="D8190" t="s">
        <v>17172</v>
      </c>
      <c r="E8190" t="s">
        <v>24292</v>
      </c>
      <c r="F8190" t="s">
        <v>29372</v>
      </c>
      <c r="G8190" t="s">
        <v>29380</v>
      </c>
      <c r="H8190" t="s">
        <v>29389</v>
      </c>
      <c r="I8190" t="s">
        <v>10408</v>
      </c>
      <c r="J8190" t="s">
        <v>34815</v>
      </c>
      <c r="K8190" t="s">
        <v>38537</v>
      </c>
      <c r="M8190" t="s">
        <v>41520</v>
      </c>
      <c r="N8190" t="s">
        <v>42669</v>
      </c>
      <c r="O8190" t="s">
        <v>42670</v>
      </c>
      <c r="P8190">
        <v>0</v>
      </c>
      <c r="Q8190">
        <v>1</v>
      </c>
      <c r="R8190" t="s">
        <v>42678</v>
      </c>
      <c r="S8190" t="s">
        <v>42866</v>
      </c>
      <c r="T8190" t="s">
        <v>44488</v>
      </c>
      <c r="U8190" t="s">
        <v>51521</v>
      </c>
      <c r="W8190" t="s">
        <v>41520</v>
      </c>
      <c r="X8190" t="s">
        <v>42679</v>
      </c>
    </row>
    <row r="8191" spans="1:24">
      <c r="A8191">
        <f>HYPERLINK("https://www.philgeps.gov.ph/GEPSNONPILOT/Tender/SplashBidNoticeAbstractUI.aspx?menuIndex=3&amp;refID=7183680&amp;Result=3","7183680")</f>
        <v>0</v>
      </c>
      <c r="B8191" t="s">
        <v>1859</v>
      </c>
      <c r="C8191" t="s">
        <v>11361</v>
      </c>
      <c r="D8191" t="s">
        <v>17205</v>
      </c>
      <c r="E8191" t="s">
        <v>17533</v>
      </c>
      <c r="F8191" t="s">
        <v>29372</v>
      </c>
      <c r="G8191" t="s">
        <v>29380</v>
      </c>
      <c r="H8191" t="s">
        <v>11048</v>
      </c>
      <c r="I8191" t="s">
        <v>3952</v>
      </c>
      <c r="J8191" t="s">
        <v>34816</v>
      </c>
      <c r="K8191" t="s">
        <v>38488</v>
      </c>
      <c r="M8191" t="s">
        <v>40732</v>
      </c>
      <c r="N8191" t="s">
        <v>42669</v>
      </c>
      <c r="O8191" t="s">
        <v>42670</v>
      </c>
      <c r="P8191">
        <v>0</v>
      </c>
      <c r="Q8191">
        <v>0</v>
      </c>
      <c r="R8191" t="s">
        <v>42678</v>
      </c>
      <c r="S8191" t="s">
        <v>42866</v>
      </c>
      <c r="T8191" t="s">
        <v>44425</v>
      </c>
      <c r="U8191" t="s">
        <v>51522</v>
      </c>
      <c r="V8191" t="s">
        <v>57266</v>
      </c>
      <c r="W8191" t="s">
        <v>40732</v>
      </c>
      <c r="X8191" t="s">
        <v>42679</v>
      </c>
    </row>
    <row r="8192" spans="1:24">
      <c r="A8192">
        <f>HYPERLINK("https://www.philgeps.gov.ph/GEPSNONPILOT/Tender/SplashBidNoticeAbstractUI.aspx?menuIndex=3&amp;refID=7183639&amp;Result=3","7183639")</f>
        <v>0</v>
      </c>
      <c r="B8192" t="s">
        <v>702</v>
      </c>
      <c r="C8192" t="s">
        <v>11362</v>
      </c>
      <c r="D8192" t="s">
        <v>17221</v>
      </c>
      <c r="E8192" t="s">
        <v>24295</v>
      </c>
      <c r="F8192" t="s">
        <v>29372</v>
      </c>
      <c r="G8192" t="s">
        <v>29380</v>
      </c>
      <c r="H8192" t="s">
        <v>11048</v>
      </c>
      <c r="I8192" t="s">
        <v>29394</v>
      </c>
      <c r="J8192" t="s">
        <v>29694</v>
      </c>
      <c r="K8192" t="s">
        <v>38491</v>
      </c>
      <c r="M8192" t="s">
        <v>39480</v>
      </c>
      <c r="N8192" t="s">
        <v>42669</v>
      </c>
      <c r="O8192" t="s">
        <v>42670</v>
      </c>
      <c r="P8192">
        <v>0</v>
      </c>
      <c r="Q8192">
        <v>1</v>
      </c>
      <c r="R8192" t="s">
        <v>42678</v>
      </c>
      <c r="S8192" t="s">
        <v>42866</v>
      </c>
      <c r="T8192" t="s">
        <v>44481</v>
      </c>
      <c r="U8192" t="s">
        <v>51523</v>
      </c>
      <c r="V8192" t="s">
        <v>57267</v>
      </c>
      <c r="W8192" t="s">
        <v>39480</v>
      </c>
      <c r="X8192" t="s">
        <v>42679</v>
      </c>
    </row>
    <row r="8193" spans="1:24">
      <c r="A8193">
        <f>HYPERLINK("https://www.philgeps.gov.ph/GEPSNONPILOT/Tender/SplashBidNoticeAbstractUI.aspx?menuIndex=3&amp;refID=7183631&amp;Result=3","7183631")</f>
        <v>0</v>
      </c>
      <c r="B8193" t="s">
        <v>702</v>
      </c>
      <c r="C8193" t="s">
        <v>11363</v>
      </c>
      <c r="D8193" t="s">
        <v>17221</v>
      </c>
      <c r="E8193" t="s">
        <v>24296</v>
      </c>
      <c r="F8193" t="s">
        <v>29372</v>
      </c>
      <c r="G8193" t="s">
        <v>29380</v>
      </c>
      <c r="H8193" t="s">
        <v>11048</v>
      </c>
      <c r="I8193" t="s">
        <v>29394</v>
      </c>
      <c r="J8193" t="s">
        <v>29644</v>
      </c>
      <c r="K8193" t="s">
        <v>38491</v>
      </c>
      <c r="M8193" t="s">
        <v>39480</v>
      </c>
      <c r="N8193" t="s">
        <v>42669</v>
      </c>
      <c r="O8193" t="s">
        <v>42670</v>
      </c>
      <c r="P8193">
        <v>0</v>
      </c>
      <c r="Q8193">
        <v>0</v>
      </c>
      <c r="R8193" t="s">
        <v>42678</v>
      </c>
      <c r="S8193" t="s">
        <v>42866</v>
      </c>
      <c r="T8193" t="s">
        <v>44481</v>
      </c>
      <c r="U8193" t="s">
        <v>51524</v>
      </c>
      <c r="V8193" t="s">
        <v>57268</v>
      </c>
      <c r="W8193" t="s">
        <v>39480</v>
      </c>
      <c r="X8193" t="s">
        <v>42679</v>
      </c>
    </row>
    <row r="8194" spans="1:24">
      <c r="A8194">
        <f>HYPERLINK("https://www.philgeps.gov.ph/GEPSNONPILOT/Tender/SplashBidNoticeAbstractUI.aspx?menuIndex=3&amp;refID=7183689&amp;Result=3","7183689")</f>
        <v>0</v>
      </c>
      <c r="B8194" t="s">
        <v>2545</v>
      </c>
      <c r="C8194" t="s">
        <v>11364</v>
      </c>
      <c r="D8194" t="s">
        <v>17143</v>
      </c>
      <c r="E8194" t="s">
        <v>24297</v>
      </c>
      <c r="F8194" t="s">
        <v>29372</v>
      </c>
      <c r="G8194" t="s">
        <v>29380</v>
      </c>
      <c r="H8194" t="s">
        <v>29389</v>
      </c>
      <c r="I8194" t="s">
        <v>10408</v>
      </c>
      <c r="J8194" t="s">
        <v>31110</v>
      </c>
      <c r="K8194" t="s">
        <v>38487</v>
      </c>
      <c r="M8194" t="s">
        <v>41508</v>
      </c>
      <c r="N8194" t="s">
        <v>42669</v>
      </c>
      <c r="O8194" t="s">
        <v>42670</v>
      </c>
      <c r="P8194">
        <v>0</v>
      </c>
      <c r="Q8194">
        <v>0</v>
      </c>
      <c r="R8194" t="s">
        <v>42678</v>
      </c>
      <c r="S8194" t="s">
        <v>42866</v>
      </c>
      <c r="T8194" t="s">
        <v>44452</v>
      </c>
      <c r="U8194" t="s">
        <v>51525</v>
      </c>
      <c r="W8194" t="s">
        <v>41508</v>
      </c>
      <c r="X8194" t="s">
        <v>42679</v>
      </c>
    </row>
    <row r="8195" spans="1:24">
      <c r="A8195">
        <f>HYPERLINK("https://www.philgeps.gov.ph/GEPSNONPILOT/Tender/SplashBidNoticeAbstractUI.aspx?menuIndex=3&amp;refID=7183572&amp;Result=3","7183572")</f>
        <v>0</v>
      </c>
      <c r="B8195" t="s">
        <v>2544</v>
      </c>
      <c r="C8195" t="s">
        <v>11365</v>
      </c>
      <c r="D8195" t="s">
        <v>17141</v>
      </c>
      <c r="E8195" t="s">
        <v>24298</v>
      </c>
      <c r="F8195" t="s">
        <v>29372</v>
      </c>
      <c r="G8195" t="s">
        <v>29380</v>
      </c>
      <c r="H8195" t="s">
        <v>11048</v>
      </c>
      <c r="I8195" t="s">
        <v>3670</v>
      </c>
      <c r="J8195" t="s">
        <v>29526</v>
      </c>
      <c r="K8195" t="s">
        <v>38496</v>
      </c>
      <c r="M8195" t="s">
        <v>41506</v>
      </c>
      <c r="N8195" t="s">
        <v>42669</v>
      </c>
      <c r="O8195" t="s">
        <v>42670</v>
      </c>
      <c r="P8195">
        <v>0</v>
      </c>
      <c r="Q8195">
        <v>0</v>
      </c>
      <c r="R8195" t="s">
        <v>42678</v>
      </c>
      <c r="S8195" t="s">
        <v>42866</v>
      </c>
      <c r="T8195" t="s">
        <v>44427</v>
      </c>
      <c r="U8195" t="s">
        <v>51526</v>
      </c>
      <c r="W8195" t="s">
        <v>41506</v>
      </c>
      <c r="X8195" t="s">
        <v>42679</v>
      </c>
    </row>
    <row r="8196" spans="1:24">
      <c r="A8196">
        <f>HYPERLINK("https://www.philgeps.gov.ph/GEPSNONPILOT/Tender/SplashBidNoticeAbstractUI.aspx?menuIndex=3&amp;refID=7183683&amp;Result=3","7183683")</f>
        <v>0</v>
      </c>
      <c r="B8196" t="s">
        <v>2545</v>
      </c>
      <c r="C8196" t="s">
        <v>11366</v>
      </c>
      <c r="D8196" t="s">
        <v>17143</v>
      </c>
      <c r="E8196" t="s">
        <v>24299</v>
      </c>
      <c r="F8196" t="s">
        <v>29372</v>
      </c>
      <c r="G8196" t="s">
        <v>29380</v>
      </c>
      <c r="H8196" t="s">
        <v>11048</v>
      </c>
      <c r="I8196" t="s">
        <v>3629</v>
      </c>
      <c r="J8196" t="s">
        <v>34817</v>
      </c>
      <c r="K8196" t="s">
        <v>38488</v>
      </c>
      <c r="M8196" t="s">
        <v>41508</v>
      </c>
      <c r="N8196" t="s">
        <v>42669</v>
      </c>
      <c r="O8196" t="s">
        <v>42670</v>
      </c>
      <c r="P8196">
        <v>0</v>
      </c>
      <c r="Q8196">
        <v>2</v>
      </c>
      <c r="R8196" t="s">
        <v>42678</v>
      </c>
      <c r="S8196" t="s">
        <v>42866</v>
      </c>
      <c r="T8196" t="s">
        <v>44452</v>
      </c>
      <c r="U8196" t="s">
        <v>51527</v>
      </c>
      <c r="W8196" t="s">
        <v>41508</v>
      </c>
      <c r="X8196" t="s">
        <v>42679</v>
      </c>
    </row>
    <row r="8197" spans="1:24">
      <c r="A8197">
        <f>HYPERLINK("https://www.philgeps.gov.ph/GEPSNONPILOT/Tender/SplashBidNoticeAbstractUI.aspx?menuIndex=3&amp;refID=7183682&amp;Result=3","7183682")</f>
        <v>0</v>
      </c>
      <c r="B8197" t="s">
        <v>231</v>
      </c>
      <c r="C8197" t="s">
        <v>11367</v>
      </c>
      <c r="E8197" t="s">
        <v>24300</v>
      </c>
      <c r="F8197" t="s">
        <v>29372</v>
      </c>
      <c r="G8197" t="s">
        <v>29380</v>
      </c>
      <c r="H8197" t="s">
        <v>11048</v>
      </c>
      <c r="I8197" t="s">
        <v>3695</v>
      </c>
      <c r="J8197" t="s">
        <v>34818</v>
      </c>
      <c r="K8197" t="s">
        <v>38490</v>
      </c>
      <c r="M8197" t="s">
        <v>39927</v>
      </c>
      <c r="N8197" t="s">
        <v>42669</v>
      </c>
      <c r="O8197" t="s">
        <v>42670</v>
      </c>
      <c r="P8197">
        <v>0</v>
      </c>
      <c r="Q8197">
        <v>7</v>
      </c>
      <c r="R8197" t="s">
        <v>42678</v>
      </c>
      <c r="S8197" t="s">
        <v>42866</v>
      </c>
      <c r="T8197" t="s">
        <v>44573</v>
      </c>
      <c r="U8197" t="s">
        <v>51528</v>
      </c>
      <c r="W8197" t="s">
        <v>39927</v>
      </c>
      <c r="X8197" t="s">
        <v>42679</v>
      </c>
    </row>
    <row r="8198" spans="1:24">
      <c r="A8198">
        <f>HYPERLINK("https://www.philgeps.gov.ph/GEPSNONPILOT/Tender/SplashBidNoticeAbstractUI.aspx?menuIndex=3&amp;refID=7183677&amp;Result=3","7183677")</f>
        <v>0</v>
      </c>
      <c r="B8198" t="s">
        <v>702</v>
      </c>
      <c r="C8198" t="s">
        <v>11368</v>
      </c>
      <c r="D8198" t="s">
        <v>17221</v>
      </c>
      <c r="E8198" t="s">
        <v>24301</v>
      </c>
      <c r="F8198" t="s">
        <v>29372</v>
      </c>
      <c r="G8198" t="s">
        <v>29380</v>
      </c>
      <c r="H8198" t="s">
        <v>11048</v>
      </c>
      <c r="I8198" t="s">
        <v>3629</v>
      </c>
      <c r="J8198" t="s">
        <v>34819</v>
      </c>
      <c r="K8198" t="s">
        <v>38491</v>
      </c>
      <c r="M8198" t="s">
        <v>39480</v>
      </c>
      <c r="N8198" t="s">
        <v>42669</v>
      </c>
      <c r="O8198" t="s">
        <v>42670</v>
      </c>
      <c r="P8198">
        <v>0</v>
      </c>
      <c r="Q8198">
        <v>0</v>
      </c>
      <c r="R8198" t="s">
        <v>42678</v>
      </c>
      <c r="S8198" t="s">
        <v>42866</v>
      </c>
      <c r="T8198" t="s">
        <v>44481</v>
      </c>
      <c r="U8198" t="s">
        <v>51529</v>
      </c>
      <c r="V8198" t="s">
        <v>57269</v>
      </c>
      <c r="W8198" t="s">
        <v>39480</v>
      </c>
      <c r="X8198" t="s">
        <v>42679</v>
      </c>
    </row>
    <row r="8199" spans="1:24">
      <c r="A8199">
        <f>HYPERLINK("https://www.philgeps.gov.ph/GEPSNONPILOT/Tender/SplashBidNoticeAbstractUI.aspx?menuIndex=3&amp;refID=7183675&amp;Result=3","7183675")</f>
        <v>0</v>
      </c>
      <c r="B8199" t="s">
        <v>702</v>
      </c>
      <c r="C8199" t="s">
        <v>11369</v>
      </c>
      <c r="D8199" t="s">
        <v>17221</v>
      </c>
      <c r="E8199" t="s">
        <v>24302</v>
      </c>
      <c r="F8199" t="s">
        <v>29372</v>
      </c>
      <c r="G8199" t="s">
        <v>29380</v>
      </c>
      <c r="H8199" t="s">
        <v>11048</v>
      </c>
      <c r="I8199" t="s">
        <v>3629</v>
      </c>
      <c r="J8199" t="s">
        <v>34820</v>
      </c>
      <c r="K8199" t="s">
        <v>38491</v>
      </c>
      <c r="M8199" t="s">
        <v>39480</v>
      </c>
      <c r="N8199" t="s">
        <v>42669</v>
      </c>
      <c r="O8199" t="s">
        <v>42670</v>
      </c>
      <c r="P8199">
        <v>0</v>
      </c>
      <c r="Q8199">
        <v>0</v>
      </c>
      <c r="R8199" t="s">
        <v>42678</v>
      </c>
      <c r="S8199" t="s">
        <v>42866</v>
      </c>
      <c r="T8199" t="s">
        <v>44481</v>
      </c>
      <c r="U8199" t="s">
        <v>51530</v>
      </c>
      <c r="V8199" t="s">
        <v>57270</v>
      </c>
      <c r="W8199" t="s">
        <v>39480</v>
      </c>
      <c r="X8199" t="s">
        <v>42679</v>
      </c>
    </row>
    <row r="8200" spans="1:24">
      <c r="A8200">
        <f>HYPERLINK("https://www.philgeps.gov.ph/GEPSNONPILOT/Tender/SplashBidNoticeAbstractUI.aspx?menuIndex=3&amp;refID=7183674&amp;Result=3","7183674")</f>
        <v>0</v>
      </c>
      <c r="B8200" t="s">
        <v>2545</v>
      </c>
      <c r="C8200" t="s">
        <v>11370</v>
      </c>
      <c r="D8200" t="s">
        <v>17143</v>
      </c>
      <c r="E8200" t="s">
        <v>19618</v>
      </c>
      <c r="F8200" t="s">
        <v>29372</v>
      </c>
      <c r="G8200" t="s">
        <v>29380</v>
      </c>
      <c r="H8200" t="s">
        <v>29389</v>
      </c>
      <c r="I8200" t="s">
        <v>10408</v>
      </c>
      <c r="J8200" t="s">
        <v>30815</v>
      </c>
      <c r="K8200" t="s">
        <v>38495</v>
      </c>
      <c r="M8200" t="s">
        <v>41508</v>
      </c>
      <c r="N8200" t="s">
        <v>42669</v>
      </c>
      <c r="O8200" t="s">
        <v>42670</v>
      </c>
      <c r="P8200">
        <v>0</v>
      </c>
      <c r="Q8200">
        <v>0</v>
      </c>
      <c r="R8200" t="s">
        <v>42678</v>
      </c>
      <c r="S8200" t="s">
        <v>42866</v>
      </c>
      <c r="T8200" t="s">
        <v>44452</v>
      </c>
      <c r="U8200" t="s">
        <v>51512</v>
      </c>
      <c r="W8200" t="s">
        <v>41508</v>
      </c>
      <c r="X8200" t="s">
        <v>42679</v>
      </c>
    </row>
    <row r="8201" spans="1:24">
      <c r="A8201">
        <f>HYPERLINK("https://www.philgeps.gov.ph/GEPSNONPILOT/Tender/SplashBidNoticeAbstractUI.aspx?menuIndex=3&amp;refID=7183685&amp;Result=3","7183685")</f>
        <v>0</v>
      </c>
      <c r="B8201" t="s">
        <v>2557</v>
      </c>
      <c r="C8201" t="s">
        <v>11371</v>
      </c>
      <c r="E8201" t="s">
        <v>24303</v>
      </c>
      <c r="F8201" t="s">
        <v>29372</v>
      </c>
      <c r="G8201" t="s">
        <v>29380</v>
      </c>
      <c r="H8201" t="s">
        <v>11048</v>
      </c>
      <c r="I8201" t="s">
        <v>4709</v>
      </c>
      <c r="J8201" t="s">
        <v>34821</v>
      </c>
      <c r="K8201" t="s">
        <v>38490</v>
      </c>
      <c r="M8201" t="s">
        <v>41521</v>
      </c>
      <c r="N8201" t="s">
        <v>42669</v>
      </c>
      <c r="O8201" t="s">
        <v>42670</v>
      </c>
      <c r="P8201">
        <v>0</v>
      </c>
      <c r="Q8201">
        <v>1</v>
      </c>
      <c r="R8201" t="s">
        <v>42678</v>
      </c>
      <c r="S8201" t="s">
        <v>42866</v>
      </c>
      <c r="T8201" t="s">
        <v>44491</v>
      </c>
      <c r="U8201" t="s">
        <v>51531</v>
      </c>
      <c r="W8201" t="s">
        <v>41521</v>
      </c>
      <c r="X8201" t="s">
        <v>42679</v>
      </c>
    </row>
    <row r="8202" spans="1:24">
      <c r="A8202">
        <f>HYPERLINK("https://www.philgeps.gov.ph/GEPSNONPILOT/Tender/SplashBidNoticeAbstractUI.aspx?menuIndex=3&amp;refID=7183673&amp;Result=3","7183673")</f>
        <v>0</v>
      </c>
      <c r="B8202" t="s">
        <v>702</v>
      </c>
      <c r="C8202" t="s">
        <v>11372</v>
      </c>
      <c r="D8202" t="s">
        <v>17221</v>
      </c>
      <c r="E8202" t="s">
        <v>24304</v>
      </c>
      <c r="F8202" t="s">
        <v>29372</v>
      </c>
      <c r="G8202" t="s">
        <v>29380</v>
      </c>
      <c r="H8202" t="s">
        <v>11048</v>
      </c>
      <c r="I8202" t="s">
        <v>29444</v>
      </c>
      <c r="J8202" t="s">
        <v>34822</v>
      </c>
      <c r="K8202" t="s">
        <v>38491</v>
      </c>
      <c r="M8202" t="s">
        <v>39480</v>
      </c>
      <c r="N8202" t="s">
        <v>42669</v>
      </c>
      <c r="O8202" t="s">
        <v>42670</v>
      </c>
      <c r="P8202">
        <v>0</v>
      </c>
      <c r="Q8202">
        <v>1</v>
      </c>
      <c r="R8202" t="s">
        <v>42678</v>
      </c>
      <c r="S8202" t="s">
        <v>42866</v>
      </c>
      <c r="T8202" t="s">
        <v>44481</v>
      </c>
      <c r="U8202" t="s">
        <v>51532</v>
      </c>
      <c r="V8202" t="s">
        <v>57271</v>
      </c>
      <c r="W8202" t="s">
        <v>39480</v>
      </c>
      <c r="X8202" t="s">
        <v>42679</v>
      </c>
    </row>
    <row r="8203" spans="1:24">
      <c r="A8203">
        <f>HYPERLINK("https://www.philgeps.gov.ph/GEPSNONPILOT/Tender/SplashBidNoticeAbstractUI.aspx?menuIndex=3&amp;refID=7183681&amp;Result=3","7183681")</f>
        <v>0</v>
      </c>
      <c r="B8203" t="s">
        <v>2418</v>
      </c>
      <c r="C8203" t="s">
        <v>11373</v>
      </c>
      <c r="D8203" t="s">
        <v>17172</v>
      </c>
      <c r="E8203" t="s">
        <v>24305</v>
      </c>
      <c r="F8203" t="s">
        <v>29373</v>
      </c>
      <c r="G8203" t="s">
        <v>29380</v>
      </c>
      <c r="H8203" t="s">
        <v>29389</v>
      </c>
      <c r="I8203" t="s">
        <v>10408</v>
      </c>
      <c r="J8203" t="s">
        <v>29777</v>
      </c>
      <c r="K8203" t="s">
        <v>38495</v>
      </c>
      <c r="L8203" t="s">
        <v>2418</v>
      </c>
      <c r="M8203" t="s">
        <v>41365</v>
      </c>
      <c r="N8203" t="s">
        <v>42669</v>
      </c>
      <c r="O8203" t="s">
        <v>42670</v>
      </c>
      <c r="P8203">
        <v>0</v>
      </c>
      <c r="Q8203">
        <v>0</v>
      </c>
      <c r="R8203" t="s">
        <v>42678</v>
      </c>
      <c r="S8203" t="s">
        <v>42866</v>
      </c>
      <c r="T8203" t="s">
        <v>44407</v>
      </c>
      <c r="U8203" t="s">
        <v>51533</v>
      </c>
      <c r="V8203" t="s">
        <v>51012</v>
      </c>
      <c r="W8203" t="s">
        <v>41365</v>
      </c>
      <c r="X8203" t="s">
        <v>42679</v>
      </c>
    </row>
    <row r="8204" spans="1:24">
      <c r="A8204">
        <f>HYPERLINK("https://www.philgeps.gov.ph/GEPSNONPILOT/Tender/SplashBidNoticeAbstractUI.aspx?menuIndex=3&amp;refID=7183692&amp;Result=3","7183692")</f>
        <v>0</v>
      </c>
      <c r="B8204" t="s">
        <v>2558</v>
      </c>
      <c r="C8204" t="s">
        <v>11374</v>
      </c>
      <c r="D8204" t="s">
        <v>17165</v>
      </c>
      <c r="E8204" t="s">
        <v>17533</v>
      </c>
      <c r="F8204" t="s">
        <v>29372</v>
      </c>
      <c r="G8204" t="s">
        <v>29380</v>
      </c>
      <c r="H8204" t="s">
        <v>11048</v>
      </c>
      <c r="I8204" t="s">
        <v>14920</v>
      </c>
      <c r="J8204" t="s">
        <v>32345</v>
      </c>
      <c r="K8204" t="s">
        <v>38488</v>
      </c>
      <c r="M8204" t="s">
        <v>41522</v>
      </c>
      <c r="N8204" t="s">
        <v>42669</v>
      </c>
      <c r="O8204" t="s">
        <v>42670</v>
      </c>
      <c r="P8204">
        <v>0</v>
      </c>
      <c r="Q8204">
        <v>0</v>
      </c>
      <c r="R8204" t="s">
        <v>42678</v>
      </c>
      <c r="S8204" t="s">
        <v>42866</v>
      </c>
      <c r="T8204" t="s">
        <v>44493</v>
      </c>
      <c r="U8204" t="s">
        <v>51534</v>
      </c>
      <c r="W8204" t="s">
        <v>41522</v>
      </c>
      <c r="X8204" t="s">
        <v>42679</v>
      </c>
    </row>
    <row r="8205" spans="1:24">
      <c r="A8205">
        <f>HYPERLINK("https://www.philgeps.gov.ph/GEPSNONPILOT/Tender/SplashBidNoticeAbstractUI.aspx?menuIndex=3&amp;refID=7183665&amp;Result=3","7183665")</f>
        <v>0</v>
      </c>
      <c r="B8205" t="s">
        <v>2418</v>
      </c>
      <c r="C8205" t="s">
        <v>11375</v>
      </c>
      <c r="D8205" t="s">
        <v>17172</v>
      </c>
      <c r="E8205" t="s">
        <v>24306</v>
      </c>
      <c r="F8205" t="s">
        <v>29373</v>
      </c>
      <c r="G8205" t="s">
        <v>29380</v>
      </c>
      <c r="H8205" t="s">
        <v>29389</v>
      </c>
      <c r="I8205" t="s">
        <v>10408</v>
      </c>
      <c r="J8205" t="s">
        <v>29777</v>
      </c>
      <c r="K8205" t="s">
        <v>38495</v>
      </c>
      <c r="L8205" t="s">
        <v>2418</v>
      </c>
      <c r="M8205" t="s">
        <v>41365</v>
      </c>
      <c r="N8205" t="s">
        <v>42669</v>
      </c>
      <c r="O8205" t="s">
        <v>42670</v>
      </c>
      <c r="P8205">
        <v>0</v>
      </c>
      <c r="Q8205">
        <v>0</v>
      </c>
      <c r="R8205" t="s">
        <v>42678</v>
      </c>
      <c r="S8205" t="s">
        <v>42866</v>
      </c>
      <c r="T8205" t="s">
        <v>44407</v>
      </c>
      <c r="U8205" t="s">
        <v>51533</v>
      </c>
      <c r="V8205" t="s">
        <v>51533</v>
      </c>
      <c r="W8205" t="s">
        <v>41365</v>
      </c>
      <c r="X8205" t="s">
        <v>42679</v>
      </c>
    </row>
    <row r="8206" spans="1:24">
      <c r="A8206">
        <f>HYPERLINK("https://www.philgeps.gov.ph/GEPSNONPILOT/Tender/SplashBidNoticeAbstractUI.aspx?menuIndex=3&amp;refID=7183671&amp;Result=3","7183671")</f>
        <v>0</v>
      </c>
      <c r="B8206" t="s">
        <v>513</v>
      </c>
      <c r="C8206" t="s">
        <v>11376</v>
      </c>
      <c r="D8206" t="s">
        <v>17191</v>
      </c>
      <c r="E8206" t="s">
        <v>24307</v>
      </c>
      <c r="F8206" t="s">
        <v>29372</v>
      </c>
      <c r="G8206" t="s">
        <v>29380</v>
      </c>
      <c r="H8206" t="s">
        <v>29389</v>
      </c>
      <c r="I8206" t="s">
        <v>10408</v>
      </c>
      <c r="J8206" t="s">
        <v>34823</v>
      </c>
      <c r="K8206" t="s">
        <v>38601</v>
      </c>
      <c r="L8206" t="s">
        <v>513</v>
      </c>
      <c r="M8206" t="s">
        <v>39280</v>
      </c>
      <c r="N8206" t="s">
        <v>42669</v>
      </c>
      <c r="O8206" t="s">
        <v>42670</v>
      </c>
      <c r="P8206">
        <v>0</v>
      </c>
      <c r="Q8206">
        <v>1</v>
      </c>
      <c r="R8206" t="s">
        <v>42678</v>
      </c>
      <c r="S8206" t="s">
        <v>42866</v>
      </c>
      <c r="T8206" t="s">
        <v>44365</v>
      </c>
      <c r="U8206" t="s">
        <v>51535</v>
      </c>
      <c r="W8206" t="s">
        <v>39280</v>
      </c>
      <c r="X8206" t="s">
        <v>42679</v>
      </c>
    </row>
    <row r="8207" spans="1:24">
      <c r="A8207">
        <f>HYPERLINK("https://www.philgeps.gov.ph/GEPSNONPILOT/Tender/SplashBidNoticeAbstractUI.aspx?menuIndex=3&amp;refID=7183662&amp;Result=3","7183662")</f>
        <v>0</v>
      </c>
      <c r="B8207" t="s">
        <v>2552</v>
      </c>
      <c r="C8207" t="s">
        <v>11377</v>
      </c>
      <c r="D8207" t="s">
        <v>17210</v>
      </c>
      <c r="E8207" t="s">
        <v>24308</v>
      </c>
      <c r="F8207" t="s">
        <v>29372</v>
      </c>
      <c r="G8207" t="s">
        <v>29380</v>
      </c>
      <c r="H8207" t="s">
        <v>11048</v>
      </c>
      <c r="I8207" t="s">
        <v>29466</v>
      </c>
      <c r="J8207" t="s">
        <v>29590</v>
      </c>
      <c r="K8207" t="s">
        <v>38485</v>
      </c>
      <c r="M8207" t="s">
        <v>41515</v>
      </c>
      <c r="N8207" t="s">
        <v>42669</v>
      </c>
      <c r="O8207" t="s">
        <v>42670</v>
      </c>
      <c r="P8207">
        <v>0</v>
      </c>
      <c r="Q8207">
        <v>3</v>
      </c>
      <c r="R8207" t="s">
        <v>42678</v>
      </c>
      <c r="S8207" t="s">
        <v>42866</v>
      </c>
      <c r="T8207" t="s">
        <v>44443</v>
      </c>
      <c r="U8207" t="s">
        <v>51536</v>
      </c>
      <c r="W8207" t="s">
        <v>41515</v>
      </c>
      <c r="X8207" t="s">
        <v>42679</v>
      </c>
    </row>
    <row r="8208" spans="1:24">
      <c r="A8208">
        <f>HYPERLINK("https://www.philgeps.gov.ph/GEPSNONPILOT/Tender/SplashBidNoticeAbstractUI.aspx?menuIndex=3&amp;refID=7183646&amp;Result=3","7183646")</f>
        <v>0</v>
      </c>
      <c r="B8208" t="s">
        <v>2559</v>
      </c>
      <c r="C8208" t="s">
        <v>11378</v>
      </c>
      <c r="D8208" t="s">
        <v>17141</v>
      </c>
      <c r="E8208" t="s">
        <v>24309</v>
      </c>
      <c r="F8208" t="s">
        <v>29372</v>
      </c>
      <c r="G8208" t="s">
        <v>29379</v>
      </c>
      <c r="H8208" t="s">
        <v>11048</v>
      </c>
      <c r="I8208" t="s">
        <v>4487</v>
      </c>
      <c r="J8208" t="s">
        <v>29721</v>
      </c>
      <c r="K8208" t="s">
        <v>38485</v>
      </c>
      <c r="M8208" t="s">
        <v>41523</v>
      </c>
      <c r="N8208" t="s">
        <v>42669</v>
      </c>
      <c r="O8208" t="s">
        <v>42670</v>
      </c>
      <c r="P8208">
        <v>0</v>
      </c>
      <c r="Q8208">
        <v>12</v>
      </c>
      <c r="R8208" t="s">
        <v>42678</v>
      </c>
      <c r="S8208" t="s">
        <v>42866</v>
      </c>
      <c r="T8208" t="s">
        <v>44488</v>
      </c>
      <c r="U8208" t="s">
        <v>51537</v>
      </c>
      <c r="W8208" t="s">
        <v>41523</v>
      </c>
      <c r="X8208" t="s">
        <v>42679</v>
      </c>
    </row>
    <row r="8209" spans="1:24">
      <c r="A8209">
        <f>HYPERLINK("https://www.philgeps.gov.ph/GEPSNONPILOT/Tender/SplashBidNoticeAbstractUI.aspx?menuIndex=3&amp;refID=7183660&amp;Result=3","7183660")</f>
        <v>0</v>
      </c>
      <c r="B8209" t="s">
        <v>513</v>
      </c>
      <c r="C8209" t="s">
        <v>11379</v>
      </c>
      <c r="D8209" t="s">
        <v>17191</v>
      </c>
      <c r="E8209" t="s">
        <v>24310</v>
      </c>
      <c r="F8209" t="s">
        <v>29372</v>
      </c>
      <c r="G8209" t="s">
        <v>29380</v>
      </c>
      <c r="H8209" t="s">
        <v>11048</v>
      </c>
      <c r="I8209" t="s">
        <v>8614</v>
      </c>
      <c r="J8209" t="s">
        <v>29615</v>
      </c>
      <c r="K8209" t="s">
        <v>38485</v>
      </c>
      <c r="L8209" t="s">
        <v>513</v>
      </c>
      <c r="M8209" t="s">
        <v>39280</v>
      </c>
      <c r="N8209" t="s">
        <v>42669</v>
      </c>
      <c r="O8209" t="s">
        <v>42670</v>
      </c>
      <c r="Q8209">
        <v>7</v>
      </c>
      <c r="R8209" t="s">
        <v>42678</v>
      </c>
      <c r="S8209" t="s">
        <v>42921</v>
      </c>
      <c r="T8209" t="s">
        <v>44446</v>
      </c>
      <c r="U8209" t="s">
        <v>51538</v>
      </c>
      <c r="W8209" t="s">
        <v>39280</v>
      </c>
      <c r="X8209" t="s">
        <v>42679</v>
      </c>
    </row>
    <row r="8210" spans="1:24">
      <c r="A8210">
        <f>HYPERLINK("https://www.philgeps.gov.ph/GEPSNONPILOT/Tender/SplashBidNoticeAbstractUI.aspx?menuIndex=3&amp;refID=7183569&amp;Result=3","7183569")</f>
        <v>0</v>
      </c>
      <c r="B8210" t="s">
        <v>2544</v>
      </c>
      <c r="C8210" t="s">
        <v>11380</v>
      </c>
      <c r="D8210" t="s">
        <v>17141</v>
      </c>
      <c r="E8210" t="s">
        <v>24311</v>
      </c>
      <c r="F8210" t="s">
        <v>29372</v>
      </c>
      <c r="G8210" t="s">
        <v>29380</v>
      </c>
      <c r="H8210" t="s">
        <v>11048</v>
      </c>
      <c r="I8210" t="s">
        <v>3670</v>
      </c>
      <c r="J8210" t="s">
        <v>29555</v>
      </c>
      <c r="K8210" t="s">
        <v>38496</v>
      </c>
      <c r="M8210" t="s">
        <v>41506</v>
      </c>
      <c r="N8210" t="s">
        <v>42669</v>
      </c>
      <c r="O8210" t="s">
        <v>42670</v>
      </c>
      <c r="P8210">
        <v>0</v>
      </c>
      <c r="Q8210">
        <v>0</v>
      </c>
      <c r="R8210" t="s">
        <v>42678</v>
      </c>
      <c r="S8210" t="s">
        <v>42866</v>
      </c>
      <c r="T8210" t="s">
        <v>44427</v>
      </c>
      <c r="U8210" t="s">
        <v>51539</v>
      </c>
      <c r="W8210" t="s">
        <v>41506</v>
      </c>
      <c r="X8210" t="s">
        <v>42679</v>
      </c>
    </row>
    <row r="8211" spans="1:24">
      <c r="A8211">
        <f>HYPERLINK("https://www.philgeps.gov.ph/GEPSNONPILOT/Tender/SplashBidNoticeAbstractUI.aspx?menuIndex=3&amp;refID=7183620&amp;Result=3","7183620")</f>
        <v>0</v>
      </c>
      <c r="B8211" t="s">
        <v>2554</v>
      </c>
      <c r="C8211" t="s">
        <v>11381</v>
      </c>
      <c r="D8211" t="s">
        <v>17160</v>
      </c>
      <c r="E8211" t="s">
        <v>24312</v>
      </c>
      <c r="F8211" t="s">
        <v>29372</v>
      </c>
      <c r="G8211" t="s">
        <v>29380</v>
      </c>
      <c r="H8211" t="s">
        <v>11048</v>
      </c>
      <c r="I8211" t="s">
        <v>29436</v>
      </c>
      <c r="J8211" t="s">
        <v>30056</v>
      </c>
      <c r="K8211" t="s">
        <v>38496</v>
      </c>
      <c r="M8211" t="s">
        <v>41518</v>
      </c>
      <c r="N8211" t="s">
        <v>42669</v>
      </c>
      <c r="O8211" t="s">
        <v>42670</v>
      </c>
      <c r="P8211">
        <v>0</v>
      </c>
      <c r="Q8211">
        <v>18</v>
      </c>
      <c r="R8211" t="s">
        <v>42678</v>
      </c>
      <c r="S8211" t="s">
        <v>42866</v>
      </c>
      <c r="T8211" t="s">
        <v>44355</v>
      </c>
      <c r="U8211" t="s">
        <v>51540</v>
      </c>
      <c r="W8211" t="s">
        <v>41518</v>
      </c>
      <c r="X8211" t="s">
        <v>42679</v>
      </c>
    </row>
    <row r="8212" spans="1:24">
      <c r="A8212">
        <f>HYPERLINK("https://www.philgeps.gov.ph/GEPSNONPILOT/Tender/SplashBidNoticeAbstractUI.aspx?menuIndex=3&amp;refID=7183664&amp;Result=3","7183664")</f>
        <v>0</v>
      </c>
      <c r="B8212" t="s">
        <v>2541</v>
      </c>
      <c r="C8212" t="s">
        <v>11382</v>
      </c>
      <c r="E8212" t="s">
        <v>24313</v>
      </c>
      <c r="F8212" t="s">
        <v>29372</v>
      </c>
      <c r="G8212" t="s">
        <v>29380</v>
      </c>
      <c r="H8212" t="s">
        <v>11048</v>
      </c>
      <c r="I8212" t="s">
        <v>29397</v>
      </c>
      <c r="J8212" t="s">
        <v>34824</v>
      </c>
      <c r="K8212" t="s">
        <v>38485</v>
      </c>
      <c r="M8212" t="s">
        <v>41503</v>
      </c>
      <c r="N8212" t="s">
        <v>42669</v>
      </c>
      <c r="O8212" t="s">
        <v>42670</v>
      </c>
      <c r="Q8212">
        <v>13</v>
      </c>
      <c r="R8212" t="s">
        <v>42678</v>
      </c>
      <c r="S8212" t="s">
        <v>42922</v>
      </c>
      <c r="T8212" t="s">
        <v>44627</v>
      </c>
      <c r="U8212" t="s">
        <v>51541</v>
      </c>
      <c r="W8212" t="s">
        <v>58088</v>
      </c>
      <c r="X8212" t="s">
        <v>42679</v>
      </c>
    </row>
    <row r="8213" spans="1:24">
      <c r="A8213">
        <f>HYPERLINK("https://www.philgeps.gov.ph/GEPSNONPILOT/Tender/SplashBidNoticeAbstractUI.aspx?menuIndex=3&amp;refID=7183614&amp;Result=3","7183614")</f>
        <v>0</v>
      </c>
      <c r="B8213" t="s">
        <v>2151</v>
      </c>
      <c r="C8213" t="s">
        <v>11383</v>
      </c>
      <c r="E8213" t="s">
        <v>11383</v>
      </c>
      <c r="F8213" t="s">
        <v>29372</v>
      </c>
      <c r="G8213" t="s">
        <v>29379</v>
      </c>
      <c r="H8213" t="s">
        <v>11048</v>
      </c>
      <c r="I8213" t="s">
        <v>5383</v>
      </c>
      <c r="J8213" t="s">
        <v>31535</v>
      </c>
      <c r="K8213" t="s">
        <v>38490</v>
      </c>
      <c r="M8213" t="s">
        <v>41059</v>
      </c>
      <c r="N8213" t="s">
        <v>42669</v>
      </c>
      <c r="O8213" t="s">
        <v>42670</v>
      </c>
      <c r="P8213">
        <v>0</v>
      </c>
      <c r="Q8213">
        <v>6</v>
      </c>
      <c r="R8213" t="s">
        <v>42678</v>
      </c>
      <c r="S8213" t="s">
        <v>42866</v>
      </c>
      <c r="T8213" t="s">
        <v>44488</v>
      </c>
      <c r="U8213" t="s">
        <v>51492</v>
      </c>
      <c r="W8213" t="s">
        <v>41059</v>
      </c>
      <c r="X8213" t="s">
        <v>42679</v>
      </c>
    </row>
    <row r="8214" spans="1:24">
      <c r="A8214">
        <f>HYPERLINK("https://www.philgeps.gov.ph/GEPSNONPILOT/Tender/SplashBidNoticeAbstractUI.aspx?menuIndex=3&amp;refID=7183623&amp;Result=3","7183623")</f>
        <v>0</v>
      </c>
      <c r="B8214" t="s">
        <v>2545</v>
      </c>
      <c r="C8214" t="s">
        <v>11384</v>
      </c>
      <c r="D8214" t="s">
        <v>17143</v>
      </c>
      <c r="E8214" t="s">
        <v>23694</v>
      </c>
      <c r="F8214" t="s">
        <v>29372</v>
      </c>
      <c r="G8214" t="s">
        <v>29380</v>
      </c>
      <c r="H8214" t="s">
        <v>29389</v>
      </c>
      <c r="I8214" t="s">
        <v>10408</v>
      </c>
      <c r="J8214" t="s">
        <v>29543</v>
      </c>
      <c r="K8214" t="s">
        <v>38485</v>
      </c>
      <c r="M8214" t="s">
        <v>41508</v>
      </c>
      <c r="N8214" t="s">
        <v>42669</v>
      </c>
      <c r="O8214" t="s">
        <v>42670</v>
      </c>
      <c r="P8214">
        <v>0</v>
      </c>
      <c r="Q8214">
        <v>0</v>
      </c>
      <c r="R8214" t="s">
        <v>42678</v>
      </c>
      <c r="S8214" t="s">
        <v>42866</v>
      </c>
      <c r="T8214" t="s">
        <v>44452</v>
      </c>
      <c r="U8214" t="s">
        <v>51542</v>
      </c>
      <c r="W8214" t="s">
        <v>41508</v>
      </c>
      <c r="X8214" t="s">
        <v>42679</v>
      </c>
    </row>
    <row r="8215" spans="1:24">
      <c r="A8215">
        <f>HYPERLINK("https://www.philgeps.gov.ph/GEPSNONPILOT/Tender/SplashBidNoticeAbstractUI.aspx?menuIndex=3&amp;refID=7183668&amp;Result=3","7183668")</f>
        <v>0</v>
      </c>
      <c r="B8215" t="s">
        <v>513</v>
      </c>
      <c r="C8215" t="s">
        <v>11385</v>
      </c>
      <c r="D8215" t="s">
        <v>17191</v>
      </c>
      <c r="E8215" t="s">
        <v>24314</v>
      </c>
      <c r="F8215" t="s">
        <v>29372</v>
      </c>
      <c r="G8215" t="s">
        <v>29380</v>
      </c>
      <c r="H8215" t="s">
        <v>29389</v>
      </c>
      <c r="I8215" t="s">
        <v>10408</v>
      </c>
      <c r="J8215" t="s">
        <v>33438</v>
      </c>
      <c r="K8215" t="s">
        <v>38495</v>
      </c>
      <c r="L8215" t="s">
        <v>513</v>
      </c>
      <c r="M8215" t="s">
        <v>39280</v>
      </c>
      <c r="N8215" t="s">
        <v>42669</v>
      </c>
      <c r="O8215" t="s">
        <v>42670</v>
      </c>
      <c r="P8215">
        <v>0</v>
      </c>
      <c r="Q8215">
        <v>1</v>
      </c>
      <c r="R8215" t="s">
        <v>42678</v>
      </c>
      <c r="S8215" t="s">
        <v>42866</v>
      </c>
      <c r="T8215" t="s">
        <v>44446</v>
      </c>
      <c r="U8215" t="s">
        <v>51543</v>
      </c>
      <c r="W8215" t="s">
        <v>39280</v>
      </c>
      <c r="X8215" t="s">
        <v>42679</v>
      </c>
    </row>
    <row r="8216" spans="1:24">
      <c r="A8216">
        <f>HYPERLINK("https://www.philgeps.gov.ph/GEPSNONPILOT/Tender/SplashBidNoticeAbstractUI.aspx?menuIndex=3&amp;refID=7183584&amp;Result=3","7183584")</f>
        <v>0</v>
      </c>
      <c r="B8216" t="s">
        <v>352</v>
      </c>
      <c r="C8216" t="s">
        <v>11386</v>
      </c>
      <c r="D8216" t="s">
        <v>17141</v>
      </c>
      <c r="E8216" t="s">
        <v>24315</v>
      </c>
      <c r="F8216" t="s">
        <v>29372</v>
      </c>
      <c r="G8216" t="s">
        <v>29380</v>
      </c>
      <c r="H8216" t="s">
        <v>11048</v>
      </c>
      <c r="I8216" t="s">
        <v>3670</v>
      </c>
      <c r="J8216" t="s">
        <v>34825</v>
      </c>
      <c r="K8216" t="s">
        <v>38491</v>
      </c>
      <c r="M8216" t="s">
        <v>41507</v>
      </c>
      <c r="N8216" t="s">
        <v>42669</v>
      </c>
      <c r="O8216" t="s">
        <v>42670</v>
      </c>
      <c r="P8216">
        <v>0</v>
      </c>
      <c r="Q8216">
        <v>1</v>
      </c>
      <c r="R8216" t="s">
        <v>42678</v>
      </c>
      <c r="S8216" t="s">
        <v>42866</v>
      </c>
      <c r="T8216" t="s">
        <v>44432</v>
      </c>
      <c r="U8216" t="s">
        <v>51544</v>
      </c>
      <c r="W8216" t="s">
        <v>41507</v>
      </c>
      <c r="X8216" t="s">
        <v>42679</v>
      </c>
    </row>
    <row r="8217" spans="1:24">
      <c r="A8217">
        <f>HYPERLINK("https://www.philgeps.gov.ph/GEPSNONPILOT/Tender/SplashBidNoticeAbstractUI.aspx?menuIndex=3&amp;refID=7169180&amp;Result=3","7169180")</f>
        <v>0</v>
      </c>
      <c r="B8217" t="s">
        <v>573</v>
      </c>
      <c r="C8217" t="s">
        <v>11387</v>
      </c>
      <c r="D8217" t="s">
        <v>17171</v>
      </c>
      <c r="E8217" t="s">
        <v>24316</v>
      </c>
      <c r="F8217" t="s">
        <v>29372</v>
      </c>
      <c r="G8217" t="s">
        <v>29380</v>
      </c>
      <c r="H8217" t="s">
        <v>11048</v>
      </c>
      <c r="I8217" t="s">
        <v>4709</v>
      </c>
      <c r="J8217" t="s">
        <v>34826</v>
      </c>
      <c r="K8217" t="s">
        <v>38490</v>
      </c>
      <c r="M8217" t="s">
        <v>39342</v>
      </c>
      <c r="N8217" t="s">
        <v>42669</v>
      </c>
      <c r="O8217" t="s">
        <v>42670</v>
      </c>
      <c r="P8217">
        <v>0</v>
      </c>
      <c r="Q8217">
        <v>2</v>
      </c>
      <c r="R8217" t="s">
        <v>42679</v>
      </c>
      <c r="S8217" t="s">
        <v>42923</v>
      </c>
      <c r="T8217" t="s">
        <v>44446</v>
      </c>
      <c r="U8217" t="s">
        <v>46078</v>
      </c>
      <c r="W8217" t="s">
        <v>39342</v>
      </c>
      <c r="X8217" t="s">
        <v>42685</v>
      </c>
    </row>
    <row r="8218" spans="1:24">
      <c r="A8218">
        <f>HYPERLINK("https://www.philgeps.gov.ph/GEPSNONPILOT/Tender/SplashBidNoticeAbstractUI.aspx?menuIndex=3&amp;refID=7183654&amp;Result=3","7183654")</f>
        <v>0</v>
      </c>
      <c r="B8218" t="s">
        <v>702</v>
      </c>
      <c r="C8218" t="s">
        <v>11388</v>
      </c>
      <c r="D8218" t="s">
        <v>17221</v>
      </c>
      <c r="E8218" t="s">
        <v>24317</v>
      </c>
      <c r="F8218" t="s">
        <v>29372</v>
      </c>
      <c r="G8218" t="s">
        <v>29381</v>
      </c>
      <c r="H8218" t="s">
        <v>11048</v>
      </c>
      <c r="I8218" t="s">
        <v>9469</v>
      </c>
      <c r="J8218" t="s">
        <v>34827</v>
      </c>
      <c r="K8218" t="s">
        <v>38491</v>
      </c>
      <c r="M8218" t="s">
        <v>39480</v>
      </c>
      <c r="N8218" t="s">
        <v>42669</v>
      </c>
      <c r="O8218" t="s">
        <v>42670</v>
      </c>
      <c r="P8218">
        <v>0</v>
      </c>
      <c r="Q8218">
        <v>0</v>
      </c>
      <c r="R8218" t="s">
        <v>42678</v>
      </c>
      <c r="S8218" t="s">
        <v>42866</v>
      </c>
      <c r="T8218" t="s">
        <v>44481</v>
      </c>
      <c r="U8218" t="s">
        <v>51545</v>
      </c>
      <c r="V8218" t="s">
        <v>57272</v>
      </c>
      <c r="W8218" t="s">
        <v>39480</v>
      </c>
      <c r="X8218" t="s">
        <v>42679</v>
      </c>
    </row>
    <row r="8219" spans="1:24">
      <c r="A8219">
        <f>HYPERLINK("https://www.philgeps.gov.ph/GEPSNONPILOT/Tender/SplashBidNoticeAbstractUI.aspx?menuIndex=3&amp;refID=7169169&amp;Result=3","7169169")</f>
        <v>0</v>
      </c>
      <c r="B8219" t="s">
        <v>1949</v>
      </c>
      <c r="C8219" t="s">
        <v>11389</v>
      </c>
      <c r="D8219" t="s">
        <v>17179</v>
      </c>
      <c r="E8219" t="s">
        <v>21442</v>
      </c>
      <c r="F8219" t="s">
        <v>29372</v>
      </c>
      <c r="G8219" t="s">
        <v>29380</v>
      </c>
      <c r="H8219" t="s">
        <v>29389</v>
      </c>
      <c r="I8219" t="s">
        <v>10408</v>
      </c>
      <c r="J8219" t="s">
        <v>29734</v>
      </c>
      <c r="K8219" t="s">
        <v>38495</v>
      </c>
      <c r="M8219" t="s">
        <v>40831</v>
      </c>
      <c r="N8219" t="s">
        <v>42669</v>
      </c>
      <c r="O8219" t="s">
        <v>42670</v>
      </c>
      <c r="P8219">
        <v>0</v>
      </c>
      <c r="Q8219">
        <v>0</v>
      </c>
      <c r="R8219" t="s">
        <v>42679</v>
      </c>
      <c r="S8219" t="s">
        <v>42923</v>
      </c>
      <c r="T8219" t="s">
        <v>44452</v>
      </c>
      <c r="U8219" t="s">
        <v>51546</v>
      </c>
      <c r="W8219" t="s">
        <v>40831</v>
      </c>
      <c r="X8219" t="s">
        <v>42685</v>
      </c>
    </row>
    <row r="8220" spans="1:24">
      <c r="A8220">
        <f>HYPERLINK("https://www.philgeps.gov.ph/GEPSNONPILOT/Tender/SplashBidNoticeAbstractUI.aspx?menuIndex=3&amp;refID=7155452&amp;Result=3","7155452")</f>
        <v>0</v>
      </c>
      <c r="B8220" t="s">
        <v>1021</v>
      </c>
      <c r="C8220" t="s">
        <v>11390</v>
      </c>
      <c r="D8220" t="s">
        <v>17205</v>
      </c>
      <c r="E8220" t="s">
        <v>24318</v>
      </c>
      <c r="F8220" t="s">
        <v>29372</v>
      </c>
      <c r="G8220" t="s">
        <v>29380</v>
      </c>
      <c r="H8220" t="s">
        <v>29390</v>
      </c>
      <c r="I8220" t="s">
        <v>9469</v>
      </c>
      <c r="J8220" t="s">
        <v>29526</v>
      </c>
      <c r="K8220" t="s">
        <v>38485</v>
      </c>
      <c r="M8220" t="s">
        <v>39821</v>
      </c>
      <c r="N8220" t="s">
        <v>42669</v>
      </c>
      <c r="O8220" t="s">
        <v>42670</v>
      </c>
      <c r="P8220">
        <v>0</v>
      </c>
      <c r="Q8220">
        <v>0</v>
      </c>
      <c r="R8220" t="s">
        <v>42679</v>
      </c>
      <c r="S8220" t="s">
        <v>42923</v>
      </c>
      <c r="T8220" t="s">
        <v>44454</v>
      </c>
      <c r="U8220" t="s">
        <v>51547</v>
      </c>
      <c r="W8220" t="s">
        <v>39821</v>
      </c>
      <c r="X8220" t="s">
        <v>42691</v>
      </c>
    </row>
    <row r="8221" spans="1:24">
      <c r="A8221">
        <f>HYPERLINK("https://www.philgeps.gov.ph/GEPSNONPILOT/Tender/SplashBidNoticeAbstractUI.aspx?menuIndex=3&amp;refID=7168637&amp;Result=3","7168637")</f>
        <v>0</v>
      </c>
      <c r="B8221" t="s">
        <v>1466</v>
      </c>
      <c r="C8221" t="s">
        <v>11391</v>
      </c>
      <c r="E8221" t="s">
        <v>24319</v>
      </c>
      <c r="F8221" t="s">
        <v>29372</v>
      </c>
      <c r="G8221" t="s">
        <v>29380</v>
      </c>
      <c r="H8221" t="s">
        <v>11048</v>
      </c>
      <c r="I8221" t="s">
        <v>3670</v>
      </c>
      <c r="J8221" t="s">
        <v>34828</v>
      </c>
      <c r="K8221" t="s">
        <v>38490</v>
      </c>
      <c r="M8221" t="s">
        <v>41524</v>
      </c>
      <c r="N8221" t="s">
        <v>42669</v>
      </c>
      <c r="O8221" t="s">
        <v>42670</v>
      </c>
      <c r="P8221">
        <v>0</v>
      </c>
      <c r="Q8221">
        <v>4</v>
      </c>
      <c r="R8221" t="s">
        <v>42679</v>
      </c>
      <c r="S8221" t="s">
        <v>42923</v>
      </c>
      <c r="T8221" t="s">
        <v>44755</v>
      </c>
      <c r="U8221" t="s">
        <v>51548</v>
      </c>
      <c r="W8221" t="s">
        <v>41524</v>
      </c>
      <c r="X8221" t="s">
        <v>42685</v>
      </c>
    </row>
    <row r="8222" spans="1:24">
      <c r="A8222">
        <f>HYPERLINK("https://www.philgeps.gov.ph/GEPSNONPILOT/Tender/SplashBidNoticeAbstractUI.aspx?menuIndex=3&amp;refID=7168079&amp;Result=3","7168079")</f>
        <v>0</v>
      </c>
      <c r="B8222" t="s">
        <v>266</v>
      </c>
      <c r="C8222" t="s">
        <v>11392</v>
      </c>
      <c r="D8222" t="s">
        <v>17170</v>
      </c>
      <c r="E8222" t="s">
        <v>24320</v>
      </c>
      <c r="F8222" t="s">
        <v>29372</v>
      </c>
      <c r="G8222" t="s">
        <v>29380</v>
      </c>
      <c r="H8222" t="s">
        <v>11048</v>
      </c>
      <c r="I8222" t="s">
        <v>29439</v>
      </c>
      <c r="J8222" t="s">
        <v>34178</v>
      </c>
      <c r="K8222" t="s">
        <v>38485</v>
      </c>
      <c r="M8222" t="s">
        <v>39025</v>
      </c>
      <c r="N8222" t="s">
        <v>42669</v>
      </c>
      <c r="O8222" t="s">
        <v>42670</v>
      </c>
      <c r="P8222">
        <v>0</v>
      </c>
      <c r="Q8222">
        <v>1</v>
      </c>
      <c r="R8222" t="s">
        <v>42679</v>
      </c>
      <c r="S8222" t="s">
        <v>42923</v>
      </c>
      <c r="T8222" t="s">
        <v>44527</v>
      </c>
      <c r="U8222" t="s">
        <v>51549</v>
      </c>
      <c r="W8222" t="s">
        <v>39025</v>
      </c>
      <c r="X8222" t="s">
        <v>42685</v>
      </c>
    </row>
    <row r="8223" spans="1:24">
      <c r="A8223">
        <f>HYPERLINK("https://www.philgeps.gov.ph/GEPSNONPILOT/Tender/SplashBidNoticeAbstractUI.aspx?menuIndex=3&amp;refID=7183622&amp;Result=3","7183622")</f>
        <v>0</v>
      </c>
      <c r="B8223" t="s">
        <v>33</v>
      </c>
      <c r="C8223" t="s">
        <v>11393</v>
      </c>
      <c r="D8223" t="s">
        <v>17147</v>
      </c>
      <c r="E8223" t="s">
        <v>24321</v>
      </c>
      <c r="F8223" t="s">
        <v>29372</v>
      </c>
      <c r="G8223" t="s">
        <v>29380</v>
      </c>
      <c r="H8223" t="s">
        <v>29389</v>
      </c>
      <c r="I8223" t="s">
        <v>10408</v>
      </c>
      <c r="J8223" t="s">
        <v>34829</v>
      </c>
      <c r="K8223" t="s">
        <v>38565</v>
      </c>
      <c r="M8223" t="s">
        <v>38786</v>
      </c>
      <c r="N8223" t="s">
        <v>42669</v>
      </c>
      <c r="O8223" t="s">
        <v>42670</v>
      </c>
      <c r="P8223">
        <v>0</v>
      </c>
      <c r="Q8223">
        <v>0</v>
      </c>
      <c r="R8223" t="s">
        <v>42678</v>
      </c>
      <c r="S8223" t="s">
        <v>42866</v>
      </c>
      <c r="T8223" t="s">
        <v>44488</v>
      </c>
      <c r="U8223" t="s">
        <v>51550</v>
      </c>
      <c r="W8223" t="s">
        <v>38786</v>
      </c>
      <c r="X8223" t="s">
        <v>42679</v>
      </c>
    </row>
    <row r="8224" spans="1:24">
      <c r="A8224">
        <f>HYPERLINK("https://www.philgeps.gov.ph/GEPSNONPILOT/Tender/SplashBidNoticeAbstractUI.aspx?menuIndex=3&amp;refID=7165777&amp;Result=3","7165777")</f>
        <v>0</v>
      </c>
      <c r="B8224" t="s">
        <v>573</v>
      </c>
      <c r="C8224" t="s">
        <v>11394</v>
      </c>
      <c r="D8224" t="s">
        <v>17171</v>
      </c>
      <c r="E8224" t="s">
        <v>18610</v>
      </c>
      <c r="F8224" t="s">
        <v>29372</v>
      </c>
      <c r="G8224" t="s">
        <v>29380</v>
      </c>
      <c r="H8224" t="s">
        <v>11048</v>
      </c>
      <c r="I8224" t="s">
        <v>29407</v>
      </c>
      <c r="J8224" t="s">
        <v>34830</v>
      </c>
      <c r="K8224" t="s">
        <v>38490</v>
      </c>
      <c r="M8224" t="s">
        <v>39342</v>
      </c>
      <c r="N8224" t="s">
        <v>42669</v>
      </c>
      <c r="O8224" t="s">
        <v>42670</v>
      </c>
      <c r="P8224">
        <v>0</v>
      </c>
      <c r="Q8224">
        <v>18</v>
      </c>
      <c r="R8224" t="s">
        <v>42679</v>
      </c>
      <c r="S8224" t="s">
        <v>42923</v>
      </c>
      <c r="T8224" t="s">
        <v>44432</v>
      </c>
      <c r="U8224" t="s">
        <v>46078</v>
      </c>
      <c r="W8224" t="s">
        <v>39342</v>
      </c>
      <c r="X8224" t="s">
        <v>42686</v>
      </c>
    </row>
    <row r="8225" spans="1:24">
      <c r="A8225">
        <f>HYPERLINK("https://www.philgeps.gov.ph/GEPSNONPILOT/Tender/SplashBidNoticeAbstractUI.aspx?menuIndex=3&amp;refID=6659377-2&amp;Result=3","6659377-2")</f>
        <v>0</v>
      </c>
      <c r="B8225" t="s">
        <v>2560</v>
      </c>
      <c r="C8225" t="s">
        <v>11395</v>
      </c>
      <c r="E8225" t="s">
        <v>24322</v>
      </c>
      <c r="F8225" t="s">
        <v>29372</v>
      </c>
      <c r="G8225" t="s">
        <v>29380</v>
      </c>
      <c r="H8225" t="s">
        <v>29390</v>
      </c>
      <c r="I8225" t="s">
        <v>4235</v>
      </c>
      <c r="J8225" t="s">
        <v>34831</v>
      </c>
      <c r="K8225" t="s">
        <v>38580</v>
      </c>
      <c r="M8225" t="s">
        <v>41525</v>
      </c>
      <c r="N8225" t="s">
        <v>42669</v>
      </c>
      <c r="O8225" t="s">
        <v>42670</v>
      </c>
      <c r="P8225">
        <v>0</v>
      </c>
      <c r="Q8225">
        <v>0</v>
      </c>
      <c r="R8225" t="s">
        <v>42679</v>
      </c>
      <c r="S8225" t="s">
        <v>42923</v>
      </c>
      <c r="T8225" t="s">
        <v>44530</v>
      </c>
      <c r="U8225" t="s">
        <v>51551</v>
      </c>
      <c r="W8225" t="s">
        <v>41525</v>
      </c>
      <c r="X8225" t="s">
        <v>58144</v>
      </c>
    </row>
    <row r="8226" spans="1:24">
      <c r="A8226">
        <f>HYPERLINK("https://www.philgeps.gov.ph/GEPSNONPILOT/Tender/SplashBidNoticeAbstractUI.aspx?menuIndex=3&amp;refID=7167008&amp;Result=3","7167008")</f>
        <v>0</v>
      </c>
      <c r="B8226" t="s">
        <v>60</v>
      </c>
      <c r="C8226" t="s">
        <v>11396</v>
      </c>
      <c r="E8226" t="s">
        <v>24323</v>
      </c>
      <c r="F8226" t="s">
        <v>29372</v>
      </c>
      <c r="G8226" t="s">
        <v>29380</v>
      </c>
      <c r="H8226" t="s">
        <v>11048</v>
      </c>
      <c r="I8226" t="s">
        <v>29434</v>
      </c>
      <c r="J8226" t="s">
        <v>30039</v>
      </c>
      <c r="K8226" t="s">
        <v>38490</v>
      </c>
      <c r="M8226" t="s">
        <v>40105</v>
      </c>
      <c r="N8226" t="s">
        <v>42669</v>
      </c>
      <c r="O8226" t="s">
        <v>42670</v>
      </c>
      <c r="P8226">
        <v>0</v>
      </c>
      <c r="Q8226">
        <v>5</v>
      </c>
      <c r="R8226" t="s">
        <v>42679</v>
      </c>
      <c r="S8226" t="s">
        <v>42923</v>
      </c>
      <c r="T8226" t="s">
        <v>44446</v>
      </c>
      <c r="U8226" t="s">
        <v>51552</v>
      </c>
      <c r="W8226" t="s">
        <v>40105</v>
      </c>
      <c r="X8226" t="s">
        <v>42686</v>
      </c>
    </row>
    <row r="8227" spans="1:24">
      <c r="A8227">
        <f>HYPERLINK("https://www.philgeps.gov.ph/GEPSNONPILOT/Tender/SplashBidNoticeAbstractUI.aspx?menuIndex=3&amp;refID=7183711&amp;Result=3","7183711")</f>
        <v>0</v>
      </c>
      <c r="B8227" t="s">
        <v>1125</v>
      </c>
      <c r="C8227" t="s">
        <v>7195</v>
      </c>
      <c r="D8227" t="s">
        <v>17151</v>
      </c>
      <c r="E8227" t="s">
        <v>24324</v>
      </c>
      <c r="F8227" t="s">
        <v>29372</v>
      </c>
      <c r="G8227" t="s">
        <v>29379</v>
      </c>
      <c r="H8227" t="s">
        <v>11048</v>
      </c>
      <c r="I8227" t="s">
        <v>29432</v>
      </c>
      <c r="J8227" t="s">
        <v>34832</v>
      </c>
      <c r="K8227" t="s">
        <v>38491</v>
      </c>
      <c r="M8227" t="s">
        <v>40235</v>
      </c>
      <c r="N8227" t="s">
        <v>42669</v>
      </c>
      <c r="O8227" t="s">
        <v>42670</v>
      </c>
      <c r="P8227">
        <v>0</v>
      </c>
      <c r="Q8227">
        <v>0</v>
      </c>
      <c r="R8227" t="s">
        <v>42678</v>
      </c>
      <c r="S8227" t="s">
        <v>42866</v>
      </c>
      <c r="T8227" t="s">
        <v>44427</v>
      </c>
      <c r="U8227" t="s">
        <v>51553</v>
      </c>
      <c r="W8227" t="s">
        <v>40235</v>
      </c>
      <c r="X8227" t="s">
        <v>42679</v>
      </c>
    </row>
    <row r="8228" spans="1:24">
      <c r="A8228">
        <f>HYPERLINK("https://www.philgeps.gov.ph/GEPSNONPILOT/Tender/SplashBidNoticeAbstractUI.aspx?menuIndex=3&amp;refID=7165809&amp;Result=3","7165809")</f>
        <v>0</v>
      </c>
      <c r="B8228" t="s">
        <v>573</v>
      </c>
      <c r="C8228" t="s">
        <v>11397</v>
      </c>
      <c r="D8228" t="s">
        <v>17171</v>
      </c>
      <c r="E8228" t="s">
        <v>24325</v>
      </c>
      <c r="F8228" t="s">
        <v>29372</v>
      </c>
      <c r="G8228" t="s">
        <v>29380</v>
      </c>
      <c r="H8228" t="s">
        <v>11048</v>
      </c>
      <c r="I8228" t="s">
        <v>29502</v>
      </c>
      <c r="J8228" t="s">
        <v>34833</v>
      </c>
      <c r="K8228" t="s">
        <v>38490</v>
      </c>
      <c r="M8228" t="s">
        <v>39342</v>
      </c>
      <c r="N8228" t="s">
        <v>42669</v>
      </c>
      <c r="O8228" t="s">
        <v>42670</v>
      </c>
      <c r="P8228">
        <v>0</v>
      </c>
      <c r="Q8228">
        <v>3</v>
      </c>
      <c r="R8228" t="s">
        <v>42679</v>
      </c>
      <c r="S8228" t="s">
        <v>42923</v>
      </c>
      <c r="T8228" t="s">
        <v>44432</v>
      </c>
      <c r="U8228" t="s">
        <v>46078</v>
      </c>
      <c r="W8228" t="s">
        <v>39342</v>
      </c>
      <c r="X8228" t="s">
        <v>42686</v>
      </c>
    </row>
    <row r="8229" spans="1:24">
      <c r="A8229">
        <f>HYPERLINK("https://www.philgeps.gov.ph/GEPSNONPILOT/Tender/SplashBidNoticeAbstractUI.aspx?menuIndex=3&amp;refID=7183707&amp;Result=3","7183707")</f>
        <v>0</v>
      </c>
      <c r="B8229" t="s">
        <v>2561</v>
      </c>
      <c r="C8229" t="s">
        <v>11398</v>
      </c>
      <c r="D8229" t="s">
        <v>17205</v>
      </c>
      <c r="E8229" t="s">
        <v>24326</v>
      </c>
      <c r="F8229" t="s">
        <v>29372</v>
      </c>
      <c r="G8229" t="s">
        <v>29380</v>
      </c>
      <c r="H8229" t="s">
        <v>11048</v>
      </c>
      <c r="I8229" t="s">
        <v>4709</v>
      </c>
      <c r="J8229" t="s">
        <v>34834</v>
      </c>
      <c r="K8229" t="s">
        <v>38488</v>
      </c>
      <c r="M8229" t="s">
        <v>41526</v>
      </c>
      <c r="N8229" t="s">
        <v>42669</v>
      </c>
      <c r="O8229" t="s">
        <v>42670</v>
      </c>
      <c r="P8229">
        <v>0</v>
      </c>
      <c r="Q8229">
        <v>2</v>
      </c>
      <c r="R8229" t="s">
        <v>42678</v>
      </c>
      <c r="S8229" t="s">
        <v>42866</v>
      </c>
      <c r="T8229" t="s">
        <v>44489</v>
      </c>
      <c r="U8229" t="s">
        <v>51554</v>
      </c>
      <c r="W8229" t="s">
        <v>41526</v>
      </c>
      <c r="X8229" t="s">
        <v>42679</v>
      </c>
    </row>
    <row r="8230" spans="1:24">
      <c r="A8230">
        <f>HYPERLINK("https://www.philgeps.gov.ph/GEPSNONPILOT/Tender/SplashBidNoticeAbstractUI.aspx?menuIndex=3&amp;refID=6470784&amp;Result=3","6470784")</f>
        <v>0</v>
      </c>
      <c r="B8230" t="s">
        <v>2562</v>
      </c>
      <c r="C8230" t="s">
        <v>11399</v>
      </c>
      <c r="E8230" t="s">
        <v>24327</v>
      </c>
      <c r="F8230" t="s">
        <v>29372</v>
      </c>
      <c r="G8230" t="s">
        <v>29380</v>
      </c>
      <c r="H8230" t="s">
        <v>11048</v>
      </c>
      <c r="I8230" t="s">
        <v>29415</v>
      </c>
      <c r="J8230" t="s">
        <v>29526</v>
      </c>
      <c r="K8230" t="s">
        <v>38490</v>
      </c>
      <c r="M8230" t="s">
        <v>41527</v>
      </c>
      <c r="N8230" t="s">
        <v>42669</v>
      </c>
      <c r="O8230" t="s">
        <v>42670</v>
      </c>
      <c r="P8230">
        <v>0</v>
      </c>
      <c r="Q8230">
        <v>1</v>
      </c>
      <c r="R8230" t="s">
        <v>42679</v>
      </c>
      <c r="S8230" t="s">
        <v>42923</v>
      </c>
      <c r="T8230" t="s">
        <v>44382</v>
      </c>
      <c r="U8230" t="s">
        <v>51555</v>
      </c>
      <c r="W8230" t="s">
        <v>41527</v>
      </c>
      <c r="X8230" t="s">
        <v>58145</v>
      </c>
    </row>
    <row r="8231" spans="1:24">
      <c r="A8231">
        <f>HYPERLINK("https://www.philgeps.gov.ph/GEPSNONPILOT/Tender/SplashBidNoticeAbstractUI.aspx?menuIndex=3&amp;refID=7183709&amp;Result=3","7183709")</f>
        <v>0</v>
      </c>
      <c r="B8231" t="s">
        <v>2020</v>
      </c>
      <c r="C8231" t="s">
        <v>11400</v>
      </c>
      <c r="D8231" t="s">
        <v>17177</v>
      </c>
      <c r="E8231" t="s">
        <v>24328</v>
      </c>
      <c r="F8231" t="s">
        <v>29372</v>
      </c>
      <c r="G8231" t="s">
        <v>29379</v>
      </c>
      <c r="H8231" t="s">
        <v>11048</v>
      </c>
      <c r="I8231" t="s">
        <v>29407</v>
      </c>
      <c r="J8231" t="s">
        <v>34835</v>
      </c>
      <c r="K8231" t="s">
        <v>38518</v>
      </c>
      <c r="M8231" t="s">
        <v>40912</v>
      </c>
      <c r="N8231" t="s">
        <v>42669</v>
      </c>
      <c r="O8231" t="s">
        <v>42670</v>
      </c>
      <c r="P8231">
        <v>0</v>
      </c>
      <c r="Q8231">
        <v>13</v>
      </c>
      <c r="R8231" t="s">
        <v>42678</v>
      </c>
      <c r="S8231" t="s">
        <v>42866</v>
      </c>
      <c r="T8231" t="s">
        <v>44488</v>
      </c>
      <c r="U8231" t="s">
        <v>51556</v>
      </c>
      <c r="W8231" t="s">
        <v>40912</v>
      </c>
      <c r="X8231" t="s">
        <v>42679</v>
      </c>
    </row>
    <row r="8232" spans="1:24">
      <c r="A8232">
        <f>HYPERLINK("https://www.philgeps.gov.ph/GEPSNONPILOT/Tender/SplashBidNoticeAbstractUI.aspx?menuIndex=3&amp;refID=7183700&amp;Result=3","7183700")</f>
        <v>0</v>
      </c>
      <c r="B8232" t="s">
        <v>323</v>
      </c>
      <c r="C8232" t="s">
        <v>11401</v>
      </c>
      <c r="D8232" t="s">
        <v>17143</v>
      </c>
      <c r="E8232" t="s">
        <v>24329</v>
      </c>
      <c r="F8232" t="s">
        <v>29372</v>
      </c>
      <c r="G8232" t="s">
        <v>29380</v>
      </c>
      <c r="H8232" t="s">
        <v>11048</v>
      </c>
      <c r="I8232" t="s">
        <v>5383</v>
      </c>
      <c r="J8232" t="s">
        <v>34836</v>
      </c>
      <c r="K8232" t="s">
        <v>38485</v>
      </c>
      <c r="M8232" t="s">
        <v>39082</v>
      </c>
      <c r="N8232" t="s">
        <v>42669</v>
      </c>
      <c r="O8232" t="s">
        <v>42670</v>
      </c>
      <c r="P8232">
        <v>0</v>
      </c>
      <c r="Q8232">
        <v>1</v>
      </c>
      <c r="R8232" t="s">
        <v>42678</v>
      </c>
      <c r="S8232" t="s">
        <v>42866</v>
      </c>
      <c r="T8232" t="s">
        <v>44488</v>
      </c>
      <c r="U8232" t="s">
        <v>51557</v>
      </c>
      <c r="V8232" t="s">
        <v>57273</v>
      </c>
      <c r="W8232" t="s">
        <v>39082</v>
      </c>
      <c r="X8232" t="s">
        <v>42679</v>
      </c>
    </row>
    <row r="8233" spans="1:24">
      <c r="A8233">
        <f>HYPERLINK("https://www.philgeps.gov.ph/GEPSNONPILOT/Tender/SplashBidNoticeAbstractUI.aspx?menuIndex=3&amp;refID=7183691&amp;Result=3","7183691")</f>
        <v>0</v>
      </c>
      <c r="B8233" t="s">
        <v>2418</v>
      </c>
      <c r="C8233" t="s">
        <v>11402</v>
      </c>
      <c r="D8233" t="s">
        <v>17172</v>
      </c>
      <c r="E8233" t="s">
        <v>24330</v>
      </c>
      <c r="F8233" t="s">
        <v>29373</v>
      </c>
      <c r="G8233" t="s">
        <v>29380</v>
      </c>
      <c r="H8233" t="s">
        <v>29389</v>
      </c>
      <c r="I8233" t="s">
        <v>10408</v>
      </c>
      <c r="J8233" t="s">
        <v>29609</v>
      </c>
      <c r="K8233" t="s">
        <v>38496</v>
      </c>
      <c r="L8233" t="s">
        <v>2418</v>
      </c>
      <c r="M8233" t="s">
        <v>41365</v>
      </c>
      <c r="N8233" t="s">
        <v>42669</v>
      </c>
      <c r="O8233" t="s">
        <v>42670</v>
      </c>
      <c r="P8233">
        <v>0</v>
      </c>
      <c r="Q8233">
        <v>0</v>
      </c>
      <c r="R8233" t="s">
        <v>42678</v>
      </c>
      <c r="S8233" t="s">
        <v>42866</v>
      </c>
      <c r="T8233" t="s">
        <v>44407</v>
      </c>
      <c r="U8233" t="s">
        <v>51533</v>
      </c>
      <c r="V8233" t="s">
        <v>51012</v>
      </c>
      <c r="W8233" t="s">
        <v>41365</v>
      </c>
      <c r="X8233" t="s">
        <v>42679</v>
      </c>
    </row>
    <row r="8234" spans="1:24">
      <c r="A8234">
        <f>HYPERLINK("https://www.philgeps.gov.ph/GEPSNONPILOT/Tender/SplashBidNoticeAbstractUI.aspx?menuIndex=3&amp;refID=7183698&amp;Result=3","7183698")</f>
        <v>0</v>
      </c>
      <c r="B8234" t="s">
        <v>2418</v>
      </c>
      <c r="C8234" t="s">
        <v>11403</v>
      </c>
      <c r="D8234" t="s">
        <v>17172</v>
      </c>
      <c r="E8234" t="s">
        <v>24331</v>
      </c>
      <c r="F8234" t="s">
        <v>29373</v>
      </c>
      <c r="G8234" t="s">
        <v>29380</v>
      </c>
      <c r="H8234" t="s">
        <v>29389</v>
      </c>
      <c r="I8234" t="s">
        <v>10408</v>
      </c>
      <c r="J8234" t="s">
        <v>29526</v>
      </c>
      <c r="K8234" t="s">
        <v>38496</v>
      </c>
      <c r="L8234" t="s">
        <v>2418</v>
      </c>
      <c r="M8234" t="s">
        <v>41365</v>
      </c>
      <c r="N8234" t="s">
        <v>42669</v>
      </c>
      <c r="O8234" t="s">
        <v>42670</v>
      </c>
      <c r="P8234">
        <v>0</v>
      </c>
      <c r="Q8234">
        <v>0</v>
      </c>
      <c r="R8234" t="s">
        <v>42678</v>
      </c>
      <c r="S8234" t="s">
        <v>42866</v>
      </c>
      <c r="T8234" t="s">
        <v>44407</v>
      </c>
      <c r="U8234" t="s">
        <v>51012</v>
      </c>
      <c r="V8234" t="s">
        <v>51012</v>
      </c>
      <c r="W8234" t="s">
        <v>41365</v>
      </c>
      <c r="X8234" t="s">
        <v>42679</v>
      </c>
    </row>
    <row r="8235" spans="1:24">
      <c r="A8235">
        <f>HYPERLINK("https://www.philgeps.gov.ph/GEPSNONPILOT/Tender/SplashBidNoticeAbstractUI.aspx?menuIndex=3&amp;refID=7183583&amp;Result=3","7183583")</f>
        <v>0</v>
      </c>
      <c r="B8235" t="s">
        <v>2563</v>
      </c>
      <c r="C8235" t="s">
        <v>11404</v>
      </c>
      <c r="D8235" t="s">
        <v>17141</v>
      </c>
      <c r="E8235" t="s">
        <v>24332</v>
      </c>
      <c r="F8235" t="s">
        <v>29372</v>
      </c>
      <c r="G8235" t="s">
        <v>29380</v>
      </c>
      <c r="H8235" t="s">
        <v>11048</v>
      </c>
      <c r="I8235" t="s">
        <v>8614</v>
      </c>
      <c r="J8235" t="s">
        <v>34837</v>
      </c>
      <c r="K8235" t="s">
        <v>38490</v>
      </c>
      <c r="M8235" t="s">
        <v>41528</v>
      </c>
      <c r="N8235" t="s">
        <v>42669</v>
      </c>
      <c r="O8235" t="s">
        <v>42670</v>
      </c>
      <c r="P8235">
        <v>0</v>
      </c>
      <c r="Q8235">
        <v>8</v>
      </c>
      <c r="R8235" t="s">
        <v>42678</v>
      </c>
      <c r="S8235" t="s">
        <v>42866</v>
      </c>
      <c r="T8235" t="s">
        <v>44452</v>
      </c>
      <c r="U8235" t="s">
        <v>51558</v>
      </c>
      <c r="W8235" t="s">
        <v>58089</v>
      </c>
      <c r="X8235" t="s">
        <v>42679</v>
      </c>
    </row>
    <row r="8236" spans="1:24">
      <c r="A8236">
        <f>HYPERLINK("https://www.philgeps.gov.ph/GEPSNONPILOT/Tender/SplashBidNoticeAbstractUI.aspx?menuIndex=3&amp;refID=7183581&amp;Result=3","7183581")</f>
        <v>0</v>
      </c>
      <c r="B8236" t="s">
        <v>2151</v>
      </c>
      <c r="C8236" t="s">
        <v>11405</v>
      </c>
      <c r="E8236" t="s">
        <v>11405</v>
      </c>
      <c r="F8236" t="s">
        <v>29372</v>
      </c>
      <c r="G8236" t="s">
        <v>29379</v>
      </c>
      <c r="H8236" t="s">
        <v>11048</v>
      </c>
      <c r="I8236" t="s">
        <v>29476</v>
      </c>
      <c r="J8236" t="s">
        <v>34838</v>
      </c>
      <c r="K8236" t="s">
        <v>38490</v>
      </c>
      <c r="M8236" t="s">
        <v>41059</v>
      </c>
      <c r="N8236" t="s">
        <v>42669</v>
      </c>
      <c r="O8236" t="s">
        <v>42670</v>
      </c>
      <c r="P8236">
        <v>0</v>
      </c>
      <c r="Q8236">
        <v>7</v>
      </c>
      <c r="R8236" t="s">
        <v>42678</v>
      </c>
      <c r="S8236" t="s">
        <v>42866</v>
      </c>
      <c r="T8236" t="s">
        <v>44488</v>
      </c>
      <c r="U8236" t="s">
        <v>51492</v>
      </c>
      <c r="W8236" t="s">
        <v>41059</v>
      </c>
      <c r="X8236" t="s">
        <v>42679</v>
      </c>
    </row>
    <row r="8237" spans="1:24">
      <c r="A8237">
        <f>HYPERLINK("https://www.philgeps.gov.ph/GEPSNONPILOT/Tender/SplashBidNoticeAbstractUI.aspx?menuIndex=3&amp;refID=7183580&amp;Result=3","7183580")</f>
        <v>0</v>
      </c>
      <c r="B8237" t="s">
        <v>2546</v>
      </c>
      <c r="C8237" t="s">
        <v>11406</v>
      </c>
      <c r="D8237" t="s">
        <v>17215</v>
      </c>
      <c r="E8237" t="s">
        <v>24333</v>
      </c>
      <c r="F8237" t="s">
        <v>29372</v>
      </c>
      <c r="G8237" t="s">
        <v>29380</v>
      </c>
      <c r="H8237" t="s">
        <v>11048</v>
      </c>
      <c r="I8237" t="s">
        <v>29407</v>
      </c>
      <c r="J8237" t="s">
        <v>29823</v>
      </c>
      <c r="K8237" t="s">
        <v>38491</v>
      </c>
      <c r="M8237" t="s">
        <v>41509</v>
      </c>
      <c r="N8237" t="s">
        <v>42669</v>
      </c>
      <c r="O8237" t="s">
        <v>42670</v>
      </c>
      <c r="P8237">
        <v>0</v>
      </c>
      <c r="Q8237">
        <v>3</v>
      </c>
      <c r="R8237" t="s">
        <v>42678</v>
      </c>
      <c r="S8237" t="s">
        <v>42866</v>
      </c>
      <c r="T8237" t="s">
        <v>44488</v>
      </c>
      <c r="U8237" t="s">
        <v>51559</v>
      </c>
      <c r="W8237" t="s">
        <v>41509</v>
      </c>
      <c r="X8237" t="s">
        <v>42679</v>
      </c>
    </row>
    <row r="8238" spans="1:24">
      <c r="A8238">
        <f>HYPERLINK("https://www.philgeps.gov.ph/GEPSNONPILOT/Tender/SplashBidNoticeAbstractUI.aspx?menuIndex=3&amp;refID=7183576&amp;Result=3","7183576")</f>
        <v>0</v>
      </c>
      <c r="B8238" t="s">
        <v>352</v>
      </c>
      <c r="C8238" t="s">
        <v>11407</v>
      </c>
      <c r="D8238" t="s">
        <v>17141</v>
      </c>
      <c r="E8238" t="s">
        <v>24334</v>
      </c>
      <c r="F8238" t="s">
        <v>29372</v>
      </c>
      <c r="G8238" t="s">
        <v>29380</v>
      </c>
      <c r="H8238" t="s">
        <v>11048</v>
      </c>
      <c r="I8238" t="s">
        <v>9642</v>
      </c>
      <c r="J8238" t="s">
        <v>29708</v>
      </c>
      <c r="K8238" t="s">
        <v>38491</v>
      </c>
      <c r="M8238" t="s">
        <v>41507</v>
      </c>
      <c r="N8238" t="s">
        <v>42669</v>
      </c>
      <c r="O8238" t="s">
        <v>42670</v>
      </c>
      <c r="P8238">
        <v>0</v>
      </c>
      <c r="Q8238">
        <v>8</v>
      </c>
      <c r="R8238" t="s">
        <v>42678</v>
      </c>
      <c r="S8238" t="s">
        <v>42866</v>
      </c>
      <c r="T8238" t="s">
        <v>44432</v>
      </c>
      <c r="U8238" t="s">
        <v>51560</v>
      </c>
      <c r="W8238" t="s">
        <v>41507</v>
      </c>
      <c r="X8238" t="s">
        <v>42679</v>
      </c>
    </row>
    <row r="8239" spans="1:24">
      <c r="A8239">
        <f>HYPERLINK("https://www.philgeps.gov.ph/GEPSNONPILOT/Tender/SplashBidNoticeAbstractUI.aspx?menuIndex=3&amp;refID=7183701&amp;Result=3","7183701")</f>
        <v>0</v>
      </c>
      <c r="B8239" t="s">
        <v>2564</v>
      </c>
      <c r="C8239" t="s">
        <v>11408</v>
      </c>
      <c r="D8239" t="s">
        <v>17146</v>
      </c>
      <c r="E8239" t="s">
        <v>24335</v>
      </c>
      <c r="F8239" t="s">
        <v>29372</v>
      </c>
      <c r="G8239" t="s">
        <v>29380</v>
      </c>
      <c r="H8239" t="s">
        <v>11048</v>
      </c>
      <c r="I8239" t="s">
        <v>4709</v>
      </c>
      <c r="J8239" t="s">
        <v>34839</v>
      </c>
      <c r="K8239" t="s">
        <v>38487</v>
      </c>
      <c r="M8239" t="s">
        <v>41529</v>
      </c>
      <c r="N8239" t="s">
        <v>42669</v>
      </c>
      <c r="O8239" t="s">
        <v>42670</v>
      </c>
      <c r="Q8239">
        <v>0</v>
      </c>
      <c r="R8239" t="s">
        <v>42678</v>
      </c>
      <c r="S8239" t="s">
        <v>42924</v>
      </c>
      <c r="T8239" t="s">
        <v>44441</v>
      </c>
      <c r="U8239" t="s">
        <v>51561</v>
      </c>
      <c r="W8239" t="s">
        <v>41529</v>
      </c>
      <c r="X8239" t="s">
        <v>42679</v>
      </c>
    </row>
    <row r="8240" spans="1:24">
      <c r="A8240">
        <f>HYPERLINK("https://www.philgeps.gov.ph/GEPSNONPILOT/Tender/SplashBidNoticeAbstractUI.aspx?menuIndex=3&amp;refID=7183507&amp;Result=3","7183507")</f>
        <v>0</v>
      </c>
      <c r="B8240" t="s">
        <v>2533</v>
      </c>
      <c r="C8240" t="s">
        <v>11409</v>
      </c>
      <c r="E8240" t="s">
        <v>24336</v>
      </c>
      <c r="F8240" t="s">
        <v>29372</v>
      </c>
      <c r="G8240" t="s">
        <v>29380</v>
      </c>
      <c r="H8240" t="s">
        <v>11048</v>
      </c>
      <c r="I8240" t="s">
        <v>29460</v>
      </c>
      <c r="J8240" t="s">
        <v>34840</v>
      </c>
      <c r="K8240" t="s">
        <v>38490</v>
      </c>
      <c r="M8240" t="s">
        <v>41495</v>
      </c>
      <c r="N8240" t="s">
        <v>42669</v>
      </c>
      <c r="O8240" t="s">
        <v>42670</v>
      </c>
      <c r="P8240">
        <v>0</v>
      </c>
      <c r="Q8240">
        <v>10</v>
      </c>
      <c r="R8240" t="s">
        <v>42678</v>
      </c>
      <c r="S8240" t="s">
        <v>42866</v>
      </c>
      <c r="T8240" t="s">
        <v>44754</v>
      </c>
      <c r="U8240" t="s">
        <v>51447</v>
      </c>
      <c r="W8240" t="s">
        <v>41495</v>
      </c>
      <c r="X8240" t="s">
        <v>42679</v>
      </c>
    </row>
    <row r="8241" spans="1:24">
      <c r="A8241">
        <f>HYPERLINK("https://www.philgeps.gov.ph/GEPSNONPILOT/Tender/SplashBidNoticeAbstractUI.aspx?menuIndex=3&amp;refID=7169285&amp;Result=3","7169285")</f>
        <v>0</v>
      </c>
      <c r="B8241" t="s">
        <v>1949</v>
      </c>
      <c r="C8241" t="s">
        <v>11410</v>
      </c>
      <c r="D8241" t="s">
        <v>17179</v>
      </c>
      <c r="E8241" t="s">
        <v>21450</v>
      </c>
      <c r="F8241" t="s">
        <v>29372</v>
      </c>
      <c r="G8241" t="s">
        <v>29380</v>
      </c>
      <c r="H8241" t="s">
        <v>29389</v>
      </c>
      <c r="I8241" t="s">
        <v>10408</v>
      </c>
      <c r="J8241" t="s">
        <v>29590</v>
      </c>
      <c r="K8241" t="s">
        <v>38487</v>
      </c>
      <c r="M8241" t="s">
        <v>40831</v>
      </c>
      <c r="N8241" t="s">
        <v>42669</v>
      </c>
      <c r="O8241" t="s">
        <v>42670</v>
      </c>
      <c r="P8241">
        <v>0</v>
      </c>
      <c r="Q8241">
        <v>0</v>
      </c>
      <c r="R8241" t="s">
        <v>42679</v>
      </c>
      <c r="S8241" t="s">
        <v>42923</v>
      </c>
      <c r="T8241" t="s">
        <v>44452</v>
      </c>
      <c r="U8241" t="s">
        <v>51562</v>
      </c>
      <c r="W8241" t="s">
        <v>40831</v>
      </c>
      <c r="X8241" t="s">
        <v>42685</v>
      </c>
    </row>
    <row r="8242" spans="1:24">
      <c r="A8242">
        <f>HYPERLINK("https://www.philgeps.gov.ph/GEPSNONPILOT/Tender/SplashBidNoticeAbstractUI.aspx?menuIndex=3&amp;refID=7183695&amp;Result=3","7183695")</f>
        <v>0</v>
      </c>
      <c r="B8242" t="s">
        <v>1859</v>
      </c>
      <c r="C8242" t="s">
        <v>11411</v>
      </c>
      <c r="D8242" t="s">
        <v>17205</v>
      </c>
      <c r="E8242" t="s">
        <v>17540</v>
      </c>
      <c r="F8242" t="s">
        <v>29372</v>
      </c>
      <c r="G8242" t="s">
        <v>29380</v>
      </c>
      <c r="H8242" t="s">
        <v>11048</v>
      </c>
      <c r="I8242" t="s">
        <v>4709</v>
      </c>
      <c r="J8242" t="s">
        <v>34841</v>
      </c>
      <c r="K8242" t="s">
        <v>38488</v>
      </c>
      <c r="M8242" t="s">
        <v>40732</v>
      </c>
      <c r="N8242" t="s">
        <v>42669</v>
      </c>
      <c r="O8242" t="s">
        <v>42670</v>
      </c>
      <c r="P8242">
        <v>0</v>
      </c>
      <c r="Q8242">
        <v>0</v>
      </c>
      <c r="R8242" t="s">
        <v>42678</v>
      </c>
      <c r="S8242" t="s">
        <v>42866</v>
      </c>
      <c r="T8242" t="s">
        <v>44425</v>
      </c>
      <c r="U8242" t="s">
        <v>51563</v>
      </c>
      <c r="V8242" t="s">
        <v>57274</v>
      </c>
      <c r="W8242" t="s">
        <v>40732</v>
      </c>
      <c r="X8242" t="s">
        <v>42679</v>
      </c>
    </row>
    <row r="8243" spans="1:24">
      <c r="A8243">
        <f>HYPERLINK("https://www.philgeps.gov.ph/GEPSNONPILOT/Tender/SplashBidNoticeAbstractUI.aspx?menuIndex=3&amp;refID=7172688&amp;Result=3","7172688")</f>
        <v>0</v>
      </c>
      <c r="B8243" t="s">
        <v>459</v>
      </c>
      <c r="C8243" t="s">
        <v>11412</v>
      </c>
      <c r="D8243" t="s">
        <v>17193</v>
      </c>
      <c r="E8243" t="s">
        <v>24337</v>
      </c>
      <c r="F8243" t="s">
        <v>29372</v>
      </c>
      <c r="G8243" t="s">
        <v>29380</v>
      </c>
      <c r="H8243" t="s">
        <v>29389</v>
      </c>
      <c r="I8243" t="s">
        <v>10408</v>
      </c>
      <c r="J8243" t="s">
        <v>34842</v>
      </c>
      <c r="K8243" t="s">
        <v>38666</v>
      </c>
      <c r="M8243" t="s">
        <v>41530</v>
      </c>
      <c r="N8243" t="s">
        <v>42669</v>
      </c>
      <c r="O8243" t="s">
        <v>42670</v>
      </c>
      <c r="P8243">
        <v>0</v>
      </c>
      <c r="Q8243">
        <v>1</v>
      </c>
      <c r="R8243" t="s">
        <v>42679</v>
      </c>
      <c r="S8243" t="s">
        <v>42923</v>
      </c>
      <c r="T8243" t="s">
        <v>44491</v>
      </c>
      <c r="U8243" t="s">
        <v>51564</v>
      </c>
      <c r="W8243" t="s">
        <v>41530</v>
      </c>
      <c r="X8243" t="s">
        <v>42684</v>
      </c>
    </row>
    <row r="8244" spans="1:24">
      <c r="A8244">
        <f>HYPERLINK("https://www.philgeps.gov.ph/GEPSNONPILOT/Tender/SplashBidNoticeAbstractUI.aspx?menuIndex=3&amp;refID=7183696&amp;Result=3","7183696")</f>
        <v>0</v>
      </c>
      <c r="B8244" t="s">
        <v>323</v>
      </c>
      <c r="C8244" t="s">
        <v>11413</v>
      </c>
      <c r="D8244" t="s">
        <v>17143</v>
      </c>
      <c r="E8244" t="s">
        <v>24338</v>
      </c>
      <c r="F8244" t="s">
        <v>29372</v>
      </c>
      <c r="G8244" t="s">
        <v>29380</v>
      </c>
      <c r="H8244" t="s">
        <v>11048</v>
      </c>
      <c r="I8244" t="s">
        <v>29506</v>
      </c>
      <c r="J8244" t="s">
        <v>33676</v>
      </c>
      <c r="K8244" t="s">
        <v>38485</v>
      </c>
      <c r="M8244" t="s">
        <v>39082</v>
      </c>
      <c r="N8244" t="s">
        <v>42669</v>
      </c>
      <c r="O8244" t="s">
        <v>42670</v>
      </c>
      <c r="P8244">
        <v>0</v>
      </c>
      <c r="Q8244">
        <v>1</v>
      </c>
      <c r="R8244" t="s">
        <v>42678</v>
      </c>
      <c r="S8244" t="s">
        <v>42866</v>
      </c>
      <c r="T8244" t="s">
        <v>44488</v>
      </c>
      <c r="U8244" t="s">
        <v>51565</v>
      </c>
      <c r="V8244" t="s">
        <v>57275</v>
      </c>
      <c r="W8244" t="s">
        <v>39082</v>
      </c>
      <c r="X8244" t="s">
        <v>42679</v>
      </c>
    </row>
    <row r="8245" spans="1:24">
      <c r="A8245">
        <f>HYPERLINK("https://www.philgeps.gov.ph/GEPSNONPILOT/Tender/SplashBidNoticeAbstractUI.aspx?menuIndex=3&amp;refID=7173061&amp;Result=3","7173061")</f>
        <v>0</v>
      </c>
      <c r="B8245" t="s">
        <v>459</v>
      </c>
      <c r="C8245" t="s">
        <v>11414</v>
      </c>
      <c r="D8245" t="s">
        <v>17193</v>
      </c>
      <c r="E8245" t="s">
        <v>24339</v>
      </c>
      <c r="F8245" t="s">
        <v>29372</v>
      </c>
      <c r="G8245" t="s">
        <v>29380</v>
      </c>
      <c r="H8245" t="s">
        <v>29389</v>
      </c>
      <c r="I8245" t="s">
        <v>10408</v>
      </c>
      <c r="J8245" t="s">
        <v>29708</v>
      </c>
      <c r="K8245" t="s">
        <v>38551</v>
      </c>
      <c r="M8245" t="s">
        <v>41530</v>
      </c>
      <c r="N8245" t="s">
        <v>42669</v>
      </c>
      <c r="O8245" t="s">
        <v>42670</v>
      </c>
      <c r="P8245">
        <v>0</v>
      </c>
      <c r="Q8245">
        <v>0</v>
      </c>
      <c r="R8245" t="s">
        <v>42679</v>
      </c>
      <c r="S8245" t="s">
        <v>42923</v>
      </c>
      <c r="T8245" t="s">
        <v>44491</v>
      </c>
      <c r="U8245" t="s">
        <v>51564</v>
      </c>
      <c r="W8245" t="s">
        <v>41530</v>
      </c>
      <c r="X8245" t="s">
        <v>42684</v>
      </c>
    </row>
    <row r="8246" spans="1:24">
      <c r="A8246">
        <f>HYPERLINK("https://www.philgeps.gov.ph/GEPSNONPILOT/Tender/SplashBidNoticeAbstractUI.aspx?menuIndex=3&amp;refID=7172876&amp;Result=3","7172876")</f>
        <v>0</v>
      </c>
      <c r="B8246" t="s">
        <v>459</v>
      </c>
      <c r="C8246" t="s">
        <v>11415</v>
      </c>
      <c r="D8246" t="s">
        <v>17193</v>
      </c>
      <c r="E8246" t="s">
        <v>24340</v>
      </c>
      <c r="F8246" t="s">
        <v>29372</v>
      </c>
      <c r="G8246" t="s">
        <v>29380</v>
      </c>
      <c r="H8246" t="s">
        <v>29389</v>
      </c>
      <c r="I8246" t="s">
        <v>10408</v>
      </c>
      <c r="J8246" t="s">
        <v>34843</v>
      </c>
      <c r="K8246" t="s">
        <v>38552</v>
      </c>
      <c r="M8246" t="s">
        <v>41530</v>
      </c>
      <c r="N8246" t="s">
        <v>42669</v>
      </c>
      <c r="O8246" t="s">
        <v>42670</v>
      </c>
      <c r="P8246">
        <v>0</v>
      </c>
      <c r="Q8246">
        <v>1</v>
      </c>
      <c r="R8246" t="s">
        <v>42679</v>
      </c>
      <c r="S8246" t="s">
        <v>42923</v>
      </c>
      <c r="T8246" t="s">
        <v>44491</v>
      </c>
      <c r="U8246" t="s">
        <v>51564</v>
      </c>
      <c r="W8246" t="s">
        <v>41530</v>
      </c>
      <c r="X8246" t="s">
        <v>42684</v>
      </c>
    </row>
    <row r="8247" spans="1:24">
      <c r="A8247">
        <f>HYPERLINK("https://www.philgeps.gov.ph/GEPSNONPILOT/Tender/SplashBidNoticeAbstractUI.aspx?menuIndex=3&amp;refID=7183577&amp;Result=3","7183577")</f>
        <v>0</v>
      </c>
      <c r="B8247" t="s">
        <v>2544</v>
      </c>
      <c r="C8247" t="s">
        <v>11416</v>
      </c>
      <c r="D8247" t="s">
        <v>17141</v>
      </c>
      <c r="E8247" t="s">
        <v>24341</v>
      </c>
      <c r="F8247" t="s">
        <v>29372</v>
      </c>
      <c r="G8247" t="s">
        <v>29380</v>
      </c>
      <c r="H8247" t="s">
        <v>11048</v>
      </c>
      <c r="I8247" t="s">
        <v>3670</v>
      </c>
      <c r="J8247" t="s">
        <v>29555</v>
      </c>
      <c r="K8247" t="s">
        <v>38496</v>
      </c>
      <c r="M8247" t="s">
        <v>41506</v>
      </c>
      <c r="N8247" t="s">
        <v>42669</v>
      </c>
      <c r="O8247" t="s">
        <v>42670</v>
      </c>
      <c r="P8247">
        <v>0</v>
      </c>
      <c r="Q8247">
        <v>1</v>
      </c>
      <c r="R8247" t="s">
        <v>42678</v>
      </c>
      <c r="S8247" t="s">
        <v>42866</v>
      </c>
      <c r="T8247" t="s">
        <v>44427</v>
      </c>
      <c r="U8247" t="s">
        <v>51566</v>
      </c>
      <c r="W8247" t="s">
        <v>41506</v>
      </c>
      <c r="X8247" t="s">
        <v>42679</v>
      </c>
    </row>
    <row r="8248" spans="1:24">
      <c r="A8248">
        <f>HYPERLINK("https://www.philgeps.gov.ph/GEPSNONPILOT/Tender/SplashBidNoticeAbstractUI.aspx?menuIndex=3&amp;refID=7172824&amp;Result=3","7172824")</f>
        <v>0</v>
      </c>
      <c r="B8248" t="s">
        <v>459</v>
      </c>
      <c r="C8248" t="s">
        <v>11417</v>
      </c>
      <c r="D8248" t="s">
        <v>17193</v>
      </c>
      <c r="E8248" t="s">
        <v>24342</v>
      </c>
      <c r="F8248" t="s">
        <v>29372</v>
      </c>
      <c r="G8248" t="s">
        <v>29380</v>
      </c>
      <c r="H8248" t="s">
        <v>29389</v>
      </c>
      <c r="I8248" t="s">
        <v>10408</v>
      </c>
      <c r="J8248" t="s">
        <v>34844</v>
      </c>
      <c r="K8248" t="s">
        <v>38515</v>
      </c>
      <c r="M8248" t="s">
        <v>41530</v>
      </c>
      <c r="N8248" t="s">
        <v>42669</v>
      </c>
      <c r="O8248" t="s">
        <v>42670</v>
      </c>
      <c r="P8248">
        <v>0</v>
      </c>
      <c r="Q8248">
        <v>0</v>
      </c>
      <c r="R8248" t="s">
        <v>42679</v>
      </c>
      <c r="S8248" t="s">
        <v>42923</v>
      </c>
      <c r="T8248" t="s">
        <v>44491</v>
      </c>
      <c r="U8248" t="s">
        <v>51564</v>
      </c>
      <c r="W8248" t="s">
        <v>41530</v>
      </c>
      <c r="X8248" t="s">
        <v>42684</v>
      </c>
    </row>
    <row r="8249" spans="1:24">
      <c r="A8249">
        <f>HYPERLINK("https://www.philgeps.gov.ph/GEPSNONPILOT/Tender/SplashBidNoticeAbstractUI.aspx?menuIndex=3&amp;refID=7172632&amp;Result=3","7172632")</f>
        <v>0</v>
      </c>
      <c r="B8249" t="s">
        <v>459</v>
      </c>
      <c r="C8249" t="s">
        <v>11418</v>
      </c>
      <c r="D8249" t="s">
        <v>17193</v>
      </c>
      <c r="E8249" t="s">
        <v>24343</v>
      </c>
      <c r="F8249" t="s">
        <v>29372</v>
      </c>
      <c r="G8249" t="s">
        <v>29380</v>
      </c>
      <c r="H8249" t="s">
        <v>29389</v>
      </c>
      <c r="I8249" t="s">
        <v>10408</v>
      </c>
      <c r="J8249" t="s">
        <v>34845</v>
      </c>
      <c r="K8249" t="s">
        <v>38536</v>
      </c>
      <c r="M8249" t="s">
        <v>41530</v>
      </c>
      <c r="N8249" t="s">
        <v>42669</v>
      </c>
      <c r="O8249" t="s">
        <v>42670</v>
      </c>
      <c r="P8249">
        <v>0</v>
      </c>
      <c r="Q8249">
        <v>0</v>
      </c>
      <c r="R8249" t="s">
        <v>42679</v>
      </c>
      <c r="S8249" t="s">
        <v>42923</v>
      </c>
      <c r="T8249" t="s">
        <v>44491</v>
      </c>
      <c r="U8249" t="s">
        <v>51564</v>
      </c>
      <c r="W8249" t="s">
        <v>41530</v>
      </c>
      <c r="X8249" t="s">
        <v>42684</v>
      </c>
    </row>
    <row r="8250" spans="1:24">
      <c r="A8250">
        <f>HYPERLINK("https://www.philgeps.gov.ph/GEPSNONPILOT/Tender/SplashBidNoticeAbstractUI.aspx?menuIndex=3&amp;refID=7183704&amp;Result=3","7183704")</f>
        <v>0</v>
      </c>
      <c r="B8250" t="s">
        <v>2418</v>
      </c>
      <c r="C8250" t="s">
        <v>11419</v>
      </c>
      <c r="D8250" t="s">
        <v>17172</v>
      </c>
      <c r="E8250" t="s">
        <v>24331</v>
      </c>
      <c r="F8250" t="s">
        <v>29373</v>
      </c>
      <c r="G8250" t="s">
        <v>29380</v>
      </c>
      <c r="H8250" t="s">
        <v>29389</v>
      </c>
      <c r="I8250" t="s">
        <v>10408</v>
      </c>
      <c r="J8250" t="s">
        <v>29604</v>
      </c>
      <c r="K8250" t="s">
        <v>38496</v>
      </c>
      <c r="L8250" t="s">
        <v>2418</v>
      </c>
      <c r="M8250" t="s">
        <v>41365</v>
      </c>
      <c r="N8250" t="s">
        <v>42669</v>
      </c>
      <c r="O8250" t="s">
        <v>42670</v>
      </c>
      <c r="P8250">
        <v>0</v>
      </c>
      <c r="Q8250">
        <v>0</v>
      </c>
      <c r="R8250" t="s">
        <v>42678</v>
      </c>
      <c r="S8250" t="s">
        <v>42866</v>
      </c>
      <c r="T8250" t="s">
        <v>44407</v>
      </c>
      <c r="U8250" t="s">
        <v>51567</v>
      </c>
      <c r="V8250" t="s">
        <v>51012</v>
      </c>
      <c r="W8250" t="s">
        <v>41365</v>
      </c>
      <c r="X8250" t="s">
        <v>42679</v>
      </c>
    </row>
    <row r="8251" spans="1:24">
      <c r="A8251">
        <f>HYPERLINK("https://www.philgeps.gov.ph/GEPSNONPILOT/Tender/SplashBidNoticeAbstractUI.aspx?menuIndex=3&amp;refID=7172546&amp;Result=3","7172546")</f>
        <v>0</v>
      </c>
      <c r="B8251" t="s">
        <v>1915</v>
      </c>
      <c r="C8251" t="s">
        <v>11420</v>
      </c>
      <c r="D8251" t="s">
        <v>17143</v>
      </c>
      <c r="E8251" t="s">
        <v>24344</v>
      </c>
      <c r="F8251" t="s">
        <v>29372</v>
      </c>
      <c r="G8251" t="s">
        <v>29380</v>
      </c>
      <c r="H8251" t="s">
        <v>29389</v>
      </c>
      <c r="I8251" t="s">
        <v>10408</v>
      </c>
      <c r="J8251" t="s">
        <v>29623</v>
      </c>
      <c r="K8251" t="s">
        <v>38526</v>
      </c>
      <c r="M8251" t="s">
        <v>40790</v>
      </c>
      <c r="N8251" t="s">
        <v>42669</v>
      </c>
      <c r="O8251" t="s">
        <v>42670</v>
      </c>
      <c r="Q8251">
        <v>6</v>
      </c>
      <c r="R8251" t="s">
        <v>42679</v>
      </c>
      <c r="S8251" t="s">
        <v>42925</v>
      </c>
      <c r="T8251" t="s">
        <v>44756</v>
      </c>
      <c r="U8251" t="s">
        <v>49310</v>
      </c>
      <c r="W8251" t="s">
        <v>40790</v>
      </c>
      <c r="X8251" t="s">
        <v>42684</v>
      </c>
    </row>
    <row r="8252" spans="1:24">
      <c r="A8252">
        <f>HYPERLINK("https://www.philgeps.gov.ph/GEPSNONPILOT/Tender/SplashBidNoticeAbstractUI.aspx?menuIndex=3&amp;refID=7172965&amp;Result=3","7172965")</f>
        <v>0</v>
      </c>
      <c r="B8252" t="s">
        <v>459</v>
      </c>
      <c r="C8252" t="s">
        <v>11421</v>
      </c>
      <c r="D8252" t="s">
        <v>17193</v>
      </c>
      <c r="E8252" t="s">
        <v>24345</v>
      </c>
      <c r="F8252" t="s">
        <v>29372</v>
      </c>
      <c r="G8252" t="s">
        <v>29380</v>
      </c>
      <c r="H8252" t="s">
        <v>29389</v>
      </c>
      <c r="I8252" t="s">
        <v>10408</v>
      </c>
      <c r="J8252" t="s">
        <v>29587</v>
      </c>
      <c r="K8252" t="s">
        <v>38613</v>
      </c>
      <c r="M8252" t="s">
        <v>41530</v>
      </c>
      <c r="N8252" t="s">
        <v>42669</v>
      </c>
      <c r="O8252" t="s">
        <v>42670</v>
      </c>
      <c r="P8252">
        <v>0</v>
      </c>
      <c r="Q8252">
        <v>0</v>
      </c>
      <c r="R8252" t="s">
        <v>42679</v>
      </c>
      <c r="S8252" t="s">
        <v>42923</v>
      </c>
      <c r="T8252" t="s">
        <v>44491</v>
      </c>
      <c r="U8252" t="s">
        <v>51564</v>
      </c>
      <c r="W8252" t="s">
        <v>41530</v>
      </c>
      <c r="X8252" t="s">
        <v>42684</v>
      </c>
    </row>
    <row r="8253" spans="1:24">
      <c r="A8253">
        <f>HYPERLINK("https://www.philgeps.gov.ph/GEPSNONPILOT/Tender/SplashBidNoticeAbstractUI.aspx?menuIndex=3&amp;refID=7172312&amp;Result=3","7172312")</f>
        <v>0</v>
      </c>
      <c r="B8253" t="s">
        <v>459</v>
      </c>
      <c r="C8253" t="s">
        <v>11422</v>
      </c>
      <c r="D8253" t="s">
        <v>17193</v>
      </c>
      <c r="E8253" t="s">
        <v>24346</v>
      </c>
      <c r="F8253" t="s">
        <v>29372</v>
      </c>
      <c r="G8253" t="s">
        <v>29380</v>
      </c>
      <c r="H8253" t="s">
        <v>29389</v>
      </c>
      <c r="I8253" t="s">
        <v>10408</v>
      </c>
      <c r="J8253" t="s">
        <v>34846</v>
      </c>
      <c r="K8253" t="s">
        <v>38487</v>
      </c>
      <c r="M8253" t="s">
        <v>41530</v>
      </c>
      <c r="N8253" t="s">
        <v>42669</v>
      </c>
      <c r="O8253" t="s">
        <v>42670</v>
      </c>
      <c r="P8253">
        <v>0</v>
      </c>
      <c r="Q8253">
        <v>0</v>
      </c>
      <c r="R8253" t="s">
        <v>42679</v>
      </c>
      <c r="S8253" t="s">
        <v>42923</v>
      </c>
      <c r="T8253" t="s">
        <v>44491</v>
      </c>
      <c r="U8253" t="s">
        <v>51564</v>
      </c>
      <c r="W8253" t="s">
        <v>41530</v>
      </c>
      <c r="X8253" t="s">
        <v>42684</v>
      </c>
    </row>
    <row r="8254" spans="1:24">
      <c r="A8254">
        <f>HYPERLINK("https://www.philgeps.gov.ph/GEPSNONPILOT/Tender/SplashBidNoticeAbstractUI.aspx?menuIndex=3&amp;refID=7172261&amp;Result=3","7172261")</f>
        <v>0</v>
      </c>
      <c r="B8254" t="s">
        <v>459</v>
      </c>
      <c r="C8254" t="s">
        <v>11423</v>
      </c>
      <c r="D8254" t="s">
        <v>17193</v>
      </c>
      <c r="E8254" t="s">
        <v>24347</v>
      </c>
      <c r="F8254" t="s">
        <v>29372</v>
      </c>
      <c r="G8254" t="s">
        <v>29380</v>
      </c>
      <c r="H8254" t="s">
        <v>29389</v>
      </c>
      <c r="I8254" t="s">
        <v>10408</v>
      </c>
      <c r="J8254" t="s">
        <v>34847</v>
      </c>
      <c r="K8254" t="s">
        <v>38605</v>
      </c>
      <c r="M8254" t="s">
        <v>41530</v>
      </c>
      <c r="N8254" t="s">
        <v>42669</v>
      </c>
      <c r="O8254" t="s">
        <v>42670</v>
      </c>
      <c r="P8254">
        <v>0</v>
      </c>
      <c r="Q8254">
        <v>0</v>
      </c>
      <c r="R8254" t="s">
        <v>42679</v>
      </c>
      <c r="S8254" t="s">
        <v>42923</v>
      </c>
      <c r="T8254" t="s">
        <v>44491</v>
      </c>
      <c r="U8254" t="s">
        <v>51564</v>
      </c>
      <c r="W8254" t="s">
        <v>41530</v>
      </c>
      <c r="X8254" t="s">
        <v>42684</v>
      </c>
    </row>
    <row r="8255" spans="1:24">
      <c r="A8255">
        <f>HYPERLINK("https://www.philgeps.gov.ph/GEPSNONPILOT/Tender/SplashBidNoticeAbstractUI.aspx?menuIndex=3&amp;refID=7172736&amp;Result=3","7172736")</f>
        <v>0</v>
      </c>
      <c r="B8255" t="s">
        <v>459</v>
      </c>
      <c r="C8255" t="s">
        <v>11424</v>
      </c>
      <c r="D8255" t="s">
        <v>17193</v>
      </c>
      <c r="E8255" t="s">
        <v>24348</v>
      </c>
      <c r="F8255" t="s">
        <v>29372</v>
      </c>
      <c r="G8255" t="s">
        <v>29380</v>
      </c>
      <c r="H8255" t="s">
        <v>29389</v>
      </c>
      <c r="I8255" t="s">
        <v>10408</v>
      </c>
      <c r="J8255" t="s">
        <v>34848</v>
      </c>
      <c r="K8255" t="s">
        <v>38565</v>
      </c>
      <c r="M8255" t="s">
        <v>41530</v>
      </c>
      <c r="N8255" t="s">
        <v>42669</v>
      </c>
      <c r="O8255" t="s">
        <v>42670</v>
      </c>
      <c r="P8255">
        <v>0</v>
      </c>
      <c r="Q8255">
        <v>1</v>
      </c>
      <c r="R8255" t="s">
        <v>42679</v>
      </c>
      <c r="S8255" t="s">
        <v>42923</v>
      </c>
      <c r="T8255" t="s">
        <v>44491</v>
      </c>
      <c r="U8255" t="s">
        <v>51564</v>
      </c>
      <c r="W8255" t="s">
        <v>41530</v>
      </c>
      <c r="X8255" t="s">
        <v>42684</v>
      </c>
    </row>
    <row r="8256" spans="1:24">
      <c r="A8256">
        <f>HYPERLINK("https://www.philgeps.gov.ph/GEPSNONPILOT/Tender/SplashBidNoticeAbstractUI.aspx?menuIndex=3&amp;refID=7172052&amp;Result=3","7172052")</f>
        <v>0</v>
      </c>
      <c r="B8256" t="s">
        <v>459</v>
      </c>
      <c r="C8256" t="s">
        <v>11425</v>
      </c>
      <c r="D8256" t="s">
        <v>17193</v>
      </c>
      <c r="E8256" t="s">
        <v>24349</v>
      </c>
      <c r="F8256" t="s">
        <v>29372</v>
      </c>
      <c r="G8256" t="s">
        <v>29380</v>
      </c>
      <c r="H8256" t="s">
        <v>29389</v>
      </c>
      <c r="I8256" t="s">
        <v>10408</v>
      </c>
      <c r="J8256" t="s">
        <v>29555</v>
      </c>
      <c r="K8256" t="s">
        <v>38551</v>
      </c>
      <c r="M8256" t="s">
        <v>41530</v>
      </c>
      <c r="N8256" t="s">
        <v>42669</v>
      </c>
      <c r="O8256" t="s">
        <v>42670</v>
      </c>
      <c r="P8256">
        <v>0</v>
      </c>
      <c r="Q8256">
        <v>0</v>
      </c>
      <c r="R8256" t="s">
        <v>42679</v>
      </c>
      <c r="S8256" t="s">
        <v>42923</v>
      </c>
      <c r="T8256" t="s">
        <v>44491</v>
      </c>
      <c r="U8256" t="s">
        <v>51564</v>
      </c>
      <c r="W8256" t="s">
        <v>41530</v>
      </c>
      <c r="X8256" t="s">
        <v>42684</v>
      </c>
    </row>
    <row r="8257" spans="1:24">
      <c r="A8257">
        <f>HYPERLINK("https://www.philgeps.gov.ph/GEPSNONPILOT/Tender/SplashBidNoticeAbstractUI.aspx?menuIndex=3&amp;refID=7172035&amp;Result=3","7172035")</f>
        <v>0</v>
      </c>
      <c r="B8257" t="s">
        <v>459</v>
      </c>
      <c r="C8257" t="s">
        <v>11426</v>
      </c>
      <c r="D8257" t="s">
        <v>17193</v>
      </c>
      <c r="E8257" t="s">
        <v>24350</v>
      </c>
      <c r="F8257" t="s">
        <v>29372</v>
      </c>
      <c r="G8257" t="s">
        <v>29380</v>
      </c>
      <c r="H8257" t="s">
        <v>29389</v>
      </c>
      <c r="I8257" t="s">
        <v>10408</v>
      </c>
      <c r="J8257" t="s">
        <v>34849</v>
      </c>
      <c r="K8257" t="s">
        <v>38508</v>
      </c>
      <c r="M8257" t="s">
        <v>41530</v>
      </c>
      <c r="N8257" t="s">
        <v>42669</v>
      </c>
      <c r="O8257" t="s">
        <v>42670</v>
      </c>
      <c r="P8257">
        <v>0</v>
      </c>
      <c r="Q8257">
        <v>0</v>
      </c>
      <c r="R8257" t="s">
        <v>42679</v>
      </c>
      <c r="S8257" t="s">
        <v>42923</v>
      </c>
      <c r="T8257" t="s">
        <v>44491</v>
      </c>
      <c r="U8257" t="s">
        <v>51564</v>
      </c>
      <c r="W8257" t="s">
        <v>41530</v>
      </c>
      <c r="X8257" t="s">
        <v>42684</v>
      </c>
    </row>
    <row r="8258" spans="1:24">
      <c r="A8258">
        <f>HYPERLINK("https://www.philgeps.gov.ph/GEPSNONPILOT/Tender/SplashBidNoticeAbstractUI.aspx?menuIndex=3&amp;refID=7183705&amp;Result=3","7183705")</f>
        <v>0</v>
      </c>
      <c r="B8258" t="s">
        <v>1859</v>
      </c>
      <c r="C8258" t="s">
        <v>11427</v>
      </c>
      <c r="D8258" t="s">
        <v>17205</v>
      </c>
      <c r="E8258" t="s">
        <v>17480</v>
      </c>
      <c r="F8258" t="s">
        <v>29372</v>
      </c>
      <c r="G8258" t="s">
        <v>29380</v>
      </c>
      <c r="H8258" t="s">
        <v>11048</v>
      </c>
      <c r="I8258" t="s">
        <v>4709</v>
      </c>
      <c r="J8258" t="s">
        <v>34850</v>
      </c>
      <c r="K8258" t="s">
        <v>38488</v>
      </c>
      <c r="M8258" t="s">
        <v>40732</v>
      </c>
      <c r="N8258" t="s">
        <v>42669</v>
      </c>
      <c r="O8258" t="s">
        <v>42670</v>
      </c>
      <c r="P8258">
        <v>0</v>
      </c>
      <c r="Q8258">
        <v>0</v>
      </c>
      <c r="R8258" t="s">
        <v>42678</v>
      </c>
      <c r="S8258" t="s">
        <v>42866</v>
      </c>
      <c r="T8258" t="s">
        <v>44530</v>
      </c>
      <c r="U8258" t="s">
        <v>51568</v>
      </c>
      <c r="V8258" t="s">
        <v>57274</v>
      </c>
      <c r="W8258" t="s">
        <v>40732</v>
      </c>
      <c r="X8258" t="s">
        <v>42679</v>
      </c>
    </row>
    <row r="8259" spans="1:24">
      <c r="A8259">
        <f>HYPERLINK("https://www.philgeps.gov.ph/GEPSNONPILOT/Tender/SplashBidNoticeAbstractUI.aspx?menuIndex=3&amp;refID=7172007&amp;Result=3","7172007")</f>
        <v>0</v>
      </c>
      <c r="B8259" t="s">
        <v>459</v>
      </c>
      <c r="C8259" t="s">
        <v>11428</v>
      </c>
      <c r="D8259" t="s">
        <v>17193</v>
      </c>
      <c r="E8259" t="s">
        <v>24351</v>
      </c>
      <c r="F8259" t="s">
        <v>29372</v>
      </c>
      <c r="G8259" t="s">
        <v>29380</v>
      </c>
      <c r="H8259" t="s">
        <v>29389</v>
      </c>
      <c r="I8259" t="s">
        <v>10408</v>
      </c>
      <c r="J8259" t="s">
        <v>29825</v>
      </c>
      <c r="K8259" t="s">
        <v>38693</v>
      </c>
      <c r="M8259" t="s">
        <v>41530</v>
      </c>
      <c r="N8259" t="s">
        <v>42669</v>
      </c>
      <c r="O8259" t="s">
        <v>42670</v>
      </c>
      <c r="P8259">
        <v>0</v>
      </c>
      <c r="Q8259">
        <v>0</v>
      </c>
      <c r="R8259" t="s">
        <v>42679</v>
      </c>
      <c r="S8259" t="s">
        <v>42923</v>
      </c>
      <c r="T8259" t="s">
        <v>44491</v>
      </c>
      <c r="U8259" t="s">
        <v>51564</v>
      </c>
      <c r="W8259" t="s">
        <v>41530</v>
      </c>
      <c r="X8259" t="s">
        <v>42684</v>
      </c>
    </row>
    <row r="8260" spans="1:24">
      <c r="A8260">
        <f>HYPERLINK("https://www.philgeps.gov.ph/GEPSNONPILOT/Tender/SplashBidNoticeAbstractUI.aspx?menuIndex=3&amp;refID=7172502&amp;Result=3","7172502")</f>
        <v>0</v>
      </c>
      <c r="B8260" t="s">
        <v>589</v>
      </c>
      <c r="C8260" t="s">
        <v>11429</v>
      </c>
      <c r="D8260" t="s">
        <v>17168</v>
      </c>
      <c r="E8260" t="s">
        <v>24352</v>
      </c>
      <c r="F8260" t="s">
        <v>29372</v>
      </c>
      <c r="G8260" t="s">
        <v>29380</v>
      </c>
      <c r="H8260" t="s">
        <v>11048</v>
      </c>
      <c r="I8260" t="s">
        <v>3839</v>
      </c>
      <c r="J8260" t="s">
        <v>34851</v>
      </c>
      <c r="K8260" t="s">
        <v>38538</v>
      </c>
      <c r="M8260" t="s">
        <v>40450</v>
      </c>
      <c r="N8260" t="s">
        <v>42669</v>
      </c>
      <c r="O8260" t="s">
        <v>42670</v>
      </c>
      <c r="P8260">
        <v>0</v>
      </c>
      <c r="Q8260">
        <v>4</v>
      </c>
      <c r="R8260" t="s">
        <v>42679</v>
      </c>
      <c r="S8260" t="s">
        <v>42923</v>
      </c>
      <c r="T8260" t="s">
        <v>44517</v>
      </c>
      <c r="U8260" t="s">
        <v>51569</v>
      </c>
      <c r="V8260" t="s">
        <v>57276</v>
      </c>
      <c r="W8260" t="s">
        <v>40450</v>
      </c>
      <c r="X8260" t="s">
        <v>42684</v>
      </c>
    </row>
    <row r="8261" spans="1:24">
      <c r="A8261">
        <f>HYPERLINK("https://www.philgeps.gov.ph/GEPSNONPILOT/Tender/SplashBidNoticeAbstractUI.aspx?menuIndex=3&amp;refID=7169432&amp;Result=3","7169432")</f>
        <v>0</v>
      </c>
      <c r="B8261" t="s">
        <v>1949</v>
      </c>
      <c r="C8261" t="s">
        <v>11430</v>
      </c>
      <c r="D8261" t="s">
        <v>17179</v>
      </c>
      <c r="E8261" t="s">
        <v>24353</v>
      </c>
      <c r="F8261" t="s">
        <v>29372</v>
      </c>
      <c r="G8261" t="s">
        <v>29380</v>
      </c>
      <c r="H8261" t="s">
        <v>29389</v>
      </c>
      <c r="I8261" t="s">
        <v>10408</v>
      </c>
      <c r="J8261" t="s">
        <v>32306</v>
      </c>
      <c r="K8261" t="s">
        <v>38495</v>
      </c>
      <c r="M8261" t="s">
        <v>40831</v>
      </c>
      <c r="N8261" t="s">
        <v>42669</v>
      </c>
      <c r="O8261" t="s">
        <v>42670</v>
      </c>
      <c r="P8261">
        <v>0</v>
      </c>
      <c r="Q8261">
        <v>0</v>
      </c>
      <c r="R8261" t="s">
        <v>42679</v>
      </c>
      <c r="S8261" t="s">
        <v>42923</v>
      </c>
      <c r="T8261" t="s">
        <v>44452</v>
      </c>
      <c r="U8261" t="s">
        <v>51570</v>
      </c>
      <c r="W8261" t="s">
        <v>40831</v>
      </c>
      <c r="X8261" t="s">
        <v>42685</v>
      </c>
    </row>
    <row r="8262" spans="1:24">
      <c r="A8262">
        <f>HYPERLINK("https://www.philgeps.gov.ph/GEPSNONPILOT/Tender/SplashBidNoticeAbstractUI.aspx?menuIndex=3&amp;refID=7183499&amp;Result=3","7183499")</f>
        <v>0</v>
      </c>
      <c r="B8262" t="s">
        <v>2565</v>
      </c>
      <c r="C8262" t="s">
        <v>4156</v>
      </c>
      <c r="E8262" t="s">
        <v>17347</v>
      </c>
      <c r="F8262" t="s">
        <v>29372</v>
      </c>
      <c r="G8262" t="s">
        <v>29380</v>
      </c>
      <c r="H8262" t="s">
        <v>29389</v>
      </c>
      <c r="I8262" t="s">
        <v>10408</v>
      </c>
      <c r="J8262" t="s">
        <v>34852</v>
      </c>
      <c r="K8262" t="s">
        <v>38490</v>
      </c>
      <c r="M8262" t="s">
        <v>41531</v>
      </c>
      <c r="N8262" t="s">
        <v>42669</v>
      </c>
      <c r="O8262" t="s">
        <v>42670</v>
      </c>
      <c r="P8262">
        <v>0</v>
      </c>
      <c r="Q8262">
        <v>0</v>
      </c>
      <c r="R8262" t="s">
        <v>42678</v>
      </c>
      <c r="S8262" t="s">
        <v>42866</v>
      </c>
      <c r="T8262" t="s">
        <v>44412</v>
      </c>
      <c r="U8262" t="s">
        <v>51571</v>
      </c>
      <c r="W8262" t="s">
        <v>58090</v>
      </c>
      <c r="X8262" t="s">
        <v>42679</v>
      </c>
    </row>
    <row r="8263" spans="1:24">
      <c r="A8263">
        <f>HYPERLINK("https://www.philgeps.gov.ph/GEPSNONPILOT/Tender/SplashBidNoticeAbstractUI.aspx?menuIndex=3&amp;refID=7172018&amp;Result=3","7172018")</f>
        <v>0</v>
      </c>
      <c r="B8263" t="s">
        <v>459</v>
      </c>
      <c r="C8263" t="s">
        <v>11431</v>
      </c>
      <c r="D8263" t="s">
        <v>17193</v>
      </c>
      <c r="E8263" t="s">
        <v>24354</v>
      </c>
      <c r="F8263" t="s">
        <v>29372</v>
      </c>
      <c r="G8263" t="s">
        <v>29380</v>
      </c>
      <c r="H8263" t="s">
        <v>29389</v>
      </c>
      <c r="I8263" t="s">
        <v>10408</v>
      </c>
      <c r="J8263" t="s">
        <v>34853</v>
      </c>
      <c r="K8263" t="s">
        <v>38606</v>
      </c>
      <c r="M8263" t="s">
        <v>41530</v>
      </c>
      <c r="N8263" t="s">
        <v>42669</v>
      </c>
      <c r="O8263" t="s">
        <v>42670</v>
      </c>
      <c r="P8263">
        <v>0</v>
      </c>
      <c r="Q8263">
        <v>0</v>
      </c>
      <c r="R8263" t="s">
        <v>42679</v>
      </c>
      <c r="S8263" t="s">
        <v>42923</v>
      </c>
      <c r="T8263" t="s">
        <v>44491</v>
      </c>
      <c r="U8263" t="s">
        <v>51564</v>
      </c>
      <c r="W8263" t="s">
        <v>41530</v>
      </c>
      <c r="X8263" t="s">
        <v>42684</v>
      </c>
    </row>
    <row r="8264" spans="1:24">
      <c r="A8264">
        <f>HYPERLINK("https://www.philgeps.gov.ph/GEPSNONPILOT/Tender/SplashBidNoticeAbstractUI.aspx?menuIndex=3&amp;refID=7183670&amp;Result=3","7183670")</f>
        <v>0</v>
      </c>
      <c r="B8264" t="s">
        <v>702</v>
      </c>
      <c r="C8264" t="s">
        <v>11432</v>
      </c>
      <c r="D8264" t="s">
        <v>17221</v>
      </c>
      <c r="E8264" t="s">
        <v>24355</v>
      </c>
      <c r="F8264" t="s">
        <v>29372</v>
      </c>
      <c r="G8264" t="s">
        <v>29380</v>
      </c>
      <c r="H8264" t="s">
        <v>11048</v>
      </c>
      <c r="I8264" t="s">
        <v>3629</v>
      </c>
      <c r="J8264" t="s">
        <v>34854</v>
      </c>
      <c r="K8264" t="s">
        <v>38491</v>
      </c>
      <c r="M8264" t="s">
        <v>39480</v>
      </c>
      <c r="N8264" t="s">
        <v>42669</v>
      </c>
      <c r="O8264" t="s">
        <v>42670</v>
      </c>
      <c r="P8264">
        <v>0</v>
      </c>
      <c r="Q8264">
        <v>0</v>
      </c>
      <c r="R8264" t="s">
        <v>42678</v>
      </c>
      <c r="S8264" t="s">
        <v>42866</v>
      </c>
      <c r="T8264" t="s">
        <v>44481</v>
      </c>
      <c r="U8264" t="s">
        <v>51572</v>
      </c>
      <c r="V8264" t="s">
        <v>57277</v>
      </c>
      <c r="W8264" t="s">
        <v>39480</v>
      </c>
      <c r="X8264" t="s">
        <v>42679</v>
      </c>
    </row>
    <row r="8265" spans="1:24">
      <c r="A8265">
        <f>HYPERLINK("https://www.philgeps.gov.ph/GEPSNONPILOT/Tender/SplashBidNoticeAbstractUI.aspx?menuIndex=3&amp;refID=7183473&amp;Result=3","7183473")</f>
        <v>0</v>
      </c>
      <c r="B8265" t="s">
        <v>1812</v>
      </c>
      <c r="C8265" t="s">
        <v>11433</v>
      </c>
      <c r="D8265" t="s">
        <v>17194</v>
      </c>
      <c r="E8265" t="s">
        <v>24356</v>
      </c>
      <c r="F8265" t="s">
        <v>29372</v>
      </c>
      <c r="G8265" t="s">
        <v>29380</v>
      </c>
      <c r="H8265" t="s">
        <v>11048</v>
      </c>
      <c r="I8265" t="s">
        <v>5383</v>
      </c>
      <c r="J8265" t="s">
        <v>34855</v>
      </c>
      <c r="K8265" t="s">
        <v>38490</v>
      </c>
      <c r="M8265" t="s">
        <v>40683</v>
      </c>
      <c r="N8265" t="s">
        <v>42669</v>
      </c>
      <c r="O8265" t="s">
        <v>42670</v>
      </c>
      <c r="P8265">
        <v>0</v>
      </c>
      <c r="Q8265">
        <v>2</v>
      </c>
      <c r="R8265" t="s">
        <v>42678</v>
      </c>
      <c r="S8265" t="s">
        <v>42866</v>
      </c>
      <c r="T8265" t="s">
        <v>44354</v>
      </c>
      <c r="U8265" t="s">
        <v>51443</v>
      </c>
      <c r="W8265" t="s">
        <v>40683</v>
      </c>
      <c r="X8265" t="s">
        <v>42679</v>
      </c>
    </row>
    <row r="8266" spans="1:24">
      <c r="A8266">
        <f>HYPERLINK("https://www.philgeps.gov.ph/GEPSNONPILOT/Tender/SplashBidNoticeAbstractUI.aspx?menuIndex=3&amp;refID=7170906&amp;Result=3","7170906")</f>
        <v>0</v>
      </c>
      <c r="B8266" t="s">
        <v>2566</v>
      </c>
      <c r="C8266" t="s">
        <v>11434</v>
      </c>
      <c r="D8266" t="s">
        <v>17205</v>
      </c>
      <c r="E8266" t="s">
        <v>24357</v>
      </c>
      <c r="F8266" t="s">
        <v>29372</v>
      </c>
      <c r="G8266" t="s">
        <v>29380</v>
      </c>
      <c r="H8266" t="s">
        <v>29389</v>
      </c>
      <c r="I8266" t="s">
        <v>10408</v>
      </c>
      <c r="J8266" t="s">
        <v>34856</v>
      </c>
      <c r="K8266" t="s">
        <v>38520</v>
      </c>
      <c r="M8266" t="s">
        <v>41532</v>
      </c>
      <c r="N8266" t="s">
        <v>42669</v>
      </c>
      <c r="O8266" t="s">
        <v>42670</v>
      </c>
      <c r="P8266">
        <v>0</v>
      </c>
      <c r="Q8266">
        <v>20</v>
      </c>
      <c r="R8266" t="s">
        <v>42679</v>
      </c>
      <c r="S8266" t="s">
        <v>42923</v>
      </c>
      <c r="T8266" t="s">
        <v>44684</v>
      </c>
      <c r="U8266" t="s">
        <v>51573</v>
      </c>
      <c r="W8266" t="s">
        <v>41532</v>
      </c>
      <c r="X8266" t="s">
        <v>42684</v>
      </c>
    </row>
    <row r="8267" spans="1:24">
      <c r="A8267">
        <f>HYPERLINK("https://www.philgeps.gov.ph/GEPSNONPILOT/Tender/SplashBidNoticeAbstractUI.aspx?menuIndex=3&amp;refID=7183467&amp;Result=3","7183467")</f>
        <v>0</v>
      </c>
      <c r="B8267" t="s">
        <v>2527</v>
      </c>
      <c r="C8267" t="s">
        <v>11435</v>
      </c>
      <c r="D8267" t="s">
        <v>17181</v>
      </c>
      <c r="E8267" t="s">
        <v>17493</v>
      </c>
      <c r="F8267" t="s">
        <v>29372</v>
      </c>
      <c r="G8267" t="s">
        <v>29380</v>
      </c>
      <c r="H8267" t="s">
        <v>29389</v>
      </c>
      <c r="I8267" t="s">
        <v>29417</v>
      </c>
      <c r="J8267" t="s">
        <v>34776</v>
      </c>
      <c r="K8267" t="s">
        <v>38522</v>
      </c>
      <c r="M8267" t="s">
        <v>41489</v>
      </c>
      <c r="N8267" t="s">
        <v>42669</v>
      </c>
      <c r="O8267" t="s">
        <v>42670</v>
      </c>
      <c r="P8267">
        <v>0</v>
      </c>
      <c r="Q8267">
        <v>3</v>
      </c>
      <c r="R8267" t="s">
        <v>42678</v>
      </c>
      <c r="S8267" t="s">
        <v>42866</v>
      </c>
      <c r="T8267" t="s">
        <v>44446</v>
      </c>
      <c r="U8267" t="s">
        <v>51574</v>
      </c>
      <c r="W8267" t="s">
        <v>41489</v>
      </c>
      <c r="X8267" t="s">
        <v>42679</v>
      </c>
    </row>
    <row r="8268" spans="1:24">
      <c r="A8268">
        <f>HYPERLINK("https://www.philgeps.gov.ph/GEPSNONPILOT/Tender/SplashBidNoticeAbstractUI.aspx?menuIndex=3&amp;refID=7183469&amp;Result=3","7183469")</f>
        <v>0</v>
      </c>
      <c r="B8268" t="s">
        <v>2524</v>
      </c>
      <c r="C8268" t="s">
        <v>11436</v>
      </c>
      <c r="D8268" t="s">
        <v>17172</v>
      </c>
      <c r="E8268" t="s">
        <v>24358</v>
      </c>
      <c r="F8268" t="s">
        <v>29372</v>
      </c>
      <c r="G8268" t="s">
        <v>29380</v>
      </c>
      <c r="H8268" t="s">
        <v>29389</v>
      </c>
      <c r="I8268" t="s">
        <v>10408</v>
      </c>
      <c r="J8268" t="s">
        <v>34857</v>
      </c>
      <c r="K8268" t="s">
        <v>38591</v>
      </c>
      <c r="M8268" t="s">
        <v>41486</v>
      </c>
      <c r="N8268" t="s">
        <v>42669</v>
      </c>
      <c r="O8268" t="s">
        <v>42670</v>
      </c>
      <c r="P8268">
        <v>0</v>
      </c>
      <c r="Q8268">
        <v>3</v>
      </c>
      <c r="R8268" t="s">
        <v>42678</v>
      </c>
      <c r="S8268" t="s">
        <v>42866</v>
      </c>
      <c r="T8268" t="s">
        <v>44355</v>
      </c>
      <c r="U8268" t="s">
        <v>51575</v>
      </c>
      <c r="W8268" t="s">
        <v>41486</v>
      </c>
      <c r="X8268" t="s">
        <v>42679</v>
      </c>
    </row>
    <row r="8269" spans="1:24">
      <c r="A8269">
        <f>HYPERLINK("https://www.philgeps.gov.ph/GEPSNONPILOT/Tender/SplashBidNoticeAbstractUI.aspx?menuIndex=3&amp;refID=7183461&amp;Result=3","7183461")</f>
        <v>0</v>
      </c>
      <c r="B8269" t="s">
        <v>2524</v>
      </c>
      <c r="C8269" t="s">
        <v>11437</v>
      </c>
      <c r="D8269" t="s">
        <v>17172</v>
      </c>
      <c r="E8269" t="s">
        <v>24359</v>
      </c>
      <c r="F8269" t="s">
        <v>29372</v>
      </c>
      <c r="G8269" t="s">
        <v>29380</v>
      </c>
      <c r="H8269" t="s">
        <v>29389</v>
      </c>
      <c r="I8269" t="s">
        <v>10408</v>
      </c>
      <c r="J8269" t="s">
        <v>34858</v>
      </c>
      <c r="K8269" t="s">
        <v>38522</v>
      </c>
      <c r="M8269" t="s">
        <v>41486</v>
      </c>
      <c r="N8269" t="s">
        <v>42669</v>
      </c>
      <c r="O8269" t="s">
        <v>42670</v>
      </c>
      <c r="P8269">
        <v>0</v>
      </c>
      <c r="Q8269">
        <v>2</v>
      </c>
      <c r="R8269" t="s">
        <v>42678</v>
      </c>
      <c r="S8269" t="s">
        <v>42866</v>
      </c>
      <c r="T8269" t="s">
        <v>44355</v>
      </c>
      <c r="U8269" t="s">
        <v>51576</v>
      </c>
      <c r="W8269" t="s">
        <v>41486</v>
      </c>
      <c r="X8269" t="s">
        <v>42679</v>
      </c>
    </row>
    <row r="8270" spans="1:24">
      <c r="A8270">
        <f>HYPERLINK("https://www.philgeps.gov.ph/GEPSNONPILOT/Tender/SplashBidNoticeAbstractUI.aspx?menuIndex=3&amp;refID=7172083&amp;Result=3","7172083")</f>
        <v>0</v>
      </c>
      <c r="B8270" t="s">
        <v>459</v>
      </c>
      <c r="C8270" t="s">
        <v>11438</v>
      </c>
      <c r="D8270" t="s">
        <v>17193</v>
      </c>
      <c r="E8270" t="s">
        <v>24360</v>
      </c>
      <c r="F8270" t="s">
        <v>29372</v>
      </c>
      <c r="G8270" t="s">
        <v>29380</v>
      </c>
      <c r="H8270" t="s">
        <v>29389</v>
      </c>
      <c r="I8270" t="s">
        <v>10408</v>
      </c>
      <c r="J8270" t="s">
        <v>34859</v>
      </c>
      <c r="K8270" t="s">
        <v>38518</v>
      </c>
      <c r="M8270" t="s">
        <v>41530</v>
      </c>
      <c r="N8270" t="s">
        <v>42669</v>
      </c>
      <c r="O8270" t="s">
        <v>42670</v>
      </c>
      <c r="P8270">
        <v>0</v>
      </c>
      <c r="Q8270">
        <v>1</v>
      </c>
      <c r="R8270" t="s">
        <v>42679</v>
      </c>
      <c r="S8270" t="s">
        <v>42923</v>
      </c>
      <c r="T8270" t="s">
        <v>44491</v>
      </c>
      <c r="U8270" t="s">
        <v>51564</v>
      </c>
      <c r="W8270" t="s">
        <v>41530</v>
      </c>
      <c r="X8270" t="s">
        <v>42684</v>
      </c>
    </row>
    <row r="8271" spans="1:24">
      <c r="A8271">
        <f>HYPERLINK("https://www.philgeps.gov.ph/GEPSNONPILOT/Tender/SplashBidNoticeAbstractUI.aspx?menuIndex=3&amp;refID=7183285&amp;Result=3","7183285")</f>
        <v>0</v>
      </c>
      <c r="B8271" t="s">
        <v>1380</v>
      </c>
      <c r="C8271" t="s">
        <v>11439</v>
      </c>
      <c r="D8271" t="s">
        <v>17200</v>
      </c>
      <c r="E8271" t="s">
        <v>24361</v>
      </c>
      <c r="F8271" t="s">
        <v>29372</v>
      </c>
      <c r="G8271" t="s">
        <v>29380</v>
      </c>
      <c r="H8271" t="s">
        <v>29389</v>
      </c>
      <c r="I8271" t="s">
        <v>10408</v>
      </c>
      <c r="J8271" t="s">
        <v>34709</v>
      </c>
      <c r="K8271" t="s">
        <v>38526</v>
      </c>
      <c r="M8271" t="s">
        <v>40217</v>
      </c>
      <c r="N8271" t="s">
        <v>42669</v>
      </c>
      <c r="O8271" t="s">
        <v>42670</v>
      </c>
      <c r="Q8271">
        <v>5</v>
      </c>
      <c r="R8271" t="s">
        <v>42678</v>
      </c>
      <c r="S8271" t="s">
        <v>42926</v>
      </c>
      <c r="T8271" t="s">
        <v>44355</v>
      </c>
      <c r="U8271" t="s">
        <v>51577</v>
      </c>
      <c r="V8271" t="s">
        <v>57278</v>
      </c>
      <c r="W8271" t="s">
        <v>40217</v>
      </c>
      <c r="X8271" t="s">
        <v>42679</v>
      </c>
    </row>
    <row r="8272" spans="1:24">
      <c r="A8272">
        <f>HYPERLINK("https://www.philgeps.gov.ph/GEPSNONPILOT/Tender/SplashBidNoticeAbstractUI.aspx?menuIndex=3&amp;refID=7183501&amp;Result=3","7183501")</f>
        <v>0</v>
      </c>
      <c r="B8272" t="s">
        <v>2533</v>
      </c>
      <c r="C8272" t="s">
        <v>11440</v>
      </c>
      <c r="E8272" t="s">
        <v>24362</v>
      </c>
      <c r="F8272" t="s">
        <v>29372</v>
      </c>
      <c r="G8272" t="s">
        <v>29380</v>
      </c>
      <c r="H8272" t="s">
        <v>11048</v>
      </c>
      <c r="I8272" t="s">
        <v>29460</v>
      </c>
      <c r="J8272" t="s">
        <v>34860</v>
      </c>
      <c r="K8272" t="s">
        <v>38490</v>
      </c>
      <c r="M8272" t="s">
        <v>41495</v>
      </c>
      <c r="N8272" t="s">
        <v>42669</v>
      </c>
      <c r="O8272" t="s">
        <v>42670</v>
      </c>
      <c r="P8272">
        <v>0</v>
      </c>
      <c r="Q8272">
        <v>9</v>
      </c>
      <c r="R8272" t="s">
        <v>42678</v>
      </c>
      <c r="S8272" t="s">
        <v>42866</v>
      </c>
      <c r="T8272" t="s">
        <v>44754</v>
      </c>
      <c r="U8272" t="s">
        <v>51447</v>
      </c>
      <c r="W8272" t="s">
        <v>41495</v>
      </c>
      <c r="X8272" t="s">
        <v>42679</v>
      </c>
    </row>
    <row r="8273" spans="1:24">
      <c r="A8273">
        <f>HYPERLINK("https://www.philgeps.gov.ph/GEPSNONPILOT/Tender/SplashBidNoticeAbstractUI.aspx?menuIndex=3&amp;refID=7173009&amp;Result=3","7173009")</f>
        <v>0</v>
      </c>
      <c r="B8273" t="s">
        <v>459</v>
      </c>
      <c r="C8273" t="s">
        <v>11441</v>
      </c>
      <c r="D8273" t="s">
        <v>17193</v>
      </c>
      <c r="E8273" t="s">
        <v>24363</v>
      </c>
      <c r="F8273" t="s">
        <v>29372</v>
      </c>
      <c r="G8273" t="s">
        <v>29380</v>
      </c>
      <c r="H8273" t="s">
        <v>29389</v>
      </c>
      <c r="I8273" t="s">
        <v>10408</v>
      </c>
      <c r="J8273" t="s">
        <v>29708</v>
      </c>
      <c r="K8273" t="s">
        <v>38485</v>
      </c>
      <c r="M8273" t="s">
        <v>41530</v>
      </c>
      <c r="N8273" t="s">
        <v>42669</v>
      </c>
      <c r="O8273" t="s">
        <v>42670</v>
      </c>
      <c r="P8273">
        <v>0</v>
      </c>
      <c r="Q8273">
        <v>0</v>
      </c>
      <c r="R8273" t="s">
        <v>42679</v>
      </c>
      <c r="S8273" t="s">
        <v>42923</v>
      </c>
      <c r="T8273" t="s">
        <v>44491</v>
      </c>
      <c r="U8273" t="s">
        <v>51564</v>
      </c>
      <c r="W8273" t="s">
        <v>41530</v>
      </c>
      <c r="X8273" t="s">
        <v>42684</v>
      </c>
    </row>
    <row r="8274" spans="1:24">
      <c r="A8274">
        <f>HYPERLINK("https://www.philgeps.gov.ph/GEPSNONPILOT/Tender/SplashBidNoticeAbstractUI.aspx?menuIndex=3&amp;refID=7178763&amp;Result=3","7178763")</f>
        <v>0</v>
      </c>
      <c r="B8274" t="s">
        <v>35</v>
      </c>
      <c r="C8274" t="s">
        <v>11442</v>
      </c>
      <c r="D8274" t="s">
        <v>17149</v>
      </c>
      <c r="E8274" t="s">
        <v>24364</v>
      </c>
      <c r="F8274" t="s">
        <v>29372</v>
      </c>
      <c r="G8274" t="s">
        <v>29380</v>
      </c>
      <c r="H8274" t="s">
        <v>11048</v>
      </c>
      <c r="I8274" t="s">
        <v>8614</v>
      </c>
      <c r="J8274" t="s">
        <v>34861</v>
      </c>
      <c r="K8274" t="s">
        <v>38490</v>
      </c>
      <c r="M8274" t="s">
        <v>41135</v>
      </c>
      <c r="N8274" t="s">
        <v>42669</v>
      </c>
      <c r="O8274" t="s">
        <v>42670</v>
      </c>
      <c r="P8274">
        <v>0</v>
      </c>
      <c r="Q8274">
        <v>0</v>
      </c>
      <c r="R8274" t="s">
        <v>42678</v>
      </c>
      <c r="S8274" t="s">
        <v>42866</v>
      </c>
      <c r="T8274" t="s">
        <v>44570</v>
      </c>
      <c r="U8274" t="s">
        <v>51578</v>
      </c>
      <c r="W8274" t="s">
        <v>58072</v>
      </c>
      <c r="X8274" t="s">
        <v>42682</v>
      </c>
    </row>
    <row r="8275" spans="1:24">
      <c r="A8275">
        <f>HYPERLINK("https://www.philgeps.gov.ph/GEPSNONPILOT/Tender/SplashBidNoticeAbstractUI.aspx?menuIndex=3&amp;refID=7183468&amp;Result=3","7183468")</f>
        <v>0</v>
      </c>
      <c r="B8275" t="s">
        <v>2533</v>
      </c>
      <c r="C8275" t="s">
        <v>11443</v>
      </c>
      <c r="E8275" t="s">
        <v>24365</v>
      </c>
      <c r="F8275" t="s">
        <v>29372</v>
      </c>
      <c r="G8275" t="s">
        <v>29380</v>
      </c>
      <c r="H8275" t="s">
        <v>11048</v>
      </c>
      <c r="I8275" t="s">
        <v>29411</v>
      </c>
      <c r="J8275" t="s">
        <v>34862</v>
      </c>
      <c r="K8275" t="s">
        <v>38490</v>
      </c>
      <c r="M8275" t="s">
        <v>41495</v>
      </c>
      <c r="N8275" t="s">
        <v>42669</v>
      </c>
      <c r="O8275" t="s">
        <v>42670</v>
      </c>
      <c r="P8275">
        <v>0</v>
      </c>
      <c r="Q8275">
        <v>4</v>
      </c>
      <c r="R8275" t="s">
        <v>42678</v>
      </c>
      <c r="S8275" t="s">
        <v>42866</v>
      </c>
      <c r="T8275" t="s">
        <v>44754</v>
      </c>
      <c r="U8275" t="s">
        <v>51447</v>
      </c>
      <c r="W8275" t="s">
        <v>41495</v>
      </c>
      <c r="X8275" t="s">
        <v>42679</v>
      </c>
    </row>
    <row r="8276" spans="1:24">
      <c r="A8276">
        <f>HYPERLINK("https://www.philgeps.gov.ph/GEPSNONPILOT/Tender/SplashBidNoticeAbstractUI.aspx?menuIndex=3&amp;refID=7178740&amp;Result=3","7178740")</f>
        <v>0</v>
      </c>
      <c r="B8276" t="s">
        <v>1912</v>
      </c>
      <c r="C8276" t="s">
        <v>11444</v>
      </c>
      <c r="D8276" t="s">
        <v>17194</v>
      </c>
      <c r="E8276" t="s">
        <v>24366</v>
      </c>
      <c r="F8276" t="s">
        <v>29372</v>
      </c>
      <c r="G8276" t="s">
        <v>29380</v>
      </c>
      <c r="H8276" t="s">
        <v>11048</v>
      </c>
      <c r="I8276" t="s">
        <v>29411</v>
      </c>
      <c r="J8276" t="s">
        <v>29625</v>
      </c>
      <c r="K8276" t="s">
        <v>38488</v>
      </c>
      <c r="M8276" t="s">
        <v>40787</v>
      </c>
      <c r="N8276" t="s">
        <v>42669</v>
      </c>
      <c r="O8276" t="s">
        <v>42670</v>
      </c>
      <c r="P8276">
        <v>0</v>
      </c>
      <c r="Q8276">
        <v>0</v>
      </c>
      <c r="R8276" t="s">
        <v>42678</v>
      </c>
      <c r="S8276" t="s">
        <v>42866</v>
      </c>
      <c r="T8276" t="s">
        <v>44491</v>
      </c>
      <c r="U8276" t="s">
        <v>51579</v>
      </c>
      <c r="W8276" t="s">
        <v>40787</v>
      </c>
      <c r="X8276" t="s">
        <v>42682</v>
      </c>
    </row>
    <row r="8277" spans="1:24">
      <c r="A8277">
        <f>HYPERLINK("https://www.philgeps.gov.ph/GEPSNONPILOT/Tender/SplashBidNoticeAbstractUI.aspx?menuIndex=3&amp;refID=7183286&amp;Result=3","7183286")</f>
        <v>0</v>
      </c>
      <c r="B8277" t="s">
        <v>252</v>
      </c>
      <c r="C8277" t="s">
        <v>11445</v>
      </c>
      <c r="D8277" t="s">
        <v>17160</v>
      </c>
      <c r="E8277" t="s">
        <v>24367</v>
      </c>
      <c r="F8277" t="s">
        <v>29372</v>
      </c>
      <c r="G8277" t="s">
        <v>29380</v>
      </c>
      <c r="H8277" t="s">
        <v>29389</v>
      </c>
      <c r="I8277" t="s">
        <v>10408</v>
      </c>
      <c r="J8277" t="s">
        <v>29590</v>
      </c>
      <c r="K8277" t="s">
        <v>38485</v>
      </c>
      <c r="M8277" t="s">
        <v>39011</v>
      </c>
      <c r="N8277" t="s">
        <v>42669</v>
      </c>
      <c r="O8277" t="s">
        <v>42670</v>
      </c>
      <c r="P8277">
        <v>0</v>
      </c>
      <c r="Q8277">
        <v>0</v>
      </c>
      <c r="R8277" t="s">
        <v>42678</v>
      </c>
      <c r="S8277" t="s">
        <v>42866</v>
      </c>
      <c r="T8277" t="s">
        <v>44468</v>
      </c>
      <c r="U8277" t="s">
        <v>51580</v>
      </c>
      <c r="V8277" t="s">
        <v>57237</v>
      </c>
      <c r="W8277" t="s">
        <v>39011</v>
      </c>
      <c r="X8277" t="s">
        <v>42679</v>
      </c>
    </row>
    <row r="8278" spans="1:24">
      <c r="A8278">
        <f>HYPERLINK("https://www.philgeps.gov.ph/GEPSNONPILOT/Tender/SplashBidNoticeAbstractUI.aspx?menuIndex=3&amp;refID=7183282&amp;Result=3","7183282")</f>
        <v>0</v>
      </c>
      <c r="B8278" t="s">
        <v>2518</v>
      </c>
      <c r="C8278" t="s">
        <v>11446</v>
      </c>
      <c r="D8278" t="s">
        <v>17144</v>
      </c>
      <c r="E8278" t="s">
        <v>24368</v>
      </c>
      <c r="F8278" t="s">
        <v>29372</v>
      </c>
      <c r="G8278" t="s">
        <v>29379</v>
      </c>
      <c r="H8278" t="s">
        <v>11048</v>
      </c>
      <c r="I8278" t="s">
        <v>29417</v>
      </c>
      <c r="J8278" t="s">
        <v>30032</v>
      </c>
      <c r="K8278" t="s">
        <v>38491</v>
      </c>
      <c r="M8278" t="s">
        <v>41479</v>
      </c>
      <c r="N8278" t="s">
        <v>42669</v>
      </c>
      <c r="O8278" t="s">
        <v>42670</v>
      </c>
      <c r="P8278">
        <v>0</v>
      </c>
      <c r="Q8278">
        <v>0</v>
      </c>
      <c r="R8278" t="s">
        <v>42678</v>
      </c>
      <c r="S8278" t="s">
        <v>42866</v>
      </c>
      <c r="T8278" t="s">
        <v>44493</v>
      </c>
      <c r="U8278" t="s">
        <v>51581</v>
      </c>
      <c r="W8278" t="s">
        <v>41479</v>
      </c>
      <c r="X8278" t="s">
        <v>42679</v>
      </c>
    </row>
    <row r="8279" spans="1:24">
      <c r="A8279">
        <f>HYPERLINK("https://www.philgeps.gov.ph/GEPSNONPILOT/Tender/SplashBidNoticeAbstractUI.aspx?menuIndex=3&amp;refID=7183281&amp;Result=3","7183281")</f>
        <v>0</v>
      </c>
      <c r="B8279" t="s">
        <v>1817</v>
      </c>
      <c r="C8279" t="s">
        <v>11447</v>
      </c>
      <c r="D8279" t="s">
        <v>17153</v>
      </c>
      <c r="E8279" t="s">
        <v>24369</v>
      </c>
      <c r="F8279" t="s">
        <v>29372</v>
      </c>
      <c r="G8279" t="s">
        <v>29380</v>
      </c>
      <c r="H8279" t="s">
        <v>11048</v>
      </c>
      <c r="I8279" t="s">
        <v>3695</v>
      </c>
      <c r="J8279" t="s">
        <v>34863</v>
      </c>
      <c r="K8279" t="s">
        <v>38488</v>
      </c>
      <c r="M8279" t="s">
        <v>40688</v>
      </c>
      <c r="N8279" t="s">
        <v>42669</v>
      </c>
      <c r="O8279" t="s">
        <v>42670</v>
      </c>
      <c r="P8279">
        <v>0</v>
      </c>
      <c r="Q8279">
        <v>0</v>
      </c>
      <c r="R8279" t="s">
        <v>42678</v>
      </c>
      <c r="S8279" t="s">
        <v>42866</v>
      </c>
      <c r="T8279" t="s">
        <v>44450</v>
      </c>
      <c r="U8279" t="s">
        <v>51296</v>
      </c>
      <c r="W8279" t="s">
        <v>40688</v>
      </c>
      <c r="X8279" t="s">
        <v>42679</v>
      </c>
    </row>
    <row r="8280" spans="1:24">
      <c r="A8280">
        <f>HYPERLINK("https://www.philgeps.gov.ph/GEPSNONPILOT/Tender/SplashBidNoticeAbstractUI.aspx?menuIndex=3&amp;refID=7175165&amp;Result=3","7175165")</f>
        <v>0</v>
      </c>
      <c r="B8280" t="s">
        <v>1195</v>
      </c>
      <c r="C8280" t="s">
        <v>11448</v>
      </c>
      <c r="D8280" t="s">
        <v>17169</v>
      </c>
      <c r="E8280" t="s">
        <v>24370</v>
      </c>
      <c r="F8280" t="s">
        <v>29372</v>
      </c>
      <c r="G8280" t="s">
        <v>29380</v>
      </c>
      <c r="H8280" t="s">
        <v>11048</v>
      </c>
      <c r="I8280" t="s">
        <v>9642</v>
      </c>
      <c r="J8280" t="s">
        <v>34864</v>
      </c>
      <c r="K8280" t="s">
        <v>38490</v>
      </c>
      <c r="M8280" t="s">
        <v>40034</v>
      </c>
      <c r="N8280" t="s">
        <v>42669</v>
      </c>
      <c r="O8280" t="s">
        <v>42670</v>
      </c>
      <c r="P8280">
        <v>0</v>
      </c>
      <c r="Q8280">
        <v>13</v>
      </c>
      <c r="R8280" t="s">
        <v>42679</v>
      </c>
      <c r="S8280" t="s">
        <v>42923</v>
      </c>
      <c r="T8280" t="s">
        <v>44579</v>
      </c>
      <c r="U8280" t="s">
        <v>51582</v>
      </c>
      <c r="W8280" t="s">
        <v>40012</v>
      </c>
      <c r="X8280" t="s">
        <v>42683</v>
      </c>
    </row>
    <row r="8281" spans="1:24">
      <c r="A8281">
        <f>HYPERLINK("https://www.philgeps.gov.ph/GEPSNONPILOT/Tender/SplashBidNoticeAbstractUI.aspx?menuIndex=3&amp;refID=7178289&amp;Result=3","7178289")</f>
        <v>0</v>
      </c>
      <c r="B8281" t="s">
        <v>2567</v>
      </c>
      <c r="C8281" t="s">
        <v>11449</v>
      </c>
      <c r="D8281" t="s">
        <v>17197</v>
      </c>
      <c r="E8281" t="s">
        <v>17347</v>
      </c>
      <c r="F8281" t="s">
        <v>29372</v>
      </c>
      <c r="G8281" t="s">
        <v>29380</v>
      </c>
      <c r="H8281" t="s">
        <v>11048</v>
      </c>
      <c r="I8281" t="s">
        <v>5383</v>
      </c>
      <c r="J8281" t="s">
        <v>34865</v>
      </c>
      <c r="K8281" t="s">
        <v>38485</v>
      </c>
      <c r="M8281" t="s">
        <v>41533</v>
      </c>
      <c r="N8281" t="s">
        <v>42669</v>
      </c>
      <c r="O8281" t="s">
        <v>42670</v>
      </c>
      <c r="P8281">
        <v>0</v>
      </c>
      <c r="Q8281">
        <v>3</v>
      </c>
      <c r="R8281" t="s">
        <v>42678</v>
      </c>
      <c r="S8281" t="s">
        <v>42866</v>
      </c>
      <c r="T8281" t="s">
        <v>44456</v>
      </c>
      <c r="U8281" t="s">
        <v>51583</v>
      </c>
      <c r="W8281" t="s">
        <v>41533</v>
      </c>
      <c r="X8281" t="s">
        <v>42682</v>
      </c>
    </row>
    <row r="8282" spans="1:24">
      <c r="A8282">
        <f>HYPERLINK("https://www.philgeps.gov.ph/GEPSNONPILOT/Tender/SplashBidNoticeAbstractUI.aspx?menuIndex=3&amp;refID=7183462&amp;Result=3","7183462")</f>
        <v>0</v>
      </c>
      <c r="B8282" t="s">
        <v>1812</v>
      </c>
      <c r="C8282" t="s">
        <v>11450</v>
      </c>
      <c r="D8282" t="s">
        <v>17194</v>
      </c>
      <c r="E8282" t="s">
        <v>24371</v>
      </c>
      <c r="F8282" t="s">
        <v>29372</v>
      </c>
      <c r="G8282" t="s">
        <v>29380</v>
      </c>
      <c r="H8282" t="s">
        <v>11048</v>
      </c>
      <c r="I8282" t="s">
        <v>9469</v>
      </c>
      <c r="J8282" t="s">
        <v>29555</v>
      </c>
      <c r="K8282" t="s">
        <v>38490</v>
      </c>
      <c r="M8282" t="s">
        <v>40683</v>
      </c>
      <c r="N8282" t="s">
        <v>42669</v>
      </c>
      <c r="O8282" t="s">
        <v>42670</v>
      </c>
      <c r="P8282">
        <v>0</v>
      </c>
      <c r="Q8282">
        <v>0</v>
      </c>
      <c r="R8282" t="s">
        <v>42678</v>
      </c>
      <c r="S8282" t="s">
        <v>42866</v>
      </c>
      <c r="T8282" t="s">
        <v>44354</v>
      </c>
      <c r="U8282" t="s">
        <v>51443</v>
      </c>
      <c r="W8282" t="s">
        <v>40683</v>
      </c>
      <c r="X8282" t="s">
        <v>42679</v>
      </c>
    </row>
    <row r="8283" spans="1:24">
      <c r="A8283">
        <f>HYPERLINK("https://www.philgeps.gov.ph/GEPSNONPILOT/Tender/SplashBidNoticeAbstractUI.aspx?menuIndex=3&amp;refID=7183280&amp;Result=3","7183280")</f>
        <v>0</v>
      </c>
      <c r="B8283" t="s">
        <v>1400</v>
      </c>
      <c r="C8283" t="s">
        <v>11451</v>
      </c>
      <c r="D8283" t="s">
        <v>17141</v>
      </c>
      <c r="E8283" t="s">
        <v>24372</v>
      </c>
      <c r="F8283" t="s">
        <v>29372</v>
      </c>
      <c r="G8283" t="s">
        <v>29380</v>
      </c>
      <c r="H8283" t="s">
        <v>29389</v>
      </c>
      <c r="I8283" t="s">
        <v>10408</v>
      </c>
      <c r="J8283" t="s">
        <v>34866</v>
      </c>
      <c r="K8283" t="s">
        <v>38659</v>
      </c>
      <c r="M8283" t="s">
        <v>41534</v>
      </c>
      <c r="N8283" t="s">
        <v>42669</v>
      </c>
      <c r="O8283" t="s">
        <v>42670</v>
      </c>
      <c r="P8283">
        <v>0</v>
      </c>
      <c r="Q8283">
        <v>17</v>
      </c>
      <c r="R8283" t="s">
        <v>42678</v>
      </c>
      <c r="S8283" t="s">
        <v>42866</v>
      </c>
      <c r="T8283" t="s">
        <v>44390</v>
      </c>
      <c r="U8283" t="s">
        <v>51584</v>
      </c>
      <c r="V8283" t="s">
        <v>57279</v>
      </c>
      <c r="W8283" t="s">
        <v>41534</v>
      </c>
      <c r="X8283" t="s">
        <v>42679</v>
      </c>
    </row>
    <row r="8284" spans="1:24">
      <c r="A8284">
        <f>HYPERLINK("https://www.philgeps.gov.ph/GEPSNONPILOT/Tender/SplashBidNoticeAbstractUI.aspx?menuIndex=3&amp;refID=7178738&amp;Result=3","7178738")</f>
        <v>0</v>
      </c>
      <c r="B8284" t="s">
        <v>2568</v>
      </c>
      <c r="C8284" t="s">
        <v>11452</v>
      </c>
      <c r="D8284" t="s">
        <v>17165</v>
      </c>
      <c r="E8284" t="s">
        <v>17347</v>
      </c>
      <c r="F8284" t="s">
        <v>29372</v>
      </c>
      <c r="G8284" t="s">
        <v>29380</v>
      </c>
      <c r="H8284" t="s">
        <v>11048</v>
      </c>
      <c r="I8284" t="s">
        <v>29393</v>
      </c>
      <c r="J8284" t="s">
        <v>34867</v>
      </c>
      <c r="K8284" t="s">
        <v>38530</v>
      </c>
      <c r="M8284" t="s">
        <v>41535</v>
      </c>
      <c r="N8284" t="s">
        <v>42669</v>
      </c>
      <c r="O8284" t="s">
        <v>42670</v>
      </c>
      <c r="P8284">
        <v>0</v>
      </c>
      <c r="Q8284">
        <v>0</v>
      </c>
      <c r="R8284" t="s">
        <v>42678</v>
      </c>
      <c r="S8284" t="s">
        <v>42866</v>
      </c>
      <c r="T8284" t="s">
        <v>44401</v>
      </c>
      <c r="U8284" t="s">
        <v>51585</v>
      </c>
      <c r="V8284" t="s">
        <v>57280</v>
      </c>
      <c r="W8284" t="s">
        <v>41535</v>
      </c>
      <c r="X8284" t="s">
        <v>42682</v>
      </c>
    </row>
    <row r="8285" spans="1:24">
      <c r="A8285">
        <f>HYPERLINK("https://www.philgeps.gov.ph/GEPSNONPILOT/Tender/SplashBidNoticeAbstractUI.aspx?menuIndex=3&amp;refID=7174579&amp;Result=3","7174579")</f>
        <v>0</v>
      </c>
      <c r="B8285" t="s">
        <v>2569</v>
      </c>
      <c r="C8285" t="s">
        <v>11453</v>
      </c>
      <c r="D8285" t="s">
        <v>17164</v>
      </c>
      <c r="E8285" t="s">
        <v>24373</v>
      </c>
      <c r="F8285" t="s">
        <v>29372</v>
      </c>
      <c r="G8285" t="s">
        <v>29380</v>
      </c>
      <c r="H8285" t="s">
        <v>29389</v>
      </c>
      <c r="I8285" t="s">
        <v>10408</v>
      </c>
      <c r="J8285" t="s">
        <v>34868</v>
      </c>
      <c r="K8285" t="s">
        <v>38496</v>
      </c>
      <c r="M8285" t="s">
        <v>41536</v>
      </c>
      <c r="N8285" t="s">
        <v>42669</v>
      </c>
      <c r="O8285" t="s">
        <v>42670</v>
      </c>
      <c r="P8285">
        <v>0</v>
      </c>
      <c r="Q8285">
        <v>0</v>
      </c>
      <c r="R8285" t="s">
        <v>42679</v>
      </c>
      <c r="S8285" t="s">
        <v>42923</v>
      </c>
      <c r="T8285" t="s">
        <v>44474</v>
      </c>
      <c r="U8285" t="s">
        <v>51586</v>
      </c>
      <c r="W8285" t="s">
        <v>41536</v>
      </c>
      <c r="X8285" t="s">
        <v>42683</v>
      </c>
    </row>
    <row r="8286" spans="1:24">
      <c r="A8286">
        <f>HYPERLINK("https://www.philgeps.gov.ph/GEPSNONPILOT/Tender/SplashBidNoticeAbstractUI.aspx?menuIndex=3&amp;refID=7175107&amp;Result=3","7175107")</f>
        <v>0</v>
      </c>
      <c r="B8286" t="s">
        <v>2570</v>
      </c>
      <c r="C8286" t="s">
        <v>11454</v>
      </c>
      <c r="D8286" t="s">
        <v>17175</v>
      </c>
      <c r="E8286" t="s">
        <v>24374</v>
      </c>
      <c r="F8286" t="s">
        <v>29372</v>
      </c>
      <c r="G8286" t="s">
        <v>29380</v>
      </c>
      <c r="H8286" t="s">
        <v>11048</v>
      </c>
      <c r="I8286" t="s">
        <v>3597</v>
      </c>
      <c r="J8286" t="s">
        <v>34869</v>
      </c>
      <c r="K8286" t="s">
        <v>38485</v>
      </c>
      <c r="M8286" t="s">
        <v>41537</v>
      </c>
      <c r="N8286" t="s">
        <v>42669</v>
      </c>
      <c r="O8286" t="s">
        <v>42670</v>
      </c>
      <c r="P8286">
        <v>0</v>
      </c>
      <c r="Q8286">
        <v>6</v>
      </c>
      <c r="R8286" t="s">
        <v>42679</v>
      </c>
      <c r="S8286" t="s">
        <v>42923</v>
      </c>
      <c r="T8286" t="s">
        <v>44580</v>
      </c>
      <c r="U8286" t="s">
        <v>51587</v>
      </c>
      <c r="W8286" t="s">
        <v>58091</v>
      </c>
      <c r="X8286" t="s">
        <v>42683</v>
      </c>
    </row>
    <row r="8287" spans="1:24">
      <c r="A8287">
        <f>HYPERLINK("https://www.philgeps.gov.ph/GEPSNONPILOT/Tender/SplashBidNoticeAbstractUI.aspx?menuIndex=3&amp;refID=7174534&amp;Result=3","7174534")</f>
        <v>0</v>
      </c>
      <c r="B8287" t="s">
        <v>2569</v>
      </c>
      <c r="C8287" t="s">
        <v>11455</v>
      </c>
      <c r="D8287" t="s">
        <v>17164</v>
      </c>
      <c r="E8287" t="s">
        <v>24375</v>
      </c>
      <c r="F8287" t="s">
        <v>29372</v>
      </c>
      <c r="G8287" t="s">
        <v>29380</v>
      </c>
      <c r="H8287" t="s">
        <v>29389</v>
      </c>
      <c r="I8287" t="s">
        <v>10408</v>
      </c>
      <c r="J8287" t="s">
        <v>34870</v>
      </c>
      <c r="K8287" t="s">
        <v>38487</v>
      </c>
      <c r="M8287" t="s">
        <v>41536</v>
      </c>
      <c r="N8287" t="s">
        <v>42669</v>
      </c>
      <c r="O8287" t="s">
        <v>42670</v>
      </c>
      <c r="P8287">
        <v>0</v>
      </c>
      <c r="Q8287">
        <v>0</v>
      </c>
      <c r="R8287" t="s">
        <v>42679</v>
      </c>
      <c r="S8287" t="s">
        <v>42923</v>
      </c>
      <c r="T8287" t="s">
        <v>44474</v>
      </c>
      <c r="U8287" t="s">
        <v>51588</v>
      </c>
      <c r="W8287" t="s">
        <v>41536</v>
      </c>
      <c r="X8287" t="s">
        <v>42683</v>
      </c>
    </row>
    <row r="8288" spans="1:24">
      <c r="A8288">
        <f>HYPERLINK("https://www.philgeps.gov.ph/GEPSNONPILOT/Tender/SplashBidNoticeAbstractUI.aspx?menuIndex=3&amp;refID=7174513&amp;Result=3","7174513")</f>
        <v>0</v>
      </c>
      <c r="B8288" t="s">
        <v>46</v>
      </c>
      <c r="C8288" t="s">
        <v>11456</v>
      </c>
      <c r="D8288" t="s">
        <v>17157</v>
      </c>
      <c r="E8288" t="s">
        <v>24376</v>
      </c>
      <c r="F8288" t="s">
        <v>29372</v>
      </c>
      <c r="G8288" t="s">
        <v>29380</v>
      </c>
      <c r="H8288" t="s">
        <v>29389</v>
      </c>
      <c r="I8288" t="s">
        <v>29408</v>
      </c>
      <c r="J8288" t="s">
        <v>34871</v>
      </c>
      <c r="K8288" t="s">
        <v>38522</v>
      </c>
      <c r="M8288" t="s">
        <v>38799</v>
      </c>
      <c r="N8288" t="s">
        <v>42669</v>
      </c>
      <c r="O8288" t="s">
        <v>42670</v>
      </c>
      <c r="P8288">
        <v>0</v>
      </c>
      <c r="Q8288">
        <v>2</v>
      </c>
      <c r="R8288" t="s">
        <v>42679</v>
      </c>
      <c r="S8288" t="s">
        <v>42923</v>
      </c>
      <c r="T8288" t="s">
        <v>44452</v>
      </c>
      <c r="U8288" t="s">
        <v>51589</v>
      </c>
      <c r="V8288" t="s">
        <v>57281</v>
      </c>
      <c r="W8288" t="s">
        <v>38799</v>
      </c>
      <c r="X8288" t="s">
        <v>42683</v>
      </c>
    </row>
    <row r="8289" spans="1:24">
      <c r="A8289">
        <f>HYPERLINK("https://www.philgeps.gov.ph/GEPSNONPILOT/Tender/SplashBidNoticeAbstractUI.aspx?menuIndex=3&amp;refID=7174497&amp;Result=3","7174497")</f>
        <v>0</v>
      </c>
      <c r="B8289" t="s">
        <v>2569</v>
      </c>
      <c r="C8289" t="s">
        <v>11457</v>
      </c>
      <c r="D8289" t="s">
        <v>17164</v>
      </c>
      <c r="E8289" t="s">
        <v>24377</v>
      </c>
      <c r="F8289" t="s">
        <v>29372</v>
      </c>
      <c r="G8289" t="s">
        <v>29380</v>
      </c>
      <c r="H8289" t="s">
        <v>29389</v>
      </c>
      <c r="I8289" t="s">
        <v>10408</v>
      </c>
      <c r="J8289" t="s">
        <v>34872</v>
      </c>
      <c r="K8289" t="s">
        <v>38496</v>
      </c>
      <c r="M8289" t="s">
        <v>41536</v>
      </c>
      <c r="N8289" t="s">
        <v>42669</v>
      </c>
      <c r="O8289" t="s">
        <v>42670</v>
      </c>
      <c r="P8289">
        <v>0</v>
      </c>
      <c r="Q8289">
        <v>0</v>
      </c>
      <c r="R8289" t="s">
        <v>42679</v>
      </c>
      <c r="S8289" t="s">
        <v>42923</v>
      </c>
      <c r="T8289" t="s">
        <v>44474</v>
      </c>
      <c r="U8289" t="s">
        <v>51590</v>
      </c>
      <c r="W8289" t="s">
        <v>41536</v>
      </c>
      <c r="X8289" t="s">
        <v>42683</v>
      </c>
    </row>
    <row r="8290" spans="1:24">
      <c r="A8290">
        <f>HYPERLINK("https://www.philgeps.gov.ph/GEPSNONPILOT/Tender/SplashBidNoticeAbstractUI.aspx?menuIndex=3&amp;refID=7174251&amp;Result=3","7174251")</f>
        <v>0</v>
      </c>
      <c r="B8290" t="s">
        <v>1466</v>
      </c>
      <c r="C8290" t="s">
        <v>11458</v>
      </c>
      <c r="E8290" t="s">
        <v>24378</v>
      </c>
      <c r="F8290" t="s">
        <v>29372</v>
      </c>
      <c r="G8290" t="s">
        <v>29380</v>
      </c>
      <c r="H8290" t="s">
        <v>11048</v>
      </c>
      <c r="I8290" t="s">
        <v>3695</v>
      </c>
      <c r="J8290" t="s">
        <v>34873</v>
      </c>
      <c r="K8290" t="s">
        <v>38490</v>
      </c>
      <c r="M8290" t="s">
        <v>41524</v>
      </c>
      <c r="N8290" t="s">
        <v>42669</v>
      </c>
      <c r="O8290" t="s">
        <v>42670</v>
      </c>
      <c r="P8290">
        <v>0</v>
      </c>
      <c r="Q8290">
        <v>16</v>
      </c>
      <c r="R8290" t="s">
        <v>42679</v>
      </c>
      <c r="S8290" t="s">
        <v>42923</v>
      </c>
      <c r="T8290" t="s">
        <v>44476</v>
      </c>
      <c r="U8290" t="s">
        <v>51591</v>
      </c>
      <c r="W8290" t="s">
        <v>41524</v>
      </c>
      <c r="X8290" t="s">
        <v>42683</v>
      </c>
    </row>
    <row r="8291" spans="1:24">
      <c r="A8291">
        <f>HYPERLINK("https://www.philgeps.gov.ph/GEPSNONPILOT/Tender/SplashBidNoticeAbstractUI.aspx?menuIndex=3&amp;refID=7174062&amp;Result=3","7174062")</f>
        <v>0</v>
      </c>
      <c r="B8291" t="s">
        <v>2571</v>
      </c>
      <c r="C8291" t="s">
        <v>11459</v>
      </c>
      <c r="D8291" t="s">
        <v>17180</v>
      </c>
      <c r="E8291" t="s">
        <v>17870</v>
      </c>
      <c r="F8291" t="s">
        <v>29372</v>
      </c>
      <c r="G8291" t="s">
        <v>29380</v>
      </c>
      <c r="H8291" t="s">
        <v>11048</v>
      </c>
      <c r="I8291" t="s">
        <v>4709</v>
      </c>
      <c r="J8291" t="s">
        <v>34874</v>
      </c>
      <c r="K8291" t="s">
        <v>38510</v>
      </c>
      <c r="M8291" t="s">
        <v>41538</v>
      </c>
      <c r="N8291" t="s">
        <v>42669</v>
      </c>
      <c r="O8291" t="s">
        <v>42670</v>
      </c>
      <c r="P8291">
        <v>0</v>
      </c>
      <c r="Q8291">
        <v>2</v>
      </c>
      <c r="R8291" t="s">
        <v>42679</v>
      </c>
      <c r="S8291" t="s">
        <v>42923</v>
      </c>
      <c r="T8291" t="s">
        <v>44414</v>
      </c>
      <c r="U8291" t="s">
        <v>51592</v>
      </c>
      <c r="V8291" t="s">
        <v>57282</v>
      </c>
      <c r="W8291" t="s">
        <v>41538</v>
      </c>
      <c r="X8291" t="s">
        <v>42684</v>
      </c>
    </row>
    <row r="8292" spans="1:24">
      <c r="A8292">
        <f>HYPERLINK("https://www.philgeps.gov.ph/GEPSNONPILOT/Tender/SplashBidNoticeAbstractUI.aspx?menuIndex=3&amp;refID=7175126&amp;Result=3","7175126")</f>
        <v>0</v>
      </c>
      <c r="B8292" t="s">
        <v>2570</v>
      </c>
      <c r="C8292" t="s">
        <v>11460</v>
      </c>
      <c r="D8292" t="s">
        <v>17175</v>
      </c>
      <c r="E8292" t="s">
        <v>24379</v>
      </c>
      <c r="F8292" t="s">
        <v>29372</v>
      </c>
      <c r="G8292" t="s">
        <v>29380</v>
      </c>
      <c r="H8292" t="s">
        <v>11048</v>
      </c>
      <c r="I8292" t="s">
        <v>3597</v>
      </c>
      <c r="J8292" t="s">
        <v>30127</v>
      </c>
      <c r="K8292" t="s">
        <v>38485</v>
      </c>
      <c r="M8292" t="s">
        <v>41537</v>
      </c>
      <c r="N8292" t="s">
        <v>42669</v>
      </c>
      <c r="O8292" t="s">
        <v>42670</v>
      </c>
      <c r="P8292">
        <v>0</v>
      </c>
      <c r="Q8292">
        <v>3</v>
      </c>
      <c r="R8292" t="s">
        <v>42679</v>
      </c>
      <c r="S8292" t="s">
        <v>42923</v>
      </c>
      <c r="T8292" t="s">
        <v>44580</v>
      </c>
      <c r="U8292" t="s">
        <v>51593</v>
      </c>
      <c r="W8292" t="s">
        <v>58091</v>
      </c>
      <c r="X8292" t="s">
        <v>42683</v>
      </c>
    </row>
    <row r="8293" spans="1:24">
      <c r="A8293">
        <f>HYPERLINK("https://www.philgeps.gov.ph/GEPSNONPILOT/Tender/SplashBidNoticeAbstractUI.aspx?menuIndex=3&amp;refID=7173625&amp;Result=3","7173625")</f>
        <v>0</v>
      </c>
      <c r="B8293" t="s">
        <v>2572</v>
      </c>
      <c r="C8293" t="s">
        <v>11461</v>
      </c>
      <c r="D8293" t="s">
        <v>17152</v>
      </c>
      <c r="E8293" t="s">
        <v>24380</v>
      </c>
      <c r="F8293" t="s">
        <v>29372</v>
      </c>
      <c r="G8293" t="s">
        <v>29380</v>
      </c>
      <c r="H8293" t="s">
        <v>29389</v>
      </c>
      <c r="I8293" t="s">
        <v>10408</v>
      </c>
      <c r="J8293" t="s">
        <v>34875</v>
      </c>
      <c r="K8293" t="s">
        <v>38522</v>
      </c>
      <c r="M8293" t="s">
        <v>41539</v>
      </c>
      <c r="N8293" t="s">
        <v>42669</v>
      </c>
      <c r="O8293" t="s">
        <v>42670</v>
      </c>
      <c r="P8293">
        <v>0</v>
      </c>
      <c r="Q8293">
        <v>0</v>
      </c>
      <c r="R8293" t="s">
        <v>42679</v>
      </c>
      <c r="S8293" t="s">
        <v>42923</v>
      </c>
      <c r="T8293" t="s">
        <v>44459</v>
      </c>
      <c r="U8293" t="s">
        <v>51594</v>
      </c>
      <c r="V8293" t="s">
        <v>57283</v>
      </c>
      <c r="W8293" t="s">
        <v>41539</v>
      </c>
      <c r="X8293" t="s">
        <v>42684</v>
      </c>
    </row>
    <row r="8294" spans="1:24">
      <c r="A8294">
        <f>HYPERLINK("https://www.philgeps.gov.ph/GEPSNONPILOT/Tender/SplashBidNoticeAbstractUI.aspx?menuIndex=3&amp;refID=7173318&amp;Result=3","7173318")</f>
        <v>0</v>
      </c>
      <c r="B8294" t="s">
        <v>2147</v>
      </c>
      <c r="C8294" t="s">
        <v>11462</v>
      </c>
      <c r="D8294" t="s">
        <v>17174</v>
      </c>
      <c r="E8294" t="s">
        <v>24381</v>
      </c>
      <c r="F8294" t="s">
        <v>29372</v>
      </c>
      <c r="G8294" t="s">
        <v>29380</v>
      </c>
      <c r="H8294" t="s">
        <v>29389</v>
      </c>
      <c r="I8294" t="s">
        <v>29429</v>
      </c>
      <c r="J8294" t="s">
        <v>34876</v>
      </c>
      <c r="K8294" t="s">
        <v>38501</v>
      </c>
      <c r="M8294" t="s">
        <v>41054</v>
      </c>
      <c r="N8294" t="s">
        <v>42669</v>
      </c>
      <c r="O8294" t="s">
        <v>42670</v>
      </c>
      <c r="P8294">
        <v>0</v>
      </c>
      <c r="Q8294">
        <v>0</v>
      </c>
      <c r="R8294" t="s">
        <v>42679</v>
      </c>
      <c r="S8294" t="s">
        <v>42923</v>
      </c>
      <c r="T8294" t="s">
        <v>44450</v>
      </c>
      <c r="U8294" t="s">
        <v>51595</v>
      </c>
      <c r="W8294" t="s">
        <v>41054</v>
      </c>
      <c r="X8294" t="s">
        <v>42684</v>
      </c>
    </row>
    <row r="8295" spans="1:24">
      <c r="A8295">
        <f>HYPERLINK("https://www.philgeps.gov.ph/GEPSNONPILOT/Tender/SplashBidNoticeAbstractUI.aspx?menuIndex=3&amp;refID=7174841&amp;Result=3","7174841")</f>
        <v>0</v>
      </c>
      <c r="B8295" t="s">
        <v>2569</v>
      </c>
      <c r="C8295" t="s">
        <v>11463</v>
      </c>
      <c r="D8295" t="s">
        <v>17164</v>
      </c>
      <c r="E8295" t="s">
        <v>24382</v>
      </c>
      <c r="F8295" t="s">
        <v>29372</v>
      </c>
      <c r="G8295" t="s">
        <v>29380</v>
      </c>
      <c r="H8295" t="s">
        <v>29389</v>
      </c>
      <c r="I8295" t="s">
        <v>10408</v>
      </c>
      <c r="J8295" t="s">
        <v>34877</v>
      </c>
      <c r="K8295" t="s">
        <v>38487</v>
      </c>
      <c r="M8295" t="s">
        <v>41536</v>
      </c>
      <c r="N8295" t="s">
        <v>42669</v>
      </c>
      <c r="O8295" t="s">
        <v>42670</v>
      </c>
      <c r="P8295">
        <v>0</v>
      </c>
      <c r="Q8295">
        <v>0</v>
      </c>
      <c r="R8295" t="s">
        <v>42679</v>
      </c>
      <c r="S8295" t="s">
        <v>42923</v>
      </c>
      <c r="T8295" t="s">
        <v>44474</v>
      </c>
      <c r="U8295" t="s">
        <v>51596</v>
      </c>
      <c r="W8295" t="s">
        <v>41536</v>
      </c>
      <c r="X8295" t="s">
        <v>42683</v>
      </c>
    </row>
    <row r="8296" spans="1:24">
      <c r="A8296">
        <f>HYPERLINK("https://www.philgeps.gov.ph/GEPSNONPILOT/Tender/SplashBidNoticeAbstractUI.aspx?menuIndex=3&amp;refID=7173526&amp;Result=3","7173526")</f>
        <v>0</v>
      </c>
      <c r="B8296" t="s">
        <v>2573</v>
      </c>
      <c r="C8296" t="s">
        <v>11464</v>
      </c>
      <c r="D8296" t="s">
        <v>17147</v>
      </c>
      <c r="E8296" t="s">
        <v>24383</v>
      </c>
      <c r="F8296" t="s">
        <v>29372</v>
      </c>
      <c r="G8296" t="s">
        <v>29380</v>
      </c>
      <c r="H8296" t="s">
        <v>29389</v>
      </c>
      <c r="I8296" t="s">
        <v>10408</v>
      </c>
      <c r="J8296" t="s">
        <v>34878</v>
      </c>
      <c r="K8296" t="s">
        <v>38564</v>
      </c>
      <c r="M8296" t="s">
        <v>41540</v>
      </c>
      <c r="N8296" t="s">
        <v>42669</v>
      </c>
      <c r="O8296" t="s">
        <v>42670</v>
      </c>
      <c r="P8296">
        <v>0</v>
      </c>
      <c r="Q8296">
        <v>0</v>
      </c>
      <c r="R8296" t="s">
        <v>42679</v>
      </c>
      <c r="S8296" t="s">
        <v>42923</v>
      </c>
      <c r="T8296" t="s">
        <v>44355</v>
      </c>
      <c r="U8296" t="s">
        <v>51597</v>
      </c>
      <c r="W8296" t="s">
        <v>41540</v>
      </c>
      <c r="X8296" t="s">
        <v>42684</v>
      </c>
    </row>
    <row r="8297" spans="1:24">
      <c r="A8297">
        <f>HYPERLINK("https://www.philgeps.gov.ph/GEPSNONPILOT/Tender/SplashBidNoticeAbstractUI.aspx?menuIndex=3&amp;refID=7174347&amp;Result=3","7174347")</f>
        <v>0</v>
      </c>
      <c r="B8297" t="s">
        <v>2569</v>
      </c>
      <c r="C8297" t="s">
        <v>11465</v>
      </c>
      <c r="D8297" t="s">
        <v>17164</v>
      </c>
      <c r="E8297" t="s">
        <v>24384</v>
      </c>
      <c r="F8297" t="s">
        <v>29372</v>
      </c>
      <c r="G8297" t="s">
        <v>29380</v>
      </c>
      <c r="H8297" t="s">
        <v>29389</v>
      </c>
      <c r="I8297" t="s">
        <v>10408</v>
      </c>
      <c r="J8297" t="s">
        <v>34879</v>
      </c>
      <c r="K8297" t="s">
        <v>38522</v>
      </c>
      <c r="M8297" t="s">
        <v>41536</v>
      </c>
      <c r="N8297" t="s">
        <v>42669</v>
      </c>
      <c r="O8297" t="s">
        <v>42670</v>
      </c>
      <c r="P8297">
        <v>0</v>
      </c>
      <c r="Q8297">
        <v>0</v>
      </c>
      <c r="R8297" t="s">
        <v>42679</v>
      </c>
      <c r="S8297" t="s">
        <v>42923</v>
      </c>
      <c r="T8297" t="s">
        <v>44474</v>
      </c>
      <c r="U8297" t="s">
        <v>51598</v>
      </c>
      <c r="W8297" t="s">
        <v>41536</v>
      </c>
      <c r="X8297" t="s">
        <v>42683</v>
      </c>
    </row>
    <row r="8298" spans="1:24">
      <c r="A8298">
        <f>HYPERLINK("https://www.philgeps.gov.ph/GEPSNONPILOT/Tender/SplashBidNoticeAbstractUI.aspx?menuIndex=3&amp;refID=7175151&amp;Result=3","7175151")</f>
        <v>0</v>
      </c>
      <c r="B8298" t="s">
        <v>2570</v>
      </c>
      <c r="C8298" t="s">
        <v>11466</v>
      </c>
      <c r="D8298" t="s">
        <v>17175</v>
      </c>
      <c r="E8298" t="s">
        <v>24385</v>
      </c>
      <c r="F8298" t="s">
        <v>29372</v>
      </c>
      <c r="G8298" t="s">
        <v>29380</v>
      </c>
      <c r="H8298" t="s">
        <v>11048</v>
      </c>
      <c r="I8298" t="s">
        <v>3629</v>
      </c>
      <c r="J8298" t="s">
        <v>34880</v>
      </c>
      <c r="K8298" t="s">
        <v>38510</v>
      </c>
      <c r="M8298" t="s">
        <v>41537</v>
      </c>
      <c r="N8298" t="s">
        <v>42669</v>
      </c>
      <c r="O8298" t="s">
        <v>42670</v>
      </c>
      <c r="P8298">
        <v>0</v>
      </c>
      <c r="Q8298">
        <v>1</v>
      </c>
      <c r="R8298" t="s">
        <v>42679</v>
      </c>
      <c r="S8298" t="s">
        <v>42923</v>
      </c>
      <c r="T8298" t="s">
        <v>44580</v>
      </c>
      <c r="U8298" t="s">
        <v>51599</v>
      </c>
      <c r="W8298" t="s">
        <v>58091</v>
      </c>
      <c r="X8298" t="s">
        <v>42683</v>
      </c>
    </row>
    <row r="8299" spans="1:24">
      <c r="A8299">
        <f>HYPERLINK("https://www.philgeps.gov.ph/GEPSNONPILOT/Tender/SplashBidNoticeAbstractUI.aspx?menuIndex=3&amp;refID=7178263&amp;Result=3","7178263")</f>
        <v>0</v>
      </c>
      <c r="B8299" t="s">
        <v>35</v>
      </c>
      <c r="C8299" t="s">
        <v>11467</v>
      </c>
      <c r="D8299" t="s">
        <v>17149</v>
      </c>
      <c r="E8299" t="s">
        <v>24386</v>
      </c>
      <c r="F8299" t="s">
        <v>29372</v>
      </c>
      <c r="G8299" t="s">
        <v>29380</v>
      </c>
      <c r="H8299" t="s">
        <v>11048</v>
      </c>
      <c r="I8299" t="s">
        <v>4709</v>
      </c>
      <c r="J8299" t="s">
        <v>34881</v>
      </c>
      <c r="K8299" t="s">
        <v>38490</v>
      </c>
      <c r="M8299" t="s">
        <v>41135</v>
      </c>
      <c r="N8299" t="s">
        <v>42669</v>
      </c>
      <c r="O8299" t="s">
        <v>42670</v>
      </c>
      <c r="P8299">
        <v>0</v>
      </c>
      <c r="Q8299">
        <v>0</v>
      </c>
      <c r="R8299" t="s">
        <v>42678</v>
      </c>
      <c r="S8299" t="s">
        <v>42866</v>
      </c>
      <c r="T8299" t="s">
        <v>44570</v>
      </c>
      <c r="U8299" t="s">
        <v>50612</v>
      </c>
      <c r="W8299" t="s">
        <v>58072</v>
      </c>
      <c r="X8299" t="s">
        <v>42682</v>
      </c>
    </row>
    <row r="8300" spans="1:24">
      <c r="A8300">
        <f>HYPERLINK("https://www.philgeps.gov.ph/GEPSNONPILOT/Tender/SplashBidNoticeAbstractUI.aspx?menuIndex=3&amp;refID=7173602&amp;Result=3","7173602")</f>
        <v>0</v>
      </c>
      <c r="B8300" t="s">
        <v>2572</v>
      </c>
      <c r="C8300" t="s">
        <v>11468</v>
      </c>
      <c r="D8300" t="s">
        <v>17152</v>
      </c>
      <c r="E8300" t="s">
        <v>24387</v>
      </c>
      <c r="F8300" t="s">
        <v>29372</v>
      </c>
      <c r="G8300" t="s">
        <v>29380</v>
      </c>
      <c r="H8300" t="s">
        <v>29389</v>
      </c>
      <c r="I8300" t="s">
        <v>10408</v>
      </c>
      <c r="J8300" t="s">
        <v>29543</v>
      </c>
      <c r="K8300" t="s">
        <v>38495</v>
      </c>
      <c r="M8300" t="s">
        <v>41539</v>
      </c>
      <c r="N8300" t="s">
        <v>42669</v>
      </c>
      <c r="O8300" t="s">
        <v>42670</v>
      </c>
      <c r="P8300">
        <v>0</v>
      </c>
      <c r="Q8300">
        <v>0</v>
      </c>
      <c r="R8300" t="s">
        <v>42679</v>
      </c>
      <c r="S8300" t="s">
        <v>42923</v>
      </c>
      <c r="T8300" t="s">
        <v>44459</v>
      </c>
      <c r="U8300" t="s">
        <v>51600</v>
      </c>
      <c r="V8300" t="s">
        <v>57283</v>
      </c>
      <c r="W8300" t="s">
        <v>41539</v>
      </c>
      <c r="X8300" t="s">
        <v>42684</v>
      </c>
    </row>
    <row r="8301" spans="1:24">
      <c r="A8301">
        <f>HYPERLINK("https://www.philgeps.gov.ph/GEPSNONPILOT/Tender/SplashBidNoticeAbstractUI.aspx?menuIndex=3&amp;refID=7175553&amp;Result=3","7175553")</f>
        <v>0</v>
      </c>
      <c r="B8301" t="s">
        <v>2337</v>
      </c>
      <c r="C8301" t="s">
        <v>11469</v>
      </c>
      <c r="D8301" t="s">
        <v>17206</v>
      </c>
      <c r="E8301" t="s">
        <v>24388</v>
      </c>
      <c r="F8301" t="s">
        <v>29372</v>
      </c>
      <c r="G8301" t="s">
        <v>29380</v>
      </c>
      <c r="H8301" t="s">
        <v>29389</v>
      </c>
      <c r="I8301" t="s">
        <v>10408</v>
      </c>
      <c r="J8301" t="s">
        <v>34882</v>
      </c>
      <c r="K8301" t="s">
        <v>38487</v>
      </c>
      <c r="M8301" t="s">
        <v>41270</v>
      </c>
      <c r="N8301" t="s">
        <v>42669</v>
      </c>
      <c r="O8301" t="s">
        <v>42670</v>
      </c>
      <c r="P8301">
        <v>0</v>
      </c>
      <c r="Q8301">
        <v>0</v>
      </c>
      <c r="R8301" t="s">
        <v>42679</v>
      </c>
      <c r="S8301" t="s">
        <v>42923</v>
      </c>
      <c r="T8301" t="s">
        <v>44515</v>
      </c>
      <c r="U8301" t="s">
        <v>50694</v>
      </c>
      <c r="W8301" t="s">
        <v>41270</v>
      </c>
      <c r="X8301" t="s">
        <v>42683</v>
      </c>
    </row>
    <row r="8302" spans="1:24">
      <c r="A8302">
        <f>HYPERLINK("https://www.philgeps.gov.ph/GEPSNONPILOT/Tender/SplashBidNoticeAbstractUI.aspx?menuIndex=3&amp;refID=7175456&amp;Result=3","7175456")</f>
        <v>0</v>
      </c>
      <c r="B8302" t="s">
        <v>2570</v>
      </c>
      <c r="C8302" t="s">
        <v>11470</v>
      </c>
      <c r="D8302" t="s">
        <v>17175</v>
      </c>
      <c r="E8302" t="s">
        <v>24389</v>
      </c>
      <c r="F8302" t="s">
        <v>29372</v>
      </c>
      <c r="G8302" t="s">
        <v>29380</v>
      </c>
      <c r="H8302" t="s">
        <v>11048</v>
      </c>
      <c r="I8302" t="s">
        <v>8208</v>
      </c>
      <c r="J8302" t="s">
        <v>34883</v>
      </c>
      <c r="K8302" t="s">
        <v>38490</v>
      </c>
      <c r="M8302" t="s">
        <v>41537</v>
      </c>
      <c r="N8302" t="s">
        <v>42669</v>
      </c>
      <c r="O8302" t="s">
        <v>42670</v>
      </c>
      <c r="P8302">
        <v>0</v>
      </c>
      <c r="Q8302">
        <v>0</v>
      </c>
      <c r="R8302" t="s">
        <v>42679</v>
      </c>
      <c r="S8302" t="s">
        <v>42923</v>
      </c>
      <c r="T8302" t="s">
        <v>44643</v>
      </c>
      <c r="U8302" t="s">
        <v>51601</v>
      </c>
      <c r="W8302" t="s">
        <v>58091</v>
      </c>
      <c r="X8302" t="s">
        <v>42683</v>
      </c>
    </row>
    <row r="8303" spans="1:24">
      <c r="A8303">
        <f>HYPERLINK("https://www.philgeps.gov.ph/GEPSNONPILOT/Tender/SplashBidNoticeAbstractUI.aspx?menuIndex=3&amp;refID=7175567&amp;Result=3","7175567")</f>
        <v>0</v>
      </c>
      <c r="B8303" t="s">
        <v>1919</v>
      </c>
      <c r="C8303" t="s">
        <v>11471</v>
      </c>
      <c r="D8303" t="s">
        <v>17194</v>
      </c>
      <c r="E8303" t="s">
        <v>24390</v>
      </c>
      <c r="F8303" t="s">
        <v>29372</v>
      </c>
      <c r="G8303" t="s">
        <v>29380</v>
      </c>
      <c r="H8303" t="s">
        <v>11048</v>
      </c>
      <c r="I8303" t="s">
        <v>4709</v>
      </c>
      <c r="J8303" t="s">
        <v>29797</v>
      </c>
      <c r="K8303" t="s">
        <v>38485</v>
      </c>
      <c r="M8303" t="s">
        <v>40794</v>
      </c>
      <c r="N8303" t="s">
        <v>42669</v>
      </c>
      <c r="O8303" t="s">
        <v>42670</v>
      </c>
      <c r="P8303">
        <v>0</v>
      </c>
      <c r="Q8303">
        <v>0</v>
      </c>
      <c r="R8303" t="s">
        <v>42679</v>
      </c>
      <c r="S8303" t="s">
        <v>42923</v>
      </c>
      <c r="T8303" t="s">
        <v>44432</v>
      </c>
      <c r="U8303" t="s">
        <v>49835</v>
      </c>
      <c r="V8303" t="s">
        <v>56972</v>
      </c>
      <c r="W8303" t="s">
        <v>40794</v>
      </c>
      <c r="X8303" t="s">
        <v>42683</v>
      </c>
    </row>
    <row r="8304" spans="1:24">
      <c r="A8304">
        <f>HYPERLINK("https://www.philgeps.gov.ph/GEPSNONPILOT/Tender/SplashBidNoticeAbstractUI.aspx?menuIndex=3&amp;refID=7175518&amp;Result=3","7175518")</f>
        <v>0</v>
      </c>
      <c r="B8304" t="s">
        <v>2570</v>
      </c>
      <c r="C8304" t="s">
        <v>11472</v>
      </c>
      <c r="D8304" t="s">
        <v>17175</v>
      </c>
      <c r="E8304" t="s">
        <v>24391</v>
      </c>
      <c r="F8304" t="s">
        <v>29372</v>
      </c>
      <c r="G8304" t="s">
        <v>29380</v>
      </c>
      <c r="H8304" t="s">
        <v>29389</v>
      </c>
      <c r="I8304" t="s">
        <v>10408</v>
      </c>
      <c r="J8304" t="s">
        <v>34884</v>
      </c>
      <c r="K8304" t="s">
        <v>38694</v>
      </c>
      <c r="M8304" t="s">
        <v>41537</v>
      </c>
      <c r="N8304" t="s">
        <v>42669</v>
      </c>
      <c r="O8304" t="s">
        <v>42670</v>
      </c>
      <c r="P8304">
        <v>0</v>
      </c>
      <c r="Q8304">
        <v>3</v>
      </c>
      <c r="R8304" t="s">
        <v>42679</v>
      </c>
      <c r="S8304" t="s">
        <v>42923</v>
      </c>
      <c r="T8304" t="s">
        <v>44643</v>
      </c>
      <c r="U8304" t="s">
        <v>51602</v>
      </c>
      <c r="W8304" t="s">
        <v>58091</v>
      </c>
      <c r="X8304" t="s">
        <v>42683</v>
      </c>
    </row>
    <row r="8305" spans="1:24">
      <c r="A8305">
        <f>HYPERLINK("https://www.philgeps.gov.ph/GEPSNONPILOT/Tender/SplashBidNoticeAbstractUI.aspx?menuIndex=3&amp;refID=7175517&amp;Result=3","7175517")</f>
        <v>0</v>
      </c>
      <c r="B8305" t="s">
        <v>1919</v>
      </c>
      <c r="C8305" t="s">
        <v>11473</v>
      </c>
      <c r="D8305" t="s">
        <v>17194</v>
      </c>
      <c r="E8305" t="s">
        <v>24392</v>
      </c>
      <c r="F8305" t="s">
        <v>29372</v>
      </c>
      <c r="G8305" t="s">
        <v>29380</v>
      </c>
      <c r="H8305" t="s">
        <v>11048</v>
      </c>
      <c r="I8305" t="s">
        <v>4709</v>
      </c>
      <c r="J8305" t="s">
        <v>34885</v>
      </c>
      <c r="K8305" t="s">
        <v>38485</v>
      </c>
      <c r="M8305" t="s">
        <v>40794</v>
      </c>
      <c r="N8305" t="s">
        <v>42669</v>
      </c>
      <c r="O8305" t="s">
        <v>42670</v>
      </c>
      <c r="P8305">
        <v>0</v>
      </c>
      <c r="Q8305">
        <v>0</v>
      </c>
      <c r="R8305" t="s">
        <v>42679</v>
      </c>
      <c r="S8305" t="s">
        <v>42923</v>
      </c>
      <c r="T8305" t="s">
        <v>44432</v>
      </c>
      <c r="U8305" t="s">
        <v>49835</v>
      </c>
      <c r="V8305" t="s">
        <v>56972</v>
      </c>
      <c r="W8305" t="s">
        <v>40794</v>
      </c>
      <c r="X8305" t="s">
        <v>42683</v>
      </c>
    </row>
    <row r="8306" spans="1:24">
      <c r="A8306">
        <f>HYPERLINK("https://www.philgeps.gov.ph/GEPSNONPILOT/Tender/SplashBidNoticeAbstractUI.aspx?menuIndex=3&amp;refID=7175510&amp;Result=3","7175510")</f>
        <v>0</v>
      </c>
      <c r="B8306" t="s">
        <v>2337</v>
      </c>
      <c r="C8306" t="s">
        <v>11469</v>
      </c>
      <c r="D8306" t="s">
        <v>17206</v>
      </c>
      <c r="E8306" t="s">
        <v>24393</v>
      </c>
      <c r="F8306" t="s">
        <v>29372</v>
      </c>
      <c r="G8306" t="s">
        <v>29380</v>
      </c>
      <c r="H8306" t="s">
        <v>29389</v>
      </c>
      <c r="I8306" t="s">
        <v>10408</v>
      </c>
      <c r="J8306" t="s">
        <v>34882</v>
      </c>
      <c r="K8306" t="s">
        <v>38487</v>
      </c>
      <c r="M8306" t="s">
        <v>41270</v>
      </c>
      <c r="N8306" t="s">
        <v>42669</v>
      </c>
      <c r="O8306" t="s">
        <v>42670</v>
      </c>
      <c r="P8306">
        <v>0</v>
      </c>
      <c r="Q8306">
        <v>0</v>
      </c>
      <c r="R8306" t="s">
        <v>42679</v>
      </c>
      <c r="S8306" t="s">
        <v>42923</v>
      </c>
      <c r="T8306" t="s">
        <v>44579</v>
      </c>
      <c r="U8306" t="s">
        <v>50694</v>
      </c>
      <c r="W8306" t="s">
        <v>41270</v>
      </c>
      <c r="X8306" t="s">
        <v>42683</v>
      </c>
    </row>
    <row r="8307" spans="1:24">
      <c r="A8307">
        <f>HYPERLINK("https://www.philgeps.gov.ph/GEPSNONPILOT/Tender/SplashBidNoticeAbstractUI.aspx?menuIndex=3&amp;refID=7175497&amp;Result=3","7175497")</f>
        <v>0</v>
      </c>
      <c r="B8307" t="s">
        <v>1919</v>
      </c>
      <c r="C8307" t="s">
        <v>11474</v>
      </c>
      <c r="D8307" t="s">
        <v>17194</v>
      </c>
      <c r="E8307" t="s">
        <v>24394</v>
      </c>
      <c r="F8307" t="s">
        <v>29372</v>
      </c>
      <c r="G8307" t="s">
        <v>29380</v>
      </c>
      <c r="H8307" t="s">
        <v>11048</v>
      </c>
      <c r="I8307" t="s">
        <v>9642</v>
      </c>
      <c r="J8307" t="s">
        <v>30875</v>
      </c>
      <c r="K8307" t="s">
        <v>38485</v>
      </c>
      <c r="M8307" t="s">
        <v>40794</v>
      </c>
      <c r="N8307" t="s">
        <v>42669</v>
      </c>
      <c r="O8307" t="s">
        <v>42670</v>
      </c>
      <c r="P8307">
        <v>0</v>
      </c>
      <c r="Q8307">
        <v>1</v>
      </c>
      <c r="R8307" t="s">
        <v>42679</v>
      </c>
      <c r="S8307" t="s">
        <v>42923</v>
      </c>
      <c r="T8307" t="s">
        <v>44432</v>
      </c>
      <c r="U8307" t="s">
        <v>49835</v>
      </c>
      <c r="V8307" t="s">
        <v>56972</v>
      </c>
      <c r="W8307" t="s">
        <v>40794</v>
      </c>
      <c r="X8307" t="s">
        <v>42683</v>
      </c>
    </row>
    <row r="8308" spans="1:24">
      <c r="A8308">
        <f>HYPERLINK("https://www.philgeps.gov.ph/GEPSNONPILOT/Tender/SplashBidNoticeAbstractUI.aspx?menuIndex=3&amp;refID=7173296&amp;Result=3","7173296")</f>
        <v>0</v>
      </c>
      <c r="B8308" t="s">
        <v>2310</v>
      </c>
      <c r="C8308" t="s">
        <v>5345</v>
      </c>
      <c r="D8308" t="s">
        <v>17178</v>
      </c>
      <c r="E8308" t="s">
        <v>24395</v>
      </c>
      <c r="F8308" t="s">
        <v>29372</v>
      </c>
      <c r="G8308" t="s">
        <v>29380</v>
      </c>
      <c r="H8308" t="s">
        <v>11048</v>
      </c>
      <c r="I8308" t="s">
        <v>29407</v>
      </c>
      <c r="J8308" t="s">
        <v>34886</v>
      </c>
      <c r="K8308" t="s">
        <v>38485</v>
      </c>
      <c r="M8308" t="s">
        <v>41240</v>
      </c>
      <c r="N8308" t="s">
        <v>42669</v>
      </c>
      <c r="O8308" t="s">
        <v>42670</v>
      </c>
      <c r="P8308">
        <v>0</v>
      </c>
      <c r="Q8308">
        <v>9</v>
      </c>
      <c r="R8308" t="s">
        <v>42679</v>
      </c>
      <c r="S8308" t="s">
        <v>42923</v>
      </c>
      <c r="T8308" t="s">
        <v>44432</v>
      </c>
      <c r="U8308" t="s">
        <v>51603</v>
      </c>
      <c r="W8308" t="s">
        <v>41240</v>
      </c>
      <c r="X8308" t="s">
        <v>42684</v>
      </c>
    </row>
    <row r="8309" spans="1:24">
      <c r="A8309">
        <f>HYPERLINK("https://www.philgeps.gov.ph/GEPSNONPILOT/Tender/SplashBidNoticeAbstractUI.aspx?menuIndex=3&amp;refID=7175547&amp;Result=3","7175547")</f>
        <v>0</v>
      </c>
      <c r="B8309" t="s">
        <v>1919</v>
      </c>
      <c r="C8309" t="s">
        <v>11475</v>
      </c>
      <c r="D8309" t="s">
        <v>17194</v>
      </c>
      <c r="E8309" t="s">
        <v>24396</v>
      </c>
      <c r="F8309" t="s">
        <v>29372</v>
      </c>
      <c r="G8309" t="s">
        <v>29380</v>
      </c>
      <c r="H8309" t="s">
        <v>11048</v>
      </c>
      <c r="I8309" t="s">
        <v>4709</v>
      </c>
      <c r="J8309" t="s">
        <v>34885</v>
      </c>
      <c r="K8309" t="s">
        <v>38485</v>
      </c>
      <c r="M8309" t="s">
        <v>40794</v>
      </c>
      <c r="N8309" t="s">
        <v>42669</v>
      </c>
      <c r="O8309" t="s">
        <v>42670</v>
      </c>
      <c r="P8309">
        <v>0</v>
      </c>
      <c r="Q8309">
        <v>0</v>
      </c>
      <c r="R8309" t="s">
        <v>42679</v>
      </c>
      <c r="S8309" t="s">
        <v>42923</v>
      </c>
      <c r="T8309" t="s">
        <v>44432</v>
      </c>
      <c r="U8309" t="s">
        <v>49835</v>
      </c>
      <c r="V8309" t="s">
        <v>56972</v>
      </c>
      <c r="W8309" t="s">
        <v>40794</v>
      </c>
      <c r="X8309" t="s">
        <v>42683</v>
      </c>
    </row>
    <row r="8310" spans="1:24">
      <c r="A8310">
        <f>HYPERLINK("https://www.philgeps.gov.ph/GEPSNONPILOT/Tender/SplashBidNoticeAbstractUI.aspx?menuIndex=3&amp;refID=7173097&amp;Result=3","7173097")</f>
        <v>0</v>
      </c>
      <c r="B8310" t="s">
        <v>459</v>
      </c>
      <c r="C8310" t="s">
        <v>11476</v>
      </c>
      <c r="D8310" t="s">
        <v>17193</v>
      </c>
      <c r="E8310" t="s">
        <v>24397</v>
      </c>
      <c r="F8310" t="s">
        <v>29372</v>
      </c>
      <c r="G8310" t="s">
        <v>29380</v>
      </c>
      <c r="H8310" t="s">
        <v>29389</v>
      </c>
      <c r="I8310" t="s">
        <v>10408</v>
      </c>
      <c r="J8310" t="s">
        <v>30412</v>
      </c>
      <c r="K8310" t="s">
        <v>38552</v>
      </c>
      <c r="M8310" t="s">
        <v>41530</v>
      </c>
      <c r="N8310" t="s">
        <v>42669</v>
      </c>
      <c r="O8310" t="s">
        <v>42670</v>
      </c>
      <c r="P8310">
        <v>0</v>
      </c>
      <c r="Q8310">
        <v>1</v>
      </c>
      <c r="R8310" t="s">
        <v>42679</v>
      </c>
      <c r="S8310" t="s">
        <v>42923</v>
      </c>
      <c r="T8310" t="s">
        <v>44491</v>
      </c>
      <c r="U8310" t="s">
        <v>51564</v>
      </c>
      <c r="W8310" t="s">
        <v>41530</v>
      </c>
      <c r="X8310" t="s">
        <v>42684</v>
      </c>
    </row>
    <row r="8311" spans="1:24">
      <c r="A8311">
        <f>HYPERLINK("https://www.philgeps.gov.ph/GEPSNONPILOT/Tender/SplashBidNoticeAbstractUI.aspx?menuIndex=3&amp;refID=7173241&amp;Result=3","7173241")</f>
        <v>0</v>
      </c>
      <c r="B8311" t="s">
        <v>2574</v>
      </c>
      <c r="C8311" t="s">
        <v>11477</v>
      </c>
      <c r="D8311" t="s">
        <v>17170</v>
      </c>
      <c r="E8311" t="s">
        <v>19663</v>
      </c>
      <c r="F8311" t="s">
        <v>29372</v>
      </c>
      <c r="G8311" t="s">
        <v>29380</v>
      </c>
      <c r="H8311" t="s">
        <v>29389</v>
      </c>
      <c r="I8311" t="s">
        <v>10408</v>
      </c>
      <c r="J8311" t="s">
        <v>34887</v>
      </c>
      <c r="K8311" t="s">
        <v>38515</v>
      </c>
      <c r="M8311" t="s">
        <v>41541</v>
      </c>
      <c r="N8311" t="s">
        <v>42669</v>
      </c>
      <c r="O8311" t="s">
        <v>42670</v>
      </c>
      <c r="P8311">
        <v>0</v>
      </c>
      <c r="Q8311">
        <v>0</v>
      </c>
      <c r="R8311" t="s">
        <v>42679</v>
      </c>
      <c r="S8311" t="s">
        <v>42923</v>
      </c>
      <c r="T8311" t="s">
        <v>44355</v>
      </c>
      <c r="U8311" t="s">
        <v>51604</v>
      </c>
      <c r="V8311" t="s">
        <v>57284</v>
      </c>
      <c r="W8311" t="s">
        <v>41541</v>
      </c>
      <c r="X8311" t="s">
        <v>42684</v>
      </c>
    </row>
    <row r="8312" spans="1:24">
      <c r="A8312">
        <f>HYPERLINK("https://www.philgeps.gov.ph/GEPSNONPILOT/Tender/SplashBidNoticeAbstractUI.aspx?menuIndex=3&amp;refID=7175486&amp;Result=3","7175486")</f>
        <v>0</v>
      </c>
      <c r="B8312" t="s">
        <v>1919</v>
      </c>
      <c r="C8312" t="s">
        <v>11478</v>
      </c>
      <c r="D8312" t="s">
        <v>17194</v>
      </c>
      <c r="E8312" t="s">
        <v>24398</v>
      </c>
      <c r="F8312" t="s">
        <v>29372</v>
      </c>
      <c r="G8312" t="s">
        <v>29380</v>
      </c>
      <c r="H8312" t="s">
        <v>11048</v>
      </c>
      <c r="I8312" t="s">
        <v>29407</v>
      </c>
      <c r="J8312" t="s">
        <v>34888</v>
      </c>
      <c r="K8312" t="s">
        <v>38485</v>
      </c>
      <c r="M8312" t="s">
        <v>40794</v>
      </c>
      <c r="N8312" t="s">
        <v>42669</v>
      </c>
      <c r="O8312" t="s">
        <v>42670</v>
      </c>
      <c r="P8312">
        <v>0</v>
      </c>
      <c r="Q8312">
        <v>2</v>
      </c>
      <c r="R8312" t="s">
        <v>42679</v>
      </c>
      <c r="S8312" t="s">
        <v>42923</v>
      </c>
      <c r="T8312" t="s">
        <v>44432</v>
      </c>
      <c r="U8312" t="s">
        <v>49835</v>
      </c>
      <c r="W8312" t="s">
        <v>40794</v>
      </c>
      <c r="X8312" t="s">
        <v>42683</v>
      </c>
    </row>
    <row r="8313" spans="1:24">
      <c r="A8313">
        <f>HYPERLINK("https://www.philgeps.gov.ph/GEPSNONPILOT/Tender/SplashBidNoticeAbstractUI.aspx?menuIndex=3&amp;refID=7176561&amp;Result=3","7176561")</f>
        <v>0</v>
      </c>
      <c r="B8313" t="s">
        <v>689</v>
      </c>
      <c r="C8313" t="s">
        <v>11479</v>
      </c>
      <c r="D8313" t="s">
        <v>17216</v>
      </c>
      <c r="E8313" t="s">
        <v>24399</v>
      </c>
      <c r="F8313" t="s">
        <v>29372</v>
      </c>
      <c r="G8313" t="s">
        <v>29380</v>
      </c>
      <c r="H8313" t="s">
        <v>11048</v>
      </c>
      <c r="I8313" t="s">
        <v>4709</v>
      </c>
      <c r="J8313" t="s">
        <v>34889</v>
      </c>
      <c r="K8313" t="s">
        <v>38518</v>
      </c>
      <c r="M8313" t="s">
        <v>39465</v>
      </c>
      <c r="N8313" t="s">
        <v>42669</v>
      </c>
      <c r="O8313" t="s">
        <v>42670</v>
      </c>
      <c r="P8313">
        <v>0</v>
      </c>
      <c r="Q8313">
        <v>0</v>
      </c>
      <c r="R8313" t="s">
        <v>42679</v>
      </c>
      <c r="S8313" t="s">
        <v>42923</v>
      </c>
      <c r="T8313" t="s">
        <v>44491</v>
      </c>
      <c r="U8313" t="s">
        <v>51605</v>
      </c>
      <c r="W8313" t="s">
        <v>39465</v>
      </c>
      <c r="X8313" t="s">
        <v>42683</v>
      </c>
    </row>
    <row r="8314" spans="1:24">
      <c r="A8314">
        <f>HYPERLINK("https://www.philgeps.gov.ph/GEPSNONPILOT/Tender/SplashBidNoticeAbstractUI.aspx?menuIndex=3&amp;refID=7175479&amp;Result=3","7175479")</f>
        <v>0</v>
      </c>
      <c r="B8314" t="s">
        <v>2575</v>
      </c>
      <c r="C8314" t="s">
        <v>11480</v>
      </c>
      <c r="D8314" t="s">
        <v>17205</v>
      </c>
      <c r="E8314" t="s">
        <v>24400</v>
      </c>
      <c r="F8314" t="s">
        <v>29372</v>
      </c>
      <c r="G8314" t="s">
        <v>29380</v>
      </c>
      <c r="H8314" t="s">
        <v>11048</v>
      </c>
      <c r="I8314" t="s">
        <v>14920</v>
      </c>
      <c r="J8314" t="s">
        <v>29587</v>
      </c>
      <c r="K8314" t="s">
        <v>38522</v>
      </c>
      <c r="L8314" t="s">
        <v>2575</v>
      </c>
      <c r="M8314" t="s">
        <v>41542</v>
      </c>
      <c r="N8314" t="s">
        <v>42669</v>
      </c>
      <c r="O8314" t="s">
        <v>42670</v>
      </c>
      <c r="P8314">
        <v>0</v>
      </c>
      <c r="Q8314">
        <v>0</v>
      </c>
      <c r="R8314" t="s">
        <v>42679</v>
      </c>
      <c r="S8314" t="s">
        <v>42923</v>
      </c>
      <c r="T8314" t="s">
        <v>44517</v>
      </c>
      <c r="U8314" t="s">
        <v>51606</v>
      </c>
      <c r="W8314" t="s">
        <v>41542</v>
      </c>
      <c r="X8314" t="s">
        <v>42683</v>
      </c>
    </row>
    <row r="8315" spans="1:24">
      <c r="A8315">
        <f>HYPERLINK("https://www.philgeps.gov.ph/GEPSNONPILOT/Tender/SplashBidNoticeAbstractUI.aspx?menuIndex=3&amp;refID=7176508&amp;Result=3","7176508")</f>
        <v>0</v>
      </c>
      <c r="B8315" t="s">
        <v>2576</v>
      </c>
      <c r="C8315" t="s">
        <v>11481</v>
      </c>
      <c r="D8315" t="s">
        <v>17169</v>
      </c>
      <c r="E8315" t="s">
        <v>24401</v>
      </c>
      <c r="F8315" t="s">
        <v>29372</v>
      </c>
      <c r="G8315" t="s">
        <v>29380</v>
      </c>
      <c r="H8315" t="s">
        <v>11048</v>
      </c>
      <c r="I8315" t="s">
        <v>10408</v>
      </c>
      <c r="J8315" t="s">
        <v>34890</v>
      </c>
      <c r="K8315" t="s">
        <v>38522</v>
      </c>
      <c r="M8315" t="s">
        <v>41543</v>
      </c>
      <c r="N8315" t="s">
        <v>42669</v>
      </c>
      <c r="O8315" t="s">
        <v>42670</v>
      </c>
      <c r="P8315">
        <v>0</v>
      </c>
      <c r="Q8315">
        <v>0</v>
      </c>
      <c r="R8315" t="s">
        <v>42679</v>
      </c>
      <c r="S8315" t="s">
        <v>42923</v>
      </c>
      <c r="T8315" t="s">
        <v>44563</v>
      </c>
      <c r="U8315" t="s">
        <v>51607</v>
      </c>
      <c r="W8315" t="s">
        <v>41543</v>
      </c>
      <c r="X8315" t="s">
        <v>42683</v>
      </c>
    </row>
    <row r="8316" spans="1:24">
      <c r="A8316">
        <f>HYPERLINK("https://www.philgeps.gov.ph/GEPSNONPILOT/Tender/SplashBidNoticeAbstractUI.aspx?menuIndex=3&amp;refID=7176539&amp;Result=3","7176539")</f>
        <v>0</v>
      </c>
      <c r="B8316" t="s">
        <v>689</v>
      </c>
      <c r="C8316" t="s">
        <v>11482</v>
      </c>
      <c r="D8316" t="s">
        <v>17216</v>
      </c>
      <c r="E8316" t="s">
        <v>24402</v>
      </c>
      <c r="F8316" t="s">
        <v>29372</v>
      </c>
      <c r="G8316" t="s">
        <v>29380</v>
      </c>
      <c r="H8316" t="s">
        <v>11048</v>
      </c>
      <c r="I8316" t="s">
        <v>4709</v>
      </c>
      <c r="J8316" t="s">
        <v>31008</v>
      </c>
      <c r="K8316" t="s">
        <v>38518</v>
      </c>
      <c r="M8316" t="s">
        <v>39465</v>
      </c>
      <c r="N8316" t="s">
        <v>42669</v>
      </c>
      <c r="O8316" t="s">
        <v>42670</v>
      </c>
      <c r="P8316">
        <v>0</v>
      </c>
      <c r="Q8316">
        <v>0</v>
      </c>
      <c r="R8316" t="s">
        <v>42679</v>
      </c>
      <c r="S8316" t="s">
        <v>42923</v>
      </c>
      <c r="T8316" t="s">
        <v>44491</v>
      </c>
      <c r="U8316" t="s">
        <v>51608</v>
      </c>
      <c r="W8316" t="s">
        <v>39465</v>
      </c>
      <c r="X8316" t="s">
        <v>42683</v>
      </c>
    </row>
    <row r="8317" spans="1:24">
      <c r="A8317">
        <f>HYPERLINK("https://www.philgeps.gov.ph/GEPSNONPILOT/Tender/SplashBidNoticeAbstractUI.aspx?menuIndex=3&amp;refID=7176259&amp;Result=3","7176259")</f>
        <v>0</v>
      </c>
      <c r="B8317" t="s">
        <v>1466</v>
      </c>
      <c r="C8317" t="s">
        <v>11483</v>
      </c>
      <c r="E8317" t="s">
        <v>24403</v>
      </c>
      <c r="F8317" t="s">
        <v>29372</v>
      </c>
      <c r="G8317" t="s">
        <v>29380</v>
      </c>
      <c r="H8317" t="s">
        <v>11048</v>
      </c>
      <c r="I8317" t="s">
        <v>3670</v>
      </c>
      <c r="J8317" t="s">
        <v>32071</v>
      </c>
      <c r="K8317" t="s">
        <v>38490</v>
      </c>
      <c r="M8317" t="s">
        <v>41524</v>
      </c>
      <c r="N8317" t="s">
        <v>42669</v>
      </c>
      <c r="O8317" t="s">
        <v>42670</v>
      </c>
      <c r="P8317">
        <v>0</v>
      </c>
      <c r="Q8317">
        <v>1</v>
      </c>
      <c r="R8317" t="s">
        <v>42679</v>
      </c>
      <c r="S8317" t="s">
        <v>42923</v>
      </c>
      <c r="T8317" t="s">
        <v>44432</v>
      </c>
      <c r="U8317" t="s">
        <v>51609</v>
      </c>
      <c r="W8317" t="s">
        <v>41524</v>
      </c>
      <c r="X8317" t="s">
        <v>42683</v>
      </c>
    </row>
    <row r="8318" spans="1:24">
      <c r="A8318">
        <f>HYPERLINK("https://www.philgeps.gov.ph/GEPSNONPILOT/Tender/SplashBidNoticeAbstractUI.aspx?menuIndex=3&amp;refID=7175856&amp;Result=3","7175856")</f>
        <v>0</v>
      </c>
      <c r="B8318" t="s">
        <v>1919</v>
      </c>
      <c r="C8318" t="s">
        <v>11484</v>
      </c>
      <c r="D8318" t="s">
        <v>17194</v>
      </c>
      <c r="E8318" t="s">
        <v>24404</v>
      </c>
      <c r="F8318" t="s">
        <v>29372</v>
      </c>
      <c r="G8318" t="s">
        <v>29380</v>
      </c>
      <c r="H8318" t="s">
        <v>11048</v>
      </c>
      <c r="I8318" t="s">
        <v>4709</v>
      </c>
      <c r="J8318" t="s">
        <v>34891</v>
      </c>
      <c r="K8318" t="s">
        <v>38485</v>
      </c>
      <c r="M8318" t="s">
        <v>40820</v>
      </c>
      <c r="N8318" t="s">
        <v>42669</v>
      </c>
      <c r="O8318" t="s">
        <v>42670</v>
      </c>
      <c r="P8318">
        <v>0</v>
      </c>
      <c r="Q8318">
        <v>0</v>
      </c>
      <c r="R8318" t="s">
        <v>42679</v>
      </c>
      <c r="S8318" t="s">
        <v>42923</v>
      </c>
      <c r="T8318" t="s">
        <v>44432</v>
      </c>
      <c r="U8318" t="s">
        <v>49835</v>
      </c>
      <c r="V8318" t="s">
        <v>56972</v>
      </c>
      <c r="W8318" t="s">
        <v>40820</v>
      </c>
      <c r="X8318" t="s">
        <v>42683</v>
      </c>
    </row>
    <row r="8319" spans="1:24">
      <c r="A8319">
        <f>HYPERLINK("https://www.philgeps.gov.ph/GEPSNONPILOT/Tender/SplashBidNoticeAbstractUI.aspx?menuIndex=3&amp;refID=7174310&amp;Result=3","7174310")</f>
        <v>0</v>
      </c>
      <c r="B8319" t="s">
        <v>2569</v>
      </c>
      <c r="C8319" t="s">
        <v>11485</v>
      </c>
      <c r="D8319" t="s">
        <v>17164</v>
      </c>
      <c r="E8319" t="s">
        <v>24405</v>
      </c>
      <c r="F8319" t="s">
        <v>29372</v>
      </c>
      <c r="G8319" t="s">
        <v>29380</v>
      </c>
      <c r="H8319" t="s">
        <v>29389</v>
      </c>
      <c r="I8319" t="s">
        <v>10408</v>
      </c>
      <c r="J8319" t="s">
        <v>34892</v>
      </c>
      <c r="K8319" t="s">
        <v>38522</v>
      </c>
      <c r="M8319" t="s">
        <v>41536</v>
      </c>
      <c r="N8319" t="s">
        <v>42669</v>
      </c>
      <c r="O8319" t="s">
        <v>42670</v>
      </c>
      <c r="P8319">
        <v>0</v>
      </c>
      <c r="Q8319">
        <v>0</v>
      </c>
      <c r="R8319" t="s">
        <v>42679</v>
      </c>
      <c r="S8319" t="s">
        <v>42923</v>
      </c>
      <c r="T8319" t="s">
        <v>44474</v>
      </c>
      <c r="U8319" t="s">
        <v>51610</v>
      </c>
      <c r="W8319" t="s">
        <v>41536</v>
      </c>
      <c r="X8319" t="s">
        <v>42683</v>
      </c>
    </row>
    <row r="8320" spans="1:24">
      <c r="A8320">
        <f>HYPERLINK("https://www.philgeps.gov.ph/GEPSNONPILOT/Tender/SplashBidNoticeAbstractUI.aspx?menuIndex=3&amp;refID=7176240&amp;Result=3","7176240")</f>
        <v>0</v>
      </c>
      <c r="B8320" t="s">
        <v>2070</v>
      </c>
      <c r="C8320" t="s">
        <v>11486</v>
      </c>
      <c r="D8320" t="s">
        <v>17170</v>
      </c>
      <c r="E8320" t="s">
        <v>24406</v>
      </c>
      <c r="F8320" t="s">
        <v>29372</v>
      </c>
      <c r="G8320" t="s">
        <v>29380</v>
      </c>
      <c r="H8320" t="s">
        <v>11048</v>
      </c>
      <c r="I8320" t="s">
        <v>3695</v>
      </c>
      <c r="J8320" t="s">
        <v>30161</v>
      </c>
      <c r="K8320" t="s">
        <v>38488</v>
      </c>
      <c r="M8320" t="s">
        <v>40968</v>
      </c>
      <c r="N8320" t="s">
        <v>42669</v>
      </c>
      <c r="O8320" t="s">
        <v>42670</v>
      </c>
      <c r="P8320">
        <v>0</v>
      </c>
      <c r="Q8320">
        <v>7</v>
      </c>
      <c r="R8320" t="s">
        <v>42679</v>
      </c>
      <c r="S8320" t="s">
        <v>42923</v>
      </c>
      <c r="T8320" t="s">
        <v>44355</v>
      </c>
      <c r="U8320" t="s">
        <v>51611</v>
      </c>
      <c r="V8320" t="s">
        <v>57285</v>
      </c>
      <c r="W8320" t="s">
        <v>40968</v>
      </c>
      <c r="X8320" t="s">
        <v>42683</v>
      </c>
    </row>
    <row r="8321" spans="1:24">
      <c r="A8321">
        <f>HYPERLINK("https://www.philgeps.gov.ph/GEPSNONPILOT/Tender/SplashBidNoticeAbstractUI.aspx?menuIndex=3&amp;refID=7176239&amp;Result=3","7176239")</f>
        <v>0</v>
      </c>
      <c r="B8321" t="s">
        <v>2577</v>
      </c>
      <c r="C8321" t="s">
        <v>11487</v>
      </c>
      <c r="D8321" t="s">
        <v>17193</v>
      </c>
      <c r="E8321" t="s">
        <v>24407</v>
      </c>
      <c r="F8321" t="s">
        <v>29372</v>
      </c>
      <c r="G8321" t="s">
        <v>29380</v>
      </c>
      <c r="H8321" t="s">
        <v>11048</v>
      </c>
      <c r="I8321" t="s">
        <v>4487</v>
      </c>
      <c r="J8321" t="s">
        <v>34893</v>
      </c>
      <c r="K8321" t="s">
        <v>38488</v>
      </c>
      <c r="M8321" t="s">
        <v>41544</v>
      </c>
      <c r="N8321" t="s">
        <v>42669</v>
      </c>
      <c r="O8321" t="s">
        <v>42670</v>
      </c>
      <c r="P8321">
        <v>0</v>
      </c>
      <c r="Q8321">
        <v>3</v>
      </c>
      <c r="R8321" t="s">
        <v>42679</v>
      </c>
      <c r="S8321" t="s">
        <v>42923</v>
      </c>
      <c r="T8321" t="s">
        <v>44517</v>
      </c>
      <c r="U8321" t="s">
        <v>51612</v>
      </c>
      <c r="V8321" t="s">
        <v>57286</v>
      </c>
      <c r="W8321" t="s">
        <v>41544</v>
      </c>
      <c r="X8321" t="s">
        <v>42683</v>
      </c>
    </row>
    <row r="8322" spans="1:24">
      <c r="A8322">
        <f>HYPERLINK("https://www.philgeps.gov.ph/GEPSNONPILOT/Tender/SplashBidNoticeAbstractUI.aspx?menuIndex=3&amp;refID=7175934&amp;Result=3","7175934")</f>
        <v>0</v>
      </c>
      <c r="B8322" t="s">
        <v>39</v>
      </c>
      <c r="C8322" t="s">
        <v>10270</v>
      </c>
      <c r="D8322" t="s">
        <v>17152</v>
      </c>
      <c r="E8322" t="s">
        <v>24408</v>
      </c>
      <c r="F8322" t="s">
        <v>29372</v>
      </c>
      <c r="G8322" t="s">
        <v>29380</v>
      </c>
      <c r="H8322" t="s">
        <v>11048</v>
      </c>
      <c r="I8322" t="s">
        <v>14920</v>
      </c>
      <c r="J8322" t="s">
        <v>30161</v>
      </c>
      <c r="K8322" t="s">
        <v>38491</v>
      </c>
      <c r="M8322" t="s">
        <v>38812</v>
      </c>
      <c r="N8322" t="s">
        <v>42669</v>
      </c>
      <c r="O8322" t="s">
        <v>42670</v>
      </c>
      <c r="P8322">
        <v>0</v>
      </c>
      <c r="Q8322">
        <v>1</v>
      </c>
      <c r="R8322" t="s">
        <v>42679</v>
      </c>
      <c r="S8322" t="s">
        <v>42923</v>
      </c>
      <c r="T8322" t="s">
        <v>44446</v>
      </c>
      <c r="U8322" t="s">
        <v>51613</v>
      </c>
      <c r="W8322" t="s">
        <v>38812</v>
      </c>
      <c r="X8322" t="s">
        <v>42683</v>
      </c>
    </row>
    <row r="8323" spans="1:24">
      <c r="A8323">
        <f>HYPERLINK("https://www.philgeps.gov.ph/GEPSNONPILOT/Tender/SplashBidNoticeAbstractUI.aspx?menuIndex=3&amp;refID=7175825&amp;Result=3","7175825")</f>
        <v>0</v>
      </c>
      <c r="B8323" t="s">
        <v>1919</v>
      </c>
      <c r="C8323" t="s">
        <v>11488</v>
      </c>
      <c r="D8323" t="s">
        <v>17194</v>
      </c>
      <c r="E8323" t="s">
        <v>24409</v>
      </c>
      <c r="F8323" t="s">
        <v>29372</v>
      </c>
      <c r="G8323" t="s">
        <v>29380</v>
      </c>
      <c r="H8323" t="s">
        <v>11048</v>
      </c>
      <c r="I8323" t="s">
        <v>4709</v>
      </c>
      <c r="J8323" t="s">
        <v>34894</v>
      </c>
      <c r="K8323" t="s">
        <v>38485</v>
      </c>
      <c r="M8323" t="s">
        <v>40820</v>
      </c>
      <c r="N8323" t="s">
        <v>42669</v>
      </c>
      <c r="O8323" t="s">
        <v>42670</v>
      </c>
      <c r="P8323">
        <v>0</v>
      </c>
      <c r="Q8323">
        <v>0</v>
      </c>
      <c r="R8323" t="s">
        <v>42679</v>
      </c>
      <c r="S8323" t="s">
        <v>42923</v>
      </c>
      <c r="T8323" t="s">
        <v>44432</v>
      </c>
      <c r="U8323" t="s">
        <v>49835</v>
      </c>
      <c r="V8323" t="s">
        <v>56972</v>
      </c>
      <c r="W8323" t="s">
        <v>40820</v>
      </c>
      <c r="X8323" t="s">
        <v>42683</v>
      </c>
    </row>
    <row r="8324" spans="1:24">
      <c r="A8324">
        <f>HYPERLINK("https://www.philgeps.gov.ph/GEPSNONPILOT/Tender/SplashBidNoticeAbstractUI.aspx?menuIndex=3&amp;refID=7176470&amp;Result=3","7176470")</f>
        <v>0</v>
      </c>
      <c r="B8324" t="s">
        <v>2576</v>
      </c>
      <c r="C8324" t="s">
        <v>11489</v>
      </c>
      <c r="D8324" t="s">
        <v>17169</v>
      </c>
      <c r="E8324" t="s">
        <v>24410</v>
      </c>
      <c r="F8324" t="s">
        <v>29372</v>
      </c>
      <c r="G8324" t="s">
        <v>29380</v>
      </c>
      <c r="H8324" t="s">
        <v>11048</v>
      </c>
      <c r="I8324" t="s">
        <v>10408</v>
      </c>
      <c r="J8324" t="s">
        <v>34895</v>
      </c>
      <c r="K8324" t="s">
        <v>38525</v>
      </c>
      <c r="M8324" t="s">
        <v>41543</v>
      </c>
      <c r="N8324" t="s">
        <v>42669</v>
      </c>
      <c r="O8324" t="s">
        <v>42670</v>
      </c>
      <c r="P8324">
        <v>0</v>
      </c>
      <c r="Q8324">
        <v>0</v>
      </c>
      <c r="R8324" t="s">
        <v>42679</v>
      </c>
      <c r="S8324" t="s">
        <v>42923</v>
      </c>
      <c r="T8324" t="s">
        <v>44563</v>
      </c>
      <c r="U8324" t="s">
        <v>51607</v>
      </c>
      <c r="W8324" t="s">
        <v>41543</v>
      </c>
      <c r="X8324" t="s">
        <v>42683</v>
      </c>
    </row>
    <row r="8325" spans="1:24">
      <c r="A8325">
        <f>HYPERLINK("https://www.philgeps.gov.ph/GEPSNONPILOT/Tender/SplashBidNoticeAbstractUI.aspx?menuIndex=3&amp;refID=7183287&amp;Result=3","7183287")</f>
        <v>0</v>
      </c>
      <c r="B8325" t="s">
        <v>2181</v>
      </c>
      <c r="C8325" t="s">
        <v>11490</v>
      </c>
      <c r="E8325" t="s">
        <v>24411</v>
      </c>
      <c r="F8325" t="s">
        <v>29372</v>
      </c>
      <c r="G8325" t="s">
        <v>29380</v>
      </c>
      <c r="H8325" t="s">
        <v>11048</v>
      </c>
      <c r="I8325" t="s">
        <v>29461</v>
      </c>
      <c r="J8325" t="s">
        <v>30244</v>
      </c>
      <c r="K8325" t="s">
        <v>38495</v>
      </c>
      <c r="M8325" t="s">
        <v>41095</v>
      </c>
      <c r="N8325" t="s">
        <v>42669</v>
      </c>
      <c r="O8325" t="s">
        <v>42670</v>
      </c>
      <c r="P8325">
        <v>0</v>
      </c>
      <c r="Q8325">
        <v>8</v>
      </c>
      <c r="R8325" t="s">
        <v>42678</v>
      </c>
      <c r="S8325" t="s">
        <v>42866</v>
      </c>
      <c r="T8325" t="s">
        <v>44685</v>
      </c>
      <c r="U8325" t="s">
        <v>51614</v>
      </c>
      <c r="V8325" t="s">
        <v>57228</v>
      </c>
      <c r="W8325" t="s">
        <v>41095</v>
      </c>
      <c r="X8325" t="s">
        <v>42679</v>
      </c>
    </row>
    <row r="8326" spans="1:24">
      <c r="A8326">
        <f>HYPERLINK("https://www.philgeps.gov.ph/GEPSNONPILOT/Tender/SplashBidNoticeAbstractUI.aspx?menuIndex=3&amp;refID=7175527&amp;Result=3","7175527")</f>
        <v>0</v>
      </c>
      <c r="B8326" t="s">
        <v>1919</v>
      </c>
      <c r="C8326" t="s">
        <v>11491</v>
      </c>
      <c r="D8326" t="s">
        <v>17194</v>
      </c>
      <c r="E8326" t="s">
        <v>24412</v>
      </c>
      <c r="F8326" t="s">
        <v>29372</v>
      </c>
      <c r="G8326" t="s">
        <v>29380</v>
      </c>
      <c r="H8326" t="s">
        <v>11048</v>
      </c>
      <c r="I8326" t="s">
        <v>4709</v>
      </c>
      <c r="J8326" t="s">
        <v>34885</v>
      </c>
      <c r="K8326" t="s">
        <v>38485</v>
      </c>
      <c r="M8326" t="s">
        <v>40794</v>
      </c>
      <c r="N8326" t="s">
        <v>42669</v>
      </c>
      <c r="O8326" t="s">
        <v>42670</v>
      </c>
      <c r="P8326">
        <v>0</v>
      </c>
      <c r="Q8326">
        <v>0</v>
      </c>
      <c r="R8326" t="s">
        <v>42679</v>
      </c>
      <c r="S8326" t="s">
        <v>42923</v>
      </c>
      <c r="T8326" t="s">
        <v>44432</v>
      </c>
      <c r="U8326" t="s">
        <v>49835</v>
      </c>
      <c r="V8326" t="s">
        <v>56972</v>
      </c>
      <c r="W8326" t="s">
        <v>40794</v>
      </c>
      <c r="X8326" t="s">
        <v>42683</v>
      </c>
    </row>
    <row r="8327" spans="1:24">
      <c r="A8327">
        <f>HYPERLINK("https://www.philgeps.gov.ph/GEPSNONPILOT/Tender/SplashBidNoticeAbstractUI.aspx?menuIndex=3&amp;refID=7175800&amp;Result=3","7175800")</f>
        <v>0</v>
      </c>
      <c r="B8327" t="s">
        <v>1919</v>
      </c>
      <c r="C8327" t="s">
        <v>11492</v>
      </c>
      <c r="D8327" t="s">
        <v>17194</v>
      </c>
      <c r="E8327" t="s">
        <v>24413</v>
      </c>
      <c r="F8327" t="s">
        <v>29372</v>
      </c>
      <c r="G8327" t="s">
        <v>29380</v>
      </c>
      <c r="H8327" t="s">
        <v>11048</v>
      </c>
      <c r="I8327" t="s">
        <v>4709</v>
      </c>
      <c r="J8327" t="s">
        <v>34896</v>
      </c>
      <c r="K8327" t="s">
        <v>38485</v>
      </c>
      <c r="M8327" t="s">
        <v>40820</v>
      </c>
      <c r="N8327" t="s">
        <v>42669</v>
      </c>
      <c r="O8327" t="s">
        <v>42670</v>
      </c>
      <c r="P8327">
        <v>0</v>
      </c>
      <c r="Q8327">
        <v>0</v>
      </c>
      <c r="R8327" t="s">
        <v>42679</v>
      </c>
      <c r="S8327" t="s">
        <v>42923</v>
      </c>
      <c r="T8327" t="s">
        <v>44432</v>
      </c>
      <c r="U8327" t="s">
        <v>49835</v>
      </c>
      <c r="V8327" t="s">
        <v>56972</v>
      </c>
      <c r="W8327" t="s">
        <v>40820</v>
      </c>
      <c r="X8327" t="s">
        <v>42683</v>
      </c>
    </row>
    <row r="8328" spans="1:24">
      <c r="A8328">
        <f>HYPERLINK("https://www.philgeps.gov.ph/GEPSNONPILOT/Tender/SplashBidNoticeAbstractUI.aspx?menuIndex=3&amp;refID=7177565&amp;Result=3","7177565")</f>
        <v>0</v>
      </c>
      <c r="B8328" t="s">
        <v>149</v>
      </c>
      <c r="C8328" t="s">
        <v>11493</v>
      </c>
      <c r="D8328" t="s">
        <v>17190</v>
      </c>
      <c r="E8328" t="s">
        <v>17541</v>
      </c>
      <c r="F8328" t="s">
        <v>29372</v>
      </c>
      <c r="G8328" t="s">
        <v>29380</v>
      </c>
      <c r="H8328" t="s">
        <v>29389</v>
      </c>
      <c r="I8328" t="s">
        <v>10408</v>
      </c>
      <c r="J8328" t="s">
        <v>29937</v>
      </c>
      <c r="K8328" t="s">
        <v>38490</v>
      </c>
      <c r="M8328" t="s">
        <v>38904</v>
      </c>
      <c r="N8328" t="s">
        <v>42669</v>
      </c>
      <c r="O8328" t="s">
        <v>42670</v>
      </c>
      <c r="P8328">
        <v>0</v>
      </c>
      <c r="Q8328">
        <v>0</v>
      </c>
      <c r="R8328" t="s">
        <v>42679</v>
      </c>
      <c r="S8328" t="s">
        <v>42923</v>
      </c>
      <c r="T8328" t="s">
        <v>44368</v>
      </c>
      <c r="U8328" t="s">
        <v>51615</v>
      </c>
      <c r="V8328" t="s">
        <v>57287</v>
      </c>
      <c r="W8328" t="s">
        <v>38904</v>
      </c>
      <c r="X8328" t="s">
        <v>42682</v>
      </c>
    </row>
    <row r="8329" spans="1:24">
      <c r="A8329">
        <f>HYPERLINK("https://www.philgeps.gov.ph/GEPSNONPILOT/Tender/SplashBidNoticeAbstractUI.aspx?menuIndex=3&amp;refID=7176514&amp;Result=3","7176514")</f>
        <v>0</v>
      </c>
      <c r="B8329" t="s">
        <v>689</v>
      </c>
      <c r="C8329" t="s">
        <v>11494</v>
      </c>
      <c r="D8329" t="s">
        <v>17216</v>
      </c>
      <c r="E8329" t="s">
        <v>24414</v>
      </c>
      <c r="F8329" t="s">
        <v>29372</v>
      </c>
      <c r="G8329" t="s">
        <v>29380</v>
      </c>
      <c r="H8329" t="s">
        <v>11048</v>
      </c>
      <c r="I8329" t="s">
        <v>4709</v>
      </c>
      <c r="J8329" t="s">
        <v>34897</v>
      </c>
      <c r="K8329" t="s">
        <v>38518</v>
      </c>
      <c r="M8329" t="s">
        <v>39465</v>
      </c>
      <c r="N8329" t="s">
        <v>42669</v>
      </c>
      <c r="O8329" t="s">
        <v>42670</v>
      </c>
      <c r="P8329">
        <v>0</v>
      </c>
      <c r="Q8329">
        <v>0</v>
      </c>
      <c r="R8329" t="s">
        <v>42679</v>
      </c>
      <c r="S8329" t="s">
        <v>42923</v>
      </c>
      <c r="T8329" t="s">
        <v>44491</v>
      </c>
      <c r="U8329" t="s">
        <v>51616</v>
      </c>
      <c r="W8329" t="s">
        <v>39465</v>
      </c>
      <c r="X8329" t="s">
        <v>42683</v>
      </c>
    </row>
    <row r="8330" spans="1:24">
      <c r="A8330">
        <f>HYPERLINK("https://www.philgeps.gov.ph/GEPSNONPILOT/Tender/SplashBidNoticeAbstractUI.aspx?menuIndex=3&amp;refID=7177459&amp;Result=3","7177459")</f>
        <v>0</v>
      </c>
      <c r="B8330" t="s">
        <v>1638</v>
      </c>
      <c r="C8330" t="s">
        <v>11495</v>
      </c>
      <c r="D8330" t="s">
        <v>17213</v>
      </c>
      <c r="E8330" t="s">
        <v>24415</v>
      </c>
      <c r="F8330" t="s">
        <v>29372</v>
      </c>
      <c r="G8330" t="s">
        <v>29380</v>
      </c>
      <c r="H8330" t="s">
        <v>11048</v>
      </c>
      <c r="I8330" t="s">
        <v>29398</v>
      </c>
      <c r="J8330" t="s">
        <v>34898</v>
      </c>
      <c r="K8330" t="s">
        <v>38490</v>
      </c>
      <c r="M8330" t="s">
        <v>40494</v>
      </c>
      <c r="N8330" t="s">
        <v>42669</v>
      </c>
      <c r="O8330" t="s">
        <v>42670</v>
      </c>
      <c r="P8330">
        <v>0</v>
      </c>
      <c r="Q8330">
        <v>1</v>
      </c>
      <c r="R8330" t="s">
        <v>42679</v>
      </c>
      <c r="S8330" t="s">
        <v>42923</v>
      </c>
      <c r="T8330" t="s">
        <v>44488</v>
      </c>
      <c r="U8330" t="s">
        <v>51617</v>
      </c>
      <c r="W8330" t="s">
        <v>58050</v>
      </c>
      <c r="X8330" t="s">
        <v>42682</v>
      </c>
    </row>
    <row r="8331" spans="1:24">
      <c r="A8331">
        <f>HYPERLINK("https://www.philgeps.gov.ph/GEPSNONPILOT/Tender/SplashBidNoticeAbstractUI.aspx?menuIndex=3&amp;refID=7176447&amp;Result=3","7176447")</f>
        <v>0</v>
      </c>
      <c r="B8331" t="s">
        <v>2578</v>
      </c>
      <c r="C8331" t="s">
        <v>11496</v>
      </c>
      <c r="D8331" t="s">
        <v>17156</v>
      </c>
      <c r="E8331" t="s">
        <v>24416</v>
      </c>
      <c r="F8331" t="s">
        <v>29372</v>
      </c>
      <c r="G8331" t="s">
        <v>29380</v>
      </c>
      <c r="H8331" t="s">
        <v>11048</v>
      </c>
      <c r="I8331" t="s">
        <v>29455</v>
      </c>
      <c r="J8331" t="s">
        <v>34899</v>
      </c>
      <c r="K8331" t="s">
        <v>38496</v>
      </c>
      <c r="M8331" t="s">
        <v>41545</v>
      </c>
      <c r="N8331" t="s">
        <v>42669</v>
      </c>
      <c r="O8331" t="s">
        <v>42670</v>
      </c>
      <c r="P8331">
        <v>0</v>
      </c>
      <c r="Q8331">
        <v>9</v>
      </c>
      <c r="R8331" t="s">
        <v>42679</v>
      </c>
      <c r="S8331" t="s">
        <v>42923</v>
      </c>
      <c r="T8331" t="s">
        <v>44405</v>
      </c>
      <c r="U8331" t="s">
        <v>51618</v>
      </c>
      <c r="W8331" t="s">
        <v>41545</v>
      </c>
      <c r="X8331" t="s">
        <v>42683</v>
      </c>
    </row>
    <row r="8332" spans="1:24">
      <c r="A8332">
        <f>HYPERLINK("https://www.philgeps.gov.ph/GEPSNONPILOT/Tender/SplashBidNoticeAbstractUI.aspx?menuIndex=3&amp;refID=7177542&amp;Result=3","7177542")</f>
        <v>0</v>
      </c>
      <c r="B8332" t="s">
        <v>2579</v>
      </c>
      <c r="C8332" t="s">
        <v>11497</v>
      </c>
      <c r="D8332" t="s">
        <v>17172</v>
      </c>
      <c r="E8332" t="s">
        <v>24417</v>
      </c>
      <c r="F8332" t="s">
        <v>29372</v>
      </c>
      <c r="G8332" t="s">
        <v>29380</v>
      </c>
      <c r="H8332" t="s">
        <v>29389</v>
      </c>
      <c r="I8332" t="s">
        <v>10408</v>
      </c>
      <c r="J8332" t="s">
        <v>29590</v>
      </c>
      <c r="K8332" t="s">
        <v>38490</v>
      </c>
      <c r="M8332" t="s">
        <v>41546</v>
      </c>
      <c r="N8332" t="s">
        <v>42669</v>
      </c>
      <c r="O8332" t="s">
        <v>42670</v>
      </c>
      <c r="P8332">
        <v>0</v>
      </c>
      <c r="Q8332">
        <v>2</v>
      </c>
      <c r="R8332" t="s">
        <v>42679</v>
      </c>
      <c r="S8332" t="s">
        <v>42923</v>
      </c>
      <c r="T8332" t="s">
        <v>44432</v>
      </c>
      <c r="U8332" t="s">
        <v>51619</v>
      </c>
      <c r="V8332" t="s">
        <v>56460</v>
      </c>
      <c r="W8332" t="s">
        <v>41546</v>
      </c>
      <c r="X8332" t="s">
        <v>42682</v>
      </c>
    </row>
    <row r="8333" spans="1:24">
      <c r="A8333">
        <f>HYPERLINK("https://www.philgeps.gov.ph/GEPSNONPILOT/Tender/SplashBidNoticeAbstractUI.aspx?menuIndex=3&amp;refID=7177581&amp;Result=3","7177581")</f>
        <v>0</v>
      </c>
      <c r="B8333" t="s">
        <v>981</v>
      </c>
      <c r="C8333" t="s">
        <v>6417</v>
      </c>
      <c r="D8333" t="s">
        <v>17152</v>
      </c>
      <c r="E8333" t="s">
        <v>24418</v>
      </c>
      <c r="F8333" t="s">
        <v>29372</v>
      </c>
      <c r="G8333" t="s">
        <v>29380</v>
      </c>
      <c r="H8333" t="s">
        <v>11048</v>
      </c>
      <c r="I8333" t="s">
        <v>6417</v>
      </c>
      <c r="J8333" t="s">
        <v>29561</v>
      </c>
      <c r="K8333" t="s">
        <v>38490</v>
      </c>
      <c r="M8333" t="s">
        <v>39778</v>
      </c>
      <c r="N8333" t="s">
        <v>42669</v>
      </c>
      <c r="O8333" t="s">
        <v>42670</v>
      </c>
      <c r="P8333">
        <v>0</v>
      </c>
      <c r="Q8333">
        <v>3</v>
      </c>
      <c r="R8333" t="s">
        <v>42679</v>
      </c>
      <c r="S8333" t="s">
        <v>42923</v>
      </c>
      <c r="T8333" t="s">
        <v>44512</v>
      </c>
      <c r="U8333" t="s">
        <v>51620</v>
      </c>
      <c r="W8333" t="s">
        <v>39778</v>
      </c>
      <c r="X8333" t="s">
        <v>42682</v>
      </c>
    </row>
    <row r="8334" spans="1:24">
      <c r="A8334">
        <f>HYPERLINK("https://www.philgeps.gov.ph/GEPSNONPILOT/Tender/SplashBidNoticeAbstractUI.aspx?menuIndex=3&amp;refID=7175812&amp;Result=3","7175812")</f>
        <v>0</v>
      </c>
      <c r="B8334" t="s">
        <v>1919</v>
      </c>
      <c r="C8334" t="s">
        <v>11498</v>
      </c>
      <c r="D8334" t="s">
        <v>17194</v>
      </c>
      <c r="E8334" t="s">
        <v>24419</v>
      </c>
      <c r="F8334" t="s">
        <v>29372</v>
      </c>
      <c r="G8334" t="s">
        <v>29380</v>
      </c>
      <c r="H8334" t="s">
        <v>11048</v>
      </c>
      <c r="I8334" t="s">
        <v>4709</v>
      </c>
      <c r="J8334" t="s">
        <v>34900</v>
      </c>
      <c r="K8334" t="s">
        <v>38485</v>
      </c>
      <c r="M8334" t="s">
        <v>40820</v>
      </c>
      <c r="N8334" t="s">
        <v>42669</v>
      </c>
      <c r="O8334" t="s">
        <v>42670</v>
      </c>
      <c r="P8334">
        <v>0</v>
      </c>
      <c r="Q8334">
        <v>0</v>
      </c>
      <c r="R8334" t="s">
        <v>42679</v>
      </c>
      <c r="S8334" t="s">
        <v>42923</v>
      </c>
      <c r="T8334" t="s">
        <v>44432</v>
      </c>
      <c r="U8334" t="s">
        <v>49835</v>
      </c>
      <c r="V8334" t="s">
        <v>56972</v>
      </c>
      <c r="W8334" t="s">
        <v>40820</v>
      </c>
      <c r="X8334" t="s">
        <v>42683</v>
      </c>
    </row>
    <row r="8335" spans="1:24">
      <c r="A8335">
        <f>HYPERLINK("https://www.philgeps.gov.ph/GEPSNONPILOT/Tender/SplashBidNoticeAbstractUI.aspx?menuIndex=3&amp;refID=7176747&amp;Result=3","7176747")</f>
        <v>0</v>
      </c>
      <c r="B8335" t="s">
        <v>2147</v>
      </c>
      <c r="C8335" t="s">
        <v>11499</v>
      </c>
      <c r="D8335" t="s">
        <v>17174</v>
      </c>
      <c r="E8335" t="s">
        <v>21582</v>
      </c>
      <c r="F8335" t="s">
        <v>29372</v>
      </c>
      <c r="G8335" t="s">
        <v>29380</v>
      </c>
      <c r="H8335" t="s">
        <v>11048</v>
      </c>
      <c r="I8335" t="s">
        <v>3670</v>
      </c>
      <c r="J8335" t="s">
        <v>29573</v>
      </c>
      <c r="K8335" t="s">
        <v>38495</v>
      </c>
      <c r="M8335" t="s">
        <v>41054</v>
      </c>
      <c r="N8335" t="s">
        <v>42669</v>
      </c>
      <c r="O8335" t="s">
        <v>42670</v>
      </c>
      <c r="P8335">
        <v>0</v>
      </c>
      <c r="Q8335">
        <v>6</v>
      </c>
      <c r="R8335" t="s">
        <v>42679</v>
      </c>
      <c r="S8335" t="s">
        <v>42923</v>
      </c>
      <c r="T8335" t="s">
        <v>44450</v>
      </c>
      <c r="U8335" t="s">
        <v>51621</v>
      </c>
      <c r="W8335" t="s">
        <v>41054</v>
      </c>
      <c r="X8335" t="s">
        <v>42683</v>
      </c>
    </row>
    <row r="8336" spans="1:24">
      <c r="A8336">
        <f>HYPERLINK("https://www.philgeps.gov.ph/GEPSNONPILOT/Tender/SplashBidNoticeAbstractUI.aspx?menuIndex=3&amp;refID=7177544&amp;Result=3","7177544")</f>
        <v>0</v>
      </c>
      <c r="B8336" t="s">
        <v>76</v>
      </c>
      <c r="C8336" t="s">
        <v>11500</v>
      </c>
      <c r="D8336" t="s">
        <v>17168</v>
      </c>
      <c r="E8336" t="s">
        <v>24420</v>
      </c>
      <c r="F8336" t="s">
        <v>29372</v>
      </c>
      <c r="G8336" t="s">
        <v>29380</v>
      </c>
      <c r="H8336" t="s">
        <v>11048</v>
      </c>
      <c r="I8336" t="s">
        <v>29407</v>
      </c>
      <c r="J8336" t="s">
        <v>34901</v>
      </c>
      <c r="K8336" t="s">
        <v>38488</v>
      </c>
      <c r="M8336" t="s">
        <v>38830</v>
      </c>
      <c r="N8336" t="s">
        <v>42669</v>
      </c>
      <c r="O8336" t="s">
        <v>42670</v>
      </c>
      <c r="Q8336">
        <v>5</v>
      </c>
      <c r="R8336" t="s">
        <v>42679</v>
      </c>
      <c r="S8336" t="s">
        <v>42927</v>
      </c>
      <c r="T8336" t="s">
        <v>44544</v>
      </c>
      <c r="U8336" t="s">
        <v>51622</v>
      </c>
      <c r="W8336" t="s">
        <v>38830</v>
      </c>
      <c r="X8336" t="s">
        <v>42682</v>
      </c>
    </row>
    <row r="8337" spans="1:24">
      <c r="A8337">
        <f>HYPERLINK("https://www.philgeps.gov.ph/GEPSNONPILOT/Tender/SplashBidNoticeAbstractUI.aspx?menuIndex=3&amp;refID=7176738&amp;Result=3","7176738")</f>
        <v>0</v>
      </c>
      <c r="B8337" t="s">
        <v>62</v>
      </c>
      <c r="C8337" t="s">
        <v>11501</v>
      </c>
      <c r="D8337" t="s">
        <v>17167</v>
      </c>
      <c r="E8337" t="s">
        <v>24421</v>
      </c>
      <c r="F8337" t="s">
        <v>29372</v>
      </c>
      <c r="G8337" t="s">
        <v>29380</v>
      </c>
      <c r="H8337" t="s">
        <v>11048</v>
      </c>
      <c r="I8337" t="s">
        <v>9469</v>
      </c>
      <c r="J8337" t="s">
        <v>34902</v>
      </c>
      <c r="K8337" t="s">
        <v>38496</v>
      </c>
      <c r="M8337" t="s">
        <v>38816</v>
      </c>
      <c r="N8337" t="s">
        <v>42669</v>
      </c>
      <c r="O8337" t="s">
        <v>42670</v>
      </c>
      <c r="P8337">
        <v>0</v>
      </c>
      <c r="Q8337">
        <v>6</v>
      </c>
      <c r="R8337" t="s">
        <v>42679</v>
      </c>
      <c r="S8337" t="s">
        <v>42923</v>
      </c>
      <c r="T8337" t="s">
        <v>44757</v>
      </c>
      <c r="U8337" t="s">
        <v>51623</v>
      </c>
      <c r="V8337" t="s">
        <v>57288</v>
      </c>
      <c r="W8337" t="s">
        <v>38816</v>
      </c>
      <c r="X8337" t="s">
        <v>42683</v>
      </c>
    </row>
    <row r="8338" spans="1:24">
      <c r="A8338">
        <f>HYPERLINK("https://www.philgeps.gov.ph/GEPSNONPILOT/Tender/SplashBidNoticeAbstractUI.aspx?menuIndex=3&amp;refID=7177007&amp;Result=3","7177007")</f>
        <v>0</v>
      </c>
      <c r="B8338" t="s">
        <v>2580</v>
      </c>
      <c r="C8338" t="s">
        <v>11502</v>
      </c>
      <c r="D8338" t="s">
        <v>17141</v>
      </c>
      <c r="E8338" t="s">
        <v>19807</v>
      </c>
      <c r="F8338" t="s">
        <v>29372</v>
      </c>
      <c r="G8338" t="s">
        <v>29380</v>
      </c>
      <c r="H8338" t="s">
        <v>11048</v>
      </c>
      <c r="I8338" t="s">
        <v>3670</v>
      </c>
      <c r="J8338" t="s">
        <v>31317</v>
      </c>
      <c r="K8338" t="s">
        <v>38528</v>
      </c>
      <c r="M8338" t="s">
        <v>41547</v>
      </c>
      <c r="N8338" t="s">
        <v>42669</v>
      </c>
      <c r="O8338" t="s">
        <v>42670</v>
      </c>
      <c r="P8338">
        <v>0</v>
      </c>
      <c r="Q8338">
        <v>3</v>
      </c>
      <c r="R8338" t="s">
        <v>42679</v>
      </c>
      <c r="S8338" t="s">
        <v>42923</v>
      </c>
      <c r="T8338" t="s">
        <v>44493</v>
      </c>
      <c r="U8338" t="s">
        <v>51624</v>
      </c>
      <c r="W8338" t="s">
        <v>41547</v>
      </c>
      <c r="X8338" t="s">
        <v>42683</v>
      </c>
    </row>
    <row r="8339" spans="1:24">
      <c r="A8339">
        <f>HYPERLINK("https://www.philgeps.gov.ph/GEPSNONPILOT/Tender/SplashBidNoticeAbstractUI.aspx?menuIndex=3&amp;refID=7176784&amp;Result=3","7176784")</f>
        <v>0</v>
      </c>
      <c r="B8339" t="s">
        <v>2147</v>
      </c>
      <c r="C8339" t="s">
        <v>11503</v>
      </c>
      <c r="D8339" t="s">
        <v>17174</v>
      </c>
      <c r="E8339" t="s">
        <v>20026</v>
      </c>
      <c r="F8339" t="s">
        <v>29372</v>
      </c>
      <c r="G8339" t="s">
        <v>29380</v>
      </c>
      <c r="H8339" t="s">
        <v>11048</v>
      </c>
      <c r="I8339" t="s">
        <v>29447</v>
      </c>
      <c r="J8339" t="s">
        <v>34903</v>
      </c>
      <c r="K8339" t="s">
        <v>38496</v>
      </c>
      <c r="M8339" t="s">
        <v>41054</v>
      </c>
      <c r="N8339" t="s">
        <v>42669</v>
      </c>
      <c r="O8339" t="s">
        <v>42670</v>
      </c>
      <c r="P8339">
        <v>0</v>
      </c>
      <c r="Q8339">
        <v>4</v>
      </c>
      <c r="R8339" t="s">
        <v>42679</v>
      </c>
      <c r="S8339" t="s">
        <v>42923</v>
      </c>
      <c r="T8339" t="s">
        <v>44450</v>
      </c>
      <c r="U8339" t="s">
        <v>51625</v>
      </c>
      <c r="W8339" t="s">
        <v>41054</v>
      </c>
      <c r="X8339" t="s">
        <v>42683</v>
      </c>
    </row>
    <row r="8340" spans="1:24">
      <c r="A8340">
        <f>HYPERLINK("https://www.philgeps.gov.ph/GEPSNONPILOT/Tender/SplashBidNoticeAbstractUI.aspx?menuIndex=3&amp;refID=7177462&amp;Result=3","7177462")</f>
        <v>0</v>
      </c>
      <c r="B8340" t="s">
        <v>1638</v>
      </c>
      <c r="C8340" t="s">
        <v>8088</v>
      </c>
      <c r="D8340" t="s">
        <v>17213</v>
      </c>
      <c r="E8340" t="s">
        <v>24422</v>
      </c>
      <c r="F8340" t="s">
        <v>29372</v>
      </c>
      <c r="G8340" t="s">
        <v>29380</v>
      </c>
      <c r="H8340" t="s">
        <v>11048</v>
      </c>
      <c r="I8340" t="s">
        <v>5383</v>
      </c>
      <c r="J8340" t="s">
        <v>34904</v>
      </c>
      <c r="K8340" t="s">
        <v>38490</v>
      </c>
      <c r="M8340" t="s">
        <v>40494</v>
      </c>
      <c r="N8340" t="s">
        <v>42669</v>
      </c>
      <c r="O8340" t="s">
        <v>42670</v>
      </c>
      <c r="P8340">
        <v>0</v>
      </c>
      <c r="Q8340">
        <v>5</v>
      </c>
      <c r="R8340" t="s">
        <v>42679</v>
      </c>
      <c r="S8340" t="s">
        <v>42923</v>
      </c>
      <c r="T8340" t="s">
        <v>44488</v>
      </c>
      <c r="U8340" t="s">
        <v>48700</v>
      </c>
      <c r="W8340" t="s">
        <v>58050</v>
      </c>
      <c r="X8340" t="s">
        <v>42682</v>
      </c>
    </row>
    <row r="8341" spans="1:24">
      <c r="A8341">
        <f>HYPERLINK("https://www.philgeps.gov.ph/GEPSNONPILOT/Tender/SplashBidNoticeAbstractUI.aspx?menuIndex=3&amp;refID=7177864&amp;Result=3","7177864")</f>
        <v>0</v>
      </c>
      <c r="B8341" t="s">
        <v>589</v>
      </c>
      <c r="C8341" t="s">
        <v>11504</v>
      </c>
      <c r="D8341" t="s">
        <v>17168</v>
      </c>
      <c r="E8341" t="s">
        <v>24423</v>
      </c>
      <c r="F8341" t="s">
        <v>29372</v>
      </c>
      <c r="G8341" t="s">
        <v>29380</v>
      </c>
      <c r="H8341" t="s">
        <v>11048</v>
      </c>
      <c r="I8341" t="s">
        <v>29432</v>
      </c>
      <c r="J8341" t="s">
        <v>34905</v>
      </c>
      <c r="K8341" t="s">
        <v>38538</v>
      </c>
      <c r="M8341" t="s">
        <v>40450</v>
      </c>
      <c r="N8341" t="s">
        <v>42669</v>
      </c>
      <c r="O8341" t="s">
        <v>42670</v>
      </c>
      <c r="P8341">
        <v>0</v>
      </c>
      <c r="Q8341">
        <v>0</v>
      </c>
      <c r="R8341" t="s">
        <v>42679</v>
      </c>
      <c r="S8341" t="s">
        <v>42923</v>
      </c>
      <c r="T8341" t="s">
        <v>44480</v>
      </c>
      <c r="U8341" t="s">
        <v>51626</v>
      </c>
      <c r="V8341" t="s">
        <v>57276</v>
      </c>
      <c r="W8341" t="s">
        <v>40450</v>
      </c>
      <c r="X8341" t="s">
        <v>42682</v>
      </c>
    </row>
    <row r="8342" spans="1:24">
      <c r="A8342">
        <f>HYPERLINK("https://www.philgeps.gov.ph/GEPSNONPILOT/Tender/SplashBidNoticeAbstractUI.aspx?menuIndex=3&amp;refID=7175835&amp;Result=3","7175835")</f>
        <v>0</v>
      </c>
      <c r="B8342" t="s">
        <v>1919</v>
      </c>
      <c r="C8342" t="s">
        <v>11505</v>
      </c>
      <c r="D8342" t="s">
        <v>17194</v>
      </c>
      <c r="E8342" t="s">
        <v>24424</v>
      </c>
      <c r="F8342" t="s">
        <v>29372</v>
      </c>
      <c r="G8342" t="s">
        <v>29380</v>
      </c>
      <c r="H8342" t="s">
        <v>11048</v>
      </c>
      <c r="I8342" t="s">
        <v>4709</v>
      </c>
      <c r="J8342" t="s">
        <v>34891</v>
      </c>
      <c r="K8342" t="s">
        <v>38485</v>
      </c>
      <c r="M8342" t="s">
        <v>40820</v>
      </c>
      <c r="N8342" t="s">
        <v>42669</v>
      </c>
      <c r="O8342" t="s">
        <v>42670</v>
      </c>
      <c r="P8342">
        <v>0</v>
      </c>
      <c r="Q8342">
        <v>0</v>
      </c>
      <c r="R8342" t="s">
        <v>42679</v>
      </c>
      <c r="S8342" t="s">
        <v>42923</v>
      </c>
      <c r="T8342" t="s">
        <v>44432</v>
      </c>
      <c r="U8342" t="s">
        <v>49835</v>
      </c>
      <c r="V8342" t="s">
        <v>56972</v>
      </c>
      <c r="W8342" t="s">
        <v>40820</v>
      </c>
      <c r="X8342" t="s">
        <v>42683</v>
      </c>
    </row>
    <row r="8343" spans="1:24">
      <c r="A8343">
        <f>HYPERLINK("https://www.philgeps.gov.ph/GEPSNONPILOT/Tender/SplashBidNoticeAbstractUI.aspx?menuIndex=3&amp;refID=7177837&amp;Result=3","7177837")</f>
        <v>0</v>
      </c>
      <c r="B8343" t="s">
        <v>589</v>
      </c>
      <c r="C8343" t="s">
        <v>11506</v>
      </c>
      <c r="D8343" t="s">
        <v>17168</v>
      </c>
      <c r="E8343" t="s">
        <v>24425</v>
      </c>
      <c r="F8343" t="s">
        <v>29372</v>
      </c>
      <c r="G8343" t="s">
        <v>29380</v>
      </c>
      <c r="H8343" t="s">
        <v>11048</v>
      </c>
      <c r="I8343" t="s">
        <v>5383</v>
      </c>
      <c r="J8343" t="s">
        <v>34906</v>
      </c>
      <c r="K8343" t="s">
        <v>38538</v>
      </c>
      <c r="M8343" t="s">
        <v>40450</v>
      </c>
      <c r="N8343" t="s">
        <v>42669</v>
      </c>
      <c r="O8343" t="s">
        <v>42670</v>
      </c>
      <c r="P8343">
        <v>0</v>
      </c>
      <c r="Q8343">
        <v>1</v>
      </c>
      <c r="R8343" t="s">
        <v>42679</v>
      </c>
      <c r="S8343" t="s">
        <v>42923</v>
      </c>
      <c r="T8343" t="s">
        <v>44480</v>
      </c>
      <c r="U8343" t="s">
        <v>51627</v>
      </c>
      <c r="V8343" t="s">
        <v>57276</v>
      </c>
      <c r="W8343" t="s">
        <v>40450</v>
      </c>
      <c r="X8343" t="s">
        <v>42682</v>
      </c>
    </row>
    <row r="8344" spans="1:24">
      <c r="A8344">
        <f>HYPERLINK("https://www.philgeps.gov.ph/GEPSNONPILOT/Tender/SplashBidNoticeAbstractUI.aspx?menuIndex=3&amp;refID=7177833&amp;Result=3","7177833")</f>
        <v>0</v>
      </c>
      <c r="B8344" t="s">
        <v>931</v>
      </c>
      <c r="C8344" t="s">
        <v>11507</v>
      </c>
      <c r="D8344" t="s">
        <v>17170</v>
      </c>
      <c r="E8344" t="s">
        <v>24426</v>
      </c>
      <c r="F8344" t="s">
        <v>29372</v>
      </c>
      <c r="G8344" t="s">
        <v>29380</v>
      </c>
      <c r="H8344" t="s">
        <v>29389</v>
      </c>
      <c r="I8344" t="s">
        <v>10408</v>
      </c>
      <c r="J8344" t="s">
        <v>34907</v>
      </c>
      <c r="K8344" t="s">
        <v>38496</v>
      </c>
      <c r="M8344" t="s">
        <v>39726</v>
      </c>
      <c r="N8344" t="s">
        <v>42669</v>
      </c>
      <c r="O8344" t="s">
        <v>42670</v>
      </c>
      <c r="P8344">
        <v>0</v>
      </c>
      <c r="Q8344">
        <v>0</v>
      </c>
      <c r="R8344" t="s">
        <v>42679</v>
      </c>
      <c r="S8344" t="s">
        <v>42923</v>
      </c>
      <c r="T8344" t="s">
        <v>44491</v>
      </c>
      <c r="U8344" t="s">
        <v>51628</v>
      </c>
      <c r="W8344" t="s">
        <v>39726</v>
      </c>
      <c r="X8344" t="s">
        <v>42682</v>
      </c>
    </row>
    <row r="8345" spans="1:24">
      <c r="A8345">
        <f>HYPERLINK("https://www.philgeps.gov.ph/GEPSNONPILOT/Tender/SplashBidNoticeAbstractUI.aspx?menuIndex=3&amp;refID=7177384&amp;Result=3","7177384")</f>
        <v>0</v>
      </c>
      <c r="B8345" t="s">
        <v>2581</v>
      </c>
      <c r="C8345" t="s">
        <v>11508</v>
      </c>
      <c r="D8345" t="s">
        <v>17174</v>
      </c>
      <c r="E8345" t="s">
        <v>18255</v>
      </c>
      <c r="F8345" t="s">
        <v>29372</v>
      </c>
      <c r="G8345" t="s">
        <v>29381</v>
      </c>
      <c r="H8345" t="s">
        <v>29389</v>
      </c>
      <c r="I8345" t="s">
        <v>10408</v>
      </c>
      <c r="J8345" t="s">
        <v>29555</v>
      </c>
      <c r="K8345" t="s">
        <v>38496</v>
      </c>
      <c r="M8345" t="s">
        <v>41548</v>
      </c>
      <c r="N8345" t="s">
        <v>42669</v>
      </c>
      <c r="O8345" t="s">
        <v>42670</v>
      </c>
      <c r="P8345">
        <v>0</v>
      </c>
      <c r="Q8345">
        <v>0</v>
      </c>
      <c r="R8345" t="s">
        <v>42679</v>
      </c>
      <c r="S8345" t="s">
        <v>42923</v>
      </c>
      <c r="T8345" t="s">
        <v>44512</v>
      </c>
      <c r="U8345" t="s">
        <v>51629</v>
      </c>
      <c r="W8345" t="s">
        <v>41548</v>
      </c>
      <c r="X8345" t="s">
        <v>42683</v>
      </c>
    </row>
    <row r="8346" spans="1:24">
      <c r="A8346">
        <f>HYPERLINK("https://www.philgeps.gov.ph/GEPSNONPILOT/Tender/SplashBidNoticeAbstractUI.aspx?menuIndex=3&amp;refID=7177896&amp;Result=3","7177896")</f>
        <v>0</v>
      </c>
      <c r="B8346" t="s">
        <v>2582</v>
      </c>
      <c r="C8346" t="s">
        <v>11509</v>
      </c>
      <c r="D8346" t="s">
        <v>17196</v>
      </c>
      <c r="E8346" t="s">
        <v>24427</v>
      </c>
      <c r="F8346" t="s">
        <v>29372</v>
      </c>
      <c r="G8346" t="s">
        <v>29380</v>
      </c>
      <c r="H8346" t="s">
        <v>11048</v>
      </c>
      <c r="I8346" t="s">
        <v>29396</v>
      </c>
      <c r="J8346" t="s">
        <v>29761</v>
      </c>
      <c r="K8346" t="s">
        <v>38490</v>
      </c>
      <c r="M8346" t="s">
        <v>41549</v>
      </c>
      <c r="N8346" t="s">
        <v>42669</v>
      </c>
      <c r="O8346" t="s">
        <v>42670</v>
      </c>
      <c r="P8346">
        <v>0</v>
      </c>
      <c r="Q8346">
        <v>0</v>
      </c>
      <c r="R8346" t="s">
        <v>42679</v>
      </c>
      <c r="S8346" t="s">
        <v>42923</v>
      </c>
      <c r="T8346" t="s">
        <v>44474</v>
      </c>
      <c r="U8346" t="s">
        <v>51630</v>
      </c>
      <c r="V8346" t="s">
        <v>57289</v>
      </c>
      <c r="W8346" t="s">
        <v>41549</v>
      </c>
      <c r="X8346" t="s">
        <v>42682</v>
      </c>
    </row>
    <row r="8347" spans="1:24">
      <c r="A8347">
        <f>HYPERLINK("https://www.philgeps.gov.ph/GEPSNONPILOT/Tender/SplashBidNoticeAbstractUI.aspx?menuIndex=3&amp;refID=7177889&amp;Result=3","7177889")</f>
        <v>0</v>
      </c>
      <c r="B8347" t="s">
        <v>589</v>
      </c>
      <c r="C8347" t="s">
        <v>11510</v>
      </c>
      <c r="D8347" t="s">
        <v>17168</v>
      </c>
      <c r="E8347" t="s">
        <v>24428</v>
      </c>
      <c r="F8347" t="s">
        <v>29372</v>
      </c>
      <c r="G8347" t="s">
        <v>29380</v>
      </c>
      <c r="H8347" t="s">
        <v>11048</v>
      </c>
      <c r="I8347" t="s">
        <v>29405</v>
      </c>
      <c r="J8347" t="s">
        <v>33887</v>
      </c>
      <c r="K8347" t="s">
        <v>38538</v>
      </c>
      <c r="M8347" t="s">
        <v>40450</v>
      </c>
      <c r="N8347" t="s">
        <v>42669</v>
      </c>
      <c r="O8347" t="s">
        <v>42670</v>
      </c>
      <c r="P8347">
        <v>0</v>
      </c>
      <c r="Q8347">
        <v>0</v>
      </c>
      <c r="R8347" t="s">
        <v>42679</v>
      </c>
      <c r="S8347" t="s">
        <v>42923</v>
      </c>
      <c r="T8347" t="s">
        <v>44480</v>
      </c>
      <c r="U8347" t="s">
        <v>51631</v>
      </c>
      <c r="V8347" t="s">
        <v>56910</v>
      </c>
      <c r="W8347" t="s">
        <v>40450</v>
      </c>
      <c r="X8347" t="s">
        <v>42682</v>
      </c>
    </row>
    <row r="8348" spans="1:24">
      <c r="A8348">
        <f>HYPERLINK("https://www.philgeps.gov.ph/GEPSNONPILOT/Tender/SplashBidNoticeAbstractUI.aspx?menuIndex=3&amp;refID=7177843&amp;Result=3","7177843")</f>
        <v>0</v>
      </c>
      <c r="B8348" t="s">
        <v>88</v>
      </c>
      <c r="C8348" t="s">
        <v>11511</v>
      </c>
      <c r="D8348" t="s">
        <v>17174</v>
      </c>
      <c r="E8348" t="s">
        <v>24429</v>
      </c>
      <c r="F8348" t="s">
        <v>29372</v>
      </c>
      <c r="G8348" t="s">
        <v>29380</v>
      </c>
      <c r="H8348" t="s">
        <v>11048</v>
      </c>
      <c r="I8348" t="s">
        <v>3695</v>
      </c>
      <c r="J8348" t="s">
        <v>34908</v>
      </c>
      <c r="K8348" t="s">
        <v>38488</v>
      </c>
      <c r="M8348" t="s">
        <v>38842</v>
      </c>
      <c r="N8348" t="s">
        <v>42669</v>
      </c>
      <c r="O8348" t="s">
        <v>42670</v>
      </c>
      <c r="P8348">
        <v>0</v>
      </c>
      <c r="Q8348">
        <v>1</v>
      </c>
      <c r="R8348" t="s">
        <v>42679</v>
      </c>
      <c r="S8348" t="s">
        <v>42923</v>
      </c>
      <c r="T8348" t="s">
        <v>44548</v>
      </c>
      <c r="U8348" t="s">
        <v>51632</v>
      </c>
      <c r="V8348" t="s">
        <v>57004</v>
      </c>
      <c r="W8348" t="s">
        <v>38842</v>
      </c>
      <c r="X8348" t="s">
        <v>42682</v>
      </c>
    </row>
    <row r="8349" spans="1:24">
      <c r="A8349">
        <f>HYPERLINK("https://www.philgeps.gov.ph/GEPSNONPILOT/Tender/SplashBidNoticeAbstractUI.aspx?menuIndex=3&amp;refID=7177724&amp;Result=3","7177724")</f>
        <v>0</v>
      </c>
      <c r="B8349" t="s">
        <v>981</v>
      </c>
      <c r="C8349" t="s">
        <v>5887</v>
      </c>
      <c r="D8349" t="s">
        <v>17152</v>
      </c>
      <c r="E8349" t="s">
        <v>24430</v>
      </c>
      <c r="F8349" t="s">
        <v>29372</v>
      </c>
      <c r="G8349" t="s">
        <v>29380</v>
      </c>
      <c r="H8349" t="s">
        <v>11048</v>
      </c>
      <c r="I8349" t="s">
        <v>29394</v>
      </c>
      <c r="J8349" t="s">
        <v>29604</v>
      </c>
      <c r="K8349" t="s">
        <v>38490</v>
      </c>
      <c r="M8349" t="s">
        <v>39778</v>
      </c>
      <c r="N8349" t="s">
        <v>42669</v>
      </c>
      <c r="O8349" t="s">
        <v>42670</v>
      </c>
      <c r="P8349">
        <v>0</v>
      </c>
      <c r="Q8349">
        <v>1</v>
      </c>
      <c r="R8349" t="s">
        <v>42679</v>
      </c>
      <c r="S8349" t="s">
        <v>42923</v>
      </c>
      <c r="T8349" t="s">
        <v>44512</v>
      </c>
      <c r="U8349" t="s">
        <v>51633</v>
      </c>
      <c r="W8349" t="s">
        <v>39778</v>
      </c>
      <c r="X8349" t="s">
        <v>42682</v>
      </c>
    </row>
    <row r="8350" spans="1:24">
      <c r="A8350">
        <f>HYPERLINK("https://www.philgeps.gov.ph/GEPSNONPILOT/Tender/SplashBidNoticeAbstractUI.aspx?menuIndex=3&amp;refID=7177705&amp;Result=3","7177705")</f>
        <v>0</v>
      </c>
      <c r="B8350" t="s">
        <v>2575</v>
      </c>
      <c r="C8350" t="s">
        <v>11512</v>
      </c>
      <c r="D8350" t="s">
        <v>17205</v>
      </c>
      <c r="E8350" t="s">
        <v>24431</v>
      </c>
      <c r="F8350" t="s">
        <v>29372</v>
      </c>
      <c r="G8350" t="s">
        <v>29380</v>
      </c>
      <c r="H8350" t="s">
        <v>11048</v>
      </c>
      <c r="I8350" t="s">
        <v>3695</v>
      </c>
      <c r="J8350" t="s">
        <v>34909</v>
      </c>
      <c r="K8350" t="s">
        <v>38485</v>
      </c>
      <c r="L8350" t="s">
        <v>2575</v>
      </c>
      <c r="M8350" t="s">
        <v>41542</v>
      </c>
      <c r="N8350" t="s">
        <v>42669</v>
      </c>
      <c r="O8350" t="s">
        <v>42670</v>
      </c>
      <c r="P8350">
        <v>0</v>
      </c>
      <c r="Q8350">
        <v>10</v>
      </c>
      <c r="R8350" t="s">
        <v>42679</v>
      </c>
      <c r="S8350" t="s">
        <v>42923</v>
      </c>
      <c r="T8350" t="s">
        <v>44517</v>
      </c>
      <c r="U8350" t="s">
        <v>51606</v>
      </c>
      <c r="W8350" t="s">
        <v>41542</v>
      </c>
      <c r="X8350" t="s">
        <v>42682</v>
      </c>
    </row>
    <row r="8351" spans="1:24">
      <c r="A8351">
        <f>HYPERLINK("https://www.philgeps.gov.ph/GEPSNONPILOT/Tender/SplashBidNoticeAbstractUI.aspx?menuIndex=3&amp;refID=7177681&amp;Result=3","7177681")</f>
        <v>0</v>
      </c>
      <c r="B8351" t="s">
        <v>981</v>
      </c>
      <c r="C8351" t="s">
        <v>5887</v>
      </c>
      <c r="D8351" t="s">
        <v>17152</v>
      </c>
      <c r="E8351" t="s">
        <v>24432</v>
      </c>
      <c r="F8351" t="s">
        <v>29372</v>
      </c>
      <c r="G8351" t="s">
        <v>29380</v>
      </c>
      <c r="H8351" t="s">
        <v>11048</v>
      </c>
      <c r="I8351" t="s">
        <v>29394</v>
      </c>
      <c r="J8351" t="s">
        <v>29708</v>
      </c>
      <c r="K8351" t="s">
        <v>38490</v>
      </c>
      <c r="M8351" t="s">
        <v>39778</v>
      </c>
      <c r="N8351" t="s">
        <v>42669</v>
      </c>
      <c r="O8351" t="s">
        <v>42670</v>
      </c>
      <c r="P8351">
        <v>0</v>
      </c>
      <c r="Q8351">
        <v>2</v>
      </c>
      <c r="R8351" t="s">
        <v>42679</v>
      </c>
      <c r="S8351" t="s">
        <v>42923</v>
      </c>
      <c r="T8351" t="s">
        <v>44512</v>
      </c>
      <c r="U8351" t="s">
        <v>51634</v>
      </c>
      <c r="W8351" t="s">
        <v>39778</v>
      </c>
      <c r="X8351" t="s">
        <v>42682</v>
      </c>
    </row>
    <row r="8352" spans="1:24">
      <c r="A8352">
        <f>HYPERLINK("https://www.philgeps.gov.ph/GEPSNONPILOT/Tender/SplashBidNoticeAbstractUI.aspx?menuIndex=3&amp;refID=7177674&amp;Result=3","7177674")</f>
        <v>0</v>
      </c>
      <c r="B8352" t="s">
        <v>2583</v>
      </c>
      <c r="C8352" t="s">
        <v>11513</v>
      </c>
      <c r="D8352" t="s">
        <v>17199</v>
      </c>
      <c r="E8352" t="s">
        <v>24433</v>
      </c>
      <c r="F8352" t="s">
        <v>29372</v>
      </c>
      <c r="G8352" t="s">
        <v>29380</v>
      </c>
      <c r="H8352" t="s">
        <v>11048</v>
      </c>
      <c r="I8352" t="s">
        <v>10408</v>
      </c>
      <c r="J8352" t="s">
        <v>29543</v>
      </c>
      <c r="K8352" t="s">
        <v>38489</v>
      </c>
      <c r="M8352" t="s">
        <v>41550</v>
      </c>
      <c r="N8352" t="s">
        <v>42669</v>
      </c>
      <c r="O8352" t="s">
        <v>42670</v>
      </c>
      <c r="P8352">
        <v>0</v>
      </c>
      <c r="Q8352">
        <v>0</v>
      </c>
      <c r="R8352" t="s">
        <v>42679</v>
      </c>
      <c r="S8352" t="s">
        <v>42923</v>
      </c>
      <c r="T8352" t="s">
        <v>44651</v>
      </c>
      <c r="U8352" t="s">
        <v>51635</v>
      </c>
      <c r="V8352" t="s">
        <v>57290</v>
      </c>
      <c r="W8352" t="s">
        <v>41550</v>
      </c>
      <c r="X8352" t="s">
        <v>42682</v>
      </c>
    </row>
    <row r="8353" spans="1:24">
      <c r="A8353">
        <f>HYPERLINK("https://www.philgeps.gov.ph/GEPSNONPILOT/Tender/SplashBidNoticeAbstractUI.aspx?menuIndex=3&amp;refID=7177670&amp;Result=3","7177670")</f>
        <v>0</v>
      </c>
      <c r="B8353" t="s">
        <v>2584</v>
      </c>
      <c r="C8353" t="s">
        <v>11514</v>
      </c>
      <c r="D8353" t="s">
        <v>17216</v>
      </c>
      <c r="E8353" t="s">
        <v>24434</v>
      </c>
      <c r="F8353" t="s">
        <v>29372</v>
      </c>
      <c r="G8353" t="s">
        <v>29384</v>
      </c>
      <c r="H8353" t="s">
        <v>29389</v>
      </c>
      <c r="I8353" t="s">
        <v>10408</v>
      </c>
      <c r="J8353" t="s">
        <v>29590</v>
      </c>
      <c r="K8353" t="s">
        <v>38522</v>
      </c>
      <c r="M8353" t="s">
        <v>41551</v>
      </c>
      <c r="N8353" t="s">
        <v>42669</v>
      </c>
      <c r="O8353" t="s">
        <v>42670</v>
      </c>
      <c r="P8353">
        <v>0</v>
      </c>
      <c r="Q8353">
        <v>0</v>
      </c>
      <c r="R8353" t="s">
        <v>42679</v>
      </c>
      <c r="S8353" t="s">
        <v>42923</v>
      </c>
      <c r="T8353" t="s">
        <v>44355</v>
      </c>
      <c r="U8353" t="s">
        <v>51636</v>
      </c>
      <c r="W8353" t="s">
        <v>41551</v>
      </c>
      <c r="X8353" t="s">
        <v>42682</v>
      </c>
    </row>
    <row r="8354" spans="1:24">
      <c r="A8354">
        <f>HYPERLINK("https://www.philgeps.gov.ph/GEPSNONPILOT/Tender/SplashBidNoticeAbstractUI.aspx?menuIndex=3&amp;refID=7177807&amp;Result=3","7177807")</f>
        <v>0</v>
      </c>
      <c r="B8354" t="s">
        <v>589</v>
      </c>
      <c r="C8354" t="s">
        <v>11515</v>
      </c>
      <c r="D8354" t="s">
        <v>17168</v>
      </c>
      <c r="E8354" t="s">
        <v>24435</v>
      </c>
      <c r="F8354" t="s">
        <v>29372</v>
      </c>
      <c r="G8354" t="s">
        <v>29380</v>
      </c>
      <c r="H8354" t="s">
        <v>11048</v>
      </c>
      <c r="I8354" t="s">
        <v>29407</v>
      </c>
      <c r="J8354" t="s">
        <v>29590</v>
      </c>
      <c r="K8354" t="s">
        <v>38538</v>
      </c>
      <c r="M8354" t="s">
        <v>40450</v>
      </c>
      <c r="N8354" t="s">
        <v>42669</v>
      </c>
      <c r="O8354" t="s">
        <v>42670</v>
      </c>
      <c r="P8354">
        <v>0</v>
      </c>
      <c r="Q8354">
        <v>4</v>
      </c>
      <c r="R8354" t="s">
        <v>42679</v>
      </c>
      <c r="S8354" t="s">
        <v>42923</v>
      </c>
      <c r="T8354" t="s">
        <v>44430</v>
      </c>
      <c r="U8354" t="s">
        <v>51637</v>
      </c>
      <c r="V8354" t="s">
        <v>57276</v>
      </c>
      <c r="W8354" t="s">
        <v>40450</v>
      </c>
      <c r="X8354" t="s">
        <v>42682</v>
      </c>
    </row>
    <row r="8355" spans="1:24">
      <c r="A8355">
        <f>HYPERLINK("https://www.philgeps.gov.ph/GEPSNONPILOT/Tender/SplashBidNoticeAbstractUI.aspx?menuIndex=3&amp;refID=7177669&amp;Result=3","7177669")</f>
        <v>0</v>
      </c>
      <c r="B8355" t="s">
        <v>1691</v>
      </c>
      <c r="C8355" t="s">
        <v>11516</v>
      </c>
      <c r="D8355" t="s">
        <v>17175</v>
      </c>
      <c r="E8355" t="s">
        <v>24436</v>
      </c>
      <c r="F8355" t="s">
        <v>29372</v>
      </c>
      <c r="G8355" t="s">
        <v>29380</v>
      </c>
      <c r="H8355" t="s">
        <v>29389</v>
      </c>
      <c r="I8355" t="s">
        <v>10408</v>
      </c>
      <c r="J8355" t="s">
        <v>29788</v>
      </c>
      <c r="K8355" t="s">
        <v>38522</v>
      </c>
      <c r="M8355" t="s">
        <v>40553</v>
      </c>
      <c r="N8355" t="s">
        <v>42669</v>
      </c>
      <c r="O8355" t="s">
        <v>42670</v>
      </c>
      <c r="P8355">
        <v>0</v>
      </c>
      <c r="Q8355">
        <v>1</v>
      </c>
      <c r="R8355" t="s">
        <v>42679</v>
      </c>
      <c r="S8355" t="s">
        <v>42923</v>
      </c>
      <c r="T8355" t="s">
        <v>44517</v>
      </c>
      <c r="U8355" t="s">
        <v>51638</v>
      </c>
      <c r="V8355" t="s">
        <v>56888</v>
      </c>
      <c r="W8355" t="s">
        <v>40553</v>
      </c>
      <c r="X8355" t="s">
        <v>42682</v>
      </c>
    </row>
    <row r="8356" spans="1:24">
      <c r="A8356">
        <f>HYPERLINK("https://www.philgeps.gov.ph/GEPSNONPILOT/Tender/SplashBidNoticeAbstractUI.aspx?menuIndex=3&amp;refID=7177739&amp;Result=3","7177739")</f>
        <v>0</v>
      </c>
      <c r="B8356" t="s">
        <v>981</v>
      </c>
      <c r="C8356" t="s">
        <v>3670</v>
      </c>
      <c r="D8356" t="s">
        <v>17152</v>
      </c>
      <c r="E8356" t="s">
        <v>24437</v>
      </c>
      <c r="F8356" t="s">
        <v>29372</v>
      </c>
      <c r="G8356" t="s">
        <v>29380</v>
      </c>
      <c r="H8356" t="s">
        <v>11048</v>
      </c>
      <c r="I8356" t="s">
        <v>3670</v>
      </c>
      <c r="J8356" t="s">
        <v>29587</v>
      </c>
      <c r="K8356" t="s">
        <v>38490</v>
      </c>
      <c r="M8356" t="s">
        <v>39778</v>
      </c>
      <c r="N8356" t="s">
        <v>42669</v>
      </c>
      <c r="O8356" t="s">
        <v>42670</v>
      </c>
      <c r="P8356">
        <v>0</v>
      </c>
      <c r="Q8356">
        <v>0</v>
      </c>
      <c r="R8356" t="s">
        <v>42679</v>
      </c>
      <c r="S8356" t="s">
        <v>42923</v>
      </c>
      <c r="T8356" t="s">
        <v>44512</v>
      </c>
      <c r="U8356" t="s">
        <v>51639</v>
      </c>
      <c r="W8356" t="s">
        <v>39778</v>
      </c>
      <c r="X8356" t="s">
        <v>42682</v>
      </c>
    </row>
    <row r="8357" spans="1:24">
      <c r="A8357">
        <f>HYPERLINK("https://www.philgeps.gov.ph/GEPSNONPILOT/Tender/SplashBidNoticeAbstractUI.aspx?menuIndex=3&amp;refID=7177632&amp;Result=3","7177632")</f>
        <v>0</v>
      </c>
      <c r="B8357" t="s">
        <v>981</v>
      </c>
      <c r="C8357" t="s">
        <v>10408</v>
      </c>
      <c r="D8357" t="s">
        <v>17152</v>
      </c>
      <c r="E8357" t="s">
        <v>24438</v>
      </c>
      <c r="F8357" t="s">
        <v>29372</v>
      </c>
      <c r="G8357" t="s">
        <v>29380</v>
      </c>
      <c r="H8357" t="s">
        <v>29389</v>
      </c>
      <c r="I8357" t="s">
        <v>10408</v>
      </c>
      <c r="J8357" t="s">
        <v>29587</v>
      </c>
      <c r="K8357" t="s">
        <v>38490</v>
      </c>
      <c r="M8357" t="s">
        <v>39778</v>
      </c>
      <c r="N8357" t="s">
        <v>42669</v>
      </c>
      <c r="O8357" t="s">
        <v>42670</v>
      </c>
      <c r="P8357">
        <v>0</v>
      </c>
      <c r="Q8357">
        <v>0</v>
      </c>
      <c r="R8357" t="s">
        <v>42679</v>
      </c>
      <c r="S8357" t="s">
        <v>42923</v>
      </c>
      <c r="T8357" t="s">
        <v>44512</v>
      </c>
      <c r="U8357" t="s">
        <v>51640</v>
      </c>
      <c r="W8357" t="s">
        <v>39778</v>
      </c>
      <c r="X8357" t="s">
        <v>42682</v>
      </c>
    </row>
    <row r="8358" spans="1:24">
      <c r="A8358">
        <f>HYPERLINK("https://www.philgeps.gov.ph/GEPSNONPILOT/Tender/SplashBidNoticeAbstractUI.aspx?menuIndex=3&amp;refID=7177618&amp;Result=3","7177618")</f>
        <v>0</v>
      </c>
      <c r="B8358" t="s">
        <v>981</v>
      </c>
      <c r="C8358" t="s">
        <v>11517</v>
      </c>
      <c r="D8358" t="s">
        <v>17152</v>
      </c>
      <c r="E8358" t="s">
        <v>24439</v>
      </c>
      <c r="F8358" t="s">
        <v>29372</v>
      </c>
      <c r="G8358" t="s">
        <v>29380</v>
      </c>
      <c r="H8358" t="s">
        <v>11048</v>
      </c>
      <c r="I8358" t="s">
        <v>29404</v>
      </c>
      <c r="J8358" t="s">
        <v>34910</v>
      </c>
      <c r="K8358" t="s">
        <v>38490</v>
      </c>
      <c r="M8358" t="s">
        <v>39778</v>
      </c>
      <c r="N8358" t="s">
        <v>42669</v>
      </c>
      <c r="O8358" t="s">
        <v>42670</v>
      </c>
      <c r="P8358">
        <v>0</v>
      </c>
      <c r="Q8358">
        <v>1</v>
      </c>
      <c r="R8358" t="s">
        <v>42679</v>
      </c>
      <c r="S8358" t="s">
        <v>42923</v>
      </c>
      <c r="T8358" t="s">
        <v>44512</v>
      </c>
      <c r="U8358" t="s">
        <v>51641</v>
      </c>
      <c r="W8358" t="s">
        <v>39778</v>
      </c>
      <c r="X8358" t="s">
        <v>42682</v>
      </c>
    </row>
    <row r="8359" spans="1:24">
      <c r="A8359">
        <f>HYPERLINK("https://www.philgeps.gov.ph/GEPSNONPILOT/Tender/SplashBidNoticeAbstractUI.aspx?menuIndex=3&amp;refID=7177737&amp;Result=3","7177737")</f>
        <v>0</v>
      </c>
      <c r="B8359" t="s">
        <v>2070</v>
      </c>
      <c r="C8359" t="s">
        <v>11518</v>
      </c>
      <c r="D8359" t="s">
        <v>17170</v>
      </c>
      <c r="E8359" t="s">
        <v>24406</v>
      </c>
      <c r="F8359" t="s">
        <v>29372</v>
      </c>
      <c r="G8359" t="s">
        <v>29380</v>
      </c>
      <c r="H8359" t="s">
        <v>11048</v>
      </c>
      <c r="I8359" t="s">
        <v>3839</v>
      </c>
      <c r="J8359" t="s">
        <v>34911</v>
      </c>
      <c r="K8359" t="s">
        <v>38485</v>
      </c>
      <c r="M8359" t="s">
        <v>40968</v>
      </c>
      <c r="N8359" t="s">
        <v>42669</v>
      </c>
      <c r="O8359" t="s">
        <v>42670</v>
      </c>
      <c r="P8359">
        <v>0</v>
      </c>
      <c r="Q8359">
        <v>3</v>
      </c>
      <c r="R8359" t="s">
        <v>42679</v>
      </c>
      <c r="S8359" t="s">
        <v>42923</v>
      </c>
      <c r="T8359" t="s">
        <v>44488</v>
      </c>
      <c r="U8359" t="s">
        <v>51642</v>
      </c>
      <c r="V8359" t="s">
        <v>57026</v>
      </c>
      <c r="W8359" t="s">
        <v>40968</v>
      </c>
      <c r="X8359" t="s">
        <v>42682</v>
      </c>
    </row>
    <row r="8360" spans="1:24">
      <c r="A8360">
        <f>HYPERLINK("https://www.philgeps.gov.ph/GEPSNONPILOT/Tender/SplashBidNoticeAbstractUI.aspx?menuIndex=3&amp;refID=7176708&amp;Result=3","7176708")</f>
        <v>0</v>
      </c>
      <c r="B8360" t="s">
        <v>689</v>
      </c>
      <c r="C8360" t="s">
        <v>11519</v>
      </c>
      <c r="D8360" t="s">
        <v>17216</v>
      </c>
      <c r="E8360" t="s">
        <v>24440</v>
      </c>
      <c r="F8360" t="s">
        <v>29372</v>
      </c>
      <c r="G8360" t="s">
        <v>29380</v>
      </c>
      <c r="H8360" t="s">
        <v>29389</v>
      </c>
      <c r="I8360" t="s">
        <v>10408</v>
      </c>
      <c r="J8360" t="s">
        <v>31092</v>
      </c>
      <c r="K8360" t="s">
        <v>38522</v>
      </c>
      <c r="M8360" t="s">
        <v>39465</v>
      </c>
      <c r="N8360" t="s">
        <v>42669</v>
      </c>
      <c r="O8360" t="s">
        <v>42670</v>
      </c>
      <c r="P8360">
        <v>0</v>
      </c>
      <c r="Q8360">
        <v>0</v>
      </c>
      <c r="R8360" t="s">
        <v>42679</v>
      </c>
      <c r="S8360" t="s">
        <v>42923</v>
      </c>
      <c r="T8360" t="s">
        <v>44450</v>
      </c>
      <c r="U8360" t="s">
        <v>51643</v>
      </c>
      <c r="W8360" t="s">
        <v>39465</v>
      </c>
      <c r="X8360" t="s">
        <v>42683</v>
      </c>
    </row>
    <row r="8361" spans="1:24">
      <c r="A8361">
        <f>HYPERLINK("https://www.philgeps.gov.ph/GEPSNONPILOT/Tender/SplashBidNoticeAbstractUI.aspx?menuIndex=3&amp;refID=7176700&amp;Result=3","7176700")</f>
        <v>0</v>
      </c>
      <c r="B8361" t="s">
        <v>1624</v>
      </c>
      <c r="C8361" t="s">
        <v>11520</v>
      </c>
      <c r="D8361" t="s">
        <v>17196</v>
      </c>
      <c r="E8361" t="s">
        <v>24441</v>
      </c>
      <c r="F8361" t="s">
        <v>29372</v>
      </c>
      <c r="G8361" t="s">
        <v>29380</v>
      </c>
      <c r="H8361" t="s">
        <v>29389</v>
      </c>
      <c r="I8361" t="s">
        <v>10408</v>
      </c>
      <c r="J8361" t="s">
        <v>30815</v>
      </c>
      <c r="K8361" t="s">
        <v>38533</v>
      </c>
      <c r="L8361" t="s">
        <v>1624</v>
      </c>
      <c r="M8361" t="s">
        <v>40478</v>
      </c>
      <c r="N8361" t="s">
        <v>42669</v>
      </c>
      <c r="O8361" t="s">
        <v>42670</v>
      </c>
      <c r="P8361">
        <v>0</v>
      </c>
      <c r="Q8361">
        <v>0</v>
      </c>
      <c r="R8361" t="s">
        <v>42679</v>
      </c>
      <c r="S8361" t="s">
        <v>42923</v>
      </c>
      <c r="T8361" t="s">
        <v>44355</v>
      </c>
      <c r="U8361" t="s">
        <v>48507</v>
      </c>
      <c r="V8361" t="s">
        <v>57291</v>
      </c>
      <c r="W8361" t="s">
        <v>40478</v>
      </c>
      <c r="X8361" t="s">
        <v>42683</v>
      </c>
    </row>
    <row r="8362" spans="1:24">
      <c r="A8362">
        <f>HYPERLINK("https://www.philgeps.gov.ph/GEPSNONPILOT/Tender/SplashBidNoticeAbstractUI.aspx?menuIndex=3&amp;refID=7176658&amp;Result=3","7176658")</f>
        <v>0</v>
      </c>
      <c r="B8362" t="s">
        <v>689</v>
      </c>
      <c r="C8362" t="s">
        <v>11521</v>
      </c>
      <c r="D8362" t="s">
        <v>17216</v>
      </c>
      <c r="E8362" t="s">
        <v>24442</v>
      </c>
      <c r="F8362" t="s">
        <v>29372</v>
      </c>
      <c r="G8362" t="s">
        <v>29380</v>
      </c>
      <c r="H8362" t="s">
        <v>29389</v>
      </c>
      <c r="I8362" t="s">
        <v>10408</v>
      </c>
      <c r="J8362" t="s">
        <v>29590</v>
      </c>
      <c r="K8362" t="s">
        <v>38496</v>
      </c>
      <c r="M8362" t="s">
        <v>39465</v>
      </c>
      <c r="N8362" t="s">
        <v>42669</v>
      </c>
      <c r="O8362" t="s">
        <v>42670</v>
      </c>
      <c r="P8362">
        <v>0</v>
      </c>
      <c r="Q8362">
        <v>0</v>
      </c>
      <c r="R8362" t="s">
        <v>42679</v>
      </c>
      <c r="S8362" t="s">
        <v>42923</v>
      </c>
      <c r="T8362" t="s">
        <v>44491</v>
      </c>
      <c r="U8362" t="s">
        <v>51644</v>
      </c>
      <c r="W8362" t="s">
        <v>39465</v>
      </c>
      <c r="X8362" t="s">
        <v>42683</v>
      </c>
    </row>
    <row r="8363" spans="1:24">
      <c r="A8363">
        <f>HYPERLINK("https://www.philgeps.gov.ph/GEPSNONPILOT/Tender/SplashBidNoticeAbstractUI.aspx?menuIndex=3&amp;refID=7177770&amp;Result=3","7177770")</f>
        <v>0</v>
      </c>
      <c r="B8363" t="s">
        <v>2582</v>
      </c>
      <c r="C8363" t="s">
        <v>11522</v>
      </c>
      <c r="D8363" t="s">
        <v>17196</v>
      </c>
      <c r="E8363" t="s">
        <v>24443</v>
      </c>
      <c r="F8363" t="s">
        <v>29372</v>
      </c>
      <c r="G8363" t="s">
        <v>29380</v>
      </c>
      <c r="H8363" t="s">
        <v>11048</v>
      </c>
      <c r="I8363" t="s">
        <v>4486</v>
      </c>
      <c r="J8363" t="s">
        <v>34912</v>
      </c>
      <c r="K8363" t="s">
        <v>38490</v>
      </c>
      <c r="M8363" t="s">
        <v>41549</v>
      </c>
      <c r="N8363" t="s">
        <v>42669</v>
      </c>
      <c r="O8363" t="s">
        <v>42670</v>
      </c>
      <c r="P8363">
        <v>0</v>
      </c>
      <c r="Q8363">
        <v>12</v>
      </c>
      <c r="R8363" t="s">
        <v>42679</v>
      </c>
      <c r="S8363" t="s">
        <v>42923</v>
      </c>
      <c r="T8363" t="s">
        <v>44355</v>
      </c>
      <c r="U8363" t="s">
        <v>51645</v>
      </c>
      <c r="V8363" t="s">
        <v>57292</v>
      </c>
      <c r="W8363" t="s">
        <v>41549</v>
      </c>
      <c r="X8363" t="s">
        <v>42682</v>
      </c>
    </row>
    <row r="8364" spans="1:24">
      <c r="A8364">
        <f>HYPERLINK("https://www.philgeps.gov.ph/GEPSNONPILOT/Tender/SplashBidNoticeAbstractUI.aspx?menuIndex=3&amp;refID=7176680&amp;Result=3","7176680")</f>
        <v>0</v>
      </c>
      <c r="B8364" t="s">
        <v>689</v>
      </c>
      <c r="C8364" t="s">
        <v>11523</v>
      </c>
      <c r="D8364" t="s">
        <v>17216</v>
      </c>
      <c r="E8364" t="s">
        <v>24444</v>
      </c>
      <c r="F8364" t="s">
        <v>29372</v>
      </c>
      <c r="G8364" t="s">
        <v>29380</v>
      </c>
      <c r="H8364" t="s">
        <v>29389</v>
      </c>
      <c r="I8364" t="s">
        <v>10408</v>
      </c>
      <c r="J8364" t="s">
        <v>34913</v>
      </c>
      <c r="K8364" t="s">
        <v>38522</v>
      </c>
      <c r="M8364" t="s">
        <v>39465</v>
      </c>
      <c r="N8364" t="s">
        <v>42669</v>
      </c>
      <c r="O8364" t="s">
        <v>42670</v>
      </c>
      <c r="P8364">
        <v>0</v>
      </c>
      <c r="Q8364">
        <v>0</v>
      </c>
      <c r="R8364" t="s">
        <v>42679</v>
      </c>
      <c r="S8364" t="s">
        <v>42923</v>
      </c>
      <c r="T8364" t="s">
        <v>44450</v>
      </c>
      <c r="U8364" t="s">
        <v>51646</v>
      </c>
      <c r="W8364" t="s">
        <v>39465</v>
      </c>
      <c r="X8364" t="s">
        <v>42683</v>
      </c>
    </row>
    <row r="8365" spans="1:24">
      <c r="A8365">
        <f>HYPERLINK("https://www.philgeps.gov.ph/GEPSNONPILOT/Tender/SplashBidNoticeAbstractUI.aspx?menuIndex=3&amp;refID=7176648&amp;Result=3","7176648")</f>
        <v>0</v>
      </c>
      <c r="B8365" t="s">
        <v>1624</v>
      </c>
      <c r="C8365" t="s">
        <v>11524</v>
      </c>
      <c r="D8365" t="s">
        <v>17196</v>
      </c>
      <c r="E8365" t="s">
        <v>24445</v>
      </c>
      <c r="F8365" t="s">
        <v>29372</v>
      </c>
      <c r="G8365" t="s">
        <v>29380</v>
      </c>
      <c r="H8365" t="s">
        <v>29389</v>
      </c>
      <c r="I8365" t="s">
        <v>10408</v>
      </c>
      <c r="J8365" t="s">
        <v>31498</v>
      </c>
      <c r="K8365" t="s">
        <v>38526</v>
      </c>
      <c r="L8365" t="s">
        <v>1624</v>
      </c>
      <c r="M8365" t="s">
        <v>40478</v>
      </c>
      <c r="N8365" t="s">
        <v>42669</v>
      </c>
      <c r="O8365" t="s">
        <v>42670</v>
      </c>
      <c r="P8365">
        <v>0</v>
      </c>
      <c r="Q8365">
        <v>0</v>
      </c>
      <c r="R8365" t="s">
        <v>42679</v>
      </c>
      <c r="S8365" t="s">
        <v>42923</v>
      </c>
      <c r="T8365" t="s">
        <v>44355</v>
      </c>
      <c r="U8365" t="s">
        <v>48507</v>
      </c>
      <c r="V8365" t="s">
        <v>57291</v>
      </c>
      <c r="W8365" t="s">
        <v>40478</v>
      </c>
      <c r="X8365" t="s">
        <v>42683</v>
      </c>
    </row>
    <row r="8366" spans="1:24">
      <c r="A8366">
        <f>HYPERLINK("https://www.philgeps.gov.ph/GEPSNONPILOT/Tender/SplashBidNoticeAbstractUI.aspx?menuIndex=3&amp;refID=7176615&amp;Result=3","7176615")</f>
        <v>0</v>
      </c>
      <c r="B8366" t="s">
        <v>689</v>
      </c>
      <c r="C8366" t="s">
        <v>11525</v>
      </c>
      <c r="D8366" t="s">
        <v>17216</v>
      </c>
      <c r="E8366" t="s">
        <v>24446</v>
      </c>
      <c r="F8366" t="s">
        <v>29372</v>
      </c>
      <c r="G8366" t="s">
        <v>29380</v>
      </c>
      <c r="H8366" t="s">
        <v>11048</v>
      </c>
      <c r="I8366" t="s">
        <v>3952</v>
      </c>
      <c r="J8366" t="s">
        <v>34914</v>
      </c>
      <c r="K8366" t="s">
        <v>38530</v>
      </c>
      <c r="M8366" t="s">
        <v>39465</v>
      </c>
      <c r="N8366" t="s">
        <v>42669</v>
      </c>
      <c r="O8366" t="s">
        <v>42670</v>
      </c>
      <c r="P8366">
        <v>0</v>
      </c>
      <c r="Q8366">
        <v>1</v>
      </c>
      <c r="R8366" t="s">
        <v>42679</v>
      </c>
      <c r="S8366" t="s">
        <v>42923</v>
      </c>
      <c r="T8366" t="s">
        <v>44491</v>
      </c>
      <c r="U8366" t="s">
        <v>51647</v>
      </c>
      <c r="W8366" t="s">
        <v>39465</v>
      </c>
      <c r="X8366" t="s">
        <v>42683</v>
      </c>
    </row>
    <row r="8367" spans="1:24">
      <c r="A8367">
        <f>HYPERLINK("https://www.philgeps.gov.ph/GEPSNONPILOT/Tender/SplashBidNoticeAbstractUI.aspx?menuIndex=3&amp;refID=7175782&amp;Result=3","7175782")</f>
        <v>0</v>
      </c>
      <c r="B8367" t="s">
        <v>1919</v>
      </c>
      <c r="C8367" t="s">
        <v>11526</v>
      </c>
      <c r="D8367" t="s">
        <v>17194</v>
      </c>
      <c r="E8367" t="s">
        <v>24447</v>
      </c>
      <c r="F8367" t="s">
        <v>29372</v>
      </c>
      <c r="G8367" t="s">
        <v>29380</v>
      </c>
      <c r="H8367" t="s">
        <v>11048</v>
      </c>
      <c r="I8367" t="s">
        <v>4709</v>
      </c>
      <c r="J8367" t="s">
        <v>34915</v>
      </c>
      <c r="K8367" t="s">
        <v>38485</v>
      </c>
      <c r="M8367" t="s">
        <v>40820</v>
      </c>
      <c r="N8367" t="s">
        <v>42669</v>
      </c>
      <c r="O8367" t="s">
        <v>42670</v>
      </c>
      <c r="P8367">
        <v>0</v>
      </c>
      <c r="Q8367">
        <v>0</v>
      </c>
      <c r="R8367" t="s">
        <v>42679</v>
      </c>
      <c r="S8367" t="s">
        <v>42923</v>
      </c>
      <c r="T8367" t="s">
        <v>44432</v>
      </c>
      <c r="U8367" t="s">
        <v>49835</v>
      </c>
      <c r="V8367" t="s">
        <v>56972</v>
      </c>
      <c r="W8367" t="s">
        <v>40820</v>
      </c>
      <c r="X8367" t="s">
        <v>42683</v>
      </c>
    </row>
    <row r="8368" spans="1:24">
      <c r="A8368">
        <f>HYPERLINK("https://www.philgeps.gov.ph/GEPSNONPILOT/Tender/SplashBidNoticeAbstractUI.aspx?menuIndex=3&amp;refID=7175670&amp;Result=3","7175670")</f>
        <v>0</v>
      </c>
      <c r="B8368" t="s">
        <v>1919</v>
      </c>
      <c r="C8368" t="s">
        <v>11527</v>
      </c>
      <c r="D8368" t="s">
        <v>17194</v>
      </c>
      <c r="E8368" t="s">
        <v>24448</v>
      </c>
      <c r="F8368" t="s">
        <v>29372</v>
      </c>
      <c r="G8368" t="s">
        <v>29380</v>
      </c>
      <c r="H8368" t="s">
        <v>11048</v>
      </c>
      <c r="I8368" t="s">
        <v>4709</v>
      </c>
      <c r="J8368" t="s">
        <v>34916</v>
      </c>
      <c r="K8368" t="s">
        <v>38485</v>
      </c>
      <c r="M8368" t="s">
        <v>40794</v>
      </c>
      <c r="N8368" t="s">
        <v>42669</v>
      </c>
      <c r="O8368" t="s">
        <v>42670</v>
      </c>
      <c r="P8368">
        <v>0</v>
      </c>
      <c r="Q8368">
        <v>0</v>
      </c>
      <c r="R8368" t="s">
        <v>42679</v>
      </c>
      <c r="S8368" t="s">
        <v>42923</v>
      </c>
      <c r="T8368" t="s">
        <v>44432</v>
      </c>
      <c r="U8368" t="s">
        <v>49835</v>
      </c>
      <c r="V8368" t="s">
        <v>56972</v>
      </c>
      <c r="W8368" t="s">
        <v>40794</v>
      </c>
      <c r="X8368" t="s">
        <v>42683</v>
      </c>
    </row>
    <row r="8369" spans="1:24">
      <c r="A8369">
        <f>HYPERLINK("https://www.philgeps.gov.ph/GEPSNONPILOT/Tender/SplashBidNoticeAbstractUI.aspx?menuIndex=3&amp;refID=7176566&amp;Result=3","7176566")</f>
        <v>0</v>
      </c>
      <c r="B8369" t="s">
        <v>2576</v>
      </c>
      <c r="C8369" t="s">
        <v>11528</v>
      </c>
      <c r="D8369" t="s">
        <v>17169</v>
      </c>
      <c r="E8369" t="s">
        <v>24449</v>
      </c>
      <c r="F8369" t="s">
        <v>29372</v>
      </c>
      <c r="G8369" t="s">
        <v>29380</v>
      </c>
      <c r="H8369" t="s">
        <v>11048</v>
      </c>
      <c r="I8369" t="s">
        <v>10408</v>
      </c>
      <c r="J8369" t="s">
        <v>34917</v>
      </c>
      <c r="K8369" t="s">
        <v>38485</v>
      </c>
      <c r="M8369" t="s">
        <v>41543</v>
      </c>
      <c r="N8369" t="s">
        <v>42669</v>
      </c>
      <c r="O8369" t="s">
        <v>42670</v>
      </c>
      <c r="P8369">
        <v>0</v>
      </c>
      <c r="Q8369">
        <v>2</v>
      </c>
      <c r="R8369" t="s">
        <v>42679</v>
      </c>
      <c r="S8369" t="s">
        <v>42923</v>
      </c>
      <c r="T8369" t="s">
        <v>44563</v>
      </c>
      <c r="U8369" t="s">
        <v>51607</v>
      </c>
      <c r="W8369" t="s">
        <v>41543</v>
      </c>
      <c r="X8369" t="s">
        <v>42683</v>
      </c>
    </row>
    <row r="8370" spans="1:24">
      <c r="A8370">
        <f>HYPERLINK("https://www.philgeps.gov.ph/GEPSNONPILOT/Tender/SplashBidNoticeAbstractUI.aspx?menuIndex=3&amp;refID=7175607&amp;Result=3","7175607")</f>
        <v>0</v>
      </c>
      <c r="B8370" t="s">
        <v>365</v>
      </c>
      <c r="C8370" t="s">
        <v>11529</v>
      </c>
      <c r="D8370" t="s">
        <v>17143</v>
      </c>
      <c r="E8370" t="s">
        <v>24450</v>
      </c>
      <c r="F8370" t="s">
        <v>29372</v>
      </c>
      <c r="G8370" t="s">
        <v>29380</v>
      </c>
      <c r="H8370" t="s">
        <v>29389</v>
      </c>
      <c r="I8370" t="s">
        <v>10408</v>
      </c>
      <c r="J8370" t="s">
        <v>34918</v>
      </c>
      <c r="K8370" t="s">
        <v>38502</v>
      </c>
      <c r="M8370" t="s">
        <v>39125</v>
      </c>
      <c r="N8370" t="s">
        <v>42669</v>
      </c>
      <c r="O8370" t="s">
        <v>42670</v>
      </c>
      <c r="P8370">
        <v>0</v>
      </c>
      <c r="Q8370">
        <v>0</v>
      </c>
      <c r="R8370" t="s">
        <v>42679</v>
      </c>
      <c r="S8370" t="s">
        <v>42923</v>
      </c>
      <c r="T8370" t="s">
        <v>44393</v>
      </c>
      <c r="U8370" t="s">
        <v>51648</v>
      </c>
      <c r="W8370" t="s">
        <v>58092</v>
      </c>
      <c r="X8370" t="s">
        <v>42683</v>
      </c>
    </row>
    <row r="8371" spans="1:24">
      <c r="A8371">
        <f>HYPERLINK("https://www.philgeps.gov.ph/GEPSNONPILOT/Tender/SplashBidNoticeAbstractUI.aspx?menuIndex=3&amp;refID=7176722&amp;Result=3","7176722")</f>
        <v>0</v>
      </c>
      <c r="B8371" t="s">
        <v>2585</v>
      </c>
      <c r="C8371" t="s">
        <v>11530</v>
      </c>
      <c r="D8371" t="s">
        <v>17221</v>
      </c>
      <c r="E8371" t="s">
        <v>24451</v>
      </c>
      <c r="F8371" t="s">
        <v>29372</v>
      </c>
      <c r="G8371" t="s">
        <v>29380</v>
      </c>
      <c r="H8371" t="s">
        <v>11048</v>
      </c>
      <c r="I8371" t="s">
        <v>4487</v>
      </c>
      <c r="J8371" t="s">
        <v>34919</v>
      </c>
      <c r="K8371" t="s">
        <v>38518</v>
      </c>
      <c r="M8371" t="s">
        <v>41552</v>
      </c>
      <c r="N8371" t="s">
        <v>42669</v>
      </c>
      <c r="O8371" t="s">
        <v>42670</v>
      </c>
      <c r="P8371">
        <v>0</v>
      </c>
      <c r="Q8371">
        <v>5</v>
      </c>
      <c r="R8371" t="s">
        <v>42679</v>
      </c>
      <c r="S8371" t="s">
        <v>42923</v>
      </c>
      <c r="T8371" t="s">
        <v>44551</v>
      </c>
      <c r="U8371" t="s">
        <v>51649</v>
      </c>
      <c r="W8371" t="s">
        <v>41552</v>
      </c>
      <c r="X8371" t="s">
        <v>42683</v>
      </c>
    </row>
    <row r="8372" spans="1:24">
      <c r="A8372">
        <f>HYPERLINK("https://www.philgeps.gov.ph/GEPSNONPILOT/Tender/SplashBidNoticeAbstractUI.aspx?menuIndex=3&amp;refID=7177698&amp;Result=3","7177698")</f>
        <v>0</v>
      </c>
      <c r="B8372" t="s">
        <v>981</v>
      </c>
      <c r="C8372" t="s">
        <v>5887</v>
      </c>
      <c r="D8372" t="s">
        <v>17152</v>
      </c>
      <c r="E8372" t="s">
        <v>24452</v>
      </c>
      <c r="F8372" t="s">
        <v>29372</v>
      </c>
      <c r="G8372" t="s">
        <v>29380</v>
      </c>
      <c r="H8372" t="s">
        <v>11048</v>
      </c>
      <c r="I8372" t="s">
        <v>29394</v>
      </c>
      <c r="J8372" t="s">
        <v>29604</v>
      </c>
      <c r="K8372" t="s">
        <v>38490</v>
      </c>
      <c r="M8372" t="s">
        <v>39778</v>
      </c>
      <c r="N8372" t="s">
        <v>42669</v>
      </c>
      <c r="O8372" t="s">
        <v>42670</v>
      </c>
      <c r="P8372">
        <v>0</v>
      </c>
      <c r="Q8372">
        <v>1</v>
      </c>
      <c r="R8372" t="s">
        <v>42679</v>
      </c>
      <c r="S8372" t="s">
        <v>42923</v>
      </c>
      <c r="T8372" t="s">
        <v>44512</v>
      </c>
      <c r="U8372" t="s">
        <v>51650</v>
      </c>
      <c r="W8372" t="s">
        <v>39778</v>
      </c>
      <c r="X8372" t="s">
        <v>42682</v>
      </c>
    </row>
    <row r="8373" spans="1:24">
      <c r="A8373">
        <f>HYPERLINK("https://www.philgeps.gov.ph/GEPSNONPILOT/Tender/SplashBidNoticeAbstractUI.aspx?menuIndex=3&amp;refID=7175386&amp;Result=3","7175386")</f>
        <v>0</v>
      </c>
      <c r="B8373" t="s">
        <v>2570</v>
      </c>
      <c r="C8373" t="s">
        <v>11531</v>
      </c>
      <c r="D8373" t="s">
        <v>17175</v>
      </c>
      <c r="E8373" t="s">
        <v>24453</v>
      </c>
      <c r="F8373" t="s">
        <v>29372</v>
      </c>
      <c r="G8373" t="s">
        <v>29380</v>
      </c>
      <c r="H8373" t="s">
        <v>11048</v>
      </c>
      <c r="I8373" t="s">
        <v>29414</v>
      </c>
      <c r="J8373" t="s">
        <v>30302</v>
      </c>
      <c r="K8373" t="s">
        <v>38510</v>
      </c>
      <c r="M8373" t="s">
        <v>41537</v>
      </c>
      <c r="N8373" t="s">
        <v>42669</v>
      </c>
      <c r="O8373" t="s">
        <v>42670</v>
      </c>
      <c r="P8373">
        <v>0</v>
      </c>
      <c r="Q8373">
        <v>3</v>
      </c>
      <c r="R8373" t="s">
        <v>42679</v>
      </c>
      <c r="S8373" t="s">
        <v>42923</v>
      </c>
      <c r="T8373" t="s">
        <v>44580</v>
      </c>
      <c r="U8373" t="s">
        <v>51651</v>
      </c>
      <c r="W8373" t="s">
        <v>58091</v>
      </c>
      <c r="X8373" t="s">
        <v>42683</v>
      </c>
    </row>
    <row r="8374" spans="1:24">
      <c r="A8374">
        <f>HYPERLINK("https://www.philgeps.gov.ph/GEPSNONPILOT/Tender/SplashBidNoticeAbstractUI.aspx?menuIndex=3&amp;refID=7177651&amp;Result=3","7177651")</f>
        <v>0</v>
      </c>
      <c r="B8374" t="s">
        <v>981</v>
      </c>
      <c r="C8374" t="s">
        <v>11517</v>
      </c>
      <c r="D8374" t="s">
        <v>17152</v>
      </c>
      <c r="E8374" t="s">
        <v>24454</v>
      </c>
      <c r="F8374" t="s">
        <v>29372</v>
      </c>
      <c r="G8374" t="s">
        <v>29380</v>
      </c>
      <c r="H8374" t="s">
        <v>11048</v>
      </c>
      <c r="I8374" t="s">
        <v>29404</v>
      </c>
      <c r="J8374" t="s">
        <v>29543</v>
      </c>
      <c r="K8374" t="s">
        <v>38490</v>
      </c>
      <c r="M8374" t="s">
        <v>39778</v>
      </c>
      <c r="N8374" t="s">
        <v>42669</v>
      </c>
      <c r="O8374" t="s">
        <v>42670</v>
      </c>
      <c r="P8374">
        <v>0</v>
      </c>
      <c r="Q8374">
        <v>2</v>
      </c>
      <c r="R8374" t="s">
        <v>42679</v>
      </c>
      <c r="S8374" t="s">
        <v>42923</v>
      </c>
      <c r="T8374" t="s">
        <v>44512</v>
      </c>
      <c r="U8374" t="s">
        <v>51652</v>
      </c>
      <c r="W8374" t="s">
        <v>39778</v>
      </c>
      <c r="X8374" t="s">
        <v>42682</v>
      </c>
    </row>
    <row r="8375" spans="1:24">
      <c r="A8375">
        <f>HYPERLINK("https://www.philgeps.gov.ph/GEPSNONPILOT/Tender/SplashBidNoticeAbstractUI.aspx?menuIndex=3&amp;refID=7175451&amp;Result=3","7175451")</f>
        <v>0</v>
      </c>
      <c r="B8375" t="s">
        <v>365</v>
      </c>
      <c r="C8375" t="s">
        <v>11532</v>
      </c>
      <c r="D8375" t="s">
        <v>17143</v>
      </c>
      <c r="E8375" t="s">
        <v>24455</v>
      </c>
      <c r="F8375" t="s">
        <v>29372</v>
      </c>
      <c r="G8375" t="s">
        <v>29380</v>
      </c>
      <c r="H8375" t="s">
        <v>29389</v>
      </c>
      <c r="I8375" t="s">
        <v>10408</v>
      </c>
      <c r="J8375" t="s">
        <v>34918</v>
      </c>
      <c r="K8375" t="s">
        <v>38502</v>
      </c>
      <c r="M8375" t="s">
        <v>39125</v>
      </c>
      <c r="N8375" t="s">
        <v>42669</v>
      </c>
      <c r="O8375" t="s">
        <v>42670</v>
      </c>
      <c r="P8375">
        <v>0</v>
      </c>
      <c r="Q8375">
        <v>0</v>
      </c>
      <c r="R8375" t="s">
        <v>42679</v>
      </c>
      <c r="S8375" t="s">
        <v>42923</v>
      </c>
      <c r="T8375" t="s">
        <v>44393</v>
      </c>
      <c r="U8375" t="s">
        <v>51648</v>
      </c>
      <c r="W8375" t="s">
        <v>58092</v>
      </c>
      <c r="X8375" t="s">
        <v>42683</v>
      </c>
    </row>
    <row r="8376" spans="1:24">
      <c r="A8376">
        <f>HYPERLINK("https://www.philgeps.gov.ph/GEPSNONPILOT/Tender/SplashBidNoticeAbstractUI.aspx?menuIndex=3&amp;refID=7178115&amp;Result=3","7178115")</f>
        <v>0</v>
      </c>
      <c r="B8376" t="s">
        <v>66</v>
      </c>
      <c r="C8376" t="s">
        <v>11533</v>
      </c>
      <c r="D8376" t="s">
        <v>17151</v>
      </c>
      <c r="E8376" t="s">
        <v>24456</v>
      </c>
      <c r="F8376" t="s">
        <v>29372</v>
      </c>
      <c r="G8376" t="s">
        <v>29380</v>
      </c>
      <c r="H8376" t="s">
        <v>11048</v>
      </c>
      <c r="I8376" t="s">
        <v>29393</v>
      </c>
      <c r="J8376" t="s">
        <v>34920</v>
      </c>
      <c r="K8376" t="s">
        <v>38517</v>
      </c>
      <c r="M8376" t="s">
        <v>38820</v>
      </c>
      <c r="N8376" t="s">
        <v>42669</v>
      </c>
      <c r="O8376" t="s">
        <v>42670</v>
      </c>
      <c r="P8376">
        <v>0</v>
      </c>
      <c r="Q8376">
        <v>0</v>
      </c>
      <c r="R8376" t="s">
        <v>42679</v>
      </c>
      <c r="S8376" t="s">
        <v>42923</v>
      </c>
      <c r="T8376" t="s">
        <v>44517</v>
      </c>
      <c r="U8376" t="s">
        <v>51653</v>
      </c>
      <c r="V8376" t="s">
        <v>56340</v>
      </c>
      <c r="W8376" t="s">
        <v>38820</v>
      </c>
      <c r="X8376" t="s">
        <v>42682</v>
      </c>
    </row>
    <row r="8377" spans="1:24">
      <c r="A8377">
        <f>HYPERLINK("https://www.philgeps.gov.ph/GEPSNONPILOT/Tender/SplashBidNoticeAbstractUI.aspx?menuIndex=3&amp;refID=7175407&amp;Result=3","7175407")</f>
        <v>0</v>
      </c>
      <c r="B8377" t="s">
        <v>2570</v>
      </c>
      <c r="C8377" t="s">
        <v>11534</v>
      </c>
      <c r="D8377" t="s">
        <v>17175</v>
      </c>
      <c r="E8377" t="s">
        <v>24457</v>
      </c>
      <c r="F8377" t="s">
        <v>29372</v>
      </c>
      <c r="G8377" t="s">
        <v>29380</v>
      </c>
      <c r="H8377" t="s">
        <v>11048</v>
      </c>
      <c r="I8377" t="s">
        <v>29396</v>
      </c>
      <c r="J8377" t="s">
        <v>30036</v>
      </c>
      <c r="K8377" t="s">
        <v>38490</v>
      </c>
      <c r="M8377" t="s">
        <v>41537</v>
      </c>
      <c r="N8377" t="s">
        <v>42669</v>
      </c>
      <c r="O8377" t="s">
        <v>42670</v>
      </c>
      <c r="P8377">
        <v>0</v>
      </c>
      <c r="Q8377">
        <v>0</v>
      </c>
      <c r="R8377" t="s">
        <v>42679</v>
      </c>
      <c r="S8377" t="s">
        <v>42923</v>
      </c>
      <c r="T8377" t="s">
        <v>44580</v>
      </c>
      <c r="U8377" t="s">
        <v>51654</v>
      </c>
      <c r="W8377" t="s">
        <v>58091</v>
      </c>
      <c r="X8377" t="s">
        <v>42683</v>
      </c>
    </row>
    <row r="8378" spans="1:24">
      <c r="A8378">
        <f>HYPERLINK("https://www.philgeps.gov.ph/GEPSNONPILOT/Tender/SplashBidNoticeAbstractUI.aspx?menuIndex=3&amp;refID=7178049&amp;Result=3","7178049")</f>
        <v>0</v>
      </c>
      <c r="B8378" t="s">
        <v>689</v>
      </c>
      <c r="C8378" t="s">
        <v>11535</v>
      </c>
      <c r="D8378" t="s">
        <v>17216</v>
      </c>
      <c r="E8378" t="s">
        <v>24458</v>
      </c>
      <c r="F8378" t="s">
        <v>29372</v>
      </c>
      <c r="G8378" t="s">
        <v>29380</v>
      </c>
      <c r="H8378" t="s">
        <v>29389</v>
      </c>
      <c r="I8378" t="s">
        <v>10408</v>
      </c>
      <c r="J8378" t="s">
        <v>30161</v>
      </c>
      <c r="K8378" t="s">
        <v>38548</v>
      </c>
      <c r="M8378" t="s">
        <v>39465</v>
      </c>
      <c r="N8378" t="s">
        <v>42669</v>
      </c>
      <c r="O8378" t="s">
        <v>42670</v>
      </c>
      <c r="P8378">
        <v>0</v>
      </c>
      <c r="Q8378">
        <v>0</v>
      </c>
      <c r="R8378" t="s">
        <v>42679</v>
      </c>
      <c r="S8378" t="s">
        <v>42923</v>
      </c>
      <c r="T8378" t="s">
        <v>44450</v>
      </c>
      <c r="U8378" t="s">
        <v>51655</v>
      </c>
      <c r="W8378" t="s">
        <v>39465</v>
      </c>
      <c r="X8378" t="s">
        <v>42682</v>
      </c>
    </row>
    <row r="8379" spans="1:24">
      <c r="A8379">
        <f>HYPERLINK("https://www.philgeps.gov.ph/GEPSNONPILOT/Tender/SplashBidNoticeAbstractUI.aspx?menuIndex=3&amp;refID=7175743&amp;Result=3","7175743")</f>
        <v>0</v>
      </c>
      <c r="B8379" t="s">
        <v>1919</v>
      </c>
      <c r="C8379" t="s">
        <v>11536</v>
      </c>
      <c r="D8379" t="s">
        <v>17194</v>
      </c>
      <c r="E8379" t="s">
        <v>24459</v>
      </c>
      <c r="F8379" t="s">
        <v>29372</v>
      </c>
      <c r="G8379" t="s">
        <v>29380</v>
      </c>
      <c r="H8379" t="s">
        <v>11048</v>
      </c>
      <c r="I8379" t="s">
        <v>4709</v>
      </c>
      <c r="J8379" t="s">
        <v>34921</v>
      </c>
      <c r="K8379" t="s">
        <v>38485</v>
      </c>
      <c r="M8379" t="s">
        <v>40820</v>
      </c>
      <c r="N8379" t="s">
        <v>42669</v>
      </c>
      <c r="O8379" t="s">
        <v>42670</v>
      </c>
      <c r="P8379">
        <v>0</v>
      </c>
      <c r="Q8379">
        <v>0</v>
      </c>
      <c r="R8379" t="s">
        <v>42679</v>
      </c>
      <c r="S8379" t="s">
        <v>42923</v>
      </c>
      <c r="T8379" t="s">
        <v>44432</v>
      </c>
      <c r="U8379" t="s">
        <v>49835</v>
      </c>
      <c r="V8379" t="s">
        <v>56972</v>
      </c>
      <c r="W8379" t="s">
        <v>40820</v>
      </c>
      <c r="X8379" t="s">
        <v>42683</v>
      </c>
    </row>
    <row r="8380" spans="1:24">
      <c r="A8380">
        <f>HYPERLINK("https://www.philgeps.gov.ph/GEPSNONPILOT/Tender/SplashBidNoticeAbstractUI.aspx?menuIndex=3&amp;refID=7178040&amp;Result=3","7178040")</f>
        <v>0</v>
      </c>
      <c r="B8380" t="s">
        <v>2582</v>
      </c>
      <c r="C8380" t="s">
        <v>11537</v>
      </c>
      <c r="D8380" t="s">
        <v>17196</v>
      </c>
      <c r="E8380" t="s">
        <v>24460</v>
      </c>
      <c r="F8380" t="s">
        <v>29372</v>
      </c>
      <c r="G8380" t="s">
        <v>29380</v>
      </c>
      <c r="H8380" t="s">
        <v>11048</v>
      </c>
      <c r="I8380" t="s">
        <v>29396</v>
      </c>
      <c r="J8380" t="s">
        <v>34922</v>
      </c>
      <c r="K8380" t="s">
        <v>38490</v>
      </c>
      <c r="M8380" t="s">
        <v>41549</v>
      </c>
      <c r="N8380" t="s">
        <v>42669</v>
      </c>
      <c r="O8380" t="s">
        <v>42670</v>
      </c>
      <c r="P8380">
        <v>0</v>
      </c>
      <c r="Q8380">
        <v>1</v>
      </c>
      <c r="R8380" t="s">
        <v>42679</v>
      </c>
      <c r="S8380" t="s">
        <v>42923</v>
      </c>
      <c r="T8380" t="s">
        <v>44474</v>
      </c>
      <c r="U8380" t="s">
        <v>51656</v>
      </c>
      <c r="V8380" t="s">
        <v>57289</v>
      </c>
      <c r="W8380" t="s">
        <v>41549</v>
      </c>
      <c r="X8380" t="s">
        <v>42682</v>
      </c>
    </row>
    <row r="8381" spans="1:24">
      <c r="A8381">
        <f>HYPERLINK("https://www.philgeps.gov.ph/GEPSNONPILOT/Tender/SplashBidNoticeAbstractUI.aspx?menuIndex=3&amp;refID=7175426&amp;Result=3","7175426")</f>
        <v>0</v>
      </c>
      <c r="B8381" t="s">
        <v>2570</v>
      </c>
      <c r="C8381" t="s">
        <v>11538</v>
      </c>
      <c r="D8381" t="s">
        <v>17175</v>
      </c>
      <c r="E8381" t="s">
        <v>24461</v>
      </c>
      <c r="F8381" t="s">
        <v>29372</v>
      </c>
      <c r="G8381" t="s">
        <v>29380</v>
      </c>
      <c r="H8381" t="s">
        <v>11048</v>
      </c>
      <c r="I8381" t="s">
        <v>29396</v>
      </c>
      <c r="J8381" t="s">
        <v>29555</v>
      </c>
      <c r="K8381" t="s">
        <v>38490</v>
      </c>
      <c r="M8381" t="s">
        <v>41537</v>
      </c>
      <c r="N8381" t="s">
        <v>42669</v>
      </c>
      <c r="O8381" t="s">
        <v>42670</v>
      </c>
      <c r="P8381">
        <v>0</v>
      </c>
      <c r="Q8381">
        <v>2</v>
      </c>
      <c r="R8381" t="s">
        <v>42679</v>
      </c>
      <c r="S8381" t="s">
        <v>42923</v>
      </c>
      <c r="T8381" t="s">
        <v>44580</v>
      </c>
      <c r="U8381" t="s">
        <v>51657</v>
      </c>
      <c r="W8381" t="s">
        <v>58091</v>
      </c>
      <c r="X8381" t="s">
        <v>42683</v>
      </c>
    </row>
    <row r="8382" spans="1:24">
      <c r="A8382">
        <f>HYPERLINK("https://www.philgeps.gov.ph/GEPSNONPILOT/Tender/SplashBidNoticeAbstractUI.aspx?menuIndex=3&amp;refID=7178065&amp;Result=3","7178065")</f>
        <v>0</v>
      </c>
      <c r="B8382" t="s">
        <v>2582</v>
      </c>
      <c r="C8382" t="s">
        <v>11539</v>
      </c>
      <c r="D8382" t="s">
        <v>17196</v>
      </c>
      <c r="E8382" t="s">
        <v>24462</v>
      </c>
      <c r="F8382" t="s">
        <v>29372</v>
      </c>
      <c r="G8382" t="s">
        <v>29380</v>
      </c>
      <c r="H8382" t="s">
        <v>11048</v>
      </c>
      <c r="I8382" t="s">
        <v>29396</v>
      </c>
      <c r="J8382" t="s">
        <v>34923</v>
      </c>
      <c r="K8382" t="s">
        <v>38490</v>
      </c>
      <c r="M8382" t="s">
        <v>41549</v>
      </c>
      <c r="N8382" t="s">
        <v>42669</v>
      </c>
      <c r="O8382" t="s">
        <v>42670</v>
      </c>
      <c r="P8382">
        <v>0</v>
      </c>
      <c r="Q8382">
        <v>1</v>
      </c>
      <c r="R8382" t="s">
        <v>42679</v>
      </c>
      <c r="S8382" t="s">
        <v>42923</v>
      </c>
      <c r="T8382" t="s">
        <v>44474</v>
      </c>
      <c r="U8382" t="s">
        <v>51658</v>
      </c>
      <c r="V8382" t="s">
        <v>57289</v>
      </c>
      <c r="W8382" t="s">
        <v>41549</v>
      </c>
      <c r="X8382" t="s">
        <v>42682</v>
      </c>
    </row>
    <row r="8383" spans="1:24">
      <c r="A8383">
        <f>HYPERLINK("https://www.philgeps.gov.ph/GEPSNONPILOT/Tender/SplashBidNoticeAbstractUI.aspx?menuIndex=3&amp;refID=7178012&amp;Result=3","7178012")</f>
        <v>0</v>
      </c>
      <c r="B8383" t="s">
        <v>2582</v>
      </c>
      <c r="C8383" t="s">
        <v>11540</v>
      </c>
      <c r="D8383" t="s">
        <v>17196</v>
      </c>
      <c r="E8383" t="s">
        <v>24463</v>
      </c>
      <c r="F8383" t="s">
        <v>29372</v>
      </c>
      <c r="G8383" t="s">
        <v>29380</v>
      </c>
      <c r="H8383" t="s">
        <v>11048</v>
      </c>
      <c r="I8383" t="s">
        <v>29396</v>
      </c>
      <c r="J8383" t="s">
        <v>34924</v>
      </c>
      <c r="K8383" t="s">
        <v>38490</v>
      </c>
      <c r="M8383" t="s">
        <v>41549</v>
      </c>
      <c r="N8383" t="s">
        <v>42669</v>
      </c>
      <c r="O8383" t="s">
        <v>42670</v>
      </c>
      <c r="P8383">
        <v>0</v>
      </c>
      <c r="Q8383">
        <v>1</v>
      </c>
      <c r="R8383" t="s">
        <v>42679</v>
      </c>
      <c r="S8383" t="s">
        <v>42923</v>
      </c>
      <c r="T8383" t="s">
        <v>44474</v>
      </c>
      <c r="U8383" t="s">
        <v>51659</v>
      </c>
      <c r="V8383" t="s">
        <v>57289</v>
      </c>
      <c r="W8383" t="s">
        <v>41549</v>
      </c>
      <c r="X8383" t="s">
        <v>42682</v>
      </c>
    </row>
    <row r="8384" spans="1:24">
      <c r="A8384">
        <f>HYPERLINK("https://www.philgeps.gov.ph/GEPSNONPILOT/Tender/SplashBidNoticeAbstractUI.aspx?menuIndex=3&amp;refID=7175767&amp;Result=3","7175767")</f>
        <v>0</v>
      </c>
      <c r="B8384" t="s">
        <v>1919</v>
      </c>
      <c r="C8384" t="s">
        <v>11541</v>
      </c>
      <c r="D8384" t="s">
        <v>17194</v>
      </c>
      <c r="E8384" t="s">
        <v>24464</v>
      </c>
      <c r="F8384" t="s">
        <v>29372</v>
      </c>
      <c r="G8384" t="s">
        <v>29380</v>
      </c>
      <c r="H8384" t="s">
        <v>11048</v>
      </c>
      <c r="I8384" t="s">
        <v>4709</v>
      </c>
      <c r="J8384" t="s">
        <v>34925</v>
      </c>
      <c r="K8384" t="s">
        <v>38485</v>
      </c>
      <c r="M8384" t="s">
        <v>40820</v>
      </c>
      <c r="N8384" t="s">
        <v>42669</v>
      </c>
      <c r="O8384" t="s">
        <v>42670</v>
      </c>
      <c r="P8384">
        <v>0</v>
      </c>
      <c r="Q8384">
        <v>0</v>
      </c>
      <c r="R8384" t="s">
        <v>42679</v>
      </c>
      <c r="S8384" t="s">
        <v>42923</v>
      </c>
      <c r="T8384" t="s">
        <v>44432</v>
      </c>
      <c r="U8384" t="s">
        <v>49835</v>
      </c>
      <c r="V8384" t="s">
        <v>56972</v>
      </c>
      <c r="W8384" t="s">
        <v>40820</v>
      </c>
      <c r="X8384" t="s">
        <v>42683</v>
      </c>
    </row>
    <row r="8385" spans="1:24">
      <c r="A8385">
        <f>HYPERLINK("https://www.philgeps.gov.ph/GEPSNONPILOT/Tender/SplashBidNoticeAbstractUI.aspx?menuIndex=3&amp;refID=7177993&amp;Result=3","7177993")</f>
        <v>0</v>
      </c>
      <c r="B8385" t="s">
        <v>2078</v>
      </c>
      <c r="C8385" t="s">
        <v>11542</v>
      </c>
      <c r="D8385" t="s">
        <v>17178</v>
      </c>
      <c r="E8385" t="s">
        <v>24465</v>
      </c>
      <c r="F8385" t="s">
        <v>29373</v>
      </c>
      <c r="G8385" t="s">
        <v>29379</v>
      </c>
      <c r="H8385" t="s">
        <v>29389</v>
      </c>
      <c r="I8385" t="s">
        <v>4709</v>
      </c>
      <c r="J8385" t="s">
        <v>34926</v>
      </c>
      <c r="K8385" t="s">
        <v>38538</v>
      </c>
      <c r="L8385" t="s">
        <v>2078</v>
      </c>
      <c r="M8385" t="s">
        <v>40977</v>
      </c>
      <c r="N8385" t="s">
        <v>42669</v>
      </c>
      <c r="O8385" t="s">
        <v>42670</v>
      </c>
      <c r="P8385">
        <v>0</v>
      </c>
      <c r="Q8385">
        <v>0</v>
      </c>
      <c r="R8385" t="s">
        <v>42679</v>
      </c>
      <c r="S8385" t="s">
        <v>42923</v>
      </c>
      <c r="T8385" t="s">
        <v>44580</v>
      </c>
      <c r="U8385" t="s">
        <v>51660</v>
      </c>
      <c r="W8385" t="s">
        <v>40977</v>
      </c>
      <c r="X8385" t="s">
        <v>42682</v>
      </c>
    </row>
    <row r="8386" spans="1:24">
      <c r="A8386">
        <f>HYPERLINK("https://www.philgeps.gov.ph/GEPSNONPILOT/Tender/SplashBidNoticeAbstractUI.aspx?menuIndex=3&amp;refID=7178080&amp;Result=3","7178080")</f>
        <v>0</v>
      </c>
      <c r="B8386" t="s">
        <v>589</v>
      </c>
      <c r="C8386" t="s">
        <v>11543</v>
      </c>
      <c r="D8386" t="s">
        <v>17168</v>
      </c>
      <c r="E8386" t="s">
        <v>24466</v>
      </c>
      <c r="F8386" t="s">
        <v>29372</v>
      </c>
      <c r="G8386" t="s">
        <v>29380</v>
      </c>
      <c r="H8386" t="s">
        <v>11048</v>
      </c>
      <c r="I8386" t="s">
        <v>29393</v>
      </c>
      <c r="J8386" t="s">
        <v>34927</v>
      </c>
      <c r="K8386" t="s">
        <v>38538</v>
      </c>
      <c r="M8386" t="s">
        <v>40450</v>
      </c>
      <c r="N8386" t="s">
        <v>42669</v>
      </c>
      <c r="O8386" t="s">
        <v>42670</v>
      </c>
      <c r="P8386">
        <v>0</v>
      </c>
      <c r="Q8386">
        <v>0</v>
      </c>
      <c r="R8386" t="s">
        <v>42679</v>
      </c>
      <c r="S8386" t="s">
        <v>42923</v>
      </c>
      <c r="T8386" t="s">
        <v>44480</v>
      </c>
      <c r="U8386" t="s">
        <v>51661</v>
      </c>
      <c r="V8386" t="s">
        <v>56910</v>
      </c>
      <c r="W8386" t="s">
        <v>40450</v>
      </c>
      <c r="X8386" t="s">
        <v>42682</v>
      </c>
    </row>
    <row r="8387" spans="1:24">
      <c r="A8387">
        <f>HYPERLINK("https://www.philgeps.gov.ph/GEPSNONPILOT/Tender/SplashBidNoticeAbstractUI.aspx?menuIndex=3&amp;refID=7177977&amp;Result=3","7177977")</f>
        <v>0</v>
      </c>
      <c r="B8387" t="s">
        <v>2586</v>
      </c>
      <c r="C8387" t="s">
        <v>11544</v>
      </c>
      <c r="D8387" t="s">
        <v>17166</v>
      </c>
      <c r="E8387" t="s">
        <v>17922</v>
      </c>
      <c r="F8387" t="s">
        <v>29372</v>
      </c>
      <c r="G8387" t="s">
        <v>29379</v>
      </c>
      <c r="H8387" t="s">
        <v>11048</v>
      </c>
      <c r="I8387" t="s">
        <v>4486</v>
      </c>
      <c r="J8387" t="s">
        <v>29571</v>
      </c>
      <c r="K8387" t="s">
        <v>38528</v>
      </c>
      <c r="M8387" t="s">
        <v>41553</v>
      </c>
      <c r="N8387" t="s">
        <v>42669</v>
      </c>
      <c r="O8387" t="s">
        <v>42670</v>
      </c>
      <c r="P8387">
        <v>0</v>
      </c>
      <c r="Q8387">
        <v>1</v>
      </c>
      <c r="R8387" t="s">
        <v>42679</v>
      </c>
      <c r="S8387" t="s">
        <v>42923</v>
      </c>
      <c r="T8387" t="s">
        <v>44651</v>
      </c>
      <c r="U8387" t="s">
        <v>51662</v>
      </c>
      <c r="W8387" t="s">
        <v>41553</v>
      </c>
      <c r="X8387" t="s">
        <v>42682</v>
      </c>
    </row>
    <row r="8388" spans="1:24">
      <c r="A8388">
        <f>HYPERLINK("https://www.philgeps.gov.ph/GEPSNONPILOT/Tender/SplashBidNoticeAbstractUI.aspx?menuIndex=3&amp;refID=7178008&amp;Result=3","7178008")</f>
        <v>0</v>
      </c>
      <c r="B8388" t="s">
        <v>180</v>
      </c>
      <c r="C8388" t="s">
        <v>11545</v>
      </c>
      <c r="D8388" t="s">
        <v>17154</v>
      </c>
      <c r="E8388" t="s">
        <v>24467</v>
      </c>
      <c r="F8388" t="s">
        <v>29372</v>
      </c>
      <c r="G8388" t="s">
        <v>29380</v>
      </c>
      <c r="H8388" t="s">
        <v>29389</v>
      </c>
      <c r="I8388" t="s">
        <v>10408</v>
      </c>
      <c r="J8388" t="s">
        <v>34928</v>
      </c>
      <c r="K8388" t="s">
        <v>38540</v>
      </c>
      <c r="M8388" t="s">
        <v>38937</v>
      </c>
      <c r="N8388" t="s">
        <v>42669</v>
      </c>
      <c r="O8388" t="s">
        <v>42670</v>
      </c>
      <c r="P8388">
        <v>0</v>
      </c>
      <c r="Q8388">
        <v>1</v>
      </c>
      <c r="R8388" t="s">
        <v>42679</v>
      </c>
      <c r="S8388" t="s">
        <v>42923</v>
      </c>
      <c r="T8388" t="s">
        <v>44510</v>
      </c>
      <c r="U8388" t="s">
        <v>51663</v>
      </c>
      <c r="W8388" t="s">
        <v>38937</v>
      </c>
      <c r="X8388" t="s">
        <v>42682</v>
      </c>
    </row>
    <row r="8389" spans="1:24">
      <c r="A8389">
        <f>HYPERLINK("https://www.philgeps.gov.ph/GEPSNONPILOT/Tender/SplashBidNoticeAbstractUI.aspx?menuIndex=3&amp;refID=7178378&amp;Result=3","7178378")</f>
        <v>0</v>
      </c>
      <c r="B8389" t="s">
        <v>267</v>
      </c>
      <c r="C8389" t="s">
        <v>11546</v>
      </c>
      <c r="D8389" t="s">
        <v>17148</v>
      </c>
      <c r="E8389" t="s">
        <v>24468</v>
      </c>
      <c r="F8389" t="s">
        <v>29372</v>
      </c>
      <c r="G8389" t="s">
        <v>29379</v>
      </c>
      <c r="H8389" t="s">
        <v>29389</v>
      </c>
      <c r="I8389" t="s">
        <v>10408</v>
      </c>
      <c r="J8389" t="s">
        <v>34929</v>
      </c>
      <c r="K8389" t="s">
        <v>38491</v>
      </c>
      <c r="M8389" t="s">
        <v>39026</v>
      </c>
      <c r="N8389" t="s">
        <v>42669</v>
      </c>
      <c r="O8389" t="s">
        <v>42670</v>
      </c>
      <c r="P8389">
        <v>0</v>
      </c>
      <c r="Q8389">
        <v>0</v>
      </c>
      <c r="R8389" t="s">
        <v>42679</v>
      </c>
      <c r="S8389" t="s">
        <v>42923</v>
      </c>
      <c r="T8389" t="s">
        <v>44488</v>
      </c>
      <c r="U8389" t="s">
        <v>51664</v>
      </c>
      <c r="V8389" t="s">
        <v>57293</v>
      </c>
      <c r="W8389" t="s">
        <v>39026</v>
      </c>
      <c r="X8389" t="s">
        <v>42682</v>
      </c>
    </row>
    <row r="8390" spans="1:24">
      <c r="A8390">
        <f>HYPERLINK("https://www.philgeps.gov.ph/GEPSNONPILOT/Tender/SplashBidNoticeAbstractUI.aspx?menuIndex=3&amp;refID=7178046&amp;Result=3","7178046")</f>
        <v>0</v>
      </c>
      <c r="B8390" t="s">
        <v>931</v>
      </c>
      <c r="C8390" t="s">
        <v>11547</v>
      </c>
      <c r="D8390" t="s">
        <v>17170</v>
      </c>
      <c r="E8390" t="s">
        <v>24469</v>
      </c>
      <c r="F8390" t="s">
        <v>29372</v>
      </c>
      <c r="G8390" t="s">
        <v>29380</v>
      </c>
      <c r="H8390" t="s">
        <v>29389</v>
      </c>
      <c r="I8390" t="s">
        <v>10408</v>
      </c>
      <c r="J8390" t="s">
        <v>34930</v>
      </c>
      <c r="K8390" t="s">
        <v>38496</v>
      </c>
      <c r="M8390" t="s">
        <v>39726</v>
      </c>
      <c r="N8390" t="s">
        <v>42669</v>
      </c>
      <c r="O8390" t="s">
        <v>42670</v>
      </c>
      <c r="P8390">
        <v>0</v>
      </c>
      <c r="Q8390">
        <v>0</v>
      </c>
      <c r="R8390" t="s">
        <v>42679</v>
      </c>
      <c r="S8390" t="s">
        <v>42923</v>
      </c>
      <c r="T8390" t="s">
        <v>44491</v>
      </c>
      <c r="U8390" t="s">
        <v>51665</v>
      </c>
      <c r="W8390" t="s">
        <v>39726</v>
      </c>
      <c r="X8390" t="s">
        <v>42682</v>
      </c>
    </row>
    <row r="8391" spans="1:24">
      <c r="A8391">
        <f>HYPERLINK("https://www.philgeps.gov.ph/GEPSNONPILOT/Tender/SplashBidNoticeAbstractUI.aspx?menuIndex=3&amp;refID=7178300&amp;Result=3","7178300")</f>
        <v>0</v>
      </c>
      <c r="B8391" t="s">
        <v>2587</v>
      </c>
      <c r="C8391" t="s">
        <v>11548</v>
      </c>
      <c r="D8391" t="s">
        <v>17169</v>
      </c>
      <c r="E8391" t="s">
        <v>24470</v>
      </c>
      <c r="F8391" t="s">
        <v>29372</v>
      </c>
      <c r="G8391" t="s">
        <v>29380</v>
      </c>
      <c r="H8391" t="s">
        <v>11048</v>
      </c>
      <c r="I8391" t="s">
        <v>3839</v>
      </c>
      <c r="J8391" t="s">
        <v>34931</v>
      </c>
      <c r="K8391" t="s">
        <v>38495</v>
      </c>
      <c r="M8391" t="s">
        <v>41554</v>
      </c>
      <c r="N8391" t="s">
        <v>42669</v>
      </c>
      <c r="O8391" t="s">
        <v>42670</v>
      </c>
      <c r="P8391">
        <v>0</v>
      </c>
      <c r="Q8391">
        <v>3</v>
      </c>
      <c r="R8391" t="s">
        <v>42679</v>
      </c>
      <c r="S8391" t="s">
        <v>42923</v>
      </c>
      <c r="T8391" t="s">
        <v>44474</v>
      </c>
      <c r="U8391" t="s">
        <v>51666</v>
      </c>
      <c r="W8391" t="s">
        <v>41554</v>
      </c>
      <c r="X8391" t="s">
        <v>42682</v>
      </c>
    </row>
    <row r="8392" spans="1:24">
      <c r="A8392">
        <f>HYPERLINK("https://www.philgeps.gov.ph/GEPSNONPILOT/Tender/SplashBidNoticeAbstractUI.aspx?menuIndex=3&amp;refID=7177985&amp;Result=3","7177985")</f>
        <v>0</v>
      </c>
      <c r="B8392" t="s">
        <v>2587</v>
      </c>
      <c r="C8392" t="s">
        <v>11549</v>
      </c>
      <c r="D8392" t="s">
        <v>17169</v>
      </c>
      <c r="E8392" t="s">
        <v>24471</v>
      </c>
      <c r="F8392" t="s">
        <v>29372</v>
      </c>
      <c r="G8392" t="s">
        <v>29380</v>
      </c>
      <c r="H8392" t="s">
        <v>11048</v>
      </c>
      <c r="I8392" t="s">
        <v>9469</v>
      </c>
      <c r="J8392" t="s">
        <v>34932</v>
      </c>
      <c r="K8392" t="s">
        <v>38503</v>
      </c>
      <c r="M8392" t="s">
        <v>41554</v>
      </c>
      <c r="N8392" t="s">
        <v>42669</v>
      </c>
      <c r="O8392" t="s">
        <v>42670</v>
      </c>
      <c r="P8392">
        <v>0</v>
      </c>
      <c r="Q8392">
        <v>2</v>
      </c>
      <c r="R8392" t="s">
        <v>42679</v>
      </c>
      <c r="S8392" t="s">
        <v>42923</v>
      </c>
      <c r="T8392" t="s">
        <v>44474</v>
      </c>
      <c r="U8392" t="s">
        <v>51667</v>
      </c>
      <c r="V8392" t="s">
        <v>56571</v>
      </c>
      <c r="W8392" t="s">
        <v>41554</v>
      </c>
      <c r="X8392" t="s">
        <v>42682</v>
      </c>
    </row>
    <row r="8393" spans="1:24">
      <c r="A8393">
        <f>HYPERLINK("https://www.philgeps.gov.ph/GEPSNONPILOT/Tender/SplashBidNoticeAbstractUI.aspx?menuIndex=3&amp;refID=7178274&amp;Result=3","7178274")</f>
        <v>0</v>
      </c>
      <c r="B8393" t="s">
        <v>110</v>
      </c>
      <c r="C8393" t="s">
        <v>11550</v>
      </c>
      <c r="D8393" t="s">
        <v>17165</v>
      </c>
      <c r="E8393" t="s">
        <v>24472</v>
      </c>
      <c r="F8393" t="s">
        <v>29372</v>
      </c>
      <c r="G8393" t="s">
        <v>29380</v>
      </c>
      <c r="H8393" t="s">
        <v>11048</v>
      </c>
      <c r="I8393" t="s">
        <v>29407</v>
      </c>
      <c r="J8393" t="s">
        <v>34933</v>
      </c>
      <c r="K8393" t="s">
        <v>38510</v>
      </c>
      <c r="L8393" t="s">
        <v>110</v>
      </c>
      <c r="M8393" t="s">
        <v>38865</v>
      </c>
      <c r="N8393" t="s">
        <v>42669</v>
      </c>
      <c r="O8393" t="s">
        <v>42670</v>
      </c>
      <c r="P8393">
        <v>0</v>
      </c>
      <c r="Q8393">
        <v>11</v>
      </c>
      <c r="R8393" t="s">
        <v>42679</v>
      </c>
      <c r="S8393" t="s">
        <v>42923</v>
      </c>
      <c r="T8393" t="s">
        <v>44387</v>
      </c>
      <c r="U8393" t="s">
        <v>48466</v>
      </c>
      <c r="V8393" t="s">
        <v>56354</v>
      </c>
      <c r="W8393" t="s">
        <v>38865</v>
      </c>
      <c r="X8393" t="s">
        <v>42682</v>
      </c>
    </row>
    <row r="8394" spans="1:24">
      <c r="A8394">
        <f>HYPERLINK("https://www.philgeps.gov.ph/GEPSNONPILOT/Tender/SplashBidNoticeAbstractUI.aspx?menuIndex=3&amp;refID=7178260&amp;Result=3","7178260")</f>
        <v>0</v>
      </c>
      <c r="B8394" t="s">
        <v>2588</v>
      </c>
      <c r="C8394" t="s">
        <v>11551</v>
      </c>
      <c r="D8394" t="s">
        <v>17202</v>
      </c>
      <c r="E8394" t="s">
        <v>17972</v>
      </c>
      <c r="F8394" t="s">
        <v>29372</v>
      </c>
      <c r="G8394" t="s">
        <v>29380</v>
      </c>
      <c r="H8394" t="s">
        <v>29390</v>
      </c>
      <c r="I8394" t="s">
        <v>10408</v>
      </c>
      <c r="J8394" t="s">
        <v>29526</v>
      </c>
      <c r="K8394" t="s">
        <v>38518</v>
      </c>
      <c r="L8394" t="s">
        <v>2588</v>
      </c>
      <c r="M8394" t="s">
        <v>41555</v>
      </c>
      <c r="N8394" t="s">
        <v>42669</v>
      </c>
      <c r="O8394" t="s">
        <v>42670</v>
      </c>
      <c r="P8394">
        <v>0</v>
      </c>
      <c r="Q8394">
        <v>0</v>
      </c>
      <c r="R8394" t="s">
        <v>42679</v>
      </c>
      <c r="S8394" t="s">
        <v>42923</v>
      </c>
      <c r="T8394" t="s">
        <v>44512</v>
      </c>
      <c r="U8394" t="s">
        <v>51668</v>
      </c>
      <c r="W8394" t="s">
        <v>41555</v>
      </c>
      <c r="X8394" t="s">
        <v>42682</v>
      </c>
    </row>
    <row r="8395" spans="1:24">
      <c r="A8395">
        <f>HYPERLINK("https://www.philgeps.gov.ph/GEPSNONPILOT/Tender/SplashBidNoticeAbstractUI.aspx?menuIndex=3&amp;refID=7178006&amp;Result=3","7178006")</f>
        <v>0</v>
      </c>
      <c r="B8395" t="s">
        <v>931</v>
      </c>
      <c r="C8395" t="s">
        <v>11552</v>
      </c>
      <c r="D8395" t="s">
        <v>17170</v>
      </c>
      <c r="E8395" t="s">
        <v>24473</v>
      </c>
      <c r="F8395" t="s">
        <v>29372</v>
      </c>
      <c r="G8395" t="s">
        <v>29380</v>
      </c>
      <c r="H8395" t="s">
        <v>29389</v>
      </c>
      <c r="I8395" t="s">
        <v>10408</v>
      </c>
      <c r="J8395" t="s">
        <v>34934</v>
      </c>
      <c r="K8395" t="s">
        <v>38496</v>
      </c>
      <c r="M8395" t="s">
        <v>39726</v>
      </c>
      <c r="N8395" t="s">
        <v>42669</v>
      </c>
      <c r="O8395" t="s">
        <v>42670</v>
      </c>
      <c r="P8395">
        <v>0</v>
      </c>
      <c r="Q8395">
        <v>0</v>
      </c>
      <c r="R8395" t="s">
        <v>42679</v>
      </c>
      <c r="S8395" t="s">
        <v>42923</v>
      </c>
      <c r="T8395" t="s">
        <v>44491</v>
      </c>
      <c r="U8395" t="s">
        <v>51669</v>
      </c>
      <c r="W8395" t="s">
        <v>39726</v>
      </c>
      <c r="X8395" t="s">
        <v>42682</v>
      </c>
    </row>
    <row r="8396" spans="1:24">
      <c r="A8396">
        <f>HYPERLINK("https://www.philgeps.gov.ph/GEPSNONPILOT/Tender/SplashBidNoticeAbstractUI.aspx?menuIndex=3&amp;refID=7178248&amp;Result=3","7178248")</f>
        <v>0</v>
      </c>
      <c r="B8396" t="s">
        <v>88</v>
      </c>
      <c r="C8396" t="s">
        <v>11553</v>
      </c>
      <c r="D8396" t="s">
        <v>17174</v>
      </c>
      <c r="E8396" t="s">
        <v>18075</v>
      </c>
      <c r="F8396" t="s">
        <v>29372</v>
      </c>
      <c r="G8396" t="s">
        <v>29379</v>
      </c>
      <c r="H8396" t="s">
        <v>11048</v>
      </c>
      <c r="I8396" t="s">
        <v>5383</v>
      </c>
      <c r="J8396" t="s">
        <v>29985</v>
      </c>
      <c r="K8396" t="s">
        <v>38488</v>
      </c>
      <c r="M8396" t="s">
        <v>38842</v>
      </c>
      <c r="N8396" t="s">
        <v>42669</v>
      </c>
      <c r="O8396" t="s">
        <v>42670</v>
      </c>
      <c r="P8396">
        <v>0</v>
      </c>
      <c r="Q8396">
        <v>1</v>
      </c>
      <c r="R8396" t="s">
        <v>42679</v>
      </c>
      <c r="S8396" t="s">
        <v>42923</v>
      </c>
      <c r="T8396" t="s">
        <v>44548</v>
      </c>
      <c r="U8396" t="s">
        <v>51670</v>
      </c>
      <c r="W8396" t="s">
        <v>38842</v>
      </c>
      <c r="X8396" t="s">
        <v>42682</v>
      </c>
    </row>
    <row r="8397" spans="1:24">
      <c r="A8397">
        <f>HYPERLINK("https://www.philgeps.gov.ph/GEPSNONPILOT/Tender/SplashBidNoticeAbstractUI.aspx?menuIndex=3&amp;refID=7178239&amp;Result=3","7178239")</f>
        <v>0</v>
      </c>
      <c r="B8397" t="s">
        <v>110</v>
      </c>
      <c r="C8397" t="s">
        <v>11554</v>
      </c>
      <c r="D8397" t="s">
        <v>17165</v>
      </c>
      <c r="E8397" t="s">
        <v>24474</v>
      </c>
      <c r="F8397" t="s">
        <v>29372</v>
      </c>
      <c r="G8397" t="s">
        <v>29380</v>
      </c>
      <c r="H8397" t="s">
        <v>11048</v>
      </c>
      <c r="I8397" t="s">
        <v>9469</v>
      </c>
      <c r="J8397" t="s">
        <v>29937</v>
      </c>
      <c r="K8397" t="s">
        <v>38496</v>
      </c>
      <c r="L8397" t="s">
        <v>110</v>
      </c>
      <c r="M8397" t="s">
        <v>38865</v>
      </c>
      <c r="N8397" t="s">
        <v>42669</v>
      </c>
      <c r="O8397" t="s">
        <v>42670</v>
      </c>
      <c r="P8397">
        <v>0</v>
      </c>
      <c r="Q8397">
        <v>3</v>
      </c>
      <c r="R8397" t="s">
        <v>42679</v>
      </c>
      <c r="S8397" t="s">
        <v>42923</v>
      </c>
      <c r="T8397" t="s">
        <v>44446</v>
      </c>
      <c r="U8397" t="s">
        <v>45056</v>
      </c>
      <c r="V8397" t="s">
        <v>56354</v>
      </c>
      <c r="W8397" t="s">
        <v>38865</v>
      </c>
      <c r="X8397" t="s">
        <v>42682</v>
      </c>
    </row>
    <row r="8398" spans="1:24">
      <c r="A8398">
        <f>HYPERLINK("https://www.philgeps.gov.ph/GEPSNONPILOT/Tender/SplashBidNoticeAbstractUI.aspx?menuIndex=3&amp;refID=7178221&amp;Result=3","7178221")</f>
        <v>0</v>
      </c>
      <c r="B8398" t="s">
        <v>110</v>
      </c>
      <c r="C8398" t="s">
        <v>11555</v>
      </c>
      <c r="D8398" t="s">
        <v>17165</v>
      </c>
      <c r="E8398" t="s">
        <v>24475</v>
      </c>
      <c r="F8398" t="s">
        <v>29372</v>
      </c>
      <c r="G8398" t="s">
        <v>29380</v>
      </c>
      <c r="H8398" t="s">
        <v>11048</v>
      </c>
      <c r="I8398" t="s">
        <v>29420</v>
      </c>
      <c r="J8398" t="s">
        <v>29615</v>
      </c>
      <c r="K8398" t="s">
        <v>38495</v>
      </c>
      <c r="L8398" t="s">
        <v>110</v>
      </c>
      <c r="M8398" t="s">
        <v>38865</v>
      </c>
      <c r="N8398" t="s">
        <v>42669</v>
      </c>
      <c r="O8398" t="s">
        <v>42670</v>
      </c>
      <c r="P8398">
        <v>0</v>
      </c>
      <c r="Q8398">
        <v>15</v>
      </c>
      <c r="R8398" t="s">
        <v>42679</v>
      </c>
      <c r="S8398" t="s">
        <v>42923</v>
      </c>
      <c r="T8398" t="s">
        <v>44446</v>
      </c>
      <c r="U8398" t="s">
        <v>45036</v>
      </c>
      <c r="V8398" t="s">
        <v>56354</v>
      </c>
      <c r="W8398" t="s">
        <v>38865</v>
      </c>
      <c r="X8398" t="s">
        <v>42682</v>
      </c>
    </row>
    <row r="8399" spans="1:24">
      <c r="A8399">
        <f>HYPERLINK("https://www.philgeps.gov.ph/GEPSNONPILOT/Tender/SplashBidNoticeAbstractUI.aspx?menuIndex=3&amp;refID=7178196&amp;Result=3","7178196")</f>
        <v>0</v>
      </c>
      <c r="B8399" t="s">
        <v>149</v>
      </c>
      <c r="C8399" t="s">
        <v>11556</v>
      </c>
      <c r="D8399" t="s">
        <v>17190</v>
      </c>
      <c r="E8399" t="s">
        <v>17541</v>
      </c>
      <c r="F8399" t="s">
        <v>29372</v>
      </c>
      <c r="G8399" t="s">
        <v>29380</v>
      </c>
      <c r="H8399" t="s">
        <v>29389</v>
      </c>
      <c r="I8399" t="s">
        <v>10408</v>
      </c>
      <c r="J8399" t="s">
        <v>34935</v>
      </c>
      <c r="K8399" t="s">
        <v>38490</v>
      </c>
      <c r="M8399" t="s">
        <v>38904</v>
      </c>
      <c r="N8399" t="s">
        <v>42669</v>
      </c>
      <c r="O8399" t="s">
        <v>42670</v>
      </c>
      <c r="P8399">
        <v>0</v>
      </c>
      <c r="Q8399">
        <v>0</v>
      </c>
      <c r="R8399" t="s">
        <v>42679</v>
      </c>
      <c r="S8399" t="s">
        <v>42923</v>
      </c>
      <c r="T8399" t="s">
        <v>44368</v>
      </c>
      <c r="U8399" t="s">
        <v>51671</v>
      </c>
      <c r="V8399" t="s">
        <v>57287</v>
      </c>
      <c r="W8399" t="s">
        <v>38904</v>
      </c>
      <c r="X8399" t="s">
        <v>42682</v>
      </c>
    </row>
    <row r="8400" spans="1:24">
      <c r="A8400">
        <f>HYPERLINK("https://www.philgeps.gov.ph/GEPSNONPILOT/Tender/SplashBidNoticeAbstractUI.aspx?menuIndex=3&amp;refID=7178185&amp;Result=3","7178185")</f>
        <v>0</v>
      </c>
      <c r="B8400" t="s">
        <v>130</v>
      </c>
      <c r="C8400" t="s">
        <v>11557</v>
      </c>
      <c r="D8400" t="s">
        <v>17185</v>
      </c>
      <c r="E8400" t="s">
        <v>24476</v>
      </c>
      <c r="F8400" t="s">
        <v>29372</v>
      </c>
      <c r="G8400" t="s">
        <v>29380</v>
      </c>
      <c r="H8400" t="s">
        <v>11048</v>
      </c>
      <c r="I8400" t="s">
        <v>9469</v>
      </c>
      <c r="J8400" t="s">
        <v>31958</v>
      </c>
      <c r="K8400" t="s">
        <v>38490</v>
      </c>
      <c r="M8400" t="s">
        <v>38885</v>
      </c>
      <c r="N8400" t="s">
        <v>42669</v>
      </c>
      <c r="O8400" t="s">
        <v>42670</v>
      </c>
      <c r="P8400">
        <v>0</v>
      </c>
      <c r="Q8400">
        <v>2</v>
      </c>
      <c r="R8400" t="s">
        <v>42679</v>
      </c>
      <c r="S8400" t="s">
        <v>42923</v>
      </c>
      <c r="T8400" t="s">
        <v>44474</v>
      </c>
      <c r="U8400" t="s">
        <v>51672</v>
      </c>
      <c r="W8400" t="s">
        <v>38885</v>
      </c>
      <c r="X8400" t="s">
        <v>42682</v>
      </c>
    </row>
    <row r="8401" spans="1:24">
      <c r="A8401">
        <f>HYPERLINK("https://www.philgeps.gov.ph/GEPSNONPILOT/Tender/SplashBidNoticeAbstractUI.aspx?menuIndex=3&amp;refID=7176590&amp;Result=3","7176590")</f>
        <v>0</v>
      </c>
      <c r="B8401" t="s">
        <v>689</v>
      </c>
      <c r="C8401" t="s">
        <v>11558</v>
      </c>
      <c r="D8401" t="s">
        <v>17216</v>
      </c>
      <c r="E8401" t="s">
        <v>24477</v>
      </c>
      <c r="F8401" t="s">
        <v>29372</v>
      </c>
      <c r="G8401" t="s">
        <v>29380</v>
      </c>
      <c r="H8401" t="s">
        <v>11048</v>
      </c>
      <c r="I8401" t="s">
        <v>4709</v>
      </c>
      <c r="J8401" t="s">
        <v>34936</v>
      </c>
      <c r="K8401" t="s">
        <v>38518</v>
      </c>
      <c r="M8401" t="s">
        <v>39465</v>
      </c>
      <c r="N8401" t="s">
        <v>42669</v>
      </c>
      <c r="O8401" t="s">
        <v>42670</v>
      </c>
      <c r="P8401">
        <v>0</v>
      </c>
      <c r="Q8401">
        <v>0</v>
      </c>
      <c r="R8401" t="s">
        <v>42679</v>
      </c>
      <c r="S8401" t="s">
        <v>42923</v>
      </c>
      <c r="T8401" t="s">
        <v>44491</v>
      </c>
      <c r="U8401" t="s">
        <v>51673</v>
      </c>
      <c r="W8401" t="s">
        <v>39465</v>
      </c>
      <c r="X8401" t="s">
        <v>42683</v>
      </c>
    </row>
    <row r="8402" spans="1:24">
      <c r="A8402">
        <f>HYPERLINK("https://www.philgeps.gov.ph/GEPSNONPILOT/Tender/SplashBidNoticeAbstractUI.aspx?menuIndex=3&amp;refID=7178184&amp;Result=3","7178184")</f>
        <v>0</v>
      </c>
      <c r="B8402" t="s">
        <v>589</v>
      </c>
      <c r="C8402" t="s">
        <v>11559</v>
      </c>
      <c r="D8402" t="s">
        <v>17168</v>
      </c>
      <c r="E8402" t="s">
        <v>24478</v>
      </c>
      <c r="F8402" t="s">
        <v>29372</v>
      </c>
      <c r="G8402" t="s">
        <v>29380</v>
      </c>
      <c r="H8402" t="s">
        <v>11048</v>
      </c>
      <c r="I8402" t="s">
        <v>29433</v>
      </c>
      <c r="J8402" t="s">
        <v>34937</v>
      </c>
      <c r="K8402" t="s">
        <v>38538</v>
      </c>
      <c r="M8402" t="s">
        <v>40450</v>
      </c>
      <c r="N8402" t="s">
        <v>42669</v>
      </c>
      <c r="O8402" t="s">
        <v>42670</v>
      </c>
      <c r="P8402">
        <v>0</v>
      </c>
      <c r="Q8402">
        <v>6</v>
      </c>
      <c r="R8402" t="s">
        <v>42679</v>
      </c>
      <c r="S8402" t="s">
        <v>42923</v>
      </c>
      <c r="T8402" t="s">
        <v>44480</v>
      </c>
      <c r="U8402" t="s">
        <v>51674</v>
      </c>
      <c r="V8402" t="s">
        <v>57276</v>
      </c>
      <c r="W8402" t="s">
        <v>40450</v>
      </c>
      <c r="X8402" t="s">
        <v>42682</v>
      </c>
    </row>
    <row r="8403" spans="1:24">
      <c r="A8403">
        <f>HYPERLINK("https://www.philgeps.gov.ph/GEPSNONPILOT/Tender/SplashBidNoticeAbstractUI.aspx?menuIndex=3&amp;refID=7178174&amp;Result=3","7178174")</f>
        <v>0</v>
      </c>
      <c r="B8403" t="s">
        <v>2078</v>
      </c>
      <c r="C8403" t="s">
        <v>11560</v>
      </c>
      <c r="D8403" t="s">
        <v>17178</v>
      </c>
      <c r="E8403" t="s">
        <v>24479</v>
      </c>
      <c r="F8403" t="s">
        <v>29373</v>
      </c>
      <c r="G8403" t="s">
        <v>29379</v>
      </c>
      <c r="H8403" t="s">
        <v>29389</v>
      </c>
      <c r="I8403" t="s">
        <v>4709</v>
      </c>
      <c r="J8403" t="s">
        <v>34938</v>
      </c>
      <c r="K8403" t="s">
        <v>38538</v>
      </c>
      <c r="L8403" t="s">
        <v>2078</v>
      </c>
      <c r="M8403" t="s">
        <v>40977</v>
      </c>
      <c r="N8403" t="s">
        <v>42669</v>
      </c>
      <c r="O8403" t="s">
        <v>42670</v>
      </c>
      <c r="P8403">
        <v>0</v>
      </c>
      <c r="Q8403">
        <v>0</v>
      </c>
      <c r="R8403" t="s">
        <v>42679</v>
      </c>
      <c r="S8403" t="s">
        <v>42923</v>
      </c>
      <c r="T8403" t="s">
        <v>44580</v>
      </c>
      <c r="U8403" t="s">
        <v>51675</v>
      </c>
      <c r="W8403" t="s">
        <v>40977</v>
      </c>
      <c r="X8403" t="s">
        <v>42682</v>
      </c>
    </row>
    <row r="8404" spans="1:24">
      <c r="A8404">
        <f>HYPERLINK("https://www.philgeps.gov.ph/GEPSNONPILOT/Tender/SplashBidNoticeAbstractUI.aspx?menuIndex=3&amp;refID=7177983&amp;Result=3","7177983")</f>
        <v>0</v>
      </c>
      <c r="B8404" t="s">
        <v>2582</v>
      </c>
      <c r="C8404" t="s">
        <v>11561</v>
      </c>
      <c r="D8404" t="s">
        <v>17196</v>
      </c>
      <c r="E8404" t="s">
        <v>24480</v>
      </c>
      <c r="F8404" t="s">
        <v>29372</v>
      </c>
      <c r="G8404" t="s">
        <v>29380</v>
      </c>
      <c r="H8404" t="s">
        <v>11048</v>
      </c>
      <c r="I8404" t="s">
        <v>29396</v>
      </c>
      <c r="J8404" t="s">
        <v>34939</v>
      </c>
      <c r="K8404" t="s">
        <v>38490</v>
      </c>
      <c r="M8404" t="s">
        <v>41549</v>
      </c>
      <c r="N8404" t="s">
        <v>42669</v>
      </c>
      <c r="O8404" t="s">
        <v>42670</v>
      </c>
      <c r="P8404">
        <v>0</v>
      </c>
      <c r="Q8404">
        <v>0</v>
      </c>
      <c r="R8404" t="s">
        <v>42679</v>
      </c>
      <c r="S8404" t="s">
        <v>42923</v>
      </c>
      <c r="T8404" t="s">
        <v>44474</v>
      </c>
      <c r="U8404" t="s">
        <v>51676</v>
      </c>
      <c r="V8404" t="s">
        <v>57289</v>
      </c>
      <c r="W8404" t="s">
        <v>41549</v>
      </c>
      <c r="X8404" t="s">
        <v>42682</v>
      </c>
    </row>
    <row r="8405" spans="1:24">
      <c r="A8405">
        <f>HYPERLINK("https://www.philgeps.gov.ph/GEPSNONPILOT/Tender/SplashBidNoticeAbstractUI.aspx?menuIndex=3&amp;refID=7178163&amp;Result=3","7178163")</f>
        <v>0</v>
      </c>
      <c r="B8405" t="s">
        <v>2589</v>
      </c>
      <c r="C8405" t="s">
        <v>11562</v>
      </c>
      <c r="D8405" t="s">
        <v>17212</v>
      </c>
      <c r="E8405" t="s">
        <v>24481</v>
      </c>
      <c r="F8405" t="s">
        <v>29372</v>
      </c>
      <c r="G8405" t="s">
        <v>29380</v>
      </c>
      <c r="H8405" t="s">
        <v>11048</v>
      </c>
      <c r="I8405" t="s">
        <v>3860</v>
      </c>
      <c r="J8405" t="s">
        <v>34940</v>
      </c>
      <c r="K8405" t="s">
        <v>38485</v>
      </c>
      <c r="M8405" t="s">
        <v>41556</v>
      </c>
      <c r="N8405" t="s">
        <v>42669</v>
      </c>
      <c r="O8405" t="s">
        <v>42670</v>
      </c>
      <c r="P8405">
        <v>0</v>
      </c>
      <c r="Q8405">
        <v>2</v>
      </c>
      <c r="R8405" t="s">
        <v>42679</v>
      </c>
      <c r="S8405" t="s">
        <v>42923</v>
      </c>
      <c r="T8405" t="s">
        <v>44517</v>
      </c>
      <c r="U8405" t="s">
        <v>51677</v>
      </c>
      <c r="W8405" t="s">
        <v>41556</v>
      </c>
      <c r="X8405" t="s">
        <v>42682</v>
      </c>
    </row>
    <row r="8406" spans="1:24">
      <c r="A8406">
        <f>HYPERLINK("https://www.philgeps.gov.ph/GEPSNONPILOT/Tender/SplashBidNoticeAbstractUI.aspx?menuIndex=3&amp;refID=7178151&amp;Result=3","7178151")</f>
        <v>0</v>
      </c>
      <c r="B8406" t="s">
        <v>589</v>
      </c>
      <c r="C8406" t="s">
        <v>11563</v>
      </c>
      <c r="D8406" t="s">
        <v>17168</v>
      </c>
      <c r="E8406" t="s">
        <v>24482</v>
      </c>
      <c r="F8406" t="s">
        <v>29372</v>
      </c>
      <c r="G8406" t="s">
        <v>29380</v>
      </c>
      <c r="H8406" t="s">
        <v>11048</v>
      </c>
      <c r="I8406" t="s">
        <v>3695</v>
      </c>
      <c r="J8406" t="s">
        <v>34941</v>
      </c>
      <c r="K8406" t="s">
        <v>38538</v>
      </c>
      <c r="M8406" t="s">
        <v>40450</v>
      </c>
      <c r="N8406" t="s">
        <v>42669</v>
      </c>
      <c r="O8406" t="s">
        <v>42670</v>
      </c>
      <c r="P8406">
        <v>0</v>
      </c>
      <c r="Q8406">
        <v>2</v>
      </c>
      <c r="R8406" t="s">
        <v>42679</v>
      </c>
      <c r="S8406" t="s">
        <v>42923</v>
      </c>
      <c r="T8406" t="s">
        <v>44480</v>
      </c>
      <c r="U8406" t="s">
        <v>51678</v>
      </c>
      <c r="V8406" t="s">
        <v>57276</v>
      </c>
      <c r="W8406" t="s">
        <v>40450</v>
      </c>
      <c r="X8406" t="s">
        <v>42682</v>
      </c>
    </row>
    <row r="8407" spans="1:24">
      <c r="A8407">
        <f>HYPERLINK("https://www.philgeps.gov.ph/GEPSNONPILOT/Tender/SplashBidNoticeAbstractUI.aspx?menuIndex=3&amp;refID=7178120&amp;Result=3","7178120")</f>
        <v>0</v>
      </c>
      <c r="B8407" t="s">
        <v>589</v>
      </c>
      <c r="C8407" t="s">
        <v>11564</v>
      </c>
      <c r="D8407" t="s">
        <v>17168</v>
      </c>
      <c r="E8407" t="s">
        <v>24483</v>
      </c>
      <c r="F8407" t="s">
        <v>29372</v>
      </c>
      <c r="G8407" t="s">
        <v>29380</v>
      </c>
      <c r="H8407" t="s">
        <v>11048</v>
      </c>
      <c r="I8407" t="s">
        <v>5383</v>
      </c>
      <c r="J8407" t="s">
        <v>34942</v>
      </c>
      <c r="K8407" t="s">
        <v>38538</v>
      </c>
      <c r="M8407" t="s">
        <v>40450</v>
      </c>
      <c r="N8407" t="s">
        <v>42669</v>
      </c>
      <c r="O8407" t="s">
        <v>42670</v>
      </c>
      <c r="P8407">
        <v>0</v>
      </c>
      <c r="Q8407">
        <v>0</v>
      </c>
      <c r="R8407" t="s">
        <v>42679</v>
      </c>
      <c r="S8407" t="s">
        <v>42923</v>
      </c>
      <c r="T8407" t="s">
        <v>44480</v>
      </c>
      <c r="U8407" t="s">
        <v>51679</v>
      </c>
      <c r="V8407" t="s">
        <v>57294</v>
      </c>
      <c r="W8407" t="s">
        <v>40450</v>
      </c>
      <c r="X8407" t="s">
        <v>42682</v>
      </c>
    </row>
    <row r="8408" spans="1:24">
      <c r="A8408">
        <f>HYPERLINK("https://www.philgeps.gov.ph/GEPSNONPILOT/Tender/SplashBidNoticeAbstractUI.aspx?menuIndex=3&amp;refID=7178135&amp;Result=3","7178135")</f>
        <v>0</v>
      </c>
      <c r="B8408" t="s">
        <v>589</v>
      </c>
      <c r="C8408" t="s">
        <v>11565</v>
      </c>
      <c r="D8408" t="s">
        <v>17168</v>
      </c>
      <c r="E8408" t="s">
        <v>24484</v>
      </c>
      <c r="F8408" t="s">
        <v>29372</v>
      </c>
      <c r="G8408" t="s">
        <v>29380</v>
      </c>
      <c r="H8408" t="s">
        <v>11048</v>
      </c>
      <c r="I8408" t="s">
        <v>29433</v>
      </c>
      <c r="J8408" t="s">
        <v>29729</v>
      </c>
      <c r="K8408" t="s">
        <v>38538</v>
      </c>
      <c r="M8408" t="s">
        <v>40450</v>
      </c>
      <c r="N8408" t="s">
        <v>42669</v>
      </c>
      <c r="O8408" t="s">
        <v>42670</v>
      </c>
      <c r="P8408">
        <v>0</v>
      </c>
      <c r="Q8408">
        <v>15</v>
      </c>
      <c r="R8408" t="s">
        <v>42679</v>
      </c>
      <c r="S8408" t="s">
        <v>42923</v>
      </c>
      <c r="T8408" t="s">
        <v>44480</v>
      </c>
      <c r="U8408" t="s">
        <v>51680</v>
      </c>
      <c r="V8408" t="s">
        <v>57276</v>
      </c>
      <c r="W8408" t="s">
        <v>40450</v>
      </c>
      <c r="X8408" t="s">
        <v>42682</v>
      </c>
    </row>
    <row r="8409" spans="1:24">
      <c r="A8409">
        <f>HYPERLINK("https://www.philgeps.gov.ph/GEPSNONPILOT/Tender/SplashBidNoticeAbstractUI.aspx?menuIndex=3&amp;refID=7178119&amp;Result=3","7178119")</f>
        <v>0</v>
      </c>
      <c r="B8409" t="s">
        <v>2590</v>
      </c>
      <c r="C8409" t="s">
        <v>11566</v>
      </c>
      <c r="D8409" t="s">
        <v>17168</v>
      </c>
      <c r="E8409" t="s">
        <v>17347</v>
      </c>
      <c r="F8409" t="s">
        <v>29373</v>
      </c>
      <c r="G8409" t="s">
        <v>29380</v>
      </c>
      <c r="H8409" t="s">
        <v>29389</v>
      </c>
      <c r="I8409" t="s">
        <v>10408</v>
      </c>
      <c r="J8409" t="s">
        <v>34943</v>
      </c>
      <c r="K8409" t="s">
        <v>38490</v>
      </c>
      <c r="M8409" t="s">
        <v>41557</v>
      </c>
      <c r="N8409" t="s">
        <v>42669</v>
      </c>
      <c r="O8409" t="s">
        <v>42670</v>
      </c>
      <c r="P8409">
        <v>0</v>
      </c>
      <c r="Q8409">
        <v>0</v>
      </c>
      <c r="R8409" t="s">
        <v>42679</v>
      </c>
      <c r="S8409" t="s">
        <v>42923</v>
      </c>
      <c r="T8409" t="s">
        <v>44398</v>
      </c>
      <c r="U8409" t="s">
        <v>51681</v>
      </c>
      <c r="V8409" t="s">
        <v>57295</v>
      </c>
      <c r="W8409" t="s">
        <v>41557</v>
      </c>
      <c r="X8409" t="s">
        <v>42682</v>
      </c>
    </row>
    <row r="8410" spans="1:24">
      <c r="A8410">
        <f>HYPERLINK("https://www.philgeps.gov.ph/GEPSNONPILOT/Tender/SplashBidNoticeAbstractUI.aspx?menuIndex=3&amp;refID=7178165&amp;Result=3","7178165")</f>
        <v>0</v>
      </c>
      <c r="B8410" t="s">
        <v>110</v>
      </c>
      <c r="C8410" t="s">
        <v>11567</v>
      </c>
      <c r="D8410" t="s">
        <v>17165</v>
      </c>
      <c r="E8410" t="s">
        <v>24485</v>
      </c>
      <c r="F8410" t="s">
        <v>29372</v>
      </c>
      <c r="G8410" t="s">
        <v>29380</v>
      </c>
      <c r="H8410" t="s">
        <v>11048</v>
      </c>
      <c r="I8410" t="s">
        <v>3695</v>
      </c>
      <c r="J8410" t="s">
        <v>34944</v>
      </c>
      <c r="K8410" t="s">
        <v>38510</v>
      </c>
      <c r="L8410" t="s">
        <v>110</v>
      </c>
      <c r="M8410" t="s">
        <v>38865</v>
      </c>
      <c r="N8410" t="s">
        <v>42669</v>
      </c>
      <c r="O8410" t="s">
        <v>42670</v>
      </c>
      <c r="P8410">
        <v>0</v>
      </c>
      <c r="Q8410">
        <v>8</v>
      </c>
      <c r="R8410" t="s">
        <v>42679</v>
      </c>
      <c r="S8410" t="s">
        <v>42923</v>
      </c>
      <c r="T8410" t="s">
        <v>44446</v>
      </c>
      <c r="U8410" t="s">
        <v>45046</v>
      </c>
      <c r="V8410" t="s">
        <v>56354</v>
      </c>
      <c r="W8410" t="s">
        <v>38865</v>
      </c>
      <c r="X8410" t="s">
        <v>42682</v>
      </c>
    </row>
    <row r="8411" spans="1:24">
      <c r="A8411">
        <f>HYPERLINK("https://www.philgeps.gov.ph/GEPSNONPILOT/Tender/SplashBidNoticeAbstractUI.aspx?menuIndex=3&amp;refID=7178044&amp;Result=3","7178044")</f>
        <v>0</v>
      </c>
      <c r="B8411" t="s">
        <v>88</v>
      </c>
      <c r="C8411" t="s">
        <v>11568</v>
      </c>
      <c r="D8411" t="s">
        <v>17174</v>
      </c>
      <c r="E8411" t="s">
        <v>24323</v>
      </c>
      <c r="F8411" t="s">
        <v>29372</v>
      </c>
      <c r="G8411" t="s">
        <v>29379</v>
      </c>
      <c r="H8411" t="s">
        <v>11048</v>
      </c>
      <c r="I8411" t="s">
        <v>29400</v>
      </c>
      <c r="J8411" t="s">
        <v>34945</v>
      </c>
      <c r="K8411" t="s">
        <v>38488</v>
      </c>
      <c r="M8411" t="s">
        <v>38842</v>
      </c>
      <c r="N8411" t="s">
        <v>42669</v>
      </c>
      <c r="O8411" t="s">
        <v>42670</v>
      </c>
      <c r="P8411">
        <v>0</v>
      </c>
      <c r="Q8411">
        <v>3</v>
      </c>
      <c r="R8411" t="s">
        <v>42679</v>
      </c>
      <c r="S8411" t="s">
        <v>42923</v>
      </c>
      <c r="T8411" t="s">
        <v>44548</v>
      </c>
      <c r="U8411" t="s">
        <v>51682</v>
      </c>
      <c r="W8411" t="s">
        <v>38842</v>
      </c>
      <c r="X8411" t="s">
        <v>42682</v>
      </c>
    </row>
    <row r="8412" spans="1:24">
      <c r="A8412">
        <f>HYPERLINK("https://www.philgeps.gov.ph/GEPSNONPILOT/Tender/SplashBidNoticeAbstractUI.aspx?menuIndex=3&amp;refID=7178306&amp;Result=3","7178306")</f>
        <v>0</v>
      </c>
      <c r="B8412" t="s">
        <v>110</v>
      </c>
      <c r="C8412" t="s">
        <v>11569</v>
      </c>
      <c r="D8412" t="s">
        <v>17165</v>
      </c>
      <c r="E8412" t="s">
        <v>24486</v>
      </c>
      <c r="F8412" t="s">
        <v>29372</v>
      </c>
      <c r="G8412" t="s">
        <v>29380</v>
      </c>
      <c r="H8412" t="s">
        <v>11048</v>
      </c>
      <c r="I8412" t="s">
        <v>4487</v>
      </c>
      <c r="J8412" t="s">
        <v>34946</v>
      </c>
      <c r="K8412" t="s">
        <v>38510</v>
      </c>
      <c r="L8412" t="s">
        <v>110</v>
      </c>
      <c r="M8412" t="s">
        <v>38865</v>
      </c>
      <c r="N8412" t="s">
        <v>42669</v>
      </c>
      <c r="O8412" t="s">
        <v>42670</v>
      </c>
      <c r="P8412">
        <v>0</v>
      </c>
      <c r="Q8412">
        <v>5</v>
      </c>
      <c r="R8412" t="s">
        <v>42679</v>
      </c>
      <c r="S8412" t="s">
        <v>42923</v>
      </c>
      <c r="T8412" t="s">
        <v>44387</v>
      </c>
      <c r="U8412" t="s">
        <v>51683</v>
      </c>
      <c r="V8412" t="s">
        <v>56354</v>
      </c>
      <c r="W8412" t="s">
        <v>38865</v>
      </c>
      <c r="X8412" t="s">
        <v>42682</v>
      </c>
    </row>
    <row r="8413" spans="1:24">
      <c r="A8413">
        <f>HYPERLINK("https://www.philgeps.gov.ph/GEPSNONPILOT/Tender/SplashBidNoticeAbstractUI.aspx?menuIndex=3&amp;refID=7177950&amp;Result=3","7177950")</f>
        <v>0</v>
      </c>
      <c r="B8413" t="s">
        <v>2582</v>
      </c>
      <c r="C8413" t="s">
        <v>11570</v>
      </c>
      <c r="D8413" t="s">
        <v>17196</v>
      </c>
      <c r="E8413" t="s">
        <v>24487</v>
      </c>
      <c r="F8413" t="s">
        <v>29372</v>
      </c>
      <c r="G8413" t="s">
        <v>29380</v>
      </c>
      <c r="H8413" t="s">
        <v>11048</v>
      </c>
      <c r="I8413" t="s">
        <v>29396</v>
      </c>
      <c r="J8413" t="s">
        <v>34947</v>
      </c>
      <c r="K8413" t="s">
        <v>38490</v>
      </c>
      <c r="M8413" t="s">
        <v>41549</v>
      </c>
      <c r="N8413" t="s">
        <v>42669</v>
      </c>
      <c r="O8413" t="s">
        <v>42670</v>
      </c>
      <c r="P8413">
        <v>0</v>
      </c>
      <c r="Q8413">
        <v>1</v>
      </c>
      <c r="R8413" t="s">
        <v>42679</v>
      </c>
      <c r="S8413" t="s">
        <v>42923</v>
      </c>
      <c r="T8413" t="s">
        <v>44474</v>
      </c>
      <c r="U8413" t="s">
        <v>51684</v>
      </c>
      <c r="V8413" t="s">
        <v>57289</v>
      </c>
      <c r="W8413" t="s">
        <v>41549</v>
      </c>
      <c r="X8413" t="s">
        <v>42682</v>
      </c>
    </row>
    <row r="8414" spans="1:24">
      <c r="A8414">
        <f>HYPERLINK("https://www.philgeps.gov.ph/GEPSNONPILOT/Tender/SplashBidNoticeAbstractUI.aspx?menuIndex=3&amp;refID=7178814&amp;Result=3","7178814")</f>
        <v>0</v>
      </c>
      <c r="B8414" t="s">
        <v>2591</v>
      </c>
      <c r="C8414" t="s">
        <v>11571</v>
      </c>
      <c r="D8414" t="s">
        <v>17197</v>
      </c>
      <c r="E8414" t="s">
        <v>24488</v>
      </c>
      <c r="F8414" t="s">
        <v>29372</v>
      </c>
      <c r="G8414" t="s">
        <v>29380</v>
      </c>
      <c r="H8414" t="s">
        <v>29389</v>
      </c>
      <c r="I8414" t="s">
        <v>10408</v>
      </c>
      <c r="J8414" t="s">
        <v>34948</v>
      </c>
      <c r="K8414" t="s">
        <v>38496</v>
      </c>
      <c r="M8414" t="s">
        <v>41558</v>
      </c>
      <c r="N8414" t="s">
        <v>42669</v>
      </c>
      <c r="O8414" t="s">
        <v>42670</v>
      </c>
      <c r="P8414">
        <v>0</v>
      </c>
      <c r="Q8414">
        <v>0</v>
      </c>
      <c r="R8414" t="s">
        <v>42679</v>
      </c>
      <c r="S8414" t="s">
        <v>42923</v>
      </c>
      <c r="T8414" t="s">
        <v>44355</v>
      </c>
      <c r="U8414" t="s">
        <v>51685</v>
      </c>
      <c r="W8414" t="s">
        <v>41558</v>
      </c>
      <c r="X8414" t="s">
        <v>42682</v>
      </c>
    </row>
    <row r="8415" spans="1:24">
      <c r="A8415">
        <f>HYPERLINK("https://www.philgeps.gov.ph/GEPSNONPILOT/Tender/SplashBidNoticeAbstractUI.aspx?menuIndex=3&amp;refID=7178791&amp;Result=3","7178791")</f>
        <v>0</v>
      </c>
      <c r="B8415" t="s">
        <v>2592</v>
      </c>
      <c r="C8415" t="s">
        <v>5122</v>
      </c>
      <c r="D8415" t="s">
        <v>17194</v>
      </c>
      <c r="E8415" t="s">
        <v>24489</v>
      </c>
      <c r="F8415" t="s">
        <v>29372</v>
      </c>
      <c r="G8415" t="s">
        <v>29380</v>
      </c>
      <c r="H8415" t="s">
        <v>11048</v>
      </c>
      <c r="I8415" t="s">
        <v>29435</v>
      </c>
      <c r="J8415" t="s">
        <v>29708</v>
      </c>
      <c r="K8415" t="s">
        <v>38491</v>
      </c>
      <c r="M8415" t="s">
        <v>41559</v>
      </c>
      <c r="N8415" t="s">
        <v>42669</v>
      </c>
      <c r="O8415" t="s">
        <v>42670</v>
      </c>
      <c r="P8415">
        <v>0</v>
      </c>
      <c r="Q8415">
        <v>1</v>
      </c>
      <c r="R8415" t="s">
        <v>42679</v>
      </c>
      <c r="S8415" t="s">
        <v>42923</v>
      </c>
      <c r="T8415" t="s">
        <v>44454</v>
      </c>
      <c r="U8415" t="s">
        <v>51686</v>
      </c>
      <c r="V8415" t="s">
        <v>57296</v>
      </c>
      <c r="W8415" t="s">
        <v>41559</v>
      </c>
      <c r="X8415" t="s">
        <v>42682</v>
      </c>
    </row>
    <row r="8416" spans="1:24">
      <c r="A8416">
        <f>HYPERLINK("https://www.philgeps.gov.ph/GEPSNONPILOT/Tender/SplashBidNoticeAbstractUI.aspx?menuIndex=3&amp;refID=7178170&amp;Result=3","7178170")</f>
        <v>0</v>
      </c>
      <c r="B8416" t="s">
        <v>1504</v>
      </c>
      <c r="C8416" t="s">
        <v>11572</v>
      </c>
      <c r="D8416" t="s">
        <v>17170</v>
      </c>
      <c r="E8416" t="s">
        <v>24490</v>
      </c>
      <c r="F8416" t="s">
        <v>29372</v>
      </c>
      <c r="G8416" t="s">
        <v>29379</v>
      </c>
      <c r="H8416" t="s">
        <v>11048</v>
      </c>
      <c r="I8416" t="s">
        <v>14920</v>
      </c>
      <c r="J8416" t="s">
        <v>34949</v>
      </c>
      <c r="K8416" t="s">
        <v>38510</v>
      </c>
      <c r="M8416" t="s">
        <v>40348</v>
      </c>
      <c r="N8416" t="s">
        <v>42669</v>
      </c>
      <c r="O8416" t="s">
        <v>42670</v>
      </c>
      <c r="P8416">
        <v>0</v>
      </c>
      <c r="Q8416">
        <v>0</v>
      </c>
      <c r="R8416" t="s">
        <v>42679</v>
      </c>
      <c r="S8416" t="s">
        <v>42923</v>
      </c>
      <c r="T8416" t="s">
        <v>44488</v>
      </c>
      <c r="U8416" t="s">
        <v>51687</v>
      </c>
      <c r="W8416" t="s">
        <v>40348</v>
      </c>
      <c r="X8416" t="s">
        <v>42682</v>
      </c>
    </row>
    <row r="8417" spans="1:24">
      <c r="A8417">
        <f>HYPERLINK("https://www.philgeps.gov.ph/GEPSNONPILOT/Tender/SplashBidNoticeAbstractUI.aspx?menuIndex=3&amp;refID=7178217&amp;Result=3","7178217")</f>
        <v>0</v>
      </c>
      <c r="B8417" t="s">
        <v>2078</v>
      </c>
      <c r="C8417" t="s">
        <v>11573</v>
      </c>
      <c r="D8417" t="s">
        <v>17178</v>
      </c>
      <c r="E8417" t="s">
        <v>24491</v>
      </c>
      <c r="F8417" t="s">
        <v>29373</v>
      </c>
      <c r="G8417" t="s">
        <v>29379</v>
      </c>
      <c r="H8417" t="s">
        <v>29389</v>
      </c>
      <c r="I8417" t="s">
        <v>4709</v>
      </c>
      <c r="J8417" t="s">
        <v>34950</v>
      </c>
      <c r="K8417" t="s">
        <v>38538</v>
      </c>
      <c r="L8417" t="s">
        <v>2078</v>
      </c>
      <c r="M8417" t="s">
        <v>40977</v>
      </c>
      <c r="N8417" t="s">
        <v>42669</v>
      </c>
      <c r="O8417" t="s">
        <v>42670</v>
      </c>
      <c r="P8417">
        <v>0</v>
      </c>
      <c r="Q8417">
        <v>0</v>
      </c>
      <c r="R8417" t="s">
        <v>42679</v>
      </c>
      <c r="S8417" t="s">
        <v>42923</v>
      </c>
      <c r="T8417" t="s">
        <v>44580</v>
      </c>
      <c r="U8417" t="s">
        <v>51688</v>
      </c>
      <c r="W8417" t="s">
        <v>40977</v>
      </c>
      <c r="X8417" t="s">
        <v>42682</v>
      </c>
    </row>
    <row r="8418" spans="1:24">
      <c r="A8418">
        <f>HYPERLINK("https://www.philgeps.gov.ph/GEPSNONPILOT/Tender/SplashBidNoticeAbstractUI.aspx?menuIndex=3&amp;refID=7178724&amp;Result=3","7178724")</f>
        <v>0</v>
      </c>
      <c r="B8418" t="s">
        <v>671</v>
      </c>
      <c r="C8418" t="s">
        <v>11574</v>
      </c>
      <c r="D8418" t="s">
        <v>17239</v>
      </c>
      <c r="E8418" t="s">
        <v>24492</v>
      </c>
      <c r="F8418" t="s">
        <v>29372</v>
      </c>
      <c r="G8418" t="s">
        <v>29380</v>
      </c>
      <c r="H8418" t="s">
        <v>11048</v>
      </c>
      <c r="I8418" t="s">
        <v>29428</v>
      </c>
      <c r="J8418" t="s">
        <v>34951</v>
      </c>
      <c r="K8418" t="s">
        <v>38490</v>
      </c>
      <c r="M8418" t="s">
        <v>39509</v>
      </c>
      <c r="N8418" t="s">
        <v>42669</v>
      </c>
      <c r="O8418" t="s">
        <v>42670</v>
      </c>
      <c r="P8418">
        <v>0</v>
      </c>
      <c r="Q8418">
        <v>1</v>
      </c>
      <c r="R8418" t="s">
        <v>42679</v>
      </c>
      <c r="S8418" t="s">
        <v>42923</v>
      </c>
      <c r="T8418" t="s">
        <v>44517</v>
      </c>
      <c r="U8418" t="s">
        <v>51689</v>
      </c>
      <c r="W8418" t="s">
        <v>39509</v>
      </c>
      <c r="X8418" t="s">
        <v>42682</v>
      </c>
    </row>
    <row r="8419" spans="1:24">
      <c r="A8419">
        <f>HYPERLINK("https://www.philgeps.gov.ph/GEPSNONPILOT/Tender/SplashBidNoticeAbstractUI.aspx?menuIndex=3&amp;refID=7178653&amp;Result=3","7178653")</f>
        <v>0</v>
      </c>
      <c r="B8419" t="s">
        <v>2562</v>
      </c>
      <c r="C8419" t="s">
        <v>11345</v>
      </c>
      <c r="E8419" t="s">
        <v>24493</v>
      </c>
      <c r="F8419" t="s">
        <v>29372</v>
      </c>
      <c r="G8419" t="s">
        <v>29380</v>
      </c>
      <c r="H8419" t="s">
        <v>11048</v>
      </c>
      <c r="I8419" t="s">
        <v>4709</v>
      </c>
      <c r="J8419" t="s">
        <v>34952</v>
      </c>
      <c r="K8419" t="s">
        <v>38490</v>
      </c>
      <c r="M8419" t="s">
        <v>41527</v>
      </c>
      <c r="N8419" t="s">
        <v>42669</v>
      </c>
      <c r="O8419" t="s">
        <v>42670</v>
      </c>
      <c r="P8419">
        <v>0</v>
      </c>
      <c r="Q8419">
        <v>0</v>
      </c>
      <c r="R8419" t="s">
        <v>42679</v>
      </c>
      <c r="S8419" t="s">
        <v>42923</v>
      </c>
      <c r="T8419" t="s">
        <v>44394</v>
      </c>
      <c r="U8419" t="s">
        <v>51690</v>
      </c>
      <c r="W8419" t="s">
        <v>41527</v>
      </c>
      <c r="X8419" t="s">
        <v>42682</v>
      </c>
    </row>
    <row r="8420" spans="1:24">
      <c r="A8420">
        <f>HYPERLINK("https://www.philgeps.gov.ph/GEPSNONPILOT/Tender/SplashBidNoticeAbstractUI.aspx?menuIndex=3&amp;refID=7178681&amp;Result=3","7178681")</f>
        <v>0</v>
      </c>
      <c r="B8420" t="s">
        <v>2562</v>
      </c>
      <c r="C8420" t="s">
        <v>9457</v>
      </c>
      <c r="E8420" t="s">
        <v>24494</v>
      </c>
      <c r="F8420" t="s">
        <v>29372</v>
      </c>
      <c r="G8420" t="s">
        <v>29380</v>
      </c>
      <c r="H8420" t="s">
        <v>11048</v>
      </c>
      <c r="I8420" t="s">
        <v>4709</v>
      </c>
      <c r="J8420" t="s">
        <v>34953</v>
      </c>
      <c r="K8420" t="s">
        <v>38490</v>
      </c>
      <c r="M8420" t="s">
        <v>41527</v>
      </c>
      <c r="N8420" t="s">
        <v>42669</v>
      </c>
      <c r="O8420" t="s">
        <v>42670</v>
      </c>
      <c r="P8420">
        <v>0</v>
      </c>
      <c r="Q8420">
        <v>0</v>
      </c>
      <c r="R8420" t="s">
        <v>42679</v>
      </c>
      <c r="S8420" t="s">
        <v>42923</v>
      </c>
      <c r="T8420" t="s">
        <v>44758</v>
      </c>
      <c r="U8420" t="s">
        <v>51691</v>
      </c>
      <c r="W8420" t="s">
        <v>41527</v>
      </c>
      <c r="X8420" t="s">
        <v>42682</v>
      </c>
    </row>
    <row r="8421" spans="1:24">
      <c r="A8421">
        <f>HYPERLINK("https://www.philgeps.gov.ph/GEPSNONPILOT/Tender/SplashBidNoticeAbstractUI.aspx?menuIndex=3&amp;refID=7178794&amp;Result=3","7178794")</f>
        <v>0</v>
      </c>
      <c r="B8421" t="s">
        <v>2593</v>
      </c>
      <c r="C8421" t="s">
        <v>11575</v>
      </c>
      <c r="D8421" t="s">
        <v>17171</v>
      </c>
      <c r="E8421" t="s">
        <v>17965</v>
      </c>
      <c r="F8421" t="s">
        <v>29372</v>
      </c>
      <c r="G8421" t="s">
        <v>29379</v>
      </c>
      <c r="H8421" t="s">
        <v>11048</v>
      </c>
      <c r="I8421" t="s">
        <v>4709</v>
      </c>
      <c r="J8421" t="s">
        <v>34954</v>
      </c>
      <c r="K8421" t="s">
        <v>38488</v>
      </c>
      <c r="M8421" t="s">
        <v>41560</v>
      </c>
      <c r="N8421" t="s">
        <v>42669</v>
      </c>
      <c r="O8421" t="s">
        <v>42670</v>
      </c>
      <c r="Q8421">
        <v>1</v>
      </c>
      <c r="R8421" t="s">
        <v>42679</v>
      </c>
      <c r="S8421" t="s">
        <v>42928</v>
      </c>
      <c r="T8421" t="s">
        <v>44759</v>
      </c>
      <c r="U8421" t="s">
        <v>51692</v>
      </c>
      <c r="V8421" t="s">
        <v>57297</v>
      </c>
      <c r="W8421" t="s">
        <v>41560</v>
      </c>
      <c r="X8421" t="s">
        <v>42682</v>
      </c>
    </row>
    <row r="8422" spans="1:24">
      <c r="A8422">
        <f>HYPERLINK("https://www.philgeps.gov.ph/GEPSNONPILOT/Tender/SplashBidNoticeAbstractUI.aspx?menuIndex=3&amp;refID=7178637&amp;Result=3","7178637")</f>
        <v>0</v>
      </c>
      <c r="B8422" t="s">
        <v>2562</v>
      </c>
      <c r="C8422" t="s">
        <v>11576</v>
      </c>
      <c r="E8422" t="s">
        <v>24495</v>
      </c>
      <c r="F8422" t="s">
        <v>29372</v>
      </c>
      <c r="G8422" t="s">
        <v>29380</v>
      </c>
      <c r="H8422" t="s">
        <v>11048</v>
      </c>
      <c r="I8422" t="s">
        <v>4709</v>
      </c>
      <c r="J8422" t="s">
        <v>34955</v>
      </c>
      <c r="K8422" t="s">
        <v>38490</v>
      </c>
      <c r="M8422" t="s">
        <v>41527</v>
      </c>
      <c r="N8422" t="s">
        <v>42669</v>
      </c>
      <c r="O8422" t="s">
        <v>42670</v>
      </c>
      <c r="P8422">
        <v>0</v>
      </c>
      <c r="Q8422">
        <v>0</v>
      </c>
      <c r="R8422" t="s">
        <v>42679</v>
      </c>
      <c r="S8422" t="s">
        <v>42923</v>
      </c>
      <c r="T8422" t="s">
        <v>44394</v>
      </c>
      <c r="U8422" t="s">
        <v>51693</v>
      </c>
      <c r="W8422" t="s">
        <v>41527</v>
      </c>
      <c r="X8422" t="s">
        <v>42682</v>
      </c>
    </row>
    <row r="8423" spans="1:24">
      <c r="A8423">
        <f>HYPERLINK("https://www.philgeps.gov.ph/GEPSNONPILOT/Tender/SplashBidNoticeAbstractUI.aspx?menuIndex=3&amp;refID=7178621&amp;Result=3","7178621")</f>
        <v>0</v>
      </c>
      <c r="B8423" t="s">
        <v>2594</v>
      </c>
      <c r="C8423" t="s">
        <v>11577</v>
      </c>
      <c r="D8423" t="s">
        <v>17153</v>
      </c>
      <c r="E8423" t="s">
        <v>24496</v>
      </c>
      <c r="F8423" t="s">
        <v>29372</v>
      </c>
      <c r="G8423" t="s">
        <v>29380</v>
      </c>
      <c r="H8423" t="s">
        <v>11048</v>
      </c>
      <c r="I8423" t="s">
        <v>29419</v>
      </c>
      <c r="J8423" t="s">
        <v>34956</v>
      </c>
      <c r="K8423" t="s">
        <v>38488</v>
      </c>
      <c r="M8423" t="s">
        <v>41561</v>
      </c>
      <c r="N8423" t="s">
        <v>42669</v>
      </c>
      <c r="O8423" t="s">
        <v>42670</v>
      </c>
      <c r="P8423">
        <v>0</v>
      </c>
      <c r="Q8423">
        <v>1</v>
      </c>
      <c r="R8423" t="s">
        <v>42679</v>
      </c>
      <c r="S8423" t="s">
        <v>42923</v>
      </c>
      <c r="T8423" t="s">
        <v>44432</v>
      </c>
      <c r="U8423" t="s">
        <v>51694</v>
      </c>
      <c r="W8423" t="s">
        <v>41561</v>
      </c>
      <c r="X8423" t="s">
        <v>42682</v>
      </c>
    </row>
    <row r="8424" spans="1:24">
      <c r="A8424">
        <f>HYPERLINK("https://www.philgeps.gov.ph/GEPSNONPILOT/Tender/SplashBidNoticeAbstractUI.aspx?menuIndex=3&amp;refID=7177954&amp;Result=3","7177954")</f>
        <v>0</v>
      </c>
      <c r="B8424" t="s">
        <v>1434</v>
      </c>
      <c r="C8424" t="s">
        <v>11578</v>
      </c>
      <c r="D8424" t="s">
        <v>17198</v>
      </c>
      <c r="E8424" t="s">
        <v>24497</v>
      </c>
      <c r="F8424" t="s">
        <v>29372</v>
      </c>
      <c r="G8424" t="s">
        <v>29384</v>
      </c>
      <c r="H8424" t="s">
        <v>11048</v>
      </c>
      <c r="I8424" t="s">
        <v>29405</v>
      </c>
      <c r="J8424" t="s">
        <v>34957</v>
      </c>
      <c r="K8424" t="s">
        <v>38491</v>
      </c>
      <c r="M8424" t="s">
        <v>40274</v>
      </c>
      <c r="N8424" t="s">
        <v>42669</v>
      </c>
      <c r="O8424" t="s">
        <v>42670</v>
      </c>
      <c r="P8424">
        <v>0</v>
      </c>
      <c r="Q8424">
        <v>13</v>
      </c>
      <c r="R8424" t="s">
        <v>42679</v>
      </c>
      <c r="S8424" t="s">
        <v>42923</v>
      </c>
      <c r="T8424" t="s">
        <v>44510</v>
      </c>
      <c r="U8424" t="s">
        <v>48064</v>
      </c>
      <c r="V8424" t="s">
        <v>56749</v>
      </c>
      <c r="W8424" t="s">
        <v>40274</v>
      </c>
      <c r="X8424" t="s">
        <v>42682</v>
      </c>
    </row>
    <row r="8425" spans="1:24">
      <c r="A8425">
        <f>HYPERLINK("https://www.philgeps.gov.ph/GEPSNONPILOT/Tender/SplashBidNoticeAbstractUI.aspx?menuIndex=3&amp;refID=7178593&amp;Result=3","7178593")</f>
        <v>0</v>
      </c>
      <c r="B8425" t="s">
        <v>2595</v>
      </c>
      <c r="C8425" t="s">
        <v>11579</v>
      </c>
      <c r="D8425" t="s">
        <v>17188</v>
      </c>
      <c r="E8425" t="s">
        <v>22109</v>
      </c>
      <c r="F8425" t="s">
        <v>29372</v>
      </c>
      <c r="G8425" t="s">
        <v>29380</v>
      </c>
      <c r="H8425" t="s">
        <v>29389</v>
      </c>
      <c r="I8425" t="s">
        <v>10408</v>
      </c>
      <c r="J8425" t="s">
        <v>34958</v>
      </c>
      <c r="K8425" t="s">
        <v>38495</v>
      </c>
      <c r="M8425" t="s">
        <v>41562</v>
      </c>
      <c r="N8425" t="s">
        <v>42669</v>
      </c>
      <c r="O8425" t="s">
        <v>42670</v>
      </c>
      <c r="P8425">
        <v>0</v>
      </c>
      <c r="Q8425">
        <v>0</v>
      </c>
      <c r="R8425" t="s">
        <v>42679</v>
      </c>
      <c r="S8425" t="s">
        <v>42923</v>
      </c>
      <c r="T8425" t="s">
        <v>44517</v>
      </c>
      <c r="U8425" t="s">
        <v>51695</v>
      </c>
      <c r="W8425" t="s">
        <v>41562</v>
      </c>
      <c r="X8425" t="s">
        <v>42682</v>
      </c>
    </row>
    <row r="8426" spans="1:24">
      <c r="A8426">
        <f>HYPERLINK("https://www.philgeps.gov.ph/GEPSNONPILOT/Tender/SplashBidNoticeAbstractUI.aspx?menuIndex=3&amp;refID=7178577&amp;Result=3","7178577")</f>
        <v>0</v>
      </c>
      <c r="B8426" t="s">
        <v>1599</v>
      </c>
      <c r="C8426" t="s">
        <v>11580</v>
      </c>
      <c r="D8426" t="s">
        <v>17158</v>
      </c>
      <c r="E8426" t="s">
        <v>24498</v>
      </c>
      <c r="F8426" t="s">
        <v>29372</v>
      </c>
      <c r="G8426" t="s">
        <v>29379</v>
      </c>
      <c r="H8426" t="s">
        <v>11048</v>
      </c>
      <c r="I8426" t="s">
        <v>29423</v>
      </c>
      <c r="J8426" t="s">
        <v>34959</v>
      </c>
      <c r="K8426" t="s">
        <v>38485</v>
      </c>
      <c r="M8426" t="s">
        <v>41000</v>
      </c>
      <c r="N8426" t="s">
        <v>42669</v>
      </c>
      <c r="O8426" t="s">
        <v>42670</v>
      </c>
      <c r="Q8426">
        <v>4</v>
      </c>
      <c r="R8426" t="s">
        <v>42679</v>
      </c>
      <c r="S8426" t="s">
        <v>42929</v>
      </c>
      <c r="T8426" t="s">
        <v>44368</v>
      </c>
      <c r="U8426" t="s">
        <v>51696</v>
      </c>
      <c r="V8426" t="s">
        <v>57298</v>
      </c>
      <c r="W8426" t="s">
        <v>41000</v>
      </c>
      <c r="X8426" t="s">
        <v>42682</v>
      </c>
    </row>
    <row r="8427" spans="1:24">
      <c r="A8427">
        <f>HYPERLINK("https://www.philgeps.gov.ph/GEPSNONPILOT/Tender/SplashBidNoticeAbstractUI.aspx?menuIndex=3&amp;refID=7178517&amp;Result=3","7178517")</f>
        <v>0</v>
      </c>
      <c r="B8427" t="s">
        <v>2596</v>
      </c>
      <c r="C8427" t="s">
        <v>7642</v>
      </c>
      <c r="D8427" t="s">
        <v>17183</v>
      </c>
      <c r="E8427" t="s">
        <v>24499</v>
      </c>
      <c r="F8427" t="s">
        <v>29376</v>
      </c>
      <c r="G8427" t="s">
        <v>29385</v>
      </c>
      <c r="H8427" t="s">
        <v>11048</v>
      </c>
      <c r="I8427" t="s">
        <v>4709</v>
      </c>
      <c r="J8427" t="s">
        <v>30525</v>
      </c>
      <c r="K8427" t="s">
        <v>38490</v>
      </c>
      <c r="M8427" t="s">
        <v>41563</v>
      </c>
      <c r="N8427" t="s">
        <v>42669</v>
      </c>
      <c r="O8427" t="s">
        <v>42670</v>
      </c>
      <c r="P8427">
        <v>0</v>
      </c>
      <c r="Q8427">
        <v>3</v>
      </c>
      <c r="R8427" t="s">
        <v>42679</v>
      </c>
      <c r="S8427" t="s">
        <v>42923</v>
      </c>
      <c r="T8427" t="s">
        <v>44493</v>
      </c>
      <c r="U8427" t="s">
        <v>51697</v>
      </c>
      <c r="V8427" t="s">
        <v>57299</v>
      </c>
      <c r="W8427" t="s">
        <v>41563</v>
      </c>
      <c r="X8427" t="s">
        <v>42682</v>
      </c>
    </row>
    <row r="8428" spans="1:24">
      <c r="A8428">
        <f>HYPERLINK("https://www.philgeps.gov.ph/GEPSNONPILOT/Tender/SplashBidNoticeAbstractUI.aspx?menuIndex=3&amp;refID=7178495&amp;Result=3","7178495")</f>
        <v>0</v>
      </c>
      <c r="B8428" t="s">
        <v>2597</v>
      </c>
      <c r="C8428" t="s">
        <v>11581</v>
      </c>
      <c r="D8428" t="s">
        <v>17141</v>
      </c>
      <c r="E8428" t="s">
        <v>21533</v>
      </c>
      <c r="F8428" t="s">
        <v>29372</v>
      </c>
      <c r="G8428" t="s">
        <v>29380</v>
      </c>
      <c r="H8428" t="s">
        <v>29391</v>
      </c>
      <c r="I8428" t="s">
        <v>29391</v>
      </c>
      <c r="J8428" t="s">
        <v>29788</v>
      </c>
      <c r="K8428" t="s">
        <v>38490</v>
      </c>
      <c r="M8428" t="s">
        <v>41564</v>
      </c>
      <c r="N8428" t="s">
        <v>42669</v>
      </c>
      <c r="O8428" t="s">
        <v>42670</v>
      </c>
      <c r="Q8428">
        <v>13</v>
      </c>
      <c r="R8428" t="s">
        <v>42679</v>
      </c>
      <c r="S8428" t="s">
        <v>42930</v>
      </c>
      <c r="T8428" t="s">
        <v>44760</v>
      </c>
      <c r="U8428" t="s">
        <v>51698</v>
      </c>
      <c r="W8428" t="s">
        <v>41564</v>
      </c>
      <c r="X8428" t="s">
        <v>42682</v>
      </c>
    </row>
    <row r="8429" spans="1:24">
      <c r="A8429">
        <f>HYPERLINK("https://www.philgeps.gov.ph/GEPSNONPILOT/Tender/SplashBidNoticeAbstractUI.aspx?menuIndex=3&amp;refID=7178443&amp;Result=3","7178443")</f>
        <v>0</v>
      </c>
      <c r="B8429" t="s">
        <v>2562</v>
      </c>
      <c r="C8429" t="s">
        <v>11582</v>
      </c>
      <c r="E8429" t="s">
        <v>18471</v>
      </c>
      <c r="F8429" t="s">
        <v>29372</v>
      </c>
      <c r="G8429" t="s">
        <v>29380</v>
      </c>
      <c r="H8429" t="s">
        <v>11048</v>
      </c>
      <c r="I8429" t="s">
        <v>29401</v>
      </c>
      <c r="J8429" t="s">
        <v>29526</v>
      </c>
      <c r="K8429" t="s">
        <v>38490</v>
      </c>
      <c r="M8429" t="s">
        <v>41527</v>
      </c>
      <c r="N8429" t="s">
        <v>42669</v>
      </c>
      <c r="O8429" t="s">
        <v>42670</v>
      </c>
      <c r="P8429">
        <v>0</v>
      </c>
      <c r="Q8429">
        <v>0</v>
      </c>
      <c r="R8429" t="s">
        <v>42679</v>
      </c>
      <c r="S8429" t="s">
        <v>42923</v>
      </c>
      <c r="T8429" t="s">
        <v>44394</v>
      </c>
      <c r="U8429" t="s">
        <v>51699</v>
      </c>
      <c r="W8429" t="s">
        <v>41527</v>
      </c>
      <c r="X8429" t="s">
        <v>42682</v>
      </c>
    </row>
    <row r="8430" spans="1:24">
      <c r="A8430">
        <f>HYPERLINK("https://www.philgeps.gov.ph/GEPSNONPILOT/Tender/SplashBidNoticeAbstractUI.aspx?menuIndex=3&amp;refID=7178628&amp;Result=3","7178628")</f>
        <v>0</v>
      </c>
      <c r="B8430" t="s">
        <v>2598</v>
      </c>
      <c r="C8430" t="s">
        <v>11583</v>
      </c>
      <c r="D8430" t="s">
        <v>17160</v>
      </c>
      <c r="E8430" t="s">
        <v>24500</v>
      </c>
      <c r="F8430" t="s">
        <v>29372</v>
      </c>
      <c r="G8430" t="s">
        <v>29380</v>
      </c>
      <c r="H8430" t="s">
        <v>29389</v>
      </c>
      <c r="I8430" t="s">
        <v>10408</v>
      </c>
      <c r="J8430" t="s">
        <v>30412</v>
      </c>
      <c r="K8430" t="s">
        <v>38488</v>
      </c>
      <c r="M8430" t="s">
        <v>41565</v>
      </c>
      <c r="N8430" t="s">
        <v>42669</v>
      </c>
      <c r="O8430" t="s">
        <v>42670</v>
      </c>
      <c r="P8430">
        <v>0</v>
      </c>
      <c r="Q8430">
        <v>2</v>
      </c>
      <c r="R8430" t="s">
        <v>42679</v>
      </c>
      <c r="S8430" t="s">
        <v>42923</v>
      </c>
      <c r="T8430" t="s">
        <v>44355</v>
      </c>
      <c r="U8430" t="s">
        <v>51700</v>
      </c>
      <c r="V8430" t="s">
        <v>57300</v>
      </c>
      <c r="W8430" t="s">
        <v>41565</v>
      </c>
      <c r="X8430" t="s">
        <v>42682</v>
      </c>
    </row>
    <row r="8431" spans="1:24">
      <c r="A8431">
        <f>HYPERLINK("https://www.philgeps.gov.ph/GEPSNONPILOT/Tender/SplashBidNoticeAbstractUI.aspx?menuIndex=3&amp;refID=7178436&amp;Result=3","7178436")</f>
        <v>0</v>
      </c>
      <c r="B8431" t="s">
        <v>2147</v>
      </c>
      <c r="C8431" t="s">
        <v>11584</v>
      </c>
      <c r="D8431" t="s">
        <v>17174</v>
      </c>
      <c r="E8431" t="s">
        <v>24501</v>
      </c>
      <c r="F8431" t="s">
        <v>29372</v>
      </c>
      <c r="G8431" t="s">
        <v>29380</v>
      </c>
      <c r="H8431" t="s">
        <v>11048</v>
      </c>
      <c r="I8431" t="s">
        <v>3839</v>
      </c>
      <c r="J8431" t="s">
        <v>30244</v>
      </c>
      <c r="K8431" t="s">
        <v>38485</v>
      </c>
      <c r="M8431" t="s">
        <v>41054</v>
      </c>
      <c r="N8431" t="s">
        <v>42669</v>
      </c>
      <c r="O8431" t="s">
        <v>42670</v>
      </c>
      <c r="P8431">
        <v>0</v>
      </c>
      <c r="Q8431">
        <v>5</v>
      </c>
      <c r="R8431" t="s">
        <v>42679</v>
      </c>
      <c r="S8431" t="s">
        <v>42923</v>
      </c>
      <c r="T8431" t="s">
        <v>44450</v>
      </c>
      <c r="U8431" t="s">
        <v>51701</v>
      </c>
      <c r="W8431" t="s">
        <v>41054</v>
      </c>
      <c r="X8431" t="s">
        <v>42682</v>
      </c>
    </row>
    <row r="8432" spans="1:24">
      <c r="A8432">
        <f>HYPERLINK("https://www.philgeps.gov.ph/GEPSNONPILOT/Tender/SplashBidNoticeAbstractUI.aspx?menuIndex=3&amp;refID=7178754&amp;Result=3","7178754")</f>
        <v>0</v>
      </c>
      <c r="B8432" t="s">
        <v>712</v>
      </c>
      <c r="C8432" t="s">
        <v>11585</v>
      </c>
      <c r="D8432" t="s">
        <v>17175</v>
      </c>
      <c r="E8432" t="s">
        <v>24502</v>
      </c>
      <c r="F8432" t="s">
        <v>29372</v>
      </c>
      <c r="G8432" t="s">
        <v>29379</v>
      </c>
      <c r="H8432" t="s">
        <v>11048</v>
      </c>
      <c r="I8432" t="s">
        <v>29429</v>
      </c>
      <c r="J8432" t="s">
        <v>31053</v>
      </c>
      <c r="K8432" t="s">
        <v>38491</v>
      </c>
      <c r="M8432" t="s">
        <v>40443</v>
      </c>
      <c r="N8432" t="s">
        <v>42669</v>
      </c>
      <c r="O8432" t="s">
        <v>42670</v>
      </c>
      <c r="P8432">
        <v>0</v>
      </c>
      <c r="Q8432">
        <v>0</v>
      </c>
      <c r="R8432" t="s">
        <v>42679</v>
      </c>
      <c r="S8432" t="s">
        <v>42923</v>
      </c>
      <c r="T8432" t="s">
        <v>44488</v>
      </c>
      <c r="U8432" t="s">
        <v>51702</v>
      </c>
      <c r="W8432" t="s">
        <v>40443</v>
      </c>
      <c r="X8432" t="s">
        <v>42682</v>
      </c>
    </row>
    <row r="8433" spans="1:24">
      <c r="A8433">
        <f>HYPERLINK("https://www.philgeps.gov.ph/GEPSNONPILOT/Tender/SplashBidNoticeAbstractUI.aspx?menuIndex=3&amp;refID=7178649&amp;Result=3","7178649")</f>
        <v>0</v>
      </c>
      <c r="B8433" t="s">
        <v>2599</v>
      </c>
      <c r="C8433" t="s">
        <v>11586</v>
      </c>
      <c r="D8433" t="s">
        <v>17222</v>
      </c>
      <c r="E8433" t="s">
        <v>24503</v>
      </c>
      <c r="F8433" t="s">
        <v>29372</v>
      </c>
      <c r="G8433" t="s">
        <v>29383</v>
      </c>
      <c r="H8433" t="s">
        <v>11048</v>
      </c>
      <c r="I8433" t="s">
        <v>3670</v>
      </c>
      <c r="J8433" t="s">
        <v>30563</v>
      </c>
      <c r="K8433" t="s">
        <v>38530</v>
      </c>
      <c r="M8433" t="s">
        <v>41566</v>
      </c>
      <c r="N8433" t="s">
        <v>42669</v>
      </c>
      <c r="O8433" t="s">
        <v>42670</v>
      </c>
      <c r="P8433">
        <v>0</v>
      </c>
      <c r="Q8433">
        <v>0</v>
      </c>
      <c r="R8433" t="s">
        <v>42679</v>
      </c>
      <c r="S8433" t="s">
        <v>42923</v>
      </c>
      <c r="T8433" t="s">
        <v>44485</v>
      </c>
      <c r="U8433" t="s">
        <v>51703</v>
      </c>
      <c r="W8433" t="s">
        <v>41566</v>
      </c>
      <c r="X8433" t="s">
        <v>42682</v>
      </c>
    </row>
    <row r="8434" spans="1:24">
      <c r="A8434">
        <f>HYPERLINK("https://www.philgeps.gov.ph/GEPSNONPILOT/Tender/SplashBidNoticeAbstractUI.aspx?menuIndex=3&amp;refID=7178622&amp;Result=3","7178622")</f>
        <v>0</v>
      </c>
      <c r="B8434" t="s">
        <v>173</v>
      </c>
      <c r="C8434" t="s">
        <v>11587</v>
      </c>
      <c r="D8434" t="s">
        <v>17141</v>
      </c>
      <c r="E8434" t="s">
        <v>24504</v>
      </c>
      <c r="F8434" t="s">
        <v>29372</v>
      </c>
      <c r="G8434" t="s">
        <v>29380</v>
      </c>
      <c r="H8434" t="s">
        <v>29390</v>
      </c>
      <c r="I8434" t="s">
        <v>4235</v>
      </c>
      <c r="J8434" t="s">
        <v>34960</v>
      </c>
      <c r="K8434" t="s">
        <v>38575</v>
      </c>
      <c r="M8434" t="s">
        <v>41567</v>
      </c>
      <c r="N8434" t="s">
        <v>42669</v>
      </c>
      <c r="O8434" t="s">
        <v>42670</v>
      </c>
      <c r="P8434">
        <v>0</v>
      </c>
      <c r="Q8434">
        <v>10</v>
      </c>
      <c r="R8434" t="s">
        <v>42679</v>
      </c>
      <c r="S8434" t="s">
        <v>42923</v>
      </c>
      <c r="T8434" t="s">
        <v>44600</v>
      </c>
      <c r="U8434" t="s">
        <v>51704</v>
      </c>
      <c r="W8434" t="s">
        <v>41567</v>
      </c>
      <c r="X8434" t="s">
        <v>42682</v>
      </c>
    </row>
    <row r="8435" spans="1:24">
      <c r="A8435">
        <f>HYPERLINK("https://www.philgeps.gov.ph/GEPSNONPILOT/Tender/SplashBidNoticeAbstractUI.aspx?menuIndex=3&amp;refID=7178419&amp;Result=3","7178419")</f>
        <v>0</v>
      </c>
      <c r="B8435" t="s">
        <v>2011</v>
      </c>
      <c r="C8435" t="s">
        <v>11588</v>
      </c>
      <c r="D8435" t="s">
        <v>17157</v>
      </c>
      <c r="E8435" t="s">
        <v>24505</v>
      </c>
      <c r="F8435" t="s">
        <v>29372</v>
      </c>
      <c r="G8435" t="s">
        <v>29380</v>
      </c>
      <c r="H8435" t="s">
        <v>29389</v>
      </c>
      <c r="I8435" t="s">
        <v>10408</v>
      </c>
      <c r="J8435" t="s">
        <v>34961</v>
      </c>
      <c r="K8435" t="s">
        <v>38485</v>
      </c>
      <c r="M8435" t="s">
        <v>41568</v>
      </c>
      <c r="N8435" t="s">
        <v>42669</v>
      </c>
      <c r="O8435" t="s">
        <v>42670</v>
      </c>
      <c r="P8435">
        <v>0</v>
      </c>
      <c r="Q8435">
        <v>0</v>
      </c>
      <c r="R8435" t="s">
        <v>42679</v>
      </c>
      <c r="S8435" t="s">
        <v>42923</v>
      </c>
      <c r="T8435" t="s">
        <v>44468</v>
      </c>
      <c r="U8435" t="s">
        <v>51705</v>
      </c>
      <c r="V8435" t="s">
        <v>57301</v>
      </c>
      <c r="W8435" t="s">
        <v>41568</v>
      </c>
      <c r="X8435" t="s">
        <v>42682</v>
      </c>
    </row>
    <row r="8436" spans="1:24">
      <c r="A8436">
        <f>HYPERLINK("https://www.philgeps.gov.ph/GEPSNONPILOT/Tender/SplashBidNoticeAbstractUI.aspx?menuIndex=3&amp;refID=7175385&amp;Result=3","7175385")</f>
        <v>0</v>
      </c>
      <c r="B8436" t="s">
        <v>1638</v>
      </c>
      <c r="C8436" t="s">
        <v>11589</v>
      </c>
      <c r="D8436" t="s">
        <v>17213</v>
      </c>
      <c r="E8436" t="s">
        <v>24506</v>
      </c>
      <c r="F8436" t="s">
        <v>29372</v>
      </c>
      <c r="G8436" t="s">
        <v>29380</v>
      </c>
      <c r="H8436" t="s">
        <v>11048</v>
      </c>
      <c r="I8436" t="s">
        <v>10408</v>
      </c>
      <c r="J8436" t="s">
        <v>29721</v>
      </c>
      <c r="K8436" t="s">
        <v>38531</v>
      </c>
      <c r="M8436" t="s">
        <v>40494</v>
      </c>
      <c r="N8436" t="s">
        <v>42669</v>
      </c>
      <c r="O8436" t="s">
        <v>42670</v>
      </c>
      <c r="P8436">
        <v>0</v>
      </c>
      <c r="Q8436">
        <v>0</v>
      </c>
      <c r="R8436" t="s">
        <v>42679</v>
      </c>
      <c r="S8436" t="s">
        <v>42923</v>
      </c>
      <c r="T8436" t="s">
        <v>44488</v>
      </c>
      <c r="U8436" t="s">
        <v>51706</v>
      </c>
      <c r="W8436" t="s">
        <v>58050</v>
      </c>
      <c r="X8436" t="s">
        <v>42683</v>
      </c>
    </row>
    <row r="8437" spans="1:24">
      <c r="A8437">
        <f>HYPERLINK("https://www.philgeps.gov.ph/GEPSNONPILOT/Tender/SplashBidNoticeAbstractUI.aspx?menuIndex=3&amp;refID=7175214&amp;Result=3","7175214")</f>
        <v>0</v>
      </c>
      <c r="B8437" t="s">
        <v>2570</v>
      </c>
      <c r="C8437" t="s">
        <v>11590</v>
      </c>
      <c r="D8437" t="s">
        <v>17175</v>
      </c>
      <c r="E8437" t="s">
        <v>24507</v>
      </c>
      <c r="F8437" t="s">
        <v>29372</v>
      </c>
      <c r="G8437" t="s">
        <v>29380</v>
      </c>
      <c r="H8437" t="s">
        <v>11048</v>
      </c>
      <c r="I8437" t="s">
        <v>14920</v>
      </c>
      <c r="J8437" t="s">
        <v>34962</v>
      </c>
      <c r="K8437" t="s">
        <v>38510</v>
      </c>
      <c r="M8437" t="s">
        <v>41537</v>
      </c>
      <c r="N8437" t="s">
        <v>42669</v>
      </c>
      <c r="O8437" t="s">
        <v>42670</v>
      </c>
      <c r="P8437">
        <v>0</v>
      </c>
      <c r="Q8437">
        <v>1</v>
      </c>
      <c r="R8437" t="s">
        <v>42679</v>
      </c>
      <c r="S8437" t="s">
        <v>42923</v>
      </c>
      <c r="T8437" t="s">
        <v>44580</v>
      </c>
      <c r="U8437" t="s">
        <v>51707</v>
      </c>
      <c r="W8437" t="s">
        <v>58091</v>
      </c>
      <c r="X8437" t="s">
        <v>42683</v>
      </c>
    </row>
    <row r="8438" spans="1:24">
      <c r="A8438">
        <f>HYPERLINK("https://www.philgeps.gov.ph/GEPSNONPILOT/Tender/SplashBidNoticeAbstractUI.aspx?menuIndex=3&amp;refID=7177930&amp;Result=3","7177930")</f>
        <v>0</v>
      </c>
      <c r="B8438" t="s">
        <v>2582</v>
      </c>
      <c r="C8438" t="s">
        <v>11591</v>
      </c>
      <c r="D8438" t="s">
        <v>17196</v>
      </c>
      <c r="E8438" t="s">
        <v>24508</v>
      </c>
      <c r="F8438" t="s">
        <v>29372</v>
      </c>
      <c r="G8438" t="s">
        <v>29380</v>
      </c>
      <c r="H8438" t="s">
        <v>11048</v>
      </c>
      <c r="I8438" t="s">
        <v>29396</v>
      </c>
      <c r="J8438" t="s">
        <v>34963</v>
      </c>
      <c r="K8438" t="s">
        <v>38490</v>
      </c>
      <c r="M8438" t="s">
        <v>41549</v>
      </c>
      <c r="N8438" t="s">
        <v>42669</v>
      </c>
      <c r="O8438" t="s">
        <v>42670</v>
      </c>
      <c r="P8438">
        <v>0</v>
      </c>
      <c r="Q8438">
        <v>1</v>
      </c>
      <c r="R8438" t="s">
        <v>42679</v>
      </c>
      <c r="S8438" t="s">
        <v>42923</v>
      </c>
      <c r="T8438" t="s">
        <v>44474</v>
      </c>
      <c r="U8438" t="s">
        <v>51708</v>
      </c>
      <c r="V8438" t="s">
        <v>57289</v>
      </c>
      <c r="W8438" t="s">
        <v>41549</v>
      </c>
      <c r="X8438" t="s">
        <v>42682</v>
      </c>
    </row>
    <row r="8439" spans="1:24">
      <c r="A8439">
        <f>HYPERLINK("https://www.philgeps.gov.ph/GEPSNONPILOT/Tender/SplashBidNoticeAbstractUI.aspx?menuIndex=3&amp;refID=7175178&amp;Result=3","7175178")</f>
        <v>0</v>
      </c>
      <c r="B8439" t="s">
        <v>2570</v>
      </c>
      <c r="C8439" t="s">
        <v>11592</v>
      </c>
      <c r="D8439" t="s">
        <v>17175</v>
      </c>
      <c r="E8439" t="s">
        <v>24509</v>
      </c>
      <c r="F8439" t="s">
        <v>29372</v>
      </c>
      <c r="G8439" t="s">
        <v>29380</v>
      </c>
      <c r="H8439" t="s">
        <v>11048</v>
      </c>
      <c r="I8439" t="s">
        <v>3629</v>
      </c>
      <c r="J8439" t="s">
        <v>34964</v>
      </c>
      <c r="K8439" t="s">
        <v>38510</v>
      </c>
      <c r="M8439" t="s">
        <v>41537</v>
      </c>
      <c r="N8439" t="s">
        <v>42669</v>
      </c>
      <c r="O8439" t="s">
        <v>42670</v>
      </c>
      <c r="P8439">
        <v>0</v>
      </c>
      <c r="Q8439">
        <v>0</v>
      </c>
      <c r="R8439" t="s">
        <v>42679</v>
      </c>
      <c r="S8439" t="s">
        <v>42923</v>
      </c>
      <c r="T8439" t="s">
        <v>44580</v>
      </c>
      <c r="U8439" t="s">
        <v>51709</v>
      </c>
      <c r="W8439" t="s">
        <v>58091</v>
      </c>
      <c r="X8439" t="s">
        <v>42683</v>
      </c>
    </row>
    <row r="8440" spans="1:24">
      <c r="A8440">
        <f>HYPERLINK("https://www.philgeps.gov.ph/GEPSNONPILOT/Tender/SplashBidNoticeAbstractUI.aspx?menuIndex=3&amp;refID=7177925&amp;Result=3","7177925")</f>
        <v>0</v>
      </c>
      <c r="B8440" t="s">
        <v>589</v>
      </c>
      <c r="C8440" t="s">
        <v>11593</v>
      </c>
      <c r="D8440" t="s">
        <v>17168</v>
      </c>
      <c r="E8440" t="s">
        <v>24510</v>
      </c>
      <c r="F8440" t="s">
        <v>29372</v>
      </c>
      <c r="G8440" t="s">
        <v>29380</v>
      </c>
      <c r="H8440" t="s">
        <v>11048</v>
      </c>
      <c r="I8440" t="s">
        <v>3695</v>
      </c>
      <c r="J8440" t="s">
        <v>29721</v>
      </c>
      <c r="K8440" t="s">
        <v>38538</v>
      </c>
      <c r="M8440" t="s">
        <v>40450</v>
      </c>
      <c r="N8440" t="s">
        <v>42669</v>
      </c>
      <c r="O8440" t="s">
        <v>42670</v>
      </c>
      <c r="P8440">
        <v>0</v>
      </c>
      <c r="Q8440">
        <v>3</v>
      </c>
      <c r="R8440" t="s">
        <v>42679</v>
      </c>
      <c r="S8440" t="s">
        <v>42923</v>
      </c>
      <c r="T8440" t="s">
        <v>44480</v>
      </c>
      <c r="U8440" t="s">
        <v>51710</v>
      </c>
      <c r="V8440" t="s">
        <v>57276</v>
      </c>
      <c r="W8440" t="s">
        <v>40450</v>
      </c>
      <c r="X8440" t="s">
        <v>42682</v>
      </c>
    </row>
    <row r="8441" spans="1:24">
      <c r="A8441">
        <f>HYPERLINK("https://www.philgeps.gov.ph/GEPSNONPILOT/Tender/SplashBidNoticeAbstractUI.aspx?menuIndex=3&amp;refID=7175374&amp;Result=3","7175374")</f>
        <v>0</v>
      </c>
      <c r="B8441" t="s">
        <v>2570</v>
      </c>
      <c r="C8441" t="s">
        <v>11594</v>
      </c>
      <c r="D8441" t="s">
        <v>17175</v>
      </c>
      <c r="E8441" t="s">
        <v>24511</v>
      </c>
      <c r="F8441" t="s">
        <v>29372</v>
      </c>
      <c r="G8441" t="s">
        <v>29380</v>
      </c>
      <c r="H8441" t="s">
        <v>11048</v>
      </c>
      <c r="I8441" t="s">
        <v>4487</v>
      </c>
      <c r="J8441" t="s">
        <v>34965</v>
      </c>
      <c r="K8441" t="s">
        <v>38510</v>
      </c>
      <c r="M8441" t="s">
        <v>41537</v>
      </c>
      <c r="N8441" t="s">
        <v>42669</v>
      </c>
      <c r="O8441" t="s">
        <v>42670</v>
      </c>
      <c r="P8441">
        <v>0</v>
      </c>
      <c r="Q8441">
        <v>2</v>
      </c>
      <c r="R8441" t="s">
        <v>42679</v>
      </c>
      <c r="S8441" t="s">
        <v>42923</v>
      </c>
      <c r="T8441" t="s">
        <v>44580</v>
      </c>
      <c r="U8441" t="s">
        <v>51711</v>
      </c>
      <c r="W8441" t="s">
        <v>58091</v>
      </c>
      <c r="X8441" t="s">
        <v>42683</v>
      </c>
    </row>
    <row r="8442" spans="1:24">
      <c r="A8442">
        <f>HYPERLINK("https://www.philgeps.gov.ph/GEPSNONPILOT/Tender/SplashBidNoticeAbstractUI.aspx?menuIndex=3&amp;refID=7177963&amp;Result=3","7177963")</f>
        <v>0</v>
      </c>
      <c r="B8442" t="s">
        <v>2600</v>
      </c>
      <c r="C8442" t="s">
        <v>11595</v>
      </c>
      <c r="D8442" t="s">
        <v>17153</v>
      </c>
      <c r="E8442" t="s">
        <v>24512</v>
      </c>
      <c r="F8442" t="s">
        <v>29372</v>
      </c>
      <c r="G8442" t="s">
        <v>29380</v>
      </c>
      <c r="H8442" t="s">
        <v>11048</v>
      </c>
      <c r="I8442" t="s">
        <v>4709</v>
      </c>
      <c r="J8442" t="s">
        <v>29555</v>
      </c>
      <c r="K8442" t="s">
        <v>38485</v>
      </c>
      <c r="M8442" t="s">
        <v>41569</v>
      </c>
      <c r="N8442" t="s">
        <v>42669</v>
      </c>
      <c r="O8442" t="s">
        <v>42670</v>
      </c>
      <c r="P8442">
        <v>0</v>
      </c>
      <c r="Q8442">
        <v>0</v>
      </c>
      <c r="R8442" t="s">
        <v>42679</v>
      </c>
      <c r="S8442" t="s">
        <v>42923</v>
      </c>
      <c r="T8442" t="s">
        <v>44454</v>
      </c>
      <c r="U8442" t="s">
        <v>51712</v>
      </c>
      <c r="V8442" t="s">
        <v>57302</v>
      </c>
      <c r="W8442" t="s">
        <v>41569</v>
      </c>
      <c r="X8442" t="s">
        <v>42682</v>
      </c>
    </row>
    <row r="8443" spans="1:24">
      <c r="A8443">
        <f>HYPERLINK("https://www.philgeps.gov.ph/GEPSNONPILOT/Tender/SplashBidNoticeAbstractUI.aspx?menuIndex=3&amp;refID=7177947&amp;Result=3","7177947")</f>
        <v>0</v>
      </c>
      <c r="B8443" t="s">
        <v>2011</v>
      </c>
      <c r="C8443" t="s">
        <v>11596</v>
      </c>
      <c r="D8443" t="s">
        <v>17157</v>
      </c>
      <c r="E8443" t="s">
        <v>24513</v>
      </c>
      <c r="F8443" t="s">
        <v>29372</v>
      </c>
      <c r="G8443" t="s">
        <v>29380</v>
      </c>
      <c r="H8443" t="s">
        <v>29389</v>
      </c>
      <c r="I8443" t="s">
        <v>10408</v>
      </c>
      <c r="J8443" t="s">
        <v>34966</v>
      </c>
      <c r="K8443" t="s">
        <v>38485</v>
      </c>
      <c r="M8443" t="s">
        <v>41568</v>
      </c>
      <c r="N8443" t="s">
        <v>42669</v>
      </c>
      <c r="O8443" t="s">
        <v>42670</v>
      </c>
      <c r="P8443">
        <v>0</v>
      </c>
      <c r="Q8443">
        <v>0</v>
      </c>
      <c r="R8443" t="s">
        <v>42679</v>
      </c>
      <c r="S8443" t="s">
        <v>42923</v>
      </c>
      <c r="T8443" t="s">
        <v>44468</v>
      </c>
      <c r="U8443" t="s">
        <v>51713</v>
      </c>
      <c r="V8443" t="s">
        <v>57301</v>
      </c>
      <c r="W8443" t="s">
        <v>41568</v>
      </c>
      <c r="X8443" t="s">
        <v>42682</v>
      </c>
    </row>
    <row r="8444" spans="1:24">
      <c r="A8444">
        <f>HYPERLINK("https://www.philgeps.gov.ph/GEPSNONPILOT/Tender/SplashBidNoticeAbstractUI.aspx?menuIndex=3&amp;refID=7178259&amp;Result=3","7178259")</f>
        <v>0</v>
      </c>
      <c r="B8444" t="s">
        <v>39</v>
      </c>
      <c r="C8444" t="s">
        <v>11597</v>
      </c>
      <c r="D8444" t="s">
        <v>17152</v>
      </c>
      <c r="E8444" t="s">
        <v>21118</v>
      </c>
      <c r="F8444" t="s">
        <v>29372</v>
      </c>
      <c r="G8444" t="s">
        <v>29380</v>
      </c>
      <c r="H8444" t="s">
        <v>29389</v>
      </c>
      <c r="I8444" t="s">
        <v>10408</v>
      </c>
      <c r="J8444" t="s">
        <v>34967</v>
      </c>
      <c r="K8444" t="s">
        <v>38695</v>
      </c>
      <c r="M8444" t="s">
        <v>38812</v>
      </c>
      <c r="N8444" t="s">
        <v>42669</v>
      </c>
      <c r="O8444" t="s">
        <v>42670</v>
      </c>
      <c r="P8444">
        <v>0</v>
      </c>
      <c r="Q8444">
        <v>0</v>
      </c>
      <c r="R8444" t="s">
        <v>42678</v>
      </c>
      <c r="S8444" t="s">
        <v>42866</v>
      </c>
      <c r="T8444" t="s">
        <v>44446</v>
      </c>
      <c r="U8444" t="s">
        <v>51714</v>
      </c>
      <c r="W8444" t="s">
        <v>38812</v>
      </c>
      <c r="X8444" t="s">
        <v>42682</v>
      </c>
    </row>
    <row r="8445" spans="1:24">
      <c r="A8445">
        <f>HYPERLINK("https://www.philgeps.gov.ph/GEPSNONPILOT/Tender/SplashBidNoticeAbstractUI.aspx?menuIndex=3&amp;refID=7176132&amp;Result=3","7176132")</f>
        <v>0</v>
      </c>
      <c r="B8445" t="s">
        <v>1912</v>
      </c>
      <c r="C8445" t="s">
        <v>11598</v>
      </c>
      <c r="D8445" t="s">
        <v>17194</v>
      </c>
      <c r="E8445" t="s">
        <v>24514</v>
      </c>
      <c r="F8445" t="s">
        <v>29372</v>
      </c>
      <c r="G8445" t="s">
        <v>29380</v>
      </c>
      <c r="H8445" t="s">
        <v>11048</v>
      </c>
      <c r="I8445" t="s">
        <v>29412</v>
      </c>
      <c r="J8445" t="s">
        <v>34968</v>
      </c>
      <c r="K8445" t="s">
        <v>38488</v>
      </c>
      <c r="M8445" t="s">
        <v>40787</v>
      </c>
      <c r="N8445" t="s">
        <v>42669</v>
      </c>
      <c r="O8445" t="s">
        <v>42670</v>
      </c>
      <c r="P8445">
        <v>0</v>
      </c>
      <c r="Q8445">
        <v>1</v>
      </c>
      <c r="R8445" t="s">
        <v>42678</v>
      </c>
      <c r="S8445" t="s">
        <v>42866</v>
      </c>
      <c r="T8445" t="s">
        <v>44491</v>
      </c>
      <c r="U8445" t="s">
        <v>51715</v>
      </c>
      <c r="W8445" t="s">
        <v>40787</v>
      </c>
      <c r="X8445" t="s">
        <v>42683</v>
      </c>
    </row>
    <row r="8446" spans="1:24">
      <c r="A8446">
        <f>HYPERLINK("https://www.philgeps.gov.ph/GEPSNONPILOT/Tender/SplashBidNoticeAbstractUI.aspx?menuIndex=3&amp;refID=7176127&amp;Result=3","7176127")</f>
        <v>0</v>
      </c>
      <c r="B8446" t="s">
        <v>39</v>
      </c>
      <c r="C8446" t="s">
        <v>10271</v>
      </c>
      <c r="D8446" t="s">
        <v>17152</v>
      </c>
      <c r="E8446" t="s">
        <v>24515</v>
      </c>
      <c r="F8446" t="s">
        <v>29372</v>
      </c>
      <c r="G8446" t="s">
        <v>29380</v>
      </c>
      <c r="H8446" t="s">
        <v>11048</v>
      </c>
      <c r="I8446" t="s">
        <v>4709</v>
      </c>
      <c r="J8446" t="s">
        <v>34969</v>
      </c>
      <c r="K8446" t="s">
        <v>38491</v>
      </c>
      <c r="M8446" t="s">
        <v>38812</v>
      </c>
      <c r="N8446" t="s">
        <v>42669</v>
      </c>
      <c r="O8446" t="s">
        <v>42670</v>
      </c>
      <c r="P8446">
        <v>0</v>
      </c>
      <c r="Q8446">
        <v>0</v>
      </c>
      <c r="R8446" t="s">
        <v>42678</v>
      </c>
      <c r="S8446" t="s">
        <v>42866</v>
      </c>
      <c r="T8446" t="s">
        <v>44446</v>
      </c>
      <c r="U8446" t="s">
        <v>51613</v>
      </c>
      <c r="W8446" t="s">
        <v>38812</v>
      </c>
      <c r="X8446" t="s">
        <v>42683</v>
      </c>
    </row>
    <row r="8447" spans="1:24">
      <c r="A8447">
        <f>HYPERLINK("https://www.philgeps.gov.ph/GEPSNONPILOT/Tender/SplashBidNoticeAbstractUI.aspx?menuIndex=3&amp;refID=7176099&amp;Result=3","7176099")</f>
        <v>0</v>
      </c>
      <c r="B8447" t="s">
        <v>1912</v>
      </c>
      <c r="C8447" t="s">
        <v>11599</v>
      </c>
      <c r="D8447" t="s">
        <v>17194</v>
      </c>
      <c r="E8447" t="s">
        <v>24516</v>
      </c>
      <c r="F8447" t="s">
        <v>29372</v>
      </c>
      <c r="G8447" t="s">
        <v>29380</v>
      </c>
      <c r="H8447" t="s">
        <v>11048</v>
      </c>
      <c r="I8447" t="s">
        <v>29407</v>
      </c>
      <c r="J8447" t="s">
        <v>34970</v>
      </c>
      <c r="K8447" t="s">
        <v>38485</v>
      </c>
      <c r="M8447" t="s">
        <v>40787</v>
      </c>
      <c r="N8447" t="s">
        <v>42669</v>
      </c>
      <c r="O8447" t="s">
        <v>42670</v>
      </c>
      <c r="P8447">
        <v>0</v>
      </c>
      <c r="Q8447">
        <v>8</v>
      </c>
      <c r="R8447" t="s">
        <v>42678</v>
      </c>
      <c r="S8447" t="s">
        <v>42866</v>
      </c>
      <c r="T8447" t="s">
        <v>44450</v>
      </c>
      <c r="U8447" t="s">
        <v>51716</v>
      </c>
      <c r="W8447" t="s">
        <v>40787</v>
      </c>
      <c r="X8447" t="s">
        <v>42683</v>
      </c>
    </row>
    <row r="8448" spans="1:24">
      <c r="A8448">
        <f>HYPERLINK("https://www.philgeps.gov.ph/GEPSNONPILOT/Tender/SplashBidNoticeAbstractUI.aspx?menuIndex=3&amp;refID=7175196&amp;Result=3","7175196")</f>
        <v>0</v>
      </c>
      <c r="B8448" t="s">
        <v>2570</v>
      </c>
      <c r="C8448" t="s">
        <v>11600</v>
      </c>
      <c r="D8448" t="s">
        <v>17175</v>
      </c>
      <c r="E8448" t="s">
        <v>24517</v>
      </c>
      <c r="F8448" t="s">
        <v>29372</v>
      </c>
      <c r="G8448" t="s">
        <v>29380</v>
      </c>
      <c r="H8448" t="s">
        <v>11048</v>
      </c>
      <c r="I8448" t="s">
        <v>3860</v>
      </c>
      <c r="J8448" t="s">
        <v>34971</v>
      </c>
      <c r="K8448" t="s">
        <v>38510</v>
      </c>
      <c r="M8448" t="s">
        <v>41537</v>
      </c>
      <c r="N8448" t="s">
        <v>42669</v>
      </c>
      <c r="O8448" t="s">
        <v>42670</v>
      </c>
      <c r="P8448">
        <v>0</v>
      </c>
      <c r="Q8448">
        <v>1</v>
      </c>
      <c r="R8448" t="s">
        <v>42679</v>
      </c>
      <c r="S8448" t="s">
        <v>42923</v>
      </c>
      <c r="T8448" t="s">
        <v>44580</v>
      </c>
      <c r="U8448" t="s">
        <v>51717</v>
      </c>
      <c r="W8448" t="s">
        <v>58091</v>
      </c>
      <c r="X8448" t="s">
        <v>42683</v>
      </c>
    </row>
    <row r="8449" spans="1:24">
      <c r="A8449">
        <f>HYPERLINK("https://www.philgeps.gov.ph/GEPSNONPILOT/Tender/SplashBidNoticeAbstractUI.aspx?menuIndex=3&amp;refID=7177976&amp;Result=3","7177976")</f>
        <v>0</v>
      </c>
      <c r="B8449" t="s">
        <v>72</v>
      </c>
      <c r="C8449" t="s">
        <v>11601</v>
      </c>
      <c r="D8449" t="s">
        <v>17158</v>
      </c>
      <c r="E8449" t="s">
        <v>24518</v>
      </c>
      <c r="F8449" t="s">
        <v>29372</v>
      </c>
      <c r="G8449" t="s">
        <v>29380</v>
      </c>
      <c r="H8449" t="s">
        <v>11048</v>
      </c>
      <c r="I8449" t="s">
        <v>29424</v>
      </c>
      <c r="J8449" t="s">
        <v>34972</v>
      </c>
      <c r="K8449" t="s">
        <v>38496</v>
      </c>
      <c r="M8449" t="s">
        <v>38826</v>
      </c>
      <c r="N8449" t="s">
        <v>42669</v>
      </c>
      <c r="O8449" t="s">
        <v>42670</v>
      </c>
      <c r="P8449">
        <v>0</v>
      </c>
      <c r="Q8449">
        <v>3</v>
      </c>
      <c r="R8449" t="s">
        <v>42678</v>
      </c>
      <c r="S8449" t="s">
        <v>42866</v>
      </c>
      <c r="T8449" t="s">
        <v>44355</v>
      </c>
      <c r="U8449" t="s">
        <v>51718</v>
      </c>
      <c r="W8449" t="s">
        <v>38826</v>
      </c>
      <c r="X8449" t="s">
        <v>42682</v>
      </c>
    </row>
    <row r="8450" spans="1:24">
      <c r="A8450">
        <f>HYPERLINK("https://www.philgeps.gov.ph/GEPSNONPILOT/Tender/SplashBidNoticeAbstractUI.aspx?menuIndex=3&amp;refID=7176158&amp;Result=3","7176158")</f>
        <v>0</v>
      </c>
      <c r="B8450" t="s">
        <v>1912</v>
      </c>
      <c r="C8450" t="s">
        <v>11602</v>
      </c>
      <c r="D8450" t="s">
        <v>17194</v>
      </c>
      <c r="E8450" t="s">
        <v>24519</v>
      </c>
      <c r="F8450" t="s">
        <v>29372</v>
      </c>
      <c r="G8450" t="s">
        <v>29380</v>
      </c>
      <c r="H8450" t="s">
        <v>11048</v>
      </c>
      <c r="I8450" t="s">
        <v>29394</v>
      </c>
      <c r="J8450" t="s">
        <v>29526</v>
      </c>
      <c r="K8450" t="s">
        <v>38485</v>
      </c>
      <c r="M8450" t="s">
        <v>40787</v>
      </c>
      <c r="N8450" t="s">
        <v>42669</v>
      </c>
      <c r="O8450" t="s">
        <v>42670</v>
      </c>
      <c r="P8450">
        <v>0</v>
      </c>
      <c r="Q8450">
        <v>0</v>
      </c>
      <c r="R8450" t="s">
        <v>42678</v>
      </c>
      <c r="S8450" t="s">
        <v>42866</v>
      </c>
      <c r="T8450" t="s">
        <v>44491</v>
      </c>
      <c r="U8450" t="s">
        <v>51719</v>
      </c>
      <c r="W8450" t="s">
        <v>40787</v>
      </c>
      <c r="X8450" t="s">
        <v>42683</v>
      </c>
    </row>
    <row r="8451" spans="1:24">
      <c r="A8451">
        <f>HYPERLINK("https://www.philgeps.gov.ph/GEPSNONPILOT/Tender/SplashBidNoticeAbstractUI.aspx?menuIndex=3&amp;refID=7174521&amp;Result=3","7174521")</f>
        <v>0</v>
      </c>
      <c r="B8451" t="s">
        <v>86</v>
      </c>
      <c r="C8451" t="s">
        <v>11603</v>
      </c>
      <c r="E8451" t="s">
        <v>24520</v>
      </c>
      <c r="F8451" t="s">
        <v>29372</v>
      </c>
      <c r="G8451" t="s">
        <v>29379</v>
      </c>
      <c r="H8451" t="s">
        <v>11048</v>
      </c>
      <c r="I8451" t="s">
        <v>3839</v>
      </c>
      <c r="J8451" t="s">
        <v>32988</v>
      </c>
      <c r="K8451" t="s">
        <v>38518</v>
      </c>
      <c r="M8451" t="s">
        <v>38840</v>
      </c>
      <c r="N8451" t="s">
        <v>42669</v>
      </c>
      <c r="O8451" t="s">
        <v>42670</v>
      </c>
      <c r="P8451">
        <v>0</v>
      </c>
      <c r="Q8451">
        <v>1</v>
      </c>
      <c r="R8451" t="s">
        <v>42678</v>
      </c>
      <c r="S8451" t="s">
        <v>42866</v>
      </c>
      <c r="T8451" t="s">
        <v>44491</v>
      </c>
      <c r="U8451" t="s">
        <v>47803</v>
      </c>
      <c r="W8451" t="s">
        <v>38840</v>
      </c>
      <c r="X8451" t="s">
        <v>42683</v>
      </c>
    </row>
    <row r="8452" spans="1:24">
      <c r="A8452">
        <f>HYPERLINK("https://www.philgeps.gov.ph/GEPSNONPILOT/Tender/SplashBidNoticeAbstractUI.aspx?menuIndex=3&amp;refID=7178100&amp;Result=3","7178100")</f>
        <v>0</v>
      </c>
      <c r="B8452" t="s">
        <v>2297</v>
      </c>
      <c r="C8452" t="s">
        <v>10237</v>
      </c>
      <c r="D8452" t="s">
        <v>17181</v>
      </c>
      <c r="E8452" t="s">
        <v>24521</v>
      </c>
      <c r="F8452" t="s">
        <v>29372</v>
      </c>
      <c r="G8452" t="s">
        <v>29380</v>
      </c>
      <c r="H8452" t="s">
        <v>11048</v>
      </c>
      <c r="I8452" t="s">
        <v>29415</v>
      </c>
      <c r="J8452" t="s">
        <v>33574</v>
      </c>
      <c r="K8452" t="s">
        <v>38490</v>
      </c>
      <c r="M8452" t="s">
        <v>41224</v>
      </c>
      <c r="N8452" t="s">
        <v>42669</v>
      </c>
      <c r="O8452" t="s">
        <v>42670</v>
      </c>
      <c r="P8452">
        <v>0</v>
      </c>
      <c r="Q8452">
        <v>2</v>
      </c>
      <c r="R8452" t="s">
        <v>42678</v>
      </c>
      <c r="S8452" t="s">
        <v>42866</v>
      </c>
      <c r="T8452" t="s">
        <v>44507</v>
      </c>
      <c r="U8452" t="s">
        <v>51720</v>
      </c>
      <c r="V8452" t="s">
        <v>57303</v>
      </c>
      <c r="W8452" t="s">
        <v>41224</v>
      </c>
      <c r="X8452" t="s">
        <v>42682</v>
      </c>
    </row>
    <row r="8453" spans="1:24">
      <c r="A8453">
        <f>HYPERLINK("https://www.philgeps.gov.ph/GEPSNONPILOT/Tender/SplashBidNoticeAbstractUI.aspx?menuIndex=3&amp;refID=7174473&amp;Result=3","7174473")</f>
        <v>0</v>
      </c>
      <c r="B8453" t="s">
        <v>86</v>
      </c>
      <c r="C8453" t="s">
        <v>11604</v>
      </c>
      <c r="E8453" t="s">
        <v>24522</v>
      </c>
      <c r="F8453" t="s">
        <v>29372</v>
      </c>
      <c r="G8453" t="s">
        <v>29379</v>
      </c>
      <c r="H8453" t="s">
        <v>11048</v>
      </c>
      <c r="I8453" t="s">
        <v>29398</v>
      </c>
      <c r="J8453" t="s">
        <v>34973</v>
      </c>
      <c r="K8453" t="s">
        <v>38491</v>
      </c>
      <c r="M8453" t="s">
        <v>38840</v>
      </c>
      <c r="N8453" t="s">
        <v>42669</v>
      </c>
      <c r="O8453" t="s">
        <v>42670</v>
      </c>
      <c r="P8453">
        <v>0</v>
      </c>
      <c r="Q8453">
        <v>1</v>
      </c>
      <c r="R8453" t="s">
        <v>42678</v>
      </c>
      <c r="S8453" t="s">
        <v>42866</v>
      </c>
      <c r="T8453" t="s">
        <v>44491</v>
      </c>
      <c r="U8453" t="s">
        <v>47803</v>
      </c>
      <c r="W8453" t="s">
        <v>38840</v>
      </c>
      <c r="X8453" t="s">
        <v>42683</v>
      </c>
    </row>
    <row r="8454" spans="1:24">
      <c r="A8454">
        <f>HYPERLINK("https://www.philgeps.gov.ph/GEPSNONPILOT/Tender/SplashBidNoticeAbstractUI.aspx?menuIndex=3&amp;refID=7174543&amp;Result=3","7174543")</f>
        <v>0</v>
      </c>
      <c r="B8454" t="s">
        <v>86</v>
      </c>
      <c r="C8454" t="s">
        <v>11605</v>
      </c>
      <c r="E8454" t="s">
        <v>24523</v>
      </c>
      <c r="F8454" t="s">
        <v>29372</v>
      </c>
      <c r="G8454" t="s">
        <v>29379</v>
      </c>
      <c r="H8454" t="s">
        <v>11048</v>
      </c>
      <c r="I8454" t="s">
        <v>4709</v>
      </c>
      <c r="J8454" t="s">
        <v>34974</v>
      </c>
      <c r="K8454" t="s">
        <v>38491</v>
      </c>
      <c r="M8454" t="s">
        <v>38840</v>
      </c>
      <c r="N8454" t="s">
        <v>42669</v>
      </c>
      <c r="O8454" t="s">
        <v>42670</v>
      </c>
      <c r="P8454">
        <v>0</v>
      </c>
      <c r="Q8454">
        <v>2</v>
      </c>
      <c r="R8454" t="s">
        <v>42678</v>
      </c>
      <c r="S8454" t="s">
        <v>42866</v>
      </c>
      <c r="T8454" t="s">
        <v>44491</v>
      </c>
      <c r="U8454" t="s">
        <v>47803</v>
      </c>
      <c r="W8454" t="s">
        <v>38840</v>
      </c>
      <c r="X8454" t="s">
        <v>42683</v>
      </c>
    </row>
    <row r="8455" spans="1:24">
      <c r="A8455">
        <f>HYPERLINK("https://www.philgeps.gov.ph/GEPSNONPILOT/Tender/SplashBidNoticeAbstractUI.aspx?menuIndex=3&amp;refID=7186547&amp;Result=3","7186547")</f>
        <v>0</v>
      </c>
      <c r="B8455" t="s">
        <v>1022</v>
      </c>
      <c r="C8455" t="s">
        <v>11606</v>
      </c>
      <c r="D8455" t="s">
        <v>17141</v>
      </c>
      <c r="E8455" t="s">
        <v>24524</v>
      </c>
      <c r="F8455" t="s">
        <v>29372</v>
      </c>
      <c r="G8455" t="s">
        <v>29380</v>
      </c>
      <c r="H8455" t="s">
        <v>11048</v>
      </c>
      <c r="I8455" t="s">
        <v>14920</v>
      </c>
      <c r="J8455" t="s">
        <v>34975</v>
      </c>
      <c r="K8455" t="s">
        <v>38488</v>
      </c>
      <c r="M8455" t="s">
        <v>39842</v>
      </c>
      <c r="N8455" t="s">
        <v>42669</v>
      </c>
      <c r="O8455" t="s">
        <v>42670</v>
      </c>
      <c r="P8455">
        <v>0</v>
      </c>
      <c r="Q8455">
        <v>0</v>
      </c>
      <c r="R8455" t="s">
        <v>42677</v>
      </c>
      <c r="S8455" t="s">
        <v>42830</v>
      </c>
      <c r="T8455" t="s">
        <v>44387</v>
      </c>
      <c r="U8455" t="s">
        <v>47038</v>
      </c>
      <c r="W8455" t="s">
        <v>39842</v>
      </c>
      <c r="X8455" t="s">
        <v>42678</v>
      </c>
    </row>
    <row r="8456" spans="1:24">
      <c r="A8456">
        <f>HYPERLINK("https://www.philgeps.gov.ph/GEPSNONPILOT/Tender/SplashBidNoticeAbstractUI.aspx?menuIndex=3&amp;refID=7174486&amp;Result=3","7174486")</f>
        <v>0</v>
      </c>
      <c r="B8456" t="s">
        <v>294</v>
      </c>
      <c r="C8456" t="s">
        <v>11607</v>
      </c>
      <c r="D8456" t="s">
        <v>17209</v>
      </c>
      <c r="E8456" t="s">
        <v>24525</v>
      </c>
      <c r="F8456" t="s">
        <v>29372</v>
      </c>
      <c r="G8456" t="s">
        <v>29380</v>
      </c>
      <c r="H8456" t="s">
        <v>11048</v>
      </c>
      <c r="I8456" t="s">
        <v>29412</v>
      </c>
      <c r="J8456" t="s">
        <v>34976</v>
      </c>
      <c r="K8456" t="s">
        <v>38485</v>
      </c>
      <c r="M8456" t="s">
        <v>39053</v>
      </c>
      <c r="N8456" t="s">
        <v>42669</v>
      </c>
      <c r="O8456" t="s">
        <v>42670</v>
      </c>
      <c r="P8456">
        <v>0</v>
      </c>
      <c r="Q8456">
        <v>3</v>
      </c>
      <c r="R8456" t="s">
        <v>42678</v>
      </c>
      <c r="S8456" t="s">
        <v>42866</v>
      </c>
      <c r="T8456" t="s">
        <v>44390</v>
      </c>
      <c r="U8456" t="s">
        <v>51721</v>
      </c>
      <c r="W8456" t="s">
        <v>39053</v>
      </c>
      <c r="X8456" t="s">
        <v>42683</v>
      </c>
    </row>
    <row r="8457" spans="1:24">
      <c r="A8457">
        <f>HYPERLINK("https://www.philgeps.gov.ph/GEPSNONPILOT/Tender/SplashBidNoticeAbstractUI.aspx?menuIndex=3&amp;refID=7176064&amp;Result=3","7176064")</f>
        <v>0</v>
      </c>
      <c r="B8457" t="s">
        <v>39</v>
      </c>
      <c r="C8457" t="s">
        <v>11608</v>
      </c>
      <c r="D8457" t="s">
        <v>17152</v>
      </c>
      <c r="E8457" t="s">
        <v>24526</v>
      </c>
      <c r="F8457" t="s">
        <v>29372</v>
      </c>
      <c r="G8457" t="s">
        <v>29380</v>
      </c>
      <c r="H8457" t="s">
        <v>11048</v>
      </c>
      <c r="I8457" t="s">
        <v>9469</v>
      </c>
      <c r="J8457" t="s">
        <v>34977</v>
      </c>
      <c r="K8457" t="s">
        <v>38485</v>
      </c>
      <c r="M8457" t="s">
        <v>38812</v>
      </c>
      <c r="N8457" t="s">
        <v>42669</v>
      </c>
      <c r="O8457" t="s">
        <v>42670</v>
      </c>
      <c r="P8457">
        <v>0</v>
      </c>
      <c r="Q8457">
        <v>1</v>
      </c>
      <c r="R8457" t="s">
        <v>42678</v>
      </c>
      <c r="S8457" t="s">
        <v>42866</v>
      </c>
      <c r="T8457" t="s">
        <v>44446</v>
      </c>
      <c r="U8457" t="s">
        <v>51613</v>
      </c>
      <c r="W8457" t="s">
        <v>38812</v>
      </c>
      <c r="X8457" t="s">
        <v>42683</v>
      </c>
    </row>
    <row r="8458" spans="1:24">
      <c r="A8458">
        <f>HYPERLINK("https://www.philgeps.gov.ph/GEPSNONPILOT/Tender/SplashBidNoticeAbstractUI.aspx?menuIndex=3&amp;refID=7186548&amp;Result=3","7186548")</f>
        <v>0</v>
      </c>
      <c r="B8458" t="s">
        <v>1192</v>
      </c>
      <c r="C8458" t="s">
        <v>11609</v>
      </c>
      <c r="D8458" t="s">
        <v>17213</v>
      </c>
      <c r="E8458" t="s">
        <v>18032</v>
      </c>
      <c r="F8458" t="s">
        <v>29372</v>
      </c>
      <c r="G8458" t="s">
        <v>29380</v>
      </c>
      <c r="H8458" t="s">
        <v>29389</v>
      </c>
      <c r="I8458" t="s">
        <v>10408</v>
      </c>
      <c r="J8458" t="s">
        <v>34978</v>
      </c>
      <c r="K8458" t="s">
        <v>38592</v>
      </c>
      <c r="M8458" t="s">
        <v>40008</v>
      </c>
      <c r="N8458" t="s">
        <v>42669</v>
      </c>
      <c r="O8458" t="s">
        <v>42670</v>
      </c>
      <c r="P8458">
        <v>0</v>
      </c>
      <c r="Q8458">
        <v>1</v>
      </c>
      <c r="R8458" t="s">
        <v>42677</v>
      </c>
      <c r="S8458" t="s">
        <v>42830</v>
      </c>
      <c r="T8458" t="s">
        <v>44515</v>
      </c>
      <c r="U8458" t="s">
        <v>51722</v>
      </c>
      <c r="W8458" t="s">
        <v>40008</v>
      </c>
      <c r="X8458" t="s">
        <v>42678</v>
      </c>
    </row>
    <row r="8459" spans="1:24">
      <c r="A8459">
        <f>HYPERLINK("https://www.philgeps.gov.ph/GEPSNONPILOT/Tender/SplashBidNoticeAbstractUI.aspx?menuIndex=3&amp;refID=7186543&amp;Result=3","7186543")</f>
        <v>0</v>
      </c>
      <c r="B8459" t="s">
        <v>1022</v>
      </c>
      <c r="C8459" t="s">
        <v>11610</v>
      </c>
      <c r="D8459" t="s">
        <v>17141</v>
      </c>
      <c r="E8459" t="s">
        <v>24527</v>
      </c>
      <c r="F8459" t="s">
        <v>29372</v>
      </c>
      <c r="G8459" t="s">
        <v>29380</v>
      </c>
      <c r="H8459" t="s">
        <v>11048</v>
      </c>
      <c r="I8459" t="s">
        <v>14920</v>
      </c>
      <c r="J8459" t="s">
        <v>34979</v>
      </c>
      <c r="K8459" t="s">
        <v>38488</v>
      </c>
      <c r="M8459" t="s">
        <v>39842</v>
      </c>
      <c r="N8459" t="s">
        <v>42669</v>
      </c>
      <c r="O8459" t="s">
        <v>42670</v>
      </c>
      <c r="P8459">
        <v>0</v>
      </c>
      <c r="Q8459">
        <v>0</v>
      </c>
      <c r="R8459" t="s">
        <v>42677</v>
      </c>
      <c r="S8459" t="s">
        <v>42830</v>
      </c>
      <c r="T8459" t="s">
        <v>44387</v>
      </c>
      <c r="U8459" t="s">
        <v>47038</v>
      </c>
      <c r="W8459" t="s">
        <v>39842</v>
      </c>
      <c r="X8459" t="s">
        <v>42678</v>
      </c>
    </row>
    <row r="8460" spans="1:24">
      <c r="A8460">
        <f>HYPERLINK("https://www.philgeps.gov.ph/GEPSNONPILOT/Tender/SplashBidNoticeAbstractUI.aspx?menuIndex=3&amp;refID=7186580&amp;Result=3","7186580")</f>
        <v>0</v>
      </c>
      <c r="B8460" t="s">
        <v>1839</v>
      </c>
      <c r="C8460" t="s">
        <v>11611</v>
      </c>
      <c r="D8460" t="s">
        <v>17154</v>
      </c>
      <c r="E8460" t="s">
        <v>24528</v>
      </c>
      <c r="F8460" t="s">
        <v>29372</v>
      </c>
      <c r="G8460" t="s">
        <v>29379</v>
      </c>
      <c r="H8460" t="s">
        <v>29390</v>
      </c>
      <c r="I8460" t="s">
        <v>29396</v>
      </c>
      <c r="J8460" t="s">
        <v>34186</v>
      </c>
      <c r="K8460" t="s">
        <v>38584</v>
      </c>
      <c r="M8460" t="s">
        <v>40710</v>
      </c>
      <c r="N8460" t="s">
        <v>42669</v>
      </c>
      <c r="O8460" t="s">
        <v>42670</v>
      </c>
      <c r="P8460">
        <v>0</v>
      </c>
      <c r="Q8460">
        <v>0</v>
      </c>
      <c r="R8460" t="s">
        <v>42677</v>
      </c>
      <c r="S8460" t="s">
        <v>42830</v>
      </c>
      <c r="T8460" t="s">
        <v>44522</v>
      </c>
      <c r="U8460" t="s">
        <v>49084</v>
      </c>
      <c r="V8460" t="s">
        <v>56943</v>
      </c>
      <c r="W8460" t="s">
        <v>40710</v>
      </c>
      <c r="X8460" t="s">
        <v>42678</v>
      </c>
    </row>
    <row r="8461" spans="1:24">
      <c r="A8461">
        <f>HYPERLINK("https://www.philgeps.gov.ph/GEPSNONPILOT/Tender/SplashBidNoticeAbstractUI.aspx?menuIndex=3&amp;refID=7186546&amp;Result=3","7186546")</f>
        <v>0</v>
      </c>
      <c r="B8461" t="s">
        <v>2601</v>
      </c>
      <c r="C8461" t="s">
        <v>11612</v>
      </c>
      <c r="D8461" t="s">
        <v>17143</v>
      </c>
      <c r="E8461" t="s">
        <v>24529</v>
      </c>
      <c r="F8461" t="s">
        <v>29372</v>
      </c>
      <c r="G8461" t="s">
        <v>29380</v>
      </c>
      <c r="H8461" t="s">
        <v>11048</v>
      </c>
      <c r="I8461" t="s">
        <v>3695</v>
      </c>
      <c r="J8461" t="s">
        <v>30811</v>
      </c>
      <c r="K8461" t="s">
        <v>38485</v>
      </c>
      <c r="M8461" t="s">
        <v>41570</v>
      </c>
      <c r="N8461" t="s">
        <v>42669</v>
      </c>
      <c r="O8461" t="s">
        <v>42670</v>
      </c>
      <c r="P8461">
        <v>0</v>
      </c>
      <c r="Q8461">
        <v>6</v>
      </c>
      <c r="R8461" t="s">
        <v>42677</v>
      </c>
      <c r="S8461" t="s">
        <v>42830</v>
      </c>
      <c r="T8461" t="s">
        <v>44403</v>
      </c>
      <c r="U8461" t="s">
        <v>51723</v>
      </c>
      <c r="W8461" t="s">
        <v>41570</v>
      </c>
      <c r="X8461" t="s">
        <v>42678</v>
      </c>
    </row>
    <row r="8462" spans="1:24">
      <c r="A8462">
        <f>HYPERLINK("https://www.philgeps.gov.ph/GEPSNONPILOT/Tender/SplashBidNoticeAbstractUI.aspx?menuIndex=3&amp;refID=7186481&amp;Result=3","7186481")</f>
        <v>0</v>
      </c>
      <c r="B8462" t="s">
        <v>2602</v>
      </c>
      <c r="C8462" t="s">
        <v>11613</v>
      </c>
      <c r="D8462" t="s">
        <v>17166</v>
      </c>
      <c r="E8462" t="s">
        <v>24530</v>
      </c>
      <c r="F8462" t="s">
        <v>29372</v>
      </c>
      <c r="G8462" t="s">
        <v>29380</v>
      </c>
      <c r="H8462" t="s">
        <v>11048</v>
      </c>
      <c r="I8462" t="s">
        <v>5383</v>
      </c>
      <c r="J8462" t="s">
        <v>30297</v>
      </c>
      <c r="K8462" t="s">
        <v>38488</v>
      </c>
      <c r="M8462" t="s">
        <v>41571</v>
      </c>
      <c r="N8462" t="s">
        <v>42669</v>
      </c>
      <c r="O8462" t="s">
        <v>42670</v>
      </c>
      <c r="P8462">
        <v>0</v>
      </c>
      <c r="Q8462">
        <v>4</v>
      </c>
      <c r="R8462" t="s">
        <v>42677</v>
      </c>
      <c r="S8462" t="s">
        <v>42830</v>
      </c>
      <c r="T8462" t="s">
        <v>44399</v>
      </c>
      <c r="U8462" t="s">
        <v>51724</v>
      </c>
      <c r="W8462" t="s">
        <v>41571</v>
      </c>
      <c r="X8462" t="s">
        <v>42678</v>
      </c>
    </row>
    <row r="8463" spans="1:24">
      <c r="A8463">
        <f>HYPERLINK("https://www.philgeps.gov.ph/GEPSNONPILOT/Tender/SplashBidNoticeAbstractUI.aspx?menuIndex=3&amp;refID=7186422&amp;Result=3","7186422")</f>
        <v>0</v>
      </c>
      <c r="B8463" t="s">
        <v>2246</v>
      </c>
      <c r="C8463" t="s">
        <v>11614</v>
      </c>
      <c r="D8463" t="s">
        <v>17166</v>
      </c>
      <c r="E8463" t="s">
        <v>24531</v>
      </c>
      <c r="F8463" t="s">
        <v>29372</v>
      </c>
      <c r="G8463" t="s">
        <v>29383</v>
      </c>
      <c r="H8463" t="s">
        <v>11048</v>
      </c>
      <c r="I8463" t="s">
        <v>4709</v>
      </c>
      <c r="J8463" t="s">
        <v>34980</v>
      </c>
      <c r="K8463" t="s">
        <v>38491</v>
      </c>
      <c r="M8463" t="s">
        <v>41164</v>
      </c>
      <c r="N8463" t="s">
        <v>42669</v>
      </c>
      <c r="O8463" t="s">
        <v>42670</v>
      </c>
      <c r="P8463">
        <v>0</v>
      </c>
      <c r="Q8463">
        <v>0</v>
      </c>
      <c r="R8463" t="s">
        <v>42677</v>
      </c>
      <c r="S8463" t="s">
        <v>42830</v>
      </c>
      <c r="T8463" t="s">
        <v>44430</v>
      </c>
      <c r="U8463" t="s">
        <v>50363</v>
      </c>
      <c r="W8463" t="s">
        <v>58076</v>
      </c>
      <c r="X8463" t="s">
        <v>42678</v>
      </c>
    </row>
    <row r="8464" spans="1:24">
      <c r="A8464">
        <f>HYPERLINK("https://www.philgeps.gov.ph/GEPSNONPILOT/Tender/SplashBidNoticeAbstractUI.aspx?menuIndex=3&amp;refID=7186421&amp;Result=3","7186421")</f>
        <v>0</v>
      </c>
      <c r="B8464" t="s">
        <v>80</v>
      </c>
      <c r="C8464" t="s">
        <v>11615</v>
      </c>
      <c r="D8464" t="s">
        <v>17142</v>
      </c>
      <c r="E8464" t="s">
        <v>22306</v>
      </c>
      <c r="F8464" t="s">
        <v>29372</v>
      </c>
      <c r="G8464" t="s">
        <v>29379</v>
      </c>
      <c r="H8464" t="s">
        <v>11048</v>
      </c>
      <c r="I8464" t="s">
        <v>3670</v>
      </c>
      <c r="J8464" t="s">
        <v>33228</v>
      </c>
      <c r="K8464" t="s">
        <v>38518</v>
      </c>
      <c r="M8464" t="s">
        <v>38834</v>
      </c>
      <c r="N8464" t="s">
        <v>42669</v>
      </c>
      <c r="O8464" t="s">
        <v>42670</v>
      </c>
      <c r="P8464">
        <v>0</v>
      </c>
      <c r="Q8464">
        <v>0</v>
      </c>
      <c r="R8464" t="s">
        <v>42677</v>
      </c>
      <c r="S8464" t="s">
        <v>42830</v>
      </c>
      <c r="T8464" t="s">
        <v>44512</v>
      </c>
      <c r="U8464" t="s">
        <v>51725</v>
      </c>
      <c r="W8464" t="s">
        <v>38834</v>
      </c>
      <c r="X8464" t="s">
        <v>42678</v>
      </c>
    </row>
    <row r="8465" spans="1:24">
      <c r="A8465">
        <f>HYPERLINK("https://www.philgeps.gov.ph/GEPSNONPILOT/Tender/SplashBidNoticeAbstractUI.aspx?menuIndex=3&amp;refID=7186510&amp;Result=3","7186510")</f>
        <v>0</v>
      </c>
      <c r="B8465" t="s">
        <v>1022</v>
      </c>
      <c r="C8465" t="s">
        <v>11616</v>
      </c>
      <c r="D8465" t="s">
        <v>17141</v>
      </c>
      <c r="E8465" t="s">
        <v>24532</v>
      </c>
      <c r="F8465" t="s">
        <v>29372</v>
      </c>
      <c r="G8465" t="s">
        <v>29380</v>
      </c>
      <c r="H8465" t="s">
        <v>11048</v>
      </c>
      <c r="I8465" t="s">
        <v>5383</v>
      </c>
      <c r="J8465" t="s">
        <v>29729</v>
      </c>
      <c r="K8465" t="s">
        <v>38488</v>
      </c>
      <c r="M8465" t="s">
        <v>39822</v>
      </c>
      <c r="N8465" t="s">
        <v>42669</v>
      </c>
      <c r="O8465" t="s">
        <v>42670</v>
      </c>
      <c r="P8465">
        <v>0</v>
      </c>
      <c r="Q8465">
        <v>0</v>
      </c>
      <c r="R8465" t="s">
        <v>42677</v>
      </c>
      <c r="S8465" t="s">
        <v>42830</v>
      </c>
      <c r="T8465" t="s">
        <v>44387</v>
      </c>
      <c r="U8465" t="s">
        <v>46808</v>
      </c>
      <c r="W8465" t="s">
        <v>39822</v>
      </c>
      <c r="X8465" t="s">
        <v>42678</v>
      </c>
    </row>
    <row r="8466" spans="1:24">
      <c r="A8466">
        <f>HYPERLINK("https://www.philgeps.gov.ph/GEPSNONPILOT/Tender/SplashBidNoticeAbstractUI.aspx?menuIndex=3&amp;refID=7186545&amp;Result=3","7186545")</f>
        <v>0</v>
      </c>
      <c r="B8466" t="s">
        <v>2251</v>
      </c>
      <c r="C8466" t="s">
        <v>11617</v>
      </c>
      <c r="D8466" t="s">
        <v>17209</v>
      </c>
      <c r="E8466" t="s">
        <v>19716</v>
      </c>
      <c r="F8466" t="s">
        <v>29372</v>
      </c>
      <c r="G8466" t="s">
        <v>29380</v>
      </c>
      <c r="H8466" t="s">
        <v>11048</v>
      </c>
      <c r="I8466" t="s">
        <v>3839</v>
      </c>
      <c r="J8466" t="s">
        <v>34981</v>
      </c>
      <c r="K8466" t="s">
        <v>38496</v>
      </c>
      <c r="M8466" t="s">
        <v>41172</v>
      </c>
      <c r="N8466" t="s">
        <v>42669</v>
      </c>
      <c r="O8466" t="s">
        <v>42670</v>
      </c>
      <c r="P8466">
        <v>0</v>
      </c>
      <c r="Q8466">
        <v>2</v>
      </c>
      <c r="R8466" t="s">
        <v>42677</v>
      </c>
      <c r="S8466" t="s">
        <v>42830</v>
      </c>
      <c r="T8466" t="s">
        <v>44542</v>
      </c>
      <c r="U8466" t="s">
        <v>50386</v>
      </c>
      <c r="W8466" t="s">
        <v>41172</v>
      </c>
      <c r="X8466" t="s">
        <v>42678</v>
      </c>
    </row>
    <row r="8467" spans="1:24">
      <c r="A8467">
        <f>HYPERLINK("https://www.philgeps.gov.ph/GEPSNONPILOT/Tender/SplashBidNoticeAbstractUI.aspx?menuIndex=3&amp;refID=7185679&amp;Result=3","7185679")</f>
        <v>0</v>
      </c>
      <c r="B8467" t="s">
        <v>1810</v>
      </c>
      <c r="C8467" t="s">
        <v>11618</v>
      </c>
      <c r="D8467" t="s">
        <v>17168</v>
      </c>
      <c r="E8467" t="s">
        <v>24533</v>
      </c>
      <c r="F8467" t="s">
        <v>29372</v>
      </c>
      <c r="G8467" t="s">
        <v>29380</v>
      </c>
      <c r="H8467" t="s">
        <v>11048</v>
      </c>
      <c r="I8467" t="s">
        <v>3629</v>
      </c>
      <c r="J8467" t="s">
        <v>34982</v>
      </c>
      <c r="K8467" t="s">
        <v>38488</v>
      </c>
      <c r="M8467" t="s">
        <v>40681</v>
      </c>
      <c r="N8467" t="s">
        <v>42669</v>
      </c>
      <c r="O8467" t="s">
        <v>42670</v>
      </c>
      <c r="P8467">
        <v>0</v>
      </c>
      <c r="Q8467">
        <v>0</v>
      </c>
      <c r="R8467" t="s">
        <v>42677</v>
      </c>
      <c r="S8467" t="s">
        <v>42830</v>
      </c>
      <c r="T8467" t="s">
        <v>44401</v>
      </c>
      <c r="U8467" t="s">
        <v>51726</v>
      </c>
      <c r="W8467" t="s">
        <v>40681</v>
      </c>
      <c r="X8467" t="s">
        <v>42678</v>
      </c>
    </row>
    <row r="8468" spans="1:24">
      <c r="A8468">
        <f>HYPERLINK("https://www.philgeps.gov.ph/GEPSNONPILOT/Tender/SplashBidNoticeAbstractUI.aspx?menuIndex=3&amp;refID=7185653&amp;Result=3","7185653")</f>
        <v>0</v>
      </c>
      <c r="B8468" t="s">
        <v>2177</v>
      </c>
      <c r="C8468" t="s">
        <v>11619</v>
      </c>
      <c r="D8468" t="s">
        <v>17168</v>
      </c>
      <c r="E8468" t="s">
        <v>24534</v>
      </c>
      <c r="F8468" t="s">
        <v>29372</v>
      </c>
      <c r="G8468" t="s">
        <v>29380</v>
      </c>
      <c r="H8468" t="s">
        <v>29389</v>
      </c>
      <c r="I8468" t="s">
        <v>10408</v>
      </c>
      <c r="J8468" t="s">
        <v>30412</v>
      </c>
      <c r="K8468" t="s">
        <v>38490</v>
      </c>
      <c r="M8468" t="s">
        <v>41090</v>
      </c>
      <c r="N8468" t="s">
        <v>42669</v>
      </c>
      <c r="O8468" t="s">
        <v>42670</v>
      </c>
      <c r="P8468">
        <v>0</v>
      </c>
      <c r="Q8468">
        <v>1</v>
      </c>
      <c r="R8468" t="s">
        <v>42677</v>
      </c>
      <c r="S8468" t="s">
        <v>42830</v>
      </c>
      <c r="T8468" t="s">
        <v>44371</v>
      </c>
      <c r="U8468" t="s">
        <v>51727</v>
      </c>
      <c r="W8468" t="s">
        <v>41090</v>
      </c>
      <c r="X8468" t="s">
        <v>42678</v>
      </c>
    </row>
    <row r="8469" spans="1:24">
      <c r="A8469">
        <f>HYPERLINK("https://www.philgeps.gov.ph/GEPSNONPILOT/Tender/SplashBidNoticeAbstractUI.aspx?menuIndex=3&amp;refID=7176079&amp;Result=3","7176079")</f>
        <v>0</v>
      </c>
      <c r="B8469" t="s">
        <v>1912</v>
      </c>
      <c r="C8469" t="s">
        <v>11620</v>
      </c>
      <c r="D8469" t="s">
        <v>17194</v>
      </c>
      <c r="E8469" t="s">
        <v>24535</v>
      </c>
      <c r="F8469" t="s">
        <v>29372</v>
      </c>
      <c r="G8469" t="s">
        <v>29380</v>
      </c>
      <c r="H8469" t="s">
        <v>11048</v>
      </c>
      <c r="I8469" t="s">
        <v>29432</v>
      </c>
      <c r="J8469" t="s">
        <v>30388</v>
      </c>
      <c r="K8469" t="s">
        <v>38485</v>
      </c>
      <c r="M8469" t="s">
        <v>40787</v>
      </c>
      <c r="N8469" t="s">
        <v>42669</v>
      </c>
      <c r="O8469" t="s">
        <v>42670</v>
      </c>
      <c r="P8469">
        <v>0</v>
      </c>
      <c r="Q8469">
        <v>2</v>
      </c>
      <c r="R8469" t="s">
        <v>42678</v>
      </c>
      <c r="S8469" t="s">
        <v>42866</v>
      </c>
      <c r="T8469" t="s">
        <v>44491</v>
      </c>
      <c r="U8469" t="s">
        <v>51728</v>
      </c>
      <c r="W8469" t="s">
        <v>40787</v>
      </c>
      <c r="X8469" t="s">
        <v>42683</v>
      </c>
    </row>
    <row r="8470" spans="1:24">
      <c r="A8470">
        <f>HYPERLINK("https://www.philgeps.gov.ph/GEPSNONPILOT/Tender/SplashBidNoticeAbstractUI.aspx?menuIndex=3&amp;refID=7185646&amp;Result=3","7185646")</f>
        <v>0</v>
      </c>
      <c r="B8470" t="s">
        <v>1718</v>
      </c>
      <c r="C8470" t="s">
        <v>11621</v>
      </c>
      <c r="D8470" t="s">
        <v>17184</v>
      </c>
      <c r="E8470" t="s">
        <v>21383</v>
      </c>
      <c r="F8470" t="s">
        <v>29372</v>
      </c>
      <c r="G8470" t="s">
        <v>29379</v>
      </c>
      <c r="H8470" t="s">
        <v>11048</v>
      </c>
      <c r="I8470" t="s">
        <v>29420</v>
      </c>
      <c r="J8470" t="s">
        <v>34983</v>
      </c>
      <c r="K8470" t="s">
        <v>38510</v>
      </c>
      <c r="M8470" t="s">
        <v>40581</v>
      </c>
      <c r="N8470" t="s">
        <v>42669</v>
      </c>
      <c r="O8470" t="s">
        <v>42670</v>
      </c>
      <c r="P8470">
        <v>0</v>
      </c>
      <c r="Q8470">
        <v>0</v>
      </c>
      <c r="R8470" t="s">
        <v>42677</v>
      </c>
      <c r="S8470" t="s">
        <v>42830</v>
      </c>
      <c r="T8470" t="s">
        <v>44491</v>
      </c>
      <c r="U8470" t="s">
        <v>51729</v>
      </c>
      <c r="W8470" t="s">
        <v>40581</v>
      </c>
      <c r="X8470" t="s">
        <v>42678</v>
      </c>
    </row>
    <row r="8471" spans="1:24">
      <c r="A8471">
        <f>HYPERLINK("https://www.philgeps.gov.ph/GEPSNONPILOT/Tender/SplashBidNoticeAbstractUI.aspx?menuIndex=3&amp;refID=7185638&amp;Result=3","7185638")</f>
        <v>0</v>
      </c>
      <c r="B8471" t="s">
        <v>2130</v>
      </c>
      <c r="C8471" t="s">
        <v>11622</v>
      </c>
      <c r="D8471" t="s">
        <v>17160</v>
      </c>
      <c r="E8471" t="s">
        <v>24536</v>
      </c>
      <c r="F8471" t="s">
        <v>29372</v>
      </c>
      <c r="G8471" t="s">
        <v>29379</v>
      </c>
      <c r="H8471" t="s">
        <v>11048</v>
      </c>
      <c r="I8471" t="s">
        <v>29450</v>
      </c>
      <c r="J8471" t="s">
        <v>34984</v>
      </c>
      <c r="K8471" t="s">
        <v>38496</v>
      </c>
      <c r="M8471" t="s">
        <v>41035</v>
      </c>
      <c r="N8471" t="s">
        <v>42669</v>
      </c>
      <c r="O8471" t="s">
        <v>42670</v>
      </c>
      <c r="P8471">
        <v>0</v>
      </c>
      <c r="Q8471">
        <v>0</v>
      </c>
      <c r="R8471" t="s">
        <v>42677</v>
      </c>
      <c r="S8471" t="s">
        <v>42830</v>
      </c>
      <c r="T8471" t="s">
        <v>44493</v>
      </c>
      <c r="U8471" t="s">
        <v>51730</v>
      </c>
      <c r="W8471" t="s">
        <v>41035</v>
      </c>
      <c r="X8471" t="s">
        <v>42678</v>
      </c>
    </row>
    <row r="8472" spans="1:24">
      <c r="A8472">
        <f>HYPERLINK("https://www.philgeps.gov.ph/GEPSNONPILOT/Tender/SplashBidNoticeAbstractUI.aspx?menuIndex=3&amp;refID=7185651&amp;Result=3","7185651")</f>
        <v>0</v>
      </c>
      <c r="B8472" t="s">
        <v>2603</v>
      </c>
      <c r="C8472" t="s">
        <v>11623</v>
      </c>
      <c r="D8472" t="s">
        <v>17153</v>
      </c>
      <c r="E8472" t="s">
        <v>17480</v>
      </c>
      <c r="F8472" t="s">
        <v>29372</v>
      </c>
      <c r="G8472" t="s">
        <v>29383</v>
      </c>
      <c r="H8472" t="s">
        <v>11048</v>
      </c>
      <c r="I8472" t="s">
        <v>29412</v>
      </c>
      <c r="J8472" t="s">
        <v>34985</v>
      </c>
      <c r="K8472" t="s">
        <v>38524</v>
      </c>
      <c r="M8472" t="s">
        <v>41572</v>
      </c>
      <c r="N8472" t="s">
        <v>42669</v>
      </c>
      <c r="O8472" t="s">
        <v>42670</v>
      </c>
      <c r="P8472">
        <v>0</v>
      </c>
      <c r="Q8472">
        <v>0</v>
      </c>
      <c r="R8472" t="s">
        <v>42677</v>
      </c>
      <c r="S8472" t="s">
        <v>42830</v>
      </c>
      <c r="T8472" t="s">
        <v>44432</v>
      </c>
      <c r="U8472" t="s">
        <v>51731</v>
      </c>
      <c r="W8472" t="s">
        <v>41572</v>
      </c>
      <c r="X8472" t="s">
        <v>42678</v>
      </c>
    </row>
    <row r="8473" spans="1:24">
      <c r="A8473">
        <f>HYPERLINK("https://www.philgeps.gov.ph/GEPSNONPILOT/Tender/SplashBidNoticeAbstractUI.aspx?menuIndex=3&amp;refID=7185592&amp;Result=3","7185592")</f>
        <v>0</v>
      </c>
      <c r="B8473" t="s">
        <v>2604</v>
      </c>
      <c r="C8473" t="s">
        <v>11624</v>
      </c>
      <c r="D8473" t="s">
        <v>17195</v>
      </c>
      <c r="E8473" t="s">
        <v>24537</v>
      </c>
      <c r="F8473" t="s">
        <v>29372</v>
      </c>
      <c r="G8473" t="s">
        <v>29380</v>
      </c>
      <c r="H8473" t="s">
        <v>29389</v>
      </c>
      <c r="I8473" t="s">
        <v>29453</v>
      </c>
      <c r="J8473" t="s">
        <v>29590</v>
      </c>
      <c r="K8473" t="s">
        <v>38488</v>
      </c>
      <c r="M8473" t="s">
        <v>41573</v>
      </c>
      <c r="N8473" t="s">
        <v>42669</v>
      </c>
      <c r="O8473" t="s">
        <v>42670</v>
      </c>
      <c r="P8473">
        <v>0</v>
      </c>
      <c r="Q8473">
        <v>2</v>
      </c>
      <c r="R8473" t="s">
        <v>42677</v>
      </c>
      <c r="S8473" t="s">
        <v>42830</v>
      </c>
      <c r="T8473" t="s">
        <v>44368</v>
      </c>
      <c r="U8473" t="s">
        <v>51732</v>
      </c>
      <c r="W8473" t="s">
        <v>41573</v>
      </c>
      <c r="X8473" t="s">
        <v>42678</v>
      </c>
    </row>
    <row r="8474" spans="1:24">
      <c r="A8474">
        <f>HYPERLINK("https://www.philgeps.gov.ph/GEPSNONPILOT/Tender/SplashBidNoticeAbstractUI.aspx?menuIndex=3&amp;refID=7186477&amp;Result=3","7186477")</f>
        <v>0</v>
      </c>
      <c r="B8474" t="s">
        <v>2242</v>
      </c>
      <c r="C8474" t="s">
        <v>11625</v>
      </c>
      <c r="D8474" t="s">
        <v>17141</v>
      </c>
      <c r="E8474" t="s">
        <v>24538</v>
      </c>
      <c r="F8474" t="s">
        <v>29372</v>
      </c>
      <c r="G8474" t="s">
        <v>29379</v>
      </c>
      <c r="H8474" t="s">
        <v>11048</v>
      </c>
      <c r="I8474" t="s">
        <v>29411</v>
      </c>
      <c r="J8474" t="s">
        <v>29555</v>
      </c>
      <c r="K8474" t="s">
        <v>38488</v>
      </c>
      <c r="M8474" t="s">
        <v>41160</v>
      </c>
      <c r="N8474" t="s">
        <v>42669</v>
      </c>
      <c r="O8474" t="s">
        <v>42670</v>
      </c>
      <c r="P8474">
        <v>0</v>
      </c>
      <c r="Q8474">
        <v>9</v>
      </c>
      <c r="R8474" t="s">
        <v>42677</v>
      </c>
      <c r="S8474" t="s">
        <v>42830</v>
      </c>
      <c r="T8474" t="s">
        <v>44585</v>
      </c>
      <c r="U8474" t="s">
        <v>51733</v>
      </c>
      <c r="W8474" t="s">
        <v>41160</v>
      </c>
      <c r="X8474" t="s">
        <v>42678</v>
      </c>
    </row>
    <row r="8475" spans="1:24">
      <c r="A8475">
        <f>HYPERLINK("https://www.philgeps.gov.ph/GEPSNONPILOT/Tender/SplashBidNoticeAbstractUI.aspx?menuIndex=3&amp;refID=7185559&amp;Result=3","7185559")</f>
        <v>0</v>
      </c>
      <c r="B8475" t="s">
        <v>1419</v>
      </c>
      <c r="C8475" t="s">
        <v>11626</v>
      </c>
      <c r="D8475" t="s">
        <v>17155</v>
      </c>
      <c r="E8475" t="s">
        <v>24539</v>
      </c>
      <c r="F8475" t="s">
        <v>29372</v>
      </c>
      <c r="G8475" t="s">
        <v>29379</v>
      </c>
      <c r="H8475" t="s">
        <v>11048</v>
      </c>
      <c r="I8475" t="s">
        <v>29404</v>
      </c>
      <c r="J8475" t="s">
        <v>29929</v>
      </c>
      <c r="K8475" t="s">
        <v>38534</v>
      </c>
      <c r="M8475" t="s">
        <v>40258</v>
      </c>
      <c r="N8475" t="s">
        <v>42669</v>
      </c>
      <c r="O8475" t="s">
        <v>42670</v>
      </c>
      <c r="P8475">
        <v>0</v>
      </c>
      <c r="Q8475">
        <v>0</v>
      </c>
      <c r="R8475" t="s">
        <v>42677</v>
      </c>
      <c r="S8475" t="s">
        <v>42830</v>
      </c>
      <c r="T8475" t="s">
        <v>44401</v>
      </c>
      <c r="U8475" t="s">
        <v>51734</v>
      </c>
      <c r="V8475" t="s">
        <v>57304</v>
      </c>
      <c r="W8475" t="s">
        <v>40258</v>
      </c>
      <c r="X8475" t="s">
        <v>42678</v>
      </c>
    </row>
    <row r="8476" spans="1:24">
      <c r="A8476">
        <f>HYPERLINK("https://www.philgeps.gov.ph/GEPSNONPILOT/Tender/SplashBidNoticeAbstractUI.aspx?menuIndex=3&amp;refID=7185557&amp;Result=3","7185557")</f>
        <v>0</v>
      </c>
      <c r="B8476" t="s">
        <v>2605</v>
      </c>
      <c r="C8476" t="s">
        <v>11627</v>
      </c>
      <c r="D8476" t="s">
        <v>17141</v>
      </c>
      <c r="E8476" t="s">
        <v>24540</v>
      </c>
      <c r="F8476" t="s">
        <v>29372</v>
      </c>
      <c r="G8476" t="s">
        <v>29379</v>
      </c>
      <c r="H8476" t="s">
        <v>11048</v>
      </c>
      <c r="I8476" t="s">
        <v>3597</v>
      </c>
      <c r="J8476" t="s">
        <v>34986</v>
      </c>
      <c r="K8476" t="s">
        <v>38488</v>
      </c>
      <c r="M8476" t="s">
        <v>41574</v>
      </c>
      <c r="N8476" t="s">
        <v>42669</v>
      </c>
      <c r="O8476" t="s">
        <v>42670</v>
      </c>
      <c r="P8476">
        <v>0</v>
      </c>
      <c r="Q8476">
        <v>11</v>
      </c>
      <c r="R8476" t="s">
        <v>42677</v>
      </c>
      <c r="S8476" t="s">
        <v>42830</v>
      </c>
      <c r="T8476" t="s">
        <v>44512</v>
      </c>
      <c r="U8476" t="s">
        <v>51735</v>
      </c>
      <c r="W8476" t="s">
        <v>41574</v>
      </c>
      <c r="X8476" t="s">
        <v>42678</v>
      </c>
    </row>
    <row r="8477" spans="1:24">
      <c r="A8477">
        <f>HYPERLINK("https://www.philgeps.gov.ph/GEPSNONPILOT/Tender/SplashBidNoticeAbstractUI.aspx?menuIndex=3&amp;refID=7178390&amp;Result=3","7178390")</f>
        <v>0</v>
      </c>
      <c r="B8477" t="s">
        <v>1466</v>
      </c>
      <c r="C8477" t="s">
        <v>11628</v>
      </c>
      <c r="E8477" t="s">
        <v>24541</v>
      </c>
      <c r="F8477" t="s">
        <v>29372</v>
      </c>
      <c r="G8477" t="s">
        <v>29380</v>
      </c>
      <c r="H8477" t="s">
        <v>11048</v>
      </c>
      <c r="I8477" t="s">
        <v>3695</v>
      </c>
      <c r="J8477" t="s">
        <v>34987</v>
      </c>
      <c r="K8477" t="s">
        <v>38490</v>
      </c>
      <c r="M8477" t="s">
        <v>41524</v>
      </c>
      <c r="N8477" t="s">
        <v>42669</v>
      </c>
      <c r="O8477" t="s">
        <v>42670</v>
      </c>
      <c r="P8477">
        <v>0</v>
      </c>
      <c r="Q8477">
        <v>12</v>
      </c>
      <c r="R8477" t="s">
        <v>42679</v>
      </c>
      <c r="S8477" t="s">
        <v>42923</v>
      </c>
      <c r="T8477" t="s">
        <v>44476</v>
      </c>
      <c r="U8477" t="s">
        <v>51736</v>
      </c>
      <c r="W8477" t="s">
        <v>41524</v>
      </c>
      <c r="X8477" t="s">
        <v>42682</v>
      </c>
    </row>
    <row r="8478" spans="1:24">
      <c r="A8478">
        <f>HYPERLINK("https://www.philgeps.gov.ph/GEPSNONPILOT/Tender/SplashBidNoticeAbstractUI.aspx?menuIndex=3&amp;refID=7185556&amp;Result=3","7185556")</f>
        <v>0</v>
      </c>
      <c r="B8478" t="s">
        <v>738</v>
      </c>
      <c r="C8478" t="s">
        <v>9627</v>
      </c>
      <c r="E8478" t="s">
        <v>24542</v>
      </c>
      <c r="F8478" t="s">
        <v>29372</v>
      </c>
      <c r="G8478" t="s">
        <v>29380</v>
      </c>
      <c r="H8478" t="s">
        <v>11048</v>
      </c>
      <c r="I8478" t="s">
        <v>9469</v>
      </c>
      <c r="J8478" t="s">
        <v>29788</v>
      </c>
      <c r="K8478" t="s">
        <v>38490</v>
      </c>
      <c r="M8478" t="s">
        <v>39519</v>
      </c>
      <c r="N8478" t="s">
        <v>42669</v>
      </c>
      <c r="O8478" t="s">
        <v>42670</v>
      </c>
      <c r="Q8478">
        <v>4</v>
      </c>
      <c r="R8478" t="s">
        <v>42677</v>
      </c>
      <c r="S8478" t="s">
        <v>42931</v>
      </c>
      <c r="T8478" t="s">
        <v>44655</v>
      </c>
      <c r="U8478" t="s">
        <v>50050</v>
      </c>
      <c r="W8478" t="s">
        <v>39519</v>
      </c>
      <c r="X8478" t="s">
        <v>42678</v>
      </c>
    </row>
    <row r="8479" spans="1:24">
      <c r="A8479">
        <f>HYPERLINK("https://www.philgeps.gov.ph/GEPSNONPILOT/Tender/SplashBidNoticeAbstractUI.aspx?menuIndex=3&amp;refID=7186420&amp;Result=3","7186420")</f>
        <v>0</v>
      </c>
      <c r="B8479" t="s">
        <v>589</v>
      </c>
      <c r="C8479" t="s">
        <v>11629</v>
      </c>
      <c r="D8479" t="s">
        <v>17168</v>
      </c>
      <c r="E8479" t="s">
        <v>24543</v>
      </c>
      <c r="F8479" t="s">
        <v>29372</v>
      </c>
      <c r="G8479" t="s">
        <v>29380</v>
      </c>
      <c r="H8479" t="s">
        <v>11048</v>
      </c>
      <c r="I8479" t="s">
        <v>29407</v>
      </c>
      <c r="J8479" t="s">
        <v>32367</v>
      </c>
      <c r="K8479" t="s">
        <v>38538</v>
      </c>
      <c r="M8479" t="s">
        <v>39358</v>
      </c>
      <c r="N8479" t="s">
        <v>42669</v>
      </c>
      <c r="O8479" t="s">
        <v>42670</v>
      </c>
      <c r="P8479">
        <v>0</v>
      </c>
      <c r="Q8479">
        <v>1</v>
      </c>
      <c r="R8479" t="s">
        <v>42677</v>
      </c>
      <c r="S8479" t="s">
        <v>42830</v>
      </c>
      <c r="T8479" t="s">
        <v>44427</v>
      </c>
      <c r="U8479" t="s">
        <v>51737</v>
      </c>
      <c r="V8479" t="s">
        <v>56701</v>
      </c>
      <c r="W8479" t="s">
        <v>39358</v>
      </c>
      <c r="X8479" t="s">
        <v>42678</v>
      </c>
    </row>
    <row r="8480" spans="1:24">
      <c r="A8480">
        <f>HYPERLINK("https://www.philgeps.gov.ph/GEPSNONPILOT/Tender/SplashBidNoticeAbstractUI.aspx?menuIndex=3&amp;refID=7185554&amp;Result=3","7185554")</f>
        <v>0</v>
      </c>
      <c r="B8480" t="s">
        <v>665</v>
      </c>
      <c r="C8480" t="s">
        <v>7642</v>
      </c>
      <c r="D8480" t="s">
        <v>17163</v>
      </c>
      <c r="E8480" t="s">
        <v>24544</v>
      </c>
      <c r="F8480" t="s">
        <v>29372</v>
      </c>
      <c r="G8480" t="s">
        <v>29380</v>
      </c>
      <c r="H8480" t="s">
        <v>11048</v>
      </c>
      <c r="I8480" t="s">
        <v>29425</v>
      </c>
      <c r="J8480" t="s">
        <v>30056</v>
      </c>
      <c r="K8480" t="s">
        <v>38487</v>
      </c>
      <c r="M8480" t="s">
        <v>39441</v>
      </c>
      <c r="N8480" t="s">
        <v>42669</v>
      </c>
      <c r="O8480" t="s">
        <v>42670</v>
      </c>
      <c r="P8480">
        <v>0</v>
      </c>
      <c r="Q8480">
        <v>10</v>
      </c>
      <c r="R8480" t="s">
        <v>42677</v>
      </c>
      <c r="S8480" t="s">
        <v>42830</v>
      </c>
      <c r="T8480" t="s">
        <v>44442</v>
      </c>
      <c r="U8480" t="s">
        <v>51738</v>
      </c>
      <c r="W8480" t="s">
        <v>39441</v>
      </c>
      <c r="X8480" t="s">
        <v>42678</v>
      </c>
    </row>
    <row r="8481" spans="1:24">
      <c r="A8481">
        <f>HYPERLINK("https://www.philgeps.gov.ph/GEPSNONPILOT/Tender/SplashBidNoticeAbstractUI.aspx?menuIndex=3&amp;refID=7178817&amp;Result=3","7178817")</f>
        <v>0</v>
      </c>
      <c r="B8481" t="s">
        <v>2606</v>
      </c>
      <c r="C8481" t="s">
        <v>11630</v>
      </c>
      <c r="D8481" t="s">
        <v>17187</v>
      </c>
      <c r="E8481" t="s">
        <v>24545</v>
      </c>
      <c r="F8481" t="s">
        <v>29372</v>
      </c>
      <c r="G8481" t="s">
        <v>29380</v>
      </c>
      <c r="H8481" t="s">
        <v>11048</v>
      </c>
      <c r="I8481" t="s">
        <v>29447</v>
      </c>
      <c r="J8481" t="s">
        <v>34988</v>
      </c>
      <c r="K8481" t="s">
        <v>38485</v>
      </c>
      <c r="M8481" t="s">
        <v>41575</v>
      </c>
      <c r="N8481" t="s">
        <v>42669</v>
      </c>
      <c r="O8481" t="s">
        <v>42670</v>
      </c>
      <c r="P8481">
        <v>0</v>
      </c>
      <c r="Q8481">
        <v>5</v>
      </c>
      <c r="R8481" t="s">
        <v>42679</v>
      </c>
      <c r="S8481" t="s">
        <v>42923</v>
      </c>
      <c r="T8481" t="s">
        <v>44368</v>
      </c>
      <c r="U8481" t="s">
        <v>51739</v>
      </c>
      <c r="W8481" t="s">
        <v>41575</v>
      </c>
      <c r="X8481" t="s">
        <v>42682</v>
      </c>
    </row>
    <row r="8482" spans="1:24">
      <c r="A8482">
        <f>HYPERLINK("https://www.philgeps.gov.ph/GEPSNONPILOT/Tender/SplashBidNoticeAbstractUI.aspx?menuIndex=3&amp;refID=7185641&amp;Result=3","7185641")</f>
        <v>0</v>
      </c>
      <c r="B8482" t="s">
        <v>2604</v>
      </c>
      <c r="C8482" t="s">
        <v>11631</v>
      </c>
      <c r="D8482" t="s">
        <v>17195</v>
      </c>
      <c r="E8482" t="s">
        <v>24546</v>
      </c>
      <c r="F8482" t="s">
        <v>29372</v>
      </c>
      <c r="G8482" t="s">
        <v>29380</v>
      </c>
      <c r="H8482" t="s">
        <v>29389</v>
      </c>
      <c r="I8482" t="s">
        <v>29453</v>
      </c>
      <c r="J8482" t="s">
        <v>29590</v>
      </c>
      <c r="K8482" t="s">
        <v>38488</v>
      </c>
      <c r="M8482" t="s">
        <v>41573</v>
      </c>
      <c r="N8482" t="s">
        <v>42669</v>
      </c>
      <c r="O8482" t="s">
        <v>42670</v>
      </c>
      <c r="P8482">
        <v>0</v>
      </c>
      <c r="Q8482">
        <v>2</v>
      </c>
      <c r="R8482" t="s">
        <v>42677</v>
      </c>
      <c r="S8482" t="s">
        <v>42830</v>
      </c>
      <c r="T8482" t="s">
        <v>44368</v>
      </c>
      <c r="U8482" t="s">
        <v>51740</v>
      </c>
      <c r="W8482" t="s">
        <v>41573</v>
      </c>
      <c r="X8482" t="s">
        <v>42678</v>
      </c>
    </row>
    <row r="8483" spans="1:24">
      <c r="A8483">
        <f>HYPERLINK("https://www.philgeps.gov.ph/GEPSNONPILOT/Tender/SplashBidNoticeAbstractUI.aspx?menuIndex=3&amp;refID=7179029&amp;Result=3","7179029")</f>
        <v>0</v>
      </c>
      <c r="B8483" t="s">
        <v>1737</v>
      </c>
      <c r="C8483" t="s">
        <v>11632</v>
      </c>
      <c r="D8483" t="s">
        <v>17221</v>
      </c>
      <c r="E8483" t="s">
        <v>24547</v>
      </c>
      <c r="F8483" t="s">
        <v>29372</v>
      </c>
      <c r="G8483" t="s">
        <v>29380</v>
      </c>
      <c r="H8483" t="s">
        <v>29389</v>
      </c>
      <c r="I8483" t="s">
        <v>29429</v>
      </c>
      <c r="J8483" t="s">
        <v>34989</v>
      </c>
      <c r="K8483" t="s">
        <v>38530</v>
      </c>
      <c r="M8483" t="s">
        <v>40602</v>
      </c>
      <c r="N8483" t="s">
        <v>42669</v>
      </c>
      <c r="O8483" t="s">
        <v>42670</v>
      </c>
      <c r="P8483">
        <v>0</v>
      </c>
      <c r="Q8483">
        <v>0</v>
      </c>
      <c r="R8483" t="s">
        <v>42679</v>
      </c>
      <c r="S8483" t="s">
        <v>42923</v>
      </c>
      <c r="T8483" t="s">
        <v>44481</v>
      </c>
      <c r="U8483" t="s">
        <v>48632</v>
      </c>
      <c r="W8483" t="s">
        <v>40602</v>
      </c>
      <c r="X8483" t="s">
        <v>42682</v>
      </c>
    </row>
    <row r="8484" spans="1:24">
      <c r="A8484">
        <f>HYPERLINK("https://www.philgeps.gov.ph/GEPSNONPILOT/Tender/SplashBidNoticeAbstractUI.aspx?menuIndex=3&amp;refID=7185635&amp;Result=3","7185635")</f>
        <v>0</v>
      </c>
      <c r="B8484" t="s">
        <v>2181</v>
      </c>
      <c r="C8484" t="s">
        <v>11633</v>
      </c>
      <c r="E8484" t="s">
        <v>24548</v>
      </c>
      <c r="F8484" t="s">
        <v>29372</v>
      </c>
      <c r="G8484" t="s">
        <v>29379</v>
      </c>
      <c r="H8484" t="s">
        <v>11048</v>
      </c>
      <c r="I8484" t="s">
        <v>3952</v>
      </c>
      <c r="J8484" t="s">
        <v>34990</v>
      </c>
      <c r="K8484" t="s">
        <v>38491</v>
      </c>
      <c r="M8484" t="s">
        <v>41095</v>
      </c>
      <c r="N8484" t="s">
        <v>42669</v>
      </c>
      <c r="O8484" t="s">
        <v>42670</v>
      </c>
      <c r="P8484">
        <v>0</v>
      </c>
      <c r="Q8484">
        <v>1</v>
      </c>
      <c r="R8484" t="s">
        <v>42677</v>
      </c>
      <c r="S8484" t="s">
        <v>42830</v>
      </c>
      <c r="T8484" t="s">
        <v>44629</v>
      </c>
      <c r="U8484" t="s">
        <v>51741</v>
      </c>
      <c r="V8484" t="s">
        <v>57104</v>
      </c>
      <c r="W8484" t="s">
        <v>41095</v>
      </c>
      <c r="X8484" t="s">
        <v>42678</v>
      </c>
    </row>
    <row r="8485" spans="1:24">
      <c r="A8485">
        <f>HYPERLINK("https://www.philgeps.gov.ph/GEPSNONPILOT/Tender/SplashBidNoticeAbstractUI.aspx?menuIndex=3&amp;refID=7185648&amp;Result=3","7185648")</f>
        <v>0</v>
      </c>
      <c r="B8485" t="s">
        <v>2173</v>
      </c>
      <c r="C8485" t="s">
        <v>11634</v>
      </c>
      <c r="D8485" t="s">
        <v>17153</v>
      </c>
      <c r="E8485" t="s">
        <v>24549</v>
      </c>
      <c r="F8485" t="s">
        <v>29372</v>
      </c>
      <c r="G8485" t="s">
        <v>29379</v>
      </c>
      <c r="H8485" t="s">
        <v>11048</v>
      </c>
      <c r="I8485" t="s">
        <v>29392</v>
      </c>
      <c r="J8485" t="s">
        <v>31159</v>
      </c>
      <c r="K8485" t="s">
        <v>38490</v>
      </c>
      <c r="M8485" t="s">
        <v>41084</v>
      </c>
      <c r="N8485" t="s">
        <v>42669</v>
      </c>
      <c r="O8485" t="s">
        <v>42670</v>
      </c>
      <c r="P8485">
        <v>0</v>
      </c>
      <c r="Q8485">
        <v>1</v>
      </c>
      <c r="R8485" t="s">
        <v>42677</v>
      </c>
      <c r="S8485" t="s">
        <v>42830</v>
      </c>
      <c r="T8485" t="s">
        <v>44491</v>
      </c>
      <c r="U8485" t="s">
        <v>51742</v>
      </c>
      <c r="W8485" t="s">
        <v>41084</v>
      </c>
      <c r="X8485" t="s">
        <v>42678</v>
      </c>
    </row>
    <row r="8486" spans="1:24">
      <c r="A8486">
        <f>HYPERLINK("https://www.philgeps.gov.ph/GEPSNONPILOT/Tender/SplashBidNoticeAbstractUI.aspx?menuIndex=3&amp;refID=7179006&amp;Result=3","7179006")</f>
        <v>0</v>
      </c>
      <c r="B8486" t="s">
        <v>2607</v>
      </c>
      <c r="C8486" t="s">
        <v>11635</v>
      </c>
      <c r="D8486" t="s">
        <v>17179</v>
      </c>
      <c r="E8486" t="s">
        <v>17347</v>
      </c>
      <c r="F8486" t="s">
        <v>29372</v>
      </c>
      <c r="G8486" t="s">
        <v>29380</v>
      </c>
      <c r="H8486" t="s">
        <v>11048</v>
      </c>
      <c r="I8486" t="s">
        <v>4709</v>
      </c>
      <c r="J8486" t="s">
        <v>34991</v>
      </c>
      <c r="K8486" t="s">
        <v>38485</v>
      </c>
      <c r="M8486" t="s">
        <v>41576</v>
      </c>
      <c r="N8486" t="s">
        <v>42669</v>
      </c>
      <c r="O8486" t="s">
        <v>42670</v>
      </c>
      <c r="P8486">
        <v>0</v>
      </c>
      <c r="Q8486">
        <v>0</v>
      </c>
      <c r="R8486" t="s">
        <v>42679</v>
      </c>
      <c r="S8486" t="s">
        <v>42923</v>
      </c>
      <c r="T8486" t="s">
        <v>44481</v>
      </c>
      <c r="U8486" t="s">
        <v>51743</v>
      </c>
      <c r="W8486" t="s">
        <v>41576</v>
      </c>
      <c r="X8486" t="s">
        <v>42682</v>
      </c>
    </row>
    <row r="8487" spans="1:24">
      <c r="A8487">
        <f>HYPERLINK("https://www.philgeps.gov.ph/GEPSNONPILOT/Tender/SplashBidNoticeAbstractUI.aspx?menuIndex=3&amp;refID=7178991&amp;Result=3","7178991")</f>
        <v>0</v>
      </c>
      <c r="B8487" t="s">
        <v>2608</v>
      </c>
      <c r="C8487" t="s">
        <v>11636</v>
      </c>
      <c r="D8487" t="s">
        <v>17192</v>
      </c>
      <c r="E8487" t="s">
        <v>24550</v>
      </c>
      <c r="F8487" t="s">
        <v>29372</v>
      </c>
      <c r="G8487" t="s">
        <v>29380</v>
      </c>
      <c r="H8487" t="s">
        <v>29389</v>
      </c>
      <c r="I8487" t="s">
        <v>10408</v>
      </c>
      <c r="J8487" t="s">
        <v>29724</v>
      </c>
      <c r="K8487" t="s">
        <v>38657</v>
      </c>
      <c r="M8487" t="s">
        <v>41577</v>
      </c>
      <c r="N8487" t="s">
        <v>42669</v>
      </c>
      <c r="O8487" t="s">
        <v>42670</v>
      </c>
      <c r="P8487">
        <v>0</v>
      </c>
      <c r="Q8487">
        <v>1</v>
      </c>
      <c r="R8487" t="s">
        <v>42679</v>
      </c>
      <c r="S8487" t="s">
        <v>42923</v>
      </c>
      <c r="T8487" t="s">
        <v>44761</v>
      </c>
      <c r="U8487" t="s">
        <v>51744</v>
      </c>
      <c r="W8487" t="s">
        <v>41577</v>
      </c>
      <c r="X8487" t="s">
        <v>42682</v>
      </c>
    </row>
    <row r="8488" spans="1:24">
      <c r="A8488">
        <f>HYPERLINK("https://www.philgeps.gov.ph/GEPSNONPILOT/Tender/SplashBidNoticeAbstractUI.aspx?menuIndex=3&amp;refID=7185555&amp;Result=3","7185555")</f>
        <v>0</v>
      </c>
      <c r="B8488" t="s">
        <v>2609</v>
      </c>
      <c r="C8488" t="s">
        <v>11637</v>
      </c>
      <c r="D8488" t="s">
        <v>17173</v>
      </c>
      <c r="E8488" t="s">
        <v>24551</v>
      </c>
      <c r="F8488" t="s">
        <v>29372</v>
      </c>
      <c r="G8488" t="s">
        <v>29383</v>
      </c>
      <c r="H8488" t="s">
        <v>11048</v>
      </c>
      <c r="I8488" t="s">
        <v>29409</v>
      </c>
      <c r="J8488" t="s">
        <v>29529</v>
      </c>
      <c r="K8488" t="s">
        <v>38488</v>
      </c>
      <c r="L8488" t="s">
        <v>2609</v>
      </c>
      <c r="M8488" t="s">
        <v>41578</v>
      </c>
      <c r="N8488" t="s">
        <v>42669</v>
      </c>
      <c r="O8488" t="s">
        <v>42670</v>
      </c>
      <c r="P8488">
        <v>0</v>
      </c>
      <c r="Q8488">
        <v>2</v>
      </c>
      <c r="R8488" t="s">
        <v>42677</v>
      </c>
      <c r="S8488" t="s">
        <v>42830</v>
      </c>
      <c r="T8488" t="s">
        <v>44429</v>
      </c>
      <c r="U8488" t="s">
        <v>51745</v>
      </c>
      <c r="V8488" t="s">
        <v>57305</v>
      </c>
      <c r="W8488" t="s">
        <v>41578</v>
      </c>
      <c r="X8488" t="s">
        <v>42678</v>
      </c>
    </row>
    <row r="8489" spans="1:24">
      <c r="A8489">
        <f>HYPERLINK("https://www.philgeps.gov.ph/GEPSNONPILOT/Tender/SplashBidNoticeAbstractUI.aspx?menuIndex=3&amp;refID=7178990&amp;Result=3","7178990")</f>
        <v>0</v>
      </c>
      <c r="B8489" t="s">
        <v>589</v>
      </c>
      <c r="C8489" t="s">
        <v>11638</v>
      </c>
      <c r="D8489" t="s">
        <v>17168</v>
      </c>
      <c r="E8489" t="s">
        <v>24552</v>
      </c>
      <c r="F8489" t="s">
        <v>29372</v>
      </c>
      <c r="G8489" t="s">
        <v>29380</v>
      </c>
      <c r="H8489" t="s">
        <v>11048</v>
      </c>
      <c r="I8489" t="s">
        <v>3629</v>
      </c>
      <c r="J8489" t="s">
        <v>33387</v>
      </c>
      <c r="K8489" t="s">
        <v>38518</v>
      </c>
      <c r="M8489" t="s">
        <v>40153</v>
      </c>
      <c r="N8489" t="s">
        <v>42669</v>
      </c>
      <c r="O8489" t="s">
        <v>42670</v>
      </c>
      <c r="P8489">
        <v>0</v>
      </c>
      <c r="Q8489">
        <v>2</v>
      </c>
      <c r="R8489" t="s">
        <v>42679</v>
      </c>
      <c r="S8489" t="s">
        <v>42923</v>
      </c>
      <c r="T8489" t="s">
        <v>44539</v>
      </c>
      <c r="U8489" t="s">
        <v>51746</v>
      </c>
      <c r="V8489" t="s">
        <v>56460</v>
      </c>
      <c r="W8489" t="s">
        <v>40153</v>
      </c>
      <c r="X8489" t="s">
        <v>42682</v>
      </c>
    </row>
    <row r="8490" spans="1:24">
      <c r="A8490">
        <f>HYPERLINK("https://www.philgeps.gov.ph/GEPSNONPILOT/Tender/SplashBidNoticeAbstractUI.aspx?menuIndex=3&amp;refID=7179025&amp;Result=3","7179025")</f>
        <v>0</v>
      </c>
      <c r="B8490" t="s">
        <v>1996</v>
      </c>
      <c r="C8490" t="s">
        <v>11639</v>
      </c>
      <c r="D8490" t="s">
        <v>17164</v>
      </c>
      <c r="E8490" t="s">
        <v>24553</v>
      </c>
      <c r="F8490" t="s">
        <v>29372</v>
      </c>
      <c r="G8490" t="s">
        <v>29380</v>
      </c>
      <c r="H8490" t="s">
        <v>11048</v>
      </c>
      <c r="I8490" t="s">
        <v>3839</v>
      </c>
      <c r="J8490" t="s">
        <v>34992</v>
      </c>
      <c r="K8490" t="s">
        <v>38488</v>
      </c>
      <c r="M8490" t="s">
        <v>41579</v>
      </c>
      <c r="N8490" t="s">
        <v>42669</v>
      </c>
      <c r="O8490" t="s">
        <v>42670</v>
      </c>
      <c r="P8490">
        <v>0</v>
      </c>
      <c r="Q8490">
        <v>8</v>
      </c>
      <c r="R8490" t="s">
        <v>42679</v>
      </c>
      <c r="S8490" t="s">
        <v>42923</v>
      </c>
      <c r="T8490" t="s">
        <v>44664</v>
      </c>
      <c r="U8490" t="s">
        <v>51747</v>
      </c>
      <c r="W8490" t="s">
        <v>41579</v>
      </c>
      <c r="X8490" t="s">
        <v>42682</v>
      </c>
    </row>
    <row r="8491" spans="1:24">
      <c r="A8491">
        <f>HYPERLINK("https://www.philgeps.gov.ph/GEPSNONPILOT/Tender/SplashBidNoticeAbstractUI.aspx?menuIndex=3&amp;refID=7178980&amp;Result=3","7178980")</f>
        <v>0</v>
      </c>
      <c r="B8491" t="s">
        <v>589</v>
      </c>
      <c r="C8491" t="s">
        <v>11640</v>
      </c>
      <c r="D8491" t="s">
        <v>17168</v>
      </c>
      <c r="E8491" t="s">
        <v>24554</v>
      </c>
      <c r="F8491" t="s">
        <v>29372</v>
      </c>
      <c r="G8491" t="s">
        <v>29380</v>
      </c>
      <c r="H8491" t="s">
        <v>11048</v>
      </c>
      <c r="I8491" t="s">
        <v>3839</v>
      </c>
      <c r="J8491" t="s">
        <v>30710</v>
      </c>
      <c r="K8491" t="s">
        <v>38491</v>
      </c>
      <c r="M8491" t="s">
        <v>39485</v>
      </c>
      <c r="N8491" t="s">
        <v>42669</v>
      </c>
      <c r="O8491" t="s">
        <v>42670</v>
      </c>
      <c r="P8491">
        <v>0</v>
      </c>
      <c r="Q8491">
        <v>0</v>
      </c>
      <c r="R8491" t="s">
        <v>42679</v>
      </c>
      <c r="S8491" t="s">
        <v>42923</v>
      </c>
      <c r="T8491" t="s">
        <v>44539</v>
      </c>
      <c r="U8491" t="s">
        <v>51748</v>
      </c>
      <c r="V8491" t="s">
        <v>56701</v>
      </c>
      <c r="W8491" t="s">
        <v>39485</v>
      </c>
      <c r="X8491" t="s">
        <v>42682</v>
      </c>
    </row>
    <row r="8492" spans="1:24">
      <c r="A8492">
        <f>HYPERLINK("https://www.philgeps.gov.ph/GEPSNONPILOT/Tender/SplashBidNoticeAbstractUI.aspx?menuIndex=3&amp;refID=7178945&amp;Result=3","7178945")</f>
        <v>0</v>
      </c>
      <c r="B8492" t="s">
        <v>2606</v>
      </c>
      <c r="C8492" t="s">
        <v>11641</v>
      </c>
      <c r="D8492" t="s">
        <v>17187</v>
      </c>
      <c r="E8492" t="s">
        <v>24555</v>
      </c>
      <c r="F8492" t="s">
        <v>29372</v>
      </c>
      <c r="G8492" t="s">
        <v>29380</v>
      </c>
      <c r="H8492" t="s">
        <v>11048</v>
      </c>
      <c r="I8492" t="s">
        <v>29461</v>
      </c>
      <c r="J8492" t="s">
        <v>29549</v>
      </c>
      <c r="K8492" t="s">
        <v>38515</v>
      </c>
      <c r="M8492" t="s">
        <v>41575</v>
      </c>
      <c r="N8492" t="s">
        <v>42669</v>
      </c>
      <c r="O8492" t="s">
        <v>42670</v>
      </c>
      <c r="P8492">
        <v>0</v>
      </c>
      <c r="Q8492">
        <v>5</v>
      </c>
      <c r="R8492" t="s">
        <v>42679</v>
      </c>
      <c r="S8492" t="s">
        <v>42923</v>
      </c>
      <c r="T8492" t="s">
        <v>44365</v>
      </c>
      <c r="U8492" t="s">
        <v>51749</v>
      </c>
      <c r="W8492" t="s">
        <v>41575</v>
      </c>
      <c r="X8492" t="s">
        <v>42682</v>
      </c>
    </row>
    <row r="8493" spans="1:24">
      <c r="A8493">
        <f>HYPERLINK("https://www.philgeps.gov.ph/GEPSNONPILOT/Tender/SplashBidNoticeAbstractUI.aspx?menuIndex=3&amp;refID=7178916&amp;Result=3","7178916")</f>
        <v>0</v>
      </c>
      <c r="B8493" t="s">
        <v>2608</v>
      </c>
      <c r="C8493" t="s">
        <v>11642</v>
      </c>
      <c r="D8493" t="s">
        <v>17192</v>
      </c>
      <c r="E8493" t="s">
        <v>24556</v>
      </c>
      <c r="F8493" t="s">
        <v>29372</v>
      </c>
      <c r="G8493" t="s">
        <v>29380</v>
      </c>
      <c r="H8493" t="s">
        <v>29389</v>
      </c>
      <c r="I8493" t="s">
        <v>10408</v>
      </c>
      <c r="J8493" t="s">
        <v>30161</v>
      </c>
      <c r="K8493" t="s">
        <v>38631</v>
      </c>
      <c r="M8493" t="s">
        <v>41577</v>
      </c>
      <c r="N8493" t="s">
        <v>42669</v>
      </c>
      <c r="O8493" t="s">
        <v>42670</v>
      </c>
      <c r="P8493">
        <v>0</v>
      </c>
      <c r="Q8493">
        <v>1</v>
      </c>
      <c r="R8493" t="s">
        <v>42679</v>
      </c>
      <c r="S8493" t="s">
        <v>42923</v>
      </c>
      <c r="T8493" t="s">
        <v>44761</v>
      </c>
      <c r="U8493" t="s">
        <v>51744</v>
      </c>
      <c r="W8493" t="s">
        <v>41577</v>
      </c>
      <c r="X8493" t="s">
        <v>42682</v>
      </c>
    </row>
    <row r="8494" spans="1:24">
      <c r="A8494">
        <f>HYPERLINK("https://www.philgeps.gov.ph/GEPSNONPILOT/Tender/SplashBidNoticeAbstractUI.aspx?menuIndex=3&amp;refID=7178904&amp;Result=3","7178904")</f>
        <v>0</v>
      </c>
      <c r="B8494" t="s">
        <v>589</v>
      </c>
      <c r="C8494" t="s">
        <v>11643</v>
      </c>
      <c r="D8494" t="s">
        <v>17168</v>
      </c>
      <c r="E8494" t="s">
        <v>24557</v>
      </c>
      <c r="F8494" t="s">
        <v>29372</v>
      </c>
      <c r="G8494" t="s">
        <v>29380</v>
      </c>
      <c r="H8494" t="s">
        <v>11048</v>
      </c>
      <c r="I8494" t="s">
        <v>3629</v>
      </c>
      <c r="J8494" t="s">
        <v>34993</v>
      </c>
      <c r="K8494" t="s">
        <v>38538</v>
      </c>
      <c r="M8494" t="s">
        <v>40153</v>
      </c>
      <c r="N8494" t="s">
        <v>42669</v>
      </c>
      <c r="O8494" t="s">
        <v>42670</v>
      </c>
      <c r="P8494">
        <v>0</v>
      </c>
      <c r="Q8494">
        <v>0</v>
      </c>
      <c r="R8494" t="s">
        <v>42679</v>
      </c>
      <c r="S8494" t="s">
        <v>42923</v>
      </c>
      <c r="T8494" t="s">
        <v>44427</v>
      </c>
      <c r="U8494" t="s">
        <v>51750</v>
      </c>
      <c r="V8494" t="s">
        <v>56460</v>
      </c>
      <c r="W8494" t="s">
        <v>40153</v>
      </c>
      <c r="X8494" t="s">
        <v>42682</v>
      </c>
    </row>
    <row r="8495" spans="1:24">
      <c r="A8495">
        <f>HYPERLINK("https://www.philgeps.gov.ph/GEPSNONPILOT/Tender/SplashBidNoticeAbstractUI.aspx?menuIndex=3&amp;refID=7186479&amp;Result=3","7186479")</f>
        <v>0</v>
      </c>
      <c r="B8495" t="s">
        <v>2000</v>
      </c>
      <c r="C8495" t="s">
        <v>11644</v>
      </c>
      <c r="D8495" t="s">
        <v>17168</v>
      </c>
      <c r="E8495" t="s">
        <v>24558</v>
      </c>
      <c r="F8495" t="s">
        <v>29372</v>
      </c>
      <c r="G8495" t="s">
        <v>29383</v>
      </c>
      <c r="H8495" t="s">
        <v>11048</v>
      </c>
      <c r="I8495" t="s">
        <v>3629</v>
      </c>
      <c r="J8495" t="s">
        <v>34994</v>
      </c>
      <c r="K8495" t="s">
        <v>38518</v>
      </c>
      <c r="M8495" t="s">
        <v>40890</v>
      </c>
      <c r="N8495" t="s">
        <v>42669</v>
      </c>
      <c r="O8495" t="s">
        <v>42670</v>
      </c>
      <c r="P8495">
        <v>0</v>
      </c>
      <c r="Q8495">
        <v>0</v>
      </c>
      <c r="R8495" t="s">
        <v>42677</v>
      </c>
      <c r="S8495" t="s">
        <v>42830</v>
      </c>
      <c r="T8495" t="s">
        <v>44401</v>
      </c>
      <c r="U8495" t="s">
        <v>49632</v>
      </c>
      <c r="V8495" t="s">
        <v>57306</v>
      </c>
      <c r="W8495" t="s">
        <v>40890</v>
      </c>
      <c r="X8495" t="s">
        <v>42678</v>
      </c>
    </row>
    <row r="8496" spans="1:24">
      <c r="A8496">
        <f>HYPERLINK("https://www.philgeps.gov.ph/GEPSNONPILOT/Tender/SplashBidNoticeAbstractUI.aspx?menuIndex=3&amp;refID=7178881&amp;Result=3","7178881")</f>
        <v>0</v>
      </c>
      <c r="B8496" t="s">
        <v>2606</v>
      </c>
      <c r="C8496" t="s">
        <v>11645</v>
      </c>
      <c r="D8496" t="s">
        <v>17187</v>
      </c>
      <c r="E8496" t="s">
        <v>24559</v>
      </c>
      <c r="F8496" t="s">
        <v>29372</v>
      </c>
      <c r="G8496" t="s">
        <v>29380</v>
      </c>
      <c r="H8496" t="s">
        <v>11048</v>
      </c>
      <c r="I8496" t="s">
        <v>3670</v>
      </c>
      <c r="J8496" t="s">
        <v>29540</v>
      </c>
      <c r="K8496" t="s">
        <v>38485</v>
      </c>
      <c r="M8496" t="s">
        <v>41575</v>
      </c>
      <c r="N8496" t="s">
        <v>42669</v>
      </c>
      <c r="O8496" t="s">
        <v>42670</v>
      </c>
      <c r="P8496">
        <v>0</v>
      </c>
      <c r="Q8496">
        <v>6</v>
      </c>
      <c r="R8496" t="s">
        <v>42679</v>
      </c>
      <c r="S8496" t="s">
        <v>42923</v>
      </c>
      <c r="T8496" t="s">
        <v>44368</v>
      </c>
      <c r="U8496" t="s">
        <v>51751</v>
      </c>
      <c r="W8496" t="s">
        <v>41575</v>
      </c>
      <c r="X8496" t="s">
        <v>42682</v>
      </c>
    </row>
    <row r="8497" spans="1:24">
      <c r="A8497">
        <f>HYPERLINK("https://www.philgeps.gov.ph/GEPSNONPILOT/Tender/SplashBidNoticeAbstractUI.aspx?menuIndex=3&amp;refID=7178966&amp;Result=3","7178966")</f>
        <v>0</v>
      </c>
      <c r="B8497" t="s">
        <v>2610</v>
      </c>
      <c r="C8497" t="s">
        <v>11646</v>
      </c>
      <c r="D8497" t="s">
        <v>17172</v>
      </c>
      <c r="E8497" t="s">
        <v>24560</v>
      </c>
      <c r="F8497" t="s">
        <v>29372</v>
      </c>
      <c r="G8497" t="s">
        <v>29380</v>
      </c>
      <c r="H8497" t="s">
        <v>11048</v>
      </c>
      <c r="I8497" t="s">
        <v>4709</v>
      </c>
      <c r="J8497" t="s">
        <v>34995</v>
      </c>
      <c r="K8497" t="s">
        <v>38490</v>
      </c>
      <c r="M8497" t="s">
        <v>41580</v>
      </c>
      <c r="N8497" t="s">
        <v>42669</v>
      </c>
      <c r="O8497" t="s">
        <v>42670</v>
      </c>
      <c r="P8497">
        <v>0</v>
      </c>
      <c r="Q8497">
        <v>0</v>
      </c>
      <c r="R8497" t="s">
        <v>42679</v>
      </c>
      <c r="S8497" t="s">
        <v>42923</v>
      </c>
      <c r="T8497" t="s">
        <v>44488</v>
      </c>
      <c r="U8497" t="s">
        <v>51752</v>
      </c>
      <c r="W8497" t="s">
        <v>41580</v>
      </c>
      <c r="X8497" t="s">
        <v>42682</v>
      </c>
    </row>
    <row r="8498" spans="1:24">
      <c r="A8498">
        <f>HYPERLINK("https://www.philgeps.gov.ph/GEPSNONPILOT/Tender/SplashBidNoticeAbstractUI.aspx?menuIndex=3&amp;refID=7178936&amp;Result=3","7178936")</f>
        <v>0</v>
      </c>
      <c r="B8498" t="s">
        <v>589</v>
      </c>
      <c r="C8498" t="s">
        <v>11647</v>
      </c>
      <c r="D8498" t="s">
        <v>17168</v>
      </c>
      <c r="E8498" t="s">
        <v>24561</v>
      </c>
      <c r="F8498" t="s">
        <v>29372</v>
      </c>
      <c r="G8498" t="s">
        <v>29380</v>
      </c>
      <c r="H8498" t="s">
        <v>11048</v>
      </c>
      <c r="I8498" t="s">
        <v>3629</v>
      </c>
      <c r="J8498" t="s">
        <v>34996</v>
      </c>
      <c r="K8498" t="s">
        <v>38538</v>
      </c>
      <c r="M8498" t="s">
        <v>40153</v>
      </c>
      <c r="N8498" t="s">
        <v>42669</v>
      </c>
      <c r="O8498" t="s">
        <v>42670</v>
      </c>
      <c r="P8498">
        <v>0</v>
      </c>
      <c r="Q8498">
        <v>0</v>
      </c>
      <c r="R8498" t="s">
        <v>42679</v>
      </c>
      <c r="S8498" t="s">
        <v>42923</v>
      </c>
      <c r="T8498" t="s">
        <v>44427</v>
      </c>
      <c r="U8498" t="s">
        <v>51753</v>
      </c>
      <c r="V8498" t="s">
        <v>56460</v>
      </c>
      <c r="W8498" t="s">
        <v>40153</v>
      </c>
      <c r="X8498" t="s">
        <v>42682</v>
      </c>
    </row>
    <row r="8499" spans="1:24">
      <c r="A8499">
        <f>HYPERLINK("https://www.philgeps.gov.ph/GEPSNONPILOT/Tender/SplashBidNoticeAbstractUI.aspx?menuIndex=3&amp;refID=7178988&amp;Result=3","7178988")</f>
        <v>0</v>
      </c>
      <c r="B8499" t="s">
        <v>149</v>
      </c>
      <c r="C8499" t="s">
        <v>11648</v>
      </c>
      <c r="D8499" t="s">
        <v>17190</v>
      </c>
      <c r="E8499" t="s">
        <v>17541</v>
      </c>
      <c r="F8499" t="s">
        <v>29372</v>
      </c>
      <c r="G8499" t="s">
        <v>29380</v>
      </c>
      <c r="H8499" t="s">
        <v>29389</v>
      </c>
      <c r="I8499" t="s">
        <v>10408</v>
      </c>
      <c r="J8499" t="s">
        <v>29604</v>
      </c>
      <c r="K8499" t="s">
        <v>38490</v>
      </c>
      <c r="M8499" t="s">
        <v>38904</v>
      </c>
      <c r="N8499" t="s">
        <v>42669</v>
      </c>
      <c r="O8499" t="s">
        <v>42670</v>
      </c>
      <c r="P8499">
        <v>0</v>
      </c>
      <c r="Q8499">
        <v>0</v>
      </c>
      <c r="R8499" t="s">
        <v>42679</v>
      </c>
      <c r="S8499" t="s">
        <v>42923</v>
      </c>
      <c r="T8499" t="s">
        <v>44368</v>
      </c>
      <c r="U8499" t="s">
        <v>51754</v>
      </c>
      <c r="V8499" t="s">
        <v>57287</v>
      </c>
      <c r="W8499" t="s">
        <v>38904</v>
      </c>
      <c r="X8499" t="s">
        <v>42682</v>
      </c>
    </row>
    <row r="8500" spans="1:24">
      <c r="A8500">
        <f>HYPERLINK("https://www.philgeps.gov.ph/GEPSNONPILOT/Tender/SplashBidNoticeAbstractUI.aspx?menuIndex=3&amp;refID=7179015&amp;Result=3","7179015")</f>
        <v>0</v>
      </c>
      <c r="B8500" t="s">
        <v>105</v>
      </c>
      <c r="C8500" t="s">
        <v>11649</v>
      </c>
      <c r="D8500" t="s">
        <v>17181</v>
      </c>
      <c r="E8500" t="s">
        <v>24562</v>
      </c>
      <c r="F8500" t="s">
        <v>29372</v>
      </c>
      <c r="G8500" t="s">
        <v>29385</v>
      </c>
      <c r="H8500" t="s">
        <v>29389</v>
      </c>
      <c r="I8500" t="s">
        <v>10408</v>
      </c>
      <c r="J8500" t="s">
        <v>31307</v>
      </c>
      <c r="K8500" t="s">
        <v>38485</v>
      </c>
      <c r="M8500" t="s">
        <v>38860</v>
      </c>
      <c r="N8500" t="s">
        <v>42669</v>
      </c>
      <c r="O8500" t="s">
        <v>42670</v>
      </c>
      <c r="P8500">
        <v>0</v>
      </c>
      <c r="Q8500">
        <v>0</v>
      </c>
      <c r="R8500" t="s">
        <v>42679</v>
      </c>
      <c r="S8500" t="s">
        <v>42923</v>
      </c>
      <c r="T8500" t="s">
        <v>44493</v>
      </c>
      <c r="U8500" t="s">
        <v>51755</v>
      </c>
      <c r="W8500" t="s">
        <v>38860</v>
      </c>
      <c r="X8500" t="s">
        <v>42682</v>
      </c>
    </row>
    <row r="8501" spans="1:24">
      <c r="A8501">
        <f>HYPERLINK("https://www.philgeps.gov.ph/GEPSNONPILOT/Tender/SplashBidNoticeAbstractUI.aspx?menuIndex=3&amp;refID=7179201&amp;Result=3","7179201")</f>
        <v>0</v>
      </c>
      <c r="B8501" t="s">
        <v>2147</v>
      </c>
      <c r="C8501" t="s">
        <v>11650</v>
      </c>
      <c r="D8501" t="s">
        <v>17174</v>
      </c>
      <c r="E8501" t="s">
        <v>24563</v>
      </c>
      <c r="F8501" t="s">
        <v>29372</v>
      </c>
      <c r="G8501" t="s">
        <v>29380</v>
      </c>
      <c r="H8501" t="s">
        <v>11048</v>
      </c>
      <c r="I8501" t="s">
        <v>29489</v>
      </c>
      <c r="J8501" t="s">
        <v>34997</v>
      </c>
      <c r="K8501" t="s">
        <v>38489</v>
      </c>
      <c r="M8501" t="s">
        <v>41054</v>
      </c>
      <c r="N8501" t="s">
        <v>42669</v>
      </c>
      <c r="O8501" t="s">
        <v>42670</v>
      </c>
      <c r="P8501">
        <v>0</v>
      </c>
      <c r="Q8501">
        <v>0</v>
      </c>
      <c r="R8501" t="s">
        <v>42679</v>
      </c>
      <c r="S8501" t="s">
        <v>42923</v>
      </c>
      <c r="T8501" t="s">
        <v>44450</v>
      </c>
      <c r="U8501" t="s">
        <v>51756</v>
      </c>
      <c r="W8501" t="s">
        <v>41054</v>
      </c>
      <c r="X8501" t="s">
        <v>42682</v>
      </c>
    </row>
    <row r="8502" spans="1:24">
      <c r="A8502">
        <f>HYPERLINK("https://www.philgeps.gov.ph/GEPSNONPILOT/Tender/SplashBidNoticeAbstractUI.aspx?menuIndex=3&amp;refID=7179197&amp;Result=3","7179197")</f>
        <v>0</v>
      </c>
      <c r="B8502" t="s">
        <v>589</v>
      </c>
      <c r="C8502" t="s">
        <v>11651</v>
      </c>
      <c r="D8502" t="s">
        <v>17168</v>
      </c>
      <c r="E8502" t="s">
        <v>24564</v>
      </c>
      <c r="F8502" t="s">
        <v>29372</v>
      </c>
      <c r="G8502" t="s">
        <v>29380</v>
      </c>
      <c r="H8502" t="s">
        <v>11048</v>
      </c>
      <c r="I8502" t="s">
        <v>9469</v>
      </c>
      <c r="J8502" t="s">
        <v>34998</v>
      </c>
      <c r="K8502" t="s">
        <v>38491</v>
      </c>
      <c r="M8502" t="s">
        <v>39485</v>
      </c>
      <c r="N8502" t="s">
        <v>42669</v>
      </c>
      <c r="O8502" t="s">
        <v>42670</v>
      </c>
      <c r="P8502">
        <v>0</v>
      </c>
      <c r="Q8502">
        <v>0</v>
      </c>
      <c r="R8502" t="s">
        <v>42679</v>
      </c>
      <c r="S8502" t="s">
        <v>42923</v>
      </c>
      <c r="T8502" t="s">
        <v>44539</v>
      </c>
      <c r="U8502" t="s">
        <v>51757</v>
      </c>
      <c r="V8502" t="s">
        <v>56701</v>
      </c>
      <c r="W8502" t="s">
        <v>39485</v>
      </c>
      <c r="X8502" t="s">
        <v>42682</v>
      </c>
    </row>
    <row r="8503" spans="1:24">
      <c r="A8503">
        <f>HYPERLINK("https://www.philgeps.gov.ph/GEPSNONPILOT/Tender/SplashBidNoticeAbstractUI.aspx?menuIndex=3&amp;refID=7179218&amp;Result=3","7179218")</f>
        <v>0</v>
      </c>
      <c r="B8503" t="s">
        <v>1919</v>
      </c>
      <c r="C8503" t="s">
        <v>11652</v>
      </c>
      <c r="D8503" t="s">
        <v>17194</v>
      </c>
      <c r="E8503" t="s">
        <v>24565</v>
      </c>
      <c r="F8503" t="s">
        <v>29372</v>
      </c>
      <c r="G8503" t="s">
        <v>29380</v>
      </c>
      <c r="H8503" t="s">
        <v>11048</v>
      </c>
      <c r="I8503" t="s">
        <v>29393</v>
      </c>
      <c r="J8503" t="s">
        <v>29986</v>
      </c>
      <c r="K8503" t="s">
        <v>38485</v>
      </c>
      <c r="M8503" t="s">
        <v>40794</v>
      </c>
      <c r="N8503" t="s">
        <v>42669</v>
      </c>
      <c r="O8503" t="s">
        <v>42670</v>
      </c>
      <c r="P8503">
        <v>0</v>
      </c>
      <c r="Q8503">
        <v>0</v>
      </c>
      <c r="R8503" t="s">
        <v>42679</v>
      </c>
      <c r="S8503" t="s">
        <v>42923</v>
      </c>
      <c r="T8503" t="s">
        <v>44432</v>
      </c>
      <c r="U8503" t="s">
        <v>51758</v>
      </c>
      <c r="V8503" t="s">
        <v>56972</v>
      </c>
      <c r="W8503" t="s">
        <v>40794</v>
      </c>
      <c r="X8503" t="s">
        <v>42682</v>
      </c>
    </row>
    <row r="8504" spans="1:24">
      <c r="A8504">
        <f>HYPERLINK("https://www.philgeps.gov.ph/GEPSNONPILOT/Tender/SplashBidNoticeAbstractUI.aspx?menuIndex=3&amp;refID=7179004&amp;Result=3","7179004")</f>
        <v>0</v>
      </c>
      <c r="B8504" t="s">
        <v>667</v>
      </c>
      <c r="C8504" t="s">
        <v>11653</v>
      </c>
      <c r="D8504" t="s">
        <v>17203</v>
      </c>
      <c r="E8504" t="s">
        <v>24566</v>
      </c>
      <c r="F8504" t="s">
        <v>29372</v>
      </c>
      <c r="G8504" t="s">
        <v>29380</v>
      </c>
      <c r="H8504" t="s">
        <v>11048</v>
      </c>
      <c r="I8504" t="s">
        <v>4709</v>
      </c>
      <c r="J8504" t="s">
        <v>34999</v>
      </c>
      <c r="K8504" t="s">
        <v>38488</v>
      </c>
      <c r="M8504" t="s">
        <v>39443</v>
      </c>
      <c r="N8504" t="s">
        <v>42669</v>
      </c>
      <c r="O8504" t="s">
        <v>42670</v>
      </c>
      <c r="Q8504">
        <v>0</v>
      </c>
      <c r="R8504" t="s">
        <v>42679</v>
      </c>
      <c r="S8504" t="s">
        <v>42932</v>
      </c>
      <c r="T8504" t="s">
        <v>44446</v>
      </c>
      <c r="U8504" t="s">
        <v>51759</v>
      </c>
      <c r="W8504" t="s">
        <v>39443</v>
      </c>
      <c r="X8504" t="s">
        <v>42682</v>
      </c>
    </row>
    <row r="8505" spans="1:24">
      <c r="A8505">
        <f>HYPERLINK("https://www.philgeps.gov.ph/GEPSNONPILOT/Tender/SplashBidNoticeAbstractUI.aspx?menuIndex=3&amp;refID=7179189&amp;Result=3","7179189")</f>
        <v>0</v>
      </c>
      <c r="B8505" t="s">
        <v>2611</v>
      </c>
      <c r="C8505" t="s">
        <v>11654</v>
      </c>
      <c r="D8505" t="s">
        <v>17163</v>
      </c>
      <c r="E8505" t="s">
        <v>24567</v>
      </c>
      <c r="F8505" t="s">
        <v>29372</v>
      </c>
      <c r="G8505" t="s">
        <v>29380</v>
      </c>
      <c r="H8505" t="s">
        <v>29389</v>
      </c>
      <c r="I8505" t="s">
        <v>10408</v>
      </c>
      <c r="J8505" t="s">
        <v>35000</v>
      </c>
      <c r="K8505" t="s">
        <v>38485</v>
      </c>
      <c r="M8505" t="s">
        <v>41581</v>
      </c>
      <c r="N8505" t="s">
        <v>42669</v>
      </c>
      <c r="O8505" t="s">
        <v>42670</v>
      </c>
      <c r="P8505">
        <v>0</v>
      </c>
      <c r="Q8505">
        <v>0</v>
      </c>
      <c r="R8505" t="s">
        <v>42679</v>
      </c>
      <c r="S8505" t="s">
        <v>42923</v>
      </c>
      <c r="T8505" t="s">
        <v>44401</v>
      </c>
      <c r="U8505" t="s">
        <v>51760</v>
      </c>
      <c r="V8505" t="s">
        <v>57307</v>
      </c>
      <c r="W8505" t="s">
        <v>41581</v>
      </c>
      <c r="X8505" t="s">
        <v>42682</v>
      </c>
    </row>
    <row r="8506" spans="1:24">
      <c r="A8506">
        <f>HYPERLINK("https://www.philgeps.gov.ph/GEPSNONPILOT/Tender/SplashBidNoticeAbstractUI.aspx?menuIndex=3&amp;refID=7179184&amp;Result=3","7179184")</f>
        <v>0</v>
      </c>
      <c r="B8506" t="s">
        <v>2612</v>
      </c>
      <c r="C8506" t="s">
        <v>11655</v>
      </c>
      <c r="D8506" t="s">
        <v>17194</v>
      </c>
      <c r="E8506" t="s">
        <v>24568</v>
      </c>
      <c r="F8506" t="s">
        <v>29372</v>
      </c>
      <c r="G8506" t="s">
        <v>29380</v>
      </c>
      <c r="H8506" t="s">
        <v>11048</v>
      </c>
      <c r="I8506" t="s">
        <v>4709</v>
      </c>
      <c r="J8506" t="s">
        <v>29708</v>
      </c>
      <c r="K8506" t="s">
        <v>38491</v>
      </c>
      <c r="M8506" t="s">
        <v>41582</v>
      </c>
      <c r="N8506" t="s">
        <v>42669</v>
      </c>
      <c r="O8506" t="s">
        <v>42670</v>
      </c>
      <c r="P8506">
        <v>0</v>
      </c>
      <c r="Q8506">
        <v>0</v>
      </c>
      <c r="R8506" t="s">
        <v>42679</v>
      </c>
      <c r="S8506" t="s">
        <v>42923</v>
      </c>
      <c r="T8506" t="s">
        <v>44488</v>
      </c>
      <c r="U8506" t="s">
        <v>51761</v>
      </c>
      <c r="W8506" t="s">
        <v>41582</v>
      </c>
      <c r="X8506" t="s">
        <v>42682</v>
      </c>
    </row>
    <row r="8507" spans="1:24">
      <c r="A8507">
        <f>HYPERLINK("https://www.philgeps.gov.ph/GEPSNONPILOT/Tender/SplashBidNoticeAbstractUI.aspx?menuIndex=3&amp;refID=7179028&amp;Result=3","7179028")</f>
        <v>0</v>
      </c>
      <c r="B8507" t="s">
        <v>2613</v>
      </c>
      <c r="C8507" t="s">
        <v>11656</v>
      </c>
      <c r="D8507" t="s">
        <v>17146</v>
      </c>
      <c r="E8507" t="s">
        <v>24569</v>
      </c>
      <c r="F8507" t="s">
        <v>29372</v>
      </c>
      <c r="G8507" t="s">
        <v>29380</v>
      </c>
      <c r="H8507" t="s">
        <v>11048</v>
      </c>
      <c r="I8507" t="s">
        <v>4487</v>
      </c>
      <c r="J8507" t="s">
        <v>35001</v>
      </c>
      <c r="K8507" t="s">
        <v>38488</v>
      </c>
      <c r="L8507" t="s">
        <v>2613</v>
      </c>
      <c r="M8507" t="s">
        <v>41583</v>
      </c>
      <c r="N8507" t="s">
        <v>42669</v>
      </c>
      <c r="O8507" t="s">
        <v>42670</v>
      </c>
      <c r="P8507">
        <v>0</v>
      </c>
      <c r="Q8507">
        <v>5</v>
      </c>
      <c r="R8507" t="s">
        <v>42679</v>
      </c>
      <c r="S8507" t="s">
        <v>42923</v>
      </c>
      <c r="T8507" t="s">
        <v>44491</v>
      </c>
      <c r="U8507" t="s">
        <v>51762</v>
      </c>
      <c r="V8507" t="s">
        <v>57308</v>
      </c>
      <c r="W8507" t="s">
        <v>41583</v>
      </c>
      <c r="X8507" t="s">
        <v>42682</v>
      </c>
    </row>
    <row r="8508" spans="1:24">
      <c r="A8508">
        <f>HYPERLINK("https://www.philgeps.gov.ph/GEPSNONPILOT/Tender/SplashBidNoticeAbstractUI.aspx?menuIndex=3&amp;refID=7179169&amp;Result=3","7179169")</f>
        <v>0</v>
      </c>
      <c r="B8508" t="s">
        <v>589</v>
      </c>
      <c r="C8508" t="s">
        <v>11657</v>
      </c>
      <c r="D8508" t="s">
        <v>17168</v>
      </c>
      <c r="E8508" t="s">
        <v>24570</v>
      </c>
      <c r="F8508" t="s">
        <v>29372</v>
      </c>
      <c r="G8508" t="s">
        <v>29380</v>
      </c>
      <c r="H8508" t="s">
        <v>11048</v>
      </c>
      <c r="I8508" t="s">
        <v>29423</v>
      </c>
      <c r="J8508" t="s">
        <v>29708</v>
      </c>
      <c r="K8508" t="s">
        <v>38491</v>
      </c>
      <c r="M8508" t="s">
        <v>39485</v>
      </c>
      <c r="N8508" t="s">
        <v>42669</v>
      </c>
      <c r="O8508" t="s">
        <v>42670</v>
      </c>
      <c r="P8508">
        <v>0</v>
      </c>
      <c r="Q8508">
        <v>2</v>
      </c>
      <c r="R8508" t="s">
        <v>42679</v>
      </c>
      <c r="S8508" t="s">
        <v>42923</v>
      </c>
      <c r="T8508" t="s">
        <v>44559</v>
      </c>
      <c r="U8508" t="s">
        <v>51763</v>
      </c>
      <c r="V8508" t="s">
        <v>56701</v>
      </c>
      <c r="W8508" t="s">
        <v>39485</v>
      </c>
      <c r="X8508" t="s">
        <v>42682</v>
      </c>
    </row>
    <row r="8509" spans="1:24">
      <c r="A8509">
        <f>HYPERLINK("https://www.philgeps.gov.ph/GEPSNONPILOT/Tender/SplashBidNoticeAbstractUI.aspx?menuIndex=3&amp;refID=7179124&amp;Result=3","7179124")</f>
        <v>0</v>
      </c>
      <c r="B8509" t="s">
        <v>2608</v>
      </c>
      <c r="C8509" t="s">
        <v>11658</v>
      </c>
      <c r="D8509" t="s">
        <v>17192</v>
      </c>
      <c r="E8509" t="s">
        <v>24571</v>
      </c>
      <c r="F8509" t="s">
        <v>29372</v>
      </c>
      <c r="G8509" t="s">
        <v>29380</v>
      </c>
      <c r="H8509" t="s">
        <v>11048</v>
      </c>
      <c r="I8509" t="s">
        <v>29413</v>
      </c>
      <c r="J8509" t="s">
        <v>29615</v>
      </c>
      <c r="K8509" t="s">
        <v>38495</v>
      </c>
      <c r="M8509" t="s">
        <v>41577</v>
      </c>
      <c r="N8509" t="s">
        <v>42669</v>
      </c>
      <c r="O8509" t="s">
        <v>42670</v>
      </c>
      <c r="P8509">
        <v>0</v>
      </c>
      <c r="Q8509">
        <v>5</v>
      </c>
      <c r="R8509" t="s">
        <v>42679</v>
      </c>
      <c r="S8509" t="s">
        <v>42923</v>
      </c>
      <c r="T8509" t="s">
        <v>44761</v>
      </c>
      <c r="U8509" t="s">
        <v>51764</v>
      </c>
      <c r="W8509" t="s">
        <v>41577</v>
      </c>
      <c r="X8509" t="s">
        <v>42682</v>
      </c>
    </row>
    <row r="8510" spans="1:24">
      <c r="A8510">
        <f>HYPERLINK("https://www.philgeps.gov.ph/GEPSNONPILOT/Tender/SplashBidNoticeAbstractUI.aspx?menuIndex=3&amp;refID=7179198&amp;Result=3","7179198")</f>
        <v>0</v>
      </c>
      <c r="B8510" t="s">
        <v>940</v>
      </c>
      <c r="C8510" t="s">
        <v>11659</v>
      </c>
      <c r="D8510" t="s">
        <v>17145</v>
      </c>
      <c r="E8510" t="s">
        <v>24572</v>
      </c>
      <c r="F8510" t="s">
        <v>29372</v>
      </c>
      <c r="G8510" t="s">
        <v>29380</v>
      </c>
      <c r="H8510" t="s">
        <v>29389</v>
      </c>
      <c r="I8510" t="s">
        <v>10408</v>
      </c>
      <c r="J8510" t="s">
        <v>34455</v>
      </c>
      <c r="K8510" t="s">
        <v>38696</v>
      </c>
      <c r="M8510" t="s">
        <v>39735</v>
      </c>
      <c r="N8510" t="s">
        <v>42669</v>
      </c>
      <c r="O8510" t="s">
        <v>42670</v>
      </c>
      <c r="P8510">
        <v>0</v>
      </c>
      <c r="Q8510">
        <v>2</v>
      </c>
      <c r="R8510" t="s">
        <v>42679</v>
      </c>
      <c r="S8510" t="s">
        <v>42923</v>
      </c>
      <c r="T8510" t="s">
        <v>44542</v>
      </c>
      <c r="U8510" t="s">
        <v>51765</v>
      </c>
      <c r="W8510" t="s">
        <v>39735</v>
      </c>
      <c r="X8510" t="s">
        <v>42682</v>
      </c>
    </row>
    <row r="8511" spans="1:24">
      <c r="A8511">
        <f>HYPERLINK("https://www.philgeps.gov.ph/GEPSNONPILOT/Tender/SplashBidNoticeAbstractUI.aspx?menuIndex=3&amp;refID=7178853&amp;Result=3","7178853")</f>
        <v>0</v>
      </c>
      <c r="B8511" t="s">
        <v>149</v>
      </c>
      <c r="C8511" t="s">
        <v>11660</v>
      </c>
      <c r="D8511" t="s">
        <v>17190</v>
      </c>
      <c r="E8511" t="s">
        <v>17541</v>
      </c>
      <c r="F8511" t="s">
        <v>29372</v>
      </c>
      <c r="G8511" t="s">
        <v>29380</v>
      </c>
      <c r="H8511" t="s">
        <v>29389</v>
      </c>
      <c r="I8511" t="s">
        <v>10408</v>
      </c>
      <c r="J8511" t="s">
        <v>30056</v>
      </c>
      <c r="K8511" t="s">
        <v>38490</v>
      </c>
      <c r="M8511" t="s">
        <v>38904</v>
      </c>
      <c r="N8511" t="s">
        <v>42669</v>
      </c>
      <c r="O8511" t="s">
        <v>42670</v>
      </c>
      <c r="P8511">
        <v>0</v>
      </c>
      <c r="Q8511">
        <v>0</v>
      </c>
      <c r="R8511" t="s">
        <v>42679</v>
      </c>
      <c r="S8511" t="s">
        <v>42923</v>
      </c>
      <c r="T8511" t="s">
        <v>44368</v>
      </c>
      <c r="U8511" t="s">
        <v>51766</v>
      </c>
      <c r="V8511" t="s">
        <v>57287</v>
      </c>
      <c r="W8511" t="s">
        <v>38904</v>
      </c>
      <c r="X8511" t="s">
        <v>42682</v>
      </c>
    </row>
    <row r="8512" spans="1:24">
      <c r="A8512">
        <f>HYPERLINK("https://www.philgeps.gov.ph/GEPSNONPILOT/Tender/SplashBidNoticeAbstractUI.aspx?menuIndex=3&amp;refID=7179113&amp;Result=3","7179113")</f>
        <v>0</v>
      </c>
      <c r="B8512" t="s">
        <v>1919</v>
      </c>
      <c r="C8512" t="s">
        <v>11661</v>
      </c>
      <c r="D8512" t="s">
        <v>17194</v>
      </c>
      <c r="E8512" t="s">
        <v>24573</v>
      </c>
      <c r="F8512" t="s">
        <v>29372</v>
      </c>
      <c r="G8512" t="s">
        <v>29380</v>
      </c>
      <c r="H8512" t="s">
        <v>11048</v>
      </c>
      <c r="I8512" t="s">
        <v>29393</v>
      </c>
      <c r="J8512" t="s">
        <v>29736</v>
      </c>
      <c r="K8512" t="s">
        <v>38485</v>
      </c>
      <c r="M8512" t="s">
        <v>40794</v>
      </c>
      <c r="N8512" t="s">
        <v>42669</v>
      </c>
      <c r="O8512" t="s">
        <v>42670</v>
      </c>
      <c r="P8512">
        <v>0</v>
      </c>
      <c r="Q8512">
        <v>0</v>
      </c>
      <c r="R8512" t="s">
        <v>42679</v>
      </c>
      <c r="S8512" t="s">
        <v>42923</v>
      </c>
      <c r="T8512" t="s">
        <v>44432</v>
      </c>
      <c r="U8512" t="s">
        <v>51758</v>
      </c>
      <c r="V8512" t="s">
        <v>56972</v>
      </c>
      <c r="W8512" t="s">
        <v>40794</v>
      </c>
      <c r="X8512" t="s">
        <v>42682</v>
      </c>
    </row>
    <row r="8513" spans="1:24">
      <c r="A8513">
        <f>HYPERLINK("https://www.philgeps.gov.ph/GEPSNONPILOT/Tender/SplashBidNoticeAbstractUI.aspx?menuIndex=3&amp;refID=7179076&amp;Result=3","7179076")</f>
        <v>0</v>
      </c>
      <c r="B8513" t="s">
        <v>2608</v>
      </c>
      <c r="C8513" t="s">
        <v>11662</v>
      </c>
      <c r="D8513" t="s">
        <v>17192</v>
      </c>
      <c r="E8513" t="s">
        <v>24574</v>
      </c>
      <c r="F8513" t="s">
        <v>29372</v>
      </c>
      <c r="G8513" t="s">
        <v>29380</v>
      </c>
      <c r="H8513" t="s">
        <v>11048</v>
      </c>
      <c r="I8513" t="s">
        <v>29423</v>
      </c>
      <c r="J8513" t="s">
        <v>31498</v>
      </c>
      <c r="K8513" t="s">
        <v>38487</v>
      </c>
      <c r="M8513" t="s">
        <v>41577</v>
      </c>
      <c r="N8513" t="s">
        <v>42669</v>
      </c>
      <c r="O8513" t="s">
        <v>42670</v>
      </c>
      <c r="P8513">
        <v>0</v>
      </c>
      <c r="Q8513">
        <v>6</v>
      </c>
      <c r="R8513" t="s">
        <v>42679</v>
      </c>
      <c r="S8513" t="s">
        <v>42923</v>
      </c>
      <c r="T8513" t="s">
        <v>44761</v>
      </c>
      <c r="U8513" t="s">
        <v>51767</v>
      </c>
      <c r="W8513" t="s">
        <v>41577</v>
      </c>
      <c r="X8513" t="s">
        <v>42682</v>
      </c>
    </row>
    <row r="8514" spans="1:24">
      <c r="A8514">
        <f>HYPERLINK("https://www.philgeps.gov.ph/GEPSNONPILOT/Tender/SplashBidNoticeAbstractUI.aspx?menuIndex=3&amp;refID=7179062&amp;Result=3","7179062")</f>
        <v>0</v>
      </c>
      <c r="B8514" t="s">
        <v>1919</v>
      </c>
      <c r="C8514" t="s">
        <v>11663</v>
      </c>
      <c r="D8514" t="s">
        <v>17194</v>
      </c>
      <c r="E8514" t="s">
        <v>24575</v>
      </c>
      <c r="F8514" t="s">
        <v>29372</v>
      </c>
      <c r="G8514" t="s">
        <v>29380</v>
      </c>
      <c r="H8514" t="s">
        <v>11048</v>
      </c>
      <c r="I8514" t="s">
        <v>29395</v>
      </c>
      <c r="J8514" t="s">
        <v>30446</v>
      </c>
      <c r="K8514" t="s">
        <v>38485</v>
      </c>
      <c r="M8514" t="s">
        <v>40794</v>
      </c>
      <c r="N8514" t="s">
        <v>42669</v>
      </c>
      <c r="O8514" t="s">
        <v>42670</v>
      </c>
      <c r="P8514">
        <v>0</v>
      </c>
      <c r="Q8514">
        <v>0</v>
      </c>
      <c r="R8514" t="s">
        <v>42679</v>
      </c>
      <c r="S8514" t="s">
        <v>42923</v>
      </c>
      <c r="T8514" t="s">
        <v>44432</v>
      </c>
      <c r="U8514" t="s">
        <v>49835</v>
      </c>
      <c r="V8514" t="s">
        <v>56972</v>
      </c>
      <c r="W8514" t="s">
        <v>40794</v>
      </c>
      <c r="X8514" t="s">
        <v>42682</v>
      </c>
    </row>
    <row r="8515" spans="1:24">
      <c r="A8515">
        <f>HYPERLINK("https://www.philgeps.gov.ph/GEPSNONPILOT/Tender/SplashBidNoticeAbstractUI.aspx?menuIndex=3&amp;refID=7179042&amp;Result=3","7179042")</f>
        <v>0</v>
      </c>
      <c r="B8515" t="s">
        <v>97</v>
      </c>
      <c r="C8515" t="s">
        <v>11664</v>
      </c>
      <c r="D8515" t="s">
        <v>17154</v>
      </c>
      <c r="E8515" t="s">
        <v>24576</v>
      </c>
      <c r="F8515" t="s">
        <v>29372</v>
      </c>
      <c r="G8515" t="s">
        <v>29380</v>
      </c>
      <c r="H8515" t="s">
        <v>11048</v>
      </c>
      <c r="I8515" t="s">
        <v>9469</v>
      </c>
      <c r="J8515" t="s">
        <v>30811</v>
      </c>
      <c r="K8515" t="s">
        <v>38485</v>
      </c>
      <c r="M8515" t="s">
        <v>38851</v>
      </c>
      <c r="N8515" t="s">
        <v>42669</v>
      </c>
      <c r="O8515" t="s">
        <v>42670</v>
      </c>
      <c r="P8515">
        <v>0</v>
      </c>
      <c r="Q8515">
        <v>7</v>
      </c>
      <c r="R8515" t="s">
        <v>42679</v>
      </c>
      <c r="S8515" t="s">
        <v>42923</v>
      </c>
      <c r="T8515" t="s">
        <v>44474</v>
      </c>
      <c r="U8515" t="s">
        <v>51768</v>
      </c>
      <c r="V8515" t="s">
        <v>57309</v>
      </c>
      <c r="W8515" t="s">
        <v>38851</v>
      </c>
      <c r="X8515" t="s">
        <v>42682</v>
      </c>
    </row>
    <row r="8516" spans="1:24">
      <c r="A8516">
        <f>HYPERLINK("https://www.philgeps.gov.ph/GEPSNONPILOT/Tender/SplashBidNoticeAbstractUI.aspx?menuIndex=3&amp;refID=7179559&amp;Result=3","7179559")</f>
        <v>0</v>
      </c>
      <c r="B8516" t="s">
        <v>2614</v>
      </c>
      <c r="C8516" t="s">
        <v>11665</v>
      </c>
      <c r="D8516" t="s">
        <v>17187</v>
      </c>
      <c r="E8516" t="s">
        <v>24577</v>
      </c>
      <c r="F8516" t="s">
        <v>29372</v>
      </c>
      <c r="G8516" t="s">
        <v>29380</v>
      </c>
      <c r="H8516" t="s">
        <v>29389</v>
      </c>
      <c r="I8516" t="s">
        <v>10408</v>
      </c>
      <c r="J8516" t="s">
        <v>35002</v>
      </c>
      <c r="K8516" t="s">
        <v>38490</v>
      </c>
      <c r="M8516" t="s">
        <v>41584</v>
      </c>
      <c r="N8516" t="s">
        <v>42669</v>
      </c>
      <c r="O8516" t="s">
        <v>42670</v>
      </c>
      <c r="Q8516">
        <v>5</v>
      </c>
      <c r="R8516" t="s">
        <v>42679</v>
      </c>
      <c r="S8516" t="s">
        <v>42933</v>
      </c>
      <c r="T8516" t="s">
        <v>44542</v>
      </c>
      <c r="U8516" t="s">
        <v>51769</v>
      </c>
      <c r="V8516" t="s">
        <v>57310</v>
      </c>
      <c r="W8516" t="s">
        <v>41584</v>
      </c>
      <c r="X8516" t="s">
        <v>42682</v>
      </c>
    </row>
    <row r="8517" spans="1:24">
      <c r="A8517">
        <f>HYPERLINK("https://www.philgeps.gov.ph/GEPSNONPILOT/Tender/SplashBidNoticeAbstractUI.aspx?menuIndex=3&amp;refID=7179520&amp;Result=3","7179520")</f>
        <v>0</v>
      </c>
      <c r="B8517" t="s">
        <v>264</v>
      </c>
      <c r="C8517" t="s">
        <v>11666</v>
      </c>
      <c r="D8517" t="s">
        <v>17141</v>
      </c>
      <c r="E8517" t="s">
        <v>24578</v>
      </c>
      <c r="F8517" t="s">
        <v>29372</v>
      </c>
      <c r="G8517" t="s">
        <v>29380</v>
      </c>
      <c r="H8517" t="s">
        <v>11048</v>
      </c>
      <c r="I8517" t="s">
        <v>29400</v>
      </c>
      <c r="J8517" t="s">
        <v>30161</v>
      </c>
      <c r="K8517" t="s">
        <v>38495</v>
      </c>
      <c r="M8517" t="s">
        <v>39023</v>
      </c>
      <c r="N8517" t="s">
        <v>42669</v>
      </c>
      <c r="O8517" t="s">
        <v>42670</v>
      </c>
      <c r="P8517">
        <v>0</v>
      </c>
      <c r="Q8517">
        <v>30</v>
      </c>
      <c r="R8517" t="s">
        <v>42679</v>
      </c>
      <c r="S8517" t="s">
        <v>42923</v>
      </c>
      <c r="T8517" t="s">
        <v>44415</v>
      </c>
      <c r="U8517" t="s">
        <v>51770</v>
      </c>
      <c r="W8517" t="s">
        <v>39023</v>
      </c>
      <c r="X8517" t="s">
        <v>42682</v>
      </c>
    </row>
    <row r="8518" spans="1:24">
      <c r="A8518">
        <f>HYPERLINK("https://www.philgeps.gov.ph/GEPSNONPILOT/Tender/SplashBidNoticeAbstractUI.aspx?menuIndex=3&amp;refID=7179620&amp;Result=3","7179620")</f>
        <v>0</v>
      </c>
      <c r="B8518" t="s">
        <v>2615</v>
      </c>
      <c r="C8518" t="s">
        <v>11667</v>
      </c>
      <c r="D8518" t="s">
        <v>17205</v>
      </c>
      <c r="E8518" t="s">
        <v>24579</v>
      </c>
      <c r="F8518" t="s">
        <v>29372</v>
      </c>
      <c r="G8518" t="s">
        <v>29380</v>
      </c>
      <c r="H8518" t="s">
        <v>29389</v>
      </c>
      <c r="I8518" t="s">
        <v>29453</v>
      </c>
      <c r="J8518" t="s">
        <v>35003</v>
      </c>
      <c r="K8518" t="s">
        <v>38522</v>
      </c>
      <c r="M8518" t="s">
        <v>41585</v>
      </c>
      <c r="N8518" t="s">
        <v>42669</v>
      </c>
      <c r="O8518" t="s">
        <v>42670</v>
      </c>
      <c r="P8518">
        <v>0</v>
      </c>
      <c r="Q8518">
        <v>1</v>
      </c>
      <c r="R8518" t="s">
        <v>42679</v>
      </c>
      <c r="S8518" t="s">
        <v>42923</v>
      </c>
      <c r="T8518" t="s">
        <v>44490</v>
      </c>
      <c r="U8518" t="s">
        <v>51771</v>
      </c>
      <c r="V8518" t="s">
        <v>57311</v>
      </c>
      <c r="W8518" t="s">
        <v>41585</v>
      </c>
      <c r="X8518" t="s">
        <v>42682</v>
      </c>
    </row>
    <row r="8519" spans="1:24">
      <c r="A8519">
        <f>HYPERLINK("https://www.philgeps.gov.ph/GEPSNONPILOT/Tender/SplashBidNoticeAbstractUI.aspx?menuIndex=3&amp;refID=7179085&amp;Result=3","7179085")</f>
        <v>0</v>
      </c>
      <c r="B8519" t="s">
        <v>1919</v>
      </c>
      <c r="C8519" t="s">
        <v>11668</v>
      </c>
      <c r="D8519" t="s">
        <v>17194</v>
      </c>
      <c r="E8519" t="s">
        <v>24580</v>
      </c>
      <c r="F8519" t="s">
        <v>29372</v>
      </c>
      <c r="G8519" t="s">
        <v>29380</v>
      </c>
      <c r="H8519" t="s">
        <v>11048</v>
      </c>
      <c r="I8519" t="s">
        <v>29395</v>
      </c>
      <c r="J8519" t="s">
        <v>30227</v>
      </c>
      <c r="K8519" t="s">
        <v>38485</v>
      </c>
      <c r="M8519" t="s">
        <v>40794</v>
      </c>
      <c r="N8519" t="s">
        <v>42669</v>
      </c>
      <c r="O8519" t="s">
        <v>42670</v>
      </c>
      <c r="P8519">
        <v>0</v>
      </c>
      <c r="Q8519">
        <v>0</v>
      </c>
      <c r="R8519" t="s">
        <v>42679</v>
      </c>
      <c r="S8519" t="s">
        <v>42923</v>
      </c>
      <c r="T8519" t="s">
        <v>44432</v>
      </c>
      <c r="U8519" t="s">
        <v>49835</v>
      </c>
      <c r="V8519" t="s">
        <v>56972</v>
      </c>
      <c r="W8519" t="s">
        <v>40794</v>
      </c>
      <c r="X8519" t="s">
        <v>42682</v>
      </c>
    </row>
    <row r="8520" spans="1:24">
      <c r="A8520">
        <f>HYPERLINK("https://www.philgeps.gov.ph/GEPSNONPILOT/Tender/SplashBidNoticeAbstractUI.aspx?menuIndex=3&amp;refID=7179616&amp;Result=3","7179616")</f>
        <v>0</v>
      </c>
      <c r="B8520" t="s">
        <v>59</v>
      </c>
      <c r="C8520" t="s">
        <v>3596</v>
      </c>
      <c r="D8520" t="s">
        <v>17141</v>
      </c>
      <c r="E8520" t="s">
        <v>24581</v>
      </c>
      <c r="F8520" t="s">
        <v>29372</v>
      </c>
      <c r="G8520" t="s">
        <v>29383</v>
      </c>
      <c r="H8520" t="s">
        <v>11048</v>
      </c>
      <c r="I8520" t="s">
        <v>4487</v>
      </c>
      <c r="J8520" t="s">
        <v>30026</v>
      </c>
      <c r="K8520" t="s">
        <v>38489</v>
      </c>
      <c r="M8520" t="s">
        <v>38813</v>
      </c>
      <c r="N8520" t="s">
        <v>42669</v>
      </c>
      <c r="O8520" t="s">
        <v>42670</v>
      </c>
      <c r="P8520">
        <v>0</v>
      </c>
      <c r="Q8520">
        <v>8</v>
      </c>
      <c r="R8520" t="s">
        <v>42679</v>
      </c>
      <c r="S8520" t="s">
        <v>42923</v>
      </c>
      <c r="T8520" t="s">
        <v>44512</v>
      </c>
      <c r="U8520" t="s">
        <v>46998</v>
      </c>
      <c r="W8520" t="s">
        <v>38813</v>
      </c>
      <c r="X8520" t="s">
        <v>42682</v>
      </c>
    </row>
    <row r="8521" spans="1:24">
      <c r="A8521">
        <f>HYPERLINK("https://www.philgeps.gov.ph/GEPSNONPILOT/Tender/SplashBidNoticeAbstractUI.aspx?menuIndex=3&amp;refID=7179609&amp;Result=3","7179609")</f>
        <v>0</v>
      </c>
      <c r="B8521" t="s">
        <v>1615</v>
      </c>
      <c r="C8521" t="s">
        <v>11669</v>
      </c>
      <c r="D8521" t="s">
        <v>17170</v>
      </c>
      <c r="E8521" t="s">
        <v>20412</v>
      </c>
      <c r="F8521" t="s">
        <v>29372</v>
      </c>
      <c r="G8521" t="s">
        <v>29380</v>
      </c>
      <c r="H8521" t="s">
        <v>29389</v>
      </c>
      <c r="I8521" t="s">
        <v>10408</v>
      </c>
      <c r="J8521" t="s">
        <v>35004</v>
      </c>
      <c r="K8521" t="s">
        <v>38490</v>
      </c>
      <c r="M8521" t="s">
        <v>40468</v>
      </c>
      <c r="N8521" t="s">
        <v>42669</v>
      </c>
      <c r="O8521" t="s">
        <v>42670</v>
      </c>
      <c r="P8521">
        <v>0</v>
      </c>
      <c r="Q8521">
        <v>1</v>
      </c>
      <c r="R8521" t="s">
        <v>42679</v>
      </c>
      <c r="S8521" t="s">
        <v>42923</v>
      </c>
      <c r="T8521" t="s">
        <v>44381</v>
      </c>
      <c r="U8521" t="s">
        <v>51772</v>
      </c>
      <c r="W8521" t="s">
        <v>40468</v>
      </c>
      <c r="X8521" t="s">
        <v>42682</v>
      </c>
    </row>
    <row r="8522" spans="1:24">
      <c r="A8522">
        <f>HYPERLINK("https://www.philgeps.gov.ph/GEPSNONPILOT/Tender/SplashBidNoticeAbstractUI.aspx?menuIndex=3&amp;refID=7179604&amp;Result=3","7179604")</f>
        <v>0</v>
      </c>
      <c r="B8522" t="s">
        <v>2614</v>
      </c>
      <c r="C8522" t="s">
        <v>11670</v>
      </c>
      <c r="D8522" t="s">
        <v>17187</v>
      </c>
      <c r="E8522" t="s">
        <v>24582</v>
      </c>
      <c r="F8522" t="s">
        <v>29372</v>
      </c>
      <c r="G8522" t="s">
        <v>29380</v>
      </c>
      <c r="H8522" t="s">
        <v>29389</v>
      </c>
      <c r="I8522" t="s">
        <v>10408</v>
      </c>
      <c r="J8522" t="s">
        <v>35005</v>
      </c>
      <c r="K8522" t="s">
        <v>38490</v>
      </c>
      <c r="M8522" t="s">
        <v>41584</v>
      </c>
      <c r="N8522" t="s">
        <v>42669</v>
      </c>
      <c r="O8522" t="s">
        <v>42670</v>
      </c>
      <c r="Q8522">
        <v>8</v>
      </c>
      <c r="R8522" t="s">
        <v>42679</v>
      </c>
      <c r="S8522" t="s">
        <v>42934</v>
      </c>
      <c r="T8522" t="s">
        <v>44542</v>
      </c>
      <c r="U8522" t="s">
        <v>51773</v>
      </c>
      <c r="V8522" t="s">
        <v>57310</v>
      </c>
      <c r="W8522" t="s">
        <v>41584</v>
      </c>
      <c r="X8522" t="s">
        <v>42682</v>
      </c>
    </row>
    <row r="8523" spans="1:24">
      <c r="A8523">
        <f>HYPERLINK("https://www.philgeps.gov.ph/GEPSNONPILOT/Tender/SplashBidNoticeAbstractUI.aspx?menuIndex=3&amp;refID=7179506&amp;Result=3","7179506")</f>
        <v>0</v>
      </c>
      <c r="B8523" t="s">
        <v>2614</v>
      </c>
      <c r="C8523" t="s">
        <v>11671</v>
      </c>
      <c r="D8523" t="s">
        <v>17187</v>
      </c>
      <c r="E8523" t="s">
        <v>24583</v>
      </c>
      <c r="F8523" t="s">
        <v>29372</v>
      </c>
      <c r="G8523" t="s">
        <v>29380</v>
      </c>
      <c r="H8523" t="s">
        <v>29389</v>
      </c>
      <c r="I8523" t="s">
        <v>10408</v>
      </c>
      <c r="J8523" t="s">
        <v>29937</v>
      </c>
      <c r="K8523" t="s">
        <v>38490</v>
      </c>
      <c r="M8523" t="s">
        <v>41584</v>
      </c>
      <c r="N8523" t="s">
        <v>42669</v>
      </c>
      <c r="O8523" t="s">
        <v>42670</v>
      </c>
      <c r="Q8523">
        <v>2</v>
      </c>
      <c r="R8523" t="s">
        <v>42679</v>
      </c>
      <c r="S8523" t="s">
        <v>42935</v>
      </c>
      <c r="T8523" t="s">
        <v>44542</v>
      </c>
      <c r="U8523" t="s">
        <v>51774</v>
      </c>
      <c r="V8523" t="s">
        <v>57310</v>
      </c>
      <c r="W8523" t="s">
        <v>41584</v>
      </c>
      <c r="X8523" t="s">
        <v>42682</v>
      </c>
    </row>
    <row r="8524" spans="1:24">
      <c r="A8524">
        <f>HYPERLINK("https://www.philgeps.gov.ph/GEPSNONPILOT/Tender/SplashBidNoticeAbstractUI.aspx?menuIndex=3&amp;refID=7179454&amp;Result=3","7179454")</f>
        <v>0</v>
      </c>
      <c r="B8524" t="s">
        <v>2614</v>
      </c>
      <c r="C8524" t="s">
        <v>11672</v>
      </c>
      <c r="D8524" t="s">
        <v>17187</v>
      </c>
      <c r="E8524" t="s">
        <v>24584</v>
      </c>
      <c r="F8524" t="s">
        <v>29372</v>
      </c>
      <c r="G8524" t="s">
        <v>29380</v>
      </c>
      <c r="H8524" t="s">
        <v>29389</v>
      </c>
      <c r="I8524" t="s">
        <v>10408</v>
      </c>
      <c r="J8524" t="s">
        <v>35006</v>
      </c>
      <c r="K8524" t="s">
        <v>38490</v>
      </c>
      <c r="M8524" t="s">
        <v>41584</v>
      </c>
      <c r="N8524" t="s">
        <v>42669</v>
      </c>
      <c r="O8524" t="s">
        <v>42670</v>
      </c>
      <c r="Q8524">
        <v>2</v>
      </c>
      <c r="R8524" t="s">
        <v>42679</v>
      </c>
      <c r="S8524" t="s">
        <v>42936</v>
      </c>
      <c r="T8524" t="s">
        <v>44542</v>
      </c>
      <c r="U8524" t="s">
        <v>51775</v>
      </c>
      <c r="V8524" t="s">
        <v>57310</v>
      </c>
      <c r="W8524" t="s">
        <v>41584</v>
      </c>
      <c r="X8524" t="s">
        <v>42682</v>
      </c>
    </row>
    <row r="8525" spans="1:24">
      <c r="A8525">
        <f>HYPERLINK("https://www.philgeps.gov.ph/GEPSNONPILOT/Tender/SplashBidNoticeAbstractUI.aspx?menuIndex=3&amp;refID=7179438&amp;Result=3","7179438")</f>
        <v>0</v>
      </c>
      <c r="B8525" t="s">
        <v>2616</v>
      </c>
      <c r="C8525" t="s">
        <v>11673</v>
      </c>
      <c r="D8525" t="s">
        <v>17148</v>
      </c>
      <c r="E8525" t="s">
        <v>24585</v>
      </c>
      <c r="F8525" t="s">
        <v>29372</v>
      </c>
      <c r="G8525" t="s">
        <v>29380</v>
      </c>
      <c r="H8525" t="s">
        <v>29389</v>
      </c>
      <c r="I8525" t="s">
        <v>10408</v>
      </c>
      <c r="J8525" t="s">
        <v>35007</v>
      </c>
      <c r="K8525" t="s">
        <v>38522</v>
      </c>
      <c r="M8525" t="s">
        <v>41586</v>
      </c>
      <c r="N8525" t="s">
        <v>42669</v>
      </c>
      <c r="O8525" t="s">
        <v>42670</v>
      </c>
      <c r="P8525">
        <v>0</v>
      </c>
      <c r="Q8525">
        <v>33</v>
      </c>
      <c r="R8525" t="s">
        <v>42679</v>
      </c>
      <c r="S8525" t="s">
        <v>42923</v>
      </c>
      <c r="T8525" t="s">
        <v>44427</v>
      </c>
      <c r="U8525" t="s">
        <v>51776</v>
      </c>
      <c r="W8525" t="s">
        <v>41586</v>
      </c>
      <c r="X8525" t="s">
        <v>42682</v>
      </c>
    </row>
    <row r="8526" spans="1:24">
      <c r="A8526">
        <f>HYPERLINK("https://www.philgeps.gov.ph/GEPSNONPILOT/Tender/SplashBidNoticeAbstractUI.aspx?menuIndex=3&amp;refID=7179433&amp;Result=3","7179433")</f>
        <v>0</v>
      </c>
      <c r="B8526" t="s">
        <v>589</v>
      </c>
      <c r="C8526" t="s">
        <v>11674</v>
      </c>
      <c r="D8526" t="s">
        <v>17168</v>
      </c>
      <c r="E8526" t="s">
        <v>24586</v>
      </c>
      <c r="F8526" t="s">
        <v>29372</v>
      </c>
      <c r="G8526" t="s">
        <v>29380</v>
      </c>
      <c r="H8526" t="s">
        <v>11048</v>
      </c>
      <c r="I8526" t="s">
        <v>3670</v>
      </c>
      <c r="J8526" t="s">
        <v>35008</v>
      </c>
      <c r="K8526" t="s">
        <v>38491</v>
      </c>
      <c r="M8526" t="s">
        <v>39485</v>
      </c>
      <c r="N8526" t="s">
        <v>42669</v>
      </c>
      <c r="O8526" t="s">
        <v>42670</v>
      </c>
      <c r="P8526">
        <v>0</v>
      </c>
      <c r="Q8526">
        <v>0</v>
      </c>
      <c r="R8526" t="s">
        <v>42679</v>
      </c>
      <c r="S8526" t="s">
        <v>42923</v>
      </c>
      <c r="T8526" t="s">
        <v>44427</v>
      </c>
      <c r="U8526" t="s">
        <v>51777</v>
      </c>
      <c r="V8526" t="s">
        <v>56701</v>
      </c>
      <c r="W8526" t="s">
        <v>39485</v>
      </c>
      <c r="X8526" t="s">
        <v>42682</v>
      </c>
    </row>
    <row r="8527" spans="1:24">
      <c r="A8527">
        <f>HYPERLINK("https://www.philgeps.gov.ph/GEPSNONPILOT/Tender/SplashBidNoticeAbstractUI.aspx?menuIndex=3&amp;refID=7179166&amp;Result=3","7179166")</f>
        <v>0</v>
      </c>
      <c r="B8527" t="s">
        <v>2608</v>
      </c>
      <c r="C8527" t="s">
        <v>11675</v>
      </c>
      <c r="D8527" t="s">
        <v>17192</v>
      </c>
      <c r="E8527" t="s">
        <v>24587</v>
      </c>
      <c r="F8527" t="s">
        <v>29372</v>
      </c>
      <c r="G8527" t="s">
        <v>29380</v>
      </c>
      <c r="H8527" t="s">
        <v>11048</v>
      </c>
      <c r="I8527" t="s">
        <v>29417</v>
      </c>
      <c r="J8527" t="s">
        <v>29724</v>
      </c>
      <c r="K8527" t="s">
        <v>38487</v>
      </c>
      <c r="M8527" t="s">
        <v>41577</v>
      </c>
      <c r="N8527" t="s">
        <v>42669</v>
      </c>
      <c r="O8527" t="s">
        <v>42670</v>
      </c>
      <c r="P8527">
        <v>0</v>
      </c>
      <c r="Q8527">
        <v>6</v>
      </c>
      <c r="R8527" t="s">
        <v>42679</v>
      </c>
      <c r="S8527" t="s">
        <v>42923</v>
      </c>
      <c r="T8527" t="s">
        <v>44761</v>
      </c>
      <c r="U8527" t="s">
        <v>51778</v>
      </c>
      <c r="W8527" t="s">
        <v>41577</v>
      </c>
      <c r="X8527" t="s">
        <v>42682</v>
      </c>
    </row>
    <row r="8528" spans="1:24">
      <c r="A8528">
        <f>HYPERLINK("https://www.philgeps.gov.ph/GEPSNONPILOT/Tender/SplashBidNoticeAbstractUI.aspx?menuIndex=3&amp;refID=7179361&amp;Result=3","7179361")</f>
        <v>0</v>
      </c>
      <c r="B8528" t="s">
        <v>1512</v>
      </c>
      <c r="C8528" t="s">
        <v>11676</v>
      </c>
      <c r="E8528" t="s">
        <v>24588</v>
      </c>
      <c r="F8528" t="s">
        <v>29372</v>
      </c>
      <c r="G8528" t="s">
        <v>29380</v>
      </c>
      <c r="H8528" t="s">
        <v>29389</v>
      </c>
      <c r="I8528" t="s">
        <v>10408</v>
      </c>
      <c r="J8528" t="s">
        <v>35009</v>
      </c>
      <c r="K8528" t="s">
        <v>38490</v>
      </c>
      <c r="M8528" t="s">
        <v>40356</v>
      </c>
      <c r="N8528" t="s">
        <v>42669</v>
      </c>
      <c r="O8528" t="s">
        <v>42670</v>
      </c>
      <c r="P8528">
        <v>0</v>
      </c>
      <c r="Q8528">
        <v>6</v>
      </c>
      <c r="R8528" t="s">
        <v>42679</v>
      </c>
      <c r="S8528" t="s">
        <v>42923</v>
      </c>
      <c r="T8528" t="s">
        <v>44762</v>
      </c>
      <c r="U8528" t="s">
        <v>51779</v>
      </c>
      <c r="V8528" t="s">
        <v>57312</v>
      </c>
      <c r="W8528" t="s">
        <v>40356</v>
      </c>
      <c r="X8528" t="s">
        <v>42682</v>
      </c>
    </row>
    <row r="8529" spans="1:24">
      <c r="A8529">
        <f>HYPERLINK("https://www.philgeps.gov.ph/GEPSNONPILOT/Tender/SplashBidNoticeAbstractUI.aspx?menuIndex=3&amp;refID=7179171&amp;Result=3","7179171")</f>
        <v>0</v>
      </c>
      <c r="B8529" t="s">
        <v>1919</v>
      </c>
      <c r="C8529" t="s">
        <v>11677</v>
      </c>
      <c r="D8529" t="s">
        <v>17194</v>
      </c>
      <c r="E8529" t="s">
        <v>24589</v>
      </c>
      <c r="F8529" t="s">
        <v>29372</v>
      </c>
      <c r="G8529" t="s">
        <v>29380</v>
      </c>
      <c r="H8529" t="s">
        <v>11048</v>
      </c>
      <c r="I8529" t="s">
        <v>29393</v>
      </c>
      <c r="J8529" t="s">
        <v>29609</v>
      </c>
      <c r="K8529" t="s">
        <v>38485</v>
      </c>
      <c r="M8529" t="s">
        <v>40794</v>
      </c>
      <c r="N8529" t="s">
        <v>42669</v>
      </c>
      <c r="O8529" t="s">
        <v>42670</v>
      </c>
      <c r="P8529">
        <v>0</v>
      </c>
      <c r="Q8529">
        <v>0</v>
      </c>
      <c r="R8529" t="s">
        <v>42679</v>
      </c>
      <c r="S8529" t="s">
        <v>42923</v>
      </c>
      <c r="T8529" t="s">
        <v>44432</v>
      </c>
      <c r="U8529" t="s">
        <v>51758</v>
      </c>
      <c r="V8529" t="s">
        <v>56972</v>
      </c>
      <c r="W8529" t="s">
        <v>40794</v>
      </c>
      <c r="X8529" t="s">
        <v>42682</v>
      </c>
    </row>
    <row r="8530" spans="1:24">
      <c r="A8530">
        <f>HYPERLINK("https://www.philgeps.gov.ph/GEPSNONPILOT/Tender/SplashBidNoticeAbstractUI.aspx?menuIndex=3&amp;refID=7179349&amp;Result=3","7179349")</f>
        <v>0</v>
      </c>
      <c r="B8530" t="s">
        <v>79</v>
      </c>
      <c r="C8530" t="s">
        <v>3816</v>
      </c>
      <c r="D8530" t="s">
        <v>17172</v>
      </c>
      <c r="E8530" t="s">
        <v>24590</v>
      </c>
      <c r="F8530" t="s">
        <v>29372</v>
      </c>
      <c r="G8530" t="s">
        <v>29383</v>
      </c>
      <c r="H8530" t="s">
        <v>11048</v>
      </c>
      <c r="I8530" t="s">
        <v>5383</v>
      </c>
      <c r="J8530" t="s">
        <v>35010</v>
      </c>
      <c r="K8530" t="s">
        <v>38491</v>
      </c>
      <c r="M8530" t="s">
        <v>38833</v>
      </c>
      <c r="N8530" t="s">
        <v>42669</v>
      </c>
      <c r="O8530" t="s">
        <v>42670</v>
      </c>
      <c r="P8530">
        <v>0</v>
      </c>
      <c r="Q8530">
        <v>1</v>
      </c>
      <c r="R8530" t="s">
        <v>42679</v>
      </c>
      <c r="S8530" t="s">
        <v>42923</v>
      </c>
      <c r="T8530" t="s">
        <v>44488</v>
      </c>
      <c r="U8530" t="s">
        <v>51780</v>
      </c>
      <c r="W8530" t="s">
        <v>38833</v>
      </c>
      <c r="X8530" t="s">
        <v>42682</v>
      </c>
    </row>
    <row r="8531" spans="1:24">
      <c r="A8531">
        <f>HYPERLINK("https://www.philgeps.gov.ph/GEPSNONPILOT/Tender/SplashBidNoticeAbstractUI.aspx?menuIndex=3&amp;refID=7179353&amp;Result=3","7179353")</f>
        <v>0</v>
      </c>
      <c r="B8531" t="s">
        <v>149</v>
      </c>
      <c r="C8531" t="s">
        <v>11678</v>
      </c>
      <c r="D8531" t="s">
        <v>17190</v>
      </c>
      <c r="E8531" t="s">
        <v>17541</v>
      </c>
      <c r="F8531" t="s">
        <v>29372</v>
      </c>
      <c r="G8531" t="s">
        <v>29380</v>
      </c>
      <c r="H8531" t="s">
        <v>29389</v>
      </c>
      <c r="I8531" t="s">
        <v>10408</v>
      </c>
      <c r="J8531" t="s">
        <v>35011</v>
      </c>
      <c r="K8531" t="s">
        <v>38490</v>
      </c>
      <c r="M8531" t="s">
        <v>38904</v>
      </c>
      <c r="N8531" t="s">
        <v>42669</v>
      </c>
      <c r="O8531" t="s">
        <v>42670</v>
      </c>
      <c r="P8531">
        <v>0</v>
      </c>
      <c r="Q8531">
        <v>0</v>
      </c>
      <c r="R8531" t="s">
        <v>42679</v>
      </c>
      <c r="S8531" t="s">
        <v>42923</v>
      </c>
      <c r="T8531" t="s">
        <v>44368</v>
      </c>
      <c r="U8531" t="s">
        <v>51781</v>
      </c>
      <c r="V8531" t="s">
        <v>57287</v>
      </c>
      <c r="W8531" t="s">
        <v>38904</v>
      </c>
      <c r="X8531" t="s">
        <v>42682</v>
      </c>
    </row>
    <row r="8532" spans="1:24">
      <c r="A8532">
        <f>HYPERLINK("https://www.philgeps.gov.ph/GEPSNONPILOT/Tender/SplashBidNoticeAbstractUI.aspx?menuIndex=3&amp;refID=7179299&amp;Result=3","7179299")</f>
        <v>0</v>
      </c>
      <c r="B8532" t="s">
        <v>1512</v>
      </c>
      <c r="C8532" t="s">
        <v>11679</v>
      </c>
      <c r="E8532" t="s">
        <v>24591</v>
      </c>
      <c r="F8532" t="s">
        <v>29372</v>
      </c>
      <c r="G8532" t="s">
        <v>29380</v>
      </c>
      <c r="H8532" t="s">
        <v>29389</v>
      </c>
      <c r="I8532" t="s">
        <v>10408</v>
      </c>
      <c r="J8532" t="s">
        <v>35012</v>
      </c>
      <c r="K8532" t="s">
        <v>38490</v>
      </c>
      <c r="M8532" t="s">
        <v>40356</v>
      </c>
      <c r="N8532" t="s">
        <v>42669</v>
      </c>
      <c r="O8532" t="s">
        <v>42670</v>
      </c>
      <c r="P8532">
        <v>0</v>
      </c>
      <c r="Q8532">
        <v>6</v>
      </c>
      <c r="R8532" t="s">
        <v>42679</v>
      </c>
      <c r="S8532" t="s">
        <v>42923</v>
      </c>
      <c r="T8532" t="s">
        <v>44762</v>
      </c>
      <c r="U8532" t="s">
        <v>51779</v>
      </c>
      <c r="V8532" t="s">
        <v>57313</v>
      </c>
      <c r="W8532" t="s">
        <v>40356</v>
      </c>
      <c r="X8532" t="s">
        <v>42682</v>
      </c>
    </row>
    <row r="8533" spans="1:24">
      <c r="A8533">
        <f>HYPERLINK("https://www.philgeps.gov.ph/GEPSNONPILOT/Tender/SplashBidNoticeAbstractUI.aspx?menuIndex=3&amp;refID=7179140&amp;Result=3","7179140")</f>
        <v>0</v>
      </c>
      <c r="B8533" t="s">
        <v>1919</v>
      </c>
      <c r="C8533" t="s">
        <v>11680</v>
      </c>
      <c r="D8533" t="s">
        <v>17194</v>
      </c>
      <c r="E8533" t="s">
        <v>24592</v>
      </c>
      <c r="F8533" t="s">
        <v>29372</v>
      </c>
      <c r="G8533" t="s">
        <v>29380</v>
      </c>
      <c r="H8533" t="s">
        <v>11048</v>
      </c>
      <c r="I8533" t="s">
        <v>29393</v>
      </c>
      <c r="J8533" t="s">
        <v>29609</v>
      </c>
      <c r="K8533" t="s">
        <v>38485</v>
      </c>
      <c r="M8533" t="s">
        <v>40794</v>
      </c>
      <c r="N8533" t="s">
        <v>42669</v>
      </c>
      <c r="O8533" t="s">
        <v>42670</v>
      </c>
      <c r="P8533">
        <v>0</v>
      </c>
      <c r="Q8533">
        <v>0</v>
      </c>
      <c r="R8533" t="s">
        <v>42679</v>
      </c>
      <c r="S8533" t="s">
        <v>42923</v>
      </c>
      <c r="T8533" t="s">
        <v>44432</v>
      </c>
      <c r="U8533" t="s">
        <v>51758</v>
      </c>
      <c r="V8533" t="s">
        <v>56972</v>
      </c>
      <c r="W8533" t="s">
        <v>40794</v>
      </c>
      <c r="X8533" t="s">
        <v>42682</v>
      </c>
    </row>
    <row r="8534" spans="1:24">
      <c r="A8534">
        <f>HYPERLINK("https://www.philgeps.gov.ph/GEPSNONPILOT/Tender/SplashBidNoticeAbstractUI.aspx?menuIndex=3&amp;refID=7179233&amp;Result=3","7179233")</f>
        <v>0</v>
      </c>
      <c r="B8534" t="s">
        <v>2612</v>
      </c>
      <c r="C8534" t="s">
        <v>11681</v>
      </c>
      <c r="D8534" t="s">
        <v>17194</v>
      </c>
      <c r="E8534" t="s">
        <v>24593</v>
      </c>
      <c r="F8534" t="s">
        <v>29372</v>
      </c>
      <c r="G8534" t="s">
        <v>29380</v>
      </c>
      <c r="H8534" t="s">
        <v>11048</v>
      </c>
      <c r="I8534" t="s">
        <v>29393</v>
      </c>
      <c r="J8534" t="s">
        <v>35013</v>
      </c>
      <c r="K8534" t="s">
        <v>38491</v>
      </c>
      <c r="M8534" t="s">
        <v>41582</v>
      </c>
      <c r="N8534" t="s">
        <v>42669</v>
      </c>
      <c r="O8534" t="s">
        <v>42670</v>
      </c>
      <c r="P8534">
        <v>0</v>
      </c>
      <c r="Q8534">
        <v>0</v>
      </c>
      <c r="R8534" t="s">
        <v>42679</v>
      </c>
      <c r="S8534" t="s">
        <v>42923</v>
      </c>
      <c r="T8534" t="s">
        <v>44488</v>
      </c>
      <c r="U8534" t="s">
        <v>51782</v>
      </c>
      <c r="W8534" t="s">
        <v>41582</v>
      </c>
      <c r="X8534" t="s">
        <v>42682</v>
      </c>
    </row>
    <row r="8535" spans="1:24">
      <c r="A8535">
        <f>HYPERLINK("https://www.philgeps.gov.ph/GEPSNONPILOT/Tender/SplashBidNoticeAbstractUI.aspx?menuIndex=3&amp;refID=7179230&amp;Result=3","7179230")</f>
        <v>0</v>
      </c>
      <c r="B8535" t="s">
        <v>666</v>
      </c>
      <c r="C8535" t="s">
        <v>11682</v>
      </c>
      <c r="D8535" t="s">
        <v>17205</v>
      </c>
      <c r="E8535" t="s">
        <v>22121</v>
      </c>
      <c r="F8535" t="s">
        <v>29372</v>
      </c>
      <c r="G8535" t="s">
        <v>29384</v>
      </c>
      <c r="H8535" t="s">
        <v>11048</v>
      </c>
      <c r="I8535" t="s">
        <v>29394</v>
      </c>
      <c r="J8535" t="s">
        <v>35014</v>
      </c>
      <c r="K8535" t="s">
        <v>38490</v>
      </c>
      <c r="M8535" t="s">
        <v>39442</v>
      </c>
      <c r="N8535" t="s">
        <v>42669</v>
      </c>
      <c r="O8535" t="s">
        <v>42670</v>
      </c>
      <c r="P8535">
        <v>0</v>
      </c>
      <c r="Q8535">
        <v>3</v>
      </c>
      <c r="R8535" t="s">
        <v>42679</v>
      </c>
      <c r="S8535" t="s">
        <v>42923</v>
      </c>
      <c r="T8535" t="s">
        <v>44452</v>
      </c>
      <c r="U8535" t="s">
        <v>51783</v>
      </c>
      <c r="W8535" t="s">
        <v>39442</v>
      </c>
      <c r="X8535" t="s">
        <v>42682</v>
      </c>
    </row>
    <row r="8536" spans="1:24">
      <c r="A8536">
        <f>HYPERLINK("https://www.philgeps.gov.ph/GEPSNONPILOT/Tender/SplashBidNoticeAbstractUI.aspx?menuIndex=3&amp;refID=7179194&amp;Result=3","7179194")</f>
        <v>0</v>
      </c>
      <c r="B8536" t="s">
        <v>1919</v>
      </c>
      <c r="C8536" t="s">
        <v>11683</v>
      </c>
      <c r="D8536" t="s">
        <v>17194</v>
      </c>
      <c r="E8536" t="s">
        <v>24594</v>
      </c>
      <c r="F8536" t="s">
        <v>29372</v>
      </c>
      <c r="G8536" t="s">
        <v>29380</v>
      </c>
      <c r="H8536" t="s">
        <v>11048</v>
      </c>
      <c r="I8536" t="s">
        <v>29393</v>
      </c>
      <c r="J8536" t="s">
        <v>29609</v>
      </c>
      <c r="K8536" t="s">
        <v>38485</v>
      </c>
      <c r="M8536" t="s">
        <v>40794</v>
      </c>
      <c r="N8536" t="s">
        <v>42669</v>
      </c>
      <c r="O8536" t="s">
        <v>42670</v>
      </c>
      <c r="P8536">
        <v>0</v>
      </c>
      <c r="Q8536">
        <v>0</v>
      </c>
      <c r="R8536" t="s">
        <v>42679</v>
      </c>
      <c r="S8536" t="s">
        <v>42923</v>
      </c>
      <c r="T8536" t="s">
        <v>44432</v>
      </c>
      <c r="U8536" t="s">
        <v>51758</v>
      </c>
      <c r="V8536" t="s">
        <v>56972</v>
      </c>
      <c r="W8536" t="s">
        <v>40794</v>
      </c>
      <c r="X8536" t="s">
        <v>42682</v>
      </c>
    </row>
    <row r="8537" spans="1:24">
      <c r="A8537">
        <f>HYPERLINK("https://www.philgeps.gov.ph/GEPSNONPILOT/Tender/SplashBidNoticeAbstractUI.aspx?menuIndex=3&amp;refID=7179030&amp;Result=3","7179030")</f>
        <v>0</v>
      </c>
      <c r="B8537" t="s">
        <v>149</v>
      </c>
      <c r="C8537" t="s">
        <v>11684</v>
      </c>
      <c r="D8537" t="s">
        <v>17190</v>
      </c>
      <c r="E8537" t="s">
        <v>17541</v>
      </c>
      <c r="F8537" t="s">
        <v>29372</v>
      </c>
      <c r="G8537" t="s">
        <v>29380</v>
      </c>
      <c r="H8537" t="s">
        <v>29389</v>
      </c>
      <c r="I8537" t="s">
        <v>10408</v>
      </c>
      <c r="J8537" t="s">
        <v>29590</v>
      </c>
      <c r="K8537" t="s">
        <v>38490</v>
      </c>
      <c r="M8537" t="s">
        <v>38904</v>
      </c>
      <c r="N8537" t="s">
        <v>42669</v>
      </c>
      <c r="O8537" t="s">
        <v>42670</v>
      </c>
      <c r="P8537">
        <v>0</v>
      </c>
      <c r="Q8537">
        <v>0</v>
      </c>
      <c r="R8537" t="s">
        <v>42679</v>
      </c>
      <c r="S8537" t="s">
        <v>42923</v>
      </c>
      <c r="T8537" t="s">
        <v>44368</v>
      </c>
      <c r="U8537" t="s">
        <v>51784</v>
      </c>
      <c r="V8537" t="s">
        <v>57287</v>
      </c>
      <c r="W8537" t="s">
        <v>38904</v>
      </c>
      <c r="X8537" t="s">
        <v>42682</v>
      </c>
    </row>
    <row r="8538" spans="1:24">
      <c r="A8538">
        <f>HYPERLINK("https://www.philgeps.gov.ph/GEPSNONPILOT/Tender/SplashBidNoticeAbstractUI.aspx?menuIndex=3&amp;refID=7179226&amp;Result=3","7179226")</f>
        <v>0</v>
      </c>
      <c r="B8538" t="s">
        <v>1512</v>
      </c>
      <c r="C8538" t="s">
        <v>11685</v>
      </c>
      <c r="E8538" t="s">
        <v>24595</v>
      </c>
      <c r="F8538" t="s">
        <v>29372</v>
      </c>
      <c r="G8538" t="s">
        <v>29380</v>
      </c>
      <c r="H8538" t="s">
        <v>29389</v>
      </c>
      <c r="I8538" t="s">
        <v>10408</v>
      </c>
      <c r="J8538" t="s">
        <v>35015</v>
      </c>
      <c r="K8538" t="s">
        <v>38490</v>
      </c>
      <c r="M8538" t="s">
        <v>40356</v>
      </c>
      <c r="N8538" t="s">
        <v>42669</v>
      </c>
      <c r="O8538" t="s">
        <v>42670</v>
      </c>
      <c r="P8538">
        <v>0</v>
      </c>
      <c r="Q8538">
        <v>5</v>
      </c>
      <c r="R8538" t="s">
        <v>42679</v>
      </c>
      <c r="S8538" t="s">
        <v>42923</v>
      </c>
      <c r="T8538" t="s">
        <v>44762</v>
      </c>
      <c r="U8538" t="s">
        <v>51779</v>
      </c>
      <c r="V8538" t="s">
        <v>57314</v>
      </c>
      <c r="W8538" t="s">
        <v>40356</v>
      </c>
      <c r="X8538" t="s">
        <v>42682</v>
      </c>
    </row>
    <row r="8539" spans="1:24">
      <c r="A8539">
        <f>HYPERLINK("https://www.philgeps.gov.ph/GEPSNONPILOT/Tender/SplashBidNoticeAbstractUI.aspx?menuIndex=3&amp;refID=7179376&amp;Result=3","7179376")</f>
        <v>0</v>
      </c>
      <c r="B8539" t="s">
        <v>589</v>
      </c>
      <c r="C8539" t="s">
        <v>11686</v>
      </c>
      <c r="D8539" t="s">
        <v>17168</v>
      </c>
      <c r="E8539" t="s">
        <v>24596</v>
      </c>
      <c r="F8539" t="s">
        <v>29372</v>
      </c>
      <c r="G8539" t="s">
        <v>29380</v>
      </c>
      <c r="H8539" t="s">
        <v>11048</v>
      </c>
      <c r="I8539" t="s">
        <v>8794</v>
      </c>
      <c r="J8539" t="s">
        <v>35016</v>
      </c>
      <c r="K8539" t="s">
        <v>38491</v>
      </c>
      <c r="M8539" t="s">
        <v>39485</v>
      </c>
      <c r="N8539" t="s">
        <v>42669</v>
      </c>
      <c r="O8539" t="s">
        <v>42670</v>
      </c>
      <c r="P8539">
        <v>0</v>
      </c>
      <c r="Q8539">
        <v>0</v>
      </c>
      <c r="R8539" t="s">
        <v>42679</v>
      </c>
      <c r="S8539" t="s">
        <v>42923</v>
      </c>
      <c r="T8539" t="s">
        <v>44427</v>
      </c>
      <c r="U8539" t="s">
        <v>51785</v>
      </c>
      <c r="V8539" t="s">
        <v>56701</v>
      </c>
      <c r="W8539" t="s">
        <v>39485</v>
      </c>
      <c r="X8539" t="s">
        <v>42682</v>
      </c>
    </row>
    <row r="8540" spans="1:24">
      <c r="A8540">
        <f>HYPERLINK("https://www.philgeps.gov.ph/GEPSNONPILOT/Tender/SplashBidNoticeAbstractUI.aspx?menuIndex=3&amp;refID=7178820&amp;Result=3","7178820")</f>
        <v>0</v>
      </c>
      <c r="B8540" t="s">
        <v>149</v>
      </c>
      <c r="C8540" t="s">
        <v>11687</v>
      </c>
      <c r="D8540" t="s">
        <v>17190</v>
      </c>
      <c r="E8540" t="s">
        <v>17541</v>
      </c>
      <c r="F8540" t="s">
        <v>29372</v>
      </c>
      <c r="G8540" t="s">
        <v>29380</v>
      </c>
      <c r="H8540" t="s">
        <v>29389</v>
      </c>
      <c r="I8540" t="s">
        <v>10408</v>
      </c>
      <c r="J8540" t="s">
        <v>29777</v>
      </c>
      <c r="K8540" t="s">
        <v>38490</v>
      </c>
      <c r="M8540" t="s">
        <v>38904</v>
      </c>
      <c r="N8540" t="s">
        <v>42669</v>
      </c>
      <c r="O8540" t="s">
        <v>42670</v>
      </c>
      <c r="P8540">
        <v>0</v>
      </c>
      <c r="Q8540">
        <v>0</v>
      </c>
      <c r="R8540" t="s">
        <v>42679</v>
      </c>
      <c r="S8540" t="s">
        <v>42923</v>
      </c>
      <c r="T8540" t="s">
        <v>44368</v>
      </c>
      <c r="U8540" t="s">
        <v>51786</v>
      </c>
      <c r="V8540" t="s">
        <v>57287</v>
      </c>
      <c r="W8540" t="s">
        <v>38904</v>
      </c>
      <c r="X8540" t="s">
        <v>42682</v>
      </c>
    </row>
    <row r="8541" spans="1:24">
      <c r="A8541">
        <f>HYPERLINK("https://www.philgeps.gov.ph/GEPSNONPILOT/Tender/SplashBidNoticeAbstractUI.aspx?menuIndex=3&amp;refID=7179811&amp;Result=3","7179811")</f>
        <v>0</v>
      </c>
      <c r="B8541" t="s">
        <v>2217</v>
      </c>
      <c r="C8541" t="s">
        <v>11688</v>
      </c>
      <c r="D8541" t="s">
        <v>17240</v>
      </c>
      <c r="E8541" t="s">
        <v>24597</v>
      </c>
      <c r="F8541" t="s">
        <v>29372</v>
      </c>
      <c r="G8541" t="s">
        <v>29380</v>
      </c>
      <c r="H8541" t="s">
        <v>11048</v>
      </c>
      <c r="I8541" t="s">
        <v>29404</v>
      </c>
      <c r="J8541" t="s">
        <v>32024</v>
      </c>
      <c r="K8541" t="s">
        <v>38495</v>
      </c>
      <c r="M8541" t="s">
        <v>41587</v>
      </c>
      <c r="N8541" t="s">
        <v>42669</v>
      </c>
      <c r="O8541" t="s">
        <v>42670</v>
      </c>
      <c r="P8541">
        <v>0</v>
      </c>
      <c r="Q8541">
        <v>0</v>
      </c>
      <c r="R8541" t="s">
        <v>42679</v>
      </c>
      <c r="S8541" t="s">
        <v>42923</v>
      </c>
      <c r="T8541" t="s">
        <v>44442</v>
      </c>
      <c r="U8541" t="s">
        <v>51787</v>
      </c>
      <c r="W8541" t="s">
        <v>41587</v>
      </c>
      <c r="X8541" t="s">
        <v>42682</v>
      </c>
    </row>
    <row r="8542" spans="1:24">
      <c r="A8542">
        <f>HYPERLINK("https://www.philgeps.gov.ph/GEPSNONPILOT/Tender/SplashBidNoticeAbstractUI.aspx?menuIndex=3&amp;refID=7178847&amp;Result=3","7178847")</f>
        <v>0</v>
      </c>
      <c r="B8542" t="s">
        <v>589</v>
      </c>
      <c r="C8542" t="s">
        <v>11689</v>
      </c>
      <c r="D8542" t="s">
        <v>17168</v>
      </c>
      <c r="E8542" t="s">
        <v>24598</v>
      </c>
      <c r="F8542" t="s">
        <v>29372</v>
      </c>
      <c r="G8542" t="s">
        <v>29380</v>
      </c>
      <c r="H8542" t="s">
        <v>11048</v>
      </c>
      <c r="I8542" t="s">
        <v>29393</v>
      </c>
      <c r="J8542" t="s">
        <v>35017</v>
      </c>
      <c r="K8542" t="s">
        <v>38538</v>
      </c>
      <c r="M8542" t="s">
        <v>40153</v>
      </c>
      <c r="N8542" t="s">
        <v>42669</v>
      </c>
      <c r="O8542" t="s">
        <v>42670</v>
      </c>
      <c r="P8542">
        <v>0</v>
      </c>
      <c r="Q8542">
        <v>0</v>
      </c>
      <c r="R8542" t="s">
        <v>42679</v>
      </c>
      <c r="S8542" t="s">
        <v>42923</v>
      </c>
      <c r="T8542" t="s">
        <v>44427</v>
      </c>
      <c r="U8542" t="s">
        <v>51788</v>
      </c>
      <c r="V8542" t="s">
        <v>56460</v>
      </c>
      <c r="W8542" t="s">
        <v>40153</v>
      </c>
      <c r="X8542" t="s">
        <v>42682</v>
      </c>
    </row>
    <row r="8543" spans="1:24">
      <c r="A8543">
        <f>HYPERLINK("https://www.philgeps.gov.ph/GEPSNONPILOT/Tender/SplashBidNoticeAbstractUI.aspx?menuIndex=3&amp;refID=7179297&amp;Result=3","7179297")</f>
        <v>0</v>
      </c>
      <c r="B8543" t="s">
        <v>2147</v>
      </c>
      <c r="C8543" t="s">
        <v>11690</v>
      </c>
      <c r="D8543" t="s">
        <v>17174</v>
      </c>
      <c r="E8543" t="s">
        <v>24599</v>
      </c>
      <c r="F8543" t="s">
        <v>29372</v>
      </c>
      <c r="G8543" t="s">
        <v>29380</v>
      </c>
      <c r="H8543" t="s">
        <v>11048</v>
      </c>
      <c r="I8543" t="s">
        <v>3670</v>
      </c>
      <c r="J8543" t="s">
        <v>35018</v>
      </c>
      <c r="K8543" t="s">
        <v>38490</v>
      </c>
      <c r="M8543" t="s">
        <v>41054</v>
      </c>
      <c r="N8543" t="s">
        <v>42669</v>
      </c>
      <c r="O8543" t="s">
        <v>42670</v>
      </c>
      <c r="P8543">
        <v>0</v>
      </c>
      <c r="Q8543">
        <v>0</v>
      </c>
      <c r="R8543" t="s">
        <v>42679</v>
      </c>
      <c r="S8543" t="s">
        <v>42923</v>
      </c>
      <c r="T8543" t="s">
        <v>44450</v>
      </c>
      <c r="U8543" t="s">
        <v>51789</v>
      </c>
      <c r="W8543" t="s">
        <v>41054</v>
      </c>
      <c r="X8543" t="s">
        <v>42682</v>
      </c>
    </row>
    <row r="8544" spans="1:24">
      <c r="A8544">
        <f>HYPERLINK("https://www.philgeps.gov.ph/GEPSNONPILOT/Tender/SplashBidNoticeAbstractUI.aspx?menuIndex=3&amp;refID=7179802&amp;Result=3","7179802")</f>
        <v>0</v>
      </c>
      <c r="B8544" t="s">
        <v>2217</v>
      </c>
      <c r="C8544" t="s">
        <v>11691</v>
      </c>
      <c r="D8544" t="s">
        <v>17237</v>
      </c>
      <c r="E8544" t="s">
        <v>24600</v>
      </c>
      <c r="F8544" t="s">
        <v>29372</v>
      </c>
      <c r="G8544" t="s">
        <v>29380</v>
      </c>
      <c r="H8544" t="s">
        <v>11048</v>
      </c>
      <c r="I8544" t="s">
        <v>29428</v>
      </c>
      <c r="J8544" t="s">
        <v>35019</v>
      </c>
      <c r="K8544" t="s">
        <v>38485</v>
      </c>
      <c r="M8544" t="s">
        <v>41587</v>
      </c>
      <c r="N8544" t="s">
        <v>42669</v>
      </c>
      <c r="O8544" t="s">
        <v>42670</v>
      </c>
      <c r="P8544">
        <v>0</v>
      </c>
      <c r="Q8544">
        <v>0</v>
      </c>
      <c r="R8544" t="s">
        <v>42679</v>
      </c>
      <c r="S8544" t="s">
        <v>42923</v>
      </c>
      <c r="T8544" t="s">
        <v>44442</v>
      </c>
      <c r="U8544" t="s">
        <v>51790</v>
      </c>
      <c r="W8544" t="s">
        <v>41587</v>
      </c>
      <c r="X8544" t="s">
        <v>42682</v>
      </c>
    </row>
    <row r="8545" spans="1:24">
      <c r="A8545">
        <f>HYPERLINK("https://www.philgeps.gov.ph/GEPSNONPILOT/Tender/SplashBidNoticeAbstractUI.aspx?menuIndex=3&amp;refID=7179770&amp;Result=3","7179770")</f>
        <v>0</v>
      </c>
      <c r="B8545" t="s">
        <v>2617</v>
      </c>
      <c r="C8545" t="s">
        <v>11692</v>
      </c>
      <c r="D8545" t="s">
        <v>17163</v>
      </c>
      <c r="E8545" t="s">
        <v>24601</v>
      </c>
      <c r="F8545" t="s">
        <v>29372</v>
      </c>
      <c r="G8545" t="s">
        <v>29380</v>
      </c>
      <c r="H8545" t="s">
        <v>29389</v>
      </c>
      <c r="I8545" t="s">
        <v>10408</v>
      </c>
      <c r="J8545" t="s">
        <v>35020</v>
      </c>
      <c r="K8545" t="s">
        <v>38490</v>
      </c>
      <c r="M8545" t="s">
        <v>41588</v>
      </c>
      <c r="N8545" t="s">
        <v>42669</v>
      </c>
      <c r="O8545" t="s">
        <v>42670</v>
      </c>
      <c r="Q8545">
        <v>39</v>
      </c>
      <c r="R8545" t="s">
        <v>42679</v>
      </c>
      <c r="S8545" t="s">
        <v>42937</v>
      </c>
      <c r="T8545" t="s">
        <v>44590</v>
      </c>
      <c r="U8545" t="s">
        <v>51791</v>
      </c>
      <c r="W8545" t="s">
        <v>41588</v>
      </c>
      <c r="X8545" t="s">
        <v>42682</v>
      </c>
    </row>
    <row r="8546" spans="1:24">
      <c r="A8546">
        <f>HYPERLINK("https://www.philgeps.gov.ph/GEPSNONPILOT/Tender/SplashBidNoticeAbstractUI.aspx?menuIndex=3&amp;refID=7179032&amp;Result=3","7179032")</f>
        <v>0</v>
      </c>
      <c r="B8546" t="s">
        <v>589</v>
      </c>
      <c r="C8546" t="s">
        <v>11693</v>
      </c>
      <c r="D8546" t="s">
        <v>17168</v>
      </c>
      <c r="E8546" t="s">
        <v>24602</v>
      </c>
      <c r="F8546" t="s">
        <v>29372</v>
      </c>
      <c r="G8546" t="s">
        <v>29380</v>
      </c>
      <c r="H8546" t="s">
        <v>11048</v>
      </c>
      <c r="I8546" t="s">
        <v>3839</v>
      </c>
      <c r="J8546" t="s">
        <v>30412</v>
      </c>
      <c r="K8546" t="s">
        <v>38538</v>
      </c>
      <c r="M8546" t="s">
        <v>39485</v>
      </c>
      <c r="N8546" t="s">
        <v>42669</v>
      </c>
      <c r="O8546" t="s">
        <v>42670</v>
      </c>
      <c r="P8546">
        <v>0</v>
      </c>
      <c r="Q8546">
        <v>2</v>
      </c>
      <c r="R8546" t="s">
        <v>42679</v>
      </c>
      <c r="S8546" t="s">
        <v>42923</v>
      </c>
      <c r="T8546" t="s">
        <v>44559</v>
      </c>
      <c r="U8546" t="s">
        <v>51792</v>
      </c>
      <c r="V8546" t="s">
        <v>56701</v>
      </c>
      <c r="W8546" t="s">
        <v>39485</v>
      </c>
      <c r="X8546" t="s">
        <v>42682</v>
      </c>
    </row>
    <row r="8547" spans="1:24">
      <c r="A8547">
        <f>HYPERLINK("https://www.philgeps.gov.ph/GEPSNONPILOT/Tender/SplashBidNoticeAbstractUI.aspx?menuIndex=3&amp;refID=7179763&amp;Result=3","7179763")</f>
        <v>0</v>
      </c>
      <c r="B8547" t="s">
        <v>116</v>
      </c>
      <c r="C8547" t="s">
        <v>11694</v>
      </c>
      <c r="D8547" t="s">
        <v>17170</v>
      </c>
      <c r="E8547" t="s">
        <v>24603</v>
      </c>
      <c r="F8547" t="s">
        <v>29372</v>
      </c>
      <c r="G8547" t="s">
        <v>29380</v>
      </c>
      <c r="H8547" t="s">
        <v>29389</v>
      </c>
      <c r="I8547" t="s">
        <v>10408</v>
      </c>
      <c r="J8547" t="s">
        <v>35021</v>
      </c>
      <c r="K8547" t="s">
        <v>38509</v>
      </c>
      <c r="M8547" t="s">
        <v>38871</v>
      </c>
      <c r="N8547" t="s">
        <v>42669</v>
      </c>
      <c r="O8547" t="s">
        <v>42670</v>
      </c>
      <c r="P8547">
        <v>0</v>
      </c>
      <c r="Q8547">
        <v>1</v>
      </c>
      <c r="R8547" t="s">
        <v>42679</v>
      </c>
      <c r="S8547" t="s">
        <v>42923</v>
      </c>
      <c r="T8547" t="s">
        <v>44355</v>
      </c>
      <c r="U8547" t="s">
        <v>51793</v>
      </c>
      <c r="W8547" t="s">
        <v>38871</v>
      </c>
      <c r="X8547" t="s">
        <v>42682</v>
      </c>
    </row>
    <row r="8548" spans="1:24">
      <c r="A8548">
        <f>HYPERLINK("https://www.philgeps.gov.ph/GEPSNONPILOT/Tender/SplashBidNoticeAbstractUI.aspx?menuIndex=3&amp;refID=7179793&amp;Result=3","7179793")</f>
        <v>0</v>
      </c>
      <c r="B8548" t="s">
        <v>2217</v>
      </c>
      <c r="C8548" t="s">
        <v>11695</v>
      </c>
      <c r="D8548" t="s">
        <v>17168</v>
      </c>
      <c r="E8548" t="s">
        <v>24604</v>
      </c>
      <c r="F8548" t="s">
        <v>29372</v>
      </c>
      <c r="G8548" t="s">
        <v>29381</v>
      </c>
      <c r="H8548" t="s">
        <v>11048</v>
      </c>
      <c r="I8548" t="s">
        <v>29404</v>
      </c>
      <c r="J8548" t="s">
        <v>35022</v>
      </c>
      <c r="K8548" t="s">
        <v>38495</v>
      </c>
      <c r="M8548" t="s">
        <v>41587</v>
      </c>
      <c r="N8548" t="s">
        <v>42669</v>
      </c>
      <c r="O8548" t="s">
        <v>42670</v>
      </c>
      <c r="P8548">
        <v>0</v>
      </c>
      <c r="Q8548">
        <v>2</v>
      </c>
      <c r="R8548" t="s">
        <v>42679</v>
      </c>
      <c r="S8548" t="s">
        <v>42923</v>
      </c>
      <c r="T8548" t="s">
        <v>44714</v>
      </c>
      <c r="U8548" t="s">
        <v>51794</v>
      </c>
      <c r="W8548" t="s">
        <v>41587</v>
      </c>
      <c r="X8548" t="s">
        <v>42682</v>
      </c>
    </row>
    <row r="8549" spans="1:24">
      <c r="A8549">
        <f>HYPERLINK("https://www.philgeps.gov.ph/GEPSNONPILOT/Tender/SplashBidNoticeAbstractUI.aspx?menuIndex=3&amp;refID=7179750&amp;Result=3","7179750")</f>
        <v>0</v>
      </c>
      <c r="B8549" t="s">
        <v>116</v>
      </c>
      <c r="C8549" t="s">
        <v>11696</v>
      </c>
      <c r="D8549" t="s">
        <v>17170</v>
      </c>
      <c r="E8549" t="s">
        <v>24605</v>
      </c>
      <c r="F8549" t="s">
        <v>29372</v>
      </c>
      <c r="G8549" t="s">
        <v>29380</v>
      </c>
      <c r="H8549" t="s">
        <v>29389</v>
      </c>
      <c r="I8549" t="s">
        <v>10408</v>
      </c>
      <c r="J8549" t="s">
        <v>29543</v>
      </c>
      <c r="K8549" t="s">
        <v>38522</v>
      </c>
      <c r="M8549" t="s">
        <v>38871</v>
      </c>
      <c r="N8549" t="s">
        <v>42669</v>
      </c>
      <c r="O8549" t="s">
        <v>42670</v>
      </c>
      <c r="P8549">
        <v>0</v>
      </c>
      <c r="Q8549">
        <v>1</v>
      </c>
      <c r="R8549" t="s">
        <v>42679</v>
      </c>
      <c r="S8549" t="s">
        <v>42923</v>
      </c>
      <c r="T8549" t="s">
        <v>44355</v>
      </c>
      <c r="U8549" t="s">
        <v>51795</v>
      </c>
      <c r="W8549" t="s">
        <v>38871</v>
      </c>
      <c r="X8549" t="s">
        <v>42682</v>
      </c>
    </row>
    <row r="8550" spans="1:24">
      <c r="A8550">
        <f>HYPERLINK("https://www.philgeps.gov.ph/GEPSNONPILOT/Tender/SplashBidNoticeAbstractUI.aspx?menuIndex=3&amp;refID=7179730&amp;Result=3","7179730")</f>
        <v>0</v>
      </c>
      <c r="B8550" t="s">
        <v>2422</v>
      </c>
      <c r="C8550" t="s">
        <v>11697</v>
      </c>
      <c r="D8550" t="s">
        <v>17166</v>
      </c>
      <c r="E8550" t="s">
        <v>19197</v>
      </c>
      <c r="F8550" t="s">
        <v>29372</v>
      </c>
      <c r="G8550" t="s">
        <v>29380</v>
      </c>
      <c r="H8550" t="s">
        <v>11048</v>
      </c>
      <c r="I8550" t="s">
        <v>4709</v>
      </c>
      <c r="J8550" t="s">
        <v>29708</v>
      </c>
      <c r="K8550" t="s">
        <v>38488</v>
      </c>
      <c r="M8550" t="s">
        <v>41369</v>
      </c>
      <c r="N8550" t="s">
        <v>42669</v>
      </c>
      <c r="O8550" t="s">
        <v>42670</v>
      </c>
      <c r="P8550">
        <v>0</v>
      </c>
      <c r="Q8550">
        <v>1</v>
      </c>
      <c r="R8550" t="s">
        <v>42679</v>
      </c>
      <c r="S8550" t="s">
        <v>42923</v>
      </c>
      <c r="T8550" t="s">
        <v>44404</v>
      </c>
      <c r="U8550" t="s">
        <v>51796</v>
      </c>
      <c r="W8550" t="s">
        <v>41369</v>
      </c>
      <c r="X8550" t="s">
        <v>42682</v>
      </c>
    </row>
    <row r="8551" spans="1:24">
      <c r="A8551">
        <f>HYPERLINK("https://www.philgeps.gov.ph/GEPSNONPILOT/Tender/SplashBidNoticeAbstractUI.aspx?menuIndex=3&amp;refID=7179705&amp;Result=3","7179705")</f>
        <v>0</v>
      </c>
      <c r="B8551" t="s">
        <v>2618</v>
      </c>
      <c r="C8551" t="s">
        <v>11698</v>
      </c>
      <c r="D8551" t="s">
        <v>17221</v>
      </c>
      <c r="E8551" t="s">
        <v>24606</v>
      </c>
      <c r="F8551" t="s">
        <v>29372</v>
      </c>
      <c r="G8551" t="s">
        <v>29380</v>
      </c>
      <c r="H8551" t="s">
        <v>29389</v>
      </c>
      <c r="I8551" t="s">
        <v>10408</v>
      </c>
      <c r="J8551" t="s">
        <v>35023</v>
      </c>
      <c r="K8551" t="s">
        <v>38650</v>
      </c>
      <c r="M8551" t="s">
        <v>41589</v>
      </c>
      <c r="N8551" t="s">
        <v>42669</v>
      </c>
      <c r="O8551" t="s">
        <v>42670</v>
      </c>
      <c r="P8551">
        <v>0</v>
      </c>
      <c r="Q8551">
        <v>0</v>
      </c>
      <c r="R8551" t="s">
        <v>42679</v>
      </c>
      <c r="S8551" t="s">
        <v>42923</v>
      </c>
      <c r="T8551" t="s">
        <v>44429</v>
      </c>
      <c r="U8551" t="s">
        <v>51797</v>
      </c>
      <c r="W8551" t="s">
        <v>41589</v>
      </c>
      <c r="X8551" t="s">
        <v>42682</v>
      </c>
    </row>
    <row r="8552" spans="1:24">
      <c r="A8552">
        <f>HYPERLINK("https://www.philgeps.gov.ph/GEPSNONPILOT/Tender/SplashBidNoticeAbstractUI.aspx?menuIndex=3&amp;refID=7179403&amp;Result=3","7179403")</f>
        <v>0</v>
      </c>
      <c r="B8552" t="s">
        <v>1512</v>
      </c>
      <c r="C8552" t="s">
        <v>11699</v>
      </c>
      <c r="E8552" t="s">
        <v>24607</v>
      </c>
      <c r="F8552" t="s">
        <v>29372</v>
      </c>
      <c r="G8552" t="s">
        <v>29380</v>
      </c>
      <c r="H8552" t="s">
        <v>29389</v>
      </c>
      <c r="I8552" t="s">
        <v>10408</v>
      </c>
      <c r="J8552" t="s">
        <v>35024</v>
      </c>
      <c r="K8552" t="s">
        <v>38490</v>
      </c>
      <c r="M8552" t="s">
        <v>40356</v>
      </c>
      <c r="N8552" t="s">
        <v>42669</v>
      </c>
      <c r="O8552" t="s">
        <v>42670</v>
      </c>
      <c r="P8552">
        <v>0</v>
      </c>
      <c r="Q8552">
        <v>8</v>
      </c>
      <c r="R8552" t="s">
        <v>42679</v>
      </c>
      <c r="S8552" t="s">
        <v>42923</v>
      </c>
      <c r="T8552" t="s">
        <v>44762</v>
      </c>
      <c r="U8552" t="s">
        <v>51779</v>
      </c>
      <c r="V8552" t="s">
        <v>57315</v>
      </c>
      <c r="W8552" t="s">
        <v>40356</v>
      </c>
      <c r="X8552" t="s">
        <v>42682</v>
      </c>
    </row>
    <row r="8553" spans="1:24">
      <c r="A8553">
        <f>HYPERLINK("https://www.philgeps.gov.ph/GEPSNONPILOT/Tender/SplashBidNoticeAbstractUI.aspx?menuIndex=3&amp;refID=7179785&amp;Result=3","7179785")</f>
        <v>0</v>
      </c>
      <c r="B8553" t="s">
        <v>2619</v>
      </c>
      <c r="C8553" t="s">
        <v>11700</v>
      </c>
      <c r="D8553" t="s">
        <v>17216</v>
      </c>
      <c r="E8553" t="s">
        <v>24608</v>
      </c>
      <c r="F8553" t="s">
        <v>29372</v>
      </c>
      <c r="G8553" t="s">
        <v>29380</v>
      </c>
      <c r="H8553" t="s">
        <v>11048</v>
      </c>
      <c r="I8553" t="s">
        <v>14920</v>
      </c>
      <c r="J8553" t="s">
        <v>35025</v>
      </c>
      <c r="K8553" t="s">
        <v>38556</v>
      </c>
      <c r="M8553" t="s">
        <v>41590</v>
      </c>
      <c r="N8553" t="s">
        <v>42669</v>
      </c>
      <c r="O8553" t="s">
        <v>42670</v>
      </c>
      <c r="P8553">
        <v>0</v>
      </c>
      <c r="Q8553">
        <v>2</v>
      </c>
      <c r="R8553" t="s">
        <v>42679</v>
      </c>
      <c r="S8553" t="s">
        <v>42923</v>
      </c>
      <c r="T8553" t="s">
        <v>44364</v>
      </c>
      <c r="U8553" t="s">
        <v>51798</v>
      </c>
      <c r="W8553" t="s">
        <v>41590</v>
      </c>
      <c r="X8553" t="s">
        <v>42682</v>
      </c>
    </row>
    <row r="8554" spans="1:24">
      <c r="A8554">
        <f>HYPERLINK("https://www.philgeps.gov.ph/GEPSNONPILOT/Tender/SplashBidNoticeAbstractUI.aspx?menuIndex=3&amp;refID=7179936&amp;Result=3","7179936")</f>
        <v>0</v>
      </c>
      <c r="B8554" t="s">
        <v>2620</v>
      </c>
      <c r="C8554" t="s">
        <v>11701</v>
      </c>
      <c r="D8554" t="s">
        <v>17228</v>
      </c>
      <c r="E8554" t="s">
        <v>24609</v>
      </c>
      <c r="F8554" t="s">
        <v>29372</v>
      </c>
      <c r="G8554" t="s">
        <v>29380</v>
      </c>
      <c r="H8554" t="s">
        <v>29389</v>
      </c>
      <c r="I8554" t="s">
        <v>10408</v>
      </c>
      <c r="J8554" t="s">
        <v>29615</v>
      </c>
      <c r="K8554" t="s">
        <v>38496</v>
      </c>
      <c r="M8554" t="s">
        <v>41591</v>
      </c>
      <c r="N8554" t="s">
        <v>42669</v>
      </c>
      <c r="O8554" t="s">
        <v>42670</v>
      </c>
      <c r="P8554">
        <v>0</v>
      </c>
      <c r="Q8554">
        <v>0</v>
      </c>
      <c r="R8554" t="s">
        <v>42679</v>
      </c>
      <c r="S8554" t="s">
        <v>42923</v>
      </c>
      <c r="T8554" t="s">
        <v>44452</v>
      </c>
      <c r="U8554" t="s">
        <v>51799</v>
      </c>
      <c r="W8554" t="s">
        <v>41591</v>
      </c>
      <c r="X8554" t="s">
        <v>42682</v>
      </c>
    </row>
    <row r="8555" spans="1:24">
      <c r="A8555">
        <f>HYPERLINK("https://www.philgeps.gov.ph/GEPSNONPILOT/Tender/SplashBidNoticeAbstractUI.aspx?menuIndex=3&amp;refID=7179255&amp;Result=3","7179255")</f>
        <v>0</v>
      </c>
      <c r="B8555" t="s">
        <v>87</v>
      </c>
      <c r="C8555" t="s">
        <v>11702</v>
      </c>
      <c r="D8555" t="s">
        <v>17163</v>
      </c>
      <c r="E8555" t="s">
        <v>24610</v>
      </c>
      <c r="F8555" t="s">
        <v>29372</v>
      </c>
      <c r="G8555" t="s">
        <v>29380</v>
      </c>
      <c r="H8555" t="s">
        <v>11048</v>
      </c>
      <c r="I8555" t="s">
        <v>3695</v>
      </c>
      <c r="J8555" t="s">
        <v>29740</v>
      </c>
      <c r="K8555" t="s">
        <v>38491</v>
      </c>
      <c r="M8555" t="s">
        <v>38841</v>
      </c>
      <c r="N8555" t="s">
        <v>42669</v>
      </c>
      <c r="O8555" t="s">
        <v>42670</v>
      </c>
      <c r="P8555">
        <v>0</v>
      </c>
      <c r="Q8555">
        <v>11</v>
      </c>
      <c r="R8555" t="s">
        <v>42679</v>
      </c>
      <c r="S8555" t="s">
        <v>42923</v>
      </c>
      <c r="T8555" t="s">
        <v>44481</v>
      </c>
      <c r="U8555" t="s">
        <v>51800</v>
      </c>
      <c r="W8555" t="s">
        <v>38841</v>
      </c>
      <c r="X8555" t="s">
        <v>42682</v>
      </c>
    </row>
    <row r="8556" spans="1:24">
      <c r="A8556">
        <f>HYPERLINK("https://www.philgeps.gov.ph/GEPSNONPILOT/Tender/SplashBidNoticeAbstractUI.aspx?menuIndex=3&amp;refID=7179930&amp;Result=3","7179930")</f>
        <v>0</v>
      </c>
      <c r="B8556" t="s">
        <v>2620</v>
      </c>
      <c r="C8556" t="s">
        <v>11703</v>
      </c>
      <c r="D8556" t="s">
        <v>17228</v>
      </c>
      <c r="E8556" t="s">
        <v>24611</v>
      </c>
      <c r="F8556" t="s">
        <v>29372</v>
      </c>
      <c r="G8556" t="s">
        <v>29380</v>
      </c>
      <c r="H8556" t="s">
        <v>29389</v>
      </c>
      <c r="I8556" t="s">
        <v>10408</v>
      </c>
      <c r="J8556" t="s">
        <v>29587</v>
      </c>
      <c r="K8556" t="s">
        <v>38496</v>
      </c>
      <c r="M8556" t="s">
        <v>41591</v>
      </c>
      <c r="N8556" t="s">
        <v>42669</v>
      </c>
      <c r="O8556" t="s">
        <v>42670</v>
      </c>
      <c r="P8556">
        <v>0</v>
      </c>
      <c r="Q8556">
        <v>0</v>
      </c>
      <c r="R8556" t="s">
        <v>42679</v>
      </c>
      <c r="S8556" t="s">
        <v>42923</v>
      </c>
      <c r="T8556" t="s">
        <v>44452</v>
      </c>
      <c r="U8556" t="s">
        <v>51801</v>
      </c>
      <c r="W8556" t="s">
        <v>41591</v>
      </c>
      <c r="X8556" t="s">
        <v>42682</v>
      </c>
    </row>
    <row r="8557" spans="1:24">
      <c r="A8557">
        <f>HYPERLINK("https://www.philgeps.gov.ph/GEPSNONPILOT/Tender/SplashBidNoticeAbstractUI.aspx?menuIndex=3&amp;refID=7179933&amp;Result=3","7179933")</f>
        <v>0</v>
      </c>
      <c r="B8557" t="s">
        <v>180</v>
      </c>
      <c r="C8557" t="s">
        <v>11704</v>
      </c>
      <c r="D8557" t="s">
        <v>17154</v>
      </c>
      <c r="E8557" t="s">
        <v>24612</v>
      </c>
      <c r="F8557" t="s">
        <v>29372</v>
      </c>
      <c r="G8557" t="s">
        <v>29380</v>
      </c>
      <c r="H8557" t="s">
        <v>29389</v>
      </c>
      <c r="I8557" t="s">
        <v>10408</v>
      </c>
      <c r="J8557" t="s">
        <v>35026</v>
      </c>
      <c r="K8557" t="s">
        <v>38636</v>
      </c>
      <c r="M8557" t="s">
        <v>38937</v>
      </c>
      <c r="N8557" t="s">
        <v>42669</v>
      </c>
      <c r="O8557" t="s">
        <v>42670</v>
      </c>
      <c r="P8557">
        <v>0</v>
      </c>
      <c r="Q8557">
        <v>0</v>
      </c>
      <c r="R8557" t="s">
        <v>42679</v>
      </c>
      <c r="S8557" t="s">
        <v>42923</v>
      </c>
      <c r="T8557" t="s">
        <v>44547</v>
      </c>
      <c r="U8557" t="s">
        <v>51802</v>
      </c>
      <c r="W8557" t="s">
        <v>38937</v>
      </c>
      <c r="X8557" t="s">
        <v>42682</v>
      </c>
    </row>
    <row r="8558" spans="1:24">
      <c r="A8558">
        <f>HYPERLINK("https://www.philgeps.gov.ph/GEPSNONPILOT/Tender/SplashBidNoticeAbstractUI.aspx?menuIndex=3&amp;refID=7179926&amp;Result=3","7179926")</f>
        <v>0</v>
      </c>
      <c r="B8558" t="s">
        <v>2620</v>
      </c>
      <c r="C8558" t="s">
        <v>11705</v>
      </c>
      <c r="D8558" t="s">
        <v>17228</v>
      </c>
      <c r="E8558" t="s">
        <v>24613</v>
      </c>
      <c r="F8558" t="s">
        <v>29372</v>
      </c>
      <c r="G8558" t="s">
        <v>29380</v>
      </c>
      <c r="H8558" t="s">
        <v>29389</v>
      </c>
      <c r="I8558" t="s">
        <v>10408</v>
      </c>
      <c r="J8558" t="s">
        <v>30056</v>
      </c>
      <c r="K8558" t="s">
        <v>38622</v>
      </c>
      <c r="M8558" t="s">
        <v>41591</v>
      </c>
      <c r="N8558" t="s">
        <v>42669</v>
      </c>
      <c r="O8558" t="s">
        <v>42670</v>
      </c>
      <c r="P8558">
        <v>0</v>
      </c>
      <c r="Q8558">
        <v>0</v>
      </c>
      <c r="R8558" t="s">
        <v>42679</v>
      </c>
      <c r="S8558" t="s">
        <v>42923</v>
      </c>
      <c r="T8558" t="s">
        <v>44452</v>
      </c>
      <c r="U8558" t="s">
        <v>51803</v>
      </c>
      <c r="W8558" t="s">
        <v>41591</v>
      </c>
      <c r="X8558" t="s">
        <v>42682</v>
      </c>
    </row>
    <row r="8559" spans="1:24">
      <c r="A8559">
        <f>HYPERLINK("https://www.philgeps.gov.ph/GEPSNONPILOT/Tender/SplashBidNoticeAbstractUI.aspx?menuIndex=3&amp;refID=7179738&amp;Result=3","7179738")</f>
        <v>0</v>
      </c>
      <c r="B8559" t="s">
        <v>667</v>
      </c>
      <c r="C8559" t="s">
        <v>11706</v>
      </c>
      <c r="D8559" t="s">
        <v>17203</v>
      </c>
      <c r="E8559" t="s">
        <v>24614</v>
      </c>
      <c r="F8559" t="s">
        <v>29372</v>
      </c>
      <c r="G8559" t="s">
        <v>29380</v>
      </c>
      <c r="H8559" t="s">
        <v>11048</v>
      </c>
      <c r="I8559" t="s">
        <v>5383</v>
      </c>
      <c r="J8559" t="s">
        <v>35027</v>
      </c>
      <c r="K8559" t="s">
        <v>38488</v>
      </c>
      <c r="M8559" t="s">
        <v>39443</v>
      </c>
      <c r="N8559" t="s">
        <v>42669</v>
      </c>
      <c r="O8559" t="s">
        <v>42670</v>
      </c>
      <c r="P8559">
        <v>0</v>
      </c>
      <c r="Q8559">
        <v>0</v>
      </c>
      <c r="R8559" t="s">
        <v>42679</v>
      </c>
      <c r="S8559" t="s">
        <v>42923</v>
      </c>
      <c r="T8559" t="s">
        <v>44446</v>
      </c>
      <c r="U8559" t="s">
        <v>51804</v>
      </c>
      <c r="W8559" t="s">
        <v>39443</v>
      </c>
      <c r="X8559" t="s">
        <v>42682</v>
      </c>
    </row>
    <row r="8560" spans="1:24">
      <c r="A8560">
        <f>HYPERLINK("https://www.philgeps.gov.ph/GEPSNONPILOT/Tender/SplashBidNoticeAbstractUI.aspx?menuIndex=3&amp;refID=7179919&amp;Result=3","7179919")</f>
        <v>0</v>
      </c>
      <c r="B8560" t="s">
        <v>2620</v>
      </c>
      <c r="C8560" t="s">
        <v>11707</v>
      </c>
      <c r="D8560" t="s">
        <v>17228</v>
      </c>
      <c r="E8560" t="s">
        <v>24615</v>
      </c>
      <c r="F8560" t="s">
        <v>29372</v>
      </c>
      <c r="G8560" t="s">
        <v>29380</v>
      </c>
      <c r="H8560" t="s">
        <v>29389</v>
      </c>
      <c r="I8560" t="s">
        <v>10408</v>
      </c>
      <c r="J8560" t="s">
        <v>30056</v>
      </c>
      <c r="K8560" t="s">
        <v>38496</v>
      </c>
      <c r="M8560" t="s">
        <v>41591</v>
      </c>
      <c r="N8560" t="s">
        <v>42669</v>
      </c>
      <c r="O8560" t="s">
        <v>42670</v>
      </c>
      <c r="P8560">
        <v>0</v>
      </c>
      <c r="Q8560">
        <v>0</v>
      </c>
      <c r="R8560" t="s">
        <v>42679</v>
      </c>
      <c r="S8560" t="s">
        <v>42923</v>
      </c>
      <c r="T8560" t="s">
        <v>44452</v>
      </c>
      <c r="U8560" t="s">
        <v>51805</v>
      </c>
      <c r="W8560" t="s">
        <v>41591</v>
      </c>
      <c r="X8560" t="s">
        <v>42682</v>
      </c>
    </row>
    <row r="8561" spans="1:24">
      <c r="A8561">
        <f>HYPERLINK("https://www.philgeps.gov.ph/GEPSNONPILOT/Tender/SplashBidNoticeAbstractUI.aspx?menuIndex=3&amp;refID=7179911&amp;Result=3","7179911")</f>
        <v>0</v>
      </c>
      <c r="B8561" t="s">
        <v>2620</v>
      </c>
      <c r="C8561" t="s">
        <v>11708</v>
      </c>
      <c r="D8561" t="s">
        <v>17228</v>
      </c>
      <c r="E8561" t="s">
        <v>24616</v>
      </c>
      <c r="F8561" t="s">
        <v>29372</v>
      </c>
      <c r="G8561" t="s">
        <v>29380</v>
      </c>
      <c r="H8561" t="s">
        <v>29389</v>
      </c>
      <c r="I8561" t="s">
        <v>10408</v>
      </c>
      <c r="J8561" t="s">
        <v>30056</v>
      </c>
      <c r="K8561" t="s">
        <v>38495</v>
      </c>
      <c r="M8561" t="s">
        <v>41591</v>
      </c>
      <c r="N8561" t="s">
        <v>42669</v>
      </c>
      <c r="O8561" t="s">
        <v>42670</v>
      </c>
      <c r="P8561">
        <v>0</v>
      </c>
      <c r="Q8561">
        <v>1</v>
      </c>
      <c r="R8561" t="s">
        <v>42679</v>
      </c>
      <c r="S8561" t="s">
        <v>42923</v>
      </c>
      <c r="T8561" t="s">
        <v>44452</v>
      </c>
      <c r="U8561" t="s">
        <v>51806</v>
      </c>
      <c r="W8561" t="s">
        <v>41591</v>
      </c>
      <c r="X8561" t="s">
        <v>42682</v>
      </c>
    </row>
    <row r="8562" spans="1:24">
      <c r="A8562">
        <f>HYPERLINK("https://www.philgeps.gov.ph/GEPSNONPILOT/Tender/SplashBidNoticeAbstractUI.aspx?menuIndex=3&amp;refID=7179907&amp;Result=3","7179907")</f>
        <v>0</v>
      </c>
      <c r="B8562" t="s">
        <v>1102</v>
      </c>
      <c r="C8562" t="s">
        <v>11709</v>
      </c>
      <c r="D8562" t="s">
        <v>17141</v>
      </c>
      <c r="E8562" t="s">
        <v>24617</v>
      </c>
      <c r="F8562" t="s">
        <v>29372</v>
      </c>
      <c r="G8562" t="s">
        <v>29380</v>
      </c>
      <c r="H8562" t="s">
        <v>11048</v>
      </c>
      <c r="I8562" t="s">
        <v>29433</v>
      </c>
      <c r="J8562" t="s">
        <v>30117</v>
      </c>
      <c r="K8562" t="s">
        <v>38522</v>
      </c>
      <c r="M8562" t="s">
        <v>39909</v>
      </c>
      <c r="N8562" t="s">
        <v>42669</v>
      </c>
      <c r="O8562" t="s">
        <v>42670</v>
      </c>
      <c r="P8562">
        <v>0</v>
      </c>
      <c r="Q8562">
        <v>20</v>
      </c>
      <c r="R8562" t="s">
        <v>42679</v>
      </c>
      <c r="S8562" t="s">
        <v>42923</v>
      </c>
      <c r="T8562" t="s">
        <v>44410</v>
      </c>
      <c r="U8562" t="s">
        <v>51807</v>
      </c>
      <c r="W8562" t="s">
        <v>39909</v>
      </c>
      <c r="X8562" t="s">
        <v>42682</v>
      </c>
    </row>
    <row r="8563" spans="1:24">
      <c r="A8563">
        <f>HYPERLINK("https://www.philgeps.gov.ph/GEPSNONPILOT/Tender/SplashBidNoticeAbstractUI.aspx?menuIndex=3&amp;refID=7179899&amp;Result=3","7179899")</f>
        <v>0</v>
      </c>
      <c r="B8563" t="s">
        <v>1102</v>
      </c>
      <c r="C8563" t="s">
        <v>11710</v>
      </c>
      <c r="D8563" t="s">
        <v>17141</v>
      </c>
      <c r="E8563" t="s">
        <v>20415</v>
      </c>
      <c r="F8563" t="s">
        <v>29372</v>
      </c>
      <c r="G8563" t="s">
        <v>29380</v>
      </c>
      <c r="H8563" t="s">
        <v>11048</v>
      </c>
      <c r="I8563" t="s">
        <v>29433</v>
      </c>
      <c r="J8563" t="s">
        <v>35028</v>
      </c>
      <c r="K8563" t="s">
        <v>38496</v>
      </c>
      <c r="M8563" t="s">
        <v>39909</v>
      </c>
      <c r="N8563" t="s">
        <v>42669</v>
      </c>
      <c r="O8563" t="s">
        <v>42670</v>
      </c>
      <c r="P8563">
        <v>0</v>
      </c>
      <c r="Q8563">
        <v>52</v>
      </c>
      <c r="R8563" t="s">
        <v>42679</v>
      </c>
      <c r="S8563" t="s">
        <v>42923</v>
      </c>
      <c r="T8563" t="s">
        <v>44517</v>
      </c>
      <c r="U8563" t="s">
        <v>51808</v>
      </c>
      <c r="W8563" t="s">
        <v>39909</v>
      </c>
      <c r="X8563" t="s">
        <v>42682</v>
      </c>
    </row>
    <row r="8564" spans="1:24">
      <c r="A8564">
        <f>HYPERLINK("https://www.philgeps.gov.ph/GEPSNONPILOT/Tender/SplashBidNoticeAbstractUI.aspx?menuIndex=3&amp;refID=7179877&amp;Result=3","7179877")</f>
        <v>0</v>
      </c>
      <c r="B8564" t="s">
        <v>2620</v>
      </c>
      <c r="C8564" t="s">
        <v>11711</v>
      </c>
      <c r="D8564" t="s">
        <v>17228</v>
      </c>
      <c r="E8564" t="s">
        <v>24618</v>
      </c>
      <c r="F8564" t="s">
        <v>29372</v>
      </c>
      <c r="G8564" t="s">
        <v>29380</v>
      </c>
      <c r="H8564" t="s">
        <v>11048</v>
      </c>
      <c r="I8564" t="s">
        <v>8208</v>
      </c>
      <c r="J8564" t="s">
        <v>35029</v>
      </c>
      <c r="K8564" t="s">
        <v>38533</v>
      </c>
      <c r="M8564" t="s">
        <v>41591</v>
      </c>
      <c r="N8564" t="s">
        <v>42669</v>
      </c>
      <c r="O8564" t="s">
        <v>42670</v>
      </c>
      <c r="P8564">
        <v>0</v>
      </c>
      <c r="Q8564">
        <v>1</v>
      </c>
      <c r="R8564" t="s">
        <v>42679</v>
      </c>
      <c r="S8564" t="s">
        <v>42923</v>
      </c>
      <c r="T8564" t="s">
        <v>44452</v>
      </c>
      <c r="U8564" t="s">
        <v>51809</v>
      </c>
      <c r="W8564" t="s">
        <v>41591</v>
      </c>
      <c r="X8564" t="s">
        <v>42682</v>
      </c>
    </row>
    <row r="8565" spans="1:24">
      <c r="A8565">
        <f>HYPERLINK("https://www.philgeps.gov.ph/GEPSNONPILOT/Tender/SplashBidNoticeAbstractUI.aspx?menuIndex=3&amp;refID=7179876&amp;Result=3","7179876")</f>
        <v>0</v>
      </c>
      <c r="B8565" t="s">
        <v>172</v>
      </c>
      <c r="C8565" t="s">
        <v>11712</v>
      </c>
      <c r="D8565" t="s">
        <v>17196</v>
      </c>
      <c r="E8565" t="s">
        <v>24619</v>
      </c>
      <c r="F8565" t="s">
        <v>29372</v>
      </c>
      <c r="G8565" t="s">
        <v>29380</v>
      </c>
      <c r="H8565" t="s">
        <v>29389</v>
      </c>
      <c r="I8565" t="s">
        <v>10408</v>
      </c>
      <c r="J8565" t="s">
        <v>29543</v>
      </c>
      <c r="K8565" t="s">
        <v>38496</v>
      </c>
      <c r="M8565" t="s">
        <v>38929</v>
      </c>
      <c r="N8565" t="s">
        <v>42669</v>
      </c>
      <c r="O8565" t="s">
        <v>42670</v>
      </c>
      <c r="P8565">
        <v>0</v>
      </c>
      <c r="Q8565">
        <v>6</v>
      </c>
      <c r="R8565" t="s">
        <v>42679</v>
      </c>
      <c r="S8565" t="s">
        <v>42923</v>
      </c>
      <c r="T8565" t="s">
        <v>44417</v>
      </c>
      <c r="U8565" t="s">
        <v>51810</v>
      </c>
      <c r="W8565" t="s">
        <v>38929</v>
      </c>
      <c r="X8565" t="s">
        <v>42682</v>
      </c>
    </row>
    <row r="8566" spans="1:24">
      <c r="A8566">
        <f>HYPERLINK("https://www.philgeps.gov.ph/GEPSNONPILOT/Tender/SplashBidNoticeAbstractUI.aspx?menuIndex=3&amp;refID=7179863&amp;Result=3","7179863")</f>
        <v>0</v>
      </c>
      <c r="B8566" t="s">
        <v>2620</v>
      </c>
      <c r="C8566" t="s">
        <v>11713</v>
      </c>
      <c r="D8566" t="s">
        <v>17228</v>
      </c>
      <c r="E8566" t="s">
        <v>24620</v>
      </c>
      <c r="F8566" t="s">
        <v>29372</v>
      </c>
      <c r="G8566" t="s">
        <v>29380</v>
      </c>
      <c r="H8566" t="s">
        <v>11048</v>
      </c>
      <c r="I8566" t="s">
        <v>9469</v>
      </c>
      <c r="J8566" t="s">
        <v>35030</v>
      </c>
      <c r="K8566" t="s">
        <v>38496</v>
      </c>
      <c r="M8566" t="s">
        <v>41591</v>
      </c>
      <c r="N8566" t="s">
        <v>42669</v>
      </c>
      <c r="O8566" t="s">
        <v>42670</v>
      </c>
      <c r="P8566">
        <v>0</v>
      </c>
      <c r="Q8566">
        <v>3</v>
      </c>
      <c r="R8566" t="s">
        <v>42679</v>
      </c>
      <c r="S8566" t="s">
        <v>42923</v>
      </c>
      <c r="T8566" t="s">
        <v>44452</v>
      </c>
      <c r="U8566" t="s">
        <v>51811</v>
      </c>
      <c r="W8566" t="s">
        <v>41591</v>
      </c>
      <c r="X8566" t="s">
        <v>42682</v>
      </c>
    </row>
    <row r="8567" spans="1:24">
      <c r="A8567">
        <f>HYPERLINK("https://www.philgeps.gov.ph/GEPSNONPILOT/Tender/SplashBidNoticeAbstractUI.aspx?menuIndex=3&amp;refID=7179709&amp;Result=3","7179709")</f>
        <v>0</v>
      </c>
      <c r="B8567" t="s">
        <v>2145</v>
      </c>
      <c r="C8567" t="s">
        <v>11714</v>
      </c>
      <c r="D8567" t="s">
        <v>17199</v>
      </c>
      <c r="E8567" t="s">
        <v>24621</v>
      </c>
      <c r="F8567" t="s">
        <v>29372</v>
      </c>
      <c r="G8567" t="s">
        <v>29380</v>
      </c>
      <c r="H8567" t="s">
        <v>11048</v>
      </c>
      <c r="I8567" t="s">
        <v>29417</v>
      </c>
      <c r="J8567" t="s">
        <v>35031</v>
      </c>
      <c r="K8567" t="s">
        <v>38485</v>
      </c>
      <c r="M8567" t="s">
        <v>41052</v>
      </c>
      <c r="N8567" t="s">
        <v>42669</v>
      </c>
      <c r="O8567" t="s">
        <v>42670</v>
      </c>
      <c r="P8567">
        <v>0</v>
      </c>
      <c r="Q8567">
        <v>8</v>
      </c>
      <c r="R8567" t="s">
        <v>42679</v>
      </c>
      <c r="S8567" t="s">
        <v>42923</v>
      </c>
      <c r="T8567" t="s">
        <v>44463</v>
      </c>
      <c r="U8567" t="s">
        <v>49984</v>
      </c>
      <c r="W8567" t="s">
        <v>41052</v>
      </c>
      <c r="X8567" t="s">
        <v>42682</v>
      </c>
    </row>
    <row r="8568" spans="1:24">
      <c r="A8568">
        <f>HYPERLINK("https://www.philgeps.gov.ph/GEPSNONPILOT/Tender/SplashBidNoticeAbstractUI.aspx?menuIndex=3&amp;refID=7179944&amp;Result=3","7179944")</f>
        <v>0</v>
      </c>
      <c r="B8568" t="s">
        <v>180</v>
      </c>
      <c r="C8568" t="s">
        <v>11715</v>
      </c>
      <c r="D8568" t="s">
        <v>17154</v>
      </c>
      <c r="E8568" t="s">
        <v>24622</v>
      </c>
      <c r="F8568" t="s">
        <v>29372</v>
      </c>
      <c r="G8568" t="s">
        <v>29380</v>
      </c>
      <c r="H8568" t="s">
        <v>29389</v>
      </c>
      <c r="I8568" t="s">
        <v>10408</v>
      </c>
      <c r="J8568" t="s">
        <v>35032</v>
      </c>
      <c r="K8568" t="s">
        <v>38555</v>
      </c>
      <c r="M8568" t="s">
        <v>38937</v>
      </c>
      <c r="N8568" t="s">
        <v>42669</v>
      </c>
      <c r="O8568" t="s">
        <v>42670</v>
      </c>
      <c r="P8568">
        <v>0</v>
      </c>
      <c r="Q8568">
        <v>0</v>
      </c>
      <c r="R8568" t="s">
        <v>42679</v>
      </c>
      <c r="S8568" t="s">
        <v>42923</v>
      </c>
      <c r="T8568" t="s">
        <v>44547</v>
      </c>
      <c r="U8568" t="s">
        <v>51812</v>
      </c>
      <c r="W8568" t="s">
        <v>38937</v>
      </c>
      <c r="X8568" t="s">
        <v>42682</v>
      </c>
    </row>
    <row r="8569" spans="1:24">
      <c r="A8569">
        <f>HYPERLINK("https://www.philgeps.gov.ph/GEPSNONPILOT/Tender/SplashBidNoticeAbstractUI.aspx?menuIndex=3&amp;refID=7179904&amp;Result=3","7179904")</f>
        <v>0</v>
      </c>
      <c r="B8569" t="s">
        <v>2620</v>
      </c>
      <c r="C8569" t="s">
        <v>11716</v>
      </c>
      <c r="D8569" t="s">
        <v>17228</v>
      </c>
      <c r="E8569" t="s">
        <v>24623</v>
      </c>
      <c r="F8569" t="s">
        <v>29372</v>
      </c>
      <c r="G8569" t="s">
        <v>29380</v>
      </c>
      <c r="H8569" t="s">
        <v>29389</v>
      </c>
      <c r="I8569" t="s">
        <v>10408</v>
      </c>
      <c r="J8569" t="s">
        <v>29587</v>
      </c>
      <c r="K8569" t="s">
        <v>38496</v>
      </c>
      <c r="M8569" t="s">
        <v>41591</v>
      </c>
      <c r="N8569" t="s">
        <v>42669</v>
      </c>
      <c r="O8569" t="s">
        <v>42670</v>
      </c>
      <c r="P8569">
        <v>0</v>
      </c>
      <c r="Q8569">
        <v>0</v>
      </c>
      <c r="R8569" t="s">
        <v>42679</v>
      </c>
      <c r="S8569" t="s">
        <v>42923</v>
      </c>
      <c r="T8569" t="s">
        <v>44452</v>
      </c>
      <c r="U8569" t="s">
        <v>51813</v>
      </c>
      <c r="W8569" t="s">
        <v>41591</v>
      </c>
      <c r="X8569" t="s">
        <v>42682</v>
      </c>
    </row>
    <row r="8570" spans="1:24">
      <c r="A8570">
        <f>HYPERLINK("https://www.philgeps.gov.ph/GEPSNONPILOT/Tender/SplashBidNoticeAbstractUI.aspx?menuIndex=3&amp;refID=7179896&amp;Result=3","7179896")</f>
        <v>0</v>
      </c>
      <c r="B8570" t="s">
        <v>2620</v>
      </c>
      <c r="C8570" t="s">
        <v>11717</v>
      </c>
      <c r="D8570" t="s">
        <v>17228</v>
      </c>
      <c r="E8570" t="s">
        <v>24624</v>
      </c>
      <c r="F8570" t="s">
        <v>29372</v>
      </c>
      <c r="G8570" t="s">
        <v>29380</v>
      </c>
      <c r="H8570" t="s">
        <v>29389</v>
      </c>
      <c r="I8570" t="s">
        <v>10408</v>
      </c>
      <c r="J8570" t="s">
        <v>29604</v>
      </c>
      <c r="K8570" t="s">
        <v>38496</v>
      </c>
      <c r="M8570" t="s">
        <v>41591</v>
      </c>
      <c r="N8570" t="s">
        <v>42669</v>
      </c>
      <c r="O8570" t="s">
        <v>42670</v>
      </c>
      <c r="P8570">
        <v>0</v>
      </c>
      <c r="Q8570">
        <v>0</v>
      </c>
      <c r="R8570" t="s">
        <v>42679</v>
      </c>
      <c r="S8570" t="s">
        <v>42923</v>
      </c>
      <c r="T8570" t="s">
        <v>44452</v>
      </c>
      <c r="U8570" t="s">
        <v>51814</v>
      </c>
      <c r="W8570" t="s">
        <v>41591</v>
      </c>
      <c r="X8570" t="s">
        <v>42682</v>
      </c>
    </row>
    <row r="8571" spans="1:24">
      <c r="A8571">
        <f>HYPERLINK("https://www.philgeps.gov.ph/GEPSNONPILOT/Tender/SplashBidNoticeAbstractUI.aspx?menuIndex=3&amp;refID=7180000&amp;Result=3","7180000")</f>
        <v>0</v>
      </c>
      <c r="B8571" t="s">
        <v>180</v>
      </c>
      <c r="C8571" t="s">
        <v>11718</v>
      </c>
      <c r="D8571" t="s">
        <v>17154</v>
      </c>
      <c r="E8571" t="s">
        <v>24625</v>
      </c>
      <c r="F8571" t="s">
        <v>29372</v>
      </c>
      <c r="G8571" t="s">
        <v>29380</v>
      </c>
      <c r="H8571" t="s">
        <v>29389</v>
      </c>
      <c r="I8571" t="s">
        <v>10408</v>
      </c>
      <c r="J8571" t="s">
        <v>35033</v>
      </c>
      <c r="K8571" t="s">
        <v>38541</v>
      </c>
      <c r="M8571" t="s">
        <v>38937</v>
      </c>
      <c r="N8571" t="s">
        <v>42669</v>
      </c>
      <c r="O8571" t="s">
        <v>42670</v>
      </c>
      <c r="P8571">
        <v>0</v>
      </c>
      <c r="Q8571">
        <v>0</v>
      </c>
      <c r="R8571" t="s">
        <v>42679</v>
      </c>
      <c r="S8571" t="s">
        <v>42923</v>
      </c>
      <c r="T8571" t="s">
        <v>44547</v>
      </c>
      <c r="U8571" t="s">
        <v>51815</v>
      </c>
      <c r="W8571" t="s">
        <v>38937</v>
      </c>
      <c r="X8571" t="s">
        <v>42682</v>
      </c>
    </row>
    <row r="8572" spans="1:24">
      <c r="A8572">
        <f>HYPERLINK("https://www.philgeps.gov.ph/GEPSNONPILOT/Tender/SplashBidNoticeAbstractUI.aspx?menuIndex=3&amp;refID=7179884&amp;Result=3","7179884")</f>
        <v>0</v>
      </c>
      <c r="B8572" t="s">
        <v>180</v>
      </c>
      <c r="C8572" t="s">
        <v>11719</v>
      </c>
      <c r="D8572" t="s">
        <v>17154</v>
      </c>
      <c r="E8572" t="s">
        <v>24626</v>
      </c>
      <c r="F8572" t="s">
        <v>29372</v>
      </c>
      <c r="G8572" t="s">
        <v>29380</v>
      </c>
      <c r="H8572" t="s">
        <v>29389</v>
      </c>
      <c r="I8572" t="s">
        <v>10408</v>
      </c>
      <c r="J8572" t="s">
        <v>35034</v>
      </c>
      <c r="K8572" t="s">
        <v>38496</v>
      </c>
      <c r="M8572" t="s">
        <v>38937</v>
      </c>
      <c r="N8572" t="s">
        <v>42669</v>
      </c>
      <c r="O8572" t="s">
        <v>42670</v>
      </c>
      <c r="P8572">
        <v>0</v>
      </c>
      <c r="Q8572">
        <v>0</v>
      </c>
      <c r="R8572" t="s">
        <v>42679</v>
      </c>
      <c r="S8572" t="s">
        <v>42923</v>
      </c>
      <c r="T8572" t="s">
        <v>44547</v>
      </c>
      <c r="U8572" t="s">
        <v>51816</v>
      </c>
      <c r="W8572" t="s">
        <v>38937</v>
      </c>
      <c r="X8572" t="s">
        <v>42682</v>
      </c>
    </row>
    <row r="8573" spans="1:24">
      <c r="A8573">
        <f>HYPERLINK("https://www.philgeps.gov.ph/GEPSNONPILOT/Tender/SplashBidNoticeAbstractUI.aspx?menuIndex=3&amp;refID=7180005&amp;Result=3","7180005")</f>
        <v>0</v>
      </c>
      <c r="B8573" t="s">
        <v>180</v>
      </c>
      <c r="C8573" t="s">
        <v>11720</v>
      </c>
      <c r="D8573" t="s">
        <v>17154</v>
      </c>
      <c r="E8573" t="s">
        <v>24627</v>
      </c>
      <c r="F8573" t="s">
        <v>29372</v>
      </c>
      <c r="G8573" t="s">
        <v>29380</v>
      </c>
      <c r="H8573" t="s">
        <v>29389</v>
      </c>
      <c r="I8573" t="s">
        <v>10408</v>
      </c>
      <c r="J8573" t="s">
        <v>35035</v>
      </c>
      <c r="K8573" t="s">
        <v>38541</v>
      </c>
      <c r="M8573" t="s">
        <v>38937</v>
      </c>
      <c r="N8573" t="s">
        <v>42669</v>
      </c>
      <c r="O8573" t="s">
        <v>42670</v>
      </c>
      <c r="P8573">
        <v>0</v>
      </c>
      <c r="Q8573">
        <v>0</v>
      </c>
      <c r="R8573" t="s">
        <v>42679</v>
      </c>
      <c r="S8573" t="s">
        <v>42923</v>
      </c>
      <c r="T8573" t="s">
        <v>44547</v>
      </c>
      <c r="U8573" t="s">
        <v>51817</v>
      </c>
      <c r="W8573" t="s">
        <v>38937</v>
      </c>
      <c r="X8573" t="s">
        <v>42682</v>
      </c>
    </row>
    <row r="8574" spans="1:24">
      <c r="A8574">
        <f>HYPERLINK("https://www.philgeps.gov.ph/GEPSNONPILOT/Tender/SplashBidNoticeAbstractUI.aspx?menuIndex=3&amp;refID=7179996&amp;Result=3","7179996")</f>
        <v>0</v>
      </c>
      <c r="B8574" t="s">
        <v>180</v>
      </c>
      <c r="C8574" t="s">
        <v>11721</v>
      </c>
      <c r="D8574" t="s">
        <v>17154</v>
      </c>
      <c r="E8574" t="s">
        <v>24628</v>
      </c>
      <c r="F8574" t="s">
        <v>29372</v>
      </c>
      <c r="G8574" t="s">
        <v>29380</v>
      </c>
      <c r="H8574" t="s">
        <v>29389</v>
      </c>
      <c r="I8574" t="s">
        <v>10408</v>
      </c>
      <c r="J8574" t="s">
        <v>35036</v>
      </c>
      <c r="K8574" t="s">
        <v>38541</v>
      </c>
      <c r="M8574" t="s">
        <v>38937</v>
      </c>
      <c r="N8574" t="s">
        <v>42669</v>
      </c>
      <c r="O8574" t="s">
        <v>42670</v>
      </c>
      <c r="P8574">
        <v>0</v>
      </c>
      <c r="Q8574">
        <v>0</v>
      </c>
      <c r="R8574" t="s">
        <v>42679</v>
      </c>
      <c r="S8574" t="s">
        <v>42923</v>
      </c>
      <c r="T8574" t="s">
        <v>44547</v>
      </c>
      <c r="U8574" t="s">
        <v>51818</v>
      </c>
      <c r="W8574" t="s">
        <v>38937</v>
      </c>
      <c r="X8574" t="s">
        <v>42682</v>
      </c>
    </row>
    <row r="8575" spans="1:24">
      <c r="A8575">
        <f>HYPERLINK("https://www.philgeps.gov.ph/GEPSNONPILOT/Tender/SplashBidNoticeAbstractUI.aspx?menuIndex=3&amp;refID=7179983&amp;Result=3","7179983")</f>
        <v>0</v>
      </c>
      <c r="B8575" t="s">
        <v>180</v>
      </c>
      <c r="C8575" t="s">
        <v>11722</v>
      </c>
      <c r="D8575" t="s">
        <v>17154</v>
      </c>
      <c r="E8575" t="s">
        <v>24629</v>
      </c>
      <c r="F8575" t="s">
        <v>29372</v>
      </c>
      <c r="G8575" t="s">
        <v>29380</v>
      </c>
      <c r="H8575" t="s">
        <v>29389</v>
      </c>
      <c r="I8575" t="s">
        <v>10408</v>
      </c>
      <c r="J8575" t="s">
        <v>35037</v>
      </c>
      <c r="K8575" t="s">
        <v>38527</v>
      </c>
      <c r="M8575" t="s">
        <v>38937</v>
      </c>
      <c r="N8575" t="s">
        <v>42669</v>
      </c>
      <c r="O8575" t="s">
        <v>42670</v>
      </c>
      <c r="P8575">
        <v>0</v>
      </c>
      <c r="Q8575">
        <v>0</v>
      </c>
      <c r="R8575" t="s">
        <v>42679</v>
      </c>
      <c r="S8575" t="s">
        <v>42923</v>
      </c>
      <c r="T8575" t="s">
        <v>44547</v>
      </c>
      <c r="U8575" t="s">
        <v>51819</v>
      </c>
      <c r="W8575" t="s">
        <v>38937</v>
      </c>
      <c r="X8575" t="s">
        <v>42682</v>
      </c>
    </row>
    <row r="8576" spans="1:24">
      <c r="A8576">
        <f>HYPERLINK("https://www.philgeps.gov.ph/GEPSNONPILOT/Tender/SplashBidNoticeAbstractUI.aspx?menuIndex=3&amp;refID=7179874&amp;Result=3","7179874")</f>
        <v>0</v>
      </c>
      <c r="B8576" t="s">
        <v>119</v>
      </c>
      <c r="C8576" t="s">
        <v>11723</v>
      </c>
      <c r="D8576" t="s">
        <v>17141</v>
      </c>
      <c r="E8576" t="s">
        <v>24630</v>
      </c>
      <c r="F8576" t="s">
        <v>29372</v>
      </c>
      <c r="G8576" t="s">
        <v>29380</v>
      </c>
      <c r="H8576" t="s">
        <v>11048</v>
      </c>
      <c r="I8576" t="s">
        <v>29426</v>
      </c>
      <c r="J8576" t="s">
        <v>35038</v>
      </c>
      <c r="K8576" t="s">
        <v>38534</v>
      </c>
      <c r="M8576" t="s">
        <v>41592</v>
      </c>
      <c r="N8576" t="s">
        <v>42669</v>
      </c>
      <c r="O8576" t="s">
        <v>42670</v>
      </c>
      <c r="P8576">
        <v>0</v>
      </c>
      <c r="Q8576">
        <v>11</v>
      </c>
      <c r="R8576" t="s">
        <v>42679</v>
      </c>
      <c r="S8576" t="s">
        <v>42923</v>
      </c>
      <c r="T8576" t="s">
        <v>44544</v>
      </c>
      <c r="U8576" t="s">
        <v>51820</v>
      </c>
      <c r="V8576" t="s">
        <v>57316</v>
      </c>
      <c r="W8576" t="s">
        <v>41592</v>
      </c>
      <c r="X8576" t="s">
        <v>42682</v>
      </c>
    </row>
    <row r="8577" spans="1:24">
      <c r="A8577">
        <f>HYPERLINK("https://www.philgeps.gov.ph/GEPSNONPILOT/Tender/SplashBidNoticeAbstractUI.aspx?menuIndex=3&amp;refID=7179982&amp;Result=3","7179982")</f>
        <v>0</v>
      </c>
      <c r="B8577" t="s">
        <v>180</v>
      </c>
      <c r="C8577" t="s">
        <v>11724</v>
      </c>
      <c r="D8577" t="s">
        <v>17154</v>
      </c>
      <c r="E8577" t="s">
        <v>24631</v>
      </c>
      <c r="F8577" t="s">
        <v>29372</v>
      </c>
      <c r="G8577" t="s">
        <v>29380</v>
      </c>
      <c r="H8577" t="s">
        <v>29389</v>
      </c>
      <c r="I8577" t="s">
        <v>10408</v>
      </c>
      <c r="J8577" t="s">
        <v>35039</v>
      </c>
      <c r="K8577" t="s">
        <v>38527</v>
      </c>
      <c r="M8577" t="s">
        <v>38937</v>
      </c>
      <c r="N8577" t="s">
        <v>42669</v>
      </c>
      <c r="O8577" t="s">
        <v>42670</v>
      </c>
      <c r="P8577">
        <v>0</v>
      </c>
      <c r="Q8577">
        <v>1</v>
      </c>
      <c r="R8577" t="s">
        <v>42679</v>
      </c>
      <c r="S8577" t="s">
        <v>42923</v>
      </c>
      <c r="T8577" t="s">
        <v>44547</v>
      </c>
      <c r="U8577" t="s">
        <v>51821</v>
      </c>
      <c r="W8577" t="s">
        <v>38937</v>
      </c>
      <c r="X8577" t="s">
        <v>42682</v>
      </c>
    </row>
    <row r="8578" spans="1:24">
      <c r="A8578">
        <f>HYPERLINK("https://www.philgeps.gov.ph/GEPSNONPILOT/Tender/SplashBidNoticeAbstractUI.aspx?menuIndex=3&amp;refID=7179974&amp;Result=3","7179974")</f>
        <v>0</v>
      </c>
      <c r="B8578" t="s">
        <v>2621</v>
      </c>
      <c r="C8578" t="s">
        <v>5870</v>
      </c>
      <c r="D8578" t="s">
        <v>17177</v>
      </c>
      <c r="E8578" t="s">
        <v>24632</v>
      </c>
      <c r="F8578" t="s">
        <v>29372</v>
      </c>
      <c r="G8578" t="s">
        <v>29380</v>
      </c>
      <c r="H8578" t="s">
        <v>29389</v>
      </c>
      <c r="I8578" t="s">
        <v>10408</v>
      </c>
      <c r="J8578" t="s">
        <v>35040</v>
      </c>
      <c r="K8578" t="s">
        <v>38518</v>
      </c>
      <c r="M8578" t="s">
        <v>41593</v>
      </c>
      <c r="N8578" t="s">
        <v>42669</v>
      </c>
      <c r="O8578" t="s">
        <v>42670</v>
      </c>
      <c r="P8578">
        <v>0</v>
      </c>
      <c r="Q8578">
        <v>0</v>
      </c>
      <c r="R8578" t="s">
        <v>42679</v>
      </c>
      <c r="S8578" t="s">
        <v>42923</v>
      </c>
      <c r="T8578" t="s">
        <v>44398</v>
      </c>
      <c r="U8578" t="s">
        <v>51822</v>
      </c>
      <c r="W8578" t="s">
        <v>41593</v>
      </c>
      <c r="X8578" t="s">
        <v>42682</v>
      </c>
    </row>
    <row r="8579" spans="1:24">
      <c r="A8579">
        <f>HYPERLINK("https://www.philgeps.gov.ph/GEPSNONPILOT/Tender/SplashBidNoticeAbstractUI.aspx?menuIndex=3&amp;refID=7179969&amp;Result=3","7179969")</f>
        <v>0</v>
      </c>
      <c r="B8579" t="s">
        <v>180</v>
      </c>
      <c r="C8579" t="s">
        <v>11725</v>
      </c>
      <c r="D8579" t="s">
        <v>17154</v>
      </c>
      <c r="E8579" t="s">
        <v>24633</v>
      </c>
      <c r="F8579" t="s">
        <v>29372</v>
      </c>
      <c r="G8579" t="s">
        <v>29380</v>
      </c>
      <c r="H8579" t="s">
        <v>29389</v>
      </c>
      <c r="I8579" t="s">
        <v>10408</v>
      </c>
      <c r="J8579" t="s">
        <v>35041</v>
      </c>
      <c r="K8579" t="s">
        <v>38509</v>
      </c>
      <c r="M8579" t="s">
        <v>38937</v>
      </c>
      <c r="N8579" t="s">
        <v>42669</v>
      </c>
      <c r="O8579" t="s">
        <v>42670</v>
      </c>
      <c r="P8579">
        <v>0</v>
      </c>
      <c r="Q8579">
        <v>0</v>
      </c>
      <c r="R8579" t="s">
        <v>42679</v>
      </c>
      <c r="S8579" t="s">
        <v>42923</v>
      </c>
      <c r="T8579" t="s">
        <v>44547</v>
      </c>
      <c r="U8579" t="s">
        <v>51823</v>
      </c>
      <c r="W8579" t="s">
        <v>38937</v>
      </c>
      <c r="X8579" t="s">
        <v>42682</v>
      </c>
    </row>
    <row r="8580" spans="1:24">
      <c r="A8580">
        <f>HYPERLINK("https://www.philgeps.gov.ph/GEPSNONPILOT/Tender/SplashBidNoticeAbstractUI.aspx?menuIndex=3&amp;refID=7179985&amp;Result=3","7179985")</f>
        <v>0</v>
      </c>
      <c r="B8580" t="s">
        <v>180</v>
      </c>
      <c r="C8580" t="s">
        <v>11726</v>
      </c>
      <c r="D8580" t="s">
        <v>17154</v>
      </c>
      <c r="E8580" t="s">
        <v>24634</v>
      </c>
      <c r="F8580" t="s">
        <v>29372</v>
      </c>
      <c r="G8580" t="s">
        <v>29380</v>
      </c>
      <c r="H8580" t="s">
        <v>29389</v>
      </c>
      <c r="I8580" t="s">
        <v>10408</v>
      </c>
      <c r="J8580" t="s">
        <v>35042</v>
      </c>
      <c r="K8580" t="s">
        <v>38496</v>
      </c>
      <c r="M8580" t="s">
        <v>38937</v>
      </c>
      <c r="N8580" t="s">
        <v>42669</v>
      </c>
      <c r="O8580" t="s">
        <v>42670</v>
      </c>
      <c r="P8580">
        <v>0</v>
      </c>
      <c r="Q8580">
        <v>0</v>
      </c>
      <c r="R8580" t="s">
        <v>42679</v>
      </c>
      <c r="S8580" t="s">
        <v>42923</v>
      </c>
      <c r="T8580" t="s">
        <v>44547</v>
      </c>
      <c r="U8580" t="s">
        <v>51824</v>
      </c>
      <c r="W8580" t="s">
        <v>38937</v>
      </c>
      <c r="X8580" t="s">
        <v>42682</v>
      </c>
    </row>
    <row r="8581" spans="1:24">
      <c r="A8581">
        <f>HYPERLINK("https://www.philgeps.gov.ph/GEPSNONPILOT/Tender/SplashBidNoticeAbstractUI.aspx?menuIndex=3&amp;refID=7179731&amp;Result=3","7179731")</f>
        <v>0</v>
      </c>
      <c r="B8581" t="s">
        <v>2618</v>
      </c>
      <c r="C8581" t="s">
        <v>11727</v>
      </c>
      <c r="D8581" t="s">
        <v>17221</v>
      </c>
      <c r="E8581" t="s">
        <v>24635</v>
      </c>
      <c r="F8581" t="s">
        <v>29372</v>
      </c>
      <c r="G8581" t="s">
        <v>29380</v>
      </c>
      <c r="H8581" t="s">
        <v>11048</v>
      </c>
      <c r="I8581" t="s">
        <v>4709</v>
      </c>
      <c r="J8581" t="s">
        <v>35043</v>
      </c>
      <c r="K8581" t="s">
        <v>38487</v>
      </c>
      <c r="M8581" t="s">
        <v>41589</v>
      </c>
      <c r="N8581" t="s">
        <v>42669</v>
      </c>
      <c r="O8581" t="s">
        <v>42670</v>
      </c>
      <c r="P8581">
        <v>0</v>
      </c>
      <c r="Q8581">
        <v>1</v>
      </c>
      <c r="R8581" t="s">
        <v>42679</v>
      </c>
      <c r="S8581" t="s">
        <v>42923</v>
      </c>
      <c r="T8581" t="s">
        <v>44429</v>
      </c>
      <c r="U8581" t="s">
        <v>51825</v>
      </c>
      <c r="W8581" t="s">
        <v>41589</v>
      </c>
      <c r="X8581" t="s">
        <v>42682</v>
      </c>
    </row>
    <row r="8582" spans="1:24">
      <c r="A8582">
        <f>HYPERLINK("https://www.philgeps.gov.ph/GEPSNONPILOT/Tender/SplashBidNoticeAbstractUI.aspx?menuIndex=3&amp;refID=7179966&amp;Result=3","7179966")</f>
        <v>0</v>
      </c>
      <c r="B8582" t="s">
        <v>180</v>
      </c>
      <c r="C8582" t="s">
        <v>11728</v>
      </c>
      <c r="D8582" t="s">
        <v>17154</v>
      </c>
      <c r="E8582" t="s">
        <v>24636</v>
      </c>
      <c r="F8582" t="s">
        <v>29372</v>
      </c>
      <c r="G8582" t="s">
        <v>29380</v>
      </c>
      <c r="H8582" t="s">
        <v>29389</v>
      </c>
      <c r="I8582" t="s">
        <v>10408</v>
      </c>
      <c r="J8582" t="s">
        <v>35044</v>
      </c>
      <c r="K8582" t="s">
        <v>38509</v>
      </c>
      <c r="M8582" t="s">
        <v>38937</v>
      </c>
      <c r="N8582" t="s">
        <v>42669</v>
      </c>
      <c r="O8582" t="s">
        <v>42670</v>
      </c>
      <c r="P8582">
        <v>0</v>
      </c>
      <c r="Q8582">
        <v>0</v>
      </c>
      <c r="R8582" t="s">
        <v>42679</v>
      </c>
      <c r="S8582" t="s">
        <v>42923</v>
      </c>
      <c r="T8582" t="s">
        <v>44547</v>
      </c>
      <c r="U8582" t="s">
        <v>51826</v>
      </c>
      <c r="W8582" t="s">
        <v>38937</v>
      </c>
      <c r="X8582" t="s">
        <v>42682</v>
      </c>
    </row>
    <row r="8583" spans="1:24">
      <c r="A8583">
        <f>HYPERLINK("https://www.philgeps.gov.ph/GEPSNONPILOT/Tender/SplashBidNoticeAbstractUI.aspx?menuIndex=3&amp;refID=7179958&amp;Result=3","7179958")</f>
        <v>0</v>
      </c>
      <c r="B8583" t="s">
        <v>180</v>
      </c>
      <c r="C8583" t="s">
        <v>11729</v>
      </c>
      <c r="D8583" t="s">
        <v>17154</v>
      </c>
      <c r="E8583" t="s">
        <v>24637</v>
      </c>
      <c r="F8583" t="s">
        <v>29372</v>
      </c>
      <c r="G8583" t="s">
        <v>29380</v>
      </c>
      <c r="H8583" t="s">
        <v>29389</v>
      </c>
      <c r="I8583" t="s">
        <v>10408</v>
      </c>
      <c r="J8583" t="s">
        <v>35045</v>
      </c>
      <c r="K8583" t="s">
        <v>38697</v>
      </c>
      <c r="M8583" t="s">
        <v>38937</v>
      </c>
      <c r="N8583" t="s">
        <v>42669</v>
      </c>
      <c r="O8583" t="s">
        <v>42670</v>
      </c>
      <c r="P8583">
        <v>0</v>
      </c>
      <c r="Q8583">
        <v>1</v>
      </c>
      <c r="R8583" t="s">
        <v>42679</v>
      </c>
      <c r="S8583" t="s">
        <v>42923</v>
      </c>
      <c r="T8583" t="s">
        <v>44547</v>
      </c>
      <c r="U8583" t="s">
        <v>51827</v>
      </c>
      <c r="W8583" t="s">
        <v>38937</v>
      </c>
      <c r="X8583" t="s">
        <v>42682</v>
      </c>
    </row>
    <row r="8584" spans="1:24">
      <c r="A8584">
        <f>HYPERLINK("https://www.philgeps.gov.ph/GEPSNONPILOT/Tender/SplashBidNoticeAbstractUI.aspx?menuIndex=3&amp;refID=7179978&amp;Result=3","7179978")</f>
        <v>0</v>
      </c>
      <c r="B8584" t="s">
        <v>2622</v>
      </c>
      <c r="C8584" t="s">
        <v>11730</v>
      </c>
      <c r="D8584" t="s">
        <v>17177</v>
      </c>
      <c r="E8584" t="s">
        <v>24638</v>
      </c>
      <c r="F8584" t="s">
        <v>29372</v>
      </c>
      <c r="G8584" t="s">
        <v>29380</v>
      </c>
      <c r="H8584" t="s">
        <v>29389</v>
      </c>
      <c r="I8584" t="s">
        <v>10408</v>
      </c>
      <c r="J8584" t="s">
        <v>35046</v>
      </c>
      <c r="K8584" t="s">
        <v>38518</v>
      </c>
      <c r="M8584" t="s">
        <v>41594</v>
      </c>
      <c r="N8584" t="s">
        <v>42669</v>
      </c>
      <c r="O8584" t="s">
        <v>42670</v>
      </c>
      <c r="P8584">
        <v>0</v>
      </c>
      <c r="Q8584">
        <v>0</v>
      </c>
      <c r="R8584" t="s">
        <v>42679</v>
      </c>
      <c r="S8584" t="s">
        <v>42923</v>
      </c>
      <c r="T8584" t="s">
        <v>44398</v>
      </c>
      <c r="U8584" t="s">
        <v>51828</v>
      </c>
      <c r="W8584" t="s">
        <v>41594</v>
      </c>
      <c r="X8584" t="s">
        <v>42682</v>
      </c>
    </row>
    <row r="8585" spans="1:24">
      <c r="A8585">
        <f>HYPERLINK("https://www.philgeps.gov.ph/GEPSNONPILOT/Tender/SplashBidNoticeAbstractUI.aspx?menuIndex=3&amp;refID=7180272&amp;Result=3","7180272")</f>
        <v>0</v>
      </c>
      <c r="B8585" t="s">
        <v>2623</v>
      </c>
      <c r="C8585" t="s">
        <v>11731</v>
      </c>
      <c r="D8585" t="s">
        <v>17172</v>
      </c>
      <c r="E8585" t="s">
        <v>17533</v>
      </c>
      <c r="F8585" t="s">
        <v>29372</v>
      </c>
      <c r="G8585" t="s">
        <v>29380</v>
      </c>
      <c r="H8585" t="s">
        <v>11048</v>
      </c>
      <c r="I8585" t="s">
        <v>9469</v>
      </c>
      <c r="J8585" t="s">
        <v>29767</v>
      </c>
      <c r="K8585" t="s">
        <v>38491</v>
      </c>
      <c r="M8585" t="s">
        <v>41595</v>
      </c>
      <c r="N8585" t="s">
        <v>42669</v>
      </c>
      <c r="O8585" t="s">
        <v>42670</v>
      </c>
      <c r="P8585">
        <v>0</v>
      </c>
      <c r="Q8585">
        <v>0</v>
      </c>
      <c r="R8585" t="s">
        <v>42679</v>
      </c>
      <c r="S8585" t="s">
        <v>42923</v>
      </c>
      <c r="T8585" t="s">
        <v>44488</v>
      </c>
      <c r="U8585" t="s">
        <v>51829</v>
      </c>
      <c r="W8585" t="s">
        <v>41595</v>
      </c>
      <c r="X8585" t="s">
        <v>42681</v>
      </c>
    </row>
    <row r="8586" spans="1:24">
      <c r="A8586">
        <f>HYPERLINK("https://www.philgeps.gov.ph/GEPSNONPILOT/Tender/SplashBidNoticeAbstractUI.aspx?menuIndex=3&amp;refID=7179955&amp;Result=3","7179955")</f>
        <v>0</v>
      </c>
      <c r="B8586" t="s">
        <v>180</v>
      </c>
      <c r="C8586" t="s">
        <v>11732</v>
      </c>
      <c r="D8586" t="s">
        <v>17154</v>
      </c>
      <c r="E8586" t="s">
        <v>24639</v>
      </c>
      <c r="F8586" t="s">
        <v>29372</v>
      </c>
      <c r="G8586" t="s">
        <v>29380</v>
      </c>
      <c r="H8586" t="s">
        <v>29389</v>
      </c>
      <c r="I8586" t="s">
        <v>10408</v>
      </c>
      <c r="J8586" t="s">
        <v>35047</v>
      </c>
      <c r="K8586" t="s">
        <v>38496</v>
      </c>
      <c r="M8586" t="s">
        <v>38937</v>
      </c>
      <c r="N8586" t="s">
        <v>42669</v>
      </c>
      <c r="O8586" t="s">
        <v>42670</v>
      </c>
      <c r="P8586">
        <v>0</v>
      </c>
      <c r="Q8586">
        <v>0</v>
      </c>
      <c r="R8586" t="s">
        <v>42679</v>
      </c>
      <c r="S8586" t="s">
        <v>42923</v>
      </c>
      <c r="T8586" t="s">
        <v>44547</v>
      </c>
      <c r="U8586" t="s">
        <v>51830</v>
      </c>
      <c r="W8586" t="s">
        <v>38937</v>
      </c>
      <c r="X8586" t="s">
        <v>42682</v>
      </c>
    </row>
    <row r="8587" spans="1:24">
      <c r="A8587">
        <f>HYPERLINK("https://www.philgeps.gov.ph/GEPSNONPILOT/Tender/SplashBidNoticeAbstractUI.aspx?menuIndex=3&amp;refID=7180268&amp;Result=3","7180268")</f>
        <v>0</v>
      </c>
      <c r="B8587" t="s">
        <v>1366</v>
      </c>
      <c r="C8587" t="s">
        <v>11733</v>
      </c>
      <c r="D8587" t="s">
        <v>17178</v>
      </c>
      <c r="E8587" t="s">
        <v>24640</v>
      </c>
      <c r="F8587" t="s">
        <v>29375</v>
      </c>
      <c r="G8587" t="s">
        <v>29380</v>
      </c>
      <c r="H8587" t="s">
        <v>11048</v>
      </c>
      <c r="I8587" t="s">
        <v>4709</v>
      </c>
      <c r="J8587" t="s">
        <v>29604</v>
      </c>
      <c r="K8587" t="s">
        <v>38488</v>
      </c>
      <c r="L8587" t="s">
        <v>1366</v>
      </c>
      <c r="M8587" t="s">
        <v>40203</v>
      </c>
      <c r="N8587" t="s">
        <v>42669</v>
      </c>
      <c r="O8587" t="s">
        <v>42670</v>
      </c>
      <c r="P8587">
        <v>0</v>
      </c>
      <c r="Q8587">
        <v>0</v>
      </c>
      <c r="R8587" t="s">
        <v>42679</v>
      </c>
      <c r="S8587" t="s">
        <v>42923</v>
      </c>
      <c r="T8587" t="s">
        <v>44457</v>
      </c>
      <c r="U8587" t="s">
        <v>51831</v>
      </c>
      <c r="W8587" t="s">
        <v>40203</v>
      </c>
      <c r="X8587" t="s">
        <v>42681</v>
      </c>
    </row>
    <row r="8588" spans="1:24">
      <c r="A8588">
        <f>HYPERLINK("https://www.philgeps.gov.ph/GEPSNONPILOT/Tender/SplashBidNoticeAbstractUI.aspx?menuIndex=3&amp;refID=7180207&amp;Result=3","7180207")</f>
        <v>0</v>
      </c>
      <c r="B8588" t="s">
        <v>2624</v>
      </c>
      <c r="C8588" t="s">
        <v>11734</v>
      </c>
      <c r="D8588" t="s">
        <v>17170</v>
      </c>
      <c r="E8588" t="s">
        <v>17540</v>
      </c>
      <c r="F8588" t="s">
        <v>29372</v>
      </c>
      <c r="G8588" t="s">
        <v>29380</v>
      </c>
      <c r="H8588" t="s">
        <v>11048</v>
      </c>
      <c r="I8588" t="s">
        <v>4709</v>
      </c>
      <c r="J8588" t="s">
        <v>35048</v>
      </c>
      <c r="K8588" t="s">
        <v>38490</v>
      </c>
      <c r="M8588" t="s">
        <v>41596</v>
      </c>
      <c r="N8588" t="s">
        <v>42669</v>
      </c>
      <c r="O8588" t="s">
        <v>42670</v>
      </c>
      <c r="P8588">
        <v>0</v>
      </c>
      <c r="Q8588">
        <v>0</v>
      </c>
      <c r="R8588" t="s">
        <v>42679</v>
      </c>
      <c r="S8588" t="s">
        <v>42923</v>
      </c>
      <c r="T8588" t="s">
        <v>44386</v>
      </c>
      <c r="U8588" t="s">
        <v>51832</v>
      </c>
      <c r="W8588" t="s">
        <v>41596</v>
      </c>
      <c r="X8588" t="s">
        <v>42681</v>
      </c>
    </row>
    <row r="8589" spans="1:24">
      <c r="A8589">
        <f>HYPERLINK("https://www.philgeps.gov.ph/GEPSNONPILOT/Tender/SplashBidNoticeAbstractUI.aspx?menuIndex=3&amp;refID=7180184&amp;Result=3","7180184")</f>
        <v>0</v>
      </c>
      <c r="B8589" t="s">
        <v>2625</v>
      </c>
      <c r="C8589" t="s">
        <v>11735</v>
      </c>
      <c r="D8589" t="s">
        <v>17179</v>
      </c>
      <c r="E8589" t="s">
        <v>24641</v>
      </c>
      <c r="F8589" t="s">
        <v>29372</v>
      </c>
      <c r="G8589" t="s">
        <v>29380</v>
      </c>
      <c r="H8589" t="s">
        <v>29389</v>
      </c>
      <c r="I8589" t="s">
        <v>10408</v>
      </c>
      <c r="J8589" t="s">
        <v>35049</v>
      </c>
      <c r="K8589" t="s">
        <v>38531</v>
      </c>
      <c r="M8589" t="s">
        <v>41597</v>
      </c>
      <c r="N8589" t="s">
        <v>42669</v>
      </c>
      <c r="O8589" t="s">
        <v>42670</v>
      </c>
      <c r="P8589">
        <v>0</v>
      </c>
      <c r="Q8589">
        <v>2</v>
      </c>
      <c r="R8589" t="s">
        <v>42679</v>
      </c>
      <c r="S8589" t="s">
        <v>42923</v>
      </c>
      <c r="T8589" t="s">
        <v>44437</v>
      </c>
      <c r="U8589" t="s">
        <v>51833</v>
      </c>
      <c r="V8589" t="s">
        <v>57317</v>
      </c>
      <c r="W8589" t="s">
        <v>41597</v>
      </c>
      <c r="X8589" t="s">
        <v>42681</v>
      </c>
    </row>
    <row r="8590" spans="1:24">
      <c r="A8590">
        <f>HYPERLINK("https://www.philgeps.gov.ph/GEPSNONPILOT/Tender/SplashBidNoticeAbstractUI.aspx?menuIndex=3&amp;refID=7179993&amp;Result=3","7179993")</f>
        <v>0</v>
      </c>
      <c r="B8590" t="s">
        <v>180</v>
      </c>
      <c r="C8590" t="s">
        <v>11736</v>
      </c>
      <c r="D8590" t="s">
        <v>17154</v>
      </c>
      <c r="E8590" t="s">
        <v>24642</v>
      </c>
      <c r="F8590" t="s">
        <v>29372</v>
      </c>
      <c r="G8590" t="s">
        <v>29380</v>
      </c>
      <c r="H8590" t="s">
        <v>29389</v>
      </c>
      <c r="I8590" t="s">
        <v>10408</v>
      </c>
      <c r="J8590" t="s">
        <v>35050</v>
      </c>
      <c r="K8590" t="s">
        <v>38541</v>
      </c>
      <c r="M8590" t="s">
        <v>38937</v>
      </c>
      <c r="N8590" t="s">
        <v>42669</v>
      </c>
      <c r="O8590" t="s">
        <v>42670</v>
      </c>
      <c r="P8590">
        <v>0</v>
      </c>
      <c r="Q8590">
        <v>0</v>
      </c>
      <c r="R8590" t="s">
        <v>42679</v>
      </c>
      <c r="S8590" t="s">
        <v>42923</v>
      </c>
      <c r="T8590" t="s">
        <v>44547</v>
      </c>
      <c r="U8590" t="s">
        <v>51834</v>
      </c>
      <c r="W8590" t="s">
        <v>38937</v>
      </c>
      <c r="X8590" t="s">
        <v>42682</v>
      </c>
    </row>
    <row r="8591" spans="1:24">
      <c r="A8591">
        <f>HYPERLINK("https://www.philgeps.gov.ph/GEPSNONPILOT/Tender/SplashBidNoticeAbstractUI.aspx?menuIndex=3&amp;refID=7180163&amp;Result=3","7180163")</f>
        <v>0</v>
      </c>
      <c r="B8591" t="s">
        <v>2626</v>
      </c>
      <c r="C8591" t="s">
        <v>11737</v>
      </c>
      <c r="D8591" t="s">
        <v>17202</v>
      </c>
      <c r="E8591" t="s">
        <v>24643</v>
      </c>
      <c r="F8591" t="s">
        <v>29372</v>
      </c>
      <c r="G8591" t="s">
        <v>29380</v>
      </c>
      <c r="H8591" t="s">
        <v>11048</v>
      </c>
      <c r="I8591" t="s">
        <v>29442</v>
      </c>
      <c r="J8591" t="s">
        <v>30244</v>
      </c>
      <c r="K8591" t="s">
        <v>38487</v>
      </c>
      <c r="M8591" t="s">
        <v>41598</v>
      </c>
      <c r="N8591" t="s">
        <v>42669</v>
      </c>
      <c r="O8591" t="s">
        <v>42670</v>
      </c>
      <c r="P8591">
        <v>0</v>
      </c>
      <c r="Q8591">
        <v>13</v>
      </c>
      <c r="R8591" t="s">
        <v>42679</v>
      </c>
      <c r="S8591" t="s">
        <v>42923</v>
      </c>
      <c r="T8591" t="s">
        <v>44662</v>
      </c>
      <c r="U8591" t="s">
        <v>51835</v>
      </c>
      <c r="V8591" t="s">
        <v>57318</v>
      </c>
      <c r="W8591" t="s">
        <v>41598</v>
      </c>
      <c r="X8591" t="s">
        <v>42681</v>
      </c>
    </row>
    <row r="8592" spans="1:24">
      <c r="A8592">
        <f>HYPERLINK("https://www.philgeps.gov.ph/GEPSNONPILOT/Tender/SplashBidNoticeAbstractUI.aspx?menuIndex=3&amp;refID=7180070&amp;Result=3","7180070")</f>
        <v>0</v>
      </c>
      <c r="B8592" t="s">
        <v>2627</v>
      </c>
      <c r="C8592" t="s">
        <v>11738</v>
      </c>
      <c r="D8592" t="s">
        <v>17166</v>
      </c>
      <c r="E8592" t="s">
        <v>24644</v>
      </c>
      <c r="F8592" t="s">
        <v>29372</v>
      </c>
      <c r="G8592" t="s">
        <v>29380</v>
      </c>
      <c r="H8592" t="s">
        <v>29389</v>
      </c>
      <c r="I8592" t="s">
        <v>10408</v>
      </c>
      <c r="J8592" t="s">
        <v>35051</v>
      </c>
      <c r="K8592" t="s">
        <v>38630</v>
      </c>
      <c r="M8592" t="s">
        <v>41599</v>
      </c>
      <c r="N8592" t="s">
        <v>42669</v>
      </c>
      <c r="O8592" t="s">
        <v>42670</v>
      </c>
      <c r="P8592">
        <v>0</v>
      </c>
      <c r="Q8592">
        <v>5</v>
      </c>
      <c r="R8592" t="s">
        <v>42679</v>
      </c>
      <c r="S8592" t="s">
        <v>42923</v>
      </c>
      <c r="T8592" t="s">
        <v>44446</v>
      </c>
      <c r="U8592" t="s">
        <v>51836</v>
      </c>
      <c r="W8592" t="s">
        <v>41599</v>
      </c>
      <c r="X8592" t="s">
        <v>42682</v>
      </c>
    </row>
    <row r="8593" spans="1:24">
      <c r="A8593">
        <f>HYPERLINK("https://www.philgeps.gov.ph/GEPSNONPILOT/Tender/SplashBidNoticeAbstractUI.aspx?menuIndex=3&amp;refID=7180208&amp;Result=3","7180208")</f>
        <v>0</v>
      </c>
      <c r="B8593" t="s">
        <v>2628</v>
      </c>
      <c r="C8593" t="s">
        <v>11739</v>
      </c>
      <c r="D8593" t="s">
        <v>17170</v>
      </c>
      <c r="E8593" t="s">
        <v>17533</v>
      </c>
      <c r="F8593" t="s">
        <v>29372</v>
      </c>
      <c r="G8593" t="s">
        <v>29380</v>
      </c>
      <c r="H8593" t="s">
        <v>11048</v>
      </c>
      <c r="I8593" t="s">
        <v>29413</v>
      </c>
      <c r="J8593" t="s">
        <v>35052</v>
      </c>
      <c r="K8593" t="s">
        <v>38490</v>
      </c>
      <c r="M8593" t="s">
        <v>41600</v>
      </c>
      <c r="N8593" t="s">
        <v>42669</v>
      </c>
      <c r="O8593" t="s">
        <v>42670</v>
      </c>
      <c r="P8593">
        <v>0</v>
      </c>
      <c r="Q8593">
        <v>1</v>
      </c>
      <c r="R8593" t="s">
        <v>42679</v>
      </c>
      <c r="S8593" t="s">
        <v>42923</v>
      </c>
      <c r="T8593" t="s">
        <v>44399</v>
      </c>
      <c r="U8593" t="s">
        <v>51837</v>
      </c>
      <c r="W8593" t="s">
        <v>41600</v>
      </c>
      <c r="X8593" t="s">
        <v>42681</v>
      </c>
    </row>
    <row r="8594" spans="1:24">
      <c r="A8594">
        <f>HYPERLINK("https://www.philgeps.gov.ph/GEPSNONPILOT/Tender/SplashBidNoticeAbstractUI.aspx?menuIndex=3&amp;refID=7180060&amp;Result=3","7180060")</f>
        <v>0</v>
      </c>
      <c r="B8594" t="s">
        <v>180</v>
      </c>
      <c r="C8594" t="s">
        <v>11740</v>
      </c>
      <c r="D8594" t="s">
        <v>17154</v>
      </c>
      <c r="E8594" t="s">
        <v>24645</v>
      </c>
      <c r="F8594" t="s">
        <v>29372</v>
      </c>
      <c r="G8594" t="s">
        <v>29380</v>
      </c>
      <c r="H8594" t="s">
        <v>29389</v>
      </c>
      <c r="I8594" t="s">
        <v>10408</v>
      </c>
      <c r="J8594" t="s">
        <v>35053</v>
      </c>
      <c r="K8594" t="s">
        <v>38541</v>
      </c>
      <c r="M8594" t="s">
        <v>38937</v>
      </c>
      <c r="N8594" t="s">
        <v>42669</v>
      </c>
      <c r="O8594" t="s">
        <v>42670</v>
      </c>
      <c r="P8594">
        <v>0</v>
      </c>
      <c r="Q8594">
        <v>1</v>
      </c>
      <c r="R8594" t="s">
        <v>42679</v>
      </c>
      <c r="S8594" t="s">
        <v>42923</v>
      </c>
      <c r="T8594" t="s">
        <v>44547</v>
      </c>
      <c r="U8594" t="s">
        <v>51838</v>
      </c>
      <c r="W8594" t="s">
        <v>38937</v>
      </c>
      <c r="X8594" t="s">
        <v>42682</v>
      </c>
    </row>
    <row r="8595" spans="1:24">
      <c r="A8595">
        <f>HYPERLINK("https://www.philgeps.gov.ph/GEPSNONPILOT/Tender/SplashBidNoticeAbstractUI.aspx?menuIndex=3&amp;refID=7180058&amp;Result=3","7180058")</f>
        <v>0</v>
      </c>
      <c r="B8595" t="s">
        <v>180</v>
      </c>
      <c r="C8595" t="s">
        <v>11741</v>
      </c>
      <c r="D8595" t="s">
        <v>17154</v>
      </c>
      <c r="E8595" t="s">
        <v>24646</v>
      </c>
      <c r="F8595" t="s">
        <v>29372</v>
      </c>
      <c r="G8595" t="s">
        <v>29380</v>
      </c>
      <c r="H8595" t="s">
        <v>29389</v>
      </c>
      <c r="I8595" t="s">
        <v>10408</v>
      </c>
      <c r="J8595" t="s">
        <v>35054</v>
      </c>
      <c r="K8595" t="s">
        <v>38527</v>
      </c>
      <c r="M8595" t="s">
        <v>38937</v>
      </c>
      <c r="N8595" t="s">
        <v>42669</v>
      </c>
      <c r="O8595" t="s">
        <v>42670</v>
      </c>
      <c r="P8595">
        <v>0</v>
      </c>
      <c r="Q8595">
        <v>0</v>
      </c>
      <c r="R8595" t="s">
        <v>42679</v>
      </c>
      <c r="S8595" t="s">
        <v>42923</v>
      </c>
      <c r="T8595" t="s">
        <v>44547</v>
      </c>
      <c r="U8595" t="s">
        <v>51839</v>
      </c>
      <c r="W8595" t="s">
        <v>38937</v>
      </c>
      <c r="X8595" t="s">
        <v>42682</v>
      </c>
    </row>
    <row r="8596" spans="1:24">
      <c r="A8596">
        <f>HYPERLINK("https://www.philgeps.gov.ph/GEPSNONPILOT/Tender/SplashBidNoticeAbstractUI.aspx?menuIndex=3&amp;refID=7179991&amp;Result=3","7179991")</f>
        <v>0</v>
      </c>
      <c r="B8596" t="s">
        <v>180</v>
      </c>
      <c r="C8596" t="s">
        <v>11742</v>
      </c>
      <c r="D8596" t="s">
        <v>17154</v>
      </c>
      <c r="E8596" t="s">
        <v>24647</v>
      </c>
      <c r="F8596" t="s">
        <v>29372</v>
      </c>
      <c r="G8596" t="s">
        <v>29380</v>
      </c>
      <c r="H8596" t="s">
        <v>29389</v>
      </c>
      <c r="I8596" t="s">
        <v>10408</v>
      </c>
      <c r="J8596" t="s">
        <v>35055</v>
      </c>
      <c r="K8596" t="s">
        <v>38651</v>
      </c>
      <c r="M8596" t="s">
        <v>38937</v>
      </c>
      <c r="N8596" t="s">
        <v>42669</v>
      </c>
      <c r="O8596" t="s">
        <v>42670</v>
      </c>
      <c r="P8596">
        <v>0</v>
      </c>
      <c r="Q8596">
        <v>0</v>
      </c>
      <c r="R8596" t="s">
        <v>42679</v>
      </c>
      <c r="S8596" t="s">
        <v>42923</v>
      </c>
      <c r="T8596" t="s">
        <v>44547</v>
      </c>
      <c r="U8596" t="s">
        <v>51840</v>
      </c>
      <c r="W8596" t="s">
        <v>38937</v>
      </c>
      <c r="X8596" t="s">
        <v>42682</v>
      </c>
    </row>
    <row r="8597" spans="1:24">
      <c r="A8597">
        <f>HYPERLINK("https://www.philgeps.gov.ph/GEPSNONPILOT/Tender/SplashBidNoticeAbstractUI.aspx?menuIndex=3&amp;refID=7180137&amp;Result=3","7180137")</f>
        <v>0</v>
      </c>
      <c r="B8597" t="s">
        <v>2629</v>
      </c>
      <c r="C8597" t="s">
        <v>11743</v>
      </c>
      <c r="D8597" t="s">
        <v>17222</v>
      </c>
      <c r="E8597" t="s">
        <v>21228</v>
      </c>
      <c r="F8597" t="s">
        <v>29372</v>
      </c>
      <c r="G8597" t="s">
        <v>29380</v>
      </c>
      <c r="H8597" t="s">
        <v>29389</v>
      </c>
      <c r="I8597" t="s">
        <v>10408</v>
      </c>
      <c r="J8597" t="s">
        <v>29526</v>
      </c>
      <c r="K8597" t="s">
        <v>38518</v>
      </c>
      <c r="M8597" t="s">
        <v>41601</v>
      </c>
      <c r="N8597" t="s">
        <v>42669</v>
      </c>
      <c r="O8597" t="s">
        <v>42670</v>
      </c>
      <c r="P8597">
        <v>0</v>
      </c>
      <c r="Q8597">
        <v>0</v>
      </c>
      <c r="R8597" t="s">
        <v>42679</v>
      </c>
      <c r="S8597" t="s">
        <v>42923</v>
      </c>
      <c r="T8597" t="s">
        <v>44493</v>
      </c>
      <c r="U8597" t="s">
        <v>51841</v>
      </c>
      <c r="W8597" t="s">
        <v>41601</v>
      </c>
      <c r="X8597" t="s">
        <v>42681</v>
      </c>
    </row>
    <row r="8598" spans="1:24">
      <c r="A8598">
        <f>HYPERLINK("https://www.philgeps.gov.ph/GEPSNONPILOT/Tender/SplashBidNoticeAbstractUI.aspx?menuIndex=3&amp;refID=7180050&amp;Result=3","7180050")</f>
        <v>0</v>
      </c>
      <c r="B8598" t="s">
        <v>180</v>
      </c>
      <c r="C8598" t="s">
        <v>11744</v>
      </c>
      <c r="D8598" t="s">
        <v>17154</v>
      </c>
      <c r="E8598" t="s">
        <v>24648</v>
      </c>
      <c r="F8598" t="s">
        <v>29372</v>
      </c>
      <c r="G8598" t="s">
        <v>29380</v>
      </c>
      <c r="H8598" t="s">
        <v>29389</v>
      </c>
      <c r="I8598" t="s">
        <v>10408</v>
      </c>
      <c r="J8598" t="s">
        <v>35056</v>
      </c>
      <c r="K8598" t="s">
        <v>38495</v>
      </c>
      <c r="M8598" t="s">
        <v>38937</v>
      </c>
      <c r="N8598" t="s">
        <v>42669</v>
      </c>
      <c r="O8598" t="s">
        <v>42670</v>
      </c>
      <c r="P8598">
        <v>0</v>
      </c>
      <c r="Q8598">
        <v>0</v>
      </c>
      <c r="R8598" t="s">
        <v>42679</v>
      </c>
      <c r="S8598" t="s">
        <v>42923</v>
      </c>
      <c r="T8598" t="s">
        <v>44547</v>
      </c>
      <c r="U8598" t="s">
        <v>51842</v>
      </c>
      <c r="W8598" t="s">
        <v>38937</v>
      </c>
      <c r="X8598" t="s">
        <v>42682</v>
      </c>
    </row>
    <row r="8599" spans="1:24">
      <c r="A8599">
        <f>HYPERLINK("https://www.philgeps.gov.ph/GEPSNONPILOT/Tender/SplashBidNoticeAbstractUI.aspx?menuIndex=3&amp;refID=7180065&amp;Result=3","7180065")</f>
        <v>0</v>
      </c>
      <c r="B8599" t="s">
        <v>2627</v>
      </c>
      <c r="C8599" t="s">
        <v>11745</v>
      </c>
      <c r="D8599" t="s">
        <v>17166</v>
      </c>
      <c r="E8599" t="s">
        <v>24649</v>
      </c>
      <c r="F8599" t="s">
        <v>29372</v>
      </c>
      <c r="G8599" t="s">
        <v>29380</v>
      </c>
      <c r="H8599" t="s">
        <v>29389</v>
      </c>
      <c r="I8599" t="s">
        <v>10408</v>
      </c>
      <c r="J8599" t="s">
        <v>35057</v>
      </c>
      <c r="K8599" t="s">
        <v>38485</v>
      </c>
      <c r="M8599" t="s">
        <v>41599</v>
      </c>
      <c r="N8599" t="s">
        <v>42669</v>
      </c>
      <c r="O8599" t="s">
        <v>42670</v>
      </c>
      <c r="P8599">
        <v>0</v>
      </c>
      <c r="Q8599">
        <v>0</v>
      </c>
      <c r="R8599" t="s">
        <v>42679</v>
      </c>
      <c r="S8599" t="s">
        <v>42923</v>
      </c>
      <c r="T8599" t="s">
        <v>44446</v>
      </c>
      <c r="U8599" t="s">
        <v>51836</v>
      </c>
      <c r="W8599" t="s">
        <v>41599</v>
      </c>
      <c r="X8599" t="s">
        <v>42682</v>
      </c>
    </row>
    <row r="8600" spans="1:24">
      <c r="A8600">
        <f>HYPERLINK("https://www.philgeps.gov.ph/GEPSNONPILOT/Tender/SplashBidNoticeAbstractUI.aspx?menuIndex=3&amp;refID=7180423&amp;Result=3","7180423")</f>
        <v>0</v>
      </c>
      <c r="B8600" t="s">
        <v>2630</v>
      </c>
      <c r="C8600" t="s">
        <v>11746</v>
      </c>
      <c r="D8600" t="s">
        <v>17186</v>
      </c>
      <c r="E8600" t="s">
        <v>24650</v>
      </c>
      <c r="F8600" t="s">
        <v>29372</v>
      </c>
      <c r="G8600" t="s">
        <v>29380</v>
      </c>
      <c r="H8600" t="s">
        <v>11048</v>
      </c>
      <c r="I8600" t="s">
        <v>29414</v>
      </c>
      <c r="J8600" t="s">
        <v>29924</v>
      </c>
      <c r="K8600" t="s">
        <v>38485</v>
      </c>
      <c r="M8600" t="s">
        <v>41602</v>
      </c>
      <c r="N8600" t="s">
        <v>42669</v>
      </c>
      <c r="O8600" t="s">
        <v>42670</v>
      </c>
      <c r="P8600">
        <v>0</v>
      </c>
      <c r="Q8600">
        <v>13</v>
      </c>
      <c r="R8600" t="s">
        <v>42679</v>
      </c>
      <c r="S8600" t="s">
        <v>42923</v>
      </c>
      <c r="T8600" t="s">
        <v>44368</v>
      </c>
      <c r="U8600" t="s">
        <v>51843</v>
      </c>
      <c r="W8600" t="s">
        <v>41602</v>
      </c>
      <c r="X8600" t="s">
        <v>42680</v>
      </c>
    </row>
    <row r="8601" spans="1:24">
      <c r="A8601">
        <f>HYPERLINK("https://www.philgeps.gov.ph/GEPSNONPILOT/Tender/SplashBidNoticeAbstractUI.aspx?menuIndex=3&amp;refID=7180422&amp;Result=3","7180422")</f>
        <v>0</v>
      </c>
      <c r="B8601" t="s">
        <v>2630</v>
      </c>
      <c r="C8601" t="s">
        <v>11747</v>
      </c>
      <c r="D8601" t="s">
        <v>17186</v>
      </c>
      <c r="E8601" t="s">
        <v>24651</v>
      </c>
      <c r="F8601" t="s">
        <v>29372</v>
      </c>
      <c r="G8601" t="s">
        <v>29380</v>
      </c>
      <c r="H8601" t="s">
        <v>11048</v>
      </c>
      <c r="I8601" t="s">
        <v>29409</v>
      </c>
      <c r="J8601" t="s">
        <v>35058</v>
      </c>
      <c r="K8601" t="s">
        <v>38510</v>
      </c>
      <c r="M8601" t="s">
        <v>41602</v>
      </c>
      <c r="N8601" t="s">
        <v>42669</v>
      </c>
      <c r="O8601" t="s">
        <v>42670</v>
      </c>
      <c r="P8601">
        <v>0</v>
      </c>
      <c r="Q8601">
        <v>8</v>
      </c>
      <c r="R8601" t="s">
        <v>42679</v>
      </c>
      <c r="S8601" t="s">
        <v>42923</v>
      </c>
      <c r="T8601" t="s">
        <v>44368</v>
      </c>
      <c r="U8601" t="s">
        <v>51844</v>
      </c>
      <c r="W8601" t="s">
        <v>41602</v>
      </c>
      <c r="X8601" t="s">
        <v>42680</v>
      </c>
    </row>
    <row r="8602" spans="1:24">
      <c r="A8602">
        <f>HYPERLINK("https://www.philgeps.gov.ph/GEPSNONPILOT/Tender/SplashBidNoticeAbstractUI.aspx?menuIndex=3&amp;refID=7180421&amp;Result=3","7180421")</f>
        <v>0</v>
      </c>
      <c r="B8602" t="s">
        <v>2630</v>
      </c>
      <c r="C8602" t="s">
        <v>11748</v>
      </c>
      <c r="D8602" t="s">
        <v>17186</v>
      </c>
      <c r="E8602" t="s">
        <v>24652</v>
      </c>
      <c r="F8602" t="s">
        <v>29372</v>
      </c>
      <c r="G8602" t="s">
        <v>29380</v>
      </c>
      <c r="H8602" t="s">
        <v>11048</v>
      </c>
      <c r="I8602" t="s">
        <v>9469</v>
      </c>
      <c r="J8602" t="s">
        <v>35059</v>
      </c>
      <c r="K8602" t="s">
        <v>38485</v>
      </c>
      <c r="M8602" t="s">
        <v>41602</v>
      </c>
      <c r="N8602" t="s">
        <v>42669</v>
      </c>
      <c r="O8602" t="s">
        <v>42670</v>
      </c>
      <c r="P8602">
        <v>0</v>
      </c>
      <c r="Q8602">
        <v>0</v>
      </c>
      <c r="R8602" t="s">
        <v>42679</v>
      </c>
      <c r="S8602" t="s">
        <v>42923</v>
      </c>
      <c r="T8602" t="s">
        <v>44368</v>
      </c>
      <c r="U8602" t="s">
        <v>51845</v>
      </c>
      <c r="W8602" t="s">
        <v>41602</v>
      </c>
      <c r="X8602" t="s">
        <v>42681</v>
      </c>
    </row>
    <row r="8603" spans="1:24">
      <c r="A8603">
        <f>HYPERLINK("https://www.philgeps.gov.ph/GEPSNONPILOT/Tender/SplashBidNoticeAbstractUI.aspx?menuIndex=3&amp;refID=7180368&amp;Result=3","7180368")</f>
        <v>0</v>
      </c>
      <c r="B8603" t="s">
        <v>2631</v>
      </c>
      <c r="C8603" t="s">
        <v>11749</v>
      </c>
      <c r="D8603" t="s">
        <v>17172</v>
      </c>
      <c r="E8603" t="s">
        <v>18038</v>
      </c>
      <c r="F8603" t="s">
        <v>29372</v>
      </c>
      <c r="G8603" t="s">
        <v>29380</v>
      </c>
      <c r="H8603" t="s">
        <v>11048</v>
      </c>
      <c r="I8603" t="s">
        <v>3839</v>
      </c>
      <c r="J8603" t="s">
        <v>29625</v>
      </c>
      <c r="K8603" t="s">
        <v>38488</v>
      </c>
      <c r="M8603" t="s">
        <v>41603</v>
      </c>
      <c r="N8603" t="s">
        <v>42669</v>
      </c>
      <c r="O8603" t="s">
        <v>42670</v>
      </c>
      <c r="P8603">
        <v>0</v>
      </c>
      <c r="Q8603">
        <v>3</v>
      </c>
      <c r="R8603" t="s">
        <v>42679</v>
      </c>
      <c r="S8603" t="s">
        <v>42923</v>
      </c>
      <c r="T8603" t="s">
        <v>44401</v>
      </c>
      <c r="U8603" t="s">
        <v>51846</v>
      </c>
      <c r="W8603" t="s">
        <v>41603</v>
      </c>
      <c r="X8603" t="s">
        <v>42681</v>
      </c>
    </row>
    <row r="8604" spans="1:24">
      <c r="A8604">
        <f>HYPERLINK("https://www.philgeps.gov.ph/GEPSNONPILOT/Tender/SplashBidNoticeAbstractUI.aspx?menuIndex=3&amp;refID=7180364&amp;Result=3","7180364")</f>
        <v>0</v>
      </c>
      <c r="B8604" t="s">
        <v>2632</v>
      </c>
      <c r="C8604" t="s">
        <v>11750</v>
      </c>
      <c r="D8604" t="s">
        <v>17172</v>
      </c>
      <c r="E8604" t="s">
        <v>17294</v>
      </c>
      <c r="F8604" t="s">
        <v>29372</v>
      </c>
      <c r="G8604" t="s">
        <v>29380</v>
      </c>
      <c r="H8604" t="s">
        <v>11048</v>
      </c>
      <c r="I8604" t="s">
        <v>29395</v>
      </c>
      <c r="J8604" t="s">
        <v>35060</v>
      </c>
      <c r="K8604" t="s">
        <v>38488</v>
      </c>
      <c r="M8604" t="s">
        <v>41604</v>
      </c>
      <c r="N8604" t="s">
        <v>42669</v>
      </c>
      <c r="O8604" t="s">
        <v>42670</v>
      </c>
      <c r="P8604">
        <v>0</v>
      </c>
      <c r="Q8604">
        <v>0</v>
      </c>
      <c r="R8604" t="s">
        <v>42679</v>
      </c>
      <c r="S8604" t="s">
        <v>42923</v>
      </c>
      <c r="T8604" t="s">
        <v>44651</v>
      </c>
      <c r="U8604" t="s">
        <v>51847</v>
      </c>
      <c r="W8604" t="s">
        <v>41604</v>
      </c>
      <c r="X8604" t="s">
        <v>42681</v>
      </c>
    </row>
    <row r="8605" spans="1:24">
      <c r="A8605">
        <f>HYPERLINK("https://www.philgeps.gov.ph/GEPSNONPILOT/Tender/SplashBidNoticeAbstractUI.aspx?menuIndex=3&amp;refID=7180362&amp;Result=3","7180362")</f>
        <v>0</v>
      </c>
      <c r="B8605" t="s">
        <v>2632</v>
      </c>
      <c r="C8605" t="s">
        <v>11750</v>
      </c>
      <c r="D8605" t="s">
        <v>17172</v>
      </c>
      <c r="E8605" t="s">
        <v>22449</v>
      </c>
      <c r="F8605" t="s">
        <v>29372</v>
      </c>
      <c r="G8605" t="s">
        <v>29380</v>
      </c>
      <c r="H8605" t="s">
        <v>11048</v>
      </c>
      <c r="I8605" t="s">
        <v>29395</v>
      </c>
      <c r="J8605" t="s">
        <v>35061</v>
      </c>
      <c r="K8605" t="s">
        <v>38488</v>
      </c>
      <c r="M8605" t="s">
        <v>41604</v>
      </c>
      <c r="N8605" t="s">
        <v>42669</v>
      </c>
      <c r="O8605" t="s">
        <v>42670</v>
      </c>
      <c r="P8605">
        <v>0</v>
      </c>
      <c r="Q8605">
        <v>0</v>
      </c>
      <c r="R8605" t="s">
        <v>42679</v>
      </c>
      <c r="S8605" t="s">
        <v>42923</v>
      </c>
      <c r="T8605" t="s">
        <v>44651</v>
      </c>
      <c r="U8605" t="s">
        <v>51847</v>
      </c>
      <c r="W8605" t="s">
        <v>41604</v>
      </c>
      <c r="X8605" t="s">
        <v>42681</v>
      </c>
    </row>
    <row r="8606" spans="1:24">
      <c r="A8606">
        <f>HYPERLINK("https://www.philgeps.gov.ph/GEPSNONPILOT/Tender/SplashBidNoticeAbstractUI.aspx?menuIndex=3&amp;refID=7179980&amp;Result=3","7179980")</f>
        <v>0</v>
      </c>
      <c r="B8606" t="s">
        <v>180</v>
      </c>
      <c r="C8606" t="s">
        <v>11751</v>
      </c>
      <c r="D8606" t="s">
        <v>17154</v>
      </c>
      <c r="E8606" t="s">
        <v>24653</v>
      </c>
      <c r="F8606" t="s">
        <v>29372</v>
      </c>
      <c r="G8606" t="s">
        <v>29380</v>
      </c>
      <c r="H8606" t="s">
        <v>29389</v>
      </c>
      <c r="I8606" t="s">
        <v>10408</v>
      </c>
      <c r="J8606" t="s">
        <v>35062</v>
      </c>
      <c r="K8606" t="s">
        <v>38596</v>
      </c>
      <c r="M8606" t="s">
        <v>38937</v>
      </c>
      <c r="N8606" t="s">
        <v>42669</v>
      </c>
      <c r="O8606" t="s">
        <v>42670</v>
      </c>
      <c r="P8606">
        <v>0</v>
      </c>
      <c r="Q8606">
        <v>0</v>
      </c>
      <c r="R8606" t="s">
        <v>42679</v>
      </c>
      <c r="S8606" t="s">
        <v>42923</v>
      </c>
      <c r="T8606" t="s">
        <v>44547</v>
      </c>
      <c r="U8606" t="s">
        <v>51848</v>
      </c>
      <c r="W8606" t="s">
        <v>38937</v>
      </c>
      <c r="X8606" t="s">
        <v>42682</v>
      </c>
    </row>
    <row r="8607" spans="1:24">
      <c r="A8607">
        <f>HYPERLINK("https://www.philgeps.gov.ph/GEPSNONPILOT/Tender/SplashBidNoticeAbstractUI.aspx?menuIndex=3&amp;refID=7180357&amp;Result=3","7180357")</f>
        <v>0</v>
      </c>
      <c r="B8607" t="s">
        <v>2632</v>
      </c>
      <c r="C8607" t="s">
        <v>4756</v>
      </c>
      <c r="D8607" t="s">
        <v>17172</v>
      </c>
      <c r="E8607" t="s">
        <v>21968</v>
      </c>
      <c r="F8607" t="s">
        <v>29372</v>
      </c>
      <c r="G8607" t="s">
        <v>29380</v>
      </c>
      <c r="H8607" t="s">
        <v>11048</v>
      </c>
      <c r="I8607" t="s">
        <v>29395</v>
      </c>
      <c r="J8607" t="s">
        <v>35063</v>
      </c>
      <c r="K8607" t="s">
        <v>38488</v>
      </c>
      <c r="M8607" t="s">
        <v>41604</v>
      </c>
      <c r="N8607" t="s">
        <v>42669</v>
      </c>
      <c r="O8607" t="s">
        <v>42670</v>
      </c>
      <c r="P8607">
        <v>0</v>
      </c>
      <c r="Q8607">
        <v>0</v>
      </c>
      <c r="R8607" t="s">
        <v>42679</v>
      </c>
      <c r="S8607" t="s">
        <v>42923</v>
      </c>
      <c r="T8607" t="s">
        <v>44651</v>
      </c>
      <c r="U8607" t="s">
        <v>51847</v>
      </c>
      <c r="W8607" t="s">
        <v>41604</v>
      </c>
      <c r="X8607" t="s">
        <v>42681</v>
      </c>
    </row>
    <row r="8608" spans="1:24">
      <c r="A8608">
        <f>HYPERLINK("https://www.philgeps.gov.ph/GEPSNONPILOT/Tender/SplashBidNoticeAbstractUI.aspx?menuIndex=3&amp;refID=7180053&amp;Result=3","7180053")</f>
        <v>0</v>
      </c>
      <c r="B8608" t="s">
        <v>180</v>
      </c>
      <c r="C8608" t="s">
        <v>11752</v>
      </c>
      <c r="D8608" t="s">
        <v>17154</v>
      </c>
      <c r="E8608" t="s">
        <v>24654</v>
      </c>
      <c r="F8608" t="s">
        <v>29372</v>
      </c>
      <c r="G8608" t="s">
        <v>29380</v>
      </c>
      <c r="H8608" t="s">
        <v>29389</v>
      </c>
      <c r="I8608" t="s">
        <v>10408</v>
      </c>
      <c r="J8608" t="s">
        <v>35064</v>
      </c>
      <c r="K8608" t="s">
        <v>38509</v>
      </c>
      <c r="M8608" t="s">
        <v>38937</v>
      </c>
      <c r="N8608" t="s">
        <v>42669</v>
      </c>
      <c r="O8608" t="s">
        <v>42670</v>
      </c>
      <c r="P8608">
        <v>0</v>
      </c>
      <c r="Q8608">
        <v>0</v>
      </c>
      <c r="R8608" t="s">
        <v>42679</v>
      </c>
      <c r="S8608" t="s">
        <v>42923</v>
      </c>
      <c r="T8608" t="s">
        <v>44547</v>
      </c>
      <c r="U8608" t="s">
        <v>51849</v>
      </c>
      <c r="W8608" t="s">
        <v>38937</v>
      </c>
      <c r="X8608" t="s">
        <v>42682</v>
      </c>
    </row>
    <row r="8609" spans="1:24">
      <c r="A8609">
        <f>HYPERLINK("https://www.philgeps.gov.ph/GEPSNONPILOT/Tender/SplashBidNoticeAbstractUI.aspx?menuIndex=3&amp;refID=7180358&amp;Result=3","7180358")</f>
        <v>0</v>
      </c>
      <c r="B8609" t="s">
        <v>413</v>
      </c>
      <c r="C8609" t="s">
        <v>11753</v>
      </c>
      <c r="D8609" t="s">
        <v>17214</v>
      </c>
      <c r="E8609" t="s">
        <v>24655</v>
      </c>
      <c r="F8609" t="s">
        <v>29372</v>
      </c>
      <c r="G8609" t="s">
        <v>29380</v>
      </c>
      <c r="H8609" t="s">
        <v>11048</v>
      </c>
      <c r="I8609" t="s">
        <v>29425</v>
      </c>
      <c r="J8609" t="s">
        <v>35065</v>
      </c>
      <c r="K8609" t="s">
        <v>38496</v>
      </c>
      <c r="M8609" t="s">
        <v>39177</v>
      </c>
      <c r="N8609" t="s">
        <v>42669</v>
      </c>
      <c r="O8609" t="s">
        <v>42670</v>
      </c>
      <c r="P8609">
        <v>0</v>
      </c>
      <c r="Q8609">
        <v>6</v>
      </c>
      <c r="R8609" t="s">
        <v>42679</v>
      </c>
      <c r="S8609" t="s">
        <v>42923</v>
      </c>
      <c r="T8609" t="s">
        <v>44664</v>
      </c>
      <c r="U8609" t="s">
        <v>51850</v>
      </c>
      <c r="V8609" t="s">
        <v>57319</v>
      </c>
      <c r="W8609" t="s">
        <v>39177</v>
      </c>
      <c r="X8609" t="s">
        <v>42681</v>
      </c>
    </row>
    <row r="8610" spans="1:24">
      <c r="A8610">
        <f>HYPERLINK("https://www.philgeps.gov.ph/GEPSNONPILOT/Tender/SplashBidNoticeAbstractUI.aspx?menuIndex=3&amp;refID=7180320&amp;Result=3","7180320")</f>
        <v>0</v>
      </c>
      <c r="B8610" t="s">
        <v>173</v>
      </c>
      <c r="C8610" t="s">
        <v>11754</v>
      </c>
      <c r="D8610" t="s">
        <v>17141</v>
      </c>
      <c r="E8610" t="s">
        <v>24656</v>
      </c>
      <c r="F8610" t="s">
        <v>29372</v>
      </c>
      <c r="G8610" t="s">
        <v>29380</v>
      </c>
      <c r="H8610" t="s">
        <v>11048</v>
      </c>
      <c r="I8610" t="s">
        <v>29507</v>
      </c>
      <c r="J8610" t="s">
        <v>30244</v>
      </c>
      <c r="K8610" t="s">
        <v>38487</v>
      </c>
      <c r="M8610" t="s">
        <v>41567</v>
      </c>
      <c r="N8610" t="s">
        <v>42669</v>
      </c>
      <c r="O8610" t="s">
        <v>42670</v>
      </c>
      <c r="P8610">
        <v>0</v>
      </c>
      <c r="Q8610">
        <v>4</v>
      </c>
      <c r="R8610" t="s">
        <v>42679</v>
      </c>
      <c r="S8610" t="s">
        <v>42923</v>
      </c>
      <c r="T8610" t="s">
        <v>44600</v>
      </c>
      <c r="U8610" t="s">
        <v>51851</v>
      </c>
      <c r="W8610" t="s">
        <v>41567</v>
      </c>
      <c r="X8610" t="s">
        <v>42681</v>
      </c>
    </row>
    <row r="8611" spans="1:24">
      <c r="A8611">
        <f>HYPERLINK("https://www.philgeps.gov.ph/GEPSNONPILOT/Tender/SplashBidNoticeAbstractUI.aspx?menuIndex=3&amp;refID=7180315&amp;Result=3","7180315")</f>
        <v>0</v>
      </c>
      <c r="B8611" t="s">
        <v>2633</v>
      </c>
      <c r="C8611" t="s">
        <v>11755</v>
      </c>
      <c r="D8611" t="s">
        <v>17169</v>
      </c>
      <c r="E8611" t="s">
        <v>24657</v>
      </c>
      <c r="F8611" t="s">
        <v>29372</v>
      </c>
      <c r="G8611" t="s">
        <v>29380</v>
      </c>
      <c r="H8611" t="s">
        <v>29389</v>
      </c>
      <c r="I8611" t="s">
        <v>4709</v>
      </c>
      <c r="J8611" t="s">
        <v>29573</v>
      </c>
      <c r="K8611" t="s">
        <v>38533</v>
      </c>
      <c r="M8611" t="s">
        <v>41605</v>
      </c>
      <c r="N8611" t="s">
        <v>42669</v>
      </c>
      <c r="O8611" t="s">
        <v>42670</v>
      </c>
      <c r="P8611">
        <v>0</v>
      </c>
      <c r="Q8611">
        <v>0</v>
      </c>
      <c r="R8611" t="s">
        <v>42679</v>
      </c>
      <c r="S8611" t="s">
        <v>42923</v>
      </c>
      <c r="T8611" t="s">
        <v>44507</v>
      </c>
      <c r="U8611" t="s">
        <v>51852</v>
      </c>
      <c r="V8611" t="s">
        <v>48075</v>
      </c>
      <c r="W8611" t="s">
        <v>41605</v>
      </c>
      <c r="X8611" t="s">
        <v>42681</v>
      </c>
    </row>
    <row r="8612" spans="1:24">
      <c r="A8612">
        <f>HYPERLINK("https://www.philgeps.gov.ph/GEPSNONPILOT/Tender/SplashBidNoticeAbstractUI.aspx?menuIndex=3&amp;refID=7180347&amp;Result=3","7180347")</f>
        <v>0</v>
      </c>
      <c r="B8612" t="s">
        <v>413</v>
      </c>
      <c r="C8612" t="s">
        <v>11756</v>
      </c>
      <c r="D8612" t="s">
        <v>17173</v>
      </c>
      <c r="E8612" t="s">
        <v>24658</v>
      </c>
      <c r="F8612" t="s">
        <v>29372</v>
      </c>
      <c r="G8612" t="s">
        <v>29380</v>
      </c>
      <c r="H8612" t="s">
        <v>11048</v>
      </c>
      <c r="I8612" t="s">
        <v>29425</v>
      </c>
      <c r="J8612" t="s">
        <v>35066</v>
      </c>
      <c r="K8612" t="s">
        <v>38490</v>
      </c>
      <c r="M8612" t="s">
        <v>39177</v>
      </c>
      <c r="N8612" t="s">
        <v>42669</v>
      </c>
      <c r="O8612" t="s">
        <v>42670</v>
      </c>
      <c r="P8612">
        <v>0</v>
      </c>
      <c r="Q8612">
        <v>1</v>
      </c>
      <c r="R8612" t="s">
        <v>42679</v>
      </c>
      <c r="S8612" t="s">
        <v>42923</v>
      </c>
      <c r="T8612" t="s">
        <v>44515</v>
      </c>
      <c r="U8612" t="s">
        <v>51850</v>
      </c>
      <c r="V8612" t="s">
        <v>57320</v>
      </c>
      <c r="W8612" t="s">
        <v>39177</v>
      </c>
      <c r="X8612" t="s">
        <v>42681</v>
      </c>
    </row>
    <row r="8613" spans="1:24">
      <c r="A8613">
        <f>HYPERLINK("https://www.philgeps.gov.ph/GEPSNONPILOT/Tender/SplashBidNoticeAbstractUI.aspx?menuIndex=3&amp;refID=7180405&amp;Result=3","7180405")</f>
        <v>0</v>
      </c>
      <c r="B8613" t="s">
        <v>2634</v>
      </c>
      <c r="C8613" t="s">
        <v>11757</v>
      </c>
      <c r="D8613" t="s">
        <v>17141</v>
      </c>
      <c r="E8613" t="s">
        <v>24659</v>
      </c>
      <c r="F8613" t="s">
        <v>29372</v>
      </c>
      <c r="G8613" t="s">
        <v>29380</v>
      </c>
      <c r="H8613" t="s">
        <v>29389</v>
      </c>
      <c r="I8613" t="s">
        <v>10408</v>
      </c>
      <c r="J8613" t="s">
        <v>35067</v>
      </c>
      <c r="K8613" t="s">
        <v>38495</v>
      </c>
      <c r="M8613" t="s">
        <v>41606</v>
      </c>
      <c r="N8613" t="s">
        <v>42669</v>
      </c>
      <c r="O8613" t="s">
        <v>42670</v>
      </c>
      <c r="P8613">
        <v>0</v>
      </c>
      <c r="Q8613">
        <v>6</v>
      </c>
      <c r="R8613" t="s">
        <v>42679</v>
      </c>
      <c r="S8613" t="s">
        <v>42923</v>
      </c>
      <c r="T8613" t="s">
        <v>44442</v>
      </c>
      <c r="U8613" t="s">
        <v>51853</v>
      </c>
      <c r="W8613" t="s">
        <v>41606</v>
      </c>
      <c r="X8613" t="s">
        <v>42681</v>
      </c>
    </row>
    <row r="8614" spans="1:24">
      <c r="A8614">
        <f>HYPERLINK("https://www.philgeps.gov.ph/GEPSNONPILOT/Tender/SplashBidNoticeAbstractUI.aspx?menuIndex=3&amp;refID=7180289&amp;Result=3","7180289")</f>
        <v>0</v>
      </c>
      <c r="B8614" t="s">
        <v>2625</v>
      </c>
      <c r="C8614" t="s">
        <v>11758</v>
      </c>
      <c r="D8614" t="s">
        <v>17179</v>
      </c>
      <c r="E8614" t="s">
        <v>24660</v>
      </c>
      <c r="F8614" t="s">
        <v>29372</v>
      </c>
      <c r="G8614" t="s">
        <v>29380</v>
      </c>
      <c r="H8614" t="s">
        <v>29389</v>
      </c>
      <c r="I8614" t="s">
        <v>10408</v>
      </c>
      <c r="J8614" t="s">
        <v>35068</v>
      </c>
      <c r="K8614" t="s">
        <v>38487</v>
      </c>
      <c r="M8614" t="s">
        <v>41597</v>
      </c>
      <c r="N8614" t="s">
        <v>42669</v>
      </c>
      <c r="O8614" t="s">
        <v>42670</v>
      </c>
      <c r="P8614">
        <v>0</v>
      </c>
      <c r="Q8614">
        <v>0</v>
      </c>
      <c r="R8614" t="s">
        <v>42679</v>
      </c>
      <c r="S8614" t="s">
        <v>42923</v>
      </c>
      <c r="T8614" t="s">
        <v>44437</v>
      </c>
      <c r="U8614" t="s">
        <v>51854</v>
      </c>
      <c r="V8614" t="s">
        <v>57321</v>
      </c>
      <c r="W8614" t="s">
        <v>41597</v>
      </c>
      <c r="X8614" t="s">
        <v>42681</v>
      </c>
    </row>
    <row r="8615" spans="1:24">
      <c r="A8615">
        <f>HYPERLINK("https://www.philgeps.gov.ph/GEPSNONPILOT/Tender/SplashBidNoticeAbstractUI.aspx?menuIndex=3&amp;refID=7180287&amp;Result=3","7180287")</f>
        <v>0</v>
      </c>
      <c r="B8615" t="s">
        <v>2625</v>
      </c>
      <c r="C8615" t="s">
        <v>11759</v>
      </c>
      <c r="D8615" t="s">
        <v>17179</v>
      </c>
      <c r="E8615" t="s">
        <v>24661</v>
      </c>
      <c r="F8615" t="s">
        <v>29372</v>
      </c>
      <c r="G8615" t="s">
        <v>29380</v>
      </c>
      <c r="H8615" t="s">
        <v>29389</v>
      </c>
      <c r="I8615" t="s">
        <v>10408</v>
      </c>
      <c r="J8615" t="s">
        <v>35069</v>
      </c>
      <c r="K8615" t="s">
        <v>38494</v>
      </c>
      <c r="M8615" t="s">
        <v>41597</v>
      </c>
      <c r="N8615" t="s">
        <v>42669</v>
      </c>
      <c r="O8615" t="s">
        <v>42670</v>
      </c>
      <c r="P8615">
        <v>0</v>
      </c>
      <c r="Q8615">
        <v>0</v>
      </c>
      <c r="R8615" t="s">
        <v>42679</v>
      </c>
      <c r="S8615" t="s">
        <v>42923</v>
      </c>
      <c r="T8615" t="s">
        <v>44437</v>
      </c>
      <c r="U8615" t="s">
        <v>51855</v>
      </c>
      <c r="V8615" t="s">
        <v>57322</v>
      </c>
      <c r="W8615" t="s">
        <v>41597</v>
      </c>
      <c r="X8615" t="s">
        <v>42681</v>
      </c>
    </row>
    <row r="8616" spans="1:24">
      <c r="A8616">
        <f>HYPERLINK("https://www.philgeps.gov.ph/GEPSNONPILOT/Tender/SplashBidNoticeAbstractUI.aspx?menuIndex=3&amp;refID=7180280&amp;Result=3","7180280")</f>
        <v>0</v>
      </c>
      <c r="B8616" t="s">
        <v>1123</v>
      </c>
      <c r="C8616" t="s">
        <v>11760</v>
      </c>
      <c r="E8616" t="s">
        <v>24662</v>
      </c>
      <c r="F8616" t="s">
        <v>29372</v>
      </c>
      <c r="G8616" t="s">
        <v>29383</v>
      </c>
      <c r="H8616" t="s">
        <v>11048</v>
      </c>
      <c r="I8616" t="s">
        <v>3839</v>
      </c>
      <c r="J8616" t="s">
        <v>35070</v>
      </c>
      <c r="K8616" t="s">
        <v>38518</v>
      </c>
      <c r="M8616" t="s">
        <v>39933</v>
      </c>
      <c r="N8616" t="s">
        <v>42669</v>
      </c>
      <c r="O8616" t="s">
        <v>42670</v>
      </c>
      <c r="P8616">
        <v>0</v>
      </c>
      <c r="Q8616">
        <v>1</v>
      </c>
      <c r="R8616" t="s">
        <v>42679</v>
      </c>
      <c r="S8616" t="s">
        <v>42923</v>
      </c>
      <c r="T8616" t="s">
        <v>44409</v>
      </c>
      <c r="U8616" t="s">
        <v>51856</v>
      </c>
      <c r="W8616" t="s">
        <v>39933</v>
      </c>
      <c r="X8616" t="s">
        <v>42681</v>
      </c>
    </row>
    <row r="8617" spans="1:24">
      <c r="A8617">
        <f>HYPERLINK("https://www.philgeps.gov.ph/GEPSNONPILOT/Tender/SplashBidNoticeAbstractUI.aspx?menuIndex=3&amp;refID=7180276&amp;Result=3","7180276")</f>
        <v>0</v>
      </c>
      <c r="B8617" t="s">
        <v>2625</v>
      </c>
      <c r="C8617" t="s">
        <v>11761</v>
      </c>
      <c r="D8617" t="s">
        <v>17179</v>
      </c>
      <c r="E8617" t="s">
        <v>24663</v>
      </c>
      <c r="F8617" t="s">
        <v>29372</v>
      </c>
      <c r="G8617" t="s">
        <v>29380</v>
      </c>
      <c r="H8617" t="s">
        <v>29389</v>
      </c>
      <c r="I8617" t="s">
        <v>10408</v>
      </c>
      <c r="J8617" t="s">
        <v>35071</v>
      </c>
      <c r="K8617" t="s">
        <v>38487</v>
      </c>
      <c r="M8617" t="s">
        <v>41597</v>
      </c>
      <c r="N8617" t="s">
        <v>42669</v>
      </c>
      <c r="O8617" t="s">
        <v>42670</v>
      </c>
      <c r="P8617">
        <v>0</v>
      </c>
      <c r="Q8617">
        <v>0</v>
      </c>
      <c r="R8617" t="s">
        <v>42679</v>
      </c>
      <c r="S8617" t="s">
        <v>42923</v>
      </c>
      <c r="T8617" t="s">
        <v>44437</v>
      </c>
      <c r="U8617" t="s">
        <v>51857</v>
      </c>
      <c r="V8617" t="s">
        <v>57323</v>
      </c>
      <c r="W8617" t="s">
        <v>41597</v>
      </c>
      <c r="X8617" t="s">
        <v>42681</v>
      </c>
    </row>
    <row r="8618" spans="1:24">
      <c r="A8618">
        <f>HYPERLINK("https://www.philgeps.gov.ph/GEPSNONPILOT/Tender/SplashBidNoticeAbstractUI.aspx?menuIndex=3&amp;refID=7180489&amp;Result=3","7180489")</f>
        <v>0</v>
      </c>
      <c r="B8618" t="s">
        <v>747</v>
      </c>
      <c r="C8618" t="s">
        <v>11762</v>
      </c>
      <c r="D8618" t="s">
        <v>17161</v>
      </c>
      <c r="E8618" t="s">
        <v>24664</v>
      </c>
      <c r="F8618" t="s">
        <v>29372</v>
      </c>
      <c r="G8618" t="s">
        <v>29381</v>
      </c>
      <c r="H8618" t="s">
        <v>11048</v>
      </c>
      <c r="I8618" t="s">
        <v>3839</v>
      </c>
      <c r="J8618" t="s">
        <v>30525</v>
      </c>
      <c r="K8618" t="s">
        <v>38488</v>
      </c>
      <c r="M8618" t="s">
        <v>39530</v>
      </c>
      <c r="N8618" t="s">
        <v>42669</v>
      </c>
      <c r="O8618" t="s">
        <v>42670</v>
      </c>
      <c r="P8618">
        <v>0</v>
      </c>
      <c r="Q8618">
        <v>0</v>
      </c>
      <c r="R8618" t="s">
        <v>42679</v>
      </c>
      <c r="S8618" t="s">
        <v>42923</v>
      </c>
      <c r="T8618" t="s">
        <v>44432</v>
      </c>
      <c r="U8618" t="s">
        <v>51858</v>
      </c>
      <c r="W8618" t="s">
        <v>39530</v>
      </c>
      <c r="X8618" t="s">
        <v>42680</v>
      </c>
    </row>
    <row r="8619" spans="1:24">
      <c r="A8619">
        <f>HYPERLINK("https://www.philgeps.gov.ph/GEPSNONPILOT/Tender/SplashBidNoticeAbstractUI.aspx?menuIndex=3&amp;refID=7180351&amp;Result=3","7180351")</f>
        <v>0</v>
      </c>
      <c r="B8619" t="s">
        <v>413</v>
      </c>
      <c r="C8619" t="s">
        <v>11763</v>
      </c>
      <c r="D8619" t="s">
        <v>17169</v>
      </c>
      <c r="E8619" t="s">
        <v>24665</v>
      </c>
      <c r="F8619" t="s">
        <v>29372</v>
      </c>
      <c r="G8619" t="s">
        <v>29380</v>
      </c>
      <c r="H8619" t="s">
        <v>11048</v>
      </c>
      <c r="I8619" t="s">
        <v>29425</v>
      </c>
      <c r="J8619" t="s">
        <v>35072</v>
      </c>
      <c r="K8619" t="s">
        <v>38490</v>
      </c>
      <c r="M8619" t="s">
        <v>39177</v>
      </c>
      <c r="N8619" t="s">
        <v>42669</v>
      </c>
      <c r="O8619" t="s">
        <v>42670</v>
      </c>
      <c r="P8619">
        <v>0</v>
      </c>
      <c r="Q8619">
        <v>3</v>
      </c>
      <c r="R8619" t="s">
        <v>42679</v>
      </c>
      <c r="S8619" t="s">
        <v>42923</v>
      </c>
      <c r="T8619" t="s">
        <v>44515</v>
      </c>
      <c r="U8619" t="s">
        <v>51850</v>
      </c>
      <c r="V8619" t="s">
        <v>57320</v>
      </c>
      <c r="W8619" t="s">
        <v>39177</v>
      </c>
      <c r="X8619" t="s">
        <v>42681</v>
      </c>
    </row>
    <row r="8620" spans="1:24">
      <c r="A8620">
        <f>HYPERLINK("https://www.philgeps.gov.ph/GEPSNONPILOT/Tender/SplashBidNoticeAbstractUI.aspx?menuIndex=3&amp;refID=7179791&amp;Result=3","7179791")</f>
        <v>0</v>
      </c>
      <c r="B8620" t="s">
        <v>2635</v>
      </c>
      <c r="C8620" t="s">
        <v>11764</v>
      </c>
      <c r="D8620" t="s">
        <v>17181</v>
      </c>
      <c r="E8620" t="s">
        <v>24666</v>
      </c>
      <c r="F8620" t="s">
        <v>29372</v>
      </c>
      <c r="G8620" t="s">
        <v>29380</v>
      </c>
      <c r="H8620" t="s">
        <v>29389</v>
      </c>
      <c r="I8620" t="s">
        <v>10408</v>
      </c>
      <c r="J8620" t="s">
        <v>30163</v>
      </c>
      <c r="K8620" t="s">
        <v>38526</v>
      </c>
      <c r="M8620" t="s">
        <v>41607</v>
      </c>
      <c r="N8620" t="s">
        <v>42669</v>
      </c>
      <c r="O8620" t="s">
        <v>42670</v>
      </c>
      <c r="P8620">
        <v>0</v>
      </c>
      <c r="Q8620">
        <v>2</v>
      </c>
      <c r="R8620" t="s">
        <v>42679</v>
      </c>
      <c r="S8620" t="s">
        <v>42923</v>
      </c>
      <c r="T8620" t="s">
        <v>44474</v>
      </c>
      <c r="U8620" t="s">
        <v>51859</v>
      </c>
      <c r="V8620" t="s">
        <v>57324</v>
      </c>
      <c r="W8620" t="s">
        <v>41607</v>
      </c>
      <c r="X8620" t="s">
        <v>42682</v>
      </c>
    </row>
    <row r="8621" spans="1:24">
      <c r="A8621">
        <f>HYPERLINK("https://www.philgeps.gov.ph/GEPSNONPILOT/Tender/SplashBidNoticeAbstractUI.aspx?menuIndex=3&amp;refID=7180488&amp;Result=3","7180488")</f>
        <v>0</v>
      </c>
      <c r="B8621" t="s">
        <v>834</v>
      </c>
      <c r="C8621" t="s">
        <v>11765</v>
      </c>
      <c r="D8621" t="s">
        <v>17231</v>
      </c>
      <c r="E8621" t="s">
        <v>24667</v>
      </c>
      <c r="F8621" t="s">
        <v>29372</v>
      </c>
      <c r="G8621" t="s">
        <v>29382</v>
      </c>
      <c r="H8621" t="s">
        <v>11048</v>
      </c>
      <c r="I8621" t="s">
        <v>3670</v>
      </c>
      <c r="J8621" t="s">
        <v>35073</v>
      </c>
      <c r="K8621" t="s">
        <v>38487</v>
      </c>
      <c r="M8621" t="s">
        <v>41454</v>
      </c>
      <c r="N8621" t="s">
        <v>42669</v>
      </c>
      <c r="O8621" t="s">
        <v>42670</v>
      </c>
      <c r="P8621">
        <v>0</v>
      </c>
      <c r="Q8621">
        <v>7</v>
      </c>
      <c r="R8621" t="s">
        <v>42679</v>
      </c>
      <c r="S8621" t="s">
        <v>42923</v>
      </c>
      <c r="T8621" t="s">
        <v>44491</v>
      </c>
      <c r="U8621" t="s">
        <v>51303</v>
      </c>
      <c r="W8621" t="s">
        <v>41454</v>
      </c>
      <c r="X8621" t="s">
        <v>42680</v>
      </c>
    </row>
    <row r="8622" spans="1:24">
      <c r="A8622">
        <f>HYPERLINK("https://www.philgeps.gov.ph/GEPSNONPILOT/Tender/SplashBidNoticeAbstractUI.aspx?menuIndex=3&amp;refID=7180336&amp;Result=3","7180336")</f>
        <v>0</v>
      </c>
      <c r="B8622" t="s">
        <v>2636</v>
      </c>
      <c r="C8622" t="s">
        <v>11766</v>
      </c>
      <c r="D8622" t="s">
        <v>17153</v>
      </c>
      <c r="E8622" t="s">
        <v>24668</v>
      </c>
      <c r="F8622" t="s">
        <v>29372</v>
      </c>
      <c r="G8622" t="s">
        <v>29380</v>
      </c>
      <c r="H8622" t="s">
        <v>29389</v>
      </c>
      <c r="I8622" t="s">
        <v>29413</v>
      </c>
      <c r="J8622" t="s">
        <v>29642</v>
      </c>
      <c r="K8622" t="s">
        <v>38491</v>
      </c>
      <c r="M8622" t="s">
        <v>41608</v>
      </c>
      <c r="N8622" t="s">
        <v>42669</v>
      </c>
      <c r="O8622" t="s">
        <v>42670</v>
      </c>
      <c r="P8622">
        <v>0</v>
      </c>
      <c r="Q8622">
        <v>0</v>
      </c>
      <c r="R8622" t="s">
        <v>42679</v>
      </c>
      <c r="S8622" t="s">
        <v>42923</v>
      </c>
      <c r="T8622" t="s">
        <v>44493</v>
      </c>
      <c r="U8622" t="s">
        <v>51860</v>
      </c>
      <c r="V8622" t="s">
        <v>57325</v>
      </c>
      <c r="W8622" t="s">
        <v>41608</v>
      </c>
      <c r="X8622" t="s">
        <v>42681</v>
      </c>
    </row>
    <row r="8623" spans="1:24">
      <c r="A8623">
        <f>HYPERLINK("https://www.philgeps.gov.ph/GEPSNONPILOT/Tender/SplashBidNoticeAbstractUI.aspx?menuIndex=3&amp;refID=7180498&amp;Result=3","7180498")</f>
        <v>0</v>
      </c>
      <c r="B8623" t="s">
        <v>2637</v>
      </c>
      <c r="C8623" t="s">
        <v>11767</v>
      </c>
      <c r="D8623" t="s">
        <v>17206</v>
      </c>
      <c r="E8623" t="s">
        <v>24669</v>
      </c>
      <c r="F8623" t="s">
        <v>29372</v>
      </c>
      <c r="G8623" t="s">
        <v>29380</v>
      </c>
      <c r="H8623" t="s">
        <v>29389</v>
      </c>
      <c r="I8623" t="s">
        <v>10408</v>
      </c>
      <c r="J8623" t="s">
        <v>29543</v>
      </c>
      <c r="K8623" t="s">
        <v>38496</v>
      </c>
      <c r="M8623" t="s">
        <v>41609</v>
      </c>
      <c r="N8623" t="s">
        <v>42669</v>
      </c>
      <c r="O8623" t="s">
        <v>42670</v>
      </c>
      <c r="P8623">
        <v>0</v>
      </c>
      <c r="Q8623">
        <v>1</v>
      </c>
      <c r="R8623" t="s">
        <v>42679</v>
      </c>
      <c r="S8623" t="s">
        <v>42923</v>
      </c>
      <c r="T8623" t="s">
        <v>44527</v>
      </c>
      <c r="U8623" t="s">
        <v>51861</v>
      </c>
      <c r="W8623" t="s">
        <v>41609</v>
      </c>
      <c r="X8623" t="s">
        <v>42680</v>
      </c>
    </row>
    <row r="8624" spans="1:24">
      <c r="A8624">
        <f>HYPERLINK("https://www.philgeps.gov.ph/GEPSNONPILOT/Tender/SplashBidNoticeAbstractUI.aspx?menuIndex=3&amp;refID=7180500&amp;Result=3","7180500")</f>
        <v>0</v>
      </c>
      <c r="B8624" t="s">
        <v>2638</v>
      </c>
      <c r="C8624" t="s">
        <v>11768</v>
      </c>
      <c r="D8624" t="s">
        <v>17179</v>
      </c>
      <c r="E8624" t="s">
        <v>17533</v>
      </c>
      <c r="F8624" t="s">
        <v>29372</v>
      </c>
      <c r="G8624" t="s">
        <v>29380</v>
      </c>
      <c r="H8624" t="s">
        <v>11048</v>
      </c>
      <c r="I8624" t="s">
        <v>4709</v>
      </c>
      <c r="J8624" t="s">
        <v>35074</v>
      </c>
      <c r="K8624" t="s">
        <v>38491</v>
      </c>
      <c r="M8624" t="s">
        <v>41610</v>
      </c>
      <c r="N8624" t="s">
        <v>42669</v>
      </c>
      <c r="O8624" t="s">
        <v>42670</v>
      </c>
      <c r="P8624">
        <v>0</v>
      </c>
      <c r="Q8624">
        <v>0</v>
      </c>
      <c r="R8624" t="s">
        <v>42679</v>
      </c>
      <c r="S8624" t="s">
        <v>42923</v>
      </c>
      <c r="T8624" t="s">
        <v>44557</v>
      </c>
      <c r="U8624" t="s">
        <v>51862</v>
      </c>
      <c r="W8624" t="s">
        <v>41610</v>
      </c>
      <c r="X8624" t="s">
        <v>42680</v>
      </c>
    </row>
    <row r="8625" spans="1:24">
      <c r="A8625">
        <f>HYPERLINK("https://www.philgeps.gov.ph/GEPSNONPILOT/Tender/SplashBidNoticeAbstractUI.aspx?menuIndex=3&amp;refID=7180314&amp;Result=3","7180314")</f>
        <v>0</v>
      </c>
      <c r="B8625" t="s">
        <v>589</v>
      </c>
      <c r="C8625" t="s">
        <v>11769</v>
      </c>
      <c r="D8625" t="s">
        <v>17168</v>
      </c>
      <c r="E8625" t="s">
        <v>24670</v>
      </c>
      <c r="F8625" t="s">
        <v>29372</v>
      </c>
      <c r="G8625" t="s">
        <v>29380</v>
      </c>
      <c r="H8625" t="s">
        <v>29389</v>
      </c>
      <c r="I8625" t="s">
        <v>10408</v>
      </c>
      <c r="J8625" t="s">
        <v>35075</v>
      </c>
      <c r="K8625" t="s">
        <v>38698</v>
      </c>
      <c r="M8625" t="s">
        <v>41611</v>
      </c>
      <c r="N8625" t="s">
        <v>42669</v>
      </c>
      <c r="O8625" t="s">
        <v>42670</v>
      </c>
      <c r="P8625">
        <v>0</v>
      </c>
      <c r="Q8625">
        <v>2</v>
      </c>
      <c r="R8625" t="s">
        <v>42679</v>
      </c>
      <c r="S8625" t="s">
        <v>42923</v>
      </c>
      <c r="T8625" t="s">
        <v>44539</v>
      </c>
      <c r="U8625" t="s">
        <v>50619</v>
      </c>
      <c r="V8625" t="s">
        <v>56460</v>
      </c>
      <c r="W8625" t="s">
        <v>41611</v>
      </c>
      <c r="X8625" t="s">
        <v>42681</v>
      </c>
    </row>
    <row r="8626" spans="1:24">
      <c r="A8626">
        <f>HYPERLINK("https://www.philgeps.gov.ph/GEPSNONPILOT/Tender/SplashBidNoticeAbstractUI.aspx?menuIndex=3&amp;refID=7180281&amp;Result=3","7180281")</f>
        <v>0</v>
      </c>
      <c r="B8626" t="s">
        <v>2625</v>
      </c>
      <c r="C8626" t="s">
        <v>11770</v>
      </c>
      <c r="D8626" t="s">
        <v>17179</v>
      </c>
      <c r="E8626" t="s">
        <v>24671</v>
      </c>
      <c r="F8626" t="s">
        <v>29372</v>
      </c>
      <c r="G8626" t="s">
        <v>29380</v>
      </c>
      <c r="H8626" t="s">
        <v>29389</v>
      </c>
      <c r="I8626" t="s">
        <v>10408</v>
      </c>
      <c r="J8626" t="s">
        <v>35076</v>
      </c>
      <c r="K8626" t="s">
        <v>38577</v>
      </c>
      <c r="M8626" t="s">
        <v>41597</v>
      </c>
      <c r="N8626" t="s">
        <v>42669</v>
      </c>
      <c r="O8626" t="s">
        <v>42670</v>
      </c>
      <c r="P8626">
        <v>0</v>
      </c>
      <c r="Q8626">
        <v>0</v>
      </c>
      <c r="R8626" t="s">
        <v>42679</v>
      </c>
      <c r="S8626" t="s">
        <v>42923</v>
      </c>
      <c r="T8626" t="s">
        <v>44437</v>
      </c>
      <c r="U8626" t="s">
        <v>51863</v>
      </c>
      <c r="V8626" t="s">
        <v>57326</v>
      </c>
      <c r="W8626" t="s">
        <v>41597</v>
      </c>
      <c r="X8626" t="s">
        <v>42681</v>
      </c>
    </row>
    <row r="8627" spans="1:24">
      <c r="A8627">
        <f>HYPERLINK("https://www.philgeps.gov.ph/GEPSNONPILOT/Tender/SplashBidNoticeAbstractUI.aspx?menuIndex=3&amp;refID=7180204&amp;Result=3","7180204")</f>
        <v>0</v>
      </c>
      <c r="B8627" t="s">
        <v>2624</v>
      </c>
      <c r="C8627" t="s">
        <v>11771</v>
      </c>
      <c r="D8627" t="s">
        <v>17170</v>
      </c>
      <c r="E8627" t="s">
        <v>17533</v>
      </c>
      <c r="F8627" t="s">
        <v>29372</v>
      </c>
      <c r="G8627" t="s">
        <v>29380</v>
      </c>
      <c r="H8627" t="s">
        <v>11048</v>
      </c>
      <c r="I8627" t="s">
        <v>4709</v>
      </c>
      <c r="J8627" t="s">
        <v>30529</v>
      </c>
      <c r="K8627" t="s">
        <v>38490</v>
      </c>
      <c r="M8627" t="s">
        <v>41596</v>
      </c>
      <c r="N8627" t="s">
        <v>42669</v>
      </c>
      <c r="O8627" t="s">
        <v>42670</v>
      </c>
      <c r="P8627">
        <v>0</v>
      </c>
      <c r="Q8627">
        <v>0</v>
      </c>
      <c r="R8627" t="s">
        <v>42679</v>
      </c>
      <c r="S8627" t="s">
        <v>42923</v>
      </c>
      <c r="T8627" t="s">
        <v>44386</v>
      </c>
      <c r="U8627" t="s">
        <v>51864</v>
      </c>
      <c r="W8627" t="s">
        <v>41596</v>
      </c>
      <c r="X8627" t="s">
        <v>42681</v>
      </c>
    </row>
    <row r="8628" spans="1:24">
      <c r="A8628">
        <f>HYPERLINK("https://www.philgeps.gov.ph/GEPSNONPILOT/Tender/SplashBidNoticeAbstractUI.aspx?menuIndex=3&amp;refID=7180049&amp;Result=3","7180049")</f>
        <v>0</v>
      </c>
      <c r="B8628" t="s">
        <v>180</v>
      </c>
      <c r="C8628" t="s">
        <v>11772</v>
      </c>
      <c r="D8628" t="s">
        <v>17154</v>
      </c>
      <c r="E8628" t="s">
        <v>24672</v>
      </c>
      <c r="F8628" t="s">
        <v>29372</v>
      </c>
      <c r="G8628" t="s">
        <v>29380</v>
      </c>
      <c r="H8628" t="s">
        <v>29389</v>
      </c>
      <c r="I8628" t="s">
        <v>10408</v>
      </c>
      <c r="J8628" t="s">
        <v>35077</v>
      </c>
      <c r="K8628" t="s">
        <v>38697</v>
      </c>
      <c r="M8628" t="s">
        <v>38937</v>
      </c>
      <c r="N8628" t="s">
        <v>42669</v>
      </c>
      <c r="O8628" t="s">
        <v>42670</v>
      </c>
      <c r="P8628">
        <v>0</v>
      </c>
      <c r="Q8628">
        <v>0</v>
      </c>
      <c r="R8628" t="s">
        <v>42679</v>
      </c>
      <c r="S8628" t="s">
        <v>42923</v>
      </c>
      <c r="T8628" t="s">
        <v>44547</v>
      </c>
      <c r="U8628" t="s">
        <v>51865</v>
      </c>
      <c r="W8628" t="s">
        <v>38937</v>
      </c>
      <c r="X8628" t="s">
        <v>42682</v>
      </c>
    </row>
    <row r="8629" spans="1:24">
      <c r="A8629">
        <f>HYPERLINK("https://www.philgeps.gov.ph/GEPSNONPILOT/Tender/SplashBidNoticeAbstractUI.aspx?menuIndex=3&amp;refID=7180495&amp;Result=3","7180495")</f>
        <v>0</v>
      </c>
      <c r="B8629" t="s">
        <v>2637</v>
      </c>
      <c r="C8629" t="s">
        <v>11773</v>
      </c>
      <c r="D8629" t="s">
        <v>17206</v>
      </c>
      <c r="E8629" t="s">
        <v>24673</v>
      </c>
      <c r="F8629" t="s">
        <v>29372</v>
      </c>
      <c r="G8629" t="s">
        <v>29380</v>
      </c>
      <c r="H8629" t="s">
        <v>29389</v>
      </c>
      <c r="I8629" t="s">
        <v>10408</v>
      </c>
      <c r="J8629" t="s">
        <v>29543</v>
      </c>
      <c r="K8629" t="s">
        <v>38495</v>
      </c>
      <c r="M8629" t="s">
        <v>41609</v>
      </c>
      <c r="N8629" t="s">
        <v>42669</v>
      </c>
      <c r="O8629" t="s">
        <v>42670</v>
      </c>
      <c r="P8629">
        <v>0</v>
      </c>
      <c r="Q8629">
        <v>1</v>
      </c>
      <c r="R8629" t="s">
        <v>42679</v>
      </c>
      <c r="S8629" t="s">
        <v>42923</v>
      </c>
      <c r="T8629" t="s">
        <v>44527</v>
      </c>
      <c r="U8629" t="s">
        <v>51861</v>
      </c>
      <c r="W8629" t="s">
        <v>41609</v>
      </c>
      <c r="X8629" t="s">
        <v>42680</v>
      </c>
    </row>
    <row r="8630" spans="1:24">
      <c r="A8630">
        <f>HYPERLINK("https://www.philgeps.gov.ph/GEPSNONPILOT/Tender/SplashBidNoticeAbstractUI.aspx?menuIndex=3&amp;refID=7180492&amp;Result=3","7180492")</f>
        <v>0</v>
      </c>
      <c r="B8630" t="s">
        <v>747</v>
      </c>
      <c r="C8630" t="s">
        <v>11774</v>
      </c>
      <c r="D8630" t="s">
        <v>17161</v>
      </c>
      <c r="E8630" t="s">
        <v>24674</v>
      </c>
      <c r="F8630" t="s">
        <v>29372</v>
      </c>
      <c r="G8630" t="s">
        <v>29380</v>
      </c>
      <c r="H8630" t="s">
        <v>11048</v>
      </c>
      <c r="I8630" t="s">
        <v>29407</v>
      </c>
      <c r="J8630" t="s">
        <v>35078</v>
      </c>
      <c r="K8630" t="s">
        <v>38488</v>
      </c>
      <c r="M8630" t="s">
        <v>39530</v>
      </c>
      <c r="N8630" t="s">
        <v>42669</v>
      </c>
      <c r="O8630" t="s">
        <v>42670</v>
      </c>
      <c r="P8630">
        <v>0</v>
      </c>
      <c r="Q8630">
        <v>7</v>
      </c>
      <c r="R8630" t="s">
        <v>42679</v>
      </c>
      <c r="S8630" t="s">
        <v>42923</v>
      </c>
      <c r="T8630" t="s">
        <v>44432</v>
      </c>
      <c r="U8630" t="s">
        <v>51866</v>
      </c>
      <c r="W8630" t="s">
        <v>39530</v>
      </c>
      <c r="X8630" t="s">
        <v>42680</v>
      </c>
    </row>
    <row r="8631" spans="1:24">
      <c r="A8631">
        <f>HYPERLINK("https://www.philgeps.gov.ph/GEPSNONPILOT/Tender/SplashBidNoticeAbstractUI.aspx?menuIndex=3&amp;refID=7180475&amp;Result=3","7180475")</f>
        <v>0</v>
      </c>
      <c r="B8631" t="s">
        <v>2637</v>
      </c>
      <c r="C8631" t="s">
        <v>11775</v>
      </c>
      <c r="D8631" t="s">
        <v>17206</v>
      </c>
      <c r="E8631" t="s">
        <v>24675</v>
      </c>
      <c r="F8631" t="s">
        <v>29372</v>
      </c>
      <c r="G8631" t="s">
        <v>29380</v>
      </c>
      <c r="H8631" t="s">
        <v>29389</v>
      </c>
      <c r="I8631" t="s">
        <v>10408</v>
      </c>
      <c r="J8631" t="s">
        <v>30056</v>
      </c>
      <c r="K8631" t="s">
        <v>38496</v>
      </c>
      <c r="M8631" t="s">
        <v>41609</v>
      </c>
      <c r="N8631" t="s">
        <v>42669</v>
      </c>
      <c r="O8631" t="s">
        <v>42670</v>
      </c>
      <c r="P8631">
        <v>0</v>
      </c>
      <c r="Q8631">
        <v>4</v>
      </c>
      <c r="R8631" t="s">
        <v>42679</v>
      </c>
      <c r="S8631" t="s">
        <v>42923</v>
      </c>
      <c r="T8631" t="s">
        <v>44409</v>
      </c>
      <c r="U8631" t="s">
        <v>51867</v>
      </c>
      <c r="W8631" t="s">
        <v>41609</v>
      </c>
      <c r="X8631" t="s">
        <v>42680</v>
      </c>
    </row>
    <row r="8632" spans="1:24">
      <c r="A8632">
        <f>HYPERLINK("https://www.philgeps.gov.ph/GEPSNONPILOT/Tender/SplashBidNoticeAbstractUI.aspx?menuIndex=3&amp;refID=7180466&amp;Result=3","7180466")</f>
        <v>0</v>
      </c>
      <c r="B8632" t="s">
        <v>2639</v>
      </c>
      <c r="C8632" t="s">
        <v>11776</v>
      </c>
      <c r="D8632" t="s">
        <v>17154</v>
      </c>
      <c r="E8632" t="s">
        <v>24676</v>
      </c>
      <c r="F8632" t="s">
        <v>29372</v>
      </c>
      <c r="G8632" t="s">
        <v>29380</v>
      </c>
      <c r="H8632" t="s">
        <v>11048</v>
      </c>
      <c r="I8632" t="s">
        <v>29446</v>
      </c>
      <c r="J8632" t="s">
        <v>35079</v>
      </c>
      <c r="K8632" t="s">
        <v>38522</v>
      </c>
      <c r="M8632" t="s">
        <v>41612</v>
      </c>
      <c r="N8632" t="s">
        <v>42669</v>
      </c>
      <c r="O8632" t="s">
        <v>42670</v>
      </c>
      <c r="Q8632">
        <v>3</v>
      </c>
      <c r="R8632" t="s">
        <v>42679</v>
      </c>
      <c r="S8632" t="s">
        <v>42938</v>
      </c>
      <c r="T8632" t="s">
        <v>44599</v>
      </c>
      <c r="U8632" t="s">
        <v>51868</v>
      </c>
      <c r="W8632" t="s">
        <v>41612</v>
      </c>
      <c r="X8632" t="s">
        <v>42680</v>
      </c>
    </row>
    <row r="8633" spans="1:24">
      <c r="A8633">
        <f>HYPERLINK("https://www.philgeps.gov.ph/GEPSNONPILOT/Tender/SplashBidNoticeAbstractUI.aspx?menuIndex=3&amp;refID=7180485&amp;Result=3","7180485")</f>
        <v>0</v>
      </c>
      <c r="B8633" t="s">
        <v>2637</v>
      </c>
      <c r="C8633" t="s">
        <v>11777</v>
      </c>
      <c r="D8633" t="s">
        <v>17206</v>
      </c>
      <c r="E8633" t="s">
        <v>24677</v>
      </c>
      <c r="F8633" t="s">
        <v>29372</v>
      </c>
      <c r="G8633" t="s">
        <v>29380</v>
      </c>
      <c r="H8633" t="s">
        <v>29389</v>
      </c>
      <c r="I8633" t="s">
        <v>10408</v>
      </c>
      <c r="J8633" t="s">
        <v>29788</v>
      </c>
      <c r="K8633" t="s">
        <v>38496</v>
      </c>
      <c r="M8633" t="s">
        <v>41609</v>
      </c>
      <c r="N8633" t="s">
        <v>42669</v>
      </c>
      <c r="O8633" t="s">
        <v>42670</v>
      </c>
      <c r="P8633">
        <v>0</v>
      </c>
      <c r="Q8633">
        <v>3</v>
      </c>
      <c r="R8633" t="s">
        <v>42679</v>
      </c>
      <c r="S8633" t="s">
        <v>42923</v>
      </c>
      <c r="T8633" t="s">
        <v>44409</v>
      </c>
      <c r="U8633" t="s">
        <v>51861</v>
      </c>
      <c r="W8633" t="s">
        <v>41609</v>
      </c>
      <c r="X8633" t="s">
        <v>42680</v>
      </c>
    </row>
    <row r="8634" spans="1:24">
      <c r="A8634">
        <f>HYPERLINK("https://www.philgeps.gov.ph/GEPSNONPILOT/Tender/SplashBidNoticeAbstractUI.aspx?menuIndex=3&amp;refID=7180479&amp;Result=3","7180479")</f>
        <v>0</v>
      </c>
      <c r="B8634" t="s">
        <v>2640</v>
      </c>
      <c r="C8634" t="s">
        <v>11778</v>
      </c>
      <c r="D8634" t="s">
        <v>17208</v>
      </c>
      <c r="E8634" t="s">
        <v>24678</v>
      </c>
      <c r="F8634" t="s">
        <v>29372</v>
      </c>
      <c r="G8634" t="s">
        <v>29379</v>
      </c>
      <c r="H8634" t="s">
        <v>11048</v>
      </c>
      <c r="I8634" t="s">
        <v>7828</v>
      </c>
      <c r="J8634" t="s">
        <v>29619</v>
      </c>
      <c r="K8634" t="s">
        <v>38488</v>
      </c>
      <c r="M8634" t="s">
        <v>41613</v>
      </c>
      <c r="N8634" t="s">
        <v>42669</v>
      </c>
      <c r="O8634" t="s">
        <v>42670</v>
      </c>
      <c r="P8634">
        <v>0</v>
      </c>
      <c r="Q8634">
        <v>1</v>
      </c>
      <c r="R8634" t="s">
        <v>42679</v>
      </c>
      <c r="S8634" t="s">
        <v>42923</v>
      </c>
      <c r="T8634" t="s">
        <v>44488</v>
      </c>
      <c r="U8634" t="s">
        <v>51869</v>
      </c>
      <c r="W8634" t="s">
        <v>41613</v>
      </c>
      <c r="X8634" t="s">
        <v>42680</v>
      </c>
    </row>
    <row r="8635" spans="1:24">
      <c r="A8635">
        <f>HYPERLINK("https://www.philgeps.gov.ph/GEPSNONPILOT/Tender/SplashBidNoticeAbstractUI.aspx?menuIndex=3&amp;refID=7180463&amp;Result=3","7180463")</f>
        <v>0</v>
      </c>
      <c r="B8635" t="s">
        <v>2639</v>
      </c>
      <c r="C8635" t="s">
        <v>11779</v>
      </c>
      <c r="D8635" t="s">
        <v>17141</v>
      </c>
      <c r="E8635" t="s">
        <v>24679</v>
      </c>
      <c r="F8635" t="s">
        <v>29372</v>
      </c>
      <c r="G8635" t="s">
        <v>29380</v>
      </c>
      <c r="H8635" t="s">
        <v>11048</v>
      </c>
      <c r="I8635" t="s">
        <v>29458</v>
      </c>
      <c r="J8635" t="s">
        <v>35080</v>
      </c>
      <c r="K8635" t="s">
        <v>38496</v>
      </c>
      <c r="M8635" t="s">
        <v>41612</v>
      </c>
      <c r="N8635" t="s">
        <v>42669</v>
      </c>
      <c r="O8635" t="s">
        <v>42670</v>
      </c>
      <c r="Q8635">
        <v>12</v>
      </c>
      <c r="R8635" t="s">
        <v>42679</v>
      </c>
      <c r="S8635" t="s">
        <v>42939</v>
      </c>
      <c r="T8635" t="s">
        <v>44599</v>
      </c>
      <c r="U8635" t="s">
        <v>51870</v>
      </c>
      <c r="W8635" t="s">
        <v>41612</v>
      </c>
      <c r="X8635" t="s">
        <v>42680</v>
      </c>
    </row>
    <row r="8636" spans="1:24">
      <c r="A8636">
        <f>HYPERLINK("https://www.philgeps.gov.ph/GEPSNONPILOT/Tender/SplashBidNoticeAbstractUI.aspx?menuIndex=3&amp;refID=7180460&amp;Result=3","7180460")</f>
        <v>0</v>
      </c>
      <c r="B8636" t="s">
        <v>2639</v>
      </c>
      <c r="C8636" t="s">
        <v>11780</v>
      </c>
      <c r="D8636" t="s">
        <v>17141</v>
      </c>
      <c r="E8636" t="s">
        <v>24680</v>
      </c>
      <c r="F8636" t="s">
        <v>29372</v>
      </c>
      <c r="G8636" t="s">
        <v>29380</v>
      </c>
      <c r="H8636" t="s">
        <v>11048</v>
      </c>
      <c r="I8636" t="s">
        <v>29396</v>
      </c>
      <c r="J8636" t="s">
        <v>31916</v>
      </c>
      <c r="K8636" t="s">
        <v>38522</v>
      </c>
      <c r="M8636" t="s">
        <v>41612</v>
      </c>
      <c r="N8636" t="s">
        <v>42669</v>
      </c>
      <c r="O8636" t="s">
        <v>42670</v>
      </c>
      <c r="Q8636">
        <v>3</v>
      </c>
      <c r="R8636" t="s">
        <v>42679</v>
      </c>
      <c r="S8636" t="s">
        <v>42940</v>
      </c>
      <c r="T8636" t="s">
        <v>44599</v>
      </c>
      <c r="U8636" t="s">
        <v>51871</v>
      </c>
      <c r="W8636" t="s">
        <v>41612</v>
      </c>
      <c r="X8636" t="s">
        <v>42680</v>
      </c>
    </row>
    <row r="8637" spans="1:24">
      <c r="A8637">
        <f>HYPERLINK("https://www.philgeps.gov.ph/GEPSNONPILOT/Tender/SplashBidNoticeAbstractUI.aspx?menuIndex=3&amp;refID=7180435&amp;Result=3","7180435")</f>
        <v>0</v>
      </c>
      <c r="B8637" t="s">
        <v>35</v>
      </c>
      <c r="C8637" t="s">
        <v>11781</v>
      </c>
      <c r="D8637" t="s">
        <v>17149</v>
      </c>
      <c r="E8637" t="s">
        <v>24681</v>
      </c>
      <c r="F8637" t="s">
        <v>29372</v>
      </c>
      <c r="G8637" t="s">
        <v>29380</v>
      </c>
      <c r="H8637" t="s">
        <v>29389</v>
      </c>
      <c r="I8637" t="s">
        <v>10408</v>
      </c>
      <c r="J8637" t="s">
        <v>35081</v>
      </c>
      <c r="K8637" t="s">
        <v>38525</v>
      </c>
      <c r="M8637" t="s">
        <v>38788</v>
      </c>
      <c r="N8637" t="s">
        <v>42669</v>
      </c>
      <c r="O8637" t="s">
        <v>42670</v>
      </c>
      <c r="P8637">
        <v>0</v>
      </c>
      <c r="Q8637">
        <v>0</v>
      </c>
      <c r="R8637" t="s">
        <v>42679</v>
      </c>
      <c r="S8637" t="s">
        <v>42923</v>
      </c>
      <c r="T8637" t="s">
        <v>44478</v>
      </c>
      <c r="U8637" t="s">
        <v>51872</v>
      </c>
      <c r="W8637" t="s">
        <v>38788</v>
      </c>
      <c r="X8637" t="s">
        <v>42680</v>
      </c>
    </row>
    <row r="8638" spans="1:24">
      <c r="A8638">
        <f>HYPERLINK("https://www.philgeps.gov.ph/GEPSNONPILOT/Tender/SplashBidNoticeAbstractUI.aspx?menuIndex=3&amp;refID=7180434&amp;Result=3","7180434")</f>
        <v>0</v>
      </c>
      <c r="B8638" t="s">
        <v>35</v>
      </c>
      <c r="C8638" t="s">
        <v>11782</v>
      </c>
      <c r="D8638" t="s">
        <v>17149</v>
      </c>
      <c r="E8638" t="s">
        <v>24682</v>
      </c>
      <c r="F8638" t="s">
        <v>29372</v>
      </c>
      <c r="G8638" t="s">
        <v>29380</v>
      </c>
      <c r="H8638" t="s">
        <v>29389</v>
      </c>
      <c r="I8638" t="s">
        <v>10408</v>
      </c>
      <c r="J8638" t="s">
        <v>35082</v>
      </c>
      <c r="K8638" t="s">
        <v>38495</v>
      </c>
      <c r="M8638" t="s">
        <v>38788</v>
      </c>
      <c r="N8638" t="s">
        <v>42669</v>
      </c>
      <c r="O8638" t="s">
        <v>42670</v>
      </c>
      <c r="P8638">
        <v>0</v>
      </c>
      <c r="Q8638">
        <v>0</v>
      </c>
      <c r="R8638" t="s">
        <v>42679</v>
      </c>
      <c r="S8638" t="s">
        <v>42923</v>
      </c>
      <c r="T8638" t="s">
        <v>44478</v>
      </c>
      <c r="U8638" t="s">
        <v>51873</v>
      </c>
      <c r="W8638" t="s">
        <v>38788</v>
      </c>
      <c r="X8638" t="s">
        <v>42680</v>
      </c>
    </row>
    <row r="8639" spans="1:24">
      <c r="A8639">
        <f>HYPERLINK("https://www.philgeps.gov.ph/GEPSNONPILOT/Tender/SplashBidNoticeAbstractUI.aspx?menuIndex=3&amp;refID=7180493&amp;Result=3","7180493")</f>
        <v>0</v>
      </c>
      <c r="B8639" t="s">
        <v>834</v>
      </c>
      <c r="C8639" t="s">
        <v>11783</v>
      </c>
      <c r="D8639" t="s">
        <v>17187</v>
      </c>
      <c r="E8639" t="s">
        <v>24683</v>
      </c>
      <c r="F8639" t="s">
        <v>29372</v>
      </c>
      <c r="G8639" t="s">
        <v>29379</v>
      </c>
      <c r="H8639" t="s">
        <v>11048</v>
      </c>
      <c r="I8639" t="s">
        <v>3670</v>
      </c>
      <c r="J8639" t="s">
        <v>34342</v>
      </c>
      <c r="K8639" t="s">
        <v>38495</v>
      </c>
      <c r="M8639" t="s">
        <v>41454</v>
      </c>
      <c r="N8639" t="s">
        <v>42669</v>
      </c>
      <c r="O8639" t="s">
        <v>42670</v>
      </c>
      <c r="P8639">
        <v>0</v>
      </c>
      <c r="Q8639">
        <v>4</v>
      </c>
      <c r="R8639" t="s">
        <v>42679</v>
      </c>
      <c r="S8639" t="s">
        <v>42923</v>
      </c>
      <c r="T8639" t="s">
        <v>44491</v>
      </c>
      <c r="U8639" t="s">
        <v>51303</v>
      </c>
      <c r="W8639" t="s">
        <v>41454</v>
      </c>
      <c r="X8639" t="s">
        <v>42680</v>
      </c>
    </row>
    <row r="8640" spans="1:24">
      <c r="A8640">
        <f>HYPERLINK("https://www.philgeps.gov.ph/GEPSNONPILOT/Tender/SplashBidNoticeAbstractUI.aspx?menuIndex=3&amp;refID=7180491&amp;Result=3","7180491")</f>
        <v>0</v>
      </c>
      <c r="B8640" t="s">
        <v>834</v>
      </c>
      <c r="C8640" t="s">
        <v>11784</v>
      </c>
      <c r="D8640" t="s">
        <v>17187</v>
      </c>
      <c r="E8640" t="s">
        <v>24684</v>
      </c>
      <c r="F8640" t="s">
        <v>29372</v>
      </c>
      <c r="G8640" t="s">
        <v>29382</v>
      </c>
      <c r="H8640" t="s">
        <v>11048</v>
      </c>
      <c r="I8640" t="s">
        <v>3670</v>
      </c>
      <c r="J8640" t="s">
        <v>29729</v>
      </c>
      <c r="K8640" t="s">
        <v>38496</v>
      </c>
      <c r="M8640" t="s">
        <v>41454</v>
      </c>
      <c r="N8640" t="s">
        <v>42669</v>
      </c>
      <c r="O8640" t="s">
        <v>42670</v>
      </c>
      <c r="P8640">
        <v>0</v>
      </c>
      <c r="Q8640">
        <v>9</v>
      </c>
      <c r="R8640" t="s">
        <v>42679</v>
      </c>
      <c r="S8640" t="s">
        <v>42923</v>
      </c>
      <c r="T8640" t="s">
        <v>44491</v>
      </c>
      <c r="U8640" t="s">
        <v>51303</v>
      </c>
      <c r="W8640" t="s">
        <v>41454</v>
      </c>
      <c r="X8640" t="s">
        <v>42680</v>
      </c>
    </row>
    <row r="8641" spans="1:24">
      <c r="A8641">
        <f>HYPERLINK("https://www.philgeps.gov.ph/GEPSNONPILOT/Tender/SplashBidNoticeAbstractUI.aspx?menuIndex=3&amp;refID=7180571&amp;Result=3","7180571")</f>
        <v>0</v>
      </c>
      <c r="B8641" t="s">
        <v>1885</v>
      </c>
      <c r="C8641" t="s">
        <v>11785</v>
      </c>
      <c r="D8641" t="s">
        <v>17189</v>
      </c>
      <c r="E8641" t="s">
        <v>24685</v>
      </c>
      <c r="F8641" t="s">
        <v>29372</v>
      </c>
      <c r="G8641" t="s">
        <v>29380</v>
      </c>
      <c r="H8641" t="s">
        <v>11048</v>
      </c>
      <c r="I8641" t="s">
        <v>29429</v>
      </c>
      <c r="J8641" t="s">
        <v>34917</v>
      </c>
      <c r="K8641" t="s">
        <v>38502</v>
      </c>
      <c r="M8641" t="s">
        <v>40758</v>
      </c>
      <c r="N8641" t="s">
        <v>42669</v>
      </c>
      <c r="O8641" t="s">
        <v>42670</v>
      </c>
      <c r="Q8641">
        <v>0</v>
      </c>
      <c r="R8641" t="s">
        <v>42679</v>
      </c>
      <c r="S8641" t="s">
        <v>42941</v>
      </c>
      <c r="T8641" t="s">
        <v>44472</v>
      </c>
      <c r="U8641" t="s">
        <v>51874</v>
      </c>
      <c r="V8641" t="s">
        <v>56961</v>
      </c>
      <c r="W8641" t="s">
        <v>40758</v>
      </c>
      <c r="X8641" t="s">
        <v>42680</v>
      </c>
    </row>
    <row r="8642" spans="1:24">
      <c r="A8642">
        <f>HYPERLINK("https://www.philgeps.gov.ph/GEPSNONPILOT/Tender/SplashBidNoticeAbstractUI.aspx?menuIndex=3&amp;refID=7180569&amp;Result=3","7180569")</f>
        <v>0</v>
      </c>
      <c r="B8642" t="s">
        <v>79</v>
      </c>
      <c r="C8642" t="s">
        <v>11786</v>
      </c>
      <c r="D8642" t="s">
        <v>17172</v>
      </c>
      <c r="E8642" t="s">
        <v>24686</v>
      </c>
      <c r="F8642" t="s">
        <v>29372</v>
      </c>
      <c r="G8642" t="s">
        <v>29380</v>
      </c>
      <c r="H8642" t="s">
        <v>29389</v>
      </c>
      <c r="I8642" t="s">
        <v>10408</v>
      </c>
      <c r="J8642" t="s">
        <v>35083</v>
      </c>
      <c r="K8642" t="s">
        <v>38522</v>
      </c>
      <c r="M8642" t="s">
        <v>38833</v>
      </c>
      <c r="N8642" t="s">
        <v>42669</v>
      </c>
      <c r="O8642" t="s">
        <v>42670</v>
      </c>
      <c r="P8642">
        <v>0</v>
      </c>
      <c r="Q8642">
        <v>0</v>
      </c>
      <c r="R8642" t="s">
        <v>42679</v>
      </c>
      <c r="S8642" t="s">
        <v>42923</v>
      </c>
      <c r="T8642" t="s">
        <v>44355</v>
      </c>
      <c r="U8642" t="s">
        <v>51875</v>
      </c>
      <c r="V8642" t="s">
        <v>56344</v>
      </c>
      <c r="W8642" t="s">
        <v>38833</v>
      </c>
      <c r="X8642" t="s">
        <v>42680</v>
      </c>
    </row>
    <row r="8643" spans="1:24">
      <c r="A8643">
        <f>HYPERLINK("https://www.philgeps.gov.ph/GEPSNONPILOT/Tender/SplashBidNoticeAbstractUI.aspx?menuIndex=3&amp;refID=7180560&amp;Result=3","7180560")</f>
        <v>0</v>
      </c>
      <c r="B8643" t="s">
        <v>1885</v>
      </c>
      <c r="C8643" t="s">
        <v>11787</v>
      </c>
      <c r="D8643" t="s">
        <v>17189</v>
      </c>
      <c r="E8643" t="s">
        <v>24687</v>
      </c>
      <c r="F8643" t="s">
        <v>29372</v>
      </c>
      <c r="G8643" t="s">
        <v>29380</v>
      </c>
      <c r="H8643" t="s">
        <v>11048</v>
      </c>
      <c r="I8643" t="s">
        <v>29429</v>
      </c>
      <c r="J8643" t="s">
        <v>29543</v>
      </c>
      <c r="K8643" t="s">
        <v>38485</v>
      </c>
      <c r="M8643" t="s">
        <v>40758</v>
      </c>
      <c r="N8643" t="s">
        <v>42669</v>
      </c>
      <c r="O8643" t="s">
        <v>42670</v>
      </c>
      <c r="Q8643">
        <v>1</v>
      </c>
      <c r="R8643" t="s">
        <v>42679</v>
      </c>
      <c r="S8643" t="s">
        <v>42942</v>
      </c>
      <c r="T8643" t="s">
        <v>44472</v>
      </c>
      <c r="U8643" t="s">
        <v>51876</v>
      </c>
      <c r="V8643" t="s">
        <v>56961</v>
      </c>
      <c r="W8643" t="s">
        <v>40758</v>
      </c>
      <c r="X8643" t="s">
        <v>42680</v>
      </c>
    </row>
    <row r="8644" spans="1:24">
      <c r="A8644">
        <f>HYPERLINK("https://www.philgeps.gov.ph/GEPSNONPILOT/Tender/SplashBidNoticeAbstractUI.aspx?menuIndex=3&amp;refID=7180436&amp;Result=3","7180436")</f>
        <v>0</v>
      </c>
      <c r="B8644" t="s">
        <v>35</v>
      </c>
      <c r="C8644" t="s">
        <v>11788</v>
      </c>
      <c r="D8644" t="s">
        <v>17149</v>
      </c>
      <c r="E8644" t="s">
        <v>24688</v>
      </c>
      <c r="F8644" t="s">
        <v>29372</v>
      </c>
      <c r="G8644" t="s">
        <v>29380</v>
      </c>
      <c r="H8644" t="s">
        <v>29389</v>
      </c>
      <c r="I8644" t="s">
        <v>10408</v>
      </c>
      <c r="J8644" t="s">
        <v>35084</v>
      </c>
      <c r="K8644" t="s">
        <v>38525</v>
      </c>
      <c r="M8644" t="s">
        <v>38788</v>
      </c>
      <c r="N8644" t="s">
        <v>42669</v>
      </c>
      <c r="O8644" t="s">
        <v>42670</v>
      </c>
      <c r="P8644">
        <v>0</v>
      </c>
      <c r="Q8644">
        <v>0</v>
      </c>
      <c r="R8644" t="s">
        <v>42679</v>
      </c>
      <c r="S8644" t="s">
        <v>42923</v>
      </c>
      <c r="T8644" t="s">
        <v>44570</v>
      </c>
      <c r="U8644" t="s">
        <v>51877</v>
      </c>
      <c r="W8644" t="s">
        <v>38788</v>
      </c>
      <c r="X8644" t="s">
        <v>42680</v>
      </c>
    </row>
    <row r="8645" spans="1:24">
      <c r="A8645">
        <f>HYPERLINK("https://www.philgeps.gov.ph/GEPSNONPILOT/Tender/SplashBidNoticeAbstractUI.aspx?menuIndex=3&amp;refID=7180038&amp;Result=3","7180038")</f>
        <v>0</v>
      </c>
      <c r="B8645" t="s">
        <v>180</v>
      </c>
      <c r="C8645" t="s">
        <v>11789</v>
      </c>
      <c r="D8645" t="s">
        <v>17154</v>
      </c>
      <c r="E8645" t="s">
        <v>24689</v>
      </c>
      <c r="F8645" t="s">
        <v>29372</v>
      </c>
      <c r="G8645" t="s">
        <v>29380</v>
      </c>
      <c r="H8645" t="s">
        <v>29389</v>
      </c>
      <c r="I8645" t="s">
        <v>10408</v>
      </c>
      <c r="J8645" t="s">
        <v>35085</v>
      </c>
      <c r="K8645" t="s">
        <v>38636</v>
      </c>
      <c r="M8645" t="s">
        <v>38937</v>
      </c>
      <c r="N8645" t="s">
        <v>42669</v>
      </c>
      <c r="O8645" t="s">
        <v>42670</v>
      </c>
      <c r="P8645">
        <v>0</v>
      </c>
      <c r="Q8645">
        <v>2</v>
      </c>
      <c r="R8645" t="s">
        <v>42679</v>
      </c>
      <c r="S8645" t="s">
        <v>42923</v>
      </c>
      <c r="T8645" t="s">
        <v>44547</v>
      </c>
      <c r="U8645" t="s">
        <v>51878</v>
      </c>
      <c r="W8645" t="s">
        <v>38937</v>
      </c>
      <c r="X8645" t="s">
        <v>42682</v>
      </c>
    </row>
    <row r="8646" spans="1:24">
      <c r="A8646">
        <f>HYPERLINK("https://www.philgeps.gov.ph/GEPSNONPILOT/Tender/SplashBidNoticeAbstractUI.aspx?menuIndex=3&amp;refID=7180556&amp;Result=3","7180556")</f>
        <v>0</v>
      </c>
      <c r="B8646" t="s">
        <v>79</v>
      </c>
      <c r="C8646" t="s">
        <v>11790</v>
      </c>
      <c r="D8646" t="s">
        <v>17172</v>
      </c>
      <c r="E8646" t="s">
        <v>24686</v>
      </c>
      <c r="F8646" t="s">
        <v>29372</v>
      </c>
      <c r="G8646" t="s">
        <v>29380</v>
      </c>
      <c r="H8646" t="s">
        <v>29389</v>
      </c>
      <c r="I8646" t="s">
        <v>10408</v>
      </c>
      <c r="J8646" t="s">
        <v>35086</v>
      </c>
      <c r="K8646" t="s">
        <v>38487</v>
      </c>
      <c r="M8646" t="s">
        <v>38833</v>
      </c>
      <c r="N8646" t="s">
        <v>42669</v>
      </c>
      <c r="O8646" t="s">
        <v>42670</v>
      </c>
      <c r="P8646">
        <v>0</v>
      </c>
      <c r="Q8646">
        <v>0</v>
      </c>
      <c r="R8646" t="s">
        <v>42679</v>
      </c>
      <c r="S8646" t="s">
        <v>42923</v>
      </c>
      <c r="T8646" t="s">
        <v>44488</v>
      </c>
      <c r="U8646" t="s">
        <v>51879</v>
      </c>
      <c r="V8646" t="s">
        <v>56344</v>
      </c>
      <c r="W8646" t="s">
        <v>38833</v>
      </c>
      <c r="X8646" t="s">
        <v>42680</v>
      </c>
    </row>
    <row r="8647" spans="1:24">
      <c r="A8647">
        <f>HYPERLINK("https://www.philgeps.gov.ph/GEPSNONPILOT/Tender/SplashBidNoticeAbstractUI.aspx?menuIndex=3&amp;refID=7180555&amp;Result=3","7180555")</f>
        <v>0</v>
      </c>
      <c r="B8647" t="s">
        <v>2641</v>
      </c>
      <c r="C8647" t="s">
        <v>11791</v>
      </c>
      <c r="D8647" t="s">
        <v>17174</v>
      </c>
      <c r="E8647" t="s">
        <v>24690</v>
      </c>
      <c r="F8647" t="s">
        <v>29372</v>
      </c>
      <c r="G8647" t="s">
        <v>29380</v>
      </c>
      <c r="H8647" t="s">
        <v>29389</v>
      </c>
      <c r="I8647" t="s">
        <v>10408</v>
      </c>
      <c r="J8647" t="s">
        <v>29543</v>
      </c>
      <c r="K8647" t="s">
        <v>38490</v>
      </c>
      <c r="M8647" t="s">
        <v>41614</v>
      </c>
      <c r="N8647" t="s">
        <v>42669</v>
      </c>
      <c r="O8647" t="s">
        <v>42670</v>
      </c>
      <c r="P8647">
        <v>0</v>
      </c>
      <c r="Q8647">
        <v>0</v>
      </c>
      <c r="R8647" t="s">
        <v>42679</v>
      </c>
      <c r="S8647" t="s">
        <v>42923</v>
      </c>
      <c r="T8647" t="s">
        <v>44390</v>
      </c>
      <c r="U8647" t="s">
        <v>51880</v>
      </c>
      <c r="W8647" t="s">
        <v>41614</v>
      </c>
      <c r="X8647" t="s">
        <v>42680</v>
      </c>
    </row>
    <row r="8648" spans="1:24">
      <c r="A8648">
        <f>HYPERLINK("https://www.philgeps.gov.ph/GEPSNONPILOT/Tender/SplashBidNoticeAbstractUI.aspx?menuIndex=3&amp;refID=7180546&amp;Result=3","7180546")</f>
        <v>0</v>
      </c>
      <c r="B8648" t="s">
        <v>595</v>
      </c>
      <c r="C8648" t="s">
        <v>11792</v>
      </c>
      <c r="D8648" t="s">
        <v>17169</v>
      </c>
      <c r="E8648" t="s">
        <v>24691</v>
      </c>
      <c r="F8648" t="s">
        <v>29372</v>
      </c>
      <c r="G8648" t="s">
        <v>29383</v>
      </c>
      <c r="H8648" t="s">
        <v>11048</v>
      </c>
      <c r="I8648" t="s">
        <v>29426</v>
      </c>
      <c r="J8648" t="s">
        <v>29571</v>
      </c>
      <c r="K8648" t="s">
        <v>38510</v>
      </c>
      <c r="M8648" t="s">
        <v>39366</v>
      </c>
      <c r="N8648" t="s">
        <v>42669</v>
      </c>
      <c r="O8648" t="s">
        <v>42670</v>
      </c>
      <c r="P8648">
        <v>0</v>
      </c>
      <c r="Q8648">
        <v>1</v>
      </c>
      <c r="R8648" t="s">
        <v>42679</v>
      </c>
      <c r="S8648" t="s">
        <v>42923</v>
      </c>
      <c r="T8648" t="s">
        <v>44481</v>
      </c>
      <c r="U8648" t="s">
        <v>51881</v>
      </c>
      <c r="W8648" t="s">
        <v>39366</v>
      </c>
      <c r="X8648" t="s">
        <v>42680</v>
      </c>
    </row>
    <row r="8649" spans="1:24">
      <c r="A8649">
        <f>HYPERLINK("https://www.philgeps.gov.ph/GEPSNONPILOT/Tender/SplashBidNoticeAbstractUI.aspx?menuIndex=3&amp;refID=7180564&amp;Result=3","7180564")</f>
        <v>0</v>
      </c>
      <c r="B8649" t="s">
        <v>1885</v>
      </c>
      <c r="C8649" t="s">
        <v>11793</v>
      </c>
      <c r="D8649" t="s">
        <v>17189</v>
      </c>
      <c r="E8649" t="s">
        <v>24692</v>
      </c>
      <c r="F8649" t="s">
        <v>29372</v>
      </c>
      <c r="G8649" t="s">
        <v>29380</v>
      </c>
      <c r="H8649" t="s">
        <v>11048</v>
      </c>
      <c r="I8649" t="s">
        <v>29458</v>
      </c>
      <c r="J8649" t="s">
        <v>29543</v>
      </c>
      <c r="K8649" t="s">
        <v>38485</v>
      </c>
      <c r="M8649" t="s">
        <v>40758</v>
      </c>
      <c r="N8649" t="s">
        <v>42669</v>
      </c>
      <c r="O8649" t="s">
        <v>42670</v>
      </c>
      <c r="Q8649">
        <v>5</v>
      </c>
      <c r="R8649" t="s">
        <v>42679</v>
      </c>
      <c r="S8649" t="s">
        <v>42943</v>
      </c>
      <c r="T8649" t="s">
        <v>44472</v>
      </c>
      <c r="U8649" t="s">
        <v>51882</v>
      </c>
      <c r="V8649" t="s">
        <v>56961</v>
      </c>
      <c r="W8649" t="s">
        <v>40758</v>
      </c>
      <c r="X8649" t="s">
        <v>42680</v>
      </c>
    </row>
    <row r="8650" spans="1:24">
      <c r="A8650">
        <f>HYPERLINK("https://www.philgeps.gov.ph/GEPSNONPILOT/Tender/SplashBidNoticeAbstractUI.aspx?menuIndex=3&amp;refID=7180545&amp;Result=3","7180545")</f>
        <v>0</v>
      </c>
      <c r="B8650" t="s">
        <v>2642</v>
      </c>
      <c r="C8650" t="s">
        <v>11794</v>
      </c>
      <c r="D8650" t="s">
        <v>17141</v>
      </c>
      <c r="E8650" t="s">
        <v>24693</v>
      </c>
      <c r="F8650" t="s">
        <v>29372</v>
      </c>
      <c r="G8650" t="s">
        <v>29380</v>
      </c>
      <c r="H8650" t="s">
        <v>29389</v>
      </c>
      <c r="I8650" t="s">
        <v>10408</v>
      </c>
      <c r="J8650" t="s">
        <v>35087</v>
      </c>
      <c r="K8650" t="s">
        <v>38699</v>
      </c>
      <c r="M8650" t="s">
        <v>41615</v>
      </c>
      <c r="N8650" t="s">
        <v>42669</v>
      </c>
      <c r="O8650" t="s">
        <v>42670</v>
      </c>
      <c r="P8650">
        <v>0</v>
      </c>
      <c r="Q8650">
        <v>7</v>
      </c>
      <c r="R8650" t="s">
        <v>42679</v>
      </c>
      <c r="S8650" t="s">
        <v>42923</v>
      </c>
      <c r="T8650" t="s">
        <v>44355</v>
      </c>
      <c r="U8650" t="s">
        <v>51883</v>
      </c>
      <c r="W8650" t="s">
        <v>41615</v>
      </c>
      <c r="X8650" t="s">
        <v>42680</v>
      </c>
    </row>
    <row r="8651" spans="1:24">
      <c r="A8651">
        <f>HYPERLINK("https://www.philgeps.gov.ph/GEPSNONPILOT/Tender/SplashBidNoticeAbstractUI.aspx?menuIndex=3&amp;refID=7180534&amp;Result=3","7180534")</f>
        <v>0</v>
      </c>
      <c r="B8651" t="s">
        <v>2240</v>
      </c>
      <c r="C8651" t="s">
        <v>11795</v>
      </c>
      <c r="D8651" t="s">
        <v>17201</v>
      </c>
      <c r="E8651" t="s">
        <v>24694</v>
      </c>
      <c r="F8651" t="s">
        <v>29372</v>
      </c>
      <c r="G8651" t="s">
        <v>29381</v>
      </c>
      <c r="H8651" t="s">
        <v>29389</v>
      </c>
      <c r="I8651" t="s">
        <v>10408</v>
      </c>
      <c r="J8651" t="s">
        <v>35088</v>
      </c>
      <c r="K8651" t="s">
        <v>38533</v>
      </c>
      <c r="M8651" t="s">
        <v>41158</v>
      </c>
      <c r="N8651" t="s">
        <v>42669</v>
      </c>
      <c r="O8651" t="s">
        <v>42670</v>
      </c>
      <c r="P8651">
        <v>0</v>
      </c>
      <c r="Q8651">
        <v>3</v>
      </c>
      <c r="R8651" t="s">
        <v>42679</v>
      </c>
      <c r="S8651" t="s">
        <v>42923</v>
      </c>
      <c r="T8651" t="s">
        <v>44510</v>
      </c>
      <c r="U8651" t="s">
        <v>51884</v>
      </c>
      <c r="W8651" t="s">
        <v>41158</v>
      </c>
      <c r="X8651" t="s">
        <v>42680</v>
      </c>
    </row>
    <row r="8652" spans="1:24">
      <c r="A8652">
        <f>HYPERLINK("https://www.philgeps.gov.ph/GEPSNONPILOT/Tender/SplashBidNoticeAbstractUI.aspx?menuIndex=3&amp;refID=7180480&amp;Result=3","7180480")</f>
        <v>0</v>
      </c>
      <c r="B8652" t="s">
        <v>2643</v>
      </c>
      <c r="C8652" t="s">
        <v>11796</v>
      </c>
      <c r="D8652" t="s">
        <v>17169</v>
      </c>
      <c r="E8652" t="s">
        <v>24695</v>
      </c>
      <c r="F8652" t="s">
        <v>29372</v>
      </c>
      <c r="G8652" t="s">
        <v>29380</v>
      </c>
      <c r="H8652" t="s">
        <v>11048</v>
      </c>
      <c r="I8652" t="s">
        <v>9469</v>
      </c>
      <c r="J8652" t="s">
        <v>35089</v>
      </c>
      <c r="K8652" t="s">
        <v>38502</v>
      </c>
      <c r="M8652" t="s">
        <v>41616</v>
      </c>
      <c r="N8652" t="s">
        <v>42669</v>
      </c>
      <c r="O8652" t="s">
        <v>42670</v>
      </c>
      <c r="P8652">
        <v>0</v>
      </c>
      <c r="Q8652">
        <v>7</v>
      </c>
      <c r="R8652" t="s">
        <v>42679</v>
      </c>
      <c r="S8652" t="s">
        <v>42923</v>
      </c>
      <c r="T8652" t="s">
        <v>44593</v>
      </c>
      <c r="U8652" t="s">
        <v>51885</v>
      </c>
      <c r="W8652" t="s">
        <v>41616</v>
      </c>
      <c r="X8652" t="s">
        <v>42680</v>
      </c>
    </row>
    <row r="8653" spans="1:24">
      <c r="A8653">
        <f>HYPERLINK("https://www.philgeps.gov.ph/GEPSNONPILOT/Tender/SplashBidNoticeAbstractUI.aspx?menuIndex=3&amp;refID=7180527&amp;Result=3","7180527")</f>
        <v>0</v>
      </c>
      <c r="B8653" t="s">
        <v>2642</v>
      </c>
      <c r="C8653" t="s">
        <v>11797</v>
      </c>
      <c r="D8653" t="s">
        <v>17141</v>
      </c>
      <c r="E8653" t="s">
        <v>24696</v>
      </c>
      <c r="F8653" t="s">
        <v>29372</v>
      </c>
      <c r="G8653" t="s">
        <v>29380</v>
      </c>
      <c r="H8653" t="s">
        <v>29390</v>
      </c>
      <c r="I8653" t="s">
        <v>29392</v>
      </c>
      <c r="J8653" t="s">
        <v>35090</v>
      </c>
      <c r="K8653" t="s">
        <v>38580</v>
      </c>
      <c r="M8653" t="s">
        <v>41615</v>
      </c>
      <c r="N8653" t="s">
        <v>42669</v>
      </c>
      <c r="O8653" t="s">
        <v>42670</v>
      </c>
      <c r="Q8653">
        <v>11</v>
      </c>
      <c r="R8653" t="s">
        <v>42679</v>
      </c>
      <c r="S8653" t="s">
        <v>42944</v>
      </c>
      <c r="T8653" t="s">
        <v>44390</v>
      </c>
      <c r="U8653" t="s">
        <v>51886</v>
      </c>
      <c r="W8653" t="s">
        <v>41615</v>
      </c>
      <c r="X8653" t="s">
        <v>42680</v>
      </c>
    </row>
    <row r="8654" spans="1:24">
      <c r="A8654">
        <f>HYPERLINK("https://www.philgeps.gov.ph/GEPSNONPILOT/Tender/SplashBidNoticeAbstractUI.aspx?menuIndex=3&amp;refID=7180552&amp;Result=3","7180552")</f>
        <v>0</v>
      </c>
      <c r="B8654" t="s">
        <v>1885</v>
      </c>
      <c r="C8654" t="s">
        <v>11798</v>
      </c>
      <c r="D8654" t="s">
        <v>17189</v>
      </c>
      <c r="E8654" t="s">
        <v>24697</v>
      </c>
      <c r="F8654" t="s">
        <v>29372</v>
      </c>
      <c r="G8654" t="s">
        <v>29380</v>
      </c>
      <c r="H8654" t="s">
        <v>11048</v>
      </c>
      <c r="I8654" t="s">
        <v>4486</v>
      </c>
      <c r="J8654" t="s">
        <v>29543</v>
      </c>
      <c r="K8654" t="s">
        <v>38496</v>
      </c>
      <c r="M8654" t="s">
        <v>40758</v>
      </c>
      <c r="N8654" t="s">
        <v>42669</v>
      </c>
      <c r="O8654" t="s">
        <v>42670</v>
      </c>
      <c r="Q8654">
        <v>16</v>
      </c>
      <c r="R8654" t="s">
        <v>42679</v>
      </c>
      <c r="S8654" t="s">
        <v>42945</v>
      </c>
      <c r="T8654" t="s">
        <v>44472</v>
      </c>
      <c r="U8654" t="s">
        <v>51887</v>
      </c>
      <c r="V8654" t="s">
        <v>56961</v>
      </c>
      <c r="W8654" t="s">
        <v>40758</v>
      </c>
      <c r="X8654" t="s">
        <v>42680</v>
      </c>
    </row>
    <row r="8655" spans="1:24">
      <c r="A8655">
        <f>HYPERLINK("https://www.philgeps.gov.ph/GEPSNONPILOT/Tender/SplashBidNoticeAbstractUI.aspx?menuIndex=3&amp;refID=7180513&amp;Result=3","7180513")</f>
        <v>0</v>
      </c>
      <c r="B8655" t="s">
        <v>512</v>
      </c>
      <c r="C8655" t="s">
        <v>11799</v>
      </c>
      <c r="D8655" t="s">
        <v>17193</v>
      </c>
      <c r="E8655" t="s">
        <v>24698</v>
      </c>
      <c r="F8655" t="s">
        <v>29372</v>
      </c>
      <c r="G8655" t="s">
        <v>29379</v>
      </c>
      <c r="H8655" t="s">
        <v>11048</v>
      </c>
      <c r="I8655" t="s">
        <v>29434</v>
      </c>
      <c r="J8655" t="s">
        <v>35091</v>
      </c>
      <c r="K8655" t="s">
        <v>38510</v>
      </c>
      <c r="M8655" t="s">
        <v>39279</v>
      </c>
      <c r="N8655" t="s">
        <v>42669</v>
      </c>
      <c r="O8655" t="s">
        <v>42670</v>
      </c>
      <c r="Q8655">
        <v>2</v>
      </c>
      <c r="R8655" t="s">
        <v>42679</v>
      </c>
      <c r="S8655" t="s">
        <v>42946</v>
      </c>
      <c r="T8655" t="s">
        <v>44387</v>
      </c>
      <c r="U8655" t="s">
        <v>51888</v>
      </c>
      <c r="W8655" t="s">
        <v>39279</v>
      </c>
      <c r="X8655" t="s">
        <v>42680</v>
      </c>
    </row>
    <row r="8656" spans="1:24">
      <c r="A8656">
        <f>HYPERLINK("https://www.philgeps.gov.ph/GEPSNONPILOT/Tender/SplashBidNoticeAbstractUI.aspx?menuIndex=3&amp;refID=7180511&amp;Result=3","7180511")</f>
        <v>0</v>
      </c>
      <c r="B8656" t="s">
        <v>512</v>
      </c>
      <c r="C8656" t="s">
        <v>11800</v>
      </c>
      <c r="D8656" t="s">
        <v>17193</v>
      </c>
      <c r="E8656" t="s">
        <v>24699</v>
      </c>
      <c r="F8656" t="s">
        <v>29372</v>
      </c>
      <c r="G8656" t="s">
        <v>29379</v>
      </c>
      <c r="H8656" t="s">
        <v>11048</v>
      </c>
      <c r="I8656" t="s">
        <v>29434</v>
      </c>
      <c r="J8656" t="s">
        <v>35092</v>
      </c>
      <c r="K8656" t="s">
        <v>38510</v>
      </c>
      <c r="M8656" t="s">
        <v>39279</v>
      </c>
      <c r="N8656" t="s">
        <v>42669</v>
      </c>
      <c r="O8656" t="s">
        <v>42670</v>
      </c>
      <c r="Q8656">
        <v>2</v>
      </c>
      <c r="R8656" t="s">
        <v>42679</v>
      </c>
      <c r="S8656" t="s">
        <v>42947</v>
      </c>
      <c r="T8656" t="s">
        <v>44387</v>
      </c>
      <c r="U8656" t="s">
        <v>51889</v>
      </c>
      <c r="W8656" t="s">
        <v>39279</v>
      </c>
      <c r="X8656" t="s">
        <v>42680</v>
      </c>
    </row>
    <row r="8657" spans="1:24">
      <c r="A8657">
        <f>HYPERLINK("https://www.philgeps.gov.ph/GEPSNONPILOT/Tender/SplashBidNoticeAbstractUI.aspx?menuIndex=3&amp;refID=7180540&amp;Result=3","7180540")</f>
        <v>0</v>
      </c>
      <c r="B8657" t="s">
        <v>2642</v>
      </c>
      <c r="C8657" t="s">
        <v>11801</v>
      </c>
      <c r="D8657" t="s">
        <v>17141</v>
      </c>
      <c r="E8657" t="s">
        <v>24700</v>
      </c>
      <c r="F8657" t="s">
        <v>29372</v>
      </c>
      <c r="G8657" t="s">
        <v>29380</v>
      </c>
      <c r="H8657" t="s">
        <v>29389</v>
      </c>
      <c r="I8657" t="s">
        <v>10408</v>
      </c>
      <c r="J8657" t="s">
        <v>35093</v>
      </c>
      <c r="K8657" t="s">
        <v>38699</v>
      </c>
      <c r="M8657" t="s">
        <v>41615</v>
      </c>
      <c r="N8657" t="s">
        <v>42669</v>
      </c>
      <c r="O8657" t="s">
        <v>42670</v>
      </c>
      <c r="P8657">
        <v>0</v>
      </c>
      <c r="Q8657">
        <v>8</v>
      </c>
      <c r="R8657" t="s">
        <v>42679</v>
      </c>
      <c r="S8657" t="s">
        <v>42923</v>
      </c>
      <c r="T8657" t="s">
        <v>44355</v>
      </c>
      <c r="U8657" t="s">
        <v>51883</v>
      </c>
      <c r="W8657" t="s">
        <v>41615</v>
      </c>
      <c r="X8657" t="s">
        <v>42680</v>
      </c>
    </row>
    <row r="8658" spans="1:24">
      <c r="A8658">
        <f>HYPERLINK("https://www.philgeps.gov.ph/GEPSNONPILOT/Tender/SplashBidNoticeAbstractUI.aspx?menuIndex=3&amp;refID=7180533&amp;Result=3","7180533")</f>
        <v>0</v>
      </c>
      <c r="B8658" t="s">
        <v>2642</v>
      </c>
      <c r="C8658" t="s">
        <v>11802</v>
      </c>
      <c r="D8658" t="s">
        <v>17141</v>
      </c>
      <c r="E8658" t="s">
        <v>24701</v>
      </c>
      <c r="F8658" t="s">
        <v>29372</v>
      </c>
      <c r="G8658" t="s">
        <v>29380</v>
      </c>
      <c r="H8658" t="s">
        <v>29389</v>
      </c>
      <c r="I8658" t="s">
        <v>10408</v>
      </c>
      <c r="J8658" t="s">
        <v>35094</v>
      </c>
      <c r="K8658" t="s">
        <v>38699</v>
      </c>
      <c r="M8658" t="s">
        <v>41615</v>
      </c>
      <c r="N8658" t="s">
        <v>42669</v>
      </c>
      <c r="O8658" t="s">
        <v>42670</v>
      </c>
      <c r="P8658">
        <v>0</v>
      </c>
      <c r="Q8658">
        <v>7</v>
      </c>
      <c r="R8658" t="s">
        <v>42679</v>
      </c>
      <c r="S8658" t="s">
        <v>42923</v>
      </c>
      <c r="T8658" t="s">
        <v>44355</v>
      </c>
      <c r="U8658" t="s">
        <v>51883</v>
      </c>
      <c r="W8658" t="s">
        <v>41615</v>
      </c>
      <c r="X8658" t="s">
        <v>42680</v>
      </c>
    </row>
    <row r="8659" spans="1:24">
      <c r="A8659">
        <f>HYPERLINK("https://www.philgeps.gov.ph/GEPSNONPILOT/Tender/SplashBidNoticeAbstractUI.aspx?menuIndex=3&amp;refID=7180503&amp;Result=3","7180503")</f>
        <v>0</v>
      </c>
      <c r="B8659" t="s">
        <v>2637</v>
      </c>
      <c r="C8659" t="s">
        <v>11803</v>
      </c>
      <c r="D8659" t="s">
        <v>17206</v>
      </c>
      <c r="E8659" t="s">
        <v>24702</v>
      </c>
      <c r="F8659" t="s">
        <v>29372</v>
      </c>
      <c r="G8659" t="s">
        <v>29380</v>
      </c>
      <c r="H8659" t="s">
        <v>29389</v>
      </c>
      <c r="I8659" t="s">
        <v>10408</v>
      </c>
      <c r="J8659" t="s">
        <v>29590</v>
      </c>
      <c r="K8659" t="s">
        <v>38496</v>
      </c>
      <c r="M8659" t="s">
        <v>41609</v>
      </c>
      <c r="N8659" t="s">
        <v>42669</v>
      </c>
      <c r="O8659" t="s">
        <v>42670</v>
      </c>
      <c r="P8659">
        <v>0</v>
      </c>
      <c r="Q8659">
        <v>1</v>
      </c>
      <c r="R8659" t="s">
        <v>42679</v>
      </c>
      <c r="S8659" t="s">
        <v>42923</v>
      </c>
      <c r="T8659" t="s">
        <v>44527</v>
      </c>
      <c r="U8659" t="s">
        <v>51861</v>
      </c>
      <c r="W8659" t="s">
        <v>41609</v>
      </c>
      <c r="X8659" t="s">
        <v>42680</v>
      </c>
    </row>
    <row r="8660" spans="1:24">
      <c r="A8660">
        <f>HYPERLINK("https://www.philgeps.gov.ph/GEPSNONPILOT/Tender/SplashBidNoticeAbstractUI.aspx?menuIndex=3&amp;refID=7180502&amp;Result=3","7180502")</f>
        <v>0</v>
      </c>
      <c r="B8660" t="s">
        <v>2636</v>
      </c>
      <c r="C8660" t="s">
        <v>11804</v>
      </c>
      <c r="D8660" t="s">
        <v>17153</v>
      </c>
      <c r="E8660" t="s">
        <v>24668</v>
      </c>
      <c r="F8660" t="s">
        <v>29372</v>
      </c>
      <c r="G8660" t="s">
        <v>29380</v>
      </c>
      <c r="H8660" t="s">
        <v>11048</v>
      </c>
      <c r="I8660" t="s">
        <v>4709</v>
      </c>
      <c r="J8660" t="s">
        <v>35095</v>
      </c>
      <c r="K8660" t="s">
        <v>38491</v>
      </c>
      <c r="M8660" t="s">
        <v>41608</v>
      </c>
      <c r="N8660" t="s">
        <v>42669</v>
      </c>
      <c r="O8660" t="s">
        <v>42670</v>
      </c>
      <c r="P8660">
        <v>0</v>
      </c>
      <c r="Q8660">
        <v>0</v>
      </c>
      <c r="R8660" t="s">
        <v>42679</v>
      </c>
      <c r="S8660" t="s">
        <v>42923</v>
      </c>
      <c r="T8660" t="s">
        <v>44493</v>
      </c>
      <c r="U8660" t="s">
        <v>51890</v>
      </c>
      <c r="V8660" t="s">
        <v>57327</v>
      </c>
      <c r="W8660" t="s">
        <v>41608</v>
      </c>
      <c r="X8660" t="s">
        <v>42680</v>
      </c>
    </row>
    <row r="8661" spans="1:24">
      <c r="A8661">
        <f>HYPERLINK("https://www.philgeps.gov.ph/GEPSNONPILOT/Tender/SplashBidNoticeAbstractUI.aspx?menuIndex=3&amp;refID=7180530&amp;Result=3","7180530")</f>
        <v>0</v>
      </c>
      <c r="B8661" t="s">
        <v>2642</v>
      </c>
      <c r="C8661" t="s">
        <v>11805</v>
      </c>
      <c r="D8661" t="s">
        <v>17141</v>
      </c>
      <c r="E8661" t="s">
        <v>24703</v>
      </c>
      <c r="F8661" t="s">
        <v>29372</v>
      </c>
      <c r="G8661" t="s">
        <v>29380</v>
      </c>
      <c r="H8661" t="s">
        <v>29389</v>
      </c>
      <c r="I8661" t="s">
        <v>10408</v>
      </c>
      <c r="J8661" t="s">
        <v>35096</v>
      </c>
      <c r="K8661" t="s">
        <v>38485</v>
      </c>
      <c r="M8661" t="s">
        <v>41615</v>
      </c>
      <c r="N8661" t="s">
        <v>42669</v>
      </c>
      <c r="O8661" t="s">
        <v>42670</v>
      </c>
      <c r="P8661">
        <v>0</v>
      </c>
      <c r="Q8661">
        <v>1</v>
      </c>
      <c r="R8661" t="s">
        <v>42679</v>
      </c>
      <c r="S8661" t="s">
        <v>42923</v>
      </c>
      <c r="T8661" t="s">
        <v>44355</v>
      </c>
      <c r="U8661" t="s">
        <v>51891</v>
      </c>
      <c r="W8661" t="s">
        <v>41615</v>
      </c>
      <c r="X8661" t="s">
        <v>42680</v>
      </c>
    </row>
    <row r="8662" spans="1:24">
      <c r="A8662">
        <f>HYPERLINK("https://www.philgeps.gov.ph/GEPSNONPILOT/Tender/SplashBidNoticeAbstractUI.aspx?menuIndex=3&amp;refID=7180651&amp;Result=3","7180651")</f>
        <v>0</v>
      </c>
      <c r="B8662" t="s">
        <v>2644</v>
      </c>
      <c r="C8662" t="s">
        <v>11806</v>
      </c>
      <c r="D8662" t="s">
        <v>17150</v>
      </c>
      <c r="E8662" t="s">
        <v>24704</v>
      </c>
      <c r="F8662" t="s">
        <v>29372</v>
      </c>
      <c r="G8662" t="s">
        <v>29380</v>
      </c>
      <c r="H8662" t="s">
        <v>29391</v>
      </c>
      <c r="I8662" t="s">
        <v>29391</v>
      </c>
      <c r="J8662" t="s">
        <v>31893</v>
      </c>
      <c r="K8662" t="s">
        <v>38700</v>
      </c>
      <c r="M8662" t="s">
        <v>41617</v>
      </c>
      <c r="N8662" t="s">
        <v>42669</v>
      </c>
      <c r="O8662" t="s">
        <v>42670</v>
      </c>
      <c r="P8662">
        <v>0</v>
      </c>
      <c r="Q8662">
        <v>5</v>
      </c>
      <c r="R8662" t="s">
        <v>42679</v>
      </c>
      <c r="S8662" t="s">
        <v>42923</v>
      </c>
      <c r="T8662" t="s">
        <v>44412</v>
      </c>
      <c r="U8662" t="s">
        <v>51892</v>
      </c>
      <c r="W8662" t="s">
        <v>41617</v>
      </c>
      <c r="X8662" t="s">
        <v>42680</v>
      </c>
    </row>
    <row r="8663" spans="1:24">
      <c r="A8663">
        <f>HYPERLINK("https://www.philgeps.gov.ph/GEPSNONPILOT/Tender/SplashBidNoticeAbstractUI.aspx?menuIndex=3&amp;refID=7180648&amp;Result=3","7180648")</f>
        <v>0</v>
      </c>
      <c r="B8663" t="s">
        <v>2645</v>
      </c>
      <c r="C8663" t="s">
        <v>11807</v>
      </c>
      <c r="D8663" t="s">
        <v>17183</v>
      </c>
      <c r="E8663" t="s">
        <v>19456</v>
      </c>
      <c r="F8663" t="s">
        <v>29372</v>
      </c>
      <c r="G8663" t="s">
        <v>29380</v>
      </c>
      <c r="H8663" t="s">
        <v>11048</v>
      </c>
      <c r="I8663" t="s">
        <v>9469</v>
      </c>
      <c r="J8663" t="s">
        <v>29924</v>
      </c>
      <c r="K8663" t="s">
        <v>38490</v>
      </c>
      <c r="M8663" t="s">
        <v>41618</v>
      </c>
      <c r="N8663" t="s">
        <v>42669</v>
      </c>
      <c r="O8663" t="s">
        <v>42670</v>
      </c>
      <c r="P8663">
        <v>0</v>
      </c>
      <c r="Q8663">
        <v>1</v>
      </c>
      <c r="R8663" t="s">
        <v>42679</v>
      </c>
      <c r="S8663" t="s">
        <v>42923</v>
      </c>
      <c r="T8663" t="s">
        <v>44382</v>
      </c>
      <c r="U8663" t="s">
        <v>51893</v>
      </c>
      <c r="W8663" t="s">
        <v>41618</v>
      </c>
      <c r="X8663" t="s">
        <v>42680</v>
      </c>
    </row>
    <row r="8664" spans="1:24">
      <c r="A8664">
        <f>HYPERLINK("https://www.philgeps.gov.ph/GEPSNONPILOT/Tender/SplashBidNoticeAbstractUI.aspx?menuIndex=3&amp;refID=7180506&amp;Result=3","7180506")</f>
        <v>0</v>
      </c>
      <c r="B8664" t="s">
        <v>512</v>
      </c>
      <c r="C8664" t="s">
        <v>11808</v>
      </c>
      <c r="D8664" t="s">
        <v>17193</v>
      </c>
      <c r="E8664" t="s">
        <v>24705</v>
      </c>
      <c r="F8664" t="s">
        <v>29372</v>
      </c>
      <c r="G8664" t="s">
        <v>29379</v>
      </c>
      <c r="H8664" t="s">
        <v>11048</v>
      </c>
      <c r="I8664" t="s">
        <v>29434</v>
      </c>
      <c r="J8664" t="s">
        <v>35097</v>
      </c>
      <c r="K8664" t="s">
        <v>38510</v>
      </c>
      <c r="M8664" t="s">
        <v>39279</v>
      </c>
      <c r="N8664" t="s">
        <v>42669</v>
      </c>
      <c r="O8664" t="s">
        <v>42670</v>
      </c>
      <c r="Q8664">
        <v>2</v>
      </c>
      <c r="R8664" t="s">
        <v>42679</v>
      </c>
      <c r="S8664" t="s">
        <v>42948</v>
      </c>
      <c r="T8664" t="s">
        <v>44371</v>
      </c>
      <c r="U8664" t="s">
        <v>51894</v>
      </c>
      <c r="W8664" t="s">
        <v>39279</v>
      </c>
      <c r="X8664" t="s">
        <v>42680</v>
      </c>
    </row>
    <row r="8665" spans="1:24">
      <c r="A8665">
        <f>HYPERLINK("https://www.philgeps.gov.ph/GEPSNONPILOT/Tender/SplashBidNoticeAbstractUI.aspx?menuIndex=3&amp;refID=7180646&amp;Result=3","7180646")</f>
        <v>0</v>
      </c>
      <c r="B8665" t="s">
        <v>913</v>
      </c>
      <c r="C8665" t="s">
        <v>11809</v>
      </c>
      <c r="D8665" t="s">
        <v>17168</v>
      </c>
      <c r="E8665" t="s">
        <v>17347</v>
      </c>
      <c r="F8665" t="s">
        <v>29372</v>
      </c>
      <c r="G8665" t="s">
        <v>29379</v>
      </c>
      <c r="H8665" t="s">
        <v>11048</v>
      </c>
      <c r="I8665" t="s">
        <v>29406</v>
      </c>
      <c r="J8665" t="s">
        <v>35098</v>
      </c>
      <c r="K8665" t="s">
        <v>38510</v>
      </c>
      <c r="L8665" t="s">
        <v>913</v>
      </c>
      <c r="M8665" t="s">
        <v>39706</v>
      </c>
      <c r="N8665" t="s">
        <v>42669</v>
      </c>
      <c r="O8665" t="s">
        <v>42670</v>
      </c>
      <c r="P8665">
        <v>0</v>
      </c>
      <c r="Q8665">
        <v>7</v>
      </c>
      <c r="R8665" t="s">
        <v>42679</v>
      </c>
      <c r="S8665" t="s">
        <v>42923</v>
      </c>
      <c r="T8665" t="s">
        <v>44493</v>
      </c>
      <c r="U8665" t="s">
        <v>51895</v>
      </c>
      <c r="W8665" t="s">
        <v>39706</v>
      </c>
      <c r="X8665" t="s">
        <v>42680</v>
      </c>
    </row>
    <row r="8666" spans="1:24">
      <c r="A8666">
        <f>HYPERLINK("https://www.philgeps.gov.ph/GEPSNONPILOT/Tender/SplashBidNoticeAbstractUI.aspx?menuIndex=3&amp;refID=7180035&amp;Result=3","7180035")</f>
        <v>0</v>
      </c>
      <c r="B8666" t="s">
        <v>180</v>
      </c>
      <c r="C8666" t="s">
        <v>11810</v>
      </c>
      <c r="D8666" t="s">
        <v>17154</v>
      </c>
      <c r="E8666" t="s">
        <v>24706</v>
      </c>
      <c r="F8666" t="s">
        <v>29372</v>
      </c>
      <c r="G8666" t="s">
        <v>29380</v>
      </c>
      <c r="H8666" t="s">
        <v>29389</v>
      </c>
      <c r="I8666" t="s">
        <v>10408</v>
      </c>
      <c r="J8666" t="s">
        <v>35099</v>
      </c>
      <c r="K8666" t="s">
        <v>38564</v>
      </c>
      <c r="M8666" t="s">
        <v>38937</v>
      </c>
      <c r="N8666" t="s">
        <v>42669</v>
      </c>
      <c r="O8666" t="s">
        <v>42670</v>
      </c>
      <c r="P8666">
        <v>0</v>
      </c>
      <c r="Q8666">
        <v>0</v>
      </c>
      <c r="R8666" t="s">
        <v>42679</v>
      </c>
      <c r="S8666" t="s">
        <v>42923</v>
      </c>
      <c r="T8666" t="s">
        <v>44547</v>
      </c>
      <c r="U8666" t="s">
        <v>51896</v>
      </c>
      <c r="W8666" t="s">
        <v>38937</v>
      </c>
      <c r="X8666" t="s">
        <v>42682</v>
      </c>
    </row>
    <row r="8667" spans="1:24">
      <c r="A8667">
        <f>HYPERLINK("https://www.philgeps.gov.ph/GEPSNONPILOT/Tender/SplashBidNoticeAbstractUI.aspx?menuIndex=3&amp;refID=7180636&amp;Result=3","7180636")</f>
        <v>0</v>
      </c>
      <c r="B8667" t="s">
        <v>278</v>
      </c>
      <c r="C8667" t="s">
        <v>11811</v>
      </c>
      <c r="D8667" t="s">
        <v>17208</v>
      </c>
      <c r="E8667" t="s">
        <v>24707</v>
      </c>
      <c r="F8667" t="s">
        <v>29372</v>
      </c>
      <c r="G8667" t="s">
        <v>29380</v>
      </c>
      <c r="H8667" t="s">
        <v>11048</v>
      </c>
      <c r="I8667" t="s">
        <v>3952</v>
      </c>
      <c r="J8667" t="s">
        <v>29730</v>
      </c>
      <c r="K8667" t="s">
        <v>38496</v>
      </c>
      <c r="M8667" t="s">
        <v>39037</v>
      </c>
      <c r="N8667" t="s">
        <v>42669</v>
      </c>
      <c r="O8667" t="s">
        <v>42670</v>
      </c>
      <c r="P8667">
        <v>0</v>
      </c>
      <c r="Q8667">
        <v>3</v>
      </c>
      <c r="R8667" t="s">
        <v>42679</v>
      </c>
      <c r="S8667" t="s">
        <v>42923</v>
      </c>
      <c r="T8667" t="s">
        <v>44555</v>
      </c>
      <c r="U8667" t="s">
        <v>45465</v>
      </c>
      <c r="W8667" t="s">
        <v>58006</v>
      </c>
      <c r="X8667" t="s">
        <v>42680</v>
      </c>
    </row>
    <row r="8668" spans="1:24">
      <c r="A8668">
        <f>HYPERLINK("https://www.philgeps.gov.ph/GEPSNONPILOT/Tender/SplashBidNoticeAbstractUI.aspx?menuIndex=3&amp;refID=7180630&amp;Result=3","7180630")</f>
        <v>0</v>
      </c>
      <c r="B8668" t="s">
        <v>278</v>
      </c>
      <c r="C8668" t="s">
        <v>11812</v>
      </c>
      <c r="D8668" t="s">
        <v>17208</v>
      </c>
      <c r="E8668" t="s">
        <v>24708</v>
      </c>
      <c r="F8668" t="s">
        <v>29372</v>
      </c>
      <c r="G8668" t="s">
        <v>29380</v>
      </c>
      <c r="H8668" t="s">
        <v>29390</v>
      </c>
      <c r="I8668" t="s">
        <v>29450</v>
      </c>
      <c r="J8668" t="s">
        <v>35100</v>
      </c>
      <c r="K8668" t="s">
        <v>38488</v>
      </c>
      <c r="M8668" t="s">
        <v>39037</v>
      </c>
      <c r="N8668" t="s">
        <v>42669</v>
      </c>
      <c r="O8668" t="s">
        <v>42670</v>
      </c>
      <c r="P8668">
        <v>0</v>
      </c>
      <c r="Q8668">
        <v>1</v>
      </c>
      <c r="R8668" t="s">
        <v>42679</v>
      </c>
      <c r="S8668" t="s">
        <v>42923</v>
      </c>
      <c r="T8668" t="s">
        <v>44555</v>
      </c>
      <c r="U8668" t="s">
        <v>45465</v>
      </c>
      <c r="W8668" t="s">
        <v>58006</v>
      </c>
      <c r="X8668" t="s">
        <v>42680</v>
      </c>
    </row>
    <row r="8669" spans="1:24">
      <c r="A8669">
        <f>HYPERLINK("https://www.philgeps.gov.ph/GEPSNONPILOT/Tender/SplashBidNoticeAbstractUI.aspx?menuIndex=3&amp;refID=7180490&amp;Result=3","7180490")</f>
        <v>0</v>
      </c>
      <c r="B8669" t="s">
        <v>747</v>
      </c>
      <c r="C8669" t="s">
        <v>9225</v>
      </c>
      <c r="D8669" t="s">
        <v>17161</v>
      </c>
      <c r="E8669" t="s">
        <v>24709</v>
      </c>
      <c r="F8669" t="s">
        <v>29372</v>
      </c>
      <c r="G8669" t="s">
        <v>29380</v>
      </c>
      <c r="H8669" t="s">
        <v>11048</v>
      </c>
      <c r="I8669" t="s">
        <v>3695</v>
      </c>
      <c r="J8669" t="s">
        <v>35101</v>
      </c>
      <c r="K8669" t="s">
        <v>38488</v>
      </c>
      <c r="M8669" t="s">
        <v>39530</v>
      </c>
      <c r="N8669" t="s">
        <v>42669</v>
      </c>
      <c r="O8669" t="s">
        <v>42670</v>
      </c>
      <c r="P8669">
        <v>0</v>
      </c>
      <c r="Q8669">
        <v>2</v>
      </c>
      <c r="R8669" t="s">
        <v>42679</v>
      </c>
      <c r="S8669" t="s">
        <v>42923</v>
      </c>
      <c r="T8669" t="s">
        <v>44432</v>
      </c>
      <c r="U8669" t="s">
        <v>51897</v>
      </c>
      <c r="W8669" t="s">
        <v>39530</v>
      </c>
      <c r="X8669" t="s">
        <v>42680</v>
      </c>
    </row>
    <row r="8670" spans="1:24">
      <c r="A8670">
        <f>HYPERLINK("https://www.philgeps.gov.ph/GEPSNONPILOT/Tender/SplashBidNoticeAbstractUI.aspx?menuIndex=3&amp;refID=7180614&amp;Result=3","7180614")</f>
        <v>0</v>
      </c>
      <c r="B8670" t="s">
        <v>278</v>
      </c>
      <c r="C8670" t="s">
        <v>11813</v>
      </c>
      <c r="D8670" t="s">
        <v>17208</v>
      </c>
      <c r="E8670" t="s">
        <v>24710</v>
      </c>
      <c r="F8670" t="s">
        <v>29372</v>
      </c>
      <c r="G8670" t="s">
        <v>29380</v>
      </c>
      <c r="H8670" t="s">
        <v>29390</v>
      </c>
      <c r="I8670" t="s">
        <v>29396</v>
      </c>
      <c r="J8670" t="s">
        <v>35102</v>
      </c>
      <c r="K8670" t="s">
        <v>38485</v>
      </c>
      <c r="M8670" t="s">
        <v>39037</v>
      </c>
      <c r="N8670" t="s">
        <v>42669</v>
      </c>
      <c r="O8670" t="s">
        <v>42670</v>
      </c>
      <c r="P8670">
        <v>0</v>
      </c>
      <c r="Q8670">
        <v>0</v>
      </c>
      <c r="R8670" t="s">
        <v>42679</v>
      </c>
      <c r="S8670" t="s">
        <v>42923</v>
      </c>
      <c r="T8670" t="s">
        <v>44555</v>
      </c>
      <c r="U8670" t="s">
        <v>45465</v>
      </c>
      <c r="W8670" t="s">
        <v>58006</v>
      </c>
      <c r="X8670" t="s">
        <v>42680</v>
      </c>
    </row>
    <row r="8671" spans="1:24">
      <c r="A8671">
        <f>HYPERLINK("https://www.philgeps.gov.ph/GEPSNONPILOT/Tender/SplashBidNoticeAbstractUI.aspx?menuIndex=3&amp;refID=7180611&amp;Result=3","7180611")</f>
        <v>0</v>
      </c>
      <c r="B8671" t="s">
        <v>278</v>
      </c>
      <c r="C8671" t="s">
        <v>11814</v>
      </c>
      <c r="D8671" t="s">
        <v>17208</v>
      </c>
      <c r="E8671" t="s">
        <v>24711</v>
      </c>
      <c r="F8671" t="s">
        <v>29372</v>
      </c>
      <c r="G8671" t="s">
        <v>29380</v>
      </c>
      <c r="H8671" t="s">
        <v>29390</v>
      </c>
      <c r="I8671" t="s">
        <v>29396</v>
      </c>
      <c r="J8671" t="s">
        <v>29721</v>
      </c>
      <c r="K8671" t="s">
        <v>38518</v>
      </c>
      <c r="M8671" t="s">
        <v>39037</v>
      </c>
      <c r="N8671" t="s">
        <v>42669</v>
      </c>
      <c r="O8671" t="s">
        <v>42670</v>
      </c>
      <c r="P8671">
        <v>0</v>
      </c>
      <c r="Q8671">
        <v>4</v>
      </c>
      <c r="R8671" t="s">
        <v>42679</v>
      </c>
      <c r="S8671" t="s">
        <v>42923</v>
      </c>
      <c r="T8671" t="s">
        <v>44555</v>
      </c>
      <c r="U8671" t="s">
        <v>45465</v>
      </c>
      <c r="W8671" t="s">
        <v>58006</v>
      </c>
      <c r="X8671" t="s">
        <v>42680</v>
      </c>
    </row>
    <row r="8672" spans="1:24">
      <c r="A8672">
        <f>HYPERLINK("https://www.philgeps.gov.ph/GEPSNONPILOT/Tender/SplashBidNoticeAbstractUI.aspx?menuIndex=3&amp;refID=7180609&amp;Result=3","7180609")</f>
        <v>0</v>
      </c>
      <c r="B8672" t="s">
        <v>278</v>
      </c>
      <c r="C8672" t="s">
        <v>11815</v>
      </c>
      <c r="D8672" t="s">
        <v>17208</v>
      </c>
      <c r="E8672" t="s">
        <v>24712</v>
      </c>
      <c r="F8672" t="s">
        <v>29372</v>
      </c>
      <c r="G8672" t="s">
        <v>29380</v>
      </c>
      <c r="H8672" t="s">
        <v>29390</v>
      </c>
      <c r="I8672" t="s">
        <v>6417</v>
      </c>
      <c r="J8672" t="s">
        <v>35103</v>
      </c>
      <c r="K8672" t="s">
        <v>38485</v>
      </c>
      <c r="M8672" t="s">
        <v>39037</v>
      </c>
      <c r="N8672" t="s">
        <v>42669</v>
      </c>
      <c r="O8672" t="s">
        <v>42670</v>
      </c>
      <c r="P8672">
        <v>0</v>
      </c>
      <c r="Q8672">
        <v>6</v>
      </c>
      <c r="R8672" t="s">
        <v>42679</v>
      </c>
      <c r="S8672" t="s">
        <v>42923</v>
      </c>
      <c r="T8672" t="s">
        <v>44555</v>
      </c>
      <c r="U8672" t="s">
        <v>45465</v>
      </c>
      <c r="W8672" t="s">
        <v>58006</v>
      </c>
      <c r="X8672" t="s">
        <v>42680</v>
      </c>
    </row>
    <row r="8673" spans="1:24">
      <c r="A8673">
        <f>HYPERLINK("https://www.philgeps.gov.ph/GEPSNONPILOT/Tender/SplashBidNoticeAbstractUI.aspx?menuIndex=3&amp;refID=7180606&amp;Result=3","7180606")</f>
        <v>0</v>
      </c>
      <c r="B8673" t="s">
        <v>278</v>
      </c>
      <c r="C8673" t="s">
        <v>11816</v>
      </c>
      <c r="D8673" t="s">
        <v>17208</v>
      </c>
      <c r="E8673" t="s">
        <v>24713</v>
      </c>
      <c r="F8673" t="s">
        <v>29372</v>
      </c>
      <c r="G8673" t="s">
        <v>29380</v>
      </c>
      <c r="H8673" t="s">
        <v>11048</v>
      </c>
      <c r="I8673" t="s">
        <v>3952</v>
      </c>
      <c r="J8673" t="s">
        <v>29743</v>
      </c>
      <c r="K8673" t="s">
        <v>38495</v>
      </c>
      <c r="M8673" t="s">
        <v>39037</v>
      </c>
      <c r="N8673" t="s">
        <v>42669</v>
      </c>
      <c r="O8673" t="s">
        <v>42670</v>
      </c>
      <c r="P8673">
        <v>0</v>
      </c>
      <c r="Q8673">
        <v>4</v>
      </c>
      <c r="R8673" t="s">
        <v>42679</v>
      </c>
      <c r="S8673" t="s">
        <v>42923</v>
      </c>
      <c r="T8673" t="s">
        <v>44555</v>
      </c>
      <c r="U8673" t="s">
        <v>45465</v>
      </c>
      <c r="W8673" t="s">
        <v>58006</v>
      </c>
      <c r="X8673" t="s">
        <v>42680</v>
      </c>
    </row>
    <row r="8674" spans="1:24">
      <c r="A8674">
        <f>HYPERLINK("https://www.philgeps.gov.ph/GEPSNONPILOT/Tender/SplashBidNoticeAbstractUI.aspx?menuIndex=3&amp;refID=7180592&amp;Result=3","7180592")</f>
        <v>0</v>
      </c>
      <c r="B8674" t="s">
        <v>1885</v>
      </c>
      <c r="C8674" t="s">
        <v>11817</v>
      </c>
      <c r="D8674" t="s">
        <v>17189</v>
      </c>
      <c r="E8674" t="s">
        <v>24714</v>
      </c>
      <c r="F8674" t="s">
        <v>29372</v>
      </c>
      <c r="G8674" t="s">
        <v>29380</v>
      </c>
      <c r="H8674" t="s">
        <v>11048</v>
      </c>
      <c r="I8674" t="s">
        <v>29417</v>
      </c>
      <c r="J8674" t="s">
        <v>29543</v>
      </c>
      <c r="K8674" t="s">
        <v>38496</v>
      </c>
      <c r="M8674" t="s">
        <v>40758</v>
      </c>
      <c r="N8674" t="s">
        <v>42669</v>
      </c>
      <c r="O8674" t="s">
        <v>42670</v>
      </c>
      <c r="Q8674">
        <v>3</v>
      </c>
      <c r="R8674" t="s">
        <v>42679</v>
      </c>
      <c r="S8674" t="s">
        <v>42949</v>
      </c>
      <c r="T8674" t="s">
        <v>44472</v>
      </c>
      <c r="U8674" t="s">
        <v>51898</v>
      </c>
      <c r="V8674" t="s">
        <v>56961</v>
      </c>
      <c r="W8674" t="s">
        <v>40758</v>
      </c>
      <c r="X8674" t="s">
        <v>42680</v>
      </c>
    </row>
    <row r="8675" spans="1:24">
      <c r="A8675">
        <f>HYPERLINK("https://www.philgeps.gov.ph/GEPSNONPILOT/Tender/SplashBidNoticeAbstractUI.aspx?menuIndex=3&amp;refID=7180582&amp;Result=3","7180582")</f>
        <v>0</v>
      </c>
      <c r="B8675" t="s">
        <v>1885</v>
      </c>
      <c r="C8675" t="s">
        <v>11818</v>
      </c>
      <c r="D8675" t="s">
        <v>17189</v>
      </c>
      <c r="E8675" t="s">
        <v>24715</v>
      </c>
      <c r="F8675" t="s">
        <v>29372</v>
      </c>
      <c r="G8675" t="s">
        <v>29380</v>
      </c>
      <c r="H8675" t="s">
        <v>11048</v>
      </c>
      <c r="I8675" t="s">
        <v>29417</v>
      </c>
      <c r="J8675" t="s">
        <v>29604</v>
      </c>
      <c r="K8675" t="s">
        <v>38485</v>
      </c>
      <c r="M8675" t="s">
        <v>40758</v>
      </c>
      <c r="N8675" t="s">
        <v>42669</v>
      </c>
      <c r="O8675" t="s">
        <v>42670</v>
      </c>
      <c r="Q8675">
        <v>5</v>
      </c>
      <c r="R8675" t="s">
        <v>42679</v>
      </c>
      <c r="S8675" t="s">
        <v>42950</v>
      </c>
      <c r="T8675" t="s">
        <v>44472</v>
      </c>
      <c r="U8675" t="s">
        <v>51899</v>
      </c>
      <c r="V8675" t="s">
        <v>56961</v>
      </c>
      <c r="W8675" t="s">
        <v>40758</v>
      </c>
      <c r="X8675" t="s">
        <v>42680</v>
      </c>
    </row>
    <row r="8676" spans="1:24">
      <c r="A8676">
        <f>HYPERLINK("https://www.philgeps.gov.ph/GEPSNONPILOT/Tender/SplashBidNoticeAbstractUI.aspx?menuIndex=3&amp;refID=7180580&amp;Result=3","7180580")</f>
        <v>0</v>
      </c>
      <c r="B8676" t="s">
        <v>1798</v>
      </c>
      <c r="C8676" t="s">
        <v>11819</v>
      </c>
      <c r="D8676" t="s">
        <v>17166</v>
      </c>
      <c r="E8676" t="s">
        <v>18888</v>
      </c>
      <c r="F8676" t="s">
        <v>29372</v>
      </c>
      <c r="G8676" t="s">
        <v>29383</v>
      </c>
      <c r="H8676" t="s">
        <v>11048</v>
      </c>
      <c r="I8676" t="s">
        <v>4487</v>
      </c>
      <c r="J8676" t="s">
        <v>32832</v>
      </c>
      <c r="K8676" t="s">
        <v>38535</v>
      </c>
      <c r="M8676" t="s">
        <v>40669</v>
      </c>
      <c r="N8676" t="s">
        <v>42669</v>
      </c>
      <c r="O8676" t="s">
        <v>42670</v>
      </c>
      <c r="P8676">
        <v>0</v>
      </c>
      <c r="Q8676">
        <v>2</v>
      </c>
      <c r="R8676" t="s">
        <v>42679</v>
      </c>
      <c r="S8676" t="s">
        <v>42923</v>
      </c>
      <c r="T8676" t="s">
        <v>44454</v>
      </c>
      <c r="U8676" t="s">
        <v>48974</v>
      </c>
      <c r="W8676" t="s">
        <v>40669</v>
      </c>
      <c r="X8676" t="s">
        <v>42680</v>
      </c>
    </row>
    <row r="8677" spans="1:24">
      <c r="A8677">
        <f>HYPERLINK("https://www.philgeps.gov.ph/GEPSNONPILOT/Tender/SplashBidNoticeAbstractUI.aspx?menuIndex=3&amp;refID=7180481&amp;Result=3","7180481")</f>
        <v>0</v>
      </c>
      <c r="B8677" t="s">
        <v>2637</v>
      </c>
      <c r="C8677" t="s">
        <v>11820</v>
      </c>
      <c r="D8677" t="s">
        <v>17206</v>
      </c>
      <c r="E8677" t="s">
        <v>24716</v>
      </c>
      <c r="F8677" t="s">
        <v>29372</v>
      </c>
      <c r="G8677" t="s">
        <v>29380</v>
      </c>
      <c r="H8677" t="s">
        <v>29389</v>
      </c>
      <c r="I8677" t="s">
        <v>10408</v>
      </c>
      <c r="J8677" t="s">
        <v>31893</v>
      </c>
      <c r="K8677" t="s">
        <v>38495</v>
      </c>
      <c r="M8677" t="s">
        <v>41609</v>
      </c>
      <c r="N8677" t="s">
        <v>42669</v>
      </c>
      <c r="O8677" t="s">
        <v>42670</v>
      </c>
      <c r="P8677">
        <v>0</v>
      </c>
      <c r="Q8677">
        <v>4</v>
      </c>
      <c r="R8677" t="s">
        <v>42679</v>
      </c>
      <c r="S8677" t="s">
        <v>42923</v>
      </c>
      <c r="T8677" t="s">
        <v>44409</v>
      </c>
      <c r="U8677" t="s">
        <v>51900</v>
      </c>
      <c r="W8677" t="s">
        <v>41609</v>
      </c>
      <c r="X8677" t="s">
        <v>42680</v>
      </c>
    </row>
    <row r="8678" spans="1:24">
      <c r="A8678">
        <f>HYPERLINK("https://www.philgeps.gov.ph/GEPSNONPILOT/Tender/SplashBidNoticeAbstractUI.aspx?menuIndex=3&amp;refID=7180578&amp;Result=3","7180578")</f>
        <v>0</v>
      </c>
      <c r="B8678" t="s">
        <v>1798</v>
      </c>
      <c r="C8678" t="s">
        <v>11821</v>
      </c>
      <c r="D8678" t="s">
        <v>17166</v>
      </c>
      <c r="E8678" t="s">
        <v>24717</v>
      </c>
      <c r="F8678" t="s">
        <v>29372</v>
      </c>
      <c r="G8678" t="s">
        <v>29383</v>
      </c>
      <c r="H8678" t="s">
        <v>11048</v>
      </c>
      <c r="I8678" t="s">
        <v>4487</v>
      </c>
      <c r="J8678" t="s">
        <v>32832</v>
      </c>
      <c r="K8678" t="s">
        <v>38535</v>
      </c>
      <c r="M8678" t="s">
        <v>40669</v>
      </c>
      <c r="N8678" t="s">
        <v>42669</v>
      </c>
      <c r="O8678" t="s">
        <v>42670</v>
      </c>
      <c r="P8678">
        <v>0</v>
      </c>
      <c r="Q8678">
        <v>4</v>
      </c>
      <c r="R8678" t="s">
        <v>42679</v>
      </c>
      <c r="S8678" t="s">
        <v>42923</v>
      </c>
      <c r="T8678" t="s">
        <v>44454</v>
      </c>
      <c r="U8678" t="s">
        <v>48974</v>
      </c>
      <c r="W8678" t="s">
        <v>40669</v>
      </c>
      <c r="X8678" t="s">
        <v>42680</v>
      </c>
    </row>
    <row r="8679" spans="1:24">
      <c r="A8679">
        <f>HYPERLINK("https://www.philgeps.gov.ph/GEPSNONPILOT/Tender/SplashBidNoticeAbstractUI.aspx?menuIndex=3&amp;refID=7180575&amp;Result=3","7180575")</f>
        <v>0</v>
      </c>
      <c r="B8679" t="s">
        <v>2646</v>
      </c>
      <c r="C8679" t="s">
        <v>11822</v>
      </c>
      <c r="D8679" t="s">
        <v>17170</v>
      </c>
      <c r="E8679" t="s">
        <v>24718</v>
      </c>
      <c r="F8679" t="s">
        <v>29374</v>
      </c>
      <c r="G8679" t="s">
        <v>29380</v>
      </c>
      <c r="H8679" t="s">
        <v>11048</v>
      </c>
      <c r="I8679" t="s">
        <v>10408</v>
      </c>
      <c r="J8679" t="s">
        <v>35104</v>
      </c>
      <c r="K8679" t="s">
        <v>38491</v>
      </c>
      <c r="M8679" t="s">
        <v>41619</v>
      </c>
      <c r="N8679" t="s">
        <v>42669</v>
      </c>
      <c r="O8679" t="s">
        <v>42670</v>
      </c>
      <c r="P8679">
        <v>0</v>
      </c>
      <c r="Q8679">
        <v>0</v>
      </c>
      <c r="R8679" t="s">
        <v>42679</v>
      </c>
      <c r="S8679" t="s">
        <v>42923</v>
      </c>
      <c r="T8679" t="s">
        <v>44763</v>
      </c>
      <c r="U8679" t="s">
        <v>51901</v>
      </c>
      <c r="W8679" t="s">
        <v>41619</v>
      </c>
      <c r="X8679" t="s">
        <v>42680</v>
      </c>
    </row>
    <row r="8680" spans="1:24">
      <c r="A8680">
        <f>HYPERLINK("https://www.philgeps.gov.ph/GEPSNONPILOT/Tender/SplashBidNoticeAbstractUI.aspx?menuIndex=3&amp;refID=7180574&amp;Result=3","7180574")</f>
        <v>0</v>
      </c>
      <c r="B8680" t="s">
        <v>1885</v>
      </c>
      <c r="C8680" t="s">
        <v>11823</v>
      </c>
      <c r="D8680" t="s">
        <v>17189</v>
      </c>
      <c r="E8680" t="s">
        <v>24719</v>
      </c>
      <c r="F8680" t="s">
        <v>29372</v>
      </c>
      <c r="G8680" t="s">
        <v>29380</v>
      </c>
      <c r="H8680" t="s">
        <v>11048</v>
      </c>
      <c r="I8680" t="s">
        <v>3952</v>
      </c>
      <c r="J8680" t="s">
        <v>29604</v>
      </c>
      <c r="K8680" t="s">
        <v>38485</v>
      </c>
      <c r="M8680" t="s">
        <v>40758</v>
      </c>
      <c r="N8680" t="s">
        <v>42669</v>
      </c>
      <c r="O8680" t="s">
        <v>42670</v>
      </c>
      <c r="Q8680">
        <v>2</v>
      </c>
      <c r="R8680" t="s">
        <v>42679</v>
      </c>
      <c r="S8680" t="s">
        <v>42951</v>
      </c>
      <c r="T8680" t="s">
        <v>44472</v>
      </c>
      <c r="U8680" t="s">
        <v>51902</v>
      </c>
      <c r="V8680" t="s">
        <v>56961</v>
      </c>
      <c r="W8680" t="s">
        <v>40758</v>
      </c>
      <c r="X8680" t="s">
        <v>42680</v>
      </c>
    </row>
    <row r="8681" spans="1:24">
      <c r="A8681">
        <f>HYPERLINK("https://www.philgeps.gov.ph/GEPSNONPILOT/Tender/SplashBidNoticeAbstractUI.aspx?menuIndex=3&amp;refID=7180573&amp;Result=3","7180573")</f>
        <v>0</v>
      </c>
      <c r="B8681" t="s">
        <v>1885</v>
      </c>
      <c r="C8681" t="s">
        <v>11824</v>
      </c>
      <c r="D8681" t="s">
        <v>17189</v>
      </c>
      <c r="E8681" t="s">
        <v>24720</v>
      </c>
      <c r="F8681" t="s">
        <v>29372</v>
      </c>
      <c r="G8681" t="s">
        <v>29380</v>
      </c>
      <c r="H8681" t="s">
        <v>11048</v>
      </c>
      <c r="I8681" t="s">
        <v>29436</v>
      </c>
      <c r="J8681" t="s">
        <v>33291</v>
      </c>
      <c r="K8681" t="s">
        <v>38485</v>
      </c>
      <c r="M8681" t="s">
        <v>40758</v>
      </c>
      <c r="N8681" t="s">
        <v>42669</v>
      </c>
      <c r="O8681" t="s">
        <v>42670</v>
      </c>
      <c r="Q8681">
        <v>7</v>
      </c>
      <c r="R8681" t="s">
        <v>42679</v>
      </c>
      <c r="S8681" t="s">
        <v>42952</v>
      </c>
      <c r="T8681" t="s">
        <v>44472</v>
      </c>
      <c r="U8681" t="s">
        <v>51903</v>
      </c>
      <c r="V8681" t="s">
        <v>56961</v>
      </c>
      <c r="W8681" t="s">
        <v>40758</v>
      </c>
      <c r="X8681" t="s">
        <v>42680</v>
      </c>
    </row>
    <row r="8682" spans="1:24">
      <c r="A8682">
        <f>HYPERLINK("https://www.philgeps.gov.ph/GEPSNONPILOT/Tender/SplashBidNoticeAbstractUI.aspx?menuIndex=3&amp;refID=7180031&amp;Result=3","7180031")</f>
        <v>0</v>
      </c>
      <c r="B8682" t="s">
        <v>180</v>
      </c>
      <c r="C8682" t="s">
        <v>11825</v>
      </c>
      <c r="D8682" t="s">
        <v>17154</v>
      </c>
      <c r="E8682" t="s">
        <v>24721</v>
      </c>
      <c r="F8682" t="s">
        <v>29372</v>
      </c>
      <c r="G8682" t="s">
        <v>29380</v>
      </c>
      <c r="H8682" t="s">
        <v>29389</v>
      </c>
      <c r="I8682" t="s">
        <v>10408</v>
      </c>
      <c r="J8682" t="s">
        <v>35105</v>
      </c>
      <c r="K8682" t="s">
        <v>38495</v>
      </c>
      <c r="M8682" t="s">
        <v>38937</v>
      </c>
      <c r="N8682" t="s">
        <v>42669</v>
      </c>
      <c r="O8682" t="s">
        <v>42670</v>
      </c>
      <c r="P8682">
        <v>0</v>
      </c>
      <c r="Q8682">
        <v>1</v>
      </c>
      <c r="R8682" t="s">
        <v>42679</v>
      </c>
      <c r="S8682" t="s">
        <v>42923</v>
      </c>
      <c r="T8682" t="s">
        <v>44547</v>
      </c>
      <c r="U8682" t="s">
        <v>51904</v>
      </c>
      <c r="W8682" t="s">
        <v>38937</v>
      </c>
      <c r="X8682" t="s">
        <v>42682</v>
      </c>
    </row>
    <row r="8683" spans="1:24">
      <c r="A8683">
        <f>HYPERLINK("https://www.philgeps.gov.ph/GEPSNONPILOT/Tender/SplashBidNoticeAbstractUI.aspx?menuIndex=3&amp;refID=7180660&amp;Result=3","7180660")</f>
        <v>0</v>
      </c>
      <c r="B8683" t="s">
        <v>1046</v>
      </c>
      <c r="C8683" t="s">
        <v>11826</v>
      </c>
      <c r="D8683" t="s">
        <v>17178</v>
      </c>
      <c r="E8683" t="s">
        <v>24722</v>
      </c>
      <c r="F8683" t="s">
        <v>29372</v>
      </c>
      <c r="G8683" t="s">
        <v>29380</v>
      </c>
      <c r="H8683" t="s">
        <v>11048</v>
      </c>
      <c r="I8683" t="s">
        <v>4709</v>
      </c>
      <c r="J8683" t="s">
        <v>35106</v>
      </c>
      <c r="K8683" t="s">
        <v>38485</v>
      </c>
      <c r="M8683" t="s">
        <v>39851</v>
      </c>
      <c r="N8683" t="s">
        <v>42669</v>
      </c>
      <c r="O8683" t="s">
        <v>42670</v>
      </c>
      <c r="P8683">
        <v>0</v>
      </c>
      <c r="Q8683">
        <v>6</v>
      </c>
      <c r="R8683" t="s">
        <v>42679</v>
      </c>
      <c r="S8683" t="s">
        <v>42923</v>
      </c>
      <c r="T8683" t="s">
        <v>44419</v>
      </c>
      <c r="U8683" t="s">
        <v>51905</v>
      </c>
      <c r="W8683" t="s">
        <v>39851</v>
      </c>
      <c r="X8683" t="s">
        <v>42680</v>
      </c>
    </row>
    <row r="8684" spans="1:24">
      <c r="A8684">
        <f>HYPERLINK("https://www.philgeps.gov.ph/GEPSNONPILOT/Tender/SplashBidNoticeAbstractUI.aspx?menuIndex=3&amp;refID=7180025&amp;Result=3","7180025")</f>
        <v>0</v>
      </c>
      <c r="B8684" t="s">
        <v>180</v>
      </c>
      <c r="C8684" t="s">
        <v>11827</v>
      </c>
      <c r="D8684" t="s">
        <v>17154</v>
      </c>
      <c r="E8684" t="s">
        <v>24723</v>
      </c>
      <c r="F8684" t="s">
        <v>29372</v>
      </c>
      <c r="G8684" t="s">
        <v>29380</v>
      </c>
      <c r="H8684" t="s">
        <v>29389</v>
      </c>
      <c r="I8684" t="s">
        <v>10408</v>
      </c>
      <c r="J8684" t="s">
        <v>35107</v>
      </c>
      <c r="K8684" t="s">
        <v>38541</v>
      </c>
      <c r="M8684" t="s">
        <v>38937</v>
      </c>
      <c r="N8684" t="s">
        <v>42669</v>
      </c>
      <c r="O8684" t="s">
        <v>42670</v>
      </c>
      <c r="P8684">
        <v>0</v>
      </c>
      <c r="Q8684">
        <v>0</v>
      </c>
      <c r="R8684" t="s">
        <v>42679</v>
      </c>
      <c r="S8684" t="s">
        <v>42923</v>
      </c>
      <c r="T8684" t="s">
        <v>44547</v>
      </c>
      <c r="U8684" t="s">
        <v>51906</v>
      </c>
      <c r="W8684" t="s">
        <v>38937</v>
      </c>
      <c r="X8684" t="s">
        <v>42682</v>
      </c>
    </row>
    <row r="8685" spans="1:24">
      <c r="A8685">
        <f>HYPERLINK("https://www.philgeps.gov.ph/GEPSNONPILOT/Tender/SplashBidNoticeAbstractUI.aspx?menuIndex=3&amp;refID=7180721&amp;Result=3","7180721")</f>
        <v>0</v>
      </c>
      <c r="B8685" t="s">
        <v>2647</v>
      </c>
      <c r="C8685" t="s">
        <v>11828</v>
      </c>
      <c r="E8685" t="s">
        <v>24724</v>
      </c>
      <c r="F8685" t="s">
        <v>29372</v>
      </c>
      <c r="G8685" t="s">
        <v>29380</v>
      </c>
      <c r="H8685" t="s">
        <v>11048</v>
      </c>
      <c r="I8685" t="s">
        <v>29433</v>
      </c>
      <c r="J8685" t="s">
        <v>35108</v>
      </c>
      <c r="K8685" t="s">
        <v>38490</v>
      </c>
      <c r="M8685" t="s">
        <v>41620</v>
      </c>
      <c r="N8685" t="s">
        <v>42669</v>
      </c>
      <c r="O8685" t="s">
        <v>42670</v>
      </c>
      <c r="Q8685">
        <v>32</v>
      </c>
      <c r="R8685" t="s">
        <v>42679</v>
      </c>
      <c r="S8685" t="s">
        <v>42953</v>
      </c>
      <c r="T8685" t="s">
        <v>44390</v>
      </c>
      <c r="U8685" t="s">
        <v>51907</v>
      </c>
      <c r="W8685" t="s">
        <v>41620</v>
      </c>
      <c r="X8685" t="s">
        <v>42680</v>
      </c>
    </row>
    <row r="8686" spans="1:24">
      <c r="A8686">
        <f>HYPERLINK("https://www.philgeps.gov.ph/GEPSNONPILOT/Tender/SplashBidNoticeAbstractUI.aspx?menuIndex=3&amp;refID=7180627&amp;Result=3","7180627")</f>
        <v>0</v>
      </c>
      <c r="B8686" t="s">
        <v>2648</v>
      </c>
      <c r="C8686" t="s">
        <v>11829</v>
      </c>
      <c r="D8686" t="s">
        <v>17141</v>
      </c>
      <c r="E8686" t="s">
        <v>24725</v>
      </c>
      <c r="F8686" t="s">
        <v>29375</v>
      </c>
      <c r="G8686" t="s">
        <v>29380</v>
      </c>
      <c r="H8686" t="s">
        <v>11048</v>
      </c>
      <c r="I8686" t="s">
        <v>9469</v>
      </c>
      <c r="J8686" t="s">
        <v>30335</v>
      </c>
      <c r="K8686" t="s">
        <v>38485</v>
      </c>
      <c r="M8686" t="s">
        <v>41621</v>
      </c>
      <c r="N8686" t="s">
        <v>42669</v>
      </c>
      <c r="O8686" t="s">
        <v>42670</v>
      </c>
      <c r="P8686">
        <v>0</v>
      </c>
      <c r="Q8686">
        <v>8</v>
      </c>
      <c r="R8686" t="s">
        <v>42679</v>
      </c>
      <c r="S8686" t="s">
        <v>42923</v>
      </c>
      <c r="T8686" t="s">
        <v>44517</v>
      </c>
      <c r="U8686" t="s">
        <v>51908</v>
      </c>
      <c r="V8686" t="s">
        <v>57328</v>
      </c>
      <c r="W8686" t="s">
        <v>41621</v>
      </c>
      <c r="X8686" t="s">
        <v>42680</v>
      </c>
    </row>
    <row r="8687" spans="1:24">
      <c r="A8687">
        <f>HYPERLINK("https://www.philgeps.gov.ph/GEPSNONPILOT/Tender/SplashBidNoticeAbstractUI.aspx?menuIndex=3&amp;refID=7180640&amp;Result=3","7180640")</f>
        <v>0</v>
      </c>
      <c r="B8687" t="s">
        <v>278</v>
      </c>
      <c r="C8687" t="s">
        <v>11830</v>
      </c>
      <c r="D8687" t="s">
        <v>17208</v>
      </c>
      <c r="E8687" t="s">
        <v>24726</v>
      </c>
      <c r="F8687" t="s">
        <v>29372</v>
      </c>
      <c r="G8687" t="s">
        <v>29380</v>
      </c>
      <c r="H8687" t="s">
        <v>11048</v>
      </c>
      <c r="I8687" t="s">
        <v>3952</v>
      </c>
      <c r="J8687" t="s">
        <v>35109</v>
      </c>
      <c r="K8687" t="s">
        <v>38485</v>
      </c>
      <c r="M8687" t="s">
        <v>39037</v>
      </c>
      <c r="N8687" t="s">
        <v>42669</v>
      </c>
      <c r="O8687" t="s">
        <v>42670</v>
      </c>
      <c r="P8687">
        <v>0</v>
      </c>
      <c r="Q8687">
        <v>2</v>
      </c>
      <c r="R8687" t="s">
        <v>42679</v>
      </c>
      <c r="S8687" t="s">
        <v>42923</v>
      </c>
      <c r="T8687" t="s">
        <v>44555</v>
      </c>
      <c r="U8687" t="s">
        <v>45465</v>
      </c>
      <c r="W8687" t="s">
        <v>58006</v>
      </c>
      <c r="X8687" t="s">
        <v>42680</v>
      </c>
    </row>
    <row r="8688" spans="1:24">
      <c r="A8688">
        <f>HYPERLINK("https://www.philgeps.gov.ph/GEPSNONPILOT/Tender/SplashBidNoticeAbstractUI.aspx?menuIndex=3&amp;refID=7180719&amp;Result=3","7180719")</f>
        <v>0</v>
      </c>
      <c r="B8688" t="s">
        <v>2647</v>
      </c>
      <c r="C8688" t="s">
        <v>11831</v>
      </c>
      <c r="E8688" t="s">
        <v>24727</v>
      </c>
      <c r="F8688" t="s">
        <v>29372</v>
      </c>
      <c r="G8688" t="s">
        <v>29380</v>
      </c>
      <c r="H8688" t="s">
        <v>11048</v>
      </c>
      <c r="I8688" t="s">
        <v>3695</v>
      </c>
      <c r="J8688" t="s">
        <v>35110</v>
      </c>
      <c r="K8688" t="s">
        <v>38490</v>
      </c>
      <c r="M8688" t="s">
        <v>41620</v>
      </c>
      <c r="N8688" t="s">
        <v>42669</v>
      </c>
      <c r="O8688" t="s">
        <v>42670</v>
      </c>
      <c r="Q8688">
        <v>19</v>
      </c>
      <c r="R8688" t="s">
        <v>42679</v>
      </c>
      <c r="S8688" t="s">
        <v>42954</v>
      </c>
      <c r="T8688" t="s">
        <v>44390</v>
      </c>
      <c r="U8688" t="s">
        <v>51907</v>
      </c>
      <c r="W8688" t="s">
        <v>41620</v>
      </c>
      <c r="X8688" t="s">
        <v>42680</v>
      </c>
    </row>
    <row r="8689" spans="1:24">
      <c r="A8689">
        <f>HYPERLINK("https://www.philgeps.gov.ph/GEPSNONPILOT/Tender/SplashBidNoticeAbstractUI.aspx?menuIndex=3&amp;refID=7180711&amp;Result=3","7180711")</f>
        <v>0</v>
      </c>
      <c r="B8689" t="s">
        <v>2647</v>
      </c>
      <c r="C8689" t="s">
        <v>11832</v>
      </c>
      <c r="E8689" t="s">
        <v>24728</v>
      </c>
      <c r="F8689" t="s">
        <v>29372</v>
      </c>
      <c r="G8689" t="s">
        <v>29380</v>
      </c>
      <c r="H8689" t="s">
        <v>11048</v>
      </c>
      <c r="I8689" t="s">
        <v>3695</v>
      </c>
      <c r="J8689" t="s">
        <v>35111</v>
      </c>
      <c r="K8689" t="s">
        <v>38490</v>
      </c>
      <c r="M8689" t="s">
        <v>41620</v>
      </c>
      <c r="N8689" t="s">
        <v>42669</v>
      </c>
      <c r="O8689" t="s">
        <v>42670</v>
      </c>
      <c r="Q8689">
        <v>16</v>
      </c>
      <c r="R8689" t="s">
        <v>42679</v>
      </c>
      <c r="S8689" t="s">
        <v>42955</v>
      </c>
      <c r="T8689" t="s">
        <v>44390</v>
      </c>
      <c r="U8689" t="s">
        <v>51907</v>
      </c>
      <c r="W8689" t="s">
        <v>41620</v>
      </c>
      <c r="X8689" t="s">
        <v>42680</v>
      </c>
    </row>
    <row r="8690" spans="1:24">
      <c r="A8690">
        <f>HYPERLINK("https://www.philgeps.gov.ph/GEPSNONPILOT/Tender/SplashBidNoticeAbstractUI.aspx?menuIndex=3&amp;refID=7180603&amp;Result=3","7180603")</f>
        <v>0</v>
      </c>
      <c r="B8690" t="s">
        <v>278</v>
      </c>
      <c r="C8690" t="s">
        <v>11833</v>
      </c>
      <c r="D8690" t="s">
        <v>17208</v>
      </c>
      <c r="E8690" t="s">
        <v>24729</v>
      </c>
      <c r="F8690" t="s">
        <v>29372</v>
      </c>
      <c r="G8690" t="s">
        <v>29380</v>
      </c>
      <c r="H8690" t="s">
        <v>29390</v>
      </c>
      <c r="I8690" t="s">
        <v>29440</v>
      </c>
      <c r="J8690" t="s">
        <v>35112</v>
      </c>
      <c r="K8690" t="s">
        <v>38485</v>
      </c>
      <c r="M8690" t="s">
        <v>39037</v>
      </c>
      <c r="N8690" t="s">
        <v>42669</v>
      </c>
      <c r="O8690" t="s">
        <v>42670</v>
      </c>
      <c r="P8690">
        <v>0</v>
      </c>
      <c r="Q8690">
        <v>4</v>
      </c>
      <c r="R8690" t="s">
        <v>42679</v>
      </c>
      <c r="S8690" t="s">
        <v>42923</v>
      </c>
      <c r="T8690" t="s">
        <v>44555</v>
      </c>
      <c r="U8690" t="s">
        <v>45465</v>
      </c>
      <c r="W8690" t="s">
        <v>58006</v>
      </c>
      <c r="X8690" t="s">
        <v>42680</v>
      </c>
    </row>
    <row r="8691" spans="1:24">
      <c r="A8691">
        <f>HYPERLINK("https://www.philgeps.gov.ph/GEPSNONPILOT/Tender/SplashBidNoticeAbstractUI.aspx?menuIndex=3&amp;refID=7180715&amp;Result=3","7180715")</f>
        <v>0</v>
      </c>
      <c r="B8691" t="s">
        <v>2647</v>
      </c>
      <c r="C8691" t="s">
        <v>11834</v>
      </c>
      <c r="E8691" t="s">
        <v>24730</v>
      </c>
      <c r="F8691" t="s">
        <v>29372</v>
      </c>
      <c r="G8691" t="s">
        <v>29380</v>
      </c>
      <c r="H8691" t="s">
        <v>11048</v>
      </c>
      <c r="I8691" t="s">
        <v>29458</v>
      </c>
      <c r="J8691" t="s">
        <v>35113</v>
      </c>
      <c r="K8691" t="s">
        <v>38490</v>
      </c>
      <c r="M8691" t="s">
        <v>41620</v>
      </c>
      <c r="N8691" t="s">
        <v>42669</v>
      </c>
      <c r="O8691" t="s">
        <v>42670</v>
      </c>
      <c r="Q8691">
        <v>9</v>
      </c>
      <c r="R8691" t="s">
        <v>42679</v>
      </c>
      <c r="S8691" t="s">
        <v>42956</v>
      </c>
      <c r="T8691" t="s">
        <v>44390</v>
      </c>
      <c r="U8691" t="s">
        <v>51907</v>
      </c>
      <c r="W8691" t="s">
        <v>41620</v>
      </c>
      <c r="X8691" t="s">
        <v>42680</v>
      </c>
    </row>
    <row r="8692" spans="1:24">
      <c r="A8692">
        <f>HYPERLINK("https://www.philgeps.gov.ph/GEPSNONPILOT/Tender/SplashBidNoticeAbstractUI.aspx?menuIndex=3&amp;refID=7180708&amp;Result=3","7180708")</f>
        <v>0</v>
      </c>
      <c r="B8692" t="s">
        <v>2649</v>
      </c>
      <c r="C8692" t="s">
        <v>11835</v>
      </c>
      <c r="D8692" t="s">
        <v>17209</v>
      </c>
      <c r="E8692" t="s">
        <v>19078</v>
      </c>
      <c r="F8692" t="s">
        <v>29372</v>
      </c>
      <c r="G8692" t="s">
        <v>29380</v>
      </c>
      <c r="H8692" t="s">
        <v>11048</v>
      </c>
      <c r="I8692" t="s">
        <v>3670</v>
      </c>
      <c r="J8692" t="s">
        <v>35114</v>
      </c>
      <c r="K8692" t="s">
        <v>38518</v>
      </c>
      <c r="M8692" t="s">
        <v>41622</v>
      </c>
      <c r="N8692" t="s">
        <v>42669</v>
      </c>
      <c r="O8692" t="s">
        <v>42670</v>
      </c>
      <c r="P8692">
        <v>0</v>
      </c>
      <c r="Q8692">
        <v>8</v>
      </c>
      <c r="R8692" t="s">
        <v>42679</v>
      </c>
      <c r="S8692" t="s">
        <v>42923</v>
      </c>
      <c r="T8692" t="s">
        <v>44432</v>
      </c>
      <c r="U8692" t="s">
        <v>47112</v>
      </c>
      <c r="W8692" t="s">
        <v>41622</v>
      </c>
      <c r="X8692" t="s">
        <v>42680</v>
      </c>
    </row>
    <row r="8693" spans="1:24">
      <c r="A8693">
        <f>HYPERLINK("https://www.philgeps.gov.ph/GEPSNONPILOT/Tender/SplashBidNoticeAbstractUI.aspx?menuIndex=3&amp;refID=7180697&amp;Result=3","7180697")</f>
        <v>0</v>
      </c>
      <c r="B8693" t="s">
        <v>2647</v>
      </c>
      <c r="C8693" t="s">
        <v>11836</v>
      </c>
      <c r="E8693" t="s">
        <v>24731</v>
      </c>
      <c r="F8693" t="s">
        <v>29372</v>
      </c>
      <c r="G8693" t="s">
        <v>29380</v>
      </c>
      <c r="H8693" t="s">
        <v>11048</v>
      </c>
      <c r="I8693" t="s">
        <v>3695</v>
      </c>
      <c r="J8693" t="s">
        <v>35115</v>
      </c>
      <c r="K8693" t="s">
        <v>38490</v>
      </c>
      <c r="M8693" t="s">
        <v>41620</v>
      </c>
      <c r="N8693" t="s">
        <v>42669</v>
      </c>
      <c r="O8693" t="s">
        <v>42670</v>
      </c>
      <c r="Q8693">
        <v>10</v>
      </c>
      <c r="R8693" t="s">
        <v>42679</v>
      </c>
      <c r="S8693" t="s">
        <v>42957</v>
      </c>
      <c r="T8693" t="s">
        <v>44390</v>
      </c>
      <c r="U8693" t="s">
        <v>51909</v>
      </c>
      <c r="W8693" t="s">
        <v>41620</v>
      </c>
      <c r="X8693" t="s">
        <v>42680</v>
      </c>
    </row>
    <row r="8694" spans="1:24">
      <c r="A8694">
        <f>HYPERLINK("https://www.philgeps.gov.ph/GEPSNONPILOT/Tender/SplashBidNoticeAbstractUI.aspx?menuIndex=3&amp;refID=7180722&amp;Result=3","7180722")</f>
        <v>0</v>
      </c>
      <c r="B8694" t="s">
        <v>2650</v>
      </c>
      <c r="C8694" t="s">
        <v>11837</v>
      </c>
      <c r="D8694" t="s">
        <v>17141</v>
      </c>
      <c r="E8694" t="s">
        <v>17434</v>
      </c>
      <c r="F8694" t="s">
        <v>29372</v>
      </c>
      <c r="G8694" t="s">
        <v>29380</v>
      </c>
      <c r="H8694" t="s">
        <v>29389</v>
      </c>
      <c r="I8694" t="s">
        <v>10408</v>
      </c>
      <c r="J8694" t="s">
        <v>35116</v>
      </c>
      <c r="K8694" t="s">
        <v>38485</v>
      </c>
      <c r="M8694" t="s">
        <v>41623</v>
      </c>
      <c r="N8694" t="s">
        <v>42669</v>
      </c>
      <c r="O8694" t="s">
        <v>42670</v>
      </c>
      <c r="P8694">
        <v>0</v>
      </c>
      <c r="Q8694">
        <v>3</v>
      </c>
      <c r="R8694" t="s">
        <v>42679</v>
      </c>
      <c r="S8694" t="s">
        <v>42923</v>
      </c>
      <c r="T8694" t="s">
        <v>44764</v>
      </c>
      <c r="U8694" t="s">
        <v>51910</v>
      </c>
      <c r="W8694" t="s">
        <v>41623</v>
      </c>
      <c r="X8694" t="s">
        <v>42680</v>
      </c>
    </row>
    <row r="8695" spans="1:24">
      <c r="A8695">
        <f>HYPERLINK("https://www.philgeps.gov.ph/GEPSNONPILOT/Tender/SplashBidNoticeAbstractUI.aspx?menuIndex=3&amp;refID=7180679&amp;Result=3","7180679")</f>
        <v>0</v>
      </c>
      <c r="B8695" t="s">
        <v>119</v>
      </c>
      <c r="C8695" t="s">
        <v>11838</v>
      </c>
      <c r="D8695" t="s">
        <v>17141</v>
      </c>
      <c r="E8695" t="s">
        <v>24732</v>
      </c>
      <c r="F8695" t="s">
        <v>29372</v>
      </c>
      <c r="G8695" t="s">
        <v>29380</v>
      </c>
      <c r="H8695" t="s">
        <v>11048</v>
      </c>
      <c r="I8695" t="s">
        <v>29417</v>
      </c>
      <c r="J8695" t="s">
        <v>35117</v>
      </c>
      <c r="K8695" t="s">
        <v>38496</v>
      </c>
      <c r="M8695" t="s">
        <v>41624</v>
      </c>
      <c r="N8695" t="s">
        <v>42669</v>
      </c>
      <c r="O8695" t="s">
        <v>42670</v>
      </c>
      <c r="P8695">
        <v>0</v>
      </c>
      <c r="Q8695">
        <v>15</v>
      </c>
      <c r="R8695" t="s">
        <v>42679</v>
      </c>
      <c r="S8695" t="s">
        <v>42923</v>
      </c>
      <c r="T8695" t="s">
        <v>44452</v>
      </c>
      <c r="U8695" t="s">
        <v>51911</v>
      </c>
      <c r="W8695" t="s">
        <v>41624</v>
      </c>
      <c r="X8695" t="s">
        <v>42680</v>
      </c>
    </row>
    <row r="8696" spans="1:24">
      <c r="A8696">
        <f>HYPERLINK("https://www.philgeps.gov.ph/GEPSNONPILOT/Tender/SplashBidNoticeAbstractUI.aspx?menuIndex=3&amp;refID=7180674&amp;Result=3","7180674")</f>
        <v>0</v>
      </c>
      <c r="B8696" t="s">
        <v>1087</v>
      </c>
      <c r="C8696" t="s">
        <v>11839</v>
      </c>
      <c r="E8696" t="s">
        <v>24733</v>
      </c>
      <c r="F8696" t="s">
        <v>29372</v>
      </c>
      <c r="G8696" t="s">
        <v>29380</v>
      </c>
      <c r="H8696" t="s">
        <v>11048</v>
      </c>
      <c r="I8696" t="s">
        <v>29417</v>
      </c>
      <c r="J8696" t="s">
        <v>29829</v>
      </c>
      <c r="K8696" t="s">
        <v>38490</v>
      </c>
      <c r="M8696" t="s">
        <v>41625</v>
      </c>
      <c r="N8696" t="s">
        <v>42669</v>
      </c>
      <c r="O8696" t="s">
        <v>42670</v>
      </c>
      <c r="P8696">
        <v>0</v>
      </c>
      <c r="Q8696">
        <v>10</v>
      </c>
      <c r="R8696" t="s">
        <v>42679</v>
      </c>
      <c r="S8696" t="s">
        <v>42923</v>
      </c>
      <c r="T8696" t="s">
        <v>44474</v>
      </c>
      <c r="U8696" t="s">
        <v>51912</v>
      </c>
      <c r="V8696" t="s">
        <v>57329</v>
      </c>
      <c r="W8696" t="s">
        <v>41625</v>
      </c>
      <c r="X8696" t="s">
        <v>42680</v>
      </c>
    </row>
    <row r="8697" spans="1:24">
      <c r="A8697">
        <f>HYPERLINK("https://www.philgeps.gov.ph/GEPSNONPILOT/Tender/SplashBidNoticeAbstractUI.aspx?menuIndex=3&amp;refID=7180667&amp;Result=3","7180667")</f>
        <v>0</v>
      </c>
      <c r="B8697" t="s">
        <v>1046</v>
      </c>
      <c r="C8697" t="s">
        <v>11840</v>
      </c>
      <c r="D8697" t="s">
        <v>17178</v>
      </c>
      <c r="E8697" t="s">
        <v>24734</v>
      </c>
      <c r="F8697" t="s">
        <v>29372</v>
      </c>
      <c r="G8697" t="s">
        <v>29380</v>
      </c>
      <c r="H8697" t="s">
        <v>11048</v>
      </c>
      <c r="I8697" t="s">
        <v>4709</v>
      </c>
      <c r="J8697" t="s">
        <v>35118</v>
      </c>
      <c r="K8697" t="s">
        <v>38496</v>
      </c>
      <c r="M8697" t="s">
        <v>39851</v>
      </c>
      <c r="N8697" t="s">
        <v>42669</v>
      </c>
      <c r="O8697" t="s">
        <v>42670</v>
      </c>
      <c r="P8697">
        <v>0</v>
      </c>
      <c r="Q8697">
        <v>0</v>
      </c>
      <c r="R8697" t="s">
        <v>42679</v>
      </c>
      <c r="S8697" t="s">
        <v>42923</v>
      </c>
      <c r="T8697" t="s">
        <v>44419</v>
      </c>
      <c r="U8697" t="s">
        <v>51905</v>
      </c>
      <c r="W8697" t="s">
        <v>39851</v>
      </c>
      <c r="X8697" t="s">
        <v>42680</v>
      </c>
    </row>
    <row r="8698" spans="1:24">
      <c r="A8698">
        <f>HYPERLINK("https://www.philgeps.gov.ph/GEPSNONPILOT/Tender/SplashBidNoticeAbstractUI.aspx?menuIndex=3&amp;refID=7180705&amp;Result=3","7180705")</f>
        <v>0</v>
      </c>
      <c r="B8698" t="s">
        <v>2651</v>
      </c>
      <c r="C8698" t="s">
        <v>11841</v>
      </c>
      <c r="D8698" t="s">
        <v>17177</v>
      </c>
      <c r="E8698" t="s">
        <v>24735</v>
      </c>
      <c r="F8698" t="s">
        <v>29372</v>
      </c>
      <c r="G8698" t="s">
        <v>29380</v>
      </c>
      <c r="H8698" t="s">
        <v>29389</v>
      </c>
      <c r="I8698" t="s">
        <v>10408</v>
      </c>
      <c r="J8698" t="s">
        <v>35119</v>
      </c>
      <c r="K8698" t="s">
        <v>38522</v>
      </c>
      <c r="M8698" t="s">
        <v>41626</v>
      </c>
      <c r="N8698" t="s">
        <v>42669</v>
      </c>
      <c r="O8698" t="s">
        <v>42670</v>
      </c>
      <c r="P8698">
        <v>0</v>
      </c>
      <c r="Q8698">
        <v>10</v>
      </c>
      <c r="R8698" t="s">
        <v>42679</v>
      </c>
      <c r="S8698" t="s">
        <v>42923</v>
      </c>
      <c r="T8698" t="s">
        <v>44419</v>
      </c>
      <c r="U8698" t="s">
        <v>51913</v>
      </c>
      <c r="V8698" t="s">
        <v>57330</v>
      </c>
      <c r="W8698" t="s">
        <v>41626</v>
      </c>
      <c r="X8698" t="s">
        <v>42680</v>
      </c>
    </row>
    <row r="8699" spans="1:24">
      <c r="A8699">
        <f>HYPERLINK("https://www.philgeps.gov.ph/GEPSNONPILOT/Tender/SplashBidNoticeAbstractUI.aspx?menuIndex=3&amp;refID=7180670&amp;Result=3","7180670")</f>
        <v>0</v>
      </c>
      <c r="B8699" t="s">
        <v>2652</v>
      </c>
      <c r="C8699" t="s">
        <v>11842</v>
      </c>
      <c r="D8699" t="s">
        <v>17166</v>
      </c>
      <c r="E8699" t="s">
        <v>17533</v>
      </c>
      <c r="F8699" t="s">
        <v>29372</v>
      </c>
      <c r="G8699" t="s">
        <v>29380</v>
      </c>
      <c r="H8699" t="s">
        <v>11048</v>
      </c>
      <c r="I8699" t="s">
        <v>3670</v>
      </c>
      <c r="J8699" t="s">
        <v>34342</v>
      </c>
      <c r="K8699" t="s">
        <v>38491</v>
      </c>
      <c r="M8699" t="s">
        <v>41627</v>
      </c>
      <c r="N8699" t="s">
        <v>42669</v>
      </c>
      <c r="O8699" t="s">
        <v>42670</v>
      </c>
      <c r="P8699">
        <v>0</v>
      </c>
      <c r="Q8699">
        <v>0</v>
      </c>
      <c r="R8699" t="s">
        <v>42679</v>
      </c>
      <c r="S8699" t="s">
        <v>42923</v>
      </c>
      <c r="T8699" t="s">
        <v>44765</v>
      </c>
      <c r="U8699" t="s">
        <v>51914</v>
      </c>
      <c r="W8699" t="s">
        <v>41627</v>
      </c>
      <c r="X8699" t="s">
        <v>42680</v>
      </c>
    </row>
    <row r="8700" spans="1:24">
      <c r="A8700">
        <f>HYPERLINK("https://www.philgeps.gov.ph/GEPSNONPILOT/Tender/SplashBidNoticeAbstractUI.aspx?menuIndex=3&amp;refID=7180693&amp;Result=3","7180693")</f>
        <v>0</v>
      </c>
      <c r="B8700" t="s">
        <v>2647</v>
      </c>
      <c r="C8700" t="s">
        <v>11843</v>
      </c>
      <c r="E8700" t="s">
        <v>24736</v>
      </c>
      <c r="F8700" t="s">
        <v>29372</v>
      </c>
      <c r="G8700" t="s">
        <v>29380</v>
      </c>
      <c r="H8700" t="s">
        <v>11048</v>
      </c>
      <c r="I8700" t="s">
        <v>3695</v>
      </c>
      <c r="J8700" t="s">
        <v>35120</v>
      </c>
      <c r="K8700" t="s">
        <v>38490</v>
      </c>
      <c r="M8700" t="s">
        <v>41620</v>
      </c>
      <c r="N8700" t="s">
        <v>42669</v>
      </c>
      <c r="O8700" t="s">
        <v>42670</v>
      </c>
      <c r="Q8700">
        <v>10</v>
      </c>
      <c r="R8700" t="s">
        <v>42679</v>
      </c>
      <c r="S8700" t="s">
        <v>42958</v>
      </c>
      <c r="T8700" t="s">
        <v>44390</v>
      </c>
      <c r="U8700" t="s">
        <v>51909</v>
      </c>
      <c r="W8700" t="s">
        <v>41620</v>
      </c>
      <c r="X8700" t="s">
        <v>42680</v>
      </c>
    </row>
    <row r="8701" spans="1:24">
      <c r="A8701">
        <f>HYPERLINK("https://www.philgeps.gov.ph/GEPSNONPILOT/Tender/SplashBidNoticeAbstractUI.aspx?menuIndex=3&amp;refID=7180793&amp;Result=3","7180793")</f>
        <v>0</v>
      </c>
      <c r="B8701" t="s">
        <v>2653</v>
      </c>
      <c r="C8701" t="s">
        <v>11844</v>
      </c>
      <c r="D8701" t="s">
        <v>17177</v>
      </c>
      <c r="E8701" t="s">
        <v>24737</v>
      </c>
      <c r="F8701" t="s">
        <v>29372</v>
      </c>
      <c r="G8701" t="s">
        <v>29380</v>
      </c>
      <c r="H8701" t="s">
        <v>29389</v>
      </c>
      <c r="I8701" t="s">
        <v>10408</v>
      </c>
      <c r="J8701" t="s">
        <v>29555</v>
      </c>
      <c r="K8701" t="s">
        <v>38487</v>
      </c>
      <c r="M8701" t="s">
        <v>41628</v>
      </c>
      <c r="N8701" t="s">
        <v>42669</v>
      </c>
      <c r="O8701" t="s">
        <v>42670</v>
      </c>
      <c r="P8701">
        <v>0</v>
      </c>
      <c r="Q8701">
        <v>0</v>
      </c>
      <c r="R8701" t="s">
        <v>42679</v>
      </c>
      <c r="S8701" t="s">
        <v>42923</v>
      </c>
      <c r="T8701" t="s">
        <v>44527</v>
      </c>
      <c r="U8701" t="s">
        <v>51915</v>
      </c>
      <c r="W8701" t="s">
        <v>41628</v>
      </c>
      <c r="X8701" t="s">
        <v>42680</v>
      </c>
    </row>
    <row r="8702" spans="1:24">
      <c r="A8702">
        <f>HYPERLINK("https://www.philgeps.gov.ph/GEPSNONPILOT/Tender/SplashBidNoticeAbstractUI.aspx?menuIndex=3&amp;refID=7180789&amp;Result=3","7180789")</f>
        <v>0</v>
      </c>
      <c r="B8702" t="s">
        <v>119</v>
      </c>
      <c r="C8702" t="s">
        <v>11845</v>
      </c>
      <c r="D8702" t="s">
        <v>17141</v>
      </c>
      <c r="E8702" t="s">
        <v>24738</v>
      </c>
      <c r="F8702" t="s">
        <v>29372</v>
      </c>
      <c r="G8702" t="s">
        <v>29380</v>
      </c>
      <c r="H8702" t="s">
        <v>11048</v>
      </c>
      <c r="I8702" t="s">
        <v>5383</v>
      </c>
      <c r="J8702" t="s">
        <v>35121</v>
      </c>
      <c r="K8702" t="s">
        <v>38490</v>
      </c>
      <c r="M8702" t="s">
        <v>39911</v>
      </c>
      <c r="N8702" t="s">
        <v>42669</v>
      </c>
      <c r="O8702" t="s">
        <v>42670</v>
      </c>
      <c r="P8702">
        <v>0</v>
      </c>
      <c r="Q8702">
        <v>16</v>
      </c>
      <c r="R8702" t="s">
        <v>42679</v>
      </c>
      <c r="S8702" t="s">
        <v>42923</v>
      </c>
      <c r="T8702" t="s">
        <v>44452</v>
      </c>
      <c r="U8702" t="s">
        <v>51916</v>
      </c>
      <c r="V8702" t="s">
        <v>57331</v>
      </c>
      <c r="W8702" t="s">
        <v>39911</v>
      </c>
      <c r="X8702" t="s">
        <v>42680</v>
      </c>
    </row>
    <row r="8703" spans="1:24">
      <c r="A8703">
        <f>HYPERLINK("https://www.philgeps.gov.ph/GEPSNONPILOT/Tender/SplashBidNoticeAbstractUI.aspx?menuIndex=3&amp;refID=7180702&amp;Result=3","7180702")</f>
        <v>0</v>
      </c>
      <c r="B8703" t="s">
        <v>338</v>
      </c>
      <c r="C8703" t="s">
        <v>11846</v>
      </c>
      <c r="D8703" t="s">
        <v>17141</v>
      </c>
      <c r="E8703" t="s">
        <v>24739</v>
      </c>
      <c r="F8703" t="s">
        <v>29372</v>
      </c>
      <c r="G8703" t="s">
        <v>29379</v>
      </c>
      <c r="H8703" t="s">
        <v>29390</v>
      </c>
      <c r="I8703" t="s">
        <v>29429</v>
      </c>
      <c r="J8703" t="s">
        <v>29543</v>
      </c>
      <c r="K8703" t="s">
        <v>38485</v>
      </c>
      <c r="M8703" t="s">
        <v>41629</v>
      </c>
      <c r="N8703" t="s">
        <v>42669</v>
      </c>
      <c r="O8703" t="s">
        <v>42670</v>
      </c>
      <c r="Q8703">
        <v>0</v>
      </c>
      <c r="R8703" t="s">
        <v>42679</v>
      </c>
      <c r="S8703" t="s">
        <v>42959</v>
      </c>
      <c r="T8703" t="s">
        <v>44427</v>
      </c>
      <c r="U8703" t="s">
        <v>51917</v>
      </c>
      <c r="W8703" t="s">
        <v>41629</v>
      </c>
      <c r="X8703" t="s">
        <v>42680</v>
      </c>
    </row>
    <row r="8704" spans="1:24">
      <c r="A8704">
        <f>HYPERLINK("https://www.philgeps.gov.ph/GEPSNONPILOT/Tender/SplashBidNoticeAbstractUI.aspx?menuIndex=3&amp;refID=7180786&amp;Result=3","7180786")</f>
        <v>0</v>
      </c>
      <c r="B8704" t="s">
        <v>2654</v>
      </c>
      <c r="C8704" t="s">
        <v>11847</v>
      </c>
      <c r="D8704" t="s">
        <v>17171</v>
      </c>
      <c r="E8704" t="s">
        <v>17994</v>
      </c>
      <c r="F8704" t="s">
        <v>29372</v>
      </c>
      <c r="G8704" t="s">
        <v>29380</v>
      </c>
      <c r="H8704" t="s">
        <v>11048</v>
      </c>
      <c r="I8704" t="s">
        <v>9469</v>
      </c>
      <c r="J8704" t="s">
        <v>29587</v>
      </c>
      <c r="K8704" t="s">
        <v>38491</v>
      </c>
      <c r="M8704" t="s">
        <v>41630</v>
      </c>
      <c r="N8704" t="s">
        <v>42669</v>
      </c>
      <c r="O8704" t="s">
        <v>42670</v>
      </c>
      <c r="P8704">
        <v>0</v>
      </c>
      <c r="Q8704">
        <v>0</v>
      </c>
      <c r="R8704" t="s">
        <v>42679</v>
      </c>
      <c r="S8704" t="s">
        <v>42923</v>
      </c>
      <c r="T8704" t="s">
        <v>44373</v>
      </c>
      <c r="U8704" t="s">
        <v>51918</v>
      </c>
      <c r="W8704" t="s">
        <v>41630</v>
      </c>
      <c r="X8704" t="s">
        <v>42680</v>
      </c>
    </row>
    <row r="8705" spans="1:24">
      <c r="A8705">
        <f>HYPERLINK("https://www.philgeps.gov.ph/GEPSNONPILOT/Tender/SplashBidNoticeAbstractUI.aspx?menuIndex=3&amp;refID=7180673&amp;Result=3","7180673")</f>
        <v>0</v>
      </c>
      <c r="B8705" t="s">
        <v>2655</v>
      </c>
      <c r="C8705" t="s">
        <v>11848</v>
      </c>
      <c r="D8705" t="s">
        <v>17185</v>
      </c>
      <c r="E8705" t="s">
        <v>24740</v>
      </c>
      <c r="F8705" t="s">
        <v>29372</v>
      </c>
      <c r="G8705" t="s">
        <v>29380</v>
      </c>
      <c r="H8705" t="s">
        <v>11048</v>
      </c>
      <c r="I8705" t="s">
        <v>5383</v>
      </c>
      <c r="J8705" t="s">
        <v>35122</v>
      </c>
      <c r="K8705" t="s">
        <v>38488</v>
      </c>
      <c r="M8705" t="s">
        <v>41631</v>
      </c>
      <c r="N8705" t="s">
        <v>42669</v>
      </c>
      <c r="O8705" t="s">
        <v>42670</v>
      </c>
      <c r="P8705">
        <v>0</v>
      </c>
      <c r="Q8705">
        <v>7</v>
      </c>
      <c r="R8705" t="s">
        <v>42679</v>
      </c>
      <c r="S8705" t="s">
        <v>42923</v>
      </c>
      <c r="T8705" t="s">
        <v>44474</v>
      </c>
      <c r="U8705" t="s">
        <v>51919</v>
      </c>
      <c r="W8705" t="s">
        <v>41631</v>
      </c>
      <c r="X8705" t="s">
        <v>42680</v>
      </c>
    </row>
    <row r="8706" spans="1:24">
      <c r="A8706">
        <f>HYPERLINK("https://www.philgeps.gov.ph/GEPSNONPILOT/Tender/SplashBidNoticeAbstractUI.aspx?menuIndex=3&amp;refID=7180787&amp;Result=3","7180787")</f>
        <v>0</v>
      </c>
      <c r="B8706" t="s">
        <v>365</v>
      </c>
      <c r="C8706" t="s">
        <v>11849</v>
      </c>
      <c r="D8706" t="s">
        <v>17143</v>
      </c>
      <c r="E8706" t="s">
        <v>24741</v>
      </c>
      <c r="F8706" t="s">
        <v>29372</v>
      </c>
      <c r="G8706" t="s">
        <v>29380</v>
      </c>
      <c r="H8706" t="s">
        <v>29389</v>
      </c>
      <c r="I8706" t="s">
        <v>10408</v>
      </c>
      <c r="J8706" t="s">
        <v>29829</v>
      </c>
      <c r="K8706" t="s">
        <v>38564</v>
      </c>
      <c r="M8706" t="s">
        <v>39125</v>
      </c>
      <c r="N8706" t="s">
        <v>42669</v>
      </c>
      <c r="O8706" t="s">
        <v>42670</v>
      </c>
      <c r="P8706">
        <v>0</v>
      </c>
      <c r="Q8706">
        <v>1</v>
      </c>
      <c r="R8706" t="s">
        <v>42679</v>
      </c>
      <c r="S8706" t="s">
        <v>42923</v>
      </c>
      <c r="T8706" t="s">
        <v>44452</v>
      </c>
      <c r="U8706" t="s">
        <v>51920</v>
      </c>
      <c r="W8706" t="s">
        <v>58092</v>
      </c>
      <c r="X8706" t="s">
        <v>42680</v>
      </c>
    </row>
    <row r="8707" spans="1:24">
      <c r="A8707">
        <f>HYPERLINK("https://www.philgeps.gov.ph/GEPSNONPILOT/Tender/SplashBidNoticeAbstractUI.aspx?menuIndex=3&amp;refID=7180783&amp;Result=3","7180783")</f>
        <v>0</v>
      </c>
      <c r="B8707" t="s">
        <v>365</v>
      </c>
      <c r="C8707" t="s">
        <v>11850</v>
      </c>
      <c r="D8707" t="s">
        <v>17143</v>
      </c>
      <c r="E8707" t="s">
        <v>24742</v>
      </c>
      <c r="F8707" t="s">
        <v>29372</v>
      </c>
      <c r="G8707" t="s">
        <v>29380</v>
      </c>
      <c r="H8707" t="s">
        <v>29389</v>
      </c>
      <c r="I8707" t="s">
        <v>10408</v>
      </c>
      <c r="J8707" t="s">
        <v>29829</v>
      </c>
      <c r="K8707" t="s">
        <v>38564</v>
      </c>
      <c r="M8707" t="s">
        <v>39125</v>
      </c>
      <c r="N8707" t="s">
        <v>42669</v>
      </c>
      <c r="O8707" t="s">
        <v>42670</v>
      </c>
      <c r="P8707">
        <v>0</v>
      </c>
      <c r="Q8707">
        <v>1</v>
      </c>
      <c r="R8707" t="s">
        <v>42679</v>
      </c>
      <c r="S8707" t="s">
        <v>42923</v>
      </c>
      <c r="T8707" t="s">
        <v>44452</v>
      </c>
      <c r="U8707" t="s">
        <v>51921</v>
      </c>
      <c r="W8707" t="s">
        <v>58092</v>
      </c>
      <c r="X8707" t="s">
        <v>42680</v>
      </c>
    </row>
    <row r="8708" spans="1:24">
      <c r="A8708">
        <f>HYPERLINK("https://www.philgeps.gov.ph/GEPSNONPILOT/Tender/SplashBidNoticeAbstractUI.aspx?menuIndex=3&amp;refID=7180792&amp;Result=3","7180792")</f>
        <v>0</v>
      </c>
      <c r="B8708" t="s">
        <v>365</v>
      </c>
      <c r="C8708" t="s">
        <v>11851</v>
      </c>
      <c r="D8708" t="s">
        <v>17143</v>
      </c>
      <c r="E8708" t="s">
        <v>24743</v>
      </c>
      <c r="F8708" t="s">
        <v>29372</v>
      </c>
      <c r="G8708" t="s">
        <v>29380</v>
      </c>
      <c r="H8708" t="s">
        <v>29389</v>
      </c>
      <c r="I8708" t="s">
        <v>10408</v>
      </c>
      <c r="J8708" t="s">
        <v>32431</v>
      </c>
      <c r="K8708" t="s">
        <v>38505</v>
      </c>
      <c r="M8708" t="s">
        <v>39125</v>
      </c>
      <c r="N8708" t="s">
        <v>42669</v>
      </c>
      <c r="O8708" t="s">
        <v>42670</v>
      </c>
      <c r="P8708">
        <v>0</v>
      </c>
      <c r="Q8708">
        <v>1</v>
      </c>
      <c r="R8708" t="s">
        <v>42679</v>
      </c>
      <c r="S8708" t="s">
        <v>42923</v>
      </c>
      <c r="T8708" t="s">
        <v>44452</v>
      </c>
      <c r="U8708" t="s">
        <v>51922</v>
      </c>
      <c r="W8708" t="s">
        <v>58092</v>
      </c>
      <c r="X8708" t="s">
        <v>42680</v>
      </c>
    </row>
    <row r="8709" spans="1:24">
      <c r="A8709">
        <f>HYPERLINK("https://www.philgeps.gov.ph/GEPSNONPILOT/Tender/SplashBidNoticeAbstractUI.aspx?menuIndex=3&amp;refID=7180781&amp;Result=3","7180781")</f>
        <v>0</v>
      </c>
      <c r="B8709" t="s">
        <v>2656</v>
      </c>
      <c r="C8709" t="s">
        <v>11852</v>
      </c>
      <c r="D8709" t="s">
        <v>17147</v>
      </c>
      <c r="E8709" t="s">
        <v>24744</v>
      </c>
      <c r="F8709" t="s">
        <v>29372</v>
      </c>
      <c r="G8709" t="s">
        <v>29380</v>
      </c>
      <c r="H8709" t="s">
        <v>29389</v>
      </c>
      <c r="I8709" t="s">
        <v>10408</v>
      </c>
      <c r="J8709" t="s">
        <v>29590</v>
      </c>
      <c r="K8709" t="s">
        <v>38503</v>
      </c>
      <c r="M8709" t="s">
        <v>41632</v>
      </c>
      <c r="N8709" t="s">
        <v>42669</v>
      </c>
      <c r="O8709" t="s">
        <v>42670</v>
      </c>
      <c r="P8709">
        <v>0</v>
      </c>
      <c r="Q8709">
        <v>0</v>
      </c>
      <c r="R8709" t="s">
        <v>42679</v>
      </c>
      <c r="S8709" t="s">
        <v>42923</v>
      </c>
      <c r="T8709" t="s">
        <v>44355</v>
      </c>
      <c r="U8709" t="s">
        <v>51923</v>
      </c>
      <c r="W8709" t="s">
        <v>41632</v>
      </c>
      <c r="X8709" t="s">
        <v>42680</v>
      </c>
    </row>
    <row r="8710" spans="1:24">
      <c r="A8710">
        <f>HYPERLINK("https://www.philgeps.gov.ph/GEPSNONPILOT/Tender/SplashBidNoticeAbstractUI.aspx?menuIndex=3&amp;refID=7180772&amp;Result=3","7180772")</f>
        <v>0</v>
      </c>
      <c r="B8710" t="s">
        <v>382</v>
      </c>
      <c r="C8710" t="s">
        <v>11853</v>
      </c>
      <c r="D8710" t="s">
        <v>17192</v>
      </c>
      <c r="E8710" t="s">
        <v>24745</v>
      </c>
      <c r="F8710" t="s">
        <v>29372</v>
      </c>
      <c r="G8710" t="s">
        <v>29380</v>
      </c>
      <c r="H8710" t="s">
        <v>29389</v>
      </c>
      <c r="I8710" t="s">
        <v>10408</v>
      </c>
      <c r="J8710" t="s">
        <v>32851</v>
      </c>
      <c r="K8710" t="s">
        <v>38522</v>
      </c>
      <c r="M8710" t="s">
        <v>41304</v>
      </c>
      <c r="N8710" t="s">
        <v>42669</v>
      </c>
      <c r="O8710" t="s">
        <v>42670</v>
      </c>
      <c r="P8710">
        <v>0</v>
      </c>
      <c r="Q8710">
        <v>1</v>
      </c>
      <c r="R8710" t="s">
        <v>42679</v>
      </c>
      <c r="S8710" t="s">
        <v>42923</v>
      </c>
      <c r="T8710" t="s">
        <v>44368</v>
      </c>
      <c r="U8710" t="s">
        <v>51924</v>
      </c>
      <c r="W8710" t="s">
        <v>41304</v>
      </c>
      <c r="X8710" t="s">
        <v>42680</v>
      </c>
    </row>
    <row r="8711" spans="1:24">
      <c r="A8711">
        <f>HYPERLINK("https://www.philgeps.gov.ph/GEPSNONPILOT/Tender/SplashBidNoticeAbstractUI.aspx?menuIndex=3&amp;refID=7180771&amp;Result=3","7180771")</f>
        <v>0</v>
      </c>
      <c r="B8711" t="s">
        <v>365</v>
      </c>
      <c r="C8711" t="s">
        <v>11854</v>
      </c>
      <c r="D8711" t="s">
        <v>17143</v>
      </c>
      <c r="E8711" t="s">
        <v>24746</v>
      </c>
      <c r="F8711" t="s">
        <v>29372</v>
      </c>
      <c r="G8711" t="s">
        <v>29380</v>
      </c>
      <c r="H8711" t="s">
        <v>29389</v>
      </c>
      <c r="I8711" t="s">
        <v>10408</v>
      </c>
      <c r="J8711" t="s">
        <v>31462</v>
      </c>
      <c r="K8711" t="s">
        <v>38533</v>
      </c>
      <c r="M8711" t="s">
        <v>39125</v>
      </c>
      <c r="N8711" t="s">
        <v>42669</v>
      </c>
      <c r="O8711" t="s">
        <v>42670</v>
      </c>
      <c r="P8711">
        <v>0</v>
      </c>
      <c r="Q8711">
        <v>3</v>
      </c>
      <c r="R8711" t="s">
        <v>42679</v>
      </c>
      <c r="S8711" t="s">
        <v>42923</v>
      </c>
      <c r="T8711" t="s">
        <v>44452</v>
      </c>
      <c r="U8711" t="s">
        <v>51925</v>
      </c>
      <c r="W8711" t="s">
        <v>58092</v>
      </c>
      <c r="X8711" t="s">
        <v>42680</v>
      </c>
    </row>
    <row r="8712" spans="1:24">
      <c r="A8712">
        <f>HYPERLINK("https://www.philgeps.gov.ph/GEPSNONPILOT/Tender/SplashBidNoticeAbstractUI.aspx?menuIndex=3&amp;refID=7180586&amp;Result=3","7180586")</f>
        <v>0</v>
      </c>
      <c r="B8712" t="s">
        <v>1885</v>
      </c>
      <c r="C8712" t="s">
        <v>11855</v>
      </c>
      <c r="D8712" t="s">
        <v>17189</v>
      </c>
      <c r="E8712" t="s">
        <v>24747</v>
      </c>
      <c r="F8712" t="s">
        <v>29372</v>
      </c>
      <c r="G8712" t="s">
        <v>29380</v>
      </c>
      <c r="H8712" t="s">
        <v>11048</v>
      </c>
      <c r="I8712" t="s">
        <v>29417</v>
      </c>
      <c r="J8712" t="s">
        <v>29587</v>
      </c>
      <c r="K8712" t="s">
        <v>38496</v>
      </c>
      <c r="M8712" t="s">
        <v>40758</v>
      </c>
      <c r="N8712" t="s">
        <v>42669</v>
      </c>
      <c r="O8712" t="s">
        <v>42670</v>
      </c>
      <c r="Q8712">
        <v>3</v>
      </c>
      <c r="R8712" t="s">
        <v>42679</v>
      </c>
      <c r="S8712" t="s">
        <v>42960</v>
      </c>
      <c r="T8712" t="s">
        <v>44472</v>
      </c>
      <c r="U8712" t="s">
        <v>51926</v>
      </c>
      <c r="V8712" t="s">
        <v>56961</v>
      </c>
      <c r="W8712" t="s">
        <v>40758</v>
      </c>
      <c r="X8712" t="s">
        <v>42680</v>
      </c>
    </row>
    <row r="8713" spans="1:24">
      <c r="A8713">
        <f>HYPERLINK("https://www.philgeps.gov.ph/GEPSNONPILOT/Tender/SplashBidNoticeAbstractUI.aspx?menuIndex=3&amp;refID=7180770&amp;Result=3","7180770")</f>
        <v>0</v>
      </c>
      <c r="B8713" t="s">
        <v>2656</v>
      </c>
      <c r="C8713" t="s">
        <v>10808</v>
      </c>
      <c r="D8713" t="s">
        <v>17147</v>
      </c>
      <c r="E8713" t="s">
        <v>24748</v>
      </c>
      <c r="F8713" t="s">
        <v>29372</v>
      </c>
      <c r="G8713" t="s">
        <v>29380</v>
      </c>
      <c r="H8713" t="s">
        <v>29389</v>
      </c>
      <c r="I8713" t="s">
        <v>10408</v>
      </c>
      <c r="J8713" t="s">
        <v>29587</v>
      </c>
      <c r="K8713" t="s">
        <v>38503</v>
      </c>
      <c r="M8713" t="s">
        <v>41632</v>
      </c>
      <c r="N8713" t="s">
        <v>42669</v>
      </c>
      <c r="O8713" t="s">
        <v>42670</v>
      </c>
      <c r="P8713">
        <v>0</v>
      </c>
      <c r="Q8713">
        <v>0</v>
      </c>
      <c r="R8713" t="s">
        <v>42679</v>
      </c>
      <c r="S8713" t="s">
        <v>42923</v>
      </c>
      <c r="T8713" t="s">
        <v>44355</v>
      </c>
      <c r="U8713" t="s">
        <v>51927</v>
      </c>
      <c r="W8713" t="s">
        <v>41632</v>
      </c>
      <c r="X8713" t="s">
        <v>42680</v>
      </c>
    </row>
    <row r="8714" spans="1:24">
      <c r="A8714">
        <f>HYPERLINK("https://www.philgeps.gov.ph/GEPSNONPILOT/Tender/SplashBidNoticeAbstractUI.aspx?menuIndex=3&amp;refID=7180746&amp;Result=3","7180746")</f>
        <v>0</v>
      </c>
      <c r="B8714" t="s">
        <v>365</v>
      </c>
      <c r="C8714" t="s">
        <v>11856</v>
      </c>
      <c r="D8714" t="s">
        <v>17143</v>
      </c>
      <c r="E8714" t="s">
        <v>24749</v>
      </c>
      <c r="F8714" t="s">
        <v>29372</v>
      </c>
      <c r="G8714" t="s">
        <v>29380</v>
      </c>
      <c r="H8714" t="s">
        <v>11048</v>
      </c>
      <c r="I8714" t="s">
        <v>8614</v>
      </c>
      <c r="J8714" t="s">
        <v>30244</v>
      </c>
      <c r="K8714" t="s">
        <v>38488</v>
      </c>
      <c r="M8714" t="s">
        <v>39125</v>
      </c>
      <c r="N8714" t="s">
        <v>42669</v>
      </c>
      <c r="O8714" t="s">
        <v>42670</v>
      </c>
      <c r="P8714">
        <v>0</v>
      </c>
      <c r="Q8714">
        <v>4</v>
      </c>
      <c r="R8714" t="s">
        <v>42679</v>
      </c>
      <c r="S8714" t="s">
        <v>42923</v>
      </c>
      <c r="T8714" t="s">
        <v>44662</v>
      </c>
      <c r="U8714" t="s">
        <v>51928</v>
      </c>
      <c r="W8714" t="s">
        <v>58010</v>
      </c>
      <c r="X8714" t="s">
        <v>42680</v>
      </c>
    </row>
    <row r="8715" spans="1:24">
      <c r="A8715">
        <f>HYPERLINK("https://www.philgeps.gov.ph/GEPSNONPILOT/Tender/SplashBidNoticeAbstractUI.aspx?menuIndex=3&amp;refID=7180745&amp;Result=3","7180745")</f>
        <v>0</v>
      </c>
      <c r="B8715" t="s">
        <v>365</v>
      </c>
      <c r="C8715" t="s">
        <v>11857</v>
      </c>
      <c r="D8715" t="s">
        <v>17143</v>
      </c>
      <c r="E8715" t="s">
        <v>24750</v>
      </c>
      <c r="F8715" t="s">
        <v>29372</v>
      </c>
      <c r="G8715" t="s">
        <v>29380</v>
      </c>
      <c r="H8715" t="s">
        <v>11048</v>
      </c>
      <c r="I8715" t="s">
        <v>29394</v>
      </c>
      <c r="J8715" t="s">
        <v>34435</v>
      </c>
      <c r="K8715" t="s">
        <v>38488</v>
      </c>
      <c r="M8715" t="s">
        <v>39125</v>
      </c>
      <c r="N8715" t="s">
        <v>42669</v>
      </c>
      <c r="O8715" t="s">
        <v>42670</v>
      </c>
      <c r="P8715">
        <v>0</v>
      </c>
      <c r="Q8715">
        <v>1</v>
      </c>
      <c r="R8715" t="s">
        <v>42679</v>
      </c>
      <c r="S8715" t="s">
        <v>42923</v>
      </c>
      <c r="T8715" t="s">
        <v>44662</v>
      </c>
      <c r="U8715" t="s">
        <v>51929</v>
      </c>
      <c r="W8715" t="s">
        <v>58010</v>
      </c>
      <c r="X8715" t="s">
        <v>42680</v>
      </c>
    </row>
    <row r="8716" spans="1:24">
      <c r="A8716">
        <f>HYPERLINK("https://www.philgeps.gov.ph/GEPSNONPILOT/Tender/SplashBidNoticeAbstractUI.aspx?menuIndex=3&amp;refID=7180741&amp;Result=3","7180741")</f>
        <v>0</v>
      </c>
      <c r="B8716" t="s">
        <v>365</v>
      </c>
      <c r="C8716" t="s">
        <v>11858</v>
      </c>
      <c r="D8716" t="s">
        <v>17143</v>
      </c>
      <c r="E8716" t="s">
        <v>24751</v>
      </c>
      <c r="F8716" t="s">
        <v>29372</v>
      </c>
      <c r="G8716" t="s">
        <v>29380</v>
      </c>
      <c r="H8716" t="s">
        <v>11048</v>
      </c>
      <c r="I8716" t="s">
        <v>29428</v>
      </c>
      <c r="J8716" t="s">
        <v>35123</v>
      </c>
      <c r="K8716" t="s">
        <v>38488</v>
      </c>
      <c r="M8716" t="s">
        <v>39125</v>
      </c>
      <c r="N8716" t="s">
        <v>42669</v>
      </c>
      <c r="O8716" t="s">
        <v>42670</v>
      </c>
      <c r="P8716">
        <v>0</v>
      </c>
      <c r="Q8716">
        <v>2</v>
      </c>
      <c r="R8716" t="s">
        <v>42679</v>
      </c>
      <c r="S8716" t="s">
        <v>42923</v>
      </c>
      <c r="T8716" t="s">
        <v>44662</v>
      </c>
      <c r="U8716" t="s">
        <v>51930</v>
      </c>
      <c r="W8716" t="s">
        <v>58010</v>
      </c>
      <c r="X8716" t="s">
        <v>42680</v>
      </c>
    </row>
    <row r="8717" spans="1:24">
      <c r="A8717">
        <f>HYPERLINK("https://www.philgeps.gov.ph/GEPSNONPILOT/Tender/SplashBidNoticeAbstractUI.aspx?menuIndex=3&amp;refID=7180733&amp;Result=3","7180733")</f>
        <v>0</v>
      </c>
      <c r="B8717" t="s">
        <v>2657</v>
      </c>
      <c r="C8717" t="s">
        <v>11859</v>
      </c>
      <c r="D8717" t="s">
        <v>17162</v>
      </c>
      <c r="E8717" t="s">
        <v>17540</v>
      </c>
      <c r="F8717" t="s">
        <v>29372</v>
      </c>
      <c r="G8717" t="s">
        <v>29380</v>
      </c>
      <c r="H8717" t="s">
        <v>11048</v>
      </c>
      <c r="I8717" t="s">
        <v>3670</v>
      </c>
      <c r="J8717" t="s">
        <v>35124</v>
      </c>
      <c r="K8717" t="s">
        <v>38518</v>
      </c>
      <c r="M8717" t="s">
        <v>41633</v>
      </c>
      <c r="N8717" t="s">
        <v>42669</v>
      </c>
      <c r="O8717" t="s">
        <v>42670</v>
      </c>
      <c r="P8717">
        <v>0</v>
      </c>
      <c r="Q8717">
        <v>10</v>
      </c>
      <c r="R8717" t="s">
        <v>42679</v>
      </c>
      <c r="S8717" t="s">
        <v>42923</v>
      </c>
      <c r="T8717" t="s">
        <v>44401</v>
      </c>
      <c r="U8717" t="s">
        <v>47112</v>
      </c>
      <c r="W8717" t="s">
        <v>41633</v>
      </c>
      <c r="X8717" t="s">
        <v>42680</v>
      </c>
    </row>
    <row r="8718" spans="1:24">
      <c r="A8718">
        <f>HYPERLINK("https://www.philgeps.gov.ph/GEPSNONPILOT/Tender/SplashBidNoticeAbstractUI.aspx?menuIndex=3&amp;refID=7180774&amp;Result=3","7180774")</f>
        <v>0</v>
      </c>
      <c r="B8718" t="s">
        <v>382</v>
      </c>
      <c r="C8718" t="s">
        <v>11860</v>
      </c>
      <c r="D8718" t="s">
        <v>17192</v>
      </c>
      <c r="E8718" t="s">
        <v>24752</v>
      </c>
      <c r="F8718" t="s">
        <v>29372</v>
      </c>
      <c r="G8718" t="s">
        <v>29380</v>
      </c>
      <c r="H8718" t="s">
        <v>29389</v>
      </c>
      <c r="I8718" t="s">
        <v>10408</v>
      </c>
      <c r="J8718" t="s">
        <v>32851</v>
      </c>
      <c r="K8718" t="s">
        <v>38522</v>
      </c>
      <c r="M8718" t="s">
        <v>41304</v>
      </c>
      <c r="N8718" t="s">
        <v>42669</v>
      </c>
      <c r="O8718" t="s">
        <v>42670</v>
      </c>
      <c r="P8718">
        <v>0</v>
      </c>
      <c r="Q8718">
        <v>1</v>
      </c>
      <c r="R8718" t="s">
        <v>42679</v>
      </c>
      <c r="S8718" t="s">
        <v>42923</v>
      </c>
      <c r="T8718" t="s">
        <v>44368</v>
      </c>
      <c r="U8718" t="s">
        <v>51931</v>
      </c>
      <c r="W8718" t="s">
        <v>41304</v>
      </c>
      <c r="X8718" t="s">
        <v>42680</v>
      </c>
    </row>
    <row r="8719" spans="1:24">
      <c r="A8719">
        <f>HYPERLINK("https://www.philgeps.gov.ph/GEPSNONPILOT/Tender/SplashBidNoticeAbstractUI.aspx?menuIndex=3&amp;refID=7177927&amp;Result=3","7177927")</f>
        <v>0</v>
      </c>
      <c r="B8719" t="s">
        <v>2658</v>
      </c>
      <c r="C8719" t="s">
        <v>11861</v>
      </c>
      <c r="D8719" t="s">
        <v>17162</v>
      </c>
      <c r="E8719" t="s">
        <v>18255</v>
      </c>
      <c r="F8719" t="s">
        <v>29372</v>
      </c>
      <c r="G8719" t="s">
        <v>29380</v>
      </c>
      <c r="H8719" t="s">
        <v>11048</v>
      </c>
      <c r="I8719" t="s">
        <v>9642</v>
      </c>
      <c r="J8719" t="s">
        <v>29595</v>
      </c>
      <c r="K8719" t="s">
        <v>38538</v>
      </c>
      <c r="M8719" t="s">
        <v>41634</v>
      </c>
      <c r="N8719" t="s">
        <v>42669</v>
      </c>
      <c r="O8719" t="s">
        <v>42670</v>
      </c>
      <c r="P8719">
        <v>0</v>
      </c>
      <c r="Q8719">
        <v>5</v>
      </c>
      <c r="R8719" t="s">
        <v>42680</v>
      </c>
      <c r="S8719" t="s">
        <v>42961</v>
      </c>
      <c r="T8719" t="s">
        <v>44488</v>
      </c>
      <c r="U8719" t="s">
        <v>51932</v>
      </c>
      <c r="W8719" t="s">
        <v>41634</v>
      </c>
      <c r="X8719" t="s">
        <v>42682</v>
      </c>
    </row>
    <row r="8720" spans="1:24">
      <c r="A8720">
        <f>HYPERLINK("https://www.philgeps.gov.ph/GEPSNONPILOT/Tender/SplashBidNoticeAbstractUI.aspx?menuIndex=3&amp;refID=7177909&amp;Result=3","7177909")</f>
        <v>0</v>
      </c>
      <c r="B8720" t="s">
        <v>2658</v>
      </c>
      <c r="C8720" t="s">
        <v>8003</v>
      </c>
      <c r="D8720" t="s">
        <v>17162</v>
      </c>
      <c r="E8720" t="s">
        <v>17947</v>
      </c>
      <c r="F8720" t="s">
        <v>29372</v>
      </c>
      <c r="G8720" t="s">
        <v>29380</v>
      </c>
      <c r="H8720" t="s">
        <v>11048</v>
      </c>
      <c r="I8720" t="s">
        <v>4709</v>
      </c>
      <c r="J8720" t="s">
        <v>35125</v>
      </c>
      <c r="K8720" t="s">
        <v>38538</v>
      </c>
      <c r="M8720" t="s">
        <v>41634</v>
      </c>
      <c r="N8720" t="s">
        <v>42669</v>
      </c>
      <c r="O8720" t="s">
        <v>42670</v>
      </c>
      <c r="P8720">
        <v>0</v>
      </c>
      <c r="Q8720">
        <v>4</v>
      </c>
      <c r="R8720" t="s">
        <v>42680</v>
      </c>
      <c r="S8720" t="s">
        <v>42961</v>
      </c>
      <c r="T8720" t="s">
        <v>44548</v>
      </c>
      <c r="U8720" t="s">
        <v>51933</v>
      </c>
      <c r="W8720" t="s">
        <v>41634</v>
      </c>
      <c r="X8720" t="s">
        <v>42682</v>
      </c>
    </row>
    <row r="8721" spans="1:24">
      <c r="A8721">
        <f>HYPERLINK("https://www.philgeps.gov.ph/GEPSNONPILOT/Tender/SplashBidNoticeAbstractUI.aspx?menuIndex=3&amp;refID=7177812&amp;Result=3","7177812")</f>
        <v>0</v>
      </c>
      <c r="B8721" t="s">
        <v>2658</v>
      </c>
      <c r="C8721" t="s">
        <v>11862</v>
      </c>
      <c r="D8721" t="s">
        <v>17162</v>
      </c>
      <c r="E8721" t="s">
        <v>17347</v>
      </c>
      <c r="F8721" t="s">
        <v>29372</v>
      </c>
      <c r="G8721" t="s">
        <v>29380</v>
      </c>
      <c r="H8721" t="s">
        <v>11048</v>
      </c>
      <c r="I8721" t="s">
        <v>4709</v>
      </c>
      <c r="J8721" t="s">
        <v>35126</v>
      </c>
      <c r="K8721" t="s">
        <v>38538</v>
      </c>
      <c r="M8721" t="s">
        <v>41634</v>
      </c>
      <c r="N8721" t="s">
        <v>42669</v>
      </c>
      <c r="O8721" t="s">
        <v>42670</v>
      </c>
      <c r="P8721">
        <v>0</v>
      </c>
      <c r="Q8721">
        <v>4</v>
      </c>
      <c r="R8721" t="s">
        <v>42680</v>
      </c>
      <c r="S8721" t="s">
        <v>42961</v>
      </c>
      <c r="T8721" t="s">
        <v>44432</v>
      </c>
      <c r="U8721" t="s">
        <v>51934</v>
      </c>
      <c r="W8721" t="s">
        <v>41634</v>
      </c>
      <c r="X8721" t="s">
        <v>42682</v>
      </c>
    </row>
    <row r="8722" spans="1:24">
      <c r="A8722">
        <f>HYPERLINK("https://www.philgeps.gov.ph/GEPSNONPILOT/Tender/SplashBidNoticeAbstractUI.aspx?menuIndex=3&amp;refID=7176336&amp;Result=3","7176336")</f>
        <v>0</v>
      </c>
      <c r="B8722" t="s">
        <v>2659</v>
      </c>
      <c r="C8722" t="s">
        <v>11863</v>
      </c>
      <c r="D8722" t="s">
        <v>17162</v>
      </c>
      <c r="E8722" t="s">
        <v>17347</v>
      </c>
      <c r="F8722" t="s">
        <v>29372</v>
      </c>
      <c r="G8722" t="s">
        <v>29380</v>
      </c>
      <c r="H8722" t="s">
        <v>11048</v>
      </c>
      <c r="I8722" t="s">
        <v>4709</v>
      </c>
      <c r="J8722" t="s">
        <v>29555</v>
      </c>
      <c r="K8722" t="s">
        <v>38538</v>
      </c>
      <c r="M8722" t="s">
        <v>41635</v>
      </c>
      <c r="N8722" t="s">
        <v>42669</v>
      </c>
      <c r="O8722" t="s">
        <v>42670</v>
      </c>
      <c r="P8722">
        <v>0</v>
      </c>
      <c r="Q8722">
        <v>3</v>
      </c>
      <c r="R8722" t="s">
        <v>42680</v>
      </c>
      <c r="S8722" t="s">
        <v>42961</v>
      </c>
      <c r="T8722" t="s">
        <v>44432</v>
      </c>
      <c r="U8722" t="s">
        <v>51935</v>
      </c>
      <c r="W8722" t="s">
        <v>41635</v>
      </c>
      <c r="X8722" t="s">
        <v>42683</v>
      </c>
    </row>
    <row r="8723" spans="1:24">
      <c r="A8723">
        <f>HYPERLINK("https://www.philgeps.gov.ph/GEPSNONPILOT/Tender/SplashBidNoticeAbstractUI.aspx?menuIndex=3&amp;refID=7176092&amp;Result=3","7176092")</f>
        <v>0</v>
      </c>
      <c r="B8723" t="s">
        <v>2660</v>
      </c>
      <c r="C8723" t="s">
        <v>11864</v>
      </c>
      <c r="D8723" t="s">
        <v>17148</v>
      </c>
      <c r="E8723" t="s">
        <v>17533</v>
      </c>
      <c r="F8723" t="s">
        <v>29372</v>
      </c>
      <c r="G8723" t="s">
        <v>29380</v>
      </c>
      <c r="H8723" t="s">
        <v>11048</v>
      </c>
      <c r="I8723" t="s">
        <v>4709</v>
      </c>
      <c r="J8723" t="s">
        <v>35127</v>
      </c>
      <c r="K8723" t="s">
        <v>38485</v>
      </c>
      <c r="M8723" t="s">
        <v>41636</v>
      </c>
      <c r="N8723" t="s">
        <v>42669</v>
      </c>
      <c r="O8723" t="s">
        <v>42670</v>
      </c>
      <c r="P8723">
        <v>0</v>
      </c>
      <c r="Q8723">
        <v>3</v>
      </c>
      <c r="R8723" t="s">
        <v>42680</v>
      </c>
      <c r="S8723" t="s">
        <v>42961</v>
      </c>
      <c r="T8723" t="s">
        <v>44455</v>
      </c>
      <c r="U8723" t="s">
        <v>51936</v>
      </c>
      <c r="W8723" t="s">
        <v>41636</v>
      </c>
      <c r="X8723" t="s">
        <v>42683</v>
      </c>
    </row>
    <row r="8724" spans="1:24">
      <c r="A8724">
        <f>HYPERLINK("https://www.philgeps.gov.ph/GEPSNONPILOT/Tender/SplashBidNoticeAbstractUI.aspx?menuIndex=3&amp;refID=7180553&amp;Result=3","7180553")</f>
        <v>0</v>
      </c>
      <c r="B8724" t="s">
        <v>2661</v>
      </c>
      <c r="C8724" t="s">
        <v>11865</v>
      </c>
      <c r="D8724" t="s">
        <v>17205</v>
      </c>
      <c r="E8724" t="s">
        <v>24753</v>
      </c>
      <c r="F8724" t="s">
        <v>29372</v>
      </c>
      <c r="G8724" t="s">
        <v>29380</v>
      </c>
      <c r="H8724" t="s">
        <v>11048</v>
      </c>
      <c r="I8724" t="s">
        <v>29395</v>
      </c>
      <c r="J8724" t="s">
        <v>35128</v>
      </c>
      <c r="K8724" t="s">
        <v>38485</v>
      </c>
      <c r="M8724" t="s">
        <v>41637</v>
      </c>
      <c r="N8724" t="s">
        <v>42669</v>
      </c>
      <c r="O8724" t="s">
        <v>42670</v>
      </c>
      <c r="P8724">
        <v>0</v>
      </c>
      <c r="Q8724">
        <v>3</v>
      </c>
      <c r="R8724" t="s">
        <v>42679</v>
      </c>
      <c r="S8724" t="s">
        <v>42923</v>
      </c>
      <c r="T8724" t="s">
        <v>44489</v>
      </c>
      <c r="U8724" t="s">
        <v>51937</v>
      </c>
      <c r="W8724" t="s">
        <v>41637</v>
      </c>
      <c r="X8724" t="s">
        <v>42680</v>
      </c>
    </row>
    <row r="8725" spans="1:24">
      <c r="A8725">
        <f>HYPERLINK("https://www.philgeps.gov.ph/GEPSNONPILOT/Tender/SplashBidNoticeAbstractUI.aspx?menuIndex=3&amp;refID=7180840&amp;Result=3","7180840")</f>
        <v>0</v>
      </c>
      <c r="B8725" t="s">
        <v>1085</v>
      </c>
      <c r="C8725" t="s">
        <v>11866</v>
      </c>
      <c r="E8725" t="s">
        <v>24754</v>
      </c>
      <c r="F8725" t="s">
        <v>29372</v>
      </c>
      <c r="G8725" t="s">
        <v>29379</v>
      </c>
      <c r="H8725" t="s">
        <v>11048</v>
      </c>
      <c r="I8725" t="s">
        <v>29485</v>
      </c>
      <c r="J8725" t="s">
        <v>35129</v>
      </c>
      <c r="K8725" t="s">
        <v>38490</v>
      </c>
      <c r="M8725" t="s">
        <v>39959</v>
      </c>
      <c r="N8725" t="s">
        <v>42669</v>
      </c>
      <c r="O8725" t="s">
        <v>42670</v>
      </c>
      <c r="Q8725">
        <v>1</v>
      </c>
      <c r="R8725" t="s">
        <v>42679</v>
      </c>
      <c r="S8725" t="s">
        <v>42962</v>
      </c>
      <c r="T8725" t="s">
        <v>44371</v>
      </c>
      <c r="U8725" t="s">
        <v>51938</v>
      </c>
      <c r="W8725" t="s">
        <v>39959</v>
      </c>
      <c r="X8725" t="s">
        <v>42680</v>
      </c>
    </row>
    <row r="8726" spans="1:24">
      <c r="A8726">
        <f>HYPERLINK("https://www.philgeps.gov.ph/GEPSNONPILOT/Tender/SplashBidNoticeAbstractUI.aspx?menuIndex=3&amp;refID=7180737&amp;Result=3","7180737")</f>
        <v>0</v>
      </c>
      <c r="B8726" t="s">
        <v>608</v>
      </c>
      <c r="C8726" t="s">
        <v>11867</v>
      </c>
      <c r="D8726" t="s">
        <v>17189</v>
      </c>
      <c r="E8726" t="s">
        <v>24755</v>
      </c>
      <c r="F8726" t="s">
        <v>29375</v>
      </c>
      <c r="G8726" t="s">
        <v>29380</v>
      </c>
      <c r="H8726" t="s">
        <v>29389</v>
      </c>
      <c r="I8726" t="s">
        <v>10408</v>
      </c>
      <c r="J8726" t="s">
        <v>35130</v>
      </c>
      <c r="K8726" t="s">
        <v>38485</v>
      </c>
      <c r="M8726" t="s">
        <v>41638</v>
      </c>
      <c r="N8726" t="s">
        <v>42669</v>
      </c>
      <c r="O8726" t="s">
        <v>42670</v>
      </c>
      <c r="P8726">
        <v>0</v>
      </c>
      <c r="Q8726">
        <v>4</v>
      </c>
      <c r="R8726" t="s">
        <v>42679</v>
      </c>
      <c r="S8726" t="s">
        <v>42923</v>
      </c>
      <c r="T8726" t="s">
        <v>44368</v>
      </c>
      <c r="U8726" t="s">
        <v>51939</v>
      </c>
      <c r="W8726" t="s">
        <v>41638</v>
      </c>
      <c r="X8726" t="s">
        <v>42680</v>
      </c>
    </row>
    <row r="8727" spans="1:24">
      <c r="A8727">
        <f>HYPERLINK("https://www.philgeps.gov.ph/GEPSNONPILOT/Tender/SplashBidNoticeAbstractUI.aspx?menuIndex=3&amp;refID=7180838&amp;Result=3","7180838")</f>
        <v>0</v>
      </c>
      <c r="B8727" t="s">
        <v>166</v>
      </c>
      <c r="C8727" t="s">
        <v>11868</v>
      </c>
      <c r="D8727" t="s">
        <v>17163</v>
      </c>
      <c r="E8727" t="s">
        <v>17533</v>
      </c>
      <c r="F8727" t="s">
        <v>29372</v>
      </c>
      <c r="G8727" t="s">
        <v>29379</v>
      </c>
      <c r="H8727" t="s">
        <v>29390</v>
      </c>
      <c r="I8727" t="s">
        <v>29409</v>
      </c>
      <c r="J8727" t="s">
        <v>30674</v>
      </c>
      <c r="K8727" t="s">
        <v>38528</v>
      </c>
      <c r="M8727" t="s">
        <v>38923</v>
      </c>
      <c r="N8727" t="s">
        <v>42669</v>
      </c>
      <c r="O8727" t="s">
        <v>42670</v>
      </c>
      <c r="P8727">
        <v>0</v>
      </c>
      <c r="Q8727">
        <v>2</v>
      </c>
      <c r="R8727" t="s">
        <v>42679</v>
      </c>
      <c r="S8727" t="s">
        <v>42923</v>
      </c>
      <c r="T8727" t="s">
        <v>44429</v>
      </c>
      <c r="U8727" t="s">
        <v>51940</v>
      </c>
      <c r="W8727" t="s">
        <v>38923</v>
      </c>
      <c r="X8727" t="s">
        <v>42680</v>
      </c>
    </row>
    <row r="8728" spans="1:24">
      <c r="A8728">
        <f>HYPERLINK("https://www.philgeps.gov.ph/GEPSNONPILOT/Tender/SplashBidNoticeAbstractUI.aspx?menuIndex=3&amp;refID=7180834&amp;Result=3","7180834")</f>
        <v>0</v>
      </c>
      <c r="B8728" t="s">
        <v>166</v>
      </c>
      <c r="C8728" t="s">
        <v>11869</v>
      </c>
      <c r="D8728" t="s">
        <v>17163</v>
      </c>
      <c r="E8728" t="s">
        <v>17533</v>
      </c>
      <c r="F8728" t="s">
        <v>29372</v>
      </c>
      <c r="G8728" t="s">
        <v>29379</v>
      </c>
      <c r="H8728" t="s">
        <v>29390</v>
      </c>
      <c r="I8728" t="s">
        <v>29409</v>
      </c>
      <c r="J8728" t="s">
        <v>29767</v>
      </c>
      <c r="K8728" t="s">
        <v>38528</v>
      </c>
      <c r="M8728" t="s">
        <v>38923</v>
      </c>
      <c r="N8728" t="s">
        <v>42669</v>
      </c>
      <c r="O8728" t="s">
        <v>42670</v>
      </c>
      <c r="P8728">
        <v>0</v>
      </c>
      <c r="Q8728">
        <v>2</v>
      </c>
      <c r="R8728" t="s">
        <v>42679</v>
      </c>
      <c r="S8728" t="s">
        <v>42923</v>
      </c>
      <c r="T8728" t="s">
        <v>44429</v>
      </c>
      <c r="U8728" t="s">
        <v>51941</v>
      </c>
      <c r="W8728" t="s">
        <v>38923</v>
      </c>
      <c r="X8728" t="s">
        <v>42680</v>
      </c>
    </row>
    <row r="8729" spans="1:24">
      <c r="A8729">
        <f>HYPERLINK("https://www.philgeps.gov.ph/GEPSNONPILOT/Tender/SplashBidNoticeAbstractUI.aspx?menuIndex=3&amp;refID=7180831&amp;Result=3","7180831")</f>
        <v>0</v>
      </c>
      <c r="B8729" t="s">
        <v>166</v>
      </c>
      <c r="C8729" t="s">
        <v>11870</v>
      </c>
      <c r="D8729" t="s">
        <v>17163</v>
      </c>
      <c r="E8729" t="s">
        <v>17533</v>
      </c>
      <c r="F8729" t="s">
        <v>29372</v>
      </c>
      <c r="G8729" t="s">
        <v>29379</v>
      </c>
      <c r="H8729" t="s">
        <v>29390</v>
      </c>
      <c r="I8729" t="s">
        <v>29409</v>
      </c>
      <c r="J8729" t="s">
        <v>30904</v>
      </c>
      <c r="K8729" t="s">
        <v>38528</v>
      </c>
      <c r="M8729" t="s">
        <v>38923</v>
      </c>
      <c r="N8729" t="s">
        <v>42669</v>
      </c>
      <c r="O8729" t="s">
        <v>42670</v>
      </c>
      <c r="P8729">
        <v>0</v>
      </c>
      <c r="Q8729">
        <v>2</v>
      </c>
      <c r="R8729" t="s">
        <v>42679</v>
      </c>
      <c r="S8729" t="s">
        <v>42923</v>
      </c>
      <c r="T8729" t="s">
        <v>44429</v>
      </c>
      <c r="U8729" t="s">
        <v>51942</v>
      </c>
      <c r="W8729" t="s">
        <v>38923</v>
      </c>
      <c r="X8729" t="s">
        <v>42680</v>
      </c>
    </row>
    <row r="8730" spans="1:24">
      <c r="A8730">
        <f>HYPERLINK("https://www.philgeps.gov.ph/GEPSNONPILOT/Tender/SplashBidNoticeAbstractUI.aspx?menuIndex=3&amp;refID=7180730&amp;Result=3","7180730")</f>
        <v>0</v>
      </c>
      <c r="B8730" t="s">
        <v>2268</v>
      </c>
      <c r="C8730" t="s">
        <v>11871</v>
      </c>
      <c r="D8730" t="s">
        <v>17155</v>
      </c>
      <c r="E8730" t="s">
        <v>24756</v>
      </c>
      <c r="F8730" t="s">
        <v>29372</v>
      </c>
      <c r="G8730" t="s">
        <v>29380</v>
      </c>
      <c r="H8730" t="s">
        <v>11048</v>
      </c>
      <c r="I8730" t="s">
        <v>29394</v>
      </c>
      <c r="J8730" t="s">
        <v>35131</v>
      </c>
      <c r="K8730" t="s">
        <v>38496</v>
      </c>
      <c r="M8730" t="s">
        <v>41190</v>
      </c>
      <c r="N8730" t="s">
        <v>42669</v>
      </c>
      <c r="O8730" t="s">
        <v>42670</v>
      </c>
      <c r="P8730">
        <v>0</v>
      </c>
      <c r="Q8730">
        <v>1</v>
      </c>
      <c r="R8730" t="s">
        <v>42679</v>
      </c>
      <c r="S8730" t="s">
        <v>42923</v>
      </c>
      <c r="T8730" t="s">
        <v>44446</v>
      </c>
      <c r="U8730" t="s">
        <v>51943</v>
      </c>
      <c r="W8730" t="s">
        <v>41190</v>
      </c>
      <c r="X8730" t="s">
        <v>42680</v>
      </c>
    </row>
    <row r="8731" spans="1:24">
      <c r="A8731">
        <f>HYPERLINK("https://www.philgeps.gov.ph/GEPSNONPILOT/Tender/SplashBidNoticeAbstractUI.aspx?menuIndex=3&amp;refID=7180820&amp;Result=3","7180820")</f>
        <v>0</v>
      </c>
      <c r="B8731" t="s">
        <v>2656</v>
      </c>
      <c r="C8731" t="s">
        <v>11872</v>
      </c>
      <c r="D8731" t="s">
        <v>17147</v>
      </c>
      <c r="E8731" t="s">
        <v>24757</v>
      </c>
      <c r="F8731" t="s">
        <v>29372</v>
      </c>
      <c r="G8731" t="s">
        <v>29380</v>
      </c>
      <c r="H8731" t="s">
        <v>29389</v>
      </c>
      <c r="I8731" t="s">
        <v>10408</v>
      </c>
      <c r="J8731" t="s">
        <v>29615</v>
      </c>
      <c r="K8731" t="s">
        <v>38522</v>
      </c>
      <c r="M8731" t="s">
        <v>41632</v>
      </c>
      <c r="N8731" t="s">
        <v>42669</v>
      </c>
      <c r="O8731" t="s">
        <v>42670</v>
      </c>
      <c r="P8731">
        <v>0</v>
      </c>
      <c r="Q8731">
        <v>0</v>
      </c>
      <c r="R8731" t="s">
        <v>42679</v>
      </c>
      <c r="S8731" t="s">
        <v>42923</v>
      </c>
      <c r="T8731" t="s">
        <v>44355</v>
      </c>
      <c r="U8731" t="s">
        <v>51944</v>
      </c>
      <c r="W8731" t="s">
        <v>41632</v>
      </c>
      <c r="X8731" t="s">
        <v>42680</v>
      </c>
    </row>
    <row r="8732" spans="1:24">
      <c r="A8732">
        <f>HYPERLINK("https://www.philgeps.gov.ph/GEPSNONPILOT/Tender/SplashBidNoticeAbstractUI.aspx?menuIndex=3&amp;refID=7180813&amp;Result=3","7180813")</f>
        <v>0</v>
      </c>
      <c r="B8732" t="s">
        <v>2662</v>
      </c>
      <c r="C8732" t="s">
        <v>5493</v>
      </c>
      <c r="D8732" t="s">
        <v>17169</v>
      </c>
      <c r="E8732" t="s">
        <v>17479</v>
      </c>
      <c r="F8732" t="s">
        <v>29372</v>
      </c>
      <c r="G8732" t="s">
        <v>29380</v>
      </c>
      <c r="H8732" t="s">
        <v>29389</v>
      </c>
      <c r="I8732" t="s">
        <v>10408</v>
      </c>
      <c r="J8732" t="s">
        <v>35132</v>
      </c>
      <c r="K8732" t="s">
        <v>38487</v>
      </c>
      <c r="M8732" t="s">
        <v>41639</v>
      </c>
      <c r="N8732" t="s">
        <v>42669</v>
      </c>
      <c r="O8732" t="s">
        <v>42670</v>
      </c>
      <c r="P8732">
        <v>0</v>
      </c>
      <c r="Q8732">
        <v>0</v>
      </c>
      <c r="R8732" t="s">
        <v>42679</v>
      </c>
      <c r="S8732" t="s">
        <v>42923</v>
      </c>
      <c r="T8732" t="s">
        <v>44490</v>
      </c>
      <c r="U8732" t="s">
        <v>51945</v>
      </c>
      <c r="W8732" t="s">
        <v>41639</v>
      </c>
      <c r="X8732" t="s">
        <v>42680</v>
      </c>
    </row>
    <row r="8733" spans="1:24">
      <c r="A8733">
        <f>HYPERLINK("https://www.philgeps.gov.ph/GEPSNONPILOT/Tender/SplashBidNoticeAbstractUI.aspx?menuIndex=3&amp;refID=7180742&amp;Result=3","7180742")</f>
        <v>0</v>
      </c>
      <c r="B8733" t="s">
        <v>2663</v>
      </c>
      <c r="C8733" t="s">
        <v>11873</v>
      </c>
      <c r="D8733" t="s">
        <v>17160</v>
      </c>
      <c r="E8733" t="s">
        <v>24758</v>
      </c>
      <c r="F8733" t="s">
        <v>29372</v>
      </c>
      <c r="G8733" t="s">
        <v>29380</v>
      </c>
      <c r="H8733" t="s">
        <v>11048</v>
      </c>
      <c r="I8733" t="s">
        <v>29407</v>
      </c>
      <c r="J8733" t="s">
        <v>35133</v>
      </c>
      <c r="K8733" t="s">
        <v>38485</v>
      </c>
      <c r="M8733" t="s">
        <v>41640</v>
      </c>
      <c r="N8733" t="s">
        <v>42669</v>
      </c>
      <c r="O8733" t="s">
        <v>42670</v>
      </c>
      <c r="P8733">
        <v>0</v>
      </c>
      <c r="Q8733">
        <v>8</v>
      </c>
      <c r="R8733" t="s">
        <v>42679</v>
      </c>
      <c r="S8733" t="s">
        <v>42923</v>
      </c>
      <c r="T8733" t="s">
        <v>44474</v>
      </c>
      <c r="U8733" t="s">
        <v>51946</v>
      </c>
      <c r="V8733" t="s">
        <v>47275</v>
      </c>
      <c r="W8733" t="s">
        <v>41640</v>
      </c>
      <c r="X8733" t="s">
        <v>42680</v>
      </c>
    </row>
    <row r="8734" spans="1:24">
      <c r="A8734">
        <f>HYPERLINK("https://www.philgeps.gov.ph/GEPSNONPILOT/Tender/SplashBidNoticeAbstractUI.aspx?menuIndex=3&amp;refID=7180819&amp;Result=3","7180819")</f>
        <v>0</v>
      </c>
      <c r="B8734" t="s">
        <v>2664</v>
      </c>
      <c r="C8734" t="s">
        <v>11874</v>
      </c>
      <c r="D8734" t="s">
        <v>17153</v>
      </c>
      <c r="E8734" t="s">
        <v>24759</v>
      </c>
      <c r="F8734" t="s">
        <v>29372</v>
      </c>
      <c r="G8734" t="s">
        <v>29380</v>
      </c>
      <c r="H8734" t="s">
        <v>29389</v>
      </c>
      <c r="I8734" t="s">
        <v>10408</v>
      </c>
      <c r="J8734" t="s">
        <v>29587</v>
      </c>
      <c r="K8734" t="s">
        <v>38537</v>
      </c>
      <c r="M8734" t="s">
        <v>41641</v>
      </c>
      <c r="N8734" t="s">
        <v>42669</v>
      </c>
      <c r="O8734" t="s">
        <v>42670</v>
      </c>
      <c r="P8734">
        <v>0</v>
      </c>
      <c r="Q8734">
        <v>0</v>
      </c>
      <c r="R8734" t="s">
        <v>42679</v>
      </c>
      <c r="S8734" t="s">
        <v>42923</v>
      </c>
      <c r="T8734" t="s">
        <v>44488</v>
      </c>
      <c r="U8734" t="s">
        <v>51947</v>
      </c>
      <c r="W8734" t="s">
        <v>41641</v>
      </c>
      <c r="X8734" t="s">
        <v>42680</v>
      </c>
    </row>
    <row r="8735" spans="1:24">
      <c r="A8735">
        <f>HYPERLINK("https://www.philgeps.gov.ph/GEPSNONPILOT/Tender/SplashBidNoticeAbstractUI.aspx?menuIndex=3&amp;refID=7180812&amp;Result=3","7180812")</f>
        <v>0</v>
      </c>
      <c r="B8735" t="s">
        <v>119</v>
      </c>
      <c r="C8735" t="s">
        <v>11875</v>
      </c>
      <c r="D8735" t="s">
        <v>17141</v>
      </c>
      <c r="E8735" t="s">
        <v>24760</v>
      </c>
      <c r="F8735" t="s">
        <v>29372</v>
      </c>
      <c r="G8735" t="s">
        <v>29380</v>
      </c>
      <c r="H8735" t="s">
        <v>11048</v>
      </c>
      <c r="I8735" t="s">
        <v>5383</v>
      </c>
      <c r="J8735" t="s">
        <v>35134</v>
      </c>
      <c r="K8735" t="s">
        <v>38490</v>
      </c>
      <c r="M8735" t="s">
        <v>39911</v>
      </c>
      <c r="N8735" t="s">
        <v>42669</v>
      </c>
      <c r="O8735" t="s">
        <v>42670</v>
      </c>
      <c r="P8735">
        <v>0</v>
      </c>
      <c r="Q8735">
        <v>16</v>
      </c>
      <c r="R8735" t="s">
        <v>42679</v>
      </c>
      <c r="S8735" t="s">
        <v>42923</v>
      </c>
      <c r="T8735" t="s">
        <v>44544</v>
      </c>
      <c r="U8735" t="s">
        <v>51948</v>
      </c>
      <c r="V8735" t="s">
        <v>57332</v>
      </c>
      <c r="W8735" t="s">
        <v>39911</v>
      </c>
      <c r="X8735" t="s">
        <v>42680</v>
      </c>
    </row>
    <row r="8736" spans="1:24">
      <c r="A8736">
        <f>HYPERLINK("https://www.philgeps.gov.ph/GEPSNONPILOT/Tender/SplashBidNoticeAbstractUI.aspx?menuIndex=3&amp;refID=7180802&amp;Result=3","7180802")</f>
        <v>0</v>
      </c>
      <c r="B8736" t="s">
        <v>2665</v>
      </c>
      <c r="C8736" t="s">
        <v>11876</v>
      </c>
      <c r="D8736" t="s">
        <v>17141</v>
      </c>
      <c r="E8736" t="s">
        <v>24761</v>
      </c>
      <c r="F8736" t="s">
        <v>29372</v>
      </c>
      <c r="G8736" t="s">
        <v>29380</v>
      </c>
      <c r="H8736" t="s">
        <v>11048</v>
      </c>
      <c r="I8736" t="s">
        <v>29393</v>
      </c>
      <c r="J8736" t="s">
        <v>35135</v>
      </c>
      <c r="K8736" t="s">
        <v>38546</v>
      </c>
      <c r="M8736" t="s">
        <v>41642</v>
      </c>
      <c r="N8736" t="s">
        <v>42669</v>
      </c>
      <c r="O8736" t="s">
        <v>42670</v>
      </c>
      <c r="P8736">
        <v>0</v>
      </c>
      <c r="Q8736">
        <v>2</v>
      </c>
      <c r="R8736" t="s">
        <v>42679</v>
      </c>
      <c r="S8736" t="s">
        <v>42923</v>
      </c>
      <c r="T8736" t="s">
        <v>44517</v>
      </c>
      <c r="U8736" t="s">
        <v>51949</v>
      </c>
      <c r="V8736" t="s">
        <v>56381</v>
      </c>
      <c r="W8736" t="s">
        <v>41642</v>
      </c>
      <c r="X8736" t="s">
        <v>42680</v>
      </c>
    </row>
    <row r="8737" spans="1:24">
      <c r="A8737">
        <f>HYPERLINK("https://www.philgeps.gov.ph/GEPSNONPILOT/Tender/SplashBidNoticeAbstractUI.aspx?menuIndex=3&amp;refID=7180808&amp;Result=3","7180808")</f>
        <v>0</v>
      </c>
      <c r="B8737" t="s">
        <v>2665</v>
      </c>
      <c r="C8737" t="s">
        <v>11877</v>
      </c>
      <c r="D8737" t="s">
        <v>17141</v>
      </c>
      <c r="E8737" t="s">
        <v>24762</v>
      </c>
      <c r="F8737" t="s">
        <v>29372</v>
      </c>
      <c r="G8737" t="s">
        <v>29380</v>
      </c>
      <c r="H8737" t="s">
        <v>11048</v>
      </c>
      <c r="I8737" t="s">
        <v>3629</v>
      </c>
      <c r="J8737" t="s">
        <v>35136</v>
      </c>
      <c r="K8737" t="s">
        <v>38496</v>
      </c>
      <c r="M8737" t="s">
        <v>41642</v>
      </c>
      <c r="N8737" t="s">
        <v>42669</v>
      </c>
      <c r="O8737" t="s">
        <v>42670</v>
      </c>
      <c r="P8737">
        <v>0</v>
      </c>
      <c r="Q8737">
        <v>12</v>
      </c>
      <c r="R8737" t="s">
        <v>42679</v>
      </c>
      <c r="S8737" t="s">
        <v>42923</v>
      </c>
      <c r="T8737" t="s">
        <v>44517</v>
      </c>
      <c r="U8737" t="s">
        <v>51950</v>
      </c>
      <c r="V8737" t="s">
        <v>56381</v>
      </c>
      <c r="W8737" t="s">
        <v>41642</v>
      </c>
      <c r="X8737" t="s">
        <v>42680</v>
      </c>
    </row>
    <row r="8738" spans="1:24">
      <c r="A8738">
        <f>HYPERLINK("https://www.philgeps.gov.ph/GEPSNONPILOT/Tender/SplashBidNoticeAbstractUI.aspx?menuIndex=3&amp;refID=7180833&amp;Result=3","7180833")</f>
        <v>0</v>
      </c>
      <c r="B8738" t="s">
        <v>166</v>
      </c>
      <c r="C8738" t="s">
        <v>11878</v>
      </c>
      <c r="D8738" t="s">
        <v>17163</v>
      </c>
      <c r="E8738" t="s">
        <v>17533</v>
      </c>
      <c r="F8738" t="s">
        <v>29372</v>
      </c>
      <c r="G8738" t="s">
        <v>29379</v>
      </c>
      <c r="H8738" t="s">
        <v>11048</v>
      </c>
      <c r="I8738" t="s">
        <v>29409</v>
      </c>
      <c r="J8738" t="s">
        <v>29619</v>
      </c>
      <c r="K8738" t="s">
        <v>38528</v>
      </c>
      <c r="M8738" t="s">
        <v>38923</v>
      </c>
      <c r="N8738" t="s">
        <v>42669</v>
      </c>
      <c r="O8738" t="s">
        <v>42670</v>
      </c>
      <c r="P8738">
        <v>0</v>
      </c>
      <c r="Q8738">
        <v>2</v>
      </c>
      <c r="R8738" t="s">
        <v>42679</v>
      </c>
      <c r="S8738" t="s">
        <v>42923</v>
      </c>
      <c r="T8738" t="s">
        <v>44429</v>
      </c>
      <c r="U8738" t="s">
        <v>51951</v>
      </c>
      <c r="W8738" t="s">
        <v>38923</v>
      </c>
      <c r="X8738" t="s">
        <v>42680</v>
      </c>
    </row>
    <row r="8739" spans="1:24">
      <c r="A8739">
        <f>HYPERLINK("https://www.philgeps.gov.ph/GEPSNONPILOT/Tender/SplashBidNoticeAbstractUI.aspx?menuIndex=3&amp;refID=7180830&amp;Result=3","7180830")</f>
        <v>0</v>
      </c>
      <c r="B8739" t="s">
        <v>166</v>
      </c>
      <c r="C8739" t="s">
        <v>11879</v>
      </c>
      <c r="D8739" t="s">
        <v>17163</v>
      </c>
      <c r="E8739" t="s">
        <v>17533</v>
      </c>
      <c r="F8739" t="s">
        <v>29372</v>
      </c>
      <c r="G8739" t="s">
        <v>29379</v>
      </c>
      <c r="H8739" t="s">
        <v>29390</v>
      </c>
      <c r="I8739" t="s">
        <v>29409</v>
      </c>
      <c r="J8739" t="s">
        <v>29694</v>
      </c>
      <c r="K8739" t="s">
        <v>38528</v>
      </c>
      <c r="M8739" t="s">
        <v>38923</v>
      </c>
      <c r="N8739" t="s">
        <v>42669</v>
      </c>
      <c r="O8739" t="s">
        <v>42670</v>
      </c>
      <c r="P8739">
        <v>0</v>
      </c>
      <c r="Q8739">
        <v>2</v>
      </c>
      <c r="R8739" t="s">
        <v>42679</v>
      </c>
      <c r="S8739" t="s">
        <v>42923</v>
      </c>
      <c r="T8739" t="s">
        <v>44429</v>
      </c>
      <c r="U8739" t="s">
        <v>51952</v>
      </c>
      <c r="W8739" t="s">
        <v>38923</v>
      </c>
      <c r="X8739" t="s">
        <v>42680</v>
      </c>
    </row>
    <row r="8740" spans="1:24">
      <c r="A8740">
        <f>HYPERLINK("https://www.philgeps.gov.ph/GEPSNONPILOT/Tender/SplashBidNoticeAbstractUI.aspx?menuIndex=3&amp;refID=7180724&amp;Result=3","7180724")</f>
        <v>0</v>
      </c>
      <c r="B8740" t="s">
        <v>2647</v>
      </c>
      <c r="C8740" t="s">
        <v>11880</v>
      </c>
      <c r="E8740" t="s">
        <v>24763</v>
      </c>
      <c r="F8740" t="s">
        <v>29372</v>
      </c>
      <c r="G8740" t="s">
        <v>29380</v>
      </c>
      <c r="H8740" t="s">
        <v>11048</v>
      </c>
      <c r="I8740" t="s">
        <v>29409</v>
      </c>
      <c r="J8740" t="s">
        <v>35137</v>
      </c>
      <c r="K8740" t="s">
        <v>38490</v>
      </c>
      <c r="M8740" t="s">
        <v>41620</v>
      </c>
      <c r="N8740" t="s">
        <v>42669</v>
      </c>
      <c r="O8740" t="s">
        <v>42670</v>
      </c>
      <c r="Q8740">
        <v>11</v>
      </c>
      <c r="R8740" t="s">
        <v>42679</v>
      </c>
      <c r="S8740" t="s">
        <v>42963</v>
      </c>
      <c r="T8740" t="s">
        <v>44390</v>
      </c>
      <c r="U8740" t="s">
        <v>51907</v>
      </c>
      <c r="W8740" t="s">
        <v>41620</v>
      </c>
      <c r="X8740" t="s">
        <v>42680</v>
      </c>
    </row>
    <row r="8741" spans="1:24">
      <c r="A8741">
        <f>HYPERLINK("https://www.philgeps.gov.ph/GEPSNONPILOT/Tender/SplashBidNoticeAbstractUI.aspx?menuIndex=3&amp;refID=7180663&amp;Result=3","7180663")</f>
        <v>0</v>
      </c>
      <c r="B8741" t="s">
        <v>1046</v>
      </c>
      <c r="C8741" t="s">
        <v>11881</v>
      </c>
      <c r="D8741" t="s">
        <v>17178</v>
      </c>
      <c r="E8741" t="s">
        <v>24764</v>
      </c>
      <c r="F8741" t="s">
        <v>29372</v>
      </c>
      <c r="G8741" t="s">
        <v>29380</v>
      </c>
      <c r="H8741" t="s">
        <v>11048</v>
      </c>
      <c r="I8741" t="s">
        <v>4709</v>
      </c>
      <c r="J8741" t="s">
        <v>35138</v>
      </c>
      <c r="K8741" t="s">
        <v>38485</v>
      </c>
      <c r="M8741" t="s">
        <v>39851</v>
      </c>
      <c r="N8741" t="s">
        <v>42669</v>
      </c>
      <c r="O8741" t="s">
        <v>42670</v>
      </c>
      <c r="P8741">
        <v>0</v>
      </c>
      <c r="Q8741">
        <v>2</v>
      </c>
      <c r="R8741" t="s">
        <v>42679</v>
      </c>
      <c r="S8741" t="s">
        <v>42923</v>
      </c>
      <c r="T8741" t="s">
        <v>44419</v>
      </c>
      <c r="U8741" t="s">
        <v>51905</v>
      </c>
      <c r="W8741" t="s">
        <v>39851</v>
      </c>
      <c r="X8741" t="s">
        <v>42680</v>
      </c>
    </row>
    <row r="8742" spans="1:24">
      <c r="A8742">
        <f>HYPERLINK("https://www.philgeps.gov.ph/GEPSNONPILOT/Tender/SplashBidNoticeAbstractUI.aspx?menuIndex=3&amp;refID=7180665&amp;Result=3","7180665")</f>
        <v>0</v>
      </c>
      <c r="B8742" t="s">
        <v>1046</v>
      </c>
      <c r="C8742" t="s">
        <v>11882</v>
      </c>
      <c r="D8742" t="s">
        <v>17178</v>
      </c>
      <c r="E8742" t="s">
        <v>24765</v>
      </c>
      <c r="F8742" t="s">
        <v>29372</v>
      </c>
      <c r="G8742" t="s">
        <v>29380</v>
      </c>
      <c r="H8742" t="s">
        <v>11048</v>
      </c>
      <c r="I8742" t="s">
        <v>9469</v>
      </c>
      <c r="J8742" t="s">
        <v>35139</v>
      </c>
      <c r="K8742" t="s">
        <v>38485</v>
      </c>
      <c r="M8742" t="s">
        <v>39851</v>
      </c>
      <c r="N8742" t="s">
        <v>42669</v>
      </c>
      <c r="O8742" t="s">
        <v>42670</v>
      </c>
      <c r="P8742">
        <v>0</v>
      </c>
      <c r="Q8742">
        <v>0</v>
      </c>
      <c r="R8742" t="s">
        <v>42679</v>
      </c>
      <c r="S8742" t="s">
        <v>42923</v>
      </c>
      <c r="T8742" t="s">
        <v>44419</v>
      </c>
      <c r="U8742" t="s">
        <v>51905</v>
      </c>
      <c r="W8742" t="s">
        <v>39851</v>
      </c>
      <c r="X8742" t="s">
        <v>42680</v>
      </c>
    </row>
    <row r="8743" spans="1:24">
      <c r="A8743">
        <f>HYPERLINK("https://www.philgeps.gov.ph/GEPSNONPILOT/Tender/SplashBidNoticeAbstractUI.aspx?menuIndex=3&amp;refID=7180776&amp;Result=3","7180776")</f>
        <v>0</v>
      </c>
      <c r="B8743" t="s">
        <v>382</v>
      </c>
      <c r="C8743" t="s">
        <v>11883</v>
      </c>
      <c r="D8743" t="s">
        <v>17192</v>
      </c>
      <c r="E8743" t="s">
        <v>24766</v>
      </c>
      <c r="F8743" t="s">
        <v>29372</v>
      </c>
      <c r="G8743" t="s">
        <v>29380</v>
      </c>
      <c r="H8743" t="s">
        <v>29389</v>
      </c>
      <c r="I8743" t="s">
        <v>10408</v>
      </c>
      <c r="J8743" t="s">
        <v>32851</v>
      </c>
      <c r="K8743" t="s">
        <v>38522</v>
      </c>
      <c r="M8743" t="s">
        <v>41304</v>
      </c>
      <c r="N8743" t="s">
        <v>42669</v>
      </c>
      <c r="O8743" t="s">
        <v>42670</v>
      </c>
      <c r="P8743">
        <v>0</v>
      </c>
      <c r="Q8743">
        <v>1</v>
      </c>
      <c r="R8743" t="s">
        <v>42679</v>
      </c>
      <c r="S8743" t="s">
        <v>42923</v>
      </c>
      <c r="T8743" t="s">
        <v>44368</v>
      </c>
      <c r="U8743" t="s">
        <v>51953</v>
      </c>
      <c r="W8743" t="s">
        <v>41304</v>
      </c>
      <c r="X8743" t="s">
        <v>42680</v>
      </c>
    </row>
    <row r="8744" spans="1:24">
      <c r="A8744">
        <f>HYPERLINK("https://www.philgeps.gov.ph/GEPSNONPILOT/Tender/SplashBidNoticeAbstractUI.aspx?menuIndex=3&amp;refID=7180021&amp;Result=3","7180021")</f>
        <v>0</v>
      </c>
      <c r="B8744" t="s">
        <v>180</v>
      </c>
      <c r="C8744" t="s">
        <v>11884</v>
      </c>
      <c r="D8744" t="s">
        <v>17154</v>
      </c>
      <c r="E8744" t="s">
        <v>24767</v>
      </c>
      <c r="F8744" t="s">
        <v>29372</v>
      </c>
      <c r="G8744" t="s">
        <v>29380</v>
      </c>
      <c r="H8744" t="s">
        <v>29389</v>
      </c>
      <c r="I8744" t="s">
        <v>10408</v>
      </c>
      <c r="J8744" t="s">
        <v>35140</v>
      </c>
      <c r="K8744" t="s">
        <v>38539</v>
      </c>
      <c r="M8744" t="s">
        <v>38937</v>
      </c>
      <c r="N8744" t="s">
        <v>42669</v>
      </c>
      <c r="O8744" t="s">
        <v>42670</v>
      </c>
      <c r="P8744">
        <v>0</v>
      </c>
      <c r="Q8744">
        <v>0</v>
      </c>
      <c r="R8744" t="s">
        <v>42679</v>
      </c>
      <c r="S8744" t="s">
        <v>42923</v>
      </c>
      <c r="T8744" t="s">
        <v>44547</v>
      </c>
      <c r="U8744" t="s">
        <v>51954</v>
      </c>
      <c r="W8744" t="s">
        <v>38937</v>
      </c>
      <c r="X8744" t="s">
        <v>42682</v>
      </c>
    </row>
    <row r="8745" spans="1:24">
      <c r="A8745">
        <f>HYPERLINK("https://www.philgeps.gov.ph/GEPSNONPILOT/Tender/SplashBidNoticeAbstractUI.aspx?menuIndex=3&amp;refID=7180136&amp;Result=3","7180136")</f>
        <v>0</v>
      </c>
      <c r="B8745" t="s">
        <v>957</v>
      </c>
      <c r="C8745" t="s">
        <v>11885</v>
      </c>
      <c r="D8745" t="s">
        <v>17143</v>
      </c>
      <c r="E8745" t="s">
        <v>24768</v>
      </c>
      <c r="F8745" t="s">
        <v>29372</v>
      </c>
      <c r="G8745" t="s">
        <v>29380</v>
      </c>
      <c r="H8745" t="s">
        <v>11048</v>
      </c>
      <c r="I8745" t="s">
        <v>29452</v>
      </c>
      <c r="J8745" t="s">
        <v>35141</v>
      </c>
      <c r="K8745" t="s">
        <v>38664</v>
      </c>
      <c r="L8745" t="s">
        <v>957</v>
      </c>
      <c r="M8745" t="s">
        <v>39753</v>
      </c>
      <c r="N8745" t="s">
        <v>42669</v>
      </c>
      <c r="O8745" t="s">
        <v>42670</v>
      </c>
      <c r="P8745">
        <v>0</v>
      </c>
      <c r="Q8745">
        <v>1</v>
      </c>
      <c r="R8745" t="s">
        <v>42680</v>
      </c>
      <c r="S8745" t="s">
        <v>42961</v>
      </c>
      <c r="T8745" t="s">
        <v>44401</v>
      </c>
      <c r="U8745" t="s">
        <v>51955</v>
      </c>
      <c r="W8745" t="s">
        <v>39753</v>
      </c>
      <c r="X8745" t="s">
        <v>42681</v>
      </c>
    </row>
    <row r="8746" spans="1:24">
      <c r="A8746">
        <f>HYPERLINK("https://www.philgeps.gov.ph/GEPSNONPILOT/Tender/SplashBidNoticeAbstractUI.aspx?menuIndex=3&amp;refID=7180664&amp;Result=3","7180664")</f>
        <v>0</v>
      </c>
      <c r="B8746" t="s">
        <v>1046</v>
      </c>
      <c r="C8746" t="s">
        <v>11886</v>
      </c>
      <c r="D8746" t="s">
        <v>17178</v>
      </c>
      <c r="E8746" t="s">
        <v>24769</v>
      </c>
      <c r="F8746" t="s">
        <v>29372</v>
      </c>
      <c r="G8746" t="s">
        <v>29380</v>
      </c>
      <c r="H8746" t="s">
        <v>11048</v>
      </c>
      <c r="I8746" t="s">
        <v>4709</v>
      </c>
      <c r="J8746" t="s">
        <v>35142</v>
      </c>
      <c r="K8746" t="s">
        <v>38485</v>
      </c>
      <c r="M8746" t="s">
        <v>39851</v>
      </c>
      <c r="N8746" t="s">
        <v>42669</v>
      </c>
      <c r="O8746" t="s">
        <v>42670</v>
      </c>
      <c r="P8746">
        <v>0</v>
      </c>
      <c r="Q8746">
        <v>1</v>
      </c>
      <c r="R8746" t="s">
        <v>42679</v>
      </c>
      <c r="S8746" t="s">
        <v>42923</v>
      </c>
      <c r="T8746" t="s">
        <v>44419</v>
      </c>
      <c r="U8746" t="s">
        <v>51905</v>
      </c>
      <c r="W8746" t="s">
        <v>39851</v>
      </c>
      <c r="X8746" t="s">
        <v>42680</v>
      </c>
    </row>
    <row r="8747" spans="1:24">
      <c r="A8747">
        <f>HYPERLINK("https://www.philgeps.gov.ph/GEPSNONPILOT/Tender/SplashBidNoticeAbstractUI.aspx?menuIndex=3&amp;refID=7179952&amp;Result=3","7179952")</f>
        <v>0</v>
      </c>
      <c r="B8747" t="s">
        <v>180</v>
      </c>
      <c r="C8747" t="s">
        <v>11887</v>
      </c>
      <c r="D8747" t="s">
        <v>17154</v>
      </c>
      <c r="E8747" t="s">
        <v>24770</v>
      </c>
      <c r="F8747" t="s">
        <v>29372</v>
      </c>
      <c r="G8747" t="s">
        <v>29380</v>
      </c>
      <c r="H8747" t="s">
        <v>29389</v>
      </c>
      <c r="I8747" t="s">
        <v>10408</v>
      </c>
      <c r="J8747" t="s">
        <v>35143</v>
      </c>
      <c r="K8747" t="s">
        <v>38541</v>
      </c>
      <c r="M8747" t="s">
        <v>38937</v>
      </c>
      <c r="N8747" t="s">
        <v>42669</v>
      </c>
      <c r="O8747" t="s">
        <v>42670</v>
      </c>
      <c r="P8747">
        <v>0</v>
      </c>
      <c r="Q8747">
        <v>0</v>
      </c>
      <c r="R8747" t="s">
        <v>42679</v>
      </c>
      <c r="S8747" t="s">
        <v>42923</v>
      </c>
      <c r="T8747" t="s">
        <v>44547</v>
      </c>
      <c r="U8747" t="s">
        <v>51956</v>
      </c>
      <c r="W8747" t="s">
        <v>38937</v>
      </c>
      <c r="X8747" t="s">
        <v>42682</v>
      </c>
    </row>
    <row r="8748" spans="1:24">
      <c r="A8748">
        <f>HYPERLINK("https://www.philgeps.gov.ph/GEPSNONPILOT/Tender/SplashBidNoticeAbstractUI.aspx?menuIndex=3&amp;refID=7180801&amp;Result=3","7180801")</f>
        <v>0</v>
      </c>
      <c r="B8748" t="s">
        <v>2656</v>
      </c>
      <c r="C8748" t="s">
        <v>11888</v>
      </c>
      <c r="D8748" t="s">
        <v>17147</v>
      </c>
      <c r="E8748" t="s">
        <v>24771</v>
      </c>
      <c r="F8748" t="s">
        <v>29372</v>
      </c>
      <c r="G8748" t="s">
        <v>29380</v>
      </c>
      <c r="H8748" t="s">
        <v>29389</v>
      </c>
      <c r="I8748" t="s">
        <v>10408</v>
      </c>
      <c r="J8748" t="s">
        <v>29590</v>
      </c>
      <c r="K8748" t="s">
        <v>38496</v>
      </c>
      <c r="M8748" t="s">
        <v>41632</v>
      </c>
      <c r="N8748" t="s">
        <v>42669</v>
      </c>
      <c r="O8748" t="s">
        <v>42670</v>
      </c>
      <c r="P8748">
        <v>0</v>
      </c>
      <c r="Q8748">
        <v>0</v>
      </c>
      <c r="R8748" t="s">
        <v>42679</v>
      </c>
      <c r="S8748" t="s">
        <v>42923</v>
      </c>
      <c r="T8748" t="s">
        <v>44355</v>
      </c>
      <c r="U8748" t="s">
        <v>51957</v>
      </c>
      <c r="W8748" t="s">
        <v>41632</v>
      </c>
      <c r="X8748" t="s">
        <v>42680</v>
      </c>
    </row>
    <row r="8749" spans="1:24">
      <c r="A8749">
        <f>HYPERLINK("https://www.philgeps.gov.ph/GEPSNONPILOT/Tender/SplashBidNoticeAbstractUI.aspx?menuIndex=3&amp;refID=7180799&amp;Result=3","7180799")</f>
        <v>0</v>
      </c>
      <c r="B8749" t="s">
        <v>365</v>
      </c>
      <c r="C8749" t="s">
        <v>11889</v>
      </c>
      <c r="D8749" t="s">
        <v>17143</v>
      </c>
      <c r="E8749" t="s">
        <v>24772</v>
      </c>
      <c r="F8749" t="s">
        <v>29372</v>
      </c>
      <c r="G8749" t="s">
        <v>29380</v>
      </c>
      <c r="H8749" t="s">
        <v>29389</v>
      </c>
      <c r="I8749" t="s">
        <v>10408</v>
      </c>
      <c r="J8749" t="s">
        <v>30244</v>
      </c>
      <c r="K8749" t="s">
        <v>38522</v>
      </c>
      <c r="M8749" t="s">
        <v>39125</v>
      </c>
      <c r="N8749" t="s">
        <v>42669</v>
      </c>
      <c r="O8749" t="s">
        <v>42670</v>
      </c>
      <c r="P8749">
        <v>0</v>
      </c>
      <c r="Q8749">
        <v>1</v>
      </c>
      <c r="R8749" t="s">
        <v>42679</v>
      </c>
      <c r="S8749" t="s">
        <v>42923</v>
      </c>
      <c r="T8749" t="s">
        <v>44452</v>
      </c>
      <c r="U8749" t="s">
        <v>51958</v>
      </c>
      <c r="W8749" t="s">
        <v>58092</v>
      </c>
      <c r="X8749" t="s">
        <v>42680</v>
      </c>
    </row>
    <row r="8750" spans="1:24">
      <c r="A8750">
        <f>HYPERLINK("https://www.philgeps.gov.ph/GEPSNONPILOT/Tender/SplashBidNoticeAbstractUI.aspx?menuIndex=3&amp;refID=7180806&amp;Result=3","7180806")</f>
        <v>0</v>
      </c>
      <c r="B8750" t="s">
        <v>2653</v>
      </c>
      <c r="C8750" t="s">
        <v>11890</v>
      </c>
      <c r="D8750" t="s">
        <v>17177</v>
      </c>
      <c r="E8750" t="s">
        <v>24773</v>
      </c>
      <c r="F8750" t="s">
        <v>29372</v>
      </c>
      <c r="G8750" t="s">
        <v>29380</v>
      </c>
      <c r="H8750" t="s">
        <v>29389</v>
      </c>
      <c r="I8750" t="s">
        <v>10408</v>
      </c>
      <c r="J8750" t="s">
        <v>29708</v>
      </c>
      <c r="K8750" t="s">
        <v>38495</v>
      </c>
      <c r="M8750" t="s">
        <v>41628</v>
      </c>
      <c r="N8750" t="s">
        <v>42669</v>
      </c>
      <c r="O8750" t="s">
        <v>42670</v>
      </c>
      <c r="P8750">
        <v>0</v>
      </c>
      <c r="Q8750">
        <v>0</v>
      </c>
      <c r="R8750" t="s">
        <v>42679</v>
      </c>
      <c r="S8750" t="s">
        <v>42923</v>
      </c>
      <c r="T8750" t="s">
        <v>44391</v>
      </c>
      <c r="U8750" t="s">
        <v>51959</v>
      </c>
      <c r="W8750" t="s">
        <v>41628</v>
      </c>
      <c r="X8750" t="s">
        <v>42680</v>
      </c>
    </row>
    <row r="8751" spans="1:24">
      <c r="A8751">
        <f>HYPERLINK("https://www.philgeps.gov.ph/GEPSNONPILOT/Tender/SplashBidNoticeAbstractUI.aspx?menuIndex=3&amp;refID=7179950&amp;Result=3","7179950")</f>
        <v>0</v>
      </c>
      <c r="B8751" t="s">
        <v>180</v>
      </c>
      <c r="C8751" t="s">
        <v>11891</v>
      </c>
      <c r="D8751" t="s">
        <v>17154</v>
      </c>
      <c r="E8751" t="s">
        <v>24774</v>
      </c>
      <c r="F8751" t="s">
        <v>29372</v>
      </c>
      <c r="G8751" t="s">
        <v>29380</v>
      </c>
      <c r="H8751" t="s">
        <v>29389</v>
      </c>
      <c r="I8751" t="s">
        <v>10408</v>
      </c>
      <c r="J8751" t="s">
        <v>35144</v>
      </c>
      <c r="K8751" t="s">
        <v>38543</v>
      </c>
      <c r="M8751" t="s">
        <v>38937</v>
      </c>
      <c r="N8751" t="s">
        <v>42669</v>
      </c>
      <c r="O8751" t="s">
        <v>42670</v>
      </c>
      <c r="P8751">
        <v>0</v>
      </c>
      <c r="Q8751">
        <v>0</v>
      </c>
      <c r="R8751" t="s">
        <v>42679</v>
      </c>
      <c r="S8751" t="s">
        <v>42923</v>
      </c>
      <c r="T8751" t="s">
        <v>44547</v>
      </c>
      <c r="U8751" t="s">
        <v>51960</v>
      </c>
      <c r="W8751" t="s">
        <v>38937</v>
      </c>
      <c r="X8751" t="s">
        <v>42682</v>
      </c>
    </row>
    <row r="8752" spans="1:24">
      <c r="A8752">
        <f>HYPERLINK("https://www.philgeps.gov.ph/GEPSNONPILOT/Tender/SplashBidNoticeAbstractUI.aspx?menuIndex=3&amp;refID=7180153&amp;Result=3","7180153")</f>
        <v>0</v>
      </c>
      <c r="B8752" t="s">
        <v>957</v>
      </c>
      <c r="C8752" t="s">
        <v>11892</v>
      </c>
      <c r="D8752" t="s">
        <v>17143</v>
      </c>
      <c r="E8752" t="s">
        <v>24775</v>
      </c>
      <c r="F8752" t="s">
        <v>29372</v>
      </c>
      <c r="G8752" t="s">
        <v>29380</v>
      </c>
      <c r="H8752" t="s">
        <v>11048</v>
      </c>
      <c r="I8752" t="s">
        <v>29452</v>
      </c>
      <c r="J8752" t="s">
        <v>35145</v>
      </c>
      <c r="K8752" t="s">
        <v>38664</v>
      </c>
      <c r="L8752" t="s">
        <v>957</v>
      </c>
      <c r="M8752" t="s">
        <v>39753</v>
      </c>
      <c r="N8752" t="s">
        <v>42669</v>
      </c>
      <c r="O8752" t="s">
        <v>42670</v>
      </c>
      <c r="P8752">
        <v>0</v>
      </c>
      <c r="Q8752">
        <v>1</v>
      </c>
      <c r="R8752" t="s">
        <v>42680</v>
      </c>
      <c r="S8752" t="s">
        <v>42961</v>
      </c>
      <c r="T8752" t="s">
        <v>44401</v>
      </c>
      <c r="U8752" t="s">
        <v>51961</v>
      </c>
      <c r="W8752" t="s">
        <v>39753</v>
      </c>
      <c r="X8752" t="s">
        <v>42681</v>
      </c>
    </row>
    <row r="8753" spans="1:24">
      <c r="A8753">
        <f>HYPERLINK("https://www.philgeps.gov.ph/GEPSNONPILOT/Tender/SplashBidNoticeAbstractUI.aspx?menuIndex=3&amp;refID=7180147&amp;Result=3","7180147")</f>
        <v>0</v>
      </c>
      <c r="B8753" t="s">
        <v>957</v>
      </c>
      <c r="C8753" t="s">
        <v>11893</v>
      </c>
      <c r="D8753" t="s">
        <v>17143</v>
      </c>
      <c r="E8753" t="s">
        <v>24776</v>
      </c>
      <c r="F8753" t="s">
        <v>29372</v>
      </c>
      <c r="G8753" t="s">
        <v>29380</v>
      </c>
      <c r="H8753" t="s">
        <v>11048</v>
      </c>
      <c r="I8753" t="s">
        <v>29452</v>
      </c>
      <c r="J8753" t="s">
        <v>35141</v>
      </c>
      <c r="K8753" t="s">
        <v>38664</v>
      </c>
      <c r="L8753" t="s">
        <v>957</v>
      </c>
      <c r="M8753" t="s">
        <v>39753</v>
      </c>
      <c r="N8753" t="s">
        <v>42669</v>
      </c>
      <c r="O8753" t="s">
        <v>42670</v>
      </c>
      <c r="P8753">
        <v>0</v>
      </c>
      <c r="Q8753">
        <v>0</v>
      </c>
      <c r="R8753" t="s">
        <v>42680</v>
      </c>
      <c r="S8753" t="s">
        <v>42961</v>
      </c>
      <c r="T8753" t="s">
        <v>44401</v>
      </c>
      <c r="U8753" t="s">
        <v>51955</v>
      </c>
      <c r="W8753" t="s">
        <v>39753</v>
      </c>
      <c r="X8753" t="s">
        <v>42681</v>
      </c>
    </row>
    <row r="8754" spans="1:24">
      <c r="A8754">
        <f>HYPERLINK("https://www.philgeps.gov.ph/GEPSNONPILOT/Tender/SplashBidNoticeAbstractUI.aspx?menuIndex=3&amp;refID=7180666&amp;Result=3","7180666")</f>
        <v>0</v>
      </c>
      <c r="B8754" t="s">
        <v>1087</v>
      </c>
      <c r="C8754" t="s">
        <v>11894</v>
      </c>
      <c r="E8754" t="s">
        <v>24777</v>
      </c>
      <c r="F8754" t="s">
        <v>29372</v>
      </c>
      <c r="G8754" t="s">
        <v>29380</v>
      </c>
      <c r="H8754" t="s">
        <v>11048</v>
      </c>
      <c r="I8754" t="s">
        <v>29415</v>
      </c>
      <c r="J8754" t="s">
        <v>30302</v>
      </c>
      <c r="K8754" t="s">
        <v>38485</v>
      </c>
      <c r="M8754" t="s">
        <v>41625</v>
      </c>
      <c r="N8754" t="s">
        <v>42669</v>
      </c>
      <c r="O8754" t="s">
        <v>42670</v>
      </c>
      <c r="P8754">
        <v>0</v>
      </c>
      <c r="Q8754">
        <v>1</v>
      </c>
      <c r="R8754" t="s">
        <v>42679</v>
      </c>
      <c r="S8754" t="s">
        <v>42923</v>
      </c>
      <c r="T8754" t="s">
        <v>44474</v>
      </c>
      <c r="U8754" t="s">
        <v>51962</v>
      </c>
      <c r="V8754" t="s">
        <v>57329</v>
      </c>
      <c r="W8754" t="s">
        <v>41625</v>
      </c>
      <c r="X8754" t="s">
        <v>42680</v>
      </c>
    </row>
    <row r="8755" spans="1:24">
      <c r="A8755">
        <f>HYPERLINK("https://www.philgeps.gov.ph/GEPSNONPILOT/Tender/SplashBidNoticeAbstractUI.aspx?menuIndex=3&amp;refID=7180144&amp;Result=3","7180144")</f>
        <v>0</v>
      </c>
      <c r="B8755" t="s">
        <v>957</v>
      </c>
      <c r="C8755" t="s">
        <v>11895</v>
      </c>
      <c r="D8755" t="s">
        <v>17143</v>
      </c>
      <c r="E8755" t="s">
        <v>24778</v>
      </c>
      <c r="F8755" t="s">
        <v>29372</v>
      </c>
      <c r="G8755" t="s">
        <v>29380</v>
      </c>
      <c r="H8755" t="s">
        <v>11048</v>
      </c>
      <c r="I8755" t="s">
        <v>29452</v>
      </c>
      <c r="J8755" t="s">
        <v>35141</v>
      </c>
      <c r="K8755" t="s">
        <v>38664</v>
      </c>
      <c r="L8755" t="s">
        <v>957</v>
      </c>
      <c r="M8755" t="s">
        <v>39753</v>
      </c>
      <c r="N8755" t="s">
        <v>42669</v>
      </c>
      <c r="O8755" t="s">
        <v>42670</v>
      </c>
      <c r="P8755">
        <v>0</v>
      </c>
      <c r="Q8755">
        <v>1</v>
      </c>
      <c r="R8755" t="s">
        <v>42680</v>
      </c>
      <c r="S8755" t="s">
        <v>42961</v>
      </c>
      <c r="T8755" t="s">
        <v>44401</v>
      </c>
      <c r="U8755" t="s">
        <v>51963</v>
      </c>
      <c r="W8755" t="s">
        <v>39753</v>
      </c>
      <c r="X8755" t="s">
        <v>42681</v>
      </c>
    </row>
    <row r="8756" spans="1:24">
      <c r="A8756">
        <f>HYPERLINK("https://www.philgeps.gov.ph/GEPSNONPILOT/Tender/SplashBidNoticeAbstractUI.aspx?menuIndex=3&amp;refID=7180143&amp;Result=3","7180143")</f>
        <v>0</v>
      </c>
      <c r="B8756" t="s">
        <v>957</v>
      </c>
      <c r="C8756" t="s">
        <v>11896</v>
      </c>
      <c r="D8756" t="s">
        <v>17143</v>
      </c>
      <c r="E8756" t="s">
        <v>24779</v>
      </c>
      <c r="F8756" t="s">
        <v>29372</v>
      </c>
      <c r="G8756" t="s">
        <v>29380</v>
      </c>
      <c r="H8756" t="s">
        <v>11048</v>
      </c>
      <c r="I8756" t="s">
        <v>10408</v>
      </c>
      <c r="J8756" t="s">
        <v>35141</v>
      </c>
      <c r="K8756" t="s">
        <v>38664</v>
      </c>
      <c r="L8756" t="s">
        <v>957</v>
      </c>
      <c r="M8756" t="s">
        <v>39753</v>
      </c>
      <c r="N8756" t="s">
        <v>42669</v>
      </c>
      <c r="O8756" t="s">
        <v>42670</v>
      </c>
      <c r="P8756">
        <v>0</v>
      </c>
      <c r="Q8756">
        <v>0</v>
      </c>
      <c r="R8756" t="s">
        <v>42680</v>
      </c>
      <c r="S8756" t="s">
        <v>42961</v>
      </c>
      <c r="T8756" t="s">
        <v>44401</v>
      </c>
      <c r="U8756" t="s">
        <v>51963</v>
      </c>
      <c r="W8756" t="s">
        <v>39753</v>
      </c>
      <c r="X8756" t="s">
        <v>42681</v>
      </c>
    </row>
    <row r="8757" spans="1:24">
      <c r="A8757">
        <f>HYPERLINK("https://www.philgeps.gov.ph/GEPSNONPILOT/Tender/SplashBidNoticeAbstractUI.aspx?menuIndex=3&amp;refID=7180141&amp;Result=3","7180141")</f>
        <v>0</v>
      </c>
      <c r="B8757" t="s">
        <v>957</v>
      </c>
      <c r="C8757" t="s">
        <v>11897</v>
      </c>
      <c r="D8757" t="s">
        <v>17143</v>
      </c>
      <c r="E8757" t="s">
        <v>24780</v>
      </c>
      <c r="F8757" t="s">
        <v>29372</v>
      </c>
      <c r="G8757" t="s">
        <v>29380</v>
      </c>
      <c r="H8757" t="s">
        <v>11048</v>
      </c>
      <c r="I8757" t="s">
        <v>29452</v>
      </c>
      <c r="J8757" t="s">
        <v>35141</v>
      </c>
      <c r="K8757" t="s">
        <v>38664</v>
      </c>
      <c r="L8757" t="s">
        <v>957</v>
      </c>
      <c r="M8757" t="s">
        <v>39753</v>
      </c>
      <c r="N8757" t="s">
        <v>42669</v>
      </c>
      <c r="O8757" t="s">
        <v>42670</v>
      </c>
      <c r="P8757">
        <v>0</v>
      </c>
      <c r="Q8757">
        <v>0</v>
      </c>
      <c r="R8757" t="s">
        <v>42680</v>
      </c>
      <c r="S8757" t="s">
        <v>42961</v>
      </c>
      <c r="T8757" t="s">
        <v>44401</v>
      </c>
      <c r="U8757" t="s">
        <v>51963</v>
      </c>
      <c r="W8757" t="s">
        <v>39753</v>
      </c>
      <c r="X8757" t="s">
        <v>42681</v>
      </c>
    </row>
    <row r="8758" spans="1:24">
      <c r="A8758">
        <f>HYPERLINK("https://www.philgeps.gov.ph/GEPSNONPILOT/Tender/SplashBidNoticeAbstractUI.aspx?menuIndex=3&amp;refID=7180127&amp;Result=3","7180127")</f>
        <v>0</v>
      </c>
      <c r="B8758" t="s">
        <v>2666</v>
      </c>
      <c r="C8758" t="s">
        <v>11898</v>
      </c>
      <c r="D8758" t="s">
        <v>17167</v>
      </c>
      <c r="E8758" t="s">
        <v>21187</v>
      </c>
      <c r="F8758" t="s">
        <v>29372</v>
      </c>
      <c r="G8758" t="s">
        <v>29380</v>
      </c>
      <c r="H8758" t="s">
        <v>11048</v>
      </c>
      <c r="I8758" t="s">
        <v>4709</v>
      </c>
      <c r="J8758" t="s">
        <v>35146</v>
      </c>
      <c r="K8758" t="s">
        <v>38489</v>
      </c>
      <c r="M8758" t="s">
        <v>41643</v>
      </c>
      <c r="N8758" t="s">
        <v>42669</v>
      </c>
      <c r="O8758" t="s">
        <v>42670</v>
      </c>
      <c r="P8758">
        <v>0</v>
      </c>
      <c r="Q8758">
        <v>0</v>
      </c>
      <c r="R8758" t="s">
        <v>42680</v>
      </c>
      <c r="S8758" t="s">
        <v>42961</v>
      </c>
      <c r="T8758" t="s">
        <v>44488</v>
      </c>
      <c r="U8758" t="s">
        <v>51964</v>
      </c>
      <c r="W8758" t="s">
        <v>41643</v>
      </c>
      <c r="X8758" t="s">
        <v>42681</v>
      </c>
    </row>
    <row r="8759" spans="1:24">
      <c r="A8759">
        <f>HYPERLINK("https://www.philgeps.gov.ph/GEPSNONPILOT/Tender/SplashBidNoticeAbstractUI.aspx?menuIndex=3&amp;refID=7180157&amp;Result=3","7180157")</f>
        <v>0</v>
      </c>
      <c r="B8759" t="s">
        <v>957</v>
      </c>
      <c r="C8759" t="s">
        <v>11899</v>
      </c>
      <c r="D8759" t="s">
        <v>17143</v>
      </c>
      <c r="E8759" t="s">
        <v>24781</v>
      </c>
      <c r="F8759" t="s">
        <v>29372</v>
      </c>
      <c r="G8759" t="s">
        <v>29380</v>
      </c>
      <c r="H8759" t="s">
        <v>11048</v>
      </c>
      <c r="I8759" t="s">
        <v>29452</v>
      </c>
      <c r="J8759" t="s">
        <v>35147</v>
      </c>
      <c r="K8759" t="s">
        <v>38664</v>
      </c>
      <c r="L8759" t="s">
        <v>957</v>
      </c>
      <c r="M8759" t="s">
        <v>39753</v>
      </c>
      <c r="N8759" t="s">
        <v>42669</v>
      </c>
      <c r="O8759" t="s">
        <v>42670</v>
      </c>
      <c r="P8759">
        <v>0</v>
      </c>
      <c r="Q8759">
        <v>1</v>
      </c>
      <c r="R8759" t="s">
        <v>42680</v>
      </c>
      <c r="S8759" t="s">
        <v>42961</v>
      </c>
      <c r="T8759" t="s">
        <v>44401</v>
      </c>
      <c r="U8759" t="s">
        <v>51963</v>
      </c>
      <c r="W8759" t="s">
        <v>39753</v>
      </c>
      <c r="X8759" t="s">
        <v>42681</v>
      </c>
    </row>
    <row r="8760" spans="1:24">
      <c r="A8760">
        <f>HYPERLINK("https://www.philgeps.gov.ph/GEPSNONPILOT/Tender/SplashBidNoticeAbstractUI.aspx?menuIndex=3&amp;refID=7180139&amp;Result=3","7180139")</f>
        <v>0</v>
      </c>
      <c r="B8760" t="s">
        <v>957</v>
      </c>
      <c r="C8760" t="s">
        <v>11900</v>
      </c>
      <c r="D8760" t="s">
        <v>17143</v>
      </c>
      <c r="E8760" t="s">
        <v>24782</v>
      </c>
      <c r="F8760" t="s">
        <v>29372</v>
      </c>
      <c r="G8760" t="s">
        <v>29380</v>
      </c>
      <c r="H8760" t="s">
        <v>11048</v>
      </c>
      <c r="I8760" t="s">
        <v>29452</v>
      </c>
      <c r="J8760" t="s">
        <v>35141</v>
      </c>
      <c r="K8760" t="s">
        <v>38664</v>
      </c>
      <c r="L8760" t="s">
        <v>957</v>
      </c>
      <c r="M8760" t="s">
        <v>39753</v>
      </c>
      <c r="N8760" t="s">
        <v>42669</v>
      </c>
      <c r="O8760" t="s">
        <v>42670</v>
      </c>
      <c r="P8760">
        <v>0</v>
      </c>
      <c r="Q8760">
        <v>1</v>
      </c>
      <c r="R8760" t="s">
        <v>42680</v>
      </c>
      <c r="S8760" t="s">
        <v>42961</v>
      </c>
      <c r="T8760" t="s">
        <v>44401</v>
      </c>
      <c r="U8760" t="s">
        <v>51963</v>
      </c>
      <c r="W8760" t="s">
        <v>39753</v>
      </c>
      <c r="X8760" t="s">
        <v>42681</v>
      </c>
    </row>
    <row r="8761" spans="1:24">
      <c r="A8761">
        <f>HYPERLINK("https://www.philgeps.gov.ph/GEPSNONPILOT/Tender/SplashBidNoticeAbstractUI.aspx?menuIndex=3&amp;refID=7180116&amp;Result=3","7180116")</f>
        <v>0</v>
      </c>
      <c r="B8761" t="s">
        <v>1723</v>
      </c>
      <c r="C8761" t="s">
        <v>11901</v>
      </c>
      <c r="D8761" t="s">
        <v>17194</v>
      </c>
      <c r="E8761" t="s">
        <v>24783</v>
      </c>
      <c r="F8761" t="s">
        <v>29372</v>
      </c>
      <c r="G8761" t="s">
        <v>29380</v>
      </c>
      <c r="H8761" t="s">
        <v>11048</v>
      </c>
      <c r="I8761" t="s">
        <v>4709</v>
      </c>
      <c r="J8761" t="s">
        <v>35148</v>
      </c>
      <c r="K8761" t="s">
        <v>38510</v>
      </c>
      <c r="M8761" t="s">
        <v>40587</v>
      </c>
      <c r="N8761" t="s">
        <v>42669</v>
      </c>
      <c r="O8761" t="s">
        <v>42670</v>
      </c>
      <c r="P8761">
        <v>0</v>
      </c>
      <c r="Q8761">
        <v>0</v>
      </c>
      <c r="R8761" t="s">
        <v>42680</v>
      </c>
      <c r="S8761" t="s">
        <v>42961</v>
      </c>
      <c r="T8761" t="s">
        <v>44432</v>
      </c>
      <c r="U8761" t="s">
        <v>51965</v>
      </c>
      <c r="V8761" t="s">
        <v>57333</v>
      </c>
      <c r="W8761" t="s">
        <v>40587</v>
      </c>
      <c r="X8761" t="s">
        <v>42681</v>
      </c>
    </row>
    <row r="8762" spans="1:24">
      <c r="A8762">
        <f>HYPERLINK("https://www.philgeps.gov.ph/GEPSNONPILOT/Tender/SplashBidNoticeAbstractUI.aspx?menuIndex=3&amp;refID=7180120&amp;Result=3","7180120")</f>
        <v>0</v>
      </c>
      <c r="B8762" t="s">
        <v>2667</v>
      </c>
      <c r="C8762" t="s">
        <v>11902</v>
      </c>
      <c r="D8762" t="s">
        <v>17169</v>
      </c>
      <c r="E8762" t="s">
        <v>24784</v>
      </c>
      <c r="F8762" t="s">
        <v>29372</v>
      </c>
      <c r="G8762" t="s">
        <v>29380</v>
      </c>
      <c r="H8762" t="s">
        <v>29389</v>
      </c>
      <c r="I8762" t="s">
        <v>10408</v>
      </c>
      <c r="J8762" t="s">
        <v>29526</v>
      </c>
      <c r="K8762" t="s">
        <v>38485</v>
      </c>
      <c r="M8762" t="s">
        <v>41644</v>
      </c>
      <c r="N8762" t="s">
        <v>42669</v>
      </c>
      <c r="O8762" t="s">
        <v>42670</v>
      </c>
      <c r="P8762">
        <v>0</v>
      </c>
      <c r="Q8762">
        <v>0</v>
      </c>
      <c r="R8762" t="s">
        <v>42680</v>
      </c>
      <c r="S8762" t="s">
        <v>42961</v>
      </c>
      <c r="T8762" t="s">
        <v>44419</v>
      </c>
      <c r="U8762" t="s">
        <v>51744</v>
      </c>
      <c r="V8762" t="s">
        <v>57334</v>
      </c>
      <c r="W8762" t="s">
        <v>41644</v>
      </c>
      <c r="X8762" t="s">
        <v>42681</v>
      </c>
    </row>
    <row r="8763" spans="1:24">
      <c r="A8763">
        <f>HYPERLINK("https://www.philgeps.gov.ph/GEPSNONPILOT/Tender/SplashBidNoticeAbstractUI.aspx?menuIndex=3&amp;refID=7180119&amp;Result=3","7180119")</f>
        <v>0</v>
      </c>
      <c r="B8763" t="s">
        <v>2667</v>
      </c>
      <c r="C8763" t="s">
        <v>11903</v>
      </c>
      <c r="D8763" t="s">
        <v>17169</v>
      </c>
      <c r="E8763" t="s">
        <v>24785</v>
      </c>
      <c r="F8763" t="s">
        <v>29372</v>
      </c>
      <c r="G8763" t="s">
        <v>29380</v>
      </c>
      <c r="H8763" t="s">
        <v>29389</v>
      </c>
      <c r="I8763" t="s">
        <v>10408</v>
      </c>
      <c r="J8763" t="s">
        <v>29587</v>
      </c>
      <c r="K8763" t="s">
        <v>38485</v>
      </c>
      <c r="M8763" t="s">
        <v>41644</v>
      </c>
      <c r="N8763" t="s">
        <v>42669</v>
      </c>
      <c r="O8763" t="s">
        <v>42670</v>
      </c>
      <c r="P8763">
        <v>0</v>
      </c>
      <c r="Q8763">
        <v>0</v>
      </c>
      <c r="R8763" t="s">
        <v>42680</v>
      </c>
      <c r="S8763" t="s">
        <v>42961</v>
      </c>
      <c r="T8763" t="s">
        <v>44419</v>
      </c>
      <c r="U8763" t="s">
        <v>51966</v>
      </c>
      <c r="V8763" t="s">
        <v>57335</v>
      </c>
      <c r="W8763" t="s">
        <v>41644</v>
      </c>
      <c r="X8763" t="s">
        <v>42681</v>
      </c>
    </row>
    <row r="8764" spans="1:24">
      <c r="A8764">
        <f>HYPERLINK("https://www.philgeps.gov.ph/GEPSNONPILOT/Tender/SplashBidNoticeAbstractUI.aspx?menuIndex=3&amp;refID=7180117&amp;Result=3","7180117")</f>
        <v>0</v>
      </c>
      <c r="B8764" t="s">
        <v>1723</v>
      </c>
      <c r="C8764" t="s">
        <v>11904</v>
      </c>
      <c r="D8764" t="s">
        <v>17194</v>
      </c>
      <c r="E8764" t="s">
        <v>24786</v>
      </c>
      <c r="F8764" t="s">
        <v>29372</v>
      </c>
      <c r="G8764" t="s">
        <v>29380</v>
      </c>
      <c r="H8764" t="s">
        <v>11048</v>
      </c>
      <c r="I8764" t="s">
        <v>4709</v>
      </c>
      <c r="J8764" t="s">
        <v>35149</v>
      </c>
      <c r="K8764" t="s">
        <v>38510</v>
      </c>
      <c r="M8764" t="s">
        <v>40587</v>
      </c>
      <c r="N8764" t="s">
        <v>42669</v>
      </c>
      <c r="O8764" t="s">
        <v>42670</v>
      </c>
      <c r="P8764">
        <v>0</v>
      </c>
      <c r="Q8764">
        <v>0</v>
      </c>
      <c r="R8764" t="s">
        <v>42680</v>
      </c>
      <c r="S8764" t="s">
        <v>42961</v>
      </c>
      <c r="T8764" t="s">
        <v>44432</v>
      </c>
      <c r="U8764" t="s">
        <v>51967</v>
      </c>
      <c r="V8764" t="s">
        <v>57336</v>
      </c>
      <c r="W8764" t="s">
        <v>40587</v>
      </c>
      <c r="X8764" t="s">
        <v>42681</v>
      </c>
    </row>
    <row r="8765" spans="1:24">
      <c r="A8765">
        <f>HYPERLINK("https://www.philgeps.gov.ph/GEPSNONPILOT/Tender/SplashBidNoticeAbstractUI.aspx?menuIndex=3&amp;refID=7179947&amp;Result=3","7179947")</f>
        <v>0</v>
      </c>
      <c r="B8765" t="s">
        <v>180</v>
      </c>
      <c r="C8765" t="s">
        <v>11905</v>
      </c>
      <c r="D8765" t="s">
        <v>17154</v>
      </c>
      <c r="E8765" t="s">
        <v>24787</v>
      </c>
      <c r="F8765" t="s">
        <v>29372</v>
      </c>
      <c r="G8765" t="s">
        <v>29380</v>
      </c>
      <c r="H8765" t="s">
        <v>29389</v>
      </c>
      <c r="I8765" t="s">
        <v>10408</v>
      </c>
      <c r="J8765" t="s">
        <v>35150</v>
      </c>
      <c r="K8765" t="s">
        <v>38543</v>
      </c>
      <c r="M8765" t="s">
        <v>38937</v>
      </c>
      <c r="N8765" t="s">
        <v>42669</v>
      </c>
      <c r="O8765" t="s">
        <v>42670</v>
      </c>
      <c r="P8765">
        <v>0</v>
      </c>
      <c r="Q8765">
        <v>0</v>
      </c>
      <c r="R8765" t="s">
        <v>42679</v>
      </c>
      <c r="S8765" t="s">
        <v>42923</v>
      </c>
      <c r="T8765" t="s">
        <v>44547</v>
      </c>
      <c r="U8765" t="s">
        <v>51968</v>
      </c>
      <c r="W8765" t="s">
        <v>38937</v>
      </c>
      <c r="X8765" t="s">
        <v>42682</v>
      </c>
    </row>
    <row r="8766" spans="1:24">
      <c r="A8766">
        <f>HYPERLINK("https://www.philgeps.gov.ph/GEPSNONPILOT/Tender/SplashBidNoticeAbstractUI.aspx?menuIndex=3&amp;refID=7180145&amp;Result=3","7180145")</f>
        <v>0</v>
      </c>
      <c r="B8766" t="s">
        <v>1034</v>
      </c>
      <c r="C8766" t="s">
        <v>11906</v>
      </c>
      <c r="D8766" t="s">
        <v>17199</v>
      </c>
      <c r="E8766" t="s">
        <v>24788</v>
      </c>
      <c r="F8766" t="s">
        <v>29372</v>
      </c>
      <c r="G8766" t="s">
        <v>29379</v>
      </c>
      <c r="H8766" t="s">
        <v>11048</v>
      </c>
      <c r="I8766" t="s">
        <v>29428</v>
      </c>
      <c r="J8766" t="s">
        <v>29526</v>
      </c>
      <c r="K8766" t="s">
        <v>38491</v>
      </c>
      <c r="M8766" t="s">
        <v>39837</v>
      </c>
      <c r="N8766" t="s">
        <v>42669</v>
      </c>
      <c r="O8766" t="s">
        <v>42670</v>
      </c>
      <c r="P8766">
        <v>0</v>
      </c>
      <c r="Q8766">
        <v>0</v>
      </c>
      <c r="R8766" t="s">
        <v>42680</v>
      </c>
      <c r="S8766" t="s">
        <v>42961</v>
      </c>
      <c r="T8766" t="s">
        <v>44401</v>
      </c>
      <c r="U8766" t="s">
        <v>51969</v>
      </c>
      <c r="W8766" t="s">
        <v>58033</v>
      </c>
      <c r="X8766" t="s">
        <v>42681</v>
      </c>
    </row>
    <row r="8767" spans="1:24">
      <c r="A8767">
        <f>HYPERLINK("https://www.philgeps.gov.ph/GEPSNONPILOT/Tender/SplashBidNoticeAbstractUI.aspx?menuIndex=3&amp;refID=7179941&amp;Result=3","7179941")</f>
        <v>0</v>
      </c>
      <c r="B8767" t="s">
        <v>180</v>
      </c>
      <c r="C8767" t="s">
        <v>11907</v>
      </c>
      <c r="D8767" t="s">
        <v>17154</v>
      </c>
      <c r="E8767" t="s">
        <v>24789</v>
      </c>
      <c r="F8767" t="s">
        <v>29372</v>
      </c>
      <c r="G8767" t="s">
        <v>29380</v>
      </c>
      <c r="H8767" t="s">
        <v>29389</v>
      </c>
      <c r="I8767" t="s">
        <v>10408</v>
      </c>
      <c r="J8767" t="s">
        <v>35151</v>
      </c>
      <c r="K8767" t="s">
        <v>38541</v>
      </c>
      <c r="M8767" t="s">
        <v>38937</v>
      </c>
      <c r="N8767" t="s">
        <v>42669</v>
      </c>
      <c r="O8767" t="s">
        <v>42670</v>
      </c>
      <c r="P8767">
        <v>0</v>
      </c>
      <c r="Q8767">
        <v>0</v>
      </c>
      <c r="R8767" t="s">
        <v>42679</v>
      </c>
      <c r="S8767" t="s">
        <v>42923</v>
      </c>
      <c r="T8767" t="s">
        <v>44547</v>
      </c>
      <c r="U8767" t="s">
        <v>51970</v>
      </c>
      <c r="W8767" t="s">
        <v>38937</v>
      </c>
      <c r="X8767" t="s">
        <v>42682</v>
      </c>
    </row>
    <row r="8768" spans="1:24">
      <c r="A8768">
        <f>HYPERLINK("https://www.philgeps.gov.ph/GEPSNONPILOT/Tender/SplashBidNoticeAbstractUI.aspx?menuIndex=3&amp;refID=7179860&amp;Result=3","7179860")</f>
        <v>0</v>
      </c>
      <c r="B8768" t="s">
        <v>2620</v>
      </c>
      <c r="C8768" t="s">
        <v>11908</v>
      </c>
      <c r="D8768" t="s">
        <v>17228</v>
      </c>
      <c r="E8768" t="s">
        <v>24790</v>
      </c>
      <c r="F8768" t="s">
        <v>29372</v>
      </c>
      <c r="G8768" t="s">
        <v>29380</v>
      </c>
      <c r="H8768" t="s">
        <v>11048</v>
      </c>
      <c r="I8768" t="s">
        <v>9469</v>
      </c>
      <c r="J8768" t="s">
        <v>29604</v>
      </c>
      <c r="K8768" t="s">
        <v>38496</v>
      </c>
      <c r="M8768" t="s">
        <v>41591</v>
      </c>
      <c r="N8768" t="s">
        <v>42669</v>
      </c>
      <c r="O8768" t="s">
        <v>42670</v>
      </c>
      <c r="P8768">
        <v>0</v>
      </c>
      <c r="Q8768">
        <v>0</v>
      </c>
      <c r="R8768" t="s">
        <v>42679</v>
      </c>
      <c r="S8768" t="s">
        <v>42923</v>
      </c>
      <c r="T8768" t="s">
        <v>44452</v>
      </c>
      <c r="U8768" t="s">
        <v>51971</v>
      </c>
      <c r="W8768" t="s">
        <v>41591</v>
      </c>
      <c r="X8768" t="s">
        <v>42682</v>
      </c>
    </row>
    <row r="8769" spans="1:24">
      <c r="A8769">
        <f>HYPERLINK("https://www.philgeps.gov.ph/GEPSNONPILOT/Tender/SplashBidNoticeAbstractUI.aspx?menuIndex=3&amp;refID=7179851&amp;Result=3","7179851")</f>
        <v>0</v>
      </c>
      <c r="B8769" t="s">
        <v>231</v>
      </c>
      <c r="C8769" t="s">
        <v>11909</v>
      </c>
      <c r="E8769" t="s">
        <v>24791</v>
      </c>
      <c r="F8769" t="s">
        <v>29372</v>
      </c>
      <c r="G8769" t="s">
        <v>29381</v>
      </c>
      <c r="H8769" t="s">
        <v>29389</v>
      </c>
      <c r="I8769" t="s">
        <v>10408</v>
      </c>
      <c r="J8769" t="s">
        <v>35152</v>
      </c>
      <c r="K8769" t="s">
        <v>38490</v>
      </c>
      <c r="M8769" t="s">
        <v>41645</v>
      </c>
      <c r="N8769" t="s">
        <v>42669</v>
      </c>
      <c r="O8769" t="s">
        <v>42670</v>
      </c>
      <c r="Q8769">
        <v>8</v>
      </c>
      <c r="R8769" t="s">
        <v>42679</v>
      </c>
      <c r="S8769" t="s">
        <v>42964</v>
      </c>
      <c r="T8769" t="s">
        <v>44452</v>
      </c>
      <c r="U8769" t="s">
        <v>51972</v>
      </c>
      <c r="W8769" t="s">
        <v>41645</v>
      </c>
      <c r="X8769" t="s">
        <v>42682</v>
      </c>
    </row>
    <row r="8770" spans="1:24">
      <c r="A8770">
        <f>HYPERLINK("https://www.philgeps.gov.ph/GEPSNONPILOT/Tender/SplashBidNoticeAbstractUI.aspx?menuIndex=3&amp;refID=7179825&amp;Result=3","7179825")</f>
        <v>0</v>
      </c>
      <c r="B8770" t="s">
        <v>2217</v>
      </c>
      <c r="C8770" t="s">
        <v>11910</v>
      </c>
      <c r="D8770" t="s">
        <v>17240</v>
      </c>
      <c r="E8770" t="s">
        <v>24792</v>
      </c>
      <c r="F8770" t="s">
        <v>29372</v>
      </c>
      <c r="G8770" t="s">
        <v>29380</v>
      </c>
      <c r="H8770" t="s">
        <v>11048</v>
      </c>
      <c r="I8770" t="s">
        <v>29404</v>
      </c>
      <c r="J8770" t="s">
        <v>29724</v>
      </c>
      <c r="K8770" t="s">
        <v>38495</v>
      </c>
      <c r="M8770" t="s">
        <v>41587</v>
      </c>
      <c r="N8770" t="s">
        <v>42669</v>
      </c>
      <c r="O8770" t="s">
        <v>42670</v>
      </c>
      <c r="P8770">
        <v>0</v>
      </c>
      <c r="Q8770">
        <v>0</v>
      </c>
      <c r="R8770" t="s">
        <v>42679</v>
      </c>
      <c r="S8770" t="s">
        <v>42923</v>
      </c>
      <c r="T8770" t="s">
        <v>44442</v>
      </c>
      <c r="U8770" t="s">
        <v>51973</v>
      </c>
      <c r="W8770" t="s">
        <v>41587</v>
      </c>
      <c r="X8770" t="s">
        <v>42682</v>
      </c>
    </row>
    <row r="8771" spans="1:24">
      <c r="A8771">
        <f>HYPERLINK("https://www.philgeps.gov.ph/GEPSNONPILOT/Tender/SplashBidNoticeAbstractUI.aspx?menuIndex=3&amp;refID=7179824&amp;Result=3","7179824")</f>
        <v>0</v>
      </c>
      <c r="B8771" t="s">
        <v>2635</v>
      </c>
      <c r="C8771" t="s">
        <v>11911</v>
      </c>
      <c r="D8771" t="s">
        <v>17181</v>
      </c>
      <c r="E8771" t="s">
        <v>24793</v>
      </c>
      <c r="F8771" t="s">
        <v>29372</v>
      </c>
      <c r="G8771" t="s">
        <v>29380</v>
      </c>
      <c r="H8771" t="s">
        <v>11048</v>
      </c>
      <c r="I8771" t="s">
        <v>4709</v>
      </c>
      <c r="J8771" t="s">
        <v>30186</v>
      </c>
      <c r="K8771" t="s">
        <v>38510</v>
      </c>
      <c r="M8771" t="s">
        <v>41607</v>
      </c>
      <c r="N8771" t="s">
        <v>42669</v>
      </c>
      <c r="O8771" t="s">
        <v>42670</v>
      </c>
      <c r="P8771">
        <v>0</v>
      </c>
      <c r="Q8771">
        <v>1</v>
      </c>
      <c r="R8771" t="s">
        <v>42679</v>
      </c>
      <c r="S8771" t="s">
        <v>42923</v>
      </c>
      <c r="T8771" t="s">
        <v>44355</v>
      </c>
      <c r="U8771" t="s">
        <v>51974</v>
      </c>
      <c r="V8771" t="s">
        <v>57324</v>
      </c>
      <c r="W8771" t="s">
        <v>41607</v>
      </c>
      <c r="X8771" t="s">
        <v>42682</v>
      </c>
    </row>
    <row r="8772" spans="1:24">
      <c r="A8772">
        <f>HYPERLINK("https://www.philgeps.gov.ph/GEPSNONPILOT/Tender/SplashBidNoticeAbstractUI.aspx?menuIndex=3&amp;refID=7179817&amp;Result=3","7179817")</f>
        <v>0</v>
      </c>
      <c r="B8772" t="s">
        <v>2217</v>
      </c>
      <c r="C8772" t="s">
        <v>11912</v>
      </c>
      <c r="D8772" t="s">
        <v>17168</v>
      </c>
      <c r="E8772" t="s">
        <v>24794</v>
      </c>
      <c r="F8772" t="s">
        <v>29372</v>
      </c>
      <c r="G8772" t="s">
        <v>29380</v>
      </c>
      <c r="H8772" t="s">
        <v>11048</v>
      </c>
      <c r="I8772" t="s">
        <v>29394</v>
      </c>
      <c r="J8772" t="s">
        <v>35153</v>
      </c>
      <c r="K8772" t="s">
        <v>38485</v>
      </c>
      <c r="M8772" t="s">
        <v>41587</v>
      </c>
      <c r="N8772" t="s">
        <v>42669</v>
      </c>
      <c r="O8772" t="s">
        <v>42670</v>
      </c>
      <c r="P8772">
        <v>0</v>
      </c>
      <c r="Q8772">
        <v>1</v>
      </c>
      <c r="R8772" t="s">
        <v>42679</v>
      </c>
      <c r="S8772" t="s">
        <v>42923</v>
      </c>
      <c r="T8772" t="s">
        <v>44442</v>
      </c>
      <c r="U8772" t="s">
        <v>51975</v>
      </c>
      <c r="W8772" t="s">
        <v>41587</v>
      </c>
      <c r="X8772" t="s">
        <v>42682</v>
      </c>
    </row>
    <row r="8773" spans="1:24">
      <c r="A8773">
        <f>HYPERLINK("https://www.philgeps.gov.ph/GEPSNONPILOT/Tender/SplashBidNoticeAbstractUI.aspx?menuIndex=3&amp;refID=7179693&amp;Result=3","7179693")</f>
        <v>0</v>
      </c>
      <c r="B8773" t="s">
        <v>2618</v>
      </c>
      <c r="C8773" t="s">
        <v>11913</v>
      </c>
      <c r="D8773" t="s">
        <v>17221</v>
      </c>
      <c r="E8773" t="s">
        <v>24795</v>
      </c>
      <c r="F8773" t="s">
        <v>29372</v>
      </c>
      <c r="G8773" t="s">
        <v>29380</v>
      </c>
      <c r="H8773" t="s">
        <v>29389</v>
      </c>
      <c r="I8773" t="s">
        <v>10408</v>
      </c>
      <c r="J8773" t="s">
        <v>29619</v>
      </c>
      <c r="K8773" t="s">
        <v>38605</v>
      </c>
      <c r="M8773" t="s">
        <v>41589</v>
      </c>
      <c r="N8773" t="s">
        <v>42669</v>
      </c>
      <c r="O8773" t="s">
        <v>42670</v>
      </c>
      <c r="P8773">
        <v>0</v>
      </c>
      <c r="Q8773">
        <v>0</v>
      </c>
      <c r="R8773" t="s">
        <v>42679</v>
      </c>
      <c r="S8773" t="s">
        <v>42923</v>
      </c>
      <c r="T8773" t="s">
        <v>44429</v>
      </c>
      <c r="U8773" t="s">
        <v>51976</v>
      </c>
      <c r="W8773" t="s">
        <v>41589</v>
      </c>
      <c r="X8773" t="s">
        <v>42682</v>
      </c>
    </row>
    <row r="8774" spans="1:24">
      <c r="A8774">
        <f>HYPERLINK("https://www.philgeps.gov.ph/GEPSNONPILOT/Tender/SplashBidNoticeAbstractUI.aspx?menuIndex=3&amp;refID=7178708&amp;Result=3","7178708")</f>
        <v>0</v>
      </c>
      <c r="B8774" t="s">
        <v>2668</v>
      </c>
      <c r="C8774" t="s">
        <v>8003</v>
      </c>
      <c r="D8774" t="s">
        <v>17162</v>
      </c>
      <c r="E8774" t="s">
        <v>17347</v>
      </c>
      <c r="F8774" t="s">
        <v>29372</v>
      </c>
      <c r="G8774" t="s">
        <v>29380</v>
      </c>
      <c r="H8774" t="s">
        <v>11048</v>
      </c>
      <c r="I8774" t="s">
        <v>4709</v>
      </c>
      <c r="J8774" t="s">
        <v>35154</v>
      </c>
      <c r="K8774" t="s">
        <v>38538</v>
      </c>
      <c r="M8774" t="s">
        <v>41646</v>
      </c>
      <c r="N8774" t="s">
        <v>42669</v>
      </c>
      <c r="O8774" t="s">
        <v>42670</v>
      </c>
      <c r="P8774">
        <v>0</v>
      </c>
      <c r="Q8774">
        <v>3</v>
      </c>
      <c r="R8774" t="s">
        <v>42680</v>
      </c>
      <c r="S8774" t="s">
        <v>42961</v>
      </c>
      <c r="T8774" t="s">
        <v>44432</v>
      </c>
      <c r="U8774" t="s">
        <v>51977</v>
      </c>
      <c r="W8774" t="s">
        <v>41646</v>
      </c>
      <c r="X8774" t="s">
        <v>42682</v>
      </c>
    </row>
    <row r="8775" spans="1:24">
      <c r="A8775">
        <f>HYPERLINK("https://www.philgeps.gov.ph/GEPSNONPILOT/Tender/SplashBidNoticeAbstractUI.aspx?menuIndex=3&amp;refID=7179686&amp;Result=3","7179686")</f>
        <v>0</v>
      </c>
      <c r="B8775" t="s">
        <v>2422</v>
      </c>
      <c r="C8775" t="s">
        <v>11914</v>
      </c>
      <c r="D8775" t="s">
        <v>17166</v>
      </c>
      <c r="E8775" t="s">
        <v>19197</v>
      </c>
      <c r="F8775" t="s">
        <v>29372</v>
      </c>
      <c r="G8775" t="s">
        <v>29380</v>
      </c>
      <c r="H8775" t="s">
        <v>11048</v>
      </c>
      <c r="I8775" t="s">
        <v>9469</v>
      </c>
      <c r="J8775" t="s">
        <v>35155</v>
      </c>
      <c r="K8775" t="s">
        <v>38485</v>
      </c>
      <c r="M8775" t="s">
        <v>41369</v>
      </c>
      <c r="N8775" t="s">
        <v>42669</v>
      </c>
      <c r="O8775" t="s">
        <v>42670</v>
      </c>
      <c r="P8775">
        <v>0</v>
      </c>
      <c r="Q8775">
        <v>13</v>
      </c>
      <c r="R8775" t="s">
        <v>42679</v>
      </c>
      <c r="S8775" t="s">
        <v>42923</v>
      </c>
      <c r="T8775" t="s">
        <v>44470</v>
      </c>
      <c r="U8775" t="s">
        <v>51978</v>
      </c>
      <c r="W8775" t="s">
        <v>41369</v>
      </c>
      <c r="X8775" t="s">
        <v>42682</v>
      </c>
    </row>
    <row r="8776" spans="1:24">
      <c r="A8776">
        <f>HYPERLINK("https://www.philgeps.gov.ph/GEPSNONPILOT/Tender/SplashBidNoticeAbstractUI.aspx?menuIndex=3&amp;refID=7180297&amp;Result=3","7180297")</f>
        <v>0</v>
      </c>
      <c r="B8776" t="s">
        <v>2669</v>
      </c>
      <c r="C8776" t="s">
        <v>11915</v>
      </c>
      <c r="D8776" t="s">
        <v>17148</v>
      </c>
      <c r="E8776" t="s">
        <v>17540</v>
      </c>
      <c r="F8776" t="s">
        <v>29372</v>
      </c>
      <c r="G8776" t="s">
        <v>29380</v>
      </c>
      <c r="H8776" t="s">
        <v>11048</v>
      </c>
      <c r="I8776" t="s">
        <v>4709</v>
      </c>
      <c r="J8776" t="s">
        <v>35156</v>
      </c>
      <c r="K8776" t="s">
        <v>38485</v>
      </c>
      <c r="M8776" t="s">
        <v>41647</v>
      </c>
      <c r="N8776" t="s">
        <v>42669</v>
      </c>
      <c r="O8776" t="s">
        <v>42670</v>
      </c>
      <c r="P8776">
        <v>0</v>
      </c>
      <c r="Q8776">
        <v>1</v>
      </c>
      <c r="R8776" t="s">
        <v>42680</v>
      </c>
      <c r="S8776" t="s">
        <v>42961</v>
      </c>
      <c r="T8776" t="s">
        <v>44721</v>
      </c>
      <c r="U8776" t="s">
        <v>51979</v>
      </c>
      <c r="W8776" t="s">
        <v>41647</v>
      </c>
      <c r="X8776" t="s">
        <v>42681</v>
      </c>
    </row>
    <row r="8777" spans="1:24">
      <c r="A8777">
        <f>HYPERLINK("https://www.philgeps.gov.ph/GEPSNONPILOT/Tender/SplashBidNoticeAbstractUI.aspx?menuIndex=3&amp;refID=7180293&amp;Result=3","7180293")</f>
        <v>0</v>
      </c>
      <c r="B8777" t="s">
        <v>2670</v>
      </c>
      <c r="C8777" t="s">
        <v>11916</v>
      </c>
      <c r="D8777" t="s">
        <v>17148</v>
      </c>
      <c r="E8777" t="s">
        <v>17533</v>
      </c>
      <c r="F8777" t="s">
        <v>29372</v>
      </c>
      <c r="G8777" t="s">
        <v>29380</v>
      </c>
      <c r="H8777" t="s">
        <v>11048</v>
      </c>
      <c r="I8777" t="s">
        <v>4709</v>
      </c>
      <c r="J8777" t="s">
        <v>35157</v>
      </c>
      <c r="K8777" t="s">
        <v>38531</v>
      </c>
      <c r="M8777" t="s">
        <v>41648</v>
      </c>
      <c r="N8777" t="s">
        <v>42669</v>
      </c>
      <c r="O8777" t="s">
        <v>42670</v>
      </c>
      <c r="P8777">
        <v>0</v>
      </c>
      <c r="Q8777">
        <v>4</v>
      </c>
      <c r="R8777" t="s">
        <v>42680</v>
      </c>
      <c r="S8777" t="s">
        <v>42961</v>
      </c>
      <c r="T8777" t="s">
        <v>44621</v>
      </c>
      <c r="U8777" t="s">
        <v>51980</v>
      </c>
      <c r="W8777" t="s">
        <v>41648</v>
      </c>
      <c r="X8777" t="s">
        <v>42681</v>
      </c>
    </row>
    <row r="8778" spans="1:24">
      <c r="A8778">
        <f>HYPERLINK("https://www.philgeps.gov.ph/GEPSNONPILOT/Tender/SplashBidNoticeAbstractUI.aspx?menuIndex=3&amp;refID=7179846&amp;Result=3","7179846")</f>
        <v>0</v>
      </c>
      <c r="B8778" t="s">
        <v>1328</v>
      </c>
      <c r="C8778" t="s">
        <v>11917</v>
      </c>
      <c r="D8778" t="s">
        <v>17164</v>
      </c>
      <c r="E8778" t="s">
        <v>24796</v>
      </c>
      <c r="F8778" t="s">
        <v>29372</v>
      </c>
      <c r="G8778" t="s">
        <v>29380</v>
      </c>
      <c r="H8778" t="s">
        <v>11048</v>
      </c>
      <c r="I8778" t="s">
        <v>3860</v>
      </c>
      <c r="J8778" t="s">
        <v>29717</v>
      </c>
      <c r="K8778" t="s">
        <v>38491</v>
      </c>
      <c r="M8778" t="s">
        <v>41649</v>
      </c>
      <c r="N8778" t="s">
        <v>42669</v>
      </c>
      <c r="O8778" t="s">
        <v>42670</v>
      </c>
      <c r="P8778">
        <v>0</v>
      </c>
      <c r="Q8778">
        <v>4</v>
      </c>
      <c r="R8778" t="s">
        <v>42680</v>
      </c>
      <c r="S8778" t="s">
        <v>42961</v>
      </c>
      <c r="T8778" t="s">
        <v>44410</v>
      </c>
      <c r="U8778" t="s">
        <v>51981</v>
      </c>
      <c r="V8778" t="s">
        <v>57337</v>
      </c>
      <c r="W8778" t="s">
        <v>41649</v>
      </c>
      <c r="X8778" t="s">
        <v>42682</v>
      </c>
    </row>
    <row r="8779" spans="1:24">
      <c r="A8779">
        <f>HYPERLINK("https://www.philgeps.gov.ph/GEPSNONPILOT/Tender/SplashBidNoticeAbstractUI.aspx?menuIndex=3&amp;refID=7180267&amp;Result=3","7180267")</f>
        <v>0</v>
      </c>
      <c r="B8779" t="s">
        <v>957</v>
      </c>
      <c r="C8779" t="s">
        <v>11918</v>
      </c>
      <c r="D8779" t="s">
        <v>17143</v>
      </c>
      <c r="E8779" t="s">
        <v>24797</v>
      </c>
      <c r="F8779" t="s">
        <v>29372</v>
      </c>
      <c r="G8779" t="s">
        <v>29380</v>
      </c>
      <c r="H8779" t="s">
        <v>11048</v>
      </c>
      <c r="I8779" t="s">
        <v>29452</v>
      </c>
      <c r="J8779" t="s">
        <v>35158</v>
      </c>
      <c r="K8779" t="s">
        <v>38538</v>
      </c>
      <c r="M8779" t="s">
        <v>39753</v>
      </c>
      <c r="N8779" t="s">
        <v>42669</v>
      </c>
      <c r="O8779" t="s">
        <v>42670</v>
      </c>
      <c r="P8779">
        <v>0</v>
      </c>
      <c r="Q8779">
        <v>0</v>
      </c>
      <c r="R8779" t="s">
        <v>42680</v>
      </c>
      <c r="S8779" t="s">
        <v>42961</v>
      </c>
      <c r="T8779" t="s">
        <v>44401</v>
      </c>
      <c r="U8779" t="s">
        <v>51982</v>
      </c>
      <c r="W8779" t="s">
        <v>39753</v>
      </c>
      <c r="X8779" t="s">
        <v>42681</v>
      </c>
    </row>
    <row r="8780" spans="1:24">
      <c r="A8780">
        <f>HYPERLINK("https://www.philgeps.gov.ph/GEPSNONPILOT/Tender/SplashBidNoticeAbstractUI.aspx?menuIndex=3&amp;refID=7180156&amp;Result=3","7180156")</f>
        <v>0</v>
      </c>
      <c r="B8780" t="s">
        <v>2546</v>
      </c>
      <c r="C8780" t="s">
        <v>9070</v>
      </c>
      <c r="D8780" t="s">
        <v>17215</v>
      </c>
      <c r="E8780" t="s">
        <v>24798</v>
      </c>
      <c r="F8780" t="s">
        <v>29372</v>
      </c>
      <c r="G8780" t="s">
        <v>29380</v>
      </c>
      <c r="H8780" t="s">
        <v>11048</v>
      </c>
      <c r="I8780" t="s">
        <v>29407</v>
      </c>
      <c r="J8780" t="s">
        <v>35159</v>
      </c>
      <c r="K8780" t="s">
        <v>38491</v>
      </c>
      <c r="M8780" t="s">
        <v>41509</v>
      </c>
      <c r="N8780" t="s">
        <v>42669</v>
      </c>
      <c r="O8780" t="s">
        <v>42670</v>
      </c>
      <c r="P8780">
        <v>0</v>
      </c>
      <c r="Q8780">
        <v>13</v>
      </c>
      <c r="R8780" t="s">
        <v>42680</v>
      </c>
      <c r="S8780" t="s">
        <v>42961</v>
      </c>
      <c r="T8780" t="s">
        <v>44437</v>
      </c>
      <c r="U8780" t="s">
        <v>45709</v>
      </c>
      <c r="W8780" t="s">
        <v>41509</v>
      </c>
      <c r="X8780" t="s">
        <v>42681</v>
      </c>
    </row>
    <row r="8781" spans="1:24">
      <c r="A8781">
        <f>HYPERLINK("https://www.philgeps.gov.ph/GEPSNONPILOT/Tender/SplashBidNoticeAbstractUI.aspx?menuIndex=3&amp;refID=7180286&amp;Result=3","7180286")</f>
        <v>0</v>
      </c>
      <c r="B8781" t="s">
        <v>2671</v>
      </c>
      <c r="C8781" t="s">
        <v>11919</v>
      </c>
      <c r="D8781" t="s">
        <v>17145</v>
      </c>
      <c r="E8781" t="s">
        <v>24799</v>
      </c>
      <c r="F8781" t="s">
        <v>29372</v>
      </c>
      <c r="G8781" t="s">
        <v>29380</v>
      </c>
      <c r="H8781" t="s">
        <v>11048</v>
      </c>
      <c r="I8781" t="s">
        <v>29466</v>
      </c>
      <c r="J8781" t="s">
        <v>29587</v>
      </c>
      <c r="K8781" t="s">
        <v>38488</v>
      </c>
      <c r="M8781" t="s">
        <v>41650</v>
      </c>
      <c r="N8781" t="s">
        <v>42669</v>
      </c>
      <c r="O8781" t="s">
        <v>42670</v>
      </c>
      <c r="P8781">
        <v>0</v>
      </c>
      <c r="Q8781">
        <v>3</v>
      </c>
      <c r="R8781" t="s">
        <v>42680</v>
      </c>
      <c r="S8781" t="s">
        <v>42961</v>
      </c>
      <c r="T8781" t="s">
        <v>44510</v>
      </c>
      <c r="U8781" t="s">
        <v>51983</v>
      </c>
      <c r="W8781" t="s">
        <v>41650</v>
      </c>
      <c r="X8781" t="s">
        <v>42681</v>
      </c>
    </row>
    <row r="8782" spans="1:24">
      <c r="A8782">
        <f>HYPERLINK("https://www.philgeps.gov.ph/GEPSNONPILOT/Tender/SplashBidNoticeAbstractUI.aspx?menuIndex=3&amp;refID=7180260&amp;Result=3","7180260")</f>
        <v>0</v>
      </c>
      <c r="B8782" t="s">
        <v>2170</v>
      </c>
      <c r="C8782" t="s">
        <v>11920</v>
      </c>
      <c r="D8782" t="s">
        <v>17205</v>
      </c>
      <c r="E8782" t="s">
        <v>24800</v>
      </c>
      <c r="F8782" t="s">
        <v>29372</v>
      </c>
      <c r="G8782" t="s">
        <v>29380</v>
      </c>
      <c r="H8782" t="s">
        <v>11048</v>
      </c>
      <c r="I8782" t="s">
        <v>29407</v>
      </c>
      <c r="J8782" t="s">
        <v>35160</v>
      </c>
      <c r="K8782" t="s">
        <v>38485</v>
      </c>
      <c r="M8782" t="s">
        <v>41651</v>
      </c>
      <c r="N8782" t="s">
        <v>42669</v>
      </c>
      <c r="O8782" t="s">
        <v>42670</v>
      </c>
      <c r="P8782">
        <v>0</v>
      </c>
      <c r="Q8782">
        <v>7</v>
      </c>
      <c r="R8782" t="s">
        <v>42680</v>
      </c>
      <c r="S8782" t="s">
        <v>42961</v>
      </c>
      <c r="T8782" t="s">
        <v>44566</v>
      </c>
      <c r="U8782" t="s">
        <v>51984</v>
      </c>
      <c r="V8782" t="s">
        <v>57338</v>
      </c>
      <c r="W8782" t="s">
        <v>41651</v>
      </c>
      <c r="X8782" t="s">
        <v>42681</v>
      </c>
    </row>
    <row r="8783" spans="1:24">
      <c r="A8783">
        <f>HYPERLINK("https://www.philgeps.gov.ph/GEPSNONPILOT/Tender/SplashBidNoticeAbstractUI.aspx?menuIndex=3&amp;refID=7180154&amp;Result=3","7180154")</f>
        <v>0</v>
      </c>
      <c r="B8783" t="s">
        <v>1034</v>
      </c>
      <c r="C8783" t="s">
        <v>11921</v>
      </c>
      <c r="D8783" t="s">
        <v>17199</v>
      </c>
      <c r="E8783" t="s">
        <v>24801</v>
      </c>
      <c r="F8783" t="s">
        <v>29372</v>
      </c>
      <c r="G8783" t="s">
        <v>29379</v>
      </c>
      <c r="H8783" t="s">
        <v>11048</v>
      </c>
      <c r="I8783" t="s">
        <v>4487</v>
      </c>
      <c r="J8783" t="s">
        <v>35161</v>
      </c>
      <c r="K8783" t="s">
        <v>38491</v>
      </c>
      <c r="M8783" t="s">
        <v>39837</v>
      </c>
      <c r="N8783" t="s">
        <v>42669</v>
      </c>
      <c r="O8783" t="s">
        <v>42670</v>
      </c>
      <c r="P8783">
        <v>0</v>
      </c>
      <c r="Q8783">
        <v>3</v>
      </c>
      <c r="R8783" t="s">
        <v>42680</v>
      </c>
      <c r="S8783" t="s">
        <v>42961</v>
      </c>
      <c r="T8783" t="s">
        <v>44401</v>
      </c>
      <c r="U8783" t="s">
        <v>51985</v>
      </c>
      <c r="W8783" t="s">
        <v>58033</v>
      </c>
      <c r="X8783" t="s">
        <v>42681</v>
      </c>
    </row>
    <row r="8784" spans="1:24">
      <c r="A8784">
        <f>HYPERLINK("https://www.philgeps.gov.ph/GEPSNONPILOT/Tender/SplashBidNoticeAbstractUI.aspx?menuIndex=3&amp;refID=7180258&amp;Result=3","7180258")</f>
        <v>0</v>
      </c>
      <c r="B8784" t="s">
        <v>2672</v>
      </c>
      <c r="C8784" t="s">
        <v>11922</v>
      </c>
      <c r="D8784" t="s">
        <v>17188</v>
      </c>
      <c r="E8784" t="s">
        <v>24802</v>
      </c>
      <c r="F8784" t="s">
        <v>29372</v>
      </c>
      <c r="G8784" t="s">
        <v>29380</v>
      </c>
      <c r="H8784" t="s">
        <v>29390</v>
      </c>
      <c r="I8784" t="s">
        <v>29429</v>
      </c>
      <c r="J8784" t="s">
        <v>35162</v>
      </c>
      <c r="K8784" t="s">
        <v>38496</v>
      </c>
      <c r="M8784" t="s">
        <v>41652</v>
      </c>
      <c r="N8784" t="s">
        <v>42669</v>
      </c>
      <c r="O8784" t="s">
        <v>42670</v>
      </c>
      <c r="P8784">
        <v>0</v>
      </c>
      <c r="Q8784">
        <v>0</v>
      </c>
      <c r="R8784" t="s">
        <v>42680</v>
      </c>
      <c r="S8784" t="s">
        <v>42961</v>
      </c>
      <c r="T8784" t="s">
        <v>44401</v>
      </c>
      <c r="U8784" t="s">
        <v>51986</v>
      </c>
      <c r="W8784" t="s">
        <v>41652</v>
      </c>
      <c r="X8784" t="s">
        <v>42681</v>
      </c>
    </row>
    <row r="8785" spans="1:24">
      <c r="A8785">
        <f>HYPERLINK("https://www.philgeps.gov.ph/GEPSNONPILOT/Tender/SplashBidNoticeAbstractUI.aspx?menuIndex=3&amp;refID=7180290&amp;Result=3","7180290")</f>
        <v>0</v>
      </c>
      <c r="B8785" t="s">
        <v>2673</v>
      </c>
      <c r="C8785" t="s">
        <v>11923</v>
      </c>
      <c r="D8785" t="s">
        <v>17142</v>
      </c>
      <c r="E8785" t="s">
        <v>23567</v>
      </c>
      <c r="F8785" t="s">
        <v>29372</v>
      </c>
      <c r="G8785" t="s">
        <v>29380</v>
      </c>
      <c r="H8785" t="s">
        <v>29391</v>
      </c>
      <c r="I8785" t="s">
        <v>4486</v>
      </c>
      <c r="J8785" t="s">
        <v>30300</v>
      </c>
      <c r="K8785" t="s">
        <v>38490</v>
      </c>
      <c r="M8785" t="s">
        <v>41653</v>
      </c>
      <c r="N8785" t="s">
        <v>42669</v>
      </c>
      <c r="O8785" t="s">
        <v>42670</v>
      </c>
      <c r="P8785">
        <v>0</v>
      </c>
      <c r="Q8785">
        <v>9</v>
      </c>
      <c r="R8785" t="s">
        <v>42680</v>
      </c>
      <c r="S8785" t="s">
        <v>42961</v>
      </c>
      <c r="T8785" t="s">
        <v>44410</v>
      </c>
      <c r="U8785" t="s">
        <v>51987</v>
      </c>
      <c r="W8785" t="s">
        <v>41653</v>
      </c>
      <c r="X8785" t="s">
        <v>42681</v>
      </c>
    </row>
    <row r="8786" spans="1:24">
      <c r="A8786">
        <f>HYPERLINK("https://www.philgeps.gov.ph/GEPSNONPILOT/Tender/SplashBidNoticeAbstractUI.aspx?menuIndex=3&amp;refID=7180112&amp;Result=3","7180112")</f>
        <v>0</v>
      </c>
      <c r="B8786" t="s">
        <v>1723</v>
      </c>
      <c r="C8786" t="s">
        <v>11924</v>
      </c>
      <c r="D8786" t="s">
        <v>17194</v>
      </c>
      <c r="E8786" t="s">
        <v>24803</v>
      </c>
      <c r="F8786" t="s">
        <v>29372</v>
      </c>
      <c r="G8786" t="s">
        <v>29380</v>
      </c>
      <c r="H8786" t="s">
        <v>11048</v>
      </c>
      <c r="I8786" t="s">
        <v>8614</v>
      </c>
      <c r="J8786" t="s">
        <v>29680</v>
      </c>
      <c r="K8786" t="s">
        <v>38510</v>
      </c>
      <c r="M8786" t="s">
        <v>40587</v>
      </c>
      <c r="N8786" t="s">
        <v>42669</v>
      </c>
      <c r="O8786" t="s">
        <v>42670</v>
      </c>
      <c r="P8786">
        <v>0</v>
      </c>
      <c r="Q8786">
        <v>2</v>
      </c>
      <c r="R8786" t="s">
        <v>42680</v>
      </c>
      <c r="S8786" t="s">
        <v>42961</v>
      </c>
      <c r="T8786" t="s">
        <v>44432</v>
      </c>
      <c r="U8786" t="s">
        <v>51988</v>
      </c>
      <c r="V8786" t="s">
        <v>57339</v>
      </c>
      <c r="W8786" t="s">
        <v>40587</v>
      </c>
      <c r="X8786" t="s">
        <v>42681</v>
      </c>
    </row>
    <row r="8787" spans="1:24">
      <c r="A8787">
        <f>HYPERLINK("https://www.philgeps.gov.ph/GEPSNONPILOT/Tender/SplashBidNoticeAbstractUI.aspx?menuIndex=3&amp;refID=7180250&amp;Result=3","7180250")</f>
        <v>0</v>
      </c>
      <c r="B8787" t="s">
        <v>957</v>
      </c>
      <c r="C8787" t="s">
        <v>11925</v>
      </c>
      <c r="D8787" t="s">
        <v>17143</v>
      </c>
      <c r="E8787" t="s">
        <v>24804</v>
      </c>
      <c r="F8787" t="s">
        <v>29372</v>
      </c>
      <c r="G8787" t="s">
        <v>29380</v>
      </c>
      <c r="H8787" t="s">
        <v>11048</v>
      </c>
      <c r="I8787" t="s">
        <v>29452</v>
      </c>
      <c r="J8787" t="s">
        <v>35163</v>
      </c>
      <c r="K8787" t="s">
        <v>38510</v>
      </c>
      <c r="M8787" t="s">
        <v>39753</v>
      </c>
      <c r="N8787" t="s">
        <v>42669</v>
      </c>
      <c r="O8787" t="s">
        <v>42670</v>
      </c>
      <c r="P8787">
        <v>0</v>
      </c>
      <c r="Q8787">
        <v>0</v>
      </c>
      <c r="R8787" t="s">
        <v>42680</v>
      </c>
      <c r="S8787" t="s">
        <v>42961</v>
      </c>
      <c r="T8787" t="s">
        <v>44401</v>
      </c>
      <c r="U8787" t="s">
        <v>51989</v>
      </c>
      <c r="W8787" t="s">
        <v>39753</v>
      </c>
      <c r="X8787" t="s">
        <v>42681</v>
      </c>
    </row>
    <row r="8788" spans="1:24">
      <c r="A8788">
        <f>HYPERLINK("https://www.philgeps.gov.ph/GEPSNONPILOT/Tender/SplashBidNoticeAbstractUI.aspx?menuIndex=3&amp;refID=7180249&amp;Result=3","7180249")</f>
        <v>0</v>
      </c>
      <c r="B8788" t="s">
        <v>957</v>
      </c>
      <c r="C8788" t="s">
        <v>11926</v>
      </c>
      <c r="D8788" t="s">
        <v>17143</v>
      </c>
      <c r="E8788" t="s">
        <v>24805</v>
      </c>
      <c r="F8788" t="s">
        <v>29372</v>
      </c>
      <c r="G8788" t="s">
        <v>29380</v>
      </c>
      <c r="H8788" t="s">
        <v>11048</v>
      </c>
      <c r="I8788" t="s">
        <v>29452</v>
      </c>
      <c r="J8788" t="s">
        <v>35163</v>
      </c>
      <c r="K8788" t="s">
        <v>38510</v>
      </c>
      <c r="M8788" t="s">
        <v>39753</v>
      </c>
      <c r="N8788" t="s">
        <v>42669</v>
      </c>
      <c r="O8788" t="s">
        <v>42670</v>
      </c>
      <c r="P8788">
        <v>0</v>
      </c>
      <c r="Q8788">
        <v>0</v>
      </c>
      <c r="R8788" t="s">
        <v>42680</v>
      </c>
      <c r="S8788" t="s">
        <v>42961</v>
      </c>
      <c r="T8788" t="s">
        <v>44401</v>
      </c>
      <c r="U8788" t="s">
        <v>51989</v>
      </c>
      <c r="W8788" t="s">
        <v>39753</v>
      </c>
      <c r="X8788" t="s">
        <v>42681</v>
      </c>
    </row>
    <row r="8789" spans="1:24">
      <c r="A8789">
        <f>HYPERLINK("https://www.philgeps.gov.ph/GEPSNONPILOT/Tender/SplashBidNoticeAbstractUI.aspx?menuIndex=3&amp;refID=7180244&amp;Result=3","7180244")</f>
        <v>0</v>
      </c>
      <c r="B8789" t="s">
        <v>957</v>
      </c>
      <c r="C8789" t="s">
        <v>11900</v>
      </c>
      <c r="D8789" t="s">
        <v>17143</v>
      </c>
      <c r="E8789" t="s">
        <v>24806</v>
      </c>
      <c r="F8789" t="s">
        <v>29372</v>
      </c>
      <c r="G8789" t="s">
        <v>29380</v>
      </c>
      <c r="H8789" t="s">
        <v>11048</v>
      </c>
      <c r="I8789" t="s">
        <v>29452</v>
      </c>
      <c r="J8789" t="s">
        <v>35163</v>
      </c>
      <c r="K8789" t="s">
        <v>38510</v>
      </c>
      <c r="M8789" t="s">
        <v>39753</v>
      </c>
      <c r="N8789" t="s">
        <v>42669</v>
      </c>
      <c r="O8789" t="s">
        <v>42670</v>
      </c>
      <c r="P8789">
        <v>0</v>
      </c>
      <c r="Q8789">
        <v>1</v>
      </c>
      <c r="R8789" t="s">
        <v>42680</v>
      </c>
      <c r="S8789" t="s">
        <v>42961</v>
      </c>
      <c r="T8789" t="s">
        <v>44401</v>
      </c>
      <c r="U8789" t="s">
        <v>51989</v>
      </c>
      <c r="W8789" t="s">
        <v>39753</v>
      </c>
      <c r="X8789" t="s">
        <v>42681</v>
      </c>
    </row>
    <row r="8790" spans="1:24">
      <c r="A8790">
        <f>HYPERLINK("https://www.philgeps.gov.ph/GEPSNONPILOT/Tender/SplashBidNoticeAbstractUI.aspx?menuIndex=3&amp;refID=7180240&amp;Result=3","7180240")</f>
        <v>0</v>
      </c>
      <c r="B8790" t="s">
        <v>957</v>
      </c>
      <c r="C8790" t="s">
        <v>11885</v>
      </c>
      <c r="D8790" t="s">
        <v>17143</v>
      </c>
      <c r="E8790" t="s">
        <v>24807</v>
      </c>
      <c r="F8790" t="s">
        <v>29372</v>
      </c>
      <c r="G8790" t="s">
        <v>29380</v>
      </c>
      <c r="H8790" t="s">
        <v>11048</v>
      </c>
      <c r="I8790" t="s">
        <v>29452</v>
      </c>
      <c r="J8790" t="s">
        <v>35163</v>
      </c>
      <c r="K8790" t="s">
        <v>38510</v>
      </c>
      <c r="M8790" t="s">
        <v>39753</v>
      </c>
      <c r="N8790" t="s">
        <v>42669</v>
      </c>
      <c r="O8790" t="s">
        <v>42670</v>
      </c>
      <c r="P8790">
        <v>0</v>
      </c>
      <c r="Q8790">
        <v>1</v>
      </c>
      <c r="R8790" t="s">
        <v>42680</v>
      </c>
      <c r="S8790" t="s">
        <v>42961</v>
      </c>
      <c r="T8790" t="s">
        <v>44401</v>
      </c>
      <c r="U8790" t="s">
        <v>51990</v>
      </c>
      <c r="W8790" t="s">
        <v>39753</v>
      </c>
      <c r="X8790" t="s">
        <v>42681</v>
      </c>
    </row>
    <row r="8791" spans="1:24">
      <c r="A8791">
        <f>HYPERLINK("https://www.philgeps.gov.ph/GEPSNONPILOT/Tender/SplashBidNoticeAbstractUI.aspx?menuIndex=3&amp;refID=7180235&amp;Result=3","7180235")</f>
        <v>0</v>
      </c>
      <c r="B8791" t="s">
        <v>2674</v>
      </c>
      <c r="C8791" t="s">
        <v>11927</v>
      </c>
      <c r="D8791" t="s">
        <v>17174</v>
      </c>
      <c r="E8791" t="s">
        <v>19019</v>
      </c>
      <c r="F8791" t="s">
        <v>29372</v>
      </c>
      <c r="G8791" t="s">
        <v>29380</v>
      </c>
      <c r="H8791" t="s">
        <v>29389</v>
      </c>
      <c r="I8791" t="s">
        <v>10408</v>
      </c>
      <c r="J8791" t="s">
        <v>29587</v>
      </c>
      <c r="K8791" t="s">
        <v>38496</v>
      </c>
      <c r="M8791" t="s">
        <v>41654</v>
      </c>
      <c r="N8791" t="s">
        <v>42669</v>
      </c>
      <c r="O8791" t="s">
        <v>42670</v>
      </c>
      <c r="Q8791">
        <v>0</v>
      </c>
      <c r="R8791" t="s">
        <v>42680</v>
      </c>
      <c r="S8791" t="s">
        <v>42965</v>
      </c>
      <c r="T8791" t="s">
        <v>44391</v>
      </c>
      <c r="U8791" t="s">
        <v>51991</v>
      </c>
      <c r="W8791" t="s">
        <v>41654</v>
      </c>
      <c r="X8791" t="s">
        <v>42681</v>
      </c>
    </row>
    <row r="8792" spans="1:24">
      <c r="A8792">
        <f>HYPERLINK("https://www.philgeps.gov.ph/GEPSNONPILOT/Tender/SplashBidNoticeAbstractUI.aspx?menuIndex=3&amp;refID=7180298&amp;Result=3","7180298")</f>
        <v>0</v>
      </c>
      <c r="B8792" t="s">
        <v>2675</v>
      </c>
      <c r="C8792" t="s">
        <v>11928</v>
      </c>
      <c r="D8792" t="s">
        <v>17148</v>
      </c>
      <c r="E8792" t="s">
        <v>17533</v>
      </c>
      <c r="F8792" t="s">
        <v>29372</v>
      </c>
      <c r="G8792" t="s">
        <v>29380</v>
      </c>
      <c r="H8792" t="s">
        <v>11048</v>
      </c>
      <c r="I8792" t="s">
        <v>4709</v>
      </c>
      <c r="J8792" t="s">
        <v>35164</v>
      </c>
      <c r="K8792" t="s">
        <v>38485</v>
      </c>
      <c r="M8792" t="s">
        <v>41655</v>
      </c>
      <c r="N8792" t="s">
        <v>42669</v>
      </c>
      <c r="O8792" t="s">
        <v>42670</v>
      </c>
      <c r="P8792">
        <v>0</v>
      </c>
      <c r="Q8792">
        <v>5</v>
      </c>
      <c r="R8792" t="s">
        <v>42680</v>
      </c>
      <c r="S8792" t="s">
        <v>42961</v>
      </c>
      <c r="T8792" t="s">
        <v>44766</v>
      </c>
      <c r="U8792" t="s">
        <v>51992</v>
      </c>
      <c r="W8792" t="s">
        <v>41655</v>
      </c>
      <c r="X8792" t="s">
        <v>42681</v>
      </c>
    </row>
    <row r="8793" spans="1:24">
      <c r="A8793">
        <f>HYPERLINK("https://www.philgeps.gov.ph/GEPSNONPILOT/Tender/SplashBidNoticeAbstractUI.aspx?menuIndex=3&amp;refID=7180257&amp;Result=3","7180257")</f>
        <v>0</v>
      </c>
      <c r="B8793" t="s">
        <v>957</v>
      </c>
      <c r="C8793" t="s">
        <v>11929</v>
      </c>
      <c r="D8793" t="s">
        <v>17143</v>
      </c>
      <c r="E8793" t="s">
        <v>24808</v>
      </c>
      <c r="F8793" t="s">
        <v>29372</v>
      </c>
      <c r="G8793" t="s">
        <v>29380</v>
      </c>
      <c r="H8793" t="s">
        <v>11048</v>
      </c>
      <c r="I8793" t="s">
        <v>29452</v>
      </c>
      <c r="J8793" t="s">
        <v>35163</v>
      </c>
      <c r="K8793" t="s">
        <v>38510</v>
      </c>
      <c r="M8793" t="s">
        <v>39753</v>
      </c>
      <c r="N8793" t="s">
        <v>42669</v>
      </c>
      <c r="O8793" t="s">
        <v>42670</v>
      </c>
      <c r="P8793">
        <v>0</v>
      </c>
      <c r="Q8793">
        <v>0</v>
      </c>
      <c r="R8793" t="s">
        <v>42680</v>
      </c>
      <c r="S8793" t="s">
        <v>42961</v>
      </c>
      <c r="T8793" t="s">
        <v>44401</v>
      </c>
      <c r="U8793" t="s">
        <v>51993</v>
      </c>
      <c r="W8793" t="s">
        <v>39753</v>
      </c>
      <c r="X8793" t="s">
        <v>42681</v>
      </c>
    </row>
    <row r="8794" spans="1:24">
      <c r="A8794">
        <f>HYPERLINK("https://www.philgeps.gov.ph/GEPSNONPILOT/Tender/SplashBidNoticeAbstractUI.aspx?menuIndex=3&amp;refID=7180409&amp;Result=3","7180409")</f>
        <v>0</v>
      </c>
      <c r="B8794" t="s">
        <v>2676</v>
      </c>
      <c r="C8794" t="s">
        <v>11930</v>
      </c>
      <c r="D8794" t="s">
        <v>17160</v>
      </c>
      <c r="E8794" t="s">
        <v>24809</v>
      </c>
      <c r="F8794" t="s">
        <v>29372</v>
      </c>
      <c r="G8794" t="s">
        <v>29380</v>
      </c>
      <c r="H8794" t="s">
        <v>11048</v>
      </c>
      <c r="I8794" t="s">
        <v>3839</v>
      </c>
      <c r="J8794" t="s">
        <v>29619</v>
      </c>
      <c r="K8794" t="s">
        <v>38485</v>
      </c>
      <c r="M8794" t="s">
        <v>41656</v>
      </c>
      <c r="N8794" t="s">
        <v>42669</v>
      </c>
      <c r="O8794" t="s">
        <v>42670</v>
      </c>
      <c r="P8794">
        <v>0</v>
      </c>
      <c r="Q8794">
        <v>5</v>
      </c>
      <c r="R8794" t="s">
        <v>42680</v>
      </c>
      <c r="S8794" t="s">
        <v>42961</v>
      </c>
      <c r="T8794" t="s">
        <v>44551</v>
      </c>
      <c r="U8794" t="s">
        <v>51994</v>
      </c>
      <c r="W8794" t="s">
        <v>41656</v>
      </c>
      <c r="X8794" t="s">
        <v>42681</v>
      </c>
    </row>
    <row r="8795" spans="1:24">
      <c r="A8795">
        <f>HYPERLINK("https://www.philgeps.gov.ph/GEPSNONPILOT/Tender/SplashBidNoticeAbstractUI.aspx?menuIndex=3&amp;refID=7180389&amp;Result=3","7180389")</f>
        <v>0</v>
      </c>
      <c r="B8795" t="s">
        <v>2677</v>
      </c>
      <c r="C8795" t="s">
        <v>11931</v>
      </c>
      <c r="D8795" t="s">
        <v>17164</v>
      </c>
      <c r="E8795" t="s">
        <v>20703</v>
      </c>
      <c r="F8795" t="s">
        <v>29372</v>
      </c>
      <c r="G8795" t="s">
        <v>29380</v>
      </c>
      <c r="H8795" t="s">
        <v>29389</v>
      </c>
      <c r="I8795" t="s">
        <v>10408</v>
      </c>
      <c r="J8795" t="s">
        <v>35165</v>
      </c>
      <c r="K8795" t="s">
        <v>38507</v>
      </c>
      <c r="L8795" t="s">
        <v>2677</v>
      </c>
      <c r="M8795" t="s">
        <v>41657</v>
      </c>
      <c r="N8795" t="s">
        <v>42669</v>
      </c>
      <c r="O8795" t="s">
        <v>42670</v>
      </c>
      <c r="P8795">
        <v>0</v>
      </c>
      <c r="Q8795">
        <v>0</v>
      </c>
      <c r="R8795" t="s">
        <v>42680</v>
      </c>
      <c r="S8795" t="s">
        <v>42961</v>
      </c>
      <c r="T8795" t="s">
        <v>44410</v>
      </c>
      <c r="U8795" t="s">
        <v>51995</v>
      </c>
      <c r="W8795" t="s">
        <v>41657</v>
      </c>
      <c r="X8795" t="s">
        <v>42681</v>
      </c>
    </row>
    <row r="8796" spans="1:24">
      <c r="A8796">
        <f>HYPERLINK("https://www.philgeps.gov.ph/GEPSNONPILOT/Tender/SplashBidNoticeAbstractUI.aspx?menuIndex=3&amp;refID=7180259&amp;Result=3","7180259")</f>
        <v>0</v>
      </c>
      <c r="B8796" t="s">
        <v>957</v>
      </c>
      <c r="C8796" t="s">
        <v>11932</v>
      </c>
      <c r="D8796" t="s">
        <v>17143</v>
      </c>
      <c r="E8796" t="s">
        <v>24810</v>
      </c>
      <c r="F8796" t="s">
        <v>29372</v>
      </c>
      <c r="G8796" t="s">
        <v>29380</v>
      </c>
      <c r="H8796" t="s">
        <v>11048</v>
      </c>
      <c r="I8796" t="s">
        <v>29452</v>
      </c>
      <c r="J8796" t="s">
        <v>35166</v>
      </c>
      <c r="K8796" t="s">
        <v>38590</v>
      </c>
      <c r="M8796" t="s">
        <v>39753</v>
      </c>
      <c r="N8796" t="s">
        <v>42669</v>
      </c>
      <c r="O8796" t="s">
        <v>42670</v>
      </c>
      <c r="P8796">
        <v>0</v>
      </c>
      <c r="Q8796">
        <v>1</v>
      </c>
      <c r="R8796" t="s">
        <v>42680</v>
      </c>
      <c r="S8796" t="s">
        <v>42961</v>
      </c>
      <c r="T8796" t="s">
        <v>44401</v>
      </c>
      <c r="U8796" t="s">
        <v>51996</v>
      </c>
      <c r="W8796" t="s">
        <v>39753</v>
      </c>
      <c r="X8796" t="s">
        <v>42681</v>
      </c>
    </row>
    <row r="8797" spans="1:24">
      <c r="A8797">
        <f>HYPERLINK("https://www.philgeps.gov.ph/GEPSNONPILOT/Tender/SplashBidNoticeAbstractUI.aspx?menuIndex=3&amp;refID=7180350&amp;Result=3","7180350")</f>
        <v>0</v>
      </c>
      <c r="B8797" t="s">
        <v>323</v>
      </c>
      <c r="C8797" t="s">
        <v>11933</v>
      </c>
      <c r="D8797" t="s">
        <v>17143</v>
      </c>
      <c r="E8797" t="s">
        <v>24811</v>
      </c>
      <c r="F8797" t="s">
        <v>29372</v>
      </c>
      <c r="G8797" t="s">
        <v>29381</v>
      </c>
      <c r="H8797" t="s">
        <v>29389</v>
      </c>
      <c r="I8797" t="s">
        <v>10408</v>
      </c>
      <c r="J8797" t="s">
        <v>30232</v>
      </c>
      <c r="K8797" t="s">
        <v>38515</v>
      </c>
      <c r="M8797" t="s">
        <v>39082</v>
      </c>
      <c r="N8797" t="s">
        <v>42669</v>
      </c>
      <c r="O8797" t="s">
        <v>42670</v>
      </c>
      <c r="P8797">
        <v>0</v>
      </c>
      <c r="Q8797">
        <v>0</v>
      </c>
      <c r="R8797" t="s">
        <v>42680</v>
      </c>
      <c r="S8797" t="s">
        <v>42961</v>
      </c>
      <c r="T8797" t="s">
        <v>44488</v>
      </c>
      <c r="U8797" t="s">
        <v>51997</v>
      </c>
      <c r="V8797" t="s">
        <v>57340</v>
      </c>
      <c r="W8797" t="s">
        <v>39082</v>
      </c>
      <c r="X8797" t="s">
        <v>42681</v>
      </c>
    </row>
    <row r="8798" spans="1:24">
      <c r="A8798">
        <f>HYPERLINK("https://www.philgeps.gov.ph/GEPSNONPILOT/Tender/SplashBidNoticeAbstractUI.aspx?menuIndex=3&amp;refID=7180262&amp;Result=3","7180262")</f>
        <v>0</v>
      </c>
      <c r="B8798" t="s">
        <v>957</v>
      </c>
      <c r="C8798" t="s">
        <v>11934</v>
      </c>
      <c r="D8798" t="s">
        <v>17143</v>
      </c>
      <c r="E8798" t="s">
        <v>24812</v>
      </c>
      <c r="F8798" t="s">
        <v>29372</v>
      </c>
      <c r="G8798" t="s">
        <v>29380</v>
      </c>
      <c r="H8798" t="s">
        <v>11048</v>
      </c>
      <c r="I8798" t="s">
        <v>29452</v>
      </c>
      <c r="J8798" t="s">
        <v>35167</v>
      </c>
      <c r="K8798" t="s">
        <v>38537</v>
      </c>
      <c r="M8798" t="s">
        <v>39753</v>
      </c>
      <c r="N8798" t="s">
        <v>42669</v>
      </c>
      <c r="O8798" t="s">
        <v>42670</v>
      </c>
      <c r="P8798">
        <v>0</v>
      </c>
      <c r="Q8798">
        <v>1</v>
      </c>
      <c r="R8798" t="s">
        <v>42680</v>
      </c>
      <c r="S8798" t="s">
        <v>42961</v>
      </c>
      <c r="T8798" t="s">
        <v>44401</v>
      </c>
      <c r="U8798" t="s">
        <v>51996</v>
      </c>
      <c r="W8798" t="s">
        <v>39753</v>
      </c>
      <c r="X8798" t="s">
        <v>42681</v>
      </c>
    </row>
    <row r="8799" spans="1:24">
      <c r="A8799">
        <f>HYPERLINK("https://www.philgeps.gov.ph/GEPSNONPILOT/Tender/SplashBidNoticeAbstractUI.aspx?menuIndex=3&amp;refID=7180345&amp;Result=3","7180345")</f>
        <v>0</v>
      </c>
      <c r="B8799" t="s">
        <v>323</v>
      </c>
      <c r="C8799" t="s">
        <v>11935</v>
      </c>
      <c r="D8799" t="s">
        <v>17143</v>
      </c>
      <c r="E8799" t="s">
        <v>24813</v>
      </c>
      <c r="F8799" t="s">
        <v>29372</v>
      </c>
      <c r="G8799" t="s">
        <v>29380</v>
      </c>
      <c r="H8799" t="s">
        <v>11048</v>
      </c>
      <c r="I8799" t="s">
        <v>14920</v>
      </c>
      <c r="J8799" t="s">
        <v>35168</v>
      </c>
      <c r="K8799" t="s">
        <v>38485</v>
      </c>
      <c r="M8799" t="s">
        <v>39082</v>
      </c>
      <c r="N8799" t="s">
        <v>42669</v>
      </c>
      <c r="O8799" t="s">
        <v>42670</v>
      </c>
      <c r="P8799">
        <v>0</v>
      </c>
      <c r="Q8799">
        <v>0</v>
      </c>
      <c r="R8799" t="s">
        <v>42680</v>
      </c>
      <c r="S8799" t="s">
        <v>42961</v>
      </c>
      <c r="T8799" t="s">
        <v>44488</v>
      </c>
      <c r="U8799" t="s">
        <v>51998</v>
      </c>
      <c r="V8799" t="s">
        <v>57341</v>
      </c>
      <c r="W8799" t="s">
        <v>39082</v>
      </c>
      <c r="X8799" t="s">
        <v>42681</v>
      </c>
    </row>
    <row r="8800" spans="1:24">
      <c r="A8800">
        <f>HYPERLINK("https://www.philgeps.gov.ph/GEPSNONPILOT/Tender/SplashBidNoticeAbstractUI.aspx?menuIndex=3&amp;refID=7180253&amp;Result=3","7180253")</f>
        <v>0</v>
      </c>
      <c r="B8800" t="s">
        <v>957</v>
      </c>
      <c r="C8800" t="s">
        <v>11895</v>
      </c>
      <c r="D8800" t="s">
        <v>17143</v>
      </c>
      <c r="E8800" t="s">
        <v>24814</v>
      </c>
      <c r="F8800" t="s">
        <v>29372</v>
      </c>
      <c r="G8800" t="s">
        <v>29380</v>
      </c>
      <c r="H8800" t="s">
        <v>11048</v>
      </c>
      <c r="I8800" t="s">
        <v>29452</v>
      </c>
      <c r="J8800" t="s">
        <v>35163</v>
      </c>
      <c r="K8800" t="s">
        <v>38510</v>
      </c>
      <c r="M8800" t="s">
        <v>39753</v>
      </c>
      <c r="N8800" t="s">
        <v>42669</v>
      </c>
      <c r="O8800" t="s">
        <v>42670</v>
      </c>
      <c r="P8800">
        <v>0</v>
      </c>
      <c r="Q8800">
        <v>1</v>
      </c>
      <c r="R8800" t="s">
        <v>42680</v>
      </c>
      <c r="S8800" t="s">
        <v>42961</v>
      </c>
      <c r="T8800" t="s">
        <v>44401</v>
      </c>
      <c r="U8800" t="s">
        <v>51989</v>
      </c>
      <c r="W8800" t="s">
        <v>39753</v>
      </c>
      <c r="X8800" t="s">
        <v>42681</v>
      </c>
    </row>
    <row r="8801" spans="1:24">
      <c r="A8801">
        <f>HYPERLINK("https://www.philgeps.gov.ph/GEPSNONPILOT/Tender/SplashBidNoticeAbstractUI.aspx?menuIndex=3&amp;refID=7180344&amp;Result=3","7180344")</f>
        <v>0</v>
      </c>
      <c r="B8801" t="s">
        <v>2678</v>
      </c>
      <c r="C8801" t="s">
        <v>11936</v>
      </c>
      <c r="D8801" t="s">
        <v>17215</v>
      </c>
      <c r="E8801" t="s">
        <v>24815</v>
      </c>
      <c r="F8801" t="s">
        <v>29372</v>
      </c>
      <c r="G8801" t="s">
        <v>29380</v>
      </c>
      <c r="H8801" t="s">
        <v>11048</v>
      </c>
      <c r="I8801" t="s">
        <v>29407</v>
      </c>
      <c r="J8801" t="s">
        <v>29590</v>
      </c>
      <c r="K8801" t="s">
        <v>38485</v>
      </c>
      <c r="M8801" t="s">
        <v>41658</v>
      </c>
      <c r="N8801" t="s">
        <v>42669</v>
      </c>
      <c r="O8801" t="s">
        <v>42670</v>
      </c>
      <c r="P8801">
        <v>0</v>
      </c>
      <c r="Q8801">
        <v>2</v>
      </c>
      <c r="R8801" t="s">
        <v>42680</v>
      </c>
      <c r="S8801" t="s">
        <v>42961</v>
      </c>
      <c r="T8801" t="s">
        <v>44767</v>
      </c>
      <c r="U8801" t="s">
        <v>51999</v>
      </c>
      <c r="W8801" t="s">
        <v>41658</v>
      </c>
      <c r="X8801" t="s">
        <v>42681</v>
      </c>
    </row>
    <row r="8802" spans="1:24">
      <c r="A8802">
        <f>HYPERLINK("https://www.philgeps.gov.ph/GEPSNONPILOT/Tender/SplashBidNoticeAbstractUI.aspx?menuIndex=3&amp;refID=7180011&amp;Result=3","7180011")</f>
        <v>0</v>
      </c>
      <c r="B8802" t="s">
        <v>2679</v>
      </c>
      <c r="C8802" t="s">
        <v>11937</v>
      </c>
      <c r="D8802" t="s">
        <v>17151</v>
      </c>
      <c r="E8802" t="s">
        <v>24816</v>
      </c>
      <c r="F8802" t="s">
        <v>29375</v>
      </c>
      <c r="G8802" t="s">
        <v>29382</v>
      </c>
      <c r="H8802" t="s">
        <v>11048</v>
      </c>
      <c r="I8802" t="s">
        <v>5383</v>
      </c>
      <c r="J8802" t="s">
        <v>35169</v>
      </c>
      <c r="K8802" t="s">
        <v>38488</v>
      </c>
      <c r="L8802" t="s">
        <v>2679</v>
      </c>
      <c r="M8802" t="s">
        <v>41659</v>
      </c>
      <c r="N8802" t="s">
        <v>42669</v>
      </c>
      <c r="O8802" t="s">
        <v>42670</v>
      </c>
      <c r="P8802">
        <v>0</v>
      </c>
      <c r="Q8802">
        <v>4</v>
      </c>
      <c r="R8802" t="s">
        <v>42680</v>
      </c>
      <c r="S8802" t="s">
        <v>42961</v>
      </c>
      <c r="T8802" t="s">
        <v>44441</v>
      </c>
      <c r="U8802" t="s">
        <v>52000</v>
      </c>
      <c r="V8802" t="s">
        <v>57342</v>
      </c>
      <c r="W8802" t="s">
        <v>41659</v>
      </c>
      <c r="X8802" t="s">
        <v>42682</v>
      </c>
    </row>
    <row r="8803" spans="1:24">
      <c r="A8803">
        <f>HYPERLINK("https://www.philgeps.gov.ph/GEPSNONPILOT/Tender/SplashBidNoticeAbstractUI.aspx?menuIndex=3&amp;refID=7180330&amp;Result=3","7180330")</f>
        <v>0</v>
      </c>
      <c r="B8803" t="s">
        <v>2680</v>
      </c>
      <c r="C8803" t="s">
        <v>11938</v>
      </c>
      <c r="D8803" t="s">
        <v>17141</v>
      </c>
      <c r="E8803" t="s">
        <v>18607</v>
      </c>
      <c r="F8803" t="s">
        <v>29372</v>
      </c>
      <c r="G8803" t="s">
        <v>29380</v>
      </c>
      <c r="H8803" t="s">
        <v>11048</v>
      </c>
      <c r="I8803" t="s">
        <v>5383</v>
      </c>
      <c r="J8803" t="s">
        <v>30032</v>
      </c>
      <c r="K8803" t="s">
        <v>38491</v>
      </c>
      <c r="M8803" t="s">
        <v>41660</v>
      </c>
      <c r="N8803" t="s">
        <v>42669</v>
      </c>
      <c r="O8803" t="s">
        <v>42670</v>
      </c>
      <c r="P8803">
        <v>0</v>
      </c>
      <c r="Q8803">
        <v>1</v>
      </c>
      <c r="R8803" t="s">
        <v>42680</v>
      </c>
      <c r="S8803" t="s">
        <v>42961</v>
      </c>
      <c r="T8803" t="s">
        <v>44474</v>
      </c>
      <c r="U8803" t="s">
        <v>52001</v>
      </c>
      <c r="W8803" t="s">
        <v>41660</v>
      </c>
      <c r="X8803" t="s">
        <v>42681</v>
      </c>
    </row>
    <row r="8804" spans="1:24">
      <c r="A8804">
        <f>HYPERLINK("https://www.philgeps.gov.ph/GEPSNONPILOT/Tender/SplashBidNoticeAbstractUI.aspx?menuIndex=3&amp;refID=7180401&amp;Result=3","7180401")</f>
        <v>0</v>
      </c>
      <c r="B8804" t="s">
        <v>2676</v>
      </c>
      <c r="C8804" t="s">
        <v>11939</v>
      </c>
      <c r="D8804" t="s">
        <v>17160</v>
      </c>
      <c r="E8804" t="s">
        <v>24817</v>
      </c>
      <c r="F8804" t="s">
        <v>29372</v>
      </c>
      <c r="G8804" t="s">
        <v>29380</v>
      </c>
      <c r="H8804" t="s">
        <v>29389</v>
      </c>
      <c r="I8804" t="s">
        <v>10408</v>
      </c>
      <c r="J8804" t="s">
        <v>35170</v>
      </c>
      <c r="K8804" t="s">
        <v>38564</v>
      </c>
      <c r="M8804" t="s">
        <v>41656</v>
      </c>
      <c r="N8804" t="s">
        <v>42669</v>
      </c>
      <c r="O8804" t="s">
        <v>42670</v>
      </c>
      <c r="P8804">
        <v>0</v>
      </c>
      <c r="Q8804">
        <v>2</v>
      </c>
      <c r="R8804" t="s">
        <v>42680</v>
      </c>
      <c r="S8804" t="s">
        <v>42961</v>
      </c>
      <c r="T8804" t="s">
        <v>44551</v>
      </c>
      <c r="U8804" t="s">
        <v>52002</v>
      </c>
      <c r="W8804" t="s">
        <v>41656</v>
      </c>
      <c r="X8804" t="s">
        <v>42681</v>
      </c>
    </row>
    <row r="8805" spans="1:24">
      <c r="A8805">
        <f>HYPERLINK("https://www.philgeps.gov.ph/GEPSNONPILOT/Tender/SplashBidNoticeAbstractUI.aspx?menuIndex=3&amp;refID=7180328&amp;Result=3","7180328")</f>
        <v>0</v>
      </c>
      <c r="B8805" t="s">
        <v>2681</v>
      </c>
      <c r="C8805" t="s">
        <v>11940</v>
      </c>
      <c r="D8805" t="s">
        <v>17193</v>
      </c>
      <c r="E8805" t="s">
        <v>24818</v>
      </c>
      <c r="F8805" t="s">
        <v>29372</v>
      </c>
      <c r="G8805" t="s">
        <v>29382</v>
      </c>
      <c r="H8805" t="s">
        <v>11048</v>
      </c>
      <c r="I8805" t="s">
        <v>29432</v>
      </c>
      <c r="J8805" t="s">
        <v>35171</v>
      </c>
      <c r="K8805" t="s">
        <v>38485</v>
      </c>
      <c r="M8805" t="s">
        <v>41661</v>
      </c>
      <c r="N8805" t="s">
        <v>42669</v>
      </c>
      <c r="O8805" t="s">
        <v>42670</v>
      </c>
      <c r="P8805">
        <v>0</v>
      </c>
      <c r="Q8805">
        <v>4</v>
      </c>
      <c r="R8805" t="s">
        <v>42680</v>
      </c>
      <c r="S8805" t="s">
        <v>42961</v>
      </c>
      <c r="T8805" t="s">
        <v>44512</v>
      </c>
      <c r="U8805" t="s">
        <v>52003</v>
      </c>
      <c r="W8805" t="s">
        <v>41661</v>
      </c>
      <c r="X8805" t="s">
        <v>42681</v>
      </c>
    </row>
    <row r="8806" spans="1:24">
      <c r="A8806">
        <f>HYPERLINK("https://www.philgeps.gov.ph/GEPSNONPILOT/Tender/SplashBidNoticeAbstractUI.aspx?menuIndex=3&amp;refID=7180265&amp;Result=3","7180265")</f>
        <v>0</v>
      </c>
      <c r="B8806" t="s">
        <v>2672</v>
      </c>
      <c r="C8806" t="s">
        <v>11941</v>
      </c>
      <c r="D8806" t="s">
        <v>17188</v>
      </c>
      <c r="E8806" t="s">
        <v>24819</v>
      </c>
      <c r="F8806" t="s">
        <v>29372</v>
      </c>
      <c r="G8806" t="s">
        <v>29380</v>
      </c>
      <c r="H8806" t="s">
        <v>29390</v>
      </c>
      <c r="I8806" t="s">
        <v>10408</v>
      </c>
      <c r="J8806" t="s">
        <v>35172</v>
      </c>
      <c r="K8806" t="s">
        <v>38495</v>
      </c>
      <c r="M8806" t="s">
        <v>41652</v>
      </c>
      <c r="N8806" t="s">
        <v>42669</v>
      </c>
      <c r="O8806" t="s">
        <v>42670</v>
      </c>
      <c r="P8806">
        <v>0</v>
      </c>
      <c r="Q8806">
        <v>5</v>
      </c>
      <c r="R8806" t="s">
        <v>42680</v>
      </c>
      <c r="S8806" t="s">
        <v>42961</v>
      </c>
      <c r="T8806" t="s">
        <v>44429</v>
      </c>
      <c r="U8806" t="s">
        <v>52004</v>
      </c>
      <c r="W8806" t="s">
        <v>41652</v>
      </c>
      <c r="X8806" t="s">
        <v>42681</v>
      </c>
    </row>
    <row r="8807" spans="1:24">
      <c r="A8807">
        <f>HYPERLINK("https://www.philgeps.gov.ph/GEPSNONPILOT/Tender/SplashBidNoticeAbstractUI.aspx?menuIndex=3&amp;refID=7180327&amp;Result=3","7180327")</f>
        <v>0</v>
      </c>
      <c r="B8807" t="s">
        <v>2681</v>
      </c>
      <c r="C8807" t="s">
        <v>11942</v>
      </c>
      <c r="D8807" t="s">
        <v>17193</v>
      </c>
      <c r="E8807" t="s">
        <v>24820</v>
      </c>
      <c r="F8807" t="s">
        <v>29372</v>
      </c>
      <c r="G8807" t="s">
        <v>29382</v>
      </c>
      <c r="H8807" t="s">
        <v>11048</v>
      </c>
      <c r="I8807" t="s">
        <v>5383</v>
      </c>
      <c r="J8807" t="s">
        <v>35173</v>
      </c>
      <c r="K8807" t="s">
        <v>38485</v>
      </c>
      <c r="M8807" t="s">
        <v>41661</v>
      </c>
      <c r="N8807" t="s">
        <v>42669</v>
      </c>
      <c r="O8807" t="s">
        <v>42670</v>
      </c>
      <c r="P8807">
        <v>0</v>
      </c>
      <c r="Q8807">
        <v>3</v>
      </c>
      <c r="R8807" t="s">
        <v>42680</v>
      </c>
      <c r="S8807" t="s">
        <v>42961</v>
      </c>
      <c r="T8807" t="s">
        <v>44512</v>
      </c>
      <c r="U8807" t="s">
        <v>52005</v>
      </c>
      <c r="W8807" t="s">
        <v>41661</v>
      </c>
      <c r="X8807" t="s">
        <v>42681</v>
      </c>
    </row>
    <row r="8808" spans="1:24">
      <c r="A8808">
        <f>HYPERLINK("https://www.philgeps.gov.ph/GEPSNONPILOT/Tender/SplashBidNoticeAbstractUI.aspx?menuIndex=3&amp;refID=7180317&amp;Result=3","7180317")</f>
        <v>0</v>
      </c>
      <c r="B8808" t="s">
        <v>2678</v>
      </c>
      <c r="C8808" t="s">
        <v>11943</v>
      </c>
      <c r="D8808" t="s">
        <v>17215</v>
      </c>
      <c r="E8808" t="s">
        <v>24821</v>
      </c>
      <c r="F8808" t="s">
        <v>29372</v>
      </c>
      <c r="G8808" t="s">
        <v>29380</v>
      </c>
      <c r="H8808" t="s">
        <v>11048</v>
      </c>
      <c r="I8808" t="s">
        <v>29452</v>
      </c>
      <c r="J8808" t="s">
        <v>31498</v>
      </c>
      <c r="K8808" t="s">
        <v>38485</v>
      </c>
      <c r="M8808" t="s">
        <v>41658</v>
      </c>
      <c r="N8808" t="s">
        <v>42669</v>
      </c>
      <c r="O8808" t="s">
        <v>42670</v>
      </c>
      <c r="P8808">
        <v>0</v>
      </c>
      <c r="Q8808">
        <v>5</v>
      </c>
      <c r="R8808" t="s">
        <v>42680</v>
      </c>
      <c r="S8808" t="s">
        <v>42961</v>
      </c>
      <c r="T8808" t="s">
        <v>44768</v>
      </c>
      <c r="U8808" t="s">
        <v>52006</v>
      </c>
      <c r="W8808" t="s">
        <v>41658</v>
      </c>
      <c r="X8808" t="s">
        <v>42681</v>
      </c>
    </row>
    <row r="8809" spans="1:24">
      <c r="A8809">
        <f>HYPERLINK("https://www.philgeps.gov.ph/GEPSNONPILOT/Tender/SplashBidNoticeAbstractUI.aspx?menuIndex=3&amp;refID=7180332&amp;Result=3","7180332")</f>
        <v>0</v>
      </c>
      <c r="B8809" t="s">
        <v>2680</v>
      </c>
      <c r="C8809" t="s">
        <v>11944</v>
      </c>
      <c r="D8809" t="s">
        <v>17141</v>
      </c>
      <c r="E8809" t="s">
        <v>24822</v>
      </c>
      <c r="F8809" t="s">
        <v>29372</v>
      </c>
      <c r="G8809" t="s">
        <v>29380</v>
      </c>
      <c r="H8809" t="s">
        <v>11048</v>
      </c>
      <c r="I8809" t="s">
        <v>3839</v>
      </c>
      <c r="J8809" t="s">
        <v>29555</v>
      </c>
      <c r="K8809" t="s">
        <v>38491</v>
      </c>
      <c r="M8809" t="s">
        <v>41660</v>
      </c>
      <c r="N8809" t="s">
        <v>42669</v>
      </c>
      <c r="O8809" t="s">
        <v>42670</v>
      </c>
      <c r="P8809">
        <v>0</v>
      </c>
      <c r="Q8809">
        <v>1</v>
      </c>
      <c r="R8809" t="s">
        <v>42680</v>
      </c>
      <c r="S8809" t="s">
        <v>42961</v>
      </c>
      <c r="T8809" t="s">
        <v>44474</v>
      </c>
      <c r="U8809" t="s">
        <v>52001</v>
      </c>
      <c r="W8809" t="s">
        <v>41660</v>
      </c>
      <c r="X8809" t="s">
        <v>42681</v>
      </c>
    </row>
    <row r="8810" spans="1:24">
      <c r="A8810">
        <f>HYPERLINK("https://www.philgeps.gov.ph/GEPSNONPILOT/Tender/SplashBidNoticeAbstractUI.aspx?menuIndex=3&amp;refID=7180306&amp;Result=3","7180306")</f>
        <v>0</v>
      </c>
      <c r="B8810" t="s">
        <v>2678</v>
      </c>
      <c r="C8810" t="s">
        <v>11945</v>
      </c>
      <c r="D8810" t="s">
        <v>17215</v>
      </c>
      <c r="E8810" t="s">
        <v>24823</v>
      </c>
      <c r="F8810" t="s">
        <v>29372</v>
      </c>
      <c r="G8810" t="s">
        <v>29380</v>
      </c>
      <c r="H8810" t="s">
        <v>11048</v>
      </c>
      <c r="I8810" t="s">
        <v>4487</v>
      </c>
      <c r="J8810" t="s">
        <v>35174</v>
      </c>
      <c r="K8810" t="s">
        <v>38485</v>
      </c>
      <c r="M8810" t="s">
        <v>41658</v>
      </c>
      <c r="N8810" t="s">
        <v>42669</v>
      </c>
      <c r="O8810" t="s">
        <v>42670</v>
      </c>
      <c r="P8810">
        <v>0</v>
      </c>
      <c r="Q8810">
        <v>2</v>
      </c>
      <c r="R8810" t="s">
        <v>42680</v>
      </c>
      <c r="S8810" t="s">
        <v>42961</v>
      </c>
      <c r="T8810" t="s">
        <v>44767</v>
      </c>
      <c r="U8810" t="s">
        <v>52007</v>
      </c>
      <c r="W8810" t="s">
        <v>41658</v>
      </c>
      <c r="X8810" t="s">
        <v>42681</v>
      </c>
    </row>
    <row r="8811" spans="1:24">
      <c r="A8811">
        <f>HYPERLINK("https://www.philgeps.gov.ph/GEPSNONPILOT/Tender/SplashBidNoticeAbstractUI.aspx?menuIndex=3&amp;refID=7180302&amp;Result=3","7180302")</f>
        <v>0</v>
      </c>
      <c r="B8811" t="s">
        <v>2682</v>
      </c>
      <c r="C8811" t="s">
        <v>11844</v>
      </c>
      <c r="D8811" t="s">
        <v>17148</v>
      </c>
      <c r="E8811" t="s">
        <v>17533</v>
      </c>
      <c r="F8811" t="s">
        <v>29372</v>
      </c>
      <c r="G8811" t="s">
        <v>29380</v>
      </c>
      <c r="H8811" t="s">
        <v>11048</v>
      </c>
      <c r="I8811" t="s">
        <v>4709</v>
      </c>
      <c r="J8811" t="s">
        <v>35175</v>
      </c>
      <c r="K8811" t="s">
        <v>38503</v>
      </c>
      <c r="M8811" t="s">
        <v>41662</v>
      </c>
      <c r="N8811" t="s">
        <v>42669</v>
      </c>
      <c r="O8811" t="s">
        <v>42670</v>
      </c>
      <c r="P8811">
        <v>0</v>
      </c>
      <c r="Q8811">
        <v>7</v>
      </c>
      <c r="R8811" t="s">
        <v>42680</v>
      </c>
      <c r="S8811" t="s">
        <v>42961</v>
      </c>
      <c r="T8811" t="s">
        <v>44769</v>
      </c>
      <c r="U8811" t="s">
        <v>52008</v>
      </c>
      <c r="W8811" t="s">
        <v>41662</v>
      </c>
      <c r="X8811" t="s">
        <v>42681</v>
      </c>
    </row>
    <row r="8812" spans="1:24">
      <c r="A8812">
        <f>HYPERLINK("https://www.philgeps.gov.ph/GEPSNONPILOT/Tender/SplashBidNoticeAbstractUI.aspx?menuIndex=3&amp;refID=7180218&amp;Result=3","7180218")</f>
        <v>0</v>
      </c>
      <c r="B8812" t="s">
        <v>2683</v>
      </c>
      <c r="C8812" t="s">
        <v>11946</v>
      </c>
      <c r="D8812" t="s">
        <v>17146</v>
      </c>
      <c r="E8812" t="s">
        <v>17399</v>
      </c>
      <c r="F8812" t="s">
        <v>29373</v>
      </c>
      <c r="G8812" t="s">
        <v>29380</v>
      </c>
      <c r="H8812" t="s">
        <v>11048</v>
      </c>
      <c r="I8812" t="s">
        <v>4709</v>
      </c>
      <c r="J8812" t="s">
        <v>29555</v>
      </c>
      <c r="K8812" t="s">
        <v>38488</v>
      </c>
      <c r="M8812" t="s">
        <v>41663</v>
      </c>
      <c r="N8812" t="s">
        <v>42669</v>
      </c>
      <c r="O8812" t="s">
        <v>42670</v>
      </c>
      <c r="P8812">
        <v>0</v>
      </c>
      <c r="Q8812">
        <v>0</v>
      </c>
      <c r="R8812" t="s">
        <v>42680</v>
      </c>
      <c r="S8812" t="s">
        <v>42961</v>
      </c>
      <c r="T8812" t="s">
        <v>44409</v>
      </c>
      <c r="U8812" t="s">
        <v>52009</v>
      </c>
      <c r="V8812" t="s">
        <v>57343</v>
      </c>
      <c r="W8812" t="s">
        <v>41663</v>
      </c>
      <c r="X8812" t="s">
        <v>42681</v>
      </c>
    </row>
    <row r="8813" spans="1:24">
      <c r="A8813">
        <f>HYPERLINK("https://www.philgeps.gov.ph/GEPSNONPILOT/Tender/SplashBidNoticeAbstractUI.aspx?menuIndex=3&amp;refID=7180415&amp;Result=3","7180415")</f>
        <v>0</v>
      </c>
      <c r="B8813" t="s">
        <v>2676</v>
      </c>
      <c r="C8813" t="s">
        <v>11947</v>
      </c>
      <c r="D8813" t="s">
        <v>17160</v>
      </c>
      <c r="E8813" t="s">
        <v>24824</v>
      </c>
      <c r="F8813" t="s">
        <v>29372</v>
      </c>
      <c r="G8813" t="s">
        <v>29380</v>
      </c>
      <c r="H8813" t="s">
        <v>11048</v>
      </c>
      <c r="I8813" t="s">
        <v>29508</v>
      </c>
      <c r="J8813" t="s">
        <v>35176</v>
      </c>
      <c r="K8813" t="s">
        <v>38485</v>
      </c>
      <c r="M8813" t="s">
        <v>41656</v>
      </c>
      <c r="N8813" t="s">
        <v>42669</v>
      </c>
      <c r="O8813" t="s">
        <v>42670</v>
      </c>
      <c r="P8813">
        <v>0</v>
      </c>
      <c r="Q8813">
        <v>1</v>
      </c>
      <c r="R8813" t="s">
        <v>42680</v>
      </c>
      <c r="S8813" t="s">
        <v>42961</v>
      </c>
      <c r="T8813" t="s">
        <v>44551</v>
      </c>
      <c r="U8813" t="s">
        <v>52010</v>
      </c>
      <c r="W8813" t="s">
        <v>41656</v>
      </c>
      <c r="X8813" t="s">
        <v>42681</v>
      </c>
    </row>
    <row r="8814" spans="1:24">
      <c r="A8814">
        <f>HYPERLINK("https://www.philgeps.gov.ph/GEPSNONPILOT/Tender/SplashBidNoticeAbstractUI.aspx?menuIndex=3&amp;refID=7176075&amp;Result=3","7176075")</f>
        <v>0</v>
      </c>
      <c r="B8814" t="s">
        <v>2684</v>
      </c>
      <c r="C8814" t="s">
        <v>11948</v>
      </c>
      <c r="D8814" t="s">
        <v>17148</v>
      </c>
      <c r="E8814" t="s">
        <v>24825</v>
      </c>
      <c r="F8814" t="s">
        <v>29372</v>
      </c>
      <c r="G8814" t="s">
        <v>29380</v>
      </c>
      <c r="H8814" t="s">
        <v>29390</v>
      </c>
      <c r="I8814" t="s">
        <v>9469</v>
      </c>
      <c r="J8814" t="s">
        <v>35177</v>
      </c>
      <c r="K8814" t="s">
        <v>38485</v>
      </c>
      <c r="M8814" t="s">
        <v>41664</v>
      </c>
      <c r="N8814" t="s">
        <v>42669</v>
      </c>
      <c r="O8814" t="s">
        <v>42670</v>
      </c>
      <c r="P8814">
        <v>0</v>
      </c>
      <c r="Q8814">
        <v>12</v>
      </c>
      <c r="R8814" t="s">
        <v>42681</v>
      </c>
      <c r="S8814" t="s">
        <v>42966</v>
      </c>
      <c r="T8814" t="s">
        <v>44364</v>
      </c>
      <c r="U8814" t="s">
        <v>52011</v>
      </c>
      <c r="W8814" t="s">
        <v>41664</v>
      </c>
      <c r="X8814" t="s">
        <v>42683</v>
      </c>
    </row>
    <row r="8815" spans="1:24">
      <c r="A8815">
        <f>HYPERLINK("https://www.philgeps.gov.ph/GEPSNONPILOT/Tender/SplashBidNoticeAbstractUI.aspx?menuIndex=3&amp;refID=7180322&amp;Result=3","7180322")</f>
        <v>0</v>
      </c>
      <c r="B8815" t="s">
        <v>2678</v>
      </c>
      <c r="C8815" t="s">
        <v>11949</v>
      </c>
      <c r="D8815" t="s">
        <v>17215</v>
      </c>
      <c r="E8815" t="s">
        <v>24826</v>
      </c>
      <c r="F8815" t="s">
        <v>29372</v>
      </c>
      <c r="G8815" t="s">
        <v>29380</v>
      </c>
      <c r="H8815" t="s">
        <v>11048</v>
      </c>
      <c r="I8815" t="s">
        <v>29405</v>
      </c>
      <c r="J8815" t="s">
        <v>29988</v>
      </c>
      <c r="K8815" t="s">
        <v>38485</v>
      </c>
      <c r="M8815" t="s">
        <v>41658</v>
      </c>
      <c r="N8815" t="s">
        <v>42669</v>
      </c>
      <c r="O8815" t="s">
        <v>42670</v>
      </c>
      <c r="P8815">
        <v>0</v>
      </c>
      <c r="Q8815">
        <v>6</v>
      </c>
      <c r="R8815" t="s">
        <v>42680</v>
      </c>
      <c r="S8815" t="s">
        <v>42961</v>
      </c>
      <c r="T8815" t="s">
        <v>44768</v>
      </c>
      <c r="U8815" t="s">
        <v>52012</v>
      </c>
      <c r="W8815" t="s">
        <v>41658</v>
      </c>
      <c r="X8815" t="s">
        <v>42681</v>
      </c>
    </row>
    <row r="8816" spans="1:24">
      <c r="A8816">
        <f>HYPERLINK("https://www.philgeps.gov.ph/GEPSNONPILOT/Tender/SplashBidNoticeAbstractUI.aspx?menuIndex=3&amp;refID=7180335&amp;Result=3","7180335")</f>
        <v>0</v>
      </c>
      <c r="B8816" t="s">
        <v>2678</v>
      </c>
      <c r="C8816" t="s">
        <v>11950</v>
      </c>
      <c r="D8816" t="s">
        <v>17215</v>
      </c>
      <c r="E8816" t="s">
        <v>24827</v>
      </c>
      <c r="F8816" t="s">
        <v>29372</v>
      </c>
      <c r="G8816" t="s">
        <v>29380</v>
      </c>
      <c r="H8816" t="s">
        <v>11048</v>
      </c>
      <c r="I8816" t="s">
        <v>3839</v>
      </c>
      <c r="J8816" t="s">
        <v>30657</v>
      </c>
      <c r="K8816" t="s">
        <v>38485</v>
      </c>
      <c r="M8816" t="s">
        <v>41658</v>
      </c>
      <c r="N8816" t="s">
        <v>42669</v>
      </c>
      <c r="O8816" t="s">
        <v>42670</v>
      </c>
      <c r="P8816">
        <v>0</v>
      </c>
      <c r="Q8816">
        <v>1</v>
      </c>
      <c r="R8816" t="s">
        <v>42680</v>
      </c>
      <c r="S8816" t="s">
        <v>42961</v>
      </c>
      <c r="T8816" t="s">
        <v>44357</v>
      </c>
      <c r="U8816" t="s">
        <v>52013</v>
      </c>
      <c r="W8816" t="s">
        <v>41658</v>
      </c>
      <c r="X8816" t="s">
        <v>42681</v>
      </c>
    </row>
    <row r="8817" spans="1:24">
      <c r="A8817">
        <f>HYPERLINK("https://www.philgeps.gov.ph/GEPSNONPILOT/Tender/SplashBidNoticeAbstractUI.aspx?menuIndex=3&amp;refID=7176045&amp;Result=3","7176045")</f>
        <v>0</v>
      </c>
      <c r="B8817" t="s">
        <v>2684</v>
      </c>
      <c r="C8817" t="s">
        <v>11951</v>
      </c>
      <c r="D8817" t="s">
        <v>17148</v>
      </c>
      <c r="E8817" t="s">
        <v>24828</v>
      </c>
      <c r="F8817" t="s">
        <v>29372</v>
      </c>
      <c r="G8817" t="s">
        <v>29380</v>
      </c>
      <c r="H8817" t="s">
        <v>29389</v>
      </c>
      <c r="I8817" t="s">
        <v>10408</v>
      </c>
      <c r="J8817" t="s">
        <v>29590</v>
      </c>
      <c r="K8817" t="s">
        <v>38522</v>
      </c>
      <c r="M8817" t="s">
        <v>41664</v>
      </c>
      <c r="N8817" t="s">
        <v>42669</v>
      </c>
      <c r="O8817" t="s">
        <v>42670</v>
      </c>
      <c r="P8817">
        <v>0</v>
      </c>
      <c r="Q8817">
        <v>82</v>
      </c>
      <c r="R8817" t="s">
        <v>42681</v>
      </c>
      <c r="S8817" t="s">
        <v>42966</v>
      </c>
      <c r="T8817" t="s">
        <v>44364</v>
      </c>
      <c r="U8817" t="s">
        <v>52014</v>
      </c>
      <c r="W8817" t="s">
        <v>41664</v>
      </c>
      <c r="X8817" t="s">
        <v>42683</v>
      </c>
    </row>
    <row r="8818" spans="1:24">
      <c r="A8818">
        <f>HYPERLINK("https://www.philgeps.gov.ph/GEPSNONPILOT/Tender/SplashBidNoticeAbstractUI.aspx?menuIndex=3&amp;refID=7175962&amp;Result=3","7175962")</f>
        <v>0</v>
      </c>
      <c r="B8818" t="s">
        <v>2684</v>
      </c>
      <c r="C8818" t="s">
        <v>11952</v>
      </c>
      <c r="D8818" t="s">
        <v>17148</v>
      </c>
      <c r="E8818" t="s">
        <v>24829</v>
      </c>
      <c r="F8818" t="s">
        <v>29372</v>
      </c>
      <c r="G8818" t="s">
        <v>29380</v>
      </c>
      <c r="H8818" t="s">
        <v>29389</v>
      </c>
      <c r="I8818" t="s">
        <v>10408</v>
      </c>
      <c r="J8818" t="s">
        <v>30161</v>
      </c>
      <c r="K8818" t="s">
        <v>38522</v>
      </c>
      <c r="M8818" t="s">
        <v>41664</v>
      </c>
      <c r="N8818" t="s">
        <v>42669</v>
      </c>
      <c r="O8818" t="s">
        <v>42670</v>
      </c>
      <c r="P8818">
        <v>0</v>
      </c>
      <c r="Q8818">
        <v>98</v>
      </c>
      <c r="R8818" t="s">
        <v>42681</v>
      </c>
      <c r="S8818" t="s">
        <v>42966</v>
      </c>
      <c r="T8818" t="s">
        <v>44364</v>
      </c>
      <c r="U8818" t="s">
        <v>52015</v>
      </c>
      <c r="W8818" t="s">
        <v>41664</v>
      </c>
      <c r="X8818" t="s">
        <v>42683</v>
      </c>
    </row>
    <row r="8819" spans="1:24">
      <c r="A8819">
        <f>HYPERLINK("https://www.philgeps.gov.ph/GEPSNONPILOT/Tender/SplashBidNoticeAbstractUI.aspx?menuIndex=3&amp;refID=7175376&amp;Result=3","7175376")</f>
        <v>0</v>
      </c>
      <c r="B8819" t="s">
        <v>2302</v>
      </c>
      <c r="C8819" t="s">
        <v>11953</v>
      </c>
      <c r="D8819" t="s">
        <v>17144</v>
      </c>
      <c r="F8819" t="s">
        <v>29372</v>
      </c>
      <c r="G8819" t="s">
        <v>29380</v>
      </c>
      <c r="H8819" t="s">
        <v>11048</v>
      </c>
      <c r="I8819" t="s">
        <v>29393</v>
      </c>
      <c r="J8819" t="s">
        <v>30032</v>
      </c>
      <c r="K8819" t="s">
        <v>38490</v>
      </c>
      <c r="M8819" t="s">
        <v>41230</v>
      </c>
      <c r="N8819" t="s">
        <v>42669</v>
      </c>
      <c r="O8819" t="s">
        <v>42670</v>
      </c>
      <c r="P8819">
        <v>0</v>
      </c>
      <c r="Q8819">
        <v>0</v>
      </c>
      <c r="R8819" t="s">
        <v>42681</v>
      </c>
      <c r="S8819" t="s">
        <v>42966</v>
      </c>
      <c r="T8819" t="s">
        <v>44373</v>
      </c>
      <c r="U8819" t="s">
        <v>52016</v>
      </c>
      <c r="W8819" t="s">
        <v>41230</v>
      </c>
      <c r="X8819" t="s">
        <v>42683</v>
      </c>
    </row>
    <row r="8820" spans="1:24">
      <c r="A8820">
        <f>HYPERLINK("https://www.philgeps.gov.ph/GEPSNONPILOT/Tender/SplashBidNoticeAbstractUI.aspx?menuIndex=3&amp;refID=7180342&amp;Result=3","7180342")</f>
        <v>0</v>
      </c>
      <c r="B8820" t="s">
        <v>316</v>
      </c>
      <c r="C8820" t="s">
        <v>11954</v>
      </c>
      <c r="D8820" t="s">
        <v>17212</v>
      </c>
      <c r="E8820" t="s">
        <v>24830</v>
      </c>
      <c r="F8820" t="s">
        <v>29372</v>
      </c>
      <c r="G8820" t="s">
        <v>29380</v>
      </c>
      <c r="H8820" t="s">
        <v>11048</v>
      </c>
      <c r="I8820" t="s">
        <v>5383</v>
      </c>
      <c r="J8820" t="s">
        <v>35178</v>
      </c>
      <c r="K8820" t="s">
        <v>38490</v>
      </c>
      <c r="M8820" t="s">
        <v>39075</v>
      </c>
      <c r="N8820" t="s">
        <v>42669</v>
      </c>
      <c r="O8820" t="s">
        <v>42670</v>
      </c>
      <c r="Q8820">
        <v>7</v>
      </c>
      <c r="R8820" t="s">
        <v>42680</v>
      </c>
      <c r="S8820" t="s">
        <v>42967</v>
      </c>
      <c r="T8820" t="s">
        <v>44368</v>
      </c>
      <c r="U8820" t="s">
        <v>52017</v>
      </c>
      <c r="W8820" t="s">
        <v>39075</v>
      </c>
      <c r="X8820" t="s">
        <v>42681</v>
      </c>
    </row>
    <row r="8821" spans="1:24">
      <c r="A8821">
        <f>HYPERLINK("https://www.philgeps.gov.ph/GEPSNONPILOT/Tender/SplashBidNoticeAbstractUI.aspx?menuIndex=3&amp;refID=7176005&amp;Result=3","7176005")</f>
        <v>0</v>
      </c>
      <c r="B8821" t="s">
        <v>2684</v>
      </c>
      <c r="C8821" t="s">
        <v>11955</v>
      </c>
      <c r="D8821" t="s">
        <v>17148</v>
      </c>
      <c r="E8821" t="s">
        <v>24831</v>
      </c>
      <c r="F8821" t="s">
        <v>29372</v>
      </c>
      <c r="G8821" t="s">
        <v>29380</v>
      </c>
      <c r="H8821" t="s">
        <v>29389</v>
      </c>
      <c r="I8821" t="s">
        <v>10408</v>
      </c>
      <c r="J8821" t="s">
        <v>35179</v>
      </c>
      <c r="K8821" t="s">
        <v>38522</v>
      </c>
      <c r="M8821" t="s">
        <v>41664</v>
      </c>
      <c r="N8821" t="s">
        <v>42669</v>
      </c>
      <c r="O8821" t="s">
        <v>42670</v>
      </c>
      <c r="P8821">
        <v>0</v>
      </c>
      <c r="Q8821">
        <v>99</v>
      </c>
      <c r="R8821" t="s">
        <v>42681</v>
      </c>
      <c r="S8821" t="s">
        <v>42966</v>
      </c>
      <c r="T8821" t="s">
        <v>44364</v>
      </c>
      <c r="U8821" t="s">
        <v>52018</v>
      </c>
      <c r="W8821" t="s">
        <v>41664</v>
      </c>
      <c r="X8821" t="s">
        <v>42683</v>
      </c>
    </row>
    <row r="8822" spans="1:24">
      <c r="A8822">
        <f>HYPERLINK("https://www.philgeps.gov.ph/GEPSNONPILOT/Tender/SplashBidNoticeAbstractUI.aspx?menuIndex=3&amp;refID=7174232&amp;Result=3","7174232")</f>
        <v>0</v>
      </c>
      <c r="B8822" t="s">
        <v>838</v>
      </c>
      <c r="C8822" t="s">
        <v>11956</v>
      </c>
      <c r="E8822" t="s">
        <v>24832</v>
      </c>
      <c r="F8822" t="s">
        <v>29372</v>
      </c>
      <c r="G8822" t="s">
        <v>29380</v>
      </c>
      <c r="H8822" t="s">
        <v>11048</v>
      </c>
      <c r="I8822" t="s">
        <v>8614</v>
      </c>
      <c r="J8822" t="s">
        <v>32182</v>
      </c>
      <c r="K8822" t="s">
        <v>38496</v>
      </c>
      <c r="M8822" t="s">
        <v>39628</v>
      </c>
      <c r="N8822" t="s">
        <v>42669</v>
      </c>
      <c r="O8822" t="s">
        <v>42670</v>
      </c>
      <c r="P8822">
        <v>0</v>
      </c>
      <c r="Q8822">
        <v>13</v>
      </c>
      <c r="R8822" t="s">
        <v>42681</v>
      </c>
      <c r="S8822" t="s">
        <v>42966</v>
      </c>
      <c r="T8822" t="s">
        <v>44605</v>
      </c>
      <c r="U8822" t="s">
        <v>52019</v>
      </c>
      <c r="W8822" t="s">
        <v>58093</v>
      </c>
      <c r="X8822" t="s">
        <v>42683</v>
      </c>
    </row>
    <row r="8823" spans="1:24">
      <c r="A8823">
        <f>HYPERLINK("https://www.philgeps.gov.ph/GEPSNONPILOT/Tender/SplashBidNoticeAbstractUI.aspx?menuIndex=3&amp;refID=7175504&amp;Result=3","7175504")</f>
        <v>0</v>
      </c>
      <c r="B8823" t="s">
        <v>2685</v>
      </c>
      <c r="C8823" t="s">
        <v>11957</v>
      </c>
      <c r="D8823" t="s">
        <v>17177</v>
      </c>
      <c r="E8823" t="s">
        <v>24833</v>
      </c>
      <c r="F8823" t="s">
        <v>29372</v>
      </c>
      <c r="G8823" t="s">
        <v>29380</v>
      </c>
      <c r="H8823" t="s">
        <v>29389</v>
      </c>
      <c r="I8823" t="s">
        <v>10408</v>
      </c>
      <c r="J8823" t="s">
        <v>35180</v>
      </c>
      <c r="K8823" t="s">
        <v>38495</v>
      </c>
      <c r="M8823" t="s">
        <v>41665</v>
      </c>
      <c r="N8823" t="s">
        <v>42669</v>
      </c>
      <c r="O8823" t="s">
        <v>42670</v>
      </c>
      <c r="P8823">
        <v>0</v>
      </c>
      <c r="Q8823">
        <v>12</v>
      </c>
      <c r="R8823" t="s">
        <v>42681</v>
      </c>
      <c r="S8823" t="s">
        <v>42966</v>
      </c>
      <c r="T8823" t="s">
        <v>44446</v>
      </c>
      <c r="U8823" t="s">
        <v>52020</v>
      </c>
      <c r="W8823" t="s">
        <v>42041</v>
      </c>
      <c r="X8823" t="s">
        <v>42683</v>
      </c>
    </row>
    <row r="8824" spans="1:24">
      <c r="A8824">
        <f>HYPERLINK("https://www.philgeps.gov.ph/GEPSNONPILOT/Tender/SplashBidNoticeAbstractUI.aspx?menuIndex=3&amp;refID=7174803&amp;Result=3","7174803")</f>
        <v>0</v>
      </c>
      <c r="B8824" t="s">
        <v>1580</v>
      </c>
      <c r="C8824" t="s">
        <v>11958</v>
      </c>
      <c r="D8824" t="s">
        <v>17197</v>
      </c>
      <c r="E8824" t="s">
        <v>24834</v>
      </c>
      <c r="F8824" t="s">
        <v>29372</v>
      </c>
      <c r="G8824" t="s">
        <v>29380</v>
      </c>
      <c r="H8824" t="s">
        <v>11048</v>
      </c>
      <c r="I8824" t="s">
        <v>29417</v>
      </c>
      <c r="J8824" t="s">
        <v>34195</v>
      </c>
      <c r="K8824" t="s">
        <v>38496</v>
      </c>
      <c r="M8824" t="s">
        <v>40430</v>
      </c>
      <c r="N8824" t="s">
        <v>42669</v>
      </c>
      <c r="O8824" t="s">
        <v>42670</v>
      </c>
      <c r="P8824">
        <v>0</v>
      </c>
      <c r="Q8824">
        <v>1</v>
      </c>
      <c r="R8824" t="s">
        <v>42681</v>
      </c>
      <c r="S8824" t="s">
        <v>42966</v>
      </c>
      <c r="T8824" t="s">
        <v>44517</v>
      </c>
      <c r="U8824" t="s">
        <v>52021</v>
      </c>
      <c r="W8824" t="s">
        <v>40430</v>
      </c>
      <c r="X8824" t="s">
        <v>42683</v>
      </c>
    </row>
    <row r="8825" spans="1:24">
      <c r="A8825">
        <f>HYPERLINK("https://www.philgeps.gov.ph/GEPSNONPILOT/Tender/SplashBidNoticeAbstractUI.aspx?menuIndex=3&amp;refID=7180337&amp;Result=3","7180337")</f>
        <v>0</v>
      </c>
      <c r="B8825" t="s">
        <v>2680</v>
      </c>
      <c r="C8825" t="s">
        <v>11959</v>
      </c>
      <c r="D8825" t="s">
        <v>17141</v>
      </c>
      <c r="E8825" t="s">
        <v>24835</v>
      </c>
      <c r="F8825" t="s">
        <v>29372</v>
      </c>
      <c r="G8825" t="s">
        <v>29380</v>
      </c>
      <c r="H8825" t="s">
        <v>11048</v>
      </c>
      <c r="I8825" t="s">
        <v>3839</v>
      </c>
      <c r="J8825" t="s">
        <v>29625</v>
      </c>
      <c r="K8825" t="s">
        <v>38491</v>
      </c>
      <c r="M8825" t="s">
        <v>41660</v>
      </c>
      <c r="N8825" t="s">
        <v>42669</v>
      </c>
      <c r="O8825" t="s">
        <v>42670</v>
      </c>
      <c r="P8825">
        <v>0</v>
      </c>
      <c r="Q8825">
        <v>1</v>
      </c>
      <c r="R8825" t="s">
        <v>42680</v>
      </c>
      <c r="S8825" t="s">
        <v>42961</v>
      </c>
      <c r="T8825" t="s">
        <v>44474</v>
      </c>
      <c r="U8825" t="s">
        <v>52022</v>
      </c>
      <c r="W8825" t="s">
        <v>41660</v>
      </c>
      <c r="X8825" t="s">
        <v>42681</v>
      </c>
    </row>
    <row r="8826" spans="1:24">
      <c r="A8826">
        <f>HYPERLINK("https://www.philgeps.gov.ph/GEPSNONPILOT/Tender/SplashBidNoticeAbstractUI.aspx?menuIndex=3&amp;refID=7153856&amp;Result=3","7153856")</f>
        <v>0</v>
      </c>
      <c r="B8826" t="s">
        <v>2686</v>
      </c>
      <c r="C8826" t="s">
        <v>11960</v>
      </c>
      <c r="D8826" t="s">
        <v>17170</v>
      </c>
      <c r="E8826" t="s">
        <v>24836</v>
      </c>
      <c r="F8826" t="s">
        <v>29373</v>
      </c>
      <c r="G8826" t="s">
        <v>29380</v>
      </c>
      <c r="H8826" t="s">
        <v>11048</v>
      </c>
      <c r="I8826" t="s">
        <v>29461</v>
      </c>
      <c r="J8826" t="s">
        <v>35181</v>
      </c>
      <c r="K8826" t="s">
        <v>38490</v>
      </c>
      <c r="M8826" t="s">
        <v>41666</v>
      </c>
      <c r="N8826" t="s">
        <v>42669</v>
      </c>
      <c r="O8826" t="s">
        <v>42670</v>
      </c>
      <c r="P8826">
        <v>0</v>
      </c>
      <c r="Q8826">
        <v>0</v>
      </c>
      <c r="R8826" t="s">
        <v>42681</v>
      </c>
      <c r="S8826" t="s">
        <v>42966</v>
      </c>
      <c r="T8826" t="s">
        <v>44639</v>
      </c>
      <c r="U8826" t="s">
        <v>52023</v>
      </c>
      <c r="V8826" t="s">
        <v>57344</v>
      </c>
      <c r="W8826" t="s">
        <v>41666</v>
      </c>
      <c r="X8826" t="s">
        <v>42692</v>
      </c>
    </row>
    <row r="8827" spans="1:24">
      <c r="A8827">
        <f>HYPERLINK("https://www.philgeps.gov.ph/GEPSNONPILOT/Tender/SplashBidNoticeAbstractUI.aspx?menuIndex=3&amp;refID=7180329&amp;Result=3","7180329")</f>
        <v>0</v>
      </c>
      <c r="B8827" t="s">
        <v>2681</v>
      </c>
      <c r="C8827" t="s">
        <v>11961</v>
      </c>
      <c r="D8827" t="s">
        <v>17193</v>
      </c>
      <c r="E8827" t="s">
        <v>24837</v>
      </c>
      <c r="F8827" t="s">
        <v>29372</v>
      </c>
      <c r="G8827" t="s">
        <v>29382</v>
      </c>
      <c r="H8827" t="s">
        <v>11048</v>
      </c>
      <c r="I8827" t="s">
        <v>4487</v>
      </c>
      <c r="J8827" t="s">
        <v>35182</v>
      </c>
      <c r="K8827" t="s">
        <v>38485</v>
      </c>
      <c r="M8827" t="s">
        <v>41661</v>
      </c>
      <c r="N8827" t="s">
        <v>42669</v>
      </c>
      <c r="O8827" t="s">
        <v>42670</v>
      </c>
      <c r="P8827">
        <v>0</v>
      </c>
      <c r="Q8827">
        <v>11</v>
      </c>
      <c r="R8827" t="s">
        <v>42680</v>
      </c>
      <c r="S8827" t="s">
        <v>42961</v>
      </c>
      <c r="T8827" t="s">
        <v>44512</v>
      </c>
      <c r="U8827" t="s">
        <v>52024</v>
      </c>
      <c r="W8827" t="s">
        <v>41661</v>
      </c>
      <c r="X8827" t="s">
        <v>42681</v>
      </c>
    </row>
    <row r="8828" spans="1:24">
      <c r="A8828">
        <f>HYPERLINK("https://www.philgeps.gov.ph/GEPSNONPILOT/Tender/SplashBidNoticeAbstractUI.aspx?menuIndex=3&amp;refID=7174598&amp;Result=3","7174598")</f>
        <v>0</v>
      </c>
      <c r="B8828" t="s">
        <v>1580</v>
      </c>
      <c r="C8828" t="s">
        <v>11962</v>
      </c>
      <c r="D8828" t="s">
        <v>17197</v>
      </c>
      <c r="E8828" t="s">
        <v>24838</v>
      </c>
      <c r="F8828" t="s">
        <v>29372</v>
      </c>
      <c r="G8828" t="s">
        <v>29380</v>
      </c>
      <c r="H8828" t="s">
        <v>11048</v>
      </c>
      <c r="I8828" t="s">
        <v>10408</v>
      </c>
      <c r="J8828" t="s">
        <v>34528</v>
      </c>
      <c r="K8828" t="s">
        <v>38597</v>
      </c>
      <c r="M8828" t="s">
        <v>40430</v>
      </c>
      <c r="N8828" t="s">
        <v>42669</v>
      </c>
      <c r="O8828" t="s">
        <v>42670</v>
      </c>
      <c r="P8828">
        <v>0</v>
      </c>
      <c r="Q8828">
        <v>0</v>
      </c>
      <c r="R8828" t="s">
        <v>42681</v>
      </c>
      <c r="S8828" t="s">
        <v>42966</v>
      </c>
      <c r="T8828" t="s">
        <v>44517</v>
      </c>
      <c r="U8828" t="s">
        <v>52025</v>
      </c>
      <c r="W8828" t="s">
        <v>40430</v>
      </c>
      <c r="X8828" t="s">
        <v>42683</v>
      </c>
    </row>
    <row r="8829" spans="1:24">
      <c r="A8829">
        <f>HYPERLINK("https://www.philgeps.gov.ph/GEPSNONPILOT/Tender/SplashBidNoticeAbstractUI.aspx?menuIndex=3&amp;refID=7152538-2&amp;Result=3","7152538-2")</f>
        <v>0</v>
      </c>
      <c r="B8829" t="s">
        <v>1911</v>
      </c>
      <c r="C8829" t="s">
        <v>11963</v>
      </c>
      <c r="D8829" t="s">
        <v>17241</v>
      </c>
      <c r="E8829" t="s">
        <v>24839</v>
      </c>
      <c r="F8829" t="s">
        <v>29372</v>
      </c>
      <c r="G8829" t="s">
        <v>29380</v>
      </c>
      <c r="H8829" t="s">
        <v>29391</v>
      </c>
      <c r="I8829" t="s">
        <v>29391</v>
      </c>
      <c r="J8829" t="s">
        <v>35183</v>
      </c>
      <c r="K8829" t="s">
        <v>38606</v>
      </c>
      <c r="M8829" t="s">
        <v>40786</v>
      </c>
      <c r="N8829" t="s">
        <v>42669</v>
      </c>
      <c r="O8829" t="s">
        <v>42670</v>
      </c>
      <c r="P8829">
        <v>0</v>
      </c>
      <c r="Q8829">
        <v>2</v>
      </c>
      <c r="R8829" t="s">
        <v>42681</v>
      </c>
      <c r="S8829" t="s">
        <v>42966</v>
      </c>
      <c r="T8829" t="s">
        <v>44357</v>
      </c>
      <c r="U8829" t="s">
        <v>52026</v>
      </c>
      <c r="V8829" t="s">
        <v>57345</v>
      </c>
      <c r="W8829" t="s">
        <v>40786</v>
      </c>
      <c r="X8829" t="s">
        <v>42682</v>
      </c>
    </row>
    <row r="8830" spans="1:24">
      <c r="A8830">
        <f>HYPERLINK("https://www.philgeps.gov.ph/GEPSNONPILOT/Tender/SplashBidNoticeAbstractUI.aspx?menuIndex=3&amp;refID=7180420&amp;Result=3","7180420")</f>
        <v>0</v>
      </c>
      <c r="B8830" t="s">
        <v>2687</v>
      </c>
      <c r="C8830" t="s">
        <v>11964</v>
      </c>
      <c r="D8830" t="s">
        <v>17163</v>
      </c>
      <c r="E8830" t="s">
        <v>24840</v>
      </c>
      <c r="F8830" t="s">
        <v>29372</v>
      </c>
      <c r="G8830" t="s">
        <v>29380</v>
      </c>
      <c r="H8830" t="s">
        <v>11048</v>
      </c>
      <c r="I8830" t="s">
        <v>29405</v>
      </c>
      <c r="J8830" t="s">
        <v>35184</v>
      </c>
      <c r="K8830" t="s">
        <v>38485</v>
      </c>
      <c r="M8830" t="s">
        <v>41667</v>
      </c>
      <c r="N8830" t="s">
        <v>42669</v>
      </c>
      <c r="O8830" t="s">
        <v>42670</v>
      </c>
      <c r="P8830">
        <v>0</v>
      </c>
      <c r="Q8830">
        <v>8</v>
      </c>
      <c r="R8830" t="s">
        <v>42680</v>
      </c>
      <c r="S8830" t="s">
        <v>42961</v>
      </c>
      <c r="T8830" t="s">
        <v>44474</v>
      </c>
      <c r="U8830" t="s">
        <v>52027</v>
      </c>
      <c r="W8830" t="s">
        <v>41667</v>
      </c>
      <c r="X8830" t="s">
        <v>42681</v>
      </c>
    </row>
    <row r="8831" spans="1:24">
      <c r="A8831">
        <f>HYPERLINK("https://www.philgeps.gov.ph/GEPSNONPILOT/Tender/SplashBidNoticeAbstractUI.aspx?menuIndex=3&amp;refID=7180384&amp;Result=3","7180384")</f>
        <v>0</v>
      </c>
      <c r="B8831" t="s">
        <v>2677</v>
      </c>
      <c r="C8831" t="s">
        <v>11965</v>
      </c>
      <c r="D8831" t="s">
        <v>17164</v>
      </c>
      <c r="E8831" t="s">
        <v>20692</v>
      </c>
      <c r="F8831" t="s">
        <v>29372</v>
      </c>
      <c r="G8831" t="s">
        <v>29380</v>
      </c>
      <c r="H8831" t="s">
        <v>29389</v>
      </c>
      <c r="I8831" t="s">
        <v>10408</v>
      </c>
      <c r="J8831" t="s">
        <v>35185</v>
      </c>
      <c r="K8831" t="s">
        <v>38538</v>
      </c>
      <c r="L8831" t="s">
        <v>2677</v>
      </c>
      <c r="M8831" t="s">
        <v>41657</v>
      </c>
      <c r="N8831" t="s">
        <v>42669</v>
      </c>
      <c r="O8831" t="s">
        <v>42670</v>
      </c>
      <c r="P8831">
        <v>0</v>
      </c>
      <c r="Q8831">
        <v>0</v>
      </c>
      <c r="R8831" t="s">
        <v>42680</v>
      </c>
      <c r="S8831" t="s">
        <v>42961</v>
      </c>
      <c r="T8831" t="s">
        <v>44410</v>
      </c>
      <c r="U8831" t="s">
        <v>52028</v>
      </c>
      <c r="W8831" t="s">
        <v>41657</v>
      </c>
      <c r="X8831" t="s">
        <v>42681</v>
      </c>
    </row>
    <row r="8832" spans="1:24">
      <c r="A8832">
        <f>HYPERLINK("https://www.philgeps.gov.ph/GEPSNONPILOT/Tender/SplashBidNoticeAbstractUI.aspx?menuIndex=3&amp;refID=7153742&amp;Result=3","7153742")</f>
        <v>0</v>
      </c>
      <c r="B8832" t="s">
        <v>2686</v>
      </c>
      <c r="C8832" t="s">
        <v>11966</v>
      </c>
      <c r="D8832" t="s">
        <v>17170</v>
      </c>
      <c r="E8832" t="s">
        <v>24841</v>
      </c>
      <c r="F8832" t="s">
        <v>29373</v>
      </c>
      <c r="G8832" t="s">
        <v>29380</v>
      </c>
      <c r="H8832" t="s">
        <v>11048</v>
      </c>
      <c r="I8832" t="s">
        <v>14920</v>
      </c>
      <c r="J8832" t="s">
        <v>35186</v>
      </c>
      <c r="K8832" t="s">
        <v>38490</v>
      </c>
      <c r="M8832" t="s">
        <v>41666</v>
      </c>
      <c r="N8832" t="s">
        <v>42669</v>
      </c>
      <c r="O8832" t="s">
        <v>42670</v>
      </c>
      <c r="P8832">
        <v>0</v>
      </c>
      <c r="Q8832">
        <v>0</v>
      </c>
      <c r="R8832" t="s">
        <v>42681</v>
      </c>
      <c r="S8832" t="s">
        <v>42966</v>
      </c>
      <c r="T8832" t="s">
        <v>44639</v>
      </c>
      <c r="U8832" t="s">
        <v>52029</v>
      </c>
      <c r="V8832" t="s">
        <v>57346</v>
      </c>
      <c r="W8832" t="s">
        <v>41666</v>
      </c>
      <c r="X8832" t="s">
        <v>42692</v>
      </c>
    </row>
    <row r="8833" spans="1:24">
      <c r="A8833">
        <f>HYPERLINK("https://www.philgeps.gov.ph/GEPSNONPILOT/Tender/SplashBidNoticeAbstractUI.aspx?menuIndex=3&amp;refID=7133511&amp;Result=3","7133511")</f>
        <v>0</v>
      </c>
      <c r="B8833" t="s">
        <v>2688</v>
      </c>
      <c r="C8833" t="s">
        <v>11967</v>
      </c>
      <c r="D8833" t="s">
        <v>17188</v>
      </c>
      <c r="E8833" t="s">
        <v>17289</v>
      </c>
      <c r="F8833" t="s">
        <v>29372</v>
      </c>
      <c r="G8833" t="s">
        <v>29380</v>
      </c>
      <c r="H8833" t="s">
        <v>29389</v>
      </c>
      <c r="I8833" t="s">
        <v>4709</v>
      </c>
      <c r="J8833" t="s">
        <v>29555</v>
      </c>
      <c r="K8833" t="s">
        <v>38485</v>
      </c>
      <c r="M8833" t="s">
        <v>41668</v>
      </c>
      <c r="N8833" t="s">
        <v>42669</v>
      </c>
      <c r="O8833" t="s">
        <v>42670</v>
      </c>
      <c r="P8833">
        <v>0</v>
      </c>
      <c r="Q8833">
        <v>0</v>
      </c>
      <c r="R8833" t="s">
        <v>42681</v>
      </c>
      <c r="S8833" t="s">
        <v>42966</v>
      </c>
      <c r="T8833" t="s">
        <v>44432</v>
      </c>
      <c r="U8833" t="s">
        <v>52030</v>
      </c>
      <c r="W8833" t="s">
        <v>41668</v>
      </c>
      <c r="X8833" t="s">
        <v>42702</v>
      </c>
    </row>
    <row r="8834" spans="1:24">
      <c r="A8834">
        <f>HYPERLINK("https://www.philgeps.gov.ph/GEPSNONPILOT/Tender/SplashBidNoticeAbstractUI.aspx?menuIndex=3&amp;refID=7173661&amp;Result=3","7173661")</f>
        <v>0</v>
      </c>
      <c r="B8834" t="s">
        <v>2685</v>
      </c>
      <c r="C8834" t="s">
        <v>11968</v>
      </c>
      <c r="D8834" t="s">
        <v>17177</v>
      </c>
      <c r="E8834" t="s">
        <v>24842</v>
      </c>
      <c r="F8834" t="s">
        <v>29372</v>
      </c>
      <c r="G8834" t="s">
        <v>29380</v>
      </c>
      <c r="H8834" t="s">
        <v>29389</v>
      </c>
      <c r="I8834" t="s">
        <v>10408</v>
      </c>
      <c r="J8834" t="s">
        <v>35187</v>
      </c>
      <c r="K8834" t="s">
        <v>38495</v>
      </c>
      <c r="M8834" t="s">
        <v>41665</v>
      </c>
      <c r="N8834" t="s">
        <v>42669</v>
      </c>
      <c r="O8834" t="s">
        <v>42670</v>
      </c>
      <c r="P8834">
        <v>0</v>
      </c>
      <c r="Q8834">
        <v>14</v>
      </c>
      <c r="R8834" t="s">
        <v>42681</v>
      </c>
      <c r="S8834" t="s">
        <v>42966</v>
      </c>
      <c r="T8834" t="s">
        <v>44446</v>
      </c>
      <c r="U8834" t="s">
        <v>52031</v>
      </c>
      <c r="W8834" t="s">
        <v>42041</v>
      </c>
      <c r="X8834" t="s">
        <v>42684</v>
      </c>
    </row>
    <row r="8835" spans="1:24">
      <c r="A8835">
        <f>HYPERLINK("https://www.philgeps.gov.ph/GEPSNONPILOT/Tender/SplashBidNoticeAbstractUI.aspx?menuIndex=3&amp;refID=7174757&amp;Result=3","7174757")</f>
        <v>0</v>
      </c>
      <c r="B8835" t="s">
        <v>2689</v>
      </c>
      <c r="C8835" t="s">
        <v>11969</v>
      </c>
      <c r="D8835" t="s">
        <v>17168</v>
      </c>
      <c r="E8835" t="s">
        <v>24843</v>
      </c>
      <c r="F8835" t="s">
        <v>29372</v>
      </c>
      <c r="G8835" t="s">
        <v>29380</v>
      </c>
      <c r="H8835" t="s">
        <v>11048</v>
      </c>
      <c r="I8835" t="s">
        <v>4709</v>
      </c>
      <c r="J8835" t="s">
        <v>35188</v>
      </c>
      <c r="K8835" t="s">
        <v>38496</v>
      </c>
      <c r="M8835" t="s">
        <v>41669</v>
      </c>
      <c r="N8835" t="s">
        <v>42669</v>
      </c>
      <c r="O8835" t="s">
        <v>42670</v>
      </c>
      <c r="P8835">
        <v>0</v>
      </c>
      <c r="Q8835">
        <v>0</v>
      </c>
      <c r="R8835" t="s">
        <v>42681</v>
      </c>
      <c r="S8835" t="s">
        <v>42966</v>
      </c>
      <c r="T8835" t="s">
        <v>44512</v>
      </c>
      <c r="U8835" t="s">
        <v>52032</v>
      </c>
      <c r="W8835" t="s">
        <v>41669</v>
      </c>
      <c r="X8835" t="s">
        <v>42683</v>
      </c>
    </row>
    <row r="8836" spans="1:24">
      <c r="A8836">
        <f>HYPERLINK("https://www.philgeps.gov.ph/GEPSNONPILOT/Tender/SplashBidNoticeAbstractUI.aspx?menuIndex=3&amp;refID=7180418&amp;Result=3","7180418")</f>
        <v>0</v>
      </c>
      <c r="B8836" t="s">
        <v>2687</v>
      </c>
      <c r="C8836" t="s">
        <v>11970</v>
      </c>
      <c r="D8836" t="s">
        <v>17163</v>
      </c>
      <c r="E8836" t="s">
        <v>24844</v>
      </c>
      <c r="F8836" t="s">
        <v>29372</v>
      </c>
      <c r="G8836" t="s">
        <v>29380</v>
      </c>
      <c r="H8836" t="s">
        <v>11048</v>
      </c>
      <c r="I8836" t="s">
        <v>3839</v>
      </c>
      <c r="J8836" t="s">
        <v>35189</v>
      </c>
      <c r="K8836" t="s">
        <v>38485</v>
      </c>
      <c r="M8836" t="s">
        <v>41667</v>
      </c>
      <c r="N8836" t="s">
        <v>42669</v>
      </c>
      <c r="O8836" t="s">
        <v>42670</v>
      </c>
      <c r="P8836">
        <v>0</v>
      </c>
      <c r="Q8836">
        <v>9</v>
      </c>
      <c r="R8836" t="s">
        <v>42680</v>
      </c>
      <c r="S8836" t="s">
        <v>42961</v>
      </c>
      <c r="T8836" t="s">
        <v>44474</v>
      </c>
      <c r="U8836" t="s">
        <v>52033</v>
      </c>
      <c r="W8836" t="s">
        <v>41667</v>
      </c>
      <c r="X8836" t="s">
        <v>42681</v>
      </c>
    </row>
    <row r="8837" spans="1:24">
      <c r="A8837">
        <f>HYPERLINK("https://www.philgeps.gov.ph/GEPSNONPILOT/Tender/SplashBidNoticeAbstractUI.aspx?menuIndex=3&amp;refID=7176899&amp;Result=3","7176899")</f>
        <v>0</v>
      </c>
      <c r="B8837" t="s">
        <v>2690</v>
      </c>
      <c r="C8837" t="s">
        <v>11971</v>
      </c>
      <c r="D8837" t="s">
        <v>17170</v>
      </c>
      <c r="E8837" t="s">
        <v>11971</v>
      </c>
      <c r="F8837" t="s">
        <v>29372</v>
      </c>
      <c r="G8837" t="s">
        <v>29380</v>
      </c>
      <c r="H8837" t="s">
        <v>11048</v>
      </c>
      <c r="I8837" t="s">
        <v>5383</v>
      </c>
      <c r="J8837" t="s">
        <v>29708</v>
      </c>
      <c r="K8837" t="s">
        <v>38488</v>
      </c>
      <c r="M8837" t="s">
        <v>41670</v>
      </c>
      <c r="N8837" t="s">
        <v>42669</v>
      </c>
      <c r="O8837" t="s">
        <v>42670</v>
      </c>
      <c r="P8837">
        <v>0</v>
      </c>
      <c r="Q8837">
        <v>1</v>
      </c>
      <c r="R8837" t="s">
        <v>42681</v>
      </c>
      <c r="S8837" t="s">
        <v>42966</v>
      </c>
      <c r="T8837" t="s">
        <v>44590</v>
      </c>
      <c r="U8837" t="s">
        <v>52034</v>
      </c>
      <c r="W8837" t="s">
        <v>41670</v>
      </c>
      <c r="X8837" t="s">
        <v>42683</v>
      </c>
    </row>
    <row r="8838" spans="1:24">
      <c r="A8838">
        <f>HYPERLINK("https://www.philgeps.gov.ph/GEPSNONPILOT/Tender/SplashBidNoticeAbstractUI.aspx?menuIndex=3&amp;refID=7176808&amp;Result=3","7176808")</f>
        <v>0</v>
      </c>
      <c r="B8838" t="s">
        <v>2685</v>
      </c>
      <c r="C8838" t="s">
        <v>11972</v>
      </c>
      <c r="D8838" t="s">
        <v>17177</v>
      </c>
      <c r="E8838" t="s">
        <v>24845</v>
      </c>
      <c r="F8838" t="s">
        <v>29372</v>
      </c>
      <c r="G8838" t="s">
        <v>29380</v>
      </c>
      <c r="H8838" t="s">
        <v>29389</v>
      </c>
      <c r="I8838" t="s">
        <v>10408</v>
      </c>
      <c r="J8838" t="s">
        <v>29721</v>
      </c>
      <c r="K8838" t="s">
        <v>38490</v>
      </c>
      <c r="M8838" t="s">
        <v>41665</v>
      </c>
      <c r="N8838" t="s">
        <v>42669</v>
      </c>
      <c r="O8838" t="s">
        <v>42670</v>
      </c>
      <c r="P8838">
        <v>0</v>
      </c>
      <c r="Q8838">
        <v>8</v>
      </c>
      <c r="R8838" t="s">
        <v>42681</v>
      </c>
      <c r="S8838" t="s">
        <v>42966</v>
      </c>
      <c r="T8838" t="s">
        <v>44446</v>
      </c>
      <c r="U8838" t="s">
        <v>52035</v>
      </c>
      <c r="W8838" t="s">
        <v>42041</v>
      </c>
      <c r="X8838" t="s">
        <v>42683</v>
      </c>
    </row>
    <row r="8839" spans="1:24">
      <c r="A8839">
        <f>HYPERLINK("https://www.philgeps.gov.ph/GEPSNONPILOT/Tender/SplashBidNoticeAbstractUI.aspx?menuIndex=3&amp;refID=7177413&amp;Result=3","7177413")</f>
        <v>0</v>
      </c>
      <c r="B8839" t="s">
        <v>2691</v>
      </c>
      <c r="C8839" t="s">
        <v>7642</v>
      </c>
      <c r="D8839" t="s">
        <v>17158</v>
      </c>
      <c r="E8839" t="s">
        <v>17347</v>
      </c>
      <c r="F8839" t="s">
        <v>29372</v>
      </c>
      <c r="G8839" t="s">
        <v>29380</v>
      </c>
      <c r="H8839" t="s">
        <v>29389</v>
      </c>
      <c r="I8839" t="s">
        <v>10408</v>
      </c>
      <c r="J8839" t="s">
        <v>29657</v>
      </c>
      <c r="K8839" t="s">
        <v>38485</v>
      </c>
      <c r="M8839" t="s">
        <v>41671</v>
      </c>
      <c r="N8839" t="s">
        <v>42669</v>
      </c>
      <c r="O8839" t="s">
        <v>42670</v>
      </c>
      <c r="P8839">
        <v>0</v>
      </c>
      <c r="Q8839">
        <v>0</v>
      </c>
      <c r="R8839" t="s">
        <v>42681</v>
      </c>
      <c r="S8839" t="s">
        <v>42966</v>
      </c>
      <c r="T8839" t="s">
        <v>44444</v>
      </c>
      <c r="U8839" t="s">
        <v>52036</v>
      </c>
      <c r="W8839" t="s">
        <v>41671</v>
      </c>
      <c r="X8839" t="s">
        <v>42682</v>
      </c>
    </row>
    <row r="8840" spans="1:24">
      <c r="A8840">
        <f>HYPERLINK("https://www.philgeps.gov.ph/GEPSNONPILOT/Tender/SplashBidNoticeAbstractUI.aspx?menuIndex=3&amp;refID=7177121&amp;Result=3","7177121")</f>
        <v>0</v>
      </c>
      <c r="B8840" t="s">
        <v>1390</v>
      </c>
      <c r="C8840" t="s">
        <v>11973</v>
      </c>
      <c r="D8840" t="s">
        <v>17201</v>
      </c>
      <c r="E8840" t="s">
        <v>24846</v>
      </c>
      <c r="F8840" t="s">
        <v>29372</v>
      </c>
      <c r="G8840" t="s">
        <v>29380</v>
      </c>
      <c r="H8840" t="s">
        <v>29389</v>
      </c>
      <c r="I8840" t="s">
        <v>10408</v>
      </c>
      <c r="J8840" t="s">
        <v>35190</v>
      </c>
      <c r="K8840" t="s">
        <v>38510</v>
      </c>
      <c r="M8840" t="s">
        <v>40228</v>
      </c>
      <c r="N8840" t="s">
        <v>42669</v>
      </c>
      <c r="O8840" t="s">
        <v>42670</v>
      </c>
      <c r="P8840">
        <v>0</v>
      </c>
      <c r="Q8840">
        <v>0</v>
      </c>
      <c r="R8840" t="s">
        <v>42681</v>
      </c>
      <c r="S8840" t="s">
        <v>42966</v>
      </c>
      <c r="T8840" t="s">
        <v>44419</v>
      </c>
      <c r="U8840" t="s">
        <v>52037</v>
      </c>
      <c r="V8840" t="s">
        <v>57347</v>
      </c>
      <c r="W8840" t="s">
        <v>40228</v>
      </c>
      <c r="X8840" t="s">
        <v>42683</v>
      </c>
    </row>
    <row r="8841" spans="1:24">
      <c r="A8841">
        <f>HYPERLINK("https://www.philgeps.gov.ph/GEPSNONPILOT/Tender/SplashBidNoticeAbstractUI.aspx?menuIndex=3&amp;refID=7176771&amp;Result=3","7176771")</f>
        <v>0</v>
      </c>
      <c r="B8841" t="s">
        <v>2685</v>
      </c>
      <c r="C8841" t="s">
        <v>11974</v>
      </c>
      <c r="D8841" t="s">
        <v>17177</v>
      </c>
      <c r="E8841" t="s">
        <v>24847</v>
      </c>
      <c r="F8841" t="s">
        <v>29372</v>
      </c>
      <c r="G8841" t="s">
        <v>29380</v>
      </c>
      <c r="H8841" t="s">
        <v>29389</v>
      </c>
      <c r="I8841" t="s">
        <v>10408</v>
      </c>
      <c r="J8841" t="s">
        <v>34272</v>
      </c>
      <c r="K8841" t="s">
        <v>38495</v>
      </c>
      <c r="M8841" t="s">
        <v>41665</v>
      </c>
      <c r="N8841" t="s">
        <v>42669</v>
      </c>
      <c r="O8841" t="s">
        <v>42670</v>
      </c>
      <c r="P8841">
        <v>0</v>
      </c>
      <c r="Q8841">
        <v>7</v>
      </c>
      <c r="R8841" t="s">
        <v>42681</v>
      </c>
      <c r="S8841" t="s">
        <v>42966</v>
      </c>
      <c r="T8841" t="s">
        <v>44446</v>
      </c>
      <c r="U8841" t="s">
        <v>52038</v>
      </c>
      <c r="W8841" t="s">
        <v>42041</v>
      </c>
      <c r="X8841" t="s">
        <v>42683</v>
      </c>
    </row>
    <row r="8842" spans="1:24">
      <c r="A8842">
        <f>HYPERLINK("https://www.philgeps.gov.ph/GEPSNONPILOT/Tender/SplashBidNoticeAbstractUI.aspx?menuIndex=3&amp;refID=7177415&amp;Result=3","7177415")</f>
        <v>0</v>
      </c>
      <c r="B8842" t="s">
        <v>2691</v>
      </c>
      <c r="C8842" t="s">
        <v>7642</v>
      </c>
      <c r="D8842" t="s">
        <v>17158</v>
      </c>
      <c r="E8842" t="s">
        <v>17870</v>
      </c>
      <c r="F8842" t="s">
        <v>29372</v>
      </c>
      <c r="G8842" t="s">
        <v>29380</v>
      </c>
      <c r="H8842" t="s">
        <v>29389</v>
      </c>
      <c r="I8842" t="s">
        <v>10408</v>
      </c>
      <c r="J8842" t="s">
        <v>29526</v>
      </c>
      <c r="K8842" t="s">
        <v>38485</v>
      </c>
      <c r="M8842" t="s">
        <v>41671</v>
      </c>
      <c r="N8842" t="s">
        <v>42669</v>
      </c>
      <c r="O8842" t="s">
        <v>42670</v>
      </c>
      <c r="P8842">
        <v>0</v>
      </c>
      <c r="Q8842">
        <v>0</v>
      </c>
      <c r="R8842" t="s">
        <v>42681</v>
      </c>
      <c r="S8842" t="s">
        <v>42966</v>
      </c>
      <c r="T8842" t="s">
        <v>44444</v>
      </c>
      <c r="U8842" t="s">
        <v>52039</v>
      </c>
      <c r="W8842" t="s">
        <v>41671</v>
      </c>
      <c r="X8842" t="s">
        <v>42682</v>
      </c>
    </row>
    <row r="8843" spans="1:24">
      <c r="A8843">
        <f>HYPERLINK("https://www.philgeps.gov.ph/GEPSNONPILOT/Tender/SplashBidNoticeAbstractUI.aspx?menuIndex=3&amp;refID=7176715&amp;Result=3","7176715")</f>
        <v>0</v>
      </c>
      <c r="B8843" t="s">
        <v>2685</v>
      </c>
      <c r="C8843" t="s">
        <v>11975</v>
      </c>
      <c r="D8843" t="s">
        <v>17177</v>
      </c>
      <c r="E8843" t="s">
        <v>24848</v>
      </c>
      <c r="F8843" t="s">
        <v>29372</v>
      </c>
      <c r="G8843" t="s">
        <v>29380</v>
      </c>
      <c r="H8843" t="s">
        <v>29389</v>
      </c>
      <c r="I8843" t="s">
        <v>10408</v>
      </c>
      <c r="J8843" t="s">
        <v>30161</v>
      </c>
      <c r="K8843" t="s">
        <v>38495</v>
      </c>
      <c r="M8843" t="s">
        <v>41665</v>
      </c>
      <c r="N8843" t="s">
        <v>42669</v>
      </c>
      <c r="O8843" t="s">
        <v>42670</v>
      </c>
      <c r="P8843">
        <v>0</v>
      </c>
      <c r="Q8843">
        <v>8</v>
      </c>
      <c r="R8843" t="s">
        <v>42681</v>
      </c>
      <c r="S8843" t="s">
        <v>42966</v>
      </c>
      <c r="T8843" t="s">
        <v>44446</v>
      </c>
      <c r="U8843" t="s">
        <v>52040</v>
      </c>
      <c r="W8843" t="s">
        <v>42041</v>
      </c>
      <c r="X8843" t="s">
        <v>42683</v>
      </c>
    </row>
    <row r="8844" spans="1:24">
      <c r="A8844">
        <f>HYPERLINK("https://www.philgeps.gov.ph/GEPSNONPILOT/Tender/SplashBidNoticeAbstractUI.aspx?menuIndex=3&amp;refID=7176614&amp;Result=3","7176614")</f>
        <v>0</v>
      </c>
      <c r="B8844" t="s">
        <v>2692</v>
      </c>
      <c r="C8844" t="s">
        <v>11976</v>
      </c>
      <c r="D8844" t="s">
        <v>17205</v>
      </c>
      <c r="E8844" t="s">
        <v>24849</v>
      </c>
      <c r="F8844" t="s">
        <v>29372</v>
      </c>
      <c r="G8844" t="s">
        <v>29380</v>
      </c>
      <c r="H8844" t="s">
        <v>11048</v>
      </c>
      <c r="I8844" t="s">
        <v>4709</v>
      </c>
      <c r="J8844" t="s">
        <v>35191</v>
      </c>
      <c r="K8844" t="s">
        <v>38510</v>
      </c>
      <c r="M8844" t="s">
        <v>41672</v>
      </c>
      <c r="N8844" t="s">
        <v>42669</v>
      </c>
      <c r="O8844" t="s">
        <v>42670</v>
      </c>
      <c r="P8844">
        <v>0</v>
      </c>
      <c r="Q8844">
        <v>1</v>
      </c>
      <c r="R8844" t="s">
        <v>42681</v>
      </c>
      <c r="S8844" t="s">
        <v>42966</v>
      </c>
      <c r="T8844" t="s">
        <v>44530</v>
      </c>
      <c r="U8844" t="s">
        <v>52041</v>
      </c>
      <c r="W8844" t="s">
        <v>41672</v>
      </c>
      <c r="X8844" t="s">
        <v>42683</v>
      </c>
    </row>
    <row r="8845" spans="1:24">
      <c r="A8845">
        <f>HYPERLINK("https://www.philgeps.gov.ph/GEPSNONPILOT/Tender/SplashBidNoticeAbstractUI.aspx?menuIndex=3&amp;refID=7176660&amp;Result=3","7176660")</f>
        <v>0</v>
      </c>
      <c r="B8845" t="s">
        <v>2693</v>
      </c>
      <c r="C8845" t="s">
        <v>4213</v>
      </c>
      <c r="D8845" t="s">
        <v>17200</v>
      </c>
      <c r="E8845" t="s">
        <v>24850</v>
      </c>
      <c r="F8845" t="s">
        <v>29372</v>
      </c>
      <c r="G8845" t="s">
        <v>29380</v>
      </c>
      <c r="H8845" t="s">
        <v>11048</v>
      </c>
      <c r="I8845" t="s">
        <v>3695</v>
      </c>
      <c r="J8845" t="s">
        <v>35192</v>
      </c>
      <c r="K8845" t="s">
        <v>38485</v>
      </c>
      <c r="M8845" t="s">
        <v>41673</v>
      </c>
      <c r="N8845" t="s">
        <v>42669</v>
      </c>
      <c r="O8845" t="s">
        <v>42670</v>
      </c>
      <c r="P8845">
        <v>0</v>
      </c>
      <c r="Q8845">
        <v>14</v>
      </c>
      <c r="R8845" t="s">
        <v>42681</v>
      </c>
      <c r="S8845" t="s">
        <v>42966</v>
      </c>
      <c r="T8845" t="s">
        <v>44355</v>
      </c>
      <c r="U8845" t="s">
        <v>52042</v>
      </c>
      <c r="W8845" t="s">
        <v>41673</v>
      </c>
      <c r="X8845" t="s">
        <v>42683</v>
      </c>
    </row>
    <row r="8846" spans="1:24">
      <c r="A8846">
        <f>HYPERLINK("https://www.philgeps.gov.ph/GEPSNONPILOT/Tender/SplashBidNoticeAbstractUI.aspx?menuIndex=3&amp;refID=7176583&amp;Result=3","7176583")</f>
        <v>0</v>
      </c>
      <c r="B8846" t="s">
        <v>2692</v>
      </c>
      <c r="C8846" t="s">
        <v>4274</v>
      </c>
      <c r="D8846" t="s">
        <v>17205</v>
      </c>
      <c r="E8846" t="s">
        <v>24851</v>
      </c>
      <c r="F8846" t="s">
        <v>29372</v>
      </c>
      <c r="G8846" t="s">
        <v>29380</v>
      </c>
      <c r="H8846" t="s">
        <v>11048</v>
      </c>
      <c r="I8846" t="s">
        <v>4709</v>
      </c>
      <c r="J8846" t="s">
        <v>35193</v>
      </c>
      <c r="K8846" t="s">
        <v>38510</v>
      </c>
      <c r="M8846" t="s">
        <v>41672</v>
      </c>
      <c r="N8846" t="s">
        <v>42669</v>
      </c>
      <c r="O8846" t="s">
        <v>42670</v>
      </c>
      <c r="P8846">
        <v>0</v>
      </c>
      <c r="Q8846">
        <v>0</v>
      </c>
      <c r="R8846" t="s">
        <v>42681</v>
      </c>
      <c r="S8846" t="s">
        <v>42966</v>
      </c>
      <c r="T8846" t="s">
        <v>44530</v>
      </c>
      <c r="U8846" t="s">
        <v>52043</v>
      </c>
      <c r="W8846" t="s">
        <v>41672</v>
      </c>
      <c r="X8846" t="s">
        <v>42683</v>
      </c>
    </row>
    <row r="8847" spans="1:24">
      <c r="A8847">
        <f>HYPERLINK("https://www.philgeps.gov.ph/GEPSNONPILOT/Tender/SplashBidNoticeAbstractUI.aspx?menuIndex=3&amp;refID=7176649&amp;Result=3","7176649")</f>
        <v>0</v>
      </c>
      <c r="B8847" t="s">
        <v>1751</v>
      </c>
      <c r="C8847" t="s">
        <v>11977</v>
      </c>
      <c r="D8847" t="s">
        <v>17165</v>
      </c>
      <c r="E8847" t="s">
        <v>24852</v>
      </c>
      <c r="F8847" t="s">
        <v>29372</v>
      </c>
      <c r="G8847" t="s">
        <v>29380</v>
      </c>
      <c r="H8847" t="s">
        <v>11048</v>
      </c>
      <c r="I8847" t="s">
        <v>8208</v>
      </c>
      <c r="J8847" t="s">
        <v>35194</v>
      </c>
      <c r="K8847" t="s">
        <v>38488</v>
      </c>
      <c r="M8847" t="s">
        <v>40616</v>
      </c>
      <c r="N8847" t="s">
        <v>42669</v>
      </c>
      <c r="O8847" t="s">
        <v>42670</v>
      </c>
      <c r="P8847">
        <v>0</v>
      </c>
      <c r="Q8847">
        <v>0</v>
      </c>
      <c r="R8847" t="s">
        <v>42681</v>
      </c>
      <c r="S8847" t="s">
        <v>42966</v>
      </c>
      <c r="T8847" t="s">
        <v>44391</v>
      </c>
      <c r="U8847" t="s">
        <v>52044</v>
      </c>
      <c r="W8847" t="s">
        <v>40616</v>
      </c>
      <c r="X8847" t="s">
        <v>42683</v>
      </c>
    </row>
    <row r="8848" spans="1:24">
      <c r="A8848">
        <f>HYPERLINK("https://www.philgeps.gov.ph/GEPSNONPILOT/Tender/SplashBidNoticeAbstractUI.aspx?menuIndex=3&amp;refID=7176465&amp;Result=3","7176465")</f>
        <v>0</v>
      </c>
      <c r="B8848" t="s">
        <v>1751</v>
      </c>
      <c r="C8848" t="s">
        <v>11978</v>
      </c>
      <c r="D8848" t="s">
        <v>17165</v>
      </c>
      <c r="E8848" t="s">
        <v>24853</v>
      </c>
      <c r="F8848" t="s">
        <v>29372</v>
      </c>
      <c r="G8848" t="s">
        <v>29380</v>
      </c>
      <c r="H8848" t="s">
        <v>11048</v>
      </c>
      <c r="I8848" t="s">
        <v>5383</v>
      </c>
      <c r="J8848" t="s">
        <v>29532</v>
      </c>
      <c r="K8848" t="s">
        <v>38488</v>
      </c>
      <c r="M8848" t="s">
        <v>40616</v>
      </c>
      <c r="N8848" t="s">
        <v>42669</v>
      </c>
      <c r="O8848" t="s">
        <v>42670</v>
      </c>
      <c r="P8848">
        <v>0</v>
      </c>
      <c r="Q8848">
        <v>5</v>
      </c>
      <c r="R8848" t="s">
        <v>42681</v>
      </c>
      <c r="S8848" t="s">
        <v>42966</v>
      </c>
      <c r="T8848" t="s">
        <v>44525</v>
      </c>
      <c r="U8848" t="s">
        <v>52045</v>
      </c>
      <c r="W8848" t="s">
        <v>40616</v>
      </c>
      <c r="X8848" t="s">
        <v>42683</v>
      </c>
    </row>
    <row r="8849" spans="1:24">
      <c r="A8849">
        <f>HYPERLINK("https://www.philgeps.gov.ph/GEPSNONPILOT/Tender/SplashBidNoticeAbstractUI.aspx?menuIndex=3&amp;refID=7177419&amp;Result=3","7177419")</f>
        <v>0</v>
      </c>
      <c r="B8849" t="s">
        <v>1390</v>
      </c>
      <c r="C8849" t="s">
        <v>11979</v>
      </c>
      <c r="D8849" t="s">
        <v>17201</v>
      </c>
      <c r="E8849" t="s">
        <v>24854</v>
      </c>
      <c r="F8849" t="s">
        <v>29372</v>
      </c>
      <c r="G8849" t="s">
        <v>29380</v>
      </c>
      <c r="H8849" t="s">
        <v>29389</v>
      </c>
      <c r="I8849" t="s">
        <v>10408</v>
      </c>
      <c r="J8849" t="s">
        <v>35195</v>
      </c>
      <c r="K8849" t="s">
        <v>38533</v>
      </c>
      <c r="M8849" t="s">
        <v>40228</v>
      </c>
      <c r="N8849" t="s">
        <v>42669</v>
      </c>
      <c r="O8849" t="s">
        <v>42670</v>
      </c>
      <c r="P8849">
        <v>0</v>
      </c>
      <c r="Q8849">
        <v>1</v>
      </c>
      <c r="R8849" t="s">
        <v>42681</v>
      </c>
      <c r="S8849" t="s">
        <v>42966</v>
      </c>
      <c r="T8849" t="s">
        <v>44447</v>
      </c>
      <c r="U8849" t="s">
        <v>52046</v>
      </c>
      <c r="V8849" t="s">
        <v>57348</v>
      </c>
      <c r="W8849" t="s">
        <v>40228</v>
      </c>
      <c r="X8849" t="s">
        <v>42682</v>
      </c>
    </row>
    <row r="8850" spans="1:24">
      <c r="A8850">
        <f>HYPERLINK("https://www.philgeps.gov.ph/GEPSNONPILOT/Tender/SplashBidNoticeAbstractUI.aspx?menuIndex=3&amp;refID=7176439&amp;Result=3","7176439")</f>
        <v>0</v>
      </c>
      <c r="B8850" t="s">
        <v>2694</v>
      </c>
      <c r="C8850" t="s">
        <v>3942</v>
      </c>
      <c r="D8850" t="s">
        <v>17153</v>
      </c>
      <c r="E8850" t="s">
        <v>24855</v>
      </c>
      <c r="F8850" t="s">
        <v>29372</v>
      </c>
      <c r="G8850" t="s">
        <v>29380</v>
      </c>
      <c r="H8850" t="s">
        <v>11048</v>
      </c>
      <c r="I8850" t="s">
        <v>5383</v>
      </c>
      <c r="J8850" t="s">
        <v>35196</v>
      </c>
      <c r="K8850" t="s">
        <v>38485</v>
      </c>
      <c r="M8850" t="s">
        <v>41674</v>
      </c>
      <c r="N8850" t="s">
        <v>42669</v>
      </c>
      <c r="O8850" t="s">
        <v>42670</v>
      </c>
      <c r="P8850">
        <v>0</v>
      </c>
      <c r="Q8850">
        <v>1</v>
      </c>
      <c r="R8850" t="s">
        <v>42681</v>
      </c>
      <c r="S8850" t="s">
        <v>42966</v>
      </c>
      <c r="T8850" t="s">
        <v>44593</v>
      </c>
      <c r="U8850" t="s">
        <v>52047</v>
      </c>
      <c r="V8850" t="s">
        <v>57349</v>
      </c>
      <c r="W8850" t="s">
        <v>41674</v>
      </c>
      <c r="X8850" t="s">
        <v>42683</v>
      </c>
    </row>
    <row r="8851" spans="1:24">
      <c r="A8851">
        <f>HYPERLINK("https://www.philgeps.gov.ph/GEPSNONPILOT/Tender/SplashBidNoticeAbstractUI.aspx?menuIndex=3&amp;refID=7176271&amp;Result=3","7176271")</f>
        <v>0</v>
      </c>
      <c r="B8851" t="s">
        <v>1751</v>
      </c>
      <c r="C8851" t="s">
        <v>11980</v>
      </c>
      <c r="D8851" t="s">
        <v>17165</v>
      </c>
      <c r="E8851" t="s">
        <v>24856</v>
      </c>
      <c r="F8851" t="s">
        <v>29372</v>
      </c>
      <c r="G8851" t="s">
        <v>29380</v>
      </c>
      <c r="H8851" t="s">
        <v>11048</v>
      </c>
      <c r="I8851" t="s">
        <v>8208</v>
      </c>
      <c r="J8851" t="s">
        <v>29526</v>
      </c>
      <c r="K8851" t="s">
        <v>38488</v>
      </c>
      <c r="M8851" t="s">
        <v>40616</v>
      </c>
      <c r="N8851" t="s">
        <v>42669</v>
      </c>
      <c r="O8851" t="s">
        <v>42670</v>
      </c>
      <c r="P8851">
        <v>0</v>
      </c>
      <c r="Q8851">
        <v>0</v>
      </c>
      <c r="R8851" t="s">
        <v>42681</v>
      </c>
      <c r="S8851" t="s">
        <v>42966</v>
      </c>
      <c r="T8851" t="s">
        <v>44525</v>
      </c>
      <c r="U8851" t="s">
        <v>52048</v>
      </c>
      <c r="W8851" t="s">
        <v>40616</v>
      </c>
      <c r="X8851" t="s">
        <v>42683</v>
      </c>
    </row>
    <row r="8852" spans="1:24">
      <c r="A8852">
        <f>HYPERLINK("https://www.philgeps.gov.ph/GEPSNONPILOT/Tender/SplashBidNoticeAbstractUI.aspx?menuIndex=3&amp;refID=7176558&amp;Result=3","7176558")</f>
        <v>0</v>
      </c>
      <c r="B8852" t="s">
        <v>2695</v>
      </c>
      <c r="C8852" t="s">
        <v>11981</v>
      </c>
      <c r="D8852" t="s">
        <v>17177</v>
      </c>
      <c r="E8852" t="s">
        <v>24857</v>
      </c>
      <c r="F8852" t="s">
        <v>29372</v>
      </c>
      <c r="G8852" t="s">
        <v>29380</v>
      </c>
      <c r="H8852" t="s">
        <v>29389</v>
      </c>
      <c r="I8852" t="s">
        <v>10408</v>
      </c>
      <c r="J8852" t="s">
        <v>35197</v>
      </c>
      <c r="K8852" t="s">
        <v>38510</v>
      </c>
      <c r="M8852" t="s">
        <v>41675</v>
      </c>
      <c r="N8852" t="s">
        <v>42669</v>
      </c>
      <c r="O8852" t="s">
        <v>42670</v>
      </c>
      <c r="P8852">
        <v>0</v>
      </c>
      <c r="Q8852">
        <v>0</v>
      </c>
      <c r="R8852" t="s">
        <v>42681</v>
      </c>
      <c r="S8852" t="s">
        <v>42966</v>
      </c>
      <c r="T8852" t="s">
        <v>44432</v>
      </c>
      <c r="U8852" t="s">
        <v>52049</v>
      </c>
      <c r="W8852" t="s">
        <v>41675</v>
      </c>
      <c r="X8852" t="s">
        <v>42683</v>
      </c>
    </row>
    <row r="8853" spans="1:24">
      <c r="A8853">
        <f>HYPERLINK("https://www.philgeps.gov.ph/GEPSNONPILOT/Tender/SplashBidNoticeAbstractUI.aspx?menuIndex=3&amp;refID=7176775&amp;Result=3","7176775")</f>
        <v>0</v>
      </c>
      <c r="B8853" t="s">
        <v>940</v>
      </c>
      <c r="C8853" t="s">
        <v>11982</v>
      </c>
      <c r="E8853" t="s">
        <v>24858</v>
      </c>
      <c r="F8853" t="s">
        <v>29372</v>
      </c>
      <c r="G8853" t="s">
        <v>29380</v>
      </c>
      <c r="H8853" t="s">
        <v>29389</v>
      </c>
      <c r="I8853" t="s">
        <v>10408</v>
      </c>
      <c r="J8853" t="s">
        <v>35198</v>
      </c>
      <c r="K8853" t="s">
        <v>38526</v>
      </c>
      <c r="M8853" t="s">
        <v>39735</v>
      </c>
      <c r="N8853" t="s">
        <v>42669</v>
      </c>
      <c r="O8853" t="s">
        <v>42670</v>
      </c>
      <c r="P8853">
        <v>0</v>
      </c>
      <c r="Q8853">
        <v>1</v>
      </c>
      <c r="R8853" t="s">
        <v>42681</v>
      </c>
      <c r="S8853" t="s">
        <v>42966</v>
      </c>
      <c r="T8853" t="s">
        <v>44419</v>
      </c>
      <c r="U8853" t="s">
        <v>46758</v>
      </c>
      <c r="W8853" t="s">
        <v>39735</v>
      </c>
      <c r="X8853" t="s">
        <v>42683</v>
      </c>
    </row>
    <row r="8854" spans="1:24">
      <c r="A8854">
        <f>HYPERLINK("https://www.philgeps.gov.ph/GEPSNONPILOT/Tender/SplashBidNoticeAbstractUI.aspx?menuIndex=3&amp;refID=7180166&amp;Result=3","7180166")</f>
        <v>0</v>
      </c>
      <c r="B8854" t="s">
        <v>2683</v>
      </c>
      <c r="C8854" t="s">
        <v>11983</v>
      </c>
      <c r="D8854" t="s">
        <v>17146</v>
      </c>
      <c r="E8854" t="s">
        <v>17714</v>
      </c>
      <c r="F8854" t="s">
        <v>29372</v>
      </c>
      <c r="G8854" t="s">
        <v>29380</v>
      </c>
      <c r="H8854" t="s">
        <v>11048</v>
      </c>
      <c r="I8854" t="s">
        <v>4709</v>
      </c>
      <c r="J8854" t="s">
        <v>35199</v>
      </c>
      <c r="K8854" t="s">
        <v>38488</v>
      </c>
      <c r="M8854" t="s">
        <v>41663</v>
      </c>
      <c r="N8854" t="s">
        <v>42669</v>
      </c>
      <c r="O8854" t="s">
        <v>42670</v>
      </c>
      <c r="P8854">
        <v>0</v>
      </c>
      <c r="Q8854">
        <v>0</v>
      </c>
      <c r="R8854" t="s">
        <v>42680</v>
      </c>
      <c r="S8854" t="s">
        <v>42961</v>
      </c>
      <c r="T8854" t="s">
        <v>44770</v>
      </c>
      <c r="U8854" t="s">
        <v>52050</v>
      </c>
      <c r="V8854" t="s">
        <v>57343</v>
      </c>
      <c r="W8854" t="s">
        <v>41663</v>
      </c>
      <c r="X8854" t="s">
        <v>42681</v>
      </c>
    </row>
    <row r="8855" spans="1:24">
      <c r="A8855">
        <f>HYPERLINK("https://www.philgeps.gov.ph/GEPSNONPILOT/Tender/SplashBidNoticeAbstractUI.aspx?menuIndex=3&amp;refID=7180158&amp;Result=3","7180158")</f>
        <v>0</v>
      </c>
      <c r="B8855" t="s">
        <v>957</v>
      </c>
      <c r="C8855" t="s">
        <v>11984</v>
      </c>
      <c r="D8855" t="s">
        <v>17143</v>
      </c>
      <c r="E8855" t="s">
        <v>24859</v>
      </c>
      <c r="F8855" t="s">
        <v>29372</v>
      </c>
      <c r="G8855" t="s">
        <v>29380</v>
      </c>
      <c r="H8855" t="s">
        <v>11048</v>
      </c>
      <c r="I8855" t="s">
        <v>29452</v>
      </c>
      <c r="J8855" t="s">
        <v>35200</v>
      </c>
      <c r="K8855" t="s">
        <v>38558</v>
      </c>
      <c r="L8855" t="s">
        <v>957</v>
      </c>
      <c r="M8855" t="s">
        <v>39753</v>
      </c>
      <c r="N8855" t="s">
        <v>42669</v>
      </c>
      <c r="O8855" t="s">
        <v>42670</v>
      </c>
      <c r="P8855">
        <v>0</v>
      </c>
      <c r="Q8855">
        <v>0</v>
      </c>
      <c r="R8855" t="s">
        <v>42680</v>
      </c>
      <c r="S8855" t="s">
        <v>42961</v>
      </c>
      <c r="T8855" t="s">
        <v>44401</v>
      </c>
      <c r="U8855" t="s">
        <v>51963</v>
      </c>
      <c r="W8855" t="s">
        <v>39753</v>
      </c>
      <c r="X8855" t="s">
        <v>42681</v>
      </c>
    </row>
    <row r="8856" spans="1:24">
      <c r="A8856">
        <f>HYPERLINK("https://www.philgeps.gov.ph/GEPSNONPILOT/Tender/SplashBidNoticeAbstractUI.aspx?menuIndex=3&amp;refID=7179653&amp;Result=3","7179653")</f>
        <v>0</v>
      </c>
      <c r="B8856" t="s">
        <v>2614</v>
      </c>
      <c r="C8856" t="s">
        <v>11985</v>
      </c>
      <c r="D8856" t="s">
        <v>17187</v>
      </c>
      <c r="E8856" t="s">
        <v>24860</v>
      </c>
      <c r="F8856" t="s">
        <v>29372</v>
      </c>
      <c r="G8856" t="s">
        <v>29380</v>
      </c>
      <c r="H8856" t="s">
        <v>29389</v>
      </c>
      <c r="I8856" t="s">
        <v>10408</v>
      </c>
      <c r="J8856" t="s">
        <v>29615</v>
      </c>
      <c r="K8856" t="s">
        <v>38490</v>
      </c>
      <c r="M8856" t="s">
        <v>41584</v>
      </c>
      <c r="N8856" t="s">
        <v>42669</v>
      </c>
      <c r="O8856" t="s">
        <v>42670</v>
      </c>
      <c r="Q8856">
        <v>4</v>
      </c>
      <c r="R8856" t="s">
        <v>42679</v>
      </c>
      <c r="S8856" t="s">
        <v>42968</v>
      </c>
      <c r="T8856" t="s">
        <v>44542</v>
      </c>
      <c r="U8856" t="s">
        <v>52051</v>
      </c>
      <c r="V8856" t="s">
        <v>57310</v>
      </c>
      <c r="W8856" t="s">
        <v>41584</v>
      </c>
      <c r="X8856" t="s">
        <v>42682</v>
      </c>
    </row>
    <row r="8857" spans="1:24">
      <c r="A8857">
        <f>HYPERLINK("https://www.philgeps.gov.ph/GEPSNONPILOT/Tender/SplashBidNoticeAbstractUI.aspx?menuIndex=3&amp;refID=7176094&amp;Result=3","7176094")</f>
        <v>0</v>
      </c>
      <c r="B8857" t="s">
        <v>2684</v>
      </c>
      <c r="C8857" t="s">
        <v>11986</v>
      </c>
      <c r="D8857" t="s">
        <v>17148</v>
      </c>
      <c r="E8857" t="s">
        <v>24861</v>
      </c>
      <c r="F8857" t="s">
        <v>29372</v>
      </c>
      <c r="G8857" t="s">
        <v>29380</v>
      </c>
      <c r="H8857" t="s">
        <v>29390</v>
      </c>
      <c r="I8857" t="s">
        <v>3839</v>
      </c>
      <c r="J8857" t="s">
        <v>29587</v>
      </c>
      <c r="K8857" t="s">
        <v>38485</v>
      </c>
      <c r="M8857" t="s">
        <v>41664</v>
      </c>
      <c r="N8857" t="s">
        <v>42669</v>
      </c>
      <c r="O8857" t="s">
        <v>42670</v>
      </c>
      <c r="P8857">
        <v>0</v>
      </c>
      <c r="Q8857">
        <v>8</v>
      </c>
      <c r="R8857" t="s">
        <v>42681</v>
      </c>
      <c r="S8857" t="s">
        <v>42966</v>
      </c>
      <c r="T8857" t="s">
        <v>44364</v>
      </c>
      <c r="U8857" t="s">
        <v>52052</v>
      </c>
      <c r="W8857" t="s">
        <v>41664</v>
      </c>
      <c r="X8857" t="s">
        <v>42683</v>
      </c>
    </row>
    <row r="8858" spans="1:24">
      <c r="A8858">
        <f>HYPERLINK("https://www.philgeps.gov.ph/GEPSNONPILOT/Tender/SplashBidNoticeAbstractUI.aspx?menuIndex=3&amp;refID=7180417&amp;Result=3","7180417")</f>
        <v>0</v>
      </c>
      <c r="B8858" t="s">
        <v>2687</v>
      </c>
      <c r="C8858" t="s">
        <v>11987</v>
      </c>
      <c r="D8858" t="s">
        <v>17163</v>
      </c>
      <c r="E8858" t="s">
        <v>24862</v>
      </c>
      <c r="F8858" t="s">
        <v>29372</v>
      </c>
      <c r="G8858" t="s">
        <v>29380</v>
      </c>
      <c r="H8858" t="s">
        <v>11048</v>
      </c>
      <c r="I8858" t="s">
        <v>3695</v>
      </c>
      <c r="J8858" t="s">
        <v>35201</v>
      </c>
      <c r="K8858" t="s">
        <v>38485</v>
      </c>
      <c r="M8858" t="s">
        <v>41667</v>
      </c>
      <c r="N8858" t="s">
        <v>42669</v>
      </c>
      <c r="O8858" t="s">
        <v>42670</v>
      </c>
      <c r="P8858">
        <v>0</v>
      </c>
      <c r="Q8858">
        <v>12</v>
      </c>
      <c r="R8858" t="s">
        <v>42680</v>
      </c>
      <c r="S8858" t="s">
        <v>42961</v>
      </c>
      <c r="T8858" t="s">
        <v>44474</v>
      </c>
      <c r="U8858" t="s">
        <v>52053</v>
      </c>
      <c r="W8858" t="s">
        <v>41667</v>
      </c>
      <c r="X8858" t="s">
        <v>42681</v>
      </c>
    </row>
    <row r="8859" spans="1:24">
      <c r="A8859">
        <f>HYPERLINK("https://www.philgeps.gov.ph/GEPSNONPILOT/Tender/SplashBidNoticeAbstractUI.aspx?menuIndex=3&amp;refID=7179648&amp;Result=3","7179648")</f>
        <v>0</v>
      </c>
      <c r="B8859" t="s">
        <v>1615</v>
      </c>
      <c r="C8859" t="s">
        <v>11988</v>
      </c>
      <c r="D8859" t="s">
        <v>17170</v>
      </c>
      <c r="E8859" t="s">
        <v>19258</v>
      </c>
      <c r="F8859" t="s">
        <v>29372</v>
      </c>
      <c r="G8859" t="s">
        <v>29380</v>
      </c>
      <c r="H8859" t="s">
        <v>29389</v>
      </c>
      <c r="I8859" t="s">
        <v>10408</v>
      </c>
      <c r="J8859" t="s">
        <v>35202</v>
      </c>
      <c r="K8859" t="s">
        <v>38490</v>
      </c>
      <c r="M8859" t="s">
        <v>40468</v>
      </c>
      <c r="N8859" t="s">
        <v>42669</v>
      </c>
      <c r="O8859" t="s">
        <v>42670</v>
      </c>
      <c r="P8859">
        <v>0</v>
      </c>
      <c r="Q8859">
        <v>1</v>
      </c>
      <c r="R8859" t="s">
        <v>42679</v>
      </c>
      <c r="S8859" t="s">
        <v>42923</v>
      </c>
      <c r="T8859" t="s">
        <v>44381</v>
      </c>
      <c r="U8859" t="s">
        <v>51772</v>
      </c>
      <c r="W8859" t="s">
        <v>40468</v>
      </c>
      <c r="X8859" t="s">
        <v>42682</v>
      </c>
    </row>
    <row r="8860" spans="1:24">
      <c r="A8860">
        <f>HYPERLINK("https://www.philgeps.gov.ph/GEPSNONPILOT/Tender/SplashBidNoticeAbstractUI.aspx?menuIndex=3&amp;refID=7179636&amp;Result=3","7179636")</f>
        <v>0</v>
      </c>
      <c r="B8860" t="s">
        <v>2696</v>
      </c>
      <c r="C8860" t="s">
        <v>11989</v>
      </c>
      <c r="D8860" t="s">
        <v>17171</v>
      </c>
      <c r="E8860" t="s">
        <v>17404</v>
      </c>
      <c r="F8860" t="s">
        <v>29372</v>
      </c>
      <c r="G8860" t="s">
        <v>29380</v>
      </c>
      <c r="H8860" t="s">
        <v>11048</v>
      </c>
      <c r="I8860" t="s">
        <v>29424</v>
      </c>
      <c r="J8860" t="s">
        <v>35203</v>
      </c>
      <c r="K8860" t="s">
        <v>38534</v>
      </c>
      <c r="M8860" t="s">
        <v>41676</v>
      </c>
      <c r="N8860" t="s">
        <v>42669</v>
      </c>
      <c r="O8860" t="s">
        <v>42670</v>
      </c>
      <c r="P8860">
        <v>0</v>
      </c>
      <c r="Q8860">
        <v>1</v>
      </c>
      <c r="R8860" t="s">
        <v>42679</v>
      </c>
      <c r="S8860" t="s">
        <v>42923</v>
      </c>
      <c r="T8860" t="s">
        <v>44452</v>
      </c>
      <c r="U8860" t="s">
        <v>52054</v>
      </c>
      <c r="W8860" t="s">
        <v>41676</v>
      </c>
      <c r="X8860" t="s">
        <v>42682</v>
      </c>
    </row>
    <row r="8861" spans="1:24">
      <c r="A8861">
        <f>HYPERLINK("https://www.philgeps.gov.ph/GEPSNONPILOT/Tender/SplashBidNoticeAbstractUI.aspx?menuIndex=3&amp;refID=7172042&amp;Result=3","7172042")</f>
        <v>0</v>
      </c>
      <c r="B8861" t="s">
        <v>2697</v>
      </c>
      <c r="C8861" t="s">
        <v>11990</v>
      </c>
      <c r="D8861" t="s">
        <v>17185</v>
      </c>
      <c r="E8861" t="s">
        <v>24863</v>
      </c>
      <c r="F8861" t="s">
        <v>29372</v>
      </c>
      <c r="G8861" t="s">
        <v>29380</v>
      </c>
      <c r="H8861" t="s">
        <v>29389</v>
      </c>
      <c r="I8861" t="s">
        <v>4709</v>
      </c>
      <c r="J8861" t="s">
        <v>35204</v>
      </c>
      <c r="K8861" t="s">
        <v>38523</v>
      </c>
      <c r="M8861" t="s">
        <v>41677</v>
      </c>
      <c r="N8861" t="s">
        <v>42669</v>
      </c>
      <c r="O8861" t="s">
        <v>42670</v>
      </c>
      <c r="P8861">
        <v>0</v>
      </c>
      <c r="Q8861">
        <v>2</v>
      </c>
      <c r="R8861" t="s">
        <v>42681</v>
      </c>
      <c r="S8861" t="s">
        <v>42966</v>
      </c>
      <c r="T8861" t="s">
        <v>44375</v>
      </c>
      <c r="U8861" t="s">
        <v>52055</v>
      </c>
      <c r="V8861" t="s">
        <v>57350</v>
      </c>
      <c r="W8861" t="s">
        <v>41677</v>
      </c>
      <c r="X8861" t="s">
        <v>42684</v>
      </c>
    </row>
    <row r="8862" spans="1:24">
      <c r="A8862">
        <f>HYPERLINK("https://www.philgeps.gov.ph/GEPSNONPILOT/Tender/SplashBidNoticeAbstractUI.aspx?menuIndex=3&amp;refID=7185527&amp;Result=3","7185527")</f>
        <v>0</v>
      </c>
      <c r="B8862" t="s">
        <v>2698</v>
      </c>
      <c r="C8862" t="s">
        <v>11991</v>
      </c>
      <c r="D8862" t="s">
        <v>17163</v>
      </c>
      <c r="E8862" t="s">
        <v>24014</v>
      </c>
      <c r="F8862" t="s">
        <v>29372</v>
      </c>
      <c r="G8862" t="s">
        <v>29380</v>
      </c>
      <c r="H8862" t="s">
        <v>29389</v>
      </c>
      <c r="I8862" t="s">
        <v>10408</v>
      </c>
      <c r="J8862" t="s">
        <v>32013</v>
      </c>
      <c r="K8862" t="s">
        <v>38496</v>
      </c>
      <c r="M8862" t="s">
        <v>41678</v>
      </c>
      <c r="N8862" t="s">
        <v>42669</v>
      </c>
      <c r="O8862" t="s">
        <v>42670</v>
      </c>
      <c r="P8862">
        <v>0</v>
      </c>
      <c r="Q8862">
        <v>2</v>
      </c>
      <c r="R8862" t="s">
        <v>42677</v>
      </c>
      <c r="S8862" t="s">
        <v>42830</v>
      </c>
      <c r="T8862" t="s">
        <v>44450</v>
      </c>
      <c r="U8862" t="s">
        <v>52056</v>
      </c>
      <c r="V8862" t="s">
        <v>57351</v>
      </c>
      <c r="W8862" t="s">
        <v>41678</v>
      </c>
      <c r="X8862" t="s">
        <v>42678</v>
      </c>
    </row>
    <row r="8863" spans="1:24">
      <c r="A8863">
        <f>HYPERLINK("https://www.philgeps.gov.ph/GEPSNONPILOT/Tender/SplashBidNoticeAbstractUI.aspx?menuIndex=3&amp;refID=7185525&amp;Result=3","7185525")</f>
        <v>0</v>
      </c>
      <c r="B8863" t="s">
        <v>2151</v>
      </c>
      <c r="C8863" t="s">
        <v>11992</v>
      </c>
      <c r="E8863" t="s">
        <v>24864</v>
      </c>
      <c r="F8863" t="s">
        <v>29372</v>
      </c>
      <c r="G8863" t="s">
        <v>29380</v>
      </c>
      <c r="H8863" t="s">
        <v>29389</v>
      </c>
      <c r="I8863" t="s">
        <v>10408</v>
      </c>
      <c r="J8863" t="s">
        <v>35205</v>
      </c>
      <c r="K8863" t="s">
        <v>38490</v>
      </c>
      <c r="M8863" t="s">
        <v>41059</v>
      </c>
      <c r="N8863" t="s">
        <v>42669</v>
      </c>
      <c r="O8863" t="s">
        <v>42670</v>
      </c>
      <c r="P8863">
        <v>0</v>
      </c>
      <c r="Q8863">
        <v>1</v>
      </c>
      <c r="R8863" t="s">
        <v>42677</v>
      </c>
      <c r="S8863" t="s">
        <v>42830</v>
      </c>
      <c r="T8863" t="s">
        <v>44542</v>
      </c>
      <c r="U8863" t="s">
        <v>52057</v>
      </c>
      <c r="V8863" t="s">
        <v>57352</v>
      </c>
      <c r="W8863" t="s">
        <v>41059</v>
      </c>
      <c r="X8863" t="s">
        <v>42678</v>
      </c>
    </row>
    <row r="8864" spans="1:24">
      <c r="A8864">
        <f>HYPERLINK("https://www.philgeps.gov.ph/GEPSNONPILOT/Tender/SplashBidNoticeAbstractUI.aspx?menuIndex=3&amp;refID=7185524&amp;Result=3","7185524")</f>
        <v>0</v>
      </c>
      <c r="B8864" t="s">
        <v>1751</v>
      </c>
      <c r="C8864" t="s">
        <v>11993</v>
      </c>
      <c r="D8864" t="s">
        <v>17165</v>
      </c>
      <c r="E8864" t="s">
        <v>24865</v>
      </c>
      <c r="F8864" t="s">
        <v>29372</v>
      </c>
      <c r="G8864" t="s">
        <v>29380</v>
      </c>
      <c r="H8864" t="s">
        <v>11048</v>
      </c>
      <c r="I8864" t="s">
        <v>29403</v>
      </c>
      <c r="J8864" t="s">
        <v>35206</v>
      </c>
      <c r="K8864" t="s">
        <v>38488</v>
      </c>
      <c r="M8864" t="s">
        <v>40616</v>
      </c>
      <c r="N8864" t="s">
        <v>42669</v>
      </c>
      <c r="O8864" t="s">
        <v>42670</v>
      </c>
      <c r="P8864">
        <v>0</v>
      </c>
      <c r="Q8864">
        <v>1</v>
      </c>
      <c r="R8864" t="s">
        <v>42677</v>
      </c>
      <c r="S8864" t="s">
        <v>42830</v>
      </c>
      <c r="T8864" t="s">
        <v>44525</v>
      </c>
      <c r="U8864" t="s">
        <v>52058</v>
      </c>
      <c r="W8864" t="s">
        <v>40616</v>
      </c>
      <c r="X8864" t="s">
        <v>42678</v>
      </c>
    </row>
    <row r="8865" spans="1:24">
      <c r="A8865">
        <f>HYPERLINK("https://www.philgeps.gov.ph/GEPSNONPILOT/Tender/SplashBidNoticeAbstractUI.aspx?menuIndex=3&amp;refID=7177612&amp;Result=3","7177612")</f>
        <v>0</v>
      </c>
      <c r="B8865" t="s">
        <v>2514</v>
      </c>
      <c r="C8865" t="s">
        <v>8211</v>
      </c>
      <c r="E8865" t="s">
        <v>19099</v>
      </c>
      <c r="F8865" t="s">
        <v>29372</v>
      </c>
      <c r="G8865" t="s">
        <v>29380</v>
      </c>
      <c r="H8865" t="s">
        <v>11048</v>
      </c>
      <c r="I8865" t="s">
        <v>29393</v>
      </c>
      <c r="J8865" t="s">
        <v>35207</v>
      </c>
      <c r="K8865" t="s">
        <v>38489</v>
      </c>
      <c r="M8865" t="s">
        <v>41474</v>
      </c>
      <c r="N8865" t="s">
        <v>42669</v>
      </c>
      <c r="O8865" t="s">
        <v>42670</v>
      </c>
      <c r="P8865">
        <v>0</v>
      </c>
      <c r="Q8865">
        <v>0</v>
      </c>
      <c r="R8865" t="s">
        <v>42681</v>
      </c>
      <c r="S8865" t="s">
        <v>42966</v>
      </c>
      <c r="T8865" t="s">
        <v>44512</v>
      </c>
      <c r="U8865" t="s">
        <v>52059</v>
      </c>
      <c r="W8865" t="s">
        <v>41474</v>
      </c>
      <c r="X8865" t="s">
        <v>42682</v>
      </c>
    </row>
    <row r="8866" spans="1:24">
      <c r="A8866">
        <f>HYPERLINK("https://www.philgeps.gov.ph/GEPSNONPILOT/Tender/SplashBidNoticeAbstractUI.aspx?menuIndex=3&amp;refID=7179655&amp;Result=3","7179655")</f>
        <v>0</v>
      </c>
      <c r="B8866" t="s">
        <v>2615</v>
      </c>
      <c r="C8866" t="s">
        <v>11994</v>
      </c>
      <c r="D8866" t="s">
        <v>17205</v>
      </c>
      <c r="E8866" t="s">
        <v>24866</v>
      </c>
      <c r="F8866" t="s">
        <v>29372</v>
      </c>
      <c r="G8866" t="s">
        <v>29380</v>
      </c>
      <c r="H8866" t="s">
        <v>11048</v>
      </c>
      <c r="I8866" t="s">
        <v>29459</v>
      </c>
      <c r="J8866" t="s">
        <v>29734</v>
      </c>
      <c r="K8866" t="s">
        <v>38488</v>
      </c>
      <c r="M8866" t="s">
        <v>41585</v>
      </c>
      <c r="N8866" t="s">
        <v>42669</v>
      </c>
      <c r="O8866" t="s">
        <v>42670</v>
      </c>
      <c r="P8866">
        <v>0</v>
      </c>
      <c r="Q8866">
        <v>9</v>
      </c>
      <c r="R8866" t="s">
        <v>42679</v>
      </c>
      <c r="S8866" t="s">
        <v>42923</v>
      </c>
      <c r="T8866" t="s">
        <v>44557</v>
      </c>
      <c r="U8866" t="s">
        <v>52060</v>
      </c>
      <c r="V8866" t="s">
        <v>57353</v>
      </c>
      <c r="W8866" t="s">
        <v>41585</v>
      </c>
      <c r="X8866" t="s">
        <v>42682</v>
      </c>
    </row>
    <row r="8867" spans="1:24">
      <c r="A8867">
        <f>HYPERLINK("https://www.philgeps.gov.ph/GEPSNONPILOT/Tender/SplashBidNoticeAbstractUI.aspx?menuIndex=3&amp;refID=7177667&amp;Result=3","7177667")</f>
        <v>0</v>
      </c>
      <c r="B8867" t="s">
        <v>1580</v>
      </c>
      <c r="C8867" t="s">
        <v>11995</v>
      </c>
      <c r="D8867" t="s">
        <v>17197</v>
      </c>
      <c r="E8867" t="s">
        <v>24867</v>
      </c>
      <c r="F8867" t="s">
        <v>29372</v>
      </c>
      <c r="G8867" t="s">
        <v>29380</v>
      </c>
      <c r="H8867" t="s">
        <v>11048</v>
      </c>
      <c r="I8867" t="s">
        <v>10408</v>
      </c>
      <c r="J8867" t="s">
        <v>35208</v>
      </c>
      <c r="K8867" t="s">
        <v>38689</v>
      </c>
      <c r="M8867" t="s">
        <v>40430</v>
      </c>
      <c r="N8867" t="s">
        <v>42669</v>
      </c>
      <c r="O8867" t="s">
        <v>42670</v>
      </c>
      <c r="P8867">
        <v>0</v>
      </c>
      <c r="Q8867">
        <v>0</v>
      </c>
      <c r="R8867" t="s">
        <v>42681</v>
      </c>
      <c r="S8867" t="s">
        <v>42966</v>
      </c>
      <c r="T8867" t="s">
        <v>44517</v>
      </c>
      <c r="U8867" t="s">
        <v>52061</v>
      </c>
      <c r="W8867" t="s">
        <v>40430</v>
      </c>
      <c r="X8867" t="s">
        <v>42682</v>
      </c>
    </row>
    <row r="8868" spans="1:24">
      <c r="A8868">
        <f>HYPERLINK("https://www.philgeps.gov.ph/GEPSNONPILOT/Tender/SplashBidNoticeAbstractUI.aspx?menuIndex=3&amp;refID=7179673&amp;Result=3","7179673")</f>
        <v>0</v>
      </c>
      <c r="B8868" t="s">
        <v>2618</v>
      </c>
      <c r="C8868" t="s">
        <v>11996</v>
      </c>
      <c r="D8868" t="s">
        <v>17221</v>
      </c>
      <c r="E8868" t="s">
        <v>24868</v>
      </c>
      <c r="F8868" t="s">
        <v>29372</v>
      </c>
      <c r="G8868" t="s">
        <v>29380</v>
      </c>
      <c r="H8868" t="s">
        <v>29389</v>
      </c>
      <c r="I8868" t="s">
        <v>10408</v>
      </c>
      <c r="J8868" t="s">
        <v>35209</v>
      </c>
      <c r="K8868" t="s">
        <v>38488</v>
      </c>
      <c r="M8868" t="s">
        <v>41589</v>
      </c>
      <c r="N8868" t="s">
        <v>42669</v>
      </c>
      <c r="O8868" t="s">
        <v>42670</v>
      </c>
      <c r="P8868">
        <v>0</v>
      </c>
      <c r="Q8868">
        <v>0</v>
      </c>
      <c r="R8868" t="s">
        <v>42679</v>
      </c>
      <c r="S8868" t="s">
        <v>42923</v>
      </c>
      <c r="T8868" t="s">
        <v>44429</v>
      </c>
      <c r="U8868" t="s">
        <v>52062</v>
      </c>
      <c r="W8868" t="s">
        <v>41589</v>
      </c>
      <c r="X8868" t="s">
        <v>42682</v>
      </c>
    </row>
    <row r="8869" spans="1:24">
      <c r="A8869">
        <f>HYPERLINK("https://www.philgeps.gov.ph/GEPSNONPILOT/Tender/SplashBidNoticeAbstractUI.aspx?menuIndex=3&amp;refID=7185521&amp;Result=3","7185521")</f>
        <v>0</v>
      </c>
      <c r="B8869" t="s">
        <v>2699</v>
      </c>
      <c r="C8869" t="s">
        <v>11997</v>
      </c>
      <c r="D8869" t="s">
        <v>17170</v>
      </c>
      <c r="E8869" t="s">
        <v>24869</v>
      </c>
      <c r="F8869" t="s">
        <v>29372</v>
      </c>
      <c r="G8869" t="s">
        <v>29380</v>
      </c>
      <c r="H8869" t="s">
        <v>29390</v>
      </c>
      <c r="I8869" t="s">
        <v>4709</v>
      </c>
      <c r="J8869" t="s">
        <v>29526</v>
      </c>
      <c r="K8869" t="s">
        <v>38488</v>
      </c>
      <c r="M8869" t="s">
        <v>41679</v>
      </c>
      <c r="N8869" t="s">
        <v>42669</v>
      </c>
      <c r="O8869" t="s">
        <v>42670</v>
      </c>
      <c r="P8869">
        <v>0</v>
      </c>
      <c r="Q8869">
        <v>1</v>
      </c>
      <c r="R8869" t="s">
        <v>42677</v>
      </c>
      <c r="S8869" t="s">
        <v>42830</v>
      </c>
      <c r="T8869" t="s">
        <v>44525</v>
      </c>
      <c r="U8869" t="s">
        <v>52063</v>
      </c>
      <c r="W8869" t="s">
        <v>41679</v>
      </c>
      <c r="X8869" t="s">
        <v>42678</v>
      </c>
    </row>
    <row r="8870" spans="1:24">
      <c r="A8870">
        <f>HYPERLINK("https://www.philgeps.gov.ph/GEPSNONPILOT/Tender/SplashBidNoticeAbstractUI.aspx?menuIndex=3&amp;refID=7177621&amp;Result=3","7177621")</f>
        <v>0</v>
      </c>
      <c r="B8870" t="s">
        <v>2700</v>
      </c>
      <c r="C8870" t="s">
        <v>11998</v>
      </c>
      <c r="D8870" t="s">
        <v>17188</v>
      </c>
      <c r="E8870" t="s">
        <v>17994</v>
      </c>
      <c r="F8870" t="s">
        <v>29372</v>
      </c>
      <c r="G8870" t="s">
        <v>29381</v>
      </c>
      <c r="H8870" t="s">
        <v>11048</v>
      </c>
      <c r="I8870" t="s">
        <v>4709</v>
      </c>
      <c r="J8870" t="s">
        <v>29555</v>
      </c>
      <c r="K8870" t="s">
        <v>38485</v>
      </c>
      <c r="M8870" t="s">
        <v>41680</v>
      </c>
      <c r="N8870" t="s">
        <v>42669</v>
      </c>
      <c r="O8870" t="s">
        <v>42670</v>
      </c>
      <c r="P8870">
        <v>0</v>
      </c>
      <c r="Q8870">
        <v>0</v>
      </c>
      <c r="R8870" t="s">
        <v>42681</v>
      </c>
      <c r="S8870" t="s">
        <v>42966</v>
      </c>
      <c r="T8870" t="s">
        <v>44480</v>
      </c>
      <c r="U8870" t="s">
        <v>52064</v>
      </c>
      <c r="W8870" t="s">
        <v>41680</v>
      </c>
      <c r="X8870" t="s">
        <v>42682</v>
      </c>
    </row>
    <row r="8871" spans="1:24">
      <c r="A8871">
        <f>HYPERLINK("https://www.philgeps.gov.ph/GEPSNONPILOT/Tender/SplashBidNoticeAbstractUI.aspx?menuIndex=3&amp;refID=7176160&amp;Result=3","7176160")</f>
        <v>0</v>
      </c>
      <c r="B8871" t="s">
        <v>2685</v>
      </c>
      <c r="C8871" t="s">
        <v>11999</v>
      </c>
      <c r="D8871" t="s">
        <v>17177</v>
      </c>
      <c r="E8871" t="s">
        <v>24833</v>
      </c>
      <c r="F8871" t="s">
        <v>29372</v>
      </c>
      <c r="G8871" t="s">
        <v>29380</v>
      </c>
      <c r="H8871" t="s">
        <v>29389</v>
      </c>
      <c r="I8871" t="s">
        <v>10408</v>
      </c>
      <c r="J8871" t="s">
        <v>29937</v>
      </c>
      <c r="K8871" t="s">
        <v>38495</v>
      </c>
      <c r="M8871" t="s">
        <v>41665</v>
      </c>
      <c r="N8871" t="s">
        <v>42669</v>
      </c>
      <c r="O8871" t="s">
        <v>42670</v>
      </c>
      <c r="P8871">
        <v>0</v>
      </c>
      <c r="Q8871">
        <v>6</v>
      </c>
      <c r="R8871" t="s">
        <v>42681</v>
      </c>
      <c r="S8871" t="s">
        <v>42966</v>
      </c>
      <c r="T8871" t="s">
        <v>44446</v>
      </c>
      <c r="U8871" t="s">
        <v>52065</v>
      </c>
      <c r="W8871" t="s">
        <v>42041</v>
      </c>
      <c r="X8871" t="s">
        <v>42683</v>
      </c>
    </row>
    <row r="8872" spans="1:24">
      <c r="A8872">
        <f>HYPERLINK("https://www.philgeps.gov.ph/GEPSNONPILOT/Tender/SplashBidNoticeAbstractUI.aspx?menuIndex=3&amp;refID=7177619&amp;Result=3","7177619")</f>
        <v>0</v>
      </c>
      <c r="B8872" t="s">
        <v>2688</v>
      </c>
      <c r="C8872" t="s">
        <v>12000</v>
      </c>
      <c r="D8872" t="s">
        <v>17188</v>
      </c>
      <c r="E8872" t="s">
        <v>17289</v>
      </c>
      <c r="F8872" t="s">
        <v>29372</v>
      </c>
      <c r="G8872" t="s">
        <v>29380</v>
      </c>
      <c r="H8872" t="s">
        <v>29389</v>
      </c>
      <c r="I8872" t="s">
        <v>10408</v>
      </c>
      <c r="J8872" t="s">
        <v>29555</v>
      </c>
      <c r="K8872" t="s">
        <v>38485</v>
      </c>
      <c r="M8872" t="s">
        <v>41668</v>
      </c>
      <c r="N8872" t="s">
        <v>42669</v>
      </c>
      <c r="O8872" t="s">
        <v>42670</v>
      </c>
      <c r="P8872">
        <v>0</v>
      </c>
      <c r="Q8872">
        <v>0</v>
      </c>
      <c r="R8872" t="s">
        <v>42681</v>
      </c>
      <c r="S8872" t="s">
        <v>42966</v>
      </c>
      <c r="T8872" t="s">
        <v>44432</v>
      </c>
      <c r="U8872" t="s">
        <v>52066</v>
      </c>
      <c r="W8872" t="s">
        <v>41668</v>
      </c>
      <c r="X8872" t="s">
        <v>42682</v>
      </c>
    </row>
    <row r="8873" spans="1:24">
      <c r="A8873">
        <f>HYPERLINK("https://www.philgeps.gov.ph/GEPSNONPILOT/Tender/SplashBidNoticeAbstractUI.aspx?menuIndex=3&amp;refID=7177587&amp;Result=3","7177587")</f>
        <v>0</v>
      </c>
      <c r="B8873" t="s">
        <v>2701</v>
      </c>
      <c r="C8873" t="s">
        <v>12001</v>
      </c>
      <c r="D8873" t="s">
        <v>17177</v>
      </c>
      <c r="E8873" t="s">
        <v>24870</v>
      </c>
      <c r="F8873" t="s">
        <v>29372</v>
      </c>
      <c r="G8873" t="s">
        <v>29380</v>
      </c>
      <c r="H8873" t="s">
        <v>29389</v>
      </c>
      <c r="I8873" t="s">
        <v>10408</v>
      </c>
      <c r="J8873" t="s">
        <v>29555</v>
      </c>
      <c r="K8873" t="s">
        <v>38488</v>
      </c>
      <c r="M8873" t="s">
        <v>41681</v>
      </c>
      <c r="N8873" t="s">
        <v>42669</v>
      </c>
      <c r="O8873" t="s">
        <v>42670</v>
      </c>
      <c r="P8873">
        <v>0</v>
      </c>
      <c r="Q8873">
        <v>0</v>
      </c>
      <c r="R8873" t="s">
        <v>42681</v>
      </c>
      <c r="S8873" t="s">
        <v>42966</v>
      </c>
      <c r="T8873" t="s">
        <v>44432</v>
      </c>
      <c r="U8873" t="s">
        <v>52067</v>
      </c>
      <c r="W8873" t="s">
        <v>41681</v>
      </c>
      <c r="X8873" t="s">
        <v>42682</v>
      </c>
    </row>
    <row r="8874" spans="1:24">
      <c r="A8874">
        <f>HYPERLINK("https://www.philgeps.gov.ph/GEPSNONPILOT/Tender/SplashBidNoticeAbstractUI.aspx?menuIndex=3&amp;refID=7177663&amp;Result=3","7177663")</f>
        <v>0</v>
      </c>
      <c r="B8874" t="s">
        <v>2702</v>
      </c>
      <c r="C8874" t="s">
        <v>12002</v>
      </c>
      <c r="D8874" t="s">
        <v>17145</v>
      </c>
      <c r="E8874" t="s">
        <v>24871</v>
      </c>
      <c r="F8874" t="s">
        <v>29372</v>
      </c>
      <c r="G8874" t="s">
        <v>29380</v>
      </c>
      <c r="H8874" t="s">
        <v>29389</v>
      </c>
      <c r="I8874" t="s">
        <v>10408</v>
      </c>
      <c r="J8874" t="s">
        <v>35210</v>
      </c>
      <c r="K8874" t="s">
        <v>38701</v>
      </c>
      <c r="M8874" t="s">
        <v>41682</v>
      </c>
      <c r="N8874" t="s">
        <v>42669</v>
      </c>
      <c r="O8874" t="s">
        <v>42670</v>
      </c>
      <c r="Q8874">
        <v>3</v>
      </c>
      <c r="R8874" t="s">
        <v>42681</v>
      </c>
      <c r="S8874" t="s">
        <v>42969</v>
      </c>
      <c r="T8874" t="s">
        <v>44421</v>
      </c>
      <c r="U8874" t="s">
        <v>52068</v>
      </c>
      <c r="W8874" t="s">
        <v>41682</v>
      </c>
      <c r="X8874" t="s">
        <v>42682</v>
      </c>
    </row>
    <row r="8875" spans="1:24">
      <c r="A8875">
        <f>HYPERLINK("https://www.philgeps.gov.ph/GEPSNONPILOT/Tender/SplashBidNoticeAbstractUI.aspx?menuIndex=3&amp;refID=7177578&amp;Result=3","7177578")</f>
        <v>0</v>
      </c>
      <c r="B8875" t="s">
        <v>2685</v>
      </c>
      <c r="C8875" t="s">
        <v>12003</v>
      </c>
      <c r="D8875" t="s">
        <v>17177</v>
      </c>
      <c r="E8875" t="s">
        <v>24872</v>
      </c>
      <c r="F8875" t="s">
        <v>29372</v>
      </c>
      <c r="G8875" t="s">
        <v>29380</v>
      </c>
      <c r="H8875" t="s">
        <v>29389</v>
      </c>
      <c r="I8875" t="s">
        <v>10408</v>
      </c>
      <c r="J8875" t="s">
        <v>29543</v>
      </c>
      <c r="K8875" t="s">
        <v>38495</v>
      </c>
      <c r="M8875" t="s">
        <v>41665</v>
      </c>
      <c r="N8875" t="s">
        <v>42669</v>
      </c>
      <c r="O8875" t="s">
        <v>42670</v>
      </c>
      <c r="P8875">
        <v>0</v>
      </c>
      <c r="Q8875">
        <v>8</v>
      </c>
      <c r="R8875" t="s">
        <v>42681</v>
      </c>
      <c r="S8875" t="s">
        <v>42966</v>
      </c>
      <c r="T8875" t="s">
        <v>44446</v>
      </c>
      <c r="U8875" t="s">
        <v>52069</v>
      </c>
      <c r="W8875" t="s">
        <v>42041</v>
      </c>
      <c r="X8875" t="s">
        <v>42682</v>
      </c>
    </row>
    <row r="8876" spans="1:24">
      <c r="A8876">
        <f>HYPERLINK("https://www.philgeps.gov.ph/GEPSNONPILOT/Tender/SplashBidNoticeAbstractUI.aspx?menuIndex=3&amp;refID=7177570&amp;Result=3","7177570")</f>
        <v>0</v>
      </c>
      <c r="B8876" t="s">
        <v>1990</v>
      </c>
      <c r="C8876" t="s">
        <v>12004</v>
      </c>
      <c r="D8876" t="s">
        <v>17200</v>
      </c>
      <c r="E8876" t="s">
        <v>24873</v>
      </c>
      <c r="F8876" t="s">
        <v>29372</v>
      </c>
      <c r="G8876" t="s">
        <v>29380</v>
      </c>
      <c r="H8876" t="s">
        <v>11048</v>
      </c>
      <c r="I8876" t="s">
        <v>4709</v>
      </c>
      <c r="J8876" t="s">
        <v>35211</v>
      </c>
      <c r="K8876" t="s">
        <v>38496</v>
      </c>
      <c r="M8876" t="s">
        <v>40878</v>
      </c>
      <c r="N8876" t="s">
        <v>42669</v>
      </c>
      <c r="O8876" t="s">
        <v>42670</v>
      </c>
      <c r="P8876">
        <v>0</v>
      </c>
      <c r="Q8876">
        <v>0</v>
      </c>
      <c r="R8876" t="s">
        <v>42681</v>
      </c>
      <c r="S8876" t="s">
        <v>42966</v>
      </c>
      <c r="T8876" t="s">
        <v>44478</v>
      </c>
      <c r="U8876" t="s">
        <v>52070</v>
      </c>
      <c r="W8876" t="s">
        <v>40878</v>
      </c>
      <c r="X8876" t="s">
        <v>42682</v>
      </c>
    </row>
    <row r="8877" spans="1:24">
      <c r="A8877">
        <f>HYPERLINK("https://www.philgeps.gov.ph/GEPSNONPILOT/Tender/SplashBidNoticeAbstractUI.aspx?menuIndex=3&amp;refID=7177441&amp;Result=3","7177441")</f>
        <v>0</v>
      </c>
      <c r="B8877" t="s">
        <v>359</v>
      </c>
      <c r="C8877" t="s">
        <v>12005</v>
      </c>
      <c r="D8877" t="s">
        <v>17212</v>
      </c>
      <c r="E8877" t="s">
        <v>21491</v>
      </c>
      <c r="F8877" t="s">
        <v>29372</v>
      </c>
      <c r="G8877" t="s">
        <v>29380</v>
      </c>
      <c r="H8877" t="s">
        <v>11048</v>
      </c>
      <c r="I8877" t="s">
        <v>29393</v>
      </c>
      <c r="J8877" t="s">
        <v>29708</v>
      </c>
      <c r="K8877" t="s">
        <v>38532</v>
      </c>
      <c r="M8877" t="s">
        <v>39118</v>
      </c>
      <c r="N8877" t="s">
        <v>42669</v>
      </c>
      <c r="O8877" t="s">
        <v>42670</v>
      </c>
      <c r="P8877">
        <v>0</v>
      </c>
      <c r="Q8877">
        <v>0</v>
      </c>
      <c r="R8877" t="s">
        <v>42681</v>
      </c>
      <c r="S8877" t="s">
        <v>42966</v>
      </c>
      <c r="T8877" t="s">
        <v>44491</v>
      </c>
      <c r="U8877" t="s">
        <v>52071</v>
      </c>
      <c r="W8877" t="s">
        <v>39118</v>
      </c>
      <c r="X8877" t="s">
        <v>42682</v>
      </c>
    </row>
    <row r="8878" spans="1:24">
      <c r="A8878">
        <f>HYPERLINK("https://www.philgeps.gov.ph/GEPSNONPILOT/Tender/SplashBidNoticeAbstractUI.aspx?menuIndex=3&amp;refID=7177555&amp;Result=3","7177555")</f>
        <v>0</v>
      </c>
      <c r="B8878" t="s">
        <v>2703</v>
      </c>
      <c r="C8878" t="s">
        <v>12006</v>
      </c>
      <c r="D8878" t="s">
        <v>17141</v>
      </c>
      <c r="E8878" t="s">
        <v>24874</v>
      </c>
      <c r="F8878" t="s">
        <v>29372</v>
      </c>
      <c r="G8878" t="s">
        <v>29379</v>
      </c>
      <c r="H8878" t="s">
        <v>11048</v>
      </c>
      <c r="I8878" t="s">
        <v>29447</v>
      </c>
      <c r="J8878" t="s">
        <v>30302</v>
      </c>
      <c r="K8878" t="s">
        <v>38490</v>
      </c>
      <c r="M8878" t="s">
        <v>41683</v>
      </c>
      <c r="N8878" t="s">
        <v>42669</v>
      </c>
      <c r="O8878" t="s">
        <v>42670</v>
      </c>
      <c r="P8878">
        <v>0</v>
      </c>
      <c r="Q8878">
        <v>3</v>
      </c>
      <c r="R8878" t="s">
        <v>42681</v>
      </c>
      <c r="S8878" t="s">
        <v>42966</v>
      </c>
      <c r="T8878" t="s">
        <v>44496</v>
      </c>
      <c r="U8878" t="s">
        <v>52072</v>
      </c>
      <c r="V8878" t="s">
        <v>56381</v>
      </c>
      <c r="W8878" t="s">
        <v>41683</v>
      </c>
      <c r="X8878" t="s">
        <v>42682</v>
      </c>
    </row>
    <row r="8879" spans="1:24">
      <c r="A8879">
        <f>HYPERLINK("https://www.philgeps.gov.ph/GEPSNONPILOT/Tender/SplashBidNoticeAbstractUI.aspx?menuIndex=3&amp;refID=7177548&amp;Result=3","7177548")</f>
        <v>0</v>
      </c>
      <c r="B8879" t="s">
        <v>2685</v>
      </c>
      <c r="C8879" t="s">
        <v>12007</v>
      </c>
      <c r="D8879" t="s">
        <v>17177</v>
      </c>
      <c r="E8879" t="s">
        <v>24875</v>
      </c>
      <c r="F8879" t="s">
        <v>29372</v>
      </c>
      <c r="G8879" t="s">
        <v>29380</v>
      </c>
      <c r="H8879" t="s">
        <v>29389</v>
      </c>
      <c r="I8879" t="s">
        <v>10408</v>
      </c>
      <c r="J8879" t="s">
        <v>29924</v>
      </c>
      <c r="K8879" t="s">
        <v>38495</v>
      </c>
      <c r="M8879" t="s">
        <v>41665</v>
      </c>
      <c r="N8879" t="s">
        <v>42669</v>
      </c>
      <c r="O8879" t="s">
        <v>42670</v>
      </c>
      <c r="P8879">
        <v>0</v>
      </c>
      <c r="Q8879">
        <v>7</v>
      </c>
      <c r="R8879" t="s">
        <v>42681</v>
      </c>
      <c r="S8879" t="s">
        <v>42966</v>
      </c>
      <c r="T8879" t="s">
        <v>44446</v>
      </c>
      <c r="U8879" t="s">
        <v>52073</v>
      </c>
      <c r="W8879" t="s">
        <v>42041</v>
      </c>
      <c r="X8879" t="s">
        <v>42682</v>
      </c>
    </row>
    <row r="8880" spans="1:24">
      <c r="A8880">
        <f>HYPERLINK("https://www.philgeps.gov.ph/GEPSNONPILOT/Tender/SplashBidNoticeAbstractUI.aspx?menuIndex=3&amp;refID=7177530&amp;Result=3","7177530")</f>
        <v>0</v>
      </c>
      <c r="B8880" t="s">
        <v>2704</v>
      </c>
      <c r="C8880" t="s">
        <v>12008</v>
      </c>
      <c r="E8880" t="s">
        <v>17404</v>
      </c>
      <c r="F8880" t="s">
        <v>29372</v>
      </c>
      <c r="G8880" t="s">
        <v>29380</v>
      </c>
      <c r="H8880" t="s">
        <v>11048</v>
      </c>
      <c r="I8880" t="s">
        <v>4709</v>
      </c>
      <c r="J8880" t="s">
        <v>35212</v>
      </c>
      <c r="K8880" t="s">
        <v>38491</v>
      </c>
      <c r="M8880" t="s">
        <v>41684</v>
      </c>
      <c r="N8880" t="s">
        <v>42669</v>
      </c>
      <c r="O8880" t="s">
        <v>42670</v>
      </c>
      <c r="P8880">
        <v>0</v>
      </c>
      <c r="Q8880">
        <v>0</v>
      </c>
      <c r="R8880" t="s">
        <v>42681</v>
      </c>
      <c r="S8880" t="s">
        <v>42966</v>
      </c>
      <c r="T8880" t="s">
        <v>44355</v>
      </c>
      <c r="U8880" t="s">
        <v>52074</v>
      </c>
      <c r="V8880" t="s">
        <v>57354</v>
      </c>
      <c r="W8880" t="s">
        <v>41684</v>
      </c>
      <c r="X8880" t="s">
        <v>42682</v>
      </c>
    </row>
    <row r="8881" spans="1:24">
      <c r="A8881">
        <f>HYPERLINK("https://www.philgeps.gov.ph/GEPSNONPILOT/Tender/SplashBidNoticeAbstractUI.aspx?menuIndex=3&amp;refID=7177586&amp;Result=3","7177586")</f>
        <v>0</v>
      </c>
      <c r="B8881" t="s">
        <v>2694</v>
      </c>
      <c r="C8881" t="s">
        <v>12009</v>
      </c>
      <c r="D8881" t="s">
        <v>17153</v>
      </c>
      <c r="E8881" t="s">
        <v>24876</v>
      </c>
      <c r="F8881" t="s">
        <v>29372</v>
      </c>
      <c r="G8881" t="s">
        <v>29380</v>
      </c>
      <c r="H8881" t="s">
        <v>29389</v>
      </c>
      <c r="I8881" t="s">
        <v>10408</v>
      </c>
      <c r="J8881" t="s">
        <v>29829</v>
      </c>
      <c r="K8881" t="s">
        <v>38522</v>
      </c>
      <c r="M8881" t="s">
        <v>41674</v>
      </c>
      <c r="N8881" t="s">
        <v>42669</v>
      </c>
      <c r="O8881" t="s">
        <v>42670</v>
      </c>
      <c r="P8881">
        <v>0</v>
      </c>
      <c r="Q8881">
        <v>7</v>
      </c>
      <c r="R8881" t="s">
        <v>42681</v>
      </c>
      <c r="S8881" t="s">
        <v>42966</v>
      </c>
      <c r="T8881" t="s">
        <v>44437</v>
      </c>
      <c r="U8881" t="s">
        <v>52075</v>
      </c>
      <c r="V8881" t="s">
        <v>57349</v>
      </c>
      <c r="W8881" t="s">
        <v>41674</v>
      </c>
      <c r="X8881" t="s">
        <v>42682</v>
      </c>
    </row>
    <row r="8882" spans="1:24">
      <c r="A8882">
        <f>HYPERLINK("https://www.philgeps.gov.ph/GEPSNONPILOT/Tender/SplashBidNoticeAbstractUI.aspx?menuIndex=3&amp;refID=7177901&amp;Result=3","7177901")</f>
        <v>0</v>
      </c>
      <c r="B8882" t="s">
        <v>2705</v>
      </c>
      <c r="C8882" t="s">
        <v>12010</v>
      </c>
      <c r="D8882" t="s">
        <v>17176</v>
      </c>
      <c r="E8882" t="s">
        <v>24877</v>
      </c>
      <c r="F8882" t="s">
        <v>29372</v>
      </c>
      <c r="G8882" t="s">
        <v>29380</v>
      </c>
      <c r="H8882" t="s">
        <v>11048</v>
      </c>
      <c r="I8882" t="s">
        <v>29423</v>
      </c>
      <c r="J8882" t="s">
        <v>31855</v>
      </c>
      <c r="K8882" t="s">
        <v>38490</v>
      </c>
      <c r="M8882" t="s">
        <v>41685</v>
      </c>
      <c r="N8882" t="s">
        <v>42669</v>
      </c>
      <c r="O8882" t="s">
        <v>42670</v>
      </c>
      <c r="P8882">
        <v>0</v>
      </c>
      <c r="Q8882">
        <v>3</v>
      </c>
      <c r="R8882" t="s">
        <v>42681</v>
      </c>
      <c r="S8882" t="s">
        <v>42966</v>
      </c>
      <c r="T8882" t="s">
        <v>44453</v>
      </c>
      <c r="U8882" t="s">
        <v>52076</v>
      </c>
      <c r="V8882" t="s">
        <v>57355</v>
      </c>
      <c r="W8882" t="s">
        <v>41685</v>
      </c>
      <c r="X8882" t="s">
        <v>42682</v>
      </c>
    </row>
    <row r="8883" spans="1:24">
      <c r="A8883">
        <f>HYPERLINK("https://www.philgeps.gov.ph/GEPSNONPILOT/Tender/SplashBidNoticeAbstractUI.aspx?menuIndex=3&amp;refID=7177469&amp;Result=3","7177469")</f>
        <v>0</v>
      </c>
      <c r="B8883" t="s">
        <v>787</v>
      </c>
      <c r="C8883" t="s">
        <v>12011</v>
      </c>
      <c r="D8883" t="s">
        <v>17166</v>
      </c>
      <c r="E8883" t="s">
        <v>24878</v>
      </c>
      <c r="F8883" t="s">
        <v>29372</v>
      </c>
      <c r="G8883" t="s">
        <v>29380</v>
      </c>
      <c r="H8883" t="s">
        <v>11048</v>
      </c>
      <c r="I8883" t="s">
        <v>9469</v>
      </c>
      <c r="J8883" t="s">
        <v>35213</v>
      </c>
      <c r="K8883" t="s">
        <v>38485</v>
      </c>
      <c r="M8883" t="s">
        <v>39571</v>
      </c>
      <c r="N8883" t="s">
        <v>42669</v>
      </c>
      <c r="O8883" t="s">
        <v>42670</v>
      </c>
      <c r="P8883">
        <v>0</v>
      </c>
      <c r="Q8883">
        <v>10</v>
      </c>
      <c r="R8883" t="s">
        <v>42681</v>
      </c>
      <c r="S8883" t="s">
        <v>42966</v>
      </c>
      <c r="T8883" t="s">
        <v>44510</v>
      </c>
      <c r="U8883" t="s">
        <v>46466</v>
      </c>
      <c r="W8883" t="s">
        <v>39571</v>
      </c>
      <c r="X8883" t="s">
        <v>42682</v>
      </c>
    </row>
    <row r="8884" spans="1:24">
      <c r="A8884">
        <f>HYPERLINK("https://www.philgeps.gov.ph/GEPSNONPILOT/Tender/SplashBidNoticeAbstractUI.aspx?menuIndex=3&amp;refID=7177568&amp;Result=3","7177568")</f>
        <v>0</v>
      </c>
      <c r="B8884" t="s">
        <v>2706</v>
      </c>
      <c r="C8884" t="s">
        <v>12012</v>
      </c>
      <c r="D8884" t="s">
        <v>17172</v>
      </c>
      <c r="E8884" t="s">
        <v>18698</v>
      </c>
      <c r="F8884" t="s">
        <v>29372</v>
      </c>
      <c r="G8884" t="s">
        <v>29380</v>
      </c>
      <c r="H8884" t="s">
        <v>29389</v>
      </c>
      <c r="I8884" t="s">
        <v>10408</v>
      </c>
      <c r="J8884" t="s">
        <v>31498</v>
      </c>
      <c r="K8884" t="s">
        <v>38564</v>
      </c>
      <c r="M8884" t="s">
        <v>41686</v>
      </c>
      <c r="N8884" t="s">
        <v>42669</v>
      </c>
      <c r="O8884" t="s">
        <v>42670</v>
      </c>
      <c r="P8884">
        <v>0</v>
      </c>
      <c r="Q8884">
        <v>1</v>
      </c>
      <c r="R8884" t="s">
        <v>42681</v>
      </c>
      <c r="S8884" t="s">
        <v>42966</v>
      </c>
      <c r="T8884" t="s">
        <v>44453</v>
      </c>
      <c r="U8884" t="s">
        <v>52077</v>
      </c>
      <c r="W8884" t="s">
        <v>41686</v>
      </c>
      <c r="X8884" t="s">
        <v>42682</v>
      </c>
    </row>
    <row r="8885" spans="1:24">
      <c r="A8885">
        <f>HYPERLINK("https://www.philgeps.gov.ph/GEPSNONPILOT/Tender/SplashBidNoticeAbstractUI.aspx?menuIndex=3&amp;refID=7177878&amp;Result=3","7177878")</f>
        <v>0</v>
      </c>
      <c r="B8885" t="s">
        <v>1626</v>
      </c>
      <c r="C8885" t="s">
        <v>12013</v>
      </c>
      <c r="D8885" t="s">
        <v>17173</v>
      </c>
      <c r="E8885" t="s">
        <v>24879</v>
      </c>
      <c r="F8885" t="s">
        <v>29372</v>
      </c>
      <c r="G8885" t="s">
        <v>29380</v>
      </c>
      <c r="H8885" t="s">
        <v>11048</v>
      </c>
      <c r="I8885" t="s">
        <v>3695</v>
      </c>
      <c r="J8885" t="s">
        <v>35214</v>
      </c>
      <c r="K8885" t="s">
        <v>38485</v>
      </c>
      <c r="M8885" t="s">
        <v>40480</v>
      </c>
      <c r="N8885" t="s">
        <v>42669</v>
      </c>
      <c r="O8885" t="s">
        <v>42670</v>
      </c>
      <c r="P8885">
        <v>0</v>
      </c>
      <c r="Q8885">
        <v>7</v>
      </c>
      <c r="R8885" t="s">
        <v>42681</v>
      </c>
      <c r="S8885" t="s">
        <v>42966</v>
      </c>
      <c r="T8885" t="s">
        <v>44355</v>
      </c>
      <c r="U8885" t="s">
        <v>48511</v>
      </c>
      <c r="W8885" t="s">
        <v>40480</v>
      </c>
      <c r="X8885" t="s">
        <v>42682</v>
      </c>
    </row>
    <row r="8886" spans="1:24">
      <c r="A8886">
        <f>HYPERLINK("https://www.philgeps.gov.ph/GEPSNONPILOT/Tender/SplashBidNoticeAbstractUI.aspx?menuIndex=3&amp;refID=7177580&amp;Result=3","7177580")</f>
        <v>0</v>
      </c>
      <c r="B8886" t="s">
        <v>792</v>
      </c>
      <c r="C8886" t="s">
        <v>12014</v>
      </c>
      <c r="D8886" t="s">
        <v>17187</v>
      </c>
      <c r="E8886" t="s">
        <v>17251</v>
      </c>
      <c r="F8886" t="s">
        <v>29372</v>
      </c>
      <c r="G8886" t="s">
        <v>29380</v>
      </c>
      <c r="H8886" t="s">
        <v>29389</v>
      </c>
      <c r="I8886" t="s">
        <v>10408</v>
      </c>
      <c r="J8886" t="s">
        <v>35215</v>
      </c>
      <c r="K8886" t="s">
        <v>38522</v>
      </c>
      <c r="M8886" t="s">
        <v>39576</v>
      </c>
      <c r="N8886" t="s">
        <v>42669</v>
      </c>
      <c r="O8886" t="s">
        <v>42670</v>
      </c>
      <c r="P8886">
        <v>0</v>
      </c>
      <c r="Q8886">
        <v>0</v>
      </c>
      <c r="R8886" t="s">
        <v>42681</v>
      </c>
      <c r="S8886" t="s">
        <v>42966</v>
      </c>
      <c r="T8886" t="s">
        <v>44527</v>
      </c>
      <c r="U8886" t="s">
        <v>52078</v>
      </c>
      <c r="V8886" t="s">
        <v>57356</v>
      </c>
      <c r="W8886" t="s">
        <v>39576</v>
      </c>
      <c r="X8886" t="s">
        <v>42682</v>
      </c>
    </row>
    <row r="8887" spans="1:24">
      <c r="A8887">
        <f>HYPERLINK("https://www.philgeps.gov.ph/GEPSNONPILOT/Tender/SplashBidNoticeAbstractUI.aspx?menuIndex=3&amp;refID=7177529&amp;Result=3","7177529")</f>
        <v>0</v>
      </c>
      <c r="B8887" t="s">
        <v>1208</v>
      </c>
      <c r="C8887" t="s">
        <v>12015</v>
      </c>
      <c r="D8887" t="s">
        <v>17213</v>
      </c>
      <c r="E8887" t="s">
        <v>24880</v>
      </c>
      <c r="F8887" t="s">
        <v>29372</v>
      </c>
      <c r="G8887" t="s">
        <v>29380</v>
      </c>
      <c r="H8887" t="s">
        <v>11048</v>
      </c>
      <c r="I8887" t="s">
        <v>29430</v>
      </c>
      <c r="J8887" t="s">
        <v>30087</v>
      </c>
      <c r="K8887" t="s">
        <v>38488</v>
      </c>
      <c r="M8887" t="s">
        <v>40025</v>
      </c>
      <c r="N8887" t="s">
        <v>42669</v>
      </c>
      <c r="O8887" t="s">
        <v>42670</v>
      </c>
      <c r="P8887">
        <v>0</v>
      </c>
      <c r="Q8887">
        <v>2</v>
      </c>
      <c r="R8887" t="s">
        <v>42681</v>
      </c>
      <c r="S8887" t="s">
        <v>42966</v>
      </c>
      <c r="T8887" t="s">
        <v>44399</v>
      </c>
      <c r="U8887" t="s">
        <v>52079</v>
      </c>
      <c r="W8887" t="s">
        <v>40025</v>
      </c>
      <c r="X8887" t="s">
        <v>42682</v>
      </c>
    </row>
    <row r="8888" spans="1:24">
      <c r="A8888">
        <f>HYPERLINK("https://www.philgeps.gov.ph/GEPSNONPILOT/Tender/SplashBidNoticeAbstractUI.aspx?menuIndex=3&amp;refID=7177836&amp;Result=3","7177836")</f>
        <v>0</v>
      </c>
      <c r="B8888" t="s">
        <v>1186</v>
      </c>
      <c r="C8888" t="s">
        <v>12016</v>
      </c>
      <c r="D8888" t="s">
        <v>17175</v>
      </c>
      <c r="E8888" t="s">
        <v>24881</v>
      </c>
      <c r="F8888" t="s">
        <v>29372</v>
      </c>
      <c r="G8888" t="s">
        <v>29380</v>
      </c>
      <c r="H8888" t="s">
        <v>11048</v>
      </c>
      <c r="I8888" t="s">
        <v>29393</v>
      </c>
      <c r="J8888" t="s">
        <v>35216</v>
      </c>
      <c r="K8888" t="s">
        <v>38490</v>
      </c>
      <c r="M8888" t="s">
        <v>40002</v>
      </c>
      <c r="N8888" t="s">
        <v>42669</v>
      </c>
      <c r="O8888" t="s">
        <v>42670</v>
      </c>
      <c r="P8888">
        <v>0</v>
      </c>
      <c r="Q8888">
        <v>0</v>
      </c>
      <c r="R8888" t="s">
        <v>42681</v>
      </c>
      <c r="S8888" t="s">
        <v>42966</v>
      </c>
      <c r="T8888" t="s">
        <v>44399</v>
      </c>
      <c r="U8888" t="s">
        <v>52080</v>
      </c>
      <c r="W8888" t="s">
        <v>40002</v>
      </c>
      <c r="X8888" t="s">
        <v>42682</v>
      </c>
    </row>
    <row r="8889" spans="1:24">
      <c r="A8889">
        <f>HYPERLINK("https://www.philgeps.gov.ph/GEPSNONPILOT/Tender/SplashBidNoticeAbstractUI.aspx?menuIndex=3&amp;refID=7177844&amp;Result=3","7177844")</f>
        <v>0</v>
      </c>
      <c r="B8889" t="s">
        <v>2706</v>
      </c>
      <c r="C8889" t="s">
        <v>12017</v>
      </c>
      <c r="D8889" t="s">
        <v>17172</v>
      </c>
      <c r="E8889" t="s">
        <v>18789</v>
      </c>
      <c r="F8889" t="s">
        <v>29372</v>
      </c>
      <c r="G8889" t="s">
        <v>29380</v>
      </c>
      <c r="H8889" t="s">
        <v>11048</v>
      </c>
      <c r="I8889" t="s">
        <v>8614</v>
      </c>
      <c r="J8889" t="s">
        <v>35217</v>
      </c>
      <c r="K8889" t="s">
        <v>38488</v>
      </c>
      <c r="M8889" t="s">
        <v>41686</v>
      </c>
      <c r="N8889" t="s">
        <v>42669</v>
      </c>
      <c r="O8889" t="s">
        <v>42670</v>
      </c>
      <c r="P8889">
        <v>0</v>
      </c>
      <c r="Q8889">
        <v>4</v>
      </c>
      <c r="R8889" t="s">
        <v>42681</v>
      </c>
      <c r="S8889" t="s">
        <v>42966</v>
      </c>
      <c r="T8889" t="s">
        <v>44453</v>
      </c>
      <c r="U8889" t="s">
        <v>52081</v>
      </c>
      <c r="W8889" t="s">
        <v>41686</v>
      </c>
      <c r="X8889" t="s">
        <v>42682</v>
      </c>
    </row>
    <row r="8890" spans="1:24">
      <c r="A8890">
        <f>HYPERLINK("https://www.philgeps.gov.ph/GEPSNONPILOT/Tender/SplashBidNoticeAbstractUI.aspx?menuIndex=3&amp;refID=7177758&amp;Result=3","7177758")</f>
        <v>0</v>
      </c>
      <c r="B8890" t="s">
        <v>2707</v>
      </c>
      <c r="C8890" t="s">
        <v>12018</v>
      </c>
      <c r="D8890" t="s">
        <v>17212</v>
      </c>
      <c r="E8890" t="s">
        <v>19225</v>
      </c>
      <c r="F8890" t="s">
        <v>29372</v>
      </c>
      <c r="G8890" t="s">
        <v>29380</v>
      </c>
      <c r="H8890" t="s">
        <v>29389</v>
      </c>
      <c r="I8890" t="s">
        <v>10408</v>
      </c>
      <c r="J8890" t="s">
        <v>30161</v>
      </c>
      <c r="K8890" t="s">
        <v>38564</v>
      </c>
      <c r="M8890" t="s">
        <v>41687</v>
      </c>
      <c r="N8890" t="s">
        <v>42669</v>
      </c>
      <c r="O8890" t="s">
        <v>42670</v>
      </c>
      <c r="P8890">
        <v>0</v>
      </c>
      <c r="Q8890">
        <v>1</v>
      </c>
      <c r="R8890" t="s">
        <v>42681</v>
      </c>
      <c r="S8890" t="s">
        <v>42966</v>
      </c>
      <c r="T8890" t="s">
        <v>44452</v>
      </c>
      <c r="U8890" t="s">
        <v>52082</v>
      </c>
      <c r="W8890" t="s">
        <v>41687</v>
      </c>
      <c r="X8890" t="s">
        <v>42682</v>
      </c>
    </row>
    <row r="8891" spans="1:24">
      <c r="A8891">
        <f>HYPERLINK("https://www.philgeps.gov.ph/GEPSNONPILOT/Tender/SplashBidNoticeAbstractUI.aspx?menuIndex=3&amp;refID=7177756&amp;Result=3","7177756")</f>
        <v>0</v>
      </c>
      <c r="B8891" t="s">
        <v>1515</v>
      </c>
      <c r="C8891" t="s">
        <v>12019</v>
      </c>
      <c r="D8891" t="s">
        <v>17174</v>
      </c>
      <c r="E8891" t="s">
        <v>24882</v>
      </c>
      <c r="F8891" t="s">
        <v>29372</v>
      </c>
      <c r="G8891" t="s">
        <v>29380</v>
      </c>
      <c r="H8891" t="s">
        <v>11048</v>
      </c>
      <c r="I8891" t="s">
        <v>8208</v>
      </c>
      <c r="J8891" t="s">
        <v>35218</v>
      </c>
      <c r="K8891" t="s">
        <v>38490</v>
      </c>
      <c r="M8891" t="s">
        <v>40359</v>
      </c>
      <c r="N8891" t="s">
        <v>42669</v>
      </c>
      <c r="O8891" t="s">
        <v>42670</v>
      </c>
      <c r="P8891">
        <v>0</v>
      </c>
      <c r="Q8891">
        <v>0</v>
      </c>
      <c r="R8891" t="s">
        <v>42681</v>
      </c>
      <c r="S8891" t="s">
        <v>42966</v>
      </c>
      <c r="T8891" t="s">
        <v>44400</v>
      </c>
      <c r="U8891" t="s">
        <v>52083</v>
      </c>
      <c r="W8891" t="s">
        <v>40359</v>
      </c>
      <c r="X8891" t="s">
        <v>42682</v>
      </c>
    </row>
    <row r="8892" spans="1:24">
      <c r="A8892">
        <f>HYPERLINK("https://www.philgeps.gov.ph/GEPSNONPILOT/Tender/SplashBidNoticeAbstractUI.aspx?menuIndex=3&amp;refID=7177813&amp;Result=3","7177813")</f>
        <v>0</v>
      </c>
      <c r="B8892" t="s">
        <v>2707</v>
      </c>
      <c r="C8892" t="s">
        <v>12020</v>
      </c>
      <c r="D8892" t="s">
        <v>17212</v>
      </c>
      <c r="E8892" t="s">
        <v>19316</v>
      </c>
      <c r="F8892" t="s">
        <v>29372</v>
      </c>
      <c r="G8892" t="s">
        <v>29380</v>
      </c>
      <c r="H8892" t="s">
        <v>29389</v>
      </c>
      <c r="I8892" t="s">
        <v>10408</v>
      </c>
      <c r="J8892" t="s">
        <v>30161</v>
      </c>
      <c r="K8892" t="s">
        <v>38564</v>
      </c>
      <c r="M8892" t="s">
        <v>41687</v>
      </c>
      <c r="N8892" t="s">
        <v>42669</v>
      </c>
      <c r="O8892" t="s">
        <v>42670</v>
      </c>
      <c r="P8892">
        <v>0</v>
      </c>
      <c r="Q8892">
        <v>1</v>
      </c>
      <c r="R8892" t="s">
        <v>42681</v>
      </c>
      <c r="S8892" t="s">
        <v>42966</v>
      </c>
      <c r="T8892" t="s">
        <v>44452</v>
      </c>
      <c r="U8892" t="s">
        <v>52084</v>
      </c>
      <c r="W8892" t="s">
        <v>41687</v>
      </c>
      <c r="X8892" t="s">
        <v>42682</v>
      </c>
    </row>
    <row r="8893" spans="1:24">
      <c r="A8893">
        <f>HYPERLINK("https://www.philgeps.gov.ph/GEPSNONPILOT/Tender/SplashBidNoticeAbstractUI.aspx?menuIndex=3&amp;refID=7177802&amp;Result=3","7177802")</f>
        <v>0</v>
      </c>
      <c r="B8893" t="s">
        <v>2685</v>
      </c>
      <c r="C8893" t="s">
        <v>12021</v>
      </c>
      <c r="D8893" t="s">
        <v>17177</v>
      </c>
      <c r="E8893" t="s">
        <v>24883</v>
      </c>
      <c r="F8893" t="s">
        <v>29372</v>
      </c>
      <c r="G8893" t="s">
        <v>29380</v>
      </c>
      <c r="H8893" t="s">
        <v>29389</v>
      </c>
      <c r="I8893" t="s">
        <v>10408</v>
      </c>
      <c r="J8893" t="s">
        <v>34737</v>
      </c>
      <c r="K8893" t="s">
        <v>38495</v>
      </c>
      <c r="M8893" t="s">
        <v>41665</v>
      </c>
      <c r="N8893" t="s">
        <v>42669</v>
      </c>
      <c r="O8893" t="s">
        <v>42670</v>
      </c>
      <c r="P8893">
        <v>0</v>
      </c>
      <c r="Q8893">
        <v>7</v>
      </c>
      <c r="R8893" t="s">
        <v>42681</v>
      </c>
      <c r="S8893" t="s">
        <v>42966</v>
      </c>
      <c r="T8893" t="s">
        <v>44446</v>
      </c>
      <c r="U8893" t="s">
        <v>52085</v>
      </c>
      <c r="W8893" t="s">
        <v>42041</v>
      </c>
      <c r="X8893" t="s">
        <v>42682</v>
      </c>
    </row>
    <row r="8894" spans="1:24">
      <c r="A8894">
        <f>HYPERLINK("https://www.philgeps.gov.ph/GEPSNONPILOT/Tender/SplashBidNoticeAbstractUI.aspx?menuIndex=3&amp;refID=7177734&amp;Result=3","7177734")</f>
        <v>0</v>
      </c>
      <c r="B8894" t="s">
        <v>1515</v>
      </c>
      <c r="C8894" t="s">
        <v>12022</v>
      </c>
      <c r="D8894" t="s">
        <v>17174</v>
      </c>
      <c r="E8894" t="s">
        <v>24884</v>
      </c>
      <c r="F8894" t="s">
        <v>29372</v>
      </c>
      <c r="G8894" t="s">
        <v>29380</v>
      </c>
      <c r="H8894" t="s">
        <v>11048</v>
      </c>
      <c r="I8894" t="s">
        <v>8208</v>
      </c>
      <c r="J8894" t="s">
        <v>35219</v>
      </c>
      <c r="K8894" t="s">
        <v>38490</v>
      </c>
      <c r="M8894" t="s">
        <v>40359</v>
      </c>
      <c r="N8894" t="s">
        <v>42669</v>
      </c>
      <c r="O8894" t="s">
        <v>42670</v>
      </c>
      <c r="P8894">
        <v>0</v>
      </c>
      <c r="Q8894">
        <v>0</v>
      </c>
      <c r="R8894" t="s">
        <v>42681</v>
      </c>
      <c r="S8894" t="s">
        <v>42966</v>
      </c>
      <c r="T8894" t="s">
        <v>44400</v>
      </c>
      <c r="U8894" t="s">
        <v>52086</v>
      </c>
      <c r="W8894" t="s">
        <v>40359</v>
      </c>
      <c r="X8894" t="s">
        <v>42682</v>
      </c>
    </row>
    <row r="8895" spans="1:24">
      <c r="A8895">
        <f>HYPERLINK("https://www.philgeps.gov.ph/GEPSNONPILOT/Tender/SplashBidNoticeAbstractUI.aspx?menuIndex=3&amp;refID=7177730&amp;Result=3","7177730")</f>
        <v>0</v>
      </c>
      <c r="B8895" t="s">
        <v>2705</v>
      </c>
      <c r="C8895" t="s">
        <v>12023</v>
      </c>
      <c r="D8895" t="s">
        <v>17176</v>
      </c>
      <c r="E8895" t="s">
        <v>24885</v>
      </c>
      <c r="F8895" t="s">
        <v>29372</v>
      </c>
      <c r="G8895" t="s">
        <v>29380</v>
      </c>
      <c r="H8895" t="s">
        <v>11048</v>
      </c>
      <c r="I8895" t="s">
        <v>29423</v>
      </c>
      <c r="J8895" t="s">
        <v>35220</v>
      </c>
      <c r="K8895" t="s">
        <v>38490</v>
      </c>
      <c r="M8895" t="s">
        <v>41685</v>
      </c>
      <c r="N8895" t="s">
        <v>42669</v>
      </c>
      <c r="O8895" t="s">
        <v>42670</v>
      </c>
      <c r="P8895">
        <v>0</v>
      </c>
      <c r="Q8895">
        <v>4</v>
      </c>
      <c r="R8895" t="s">
        <v>42681</v>
      </c>
      <c r="S8895" t="s">
        <v>42966</v>
      </c>
      <c r="T8895" t="s">
        <v>44453</v>
      </c>
      <c r="U8895" t="s">
        <v>52087</v>
      </c>
      <c r="V8895" t="s">
        <v>57357</v>
      </c>
      <c r="W8895" t="s">
        <v>41685</v>
      </c>
      <c r="X8895" t="s">
        <v>42682</v>
      </c>
    </row>
    <row r="8896" spans="1:24">
      <c r="A8896">
        <f>HYPERLINK("https://www.philgeps.gov.ph/GEPSNONPILOT/Tender/SplashBidNoticeAbstractUI.aspx?menuIndex=3&amp;refID=7177868&amp;Result=3","7177868")</f>
        <v>0</v>
      </c>
      <c r="B8896" t="s">
        <v>2705</v>
      </c>
      <c r="C8896" t="s">
        <v>12024</v>
      </c>
      <c r="D8896" t="s">
        <v>17176</v>
      </c>
      <c r="E8896" t="s">
        <v>24886</v>
      </c>
      <c r="F8896" t="s">
        <v>29372</v>
      </c>
      <c r="G8896" t="s">
        <v>29380</v>
      </c>
      <c r="H8896" t="s">
        <v>11048</v>
      </c>
      <c r="I8896" t="s">
        <v>29423</v>
      </c>
      <c r="J8896" t="s">
        <v>35221</v>
      </c>
      <c r="K8896" t="s">
        <v>38490</v>
      </c>
      <c r="M8896" t="s">
        <v>41685</v>
      </c>
      <c r="N8896" t="s">
        <v>42669</v>
      </c>
      <c r="O8896" t="s">
        <v>42670</v>
      </c>
      <c r="P8896">
        <v>0</v>
      </c>
      <c r="Q8896">
        <v>3</v>
      </c>
      <c r="R8896" t="s">
        <v>42681</v>
      </c>
      <c r="S8896" t="s">
        <v>42966</v>
      </c>
      <c r="T8896" t="s">
        <v>44453</v>
      </c>
      <c r="U8896" t="s">
        <v>52088</v>
      </c>
      <c r="V8896" t="s">
        <v>57358</v>
      </c>
      <c r="W8896" t="s">
        <v>41685</v>
      </c>
      <c r="X8896" t="s">
        <v>42682</v>
      </c>
    </row>
    <row r="8897" spans="1:24">
      <c r="A8897">
        <f>HYPERLINK("https://www.philgeps.gov.ph/GEPSNONPILOT/Tender/SplashBidNoticeAbstractUI.aspx?menuIndex=3&amp;refID=7178043&amp;Result=3","7178043")</f>
        <v>0</v>
      </c>
      <c r="B8897" t="s">
        <v>2689</v>
      </c>
      <c r="C8897" t="s">
        <v>12025</v>
      </c>
      <c r="D8897" t="s">
        <v>17168</v>
      </c>
      <c r="E8897" t="s">
        <v>24887</v>
      </c>
      <c r="F8897" t="s">
        <v>29372</v>
      </c>
      <c r="G8897" t="s">
        <v>29380</v>
      </c>
      <c r="H8897" t="s">
        <v>11048</v>
      </c>
      <c r="I8897" t="s">
        <v>4709</v>
      </c>
      <c r="J8897" t="s">
        <v>35222</v>
      </c>
      <c r="K8897" t="s">
        <v>38496</v>
      </c>
      <c r="M8897" t="s">
        <v>41669</v>
      </c>
      <c r="N8897" t="s">
        <v>42669</v>
      </c>
      <c r="O8897" t="s">
        <v>42670</v>
      </c>
      <c r="P8897">
        <v>0</v>
      </c>
      <c r="Q8897">
        <v>0</v>
      </c>
      <c r="R8897" t="s">
        <v>42681</v>
      </c>
      <c r="S8897" t="s">
        <v>42966</v>
      </c>
      <c r="T8897" t="s">
        <v>44512</v>
      </c>
      <c r="U8897" t="s">
        <v>52089</v>
      </c>
      <c r="W8897" t="s">
        <v>41669</v>
      </c>
      <c r="X8897" t="s">
        <v>42682</v>
      </c>
    </row>
    <row r="8898" spans="1:24">
      <c r="A8898">
        <f>HYPERLINK("https://www.philgeps.gov.ph/GEPSNONPILOT/Tender/SplashBidNoticeAbstractUI.aspx?menuIndex=3&amp;refID=7177661&amp;Result=3","7177661")</f>
        <v>0</v>
      </c>
      <c r="B8898" t="s">
        <v>2514</v>
      </c>
      <c r="C8898" t="s">
        <v>12026</v>
      </c>
      <c r="E8898" t="s">
        <v>19101</v>
      </c>
      <c r="F8898" t="s">
        <v>29372</v>
      </c>
      <c r="G8898" t="s">
        <v>29380</v>
      </c>
      <c r="H8898" t="s">
        <v>11048</v>
      </c>
      <c r="I8898" t="s">
        <v>29417</v>
      </c>
      <c r="J8898" t="s">
        <v>30412</v>
      </c>
      <c r="K8898" t="s">
        <v>38517</v>
      </c>
      <c r="M8898" t="s">
        <v>41474</v>
      </c>
      <c r="N8898" t="s">
        <v>42669</v>
      </c>
      <c r="O8898" t="s">
        <v>42670</v>
      </c>
      <c r="P8898">
        <v>0</v>
      </c>
      <c r="Q8898">
        <v>1</v>
      </c>
      <c r="R8898" t="s">
        <v>42681</v>
      </c>
      <c r="S8898" t="s">
        <v>42966</v>
      </c>
      <c r="T8898" t="s">
        <v>44512</v>
      </c>
      <c r="U8898" t="s">
        <v>52090</v>
      </c>
      <c r="W8898" t="s">
        <v>41474</v>
      </c>
      <c r="X8898" t="s">
        <v>42682</v>
      </c>
    </row>
    <row r="8899" spans="1:24">
      <c r="A8899">
        <f>HYPERLINK("https://www.philgeps.gov.ph/GEPSNONPILOT/Tender/SplashBidNoticeAbstractUI.aspx?menuIndex=3&amp;refID=7178122&amp;Result=3","7178122")</f>
        <v>0</v>
      </c>
      <c r="B8899" t="s">
        <v>1548</v>
      </c>
      <c r="C8899" t="s">
        <v>12027</v>
      </c>
      <c r="D8899" t="s">
        <v>17206</v>
      </c>
      <c r="E8899" t="s">
        <v>24888</v>
      </c>
      <c r="F8899" t="s">
        <v>29372</v>
      </c>
      <c r="G8899" t="s">
        <v>29380</v>
      </c>
      <c r="H8899" t="s">
        <v>11048</v>
      </c>
      <c r="I8899" t="s">
        <v>3629</v>
      </c>
      <c r="J8899" t="s">
        <v>35223</v>
      </c>
      <c r="K8899" t="s">
        <v>38488</v>
      </c>
      <c r="M8899" t="s">
        <v>40398</v>
      </c>
      <c r="N8899" t="s">
        <v>42669</v>
      </c>
      <c r="O8899" t="s">
        <v>42670</v>
      </c>
      <c r="P8899">
        <v>0</v>
      </c>
      <c r="Q8899">
        <v>1</v>
      </c>
      <c r="R8899" t="s">
        <v>42681</v>
      </c>
      <c r="S8899" t="s">
        <v>42966</v>
      </c>
      <c r="T8899" t="s">
        <v>44442</v>
      </c>
      <c r="U8899" t="s">
        <v>52091</v>
      </c>
      <c r="V8899" t="s">
        <v>57359</v>
      </c>
      <c r="W8899" t="s">
        <v>40398</v>
      </c>
      <c r="X8899" t="s">
        <v>42682</v>
      </c>
    </row>
    <row r="8900" spans="1:24">
      <c r="A8900">
        <f>HYPERLINK("https://www.philgeps.gov.ph/GEPSNONPILOT/Tender/SplashBidNoticeAbstractUI.aspx?menuIndex=3&amp;refID=7178094&amp;Result=3","7178094")</f>
        <v>0</v>
      </c>
      <c r="B8900" t="s">
        <v>2708</v>
      </c>
      <c r="C8900" t="s">
        <v>12028</v>
      </c>
      <c r="D8900" t="s">
        <v>17161</v>
      </c>
      <c r="E8900" t="s">
        <v>24889</v>
      </c>
      <c r="F8900" t="s">
        <v>29372</v>
      </c>
      <c r="G8900" t="s">
        <v>29380</v>
      </c>
      <c r="H8900" t="s">
        <v>11048</v>
      </c>
      <c r="I8900" t="s">
        <v>4709</v>
      </c>
      <c r="J8900" t="s">
        <v>35224</v>
      </c>
      <c r="K8900" t="s">
        <v>38488</v>
      </c>
      <c r="M8900" t="s">
        <v>41688</v>
      </c>
      <c r="N8900" t="s">
        <v>42669</v>
      </c>
      <c r="O8900" t="s">
        <v>42670</v>
      </c>
      <c r="P8900">
        <v>0</v>
      </c>
      <c r="Q8900">
        <v>0</v>
      </c>
      <c r="R8900" t="s">
        <v>42681</v>
      </c>
      <c r="S8900" t="s">
        <v>42966</v>
      </c>
      <c r="T8900" t="s">
        <v>44474</v>
      </c>
      <c r="U8900" t="s">
        <v>52092</v>
      </c>
      <c r="V8900" t="s">
        <v>57360</v>
      </c>
      <c r="W8900" t="s">
        <v>41688</v>
      </c>
      <c r="X8900" t="s">
        <v>42682</v>
      </c>
    </row>
    <row r="8901" spans="1:24">
      <c r="A8901">
        <f>HYPERLINK("https://www.philgeps.gov.ph/GEPSNONPILOT/Tender/SplashBidNoticeAbstractUI.aspx?menuIndex=3&amp;refID=7177723&amp;Result=3","7177723")</f>
        <v>0</v>
      </c>
      <c r="B8901" t="s">
        <v>2709</v>
      </c>
      <c r="C8901" t="s">
        <v>12029</v>
      </c>
      <c r="D8901" t="s">
        <v>17188</v>
      </c>
      <c r="E8901" t="s">
        <v>17533</v>
      </c>
      <c r="F8901" t="s">
        <v>29372</v>
      </c>
      <c r="G8901" t="s">
        <v>29380</v>
      </c>
      <c r="H8901" t="s">
        <v>29389</v>
      </c>
      <c r="I8901" t="s">
        <v>10408</v>
      </c>
      <c r="J8901" t="s">
        <v>35225</v>
      </c>
      <c r="K8901" t="s">
        <v>38485</v>
      </c>
      <c r="M8901" t="s">
        <v>41689</v>
      </c>
      <c r="N8901" t="s">
        <v>42669</v>
      </c>
      <c r="O8901" t="s">
        <v>42670</v>
      </c>
      <c r="P8901">
        <v>0</v>
      </c>
      <c r="Q8901">
        <v>0</v>
      </c>
      <c r="R8901" t="s">
        <v>42681</v>
      </c>
      <c r="S8901" t="s">
        <v>42966</v>
      </c>
      <c r="T8901" t="s">
        <v>44493</v>
      </c>
      <c r="U8901" t="s">
        <v>52093</v>
      </c>
      <c r="W8901" t="s">
        <v>41689</v>
      </c>
      <c r="X8901" t="s">
        <v>42682</v>
      </c>
    </row>
    <row r="8902" spans="1:24">
      <c r="A8902">
        <f>HYPERLINK("https://www.philgeps.gov.ph/GEPSNONPILOT/Tender/SplashBidNoticeAbstractUI.aspx?menuIndex=3&amp;refID=7178084&amp;Result=3","7178084")</f>
        <v>0</v>
      </c>
      <c r="B8902" t="s">
        <v>1501</v>
      </c>
      <c r="C8902" t="s">
        <v>12030</v>
      </c>
      <c r="D8902" t="s">
        <v>17179</v>
      </c>
      <c r="E8902" t="s">
        <v>24890</v>
      </c>
      <c r="F8902" t="s">
        <v>29372</v>
      </c>
      <c r="G8902" t="s">
        <v>29380</v>
      </c>
      <c r="H8902" t="s">
        <v>11048</v>
      </c>
      <c r="I8902" t="s">
        <v>4487</v>
      </c>
      <c r="J8902" t="s">
        <v>35226</v>
      </c>
      <c r="K8902" t="s">
        <v>38488</v>
      </c>
      <c r="M8902" t="s">
        <v>40345</v>
      </c>
      <c r="N8902" t="s">
        <v>42669</v>
      </c>
      <c r="O8902" t="s">
        <v>42670</v>
      </c>
      <c r="Q8902">
        <v>8</v>
      </c>
      <c r="R8902" t="s">
        <v>42681</v>
      </c>
      <c r="S8902" t="s">
        <v>42970</v>
      </c>
      <c r="T8902" t="s">
        <v>44474</v>
      </c>
      <c r="U8902" t="s">
        <v>52094</v>
      </c>
      <c r="W8902" t="s">
        <v>40345</v>
      </c>
      <c r="X8902" t="s">
        <v>42682</v>
      </c>
    </row>
    <row r="8903" spans="1:24">
      <c r="A8903">
        <f>HYPERLINK("https://www.philgeps.gov.ph/GEPSNONPILOT/Tender/SplashBidNoticeAbstractUI.aspx?menuIndex=3&amp;refID=7177735&amp;Result=3","7177735")</f>
        <v>0</v>
      </c>
      <c r="B8903" t="s">
        <v>2109</v>
      </c>
      <c r="C8903" t="s">
        <v>12031</v>
      </c>
      <c r="D8903" t="s">
        <v>17170</v>
      </c>
      <c r="E8903" t="s">
        <v>24891</v>
      </c>
      <c r="F8903" t="s">
        <v>29372</v>
      </c>
      <c r="G8903" t="s">
        <v>29379</v>
      </c>
      <c r="H8903" t="s">
        <v>11048</v>
      </c>
      <c r="I8903" t="s">
        <v>29397</v>
      </c>
      <c r="J8903" t="s">
        <v>35227</v>
      </c>
      <c r="K8903" t="s">
        <v>38490</v>
      </c>
      <c r="M8903" t="s">
        <v>41012</v>
      </c>
      <c r="N8903" t="s">
        <v>42669</v>
      </c>
      <c r="O8903" t="s">
        <v>42670</v>
      </c>
      <c r="P8903">
        <v>0</v>
      </c>
      <c r="Q8903">
        <v>2</v>
      </c>
      <c r="R8903" t="s">
        <v>42681</v>
      </c>
      <c r="S8903" t="s">
        <v>42966</v>
      </c>
      <c r="T8903" t="s">
        <v>44491</v>
      </c>
      <c r="U8903" t="s">
        <v>52095</v>
      </c>
      <c r="W8903" t="s">
        <v>41012</v>
      </c>
      <c r="X8903" t="s">
        <v>42682</v>
      </c>
    </row>
    <row r="8904" spans="1:24">
      <c r="A8904">
        <f>HYPERLINK("https://www.philgeps.gov.ph/GEPSNONPILOT/Tender/SplashBidNoticeAbstractUI.aspx?menuIndex=3&amp;refID=7178062&amp;Result=3","7178062")</f>
        <v>0</v>
      </c>
      <c r="B8904" t="s">
        <v>2710</v>
      </c>
      <c r="C8904" t="s">
        <v>12032</v>
      </c>
      <c r="D8904" t="s">
        <v>17206</v>
      </c>
      <c r="E8904" t="s">
        <v>24892</v>
      </c>
      <c r="F8904" t="s">
        <v>29372</v>
      </c>
      <c r="G8904" t="s">
        <v>29380</v>
      </c>
      <c r="H8904" t="s">
        <v>11048</v>
      </c>
      <c r="I8904" t="s">
        <v>29409</v>
      </c>
      <c r="J8904" t="s">
        <v>35228</v>
      </c>
      <c r="K8904" t="s">
        <v>38485</v>
      </c>
      <c r="M8904" t="s">
        <v>41690</v>
      </c>
      <c r="N8904" t="s">
        <v>42669</v>
      </c>
      <c r="O8904" t="s">
        <v>42670</v>
      </c>
      <c r="P8904">
        <v>0</v>
      </c>
      <c r="Q8904">
        <v>9</v>
      </c>
      <c r="R8904" t="s">
        <v>42681</v>
      </c>
      <c r="S8904" t="s">
        <v>42966</v>
      </c>
      <c r="T8904" t="s">
        <v>44542</v>
      </c>
      <c r="U8904" t="s">
        <v>52096</v>
      </c>
      <c r="W8904" t="s">
        <v>41690</v>
      </c>
      <c r="X8904" t="s">
        <v>42682</v>
      </c>
    </row>
    <row r="8905" spans="1:24">
      <c r="A8905">
        <f>HYPERLINK("https://www.philgeps.gov.ph/GEPSNONPILOT/Tender/SplashBidNoticeAbstractUI.aspx?menuIndex=3&amp;refID=7177635&amp;Result=3","7177635")</f>
        <v>0</v>
      </c>
      <c r="B8905" t="s">
        <v>2707</v>
      </c>
      <c r="C8905" t="s">
        <v>12033</v>
      </c>
      <c r="D8905" t="s">
        <v>17212</v>
      </c>
      <c r="E8905" t="s">
        <v>17479</v>
      </c>
      <c r="F8905" t="s">
        <v>29372</v>
      </c>
      <c r="G8905" t="s">
        <v>29380</v>
      </c>
      <c r="H8905" t="s">
        <v>29389</v>
      </c>
      <c r="I8905" t="s">
        <v>10408</v>
      </c>
      <c r="J8905" t="s">
        <v>30161</v>
      </c>
      <c r="K8905" t="s">
        <v>38564</v>
      </c>
      <c r="M8905" t="s">
        <v>41687</v>
      </c>
      <c r="N8905" t="s">
        <v>42669</v>
      </c>
      <c r="O8905" t="s">
        <v>42670</v>
      </c>
      <c r="P8905">
        <v>0</v>
      </c>
      <c r="Q8905">
        <v>1</v>
      </c>
      <c r="R8905" t="s">
        <v>42681</v>
      </c>
      <c r="S8905" t="s">
        <v>42966</v>
      </c>
      <c r="T8905" t="s">
        <v>44452</v>
      </c>
      <c r="U8905" t="s">
        <v>52097</v>
      </c>
      <c r="W8905" t="s">
        <v>41687</v>
      </c>
      <c r="X8905" t="s">
        <v>42682</v>
      </c>
    </row>
    <row r="8906" spans="1:24">
      <c r="A8906">
        <f>HYPERLINK("https://www.philgeps.gov.ph/GEPSNONPILOT/Tender/SplashBidNoticeAbstractUI.aspx?menuIndex=3&amp;refID=7178067&amp;Result=3","7178067")</f>
        <v>0</v>
      </c>
      <c r="B8906" t="s">
        <v>2711</v>
      </c>
      <c r="C8906" t="s">
        <v>12034</v>
      </c>
      <c r="D8906" t="s">
        <v>17141</v>
      </c>
      <c r="E8906" t="s">
        <v>24893</v>
      </c>
      <c r="F8906" t="s">
        <v>29372</v>
      </c>
      <c r="G8906" t="s">
        <v>29380</v>
      </c>
      <c r="H8906" t="s">
        <v>11048</v>
      </c>
      <c r="I8906" t="s">
        <v>5383</v>
      </c>
      <c r="J8906" t="s">
        <v>35229</v>
      </c>
      <c r="K8906" t="s">
        <v>38538</v>
      </c>
      <c r="M8906" t="s">
        <v>41691</v>
      </c>
      <c r="N8906" t="s">
        <v>42669</v>
      </c>
      <c r="O8906" t="s">
        <v>42670</v>
      </c>
      <c r="P8906">
        <v>0</v>
      </c>
      <c r="Q8906">
        <v>3</v>
      </c>
      <c r="R8906" t="s">
        <v>42681</v>
      </c>
      <c r="S8906" t="s">
        <v>42966</v>
      </c>
      <c r="T8906" t="s">
        <v>44470</v>
      </c>
      <c r="U8906" t="s">
        <v>52098</v>
      </c>
      <c r="W8906" t="s">
        <v>41691</v>
      </c>
      <c r="X8906" t="s">
        <v>42682</v>
      </c>
    </row>
    <row r="8907" spans="1:24">
      <c r="A8907">
        <f>HYPERLINK("https://www.philgeps.gov.ph/GEPSNONPILOT/Tender/SplashBidNoticeAbstractUI.aspx?menuIndex=3&amp;refID=7178003&amp;Result=3","7178003")</f>
        <v>0</v>
      </c>
      <c r="B8907" t="s">
        <v>2712</v>
      </c>
      <c r="C8907" t="s">
        <v>12035</v>
      </c>
      <c r="D8907" t="s">
        <v>17141</v>
      </c>
      <c r="E8907" t="s">
        <v>24894</v>
      </c>
      <c r="F8907" t="s">
        <v>29373</v>
      </c>
      <c r="G8907" t="s">
        <v>29380</v>
      </c>
      <c r="H8907" t="s">
        <v>29390</v>
      </c>
      <c r="I8907" t="s">
        <v>29412</v>
      </c>
      <c r="J8907" t="s">
        <v>31013</v>
      </c>
      <c r="K8907" t="s">
        <v>38517</v>
      </c>
      <c r="M8907" t="s">
        <v>41692</v>
      </c>
      <c r="N8907" t="s">
        <v>42669</v>
      </c>
      <c r="O8907" t="s">
        <v>42670</v>
      </c>
      <c r="P8907">
        <v>0</v>
      </c>
      <c r="Q8907">
        <v>5</v>
      </c>
      <c r="R8907" t="s">
        <v>42681</v>
      </c>
      <c r="S8907" t="s">
        <v>42966</v>
      </c>
      <c r="T8907" t="s">
        <v>44494</v>
      </c>
      <c r="U8907" t="s">
        <v>52099</v>
      </c>
      <c r="W8907" t="s">
        <v>41692</v>
      </c>
      <c r="X8907" t="s">
        <v>42682</v>
      </c>
    </row>
    <row r="8908" spans="1:24">
      <c r="A8908">
        <f>HYPERLINK("https://www.philgeps.gov.ph/GEPSNONPILOT/Tender/SplashBidNoticeAbstractUI.aspx?menuIndex=3&amp;refID=7177995&amp;Result=3","7177995")</f>
        <v>0</v>
      </c>
      <c r="B8908" t="s">
        <v>400</v>
      </c>
      <c r="C8908" t="s">
        <v>12036</v>
      </c>
      <c r="D8908" t="s">
        <v>17141</v>
      </c>
      <c r="E8908" t="s">
        <v>24895</v>
      </c>
      <c r="F8908" t="s">
        <v>29372</v>
      </c>
      <c r="G8908" t="s">
        <v>29379</v>
      </c>
      <c r="H8908" t="s">
        <v>29389</v>
      </c>
      <c r="I8908" t="s">
        <v>4709</v>
      </c>
      <c r="J8908" t="s">
        <v>35230</v>
      </c>
      <c r="K8908" t="s">
        <v>38485</v>
      </c>
      <c r="M8908" t="s">
        <v>39163</v>
      </c>
      <c r="N8908" t="s">
        <v>42669</v>
      </c>
      <c r="O8908" t="s">
        <v>42670</v>
      </c>
      <c r="P8908">
        <v>0</v>
      </c>
      <c r="Q8908">
        <v>4</v>
      </c>
      <c r="R8908" t="s">
        <v>42681</v>
      </c>
      <c r="S8908" t="s">
        <v>42966</v>
      </c>
      <c r="T8908" t="s">
        <v>44456</v>
      </c>
      <c r="U8908" t="s">
        <v>52100</v>
      </c>
      <c r="W8908" t="s">
        <v>39163</v>
      </c>
      <c r="X8908" t="s">
        <v>42682</v>
      </c>
    </row>
    <row r="8909" spans="1:24">
      <c r="A8909">
        <f>HYPERLINK("https://www.philgeps.gov.ph/GEPSNONPILOT/Tender/SplashBidNoticeAbstractUI.aspx?menuIndex=3&amp;refID=7177751&amp;Result=3","7177751")</f>
        <v>0</v>
      </c>
      <c r="B8909" t="s">
        <v>2713</v>
      </c>
      <c r="C8909" t="s">
        <v>7434</v>
      </c>
      <c r="D8909" t="s">
        <v>17188</v>
      </c>
      <c r="E8909" t="s">
        <v>17994</v>
      </c>
      <c r="F8909" t="s">
        <v>29372</v>
      </c>
      <c r="G8909" t="s">
        <v>29380</v>
      </c>
      <c r="H8909" t="s">
        <v>29389</v>
      </c>
      <c r="I8909" t="s">
        <v>10408</v>
      </c>
      <c r="J8909" t="s">
        <v>35231</v>
      </c>
      <c r="K8909" t="s">
        <v>38485</v>
      </c>
      <c r="M8909" t="s">
        <v>41693</v>
      </c>
      <c r="N8909" t="s">
        <v>42669</v>
      </c>
      <c r="O8909" t="s">
        <v>42670</v>
      </c>
      <c r="P8909">
        <v>0</v>
      </c>
      <c r="Q8909">
        <v>0</v>
      </c>
      <c r="R8909" t="s">
        <v>42681</v>
      </c>
      <c r="S8909" t="s">
        <v>42966</v>
      </c>
      <c r="T8909" t="s">
        <v>44480</v>
      </c>
      <c r="U8909" t="s">
        <v>52101</v>
      </c>
      <c r="W8909" t="s">
        <v>41693</v>
      </c>
      <c r="X8909" t="s">
        <v>42682</v>
      </c>
    </row>
    <row r="8910" spans="1:24">
      <c r="A8910">
        <f>HYPERLINK("https://www.philgeps.gov.ph/GEPSNONPILOT/Tender/SplashBidNoticeAbstractUI.aspx?menuIndex=3&amp;refID=7177973&amp;Result=3","7177973")</f>
        <v>0</v>
      </c>
      <c r="B8910" t="s">
        <v>2714</v>
      </c>
      <c r="C8910" t="s">
        <v>12037</v>
      </c>
      <c r="D8910" t="s">
        <v>17167</v>
      </c>
      <c r="E8910" t="s">
        <v>24896</v>
      </c>
      <c r="F8910" t="s">
        <v>29372</v>
      </c>
      <c r="G8910" t="s">
        <v>29380</v>
      </c>
      <c r="H8910" t="s">
        <v>29389</v>
      </c>
      <c r="I8910" t="s">
        <v>10408</v>
      </c>
      <c r="J8910" t="s">
        <v>35232</v>
      </c>
      <c r="K8910" t="s">
        <v>38522</v>
      </c>
      <c r="M8910" t="s">
        <v>41694</v>
      </c>
      <c r="N8910" t="s">
        <v>42669</v>
      </c>
      <c r="O8910" t="s">
        <v>42670</v>
      </c>
      <c r="P8910">
        <v>0</v>
      </c>
      <c r="Q8910">
        <v>0</v>
      </c>
      <c r="R8910" t="s">
        <v>42681</v>
      </c>
      <c r="S8910" t="s">
        <v>42966</v>
      </c>
      <c r="T8910" t="s">
        <v>44490</v>
      </c>
      <c r="U8910" t="s">
        <v>52102</v>
      </c>
      <c r="W8910" t="s">
        <v>41694</v>
      </c>
      <c r="X8910" t="s">
        <v>42682</v>
      </c>
    </row>
    <row r="8911" spans="1:24">
      <c r="A8911">
        <f>HYPERLINK("https://www.philgeps.gov.ph/GEPSNONPILOT/Tender/SplashBidNoticeAbstractUI.aspx?menuIndex=3&amp;refID=7177949&amp;Result=3","7177949")</f>
        <v>0</v>
      </c>
      <c r="B8911" t="s">
        <v>2715</v>
      </c>
      <c r="C8911" t="s">
        <v>12038</v>
      </c>
      <c r="D8911" t="s">
        <v>17151</v>
      </c>
      <c r="E8911" t="s">
        <v>24897</v>
      </c>
      <c r="F8911" t="s">
        <v>29372</v>
      </c>
      <c r="G8911" t="s">
        <v>29380</v>
      </c>
      <c r="H8911" t="s">
        <v>11048</v>
      </c>
      <c r="I8911" t="s">
        <v>9469</v>
      </c>
      <c r="J8911" t="s">
        <v>29573</v>
      </c>
      <c r="K8911" t="s">
        <v>38496</v>
      </c>
      <c r="M8911" t="s">
        <v>41695</v>
      </c>
      <c r="N8911" t="s">
        <v>42669</v>
      </c>
      <c r="O8911" t="s">
        <v>42670</v>
      </c>
      <c r="Q8911">
        <v>11</v>
      </c>
      <c r="R8911" t="s">
        <v>42681</v>
      </c>
      <c r="S8911" t="s">
        <v>42971</v>
      </c>
      <c r="T8911" t="s">
        <v>44357</v>
      </c>
      <c r="U8911" t="s">
        <v>52103</v>
      </c>
      <c r="W8911" t="s">
        <v>41695</v>
      </c>
      <c r="X8911" t="s">
        <v>42682</v>
      </c>
    </row>
    <row r="8912" spans="1:24">
      <c r="A8912">
        <f>HYPERLINK("https://www.philgeps.gov.ph/GEPSNONPILOT/Tender/SplashBidNoticeAbstractUI.aspx?menuIndex=3&amp;refID=7177933&amp;Result=3","7177933")</f>
        <v>0</v>
      </c>
      <c r="B8912" t="s">
        <v>2712</v>
      </c>
      <c r="C8912" t="s">
        <v>12035</v>
      </c>
      <c r="D8912" t="s">
        <v>17141</v>
      </c>
      <c r="E8912" t="s">
        <v>24898</v>
      </c>
      <c r="F8912" t="s">
        <v>29373</v>
      </c>
      <c r="G8912" t="s">
        <v>29380</v>
      </c>
      <c r="H8912" t="s">
        <v>11048</v>
      </c>
      <c r="I8912" t="s">
        <v>29412</v>
      </c>
      <c r="J8912" t="s">
        <v>31013</v>
      </c>
      <c r="K8912" t="s">
        <v>38490</v>
      </c>
      <c r="M8912" t="s">
        <v>41692</v>
      </c>
      <c r="N8912" t="s">
        <v>42669</v>
      </c>
      <c r="O8912" t="s">
        <v>42670</v>
      </c>
      <c r="P8912">
        <v>0</v>
      </c>
      <c r="Q8912">
        <v>2</v>
      </c>
      <c r="R8912" t="s">
        <v>42681</v>
      </c>
      <c r="S8912" t="s">
        <v>42966</v>
      </c>
      <c r="T8912" t="s">
        <v>44389</v>
      </c>
      <c r="U8912" t="s">
        <v>52104</v>
      </c>
      <c r="W8912" t="s">
        <v>41692</v>
      </c>
      <c r="X8912" t="s">
        <v>42682</v>
      </c>
    </row>
    <row r="8913" spans="1:24">
      <c r="A8913">
        <f>HYPERLINK("https://www.philgeps.gov.ph/GEPSNONPILOT/Tender/SplashBidNoticeAbstractUI.aspx?menuIndex=3&amp;refID=7177916&amp;Result=3","7177916")</f>
        <v>0</v>
      </c>
      <c r="B8913" t="s">
        <v>2707</v>
      </c>
      <c r="C8913" t="s">
        <v>12039</v>
      </c>
      <c r="D8913" t="s">
        <v>17212</v>
      </c>
      <c r="E8913" t="s">
        <v>17579</v>
      </c>
      <c r="F8913" t="s">
        <v>29372</v>
      </c>
      <c r="G8913" t="s">
        <v>29380</v>
      </c>
      <c r="H8913" t="s">
        <v>29389</v>
      </c>
      <c r="I8913" t="s">
        <v>10408</v>
      </c>
      <c r="J8913" t="s">
        <v>35233</v>
      </c>
      <c r="K8913" t="s">
        <v>38495</v>
      </c>
      <c r="M8913" t="s">
        <v>41687</v>
      </c>
      <c r="N8913" t="s">
        <v>42669</v>
      </c>
      <c r="O8913" t="s">
        <v>42670</v>
      </c>
      <c r="P8913">
        <v>0</v>
      </c>
      <c r="Q8913">
        <v>2</v>
      </c>
      <c r="R8913" t="s">
        <v>42681</v>
      </c>
      <c r="S8913" t="s">
        <v>42966</v>
      </c>
      <c r="T8913" t="s">
        <v>44452</v>
      </c>
      <c r="U8913" t="s">
        <v>52105</v>
      </c>
      <c r="W8913" t="s">
        <v>41687</v>
      </c>
      <c r="X8913" t="s">
        <v>42682</v>
      </c>
    </row>
    <row r="8914" spans="1:24">
      <c r="A8914">
        <f>HYPERLINK("https://www.philgeps.gov.ph/GEPSNONPILOT/Tender/SplashBidNoticeAbstractUI.aspx?menuIndex=3&amp;refID=7177860&amp;Result=3","7177860")</f>
        <v>0</v>
      </c>
      <c r="B8914" t="s">
        <v>2707</v>
      </c>
      <c r="C8914" t="s">
        <v>12040</v>
      </c>
      <c r="D8914" t="s">
        <v>17212</v>
      </c>
      <c r="E8914" t="s">
        <v>22419</v>
      </c>
      <c r="F8914" t="s">
        <v>29372</v>
      </c>
      <c r="G8914" t="s">
        <v>29380</v>
      </c>
      <c r="H8914" t="s">
        <v>29389</v>
      </c>
      <c r="I8914" t="s">
        <v>10408</v>
      </c>
      <c r="J8914" t="s">
        <v>35234</v>
      </c>
      <c r="K8914" t="s">
        <v>38495</v>
      </c>
      <c r="M8914" t="s">
        <v>41687</v>
      </c>
      <c r="N8914" t="s">
        <v>42669</v>
      </c>
      <c r="O8914" t="s">
        <v>42670</v>
      </c>
      <c r="P8914">
        <v>0</v>
      </c>
      <c r="Q8914">
        <v>1</v>
      </c>
      <c r="R8914" t="s">
        <v>42681</v>
      </c>
      <c r="S8914" t="s">
        <v>42966</v>
      </c>
      <c r="T8914" t="s">
        <v>44452</v>
      </c>
      <c r="U8914" t="s">
        <v>52106</v>
      </c>
      <c r="W8914" t="s">
        <v>41687</v>
      </c>
      <c r="X8914" t="s">
        <v>42682</v>
      </c>
    </row>
    <row r="8915" spans="1:24">
      <c r="A8915">
        <f>HYPERLINK("https://www.philgeps.gov.ph/GEPSNONPILOT/Tender/SplashBidNoticeAbstractUI.aspx?menuIndex=3&amp;refID=7177939&amp;Result=3","7177939")</f>
        <v>0</v>
      </c>
      <c r="B8915" t="s">
        <v>1155</v>
      </c>
      <c r="C8915" t="s">
        <v>12041</v>
      </c>
      <c r="D8915" t="s">
        <v>17158</v>
      </c>
      <c r="E8915" t="s">
        <v>24899</v>
      </c>
      <c r="F8915" t="s">
        <v>29372</v>
      </c>
      <c r="G8915" t="s">
        <v>29380</v>
      </c>
      <c r="H8915" t="s">
        <v>29389</v>
      </c>
      <c r="I8915" t="s">
        <v>10408</v>
      </c>
      <c r="J8915" t="s">
        <v>31498</v>
      </c>
      <c r="K8915" t="s">
        <v>38564</v>
      </c>
      <c r="M8915" t="s">
        <v>39969</v>
      </c>
      <c r="N8915" t="s">
        <v>42669</v>
      </c>
      <c r="O8915" t="s">
        <v>42670</v>
      </c>
      <c r="P8915">
        <v>0</v>
      </c>
      <c r="Q8915">
        <v>0</v>
      </c>
      <c r="R8915" t="s">
        <v>42681</v>
      </c>
      <c r="S8915" t="s">
        <v>42966</v>
      </c>
      <c r="T8915" t="s">
        <v>44517</v>
      </c>
      <c r="U8915" t="s">
        <v>52107</v>
      </c>
      <c r="W8915" t="s">
        <v>39969</v>
      </c>
      <c r="X8915" t="s">
        <v>42682</v>
      </c>
    </row>
    <row r="8916" spans="1:24">
      <c r="A8916">
        <f>HYPERLINK("https://www.philgeps.gov.ph/GEPSNONPILOT/Tender/SplashBidNoticeAbstractUI.aspx?menuIndex=3&amp;refID=7177910&amp;Result=3","7177910")</f>
        <v>0</v>
      </c>
      <c r="B8916" t="s">
        <v>2715</v>
      </c>
      <c r="C8916" t="s">
        <v>12042</v>
      </c>
      <c r="D8916" t="s">
        <v>17151</v>
      </c>
      <c r="E8916" t="s">
        <v>20610</v>
      </c>
      <c r="F8916" t="s">
        <v>29372</v>
      </c>
      <c r="G8916" t="s">
        <v>29380</v>
      </c>
      <c r="H8916" t="s">
        <v>11048</v>
      </c>
      <c r="I8916" t="s">
        <v>9469</v>
      </c>
      <c r="J8916" t="s">
        <v>29615</v>
      </c>
      <c r="K8916" t="s">
        <v>38496</v>
      </c>
      <c r="M8916" t="s">
        <v>41695</v>
      </c>
      <c r="N8916" t="s">
        <v>42669</v>
      </c>
      <c r="O8916" t="s">
        <v>42670</v>
      </c>
      <c r="Q8916">
        <v>9</v>
      </c>
      <c r="R8916" t="s">
        <v>42681</v>
      </c>
      <c r="S8916" t="s">
        <v>42972</v>
      </c>
      <c r="T8916" t="s">
        <v>44361</v>
      </c>
      <c r="U8916" t="s">
        <v>52108</v>
      </c>
      <c r="W8916" t="s">
        <v>41695</v>
      </c>
      <c r="X8916" t="s">
        <v>42682</v>
      </c>
    </row>
    <row r="8917" spans="1:24">
      <c r="A8917">
        <f>HYPERLINK("https://www.philgeps.gov.ph/GEPSNONPILOT/Tender/SplashBidNoticeAbstractUI.aspx?menuIndex=3&amp;refID=7178001&amp;Result=3","7178001")</f>
        <v>0</v>
      </c>
      <c r="B8917" t="s">
        <v>2707</v>
      </c>
      <c r="C8917" t="s">
        <v>12043</v>
      </c>
      <c r="D8917" t="s">
        <v>17212</v>
      </c>
      <c r="E8917" t="s">
        <v>19616</v>
      </c>
      <c r="F8917" t="s">
        <v>29372</v>
      </c>
      <c r="G8917" t="s">
        <v>29380</v>
      </c>
      <c r="H8917" t="s">
        <v>29389</v>
      </c>
      <c r="I8917" t="s">
        <v>10408</v>
      </c>
      <c r="J8917" t="s">
        <v>30161</v>
      </c>
      <c r="K8917" t="s">
        <v>38564</v>
      </c>
      <c r="M8917" t="s">
        <v>41687</v>
      </c>
      <c r="N8917" t="s">
        <v>42669</v>
      </c>
      <c r="O8917" t="s">
        <v>42670</v>
      </c>
      <c r="P8917">
        <v>0</v>
      </c>
      <c r="Q8917">
        <v>2</v>
      </c>
      <c r="R8917" t="s">
        <v>42681</v>
      </c>
      <c r="S8917" t="s">
        <v>42966</v>
      </c>
      <c r="T8917" t="s">
        <v>44452</v>
      </c>
      <c r="U8917" t="s">
        <v>52109</v>
      </c>
      <c r="W8917" t="s">
        <v>41687</v>
      </c>
      <c r="X8917" t="s">
        <v>42682</v>
      </c>
    </row>
    <row r="8918" spans="1:24">
      <c r="A8918">
        <f>HYPERLINK("https://www.philgeps.gov.ph/GEPSNONPILOT/Tender/SplashBidNoticeAbstractUI.aspx?menuIndex=3&amp;refID=7177722&amp;Result=3","7177722")</f>
        <v>0</v>
      </c>
      <c r="B8918" t="s">
        <v>2706</v>
      </c>
      <c r="C8918" t="s">
        <v>12044</v>
      </c>
      <c r="D8918" t="s">
        <v>17172</v>
      </c>
      <c r="E8918" t="s">
        <v>21230</v>
      </c>
      <c r="F8918" t="s">
        <v>29372</v>
      </c>
      <c r="G8918" t="s">
        <v>29380</v>
      </c>
      <c r="H8918" t="s">
        <v>11048</v>
      </c>
      <c r="I8918" t="s">
        <v>10408</v>
      </c>
      <c r="J8918" t="s">
        <v>35235</v>
      </c>
      <c r="K8918" t="s">
        <v>38491</v>
      </c>
      <c r="M8918" t="s">
        <v>41686</v>
      </c>
      <c r="N8918" t="s">
        <v>42669</v>
      </c>
      <c r="O8918" t="s">
        <v>42670</v>
      </c>
      <c r="P8918">
        <v>0</v>
      </c>
      <c r="Q8918">
        <v>0</v>
      </c>
      <c r="R8918" t="s">
        <v>42681</v>
      </c>
      <c r="S8918" t="s">
        <v>42966</v>
      </c>
      <c r="T8918" t="s">
        <v>44453</v>
      </c>
      <c r="U8918" t="s">
        <v>52110</v>
      </c>
      <c r="W8918" t="s">
        <v>41686</v>
      </c>
      <c r="X8918" t="s">
        <v>42682</v>
      </c>
    </row>
    <row r="8919" spans="1:24">
      <c r="A8919">
        <f>HYPERLINK("https://www.philgeps.gov.ph/GEPSNONPILOT/Tender/SplashBidNoticeAbstractUI.aspx?menuIndex=3&amp;refID=7177988&amp;Result=3","7177988")</f>
        <v>0</v>
      </c>
      <c r="B8919" t="s">
        <v>726</v>
      </c>
      <c r="C8919" t="s">
        <v>12045</v>
      </c>
      <c r="D8919" t="s">
        <v>17203</v>
      </c>
      <c r="E8919" t="s">
        <v>24900</v>
      </c>
      <c r="F8919" t="s">
        <v>29372</v>
      </c>
      <c r="G8919" t="s">
        <v>29380</v>
      </c>
      <c r="H8919" t="s">
        <v>29391</v>
      </c>
      <c r="I8919" t="s">
        <v>29391</v>
      </c>
      <c r="J8919" t="s">
        <v>35236</v>
      </c>
      <c r="K8919" t="s">
        <v>38485</v>
      </c>
      <c r="M8919" t="s">
        <v>39506</v>
      </c>
      <c r="N8919" t="s">
        <v>42669</v>
      </c>
      <c r="O8919" t="s">
        <v>42670</v>
      </c>
      <c r="P8919">
        <v>0</v>
      </c>
      <c r="Q8919">
        <v>2</v>
      </c>
      <c r="R8919" t="s">
        <v>42681</v>
      </c>
      <c r="S8919" t="s">
        <v>42966</v>
      </c>
      <c r="T8919" t="s">
        <v>44475</v>
      </c>
      <c r="U8919" t="s">
        <v>52111</v>
      </c>
      <c r="V8919" t="s">
        <v>57361</v>
      </c>
      <c r="W8919" t="s">
        <v>39506</v>
      </c>
      <c r="X8919" t="s">
        <v>42682</v>
      </c>
    </row>
    <row r="8920" spans="1:24">
      <c r="A8920">
        <f>HYPERLINK("https://www.philgeps.gov.ph/GEPSNONPILOT/Tender/SplashBidNoticeAbstractUI.aspx?menuIndex=3&amp;refID=7177911&amp;Result=3","7177911")</f>
        <v>0</v>
      </c>
      <c r="B8920" t="s">
        <v>2693</v>
      </c>
      <c r="C8920" t="s">
        <v>12046</v>
      </c>
      <c r="D8920" t="s">
        <v>17200</v>
      </c>
      <c r="E8920" t="s">
        <v>24901</v>
      </c>
      <c r="F8920" t="s">
        <v>29372</v>
      </c>
      <c r="G8920" t="s">
        <v>29380</v>
      </c>
      <c r="H8920" t="s">
        <v>11048</v>
      </c>
      <c r="I8920" t="s">
        <v>29434</v>
      </c>
      <c r="J8920" t="s">
        <v>35237</v>
      </c>
      <c r="K8920" t="s">
        <v>38485</v>
      </c>
      <c r="M8920" t="s">
        <v>41673</v>
      </c>
      <c r="N8920" t="s">
        <v>42669</v>
      </c>
      <c r="O8920" t="s">
        <v>42670</v>
      </c>
      <c r="Q8920">
        <v>9</v>
      </c>
      <c r="R8920" t="s">
        <v>42681</v>
      </c>
      <c r="S8920" t="s">
        <v>42973</v>
      </c>
      <c r="T8920" t="s">
        <v>44410</v>
      </c>
      <c r="U8920" t="s">
        <v>52112</v>
      </c>
      <c r="W8920" t="s">
        <v>41673</v>
      </c>
      <c r="X8920" t="s">
        <v>42682</v>
      </c>
    </row>
    <row r="8921" spans="1:24">
      <c r="A8921">
        <f>HYPERLINK("https://www.philgeps.gov.ph/GEPSNONPILOT/Tender/SplashBidNoticeAbstractUI.aspx?menuIndex=3&amp;refID=7177685&amp;Result=3","7177685")</f>
        <v>0</v>
      </c>
      <c r="B8921" t="s">
        <v>2716</v>
      </c>
      <c r="C8921" t="s">
        <v>12047</v>
      </c>
      <c r="D8921" t="s">
        <v>17188</v>
      </c>
      <c r="E8921" t="s">
        <v>17965</v>
      </c>
      <c r="F8921" t="s">
        <v>29372</v>
      </c>
      <c r="G8921" t="s">
        <v>29380</v>
      </c>
      <c r="H8921" t="s">
        <v>11048</v>
      </c>
      <c r="I8921" t="s">
        <v>3670</v>
      </c>
      <c r="J8921" t="s">
        <v>29555</v>
      </c>
      <c r="K8921" t="s">
        <v>38485</v>
      </c>
      <c r="M8921" t="s">
        <v>41696</v>
      </c>
      <c r="N8921" t="s">
        <v>42669</v>
      </c>
      <c r="O8921" t="s">
        <v>42670</v>
      </c>
      <c r="P8921">
        <v>0</v>
      </c>
      <c r="Q8921">
        <v>1</v>
      </c>
      <c r="R8921" t="s">
        <v>42681</v>
      </c>
      <c r="S8921" t="s">
        <v>42966</v>
      </c>
      <c r="T8921" t="s">
        <v>44480</v>
      </c>
      <c r="U8921" t="s">
        <v>52113</v>
      </c>
      <c r="W8921" t="s">
        <v>41696</v>
      </c>
      <c r="X8921" t="s">
        <v>42682</v>
      </c>
    </row>
    <row r="8922" spans="1:24">
      <c r="A8922">
        <f>HYPERLINK("https://www.philgeps.gov.ph/GEPSNONPILOT/Tender/SplashBidNoticeAbstractUI.aspx?menuIndex=3&amp;refID=7178010&amp;Result=3","7178010")</f>
        <v>0</v>
      </c>
      <c r="B8922" t="s">
        <v>1723</v>
      </c>
      <c r="C8922" t="s">
        <v>11924</v>
      </c>
      <c r="D8922" t="s">
        <v>17194</v>
      </c>
      <c r="E8922" t="s">
        <v>24902</v>
      </c>
      <c r="F8922" t="s">
        <v>29372</v>
      </c>
      <c r="G8922" t="s">
        <v>29380</v>
      </c>
      <c r="H8922" t="s">
        <v>11048</v>
      </c>
      <c r="I8922" t="s">
        <v>8614</v>
      </c>
      <c r="J8922" t="s">
        <v>29564</v>
      </c>
      <c r="K8922" t="s">
        <v>38510</v>
      </c>
      <c r="M8922" t="s">
        <v>40587</v>
      </c>
      <c r="N8922" t="s">
        <v>42669</v>
      </c>
      <c r="O8922" t="s">
        <v>42670</v>
      </c>
      <c r="P8922">
        <v>0</v>
      </c>
      <c r="Q8922">
        <v>0</v>
      </c>
      <c r="R8922" t="s">
        <v>42681</v>
      </c>
      <c r="S8922" t="s">
        <v>42966</v>
      </c>
      <c r="T8922" t="s">
        <v>44432</v>
      </c>
      <c r="U8922" t="s">
        <v>52114</v>
      </c>
      <c r="V8922" t="s">
        <v>57362</v>
      </c>
      <c r="W8922" t="s">
        <v>40587</v>
      </c>
      <c r="X8922" t="s">
        <v>42682</v>
      </c>
    </row>
    <row r="8923" spans="1:24">
      <c r="A8923">
        <f>HYPERLINK("https://www.philgeps.gov.ph/GEPSNONPILOT/Tender/SplashBidNoticeAbstractUI.aspx?menuIndex=3&amp;refID=7177518&amp;Result=3","7177518")</f>
        <v>0</v>
      </c>
      <c r="B8923" t="s">
        <v>278</v>
      </c>
      <c r="C8923" t="s">
        <v>12048</v>
      </c>
      <c r="D8923" t="s">
        <v>17206</v>
      </c>
      <c r="E8923" t="s">
        <v>24903</v>
      </c>
      <c r="F8923" t="s">
        <v>29372</v>
      </c>
      <c r="G8923" t="s">
        <v>29379</v>
      </c>
      <c r="H8923" t="s">
        <v>11048</v>
      </c>
      <c r="I8923" t="s">
        <v>29396</v>
      </c>
      <c r="J8923" t="s">
        <v>35238</v>
      </c>
      <c r="K8923" t="s">
        <v>38697</v>
      </c>
      <c r="M8923" t="s">
        <v>41697</v>
      </c>
      <c r="N8923" t="s">
        <v>42669</v>
      </c>
      <c r="O8923" t="s">
        <v>42670</v>
      </c>
      <c r="Q8923">
        <v>0</v>
      </c>
      <c r="R8923" t="s">
        <v>42681</v>
      </c>
      <c r="S8923" t="s">
        <v>42974</v>
      </c>
      <c r="T8923" t="s">
        <v>44427</v>
      </c>
      <c r="U8923" t="s">
        <v>52115</v>
      </c>
      <c r="W8923" t="s">
        <v>41697</v>
      </c>
      <c r="X8923" t="s">
        <v>42682</v>
      </c>
    </row>
    <row r="8924" spans="1:24">
      <c r="A8924">
        <f>HYPERLINK("https://www.philgeps.gov.ph/GEPSNONPILOT/Tender/SplashBidNoticeAbstractUI.aspx?menuIndex=3&amp;refID=7178088&amp;Result=3","7178088")</f>
        <v>0</v>
      </c>
      <c r="B8924" t="s">
        <v>2710</v>
      </c>
      <c r="C8924" t="s">
        <v>12049</v>
      </c>
      <c r="D8924" t="s">
        <v>17206</v>
      </c>
      <c r="E8924" t="s">
        <v>24904</v>
      </c>
      <c r="F8924" t="s">
        <v>29372</v>
      </c>
      <c r="G8924" t="s">
        <v>29380</v>
      </c>
      <c r="H8924" t="s">
        <v>11048</v>
      </c>
      <c r="I8924" t="s">
        <v>29409</v>
      </c>
      <c r="J8924" t="s">
        <v>35239</v>
      </c>
      <c r="K8924" t="s">
        <v>38485</v>
      </c>
      <c r="M8924" t="s">
        <v>41690</v>
      </c>
      <c r="N8924" t="s">
        <v>42669</v>
      </c>
      <c r="O8924" t="s">
        <v>42670</v>
      </c>
      <c r="P8924">
        <v>0</v>
      </c>
      <c r="Q8924">
        <v>8</v>
      </c>
      <c r="R8924" t="s">
        <v>42681</v>
      </c>
      <c r="S8924" t="s">
        <v>42966</v>
      </c>
      <c r="T8924" t="s">
        <v>44355</v>
      </c>
      <c r="U8924" t="s">
        <v>52116</v>
      </c>
      <c r="W8924" t="s">
        <v>41690</v>
      </c>
      <c r="X8924" t="s">
        <v>42682</v>
      </c>
    </row>
    <row r="8925" spans="1:24">
      <c r="A8925">
        <f>HYPERLINK("https://www.philgeps.gov.ph/GEPSNONPILOT/Tender/SplashBidNoticeAbstractUI.aspx?menuIndex=3&amp;refID=7185518&amp;Result=3","7185518")</f>
        <v>0</v>
      </c>
      <c r="B8925" t="s">
        <v>2717</v>
      </c>
      <c r="C8925" t="s">
        <v>12050</v>
      </c>
      <c r="E8925" t="s">
        <v>24905</v>
      </c>
      <c r="F8925" t="s">
        <v>29372</v>
      </c>
      <c r="G8925" t="s">
        <v>29380</v>
      </c>
      <c r="H8925" t="s">
        <v>29389</v>
      </c>
      <c r="I8925" t="s">
        <v>29429</v>
      </c>
      <c r="J8925" t="s">
        <v>35240</v>
      </c>
      <c r="K8925" t="s">
        <v>38490</v>
      </c>
      <c r="M8925" t="s">
        <v>41698</v>
      </c>
      <c r="N8925" t="s">
        <v>42669</v>
      </c>
      <c r="O8925" t="s">
        <v>42670</v>
      </c>
      <c r="P8925">
        <v>0</v>
      </c>
      <c r="Q8925">
        <v>5</v>
      </c>
      <c r="R8925" t="s">
        <v>42677</v>
      </c>
      <c r="S8925" t="s">
        <v>42830</v>
      </c>
      <c r="T8925" t="s">
        <v>44415</v>
      </c>
      <c r="U8925" t="s">
        <v>52117</v>
      </c>
      <c r="W8925" t="s">
        <v>58094</v>
      </c>
      <c r="X8925" t="s">
        <v>42678</v>
      </c>
    </row>
    <row r="8926" spans="1:24">
      <c r="A8926">
        <f>HYPERLINK("https://www.philgeps.gov.ph/GEPSNONPILOT/Tender/SplashBidNoticeAbstractUI.aspx?menuIndex=3&amp;refID=7185478&amp;Result=3","7185478")</f>
        <v>0</v>
      </c>
      <c r="B8926" t="s">
        <v>2133</v>
      </c>
      <c r="C8926" t="s">
        <v>12051</v>
      </c>
      <c r="D8926" t="s">
        <v>17183</v>
      </c>
      <c r="E8926" t="s">
        <v>24906</v>
      </c>
      <c r="F8926" t="s">
        <v>29372</v>
      </c>
      <c r="G8926" t="s">
        <v>29380</v>
      </c>
      <c r="H8926" t="s">
        <v>29389</v>
      </c>
      <c r="I8926" t="s">
        <v>10408</v>
      </c>
      <c r="J8926" t="s">
        <v>35241</v>
      </c>
      <c r="K8926" t="s">
        <v>38536</v>
      </c>
      <c r="L8926" t="s">
        <v>2133</v>
      </c>
      <c r="M8926" t="s">
        <v>41038</v>
      </c>
      <c r="N8926" t="s">
        <v>42669</v>
      </c>
      <c r="O8926" t="s">
        <v>42670</v>
      </c>
      <c r="P8926">
        <v>0</v>
      </c>
      <c r="Q8926">
        <v>0</v>
      </c>
      <c r="R8926" t="s">
        <v>42677</v>
      </c>
      <c r="S8926" t="s">
        <v>42830</v>
      </c>
      <c r="T8926" t="s">
        <v>44482</v>
      </c>
      <c r="U8926" t="s">
        <v>52118</v>
      </c>
      <c r="W8926" t="s">
        <v>41038</v>
      </c>
      <c r="X8926" t="s">
        <v>42678</v>
      </c>
    </row>
    <row r="8927" spans="1:24">
      <c r="A8927">
        <f>HYPERLINK("https://www.philgeps.gov.ph/GEPSNONPILOT/Tender/SplashBidNoticeAbstractUI.aspx?menuIndex=3&amp;refID=7177699&amp;Result=3","7177699")</f>
        <v>0</v>
      </c>
      <c r="B8927" t="s">
        <v>2707</v>
      </c>
      <c r="C8927" t="s">
        <v>12052</v>
      </c>
      <c r="D8927" t="s">
        <v>17212</v>
      </c>
      <c r="E8927" t="s">
        <v>17730</v>
      </c>
      <c r="F8927" t="s">
        <v>29372</v>
      </c>
      <c r="G8927" t="s">
        <v>29380</v>
      </c>
      <c r="H8927" t="s">
        <v>29389</v>
      </c>
      <c r="I8927" t="s">
        <v>10408</v>
      </c>
      <c r="J8927" t="s">
        <v>35242</v>
      </c>
      <c r="K8927" t="s">
        <v>38495</v>
      </c>
      <c r="M8927" t="s">
        <v>41687</v>
      </c>
      <c r="N8927" t="s">
        <v>42669</v>
      </c>
      <c r="O8927" t="s">
        <v>42670</v>
      </c>
      <c r="P8927">
        <v>0</v>
      </c>
      <c r="Q8927">
        <v>1</v>
      </c>
      <c r="R8927" t="s">
        <v>42681</v>
      </c>
      <c r="S8927" t="s">
        <v>42966</v>
      </c>
      <c r="T8927" t="s">
        <v>44452</v>
      </c>
      <c r="U8927" t="s">
        <v>52119</v>
      </c>
      <c r="W8927" t="s">
        <v>41687</v>
      </c>
      <c r="X8927" t="s">
        <v>42682</v>
      </c>
    </row>
    <row r="8928" spans="1:24">
      <c r="A8928">
        <f>HYPERLINK("https://www.philgeps.gov.ph/GEPSNONPILOT/Tender/SplashBidNoticeAbstractUI.aspx?menuIndex=3&amp;refID=7185476&amp;Result=3","7185476")</f>
        <v>0</v>
      </c>
      <c r="B8928" t="s">
        <v>1175</v>
      </c>
      <c r="C8928" t="s">
        <v>12053</v>
      </c>
      <c r="D8928" t="s">
        <v>17182</v>
      </c>
      <c r="E8928" t="s">
        <v>24907</v>
      </c>
      <c r="F8928" t="s">
        <v>29372</v>
      </c>
      <c r="G8928" t="s">
        <v>29382</v>
      </c>
      <c r="H8928" t="s">
        <v>11048</v>
      </c>
      <c r="I8928" t="s">
        <v>29409</v>
      </c>
      <c r="J8928" t="s">
        <v>35243</v>
      </c>
      <c r="K8928" t="s">
        <v>38485</v>
      </c>
      <c r="M8928" t="s">
        <v>39990</v>
      </c>
      <c r="N8928" t="s">
        <v>42669</v>
      </c>
      <c r="O8928" t="s">
        <v>42670</v>
      </c>
      <c r="P8928">
        <v>0</v>
      </c>
      <c r="Q8928">
        <v>0</v>
      </c>
      <c r="R8928" t="s">
        <v>42677</v>
      </c>
      <c r="S8928" t="s">
        <v>42830</v>
      </c>
      <c r="T8928" t="s">
        <v>44429</v>
      </c>
      <c r="U8928" t="s">
        <v>52120</v>
      </c>
      <c r="W8928" t="s">
        <v>39990</v>
      </c>
      <c r="X8928" t="s">
        <v>42678</v>
      </c>
    </row>
    <row r="8929" spans="1:24">
      <c r="A8929">
        <f>HYPERLINK("https://www.philgeps.gov.ph/GEPSNONPILOT/Tender/SplashBidNoticeAbstractUI.aspx?menuIndex=3&amp;refID=7178159&amp;Result=3","7178159")</f>
        <v>0</v>
      </c>
      <c r="B8929" t="s">
        <v>1417</v>
      </c>
      <c r="C8929" t="s">
        <v>12054</v>
      </c>
      <c r="D8929" t="s">
        <v>17161</v>
      </c>
      <c r="E8929" t="s">
        <v>24908</v>
      </c>
      <c r="F8929" t="s">
        <v>29372</v>
      </c>
      <c r="G8929" t="s">
        <v>29380</v>
      </c>
      <c r="H8929" t="s">
        <v>11048</v>
      </c>
      <c r="I8929" t="s">
        <v>4709</v>
      </c>
      <c r="J8929" t="s">
        <v>35244</v>
      </c>
      <c r="K8929" t="s">
        <v>38510</v>
      </c>
      <c r="M8929" t="s">
        <v>40256</v>
      </c>
      <c r="N8929" t="s">
        <v>42669</v>
      </c>
      <c r="O8929" t="s">
        <v>42670</v>
      </c>
      <c r="P8929">
        <v>0</v>
      </c>
      <c r="Q8929">
        <v>0</v>
      </c>
      <c r="R8929" t="s">
        <v>42681</v>
      </c>
      <c r="S8929" t="s">
        <v>42966</v>
      </c>
      <c r="T8929" t="s">
        <v>44488</v>
      </c>
      <c r="U8929" t="s">
        <v>52121</v>
      </c>
      <c r="W8929" t="s">
        <v>40256</v>
      </c>
      <c r="X8929" t="s">
        <v>42682</v>
      </c>
    </row>
    <row r="8930" spans="1:24">
      <c r="A8930">
        <f>HYPERLINK("https://www.philgeps.gov.ph/GEPSNONPILOT/Tender/SplashBidNoticeAbstractUI.aspx?menuIndex=3&amp;refID=7177907&amp;Result=3","7177907")</f>
        <v>0</v>
      </c>
      <c r="B8930" t="s">
        <v>2718</v>
      </c>
      <c r="C8930" t="s">
        <v>12055</v>
      </c>
      <c r="D8930" t="s">
        <v>17174</v>
      </c>
      <c r="E8930" t="s">
        <v>24909</v>
      </c>
      <c r="F8930" t="s">
        <v>29372</v>
      </c>
      <c r="G8930" t="s">
        <v>29380</v>
      </c>
      <c r="H8930" t="s">
        <v>11048</v>
      </c>
      <c r="I8930" t="s">
        <v>29405</v>
      </c>
      <c r="J8930" t="s">
        <v>35245</v>
      </c>
      <c r="K8930" t="s">
        <v>38496</v>
      </c>
      <c r="M8930" t="s">
        <v>41699</v>
      </c>
      <c r="N8930" t="s">
        <v>42669</v>
      </c>
      <c r="O8930" t="s">
        <v>42670</v>
      </c>
      <c r="P8930">
        <v>0</v>
      </c>
      <c r="Q8930">
        <v>5</v>
      </c>
      <c r="R8930" t="s">
        <v>42681</v>
      </c>
      <c r="S8930" t="s">
        <v>42966</v>
      </c>
      <c r="T8930" t="s">
        <v>44491</v>
      </c>
      <c r="U8930" t="s">
        <v>52122</v>
      </c>
      <c r="W8930" t="s">
        <v>41699</v>
      </c>
      <c r="X8930" t="s">
        <v>42682</v>
      </c>
    </row>
    <row r="8931" spans="1:24">
      <c r="A8931">
        <f>HYPERLINK("https://www.philgeps.gov.ph/GEPSNONPILOT/Tender/SplashBidNoticeAbstractUI.aspx?menuIndex=3&amp;refID=7185515&amp;Result=3","7185515")</f>
        <v>0</v>
      </c>
      <c r="B8931" t="s">
        <v>1515</v>
      </c>
      <c r="C8931" t="s">
        <v>12056</v>
      </c>
      <c r="D8931" t="s">
        <v>17174</v>
      </c>
      <c r="E8931" t="s">
        <v>24910</v>
      </c>
      <c r="F8931" t="s">
        <v>29372</v>
      </c>
      <c r="G8931" t="s">
        <v>29379</v>
      </c>
      <c r="H8931" t="s">
        <v>11048</v>
      </c>
      <c r="I8931" t="s">
        <v>8208</v>
      </c>
      <c r="J8931" t="s">
        <v>29587</v>
      </c>
      <c r="K8931" t="s">
        <v>38490</v>
      </c>
      <c r="M8931" t="s">
        <v>40359</v>
      </c>
      <c r="N8931" t="s">
        <v>42669</v>
      </c>
      <c r="O8931" t="s">
        <v>42670</v>
      </c>
      <c r="P8931">
        <v>0</v>
      </c>
      <c r="Q8931">
        <v>0</v>
      </c>
      <c r="R8931" t="s">
        <v>42677</v>
      </c>
      <c r="S8931" t="s">
        <v>42830</v>
      </c>
      <c r="T8931" t="s">
        <v>44432</v>
      </c>
      <c r="U8931" t="s">
        <v>52123</v>
      </c>
      <c r="W8931" t="s">
        <v>40359</v>
      </c>
      <c r="X8931" t="s">
        <v>42678</v>
      </c>
    </row>
    <row r="8932" spans="1:24">
      <c r="A8932">
        <f>HYPERLINK("https://www.philgeps.gov.ph/GEPSNONPILOT/Tender/SplashBidNoticeAbstractUI.aspx?menuIndex=3&amp;refID=7178347&amp;Result=3","7178347")</f>
        <v>0</v>
      </c>
      <c r="B8932" t="s">
        <v>2545</v>
      </c>
      <c r="C8932" t="s">
        <v>12057</v>
      </c>
      <c r="D8932" t="s">
        <v>17143</v>
      </c>
      <c r="E8932" t="s">
        <v>18075</v>
      </c>
      <c r="F8932" t="s">
        <v>29372</v>
      </c>
      <c r="G8932" t="s">
        <v>29380</v>
      </c>
      <c r="H8932" t="s">
        <v>11048</v>
      </c>
      <c r="I8932" t="s">
        <v>3839</v>
      </c>
      <c r="J8932" t="s">
        <v>32470</v>
      </c>
      <c r="K8932" t="s">
        <v>38488</v>
      </c>
      <c r="M8932" t="s">
        <v>41508</v>
      </c>
      <c r="N8932" t="s">
        <v>42669</v>
      </c>
      <c r="O8932" t="s">
        <v>42670</v>
      </c>
      <c r="P8932">
        <v>0</v>
      </c>
      <c r="Q8932">
        <v>3</v>
      </c>
      <c r="R8932" t="s">
        <v>42681</v>
      </c>
      <c r="S8932" t="s">
        <v>42966</v>
      </c>
      <c r="T8932" t="s">
        <v>44425</v>
      </c>
      <c r="U8932" t="s">
        <v>52124</v>
      </c>
      <c r="W8932" t="s">
        <v>41508</v>
      </c>
      <c r="X8932" t="s">
        <v>42682</v>
      </c>
    </row>
    <row r="8933" spans="1:24">
      <c r="A8933">
        <f>HYPERLINK("https://www.philgeps.gov.ph/GEPSNONPILOT/Tender/SplashBidNoticeAbstractUI.aspx?menuIndex=3&amp;refID=7178319&amp;Result=3","7178319")</f>
        <v>0</v>
      </c>
      <c r="B8933" t="s">
        <v>143</v>
      </c>
      <c r="C8933" t="s">
        <v>12058</v>
      </c>
      <c r="D8933" t="s">
        <v>17182</v>
      </c>
      <c r="E8933" t="s">
        <v>24911</v>
      </c>
      <c r="F8933" t="s">
        <v>29372</v>
      </c>
      <c r="G8933" t="s">
        <v>29380</v>
      </c>
      <c r="H8933" t="s">
        <v>11048</v>
      </c>
      <c r="I8933" t="s">
        <v>4486</v>
      </c>
      <c r="J8933" t="s">
        <v>35246</v>
      </c>
      <c r="K8933" t="s">
        <v>38491</v>
      </c>
      <c r="M8933" t="s">
        <v>38898</v>
      </c>
      <c r="N8933" t="s">
        <v>42669</v>
      </c>
      <c r="O8933" t="s">
        <v>42670</v>
      </c>
      <c r="P8933">
        <v>0</v>
      </c>
      <c r="Q8933">
        <v>6</v>
      </c>
      <c r="R8933" t="s">
        <v>42681</v>
      </c>
      <c r="S8933" t="s">
        <v>42966</v>
      </c>
      <c r="T8933" t="s">
        <v>44390</v>
      </c>
      <c r="U8933" t="s">
        <v>52125</v>
      </c>
      <c r="W8933" t="s">
        <v>38898</v>
      </c>
      <c r="X8933" t="s">
        <v>42682</v>
      </c>
    </row>
    <row r="8934" spans="1:24">
      <c r="A8934">
        <f>HYPERLINK("https://www.philgeps.gov.ph/GEPSNONPILOT/Tender/SplashBidNoticeAbstractUI.aspx?menuIndex=3&amp;refID=7177527&amp;Result=3","7177527")</f>
        <v>0</v>
      </c>
      <c r="B8934" t="s">
        <v>278</v>
      </c>
      <c r="C8934" t="s">
        <v>12059</v>
      </c>
      <c r="D8934" t="s">
        <v>17206</v>
      </c>
      <c r="E8934" t="s">
        <v>24912</v>
      </c>
      <c r="F8934" t="s">
        <v>29372</v>
      </c>
      <c r="G8934" t="s">
        <v>29379</v>
      </c>
      <c r="H8934" t="s">
        <v>11048</v>
      </c>
      <c r="I8934" t="s">
        <v>29396</v>
      </c>
      <c r="J8934" t="s">
        <v>35247</v>
      </c>
      <c r="K8934" t="s">
        <v>38697</v>
      </c>
      <c r="M8934" t="s">
        <v>41697</v>
      </c>
      <c r="N8934" t="s">
        <v>42669</v>
      </c>
      <c r="O8934" t="s">
        <v>42670</v>
      </c>
      <c r="Q8934">
        <v>1</v>
      </c>
      <c r="R8934" t="s">
        <v>42681</v>
      </c>
      <c r="S8934" t="s">
        <v>42974</v>
      </c>
      <c r="T8934" t="s">
        <v>44427</v>
      </c>
      <c r="U8934" t="s">
        <v>52126</v>
      </c>
      <c r="W8934" t="s">
        <v>41697</v>
      </c>
      <c r="X8934" t="s">
        <v>42682</v>
      </c>
    </row>
    <row r="8935" spans="1:24">
      <c r="A8935">
        <f>HYPERLINK("https://www.philgeps.gov.ph/GEPSNONPILOT/Tender/SplashBidNoticeAbstractUI.aspx?menuIndex=3&amp;refID=7178399&amp;Result=3","7178399")</f>
        <v>0</v>
      </c>
      <c r="B8935" t="s">
        <v>143</v>
      </c>
      <c r="C8935" t="s">
        <v>12060</v>
      </c>
      <c r="D8935" t="s">
        <v>17182</v>
      </c>
      <c r="E8935" t="s">
        <v>24913</v>
      </c>
      <c r="F8935" t="s">
        <v>29372</v>
      </c>
      <c r="G8935" t="s">
        <v>29380</v>
      </c>
      <c r="H8935" t="s">
        <v>11048</v>
      </c>
      <c r="I8935" t="s">
        <v>4486</v>
      </c>
      <c r="J8935" t="s">
        <v>31477</v>
      </c>
      <c r="K8935" t="s">
        <v>38491</v>
      </c>
      <c r="M8935" t="s">
        <v>38898</v>
      </c>
      <c r="N8935" t="s">
        <v>42669</v>
      </c>
      <c r="O8935" t="s">
        <v>42670</v>
      </c>
      <c r="P8935">
        <v>0</v>
      </c>
      <c r="Q8935">
        <v>2</v>
      </c>
      <c r="R8935" t="s">
        <v>42681</v>
      </c>
      <c r="S8935" t="s">
        <v>42966</v>
      </c>
      <c r="T8935" t="s">
        <v>44578</v>
      </c>
      <c r="U8935" t="s">
        <v>52125</v>
      </c>
      <c r="W8935" t="s">
        <v>38898</v>
      </c>
      <c r="X8935" t="s">
        <v>42682</v>
      </c>
    </row>
    <row r="8936" spans="1:24">
      <c r="A8936">
        <f>HYPERLINK("https://www.philgeps.gov.ph/GEPSNONPILOT/Tender/SplashBidNoticeAbstractUI.aspx?menuIndex=3&amp;refID=7178376&amp;Result=3","7178376")</f>
        <v>0</v>
      </c>
      <c r="B8936" t="s">
        <v>143</v>
      </c>
      <c r="C8936" t="s">
        <v>12061</v>
      </c>
      <c r="D8936" t="s">
        <v>17182</v>
      </c>
      <c r="E8936" t="s">
        <v>24914</v>
      </c>
      <c r="F8936" t="s">
        <v>29372</v>
      </c>
      <c r="G8936" t="s">
        <v>29380</v>
      </c>
      <c r="H8936" t="s">
        <v>11048</v>
      </c>
      <c r="I8936" t="s">
        <v>4486</v>
      </c>
      <c r="J8936" t="s">
        <v>35248</v>
      </c>
      <c r="K8936" t="s">
        <v>38491</v>
      </c>
      <c r="M8936" t="s">
        <v>38898</v>
      </c>
      <c r="N8936" t="s">
        <v>42669</v>
      </c>
      <c r="O8936" t="s">
        <v>42670</v>
      </c>
      <c r="P8936">
        <v>0</v>
      </c>
      <c r="Q8936">
        <v>5</v>
      </c>
      <c r="R8936" t="s">
        <v>42681</v>
      </c>
      <c r="S8936" t="s">
        <v>42966</v>
      </c>
      <c r="T8936" t="s">
        <v>44578</v>
      </c>
      <c r="U8936" t="s">
        <v>52125</v>
      </c>
      <c r="W8936" t="s">
        <v>38898</v>
      </c>
      <c r="X8936" t="s">
        <v>42682</v>
      </c>
    </row>
    <row r="8937" spans="1:24">
      <c r="A8937">
        <f>HYPERLINK("https://www.philgeps.gov.ph/GEPSNONPILOT/Tender/SplashBidNoticeAbstractUI.aspx?menuIndex=3&amp;refID=7177720&amp;Result=3","7177720")</f>
        <v>0</v>
      </c>
      <c r="B8937" t="s">
        <v>1515</v>
      </c>
      <c r="C8937" t="s">
        <v>12062</v>
      </c>
      <c r="D8937" t="s">
        <v>17174</v>
      </c>
      <c r="E8937" t="s">
        <v>24915</v>
      </c>
      <c r="F8937" t="s">
        <v>29372</v>
      </c>
      <c r="G8937" t="s">
        <v>29380</v>
      </c>
      <c r="H8937" t="s">
        <v>11048</v>
      </c>
      <c r="I8937" t="s">
        <v>8208</v>
      </c>
      <c r="J8937" t="s">
        <v>35249</v>
      </c>
      <c r="K8937" t="s">
        <v>38490</v>
      </c>
      <c r="M8937" t="s">
        <v>40359</v>
      </c>
      <c r="N8937" t="s">
        <v>42669</v>
      </c>
      <c r="O8937" t="s">
        <v>42670</v>
      </c>
      <c r="P8937">
        <v>0</v>
      </c>
      <c r="Q8937">
        <v>0</v>
      </c>
      <c r="R8937" t="s">
        <v>42681</v>
      </c>
      <c r="S8937" t="s">
        <v>42966</v>
      </c>
      <c r="T8937" t="s">
        <v>44400</v>
      </c>
      <c r="U8937" t="s">
        <v>52127</v>
      </c>
      <c r="W8937" t="s">
        <v>40359</v>
      </c>
      <c r="X8937" t="s">
        <v>42682</v>
      </c>
    </row>
    <row r="8938" spans="1:24">
      <c r="A8938">
        <f>HYPERLINK("https://www.philgeps.gov.ph/GEPSNONPILOT/Tender/SplashBidNoticeAbstractUI.aspx?menuIndex=3&amp;refID=7178339&amp;Result=3","7178339")</f>
        <v>0</v>
      </c>
      <c r="B8938" t="s">
        <v>2707</v>
      </c>
      <c r="C8938" t="s">
        <v>12063</v>
      </c>
      <c r="D8938" t="s">
        <v>17212</v>
      </c>
      <c r="E8938" t="s">
        <v>18964</v>
      </c>
      <c r="F8938" t="s">
        <v>29372</v>
      </c>
      <c r="G8938" t="s">
        <v>29380</v>
      </c>
      <c r="H8938" t="s">
        <v>29389</v>
      </c>
      <c r="I8938" t="s">
        <v>10408</v>
      </c>
      <c r="J8938" t="s">
        <v>30161</v>
      </c>
      <c r="K8938" t="s">
        <v>38564</v>
      </c>
      <c r="M8938" t="s">
        <v>41687</v>
      </c>
      <c r="N8938" t="s">
        <v>42669</v>
      </c>
      <c r="O8938" t="s">
        <v>42670</v>
      </c>
      <c r="P8938">
        <v>0</v>
      </c>
      <c r="Q8938">
        <v>1</v>
      </c>
      <c r="R8938" t="s">
        <v>42681</v>
      </c>
      <c r="S8938" t="s">
        <v>42966</v>
      </c>
      <c r="T8938" t="s">
        <v>44452</v>
      </c>
      <c r="U8938" t="s">
        <v>52128</v>
      </c>
      <c r="W8938" t="s">
        <v>41687</v>
      </c>
      <c r="X8938" t="s">
        <v>42682</v>
      </c>
    </row>
    <row r="8939" spans="1:24">
      <c r="A8939">
        <f>HYPERLINK("https://www.philgeps.gov.ph/GEPSNONPILOT/Tender/SplashBidNoticeAbstractUI.aspx?menuIndex=3&amp;refID=7178356&amp;Result=3","7178356")</f>
        <v>0</v>
      </c>
      <c r="B8939" t="s">
        <v>2189</v>
      </c>
      <c r="C8939" t="s">
        <v>12064</v>
      </c>
      <c r="D8939" t="s">
        <v>17209</v>
      </c>
      <c r="E8939" t="s">
        <v>24916</v>
      </c>
      <c r="F8939" t="s">
        <v>29372</v>
      </c>
      <c r="G8939" t="s">
        <v>29380</v>
      </c>
      <c r="H8939" t="s">
        <v>29389</v>
      </c>
      <c r="I8939" t="s">
        <v>10408</v>
      </c>
      <c r="J8939" t="s">
        <v>29788</v>
      </c>
      <c r="K8939" t="s">
        <v>38490</v>
      </c>
      <c r="M8939" t="s">
        <v>41103</v>
      </c>
      <c r="N8939" t="s">
        <v>42669</v>
      </c>
      <c r="O8939" t="s">
        <v>42670</v>
      </c>
      <c r="P8939">
        <v>0</v>
      </c>
      <c r="Q8939">
        <v>0</v>
      </c>
      <c r="R8939" t="s">
        <v>42681</v>
      </c>
      <c r="S8939" t="s">
        <v>42966</v>
      </c>
      <c r="T8939" t="s">
        <v>44371</v>
      </c>
      <c r="U8939" t="s">
        <v>52129</v>
      </c>
      <c r="W8939" t="s">
        <v>41103</v>
      </c>
      <c r="X8939" t="s">
        <v>42682</v>
      </c>
    </row>
    <row r="8940" spans="1:24">
      <c r="A8940">
        <f>HYPERLINK("https://www.philgeps.gov.ph/GEPSNONPILOT/Tender/SplashBidNoticeAbstractUI.aspx?menuIndex=3&amp;refID=7177671&amp;Result=3","7177671")</f>
        <v>0</v>
      </c>
      <c r="B8940" t="s">
        <v>1515</v>
      </c>
      <c r="C8940" t="s">
        <v>12065</v>
      </c>
      <c r="D8940" t="s">
        <v>17174</v>
      </c>
      <c r="E8940" t="s">
        <v>24917</v>
      </c>
      <c r="F8940" t="s">
        <v>29372</v>
      </c>
      <c r="G8940" t="s">
        <v>29380</v>
      </c>
      <c r="H8940" t="s">
        <v>11048</v>
      </c>
      <c r="I8940" t="s">
        <v>8208</v>
      </c>
      <c r="J8940" t="s">
        <v>35250</v>
      </c>
      <c r="K8940" t="s">
        <v>38490</v>
      </c>
      <c r="M8940" t="s">
        <v>40359</v>
      </c>
      <c r="N8940" t="s">
        <v>42669</v>
      </c>
      <c r="O8940" t="s">
        <v>42670</v>
      </c>
      <c r="P8940">
        <v>0</v>
      </c>
      <c r="Q8940">
        <v>0</v>
      </c>
      <c r="R8940" t="s">
        <v>42681</v>
      </c>
      <c r="S8940" t="s">
        <v>42966</v>
      </c>
      <c r="T8940" t="s">
        <v>44554</v>
      </c>
      <c r="U8940" t="s">
        <v>52130</v>
      </c>
      <c r="W8940" t="s">
        <v>40359</v>
      </c>
      <c r="X8940" t="s">
        <v>42682</v>
      </c>
    </row>
    <row r="8941" spans="1:24">
      <c r="A8941">
        <f>HYPERLINK("https://www.philgeps.gov.ph/GEPSNONPILOT/Tender/SplashBidNoticeAbstractUI.aspx?menuIndex=3&amp;refID=7178299&amp;Result=3","7178299")</f>
        <v>0</v>
      </c>
      <c r="B8941" t="s">
        <v>728</v>
      </c>
      <c r="C8941" t="s">
        <v>12066</v>
      </c>
      <c r="D8941" t="s">
        <v>17159</v>
      </c>
      <c r="E8941" t="s">
        <v>24918</v>
      </c>
      <c r="F8941" t="s">
        <v>29372</v>
      </c>
      <c r="G8941" t="s">
        <v>29380</v>
      </c>
      <c r="H8941" t="s">
        <v>29389</v>
      </c>
      <c r="I8941" t="s">
        <v>10408</v>
      </c>
      <c r="J8941" t="s">
        <v>29724</v>
      </c>
      <c r="K8941" t="s">
        <v>38496</v>
      </c>
      <c r="M8941" t="s">
        <v>39508</v>
      </c>
      <c r="N8941" t="s">
        <v>42669</v>
      </c>
      <c r="O8941" t="s">
        <v>42670</v>
      </c>
      <c r="P8941">
        <v>0</v>
      </c>
      <c r="Q8941">
        <v>0</v>
      </c>
      <c r="R8941" t="s">
        <v>42681</v>
      </c>
      <c r="S8941" t="s">
        <v>42966</v>
      </c>
      <c r="T8941" t="s">
        <v>44466</v>
      </c>
      <c r="U8941" t="s">
        <v>52131</v>
      </c>
      <c r="W8941" t="s">
        <v>39508</v>
      </c>
      <c r="X8941" t="s">
        <v>42682</v>
      </c>
    </row>
    <row r="8942" spans="1:24">
      <c r="A8942">
        <f>HYPERLINK("https://www.philgeps.gov.ph/GEPSNONPILOT/Tender/SplashBidNoticeAbstractUI.aspx?menuIndex=3&amp;refID=7185477&amp;Result=3","7185477")</f>
        <v>0</v>
      </c>
      <c r="B8942" t="s">
        <v>2161</v>
      </c>
      <c r="C8942" t="s">
        <v>12067</v>
      </c>
      <c r="D8942" t="s">
        <v>17175</v>
      </c>
      <c r="E8942" t="s">
        <v>24919</v>
      </c>
      <c r="F8942" t="s">
        <v>29372</v>
      </c>
      <c r="G8942" t="s">
        <v>29380</v>
      </c>
      <c r="H8942" t="s">
        <v>11048</v>
      </c>
      <c r="I8942" t="s">
        <v>4709</v>
      </c>
      <c r="J8942" t="s">
        <v>35251</v>
      </c>
      <c r="K8942" t="s">
        <v>38490</v>
      </c>
      <c r="M8942" t="s">
        <v>41072</v>
      </c>
      <c r="N8942" t="s">
        <v>42669</v>
      </c>
      <c r="O8942" t="s">
        <v>42670</v>
      </c>
      <c r="P8942">
        <v>0</v>
      </c>
      <c r="Q8942">
        <v>0</v>
      </c>
      <c r="R8942" t="s">
        <v>42677</v>
      </c>
      <c r="S8942" t="s">
        <v>42830</v>
      </c>
      <c r="T8942" t="s">
        <v>44355</v>
      </c>
      <c r="U8942" t="s">
        <v>52132</v>
      </c>
      <c r="W8942" t="s">
        <v>41072</v>
      </c>
      <c r="X8942" t="s">
        <v>42678</v>
      </c>
    </row>
    <row r="8943" spans="1:24">
      <c r="A8943">
        <f>HYPERLINK("https://www.philgeps.gov.ph/GEPSNONPILOT/Tender/SplashBidNoticeAbstractUI.aspx?menuIndex=3&amp;refID=7178290&amp;Result=3","7178290")</f>
        <v>0</v>
      </c>
      <c r="B8943" t="s">
        <v>2707</v>
      </c>
      <c r="C8943" t="s">
        <v>12068</v>
      </c>
      <c r="D8943" t="s">
        <v>17212</v>
      </c>
      <c r="E8943" t="s">
        <v>20094</v>
      </c>
      <c r="F8943" t="s">
        <v>29372</v>
      </c>
      <c r="G8943" t="s">
        <v>29380</v>
      </c>
      <c r="H8943" t="s">
        <v>29389</v>
      </c>
      <c r="I8943" t="s">
        <v>10408</v>
      </c>
      <c r="J8943" t="s">
        <v>35233</v>
      </c>
      <c r="K8943" t="s">
        <v>38495</v>
      </c>
      <c r="M8943" t="s">
        <v>41687</v>
      </c>
      <c r="N8943" t="s">
        <v>42669</v>
      </c>
      <c r="O8943" t="s">
        <v>42670</v>
      </c>
      <c r="P8943">
        <v>0</v>
      </c>
      <c r="Q8943">
        <v>1</v>
      </c>
      <c r="R8943" t="s">
        <v>42681</v>
      </c>
      <c r="S8943" t="s">
        <v>42966</v>
      </c>
      <c r="T8943" t="s">
        <v>44452</v>
      </c>
      <c r="U8943" t="s">
        <v>52133</v>
      </c>
      <c r="W8943" t="s">
        <v>41687</v>
      </c>
      <c r="X8943" t="s">
        <v>42682</v>
      </c>
    </row>
    <row r="8944" spans="1:24">
      <c r="A8944">
        <f>HYPERLINK("https://www.philgeps.gov.ph/GEPSNONPILOT/Tender/SplashBidNoticeAbstractUI.aspx?menuIndex=3&amp;refID=7178281&amp;Result=3","7178281")</f>
        <v>0</v>
      </c>
      <c r="B8944" t="s">
        <v>2719</v>
      </c>
      <c r="C8944" t="s">
        <v>12069</v>
      </c>
      <c r="D8944" t="s">
        <v>17149</v>
      </c>
      <c r="E8944" t="s">
        <v>24920</v>
      </c>
      <c r="F8944" t="s">
        <v>29372</v>
      </c>
      <c r="G8944" t="s">
        <v>29380</v>
      </c>
      <c r="H8944" t="s">
        <v>29389</v>
      </c>
      <c r="I8944" t="s">
        <v>29453</v>
      </c>
      <c r="J8944" t="s">
        <v>32469</v>
      </c>
      <c r="K8944" t="s">
        <v>38522</v>
      </c>
      <c r="M8944" t="s">
        <v>41700</v>
      </c>
      <c r="N8944" t="s">
        <v>42669</v>
      </c>
      <c r="O8944" t="s">
        <v>42670</v>
      </c>
      <c r="P8944">
        <v>0</v>
      </c>
      <c r="Q8944">
        <v>3</v>
      </c>
      <c r="R8944" t="s">
        <v>42681</v>
      </c>
      <c r="S8944" t="s">
        <v>42966</v>
      </c>
      <c r="T8944" t="s">
        <v>44556</v>
      </c>
      <c r="U8944" t="s">
        <v>52134</v>
      </c>
      <c r="W8944" t="s">
        <v>41700</v>
      </c>
      <c r="X8944" t="s">
        <v>42682</v>
      </c>
    </row>
    <row r="8945" spans="1:24">
      <c r="A8945">
        <f>HYPERLINK("https://www.philgeps.gov.ph/GEPSNONPILOT/Tender/SplashBidNoticeAbstractUI.aspx?menuIndex=3&amp;refID=7178353&amp;Result=3","7178353")</f>
        <v>0</v>
      </c>
      <c r="B8945" t="s">
        <v>451</v>
      </c>
      <c r="C8945" t="s">
        <v>12070</v>
      </c>
      <c r="E8945" t="s">
        <v>24921</v>
      </c>
      <c r="F8945" t="s">
        <v>29372</v>
      </c>
      <c r="G8945" t="s">
        <v>29380</v>
      </c>
      <c r="H8945" t="s">
        <v>11048</v>
      </c>
      <c r="I8945" t="s">
        <v>8614</v>
      </c>
      <c r="J8945" t="s">
        <v>35252</v>
      </c>
      <c r="K8945" t="s">
        <v>38485</v>
      </c>
      <c r="M8945" t="s">
        <v>39215</v>
      </c>
      <c r="N8945" t="s">
        <v>42669</v>
      </c>
      <c r="O8945" t="s">
        <v>42670</v>
      </c>
      <c r="P8945">
        <v>0</v>
      </c>
      <c r="Q8945">
        <v>10</v>
      </c>
      <c r="R8945" t="s">
        <v>42681</v>
      </c>
      <c r="S8945" t="s">
        <v>42966</v>
      </c>
      <c r="T8945" t="s">
        <v>44482</v>
      </c>
      <c r="U8945" t="s">
        <v>51162</v>
      </c>
      <c r="W8945" t="s">
        <v>39215</v>
      </c>
      <c r="X8945" t="s">
        <v>42682</v>
      </c>
    </row>
    <row r="8946" spans="1:24">
      <c r="A8946">
        <f>HYPERLINK("https://www.philgeps.gov.ph/GEPSNONPILOT/Tender/SplashBidNoticeAbstractUI.aspx?menuIndex=3&amp;refID=7178228&amp;Result=3","7178228")</f>
        <v>0</v>
      </c>
      <c r="B8946" t="s">
        <v>707</v>
      </c>
      <c r="C8946" t="s">
        <v>12071</v>
      </c>
      <c r="D8946" t="s">
        <v>17178</v>
      </c>
      <c r="E8946" t="s">
        <v>12071</v>
      </c>
      <c r="F8946" t="s">
        <v>29372</v>
      </c>
      <c r="G8946" t="s">
        <v>29383</v>
      </c>
      <c r="H8946" t="s">
        <v>29390</v>
      </c>
      <c r="I8946" t="s">
        <v>7828</v>
      </c>
      <c r="J8946" t="s">
        <v>29799</v>
      </c>
      <c r="K8946" t="s">
        <v>38485</v>
      </c>
      <c r="M8946" t="s">
        <v>39486</v>
      </c>
      <c r="N8946" t="s">
        <v>42669</v>
      </c>
      <c r="O8946" t="s">
        <v>42670</v>
      </c>
      <c r="P8946">
        <v>0</v>
      </c>
      <c r="Q8946">
        <v>0</v>
      </c>
      <c r="R8946" t="s">
        <v>42681</v>
      </c>
      <c r="S8946" t="s">
        <v>42966</v>
      </c>
      <c r="T8946" t="s">
        <v>44532</v>
      </c>
      <c r="U8946" t="s">
        <v>52135</v>
      </c>
      <c r="W8946" t="s">
        <v>39486</v>
      </c>
      <c r="X8946" t="s">
        <v>42682</v>
      </c>
    </row>
    <row r="8947" spans="1:24">
      <c r="A8947">
        <f>HYPERLINK("https://www.philgeps.gov.ph/GEPSNONPILOT/Tender/SplashBidNoticeAbstractUI.aspx?menuIndex=3&amp;refID=7178194&amp;Result=3","7178194")</f>
        <v>0</v>
      </c>
      <c r="B8947" t="s">
        <v>1723</v>
      </c>
      <c r="C8947" t="s">
        <v>12072</v>
      </c>
      <c r="D8947" t="s">
        <v>17194</v>
      </c>
      <c r="E8947" t="s">
        <v>24922</v>
      </c>
      <c r="F8947" t="s">
        <v>29372</v>
      </c>
      <c r="G8947" t="s">
        <v>29380</v>
      </c>
      <c r="H8947" t="s">
        <v>11048</v>
      </c>
      <c r="I8947" t="s">
        <v>4486</v>
      </c>
      <c r="J8947" t="s">
        <v>30886</v>
      </c>
      <c r="K8947" t="s">
        <v>38510</v>
      </c>
      <c r="M8947" t="s">
        <v>40587</v>
      </c>
      <c r="N8947" t="s">
        <v>42669</v>
      </c>
      <c r="O8947" t="s">
        <v>42670</v>
      </c>
      <c r="P8947">
        <v>0</v>
      </c>
      <c r="Q8947">
        <v>2</v>
      </c>
      <c r="R8947" t="s">
        <v>42681</v>
      </c>
      <c r="S8947" t="s">
        <v>42966</v>
      </c>
      <c r="T8947" t="s">
        <v>44432</v>
      </c>
      <c r="U8947" t="s">
        <v>52136</v>
      </c>
      <c r="V8947" t="s">
        <v>57363</v>
      </c>
      <c r="W8947" t="s">
        <v>40587</v>
      </c>
      <c r="X8947" t="s">
        <v>42682</v>
      </c>
    </row>
    <row r="8948" spans="1:24">
      <c r="A8948">
        <f>HYPERLINK("https://www.philgeps.gov.ph/GEPSNONPILOT/Tender/SplashBidNoticeAbstractUI.aspx?menuIndex=3&amp;refID=7178284&amp;Result=3","7178284")</f>
        <v>0</v>
      </c>
      <c r="B8948" t="s">
        <v>2096</v>
      </c>
      <c r="C8948" t="s">
        <v>12073</v>
      </c>
      <c r="D8948" t="s">
        <v>17187</v>
      </c>
      <c r="E8948" t="s">
        <v>24923</v>
      </c>
      <c r="F8948" t="s">
        <v>29375</v>
      </c>
      <c r="G8948" t="s">
        <v>29380</v>
      </c>
      <c r="H8948" t="s">
        <v>29389</v>
      </c>
      <c r="I8948" t="s">
        <v>10408</v>
      </c>
      <c r="J8948" t="s">
        <v>35253</v>
      </c>
      <c r="K8948" t="s">
        <v>38496</v>
      </c>
      <c r="M8948" t="s">
        <v>40998</v>
      </c>
      <c r="N8948" t="s">
        <v>42669</v>
      </c>
      <c r="O8948" t="s">
        <v>42670</v>
      </c>
      <c r="P8948">
        <v>0</v>
      </c>
      <c r="Q8948">
        <v>0</v>
      </c>
      <c r="R8948" t="s">
        <v>42681</v>
      </c>
      <c r="S8948" t="s">
        <v>42966</v>
      </c>
      <c r="T8948" t="s">
        <v>44364</v>
      </c>
      <c r="U8948" t="s">
        <v>52137</v>
      </c>
      <c r="W8948" t="s">
        <v>40998</v>
      </c>
      <c r="X8948" t="s">
        <v>42682</v>
      </c>
    </row>
    <row r="8949" spans="1:24">
      <c r="A8949">
        <f>HYPERLINK("https://www.philgeps.gov.ph/GEPSNONPILOT/Tender/SplashBidNoticeAbstractUI.aspx?menuIndex=3&amp;refID=7178522&amp;Result=3","7178522")</f>
        <v>0</v>
      </c>
      <c r="B8949" t="s">
        <v>1990</v>
      </c>
      <c r="C8949" t="s">
        <v>12074</v>
      </c>
      <c r="D8949" t="s">
        <v>17200</v>
      </c>
      <c r="E8949" t="s">
        <v>24924</v>
      </c>
      <c r="F8949" t="s">
        <v>29372</v>
      </c>
      <c r="G8949" t="s">
        <v>29380</v>
      </c>
      <c r="H8949" t="s">
        <v>11048</v>
      </c>
      <c r="I8949" t="s">
        <v>5383</v>
      </c>
      <c r="J8949" t="s">
        <v>29774</v>
      </c>
      <c r="K8949" t="s">
        <v>38485</v>
      </c>
      <c r="M8949" t="s">
        <v>40878</v>
      </c>
      <c r="N8949" t="s">
        <v>42669</v>
      </c>
      <c r="O8949" t="s">
        <v>42670</v>
      </c>
      <c r="P8949">
        <v>0</v>
      </c>
      <c r="Q8949">
        <v>3</v>
      </c>
      <c r="R8949" t="s">
        <v>42681</v>
      </c>
      <c r="S8949" t="s">
        <v>42966</v>
      </c>
      <c r="T8949" t="s">
        <v>44757</v>
      </c>
      <c r="U8949" t="s">
        <v>52138</v>
      </c>
      <c r="W8949" t="s">
        <v>40878</v>
      </c>
      <c r="X8949" t="s">
        <v>42682</v>
      </c>
    </row>
    <row r="8950" spans="1:24">
      <c r="A8950">
        <f>HYPERLINK("https://www.philgeps.gov.ph/GEPSNONPILOT/Tender/SplashBidNoticeAbstractUI.aspx?menuIndex=3&amp;refID=7178275&amp;Result=3","7178275")</f>
        <v>0</v>
      </c>
      <c r="B8950" t="s">
        <v>2720</v>
      </c>
      <c r="C8950" t="s">
        <v>12075</v>
      </c>
      <c r="E8950" t="s">
        <v>19842</v>
      </c>
      <c r="F8950" t="s">
        <v>29372</v>
      </c>
      <c r="G8950" t="s">
        <v>29380</v>
      </c>
      <c r="H8950" t="s">
        <v>11048</v>
      </c>
      <c r="I8950" t="s">
        <v>29394</v>
      </c>
      <c r="J8950" t="s">
        <v>35254</v>
      </c>
      <c r="K8950" t="s">
        <v>38487</v>
      </c>
      <c r="M8950" t="s">
        <v>41701</v>
      </c>
      <c r="N8950" t="s">
        <v>42669</v>
      </c>
      <c r="O8950" t="s">
        <v>42670</v>
      </c>
      <c r="P8950">
        <v>0</v>
      </c>
      <c r="Q8950">
        <v>2</v>
      </c>
      <c r="R8950" t="s">
        <v>42681</v>
      </c>
      <c r="S8950" t="s">
        <v>42966</v>
      </c>
      <c r="T8950" t="s">
        <v>44643</v>
      </c>
      <c r="U8950" t="s">
        <v>52139</v>
      </c>
      <c r="W8950" t="s">
        <v>41701</v>
      </c>
      <c r="X8950" t="s">
        <v>42682</v>
      </c>
    </row>
    <row r="8951" spans="1:24">
      <c r="A8951">
        <f>HYPERLINK("https://www.philgeps.gov.ph/GEPSNONPILOT/Tender/SplashBidNoticeAbstractUI.aspx?menuIndex=3&amp;refID=7178508&amp;Result=3","7178508")</f>
        <v>0</v>
      </c>
      <c r="B8951" t="s">
        <v>2707</v>
      </c>
      <c r="C8951" t="s">
        <v>12076</v>
      </c>
      <c r="D8951" t="s">
        <v>17212</v>
      </c>
      <c r="E8951" t="s">
        <v>20636</v>
      </c>
      <c r="F8951" t="s">
        <v>29372</v>
      </c>
      <c r="G8951" t="s">
        <v>29380</v>
      </c>
      <c r="H8951" t="s">
        <v>29389</v>
      </c>
      <c r="I8951" t="s">
        <v>10408</v>
      </c>
      <c r="J8951" t="s">
        <v>29615</v>
      </c>
      <c r="K8951" t="s">
        <v>38495</v>
      </c>
      <c r="M8951" t="s">
        <v>41687</v>
      </c>
      <c r="N8951" t="s">
        <v>42669</v>
      </c>
      <c r="O8951" t="s">
        <v>42670</v>
      </c>
      <c r="P8951">
        <v>0</v>
      </c>
      <c r="Q8951">
        <v>1</v>
      </c>
      <c r="R8951" t="s">
        <v>42681</v>
      </c>
      <c r="S8951" t="s">
        <v>42966</v>
      </c>
      <c r="T8951" t="s">
        <v>44452</v>
      </c>
      <c r="U8951" t="s">
        <v>52140</v>
      </c>
      <c r="W8951" t="s">
        <v>41687</v>
      </c>
      <c r="X8951" t="s">
        <v>42682</v>
      </c>
    </row>
    <row r="8952" spans="1:24">
      <c r="A8952">
        <f>HYPERLINK("https://www.philgeps.gov.ph/GEPSNONPILOT/Tender/SplashBidNoticeAbstractUI.aspx?menuIndex=3&amp;refID=7178494&amp;Result=3","7178494")</f>
        <v>0</v>
      </c>
      <c r="B8952" t="s">
        <v>1566</v>
      </c>
      <c r="C8952" t="s">
        <v>3839</v>
      </c>
      <c r="E8952" t="s">
        <v>24925</v>
      </c>
      <c r="F8952" t="s">
        <v>29372</v>
      </c>
      <c r="G8952" t="s">
        <v>29380</v>
      </c>
      <c r="H8952" t="s">
        <v>11048</v>
      </c>
      <c r="I8952" t="s">
        <v>3839</v>
      </c>
      <c r="J8952" t="s">
        <v>32811</v>
      </c>
      <c r="K8952" t="s">
        <v>38490</v>
      </c>
      <c r="M8952" t="s">
        <v>40416</v>
      </c>
      <c r="N8952" t="s">
        <v>42669</v>
      </c>
      <c r="O8952" t="s">
        <v>42670</v>
      </c>
      <c r="P8952">
        <v>0</v>
      </c>
      <c r="Q8952">
        <v>0</v>
      </c>
      <c r="R8952" t="s">
        <v>42681</v>
      </c>
      <c r="S8952" t="s">
        <v>42966</v>
      </c>
      <c r="T8952" t="s">
        <v>44672</v>
      </c>
      <c r="U8952" t="s">
        <v>52141</v>
      </c>
      <c r="W8952" t="s">
        <v>40416</v>
      </c>
      <c r="X8952" t="s">
        <v>42682</v>
      </c>
    </row>
    <row r="8953" spans="1:24">
      <c r="A8953">
        <f>HYPERLINK("https://www.philgeps.gov.ph/GEPSNONPILOT/Tender/SplashBidNoticeAbstractUI.aspx?menuIndex=3&amp;refID=7178373&amp;Result=3","7178373")</f>
        <v>0</v>
      </c>
      <c r="B8953" t="s">
        <v>887</v>
      </c>
      <c r="C8953" t="s">
        <v>12077</v>
      </c>
      <c r="D8953" t="s">
        <v>17187</v>
      </c>
      <c r="E8953" t="s">
        <v>22620</v>
      </c>
      <c r="F8953" t="s">
        <v>29372</v>
      </c>
      <c r="G8953" t="s">
        <v>29380</v>
      </c>
      <c r="H8953" t="s">
        <v>11048</v>
      </c>
      <c r="I8953" t="s">
        <v>8614</v>
      </c>
      <c r="J8953" t="s">
        <v>29924</v>
      </c>
      <c r="K8953" t="s">
        <v>38518</v>
      </c>
      <c r="M8953" t="s">
        <v>39679</v>
      </c>
      <c r="N8953" t="s">
        <v>42669</v>
      </c>
      <c r="O8953" t="s">
        <v>42670</v>
      </c>
      <c r="P8953">
        <v>0</v>
      </c>
      <c r="Q8953">
        <v>7</v>
      </c>
      <c r="R8953" t="s">
        <v>42681</v>
      </c>
      <c r="S8953" t="s">
        <v>42966</v>
      </c>
      <c r="T8953" t="s">
        <v>44438</v>
      </c>
      <c r="U8953" t="s">
        <v>46660</v>
      </c>
      <c r="W8953" t="s">
        <v>39679</v>
      </c>
      <c r="X8953" t="s">
        <v>42682</v>
      </c>
    </row>
    <row r="8954" spans="1:24">
      <c r="A8954">
        <f>HYPERLINK("https://www.philgeps.gov.ph/GEPSNONPILOT/Tender/SplashBidNoticeAbstractUI.aspx?menuIndex=3&amp;refID=7178493&amp;Result=3","7178493")</f>
        <v>0</v>
      </c>
      <c r="B8954" t="s">
        <v>1999</v>
      </c>
      <c r="C8954" t="s">
        <v>12078</v>
      </c>
      <c r="D8954" t="s">
        <v>17186</v>
      </c>
      <c r="E8954" t="s">
        <v>22254</v>
      </c>
      <c r="F8954" t="s">
        <v>29372</v>
      </c>
      <c r="G8954" t="s">
        <v>29380</v>
      </c>
      <c r="H8954" t="s">
        <v>29389</v>
      </c>
      <c r="I8954" t="s">
        <v>10408</v>
      </c>
      <c r="J8954" t="s">
        <v>31485</v>
      </c>
      <c r="K8954" t="s">
        <v>38502</v>
      </c>
      <c r="M8954" t="s">
        <v>40889</v>
      </c>
      <c r="N8954" t="s">
        <v>42669</v>
      </c>
      <c r="O8954" t="s">
        <v>42670</v>
      </c>
      <c r="P8954">
        <v>0</v>
      </c>
      <c r="Q8954">
        <v>0</v>
      </c>
      <c r="R8954" t="s">
        <v>42681</v>
      </c>
      <c r="S8954" t="s">
        <v>42966</v>
      </c>
      <c r="T8954" t="s">
        <v>44517</v>
      </c>
      <c r="U8954" t="s">
        <v>52142</v>
      </c>
      <c r="W8954" t="s">
        <v>40889</v>
      </c>
      <c r="X8954" t="s">
        <v>42682</v>
      </c>
    </row>
    <row r="8955" spans="1:24">
      <c r="A8955">
        <f>HYPERLINK("https://www.philgeps.gov.ph/GEPSNONPILOT/Tender/SplashBidNoticeAbstractUI.aspx?menuIndex=3&amp;refID=7178588&amp;Result=3","7178588")</f>
        <v>0</v>
      </c>
      <c r="B8955" t="s">
        <v>2721</v>
      </c>
      <c r="C8955" t="s">
        <v>12079</v>
      </c>
      <c r="D8955" t="s">
        <v>17150</v>
      </c>
      <c r="E8955" t="s">
        <v>24926</v>
      </c>
      <c r="F8955" t="s">
        <v>29372</v>
      </c>
      <c r="G8955" t="s">
        <v>29379</v>
      </c>
      <c r="H8955" t="s">
        <v>11048</v>
      </c>
      <c r="I8955" t="s">
        <v>29502</v>
      </c>
      <c r="J8955" t="s">
        <v>35255</v>
      </c>
      <c r="K8955" t="s">
        <v>38485</v>
      </c>
      <c r="M8955" t="s">
        <v>41702</v>
      </c>
      <c r="N8955" t="s">
        <v>42669</v>
      </c>
      <c r="O8955" t="s">
        <v>42670</v>
      </c>
      <c r="P8955">
        <v>0</v>
      </c>
      <c r="Q8955">
        <v>0</v>
      </c>
      <c r="R8955" t="s">
        <v>42681</v>
      </c>
      <c r="S8955" t="s">
        <v>42966</v>
      </c>
      <c r="T8955" t="s">
        <v>44427</v>
      </c>
      <c r="U8955" t="s">
        <v>52143</v>
      </c>
      <c r="V8955" t="s">
        <v>57364</v>
      </c>
      <c r="W8955" t="s">
        <v>41702</v>
      </c>
      <c r="X8955" t="s">
        <v>42682</v>
      </c>
    </row>
    <row r="8956" spans="1:24">
      <c r="A8956">
        <f>HYPERLINK("https://www.philgeps.gov.ph/GEPSNONPILOT/Tender/SplashBidNoticeAbstractUI.aspx?menuIndex=3&amp;refID=7178361&amp;Result=3","7178361")</f>
        <v>0</v>
      </c>
      <c r="B8956" t="s">
        <v>1573</v>
      </c>
      <c r="C8956" t="s">
        <v>12080</v>
      </c>
      <c r="D8956" t="s">
        <v>17194</v>
      </c>
      <c r="E8956" t="s">
        <v>24927</v>
      </c>
      <c r="F8956" t="s">
        <v>29372</v>
      </c>
      <c r="G8956" t="s">
        <v>29380</v>
      </c>
      <c r="H8956" t="s">
        <v>29389</v>
      </c>
      <c r="I8956" t="s">
        <v>10408</v>
      </c>
      <c r="J8956" t="s">
        <v>35256</v>
      </c>
      <c r="K8956" t="s">
        <v>38564</v>
      </c>
      <c r="M8956" t="s">
        <v>41703</v>
      </c>
      <c r="N8956" t="s">
        <v>42669</v>
      </c>
      <c r="O8956" t="s">
        <v>42670</v>
      </c>
      <c r="P8956">
        <v>0</v>
      </c>
      <c r="Q8956">
        <v>3</v>
      </c>
      <c r="R8956" t="s">
        <v>42681</v>
      </c>
      <c r="S8956" t="s">
        <v>42966</v>
      </c>
      <c r="T8956" t="s">
        <v>44368</v>
      </c>
      <c r="U8956" t="s">
        <v>52144</v>
      </c>
      <c r="V8956" t="s">
        <v>57365</v>
      </c>
      <c r="W8956" t="s">
        <v>41703</v>
      </c>
      <c r="X8956" t="s">
        <v>42682</v>
      </c>
    </row>
    <row r="8957" spans="1:24">
      <c r="A8957">
        <f>HYPERLINK("https://www.philgeps.gov.ph/GEPSNONPILOT/Tender/SplashBidNoticeAbstractUI.aspx?menuIndex=3&amp;refID=7178407&amp;Result=3","7178407")</f>
        <v>0</v>
      </c>
      <c r="B8957" t="s">
        <v>451</v>
      </c>
      <c r="C8957" t="s">
        <v>12081</v>
      </c>
      <c r="E8957" t="s">
        <v>24928</v>
      </c>
      <c r="F8957" t="s">
        <v>29372</v>
      </c>
      <c r="G8957" t="s">
        <v>29380</v>
      </c>
      <c r="H8957" t="s">
        <v>11048</v>
      </c>
      <c r="I8957" t="s">
        <v>8614</v>
      </c>
      <c r="J8957" t="s">
        <v>35257</v>
      </c>
      <c r="K8957" t="s">
        <v>38485</v>
      </c>
      <c r="M8957" t="s">
        <v>39215</v>
      </c>
      <c r="N8957" t="s">
        <v>42669</v>
      </c>
      <c r="O8957" t="s">
        <v>42670</v>
      </c>
      <c r="P8957">
        <v>0</v>
      </c>
      <c r="Q8957">
        <v>17</v>
      </c>
      <c r="R8957" t="s">
        <v>42681</v>
      </c>
      <c r="S8957" t="s">
        <v>42966</v>
      </c>
      <c r="T8957" t="s">
        <v>44482</v>
      </c>
      <c r="U8957" t="s">
        <v>51162</v>
      </c>
      <c r="W8957" t="s">
        <v>39215</v>
      </c>
      <c r="X8957" t="s">
        <v>42682</v>
      </c>
    </row>
    <row r="8958" spans="1:24">
      <c r="A8958">
        <f>HYPERLINK("https://www.philgeps.gov.ph/GEPSNONPILOT/Tender/SplashBidNoticeAbstractUI.aspx?menuIndex=3&amp;refID=7178570&amp;Result=3","7178570")</f>
        <v>0</v>
      </c>
      <c r="B8958" t="s">
        <v>2722</v>
      </c>
      <c r="C8958" t="s">
        <v>12082</v>
      </c>
      <c r="D8958" t="s">
        <v>17168</v>
      </c>
      <c r="E8958" t="s">
        <v>23927</v>
      </c>
      <c r="F8958" t="s">
        <v>29372</v>
      </c>
      <c r="G8958" t="s">
        <v>29380</v>
      </c>
      <c r="H8958" t="s">
        <v>11048</v>
      </c>
      <c r="I8958" t="s">
        <v>4709</v>
      </c>
      <c r="J8958" t="s">
        <v>35258</v>
      </c>
      <c r="K8958" t="s">
        <v>38490</v>
      </c>
      <c r="M8958" t="s">
        <v>41704</v>
      </c>
      <c r="N8958" t="s">
        <v>42669</v>
      </c>
      <c r="O8958" t="s">
        <v>42670</v>
      </c>
      <c r="P8958">
        <v>0</v>
      </c>
      <c r="Q8958">
        <v>0</v>
      </c>
      <c r="R8958" t="s">
        <v>42681</v>
      </c>
      <c r="S8958" t="s">
        <v>42966</v>
      </c>
      <c r="T8958" t="s">
        <v>44470</v>
      </c>
      <c r="U8958" t="s">
        <v>52145</v>
      </c>
      <c r="W8958" t="s">
        <v>41704</v>
      </c>
      <c r="X8958" t="s">
        <v>42682</v>
      </c>
    </row>
    <row r="8959" spans="1:24">
      <c r="A8959">
        <f>HYPERLINK("https://www.philgeps.gov.ph/GEPSNONPILOT/Tender/SplashBidNoticeAbstractUI.aspx?menuIndex=3&amp;refID=7178569&amp;Result=3","7178569")</f>
        <v>0</v>
      </c>
      <c r="B8959" t="s">
        <v>777</v>
      </c>
      <c r="C8959" t="s">
        <v>12083</v>
      </c>
      <c r="D8959" t="s">
        <v>17161</v>
      </c>
      <c r="E8959" t="s">
        <v>18963</v>
      </c>
      <c r="F8959" t="s">
        <v>29372</v>
      </c>
      <c r="G8959" t="s">
        <v>29380</v>
      </c>
      <c r="H8959" t="s">
        <v>11048</v>
      </c>
      <c r="I8959" t="s">
        <v>4709</v>
      </c>
      <c r="J8959" t="s">
        <v>35259</v>
      </c>
      <c r="K8959" t="s">
        <v>38490</v>
      </c>
      <c r="M8959" t="s">
        <v>39561</v>
      </c>
      <c r="N8959" t="s">
        <v>42669</v>
      </c>
      <c r="O8959" t="s">
        <v>42670</v>
      </c>
      <c r="P8959">
        <v>0</v>
      </c>
      <c r="Q8959">
        <v>0</v>
      </c>
      <c r="R8959" t="s">
        <v>42681</v>
      </c>
      <c r="S8959" t="s">
        <v>42966</v>
      </c>
      <c r="T8959" t="s">
        <v>44560</v>
      </c>
      <c r="U8959" t="s">
        <v>52146</v>
      </c>
      <c r="W8959" t="s">
        <v>39561</v>
      </c>
      <c r="X8959" t="s">
        <v>42682</v>
      </c>
    </row>
    <row r="8960" spans="1:24">
      <c r="A8960">
        <f>HYPERLINK("https://www.philgeps.gov.ph/GEPSNONPILOT/Tender/SplashBidNoticeAbstractUI.aspx?menuIndex=3&amp;refID=7178543&amp;Result=3","7178543")</f>
        <v>0</v>
      </c>
      <c r="B8960" t="s">
        <v>2721</v>
      </c>
      <c r="C8960" t="s">
        <v>12084</v>
      </c>
      <c r="D8960" t="s">
        <v>17150</v>
      </c>
      <c r="E8960" t="s">
        <v>24929</v>
      </c>
      <c r="F8960" t="s">
        <v>29372</v>
      </c>
      <c r="G8960" t="s">
        <v>29379</v>
      </c>
      <c r="H8960" t="s">
        <v>11048</v>
      </c>
      <c r="I8960" t="s">
        <v>5383</v>
      </c>
      <c r="J8960" t="s">
        <v>35260</v>
      </c>
      <c r="K8960" t="s">
        <v>38485</v>
      </c>
      <c r="M8960" t="s">
        <v>41702</v>
      </c>
      <c r="N8960" t="s">
        <v>42669</v>
      </c>
      <c r="O8960" t="s">
        <v>42670</v>
      </c>
      <c r="P8960">
        <v>0</v>
      </c>
      <c r="Q8960">
        <v>0</v>
      </c>
      <c r="R8960" t="s">
        <v>42681</v>
      </c>
      <c r="S8960" t="s">
        <v>42966</v>
      </c>
      <c r="T8960" t="s">
        <v>44427</v>
      </c>
      <c r="U8960" t="s">
        <v>52147</v>
      </c>
      <c r="V8960" t="s">
        <v>57364</v>
      </c>
      <c r="W8960" t="s">
        <v>41702</v>
      </c>
      <c r="X8960" t="s">
        <v>42682</v>
      </c>
    </row>
    <row r="8961" spans="1:24">
      <c r="A8961">
        <f>HYPERLINK("https://www.philgeps.gov.ph/GEPSNONPILOT/Tender/SplashBidNoticeAbstractUI.aspx?menuIndex=3&amp;refID=7178584&amp;Result=3","7178584")</f>
        <v>0</v>
      </c>
      <c r="B8961" t="s">
        <v>2722</v>
      </c>
      <c r="C8961" t="s">
        <v>12085</v>
      </c>
      <c r="D8961" t="s">
        <v>17168</v>
      </c>
      <c r="E8961" t="s">
        <v>19582</v>
      </c>
      <c r="F8961" t="s">
        <v>29372</v>
      </c>
      <c r="G8961" t="s">
        <v>29380</v>
      </c>
      <c r="H8961" t="s">
        <v>11048</v>
      </c>
      <c r="I8961" t="s">
        <v>29410</v>
      </c>
      <c r="J8961" t="s">
        <v>35261</v>
      </c>
      <c r="K8961" t="s">
        <v>38490</v>
      </c>
      <c r="M8961" t="s">
        <v>41704</v>
      </c>
      <c r="N8961" t="s">
        <v>42669</v>
      </c>
      <c r="O8961" t="s">
        <v>42670</v>
      </c>
      <c r="P8961">
        <v>0</v>
      </c>
      <c r="Q8961">
        <v>5</v>
      </c>
      <c r="R8961" t="s">
        <v>42681</v>
      </c>
      <c r="S8961" t="s">
        <v>42966</v>
      </c>
      <c r="T8961" t="s">
        <v>44470</v>
      </c>
      <c r="U8961" t="s">
        <v>52148</v>
      </c>
      <c r="W8961" t="s">
        <v>41704</v>
      </c>
      <c r="X8961" t="s">
        <v>42682</v>
      </c>
    </row>
    <row r="8962" spans="1:24">
      <c r="A8962">
        <f>HYPERLINK("https://www.philgeps.gov.ph/GEPSNONPILOT/Tender/SplashBidNoticeAbstractUI.aspx?menuIndex=3&amp;refID=7178533&amp;Result=3","7178533")</f>
        <v>0</v>
      </c>
      <c r="B8962" t="s">
        <v>2723</v>
      </c>
      <c r="C8962" t="s">
        <v>12086</v>
      </c>
      <c r="D8962" t="s">
        <v>17148</v>
      </c>
      <c r="E8962" t="s">
        <v>24930</v>
      </c>
      <c r="F8962" t="s">
        <v>29372</v>
      </c>
      <c r="G8962" t="s">
        <v>29380</v>
      </c>
      <c r="H8962" t="s">
        <v>29389</v>
      </c>
      <c r="I8962" t="s">
        <v>10408</v>
      </c>
      <c r="J8962" t="s">
        <v>29724</v>
      </c>
      <c r="K8962" t="s">
        <v>38522</v>
      </c>
      <c r="M8962" t="s">
        <v>41705</v>
      </c>
      <c r="N8962" t="s">
        <v>42669</v>
      </c>
      <c r="O8962" t="s">
        <v>42670</v>
      </c>
      <c r="Q8962">
        <v>103</v>
      </c>
      <c r="R8962" t="s">
        <v>42681</v>
      </c>
      <c r="S8962" t="s">
        <v>42975</v>
      </c>
      <c r="T8962" t="s">
        <v>44532</v>
      </c>
      <c r="U8962" t="s">
        <v>51465</v>
      </c>
      <c r="W8962" t="s">
        <v>41705</v>
      </c>
      <c r="X8962" t="s">
        <v>42682</v>
      </c>
    </row>
    <row r="8963" spans="1:24">
      <c r="A8963">
        <f>HYPERLINK("https://www.philgeps.gov.ph/GEPSNONPILOT/Tender/SplashBidNoticeAbstractUI.aspx?menuIndex=3&amp;refID=7178490&amp;Result=3","7178490")</f>
        <v>0</v>
      </c>
      <c r="B8963" t="s">
        <v>451</v>
      </c>
      <c r="C8963" t="s">
        <v>12087</v>
      </c>
      <c r="E8963" t="s">
        <v>24931</v>
      </c>
      <c r="F8963" t="s">
        <v>29372</v>
      </c>
      <c r="G8963" t="s">
        <v>29380</v>
      </c>
      <c r="H8963" t="s">
        <v>11048</v>
      </c>
      <c r="I8963" t="s">
        <v>7828</v>
      </c>
      <c r="J8963" t="s">
        <v>29590</v>
      </c>
      <c r="K8963" t="s">
        <v>38485</v>
      </c>
      <c r="M8963" t="s">
        <v>39215</v>
      </c>
      <c r="N8963" t="s">
        <v>42669</v>
      </c>
      <c r="O8963" t="s">
        <v>42670</v>
      </c>
      <c r="P8963">
        <v>0</v>
      </c>
      <c r="Q8963">
        <v>7</v>
      </c>
      <c r="R8963" t="s">
        <v>42681</v>
      </c>
      <c r="S8963" t="s">
        <v>42966</v>
      </c>
      <c r="T8963" t="s">
        <v>44482</v>
      </c>
      <c r="U8963" t="s">
        <v>51162</v>
      </c>
      <c r="W8963" t="s">
        <v>39215</v>
      </c>
      <c r="X8963" t="s">
        <v>42682</v>
      </c>
    </row>
    <row r="8964" spans="1:24">
      <c r="A8964">
        <f>HYPERLINK("https://www.philgeps.gov.ph/GEPSNONPILOT/Tender/SplashBidNoticeAbstractUI.aspx?menuIndex=3&amp;refID=7178549&amp;Result=3","7178549")</f>
        <v>0</v>
      </c>
      <c r="B8964" t="s">
        <v>961</v>
      </c>
      <c r="C8964" t="s">
        <v>12088</v>
      </c>
      <c r="D8964" t="s">
        <v>17148</v>
      </c>
      <c r="E8964" t="s">
        <v>24932</v>
      </c>
      <c r="F8964" t="s">
        <v>29372</v>
      </c>
      <c r="G8964" t="s">
        <v>29380</v>
      </c>
      <c r="H8964" t="s">
        <v>29389</v>
      </c>
      <c r="I8964" t="s">
        <v>10408</v>
      </c>
      <c r="J8964" t="s">
        <v>35262</v>
      </c>
      <c r="K8964" t="s">
        <v>38522</v>
      </c>
      <c r="M8964" t="s">
        <v>39757</v>
      </c>
      <c r="N8964" t="s">
        <v>42669</v>
      </c>
      <c r="O8964" t="s">
        <v>42670</v>
      </c>
      <c r="P8964">
        <v>0</v>
      </c>
      <c r="Q8964">
        <v>20</v>
      </c>
      <c r="R8964" t="s">
        <v>42681</v>
      </c>
      <c r="S8964" t="s">
        <v>42966</v>
      </c>
      <c r="T8964" t="s">
        <v>44593</v>
      </c>
      <c r="U8964" t="s">
        <v>52149</v>
      </c>
      <c r="W8964" t="s">
        <v>39757</v>
      </c>
      <c r="X8964" t="s">
        <v>42682</v>
      </c>
    </row>
    <row r="8965" spans="1:24">
      <c r="A8965">
        <f>HYPERLINK("https://www.philgeps.gov.ph/GEPSNONPILOT/Tender/SplashBidNoticeAbstractUI.aspx?menuIndex=3&amp;refID=7178301&amp;Result=3","7178301")</f>
        <v>0</v>
      </c>
      <c r="B8965" t="s">
        <v>2545</v>
      </c>
      <c r="C8965" t="s">
        <v>12089</v>
      </c>
      <c r="D8965" t="s">
        <v>17143</v>
      </c>
      <c r="E8965" t="s">
        <v>24323</v>
      </c>
      <c r="F8965" t="s">
        <v>29372</v>
      </c>
      <c r="G8965" t="s">
        <v>29380</v>
      </c>
      <c r="H8965" t="s">
        <v>11048</v>
      </c>
      <c r="I8965" t="s">
        <v>3670</v>
      </c>
      <c r="J8965" t="s">
        <v>35263</v>
      </c>
      <c r="K8965" t="s">
        <v>38488</v>
      </c>
      <c r="M8965" t="s">
        <v>41508</v>
      </c>
      <c r="N8965" t="s">
        <v>42669</v>
      </c>
      <c r="O8965" t="s">
        <v>42670</v>
      </c>
      <c r="P8965">
        <v>0</v>
      </c>
      <c r="Q8965">
        <v>1</v>
      </c>
      <c r="R8965" t="s">
        <v>42681</v>
      </c>
      <c r="S8965" t="s">
        <v>42966</v>
      </c>
      <c r="T8965" t="s">
        <v>44425</v>
      </c>
      <c r="U8965" t="s">
        <v>52150</v>
      </c>
      <c r="W8965" t="s">
        <v>41508</v>
      </c>
      <c r="X8965" t="s">
        <v>42682</v>
      </c>
    </row>
    <row r="8966" spans="1:24">
      <c r="A8966">
        <f>HYPERLINK("https://www.philgeps.gov.ph/GEPSNONPILOT/Tender/SplashBidNoticeAbstractUI.aspx?menuIndex=3&amp;refID=7178573&amp;Result=3","7178573")</f>
        <v>0</v>
      </c>
      <c r="B8966" t="s">
        <v>462</v>
      </c>
      <c r="C8966" t="s">
        <v>12090</v>
      </c>
      <c r="D8966" t="s">
        <v>17180</v>
      </c>
      <c r="E8966" t="s">
        <v>20721</v>
      </c>
      <c r="F8966" t="s">
        <v>29372</v>
      </c>
      <c r="G8966" t="s">
        <v>29383</v>
      </c>
      <c r="H8966" t="s">
        <v>11048</v>
      </c>
      <c r="I8966" t="s">
        <v>29432</v>
      </c>
      <c r="J8966" t="s">
        <v>35264</v>
      </c>
      <c r="K8966" t="s">
        <v>38485</v>
      </c>
      <c r="M8966" t="s">
        <v>39226</v>
      </c>
      <c r="N8966" t="s">
        <v>42669</v>
      </c>
      <c r="O8966" t="s">
        <v>42670</v>
      </c>
      <c r="Q8966">
        <v>1</v>
      </c>
      <c r="R8966" t="s">
        <v>42681</v>
      </c>
      <c r="S8966" t="s">
        <v>42976</v>
      </c>
      <c r="T8966" t="s">
        <v>44468</v>
      </c>
      <c r="U8966" t="s">
        <v>52151</v>
      </c>
      <c r="W8966" t="s">
        <v>39226</v>
      </c>
      <c r="X8966" t="s">
        <v>42682</v>
      </c>
    </row>
    <row r="8967" spans="1:24">
      <c r="A8967">
        <f>HYPERLINK("https://www.philgeps.gov.ph/GEPSNONPILOT/Tender/SplashBidNoticeAbstractUI.aspx?menuIndex=3&amp;refID=7178475&amp;Result=3","7178475")</f>
        <v>0</v>
      </c>
      <c r="B8967" t="s">
        <v>1566</v>
      </c>
      <c r="C8967" t="s">
        <v>3952</v>
      </c>
      <c r="E8967" t="s">
        <v>24933</v>
      </c>
      <c r="F8967" t="s">
        <v>29372</v>
      </c>
      <c r="G8967" t="s">
        <v>29380</v>
      </c>
      <c r="H8967" t="s">
        <v>11048</v>
      </c>
      <c r="I8967" t="s">
        <v>3952</v>
      </c>
      <c r="J8967" t="s">
        <v>35265</v>
      </c>
      <c r="K8967" t="s">
        <v>38490</v>
      </c>
      <c r="M8967" t="s">
        <v>40416</v>
      </c>
      <c r="N8967" t="s">
        <v>42669</v>
      </c>
      <c r="O8967" t="s">
        <v>42670</v>
      </c>
      <c r="P8967">
        <v>0</v>
      </c>
      <c r="Q8967">
        <v>1</v>
      </c>
      <c r="R8967" t="s">
        <v>42681</v>
      </c>
      <c r="S8967" t="s">
        <v>42966</v>
      </c>
      <c r="T8967" t="s">
        <v>44672</v>
      </c>
      <c r="U8967" t="s">
        <v>52152</v>
      </c>
      <c r="W8967" t="s">
        <v>40416</v>
      </c>
      <c r="X8967" t="s">
        <v>42682</v>
      </c>
    </row>
    <row r="8968" spans="1:24">
      <c r="A8968">
        <f>HYPERLINK("https://www.philgeps.gov.ph/GEPSNONPILOT/Tender/SplashBidNoticeAbstractUI.aspx?menuIndex=3&amp;refID=7178458&amp;Result=3","7178458")</f>
        <v>0</v>
      </c>
      <c r="B8968" t="s">
        <v>1566</v>
      </c>
      <c r="C8968" t="s">
        <v>5265</v>
      </c>
      <c r="E8968" t="s">
        <v>24934</v>
      </c>
      <c r="F8968" t="s">
        <v>29372</v>
      </c>
      <c r="G8968" t="s">
        <v>29380</v>
      </c>
      <c r="H8968" t="s">
        <v>11048</v>
      </c>
      <c r="I8968" t="s">
        <v>4709</v>
      </c>
      <c r="J8968" t="s">
        <v>30053</v>
      </c>
      <c r="K8968" t="s">
        <v>38490</v>
      </c>
      <c r="M8968" t="s">
        <v>40416</v>
      </c>
      <c r="N8968" t="s">
        <v>42669</v>
      </c>
      <c r="O8968" t="s">
        <v>42670</v>
      </c>
      <c r="P8968">
        <v>0</v>
      </c>
      <c r="Q8968">
        <v>0</v>
      </c>
      <c r="R8968" t="s">
        <v>42681</v>
      </c>
      <c r="S8968" t="s">
        <v>42966</v>
      </c>
      <c r="T8968" t="s">
        <v>44672</v>
      </c>
      <c r="U8968" t="s">
        <v>52153</v>
      </c>
      <c r="W8968" t="s">
        <v>40416</v>
      </c>
      <c r="X8968" t="s">
        <v>42682</v>
      </c>
    </row>
    <row r="8969" spans="1:24">
      <c r="A8969">
        <f>HYPERLINK("https://www.philgeps.gov.ph/GEPSNONPILOT/Tender/SplashBidNoticeAbstractUI.aspx?menuIndex=3&amp;refID=7178432&amp;Result=3","7178432")</f>
        <v>0</v>
      </c>
      <c r="B8969" t="s">
        <v>2720</v>
      </c>
      <c r="C8969" t="s">
        <v>12091</v>
      </c>
      <c r="E8969" t="s">
        <v>24935</v>
      </c>
      <c r="F8969" t="s">
        <v>29372</v>
      </c>
      <c r="G8969" t="s">
        <v>29380</v>
      </c>
      <c r="H8969" t="s">
        <v>11048</v>
      </c>
      <c r="I8969" t="s">
        <v>29428</v>
      </c>
      <c r="J8969" t="s">
        <v>31498</v>
      </c>
      <c r="K8969" t="s">
        <v>38496</v>
      </c>
      <c r="M8969" t="s">
        <v>41701</v>
      </c>
      <c r="N8969" t="s">
        <v>42669</v>
      </c>
      <c r="O8969" t="s">
        <v>42670</v>
      </c>
      <c r="P8969">
        <v>0</v>
      </c>
      <c r="Q8969">
        <v>2</v>
      </c>
      <c r="R8969" t="s">
        <v>42681</v>
      </c>
      <c r="S8969" t="s">
        <v>42966</v>
      </c>
      <c r="T8969" t="s">
        <v>44643</v>
      </c>
      <c r="U8969" t="s">
        <v>52154</v>
      </c>
      <c r="W8969" t="s">
        <v>41701</v>
      </c>
      <c r="X8969" t="s">
        <v>42682</v>
      </c>
    </row>
    <row r="8970" spans="1:24">
      <c r="A8970">
        <f>HYPERLINK("https://www.philgeps.gov.ph/GEPSNONPILOT/Tender/SplashBidNoticeAbstractUI.aspx?menuIndex=3&amp;refID=7178527&amp;Result=3","7178527")</f>
        <v>0</v>
      </c>
      <c r="B8970" t="s">
        <v>961</v>
      </c>
      <c r="C8970" t="s">
        <v>12092</v>
      </c>
      <c r="D8970" t="s">
        <v>17148</v>
      </c>
      <c r="E8970" t="s">
        <v>24936</v>
      </c>
      <c r="F8970" t="s">
        <v>29372</v>
      </c>
      <c r="G8970" t="s">
        <v>29380</v>
      </c>
      <c r="H8970" t="s">
        <v>29389</v>
      </c>
      <c r="I8970" t="s">
        <v>10408</v>
      </c>
      <c r="J8970" t="s">
        <v>35266</v>
      </c>
      <c r="K8970" t="s">
        <v>38604</v>
      </c>
      <c r="M8970" t="s">
        <v>39757</v>
      </c>
      <c r="N8970" t="s">
        <v>42669</v>
      </c>
      <c r="O8970" t="s">
        <v>42670</v>
      </c>
      <c r="P8970">
        <v>0</v>
      </c>
      <c r="Q8970">
        <v>20</v>
      </c>
      <c r="R8970" t="s">
        <v>42681</v>
      </c>
      <c r="S8970" t="s">
        <v>42966</v>
      </c>
      <c r="T8970" t="s">
        <v>44510</v>
      </c>
      <c r="U8970" t="s">
        <v>52155</v>
      </c>
      <c r="W8970" t="s">
        <v>39757</v>
      </c>
      <c r="X8970" t="s">
        <v>42682</v>
      </c>
    </row>
    <row r="8971" spans="1:24">
      <c r="A8971">
        <f>HYPERLINK("https://www.philgeps.gov.ph/GEPSNONPILOT/Tender/SplashBidNoticeAbstractUI.aspx?menuIndex=3&amp;refID=7178478&amp;Result=3","7178478")</f>
        <v>0</v>
      </c>
      <c r="B8971" t="s">
        <v>2707</v>
      </c>
      <c r="C8971" t="s">
        <v>12093</v>
      </c>
      <c r="D8971" t="s">
        <v>17212</v>
      </c>
      <c r="E8971" t="s">
        <v>24937</v>
      </c>
      <c r="F8971" t="s">
        <v>29372</v>
      </c>
      <c r="G8971" t="s">
        <v>29380</v>
      </c>
      <c r="H8971" t="s">
        <v>29389</v>
      </c>
      <c r="I8971" t="s">
        <v>10408</v>
      </c>
      <c r="J8971" t="s">
        <v>35267</v>
      </c>
      <c r="K8971" t="s">
        <v>38495</v>
      </c>
      <c r="M8971" t="s">
        <v>41687</v>
      </c>
      <c r="N8971" t="s">
        <v>42669</v>
      </c>
      <c r="O8971" t="s">
        <v>42670</v>
      </c>
      <c r="P8971">
        <v>0</v>
      </c>
      <c r="Q8971">
        <v>1</v>
      </c>
      <c r="R8971" t="s">
        <v>42681</v>
      </c>
      <c r="S8971" t="s">
        <v>42966</v>
      </c>
      <c r="T8971" t="s">
        <v>44452</v>
      </c>
      <c r="U8971" t="s">
        <v>52156</v>
      </c>
      <c r="W8971" t="s">
        <v>41687</v>
      </c>
      <c r="X8971" t="s">
        <v>42682</v>
      </c>
    </row>
    <row r="8972" spans="1:24">
      <c r="A8972">
        <f>HYPERLINK("https://www.philgeps.gov.ph/GEPSNONPILOT/Tender/SplashBidNoticeAbstractUI.aspx?menuIndex=3&amp;refID=7178348&amp;Result=3","7178348")</f>
        <v>0</v>
      </c>
      <c r="B8972" t="s">
        <v>2720</v>
      </c>
      <c r="C8972" t="s">
        <v>12094</v>
      </c>
      <c r="E8972" t="s">
        <v>24938</v>
      </c>
      <c r="F8972" t="s">
        <v>29372</v>
      </c>
      <c r="G8972" t="s">
        <v>29379</v>
      </c>
      <c r="H8972" t="s">
        <v>11048</v>
      </c>
      <c r="I8972" t="s">
        <v>29428</v>
      </c>
      <c r="J8972" t="s">
        <v>34166</v>
      </c>
      <c r="K8972" t="s">
        <v>38485</v>
      </c>
      <c r="M8972" t="s">
        <v>41701</v>
      </c>
      <c r="N8972" t="s">
        <v>42669</v>
      </c>
      <c r="O8972" t="s">
        <v>42670</v>
      </c>
      <c r="P8972">
        <v>0</v>
      </c>
      <c r="Q8972">
        <v>1</v>
      </c>
      <c r="R8972" t="s">
        <v>42681</v>
      </c>
      <c r="S8972" t="s">
        <v>42966</v>
      </c>
      <c r="T8972" t="s">
        <v>44643</v>
      </c>
      <c r="U8972" t="s">
        <v>52157</v>
      </c>
      <c r="W8972" t="s">
        <v>41701</v>
      </c>
      <c r="X8972" t="s">
        <v>42682</v>
      </c>
    </row>
    <row r="8973" spans="1:24">
      <c r="A8973">
        <f>HYPERLINK("https://www.philgeps.gov.ph/GEPSNONPILOT/Tender/SplashBidNoticeAbstractUI.aspx?menuIndex=3&amp;refID=7178446&amp;Result=3","7178446")</f>
        <v>0</v>
      </c>
      <c r="B8973" t="s">
        <v>1566</v>
      </c>
      <c r="C8973" t="s">
        <v>5265</v>
      </c>
      <c r="E8973" t="s">
        <v>24939</v>
      </c>
      <c r="F8973" t="s">
        <v>29372</v>
      </c>
      <c r="G8973" t="s">
        <v>29380</v>
      </c>
      <c r="H8973" t="s">
        <v>11048</v>
      </c>
      <c r="I8973" t="s">
        <v>4709</v>
      </c>
      <c r="J8973" t="s">
        <v>35268</v>
      </c>
      <c r="K8973" t="s">
        <v>38490</v>
      </c>
      <c r="M8973" t="s">
        <v>40416</v>
      </c>
      <c r="N8973" t="s">
        <v>42669</v>
      </c>
      <c r="O8973" t="s">
        <v>42670</v>
      </c>
      <c r="P8973">
        <v>0</v>
      </c>
      <c r="Q8973">
        <v>0</v>
      </c>
      <c r="R8973" t="s">
        <v>42681</v>
      </c>
      <c r="S8973" t="s">
        <v>42966</v>
      </c>
      <c r="T8973" t="s">
        <v>44672</v>
      </c>
      <c r="U8973" t="s">
        <v>52153</v>
      </c>
      <c r="W8973" t="s">
        <v>40416</v>
      </c>
      <c r="X8973" t="s">
        <v>42682</v>
      </c>
    </row>
    <row r="8974" spans="1:24">
      <c r="A8974">
        <f>HYPERLINK("https://www.philgeps.gov.ph/GEPSNONPILOT/Tender/SplashBidNoticeAbstractUI.aspx?menuIndex=3&amp;refID=7178674&amp;Result=3","7178674")</f>
        <v>0</v>
      </c>
      <c r="B8974" t="s">
        <v>2721</v>
      </c>
      <c r="C8974" t="s">
        <v>12095</v>
      </c>
      <c r="D8974" t="s">
        <v>17150</v>
      </c>
      <c r="E8974" t="s">
        <v>24940</v>
      </c>
      <c r="F8974" t="s">
        <v>29372</v>
      </c>
      <c r="G8974" t="s">
        <v>29380</v>
      </c>
      <c r="H8974" t="s">
        <v>11048</v>
      </c>
      <c r="I8974" t="s">
        <v>8614</v>
      </c>
      <c r="J8974" t="s">
        <v>35269</v>
      </c>
      <c r="K8974" t="s">
        <v>38487</v>
      </c>
      <c r="M8974" t="s">
        <v>41702</v>
      </c>
      <c r="N8974" t="s">
        <v>42669</v>
      </c>
      <c r="O8974" t="s">
        <v>42670</v>
      </c>
      <c r="P8974">
        <v>0</v>
      </c>
      <c r="Q8974">
        <v>1</v>
      </c>
      <c r="R8974" t="s">
        <v>42681</v>
      </c>
      <c r="S8974" t="s">
        <v>42966</v>
      </c>
      <c r="T8974" t="s">
        <v>44517</v>
      </c>
      <c r="U8974" t="s">
        <v>52158</v>
      </c>
      <c r="V8974" t="s">
        <v>57364</v>
      </c>
      <c r="W8974" t="s">
        <v>41702</v>
      </c>
      <c r="X8974" t="s">
        <v>42682</v>
      </c>
    </row>
    <row r="8975" spans="1:24">
      <c r="A8975">
        <f>HYPERLINK("https://www.philgeps.gov.ph/GEPSNONPILOT/Tender/SplashBidNoticeAbstractUI.aspx?menuIndex=3&amp;refID=7178598&amp;Result=3","7178598")</f>
        <v>0</v>
      </c>
      <c r="B8975" t="s">
        <v>2711</v>
      </c>
      <c r="C8975" t="s">
        <v>12096</v>
      </c>
      <c r="D8975" t="s">
        <v>17141</v>
      </c>
      <c r="E8975" t="s">
        <v>24941</v>
      </c>
      <c r="F8975" t="s">
        <v>29372</v>
      </c>
      <c r="G8975" t="s">
        <v>29380</v>
      </c>
      <c r="H8975" t="s">
        <v>11048</v>
      </c>
      <c r="I8975" t="s">
        <v>4486</v>
      </c>
      <c r="J8975" t="s">
        <v>35270</v>
      </c>
      <c r="K8975" t="s">
        <v>38538</v>
      </c>
      <c r="M8975" t="s">
        <v>41691</v>
      </c>
      <c r="N8975" t="s">
        <v>42669</v>
      </c>
      <c r="O8975" t="s">
        <v>42670</v>
      </c>
      <c r="P8975">
        <v>0</v>
      </c>
      <c r="Q8975">
        <v>5</v>
      </c>
      <c r="R8975" t="s">
        <v>42681</v>
      </c>
      <c r="S8975" t="s">
        <v>42966</v>
      </c>
      <c r="T8975" t="s">
        <v>44470</v>
      </c>
      <c r="U8975" t="s">
        <v>52159</v>
      </c>
      <c r="W8975" t="s">
        <v>41691</v>
      </c>
      <c r="X8975" t="s">
        <v>42682</v>
      </c>
    </row>
    <row r="8976" spans="1:24">
      <c r="A8976">
        <f>HYPERLINK("https://www.philgeps.gov.ph/GEPSNONPILOT/Tender/SplashBidNoticeAbstractUI.aspx?menuIndex=3&amp;refID=7178660&amp;Result=3","7178660")</f>
        <v>0</v>
      </c>
      <c r="B8976" t="s">
        <v>278</v>
      </c>
      <c r="C8976" t="s">
        <v>12097</v>
      </c>
      <c r="D8976" t="s">
        <v>17206</v>
      </c>
      <c r="E8976" t="s">
        <v>12097</v>
      </c>
      <c r="F8976" t="s">
        <v>29372</v>
      </c>
      <c r="G8976" t="s">
        <v>29383</v>
      </c>
      <c r="H8976" t="s">
        <v>11048</v>
      </c>
      <c r="I8976" t="s">
        <v>4709</v>
      </c>
      <c r="J8976" t="s">
        <v>35271</v>
      </c>
      <c r="K8976" t="s">
        <v>38485</v>
      </c>
      <c r="M8976" t="s">
        <v>41706</v>
      </c>
      <c r="N8976" t="s">
        <v>42669</v>
      </c>
      <c r="O8976" t="s">
        <v>42670</v>
      </c>
      <c r="P8976">
        <v>0</v>
      </c>
      <c r="Q8976">
        <v>1</v>
      </c>
      <c r="R8976" t="s">
        <v>42681</v>
      </c>
      <c r="S8976" t="s">
        <v>42966</v>
      </c>
      <c r="T8976" t="s">
        <v>44631</v>
      </c>
      <c r="U8976" t="s">
        <v>52160</v>
      </c>
      <c r="W8976" t="s">
        <v>41706</v>
      </c>
      <c r="X8976" t="s">
        <v>42682</v>
      </c>
    </row>
    <row r="8977" spans="1:24">
      <c r="A8977">
        <f>HYPERLINK("https://www.philgeps.gov.ph/GEPSNONPILOT/Tender/SplashBidNoticeAbstractUI.aspx?menuIndex=3&amp;refID=7178168&amp;Result=3","7178168")</f>
        <v>0</v>
      </c>
      <c r="B8977" t="s">
        <v>1548</v>
      </c>
      <c r="C8977" t="s">
        <v>12098</v>
      </c>
      <c r="D8977" t="s">
        <v>17206</v>
      </c>
      <c r="E8977" t="s">
        <v>24942</v>
      </c>
      <c r="F8977" t="s">
        <v>29372</v>
      </c>
      <c r="G8977" t="s">
        <v>29380</v>
      </c>
      <c r="H8977" t="s">
        <v>11048</v>
      </c>
      <c r="I8977" t="s">
        <v>3629</v>
      </c>
      <c r="J8977" t="s">
        <v>35272</v>
      </c>
      <c r="K8977" t="s">
        <v>38488</v>
      </c>
      <c r="M8977" t="s">
        <v>40398</v>
      </c>
      <c r="N8977" t="s">
        <v>42669</v>
      </c>
      <c r="O8977" t="s">
        <v>42670</v>
      </c>
      <c r="P8977">
        <v>0</v>
      </c>
      <c r="Q8977">
        <v>1</v>
      </c>
      <c r="R8977" t="s">
        <v>42681</v>
      </c>
      <c r="S8977" t="s">
        <v>42966</v>
      </c>
      <c r="T8977" t="s">
        <v>44442</v>
      </c>
      <c r="U8977" t="s">
        <v>52161</v>
      </c>
      <c r="V8977" t="s">
        <v>57359</v>
      </c>
      <c r="W8977" t="s">
        <v>40398</v>
      </c>
      <c r="X8977" t="s">
        <v>42682</v>
      </c>
    </row>
    <row r="8978" spans="1:24">
      <c r="A8978">
        <f>HYPERLINK("https://www.philgeps.gov.ph/GEPSNONPILOT/Tender/SplashBidNoticeAbstractUI.aspx?menuIndex=3&amp;refID=7178658&amp;Result=3","7178658")</f>
        <v>0</v>
      </c>
      <c r="B8978" t="s">
        <v>1617</v>
      </c>
      <c r="C8978" t="s">
        <v>12099</v>
      </c>
      <c r="D8978" t="s">
        <v>17163</v>
      </c>
      <c r="E8978" t="s">
        <v>24943</v>
      </c>
      <c r="F8978" t="s">
        <v>29372</v>
      </c>
      <c r="G8978" t="s">
        <v>29380</v>
      </c>
      <c r="H8978" t="s">
        <v>29389</v>
      </c>
      <c r="I8978" t="s">
        <v>10408</v>
      </c>
      <c r="J8978" t="s">
        <v>35273</v>
      </c>
      <c r="K8978" t="s">
        <v>38522</v>
      </c>
      <c r="M8978" t="s">
        <v>40470</v>
      </c>
      <c r="N8978" t="s">
        <v>42669</v>
      </c>
      <c r="O8978" t="s">
        <v>42670</v>
      </c>
      <c r="P8978">
        <v>0</v>
      </c>
      <c r="Q8978">
        <v>2</v>
      </c>
      <c r="R8978" t="s">
        <v>42681</v>
      </c>
      <c r="S8978" t="s">
        <v>42966</v>
      </c>
      <c r="T8978" t="s">
        <v>44619</v>
      </c>
      <c r="U8978" t="s">
        <v>52162</v>
      </c>
      <c r="W8978" t="s">
        <v>40470</v>
      </c>
      <c r="X8978" t="s">
        <v>42682</v>
      </c>
    </row>
    <row r="8979" spans="1:24">
      <c r="A8979">
        <f>HYPERLINK("https://www.philgeps.gov.ph/GEPSNONPILOT/Tender/SplashBidNoticeAbstractUI.aspx?menuIndex=3&amp;refID=7178665&amp;Result=3","7178665")</f>
        <v>0</v>
      </c>
      <c r="B8979" t="s">
        <v>2693</v>
      </c>
      <c r="C8979" t="s">
        <v>12100</v>
      </c>
      <c r="D8979" t="s">
        <v>17200</v>
      </c>
      <c r="E8979" t="s">
        <v>24850</v>
      </c>
      <c r="F8979" t="s">
        <v>29372</v>
      </c>
      <c r="G8979" t="s">
        <v>29380</v>
      </c>
      <c r="H8979" t="s">
        <v>11048</v>
      </c>
      <c r="I8979" t="s">
        <v>3695</v>
      </c>
      <c r="J8979" t="s">
        <v>35274</v>
      </c>
      <c r="K8979" t="s">
        <v>38485</v>
      </c>
      <c r="M8979" t="s">
        <v>41673</v>
      </c>
      <c r="N8979" t="s">
        <v>42669</v>
      </c>
      <c r="O8979" t="s">
        <v>42670</v>
      </c>
      <c r="P8979">
        <v>0</v>
      </c>
      <c r="Q8979">
        <v>6</v>
      </c>
      <c r="R8979" t="s">
        <v>42681</v>
      </c>
      <c r="S8979" t="s">
        <v>42966</v>
      </c>
      <c r="T8979" t="s">
        <v>44355</v>
      </c>
      <c r="U8979" t="s">
        <v>52042</v>
      </c>
      <c r="W8979" t="s">
        <v>41673</v>
      </c>
      <c r="X8979" t="s">
        <v>42682</v>
      </c>
    </row>
    <row r="8980" spans="1:24">
      <c r="A8980">
        <f>HYPERLINK("https://www.philgeps.gov.ph/GEPSNONPILOT/Tender/SplashBidNoticeAbstractUI.aspx?menuIndex=3&amp;refID=7178618&amp;Result=3","7178618")</f>
        <v>0</v>
      </c>
      <c r="B8980" t="s">
        <v>2724</v>
      </c>
      <c r="C8980" t="s">
        <v>12101</v>
      </c>
      <c r="D8980" t="s">
        <v>17177</v>
      </c>
      <c r="E8980" t="s">
        <v>24944</v>
      </c>
      <c r="F8980" t="s">
        <v>29372</v>
      </c>
      <c r="G8980" t="s">
        <v>29380</v>
      </c>
      <c r="H8980" t="s">
        <v>11048</v>
      </c>
      <c r="I8980" t="s">
        <v>4487</v>
      </c>
      <c r="J8980" t="s">
        <v>35275</v>
      </c>
      <c r="K8980" t="s">
        <v>38491</v>
      </c>
      <c r="M8980" t="s">
        <v>41707</v>
      </c>
      <c r="N8980" t="s">
        <v>42669</v>
      </c>
      <c r="O8980" t="s">
        <v>42670</v>
      </c>
      <c r="P8980">
        <v>0</v>
      </c>
      <c r="Q8980">
        <v>8</v>
      </c>
      <c r="R8980" t="s">
        <v>42681</v>
      </c>
      <c r="S8980" t="s">
        <v>42966</v>
      </c>
      <c r="T8980" t="s">
        <v>44453</v>
      </c>
      <c r="U8980" t="s">
        <v>52163</v>
      </c>
      <c r="V8980" t="s">
        <v>57366</v>
      </c>
      <c r="W8980" t="s">
        <v>41707</v>
      </c>
      <c r="X8980" t="s">
        <v>42682</v>
      </c>
    </row>
    <row r="8981" spans="1:24">
      <c r="A8981">
        <f>HYPERLINK("https://www.philgeps.gov.ph/GEPSNONPILOT/Tender/SplashBidNoticeAbstractUI.aspx?menuIndex=3&amp;refID=7178659&amp;Result=3","7178659")</f>
        <v>0</v>
      </c>
      <c r="B8981" t="s">
        <v>2720</v>
      </c>
      <c r="C8981" t="s">
        <v>12102</v>
      </c>
      <c r="E8981" t="s">
        <v>24945</v>
      </c>
      <c r="F8981" t="s">
        <v>29372</v>
      </c>
      <c r="G8981" t="s">
        <v>29380</v>
      </c>
      <c r="H8981" t="s">
        <v>11048</v>
      </c>
      <c r="I8981" t="s">
        <v>29428</v>
      </c>
      <c r="J8981" t="s">
        <v>35276</v>
      </c>
      <c r="K8981" t="s">
        <v>38496</v>
      </c>
      <c r="M8981" t="s">
        <v>41701</v>
      </c>
      <c r="N8981" t="s">
        <v>42669</v>
      </c>
      <c r="O8981" t="s">
        <v>42670</v>
      </c>
      <c r="P8981">
        <v>0</v>
      </c>
      <c r="Q8981">
        <v>2</v>
      </c>
      <c r="R8981" t="s">
        <v>42681</v>
      </c>
      <c r="S8981" t="s">
        <v>42966</v>
      </c>
      <c r="T8981" t="s">
        <v>44643</v>
      </c>
      <c r="U8981" t="s">
        <v>52164</v>
      </c>
      <c r="W8981" t="s">
        <v>41701</v>
      </c>
      <c r="X8981" t="s">
        <v>42682</v>
      </c>
    </row>
    <row r="8982" spans="1:24">
      <c r="A8982">
        <f>HYPERLINK("https://www.philgeps.gov.ph/GEPSNONPILOT/Tender/SplashBidNoticeAbstractUI.aspx?menuIndex=3&amp;refID=7178646&amp;Result=3","7178646")</f>
        <v>0</v>
      </c>
      <c r="B8982" t="s">
        <v>2725</v>
      </c>
      <c r="C8982" t="s">
        <v>12103</v>
      </c>
      <c r="D8982" t="s">
        <v>17197</v>
      </c>
      <c r="E8982" t="s">
        <v>21552</v>
      </c>
      <c r="F8982" t="s">
        <v>29372</v>
      </c>
      <c r="G8982" t="s">
        <v>29380</v>
      </c>
      <c r="H8982" t="s">
        <v>11048</v>
      </c>
      <c r="I8982" t="s">
        <v>9469</v>
      </c>
      <c r="J8982" t="s">
        <v>35277</v>
      </c>
      <c r="K8982" t="s">
        <v>38496</v>
      </c>
      <c r="M8982" t="s">
        <v>41708</v>
      </c>
      <c r="N8982" t="s">
        <v>42669</v>
      </c>
      <c r="O8982" t="s">
        <v>42670</v>
      </c>
      <c r="P8982">
        <v>0</v>
      </c>
      <c r="Q8982">
        <v>4</v>
      </c>
      <c r="R8982" t="s">
        <v>42681</v>
      </c>
      <c r="S8982" t="s">
        <v>42966</v>
      </c>
      <c r="T8982" t="s">
        <v>44437</v>
      </c>
      <c r="U8982" t="s">
        <v>52165</v>
      </c>
      <c r="V8982" t="s">
        <v>57367</v>
      </c>
      <c r="W8982" t="s">
        <v>41708</v>
      </c>
      <c r="X8982" t="s">
        <v>42682</v>
      </c>
    </row>
    <row r="8983" spans="1:24">
      <c r="A8983">
        <f>HYPERLINK("https://www.philgeps.gov.ph/GEPSNONPILOT/Tender/SplashBidNoticeAbstractUI.aspx?menuIndex=3&amp;refID=7178600&amp;Result=3","7178600")</f>
        <v>0</v>
      </c>
      <c r="B8983" t="s">
        <v>2693</v>
      </c>
      <c r="C8983" t="s">
        <v>12104</v>
      </c>
      <c r="D8983" t="s">
        <v>17200</v>
      </c>
      <c r="E8983" t="s">
        <v>24850</v>
      </c>
      <c r="F8983" t="s">
        <v>29372</v>
      </c>
      <c r="G8983" t="s">
        <v>29380</v>
      </c>
      <c r="H8983" t="s">
        <v>11048</v>
      </c>
      <c r="I8983" t="s">
        <v>3695</v>
      </c>
      <c r="J8983" t="s">
        <v>35278</v>
      </c>
      <c r="K8983" t="s">
        <v>38485</v>
      </c>
      <c r="M8983" t="s">
        <v>41673</v>
      </c>
      <c r="N8983" t="s">
        <v>42669</v>
      </c>
      <c r="O8983" t="s">
        <v>42670</v>
      </c>
      <c r="P8983">
        <v>0</v>
      </c>
      <c r="Q8983">
        <v>7</v>
      </c>
      <c r="R8983" t="s">
        <v>42681</v>
      </c>
      <c r="S8983" t="s">
        <v>42966</v>
      </c>
      <c r="T8983" t="s">
        <v>44355</v>
      </c>
      <c r="U8983" t="s">
        <v>52042</v>
      </c>
      <c r="W8983" t="s">
        <v>41673</v>
      </c>
      <c r="X8983" t="s">
        <v>42682</v>
      </c>
    </row>
    <row r="8984" spans="1:24">
      <c r="A8984">
        <f>HYPERLINK("https://www.philgeps.gov.ph/GEPSNONPILOT/Tender/SplashBidNoticeAbstractUI.aspx?menuIndex=3&amp;refID=7178701&amp;Result=3","7178701")</f>
        <v>0</v>
      </c>
      <c r="B8984" t="s">
        <v>2726</v>
      </c>
      <c r="C8984" t="s">
        <v>12105</v>
      </c>
      <c r="D8984" t="s">
        <v>17144</v>
      </c>
      <c r="E8984" t="s">
        <v>24946</v>
      </c>
      <c r="F8984" t="s">
        <v>29372</v>
      </c>
      <c r="G8984" t="s">
        <v>29380</v>
      </c>
      <c r="H8984" t="s">
        <v>29389</v>
      </c>
      <c r="I8984" t="s">
        <v>10408</v>
      </c>
      <c r="J8984" t="s">
        <v>35279</v>
      </c>
      <c r="K8984" t="s">
        <v>38495</v>
      </c>
      <c r="M8984" t="s">
        <v>41709</v>
      </c>
      <c r="N8984" t="s">
        <v>42669</v>
      </c>
      <c r="O8984" t="s">
        <v>42670</v>
      </c>
      <c r="P8984">
        <v>0</v>
      </c>
      <c r="Q8984">
        <v>0</v>
      </c>
      <c r="R8984" t="s">
        <v>42681</v>
      </c>
      <c r="S8984" t="s">
        <v>42966</v>
      </c>
      <c r="T8984" t="s">
        <v>44450</v>
      </c>
      <c r="U8984" t="s">
        <v>52166</v>
      </c>
      <c r="W8984" t="s">
        <v>41709</v>
      </c>
      <c r="X8984" t="s">
        <v>42682</v>
      </c>
    </row>
    <row r="8985" spans="1:24">
      <c r="A8985">
        <f>HYPERLINK("https://www.philgeps.gov.ph/GEPSNONPILOT/Tender/SplashBidNoticeAbstractUI.aspx?menuIndex=3&amp;refID=7178623&amp;Result=3","7178623")</f>
        <v>0</v>
      </c>
      <c r="B8985" t="s">
        <v>451</v>
      </c>
      <c r="C8985" t="s">
        <v>12106</v>
      </c>
      <c r="E8985" t="s">
        <v>24947</v>
      </c>
      <c r="F8985" t="s">
        <v>29372</v>
      </c>
      <c r="G8985" t="s">
        <v>29380</v>
      </c>
      <c r="H8985" t="s">
        <v>11048</v>
      </c>
      <c r="I8985" t="s">
        <v>29399</v>
      </c>
      <c r="J8985" t="s">
        <v>35280</v>
      </c>
      <c r="K8985" t="s">
        <v>38487</v>
      </c>
      <c r="M8985" t="s">
        <v>39215</v>
      </c>
      <c r="N8985" t="s">
        <v>42669</v>
      </c>
      <c r="O8985" t="s">
        <v>42670</v>
      </c>
      <c r="P8985">
        <v>0</v>
      </c>
      <c r="Q8985">
        <v>13</v>
      </c>
      <c r="R8985" t="s">
        <v>42681</v>
      </c>
      <c r="S8985" t="s">
        <v>42966</v>
      </c>
      <c r="T8985" t="s">
        <v>44482</v>
      </c>
      <c r="U8985" t="s">
        <v>51162</v>
      </c>
      <c r="W8985" t="s">
        <v>39215</v>
      </c>
      <c r="X8985" t="s">
        <v>42682</v>
      </c>
    </row>
    <row r="8986" spans="1:24">
      <c r="A8986">
        <f>HYPERLINK("https://www.philgeps.gov.ph/GEPSNONPILOT/Tender/SplashBidNoticeAbstractUI.aspx?menuIndex=3&amp;refID=7178607&amp;Result=3","7178607")</f>
        <v>0</v>
      </c>
      <c r="B8986" t="s">
        <v>2727</v>
      </c>
      <c r="C8986" t="s">
        <v>12107</v>
      </c>
      <c r="D8986" t="s">
        <v>17197</v>
      </c>
      <c r="E8986" t="s">
        <v>24948</v>
      </c>
      <c r="F8986" t="s">
        <v>29372</v>
      </c>
      <c r="G8986" t="s">
        <v>29380</v>
      </c>
      <c r="H8986" t="s">
        <v>11048</v>
      </c>
      <c r="I8986" t="s">
        <v>4709</v>
      </c>
      <c r="J8986" t="s">
        <v>35281</v>
      </c>
      <c r="K8986" t="s">
        <v>38488</v>
      </c>
      <c r="M8986" t="s">
        <v>41710</v>
      </c>
      <c r="N8986" t="s">
        <v>42669</v>
      </c>
      <c r="O8986" t="s">
        <v>42670</v>
      </c>
      <c r="P8986">
        <v>0</v>
      </c>
      <c r="Q8986">
        <v>0</v>
      </c>
      <c r="R8986" t="s">
        <v>42681</v>
      </c>
      <c r="S8986" t="s">
        <v>42966</v>
      </c>
      <c r="T8986" t="s">
        <v>44551</v>
      </c>
      <c r="U8986" t="s">
        <v>52167</v>
      </c>
      <c r="W8986" t="s">
        <v>41710</v>
      </c>
      <c r="X8986" t="s">
        <v>42682</v>
      </c>
    </row>
    <row r="8987" spans="1:24">
      <c r="A8987">
        <f>HYPERLINK("https://www.philgeps.gov.ph/GEPSNONPILOT/Tender/SplashBidNoticeAbstractUI.aspx?menuIndex=3&amp;refID=7178712&amp;Result=3","7178712")</f>
        <v>0</v>
      </c>
      <c r="B8987" t="s">
        <v>2693</v>
      </c>
      <c r="C8987" t="s">
        <v>4196</v>
      </c>
      <c r="D8987" t="s">
        <v>17200</v>
      </c>
      <c r="E8987" t="s">
        <v>24850</v>
      </c>
      <c r="F8987" t="s">
        <v>29372</v>
      </c>
      <c r="G8987" t="s">
        <v>29380</v>
      </c>
      <c r="H8987" t="s">
        <v>11048</v>
      </c>
      <c r="I8987" t="s">
        <v>29407</v>
      </c>
      <c r="J8987" t="s">
        <v>35282</v>
      </c>
      <c r="K8987" t="s">
        <v>38485</v>
      </c>
      <c r="M8987" t="s">
        <v>41673</v>
      </c>
      <c r="N8987" t="s">
        <v>42669</v>
      </c>
      <c r="O8987" t="s">
        <v>42670</v>
      </c>
      <c r="P8987">
        <v>0</v>
      </c>
      <c r="Q8987">
        <v>30</v>
      </c>
      <c r="R8987" t="s">
        <v>42681</v>
      </c>
      <c r="S8987" t="s">
        <v>42966</v>
      </c>
      <c r="T8987" t="s">
        <v>44355</v>
      </c>
      <c r="U8987" t="s">
        <v>52042</v>
      </c>
      <c r="W8987" t="s">
        <v>41673</v>
      </c>
      <c r="X8987" t="s">
        <v>42682</v>
      </c>
    </row>
    <row r="8988" spans="1:24">
      <c r="A8988">
        <f>HYPERLINK("https://www.philgeps.gov.ph/GEPSNONPILOT/Tender/SplashBidNoticeAbstractUI.aspx?menuIndex=3&amp;refID=7178677&amp;Result=3","7178677")</f>
        <v>0</v>
      </c>
      <c r="B8988" t="s">
        <v>1617</v>
      </c>
      <c r="C8988" t="s">
        <v>12108</v>
      </c>
      <c r="D8988" t="s">
        <v>17163</v>
      </c>
      <c r="E8988" t="s">
        <v>24943</v>
      </c>
      <c r="F8988" t="s">
        <v>29372</v>
      </c>
      <c r="G8988" t="s">
        <v>29380</v>
      </c>
      <c r="H8988" t="s">
        <v>29389</v>
      </c>
      <c r="I8988" t="s">
        <v>10408</v>
      </c>
      <c r="J8988" t="s">
        <v>35283</v>
      </c>
      <c r="K8988" t="s">
        <v>38564</v>
      </c>
      <c r="M8988" t="s">
        <v>40470</v>
      </c>
      <c r="N8988" t="s">
        <v>42669</v>
      </c>
      <c r="O8988" t="s">
        <v>42670</v>
      </c>
      <c r="P8988">
        <v>0</v>
      </c>
      <c r="Q8988">
        <v>3</v>
      </c>
      <c r="R8988" t="s">
        <v>42681</v>
      </c>
      <c r="S8988" t="s">
        <v>42966</v>
      </c>
      <c r="T8988" t="s">
        <v>44619</v>
      </c>
      <c r="U8988" t="s">
        <v>52162</v>
      </c>
      <c r="W8988" t="s">
        <v>40470</v>
      </c>
      <c r="X8988" t="s">
        <v>42682</v>
      </c>
    </row>
    <row r="8989" spans="1:24">
      <c r="A8989">
        <f>HYPERLINK("https://www.philgeps.gov.ph/GEPSNONPILOT/Tender/SplashBidNoticeAbstractUI.aspx?menuIndex=3&amp;refID=7178726&amp;Result=3","7178726")</f>
        <v>0</v>
      </c>
      <c r="B8989" t="s">
        <v>2728</v>
      </c>
      <c r="C8989" t="s">
        <v>12109</v>
      </c>
      <c r="D8989" t="s">
        <v>17191</v>
      </c>
      <c r="E8989" t="s">
        <v>24949</v>
      </c>
      <c r="F8989" t="s">
        <v>29372</v>
      </c>
      <c r="G8989" t="s">
        <v>29380</v>
      </c>
      <c r="H8989" t="s">
        <v>29389</v>
      </c>
      <c r="I8989" t="s">
        <v>10408</v>
      </c>
      <c r="J8989" t="s">
        <v>29587</v>
      </c>
      <c r="K8989" t="s">
        <v>38487</v>
      </c>
      <c r="M8989" t="s">
        <v>41711</v>
      </c>
      <c r="N8989" t="s">
        <v>42669</v>
      </c>
      <c r="O8989" t="s">
        <v>42670</v>
      </c>
      <c r="P8989">
        <v>0</v>
      </c>
      <c r="Q8989">
        <v>1</v>
      </c>
      <c r="R8989" t="s">
        <v>42681</v>
      </c>
      <c r="S8989" t="s">
        <v>42966</v>
      </c>
      <c r="T8989" t="s">
        <v>44527</v>
      </c>
      <c r="U8989" t="s">
        <v>52168</v>
      </c>
      <c r="W8989" t="s">
        <v>41711</v>
      </c>
      <c r="X8989" t="s">
        <v>42682</v>
      </c>
    </row>
    <row r="8990" spans="1:24">
      <c r="A8990">
        <f>HYPERLINK("https://www.philgeps.gov.ph/GEPSNONPILOT/Tender/SplashBidNoticeAbstractUI.aspx?menuIndex=3&amp;refID=7178713&amp;Result=3","7178713")</f>
        <v>0</v>
      </c>
      <c r="B8990" t="s">
        <v>2729</v>
      </c>
      <c r="C8990" t="s">
        <v>12110</v>
      </c>
      <c r="D8990" t="s">
        <v>17168</v>
      </c>
      <c r="E8990" t="s">
        <v>20938</v>
      </c>
      <c r="F8990" t="s">
        <v>29372</v>
      </c>
      <c r="G8990" t="s">
        <v>29380</v>
      </c>
      <c r="H8990" t="s">
        <v>29389</v>
      </c>
      <c r="I8990" t="s">
        <v>29402</v>
      </c>
      <c r="J8990" t="s">
        <v>35284</v>
      </c>
      <c r="K8990" t="s">
        <v>38533</v>
      </c>
      <c r="M8990" t="s">
        <v>41712</v>
      </c>
      <c r="N8990" t="s">
        <v>42669</v>
      </c>
      <c r="O8990" t="s">
        <v>42670</v>
      </c>
      <c r="P8990">
        <v>0</v>
      </c>
      <c r="Q8990">
        <v>7</v>
      </c>
      <c r="R8990" t="s">
        <v>42681</v>
      </c>
      <c r="S8990" t="s">
        <v>42966</v>
      </c>
      <c r="T8990" t="s">
        <v>44474</v>
      </c>
      <c r="U8990" t="s">
        <v>52169</v>
      </c>
      <c r="W8990" t="s">
        <v>41712</v>
      </c>
      <c r="X8990" t="s">
        <v>42682</v>
      </c>
    </row>
    <row r="8991" spans="1:24">
      <c r="A8991">
        <f>HYPERLINK("https://www.philgeps.gov.ph/GEPSNONPILOT/Tender/SplashBidNoticeAbstractUI.aspx?menuIndex=3&amp;refID=7178770&amp;Result=3","7178770")</f>
        <v>0</v>
      </c>
      <c r="B8991" t="s">
        <v>2693</v>
      </c>
      <c r="C8991" t="s">
        <v>12111</v>
      </c>
      <c r="D8991" t="s">
        <v>17200</v>
      </c>
      <c r="E8991" t="s">
        <v>24850</v>
      </c>
      <c r="F8991" t="s">
        <v>29372</v>
      </c>
      <c r="G8991" t="s">
        <v>29380</v>
      </c>
      <c r="H8991" t="s">
        <v>11048</v>
      </c>
      <c r="I8991" t="s">
        <v>29433</v>
      </c>
      <c r="J8991" t="s">
        <v>35285</v>
      </c>
      <c r="K8991" t="s">
        <v>38485</v>
      </c>
      <c r="M8991" t="s">
        <v>41673</v>
      </c>
      <c r="N8991" t="s">
        <v>42669</v>
      </c>
      <c r="O8991" t="s">
        <v>42670</v>
      </c>
      <c r="P8991">
        <v>0</v>
      </c>
      <c r="Q8991">
        <v>23</v>
      </c>
      <c r="R8991" t="s">
        <v>42681</v>
      </c>
      <c r="S8991" t="s">
        <v>42966</v>
      </c>
      <c r="T8991" t="s">
        <v>44355</v>
      </c>
      <c r="U8991" t="s">
        <v>52042</v>
      </c>
      <c r="W8991" t="s">
        <v>41673</v>
      </c>
      <c r="X8991" t="s">
        <v>42682</v>
      </c>
    </row>
    <row r="8992" spans="1:24">
      <c r="A8992">
        <f>HYPERLINK("https://www.philgeps.gov.ph/GEPSNONPILOT/Tender/SplashBidNoticeAbstractUI.aspx?menuIndex=3&amp;refID=7178768&amp;Result=3","7178768")</f>
        <v>0</v>
      </c>
      <c r="B8992" t="s">
        <v>2730</v>
      </c>
      <c r="C8992" t="s">
        <v>12112</v>
      </c>
      <c r="D8992" t="s">
        <v>17191</v>
      </c>
      <c r="E8992" t="s">
        <v>24950</v>
      </c>
      <c r="F8992" t="s">
        <v>29372</v>
      </c>
      <c r="G8992" t="s">
        <v>29380</v>
      </c>
      <c r="H8992" t="s">
        <v>29389</v>
      </c>
      <c r="I8992" t="s">
        <v>10408</v>
      </c>
      <c r="J8992" t="s">
        <v>30837</v>
      </c>
      <c r="K8992" t="s">
        <v>38487</v>
      </c>
      <c r="M8992" t="s">
        <v>41713</v>
      </c>
      <c r="N8992" t="s">
        <v>42669</v>
      </c>
      <c r="O8992" t="s">
        <v>42670</v>
      </c>
      <c r="P8992">
        <v>0</v>
      </c>
      <c r="Q8992">
        <v>0</v>
      </c>
      <c r="R8992" t="s">
        <v>42681</v>
      </c>
      <c r="S8992" t="s">
        <v>42966</v>
      </c>
      <c r="T8992" t="s">
        <v>44527</v>
      </c>
      <c r="U8992" t="s">
        <v>52170</v>
      </c>
      <c r="W8992" t="s">
        <v>41713</v>
      </c>
      <c r="X8992" t="s">
        <v>42682</v>
      </c>
    </row>
    <row r="8993" spans="1:24">
      <c r="A8993">
        <f>HYPERLINK("https://www.philgeps.gov.ph/GEPSNONPILOT/Tender/SplashBidNoticeAbstractUI.aspx?menuIndex=3&amp;refID=7178873&amp;Result=3","7178873")</f>
        <v>0</v>
      </c>
      <c r="B8993" t="s">
        <v>951</v>
      </c>
      <c r="C8993" t="s">
        <v>12113</v>
      </c>
      <c r="D8993" t="s">
        <v>17166</v>
      </c>
      <c r="E8993" t="s">
        <v>24951</v>
      </c>
      <c r="F8993" t="s">
        <v>29372</v>
      </c>
      <c r="G8993" t="s">
        <v>29380</v>
      </c>
      <c r="H8993" t="s">
        <v>11048</v>
      </c>
      <c r="I8993" t="s">
        <v>29488</v>
      </c>
      <c r="J8993" t="s">
        <v>30113</v>
      </c>
      <c r="K8993" t="s">
        <v>38490</v>
      </c>
      <c r="M8993" t="s">
        <v>39747</v>
      </c>
      <c r="N8993" t="s">
        <v>42669</v>
      </c>
      <c r="O8993" t="s">
        <v>42670</v>
      </c>
      <c r="P8993">
        <v>0</v>
      </c>
      <c r="Q8993">
        <v>0</v>
      </c>
      <c r="R8993" t="s">
        <v>42681</v>
      </c>
      <c r="S8993" t="s">
        <v>42966</v>
      </c>
      <c r="T8993" t="s">
        <v>44401</v>
      </c>
      <c r="U8993" t="s">
        <v>52171</v>
      </c>
      <c r="W8993" t="s">
        <v>39747</v>
      </c>
      <c r="X8993" t="s">
        <v>42682</v>
      </c>
    </row>
    <row r="8994" spans="1:24">
      <c r="A8994">
        <f>HYPERLINK("https://www.philgeps.gov.ph/GEPSNONPILOT/Tender/SplashBidNoticeAbstractUI.aspx?menuIndex=3&amp;refID=7178774&amp;Result=3","7178774")</f>
        <v>0</v>
      </c>
      <c r="B8994" t="s">
        <v>941</v>
      </c>
      <c r="C8994" t="s">
        <v>12114</v>
      </c>
      <c r="E8994" t="s">
        <v>20958</v>
      </c>
      <c r="F8994" t="s">
        <v>29372</v>
      </c>
      <c r="G8994" t="s">
        <v>29380</v>
      </c>
      <c r="H8994" t="s">
        <v>29389</v>
      </c>
      <c r="I8994" t="s">
        <v>10408</v>
      </c>
      <c r="J8994" t="s">
        <v>31429</v>
      </c>
      <c r="K8994" t="s">
        <v>38522</v>
      </c>
      <c r="M8994" t="s">
        <v>39736</v>
      </c>
      <c r="N8994" t="s">
        <v>42669</v>
      </c>
      <c r="O8994" t="s">
        <v>42670</v>
      </c>
      <c r="P8994">
        <v>0</v>
      </c>
      <c r="Q8994">
        <v>1</v>
      </c>
      <c r="R8994" t="s">
        <v>42681</v>
      </c>
      <c r="S8994" t="s">
        <v>42966</v>
      </c>
      <c r="T8994" t="s">
        <v>44503</v>
      </c>
      <c r="U8994" t="s">
        <v>52172</v>
      </c>
      <c r="W8994" t="s">
        <v>39736</v>
      </c>
      <c r="X8994" t="s">
        <v>42682</v>
      </c>
    </row>
    <row r="8995" spans="1:24">
      <c r="A8995">
        <f>HYPERLINK("https://www.philgeps.gov.ph/GEPSNONPILOT/Tender/SplashBidNoticeAbstractUI.aspx?menuIndex=3&amp;refID=7178666&amp;Result=3","7178666")</f>
        <v>0</v>
      </c>
      <c r="B8995" t="s">
        <v>2731</v>
      </c>
      <c r="C8995" t="s">
        <v>12115</v>
      </c>
      <c r="D8995" t="s">
        <v>17168</v>
      </c>
      <c r="E8995" t="s">
        <v>18000</v>
      </c>
      <c r="F8995" t="s">
        <v>29372</v>
      </c>
      <c r="G8995" t="s">
        <v>29380</v>
      </c>
      <c r="H8995" t="s">
        <v>11048</v>
      </c>
      <c r="I8995" t="s">
        <v>4709</v>
      </c>
      <c r="J8995" t="s">
        <v>35286</v>
      </c>
      <c r="K8995" t="s">
        <v>38510</v>
      </c>
      <c r="M8995" t="s">
        <v>41714</v>
      </c>
      <c r="N8995" t="s">
        <v>42669</v>
      </c>
      <c r="O8995" t="s">
        <v>42670</v>
      </c>
      <c r="P8995">
        <v>0</v>
      </c>
      <c r="Q8995">
        <v>0</v>
      </c>
      <c r="R8995" t="s">
        <v>42681</v>
      </c>
      <c r="S8995" t="s">
        <v>42966</v>
      </c>
      <c r="T8995" t="s">
        <v>44384</v>
      </c>
      <c r="U8995" t="s">
        <v>52173</v>
      </c>
      <c r="V8995" t="s">
        <v>57368</v>
      </c>
      <c r="W8995" t="s">
        <v>41714</v>
      </c>
      <c r="X8995" t="s">
        <v>42682</v>
      </c>
    </row>
    <row r="8996" spans="1:24">
      <c r="A8996">
        <f>HYPERLINK("https://www.philgeps.gov.ph/GEPSNONPILOT/Tender/SplashBidNoticeAbstractUI.aspx?menuIndex=3&amp;refID=7178871&amp;Result=3","7178871")</f>
        <v>0</v>
      </c>
      <c r="B8996" t="s">
        <v>957</v>
      </c>
      <c r="C8996" t="s">
        <v>12116</v>
      </c>
      <c r="D8996" t="s">
        <v>17143</v>
      </c>
      <c r="E8996" t="s">
        <v>24952</v>
      </c>
      <c r="F8996" t="s">
        <v>29372</v>
      </c>
      <c r="G8996" t="s">
        <v>29380</v>
      </c>
      <c r="H8996" t="s">
        <v>11048</v>
      </c>
      <c r="I8996" t="s">
        <v>29452</v>
      </c>
      <c r="J8996" t="s">
        <v>35287</v>
      </c>
      <c r="K8996" t="s">
        <v>38510</v>
      </c>
      <c r="L8996" t="s">
        <v>957</v>
      </c>
      <c r="M8996" t="s">
        <v>39753</v>
      </c>
      <c r="N8996" t="s">
        <v>42669</v>
      </c>
      <c r="O8996" t="s">
        <v>42670</v>
      </c>
      <c r="P8996">
        <v>0</v>
      </c>
      <c r="Q8996">
        <v>1</v>
      </c>
      <c r="R8996" t="s">
        <v>42681</v>
      </c>
      <c r="S8996" t="s">
        <v>42966</v>
      </c>
      <c r="T8996" t="s">
        <v>44488</v>
      </c>
      <c r="U8996" t="s">
        <v>51955</v>
      </c>
      <c r="W8996" t="s">
        <v>39753</v>
      </c>
      <c r="X8996" t="s">
        <v>42682</v>
      </c>
    </row>
    <row r="8997" spans="1:24">
      <c r="A8997">
        <f>HYPERLINK("https://www.philgeps.gov.ph/GEPSNONPILOT/Tender/SplashBidNoticeAbstractUI.aspx?menuIndex=3&amp;refID=7178830&amp;Result=3","7178830")</f>
        <v>0</v>
      </c>
      <c r="B8997" t="s">
        <v>2020</v>
      </c>
      <c r="C8997" t="s">
        <v>12117</v>
      </c>
      <c r="D8997" t="s">
        <v>17177</v>
      </c>
      <c r="E8997" t="s">
        <v>24953</v>
      </c>
      <c r="F8997" t="s">
        <v>29372</v>
      </c>
      <c r="G8997" t="s">
        <v>29380</v>
      </c>
      <c r="H8997" t="s">
        <v>29389</v>
      </c>
      <c r="I8997" t="s">
        <v>10408</v>
      </c>
      <c r="J8997" t="s">
        <v>35288</v>
      </c>
      <c r="K8997" t="s">
        <v>38547</v>
      </c>
      <c r="M8997" t="s">
        <v>41241</v>
      </c>
      <c r="N8997" t="s">
        <v>42669</v>
      </c>
      <c r="O8997" t="s">
        <v>42670</v>
      </c>
      <c r="P8997">
        <v>0</v>
      </c>
      <c r="Q8997">
        <v>0</v>
      </c>
      <c r="R8997" t="s">
        <v>42681</v>
      </c>
      <c r="S8997" t="s">
        <v>42966</v>
      </c>
      <c r="T8997" t="s">
        <v>44368</v>
      </c>
      <c r="U8997" t="s">
        <v>52174</v>
      </c>
      <c r="V8997" t="s">
        <v>57146</v>
      </c>
      <c r="W8997" t="s">
        <v>41241</v>
      </c>
      <c r="X8997" t="s">
        <v>42682</v>
      </c>
    </row>
    <row r="8998" spans="1:24">
      <c r="A8998">
        <f>HYPERLINK("https://www.philgeps.gov.ph/GEPSNONPILOT/Tender/SplashBidNoticeAbstractUI.aspx?menuIndex=3&amp;refID=7178823&amp;Result=3","7178823")</f>
        <v>0</v>
      </c>
      <c r="B8998" t="s">
        <v>2732</v>
      </c>
      <c r="C8998" t="s">
        <v>3982</v>
      </c>
      <c r="D8998" t="s">
        <v>17185</v>
      </c>
      <c r="E8998" t="s">
        <v>18038</v>
      </c>
      <c r="F8998" t="s">
        <v>29372</v>
      </c>
      <c r="G8998" t="s">
        <v>29380</v>
      </c>
      <c r="H8998" t="s">
        <v>11048</v>
      </c>
      <c r="I8998" t="s">
        <v>5383</v>
      </c>
      <c r="J8998" t="s">
        <v>35289</v>
      </c>
      <c r="K8998" t="s">
        <v>38510</v>
      </c>
      <c r="M8998" t="s">
        <v>41715</v>
      </c>
      <c r="N8998" t="s">
        <v>42669</v>
      </c>
      <c r="O8998" t="s">
        <v>42670</v>
      </c>
      <c r="P8998">
        <v>0</v>
      </c>
      <c r="Q8998">
        <v>1</v>
      </c>
      <c r="R8998" t="s">
        <v>42681</v>
      </c>
      <c r="S8998" t="s">
        <v>42966</v>
      </c>
      <c r="T8998" t="s">
        <v>44488</v>
      </c>
      <c r="U8998" t="s">
        <v>52175</v>
      </c>
      <c r="W8998" t="s">
        <v>41715</v>
      </c>
      <c r="X8998" t="s">
        <v>42682</v>
      </c>
    </row>
    <row r="8999" spans="1:24">
      <c r="A8999">
        <f>HYPERLINK("https://www.philgeps.gov.ph/GEPSNONPILOT/Tender/SplashBidNoticeAbstractUI.aspx?menuIndex=3&amp;refID=7178760&amp;Result=3","7178760")</f>
        <v>0</v>
      </c>
      <c r="B8999" t="s">
        <v>941</v>
      </c>
      <c r="C8999" t="s">
        <v>12118</v>
      </c>
      <c r="E8999" t="s">
        <v>20938</v>
      </c>
      <c r="F8999" t="s">
        <v>29372</v>
      </c>
      <c r="G8999" t="s">
        <v>29380</v>
      </c>
      <c r="H8999" t="s">
        <v>29389</v>
      </c>
      <c r="I8999" t="s">
        <v>10408</v>
      </c>
      <c r="J8999" t="s">
        <v>35290</v>
      </c>
      <c r="K8999" t="s">
        <v>38505</v>
      </c>
      <c r="M8999" t="s">
        <v>39736</v>
      </c>
      <c r="N8999" t="s">
        <v>42669</v>
      </c>
      <c r="O8999" t="s">
        <v>42670</v>
      </c>
      <c r="P8999">
        <v>0</v>
      </c>
      <c r="Q8999">
        <v>1</v>
      </c>
      <c r="R8999" t="s">
        <v>42681</v>
      </c>
      <c r="S8999" t="s">
        <v>42966</v>
      </c>
      <c r="T8999" t="s">
        <v>44503</v>
      </c>
      <c r="U8999" t="s">
        <v>52176</v>
      </c>
      <c r="W8999" t="s">
        <v>39736</v>
      </c>
      <c r="X8999" t="s">
        <v>42682</v>
      </c>
    </row>
    <row r="9000" spans="1:24">
      <c r="A9000">
        <f>HYPERLINK("https://www.philgeps.gov.ph/GEPSNONPILOT/Tender/SplashBidNoticeAbstractUI.aspx?menuIndex=3&amp;refID=7178909&amp;Result=3","7178909")</f>
        <v>0</v>
      </c>
      <c r="B9000" t="s">
        <v>2733</v>
      </c>
      <c r="C9000" t="s">
        <v>12119</v>
      </c>
      <c r="D9000" t="s">
        <v>17186</v>
      </c>
      <c r="E9000" t="s">
        <v>24954</v>
      </c>
      <c r="F9000" t="s">
        <v>29372</v>
      </c>
      <c r="G9000" t="s">
        <v>29380</v>
      </c>
      <c r="H9000" t="s">
        <v>11048</v>
      </c>
      <c r="I9000" t="s">
        <v>29413</v>
      </c>
      <c r="J9000" t="s">
        <v>35291</v>
      </c>
      <c r="K9000" t="s">
        <v>38488</v>
      </c>
      <c r="M9000" t="s">
        <v>41716</v>
      </c>
      <c r="N9000" t="s">
        <v>42669</v>
      </c>
      <c r="O9000" t="s">
        <v>42670</v>
      </c>
      <c r="P9000">
        <v>0</v>
      </c>
      <c r="Q9000">
        <v>1</v>
      </c>
      <c r="R9000" t="s">
        <v>42681</v>
      </c>
      <c r="S9000" t="s">
        <v>42966</v>
      </c>
      <c r="T9000" t="s">
        <v>44444</v>
      </c>
      <c r="U9000" t="s">
        <v>52177</v>
      </c>
      <c r="W9000" t="s">
        <v>41716</v>
      </c>
      <c r="X9000" t="s">
        <v>42682</v>
      </c>
    </row>
    <row r="9001" spans="1:24">
      <c r="A9001">
        <f>HYPERLINK("https://www.philgeps.gov.ph/GEPSNONPILOT/Tender/SplashBidNoticeAbstractUI.aspx?menuIndex=3&amp;refID=7178896&amp;Result=3","7178896")</f>
        <v>0</v>
      </c>
      <c r="B9001" t="s">
        <v>941</v>
      </c>
      <c r="C9001" t="s">
        <v>12120</v>
      </c>
      <c r="E9001" t="s">
        <v>24955</v>
      </c>
      <c r="F9001" t="s">
        <v>29372</v>
      </c>
      <c r="G9001" t="s">
        <v>29380</v>
      </c>
      <c r="H9001" t="s">
        <v>29389</v>
      </c>
      <c r="I9001" t="s">
        <v>10408</v>
      </c>
      <c r="J9001" t="s">
        <v>35292</v>
      </c>
      <c r="K9001" t="s">
        <v>38495</v>
      </c>
      <c r="M9001" t="s">
        <v>39736</v>
      </c>
      <c r="N9001" t="s">
        <v>42669</v>
      </c>
      <c r="O9001" t="s">
        <v>42670</v>
      </c>
      <c r="P9001">
        <v>0</v>
      </c>
      <c r="Q9001">
        <v>1</v>
      </c>
      <c r="R9001" t="s">
        <v>42681</v>
      </c>
      <c r="S9001" t="s">
        <v>42966</v>
      </c>
      <c r="T9001" t="s">
        <v>44503</v>
      </c>
      <c r="U9001" t="s">
        <v>52178</v>
      </c>
      <c r="W9001" t="s">
        <v>39736</v>
      </c>
      <c r="X9001" t="s">
        <v>42682</v>
      </c>
    </row>
    <row r="9002" spans="1:24">
      <c r="A9002">
        <f>HYPERLINK("https://www.philgeps.gov.ph/GEPSNONPILOT/Tender/SplashBidNoticeAbstractUI.aspx?menuIndex=3&amp;refID=7178849&amp;Result=3","7178849")</f>
        <v>0</v>
      </c>
      <c r="B9002" t="s">
        <v>2020</v>
      </c>
      <c r="C9002" t="s">
        <v>12121</v>
      </c>
      <c r="D9002" t="s">
        <v>17177</v>
      </c>
      <c r="E9002" t="s">
        <v>24956</v>
      </c>
      <c r="F9002" t="s">
        <v>29372</v>
      </c>
      <c r="G9002" t="s">
        <v>29380</v>
      </c>
      <c r="H9002" t="s">
        <v>29389</v>
      </c>
      <c r="I9002" t="s">
        <v>10408</v>
      </c>
      <c r="J9002" t="s">
        <v>35293</v>
      </c>
      <c r="K9002" t="s">
        <v>38649</v>
      </c>
      <c r="M9002" t="s">
        <v>41241</v>
      </c>
      <c r="N9002" t="s">
        <v>42669</v>
      </c>
      <c r="O9002" t="s">
        <v>42670</v>
      </c>
      <c r="P9002">
        <v>0</v>
      </c>
      <c r="Q9002">
        <v>0</v>
      </c>
      <c r="R9002" t="s">
        <v>42681</v>
      </c>
      <c r="S9002" t="s">
        <v>42966</v>
      </c>
      <c r="T9002" t="s">
        <v>44368</v>
      </c>
      <c r="U9002" t="s">
        <v>52179</v>
      </c>
      <c r="V9002" t="s">
        <v>57146</v>
      </c>
      <c r="W9002" t="s">
        <v>41241</v>
      </c>
      <c r="X9002" t="s">
        <v>42682</v>
      </c>
    </row>
    <row r="9003" spans="1:24">
      <c r="A9003">
        <f>HYPERLINK("https://www.philgeps.gov.ph/GEPSNONPILOT/Tender/SplashBidNoticeAbstractUI.aspx?menuIndex=3&amp;refID=7178895&amp;Result=3","7178895")</f>
        <v>0</v>
      </c>
      <c r="B9003" t="s">
        <v>1626</v>
      </c>
      <c r="C9003" t="s">
        <v>12122</v>
      </c>
      <c r="D9003" t="s">
        <v>17173</v>
      </c>
      <c r="E9003" t="s">
        <v>24957</v>
      </c>
      <c r="F9003" t="s">
        <v>29372</v>
      </c>
      <c r="G9003" t="s">
        <v>29380</v>
      </c>
      <c r="H9003" t="s">
        <v>11048</v>
      </c>
      <c r="I9003" t="s">
        <v>29407</v>
      </c>
      <c r="J9003" t="s">
        <v>35294</v>
      </c>
      <c r="K9003" t="s">
        <v>38495</v>
      </c>
      <c r="M9003" t="s">
        <v>40480</v>
      </c>
      <c r="N9003" t="s">
        <v>42669</v>
      </c>
      <c r="O9003" t="s">
        <v>42670</v>
      </c>
      <c r="P9003">
        <v>0</v>
      </c>
      <c r="Q9003">
        <v>2</v>
      </c>
      <c r="R9003" t="s">
        <v>42681</v>
      </c>
      <c r="S9003" t="s">
        <v>42966</v>
      </c>
      <c r="T9003" t="s">
        <v>44355</v>
      </c>
      <c r="U9003" t="s">
        <v>48511</v>
      </c>
      <c r="W9003" t="s">
        <v>40480</v>
      </c>
      <c r="X9003" t="s">
        <v>42682</v>
      </c>
    </row>
    <row r="9004" spans="1:24">
      <c r="A9004">
        <f>HYPERLINK("https://www.philgeps.gov.ph/GEPSNONPILOT/Tender/SplashBidNoticeAbstractUI.aspx?menuIndex=3&amp;refID=7178799&amp;Result=3","7178799")</f>
        <v>0</v>
      </c>
      <c r="B9004" t="s">
        <v>2020</v>
      </c>
      <c r="C9004" t="s">
        <v>12123</v>
      </c>
      <c r="D9004" t="s">
        <v>17177</v>
      </c>
      <c r="E9004" t="s">
        <v>24958</v>
      </c>
      <c r="F9004" t="s">
        <v>29372</v>
      </c>
      <c r="G9004" t="s">
        <v>29380</v>
      </c>
      <c r="H9004" t="s">
        <v>29389</v>
      </c>
      <c r="I9004" t="s">
        <v>10408</v>
      </c>
      <c r="J9004" t="s">
        <v>35295</v>
      </c>
      <c r="K9004" t="s">
        <v>38547</v>
      </c>
      <c r="M9004" t="s">
        <v>41241</v>
      </c>
      <c r="N9004" t="s">
        <v>42669</v>
      </c>
      <c r="O9004" t="s">
        <v>42670</v>
      </c>
      <c r="P9004">
        <v>0</v>
      </c>
      <c r="Q9004">
        <v>0</v>
      </c>
      <c r="R9004" t="s">
        <v>42681</v>
      </c>
      <c r="S9004" t="s">
        <v>42966</v>
      </c>
      <c r="T9004" t="s">
        <v>44368</v>
      </c>
      <c r="U9004" t="s">
        <v>52174</v>
      </c>
      <c r="V9004" t="s">
        <v>57146</v>
      </c>
      <c r="W9004" t="s">
        <v>41241</v>
      </c>
      <c r="X9004" t="s">
        <v>42682</v>
      </c>
    </row>
    <row r="9005" spans="1:24">
      <c r="A9005">
        <f>HYPERLINK("https://www.philgeps.gov.ph/GEPSNONPILOT/Tender/SplashBidNoticeAbstractUI.aspx?menuIndex=3&amp;refID=7178782&amp;Result=3","7178782")</f>
        <v>0</v>
      </c>
      <c r="B9005" t="s">
        <v>941</v>
      </c>
      <c r="C9005" t="s">
        <v>12124</v>
      </c>
      <c r="E9005" t="s">
        <v>18698</v>
      </c>
      <c r="F9005" t="s">
        <v>29372</v>
      </c>
      <c r="G9005" t="s">
        <v>29380</v>
      </c>
      <c r="H9005" t="s">
        <v>29389</v>
      </c>
      <c r="I9005" t="s">
        <v>10408</v>
      </c>
      <c r="J9005" t="s">
        <v>29724</v>
      </c>
      <c r="K9005" t="s">
        <v>38564</v>
      </c>
      <c r="M9005" t="s">
        <v>39736</v>
      </c>
      <c r="N9005" t="s">
        <v>42669</v>
      </c>
      <c r="O9005" t="s">
        <v>42670</v>
      </c>
      <c r="P9005">
        <v>0</v>
      </c>
      <c r="Q9005">
        <v>1</v>
      </c>
      <c r="R9005" t="s">
        <v>42681</v>
      </c>
      <c r="S9005" t="s">
        <v>42966</v>
      </c>
      <c r="T9005" t="s">
        <v>44503</v>
      </c>
      <c r="U9005" t="s">
        <v>52180</v>
      </c>
      <c r="W9005" t="s">
        <v>39736</v>
      </c>
      <c r="X9005" t="s">
        <v>42682</v>
      </c>
    </row>
    <row r="9006" spans="1:24">
      <c r="A9006">
        <f>HYPERLINK("https://www.philgeps.gov.ph/GEPSNONPILOT/Tender/SplashBidNoticeAbstractUI.aspx?menuIndex=3&amp;refID=7178611&amp;Result=3","7178611")</f>
        <v>0</v>
      </c>
      <c r="B9006" t="s">
        <v>272</v>
      </c>
      <c r="C9006" t="s">
        <v>12125</v>
      </c>
      <c r="D9006" t="s">
        <v>17206</v>
      </c>
      <c r="E9006" t="s">
        <v>24959</v>
      </c>
      <c r="F9006" t="s">
        <v>29372</v>
      </c>
      <c r="G9006" t="s">
        <v>29380</v>
      </c>
      <c r="H9006" t="s">
        <v>11048</v>
      </c>
      <c r="I9006" t="s">
        <v>3952</v>
      </c>
      <c r="J9006" t="s">
        <v>29937</v>
      </c>
      <c r="K9006" t="s">
        <v>38510</v>
      </c>
      <c r="M9006" t="s">
        <v>41448</v>
      </c>
      <c r="N9006" t="s">
        <v>42669</v>
      </c>
      <c r="O9006" t="s">
        <v>42670</v>
      </c>
      <c r="P9006">
        <v>0</v>
      </c>
      <c r="Q9006">
        <v>2</v>
      </c>
      <c r="R9006" t="s">
        <v>42681</v>
      </c>
      <c r="S9006" t="s">
        <v>42966</v>
      </c>
      <c r="T9006" t="s">
        <v>44539</v>
      </c>
      <c r="U9006" t="s">
        <v>52181</v>
      </c>
      <c r="W9006" t="s">
        <v>41448</v>
      </c>
      <c r="X9006" t="s">
        <v>42682</v>
      </c>
    </row>
    <row r="9007" spans="1:24">
      <c r="A9007">
        <f>HYPERLINK("https://www.philgeps.gov.ph/GEPSNONPILOT/Tender/SplashBidNoticeAbstractUI.aspx?menuIndex=3&amp;refID=7178780&amp;Result=3","7178780")</f>
        <v>0</v>
      </c>
      <c r="B9007" t="s">
        <v>2020</v>
      </c>
      <c r="C9007" t="s">
        <v>12126</v>
      </c>
      <c r="D9007" t="s">
        <v>17177</v>
      </c>
      <c r="E9007" t="s">
        <v>24960</v>
      </c>
      <c r="F9007" t="s">
        <v>29372</v>
      </c>
      <c r="G9007" t="s">
        <v>29380</v>
      </c>
      <c r="H9007" t="s">
        <v>29389</v>
      </c>
      <c r="I9007" t="s">
        <v>10408</v>
      </c>
      <c r="J9007" t="s">
        <v>35296</v>
      </c>
      <c r="K9007" t="s">
        <v>38523</v>
      </c>
      <c r="M9007" t="s">
        <v>41241</v>
      </c>
      <c r="N9007" t="s">
        <v>42669</v>
      </c>
      <c r="O9007" t="s">
        <v>42670</v>
      </c>
      <c r="P9007">
        <v>0</v>
      </c>
      <c r="Q9007">
        <v>0</v>
      </c>
      <c r="R9007" t="s">
        <v>42681</v>
      </c>
      <c r="S9007" t="s">
        <v>42966</v>
      </c>
      <c r="T9007" t="s">
        <v>44368</v>
      </c>
      <c r="U9007" t="s">
        <v>52182</v>
      </c>
      <c r="V9007" t="s">
        <v>57146</v>
      </c>
      <c r="W9007" t="s">
        <v>41241</v>
      </c>
      <c r="X9007" t="s">
        <v>42682</v>
      </c>
    </row>
    <row r="9008" spans="1:24">
      <c r="A9008">
        <f>HYPERLINK("https://www.philgeps.gov.ph/GEPSNONPILOT/Tender/SplashBidNoticeAbstractUI.aspx?menuIndex=3&amp;refID=7178911&amp;Result=3","7178911")</f>
        <v>0</v>
      </c>
      <c r="B9008" t="s">
        <v>2734</v>
      </c>
      <c r="C9008" t="s">
        <v>12127</v>
      </c>
      <c r="D9008" t="s">
        <v>17177</v>
      </c>
      <c r="E9008" t="s">
        <v>17399</v>
      </c>
      <c r="F9008" t="s">
        <v>29372</v>
      </c>
      <c r="G9008" t="s">
        <v>29379</v>
      </c>
      <c r="H9008" t="s">
        <v>11048</v>
      </c>
      <c r="I9008" t="s">
        <v>29419</v>
      </c>
      <c r="J9008" t="s">
        <v>29555</v>
      </c>
      <c r="K9008" t="s">
        <v>38490</v>
      </c>
      <c r="M9008" t="s">
        <v>41717</v>
      </c>
      <c r="N9008" t="s">
        <v>42669</v>
      </c>
      <c r="O9008" t="s">
        <v>42670</v>
      </c>
      <c r="P9008">
        <v>0</v>
      </c>
      <c r="Q9008">
        <v>3</v>
      </c>
      <c r="R9008" t="s">
        <v>42681</v>
      </c>
      <c r="S9008" t="s">
        <v>42966</v>
      </c>
      <c r="T9008" t="s">
        <v>44629</v>
      </c>
      <c r="U9008" t="s">
        <v>52183</v>
      </c>
      <c r="W9008" t="s">
        <v>41717</v>
      </c>
      <c r="X9008" t="s">
        <v>42682</v>
      </c>
    </row>
    <row r="9009" spans="1:24">
      <c r="A9009">
        <f>HYPERLINK("https://www.philgeps.gov.ph/GEPSNONPILOT/Tender/SplashBidNoticeAbstractUI.aspx?menuIndex=3&amp;refID=7178877&amp;Result=3","7178877")</f>
        <v>0</v>
      </c>
      <c r="B9009" t="s">
        <v>2020</v>
      </c>
      <c r="C9009" t="s">
        <v>12128</v>
      </c>
      <c r="D9009" t="s">
        <v>17177</v>
      </c>
      <c r="E9009" t="s">
        <v>24961</v>
      </c>
      <c r="F9009" t="s">
        <v>29372</v>
      </c>
      <c r="G9009" t="s">
        <v>29380</v>
      </c>
      <c r="H9009" t="s">
        <v>29389</v>
      </c>
      <c r="I9009" t="s">
        <v>10408</v>
      </c>
      <c r="J9009" t="s">
        <v>35297</v>
      </c>
      <c r="K9009" t="s">
        <v>38702</v>
      </c>
      <c r="M9009" t="s">
        <v>41241</v>
      </c>
      <c r="N9009" t="s">
        <v>42669</v>
      </c>
      <c r="O9009" t="s">
        <v>42670</v>
      </c>
      <c r="P9009">
        <v>0</v>
      </c>
      <c r="Q9009">
        <v>0</v>
      </c>
      <c r="R9009" t="s">
        <v>42681</v>
      </c>
      <c r="S9009" t="s">
        <v>42966</v>
      </c>
      <c r="T9009" t="s">
        <v>44368</v>
      </c>
      <c r="U9009" t="s">
        <v>52184</v>
      </c>
      <c r="V9009" t="s">
        <v>57146</v>
      </c>
      <c r="W9009" t="s">
        <v>41241</v>
      </c>
      <c r="X9009" t="s">
        <v>42682</v>
      </c>
    </row>
    <row r="9010" spans="1:24">
      <c r="A9010">
        <f>HYPERLINK("https://www.philgeps.gov.ph/GEPSNONPILOT/Tender/SplashBidNoticeAbstractUI.aspx?menuIndex=3&amp;refID=7178812&amp;Result=3","7178812")</f>
        <v>0</v>
      </c>
      <c r="B9010" t="s">
        <v>941</v>
      </c>
      <c r="C9010" t="s">
        <v>12129</v>
      </c>
      <c r="E9010" t="s">
        <v>21230</v>
      </c>
      <c r="F9010" t="s">
        <v>29372</v>
      </c>
      <c r="G9010" t="s">
        <v>29380</v>
      </c>
      <c r="H9010" t="s">
        <v>29389</v>
      </c>
      <c r="I9010" t="s">
        <v>10408</v>
      </c>
      <c r="J9010" t="s">
        <v>35298</v>
      </c>
      <c r="K9010" t="s">
        <v>38533</v>
      </c>
      <c r="M9010" t="s">
        <v>39736</v>
      </c>
      <c r="N9010" t="s">
        <v>42669</v>
      </c>
      <c r="O9010" t="s">
        <v>42670</v>
      </c>
      <c r="P9010">
        <v>0</v>
      </c>
      <c r="Q9010">
        <v>1</v>
      </c>
      <c r="R9010" t="s">
        <v>42681</v>
      </c>
      <c r="S9010" t="s">
        <v>42966</v>
      </c>
      <c r="T9010" t="s">
        <v>44503</v>
      </c>
      <c r="U9010" t="s">
        <v>52178</v>
      </c>
      <c r="W9010" t="s">
        <v>39736</v>
      </c>
      <c r="X9010" t="s">
        <v>42682</v>
      </c>
    </row>
    <row r="9011" spans="1:24">
      <c r="A9011">
        <f>HYPERLINK("https://www.philgeps.gov.ph/GEPSNONPILOT/Tender/SplashBidNoticeAbstractUI.aspx?menuIndex=3&amp;refID=7178981&amp;Result=3","7178981")</f>
        <v>0</v>
      </c>
      <c r="B9011" t="s">
        <v>957</v>
      </c>
      <c r="C9011" t="s">
        <v>12130</v>
      </c>
      <c r="D9011" t="s">
        <v>17143</v>
      </c>
      <c r="E9011" t="s">
        <v>24962</v>
      </c>
      <c r="F9011" t="s">
        <v>29372</v>
      </c>
      <c r="G9011" t="s">
        <v>29380</v>
      </c>
      <c r="H9011" t="s">
        <v>11048</v>
      </c>
      <c r="I9011" t="s">
        <v>29452</v>
      </c>
      <c r="J9011" t="s">
        <v>35299</v>
      </c>
      <c r="K9011" t="s">
        <v>38510</v>
      </c>
      <c r="L9011" t="s">
        <v>957</v>
      </c>
      <c r="M9011" t="s">
        <v>39753</v>
      </c>
      <c r="N9011" t="s">
        <v>42669</v>
      </c>
      <c r="O9011" t="s">
        <v>42670</v>
      </c>
      <c r="P9011">
        <v>0</v>
      </c>
      <c r="Q9011">
        <v>1</v>
      </c>
      <c r="R9011" t="s">
        <v>42681</v>
      </c>
      <c r="S9011" t="s">
        <v>42966</v>
      </c>
      <c r="T9011" t="s">
        <v>44488</v>
      </c>
      <c r="U9011" t="s">
        <v>52185</v>
      </c>
      <c r="W9011" t="s">
        <v>39753</v>
      </c>
      <c r="X9011" t="s">
        <v>42682</v>
      </c>
    </row>
    <row r="9012" spans="1:24">
      <c r="A9012">
        <f>HYPERLINK("https://www.philgeps.gov.ph/GEPSNONPILOT/Tender/SplashBidNoticeAbstractUI.aspx?menuIndex=3&amp;refID=7178798&amp;Result=3","7178798")</f>
        <v>0</v>
      </c>
      <c r="B9012" t="s">
        <v>941</v>
      </c>
      <c r="C9012" t="s">
        <v>12131</v>
      </c>
      <c r="E9012" t="s">
        <v>18789</v>
      </c>
      <c r="F9012" t="s">
        <v>29372</v>
      </c>
      <c r="G9012" t="s">
        <v>29380</v>
      </c>
      <c r="H9012" t="s">
        <v>29389</v>
      </c>
      <c r="I9012" t="s">
        <v>10408</v>
      </c>
      <c r="J9012" t="s">
        <v>33981</v>
      </c>
      <c r="K9012" t="s">
        <v>38522</v>
      </c>
      <c r="M9012" t="s">
        <v>39736</v>
      </c>
      <c r="N9012" t="s">
        <v>42669</v>
      </c>
      <c r="O9012" t="s">
        <v>42670</v>
      </c>
      <c r="P9012">
        <v>0</v>
      </c>
      <c r="Q9012">
        <v>1</v>
      </c>
      <c r="R9012" t="s">
        <v>42681</v>
      </c>
      <c r="S9012" t="s">
        <v>42966</v>
      </c>
      <c r="T9012" t="s">
        <v>44503</v>
      </c>
      <c r="U9012" t="s">
        <v>52186</v>
      </c>
      <c r="W9012" t="s">
        <v>39736</v>
      </c>
      <c r="X9012" t="s">
        <v>42682</v>
      </c>
    </row>
    <row r="9013" spans="1:24">
      <c r="A9013">
        <f>HYPERLINK("https://www.philgeps.gov.ph/GEPSNONPILOT/Tender/SplashBidNoticeAbstractUI.aspx?menuIndex=3&amp;refID=7178901&amp;Result=3","7178901")</f>
        <v>0</v>
      </c>
      <c r="B9013" t="s">
        <v>957</v>
      </c>
      <c r="C9013" t="s">
        <v>12132</v>
      </c>
      <c r="D9013" t="s">
        <v>17143</v>
      </c>
      <c r="E9013" t="s">
        <v>24963</v>
      </c>
      <c r="F9013" t="s">
        <v>29372</v>
      </c>
      <c r="G9013" t="s">
        <v>29380</v>
      </c>
      <c r="H9013" t="s">
        <v>11048</v>
      </c>
      <c r="I9013" t="s">
        <v>29452</v>
      </c>
      <c r="J9013" t="s">
        <v>35287</v>
      </c>
      <c r="K9013" t="s">
        <v>38510</v>
      </c>
      <c r="L9013" t="s">
        <v>957</v>
      </c>
      <c r="M9013" t="s">
        <v>39753</v>
      </c>
      <c r="N9013" t="s">
        <v>42669</v>
      </c>
      <c r="O9013" t="s">
        <v>42670</v>
      </c>
      <c r="P9013">
        <v>0</v>
      </c>
      <c r="Q9013">
        <v>1</v>
      </c>
      <c r="R9013" t="s">
        <v>42681</v>
      </c>
      <c r="S9013" t="s">
        <v>42966</v>
      </c>
      <c r="T9013" t="s">
        <v>44488</v>
      </c>
      <c r="U9013" t="s">
        <v>52185</v>
      </c>
      <c r="W9013" t="s">
        <v>39753</v>
      </c>
      <c r="X9013" t="s">
        <v>42682</v>
      </c>
    </row>
    <row r="9014" spans="1:24">
      <c r="A9014">
        <f>HYPERLINK("https://www.philgeps.gov.ph/GEPSNONPILOT/Tender/SplashBidNoticeAbstractUI.aspx?menuIndex=3&amp;refID=7178831&amp;Result=3","7178831")</f>
        <v>0</v>
      </c>
      <c r="B9014" t="s">
        <v>941</v>
      </c>
      <c r="C9014" t="s">
        <v>12133</v>
      </c>
      <c r="E9014" t="s">
        <v>22872</v>
      </c>
      <c r="F9014" t="s">
        <v>29372</v>
      </c>
      <c r="G9014" t="s">
        <v>29380</v>
      </c>
      <c r="H9014" t="s">
        <v>29389</v>
      </c>
      <c r="I9014" t="s">
        <v>10408</v>
      </c>
      <c r="J9014" t="s">
        <v>35300</v>
      </c>
      <c r="K9014" t="s">
        <v>38533</v>
      </c>
      <c r="M9014" t="s">
        <v>39736</v>
      </c>
      <c r="N9014" t="s">
        <v>42669</v>
      </c>
      <c r="O9014" t="s">
        <v>42670</v>
      </c>
      <c r="P9014">
        <v>0</v>
      </c>
      <c r="Q9014">
        <v>1</v>
      </c>
      <c r="R9014" t="s">
        <v>42681</v>
      </c>
      <c r="S9014" t="s">
        <v>42966</v>
      </c>
      <c r="T9014" t="s">
        <v>44503</v>
      </c>
      <c r="U9014" t="s">
        <v>52178</v>
      </c>
      <c r="W9014" t="s">
        <v>39736</v>
      </c>
      <c r="X9014" t="s">
        <v>42682</v>
      </c>
    </row>
    <row r="9015" spans="1:24">
      <c r="A9015">
        <f>HYPERLINK("https://www.philgeps.gov.ph/GEPSNONPILOT/Tender/SplashBidNoticeAbstractUI.aspx?menuIndex=3&amp;refID=7178967&amp;Result=3","7178967")</f>
        <v>0</v>
      </c>
      <c r="B9015" t="s">
        <v>1566</v>
      </c>
      <c r="C9015" t="s">
        <v>12134</v>
      </c>
      <c r="E9015" t="s">
        <v>24964</v>
      </c>
      <c r="F9015" t="s">
        <v>29372</v>
      </c>
      <c r="G9015" t="s">
        <v>29380</v>
      </c>
      <c r="H9015" t="s">
        <v>11048</v>
      </c>
      <c r="I9015" t="s">
        <v>29415</v>
      </c>
      <c r="J9015" t="s">
        <v>35301</v>
      </c>
      <c r="K9015" t="s">
        <v>38490</v>
      </c>
      <c r="M9015" t="s">
        <v>40416</v>
      </c>
      <c r="N9015" t="s">
        <v>42669</v>
      </c>
      <c r="O9015" t="s">
        <v>42670</v>
      </c>
      <c r="P9015">
        <v>0</v>
      </c>
      <c r="Q9015">
        <v>0</v>
      </c>
      <c r="R9015" t="s">
        <v>42681</v>
      </c>
      <c r="S9015" t="s">
        <v>42966</v>
      </c>
      <c r="T9015" t="s">
        <v>44672</v>
      </c>
      <c r="U9015" t="s">
        <v>52187</v>
      </c>
      <c r="W9015" t="s">
        <v>40416</v>
      </c>
      <c r="X9015" t="s">
        <v>42682</v>
      </c>
    </row>
    <row r="9016" spans="1:24">
      <c r="A9016">
        <f>HYPERLINK("https://www.philgeps.gov.ph/GEPSNONPILOT/Tender/SplashBidNoticeAbstractUI.aspx?menuIndex=3&amp;refID=7179016&amp;Result=3","7179016")</f>
        <v>0</v>
      </c>
      <c r="B9016" t="s">
        <v>957</v>
      </c>
      <c r="C9016" t="s">
        <v>12135</v>
      </c>
      <c r="D9016" t="s">
        <v>17143</v>
      </c>
      <c r="E9016" t="s">
        <v>24965</v>
      </c>
      <c r="F9016" t="s">
        <v>29372</v>
      </c>
      <c r="G9016" t="s">
        <v>29380</v>
      </c>
      <c r="H9016" t="s">
        <v>11048</v>
      </c>
      <c r="I9016" t="s">
        <v>29452</v>
      </c>
      <c r="J9016" t="s">
        <v>35302</v>
      </c>
      <c r="K9016" t="s">
        <v>38590</v>
      </c>
      <c r="L9016" t="s">
        <v>957</v>
      </c>
      <c r="M9016" t="s">
        <v>39753</v>
      </c>
      <c r="N9016" t="s">
        <v>42669</v>
      </c>
      <c r="O9016" t="s">
        <v>42670</v>
      </c>
      <c r="P9016">
        <v>0</v>
      </c>
      <c r="Q9016">
        <v>0</v>
      </c>
      <c r="R9016" t="s">
        <v>42681</v>
      </c>
      <c r="S9016" t="s">
        <v>42966</v>
      </c>
      <c r="T9016" t="s">
        <v>44488</v>
      </c>
      <c r="U9016" t="s">
        <v>52185</v>
      </c>
      <c r="W9016" t="s">
        <v>39753</v>
      </c>
      <c r="X9016" t="s">
        <v>42682</v>
      </c>
    </row>
    <row r="9017" spans="1:24">
      <c r="A9017">
        <f>HYPERLINK("https://www.philgeps.gov.ph/GEPSNONPILOT/Tender/SplashBidNoticeAbstractUI.aspx?menuIndex=3&amp;refID=7179005&amp;Result=3","7179005")</f>
        <v>0</v>
      </c>
      <c r="B9017" t="s">
        <v>2735</v>
      </c>
      <c r="C9017" t="s">
        <v>12136</v>
      </c>
      <c r="D9017" t="s">
        <v>17161</v>
      </c>
      <c r="E9017" t="s">
        <v>24966</v>
      </c>
      <c r="F9017" t="s">
        <v>29372</v>
      </c>
      <c r="G9017" t="s">
        <v>29380</v>
      </c>
      <c r="H9017" t="s">
        <v>11048</v>
      </c>
      <c r="I9017" t="s">
        <v>29398</v>
      </c>
      <c r="J9017" t="s">
        <v>35303</v>
      </c>
      <c r="K9017" t="s">
        <v>38485</v>
      </c>
      <c r="M9017" t="s">
        <v>41718</v>
      </c>
      <c r="N9017" t="s">
        <v>42669</v>
      </c>
      <c r="O9017" t="s">
        <v>42670</v>
      </c>
      <c r="P9017">
        <v>0</v>
      </c>
      <c r="Q9017">
        <v>0</v>
      </c>
      <c r="R9017" t="s">
        <v>42681</v>
      </c>
      <c r="S9017" t="s">
        <v>42966</v>
      </c>
      <c r="T9017" t="s">
        <v>44470</v>
      </c>
      <c r="U9017" t="s">
        <v>52188</v>
      </c>
      <c r="W9017" t="s">
        <v>41718</v>
      </c>
      <c r="X9017" t="s">
        <v>42682</v>
      </c>
    </row>
    <row r="9018" spans="1:24">
      <c r="A9018">
        <f>HYPERLINK("https://www.philgeps.gov.ph/GEPSNONPILOT/Tender/SplashBidNoticeAbstractUI.aspx?menuIndex=3&amp;refID=7178998&amp;Result=3","7178998")</f>
        <v>0</v>
      </c>
      <c r="B9018" t="s">
        <v>957</v>
      </c>
      <c r="C9018" t="s">
        <v>12137</v>
      </c>
      <c r="D9018" t="s">
        <v>17143</v>
      </c>
      <c r="E9018" t="s">
        <v>24967</v>
      </c>
      <c r="F9018" t="s">
        <v>29372</v>
      </c>
      <c r="G9018" t="s">
        <v>29380</v>
      </c>
      <c r="H9018" t="s">
        <v>11048</v>
      </c>
      <c r="I9018" t="s">
        <v>29452</v>
      </c>
      <c r="J9018" t="s">
        <v>35304</v>
      </c>
      <c r="K9018" t="s">
        <v>38510</v>
      </c>
      <c r="L9018" t="s">
        <v>957</v>
      </c>
      <c r="M9018" t="s">
        <v>39753</v>
      </c>
      <c r="N9018" t="s">
        <v>42669</v>
      </c>
      <c r="O9018" t="s">
        <v>42670</v>
      </c>
      <c r="P9018">
        <v>0</v>
      </c>
      <c r="Q9018">
        <v>1</v>
      </c>
      <c r="R9018" t="s">
        <v>42681</v>
      </c>
      <c r="S9018" t="s">
        <v>42966</v>
      </c>
      <c r="T9018" t="s">
        <v>44488</v>
      </c>
      <c r="U9018" t="s">
        <v>52185</v>
      </c>
      <c r="W9018" t="s">
        <v>39753</v>
      </c>
      <c r="X9018" t="s">
        <v>42682</v>
      </c>
    </row>
    <row r="9019" spans="1:24">
      <c r="A9019">
        <f>HYPERLINK("https://www.philgeps.gov.ph/GEPSNONPILOT/Tender/SplashBidNoticeAbstractUI.aspx?menuIndex=3&amp;refID=7179012&amp;Result=3","7179012")</f>
        <v>0</v>
      </c>
      <c r="B9019" t="s">
        <v>2020</v>
      </c>
      <c r="C9019" t="s">
        <v>12138</v>
      </c>
      <c r="D9019" t="s">
        <v>17177</v>
      </c>
      <c r="E9019" t="s">
        <v>24968</v>
      </c>
      <c r="F9019" t="s">
        <v>29372</v>
      </c>
      <c r="G9019" t="s">
        <v>29380</v>
      </c>
      <c r="H9019" t="s">
        <v>29389</v>
      </c>
      <c r="I9019" t="s">
        <v>10408</v>
      </c>
      <c r="J9019" t="s">
        <v>35305</v>
      </c>
      <c r="K9019" t="s">
        <v>38485</v>
      </c>
      <c r="M9019" t="s">
        <v>41241</v>
      </c>
      <c r="N9019" t="s">
        <v>42669</v>
      </c>
      <c r="O9019" t="s">
        <v>42670</v>
      </c>
      <c r="P9019">
        <v>0</v>
      </c>
      <c r="Q9019">
        <v>0</v>
      </c>
      <c r="R9019" t="s">
        <v>42681</v>
      </c>
      <c r="S9019" t="s">
        <v>42966</v>
      </c>
      <c r="T9019" t="s">
        <v>44368</v>
      </c>
      <c r="U9019" t="s">
        <v>52189</v>
      </c>
      <c r="V9019" t="s">
        <v>57146</v>
      </c>
      <c r="W9019" t="s">
        <v>41241</v>
      </c>
      <c r="X9019" t="s">
        <v>42682</v>
      </c>
    </row>
    <row r="9020" spans="1:24">
      <c r="A9020">
        <f>HYPERLINK("https://www.philgeps.gov.ph/GEPSNONPILOT/Tender/SplashBidNoticeAbstractUI.aspx?menuIndex=3&amp;refID=7178959&amp;Result=3","7178959")</f>
        <v>0</v>
      </c>
      <c r="B9020" t="s">
        <v>2020</v>
      </c>
      <c r="C9020" t="s">
        <v>12139</v>
      </c>
      <c r="D9020" t="s">
        <v>17177</v>
      </c>
      <c r="E9020" t="s">
        <v>24969</v>
      </c>
      <c r="F9020" t="s">
        <v>29372</v>
      </c>
      <c r="G9020" t="s">
        <v>29380</v>
      </c>
      <c r="H9020" t="s">
        <v>29389</v>
      </c>
      <c r="I9020" t="s">
        <v>10408</v>
      </c>
      <c r="J9020" t="s">
        <v>35306</v>
      </c>
      <c r="K9020" t="s">
        <v>38702</v>
      </c>
      <c r="M9020" t="s">
        <v>41241</v>
      </c>
      <c r="N9020" t="s">
        <v>42669</v>
      </c>
      <c r="O9020" t="s">
        <v>42670</v>
      </c>
      <c r="P9020">
        <v>0</v>
      </c>
      <c r="Q9020">
        <v>0</v>
      </c>
      <c r="R9020" t="s">
        <v>42681</v>
      </c>
      <c r="S9020" t="s">
        <v>42966</v>
      </c>
      <c r="T9020" t="s">
        <v>44368</v>
      </c>
      <c r="U9020" t="s">
        <v>52190</v>
      </c>
      <c r="V9020" t="s">
        <v>57146</v>
      </c>
      <c r="W9020" t="s">
        <v>41241</v>
      </c>
      <c r="X9020" t="s">
        <v>42682</v>
      </c>
    </row>
    <row r="9021" spans="1:24">
      <c r="A9021">
        <f>HYPERLINK("https://www.philgeps.gov.ph/GEPSNONPILOT/Tender/SplashBidNoticeAbstractUI.aspx?menuIndex=3&amp;refID=7179022&amp;Result=3","7179022")</f>
        <v>0</v>
      </c>
      <c r="B9021" t="s">
        <v>955</v>
      </c>
      <c r="C9021" t="s">
        <v>12140</v>
      </c>
      <c r="E9021" t="s">
        <v>24970</v>
      </c>
      <c r="F9021" t="s">
        <v>29372</v>
      </c>
      <c r="G9021" t="s">
        <v>29380</v>
      </c>
      <c r="H9021" t="s">
        <v>11048</v>
      </c>
      <c r="I9021" t="s">
        <v>8614</v>
      </c>
      <c r="J9021" t="s">
        <v>35307</v>
      </c>
      <c r="K9021" t="s">
        <v>38490</v>
      </c>
      <c r="M9021" t="s">
        <v>39751</v>
      </c>
      <c r="N9021" t="s">
        <v>42669</v>
      </c>
      <c r="O9021" t="s">
        <v>42670</v>
      </c>
      <c r="P9021">
        <v>0</v>
      </c>
      <c r="Q9021">
        <v>22</v>
      </c>
      <c r="R9021" t="s">
        <v>42681</v>
      </c>
      <c r="S9021" t="s">
        <v>42966</v>
      </c>
      <c r="T9021" t="s">
        <v>44355</v>
      </c>
      <c r="U9021" t="s">
        <v>52191</v>
      </c>
      <c r="W9021" t="s">
        <v>39751</v>
      </c>
      <c r="X9021" t="s">
        <v>42682</v>
      </c>
    </row>
    <row r="9022" spans="1:24">
      <c r="A9022">
        <f>HYPERLINK("https://www.philgeps.gov.ph/GEPSNONPILOT/Tender/SplashBidNoticeAbstractUI.aspx?menuIndex=3&amp;refID=7178951&amp;Result=3","7178951")</f>
        <v>0</v>
      </c>
      <c r="B9022" t="s">
        <v>941</v>
      </c>
      <c r="C9022" t="s">
        <v>12141</v>
      </c>
      <c r="E9022" t="s">
        <v>22818</v>
      </c>
      <c r="F9022" t="s">
        <v>29372</v>
      </c>
      <c r="G9022" t="s">
        <v>29380</v>
      </c>
      <c r="H9022" t="s">
        <v>29389</v>
      </c>
      <c r="I9022" t="s">
        <v>10408</v>
      </c>
      <c r="J9022" t="s">
        <v>35308</v>
      </c>
      <c r="K9022" t="s">
        <v>38533</v>
      </c>
      <c r="M9022" t="s">
        <v>39736</v>
      </c>
      <c r="N9022" t="s">
        <v>42669</v>
      </c>
      <c r="O9022" t="s">
        <v>42670</v>
      </c>
      <c r="P9022">
        <v>0</v>
      </c>
      <c r="Q9022">
        <v>1</v>
      </c>
      <c r="R9022" t="s">
        <v>42681</v>
      </c>
      <c r="S9022" t="s">
        <v>42966</v>
      </c>
      <c r="T9022" t="s">
        <v>44503</v>
      </c>
      <c r="U9022" t="s">
        <v>52178</v>
      </c>
      <c r="W9022" t="s">
        <v>39736</v>
      </c>
      <c r="X9022" t="s">
        <v>42682</v>
      </c>
    </row>
    <row r="9023" spans="1:24">
      <c r="A9023">
        <f>HYPERLINK("https://www.philgeps.gov.ph/GEPSNONPILOT/Tender/SplashBidNoticeAbstractUI.aspx?menuIndex=3&amp;refID=7178947&amp;Result=3","7178947")</f>
        <v>0</v>
      </c>
      <c r="B9023" t="s">
        <v>957</v>
      </c>
      <c r="C9023" t="s">
        <v>12142</v>
      </c>
      <c r="D9023" t="s">
        <v>17143</v>
      </c>
      <c r="E9023" t="s">
        <v>24971</v>
      </c>
      <c r="F9023" t="s">
        <v>29372</v>
      </c>
      <c r="G9023" t="s">
        <v>29380</v>
      </c>
      <c r="H9023" t="s">
        <v>11048</v>
      </c>
      <c r="I9023" t="s">
        <v>29452</v>
      </c>
      <c r="J9023" t="s">
        <v>35287</v>
      </c>
      <c r="K9023" t="s">
        <v>38510</v>
      </c>
      <c r="L9023" t="s">
        <v>957</v>
      </c>
      <c r="M9023" t="s">
        <v>39753</v>
      </c>
      <c r="N9023" t="s">
        <v>42669</v>
      </c>
      <c r="O9023" t="s">
        <v>42670</v>
      </c>
      <c r="P9023">
        <v>0</v>
      </c>
      <c r="Q9023">
        <v>1</v>
      </c>
      <c r="R9023" t="s">
        <v>42681</v>
      </c>
      <c r="S9023" t="s">
        <v>42966</v>
      </c>
      <c r="T9023" t="s">
        <v>44488</v>
      </c>
      <c r="U9023" t="s">
        <v>52185</v>
      </c>
      <c r="W9023" t="s">
        <v>39753</v>
      </c>
      <c r="X9023" t="s">
        <v>42682</v>
      </c>
    </row>
    <row r="9024" spans="1:24">
      <c r="A9024">
        <f>HYPERLINK("https://www.philgeps.gov.ph/GEPSNONPILOT/Tender/SplashBidNoticeAbstractUI.aspx?menuIndex=3&amp;refID=7178986&amp;Result=3","7178986")</f>
        <v>0</v>
      </c>
      <c r="B9024" t="s">
        <v>2020</v>
      </c>
      <c r="C9024" t="s">
        <v>12143</v>
      </c>
      <c r="D9024" t="s">
        <v>17177</v>
      </c>
      <c r="E9024" t="s">
        <v>24972</v>
      </c>
      <c r="F9024" t="s">
        <v>29372</v>
      </c>
      <c r="G9024" t="s">
        <v>29380</v>
      </c>
      <c r="H9024" t="s">
        <v>29389</v>
      </c>
      <c r="I9024" t="s">
        <v>10408</v>
      </c>
      <c r="J9024" t="s">
        <v>35309</v>
      </c>
      <c r="K9024" t="s">
        <v>38619</v>
      </c>
      <c r="M9024" t="s">
        <v>41241</v>
      </c>
      <c r="N9024" t="s">
        <v>42669</v>
      </c>
      <c r="O9024" t="s">
        <v>42670</v>
      </c>
      <c r="P9024">
        <v>0</v>
      </c>
      <c r="Q9024">
        <v>1</v>
      </c>
      <c r="R9024" t="s">
        <v>42681</v>
      </c>
      <c r="S9024" t="s">
        <v>42966</v>
      </c>
      <c r="T9024" t="s">
        <v>44368</v>
      </c>
      <c r="U9024" t="s">
        <v>52192</v>
      </c>
      <c r="V9024" t="s">
        <v>57146</v>
      </c>
      <c r="W9024" t="s">
        <v>41241</v>
      </c>
      <c r="X9024" t="s">
        <v>42682</v>
      </c>
    </row>
    <row r="9025" spans="1:24">
      <c r="A9025">
        <f>HYPERLINK("https://www.philgeps.gov.ph/GEPSNONPILOT/Tender/SplashBidNoticeAbstractUI.aspx?menuIndex=3&amp;refID=7178934&amp;Result=3","7178934")</f>
        <v>0</v>
      </c>
      <c r="B9025" t="s">
        <v>957</v>
      </c>
      <c r="C9025" t="s">
        <v>12144</v>
      </c>
      <c r="D9025" t="s">
        <v>17143</v>
      </c>
      <c r="E9025" t="s">
        <v>24973</v>
      </c>
      <c r="F9025" t="s">
        <v>29372</v>
      </c>
      <c r="G9025" t="s">
        <v>29380</v>
      </c>
      <c r="H9025" t="s">
        <v>11048</v>
      </c>
      <c r="I9025" t="s">
        <v>29452</v>
      </c>
      <c r="J9025" t="s">
        <v>35287</v>
      </c>
      <c r="K9025" t="s">
        <v>38510</v>
      </c>
      <c r="L9025" t="s">
        <v>957</v>
      </c>
      <c r="M9025" t="s">
        <v>39753</v>
      </c>
      <c r="N9025" t="s">
        <v>42669</v>
      </c>
      <c r="O9025" t="s">
        <v>42670</v>
      </c>
      <c r="P9025">
        <v>0</v>
      </c>
      <c r="Q9025">
        <v>0</v>
      </c>
      <c r="R9025" t="s">
        <v>42681</v>
      </c>
      <c r="S9025" t="s">
        <v>42966</v>
      </c>
      <c r="T9025" t="s">
        <v>44488</v>
      </c>
      <c r="U9025" t="s">
        <v>52185</v>
      </c>
      <c r="W9025" t="s">
        <v>39753</v>
      </c>
      <c r="X9025" t="s">
        <v>42682</v>
      </c>
    </row>
    <row r="9026" spans="1:24">
      <c r="A9026">
        <f>HYPERLINK("https://www.philgeps.gov.ph/GEPSNONPILOT/Tender/SplashBidNoticeAbstractUI.aspx?menuIndex=3&amp;refID=7178776&amp;Result=3","7178776")</f>
        <v>0</v>
      </c>
      <c r="B9026" t="s">
        <v>2720</v>
      </c>
      <c r="C9026" t="s">
        <v>12145</v>
      </c>
      <c r="E9026" t="s">
        <v>24945</v>
      </c>
      <c r="F9026" t="s">
        <v>29372</v>
      </c>
      <c r="G9026" t="s">
        <v>29380</v>
      </c>
      <c r="H9026" t="s">
        <v>11048</v>
      </c>
      <c r="I9026" t="s">
        <v>29428</v>
      </c>
      <c r="J9026" t="s">
        <v>30645</v>
      </c>
      <c r="K9026" t="s">
        <v>38496</v>
      </c>
      <c r="M9026" t="s">
        <v>41701</v>
      </c>
      <c r="N9026" t="s">
        <v>42669</v>
      </c>
      <c r="O9026" t="s">
        <v>42670</v>
      </c>
      <c r="P9026">
        <v>0</v>
      </c>
      <c r="Q9026">
        <v>2</v>
      </c>
      <c r="R9026" t="s">
        <v>42681</v>
      </c>
      <c r="S9026" t="s">
        <v>42966</v>
      </c>
      <c r="T9026" t="s">
        <v>44643</v>
      </c>
      <c r="U9026" t="s">
        <v>52193</v>
      </c>
      <c r="W9026" t="s">
        <v>41701</v>
      </c>
      <c r="X9026" t="s">
        <v>42682</v>
      </c>
    </row>
    <row r="9027" spans="1:24">
      <c r="A9027">
        <f>HYPERLINK("https://www.philgeps.gov.ph/GEPSNONPILOT/Tender/SplashBidNoticeAbstractUI.aspx?menuIndex=3&amp;refID=7178965&amp;Result=3","7178965")</f>
        <v>0</v>
      </c>
      <c r="B9027" t="s">
        <v>957</v>
      </c>
      <c r="C9027" t="s">
        <v>12146</v>
      </c>
      <c r="D9027" t="s">
        <v>17143</v>
      </c>
      <c r="E9027" t="s">
        <v>24974</v>
      </c>
      <c r="F9027" t="s">
        <v>29372</v>
      </c>
      <c r="G9027" t="s">
        <v>29380</v>
      </c>
      <c r="H9027" t="s">
        <v>11048</v>
      </c>
      <c r="I9027" t="s">
        <v>29452</v>
      </c>
      <c r="J9027" t="s">
        <v>35287</v>
      </c>
      <c r="K9027" t="s">
        <v>38510</v>
      </c>
      <c r="L9027" t="s">
        <v>957</v>
      </c>
      <c r="M9027" t="s">
        <v>39753</v>
      </c>
      <c r="N9027" t="s">
        <v>42669</v>
      </c>
      <c r="O9027" t="s">
        <v>42670</v>
      </c>
      <c r="P9027">
        <v>0</v>
      </c>
      <c r="Q9027">
        <v>0</v>
      </c>
      <c r="R9027" t="s">
        <v>42681</v>
      </c>
      <c r="S9027" t="s">
        <v>42966</v>
      </c>
      <c r="T9027" t="s">
        <v>44488</v>
      </c>
      <c r="U9027" t="s">
        <v>51955</v>
      </c>
      <c r="W9027" t="s">
        <v>39753</v>
      </c>
      <c r="X9027" t="s">
        <v>42682</v>
      </c>
    </row>
    <row r="9028" spans="1:24">
      <c r="A9028">
        <f>HYPERLINK("https://www.philgeps.gov.ph/GEPSNONPILOT/Tender/SplashBidNoticeAbstractUI.aspx?menuIndex=3&amp;refID=7178971&amp;Result=3","7178971")</f>
        <v>0</v>
      </c>
      <c r="B9028" t="s">
        <v>2736</v>
      </c>
      <c r="C9028" t="s">
        <v>12147</v>
      </c>
      <c r="D9028" t="s">
        <v>17204</v>
      </c>
      <c r="E9028" t="s">
        <v>24975</v>
      </c>
      <c r="F9028" t="s">
        <v>29372</v>
      </c>
      <c r="G9028" t="s">
        <v>29380</v>
      </c>
      <c r="H9028" t="s">
        <v>11048</v>
      </c>
      <c r="I9028" t="s">
        <v>9469</v>
      </c>
      <c r="J9028" t="s">
        <v>35310</v>
      </c>
      <c r="K9028" t="s">
        <v>38528</v>
      </c>
      <c r="M9028" t="s">
        <v>41719</v>
      </c>
      <c r="N9028" t="s">
        <v>42669</v>
      </c>
      <c r="O9028" t="s">
        <v>42670</v>
      </c>
      <c r="P9028">
        <v>0</v>
      </c>
      <c r="Q9028">
        <v>18</v>
      </c>
      <c r="R9028" t="s">
        <v>42681</v>
      </c>
      <c r="S9028" t="s">
        <v>42966</v>
      </c>
      <c r="T9028" t="s">
        <v>44559</v>
      </c>
      <c r="U9028" t="s">
        <v>52194</v>
      </c>
      <c r="W9028" t="s">
        <v>41719</v>
      </c>
      <c r="X9028" t="s">
        <v>42682</v>
      </c>
    </row>
    <row r="9029" spans="1:24">
      <c r="A9029">
        <f>HYPERLINK("https://www.philgeps.gov.ph/GEPSNONPILOT/Tender/SplashBidNoticeAbstractUI.aspx?menuIndex=3&amp;refID=7179137&amp;Result=3","7179137")</f>
        <v>0</v>
      </c>
      <c r="B9029" t="s">
        <v>2737</v>
      </c>
      <c r="C9029" t="s">
        <v>12148</v>
      </c>
      <c r="D9029" t="s">
        <v>17170</v>
      </c>
      <c r="E9029" t="s">
        <v>24976</v>
      </c>
      <c r="F9029" t="s">
        <v>29372</v>
      </c>
      <c r="G9029" t="s">
        <v>29380</v>
      </c>
      <c r="H9029" t="s">
        <v>29389</v>
      </c>
      <c r="I9029" t="s">
        <v>10408</v>
      </c>
      <c r="J9029" t="s">
        <v>31498</v>
      </c>
      <c r="K9029" t="s">
        <v>38522</v>
      </c>
      <c r="M9029" t="s">
        <v>41720</v>
      </c>
      <c r="N9029" t="s">
        <v>42669</v>
      </c>
      <c r="O9029" t="s">
        <v>42670</v>
      </c>
      <c r="P9029">
        <v>0</v>
      </c>
      <c r="Q9029">
        <v>1</v>
      </c>
      <c r="R9029" t="s">
        <v>42681</v>
      </c>
      <c r="S9029" t="s">
        <v>42966</v>
      </c>
      <c r="T9029" t="s">
        <v>44355</v>
      </c>
      <c r="U9029" t="s">
        <v>52195</v>
      </c>
      <c r="W9029" t="s">
        <v>41720</v>
      </c>
      <c r="X9029" t="s">
        <v>42682</v>
      </c>
    </row>
    <row r="9030" spans="1:24">
      <c r="A9030">
        <f>HYPERLINK("https://www.philgeps.gov.ph/GEPSNONPILOT/Tender/SplashBidNoticeAbstractUI.aspx?menuIndex=3&amp;refID=7179111&amp;Result=3","7179111")</f>
        <v>0</v>
      </c>
      <c r="B9030" t="s">
        <v>2735</v>
      </c>
      <c r="C9030" t="s">
        <v>12149</v>
      </c>
      <c r="D9030" t="s">
        <v>17161</v>
      </c>
      <c r="E9030" t="s">
        <v>24977</v>
      </c>
      <c r="F9030" t="s">
        <v>29372</v>
      </c>
      <c r="G9030" t="s">
        <v>29380</v>
      </c>
      <c r="H9030" t="s">
        <v>11048</v>
      </c>
      <c r="I9030" t="s">
        <v>29398</v>
      </c>
      <c r="J9030" t="s">
        <v>35311</v>
      </c>
      <c r="K9030" t="s">
        <v>38485</v>
      </c>
      <c r="M9030" t="s">
        <v>41718</v>
      </c>
      <c r="N9030" t="s">
        <v>42669</v>
      </c>
      <c r="O9030" t="s">
        <v>42670</v>
      </c>
      <c r="P9030">
        <v>0</v>
      </c>
      <c r="Q9030">
        <v>0</v>
      </c>
      <c r="R9030" t="s">
        <v>42681</v>
      </c>
      <c r="S9030" t="s">
        <v>42966</v>
      </c>
      <c r="T9030" t="s">
        <v>44470</v>
      </c>
      <c r="U9030" t="s">
        <v>52196</v>
      </c>
      <c r="W9030" t="s">
        <v>41718</v>
      </c>
      <c r="X9030" t="s">
        <v>42682</v>
      </c>
    </row>
    <row r="9031" spans="1:24">
      <c r="A9031">
        <f>HYPERLINK("https://www.philgeps.gov.ph/GEPSNONPILOT/Tender/SplashBidNoticeAbstractUI.aspx?menuIndex=3&amp;refID=7178706&amp;Result=3","7178706")</f>
        <v>0</v>
      </c>
      <c r="B9031" t="s">
        <v>2738</v>
      </c>
      <c r="C9031" t="s">
        <v>12150</v>
      </c>
      <c r="D9031" t="s">
        <v>17142</v>
      </c>
      <c r="E9031" t="s">
        <v>24978</v>
      </c>
      <c r="F9031" t="s">
        <v>29372</v>
      </c>
      <c r="G9031" t="s">
        <v>29380</v>
      </c>
      <c r="H9031" t="s">
        <v>29389</v>
      </c>
      <c r="I9031" t="s">
        <v>10408</v>
      </c>
      <c r="J9031" t="s">
        <v>35312</v>
      </c>
      <c r="K9031" t="s">
        <v>38558</v>
      </c>
      <c r="M9031" t="s">
        <v>41721</v>
      </c>
      <c r="N9031" t="s">
        <v>42669</v>
      </c>
      <c r="O9031" t="s">
        <v>42670</v>
      </c>
      <c r="P9031">
        <v>0</v>
      </c>
      <c r="Q9031">
        <v>0</v>
      </c>
      <c r="R9031" t="s">
        <v>42681</v>
      </c>
      <c r="S9031" t="s">
        <v>42966</v>
      </c>
      <c r="T9031" t="s">
        <v>44427</v>
      </c>
      <c r="U9031" t="s">
        <v>52197</v>
      </c>
      <c r="W9031" t="s">
        <v>41721</v>
      </c>
      <c r="X9031" t="s">
        <v>42682</v>
      </c>
    </row>
    <row r="9032" spans="1:24">
      <c r="A9032">
        <f>HYPERLINK("https://www.philgeps.gov.ph/GEPSNONPILOT/Tender/SplashBidNoticeAbstractUI.aspx?menuIndex=3&amp;refID=7179104&amp;Result=3","7179104")</f>
        <v>0</v>
      </c>
      <c r="B9032" t="s">
        <v>2361</v>
      </c>
      <c r="C9032" t="s">
        <v>12151</v>
      </c>
      <c r="D9032" t="s">
        <v>17201</v>
      </c>
      <c r="E9032" t="s">
        <v>24979</v>
      </c>
      <c r="F9032" t="s">
        <v>29372</v>
      </c>
      <c r="G9032" t="s">
        <v>29380</v>
      </c>
      <c r="H9032" t="s">
        <v>11048</v>
      </c>
      <c r="I9032" t="s">
        <v>4709</v>
      </c>
      <c r="J9032" t="s">
        <v>35313</v>
      </c>
      <c r="K9032" t="s">
        <v>38488</v>
      </c>
      <c r="M9032" t="s">
        <v>41297</v>
      </c>
      <c r="N9032" t="s">
        <v>42669</v>
      </c>
      <c r="O9032" t="s">
        <v>42670</v>
      </c>
      <c r="P9032">
        <v>0</v>
      </c>
      <c r="Q9032">
        <v>0</v>
      </c>
      <c r="R9032" t="s">
        <v>42681</v>
      </c>
      <c r="S9032" t="s">
        <v>42966</v>
      </c>
      <c r="T9032" t="s">
        <v>44488</v>
      </c>
      <c r="U9032" t="s">
        <v>52198</v>
      </c>
      <c r="W9032" t="s">
        <v>41297</v>
      </c>
      <c r="X9032" t="s">
        <v>42682</v>
      </c>
    </row>
    <row r="9033" spans="1:24">
      <c r="A9033">
        <f>HYPERLINK("https://www.philgeps.gov.ph/GEPSNONPILOT/Tender/SplashBidNoticeAbstractUI.aspx?menuIndex=3&amp;refID=7179100&amp;Result=3","7179100")</f>
        <v>0</v>
      </c>
      <c r="B9033" t="s">
        <v>2737</v>
      </c>
      <c r="C9033" t="s">
        <v>12152</v>
      </c>
      <c r="D9033" t="s">
        <v>17170</v>
      </c>
      <c r="E9033" t="s">
        <v>24980</v>
      </c>
      <c r="F9033" t="s">
        <v>29372</v>
      </c>
      <c r="G9033" t="s">
        <v>29380</v>
      </c>
      <c r="H9033" t="s">
        <v>29389</v>
      </c>
      <c r="I9033" t="s">
        <v>10408</v>
      </c>
      <c r="J9033" t="s">
        <v>35314</v>
      </c>
      <c r="K9033" t="s">
        <v>38522</v>
      </c>
      <c r="M9033" t="s">
        <v>41720</v>
      </c>
      <c r="N9033" t="s">
        <v>42669</v>
      </c>
      <c r="O9033" t="s">
        <v>42670</v>
      </c>
      <c r="P9033">
        <v>0</v>
      </c>
      <c r="Q9033">
        <v>1</v>
      </c>
      <c r="R9033" t="s">
        <v>42681</v>
      </c>
      <c r="S9033" t="s">
        <v>42966</v>
      </c>
      <c r="T9033" t="s">
        <v>44355</v>
      </c>
      <c r="U9033" t="s">
        <v>52199</v>
      </c>
      <c r="W9033" t="s">
        <v>41720</v>
      </c>
      <c r="X9033" t="s">
        <v>42682</v>
      </c>
    </row>
    <row r="9034" spans="1:24">
      <c r="A9034">
        <f>HYPERLINK("https://www.philgeps.gov.ph/GEPSNONPILOT/Tender/SplashBidNoticeAbstractUI.aspx?menuIndex=3&amp;refID=7178942&amp;Result=3","7178942")</f>
        <v>0</v>
      </c>
      <c r="B9034" t="s">
        <v>1573</v>
      </c>
      <c r="C9034" t="s">
        <v>12153</v>
      </c>
      <c r="D9034" t="s">
        <v>17194</v>
      </c>
      <c r="E9034" t="s">
        <v>24981</v>
      </c>
      <c r="F9034" t="s">
        <v>29372</v>
      </c>
      <c r="G9034" t="s">
        <v>29380</v>
      </c>
      <c r="H9034" t="s">
        <v>29389</v>
      </c>
      <c r="I9034" t="s">
        <v>10408</v>
      </c>
      <c r="J9034" t="s">
        <v>29623</v>
      </c>
      <c r="K9034" t="s">
        <v>38515</v>
      </c>
      <c r="M9034" t="s">
        <v>41703</v>
      </c>
      <c r="N9034" t="s">
        <v>42669</v>
      </c>
      <c r="O9034" t="s">
        <v>42670</v>
      </c>
      <c r="P9034">
        <v>0</v>
      </c>
      <c r="Q9034">
        <v>4</v>
      </c>
      <c r="R9034" t="s">
        <v>42681</v>
      </c>
      <c r="S9034" t="s">
        <v>42966</v>
      </c>
      <c r="T9034" t="s">
        <v>44368</v>
      </c>
      <c r="U9034" t="s">
        <v>52144</v>
      </c>
      <c r="W9034" t="s">
        <v>41703</v>
      </c>
      <c r="X9034" t="s">
        <v>42682</v>
      </c>
    </row>
    <row r="9035" spans="1:24">
      <c r="A9035">
        <f>HYPERLINK("https://www.philgeps.gov.ph/GEPSNONPILOT/Tender/SplashBidNoticeAbstractUI.aspx?menuIndex=3&amp;refID=7179097&amp;Result=3","7179097")</f>
        <v>0</v>
      </c>
      <c r="B9035" t="s">
        <v>2739</v>
      </c>
      <c r="C9035" t="s">
        <v>12154</v>
      </c>
      <c r="D9035" t="s">
        <v>17147</v>
      </c>
      <c r="E9035" t="s">
        <v>17648</v>
      </c>
      <c r="F9035" t="s">
        <v>29372</v>
      </c>
      <c r="G9035" t="s">
        <v>29380</v>
      </c>
      <c r="H9035" t="s">
        <v>11048</v>
      </c>
      <c r="I9035" t="s">
        <v>3670</v>
      </c>
      <c r="J9035" t="s">
        <v>29752</v>
      </c>
      <c r="K9035" t="s">
        <v>38490</v>
      </c>
      <c r="M9035" t="s">
        <v>41722</v>
      </c>
      <c r="N9035" t="s">
        <v>42669</v>
      </c>
      <c r="O9035" t="s">
        <v>42670</v>
      </c>
      <c r="P9035">
        <v>0</v>
      </c>
      <c r="Q9035">
        <v>0</v>
      </c>
      <c r="R9035" t="s">
        <v>42681</v>
      </c>
      <c r="S9035" t="s">
        <v>42966</v>
      </c>
      <c r="T9035" t="s">
        <v>44512</v>
      </c>
      <c r="U9035" t="s">
        <v>52200</v>
      </c>
      <c r="W9035" t="s">
        <v>41722</v>
      </c>
      <c r="X9035" t="s">
        <v>42682</v>
      </c>
    </row>
    <row r="9036" spans="1:24">
      <c r="A9036">
        <f>HYPERLINK("https://www.philgeps.gov.ph/GEPSNONPILOT/Tender/SplashBidNoticeAbstractUI.aspx?menuIndex=3&amp;refID=7179095&amp;Result=3","7179095")</f>
        <v>0</v>
      </c>
      <c r="B9036" t="s">
        <v>955</v>
      </c>
      <c r="C9036" t="s">
        <v>12155</v>
      </c>
      <c r="E9036" t="s">
        <v>24982</v>
      </c>
      <c r="F9036" t="s">
        <v>29372</v>
      </c>
      <c r="G9036" t="s">
        <v>29380</v>
      </c>
      <c r="H9036" t="s">
        <v>11048</v>
      </c>
      <c r="I9036" t="s">
        <v>3695</v>
      </c>
      <c r="J9036" t="s">
        <v>35315</v>
      </c>
      <c r="K9036" t="s">
        <v>38490</v>
      </c>
      <c r="M9036" t="s">
        <v>39751</v>
      </c>
      <c r="N9036" t="s">
        <v>42669</v>
      </c>
      <c r="O9036" t="s">
        <v>42670</v>
      </c>
      <c r="P9036">
        <v>0</v>
      </c>
      <c r="Q9036">
        <v>11</v>
      </c>
      <c r="R9036" t="s">
        <v>42681</v>
      </c>
      <c r="S9036" t="s">
        <v>42966</v>
      </c>
      <c r="T9036" t="s">
        <v>44355</v>
      </c>
      <c r="U9036" t="s">
        <v>52201</v>
      </c>
      <c r="W9036" t="s">
        <v>39751</v>
      </c>
      <c r="X9036" t="s">
        <v>42682</v>
      </c>
    </row>
    <row r="9037" spans="1:24">
      <c r="A9037">
        <f>HYPERLINK("https://www.philgeps.gov.ph/GEPSNONPILOT/Tender/SplashBidNoticeAbstractUI.aspx?menuIndex=3&amp;refID=7179105&amp;Result=3","7179105")</f>
        <v>0</v>
      </c>
      <c r="B9037" t="s">
        <v>2020</v>
      </c>
      <c r="C9037" t="s">
        <v>12156</v>
      </c>
      <c r="D9037" t="s">
        <v>17177</v>
      </c>
      <c r="E9037" t="s">
        <v>24983</v>
      </c>
      <c r="F9037" t="s">
        <v>29372</v>
      </c>
      <c r="G9037" t="s">
        <v>29380</v>
      </c>
      <c r="H9037" t="s">
        <v>29389</v>
      </c>
      <c r="I9037" t="s">
        <v>10408</v>
      </c>
      <c r="J9037" t="s">
        <v>35316</v>
      </c>
      <c r="K9037" t="s">
        <v>38496</v>
      </c>
      <c r="M9037" t="s">
        <v>41241</v>
      </c>
      <c r="N9037" t="s">
        <v>42669</v>
      </c>
      <c r="O9037" t="s">
        <v>42670</v>
      </c>
      <c r="P9037">
        <v>0</v>
      </c>
      <c r="Q9037">
        <v>0</v>
      </c>
      <c r="R9037" t="s">
        <v>42681</v>
      </c>
      <c r="S9037" t="s">
        <v>42966</v>
      </c>
      <c r="T9037" t="s">
        <v>44503</v>
      </c>
      <c r="U9037" t="s">
        <v>52202</v>
      </c>
      <c r="V9037" t="s">
        <v>57146</v>
      </c>
      <c r="W9037" t="s">
        <v>41241</v>
      </c>
      <c r="X9037" t="s">
        <v>42682</v>
      </c>
    </row>
    <row r="9038" spans="1:24">
      <c r="A9038">
        <f>HYPERLINK("https://www.philgeps.gov.ph/GEPSNONPILOT/Tender/SplashBidNoticeAbstractUI.aspx?menuIndex=3&amp;refID=7179075&amp;Result=3","7179075")</f>
        <v>0</v>
      </c>
      <c r="B9038" t="s">
        <v>2740</v>
      </c>
      <c r="C9038" t="s">
        <v>12157</v>
      </c>
      <c r="D9038" t="s">
        <v>17176</v>
      </c>
      <c r="E9038" t="s">
        <v>24984</v>
      </c>
      <c r="F9038" t="s">
        <v>29372</v>
      </c>
      <c r="G9038" t="s">
        <v>29380</v>
      </c>
      <c r="H9038" t="s">
        <v>11048</v>
      </c>
      <c r="I9038" t="s">
        <v>29440</v>
      </c>
      <c r="J9038" t="s">
        <v>35317</v>
      </c>
      <c r="K9038" t="s">
        <v>38485</v>
      </c>
      <c r="M9038" t="s">
        <v>41723</v>
      </c>
      <c r="N9038" t="s">
        <v>42669</v>
      </c>
      <c r="O9038" t="s">
        <v>42670</v>
      </c>
      <c r="P9038">
        <v>0</v>
      </c>
      <c r="Q9038">
        <v>3</v>
      </c>
      <c r="R9038" t="s">
        <v>42681</v>
      </c>
      <c r="S9038" t="s">
        <v>42966</v>
      </c>
      <c r="T9038" t="s">
        <v>44390</v>
      </c>
      <c r="U9038" t="s">
        <v>52203</v>
      </c>
      <c r="W9038" t="s">
        <v>41723</v>
      </c>
      <c r="X9038" t="s">
        <v>42682</v>
      </c>
    </row>
    <row r="9039" spans="1:24">
      <c r="A9039">
        <f>HYPERLINK("https://www.philgeps.gov.ph/GEPSNONPILOT/Tender/SplashBidNoticeAbstractUI.aspx?menuIndex=3&amp;refID=7179114&amp;Result=3","7179114")</f>
        <v>0</v>
      </c>
      <c r="B9039" t="s">
        <v>955</v>
      </c>
      <c r="C9039" t="s">
        <v>12158</v>
      </c>
      <c r="E9039" t="s">
        <v>24985</v>
      </c>
      <c r="F9039" t="s">
        <v>29372</v>
      </c>
      <c r="G9039" t="s">
        <v>29380</v>
      </c>
      <c r="H9039" t="s">
        <v>11048</v>
      </c>
      <c r="I9039" t="s">
        <v>29407</v>
      </c>
      <c r="J9039" t="s">
        <v>35318</v>
      </c>
      <c r="K9039" t="s">
        <v>38490</v>
      </c>
      <c r="M9039" t="s">
        <v>39751</v>
      </c>
      <c r="N9039" t="s">
        <v>42669</v>
      </c>
      <c r="O9039" t="s">
        <v>42670</v>
      </c>
      <c r="P9039">
        <v>0</v>
      </c>
      <c r="Q9039">
        <v>7</v>
      </c>
      <c r="R9039" t="s">
        <v>42681</v>
      </c>
      <c r="S9039" t="s">
        <v>42966</v>
      </c>
      <c r="T9039" t="s">
        <v>44355</v>
      </c>
      <c r="U9039" t="s">
        <v>52204</v>
      </c>
      <c r="W9039" t="s">
        <v>39751</v>
      </c>
      <c r="X9039" t="s">
        <v>42682</v>
      </c>
    </row>
    <row r="9040" spans="1:24">
      <c r="A9040">
        <f>HYPERLINK("https://www.philgeps.gov.ph/GEPSNONPILOT/Tender/SplashBidNoticeAbstractUI.aspx?menuIndex=3&amp;refID=7179074&amp;Result=3","7179074")</f>
        <v>0</v>
      </c>
      <c r="B9040" t="s">
        <v>2741</v>
      </c>
      <c r="C9040" t="s">
        <v>12159</v>
      </c>
      <c r="D9040" t="s">
        <v>17168</v>
      </c>
      <c r="E9040" t="s">
        <v>24986</v>
      </c>
      <c r="F9040" t="s">
        <v>29373</v>
      </c>
      <c r="G9040" t="s">
        <v>29380</v>
      </c>
      <c r="H9040" t="s">
        <v>11048</v>
      </c>
      <c r="I9040" t="s">
        <v>9469</v>
      </c>
      <c r="J9040" t="s">
        <v>35319</v>
      </c>
      <c r="K9040" t="s">
        <v>38510</v>
      </c>
      <c r="M9040" t="s">
        <v>41724</v>
      </c>
      <c r="N9040" t="s">
        <v>42669</v>
      </c>
      <c r="O9040" t="s">
        <v>42670</v>
      </c>
      <c r="P9040">
        <v>0</v>
      </c>
      <c r="Q9040">
        <v>0</v>
      </c>
      <c r="R9040" t="s">
        <v>42681</v>
      </c>
      <c r="S9040" t="s">
        <v>42966</v>
      </c>
      <c r="T9040" t="s">
        <v>44770</v>
      </c>
      <c r="U9040" t="s">
        <v>52205</v>
      </c>
      <c r="W9040" t="s">
        <v>41724</v>
      </c>
      <c r="X9040" t="s">
        <v>42682</v>
      </c>
    </row>
    <row r="9041" spans="1:24">
      <c r="A9041">
        <f>HYPERLINK("https://www.philgeps.gov.ph/GEPSNONPILOT/Tender/SplashBidNoticeAbstractUI.aspx?menuIndex=3&amp;refID=7178973&amp;Result=3","7178973")</f>
        <v>0</v>
      </c>
      <c r="B9041" t="s">
        <v>941</v>
      </c>
      <c r="C9041" t="s">
        <v>12160</v>
      </c>
      <c r="E9041" t="s">
        <v>22808</v>
      </c>
      <c r="F9041" t="s">
        <v>29372</v>
      </c>
      <c r="G9041" t="s">
        <v>29380</v>
      </c>
      <c r="H9041" t="s">
        <v>29389</v>
      </c>
      <c r="I9041" t="s">
        <v>10408</v>
      </c>
      <c r="J9041" t="s">
        <v>35320</v>
      </c>
      <c r="K9041" t="s">
        <v>38496</v>
      </c>
      <c r="M9041" t="s">
        <v>39736</v>
      </c>
      <c r="N9041" t="s">
        <v>42669</v>
      </c>
      <c r="O9041" t="s">
        <v>42670</v>
      </c>
      <c r="P9041">
        <v>0</v>
      </c>
      <c r="Q9041">
        <v>1</v>
      </c>
      <c r="R9041" t="s">
        <v>42681</v>
      </c>
      <c r="S9041" t="s">
        <v>42966</v>
      </c>
      <c r="T9041" t="s">
        <v>44503</v>
      </c>
      <c r="U9041" t="s">
        <v>52206</v>
      </c>
      <c r="W9041" t="s">
        <v>39736</v>
      </c>
      <c r="X9041" t="s">
        <v>42682</v>
      </c>
    </row>
    <row r="9042" spans="1:24">
      <c r="A9042">
        <f>HYPERLINK("https://www.philgeps.gov.ph/GEPSNONPILOT/Tender/SplashBidNoticeAbstractUI.aspx?menuIndex=3&amp;refID=7179262&amp;Result=3","7179262")</f>
        <v>0</v>
      </c>
      <c r="B9042" t="s">
        <v>2020</v>
      </c>
      <c r="C9042" t="s">
        <v>12161</v>
      </c>
      <c r="D9042" t="s">
        <v>17177</v>
      </c>
      <c r="E9042" t="s">
        <v>24987</v>
      </c>
      <c r="F9042" t="s">
        <v>29372</v>
      </c>
      <c r="G9042" t="s">
        <v>29380</v>
      </c>
      <c r="H9042" t="s">
        <v>29389</v>
      </c>
      <c r="I9042" t="s">
        <v>10408</v>
      </c>
      <c r="J9042" t="s">
        <v>35321</v>
      </c>
      <c r="K9042" t="s">
        <v>38525</v>
      </c>
      <c r="M9042" t="s">
        <v>41241</v>
      </c>
      <c r="N9042" t="s">
        <v>42669</v>
      </c>
      <c r="O9042" t="s">
        <v>42670</v>
      </c>
      <c r="P9042">
        <v>0</v>
      </c>
      <c r="Q9042">
        <v>0</v>
      </c>
      <c r="R9042" t="s">
        <v>42681</v>
      </c>
      <c r="S9042" t="s">
        <v>42966</v>
      </c>
      <c r="T9042" t="s">
        <v>44503</v>
      </c>
      <c r="U9042" t="s">
        <v>52207</v>
      </c>
      <c r="V9042" t="s">
        <v>57146</v>
      </c>
      <c r="W9042" t="s">
        <v>41241</v>
      </c>
      <c r="X9042" t="s">
        <v>42682</v>
      </c>
    </row>
    <row r="9043" spans="1:24">
      <c r="A9043">
        <f>HYPERLINK("https://www.philgeps.gov.ph/GEPSNONPILOT/Tender/SplashBidNoticeAbstractUI.aspx?menuIndex=3&amp;refID=7179254&amp;Result=3","7179254")</f>
        <v>0</v>
      </c>
      <c r="B9043" t="s">
        <v>2742</v>
      </c>
      <c r="C9043" t="s">
        <v>12162</v>
      </c>
      <c r="D9043" t="s">
        <v>17185</v>
      </c>
      <c r="E9043" t="s">
        <v>24988</v>
      </c>
      <c r="F9043" t="s">
        <v>29372</v>
      </c>
      <c r="G9043" t="s">
        <v>29380</v>
      </c>
      <c r="H9043" t="s">
        <v>29389</v>
      </c>
      <c r="I9043" t="s">
        <v>10408</v>
      </c>
      <c r="J9043" t="s">
        <v>35322</v>
      </c>
      <c r="K9043" t="s">
        <v>38497</v>
      </c>
      <c r="M9043" t="s">
        <v>41725</v>
      </c>
      <c r="N9043" t="s">
        <v>42669</v>
      </c>
      <c r="O9043" t="s">
        <v>42670</v>
      </c>
      <c r="P9043">
        <v>0</v>
      </c>
      <c r="Q9043">
        <v>2</v>
      </c>
      <c r="R9043" t="s">
        <v>42681</v>
      </c>
      <c r="S9043" t="s">
        <v>42966</v>
      </c>
      <c r="T9043" t="s">
        <v>44390</v>
      </c>
      <c r="U9043" t="s">
        <v>52208</v>
      </c>
      <c r="W9043" t="s">
        <v>41725</v>
      </c>
      <c r="X9043" t="s">
        <v>42682</v>
      </c>
    </row>
    <row r="9044" spans="1:24">
      <c r="A9044">
        <f>HYPERLINK("https://www.philgeps.gov.ph/GEPSNONPILOT/Tender/SplashBidNoticeAbstractUI.aspx?menuIndex=3&amp;refID=7179241&amp;Result=3","7179241")</f>
        <v>0</v>
      </c>
      <c r="B9044" t="s">
        <v>2020</v>
      </c>
      <c r="C9044" t="s">
        <v>12163</v>
      </c>
      <c r="D9044" t="s">
        <v>17177</v>
      </c>
      <c r="E9044" t="s">
        <v>24989</v>
      </c>
      <c r="F9044" t="s">
        <v>29372</v>
      </c>
      <c r="G9044" t="s">
        <v>29380</v>
      </c>
      <c r="H9044" t="s">
        <v>29389</v>
      </c>
      <c r="I9044" t="s">
        <v>10408</v>
      </c>
      <c r="J9044" t="s">
        <v>35323</v>
      </c>
      <c r="K9044" t="s">
        <v>38495</v>
      </c>
      <c r="M9044" t="s">
        <v>41241</v>
      </c>
      <c r="N9044" t="s">
        <v>42669</v>
      </c>
      <c r="O9044" t="s">
        <v>42670</v>
      </c>
      <c r="P9044">
        <v>0</v>
      </c>
      <c r="Q9044">
        <v>0</v>
      </c>
      <c r="R9044" t="s">
        <v>42681</v>
      </c>
      <c r="S9044" t="s">
        <v>42966</v>
      </c>
      <c r="T9044" t="s">
        <v>44503</v>
      </c>
      <c r="U9044" t="s">
        <v>52209</v>
      </c>
      <c r="V9044" t="s">
        <v>57146</v>
      </c>
      <c r="W9044" t="s">
        <v>41241</v>
      </c>
      <c r="X9044" t="s">
        <v>42682</v>
      </c>
    </row>
    <row r="9045" spans="1:24">
      <c r="A9045">
        <f>HYPERLINK("https://www.philgeps.gov.ph/GEPSNONPILOT/Tender/SplashBidNoticeAbstractUI.aspx?menuIndex=3&amp;refID=7179227&amp;Result=3","7179227")</f>
        <v>0</v>
      </c>
      <c r="B9045" t="s">
        <v>2742</v>
      </c>
      <c r="C9045" t="s">
        <v>12164</v>
      </c>
      <c r="D9045" t="s">
        <v>17185</v>
      </c>
      <c r="E9045" t="s">
        <v>24990</v>
      </c>
      <c r="F9045" t="s">
        <v>29372</v>
      </c>
      <c r="G9045" t="s">
        <v>29380</v>
      </c>
      <c r="H9045" t="s">
        <v>29389</v>
      </c>
      <c r="I9045" t="s">
        <v>10408</v>
      </c>
      <c r="J9045" t="s">
        <v>35324</v>
      </c>
      <c r="K9045" t="s">
        <v>38552</v>
      </c>
      <c r="M9045" t="s">
        <v>41725</v>
      </c>
      <c r="N9045" t="s">
        <v>42669</v>
      </c>
      <c r="O9045" t="s">
        <v>42670</v>
      </c>
      <c r="P9045">
        <v>0</v>
      </c>
      <c r="Q9045">
        <v>0</v>
      </c>
      <c r="R9045" t="s">
        <v>42681</v>
      </c>
      <c r="S9045" t="s">
        <v>42966</v>
      </c>
      <c r="T9045" t="s">
        <v>44390</v>
      </c>
      <c r="U9045" t="s">
        <v>52210</v>
      </c>
      <c r="W9045" t="s">
        <v>41725</v>
      </c>
      <c r="X9045" t="s">
        <v>42682</v>
      </c>
    </row>
    <row r="9046" spans="1:24">
      <c r="A9046">
        <f>HYPERLINK("https://www.philgeps.gov.ph/GEPSNONPILOT/Tender/SplashBidNoticeAbstractUI.aspx?menuIndex=3&amp;refID=7179139&amp;Result=3","7179139")</f>
        <v>0</v>
      </c>
      <c r="B9046" t="s">
        <v>955</v>
      </c>
      <c r="C9046" t="s">
        <v>12165</v>
      </c>
      <c r="E9046" t="s">
        <v>24991</v>
      </c>
      <c r="F9046" t="s">
        <v>29372</v>
      </c>
      <c r="G9046" t="s">
        <v>29380</v>
      </c>
      <c r="H9046" t="s">
        <v>11048</v>
      </c>
      <c r="I9046" t="s">
        <v>29414</v>
      </c>
      <c r="J9046" t="s">
        <v>35043</v>
      </c>
      <c r="K9046" t="s">
        <v>38490</v>
      </c>
      <c r="M9046" t="s">
        <v>39751</v>
      </c>
      <c r="N9046" t="s">
        <v>42669</v>
      </c>
      <c r="O9046" t="s">
        <v>42670</v>
      </c>
      <c r="P9046">
        <v>0</v>
      </c>
      <c r="Q9046">
        <v>17</v>
      </c>
      <c r="R9046" t="s">
        <v>42681</v>
      </c>
      <c r="S9046" t="s">
        <v>42966</v>
      </c>
      <c r="T9046" t="s">
        <v>44355</v>
      </c>
      <c r="U9046" t="s">
        <v>52211</v>
      </c>
      <c r="W9046" t="s">
        <v>39751</v>
      </c>
      <c r="X9046" t="s">
        <v>42682</v>
      </c>
    </row>
    <row r="9047" spans="1:24">
      <c r="A9047">
        <f>HYPERLINK("https://www.philgeps.gov.ph/GEPSNONPILOT/Tender/SplashBidNoticeAbstractUI.aspx?menuIndex=3&amp;refID=7179221&amp;Result=3","7179221")</f>
        <v>0</v>
      </c>
      <c r="B9047" t="s">
        <v>1479</v>
      </c>
      <c r="C9047" t="s">
        <v>12166</v>
      </c>
      <c r="D9047" t="s">
        <v>17156</v>
      </c>
      <c r="E9047" t="s">
        <v>24992</v>
      </c>
      <c r="F9047" t="s">
        <v>29372</v>
      </c>
      <c r="G9047" t="s">
        <v>29380</v>
      </c>
      <c r="H9047" t="s">
        <v>11048</v>
      </c>
      <c r="I9047" t="s">
        <v>8614</v>
      </c>
      <c r="J9047" t="s">
        <v>35325</v>
      </c>
      <c r="K9047" t="s">
        <v>38485</v>
      </c>
      <c r="M9047" t="s">
        <v>40322</v>
      </c>
      <c r="N9047" t="s">
        <v>42669</v>
      </c>
      <c r="O9047" t="s">
        <v>42670</v>
      </c>
      <c r="P9047">
        <v>0</v>
      </c>
      <c r="Q9047">
        <v>4</v>
      </c>
      <c r="R9047" t="s">
        <v>42681</v>
      </c>
      <c r="S9047" t="s">
        <v>42966</v>
      </c>
      <c r="T9047" t="s">
        <v>44684</v>
      </c>
      <c r="U9047" t="s">
        <v>52212</v>
      </c>
      <c r="V9047" t="s">
        <v>56771</v>
      </c>
      <c r="W9047" t="s">
        <v>40322</v>
      </c>
      <c r="X9047" t="s">
        <v>42682</v>
      </c>
    </row>
    <row r="9048" spans="1:24">
      <c r="A9048">
        <f>HYPERLINK("https://www.philgeps.gov.ph/GEPSNONPILOT/Tender/SplashBidNoticeAbstractUI.aspx?menuIndex=3&amp;refID=7179211&amp;Result=3","7179211")</f>
        <v>0</v>
      </c>
      <c r="B9048" t="s">
        <v>1680</v>
      </c>
      <c r="C9048" t="s">
        <v>12167</v>
      </c>
      <c r="D9048" t="s">
        <v>17194</v>
      </c>
      <c r="E9048" t="s">
        <v>24993</v>
      </c>
      <c r="F9048" t="s">
        <v>29372</v>
      </c>
      <c r="G9048" t="s">
        <v>29380</v>
      </c>
      <c r="H9048" t="s">
        <v>11048</v>
      </c>
      <c r="I9048" t="s">
        <v>8614</v>
      </c>
      <c r="J9048" t="s">
        <v>35326</v>
      </c>
      <c r="K9048" t="s">
        <v>38485</v>
      </c>
      <c r="L9048" t="s">
        <v>1680</v>
      </c>
      <c r="M9048" t="s">
        <v>40540</v>
      </c>
      <c r="N9048" t="s">
        <v>42669</v>
      </c>
      <c r="O9048" t="s">
        <v>42670</v>
      </c>
      <c r="P9048">
        <v>0</v>
      </c>
      <c r="Q9048">
        <v>3</v>
      </c>
      <c r="R9048" t="s">
        <v>42681</v>
      </c>
      <c r="S9048" t="s">
        <v>42966</v>
      </c>
      <c r="T9048" t="s">
        <v>44432</v>
      </c>
      <c r="U9048" t="s">
        <v>52213</v>
      </c>
      <c r="V9048" t="s">
        <v>56879</v>
      </c>
      <c r="W9048" t="s">
        <v>40540</v>
      </c>
      <c r="X9048" t="s">
        <v>42682</v>
      </c>
    </row>
    <row r="9049" spans="1:24">
      <c r="A9049">
        <f>HYPERLINK("https://www.philgeps.gov.ph/GEPSNONPILOT/Tender/SplashBidNoticeAbstractUI.aspx?menuIndex=3&amp;refID=7179249&amp;Result=3","7179249")</f>
        <v>0</v>
      </c>
      <c r="B9049" t="s">
        <v>2743</v>
      </c>
      <c r="C9049" t="s">
        <v>12168</v>
      </c>
      <c r="D9049" t="s">
        <v>17141</v>
      </c>
      <c r="E9049" t="s">
        <v>24994</v>
      </c>
      <c r="F9049" t="s">
        <v>29372</v>
      </c>
      <c r="G9049" t="s">
        <v>29380</v>
      </c>
      <c r="H9049" t="s">
        <v>11048</v>
      </c>
      <c r="I9049" t="s">
        <v>4487</v>
      </c>
      <c r="J9049" t="s">
        <v>35327</v>
      </c>
      <c r="K9049" t="s">
        <v>38580</v>
      </c>
      <c r="M9049" t="s">
        <v>41726</v>
      </c>
      <c r="N9049" t="s">
        <v>42669</v>
      </c>
      <c r="O9049" t="s">
        <v>42670</v>
      </c>
      <c r="P9049">
        <v>0</v>
      </c>
      <c r="Q9049">
        <v>17</v>
      </c>
      <c r="R9049" t="s">
        <v>42681</v>
      </c>
      <c r="S9049" t="s">
        <v>42966</v>
      </c>
      <c r="T9049" t="s">
        <v>44368</v>
      </c>
      <c r="U9049" t="s">
        <v>52214</v>
      </c>
      <c r="W9049" t="s">
        <v>41726</v>
      </c>
      <c r="X9049" t="s">
        <v>42682</v>
      </c>
    </row>
    <row r="9050" spans="1:24">
      <c r="A9050">
        <f>HYPERLINK("https://www.philgeps.gov.ph/GEPSNONPILOT/Tender/SplashBidNoticeAbstractUI.aspx?menuIndex=3&amp;refID=7179207&amp;Result=3","7179207")</f>
        <v>0</v>
      </c>
      <c r="B9050" t="s">
        <v>2742</v>
      </c>
      <c r="C9050" t="s">
        <v>12169</v>
      </c>
      <c r="D9050" t="s">
        <v>17185</v>
      </c>
      <c r="E9050" t="s">
        <v>24995</v>
      </c>
      <c r="F9050" t="s">
        <v>29372</v>
      </c>
      <c r="G9050" t="s">
        <v>29380</v>
      </c>
      <c r="H9050" t="s">
        <v>29389</v>
      </c>
      <c r="I9050" t="s">
        <v>10408</v>
      </c>
      <c r="J9050" t="s">
        <v>35324</v>
      </c>
      <c r="K9050" t="s">
        <v>38552</v>
      </c>
      <c r="M9050" t="s">
        <v>41725</v>
      </c>
      <c r="N9050" t="s">
        <v>42669</v>
      </c>
      <c r="O9050" t="s">
        <v>42670</v>
      </c>
      <c r="P9050">
        <v>0</v>
      </c>
      <c r="Q9050">
        <v>0</v>
      </c>
      <c r="R9050" t="s">
        <v>42681</v>
      </c>
      <c r="S9050" t="s">
        <v>42966</v>
      </c>
      <c r="T9050" t="s">
        <v>44390</v>
      </c>
      <c r="U9050" t="s">
        <v>52215</v>
      </c>
      <c r="W9050" t="s">
        <v>41725</v>
      </c>
      <c r="X9050" t="s">
        <v>42682</v>
      </c>
    </row>
    <row r="9051" spans="1:24">
      <c r="A9051">
        <f>HYPERLINK("https://www.philgeps.gov.ph/GEPSNONPILOT/Tender/SplashBidNoticeAbstractUI.aspx?menuIndex=3&amp;refID=7178924&amp;Result=3","7178924")</f>
        <v>0</v>
      </c>
      <c r="B9051" t="s">
        <v>2020</v>
      </c>
      <c r="C9051" t="s">
        <v>12170</v>
      </c>
      <c r="D9051" t="s">
        <v>17177</v>
      </c>
      <c r="E9051" t="s">
        <v>24996</v>
      </c>
      <c r="F9051" t="s">
        <v>29372</v>
      </c>
      <c r="G9051" t="s">
        <v>29380</v>
      </c>
      <c r="H9051" t="s">
        <v>29389</v>
      </c>
      <c r="I9051" t="s">
        <v>10408</v>
      </c>
      <c r="J9051" t="s">
        <v>35328</v>
      </c>
      <c r="K9051" t="s">
        <v>38697</v>
      </c>
      <c r="M9051" t="s">
        <v>41241</v>
      </c>
      <c r="N9051" t="s">
        <v>42669</v>
      </c>
      <c r="O9051" t="s">
        <v>42670</v>
      </c>
      <c r="P9051">
        <v>0</v>
      </c>
      <c r="Q9051">
        <v>1</v>
      </c>
      <c r="R9051" t="s">
        <v>42681</v>
      </c>
      <c r="S9051" t="s">
        <v>42966</v>
      </c>
      <c r="T9051" t="s">
        <v>44368</v>
      </c>
      <c r="U9051" t="s">
        <v>52216</v>
      </c>
      <c r="V9051" t="s">
        <v>57146</v>
      </c>
      <c r="W9051" t="s">
        <v>41241</v>
      </c>
      <c r="X9051" t="s">
        <v>42682</v>
      </c>
    </row>
    <row r="9052" spans="1:24">
      <c r="A9052">
        <f>HYPERLINK("https://www.philgeps.gov.ph/GEPSNONPILOT/Tender/SplashBidNoticeAbstractUI.aspx?menuIndex=3&amp;refID=7179177&amp;Result=3","7179177")</f>
        <v>0</v>
      </c>
      <c r="B9052" t="s">
        <v>2020</v>
      </c>
      <c r="C9052" t="s">
        <v>12171</v>
      </c>
      <c r="D9052" t="s">
        <v>17177</v>
      </c>
      <c r="E9052" t="s">
        <v>24997</v>
      </c>
      <c r="F9052" t="s">
        <v>29372</v>
      </c>
      <c r="G9052" t="s">
        <v>29380</v>
      </c>
      <c r="H9052" t="s">
        <v>29389</v>
      </c>
      <c r="I9052" t="s">
        <v>10408</v>
      </c>
      <c r="J9052" t="s">
        <v>35329</v>
      </c>
      <c r="K9052" t="s">
        <v>38496</v>
      </c>
      <c r="M9052" t="s">
        <v>41241</v>
      </c>
      <c r="N9052" t="s">
        <v>42669</v>
      </c>
      <c r="O9052" t="s">
        <v>42670</v>
      </c>
      <c r="P9052">
        <v>0</v>
      </c>
      <c r="Q9052">
        <v>0</v>
      </c>
      <c r="R9052" t="s">
        <v>42681</v>
      </c>
      <c r="S9052" t="s">
        <v>42966</v>
      </c>
      <c r="T9052" t="s">
        <v>44503</v>
      </c>
      <c r="U9052" t="s">
        <v>52202</v>
      </c>
      <c r="V9052" t="s">
        <v>57146</v>
      </c>
      <c r="W9052" t="s">
        <v>41241</v>
      </c>
      <c r="X9052" t="s">
        <v>42682</v>
      </c>
    </row>
    <row r="9053" spans="1:24">
      <c r="A9053">
        <f>HYPERLINK("https://www.philgeps.gov.ph/GEPSNONPILOT/Tender/SplashBidNoticeAbstractUI.aspx?menuIndex=3&amp;refID=7179162&amp;Result=3","7179162")</f>
        <v>0</v>
      </c>
      <c r="B9053" t="s">
        <v>2020</v>
      </c>
      <c r="C9053" t="s">
        <v>12172</v>
      </c>
      <c r="D9053" t="s">
        <v>17177</v>
      </c>
      <c r="E9053" t="s">
        <v>24998</v>
      </c>
      <c r="F9053" t="s">
        <v>29372</v>
      </c>
      <c r="G9053" t="s">
        <v>29380</v>
      </c>
      <c r="H9053" t="s">
        <v>29389</v>
      </c>
      <c r="I9053" t="s">
        <v>10408</v>
      </c>
      <c r="J9053" t="s">
        <v>35330</v>
      </c>
      <c r="K9053" t="s">
        <v>38495</v>
      </c>
      <c r="M9053" t="s">
        <v>41241</v>
      </c>
      <c r="N9053" t="s">
        <v>42669</v>
      </c>
      <c r="O9053" t="s">
        <v>42670</v>
      </c>
      <c r="P9053">
        <v>0</v>
      </c>
      <c r="Q9053">
        <v>0</v>
      </c>
      <c r="R9053" t="s">
        <v>42681</v>
      </c>
      <c r="S9053" t="s">
        <v>42966</v>
      </c>
      <c r="T9053" t="s">
        <v>44503</v>
      </c>
      <c r="U9053" t="s">
        <v>52202</v>
      </c>
      <c r="V9053" t="s">
        <v>57146</v>
      </c>
      <c r="W9053" t="s">
        <v>41241</v>
      </c>
      <c r="X9053" t="s">
        <v>42682</v>
      </c>
    </row>
    <row r="9054" spans="1:24">
      <c r="A9054">
        <f>HYPERLINK("https://www.philgeps.gov.ph/GEPSNONPILOT/Tender/SplashBidNoticeAbstractUI.aspx?menuIndex=3&amp;refID=7179160&amp;Result=3","7179160")</f>
        <v>0</v>
      </c>
      <c r="B9054" t="s">
        <v>654</v>
      </c>
      <c r="C9054" t="s">
        <v>12173</v>
      </c>
      <c r="D9054" t="s">
        <v>17170</v>
      </c>
      <c r="E9054" t="s">
        <v>24999</v>
      </c>
      <c r="F9054" t="s">
        <v>29372</v>
      </c>
      <c r="G9054" t="s">
        <v>29380</v>
      </c>
      <c r="H9054" t="s">
        <v>29389</v>
      </c>
      <c r="I9054" t="s">
        <v>10408</v>
      </c>
      <c r="J9054" t="s">
        <v>35331</v>
      </c>
      <c r="K9054" t="s">
        <v>38490</v>
      </c>
      <c r="M9054" t="s">
        <v>39428</v>
      </c>
      <c r="N9054" t="s">
        <v>42669</v>
      </c>
      <c r="O9054" t="s">
        <v>42670</v>
      </c>
      <c r="P9054">
        <v>0</v>
      </c>
      <c r="Q9054">
        <v>0</v>
      </c>
      <c r="R9054" t="s">
        <v>42681</v>
      </c>
      <c r="S9054" t="s">
        <v>42966</v>
      </c>
      <c r="T9054" t="s">
        <v>44474</v>
      </c>
      <c r="U9054" t="s">
        <v>46217</v>
      </c>
      <c r="V9054" t="s">
        <v>46217</v>
      </c>
      <c r="W9054" t="s">
        <v>39428</v>
      </c>
      <c r="X9054" t="s">
        <v>42682</v>
      </c>
    </row>
    <row r="9055" spans="1:24">
      <c r="A9055">
        <f>HYPERLINK("https://www.philgeps.gov.ph/GEPSNONPILOT/Tender/SplashBidNoticeAbstractUI.aspx?menuIndex=3&amp;refID=7179084&amp;Result=3","7179084")</f>
        <v>0</v>
      </c>
      <c r="B9055" t="s">
        <v>2020</v>
      </c>
      <c r="C9055" t="s">
        <v>12174</v>
      </c>
      <c r="D9055" t="s">
        <v>17177</v>
      </c>
      <c r="E9055" t="s">
        <v>25000</v>
      </c>
      <c r="F9055" t="s">
        <v>29372</v>
      </c>
      <c r="G9055" t="s">
        <v>29380</v>
      </c>
      <c r="H9055" t="s">
        <v>29389</v>
      </c>
      <c r="I9055" t="s">
        <v>10408</v>
      </c>
      <c r="J9055" t="s">
        <v>35332</v>
      </c>
      <c r="K9055" t="s">
        <v>38495</v>
      </c>
      <c r="M9055" t="s">
        <v>41241</v>
      </c>
      <c r="N9055" t="s">
        <v>42669</v>
      </c>
      <c r="O9055" t="s">
        <v>42670</v>
      </c>
      <c r="P9055">
        <v>0</v>
      </c>
      <c r="Q9055">
        <v>1</v>
      </c>
      <c r="R9055" t="s">
        <v>42681</v>
      </c>
      <c r="S9055" t="s">
        <v>42966</v>
      </c>
      <c r="T9055" t="s">
        <v>44503</v>
      </c>
      <c r="U9055" t="s">
        <v>52217</v>
      </c>
      <c r="V9055" t="s">
        <v>57146</v>
      </c>
      <c r="W9055" t="s">
        <v>41241</v>
      </c>
      <c r="X9055" t="s">
        <v>42682</v>
      </c>
    </row>
    <row r="9056" spans="1:24">
      <c r="A9056">
        <f>HYPERLINK("https://www.philgeps.gov.ph/GEPSNONPILOT/Tender/SplashBidNoticeAbstractUI.aspx?menuIndex=3&amp;refID=7179186&amp;Result=3","7179186")</f>
        <v>0</v>
      </c>
      <c r="B9056" t="s">
        <v>2742</v>
      </c>
      <c r="C9056" t="s">
        <v>12175</v>
      </c>
      <c r="D9056" t="s">
        <v>17185</v>
      </c>
      <c r="E9056" t="s">
        <v>25001</v>
      </c>
      <c r="F9056" t="s">
        <v>29372</v>
      </c>
      <c r="G9056" t="s">
        <v>29380</v>
      </c>
      <c r="H9056" t="s">
        <v>29389</v>
      </c>
      <c r="I9056" t="s">
        <v>10408</v>
      </c>
      <c r="J9056" t="s">
        <v>35333</v>
      </c>
      <c r="K9056" t="s">
        <v>38656</v>
      </c>
      <c r="M9056" t="s">
        <v>41725</v>
      </c>
      <c r="N9056" t="s">
        <v>42669</v>
      </c>
      <c r="O9056" t="s">
        <v>42670</v>
      </c>
      <c r="P9056">
        <v>0</v>
      </c>
      <c r="Q9056">
        <v>0</v>
      </c>
      <c r="R9056" t="s">
        <v>42681</v>
      </c>
      <c r="S9056" t="s">
        <v>42966</v>
      </c>
      <c r="T9056" t="s">
        <v>44390</v>
      </c>
      <c r="U9056" t="s">
        <v>52218</v>
      </c>
      <c r="W9056" t="s">
        <v>41725</v>
      </c>
      <c r="X9056" t="s">
        <v>42682</v>
      </c>
    </row>
    <row r="9057" spans="1:24">
      <c r="A9057">
        <f>HYPERLINK("https://www.philgeps.gov.ph/GEPSNONPILOT/Tender/SplashBidNoticeAbstractUI.aspx?menuIndex=3&amp;refID=7179159&amp;Result=3","7179159")</f>
        <v>0</v>
      </c>
      <c r="B9057" t="s">
        <v>955</v>
      </c>
      <c r="C9057" t="s">
        <v>12176</v>
      </c>
      <c r="E9057" t="s">
        <v>25002</v>
      </c>
      <c r="F9057" t="s">
        <v>29372</v>
      </c>
      <c r="G9057" t="s">
        <v>29380</v>
      </c>
      <c r="H9057" t="s">
        <v>11048</v>
      </c>
      <c r="I9057" t="s">
        <v>29409</v>
      </c>
      <c r="J9057" t="s">
        <v>32508</v>
      </c>
      <c r="K9057" t="s">
        <v>38490</v>
      </c>
      <c r="M9057" t="s">
        <v>39751</v>
      </c>
      <c r="N9057" t="s">
        <v>42669</v>
      </c>
      <c r="O9057" t="s">
        <v>42670</v>
      </c>
      <c r="P9057">
        <v>0</v>
      </c>
      <c r="Q9057">
        <v>7</v>
      </c>
      <c r="R9057" t="s">
        <v>42681</v>
      </c>
      <c r="S9057" t="s">
        <v>42966</v>
      </c>
      <c r="T9057" t="s">
        <v>44355</v>
      </c>
      <c r="U9057" t="s">
        <v>52219</v>
      </c>
      <c r="W9057" t="s">
        <v>39751</v>
      </c>
      <c r="X9057" t="s">
        <v>42682</v>
      </c>
    </row>
    <row r="9058" spans="1:24">
      <c r="A9058">
        <f>HYPERLINK("https://www.philgeps.gov.ph/GEPSNONPILOT/Tender/SplashBidNoticeAbstractUI.aspx?menuIndex=3&amp;refID=7179158&amp;Result=3","7179158")</f>
        <v>0</v>
      </c>
      <c r="B9058" t="s">
        <v>2744</v>
      </c>
      <c r="C9058" t="s">
        <v>12177</v>
      </c>
      <c r="D9058" t="s">
        <v>17170</v>
      </c>
      <c r="E9058" t="s">
        <v>25003</v>
      </c>
      <c r="F9058" t="s">
        <v>29372</v>
      </c>
      <c r="G9058" t="s">
        <v>29380</v>
      </c>
      <c r="H9058" t="s">
        <v>29389</v>
      </c>
      <c r="I9058" t="s">
        <v>10408</v>
      </c>
      <c r="J9058" t="s">
        <v>29555</v>
      </c>
      <c r="K9058" t="s">
        <v>38488</v>
      </c>
      <c r="M9058" t="s">
        <v>41727</v>
      </c>
      <c r="N9058" t="s">
        <v>42669</v>
      </c>
      <c r="O9058" t="s">
        <v>42670</v>
      </c>
      <c r="P9058">
        <v>0</v>
      </c>
      <c r="Q9058">
        <v>0</v>
      </c>
      <c r="R9058" t="s">
        <v>42681</v>
      </c>
      <c r="S9058" t="s">
        <v>42966</v>
      </c>
      <c r="T9058" t="s">
        <v>44481</v>
      </c>
      <c r="U9058" t="s">
        <v>52220</v>
      </c>
      <c r="W9058" t="s">
        <v>41727</v>
      </c>
      <c r="X9058" t="s">
        <v>42682</v>
      </c>
    </row>
    <row r="9059" spans="1:24">
      <c r="A9059">
        <f>HYPERLINK("https://www.philgeps.gov.ph/GEPSNONPILOT/Tender/SplashBidNoticeAbstractUI.aspx?menuIndex=3&amp;refID=7179156&amp;Result=3","7179156")</f>
        <v>0</v>
      </c>
      <c r="B9059" t="s">
        <v>2742</v>
      </c>
      <c r="C9059" t="s">
        <v>12178</v>
      </c>
      <c r="D9059" t="s">
        <v>17185</v>
      </c>
      <c r="E9059" t="s">
        <v>25004</v>
      </c>
      <c r="F9059" t="s">
        <v>29372</v>
      </c>
      <c r="G9059" t="s">
        <v>29380</v>
      </c>
      <c r="H9059" t="s">
        <v>29389</v>
      </c>
      <c r="I9059" t="s">
        <v>10408</v>
      </c>
      <c r="J9059" t="s">
        <v>31869</v>
      </c>
      <c r="K9059" t="s">
        <v>38656</v>
      </c>
      <c r="M9059" t="s">
        <v>41725</v>
      </c>
      <c r="N9059" t="s">
        <v>42669</v>
      </c>
      <c r="O9059" t="s">
        <v>42670</v>
      </c>
      <c r="P9059">
        <v>0</v>
      </c>
      <c r="Q9059">
        <v>0</v>
      </c>
      <c r="R9059" t="s">
        <v>42681</v>
      </c>
      <c r="S9059" t="s">
        <v>42966</v>
      </c>
      <c r="T9059" t="s">
        <v>44390</v>
      </c>
      <c r="U9059" t="s">
        <v>52221</v>
      </c>
      <c r="W9059" t="s">
        <v>41725</v>
      </c>
      <c r="X9059" t="s">
        <v>42682</v>
      </c>
    </row>
    <row r="9060" spans="1:24">
      <c r="A9060">
        <f>HYPERLINK("https://www.philgeps.gov.ph/GEPSNONPILOT/Tender/SplashBidNoticeAbstractUI.aspx?menuIndex=3&amp;refID=7179148&amp;Result=3","7179148")</f>
        <v>0</v>
      </c>
      <c r="B9060" t="s">
        <v>2745</v>
      </c>
      <c r="C9060" t="s">
        <v>12179</v>
      </c>
      <c r="D9060" t="s">
        <v>17172</v>
      </c>
      <c r="E9060" t="s">
        <v>25005</v>
      </c>
      <c r="F9060" t="s">
        <v>29372</v>
      </c>
      <c r="G9060" t="s">
        <v>29379</v>
      </c>
      <c r="H9060" t="s">
        <v>11048</v>
      </c>
      <c r="I9060" t="s">
        <v>29403</v>
      </c>
      <c r="J9060" t="s">
        <v>35334</v>
      </c>
      <c r="K9060" t="s">
        <v>38488</v>
      </c>
      <c r="M9060" t="s">
        <v>41728</v>
      </c>
      <c r="N9060" t="s">
        <v>42669</v>
      </c>
      <c r="O9060" t="s">
        <v>42670</v>
      </c>
      <c r="P9060">
        <v>0</v>
      </c>
      <c r="Q9060">
        <v>0</v>
      </c>
      <c r="R9060" t="s">
        <v>42681</v>
      </c>
      <c r="S9060" t="s">
        <v>42966</v>
      </c>
      <c r="T9060" t="s">
        <v>44512</v>
      </c>
      <c r="U9060" t="s">
        <v>52222</v>
      </c>
      <c r="V9060" t="s">
        <v>57369</v>
      </c>
      <c r="W9060" t="s">
        <v>41728</v>
      </c>
      <c r="X9060" t="s">
        <v>42682</v>
      </c>
    </row>
    <row r="9061" spans="1:24">
      <c r="A9061">
        <f>HYPERLINK("https://www.philgeps.gov.ph/GEPSNONPILOT/Tender/SplashBidNoticeAbstractUI.aspx?menuIndex=3&amp;refID=7179219&amp;Result=3","7179219")</f>
        <v>0</v>
      </c>
      <c r="B9061" t="s">
        <v>2020</v>
      </c>
      <c r="C9061" t="s">
        <v>12180</v>
      </c>
      <c r="D9061" t="s">
        <v>17177</v>
      </c>
      <c r="E9061" t="s">
        <v>25006</v>
      </c>
      <c r="F9061" t="s">
        <v>29372</v>
      </c>
      <c r="G9061" t="s">
        <v>29380</v>
      </c>
      <c r="H9061" t="s">
        <v>29389</v>
      </c>
      <c r="I9061" t="s">
        <v>10408</v>
      </c>
      <c r="J9061" t="s">
        <v>35335</v>
      </c>
      <c r="K9061" t="s">
        <v>38485</v>
      </c>
      <c r="M9061" t="s">
        <v>41241</v>
      </c>
      <c r="N9061" t="s">
        <v>42669</v>
      </c>
      <c r="O9061" t="s">
        <v>42670</v>
      </c>
      <c r="P9061">
        <v>0</v>
      </c>
      <c r="Q9061">
        <v>0</v>
      </c>
      <c r="R9061" t="s">
        <v>42681</v>
      </c>
      <c r="S9061" t="s">
        <v>42966</v>
      </c>
      <c r="T9061" t="s">
        <v>44503</v>
      </c>
      <c r="U9061" t="s">
        <v>52209</v>
      </c>
      <c r="V9061" t="s">
        <v>57146</v>
      </c>
      <c r="W9061" t="s">
        <v>41241</v>
      </c>
      <c r="X9061" t="s">
        <v>42682</v>
      </c>
    </row>
    <row r="9062" spans="1:24">
      <c r="A9062">
        <f>HYPERLINK("https://www.philgeps.gov.ph/GEPSNONPILOT/Tender/SplashBidNoticeAbstractUI.aspx?menuIndex=3&amp;refID=7179090&amp;Result=3","7179090")</f>
        <v>0</v>
      </c>
      <c r="B9062" t="s">
        <v>2735</v>
      </c>
      <c r="C9062" t="s">
        <v>12181</v>
      </c>
      <c r="D9062" t="s">
        <v>17161</v>
      </c>
      <c r="E9062" t="s">
        <v>25007</v>
      </c>
      <c r="F9062" t="s">
        <v>29372</v>
      </c>
      <c r="G9062" t="s">
        <v>29380</v>
      </c>
      <c r="H9062" t="s">
        <v>11048</v>
      </c>
      <c r="I9062" t="s">
        <v>29398</v>
      </c>
      <c r="J9062" t="s">
        <v>35336</v>
      </c>
      <c r="K9062" t="s">
        <v>38485</v>
      </c>
      <c r="M9062" t="s">
        <v>41718</v>
      </c>
      <c r="N9062" t="s">
        <v>42669</v>
      </c>
      <c r="O9062" t="s">
        <v>42670</v>
      </c>
      <c r="P9062">
        <v>0</v>
      </c>
      <c r="Q9062">
        <v>0</v>
      </c>
      <c r="R9062" t="s">
        <v>42681</v>
      </c>
      <c r="S9062" t="s">
        <v>42966</v>
      </c>
      <c r="T9062" t="s">
        <v>44470</v>
      </c>
      <c r="U9062" t="s">
        <v>52223</v>
      </c>
      <c r="W9062" t="s">
        <v>41718</v>
      </c>
      <c r="X9062" t="s">
        <v>42682</v>
      </c>
    </row>
    <row r="9063" spans="1:24">
      <c r="A9063">
        <f>HYPERLINK("https://www.philgeps.gov.ph/GEPSNONPILOT/Tender/SplashBidNoticeAbstractUI.aspx?menuIndex=3&amp;refID=7179049&amp;Result=3","7179049")</f>
        <v>0</v>
      </c>
      <c r="B9063" t="s">
        <v>955</v>
      </c>
      <c r="C9063" t="s">
        <v>12182</v>
      </c>
      <c r="E9063" t="s">
        <v>25008</v>
      </c>
      <c r="F9063" t="s">
        <v>29372</v>
      </c>
      <c r="G9063" t="s">
        <v>29380</v>
      </c>
      <c r="H9063" t="s">
        <v>11048</v>
      </c>
      <c r="I9063" t="s">
        <v>3839</v>
      </c>
      <c r="J9063" t="s">
        <v>35337</v>
      </c>
      <c r="K9063" t="s">
        <v>38490</v>
      </c>
      <c r="M9063" t="s">
        <v>39751</v>
      </c>
      <c r="N9063" t="s">
        <v>42669</v>
      </c>
      <c r="O9063" t="s">
        <v>42670</v>
      </c>
      <c r="P9063">
        <v>0</v>
      </c>
      <c r="Q9063">
        <v>5</v>
      </c>
      <c r="R9063" t="s">
        <v>42681</v>
      </c>
      <c r="S9063" t="s">
        <v>42966</v>
      </c>
      <c r="T9063" t="s">
        <v>44355</v>
      </c>
      <c r="U9063" t="s">
        <v>52224</v>
      </c>
      <c r="W9063" t="s">
        <v>39751</v>
      </c>
      <c r="X9063" t="s">
        <v>42682</v>
      </c>
    </row>
    <row r="9064" spans="1:24">
      <c r="A9064">
        <f>HYPERLINK("https://www.philgeps.gov.ph/GEPSNONPILOT/Tender/SplashBidNoticeAbstractUI.aspx?menuIndex=3&amp;refID=7179040&amp;Result=3","7179040")</f>
        <v>0</v>
      </c>
      <c r="B9064" t="s">
        <v>2735</v>
      </c>
      <c r="C9064" t="s">
        <v>12183</v>
      </c>
      <c r="D9064" t="s">
        <v>17161</v>
      </c>
      <c r="E9064" t="s">
        <v>25009</v>
      </c>
      <c r="F9064" t="s">
        <v>29372</v>
      </c>
      <c r="G9064" t="s">
        <v>29380</v>
      </c>
      <c r="H9064" t="s">
        <v>11048</v>
      </c>
      <c r="I9064" t="s">
        <v>29398</v>
      </c>
      <c r="J9064" t="s">
        <v>35338</v>
      </c>
      <c r="K9064" t="s">
        <v>38485</v>
      </c>
      <c r="M9064" t="s">
        <v>41718</v>
      </c>
      <c r="N9064" t="s">
        <v>42669</v>
      </c>
      <c r="O9064" t="s">
        <v>42670</v>
      </c>
      <c r="P9064">
        <v>0</v>
      </c>
      <c r="Q9064">
        <v>0</v>
      </c>
      <c r="R9064" t="s">
        <v>42681</v>
      </c>
      <c r="S9064" t="s">
        <v>42966</v>
      </c>
      <c r="T9064" t="s">
        <v>44470</v>
      </c>
      <c r="U9064" t="s">
        <v>52225</v>
      </c>
      <c r="W9064" t="s">
        <v>41718</v>
      </c>
      <c r="X9064" t="s">
        <v>42682</v>
      </c>
    </row>
    <row r="9065" spans="1:24">
      <c r="A9065">
        <f>HYPERLINK("https://www.philgeps.gov.ph/GEPSNONPILOT/Tender/SplashBidNoticeAbstractUI.aspx?menuIndex=3&amp;refID=7179037&amp;Result=3","7179037")</f>
        <v>0</v>
      </c>
      <c r="B9065" t="s">
        <v>2020</v>
      </c>
      <c r="C9065" t="s">
        <v>12184</v>
      </c>
      <c r="D9065" t="s">
        <v>17177</v>
      </c>
      <c r="E9065" t="s">
        <v>25010</v>
      </c>
      <c r="F9065" t="s">
        <v>29372</v>
      </c>
      <c r="G9065" t="s">
        <v>29380</v>
      </c>
      <c r="H9065" t="s">
        <v>29389</v>
      </c>
      <c r="I9065" t="s">
        <v>10408</v>
      </c>
      <c r="J9065" t="s">
        <v>35339</v>
      </c>
      <c r="K9065" t="s">
        <v>38522</v>
      </c>
      <c r="M9065" t="s">
        <v>41241</v>
      </c>
      <c r="N9065" t="s">
        <v>42669</v>
      </c>
      <c r="O9065" t="s">
        <v>42670</v>
      </c>
      <c r="P9065">
        <v>0</v>
      </c>
      <c r="Q9065">
        <v>1</v>
      </c>
      <c r="R9065" t="s">
        <v>42681</v>
      </c>
      <c r="S9065" t="s">
        <v>42966</v>
      </c>
      <c r="T9065" t="s">
        <v>44368</v>
      </c>
      <c r="U9065" t="s">
        <v>52189</v>
      </c>
      <c r="V9065" t="s">
        <v>57146</v>
      </c>
      <c r="W9065" t="s">
        <v>41241</v>
      </c>
      <c r="X9065" t="s">
        <v>42682</v>
      </c>
    </row>
    <row r="9066" spans="1:24">
      <c r="A9066">
        <f>HYPERLINK("https://www.philgeps.gov.ph/GEPSNONPILOT/Tender/SplashBidNoticeAbstractUI.aspx?menuIndex=3&amp;refID=7179059&amp;Result=3","7179059")</f>
        <v>0</v>
      </c>
      <c r="B9066" t="s">
        <v>955</v>
      </c>
      <c r="C9066" t="s">
        <v>12185</v>
      </c>
      <c r="E9066" t="s">
        <v>25011</v>
      </c>
      <c r="F9066" t="s">
        <v>29372</v>
      </c>
      <c r="G9066" t="s">
        <v>29380</v>
      </c>
      <c r="H9066" t="s">
        <v>11048</v>
      </c>
      <c r="I9066" t="s">
        <v>3670</v>
      </c>
      <c r="J9066" t="s">
        <v>35340</v>
      </c>
      <c r="K9066" t="s">
        <v>38490</v>
      </c>
      <c r="M9066" t="s">
        <v>39751</v>
      </c>
      <c r="N9066" t="s">
        <v>42669</v>
      </c>
      <c r="O9066" t="s">
        <v>42670</v>
      </c>
      <c r="P9066">
        <v>0</v>
      </c>
      <c r="Q9066">
        <v>1</v>
      </c>
      <c r="R9066" t="s">
        <v>42681</v>
      </c>
      <c r="S9066" t="s">
        <v>42966</v>
      </c>
      <c r="T9066" t="s">
        <v>44355</v>
      </c>
      <c r="U9066" t="s">
        <v>52226</v>
      </c>
      <c r="W9066" t="s">
        <v>39751</v>
      </c>
      <c r="X9066" t="s">
        <v>42682</v>
      </c>
    </row>
    <row r="9067" spans="1:24">
      <c r="A9067">
        <f>HYPERLINK("https://www.philgeps.gov.ph/GEPSNONPILOT/Tender/SplashBidNoticeAbstractUI.aspx?menuIndex=3&amp;refID=7179144&amp;Result=3","7179144")</f>
        <v>0</v>
      </c>
      <c r="B9067" t="s">
        <v>2746</v>
      </c>
      <c r="C9067" t="s">
        <v>12186</v>
      </c>
      <c r="D9067" t="s">
        <v>17201</v>
      </c>
      <c r="E9067" t="s">
        <v>25012</v>
      </c>
      <c r="F9067" t="s">
        <v>29372</v>
      </c>
      <c r="G9067" t="s">
        <v>29380</v>
      </c>
      <c r="H9067" t="s">
        <v>11048</v>
      </c>
      <c r="I9067" t="s">
        <v>29428</v>
      </c>
      <c r="J9067" t="s">
        <v>35341</v>
      </c>
      <c r="K9067" t="s">
        <v>38485</v>
      </c>
      <c r="M9067" t="s">
        <v>41729</v>
      </c>
      <c r="N9067" t="s">
        <v>42669</v>
      </c>
      <c r="O9067" t="s">
        <v>42670</v>
      </c>
      <c r="P9067">
        <v>0</v>
      </c>
      <c r="Q9067">
        <v>1</v>
      </c>
      <c r="R9067" t="s">
        <v>42681</v>
      </c>
      <c r="S9067" t="s">
        <v>42966</v>
      </c>
      <c r="T9067" t="s">
        <v>44771</v>
      </c>
      <c r="U9067" t="s">
        <v>52227</v>
      </c>
      <c r="W9067" t="s">
        <v>41729</v>
      </c>
      <c r="X9067" t="s">
        <v>42682</v>
      </c>
    </row>
    <row r="9068" spans="1:24">
      <c r="A9068">
        <f>HYPERLINK("https://www.philgeps.gov.ph/GEPSNONPILOT/Tender/SplashBidNoticeAbstractUI.aspx?menuIndex=3&amp;refID=7179057&amp;Result=3","7179057")</f>
        <v>0</v>
      </c>
      <c r="B9068" t="s">
        <v>2020</v>
      </c>
      <c r="C9068" t="s">
        <v>12187</v>
      </c>
      <c r="D9068" t="s">
        <v>17177</v>
      </c>
      <c r="E9068" t="s">
        <v>25013</v>
      </c>
      <c r="F9068" t="s">
        <v>29372</v>
      </c>
      <c r="G9068" t="s">
        <v>29380</v>
      </c>
      <c r="H9068" t="s">
        <v>29389</v>
      </c>
      <c r="I9068" t="s">
        <v>10408</v>
      </c>
      <c r="J9068" t="s">
        <v>35342</v>
      </c>
      <c r="K9068" t="s">
        <v>38533</v>
      </c>
      <c r="M9068" t="s">
        <v>41241</v>
      </c>
      <c r="N9068" t="s">
        <v>42669</v>
      </c>
      <c r="O9068" t="s">
        <v>42670</v>
      </c>
      <c r="P9068">
        <v>0</v>
      </c>
      <c r="Q9068">
        <v>0</v>
      </c>
      <c r="R9068" t="s">
        <v>42681</v>
      </c>
      <c r="S9068" t="s">
        <v>42966</v>
      </c>
      <c r="T9068" t="s">
        <v>44368</v>
      </c>
      <c r="U9068" t="s">
        <v>52228</v>
      </c>
      <c r="V9068" t="s">
        <v>57146</v>
      </c>
      <c r="W9068" t="s">
        <v>41241</v>
      </c>
      <c r="X9068" t="s">
        <v>42682</v>
      </c>
    </row>
    <row r="9069" spans="1:24">
      <c r="A9069">
        <f>HYPERLINK("https://www.philgeps.gov.ph/GEPSNONPILOT/Tender/SplashBidNoticeAbstractUI.aspx?menuIndex=3&amp;refID=7178923&amp;Result=3","7178923")</f>
        <v>0</v>
      </c>
      <c r="B9069" t="s">
        <v>1620</v>
      </c>
      <c r="C9069" t="s">
        <v>12188</v>
      </c>
      <c r="E9069" t="s">
        <v>25014</v>
      </c>
      <c r="F9069" t="s">
        <v>29372</v>
      </c>
      <c r="G9069" t="s">
        <v>29380</v>
      </c>
      <c r="H9069" t="s">
        <v>11048</v>
      </c>
      <c r="I9069" t="s">
        <v>29491</v>
      </c>
      <c r="J9069" t="s">
        <v>35343</v>
      </c>
      <c r="K9069" t="s">
        <v>38490</v>
      </c>
      <c r="M9069" t="s">
        <v>40473</v>
      </c>
      <c r="N9069" t="s">
        <v>42669</v>
      </c>
      <c r="O9069" t="s">
        <v>42670</v>
      </c>
      <c r="P9069">
        <v>0</v>
      </c>
      <c r="Q9069">
        <v>5</v>
      </c>
      <c r="R9069" t="s">
        <v>42681</v>
      </c>
      <c r="S9069" t="s">
        <v>42966</v>
      </c>
      <c r="T9069" t="s">
        <v>44446</v>
      </c>
      <c r="U9069" t="s">
        <v>52229</v>
      </c>
      <c r="V9069" t="s">
        <v>56849</v>
      </c>
      <c r="W9069" t="s">
        <v>40473</v>
      </c>
      <c r="X9069" t="s">
        <v>42682</v>
      </c>
    </row>
    <row r="9070" spans="1:24">
      <c r="A9070">
        <f>HYPERLINK("https://www.philgeps.gov.ph/GEPSNONPILOT/Tender/SplashBidNoticeAbstractUI.aspx?menuIndex=3&amp;refID=7178920&amp;Result=3","7178920")</f>
        <v>0</v>
      </c>
      <c r="B9070" t="s">
        <v>957</v>
      </c>
      <c r="C9070" t="s">
        <v>12189</v>
      </c>
      <c r="D9070" t="s">
        <v>17143</v>
      </c>
      <c r="E9070" t="s">
        <v>25015</v>
      </c>
      <c r="F9070" t="s">
        <v>29372</v>
      </c>
      <c r="G9070" t="s">
        <v>29380</v>
      </c>
      <c r="H9070" t="s">
        <v>11048</v>
      </c>
      <c r="I9070" t="s">
        <v>29452</v>
      </c>
      <c r="J9070" t="s">
        <v>35287</v>
      </c>
      <c r="K9070" t="s">
        <v>38510</v>
      </c>
      <c r="L9070" t="s">
        <v>957</v>
      </c>
      <c r="M9070" t="s">
        <v>39753</v>
      </c>
      <c r="N9070" t="s">
        <v>42669</v>
      </c>
      <c r="O9070" t="s">
        <v>42670</v>
      </c>
      <c r="P9070">
        <v>0</v>
      </c>
      <c r="Q9070">
        <v>0</v>
      </c>
      <c r="R9070" t="s">
        <v>42681</v>
      </c>
      <c r="S9070" t="s">
        <v>42966</v>
      </c>
      <c r="T9070" t="s">
        <v>44488</v>
      </c>
      <c r="U9070" t="s">
        <v>52185</v>
      </c>
      <c r="W9070" t="s">
        <v>39753</v>
      </c>
      <c r="X9070" t="s">
        <v>42682</v>
      </c>
    </row>
    <row r="9071" spans="1:24">
      <c r="A9071">
        <f>HYPERLINK("https://www.philgeps.gov.ph/GEPSNONPILOT/Tender/SplashBidNoticeAbstractUI.aspx?menuIndex=3&amp;refID=7179173&amp;Result=3","7179173")</f>
        <v>0</v>
      </c>
      <c r="B9071" t="s">
        <v>2737</v>
      </c>
      <c r="C9071" t="s">
        <v>12190</v>
      </c>
      <c r="D9071" t="s">
        <v>17170</v>
      </c>
      <c r="E9071" t="s">
        <v>25016</v>
      </c>
      <c r="F9071" t="s">
        <v>29372</v>
      </c>
      <c r="G9071" t="s">
        <v>29380</v>
      </c>
      <c r="H9071" t="s">
        <v>29389</v>
      </c>
      <c r="I9071" t="s">
        <v>10408</v>
      </c>
      <c r="J9071" t="s">
        <v>30161</v>
      </c>
      <c r="K9071" t="s">
        <v>38496</v>
      </c>
      <c r="M9071" t="s">
        <v>41720</v>
      </c>
      <c r="N9071" t="s">
        <v>42669</v>
      </c>
      <c r="O9071" t="s">
        <v>42670</v>
      </c>
      <c r="P9071">
        <v>0</v>
      </c>
      <c r="Q9071">
        <v>0</v>
      </c>
      <c r="R9071" t="s">
        <v>42681</v>
      </c>
      <c r="S9071" t="s">
        <v>42966</v>
      </c>
      <c r="T9071" t="s">
        <v>44355</v>
      </c>
      <c r="U9071" t="s">
        <v>52230</v>
      </c>
      <c r="W9071" t="s">
        <v>41720</v>
      </c>
      <c r="X9071" t="s">
        <v>42682</v>
      </c>
    </row>
    <row r="9072" spans="1:24">
      <c r="A9072">
        <f>HYPERLINK("https://www.philgeps.gov.ph/GEPSNONPILOT/Tender/SplashBidNoticeAbstractUI.aspx?menuIndex=3&amp;refID=7179027&amp;Result=3","7179027")</f>
        <v>0</v>
      </c>
      <c r="B9072" t="s">
        <v>2020</v>
      </c>
      <c r="C9072" t="s">
        <v>12191</v>
      </c>
      <c r="D9072" t="s">
        <v>17177</v>
      </c>
      <c r="E9072" t="s">
        <v>25017</v>
      </c>
      <c r="F9072" t="s">
        <v>29372</v>
      </c>
      <c r="G9072" t="s">
        <v>29380</v>
      </c>
      <c r="H9072" t="s">
        <v>29389</v>
      </c>
      <c r="I9072" t="s">
        <v>10408</v>
      </c>
      <c r="J9072" t="s">
        <v>35344</v>
      </c>
      <c r="K9072" t="s">
        <v>38533</v>
      </c>
      <c r="M9072" t="s">
        <v>41241</v>
      </c>
      <c r="N9072" t="s">
        <v>42669</v>
      </c>
      <c r="O9072" t="s">
        <v>42670</v>
      </c>
      <c r="P9072">
        <v>0</v>
      </c>
      <c r="Q9072">
        <v>1</v>
      </c>
      <c r="R9072" t="s">
        <v>42681</v>
      </c>
      <c r="S9072" t="s">
        <v>42966</v>
      </c>
      <c r="T9072" t="s">
        <v>44368</v>
      </c>
      <c r="U9072" t="s">
        <v>52189</v>
      </c>
      <c r="V9072" t="s">
        <v>57146</v>
      </c>
      <c r="W9072" t="s">
        <v>41241</v>
      </c>
      <c r="X9072" t="s">
        <v>42682</v>
      </c>
    </row>
    <row r="9073" spans="1:24">
      <c r="A9073">
        <f>HYPERLINK("https://www.philgeps.gov.ph/GEPSNONPILOT/Tender/SplashBidNoticeAbstractUI.aspx?menuIndex=3&amp;refID=7179034&amp;Result=3","7179034")</f>
        <v>0</v>
      </c>
      <c r="B9073" t="s">
        <v>955</v>
      </c>
      <c r="C9073" t="s">
        <v>12192</v>
      </c>
      <c r="E9073" t="s">
        <v>25018</v>
      </c>
      <c r="F9073" t="s">
        <v>29372</v>
      </c>
      <c r="G9073" t="s">
        <v>29380</v>
      </c>
      <c r="H9073" t="s">
        <v>11048</v>
      </c>
      <c r="I9073" t="s">
        <v>3839</v>
      </c>
      <c r="J9073" t="s">
        <v>35345</v>
      </c>
      <c r="K9073" t="s">
        <v>38490</v>
      </c>
      <c r="M9073" t="s">
        <v>39751</v>
      </c>
      <c r="N9073" t="s">
        <v>42669</v>
      </c>
      <c r="O9073" t="s">
        <v>42670</v>
      </c>
      <c r="P9073">
        <v>0</v>
      </c>
      <c r="Q9073">
        <v>9</v>
      </c>
      <c r="R9073" t="s">
        <v>42681</v>
      </c>
      <c r="S9073" t="s">
        <v>42966</v>
      </c>
      <c r="T9073" t="s">
        <v>44355</v>
      </c>
      <c r="U9073" t="s">
        <v>52231</v>
      </c>
      <c r="W9073" t="s">
        <v>39751</v>
      </c>
      <c r="X9073" t="s">
        <v>42682</v>
      </c>
    </row>
    <row r="9074" spans="1:24">
      <c r="A9074">
        <f>HYPERLINK("https://www.philgeps.gov.ph/GEPSNONPILOT/Tender/SplashBidNoticeAbstractUI.aspx?menuIndex=3&amp;refID=7179273&amp;Result=3","7179273")</f>
        <v>0</v>
      </c>
      <c r="B9074" t="s">
        <v>2737</v>
      </c>
      <c r="C9074" t="s">
        <v>12193</v>
      </c>
      <c r="D9074" t="s">
        <v>17170</v>
      </c>
      <c r="E9074" t="s">
        <v>25019</v>
      </c>
      <c r="F9074" t="s">
        <v>29372</v>
      </c>
      <c r="G9074" t="s">
        <v>29380</v>
      </c>
      <c r="H9074" t="s">
        <v>29389</v>
      </c>
      <c r="I9074" t="s">
        <v>10408</v>
      </c>
      <c r="J9074" t="s">
        <v>29590</v>
      </c>
      <c r="K9074" t="s">
        <v>38487</v>
      </c>
      <c r="M9074" t="s">
        <v>41720</v>
      </c>
      <c r="N9074" t="s">
        <v>42669</v>
      </c>
      <c r="O9074" t="s">
        <v>42670</v>
      </c>
      <c r="P9074">
        <v>0</v>
      </c>
      <c r="Q9074">
        <v>0</v>
      </c>
      <c r="R9074" t="s">
        <v>42681</v>
      </c>
      <c r="S9074" t="s">
        <v>42966</v>
      </c>
      <c r="T9074" t="s">
        <v>44355</v>
      </c>
      <c r="U9074" t="s">
        <v>52232</v>
      </c>
      <c r="W9074" t="s">
        <v>41720</v>
      </c>
      <c r="X9074" t="s">
        <v>42682</v>
      </c>
    </row>
    <row r="9075" spans="1:24">
      <c r="A9075">
        <f>HYPERLINK("https://www.philgeps.gov.ph/GEPSNONPILOT/Tender/SplashBidNoticeAbstractUI.aspx?menuIndex=3&amp;refID=7179250&amp;Result=3","7179250")</f>
        <v>0</v>
      </c>
      <c r="B9075" t="s">
        <v>272</v>
      </c>
      <c r="C9075" t="s">
        <v>12194</v>
      </c>
      <c r="D9075" t="s">
        <v>17206</v>
      </c>
      <c r="E9075" t="s">
        <v>25020</v>
      </c>
      <c r="F9075" t="s">
        <v>29372</v>
      </c>
      <c r="G9075" t="s">
        <v>29380</v>
      </c>
      <c r="H9075" t="s">
        <v>11048</v>
      </c>
      <c r="I9075" t="s">
        <v>8614</v>
      </c>
      <c r="J9075" t="s">
        <v>35346</v>
      </c>
      <c r="K9075" t="s">
        <v>38510</v>
      </c>
      <c r="M9075" t="s">
        <v>41448</v>
      </c>
      <c r="N9075" t="s">
        <v>42669</v>
      </c>
      <c r="O9075" t="s">
        <v>42670</v>
      </c>
      <c r="P9075">
        <v>0</v>
      </c>
      <c r="Q9075">
        <v>8</v>
      </c>
      <c r="R9075" t="s">
        <v>42681</v>
      </c>
      <c r="S9075" t="s">
        <v>42966</v>
      </c>
      <c r="T9075" t="s">
        <v>44559</v>
      </c>
      <c r="U9075" t="s">
        <v>52233</v>
      </c>
      <c r="W9075" t="s">
        <v>41448</v>
      </c>
      <c r="X9075" t="s">
        <v>42682</v>
      </c>
    </row>
    <row r="9076" spans="1:24">
      <c r="A9076">
        <f>HYPERLINK("https://www.philgeps.gov.ph/GEPSNONPILOT/Tender/SplashBidNoticeAbstractUI.aspx?menuIndex=3&amp;refID=7179343&amp;Result=3","7179343")</f>
        <v>0</v>
      </c>
      <c r="B9076" t="s">
        <v>1167</v>
      </c>
      <c r="C9076" t="s">
        <v>12195</v>
      </c>
      <c r="D9076" t="s">
        <v>17212</v>
      </c>
      <c r="E9076" t="s">
        <v>25021</v>
      </c>
      <c r="F9076" t="s">
        <v>29372</v>
      </c>
      <c r="G9076" t="s">
        <v>29380</v>
      </c>
      <c r="H9076" t="s">
        <v>29389</v>
      </c>
      <c r="I9076" t="s">
        <v>10408</v>
      </c>
      <c r="J9076" t="s">
        <v>35347</v>
      </c>
      <c r="K9076" t="s">
        <v>38485</v>
      </c>
      <c r="M9076" t="s">
        <v>39982</v>
      </c>
      <c r="N9076" t="s">
        <v>42669</v>
      </c>
      <c r="O9076" t="s">
        <v>42670</v>
      </c>
      <c r="P9076">
        <v>0</v>
      </c>
      <c r="Q9076">
        <v>0</v>
      </c>
      <c r="R9076" t="s">
        <v>42681</v>
      </c>
      <c r="S9076" t="s">
        <v>42966</v>
      </c>
      <c r="T9076" t="s">
        <v>44557</v>
      </c>
      <c r="U9076" t="s">
        <v>52234</v>
      </c>
      <c r="W9076" t="s">
        <v>39982</v>
      </c>
      <c r="X9076" t="s">
        <v>42682</v>
      </c>
    </row>
    <row r="9077" spans="1:24">
      <c r="A9077">
        <f>HYPERLINK("https://www.philgeps.gov.ph/GEPSNONPILOT/Tender/SplashBidNoticeAbstractUI.aspx?menuIndex=3&amp;refID=7179363&amp;Result=3","7179363")</f>
        <v>0</v>
      </c>
      <c r="B9077" t="s">
        <v>2747</v>
      </c>
      <c r="C9077" t="s">
        <v>12196</v>
      </c>
      <c r="D9077" t="s">
        <v>17197</v>
      </c>
      <c r="E9077" t="s">
        <v>25022</v>
      </c>
      <c r="F9077" t="s">
        <v>29372</v>
      </c>
      <c r="G9077" t="s">
        <v>29380</v>
      </c>
      <c r="H9077" t="s">
        <v>11048</v>
      </c>
      <c r="I9077" t="s">
        <v>29405</v>
      </c>
      <c r="J9077" t="s">
        <v>29708</v>
      </c>
      <c r="K9077" t="s">
        <v>38510</v>
      </c>
      <c r="M9077" t="s">
        <v>41730</v>
      </c>
      <c r="N9077" t="s">
        <v>42669</v>
      </c>
      <c r="O9077" t="s">
        <v>42670</v>
      </c>
      <c r="P9077">
        <v>0</v>
      </c>
      <c r="Q9077">
        <v>0</v>
      </c>
      <c r="R9077" t="s">
        <v>42681</v>
      </c>
      <c r="S9077" t="s">
        <v>42966</v>
      </c>
      <c r="T9077" t="s">
        <v>44568</v>
      </c>
      <c r="U9077" t="s">
        <v>52235</v>
      </c>
      <c r="W9077" t="s">
        <v>58095</v>
      </c>
      <c r="X9077" t="s">
        <v>42682</v>
      </c>
    </row>
    <row r="9078" spans="1:24">
      <c r="A9078">
        <f>HYPERLINK("https://www.philgeps.gov.ph/GEPSNONPILOT/Tender/SplashBidNoticeAbstractUI.aspx?menuIndex=3&amp;refID=7179331&amp;Result=3","7179331")</f>
        <v>0</v>
      </c>
      <c r="B9078" t="s">
        <v>1479</v>
      </c>
      <c r="C9078" t="s">
        <v>12197</v>
      </c>
      <c r="D9078" t="s">
        <v>17156</v>
      </c>
      <c r="E9078" t="s">
        <v>25023</v>
      </c>
      <c r="F9078" t="s">
        <v>29372</v>
      </c>
      <c r="G9078" t="s">
        <v>29380</v>
      </c>
      <c r="H9078" t="s">
        <v>11048</v>
      </c>
      <c r="I9078" t="s">
        <v>9469</v>
      </c>
      <c r="J9078" t="s">
        <v>35348</v>
      </c>
      <c r="K9078" t="s">
        <v>38487</v>
      </c>
      <c r="M9078" t="s">
        <v>40322</v>
      </c>
      <c r="N9078" t="s">
        <v>42669</v>
      </c>
      <c r="O9078" t="s">
        <v>42670</v>
      </c>
      <c r="P9078">
        <v>0</v>
      </c>
      <c r="Q9078">
        <v>3</v>
      </c>
      <c r="R9078" t="s">
        <v>42681</v>
      </c>
      <c r="S9078" t="s">
        <v>42966</v>
      </c>
      <c r="T9078" t="s">
        <v>44684</v>
      </c>
      <c r="U9078" t="s">
        <v>52236</v>
      </c>
      <c r="V9078" t="s">
        <v>56771</v>
      </c>
      <c r="W9078" t="s">
        <v>40322</v>
      </c>
      <c r="X9078" t="s">
        <v>42682</v>
      </c>
    </row>
    <row r="9079" spans="1:24">
      <c r="A9079">
        <f>HYPERLINK("https://www.philgeps.gov.ph/GEPSNONPILOT/Tender/SplashBidNoticeAbstractUI.aspx?menuIndex=3&amp;refID=7179307&amp;Result=3","7179307")</f>
        <v>0</v>
      </c>
      <c r="B9079" t="s">
        <v>2493</v>
      </c>
      <c r="C9079" t="s">
        <v>12198</v>
      </c>
      <c r="D9079" t="s">
        <v>17170</v>
      </c>
      <c r="E9079" t="s">
        <v>24489</v>
      </c>
      <c r="F9079" t="s">
        <v>29372</v>
      </c>
      <c r="G9079" t="s">
        <v>29380</v>
      </c>
      <c r="H9079" t="s">
        <v>11048</v>
      </c>
      <c r="I9079" t="s">
        <v>4709</v>
      </c>
      <c r="J9079" t="s">
        <v>35349</v>
      </c>
      <c r="K9079" t="s">
        <v>38510</v>
      </c>
      <c r="M9079" t="s">
        <v>41444</v>
      </c>
      <c r="N9079" t="s">
        <v>42669</v>
      </c>
      <c r="O9079" t="s">
        <v>42670</v>
      </c>
      <c r="P9079">
        <v>0</v>
      </c>
      <c r="Q9079">
        <v>1</v>
      </c>
      <c r="R9079" t="s">
        <v>42681</v>
      </c>
      <c r="S9079" t="s">
        <v>42966</v>
      </c>
      <c r="T9079" t="s">
        <v>44490</v>
      </c>
      <c r="U9079" t="s">
        <v>52237</v>
      </c>
      <c r="W9079" t="s">
        <v>41444</v>
      </c>
      <c r="X9079" t="s">
        <v>42682</v>
      </c>
    </row>
    <row r="9080" spans="1:24">
      <c r="A9080">
        <f>HYPERLINK("https://www.philgeps.gov.ph/GEPSNONPILOT/Tender/SplashBidNoticeAbstractUI.aspx?menuIndex=3&amp;refID=7179279&amp;Result=3","7179279")</f>
        <v>0</v>
      </c>
      <c r="B9080" t="s">
        <v>2020</v>
      </c>
      <c r="C9080" t="s">
        <v>12199</v>
      </c>
      <c r="D9080" t="s">
        <v>17177</v>
      </c>
      <c r="E9080" t="s">
        <v>25024</v>
      </c>
      <c r="F9080" t="s">
        <v>29372</v>
      </c>
      <c r="G9080" t="s">
        <v>29380</v>
      </c>
      <c r="H9080" t="s">
        <v>29389</v>
      </c>
      <c r="I9080" t="s">
        <v>10408</v>
      </c>
      <c r="J9080" t="s">
        <v>35350</v>
      </c>
      <c r="K9080" t="s">
        <v>38509</v>
      </c>
      <c r="M9080" t="s">
        <v>41241</v>
      </c>
      <c r="N9080" t="s">
        <v>42669</v>
      </c>
      <c r="O9080" t="s">
        <v>42670</v>
      </c>
      <c r="P9080">
        <v>0</v>
      </c>
      <c r="Q9080">
        <v>0</v>
      </c>
      <c r="R9080" t="s">
        <v>42681</v>
      </c>
      <c r="S9080" t="s">
        <v>42966</v>
      </c>
      <c r="T9080" t="s">
        <v>44503</v>
      </c>
      <c r="U9080" t="s">
        <v>52207</v>
      </c>
      <c r="V9080" t="s">
        <v>57146</v>
      </c>
      <c r="W9080" t="s">
        <v>41241</v>
      </c>
      <c r="X9080" t="s">
        <v>42682</v>
      </c>
    </row>
    <row r="9081" spans="1:24">
      <c r="A9081">
        <f>HYPERLINK("https://www.philgeps.gov.ph/GEPSNONPILOT/Tender/SplashBidNoticeAbstractUI.aspx?menuIndex=3&amp;refID=7179294&amp;Result=3","7179294")</f>
        <v>0</v>
      </c>
      <c r="B9081" t="s">
        <v>2020</v>
      </c>
      <c r="C9081" t="s">
        <v>12200</v>
      </c>
      <c r="D9081" t="s">
        <v>17177</v>
      </c>
      <c r="E9081" t="s">
        <v>25025</v>
      </c>
      <c r="F9081" t="s">
        <v>29372</v>
      </c>
      <c r="G9081" t="s">
        <v>29380</v>
      </c>
      <c r="H9081" t="s">
        <v>29389</v>
      </c>
      <c r="I9081" t="s">
        <v>10408</v>
      </c>
      <c r="J9081" t="s">
        <v>35351</v>
      </c>
      <c r="K9081" t="s">
        <v>38495</v>
      </c>
      <c r="M9081" t="s">
        <v>41241</v>
      </c>
      <c r="N9081" t="s">
        <v>42669</v>
      </c>
      <c r="O9081" t="s">
        <v>42670</v>
      </c>
      <c r="P9081">
        <v>0</v>
      </c>
      <c r="Q9081">
        <v>0</v>
      </c>
      <c r="R9081" t="s">
        <v>42681</v>
      </c>
      <c r="S9081" t="s">
        <v>42966</v>
      </c>
      <c r="T9081" t="s">
        <v>44503</v>
      </c>
      <c r="U9081" t="s">
        <v>52207</v>
      </c>
      <c r="V9081" t="s">
        <v>57146</v>
      </c>
      <c r="W9081" t="s">
        <v>41241</v>
      </c>
      <c r="X9081" t="s">
        <v>42682</v>
      </c>
    </row>
    <row r="9082" spans="1:24">
      <c r="A9082">
        <f>HYPERLINK("https://www.philgeps.gov.ph/GEPSNONPILOT/Tender/SplashBidNoticeAbstractUI.aspx?menuIndex=3&amp;refID=7179336&amp;Result=3","7179336")</f>
        <v>0</v>
      </c>
      <c r="B9082" t="s">
        <v>2748</v>
      </c>
      <c r="C9082" t="s">
        <v>12201</v>
      </c>
      <c r="D9082" t="s">
        <v>17147</v>
      </c>
      <c r="E9082" t="s">
        <v>21778</v>
      </c>
      <c r="F9082" t="s">
        <v>29372</v>
      </c>
      <c r="G9082" t="s">
        <v>29380</v>
      </c>
      <c r="H9082" t="s">
        <v>11048</v>
      </c>
      <c r="I9082" t="s">
        <v>4709</v>
      </c>
      <c r="J9082" t="s">
        <v>35352</v>
      </c>
      <c r="K9082" t="s">
        <v>38485</v>
      </c>
      <c r="M9082" t="s">
        <v>41731</v>
      </c>
      <c r="N9082" t="s">
        <v>42669</v>
      </c>
      <c r="O9082" t="s">
        <v>42670</v>
      </c>
      <c r="P9082">
        <v>0</v>
      </c>
      <c r="Q9082">
        <v>0</v>
      </c>
      <c r="R9082" t="s">
        <v>42681</v>
      </c>
      <c r="S9082" t="s">
        <v>42966</v>
      </c>
      <c r="T9082" t="s">
        <v>44457</v>
      </c>
      <c r="U9082" t="s">
        <v>52238</v>
      </c>
      <c r="W9082" t="s">
        <v>41731</v>
      </c>
      <c r="X9082" t="s">
        <v>42682</v>
      </c>
    </row>
    <row r="9083" spans="1:24">
      <c r="A9083">
        <f>HYPERLINK("https://www.philgeps.gov.ph/GEPSNONPILOT/Tender/SplashBidNoticeAbstractUI.aspx?menuIndex=3&amp;refID=7179287&amp;Result=3","7179287")</f>
        <v>0</v>
      </c>
      <c r="B9083" t="s">
        <v>1680</v>
      </c>
      <c r="C9083" t="s">
        <v>12202</v>
      </c>
      <c r="D9083" t="s">
        <v>17194</v>
      </c>
      <c r="E9083" t="s">
        <v>25026</v>
      </c>
      <c r="F9083" t="s">
        <v>29372</v>
      </c>
      <c r="G9083" t="s">
        <v>29379</v>
      </c>
      <c r="H9083" t="s">
        <v>11048</v>
      </c>
      <c r="I9083" t="s">
        <v>8614</v>
      </c>
      <c r="J9083" t="s">
        <v>35353</v>
      </c>
      <c r="K9083" t="s">
        <v>38485</v>
      </c>
      <c r="L9083" t="s">
        <v>1680</v>
      </c>
      <c r="M9083" t="s">
        <v>40540</v>
      </c>
      <c r="N9083" t="s">
        <v>42669</v>
      </c>
      <c r="O9083" t="s">
        <v>42670</v>
      </c>
      <c r="P9083">
        <v>0</v>
      </c>
      <c r="Q9083">
        <v>2</v>
      </c>
      <c r="R9083" t="s">
        <v>42681</v>
      </c>
      <c r="S9083" t="s">
        <v>42966</v>
      </c>
      <c r="T9083" t="s">
        <v>44432</v>
      </c>
      <c r="U9083" t="s">
        <v>52239</v>
      </c>
      <c r="V9083" t="s">
        <v>56879</v>
      </c>
      <c r="W9083" t="s">
        <v>40540</v>
      </c>
      <c r="X9083" t="s">
        <v>42682</v>
      </c>
    </row>
    <row r="9084" spans="1:24">
      <c r="A9084">
        <f>HYPERLINK("https://www.philgeps.gov.ph/GEPSNONPILOT/Tender/SplashBidNoticeAbstractUI.aspx?menuIndex=3&amp;refID=7179325&amp;Result=3","7179325")</f>
        <v>0</v>
      </c>
      <c r="B9084" t="s">
        <v>2737</v>
      </c>
      <c r="C9084" t="s">
        <v>12203</v>
      </c>
      <c r="D9084" t="s">
        <v>17170</v>
      </c>
      <c r="E9084" t="s">
        <v>25027</v>
      </c>
      <c r="F9084" t="s">
        <v>29372</v>
      </c>
      <c r="G9084" t="s">
        <v>29380</v>
      </c>
      <c r="H9084" t="s">
        <v>29389</v>
      </c>
      <c r="I9084" t="s">
        <v>10408</v>
      </c>
      <c r="J9084" t="s">
        <v>29543</v>
      </c>
      <c r="K9084" t="s">
        <v>38495</v>
      </c>
      <c r="M9084" t="s">
        <v>41720</v>
      </c>
      <c r="N9084" t="s">
        <v>42669</v>
      </c>
      <c r="O9084" t="s">
        <v>42670</v>
      </c>
      <c r="P9084">
        <v>0</v>
      </c>
      <c r="Q9084">
        <v>0</v>
      </c>
      <c r="R9084" t="s">
        <v>42681</v>
      </c>
      <c r="S9084" t="s">
        <v>42966</v>
      </c>
      <c r="T9084" t="s">
        <v>44355</v>
      </c>
      <c r="U9084" t="s">
        <v>52240</v>
      </c>
      <c r="W9084" t="s">
        <v>41720</v>
      </c>
      <c r="X9084" t="s">
        <v>42682</v>
      </c>
    </row>
    <row r="9085" spans="1:24">
      <c r="A9085">
        <f>HYPERLINK("https://www.philgeps.gov.ph/GEPSNONPILOT/Tender/SplashBidNoticeAbstractUI.aspx?menuIndex=3&amp;refID=7179398&amp;Result=3","7179398")</f>
        <v>0</v>
      </c>
      <c r="B9085" t="s">
        <v>2690</v>
      </c>
      <c r="C9085" t="s">
        <v>12204</v>
      </c>
      <c r="D9085" t="s">
        <v>17170</v>
      </c>
      <c r="E9085" t="s">
        <v>25028</v>
      </c>
      <c r="F9085" t="s">
        <v>29372</v>
      </c>
      <c r="G9085" t="s">
        <v>29380</v>
      </c>
      <c r="H9085" t="s">
        <v>11048</v>
      </c>
      <c r="I9085" t="s">
        <v>3839</v>
      </c>
      <c r="J9085" t="s">
        <v>29708</v>
      </c>
      <c r="K9085" t="s">
        <v>38488</v>
      </c>
      <c r="M9085" t="s">
        <v>41670</v>
      </c>
      <c r="N9085" t="s">
        <v>42669</v>
      </c>
      <c r="O9085" t="s">
        <v>42670</v>
      </c>
      <c r="P9085">
        <v>0</v>
      </c>
      <c r="Q9085">
        <v>3</v>
      </c>
      <c r="R9085" t="s">
        <v>42681</v>
      </c>
      <c r="S9085" t="s">
        <v>42966</v>
      </c>
      <c r="T9085" t="s">
        <v>44590</v>
      </c>
      <c r="U9085" t="s">
        <v>52241</v>
      </c>
      <c r="W9085" t="s">
        <v>41670</v>
      </c>
      <c r="X9085" t="s">
        <v>42682</v>
      </c>
    </row>
    <row r="9086" spans="1:24">
      <c r="A9086">
        <f>HYPERLINK("https://www.philgeps.gov.ph/GEPSNONPILOT/Tender/SplashBidNoticeAbstractUI.aspx?menuIndex=3&amp;refID=7179392&amp;Result=3","7179392")</f>
        <v>0</v>
      </c>
      <c r="B9086" t="s">
        <v>1167</v>
      </c>
      <c r="C9086" t="s">
        <v>12205</v>
      </c>
      <c r="D9086" t="s">
        <v>17212</v>
      </c>
      <c r="E9086" t="s">
        <v>25029</v>
      </c>
      <c r="F9086" t="s">
        <v>29372</v>
      </c>
      <c r="G9086" t="s">
        <v>29380</v>
      </c>
      <c r="H9086" t="s">
        <v>29389</v>
      </c>
      <c r="I9086" t="s">
        <v>10408</v>
      </c>
      <c r="J9086" t="s">
        <v>34701</v>
      </c>
      <c r="K9086" t="s">
        <v>38496</v>
      </c>
      <c r="M9086" t="s">
        <v>39982</v>
      </c>
      <c r="N9086" t="s">
        <v>42669</v>
      </c>
      <c r="O9086" t="s">
        <v>42670</v>
      </c>
      <c r="P9086">
        <v>0</v>
      </c>
      <c r="Q9086">
        <v>0</v>
      </c>
      <c r="R9086" t="s">
        <v>42681</v>
      </c>
      <c r="S9086" t="s">
        <v>42966</v>
      </c>
      <c r="T9086" t="s">
        <v>44557</v>
      </c>
      <c r="U9086" t="s">
        <v>52242</v>
      </c>
      <c r="W9086" t="s">
        <v>39982</v>
      </c>
      <c r="X9086" t="s">
        <v>42682</v>
      </c>
    </row>
    <row r="9087" spans="1:24">
      <c r="A9087">
        <f>HYPERLINK("https://www.philgeps.gov.ph/GEPSNONPILOT/Tender/SplashBidNoticeAbstractUI.aspx?menuIndex=3&amp;refID=7179291&amp;Result=3","7179291")</f>
        <v>0</v>
      </c>
      <c r="B9087" t="s">
        <v>2361</v>
      </c>
      <c r="C9087" t="s">
        <v>12206</v>
      </c>
      <c r="D9087" t="s">
        <v>17201</v>
      </c>
      <c r="E9087" t="s">
        <v>25030</v>
      </c>
      <c r="F9087" t="s">
        <v>29372</v>
      </c>
      <c r="G9087" t="s">
        <v>29380</v>
      </c>
      <c r="H9087" t="s">
        <v>11048</v>
      </c>
      <c r="I9087" t="s">
        <v>4709</v>
      </c>
      <c r="J9087" t="s">
        <v>35354</v>
      </c>
      <c r="K9087" t="s">
        <v>38488</v>
      </c>
      <c r="M9087" t="s">
        <v>41297</v>
      </c>
      <c r="N9087" t="s">
        <v>42669</v>
      </c>
      <c r="O9087" t="s">
        <v>42670</v>
      </c>
      <c r="P9087">
        <v>0</v>
      </c>
      <c r="Q9087">
        <v>0</v>
      </c>
      <c r="R9087" t="s">
        <v>42681</v>
      </c>
      <c r="S9087" t="s">
        <v>42966</v>
      </c>
      <c r="T9087" t="s">
        <v>44488</v>
      </c>
      <c r="U9087" t="s">
        <v>52243</v>
      </c>
      <c r="W9087" t="s">
        <v>41297</v>
      </c>
      <c r="X9087" t="s">
        <v>42682</v>
      </c>
    </row>
    <row r="9088" spans="1:24">
      <c r="A9088">
        <f>HYPERLINK("https://www.philgeps.gov.ph/GEPSNONPILOT/Tender/SplashBidNoticeAbstractUI.aspx?menuIndex=3&amp;refID=7179380&amp;Result=3","7179380")</f>
        <v>0</v>
      </c>
      <c r="B9088" t="s">
        <v>2732</v>
      </c>
      <c r="C9088" t="s">
        <v>9361</v>
      </c>
      <c r="D9088" t="s">
        <v>17185</v>
      </c>
      <c r="E9088" t="s">
        <v>25031</v>
      </c>
      <c r="F9088" t="s">
        <v>29372</v>
      </c>
      <c r="G9088" t="s">
        <v>29380</v>
      </c>
      <c r="H9088" t="s">
        <v>11048</v>
      </c>
      <c r="I9088" t="s">
        <v>29426</v>
      </c>
      <c r="J9088" t="s">
        <v>31145</v>
      </c>
      <c r="K9088" t="s">
        <v>38510</v>
      </c>
      <c r="M9088" t="s">
        <v>41715</v>
      </c>
      <c r="N9088" t="s">
        <v>42669</v>
      </c>
      <c r="O9088" t="s">
        <v>42670</v>
      </c>
      <c r="P9088">
        <v>0</v>
      </c>
      <c r="Q9088">
        <v>2</v>
      </c>
      <c r="R9088" t="s">
        <v>42681</v>
      </c>
      <c r="S9088" t="s">
        <v>42966</v>
      </c>
      <c r="T9088" t="s">
        <v>44488</v>
      </c>
      <c r="U9088" t="s">
        <v>52244</v>
      </c>
      <c r="W9088" t="s">
        <v>41715</v>
      </c>
      <c r="X9088" t="s">
        <v>42682</v>
      </c>
    </row>
    <row r="9089" spans="1:24">
      <c r="A9089">
        <f>HYPERLINK("https://www.philgeps.gov.ph/GEPSNONPILOT/Tender/SplashBidNoticeAbstractUI.aspx?menuIndex=3&amp;refID=7179405&amp;Result=3","7179405")</f>
        <v>0</v>
      </c>
      <c r="B9089" t="s">
        <v>2749</v>
      </c>
      <c r="C9089" t="s">
        <v>12207</v>
      </c>
      <c r="D9089" t="s">
        <v>17177</v>
      </c>
      <c r="E9089" t="s">
        <v>25032</v>
      </c>
      <c r="F9089" t="s">
        <v>29372</v>
      </c>
      <c r="G9089" t="s">
        <v>29380</v>
      </c>
      <c r="H9089" t="s">
        <v>11048</v>
      </c>
      <c r="I9089" t="s">
        <v>3839</v>
      </c>
      <c r="J9089" t="s">
        <v>35355</v>
      </c>
      <c r="K9089" t="s">
        <v>38488</v>
      </c>
      <c r="M9089" t="s">
        <v>41732</v>
      </c>
      <c r="N9089" t="s">
        <v>42669</v>
      </c>
      <c r="O9089" t="s">
        <v>42670</v>
      </c>
      <c r="P9089">
        <v>0</v>
      </c>
      <c r="Q9089">
        <v>7</v>
      </c>
      <c r="R9089" t="s">
        <v>42681</v>
      </c>
      <c r="S9089" t="s">
        <v>42966</v>
      </c>
      <c r="T9089" t="s">
        <v>44488</v>
      </c>
      <c r="U9089" t="s">
        <v>52245</v>
      </c>
      <c r="W9089" t="s">
        <v>41732</v>
      </c>
      <c r="X9089" t="s">
        <v>42682</v>
      </c>
    </row>
    <row r="9090" spans="1:24">
      <c r="A9090">
        <f>HYPERLINK("https://www.philgeps.gov.ph/GEPSNONPILOT/Tender/SplashBidNoticeAbstractUI.aspx?menuIndex=3&amp;refID=7179391&amp;Result=3","7179391")</f>
        <v>0</v>
      </c>
      <c r="B9090" t="s">
        <v>2020</v>
      </c>
      <c r="C9090" t="s">
        <v>12208</v>
      </c>
      <c r="D9090" t="s">
        <v>17177</v>
      </c>
      <c r="E9090" t="s">
        <v>25033</v>
      </c>
      <c r="F9090" t="s">
        <v>29372</v>
      </c>
      <c r="G9090" t="s">
        <v>29380</v>
      </c>
      <c r="H9090" t="s">
        <v>29389</v>
      </c>
      <c r="I9090" t="s">
        <v>10408</v>
      </c>
      <c r="J9090" t="s">
        <v>35356</v>
      </c>
      <c r="K9090" t="s">
        <v>38496</v>
      </c>
      <c r="M9090" t="s">
        <v>41241</v>
      </c>
      <c r="N9090" t="s">
        <v>42669</v>
      </c>
      <c r="O9090" t="s">
        <v>42670</v>
      </c>
      <c r="P9090">
        <v>0</v>
      </c>
      <c r="Q9090">
        <v>0</v>
      </c>
      <c r="R9090" t="s">
        <v>42681</v>
      </c>
      <c r="S9090" t="s">
        <v>42966</v>
      </c>
      <c r="T9090" t="s">
        <v>44503</v>
      </c>
      <c r="U9090" t="s">
        <v>50626</v>
      </c>
      <c r="V9090" t="s">
        <v>57146</v>
      </c>
      <c r="W9090" t="s">
        <v>41241</v>
      </c>
      <c r="X9090" t="s">
        <v>42682</v>
      </c>
    </row>
    <row r="9091" spans="1:24">
      <c r="A9091">
        <f>HYPERLINK("https://www.philgeps.gov.ph/GEPSNONPILOT/Tender/SplashBidNoticeAbstractUI.aspx?menuIndex=3&amp;refID=7179395&amp;Result=3","7179395")</f>
        <v>0</v>
      </c>
      <c r="B9091" t="s">
        <v>2750</v>
      </c>
      <c r="C9091" t="s">
        <v>12209</v>
      </c>
      <c r="D9091" t="s">
        <v>17177</v>
      </c>
      <c r="E9091" t="s">
        <v>25034</v>
      </c>
      <c r="F9091" t="s">
        <v>29372</v>
      </c>
      <c r="G9091" t="s">
        <v>29381</v>
      </c>
      <c r="H9091" t="s">
        <v>11048</v>
      </c>
      <c r="I9091" t="s">
        <v>9469</v>
      </c>
      <c r="J9091" t="s">
        <v>30244</v>
      </c>
      <c r="K9091" t="s">
        <v>38490</v>
      </c>
      <c r="M9091" t="s">
        <v>41733</v>
      </c>
      <c r="N9091" t="s">
        <v>42669</v>
      </c>
      <c r="O9091" t="s">
        <v>42670</v>
      </c>
      <c r="P9091">
        <v>0</v>
      </c>
      <c r="Q9091">
        <v>9</v>
      </c>
      <c r="R9091" t="s">
        <v>42681</v>
      </c>
      <c r="S9091" t="s">
        <v>42966</v>
      </c>
      <c r="T9091" t="s">
        <v>44378</v>
      </c>
      <c r="U9091" t="s">
        <v>52246</v>
      </c>
      <c r="W9091" t="s">
        <v>41733</v>
      </c>
      <c r="X9091" t="s">
        <v>42682</v>
      </c>
    </row>
    <row r="9092" spans="1:24">
      <c r="A9092">
        <f>HYPERLINK("https://www.philgeps.gov.ph/GEPSNONPILOT/Tender/SplashBidNoticeAbstractUI.aspx?menuIndex=3&amp;refID=7179486&amp;Result=3","7179486")</f>
        <v>0</v>
      </c>
      <c r="B9092" t="s">
        <v>2493</v>
      </c>
      <c r="C9092" t="s">
        <v>12210</v>
      </c>
      <c r="D9092" t="s">
        <v>17170</v>
      </c>
      <c r="E9092" t="s">
        <v>24489</v>
      </c>
      <c r="F9092" t="s">
        <v>29372</v>
      </c>
      <c r="G9092" t="s">
        <v>29380</v>
      </c>
      <c r="H9092" t="s">
        <v>11048</v>
      </c>
      <c r="I9092" t="s">
        <v>4709</v>
      </c>
      <c r="J9092" t="s">
        <v>35357</v>
      </c>
      <c r="K9092" t="s">
        <v>38510</v>
      </c>
      <c r="M9092" t="s">
        <v>41444</v>
      </c>
      <c r="N9092" t="s">
        <v>42669</v>
      </c>
      <c r="O9092" t="s">
        <v>42670</v>
      </c>
      <c r="P9092">
        <v>0</v>
      </c>
      <c r="Q9092">
        <v>2</v>
      </c>
      <c r="R9092" t="s">
        <v>42681</v>
      </c>
      <c r="S9092" t="s">
        <v>42966</v>
      </c>
      <c r="T9092" t="s">
        <v>44490</v>
      </c>
      <c r="U9092" t="s">
        <v>52247</v>
      </c>
      <c r="W9092" t="s">
        <v>41444</v>
      </c>
      <c r="X9092" t="s">
        <v>42682</v>
      </c>
    </row>
    <row r="9093" spans="1:24">
      <c r="A9093">
        <f>HYPERLINK("https://www.philgeps.gov.ph/GEPSNONPILOT/Tender/SplashBidNoticeAbstractUI.aspx?menuIndex=3&amp;refID=7179480&amp;Result=3","7179480")</f>
        <v>0</v>
      </c>
      <c r="B9093" t="s">
        <v>2732</v>
      </c>
      <c r="C9093" t="s">
        <v>12211</v>
      </c>
      <c r="D9093" t="s">
        <v>17185</v>
      </c>
      <c r="E9093" t="s">
        <v>25035</v>
      </c>
      <c r="F9093" t="s">
        <v>29372</v>
      </c>
      <c r="G9093" t="s">
        <v>29380</v>
      </c>
      <c r="H9093" t="s">
        <v>11048</v>
      </c>
      <c r="I9093" t="s">
        <v>29393</v>
      </c>
      <c r="J9093" t="s">
        <v>35358</v>
      </c>
      <c r="K9093" t="s">
        <v>38510</v>
      </c>
      <c r="M9093" t="s">
        <v>41715</v>
      </c>
      <c r="N9093" t="s">
        <v>42669</v>
      </c>
      <c r="O9093" t="s">
        <v>42670</v>
      </c>
      <c r="P9093">
        <v>0</v>
      </c>
      <c r="Q9093">
        <v>0</v>
      </c>
      <c r="R9093" t="s">
        <v>42681</v>
      </c>
      <c r="S9093" t="s">
        <v>42966</v>
      </c>
      <c r="T9093" t="s">
        <v>44488</v>
      </c>
      <c r="U9093" t="s">
        <v>52248</v>
      </c>
      <c r="W9093" t="s">
        <v>41715</v>
      </c>
      <c r="X9093" t="s">
        <v>42682</v>
      </c>
    </row>
    <row r="9094" spans="1:24">
      <c r="A9094">
        <f>HYPERLINK("https://www.philgeps.gov.ph/GEPSNONPILOT/Tender/SplashBidNoticeAbstractUI.aspx?menuIndex=3&amp;refID=7179463&amp;Result=3","7179463")</f>
        <v>0</v>
      </c>
      <c r="B9094" t="s">
        <v>2732</v>
      </c>
      <c r="C9094" t="s">
        <v>12212</v>
      </c>
      <c r="D9094" t="s">
        <v>17185</v>
      </c>
      <c r="E9094" t="s">
        <v>25036</v>
      </c>
      <c r="F9094" t="s">
        <v>29372</v>
      </c>
      <c r="G9094" t="s">
        <v>29380</v>
      </c>
      <c r="H9094" t="s">
        <v>11048</v>
      </c>
      <c r="I9094" t="s">
        <v>29393</v>
      </c>
      <c r="J9094" t="s">
        <v>29625</v>
      </c>
      <c r="K9094" t="s">
        <v>38510</v>
      </c>
      <c r="M9094" t="s">
        <v>41715</v>
      </c>
      <c r="N9094" t="s">
        <v>42669</v>
      </c>
      <c r="O9094" t="s">
        <v>42670</v>
      </c>
      <c r="P9094">
        <v>0</v>
      </c>
      <c r="Q9094">
        <v>0</v>
      </c>
      <c r="R9094" t="s">
        <v>42681</v>
      </c>
      <c r="S9094" t="s">
        <v>42966</v>
      </c>
      <c r="T9094" t="s">
        <v>44488</v>
      </c>
      <c r="U9094" t="s">
        <v>52249</v>
      </c>
      <c r="W9094" t="s">
        <v>41715</v>
      </c>
      <c r="X9094" t="s">
        <v>42682</v>
      </c>
    </row>
    <row r="9095" spans="1:24">
      <c r="A9095">
        <f>HYPERLINK("https://www.philgeps.gov.ph/GEPSNONPILOT/Tender/SplashBidNoticeAbstractUI.aspx?menuIndex=3&amp;refID=7179490&amp;Result=3","7179490")</f>
        <v>0</v>
      </c>
      <c r="B9095" t="s">
        <v>2751</v>
      </c>
      <c r="C9095" t="s">
        <v>12213</v>
      </c>
      <c r="D9095" t="s">
        <v>17153</v>
      </c>
      <c r="E9095" t="s">
        <v>21525</v>
      </c>
      <c r="F9095" t="s">
        <v>29372</v>
      </c>
      <c r="G9095" t="s">
        <v>29379</v>
      </c>
      <c r="H9095" t="s">
        <v>11048</v>
      </c>
      <c r="I9095" t="s">
        <v>29398</v>
      </c>
      <c r="J9095" t="s">
        <v>35359</v>
      </c>
      <c r="K9095" t="s">
        <v>38485</v>
      </c>
      <c r="M9095" t="s">
        <v>41734</v>
      </c>
      <c r="N9095" t="s">
        <v>42669</v>
      </c>
      <c r="O9095" t="s">
        <v>42670</v>
      </c>
      <c r="P9095">
        <v>0</v>
      </c>
      <c r="Q9095">
        <v>7</v>
      </c>
      <c r="R9095" t="s">
        <v>42681</v>
      </c>
      <c r="S9095" t="s">
        <v>42966</v>
      </c>
      <c r="T9095" t="s">
        <v>44470</v>
      </c>
      <c r="U9095" t="s">
        <v>52250</v>
      </c>
      <c r="W9095" t="s">
        <v>41734</v>
      </c>
      <c r="X9095" t="s">
        <v>42682</v>
      </c>
    </row>
    <row r="9096" spans="1:24">
      <c r="A9096">
        <f>HYPERLINK("https://www.philgeps.gov.ph/GEPSNONPILOT/Tender/SplashBidNoticeAbstractUI.aspx?menuIndex=3&amp;refID=7179456&amp;Result=3","7179456")</f>
        <v>0</v>
      </c>
      <c r="B9096" t="s">
        <v>2200</v>
      </c>
      <c r="C9096" t="s">
        <v>12214</v>
      </c>
      <c r="D9096" t="s">
        <v>17182</v>
      </c>
      <c r="E9096" t="s">
        <v>25037</v>
      </c>
      <c r="F9096" t="s">
        <v>29372</v>
      </c>
      <c r="G9096" t="s">
        <v>29380</v>
      </c>
      <c r="H9096" t="s">
        <v>29389</v>
      </c>
      <c r="I9096" t="s">
        <v>10408</v>
      </c>
      <c r="J9096" t="s">
        <v>35360</v>
      </c>
      <c r="K9096" t="s">
        <v>38487</v>
      </c>
      <c r="M9096" t="s">
        <v>41115</v>
      </c>
      <c r="N9096" t="s">
        <v>42669</v>
      </c>
      <c r="O9096" t="s">
        <v>42670</v>
      </c>
      <c r="P9096">
        <v>0</v>
      </c>
      <c r="Q9096">
        <v>0</v>
      </c>
      <c r="R9096" t="s">
        <v>42681</v>
      </c>
      <c r="S9096" t="s">
        <v>42966</v>
      </c>
      <c r="T9096" t="s">
        <v>44493</v>
      </c>
      <c r="U9096" t="s">
        <v>52251</v>
      </c>
      <c r="W9096" t="s">
        <v>41115</v>
      </c>
      <c r="X9096" t="s">
        <v>42682</v>
      </c>
    </row>
    <row r="9097" spans="1:24">
      <c r="A9097">
        <f>HYPERLINK("https://www.philgeps.gov.ph/GEPSNONPILOT/Tender/SplashBidNoticeAbstractUI.aspx?menuIndex=3&amp;refID=7179531&amp;Result=3","7179531")</f>
        <v>0</v>
      </c>
      <c r="B9097" t="s">
        <v>2200</v>
      </c>
      <c r="C9097" t="s">
        <v>12215</v>
      </c>
      <c r="D9097" t="s">
        <v>17182</v>
      </c>
      <c r="E9097" t="s">
        <v>25038</v>
      </c>
      <c r="F9097" t="s">
        <v>29372</v>
      </c>
      <c r="G9097" t="s">
        <v>29380</v>
      </c>
      <c r="H9097" t="s">
        <v>29389</v>
      </c>
      <c r="I9097" t="s">
        <v>10408</v>
      </c>
      <c r="J9097" t="s">
        <v>35361</v>
      </c>
      <c r="K9097" t="s">
        <v>38485</v>
      </c>
      <c r="M9097" t="s">
        <v>41115</v>
      </c>
      <c r="N9097" t="s">
        <v>42669</v>
      </c>
      <c r="O9097" t="s">
        <v>42670</v>
      </c>
      <c r="P9097">
        <v>0</v>
      </c>
      <c r="Q9097">
        <v>0</v>
      </c>
      <c r="R9097" t="s">
        <v>42681</v>
      </c>
      <c r="S9097" t="s">
        <v>42966</v>
      </c>
      <c r="T9097" t="s">
        <v>44488</v>
      </c>
      <c r="U9097" t="s">
        <v>52252</v>
      </c>
      <c r="W9097" t="s">
        <v>41115</v>
      </c>
      <c r="X9097" t="s">
        <v>42682</v>
      </c>
    </row>
    <row r="9098" spans="1:24">
      <c r="A9098">
        <f>HYPERLINK("https://www.philgeps.gov.ph/GEPSNONPILOT/Tender/SplashBidNoticeAbstractUI.aspx?menuIndex=3&amp;refID=7179538&amp;Result=3","7179538")</f>
        <v>0</v>
      </c>
      <c r="B9098" t="s">
        <v>2493</v>
      </c>
      <c r="C9098" t="s">
        <v>12216</v>
      </c>
      <c r="D9098" t="s">
        <v>17170</v>
      </c>
      <c r="E9098" t="s">
        <v>24489</v>
      </c>
      <c r="F9098" t="s">
        <v>29372</v>
      </c>
      <c r="G9098" t="s">
        <v>29380</v>
      </c>
      <c r="H9098" t="s">
        <v>11048</v>
      </c>
      <c r="I9098" t="s">
        <v>3839</v>
      </c>
      <c r="J9098" t="s">
        <v>29587</v>
      </c>
      <c r="K9098" t="s">
        <v>38510</v>
      </c>
      <c r="M9098" t="s">
        <v>41444</v>
      </c>
      <c r="N9098" t="s">
        <v>42669</v>
      </c>
      <c r="O9098" t="s">
        <v>42670</v>
      </c>
      <c r="P9098">
        <v>0</v>
      </c>
      <c r="Q9098">
        <v>5</v>
      </c>
      <c r="R9098" t="s">
        <v>42681</v>
      </c>
      <c r="S9098" t="s">
        <v>42966</v>
      </c>
      <c r="T9098" t="s">
        <v>44490</v>
      </c>
      <c r="U9098" t="s">
        <v>52253</v>
      </c>
      <c r="W9098" t="s">
        <v>41444</v>
      </c>
      <c r="X9098" t="s">
        <v>42682</v>
      </c>
    </row>
    <row r="9099" spans="1:24">
      <c r="A9099">
        <f>HYPERLINK("https://www.philgeps.gov.ph/GEPSNONPILOT/Tender/SplashBidNoticeAbstractUI.aspx?menuIndex=3&amp;refID=7179499&amp;Result=3","7179499")</f>
        <v>0</v>
      </c>
      <c r="B9099" t="s">
        <v>2752</v>
      </c>
      <c r="C9099" t="s">
        <v>12217</v>
      </c>
      <c r="D9099" t="s">
        <v>17211</v>
      </c>
      <c r="E9099" t="s">
        <v>25039</v>
      </c>
      <c r="F9099" t="s">
        <v>29372</v>
      </c>
      <c r="G9099" t="s">
        <v>29380</v>
      </c>
      <c r="H9099" t="s">
        <v>11048</v>
      </c>
      <c r="I9099" t="s">
        <v>29425</v>
      </c>
      <c r="J9099" t="s">
        <v>35362</v>
      </c>
      <c r="K9099" t="s">
        <v>38485</v>
      </c>
      <c r="M9099" t="s">
        <v>41735</v>
      </c>
      <c r="N9099" t="s">
        <v>42669</v>
      </c>
      <c r="O9099" t="s">
        <v>42670</v>
      </c>
      <c r="P9099">
        <v>0</v>
      </c>
      <c r="Q9099">
        <v>5</v>
      </c>
      <c r="R9099" t="s">
        <v>42681</v>
      </c>
      <c r="S9099" t="s">
        <v>42966</v>
      </c>
      <c r="T9099" t="s">
        <v>44556</v>
      </c>
      <c r="U9099" t="s">
        <v>52254</v>
      </c>
      <c r="W9099" t="s">
        <v>41735</v>
      </c>
      <c r="X9099" t="s">
        <v>42682</v>
      </c>
    </row>
    <row r="9100" spans="1:24">
      <c r="A9100">
        <f>HYPERLINK("https://www.philgeps.gov.ph/GEPSNONPILOT/Tender/SplashBidNoticeAbstractUI.aspx?menuIndex=3&amp;refID=7179514&amp;Result=3","7179514")</f>
        <v>0</v>
      </c>
      <c r="B9100" t="s">
        <v>781</v>
      </c>
      <c r="C9100" t="s">
        <v>12218</v>
      </c>
      <c r="D9100" t="s">
        <v>17163</v>
      </c>
      <c r="E9100" t="s">
        <v>25040</v>
      </c>
      <c r="F9100" t="s">
        <v>29372</v>
      </c>
      <c r="G9100" t="s">
        <v>29380</v>
      </c>
      <c r="H9100" t="s">
        <v>29389</v>
      </c>
      <c r="I9100" t="s">
        <v>10408</v>
      </c>
      <c r="J9100" t="s">
        <v>35363</v>
      </c>
      <c r="K9100" t="s">
        <v>38496</v>
      </c>
      <c r="M9100" t="s">
        <v>41736</v>
      </c>
      <c r="N9100" t="s">
        <v>42669</v>
      </c>
      <c r="O9100" t="s">
        <v>42670</v>
      </c>
      <c r="P9100">
        <v>0</v>
      </c>
      <c r="Q9100">
        <v>26</v>
      </c>
      <c r="R9100" t="s">
        <v>42681</v>
      </c>
      <c r="S9100" t="s">
        <v>42966</v>
      </c>
      <c r="T9100" t="s">
        <v>44442</v>
      </c>
      <c r="U9100" t="s">
        <v>46453</v>
      </c>
      <c r="V9100" t="s">
        <v>57370</v>
      </c>
      <c r="W9100" t="s">
        <v>58096</v>
      </c>
      <c r="X9100" t="s">
        <v>42682</v>
      </c>
    </row>
    <row r="9101" spans="1:24">
      <c r="A9101">
        <f>HYPERLINK("https://www.philgeps.gov.ph/GEPSNONPILOT/Tender/SplashBidNoticeAbstractUI.aspx?menuIndex=3&amp;refID=7179533&amp;Result=3","7179533")</f>
        <v>0</v>
      </c>
      <c r="B9101" t="s">
        <v>1231</v>
      </c>
      <c r="C9101" t="s">
        <v>12219</v>
      </c>
      <c r="D9101" t="s">
        <v>17191</v>
      </c>
      <c r="E9101" t="s">
        <v>25041</v>
      </c>
      <c r="F9101" t="s">
        <v>29372</v>
      </c>
      <c r="G9101" t="s">
        <v>29380</v>
      </c>
      <c r="H9101" t="s">
        <v>11048</v>
      </c>
      <c r="I9101" t="s">
        <v>29452</v>
      </c>
      <c r="J9101" t="s">
        <v>29657</v>
      </c>
      <c r="K9101" t="s">
        <v>38538</v>
      </c>
      <c r="M9101" t="s">
        <v>40052</v>
      </c>
      <c r="N9101" t="s">
        <v>42669</v>
      </c>
      <c r="O9101" t="s">
        <v>42670</v>
      </c>
      <c r="P9101">
        <v>0</v>
      </c>
      <c r="Q9101">
        <v>0</v>
      </c>
      <c r="R9101" t="s">
        <v>42681</v>
      </c>
      <c r="S9101" t="s">
        <v>42966</v>
      </c>
      <c r="T9101" t="s">
        <v>44491</v>
      </c>
      <c r="U9101" t="s">
        <v>52255</v>
      </c>
      <c r="W9101" t="s">
        <v>40052</v>
      </c>
      <c r="X9101" t="s">
        <v>42682</v>
      </c>
    </row>
    <row r="9102" spans="1:24">
      <c r="A9102">
        <f>HYPERLINK("https://www.philgeps.gov.ph/GEPSNONPILOT/Tender/SplashBidNoticeAbstractUI.aspx?menuIndex=3&amp;refID=7179437&amp;Result=3","7179437")</f>
        <v>0</v>
      </c>
      <c r="B9102" t="s">
        <v>2753</v>
      </c>
      <c r="C9102" t="s">
        <v>12220</v>
      </c>
      <c r="D9102" t="s">
        <v>17172</v>
      </c>
      <c r="E9102" t="s">
        <v>25042</v>
      </c>
      <c r="F9102" t="s">
        <v>29372</v>
      </c>
      <c r="G9102" t="s">
        <v>29380</v>
      </c>
      <c r="H9102" t="s">
        <v>29389</v>
      </c>
      <c r="I9102" t="s">
        <v>10408</v>
      </c>
      <c r="J9102" t="s">
        <v>35364</v>
      </c>
      <c r="K9102" t="s">
        <v>38485</v>
      </c>
      <c r="M9102" t="s">
        <v>41737</v>
      </c>
      <c r="N9102" t="s">
        <v>42669</v>
      </c>
      <c r="O9102" t="s">
        <v>42670</v>
      </c>
      <c r="P9102">
        <v>0</v>
      </c>
      <c r="Q9102">
        <v>0</v>
      </c>
      <c r="R9102" t="s">
        <v>42681</v>
      </c>
      <c r="S9102" t="s">
        <v>42966</v>
      </c>
      <c r="T9102" t="s">
        <v>44401</v>
      </c>
      <c r="U9102" t="s">
        <v>52256</v>
      </c>
      <c r="V9102" t="s">
        <v>57371</v>
      </c>
      <c r="W9102" t="s">
        <v>41737</v>
      </c>
      <c r="X9102" t="s">
        <v>42682</v>
      </c>
    </row>
    <row r="9103" spans="1:24">
      <c r="A9103">
        <f>HYPERLINK("https://www.philgeps.gov.ph/GEPSNONPILOT/Tender/SplashBidNoticeAbstractUI.aspx?menuIndex=3&amp;refID=7179356&amp;Result=3","7179356")</f>
        <v>0</v>
      </c>
      <c r="B9103" t="s">
        <v>2690</v>
      </c>
      <c r="C9103" t="s">
        <v>12221</v>
      </c>
      <c r="D9103" t="s">
        <v>17170</v>
      </c>
      <c r="E9103" t="s">
        <v>25043</v>
      </c>
      <c r="F9103" t="s">
        <v>29373</v>
      </c>
      <c r="G9103" t="s">
        <v>29380</v>
      </c>
      <c r="H9103" t="s">
        <v>11048</v>
      </c>
      <c r="I9103" t="s">
        <v>29426</v>
      </c>
      <c r="J9103" t="s">
        <v>29708</v>
      </c>
      <c r="K9103" t="s">
        <v>38488</v>
      </c>
      <c r="M9103" t="s">
        <v>41670</v>
      </c>
      <c r="N9103" t="s">
        <v>42669</v>
      </c>
      <c r="O9103" t="s">
        <v>42670</v>
      </c>
      <c r="P9103">
        <v>0</v>
      </c>
      <c r="Q9103">
        <v>1</v>
      </c>
      <c r="R9103" t="s">
        <v>42681</v>
      </c>
      <c r="S9103" t="s">
        <v>42966</v>
      </c>
      <c r="T9103" t="s">
        <v>44590</v>
      </c>
      <c r="U9103" t="s">
        <v>52257</v>
      </c>
      <c r="W9103" t="s">
        <v>41670</v>
      </c>
      <c r="X9103" t="s">
        <v>42682</v>
      </c>
    </row>
    <row r="9104" spans="1:24">
      <c r="A9104">
        <f>HYPERLINK("https://www.philgeps.gov.ph/GEPSNONPILOT/Tender/SplashBidNoticeAbstractUI.aspx?menuIndex=3&amp;refID=7179431&amp;Result=3","7179431")</f>
        <v>0</v>
      </c>
      <c r="B9104" t="s">
        <v>2737</v>
      </c>
      <c r="C9104" t="s">
        <v>12222</v>
      </c>
      <c r="D9104" t="s">
        <v>17170</v>
      </c>
      <c r="E9104" t="s">
        <v>25044</v>
      </c>
      <c r="F9104" t="s">
        <v>29372</v>
      </c>
      <c r="G9104" t="s">
        <v>29380</v>
      </c>
      <c r="H9104" t="s">
        <v>29389</v>
      </c>
      <c r="I9104" t="s">
        <v>10408</v>
      </c>
      <c r="J9104" t="s">
        <v>30161</v>
      </c>
      <c r="K9104" t="s">
        <v>38495</v>
      </c>
      <c r="M9104" t="s">
        <v>41720</v>
      </c>
      <c r="N9104" t="s">
        <v>42669</v>
      </c>
      <c r="O9104" t="s">
        <v>42670</v>
      </c>
      <c r="P9104">
        <v>0</v>
      </c>
      <c r="Q9104">
        <v>1</v>
      </c>
      <c r="R9104" t="s">
        <v>42681</v>
      </c>
      <c r="S9104" t="s">
        <v>42966</v>
      </c>
      <c r="T9104" t="s">
        <v>44355</v>
      </c>
      <c r="U9104" t="s">
        <v>52258</v>
      </c>
      <c r="W9104" t="s">
        <v>41720</v>
      </c>
      <c r="X9104" t="s">
        <v>42682</v>
      </c>
    </row>
    <row r="9105" spans="1:24">
      <c r="A9105">
        <f>HYPERLINK("https://www.philgeps.gov.ph/GEPSNONPILOT/Tender/SplashBidNoticeAbstractUI.aspx?menuIndex=3&amp;refID=7179427&amp;Result=3","7179427")</f>
        <v>0</v>
      </c>
      <c r="B9105" t="s">
        <v>2493</v>
      </c>
      <c r="C9105" t="s">
        <v>12223</v>
      </c>
      <c r="D9105" t="s">
        <v>17170</v>
      </c>
      <c r="E9105" t="s">
        <v>24489</v>
      </c>
      <c r="F9105" t="s">
        <v>29372</v>
      </c>
      <c r="G9105" t="s">
        <v>29380</v>
      </c>
      <c r="H9105" t="s">
        <v>11048</v>
      </c>
      <c r="I9105" t="s">
        <v>9469</v>
      </c>
      <c r="J9105" t="s">
        <v>29774</v>
      </c>
      <c r="K9105" t="s">
        <v>38503</v>
      </c>
      <c r="M9105" t="s">
        <v>41444</v>
      </c>
      <c r="N9105" t="s">
        <v>42669</v>
      </c>
      <c r="O9105" t="s">
        <v>42670</v>
      </c>
      <c r="P9105">
        <v>0</v>
      </c>
      <c r="Q9105">
        <v>3</v>
      </c>
      <c r="R9105" t="s">
        <v>42681</v>
      </c>
      <c r="S9105" t="s">
        <v>42966</v>
      </c>
      <c r="T9105" t="s">
        <v>44490</v>
      </c>
      <c r="U9105" t="s">
        <v>52259</v>
      </c>
      <c r="W9105" t="s">
        <v>41444</v>
      </c>
      <c r="X9105" t="s">
        <v>42682</v>
      </c>
    </row>
    <row r="9106" spans="1:24">
      <c r="A9106">
        <f>HYPERLINK("https://www.philgeps.gov.ph/GEPSNONPILOT/Tender/SplashBidNoticeAbstractUI.aspx?menuIndex=3&amp;refID=7179651&amp;Result=3","7179651")</f>
        <v>0</v>
      </c>
      <c r="B9106" t="s">
        <v>957</v>
      </c>
      <c r="C9106" t="s">
        <v>11900</v>
      </c>
      <c r="D9106" t="s">
        <v>17143</v>
      </c>
      <c r="E9106" t="s">
        <v>25045</v>
      </c>
      <c r="F9106" t="s">
        <v>29372</v>
      </c>
      <c r="G9106" t="s">
        <v>29380</v>
      </c>
      <c r="H9106" t="s">
        <v>11048</v>
      </c>
      <c r="I9106" t="s">
        <v>29452</v>
      </c>
      <c r="J9106" t="s">
        <v>35365</v>
      </c>
      <c r="K9106" t="s">
        <v>38510</v>
      </c>
      <c r="M9106" t="s">
        <v>39753</v>
      </c>
      <c r="N9106" t="s">
        <v>42669</v>
      </c>
      <c r="O9106" t="s">
        <v>42670</v>
      </c>
      <c r="P9106">
        <v>0</v>
      </c>
      <c r="Q9106">
        <v>1</v>
      </c>
      <c r="R9106" t="s">
        <v>42681</v>
      </c>
      <c r="S9106" t="s">
        <v>42966</v>
      </c>
      <c r="T9106" t="s">
        <v>44488</v>
      </c>
      <c r="U9106" t="s">
        <v>51989</v>
      </c>
      <c r="W9106" t="s">
        <v>39753</v>
      </c>
      <c r="X9106" t="s">
        <v>42682</v>
      </c>
    </row>
    <row r="9107" spans="1:24">
      <c r="A9107">
        <f>HYPERLINK("https://www.philgeps.gov.ph/GEPSNONPILOT/Tender/SplashBidNoticeAbstractUI.aspx?menuIndex=3&amp;refID=7179523&amp;Result=3","7179523")</f>
        <v>0</v>
      </c>
      <c r="B9107" t="s">
        <v>1930</v>
      </c>
      <c r="C9107" t="s">
        <v>12224</v>
      </c>
      <c r="E9107" t="s">
        <v>25046</v>
      </c>
      <c r="F9107" t="s">
        <v>29372</v>
      </c>
      <c r="G9107" t="s">
        <v>29380</v>
      </c>
      <c r="H9107" t="s">
        <v>11048</v>
      </c>
      <c r="I9107" t="s">
        <v>29407</v>
      </c>
      <c r="J9107" t="s">
        <v>35366</v>
      </c>
      <c r="K9107" t="s">
        <v>38490</v>
      </c>
      <c r="M9107" t="s">
        <v>41738</v>
      </c>
      <c r="N9107" t="s">
        <v>42669</v>
      </c>
      <c r="O9107" t="s">
        <v>42670</v>
      </c>
      <c r="P9107">
        <v>0</v>
      </c>
      <c r="Q9107">
        <v>6</v>
      </c>
      <c r="R9107" t="s">
        <v>42681</v>
      </c>
      <c r="S9107" t="s">
        <v>42966</v>
      </c>
      <c r="T9107" t="s">
        <v>44554</v>
      </c>
      <c r="U9107" t="s">
        <v>52260</v>
      </c>
      <c r="W9107" t="s">
        <v>41738</v>
      </c>
      <c r="X9107" t="s">
        <v>42682</v>
      </c>
    </row>
    <row r="9108" spans="1:24">
      <c r="A9108">
        <f>HYPERLINK("https://www.philgeps.gov.ph/GEPSNONPILOT/Tender/SplashBidNoticeAbstractUI.aspx?menuIndex=3&amp;refID=7179428&amp;Result=3","7179428")</f>
        <v>0</v>
      </c>
      <c r="B9108" t="s">
        <v>2732</v>
      </c>
      <c r="C9108" t="s">
        <v>12211</v>
      </c>
      <c r="D9108" t="s">
        <v>17185</v>
      </c>
      <c r="E9108" t="s">
        <v>25047</v>
      </c>
      <c r="F9108" t="s">
        <v>29372</v>
      </c>
      <c r="G9108" t="s">
        <v>29380</v>
      </c>
      <c r="H9108" t="s">
        <v>11048</v>
      </c>
      <c r="I9108" t="s">
        <v>29393</v>
      </c>
      <c r="J9108" t="s">
        <v>35367</v>
      </c>
      <c r="K9108" t="s">
        <v>38510</v>
      </c>
      <c r="M9108" t="s">
        <v>41715</v>
      </c>
      <c r="N9108" t="s">
        <v>42669</v>
      </c>
      <c r="O9108" t="s">
        <v>42670</v>
      </c>
      <c r="P9108">
        <v>0</v>
      </c>
      <c r="Q9108">
        <v>0</v>
      </c>
      <c r="R9108" t="s">
        <v>42681</v>
      </c>
      <c r="S9108" t="s">
        <v>42966</v>
      </c>
      <c r="T9108" t="s">
        <v>44488</v>
      </c>
      <c r="U9108" t="s">
        <v>52261</v>
      </c>
      <c r="W9108" t="s">
        <v>41715</v>
      </c>
      <c r="X9108" t="s">
        <v>42682</v>
      </c>
    </row>
    <row r="9109" spans="1:24">
      <c r="A9109">
        <f>HYPERLINK("https://www.philgeps.gov.ph/GEPSNONPILOT/Tender/SplashBidNoticeAbstractUI.aspx?menuIndex=3&amp;refID=7179671&amp;Result=3","7179671")</f>
        <v>0</v>
      </c>
      <c r="B9109" t="s">
        <v>2157</v>
      </c>
      <c r="C9109" t="s">
        <v>12225</v>
      </c>
      <c r="D9109" t="s">
        <v>17148</v>
      </c>
      <c r="E9109" t="s">
        <v>25048</v>
      </c>
      <c r="F9109" t="s">
        <v>29372</v>
      </c>
      <c r="G9109" t="s">
        <v>29380</v>
      </c>
      <c r="H9109" t="s">
        <v>11048</v>
      </c>
      <c r="I9109" t="s">
        <v>4709</v>
      </c>
      <c r="J9109" t="s">
        <v>35368</v>
      </c>
      <c r="K9109" t="s">
        <v>38510</v>
      </c>
      <c r="M9109" t="s">
        <v>41067</v>
      </c>
      <c r="N9109" t="s">
        <v>42669</v>
      </c>
      <c r="O9109" t="s">
        <v>42670</v>
      </c>
      <c r="P9109">
        <v>0</v>
      </c>
      <c r="Q9109">
        <v>5</v>
      </c>
      <c r="R9109" t="s">
        <v>42681</v>
      </c>
      <c r="S9109" t="s">
        <v>42966</v>
      </c>
      <c r="T9109" t="s">
        <v>44490</v>
      </c>
      <c r="U9109" t="s">
        <v>52262</v>
      </c>
      <c r="W9109" t="s">
        <v>41067</v>
      </c>
      <c r="X9109" t="s">
        <v>42682</v>
      </c>
    </row>
    <row r="9110" spans="1:24">
      <c r="A9110">
        <f>HYPERLINK("https://www.philgeps.gov.ph/GEPSNONPILOT/Tender/SplashBidNoticeAbstractUI.aspx?menuIndex=3&amp;refID=7179670&amp;Result=3","7179670")</f>
        <v>0</v>
      </c>
      <c r="B9110" t="s">
        <v>957</v>
      </c>
      <c r="C9110" t="s">
        <v>12226</v>
      </c>
      <c r="D9110" t="s">
        <v>17143</v>
      </c>
      <c r="E9110" t="s">
        <v>25049</v>
      </c>
      <c r="F9110" t="s">
        <v>29372</v>
      </c>
      <c r="G9110" t="s">
        <v>29380</v>
      </c>
      <c r="H9110" t="s">
        <v>11048</v>
      </c>
      <c r="I9110" t="s">
        <v>29452</v>
      </c>
      <c r="J9110" t="s">
        <v>35365</v>
      </c>
      <c r="K9110" t="s">
        <v>38510</v>
      </c>
      <c r="M9110" t="s">
        <v>39753</v>
      </c>
      <c r="N9110" t="s">
        <v>42669</v>
      </c>
      <c r="O9110" t="s">
        <v>42670</v>
      </c>
      <c r="P9110">
        <v>0</v>
      </c>
      <c r="Q9110">
        <v>0</v>
      </c>
      <c r="R9110" t="s">
        <v>42681</v>
      </c>
      <c r="S9110" t="s">
        <v>42966</v>
      </c>
      <c r="T9110" t="s">
        <v>44488</v>
      </c>
      <c r="U9110" t="s">
        <v>51989</v>
      </c>
      <c r="W9110" t="s">
        <v>39753</v>
      </c>
      <c r="X9110" t="s">
        <v>42682</v>
      </c>
    </row>
    <row r="9111" spans="1:24">
      <c r="A9111">
        <f>HYPERLINK("https://www.philgeps.gov.ph/GEPSNONPILOT/Tender/SplashBidNoticeAbstractUI.aspx?menuIndex=3&amp;refID=7179652&amp;Result=3","7179652")</f>
        <v>0</v>
      </c>
      <c r="B9111" t="s">
        <v>2754</v>
      </c>
      <c r="C9111" t="s">
        <v>12227</v>
      </c>
      <c r="D9111" t="s">
        <v>17181</v>
      </c>
      <c r="E9111" t="s">
        <v>25050</v>
      </c>
      <c r="F9111" t="s">
        <v>29372</v>
      </c>
      <c r="G9111" t="s">
        <v>29384</v>
      </c>
      <c r="H9111" t="s">
        <v>11048</v>
      </c>
      <c r="I9111" t="s">
        <v>8208</v>
      </c>
      <c r="J9111" t="s">
        <v>35369</v>
      </c>
      <c r="K9111" t="s">
        <v>38486</v>
      </c>
      <c r="M9111" t="s">
        <v>41739</v>
      </c>
      <c r="N9111" t="s">
        <v>42669</v>
      </c>
      <c r="O9111" t="s">
        <v>42670</v>
      </c>
      <c r="P9111">
        <v>0</v>
      </c>
      <c r="Q9111">
        <v>0</v>
      </c>
      <c r="R9111" t="s">
        <v>42681</v>
      </c>
      <c r="S9111" t="s">
        <v>42966</v>
      </c>
      <c r="T9111" t="s">
        <v>44390</v>
      </c>
      <c r="U9111" t="s">
        <v>52263</v>
      </c>
      <c r="W9111" t="s">
        <v>41739</v>
      </c>
      <c r="X9111" t="s">
        <v>42682</v>
      </c>
    </row>
    <row r="9112" spans="1:24">
      <c r="A9112">
        <f>HYPERLINK("https://www.philgeps.gov.ph/GEPSNONPILOT/Tender/SplashBidNoticeAbstractUI.aspx?menuIndex=3&amp;refID=7179650&amp;Result=3","7179650")</f>
        <v>0</v>
      </c>
      <c r="B9112" t="s">
        <v>2732</v>
      </c>
      <c r="C9112" t="s">
        <v>12228</v>
      </c>
      <c r="D9112" t="s">
        <v>17185</v>
      </c>
      <c r="E9112" t="s">
        <v>25051</v>
      </c>
      <c r="F9112" t="s">
        <v>29372</v>
      </c>
      <c r="G9112" t="s">
        <v>29380</v>
      </c>
      <c r="H9112" t="s">
        <v>11048</v>
      </c>
      <c r="I9112" t="s">
        <v>29393</v>
      </c>
      <c r="J9112" t="s">
        <v>30764</v>
      </c>
      <c r="K9112" t="s">
        <v>38510</v>
      </c>
      <c r="M9112" t="s">
        <v>41715</v>
      </c>
      <c r="N9112" t="s">
        <v>42669</v>
      </c>
      <c r="O9112" t="s">
        <v>42670</v>
      </c>
      <c r="P9112">
        <v>0</v>
      </c>
      <c r="Q9112">
        <v>0</v>
      </c>
      <c r="R9112" t="s">
        <v>42681</v>
      </c>
      <c r="S9112" t="s">
        <v>42966</v>
      </c>
      <c r="T9112" t="s">
        <v>44488</v>
      </c>
      <c r="U9112" t="s">
        <v>52264</v>
      </c>
      <c r="W9112" t="s">
        <v>41715</v>
      </c>
      <c r="X9112" t="s">
        <v>42682</v>
      </c>
    </row>
    <row r="9113" spans="1:24">
      <c r="A9113">
        <f>HYPERLINK("https://www.philgeps.gov.ph/GEPSNONPILOT/Tender/SplashBidNoticeAbstractUI.aspx?menuIndex=3&amp;refID=7179649&amp;Result=3","7179649")</f>
        <v>0</v>
      </c>
      <c r="B9113" t="s">
        <v>2356</v>
      </c>
      <c r="C9113" t="s">
        <v>12229</v>
      </c>
      <c r="D9113" t="s">
        <v>17191</v>
      </c>
      <c r="E9113" t="s">
        <v>25052</v>
      </c>
      <c r="F9113" t="s">
        <v>29372</v>
      </c>
      <c r="G9113" t="s">
        <v>29380</v>
      </c>
      <c r="H9113" t="s">
        <v>29389</v>
      </c>
      <c r="I9113" t="s">
        <v>10408</v>
      </c>
      <c r="J9113" t="s">
        <v>30056</v>
      </c>
      <c r="K9113" t="s">
        <v>38495</v>
      </c>
      <c r="M9113" t="s">
        <v>41291</v>
      </c>
      <c r="N9113" t="s">
        <v>42669</v>
      </c>
      <c r="O9113" t="s">
        <v>42670</v>
      </c>
      <c r="P9113">
        <v>0</v>
      </c>
      <c r="Q9113">
        <v>5</v>
      </c>
      <c r="R9113" t="s">
        <v>42681</v>
      </c>
      <c r="S9113" t="s">
        <v>42966</v>
      </c>
      <c r="T9113" t="s">
        <v>44437</v>
      </c>
      <c r="U9113" t="s">
        <v>52265</v>
      </c>
      <c r="W9113" t="s">
        <v>41291</v>
      </c>
      <c r="X9113" t="s">
        <v>42682</v>
      </c>
    </row>
    <row r="9114" spans="1:24">
      <c r="A9114">
        <f>HYPERLINK("https://www.philgeps.gov.ph/GEPSNONPILOT/Tender/SplashBidNoticeAbstractUI.aspx?menuIndex=3&amp;refID=7179633&amp;Result=3","7179633")</f>
        <v>0</v>
      </c>
      <c r="B9114" t="s">
        <v>2732</v>
      </c>
      <c r="C9114" t="s">
        <v>12230</v>
      </c>
      <c r="D9114" t="s">
        <v>17185</v>
      </c>
      <c r="E9114" t="s">
        <v>25053</v>
      </c>
      <c r="F9114" t="s">
        <v>29372</v>
      </c>
      <c r="G9114" t="s">
        <v>29380</v>
      </c>
      <c r="H9114" t="s">
        <v>11048</v>
      </c>
      <c r="I9114" t="s">
        <v>3670</v>
      </c>
      <c r="J9114" t="s">
        <v>29657</v>
      </c>
      <c r="K9114" t="s">
        <v>38510</v>
      </c>
      <c r="M9114" t="s">
        <v>41715</v>
      </c>
      <c r="N9114" t="s">
        <v>42669</v>
      </c>
      <c r="O9114" t="s">
        <v>42670</v>
      </c>
      <c r="P9114">
        <v>0</v>
      </c>
      <c r="Q9114">
        <v>0</v>
      </c>
      <c r="R9114" t="s">
        <v>42681</v>
      </c>
      <c r="S9114" t="s">
        <v>42966</v>
      </c>
      <c r="T9114" t="s">
        <v>44488</v>
      </c>
      <c r="U9114" t="s">
        <v>52266</v>
      </c>
      <c r="W9114" t="s">
        <v>41715</v>
      </c>
      <c r="X9114" t="s">
        <v>42682</v>
      </c>
    </row>
    <row r="9115" spans="1:24">
      <c r="A9115">
        <f>HYPERLINK("https://www.philgeps.gov.ph/GEPSNONPILOT/Tender/SplashBidNoticeAbstractUI.aspx?menuIndex=3&amp;refID=7179629&amp;Result=3","7179629")</f>
        <v>0</v>
      </c>
      <c r="B9115" t="s">
        <v>2140</v>
      </c>
      <c r="C9115" t="s">
        <v>12231</v>
      </c>
      <c r="D9115" t="s">
        <v>17218</v>
      </c>
      <c r="E9115" t="s">
        <v>25054</v>
      </c>
      <c r="F9115" t="s">
        <v>29372</v>
      </c>
      <c r="G9115" t="s">
        <v>29380</v>
      </c>
      <c r="H9115" t="s">
        <v>11048</v>
      </c>
      <c r="I9115" t="s">
        <v>29450</v>
      </c>
      <c r="J9115" t="s">
        <v>30107</v>
      </c>
      <c r="K9115" t="s">
        <v>38485</v>
      </c>
      <c r="M9115" t="s">
        <v>41045</v>
      </c>
      <c r="N9115" t="s">
        <v>42669</v>
      </c>
      <c r="O9115" t="s">
        <v>42670</v>
      </c>
      <c r="P9115">
        <v>0</v>
      </c>
      <c r="Q9115">
        <v>2</v>
      </c>
      <c r="R9115" t="s">
        <v>42681</v>
      </c>
      <c r="S9115" t="s">
        <v>42966</v>
      </c>
      <c r="T9115" t="s">
        <v>44432</v>
      </c>
      <c r="U9115" t="s">
        <v>49965</v>
      </c>
      <c r="V9115" t="s">
        <v>57047</v>
      </c>
      <c r="W9115" t="s">
        <v>41045</v>
      </c>
      <c r="X9115" t="s">
        <v>42682</v>
      </c>
    </row>
    <row r="9116" spans="1:24">
      <c r="A9116">
        <f>HYPERLINK("https://www.philgeps.gov.ph/GEPSNONPILOT/Tender/SplashBidNoticeAbstractUI.aspx?menuIndex=3&amp;refID=7179628&amp;Result=3","7179628")</f>
        <v>0</v>
      </c>
      <c r="B9116" t="s">
        <v>2755</v>
      </c>
      <c r="C9116" t="s">
        <v>12232</v>
      </c>
      <c r="D9116" t="s">
        <v>17149</v>
      </c>
      <c r="E9116" t="s">
        <v>17739</v>
      </c>
      <c r="F9116" t="s">
        <v>29372</v>
      </c>
      <c r="G9116" t="s">
        <v>29380</v>
      </c>
      <c r="H9116" t="s">
        <v>11048</v>
      </c>
      <c r="I9116" t="s">
        <v>29407</v>
      </c>
      <c r="J9116" t="s">
        <v>35370</v>
      </c>
      <c r="K9116" t="s">
        <v>38538</v>
      </c>
      <c r="M9116" t="s">
        <v>41740</v>
      </c>
      <c r="N9116" t="s">
        <v>42669</v>
      </c>
      <c r="O9116" t="s">
        <v>42670</v>
      </c>
      <c r="P9116">
        <v>0</v>
      </c>
      <c r="Q9116">
        <v>1</v>
      </c>
      <c r="R9116" t="s">
        <v>42681</v>
      </c>
      <c r="S9116" t="s">
        <v>42966</v>
      </c>
      <c r="T9116" t="s">
        <v>44491</v>
      </c>
      <c r="U9116" t="s">
        <v>52267</v>
      </c>
      <c r="W9116" t="s">
        <v>41740</v>
      </c>
      <c r="X9116" t="s">
        <v>42682</v>
      </c>
    </row>
    <row r="9117" spans="1:24">
      <c r="A9117">
        <f>HYPERLINK("https://www.philgeps.gov.ph/GEPSNONPILOT/Tender/SplashBidNoticeAbstractUI.aspx?menuIndex=3&amp;refID=7179617&amp;Result=3","7179617")</f>
        <v>0</v>
      </c>
      <c r="B9117" t="s">
        <v>957</v>
      </c>
      <c r="C9117" t="s">
        <v>11885</v>
      </c>
      <c r="D9117" t="s">
        <v>17143</v>
      </c>
      <c r="E9117" t="s">
        <v>25055</v>
      </c>
      <c r="F9117" t="s">
        <v>29372</v>
      </c>
      <c r="G9117" t="s">
        <v>29380</v>
      </c>
      <c r="H9117" t="s">
        <v>11048</v>
      </c>
      <c r="I9117" t="s">
        <v>29452</v>
      </c>
      <c r="J9117" t="s">
        <v>35365</v>
      </c>
      <c r="K9117" t="s">
        <v>38510</v>
      </c>
      <c r="M9117" t="s">
        <v>39753</v>
      </c>
      <c r="N9117" t="s">
        <v>42669</v>
      </c>
      <c r="O9117" t="s">
        <v>42670</v>
      </c>
      <c r="P9117">
        <v>0</v>
      </c>
      <c r="Q9117">
        <v>1</v>
      </c>
      <c r="R9117" t="s">
        <v>42681</v>
      </c>
      <c r="S9117" t="s">
        <v>42966</v>
      </c>
      <c r="T9117" t="s">
        <v>44488</v>
      </c>
      <c r="U9117" t="s">
        <v>51990</v>
      </c>
      <c r="W9117" t="s">
        <v>39753</v>
      </c>
      <c r="X9117" t="s">
        <v>42682</v>
      </c>
    </row>
    <row r="9118" spans="1:24">
      <c r="A9118">
        <f>HYPERLINK("https://www.philgeps.gov.ph/GEPSNONPILOT/Tender/SplashBidNoticeAbstractUI.aspx?menuIndex=3&amp;refID=7179599&amp;Result=3","7179599")</f>
        <v>0</v>
      </c>
      <c r="B9118" t="s">
        <v>2493</v>
      </c>
      <c r="C9118" t="s">
        <v>12233</v>
      </c>
      <c r="D9118" t="s">
        <v>17170</v>
      </c>
      <c r="E9118" t="s">
        <v>24489</v>
      </c>
      <c r="F9118" t="s">
        <v>29372</v>
      </c>
      <c r="G9118" t="s">
        <v>29379</v>
      </c>
      <c r="H9118" t="s">
        <v>11048</v>
      </c>
      <c r="I9118" t="s">
        <v>3839</v>
      </c>
      <c r="J9118" t="s">
        <v>35371</v>
      </c>
      <c r="K9118" t="s">
        <v>38510</v>
      </c>
      <c r="M9118" t="s">
        <v>41444</v>
      </c>
      <c r="N9118" t="s">
        <v>42669</v>
      </c>
      <c r="O9118" t="s">
        <v>42670</v>
      </c>
      <c r="P9118">
        <v>0</v>
      </c>
      <c r="Q9118">
        <v>8</v>
      </c>
      <c r="R9118" t="s">
        <v>42681</v>
      </c>
      <c r="S9118" t="s">
        <v>42966</v>
      </c>
      <c r="T9118" t="s">
        <v>44490</v>
      </c>
      <c r="U9118" t="s">
        <v>52268</v>
      </c>
      <c r="W9118" t="s">
        <v>41444</v>
      </c>
      <c r="X9118" t="s">
        <v>42682</v>
      </c>
    </row>
    <row r="9119" spans="1:24">
      <c r="A9119">
        <f>HYPERLINK("https://www.philgeps.gov.ph/GEPSNONPILOT/Tender/SplashBidNoticeAbstractUI.aspx?menuIndex=3&amp;refID=7179596&amp;Result=3","7179596")</f>
        <v>0</v>
      </c>
      <c r="B9119" t="s">
        <v>2685</v>
      </c>
      <c r="C9119" t="s">
        <v>12234</v>
      </c>
      <c r="D9119" t="s">
        <v>17177</v>
      </c>
      <c r="E9119" t="s">
        <v>25056</v>
      </c>
      <c r="F9119" t="s">
        <v>29372</v>
      </c>
      <c r="G9119" t="s">
        <v>29380</v>
      </c>
      <c r="H9119" t="s">
        <v>29389</v>
      </c>
      <c r="I9119" t="s">
        <v>10408</v>
      </c>
      <c r="J9119" t="s">
        <v>29543</v>
      </c>
      <c r="K9119" t="s">
        <v>38495</v>
      </c>
      <c r="M9119" t="s">
        <v>41665</v>
      </c>
      <c r="N9119" t="s">
        <v>42669</v>
      </c>
      <c r="O9119" t="s">
        <v>42670</v>
      </c>
      <c r="P9119">
        <v>0</v>
      </c>
      <c r="Q9119">
        <v>8</v>
      </c>
      <c r="R9119" t="s">
        <v>42681</v>
      </c>
      <c r="S9119" t="s">
        <v>42966</v>
      </c>
      <c r="T9119" t="s">
        <v>44446</v>
      </c>
      <c r="U9119" t="s">
        <v>52269</v>
      </c>
      <c r="W9119" t="s">
        <v>42041</v>
      </c>
      <c r="X9119" t="s">
        <v>42682</v>
      </c>
    </row>
    <row r="9120" spans="1:24">
      <c r="A9120">
        <f>HYPERLINK("https://www.philgeps.gov.ph/GEPSNONPILOT/Tender/SplashBidNoticeAbstractUI.aspx?menuIndex=3&amp;refID=7179595&amp;Result=3","7179595")</f>
        <v>0</v>
      </c>
      <c r="B9120" t="s">
        <v>1716</v>
      </c>
      <c r="C9120" t="s">
        <v>12235</v>
      </c>
      <c r="D9120" t="s">
        <v>17174</v>
      </c>
      <c r="E9120" t="s">
        <v>17269</v>
      </c>
      <c r="F9120" t="s">
        <v>29372</v>
      </c>
      <c r="G9120" t="s">
        <v>29380</v>
      </c>
      <c r="H9120" t="s">
        <v>29389</v>
      </c>
      <c r="I9120" t="s">
        <v>10408</v>
      </c>
      <c r="J9120" t="s">
        <v>35372</v>
      </c>
      <c r="K9120" t="s">
        <v>38495</v>
      </c>
      <c r="L9120" t="s">
        <v>1716</v>
      </c>
      <c r="M9120" t="s">
        <v>40579</v>
      </c>
      <c r="N9120" t="s">
        <v>42669</v>
      </c>
      <c r="O9120" t="s">
        <v>42670</v>
      </c>
      <c r="P9120">
        <v>0</v>
      </c>
      <c r="Q9120">
        <v>2</v>
      </c>
      <c r="R9120" t="s">
        <v>42681</v>
      </c>
      <c r="S9120" t="s">
        <v>42966</v>
      </c>
      <c r="T9120" t="s">
        <v>44544</v>
      </c>
      <c r="U9120" t="s">
        <v>52270</v>
      </c>
      <c r="V9120" t="s">
        <v>47944</v>
      </c>
      <c r="W9120" t="s">
        <v>40579</v>
      </c>
      <c r="X9120" t="s">
        <v>42682</v>
      </c>
    </row>
    <row r="9121" spans="1:24">
      <c r="A9121">
        <f>HYPERLINK("https://www.philgeps.gov.ph/GEPSNONPILOT/Tender/SplashBidNoticeAbstractUI.aspx?menuIndex=3&amp;refID=7179739&amp;Result=3","7179739")</f>
        <v>0</v>
      </c>
      <c r="B9121" t="s">
        <v>957</v>
      </c>
      <c r="C9121" t="s">
        <v>12236</v>
      </c>
      <c r="D9121" t="s">
        <v>17143</v>
      </c>
      <c r="E9121" t="s">
        <v>25057</v>
      </c>
      <c r="F9121" t="s">
        <v>29372</v>
      </c>
      <c r="G9121" t="s">
        <v>29380</v>
      </c>
      <c r="H9121" t="s">
        <v>11048</v>
      </c>
      <c r="I9121" t="s">
        <v>29452</v>
      </c>
      <c r="J9121" t="s">
        <v>35145</v>
      </c>
      <c r="K9121" t="s">
        <v>38664</v>
      </c>
      <c r="M9121" t="s">
        <v>39753</v>
      </c>
      <c r="N9121" t="s">
        <v>42669</v>
      </c>
      <c r="O9121" t="s">
        <v>42670</v>
      </c>
      <c r="P9121">
        <v>0</v>
      </c>
      <c r="Q9121">
        <v>1</v>
      </c>
      <c r="R9121" t="s">
        <v>42681</v>
      </c>
      <c r="S9121" t="s">
        <v>42966</v>
      </c>
      <c r="T9121" t="s">
        <v>44488</v>
      </c>
      <c r="U9121" t="s">
        <v>51982</v>
      </c>
      <c r="W9121" t="s">
        <v>39753</v>
      </c>
      <c r="X9121" t="s">
        <v>42682</v>
      </c>
    </row>
    <row r="9122" spans="1:24">
      <c r="A9122">
        <f>HYPERLINK("https://www.philgeps.gov.ph/GEPSNONPILOT/Tender/SplashBidNoticeAbstractUI.aspx?menuIndex=3&amp;refID=7179756&amp;Result=3","7179756")</f>
        <v>0</v>
      </c>
      <c r="B9122" t="s">
        <v>957</v>
      </c>
      <c r="C9122" t="s">
        <v>12237</v>
      </c>
      <c r="D9122" t="s">
        <v>17143</v>
      </c>
      <c r="E9122" t="s">
        <v>25058</v>
      </c>
      <c r="F9122" t="s">
        <v>29372</v>
      </c>
      <c r="G9122" t="s">
        <v>29380</v>
      </c>
      <c r="H9122" t="s">
        <v>11048</v>
      </c>
      <c r="I9122" t="s">
        <v>29452</v>
      </c>
      <c r="J9122" t="s">
        <v>35200</v>
      </c>
      <c r="K9122" t="s">
        <v>38558</v>
      </c>
      <c r="M9122" t="s">
        <v>39753</v>
      </c>
      <c r="N9122" t="s">
        <v>42669</v>
      </c>
      <c r="O9122" t="s">
        <v>42670</v>
      </c>
      <c r="P9122">
        <v>0</v>
      </c>
      <c r="Q9122">
        <v>0</v>
      </c>
      <c r="R9122" t="s">
        <v>42681</v>
      </c>
      <c r="S9122" t="s">
        <v>42966</v>
      </c>
      <c r="T9122" t="s">
        <v>44488</v>
      </c>
      <c r="U9122" t="s">
        <v>51982</v>
      </c>
      <c r="W9122" t="s">
        <v>39753</v>
      </c>
      <c r="X9122" t="s">
        <v>42682</v>
      </c>
    </row>
    <row r="9123" spans="1:24">
      <c r="A9123">
        <f>HYPERLINK("https://www.philgeps.gov.ph/GEPSNONPILOT/Tender/SplashBidNoticeAbstractUI.aspx?menuIndex=3&amp;refID=7179626&amp;Result=3","7179626")</f>
        <v>0</v>
      </c>
      <c r="B9123" t="s">
        <v>2020</v>
      </c>
      <c r="C9123" t="s">
        <v>12238</v>
      </c>
      <c r="D9123" t="s">
        <v>17177</v>
      </c>
      <c r="E9123" t="s">
        <v>25059</v>
      </c>
      <c r="F9123" t="s">
        <v>29372</v>
      </c>
      <c r="G9123" t="s">
        <v>29379</v>
      </c>
      <c r="H9123" t="s">
        <v>11048</v>
      </c>
      <c r="I9123" t="s">
        <v>29411</v>
      </c>
      <c r="J9123" t="s">
        <v>29922</v>
      </c>
      <c r="K9123" t="s">
        <v>38518</v>
      </c>
      <c r="M9123" t="s">
        <v>40912</v>
      </c>
      <c r="N9123" t="s">
        <v>42669</v>
      </c>
      <c r="O9123" t="s">
        <v>42670</v>
      </c>
      <c r="P9123">
        <v>0</v>
      </c>
      <c r="Q9123">
        <v>0</v>
      </c>
      <c r="R9123" t="s">
        <v>42681</v>
      </c>
      <c r="S9123" t="s">
        <v>42966</v>
      </c>
      <c r="T9123" t="s">
        <v>44488</v>
      </c>
      <c r="U9123" t="s">
        <v>52271</v>
      </c>
      <c r="W9123" t="s">
        <v>40912</v>
      </c>
      <c r="X9123" t="s">
        <v>42682</v>
      </c>
    </row>
    <row r="9124" spans="1:24">
      <c r="A9124">
        <f>HYPERLINK("https://www.philgeps.gov.ph/GEPSNONPILOT/Tender/SplashBidNoticeAbstractUI.aspx?menuIndex=3&amp;refID=7179755&amp;Result=3","7179755")</f>
        <v>0</v>
      </c>
      <c r="B9124" t="s">
        <v>94</v>
      </c>
      <c r="C9124" t="s">
        <v>12239</v>
      </c>
      <c r="D9124" t="s">
        <v>17171</v>
      </c>
      <c r="E9124" t="s">
        <v>25060</v>
      </c>
      <c r="F9124" t="s">
        <v>29372</v>
      </c>
      <c r="G9124" t="s">
        <v>29380</v>
      </c>
      <c r="H9124" t="s">
        <v>11048</v>
      </c>
      <c r="I9124" t="s">
        <v>29426</v>
      </c>
      <c r="J9124" t="s">
        <v>35373</v>
      </c>
      <c r="K9124" t="s">
        <v>38485</v>
      </c>
      <c r="M9124" t="s">
        <v>38848</v>
      </c>
      <c r="N9124" t="s">
        <v>42669</v>
      </c>
      <c r="O9124" t="s">
        <v>42670</v>
      </c>
      <c r="Q9124">
        <v>1</v>
      </c>
      <c r="R9124" t="s">
        <v>42681</v>
      </c>
      <c r="S9124" t="s">
        <v>42977</v>
      </c>
      <c r="T9124" t="s">
        <v>44419</v>
      </c>
      <c r="U9124" t="s">
        <v>52272</v>
      </c>
      <c r="W9124" t="s">
        <v>38848</v>
      </c>
      <c r="X9124" t="s">
        <v>42682</v>
      </c>
    </row>
    <row r="9125" spans="1:24">
      <c r="A9125">
        <f>HYPERLINK("https://www.philgeps.gov.ph/GEPSNONPILOT/Tender/SplashBidNoticeAbstractUI.aspx?menuIndex=3&amp;refID=7179749&amp;Result=3","7179749")</f>
        <v>0</v>
      </c>
      <c r="B9125" t="s">
        <v>957</v>
      </c>
      <c r="C9125" t="s">
        <v>12240</v>
      </c>
      <c r="D9125" t="s">
        <v>17143</v>
      </c>
      <c r="E9125" t="s">
        <v>25061</v>
      </c>
      <c r="F9125" t="s">
        <v>29372</v>
      </c>
      <c r="G9125" t="s">
        <v>29380</v>
      </c>
      <c r="H9125" t="s">
        <v>11048</v>
      </c>
      <c r="I9125" t="s">
        <v>29452</v>
      </c>
      <c r="J9125" t="s">
        <v>35147</v>
      </c>
      <c r="K9125" t="s">
        <v>38664</v>
      </c>
      <c r="M9125" t="s">
        <v>39753</v>
      </c>
      <c r="N9125" t="s">
        <v>42669</v>
      </c>
      <c r="O9125" t="s">
        <v>42670</v>
      </c>
      <c r="P9125">
        <v>0</v>
      </c>
      <c r="Q9125">
        <v>1</v>
      </c>
      <c r="R9125" t="s">
        <v>42681</v>
      </c>
      <c r="S9125" t="s">
        <v>42966</v>
      </c>
      <c r="T9125" t="s">
        <v>44488</v>
      </c>
      <c r="U9125" t="s">
        <v>51982</v>
      </c>
      <c r="W9125" t="s">
        <v>39753</v>
      </c>
      <c r="X9125" t="s">
        <v>42682</v>
      </c>
    </row>
    <row r="9126" spans="1:24">
      <c r="A9126">
        <f>HYPERLINK("https://www.philgeps.gov.ph/GEPSNONPILOT/Tender/SplashBidNoticeAbstractUI.aspx?menuIndex=3&amp;refID=7179503&amp;Result=3","7179503")</f>
        <v>0</v>
      </c>
      <c r="B9126" t="s">
        <v>2732</v>
      </c>
      <c r="C9126" t="s">
        <v>12211</v>
      </c>
      <c r="D9126" t="s">
        <v>17185</v>
      </c>
      <c r="E9126" t="s">
        <v>25062</v>
      </c>
      <c r="F9126" t="s">
        <v>29372</v>
      </c>
      <c r="G9126" t="s">
        <v>29380</v>
      </c>
      <c r="H9126" t="s">
        <v>11048</v>
      </c>
      <c r="I9126" t="s">
        <v>29393</v>
      </c>
      <c r="J9126" t="s">
        <v>35374</v>
      </c>
      <c r="K9126" t="s">
        <v>38510</v>
      </c>
      <c r="M9126" t="s">
        <v>41715</v>
      </c>
      <c r="N9126" t="s">
        <v>42669</v>
      </c>
      <c r="O9126" t="s">
        <v>42670</v>
      </c>
      <c r="P9126">
        <v>0</v>
      </c>
      <c r="Q9126">
        <v>0</v>
      </c>
      <c r="R9126" t="s">
        <v>42681</v>
      </c>
      <c r="S9126" t="s">
        <v>42966</v>
      </c>
      <c r="T9126" t="s">
        <v>44488</v>
      </c>
      <c r="U9126" t="s">
        <v>52273</v>
      </c>
      <c r="W9126" t="s">
        <v>41715</v>
      </c>
      <c r="X9126" t="s">
        <v>42682</v>
      </c>
    </row>
    <row r="9127" spans="1:24">
      <c r="A9127">
        <f>HYPERLINK("https://www.philgeps.gov.ph/GEPSNONPILOT/Tender/SplashBidNoticeAbstractUI.aspx?menuIndex=3&amp;refID=7179733&amp;Result=3","7179733")</f>
        <v>0</v>
      </c>
      <c r="B9127" t="s">
        <v>2732</v>
      </c>
      <c r="C9127" t="s">
        <v>12241</v>
      </c>
      <c r="D9127" t="s">
        <v>17185</v>
      </c>
      <c r="E9127" t="s">
        <v>25063</v>
      </c>
      <c r="F9127" t="s">
        <v>29372</v>
      </c>
      <c r="G9127" t="s">
        <v>29380</v>
      </c>
      <c r="H9127" t="s">
        <v>11048</v>
      </c>
      <c r="I9127" t="s">
        <v>29407</v>
      </c>
      <c r="J9127" t="s">
        <v>30026</v>
      </c>
      <c r="K9127" t="s">
        <v>38510</v>
      </c>
      <c r="M9127" t="s">
        <v>41715</v>
      </c>
      <c r="N9127" t="s">
        <v>42669</v>
      </c>
      <c r="O9127" t="s">
        <v>42670</v>
      </c>
      <c r="P9127">
        <v>0</v>
      </c>
      <c r="Q9127">
        <v>1</v>
      </c>
      <c r="R9127" t="s">
        <v>42681</v>
      </c>
      <c r="S9127" t="s">
        <v>42966</v>
      </c>
      <c r="T9127" t="s">
        <v>44488</v>
      </c>
      <c r="U9127" t="s">
        <v>52274</v>
      </c>
      <c r="W9127" t="s">
        <v>41715</v>
      </c>
      <c r="X9127" t="s">
        <v>42682</v>
      </c>
    </row>
    <row r="9128" spans="1:24">
      <c r="A9128">
        <f>HYPERLINK("https://www.philgeps.gov.ph/GEPSNONPILOT/Tender/SplashBidNoticeAbstractUI.aspx?menuIndex=3&amp;refID=7179726&amp;Result=3","7179726")</f>
        <v>0</v>
      </c>
      <c r="B9128" t="s">
        <v>957</v>
      </c>
      <c r="C9128" t="s">
        <v>12242</v>
      </c>
      <c r="D9128" t="s">
        <v>17143</v>
      </c>
      <c r="E9128" t="s">
        <v>25064</v>
      </c>
      <c r="F9128" t="s">
        <v>29372</v>
      </c>
      <c r="G9128" t="s">
        <v>29380</v>
      </c>
      <c r="H9128" t="s">
        <v>11048</v>
      </c>
      <c r="I9128" t="s">
        <v>29452</v>
      </c>
      <c r="J9128" t="s">
        <v>35365</v>
      </c>
      <c r="K9128" t="s">
        <v>38510</v>
      </c>
      <c r="M9128" t="s">
        <v>39753</v>
      </c>
      <c r="N9128" t="s">
        <v>42669</v>
      </c>
      <c r="O9128" t="s">
        <v>42670</v>
      </c>
      <c r="P9128">
        <v>0</v>
      </c>
      <c r="Q9128">
        <v>0</v>
      </c>
      <c r="R9128" t="s">
        <v>42681</v>
      </c>
      <c r="S9128" t="s">
        <v>42966</v>
      </c>
      <c r="T9128" t="s">
        <v>44488</v>
      </c>
      <c r="U9128" t="s">
        <v>51993</v>
      </c>
      <c r="W9128" t="s">
        <v>39753</v>
      </c>
      <c r="X9128" t="s">
        <v>42682</v>
      </c>
    </row>
    <row r="9129" spans="1:24">
      <c r="A9129">
        <f>HYPERLINK("https://www.philgeps.gov.ph/GEPSNONPILOT/Tender/SplashBidNoticeAbstractUI.aspx?menuIndex=3&amp;refID=7179725&amp;Result=3","7179725")</f>
        <v>0</v>
      </c>
      <c r="B9129" t="s">
        <v>1716</v>
      </c>
      <c r="C9129" t="s">
        <v>12243</v>
      </c>
      <c r="D9129" t="s">
        <v>17174</v>
      </c>
      <c r="E9129" t="s">
        <v>17267</v>
      </c>
      <c r="F9129" t="s">
        <v>29372</v>
      </c>
      <c r="G9129" t="s">
        <v>29380</v>
      </c>
      <c r="H9129" t="s">
        <v>29389</v>
      </c>
      <c r="I9129" t="s">
        <v>10408</v>
      </c>
      <c r="J9129" t="s">
        <v>35375</v>
      </c>
      <c r="K9129" t="s">
        <v>38522</v>
      </c>
      <c r="L9129" t="s">
        <v>1716</v>
      </c>
      <c r="M9129" t="s">
        <v>40579</v>
      </c>
      <c r="N9129" t="s">
        <v>42669</v>
      </c>
      <c r="O9129" t="s">
        <v>42670</v>
      </c>
      <c r="P9129">
        <v>0</v>
      </c>
      <c r="Q9129">
        <v>0</v>
      </c>
      <c r="R9129" t="s">
        <v>42681</v>
      </c>
      <c r="S9129" t="s">
        <v>42966</v>
      </c>
      <c r="T9129" t="s">
        <v>44476</v>
      </c>
      <c r="U9129" t="s">
        <v>52275</v>
      </c>
      <c r="V9129" t="s">
        <v>57372</v>
      </c>
      <c r="W9129" t="s">
        <v>40579</v>
      </c>
      <c r="X9129" t="s">
        <v>42682</v>
      </c>
    </row>
    <row r="9130" spans="1:24">
      <c r="A9130">
        <f>HYPERLINK("https://www.philgeps.gov.ph/GEPSNONPILOT/Tender/SplashBidNoticeAbstractUI.aspx?menuIndex=3&amp;refID=7179720&amp;Result=3","7179720")</f>
        <v>0</v>
      </c>
      <c r="B9130" t="s">
        <v>94</v>
      </c>
      <c r="C9130" t="s">
        <v>12244</v>
      </c>
      <c r="D9130" t="s">
        <v>17242</v>
      </c>
      <c r="E9130" t="s">
        <v>25065</v>
      </c>
      <c r="F9130" t="s">
        <v>29372</v>
      </c>
      <c r="G9130" t="s">
        <v>29380</v>
      </c>
      <c r="H9130" t="s">
        <v>11048</v>
      </c>
      <c r="I9130" t="s">
        <v>29417</v>
      </c>
      <c r="J9130" t="s">
        <v>33016</v>
      </c>
      <c r="K9130" t="s">
        <v>38496</v>
      </c>
      <c r="M9130" t="s">
        <v>38848</v>
      </c>
      <c r="N9130" t="s">
        <v>42669</v>
      </c>
      <c r="O9130" t="s">
        <v>42670</v>
      </c>
      <c r="Q9130">
        <v>0</v>
      </c>
      <c r="R9130" t="s">
        <v>42681</v>
      </c>
      <c r="S9130" t="s">
        <v>42978</v>
      </c>
      <c r="T9130" t="s">
        <v>44419</v>
      </c>
      <c r="U9130" t="s">
        <v>52276</v>
      </c>
      <c r="W9130" t="s">
        <v>38848</v>
      </c>
      <c r="X9130" t="s">
        <v>42682</v>
      </c>
    </row>
    <row r="9131" spans="1:24">
      <c r="A9131">
        <f>HYPERLINK("https://www.philgeps.gov.ph/GEPSNONPILOT/Tender/SplashBidNoticeAbstractUI.aspx?menuIndex=3&amp;refID=7179718&amp;Result=3","7179718")</f>
        <v>0</v>
      </c>
      <c r="B9131" t="s">
        <v>1034</v>
      </c>
      <c r="C9131" t="s">
        <v>12245</v>
      </c>
      <c r="D9131" t="s">
        <v>17199</v>
      </c>
      <c r="E9131" t="s">
        <v>25066</v>
      </c>
      <c r="F9131" t="s">
        <v>29372</v>
      </c>
      <c r="G9131" t="s">
        <v>29380</v>
      </c>
      <c r="H9131" t="s">
        <v>11048</v>
      </c>
      <c r="I9131" t="s">
        <v>3839</v>
      </c>
      <c r="J9131" t="s">
        <v>35376</v>
      </c>
      <c r="K9131" t="s">
        <v>38491</v>
      </c>
      <c r="M9131" t="s">
        <v>39837</v>
      </c>
      <c r="N9131" t="s">
        <v>42669</v>
      </c>
      <c r="O9131" t="s">
        <v>42670</v>
      </c>
      <c r="P9131">
        <v>0</v>
      </c>
      <c r="Q9131">
        <v>4</v>
      </c>
      <c r="R9131" t="s">
        <v>42681</v>
      </c>
      <c r="S9131" t="s">
        <v>42966</v>
      </c>
      <c r="T9131" t="s">
        <v>44427</v>
      </c>
      <c r="U9131" t="s">
        <v>52277</v>
      </c>
      <c r="W9131" t="s">
        <v>58033</v>
      </c>
      <c r="X9131" t="s">
        <v>42682</v>
      </c>
    </row>
    <row r="9132" spans="1:24">
      <c r="A9132">
        <f>HYPERLINK("https://www.philgeps.gov.ph/GEPSNONPILOT/Tender/SplashBidNoticeAbstractUI.aspx?menuIndex=3&amp;refID=7179713&amp;Result=3","7179713")</f>
        <v>0</v>
      </c>
      <c r="B9132" t="s">
        <v>957</v>
      </c>
      <c r="C9132" t="s">
        <v>12246</v>
      </c>
      <c r="D9132" t="s">
        <v>17143</v>
      </c>
      <c r="E9132" t="s">
        <v>25067</v>
      </c>
      <c r="F9132" t="s">
        <v>29372</v>
      </c>
      <c r="G9132" t="s">
        <v>29380</v>
      </c>
      <c r="H9132" t="s">
        <v>11048</v>
      </c>
      <c r="I9132" t="s">
        <v>29452</v>
      </c>
      <c r="J9132" t="s">
        <v>35365</v>
      </c>
      <c r="K9132" t="s">
        <v>38510</v>
      </c>
      <c r="M9132" t="s">
        <v>39753</v>
      </c>
      <c r="N9132" t="s">
        <v>42669</v>
      </c>
      <c r="O9132" t="s">
        <v>42670</v>
      </c>
      <c r="P9132">
        <v>0</v>
      </c>
      <c r="Q9132">
        <v>2</v>
      </c>
      <c r="R9132" t="s">
        <v>42681</v>
      </c>
      <c r="S9132" t="s">
        <v>42966</v>
      </c>
      <c r="T9132" t="s">
        <v>44488</v>
      </c>
      <c r="U9132" t="s">
        <v>51989</v>
      </c>
      <c r="W9132" t="s">
        <v>39753</v>
      </c>
      <c r="X9132" t="s">
        <v>42682</v>
      </c>
    </row>
    <row r="9133" spans="1:24">
      <c r="A9133">
        <f>HYPERLINK("https://www.philgeps.gov.ph/GEPSNONPILOT/Tender/SplashBidNoticeAbstractUI.aspx?menuIndex=3&amp;refID=7179706&amp;Result=3","7179706")</f>
        <v>0</v>
      </c>
      <c r="B9133" t="s">
        <v>1599</v>
      </c>
      <c r="C9133" t="s">
        <v>12247</v>
      </c>
      <c r="D9133" t="s">
        <v>17158</v>
      </c>
      <c r="E9133" t="s">
        <v>25068</v>
      </c>
      <c r="F9133" t="s">
        <v>29372</v>
      </c>
      <c r="G9133" t="s">
        <v>29380</v>
      </c>
      <c r="H9133" t="s">
        <v>29391</v>
      </c>
      <c r="I9133" t="s">
        <v>29391</v>
      </c>
      <c r="J9133" t="s">
        <v>35377</v>
      </c>
      <c r="K9133" t="s">
        <v>38577</v>
      </c>
      <c r="M9133" t="s">
        <v>40452</v>
      </c>
      <c r="N9133" t="s">
        <v>42669</v>
      </c>
      <c r="O9133" t="s">
        <v>42670</v>
      </c>
      <c r="P9133">
        <v>0</v>
      </c>
      <c r="Q9133">
        <v>2</v>
      </c>
      <c r="R9133" t="s">
        <v>42681</v>
      </c>
      <c r="S9133" t="s">
        <v>42966</v>
      </c>
      <c r="T9133" t="s">
        <v>44401</v>
      </c>
      <c r="U9133" t="s">
        <v>52278</v>
      </c>
      <c r="V9133" t="s">
        <v>57373</v>
      </c>
      <c r="W9133" t="s">
        <v>40452</v>
      </c>
      <c r="X9133" t="s">
        <v>42682</v>
      </c>
    </row>
    <row r="9134" spans="1:24">
      <c r="A9134">
        <f>HYPERLINK("https://www.philgeps.gov.ph/GEPSNONPILOT/Tender/SplashBidNoticeAbstractUI.aspx?menuIndex=3&amp;refID=7179744&amp;Result=3","7179744")</f>
        <v>0</v>
      </c>
      <c r="B9134" t="s">
        <v>2732</v>
      </c>
      <c r="C9134" t="s">
        <v>12248</v>
      </c>
      <c r="D9134" t="s">
        <v>17185</v>
      </c>
      <c r="E9134" t="s">
        <v>25069</v>
      </c>
      <c r="F9134" t="s">
        <v>29372</v>
      </c>
      <c r="G9134" t="s">
        <v>29380</v>
      </c>
      <c r="H9134" t="s">
        <v>11048</v>
      </c>
      <c r="I9134" t="s">
        <v>3597</v>
      </c>
      <c r="J9134" t="s">
        <v>35378</v>
      </c>
      <c r="K9134" t="s">
        <v>38510</v>
      </c>
      <c r="M9134" t="s">
        <v>41715</v>
      </c>
      <c r="N9134" t="s">
        <v>42669</v>
      </c>
      <c r="O9134" t="s">
        <v>42670</v>
      </c>
      <c r="P9134">
        <v>0</v>
      </c>
      <c r="Q9134">
        <v>4</v>
      </c>
      <c r="R9134" t="s">
        <v>42681</v>
      </c>
      <c r="S9134" t="s">
        <v>42966</v>
      </c>
      <c r="T9134" t="s">
        <v>44488</v>
      </c>
      <c r="U9134" t="s">
        <v>52279</v>
      </c>
      <c r="W9134" t="s">
        <v>41715</v>
      </c>
      <c r="X9134" t="s">
        <v>42682</v>
      </c>
    </row>
    <row r="9135" spans="1:24">
      <c r="A9135">
        <f>HYPERLINK("https://www.philgeps.gov.ph/GEPSNONPILOT/Tender/SplashBidNoticeAbstractUI.aspx?menuIndex=3&amp;refID=7179698&amp;Result=3","7179698")</f>
        <v>0</v>
      </c>
      <c r="B9135" t="s">
        <v>909</v>
      </c>
      <c r="C9135" t="s">
        <v>12249</v>
      </c>
      <c r="D9135" t="s">
        <v>17202</v>
      </c>
      <c r="E9135" t="s">
        <v>18284</v>
      </c>
      <c r="F9135" t="s">
        <v>29372</v>
      </c>
      <c r="G9135" t="s">
        <v>29380</v>
      </c>
      <c r="H9135" t="s">
        <v>11048</v>
      </c>
      <c r="I9135" t="s">
        <v>4709</v>
      </c>
      <c r="J9135" t="s">
        <v>35379</v>
      </c>
      <c r="K9135" t="s">
        <v>38485</v>
      </c>
      <c r="M9135" t="s">
        <v>39702</v>
      </c>
      <c r="N9135" t="s">
        <v>42669</v>
      </c>
      <c r="O9135" t="s">
        <v>42670</v>
      </c>
      <c r="P9135">
        <v>0</v>
      </c>
      <c r="Q9135">
        <v>0</v>
      </c>
      <c r="R9135" t="s">
        <v>42681</v>
      </c>
      <c r="S9135" t="s">
        <v>42966</v>
      </c>
      <c r="T9135" t="s">
        <v>44412</v>
      </c>
      <c r="U9135" t="s">
        <v>52280</v>
      </c>
      <c r="W9135" t="s">
        <v>39702</v>
      </c>
      <c r="X9135" t="s">
        <v>42682</v>
      </c>
    </row>
    <row r="9136" spans="1:24">
      <c r="A9136">
        <f>HYPERLINK("https://www.philgeps.gov.ph/GEPSNONPILOT/Tender/SplashBidNoticeAbstractUI.aspx?menuIndex=3&amp;refID=7179938&amp;Result=3","7179938")</f>
        <v>0</v>
      </c>
      <c r="B9136" t="s">
        <v>562</v>
      </c>
      <c r="C9136" t="s">
        <v>12250</v>
      </c>
      <c r="D9136" t="s">
        <v>17141</v>
      </c>
      <c r="E9136" t="s">
        <v>25070</v>
      </c>
      <c r="F9136" t="s">
        <v>29372</v>
      </c>
      <c r="G9136" t="s">
        <v>29379</v>
      </c>
      <c r="H9136" t="s">
        <v>11048</v>
      </c>
      <c r="I9136" t="s">
        <v>29407</v>
      </c>
      <c r="J9136" t="s">
        <v>35380</v>
      </c>
      <c r="K9136" t="s">
        <v>38491</v>
      </c>
      <c r="M9136" t="s">
        <v>39331</v>
      </c>
      <c r="N9136" t="s">
        <v>42669</v>
      </c>
      <c r="O9136" t="s">
        <v>42670</v>
      </c>
      <c r="P9136">
        <v>0</v>
      </c>
      <c r="Q9136">
        <v>4</v>
      </c>
      <c r="R9136" t="s">
        <v>42681</v>
      </c>
      <c r="S9136" t="s">
        <v>42966</v>
      </c>
      <c r="T9136" t="s">
        <v>44716</v>
      </c>
      <c r="U9136" t="s">
        <v>52281</v>
      </c>
      <c r="W9136" t="s">
        <v>39331</v>
      </c>
      <c r="X9136" t="s">
        <v>42682</v>
      </c>
    </row>
    <row r="9137" spans="1:24">
      <c r="A9137">
        <f>HYPERLINK("https://www.philgeps.gov.ph/GEPSNONPILOT/Tender/SplashBidNoticeAbstractUI.aspx?menuIndex=3&amp;refID=7179925&amp;Result=3","7179925")</f>
        <v>0</v>
      </c>
      <c r="B9137" t="s">
        <v>306</v>
      </c>
      <c r="C9137" t="s">
        <v>12251</v>
      </c>
      <c r="D9137" t="s">
        <v>17141</v>
      </c>
      <c r="E9137" t="s">
        <v>25071</v>
      </c>
      <c r="F9137" t="s">
        <v>29372</v>
      </c>
      <c r="G9137" t="s">
        <v>29380</v>
      </c>
      <c r="H9137" t="s">
        <v>29389</v>
      </c>
      <c r="I9137" t="s">
        <v>29509</v>
      </c>
      <c r="J9137" t="s">
        <v>35381</v>
      </c>
      <c r="K9137" t="s">
        <v>38533</v>
      </c>
      <c r="M9137" t="s">
        <v>39065</v>
      </c>
      <c r="N9137" t="s">
        <v>42669</v>
      </c>
      <c r="O9137" t="s">
        <v>42670</v>
      </c>
      <c r="Q9137">
        <v>9</v>
      </c>
      <c r="R9137" t="s">
        <v>42681</v>
      </c>
      <c r="S9137" t="s">
        <v>42979</v>
      </c>
      <c r="T9137" t="s">
        <v>44474</v>
      </c>
      <c r="U9137" t="s">
        <v>52282</v>
      </c>
      <c r="W9137" t="s">
        <v>39065</v>
      </c>
      <c r="X9137" t="s">
        <v>42682</v>
      </c>
    </row>
    <row r="9138" spans="1:24">
      <c r="A9138">
        <f>HYPERLINK("https://www.philgeps.gov.ph/GEPSNONPILOT/Tender/SplashBidNoticeAbstractUI.aspx?menuIndex=3&amp;refID=7179915&amp;Result=3","7179915")</f>
        <v>0</v>
      </c>
      <c r="B9138" t="s">
        <v>2756</v>
      </c>
      <c r="C9138" t="s">
        <v>12252</v>
      </c>
      <c r="D9138" t="s">
        <v>17141</v>
      </c>
      <c r="E9138" t="s">
        <v>25072</v>
      </c>
      <c r="F9138" t="s">
        <v>29372</v>
      </c>
      <c r="G9138" t="s">
        <v>29379</v>
      </c>
      <c r="H9138" t="s">
        <v>29389</v>
      </c>
      <c r="I9138" t="s">
        <v>10408</v>
      </c>
      <c r="J9138" t="s">
        <v>35382</v>
      </c>
      <c r="K9138" t="s">
        <v>38496</v>
      </c>
      <c r="M9138" t="s">
        <v>41741</v>
      </c>
      <c r="N9138" t="s">
        <v>42669</v>
      </c>
      <c r="O9138" t="s">
        <v>42670</v>
      </c>
      <c r="Q9138">
        <v>3</v>
      </c>
      <c r="R9138" t="s">
        <v>42681</v>
      </c>
      <c r="S9138" t="s">
        <v>42980</v>
      </c>
      <c r="T9138" t="s">
        <v>44466</v>
      </c>
      <c r="U9138" t="s">
        <v>52283</v>
      </c>
      <c r="V9138" t="s">
        <v>57374</v>
      </c>
      <c r="W9138" t="s">
        <v>41741</v>
      </c>
      <c r="X9138" t="s">
        <v>42682</v>
      </c>
    </row>
    <row r="9139" spans="1:24">
      <c r="A9139">
        <f>HYPERLINK("https://www.philgeps.gov.ph/GEPSNONPILOT/Tender/SplashBidNoticeAbstractUI.aspx?menuIndex=3&amp;refID=7179901&amp;Result=3","7179901")</f>
        <v>0</v>
      </c>
      <c r="B9139" t="s">
        <v>2756</v>
      </c>
      <c r="C9139" t="s">
        <v>12253</v>
      </c>
      <c r="D9139" t="s">
        <v>17141</v>
      </c>
      <c r="E9139" t="s">
        <v>25073</v>
      </c>
      <c r="F9139" t="s">
        <v>29372</v>
      </c>
      <c r="G9139" t="s">
        <v>29380</v>
      </c>
      <c r="H9139" t="s">
        <v>11048</v>
      </c>
      <c r="I9139" t="s">
        <v>9469</v>
      </c>
      <c r="J9139" t="s">
        <v>30056</v>
      </c>
      <c r="K9139" t="s">
        <v>38488</v>
      </c>
      <c r="M9139" t="s">
        <v>41741</v>
      </c>
      <c r="N9139" t="s">
        <v>42669</v>
      </c>
      <c r="O9139" t="s">
        <v>42670</v>
      </c>
      <c r="P9139">
        <v>0</v>
      </c>
      <c r="Q9139">
        <v>4</v>
      </c>
      <c r="R9139" t="s">
        <v>42681</v>
      </c>
      <c r="S9139" t="s">
        <v>42966</v>
      </c>
      <c r="T9139" t="s">
        <v>44355</v>
      </c>
      <c r="U9139" t="s">
        <v>52284</v>
      </c>
      <c r="V9139" t="s">
        <v>57375</v>
      </c>
      <c r="W9139" t="s">
        <v>41741</v>
      </c>
      <c r="X9139" t="s">
        <v>42682</v>
      </c>
    </row>
    <row r="9140" spans="1:24">
      <c r="A9140">
        <f>HYPERLINK("https://www.philgeps.gov.ph/GEPSNONPILOT/Tender/SplashBidNoticeAbstractUI.aspx?menuIndex=3&amp;refID=7179886&amp;Result=3","7179886")</f>
        <v>0</v>
      </c>
      <c r="B9140" t="s">
        <v>1881</v>
      </c>
      <c r="C9140" t="s">
        <v>12254</v>
      </c>
      <c r="D9140" t="s">
        <v>17174</v>
      </c>
      <c r="E9140" t="s">
        <v>25074</v>
      </c>
      <c r="F9140" t="s">
        <v>29372</v>
      </c>
      <c r="G9140" t="s">
        <v>29380</v>
      </c>
      <c r="H9140" t="s">
        <v>11048</v>
      </c>
      <c r="I9140" t="s">
        <v>29398</v>
      </c>
      <c r="J9140" t="s">
        <v>30679</v>
      </c>
      <c r="K9140" t="s">
        <v>38489</v>
      </c>
      <c r="M9140" t="s">
        <v>40754</v>
      </c>
      <c r="N9140" t="s">
        <v>42669</v>
      </c>
      <c r="O9140" t="s">
        <v>42670</v>
      </c>
      <c r="P9140">
        <v>0</v>
      </c>
      <c r="Q9140">
        <v>1</v>
      </c>
      <c r="R9140" t="s">
        <v>42681</v>
      </c>
      <c r="S9140" t="s">
        <v>42966</v>
      </c>
      <c r="T9140" t="s">
        <v>44481</v>
      </c>
      <c r="U9140" t="s">
        <v>52285</v>
      </c>
      <c r="W9140" t="s">
        <v>40754</v>
      </c>
      <c r="X9140" t="s">
        <v>42682</v>
      </c>
    </row>
    <row r="9141" spans="1:24">
      <c r="A9141">
        <f>HYPERLINK("https://www.philgeps.gov.ph/GEPSNONPILOT/Tender/SplashBidNoticeAbstractUI.aspx?menuIndex=3&amp;refID=7179873&amp;Result=3","7179873")</f>
        <v>0</v>
      </c>
      <c r="B9141" t="s">
        <v>2757</v>
      </c>
      <c r="C9141" t="s">
        <v>12255</v>
      </c>
      <c r="D9141" t="s">
        <v>17146</v>
      </c>
      <c r="E9141" t="s">
        <v>25075</v>
      </c>
      <c r="F9141" t="s">
        <v>29372</v>
      </c>
      <c r="G9141" t="s">
        <v>29380</v>
      </c>
      <c r="H9141" t="s">
        <v>11048</v>
      </c>
      <c r="I9141" t="s">
        <v>3860</v>
      </c>
      <c r="J9141" t="s">
        <v>35383</v>
      </c>
      <c r="K9141" t="s">
        <v>38485</v>
      </c>
      <c r="M9141" t="s">
        <v>41742</v>
      </c>
      <c r="N9141" t="s">
        <v>42669</v>
      </c>
      <c r="O9141" t="s">
        <v>42670</v>
      </c>
      <c r="P9141">
        <v>0</v>
      </c>
      <c r="Q9141">
        <v>1</v>
      </c>
      <c r="R9141" t="s">
        <v>42681</v>
      </c>
      <c r="S9141" t="s">
        <v>42966</v>
      </c>
      <c r="T9141" t="s">
        <v>44488</v>
      </c>
      <c r="U9141" t="s">
        <v>52286</v>
      </c>
      <c r="W9141" t="s">
        <v>41742</v>
      </c>
      <c r="X9141" t="s">
        <v>42682</v>
      </c>
    </row>
    <row r="9142" spans="1:24">
      <c r="A9142">
        <f>HYPERLINK("https://www.philgeps.gov.ph/GEPSNONPILOT/Tender/SplashBidNoticeAbstractUI.aspx?menuIndex=3&amp;refID=7179862&amp;Result=3","7179862")</f>
        <v>0</v>
      </c>
      <c r="B9142" t="s">
        <v>1043</v>
      </c>
      <c r="C9142" t="s">
        <v>12256</v>
      </c>
      <c r="E9142" t="s">
        <v>25076</v>
      </c>
      <c r="F9142" t="s">
        <v>29372</v>
      </c>
      <c r="G9142" t="s">
        <v>29380</v>
      </c>
      <c r="H9142" t="s">
        <v>29389</v>
      </c>
      <c r="I9142" t="s">
        <v>10408</v>
      </c>
      <c r="J9142" t="s">
        <v>35384</v>
      </c>
      <c r="K9142" t="s">
        <v>38703</v>
      </c>
      <c r="M9142" t="s">
        <v>39848</v>
      </c>
      <c r="N9142" t="s">
        <v>42669</v>
      </c>
      <c r="O9142" t="s">
        <v>42670</v>
      </c>
      <c r="Q9142">
        <v>12</v>
      </c>
      <c r="R9142" t="s">
        <v>42681</v>
      </c>
      <c r="S9142" t="s">
        <v>42955</v>
      </c>
      <c r="T9142" t="s">
        <v>44390</v>
      </c>
      <c r="U9142" t="s">
        <v>52287</v>
      </c>
      <c r="W9142" t="s">
        <v>39848</v>
      </c>
      <c r="X9142" t="s">
        <v>42682</v>
      </c>
    </row>
    <row r="9143" spans="1:24">
      <c r="A9143">
        <f>HYPERLINK("https://www.philgeps.gov.ph/GEPSNONPILOT/Tender/SplashBidNoticeAbstractUI.aspx?menuIndex=3&amp;refID=7179856&amp;Result=3","7179856")</f>
        <v>0</v>
      </c>
      <c r="B9143" t="s">
        <v>306</v>
      </c>
      <c r="C9143" t="s">
        <v>12257</v>
      </c>
      <c r="D9143" t="s">
        <v>17141</v>
      </c>
      <c r="E9143" t="s">
        <v>25077</v>
      </c>
      <c r="F9143" t="s">
        <v>29372</v>
      </c>
      <c r="G9143" t="s">
        <v>29380</v>
      </c>
      <c r="H9143" t="s">
        <v>29389</v>
      </c>
      <c r="I9143" t="s">
        <v>10408</v>
      </c>
      <c r="J9143" t="s">
        <v>35385</v>
      </c>
      <c r="K9143" t="s">
        <v>38638</v>
      </c>
      <c r="M9143" t="s">
        <v>39065</v>
      </c>
      <c r="N9143" t="s">
        <v>42669</v>
      </c>
      <c r="O9143" t="s">
        <v>42670</v>
      </c>
      <c r="Q9143">
        <v>31</v>
      </c>
      <c r="R9143" t="s">
        <v>42681</v>
      </c>
      <c r="S9143" t="s">
        <v>42981</v>
      </c>
      <c r="T9143" t="s">
        <v>44474</v>
      </c>
      <c r="U9143" t="s">
        <v>52288</v>
      </c>
      <c r="W9143" t="s">
        <v>39065</v>
      </c>
      <c r="X9143" t="s">
        <v>42682</v>
      </c>
    </row>
    <row r="9144" spans="1:24">
      <c r="A9144">
        <f>HYPERLINK("https://www.philgeps.gov.ph/GEPSNONPILOT/Tender/SplashBidNoticeAbstractUI.aspx?menuIndex=3&amp;refID=7179841&amp;Result=3","7179841")</f>
        <v>0</v>
      </c>
      <c r="B9144" t="s">
        <v>2560</v>
      </c>
      <c r="C9144" t="s">
        <v>12258</v>
      </c>
      <c r="D9144" t="s">
        <v>17153</v>
      </c>
      <c r="E9144" t="s">
        <v>25078</v>
      </c>
      <c r="F9144" t="s">
        <v>29372</v>
      </c>
      <c r="G9144" t="s">
        <v>29382</v>
      </c>
      <c r="H9144" t="s">
        <v>11048</v>
      </c>
      <c r="I9144" t="s">
        <v>9642</v>
      </c>
      <c r="J9144" t="s">
        <v>35386</v>
      </c>
      <c r="K9144" t="s">
        <v>38496</v>
      </c>
      <c r="M9144" t="s">
        <v>41525</v>
      </c>
      <c r="N9144" t="s">
        <v>42669</v>
      </c>
      <c r="O9144" t="s">
        <v>42670</v>
      </c>
      <c r="P9144">
        <v>0</v>
      </c>
      <c r="Q9144">
        <v>3</v>
      </c>
      <c r="R9144" t="s">
        <v>42681</v>
      </c>
      <c r="S9144" t="s">
        <v>42966</v>
      </c>
      <c r="T9144" t="s">
        <v>44371</v>
      </c>
      <c r="U9144" t="s">
        <v>52289</v>
      </c>
      <c r="W9144" t="s">
        <v>41525</v>
      </c>
      <c r="X9144" t="s">
        <v>42682</v>
      </c>
    </row>
    <row r="9145" spans="1:24">
      <c r="A9145">
        <f>HYPERLINK("https://www.philgeps.gov.ph/GEPSNONPILOT/Tender/SplashBidNoticeAbstractUI.aspx?menuIndex=3&amp;refID=7179722&amp;Result=3","7179722")</f>
        <v>0</v>
      </c>
      <c r="B9145" t="s">
        <v>2157</v>
      </c>
      <c r="C9145" t="s">
        <v>12259</v>
      </c>
      <c r="D9145" t="s">
        <v>17148</v>
      </c>
      <c r="E9145" t="s">
        <v>22738</v>
      </c>
      <c r="F9145" t="s">
        <v>29372</v>
      </c>
      <c r="G9145" t="s">
        <v>29380</v>
      </c>
      <c r="H9145" t="s">
        <v>11048</v>
      </c>
      <c r="I9145" t="s">
        <v>4709</v>
      </c>
      <c r="J9145" t="s">
        <v>35387</v>
      </c>
      <c r="K9145" t="s">
        <v>38510</v>
      </c>
      <c r="M9145" t="s">
        <v>41067</v>
      </c>
      <c r="N9145" t="s">
        <v>42669</v>
      </c>
      <c r="O9145" t="s">
        <v>42670</v>
      </c>
      <c r="P9145">
        <v>0</v>
      </c>
      <c r="Q9145">
        <v>4</v>
      </c>
      <c r="R9145" t="s">
        <v>42681</v>
      </c>
      <c r="S9145" t="s">
        <v>42966</v>
      </c>
      <c r="T9145" t="s">
        <v>44772</v>
      </c>
      <c r="U9145" t="s">
        <v>52290</v>
      </c>
      <c r="W9145" t="s">
        <v>41067</v>
      </c>
      <c r="X9145" t="s">
        <v>42682</v>
      </c>
    </row>
    <row r="9146" spans="1:24">
      <c r="A9146">
        <f>HYPERLINK("https://www.philgeps.gov.ph/GEPSNONPILOT/Tender/SplashBidNoticeAbstractUI.aspx?menuIndex=3&amp;refID=7179853&amp;Result=3","7179853")</f>
        <v>0</v>
      </c>
      <c r="B9146" t="s">
        <v>2758</v>
      </c>
      <c r="C9146" t="s">
        <v>12260</v>
      </c>
      <c r="D9146" t="s">
        <v>17144</v>
      </c>
      <c r="E9146" t="s">
        <v>25079</v>
      </c>
      <c r="F9146" t="s">
        <v>29372</v>
      </c>
      <c r="G9146" t="s">
        <v>29380</v>
      </c>
      <c r="H9146" t="s">
        <v>11048</v>
      </c>
      <c r="I9146" t="s">
        <v>5383</v>
      </c>
      <c r="J9146" t="s">
        <v>35388</v>
      </c>
      <c r="K9146" t="s">
        <v>38510</v>
      </c>
      <c r="M9146" t="s">
        <v>41743</v>
      </c>
      <c r="N9146" t="s">
        <v>42669</v>
      </c>
      <c r="O9146" t="s">
        <v>42670</v>
      </c>
      <c r="P9146">
        <v>0</v>
      </c>
      <c r="Q9146">
        <v>4</v>
      </c>
      <c r="R9146" t="s">
        <v>42681</v>
      </c>
      <c r="S9146" t="s">
        <v>42966</v>
      </c>
      <c r="T9146" t="s">
        <v>44517</v>
      </c>
      <c r="U9146" t="s">
        <v>52291</v>
      </c>
      <c r="V9146" t="s">
        <v>57376</v>
      </c>
      <c r="W9146" t="s">
        <v>41743</v>
      </c>
      <c r="X9146" t="s">
        <v>42682</v>
      </c>
    </row>
    <row r="9147" spans="1:24">
      <c r="A9147">
        <f>HYPERLINK("https://www.philgeps.gov.ph/GEPSNONPILOT/Tender/SplashBidNoticeAbstractUI.aspx?menuIndex=3&amp;refID=7179810&amp;Result=3","7179810")</f>
        <v>0</v>
      </c>
      <c r="B9147" t="s">
        <v>2759</v>
      </c>
      <c r="C9147" t="s">
        <v>12261</v>
      </c>
      <c r="D9147" t="s">
        <v>17170</v>
      </c>
      <c r="E9147" t="s">
        <v>25080</v>
      </c>
      <c r="F9147" t="s">
        <v>29372</v>
      </c>
      <c r="G9147" t="s">
        <v>29380</v>
      </c>
      <c r="H9147" t="s">
        <v>29389</v>
      </c>
      <c r="I9147" t="s">
        <v>29413</v>
      </c>
      <c r="J9147" t="s">
        <v>35389</v>
      </c>
      <c r="K9147" t="s">
        <v>38485</v>
      </c>
      <c r="M9147" t="s">
        <v>41744</v>
      </c>
      <c r="N9147" t="s">
        <v>42669</v>
      </c>
      <c r="O9147" t="s">
        <v>42670</v>
      </c>
      <c r="P9147">
        <v>0</v>
      </c>
      <c r="Q9147">
        <v>5</v>
      </c>
      <c r="R9147" t="s">
        <v>42681</v>
      </c>
      <c r="S9147" t="s">
        <v>42966</v>
      </c>
      <c r="T9147" t="s">
        <v>44452</v>
      </c>
      <c r="U9147" t="s">
        <v>52292</v>
      </c>
      <c r="W9147" t="s">
        <v>41744</v>
      </c>
      <c r="X9147" t="s">
        <v>42682</v>
      </c>
    </row>
    <row r="9148" spans="1:24">
      <c r="A9148">
        <f>HYPERLINK("https://www.philgeps.gov.ph/GEPSNONPILOT/Tender/SplashBidNoticeAbstractUI.aspx?menuIndex=3&amp;refID=7179794&amp;Result=3","7179794")</f>
        <v>0</v>
      </c>
      <c r="B9148" t="s">
        <v>2760</v>
      </c>
      <c r="C9148" t="s">
        <v>12262</v>
      </c>
      <c r="D9148" t="s">
        <v>17204</v>
      </c>
      <c r="E9148" t="s">
        <v>25081</v>
      </c>
      <c r="F9148" t="s">
        <v>29372</v>
      </c>
      <c r="G9148" t="s">
        <v>29379</v>
      </c>
      <c r="H9148" t="s">
        <v>11048</v>
      </c>
      <c r="I9148" t="s">
        <v>9642</v>
      </c>
      <c r="J9148" t="s">
        <v>30886</v>
      </c>
      <c r="K9148" t="s">
        <v>38488</v>
      </c>
      <c r="M9148" t="s">
        <v>41745</v>
      </c>
      <c r="N9148" t="s">
        <v>42669</v>
      </c>
      <c r="O9148" t="s">
        <v>42670</v>
      </c>
      <c r="P9148">
        <v>0</v>
      </c>
      <c r="Q9148">
        <v>4</v>
      </c>
      <c r="R9148" t="s">
        <v>42681</v>
      </c>
      <c r="S9148" t="s">
        <v>42966</v>
      </c>
      <c r="T9148" t="s">
        <v>44453</v>
      </c>
      <c r="U9148" t="s">
        <v>52293</v>
      </c>
      <c r="W9148" t="s">
        <v>41745</v>
      </c>
      <c r="X9148" t="s">
        <v>42682</v>
      </c>
    </row>
    <row r="9149" spans="1:24">
      <c r="A9149">
        <f>HYPERLINK("https://www.philgeps.gov.ph/GEPSNONPILOT/Tender/SplashBidNoticeAbstractUI.aspx?menuIndex=3&amp;refID=7179527&amp;Result=3","7179527")</f>
        <v>0</v>
      </c>
      <c r="B9149" t="s">
        <v>1479</v>
      </c>
      <c r="C9149" t="s">
        <v>12263</v>
      </c>
      <c r="D9149" t="s">
        <v>17156</v>
      </c>
      <c r="E9149" t="s">
        <v>25082</v>
      </c>
      <c r="F9149" t="s">
        <v>29372</v>
      </c>
      <c r="G9149" t="s">
        <v>29380</v>
      </c>
      <c r="H9149" t="s">
        <v>11048</v>
      </c>
      <c r="I9149" t="s">
        <v>8614</v>
      </c>
      <c r="J9149" t="s">
        <v>30056</v>
      </c>
      <c r="K9149" t="s">
        <v>38487</v>
      </c>
      <c r="M9149" t="s">
        <v>40322</v>
      </c>
      <c r="N9149" t="s">
        <v>42669</v>
      </c>
      <c r="O9149" t="s">
        <v>42670</v>
      </c>
      <c r="P9149">
        <v>0</v>
      </c>
      <c r="Q9149">
        <v>8</v>
      </c>
      <c r="R9149" t="s">
        <v>42681</v>
      </c>
      <c r="S9149" t="s">
        <v>42966</v>
      </c>
      <c r="T9149" t="s">
        <v>44684</v>
      </c>
      <c r="U9149" t="s">
        <v>52294</v>
      </c>
      <c r="V9149" t="s">
        <v>56771</v>
      </c>
      <c r="W9149" t="s">
        <v>40322</v>
      </c>
      <c r="X9149" t="s">
        <v>42682</v>
      </c>
    </row>
    <row r="9150" spans="1:24">
      <c r="A9150">
        <f>HYPERLINK("https://www.philgeps.gov.ph/GEPSNONPILOT/Tender/SplashBidNoticeAbstractUI.aspx?menuIndex=3&amp;refID=7179790&amp;Result=3","7179790")</f>
        <v>0</v>
      </c>
      <c r="B9150" t="s">
        <v>2732</v>
      </c>
      <c r="C9150" t="s">
        <v>12264</v>
      </c>
      <c r="D9150" t="s">
        <v>17185</v>
      </c>
      <c r="E9150" t="s">
        <v>18038</v>
      </c>
      <c r="F9150" t="s">
        <v>29372</v>
      </c>
      <c r="G9150" t="s">
        <v>29380</v>
      </c>
      <c r="H9150" t="s">
        <v>11048</v>
      </c>
      <c r="I9150" t="s">
        <v>4486</v>
      </c>
      <c r="J9150" t="s">
        <v>31276</v>
      </c>
      <c r="K9150" t="s">
        <v>38510</v>
      </c>
      <c r="M9150" t="s">
        <v>41715</v>
      </c>
      <c r="N9150" t="s">
        <v>42669</v>
      </c>
      <c r="O9150" t="s">
        <v>42670</v>
      </c>
      <c r="P9150">
        <v>0</v>
      </c>
      <c r="Q9150">
        <v>2</v>
      </c>
      <c r="R9150" t="s">
        <v>42681</v>
      </c>
      <c r="S9150" t="s">
        <v>42966</v>
      </c>
      <c r="T9150" t="s">
        <v>44488</v>
      </c>
      <c r="U9150" t="s">
        <v>52295</v>
      </c>
      <c r="W9150" t="s">
        <v>41715</v>
      </c>
      <c r="X9150" t="s">
        <v>42682</v>
      </c>
    </row>
    <row r="9151" spans="1:24">
      <c r="A9151">
        <f>HYPERLINK("https://www.philgeps.gov.ph/GEPSNONPILOT/Tender/SplashBidNoticeAbstractUI.aspx?menuIndex=3&amp;refID=7179773&amp;Result=3","7179773")</f>
        <v>0</v>
      </c>
      <c r="B9151" t="s">
        <v>94</v>
      </c>
      <c r="C9151" t="s">
        <v>12265</v>
      </c>
      <c r="D9151" t="s">
        <v>17171</v>
      </c>
      <c r="E9151" t="s">
        <v>25083</v>
      </c>
      <c r="F9151" t="s">
        <v>29372</v>
      </c>
      <c r="G9151" t="s">
        <v>29380</v>
      </c>
      <c r="H9151" t="s">
        <v>29389</v>
      </c>
      <c r="I9151" t="s">
        <v>10408</v>
      </c>
      <c r="J9151" t="s">
        <v>35390</v>
      </c>
      <c r="K9151" t="s">
        <v>38496</v>
      </c>
      <c r="M9151" t="s">
        <v>38848</v>
      </c>
      <c r="N9151" t="s">
        <v>42669</v>
      </c>
      <c r="O9151" t="s">
        <v>42670</v>
      </c>
      <c r="Q9151">
        <v>0</v>
      </c>
      <c r="R9151" t="s">
        <v>42681</v>
      </c>
      <c r="S9151" t="s">
        <v>42982</v>
      </c>
      <c r="T9151" t="s">
        <v>44419</v>
      </c>
      <c r="U9151" t="s">
        <v>52296</v>
      </c>
      <c r="W9151" t="s">
        <v>38848</v>
      </c>
      <c r="X9151" t="s">
        <v>42682</v>
      </c>
    </row>
    <row r="9152" spans="1:24">
      <c r="A9152">
        <f>HYPERLINK("https://www.philgeps.gov.ph/GEPSNONPILOT/Tender/SplashBidNoticeAbstractUI.aspx?menuIndex=3&amp;refID=7179769&amp;Result=3","7179769")</f>
        <v>0</v>
      </c>
      <c r="B9152" t="s">
        <v>2732</v>
      </c>
      <c r="C9152" t="s">
        <v>12266</v>
      </c>
      <c r="D9152" t="s">
        <v>17185</v>
      </c>
      <c r="E9152" t="s">
        <v>25084</v>
      </c>
      <c r="F9152" t="s">
        <v>29372</v>
      </c>
      <c r="G9152" t="s">
        <v>29380</v>
      </c>
      <c r="H9152" t="s">
        <v>11048</v>
      </c>
      <c r="I9152" t="s">
        <v>29393</v>
      </c>
      <c r="J9152" t="s">
        <v>29587</v>
      </c>
      <c r="K9152" t="s">
        <v>38510</v>
      </c>
      <c r="M9152" t="s">
        <v>41715</v>
      </c>
      <c r="N9152" t="s">
        <v>42669</v>
      </c>
      <c r="O9152" t="s">
        <v>42670</v>
      </c>
      <c r="P9152">
        <v>0</v>
      </c>
      <c r="Q9152">
        <v>0</v>
      </c>
      <c r="R9152" t="s">
        <v>42681</v>
      </c>
      <c r="S9152" t="s">
        <v>42966</v>
      </c>
      <c r="T9152" t="s">
        <v>44488</v>
      </c>
      <c r="U9152" t="s">
        <v>52297</v>
      </c>
      <c r="W9152" t="s">
        <v>41715</v>
      </c>
      <c r="X9152" t="s">
        <v>42682</v>
      </c>
    </row>
    <row r="9153" spans="1:24">
      <c r="A9153">
        <f>HYPERLINK("https://www.philgeps.gov.ph/GEPSNONPILOT/Tender/SplashBidNoticeAbstractUI.aspx?menuIndex=3&amp;refID=7179799&amp;Result=3","7179799")</f>
        <v>0</v>
      </c>
      <c r="B9153" t="s">
        <v>94</v>
      </c>
      <c r="C9153" t="s">
        <v>12267</v>
      </c>
      <c r="D9153" t="s">
        <v>17171</v>
      </c>
      <c r="E9153" t="s">
        <v>25085</v>
      </c>
      <c r="F9153" t="s">
        <v>29372</v>
      </c>
      <c r="G9153" t="s">
        <v>29380</v>
      </c>
      <c r="H9153" t="s">
        <v>11048</v>
      </c>
      <c r="I9153" t="s">
        <v>9469</v>
      </c>
      <c r="J9153" t="s">
        <v>31110</v>
      </c>
      <c r="K9153" t="s">
        <v>38496</v>
      </c>
      <c r="M9153" t="s">
        <v>38848</v>
      </c>
      <c r="N9153" t="s">
        <v>42669</v>
      </c>
      <c r="O9153" t="s">
        <v>42670</v>
      </c>
      <c r="P9153">
        <v>0</v>
      </c>
      <c r="Q9153">
        <v>4</v>
      </c>
      <c r="R9153" t="s">
        <v>42681</v>
      </c>
      <c r="S9153" t="s">
        <v>42966</v>
      </c>
      <c r="T9153" t="s">
        <v>44419</v>
      </c>
      <c r="U9153" t="s">
        <v>52298</v>
      </c>
      <c r="W9153" t="s">
        <v>38848</v>
      </c>
      <c r="X9153" t="s">
        <v>42682</v>
      </c>
    </row>
    <row r="9154" spans="1:24">
      <c r="A9154">
        <f>HYPERLINK("https://www.philgeps.gov.ph/GEPSNONPILOT/Tender/SplashBidNoticeAbstractUI.aspx?menuIndex=3&amp;refID=7179697&amp;Result=3","7179697")</f>
        <v>0</v>
      </c>
      <c r="B9154" t="s">
        <v>2732</v>
      </c>
      <c r="C9154" t="s">
        <v>12268</v>
      </c>
      <c r="D9154" t="s">
        <v>17185</v>
      </c>
      <c r="E9154" t="s">
        <v>25086</v>
      </c>
      <c r="F9154" t="s">
        <v>29372</v>
      </c>
      <c r="G9154" t="s">
        <v>29380</v>
      </c>
      <c r="H9154" t="s">
        <v>11048</v>
      </c>
      <c r="I9154" t="s">
        <v>4709</v>
      </c>
      <c r="J9154" t="s">
        <v>29587</v>
      </c>
      <c r="K9154" t="s">
        <v>38510</v>
      </c>
      <c r="M9154" t="s">
        <v>41715</v>
      </c>
      <c r="N9154" t="s">
        <v>42669</v>
      </c>
      <c r="O9154" t="s">
        <v>42670</v>
      </c>
      <c r="P9154">
        <v>0</v>
      </c>
      <c r="Q9154">
        <v>1</v>
      </c>
      <c r="R9154" t="s">
        <v>42681</v>
      </c>
      <c r="S9154" t="s">
        <v>42966</v>
      </c>
      <c r="T9154" t="s">
        <v>44488</v>
      </c>
      <c r="U9154" t="s">
        <v>52299</v>
      </c>
      <c r="W9154" t="s">
        <v>41715</v>
      </c>
      <c r="X9154" t="s">
        <v>42682</v>
      </c>
    </row>
    <row r="9155" spans="1:24">
      <c r="A9155">
        <f>HYPERLINK("https://www.philgeps.gov.ph/GEPSNONPILOT/Tender/SplashBidNoticeAbstractUI.aspx?menuIndex=3&amp;refID=7179368&amp;Result=3","7179368")</f>
        <v>0</v>
      </c>
      <c r="B9155" t="s">
        <v>1167</v>
      </c>
      <c r="C9155" t="s">
        <v>12269</v>
      </c>
      <c r="D9155" t="s">
        <v>17212</v>
      </c>
      <c r="E9155" t="s">
        <v>25087</v>
      </c>
      <c r="F9155" t="s">
        <v>29372</v>
      </c>
      <c r="G9155" t="s">
        <v>29380</v>
      </c>
      <c r="H9155" t="s">
        <v>29389</v>
      </c>
      <c r="I9155" t="s">
        <v>10408</v>
      </c>
      <c r="J9155" t="s">
        <v>31869</v>
      </c>
      <c r="K9155" t="s">
        <v>38494</v>
      </c>
      <c r="M9155" t="s">
        <v>39982</v>
      </c>
      <c r="N9155" t="s">
        <v>42669</v>
      </c>
      <c r="O9155" t="s">
        <v>42670</v>
      </c>
      <c r="P9155">
        <v>0</v>
      </c>
      <c r="Q9155">
        <v>0</v>
      </c>
      <c r="R9155" t="s">
        <v>42681</v>
      </c>
      <c r="S9155" t="s">
        <v>42966</v>
      </c>
      <c r="T9155" t="s">
        <v>44557</v>
      </c>
      <c r="U9155" t="s">
        <v>52300</v>
      </c>
      <c r="W9155" t="s">
        <v>39982</v>
      </c>
      <c r="X9155" t="s">
        <v>42682</v>
      </c>
    </row>
    <row r="9156" spans="1:24">
      <c r="A9156">
        <f>HYPERLINK("https://www.philgeps.gov.ph/GEPSNONPILOT/Tender/SplashBidNoticeAbstractUI.aspx?menuIndex=3&amp;refID=7179780&amp;Result=3","7179780")</f>
        <v>0</v>
      </c>
      <c r="B9156" t="s">
        <v>2732</v>
      </c>
      <c r="C9156" t="s">
        <v>12270</v>
      </c>
      <c r="D9156" t="s">
        <v>17185</v>
      </c>
      <c r="E9156" t="s">
        <v>25088</v>
      </c>
      <c r="F9156" t="s">
        <v>29372</v>
      </c>
      <c r="G9156" t="s">
        <v>29380</v>
      </c>
      <c r="H9156" t="s">
        <v>11048</v>
      </c>
      <c r="I9156" t="s">
        <v>29393</v>
      </c>
      <c r="J9156" t="s">
        <v>30796</v>
      </c>
      <c r="K9156" t="s">
        <v>38510</v>
      </c>
      <c r="M9156" t="s">
        <v>41715</v>
      </c>
      <c r="N9156" t="s">
        <v>42669</v>
      </c>
      <c r="O9156" t="s">
        <v>42670</v>
      </c>
      <c r="P9156">
        <v>0</v>
      </c>
      <c r="Q9156">
        <v>0</v>
      </c>
      <c r="R9156" t="s">
        <v>42681</v>
      </c>
      <c r="S9156" t="s">
        <v>42966</v>
      </c>
      <c r="T9156" t="s">
        <v>44432</v>
      </c>
      <c r="U9156" t="s">
        <v>52301</v>
      </c>
      <c r="W9156" t="s">
        <v>41715</v>
      </c>
      <c r="X9156" t="s">
        <v>42682</v>
      </c>
    </row>
    <row r="9157" spans="1:24">
      <c r="A9157">
        <f>HYPERLINK("https://www.philgeps.gov.ph/GEPSNONPILOT/Tender/SplashBidNoticeAbstractUI.aspx?menuIndex=3&amp;refID=7179772&amp;Result=3","7179772")</f>
        <v>0</v>
      </c>
      <c r="B9157" t="s">
        <v>2761</v>
      </c>
      <c r="C9157" t="s">
        <v>12271</v>
      </c>
      <c r="D9157" t="s">
        <v>17158</v>
      </c>
      <c r="E9157" t="s">
        <v>18716</v>
      </c>
      <c r="F9157" t="s">
        <v>29372</v>
      </c>
      <c r="G9157" t="s">
        <v>29380</v>
      </c>
      <c r="H9157" t="s">
        <v>11048</v>
      </c>
      <c r="I9157" t="s">
        <v>4709</v>
      </c>
      <c r="J9157" t="s">
        <v>35391</v>
      </c>
      <c r="K9157" t="s">
        <v>38488</v>
      </c>
      <c r="M9157" t="s">
        <v>41746</v>
      </c>
      <c r="N9157" t="s">
        <v>42669</v>
      </c>
      <c r="O9157" t="s">
        <v>42670</v>
      </c>
      <c r="P9157">
        <v>0</v>
      </c>
      <c r="Q9157">
        <v>0</v>
      </c>
      <c r="R9157" t="s">
        <v>42681</v>
      </c>
      <c r="S9157" t="s">
        <v>42966</v>
      </c>
      <c r="T9157" t="s">
        <v>44556</v>
      </c>
      <c r="U9157" t="s">
        <v>52302</v>
      </c>
      <c r="W9157" t="s">
        <v>41746</v>
      </c>
      <c r="X9157" t="s">
        <v>42682</v>
      </c>
    </row>
    <row r="9158" spans="1:24">
      <c r="A9158">
        <f>HYPERLINK("https://www.philgeps.gov.ph/GEPSNONPILOT/Tender/SplashBidNoticeAbstractUI.aspx?menuIndex=3&amp;refID=7126093&amp;Result=3","7126093")</f>
        <v>0</v>
      </c>
      <c r="B9158" t="s">
        <v>2762</v>
      </c>
      <c r="C9158" t="s">
        <v>12272</v>
      </c>
      <c r="D9158" t="s">
        <v>17199</v>
      </c>
      <c r="E9158" t="s">
        <v>25089</v>
      </c>
      <c r="F9158" t="s">
        <v>29372</v>
      </c>
      <c r="G9158" t="s">
        <v>29380</v>
      </c>
      <c r="H9158" t="s">
        <v>11048</v>
      </c>
      <c r="I9158" t="s">
        <v>29417</v>
      </c>
      <c r="J9158" t="s">
        <v>35392</v>
      </c>
      <c r="K9158" t="s">
        <v>38488</v>
      </c>
      <c r="M9158" t="s">
        <v>41747</v>
      </c>
      <c r="N9158" t="s">
        <v>42669</v>
      </c>
      <c r="O9158" t="s">
        <v>42670</v>
      </c>
      <c r="Q9158">
        <v>5</v>
      </c>
      <c r="R9158" t="s">
        <v>42682</v>
      </c>
      <c r="S9158" t="s">
        <v>42983</v>
      </c>
      <c r="T9158" t="s">
        <v>44474</v>
      </c>
      <c r="U9158" t="s">
        <v>52303</v>
      </c>
      <c r="W9158" t="s">
        <v>41747</v>
      </c>
      <c r="X9158" t="s">
        <v>42705</v>
      </c>
    </row>
    <row r="9159" spans="1:24">
      <c r="A9159">
        <f>HYPERLINK("https://www.philgeps.gov.ph/GEPSNONPILOT/Tender/SplashBidNoticeAbstractUI.aspx?menuIndex=3&amp;refID=7179828&amp;Result=3","7179828")</f>
        <v>0</v>
      </c>
      <c r="B9159" t="s">
        <v>2759</v>
      </c>
      <c r="C9159" t="s">
        <v>12273</v>
      </c>
      <c r="D9159" t="s">
        <v>17170</v>
      </c>
      <c r="E9159" t="s">
        <v>25090</v>
      </c>
      <c r="F9159" t="s">
        <v>29372</v>
      </c>
      <c r="G9159" t="s">
        <v>29380</v>
      </c>
      <c r="H9159" t="s">
        <v>11048</v>
      </c>
      <c r="I9159" t="s">
        <v>29433</v>
      </c>
      <c r="J9159" t="s">
        <v>35393</v>
      </c>
      <c r="K9159" t="s">
        <v>38488</v>
      </c>
      <c r="M9159" t="s">
        <v>41744</v>
      </c>
      <c r="N9159" t="s">
        <v>42669</v>
      </c>
      <c r="O9159" t="s">
        <v>42670</v>
      </c>
      <c r="P9159">
        <v>0</v>
      </c>
      <c r="Q9159">
        <v>13</v>
      </c>
      <c r="R9159" t="s">
        <v>42681</v>
      </c>
      <c r="S9159" t="s">
        <v>42966</v>
      </c>
      <c r="T9159" t="s">
        <v>44452</v>
      </c>
      <c r="U9159" t="s">
        <v>52304</v>
      </c>
      <c r="W9159" t="s">
        <v>41744</v>
      </c>
      <c r="X9159" t="s">
        <v>42682</v>
      </c>
    </row>
    <row r="9160" spans="1:24">
      <c r="A9160">
        <f>HYPERLINK("https://www.philgeps.gov.ph/GEPSNONPILOT/Tender/SplashBidNoticeAbstractUI.aspx?menuIndex=3&amp;refID=7179350&amp;Result=3","7179350")</f>
        <v>0</v>
      </c>
      <c r="B9160" t="s">
        <v>1680</v>
      </c>
      <c r="C9160" t="s">
        <v>12274</v>
      </c>
      <c r="D9160" t="s">
        <v>17194</v>
      </c>
      <c r="E9160" t="s">
        <v>25091</v>
      </c>
      <c r="F9160" t="s">
        <v>29372</v>
      </c>
      <c r="G9160" t="s">
        <v>29379</v>
      </c>
      <c r="H9160" t="s">
        <v>11048</v>
      </c>
      <c r="I9160" t="s">
        <v>8614</v>
      </c>
      <c r="J9160" t="s">
        <v>35394</v>
      </c>
      <c r="K9160" t="s">
        <v>38485</v>
      </c>
      <c r="L9160" t="s">
        <v>1680</v>
      </c>
      <c r="M9160" t="s">
        <v>40540</v>
      </c>
      <c r="N9160" t="s">
        <v>42669</v>
      </c>
      <c r="O9160" t="s">
        <v>42670</v>
      </c>
      <c r="P9160">
        <v>0</v>
      </c>
      <c r="Q9160">
        <v>1</v>
      </c>
      <c r="R9160" t="s">
        <v>42681</v>
      </c>
      <c r="S9160" t="s">
        <v>42966</v>
      </c>
      <c r="T9160" t="s">
        <v>44432</v>
      </c>
      <c r="U9160" t="s">
        <v>52305</v>
      </c>
      <c r="V9160" t="s">
        <v>56879</v>
      </c>
      <c r="W9160" t="s">
        <v>40540</v>
      </c>
      <c r="X9160" t="s">
        <v>42682</v>
      </c>
    </row>
    <row r="9161" spans="1:24">
      <c r="A9161">
        <f>HYPERLINK("https://www.philgeps.gov.ph/GEPSNONPILOT/Tender/SplashBidNoticeAbstractUI.aspx?menuIndex=3&amp;refID=7179760&amp;Result=3","7179760")</f>
        <v>0</v>
      </c>
      <c r="B9161" t="s">
        <v>1716</v>
      </c>
      <c r="C9161" t="s">
        <v>12275</v>
      </c>
      <c r="D9161" t="s">
        <v>17174</v>
      </c>
      <c r="E9161" t="s">
        <v>25092</v>
      </c>
      <c r="F9161" t="s">
        <v>29372</v>
      </c>
      <c r="G9161" t="s">
        <v>29380</v>
      </c>
      <c r="H9161" t="s">
        <v>11048</v>
      </c>
      <c r="I9161" t="s">
        <v>9469</v>
      </c>
      <c r="J9161" t="s">
        <v>30056</v>
      </c>
      <c r="K9161" t="s">
        <v>38485</v>
      </c>
      <c r="L9161" t="s">
        <v>1716</v>
      </c>
      <c r="M9161" t="s">
        <v>40579</v>
      </c>
      <c r="N9161" t="s">
        <v>42669</v>
      </c>
      <c r="O9161" t="s">
        <v>42670</v>
      </c>
      <c r="P9161">
        <v>0</v>
      </c>
      <c r="Q9161">
        <v>4</v>
      </c>
      <c r="R9161" t="s">
        <v>42681</v>
      </c>
      <c r="S9161" t="s">
        <v>42966</v>
      </c>
      <c r="T9161" t="s">
        <v>44542</v>
      </c>
      <c r="U9161" t="s">
        <v>52306</v>
      </c>
      <c r="V9161" t="s">
        <v>46442</v>
      </c>
      <c r="W9161" t="s">
        <v>40579</v>
      </c>
      <c r="X9161" t="s">
        <v>42682</v>
      </c>
    </row>
    <row r="9162" spans="1:24">
      <c r="A9162">
        <f>HYPERLINK("https://www.philgeps.gov.ph/GEPSNONPILOT/Tender/SplashBidNoticeAbstractUI.aspx?menuIndex=3&amp;refID=7180090&amp;Result=3","7180090")</f>
        <v>0</v>
      </c>
      <c r="B9162" t="s">
        <v>2763</v>
      </c>
      <c r="C9162" t="s">
        <v>12276</v>
      </c>
      <c r="D9162" t="s">
        <v>17201</v>
      </c>
      <c r="E9162" t="s">
        <v>25093</v>
      </c>
      <c r="F9162" t="s">
        <v>29372</v>
      </c>
      <c r="G9162" t="s">
        <v>29380</v>
      </c>
      <c r="H9162" t="s">
        <v>29389</v>
      </c>
      <c r="I9162" t="s">
        <v>10408</v>
      </c>
      <c r="J9162" t="s">
        <v>35395</v>
      </c>
      <c r="K9162" t="s">
        <v>38564</v>
      </c>
      <c r="M9162" t="s">
        <v>41748</v>
      </c>
      <c r="N9162" t="s">
        <v>42669</v>
      </c>
      <c r="O9162" t="s">
        <v>42670</v>
      </c>
      <c r="P9162">
        <v>0</v>
      </c>
      <c r="Q9162">
        <v>0</v>
      </c>
      <c r="R9162" t="s">
        <v>42681</v>
      </c>
      <c r="S9162" t="s">
        <v>42966</v>
      </c>
      <c r="T9162" t="s">
        <v>44474</v>
      </c>
      <c r="U9162" t="s">
        <v>52307</v>
      </c>
      <c r="W9162" t="s">
        <v>41748</v>
      </c>
      <c r="X9162" t="s">
        <v>42682</v>
      </c>
    </row>
    <row r="9163" spans="1:24">
      <c r="A9163">
        <f>HYPERLINK("https://www.philgeps.gov.ph/GEPSNONPILOT/Tender/SplashBidNoticeAbstractUI.aspx?menuIndex=3&amp;refID=7180087&amp;Result=3","7180087")</f>
        <v>0</v>
      </c>
      <c r="B9163" t="s">
        <v>2764</v>
      </c>
      <c r="C9163" t="s">
        <v>12277</v>
      </c>
      <c r="D9163" t="s">
        <v>17206</v>
      </c>
      <c r="E9163" t="s">
        <v>25094</v>
      </c>
      <c r="F9163" t="s">
        <v>29372</v>
      </c>
      <c r="G9163" t="s">
        <v>29380</v>
      </c>
      <c r="H9163" t="s">
        <v>11048</v>
      </c>
      <c r="I9163" t="s">
        <v>8614</v>
      </c>
      <c r="J9163" t="s">
        <v>29587</v>
      </c>
      <c r="K9163" t="s">
        <v>38510</v>
      </c>
      <c r="M9163" t="s">
        <v>41749</v>
      </c>
      <c r="N9163" t="s">
        <v>42669</v>
      </c>
      <c r="O9163" t="s">
        <v>42670</v>
      </c>
      <c r="P9163">
        <v>0</v>
      </c>
      <c r="Q9163">
        <v>0</v>
      </c>
      <c r="R9163" t="s">
        <v>42681</v>
      </c>
      <c r="S9163" t="s">
        <v>42966</v>
      </c>
      <c r="T9163" t="s">
        <v>44491</v>
      </c>
      <c r="U9163" t="s">
        <v>52308</v>
      </c>
      <c r="V9163" t="s">
        <v>57377</v>
      </c>
      <c r="W9163" t="s">
        <v>41749</v>
      </c>
      <c r="X9163" t="s">
        <v>42682</v>
      </c>
    </row>
    <row r="9164" spans="1:24">
      <c r="A9164">
        <f>HYPERLINK("https://www.philgeps.gov.ph/GEPSNONPILOT/Tender/SplashBidNoticeAbstractUI.aspx?menuIndex=3&amp;refID=7179354&amp;Result=3","7179354")</f>
        <v>0</v>
      </c>
      <c r="B9164" t="s">
        <v>2020</v>
      </c>
      <c r="C9164" t="s">
        <v>12278</v>
      </c>
      <c r="D9164" t="s">
        <v>17177</v>
      </c>
      <c r="E9164" t="s">
        <v>25095</v>
      </c>
      <c r="F9164" t="s">
        <v>29372</v>
      </c>
      <c r="G9164" t="s">
        <v>29380</v>
      </c>
      <c r="H9164" t="s">
        <v>29389</v>
      </c>
      <c r="I9164" t="s">
        <v>10408</v>
      </c>
      <c r="J9164" t="s">
        <v>35396</v>
      </c>
      <c r="K9164" t="s">
        <v>38527</v>
      </c>
      <c r="M9164" t="s">
        <v>41241</v>
      </c>
      <c r="N9164" t="s">
        <v>42669</v>
      </c>
      <c r="O9164" t="s">
        <v>42670</v>
      </c>
      <c r="P9164">
        <v>0</v>
      </c>
      <c r="Q9164">
        <v>0</v>
      </c>
      <c r="R9164" t="s">
        <v>42681</v>
      </c>
      <c r="S9164" t="s">
        <v>42966</v>
      </c>
      <c r="T9164" t="s">
        <v>44503</v>
      </c>
      <c r="U9164" t="s">
        <v>52207</v>
      </c>
      <c r="V9164" t="s">
        <v>57146</v>
      </c>
      <c r="W9164" t="s">
        <v>41241</v>
      </c>
      <c r="X9164" t="s">
        <v>42682</v>
      </c>
    </row>
    <row r="9165" spans="1:24">
      <c r="A9165">
        <f>HYPERLINK("https://www.philgeps.gov.ph/GEPSNONPILOT/Tender/SplashBidNoticeAbstractUI.aspx?menuIndex=3&amp;refID=7180040&amp;Result=3","7180040")</f>
        <v>0</v>
      </c>
      <c r="B9165" t="s">
        <v>2765</v>
      </c>
      <c r="C9165" t="s">
        <v>12279</v>
      </c>
      <c r="D9165" t="s">
        <v>17181</v>
      </c>
      <c r="E9165" t="s">
        <v>17648</v>
      </c>
      <c r="F9165" t="s">
        <v>29372</v>
      </c>
      <c r="G9165" t="s">
        <v>29380</v>
      </c>
      <c r="H9165" t="s">
        <v>11048</v>
      </c>
      <c r="I9165" t="s">
        <v>29395</v>
      </c>
      <c r="J9165" t="s">
        <v>30046</v>
      </c>
      <c r="K9165" t="s">
        <v>38488</v>
      </c>
      <c r="M9165" t="s">
        <v>41750</v>
      </c>
      <c r="N9165" t="s">
        <v>42669</v>
      </c>
      <c r="O9165" t="s">
        <v>42670</v>
      </c>
      <c r="P9165">
        <v>0</v>
      </c>
      <c r="Q9165">
        <v>0</v>
      </c>
      <c r="R9165" t="s">
        <v>42681</v>
      </c>
      <c r="S9165" t="s">
        <v>42966</v>
      </c>
      <c r="T9165" t="s">
        <v>44393</v>
      </c>
      <c r="U9165" t="s">
        <v>52309</v>
      </c>
      <c r="W9165" t="s">
        <v>41750</v>
      </c>
      <c r="X9165" t="s">
        <v>42682</v>
      </c>
    </row>
    <row r="9166" spans="1:24">
      <c r="A9166">
        <f>HYPERLINK("https://www.philgeps.gov.ph/GEPSNONPILOT/Tender/SplashBidNoticeAbstractUI.aspx?menuIndex=3&amp;refID=7180078&amp;Result=3","7180078")</f>
        <v>0</v>
      </c>
      <c r="B9166" t="s">
        <v>254</v>
      </c>
      <c r="C9166" t="s">
        <v>3760</v>
      </c>
      <c r="D9166" t="s">
        <v>17142</v>
      </c>
      <c r="E9166" t="s">
        <v>25096</v>
      </c>
      <c r="F9166" t="s">
        <v>29372</v>
      </c>
      <c r="G9166" t="s">
        <v>29383</v>
      </c>
      <c r="H9166" t="s">
        <v>11048</v>
      </c>
      <c r="I9166" t="s">
        <v>5383</v>
      </c>
      <c r="J9166" t="s">
        <v>30038</v>
      </c>
      <c r="K9166" t="s">
        <v>38491</v>
      </c>
      <c r="M9166" t="s">
        <v>39838</v>
      </c>
      <c r="N9166" t="s">
        <v>42669</v>
      </c>
      <c r="O9166" t="s">
        <v>42670</v>
      </c>
      <c r="P9166">
        <v>0</v>
      </c>
      <c r="Q9166">
        <v>3</v>
      </c>
      <c r="R9166" t="s">
        <v>42681</v>
      </c>
      <c r="S9166" t="s">
        <v>42966</v>
      </c>
      <c r="T9166" t="s">
        <v>44401</v>
      </c>
      <c r="U9166" t="s">
        <v>52310</v>
      </c>
      <c r="W9166" t="s">
        <v>39838</v>
      </c>
      <c r="X9166" t="s">
        <v>42682</v>
      </c>
    </row>
    <row r="9167" spans="1:24">
      <c r="A9167">
        <f>HYPERLINK("https://www.philgeps.gov.ph/GEPSNONPILOT/Tender/SplashBidNoticeAbstractUI.aspx?menuIndex=3&amp;refID=7180074&amp;Result=3","7180074")</f>
        <v>0</v>
      </c>
      <c r="B9167" t="s">
        <v>956</v>
      </c>
      <c r="C9167" t="s">
        <v>12280</v>
      </c>
      <c r="D9167" t="s">
        <v>17141</v>
      </c>
      <c r="E9167" t="s">
        <v>25097</v>
      </c>
      <c r="F9167" t="s">
        <v>29372</v>
      </c>
      <c r="G9167" t="s">
        <v>29380</v>
      </c>
      <c r="H9167" t="s">
        <v>11048</v>
      </c>
      <c r="I9167" t="s">
        <v>29491</v>
      </c>
      <c r="J9167" t="s">
        <v>35397</v>
      </c>
      <c r="K9167" t="s">
        <v>38496</v>
      </c>
      <c r="M9167" t="s">
        <v>39833</v>
      </c>
      <c r="N9167" t="s">
        <v>42669</v>
      </c>
      <c r="O9167" t="s">
        <v>42670</v>
      </c>
      <c r="P9167">
        <v>0</v>
      </c>
      <c r="Q9167">
        <v>20</v>
      </c>
      <c r="R9167" t="s">
        <v>42681</v>
      </c>
      <c r="S9167" t="s">
        <v>42966</v>
      </c>
      <c r="T9167" t="s">
        <v>44474</v>
      </c>
      <c r="U9167" t="s">
        <v>47048</v>
      </c>
      <c r="W9167" t="s">
        <v>39833</v>
      </c>
      <c r="X9167" t="s">
        <v>42682</v>
      </c>
    </row>
    <row r="9168" spans="1:24">
      <c r="A9168">
        <f>HYPERLINK("https://www.philgeps.gov.ph/GEPSNONPILOT/Tender/SplashBidNoticeAbstractUI.aspx?menuIndex=3&amp;refID=7180002&amp;Result=3","7180002")</f>
        <v>0</v>
      </c>
      <c r="B9168" t="s">
        <v>562</v>
      </c>
      <c r="C9168" t="s">
        <v>12281</v>
      </c>
      <c r="D9168" t="s">
        <v>17141</v>
      </c>
      <c r="E9168" t="s">
        <v>25098</v>
      </c>
      <c r="F9168" t="s">
        <v>29372</v>
      </c>
      <c r="G9168" t="s">
        <v>29379</v>
      </c>
      <c r="H9168" t="s">
        <v>11048</v>
      </c>
      <c r="I9168" t="s">
        <v>29407</v>
      </c>
      <c r="J9168" t="s">
        <v>30054</v>
      </c>
      <c r="K9168" t="s">
        <v>38491</v>
      </c>
      <c r="M9168" t="s">
        <v>39331</v>
      </c>
      <c r="N9168" t="s">
        <v>42669</v>
      </c>
      <c r="O9168" t="s">
        <v>42670</v>
      </c>
      <c r="P9168">
        <v>0</v>
      </c>
      <c r="Q9168">
        <v>3</v>
      </c>
      <c r="R9168" t="s">
        <v>42681</v>
      </c>
      <c r="S9168" t="s">
        <v>42966</v>
      </c>
      <c r="T9168" t="s">
        <v>44566</v>
      </c>
      <c r="U9168" t="s">
        <v>52311</v>
      </c>
      <c r="W9168" t="s">
        <v>39331</v>
      </c>
      <c r="X9168" t="s">
        <v>42682</v>
      </c>
    </row>
    <row r="9169" spans="1:24">
      <c r="A9169">
        <f>HYPERLINK("https://www.philgeps.gov.ph/GEPSNONPILOT/Tender/SplashBidNoticeAbstractUI.aspx?menuIndex=3&amp;refID=6001470&amp;Result=3","6001470")</f>
        <v>0</v>
      </c>
      <c r="B9169" t="s">
        <v>2766</v>
      </c>
      <c r="C9169" t="s">
        <v>12282</v>
      </c>
      <c r="D9169" t="s">
        <v>17191</v>
      </c>
      <c r="E9169" t="s">
        <v>25099</v>
      </c>
      <c r="F9169" t="s">
        <v>29375</v>
      </c>
      <c r="G9169" t="s">
        <v>29380</v>
      </c>
      <c r="H9169" t="s">
        <v>11048</v>
      </c>
      <c r="I9169" t="s">
        <v>4709</v>
      </c>
      <c r="J9169" t="s">
        <v>35398</v>
      </c>
      <c r="K9169" t="s">
        <v>38485</v>
      </c>
      <c r="L9169" t="s">
        <v>2766</v>
      </c>
      <c r="M9169" t="s">
        <v>41751</v>
      </c>
      <c r="N9169" t="s">
        <v>42669</v>
      </c>
      <c r="O9169" t="s">
        <v>42670</v>
      </c>
      <c r="P9169">
        <v>0</v>
      </c>
      <c r="Q9169">
        <v>0</v>
      </c>
      <c r="R9169" t="s">
        <v>42682</v>
      </c>
      <c r="S9169" t="s">
        <v>42984</v>
      </c>
      <c r="T9169" t="s">
        <v>44527</v>
      </c>
      <c r="U9169" t="s">
        <v>52312</v>
      </c>
      <c r="W9169" t="s">
        <v>41751</v>
      </c>
      <c r="X9169" t="s">
        <v>58146</v>
      </c>
    </row>
    <row r="9170" spans="1:24">
      <c r="A9170">
        <f>HYPERLINK("https://www.philgeps.gov.ph/GEPSNONPILOT/Tender/SplashBidNoticeAbstractUI.aspx?menuIndex=3&amp;refID=7179998&amp;Result=3","7179998")</f>
        <v>0</v>
      </c>
      <c r="B9170" t="s">
        <v>2767</v>
      </c>
      <c r="C9170" t="s">
        <v>12283</v>
      </c>
      <c r="D9170" t="s">
        <v>17205</v>
      </c>
      <c r="E9170" t="s">
        <v>25100</v>
      </c>
      <c r="F9170" t="s">
        <v>29375</v>
      </c>
      <c r="G9170" t="s">
        <v>29380</v>
      </c>
      <c r="H9170" t="s">
        <v>11048</v>
      </c>
      <c r="I9170" t="s">
        <v>29424</v>
      </c>
      <c r="J9170" t="s">
        <v>35399</v>
      </c>
      <c r="K9170" t="s">
        <v>38510</v>
      </c>
      <c r="M9170" t="s">
        <v>41752</v>
      </c>
      <c r="N9170" t="s">
        <v>42669</v>
      </c>
      <c r="O9170" t="s">
        <v>42670</v>
      </c>
      <c r="P9170">
        <v>0</v>
      </c>
      <c r="Q9170">
        <v>0</v>
      </c>
      <c r="R9170" t="s">
        <v>42681</v>
      </c>
      <c r="S9170" t="s">
        <v>42966</v>
      </c>
      <c r="T9170" t="s">
        <v>44393</v>
      </c>
      <c r="U9170" t="s">
        <v>52313</v>
      </c>
      <c r="V9170" t="s">
        <v>57378</v>
      </c>
      <c r="W9170" t="s">
        <v>41752</v>
      </c>
      <c r="X9170" t="s">
        <v>42682</v>
      </c>
    </row>
    <row r="9171" spans="1:24">
      <c r="A9171">
        <f>HYPERLINK("https://www.philgeps.gov.ph/GEPSNONPILOT/Tender/SplashBidNoticeAbstractUI.aspx?menuIndex=3&amp;refID=7179977&amp;Result=3","7179977")</f>
        <v>0</v>
      </c>
      <c r="B9171" t="s">
        <v>2768</v>
      </c>
      <c r="C9171" t="s">
        <v>4274</v>
      </c>
      <c r="D9171" t="s">
        <v>17168</v>
      </c>
      <c r="E9171" t="s">
        <v>17870</v>
      </c>
      <c r="F9171" t="s">
        <v>29372</v>
      </c>
      <c r="G9171" t="s">
        <v>29380</v>
      </c>
      <c r="H9171" t="s">
        <v>11048</v>
      </c>
      <c r="I9171" t="s">
        <v>4709</v>
      </c>
      <c r="J9171" t="s">
        <v>35400</v>
      </c>
      <c r="K9171" t="s">
        <v>38490</v>
      </c>
      <c r="M9171" t="s">
        <v>41753</v>
      </c>
      <c r="N9171" t="s">
        <v>42669</v>
      </c>
      <c r="O9171" t="s">
        <v>42670</v>
      </c>
      <c r="P9171">
        <v>0</v>
      </c>
      <c r="Q9171">
        <v>0</v>
      </c>
      <c r="R9171" t="s">
        <v>42681</v>
      </c>
      <c r="S9171" t="s">
        <v>42966</v>
      </c>
      <c r="T9171" t="s">
        <v>44432</v>
      </c>
      <c r="U9171" t="s">
        <v>52314</v>
      </c>
      <c r="W9171" t="s">
        <v>41753</v>
      </c>
      <c r="X9171" t="s">
        <v>42682</v>
      </c>
    </row>
    <row r="9172" spans="1:24">
      <c r="A9172">
        <f>HYPERLINK("https://www.philgeps.gov.ph/GEPSNONPILOT/Tender/SplashBidNoticeAbstractUI.aspx?menuIndex=3&amp;refID=7180028&amp;Result=3","7180028")</f>
        <v>0</v>
      </c>
      <c r="B9172" t="s">
        <v>499</v>
      </c>
      <c r="C9172" t="s">
        <v>12284</v>
      </c>
      <c r="E9172" t="s">
        <v>25101</v>
      </c>
      <c r="F9172" t="s">
        <v>29372</v>
      </c>
      <c r="G9172" t="s">
        <v>29380</v>
      </c>
      <c r="H9172" t="s">
        <v>29389</v>
      </c>
      <c r="I9172" t="s">
        <v>10408</v>
      </c>
      <c r="J9172" t="s">
        <v>35401</v>
      </c>
      <c r="K9172" t="s">
        <v>38490</v>
      </c>
      <c r="M9172" t="s">
        <v>39264</v>
      </c>
      <c r="N9172" t="s">
        <v>42669</v>
      </c>
      <c r="O9172" t="s">
        <v>42670</v>
      </c>
      <c r="P9172">
        <v>0</v>
      </c>
      <c r="Q9172">
        <v>4</v>
      </c>
      <c r="R9172" t="s">
        <v>42681</v>
      </c>
      <c r="S9172" t="s">
        <v>42966</v>
      </c>
      <c r="T9172" t="s">
        <v>44542</v>
      </c>
      <c r="U9172" t="s">
        <v>52315</v>
      </c>
      <c r="V9172" t="s">
        <v>57379</v>
      </c>
      <c r="W9172" t="s">
        <v>39264</v>
      </c>
      <c r="X9172" t="s">
        <v>42682</v>
      </c>
    </row>
    <row r="9173" spans="1:24">
      <c r="A9173">
        <f>HYPERLINK("https://www.philgeps.gov.ph/GEPSNONPILOT/Tender/SplashBidNoticeAbstractUI.aspx?menuIndex=3&amp;refID=7179976&amp;Result=3","7179976")</f>
        <v>0</v>
      </c>
      <c r="B9173" t="s">
        <v>2769</v>
      </c>
      <c r="C9173" t="s">
        <v>12285</v>
      </c>
      <c r="D9173" t="s">
        <v>17160</v>
      </c>
      <c r="E9173" t="s">
        <v>19537</v>
      </c>
      <c r="F9173" t="s">
        <v>29372</v>
      </c>
      <c r="G9173" t="s">
        <v>29380</v>
      </c>
      <c r="H9173" t="s">
        <v>29389</v>
      </c>
      <c r="I9173" t="s">
        <v>10408</v>
      </c>
      <c r="J9173" t="s">
        <v>35402</v>
      </c>
      <c r="K9173" t="s">
        <v>38485</v>
      </c>
      <c r="M9173" t="s">
        <v>41754</v>
      </c>
      <c r="N9173" t="s">
        <v>42669</v>
      </c>
      <c r="O9173" t="s">
        <v>42670</v>
      </c>
      <c r="P9173">
        <v>0</v>
      </c>
      <c r="Q9173">
        <v>1</v>
      </c>
      <c r="R9173" t="s">
        <v>42681</v>
      </c>
      <c r="S9173" t="s">
        <v>42966</v>
      </c>
      <c r="T9173" t="s">
        <v>44401</v>
      </c>
      <c r="U9173" t="s">
        <v>52316</v>
      </c>
      <c r="W9173" t="s">
        <v>41754</v>
      </c>
      <c r="X9173" t="s">
        <v>42682</v>
      </c>
    </row>
    <row r="9174" spans="1:24">
      <c r="A9174">
        <f>HYPERLINK("https://www.philgeps.gov.ph/GEPSNONPILOT/Tender/SplashBidNoticeAbstractUI.aspx?menuIndex=3&amp;refID=7180094&amp;Result=3","7180094")</f>
        <v>0</v>
      </c>
      <c r="B9174" t="s">
        <v>2764</v>
      </c>
      <c r="C9174" t="s">
        <v>12286</v>
      </c>
      <c r="D9174" t="s">
        <v>17206</v>
      </c>
      <c r="E9174" t="s">
        <v>25102</v>
      </c>
      <c r="F9174" t="s">
        <v>29372</v>
      </c>
      <c r="G9174" t="s">
        <v>29380</v>
      </c>
      <c r="H9174" t="s">
        <v>29389</v>
      </c>
      <c r="I9174" t="s">
        <v>10408</v>
      </c>
      <c r="J9174" t="s">
        <v>35403</v>
      </c>
      <c r="K9174" t="s">
        <v>38490</v>
      </c>
      <c r="M9174" t="s">
        <v>41749</v>
      </c>
      <c r="N9174" t="s">
        <v>42669</v>
      </c>
      <c r="O9174" t="s">
        <v>42670</v>
      </c>
      <c r="P9174">
        <v>0</v>
      </c>
      <c r="Q9174">
        <v>1</v>
      </c>
      <c r="R9174" t="s">
        <v>42681</v>
      </c>
      <c r="S9174" t="s">
        <v>42966</v>
      </c>
      <c r="T9174" t="s">
        <v>44491</v>
      </c>
      <c r="U9174" t="s">
        <v>52317</v>
      </c>
      <c r="V9174" t="s">
        <v>57377</v>
      </c>
      <c r="W9174" t="s">
        <v>41749</v>
      </c>
      <c r="X9174" t="s">
        <v>42682</v>
      </c>
    </row>
    <row r="9175" spans="1:24">
      <c r="A9175">
        <f>HYPERLINK("https://www.philgeps.gov.ph/GEPSNONPILOT/Tender/SplashBidNoticeAbstractUI.aspx?menuIndex=3&amp;refID=7179968&amp;Result=3","7179968")</f>
        <v>0</v>
      </c>
      <c r="B9175" t="s">
        <v>562</v>
      </c>
      <c r="C9175" t="s">
        <v>12287</v>
      </c>
      <c r="D9175" t="s">
        <v>17141</v>
      </c>
      <c r="E9175" t="s">
        <v>25103</v>
      </c>
      <c r="F9175" t="s">
        <v>29372</v>
      </c>
      <c r="G9175" t="s">
        <v>29379</v>
      </c>
      <c r="H9175" t="s">
        <v>11048</v>
      </c>
      <c r="I9175" t="s">
        <v>29407</v>
      </c>
      <c r="J9175" t="s">
        <v>35404</v>
      </c>
      <c r="K9175" t="s">
        <v>38491</v>
      </c>
      <c r="M9175" t="s">
        <v>39331</v>
      </c>
      <c r="N9175" t="s">
        <v>42669</v>
      </c>
      <c r="O9175" t="s">
        <v>42670</v>
      </c>
      <c r="P9175">
        <v>0</v>
      </c>
      <c r="Q9175">
        <v>6</v>
      </c>
      <c r="R9175" t="s">
        <v>42681</v>
      </c>
      <c r="S9175" t="s">
        <v>42966</v>
      </c>
      <c r="T9175" t="s">
        <v>44566</v>
      </c>
      <c r="U9175" t="s">
        <v>52318</v>
      </c>
      <c r="W9175" t="s">
        <v>39331</v>
      </c>
      <c r="X9175" t="s">
        <v>42682</v>
      </c>
    </row>
    <row r="9176" spans="1:24">
      <c r="A9176">
        <f>HYPERLINK("https://www.philgeps.gov.ph/GEPSNONPILOT/Tender/SplashBidNoticeAbstractUI.aspx?menuIndex=3&amp;refID=7149782&amp;Result=3","7149782")</f>
        <v>0</v>
      </c>
      <c r="B9176" t="s">
        <v>2770</v>
      </c>
      <c r="C9176" t="s">
        <v>12288</v>
      </c>
      <c r="E9176" t="s">
        <v>25104</v>
      </c>
      <c r="F9176" t="s">
        <v>29372</v>
      </c>
      <c r="G9176" t="s">
        <v>29383</v>
      </c>
      <c r="H9176" t="s">
        <v>11048</v>
      </c>
      <c r="I9176" t="s">
        <v>4487</v>
      </c>
      <c r="J9176" t="s">
        <v>35405</v>
      </c>
      <c r="K9176" t="s">
        <v>38490</v>
      </c>
      <c r="M9176" t="s">
        <v>41755</v>
      </c>
      <c r="N9176" t="s">
        <v>42669</v>
      </c>
      <c r="O9176" t="s">
        <v>42670</v>
      </c>
      <c r="P9176">
        <v>0</v>
      </c>
      <c r="Q9176">
        <v>1</v>
      </c>
      <c r="R9176" t="s">
        <v>42682</v>
      </c>
      <c r="S9176" t="s">
        <v>42984</v>
      </c>
      <c r="T9176" t="s">
        <v>44480</v>
      </c>
      <c r="U9176" t="s">
        <v>52319</v>
      </c>
      <c r="V9176" t="s">
        <v>57380</v>
      </c>
      <c r="W9176" t="s">
        <v>41755</v>
      </c>
      <c r="X9176" t="s">
        <v>42693</v>
      </c>
    </row>
    <row r="9177" spans="1:24">
      <c r="A9177">
        <f>HYPERLINK("https://www.philgeps.gov.ph/GEPSNONPILOT/Tender/SplashBidNoticeAbstractUI.aspx?menuIndex=3&amp;refID=7152988&amp;Result=3","7152988")</f>
        <v>0</v>
      </c>
      <c r="B9177" t="s">
        <v>2770</v>
      </c>
      <c r="C9177" t="s">
        <v>12289</v>
      </c>
      <c r="E9177" t="s">
        <v>25105</v>
      </c>
      <c r="F9177" t="s">
        <v>29372</v>
      </c>
      <c r="G9177" t="s">
        <v>29383</v>
      </c>
      <c r="H9177" t="s">
        <v>11048</v>
      </c>
      <c r="I9177" t="s">
        <v>29395</v>
      </c>
      <c r="J9177" t="s">
        <v>35406</v>
      </c>
      <c r="K9177" t="s">
        <v>38490</v>
      </c>
      <c r="M9177" t="s">
        <v>41755</v>
      </c>
      <c r="N9177" t="s">
        <v>42669</v>
      </c>
      <c r="O9177" t="s">
        <v>42670</v>
      </c>
      <c r="P9177">
        <v>0</v>
      </c>
      <c r="Q9177">
        <v>0</v>
      </c>
      <c r="R9177" t="s">
        <v>42682</v>
      </c>
      <c r="S9177" t="s">
        <v>42984</v>
      </c>
      <c r="T9177" t="s">
        <v>44480</v>
      </c>
      <c r="U9177" t="s">
        <v>52320</v>
      </c>
      <c r="V9177" t="s">
        <v>57380</v>
      </c>
      <c r="W9177" t="s">
        <v>41755</v>
      </c>
      <c r="X9177" t="s">
        <v>42692</v>
      </c>
    </row>
    <row r="9178" spans="1:24">
      <c r="A9178">
        <f>HYPERLINK("https://www.philgeps.gov.ph/GEPSNONPILOT/Tender/SplashBidNoticeAbstractUI.aspx?menuIndex=3&amp;refID=7151147&amp;Result=3","7151147")</f>
        <v>0</v>
      </c>
      <c r="B9178" t="s">
        <v>2770</v>
      </c>
      <c r="C9178" t="s">
        <v>12290</v>
      </c>
      <c r="E9178" t="s">
        <v>25106</v>
      </c>
      <c r="F9178" t="s">
        <v>29372</v>
      </c>
      <c r="G9178" t="s">
        <v>29380</v>
      </c>
      <c r="H9178" t="s">
        <v>11048</v>
      </c>
      <c r="I9178" t="s">
        <v>3839</v>
      </c>
      <c r="J9178" t="s">
        <v>35407</v>
      </c>
      <c r="K9178" t="s">
        <v>38490</v>
      </c>
      <c r="M9178" t="s">
        <v>41755</v>
      </c>
      <c r="N9178" t="s">
        <v>42669</v>
      </c>
      <c r="O9178" t="s">
        <v>42670</v>
      </c>
      <c r="P9178">
        <v>0</v>
      </c>
      <c r="Q9178">
        <v>3</v>
      </c>
      <c r="R9178" t="s">
        <v>42682</v>
      </c>
      <c r="S9178" t="s">
        <v>42984</v>
      </c>
      <c r="T9178" t="s">
        <v>44480</v>
      </c>
      <c r="U9178" t="s">
        <v>52321</v>
      </c>
      <c r="V9178" t="s">
        <v>57380</v>
      </c>
      <c r="W9178" t="s">
        <v>41755</v>
      </c>
      <c r="X9178" t="s">
        <v>42693</v>
      </c>
    </row>
    <row r="9179" spans="1:24">
      <c r="A9179">
        <f>HYPERLINK("https://www.philgeps.gov.ph/GEPSNONPILOT/Tender/SplashBidNoticeAbstractUI.aspx?menuIndex=3&amp;refID=7151114&amp;Result=3","7151114")</f>
        <v>0</v>
      </c>
      <c r="B9179" t="s">
        <v>2770</v>
      </c>
      <c r="C9179" t="s">
        <v>12291</v>
      </c>
      <c r="E9179" t="s">
        <v>25107</v>
      </c>
      <c r="F9179" t="s">
        <v>29372</v>
      </c>
      <c r="G9179" t="s">
        <v>29383</v>
      </c>
      <c r="H9179" t="s">
        <v>11048</v>
      </c>
      <c r="I9179" t="s">
        <v>3629</v>
      </c>
      <c r="J9179" t="s">
        <v>30145</v>
      </c>
      <c r="K9179" t="s">
        <v>38490</v>
      </c>
      <c r="M9179" t="s">
        <v>41755</v>
      </c>
      <c r="N9179" t="s">
        <v>42669</v>
      </c>
      <c r="O9179" t="s">
        <v>42670</v>
      </c>
      <c r="P9179">
        <v>0</v>
      </c>
      <c r="Q9179">
        <v>0</v>
      </c>
      <c r="R9179" t="s">
        <v>42682</v>
      </c>
      <c r="S9179" t="s">
        <v>42984</v>
      </c>
      <c r="T9179" t="s">
        <v>44480</v>
      </c>
      <c r="U9179" t="s">
        <v>52322</v>
      </c>
      <c r="V9179" t="s">
        <v>57380</v>
      </c>
      <c r="W9179" t="s">
        <v>41755</v>
      </c>
      <c r="X9179" t="s">
        <v>42693</v>
      </c>
    </row>
    <row r="9180" spans="1:24">
      <c r="A9180">
        <f>HYPERLINK("https://www.philgeps.gov.ph/GEPSNONPILOT/Tender/SplashBidNoticeAbstractUI.aspx?menuIndex=3&amp;refID=7150779&amp;Result=3","7150779")</f>
        <v>0</v>
      </c>
      <c r="B9180" t="s">
        <v>2770</v>
      </c>
      <c r="C9180" t="s">
        <v>12292</v>
      </c>
      <c r="E9180" t="s">
        <v>25108</v>
      </c>
      <c r="F9180" t="s">
        <v>29372</v>
      </c>
      <c r="G9180" t="s">
        <v>29383</v>
      </c>
      <c r="H9180" t="s">
        <v>11048</v>
      </c>
      <c r="I9180" t="s">
        <v>29491</v>
      </c>
      <c r="J9180" t="s">
        <v>30145</v>
      </c>
      <c r="K9180" t="s">
        <v>38490</v>
      </c>
      <c r="M9180" t="s">
        <v>41755</v>
      </c>
      <c r="N9180" t="s">
        <v>42669</v>
      </c>
      <c r="O9180" t="s">
        <v>42670</v>
      </c>
      <c r="P9180">
        <v>0</v>
      </c>
      <c r="Q9180">
        <v>1</v>
      </c>
      <c r="R9180" t="s">
        <v>42682</v>
      </c>
      <c r="S9180" t="s">
        <v>42984</v>
      </c>
      <c r="T9180" t="s">
        <v>44480</v>
      </c>
      <c r="U9180" t="s">
        <v>52323</v>
      </c>
      <c r="V9180" t="s">
        <v>57380</v>
      </c>
      <c r="W9180" t="s">
        <v>41755</v>
      </c>
      <c r="X9180" t="s">
        <v>42693</v>
      </c>
    </row>
    <row r="9181" spans="1:24">
      <c r="A9181">
        <f>HYPERLINK("https://www.philgeps.gov.ph/GEPSNONPILOT/Tender/SplashBidNoticeAbstractUI.aspx?menuIndex=3&amp;refID=7150664&amp;Result=3","7150664")</f>
        <v>0</v>
      </c>
      <c r="B9181" t="s">
        <v>2770</v>
      </c>
      <c r="C9181" t="s">
        <v>12293</v>
      </c>
      <c r="E9181" t="s">
        <v>25109</v>
      </c>
      <c r="F9181" t="s">
        <v>29372</v>
      </c>
      <c r="G9181" t="s">
        <v>29383</v>
      </c>
      <c r="H9181" t="s">
        <v>11048</v>
      </c>
      <c r="I9181" t="s">
        <v>3629</v>
      </c>
      <c r="J9181" t="s">
        <v>35408</v>
      </c>
      <c r="K9181" t="s">
        <v>38490</v>
      </c>
      <c r="M9181" t="s">
        <v>41755</v>
      </c>
      <c r="N9181" t="s">
        <v>42669</v>
      </c>
      <c r="O9181" t="s">
        <v>42670</v>
      </c>
      <c r="P9181">
        <v>0</v>
      </c>
      <c r="Q9181">
        <v>0</v>
      </c>
      <c r="R9181" t="s">
        <v>42682</v>
      </c>
      <c r="S9181" t="s">
        <v>42984</v>
      </c>
      <c r="T9181" t="s">
        <v>44480</v>
      </c>
      <c r="U9181" t="s">
        <v>52324</v>
      </c>
      <c r="V9181" t="s">
        <v>57380</v>
      </c>
      <c r="W9181" t="s">
        <v>41755</v>
      </c>
      <c r="X9181" t="s">
        <v>42693</v>
      </c>
    </row>
    <row r="9182" spans="1:24">
      <c r="A9182">
        <f>HYPERLINK("https://www.philgeps.gov.ph/GEPSNONPILOT/Tender/SplashBidNoticeAbstractUI.aspx?menuIndex=3&amp;refID=7180034&amp;Result=3","7180034")</f>
        <v>0</v>
      </c>
      <c r="B9182" t="s">
        <v>499</v>
      </c>
      <c r="C9182" t="s">
        <v>12294</v>
      </c>
      <c r="E9182" t="s">
        <v>25110</v>
      </c>
      <c r="F9182" t="s">
        <v>29372</v>
      </c>
      <c r="G9182" t="s">
        <v>29380</v>
      </c>
      <c r="H9182" t="s">
        <v>29389</v>
      </c>
      <c r="I9182" t="s">
        <v>10408</v>
      </c>
      <c r="J9182" t="s">
        <v>35409</v>
      </c>
      <c r="K9182" t="s">
        <v>38490</v>
      </c>
      <c r="M9182" t="s">
        <v>39264</v>
      </c>
      <c r="N9182" t="s">
        <v>42669</v>
      </c>
      <c r="O9182" t="s">
        <v>42670</v>
      </c>
      <c r="P9182">
        <v>0</v>
      </c>
      <c r="Q9182">
        <v>5</v>
      </c>
      <c r="R9182" t="s">
        <v>42681</v>
      </c>
      <c r="S9182" t="s">
        <v>42966</v>
      </c>
      <c r="T9182" t="s">
        <v>44542</v>
      </c>
      <c r="U9182" t="s">
        <v>52315</v>
      </c>
      <c r="V9182" t="s">
        <v>57381</v>
      </c>
      <c r="W9182" t="s">
        <v>39264</v>
      </c>
      <c r="X9182" t="s">
        <v>42682</v>
      </c>
    </row>
    <row r="9183" spans="1:24">
      <c r="A9183">
        <f>HYPERLINK("https://www.philgeps.gov.ph/GEPSNONPILOT/Tender/SplashBidNoticeAbstractUI.aspx?menuIndex=3&amp;refID=7179989&amp;Result=3","7179989")</f>
        <v>0</v>
      </c>
      <c r="B9183" t="s">
        <v>2771</v>
      </c>
      <c r="C9183" t="s">
        <v>12295</v>
      </c>
      <c r="D9183" t="s">
        <v>17141</v>
      </c>
      <c r="E9183" t="s">
        <v>25111</v>
      </c>
      <c r="F9183" t="s">
        <v>29373</v>
      </c>
      <c r="G9183" t="s">
        <v>29380</v>
      </c>
      <c r="H9183" t="s">
        <v>11048</v>
      </c>
      <c r="I9183" t="s">
        <v>3670</v>
      </c>
      <c r="J9183" t="s">
        <v>29708</v>
      </c>
      <c r="K9183" t="s">
        <v>38485</v>
      </c>
      <c r="M9183" t="s">
        <v>41756</v>
      </c>
      <c r="N9183" t="s">
        <v>42669</v>
      </c>
      <c r="O9183" t="s">
        <v>42670</v>
      </c>
      <c r="P9183">
        <v>0</v>
      </c>
      <c r="Q9183">
        <v>3</v>
      </c>
      <c r="R9183" t="s">
        <v>42681</v>
      </c>
      <c r="S9183" t="s">
        <v>42966</v>
      </c>
      <c r="T9183" t="s">
        <v>44356</v>
      </c>
      <c r="U9183" t="s">
        <v>52325</v>
      </c>
      <c r="V9183" t="s">
        <v>57382</v>
      </c>
      <c r="W9183" t="s">
        <v>41756</v>
      </c>
      <c r="X9183" t="s">
        <v>42682</v>
      </c>
    </row>
    <row r="9184" spans="1:24">
      <c r="A9184">
        <f>HYPERLINK("https://www.philgeps.gov.ph/GEPSNONPILOT/Tender/SplashBidNoticeAbstractUI.aspx?menuIndex=3&amp;refID=7150539&amp;Result=3","7150539")</f>
        <v>0</v>
      </c>
      <c r="B9184" t="s">
        <v>2770</v>
      </c>
      <c r="C9184" t="s">
        <v>12296</v>
      </c>
      <c r="E9184" t="s">
        <v>25112</v>
      </c>
      <c r="F9184" t="s">
        <v>29372</v>
      </c>
      <c r="G9184" t="s">
        <v>29383</v>
      </c>
      <c r="H9184" t="s">
        <v>11048</v>
      </c>
      <c r="I9184" t="s">
        <v>3629</v>
      </c>
      <c r="J9184" t="s">
        <v>35410</v>
      </c>
      <c r="K9184" t="s">
        <v>38490</v>
      </c>
      <c r="M9184" t="s">
        <v>41755</v>
      </c>
      <c r="N9184" t="s">
        <v>42669</v>
      </c>
      <c r="O9184" t="s">
        <v>42670</v>
      </c>
      <c r="P9184">
        <v>0</v>
      </c>
      <c r="Q9184">
        <v>0</v>
      </c>
      <c r="R9184" t="s">
        <v>42682</v>
      </c>
      <c r="S9184" t="s">
        <v>42984</v>
      </c>
      <c r="T9184" t="s">
        <v>44480</v>
      </c>
      <c r="U9184" t="s">
        <v>52326</v>
      </c>
      <c r="V9184" t="s">
        <v>57380</v>
      </c>
      <c r="W9184" t="s">
        <v>41755</v>
      </c>
      <c r="X9184" t="s">
        <v>42693</v>
      </c>
    </row>
    <row r="9185" spans="1:24">
      <c r="A9185">
        <f>HYPERLINK("https://www.philgeps.gov.ph/GEPSNONPILOT/Tender/SplashBidNoticeAbstractUI.aspx?menuIndex=3&amp;refID=7150737&amp;Result=3","7150737")</f>
        <v>0</v>
      </c>
      <c r="B9185" t="s">
        <v>2770</v>
      </c>
      <c r="C9185" t="s">
        <v>12297</v>
      </c>
      <c r="E9185" t="s">
        <v>25113</v>
      </c>
      <c r="F9185" t="s">
        <v>29372</v>
      </c>
      <c r="G9185" t="s">
        <v>29383</v>
      </c>
      <c r="H9185" t="s">
        <v>11048</v>
      </c>
      <c r="I9185" t="s">
        <v>3629</v>
      </c>
      <c r="J9185" t="s">
        <v>31131</v>
      </c>
      <c r="K9185" t="s">
        <v>38490</v>
      </c>
      <c r="M9185" t="s">
        <v>41755</v>
      </c>
      <c r="N9185" t="s">
        <v>42669</v>
      </c>
      <c r="O9185" t="s">
        <v>42670</v>
      </c>
      <c r="P9185">
        <v>0</v>
      </c>
      <c r="Q9185">
        <v>0</v>
      </c>
      <c r="R9185" t="s">
        <v>42682</v>
      </c>
      <c r="S9185" t="s">
        <v>42984</v>
      </c>
      <c r="T9185" t="s">
        <v>44480</v>
      </c>
      <c r="U9185" t="s">
        <v>52327</v>
      </c>
      <c r="V9185" t="s">
        <v>57380</v>
      </c>
      <c r="W9185" t="s">
        <v>41755</v>
      </c>
      <c r="X9185" t="s">
        <v>42693</v>
      </c>
    </row>
    <row r="9186" spans="1:24">
      <c r="A9186">
        <f>HYPERLINK("https://www.philgeps.gov.ph/GEPSNONPILOT/Tender/SplashBidNoticeAbstractUI.aspx?menuIndex=3&amp;refID=7149934&amp;Result=3","7149934")</f>
        <v>0</v>
      </c>
      <c r="B9186" t="s">
        <v>2770</v>
      </c>
      <c r="C9186" t="s">
        <v>12298</v>
      </c>
      <c r="E9186" t="s">
        <v>25114</v>
      </c>
      <c r="F9186" t="s">
        <v>29372</v>
      </c>
      <c r="G9186" t="s">
        <v>29383</v>
      </c>
      <c r="H9186" t="s">
        <v>11048</v>
      </c>
      <c r="I9186" t="s">
        <v>3839</v>
      </c>
      <c r="J9186" t="s">
        <v>31463</v>
      </c>
      <c r="K9186" t="s">
        <v>38490</v>
      </c>
      <c r="M9186" t="s">
        <v>41755</v>
      </c>
      <c r="N9186" t="s">
        <v>42669</v>
      </c>
      <c r="O9186" t="s">
        <v>42670</v>
      </c>
      <c r="P9186">
        <v>0</v>
      </c>
      <c r="Q9186">
        <v>1</v>
      </c>
      <c r="R9186" t="s">
        <v>42682</v>
      </c>
      <c r="S9186" t="s">
        <v>42984</v>
      </c>
      <c r="T9186" t="s">
        <v>44480</v>
      </c>
      <c r="U9186" t="s">
        <v>52328</v>
      </c>
      <c r="V9186" t="s">
        <v>57380</v>
      </c>
      <c r="W9186" t="s">
        <v>41755</v>
      </c>
      <c r="X9186" t="s">
        <v>42693</v>
      </c>
    </row>
    <row r="9187" spans="1:24">
      <c r="A9187">
        <f>HYPERLINK("https://www.philgeps.gov.ph/GEPSNONPILOT/Tender/SplashBidNoticeAbstractUI.aspx?menuIndex=3&amp;refID=7149715&amp;Result=3","7149715")</f>
        <v>0</v>
      </c>
      <c r="B9187" t="s">
        <v>2770</v>
      </c>
      <c r="C9187" t="s">
        <v>12299</v>
      </c>
      <c r="E9187" t="s">
        <v>25115</v>
      </c>
      <c r="F9187" t="s">
        <v>29372</v>
      </c>
      <c r="G9187" t="s">
        <v>29383</v>
      </c>
      <c r="H9187" t="s">
        <v>11048</v>
      </c>
      <c r="I9187" t="s">
        <v>29395</v>
      </c>
      <c r="J9187" t="s">
        <v>35411</v>
      </c>
      <c r="K9187" t="s">
        <v>38490</v>
      </c>
      <c r="M9187" t="s">
        <v>41755</v>
      </c>
      <c r="N9187" t="s">
        <v>42669</v>
      </c>
      <c r="O9187" t="s">
        <v>42670</v>
      </c>
      <c r="P9187">
        <v>0</v>
      </c>
      <c r="Q9187">
        <v>0</v>
      </c>
      <c r="R9187" t="s">
        <v>42682</v>
      </c>
      <c r="S9187" t="s">
        <v>42984</v>
      </c>
      <c r="T9187" t="s">
        <v>44480</v>
      </c>
      <c r="U9187" t="s">
        <v>52329</v>
      </c>
      <c r="V9187" t="s">
        <v>57380</v>
      </c>
      <c r="W9187" t="s">
        <v>41755</v>
      </c>
      <c r="X9187" t="s">
        <v>42693</v>
      </c>
    </row>
    <row r="9188" spans="1:24">
      <c r="A9188">
        <f>HYPERLINK("https://www.philgeps.gov.ph/GEPSNONPILOT/Tender/SplashBidNoticeAbstractUI.aspx?menuIndex=3&amp;refID=7149681&amp;Result=3","7149681")</f>
        <v>0</v>
      </c>
      <c r="B9188" t="s">
        <v>2770</v>
      </c>
      <c r="C9188" t="s">
        <v>12300</v>
      </c>
      <c r="E9188" t="s">
        <v>25116</v>
      </c>
      <c r="F9188" t="s">
        <v>29372</v>
      </c>
      <c r="G9188" t="s">
        <v>29380</v>
      </c>
      <c r="H9188" t="s">
        <v>11048</v>
      </c>
      <c r="I9188" t="s">
        <v>3839</v>
      </c>
      <c r="J9188" t="s">
        <v>35412</v>
      </c>
      <c r="K9188" t="s">
        <v>38490</v>
      </c>
      <c r="M9188" t="s">
        <v>41755</v>
      </c>
      <c r="N9188" t="s">
        <v>42669</v>
      </c>
      <c r="O9188" t="s">
        <v>42670</v>
      </c>
      <c r="P9188">
        <v>0</v>
      </c>
      <c r="Q9188">
        <v>2</v>
      </c>
      <c r="R9188" t="s">
        <v>42682</v>
      </c>
      <c r="S9188" t="s">
        <v>42984</v>
      </c>
      <c r="T9188" t="s">
        <v>44480</v>
      </c>
      <c r="U9188" t="s">
        <v>52330</v>
      </c>
      <c r="V9188" t="s">
        <v>57380</v>
      </c>
      <c r="W9188" t="s">
        <v>41755</v>
      </c>
      <c r="X9188" t="s">
        <v>42693</v>
      </c>
    </row>
    <row r="9189" spans="1:24">
      <c r="A9189">
        <f>HYPERLINK("https://www.philgeps.gov.ph/GEPSNONPILOT/Tender/SplashBidNoticeAbstractUI.aspx?menuIndex=3&amp;refID=7180096&amp;Result=3","7180096")</f>
        <v>0</v>
      </c>
      <c r="B9189" t="s">
        <v>2764</v>
      </c>
      <c r="C9189" t="s">
        <v>12301</v>
      </c>
      <c r="D9189" t="s">
        <v>17206</v>
      </c>
      <c r="E9189" t="s">
        <v>25117</v>
      </c>
      <c r="F9189" t="s">
        <v>29372</v>
      </c>
      <c r="G9189" t="s">
        <v>29380</v>
      </c>
      <c r="H9189" t="s">
        <v>29389</v>
      </c>
      <c r="I9189" t="s">
        <v>10408</v>
      </c>
      <c r="J9189" t="s">
        <v>35413</v>
      </c>
      <c r="K9189" t="s">
        <v>38490</v>
      </c>
      <c r="M9189" t="s">
        <v>41749</v>
      </c>
      <c r="N9189" t="s">
        <v>42669</v>
      </c>
      <c r="O9189" t="s">
        <v>42670</v>
      </c>
      <c r="P9189">
        <v>0</v>
      </c>
      <c r="Q9189">
        <v>0</v>
      </c>
      <c r="R9189" t="s">
        <v>42681</v>
      </c>
      <c r="S9189" t="s">
        <v>42966</v>
      </c>
      <c r="T9189" t="s">
        <v>44525</v>
      </c>
      <c r="U9189" t="s">
        <v>52331</v>
      </c>
      <c r="V9189" t="s">
        <v>57377</v>
      </c>
      <c r="W9189" t="s">
        <v>41749</v>
      </c>
      <c r="X9189" t="s">
        <v>42682</v>
      </c>
    </row>
    <row r="9190" spans="1:24">
      <c r="A9190">
        <f>HYPERLINK("https://www.philgeps.gov.ph/GEPSNONPILOT/Tender/SplashBidNoticeAbstractUI.aspx?menuIndex=3&amp;refID=7149829&amp;Result=3","7149829")</f>
        <v>0</v>
      </c>
      <c r="B9190" t="s">
        <v>2770</v>
      </c>
      <c r="C9190" t="s">
        <v>12302</v>
      </c>
      <c r="E9190" t="s">
        <v>25118</v>
      </c>
      <c r="F9190" t="s">
        <v>29372</v>
      </c>
      <c r="G9190" t="s">
        <v>29380</v>
      </c>
      <c r="H9190" t="s">
        <v>11048</v>
      </c>
      <c r="I9190" t="s">
        <v>3839</v>
      </c>
      <c r="J9190" t="s">
        <v>35414</v>
      </c>
      <c r="K9190" t="s">
        <v>38490</v>
      </c>
      <c r="M9190" t="s">
        <v>41755</v>
      </c>
      <c r="N9190" t="s">
        <v>42669</v>
      </c>
      <c r="O9190" t="s">
        <v>42670</v>
      </c>
      <c r="P9190">
        <v>0</v>
      </c>
      <c r="Q9190">
        <v>1</v>
      </c>
      <c r="R9190" t="s">
        <v>42682</v>
      </c>
      <c r="S9190" t="s">
        <v>42984</v>
      </c>
      <c r="T9190" t="s">
        <v>44480</v>
      </c>
      <c r="U9190" t="s">
        <v>52332</v>
      </c>
      <c r="V9190" t="s">
        <v>57380</v>
      </c>
      <c r="W9190" t="s">
        <v>41755</v>
      </c>
      <c r="X9190" t="s">
        <v>42693</v>
      </c>
    </row>
    <row r="9191" spans="1:24">
      <c r="A9191">
        <f>HYPERLINK("https://www.philgeps.gov.ph/GEPSNONPILOT/Tender/SplashBidNoticeAbstractUI.aspx?menuIndex=3&amp;refID=7149518&amp;Result=3","7149518")</f>
        <v>0</v>
      </c>
      <c r="B9191" t="s">
        <v>2770</v>
      </c>
      <c r="C9191" t="s">
        <v>12303</v>
      </c>
      <c r="E9191" t="s">
        <v>25119</v>
      </c>
      <c r="F9191" t="s">
        <v>29372</v>
      </c>
      <c r="G9191" t="s">
        <v>29380</v>
      </c>
      <c r="H9191" t="s">
        <v>11048</v>
      </c>
      <c r="I9191" t="s">
        <v>4487</v>
      </c>
      <c r="J9191" t="s">
        <v>35415</v>
      </c>
      <c r="K9191" t="s">
        <v>38490</v>
      </c>
      <c r="M9191" t="s">
        <v>41755</v>
      </c>
      <c r="N9191" t="s">
        <v>42669</v>
      </c>
      <c r="O9191" t="s">
        <v>42670</v>
      </c>
      <c r="P9191">
        <v>0</v>
      </c>
      <c r="Q9191">
        <v>2</v>
      </c>
      <c r="R9191" t="s">
        <v>42682</v>
      </c>
      <c r="S9191" t="s">
        <v>42984</v>
      </c>
      <c r="T9191" t="s">
        <v>44480</v>
      </c>
      <c r="U9191" t="s">
        <v>52333</v>
      </c>
      <c r="V9191" t="s">
        <v>57383</v>
      </c>
      <c r="W9191" t="s">
        <v>41755</v>
      </c>
      <c r="X9191" t="s">
        <v>42693</v>
      </c>
    </row>
    <row r="9192" spans="1:24">
      <c r="A9192">
        <f>HYPERLINK("https://www.philgeps.gov.ph/GEPSNONPILOT/Tender/SplashBidNoticeAbstractUI.aspx?menuIndex=3&amp;refID=7148724&amp;Result=3","7148724")</f>
        <v>0</v>
      </c>
      <c r="B9192" t="s">
        <v>2772</v>
      </c>
      <c r="C9192" t="s">
        <v>12304</v>
      </c>
      <c r="D9192" t="s">
        <v>17148</v>
      </c>
      <c r="E9192" t="s">
        <v>17540</v>
      </c>
      <c r="F9192" t="s">
        <v>29372</v>
      </c>
      <c r="G9192" t="s">
        <v>29380</v>
      </c>
      <c r="H9192" t="s">
        <v>11048</v>
      </c>
      <c r="I9192" t="s">
        <v>4709</v>
      </c>
      <c r="J9192" t="s">
        <v>35416</v>
      </c>
      <c r="K9192" t="s">
        <v>38485</v>
      </c>
      <c r="M9192" t="s">
        <v>41757</v>
      </c>
      <c r="N9192" t="s">
        <v>42669</v>
      </c>
      <c r="O9192" t="s">
        <v>42670</v>
      </c>
      <c r="P9192">
        <v>0</v>
      </c>
      <c r="Q9192">
        <v>4</v>
      </c>
      <c r="R9192" t="s">
        <v>42682</v>
      </c>
      <c r="S9192" t="s">
        <v>42984</v>
      </c>
      <c r="T9192" t="s">
        <v>44761</v>
      </c>
      <c r="U9192" t="s">
        <v>52334</v>
      </c>
      <c r="W9192" t="s">
        <v>41757</v>
      </c>
      <c r="X9192" t="s">
        <v>42695</v>
      </c>
    </row>
    <row r="9193" spans="1:24">
      <c r="A9193">
        <f>HYPERLINK("https://www.philgeps.gov.ph/GEPSNONPILOT/Tender/SplashBidNoticeAbstractUI.aspx?menuIndex=3&amp;refID=7148719&amp;Result=3","7148719")</f>
        <v>0</v>
      </c>
      <c r="B9193" t="s">
        <v>2772</v>
      </c>
      <c r="C9193" t="s">
        <v>12305</v>
      </c>
      <c r="D9193" t="s">
        <v>17148</v>
      </c>
      <c r="E9193" t="s">
        <v>17533</v>
      </c>
      <c r="F9193" t="s">
        <v>29372</v>
      </c>
      <c r="G9193" t="s">
        <v>29380</v>
      </c>
      <c r="H9193" t="s">
        <v>11048</v>
      </c>
      <c r="I9193" t="s">
        <v>4709</v>
      </c>
      <c r="J9193" t="s">
        <v>35417</v>
      </c>
      <c r="K9193" t="s">
        <v>38485</v>
      </c>
      <c r="M9193" t="s">
        <v>41757</v>
      </c>
      <c r="N9193" t="s">
        <v>42669</v>
      </c>
      <c r="O9193" t="s">
        <v>42670</v>
      </c>
      <c r="P9193">
        <v>0</v>
      </c>
      <c r="Q9193">
        <v>5</v>
      </c>
      <c r="R9193" t="s">
        <v>42682</v>
      </c>
      <c r="S9193" t="s">
        <v>42984</v>
      </c>
      <c r="T9193" t="s">
        <v>44761</v>
      </c>
      <c r="U9193" t="s">
        <v>52335</v>
      </c>
      <c r="W9193" t="s">
        <v>41757</v>
      </c>
      <c r="X9193" t="s">
        <v>42695</v>
      </c>
    </row>
    <row r="9194" spans="1:24">
      <c r="A9194">
        <f>HYPERLINK("https://www.philgeps.gov.ph/GEPSNONPILOT/Tender/SplashBidNoticeAbstractUI.aspx?menuIndex=3&amp;refID=7141889-2&amp;Result=3","7141889-2")</f>
        <v>0</v>
      </c>
      <c r="B9194" t="s">
        <v>1740</v>
      </c>
      <c r="C9194" t="s">
        <v>12306</v>
      </c>
      <c r="D9194" t="s">
        <v>17196</v>
      </c>
      <c r="E9194" t="s">
        <v>25120</v>
      </c>
      <c r="F9194" t="s">
        <v>29372</v>
      </c>
      <c r="G9194" t="s">
        <v>29380</v>
      </c>
      <c r="H9194" t="s">
        <v>29391</v>
      </c>
      <c r="I9194" t="s">
        <v>29391</v>
      </c>
      <c r="J9194" t="s">
        <v>35418</v>
      </c>
      <c r="K9194" t="s">
        <v>38496</v>
      </c>
      <c r="M9194" t="s">
        <v>40605</v>
      </c>
      <c r="N9194" t="s">
        <v>42669</v>
      </c>
      <c r="O9194" t="s">
        <v>42670</v>
      </c>
      <c r="P9194">
        <v>0</v>
      </c>
      <c r="Q9194">
        <v>1</v>
      </c>
      <c r="R9194" t="s">
        <v>42682</v>
      </c>
      <c r="S9194" t="s">
        <v>42984</v>
      </c>
      <c r="T9194" t="s">
        <v>44357</v>
      </c>
      <c r="U9194" t="s">
        <v>52336</v>
      </c>
      <c r="W9194" t="s">
        <v>58053</v>
      </c>
      <c r="X9194" t="s">
        <v>42683</v>
      </c>
    </row>
    <row r="9195" spans="1:24">
      <c r="A9195">
        <f>HYPERLINK("https://www.philgeps.gov.ph/GEPSNONPILOT/Tender/SplashBidNoticeAbstractUI.aspx?menuIndex=3&amp;refID=7149887&amp;Result=3","7149887")</f>
        <v>0</v>
      </c>
      <c r="B9195" t="s">
        <v>2770</v>
      </c>
      <c r="C9195" t="s">
        <v>12307</v>
      </c>
      <c r="E9195" t="s">
        <v>25121</v>
      </c>
      <c r="F9195" t="s">
        <v>29372</v>
      </c>
      <c r="G9195" t="s">
        <v>29383</v>
      </c>
      <c r="H9195" t="s">
        <v>11048</v>
      </c>
      <c r="I9195" t="s">
        <v>5383</v>
      </c>
      <c r="J9195" t="s">
        <v>35419</v>
      </c>
      <c r="K9195" t="s">
        <v>38490</v>
      </c>
      <c r="M9195" t="s">
        <v>41755</v>
      </c>
      <c r="N9195" t="s">
        <v>42669</v>
      </c>
      <c r="O9195" t="s">
        <v>42670</v>
      </c>
      <c r="P9195">
        <v>0</v>
      </c>
      <c r="Q9195">
        <v>1</v>
      </c>
      <c r="R9195" t="s">
        <v>42682</v>
      </c>
      <c r="S9195" t="s">
        <v>42984</v>
      </c>
      <c r="T9195" t="s">
        <v>44480</v>
      </c>
      <c r="U9195" t="s">
        <v>52337</v>
      </c>
      <c r="V9195" t="s">
        <v>57380</v>
      </c>
      <c r="W9195" t="s">
        <v>41755</v>
      </c>
      <c r="X9195" t="s">
        <v>42693</v>
      </c>
    </row>
    <row r="9196" spans="1:24">
      <c r="A9196">
        <f>HYPERLINK("https://www.philgeps.gov.ph/GEPSNONPILOT/Tender/SplashBidNoticeAbstractUI.aspx?menuIndex=3&amp;refID=7149647&amp;Result=3","7149647")</f>
        <v>0</v>
      </c>
      <c r="B9196" t="s">
        <v>2770</v>
      </c>
      <c r="C9196" t="s">
        <v>12308</v>
      </c>
      <c r="E9196" t="s">
        <v>25122</v>
      </c>
      <c r="F9196" t="s">
        <v>29372</v>
      </c>
      <c r="G9196" t="s">
        <v>29380</v>
      </c>
      <c r="H9196" t="s">
        <v>11048</v>
      </c>
      <c r="I9196" t="s">
        <v>4487</v>
      </c>
      <c r="J9196" t="s">
        <v>35420</v>
      </c>
      <c r="K9196" t="s">
        <v>38490</v>
      </c>
      <c r="M9196" t="s">
        <v>41755</v>
      </c>
      <c r="N9196" t="s">
        <v>42669</v>
      </c>
      <c r="O9196" t="s">
        <v>42670</v>
      </c>
      <c r="P9196">
        <v>0</v>
      </c>
      <c r="Q9196">
        <v>3</v>
      </c>
      <c r="R9196" t="s">
        <v>42682</v>
      </c>
      <c r="S9196" t="s">
        <v>42984</v>
      </c>
      <c r="T9196" t="s">
        <v>44480</v>
      </c>
      <c r="U9196" t="s">
        <v>52338</v>
      </c>
      <c r="V9196" t="s">
        <v>57380</v>
      </c>
      <c r="W9196" t="s">
        <v>41755</v>
      </c>
      <c r="X9196" t="s">
        <v>42693</v>
      </c>
    </row>
    <row r="9197" spans="1:24">
      <c r="A9197">
        <f>HYPERLINK("https://www.philgeps.gov.ph/GEPSNONPILOT/Tender/SplashBidNoticeAbstractUI.aspx?menuIndex=3&amp;refID=7162992&amp;Result=3","7162992")</f>
        <v>0</v>
      </c>
      <c r="B9197" t="s">
        <v>2770</v>
      </c>
      <c r="C9197" t="s">
        <v>12309</v>
      </c>
      <c r="E9197" t="s">
        <v>25123</v>
      </c>
      <c r="F9197" t="s">
        <v>29372</v>
      </c>
      <c r="G9197" t="s">
        <v>29383</v>
      </c>
      <c r="H9197" t="s">
        <v>11048</v>
      </c>
      <c r="I9197" t="s">
        <v>5383</v>
      </c>
      <c r="J9197" t="s">
        <v>35421</v>
      </c>
      <c r="K9197" t="s">
        <v>38490</v>
      </c>
      <c r="M9197" t="s">
        <v>41755</v>
      </c>
      <c r="N9197" t="s">
        <v>42669</v>
      </c>
      <c r="O9197" t="s">
        <v>42670</v>
      </c>
      <c r="P9197">
        <v>0</v>
      </c>
      <c r="Q9197">
        <v>0</v>
      </c>
      <c r="R9197" t="s">
        <v>42682</v>
      </c>
      <c r="S9197" t="s">
        <v>42984</v>
      </c>
      <c r="T9197" t="s">
        <v>44480</v>
      </c>
      <c r="U9197" t="s">
        <v>52339</v>
      </c>
      <c r="V9197" t="s">
        <v>57380</v>
      </c>
      <c r="W9197" t="s">
        <v>41755</v>
      </c>
      <c r="X9197" t="s">
        <v>42689</v>
      </c>
    </row>
    <row r="9198" spans="1:24">
      <c r="A9198">
        <f>HYPERLINK("https://www.philgeps.gov.ph/GEPSNONPILOT/Tender/SplashBidNoticeAbstractUI.aspx?menuIndex=3&amp;refID=7162953&amp;Result=3","7162953")</f>
        <v>0</v>
      </c>
      <c r="B9198" t="s">
        <v>2770</v>
      </c>
      <c r="C9198" t="s">
        <v>12310</v>
      </c>
      <c r="E9198" t="s">
        <v>25124</v>
      </c>
      <c r="F9198" t="s">
        <v>29372</v>
      </c>
      <c r="G9198" t="s">
        <v>29383</v>
      </c>
      <c r="H9198" t="s">
        <v>11048</v>
      </c>
      <c r="I9198" t="s">
        <v>29393</v>
      </c>
      <c r="J9198" t="s">
        <v>35422</v>
      </c>
      <c r="K9198" t="s">
        <v>38490</v>
      </c>
      <c r="M9198" t="s">
        <v>41755</v>
      </c>
      <c r="N9198" t="s">
        <v>42669</v>
      </c>
      <c r="O9198" t="s">
        <v>42670</v>
      </c>
      <c r="P9198">
        <v>0</v>
      </c>
      <c r="Q9198">
        <v>0</v>
      </c>
      <c r="R9198" t="s">
        <v>42682</v>
      </c>
      <c r="S9198" t="s">
        <v>42984</v>
      </c>
      <c r="T9198" t="s">
        <v>44480</v>
      </c>
      <c r="U9198" t="s">
        <v>52340</v>
      </c>
      <c r="V9198" t="s">
        <v>57380</v>
      </c>
      <c r="W9198" t="s">
        <v>41755</v>
      </c>
      <c r="X9198" t="s">
        <v>42689</v>
      </c>
    </row>
    <row r="9199" spans="1:24">
      <c r="A9199">
        <f>HYPERLINK("https://www.philgeps.gov.ph/GEPSNONPILOT/Tender/SplashBidNoticeAbstractUI.aspx?menuIndex=3&amp;refID=7146082&amp;Result=3","7146082")</f>
        <v>0</v>
      </c>
      <c r="B9199" t="s">
        <v>55</v>
      </c>
      <c r="C9199" t="s">
        <v>12311</v>
      </c>
      <c r="D9199" t="s">
        <v>17163</v>
      </c>
      <c r="E9199" t="s">
        <v>25125</v>
      </c>
      <c r="F9199" t="s">
        <v>29372</v>
      </c>
      <c r="G9199" t="s">
        <v>29380</v>
      </c>
      <c r="H9199" t="s">
        <v>29389</v>
      </c>
      <c r="I9199" t="s">
        <v>10408</v>
      </c>
      <c r="J9199" t="s">
        <v>29615</v>
      </c>
      <c r="K9199" t="s">
        <v>38508</v>
      </c>
      <c r="M9199" t="s">
        <v>38808</v>
      </c>
      <c r="N9199" t="s">
        <v>42669</v>
      </c>
      <c r="O9199" t="s">
        <v>42670</v>
      </c>
      <c r="P9199">
        <v>0</v>
      </c>
      <c r="Q9199">
        <v>20</v>
      </c>
      <c r="R9199" t="s">
        <v>42682</v>
      </c>
      <c r="S9199" t="s">
        <v>42984</v>
      </c>
      <c r="T9199" t="s">
        <v>44562</v>
      </c>
      <c r="U9199" t="s">
        <v>52341</v>
      </c>
      <c r="W9199" t="s">
        <v>38808</v>
      </c>
      <c r="X9199" t="s">
        <v>42697</v>
      </c>
    </row>
    <row r="9200" spans="1:24">
      <c r="A9200">
        <f>HYPERLINK("https://www.philgeps.gov.ph/GEPSNONPILOT/Tender/SplashBidNoticeAbstractUI.aspx?menuIndex=3&amp;refID=7160539&amp;Result=3","7160539")</f>
        <v>0</v>
      </c>
      <c r="B9200" t="s">
        <v>2770</v>
      </c>
      <c r="C9200" t="s">
        <v>12312</v>
      </c>
      <c r="E9200" t="s">
        <v>25126</v>
      </c>
      <c r="F9200" t="s">
        <v>29372</v>
      </c>
      <c r="G9200" t="s">
        <v>29383</v>
      </c>
      <c r="H9200" t="s">
        <v>11048</v>
      </c>
      <c r="I9200" t="s">
        <v>8208</v>
      </c>
      <c r="J9200" t="s">
        <v>30072</v>
      </c>
      <c r="K9200" t="s">
        <v>38490</v>
      </c>
      <c r="M9200" t="s">
        <v>41755</v>
      </c>
      <c r="N9200" t="s">
        <v>42669</v>
      </c>
      <c r="O9200" t="s">
        <v>42670</v>
      </c>
      <c r="P9200">
        <v>0</v>
      </c>
      <c r="Q9200">
        <v>0</v>
      </c>
      <c r="R9200" t="s">
        <v>42682</v>
      </c>
      <c r="S9200" t="s">
        <v>42984</v>
      </c>
      <c r="T9200" t="s">
        <v>44480</v>
      </c>
      <c r="U9200" t="s">
        <v>52342</v>
      </c>
      <c r="V9200" t="s">
        <v>57380</v>
      </c>
      <c r="W9200" t="s">
        <v>41755</v>
      </c>
      <c r="X9200" t="s">
        <v>42690</v>
      </c>
    </row>
    <row r="9201" spans="1:24">
      <c r="A9201">
        <f>HYPERLINK("https://www.philgeps.gov.ph/GEPSNONPILOT/Tender/SplashBidNoticeAbstractUI.aspx?menuIndex=3&amp;refID=7180007&amp;Result=3","7180007")</f>
        <v>0</v>
      </c>
      <c r="B9201" t="s">
        <v>2771</v>
      </c>
      <c r="C9201" t="s">
        <v>12313</v>
      </c>
      <c r="D9201" t="s">
        <v>17141</v>
      </c>
      <c r="E9201" t="s">
        <v>25127</v>
      </c>
      <c r="F9201" t="s">
        <v>29373</v>
      </c>
      <c r="G9201" t="s">
        <v>29380</v>
      </c>
      <c r="H9201" t="s">
        <v>11048</v>
      </c>
      <c r="I9201" t="s">
        <v>3670</v>
      </c>
      <c r="J9201" t="s">
        <v>30036</v>
      </c>
      <c r="K9201" t="s">
        <v>38485</v>
      </c>
      <c r="M9201" t="s">
        <v>41756</v>
      </c>
      <c r="N9201" t="s">
        <v>42669</v>
      </c>
      <c r="O9201" t="s">
        <v>42670</v>
      </c>
      <c r="P9201">
        <v>0</v>
      </c>
      <c r="Q9201">
        <v>4</v>
      </c>
      <c r="R9201" t="s">
        <v>42681</v>
      </c>
      <c r="S9201" t="s">
        <v>42966</v>
      </c>
      <c r="T9201" t="s">
        <v>44356</v>
      </c>
      <c r="U9201" t="s">
        <v>52343</v>
      </c>
      <c r="V9201" t="s">
        <v>57382</v>
      </c>
      <c r="W9201" t="s">
        <v>41756</v>
      </c>
      <c r="X9201" t="s">
        <v>42682</v>
      </c>
    </row>
    <row r="9202" spans="1:24">
      <c r="A9202">
        <f>HYPERLINK("https://www.philgeps.gov.ph/GEPSNONPILOT/Tender/SplashBidNoticeAbstractUI.aspx?menuIndex=3&amp;refID=7160465&amp;Result=3","7160465")</f>
        <v>0</v>
      </c>
      <c r="B9202" t="s">
        <v>2770</v>
      </c>
      <c r="C9202" t="s">
        <v>12314</v>
      </c>
      <c r="E9202" t="s">
        <v>25128</v>
      </c>
      <c r="F9202" t="s">
        <v>29372</v>
      </c>
      <c r="G9202" t="s">
        <v>29383</v>
      </c>
      <c r="H9202" t="s">
        <v>11048</v>
      </c>
      <c r="I9202" t="s">
        <v>5383</v>
      </c>
      <c r="J9202" t="s">
        <v>35423</v>
      </c>
      <c r="K9202" t="s">
        <v>38490</v>
      </c>
      <c r="M9202" t="s">
        <v>41755</v>
      </c>
      <c r="N9202" t="s">
        <v>42669</v>
      </c>
      <c r="O9202" t="s">
        <v>42670</v>
      </c>
      <c r="P9202">
        <v>0</v>
      </c>
      <c r="Q9202">
        <v>0</v>
      </c>
      <c r="R9202" t="s">
        <v>42682</v>
      </c>
      <c r="S9202" t="s">
        <v>42984</v>
      </c>
      <c r="T9202" t="s">
        <v>44480</v>
      </c>
      <c r="U9202" t="s">
        <v>52344</v>
      </c>
      <c r="W9202" t="s">
        <v>41755</v>
      </c>
      <c r="X9202" t="s">
        <v>42690</v>
      </c>
    </row>
    <row r="9203" spans="1:24">
      <c r="A9203">
        <f>HYPERLINK("https://www.philgeps.gov.ph/GEPSNONPILOT/Tender/SplashBidNoticeAbstractUI.aspx?menuIndex=3&amp;refID=7160258&amp;Result=3","7160258")</f>
        <v>0</v>
      </c>
      <c r="B9203" t="s">
        <v>2770</v>
      </c>
      <c r="C9203" t="s">
        <v>12315</v>
      </c>
      <c r="E9203" t="s">
        <v>25129</v>
      </c>
      <c r="F9203" t="s">
        <v>29372</v>
      </c>
      <c r="G9203" t="s">
        <v>29383</v>
      </c>
      <c r="H9203" t="s">
        <v>11048</v>
      </c>
      <c r="I9203" t="s">
        <v>29395</v>
      </c>
      <c r="J9203" t="s">
        <v>35424</v>
      </c>
      <c r="K9203" t="s">
        <v>38490</v>
      </c>
      <c r="M9203" t="s">
        <v>41755</v>
      </c>
      <c r="N9203" t="s">
        <v>42669</v>
      </c>
      <c r="O9203" t="s">
        <v>42670</v>
      </c>
      <c r="P9203">
        <v>0</v>
      </c>
      <c r="Q9203">
        <v>0</v>
      </c>
      <c r="R9203" t="s">
        <v>42682</v>
      </c>
      <c r="S9203" t="s">
        <v>42984</v>
      </c>
      <c r="T9203" t="s">
        <v>44480</v>
      </c>
      <c r="U9203" t="s">
        <v>52345</v>
      </c>
      <c r="V9203" t="s">
        <v>57380</v>
      </c>
      <c r="W9203" t="s">
        <v>41755</v>
      </c>
      <c r="X9203" t="s">
        <v>42690</v>
      </c>
    </row>
    <row r="9204" spans="1:24">
      <c r="A9204">
        <f>HYPERLINK("https://www.philgeps.gov.ph/GEPSNONPILOT/Tender/SplashBidNoticeAbstractUI.aspx?menuIndex=3&amp;refID=7159055&amp;Result=3","7159055")</f>
        <v>0</v>
      </c>
      <c r="B9204" t="s">
        <v>1807</v>
      </c>
      <c r="C9204" t="s">
        <v>12316</v>
      </c>
      <c r="D9204" t="s">
        <v>17192</v>
      </c>
      <c r="E9204" t="s">
        <v>25130</v>
      </c>
      <c r="F9204" t="s">
        <v>29372</v>
      </c>
      <c r="G9204" t="s">
        <v>29380</v>
      </c>
      <c r="H9204" t="s">
        <v>29389</v>
      </c>
      <c r="I9204" t="s">
        <v>10408</v>
      </c>
      <c r="J9204" t="s">
        <v>35425</v>
      </c>
      <c r="K9204" t="s">
        <v>38490</v>
      </c>
      <c r="M9204" t="s">
        <v>40678</v>
      </c>
      <c r="N9204" t="s">
        <v>42669</v>
      </c>
      <c r="O9204" t="s">
        <v>42670</v>
      </c>
      <c r="P9204">
        <v>0</v>
      </c>
      <c r="Q9204">
        <v>2</v>
      </c>
      <c r="R9204" t="s">
        <v>42682</v>
      </c>
      <c r="S9204" t="s">
        <v>42984</v>
      </c>
      <c r="T9204" t="s">
        <v>44472</v>
      </c>
      <c r="U9204" t="s">
        <v>52346</v>
      </c>
      <c r="W9204" t="s">
        <v>40678</v>
      </c>
      <c r="X9204" t="s">
        <v>42690</v>
      </c>
    </row>
    <row r="9205" spans="1:24">
      <c r="A9205">
        <f>HYPERLINK("https://www.philgeps.gov.ph/GEPSNONPILOT/Tender/SplashBidNoticeAbstractUI.aspx?menuIndex=3&amp;refID=7158883&amp;Result=3","7158883")</f>
        <v>0</v>
      </c>
      <c r="B9205" t="s">
        <v>2773</v>
      </c>
      <c r="C9205" t="s">
        <v>12317</v>
      </c>
      <c r="D9205" t="s">
        <v>17170</v>
      </c>
      <c r="E9205" t="s">
        <v>25131</v>
      </c>
      <c r="F9205" t="s">
        <v>29372</v>
      </c>
      <c r="G9205" t="s">
        <v>29380</v>
      </c>
      <c r="H9205" t="s">
        <v>11048</v>
      </c>
      <c r="I9205" t="s">
        <v>4709</v>
      </c>
      <c r="J9205" t="s">
        <v>35426</v>
      </c>
      <c r="K9205" t="s">
        <v>38518</v>
      </c>
      <c r="M9205" t="s">
        <v>41758</v>
      </c>
      <c r="N9205" t="s">
        <v>42669</v>
      </c>
      <c r="O9205" t="s">
        <v>42670</v>
      </c>
      <c r="P9205">
        <v>0</v>
      </c>
      <c r="Q9205">
        <v>2</v>
      </c>
      <c r="R9205" t="s">
        <v>42682</v>
      </c>
      <c r="S9205" t="s">
        <v>42984</v>
      </c>
      <c r="T9205" t="s">
        <v>44391</v>
      </c>
      <c r="U9205" t="s">
        <v>52347</v>
      </c>
      <c r="V9205" t="s">
        <v>57384</v>
      </c>
      <c r="W9205" t="s">
        <v>41758</v>
      </c>
      <c r="X9205" t="s">
        <v>42690</v>
      </c>
    </row>
    <row r="9206" spans="1:24">
      <c r="A9206">
        <f>HYPERLINK("https://www.philgeps.gov.ph/GEPSNONPILOT/Tender/SplashBidNoticeAbstractUI.aspx?menuIndex=3&amp;refID=7149974&amp;Result=3","7149974")</f>
        <v>0</v>
      </c>
      <c r="B9206" t="s">
        <v>2770</v>
      </c>
      <c r="C9206" t="s">
        <v>12318</v>
      </c>
      <c r="E9206" t="s">
        <v>25132</v>
      </c>
      <c r="F9206" t="s">
        <v>29372</v>
      </c>
      <c r="G9206" t="s">
        <v>29380</v>
      </c>
      <c r="H9206" t="s">
        <v>11048</v>
      </c>
      <c r="I9206" t="s">
        <v>3952</v>
      </c>
      <c r="J9206" t="s">
        <v>35427</v>
      </c>
      <c r="K9206" t="s">
        <v>38490</v>
      </c>
      <c r="M9206" t="s">
        <v>41755</v>
      </c>
      <c r="N9206" t="s">
        <v>42669</v>
      </c>
      <c r="O9206" t="s">
        <v>42670</v>
      </c>
      <c r="P9206">
        <v>0</v>
      </c>
      <c r="Q9206">
        <v>0</v>
      </c>
      <c r="R9206" t="s">
        <v>42682</v>
      </c>
      <c r="S9206" t="s">
        <v>42984</v>
      </c>
      <c r="T9206" t="s">
        <v>44480</v>
      </c>
      <c r="U9206" t="s">
        <v>52348</v>
      </c>
      <c r="V9206" t="s">
        <v>57380</v>
      </c>
      <c r="W9206" t="s">
        <v>41755</v>
      </c>
      <c r="X9206" t="s">
        <v>42693</v>
      </c>
    </row>
    <row r="9207" spans="1:24">
      <c r="A9207">
        <f>HYPERLINK("https://www.philgeps.gov.ph/GEPSNONPILOT/Tender/SplashBidNoticeAbstractUI.aspx?menuIndex=3&amp;refID=7163008&amp;Result=3","7163008")</f>
        <v>0</v>
      </c>
      <c r="B9207" t="s">
        <v>2770</v>
      </c>
      <c r="C9207" t="s">
        <v>12319</v>
      </c>
      <c r="E9207" t="s">
        <v>25133</v>
      </c>
      <c r="F9207" t="s">
        <v>29372</v>
      </c>
      <c r="G9207" t="s">
        <v>29383</v>
      </c>
      <c r="H9207" t="s">
        <v>11048</v>
      </c>
      <c r="I9207" t="s">
        <v>3839</v>
      </c>
      <c r="J9207" t="s">
        <v>30173</v>
      </c>
      <c r="K9207" t="s">
        <v>38490</v>
      </c>
      <c r="M9207" t="s">
        <v>41755</v>
      </c>
      <c r="N9207" t="s">
        <v>42669</v>
      </c>
      <c r="O9207" t="s">
        <v>42670</v>
      </c>
      <c r="P9207">
        <v>0</v>
      </c>
      <c r="Q9207">
        <v>0</v>
      </c>
      <c r="R9207" t="s">
        <v>42682</v>
      </c>
      <c r="S9207" t="s">
        <v>42984</v>
      </c>
      <c r="T9207" t="s">
        <v>44480</v>
      </c>
      <c r="U9207" t="s">
        <v>52349</v>
      </c>
      <c r="V9207" t="s">
        <v>57380</v>
      </c>
      <c r="W9207" t="s">
        <v>41755</v>
      </c>
      <c r="X9207" t="s">
        <v>42689</v>
      </c>
    </row>
    <row r="9208" spans="1:24">
      <c r="A9208">
        <f>HYPERLINK("https://www.philgeps.gov.ph/GEPSNONPILOT/Tender/SplashBidNoticeAbstractUI.aspx?menuIndex=3&amp;refID=7154631&amp;Result=3","7154631")</f>
        <v>0</v>
      </c>
      <c r="B9208" t="s">
        <v>2770</v>
      </c>
      <c r="C9208" t="s">
        <v>12320</v>
      </c>
      <c r="E9208" t="s">
        <v>25134</v>
      </c>
      <c r="F9208" t="s">
        <v>29372</v>
      </c>
      <c r="G9208" t="s">
        <v>29383</v>
      </c>
      <c r="H9208" t="s">
        <v>11048</v>
      </c>
      <c r="I9208" t="s">
        <v>4487</v>
      </c>
      <c r="J9208" t="s">
        <v>35428</v>
      </c>
      <c r="K9208" t="s">
        <v>38490</v>
      </c>
      <c r="M9208" t="s">
        <v>41755</v>
      </c>
      <c r="N9208" t="s">
        <v>42669</v>
      </c>
      <c r="O9208" t="s">
        <v>42670</v>
      </c>
      <c r="P9208">
        <v>0</v>
      </c>
      <c r="Q9208">
        <v>0</v>
      </c>
      <c r="R9208" t="s">
        <v>42682</v>
      </c>
      <c r="S9208" t="s">
        <v>42984</v>
      </c>
      <c r="T9208" t="s">
        <v>44480</v>
      </c>
      <c r="U9208" t="s">
        <v>52350</v>
      </c>
      <c r="V9208" t="s">
        <v>57380</v>
      </c>
      <c r="W9208" t="s">
        <v>41755</v>
      </c>
      <c r="X9208" t="s">
        <v>42692</v>
      </c>
    </row>
    <row r="9209" spans="1:24">
      <c r="A9209">
        <f>HYPERLINK("https://www.philgeps.gov.ph/GEPSNONPILOT/Tender/SplashBidNoticeAbstractUI.aspx?menuIndex=3&amp;refID=7158937&amp;Result=3","7158937")</f>
        <v>0</v>
      </c>
      <c r="B9209" t="s">
        <v>1807</v>
      </c>
      <c r="C9209" t="s">
        <v>12316</v>
      </c>
      <c r="D9209" t="s">
        <v>17192</v>
      </c>
      <c r="E9209" t="s">
        <v>25135</v>
      </c>
      <c r="F9209" t="s">
        <v>29372</v>
      </c>
      <c r="G9209" t="s">
        <v>29380</v>
      </c>
      <c r="H9209" t="s">
        <v>29389</v>
      </c>
      <c r="I9209" t="s">
        <v>10408</v>
      </c>
      <c r="J9209" t="s">
        <v>29724</v>
      </c>
      <c r="K9209" t="s">
        <v>38490</v>
      </c>
      <c r="M9209" t="s">
        <v>40678</v>
      </c>
      <c r="N9209" t="s">
        <v>42669</v>
      </c>
      <c r="O9209" t="s">
        <v>42670</v>
      </c>
      <c r="P9209">
        <v>0</v>
      </c>
      <c r="Q9209">
        <v>1</v>
      </c>
      <c r="R9209" t="s">
        <v>42682</v>
      </c>
      <c r="S9209" t="s">
        <v>42984</v>
      </c>
      <c r="T9209" t="s">
        <v>44472</v>
      </c>
      <c r="U9209" t="s">
        <v>52351</v>
      </c>
      <c r="W9209" t="s">
        <v>40678</v>
      </c>
      <c r="X9209" t="s">
        <v>42690</v>
      </c>
    </row>
    <row r="9210" spans="1:24">
      <c r="A9210">
        <f>HYPERLINK("https://www.philgeps.gov.ph/GEPSNONPILOT/Tender/SplashBidNoticeAbstractUI.aspx?menuIndex=3&amp;refID=7166587&amp;Result=3","7166587")</f>
        <v>0</v>
      </c>
      <c r="B9210" t="s">
        <v>2770</v>
      </c>
      <c r="C9210" t="s">
        <v>12321</v>
      </c>
      <c r="E9210" t="s">
        <v>25136</v>
      </c>
      <c r="F9210" t="s">
        <v>29372</v>
      </c>
      <c r="G9210" t="s">
        <v>29383</v>
      </c>
      <c r="H9210" t="s">
        <v>11048</v>
      </c>
      <c r="I9210" t="s">
        <v>3629</v>
      </c>
      <c r="J9210" t="s">
        <v>35429</v>
      </c>
      <c r="K9210" t="s">
        <v>38490</v>
      </c>
      <c r="M9210" t="s">
        <v>41755</v>
      </c>
      <c r="N9210" t="s">
        <v>42669</v>
      </c>
      <c r="O9210" t="s">
        <v>42670</v>
      </c>
      <c r="P9210">
        <v>0</v>
      </c>
      <c r="Q9210">
        <v>0</v>
      </c>
      <c r="R9210" t="s">
        <v>42682</v>
      </c>
      <c r="S9210" t="s">
        <v>42984</v>
      </c>
      <c r="T9210" t="s">
        <v>44480</v>
      </c>
      <c r="U9210" t="s">
        <v>52352</v>
      </c>
      <c r="V9210" t="s">
        <v>57380</v>
      </c>
      <c r="W9210" t="s">
        <v>41755</v>
      </c>
      <c r="X9210" t="s">
        <v>42686</v>
      </c>
    </row>
    <row r="9211" spans="1:24">
      <c r="A9211">
        <f>HYPERLINK("https://www.philgeps.gov.ph/GEPSNONPILOT/Tender/SplashBidNoticeAbstractUI.aspx?menuIndex=3&amp;refID=7166427&amp;Result=3","7166427")</f>
        <v>0</v>
      </c>
      <c r="B9211" t="s">
        <v>2770</v>
      </c>
      <c r="C9211" t="s">
        <v>12322</v>
      </c>
      <c r="E9211" t="s">
        <v>25137</v>
      </c>
      <c r="F9211" t="s">
        <v>29372</v>
      </c>
      <c r="G9211" t="s">
        <v>29383</v>
      </c>
      <c r="H9211" t="s">
        <v>11048</v>
      </c>
      <c r="I9211" t="s">
        <v>29395</v>
      </c>
      <c r="J9211" t="s">
        <v>35430</v>
      </c>
      <c r="K9211" t="s">
        <v>38490</v>
      </c>
      <c r="M9211" t="s">
        <v>41755</v>
      </c>
      <c r="N9211" t="s">
        <v>42669</v>
      </c>
      <c r="O9211" t="s">
        <v>42670</v>
      </c>
      <c r="P9211">
        <v>0</v>
      </c>
      <c r="Q9211">
        <v>0</v>
      </c>
      <c r="R9211" t="s">
        <v>42682</v>
      </c>
      <c r="S9211" t="s">
        <v>42984</v>
      </c>
      <c r="T9211" t="s">
        <v>44480</v>
      </c>
      <c r="U9211" t="s">
        <v>52353</v>
      </c>
      <c r="V9211" t="s">
        <v>57380</v>
      </c>
      <c r="W9211" t="s">
        <v>41755</v>
      </c>
      <c r="X9211" t="s">
        <v>42686</v>
      </c>
    </row>
    <row r="9212" spans="1:24">
      <c r="A9212">
        <f>HYPERLINK("https://www.philgeps.gov.ph/GEPSNONPILOT/Tender/SplashBidNoticeAbstractUI.aspx?menuIndex=3&amp;refID=7132052-2&amp;Result=3","7132052-2")</f>
        <v>0</v>
      </c>
      <c r="B9212" t="s">
        <v>2774</v>
      </c>
      <c r="C9212" t="s">
        <v>12323</v>
      </c>
      <c r="D9212" t="s">
        <v>17141</v>
      </c>
      <c r="E9212" t="s">
        <v>25138</v>
      </c>
      <c r="F9212" t="s">
        <v>29372</v>
      </c>
      <c r="G9212" t="s">
        <v>29380</v>
      </c>
      <c r="H9212" t="s">
        <v>29391</v>
      </c>
      <c r="I9212" t="s">
        <v>29391</v>
      </c>
      <c r="J9212" t="s">
        <v>35431</v>
      </c>
      <c r="K9212" t="s">
        <v>38522</v>
      </c>
      <c r="M9212" t="s">
        <v>41759</v>
      </c>
      <c r="N9212" t="s">
        <v>42669</v>
      </c>
      <c r="O9212" t="s">
        <v>42670</v>
      </c>
      <c r="P9212">
        <v>0</v>
      </c>
      <c r="Q9212">
        <v>2</v>
      </c>
      <c r="R9212" t="s">
        <v>42682</v>
      </c>
      <c r="S9212" t="s">
        <v>42984</v>
      </c>
      <c r="T9212" t="s">
        <v>44446</v>
      </c>
      <c r="U9212" t="s">
        <v>52354</v>
      </c>
      <c r="V9212" t="s">
        <v>57385</v>
      </c>
      <c r="W9212" t="s">
        <v>41759</v>
      </c>
      <c r="X9212" t="s">
        <v>42683</v>
      </c>
    </row>
    <row r="9213" spans="1:24">
      <c r="A9213">
        <f>HYPERLINK("https://www.philgeps.gov.ph/GEPSNONPILOT/Tender/SplashBidNoticeAbstractUI.aspx?menuIndex=3&amp;refID=7166454&amp;Result=3","7166454")</f>
        <v>0</v>
      </c>
      <c r="B9213" t="s">
        <v>2770</v>
      </c>
      <c r="C9213" t="s">
        <v>12324</v>
      </c>
      <c r="E9213" t="s">
        <v>25139</v>
      </c>
      <c r="F9213" t="s">
        <v>29372</v>
      </c>
      <c r="G9213" t="s">
        <v>29383</v>
      </c>
      <c r="H9213" t="s">
        <v>11048</v>
      </c>
      <c r="I9213" t="s">
        <v>29395</v>
      </c>
      <c r="J9213" t="s">
        <v>35432</v>
      </c>
      <c r="K9213" t="s">
        <v>38490</v>
      </c>
      <c r="M9213" t="s">
        <v>41755</v>
      </c>
      <c r="N9213" t="s">
        <v>42669</v>
      </c>
      <c r="O9213" t="s">
        <v>42670</v>
      </c>
      <c r="P9213">
        <v>0</v>
      </c>
      <c r="Q9213">
        <v>0</v>
      </c>
      <c r="R9213" t="s">
        <v>42682</v>
      </c>
      <c r="S9213" t="s">
        <v>42984</v>
      </c>
      <c r="T9213" t="s">
        <v>44480</v>
      </c>
      <c r="U9213" t="s">
        <v>52355</v>
      </c>
      <c r="V9213" t="s">
        <v>57380</v>
      </c>
      <c r="W9213" t="s">
        <v>41755</v>
      </c>
      <c r="X9213" t="s">
        <v>42686</v>
      </c>
    </row>
    <row r="9214" spans="1:24">
      <c r="A9214">
        <f>HYPERLINK("https://www.philgeps.gov.ph/GEPSNONPILOT/Tender/SplashBidNoticeAbstractUI.aspx?menuIndex=3&amp;refID=7166198&amp;Result=3","7166198")</f>
        <v>0</v>
      </c>
      <c r="B9214" t="s">
        <v>2770</v>
      </c>
      <c r="C9214" t="s">
        <v>12325</v>
      </c>
      <c r="E9214" t="s">
        <v>25140</v>
      </c>
      <c r="F9214" t="s">
        <v>29372</v>
      </c>
      <c r="G9214" t="s">
        <v>29383</v>
      </c>
      <c r="H9214" t="s">
        <v>11048</v>
      </c>
      <c r="I9214" t="s">
        <v>3839</v>
      </c>
      <c r="J9214" t="s">
        <v>30145</v>
      </c>
      <c r="K9214" t="s">
        <v>38490</v>
      </c>
      <c r="M9214" t="s">
        <v>41755</v>
      </c>
      <c r="N9214" t="s">
        <v>42669</v>
      </c>
      <c r="O9214" t="s">
        <v>42670</v>
      </c>
      <c r="P9214">
        <v>0</v>
      </c>
      <c r="Q9214">
        <v>0</v>
      </c>
      <c r="R9214" t="s">
        <v>42682</v>
      </c>
      <c r="S9214" t="s">
        <v>42984</v>
      </c>
      <c r="T9214" t="s">
        <v>44480</v>
      </c>
      <c r="U9214" t="s">
        <v>52356</v>
      </c>
      <c r="V9214" t="s">
        <v>57380</v>
      </c>
      <c r="W9214" t="s">
        <v>41755</v>
      </c>
      <c r="X9214" t="s">
        <v>42686</v>
      </c>
    </row>
    <row r="9215" spans="1:24">
      <c r="A9215">
        <f>HYPERLINK("https://www.philgeps.gov.ph/GEPSNONPILOT/Tender/SplashBidNoticeAbstractUI.aspx?menuIndex=3&amp;refID=7166521&amp;Result=3","7166521")</f>
        <v>0</v>
      </c>
      <c r="B9215" t="s">
        <v>2770</v>
      </c>
      <c r="C9215" t="s">
        <v>12326</v>
      </c>
      <c r="E9215" t="s">
        <v>25136</v>
      </c>
      <c r="F9215" t="s">
        <v>29372</v>
      </c>
      <c r="G9215" t="s">
        <v>29383</v>
      </c>
      <c r="H9215" t="s">
        <v>11048</v>
      </c>
      <c r="I9215" t="s">
        <v>29395</v>
      </c>
      <c r="J9215" t="s">
        <v>35433</v>
      </c>
      <c r="K9215" t="s">
        <v>38490</v>
      </c>
      <c r="M9215" t="s">
        <v>41755</v>
      </c>
      <c r="N9215" t="s">
        <v>42669</v>
      </c>
      <c r="O9215" t="s">
        <v>42670</v>
      </c>
      <c r="P9215">
        <v>0</v>
      </c>
      <c r="Q9215">
        <v>0</v>
      </c>
      <c r="R9215" t="s">
        <v>42682</v>
      </c>
      <c r="S9215" t="s">
        <v>42984</v>
      </c>
      <c r="T9215" t="s">
        <v>44480</v>
      </c>
      <c r="U9215" t="s">
        <v>52357</v>
      </c>
      <c r="V9215" t="s">
        <v>57380</v>
      </c>
      <c r="W9215" t="s">
        <v>41755</v>
      </c>
      <c r="X9215" t="s">
        <v>42686</v>
      </c>
    </row>
    <row r="9216" spans="1:24">
      <c r="A9216">
        <f>HYPERLINK("https://www.philgeps.gov.ph/GEPSNONPILOT/Tender/SplashBidNoticeAbstractUI.aspx?menuIndex=3&amp;refID=7165837&amp;Result=3","7165837")</f>
        <v>0</v>
      </c>
      <c r="B9216" t="s">
        <v>2775</v>
      </c>
      <c r="C9216" t="s">
        <v>12327</v>
      </c>
      <c r="D9216" t="s">
        <v>17187</v>
      </c>
      <c r="E9216" t="s">
        <v>25141</v>
      </c>
      <c r="F9216" t="s">
        <v>29372</v>
      </c>
      <c r="G9216" t="s">
        <v>29380</v>
      </c>
      <c r="H9216" t="s">
        <v>11048</v>
      </c>
      <c r="I9216" t="s">
        <v>8614</v>
      </c>
      <c r="J9216" t="s">
        <v>35434</v>
      </c>
      <c r="K9216" t="s">
        <v>38485</v>
      </c>
      <c r="M9216" t="s">
        <v>41760</v>
      </c>
      <c r="N9216" t="s">
        <v>42669</v>
      </c>
      <c r="O9216" t="s">
        <v>42670</v>
      </c>
      <c r="P9216">
        <v>0</v>
      </c>
      <c r="Q9216">
        <v>8</v>
      </c>
      <c r="R9216" t="s">
        <v>42682</v>
      </c>
      <c r="S9216" t="s">
        <v>42984</v>
      </c>
      <c r="T9216" t="s">
        <v>44391</v>
      </c>
      <c r="U9216" t="s">
        <v>52358</v>
      </c>
      <c r="V9216" t="s">
        <v>57386</v>
      </c>
      <c r="W9216" t="s">
        <v>41760</v>
      </c>
      <c r="X9216" t="s">
        <v>42686</v>
      </c>
    </row>
    <row r="9217" spans="1:24">
      <c r="A9217">
        <f>HYPERLINK("https://www.philgeps.gov.ph/GEPSNONPILOT/Tender/SplashBidNoticeAbstractUI.aspx?menuIndex=3&amp;refID=7159013&amp;Result=3","7159013")</f>
        <v>0</v>
      </c>
      <c r="B9217" t="s">
        <v>1807</v>
      </c>
      <c r="C9217" t="s">
        <v>12316</v>
      </c>
      <c r="D9217" t="s">
        <v>17192</v>
      </c>
      <c r="E9217" t="s">
        <v>25142</v>
      </c>
      <c r="F9217" t="s">
        <v>29372</v>
      </c>
      <c r="G9217" t="s">
        <v>29380</v>
      </c>
      <c r="H9217" t="s">
        <v>29389</v>
      </c>
      <c r="I9217" t="s">
        <v>10408</v>
      </c>
      <c r="J9217" t="s">
        <v>29724</v>
      </c>
      <c r="K9217" t="s">
        <v>38490</v>
      </c>
      <c r="M9217" t="s">
        <v>40678</v>
      </c>
      <c r="N9217" t="s">
        <v>42669</v>
      </c>
      <c r="O9217" t="s">
        <v>42670</v>
      </c>
      <c r="P9217">
        <v>0</v>
      </c>
      <c r="Q9217">
        <v>1</v>
      </c>
      <c r="R9217" t="s">
        <v>42682</v>
      </c>
      <c r="S9217" t="s">
        <v>42984</v>
      </c>
      <c r="T9217" t="s">
        <v>44472</v>
      </c>
      <c r="U9217" t="s">
        <v>52351</v>
      </c>
      <c r="W9217" t="s">
        <v>40678</v>
      </c>
      <c r="X9217" t="s">
        <v>42690</v>
      </c>
    </row>
    <row r="9218" spans="1:24">
      <c r="A9218">
        <f>HYPERLINK("https://www.philgeps.gov.ph/GEPSNONPILOT/Tender/SplashBidNoticeAbstractUI.aspx?menuIndex=3&amp;refID=7165629&amp;Result=3","7165629")</f>
        <v>0</v>
      </c>
      <c r="B9218" t="s">
        <v>2311</v>
      </c>
      <c r="C9218" t="s">
        <v>12328</v>
      </c>
      <c r="D9218" t="s">
        <v>17191</v>
      </c>
      <c r="E9218" t="s">
        <v>25143</v>
      </c>
      <c r="F9218" t="s">
        <v>29372</v>
      </c>
      <c r="G9218" t="s">
        <v>29380</v>
      </c>
      <c r="H9218" t="s">
        <v>11048</v>
      </c>
      <c r="I9218" t="s">
        <v>3629</v>
      </c>
      <c r="J9218" t="s">
        <v>35435</v>
      </c>
      <c r="K9218" t="s">
        <v>38485</v>
      </c>
      <c r="M9218" t="s">
        <v>41242</v>
      </c>
      <c r="N9218" t="s">
        <v>42669</v>
      </c>
      <c r="O9218" t="s">
        <v>42670</v>
      </c>
      <c r="P9218">
        <v>0</v>
      </c>
      <c r="Q9218">
        <v>0</v>
      </c>
      <c r="R9218" t="s">
        <v>42682</v>
      </c>
      <c r="S9218" t="s">
        <v>42984</v>
      </c>
      <c r="T9218" t="s">
        <v>44488</v>
      </c>
      <c r="U9218" t="s">
        <v>52359</v>
      </c>
      <c r="V9218" t="s">
        <v>57387</v>
      </c>
      <c r="W9218" t="s">
        <v>41242</v>
      </c>
      <c r="X9218" t="s">
        <v>42686</v>
      </c>
    </row>
    <row r="9219" spans="1:24">
      <c r="A9219">
        <f>HYPERLINK("https://www.philgeps.gov.ph/GEPSNONPILOT/Tender/SplashBidNoticeAbstractUI.aspx?menuIndex=3&amp;refID=7163799&amp;Result=3","7163799")</f>
        <v>0</v>
      </c>
      <c r="B9219" t="s">
        <v>2770</v>
      </c>
      <c r="C9219" t="s">
        <v>12329</v>
      </c>
      <c r="E9219" t="s">
        <v>25144</v>
      </c>
      <c r="F9219" t="s">
        <v>29372</v>
      </c>
      <c r="G9219" t="s">
        <v>29383</v>
      </c>
      <c r="H9219" t="s">
        <v>11048</v>
      </c>
      <c r="I9219" t="s">
        <v>29404</v>
      </c>
      <c r="J9219" t="s">
        <v>29685</v>
      </c>
      <c r="K9219" t="s">
        <v>38490</v>
      </c>
      <c r="M9219" t="s">
        <v>41755</v>
      </c>
      <c r="N9219" t="s">
        <v>42669</v>
      </c>
      <c r="O9219" t="s">
        <v>42670</v>
      </c>
      <c r="P9219">
        <v>0</v>
      </c>
      <c r="Q9219">
        <v>0</v>
      </c>
      <c r="R9219" t="s">
        <v>42682</v>
      </c>
      <c r="S9219" t="s">
        <v>42984</v>
      </c>
      <c r="T9219" t="s">
        <v>44480</v>
      </c>
      <c r="U9219" t="s">
        <v>52360</v>
      </c>
      <c r="V9219" t="s">
        <v>57380</v>
      </c>
      <c r="W9219" t="s">
        <v>41755</v>
      </c>
      <c r="X9219" t="s">
        <v>42689</v>
      </c>
    </row>
    <row r="9220" spans="1:24">
      <c r="A9220">
        <f>HYPERLINK("https://www.philgeps.gov.ph/GEPSNONPILOT/Tender/SplashBidNoticeAbstractUI.aspx?menuIndex=3&amp;refID=7163748&amp;Result=3","7163748")</f>
        <v>0</v>
      </c>
      <c r="B9220" t="s">
        <v>2770</v>
      </c>
      <c r="C9220" t="s">
        <v>12330</v>
      </c>
      <c r="E9220" t="s">
        <v>25145</v>
      </c>
      <c r="F9220" t="s">
        <v>29372</v>
      </c>
      <c r="G9220" t="s">
        <v>29383</v>
      </c>
      <c r="H9220" t="s">
        <v>11048</v>
      </c>
      <c r="I9220" t="s">
        <v>3670</v>
      </c>
      <c r="J9220" t="s">
        <v>35436</v>
      </c>
      <c r="K9220" t="s">
        <v>38490</v>
      </c>
      <c r="M9220" t="s">
        <v>41755</v>
      </c>
      <c r="N9220" t="s">
        <v>42669</v>
      </c>
      <c r="O9220" t="s">
        <v>42670</v>
      </c>
      <c r="P9220">
        <v>0</v>
      </c>
      <c r="Q9220">
        <v>0</v>
      </c>
      <c r="R9220" t="s">
        <v>42682</v>
      </c>
      <c r="S9220" t="s">
        <v>42984</v>
      </c>
      <c r="T9220" t="s">
        <v>44480</v>
      </c>
      <c r="U9220" t="s">
        <v>52361</v>
      </c>
      <c r="V9220" t="s">
        <v>57380</v>
      </c>
      <c r="W9220" t="s">
        <v>41755</v>
      </c>
      <c r="X9220" t="s">
        <v>42689</v>
      </c>
    </row>
    <row r="9221" spans="1:24">
      <c r="A9221">
        <f>HYPERLINK("https://www.philgeps.gov.ph/GEPSNONPILOT/Tender/SplashBidNoticeAbstractUI.aspx?menuIndex=3&amp;refID=7166254&amp;Result=3","7166254")</f>
        <v>0</v>
      </c>
      <c r="B9221" t="s">
        <v>2770</v>
      </c>
      <c r="C9221" t="s">
        <v>12331</v>
      </c>
      <c r="E9221" t="s">
        <v>25146</v>
      </c>
      <c r="F9221" t="s">
        <v>29372</v>
      </c>
      <c r="G9221" t="s">
        <v>29383</v>
      </c>
      <c r="H9221" t="s">
        <v>11048</v>
      </c>
      <c r="I9221" t="s">
        <v>8208</v>
      </c>
      <c r="J9221" t="s">
        <v>35437</v>
      </c>
      <c r="K9221" t="s">
        <v>38490</v>
      </c>
      <c r="M9221" t="s">
        <v>41755</v>
      </c>
      <c r="N9221" t="s">
        <v>42669</v>
      </c>
      <c r="O9221" t="s">
        <v>42670</v>
      </c>
      <c r="P9221">
        <v>0</v>
      </c>
      <c r="Q9221">
        <v>0</v>
      </c>
      <c r="R9221" t="s">
        <v>42682</v>
      </c>
      <c r="S9221" t="s">
        <v>42984</v>
      </c>
      <c r="T9221" t="s">
        <v>44480</v>
      </c>
      <c r="U9221" t="s">
        <v>52362</v>
      </c>
      <c r="V9221" t="s">
        <v>57380</v>
      </c>
      <c r="W9221" t="s">
        <v>41755</v>
      </c>
      <c r="X9221" t="s">
        <v>42686</v>
      </c>
    </row>
    <row r="9222" spans="1:24">
      <c r="A9222">
        <f>HYPERLINK("https://www.philgeps.gov.ph/GEPSNONPILOT/Tender/SplashBidNoticeAbstractUI.aspx?menuIndex=3&amp;refID=7166815&amp;Result=3","7166815")</f>
        <v>0</v>
      </c>
      <c r="B9222" t="s">
        <v>2770</v>
      </c>
      <c r="C9222" t="s">
        <v>12332</v>
      </c>
      <c r="E9222" t="s">
        <v>25147</v>
      </c>
      <c r="F9222" t="s">
        <v>29372</v>
      </c>
      <c r="G9222" t="s">
        <v>29383</v>
      </c>
      <c r="H9222" t="s">
        <v>11048</v>
      </c>
      <c r="I9222" t="s">
        <v>3952</v>
      </c>
      <c r="J9222" t="s">
        <v>35438</v>
      </c>
      <c r="K9222" t="s">
        <v>38490</v>
      </c>
      <c r="M9222" t="s">
        <v>41755</v>
      </c>
      <c r="N9222" t="s">
        <v>42669</v>
      </c>
      <c r="O9222" t="s">
        <v>42670</v>
      </c>
      <c r="P9222">
        <v>0</v>
      </c>
      <c r="Q9222">
        <v>0</v>
      </c>
      <c r="R9222" t="s">
        <v>42682</v>
      </c>
      <c r="S9222" t="s">
        <v>42984</v>
      </c>
      <c r="T9222" t="s">
        <v>44480</v>
      </c>
      <c r="U9222" t="s">
        <v>52363</v>
      </c>
      <c r="V9222" t="s">
        <v>57380</v>
      </c>
      <c r="W9222" t="s">
        <v>41755</v>
      </c>
      <c r="X9222" t="s">
        <v>42686</v>
      </c>
    </row>
    <row r="9223" spans="1:24">
      <c r="A9223">
        <f>HYPERLINK("https://www.philgeps.gov.ph/GEPSNONPILOT/Tender/SplashBidNoticeAbstractUI.aspx?menuIndex=3&amp;refID=7170641&amp;Result=3","7170641")</f>
        <v>0</v>
      </c>
      <c r="B9223" t="s">
        <v>1014</v>
      </c>
      <c r="C9223" t="s">
        <v>12333</v>
      </c>
      <c r="E9223" t="s">
        <v>12333</v>
      </c>
      <c r="F9223" t="s">
        <v>29372</v>
      </c>
      <c r="G9223" t="s">
        <v>29379</v>
      </c>
      <c r="H9223" t="s">
        <v>11048</v>
      </c>
      <c r="I9223" t="s">
        <v>29407</v>
      </c>
      <c r="J9223" t="s">
        <v>34247</v>
      </c>
      <c r="K9223" t="s">
        <v>38491</v>
      </c>
      <c r="M9223" t="s">
        <v>39814</v>
      </c>
      <c r="N9223" t="s">
        <v>42669</v>
      </c>
      <c r="O9223" t="s">
        <v>42670</v>
      </c>
      <c r="Q9223">
        <v>4</v>
      </c>
      <c r="R9223" t="s">
        <v>42682</v>
      </c>
      <c r="S9223" t="s">
        <v>42985</v>
      </c>
      <c r="T9223" t="s">
        <v>44432</v>
      </c>
      <c r="U9223" t="s">
        <v>48576</v>
      </c>
      <c r="W9223" t="s">
        <v>39814</v>
      </c>
      <c r="X9223" t="s">
        <v>42685</v>
      </c>
    </row>
    <row r="9224" spans="1:24">
      <c r="A9224">
        <f>HYPERLINK("https://www.philgeps.gov.ph/GEPSNONPILOT/Tender/SplashBidNoticeAbstractUI.aspx?menuIndex=3&amp;refID=7166113&amp;Result=3","7166113")</f>
        <v>0</v>
      </c>
      <c r="B9224" t="s">
        <v>2770</v>
      </c>
      <c r="C9224" t="s">
        <v>12334</v>
      </c>
      <c r="E9224" t="s">
        <v>25148</v>
      </c>
      <c r="F9224" t="s">
        <v>29372</v>
      </c>
      <c r="G9224" t="s">
        <v>29383</v>
      </c>
      <c r="H9224" t="s">
        <v>11048</v>
      </c>
      <c r="I9224" t="s">
        <v>8208</v>
      </c>
      <c r="J9224" t="s">
        <v>35439</v>
      </c>
      <c r="K9224" t="s">
        <v>38490</v>
      </c>
      <c r="M9224" t="s">
        <v>41755</v>
      </c>
      <c r="N9224" t="s">
        <v>42669</v>
      </c>
      <c r="O9224" t="s">
        <v>42670</v>
      </c>
      <c r="P9224">
        <v>0</v>
      </c>
      <c r="Q9224">
        <v>0</v>
      </c>
      <c r="R9224" t="s">
        <v>42682</v>
      </c>
      <c r="S9224" t="s">
        <v>42984</v>
      </c>
      <c r="T9224" t="s">
        <v>44480</v>
      </c>
      <c r="U9224" t="s">
        <v>52364</v>
      </c>
      <c r="V9224" t="s">
        <v>57380</v>
      </c>
      <c r="W9224" t="s">
        <v>41755</v>
      </c>
      <c r="X9224" t="s">
        <v>42686</v>
      </c>
    </row>
    <row r="9225" spans="1:24">
      <c r="A9225">
        <f>HYPERLINK("https://www.philgeps.gov.ph/GEPSNONPILOT/Tender/SplashBidNoticeAbstractUI.aspx?menuIndex=3&amp;refID=7170379&amp;Result=3","7170379")</f>
        <v>0</v>
      </c>
      <c r="B9225" t="s">
        <v>2776</v>
      </c>
      <c r="C9225" t="s">
        <v>12335</v>
      </c>
      <c r="D9225" t="s">
        <v>17188</v>
      </c>
      <c r="E9225" t="s">
        <v>25149</v>
      </c>
      <c r="F9225" t="s">
        <v>29372</v>
      </c>
      <c r="G9225" t="s">
        <v>29380</v>
      </c>
      <c r="H9225" t="s">
        <v>29389</v>
      </c>
      <c r="I9225" t="s">
        <v>10408</v>
      </c>
      <c r="J9225" t="s">
        <v>33476</v>
      </c>
      <c r="K9225" t="s">
        <v>38522</v>
      </c>
      <c r="M9225" t="s">
        <v>41761</v>
      </c>
      <c r="N9225" t="s">
        <v>42669</v>
      </c>
      <c r="O9225" t="s">
        <v>42670</v>
      </c>
      <c r="P9225">
        <v>0</v>
      </c>
      <c r="Q9225">
        <v>2</v>
      </c>
      <c r="R9225" t="s">
        <v>42682</v>
      </c>
      <c r="S9225" t="s">
        <v>42984</v>
      </c>
      <c r="T9225" t="s">
        <v>44419</v>
      </c>
      <c r="U9225" t="s">
        <v>52365</v>
      </c>
      <c r="W9225" t="s">
        <v>41761</v>
      </c>
      <c r="X9225" t="s">
        <v>42685</v>
      </c>
    </row>
    <row r="9226" spans="1:24">
      <c r="A9226">
        <f>HYPERLINK("https://www.philgeps.gov.ph/GEPSNONPILOT/Tender/SplashBidNoticeAbstractUI.aspx?menuIndex=3&amp;refID=7165743&amp;Result=3","7165743")</f>
        <v>0</v>
      </c>
      <c r="B9226" t="s">
        <v>2770</v>
      </c>
      <c r="C9226" t="s">
        <v>12336</v>
      </c>
      <c r="E9226" t="s">
        <v>25150</v>
      </c>
      <c r="F9226" t="s">
        <v>29372</v>
      </c>
      <c r="G9226" t="s">
        <v>29380</v>
      </c>
      <c r="H9226" t="s">
        <v>11048</v>
      </c>
      <c r="I9226" t="s">
        <v>8208</v>
      </c>
      <c r="J9226" t="s">
        <v>35440</v>
      </c>
      <c r="K9226" t="s">
        <v>38490</v>
      </c>
      <c r="M9226" t="s">
        <v>41755</v>
      </c>
      <c r="N9226" t="s">
        <v>42669</v>
      </c>
      <c r="O9226" t="s">
        <v>42670</v>
      </c>
      <c r="P9226">
        <v>0</v>
      </c>
      <c r="Q9226">
        <v>0</v>
      </c>
      <c r="R9226" t="s">
        <v>42682</v>
      </c>
      <c r="S9226" t="s">
        <v>42984</v>
      </c>
      <c r="T9226" t="s">
        <v>44480</v>
      </c>
      <c r="U9226" t="s">
        <v>52366</v>
      </c>
      <c r="V9226" t="s">
        <v>57380</v>
      </c>
      <c r="W9226" t="s">
        <v>41755</v>
      </c>
      <c r="X9226" t="s">
        <v>42686</v>
      </c>
    </row>
    <row r="9227" spans="1:24">
      <c r="A9227">
        <f>HYPERLINK("https://www.philgeps.gov.ph/GEPSNONPILOT/Tender/SplashBidNoticeAbstractUI.aspx?menuIndex=3&amp;refID=7170212&amp;Result=3","7170212")</f>
        <v>0</v>
      </c>
      <c r="B9227" t="s">
        <v>1014</v>
      </c>
      <c r="C9227" t="s">
        <v>12337</v>
      </c>
      <c r="E9227" t="s">
        <v>12337</v>
      </c>
      <c r="F9227" t="s">
        <v>29372</v>
      </c>
      <c r="G9227" t="s">
        <v>29379</v>
      </c>
      <c r="H9227" t="s">
        <v>11048</v>
      </c>
      <c r="I9227" t="s">
        <v>3695</v>
      </c>
      <c r="J9227" t="s">
        <v>35441</v>
      </c>
      <c r="K9227" t="s">
        <v>38491</v>
      </c>
      <c r="M9227" t="s">
        <v>39814</v>
      </c>
      <c r="N9227" t="s">
        <v>42669</v>
      </c>
      <c r="O9227" t="s">
        <v>42670</v>
      </c>
      <c r="Q9227">
        <v>9</v>
      </c>
      <c r="R9227" t="s">
        <v>42682</v>
      </c>
      <c r="S9227" t="s">
        <v>42986</v>
      </c>
      <c r="T9227" t="s">
        <v>44432</v>
      </c>
      <c r="U9227" t="s">
        <v>52367</v>
      </c>
      <c r="W9227" t="s">
        <v>39814</v>
      </c>
      <c r="X9227" t="s">
        <v>42685</v>
      </c>
    </row>
    <row r="9228" spans="1:24">
      <c r="A9228">
        <f>HYPERLINK("https://www.philgeps.gov.ph/GEPSNONPILOT/Tender/SplashBidNoticeAbstractUI.aspx?menuIndex=3&amp;refID=7169828&amp;Result=3","7169828")</f>
        <v>0</v>
      </c>
      <c r="B9228" t="s">
        <v>2777</v>
      </c>
      <c r="C9228" t="s">
        <v>12338</v>
      </c>
      <c r="D9228" t="s">
        <v>17151</v>
      </c>
      <c r="E9228" t="s">
        <v>25151</v>
      </c>
      <c r="F9228" t="s">
        <v>29372</v>
      </c>
      <c r="G9228" t="s">
        <v>29381</v>
      </c>
      <c r="H9228" t="s">
        <v>11048</v>
      </c>
      <c r="I9228" t="s">
        <v>29413</v>
      </c>
      <c r="J9228" t="s">
        <v>30056</v>
      </c>
      <c r="K9228" t="s">
        <v>38488</v>
      </c>
      <c r="M9228" t="s">
        <v>41762</v>
      </c>
      <c r="N9228" t="s">
        <v>42669</v>
      </c>
      <c r="O9228" t="s">
        <v>42670</v>
      </c>
      <c r="P9228">
        <v>0</v>
      </c>
      <c r="Q9228">
        <v>4</v>
      </c>
      <c r="R9228" t="s">
        <v>42682</v>
      </c>
      <c r="S9228" t="s">
        <v>42984</v>
      </c>
      <c r="T9228" t="s">
        <v>44397</v>
      </c>
      <c r="U9228" t="s">
        <v>52368</v>
      </c>
      <c r="V9228" t="s">
        <v>57388</v>
      </c>
      <c r="W9228" t="s">
        <v>41762</v>
      </c>
      <c r="X9228" t="s">
        <v>42685</v>
      </c>
    </row>
    <row r="9229" spans="1:24">
      <c r="A9229">
        <f>HYPERLINK("https://www.philgeps.gov.ph/GEPSNONPILOT/Tender/SplashBidNoticeAbstractUI.aspx?menuIndex=3&amp;refID=7166297&amp;Result=3","7166297")</f>
        <v>0</v>
      </c>
      <c r="B9229" t="s">
        <v>2770</v>
      </c>
      <c r="C9229" t="s">
        <v>12339</v>
      </c>
      <c r="E9229" t="s">
        <v>25152</v>
      </c>
      <c r="F9229" t="s">
        <v>29372</v>
      </c>
      <c r="G9229" t="s">
        <v>29383</v>
      </c>
      <c r="H9229" t="s">
        <v>11048</v>
      </c>
      <c r="I9229" t="s">
        <v>5383</v>
      </c>
      <c r="J9229" t="s">
        <v>31642</v>
      </c>
      <c r="K9229" t="s">
        <v>38490</v>
      </c>
      <c r="M9229" t="s">
        <v>41755</v>
      </c>
      <c r="N9229" t="s">
        <v>42669</v>
      </c>
      <c r="O9229" t="s">
        <v>42670</v>
      </c>
      <c r="P9229">
        <v>0</v>
      </c>
      <c r="Q9229">
        <v>0</v>
      </c>
      <c r="R9229" t="s">
        <v>42682</v>
      </c>
      <c r="S9229" t="s">
        <v>42984</v>
      </c>
      <c r="T9229" t="s">
        <v>44480</v>
      </c>
      <c r="U9229" t="s">
        <v>52369</v>
      </c>
      <c r="V9229" t="s">
        <v>57380</v>
      </c>
      <c r="W9229" t="s">
        <v>41755</v>
      </c>
      <c r="X9229" t="s">
        <v>42686</v>
      </c>
    </row>
    <row r="9230" spans="1:24">
      <c r="A9230">
        <f>HYPERLINK("https://www.philgeps.gov.ph/GEPSNONPILOT/Tender/SplashBidNoticeAbstractUI.aspx?menuIndex=3&amp;refID=7169767&amp;Result=3","7169767")</f>
        <v>0</v>
      </c>
      <c r="B9230" t="s">
        <v>2777</v>
      </c>
      <c r="C9230" t="s">
        <v>12340</v>
      </c>
      <c r="D9230" t="s">
        <v>17151</v>
      </c>
      <c r="E9230" t="s">
        <v>25153</v>
      </c>
      <c r="F9230" t="s">
        <v>29372</v>
      </c>
      <c r="G9230" t="s">
        <v>29381</v>
      </c>
      <c r="H9230" t="s">
        <v>11048</v>
      </c>
      <c r="I9230" t="s">
        <v>4486</v>
      </c>
      <c r="J9230" t="s">
        <v>29590</v>
      </c>
      <c r="K9230" t="s">
        <v>38488</v>
      </c>
      <c r="M9230" t="s">
        <v>41762</v>
      </c>
      <c r="N9230" t="s">
        <v>42669</v>
      </c>
      <c r="O9230" t="s">
        <v>42670</v>
      </c>
      <c r="P9230">
        <v>0</v>
      </c>
      <c r="Q9230">
        <v>2</v>
      </c>
      <c r="R9230" t="s">
        <v>42682</v>
      </c>
      <c r="S9230" t="s">
        <v>42984</v>
      </c>
      <c r="T9230" t="s">
        <v>44773</v>
      </c>
      <c r="U9230" t="s">
        <v>52370</v>
      </c>
      <c r="V9230" t="s">
        <v>57388</v>
      </c>
      <c r="W9230" t="s">
        <v>41762</v>
      </c>
      <c r="X9230" t="s">
        <v>42685</v>
      </c>
    </row>
    <row r="9231" spans="1:24">
      <c r="A9231">
        <f>HYPERLINK("https://www.philgeps.gov.ph/GEPSNONPILOT/Tender/SplashBidNoticeAbstractUI.aspx?menuIndex=3&amp;refID=7162975&amp;Result=3","7162975")</f>
        <v>0</v>
      </c>
      <c r="B9231" t="s">
        <v>2770</v>
      </c>
      <c r="C9231" t="s">
        <v>12341</v>
      </c>
      <c r="E9231" t="s">
        <v>25154</v>
      </c>
      <c r="F9231" t="s">
        <v>29372</v>
      </c>
      <c r="G9231" t="s">
        <v>29380</v>
      </c>
      <c r="H9231" t="s">
        <v>11048</v>
      </c>
      <c r="I9231" t="s">
        <v>29393</v>
      </c>
      <c r="J9231" t="s">
        <v>35442</v>
      </c>
      <c r="K9231" t="s">
        <v>38490</v>
      </c>
      <c r="M9231" t="s">
        <v>41755</v>
      </c>
      <c r="N9231" t="s">
        <v>42669</v>
      </c>
      <c r="O9231" t="s">
        <v>42670</v>
      </c>
      <c r="P9231">
        <v>0</v>
      </c>
      <c r="Q9231">
        <v>0</v>
      </c>
      <c r="R9231" t="s">
        <v>42682</v>
      </c>
      <c r="S9231" t="s">
        <v>42984</v>
      </c>
      <c r="T9231" t="s">
        <v>44480</v>
      </c>
      <c r="U9231" t="s">
        <v>52371</v>
      </c>
      <c r="V9231" t="s">
        <v>57380</v>
      </c>
      <c r="W9231" t="s">
        <v>41755</v>
      </c>
      <c r="X9231" t="s">
        <v>42689</v>
      </c>
    </row>
    <row r="9232" spans="1:24">
      <c r="A9232">
        <f>HYPERLINK("https://www.philgeps.gov.ph/GEPSNONPILOT/Tender/SplashBidNoticeAbstractUI.aspx?menuIndex=3&amp;refID=7168299&amp;Result=3","7168299")</f>
        <v>0</v>
      </c>
      <c r="B9232" t="s">
        <v>2777</v>
      </c>
      <c r="C9232" t="s">
        <v>12342</v>
      </c>
      <c r="D9232" t="s">
        <v>17151</v>
      </c>
      <c r="E9232" t="s">
        <v>25155</v>
      </c>
      <c r="F9232" t="s">
        <v>29372</v>
      </c>
      <c r="G9232" t="s">
        <v>29380</v>
      </c>
      <c r="H9232" t="s">
        <v>11048</v>
      </c>
      <c r="I9232" t="s">
        <v>29395</v>
      </c>
      <c r="J9232" t="s">
        <v>35443</v>
      </c>
      <c r="K9232" t="s">
        <v>38488</v>
      </c>
      <c r="M9232" t="s">
        <v>41762</v>
      </c>
      <c r="N9232" t="s">
        <v>42669</v>
      </c>
      <c r="O9232" t="s">
        <v>42670</v>
      </c>
      <c r="P9232">
        <v>0</v>
      </c>
      <c r="Q9232">
        <v>1</v>
      </c>
      <c r="R9232" t="s">
        <v>42682</v>
      </c>
      <c r="S9232" t="s">
        <v>42984</v>
      </c>
      <c r="T9232" t="s">
        <v>44397</v>
      </c>
      <c r="U9232" t="s">
        <v>52372</v>
      </c>
      <c r="V9232" t="s">
        <v>57388</v>
      </c>
      <c r="W9232" t="s">
        <v>41762</v>
      </c>
      <c r="X9232" t="s">
        <v>42685</v>
      </c>
    </row>
    <row r="9233" spans="1:24">
      <c r="A9233">
        <f>HYPERLINK("https://www.philgeps.gov.ph/GEPSNONPILOT/Tender/SplashBidNoticeAbstractUI.aspx?menuIndex=3&amp;refID=7168240&amp;Result=3","7168240")</f>
        <v>0</v>
      </c>
      <c r="B9233" t="s">
        <v>2777</v>
      </c>
      <c r="C9233" t="s">
        <v>12343</v>
      </c>
      <c r="D9233" t="s">
        <v>17151</v>
      </c>
      <c r="E9233" t="s">
        <v>25156</v>
      </c>
      <c r="F9233" t="s">
        <v>29372</v>
      </c>
      <c r="G9233" t="s">
        <v>29381</v>
      </c>
      <c r="H9233" t="s">
        <v>11048</v>
      </c>
      <c r="I9233" t="s">
        <v>29446</v>
      </c>
      <c r="J9233" t="s">
        <v>30764</v>
      </c>
      <c r="K9233" t="s">
        <v>38488</v>
      </c>
      <c r="M9233" t="s">
        <v>41762</v>
      </c>
      <c r="N9233" t="s">
        <v>42669</v>
      </c>
      <c r="O9233" t="s">
        <v>42670</v>
      </c>
      <c r="P9233">
        <v>0</v>
      </c>
      <c r="Q9233">
        <v>1</v>
      </c>
      <c r="R9233" t="s">
        <v>42682</v>
      </c>
      <c r="S9233" t="s">
        <v>42984</v>
      </c>
      <c r="T9233" t="s">
        <v>44397</v>
      </c>
      <c r="U9233" t="s">
        <v>52373</v>
      </c>
      <c r="V9233" t="s">
        <v>57388</v>
      </c>
      <c r="W9233" t="s">
        <v>41762</v>
      </c>
      <c r="X9233" t="s">
        <v>42685</v>
      </c>
    </row>
    <row r="9234" spans="1:24">
      <c r="A9234">
        <f>HYPERLINK("https://www.philgeps.gov.ph/GEPSNONPILOT/Tender/SplashBidNoticeAbstractUI.aspx?menuIndex=3&amp;refID=7169706&amp;Result=3","7169706")</f>
        <v>0</v>
      </c>
      <c r="B9234" t="s">
        <v>2777</v>
      </c>
      <c r="C9234" t="s">
        <v>12344</v>
      </c>
      <c r="D9234" t="s">
        <v>17151</v>
      </c>
      <c r="E9234" t="s">
        <v>25157</v>
      </c>
      <c r="F9234" t="s">
        <v>29372</v>
      </c>
      <c r="G9234" t="s">
        <v>29380</v>
      </c>
      <c r="H9234" t="s">
        <v>11048</v>
      </c>
      <c r="I9234" t="s">
        <v>29452</v>
      </c>
      <c r="J9234" t="s">
        <v>35444</v>
      </c>
      <c r="K9234" t="s">
        <v>38488</v>
      </c>
      <c r="M9234" t="s">
        <v>41762</v>
      </c>
      <c r="N9234" t="s">
        <v>42669</v>
      </c>
      <c r="O9234" t="s">
        <v>42670</v>
      </c>
      <c r="P9234">
        <v>0</v>
      </c>
      <c r="Q9234">
        <v>2</v>
      </c>
      <c r="R9234" t="s">
        <v>42682</v>
      </c>
      <c r="S9234" t="s">
        <v>42984</v>
      </c>
      <c r="T9234" t="s">
        <v>44397</v>
      </c>
      <c r="U9234" t="s">
        <v>52374</v>
      </c>
      <c r="V9234" t="s">
        <v>57388</v>
      </c>
      <c r="W9234" t="s">
        <v>41762</v>
      </c>
      <c r="X9234" t="s">
        <v>42685</v>
      </c>
    </row>
    <row r="9235" spans="1:24">
      <c r="A9235">
        <f>HYPERLINK("https://www.philgeps.gov.ph/GEPSNONPILOT/Tender/SplashBidNoticeAbstractUI.aspx?menuIndex=3&amp;refID=7170627&amp;Result=3","7170627")</f>
        <v>0</v>
      </c>
      <c r="B9235" t="s">
        <v>1014</v>
      </c>
      <c r="C9235" t="s">
        <v>12345</v>
      </c>
      <c r="E9235" t="s">
        <v>12345</v>
      </c>
      <c r="F9235" t="s">
        <v>29372</v>
      </c>
      <c r="G9235" t="s">
        <v>29379</v>
      </c>
      <c r="H9235" t="s">
        <v>11048</v>
      </c>
      <c r="I9235" t="s">
        <v>29407</v>
      </c>
      <c r="J9235" t="s">
        <v>30304</v>
      </c>
      <c r="K9235" t="s">
        <v>38491</v>
      </c>
      <c r="M9235" t="s">
        <v>39814</v>
      </c>
      <c r="N9235" t="s">
        <v>42669</v>
      </c>
      <c r="O9235" t="s">
        <v>42670</v>
      </c>
      <c r="Q9235">
        <v>1</v>
      </c>
      <c r="R9235" t="s">
        <v>42682</v>
      </c>
      <c r="S9235" t="s">
        <v>42987</v>
      </c>
      <c r="T9235" t="s">
        <v>44432</v>
      </c>
      <c r="U9235" t="s">
        <v>48576</v>
      </c>
      <c r="W9235" t="s">
        <v>39814</v>
      </c>
      <c r="X9235" t="s">
        <v>42685</v>
      </c>
    </row>
    <row r="9236" spans="1:24">
      <c r="A9236">
        <f>HYPERLINK("https://www.philgeps.gov.ph/GEPSNONPILOT/Tender/SplashBidNoticeAbstractUI.aspx?menuIndex=3&amp;refID=7168181&amp;Result=3","7168181")</f>
        <v>0</v>
      </c>
      <c r="B9236" t="s">
        <v>2770</v>
      </c>
      <c r="C9236" t="s">
        <v>12346</v>
      </c>
      <c r="E9236" t="s">
        <v>25158</v>
      </c>
      <c r="F9236" t="s">
        <v>29372</v>
      </c>
      <c r="G9236" t="s">
        <v>29383</v>
      </c>
      <c r="H9236" t="s">
        <v>11048</v>
      </c>
      <c r="I9236" t="s">
        <v>5383</v>
      </c>
      <c r="J9236" t="s">
        <v>35445</v>
      </c>
      <c r="K9236" t="s">
        <v>38490</v>
      </c>
      <c r="M9236" t="s">
        <v>41755</v>
      </c>
      <c r="N9236" t="s">
        <v>42669</v>
      </c>
      <c r="O9236" t="s">
        <v>42670</v>
      </c>
      <c r="P9236">
        <v>0</v>
      </c>
      <c r="Q9236">
        <v>0</v>
      </c>
      <c r="R9236" t="s">
        <v>42682</v>
      </c>
      <c r="S9236" t="s">
        <v>42984</v>
      </c>
      <c r="T9236" t="s">
        <v>44480</v>
      </c>
      <c r="U9236" t="s">
        <v>52375</v>
      </c>
      <c r="V9236" t="s">
        <v>57380</v>
      </c>
      <c r="W9236" t="s">
        <v>41755</v>
      </c>
      <c r="X9236" t="s">
        <v>42685</v>
      </c>
    </row>
    <row r="9237" spans="1:24">
      <c r="A9237">
        <f>HYPERLINK("https://www.philgeps.gov.ph/GEPSNONPILOT/Tender/SplashBidNoticeAbstractUI.aspx?menuIndex=3&amp;refID=7167586&amp;Result=3","7167586")</f>
        <v>0</v>
      </c>
      <c r="B9237" t="s">
        <v>1807</v>
      </c>
      <c r="C9237" t="s">
        <v>12347</v>
      </c>
      <c r="D9237" t="s">
        <v>17192</v>
      </c>
      <c r="E9237" t="s">
        <v>25159</v>
      </c>
      <c r="F9237" t="s">
        <v>29372</v>
      </c>
      <c r="G9237" t="s">
        <v>29380</v>
      </c>
      <c r="H9237" t="s">
        <v>11048</v>
      </c>
      <c r="I9237" t="s">
        <v>3670</v>
      </c>
      <c r="J9237" t="s">
        <v>29824</v>
      </c>
      <c r="K9237" t="s">
        <v>38490</v>
      </c>
      <c r="M9237" t="s">
        <v>40678</v>
      </c>
      <c r="N9237" t="s">
        <v>42669</v>
      </c>
      <c r="O9237" t="s">
        <v>42670</v>
      </c>
      <c r="P9237">
        <v>0</v>
      </c>
      <c r="Q9237">
        <v>2</v>
      </c>
      <c r="R9237" t="s">
        <v>42682</v>
      </c>
      <c r="S9237" t="s">
        <v>42984</v>
      </c>
      <c r="T9237" t="s">
        <v>44472</v>
      </c>
      <c r="U9237" t="s">
        <v>52376</v>
      </c>
      <c r="W9237" t="s">
        <v>40678</v>
      </c>
      <c r="X9237" t="s">
        <v>42686</v>
      </c>
    </row>
    <row r="9238" spans="1:24">
      <c r="A9238">
        <f>HYPERLINK("https://www.philgeps.gov.ph/GEPSNONPILOT/Tender/SplashBidNoticeAbstractUI.aspx?menuIndex=3&amp;refID=7168110&amp;Result=3","7168110")</f>
        <v>0</v>
      </c>
      <c r="B9238" t="s">
        <v>2778</v>
      </c>
      <c r="C9238" t="s">
        <v>12348</v>
      </c>
      <c r="D9238" t="s">
        <v>17199</v>
      </c>
      <c r="E9238" t="s">
        <v>18964</v>
      </c>
      <c r="F9238" t="s">
        <v>29372</v>
      </c>
      <c r="G9238" t="s">
        <v>29380</v>
      </c>
      <c r="H9238" t="s">
        <v>29389</v>
      </c>
      <c r="I9238" t="s">
        <v>10408</v>
      </c>
      <c r="J9238" t="s">
        <v>29573</v>
      </c>
      <c r="K9238" t="s">
        <v>38522</v>
      </c>
      <c r="M9238" t="s">
        <v>41763</v>
      </c>
      <c r="N9238" t="s">
        <v>42669</v>
      </c>
      <c r="O9238" t="s">
        <v>42670</v>
      </c>
      <c r="P9238">
        <v>0</v>
      </c>
      <c r="Q9238">
        <v>1</v>
      </c>
      <c r="R9238" t="s">
        <v>42682</v>
      </c>
      <c r="S9238" t="s">
        <v>42984</v>
      </c>
      <c r="T9238" t="s">
        <v>44474</v>
      </c>
      <c r="U9238" t="s">
        <v>52377</v>
      </c>
      <c r="W9238" t="s">
        <v>41763</v>
      </c>
      <c r="X9238" t="s">
        <v>42685</v>
      </c>
    </row>
    <row r="9239" spans="1:24">
      <c r="A9239">
        <f>HYPERLINK("https://www.philgeps.gov.ph/GEPSNONPILOT/Tender/SplashBidNoticeAbstractUI.aspx?menuIndex=3&amp;refID=7170319&amp;Result=3","7170319")</f>
        <v>0</v>
      </c>
      <c r="B9239" t="s">
        <v>1014</v>
      </c>
      <c r="C9239" t="s">
        <v>12349</v>
      </c>
      <c r="E9239" t="s">
        <v>12349</v>
      </c>
      <c r="F9239" t="s">
        <v>29372</v>
      </c>
      <c r="G9239" t="s">
        <v>29379</v>
      </c>
      <c r="H9239" t="s">
        <v>11048</v>
      </c>
      <c r="I9239" t="s">
        <v>3695</v>
      </c>
      <c r="J9239" t="s">
        <v>35446</v>
      </c>
      <c r="K9239" t="s">
        <v>38491</v>
      </c>
      <c r="M9239" t="s">
        <v>39814</v>
      </c>
      <c r="N9239" t="s">
        <v>42669</v>
      </c>
      <c r="O9239" t="s">
        <v>42670</v>
      </c>
      <c r="Q9239">
        <v>0</v>
      </c>
      <c r="R9239" t="s">
        <v>42682</v>
      </c>
      <c r="S9239" t="s">
        <v>42988</v>
      </c>
      <c r="T9239" t="s">
        <v>44432</v>
      </c>
      <c r="U9239" t="s">
        <v>47173</v>
      </c>
      <c r="W9239" t="s">
        <v>39814</v>
      </c>
      <c r="X9239" t="s">
        <v>42685</v>
      </c>
    </row>
    <row r="9240" spans="1:24">
      <c r="A9240">
        <f>HYPERLINK("https://www.philgeps.gov.ph/GEPSNONPILOT/Tender/SplashBidNoticeAbstractUI.aspx?menuIndex=3&amp;refID=7167771&amp;Result=3","7167771")</f>
        <v>0</v>
      </c>
      <c r="B9240" t="s">
        <v>2747</v>
      </c>
      <c r="C9240" t="s">
        <v>12350</v>
      </c>
      <c r="D9240" t="s">
        <v>17197</v>
      </c>
      <c r="E9240" t="s">
        <v>25160</v>
      </c>
      <c r="F9240" t="s">
        <v>29372</v>
      </c>
      <c r="G9240" t="s">
        <v>29380</v>
      </c>
      <c r="H9240" t="s">
        <v>29389</v>
      </c>
      <c r="I9240" t="s">
        <v>10408</v>
      </c>
      <c r="J9240" t="s">
        <v>31086</v>
      </c>
      <c r="K9240" t="s">
        <v>38496</v>
      </c>
      <c r="M9240" t="s">
        <v>41730</v>
      </c>
      <c r="N9240" t="s">
        <v>42669</v>
      </c>
      <c r="O9240" t="s">
        <v>42670</v>
      </c>
      <c r="P9240">
        <v>0</v>
      </c>
      <c r="Q9240">
        <v>1</v>
      </c>
      <c r="R9240" t="s">
        <v>42682</v>
      </c>
      <c r="S9240" t="s">
        <v>42984</v>
      </c>
      <c r="T9240" t="s">
        <v>44568</v>
      </c>
      <c r="U9240" t="s">
        <v>52378</v>
      </c>
      <c r="W9240" t="s">
        <v>58095</v>
      </c>
      <c r="X9240" t="s">
        <v>42686</v>
      </c>
    </row>
    <row r="9241" spans="1:24">
      <c r="A9241">
        <f>HYPERLINK("https://www.philgeps.gov.ph/GEPSNONPILOT/Tender/SplashBidNoticeAbstractUI.aspx?menuIndex=3&amp;refID=7166910&amp;Result=3","7166910")</f>
        <v>0</v>
      </c>
      <c r="B9241" t="s">
        <v>2770</v>
      </c>
      <c r="C9241" t="s">
        <v>12351</v>
      </c>
      <c r="E9241" t="s">
        <v>25161</v>
      </c>
      <c r="F9241" t="s">
        <v>29372</v>
      </c>
      <c r="G9241" t="s">
        <v>29383</v>
      </c>
      <c r="H9241" t="s">
        <v>11048</v>
      </c>
      <c r="I9241" t="s">
        <v>29395</v>
      </c>
      <c r="J9241" t="s">
        <v>35447</v>
      </c>
      <c r="K9241" t="s">
        <v>38490</v>
      </c>
      <c r="M9241" t="s">
        <v>41755</v>
      </c>
      <c r="N9241" t="s">
        <v>42669</v>
      </c>
      <c r="O9241" t="s">
        <v>42670</v>
      </c>
      <c r="P9241">
        <v>0</v>
      </c>
      <c r="Q9241">
        <v>0</v>
      </c>
      <c r="R9241" t="s">
        <v>42682</v>
      </c>
      <c r="S9241" t="s">
        <v>42984</v>
      </c>
      <c r="T9241" t="s">
        <v>44480</v>
      </c>
      <c r="U9241" t="s">
        <v>52379</v>
      </c>
      <c r="V9241" t="s">
        <v>57380</v>
      </c>
      <c r="W9241" t="s">
        <v>41755</v>
      </c>
      <c r="X9241" t="s">
        <v>42686</v>
      </c>
    </row>
    <row r="9242" spans="1:24">
      <c r="A9242">
        <f>HYPERLINK("https://www.philgeps.gov.ph/GEPSNONPILOT/Tender/SplashBidNoticeAbstractUI.aspx?menuIndex=3&amp;refID=7166885&amp;Result=3","7166885")</f>
        <v>0</v>
      </c>
      <c r="B9242" t="s">
        <v>2770</v>
      </c>
      <c r="C9242" t="s">
        <v>12352</v>
      </c>
      <c r="E9242" t="s">
        <v>25162</v>
      </c>
      <c r="F9242" t="s">
        <v>29372</v>
      </c>
      <c r="G9242" t="s">
        <v>29383</v>
      </c>
      <c r="H9242" t="s">
        <v>11048</v>
      </c>
      <c r="I9242" t="s">
        <v>4487</v>
      </c>
      <c r="J9242" t="s">
        <v>35448</v>
      </c>
      <c r="K9242" t="s">
        <v>38490</v>
      </c>
      <c r="M9242" t="s">
        <v>41755</v>
      </c>
      <c r="N9242" t="s">
        <v>42669</v>
      </c>
      <c r="O9242" t="s">
        <v>42670</v>
      </c>
      <c r="P9242">
        <v>0</v>
      </c>
      <c r="Q9242">
        <v>0</v>
      </c>
      <c r="R9242" t="s">
        <v>42682</v>
      </c>
      <c r="S9242" t="s">
        <v>42984</v>
      </c>
      <c r="T9242" t="s">
        <v>44480</v>
      </c>
      <c r="U9242" t="s">
        <v>52380</v>
      </c>
      <c r="V9242" t="s">
        <v>57380</v>
      </c>
      <c r="W9242" t="s">
        <v>41755</v>
      </c>
      <c r="X9242" t="s">
        <v>42686</v>
      </c>
    </row>
    <row r="9243" spans="1:24">
      <c r="A9243">
        <f>HYPERLINK("https://www.philgeps.gov.ph/GEPSNONPILOT/Tender/SplashBidNoticeAbstractUI.aspx?menuIndex=3&amp;refID=7163666&amp;Result=3","7163666")</f>
        <v>0</v>
      </c>
      <c r="B9243" t="s">
        <v>2770</v>
      </c>
      <c r="C9243" t="s">
        <v>12353</v>
      </c>
      <c r="E9243" t="s">
        <v>25163</v>
      </c>
      <c r="F9243" t="s">
        <v>29372</v>
      </c>
      <c r="G9243" t="s">
        <v>29383</v>
      </c>
      <c r="H9243" t="s">
        <v>11048</v>
      </c>
      <c r="I9243" t="s">
        <v>3629</v>
      </c>
      <c r="J9243" t="s">
        <v>30683</v>
      </c>
      <c r="K9243" t="s">
        <v>38490</v>
      </c>
      <c r="M9243" t="s">
        <v>41755</v>
      </c>
      <c r="N9243" t="s">
        <v>42669</v>
      </c>
      <c r="O9243" t="s">
        <v>42670</v>
      </c>
      <c r="P9243">
        <v>0</v>
      </c>
      <c r="Q9243">
        <v>0</v>
      </c>
      <c r="R9243" t="s">
        <v>42682</v>
      </c>
      <c r="S9243" t="s">
        <v>42984</v>
      </c>
      <c r="T9243" t="s">
        <v>44480</v>
      </c>
      <c r="U9243" t="s">
        <v>52381</v>
      </c>
      <c r="V9243" t="s">
        <v>57380</v>
      </c>
      <c r="W9243" t="s">
        <v>41755</v>
      </c>
      <c r="X9243" t="s">
        <v>42689</v>
      </c>
    </row>
    <row r="9244" spans="1:24">
      <c r="A9244">
        <f>HYPERLINK("https://www.philgeps.gov.ph/GEPSNONPILOT/Tender/SplashBidNoticeAbstractUI.aspx?menuIndex=3&amp;refID=7168250&amp;Result=3","7168250")</f>
        <v>0</v>
      </c>
      <c r="B9244" t="s">
        <v>727</v>
      </c>
      <c r="C9244" t="s">
        <v>12354</v>
      </c>
      <c r="D9244" t="s">
        <v>17172</v>
      </c>
      <c r="E9244" t="s">
        <v>25164</v>
      </c>
      <c r="F9244" t="s">
        <v>29372</v>
      </c>
      <c r="G9244" t="s">
        <v>29380</v>
      </c>
      <c r="H9244" t="s">
        <v>29389</v>
      </c>
      <c r="I9244" t="s">
        <v>4709</v>
      </c>
      <c r="J9244" t="s">
        <v>31839</v>
      </c>
      <c r="K9244" t="s">
        <v>38564</v>
      </c>
      <c r="M9244" t="s">
        <v>39507</v>
      </c>
      <c r="N9244" t="s">
        <v>42669</v>
      </c>
      <c r="O9244" t="s">
        <v>42670</v>
      </c>
      <c r="P9244">
        <v>0</v>
      </c>
      <c r="Q9244">
        <v>4</v>
      </c>
      <c r="R9244" t="s">
        <v>42682</v>
      </c>
      <c r="S9244" t="s">
        <v>42984</v>
      </c>
      <c r="T9244" t="s">
        <v>44382</v>
      </c>
      <c r="U9244" t="s">
        <v>52382</v>
      </c>
      <c r="W9244" t="s">
        <v>39507</v>
      </c>
      <c r="X9244" t="s">
        <v>42685</v>
      </c>
    </row>
    <row r="9245" spans="1:24">
      <c r="A9245">
        <f>HYPERLINK("https://www.philgeps.gov.ph/GEPSNONPILOT/Tender/SplashBidNoticeAbstractUI.aspx?menuIndex=3&amp;refID=7163318&amp;Result=3","7163318")</f>
        <v>0</v>
      </c>
      <c r="B9245" t="s">
        <v>2002</v>
      </c>
      <c r="C9245" t="s">
        <v>12355</v>
      </c>
      <c r="D9245" t="s">
        <v>17153</v>
      </c>
      <c r="E9245" t="s">
        <v>25165</v>
      </c>
      <c r="F9245" t="s">
        <v>29372</v>
      </c>
      <c r="G9245" t="s">
        <v>29380</v>
      </c>
      <c r="H9245" t="s">
        <v>29389</v>
      </c>
      <c r="I9245" t="s">
        <v>10408</v>
      </c>
      <c r="J9245" t="s">
        <v>29587</v>
      </c>
      <c r="K9245" t="s">
        <v>38535</v>
      </c>
      <c r="M9245" t="s">
        <v>40892</v>
      </c>
      <c r="N9245" t="s">
        <v>42669</v>
      </c>
      <c r="O9245" t="s">
        <v>42670</v>
      </c>
      <c r="P9245">
        <v>0</v>
      </c>
      <c r="Q9245">
        <v>0</v>
      </c>
      <c r="R9245" t="s">
        <v>42682</v>
      </c>
      <c r="S9245" t="s">
        <v>42984</v>
      </c>
      <c r="T9245" t="s">
        <v>44412</v>
      </c>
      <c r="U9245" t="s">
        <v>52383</v>
      </c>
      <c r="W9245" t="s">
        <v>40892</v>
      </c>
      <c r="X9245" t="s">
        <v>42689</v>
      </c>
    </row>
    <row r="9246" spans="1:24">
      <c r="A9246">
        <f>HYPERLINK("https://www.philgeps.gov.ph/GEPSNONPILOT/Tender/SplashBidNoticeAbstractUI.aspx?menuIndex=3&amp;refID=7163214&amp;Result=3","7163214")</f>
        <v>0</v>
      </c>
      <c r="B9246" t="s">
        <v>2770</v>
      </c>
      <c r="C9246" t="s">
        <v>12356</v>
      </c>
      <c r="E9246" t="s">
        <v>25166</v>
      </c>
      <c r="F9246" t="s">
        <v>29372</v>
      </c>
      <c r="G9246" t="s">
        <v>29383</v>
      </c>
      <c r="H9246" t="s">
        <v>11048</v>
      </c>
      <c r="I9246" t="s">
        <v>29407</v>
      </c>
      <c r="J9246" t="s">
        <v>35449</v>
      </c>
      <c r="K9246" t="s">
        <v>38490</v>
      </c>
      <c r="M9246" t="s">
        <v>41755</v>
      </c>
      <c r="N9246" t="s">
        <v>42669</v>
      </c>
      <c r="O9246" t="s">
        <v>42670</v>
      </c>
      <c r="P9246">
        <v>0</v>
      </c>
      <c r="Q9246">
        <v>2</v>
      </c>
      <c r="R9246" t="s">
        <v>42682</v>
      </c>
      <c r="S9246" t="s">
        <v>42984</v>
      </c>
      <c r="T9246" t="s">
        <v>44480</v>
      </c>
      <c r="U9246" t="s">
        <v>52384</v>
      </c>
      <c r="V9246" t="s">
        <v>57380</v>
      </c>
      <c r="W9246" t="s">
        <v>41755</v>
      </c>
      <c r="X9246" t="s">
        <v>42689</v>
      </c>
    </row>
    <row r="9247" spans="1:24">
      <c r="A9247">
        <f>HYPERLINK("https://www.philgeps.gov.ph/GEPSNONPILOT/Tender/SplashBidNoticeAbstractUI.aspx?menuIndex=3&amp;refID=7163053&amp;Result=3","7163053")</f>
        <v>0</v>
      </c>
      <c r="B9247" t="s">
        <v>2770</v>
      </c>
      <c r="C9247" t="s">
        <v>12357</v>
      </c>
      <c r="E9247" t="s">
        <v>25167</v>
      </c>
      <c r="F9247" t="s">
        <v>29372</v>
      </c>
      <c r="G9247" t="s">
        <v>29383</v>
      </c>
      <c r="H9247" t="s">
        <v>11048</v>
      </c>
      <c r="I9247" t="s">
        <v>29415</v>
      </c>
      <c r="J9247" t="s">
        <v>29600</v>
      </c>
      <c r="K9247" t="s">
        <v>38490</v>
      </c>
      <c r="M9247" t="s">
        <v>41755</v>
      </c>
      <c r="N9247" t="s">
        <v>42669</v>
      </c>
      <c r="O9247" t="s">
        <v>42670</v>
      </c>
      <c r="P9247">
        <v>0</v>
      </c>
      <c r="Q9247">
        <v>0</v>
      </c>
      <c r="R9247" t="s">
        <v>42682</v>
      </c>
      <c r="S9247" t="s">
        <v>42984</v>
      </c>
      <c r="T9247" t="s">
        <v>44480</v>
      </c>
      <c r="U9247" t="s">
        <v>52385</v>
      </c>
      <c r="V9247" t="s">
        <v>57380</v>
      </c>
      <c r="W9247" t="s">
        <v>41755</v>
      </c>
      <c r="X9247" t="s">
        <v>42689</v>
      </c>
    </row>
    <row r="9248" spans="1:24">
      <c r="A9248">
        <f>HYPERLINK("https://www.philgeps.gov.ph/GEPSNONPILOT/Tender/SplashBidNoticeAbstractUI.aspx?menuIndex=3&amp;refID=7163707&amp;Result=3","7163707")</f>
        <v>0</v>
      </c>
      <c r="B9248" t="s">
        <v>2770</v>
      </c>
      <c r="C9248" t="s">
        <v>12358</v>
      </c>
      <c r="E9248" t="s">
        <v>25168</v>
      </c>
      <c r="F9248" t="s">
        <v>29372</v>
      </c>
      <c r="G9248" t="s">
        <v>29383</v>
      </c>
      <c r="H9248" t="s">
        <v>11048</v>
      </c>
      <c r="I9248" t="s">
        <v>29401</v>
      </c>
      <c r="J9248" t="s">
        <v>29892</v>
      </c>
      <c r="K9248" t="s">
        <v>38490</v>
      </c>
      <c r="M9248" t="s">
        <v>41755</v>
      </c>
      <c r="N9248" t="s">
        <v>42669</v>
      </c>
      <c r="O9248" t="s">
        <v>42670</v>
      </c>
      <c r="P9248">
        <v>0</v>
      </c>
      <c r="Q9248">
        <v>1</v>
      </c>
      <c r="R9248" t="s">
        <v>42682</v>
      </c>
      <c r="S9248" t="s">
        <v>42984</v>
      </c>
      <c r="T9248" t="s">
        <v>44480</v>
      </c>
      <c r="U9248" t="s">
        <v>52386</v>
      </c>
      <c r="V9248" t="s">
        <v>57380</v>
      </c>
      <c r="W9248" t="s">
        <v>41755</v>
      </c>
      <c r="X9248" t="s">
        <v>42689</v>
      </c>
    </row>
    <row r="9249" spans="1:24">
      <c r="A9249">
        <f>HYPERLINK("https://www.philgeps.gov.ph/GEPSNONPILOT/Tender/SplashBidNoticeAbstractUI.aspx?menuIndex=3&amp;refID=7154537&amp;Result=3","7154537")</f>
        <v>0</v>
      </c>
      <c r="B9249" t="s">
        <v>2770</v>
      </c>
      <c r="C9249" t="s">
        <v>12359</v>
      </c>
      <c r="E9249" t="s">
        <v>25169</v>
      </c>
      <c r="F9249" t="s">
        <v>29372</v>
      </c>
      <c r="G9249" t="s">
        <v>29383</v>
      </c>
      <c r="H9249" t="s">
        <v>11048</v>
      </c>
      <c r="I9249" t="s">
        <v>4487</v>
      </c>
      <c r="J9249" t="s">
        <v>35450</v>
      </c>
      <c r="K9249" t="s">
        <v>38490</v>
      </c>
      <c r="M9249" t="s">
        <v>41755</v>
      </c>
      <c r="N9249" t="s">
        <v>42669</v>
      </c>
      <c r="O9249" t="s">
        <v>42670</v>
      </c>
      <c r="P9249">
        <v>0</v>
      </c>
      <c r="Q9249">
        <v>0</v>
      </c>
      <c r="R9249" t="s">
        <v>42682</v>
      </c>
      <c r="S9249" t="s">
        <v>42984</v>
      </c>
      <c r="T9249" t="s">
        <v>44480</v>
      </c>
      <c r="U9249" t="s">
        <v>52387</v>
      </c>
      <c r="V9249" t="s">
        <v>57380</v>
      </c>
      <c r="W9249" t="s">
        <v>41755</v>
      </c>
      <c r="X9249" t="s">
        <v>42692</v>
      </c>
    </row>
    <row r="9250" spans="1:24">
      <c r="A9250">
        <f>HYPERLINK("https://www.philgeps.gov.ph/GEPSNONPILOT/Tender/SplashBidNoticeAbstractUI.aspx?menuIndex=3&amp;refID=7154301&amp;Result=3","7154301")</f>
        <v>0</v>
      </c>
      <c r="B9250" t="s">
        <v>2770</v>
      </c>
      <c r="C9250" t="s">
        <v>12360</v>
      </c>
      <c r="E9250" t="s">
        <v>25170</v>
      </c>
      <c r="F9250" t="s">
        <v>29372</v>
      </c>
      <c r="G9250" t="s">
        <v>29383</v>
      </c>
      <c r="H9250" t="s">
        <v>11048</v>
      </c>
      <c r="I9250" t="s">
        <v>4487</v>
      </c>
      <c r="J9250" t="s">
        <v>35451</v>
      </c>
      <c r="K9250" t="s">
        <v>38490</v>
      </c>
      <c r="M9250" t="s">
        <v>41755</v>
      </c>
      <c r="N9250" t="s">
        <v>42669</v>
      </c>
      <c r="O9250" t="s">
        <v>42670</v>
      </c>
      <c r="P9250">
        <v>0</v>
      </c>
      <c r="Q9250">
        <v>1</v>
      </c>
      <c r="R9250" t="s">
        <v>42682</v>
      </c>
      <c r="S9250" t="s">
        <v>42984</v>
      </c>
      <c r="T9250" t="s">
        <v>44480</v>
      </c>
      <c r="U9250" t="s">
        <v>52388</v>
      </c>
      <c r="V9250" t="s">
        <v>57380</v>
      </c>
      <c r="W9250" t="s">
        <v>41755</v>
      </c>
      <c r="X9250" t="s">
        <v>42692</v>
      </c>
    </row>
    <row r="9251" spans="1:24">
      <c r="A9251">
        <f>HYPERLINK("https://www.philgeps.gov.ph/GEPSNONPILOT/Tender/SplashBidNoticeAbstractUI.aspx?menuIndex=3&amp;refID=7167575&amp;Result=3","7167575")</f>
        <v>0</v>
      </c>
      <c r="B9251" t="s">
        <v>1807</v>
      </c>
      <c r="C9251" t="s">
        <v>12361</v>
      </c>
      <c r="D9251" t="s">
        <v>17192</v>
      </c>
      <c r="E9251" t="s">
        <v>25171</v>
      </c>
      <c r="F9251" t="s">
        <v>29372</v>
      </c>
      <c r="G9251" t="s">
        <v>29380</v>
      </c>
      <c r="H9251" t="s">
        <v>11048</v>
      </c>
      <c r="I9251" t="s">
        <v>5383</v>
      </c>
      <c r="J9251" t="s">
        <v>35452</v>
      </c>
      <c r="K9251" t="s">
        <v>38490</v>
      </c>
      <c r="M9251" t="s">
        <v>40678</v>
      </c>
      <c r="N9251" t="s">
        <v>42669</v>
      </c>
      <c r="O9251" t="s">
        <v>42670</v>
      </c>
      <c r="P9251">
        <v>0</v>
      </c>
      <c r="Q9251">
        <v>5</v>
      </c>
      <c r="R9251" t="s">
        <v>42682</v>
      </c>
      <c r="S9251" t="s">
        <v>42984</v>
      </c>
      <c r="T9251" t="s">
        <v>44472</v>
      </c>
      <c r="U9251" t="s">
        <v>52389</v>
      </c>
      <c r="W9251" t="s">
        <v>40678</v>
      </c>
      <c r="X9251" t="s">
        <v>42686</v>
      </c>
    </row>
    <row r="9252" spans="1:24">
      <c r="A9252">
        <f>HYPERLINK("https://www.philgeps.gov.ph/GEPSNONPILOT/Tender/SplashBidNoticeAbstractUI.aspx?menuIndex=3&amp;refID=7154229&amp;Result=3","7154229")</f>
        <v>0</v>
      </c>
      <c r="B9252" t="s">
        <v>2770</v>
      </c>
      <c r="C9252" t="s">
        <v>12362</v>
      </c>
      <c r="E9252" t="s">
        <v>25172</v>
      </c>
      <c r="F9252" t="s">
        <v>29372</v>
      </c>
      <c r="G9252" t="s">
        <v>29383</v>
      </c>
      <c r="H9252" t="s">
        <v>11048</v>
      </c>
      <c r="I9252" t="s">
        <v>3839</v>
      </c>
      <c r="J9252" t="s">
        <v>30173</v>
      </c>
      <c r="K9252" t="s">
        <v>38490</v>
      </c>
      <c r="M9252" t="s">
        <v>41755</v>
      </c>
      <c r="N9252" t="s">
        <v>42669</v>
      </c>
      <c r="O9252" t="s">
        <v>42670</v>
      </c>
      <c r="P9252">
        <v>0</v>
      </c>
      <c r="Q9252">
        <v>0</v>
      </c>
      <c r="R9252" t="s">
        <v>42682</v>
      </c>
      <c r="S9252" t="s">
        <v>42984</v>
      </c>
      <c r="T9252" t="s">
        <v>44480</v>
      </c>
      <c r="U9252" t="s">
        <v>52390</v>
      </c>
      <c r="V9252" t="s">
        <v>57380</v>
      </c>
      <c r="W9252" t="s">
        <v>41755</v>
      </c>
      <c r="X9252" t="s">
        <v>42692</v>
      </c>
    </row>
    <row r="9253" spans="1:24">
      <c r="A9253">
        <f>HYPERLINK("https://www.philgeps.gov.ph/GEPSNONPILOT/Tender/SplashBidNoticeAbstractUI.aspx?menuIndex=3&amp;refID=7154151&amp;Result=3","7154151")</f>
        <v>0</v>
      </c>
      <c r="B9253" t="s">
        <v>2770</v>
      </c>
      <c r="C9253" t="s">
        <v>12363</v>
      </c>
      <c r="E9253" t="s">
        <v>25173</v>
      </c>
      <c r="F9253" t="s">
        <v>29372</v>
      </c>
      <c r="G9253" t="s">
        <v>29383</v>
      </c>
      <c r="H9253" t="s">
        <v>11048</v>
      </c>
      <c r="I9253" t="s">
        <v>8208</v>
      </c>
      <c r="J9253" t="s">
        <v>35453</v>
      </c>
      <c r="K9253" t="s">
        <v>38490</v>
      </c>
      <c r="M9253" t="s">
        <v>41755</v>
      </c>
      <c r="N9253" t="s">
        <v>42669</v>
      </c>
      <c r="O9253" t="s">
        <v>42670</v>
      </c>
      <c r="P9253">
        <v>0</v>
      </c>
      <c r="Q9253">
        <v>0</v>
      </c>
      <c r="R9253" t="s">
        <v>42682</v>
      </c>
      <c r="S9253" t="s">
        <v>42984</v>
      </c>
      <c r="T9253" t="s">
        <v>44480</v>
      </c>
      <c r="U9253" t="s">
        <v>52391</v>
      </c>
      <c r="V9253" t="s">
        <v>57380</v>
      </c>
      <c r="W9253" t="s">
        <v>41755</v>
      </c>
      <c r="X9253" t="s">
        <v>42692</v>
      </c>
    </row>
    <row r="9254" spans="1:24">
      <c r="A9254">
        <f>HYPERLINK("https://www.philgeps.gov.ph/GEPSNONPILOT/Tender/SplashBidNoticeAbstractUI.aspx?menuIndex=3&amp;refID=7154590&amp;Result=3","7154590")</f>
        <v>0</v>
      </c>
      <c r="B9254" t="s">
        <v>2770</v>
      </c>
      <c r="C9254" t="s">
        <v>12364</v>
      </c>
      <c r="E9254" t="s">
        <v>25174</v>
      </c>
      <c r="F9254" t="s">
        <v>29372</v>
      </c>
      <c r="G9254" t="s">
        <v>29383</v>
      </c>
      <c r="H9254" t="s">
        <v>11048</v>
      </c>
      <c r="I9254" t="s">
        <v>4487</v>
      </c>
      <c r="J9254" t="s">
        <v>35454</v>
      </c>
      <c r="K9254" t="s">
        <v>38490</v>
      </c>
      <c r="M9254" t="s">
        <v>41755</v>
      </c>
      <c r="N9254" t="s">
        <v>42669</v>
      </c>
      <c r="O9254" t="s">
        <v>42670</v>
      </c>
      <c r="P9254">
        <v>0</v>
      </c>
      <c r="Q9254">
        <v>0</v>
      </c>
      <c r="R9254" t="s">
        <v>42682</v>
      </c>
      <c r="S9254" t="s">
        <v>42984</v>
      </c>
      <c r="T9254" t="s">
        <v>44480</v>
      </c>
      <c r="U9254" t="s">
        <v>52392</v>
      </c>
      <c r="V9254" t="s">
        <v>57380</v>
      </c>
      <c r="W9254" t="s">
        <v>41755</v>
      </c>
      <c r="X9254" t="s">
        <v>42692</v>
      </c>
    </row>
    <row r="9255" spans="1:24">
      <c r="A9255">
        <f>HYPERLINK("https://www.philgeps.gov.ph/GEPSNONPILOT/Tender/SplashBidNoticeAbstractUI.aspx?menuIndex=3&amp;refID=7179695&amp;Result=3","7179695")</f>
        <v>0</v>
      </c>
      <c r="B9255" t="s">
        <v>957</v>
      </c>
      <c r="C9255" t="s">
        <v>12365</v>
      </c>
      <c r="D9255" t="s">
        <v>17143</v>
      </c>
      <c r="E9255" t="s">
        <v>25175</v>
      </c>
      <c r="F9255" t="s">
        <v>29372</v>
      </c>
      <c r="G9255" t="s">
        <v>29380</v>
      </c>
      <c r="H9255" t="s">
        <v>11048</v>
      </c>
      <c r="I9255" t="s">
        <v>29452</v>
      </c>
      <c r="J9255" t="s">
        <v>35365</v>
      </c>
      <c r="K9255" t="s">
        <v>38510</v>
      </c>
      <c r="M9255" t="s">
        <v>39753</v>
      </c>
      <c r="N9255" t="s">
        <v>42669</v>
      </c>
      <c r="O9255" t="s">
        <v>42670</v>
      </c>
      <c r="P9255">
        <v>0</v>
      </c>
      <c r="Q9255">
        <v>0</v>
      </c>
      <c r="R9255" t="s">
        <v>42681</v>
      </c>
      <c r="S9255" t="s">
        <v>42966</v>
      </c>
      <c r="T9255" t="s">
        <v>44488</v>
      </c>
      <c r="U9255" t="s">
        <v>51989</v>
      </c>
      <c r="W9255" t="s">
        <v>39753</v>
      </c>
      <c r="X9255" t="s">
        <v>42682</v>
      </c>
    </row>
    <row r="9256" spans="1:24">
      <c r="A9256">
        <f>HYPERLINK("https://www.philgeps.gov.ph/GEPSNONPILOT/Tender/SplashBidNoticeAbstractUI.aspx?menuIndex=3&amp;refID=7163289&amp;Result=3","7163289")</f>
        <v>0</v>
      </c>
      <c r="B9256" t="s">
        <v>2770</v>
      </c>
      <c r="C9256" t="s">
        <v>12366</v>
      </c>
      <c r="E9256" t="s">
        <v>25176</v>
      </c>
      <c r="F9256" t="s">
        <v>29372</v>
      </c>
      <c r="G9256" t="s">
        <v>29383</v>
      </c>
      <c r="H9256" t="s">
        <v>11048</v>
      </c>
      <c r="I9256" t="s">
        <v>5383</v>
      </c>
      <c r="J9256" t="s">
        <v>35455</v>
      </c>
      <c r="K9256" t="s">
        <v>38490</v>
      </c>
      <c r="M9256" t="s">
        <v>41755</v>
      </c>
      <c r="N9256" t="s">
        <v>42669</v>
      </c>
      <c r="O9256" t="s">
        <v>42670</v>
      </c>
      <c r="P9256">
        <v>0</v>
      </c>
      <c r="Q9256">
        <v>0</v>
      </c>
      <c r="R9256" t="s">
        <v>42682</v>
      </c>
      <c r="S9256" t="s">
        <v>42984</v>
      </c>
      <c r="T9256" t="s">
        <v>44480</v>
      </c>
      <c r="U9256" t="s">
        <v>52393</v>
      </c>
      <c r="V9256" t="s">
        <v>57380</v>
      </c>
      <c r="W9256" t="s">
        <v>41755</v>
      </c>
      <c r="X9256" t="s">
        <v>42689</v>
      </c>
    </row>
    <row r="9257" spans="1:24">
      <c r="A9257">
        <f>HYPERLINK("https://www.philgeps.gov.ph/GEPSNONPILOT/Tender/SplashBidNoticeAbstractUI.aspx?menuIndex=3&amp;refID=7154409&amp;Result=3","7154409")</f>
        <v>0</v>
      </c>
      <c r="B9257" t="s">
        <v>2770</v>
      </c>
      <c r="C9257" t="s">
        <v>12367</v>
      </c>
      <c r="E9257" t="s">
        <v>25177</v>
      </c>
      <c r="F9257" t="s">
        <v>29372</v>
      </c>
      <c r="G9257" t="s">
        <v>29383</v>
      </c>
      <c r="H9257" t="s">
        <v>11048</v>
      </c>
      <c r="I9257" t="s">
        <v>29395</v>
      </c>
      <c r="J9257" t="s">
        <v>35447</v>
      </c>
      <c r="K9257" t="s">
        <v>38490</v>
      </c>
      <c r="M9257" t="s">
        <v>41755</v>
      </c>
      <c r="N9257" t="s">
        <v>42669</v>
      </c>
      <c r="O9257" t="s">
        <v>42670</v>
      </c>
      <c r="P9257">
        <v>0</v>
      </c>
      <c r="Q9257">
        <v>0</v>
      </c>
      <c r="R9257" t="s">
        <v>42682</v>
      </c>
      <c r="S9257" t="s">
        <v>42984</v>
      </c>
      <c r="T9257" t="s">
        <v>44480</v>
      </c>
      <c r="U9257" t="s">
        <v>52394</v>
      </c>
      <c r="V9257" t="s">
        <v>57380</v>
      </c>
      <c r="W9257" t="s">
        <v>41755</v>
      </c>
      <c r="X9257" t="s">
        <v>42692</v>
      </c>
    </row>
    <row r="9258" spans="1:24">
      <c r="A9258">
        <f>HYPERLINK("https://www.philgeps.gov.ph/GEPSNONPILOT/Tender/SplashBidNoticeAbstractUI.aspx?menuIndex=3&amp;refID=7154058&amp;Result=3","7154058")</f>
        <v>0</v>
      </c>
      <c r="B9258" t="s">
        <v>2770</v>
      </c>
      <c r="C9258" t="s">
        <v>12368</v>
      </c>
      <c r="E9258" t="s">
        <v>25178</v>
      </c>
      <c r="F9258" t="s">
        <v>29372</v>
      </c>
      <c r="G9258" t="s">
        <v>29383</v>
      </c>
      <c r="H9258" t="s">
        <v>11048</v>
      </c>
      <c r="I9258" t="s">
        <v>29395</v>
      </c>
      <c r="J9258" t="s">
        <v>35456</v>
      </c>
      <c r="K9258" t="s">
        <v>38490</v>
      </c>
      <c r="M9258" t="s">
        <v>41755</v>
      </c>
      <c r="N9258" t="s">
        <v>42669</v>
      </c>
      <c r="O9258" t="s">
        <v>42670</v>
      </c>
      <c r="P9258">
        <v>0</v>
      </c>
      <c r="Q9258">
        <v>0</v>
      </c>
      <c r="R9258" t="s">
        <v>42682</v>
      </c>
      <c r="S9258" t="s">
        <v>42984</v>
      </c>
      <c r="T9258" t="s">
        <v>44480</v>
      </c>
      <c r="U9258" t="s">
        <v>52395</v>
      </c>
      <c r="V9258" t="s">
        <v>57380</v>
      </c>
      <c r="W9258" t="s">
        <v>41755</v>
      </c>
      <c r="X9258" t="s">
        <v>42692</v>
      </c>
    </row>
    <row r="9259" spans="1:24">
      <c r="A9259">
        <f>HYPERLINK("https://www.philgeps.gov.ph/GEPSNONPILOT/Tender/SplashBidNoticeAbstractUI.aspx?menuIndex=3&amp;refID=7173956&amp;Result=3","7173956")</f>
        <v>0</v>
      </c>
      <c r="B9259" t="s">
        <v>2779</v>
      </c>
      <c r="C9259" t="s">
        <v>12369</v>
      </c>
      <c r="D9259" t="s">
        <v>17215</v>
      </c>
      <c r="E9259" t="s">
        <v>25179</v>
      </c>
      <c r="F9259" t="s">
        <v>29372</v>
      </c>
      <c r="G9259" t="s">
        <v>29380</v>
      </c>
      <c r="H9259" t="s">
        <v>29391</v>
      </c>
      <c r="I9259" t="s">
        <v>29391</v>
      </c>
      <c r="J9259" t="s">
        <v>30300</v>
      </c>
      <c r="K9259" t="s">
        <v>38522</v>
      </c>
      <c r="M9259" t="s">
        <v>41764</v>
      </c>
      <c r="N9259" t="s">
        <v>42669</v>
      </c>
      <c r="O9259" t="s">
        <v>42670</v>
      </c>
      <c r="P9259">
        <v>0</v>
      </c>
      <c r="Q9259">
        <v>3</v>
      </c>
      <c r="R9259" t="s">
        <v>42682</v>
      </c>
      <c r="S9259" t="s">
        <v>42984</v>
      </c>
      <c r="T9259" t="s">
        <v>44391</v>
      </c>
      <c r="U9259" t="s">
        <v>52396</v>
      </c>
      <c r="W9259" t="s">
        <v>41764</v>
      </c>
      <c r="X9259" t="s">
        <v>42684</v>
      </c>
    </row>
    <row r="9260" spans="1:24">
      <c r="A9260">
        <f>HYPERLINK("https://www.philgeps.gov.ph/GEPSNONPILOT/Tender/SplashBidNoticeAbstractUI.aspx?menuIndex=3&amp;refID=7174159&amp;Result=3","7174159")</f>
        <v>0</v>
      </c>
      <c r="B9260" t="s">
        <v>2780</v>
      </c>
      <c r="C9260" t="s">
        <v>12370</v>
      </c>
      <c r="D9260" t="s">
        <v>17205</v>
      </c>
      <c r="E9260" t="s">
        <v>17477</v>
      </c>
      <c r="F9260" t="s">
        <v>29372</v>
      </c>
      <c r="G9260" t="s">
        <v>29380</v>
      </c>
      <c r="H9260" t="s">
        <v>11048</v>
      </c>
      <c r="I9260" t="s">
        <v>9469</v>
      </c>
      <c r="J9260" t="s">
        <v>29922</v>
      </c>
      <c r="K9260" t="s">
        <v>38510</v>
      </c>
      <c r="M9260" t="s">
        <v>41765</v>
      </c>
      <c r="N9260" t="s">
        <v>42669</v>
      </c>
      <c r="O9260" t="s">
        <v>42670</v>
      </c>
      <c r="Q9260">
        <v>1</v>
      </c>
      <c r="R9260" t="s">
        <v>42682</v>
      </c>
      <c r="S9260" t="s">
        <v>42989</v>
      </c>
      <c r="T9260" t="s">
        <v>44488</v>
      </c>
      <c r="U9260" t="s">
        <v>52397</v>
      </c>
      <c r="W9260" t="s">
        <v>41765</v>
      </c>
      <c r="X9260" t="s">
        <v>42684</v>
      </c>
    </row>
    <row r="9261" spans="1:24">
      <c r="A9261">
        <f>HYPERLINK("https://www.philgeps.gov.ph/GEPSNONPILOT/Tender/SplashBidNoticeAbstractUI.aspx?menuIndex=3&amp;refID=7173947&amp;Result=3","7173947")</f>
        <v>0</v>
      </c>
      <c r="B9261" t="s">
        <v>2779</v>
      </c>
      <c r="C9261" t="s">
        <v>12371</v>
      </c>
      <c r="D9261" t="s">
        <v>17215</v>
      </c>
      <c r="E9261" t="s">
        <v>25180</v>
      </c>
      <c r="F9261" t="s">
        <v>29372</v>
      </c>
      <c r="G9261" t="s">
        <v>29380</v>
      </c>
      <c r="H9261" t="s">
        <v>29391</v>
      </c>
      <c r="I9261" t="s">
        <v>29391</v>
      </c>
      <c r="J9261" t="s">
        <v>35019</v>
      </c>
      <c r="K9261" t="s">
        <v>38496</v>
      </c>
      <c r="M9261" t="s">
        <v>41764</v>
      </c>
      <c r="N9261" t="s">
        <v>42669</v>
      </c>
      <c r="O9261" t="s">
        <v>42670</v>
      </c>
      <c r="P9261">
        <v>0</v>
      </c>
      <c r="Q9261">
        <v>1</v>
      </c>
      <c r="R9261" t="s">
        <v>42682</v>
      </c>
      <c r="S9261" t="s">
        <v>42984</v>
      </c>
      <c r="T9261" t="s">
        <v>44391</v>
      </c>
      <c r="U9261" t="s">
        <v>52398</v>
      </c>
      <c r="W9261" t="s">
        <v>41764</v>
      </c>
      <c r="X9261" t="s">
        <v>42684</v>
      </c>
    </row>
    <row r="9262" spans="1:24">
      <c r="A9262">
        <f>HYPERLINK("https://www.philgeps.gov.ph/GEPSNONPILOT/Tender/SplashBidNoticeAbstractUI.aspx?menuIndex=3&amp;refID=7179967&amp;Result=3","7179967")</f>
        <v>0</v>
      </c>
      <c r="B9262" t="s">
        <v>2771</v>
      </c>
      <c r="C9262" t="s">
        <v>4417</v>
      </c>
      <c r="D9262" t="s">
        <v>17141</v>
      </c>
      <c r="E9262" t="s">
        <v>25181</v>
      </c>
      <c r="F9262" t="s">
        <v>29373</v>
      </c>
      <c r="G9262" t="s">
        <v>29380</v>
      </c>
      <c r="H9262" t="s">
        <v>11048</v>
      </c>
      <c r="I9262" t="s">
        <v>14920</v>
      </c>
      <c r="J9262" t="s">
        <v>29980</v>
      </c>
      <c r="K9262" t="s">
        <v>38485</v>
      </c>
      <c r="M9262" t="s">
        <v>41756</v>
      </c>
      <c r="N9262" t="s">
        <v>42669</v>
      </c>
      <c r="O9262" t="s">
        <v>42670</v>
      </c>
      <c r="P9262">
        <v>0</v>
      </c>
      <c r="Q9262">
        <v>3</v>
      </c>
      <c r="R9262" t="s">
        <v>42681</v>
      </c>
      <c r="S9262" t="s">
        <v>42966</v>
      </c>
      <c r="T9262" t="s">
        <v>44356</v>
      </c>
      <c r="U9262" t="s">
        <v>52399</v>
      </c>
      <c r="V9262" t="s">
        <v>57382</v>
      </c>
      <c r="W9262" t="s">
        <v>41756</v>
      </c>
      <c r="X9262" t="s">
        <v>42682</v>
      </c>
    </row>
    <row r="9263" spans="1:24">
      <c r="A9263">
        <f>HYPERLINK("https://www.philgeps.gov.ph/GEPSNONPILOT/Tender/SplashBidNoticeAbstractUI.aspx?menuIndex=3&amp;refID=7179692&amp;Result=3","7179692")</f>
        <v>0</v>
      </c>
      <c r="B9263" t="s">
        <v>941</v>
      </c>
      <c r="C9263" t="s">
        <v>12372</v>
      </c>
      <c r="E9263" t="s">
        <v>25182</v>
      </c>
      <c r="F9263" t="s">
        <v>29372</v>
      </c>
      <c r="G9263" t="s">
        <v>29380</v>
      </c>
      <c r="H9263" t="s">
        <v>11048</v>
      </c>
      <c r="I9263" t="s">
        <v>9469</v>
      </c>
      <c r="J9263" t="s">
        <v>30056</v>
      </c>
      <c r="K9263" t="s">
        <v>38485</v>
      </c>
      <c r="M9263" t="s">
        <v>39736</v>
      </c>
      <c r="N9263" t="s">
        <v>42669</v>
      </c>
      <c r="O9263" t="s">
        <v>42670</v>
      </c>
      <c r="P9263">
        <v>0</v>
      </c>
      <c r="Q9263">
        <v>9</v>
      </c>
      <c r="R9263" t="s">
        <v>42681</v>
      </c>
      <c r="S9263" t="s">
        <v>42966</v>
      </c>
      <c r="T9263" t="s">
        <v>44503</v>
      </c>
      <c r="U9263" t="s">
        <v>52400</v>
      </c>
      <c r="W9263" t="s">
        <v>39736</v>
      </c>
      <c r="X9263" t="s">
        <v>42682</v>
      </c>
    </row>
    <row r="9264" spans="1:24">
      <c r="A9264">
        <f>HYPERLINK("https://www.philgeps.gov.ph/GEPSNONPILOT/Tender/SplashBidNoticeAbstractUI.aspx?menuIndex=3&amp;refID=7173547&amp;Result=3","7173547")</f>
        <v>0</v>
      </c>
      <c r="B9264" t="s">
        <v>2781</v>
      </c>
      <c r="C9264" t="s">
        <v>12373</v>
      </c>
      <c r="D9264" t="s">
        <v>17160</v>
      </c>
      <c r="E9264" t="s">
        <v>18285</v>
      </c>
      <c r="F9264" t="s">
        <v>29372</v>
      </c>
      <c r="G9264" t="s">
        <v>29380</v>
      </c>
      <c r="H9264" t="s">
        <v>11048</v>
      </c>
      <c r="I9264" t="s">
        <v>29398</v>
      </c>
      <c r="J9264" t="s">
        <v>35457</v>
      </c>
      <c r="K9264" t="s">
        <v>38488</v>
      </c>
      <c r="M9264" t="s">
        <v>41766</v>
      </c>
      <c r="N9264" t="s">
        <v>42669</v>
      </c>
      <c r="O9264" t="s">
        <v>42670</v>
      </c>
      <c r="P9264">
        <v>0</v>
      </c>
      <c r="Q9264">
        <v>11</v>
      </c>
      <c r="R9264" t="s">
        <v>42682</v>
      </c>
      <c r="S9264" t="s">
        <v>42984</v>
      </c>
      <c r="T9264" t="s">
        <v>44430</v>
      </c>
      <c r="U9264" t="s">
        <v>52401</v>
      </c>
      <c r="W9264" t="s">
        <v>41766</v>
      </c>
      <c r="X9264" t="s">
        <v>42684</v>
      </c>
    </row>
    <row r="9265" spans="1:24">
      <c r="A9265">
        <f>HYPERLINK("https://www.philgeps.gov.ph/GEPSNONPILOT/Tender/SplashBidNoticeAbstractUI.aspx?menuIndex=3&amp;refID=7172520&amp;Result=3","7172520")</f>
        <v>0</v>
      </c>
      <c r="B9265" t="s">
        <v>1014</v>
      </c>
      <c r="C9265" t="s">
        <v>12374</v>
      </c>
      <c r="E9265" t="s">
        <v>12374</v>
      </c>
      <c r="F9265" t="s">
        <v>29372</v>
      </c>
      <c r="G9265" t="s">
        <v>29379</v>
      </c>
      <c r="H9265" t="s">
        <v>11048</v>
      </c>
      <c r="I9265" t="s">
        <v>29467</v>
      </c>
      <c r="J9265" t="s">
        <v>35458</v>
      </c>
      <c r="K9265" t="s">
        <v>38491</v>
      </c>
      <c r="M9265" t="s">
        <v>39814</v>
      </c>
      <c r="N9265" t="s">
        <v>42669</v>
      </c>
      <c r="O9265" t="s">
        <v>42670</v>
      </c>
      <c r="Q9265">
        <v>1</v>
      </c>
      <c r="R9265" t="s">
        <v>42682</v>
      </c>
      <c r="S9265" t="s">
        <v>42990</v>
      </c>
      <c r="T9265" t="s">
        <v>44432</v>
      </c>
      <c r="U9265" t="s">
        <v>52402</v>
      </c>
      <c r="W9265" t="s">
        <v>39814</v>
      </c>
      <c r="X9265" t="s">
        <v>42684</v>
      </c>
    </row>
    <row r="9266" spans="1:24">
      <c r="A9266">
        <f>HYPERLINK("https://www.philgeps.gov.ph/GEPSNONPILOT/Tender/SplashBidNoticeAbstractUI.aspx?menuIndex=3&amp;refID=7172050&amp;Result=3","7172050")</f>
        <v>0</v>
      </c>
      <c r="B9266" t="s">
        <v>2782</v>
      </c>
      <c r="C9266" t="s">
        <v>12375</v>
      </c>
      <c r="E9266" t="s">
        <v>25183</v>
      </c>
      <c r="F9266" t="s">
        <v>29372</v>
      </c>
      <c r="G9266" t="s">
        <v>29381</v>
      </c>
      <c r="H9266" t="s">
        <v>29390</v>
      </c>
      <c r="I9266" t="s">
        <v>29442</v>
      </c>
      <c r="J9266" t="s">
        <v>31839</v>
      </c>
      <c r="K9266" t="s">
        <v>38522</v>
      </c>
      <c r="M9266" t="s">
        <v>41767</v>
      </c>
      <c r="N9266" t="s">
        <v>42669</v>
      </c>
      <c r="O9266" t="s">
        <v>42670</v>
      </c>
      <c r="Q9266">
        <v>9</v>
      </c>
      <c r="R9266" t="s">
        <v>42682</v>
      </c>
      <c r="S9266" t="s">
        <v>42991</v>
      </c>
      <c r="T9266" t="s">
        <v>44432</v>
      </c>
      <c r="U9266" t="s">
        <v>52403</v>
      </c>
      <c r="W9266" t="s">
        <v>58097</v>
      </c>
      <c r="X9266" t="s">
        <v>42684</v>
      </c>
    </row>
    <row r="9267" spans="1:24">
      <c r="A9267">
        <f>HYPERLINK("https://www.philgeps.gov.ph/GEPSNONPILOT/Tender/SplashBidNoticeAbstractUI.aspx?menuIndex=3&amp;refID=7172121&amp;Result=3","7172121")</f>
        <v>0</v>
      </c>
      <c r="B9267" t="s">
        <v>589</v>
      </c>
      <c r="C9267" t="s">
        <v>12376</v>
      </c>
      <c r="D9267" t="s">
        <v>17168</v>
      </c>
      <c r="E9267" t="s">
        <v>12376</v>
      </c>
      <c r="F9267" t="s">
        <v>29372</v>
      </c>
      <c r="G9267" t="s">
        <v>29380</v>
      </c>
      <c r="H9267" t="s">
        <v>11048</v>
      </c>
      <c r="I9267" t="s">
        <v>9642</v>
      </c>
      <c r="J9267" t="s">
        <v>34652</v>
      </c>
      <c r="K9267" t="s">
        <v>38538</v>
      </c>
      <c r="M9267" t="s">
        <v>39358</v>
      </c>
      <c r="N9267" t="s">
        <v>42669</v>
      </c>
      <c r="O9267" t="s">
        <v>42670</v>
      </c>
      <c r="P9267">
        <v>0</v>
      </c>
      <c r="Q9267">
        <v>2</v>
      </c>
      <c r="R9267" t="s">
        <v>42682</v>
      </c>
      <c r="S9267" t="s">
        <v>42984</v>
      </c>
      <c r="T9267" t="s">
        <v>44427</v>
      </c>
      <c r="U9267" t="s">
        <v>52404</v>
      </c>
      <c r="V9267" t="s">
        <v>56973</v>
      </c>
      <c r="W9267" t="s">
        <v>39358</v>
      </c>
      <c r="X9267" t="s">
        <v>42684</v>
      </c>
    </row>
    <row r="9268" spans="1:24">
      <c r="A9268">
        <f>HYPERLINK("https://www.philgeps.gov.ph/GEPSNONPILOT/Tender/SplashBidNoticeAbstractUI.aspx?menuIndex=3&amp;refID=7172459&amp;Result=3","7172459")</f>
        <v>0</v>
      </c>
      <c r="B9268" t="s">
        <v>954</v>
      </c>
      <c r="C9268" t="s">
        <v>12377</v>
      </c>
      <c r="D9268" t="s">
        <v>17212</v>
      </c>
      <c r="E9268" t="s">
        <v>25184</v>
      </c>
      <c r="F9268" t="s">
        <v>29372</v>
      </c>
      <c r="G9268" t="s">
        <v>29380</v>
      </c>
      <c r="H9268" t="s">
        <v>29389</v>
      </c>
      <c r="I9268" t="s">
        <v>10408</v>
      </c>
      <c r="J9268" t="s">
        <v>29623</v>
      </c>
      <c r="K9268" t="s">
        <v>38515</v>
      </c>
      <c r="M9268" t="s">
        <v>41768</v>
      </c>
      <c r="N9268" t="s">
        <v>42669</v>
      </c>
      <c r="O9268" t="s">
        <v>42670</v>
      </c>
      <c r="P9268">
        <v>0</v>
      </c>
      <c r="Q9268">
        <v>2</v>
      </c>
      <c r="R9268" t="s">
        <v>42682</v>
      </c>
      <c r="S9268" t="s">
        <v>42984</v>
      </c>
      <c r="T9268" t="s">
        <v>44472</v>
      </c>
      <c r="U9268" t="s">
        <v>52405</v>
      </c>
      <c r="W9268" t="s">
        <v>41768</v>
      </c>
      <c r="X9268" t="s">
        <v>42684</v>
      </c>
    </row>
    <row r="9269" spans="1:24">
      <c r="A9269">
        <f>HYPERLINK("https://www.philgeps.gov.ph/GEPSNONPILOT/Tender/SplashBidNoticeAbstractUI.aspx?menuIndex=3&amp;refID=7162767&amp;Result=3","7162767")</f>
        <v>0</v>
      </c>
      <c r="B9269" t="s">
        <v>2770</v>
      </c>
      <c r="C9269" t="s">
        <v>12378</v>
      </c>
      <c r="E9269" t="s">
        <v>25185</v>
      </c>
      <c r="F9269" t="s">
        <v>29372</v>
      </c>
      <c r="G9269" t="s">
        <v>29383</v>
      </c>
      <c r="H9269" t="s">
        <v>11048</v>
      </c>
      <c r="I9269" t="s">
        <v>3952</v>
      </c>
      <c r="J9269" t="s">
        <v>35438</v>
      </c>
      <c r="K9269" t="s">
        <v>38490</v>
      </c>
      <c r="M9269" t="s">
        <v>41755</v>
      </c>
      <c r="N9269" t="s">
        <v>42669</v>
      </c>
      <c r="O9269" t="s">
        <v>42670</v>
      </c>
      <c r="P9269">
        <v>0</v>
      </c>
      <c r="Q9269">
        <v>0</v>
      </c>
      <c r="R9269" t="s">
        <v>42682</v>
      </c>
      <c r="S9269" t="s">
        <v>42984</v>
      </c>
      <c r="T9269" t="s">
        <v>44480</v>
      </c>
      <c r="U9269" t="s">
        <v>52406</v>
      </c>
      <c r="V9269" t="s">
        <v>57380</v>
      </c>
      <c r="W9269" t="s">
        <v>41755</v>
      </c>
      <c r="X9269" t="s">
        <v>42689</v>
      </c>
    </row>
    <row r="9270" spans="1:24">
      <c r="A9270">
        <f>HYPERLINK("https://www.philgeps.gov.ph/GEPSNONPILOT/Tender/SplashBidNoticeAbstractUI.aspx?menuIndex=3&amp;refID=7172373&amp;Result=3","7172373")</f>
        <v>0</v>
      </c>
      <c r="B9270" t="s">
        <v>235</v>
      </c>
      <c r="C9270" t="s">
        <v>12379</v>
      </c>
      <c r="D9270" t="s">
        <v>17185</v>
      </c>
      <c r="E9270" t="s">
        <v>25186</v>
      </c>
      <c r="F9270" t="s">
        <v>29372</v>
      </c>
      <c r="G9270" t="s">
        <v>29380</v>
      </c>
      <c r="H9270" t="s">
        <v>11048</v>
      </c>
      <c r="I9270" t="s">
        <v>8614</v>
      </c>
      <c r="J9270" t="s">
        <v>35459</v>
      </c>
      <c r="K9270" t="s">
        <v>38510</v>
      </c>
      <c r="M9270" t="s">
        <v>41769</v>
      </c>
      <c r="N9270" t="s">
        <v>42669</v>
      </c>
      <c r="O9270" t="s">
        <v>42670</v>
      </c>
      <c r="P9270">
        <v>0</v>
      </c>
      <c r="Q9270">
        <v>4</v>
      </c>
      <c r="R9270" t="s">
        <v>42682</v>
      </c>
      <c r="S9270" t="s">
        <v>42984</v>
      </c>
      <c r="T9270" t="s">
        <v>44368</v>
      </c>
      <c r="U9270" t="s">
        <v>52407</v>
      </c>
      <c r="V9270" t="s">
        <v>57389</v>
      </c>
      <c r="W9270" t="s">
        <v>58098</v>
      </c>
      <c r="X9270" t="s">
        <v>42684</v>
      </c>
    </row>
    <row r="9271" spans="1:24">
      <c r="A9271">
        <f>HYPERLINK("https://www.philgeps.gov.ph/GEPSNONPILOT/Tender/SplashBidNoticeAbstractUI.aspx?menuIndex=3&amp;refID=7171756&amp;Result=3","7171756")</f>
        <v>0</v>
      </c>
      <c r="B9271" t="s">
        <v>2783</v>
      </c>
      <c r="C9271" t="s">
        <v>12380</v>
      </c>
      <c r="D9271" t="s">
        <v>17153</v>
      </c>
      <c r="E9271" t="s">
        <v>25187</v>
      </c>
      <c r="F9271" t="s">
        <v>29372</v>
      </c>
      <c r="G9271" t="s">
        <v>29380</v>
      </c>
      <c r="H9271" t="s">
        <v>11048</v>
      </c>
      <c r="I9271" t="s">
        <v>29398</v>
      </c>
      <c r="J9271" t="s">
        <v>29526</v>
      </c>
      <c r="K9271" t="s">
        <v>38485</v>
      </c>
      <c r="L9271" t="s">
        <v>2783</v>
      </c>
      <c r="M9271" t="s">
        <v>41770</v>
      </c>
      <c r="N9271" t="s">
        <v>42669</v>
      </c>
      <c r="O9271" t="s">
        <v>42670</v>
      </c>
      <c r="P9271">
        <v>0</v>
      </c>
      <c r="Q9271">
        <v>0</v>
      </c>
      <c r="R9271" t="s">
        <v>42682</v>
      </c>
      <c r="S9271" t="s">
        <v>42984</v>
      </c>
      <c r="T9271" t="s">
        <v>44433</v>
      </c>
      <c r="U9271" t="s">
        <v>52408</v>
      </c>
      <c r="V9271" t="s">
        <v>57390</v>
      </c>
      <c r="W9271" t="s">
        <v>41770</v>
      </c>
      <c r="X9271" t="s">
        <v>42684</v>
      </c>
    </row>
    <row r="9272" spans="1:24">
      <c r="A9272">
        <f>HYPERLINK("https://www.philgeps.gov.ph/GEPSNONPILOT/Tender/SplashBidNoticeAbstractUI.aspx?menuIndex=3&amp;refID=7171956&amp;Result=3","7171956")</f>
        <v>0</v>
      </c>
      <c r="B9272" t="s">
        <v>2784</v>
      </c>
      <c r="C9272" t="s">
        <v>12381</v>
      </c>
      <c r="D9272" t="s">
        <v>17159</v>
      </c>
      <c r="E9272" t="s">
        <v>25188</v>
      </c>
      <c r="F9272" t="s">
        <v>29372</v>
      </c>
      <c r="G9272" t="s">
        <v>29380</v>
      </c>
      <c r="H9272" t="s">
        <v>29389</v>
      </c>
      <c r="I9272" t="s">
        <v>10408</v>
      </c>
      <c r="J9272" t="s">
        <v>33026</v>
      </c>
      <c r="K9272" t="s">
        <v>38629</v>
      </c>
      <c r="M9272" t="s">
        <v>41771</v>
      </c>
      <c r="N9272" t="s">
        <v>42669</v>
      </c>
      <c r="O9272" t="s">
        <v>42670</v>
      </c>
      <c r="P9272">
        <v>0</v>
      </c>
      <c r="Q9272">
        <v>0</v>
      </c>
      <c r="R9272" t="s">
        <v>42682</v>
      </c>
      <c r="S9272" t="s">
        <v>42984</v>
      </c>
      <c r="T9272" t="s">
        <v>44468</v>
      </c>
      <c r="U9272" t="s">
        <v>52409</v>
      </c>
      <c r="W9272" t="s">
        <v>41771</v>
      </c>
      <c r="X9272" t="s">
        <v>42684</v>
      </c>
    </row>
    <row r="9273" spans="1:24">
      <c r="A9273">
        <f>HYPERLINK("https://www.philgeps.gov.ph/GEPSNONPILOT/Tender/SplashBidNoticeAbstractUI.aspx?menuIndex=3&amp;refID=7163104&amp;Result=3","7163104")</f>
        <v>0</v>
      </c>
      <c r="B9273" t="s">
        <v>2770</v>
      </c>
      <c r="C9273" t="s">
        <v>12382</v>
      </c>
      <c r="E9273" t="s">
        <v>25189</v>
      </c>
      <c r="F9273" t="s">
        <v>29372</v>
      </c>
      <c r="G9273" t="s">
        <v>29380</v>
      </c>
      <c r="H9273" t="s">
        <v>11048</v>
      </c>
      <c r="I9273" t="s">
        <v>3839</v>
      </c>
      <c r="J9273" t="s">
        <v>35460</v>
      </c>
      <c r="K9273" t="s">
        <v>38490</v>
      </c>
      <c r="M9273" t="s">
        <v>41755</v>
      </c>
      <c r="N9273" t="s">
        <v>42669</v>
      </c>
      <c r="O9273" t="s">
        <v>42670</v>
      </c>
      <c r="P9273">
        <v>0</v>
      </c>
      <c r="Q9273">
        <v>2</v>
      </c>
      <c r="R9273" t="s">
        <v>42682</v>
      </c>
      <c r="S9273" t="s">
        <v>42984</v>
      </c>
      <c r="T9273" t="s">
        <v>44480</v>
      </c>
      <c r="U9273" t="s">
        <v>52410</v>
      </c>
      <c r="V9273" t="s">
        <v>57380</v>
      </c>
      <c r="W9273" t="s">
        <v>41755</v>
      </c>
      <c r="X9273" t="s">
        <v>42689</v>
      </c>
    </row>
    <row r="9274" spans="1:24">
      <c r="A9274">
        <f>HYPERLINK("https://www.philgeps.gov.ph/GEPSNONPILOT/Tender/SplashBidNoticeAbstractUI.aspx?menuIndex=3&amp;refID=7171218&amp;Result=3","7171218")</f>
        <v>0</v>
      </c>
      <c r="B9274" t="s">
        <v>1430</v>
      </c>
      <c r="C9274" t="s">
        <v>12383</v>
      </c>
      <c r="D9274" t="s">
        <v>17188</v>
      </c>
      <c r="E9274" t="s">
        <v>25190</v>
      </c>
      <c r="F9274" t="s">
        <v>29372</v>
      </c>
      <c r="G9274" t="s">
        <v>29380</v>
      </c>
      <c r="H9274" t="s">
        <v>29389</v>
      </c>
      <c r="I9274" t="s">
        <v>10408</v>
      </c>
      <c r="J9274" t="s">
        <v>35208</v>
      </c>
      <c r="K9274" t="s">
        <v>38526</v>
      </c>
      <c r="M9274" t="s">
        <v>40270</v>
      </c>
      <c r="N9274" t="s">
        <v>42669</v>
      </c>
      <c r="O9274" t="s">
        <v>42670</v>
      </c>
      <c r="P9274">
        <v>0</v>
      </c>
      <c r="Q9274">
        <v>1</v>
      </c>
      <c r="R9274" t="s">
        <v>42682</v>
      </c>
      <c r="S9274" t="s">
        <v>42984</v>
      </c>
      <c r="T9274" t="s">
        <v>44619</v>
      </c>
      <c r="U9274" t="s">
        <v>52411</v>
      </c>
      <c r="V9274" t="s">
        <v>52411</v>
      </c>
      <c r="W9274" t="s">
        <v>40270</v>
      </c>
      <c r="X9274" t="s">
        <v>42684</v>
      </c>
    </row>
    <row r="9275" spans="1:24">
      <c r="A9275">
        <f>HYPERLINK("https://www.philgeps.gov.ph/GEPSNONPILOT/Tender/SplashBidNoticeAbstractUI.aspx?menuIndex=3&amp;refID=7171260&amp;Result=3","7171260")</f>
        <v>0</v>
      </c>
      <c r="B9275" t="s">
        <v>1334</v>
      </c>
      <c r="C9275" t="s">
        <v>12384</v>
      </c>
      <c r="D9275" t="s">
        <v>17182</v>
      </c>
      <c r="E9275" t="s">
        <v>25191</v>
      </c>
      <c r="F9275" t="s">
        <v>29372</v>
      </c>
      <c r="G9275" t="s">
        <v>29380</v>
      </c>
      <c r="H9275" t="s">
        <v>11048</v>
      </c>
      <c r="I9275" t="s">
        <v>14920</v>
      </c>
      <c r="J9275" t="s">
        <v>35461</v>
      </c>
      <c r="K9275" t="s">
        <v>38534</v>
      </c>
      <c r="M9275" t="s">
        <v>40170</v>
      </c>
      <c r="N9275" t="s">
        <v>42669</v>
      </c>
      <c r="O9275" t="s">
        <v>42670</v>
      </c>
      <c r="P9275">
        <v>0</v>
      </c>
      <c r="Q9275">
        <v>3</v>
      </c>
      <c r="R9275" t="s">
        <v>42682</v>
      </c>
      <c r="S9275" t="s">
        <v>42984</v>
      </c>
      <c r="T9275" t="s">
        <v>44774</v>
      </c>
      <c r="U9275" t="s">
        <v>52412</v>
      </c>
      <c r="W9275" t="s">
        <v>40170</v>
      </c>
      <c r="X9275" t="s">
        <v>42684</v>
      </c>
    </row>
    <row r="9276" spans="1:24">
      <c r="A9276">
        <f>HYPERLINK("https://www.philgeps.gov.ph/GEPSNONPILOT/Tender/SplashBidNoticeAbstractUI.aspx?menuIndex=3&amp;refID=7174244&amp;Result=3","7174244")</f>
        <v>0</v>
      </c>
      <c r="B9276" t="s">
        <v>52</v>
      </c>
      <c r="C9276" t="s">
        <v>12385</v>
      </c>
      <c r="D9276" t="s">
        <v>17192</v>
      </c>
      <c r="E9276" t="s">
        <v>25192</v>
      </c>
      <c r="F9276" t="s">
        <v>29372</v>
      </c>
      <c r="G9276" t="s">
        <v>29379</v>
      </c>
      <c r="H9276" t="s">
        <v>11048</v>
      </c>
      <c r="I9276" t="s">
        <v>4486</v>
      </c>
      <c r="J9276" t="s">
        <v>35462</v>
      </c>
      <c r="K9276" t="s">
        <v>38530</v>
      </c>
      <c r="L9276" t="s">
        <v>52</v>
      </c>
      <c r="M9276" t="s">
        <v>38921</v>
      </c>
      <c r="N9276" t="s">
        <v>42669</v>
      </c>
      <c r="O9276" t="s">
        <v>42670</v>
      </c>
      <c r="Q9276">
        <v>3</v>
      </c>
      <c r="R9276" t="s">
        <v>42682</v>
      </c>
      <c r="S9276" t="s">
        <v>42992</v>
      </c>
      <c r="T9276" t="s">
        <v>44489</v>
      </c>
      <c r="U9276" t="s">
        <v>45160</v>
      </c>
      <c r="W9276" t="s">
        <v>38921</v>
      </c>
      <c r="X9276" t="s">
        <v>42683</v>
      </c>
    </row>
    <row r="9277" spans="1:24">
      <c r="A9277">
        <f>HYPERLINK("https://www.philgeps.gov.ph/GEPSNONPILOT/Tender/SplashBidNoticeAbstractUI.aspx?menuIndex=3&amp;refID=7168256&amp;Result=3","7168256")</f>
        <v>0</v>
      </c>
      <c r="B9277" t="s">
        <v>2777</v>
      </c>
      <c r="C9277" t="s">
        <v>12386</v>
      </c>
      <c r="D9277" t="s">
        <v>17151</v>
      </c>
      <c r="E9277" t="s">
        <v>25193</v>
      </c>
      <c r="F9277" t="s">
        <v>29372</v>
      </c>
      <c r="G9277" t="s">
        <v>29380</v>
      </c>
      <c r="H9277" t="s">
        <v>11048</v>
      </c>
      <c r="I9277" t="s">
        <v>29393</v>
      </c>
      <c r="J9277" t="s">
        <v>35463</v>
      </c>
      <c r="K9277" t="s">
        <v>38488</v>
      </c>
      <c r="M9277" t="s">
        <v>41762</v>
      </c>
      <c r="N9277" t="s">
        <v>42669</v>
      </c>
      <c r="O9277" t="s">
        <v>42670</v>
      </c>
      <c r="P9277">
        <v>0</v>
      </c>
      <c r="Q9277">
        <v>0</v>
      </c>
      <c r="R9277" t="s">
        <v>42682</v>
      </c>
      <c r="S9277" t="s">
        <v>42984</v>
      </c>
      <c r="T9277" t="s">
        <v>44397</v>
      </c>
      <c r="U9277" t="s">
        <v>52413</v>
      </c>
      <c r="V9277" t="s">
        <v>57388</v>
      </c>
      <c r="W9277" t="s">
        <v>41762</v>
      </c>
      <c r="X9277" t="s">
        <v>42685</v>
      </c>
    </row>
    <row r="9278" spans="1:24">
      <c r="A9278">
        <f>HYPERLINK("https://www.philgeps.gov.ph/GEPSNONPILOT/Tender/SplashBidNoticeAbstractUI.aspx?menuIndex=3&amp;refID=7171094&amp;Result=3","7171094")</f>
        <v>0</v>
      </c>
      <c r="B9278" t="s">
        <v>2785</v>
      </c>
      <c r="C9278" t="s">
        <v>12387</v>
      </c>
      <c r="D9278" t="s">
        <v>17156</v>
      </c>
      <c r="E9278" t="s">
        <v>25194</v>
      </c>
      <c r="F9278" t="s">
        <v>29372</v>
      </c>
      <c r="G9278" t="s">
        <v>29380</v>
      </c>
      <c r="H9278" t="s">
        <v>11048</v>
      </c>
      <c r="I9278" t="s">
        <v>4709</v>
      </c>
      <c r="J9278" t="s">
        <v>35464</v>
      </c>
      <c r="K9278" t="s">
        <v>38488</v>
      </c>
      <c r="M9278" t="s">
        <v>41772</v>
      </c>
      <c r="N9278" t="s">
        <v>42669</v>
      </c>
      <c r="O9278" t="s">
        <v>42670</v>
      </c>
      <c r="P9278">
        <v>0</v>
      </c>
      <c r="Q9278">
        <v>1</v>
      </c>
      <c r="R9278" t="s">
        <v>42682</v>
      </c>
      <c r="S9278" t="s">
        <v>42984</v>
      </c>
      <c r="T9278" t="s">
        <v>44432</v>
      </c>
      <c r="U9278" t="s">
        <v>52414</v>
      </c>
      <c r="W9278" t="s">
        <v>41772</v>
      </c>
      <c r="X9278" t="s">
        <v>42684</v>
      </c>
    </row>
    <row r="9279" spans="1:24">
      <c r="A9279">
        <f>HYPERLINK("https://www.philgeps.gov.ph/GEPSNONPILOT/Tender/SplashBidNoticeAbstractUI.aspx?menuIndex=3&amp;refID=7174260&amp;Result=3","7174260")</f>
        <v>0</v>
      </c>
      <c r="B9279" t="s">
        <v>1712</v>
      </c>
      <c r="C9279" t="s">
        <v>12388</v>
      </c>
      <c r="D9279" t="s">
        <v>17177</v>
      </c>
      <c r="E9279" t="s">
        <v>25195</v>
      </c>
      <c r="F9279" t="s">
        <v>29372</v>
      </c>
      <c r="G9279" t="s">
        <v>29380</v>
      </c>
      <c r="H9279" t="s">
        <v>11048</v>
      </c>
      <c r="I9279" t="s">
        <v>5383</v>
      </c>
      <c r="J9279" t="s">
        <v>31642</v>
      </c>
      <c r="K9279" t="s">
        <v>38510</v>
      </c>
      <c r="M9279" t="s">
        <v>40575</v>
      </c>
      <c r="N9279" t="s">
        <v>42669</v>
      </c>
      <c r="O9279" t="s">
        <v>42670</v>
      </c>
      <c r="P9279">
        <v>0</v>
      </c>
      <c r="Q9279">
        <v>2</v>
      </c>
      <c r="R9279" t="s">
        <v>42682</v>
      </c>
      <c r="S9279" t="s">
        <v>42984</v>
      </c>
      <c r="T9279" t="s">
        <v>44474</v>
      </c>
      <c r="U9279" t="s">
        <v>52415</v>
      </c>
      <c r="W9279" t="s">
        <v>40575</v>
      </c>
      <c r="X9279" t="s">
        <v>42683</v>
      </c>
    </row>
    <row r="9280" spans="1:24">
      <c r="A9280">
        <f>HYPERLINK("https://www.philgeps.gov.ph/GEPSNONPILOT/Tender/SplashBidNoticeAbstractUI.aspx?menuIndex=3&amp;refID=7174274&amp;Result=3","7174274")</f>
        <v>0</v>
      </c>
      <c r="B9280" t="s">
        <v>2786</v>
      </c>
      <c r="C9280" t="s">
        <v>12389</v>
      </c>
      <c r="D9280" t="s">
        <v>17178</v>
      </c>
      <c r="E9280" t="s">
        <v>25196</v>
      </c>
      <c r="F9280" t="s">
        <v>29372</v>
      </c>
      <c r="G9280" t="s">
        <v>29380</v>
      </c>
      <c r="H9280" t="s">
        <v>29389</v>
      </c>
      <c r="I9280" t="s">
        <v>29453</v>
      </c>
      <c r="J9280" t="s">
        <v>30161</v>
      </c>
      <c r="K9280" t="s">
        <v>38533</v>
      </c>
      <c r="M9280" t="s">
        <v>41773</v>
      </c>
      <c r="N9280" t="s">
        <v>42669</v>
      </c>
      <c r="O9280" t="s">
        <v>42670</v>
      </c>
      <c r="P9280">
        <v>0</v>
      </c>
      <c r="Q9280">
        <v>16</v>
      </c>
      <c r="R9280" t="s">
        <v>42682</v>
      </c>
      <c r="S9280" t="s">
        <v>42984</v>
      </c>
      <c r="T9280" t="s">
        <v>44542</v>
      </c>
      <c r="U9280" t="s">
        <v>52416</v>
      </c>
      <c r="W9280" t="s">
        <v>41773</v>
      </c>
      <c r="X9280" t="s">
        <v>42683</v>
      </c>
    </row>
    <row r="9281" spans="1:24">
      <c r="A9281">
        <f>HYPERLINK("https://www.philgeps.gov.ph/GEPSNONPILOT/Tender/SplashBidNoticeAbstractUI.aspx?menuIndex=3&amp;refID=7174252&amp;Result=3","7174252")</f>
        <v>0</v>
      </c>
      <c r="B9281" t="s">
        <v>52</v>
      </c>
      <c r="C9281" t="s">
        <v>12390</v>
      </c>
      <c r="D9281" t="s">
        <v>17192</v>
      </c>
      <c r="E9281" t="s">
        <v>25197</v>
      </c>
      <c r="F9281" t="s">
        <v>29372</v>
      </c>
      <c r="G9281" t="s">
        <v>29382</v>
      </c>
      <c r="H9281" t="s">
        <v>11048</v>
      </c>
      <c r="I9281" t="s">
        <v>4487</v>
      </c>
      <c r="J9281" t="s">
        <v>35465</v>
      </c>
      <c r="K9281" t="s">
        <v>38530</v>
      </c>
      <c r="L9281" t="s">
        <v>52</v>
      </c>
      <c r="M9281" t="s">
        <v>38921</v>
      </c>
      <c r="N9281" t="s">
        <v>42669</v>
      </c>
      <c r="O9281" t="s">
        <v>42670</v>
      </c>
      <c r="Q9281">
        <v>8</v>
      </c>
      <c r="R9281" t="s">
        <v>42682</v>
      </c>
      <c r="S9281" t="s">
        <v>42993</v>
      </c>
      <c r="T9281" t="s">
        <v>44489</v>
      </c>
      <c r="U9281" t="s">
        <v>45160</v>
      </c>
      <c r="W9281" t="s">
        <v>38921</v>
      </c>
      <c r="X9281" t="s">
        <v>42683</v>
      </c>
    </row>
    <row r="9282" spans="1:24">
      <c r="A9282">
        <f>HYPERLINK("https://www.philgeps.gov.ph/GEPSNONPILOT/Tender/SplashBidNoticeAbstractUI.aspx?menuIndex=3&amp;refID=7174250&amp;Result=3","7174250")</f>
        <v>0</v>
      </c>
      <c r="B9282" t="s">
        <v>52</v>
      </c>
      <c r="C9282" t="s">
        <v>12391</v>
      </c>
      <c r="D9282" t="s">
        <v>17183</v>
      </c>
      <c r="E9282" t="s">
        <v>25198</v>
      </c>
      <c r="F9282" t="s">
        <v>29372</v>
      </c>
      <c r="G9282" t="s">
        <v>29379</v>
      </c>
      <c r="H9282" t="s">
        <v>11048</v>
      </c>
      <c r="I9282" t="s">
        <v>14920</v>
      </c>
      <c r="J9282" t="s">
        <v>32748</v>
      </c>
      <c r="K9282" t="s">
        <v>38522</v>
      </c>
      <c r="M9282" t="s">
        <v>40848</v>
      </c>
      <c r="N9282" t="s">
        <v>42669</v>
      </c>
      <c r="O9282" t="s">
        <v>42670</v>
      </c>
      <c r="Q9282">
        <v>6</v>
      </c>
      <c r="R9282" t="s">
        <v>42682</v>
      </c>
      <c r="S9282" t="s">
        <v>42994</v>
      </c>
      <c r="T9282" t="s">
        <v>44431</v>
      </c>
      <c r="U9282" t="s">
        <v>52417</v>
      </c>
      <c r="W9282" t="s">
        <v>40848</v>
      </c>
      <c r="X9282" t="s">
        <v>42683</v>
      </c>
    </row>
    <row r="9283" spans="1:24">
      <c r="A9283">
        <f>HYPERLINK("https://www.philgeps.gov.ph/GEPSNONPILOT/Tender/SplashBidNoticeAbstractUI.aspx?menuIndex=3&amp;refID=7174255&amp;Result=3","7174255")</f>
        <v>0</v>
      </c>
      <c r="B9283" t="s">
        <v>52</v>
      </c>
      <c r="C9283" t="s">
        <v>12392</v>
      </c>
      <c r="D9283" t="s">
        <v>17192</v>
      </c>
      <c r="E9283" t="s">
        <v>25199</v>
      </c>
      <c r="F9283" t="s">
        <v>29372</v>
      </c>
      <c r="G9283" t="s">
        <v>29382</v>
      </c>
      <c r="H9283" t="s">
        <v>11048</v>
      </c>
      <c r="I9283" t="s">
        <v>4487</v>
      </c>
      <c r="J9283" t="s">
        <v>35466</v>
      </c>
      <c r="K9283" t="s">
        <v>38530</v>
      </c>
      <c r="L9283" t="s">
        <v>52</v>
      </c>
      <c r="M9283" t="s">
        <v>38921</v>
      </c>
      <c r="N9283" t="s">
        <v>42669</v>
      </c>
      <c r="O9283" t="s">
        <v>42670</v>
      </c>
      <c r="Q9283">
        <v>8</v>
      </c>
      <c r="R9283" t="s">
        <v>42682</v>
      </c>
      <c r="S9283" t="s">
        <v>42995</v>
      </c>
      <c r="T9283" t="s">
        <v>44489</v>
      </c>
      <c r="U9283" t="s">
        <v>45160</v>
      </c>
      <c r="W9283" t="s">
        <v>38921</v>
      </c>
      <c r="X9283" t="s">
        <v>42683</v>
      </c>
    </row>
    <row r="9284" spans="1:24">
      <c r="A9284">
        <f>HYPERLINK("https://www.philgeps.gov.ph/GEPSNONPILOT/Tender/SplashBidNoticeAbstractUI.aspx?menuIndex=3&amp;refID=7174235&amp;Result=3","7174235")</f>
        <v>0</v>
      </c>
      <c r="B9284" t="s">
        <v>52</v>
      </c>
      <c r="C9284" t="s">
        <v>12393</v>
      </c>
      <c r="D9284" t="s">
        <v>17192</v>
      </c>
      <c r="E9284" t="s">
        <v>25200</v>
      </c>
      <c r="F9284" t="s">
        <v>29372</v>
      </c>
      <c r="G9284" t="s">
        <v>29379</v>
      </c>
      <c r="H9284" t="s">
        <v>11048</v>
      </c>
      <c r="I9284" t="s">
        <v>4486</v>
      </c>
      <c r="J9284" t="s">
        <v>30427</v>
      </c>
      <c r="K9284" t="s">
        <v>38530</v>
      </c>
      <c r="L9284" t="s">
        <v>52</v>
      </c>
      <c r="M9284" t="s">
        <v>38921</v>
      </c>
      <c r="N9284" t="s">
        <v>42669</v>
      </c>
      <c r="O9284" t="s">
        <v>42670</v>
      </c>
      <c r="Q9284">
        <v>1</v>
      </c>
      <c r="R9284" t="s">
        <v>42682</v>
      </c>
      <c r="S9284" t="s">
        <v>42996</v>
      </c>
      <c r="T9284" t="s">
        <v>44489</v>
      </c>
      <c r="U9284" t="s">
        <v>45160</v>
      </c>
      <c r="W9284" t="s">
        <v>38921</v>
      </c>
      <c r="X9284" t="s">
        <v>42683</v>
      </c>
    </row>
    <row r="9285" spans="1:24">
      <c r="A9285">
        <f>HYPERLINK("https://www.philgeps.gov.ph/GEPSNONPILOT/Tender/SplashBidNoticeAbstractUI.aspx?menuIndex=3&amp;refID=7174234&amp;Result=3","7174234")</f>
        <v>0</v>
      </c>
      <c r="B9285" t="s">
        <v>613</v>
      </c>
      <c r="C9285" t="s">
        <v>12394</v>
      </c>
      <c r="D9285" t="s">
        <v>17205</v>
      </c>
      <c r="E9285" t="s">
        <v>25201</v>
      </c>
      <c r="F9285" t="s">
        <v>29372</v>
      </c>
      <c r="G9285" t="s">
        <v>29379</v>
      </c>
      <c r="H9285" t="s">
        <v>11048</v>
      </c>
      <c r="I9285" t="s">
        <v>3695</v>
      </c>
      <c r="J9285" t="s">
        <v>35467</v>
      </c>
      <c r="K9285" t="s">
        <v>38490</v>
      </c>
      <c r="M9285" t="s">
        <v>39384</v>
      </c>
      <c r="N9285" t="s">
        <v>42669</v>
      </c>
      <c r="O9285" t="s">
        <v>42670</v>
      </c>
      <c r="Q9285">
        <v>3</v>
      </c>
      <c r="R9285" t="s">
        <v>42682</v>
      </c>
      <c r="S9285" t="s">
        <v>42997</v>
      </c>
      <c r="T9285" t="s">
        <v>44417</v>
      </c>
      <c r="U9285" t="s">
        <v>46150</v>
      </c>
      <c r="V9285" t="s">
        <v>56514</v>
      </c>
      <c r="W9285" t="s">
        <v>39384</v>
      </c>
      <c r="X9285" t="s">
        <v>42683</v>
      </c>
    </row>
    <row r="9286" spans="1:24">
      <c r="A9286">
        <f>HYPERLINK("https://www.philgeps.gov.ph/GEPSNONPILOT/Tender/SplashBidNoticeAbstractUI.aspx?menuIndex=3&amp;refID=7174211&amp;Result=3","7174211")</f>
        <v>0</v>
      </c>
      <c r="B9286" t="s">
        <v>2786</v>
      </c>
      <c r="C9286" t="s">
        <v>12389</v>
      </c>
      <c r="D9286" t="s">
        <v>17178</v>
      </c>
      <c r="E9286" t="s">
        <v>25202</v>
      </c>
      <c r="F9286" t="s">
        <v>29372</v>
      </c>
      <c r="G9286" t="s">
        <v>29380</v>
      </c>
      <c r="H9286" t="s">
        <v>29389</v>
      </c>
      <c r="I9286" t="s">
        <v>29453</v>
      </c>
      <c r="J9286" t="s">
        <v>29543</v>
      </c>
      <c r="K9286" t="s">
        <v>38564</v>
      </c>
      <c r="M9286" t="s">
        <v>41773</v>
      </c>
      <c r="N9286" t="s">
        <v>42669</v>
      </c>
      <c r="O9286" t="s">
        <v>42670</v>
      </c>
      <c r="P9286">
        <v>0</v>
      </c>
      <c r="Q9286">
        <v>15</v>
      </c>
      <c r="R9286" t="s">
        <v>42682</v>
      </c>
      <c r="S9286" t="s">
        <v>42984</v>
      </c>
      <c r="T9286" t="s">
        <v>44587</v>
      </c>
      <c r="U9286" t="s">
        <v>52418</v>
      </c>
      <c r="W9286" t="s">
        <v>41773</v>
      </c>
      <c r="X9286" t="s">
        <v>42683</v>
      </c>
    </row>
    <row r="9287" spans="1:24">
      <c r="A9287">
        <f>HYPERLINK("https://www.philgeps.gov.ph/GEPSNONPILOT/Tender/SplashBidNoticeAbstractUI.aspx?menuIndex=3&amp;refID=7174280&amp;Result=3","7174280")</f>
        <v>0</v>
      </c>
      <c r="B9287" t="s">
        <v>2414</v>
      </c>
      <c r="C9287" t="s">
        <v>12395</v>
      </c>
      <c r="D9287" t="s">
        <v>17211</v>
      </c>
      <c r="E9287" t="s">
        <v>25203</v>
      </c>
      <c r="F9287" t="s">
        <v>29372</v>
      </c>
      <c r="G9287" t="s">
        <v>29380</v>
      </c>
      <c r="H9287" t="s">
        <v>11048</v>
      </c>
      <c r="I9287" t="s">
        <v>4709</v>
      </c>
      <c r="J9287" t="s">
        <v>35468</v>
      </c>
      <c r="K9287" t="s">
        <v>38496</v>
      </c>
      <c r="M9287" t="s">
        <v>41361</v>
      </c>
      <c r="N9287" t="s">
        <v>42669</v>
      </c>
      <c r="O9287" t="s">
        <v>42670</v>
      </c>
      <c r="P9287">
        <v>0</v>
      </c>
      <c r="Q9287">
        <v>0</v>
      </c>
      <c r="R9287" t="s">
        <v>42682</v>
      </c>
      <c r="S9287" t="s">
        <v>42984</v>
      </c>
      <c r="T9287" t="s">
        <v>44439</v>
      </c>
      <c r="U9287" t="s">
        <v>52419</v>
      </c>
      <c r="V9287" t="s">
        <v>57391</v>
      </c>
      <c r="W9287" t="s">
        <v>41361</v>
      </c>
      <c r="X9287" t="s">
        <v>42683</v>
      </c>
    </row>
    <row r="9288" spans="1:24">
      <c r="A9288">
        <f>HYPERLINK("https://www.philgeps.gov.ph/GEPSNONPILOT/Tender/SplashBidNoticeAbstractUI.aspx?menuIndex=3&amp;refID=7174212&amp;Result=3","7174212")</f>
        <v>0</v>
      </c>
      <c r="B9288" t="s">
        <v>2786</v>
      </c>
      <c r="C9288" t="s">
        <v>12389</v>
      </c>
      <c r="D9288" t="s">
        <v>17178</v>
      </c>
      <c r="E9288" t="s">
        <v>25204</v>
      </c>
      <c r="F9288" t="s">
        <v>29372</v>
      </c>
      <c r="G9288" t="s">
        <v>29380</v>
      </c>
      <c r="H9288" t="s">
        <v>29389</v>
      </c>
      <c r="I9288" t="s">
        <v>29453</v>
      </c>
      <c r="J9288" t="s">
        <v>30056</v>
      </c>
      <c r="K9288" t="s">
        <v>38495</v>
      </c>
      <c r="M9288" t="s">
        <v>41773</v>
      </c>
      <c r="N9288" t="s">
        <v>42669</v>
      </c>
      <c r="O9288" t="s">
        <v>42670</v>
      </c>
      <c r="P9288">
        <v>0</v>
      </c>
      <c r="Q9288">
        <v>15</v>
      </c>
      <c r="R9288" t="s">
        <v>42682</v>
      </c>
      <c r="S9288" t="s">
        <v>42984</v>
      </c>
      <c r="T9288" t="s">
        <v>44587</v>
      </c>
      <c r="U9288" t="s">
        <v>52420</v>
      </c>
      <c r="W9288" t="s">
        <v>41773</v>
      </c>
      <c r="X9288" t="s">
        <v>42683</v>
      </c>
    </row>
    <row r="9289" spans="1:24">
      <c r="A9289">
        <f>HYPERLINK("https://www.philgeps.gov.ph/GEPSNONPILOT/Tender/SplashBidNoticeAbstractUI.aspx?menuIndex=3&amp;refID=7174208&amp;Result=3","7174208")</f>
        <v>0</v>
      </c>
      <c r="B9289" t="s">
        <v>248</v>
      </c>
      <c r="C9289" t="s">
        <v>12396</v>
      </c>
      <c r="D9289" t="s">
        <v>17161</v>
      </c>
      <c r="E9289" t="s">
        <v>25205</v>
      </c>
      <c r="F9289" t="s">
        <v>29372</v>
      </c>
      <c r="G9289" t="s">
        <v>29380</v>
      </c>
      <c r="H9289" t="s">
        <v>11048</v>
      </c>
      <c r="I9289" t="s">
        <v>29398</v>
      </c>
      <c r="J9289" t="s">
        <v>35469</v>
      </c>
      <c r="K9289" t="s">
        <v>38485</v>
      </c>
      <c r="M9289" t="s">
        <v>39007</v>
      </c>
      <c r="N9289" t="s">
        <v>42669</v>
      </c>
      <c r="O9289" t="s">
        <v>42670</v>
      </c>
      <c r="P9289">
        <v>0</v>
      </c>
      <c r="Q9289">
        <v>0</v>
      </c>
      <c r="R9289" t="s">
        <v>42682</v>
      </c>
      <c r="S9289" t="s">
        <v>42984</v>
      </c>
      <c r="T9289" t="s">
        <v>44527</v>
      </c>
      <c r="U9289" t="s">
        <v>52421</v>
      </c>
      <c r="W9289" t="s">
        <v>39007</v>
      </c>
      <c r="X9289" t="s">
        <v>42683</v>
      </c>
    </row>
    <row r="9290" spans="1:24">
      <c r="A9290">
        <f>HYPERLINK("https://www.philgeps.gov.ph/GEPSNONPILOT/Tender/SplashBidNoticeAbstractUI.aspx?menuIndex=3&amp;refID=7171228&amp;Result=3","7171228")</f>
        <v>0</v>
      </c>
      <c r="B9290" t="s">
        <v>2465</v>
      </c>
      <c r="C9290" t="s">
        <v>12397</v>
      </c>
      <c r="D9290" t="s">
        <v>17143</v>
      </c>
      <c r="E9290" t="s">
        <v>25206</v>
      </c>
      <c r="F9290" t="s">
        <v>29372</v>
      </c>
      <c r="G9290" t="s">
        <v>29380</v>
      </c>
      <c r="H9290" t="s">
        <v>11048</v>
      </c>
      <c r="I9290" t="s">
        <v>3670</v>
      </c>
      <c r="J9290" t="s">
        <v>34515</v>
      </c>
      <c r="K9290" t="s">
        <v>38490</v>
      </c>
      <c r="M9290" t="s">
        <v>41414</v>
      </c>
      <c r="N9290" t="s">
        <v>42669</v>
      </c>
      <c r="O9290" t="s">
        <v>42670</v>
      </c>
      <c r="P9290">
        <v>0</v>
      </c>
      <c r="Q9290">
        <v>3</v>
      </c>
      <c r="R9290" t="s">
        <v>42682</v>
      </c>
      <c r="S9290" t="s">
        <v>42984</v>
      </c>
      <c r="T9290" t="s">
        <v>44389</v>
      </c>
      <c r="U9290" t="s">
        <v>52422</v>
      </c>
      <c r="V9290" t="s">
        <v>57213</v>
      </c>
      <c r="W9290" t="s">
        <v>41414</v>
      </c>
      <c r="X9290" t="s">
        <v>42684</v>
      </c>
    </row>
    <row r="9291" spans="1:24">
      <c r="A9291">
        <f>HYPERLINK("https://www.philgeps.gov.ph/GEPSNONPILOT/Tender/SplashBidNoticeAbstractUI.aspx?menuIndex=3&amp;refID=7174209&amp;Result=3","7174209")</f>
        <v>0</v>
      </c>
      <c r="B9291" t="s">
        <v>2786</v>
      </c>
      <c r="C9291" t="s">
        <v>12389</v>
      </c>
      <c r="D9291" t="s">
        <v>17178</v>
      </c>
      <c r="E9291" t="s">
        <v>25207</v>
      </c>
      <c r="F9291" t="s">
        <v>29372</v>
      </c>
      <c r="G9291" t="s">
        <v>29380</v>
      </c>
      <c r="H9291" t="s">
        <v>29389</v>
      </c>
      <c r="I9291" t="s">
        <v>29453</v>
      </c>
      <c r="J9291" t="s">
        <v>30161</v>
      </c>
      <c r="K9291" t="s">
        <v>38564</v>
      </c>
      <c r="M9291" t="s">
        <v>41773</v>
      </c>
      <c r="N9291" t="s">
        <v>42669</v>
      </c>
      <c r="O9291" t="s">
        <v>42670</v>
      </c>
      <c r="P9291">
        <v>0</v>
      </c>
      <c r="Q9291">
        <v>16</v>
      </c>
      <c r="R9291" t="s">
        <v>42682</v>
      </c>
      <c r="S9291" t="s">
        <v>42984</v>
      </c>
      <c r="T9291" t="s">
        <v>44587</v>
      </c>
      <c r="U9291" t="s">
        <v>52423</v>
      </c>
      <c r="W9291" t="s">
        <v>41773</v>
      </c>
      <c r="X9291" t="s">
        <v>42683</v>
      </c>
    </row>
    <row r="9292" spans="1:24">
      <c r="A9292">
        <f>HYPERLINK("https://www.philgeps.gov.ph/GEPSNONPILOT/Tender/SplashBidNoticeAbstractUI.aspx?menuIndex=3&amp;refID=7174322&amp;Result=3","7174322")</f>
        <v>0</v>
      </c>
      <c r="B9292" t="s">
        <v>235</v>
      </c>
      <c r="C9292" t="s">
        <v>12398</v>
      </c>
      <c r="D9292" t="s">
        <v>17185</v>
      </c>
      <c r="E9292" t="s">
        <v>25208</v>
      </c>
      <c r="F9292" t="s">
        <v>29372</v>
      </c>
      <c r="G9292" t="s">
        <v>29380</v>
      </c>
      <c r="H9292" t="s">
        <v>11048</v>
      </c>
      <c r="I9292" t="s">
        <v>29393</v>
      </c>
      <c r="J9292" t="s">
        <v>35470</v>
      </c>
      <c r="K9292" t="s">
        <v>38510</v>
      </c>
      <c r="M9292" t="s">
        <v>41769</v>
      </c>
      <c r="N9292" t="s">
        <v>42669</v>
      </c>
      <c r="O9292" t="s">
        <v>42670</v>
      </c>
      <c r="P9292">
        <v>0</v>
      </c>
      <c r="Q9292">
        <v>0</v>
      </c>
      <c r="R9292" t="s">
        <v>42682</v>
      </c>
      <c r="S9292" t="s">
        <v>42984</v>
      </c>
      <c r="T9292" t="s">
        <v>44368</v>
      </c>
      <c r="U9292" t="s">
        <v>52407</v>
      </c>
      <c r="V9292" t="s">
        <v>57389</v>
      </c>
      <c r="W9292" t="s">
        <v>58098</v>
      </c>
      <c r="X9292" t="s">
        <v>42683</v>
      </c>
    </row>
    <row r="9293" spans="1:24">
      <c r="A9293">
        <f>HYPERLINK("https://www.philgeps.gov.ph/GEPSNONPILOT/Tender/SplashBidNoticeAbstractUI.aspx?menuIndex=3&amp;refID=7174207&amp;Result=3","7174207")</f>
        <v>0</v>
      </c>
      <c r="B9293" t="s">
        <v>2786</v>
      </c>
      <c r="C9293" t="s">
        <v>12389</v>
      </c>
      <c r="D9293" t="s">
        <v>17178</v>
      </c>
      <c r="E9293" t="s">
        <v>25209</v>
      </c>
      <c r="F9293" t="s">
        <v>29372</v>
      </c>
      <c r="G9293" t="s">
        <v>29380</v>
      </c>
      <c r="H9293" t="s">
        <v>29389</v>
      </c>
      <c r="I9293" t="s">
        <v>29453</v>
      </c>
      <c r="J9293" t="s">
        <v>30056</v>
      </c>
      <c r="K9293" t="s">
        <v>38564</v>
      </c>
      <c r="M9293" t="s">
        <v>41773</v>
      </c>
      <c r="N9293" t="s">
        <v>42669</v>
      </c>
      <c r="O9293" t="s">
        <v>42670</v>
      </c>
      <c r="P9293">
        <v>0</v>
      </c>
      <c r="Q9293">
        <v>15</v>
      </c>
      <c r="R9293" t="s">
        <v>42682</v>
      </c>
      <c r="S9293" t="s">
        <v>42984</v>
      </c>
      <c r="T9293" t="s">
        <v>44587</v>
      </c>
      <c r="U9293" t="s">
        <v>52424</v>
      </c>
      <c r="W9293" t="s">
        <v>41773</v>
      </c>
      <c r="X9293" t="s">
        <v>42683</v>
      </c>
    </row>
    <row r="9294" spans="1:24">
      <c r="A9294">
        <f>HYPERLINK("https://www.philgeps.gov.ph/GEPSNONPILOT/Tender/SplashBidNoticeAbstractUI.aspx?menuIndex=3&amp;refID=7171835&amp;Result=3","7171835")</f>
        <v>0</v>
      </c>
      <c r="B9294" t="s">
        <v>2783</v>
      </c>
      <c r="C9294" t="s">
        <v>12399</v>
      </c>
      <c r="D9294" t="s">
        <v>17153</v>
      </c>
      <c r="E9294" t="s">
        <v>25210</v>
      </c>
      <c r="F9294" t="s">
        <v>29372</v>
      </c>
      <c r="G9294" t="s">
        <v>29380</v>
      </c>
      <c r="H9294" t="s">
        <v>11048</v>
      </c>
      <c r="I9294" t="s">
        <v>29407</v>
      </c>
      <c r="J9294" t="s">
        <v>35471</v>
      </c>
      <c r="K9294" t="s">
        <v>38485</v>
      </c>
      <c r="L9294" t="s">
        <v>2783</v>
      </c>
      <c r="M9294" t="s">
        <v>41770</v>
      </c>
      <c r="N9294" t="s">
        <v>42669</v>
      </c>
      <c r="O9294" t="s">
        <v>42670</v>
      </c>
      <c r="P9294">
        <v>0</v>
      </c>
      <c r="Q9294">
        <v>3</v>
      </c>
      <c r="R9294" t="s">
        <v>42682</v>
      </c>
      <c r="S9294" t="s">
        <v>42984</v>
      </c>
      <c r="T9294" t="s">
        <v>44433</v>
      </c>
      <c r="U9294" t="s">
        <v>52425</v>
      </c>
      <c r="V9294" t="s">
        <v>57392</v>
      </c>
      <c r="W9294" t="s">
        <v>41770</v>
      </c>
      <c r="X9294" t="s">
        <v>42684</v>
      </c>
    </row>
    <row r="9295" spans="1:24">
      <c r="A9295">
        <f>HYPERLINK("https://www.philgeps.gov.ph/GEPSNONPILOT/Tender/SplashBidNoticeAbstractUI.aspx?menuIndex=3&amp;refID=7174415&amp;Result=3","7174415")</f>
        <v>0</v>
      </c>
      <c r="B9295" t="s">
        <v>2787</v>
      </c>
      <c r="C9295" t="s">
        <v>12400</v>
      </c>
      <c r="D9295" t="s">
        <v>17216</v>
      </c>
      <c r="E9295" t="s">
        <v>25211</v>
      </c>
      <c r="F9295" t="s">
        <v>29372</v>
      </c>
      <c r="G9295" t="s">
        <v>29380</v>
      </c>
      <c r="H9295" t="s">
        <v>11048</v>
      </c>
      <c r="I9295" t="s">
        <v>8794</v>
      </c>
      <c r="J9295" t="s">
        <v>35472</v>
      </c>
      <c r="K9295" t="s">
        <v>38485</v>
      </c>
      <c r="M9295" t="s">
        <v>41774</v>
      </c>
      <c r="N9295" t="s">
        <v>42669</v>
      </c>
      <c r="O9295" t="s">
        <v>42670</v>
      </c>
      <c r="P9295">
        <v>0</v>
      </c>
      <c r="Q9295">
        <v>2</v>
      </c>
      <c r="R9295" t="s">
        <v>42682</v>
      </c>
      <c r="S9295" t="s">
        <v>42984</v>
      </c>
      <c r="T9295" t="s">
        <v>44488</v>
      </c>
      <c r="U9295" t="s">
        <v>52426</v>
      </c>
      <c r="W9295" t="s">
        <v>41774</v>
      </c>
      <c r="X9295" t="s">
        <v>42683</v>
      </c>
    </row>
    <row r="9296" spans="1:24">
      <c r="A9296">
        <f>HYPERLINK("https://www.philgeps.gov.ph/GEPSNONPILOT/Tender/SplashBidNoticeAbstractUI.aspx?menuIndex=3&amp;refID=7174385&amp;Result=3","7174385")</f>
        <v>0</v>
      </c>
      <c r="B9296" t="s">
        <v>2788</v>
      </c>
      <c r="C9296" t="s">
        <v>12401</v>
      </c>
      <c r="D9296" t="s">
        <v>17169</v>
      </c>
      <c r="E9296" t="s">
        <v>25212</v>
      </c>
      <c r="F9296" t="s">
        <v>29372</v>
      </c>
      <c r="G9296" t="s">
        <v>29380</v>
      </c>
      <c r="H9296" t="s">
        <v>11048</v>
      </c>
      <c r="I9296" t="s">
        <v>29448</v>
      </c>
      <c r="J9296" t="s">
        <v>35473</v>
      </c>
      <c r="K9296" t="s">
        <v>38489</v>
      </c>
      <c r="M9296" t="s">
        <v>41775</v>
      </c>
      <c r="N9296" t="s">
        <v>42669</v>
      </c>
      <c r="O9296" t="s">
        <v>42670</v>
      </c>
      <c r="P9296">
        <v>0</v>
      </c>
      <c r="Q9296">
        <v>1</v>
      </c>
      <c r="R9296" t="s">
        <v>42682</v>
      </c>
      <c r="S9296" t="s">
        <v>42984</v>
      </c>
      <c r="T9296" t="s">
        <v>44474</v>
      </c>
      <c r="U9296" t="s">
        <v>52427</v>
      </c>
      <c r="W9296" t="s">
        <v>41775</v>
      </c>
      <c r="X9296" t="s">
        <v>42683</v>
      </c>
    </row>
    <row r="9297" spans="1:24">
      <c r="A9297">
        <f>HYPERLINK("https://www.philgeps.gov.ph/GEPSNONPILOT/Tender/SplashBidNoticeAbstractUI.aspx?menuIndex=3&amp;refID=7174210&amp;Result=3","7174210")</f>
        <v>0</v>
      </c>
      <c r="B9297" t="s">
        <v>2786</v>
      </c>
      <c r="C9297" t="s">
        <v>12389</v>
      </c>
      <c r="D9297" t="s">
        <v>17178</v>
      </c>
      <c r="E9297" t="s">
        <v>25213</v>
      </c>
      <c r="F9297" t="s">
        <v>29372</v>
      </c>
      <c r="G9297" t="s">
        <v>29380</v>
      </c>
      <c r="H9297" t="s">
        <v>29389</v>
      </c>
      <c r="I9297" t="s">
        <v>29453</v>
      </c>
      <c r="J9297" t="s">
        <v>30056</v>
      </c>
      <c r="K9297" t="s">
        <v>38495</v>
      </c>
      <c r="M9297" t="s">
        <v>41773</v>
      </c>
      <c r="N9297" t="s">
        <v>42669</v>
      </c>
      <c r="O9297" t="s">
        <v>42670</v>
      </c>
      <c r="P9297">
        <v>0</v>
      </c>
      <c r="Q9297">
        <v>15</v>
      </c>
      <c r="R9297" t="s">
        <v>42682</v>
      </c>
      <c r="S9297" t="s">
        <v>42984</v>
      </c>
      <c r="T9297" t="s">
        <v>44587</v>
      </c>
      <c r="U9297" t="s">
        <v>52428</v>
      </c>
      <c r="W9297" t="s">
        <v>41773</v>
      </c>
      <c r="X9297" t="s">
        <v>42683</v>
      </c>
    </row>
    <row r="9298" spans="1:24">
      <c r="A9298">
        <f>HYPERLINK("https://www.philgeps.gov.ph/GEPSNONPILOT/Tender/SplashBidNoticeAbstractUI.aspx?menuIndex=3&amp;refID=7174376&amp;Result=3","7174376")</f>
        <v>0</v>
      </c>
      <c r="B9298" t="s">
        <v>235</v>
      </c>
      <c r="C9298" t="s">
        <v>12402</v>
      </c>
      <c r="D9298" t="s">
        <v>17185</v>
      </c>
      <c r="E9298" t="s">
        <v>25214</v>
      </c>
      <c r="F9298" t="s">
        <v>29372</v>
      </c>
      <c r="G9298" t="s">
        <v>29380</v>
      </c>
      <c r="H9298" t="s">
        <v>11048</v>
      </c>
      <c r="I9298" t="s">
        <v>29393</v>
      </c>
      <c r="J9298" t="s">
        <v>35474</v>
      </c>
      <c r="K9298" t="s">
        <v>38510</v>
      </c>
      <c r="M9298" t="s">
        <v>41769</v>
      </c>
      <c r="N9298" t="s">
        <v>42669</v>
      </c>
      <c r="O9298" t="s">
        <v>42670</v>
      </c>
      <c r="P9298">
        <v>0</v>
      </c>
      <c r="Q9298">
        <v>0</v>
      </c>
      <c r="R9298" t="s">
        <v>42682</v>
      </c>
      <c r="S9298" t="s">
        <v>42984</v>
      </c>
      <c r="T9298" t="s">
        <v>44368</v>
      </c>
      <c r="U9298" t="s">
        <v>52407</v>
      </c>
      <c r="V9298" t="s">
        <v>57389</v>
      </c>
      <c r="W9298" t="s">
        <v>58098</v>
      </c>
      <c r="X9298" t="s">
        <v>42683</v>
      </c>
    </row>
    <row r="9299" spans="1:24">
      <c r="A9299">
        <f>HYPERLINK("https://www.philgeps.gov.ph/GEPSNONPILOT/Tender/SplashBidNoticeAbstractUI.aspx?menuIndex=3&amp;refID=7174364&amp;Result=3","7174364")</f>
        <v>0</v>
      </c>
      <c r="B9299" t="s">
        <v>235</v>
      </c>
      <c r="C9299" t="s">
        <v>12403</v>
      </c>
      <c r="D9299" t="s">
        <v>17185</v>
      </c>
      <c r="E9299" t="s">
        <v>25215</v>
      </c>
      <c r="F9299" t="s">
        <v>29372</v>
      </c>
      <c r="G9299" t="s">
        <v>29380</v>
      </c>
      <c r="H9299" t="s">
        <v>11048</v>
      </c>
      <c r="I9299" t="s">
        <v>29393</v>
      </c>
      <c r="J9299" t="s">
        <v>35475</v>
      </c>
      <c r="K9299" t="s">
        <v>38510</v>
      </c>
      <c r="M9299" t="s">
        <v>41769</v>
      </c>
      <c r="N9299" t="s">
        <v>42669</v>
      </c>
      <c r="O9299" t="s">
        <v>42670</v>
      </c>
      <c r="P9299">
        <v>0</v>
      </c>
      <c r="Q9299">
        <v>0</v>
      </c>
      <c r="R9299" t="s">
        <v>42682</v>
      </c>
      <c r="S9299" t="s">
        <v>42984</v>
      </c>
      <c r="T9299" t="s">
        <v>44368</v>
      </c>
      <c r="U9299" t="s">
        <v>52407</v>
      </c>
      <c r="V9299" t="s">
        <v>57389</v>
      </c>
      <c r="W9299" t="s">
        <v>58098</v>
      </c>
      <c r="X9299" t="s">
        <v>42683</v>
      </c>
    </row>
    <row r="9300" spans="1:24">
      <c r="A9300">
        <f>HYPERLINK("https://www.philgeps.gov.ph/GEPSNONPILOT/Tender/SplashBidNoticeAbstractUI.aspx?menuIndex=3&amp;refID=7174355&amp;Result=3","7174355")</f>
        <v>0</v>
      </c>
      <c r="B9300" t="s">
        <v>1547</v>
      </c>
      <c r="C9300" t="s">
        <v>12404</v>
      </c>
      <c r="D9300" t="s">
        <v>17164</v>
      </c>
      <c r="E9300" t="s">
        <v>25216</v>
      </c>
      <c r="F9300" t="s">
        <v>29372</v>
      </c>
      <c r="G9300" t="s">
        <v>29380</v>
      </c>
      <c r="H9300" t="s">
        <v>11048</v>
      </c>
      <c r="I9300" t="s">
        <v>29415</v>
      </c>
      <c r="J9300" t="s">
        <v>35476</v>
      </c>
      <c r="K9300" t="s">
        <v>38485</v>
      </c>
      <c r="M9300" t="s">
        <v>40397</v>
      </c>
      <c r="N9300" t="s">
        <v>42669</v>
      </c>
      <c r="O9300" t="s">
        <v>42670</v>
      </c>
      <c r="P9300">
        <v>0</v>
      </c>
      <c r="Q9300">
        <v>3</v>
      </c>
      <c r="R9300" t="s">
        <v>42682</v>
      </c>
      <c r="S9300" t="s">
        <v>42984</v>
      </c>
      <c r="T9300" t="s">
        <v>44685</v>
      </c>
      <c r="U9300" t="s">
        <v>52429</v>
      </c>
      <c r="V9300" t="s">
        <v>57393</v>
      </c>
      <c r="W9300" t="s">
        <v>40397</v>
      </c>
      <c r="X9300" t="s">
        <v>42683</v>
      </c>
    </row>
    <row r="9301" spans="1:24">
      <c r="A9301">
        <f>HYPERLINK("https://www.philgeps.gov.ph/GEPSNONPILOT/Tender/SplashBidNoticeAbstractUI.aspx?menuIndex=3&amp;refID=7174343&amp;Result=3","7174343")</f>
        <v>0</v>
      </c>
      <c r="B9301" t="s">
        <v>2789</v>
      </c>
      <c r="C9301" t="s">
        <v>12405</v>
      </c>
      <c r="D9301" t="s">
        <v>17161</v>
      </c>
      <c r="E9301" t="s">
        <v>25217</v>
      </c>
      <c r="F9301" t="s">
        <v>29372</v>
      </c>
      <c r="G9301" t="s">
        <v>29380</v>
      </c>
      <c r="H9301" t="s">
        <v>29389</v>
      </c>
      <c r="I9301" t="s">
        <v>10408</v>
      </c>
      <c r="J9301" t="s">
        <v>35477</v>
      </c>
      <c r="K9301" t="s">
        <v>38509</v>
      </c>
      <c r="M9301" t="s">
        <v>41776</v>
      </c>
      <c r="N9301" t="s">
        <v>42669</v>
      </c>
      <c r="O9301" t="s">
        <v>42670</v>
      </c>
      <c r="P9301">
        <v>0</v>
      </c>
      <c r="Q9301">
        <v>0</v>
      </c>
      <c r="R9301" t="s">
        <v>42682</v>
      </c>
      <c r="S9301" t="s">
        <v>42984</v>
      </c>
      <c r="T9301" t="s">
        <v>44482</v>
      </c>
      <c r="U9301" t="s">
        <v>52430</v>
      </c>
      <c r="W9301" t="s">
        <v>41776</v>
      </c>
      <c r="X9301" t="s">
        <v>42683</v>
      </c>
    </row>
    <row r="9302" spans="1:24">
      <c r="A9302">
        <f>HYPERLINK("https://www.philgeps.gov.ph/GEPSNONPILOT/Tender/SplashBidNoticeAbstractUI.aspx?menuIndex=3&amp;refID=7174338&amp;Result=3","7174338")</f>
        <v>0</v>
      </c>
      <c r="B9302" t="s">
        <v>2790</v>
      </c>
      <c r="C9302" t="s">
        <v>12406</v>
      </c>
      <c r="D9302" t="s">
        <v>17143</v>
      </c>
      <c r="E9302" t="s">
        <v>25218</v>
      </c>
      <c r="F9302" t="s">
        <v>29372</v>
      </c>
      <c r="G9302" t="s">
        <v>29380</v>
      </c>
      <c r="H9302" t="s">
        <v>11048</v>
      </c>
      <c r="I9302" t="s">
        <v>9469</v>
      </c>
      <c r="J9302" t="s">
        <v>32999</v>
      </c>
      <c r="K9302" t="s">
        <v>38495</v>
      </c>
      <c r="M9302" t="s">
        <v>41777</v>
      </c>
      <c r="N9302" t="s">
        <v>42669</v>
      </c>
      <c r="O9302" t="s">
        <v>42670</v>
      </c>
      <c r="Q9302">
        <v>3</v>
      </c>
      <c r="R9302" t="s">
        <v>42682</v>
      </c>
      <c r="S9302" t="s">
        <v>42998</v>
      </c>
      <c r="T9302" t="s">
        <v>44355</v>
      </c>
      <c r="U9302" t="s">
        <v>52431</v>
      </c>
      <c r="V9302" t="s">
        <v>57394</v>
      </c>
      <c r="W9302" t="s">
        <v>41777</v>
      </c>
      <c r="X9302" t="s">
        <v>42683</v>
      </c>
    </row>
    <row r="9303" spans="1:24">
      <c r="A9303">
        <f>HYPERLINK("https://www.philgeps.gov.ph/GEPSNONPILOT/Tender/SplashBidNoticeAbstractUI.aspx?menuIndex=3&amp;refID=7174320&amp;Result=3","7174320")</f>
        <v>0</v>
      </c>
      <c r="B9303" t="s">
        <v>2790</v>
      </c>
      <c r="C9303" t="s">
        <v>12407</v>
      </c>
      <c r="D9303" t="s">
        <v>17143</v>
      </c>
      <c r="E9303" t="s">
        <v>25219</v>
      </c>
      <c r="F9303" t="s">
        <v>29372</v>
      </c>
      <c r="G9303" t="s">
        <v>29380</v>
      </c>
      <c r="H9303" t="s">
        <v>29389</v>
      </c>
      <c r="I9303" t="s">
        <v>10408</v>
      </c>
      <c r="J9303" t="s">
        <v>35478</v>
      </c>
      <c r="K9303" t="s">
        <v>38495</v>
      </c>
      <c r="M9303" t="s">
        <v>41777</v>
      </c>
      <c r="N9303" t="s">
        <v>42669</v>
      </c>
      <c r="O9303" t="s">
        <v>42670</v>
      </c>
      <c r="Q9303">
        <v>0</v>
      </c>
      <c r="R9303" t="s">
        <v>42682</v>
      </c>
      <c r="S9303" t="s">
        <v>42999</v>
      </c>
      <c r="T9303" t="s">
        <v>44355</v>
      </c>
      <c r="U9303" t="s">
        <v>52432</v>
      </c>
      <c r="V9303" t="s">
        <v>57395</v>
      </c>
      <c r="W9303" t="s">
        <v>41777</v>
      </c>
      <c r="X9303" t="s">
        <v>42683</v>
      </c>
    </row>
    <row r="9304" spans="1:24">
      <c r="A9304">
        <f>HYPERLINK("https://www.philgeps.gov.ph/GEPSNONPILOT/Tender/SplashBidNoticeAbstractUI.aspx?menuIndex=3&amp;refID=7174319&amp;Result=3","7174319")</f>
        <v>0</v>
      </c>
      <c r="B9304" t="s">
        <v>2791</v>
      </c>
      <c r="C9304" t="s">
        <v>12408</v>
      </c>
      <c r="D9304" t="s">
        <v>17180</v>
      </c>
      <c r="E9304" t="s">
        <v>25220</v>
      </c>
      <c r="F9304" t="s">
        <v>29372</v>
      </c>
      <c r="G9304" t="s">
        <v>29382</v>
      </c>
      <c r="H9304" t="s">
        <v>11048</v>
      </c>
      <c r="I9304" t="s">
        <v>3670</v>
      </c>
      <c r="J9304" t="s">
        <v>35479</v>
      </c>
      <c r="K9304" t="s">
        <v>38485</v>
      </c>
      <c r="M9304" t="s">
        <v>41778</v>
      </c>
      <c r="N9304" t="s">
        <v>42669</v>
      </c>
      <c r="O9304" t="s">
        <v>42670</v>
      </c>
      <c r="P9304">
        <v>0</v>
      </c>
      <c r="Q9304">
        <v>3</v>
      </c>
      <c r="R9304" t="s">
        <v>42682</v>
      </c>
      <c r="S9304" t="s">
        <v>42984</v>
      </c>
      <c r="T9304" t="s">
        <v>44512</v>
      </c>
      <c r="U9304" t="s">
        <v>52433</v>
      </c>
      <c r="V9304" t="s">
        <v>57396</v>
      </c>
      <c r="W9304" t="s">
        <v>41778</v>
      </c>
      <c r="X9304" t="s">
        <v>42683</v>
      </c>
    </row>
    <row r="9305" spans="1:24">
      <c r="A9305">
        <f>HYPERLINK("https://www.philgeps.gov.ph/GEPSNONPILOT/Tender/SplashBidNoticeAbstractUI.aspx?menuIndex=3&amp;refID=7174247&amp;Result=3","7174247")</f>
        <v>0</v>
      </c>
      <c r="B9305" t="s">
        <v>1727</v>
      </c>
      <c r="C9305" t="s">
        <v>12409</v>
      </c>
      <c r="D9305" t="s">
        <v>17193</v>
      </c>
      <c r="E9305" t="s">
        <v>25221</v>
      </c>
      <c r="F9305" t="s">
        <v>29372</v>
      </c>
      <c r="G9305" t="s">
        <v>29380</v>
      </c>
      <c r="H9305" t="s">
        <v>11048</v>
      </c>
      <c r="I9305" t="s">
        <v>3839</v>
      </c>
      <c r="J9305" t="s">
        <v>29587</v>
      </c>
      <c r="K9305" t="s">
        <v>38490</v>
      </c>
      <c r="M9305" t="s">
        <v>40591</v>
      </c>
      <c r="N9305" t="s">
        <v>42669</v>
      </c>
      <c r="O9305" t="s">
        <v>42670</v>
      </c>
      <c r="P9305">
        <v>0</v>
      </c>
      <c r="Q9305">
        <v>6</v>
      </c>
      <c r="R9305" t="s">
        <v>42682</v>
      </c>
      <c r="S9305" t="s">
        <v>42984</v>
      </c>
      <c r="T9305" t="s">
        <v>44427</v>
      </c>
      <c r="U9305" t="s">
        <v>52434</v>
      </c>
      <c r="V9305" t="s">
        <v>57397</v>
      </c>
      <c r="W9305" t="s">
        <v>40591</v>
      </c>
      <c r="X9305" t="s">
        <v>42683</v>
      </c>
    </row>
    <row r="9306" spans="1:24">
      <c r="A9306">
        <f>HYPERLINK("https://www.philgeps.gov.ph/GEPSNONPILOT/Tender/SplashBidNoticeAbstractUI.aspx?menuIndex=3&amp;refID=7174592&amp;Result=3","7174592")</f>
        <v>0</v>
      </c>
      <c r="B9306" t="s">
        <v>702</v>
      </c>
      <c r="C9306" t="s">
        <v>12410</v>
      </c>
      <c r="D9306" t="s">
        <v>17221</v>
      </c>
      <c r="E9306" t="s">
        <v>25222</v>
      </c>
      <c r="F9306" t="s">
        <v>29372</v>
      </c>
      <c r="G9306" t="s">
        <v>29380</v>
      </c>
      <c r="H9306" t="s">
        <v>11048</v>
      </c>
      <c r="I9306" t="s">
        <v>3629</v>
      </c>
      <c r="J9306" t="s">
        <v>35480</v>
      </c>
      <c r="K9306" t="s">
        <v>38491</v>
      </c>
      <c r="M9306" t="s">
        <v>39480</v>
      </c>
      <c r="N9306" t="s">
        <v>42669</v>
      </c>
      <c r="O9306" t="s">
        <v>42670</v>
      </c>
      <c r="P9306">
        <v>0</v>
      </c>
      <c r="Q9306">
        <v>0</v>
      </c>
      <c r="R9306" t="s">
        <v>42682</v>
      </c>
      <c r="S9306" t="s">
        <v>42984</v>
      </c>
      <c r="T9306" t="s">
        <v>44474</v>
      </c>
      <c r="U9306" t="s">
        <v>52435</v>
      </c>
      <c r="V9306" t="s">
        <v>57398</v>
      </c>
      <c r="W9306" t="s">
        <v>39480</v>
      </c>
      <c r="X9306" t="s">
        <v>42683</v>
      </c>
    </row>
    <row r="9307" spans="1:24">
      <c r="A9307">
        <f>HYPERLINK("https://www.philgeps.gov.ph/GEPSNONPILOT/Tender/SplashBidNoticeAbstractUI.aspx?menuIndex=3&amp;refID=7171898&amp;Result=3","7171898")</f>
        <v>0</v>
      </c>
      <c r="B9307" t="s">
        <v>2783</v>
      </c>
      <c r="C9307" t="s">
        <v>12411</v>
      </c>
      <c r="D9307" t="s">
        <v>17153</v>
      </c>
      <c r="E9307" t="s">
        <v>25223</v>
      </c>
      <c r="F9307" t="s">
        <v>29372</v>
      </c>
      <c r="G9307" t="s">
        <v>29380</v>
      </c>
      <c r="H9307" t="s">
        <v>11048</v>
      </c>
      <c r="I9307" t="s">
        <v>29410</v>
      </c>
      <c r="J9307" t="s">
        <v>35481</v>
      </c>
      <c r="K9307" t="s">
        <v>38485</v>
      </c>
      <c r="L9307" t="s">
        <v>2783</v>
      </c>
      <c r="M9307" t="s">
        <v>41770</v>
      </c>
      <c r="N9307" t="s">
        <v>42669</v>
      </c>
      <c r="O9307" t="s">
        <v>42670</v>
      </c>
      <c r="P9307">
        <v>0</v>
      </c>
      <c r="Q9307">
        <v>3</v>
      </c>
      <c r="R9307" t="s">
        <v>42682</v>
      </c>
      <c r="S9307" t="s">
        <v>42984</v>
      </c>
      <c r="T9307" t="s">
        <v>44433</v>
      </c>
      <c r="U9307" t="s">
        <v>52436</v>
      </c>
      <c r="V9307" t="s">
        <v>57392</v>
      </c>
      <c r="W9307" t="s">
        <v>41770</v>
      </c>
      <c r="X9307" t="s">
        <v>42684</v>
      </c>
    </row>
    <row r="9308" spans="1:24">
      <c r="A9308">
        <f>HYPERLINK("https://www.philgeps.gov.ph/GEPSNONPILOT/Tender/SplashBidNoticeAbstractUI.aspx?menuIndex=3&amp;refID=7174562&amp;Result=3","7174562")</f>
        <v>0</v>
      </c>
      <c r="B9308" t="s">
        <v>582</v>
      </c>
      <c r="C9308" t="s">
        <v>12412</v>
      </c>
      <c r="D9308" t="s">
        <v>17145</v>
      </c>
      <c r="E9308" t="s">
        <v>25224</v>
      </c>
      <c r="F9308" t="s">
        <v>29372</v>
      </c>
      <c r="G9308" t="s">
        <v>29380</v>
      </c>
      <c r="H9308" t="s">
        <v>29389</v>
      </c>
      <c r="I9308" t="s">
        <v>10408</v>
      </c>
      <c r="J9308" t="s">
        <v>35482</v>
      </c>
      <c r="K9308" t="s">
        <v>38485</v>
      </c>
      <c r="M9308" t="s">
        <v>41779</v>
      </c>
      <c r="N9308" t="s">
        <v>42669</v>
      </c>
      <c r="O9308" t="s">
        <v>42670</v>
      </c>
      <c r="P9308">
        <v>0</v>
      </c>
      <c r="Q9308">
        <v>0</v>
      </c>
      <c r="R9308" t="s">
        <v>42682</v>
      </c>
      <c r="S9308" t="s">
        <v>42984</v>
      </c>
      <c r="T9308" t="s">
        <v>44444</v>
      </c>
      <c r="U9308" t="s">
        <v>52437</v>
      </c>
      <c r="W9308" t="s">
        <v>41779</v>
      </c>
      <c r="X9308" t="s">
        <v>42683</v>
      </c>
    </row>
    <row r="9309" spans="1:24">
      <c r="A9309">
        <f>HYPERLINK("https://www.philgeps.gov.ph/GEPSNONPILOT/Tender/SplashBidNoticeAbstractUI.aspx?menuIndex=3&amp;refID=7174584&amp;Result=3","7174584")</f>
        <v>0</v>
      </c>
      <c r="B9309" t="s">
        <v>235</v>
      </c>
      <c r="C9309" t="s">
        <v>12413</v>
      </c>
      <c r="D9309" t="s">
        <v>17185</v>
      </c>
      <c r="E9309" t="s">
        <v>25225</v>
      </c>
      <c r="F9309" t="s">
        <v>29372</v>
      </c>
      <c r="G9309" t="s">
        <v>29380</v>
      </c>
      <c r="H9309" t="s">
        <v>11048</v>
      </c>
      <c r="I9309" t="s">
        <v>29393</v>
      </c>
      <c r="J9309" t="s">
        <v>35483</v>
      </c>
      <c r="K9309" t="s">
        <v>38510</v>
      </c>
      <c r="M9309" t="s">
        <v>41769</v>
      </c>
      <c r="N9309" t="s">
        <v>42669</v>
      </c>
      <c r="O9309" t="s">
        <v>42670</v>
      </c>
      <c r="P9309">
        <v>0</v>
      </c>
      <c r="Q9309">
        <v>0</v>
      </c>
      <c r="R9309" t="s">
        <v>42682</v>
      </c>
      <c r="S9309" t="s">
        <v>42984</v>
      </c>
      <c r="T9309" t="s">
        <v>44368</v>
      </c>
      <c r="U9309" t="s">
        <v>52407</v>
      </c>
      <c r="V9309" t="s">
        <v>57389</v>
      </c>
      <c r="W9309" t="s">
        <v>58098</v>
      </c>
      <c r="X9309" t="s">
        <v>42683</v>
      </c>
    </row>
    <row r="9310" spans="1:24">
      <c r="A9310">
        <f>HYPERLINK("https://www.philgeps.gov.ph/GEPSNONPILOT/Tender/SplashBidNoticeAbstractUI.aspx?menuIndex=3&amp;refID=7174526&amp;Result=3","7174526")</f>
        <v>0</v>
      </c>
      <c r="B9310" t="s">
        <v>1763</v>
      </c>
      <c r="C9310" t="s">
        <v>12414</v>
      </c>
      <c r="D9310" t="s">
        <v>17156</v>
      </c>
      <c r="E9310" t="s">
        <v>24894</v>
      </c>
      <c r="F9310" t="s">
        <v>29372</v>
      </c>
      <c r="G9310" t="s">
        <v>29380</v>
      </c>
      <c r="H9310" t="s">
        <v>11048</v>
      </c>
      <c r="I9310" t="s">
        <v>29429</v>
      </c>
      <c r="J9310" t="s">
        <v>29724</v>
      </c>
      <c r="K9310" t="s">
        <v>38496</v>
      </c>
      <c r="M9310" t="s">
        <v>40630</v>
      </c>
      <c r="N9310" t="s">
        <v>42669</v>
      </c>
      <c r="O9310" t="s">
        <v>42670</v>
      </c>
      <c r="P9310">
        <v>0</v>
      </c>
      <c r="Q9310">
        <v>2</v>
      </c>
      <c r="R9310" t="s">
        <v>42682</v>
      </c>
      <c r="S9310" t="s">
        <v>42984</v>
      </c>
      <c r="T9310" t="s">
        <v>44433</v>
      </c>
      <c r="U9310" t="s">
        <v>52438</v>
      </c>
      <c r="W9310" t="s">
        <v>40630</v>
      </c>
      <c r="X9310" t="s">
        <v>42683</v>
      </c>
    </row>
    <row r="9311" spans="1:24">
      <c r="A9311">
        <f>HYPERLINK("https://www.philgeps.gov.ph/GEPSNONPILOT/Tender/SplashBidNoticeAbstractUI.aspx?menuIndex=3&amp;refID=7174394&amp;Result=3","7174394")</f>
        <v>0</v>
      </c>
      <c r="B9311" t="s">
        <v>235</v>
      </c>
      <c r="C9311" t="s">
        <v>12415</v>
      </c>
      <c r="D9311" t="s">
        <v>17185</v>
      </c>
      <c r="E9311" t="s">
        <v>25226</v>
      </c>
      <c r="F9311" t="s">
        <v>29372</v>
      </c>
      <c r="G9311" t="s">
        <v>29380</v>
      </c>
      <c r="H9311" t="s">
        <v>11048</v>
      </c>
      <c r="I9311" t="s">
        <v>29393</v>
      </c>
      <c r="J9311" t="s">
        <v>35484</v>
      </c>
      <c r="K9311" t="s">
        <v>38510</v>
      </c>
      <c r="M9311" t="s">
        <v>41769</v>
      </c>
      <c r="N9311" t="s">
        <v>42669</v>
      </c>
      <c r="O9311" t="s">
        <v>42670</v>
      </c>
      <c r="P9311">
        <v>0</v>
      </c>
      <c r="Q9311">
        <v>0</v>
      </c>
      <c r="R9311" t="s">
        <v>42682</v>
      </c>
      <c r="S9311" t="s">
        <v>42984</v>
      </c>
      <c r="T9311" t="s">
        <v>44368</v>
      </c>
      <c r="U9311" t="s">
        <v>52407</v>
      </c>
      <c r="V9311" t="s">
        <v>57389</v>
      </c>
      <c r="W9311" t="s">
        <v>58098</v>
      </c>
      <c r="X9311" t="s">
        <v>42683</v>
      </c>
    </row>
    <row r="9312" spans="1:24">
      <c r="A9312">
        <f>HYPERLINK("https://www.philgeps.gov.ph/GEPSNONPILOT/Tender/SplashBidNoticeAbstractUI.aspx?menuIndex=3&amp;refID=7174337&amp;Result=3","7174337")</f>
        <v>0</v>
      </c>
      <c r="B9312" t="s">
        <v>235</v>
      </c>
      <c r="C9312" t="s">
        <v>12416</v>
      </c>
      <c r="D9312" t="s">
        <v>17185</v>
      </c>
      <c r="E9312" t="s">
        <v>25227</v>
      </c>
      <c r="F9312" t="s">
        <v>29372</v>
      </c>
      <c r="G9312" t="s">
        <v>29380</v>
      </c>
      <c r="H9312" t="s">
        <v>11048</v>
      </c>
      <c r="I9312" t="s">
        <v>29393</v>
      </c>
      <c r="J9312" t="s">
        <v>35485</v>
      </c>
      <c r="K9312" t="s">
        <v>38510</v>
      </c>
      <c r="M9312" t="s">
        <v>41769</v>
      </c>
      <c r="N9312" t="s">
        <v>42669</v>
      </c>
      <c r="O9312" t="s">
        <v>42670</v>
      </c>
      <c r="P9312">
        <v>0</v>
      </c>
      <c r="Q9312">
        <v>0</v>
      </c>
      <c r="R9312" t="s">
        <v>42682</v>
      </c>
      <c r="S9312" t="s">
        <v>42984</v>
      </c>
      <c r="T9312" t="s">
        <v>44368</v>
      </c>
      <c r="U9312" t="s">
        <v>52407</v>
      </c>
      <c r="V9312" t="s">
        <v>57389</v>
      </c>
      <c r="W9312" t="s">
        <v>58098</v>
      </c>
      <c r="X9312" t="s">
        <v>42683</v>
      </c>
    </row>
    <row r="9313" spans="1:24">
      <c r="A9313">
        <f>HYPERLINK("https://www.philgeps.gov.ph/GEPSNONPILOT/Tender/SplashBidNoticeAbstractUI.aspx?menuIndex=3&amp;refID=7174503&amp;Result=3","7174503")</f>
        <v>0</v>
      </c>
      <c r="B9313" t="s">
        <v>2792</v>
      </c>
      <c r="C9313" t="s">
        <v>12417</v>
      </c>
      <c r="D9313" t="s">
        <v>17226</v>
      </c>
      <c r="E9313" t="s">
        <v>25228</v>
      </c>
      <c r="F9313" t="s">
        <v>29372</v>
      </c>
      <c r="G9313" t="s">
        <v>29380</v>
      </c>
      <c r="H9313" t="s">
        <v>11048</v>
      </c>
      <c r="I9313" t="s">
        <v>3839</v>
      </c>
      <c r="J9313" t="s">
        <v>35486</v>
      </c>
      <c r="K9313" t="s">
        <v>38510</v>
      </c>
      <c r="M9313" t="s">
        <v>41780</v>
      </c>
      <c r="N9313" t="s">
        <v>42669</v>
      </c>
      <c r="O9313" t="s">
        <v>42670</v>
      </c>
      <c r="P9313">
        <v>0</v>
      </c>
      <c r="Q9313">
        <v>1</v>
      </c>
      <c r="R9313" t="s">
        <v>42682</v>
      </c>
      <c r="S9313" t="s">
        <v>42984</v>
      </c>
      <c r="T9313" t="s">
        <v>44488</v>
      </c>
      <c r="U9313" t="s">
        <v>52439</v>
      </c>
      <c r="W9313" t="s">
        <v>41780</v>
      </c>
      <c r="X9313" t="s">
        <v>42683</v>
      </c>
    </row>
    <row r="9314" spans="1:24">
      <c r="A9314">
        <f>HYPERLINK("https://www.philgeps.gov.ph/GEPSNONPILOT/Tender/SplashBidNoticeAbstractUI.aspx?menuIndex=3&amp;refID=7174502&amp;Result=3","7174502")</f>
        <v>0</v>
      </c>
      <c r="B9314" t="s">
        <v>2788</v>
      </c>
      <c r="C9314" t="s">
        <v>12418</v>
      </c>
      <c r="D9314" t="s">
        <v>17169</v>
      </c>
      <c r="E9314" t="s">
        <v>25212</v>
      </c>
      <c r="F9314" t="s">
        <v>29372</v>
      </c>
      <c r="G9314" t="s">
        <v>29380</v>
      </c>
      <c r="H9314" t="s">
        <v>29389</v>
      </c>
      <c r="I9314" t="s">
        <v>10408</v>
      </c>
      <c r="J9314" t="s">
        <v>35487</v>
      </c>
      <c r="K9314" t="s">
        <v>38485</v>
      </c>
      <c r="M9314" t="s">
        <v>41775</v>
      </c>
      <c r="N9314" t="s">
        <v>42669</v>
      </c>
      <c r="O9314" t="s">
        <v>42670</v>
      </c>
      <c r="P9314">
        <v>0</v>
      </c>
      <c r="Q9314">
        <v>0</v>
      </c>
      <c r="R9314" t="s">
        <v>42682</v>
      </c>
      <c r="S9314" t="s">
        <v>42984</v>
      </c>
      <c r="T9314" t="s">
        <v>44474</v>
      </c>
      <c r="U9314" t="s">
        <v>52440</v>
      </c>
      <c r="W9314" t="s">
        <v>41775</v>
      </c>
      <c r="X9314" t="s">
        <v>42683</v>
      </c>
    </row>
    <row r="9315" spans="1:24">
      <c r="A9315">
        <f>HYPERLINK("https://www.philgeps.gov.ph/GEPSNONPILOT/Tender/SplashBidNoticeAbstractUI.aspx?menuIndex=3&amp;refID=7174494&amp;Result=3","7174494")</f>
        <v>0</v>
      </c>
      <c r="B9315" t="s">
        <v>235</v>
      </c>
      <c r="C9315" t="s">
        <v>12419</v>
      </c>
      <c r="D9315" t="s">
        <v>17185</v>
      </c>
      <c r="E9315" t="s">
        <v>25229</v>
      </c>
      <c r="F9315" t="s">
        <v>29372</v>
      </c>
      <c r="G9315" t="s">
        <v>29380</v>
      </c>
      <c r="H9315" t="s">
        <v>11048</v>
      </c>
      <c r="I9315" t="s">
        <v>29393</v>
      </c>
      <c r="J9315" t="s">
        <v>35474</v>
      </c>
      <c r="K9315" t="s">
        <v>38510</v>
      </c>
      <c r="M9315" t="s">
        <v>41769</v>
      </c>
      <c r="N9315" t="s">
        <v>42669</v>
      </c>
      <c r="O9315" t="s">
        <v>42670</v>
      </c>
      <c r="P9315">
        <v>0</v>
      </c>
      <c r="Q9315">
        <v>0</v>
      </c>
      <c r="R9315" t="s">
        <v>42682</v>
      </c>
      <c r="S9315" t="s">
        <v>42984</v>
      </c>
      <c r="T9315" t="s">
        <v>44368</v>
      </c>
      <c r="U9315" t="s">
        <v>52407</v>
      </c>
      <c r="V9315" t="s">
        <v>57389</v>
      </c>
      <c r="W9315" t="s">
        <v>58098</v>
      </c>
      <c r="X9315" t="s">
        <v>42683</v>
      </c>
    </row>
    <row r="9316" spans="1:24">
      <c r="A9316">
        <f>HYPERLINK("https://www.philgeps.gov.ph/GEPSNONPILOT/Tender/SplashBidNoticeAbstractUI.aspx?menuIndex=3&amp;refID=7172874&amp;Result=3","7172874")</f>
        <v>0</v>
      </c>
      <c r="B9316" t="s">
        <v>216</v>
      </c>
      <c r="C9316" t="s">
        <v>12420</v>
      </c>
      <c r="D9316" t="s">
        <v>17183</v>
      </c>
      <c r="E9316" t="s">
        <v>19666</v>
      </c>
      <c r="F9316" t="s">
        <v>29372</v>
      </c>
      <c r="G9316" t="s">
        <v>29380</v>
      </c>
      <c r="H9316" t="s">
        <v>29389</v>
      </c>
      <c r="I9316" t="s">
        <v>10408</v>
      </c>
      <c r="J9316" t="s">
        <v>29540</v>
      </c>
      <c r="K9316" t="s">
        <v>38495</v>
      </c>
      <c r="M9316" t="s">
        <v>38974</v>
      </c>
      <c r="N9316" t="s">
        <v>42669</v>
      </c>
      <c r="O9316" t="s">
        <v>42670</v>
      </c>
      <c r="P9316">
        <v>0</v>
      </c>
      <c r="Q9316">
        <v>1</v>
      </c>
      <c r="R9316" t="s">
        <v>42682</v>
      </c>
      <c r="S9316" t="s">
        <v>42984</v>
      </c>
      <c r="T9316" t="s">
        <v>44482</v>
      </c>
      <c r="U9316" t="s">
        <v>52441</v>
      </c>
      <c r="W9316" t="s">
        <v>38974</v>
      </c>
      <c r="X9316" t="s">
        <v>42684</v>
      </c>
    </row>
    <row r="9317" spans="1:24">
      <c r="A9317">
        <f>HYPERLINK("https://www.philgeps.gov.ph/GEPSNONPILOT/Tender/SplashBidNoticeAbstractUI.aspx?menuIndex=3&amp;refID=7174485&amp;Result=3","7174485")</f>
        <v>0</v>
      </c>
      <c r="B9317" t="s">
        <v>2793</v>
      </c>
      <c r="C9317" t="s">
        <v>12421</v>
      </c>
      <c r="D9317" t="s">
        <v>17141</v>
      </c>
      <c r="E9317" t="s">
        <v>25230</v>
      </c>
      <c r="F9317" t="s">
        <v>29373</v>
      </c>
      <c r="G9317" t="s">
        <v>29380</v>
      </c>
      <c r="H9317" t="s">
        <v>11048</v>
      </c>
      <c r="I9317" t="s">
        <v>29458</v>
      </c>
      <c r="J9317" t="s">
        <v>31002</v>
      </c>
      <c r="K9317" t="s">
        <v>38488</v>
      </c>
      <c r="M9317" t="s">
        <v>41781</v>
      </c>
      <c r="N9317" t="s">
        <v>42669</v>
      </c>
      <c r="O9317" t="s">
        <v>42670</v>
      </c>
      <c r="P9317">
        <v>0</v>
      </c>
      <c r="Q9317">
        <v>2</v>
      </c>
      <c r="R9317" t="s">
        <v>42682</v>
      </c>
      <c r="S9317" t="s">
        <v>42984</v>
      </c>
      <c r="T9317" t="s">
        <v>44775</v>
      </c>
      <c r="U9317" t="s">
        <v>52442</v>
      </c>
      <c r="W9317" t="s">
        <v>41781</v>
      </c>
      <c r="X9317" t="s">
        <v>42683</v>
      </c>
    </row>
    <row r="9318" spans="1:24">
      <c r="A9318">
        <f>HYPERLINK("https://www.philgeps.gov.ph/GEPSNONPILOT/Tender/SplashBidNoticeAbstractUI.aspx?menuIndex=3&amp;refID=7174484&amp;Result=3","7174484")</f>
        <v>0</v>
      </c>
      <c r="B9318" t="s">
        <v>2414</v>
      </c>
      <c r="C9318" t="s">
        <v>12422</v>
      </c>
      <c r="D9318" t="s">
        <v>17211</v>
      </c>
      <c r="E9318" t="s">
        <v>25231</v>
      </c>
      <c r="F9318" t="s">
        <v>29372</v>
      </c>
      <c r="G9318" t="s">
        <v>29380</v>
      </c>
      <c r="H9318" t="s">
        <v>11048</v>
      </c>
      <c r="I9318" t="s">
        <v>4709</v>
      </c>
      <c r="J9318" t="s">
        <v>35488</v>
      </c>
      <c r="K9318" t="s">
        <v>38496</v>
      </c>
      <c r="M9318" t="s">
        <v>41361</v>
      </c>
      <c r="N9318" t="s">
        <v>42669</v>
      </c>
      <c r="O9318" t="s">
        <v>42670</v>
      </c>
      <c r="P9318">
        <v>0</v>
      </c>
      <c r="Q9318">
        <v>0</v>
      </c>
      <c r="R9318" t="s">
        <v>42682</v>
      </c>
      <c r="S9318" t="s">
        <v>42984</v>
      </c>
      <c r="T9318" t="s">
        <v>44439</v>
      </c>
      <c r="U9318" t="s">
        <v>52443</v>
      </c>
      <c r="V9318" t="s">
        <v>57391</v>
      </c>
      <c r="W9318" t="s">
        <v>41361</v>
      </c>
      <c r="X9318" t="s">
        <v>42683</v>
      </c>
    </row>
    <row r="9319" spans="1:24">
      <c r="A9319">
        <f>HYPERLINK("https://www.philgeps.gov.ph/GEPSNONPILOT/Tender/SplashBidNoticeAbstractUI.aspx?menuIndex=3&amp;refID=7174808&amp;Result=3","7174808")</f>
        <v>0</v>
      </c>
      <c r="B9319" t="s">
        <v>1732</v>
      </c>
      <c r="C9319" t="s">
        <v>12423</v>
      </c>
      <c r="D9319" t="s">
        <v>17164</v>
      </c>
      <c r="E9319" t="s">
        <v>25232</v>
      </c>
      <c r="F9319" t="s">
        <v>29372</v>
      </c>
      <c r="G9319" t="s">
        <v>29380</v>
      </c>
      <c r="H9319" t="s">
        <v>11048</v>
      </c>
      <c r="I9319" t="s">
        <v>3670</v>
      </c>
      <c r="J9319" t="s">
        <v>35489</v>
      </c>
      <c r="K9319" t="s">
        <v>38491</v>
      </c>
      <c r="M9319" t="s">
        <v>40596</v>
      </c>
      <c r="N9319" t="s">
        <v>42669</v>
      </c>
      <c r="O9319" t="s">
        <v>42670</v>
      </c>
      <c r="P9319">
        <v>0</v>
      </c>
      <c r="Q9319">
        <v>1</v>
      </c>
      <c r="R9319" t="s">
        <v>42682</v>
      </c>
      <c r="S9319" t="s">
        <v>42984</v>
      </c>
      <c r="T9319" t="s">
        <v>44527</v>
      </c>
      <c r="U9319" t="s">
        <v>52444</v>
      </c>
      <c r="W9319" t="s">
        <v>40596</v>
      </c>
      <c r="X9319" t="s">
        <v>42683</v>
      </c>
    </row>
    <row r="9320" spans="1:24">
      <c r="A9320">
        <f>HYPERLINK("https://www.philgeps.gov.ph/GEPSNONPILOT/Tender/SplashBidNoticeAbstractUI.aspx?menuIndex=3&amp;refID=7174795&amp;Result=3","7174795")</f>
        <v>0</v>
      </c>
      <c r="B9320" t="s">
        <v>1732</v>
      </c>
      <c r="C9320" t="s">
        <v>12424</v>
      </c>
      <c r="D9320" t="s">
        <v>17164</v>
      </c>
      <c r="E9320" t="s">
        <v>25233</v>
      </c>
      <c r="F9320" t="s">
        <v>29372</v>
      </c>
      <c r="G9320" t="s">
        <v>29380</v>
      </c>
      <c r="H9320" t="s">
        <v>11048</v>
      </c>
      <c r="I9320" t="s">
        <v>3670</v>
      </c>
      <c r="J9320" t="s">
        <v>35490</v>
      </c>
      <c r="K9320" t="s">
        <v>38491</v>
      </c>
      <c r="M9320" t="s">
        <v>40596</v>
      </c>
      <c r="N9320" t="s">
        <v>42669</v>
      </c>
      <c r="O9320" t="s">
        <v>42670</v>
      </c>
      <c r="P9320">
        <v>0</v>
      </c>
      <c r="Q9320">
        <v>1</v>
      </c>
      <c r="R9320" t="s">
        <v>42682</v>
      </c>
      <c r="S9320" t="s">
        <v>42984</v>
      </c>
      <c r="T9320" t="s">
        <v>44457</v>
      </c>
      <c r="U9320" t="s">
        <v>52444</v>
      </c>
      <c r="W9320" t="s">
        <v>40596</v>
      </c>
      <c r="X9320" t="s">
        <v>42683</v>
      </c>
    </row>
    <row r="9321" spans="1:24">
      <c r="A9321">
        <f>HYPERLINK("https://www.philgeps.gov.ph/GEPSNONPILOT/Tender/SplashBidNoticeAbstractUI.aspx?menuIndex=3&amp;refID=7174511&amp;Result=3","7174511")</f>
        <v>0</v>
      </c>
      <c r="B9321" t="s">
        <v>2793</v>
      </c>
      <c r="C9321" t="s">
        <v>12425</v>
      </c>
      <c r="D9321" t="s">
        <v>17141</v>
      </c>
      <c r="E9321" t="s">
        <v>25234</v>
      </c>
      <c r="F9321" t="s">
        <v>29373</v>
      </c>
      <c r="G9321" t="s">
        <v>29380</v>
      </c>
      <c r="H9321" t="s">
        <v>11048</v>
      </c>
      <c r="I9321" t="s">
        <v>29397</v>
      </c>
      <c r="J9321" t="s">
        <v>29767</v>
      </c>
      <c r="K9321" t="s">
        <v>38488</v>
      </c>
      <c r="M9321" t="s">
        <v>41781</v>
      </c>
      <c r="N9321" t="s">
        <v>42669</v>
      </c>
      <c r="O9321" t="s">
        <v>42670</v>
      </c>
      <c r="P9321">
        <v>0</v>
      </c>
      <c r="Q9321">
        <v>3</v>
      </c>
      <c r="R9321" t="s">
        <v>42682</v>
      </c>
      <c r="S9321" t="s">
        <v>42984</v>
      </c>
      <c r="T9321" t="s">
        <v>44666</v>
      </c>
      <c r="U9321" t="s">
        <v>52445</v>
      </c>
      <c r="W9321" t="s">
        <v>41781</v>
      </c>
      <c r="X9321" t="s">
        <v>42683</v>
      </c>
    </row>
    <row r="9322" spans="1:24">
      <c r="A9322">
        <f>HYPERLINK("https://www.philgeps.gov.ph/GEPSNONPILOT/Tender/SplashBidNoticeAbstractUI.aspx?menuIndex=3&amp;refID=7174490&amp;Result=3","7174490")</f>
        <v>0</v>
      </c>
      <c r="B9322" t="s">
        <v>1159</v>
      </c>
      <c r="C9322" t="s">
        <v>12426</v>
      </c>
      <c r="D9322" t="s">
        <v>17145</v>
      </c>
      <c r="E9322" t="s">
        <v>25235</v>
      </c>
      <c r="F9322" t="s">
        <v>29372</v>
      </c>
      <c r="G9322" t="s">
        <v>29379</v>
      </c>
      <c r="H9322" t="s">
        <v>11048</v>
      </c>
      <c r="I9322" t="s">
        <v>29409</v>
      </c>
      <c r="J9322" t="s">
        <v>29526</v>
      </c>
      <c r="K9322" t="s">
        <v>38510</v>
      </c>
      <c r="M9322" t="s">
        <v>39973</v>
      </c>
      <c r="N9322" t="s">
        <v>42669</v>
      </c>
      <c r="O9322" t="s">
        <v>42670</v>
      </c>
      <c r="P9322">
        <v>0</v>
      </c>
      <c r="Q9322">
        <v>7</v>
      </c>
      <c r="R9322" t="s">
        <v>42682</v>
      </c>
      <c r="S9322" t="s">
        <v>42984</v>
      </c>
      <c r="T9322" t="s">
        <v>44387</v>
      </c>
      <c r="U9322" t="s">
        <v>52446</v>
      </c>
      <c r="V9322" t="s">
        <v>57399</v>
      </c>
      <c r="W9322" t="s">
        <v>39973</v>
      </c>
      <c r="X9322" t="s">
        <v>42683</v>
      </c>
    </row>
    <row r="9323" spans="1:24">
      <c r="A9323">
        <f>HYPERLINK("https://www.philgeps.gov.ph/GEPSNONPILOT/Tender/SplashBidNoticeAbstractUI.aspx?menuIndex=3&amp;refID=7174732&amp;Result=3","7174732")</f>
        <v>0</v>
      </c>
      <c r="B9323" t="s">
        <v>2221</v>
      </c>
      <c r="C9323" t="s">
        <v>12427</v>
      </c>
      <c r="D9323" t="s">
        <v>17170</v>
      </c>
      <c r="E9323" t="s">
        <v>25236</v>
      </c>
      <c r="F9323" t="s">
        <v>29372</v>
      </c>
      <c r="G9323" t="s">
        <v>29380</v>
      </c>
      <c r="H9323" t="s">
        <v>11048</v>
      </c>
      <c r="I9323" t="s">
        <v>4709</v>
      </c>
      <c r="J9323" t="s">
        <v>35491</v>
      </c>
      <c r="K9323" t="s">
        <v>38488</v>
      </c>
      <c r="M9323" t="s">
        <v>41139</v>
      </c>
      <c r="N9323" t="s">
        <v>42669</v>
      </c>
      <c r="O9323" t="s">
        <v>42670</v>
      </c>
      <c r="P9323">
        <v>0</v>
      </c>
      <c r="Q9323">
        <v>3</v>
      </c>
      <c r="R9323" t="s">
        <v>42682</v>
      </c>
      <c r="S9323" t="s">
        <v>42984</v>
      </c>
      <c r="T9323" t="s">
        <v>44391</v>
      </c>
      <c r="U9323" t="s">
        <v>52447</v>
      </c>
      <c r="W9323" t="s">
        <v>41139</v>
      </c>
      <c r="X9323" t="s">
        <v>42683</v>
      </c>
    </row>
    <row r="9324" spans="1:24">
      <c r="A9324">
        <f>HYPERLINK("https://www.philgeps.gov.ph/GEPSNONPILOT/Tender/SplashBidNoticeAbstractUI.aspx?menuIndex=3&amp;refID=7174585&amp;Result=3","7174585")</f>
        <v>0</v>
      </c>
      <c r="B9324" t="s">
        <v>703</v>
      </c>
      <c r="C9324" t="s">
        <v>12428</v>
      </c>
      <c r="D9324" t="s">
        <v>17161</v>
      </c>
      <c r="E9324" t="s">
        <v>25237</v>
      </c>
      <c r="F9324" t="s">
        <v>29372</v>
      </c>
      <c r="G9324" t="s">
        <v>29380</v>
      </c>
      <c r="H9324" t="s">
        <v>11048</v>
      </c>
      <c r="I9324" t="s">
        <v>4709</v>
      </c>
      <c r="J9324" t="s">
        <v>35492</v>
      </c>
      <c r="K9324" t="s">
        <v>38491</v>
      </c>
      <c r="M9324" t="s">
        <v>39481</v>
      </c>
      <c r="N9324" t="s">
        <v>42669</v>
      </c>
      <c r="O9324" t="s">
        <v>42670</v>
      </c>
      <c r="P9324">
        <v>0</v>
      </c>
      <c r="Q9324">
        <v>0</v>
      </c>
      <c r="R9324" t="s">
        <v>42682</v>
      </c>
      <c r="S9324" t="s">
        <v>42984</v>
      </c>
      <c r="T9324" t="s">
        <v>44776</v>
      </c>
      <c r="U9324" t="s">
        <v>52448</v>
      </c>
      <c r="W9324" t="s">
        <v>39481</v>
      </c>
      <c r="X9324" t="s">
        <v>42683</v>
      </c>
    </row>
    <row r="9325" spans="1:24">
      <c r="A9325">
        <f>HYPERLINK("https://www.philgeps.gov.ph/GEPSNONPILOT/Tender/SplashBidNoticeAbstractUI.aspx?menuIndex=3&amp;refID=7174728&amp;Result=3","7174728")</f>
        <v>0</v>
      </c>
      <c r="B9325" t="s">
        <v>1417</v>
      </c>
      <c r="C9325" t="s">
        <v>12429</v>
      </c>
      <c r="D9325" t="s">
        <v>17161</v>
      </c>
      <c r="E9325" t="s">
        <v>25238</v>
      </c>
      <c r="F9325" t="s">
        <v>29372</v>
      </c>
      <c r="G9325" t="s">
        <v>29380</v>
      </c>
      <c r="H9325" t="s">
        <v>11048</v>
      </c>
      <c r="I9325" t="s">
        <v>4709</v>
      </c>
      <c r="J9325" t="s">
        <v>35493</v>
      </c>
      <c r="K9325" t="s">
        <v>38510</v>
      </c>
      <c r="M9325" t="s">
        <v>40256</v>
      </c>
      <c r="N9325" t="s">
        <v>42669</v>
      </c>
      <c r="O9325" t="s">
        <v>42670</v>
      </c>
      <c r="P9325">
        <v>0</v>
      </c>
      <c r="Q9325">
        <v>0</v>
      </c>
      <c r="R9325" t="s">
        <v>42682</v>
      </c>
      <c r="S9325" t="s">
        <v>42984</v>
      </c>
      <c r="T9325" t="s">
        <v>44488</v>
      </c>
      <c r="U9325" t="s">
        <v>52449</v>
      </c>
      <c r="W9325" t="s">
        <v>40256</v>
      </c>
      <c r="X9325" t="s">
        <v>42683</v>
      </c>
    </row>
    <row r="9326" spans="1:24">
      <c r="A9326">
        <f>HYPERLINK("https://www.philgeps.gov.ph/GEPSNONPILOT/Tender/SplashBidNoticeAbstractUI.aspx?menuIndex=3&amp;refID=7174769&amp;Result=3","7174769")</f>
        <v>0</v>
      </c>
      <c r="B9326" t="s">
        <v>2794</v>
      </c>
      <c r="C9326" t="s">
        <v>12430</v>
      </c>
      <c r="D9326" t="s">
        <v>17216</v>
      </c>
      <c r="E9326" t="s">
        <v>25239</v>
      </c>
      <c r="F9326" t="s">
        <v>29372</v>
      </c>
      <c r="G9326" t="s">
        <v>29380</v>
      </c>
      <c r="H9326" t="s">
        <v>11048</v>
      </c>
      <c r="I9326" t="s">
        <v>9469</v>
      </c>
      <c r="J9326" t="s">
        <v>35494</v>
      </c>
      <c r="K9326" t="s">
        <v>38518</v>
      </c>
      <c r="M9326" t="s">
        <v>41782</v>
      </c>
      <c r="N9326" t="s">
        <v>42669</v>
      </c>
      <c r="O9326" t="s">
        <v>42670</v>
      </c>
      <c r="P9326">
        <v>0</v>
      </c>
      <c r="Q9326">
        <v>4</v>
      </c>
      <c r="R9326" t="s">
        <v>42682</v>
      </c>
      <c r="S9326" t="s">
        <v>42984</v>
      </c>
      <c r="T9326" t="s">
        <v>44488</v>
      </c>
      <c r="U9326" t="s">
        <v>52450</v>
      </c>
      <c r="W9326" t="s">
        <v>41782</v>
      </c>
      <c r="X9326" t="s">
        <v>42683</v>
      </c>
    </row>
    <row r="9327" spans="1:24">
      <c r="A9327">
        <f>HYPERLINK("https://www.philgeps.gov.ph/GEPSNONPILOT/Tender/SplashBidNoticeAbstractUI.aspx?menuIndex=3&amp;refID=7174581&amp;Result=3","7174581")</f>
        <v>0</v>
      </c>
      <c r="B9327" t="s">
        <v>2795</v>
      </c>
      <c r="C9327" t="s">
        <v>12431</v>
      </c>
      <c r="D9327" t="s">
        <v>17181</v>
      </c>
      <c r="E9327" t="s">
        <v>17965</v>
      </c>
      <c r="F9327" t="s">
        <v>29372</v>
      </c>
      <c r="G9327" t="s">
        <v>29380</v>
      </c>
      <c r="H9327" t="s">
        <v>11048</v>
      </c>
      <c r="I9327" t="s">
        <v>4709</v>
      </c>
      <c r="J9327" t="s">
        <v>29571</v>
      </c>
      <c r="K9327" t="s">
        <v>38485</v>
      </c>
      <c r="M9327" t="s">
        <v>41783</v>
      </c>
      <c r="N9327" t="s">
        <v>42669</v>
      </c>
      <c r="O9327" t="s">
        <v>42670</v>
      </c>
      <c r="P9327">
        <v>0</v>
      </c>
      <c r="Q9327">
        <v>0</v>
      </c>
      <c r="R9327" t="s">
        <v>42682</v>
      </c>
      <c r="S9327" t="s">
        <v>42984</v>
      </c>
      <c r="T9327" t="s">
        <v>44488</v>
      </c>
      <c r="U9327" t="s">
        <v>52451</v>
      </c>
      <c r="W9327" t="s">
        <v>41783</v>
      </c>
      <c r="X9327" t="s">
        <v>42683</v>
      </c>
    </row>
    <row r="9328" spans="1:24">
      <c r="A9328">
        <f>HYPERLINK("https://www.philgeps.gov.ph/GEPSNONPILOT/Tender/SplashBidNoticeAbstractUI.aspx?menuIndex=3&amp;refID=7174406&amp;Result=3","7174406")</f>
        <v>0</v>
      </c>
      <c r="B9328" t="s">
        <v>235</v>
      </c>
      <c r="C9328" t="s">
        <v>12432</v>
      </c>
      <c r="D9328" t="s">
        <v>17185</v>
      </c>
      <c r="E9328" t="s">
        <v>25240</v>
      </c>
      <c r="F9328" t="s">
        <v>29372</v>
      </c>
      <c r="G9328" t="s">
        <v>29380</v>
      </c>
      <c r="H9328" t="s">
        <v>11048</v>
      </c>
      <c r="I9328" t="s">
        <v>29393</v>
      </c>
      <c r="J9328" t="s">
        <v>35495</v>
      </c>
      <c r="K9328" t="s">
        <v>38510</v>
      </c>
      <c r="M9328" t="s">
        <v>41769</v>
      </c>
      <c r="N9328" t="s">
        <v>42669</v>
      </c>
      <c r="O9328" t="s">
        <v>42670</v>
      </c>
      <c r="P9328">
        <v>0</v>
      </c>
      <c r="Q9328">
        <v>0</v>
      </c>
      <c r="R9328" t="s">
        <v>42682</v>
      </c>
      <c r="S9328" t="s">
        <v>42984</v>
      </c>
      <c r="T9328" t="s">
        <v>44368</v>
      </c>
      <c r="U9328" t="s">
        <v>52407</v>
      </c>
      <c r="V9328" t="s">
        <v>57389</v>
      </c>
      <c r="W9328" t="s">
        <v>58098</v>
      </c>
      <c r="X9328" t="s">
        <v>42683</v>
      </c>
    </row>
    <row r="9329" spans="1:24">
      <c r="A9329">
        <f>HYPERLINK("https://www.philgeps.gov.ph/GEPSNONPILOT/Tender/SplashBidNoticeAbstractUI.aspx?menuIndex=3&amp;refID=7174696&amp;Result=3","7174696")</f>
        <v>0</v>
      </c>
      <c r="B9329" t="s">
        <v>2796</v>
      </c>
      <c r="C9329" t="s">
        <v>12433</v>
      </c>
      <c r="D9329" t="s">
        <v>17151</v>
      </c>
      <c r="E9329" t="s">
        <v>25241</v>
      </c>
      <c r="F9329" t="s">
        <v>29372</v>
      </c>
      <c r="G9329" t="s">
        <v>29380</v>
      </c>
      <c r="H9329" t="s">
        <v>29389</v>
      </c>
      <c r="I9329" t="s">
        <v>10408</v>
      </c>
      <c r="J9329" t="s">
        <v>35496</v>
      </c>
      <c r="K9329" t="s">
        <v>38522</v>
      </c>
      <c r="M9329" t="s">
        <v>41784</v>
      </c>
      <c r="N9329" t="s">
        <v>42669</v>
      </c>
      <c r="O9329" t="s">
        <v>42670</v>
      </c>
      <c r="Q9329">
        <v>0</v>
      </c>
      <c r="R9329" t="s">
        <v>42682</v>
      </c>
      <c r="S9329" t="s">
        <v>43000</v>
      </c>
      <c r="T9329" t="s">
        <v>44491</v>
      </c>
      <c r="U9329" t="s">
        <v>52452</v>
      </c>
      <c r="W9329" t="s">
        <v>41784</v>
      </c>
      <c r="X9329" t="s">
        <v>42683</v>
      </c>
    </row>
    <row r="9330" spans="1:24">
      <c r="A9330">
        <f>HYPERLINK("https://www.philgeps.gov.ph/GEPSNONPILOT/Tender/SplashBidNoticeAbstractUI.aspx?menuIndex=3&amp;refID=7174722&amp;Result=3","7174722")</f>
        <v>0</v>
      </c>
      <c r="B9330" t="s">
        <v>2619</v>
      </c>
      <c r="C9330" t="s">
        <v>12434</v>
      </c>
      <c r="D9330" t="s">
        <v>17216</v>
      </c>
      <c r="E9330" t="s">
        <v>25242</v>
      </c>
      <c r="F9330" t="s">
        <v>29372</v>
      </c>
      <c r="G9330" t="s">
        <v>29380</v>
      </c>
      <c r="H9330" t="s">
        <v>11048</v>
      </c>
      <c r="I9330" t="s">
        <v>4487</v>
      </c>
      <c r="J9330" t="s">
        <v>35497</v>
      </c>
      <c r="K9330" t="s">
        <v>38518</v>
      </c>
      <c r="M9330" t="s">
        <v>41590</v>
      </c>
      <c r="N9330" t="s">
        <v>42669</v>
      </c>
      <c r="O9330" t="s">
        <v>42670</v>
      </c>
      <c r="Q9330">
        <v>7</v>
      </c>
      <c r="R9330" t="s">
        <v>42682</v>
      </c>
      <c r="S9330" t="s">
        <v>43001</v>
      </c>
      <c r="T9330" t="s">
        <v>44480</v>
      </c>
      <c r="U9330" t="s">
        <v>52453</v>
      </c>
      <c r="W9330" t="s">
        <v>41590</v>
      </c>
      <c r="X9330" t="s">
        <v>42683</v>
      </c>
    </row>
    <row r="9331" spans="1:24">
      <c r="A9331">
        <f>HYPERLINK("https://www.philgeps.gov.ph/GEPSNONPILOT/Tender/SplashBidNoticeAbstractUI.aspx?menuIndex=3&amp;refID=7174656&amp;Result=3","7174656")</f>
        <v>0</v>
      </c>
      <c r="B9331" t="s">
        <v>235</v>
      </c>
      <c r="C9331" t="s">
        <v>12435</v>
      </c>
      <c r="D9331" t="s">
        <v>17185</v>
      </c>
      <c r="E9331" t="s">
        <v>25243</v>
      </c>
      <c r="F9331" t="s">
        <v>29372</v>
      </c>
      <c r="G9331" t="s">
        <v>29380</v>
      </c>
      <c r="H9331" t="s">
        <v>11048</v>
      </c>
      <c r="I9331" t="s">
        <v>29393</v>
      </c>
      <c r="J9331" t="s">
        <v>35498</v>
      </c>
      <c r="K9331" t="s">
        <v>38510</v>
      </c>
      <c r="M9331" t="s">
        <v>41769</v>
      </c>
      <c r="N9331" t="s">
        <v>42669</v>
      </c>
      <c r="O9331" t="s">
        <v>42670</v>
      </c>
      <c r="P9331">
        <v>0</v>
      </c>
      <c r="Q9331">
        <v>0</v>
      </c>
      <c r="R9331" t="s">
        <v>42682</v>
      </c>
      <c r="S9331" t="s">
        <v>42984</v>
      </c>
      <c r="T9331" t="s">
        <v>44368</v>
      </c>
      <c r="U9331" t="s">
        <v>52407</v>
      </c>
      <c r="V9331" t="s">
        <v>57389</v>
      </c>
      <c r="W9331" t="s">
        <v>58098</v>
      </c>
      <c r="X9331" t="s">
        <v>42683</v>
      </c>
    </row>
    <row r="9332" spans="1:24">
      <c r="A9332">
        <f>HYPERLINK("https://www.philgeps.gov.ph/GEPSNONPILOT/Tender/SplashBidNoticeAbstractUI.aspx?menuIndex=3&amp;refID=7174654&amp;Result=3","7174654")</f>
        <v>0</v>
      </c>
      <c r="B9332" t="s">
        <v>702</v>
      </c>
      <c r="C9332" t="s">
        <v>12410</v>
      </c>
      <c r="D9332" t="s">
        <v>17221</v>
      </c>
      <c r="E9332" t="s">
        <v>25244</v>
      </c>
      <c r="F9332" t="s">
        <v>29372</v>
      </c>
      <c r="G9332" t="s">
        <v>29380</v>
      </c>
      <c r="H9332" t="s">
        <v>11048</v>
      </c>
      <c r="I9332" t="s">
        <v>29395</v>
      </c>
      <c r="J9332" t="s">
        <v>35499</v>
      </c>
      <c r="K9332" t="s">
        <v>38491</v>
      </c>
      <c r="M9332" t="s">
        <v>39480</v>
      </c>
      <c r="N9332" t="s">
        <v>42669</v>
      </c>
      <c r="O9332" t="s">
        <v>42670</v>
      </c>
      <c r="P9332">
        <v>0</v>
      </c>
      <c r="Q9332">
        <v>0</v>
      </c>
      <c r="R9332" t="s">
        <v>42682</v>
      </c>
      <c r="S9332" t="s">
        <v>42984</v>
      </c>
      <c r="T9332" t="s">
        <v>44474</v>
      </c>
      <c r="U9332" t="s">
        <v>52435</v>
      </c>
      <c r="V9332" t="s">
        <v>57400</v>
      </c>
      <c r="W9332" t="s">
        <v>39480</v>
      </c>
      <c r="X9332" t="s">
        <v>42683</v>
      </c>
    </row>
    <row r="9333" spans="1:24">
      <c r="A9333">
        <f>HYPERLINK("https://www.philgeps.gov.ph/GEPSNONPILOT/Tender/SplashBidNoticeAbstractUI.aspx?menuIndex=3&amp;refID=7174692&amp;Result=3","7174692")</f>
        <v>0</v>
      </c>
      <c r="B9333" t="s">
        <v>1785</v>
      </c>
      <c r="C9333" t="s">
        <v>12436</v>
      </c>
      <c r="D9333" t="s">
        <v>17188</v>
      </c>
      <c r="E9333" t="s">
        <v>25245</v>
      </c>
      <c r="F9333" t="s">
        <v>29372</v>
      </c>
      <c r="G9333" t="s">
        <v>29380</v>
      </c>
      <c r="H9333" t="s">
        <v>29389</v>
      </c>
      <c r="I9333" t="s">
        <v>10408</v>
      </c>
      <c r="J9333" t="s">
        <v>35500</v>
      </c>
      <c r="K9333" t="s">
        <v>38485</v>
      </c>
      <c r="M9333" t="s">
        <v>40654</v>
      </c>
      <c r="N9333" t="s">
        <v>42669</v>
      </c>
      <c r="O9333" t="s">
        <v>42670</v>
      </c>
      <c r="P9333">
        <v>0</v>
      </c>
      <c r="Q9333">
        <v>0</v>
      </c>
      <c r="R9333" t="s">
        <v>42682</v>
      </c>
      <c r="S9333" t="s">
        <v>42984</v>
      </c>
      <c r="T9333" t="s">
        <v>44446</v>
      </c>
      <c r="U9333" t="s">
        <v>52454</v>
      </c>
      <c r="W9333" t="s">
        <v>40654</v>
      </c>
      <c r="X9333" t="s">
        <v>42683</v>
      </c>
    </row>
    <row r="9334" spans="1:24">
      <c r="A9334">
        <f>HYPERLINK("https://www.philgeps.gov.ph/GEPSNONPILOT/Tender/SplashBidNoticeAbstractUI.aspx?menuIndex=3&amp;refID=7174631&amp;Result=3","7174631")</f>
        <v>0</v>
      </c>
      <c r="B9334" t="s">
        <v>430</v>
      </c>
      <c r="C9334" t="s">
        <v>12437</v>
      </c>
      <c r="D9334" t="s">
        <v>17168</v>
      </c>
      <c r="E9334" t="s">
        <v>25246</v>
      </c>
      <c r="F9334" t="s">
        <v>29372</v>
      </c>
      <c r="G9334" t="s">
        <v>29380</v>
      </c>
      <c r="H9334" t="s">
        <v>11048</v>
      </c>
      <c r="I9334" t="s">
        <v>4709</v>
      </c>
      <c r="J9334" t="s">
        <v>35501</v>
      </c>
      <c r="K9334" t="s">
        <v>38522</v>
      </c>
      <c r="M9334" t="s">
        <v>40337</v>
      </c>
      <c r="N9334" t="s">
        <v>42669</v>
      </c>
      <c r="O9334" t="s">
        <v>42670</v>
      </c>
      <c r="P9334">
        <v>0</v>
      </c>
      <c r="Q9334">
        <v>4</v>
      </c>
      <c r="R9334" t="s">
        <v>42682</v>
      </c>
      <c r="S9334" t="s">
        <v>42984</v>
      </c>
      <c r="T9334" t="s">
        <v>44391</v>
      </c>
      <c r="U9334" t="s">
        <v>52455</v>
      </c>
      <c r="W9334" t="s">
        <v>40337</v>
      </c>
      <c r="X9334" t="s">
        <v>42683</v>
      </c>
    </row>
    <row r="9335" spans="1:24">
      <c r="A9335">
        <f>HYPERLINK("https://www.philgeps.gov.ph/GEPSNONPILOT/Tender/SplashBidNoticeAbstractUI.aspx?menuIndex=3&amp;refID=7174625&amp;Result=3","7174625")</f>
        <v>0</v>
      </c>
      <c r="B9335" t="s">
        <v>2797</v>
      </c>
      <c r="C9335" t="s">
        <v>12438</v>
      </c>
      <c r="D9335" t="s">
        <v>17207</v>
      </c>
      <c r="E9335" t="s">
        <v>25247</v>
      </c>
      <c r="F9335" t="s">
        <v>29372</v>
      </c>
      <c r="G9335" t="s">
        <v>29380</v>
      </c>
      <c r="H9335" t="s">
        <v>29389</v>
      </c>
      <c r="I9335" t="s">
        <v>10408</v>
      </c>
      <c r="J9335" t="s">
        <v>35502</v>
      </c>
      <c r="K9335" t="s">
        <v>38485</v>
      </c>
      <c r="M9335" t="s">
        <v>41785</v>
      </c>
      <c r="N9335" t="s">
        <v>42669</v>
      </c>
      <c r="O9335" t="s">
        <v>42670</v>
      </c>
      <c r="P9335">
        <v>0</v>
      </c>
      <c r="Q9335">
        <v>1</v>
      </c>
      <c r="R9335" t="s">
        <v>42682</v>
      </c>
      <c r="S9335" t="s">
        <v>42984</v>
      </c>
      <c r="T9335" t="s">
        <v>44442</v>
      </c>
      <c r="U9335" t="s">
        <v>52456</v>
      </c>
      <c r="W9335" t="s">
        <v>41785</v>
      </c>
      <c r="X9335" t="s">
        <v>42683</v>
      </c>
    </row>
    <row r="9336" spans="1:24">
      <c r="A9336">
        <f>HYPERLINK("https://www.philgeps.gov.ph/GEPSNONPILOT/Tender/SplashBidNoticeAbstractUI.aspx?menuIndex=3&amp;refID=7174663&amp;Result=3","7174663")</f>
        <v>0</v>
      </c>
      <c r="B9336" t="s">
        <v>2798</v>
      </c>
      <c r="C9336" t="s">
        <v>12439</v>
      </c>
      <c r="D9336" t="s">
        <v>17171</v>
      </c>
      <c r="E9336" t="s">
        <v>25248</v>
      </c>
      <c r="F9336" t="s">
        <v>29372</v>
      </c>
      <c r="G9336" t="s">
        <v>29384</v>
      </c>
      <c r="H9336" t="s">
        <v>11048</v>
      </c>
      <c r="I9336" t="s">
        <v>4487</v>
      </c>
      <c r="J9336" t="s">
        <v>34646</v>
      </c>
      <c r="K9336" t="s">
        <v>38534</v>
      </c>
      <c r="M9336" t="s">
        <v>41786</v>
      </c>
      <c r="N9336" t="s">
        <v>42669</v>
      </c>
      <c r="O9336" t="s">
        <v>42670</v>
      </c>
      <c r="P9336">
        <v>0</v>
      </c>
      <c r="Q9336">
        <v>3</v>
      </c>
      <c r="R9336" t="s">
        <v>42682</v>
      </c>
      <c r="S9336" t="s">
        <v>42984</v>
      </c>
      <c r="T9336" t="s">
        <v>44375</v>
      </c>
      <c r="U9336" t="s">
        <v>52457</v>
      </c>
      <c r="W9336" t="s">
        <v>41786</v>
      </c>
      <c r="X9336" t="s">
        <v>42683</v>
      </c>
    </row>
    <row r="9337" spans="1:24">
      <c r="A9337">
        <f>HYPERLINK("https://www.philgeps.gov.ph/GEPSNONPILOT/Tender/SplashBidNoticeAbstractUI.aspx?menuIndex=3&amp;refID=7174612&amp;Result=3","7174612")</f>
        <v>0</v>
      </c>
      <c r="B9337" t="s">
        <v>235</v>
      </c>
      <c r="C9337" t="s">
        <v>12440</v>
      </c>
      <c r="D9337" t="s">
        <v>17185</v>
      </c>
      <c r="E9337" t="s">
        <v>25249</v>
      </c>
      <c r="F9337" t="s">
        <v>29372</v>
      </c>
      <c r="G9337" t="s">
        <v>29380</v>
      </c>
      <c r="H9337" t="s">
        <v>11048</v>
      </c>
      <c r="I9337" t="s">
        <v>29394</v>
      </c>
      <c r="J9337" t="s">
        <v>35503</v>
      </c>
      <c r="K9337" t="s">
        <v>38510</v>
      </c>
      <c r="M9337" t="s">
        <v>41769</v>
      </c>
      <c r="N9337" t="s">
        <v>42669</v>
      </c>
      <c r="O9337" t="s">
        <v>42670</v>
      </c>
      <c r="P9337">
        <v>0</v>
      </c>
      <c r="Q9337">
        <v>2</v>
      </c>
      <c r="R9337" t="s">
        <v>42682</v>
      </c>
      <c r="S9337" t="s">
        <v>42984</v>
      </c>
      <c r="T9337" t="s">
        <v>44368</v>
      </c>
      <c r="U9337" t="s">
        <v>52407</v>
      </c>
      <c r="V9337" t="s">
        <v>57389</v>
      </c>
      <c r="W9337" t="s">
        <v>58098</v>
      </c>
      <c r="X9337" t="s">
        <v>42683</v>
      </c>
    </row>
    <row r="9338" spans="1:24">
      <c r="A9338">
        <f>HYPERLINK("https://www.philgeps.gov.ph/GEPSNONPILOT/Tender/SplashBidNoticeAbstractUI.aspx?menuIndex=3&amp;refID=7174600&amp;Result=3","7174600")</f>
        <v>0</v>
      </c>
      <c r="B9338" t="s">
        <v>2420</v>
      </c>
      <c r="C9338" t="s">
        <v>12441</v>
      </c>
      <c r="D9338" t="s">
        <v>17172</v>
      </c>
      <c r="E9338" t="s">
        <v>17266</v>
      </c>
      <c r="F9338" t="s">
        <v>29372</v>
      </c>
      <c r="G9338" t="s">
        <v>29380</v>
      </c>
      <c r="H9338" t="s">
        <v>11048</v>
      </c>
      <c r="I9338" t="s">
        <v>9469</v>
      </c>
      <c r="J9338" t="s">
        <v>30787</v>
      </c>
      <c r="K9338" t="s">
        <v>38496</v>
      </c>
      <c r="M9338" t="s">
        <v>41367</v>
      </c>
      <c r="N9338" t="s">
        <v>42669</v>
      </c>
      <c r="O9338" t="s">
        <v>42670</v>
      </c>
      <c r="P9338">
        <v>0</v>
      </c>
      <c r="Q9338">
        <v>3</v>
      </c>
      <c r="R9338" t="s">
        <v>42682</v>
      </c>
      <c r="S9338" t="s">
        <v>42984</v>
      </c>
      <c r="T9338" t="s">
        <v>44482</v>
      </c>
      <c r="U9338" t="s">
        <v>52458</v>
      </c>
      <c r="W9338" t="s">
        <v>41367</v>
      </c>
      <c r="X9338" t="s">
        <v>42683</v>
      </c>
    </row>
    <row r="9339" spans="1:24">
      <c r="A9339">
        <f>HYPERLINK("https://www.philgeps.gov.ph/GEPSNONPILOT/Tender/SplashBidNoticeAbstractUI.aspx?menuIndex=3&amp;refID=7174639&amp;Result=3","7174639")</f>
        <v>0</v>
      </c>
      <c r="B9339" t="s">
        <v>2389</v>
      </c>
      <c r="C9339" t="s">
        <v>12442</v>
      </c>
      <c r="D9339" t="s">
        <v>17177</v>
      </c>
      <c r="E9339" t="s">
        <v>25250</v>
      </c>
      <c r="F9339" t="s">
        <v>29372</v>
      </c>
      <c r="G9339" t="s">
        <v>29380</v>
      </c>
      <c r="H9339" t="s">
        <v>11048</v>
      </c>
      <c r="I9339" t="s">
        <v>3629</v>
      </c>
      <c r="J9339" t="s">
        <v>35504</v>
      </c>
      <c r="K9339" t="s">
        <v>38518</v>
      </c>
      <c r="M9339" t="s">
        <v>41334</v>
      </c>
      <c r="N9339" t="s">
        <v>42669</v>
      </c>
      <c r="O9339" t="s">
        <v>42670</v>
      </c>
      <c r="P9339">
        <v>0</v>
      </c>
      <c r="Q9339">
        <v>2</v>
      </c>
      <c r="R9339" t="s">
        <v>42682</v>
      </c>
      <c r="S9339" t="s">
        <v>42984</v>
      </c>
      <c r="T9339" t="s">
        <v>44527</v>
      </c>
      <c r="U9339" t="s">
        <v>52459</v>
      </c>
      <c r="V9339" t="s">
        <v>57185</v>
      </c>
      <c r="W9339" t="s">
        <v>41334</v>
      </c>
      <c r="X9339" t="s">
        <v>42683</v>
      </c>
    </row>
    <row r="9340" spans="1:24">
      <c r="A9340">
        <f>HYPERLINK("https://www.philgeps.gov.ph/GEPSNONPILOT/Tender/SplashBidNoticeAbstractUI.aspx?menuIndex=3&amp;refID=7174695&amp;Result=3","7174695")</f>
        <v>0</v>
      </c>
      <c r="B9340" t="s">
        <v>235</v>
      </c>
      <c r="C9340" t="s">
        <v>12443</v>
      </c>
      <c r="D9340" t="s">
        <v>17185</v>
      </c>
      <c r="E9340" t="s">
        <v>25251</v>
      </c>
      <c r="F9340" t="s">
        <v>29372</v>
      </c>
      <c r="G9340" t="s">
        <v>29380</v>
      </c>
      <c r="H9340" t="s">
        <v>11048</v>
      </c>
      <c r="I9340" t="s">
        <v>29393</v>
      </c>
      <c r="J9340" t="s">
        <v>31815</v>
      </c>
      <c r="K9340" t="s">
        <v>38510</v>
      </c>
      <c r="M9340" t="s">
        <v>41769</v>
      </c>
      <c r="N9340" t="s">
        <v>42669</v>
      </c>
      <c r="O9340" t="s">
        <v>42670</v>
      </c>
      <c r="P9340">
        <v>0</v>
      </c>
      <c r="Q9340">
        <v>0</v>
      </c>
      <c r="R9340" t="s">
        <v>42682</v>
      </c>
      <c r="S9340" t="s">
        <v>42984</v>
      </c>
      <c r="T9340" t="s">
        <v>44368</v>
      </c>
      <c r="U9340" t="s">
        <v>52407</v>
      </c>
      <c r="V9340" t="s">
        <v>57389</v>
      </c>
      <c r="W9340" t="s">
        <v>58098</v>
      </c>
      <c r="X9340" t="s">
        <v>42683</v>
      </c>
    </row>
    <row r="9341" spans="1:24">
      <c r="A9341">
        <f>HYPERLINK("https://www.philgeps.gov.ph/GEPSNONPILOT/Tender/SplashBidNoticeAbstractUI.aspx?menuIndex=3&amp;refID=7174708&amp;Result=3","7174708")</f>
        <v>0</v>
      </c>
      <c r="B9341" t="s">
        <v>2093</v>
      </c>
      <c r="C9341" t="s">
        <v>12444</v>
      </c>
      <c r="D9341" t="s">
        <v>17141</v>
      </c>
      <c r="E9341" t="s">
        <v>23619</v>
      </c>
      <c r="F9341" t="s">
        <v>29372</v>
      </c>
      <c r="G9341" t="s">
        <v>29379</v>
      </c>
      <c r="H9341" t="s">
        <v>11048</v>
      </c>
      <c r="I9341" t="s">
        <v>29471</v>
      </c>
      <c r="J9341" t="s">
        <v>31430</v>
      </c>
      <c r="K9341" t="s">
        <v>38491</v>
      </c>
      <c r="M9341" t="s">
        <v>40995</v>
      </c>
      <c r="N9341" t="s">
        <v>42669</v>
      </c>
      <c r="O9341" t="s">
        <v>42670</v>
      </c>
      <c r="Q9341">
        <v>6</v>
      </c>
      <c r="R9341" t="s">
        <v>42682</v>
      </c>
      <c r="S9341" t="s">
        <v>43002</v>
      </c>
      <c r="T9341" t="s">
        <v>44349</v>
      </c>
      <c r="U9341" t="s">
        <v>52460</v>
      </c>
      <c r="V9341" t="s">
        <v>57401</v>
      </c>
      <c r="W9341" t="s">
        <v>40995</v>
      </c>
      <c r="X9341" t="s">
        <v>42683</v>
      </c>
    </row>
    <row r="9342" spans="1:24">
      <c r="A9342">
        <f>HYPERLINK("https://www.philgeps.gov.ph/GEPSNONPILOT/Tender/SplashBidNoticeAbstractUI.aspx?menuIndex=3&amp;refID=7174990&amp;Result=3","7174990")</f>
        <v>0</v>
      </c>
      <c r="B9342" t="s">
        <v>2048</v>
      </c>
      <c r="C9342" t="s">
        <v>12445</v>
      </c>
      <c r="D9342" t="s">
        <v>17173</v>
      </c>
      <c r="E9342" t="s">
        <v>19601</v>
      </c>
      <c r="F9342" t="s">
        <v>29372</v>
      </c>
      <c r="G9342" t="s">
        <v>29380</v>
      </c>
      <c r="H9342" t="s">
        <v>29389</v>
      </c>
      <c r="I9342" t="s">
        <v>10408</v>
      </c>
      <c r="J9342" t="s">
        <v>29604</v>
      </c>
      <c r="K9342" t="s">
        <v>38515</v>
      </c>
      <c r="M9342" t="s">
        <v>40946</v>
      </c>
      <c r="N9342" t="s">
        <v>42669</v>
      </c>
      <c r="O9342" t="s">
        <v>42670</v>
      </c>
      <c r="P9342">
        <v>0</v>
      </c>
      <c r="Q9342">
        <v>1</v>
      </c>
      <c r="R9342" t="s">
        <v>42682</v>
      </c>
      <c r="S9342" t="s">
        <v>42984</v>
      </c>
      <c r="T9342" t="s">
        <v>44548</v>
      </c>
      <c r="U9342" t="s">
        <v>52461</v>
      </c>
      <c r="V9342" t="s">
        <v>57402</v>
      </c>
      <c r="W9342" t="s">
        <v>40946</v>
      </c>
      <c r="X9342" t="s">
        <v>42683</v>
      </c>
    </row>
    <row r="9343" spans="1:24">
      <c r="A9343">
        <f>HYPERLINK("https://www.philgeps.gov.ph/GEPSNONPILOT/Tender/SplashBidNoticeAbstractUI.aspx?menuIndex=3&amp;refID=7175005&amp;Result=3","7175005")</f>
        <v>0</v>
      </c>
      <c r="B9343" t="s">
        <v>2799</v>
      </c>
      <c r="C9343" t="s">
        <v>12446</v>
      </c>
      <c r="D9343" t="s">
        <v>17174</v>
      </c>
      <c r="E9343" t="s">
        <v>25252</v>
      </c>
      <c r="F9343" t="s">
        <v>29372</v>
      </c>
      <c r="G9343" t="s">
        <v>29380</v>
      </c>
      <c r="H9343" t="s">
        <v>29389</v>
      </c>
      <c r="I9343" t="s">
        <v>10408</v>
      </c>
      <c r="J9343" t="s">
        <v>29823</v>
      </c>
      <c r="K9343" t="s">
        <v>38487</v>
      </c>
      <c r="M9343" t="s">
        <v>41787</v>
      </c>
      <c r="N9343" t="s">
        <v>42669</v>
      </c>
      <c r="O9343" t="s">
        <v>42670</v>
      </c>
      <c r="P9343">
        <v>0</v>
      </c>
      <c r="Q9343">
        <v>0</v>
      </c>
      <c r="R9343" t="s">
        <v>42682</v>
      </c>
      <c r="S9343" t="s">
        <v>42984</v>
      </c>
      <c r="T9343" t="s">
        <v>44527</v>
      </c>
      <c r="U9343" t="s">
        <v>49416</v>
      </c>
      <c r="W9343" t="s">
        <v>41787</v>
      </c>
      <c r="X9343" t="s">
        <v>42683</v>
      </c>
    </row>
    <row r="9344" spans="1:24">
      <c r="A9344">
        <f>HYPERLINK("https://www.philgeps.gov.ph/GEPSNONPILOT/Tender/SplashBidNoticeAbstractUI.aspx?menuIndex=3&amp;refID=7174975&amp;Result=3","7174975")</f>
        <v>0</v>
      </c>
      <c r="B9344" t="s">
        <v>476</v>
      </c>
      <c r="C9344" t="s">
        <v>12447</v>
      </c>
      <c r="E9344" t="s">
        <v>25253</v>
      </c>
      <c r="F9344" t="s">
        <v>29372</v>
      </c>
      <c r="G9344" t="s">
        <v>29380</v>
      </c>
      <c r="H9344" t="s">
        <v>29389</v>
      </c>
      <c r="I9344" t="s">
        <v>10408</v>
      </c>
      <c r="J9344" t="s">
        <v>35505</v>
      </c>
      <c r="K9344" t="s">
        <v>38490</v>
      </c>
      <c r="M9344" t="s">
        <v>39241</v>
      </c>
      <c r="N9344" t="s">
        <v>42669</v>
      </c>
      <c r="O9344" t="s">
        <v>42670</v>
      </c>
      <c r="P9344">
        <v>0</v>
      </c>
      <c r="Q9344">
        <v>4</v>
      </c>
      <c r="R9344" t="s">
        <v>42682</v>
      </c>
      <c r="S9344" t="s">
        <v>42984</v>
      </c>
      <c r="T9344" t="s">
        <v>44357</v>
      </c>
      <c r="U9344" t="s">
        <v>52462</v>
      </c>
      <c r="W9344" t="s">
        <v>39241</v>
      </c>
      <c r="X9344" t="s">
        <v>42683</v>
      </c>
    </row>
    <row r="9345" spans="1:24">
      <c r="A9345">
        <f>HYPERLINK("https://www.philgeps.gov.ph/GEPSNONPILOT/Tender/SplashBidNoticeAbstractUI.aspx?menuIndex=3&amp;refID=7174996&amp;Result=3","7174996")</f>
        <v>0</v>
      </c>
      <c r="B9345" t="s">
        <v>2800</v>
      </c>
      <c r="C9345" t="s">
        <v>12448</v>
      </c>
      <c r="E9345" t="s">
        <v>25254</v>
      </c>
      <c r="F9345" t="s">
        <v>29372</v>
      </c>
      <c r="G9345" t="s">
        <v>29380</v>
      </c>
      <c r="H9345" t="s">
        <v>11048</v>
      </c>
      <c r="I9345" t="s">
        <v>4709</v>
      </c>
      <c r="J9345" t="s">
        <v>35506</v>
      </c>
      <c r="K9345" t="s">
        <v>38490</v>
      </c>
      <c r="M9345" t="s">
        <v>41788</v>
      </c>
      <c r="N9345" t="s">
        <v>42669</v>
      </c>
      <c r="O9345" t="s">
        <v>42670</v>
      </c>
      <c r="Q9345">
        <v>9</v>
      </c>
      <c r="R9345" t="s">
        <v>42682</v>
      </c>
      <c r="S9345" t="s">
        <v>43003</v>
      </c>
      <c r="T9345" t="s">
        <v>44419</v>
      </c>
      <c r="U9345" t="s">
        <v>52463</v>
      </c>
      <c r="V9345" t="s">
        <v>57403</v>
      </c>
      <c r="W9345" t="s">
        <v>41788</v>
      </c>
      <c r="X9345" t="s">
        <v>42683</v>
      </c>
    </row>
    <row r="9346" spans="1:24">
      <c r="A9346">
        <f>HYPERLINK("https://www.philgeps.gov.ph/GEPSNONPILOT/Tender/SplashBidNoticeAbstractUI.aspx?menuIndex=3&amp;refID=7174971&amp;Result=3","7174971")</f>
        <v>0</v>
      </c>
      <c r="B9346" t="s">
        <v>2800</v>
      </c>
      <c r="C9346" t="s">
        <v>12449</v>
      </c>
      <c r="E9346" t="s">
        <v>25255</v>
      </c>
      <c r="F9346" t="s">
        <v>29372</v>
      </c>
      <c r="G9346" t="s">
        <v>29380</v>
      </c>
      <c r="H9346" t="s">
        <v>11048</v>
      </c>
      <c r="I9346" t="s">
        <v>10408</v>
      </c>
      <c r="J9346" t="s">
        <v>35507</v>
      </c>
      <c r="K9346" t="s">
        <v>38490</v>
      </c>
      <c r="M9346" t="s">
        <v>41788</v>
      </c>
      <c r="N9346" t="s">
        <v>42669</v>
      </c>
      <c r="O9346" t="s">
        <v>42670</v>
      </c>
      <c r="Q9346">
        <v>4</v>
      </c>
      <c r="R9346" t="s">
        <v>42682</v>
      </c>
      <c r="S9346" t="s">
        <v>43004</v>
      </c>
      <c r="T9346" t="s">
        <v>44447</v>
      </c>
      <c r="U9346" t="s">
        <v>52464</v>
      </c>
      <c r="V9346" t="s">
        <v>57404</v>
      </c>
      <c r="W9346" t="s">
        <v>41788</v>
      </c>
      <c r="X9346" t="s">
        <v>42683</v>
      </c>
    </row>
    <row r="9347" spans="1:24">
      <c r="A9347">
        <f>HYPERLINK("https://www.philgeps.gov.ph/GEPSNONPILOT/Tender/SplashBidNoticeAbstractUI.aspx?menuIndex=3&amp;refID=7174969&amp;Result=3","7174969")</f>
        <v>0</v>
      </c>
      <c r="B9347" t="s">
        <v>2431</v>
      </c>
      <c r="C9347" t="s">
        <v>12450</v>
      </c>
      <c r="D9347" t="s">
        <v>17197</v>
      </c>
      <c r="E9347" t="s">
        <v>25256</v>
      </c>
      <c r="F9347" t="s">
        <v>29372</v>
      </c>
      <c r="G9347" t="s">
        <v>29380</v>
      </c>
      <c r="H9347" t="s">
        <v>11048</v>
      </c>
      <c r="I9347" t="s">
        <v>3695</v>
      </c>
      <c r="J9347" t="s">
        <v>35508</v>
      </c>
      <c r="K9347" t="s">
        <v>38488</v>
      </c>
      <c r="M9347" t="s">
        <v>41379</v>
      </c>
      <c r="N9347" t="s">
        <v>42669</v>
      </c>
      <c r="O9347" t="s">
        <v>42670</v>
      </c>
      <c r="P9347">
        <v>0</v>
      </c>
      <c r="Q9347">
        <v>1</v>
      </c>
      <c r="R9347" t="s">
        <v>42682</v>
      </c>
      <c r="S9347" t="s">
        <v>42984</v>
      </c>
      <c r="T9347" t="s">
        <v>44412</v>
      </c>
      <c r="U9347" t="s">
        <v>52465</v>
      </c>
      <c r="W9347" t="s">
        <v>41379</v>
      </c>
      <c r="X9347" t="s">
        <v>42683</v>
      </c>
    </row>
    <row r="9348" spans="1:24">
      <c r="A9348">
        <f>HYPERLINK("https://www.philgeps.gov.ph/GEPSNONPILOT/Tender/SplashBidNoticeAbstractUI.aspx?menuIndex=3&amp;refID=7174993&amp;Result=3","7174993")</f>
        <v>0</v>
      </c>
      <c r="B9348" t="s">
        <v>2442</v>
      </c>
      <c r="C9348" t="s">
        <v>12451</v>
      </c>
      <c r="D9348" t="s">
        <v>17170</v>
      </c>
      <c r="E9348" t="s">
        <v>25257</v>
      </c>
      <c r="F9348" t="s">
        <v>29373</v>
      </c>
      <c r="G9348" t="s">
        <v>29380</v>
      </c>
      <c r="H9348" t="s">
        <v>11048</v>
      </c>
      <c r="I9348" t="s">
        <v>9469</v>
      </c>
      <c r="J9348" t="s">
        <v>35509</v>
      </c>
      <c r="K9348" t="s">
        <v>38490</v>
      </c>
      <c r="M9348" t="s">
        <v>41390</v>
      </c>
      <c r="N9348" t="s">
        <v>42669</v>
      </c>
      <c r="O9348" t="s">
        <v>42670</v>
      </c>
      <c r="P9348">
        <v>0</v>
      </c>
      <c r="Q9348">
        <v>4</v>
      </c>
      <c r="R9348" t="s">
        <v>42682</v>
      </c>
      <c r="S9348" t="s">
        <v>42984</v>
      </c>
      <c r="T9348" t="s">
        <v>44452</v>
      </c>
      <c r="U9348" t="s">
        <v>52466</v>
      </c>
      <c r="V9348" t="s">
        <v>57405</v>
      </c>
      <c r="W9348" t="s">
        <v>41390</v>
      </c>
      <c r="X9348" t="s">
        <v>42683</v>
      </c>
    </row>
    <row r="9349" spans="1:24">
      <c r="A9349">
        <f>HYPERLINK("https://www.philgeps.gov.ph/GEPSNONPILOT/Tender/SplashBidNoticeAbstractUI.aspx?menuIndex=3&amp;refID=7174956&amp;Result=3","7174956")</f>
        <v>0</v>
      </c>
      <c r="B9349" t="s">
        <v>1971</v>
      </c>
      <c r="C9349" t="s">
        <v>12452</v>
      </c>
      <c r="D9349" t="s">
        <v>17199</v>
      </c>
      <c r="E9349" t="s">
        <v>25258</v>
      </c>
      <c r="F9349" t="s">
        <v>29372</v>
      </c>
      <c r="G9349" t="s">
        <v>29380</v>
      </c>
      <c r="H9349" t="s">
        <v>11048</v>
      </c>
      <c r="I9349" t="s">
        <v>29407</v>
      </c>
      <c r="J9349" t="s">
        <v>35510</v>
      </c>
      <c r="K9349" t="s">
        <v>38488</v>
      </c>
      <c r="M9349" t="s">
        <v>40858</v>
      </c>
      <c r="N9349" t="s">
        <v>42669</v>
      </c>
      <c r="O9349" t="s">
        <v>42670</v>
      </c>
      <c r="P9349">
        <v>0</v>
      </c>
      <c r="Q9349">
        <v>9</v>
      </c>
      <c r="R9349" t="s">
        <v>42682</v>
      </c>
      <c r="S9349" t="s">
        <v>42984</v>
      </c>
      <c r="T9349" t="s">
        <v>44548</v>
      </c>
      <c r="U9349" t="s">
        <v>52467</v>
      </c>
      <c r="W9349" t="s">
        <v>40858</v>
      </c>
      <c r="X9349" t="s">
        <v>42683</v>
      </c>
    </row>
    <row r="9350" spans="1:24">
      <c r="A9350">
        <f>HYPERLINK("https://www.philgeps.gov.ph/GEPSNONPILOT/Tender/SplashBidNoticeAbstractUI.aspx?menuIndex=3&amp;refID=7174947&amp;Result=3","7174947")</f>
        <v>0</v>
      </c>
      <c r="B9350" t="s">
        <v>681</v>
      </c>
      <c r="C9350" t="s">
        <v>12453</v>
      </c>
      <c r="D9350" t="s">
        <v>17160</v>
      </c>
      <c r="E9350" t="s">
        <v>25259</v>
      </c>
      <c r="F9350" t="s">
        <v>29372</v>
      </c>
      <c r="G9350" t="s">
        <v>29380</v>
      </c>
      <c r="H9350" t="s">
        <v>29389</v>
      </c>
      <c r="I9350" t="s">
        <v>10408</v>
      </c>
      <c r="J9350" t="s">
        <v>32053</v>
      </c>
      <c r="K9350" t="s">
        <v>38490</v>
      </c>
      <c r="M9350" t="s">
        <v>39457</v>
      </c>
      <c r="N9350" t="s">
        <v>42669</v>
      </c>
      <c r="O9350" t="s">
        <v>42670</v>
      </c>
      <c r="P9350">
        <v>0</v>
      </c>
      <c r="Q9350">
        <v>1</v>
      </c>
      <c r="R9350" t="s">
        <v>42682</v>
      </c>
      <c r="S9350" t="s">
        <v>42984</v>
      </c>
      <c r="T9350" t="s">
        <v>44510</v>
      </c>
      <c r="U9350" t="s">
        <v>52468</v>
      </c>
      <c r="W9350" t="s">
        <v>39457</v>
      </c>
      <c r="X9350" t="s">
        <v>42683</v>
      </c>
    </row>
    <row r="9351" spans="1:24">
      <c r="A9351">
        <f>HYPERLINK("https://www.philgeps.gov.ph/GEPSNONPILOT/Tender/SplashBidNoticeAbstractUI.aspx?menuIndex=3&amp;refID=7174893&amp;Result=3","7174893")</f>
        <v>0</v>
      </c>
      <c r="B9351" t="s">
        <v>681</v>
      </c>
      <c r="C9351" t="s">
        <v>12454</v>
      </c>
      <c r="D9351" t="s">
        <v>17160</v>
      </c>
      <c r="E9351" t="s">
        <v>25260</v>
      </c>
      <c r="F9351" t="s">
        <v>29372</v>
      </c>
      <c r="G9351" t="s">
        <v>29380</v>
      </c>
      <c r="H9351" t="s">
        <v>29389</v>
      </c>
      <c r="I9351" t="s">
        <v>10408</v>
      </c>
      <c r="J9351" t="s">
        <v>32053</v>
      </c>
      <c r="K9351" t="s">
        <v>38490</v>
      </c>
      <c r="M9351" t="s">
        <v>39457</v>
      </c>
      <c r="N9351" t="s">
        <v>42669</v>
      </c>
      <c r="O9351" t="s">
        <v>42670</v>
      </c>
      <c r="P9351">
        <v>0</v>
      </c>
      <c r="Q9351">
        <v>1</v>
      </c>
      <c r="R9351" t="s">
        <v>42682</v>
      </c>
      <c r="S9351" t="s">
        <v>42984</v>
      </c>
      <c r="T9351" t="s">
        <v>44510</v>
      </c>
      <c r="U9351" t="s">
        <v>52469</v>
      </c>
      <c r="W9351" t="s">
        <v>39457</v>
      </c>
      <c r="X9351" t="s">
        <v>42683</v>
      </c>
    </row>
    <row r="9352" spans="1:24">
      <c r="A9352">
        <f>HYPERLINK("https://www.philgeps.gov.ph/GEPSNONPILOT/Tender/SplashBidNoticeAbstractUI.aspx?menuIndex=3&amp;refID=7174888&amp;Result=3","7174888")</f>
        <v>0</v>
      </c>
      <c r="B9352" t="s">
        <v>1007</v>
      </c>
      <c r="C9352" t="s">
        <v>12455</v>
      </c>
      <c r="D9352" t="s">
        <v>17164</v>
      </c>
      <c r="E9352" t="s">
        <v>25261</v>
      </c>
      <c r="F9352" t="s">
        <v>29372</v>
      </c>
      <c r="G9352" t="s">
        <v>29380</v>
      </c>
      <c r="H9352" t="s">
        <v>11048</v>
      </c>
      <c r="I9352" t="s">
        <v>4709</v>
      </c>
      <c r="J9352" t="s">
        <v>35511</v>
      </c>
      <c r="K9352" t="s">
        <v>38485</v>
      </c>
      <c r="M9352" t="s">
        <v>39807</v>
      </c>
      <c r="N9352" t="s">
        <v>42669</v>
      </c>
      <c r="O9352" t="s">
        <v>42670</v>
      </c>
      <c r="P9352">
        <v>0</v>
      </c>
      <c r="Q9352">
        <v>0</v>
      </c>
      <c r="R9352" t="s">
        <v>42682</v>
      </c>
      <c r="S9352" t="s">
        <v>42984</v>
      </c>
      <c r="T9352" t="s">
        <v>44394</v>
      </c>
      <c r="U9352" t="s">
        <v>49634</v>
      </c>
      <c r="W9352" t="s">
        <v>39807</v>
      </c>
      <c r="X9352" t="s">
        <v>42683</v>
      </c>
    </row>
    <row r="9353" spans="1:24">
      <c r="A9353">
        <f>HYPERLINK("https://www.philgeps.gov.ph/GEPSNONPILOT/Tender/SplashBidNoticeAbstractUI.aspx?menuIndex=3&amp;refID=7174876&amp;Result=3","7174876")</f>
        <v>0</v>
      </c>
      <c r="B9353" t="s">
        <v>763</v>
      </c>
      <c r="C9353" t="s">
        <v>12456</v>
      </c>
      <c r="D9353" t="s">
        <v>17165</v>
      </c>
      <c r="E9353" t="s">
        <v>25262</v>
      </c>
      <c r="F9353" t="s">
        <v>29372</v>
      </c>
      <c r="G9353" t="s">
        <v>29380</v>
      </c>
      <c r="H9353" t="s">
        <v>29389</v>
      </c>
      <c r="I9353" t="s">
        <v>10408</v>
      </c>
      <c r="J9353" t="s">
        <v>31894</v>
      </c>
      <c r="K9353" t="s">
        <v>38533</v>
      </c>
      <c r="M9353" t="s">
        <v>39546</v>
      </c>
      <c r="N9353" t="s">
        <v>42669</v>
      </c>
      <c r="O9353" t="s">
        <v>42670</v>
      </c>
      <c r="P9353">
        <v>0</v>
      </c>
      <c r="Q9353">
        <v>0</v>
      </c>
      <c r="R9353" t="s">
        <v>42682</v>
      </c>
      <c r="S9353" t="s">
        <v>42984</v>
      </c>
      <c r="T9353" t="s">
        <v>44662</v>
      </c>
      <c r="U9353" t="s">
        <v>46424</v>
      </c>
      <c r="W9353" t="s">
        <v>39546</v>
      </c>
      <c r="X9353" t="s">
        <v>42683</v>
      </c>
    </row>
    <row r="9354" spans="1:24">
      <c r="A9354">
        <f>HYPERLINK("https://www.philgeps.gov.ph/GEPSNONPILOT/Tender/SplashBidNoticeAbstractUI.aspx?menuIndex=3&amp;refID=7174718&amp;Result=3","7174718")</f>
        <v>0</v>
      </c>
      <c r="B9354" t="s">
        <v>2605</v>
      </c>
      <c r="C9354" t="s">
        <v>12457</v>
      </c>
      <c r="E9354" t="s">
        <v>25263</v>
      </c>
      <c r="F9354" t="s">
        <v>29372</v>
      </c>
      <c r="G9354" t="s">
        <v>29380</v>
      </c>
      <c r="H9354" t="s">
        <v>11048</v>
      </c>
      <c r="I9354" t="s">
        <v>29426</v>
      </c>
      <c r="J9354" t="s">
        <v>29752</v>
      </c>
      <c r="K9354" t="s">
        <v>38485</v>
      </c>
      <c r="M9354" t="s">
        <v>41574</v>
      </c>
      <c r="N9354" t="s">
        <v>42669</v>
      </c>
      <c r="O9354" t="s">
        <v>42670</v>
      </c>
      <c r="P9354">
        <v>0</v>
      </c>
      <c r="Q9354">
        <v>2</v>
      </c>
      <c r="R9354" t="s">
        <v>42682</v>
      </c>
      <c r="S9354" t="s">
        <v>42984</v>
      </c>
      <c r="T9354" t="s">
        <v>44777</v>
      </c>
      <c r="U9354" t="s">
        <v>52470</v>
      </c>
      <c r="W9354" t="s">
        <v>41574</v>
      </c>
      <c r="X9354" t="s">
        <v>42683</v>
      </c>
    </row>
    <row r="9355" spans="1:24">
      <c r="A9355">
        <f>HYPERLINK("https://www.philgeps.gov.ph/GEPSNONPILOT/Tender/SplashBidNoticeAbstractUI.aspx?menuIndex=3&amp;refID=7174967&amp;Result=3","7174967")</f>
        <v>0</v>
      </c>
      <c r="B9355" t="s">
        <v>2799</v>
      </c>
      <c r="C9355" t="s">
        <v>12458</v>
      </c>
      <c r="D9355" t="s">
        <v>17174</v>
      </c>
      <c r="E9355" t="s">
        <v>25264</v>
      </c>
      <c r="F9355" t="s">
        <v>29372</v>
      </c>
      <c r="G9355" t="s">
        <v>29380</v>
      </c>
      <c r="H9355" t="s">
        <v>29389</v>
      </c>
      <c r="I9355" t="s">
        <v>10408</v>
      </c>
      <c r="J9355" t="s">
        <v>35512</v>
      </c>
      <c r="K9355" t="s">
        <v>38496</v>
      </c>
      <c r="M9355" t="s">
        <v>41787</v>
      </c>
      <c r="N9355" t="s">
        <v>42669</v>
      </c>
      <c r="O9355" t="s">
        <v>42670</v>
      </c>
      <c r="P9355">
        <v>0</v>
      </c>
      <c r="Q9355">
        <v>1</v>
      </c>
      <c r="R9355" t="s">
        <v>42682</v>
      </c>
      <c r="S9355" t="s">
        <v>42984</v>
      </c>
      <c r="T9355" t="s">
        <v>44527</v>
      </c>
      <c r="U9355" t="s">
        <v>49416</v>
      </c>
      <c r="W9355" t="s">
        <v>41787</v>
      </c>
      <c r="X9355" t="s">
        <v>42683</v>
      </c>
    </row>
    <row r="9356" spans="1:24">
      <c r="A9356">
        <f>HYPERLINK("https://www.philgeps.gov.ph/GEPSNONPILOT/Tender/SplashBidNoticeAbstractUI.aspx?menuIndex=3&amp;refID=7174832&amp;Result=3","7174832")</f>
        <v>0</v>
      </c>
      <c r="B9356" t="s">
        <v>2799</v>
      </c>
      <c r="C9356" t="s">
        <v>12459</v>
      </c>
      <c r="D9356" t="s">
        <v>17174</v>
      </c>
      <c r="E9356" t="s">
        <v>25265</v>
      </c>
      <c r="F9356" t="s">
        <v>29372</v>
      </c>
      <c r="G9356" t="s">
        <v>29380</v>
      </c>
      <c r="H9356" t="s">
        <v>29389</v>
      </c>
      <c r="I9356" t="s">
        <v>10408</v>
      </c>
      <c r="J9356" t="s">
        <v>29825</v>
      </c>
      <c r="K9356" t="s">
        <v>38495</v>
      </c>
      <c r="M9356" t="s">
        <v>41787</v>
      </c>
      <c r="N9356" t="s">
        <v>42669</v>
      </c>
      <c r="O9356" t="s">
        <v>42670</v>
      </c>
      <c r="P9356">
        <v>0</v>
      </c>
      <c r="Q9356">
        <v>0</v>
      </c>
      <c r="R9356" t="s">
        <v>42682</v>
      </c>
      <c r="S9356" t="s">
        <v>42984</v>
      </c>
      <c r="T9356" t="s">
        <v>44527</v>
      </c>
      <c r="U9356" t="s">
        <v>49416</v>
      </c>
      <c r="W9356" t="s">
        <v>41787</v>
      </c>
      <c r="X9356" t="s">
        <v>42683</v>
      </c>
    </row>
    <row r="9357" spans="1:24">
      <c r="A9357">
        <f>HYPERLINK("https://www.philgeps.gov.ph/GEPSNONPILOT/Tender/SplashBidNoticeAbstractUI.aspx?menuIndex=3&amp;refID=7174923&amp;Result=3","7174923")</f>
        <v>0</v>
      </c>
      <c r="B9357" t="s">
        <v>1398</v>
      </c>
      <c r="C9357" t="s">
        <v>12460</v>
      </c>
      <c r="D9357" t="s">
        <v>17212</v>
      </c>
      <c r="E9357" t="s">
        <v>25266</v>
      </c>
      <c r="F9357" t="s">
        <v>29372</v>
      </c>
      <c r="G9357" t="s">
        <v>29380</v>
      </c>
      <c r="H9357" t="s">
        <v>11048</v>
      </c>
      <c r="I9357" t="s">
        <v>9469</v>
      </c>
      <c r="J9357" t="s">
        <v>29924</v>
      </c>
      <c r="K9357" t="s">
        <v>38487</v>
      </c>
      <c r="M9357" t="s">
        <v>40237</v>
      </c>
      <c r="N9357" t="s">
        <v>42669</v>
      </c>
      <c r="O9357" t="s">
        <v>42670</v>
      </c>
      <c r="P9357">
        <v>0</v>
      </c>
      <c r="Q9357">
        <v>2</v>
      </c>
      <c r="R9357" t="s">
        <v>42682</v>
      </c>
      <c r="S9357" t="s">
        <v>42984</v>
      </c>
      <c r="T9357" t="s">
        <v>44638</v>
      </c>
      <c r="U9357" t="s">
        <v>52471</v>
      </c>
      <c r="W9357" t="s">
        <v>40237</v>
      </c>
      <c r="X9357" t="s">
        <v>42683</v>
      </c>
    </row>
    <row r="9358" spans="1:24">
      <c r="A9358">
        <f>HYPERLINK("https://www.philgeps.gov.ph/GEPSNONPILOT/Tender/SplashBidNoticeAbstractUI.aspx?menuIndex=3&amp;refID=7174868&amp;Result=3","7174868")</f>
        <v>0</v>
      </c>
      <c r="B9358" t="s">
        <v>580</v>
      </c>
      <c r="C9358" t="s">
        <v>12461</v>
      </c>
      <c r="D9358" t="s">
        <v>17205</v>
      </c>
      <c r="E9358" t="s">
        <v>25267</v>
      </c>
      <c r="F9358" t="s">
        <v>29372</v>
      </c>
      <c r="G9358" t="s">
        <v>29380</v>
      </c>
      <c r="H9358" t="s">
        <v>11048</v>
      </c>
      <c r="I9358" t="s">
        <v>9469</v>
      </c>
      <c r="J9358" t="s">
        <v>30244</v>
      </c>
      <c r="K9358" t="s">
        <v>38496</v>
      </c>
      <c r="M9358" t="s">
        <v>39349</v>
      </c>
      <c r="N9358" t="s">
        <v>42669</v>
      </c>
      <c r="O9358" t="s">
        <v>42670</v>
      </c>
      <c r="Q9358">
        <v>11</v>
      </c>
      <c r="R9358" t="s">
        <v>42682</v>
      </c>
      <c r="S9358" t="s">
        <v>43005</v>
      </c>
      <c r="T9358" t="s">
        <v>44363</v>
      </c>
      <c r="U9358" t="s">
        <v>52472</v>
      </c>
      <c r="W9358" t="s">
        <v>39349</v>
      </c>
      <c r="X9358" t="s">
        <v>42683</v>
      </c>
    </row>
    <row r="9359" spans="1:24">
      <c r="A9359">
        <f>HYPERLINK("https://www.philgeps.gov.ph/GEPSNONPILOT/Tender/SplashBidNoticeAbstractUI.aspx?menuIndex=3&amp;refID=7174855&amp;Result=3","7174855")</f>
        <v>0</v>
      </c>
      <c r="B9359" t="s">
        <v>683</v>
      </c>
      <c r="C9359" t="s">
        <v>12462</v>
      </c>
      <c r="D9359" t="s">
        <v>17197</v>
      </c>
      <c r="E9359" t="s">
        <v>25268</v>
      </c>
      <c r="F9359" t="s">
        <v>29372</v>
      </c>
      <c r="G9359" t="s">
        <v>29380</v>
      </c>
      <c r="H9359" t="s">
        <v>11048</v>
      </c>
      <c r="I9359" t="s">
        <v>29415</v>
      </c>
      <c r="J9359" t="s">
        <v>34195</v>
      </c>
      <c r="K9359" t="s">
        <v>38496</v>
      </c>
      <c r="M9359" t="s">
        <v>39459</v>
      </c>
      <c r="N9359" t="s">
        <v>42669</v>
      </c>
      <c r="O9359" t="s">
        <v>42670</v>
      </c>
      <c r="P9359">
        <v>0</v>
      </c>
      <c r="Q9359">
        <v>2</v>
      </c>
      <c r="R9359" t="s">
        <v>42682</v>
      </c>
      <c r="S9359" t="s">
        <v>42984</v>
      </c>
      <c r="T9359" t="s">
        <v>44662</v>
      </c>
      <c r="U9359" t="s">
        <v>52473</v>
      </c>
      <c r="W9359" t="s">
        <v>39459</v>
      </c>
      <c r="X9359" t="s">
        <v>42683</v>
      </c>
    </row>
    <row r="9360" spans="1:24">
      <c r="A9360">
        <f>HYPERLINK("https://www.philgeps.gov.ph/GEPSNONPILOT/Tender/SplashBidNoticeAbstractUI.aspx?menuIndex=3&amp;refID=7174462&amp;Result=3","7174462")</f>
        <v>0</v>
      </c>
      <c r="B9360" t="s">
        <v>1678</v>
      </c>
      <c r="C9360" t="s">
        <v>12463</v>
      </c>
      <c r="D9360" t="s">
        <v>17174</v>
      </c>
      <c r="E9360" t="s">
        <v>25269</v>
      </c>
      <c r="F9360" t="s">
        <v>29372</v>
      </c>
      <c r="G9360" t="s">
        <v>29380</v>
      </c>
      <c r="H9360" t="s">
        <v>11048</v>
      </c>
      <c r="I9360" t="s">
        <v>29393</v>
      </c>
      <c r="J9360" t="s">
        <v>35513</v>
      </c>
      <c r="K9360" t="s">
        <v>38485</v>
      </c>
      <c r="M9360" t="s">
        <v>40538</v>
      </c>
      <c r="N9360" t="s">
        <v>42669</v>
      </c>
      <c r="O9360" t="s">
        <v>42670</v>
      </c>
      <c r="Q9360">
        <v>0</v>
      </c>
      <c r="R9360" t="s">
        <v>42682</v>
      </c>
      <c r="S9360" t="s">
        <v>43006</v>
      </c>
      <c r="T9360" t="s">
        <v>44371</v>
      </c>
      <c r="U9360" t="s">
        <v>52474</v>
      </c>
      <c r="W9360" t="s">
        <v>40538</v>
      </c>
      <c r="X9360" t="s">
        <v>42683</v>
      </c>
    </row>
    <row r="9361" spans="1:24">
      <c r="A9361">
        <f>HYPERLINK("https://www.philgeps.gov.ph/GEPSNONPILOT/Tender/SplashBidNoticeAbstractUI.aspx?menuIndex=3&amp;refID=7174811&amp;Result=3","7174811")</f>
        <v>0</v>
      </c>
      <c r="B9361" t="s">
        <v>1460</v>
      </c>
      <c r="C9361" t="s">
        <v>12464</v>
      </c>
      <c r="D9361" t="s">
        <v>17166</v>
      </c>
      <c r="E9361" t="s">
        <v>25270</v>
      </c>
      <c r="F9361" t="s">
        <v>29372</v>
      </c>
      <c r="G9361" t="s">
        <v>29383</v>
      </c>
      <c r="H9361" t="s">
        <v>11048</v>
      </c>
      <c r="I9361" t="s">
        <v>29407</v>
      </c>
      <c r="J9361" t="s">
        <v>35514</v>
      </c>
      <c r="K9361" t="s">
        <v>38491</v>
      </c>
      <c r="M9361" t="s">
        <v>41789</v>
      </c>
      <c r="N9361" t="s">
        <v>42669</v>
      </c>
      <c r="O9361" t="s">
        <v>42670</v>
      </c>
      <c r="P9361">
        <v>0</v>
      </c>
      <c r="Q9361">
        <v>16</v>
      </c>
      <c r="R9361" t="s">
        <v>42682</v>
      </c>
      <c r="S9361" t="s">
        <v>42984</v>
      </c>
      <c r="T9361" t="s">
        <v>44651</v>
      </c>
      <c r="U9361" t="s">
        <v>52475</v>
      </c>
      <c r="W9361" t="s">
        <v>41789</v>
      </c>
      <c r="X9361" t="s">
        <v>42683</v>
      </c>
    </row>
    <row r="9362" spans="1:24">
      <c r="A9362">
        <f>HYPERLINK("https://www.philgeps.gov.ph/GEPSNONPILOT/Tender/SplashBidNoticeAbstractUI.aspx?menuIndex=3&amp;refID=7174427&amp;Result=3","7174427")</f>
        <v>0</v>
      </c>
      <c r="B9362" t="s">
        <v>961</v>
      </c>
      <c r="C9362" t="s">
        <v>12465</v>
      </c>
      <c r="D9362" t="s">
        <v>17148</v>
      </c>
      <c r="E9362" t="s">
        <v>25271</v>
      </c>
      <c r="F9362" t="s">
        <v>29372</v>
      </c>
      <c r="G9362" t="s">
        <v>29380</v>
      </c>
      <c r="H9362" t="s">
        <v>29389</v>
      </c>
      <c r="I9362" t="s">
        <v>10408</v>
      </c>
      <c r="J9362" t="s">
        <v>35515</v>
      </c>
      <c r="K9362" t="s">
        <v>38526</v>
      </c>
      <c r="M9362" t="s">
        <v>39757</v>
      </c>
      <c r="N9362" t="s">
        <v>42669</v>
      </c>
      <c r="O9362" t="s">
        <v>42670</v>
      </c>
      <c r="P9362">
        <v>0</v>
      </c>
      <c r="Q9362">
        <v>18</v>
      </c>
      <c r="R9362" t="s">
        <v>42682</v>
      </c>
      <c r="S9362" t="s">
        <v>42984</v>
      </c>
      <c r="T9362" t="s">
        <v>44357</v>
      </c>
      <c r="U9362" t="s">
        <v>52476</v>
      </c>
      <c r="W9362" t="s">
        <v>39757</v>
      </c>
      <c r="X9362" t="s">
        <v>42683</v>
      </c>
    </row>
    <row r="9363" spans="1:24">
      <c r="A9363">
        <f>HYPERLINK("https://www.philgeps.gov.ph/GEPSNONPILOT/Tender/SplashBidNoticeAbstractUI.aspx?menuIndex=3&amp;refID=7174874&amp;Result=3","7174874")</f>
        <v>0</v>
      </c>
      <c r="B9363" t="s">
        <v>2801</v>
      </c>
      <c r="C9363" t="s">
        <v>12466</v>
      </c>
      <c r="D9363" t="s">
        <v>17185</v>
      </c>
      <c r="E9363" t="s">
        <v>18734</v>
      </c>
      <c r="F9363" t="s">
        <v>29372</v>
      </c>
      <c r="G9363" t="s">
        <v>29380</v>
      </c>
      <c r="H9363" t="s">
        <v>29390</v>
      </c>
      <c r="I9363" t="s">
        <v>29408</v>
      </c>
      <c r="J9363" t="s">
        <v>35516</v>
      </c>
      <c r="K9363" t="s">
        <v>38525</v>
      </c>
      <c r="M9363" t="s">
        <v>41790</v>
      </c>
      <c r="N9363" t="s">
        <v>42669</v>
      </c>
      <c r="O9363" t="s">
        <v>42670</v>
      </c>
      <c r="P9363">
        <v>0</v>
      </c>
      <c r="Q9363">
        <v>2</v>
      </c>
      <c r="R9363" t="s">
        <v>42682</v>
      </c>
      <c r="S9363" t="s">
        <v>42984</v>
      </c>
      <c r="T9363" t="s">
        <v>44568</v>
      </c>
      <c r="U9363" t="s">
        <v>52477</v>
      </c>
      <c r="W9363" t="s">
        <v>41790</v>
      </c>
      <c r="X9363" t="s">
        <v>42683</v>
      </c>
    </row>
    <row r="9364" spans="1:24">
      <c r="A9364">
        <f>HYPERLINK("https://www.philgeps.gov.ph/GEPSNONPILOT/Tender/SplashBidNoticeAbstractUI.aspx?menuIndex=3&amp;refID=7174426&amp;Result=3","7174426")</f>
        <v>0</v>
      </c>
      <c r="B9364" t="s">
        <v>2793</v>
      </c>
      <c r="C9364" t="s">
        <v>12467</v>
      </c>
      <c r="D9364" t="s">
        <v>17141</v>
      </c>
      <c r="E9364" t="s">
        <v>19455</v>
      </c>
      <c r="F9364" t="s">
        <v>29373</v>
      </c>
      <c r="G9364" t="s">
        <v>29380</v>
      </c>
      <c r="H9364" t="s">
        <v>11048</v>
      </c>
      <c r="I9364" t="s">
        <v>3695</v>
      </c>
      <c r="J9364" t="s">
        <v>35490</v>
      </c>
      <c r="K9364" t="s">
        <v>38488</v>
      </c>
      <c r="M9364" t="s">
        <v>41781</v>
      </c>
      <c r="N9364" t="s">
        <v>42669</v>
      </c>
      <c r="O9364" t="s">
        <v>42670</v>
      </c>
      <c r="P9364">
        <v>0</v>
      </c>
      <c r="Q9364">
        <v>4</v>
      </c>
      <c r="R9364" t="s">
        <v>42682</v>
      </c>
      <c r="S9364" t="s">
        <v>42984</v>
      </c>
      <c r="T9364" t="s">
        <v>44453</v>
      </c>
      <c r="U9364" t="s">
        <v>52478</v>
      </c>
      <c r="W9364" t="s">
        <v>41781</v>
      </c>
      <c r="X9364" t="s">
        <v>42683</v>
      </c>
    </row>
    <row r="9365" spans="1:24">
      <c r="A9365">
        <f>HYPERLINK("https://www.philgeps.gov.ph/GEPSNONPILOT/Tender/SplashBidNoticeAbstractUI.aspx?menuIndex=3&amp;refID=7174306&amp;Result=3","7174306")</f>
        <v>0</v>
      </c>
      <c r="B9365" t="s">
        <v>52</v>
      </c>
      <c r="C9365" t="s">
        <v>12468</v>
      </c>
      <c r="D9365" t="s">
        <v>17192</v>
      </c>
      <c r="E9365" t="s">
        <v>25272</v>
      </c>
      <c r="F9365" t="s">
        <v>29372</v>
      </c>
      <c r="G9365" t="s">
        <v>29379</v>
      </c>
      <c r="H9365" t="s">
        <v>11048</v>
      </c>
      <c r="I9365" t="s">
        <v>3839</v>
      </c>
      <c r="J9365" t="s">
        <v>32934</v>
      </c>
      <c r="K9365" t="s">
        <v>38530</v>
      </c>
      <c r="L9365" t="s">
        <v>52</v>
      </c>
      <c r="M9365" t="s">
        <v>38921</v>
      </c>
      <c r="N9365" t="s">
        <v>42669</v>
      </c>
      <c r="O9365" t="s">
        <v>42670</v>
      </c>
      <c r="Q9365">
        <v>4</v>
      </c>
      <c r="R9365" t="s">
        <v>42682</v>
      </c>
      <c r="S9365" t="s">
        <v>43007</v>
      </c>
      <c r="T9365" t="s">
        <v>44489</v>
      </c>
      <c r="U9365" t="s">
        <v>45160</v>
      </c>
      <c r="W9365" t="s">
        <v>38921</v>
      </c>
      <c r="X9365" t="s">
        <v>42683</v>
      </c>
    </row>
    <row r="9366" spans="1:24">
      <c r="A9366">
        <f>HYPERLINK("https://www.philgeps.gov.ph/GEPSNONPILOT/Tender/SplashBidNoticeAbstractUI.aspx?menuIndex=3&amp;refID=7174980&amp;Result=3","7174980")</f>
        <v>0</v>
      </c>
      <c r="B9366" t="s">
        <v>681</v>
      </c>
      <c r="C9366" t="s">
        <v>12469</v>
      </c>
      <c r="D9366" t="s">
        <v>17160</v>
      </c>
      <c r="E9366" t="s">
        <v>25273</v>
      </c>
      <c r="F9366" t="s">
        <v>29372</v>
      </c>
      <c r="G9366" t="s">
        <v>29380</v>
      </c>
      <c r="H9366" t="s">
        <v>29389</v>
      </c>
      <c r="I9366" t="s">
        <v>10408</v>
      </c>
      <c r="J9366" t="s">
        <v>35517</v>
      </c>
      <c r="K9366" t="s">
        <v>38490</v>
      </c>
      <c r="M9366" t="s">
        <v>39457</v>
      </c>
      <c r="N9366" t="s">
        <v>42669</v>
      </c>
      <c r="O9366" t="s">
        <v>42670</v>
      </c>
      <c r="P9366">
        <v>0</v>
      </c>
      <c r="Q9366">
        <v>1</v>
      </c>
      <c r="R9366" t="s">
        <v>42682</v>
      </c>
      <c r="S9366" t="s">
        <v>42984</v>
      </c>
      <c r="T9366" t="s">
        <v>44510</v>
      </c>
      <c r="U9366" t="s">
        <v>52479</v>
      </c>
      <c r="W9366" t="s">
        <v>39457</v>
      </c>
      <c r="X9366" t="s">
        <v>42683</v>
      </c>
    </row>
    <row r="9367" spans="1:24">
      <c r="A9367">
        <f>HYPERLINK("https://www.philgeps.gov.ph/GEPSNONPILOT/Tender/SplashBidNoticeAbstractUI.aspx?menuIndex=3&amp;refID=7174459&amp;Result=3","7174459")</f>
        <v>0</v>
      </c>
      <c r="B9367" t="s">
        <v>2802</v>
      </c>
      <c r="C9367" t="s">
        <v>12470</v>
      </c>
      <c r="D9367" t="s">
        <v>17169</v>
      </c>
      <c r="E9367" t="s">
        <v>18218</v>
      </c>
      <c r="F9367" t="s">
        <v>29372</v>
      </c>
      <c r="G9367" t="s">
        <v>29380</v>
      </c>
      <c r="H9367" t="s">
        <v>29391</v>
      </c>
      <c r="I9367" t="s">
        <v>10408</v>
      </c>
      <c r="J9367" t="s">
        <v>29708</v>
      </c>
      <c r="K9367" t="s">
        <v>38485</v>
      </c>
      <c r="M9367" t="s">
        <v>41791</v>
      </c>
      <c r="N9367" t="s">
        <v>42669</v>
      </c>
      <c r="O9367" t="s">
        <v>42670</v>
      </c>
      <c r="P9367">
        <v>0</v>
      </c>
      <c r="Q9367">
        <v>2</v>
      </c>
      <c r="R9367" t="s">
        <v>42682</v>
      </c>
      <c r="S9367" t="s">
        <v>42984</v>
      </c>
      <c r="T9367" t="s">
        <v>44399</v>
      </c>
      <c r="U9367" t="s">
        <v>52480</v>
      </c>
      <c r="W9367" t="s">
        <v>41791</v>
      </c>
      <c r="X9367" t="s">
        <v>42683</v>
      </c>
    </row>
    <row r="9368" spans="1:24">
      <c r="A9368">
        <f>HYPERLINK("https://www.philgeps.gov.ph/GEPSNONPILOT/Tender/SplashBidNoticeAbstractUI.aspx?menuIndex=3&amp;refID=7174471&amp;Result=3","7174471")</f>
        <v>0</v>
      </c>
      <c r="B9368" t="s">
        <v>2803</v>
      </c>
      <c r="C9368" t="s">
        <v>12471</v>
      </c>
      <c r="D9368" t="s">
        <v>17197</v>
      </c>
      <c r="E9368" t="s">
        <v>25274</v>
      </c>
      <c r="F9368" t="s">
        <v>29372</v>
      </c>
      <c r="G9368" t="s">
        <v>29380</v>
      </c>
      <c r="H9368" t="s">
        <v>29390</v>
      </c>
      <c r="I9368" t="s">
        <v>29440</v>
      </c>
      <c r="J9368" t="s">
        <v>30232</v>
      </c>
      <c r="K9368" t="s">
        <v>38538</v>
      </c>
      <c r="M9368" t="s">
        <v>41792</v>
      </c>
      <c r="N9368" t="s">
        <v>42669</v>
      </c>
      <c r="O9368" t="s">
        <v>42670</v>
      </c>
      <c r="Q9368">
        <v>1</v>
      </c>
      <c r="R9368" t="s">
        <v>42682</v>
      </c>
      <c r="S9368" t="s">
        <v>43008</v>
      </c>
      <c r="T9368" t="s">
        <v>44457</v>
      </c>
      <c r="U9368" t="s">
        <v>52481</v>
      </c>
      <c r="V9368" t="s">
        <v>57406</v>
      </c>
      <c r="W9368" t="s">
        <v>41792</v>
      </c>
      <c r="X9368" t="s">
        <v>42683</v>
      </c>
    </row>
    <row r="9369" spans="1:24">
      <c r="A9369">
        <f>HYPERLINK("https://www.philgeps.gov.ph/GEPSNONPILOT/Tender/SplashBidNoticeAbstractUI.aspx?menuIndex=3&amp;refID=7174287&amp;Result=3","7174287")</f>
        <v>0</v>
      </c>
      <c r="B9369" t="s">
        <v>1971</v>
      </c>
      <c r="C9369" t="s">
        <v>12472</v>
      </c>
      <c r="D9369" t="s">
        <v>17199</v>
      </c>
      <c r="E9369" t="s">
        <v>25275</v>
      </c>
      <c r="F9369" t="s">
        <v>29372</v>
      </c>
      <c r="G9369" t="s">
        <v>29380</v>
      </c>
      <c r="H9369" t="s">
        <v>11048</v>
      </c>
      <c r="I9369" t="s">
        <v>4709</v>
      </c>
      <c r="J9369" t="s">
        <v>35518</v>
      </c>
      <c r="K9369" t="s">
        <v>38488</v>
      </c>
      <c r="M9369" t="s">
        <v>40858</v>
      </c>
      <c r="N9369" t="s">
        <v>42669</v>
      </c>
      <c r="O9369" t="s">
        <v>42670</v>
      </c>
      <c r="P9369">
        <v>0</v>
      </c>
      <c r="Q9369">
        <v>0</v>
      </c>
      <c r="R9369" t="s">
        <v>42682</v>
      </c>
      <c r="S9369" t="s">
        <v>42984</v>
      </c>
      <c r="T9369" t="s">
        <v>44548</v>
      </c>
      <c r="U9369" t="s">
        <v>52482</v>
      </c>
      <c r="W9369" t="s">
        <v>40858</v>
      </c>
      <c r="X9369" t="s">
        <v>42683</v>
      </c>
    </row>
    <row r="9370" spans="1:24">
      <c r="A9370">
        <f>HYPERLINK("https://www.philgeps.gov.ph/GEPSNONPILOT/Tender/SplashBidNoticeAbstractUI.aspx?menuIndex=3&amp;refID=7174423&amp;Result=3","7174423")</f>
        <v>0</v>
      </c>
      <c r="B9370" t="s">
        <v>1007</v>
      </c>
      <c r="C9370" t="s">
        <v>12473</v>
      </c>
      <c r="D9370" t="s">
        <v>17164</v>
      </c>
      <c r="E9370" t="s">
        <v>25276</v>
      </c>
      <c r="F9370" t="s">
        <v>29372</v>
      </c>
      <c r="G9370" t="s">
        <v>29380</v>
      </c>
      <c r="H9370" t="s">
        <v>11048</v>
      </c>
      <c r="I9370" t="s">
        <v>29456</v>
      </c>
      <c r="J9370" t="s">
        <v>29590</v>
      </c>
      <c r="K9370" t="s">
        <v>38485</v>
      </c>
      <c r="M9370" t="s">
        <v>39807</v>
      </c>
      <c r="N9370" t="s">
        <v>42669</v>
      </c>
      <c r="O9370" t="s">
        <v>42670</v>
      </c>
      <c r="P9370">
        <v>0</v>
      </c>
      <c r="Q9370">
        <v>1</v>
      </c>
      <c r="R9370" t="s">
        <v>42682</v>
      </c>
      <c r="S9370" t="s">
        <v>42984</v>
      </c>
      <c r="T9370" t="s">
        <v>44394</v>
      </c>
      <c r="U9370" t="s">
        <v>52483</v>
      </c>
      <c r="W9370" t="s">
        <v>39807</v>
      </c>
      <c r="X9370" t="s">
        <v>42683</v>
      </c>
    </row>
    <row r="9371" spans="1:24">
      <c r="A9371">
        <f>HYPERLINK("https://www.philgeps.gov.ph/GEPSNONPILOT/Tender/SplashBidNoticeAbstractUI.aspx?menuIndex=3&amp;refID=7174317&amp;Result=3","7174317")</f>
        <v>0</v>
      </c>
      <c r="B9371" t="s">
        <v>1242</v>
      </c>
      <c r="C9371" t="s">
        <v>12474</v>
      </c>
      <c r="D9371" t="s">
        <v>17183</v>
      </c>
      <c r="E9371" t="s">
        <v>19455</v>
      </c>
      <c r="F9371" t="s">
        <v>29372</v>
      </c>
      <c r="G9371" t="s">
        <v>29383</v>
      </c>
      <c r="H9371" t="s">
        <v>11048</v>
      </c>
      <c r="I9371" t="s">
        <v>3670</v>
      </c>
      <c r="J9371" t="s">
        <v>35519</v>
      </c>
      <c r="K9371" t="s">
        <v>38490</v>
      </c>
      <c r="M9371" t="s">
        <v>40065</v>
      </c>
      <c r="N9371" t="s">
        <v>42669</v>
      </c>
      <c r="O9371" t="s">
        <v>42670</v>
      </c>
      <c r="P9371">
        <v>0</v>
      </c>
      <c r="Q9371">
        <v>3</v>
      </c>
      <c r="R9371" t="s">
        <v>42682</v>
      </c>
      <c r="S9371" t="s">
        <v>42984</v>
      </c>
      <c r="T9371" t="s">
        <v>44512</v>
      </c>
      <c r="U9371" t="s">
        <v>52484</v>
      </c>
      <c r="W9371" t="s">
        <v>40065</v>
      </c>
      <c r="X9371" t="s">
        <v>42683</v>
      </c>
    </row>
    <row r="9372" spans="1:24">
      <c r="A9372">
        <f>HYPERLINK("https://www.philgeps.gov.ph/GEPSNONPILOT/Tender/SplashBidNoticeAbstractUI.aspx?menuIndex=3&amp;refID=7175221&amp;Result=3","7175221")</f>
        <v>0</v>
      </c>
      <c r="B9372" t="s">
        <v>2804</v>
      </c>
      <c r="C9372" t="s">
        <v>12475</v>
      </c>
      <c r="D9372" t="s">
        <v>17194</v>
      </c>
      <c r="E9372" t="s">
        <v>25277</v>
      </c>
      <c r="F9372" t="s">
        <v>29372</v>
      </c>
      <c r="G9372" t="s">
        <v>29380</v>
      </c>
      <c r="H9372" t="s">
        <v>11048</v>
      </c>
      <c r="I9372" t="s">
        <v>29469</v>
      </c>
      <c r="J9372" t="s">
        <v>29642</v>
      </c>
      <c r="K9372" t="s">
        <v>38510</v>
      </c>
      <c r="M9372" t="s">
        <v>41793</v>
      </c>
      <c r="N9372" t="s">
        <v>42669</v>
      </c>
      <c r="O9372" t="s">
        <v>42670</v>
      </c>
      <c r="P9372">
        <v>0</v>
      </c>
      <c r="Q9372">
        <v>0</v>
      </c>
      <c r="R9372" t="s">
        <v>42682</v>
      </c>
      <c r="S9372" t="s">
        <v>42984</v>
      </c>
      <c r="T9372" t="s">
        <v>44399</v>
      </c>
      <c r="U9372" t="s">
        <v>52485</v>
      </c>
      <c r="W9372" t="s">
        <v>41793</v>
      </c>
      <c r="X9372" t="s">
        <v>42683</v>
      </c>
    </row>
    <row r="9373" spans="1:24">
      <c r="A9373">
        <f>HYPERLINK("https://www.philgeps.gov.ph/GEPSNONPILOT/Tender/SplashBidNoticeAbstractUI.aspx?menuIndex=3&amp;refID=7174293&amp;Result=3","7174293")</f>
        <v>0</v>
      </c>
      <c r="B9373" t="s">
        <v>235</v>
      </c>
      <c r="C9373" t="s">
        <v>12476</v>
      </c>
      <c r="D9373" t="s">
        <v>17185</v>
      </c>
      <c r="E9373" t="s">
        <v>25278</v>
      </c>
      <c r="F9373" t="s">
        <v>29372</v>
      </c>
      <c r="G9373" t="s">
        <v>29380</v>
      </c>
      <c r="H9373" t="s">
        <v>11048</v>
      </c>
      <c r="I9373" t="s">
        <v>29393</v>
      </c>
      <c r="J9373" t="s">
        <v>35520</v>
      </c>
      <c r="K9373" t="s">
        <v>38510</v>
      </c>
      <c r="M9373" t="s">
        <v>41769</v>
      </c>
      <c r="N9373" t="s">
        <v>42669</v>
      </c>
      <c r="O9373" t="s">
        <v>42670</v>
      </c>
      <c r="P9373">
        <v>0</v>
      </c>
      <c r="Q9373">
        <v>0</v>
      </c>
      <c r="R9373" t="s">
        <v>42682</v>
      </c>
      <c r="S9373" t="s">
        <v>42984</v>
      </c>
      <c r="T9373" t="s">
        <v>44368</v>
      </c>
      <c r="U9373" t="s">
        <v>52407</v>
      </c>
      <c r="V9373" t="s">
        <v>57389</v>
      </c>
      <c r="W9373" t="s">
        <v>58098</v>
      </c>
      <c r="X9373" t="s">
        <v>42683</v>
      </c>
    </row>
    <row r="9374" spans="1:24">
      <c r="A9374">
        <f>HYPERLINK("https://www.philgeps.gov.ph/GEPSNONPILOT/Tender/SplashBidNoticeAbstractUI.aspx?menuIndex=3&amp;refID=7175216&amp;Result=3","7175216")</f>
        <v>0</v>
      </c>
      <c r="B9374" t="s">
        <v>2805</v>
      </c>
      <c r="C9374" t="s">
        <v>12477</v>
      </c>
      <c r="D9374" t="s">
        <v>17183</v>
      </c>
      <c r="E9374" t="s">
        <v>25279</v>
      </c>
      <c r="F9374" t="s">
        <v>29372</v>
      </c>
      <c r="G9374" t="s">
        <v>29380</v>
      </c>
      <c r="H9374" t="s">
        <v>29389</v>
      </c>
      <c r="I9374" t="s">
        <v>10408</v>
      </c>
      <c r="J9374" t="s">
        <v>29724</v>
      </c>
      <c r="K9374" t="s">
        <v>38614</v>
      </c>
      <c r="M9374" t="s">
        <v>41794</v>
      </c>
      <c r="N9374" t="s">
        <v>42669</v>
      </c>
      <c r="O9374" t="s">
        <v>42670</v>
      </c>
      <c r="P9374">
        <v>0</v>
      </c>
      <c r="Q9374">
        <v>2</v>
      </c>
      <c r="R9374" t="s">
        <v>42682</v>
      </c>
      <c r="S9374" t="s">
        <v>42984</v>
      </c>
      <c r="T9374" t="s">
        <v>44436</v>
      </c>
      <c r="U9374" t="s">
        <v>52486</v>
      </c>
      <c r="W9374" t="s">
        <v>41794</v>
      </c>
      <c r="X9374" t="s">
        <v>42683</v>
      </c>
    </row>
    <row r="9375" spans="1:24">
      <c r="A9375">
        <f>HYPERLINK("https://www.philgeps.gov.ph/GEPSNONPILOT/Tender/SplashBidNoticeAbstractUI.aspx?menuIndex=3&amp;refID=7174290&amp;Result=3","7174290")</f>
        <v>0</v>
      </c>
      <c r="B9375" t="s">
        <v>2790</v>
      </c>
      <c r="C9375" t="s">
        <v>8208</v>
      </c>
      <c r="D9375" t="s">
        <v>17143</v>
      </c>
      <c r="E9375" t="s">
        <v>25280</v>
      </c>
      <c r="F9375" t="s">
        <v>29372</v>
      </c>
      <c r="G9375" t="s">
        <v>29380</v>
      </c>
      <c r="H9375" t="s">
        <v>11048</v>
      </c>
      <c r="I9375" t="s">
        <v>8208</v>
      </c>
      <c r="J9375" t="s">
        <v>29729</v>
      </c>
      <c r="K9375" t="s">
        <v>38485</v>
      </c>
      <c r="M9375" t="s">
        <v>41777</v>
      </c>
      <c r="N9375" t="s">
        <v>42669</v>
      </c>
      <c r="O9375" t="s">
        <v>42670</v>
      </c>
      <c r="Q9375">
        <v>0</v>
      </c>
      <c r="R9375" t="s">
        <v>42682</v>
      </c>
      <c r="S9375" t="s">
        <v>43009</v>
      </c>
      <c r="T9375" t="s">
        <v>44355</v>
      </c>
      <c r="U9375" t="s">
        <v>52487</v>
      </c>
      <c r="V9375" t="s">
        <v>57407</v>
      </c>
      <c r="W9375" t="s">
        <v>41777</v>
      </c>
      <c r="X9375" t="s">
        <v>42683</v>
      </c>
    </row>
    <row r="9376" spans="1:24">
      <c r="A9376">
        <f>HYPERLINK("https://www.philgeps.gov.ph/GEPSNONPILOT/Tender/SplashBidNoticeAbstractUI.aspx?menuIndex=3&amp;refID=7175193&amp;Result=3","7175193")</f>
        <v>0</v>
      </c>
      <c r="B9376" t="s">
        <v>2806</v>
      </c>
      <c r="C9376" t="s">
        <v>12478</v>
      </c>
      <c r="E9376" t="s">
        <v>25281</v>
      </c>
      <c r="F9376" t="s">
        <v>29372</v>
      </c>
      <c r="G9376" t="s">
        <v>29380</v>
      </c>
      <c r="H9376" t="s">
        <v>29389</v>
      </c>
      <c r="I9376" t="s">
        <v>10408</v>
      </c>
      <c r="J9376" t="s">
        <v>35521</v>
      </c>
      <c r="K9376" t="s">
        <v>38488</v>
      </c>
      <c r="M9376" t="s">
        <v>41795</v>
      </c>
      <c r="N9376" t="s">
        <v>42669</v>
      </c>
      <c r="O9376" t="s">
        <v>42670</v>
      </c>
      <c r="P9376">
        <v>0</v>
      </c>
      <c r="Q9376">
        <v>0</v>
      </c>
      <c r="R9376" t="s">
        <v>42682</v>
      </c>
      <c r="S9376" t="s">
        <v>42984</v>
      </c>
      <c r="T9376" t="s">
        <v>44525</v>
      </c>
      <c r="U9376" t="s">
        <v>52488</v>
      </c>
      <c r="W9376" t="s">
        <v>41795</v>
      </c>
      <c r="X9376" t="s">
        <v>42683</v>
      </c>
    </row>
    <row r="9377" spans="1:24">
      <c r="A9377">
        <f>HYPERLINK("https://www.philgeps.gov.ph/GEPSNONPILOT/Tender/SplashBidNoticeAbstractUI.aspx?menuIndex=3&amp;refID=7175186&amp;Result=3","7175186")</f>
        <v>0</v>
      </c>
      <c r="B9377" t="s">
        <v>1466</v>
      </c>
      <c r="C9377" t="s">
        <v>12479</v>
      </c>
      <c r="E9377" t="s">
        <v>25282</v>
      </c>
      <c r="F9377" t="s">
        <v>29372</v>
      </c>
      <c r="G9377" t="s">
        <v>29380</v>
      </c>
      <c r="H9377" t="s">
        <v>11048</v>
      </c>
      <c r="I9377" t="s">
        <v>4486</v>
      </c>
      <c r="J9377" t="s">
        <v>35522</v>
      </c>
      <c r="K9377" t="s">
        <v>38490</v>
      </c>
      <c r="M9377" t="s">
        <v>40309</v>
      </c>
      <c r="N9377" t="s">
        <v>42669</v>
      </c>
      <c r="O9377" t="s">
        <v>42670</v>
      </c>
      <c r="P9377">
        <v>0</v>
      </c>
      <c r="Q9377">
        <v>3</v>
      </c>
      <c r="R9377" t="s">
        <v>42682</v>
      </c>
      <c r="S9377" t="s">
        <v>42984</v>
      </c>
      <c r="T9377" t="s">
        <v>44491</v>
      </c>
      <c r="U9377" t="s">
        <v>52489</v>
      </c>
      <c r="W9377" t="s">
        <v>40309</v>
      </c>
      <c r="X9377" t="s">
        <v>42683</v>
      </c>
    </row>
    <row r="9378" spans="1:24">
      <c r="A9378">
        <f>HYPERLINK("https://www.philgeps.gov.ph/GEPSNONPILOT/Tender/SplashBidNoticeAbstractUI.aspx?menuIndex=3&amp;refID=7175029&amp;Result=3","7175029")</f>
        <v>0</v>
      </c>
      <c r="B9378" t="s">
        <v>754</v>
      </c>
      <c r="C9378" t="s">
        <v>12480</v>
      </c>
      <c r="D9378" t="s">
        <v>17168</v>
      </c>
      <c r="E9378" t="s">
        <v>25283</v>
      </c>
      <c r="F9378" t="s">
        <v>29372</v>
      </c>
      <c r="G9378" t="s">
        <v>29380</v>
      </c>
      <c r="H9378" t="s">
        <v>29389</v>
      </c>
      <c r="I9378" t="s">
        <v>10408</v>
      </c>
      <c r="J9378" t="s">
        <v>30845</v>
      </c>
      <c r="K9378" t="s">
        <v>38516</v>
      </c>
      <c r="M9378" t="s">
        <v>39537</v>
      </c>
      <c r="N9378" t="s">
        <v>42669</v>
      </c>
      <c r="O9378" t="s">
        <v>42670</v>
      </c>
      <c r="Q9378">
        <v>3</v>
      </c>
      <c r="R9378" t="s">
        <v>42682</v>
      </c>
      <c r="S9378" t="s">
        <v>43010</v>
      </c>
      <c r="T9378" t="s">
        <v>44357</v>
      </c>
      <c r="U9378" t="s">
        <v>52490</v>
      </c>
      <c r="W9378" t="s">
        <v>39537</v>
      </c>
      <c r="X9378" t="s">
        <v>42683</v>
      </c>
    </row>
    <row r="9379" spans="1:24">
      <c r="A9379">
        <f>HYPERLINK("https://www.philgeps.gov.ph/GEPSNONPILOT/Tender/SplashBidNoticeAbstractUI.aspx?menuIndex=3&amp;refID=7175170&amp;Result=3","7175170")</f>
        <v>0</v>
      </c>
      <c r="B9379" t="s">
        <v>1444</v>
      </c>
      <c r="C9379" t="s">
        <v>12481</v>
      </c>
      <c r="D9379" t="s">
        <v>17199</v>
      </c>
      <c r="E9379" t="s">
        <v>25284</v>
      </c>
      <c r="F9379" t="s">
        <v>29372</v>
      </c>
      <c r="G9379" t="s">
        <v>29380</v>
      </c>
      <c r="H9379" t="s">
        <v>29389</v>
      </c>
      <c r="I9379" t="s">
        <v>29453</v>
      </c>
      <c r="J9379" t="s">
        <v>35523</v>
      </c>
      <c r="K9379" t="s">
        <v>38522</v>
      </c>
      <c r="M9379" t="s">
        <v>40285</v>
      </c>
      <c r="N9379" t="s">
        <v>42669</v>
      </c>
      <c r="O9379" t="s">
        <v>42670</v>
      </c>
      <c r="P9379">
        <v>0</v>
      </c>
      <c r="Q9379">
        <v>1</v>
      </c>
      <c r="R9379" t="s">
        <v>42682</v>
      </c>
      <c r="S9379" t="s">
        <v>42984</v>
      </c>
      <c r="T9379" t="s">
        <v>44510</v>
      </c>
      <c r="U9379" t="s">
        <v>52491</v>
      </c>
      <c r="V9379" t="s">
        <v>57408</v>
      </c>
      <c r="W9379" t="s">
        <v>40285</v>
      </c>
      <c r="X9379" t="s">
        <v>42683</v>
      </c>
    </row>
    <row r="9380" spans="1:24">
      <c r="A9380">
        <f>HYPERLINK("https://www.philgeps.gov.ph/GEPSNONPILOT/Tender/SplashBidNoticeAbstractUI.aspx?menuIndex=3&amp;refID=7174787&amp;Result=3","7174787")</f>
        <v>0</v>
      </c>
      <c r="B9380" t="s">
        <v>2807</v>
      </c>
      <c r="C9380" t="s">
        <v>12482</v>
      </c>
      <c r="E9380" t="s">
        <v>25285</v>
      </c>
      <c r="F9380" t="s">
        <v>29372</v>
      </c>
      <c r="G9380" t="s">
        <v>29380</v>
      </c>
      <c r="H9380" t="s">
        <v>11048</v>
      </c>
      <c r="I9380" t="s">
        <v>8614</v>
      </c>
      <c r="J9380" t="s">
        <v>29728</v>
      </c>
      <c r="K9380" t="s">
        <v>38490</v>
      </c>
      <c r="M9380" t="s">
        <v>41796</v>
      </c>
      <c r="N9380" t="s">
        <v>42669</v>
      </c>
      <c r="O9380" t="s">
        <v>42670</v>
      </c>
      <c r="P9380">
        <v>0</v>
      </c>
      <c r="Q9380">
        <v>19</v>
      </c>
      <c r="R9380" t="s">
        <v>42682</v>
      </c>
      <c r="S9380" t="s">
        <v>42984</v>
      </c>
      <c r="T9380" t="s">
        <v>44573</v>
      </c>
      <c r="U9380" t="s">
        <v>52492</v>
      </c>
      <c r="W9380" t="s">
        <v>58099</v>
      </c>
      <c r="X9380" t="s">
        <v>42683</v>
      </c>
    </row>
    <row r="9381" spans="1:24">
      <c r="A9381">
        <f>HYPERLINK("https://www.philgeps.gov.ph/GEPSNONPILOT/Tender/SplashBidNoticeAbstractUI.aspx?menuIndex=3&amp;refID=7175132&amp;Result=3","7175132")</f>
        <v>0</v>
      </c>
      <c r="B9381" t="s">
        <v>1186</v>
      </c>
      <c r="C9381" t="s">
        <v>12483</v>
      </c>
      <c r="D9381" t="s">
        <v>17175</v>
      </c>
      <c r="E9381" t="s">
        <v>25286</v>
      </c>
      <c r="F9381" t="s">
        <v>29372</v>
      </c>
      <c r="G9381" t="s">
        <v>29380</v>
      </c>
      <c r="H9381" t="s">
        <v>11048</v>
      </c>
      <c r="I9381" t="s">
        <v>29393</v>
      </c>
      <c r="J9381" t="s">
        <v>35524</v>
      </c>
      <c r="K9381" t="s">
        <v>38490</v>
      </c>
      <c r="M9381" t="s">
        <v>40002</v>
      </c>
      <c r="N9381" t="s">
        <v>42669</v>
      </c>
      <c r="O9381" t="s">
        <v>42670</v>
      </c>
      <c r="P9381">
        <v>0</v>
      </c>
      <c r="Q9381">
        <v>0</v>
      </c>
      <c r="R9381" t="s">
        <v>42682</v>
      </c>
      <c r="S9381" t="s">
        <v>42984</v>
      </c>
      <c r="T9381" t="s">
        <v>44399</v>
      </c>
      <c r="U9381" t="s">
        <v>52493</v>
      </c>
      <c r="W9381" t="s">
        <v>40002</v>
      </c>
      <c r="X9381" t="s">
        <v>42683</v>
      </c>
    </row>
    <row r="9382" spans="1:24">
      <c r="A9382">
        <f>HYPERLINK("https://www.philgeps.gov.ph/GEPSNONPILOT/Tender/SplashBidNoticeAbstractUI.aspx?menuIndex=3&amp;refID=7175194&amp;Result=3","7175194")</f>
        <v>0</v>
      </c>
      <c r="B9382" t="s">
        <v>2808</v>
      </c>
      <c r="C9382" t="s">
        <v>12484</v>
      </c>
      <c r="D9382" t="s">
        <v>17171</v>
      </c>
      <c r="E9382" t="s">
        <v>17540</v>
      </c>
      <c r="F9382" t="s">
        <v>29372</v>
      </c>
      <c r="G9382" t="s">
        <v>29380</v>
      </c>
      <c r="H9382" t="s">
        <v>29390</v>
      </c>
      <c r="I9382" t="s">
        <v>29392</v>
      </c>
      <c r="J9382" t="s">
        <v>34069</v>
      </c>
      <c r="K9382" t="s">
        <v>38580</v>
      </c>
      <c r="M9382" t="s">
        <v>41797</v>
      </c>
      <c r="N9382" t="s">
        <v>42669</v>
      </c>
      <c r="O9382" t="s">
        <v>42670</v>
      </c>
      <c r="Q9382">
        <v>1</v>
      </c>
      <c r="R9382" t="s">
        <v>42682</v>
      </c>
      <c r="S9382" t="s">
        <v>43011</v>
      </c>
      <c r="T9382" t="s">
        <v>44490</v>
      </c>
      <c r="U9382" t="s">
        <v>52494</v>
      </c>
      <c r="W9382" t="s">
        <v>41797</v>
      </c>
      <c r="X9382" t="s">
        <v>42683</v>
      </c>
    </row>
    <row r="9383" spans="1:24">
      <c r="A9383">
        <f>HYPERLINK("https://www.philgeps.gov.ph/GEPSNONPILOT/Tender/SplashBidNoticeAbstractUI.aspx?menuIndex=3&amp;refID=7175129&amp;Result=3","7175129")</f>
        <v>0</v>
      </c>
      <c r="B9383" t="s">
        <v>613</v>
      </c>
      <c r="C9383" t="s">
        <v>12485</v>
      </c>
      <c r="D9383" t="s">
        <v>17205</v>
      </c>
      <c r="E9383" t="s">
        <v>25287</v>
      </c>
      <c r="F9383" t="s">
        <v>29372</v>
      </c>
      <c r="G9383" t="s">
        <v>29380</v>
      </c>
      <c r="H9383" t="s">
        <v>11048</v>
      </c>
      <c r="I9383" t="s">
        <v>3597</v>
      </c>
      <c r="J9383" t="s">
        <v>35525</v>
      </c>
      <c r="K9383" t="s">
        <v>38490</v>
      </c>
      <c r="M9383" t="s">
        <v>39384</v>
      </c>
      <c r="N9383" t="s">
        <v>42669</v>
      </c>
      <c r="O9383" t="s">
        <v>42670</v>
      </c>
      <c r="P9383">
        <v>0</v>
      </c>
      <c r="Q9383">
        <v>8</v>
      </c>
      <c r="R9383" t="s">
        <v>42682</v>
      </c>
      <c r="S9383" t="s">
        <v>42984</v>
      </c>
      <c r="T9383" t="s">
        <v>44515</v>
      </c>
      <c r="U9383" t="s">
        <v>52495</v>
      </c>
      <c r="V9383" t="s">
        <v>57409</v>
      </c>
      <c r="W9383" t="s">
        <v>39384</v>
      </c>
      <c r="X9383" t="s">
        <v>42683</v>
      </c>
    </row>
    <row r="9384" spans="1:24">
      <c r="A9384">
        <f>HYPERLINK("https://www.philgeps.gov.ph/GEPSNONPILOT/Tender/SplashBidNoticeAbstractUI.aspx?menuIndex=3&amp;refID=7175117&amp;Result=3","7175117")</f>
        <v>0</v>
      </c>
      <c r="B9384" t="s">
        <v>2044</v>
      </c>
      <c r="C9384" t="s">
        <v>12486</v>
      </c>
      <c r="D9384" t="s">
        <v>17170</v>
      </c>
      <c r="E9384" t="s">
        <v>25288</v>
      </c>
      <c r="F9384" t="s">
        <v>29372</v>
      </c>
      <c r="G9384" t="s">
        <v>29380</v>
      </c>
      <c r="H9384" t="s">
        <v>29389</v>
      </c>
      <c r="I9384" t="s">
        <v>10408</v>
      </c>
      <c r="J9384" t="s">
        <v>29924</v>
      </c>
      <c r="K9384" t="s">
        <v>38612</v>
      </c>
      <c r="M9384" t="s">
        <v>40941</v>
      </c>
      <c r="N9384" t="s">
        <v>42669</v>
      </c>
      <c r="O9384" t="s">
        <v>42670</v>
      </c>
      <c r="P9384">
        <v>0</v>
      </c>
      <c r="Q9384">
        <v>1</v>
      </c>
      <c r="R9384" t="s">
        <v>42682</v>
      </c>
      <c r="S9384" t="s">
        <v>42984</v>
      </c>
      <c r="T9384" t="s">
        <v>44391</v>
      </c>
      <c r="U9384" t="s">
        <v>52496</v>
      </c>
      <c r="W9384" t="s">
        <v>40941</v>
      </c>
      <c r="X9384" t="s">
        <v>42683</v>
      </c>
    </row>
    <row r="9385" spans="1:24">
      <c r="A9385">
        <f>HYPERLINK("https://www.philgeps.gov.ph/GEPSNONPILOT/Tender/SplashBidNoticeAbstractUI.aspx?menuIndex=3&amp;refID=7175055&amp;Result=3","7175055")</f>
        <v>0</v>
      </c>
      <c r="B9385" t="s">
        <v>1444</v>
      </c>
      <c r="C9385" t="s">
        <v>12487</v>
      </c>
      <c r="D9385" t="s">
        <v>17199</v>
      </c>
      <c r="E9385" t="s">
        <v>25289</v>
      </c>
      <c r="F9385" t="s">
        <v>29372</v>
      </c>
      <c r="G9385" t="s">
        <v>29380</v>
      </c>
      <c r="H9385" t="s">
        <v>29389</v>
      </c>
      <c r="I9385" t="s">
        <v>29453</v>
      </c>
      <c r="J9385" t="s">
        <v>35526</v>
      </c>
      <c r="K9385" t="s">
        <v>38522</v>
      </c>
      <c r="M9385" t="s">
        <v>40285</v>
      </c>
      <c r="N9385" t="s">
        <v>42669</v>
      </c>
      <c r="O9385" t="s">
        <v>42670</v>
      </c>
      <c r="P9385">
        <v>0</v>
      </c>
      <c r="Q9385">
        <v>1</v>
      </c>
      <c r="R9385" t="s">
        <v>42682</v>
      </c>
      <c r="S9385" t="s">
        <v>42984</v>
      </c>
      <c r="T9385" t="s">
        <v>44510</v>
      </c>
      <c r="U9385" t="s">
        <v>52497</v>
      </c>
      <c r="V9385" t="s">
        <v>57408</v>
      </c>
      <c r="W9385" t="s">
        <v>40285</v>
      </c>
      <c r="X9385" t="s">
        <v>42683</v>
      </c>
    </row>
    <row r="9386" spans="1:24">
      <c r="A9386">
        <f>HYPERLINK("https://www.philgeps.gov.ph/GEPSNONPILOT/Tender/SplashBidNoticeAbstractUI.aspx?menuIndex=3&amp;refID=7175041&amp;Result=3","7175041")</f>
        <v>0</v>
      </c>
      <c r="B9386" t="s">
        <v>111</v>
      </c>
      <c r="C9386" t="s">
        <v>12488</v>
      </c>
      <c r="D9386" t="s">
        <v>17182</v>
      </c>
      <c r="E9386" t="s">
        <v>19493</v>
      </c>
      <c r="F9386" t="s">
        <v>29372</v>
      </c>
      <c r="G9386" t="s">
        <v>29380</v>
      </c>
      <c r="H9386" t="s">
        <v>11048</v>
      </c>
      <c r="I9386" t="s">
        <v>29407</v>
      </c>
      <c r="J9386" t="s">
        <v>35527</v>
      </c>
      <c r="K9386" t="s">
        <v>38486</v>
      </c>
      <c r="M9386" t="s">
        <v>38866</v>
      </c>
      <c r="N9386" t="s">
        <v>42669</v>
      </c>
      <c r="O9386" t="s">
        <v>42670</v>
      </c>
      <c r="P9386">
        <v>0</v>
      </c>
      <c r="Q9386">
        <v>22</v>
      </c>
      <c r="R9386" t="s">
        <v>42682</v>
      </c>
      <c r="S9386" t="s">
        <v>42984</v>
      </c>
      <c r="T9386" t="s">
        <v>44450</v>
      </c>
      <c r="U9386" t="s">
        <v>52498</v>
      </c>
      <c r="W9386" t="s">
        <v>38866</v>
      </c>
      <c r="X9386" t="s">
        <v>42683</v>
      </c>
    </row>
    <row r="9387" spans="1:24">
      <c r="A9387">
        <f>HYPERLINK("https://www.philgeps.gov.ph/GEPSNONPILOT/Tender/SplashBidNoticeAbstractUI.aspx?menuIndex=3&amp;refID=7175130&amp;Result=3","7175130")</f>
        <v>0</v>
      </c>
      <c r="B9387" t="s">
        <v>2809</v>
      </c>
      <c r="C9387" t="s">
        <v>12489</v>
      </c>
      <c r="D9387" t="s">
        <v>17150</v>
      </c>
      <c r="E9387" t="s">
        <v>25290</v>
      </c>
      <c r="F9387" t="s">
        <v>29372</v>
      </c>
      <c r="G9387" t="s">
        <v>29380</v>
      </c>
      <c r="H9387" t="s">
        <v>11048</v>
      </c>
      <c r="I9387" t="s">
        <v>9469</v>
      </c>
      <c r="J9387" t="s">
        <v>29615</v>
      </c>
      <c r="K9387" t="s">
        <v>38495</v>
      </c>
      <c r="M9387" t="s">
        <v>41798</v>
      </c>
      <c r="N9387" t="s">
        <v>42669</v>
      </c>
      <c r="O9387" t="s">
        <v>42670</v>
      </c>
      <c r="P9387">
        <v>0</v>
      </c>
      <c r="Q9387">
        <v>5</v>
      </c>
      <c r="R9387" t="s">
        <v>42682</v>
      </c>
      <c r="S9387" t="s">
        <v>42984</v>
      </c>
      <c r="T9387" t="s">
        <v>44517</v>
      </c>
      <c r="U9387" t="s">
        <v>52499</v>
      </c>
      <c r="W9387" t="s">
        <v>41798</v>
      </c>
      <c r="X9387" t="s">
        <v>42683</v>
      </c>
    </row>
    <row r="9388" spans="1:24">
      <c r="A9388">
        <f>HYPERLINK("https://www.philgeps.gov.ph/GEPSNONPILOT/Tender/SplashBidNoticeAbstractUI.aspx?menuIndex=3&amp;refID=7175062&amp;Result=3","7175062")</f>
        <v>0</v>
      </c>
      <c r="B9388" t="s">
        <v>2809</v>
      </c>
      <c r="C9388" t="s">
        <v>12490</v>
      </c>
      <c r="D9388" t="s">
        <v>17150</v>
      </c>
      <c r="E9388" t="s">
        <v>25291</v>
      </c>
      <c r="F9388" t="s">
        <v>29372</v>
      </c>
      <c r="G9388" t="s">
        <v>29380</v>
      </c>
      <c r="H9388" t="s">
        <v>11048</v>
      </c>
      <c r="I9388" t="s">
        <v>9469</v>
      </c>
      <c r="J9388" t="s">
        <v>29788</v>
      </c>
      <c r="K9388" t="s">
        <v>38495</v>
      </c>
      <c r="M9388" t="s">
        <v>41798</v>
      </c>
      <c r="N9388" t="s">
        <v>42669</v>
      </c>
      <c r="O9388" t="s">
        <v>42670</v>
      </c>
      <c r="P9388">
        <v>0</v>
      </c>
      <c r="Q9388">
        <v>5</v>
      </c>
      <c r="R9388" t="s">
        <v>42682</v>
      </c>
      <c r="S9388" t="s">
        <v>42984</v>
      </c>
      <c r="T9388" t="s">
        <v>44517</v>
      </c>
      <c r="U9388" t="s">
        <v>52500</v>
      </c>
      <c r="W9388" t="s">
        <v>41798</v>
      </c>
      <c r="X9388" t="s">
        <v>42683</v>
      </c>
    </row>
    <row r="9389" spans="1:24">
      <c r="A9389">
        <f>HYPERLINK("https://www.philgeps.gov.ph/GEPSNONPILOT/Tender/SplashBidNoticeAbstractUI.aspx?menuIndex=3&amp;refID=7174438&amp;Result=3","7174438")</f>
        <v>0</v>
      </c>
      <c r="B9389" t="s">
        <v>1421</v>
      </c>
      <c r="C9389" t="s">
        <v>12491</v>
      </c>
      <c r="D9389" t="s">
        <v>17158</v>
      </c>
      <c r="E9389" t="s">
        <v>25292</v>
      </c>
      <c r="F9389" t="s">
        <v>29372</v>
      </c>
      <c r="G9389" t="s">
        <v>29380</v>
      </c>
      <c r="H9389" t="s">
        <v>11048</v>
      </c>
      <c r="I9389" t="s">
        <v>29424</v>
      </c>
      <c r="J9389" t="s">
        <v>29587</v>
      </c>
      <c r="K9389" t="s">
        <v>38485</v>
      </c>
      <c r="M9389" t="s">
        <v>40260</v>
      </c>
      <c r="N9389" t="s">
        <v>42669</v>
      </c>
      <c r="O9389" t="s">
        <v>42670</v>
      </c>
      <c r="P9389">
        <v>0</v>
      </c>
      <c r="Q9389">
        <v>5</v>
      </c>
      <c r="R9389" t="s">
        <v>42682</v>
      </c>
      <c r="S9389" t="s">
        <v>42984</v>
      </c>
      <c r="T9389" t="s">
        <v>44517</v>
      </c>
      <c r="U9389" t="s">
        <v>52501</v>
      </c>
      <c r="W9389" t="s">
        <v>40260</v>
      </c>
      <c r="X9389" t="s">
        <v>42683</v>
      </c>
    </row>
    <row r="9390" spans="1:24">
      <c r="A9390">
        <f>HYPERLINK("https://www.philgeps.gov.ph/GEPSNONPILOT/Tender/SplashBidNoticeAbstractUI.aspx?menuIndex=3&amp;refID=7175058&amp;Result=3","7175058")</f>
        <v>0</v>
      </c>
      <c r="B9390" t="s">
        <v>771</v>
      </c>
      <c r="C9390" t="s">
        <v>12492</v>
      </c>
      <c r="D9390" t="s">
        <v>17141</v>
      </c>
      <c r="E9390" t="s">
        <v>25293</v>
      </c>
      <c r="F9390" t="s">
        <v>29372</v>
      </c>
      <c r="G9390" t="s">
        <v>29379</v>
      </c>
      <c r="H9390" t="s">
        <v>11048</v>
      </c>
      <c r="I9390" t="s">
        <v>5383</v>
      </c>
      <c r="J9390" t="s">
        <v>35528</v>
      </c>
      <c r="K9390" t="s">
        <v>38488</v>
      </c>
      <c r="M9390" t="s">
        <v>39555</v>
      </c>
      <c r="N9390" t="s">
        <v>42669</v>
      </c>
      <c r="O9390" t="s">
        <v>42670</v>
      </c>
      <c r="P9390">
        <v>0</v>
      </c>
      <c r="Q9390">
        <v>12</v>
      </c>
      <c r="R9390" t="s">
        <v>42682</v>
      </c>
      <c r="S9390" t="s">
        <v>42984</v>
      </c>
      <c r="T9390" t="s">
        <v>44512</v>
      </c>
      <c r="U9390" t="s">
        <v>46440</v>
      </c>
      <c r="W9390" t="s">
        <v>39555</v>
      </c>
      <c r="X9390" t="s">
        <v>42683</v>
      </c>
    </row>
    <row r="9391" spans="1:24">
      <c r="A9391">
        <f>HYPERLINK("https://www.philgeps.gov.ph/GEPSNONPILOT/Tender/SplashBidNoticeAbstractUI.aspx?menuIndex=3&amp;refID=7174202&amp;Result=3","7174202")</f>
        <v>0</v>
      </c>
      <c r="B9391" t="s">
        <v>2418</v>
      </c>
      <c r="C9391" t="s">
        <v>12493</v>
      </c>
      <c r="D9391" t="s">
        <v>17172</v>
      </c>
      <c r="E9391" t="s">
        <v>25294</v>
      </c>
      <c r="F9391" t="s">
        <v>29373</v>
      </c>
      <c r="G9391" t="s">
        <v>29380</v>
      </c>
      <c r="H9391" t="s">
        <v>11048</v>
      </c>
      <c r="I9391" t="s">
        <v>29414</v>
      </c>
      <c r="J9391" t="s">
        <v>29526</v>
      </c>
      <c r="K9391" t="s">
        <v>38488</v>
      </c>
      <c r="L9391" t="s">
        <v>2418</v>
      </c>
      <c r="M9391" t="s">
        <v>41365</v>
      </c>
      <c r="N9391" t="s">
        <v>42669</v>
      </c>
      <c r="O9391" t="s">
        <v>42670</v>
      </c>
      <c r="P9391">
        <v>0</v>
      </c>
      <c r="Q9391">
        <v>2</v>
      </c>
      <c r="R9391" t="s">
        <v>42682</v>
      </c>
      <c r="S9391" t="s">
        <v>42984</v>
      </c>
      <c r="T9391" t="s">
        <v>44532</v>
      </c>
      <c r="U9391" t="s">
        <v>52502</v>
      </c>
      <c r="V9391" t="s">
        <v>57410</v>
      </c>
      <c r="W9391" t="s">
        <v>41365</v>
      </c>
      <c r="X9391" t="s">
        <v>42683</v>
      </c>
    </row>
    <row r="9392" spans="1:24">
      <c r="A9392">
        <f>HYPERLINK("https://www.philgeps.gov.ph/GEPSNONPILOT/Tender/SplashBidNoticeAbstractUI.aspx?menuIndex=3&amp;refID=7175053&amp;Result=3","7175053")</f>
        <v>0</v>
      </c>
      <c r="B9392" t="s">
        <v>681</v>
      </c>
      <c r="C9392" t="s">
        <v>12494</v>
      </c>
      <c r="D9392" t="s">
        <v>17160</v>
      </c>
      <c r="E9392" t="s">
        <v>25295</v>
      </c>
      <c r="F9392" t="s">
        <v>29372</v>
      </c>
      <c r="G9392" t="s">
        <v>29380</v>
      </c>
      <c r="H9392" t="s">
        <v>29389</v>
      </c>
      <c r="I9392" t="s">
        <v>10408</v>
      </c>
      <c r="J9392" t="s">
        <v>29788</v>
      </c>
      <c r="K9392" t="s">
        <v>38490</v>
      </c>
      <c r="M9392" t="s">
        <v>39457</v>
      </c>
      <c r="N9392" t="s">
        <v>42669</v>
      </c>
      <c r="O9392" t="s">
        <v>42670</v>
      </c>
      <c r="P9392">
        <v>0</v>
      </c>
      <c r="Q9392">
        <v>1</v>
      </c>
      <c r="R9392" t="s">
        <v>42682</v>
      </c>
      <c r="S9392" t="s">
        <v>42984</v>
      </c>
      <c r="T9392" t="s">
        <v>44510</v>
      </c>
      <c r="U9392" t="s">
        <v>52503</v>
      </c>
      <c r="W9392" t="s">
        <v>39457</v>
      </c>
      <c r="X9392" t="s">
        <v>42683</v>
      </c>
    </row>
    <row r="9393" spans="1:24">
      <c r="A9393">
        <f>HYPERLINK("https://www.philgeps.gov.ph/GEPSNONPILOT/Tender/SplashBidNoticeAbstractUI.aspx?menuIndex=3&amp;refID=7175198&amp;Result=3","7175198")</f>
        <v>0</v>
      </c>
      <c r="B9393" t="s">
        <v>476</v>
      </c>
      <c r="C9393" t="s">
        <v>12495</v>
      </c>
      <c r="E9393" t="s">
        <v>25296</v>
      </c>
      <c r="F9393" t="s">
        <v>29372</v>
      </c>
      <c r="G9393" t="s">
        <v>29380</v>
      </c>
      <c r="H9393" t="s">
        <v>29389</v>
      </c>
      <c r="I9393" t="s">
        <v>10408</v>
      </c>
      <c r="J9393" t="s">
        <v>35529</v>
      </c>
      <c r="K9393" t="s">
        <v>38490</v>
      </c>
      <c r="M9393" t="s">
        <v>39241</v>
      </c>
      <c r="N9393" t="s">
        <v>42669</v>
      </c>
      <c r="O9393" t="s">
        <v>42670</v>
      </c>
      <c r="P9393">
        <v>0</v>
      </c>
      <c r="Q9393">
        <v>0</v>
      </c>
      <c r="R9393" t="s">
        <v>42682</v>
      </c>
      <c r="S9393" t="s">
        <v>42984</v>
      </c>
      <c r="T9393" t="s">
        <v>44357</v>
      </c>
      <c r="U9393" t="s">
        <v>52462</v>
      </c>
      <c r="W9393" t="s">
        <v>39241</v>
      </c>
      <c r="X9393" t="s">
        <v>42683</v>
      </c>
    </row>
    <row r="9394" spans="1:24">
      <c r="A9394">
        <f>HYPERLINK("https://www.philgeps.gov.ph/GEPSNONPILOT/Tender/SplashBidNoticeAbstractUI.aspx?menuIndex=3&amp;refID=7175375&amp;Result=3","7175375")</f>
        <v>0</v>
      </c>
      <c r="B9394" t="s">
        <v>2806</v>
      </c>
      <c r="C9394" t="s">
        <v>11862</v>
      </c>
      <c r="E9394" t="s">
        <v>25297</v>
      </c>
      <c r="F9394" t="s">
        <v>29372</v>
      </c>
      <c r="G9394" t="s">
        <v>29380</v>
      </c>
      <c r="H9394" t="s">
        <v>29389</v>
      </c>
      <c r="I9394" t="s">
        <v>10408</v>
      </c>
      <c r="J9394" t="s">
        <v>29555</v>
      </c>
      <c r="K9394" t="s">
        <v>38513</v>
      </c>
      <c r="M9394" t="s">
        <v>41795</v>
      </c>
      <c r="N9394" t="s">
        <v>42669</v>
      </c>
      <c r="O9394" t="s">
        <v>42670</v>
      </c>
      <c r="P9394">
        <v>0</v>
      </c>
      <c r="Q9394">
        <v>1</v>
      </c>
      <c r="R9394" t="s">
        <v>42682</v>
      </c>
      <c r="S9394" t="s">
        <v>42984</v>
      </c>
      <c r="T9394" t="s">
        <v>44431</v>
      </c>
      <c r="U9394" t="s">
        <v>52504</v>
      </c>
      <c r="W9394" t="s">
        <v>41795</v>
      </c>
      <c r="X9394" t="s">
        <v>42683</v>
      </c>
    </row>
    <row r="9395" spans="1:24">
      <c r="A9395">
        <f>HYPERLINK("https://www.philgeps.gov.ph/GEPSNONPILOT/Tender/SplashBidNoticeAbstractUI.aspx?menuIndex=3&amp;refID=7175360&amp;Result=3","7175360")</f>
        <v>0</v>
      </c>
      <c r="B9395" t="s">
        <v>771</v>
      </c>
      <c r="C9395" t="s">
        <v>12496</v>
      </c>
      <c r="D9395" t="s">
        <v>17141</v>
      </c>
      <c r="E9395" t="s">
        <v>25298</v>
      </c>
      <c r="F9395" t="s">
        <v>29372</v>
      </c>
      <c r="G9395" t="s">
        <v>29382</v>
      </c>
      <c r="H9395" t="s">
        <v>11048</v>
      </c>
      <c r="I9395" t="s">
        <v>29399</v>
      </c>
      <c r="J9395" t="s">
        <v>31140</v>
      </c>
      <c r="K9395" t="s">
        <v>38488</v>
      </c>
      <c r="M9395" t="s">
        <v>39555</v>
      </c>
      <c r="N9395" t="s">
        <v>42669</v>
      </c>
      <c r="O9395" t="s">
        <v>42670</v>
      </c>
      <c r="P9395">
        <v>0</v>
      </c>
      <c r="Q9395">
        <v>7</v>
      </c>
      <c r="R9395" t="s">
        <v>42682</v>
      </c>
      <c r="S9395" t="s">
        <v>42984</v>
      </c>
      <c r="T9395" t="s">
        <v>44512</v>
      </c>
      <c r="U9395" t="s">
        <v>46440</v>
      </c>
      <c r="W9395" t="s">
        <v>39555</v>
      </c>
      <c r="X9395" t="s">
        <v>42683</v>
      </c>
    </row>
    <row r="9396" spans="1:24">
      <c r="A9396">
        <f>HYPERLINK("https://www.philgeps.gov.ph/GEPSNONPILOT/Tender/SplashBidNoticeAbstractUI.aspx?menuIndex=3&amp;refID=7175174&amp;Result=3","7175174")</f>
        <v>0</v>
      </c>
      <c r="B9396" t="s">
        <v>771</v>
      </c>
      <c r="C9396" t="s">
        <v>12497</v>
      </c>
      <c r="D9396" t="s">
        <v>17141</v>
      </c>
      <c r="E9396" t="s">
        <v>25299</v>
      </c>
      <c r="F9396" t="s">
        <v>29372</v>
      </c>
      <c r="G9396" t="s">
        <v>29382</v>
      </c>
      <c r="H9396" t="s">
        <v>11048</v>
      </c>
      <c r="I9396" t="s">
        <v>8614</v>
      </c>
      <c r="J9396" t="s">
        <v>30485</v>
      </c>
      <c r="K9396" t="s">
        <v>38488</v>
      </c>
      <c r="M9396" t="s">
        <v>39555</v>
      </c>
      <c r="N9396" t="s">
        <v>42669</v>
      </c>
      <c r="O9396" t="s">
        <v>42670</v>
      </c>
      <c r="P9396">
        <v>0</v>
      </c>
      <c r="Q9396">
        <v>13</v>
      </c>
      <c r="R9396" t="s">
        <v>42682</v>
      </c>
      <c r="S9396" t="s">
        <v>42984</v>
      </c>
      <c r="T9396" t="s">
        <v>44512</v>
      </c>
      <c r="U9396" t="s">
        <v>46440</v>
      </c>
      <c r="W9396" t="s">
        <v>39555</v>
      </c>
      <c r="X9396" t="s">
        <v>42683</v>
      </c>
    </row>
    <row r="9397" spans="1:24">
      <c r="A9397">
        <f>HYPERLINK("https://www.philgeps.gov.ph/GEPSNONPILOT/Tender/SplashBidNoticeAbstractUI.aspx?menuIndex=3&amp;refID=7175351&amp;Result=3","7175351")</f>
        <v>0</v>
      </c>
      <c r="B9397" t="s">
        <v>2810</v>
      </c>
      <c r="C9397" t="s">
        <v>12498</v>
      </c>
      <c r="D9397" t="s">
        <v>17221</v>
      </c>
      <c r="E9397" t="s">
        <v>25300</v>
      </c>
      <c r="F9397" t="s">
        <v>29372</v>
      </c>
      <c r="G9397" t="s">
        <v>29380</v>
      </c>
      <c r="H9397" t="s">
        <v>11048</v>
      </c>
      <c r="I9397" t="s">
        <v>3629</v>
      </c>
      <c r="J9397" t="s">
        <v>35530</v>
      </c>
      <c r="K9397" t="s">
        <v>38491</v>
      </c>
      <c r="M9397" t="s">
        <v>41799</v>
      </c>
      <c r="N9397" t="s">
        <v>42669</v>
      </c>
      <c r="O9397" t="s">
        <v>42670</v>
      </c>
      <c r="P9397">
        <v>0</v>
      </c>
      <c r="Q9397">
        <v>0</v>
      </c>
      <c r="R9397" t="s">
        <v>42682</v>
      </c>
      <c r="S9397" t="s">
        <v>42984</v>
      </c>
      <c r="T9397" t="s">
        <v>44488</v>
      </c>
      <c r="U9397" t="s">
        <v>52505</v>
      </c>
      <c r="W9397" t="s">
        <v>41799</v>
      </c>
      <c r="X9397" t="s">
        <v>42683</v>
      </c>
    </row>
    <row r="9398" spans="1:24">
      <c r="A9398">
        <f>HYPERLINK("https://www.philgeps.gov.ph/GEPSNONPILOT/Tender/SplashBidNoticeAbstractUI.aspx?menuIndex=3&amp;refID=7175342&amp;Result=3","7175342")</f>
        <v>0</v>
      </c>
      <c r="B9398" t="s">
        <v>2302</v>
      </c>
      <c r="C9398" t="s">
        <v>12499</v>
      </c>
      <c r="D9398" t="s">
        <v>17161</v>
      </c>
      <c r="F9398" t="s">
        <v>29372</v>
      </c>
      <c r="G9398" t="s">
        <v>29380</v>
      </c>
      <c r="H9398" t="s">
        <v>11048</v>
      </c>
      <c r="I9398" t="s">
        <v>4709</v>
      </c>
      <c r="J9398" t="s">
        <v>35531</v>
      </c>
      <c r="K9398" t="s">
        <v>38490</v>
      </c>
      <c r="M9398" t="s">
        <v>41230</v>
      </c>
      <c r="N9398" t="s">
        <v>42669</v>
      </c>
      <c r="O9398" t="s">
        <v>42670</v>
      </c>
      <c r="P9398">
        <v>0</v>
      </c>
      <c r="Q9398">
        <v>0</v>
      </c>
      <c r="R9398" t="s">
        <v>42682</v>
      </c>
      <c r="S9398" t="s">
        <v>42984</v>
      </c>
      <c r="T9398" t="s">
        <v>44426</v>
      </c>
      <c r="U9398" t="s">
        <v>52506</v>
      </c>
      <c r="W9398" t="s">
        <v>41230</v>
      </c>
      <c r="X9398" t="s">
        <v>42683</v>
      </c>
    </row>
    <row r="9399" spans="1:24">
      <c r="A9399">
        <f>HYPERLINK("https://www.philgeps.gov.ph/GEPSNONPILOT/Tender/SplashBidNoticeAbstractUI.aspx?menuIndex=3&amp;refID=7175347&amp;Result=3","7175347")</f>
        <v>0</v>
      </c>
      <c r="B9399" t="s">
        <v>2811</v>
      </c>
      <c r="C9399" t="s">
        <v>12500</v>
      </c>
      <c r="D9399" t="s">
        <v>17177</v>
      </c>
      <c r="E9399" t="s">
        <v>25301</v>
      </c>
      <c r="F9399" t="s">
        <v>29372</v>
      </c>
      <c r="G9399" t="s">
        <v>29380</v>
      </c>
      <c r="H9399" t="s">
        <v>11048</v>
      </c>
      <c r="I9399" t="s">
        <v>4487</v>
      </c>
      <c r="J9399" t="s">
        <v>35532</v>
      </c>
      <c r="K9399" t="s">
        <v>38510</v>
      </c>
      <c r="M9399" t="s">
        <v>41800</v>
      </c>
      <c r="N9399" t="s">
        <v>42669</v>
      </c>
      <c r="O9399" t="s">
        <v>42670</v>
      </c>
      <c r="P9399">
        <v>0</v>
      </c>
      <c r="Q9399">
        <v>1</v>
      </c>
      <c r="R9399" t="s">
        <v>42682</v>
      </c>
      <c r="S9399" t="s">
        <v>42984</v>
      </c>
      <c r="T9399" t="s">
        <v>44528</v>
      </c>
      <c r="U9399" t="s">
        <v>52507</v>
      </c>
      <c r="W9399" t="s">
        <v>41800</v>
      </c>
      <c r="X9399" t="s">
        <v>42683</v>
      </c>
    </row>
    <row r="9400" spans="1:24">
      <c r="A9400">
        <f>HYPERLINK("https://www.philgeps.gov.ph/GEPSNONPILOT/Tender/SplashBidNoticeAbstractUI.aspx?menuIndex=3&amp;refID=7175338&amp;Result=3","7175338")</f>
        <v>0</v>
      </c>
      <c r="B9400" t="s">
        <v>771</v>
      </c>
      <c r="C9400" t="s">
        <v>12497</v>
      </c>
      <c r="D9400" t="s">
        <v>17141</v>
      </c>
      <c r="E9400" t="s">
        <v>25302</v>
      </c>
      <c r="F9400" t="s">
        <v>29372</v>
      </c>
      <c r="G9400" t="s">
        <v>29382</v>
      </c>
      <c r="H9400" t="s">
        <v>11048</v>
      </c>
      <c r="I9400" t="s">
        <v>8614</v>
      </c>
      <c r="J9400" t="s">
        <v>29799</v>
      </c>
      <c r="K9400" t="s">
        <v>38488</v>
      </c>
      <c r="M9400" t="s">
        <v>39555</v>
      </c>
      <c r="N9400" t="s">
        <v>42669</v>
      </c>
      <c r="O9400" t="s">
        <v>42670</v>
      </c>
      <c r="P9400">
        <v>0</v>
      </c>
      <c r="Q9400">
        <v>14</v>
      </c>
      <c r="R9400" t="s">
        <v>42682</v>
      </c>
      <c r="S9400" t="s">
        <v>42984</v>
      </c>
      <c r="T9400" t="s">
        <v>44512</v>
      </c>
      <c r="U9400" t="s">
        <v>46440</v>
      </c>
      <c r="W9400" t="s">
        <v>39555</v>
      </c>
      <c r="X9400" t="s">
        <v>42683</v>
      </c>
    </row>
    <row r="9401" spans="1:24">
      <c r="A9401">
        <f>HYPERLINK("https://www.philgeps.gov.ph/GEPSNONPILOT/Tender/SplashBidNoticeAbstractUI.aspx?menuIndex=3&amp;refID=7175330&amp;Result=3","7175330")</f>
        <v>0</v>
      </c>
      <c r="B9401" t="s">
        <v>630</v>
      </c>
      <c r="C9401" t="s">
        <v>12501</v>
      </c>
      <c r="D9401" t="s">
        <v>17141</v>
      </c>
      <c r="E9401" t="s">
        <v>25303</v>
      </c>
      <c r="F9401" t="s">
        <v>29372</v>
      </c>
      <c r="G9401" t="s">
        <v>29380</v>
      </c>
      <c r="H9401" t="s">
        <v>11048</v>
      </c>
      <c r="I9401" t="s">
        <v>9469</v>
      </c>
      <c r="J9401" t="s">
        <v>29801</v>
      </c>
      <c r="K9401" t="s">
        <v>38485</v>
      </c>
      <c r="M9401" t="s">
        <v>39403</v>
      </c>
      <c r="N9401" t="s">
        <v>42669</v>
      </c>
      <c r="O9401" t="s">
        <v>42670</v>
      </c>
      <c r="P9401">
        <v>0</v>
      </c>
      <c r="Q9401">
        <v>4</v>
      </c>
      <c r="R9401" t="s">
        <v>42682</v>
      </c>
      <c r="S9401" t="s">
        <v>42984</v>
      </c>
      <c r="T9401" t="s">
        <v>44513</v>
      </c>
      <c r="U9401" t="s">
        <v>52508</v>
      </c>
      <c r="W9401" t="s">
        <v>39403</v>
      </c>
      <c r="X9401" t="s">
        <v>42683</v>
      </c>
    </row>
    <row r="9402" spans="1:24">
      <c r="A9402">
        <f>HYPERLINK("https://www.philgeps.gov.ph/GEPSNONPILOT/Tender/SplashBidNoticeAbstractUI.aspx?menuIndex=3&amp;refID=7175352&amp;Result=3","7175352")</f>
        <v>0</v>
      </c>
      <c r="B9402" t="s">
        <v>2812</v>
      </c>
      <c r="C9402" t="s">
        <v>12502</v>
      </c>
      <c r="E9402" t="s">
        <v>25304</v>
      </c>
      <c r="F9402" t="s">
        <v>29372</v>
      </c>
      <c r="G9402" t="s">
        <v>29379</v>
      </c>
      <c r="H9402" t="s">
        <v>11048</v>
      </c>
      <c r="I9402" t="s">
        <v>29439</v>
      </c>
      <c r="J9402" t="s">
        <v>30676</v>
      </c>
      <c r="K9402" t="s">
        <v>38491</v>
      </c>
      <c r="M9402" t="s">
        <v>41801</v>
      </c>
      <c r="N9402" t="s">
        <v>42669</v>
      </c>
      <c r="O9402" t="s">
        <v>42670</v>
      </c>
      <c r="P9402">
        <v>0</v>
      </c>
      <c r="Q9402">
        <v>0</v>
      </c>
      <c r="R9402" t="s">
        <v>42682</v>
      </c>
      <c r="S9402" t="s">
        <v>42984</v>
      </c>
      <c r="T9402" t="s">
        <v>44464</v>
      </c>
      <c r="U9402" t="s">
        <v>52509</v>
      </c>
      <c r="W9402" t="s">
        <v>41801</v>
      </c>
      <c r="X9402" t="s">
        <v>42683</v>
      </c>
    </row>
    <row r="9403" spans="1:24">
      <c r="A9403">
        <f>HYPERLINK("https://www.philgeps.gov.ph/GEPSNONPILOT/Tender/SplashBidNoticeAbstractUI.aspx?menuIndex=3&amp;refID=7175323&amp;Result=3","7175323")</f>
        <v>0</v>
      </c>
      <c r="B9403" t="s">
        <v>2813</v>
      </c>
      <c r="C9403" t="s">
        <v>12503</v>
      </c>
      <c r="D9403" t="s">
        <v>17194</v>
      </c>
      <c r="E9403" t="s">
        <v>17428</v>
      </c>
      <c r="F9403" t="s">
        <v>29375</v>
      </c>
      <c r="G9403" t="s">
        <v>29380</v>
      </c>
      <c r="H9403" t="s">
        <v>29390</v>
      </c>
      <c r="I9403" t="s">
        <v>5383</v>
      </c>
      <c r="J9403" t="s">
        <v>35533</v>
      </c>
      <c r="K9403" t="s">
        <v>38488</v>
      </c>
      <c r="M9403" t="s">
        <v>41802</v>
      </c>
      <c r="N9403" t="s">
        <v>42669</v>
      </c>
      <c r="O9403" t="s">
        <v>42670</v>
      </c>
      <c r="P9403">
        <v>0</v>
      </c>
      <c r="Q9403">
        <v>4</v>
      </c>
      <c r="R9403" t="s">
        <v>42682</v>
      </c>
      <c r="S9403" t="s">
        <v>42984</v>
      </c>
      <c r="T9403" t="s">
        <v>44480</v>
      </c>
      <c r="U9403" t="s">
        <v>52510</v>
      </c>
      <c r="W9403" t="s">
        <v>41802</v>
      </c>
      <c r="X9403" t="s">
        <v>42683</v>
      </c>
    </row>
    <row r="9404" spans="1:24">
      <c r="A9404">
        <f>HYPERLINK("https://www.philgeps.gov.ph/GEPSNONPILOT/Tender/SplashBidNoticeAbstractUI.aspx?menuIndex=3&amp;refID=7175297&amp;Result=3","7175297")</f>
        <v>0</v>
      </c>
      <c r="B9404" t="s">
        <v>2814</v>
      </c>
      <c r="C9404" t="s">
        <v>12504</v>
      </c>
      <c r="D9404" t="s">
        <v>17226</v>
      </c>
      <c r="E9404" t="s">
        <v>20026</v>
      </c>
      <c r="F9404" t="s">
        <v>29372</v>
      </c>
      <c r="G9404" t="s">
        <v>29380</v>
      </c>
      <c r="H9404" t="s">
        <v>11048</v>
      </c>
      <c r="I9404" t="s">
        <v>3839</v>
      </c>
      <c r="J9404" t="s">
        <v>35534</v>
      </c>
      <c r="K9404" t="s">
        <v>38485</v>
      </c>
      <c r="M9404" t="s">
        <v>41803</v>
      </c>
      <c r="N9404" t="s">
        <v>42669</v>
      </c>
      <c r="O9404" t="s">
        <v>42670</v>
      </c>
      <c r="P9404">
        <v>0</v>
      </c>
      <c r="Q9404">
        <v>0</v>
      </c>
      <c r="R9404" t="s">
        <v>42682</v>
      </c>
      <c r="S9404" t="s">
        <v>42984</v>
      </c>
      <c r="T9404" t="s">
        <v>44450</v>
      </c>
      <c r="U9404" t="s">
        <v>52511</v>
      </c>
      <c r="V9404" t="s">
        <v>57411</v>
      </c>
      <c r="W9404" t="s">
        <v>41803</v>
      </c>
      <c r="X9404" t="s">
        <v>42683</v>
      </c>
    </row>
    <row r="9405" spans="1:24">
      <c r="A9405">
        <f>HYPERLINK("https://www.philgeps.gov.ph/GEPSNONPILOT/Tender/SplashBidNoticeAbstractUI.aspx?menuIndex=3&amp;refID=7175332&amp;Result=3","7175332")</f>
        <v>0</v>
      </c>
      <c r="B9405" t="s">
        <v>2815</v>
      </c>
      <c r="C9405" t="s">
        <v>12505</v>
      </c>
      <c r="D9405" t="s">
        <v>17175</v>
      </c>
      <c r="E9405" t="s">
        <v>25305</v>
      </c>
      <c r="F9405" t="s">
        <v>29372</v>
      </c>
      <c r="G9405" t="s">
        <v>29380</v>
      </c>
      <c r="H9405" t="s">
        <v>11048</v>
      </c>
      <c r="I9405" t="s">
        <v>29409</v>
      </c>
      <c r="J9405" t="s">
        <v>35535</v>
      </c>
      <c r="K9405" t="s">
        <v>38485</v>
      </c>
      <c r="M9405" t="s">
        <v>41804</v>
      </c>
      <c r="N9405" t="s">
        <v>42669</v>
      </c>
      <c r="O9405" t="s">
        <v>42670</v>
      </c>
      <c r="Q9405">
        <v>7</v>
      </c>
      <c r="R9405" t="s">
        <v>42682</v>
      </c>
      <c r="S9405" t="s">
        <v>42997</v>
      </c>
      <c r="T9405" t="s">
        <v>44375</v>
      </c>
      <c r="U9405" t="s">
        <v>52512</v>
      </c>
      <c r="W9405" t="s">
        <v>41804</v>
      </c>
      <c r="X9405" t="s">
        <v>42683</v>
      </c>
    </row>
    <row r="9406" spans="1:24">
      <c r="A9406">
        <f>HYPERLINK("https://www.philgeps.gov.ph/GEPSNONPILOT/Tender/SplashBidNoticeAbstractUI.aspx?menuIndex=3&amp;refID=7175279&amp;Result=3","7175279")</f>
        <v>0</v>
      </c>
      <c r="B9406" t="s">
        <v>2816</v>
      </c>
      <c r="C9406" t="s">
        <v>12506</v>
      </c>
      <c r="D9406" t="s">
        <v>17203</v>
      </c>
      <c r="E9406" t="s">
        <v>17947</v>
      </c>
      <c r="F9406" t="s">
        <v>29372</v>
      </c>
      <c r="G9406" t="s">
        <v>29380</v>
      </c>
      <c r="H9406" t="s">
        <v>11048</v>
      </c>
      <c r="I9406" t="s">
        <v>8614</v>
      </c>
      <c r="J9406" t="s">
        <v>35536</v>
      </c>
      <c r="K9406" t="s">
        <v>38496</v>
      </c>
      <c r="L9406" t="s">
        <v>2816</v>
      </c>
      <c r="M9406" t="s">
        <v>41805</v>
      </c>
      <c r="N9406" t="s">
        <v>42669</v>
      </c>
      <c r="O9406" t="s">
        <v>42670</v>
      </c>
      <c r="P9406">
        <v>0</v>
      </c>
      <c r="Q9406">
        <v>7</v>
      </c>
      <c r="R9406" t="s">
        <v>42682</v>
      </c>
      <c r="S9406" t="s">
        <v>42984</v>
      </c>
      <c r="T9406" t="s">
        <v>44517</v>
      </c>
      <c r="U9406" t="s">
        <v>52513</v>
      </c>
      <c r="W9406" t="s">
        <v>41805</v>
      </c>
      <c r="X9406" t="s">
        <v>42683</v>
      </c>
    </row>
    <row r="9407" spans="1:24">
      <c r="A9407">
        <f>HYPERLINK("https://www.philgeps.gov.ph/GEPSNONPILOT/Tender/SplashBidNoticeAbstractUI.aspx?menuIndex=3&amp;refID=7175278&amp;Result=3","7175278")</f>
        <v>0</v>
      </c>
      <c r="B9407" t="s">
        <v>2805</v>
      </c>
      <c r="C9407" t="s">
        <v>12507</v>
      </c>
      <c r="D9407" t="s">
        <v>17183</v>
      </c>
      <c r="E9407" t="s">
        <v>25306</v>
      </c>
      <c r="F9407" t="s">
        <v>29372</v>
      </c>
      <c r="G9407" t="s">
        <v>29380</v>
      </c>
      <c r="H9407" t="s">
        <v>29389</v>
      </c>
      <c r="I9407" t="s">
        <v>10408</v>
      </c>
      <c r="J9407" t="s">
        <v>29724</v>
      </c>
      <c r="K9407" t="s">
        <v>38614</v>
      </c>
      <c r="M9407" t="s">
        <v>41794</v>
      </c>
      <c r="N9407" t="s">
        <v>42669</v>
      </c>
      <c r="O9407" t="s">
        <v>42670</v>
      </c>
      <c r="P9407">
        <v>0</v>
      </c>
      <c r="Q9407">
        <v>2</v>
      </c>
      <c r="R9407" t="s">
        <v>42682</v>
      </c>
      <c r="S9407" t="s">
        <v>42984</v>
      </c>
      <c r="T9407" t="s">
        <v>44436</v>
      </c>
      <c r="U9407" t="s">
        <v>52514</v>
      </c>
      <c r="W9407" t="s">
        <v>41794</v>
      </c>
      <c r="X9407" t="s">
        <v>42683</v>
      </c>
    </row>
    <row r="9408" spans="1:24">
      <c r="A9408">
        <f>HYPERLINK("https://www.philgeps.gov.ph/GEPSNONPILOT/Tender/SplashBidNoticeAbstractUI.aspx?menuIndex=3&amp;refID=7175255&amp;Result=3","7175255")</f>
        <v>0</v>
      </c>
      <c r="B9408" t="s">
        <v>2817</v>
      </c>
      <c r="C9408" t="s">
        <v>12508</v>
      </c>
      <c r="D9408" t="s">
        <v>17194</v>
      </c>
      <c r="E9408" t="s">
        <v>17552</v>
      </c>
      <c r="F9408" t="s">
        <v>29372</v>
      </c>
      <c r="G9408" t="s">
        <v>29380</v>
      </c>
      <c r="H9408" t="s">
        <v>11048</v>
      </c>
      <c r="I9408" t="s">
        <v>3597</v>
      </c>
      <c r="J9408" t="s">
        <v>30676</v>
      </c>
      <c r="K9408" t="s">
        <v>38485</v>
      </c>
      <c r="M9408" t="s">
        <v>41806</v>
      </c>
      <c r="N9408" t="s">
        <v>42669</v>
      </c>
      <c r="O9408" t="s">
        <v>42670</v>
      </c>
      <c r="P9408">
        <v>0</v>
      </c>
      <c r="Q9408">
        <v>1</v>
      </c>
      <c r="R9408" t="s">
        <v>42682</v>
      </c>
      <c r="S9408" t="s">
        <v>42984</v>
      </c>
      <c r="T9408" t="s">
        <v>44371</v>
      </c>
      <c r="U9408" t="s">
        <v>52515</v>
      </c>
      <c r="W9408" t="s">
        <v>41806</v>
      </c>
      <c r="X9408" t="s">
        <v>42683</v>
      </c>
    </row>
    <row r="9409" spans="1:24">
      <c r="A9409">
        <f>HYPERLINK("https://www.philgeps.gov.ph/GEPSNONPILOT/Tender/SplashBidNoticeAbstractUI.aspx?menuIndex=3&amp;refID=7175247&amp;Result=3","7175247")</f>
        <v>0</v>
      </c>
      <c r="B9409" t="s">
        <v>2814</v>
      </c>
      <c r="C9409" t="s">
        <v>12509</v>
      </c>
      <c r="D9409" t="s">
        <v>17226</v>
      </c>
      <c r="E9409" t="s">
        <v>20054</v>
      </c>
      <c r="F9409" t="s">
        <v>29372</v>
      </c>
      <c r="G9409" t="s">
        <v>29380</v>
      </c>
      <c r="H9409" t="s">
        <v>11048</v>
      </c>
      <c r="I9409" t="s">
        <v>4709</v>
      </c>
      <c r="J9409" t="s">
        <v>35537</v>
      </c>
      <c r="K9409" t="s">
        <v>38485</v>
      </c>
      <c r="M9409" t="s">
        <v>41803</v>
      </c>
      <c r="N9409" t="s">
        <v>42669</v>
      </c>
      <c r="O9409" t="s">
        <v>42670</v>
      </c>
      <c r="P9409">
        <v>0</v>
      </c>
      <c r="Q9409">
        <v>0</v>
      </c>
      <c r="R9409" t="s">
        <v>42682</v>
      </c>
      <c r="S9409" t="s">
        <v>42984</v>
      </c>
      <c r="T9409" t="s">
        <v>44450</v>
      </c>
      <c r="U9409" t="s">
        <v>52516</v>
      </c>
      <c r="V9409" t="s">
        <v>57412</v>
      </c>
      <c r="W9409" t="s">
        <v>41803</v>
      </c>
      <c r="X9409" t="s">
        <v>42683</v>
      </c>
    </row>
    <row r="9410" spans="1:24">
      <c r="A9410">
        <f>HYPERLINK("https://www.philgeps.gov.ph/GEPSNONPILOT/Tender/SplashBidNoticeAbstractUI.aspx?menuIndex=3&amp;refID=7175233&amp;Result=3","7175233")</f>
        <v>0</v>
      </c>
      <c r="B9410" t="s">
        <v>2817</v>
      </c>
      <c r="C9410" t="s">
        <v>12510</v>
      </c>
      <c r="D9410" t="s">
        <v>17194</v>
      </c>
      <c r="E9410" t="s">
        <v>17547</v>
      </c>
      <c r="F9410" t="s">
        <v>29372</v>
      </c>
      <c r="G9410" t="s">
        <v>29380</v>
      </c>
      <c r="H9410" t="s">
        <v>11048</v>
      </c>
      <c r="I9410" t="s">
        <v>14920</v>
      </c>
      <c r="J9410" t="s">
        <v>35538</v>
      </c>
      <c r="K9410" t="s">
        <v>38485</v>
      </c>
      <c r="M9410" t="s">
        <v>41806</v>
      </c>
      <c r="N9410" t="s">
        <v>42669</v>
      </c>
      <c r="O9410" t="s">
        <v>42670</v>
      </c>
      <c r="P9410">
        <v>0</v>
      </c>
      <c r="Q9410">
        <v>0</v>
      </c>
      <c r="R9410" t="s">
        <v>42682</v>
      </c>
      <c r="S9410" t="s">
        <v>42984</v>
      </c>
      <c r="T9410" t="s">
        <v>44371</v>
      </c>
      <c r="U9410" t="s">
        <v>52517</v>
      </c>
      <c r="W9410" t="s">
        <v>41806</v>
      </c>
      <c r="X9410" t="s">
        <v>42683</v>
      </c>
    </row>
    <row r="9411" spans="1:24">
      <c r="A9411">
        <f>HYPERLINK("https://www.philgeps.gov.ph/GEPSNONPILOT/Tender/SplashBidNoticeAbstractUI.aspx?menuIndex=3&amp;refID=7175513&amp;Result=3","7175513")</f>
        <v>0</v>
      </c>
      <c r="B9411" t="s">
        <v>1393</v>
      </c>
      <c r="C9411" t="s">
        <v>12511</v>
      </c>
      <c r="D9411" t="s">
        <v>17160</v>
      </c>
      <c r="E9411" t="s">
        <v>25307</v>
      </c>
      <c r="F9411" t="s">
        <v>29372</v>
      </c>
      <c r="G9411" t="s">
        <v>29380</v>
      </c>
      <c r="H9411" t="s">
        <v>11048</v>
      </c>
      <c r="I9411" t="s">
        <v>3670</v>
      </c>
      <c r="J9411" t="s">
        <v>29587</v>
      </c>
      <c r="K9411" t="s">
        <v>38485</v>
      </c>
      <c r="M9411" t="s">
        <v>40231</v>
      </c>
      <c r="N9411" t="s">
        <v>42669</v>
      </c>
      <c r="O9411" t="s">
        <v>42670</v>
      </c>
      <c r="P9411">
        <v>0</v>
      </c>
      <c r="Q9411">
        <v>7</v>
      </c>
      <c r="R9411" t="s">
        <v>42682</v>
      </c>
      <c r="S9411" t="s">
        <v>42984</v>
      </c>
      <c r="T9411" t="s">
        <v>44485</v>
      </c>
      <c r="U9411" t="s">
        <v>52518</v>
      </c>
      <c r="W9411" t="s">
        <v>40231</v>
      </c>
      <c r="X9411" t="s">
        <v>42683</v>
      </c>
    </row>
    <row r="9412" spans="1:24">
      <c r="A9412">
        <f>HYPERLINK("https://www.philgeps.gov.ph/GEPSNONPILOT/Tender/SplashBidNoticeAbstractUI.aspx?menuIndex=3&amp;refID=7175303&amp;Result=3","7175303")</f>
        <v>0</v>
      </c>
      <c r="B9412" t="s">
        <v>2044</v>
      </c>
      <c r="C9412" t="s">
        <v>12512</v>
      </c>
      <c r="D9412" t="s">
        <v>17170</v>
      </c>
      <c r="E9412" t="s">
        <v>25308</v>
      </c>
      <c r="F9412" t="s">
        <v>29372</v>
      </c>
      <c r="G9412" t="s">
        <v>29380</v>
      </c>
      <c r="H9412" t="s">
        <v>29389</v>
      </c>
      <c r="I9412" t="s">
        <v>10408</v>
      </c>
      <c r="J9412" t="s">
        <v>35539</v>
      </c>
      <c r="K9412" t="s">
        <v>38593</v>
      </c>
      <c r="M9412" t="s">
        <v>40941</v>
      </c>
      <c r="N9412" t="s">
        <v>42669</v>
      </c>
      <c r="O9412" t="s">
        <v>42670</v>
      </c>
      <c r="P9412">
        <v>0</v>
      </c>
      <c r="Q9412">
        <v>1</v>
      </c>
      <c r="R9412" t="s">
        <v>42682</v>
      </c>
      <c r="S9412" t="s">
        <v>42984</v>
      </c>
      <c r="T9412" t="s">
        <v>44391</v>
      </c>
      <c r="U9412" t="s">
        <v>52519</v>
      </c>
      <c r="W9412" t="s">
        <v>40941</v>
      </c>
      <c r="X9412" t="s">
        <v>42683</v>
      </c>
    </row>
    <row r="9413" spans="1:24">
      <c r="A9413">
        <f>HYPERLINK("https://www.philgeps.gov.ph/GEPSNONPILOT/Tender/SplashBidNoticeAbstractUI.aspx?menuIndex=3&amp;refID=7175285&amp;Result=3","7175285")</f>
        <v>0</v>
      </c>
      <c r="B9413" t="s">
        <v>2048</v>
      </c>
      <c r="C9413" t="s">
        <v>12513</v>
      </c>
      <c r="D9413" t="s">
        <v>17173</v>
      </c>
      <c r="E9413" t="s">
        <v>24323</v>
      </c>
      <c r="F9413" t="s">
        <v>29372</v>
      </c>
      <c r="G9413" t="s">
        <v>29381</v>
      </c>
      <c r="H9413" t="s">
        <v>11048</v>
      </c>
      <c r="I9413" t="s">
        <v>29415</v>
      </c>
      <c r="J9413" t="s">
        <v>29609</v>
      </c>
      <c r="K9413" t="s">
        <v>38488</v>
      </c>
      <c r="M9413" t="s">
        <v>40946</v>
      </c>
      <c r="N9413" t="s">
        <v>42669</v>
      </c>
      <c r="O9413" t="s">
        <v>42670</v>
      </c>
      <c r="P9413">
        <v>0</v>
      </c>
      <c r="Q9413">
        <v>0</v>
      </c>
      <c r="R9413" t="s">
        <v>42682</v>
      </c>
      <c r="S9413" t="s">
        <v>42984</v>
      </c>
      <c r="T9413" t="s">
        <v>44548</v>
      </c>
      <c r="U9413" t="s">
        <v>52520</v>
      </c>
      <c r="V9413" t="s">
        <v>57413</v>
      </c>
      <c r="W9413" t="s">
        <v>40946</v>
      </c>
      <c r="X9413" t="s">
        <v>42683</v>
      </c>
    </row>
    <row r="9414" spans="1:24">
      <c r="A9414">
        <f>HYPERLINK("https://www.philgeps.gov.ph/GEPSNONPILOT/Tender/SplashBidNoticeAbstractUI.aspx?menuIndex=3&amp;refID=7175014&amp;Result=3","7175014")</f>
        <v>0</v>
      </c>
      <c r="B9414" t="s">
        <v>681</v>
      </c>
      <c r="C9414" t="s">
        <v>12514</v>
      </c>
      <c r="D9414" t="s">
        <v>17160</v>
      </c>
      <c r="E9414" t="s">
        <v>25309</v>
      </c>
      <c r="F9414" t="s">
        <v>29372</v>
      </c>
      <c r="G9414" t="s">
        <v>29380</v>
      </c>
      <c r="H9414" t="s">
        <v>29389</v>
      </c>
      <c r="I9414" t="s">
        <v>10408</v>
      </c>
      <c r="J9414" t="s">
        <v>31839</v>
      </c>
      <c r="K9414" t="s">
        <v>38490</v>
      </c>
      <c r="M9414" t="s">
        <v>39457</v>
      </c>
      <c r="N9414" t="s">
        <v>42669</v>
      </c>
      <c r="O9414" t="s">
        <v>42670</v>
      </c>
      <c r="P9414">
        <v>0</v>
      </c>
      <c r="Q9414">
        <v>2</v>
      </c>
      <c r="R9414" t="s">
        <v>42682</v>
      </c>
      <c r="S9414" t="s">
        <v>42984</v>
      </c>
      <c r="T9414" t="s">
        <v>44510</v>
      </c>
      <c r="U9414" t="s">
        <v>52521</v>
      </c>
      <c r="W9414" t="s">
        <v>39457</v>
      </c>
      <c r="X9414" t="s">
        <v>42683</v>
      </c>
    </row>
    <row r="9415" spans="1:24">
      <c r="A9415">
        <f>HYPERLINK("https://www.philgeps.gov.ph/GEPSNONPILOT/Tender/SplashBidNoticeAbstractUI.aspx?menuIndex=3&amp;refID=7175383&amp;Result=3","7175383")</f>
        <v>0</v>
      </c>
      <c r="B9415" t="s">
        <v>902</v>
      </c>
      <c r="C9415" t="s">
        <v>7775</v>
      </c>
      <c r="D9415" t="s">
        <v>17205</v>
      </c>
      <c r="E9415" t="s">
        <v>25310</v>
      </c>
      <c r="F9415" t="s">
        <v>29372</v>
      </c>
      <c r="G9415" t="s">
        <v>29380</v>
      </c>
      <c r="H9415" t="s">
        <v>11048</v>
      </c>
      <c r="I9415" t="s">
        <v>29395</v>
      </c>
      <c r="J9415" t="s">
        <v>35540</v>
      </c>
      <c r="K9415" t="s">
        <v>38490</v>
      </c>
      <c r="M9415" t="s">
        <v>39695</v>
      </c>
      <c r="N9415" t="s">
        <v>42669</v>
      </c>
      <c r="O9415" t="s">
        <v>42670</v>
      </c>
      <c r="P9415">
        <v>0</v>
      </c>
      <c r="Q9415">
        <v>1</v>
      </c>
      <c r="R9415" t="s">
        <v>42682</v>
      </c>
      <c r="S9415" t="s">
        <v>42984</v>
      </c>
      <c r="T9415" t="s">
        <v>44474</v>
      </c>
      <c r="U9415" t="s">
        <v>52522</v>
      </c>
      <c r="W9415" t="s">
        <v>39695</v>
      </c>
      <c r="X9415" t="s">
        <v>42683</v>
      </c>
    </row>
    <row r="9416" spans="1:24">
      <c r="A9416">
        <f>HYPERLINK("https://www.philgeps.gov.ph/GEPSNONPILOT/Tender/SplashBidNoticeAbstractUI.aspx?menuIndex=3&amp;refID=7175554&amp;Result=3","7175554")</f>
        <v>0</v>
      </c>
      <c r="B9416" t="s">
        <v>613</v>
      </c>
      <c r="C9416" t="s">
        <v>12515</v>
      </c>
      <c r="D9416" t="s">
        <v>17205</v>
      </c>
      <c r="E9416" t="s">
        <v>25311</v>
      </c>
      <c r="F9416" t="s">
        <v>29372</v>
      </c>
      <c r="G9416" t="s">
        <v>29383</v>
      </c>
      <c r="H9416" t="s">
        <v>29389</v>
      </c>
      <c r="I9416" t="s">
        <v>10408</v>
      </c>
      <c r="J9416" t="s">
        <v>35541</v>
      </c>
      <c r="K9416" t="s">
        <v>38490</v>
      </c>
      <c r="M9416" t="s">
        <v>39384</v>
      </c>
      <c r="N9416" t="s">
        <v>42669</v>
      </c>
      <c r="O9416" t="s">
        <v>42670</v>
      </c>
      <c r="Q9416">
        <v>2</v>
      </c>
      <c r="R9416" t="s">
        <v>42682</v>
      </c>
      <c r="S9416" t="s">
        <v>43012</v>
      </c>
      <c r="T9416" t="s">
        <v>44417</v>
      </c>
      <c r="U9416" t="s">
        <v>52523</v>
      </c>
      <c r="V9416" t="s">
        <v>56514</v>
      </c>
      <c r="W9416" t="s">
        <v>39384</v>
      </c>
      <c r="X9416" t="s">
        <v>42683</v>
      </c>
    </row>
    <row r="9417" spans="1:24">
      <c r="A9417">
        <f>HYPERLINK("https://www.philgeps.gov.ph/GEPSNONPILOT/Tender/SplashBidNoticeAbstractUI.aspx?menuIndex=3&amp;refID=7174283&amp;Result=3","7174283")</f>
        <v>0</v>
      </c>
      <c r="B9417" t="s">
        <v>2796</v>
      </c>
      <c r="C9417" t="s">
        <v>12516</v>
      </c>
      <c r="D9417" t="s">
        <v>17151</v>
      </c>
      <c r="E9417" t="s">
        <v>25312</v>
      </c>
      <c r="F9417" t="s">
        <v>29372</v>
      </c>
      <c r="G9417" t="s">
        <v>29380</v>
      </c>
      <c r="H9417" t="s">
        <v>29389</v>
      </c>
      <c r="I9417" t="s">
        <v>10408</v>
      </c>
      <c r="J9417" t="s">
        <v>29752</v>
      </c>
      <c r="K9417" t="s">
        <v>38522</v>
      </c>
      <c r="M9417" t="s">
        <v>41784</v>
      </c>
      <c r="N9417" t="s">
        <v>42669</v>
      </c>
      <c r="O9417" t="s">
        <v>42670</v>
      </c>
      <c r="Q9417">
        <v>0</v>
      </c>
      <c r="R9417" t="s">
        <v>42682</v>
      </c>
      <c r="S9417" t="s">
        <v>43013</v>
      </c>
      <c r="T9417" t="s">
        <v>44491</v>
      </c>
      <c r="U9417" t="s">
        <v>52524</v>
      </c>
      <c r="W9417" t="s">
        <v>41784</v>
      </c>
      <c r="X9417" t="s">
        <v>42683</v>
      </c>
    </row>
    <row r="9418" spans="1:24">
      <c r="A9418">
        <f>HYPERLINK("https://www.philgeps.gov.ph/GEPSNONPILOT/Tender/SplashBidNoticeAbstractUI.aspx?menuIndex=3&amp;refID=7175543&amp;Result=3","7175543")</f>
        <v>0</v>
      </c>
      <c r="B9418" t="s">
        <v>1626</v>
      </c>
      <c r="C9418" t="s">
        <v>12517</v>
      </c>
      <c r="D9418" t="s">
        <v>17173</v>
      </c>
      <c r="E9418" t="s">
        <v>25313</v>
      </c>
      <c r="F9418" t="s">
        <v>29372</v>
      </c>
      <c r="G9418" t="s">
        <v>29380</v>
      </c>
      <c r="H9418" t="s">
        <v>11048</v>
      </c>
      <c r="I9418" t="s">
        <v>29393</v>
      </c>
      <c r="J9418" t="s">
        <v>35542</v>
      </c>
      <c r="K9418" t="s">
        <v>38495</v>
      </c>
      <c r="M9418" t="s">
        <v>40480</v>
      </c>
      <c r="N9418" t="s">
        <v>42669</v>
      </c>
      <c r="O9418" t="s">
        <v>42670</v>
      </c>
      <c r="P9418">
        <v>0</v>
      </c>
      <c r="Q9418">
        <v>0</v>
      </c>
      <c r="R9418" t="s">
        <v>42682</v>
      </c>
      <c r="S9418" t="s">
        <v>42984</v>
      </c>
      <c r="T9418" t="s">
        <v>44355</v>
      </c>
      <c r="U9418" t="s">
        <v>48511</v>
      </c>
      <c r="W9418" t="s">
        <v>40480</v>
      </c>
      <c r="X9418" t="s">
        <v>42683</v>
      </c>
    </row>
    <row r="9419" spans="1:24">
      <c r="A9419">
        <f>HYPERLINK("https://www.philgeps.gov.ph/GEPSNONPILOT/Tender/SplashBidNoticeAbstractUI.aspx?menuIndex=3&amp;refID=7175516&amp;Result=3","7175516")</f>
        <v>0</v>
      </c>
      <c r="B9419" t="s">
        <v>968</v>
      </c>
      <c r="C9419" t="s">
        <v>12518</v>
      </c>
      <c r="D9419" t="s">
        <v>17197</v>
      </c>
      <c r="E9419" t="s">
        <v>25314</v>
      </c>
      <c r="F9419" t="s">
        <v>29372</v>
      </c>
      <c r="G9419" t="s">
        <v>29380</v>
      </c>
      <c r="H9419" t="s">
        <v>11048</v>
      </c>
      <c r="I9419" t="s">
        <v>29415</v>
      </c>
      <c r="J9419" t="s">
        <v>35543</v>
      </c>
      <c r="K9419" t="s">
        <v>38485</v>
      </c>
      <c r="M9419" t="s">
        <v>39764</v>
      </c>
      <c r="N9419" t="s">
        <v>42669</v>
      </c>
      <c r="O9419" t="s">
        <v>42670</v>
      </c>
      <c r="P9419">
        <v>0</v>
      </c>
      <c r="Q9419">
        <v>2</v>
      </c>
      <c r="R9419" t="s">
        <v>42682</v>
      </c>
      <c r="S9419" t="s">
        <v>42984</v>
      </c>
      <c r="T9419" t="s">
        <v>44517</v>
      </c>
      <c r="U9419" t="s">
        <v>52525</v>
      </c>
      <c r="W9419" t="s">
        <v>39764</v>
      </c>
      <c r="X9419" t="s">
        <v>42683</v>
      </c>
    </row>
    <row r="9420" spans="1:24">
      <c r="A9420">
        <f>HYPERLINK("https://www.philgeps.gov.ph/GEPSNONPILOT/Tender/SplashBidNoticeAbstractUI.aspx?menuIndex=3&amp;refID=7175552&amp;Result=3","7175552")</f>
        <v>0</v>
      </c>
      <c r="B9420" t="s">
        <v>1825</v>
      </c>
      <c r="C9420" t="s">
        <v>8003</v>
      </c>
      <c r="D9420" t="s">
        <v>17204</v>
      </c>
      <c r="E9420" t="s">
        <v>25315</v>
      </c>
      <c r="F9420" t="s">
        <v>29372</v>
      </c>
      <c r="G9420" t="s">
        <v>29380</v>
      </c>
      <c r="H9420" t="s">
        <v>29389</v>
      </c>
      <c r="I9420" t="s">
        <v>10408</v>
      </c>
      <c r="J9420" t="s">
        <v>35544</v>
      </c>
      <c r="K9420" t="s">
        <v>38487</v>
      </c>
      <c r="M9420" t="s">
        <v>40696</v>
      </c>
      <c r="N9420" t="s">
        <v>42669</v>
      </c>
      <c r="O9420" t="s">
        <v>42670</v>
      </c>
      <c r="P9420">
        <v>0</v>
      </c>
      <c r="Q9420">
        <v>3</v>
      </c>
      <c r="R9420" t="s">
        <v>42682</v>
      </c>
      <c r="S9420" t="s">
        <v>42984</v>
      </c>
      <c r="T9420" t="s">
        <v>44449</v>
      </c>
      <c r="U9420" t="s">
        <v>52526</v>
      </c>
      <c r="W9420" t="s">
        <v>40696</v>
      </c>
      <c r="X9420" t="s">
        <v>42683</v>
      </c>
    </row>
    <row r="9421" spans="1:24">
      <c r="A9421">
        <f>HYPERLINK("https://www.philgeps.gov.ph/GEPSNONPILOT/Tender/SplashBidNoticeAbstractUI.aspx?menuIndex=3&amp;refID=7175506&amp;Result=3","7175506")</f>
        <v>0</v>
      </c>
      <c r="B9421" t="s">
        <v>2812</v>
      </c>
      <c r="C9421" t="s">
        <v>12519</v>
      </c>
      <c r="D9421" t="s">
        <v>17195</v>
      </c>
      <c r="E9421" t="s">
        <v>25304</v>
      </c>
      <c r="F9421" t="s">
        <v>29372</v>
      </c>
      <c r="G9421" t="s">
        <v>29379</v>
      </c>
      <c r="H9421" t="s">
        <v>11048</v>
      </c>
      <c r="I9421" t="s">
        <v>29439</v>
      </c>
      <c r="J9421" t="s">
        <v>32737</v>
      </c>
      <c r="K9421" t="s">
        <v>38491</v>
      </c>
      <c r="M9421" t="s">
        <v>41801</v>
      </c>
      <c r="N9421" t="s">
        <v>42669</v>
      </c>
      <c r="O9421" t="s">
        <v>42670</v>
      </c>
      <c r="P9421">
        <v>0</v>
      </c>
      <c r="Q9421">
        <v>2</v>
      </c>
      <c r="R9421" t="s">
        <v>42682</v>
      </c>
      <c r="S9421" t="s">
        <v>42984</v>
      </c>
      <c r="T9421" t="s">
        <v>44464</v>
      </c>
      <c r="U9421" t="s">
        <v>52509</v>
      </c>
      <c r="W9421" t="s">
        <v>41801</v>
      </c>
      <c r="X9421" t="s">
        <v>42683</v>
      </c>
    </row>
    <row r="9422" spans="1:24">
      <c r="A9422">
        <f>HYPERLINK("https://www.philgeps.gov.ph/GEPSNONPILOT/Tender/SplashBidNoticeAbstractUI.aspx?menuIndex=3&amp;refID=7175474&amp;Result=3","7175474")</f>
        <v>0</v>
      </c>
      <c r="B9422" t="s">
        <v>89</v>
      </c>
      <c r="C9422" t="s">
        <v>12520</v>
      </c>
      <c r="D9422" t="s">
        <v>17146</v>
      </c>
      <c r="E9422" t="s">
        <v>25316</v>
      </c>
      <c r="F9422" t="s">
        <v>29372</v>
      </c>
      <c r="G9422" t="s">
        <v>29380</v>
      </c>
      <c r="H9422" t="s">
        <v>11048</v>
      </c>
      <c r="I9422" t="s">
        <v>29394</v>
      </c>
      <c r="J9422" t="s">
        <v>29590</v>
      </c>
      <c r="K9422" t="s">
        <v>38485</v>
      </c>
      <c r="M9422" t="s">
        <v>38843</v>
      </c>
      <c r="N9422" t="s">
        <v>42669</v>
      </c>
      <c r="O9422" t="s">
        <v>42670</v>
      </c>
      <c r="P9422">
        <v>0</v>
      </c>
      <c r="Q9422">
        <v>1</v>
      </c>
      <c r="R9422" t="s">
        <v>42682</v>
      </c>
      <c r="S9422" t="s">
        <v>42984</v>
      </c>
      <c r="T9422" t="s">
        <v>44457</v>
      </c>
      <c r="U9422" t="s">
        <v>52527</v>
      </c>
      <c r="V9422" t="s">
        <v>57414</v>
      </c>
      <c r="W9422" t="s">
        <v>38843</v>
      </c>
      <c r="X9422" t="s">
        <v>42683</v>
      </c>
    </row>
    <row r="9423" spans="1:24">
      <c r="A9423">
        <f>HYPERLINK("https://www.philgeps.gov.ph/GEPSNONPILOT/Tender/SplashBidNoticeAbstractUI.aspx?menuIndex=3&amp;refID=7175545&amp;Result=3","7175545")</f>
        <v>0</v>
      </c>
      <c r="B9423" t="s">
        <v>1359</v>
      </c>
      <c r="C9423" t="s">
        <v>12521</v>
      </c>
      <c r="E9423" t="s">
        <v>23420</v>
      </c>
      <c r="F9423" t="s">
        <v>29372</v>
      </c>
      <c r="G9423" t="s">
        <v>29380</v>
      </c>
      <c r="H9423" t="s">
        <v>11048</v>
      </c>
      <c r="I9423" t="s">
        <v>29407</v>
      </c>
      <c r="J9423" t="s">
        <v>35545</v>
      </c>
      <c r="K9423" t="s">
        <v>38485</v>
      </c>
      <c r="N9423" t="s">
        <v>42669</v>
      </c>
      <c r="O9423" t="s">
        <v>42670</v>
      </c>
      <c r="P9423">
        <v>0</v>
      </c>
      <c r="Q9423">
        <v>5</v>
      </c>
      <c r="R9423" t="s">
        <v>42682</v>
      </c>
      <c r="S9423" t="s">
        <v>42984</v>
      </c>
      <c r="T9423" t="s">
        <v>44357</v>
      </c>
      <c r="U9423" t="s">
        <v>52528</v>
      </c>
      <c r="V9423" t="s">
        <v>57415</v>
      </c>
      <c r="W9423" t="s">
        <v>40196</v>
      </c>
      <c r="X9423" t="s">
        <v>42683</v>
      </c>
    </row>
    <row r="9424" spans="1:24">
      <c r="A9424">
        <f>HYPERLINK("https://www.philgeps.gov.ph/GEPSNONPILOT/Tender/SplashBidNoticeAbstractUI.aspx?menuIndex=3&amp;refID=7174284&amp;Result=3","7174284")</f>
        <v>0</v>
      </c>
      <c r="B9424" t="s">
        <v>1547</v>
      </c>
      <c r="C9424" t="s">
        <v>12522</v>
      </c>
      <c r="D9424" t="s">
        <v>17164</v>
      </c>
      <c r="E9424" t="s">
        <v>25317</v>
      </c>
      <c r="F9424" t="s">
        <v>29372</v>
      </c>
      <c r="G9424" t="s">
        <v>29380</v>
      </c>
      <c r="H9424" t="s">
        <v>29389</v>
      </c>
      <c r="I9424" t="s">
        <v>10408</v>
      </c>
      <c r="J9424" t="s">
        <v>35546</v>
      </c>
      <c r="K9424" t="s">
        <v>38522</v>
      </c>
      <c r="M9424" t="s">
        <v>40397</v>
      </c>
      <c r="N9424" t="s">
        <v>42669</v>
      </c>
      <c r="O9424" t="s">
        <v>42670</v>
      </c>
      <c r="P9424">
        <v>0</v>
      </c>
      <c r="Q9424">
        <v>0</v>
      </c>
      <c r="R9424" t="s">
        <v>42682</v>
      </c>
      <c r="S9424" t="s">
        <v>42984</v>
      </c>
      <c r="T9424" t="s">
        <v>44685</v>
      </c>
      <c r="U9424" t="s">
        <v>52529</v>
      </c>
      <c r="V9424" t="s">
        <v>57416</v>
      </c>
      <c r="W9424" t="s">
        <v>40397</v>
      </c>
      <c r="X9424" t="s">
        <v>42683</v>
      </c>
    </row>
    <row r="9425" spans="1:24">
      <c r="A9425">
        <f>HYPERLINK("https://www.philgeps.gov.ph/GEPSNONPILOT/Tender/SplashBidNoticeAbstractUI.aspx?menuIndex=3&amp;refID=7175467&amp;Result=3","7175467")</f>
        <v>0</v>
      </c>
      <c r="B9425" t="s">
        <v>839</v>
      </c>
      <c r="C9425" t="s">
        <v>12523</v>
      </c>
      <c r="D9425" t="s">
        <v>17145</v>
      </c>
      <c r="E9425" t="s">
        <v>25318</v>
      </c>
      <c r="F9425" t="s">
        <v>29372</v>
      </c>
      <c r="G9425" t="s">
        <v>29380</v>
      </c>
      <c r="H9425" t="s">
        <v>11048</v>
      </c>
      <c r="I9425" t="s">
        <v>5383</v>
      </c>
      <c r="J9425" t="s">
        <v>35547</v>
      </c>
      <c r="K9425" t="s">
        <v>38488</v>
      </c>
      <c r="M9425" t="s">
        <v>39629</v>
      </c>
      <c r="N9425" t="s">
        <v>42669</v>
      </c>
      <c r="O9425" t="s">
        <v>42670</v>
      </c>
      <c r="P9425">
        <v>0</v>
      </c>
      <c r="Q9425">
        <v>3</v>
      </c>
      <c r="R9425" t="s">
        <v>42682</v>
      </c>
      <c r="S9425" t="s">
        <v>42984</v>
      </c>
      <c r="T9425" t="s">
        <v>44474</v>
      </c>
      <c r="U9425" t="s">
        <v>52530</v>
      </c>
      <c r="W9425" t="s">
        <v>39629</v>
      </c>
      <c r="X9425" t="s">
        <v>42683</v>
      </c>
    </row>
    <row r="9426" spans="1:24">
      <c r="A9426">
        <f>HYPERLINK("https://www.philgeps.gov.ph/GEPSNONPILOT/Tender/SplashBidNoticeAbstractUI.aspx?menuIndex=3&amp;refID=7175448&amp;Result=3","7175448")</f>
        <v>0</v>
      </c>
      <c r="B9426" t="s">
        <v>669</v>
      </c>
      <c r="C9426" t="s">
        <v>12524</v>
      </c>
      <c r="D9426" t="s">
        <v>17147</v>
      </c>
      <c r="E9426" t="s">
        <v>25319</v>
      </c>
      <c r="F9426" t="s">
        <v>29372</v>
      </c>
      <c r="G9426" t="s">
        <v>29380</v>
      </c>
      <c r="H9426" t="s">
        <v>29391</v>
      </c>
      <c r="I9426" t="s">
        <v>29391</v>
      </c>
      <c r="J9426" t="s">
        <v>29708</v>
      </c>
      <c r="K9426" t="s">
        <v>38532</v>
      </c>
      <c r="M9426" t="s">
        <v>41046</v>
      </c>
      <c r="N9426" t="s">
        <v>42669</v>
      </c>
      <c r="O9426" t="s">
        <v>42670</v>
      </c>
      <c r="P9426">
        <v>0</v>
      </c>
      <c r="Q9426">
        <v>4</v>
      </c>
      <c r="R9426" t="s">
        <v>42682</v>
      </c>
      <c r="S9426" t="s">
        <v>42984</v>
      </c>
      <c r="T9426" t="s">
        <v>44501</v>
      </c>
      <c r="U9426" t="s">
        <v>52531</v>
      </c>
      <c r="V9426" t="s">
        <v>57417</v>
      </c>
      <c r="W9426" t="s">
        <v>41046</v>
      </c>
      <c r="X9426" t="s">
        <v>42683</v>
      </c>
    </row>
    <row r="9427" spans="1:24">
      <c r="A9427">
        <f>HYPERLINK("https://www.philgeps.gov.ph/GEPSNONPILOT/Tender/SplashBidNoticeAbstractUI.aspx?menuIndex=3&amp;refID=7175555&amp;Result=3","7175555")</f>
        <v>0</v>
      </c>
      <c r="B9427" t="s">
        <v>2818</v>
      </c>
      <c r="C9427" t="s">
        <v>12525</v>
      </c>
      <c r="D9427" t="s">
        <v>17143</v>
      </c>
      <c r="E9427" t="s">
        <v>25320</v>
      </c>
      <c r="F9427" t="s">
        <v>29372</v>
      </c>
      <c r="G9427" t="s">
        <v>29380</v>
      </c>
      <c r="H9427" t="s">
        <v>11048</v>
      </c>
      <c r="I9427" t="s">
        <v>29393</v>
      </c>
      <c r="J9427" t="s">
        <v>35548</v>
      </c>
      <c r="K9427" t="s">
        <v>38490</v>
      </c>
      <c r="M9427" t="s">
        <v>41807</v>
      </c>
      <c r="N9427" t="s">
        <v>42669</v>
      </c>
      <c r="O9427" t="s">
        <v>42670</v>
      </c>
      <c r="P9427">
        <v>0</v>
      </c>
      <c r="Q9427">
        <v>0</v>
      </c>
      <c r="R9427" t="s">
        <v>42682</v>
      </c>
      <c r="S9427" t="s">
        <v>42984</v>
      </c>
      <c r="T9427" t="s">
        <v>44357</v>
      </c>
      <c r="U9427" t="s">
        <v>52532</v>
      </c>
      <c r="W9427" t="s">
        <v>41807</v>
      </c>
      <c r="X9427" t="s">
        <v>42683</v>
      </c>
    </row>
    <row r="9428" spans="1:24">
      <c r="A9428">
        <f>HYPERLINK("https://www.philgeps.gov.ph/GEPSNONPILOT/Tender/SplashBidNoticeAbstractUI.aspx?menuIndex=3&amp;refID=7175679&amp;Result=3","7175679")</f>
        <v>0</v>
      </c>
      <c r="B9428" t="s">
        <v>2819</v>
      </c>
      <c r="C9428" t="s">
        <v>12526</v>
      </c>
      <c r="D9428" t="s">
        <v>17148</v>
      </c>
      <c r="E9428" t="s">
        <v>17347</v>
      </c>
      <c r="F9428" t="s">
        <v>29372</v>
      </c>
      <c r="G9428" t="s">
        <v>29380</v>
      </c>
      <c r="H9428" t="s">
        <v>29389</v>
      </c>
      <c r="I9428" t="s">
        <v>4709</v>
      </c>
      <c r="J9428" t="s">
        <v>35549</v>
      </c>
      <c r="K9428" t="s">
        <v>38488</v>
      </c>
      <c r="M9428" t="s">
        <v>41808</v>
      </c>
      <c r="N9428" t="s">
        <v>42669</v>
      </c>
      <c r="O9428" t="s">
        <v>42670</v>
      </c>
      <c r="P9428">
        <v>0</v>
      </c>
      <c r="Q9428">
        <v>2</v>
      </c>
      <c r="R9428" t="s">
        <v>42682</v>
      </c>
      <c r="S9428" t="s">
        <v>42984</v>
      </c>
      <c r="T9428" t="s">
        <v>44386</v>
      </c>
      <c r="U9428" t="s">
        <v>52533</v>
      </c>
      <c r="W9428" t="s">
        <v>41808</v>
      </c>
      <c r="X9428" t="s">
        <v>42683</v>
      </c>
    </row>
    <row r="9429" spans="1:24">
      <c r="A9429">
        <f>HYPERLINK("https://www.philgeps.gov.ph/GEPSNONPILOT/Tender/SplashBidNoticeAbstractUI.aspx?menuIndex=3&amp;refID=7175455&amp;Result=3","7175455")</f>
        <v>0</v>
      </c>
      <c r="B9429" t="s">
        <v>2029</v>
      </c>
      <c r="C9429" t="s">
        <v>12527</v>
      </c>
      <c r="E9429" t="s">
        <v>25321</v>
      </c>
      <c r="F9429" t="s">
        <v>29372</v>
      </c>
      <c r="G9429" t="s">
        <v>29380</v>
      </c>
      <c r="H9429" t="s">
        <v>11048</v>
      </c>
      <c r="I9429" t="s">
        <v>9469</v>
      </c>
      <c r="J9429" t="s">
        <v>35550</v>
      </c>
      <c r="K9429" t="s">
        <v>38490</v>
      </c>
      <c r="M9429" t="s">
        <v>40924</v>
      </c>
      <c r="N9429" t="s">
        <v>42669</v>
      </c>
      <c r="O9429" t="s">
        <v>42670</v>
      </c>
      <c r="P9429">
        <v>0</v>
      </c>
      <c r="Q9429">
        <v>5</v>
      </c>
      <c r="R9429" t="s">
        <v>42682</v>
      </c>
      <c r="S9429" t="s">
        <v>42984</v>
      </c>
      <c r="T9429" t="s">
        <v>44403</v>
      </c>
      <c r="U9429" t="s">
        <v>52534</v>
      </c>
      <c r="W9429" t="s">
        <v>40924</v>
      </c>
      <c r="X9429" t="s">
        <v>42683</v>
      </c>
    </row>
    <row r="9430" spans="1:24">
      <c r="A9430">
        <f>HYPERLINK("https://www.philgeps.gov.ph/GEPSNONPILOT/Tender/SplashBidNoticeAbstractUI.aspx?menuIndex=3&amp;refID=7175419&amp;Result=3","7175419")</f>
        <v>0</v>
      </c>
      <c r="B9430" t="s">
        <v>968</v>
      </c>
      <c r="C9430" t="s">
        <v>12528</v>
      </c>
      <c r="D9430" t="s">
        <v>17197</v>
      </c>
      <c r="E9430" t="s">
        <v>25322</v>
      </c>
      <c r="F9430" t="s">
        <v>29372</v>
      </c>
      <c r="G9430" t="s">
        <v>29380</v>
      </c>
      <c r="H9430" t="s">
        <v>11048</v>
      </c>
      <c r="I9430" t="s">
        <v>29393</v>
      </c>
      <c r="J9430" t="s">
        <v>35551</v>
      </c>
      <c r="K9430" t="s">
        <v>38485</v>
      </c>
      <c r="M9430" t="s">
        <v>39764</v>
      </c>
      <c r="N9430" t="s">
        <v>42669</v>
      </c>
      <c r="O9430" t="s">
        <v>42670</v>
      </c>
      <c r="P9430">
        <v>0</v>
      </c>
      <c r="Q9430">
        <v>1</v>
      </c>
      <c r="R9430" t="s">
        <v>42682</v>
      </c>
      <c r="S9430" t="s">
        <v>42984</v>
      </c>
      <c r="T9430" t="s">
        <v>44517</v>
      </c>
      <c r="U9430" t="s">
        <v>52535</v>
      </c>
      <c r="W9430" t="s">
        <v>39764</v>
      </c>
      <c r="X9430" t="s">
        <v>42683</v>
      </c>
    </row>
    <row r="9431" spans="1:24">
      <c r="A9431">
        <f>HYPERLINK("https://www.philgeps.gov.ph/GEPSNONPILOT/Tender/SplashBidNoticeAbstractUI.aspx?menuIndex=3&amp;refID=7175433&amp;Result=3","7175433")</f>
        <v>0</v>
      </c>
      <c r="B9431" t="s">
        <v>2044</v>
      </c>
      <c r="C9431" t="s">
        <v>12529</v>
      </c>
      <c r="D9431" t="s">
        <v>17170</v>
      </c>
      <c r="E9431" t="s">
        <v>25323</v>
      </c>
      <c r="F9431" t="s">
        <v>29372</v>
      </c>
      <c r="G9431" t="s">
        <v>29380</v>
      </c>
      <c r="H9431" t="s">
        <v>29389</v>
      </c>
      <c r="I9431" t="s">
        <v>10408</v>
      </c>
      <c r="J9431" t="s">
        <v>30506</v>
      </c>
      <c r="K9431" t="s">
        <v>38554</v>
      </c>
      <c r="M9431" t="s">
        <v>40941</v>
      </c>
      <c r="N9431" t="s">
        <v>42669</v>
      </c>
      <c r="O9431" t="s">
        <v>42670</v>
      </c>
      <c r="P9431">
        <v>0</v>
      </c>
      <c r="Q9431">
        <v>2</v>
      </c>
      <c r="R9431" t="s">
        <v>42682</v>
      </c>
      <c r="S9431" t="s">
        <v>42984</v>
      </c>
      <c r="T9431" t="s">
        <v>44391</v>
      </c>
      <c r="U9431" t="s">
        <v>52536</v>
      </c>
      <c r="W9431" t="s">
        <v>40941</v>
      </c>
      <c r="X9431" t="s">
        <v>42683</v>
      </c>
    </row>
    <row r="9432" spans="1:24">
      <c r="A9432">
        <f>HYPERLINK("https://www.philgeps.gov.ph/GEPSNONPILOT/Tender/SplashBidNoticeAbstractUI.aspx?menuIndex=3&amp;refID=7175036&amp;Result=3","7175036")</f>
        <v>0</v>
      </c>
      <c r="B9432" t="s">
        <v>703</v>
      </c>
      <c r="C9432" t="s">
        <v>12530</v>
      </c>
      <c r="D9432" t="s">
        <v>17161</v>
      </c>
      <c r="E9432" t="s">
        <v>25324</v>
      </c>
      <c r="F9432" t="s">
        <v>29372</v>
      </c>
      <c r="G9432" t="s">
        <v>29380</v>
      </c>
      <c r="H9432" t="s">
        <v>11048</v>
      </c>
      <c r="I9432" t="s">
        <v>4709</v>
      </c>
      <c r="J9432" t="s">
        <v>35552</v>
      </c>
      <c r="K9432" t="s">
        <v>38491</v>
      </c>
      <c r="M9432" t="s">
        <v>39481</v>
      </c>
      <c r="N9432" t="s">
        <v>42669</v>
      </c>
      <c r="O9432" t="s">
        <v>42670</v>
      </c>
      <c r="P9432">
        <v>0</v>
      </c>
      <c r="Q9432">
        <v>0</v>
      </c>
      <c r="R9432" t="s">
        <v>42682</v>
      </c>
      <c r="S9432" t="s">
        <v>42984</v>
      </c>
      <c r="T9432" t="s">
        <v>44776</v>
      </c>
      <c r="U9432" t="s">
        <v>52537</v>
      </c>
      <c r="W9432" t="s">
        <v>39481</v>
      </c>
      <c r="X9432" t="s">
        <v>42683</v>
      </c>
    </row>
    <row r="9433" spans="1:24">
      <c r="A9433">
        <f>HYPERLINK("https://www.philgeps.gov.ph/GEPSNONPILOT/Tender/SplashBidNoticeAbstractUI.aspx?menuIndex=3&amp;refID=7175526&amp;Result=3","7175526")</f>
        <v>0</v>
      </c>
      <c r="B9433" t="s">
        <v>52</v>
      </c>
      <c r="C9433" t="s">
        <v>12531</v>
      </c>
      <c r="D9433" t="s">
        <v>17183</v>
      </c>
      <c r="E9433" t="s">
        <v>23346</v>
      </c>
      <c r="F9433" t="s">
        <v>29372</v>
      </c>
      <c r="G9433" t="s">
        <v>29379</v>
      </c>
      <c r="H9433" t="s">
        <v>11048</v>
      </c>
      <c r="I9433" t="s">
        <v>14920</v>
      </c>
      <c r="J9433" t="s">
        <v>31159</v>
      </c>
      <c r="K9433" t="s">
        <v>38522</v>
      </c>
      <c r="M9433" t="s">
        <v>40848</v>
      </c>
      <c r="N9433" t="s">
        <v>42669</v>
      </c>
      <c r="O9433" t="s">
        <v>42670</v>
      </c>
      <c r="Q9433">
        <v>5</v>
      </c>
      <c r="R9433" t="s">
        <v>42682</v>
      </c>
      <c r="S9433" t="s">
        <v>43014</v>
      </c>
      <c r="T9433" t="s">
        <v>44431</v>
      </c>
      <c r="U9433" t="s">
        <v>52538</v>
      </c>
      <c r="W9433" t="s">
        <v>40848</v>
      </c>
      <c r="X9433" t="s">
        <v>42683</v>
      </c>
    </row>
    <row r="9434" spans="1:24">
      <c r="A9434">
        <f>HYPERLINK("https://www.philgeps.gov.ph/GEPSNONPILOT/Tender/SplashBidNoticeAbstractUI.aspx?menuIndex=3&amp;refID=7175642&amp;Result=3","7175642")</f>
        <v>0</v>
      </c>
      <c r="B9434" t="s">
        <v>2812</v>
      </c>
      <c r="C9434" t="s">
        <v>12532</v>
      </c>
      <c r="D9434" t="s">
        <v>17195</v>
      </c>
      <c r="E9434" t="s">
        <v>25304</v>
      </c>
      <c r="F9434" t="s">
        <v>29372</v>
      </c>
      <c r="G9434" t="s">
        <v>29379</v>
      </c>
      <c r="H9434" t="s">
        <v>11048</v>
      </c>
      <c r="I9434" t="s">
        <v>29448</v>
      </c>
      <c r="J9434" t="s">
        <v>30579</v>
      </c>
      <c r="K9434" t="s">
        <v>38491</v>
      </c>
      <c r="M9434" t="s">
        <v>41801</v>
      </c>
      <c r="N9434" t="s">
        <v>42669</v>
      </c>
      <c r="O9434" t="s">
        <v>42670</v>
      </c>
      <c r="P9434">
        <v>0</v>
      </c>
      <c r="Q9434">
        <v>0</v>
      </c>
      <c r="R9434" t="s">
        <v>42682</v>
      </c>
      <c r="S9434" t="s">
        <v>42984</v>
      </c>
      <c r="T9434" t="s">
        <v>44464</v>
      </c>
      <c r="U9434" t="s">
        <v>52509</v>
      </c>
      <c r="W9434" t="s">
        <v>41801</v>
      </c>
      <c r="X9434" t="s">
        <v>42683</v>
      </c>
    </row>
    <row r="9435" spans="1:24">
      <c r="A9435">
        <f>HYPERLINK("https://www.philgeps.gov.ph/GEPSNONPILOT/Tender/SplashBidNoticeAbstractUI.aspx?menuIndex=3&amp;refID=7175634&amp;Result=3","7175634")</f>
        <v>0</v>
      </c>
      <c r="B9435" t="s">
        <v>2815</v>
      </c>
      <c r="C9435" t="s">
        <v>12533</v>
      </c>
      <c r="D9435" t="s">
        <v>17175</v>
      </c>
      <c r="E9435" t="s">
        <v>25325</v>
      </c>
      <c r="F9435" t="s">
        <v>29372</v>
      </c>
      <c r="G9435" t="s">
        <v>29380</v>
      </c>
      <c r="H9435" t="s">
        <v>29389</v>
      </c>
      <c r="I9435" t="s">
        <v>10408</v>
      </c>
      <c r="J9435" t="s">
        <v>35553</v>
      </c>
      <c r="K9435" t="s">
        <v>38525</v>
      </c>
      <c r="M9435" t="s">
        <v>41804</v>
      </c>
      <c r="N9435" t="s">
        <v>42669</v>
      </c>
      <c r="O9435" t="s">
        <v>42670</v>
      </c>
      <c r="Q9435">
        <v>0</v>
      </c>
      <c r="R9435" t="s">
        <v>42682</v>
      </c>
      <c r="S9435" t="s">
        <v>43015</v>
      </c>
      <c r="T9435" t="s">
        <v>44509</v>
      </c>
      <c r="U9435" t="s">
        <v>52539</v>
      </c>
      <c r="W9435" t="s">
        <v>41804</v>
      </c>
      <c r="X9435" t="s">
        <v>42683</v>
      </c>
    </row>
    <row r="9436" spans="1:24">
      <c r="A9436">
        <f>HYPERLINK("https://www.philgeps.gov.ph/GEPSNONPILOT/Tender/SplashBidNoticeAbstractUI.aspx?menuIndex=3&amp;refID=7175649&amp;Result=3","7175649")</f>
        <v>0</v>
      </c>
      <c r="B9436" t="s">
        <v>908</v>
      </c>
      <c r="C9436" t="s">
        <v>12534</v>
      </c>
      <c r="D9436" t="s">
        <v>17160</v>
      </c>
      <c r="E9436" t="s">
        <v>25326</v>
      </c>
      <c r="F9436" t="s">
        <v>29372</v>
      </c>
      <c r="G9436" t="s">
        <v>29380</v>
      </c>
      <c r="H9436" t="s">
        <v>29389</v>
      </c>
      <c r="I9436" t="s">
        <v>10408</v>
      </c>
      <c r="J9436" t="s">
        <v>29590</v>
      </c>
      <c r="K9436" t="s">
        <v>38503</v>
      </c>
      <c r="M9436" t="s">
        <v>39701</v>
      </c>
      <c r="N9436" t="s">
        <v>42669</v>
      </c>
      <c r="O9436" t="s">
        <v>42670</v>
      </c>
      <c r="P9436">
        <v>0</v>
      </c>
      <c r="Q9436">
        <v>1</v>
      </c>
      <c r="R9436" t="s">
        <v>42682</v>
      </c>
      <c r="S9436" t="s">
        <v>42984</v>
      </c>
      <c r="T9436" t="s">
        <v>44400</v>
      </c>
      <c r="U9436" t="s">
        <v>52540</v>
      </c>
      <c r="W9436" t="s">
        <v>39701</v>
      </c>
      <c r="X9436" t="s">
        <v>42683</v>
      </c>
    </row>
    <row r="9437" spans="1:24">
      <c r="A9437">
        <f>HYPERLINK("https://www.philgeps.gov.ph/GEPSNONPILOT/Tender/SplashBidNoticeAbstractUI.aspx?menuIndex=3&amp;refID=7175669&amp;Result=3","7175669")</f>
        <v>0</v>
      </c>
      <c r="B9437" t="s">
        <v>1393</v>
      </c>
      <c r="C9437" t="s">
        <v>12535</v>
      </c>
      <c r="D9437" t="s">
        <v>17160</v>
      </c>
      <c r="E9437" t="s">
        <v>25327</v>
      </c>
      <c r="F9437" t="s">
        <v>29372</v>
      </c>
      <c r="G9437" t="s">
        <v>29380</v>
      </c>
      <c r="H9437" t="s">
        <v>11048</v>
      </c>
      <c r="I9437" t="s">
        <v>29411</v>
      </c>
      <c r="J9437" t="s">
        <v>33591</v>
      </c>
      <c r="K9437" t="s">
        <v>38485</v>
      </c>
      <c r="M9437" t="s">
        <v>40231</v>
      </c>
      <c r="N9437" t="s">
        <v>42669</v>
      </c>
      <c r="O9437" t="s">
        <v>42670</v>
      </c>
      <c r="P9437">
        <v>0</v>
      </c>
      <c r="Q9437">
        <v>8</v>
      </c>
      <c r="R9437" t="s">
        <v>42682</v>
      </c>
      <c r="S9437" t="s">
        <v>42984</v>
      </c>
      <c r="T9437" t="s">
        <v>44364</v>
      </c>
      <c r="U9437" t="s">
        <v>52541</v>
      </c>
      <c r="V9437" t="s">
        <v>57418</v>
      </c>
      <c r="W9437" t="s">
        <v>40231</v>
      </c>
      <c r="X9437" t="s">
        <v>42683</v>
      </c>
    </row>
    <row r="9438" spans="1:24">
      <c r="A9438">
        <f>HYPERLINK("https://www.philgeps.gov.ph/GEPSNONPILOT/Tender/SplashBidNoticeAbstractUI.aspx?menuIndex=3&amp;refID=7175629&amp;Result=3","7175629")</f>
        <v>0</v>
      </c>
      <c r="B9438" t="s">
        <v>1751</v>
      </c>
      <c r="C9438" t="s">
        <v>12536</v>
      </c>
      <c r="D9438" t="s">
        <v>17165</v>
      </c>
      <c r="E9438" t="s">
        <v>25328</v>
      </c>
      <c r="F9438" t="s">
        <v>29372</v>
      </c>
      <c r="G9438" t="s">
        <v>29380</v>
      </c>
      <c r="H9438" t="s">
        <v>29389</v>
      </c>
      <c r="I9438" t="s">
        <v>10408</v>
      </c>
      <c r="J9438" t="s">
        <v>35554</v>
      </c>
      <c r="K9438" t="s">
        <v>38496</v>
      </c>
      <c r="M9438" t="s">
        <v>40616</v>
      </c>
      <c r="N9438" t="s">
        <v>42669</v>
      </c>
      <c r="O9438" t="s">
        <v>42670</v>
      </c>
      <c r="P9438">
        <v>0</v>
      </c>
      <c r="Q9438">
        <v>0</v>
      </c>
      <c r="R9438" t="s">
        <v>42682</v>
      </c>
      <c r="S9438" t="s">
        <v>42984</v>
      </c>
      <c r="T9438" t="s">
        <v>44474</v>
      </c>
      <c r="U9438" t="s">
        <v>52542</v>
      </c>
      <c r="W9438" t="s">
        <v>40616</v>
      </c>
      <c r="X9438" t="s">
        <v>42683</v>
      </c>
    </row>
    <row r="9439" spans="1:24">
      <c r="A9439">
        <f>HYPERLINK("https://www.philgeps.gov.ph/GEPSNONPILOT/Tender/SplashBidNoticeAbstractUI.aspx?menuIndex=3&amp;refID=7175626&amp;Result=3","7175626")</f>
        <v>0</v>
      </c>
      <c r="B9439" t="s">
        <v>968</v>
      </c>
      <c r="C9439" t="s">
        <v>12537</v>
      </c>
      <c r="D9439" t="s">
        <v>17197</v>
      </c>
      <c r="E9439" t="s">
        <v>25329</v>
      </c>
      <c r="F9439" t="s">
        <v>29372</v>
      </c>
      <c r="G9439" t="s">
        <v>29380</v>
      </c>
      <c r="H9439" t="s">
        <v>11048</v>
      </c>
      <c r="I9439" t="s">
        <v>3839</v>
      </c>
      <c r="J9439" t="s">
        <v>35555</v>
      </c>
      <c r="K9439" t="s">
        <v>38485</v>
      </c>
      <c r="M9439" t="s">
        <v>39764</v>
      </c>
      <c r="N9439" t="s">
        <v>42669</v>
      </c>
      <c r="O9439" t="s">
        <v>42670</v>
      </c>
      <c r="P9439">
        <v>0</v>
      </c>
      <c r="Q9439">
        <v>6</v>
      </c>
      <c r="R9439" t="s">
        <v>42682</v>
      </c>
      <c r="S9439" t="s">
        <v>42984</v>
      </c>
      <c r="T9439" t="s">
        <v>44517</v>
      </c>
      <c r="U9439" t="s">
        <v>52543</v>
      </c>
      <c r="W9439" t="s">
        <v>39764</v>
      </c>
      <c r="X9439" t="s">
        <v>42683</v>
      </c>
    </row>
    <row r="9440" spans="1:24">
      <c r="A9440">
        <f>HYPERLINK("https://www.philgeps.gov.ph/GEPSNONPILOT/Tender/SplashBidNoticeAbstractUI.aspx?menuIndex=3&amp;refID=7175604&amp;Result=3","7175604")</f>
        <v>0</v>
      </c>
      <c r="B9440" t="s">
        <v>2820</v>
      </c>
      <c r="C9440" t="s">
        <v>12538</v>
      </c>
      <c r="D9440" t="s">
        <v>17199</v>
      </c>
      <c r="E9440" t="s">
        <v>25330</v>
      </c>
      <c r="F9440" t="s">
        <v>29372</v>
      </c>
      <c r="G9440" t="s">
        <v>29380</v>
      </c>
      <c r="H9440" t="s">
        <v>11048</v>
      </c>
      <c r="I9440" t="s">
        <v>29398</v>
      </c>
      <c r="J9440" t="s">
        <v>32345</v>
      </c>
      <c r="K9440" t="s">
        <v>38487</v>
      </c>
      <c r="M9440" t="s">
        <v>41809</v>
      </c>
      <c r="N9440" t="s">
        <v>42669</v>
      </c>
      <c r="O9440" t="s">
        <v>42670</v>
      </c>
      <c r="P9440">
        <v>0</v>
      </c>
      <c r="Q9440">
        <v>8</v>
      </c>
      <c r="R9440" t="s">
        <v>42682</v>
      </c>
      <c r="S9440" t="s">
        <v>42984</v>
      </c>
      <c r="T9440" t="s">
        <v>44457</v>
      </c>
      <c r="U9440" t="s">
        <v>52544</v>
      </c>
      <c r="W9440" t="s">
        <v>41809</v>
      </c>
      <c r="X9440" t="s">
        <v>42683</v>
      </c>
    </row>
    <row r="9441" spans="1:24">
      <c r="A9441">
        <f>HYPERLINK("https://www.philgeps.gov.ph/GEPSNONPILOT/Tender/SplashBidNoticeAbstractUI.aspx?menuIndex=3&amp;refID=7175674&amp;Result=3","7175674")</f>
        <v>0</v>
      </c>
      <c r="B9441" t="s">
        <v>2821</v>
      </c>
      <c r="C9441" t="s">
        <v>12539</v>
      </c>
      <c r="D9441" t="s">
        <v>17168</v>
      </c>
      <c r="E9441" t="s">
        <v>25331</v>
      </c>
      <c r="F9441" t="s">
        <v>29372</v>
      </c>
      <c r="G9441" t="s">
        <v>29380</v>
      </c>
      <c r="H9441" t="s">
        <v>11048</v>
      </c>
      <c r="I9441" t="s">
        <v>3952</v>
      </c>
      <c r="J9441" t="s">
        <v>31051</v>
      </c>
      <c r="K9441" t="s">
        <v>38485</v>
      </c>
      <c r="M9441" t="s">
        <v>41810</v>
      </c>
      <c r="N9441" t="s">
        <v>42669</v>
      </c>
      <c r="O9441" t="s">
        <v>42670</v>
      </c>
      <c r="P9441">
        <v>0</v>
      </c>
      <c r="Q9441">
        <v>2</v>
      </c>
      <c r="R9441" t="s">
        <v>42682</v>
      </c>
      <c r="S9441" t="s">
        <v>42984</v>
      </c>
      <c r="T9441" t="s">
        <v>44488</v>
      </c>
      <c r="U9441" t="s">
        <v>52545</v>
      </c>
      <c r="V9441" t="s">
        <v>57419</v>
      </c>
      <c r="W9441" t="s">
        <v>41810</v>
      </c>
      <c r="X9441" t="s">
        <v>42683</v>
      </c>
    </row>
    <row r="9442" spans="1:24">
      <c r="A9442">
        <f>HYPERLINK("https://www.philgeps.gov.ph/GEPSNONPILOT/Tender/SplashBidNoticeAbstractUI.aspx?menuIndex=3&amp;refID=7175824&amp;Result=3","7175824")</f>
        <v>0</v>
      </c>
      <c r="B9442" t="s">
        <v>1698</v>
      </c>
      <c r="C9442" t="s">
        <v>12540</v>
      </c>
      <c r="D9442" t="s">
        <v>17170</v>
      </c>
      <c r="E9442" t="s">
        <v>19122</v>
      </c>
      <c r="F9442" t="s">
        <v>29372</v>
      </c>
      <c r="G9442" t="s">
        <v>29380</v>
      </c>
      <c r="H9442" t="s">
        <v>29389</v>
      </c>
      <c r="I9442" t="s">
        <v>10408</v>
      </c>
      <c r="J9442" t="s">
        <v>29543</v>
      </c>
      <c r="K9442" t="s">
        <v>38485</v>
      </c>
      <c r="M9442" t="s">
        <v>40560</v>
      </c>
      <c r="N9442" t="s">
        <v>42669</v>
      </c>
      <c r="O9442" t="s">
        <v>42670</v>
      </c>
      <c r="P9442">
        <v>0</v>
      </c>
      <c r="Q9442">
        <v>1</v>
      </c>
      <c r="R9442" t="s">
        <v>42682</v>
      </c>
      <c r="S9442" t="s">
        <v>42984</v>
      </c>
      <c r="T9442" t="s">
        <v>44507</v>
      </c>
      <c r="U9442" t="s">
        <v>48673</v>
      </c>
      <c r="W9442" t="s">
        <v>40560</v>
      </c>
      <c r="X9442" t="s">
        <v>42683</v>
      </c>
    </row>
    <row r="9443" spans="1:24">
      <c r="A9443">
        <f>HYPERLINK("https://www.philgeps.gov.ph/GEPSNONPILOT/Tender/SplashBidNoticeAbstractUI.aspx?menuIndex=3&amp;refID=7175637&amp;Result=3","7175637")</f>
        <v>0</v>
      </c>
      <c r="B9443" t="s">
        <v>1825</v>
      </c>
      <c r="C9443" t="s">
        <v>8003</v>
      </c>
      <c r="D9443" t="s">
        <v>17204</v>
      </c>
      <c r="E9443" t="s">
        <v>22449</v>
      </c>
      <c r="F9443" t="s">
        <v>29372</v>
      </c>
      <c r="G9443" t="s">
        <v>29380</v>
      </c>
      <c r="H9443" t="s">
        <v>29389</v>
      </c>
      <c r="I9443" t="s">
        <v>10408</v>
      </c>
      <c r="J9443" t="s">
        <v>35556</v>
      </c>
      <c r="K9443" t="s">
        <v>38497</v>
      </c>
      <c r="M9443" t="s">
        <v>40696</v>
      </c>
      <c r="N9443" t="s">
        <v>42669</v>
      </c>
      <c r="O9443" t="s">
        <v>42670</v>
      </c>
      <c r="P9443">
        <v>0</v>
      </c>
      <c r="Q9443">
        <v>3</v>
      </c>
      <c r="R9443" t="s">
        <v>42682</v>
      </c>
      <c r="S9443" t="s">
        <v>42984</v>
      </c>
      <c r="T9443" t="s">
        <v>44449</v>
      </c>
      <c r="U9443" t="s">
        <v>52546</v>
      </c>
      <c r="W9443" t="s">
        <v>40696</v>
      </c>
      <c r="X9443" t="s">
        <v>42683</v>
      </c>
    </row>
    <row r="9444" spans="1:24">
      <c r="A9444">
        <f>HYPERLINK("https://www.philgeps.gov.ph/GEPSNONPILOT/Tender/SplashBidNoticeAbstractUI.aspx?menuIndex=3&amp;refID=7175820&amp;Result=3","7175820")</f>
        <v>0</v>
      </c>
      <c r="B9444" t="s">
        <v>1334</v>
      </c>
      <c r="C9444" t="s">
        <v>12541</v>
      </c>
      <c r="D9444" t="s">
        <v>17182</v>
      </c>
      <c r="E9444" t="s">
        <v>25332</v>
      </c>
      <c r="F9444" t="s">
        <v>29372</v>
      </c>
      <c r="G9444" t="s">
        <v>29381</v>
      </c>
      <c r="H9444" t="s">
        <v>11048</v>
      </c>
      <c r="I9444" t="s">
        <v>29414</v>
      </c>
      <c r="J9444" t="s">
        <v>35557</v>
      </c>
      <c r="K9444" t="s">
        <v>38538</v>
      </c>
      <c r="M9444" t="s">
        <v>41811</v>
      </c>
      <c r="N9444" t="s">
        <v>42669</v>
      </c>
      <c r="O9444" t="s">
        <v>42670</v>
      </c>
      <c r="P9444">
        <v>0</v>
      </c>
      <c r="Q9444">
        <v>14</v>
      </c>
      <c r="R9444" t="s">
        <v>42682</v>
      </c>
      <c r="S9444" t="s">
        <v>42984</v>
      </c>
      <c r="T9444" t="s">
        <v>44418</v>
      </c>
      <c r="U9444" t="s">
        <v>52547</v>
      </c>
      <c r="W9444" t="s">
        <v>41811</v>
      </c>
      <c r="X9444" t="s">
        <v>42683</v>
      </c>
    </row>
    <row r="9445" spans="1:24">
      <c r="A9445">
        <f>HYPERLINK("https://www.philgeps.gov.ph/GEPSNONPILOT/Tender/SplashBidNoticeAbstractUI.aspx?menuIndex=3&amp;refID=7175617&amp;Result=3","7175617")</f>
        <v>0</v>
      </c>
      <c r="B9445" t="s">
        <v>1912</v>
      </c>
      <c r="C9445" t="s">
        <v>12542</v>
      </c>
      <c r="D9445" t="s">
        <v>17194</v>
      </c>
      <c r="E9445" t="s">
        <v>25333</v>
      </c>
      <c r="F9445" t="s">
        <v>29372</v>
      </c>
      <c r="G9445" t="s">
        <v>29380</v>
      </c>
      <c r="H9445" t="s">
        <v>11048</v>
      </c>
      <c r="I9445" t="s">
        <v>29412</v>
      </c>
      <c r="J9445" t="s">
        <v>35558</v>
      </c>
      <c r="K9445" t="s">
        <v>38485</v>
      </c>
      <c r="M9445" t="s">
        <v>40787</v>
      </c>
      <c r="N9445" t="s">
        <v>42669</v>
      </c>
      <c r="O9445" t="s">
        <v>42670</v>
      </c>
      <c r="P9445">
        <v>0</v>
      </c>
      <c r="Q9445">
        <v>7</v>
      </c>
      <c r="R9445" t="s">
        <v>42682</v>
      </c>
      <c r="S9445" t="s">
        <v>42984</v>
      </c>
      <c r="T9445" t="s">
        <v>44450</v>
      </c>
      <c r="U9445" t="s">
        <v>52548</v>
      </c>
      <c r="W9445" t="s">
        <v>40787</v>
      </c>
      <c r="X9445" t="s">
        <v>42683</v>
      </c>
    </row>
    <row r="9446" spans="1:24">
      <c r="A9446">
        <f>HYPERLINK("https://www.philgeps.gov.ph/GEPSNONPILOT/Tender/SplashBidNoticeAbstractUI.aspx?menuIndex=3&amp;refID=7175810&amp;Result=3","7175810")</f>
        <v>0</v>
      </c>
      <c r="B9446" t="s">
        <v>1417</v>
      </c>
      <c r="C9446" t="s">
        <v>12543</v>
      </c>
      <c r="D9446" t="s">
        <v>17161</v>
      </c>
      <c r="E9446" t="s">
        <v>25334</v>
      </c>
      <c r="F9446" t="s">
        <v>29372</v>
      </c>
      <c r="G9446" t="s">
        <v>29380</v>
      </c>
      <c r="H9446" t="s">
        <v>11048</v>
      </c>
      <c r="I9446" t="s">
        <v>29412</v>
      </c>
      <c r="J9446" t="s">
        <v>35559</v>
      </c>
      <c r="K9446" t="s">
        <v>38510</v>
      </c>
      <c r="M9446" t="s">
        <v>40256</v>
      </c>
      <c r="N9446" t="s">
        <v>42669</v>
      </c>
      <c r="O9446" t="s">
        <v>42670</v>
      </c>
      <c r="P9446">
        <v>0</v>
      </c>
      <c r="Q9446">
        <v>0</v>
      </c>
      <c r="R9446" t="s">
        <v>42682</v>
      </c>
      <c r="S9446" t="s">
        <v>42984</v>
      </c>
      <c r="T9446" t="s">
        <v>44488</v>
      </c>
      <c r="U9446" t="s">
        <v>52549</v>
      </c>
      <c r="W9446" t="s">
        <v>40256</v>
      </c>
      <c r="X9446" t="s">
        <v>42683</v>
      </c>
    </row>
    <row r="9447" spans="1:24">
      <c r="A9447">
        <f>HYPERLINK("https://www.philgeps.gov.ph/GEPSNONPILOT/Tender/SplashBidNoticeAbstractUI.aspx?menuIndex=3&amp;refID=7175609&amp;Result=3","7175609")</f>
        <v>0</v>
      </c>
      <c r="B9447" t="s">
        <v>968</v>
      </c>
      <c r="C9447" t="s">
        <v>12544</v>
      </c>
      <c r="D9447" t="s">
        <v>17197</v>
      </c>
      <c r="E9447" t="s">
        <v>25335</v>
      </c>
      <c r="F9447" t="s">
        <v>29372</v>
      </c>
      <c r="G9447" t="s">
        <v>29380</v>
      </c>
      <c r="H9447" t="s">
        <v>11048</v>
      </c>
      <c r="I9447" t="s">
        <v>3670</v>
      </c>
      <c r="J9447" t="s">
        <v>35560</v>
      </c>
      <c r="K9447" t="s">
        <v>38485</v>
      </c>
      <c r="M9447" t="s">
        <v>39764</v>
      </c>
      <c r="N9447" t="s">
        <v>42669</v>
      </c>
      <c r="O9447" t="s">
        <v>42670</v>
      </c>
      <c r="P9447">
        <v>0</v>
      </c>
      <c r="Q9447">
        <v>0</v>
      </c>
      <c r="R9447" t="s">
        <v>42682</v>
      </c>
      <c r="S9447" t="s">
        <v>42984</v>
      </c>
      <c r="T9447" t="s">
        <v>44517</v>
      </c>
      <c r="U9447" t="s">
        <v>52550</v>
      </c>
      <c r="W9447" t="s">
        <v>39764</v>
      </c>
      <c r="X9447" t="s">
        <v>42683</v>
      </c>
    </row>
    <row r="9448" spans="1:24">
      <c r="A9448">
        <f>HYPERLINK("https://www.philgeps.gov.ph/GEPSNONPILOT/Tender/SplashBidNoticeAbstractUI.aspx?menuIndex=3&amp;refID=7175809&amp;Result=3","7175809")</f>
        <v>0</v>
      </c>
      <c r="B9448" t="s">
        <v>122</v>
      </c>
      <c r="C9448" t="s">
        <v>12545</v>
      </c>
      <c r="E9448" t="s">
        <v>25336</v>
      </c>
      <c r="F9448" t="s">
        <v>29376</v>
      </c>
      <c r="G9448" t="s">
        <v>29383</v>
      </c>
      <c r="H9448" t="s">
        <v>11048</v>
      </c>
      <c r="I9448" t="s">
        <v>29499</v>
      </c>
      <c r="J9448" t="s">
        <v>35561</v>
      </c>
      <c r="K9448" t="s">
        <v>38490</v>
      </c>
      <c r="M9448" t="s">
        <v>41812</v>
      </c>
      <c r="N9448" t="s">
        <v>42669</v>
      </c>
      <c r="O9448" t="s">
        <v>42670</v>
      </c>
      <c r="Q9448">
        <v>0</v>
      </c>
      <c r="R9448" t="s">
        <v>42682</v>
      </c>
      <c r="S9448" t="s">
        <v>43016</v>
      </c>
      <c r="T9448" t="s">
        <v>44480</v>
      </c>
      <c r="U9448" t="s">
        <v>52551</v>
      </c>
      <c r="W9448" t="s">
        <v>41812</v>
      </c>
      <c r="X9448" t="s">
        <v>42683</v>
      </c>
    </row>
    <row r="9449" spans="1:24">
      <c r="A9449">
        <f>HYPERLINK("https://www.philgeps.gov.ph/GEPSNONPILOT/Tender/SplashBidNoticeAbstractUI.aspx?menuIndex=3&amp;refID=7175788&amp;Result=3","7175788")</f>
        <v>0</v>
      </c>
      <c r="B9449" t="s">
        <v>2822</v>
      </c>
      <c r="C9449" t="s">
        <v>12546</v>
      </c>
      <c r="D9449" t="s">
        <v>17170</v>
      </c>
      <c r="E9449" t="s">
        <v>25337</v>
      </c>
      <c r="F9449" t="s">
        <v>29372</v>
      </c>
      <c r="G9449" t="s">
        <v>29380</v>
      </c>
      <c r="H9449" t="s">
        <v>11048</v>
      </c>
      <c r="I9449" t="s">
        <v>9469</v>
      </c>
      <c r="J9449" t="s">
        <v>35562</v>
      </c>
      <c r="K9449" t="s">
        <v>38485</v>
      </c>
      <c r="M9449" t="s">
        <v>41813</v>
      </c>
      <c r="N9449" t="s">
        <v>42669</v>
      </c>
      <c r="O9449" t="s">
        <v>42670</v>
      </c>
      <c r="P9449">
        <v>0</v>
      </c>
      <c r="Q9449">
        <v>3</v>
      </c>
      <c r="R9449" t="s">
        <v>42682</v>
      </c>
      <c r="S9449" t="s">
        <v>42984</v>
      </c>
      <c r="T9449" t="s">
        <v>44364</v>
      </c>
      <c r="U9449" t="s">
        <v>52552</v>
      </c>
      <c r="W9449" t="s">
        <v>41813</v>
      </c>
      <c r="X9449" t="s">
        <v>42683</v>
      </c>
    </row>
    <row r="9450" spans="1:24">
      <c r="A9450">
        <f>HYPERLINK("https://www.philgeps.gov.ph/GEPSNONPILOT/Tender/SplashBidNoticeAbstractUI.aspx?menuIndex=3&amp;refID=7175472&amp;Result=3","7175472")</f>
        <v>0</v>
      </c>
      <c r="B9450" t="s">
        <v>1825</v>
      </c>
      <c r="C9450" t="s">
        <v>8003</v>
      </c>
      <c r="D9450" t="s">
        <v>17204</v>
      </c>
      <c r="E9450" t="s">
        <v>17251</v>
      </c>
      <c r="F9450" t="s">
        <v>29372</v>
      </c>
      <c r="G9450" t="s">
        <v>29380</v>
      </c>
      <c r="H9450" t="s">
        <v>29389</v>
      </c>
      <c r="I9450" t="s">
        <v>10408</v>
      </c>
      <c r="J9450" t="s">
        <v>35563</v>
      </c>
      <c r="K9450" t="s">
        <v>38499</v>
      </c>
      <c r="M9450" t="s">
        <v>40696</v>
      </c>
      <c r="N9450" t="s">
        <v>42669</v>
      </c>
      <c r="O9450" t="s">
        <v>42670</v>
      </c>
      <c r="P9450">
        <v>0</v>
      </c>
      <c r="Q9450">
        <v>2</v>
      </c>
      <c r="R9450" t="s">
        <v>42682</v>
      </c>
      <c r="S9450" t="s">
        <v>42984</v>
      </c>
      <c r="T9450" t="s">
        <v>44403</v>
      </c>
      <c r="U9450" t="s">
        <v>52553</v>
      </c>
      <c r="W9450" t="s">
        <v>40696</v>
      </c>
      <c r="X9450" t="s">
        <v>42683</v>
      </c>
    </row>
    <row r="9451" spans="1:24">
      <c r="A9451">
        <f>HYPERLINK("https://www.philgeps.gov.ph/GEPSNONPILOT/Tender/SplashBidNoticeAbstractUI.aspx?menuIndex=3&amp;refID=7175781&amp;Result=3","7175781")</f>
        <v>0</v>
      </c>
      <c r="B9451" t="s">
        <v>2823</v>
      </c>
      <c r="C9451" t="s">
        <v>9486</v>
      </c>
      <c r="D9451" t="s">
        <v>17177</v>
      </c>
      <c r="E9451" t="s">
        <v>25338</v>
      </c>
      <c r="F9451" t="s">
        <v>29372</v>
      </c>
      <c r="G9451" t="s">
        <v>29380</v>
      </c>
      <c r="H9451" t="s">
        <v>29389</v>
      </c>
      <c r="I9451" t="s">
        <v>10408</v>
      </c>
      <c r="J9451" t="s">
        <v>29526</v>
      </c>
      <c r="K9451" t="s">
        <v>38488</v>
      </c>
      <c r="M9451" t="s">
        <v>41814</v>
      </c>
      <c r="N9451" t="s">
        <v>42669</v>
      </c>
      <c r="O9451" t="s">
        <v>42670</v>
      </c>
      <c r="P9451">
        <v>0</v>
      </c>
      <c r="Q9451">
        <v>2</v>
      </c>
      <c r="R9451" t="s">
        <v>42682</v>
      </c>
      <c r="S9451" t="s">
        <v>42984</v>
      </c>
      <c r="T9451" t="s">
        <v>44778</v>
      </c>
      <c r="U9451" t="s">
        <v>52554</v>
      </c>
      <c r="V9451" t="s">
        <v>57420</v>
      </c>
      <c r="W9451" t="s">
        <v>41814</v>
      </c>
      <c r="X9451" t="s">
        <v>42683</v>
      </c>
    </row>
    <row r="9452" spans="1:24">
      <c r="A9452">
        <f>HYPERLINK("https://www.philgeps.gov.ph/GEPSNONPILOT/Tender/SplashBidNoticeAbstractUI.aspx?menuIndex=3&amp;refID=7175780&amp;Result=3","7175780")</f>
        <v>0</v>
      </c>
      <c r="B9452" t="s">
        <v>2824</v>
      </c>
      <c r="C9452" t="s">
        <v>12547</v>
      </c>
      <c r="D9452" t="s">
        <v>17170</v>
      </c>
      <c r="E9452" t="s">
        <v>25339</v>
      </c>
      <c r="F9452" t="s">
        <v>29372</v>
      </c>
      <c r="G9452" t="s">
        <v>29380</v>
      </c>
      <c r="H9452" t="s">
        <v>11048</v>
      </c>
      <c r="I9452" t="s">
        <v>4709</v>
      </c>
      <c r="J9452" t="s">
        <v>35564</v>
      </c>
      <c r="K9452" t="s">
        <v>38510</v>
      </c>
      <c r="M9452" t="s">
        <v>41815</v>
      </c>
      <c r="N9452" t="s">
        <v>42669</v>
      </c>
      <c r="O9452" t="s">
        <v>42670</v>
      </c>
      <c r="P9452">
        <v>0</v>
      </c>
      <c r="Q9452">
        <v>2</v>
      </c>
      <c r="R9452" t="s">
        <v>42682</v>
      </c>
      <c r="S9452" t="s">
        <v>42984</v>
      </c>
      <c r="T9452" t="s">
        <v>44510</v>
      </c>
      <c r="U9452" t="s">
        <v>52555</v>
      </c>
      <c r="W9452" t="s">
        <v>41815</v>
      </c>
      <c r="X9452" t="s">
        <v>42683</v>
      </c>
    </row>
    <row r="9453" spans="1:24">
      <c r="A9453">
        <f>HYPERLINK("https://www.philgeps.gov.ph/GEPSNONPILOT/Tender/SplashBidNoticeAbstractUI.aspx?menuIndex=3&amp;refID=7175819&amp;Result=3","7175819")</f>
        <v>0</v>
      </c>
      <c r="B9453" t="s">
        <v>2126</v>
      </c>
      <c r="C9453" t="s">
        <v>12548</v>
      </c>
      <c r="D9453" t="s">
        <v>17150</v>
      </c>
      <c r="E9453" t="s">
        <v>25340</v>
      </c>
      <c r="F9453" t="s">
        <v>29372</v>
      </c>
      <c r="G9453" t="s">
        <v>29380</v>
      </c>
      <c r="H9453" t="s">
        <v>29389</v>
      </c>
      <c r="I9453" t="s">
        <v>10408</v>
      </c>
      <c r="J9453" t="s">
        <v>30308</v>
      </c>
      <c r="K9453" t="s">
        <v>38622</v>
      </c>
      <c r="M9453" t="s">
        <v>41031</v>
      </c>
      <c r="N9453" t="s">
        <v>42669</v>
      </c>
      <c r="O9453" t="s">
        <v>42670</v>
      </c>
      <c r="P9453">
        <v>0</v>
      </c>
      <c r="Q9453">
        <v>2</v>
      </c>
      <c r="R9453" t="s">
        <v>42682</v>
      </c>
      <c r="S9453" t="s">
        <v>42984</v>
      </c>
      <c r="T9453" t="s">
        <v>44368</v>
      </c>
      <c r="U9453" t="s">
        <v>52556</v>
      </c>
      <c r="W9453" t="s">
        <v>41031</v>
      </c>
      <c r="X9453" t="s">
        <v>42683</v>
      </c>
    </row>
    <row r="9454" spans="1:24">
      <c r="A9454">
        <f>HYPERLINK("https://www.philgeps.gov.ph/GEPSNONPILOT/Tender/SplashBidNoticeAbstractUI.aspx?menuIndex=3&amp;refID=7175773&amp;Result=3","7175773")</f>
        <v>0</v>
      </c>
      <c r="B9454" t="s">
        <v>654</v>
      </c>
      <c r="C9454" t="s">
        <v>12549</v>
      </c>
      <c r="D9454" t="s">
        <v>17170</v>
      </c>
      <c r="E9454" t="s">
        <v>25341</v>
      </c>
      <c r="F9454" t="s">
        <v>29372</v>
      </c>
      <c r="G9454" t="s">
        <v>29380</v>
      </c>
      <c r="H9454" t="s">
        <v>11048</v>
      </c>
      <c r="I9454" t="s">
        <v>29414</v>
      </c>
      <c r="J9454" t="s">
        <v>35565</v>
      </c>
      <c r="K9454" t="s">
        <v>38487</v>
      </c>
      <c r="M9454" t="s">
        <v>39428</v>
      </c>
      <c r="N9454" t="s">
        <v>42669</v>
      </c>
      <c r="O9454" t="s">
        <v>42670</v>
      </c>
      <c r="P9454">
        <v>0</v>
      </c>
      <c r="Q9454">
        <v>16</v>
      </c>
      <c r="R9454" t="s">
        <v>42682</v>
      </c>
      <c r="S9454" t="s">
        <v>42984</v>
      </c>
      <c r="T9454" t="s">
        <v>44517</v>
      </c>
      <c r="U9454" t="s">
        <v>52557</v>
      </c>
      <c r="V9454" t="s">
        <v>56527</v>
      </c>
      <c r="W9454" t="s">
        <v>39428</v>
      </c>
      <c r="X9454" t="s">
        <v>42683</v>
      </c>
    </row>
    <row r="9455" spans="1:24">
      <c r="A9455">
        <f>HYPERLINK("https://www.philgeps.gov.ph/GEPSNONPILOT/Tender/SplashBidNoticeAbstractUI.aspx?menuIndex=3&amp;refID=7175772&amp;Result=3","7175772")</f>
        <v>0</v>
      </c>
      <c r="B9455" t="s">
        <v>908</v>
      </c>
      <c r="C9455" t="s">
        <v>12550</v>
      </c>
      <c r="D9455" t="s">
        <v>17160</v>
      </c>
      <c r="E9455" t="s">
        <v>25342</v>
      </c>
      <c r="F9455" t="s">
        <v>29372</v>
      </c>
      <c r="G9455" t="s">
        <v>29380</v>
      </c>
      <c r="H9455" t="s">
        <v>29389</v>
      </c>
      <c r="I9455" t="s">
        <v>10408</v>
      </c>
      <c r="J9455" t="s">
        <v>29587</v>
      </c>
      <c r="K9455" t="s">
        <v>38492</v>
      </c>
      <c r="M9455" t="s">
        <v>39701</v>
      </c>
      <c r="N9455" t="s">
        <v>42669</v>
      </c>
      <c r="O9455" t="s">
        <v>42670</v>
      </c>
      <c r="P9455">
        <v>0</v>
      </c>
      <c r="Q9455">
        <v>0</v>
      </c>
      <c r="R9455" t="s">
        <v>42682</v>
      </c>
      <c r="S9455" t="s">
        <v>42984</v>
      </c>
      <c r="T9455" t="s">
        <v>44400</v>
      </c>
      <c r="U9455" t="s">
        <v>52558</v>
      </c>
      <c r="W9455" t="s">
        <v>39701</v>
      </c>
      <c r="X9455" t="s">
        <v>42683</v>
      </c>
    </row>
    <row r="9456" spans="1:24">
      <c r="A9456">
        <f>HYPERLINK("https://www.philgeps.gov.ph/GEPSNONPILOT/Tender/SplashBidNoticeAbstractUI.aspx?menuIndex=3&amp;refID=7175676&amp;Result=3","7175676")</f>
        <v>0</v>
      </c>
      <c r="B9456" t="s">
        <v>2825</v>
      </c>
      <c r="C9456" t="s">
        <v>12551</v>
      </c>
      <c r="D9456" t="s">
        <v>17148</v>
      </c>
      <c r="E9456" t="s">
        <v>25343</v>
      </c>
      <c r="F9456" t="s">
        <v>29372</v>
      </c>
      <c r="G9456" t="s">
        <v>29380</v>
      </c>
      <c r="H9456" t="s">
        <v>11048</v>
      </c>
      <c r="I9456" t="s">
        <v>29415</v>
      </c>
      <c r="J9456" t="s">
        <v>35566</v>
      </c>
      <c r="K9456" t="s">
        <v>38530</v>
      </c>
      <c r="M9456" t="s">
        <v>41816</v>
      </c>
      <c r="N9456" t="s">
        <v>42669</v>
      </c>
      <c r="O9456" t="s">
        <v>42670</v>
      </c>
      <c r="Q9456">
        <v>4</v>
      </c>
      <c r="R9456" t="s">
        <v>42682</v>
      </c>
      <c r="S9456" t="s">
        <v>43017</v>
      </c>
      <c r="T9456" t="s">
        <v>44375</v>
      </c>
      <c r="U9456" t="s">
        <v>52559</v>
      </c>
      <c r="W9456" t="s">
        <v>41816</v>
      </c>
      <c r="X9456" t="s">
        <v>42683</v>
      </c>
    </row>
    <row r="9457" spans="1:24">
      <c r="A9457">
        <f>HYPERLINK("https://www.philgeps.gov.ph/GEPSNONPILOT/Tender/SplashBidNoticeAbstractUI.aspx?menuIndex=3&amp;refID=7175760&amp;Result=3","7175760")</f>
        <v>0</v>
      </c>
      <c r="B9457" t="s">
        <v>52</v>
      </c>
      <c r="C9457" t="s">
        <v>12552</v>
      </c>
      <c r="D9457" t="s">
        <v>17183</v>
      </c>
      <c r="E9457" t="s">
        <v>25344</v>
      </c>
      <c r="F9457" t="s">
        <v>29372</v>
      </c>
      <c r="G9457" t="s">
        <v>29379</v>
      </c>
      <c r="H9457" t="s">
        <v>11048</v>
      </c>
      <c r="I9457" t="s">
        <v>14920</v>
      </c>
      <c r="J9457" t="s">
        <v>29721</v>
      </c>
      <c r="K9457" t="s">
        <v>38522</v>
      </c>
      <c r="M9457" t="s">
        <v>40848</v>
      </c>
      <c r="N9457" t="s">
        <v>42669</v>
      </c>
      <c r="O9457" t="s">
        <v>42670</v>
      </c>
      <c r="Q9457">
        <v>4</v>
      </c>
      <c r="R9457" t="s">
        <v>42682</v>
      </c>
      <c r="S9457" t="s">
        <v>43018</v>
      </c>
      <c r="T9457" t="s">
        <v>44431</v>
      </c>
      <c r="U9457" t="s">
        <v>52560</v>
      </c>
      <c r="W9457" t="s">
        <v>40848</v>
      </c>
      <c r="X9457" t="s">
        <v>42683</v>
      </c>
    </row>
    <row r="9458" spans="1:24">
      <c r="A9458">
        <f>HYPERLINK("https://www.philgeps.gov.ph/GEPSNONPILOT/Tender/SplashBidNoticeAbstractUI.aspx?menuIndex=3&amp;refID=7175759&amp;Result=3","7175759")</f>
        <v>0</v>
      </c>
      <c r="B9458" t="s">
        <v>2826</v>
      </c>
      <c r="C9458" t="s">
        <v>12553</v>
      </c>
      <c r="D9458" t="s">
        <v>17186</v>
      </c>
      <c r="E9458" t="s">
        <v>25345</v>
      </c>
      <c r="F9458" t="s">
        <v>29372</v>
      </c>
      <c r="G9458" t="s">
        <v>29380</v>
      </c>
      <c r="H9458" t="s">
        <v>29389</v>
      </c>
      <c r="I9458" t="s">
        <v>10408</v>
      </c>
      <c r="J9458" t="s">
        <v>35567</v>
      </c>
      <c r="K9458" t="s">
        <v>38495</v>
      </c>
      <c r="M9458" t="s">
        <v>41817</v>
      </c>
      <c r="N9458" t="s">
        <v>42669</v>
      </c>
      <c r="O9458" t="s">
        <v>42670</v>
      </c>
      <c r="P9458">
        <v>0</v>
      </c>
      <c r="Q9458">
        <v>5</v>
      </c>
      <c r="R9458" t="s">
        <v>42682</v>
      </c>
      <c r="S9458" t="s">
        <v>42984</v>
      </c>
      <c r="T9458" t="s">
        <v>44419</v>
      </c>
      <c r="U9458" t="s">
        <v>52561</v>
      </c>
      <c r="W9458" t="s">
        <v>41817</v>
      </c>
      <c r="X9458" t="s">
        <v>42683</v>
      </c>
    </row>
    <row r="9459" spans="1:24">
      <c r="A9459">
        <f>HYPERLINK("https://www.philgeps.gov.ph/GEPSNONPILOT/Tender/SplashBidNoticeAbstractUI.aspx?menuIndex=3&amp;refID=7175742&amp;Result=3","7175742")</f>
        <v>0</v>
      </c>
      <c r="B9459" t="s">
        <v>2827</v>
      </c>
      <c r="C9459" t="s">
        <v>12554</v>
      </c>
      <c r="D9459" t="s">
        <v>17184</v>
      </c>
      <c r="E9459" t="s">
        <v>25346</v>
      </c>
      <c r="F9459" t="s">
        <v>29372</v>
      </c>
      <c r="G9459" t="s">
        <v>29380</v>
      </c>
      <c r="H9459" t="s">
        <v>11048</v>
      </c>
      <c r="I9459" t="s">
        <v>3839</v>
      </c>
      <c r="J9459" t="s">
        <v>35568</v>
      </c>
      <c r="K9459" t="s">
        <v>38485</v>
      </c>
      <c r="M9459" t="s">
        <v>41818</v>
      </c>
      <c r="N9459" t="s">
        <v>42669</v>
      </c>
      <c r="O9459" t="s">
        <v>42670</v>
      </c>
      <c r="Q9459">
        <v>5</v>
      </c>
      <c r="R9459" t="s">
        <v>42682</v>
      </c>
      <c r="S9459" t="s">
        <v>43019</v>
      </c>
      <c r="T9459" t="s">
        <v>44375</v>
      </c>
      <c r="U9459" t="s">
        <v>52562</v>
      </c>
      <c r="W9459" t="s">
        <v>41818</v>
      </c>
      <c r="X9459" t="s">
        <v>42683</v>
      </c>
    </row>
    <row r="9460" spans="1:24">
      <c r="A9460">
        <f>HYPERLINK("https://www.philgeps.gov.ph/GEPSNONPILOT/Tender/SplashBidNoticeAbstractUI.aspx?menuIndex=3&amp;refID=7175718&amp;Result=3","7175718")</f>
        <v>0</v>
      </c>
      <c r="B9460" t="s">
        <v>2828</v>
      </c>
      <c r="C9460" t="s">
        <v>12555</v>
      </c>
      <c r="D9460" t="s">
        <v>17172</v>
      </c>
      <c r="E9460" t="s">
        <v>25347</v>
      </c>
      <c r="F9460" t="s">
        <v>29372</v>
      </c>
      <c r="G9460" t="s">
        <v>29379</v>
      </c>
      <c r="H9460" t="s">
        <v>11048</v>
      </c>
      <c r="I9460" t="s">
        <v>29396</v>
      </c>
      <c r="J9460" t="s">
        <v>35569</v>
      </c>
      <c r="K9460" t="s">
        <v>38490</v>
      </c>
      <c r="M9460" t="s">
        <v>41819</v>
      </c>
      <c r="N9460" t="s">
        <v>42669</v>
      </c>
      <c r="O9460" t="s">
        <v>42670</v>
      </c>
      <c r="P9460">
        <v>0</v>
      </c>
      <c r="Q9460">
        <v>0</v>
      </c>
      <c r="R9460" t="s">
        <v>42682</v>
      </c>
      <c r="S9460" t="s">
        <v>42984</v>
      </c>
      <c r="T9460" t="s">
        <v>44512</v>
      </c>
      <c r="U9460" t="s">
        <v>52563</v>
      </c>
      <c r="W9460" t="s">
        <v>41819</v>
      </c>
      <c r="X9460" t="s">
        <v>42683</v>
      </c>
    </row>
    <row r="9461" spans="1:24">
      <c r="A9461">
        <f>HYPERLINK("https://www.philgeps.gov.ph/GEPSNONPILOT/Tender/SplashBidNoticeAbstractUI.aspx?menuIndex=3&amp;refID=7175689&amp;Result=3","7175689")</f>
        <v>0</v>
      </c>
      <c r="B9461" t="s">
        <v>908</v>
      </c>
      <c r="C9461" t="s">
        <v>12556</v>
      </c>
      <c r="D9461" t="s">
        <v>17160</v>
      </c>
      <c r="E9461" t="s">
        <v>25348</v>
      </c>
      <c r="F9461" t="s">
        <v>29372</v>
      </c>
      <c r="G9461" t="s">
        <v>29380</v>
      </c>
      <c r="H9461" t="s">
        <v>29389</v>
      </c>
      <c r="I9461" t="s">
        <v>10408</v>
      </c>
      <c r="J9461" t="s">
        <v>29590</v>
      </c>
      <c r="K9461" t="s">
        <v>38503</v>
      </c>
      <c r="M9461" t="s">
        <v>39701</v>
      </c>
      <c r="N9461" t="s">
        <v>42669</v>
      </c>
      <c r="O9461" t="s">
        <v>42670</v>
      </c>
      <c r="P9461">
        <v>0</v>
      </c>
      <c r="Q9461">
        <v>0</v>
      </c>
      <c r="R9461" t="s">
        <v>42682</v>
      </c>
      <c r="S9461" t="s">
        <v>42984</v>
      </c>
      <c r="T9461" t="s">
        <v>44400</v>
      </c>
      <c r="U9461" t="s">
        <v>52564</v>
      </c>
      <c r="W9461" t="s">
        <v>39701</v>
      </c>
      <c r="X9461" t="s">
        <v>42683</v>
      </c>
    </row>
    <row r="9462" spans="1:24">
      <c r="A9462">
        <f>HYPERLINK("https://www.philgeps.gov.ph/GEPSNONPILOT/Tender/SplashBidNoticeAbstractUI.aspx?menuIndex=3&amp;refID=7175681&amp;Result=3","7175681")</f>
        <v>0</v>
      </c>
      <c r="B9462" t="s">
        <v>1825</v>
      </c>
      <c r="C9462" t="s">
        <v>8003</v>
      </c>
      <c r="D9462" t="s">
        <v>17204</v>
      </c>
      <c r="E9462" t="s">
        <v>21968</v>
      </c>
      <c r="F9462" t="s">
        <v>29372</v>
      </c>
      <c r="G9462" t="s">
        <v>29380</v>
      </c>
      <c r="H9462" t="s">
        <v>29389</v>
      </c>
      <c r="I9462" t="s">
        <v>10408</v>
      </c>
      <c r="J9462" t="s">
        <v>35570</v>
      </c>
      <c r="K9462" t="s">
        <v>38565</v>
      </c>
      <c r="M9462" t="s">
        <v>40696</v>
      </c>
      <c r="N9462" t="s">
        <v>42669</v>
      </c>
      <c r="O9462" t="s">
        <v>42670</v>
      </c>
      <c r="P9462">
        <v>0</v>
      </c>
      <c r="Q9462">
        <v>3</v>
      </c>
      <c r="R9462" t="s">
        <v>42682</v>
      </c>
      <c r="S9462" t="s">
        <v>42984</v>
      </c>
      <c r="T9462" t="s">
        <v>44465</v>
      </c>
      <c r="U9462" t="s">
        <v>52565</v>
      </c>
      <c r="W9462" t="s">
        <v>40696</v>
      </c>
      <c r="X9462" t="s">
        <v>42683</v>
      </c>
    </row>
    <row r="9463" spans="1:24">
      <c r="A9463">
        <f>HYPERLINK("https://www.philgeps.gov.ph/GEPSNONPILOT/Tender/SplashBidNoticeAbstractUI.aspx?menuIndex=3&amp;refID=7175799&amp;Result=3","7175799")</f>
        <v>0</v>
      </c>
      <c r="B9463" t="s">
        <v>2812</v>
      </c>
      <c r="C9463" t="s">
        <v>12557</v>
      </c>
      <c r="D9463" t="s">
        <v>17195</v>
      </c>
      <c r="E9463" t="s">
        <v>25304</v>
      </c>
      <c r="F9463" t="s">
        <v>29372</v>
      </c>
      <c r="G9463" t="s">
        <v>29380</v>
      </c>
      <c r="H9463" t="s">
        <v>11048</v>
      </c>
      <c r="I9463" t="s">
        <v>29505</v>
      </c>
      <c r="J9463" t="s">
        <v>35571</v>
      </c>
      <c r="K9463" t="s">
        <v>38491</v>
      </c>
      <c r="M9463" t="s">
        <v>41801</v>
      </c>
      <c r="N9463" t="s">
        <v>42669</v>
      </c>
      <c r="O9463" t="s">
        <v>42670</v>
      </c>
      <c r="P9463">
        <v>0</v>
      </c>
      <c r="Q9463">
        <v>0</v>
      </c>
      <c r="R9463" t="s">
        <v>42682</v>
      </c>
      <c r="S9463" t="s">
        <v>42984</v>
      </c>
      <c r="T9463" t="s">
        <v>44393</v>
      </c>
      <c r="U9463" t="s">
        <v>52509</v>
      </c>
      <c r="W9463" t="s">
        <v>41801</v>
      </c>
      <c r="X9463" t="s">
        <v>42683</v>
      </c>
    </row>
    <row r="9464" spans="1:24">
      <c r="A9464">
        <f>HYPERLINK("https://www.philgeps.gov.ph/GEPSNONPILOT/Tender/SplashBidNoticeAbstractUI.aspx?menuIndex=3&amp;refID=7175795&amp;Result=3","7175795")</f>
        <v>0</v>
      </c>
      <c r="B9464" t="s">
        <v>2829</v>
      </c>
      <c r="C9464" t="s">
        <v>12558</v>
      </c>
      <c r="D9464" t="s">
        <v>17161</v>
      </c>
      <c r="F9464" t="s">
        <v>29372</v>
      </c>
      <c r="G9464" t="s">
        <v>29380</v>
      </c>
      <c r="H9464" t="s">
        <v>11048</v>
      </c>
      <c r="I9464" t="s">
        <v>4709</v>
      </c>
      <c r="J9464" t="s">
        <v>29529</v>
      </c>
      <c r="K9464" t="s">
        <v>38490</v>
      </c>
      <c r="M9464" t="s">
        <v>41820</v>
      </c>
      <c r="N9464" t="s">
        <v>42669</v>
      </c>
      <c r="O9464" t="s">
        <v>42670</v>
      </c>
      <c r="P9464">
        <v>0</v>
      </c>
      <c r="Q9464">
        <v>0</v>
      </c>
      <c r="R9464" t="s">
        <v>42682</v>
      </c>
      <c r="S9464" t="s">
        <v>42984</v>
      </c>
      <c r="T9464" t="s">
        <v>44530</v>
      </c>
      <c r="U9464" t="s">
        <v>52566</v>
      </c>
      <c r="W9464" t="s">
        <v>41820</v>
      </c>
      <c r="X9464" t="s">
        <v>42683</v>
      </c>
    </row>
    <row r="9465" spans="1:24">
      <c r="A9465">
        <f>HYPERLINK("https://www.philgeps.gov.ph/GEPSNONPILOT/Tender/SplashBidNoticeAbstractUI.aspx?menuIndex=3&amp;refID=7175581&amp;Result=3","7175581")</f>
        <v>0</v>
      </c>
      <c r="B9465" t="s">
        <v>2575</v>
      </c>
      <c r="C9465" t="s">
        <v>12559</v>
      </c>
      <c r="D9465" t="s">
        <v>17205</v>
      </c>
      <c r="E9465" t="s">
        <v>25349</v>
      </c>
      <c r="F9465" t="s">
        <v>29372</v>
      </c>
      <c r="G9465" t="s">
        <v>29380</v>
      </c>
      <c r="H9465" t="s">
        <v>11048</v>
      </c>
      <c r="I9465" t="s">
        <v>14920</v>
      </c>
      <c r="J9465" t="s">
        <v>29578</v>
      </c>
      <c r="K9465" t="s">
        <v>38564</v>
      </c>
      <c r="L9465" t="s">
        <v>2575</v>
      </c>
      <c r="M9465" t="s">
        <v>41542</v>
      </c>
      <c r="N9465" t="s">
        <v>42669</v>
      </c>
      <c r="O9465" t="s">
        <v>42670</v>
      </c>
      <c r="P9465">
        <v>0</v>
      </c>
      <c r="Q9465">
        <v>1</v>
      </c>
      <c r="R9465" t="s">
        <v>42682</v>
      </c>
      <c r="S9465" t="s">
        <v>42984</v>
      </c>
      <c r="T9465" t="s">
        <v>44517</v>
      </c>
      <c r="U9465" t="s">
        <v>51606</v>
      </c>
      <c r="W9465" t="s">
        <v>41542</v>
      </c>
      <c r="X9465" t="s">
        <v>42683</v>
      </c>
    </row>
    <row r="9466" spans="1:24">
      <c r="A9466">
        <f>HYPERLINK("https://www.philgeps.gov.ph/GEPSNONPILOT/Tender/SplashBidNoticeAbstractUI.aspx?menuIndex=3&amp;refID=7175708&amp;Result=3","7175708")</f>
        <v>0</v>
      </c>
      <c r="B9466" t="s">
        <v>2812</v>
      </c>
      <c r="C9466" t="s">
        <v>12560</v>
      </c>
      <c r="D9466" t="s">
        <v>17195</v>
      </c>
      <c r="E9466" t="s">
        <v>25304</v>
      </c>
      <c r="F9466" t="s">
        <v>29372</v>
      </c>
      <c r="G9466" t="s">
        <v>29379</v>
      </c>
      <c r="H9466" t="s">
        <v>11048</v>
      </c>
      <c r="I9466" t="s">
        <v>29489</v>
      </c>
      <c r="J9466" t="s">
        <v>30386</v>
      </c>
      <c r="K9466" t="s">
        <v>38491</v>
      </c>
      <c r="M9466" t="s">
        <v>41801</v>
      </c>
      <c r="N9466" t="s">
        <v>42669</v>
      </c>
      <c r="O9466" t="s">
        <v>42670</v>
      </c>
      <c r="P9466">
        <v>0</v>
      </c>
      <c r="Q9466">
        <v>0</v>
      </c>
      <c r="R9466" t="s">
        <v>42682</v>
      </c>
      <c r="S9466" t="s">
        <v>42984</v>
      </c>
      <c r="T9466" t="s">
        <v>44389</v>
      </c>
      <c r="U9466" t="s">
        <v>52509</v>
      </c>
      <c r="W9466" t="s">
        <v>41801</v>
      </c>
      <c r="X9466" t="s">
        <v>42683</v>
      </c>
    </row>
    <row r="9467" spans="1:24">
      <c r="A9467">
        <f>HYPERLINK("https://www.philgeps.gov.ph/GEPSNONPILOT/Tender/SplashBidNoticeAbstractUI.aspx?menuIndex=3&amp;refID=7175573&amp;Result=3","7175573")</f>
        <v>0</v>
      </c>
      <c r="B9467" t="s">
        <v>1626</v>
      </c>
      <c r="C9467" t="s">
        <v>12561</v>
      </c>
      <c r="D9467" t="s">
        <v>17173</v>
      </c>
      <c r="E9467" t="s">
        <v>25350</v>
      </c>
      <c r="F9467" t="s">
        <v>29372</v>
      </c>
      <c r="G9467" t="s">
        <v>29380</v>
      </c>
      <c r="H9467" t="s">
        <v>29389</v>
      </c>
      <c r="I9467" t="s">
        <v>10408</v>
      </c>
      <c r="J9467" t="s">
        <v>35572</v>
      </c>
      <c r="K9467" t="s">
        <v>38485</v>
      </c>
      <c r="M9467" t="s">
        <v>40480</v>
      </c>
      <c r="N9467" t="s">
        <v>42669</v>
      </c>
      <c r="O9467" t="s">
        <v>42670</v>
      </c>
      <c r="P9467">
        <v>0</v>
      </c>
      <c r="Q9467">
        <v>0</v>
      </c>
      <c r="R9467" t="s">
        <v>42682</v>
      </c>
      <c r="S9467" t="s">
        <v>42984</v>
      </c>
      <c r="T9467" t="s">
        <v>44355</v>
      </c>
      <c r="U9467" t="s">
        <v>52567</v>
      </c>
      <c r="W9467" t="s">
        <v>40480</v>
      </c>
      <c r="X9467" t="s">
        <v>42683</v>
      </c>
    </row>
    <row r="9468" spans="1:24">
      <c r="A9468">
        <f>HYPERLINK("https://www.philgeps.gov.ph/GEPSNONPILOT/Tender/SplashBidNoticeAbstractUI.aspx?menuIndex=3&amp;refID=7175776&amp;Result=3","7175776")</f>
        <v>0</v>
      </c>
      <c r="B9468" t="s">
        <v>2830</v>
      </c>
      <c r="C9468" t="s">
        <v>12562</v>
      </c>
      <c r="D9468" t="s">
        <v>17168</v>
      </c>
      <c r="E9468" t="s">
        <v>25351</v>
      </c>
      <c r="F9468" t="s">
        <v>29372</v>
      </c>
      <c r="G9468" t="s">
        <v>29380</v>
      </c>
      <c r="H9468" t="s">
        <v>11048</v>
      </c>
      <c r="I9468" t="s">
        <v>8614</v>
      </c>
      <c r="J9468" t="s">
        <v>35573</v>
      </c>
      <c r="K9468" t="s">
        <v>38496</v>
      </c>
      <c r="M9468" t="s">
        <v>41821</v>
      </c>
      <c r="N9468" t="s">
        <v>42669</v>
      </c>
      <c r="O9468" t="s">
        <v>42670</v>
      </c>
      <c r="P9468">
        <v>0</v>
      </c>
      <c r="Q9468">
        <v>6</v>
      </c>
      <c r="R9468" t="s">
        <v>42682</v>
      </c>
      <c r="S9468" t="s">
        <v>42984</v>
      </c>
      <c r="T9468" t="s">
        <v>44474</v>
      </c>
      <c r="U9468" t="s">
        <v>49976</v>
      </c>
      <c r="W9468" t="s">
        <v>41821</v>
      </c>
      <c r="X9468" t="s">
        <v>42683</v>
      </c>
    </row>
    <row r="9469" spans="1:24">
      <c r="A9469">
        <f>HYPERLINK("https://www.philgeps.gov.ph/GEPSNONPILOT/Tender/SplashBidNoticeAbstractUI.aspx?menuIndex=3&amp;refID=7175561&amp;Result=3","7175561")</f>
        <v>0</v>
      </c>
      <c r="B9469" t="s">
        <v>89</v>
      </c>
      <c r="C9469" t="s">
        <v>12563</v>
      </c>
      <c r="D9469" t="s">
        <v>17146</v>
      </c>
      <c r="E9469" t="s">
        <v>25352</v>
      </c>
      <c r="F9469" t="s">
        <v>29372</v>
      </c>
      <c r="G9469" t="s">
        <v>29380</v>
      </c>
      <c r="H9469" t="s">
        <v>11048</v>
      </c>
      <c r="I9469" t="s">
        <v>29415</v>
      </c>
      <c r="J9469" t="s">
        <v>35574</v>
      </c>
      <c r="K9469" t="s">
        <v>38485</v>
      </c>
      <c r="M9469" t="s">
        <v>38843</v>
      </c>
      <c r="N9469" t="s">
        <v>42669</v>
      </c>
      <c r="O9469" t="s">
        <v>42670</v>
      </c>
      <c r="P9469">
        <v>0</v>
      </c>
      <c r="Q9469">
        <v>2</v>
      </c>
      <c r="R9469" t="s">
        <v>42682</v>
      </c>
      <c r="S9469" t="s">
        <v>42984</v>
      </c>
      <c r="T9469" t="s">
        <v>44527</v>
      </c>
      <c r="U9469" t="s">
        <v>52568</v>
      </c>
      <c r="V9469" t="s">
        <v>57414</v>
      </c>
      <c r="W9469" t="s">
        <v>38843</v>
      </c>
      <c r="X9469" t="s">
        <v>42683</v>
      </c>
    </row>
    <row r="9470" spans="1:24">
      <c r="A9470">
        <f>HYPERLINK("https://www.philgeps.gov.ph/GEPSNONPILOT/Tender/SplashBidNoticeAbstractUI.aspx?menuIndex=3&amp;refID=7175591&amp;Result=3","7175591")</f>
        <v>0</v>
      </c>
      <c r="B9470" t="s">
        <v>2812</v>
      </c>
      <c r="C9470" t="s">
        <v>12564</v>
      </c>
      <c r="D9470" t="s">
        <v>17195</v>
      </c>
      <c r="E9470" t="s">
        <v>25304</v>
      </c>
      <c r="F9470" t="s">
        <v>29372</v>
      </c>
      <c r="G9470" t="s">
        <v>29380</v>
      </c>
      <c r="H9470" t="s">
        <v>29389</v>
      </c>
      <c r="I9470" t="s">
        <v>10408</v>
      </c>
      <c r="J9470" t="s">
        <v>29526</v>
      </c>
      <c r="K9470" t="s">
        <v>38491</v>
      </c>
      <c r="M9470" t="s">
        <v>41801</v>
      </c>
      <c r="N9470" t="s">
        <v>42669</v>
      </c>
      <c r="O9470" t="s">
        <v>42670</v>
      </c>
      <c r="P9470">
        <v>0</v>
      </c>
      <c r="Q9470">
        <v>0</v>
      </c>
      <c r="R9470" t="s">
        <v>42682</v>
      </c>
      <c r="S9470" t="s">
        <v>42984</v>
      </c>
      <c r="T9470" t="s">
        <v>44464</v>
      </c>
      <c r="U9470" t="s">
        <v>52509</v>
      </c>
      <c r="W9470" t="s">
        <v>41801</v>
      </c>
      <c r="X9470" t="s">
        <v>42683</v>
      </c>
    </row>
    <row r="9471" spans="1:24">
      <c r="A9471">
        <f>HYPERLINK("https://www.philgeps.gov.ph/GEPSNONPILOT/Tender/SplashBidNoticeAbstractUI.aspx?menuIndex=3&amp;refID=7175387&amp;Result=3","7175387")</f>
        <v>0</v>
      </c>
      <c r="B9471" t="s">
        <v>2831</v>
      </c>
      <c r="C9471" t="s">
        <v>12565</v>
      </c>
      <c r="D9471" t="s">
        <v>17216</v>
      </c>
      <c r="E9471" t="s">
        <v>25353</v>
      </c>
      <c r="F9471" t="s">
        <v>29372</v>
      </c>
      <c r="G9471" t="s">
        <v>29379</v>
      </c>
      <c r="H9471" t="s">
        <v>11048</v>
      </c>
      <c r="I9471" t="s">
        <v>4486</v>
      </c>
      <c r="J9471" t="s">
        <v>35575</v>
      </c>
      <c r="K9471" t="s">
        <v>38485</v>
      </c>
      <c r="M9471" t="s">
        <v>41822</v>
      </c>
      <c r="N9471" t="s">
        <v>42669</v>
      </c>
      <c r="O9471" t="s">
        <v>42670</v>
      </c>
      <c r="P9471">
        <v>0</v>
      </c>
      <c r="Q9471">
        <v>2</v>
      </c>
      <c r="R9471" t="s">
        <v>42682</v>
      </c>
      <c r="S9471" t="s">
        <v>42984</v>
      </c>
      <c r="T9471" t="s">
        <v>44512</v>
      </c>
      <c r="U9471" t="s">
        <v>52569</v>
      </c>
      <c r="W9471" t="s">
        <v>41822</v>
      </c>
      <c r="X9471" t="s">
        <v>42683</v>
      </c>
    </row>
    <row r="9472" spans="1:24">
      <c r="A9472">
        <f>HYPERLINK("https://www.philgeps.gov.ph/GEPSNONPILOT/Tender/SplashBidNoticeAbstractUI.aspx?menuIndex=3&amp;refID=7175384&amp;Result=3","7175384")</f>
        <v>0</v>
      </c>
      <c r="B9472" t="s">
        <v>1825</v>
      </c>
      <c r="C9472" t="s">
        <v>8003</v>
      </c>
      <c r="D9472" t="s">
        <v>17204</v>
      </c>
      <c r="E9472" t="s">
        <v>18993</v>
      </c>
      <c r="F9472" t="s">
        <v>29372</v>
      </c>
      <c r="G9472" t="s">
        <v>29380</v>
      </c>
      <c r="H9472" t="s">
        <v>29389</v>
      </c>
      <c r="I9472" t="s">
        <v>10408</v>
      </c>
      <c r="J9472" t="s">
        <v>35576</v>
      </c>
      <c r="K9472" t="s">
        <v>38605</v>
      </c>
      <c r="M9472" t="s">
        <v>40696</v>
      </c>
      <c r="N9472" t="s">
        <v>42669</v>
      </c>
      <c r="O9472" t="s">
        <v>42670</v>
      </c>
      <c r="P9472">
        <v>0</v>
      </c>
      <c r="Q9472">
        <v>3</v>
      </c>
      <c r="R9472" t="s">
        <v>42682</v>
      </c>
      <c r="S9472" t="s">
        <v>42984</v>
      </c>
      <c r="T9472" t="s">
        <v>44403</v>
      </c>
      <c r="U9472" t="s">
        <v>52570</v>
      </c>
      <c r="W9472" t="s">
        <v>40696</v>
      </c>
      <c r="X9472" t="s">
        <v>42683</v>
      </c>
    </row>
    <row r="9473" spans="1:24">
      <c r="A9473">
        <f>HYPERLINK("https://www.philgeps.gov.ph/GEPSNONPILOT/Tender/SplashBidNoticeAbstractUI.aspx?menuIndex=3&amp;refID=7175393&amp;Result=3","7175393")</f>
        <v>0</v>
      </c>
      <c r="B9473" t="s">
        <v>2814</v>
      </c>
      <c r="C9473" t="s">
        <v>12566</v>
      </c>
      <c r="D9473" t="s">
        <v>17226</v>
      </c>
      <c r="E9473" t="s">
        <v>21350</v>
      </c>
      <c r="F9473" t="s">
        <v>29372</v>
      </c>
      <c r="G9473" t="s">
        <v>29380</v>
      </c>
      <c r="H9473" t="s">
        <v>11048</v>
      </c>
      <c r="I9473" t="s">
        <v>3839</v>
      </c>
      <c r="J9473" t="s">
        <v>29587</v>
      </c>
      <c r="K9473" t="s">
        <v>38485</v>
      </c>
      <c r="M9473" t="s">
        <v>41803</v>
      </c>
      <c r="N9473" t="s">
        <v>42669</v>
      </c>
      <c r="O9473" t="s">
        <v>42670</v>
      </c>
      <c r="P9473">
        <v>0</v>
      </c>
      <c r="Q9473">
        <v>2</v>
      </c>
      <c r="R9473" t="s">
        <v>42682</v>
      </c>
      <c r="S9473" t="s">
        <v>42984</v>
      </c>
      <c r="T9473" t="s">
        <v>44450</v>
      </c>
      <c r="U9473" t="s">
        <v>52571</v>
      </c>
      <c r="V9473" t="s">
        <v>57411</v>
      </c>
      <c r="W9473" t="s">
        <v>41803</v>
      </c>
      <c r="X9473" t="s">
        <v>42683</v>
      </c>
    </row>
    <row r="9474" spans="1:24">
      <c r="A9474">
        <f>HYPERLINK("https://www.philgeps.gov.ph/GEPSNONPILOT/Tender/SplashBidNoticeAbstractUI.aspx?menuIndex=3&amp;refID=7175226&amp;Result=3","7175226")</f>
        <v>0</v>
      </c>
      <c r="B9474" t="s">
        <v>771</v>
      </c>
      <c r="C9474" t="s">
        <v>9290</v>
      </c>
      <c r="D9474" t="s">
        <v>17141</v>
      </c>
      <c r="E9474" t="s">
        <v>25354</v>
      </c>
      <c r="F9474" t="s">
        <v>29372</v>
      </c>
      <c r="G9474" t="s">
        <v>29379</v>
      </c>
      <c r="H9474" t="s">
        <v>11048</v>
      </c>
      <c r="I9474" t="s">
        <v>8614</v>
      </c>
      <c r="J9474" t="s">
        <v>32054</v>
      </c>
      <c r="K9474" t="s">
        <v>38485</v>
      </c>
      <c r="M9474" t="s">
        <v>39555</v>
      </c>
      <c r="N9474" t="s">
        <v>42669</v>
      </c>
      <c r="O9474" t="s">
        <v>42670</v>
      </c>
      <c r="P9474">
        <v>0</v>
      </c>
      <c r="Q9474">
        <v>17</v>
      </c>
      <c r="R9474" t="s">
        <v>42682</v>
      </c>
      <c r="S9474" t="s">
        <v>42984</v>
      </c>
      <c r="T9474" t="s">
        <v>44512</v>
      </c>
      <c r="U9474" t="s">
        <v>46440</v>
      </c>
      <c r="W9474" t="s">
        <v>39555</v>
      </c>
      <c r="X9474" t="s">
        <v>42683</v>
      </c>
    </row>
    <row r="9475" spans="1:24">
      <c r="A9475">
        <f>HYPERLINK("https://www.philgeps.gov.ph/GEPSNONPILOT/Tender/SplashBidNoticeAbstractUI.aspx?menuIndex=3&amp;refID=7174187&amp;Result=3","7174187")</f>
        <v>0</v>
      </c>
      <c r="B9475" t="s">
        <v>2746</v>
      </c>
      <c r="C9475" t="s">
        <v>12567</v>
      </c>
      <c r="D9475" t="s">
        <v>17201</v>
      </c>
      <c r="E9475" t="s">
        <v>25355</v>
      </c>
      <c r="F9475" t="s">
        <v>29372</v>
      </c>
      <c r="G9475" t="s">
        <v>29380</v>
      </c>
      <c r="H9475" t="s">
        <v>11048</v>
      </c>
      <c r="I9475" t="s">
        <v>4709</v>
      </c>
      <c r="J9475" t="s">
        <v>35577</v>
      </c>
      <c r="K9475" t="s">
        <v>38485</v>
      </c>
      <c r="M9475" t="s">
        <v>41729</v>
      </c>
      <c r="N9475" t="s">
        <v>42669</v>
      </c>
      <c r="O9475" t="s">
        <v>42670</v>
      </c>
      <c r="P9475">
        <v>0</v>
      </c>
      <c r="Q9475">
        <v>0</v>
      </c>
      <c r="R9475" t="s">
        <v>42682</v>
      </c>
      <c r="S9475" t="s">
        <v>42984</v>
      </c>
      <c r="T9475" t="s">
        <v>44771</v>
      </c>
      <c r="U9475" t="s">
        <v>52572</v>
      </c>
      <c r="W9475" t="s">
        <v>41729</v>
      </c>
      <c r="X9475" t="s">
        <v>42683</v>
      </c>
    </row>
    <row r="9476" spans="1:24">
      <c r="A9476">
        <f>HYPERLINK("https://www.philgeps.gov.ph/GEPSNONPILOT/Tender/SplashBidNoticeAbstractUI.aspx?menuIndex=3&amp;refID=7170643&amp;Result=3","7170643")</f>
        <v>0</v>
      </c>
      <c r="B9476" t="s">
        <v>1014</v>
      </c>
      <c r="C9476" t="s">
        <v>12568</v>
      </c>
      <c r="E9476" t="s">
        <v>12568</v>
      </c>
      <c r="F9476" t="s">
        <v>29372</v>
      </c>
      <c r="G9476" t="s">
        <v>29379</v>
      </c>
      <c r="H9476" t="s">
        <v>11048</v>
      </c>
      <c r="I9476" t="s">
        <v>29407</v>
      </c>
      <c r="J9476" t="s">
        <v>35578</v>
      </c>
      <c r="K9476" t="s">
        <v>38491</v>
      </c>
      <c r="M9476" t="s">
        <v>39814</v>
      </c>
      <c r="N9476" t="s">
        <v>42669</v>
      </c>
      <c r="O9476" t="s">
        <v>42670</v>
      </c>
      <c r="Q9476">
        <v>3</v>
      </c>
      <c r="R9476" t="s">
        <v>42682</v>
      </c>
      <c r="S9476" t="s">
        <v>43020</v>
      </c>
      <c r="T9476" t="s">
        <v>44432</v>
      </c>
      <c r="U9476" t="s">
        <v>48576</v>
      </c>
      <c r="W9476" t="s">
        <v>39814</v>
      </c>
      <c r="X9476" t="s">
        <v>42685</v>
      </c>
    </row>
    <row r="9477" spans="1:24">
      <c r="A9477">
        <f>HYPERLINK("https://www.philgeps.gov.ph/GEPSNONPILOT/Tender/SplashBidNoticeAbstractUI.aspx?menuIndex=3&amp;refID=7175596&amp;Result=3","7175596")</f>
        <v>0</v>
      </c>
      <c r="B9477" t="s">
        <v>1626</v>
      </c>
      <c r="C9477" t="s">
        <v>12569</v>
      </c>
      <c r="D9477" t="s">
        <v>17173</v>
      </c>
      <c r="E9477" t="s">
        <v>25356</v>
      </c>
      <c r="F9477" t="s">
        <v>29372</v>
      </c>
      <c r="G9477" t="s">
        <v>29380</v>
      </c>
      <c r="H9477" t="s">
        <v>11048</v>
      </c>
      <c r="I9477" t="s">
        <v>3695</v>
      </c>
      <c r="J9477" t="s">
        <v>35579</v>
      </c>
      <c r="K9477" t="s">
        <v>38485</v>
      </c>
      <c r="M9477" t="s">
        <v>40480</v>
      </c>
      <c r="N9477" t="s">
        <v>42669</v>
      </c>
      <c r="O9477" t="s">
        <v>42670</v>
      </c>
      <c r="P9477">
        <v>0</v>
      </c>
      <c r="Q9477">
        <v>5</v>
      </c>
      <c r="R9477" t="s">
        <v>42682</v>
      </c>
      <c r="S9477" t="s">
        <v>42984</v>
      </c>
      <c r="T9477" t="s">
        <v>44355</v>
      </c>
      <c r="U9477" t="s">
        <v>48525</v>
      </c>
      <c r="W9477" t="s">
        <v>40480</v>
      </c>
      <c r="X9477" t="s">
        <v>42683</v>
      </c>
    </row>
    <row r="9478" spans="1:24">
      <c r="A9478">
        <f>HYPERLINK("https://www.philgeps.gov.ph/GEPSNONPILOT/Tender/SplashBidNoticeAbstractUI.aspx?menuIndex=3&amp;refID=7179691&amp;Result=3","7179691")</f>
        <v>0</v>
      </c>
      <c r="B9478" t="s">
        <v>2832</v>
      </c>
      <c r="C9478" t="s">
        <v>12570</v>
      </c>
      <c r="D9478" t="s">
        <v>17187</v>
      </c>
      <c r="E9478" t="s">
        <v>25357</v>
      </c>
      <c r="F9478" t="s">
        <v>29375</v>
      </c>
      <c r="G9478" t="s">
        <v>29380</v>
      </c>
      <c r="H9478" t="s">
        <v>11048</v>
      </c>
      <c r="I9478" t="s">
        <v>29412</v>
      </c>
      <c r="J9478" t="s">
        <v>29825</v>
      </c>
      <c r="K9478" t="s">
        <v>38522</v>
      </c>
      <c r="M9478" t="s">
        <v>41823</v>
      </c>
      <c r="N9478" t="s">
        <v>42669</v>
      </c>
      <c r="O9478" t="s">
        <v>42670</v>
      </c>
      <c r="P9478">
        <v>0</v>
      </c>
      <c r="Q9478">
        <v>9</v>
      </c>
      <c r="R9478" t="s">
        <v>42681</v>
      </c>
      <c r="S9478" t="s">
        <v>42966</v>
      </c>
      <c r="T9478" t="s">
        <v>44466</v>
      </c>
      <c r="U9478" t="s">
        <v>52573</v>
      </c>
      <c r="W9478" t="s">
        <v>41823</v>
      </c>
      <c r="X9478" t="s">
        <v>42682</v>
      </c>
    </row>
    <row r="9479" spans="1:24">
      <c r="A9479">
        <f>HYPERLINK("https://www.philgeps.gov.ph/GEPSNONPILOT/Tender/SplashBidNoticeAbstractUI.aspx?menuIndex=3&amp;refID=7174186&amp;Result=3","7174186")</f>
        <v>0</v>
      </c>
      <c r="B9479" t="s">
        <v>2746</v>
      </c>
      <c r="C9479" t="s">
        <v>12571</v>
      </c>
      <c r="D9479" t="s">
        <v>17201</v>
      </c>
      <c r="E9479" t="s">
        <v>25358</v>
      </c>
      <c r="F9479" t="s">
        <v>29372</v>
      </c>
      <c r="G9479" t="s">
        <v>29380</v>
      </c>
      <c r="H9479" t="s">
        <v>29389</v>
      </c>
      <c r="I9479" t="s">
        <v>10408</v>
      </c>
      <c r="J9479" t="s">
        <v>35580</v>
      </c>
      <c r="K9479" t="s">
        <v>38485</v>
      </c>
      <c r="M9479" t="s">
        <v>41729</v>
      </c>
      <c r="N9479" t="s">
        <v>42669</v>
      </c>
      <c r="O9479" t="s">
        <v>42670</v>
      </c>
      <c r="P9479">
        <v>0</v>
      </c>
      <c r="Q9479">
        <v>0</v>
      </c>
      <c r="R9479" t="s">
        <v>42682</v>
      </c>
      <c r="S9479" t="s">
        <v>42984</v>
      </c>
      <c r="T9479" t="s">
        <v>44771</v>
      </c>
      <c r="U9479" t="s">
        <v>52574</v>
      </c>
      <c r="W9479" t="s">
        <v>41729</v>
      </c>
      <c r="X9479" t="s">
        <v>42683</v>
      </c>
    </row>
    <row r="9480" spans="1:24">
      <c r="A9480">
        <f>HYPERLINK("https://www.philgeps.gov.ph/GEPSNONPILOT/Tender/SplashBidNoticeAbstractUI.aspx?menuIndex=3&amp;refID=7179581&amp;Result=3","7179581")</f>
        <v>0</v>
      </c>
      <c r="B9480" t="s">
        <v>2076</v>
      </c>
      <c r="C9480" t="s">
        <v>12572</v>
      </c>
      <c r="E9480" t="s">
        <v>25359</v>
      </c>
      <c r="F9480" t="s">
        <v>29372</v>
      </c>
      <c r="G9480" t="s">
        <v>29380</v>
      </c>
      <c r="H9480" t="s">
        <v>11048</v>
      </c>
      <c r="I9480" t="s">
        <v>8614</v>
      </c>
      <c r="J9480" t="s">
        <v>35581</v>
      </c>
      <c r="K9480" t="s">
        <v>38490</v>
      </c>
      <c r="M9480" t="s">
        <v>40975</v>
      </c>
      <c r="N9480" t="s">
        <v>42669</v>
      </c>
      <c r="O9480" t="s">
        <v>42670</v>
      </c>
      <c r="P9480">
        <v>0</v>
      </c>
      <c r="Q9480">
        <v>8</v>
      </c>
      <c r="R9480" t="s">
        <v>42681</v>
      </c>
      <c r="S9480" t="s">
        <v>42966</v>
      </c>
      <c r="T9480" t="s">
        <v>44517</v>
      </c>
      <c r="U9480" t="s">
        <v>52575</v>
      </c>
      <c r="W9480" t="s">
        <v>40975</v>
      </c>
      <c r="X9480" t="s">
        <v>42682</v>
      </c>
    </row>
    <row r="9481" spans="1:24">
      <c r="A9481">
        <f>HYPERLINK("https://www.philgeps.gov.ph/GEPSNONPILOT/Tender/SplashBidNoticeAbstractUI.aspx?menuIndex=3&amp;refID=7174188&amp;Result=3","7174188")</f>
        <v>0</v>
      </c>
      <c r="B9481" t="s">
        <v>2746</v>
      </c>
      <c r="C9481" t="s">
        <v>12573</v>
      </c>
      <c r="D9481" t="s">
        <v>17201</v>
      </c>
      <c r="E9481" t="s">
        <v>25360</v>
      </c>
      <c r="F9481" t="s">
        <v>29372</v>
      </c>
      <c r="G9481" t="s">
        <v>29380</v>
      </c>
      <c r="H9481" t="s">
        <v>11048</v>
      </c>
      <c r="I9481" t="s">
        <v>9469</v>
      </c>
      <c r="J9481" t="s">
        <v>30787</v>
      </c>
      <c r="K9481" t="s">
        <v>38496</v>
      </c>
      <c r="M9481" t="s">
        <v>41729</v>
      </c>
      <c r="N9481" t="s">
        <v>42669</v>
      </c>
      <c r="O9481" t="s">
        <v>42670</v>
      </c>
      <c r="P9481">
        <v>0</v>
      </c>
      <c r="Q9481">
        <v>3</v>
      </c>
      <c r="R9481" t="s">
        <v>42682</v>
      </c>
      <c r="S9481" t="s">
        <v>42984</v>
      </c>
      <c r="T9481" t="s">
        <v>44771</v>
      </c>
      <c r="U9481" t="s">
        <v>52576</v>
      </c>
      <c r="W9481" t="s">
        <v>41729</v>
      </c>
      <c r="X9481" t="s">
        <v>42683</v>
      </c>
    </row>
    <row r="9482" spans="1:24">
      <c r="A9482">
        <f>HYPERLINK("https://www.philgeps.gov.ph/GEPSNONPILOT/Tender/SplashBidNoticeAbstractUI.aspx?menuIndex=3&amp;refID=7179580&amp;Result=3","7179580")</f>
        <v>0</v>
      </c>
      <c r="B9482" t="s">
        <v>2737</v>
      </c>
      <c r="C9482" t="s">
        <v>12574</v>
      </c>
      <c r="D9482" t="s">
        <v>17170</v>
      </c>
      <c r="E9482" t="s">
        <v>25361</v>
      </c>
      <c r="F9482" t="s">
        <v>29372</v>
      </c>
      <c r="G9482" t="s">
        <v>29380</v>
      </c>
      <c r="H9482" t="s">
        <v>11048</v>
      </c>
      <c r="I9482" t="s">
        <v>29396</v>
      </c>
      <c r="J9482" t="s">
        <v>29619</v>
      </c>
      <c r="K9482" t="s">
        <v>38485</v>
      </c>
      <c r="M9482" t="s">
        <v>41720</v>
      </c>
      <c r="N9482" t="s">
        <v>42669</v>
      </c>
      <c r="O9482" t="s">
        <v>42670</v>
      </c>
      <c r="P9482">
        <v>0</v>
      </c>
      <c r="Q9482">
        <v>0</v>
      </c>
      <c r="R9482" t="s">
        <v>42681</v>
      </c>
      <c r="S9482" t="s">
        <v>42966</v>
      </c>
      <c r="T9482" t="s">
        <v>44355</v>
      </c>
      <c r="U9482" t="s">
        <v>52577</v>
      </c>
      <c r="W9482" t="s">
        <v>41720</v>
      </c>
      <c r="X9482" t="s">
        <v>42682</v>
      </c>
    </row>
    <row r="9483" spans="1:24">
      <c r="A9483">
        <f>HYPERLINK("https://www.philgeps.gov.ph/GEPSNONPILOT/Tender/SplashBidNoticeAbstractUI.aspx?menuIndex=3&amp;refID=7179578&amp;Result=3","7179578")</f>
        <v>0</v>
      </c>
      <c r="B9483" t="s">
        <v>2157</v>
      </c>
      <c r="C9483" t="s">
        <v>12575</v>
      </c>
      <c r="D9483" t="s">
        <v>17148</v>
      </c>
      <c r="E9483" t="s">
        <v>25362</v>
      </c>
      <c r="F9483" t="s">
        <v>29372</v>
      </c>
      <c r="G9483" t="s">
        <v>29380</v>
      </c>
      <c r="H9483" t="s">
        <v>11048</v>
      </c>
      <c r="I9483" t="s">
        <v>4709</v>
      </c>
      <c r="J9483" t="s">
        <v>35582</v>
      </c>
      <c r="K9483" t="s">
        <v>38510</v>
      </c>
      <c r="M9483" t="s">
        <v>41067</v>
      </c>
      <c r="N9483" t="s">
        <v>42669</v>
      </c>
      <c r="O9483" t="s">
        <v>42670</v>
      </c>
      <c r="P9483">
        <v>0</v>
      </c>
      <c r="Q9483">
        <v>3</v>
      </c>
      <c r="R9483" t="s">
        <v>42681</v>
      </c>
      <c r="S9483" t="s">
        <v>42966</v>
      </c>
      <c r="T9483" t="s">
        <v>44745</v>
      </c>
      <c r="U9483" t="s">
        <v>52578</v>
      </c>
      <c r="W9483" t="s">
        <v>41067</v>
      </c>
      <c r="X9483" t="s">
        <v>42682</v>
      </c>
    </row>
    <row r="9484" spans="1:24">
      <c r="A9484">
        <f>HYPERLINK("https://www.philgeps.gov.ph/GEPSNONPILOT/Tender/SplashBidNoticeAbstractUI.aspx?menuIndex=3&amp;refID=7175909&amp;Result=3","7175909")</f>
        <v>0</v>
      </c>
      <c r="B9484" t="s">
        <v>908</v>
      </c>
      <c r="C9484" t="s">
        <v>12576</v>
      </c>
      <c r="D9484" t="s">
        <v>17160</v>
      </c>
      <c r="E9484" t="s">
        <v>25363</v>
      </c>
      <c r="F9484" t="s">
        <v>29372</v>
      </c>
      <c r="G9484" t="s">
        <v>29380</v>
      </c>
      <c r="H9484" t="s">
        <v>29389</v>
      </c>
      <c r="I9484" t="s">
        <v>10408</v>
      </c>
      <c r="J9484" t="s">
        <v>29604</v>
      </c>
      <c r="K9484" t="s">
        <v>38565</v>
      </c>
      <c r="M9484" t="s">
        <v>39701</v>
      </c>
      <c r="N9484" t="s">
        <v>42669</v>
      </c>
      <c r="O9484" t="s">
        <v>42670</v>
      </c>
      <c r="P9484">
        <v>0</v>
      </c>
      <c r="Q9484">
        <v>0</v>
      </c>
      <c r="R9484" t="s">
        <v>42682</v>
      </c>
      <c r="S9484" t="s">
        <v>42984</v>
      </c>
      <c r="T9484" t="s">
        <v>44400</v>
      </c>
      <c r="U9484" t="s">
        <v>52579</v>
      </c>
      <c r="W9484" t="s">
        <v>39701</v>
      </c>
      <c r="X9484" t="s">
        <v>42683</v>
      </c>
    </row>
    <row r="9485" spans="1:24">
      <c r="A9485">
        <f>HYPERLINK("https://www.philgeps.gov.ph/GEPSNONPILOT/Tender/SplashBidNoticeAbstractUI.aspx?menuIndex=3&amp;refID=7175562&amp;Result=3","7175562")</f>
        <v>0</v>
      </c>
      <c r="B9485" t="s">
        <v>968</v>
      </c>
      <c r="C9485" t="s">
        <v>12577</v>
      </c>
      <c r="D9485" t="s">
        <v>17197</v>
      </c>
      <c r="E9485" t="s">
        <v>25364</v>
      </c>
      <c r="F9485" t="s">
        <v>29372</v>
      </c>
      <c r="G9485" t="s">
        <v>29380</v>
      </c>
      <c r="H9485" t="s">
        <v>11048</v>
      </c>
      <c r="I9485" t="s">
        <v>3670</v>
      </c>
      <c r="J9485" t="s">
        <v>35583</v>
      </c>
      <c r="K9485" t="s">
        <v>38485</v>
      </c>
      <c r="M9485" t="s">
        <v>39764</v>
      </c>
      <c r="N9485" t="s">
        <v>42669</v>
      </c>
      <c r="O9485" t="s">
        <v>42670</v>
      </c>
      <c r="P9485">
        <v>0</v>
      </c>
      <c r="Q9485">
        <v>2</v>
      </c>
      <c r="R9485" t="s">
        <v>42682</v>
      </c>
      <c r="S9485" t="s">
        <v>42984</v>
      </c>
      <c r="T9485" t="s">
        <v>44517</v>
      </c>
      <c r="U9485" t="s">
        <v>52580</v>
      </c>
      <c r="W9485" t="s">
        <v>39764</v>
      </c>
      <c r="X9485" t="s">
        <v>42683</v>
      </c>
    </row>
    <row r="9486" spans="1:24">
      <c r="A9486">
        <f>HYPERLINK("https://www.philgeps.gov.ph/GEPSNONPILOT/Tender/SplashBidNoticeAbstractUI.aspx?menuIndex=3&amp;refID=7175666&amp;Result=3","7175666")</f>
        <v>0</v>
      </c>
      <c r="B9486" t="s">
        <v>968</v>
      </c>
      <c r="C9486" t="s">
        <v>12578</v>
      </c>
      <c r="D9486" t="s">
        <v>17197</v>
      </c>
      <c r="E9486" t="s">
        <v>25365</v>
      </c>
      <c r="F9486" t="s">
        <v>29372</v>
      </c>
      <c r="G9486" t="s">
        <v>29380</v>
      </c>
      <c r="H9486" t="s">
        <v>11048</v>
      </c>
      <c r="I9486" t="s">
        <v>3839</v>
      </c>
      <c r="J9486" t="s">
        <v>30056</v>
      </c>
      <c r="K9486" t="s">
        <v>38485</v>
      </c>
      <c r="M9486" t="s">
        <v>39764</v>
      </c>
      <c r="N9486" t="s">
        <v>42669</v>
      </c>
      <c r="O9486" t="s">
        <v>42670</v>
      </c>
      <c r="P9486">
        <v>0</v>
      </c>
      <c r="Q9486">
        <v>5</v>
      </c>
      <c r="R9486" t="s">
        <v>42682</v>
      </c>
      <c r="S9486" t="s">
        <v>42984</v>
      </c>
      <c r="T9486" t="s">
        <v>44517</v>
      </c>
      <c r="U9486" t="s">
        <v>52581</v>
      </c>
      <c r="W9486" t="s">
        <v>39764</v>
      </c>
      <c r="X9486" t="s">
        <v>42683</v>
      </c>
    </row>
    <row r="9487" spans="1:24">
      <c r="A9487">
        <f>HYPERLINK("https://www.philgeps.gov.ph/GEPSNONPILOT/Tender/SplashBidNoticeAbstractUI.aspx?menuIndex=3&amp;refID=7175943&amp;Result=3","7175943")</f>
        <v>0</v>
      </c>
      <c r="B9487" t="s">
        <v>2833</v>
      </c>
      <c r="C9487" t="s">
        <v>12579</v>
      </c>
      <c r="D9487" t="s">
        <v>17212</v>
      </c>
      <c r="E9487" t="s">
        <v>25366</v>
      </c>
      <c r="F9487" t="s">
        <v>29372</v>
      </c>
      <c r="G9487" t="s">
        <v>29380</v>
      </c>
      <c r="H9487" t="s">
        <v>11048</v>
      </c>
      <c r="I9487" t="s">
        <v>29398</v>
      </c>
      <c r="J9487" t="s">
        <v>35584</v>
      </c>
      <c r="K9487" t="s">
        <v>38488</v>
      </c>
      <c r="M9487" t="s">
        <v>41824</v>
      </c>
      <c r="N9487" t="s">
        <v>42669</v>
      </c>
      <c r="O9487" t="s">
        <v>42670</v>
      </c>
      <c r="P9487">
        <v>0</v>
      </c>
      <c r="Q9487">
        <v>1</v>
      </c>
      <c r="R9487" t="s">
        <v>42682</v>
      </c>
      <c r="S9487" t="s">
        <v>42984</v>
      </c>
      <c r="T9487" t="s">
        <v>44666</v>
      </c>
      <c r="U9487" t="s">
        <v>52582</v>
      </c>
      <c r="V9487" t="s">
        <v>57421</v>
      </c>
      <c r="W9487" t="s">
        <v>58100</v>
      </c>
      <c r="X9487" t="s">
        <v>42683</v>
      </c>
    </row>
    <row r="9488" spans="1:24">
      <c r="A9488">
        <f>HYPERLINK("https://www.philgeps.gov.ph/GEPSNONPILOT/Tender/SplashBidNoticeAbstractUI.aspx?menuIndex=3&amp;refID=7179682&amp;Result=3","7179682")</f>
        <v>0</v>
      </c>
      <c r="B9488" t="s">
        <v>2754</v>
      </c>
      <c r="C9488" t="s">
        <v>12580</v>
      </c>
      <c r="D9488" t="s">
        <v>17181</v>
      </c>
      <c r="E9488" t="s">
        <v>25367</v>
      </c>
      <c r="F9488" t="s">
        <v>29372</v>
      </c>
      <c r="G9488" t="s">
        <v>29384</v>
      </c>
      <c r="H9488" t="s">
        <v>29391</v>
      </c>
      <c r="I9488" t="s">
        <v>29396</v>
      </c>
      <c r="J9488" t="s">
        <v>30127</v>
      </c>
      <c r="K9488" t="s">
        <v>38586</v>
      </c>
      <c r="M9488" t="s">
        <v>41739</v>
      </c>
      <c r="N9488" t="s">
        <v>42669</v>
      </c>
      <c r="O9488" t="s">
        <v>42670</v>
      </c>
      <c r="P9488">
        <v>0</v>
      </c>
      <c r="Q9488">
        <v>1</v>
      </c>
      <c r="R9488" t="s">
        <v>42681</v>
      </c>
      <c r="S9488" t="s">
        <v>42966</v>
      </c>
      <c r="T9488" t="s">
        <v>44563</v>
      </c>
      <c r="U9488" t="s">
        <v>52583</v>
      </c>
      <c r="W9488" t="s">
        <v>41739</v>
      </c>
      <c r="X9488" t="s">
        <v>42682</v>
      </c>
    </row>
    <row r="9489" spans="1:24">
      <c r="A9489">
        <f>HYPERLINK("https://www.philgeps.gov.ph/GEPSNONPILOT/Tender/SplashBidNoticeAbstractUI.aspx?menuIndex=3&amp;refID=7175937&amp;Result=3","7175937")</f>
        <v>0</v>
      </c>
      <c r="B9489" t="s">
        <v>754</v>
      </c>
      <c r="C9489" t="s">
        <v>12581</v>
      </c>
      <c r="D9489" t="s">
        <v>17168</v>
      </c>
      <c r="E9489" t="s">
        <v>25368</v>
      </c>
      <c r="F9489" t="s">
        <v>29372</v>
      </c>
      <c r="G9489" t="s">
        <v>29380</v>
      </c>
      <c r="H9489" t="s">
        <v>29389</v>
      </c>
      <c r="I9489" t="s">
        <v>10408</v>
      </c>
      <c r="J9489" t="s">
        <v>35585</v>
      </c>
      <c r="K9489" t="s">
        <v>38533</v>
      </c>
      <c r="M9489" t="s">
        <v>39537</v>
      </c>
      <c r="N9489" t="s">
        <v>42669</v>
      </c>
      <c r="O9489" t="s">
        <v>42670</v>
      </c>
      <c r="Q9489">
        <v>3</v>
      </c>
      <c r="R9489" t="s">
        <v>42682</v>
      </c>
      <c r="S9489" t="s">
        <v>43021</v>
      </c>
      <c r="T9489" t="s">
        <v>44357</v>
      </c>
      <c r="U9489" t="s">
        <v>52490</v>
      </c>
      <c r="W9489" t="s">
        <v>39537</v>
      </c>
      <c r="X9489" t="s">
        <v>42683</v>
      </c>
    </row>
    <row r="9490" spans="1:24">
      <c r="A9490">
        <f>HYPERLINK("https://www.philgeps.gov.ph/GEPSNONPILOT/Tender/SplashBidNoticeAbstractUI.aspx?menuIndex=3&amp;refID=7175921&amp;Result=3","7175921")</f>
        <v>0</v>
      </c>
      <c r="B9490" t="s">
        <v>2828</v>
      </c>
      <c r="C9490" t="s">
        <v>12582</v>
      </c>
      <c r="D9490" t="s">
        <v>17172</v>
      </c>
      <c r="E9490" t="s">
        <v>25369</v>
      </c>
      <c r="F9490" t="s">
        <v>29372</v>
      </c>
      <c r="G9490" t="s">
        <v>29383</v>
      </c>
      <c r="H9490" t="s">
        <v>11048</v>
      </c>
      <c r="I9490" t="s">
        <v>29486</v>
      </c>
      <c r="J9490" t="s">
        <v>35586</v>
      </c>
      <c r="K9490" t="s">
        <v>38490</v>
      </c>
      <c r="M9490" t="s">
        <v>41819</v>
      </c>
      <c r="N9490" t="s">
        <v>42669</v>
      </c>
      <c r="O9490" t="s">
        <v>42670</v>
      </c>
      <c r="P9490">
        <v>0</v>
      </c>
      <c r="Q9490">
        <v>5</v>
      </c>
      <c r="R9490" t="s">
        <v>42682</v>
      </c>
      <c r="S9490" t="s">
        <v>42984</v>
      </c>
      <c r="T9490" t="s">
        <v>44512</v>
      </c>
      <c r="U9490" t="s">
        <v>52584</v>
      </c>
      <c r="W9490" t="s">
        <v>41819</v>
      </c>
      <c r="X9490" t="s">
        <v>42683</v>
      </c>
    </row>
    <row r="9491" spans="1:24">
      <c r="A9491">
        <f>HYPERLINK("https://www.philgeps.gov.ph/GEPSNONPILOT/Tender/SplashBidNoticeAbstractUI.aspx?menuIndex=3&amp;refID=7170662&amp;Result=3","7170662")</f>
        <v>0</v>
      </c>
      <c r="B9491" t="s">
        <v>2768</v>
      </c>
      <c r="C9491" t="s">
        <v>12583</v>
      </c>
      <c r="E9491" t="s">
        <v>17347</v>
      </c>
      <c r="F9491" t="s">
        <v>29372</v>
      </c>
      <c r="G9491" t="s">
        <v>29380</v>
      </c>
      <c r="H9491" t="s">
        <v>11048</v>
      </c>
      <c r="I9491" t="s">
        <v>4709</v>
      </c>
      <c r="J9491" t="s">
        <v>35587</v>
      </c>
      <c r="K9491" t="s">
        <v>38490</v>
      </c>
      <c r="M9491" t="s">
        <v>41753</v>
      </c>
      <c r="N9491" t="s">
        <v>42669</v>
      </c>
      <c r="O9491" t="s">
        <v>42670</v>
      </c>
      <c r="P9491">
        <v>0</v>
      </c>
      <c r="Q9491">
        <v>0</v>
      </c>
      <c r="R9491" t="s">
        <v>42682</v>
      </c>
      <c r="S9491" t="s">
        <v>42984</v>
      </c>
      <c r="T9491" t="s">
        <v>44432</v>
      </c>
      <c r="U9491" t="s">
        <v>52585</v>
      </c>
      <c r="W9491" t="s">
        <v>41753</v>
      </c>
      <c r="X9491" t="s">
        <v>42685</v>
      </c>
    </row>
    <row r="9492" spans="1:24">
      <c r="A9492">
        <f>HYPERLINK("https://www.philgeps.gov.ph/GEPSNONPILOT/Tender/SplashBidNoticeAbstractUI.aspx?menuIndex=3&amp;refID=7175906&amp;Result=3","7175906")</f>
        <v>0</v>
      </c>
      <c r="B9492" t="s">
        <v>1698</v>
      </c>
      <c r="C9492" t="s">
        <v>12584</v>
      </c>
      <c r="D9492" t="s">
        <v>17170</v>
      </c>
      <c r="E9492" t="s">
        <v>25370</v>
      </c>
      <c r="F9492" t="s">
        <v>29372</v>
      </c>
      <c r="G9492" t="s">
        <v>29380</v>
      </c>
      <c r="H9492" t="s">
        <v>29389</v>
      </c>
      <c r="I9492" t="s">
        <v>10408</v>
      </c>
      <c r="J9492" t="s">
        <v>29543</v>
      </c>
      <c r="K9492" t="s">
        <v>38485</v>
      </c>
      <c r="M9492" t="s">
        <v>40560</v>
      </c>
      <c r="N9492" t="s">
        <v>42669</v>
      </c>
      <c r="O9492" t="s">
        <v>42670</v>
      </c>
      <c r="P9492">
        <v>0</v>
      </c>
      <c r="Q9492">
        <v>1</v>
      </c>
      <c r="R9492" t="s">
        <v>42682</v>
      </c>
      <c r="S9492" t="s">
        <v>42984</v>
      </c>
      <c r="T9492" t="s">
        <v>44507</v>
      </c>
      <c r="U9492" t="s">
        <v>48673</v>
      </c>
      <c r="W9492" t="s">
        <v>40560</v>
      </c>
      <c r="X9492" t="s">
        <v>42683</v>
      </c>
    </row>
    <row r="9493" spans="1:24">
      <c r="A9493">
        <f>HYPERLINK("https://www.philgeps.gov.ph/GEPSNONPILOT/Tender/SplashBidNoticeAbstractUI.aspx?menuIndex=3&amp;refID=7175897&amp;Result=3","7175897")</f>
        <v>0</v>
      </c>
      <c r="B9493" t="s">
        <v>476</v>
      </c>
      <c r="C9493" t="s">
        <v>12585</v>
      </c>
      <c r="E9493" t="s">
        <v>25371</v>
      </c>
      <c r="F9493" t="s">
        <v>29372</v>
      </c>
      <c r="G9493" t="s">
        <v>29380</v>
      </c>
      <c r="H9493" t="s">
        <v>29389</v>
      </c>
      <c r="I9493" t="s">
        <v>10408</v>
      </c>
      <c r="J9493" t="s">
        <v>35588</v>
      </c>
      <c r="K9493" t="s">
        <v>38490</v>
      </c>
      <c r="M9493" t="s">
        <v>39241</v>
      </c>
      <c r="N9493" t="s">
        <v>42669</v>
      </c>
      <c r="O9493" t="s">
        <v>42670</v>
      </c>
      <c r="P9493">
        <v>0</v>
      </c>
      <c r="Q9493">
        <v>0</v>
      </c>
      <c r="R9493" t="s">
        <v>42682</v>
      </c>
      <c r="S9493" t="s">
        <v>42984</v>
      </c>
      <c r="T9493" t="s">
        <v>44488</v>
      </c>
      <c r="U9493" t="s">
        <v>52462</v>
      </c>
      <c r="W9493" t="s">
        <v>39241</v>
      </c>
      <c r="X9493" t="s">
        <v>42683</v>
      </c>
    </row>
    <row r="9494" spans="1:24">
      <c r="A9494">
        <f>HYPERLINK("https://www.philgeps.gov.ph/GEPSNONPILOT/Tender/SplashBidNoticeAbstractUI.aspx?menuIndex=3&amp;refID=7175892&amp;Result=3","7175892")</f>
        <v>0</v>
      </c>
      <c r="B9494" t="s">
        <v>52</v>
      </c>
      <c r="C9494" t="s">
        <v>12586</v>
      </c>
      <c r="D9494" t="s">
        <v>17183</v>
      </c>
      <c r="E9494" t="s">
        <v>25372</v>
      </c>
      <c r="F9494" t="s">
        <v>29372</v>
      </c>
      <c r="G9494" t="s">
        <v>29379</v>
      </c>
      <c r="H9494" t="s">
        <v>11048</v>
      </c>
      <c r="I9494" t="s">
        <v>14920</v>
      </c>
      <c r="J9494" t="s">
        <v>32791</v>
      </c>
      <c r="K9494" t="s">
        <v>38522</v>
      </c>
      <c r="M9494" t="s">
        <v>40848</v>
      </c>
      <c r="N9494" t="s">
        <v>42669</v>
      </c>
      <c r="O9494" t="s">
        <v>42670</v>
      </c>
      <c r="Q9494">
        <v>3</v>
      </c>
      <c r="R9494" t="s">
        <v>42682</v>
      </c>
      <c r="S9494" t="s">
        <v>43022</v>
      </c>
      <c r="T9494" t="s">
        <v>44431</v>
      </c>
      <c r="U9494" t="s">
        <v>52586</v>
      </c>
      <c r="W9494" t="s">
        <v>40848</v>
      </c>
      <c r="X9494" t="s">
        <v>42683</v>
      </c>
    </row>
    <row r="9495" spans="1:24">
      <c r="A9495">
        <f>HYPERLINK("https://www.philgeps.gov.ph/GEPSNONPILOT/Tender/SplashBidNoticeAbstractUI.aspx?menuIndex=3&amp;refID=7175891&amp;Result=3","7175891")</f>
        <v>0</v>
      </c>
      <c r="B9495" t="s">
        <v>1243</v>
      </c>
      <c r="C9495" t="s">
        <v>12587</v>
      </c>
      <c r="D9495" t="s">
        <v>17170</v>
      </c>
      <c r="E9495" t="s">
        <v>25373</v>
      </c>
      <c r="F9495" t="s">
        <v>29372</v>
      </c>
      <c r="G9495" t="s">
        <v>29380</v>
      </c>
      <c r="H9495" t="s">
        <v>29389</v>
      </c>
      <c r="I9495" t="s">
        <v>10408</v>
      </c>
      <c r="J9495" t="s">
        <v>35589</v>
      </c>
      <c r="K9495" t="s">
        <v>38522</v>
      </c>
      <c r="M9495" t="s">
        <v>40066</v>
      </c>
      <c r="N9495" t="s">
        <v>42669</v>
      </c>
      <c r="O9495" t="s">
        <v>42670</v>
      </c>
      <c r="P9495">
        <v>0</v>
      </c>
      <c r="Q9495">
        <v>1</v>
      </c>
      <c r="R9495" t="s">
        <v>42682</v>
      </c>
      <c r="S9495" t="s">
        <v>42984</v>
      </c>
      <c r="T9495" t="s">
        <v>44360</v>
      </c>
      <c r="U9495" t="s">
        <v>52587</v>
      </c>
      <c r="W9495" t="s">
        <v>40066</v>
      </c>
      <c r="X9495" t="s">
        <v>42683</v>
      </c>
    </row>
    <row r="9496" spans="1:24">
      <c r="A9496">
        <f>HYPERLINK("https://www.philgeps.gov.ph/GEPSNONPILOT/Tender/SplashBidNoticeAbstractUI.aspx?menuIndex=3&amp;refID=7175938&amp;Result=3","7175938")</f>
        <v>0</v>
      </c>
      <c r="B9496" t="s">
        <v>2834</v>
      </c>
      <c r="C9496" t="s">
        <v>12588</v>
      </c>
      <c r="D9496" t="s">
        <v>17177</v>
      </c>
      <c r="E9496" t="s">
        <v>25374</v>
      </c>
      <c r="F9496" t="s">
        <v>29372</v>
      </c>
      <c r="G9496" t="s">
        <v>29380</v>
      </c>
      <c r="H9496" t="s">
        <v>11048</v>
      </c>
      <c r="I9496" t="s">
        <v>29439</v>
      </c>
      <c r="J9496" t="s">
        <v>30232</v>
      </c>
      <c r="K9496" t="s">
        <v>38488</v>
      </c>
      <c r="M9496" t="s">
        <v>41825</v>
      </c>
      <c r="N9496" t="s">
        <v>42669</v>
      </c>
      <c r="O9496" t="s">
        <v>42670</v>
      </c>
      <c r="P9496">
        <v>0</v>
      </c>
      <c r="Q9496">
        <v>2</v>
      </c>
      <c r="R9496" t="s">
        <v>42682</v>
      </c>
      <c r="S9496" t="s">
        <v>42984</v>
      </c>
      <c r="T9496" t="s">
        <v>44666</v>
      </c>
      <c r="U9496" t="s">
        <v>52588</v>
      </c>
      <c r="W9496" t="s">
        <v>41825</v>
      </c>
      <c r="X9496" t="s">
        <v>42683</v>
      </c>
    </row>
    <row r="9497" spans="1:24">
      <c r="A9497">
        <f>HYPERLINK("https://www.philgeps.gov.ph/GEPSNONPILOT/Tender/SplashBidNoticeAbstractUI.aspx?menuIndex=3&amp;refID=7179684&amp;Result=3","7179684")</f>
        <v>0</v>
      </c>
      <c r="B9497" t="s">
        <v>94</v>
      </c>
      <c r="C9497" t="s">
        <v>12589</v>
      </c>
      <c r="D9497" t="s">
        <v>17171</v>
      </c>
      <c r="E9497" t="s">
        <v>25065</v>
      </c>
      <c r="F9497" t="s">
        <v>29372</v>
      </c>
      <c r="G9497" t="s">
        <v>29380</v>
      </c>
      <c r="H9497" t="s">
        <v>11048</v>
      </c>
      <c r="I9497" t="s">
        <v>9469</v>
      </c>
      <c r="J9497" t="s">
        <v>31110</v>
      </c>
      <c r="K9497" t="s">
        <v>38485</v>
      </c>
      <c r="M9497" t="s">
        <v>38848</v>
      </c>
      <c r="N9497" t="s">
        <v>42669</v>
      </c>
      <c r="O9497" t="s">
        <v>42670</v>
      </c>
      <c r="Q9497">
        <v>3</v>
      </c>
      <c r="R9497" t="s">
        <v>42681</v>
      </c>
      <c r="S9497" t="s">
        <v>43023</v>
      </c>
      <c r="T9497" t="s">
        <v>44419</v>
      </c>
      <c r="U9497" t="s">
        <v>52589</v>
      </c>
      <c r="W9497" t="s">
        <v>38848</v>
      </c>
      <c r="X9497" t="s">
        <v>42682</v>
      </c>
    </row>
    <row r="9498" spans="1:24">
      <c r="A9498">
        <f>HYPERLINK("https://www.philgeps.gov.ph/GEPSNONPILOT/Tender/SplashBidNoticeAbstractUI.aspx?menuIndex=3&amp;refID=7175948&amp;Result=3","7175948")</f>
        <v>0</v>
      </c>
      <c r="B9498" t="s">
        <v>1243</v>
      </c>
      <c r="C9498" t="s">
        <v>12590</v>
      </c>
      <c r="D9498" t="s">
        <v>17170</v>
      </c>
      <c r="E9498" t="s">
        <v>25375</v>
      </c>
      <c r="F9498" t="s">
        <v>29372</v>
      </c>
      <c r="G9498" t="s">
        <v>29380</v>
      </c>
      <c r="H9498" t="s">
        <v>29389</v>
      </c>
      <c r="I9498" t="s">
        <v>10408</v>
      </c>
      <c r="J9498" t="s">
        <v>35590</v>
      </c>
      <c r="K9498" t="s">
        <v>38522</v>
      </c>
      <c r="M9498" t="s">
        <v>40066</v>
      </c>
      <c r="N9498" t="s">
        <v>42669</v>
      </c>
      <c r="O9498" t="s">
        <v>42670</v>
      </c>
      <c r="P9498">
        <v>0</v>
      </c>
      <c r="Q9498">
        <v>0</v>
      </c>
      <c r="R9498" t="s">
        <v>42682</v>
      </c>
      <c r="S9498" t="s">
        <v>42984</v>
      </c>
      <c r="T9498" t="s">
        <v>44360</v>
      </c>
      <c r="U9498" t="s">
        <v>52590</v>
      </c>
      <c r="W9498" t="s">
        <v>40066</v>
      </c>
      <c r="X9498" t="s">
        <v>42683</v>
      </c>
    </row>
    <row r="9499" spans="1:24">
      <c r="A9499">
        <f>HYPERLINK("https://www.philgeps.gov.ph/GEPSNONPILOT/Tender/SplashBidNoticeAbstractUI.aspx?menuIndex=3&amp;refID=7175910&amp;Result=3","7175910")</f>
        <v>0</v>
      </c>
      <c r="B9499" t="s">
        <v>2218</v>
      </c>
      <c r="C9499" t="s">
        <v>12591</v>
      </c>
      <c r="D9499" t="s">
        <v>17188</v>
      </c>
      <c r="E9499" t="s">
        <v>25376</v>
      </c>
      <c r="F9499" t="s">
        <v>29372</v>
      </c>
      <c r="G9499" t="s">
        <v>29383</v>
      </c>
      <c r="H9499" t="s">
        <v>11048</v>
      </c>
      <c r="I9499" t="s">
        <v>29403</v>
      </c>
      <c r="J9499" t="s">
        <v>35591</v>
      </c>
      <c r="K9499" t="s">
        <v>38485</v>
      </c>
      <c r="M9499" t="s">
        <v>41136</v>
      </c>
      <c r="N9499" t="s">
        <v>42669</v>
      </c>
      <c r="O9499" t="s">
        <v>42670</v>
      </c>
      <c r="P9499">
        <v>0</v>
      </c>
      <c r="Q9499">
        <v>0</v>
      </c>
      <c r="R9499" t="s">
        <v>42682</v>
      </c>
      <c r="S9499" t="s">
        <v>42984</v>
      </c>
      <c r="T9499" t="s">
        <v>44488</v>
      </c>
      <c r="U9499" t="s">
        <v>52591</v>
      </c>
      <c r="W9499" t="s">
        <v>58073</v>
      </c>
      <c r="X9499" t="s">
        <v>42683</v>
      </c>
    </row>
    <row r="9500" spans="1:24">
      <c r="A9500">
        <f>HYPERLINK("https://www.philgeps.gov.ph/GEPSNONPILOT/Tender/SplashBidNoticeAbstractUI.aspx?menuIndex=3&amp;refID=7176061&amp;Result=3","7176061")</f>
        <v>0</v>
      </c>
      <c r="B9500" t="s">
        <v>2047</v>
      </c>
      <c r="C9500" t="s">
        <v>12592</v>
      </c>
      <c r="D9500" t="s">
        <v>17189</v>
      </c>
      <c r="E9500" t="s">
        <v>25377</v>
      </c>
      <c r="F9500" t="s">
        <v>29372</v>
      </c>
      <c r="G9500" t="s">
        <v>29380</v>
      </c>
      <c r="H9500" t="s">
        <v>11048</v>
      </c>
      <c r="I9500" t="s">
        <v>29394</v>
      </c>
      <c r="J9500" t="s">
        <v>29896</v>
      </c>
      <c r="K9500" t="s">
        <v>38488</v>
      </c>
      <c r="M9500" t="s">
        <v>41826</v>
      </c>
      <c r="N9500" t="s">
        <v>42669</v>
      </c>
      <c r="O9500" t="s">
        <v>42670</v>
      </c>
      <c r="P9500">
        <v>0</v>
      </c>
      <c r="Q9500">
        <v>4</v>
      </c>
      <c r="R9500" t="s">
        <v>42682</v>
      </c>
      <c r="S9500" t="s">
        <v>42984</v>
      </c>
      <c r="T9500" t="s">
        <v>44631</v>
      </c>
      <c r="U9500" t="s">
        <v>52592</v>
      </c>
      <c r="W9500" t="s">
        <v>41826</v>
      </c>
      <c r="X9500" t="s">
        <v>42683</v>
      </c>
    </row>
    <row r="9501" spans="1:24">
      <c r="A9501">
        <f>HYPERLINK("https://www.philgeps.gov.ph/GEPSNONPILOT/Tender/SplashBidNoticeAbstractUI.aspx?menuIndex=3&amp;refID=7176060&amp;Result=3","7176060")</f>
        <v>0</v>
      </c>
      <c r="B9501" t="s">
        <v>2835</v>
      </c>
      <c r="C9501" t="s">
        <v>12593</v>
      </c>
      <c r="D9501" t="s">
        <v>17158</v>
      </c>
      <c r="E9501" t="s">
        <v>25378</v>
      </c>
      <c r="F9501" t="s">
        <v>29372</v>
      </c>
      <c r="G9501" t="s">
        <v>29379</v>
      </c>
      <c r="H9501" t="s">
        <v>11048</v>
      </c>
      <c r="I9501" t="s">
        <v>3695</v>
      </c>
      <c r="J9501" t="s">
        <v>29571</v>
      </c>
      <c r="K9501" t="s">
        <v>38491</v>
      </c>
      <c r="M9501" t="s">
        <v>41827</v>
      </c>
      <c r="N9501" t="s">
        <v>42669</v>
      </c>
      <c r="O9501" t="s">
        <v>42670</v>
      </c>
      <c r="P9501">
        <v>0</v>
      </c>
      <c r="Q9501">
        <v>2</v>
      </c>
      <c r="R9501" t="s">
        <v>42682</v>
      </c>
      <c r="S9501" t="s">
        <v>42984</v>
      </c>
      <c r="T9501" t="s">
        <v>44488</v>
      </c>
      <c r="U9501" t="s">
        <v>52593</v>
      </c>
      <c r="W9501" t="s">
        <v>41827</v>
      </c>
      <c r="X9501" t="s">
        <v>42683</v>
      </c>
    </row>
    <row r="9502" spans="1:24">
      <c r="A9502">
        <f>HYPERLINK("https://www.philgeps.gov.ph/GEPSNONPILOT/Tender/SplashBidNoticeAbstractUI.aspx?menuIndex=3&amp;refID=7176083&amp;Result=3","7176083")</f>
        <v>0</v>
      </c>
      <c r="B9502" t="s">
        <v>2836</v>
      </c>
      <c r="C9502" t="s">
        <v>12594</v>
      </c>
      <c r="D9502" t="s">
        <v>17198</v>
      </c>
      <c r="E9502" t="s">
        <v>25379</v>
      </c>
      <c r="F9502" t="s">
        <v>29372</v>
      </c>
      <c r="G9502" t="s">
        <v>29380</v>
      </c>
      <c r="H9502" t="s">
        <v>29389</v>
      </c>
      <c r="I9502" t="s">
        <v>10408</v>
      </c>
      <c r="J9502" t="s">
        <v>35592</v>
      </c>
      <c r="K9502" t="s">
        <v>38627</v>
      </c>
      <c r="M9502" t="s">
        <v>41828</v>
      </c>
      <c r="N9502" t="s">
        <v>42669</v>
      </c>
      <c r="O9502" t="s">
        <v>42670</v>
      </c>
      <c r="P9502">
        <v>0</v>
      </c>
      <c r="Q9502">
        <v>2</v>
      </c>
      <c r="R9502" t="s">
        <v>42682</v>
      </c>
      <c r="S9502" t="s">
        <v>42984</v>
      </c>
      <c r="T9502" t="s">
        <v>44517</v>
      </c>
      <c r="U9502" t="s">
        <v>52594</v>
      </c>
      <c r="W9502" t="s">
        <v>41828</v>
      </c>
      <c r="X9502" t="s">
        <v>42683</v>
      </c>
    </row>
    <row r="9503" spans="1:24">
      <c r="A9503">
        <f>HYPERLINK("https://www.philgeps.gov.ph/GEPSNONPILOT/Tender/SplashBidNoticeAbstractUI.aspx?menuIndex=3&amp;refID=7175885&amp;Result=3","7175885")</f>
        <v>0</v>
      </c>
      <c r="B9503" t="s">
        <v>1698</v>
      </c>
      <c r="C9503" t="s">
        <v>12595</v>
      </c>
      <c r="D9503" t="s">
        <v>17170</v>
      </c>
      <c r="E9503" t="s">
        <v>19509</v>
      </c>
      <c r="F9503" t="s">
        <v>29372</v>
      </c>
      <c r="G9503" t="s">
        <v>29380</v>
      </c>
      <c r="H9503" t="s">
        <v>29389</v>
      </c>
      <c r="I9503" t="s">
        <v>10408</v>
      </c>
      <c r="J9503" t="s">
        <v>30161</v>
      </c>
      <c r="K9503" t="s">
        <v>38487</v>
      </c>
      <c r="M9503" t="s">
        <v>40560</v>
      </c>
      <c r="N9503" t="s">
        <v>42669</v>
      </c>
      <c r="O9503" t="s">
        <v>42670</v>
      </c>
      <c r="P9503">
        <v>0</v>
      </c>
      <c r="Q9503">
        <v>0</v>
      </c>
      <c r="R9503" t="s">
        <v>42682</v>
      </c>
      <c r="S9503" t="s">
        <v>42984</v>
      </c>
      <c r="T9503" t="s">
        <v>44507</v>
      </c>
      <c r="U9503" t="s">
        <v>48673</v>
      </c>
      <c r="W9503" t="s">
        <v>40560</v>
      </c>
      <c r="X9503" t="s">
        <v>42683</v>
      </c>
    </row>
    <row r="9504" spans="1:24">
      <c r="A9504">
        <f>HYPERLINK("https://www.philgeps.gov.ph/GEPSNONPILOT/Tender/SplashBidNoticeAbstractUI.aspx?menuIndex=3&amp;refID=7175225&amp;Result=3","7175225")</f>
        <v>0</v>
      </c>
      <c r="B9504" t="s">
        <v>763</v>
      </c>
      <c r="C9504" t="s">
        <v>12596</v>
      </c>
      <c r="D9504" t="s">
        <v>17165</v>
      </c>
      <c r="E9504" t="s">
        <v>25380</v>
      </c>
      <c r="F9504" t="s">
        <v>29372</v>
      </c>
      <c r="G9504" t="s">
        <v>29380</v>
      </c>
      <c r="H9504" t="s">
        <v>11048</v>
      </c>
      <c r="I9504" t="s">
        <v>5383</v>
      </c>
      <c r="J9504" t="s">
        <v>30232</v>
      </c>
      <c r="K9504" t="s">
        <v>38485</v>
      </c>
      <c r="M9504" t="s">
        <v>39546</v>
      </c>
      <c r="N9504" t="s">
        <v>42669</v>
      </c>
      <c r="O9504" t="s">
        <v>42670</v>
      </c>
      <c r="P9504">
        <v>0</v>
      </c>
      <c r="Q9504">
        <v>2</v>
      </c>
      <c r="R9504" t="s">
        <v>42682</v>
      </c>
      <c r="S9504" t="s">
        <v>42984</v>
      </c>
      <c r="T9504" t="s">
        <v>44410</v>
      </c>
      <c r="U9504" t="s">
        <v>46424</v>
      </c>
      <c r="W9504" t="s">
        <v>39546</v>
      </c>
      <c r="X9504" t="s">
        <v>42683</v>
      </c>
    </row>
    <row r="9505" spans="1:24">
      <c r="A9505">
        <f>HYPERLINK("https://www.philgeps.gov.ph/GEPSNONPILOT/Tender/SplashBidNoticeAbstractUI.aspx?menuIndex=3&amp;refID=7176073&amp;Result=3","7176073")</f>
        <v>0</v>
      </c>
      <c r="B9505" t="s">
        <v>2837</v>
      </c>
      <c r="C9505" t="s">
        <v>12597</v>
      </c>
      <c r="D9505" t="s">
        <v>17168</v>
      </c>
      <c r="E9505" t="s">
        <v>25381</v>
      </c>
      <c r="F9505" t="s">
        <v>29372</v>
      </c>
      <c r="G9505" t="s">
        <v>29380</v>
      </c>
      <c r="H9505" t="s">
        <v>11048</v>
      </c>
      <c r="I9505" t="s">
        <v>29447</v>
      </c>
      <c r="J9505" t="s">
        <v>30302</v>
      </c>
      <c r="K9505" t="s">
        <v>38485</v>
      </c>
      <c r="M9505" t="s">
        <v>41829</v>
      </c>
      <c r="N9505" t="s">
        <v>42669</v>
      </c>
      <c r="O9505" t="s">
        <v>42670</v>
      </c>
      <c r="P9505">
        <v>0</v>
      </c>
      <c r="Q9505">
        <v>4</v>
      </c>
      <c r="R9505" t="s">
        <v>42682</v>
      </c>
      <c r="S9505" t="s">
        <v>42984</v>
      </c>
      <c r="T9505" t="s">
        <v>44410</v>
      </c>
      <c r="U9505" t="s">
        <v>52595</v>
      </c>
      <c r="W9505" t="s">
        <v>41829</v>
      </c>
      <c r="X9505" t="s">
        <v>42683</v>
      </c>
    </row>
    <row r="9506" spans="1:24">
      <c r="A9506">
        <f>HYPERLINK("https://www.philgeps.gov.ph/GEPSNONPILOT/Tender/SplashBidNoticeAbstractUI.aspx?menuIndex=3&amp;refID=7176041&amp;Result=3","7176041")</f>
        <v>0</v>
      </c>
      <c r="B9506" t="s">
        <v>2810</v>
      </c>
      <c r="C9506" t="s">
        <v>12598</v>
      </c>
      <c r="D9506" t="s">
        <v>17221</v>
      </c>
      <c r="E9506" t="s">
        <v>25382</v>
      </c>
      <c r="F9506" t="s">
        <v>29372</v>
      </c>
      <c r="G9506" t="s">
        <v>29380</v>
      </c>
      <c r="H9506" t="s">
        <v>11048</v>
      </c>
      <c r="I9506" t="s">
        <v>3695</v>
      </c>
      <c r="J9506" t="s">
        <v>35593</v>
      </c>
      <c r="K9506" t="s">
        <v>38491</v>
      </c>
      <c r="M9506" t="s">
        <v>41799</v>
      </c>
      <c r="N9506" t="s">
        <v>42669</v>
      </c>
      <c r="O9506" t="s">
        <v>42670</v>
      </c>
      <c r="P9506">
        <v>0</v>
      </c>
      <c r="Q9506">
        <v>2</v>
      </c>
      <c r="R9506" t="s">
        <v>42682</v>
      </c>
      <c r="S9506" t="s">
        <v>42984</v>
      </c>
      <c r="T9506" t="s">
        <v>44488</v>
      </c>
      <c r="U9506" t="s">
        <v>52596</v>
      </c>
      <c r="W9506" t="s">
        <v>41799</v>
      </c>
      <c r="X9506" t="s">
        <v>42683</v>
      </c>
    </row>
    <row r="9507" spans="1:24">
      <c r="A9507">
        <f>HYPERLINK("https://www.philgeps.gov.ph/GEPSNONPILOT/Tender/SplashBidNoticeAbstractUI.aspx?menuIndex=3&amp;refID=7176023&amp;Result=3","7176023")</f>
        <v>0</v>
      </c>
      <c r="B9507" t="s">
        <v>52</v>
      </c>
      <c r="C9507" t="s">
        <v>12599</v>
      </c>
      <c r="D9507" t="s">
        <v>17183</v>
      </c>
      <c r="E9507" t="s">
        <v>25383</v>
      </c>
      <c r="F9507" t="s">
        <v>29372</v>
      </c>
      <c r="G9507" t="s">
        <v>29379</v>
      </c>
      <c r="H9507" t="s">
        <v>11048</v>
      </c>
      <c r="I9507" t="s">
        <v>14920</v>
      </c>
      <c r="J9507" t="s">
        <v>29823</v>
      </c>
      <c r="K9507" t="s">
        <v>38522</v>
      </c>
      <c r="M9507" t="s">
        <v>40848</v>
      </c>
      <c r="N9507" t="s">
        <v>42669</v>
      </c>
      <c r="O9507" t="s">
        <v>42670</v>
      </c>
      <c r="Q9507">
        <v>2</v>
      </c>
      <c r="R9507" t="s">
        <v>42682</v>
      </c>
      <c r="S9507" t="s">
        <v>43024</v>
      </c>
      <c r="T9507" t="s">
        <v>44431</v>
      </c>
      <c r="U9507" t="s">
        <v>52597</v>
      </c>
      <c r="W9507" t="s">
        <v>40848</v>
      </c>
      <c r="X9507" t="s">
        <v>42683</v>
      </c>
    </row>
    <row r="9508" spans="1:24">
      <c r="A9508">
        <f>HYPERLINK("https://www.philgeps.gov.ph/GEPSNONPILOT/Tender/SplashBidNoticeAbstractUI.aspx?menuIndex=3&amp;refID=7176062&amp;Result=3","7176062")</f>
        <v>0</v>
      </c>
      <c r="B9508" t="s">
        <v>2838</v>
      </c>
      <c r="C9508" t="s">
        <v>12600</v>
      </c>
      <c r="D9508" t="s">
        <v>17146</v>
      </c>
      <c r="E9508" t="s">
        <v>25384</v>
      </c>
      <c r="F9508" t="s">
        <v>29372</v>
      </c>
      <c r="G9508" t="s">
        <v>29380</v>
      </c>
      <c r="H9508" t="s">
        <v>29389</v>
      </c>
      <c r="I9508" t="s">
        <v>10408</v>
      </c>
      <c r="J9508" t="s">
        <v>29590</v>
      </c>
      <c r="K9508" t="s">
        <v>38485</v>
      </c>
      <c r="M9508" t="s">
        <v>41830</v>
      </c>
      <c r="N9508" t="s">
        <v>42669</v>
      </c>
      <c r="O9508" t="s">
        <v>42670</v>
      </c>
      <c r="P9508">
        <v>0</v>
      </c>
      <c r="Q9508">
        <v>0</v>
      </c>
      <c r="R9508" t="s">
        <v>42682</v>
      </c>
      <c r="S9508" t="s">
        <v>42984</v>
      </c>
      <c r="T9508" t="s">
        <v>44432</v>
      </c>
      <c r="U9508" t="s">
        <v>52598</v>
      </c>
      <c r="W9508" t="s">
        <v>41830</v>
      </c>
      <c r="X9508" t="s">
        <v>42683</v>
      </c>
    </row>
    <row r="9509" spans="1:24">
      <c r="A9509">
        <f>HYPERLINK("https://www.philgeps.gov.ph/GEPSNONPILOT/Tender/SplashBidNoticeAbstractUI.aspx?menuIndex=3&amp;refID=7176020&amp;Result=3","7176020")</f>
        <v>0</v>
      </c>
      <c r="B9509" t="s">
        <v>1243</v>
      </c>
      <c r="C9509" t="s">
        <v>12601</v>
      </c>
      <c r="D9509" t="s">
        <v>17170</v>
      </c>
      <c r="E9509" t="s">
        <v>25385</v>
      </c>
      <c r="F9509" t="s">
        <v>29372</v>
      </c>
      <c r="G9509" t="s">
        <v>29380</v>
      </c>
      <c r="H9509" t="s">
        <v>29389</v>
      </c>
      <c r="I9509" t="s">
        <v>10408</v>
      </c>
      <c r="J9509" t="s">
        <v>35594</v>
      </c>
      <c r="K9509" t="s">
        <v>38495</v>
      </c>
      <c r="M9509" t="s">
        <v>40066</v>
      </c>
      <c r="N9509" t="s">
        <v>42669</v>
      </c>
      <c r="O9509" t="s">
        <v>42670</v>
      </c>
      <c r="P9509">
        <v>0</v>
      </c>
      <c r="Q9509">
        <v>1</v>
      </c>
      <c r="R9509" t="s">
        <v>42682</v>
      </c>
      <c r="S9509" t="s">
        <v>42984</v>
      </c>
      <c r="T9509" t="s">
        <v>44360</v>
      </c>
      <c r="U9509" t="s">
        <v>52599</v>
      </c>
      <c r="W9509" t="s">
        <v>40066</v>
      </c>
      <c r="X9509" t="s">
        <v>42683</v>
      </c>
    </row>
    <row r="9510" spans="1:24">
      <c r="A9510">
        <f>HYPERLINK("https://www.philgeps.gov.ph/GEPSNONPILOT/Tender/SplashBidNoticeAbstractUI.aspx?menuIndex=3&amp;refID=7176015&amp;Result=3","7176015")</f>
        <v>0</v>
      </c>
      <c r="B9510" t="s">
        <v>957</v>
      </c>
      <c r="C9510" t="s">
        <v>12602</v>
      </c>
      <c r="D9510" t="s">
        <v>17143</v>
      </c>
      <c r="E9510" t="s">
        <v>25386</v>
      </c>
      <c r="F9510" t="s">
        <v>29372</v>
      </c>
      <c r="G9510" t="s">
        <v>29380</v>
      </c>
      <c r="H9510" t="s">
        <v>29389</v>
      </c>
      <c r="I9510" t="s">
        <v>10408</v>
      </c>
      <c r="J9510" t="s">
        <v>35595</v>
      </c>
      <c r="K9510" t="s">
        <v>38704</v>
      </c>
      <c r="L9510" t="s">
        <v>957</v>
      </c>
      <c r="M9510" t="s">
        <v>41831</v>
      </c>
      <c r="N9510" t="s">
        <v>42669</v>
      </c>
      <c r="O9510" t="s">
        <v>42670</v>
      </c>
      <c r="P9510">
        <v>0</v>
      </c>
      <c r="Q9510">
        <v>1</v>
      </c>
      <c r="R9510" t="s">
        <v>42682</v>
      </c>
      <c r="S9510" t="s">
        <v>42984</v>
      </c>
      <c r="T9510" t="s">
        <v>44419</v>
      </c>
      <c r="U9510" t="s">
        <v>52600</v>
      </c>
      <c r="W9510" t="s">
        <v>41831</v>
      </c>
      <c r="X9510" t="s">
        <v>42683</v>
      </c>
    </row>
    <row r="9511" spans="1:24">
      <c r="A9511">
        <f>HYPERLINK("https://www.philgeps.gov.ph/GEPSNONPILOT/Tender/SplashBidNoticeAbstractUI.aspx?menuIndex=3&amp;refID=7176048&amp;Result=3","7176048")</f>
        <v>0</v>
      </c>
      <c r="B9511" t="s">
        <v>968</v>
      </c>
      <c r="C9511" t="s">
        <v>12603</v>
      </c>
      <c r="D9511" t="s">
        <v>17197</v>
      </c>
      <c r="E9511" t="s">
        <v>25387</v>
      </c>
      <c r="F9511" t="s">
        <v>29372</v>
      </c>
      <c r="G9511" t="s">
        <v>29380</v>
      </c>
      <c r="H9511" t="s">
        <v>11048</v>
      </c>
      <c r="I9511" t="s">
        <v>3839</v>
      </c>
      <c r="J9511" t="s">
        <v>35596</v>
      </c>
      <c r="K9511" t="s">
        <v>38485</v>
      </c>
      <c r="M9511" t="s">
        <v>39764</v>
      </c>
      <c r="N9511" t="s">
        <v>42669</v>
      </c>
      <c r="O9511" t="s">
        <v>42670</v>
      </c>
      <c r="P9511">
        <v>0</v>
      </c>
      <c r="Q9511">
        <v>3</v>
      </c>
      <c r="R9511" t="s">
        <v>42682</v>
      </c>
      <c r="S9511" t="s">
        <v>42984</v>
      </c>
      <c r="T9511" t="s">
        <v>44517</v>
      </c>
      <c r="U9511" t="s">
        <v>52601</v>
      </c>
      <c r="W9511" t="s">
        <v>39764</v>
      </c>
      <c r="X9511" t="s">
        <v>42683</v>
      </c>
    </row>
    <row r="9512" spans="1:24">
      <c r="A9512">
        <f>HYPERLINK("https://www.philgeps.gov.ph/GEPSNONPILOT/Tender/SplashBidNoticeAbstractUI.aspx?menuIndex=3&amp;refID=7176033&amp;Result=3","7176033")</f>
        <v>0</v>
      </c>
      <c r="B9512" t="s">
        <v>908</v>
      </c>
      <c r="C9512" t="s">
        <v>12604</v>
      </c>
      <c r="D9512" t="s">
        <v>17160</v>
      </c>
      <c r="E9512" t="s">
        <v>25388</v>
      </c>
      <c r="F9512" t="s">
        <v>29372</v>
      </c>
      <c r="G9512" t="s">
        <v>29380</v>
      </c>
      <c r="H9512" t="s">
        <v>29389</v>
      </c>
      <c r="I9512" t="s">
        <v>10408</v>
      </c>
      <c r="J9512" t="s">
        <v>29543</v>
      </c>
      <c r="K9512" t="s">
        <v>38555</v>
      </c>
      <c r="M9512" t="s">
        <v>39701</v>
      </c>
      <c r="N9512" t="s">
        <v>42669</v>
      </c>
      <c r="O9512" t="s">
        <v>42670</v>
      </c>
      <c r="P9512">
        <v>0</v>
      </c>
      <c r="Q9512">
        <v>0</v>
      </c>
      <c r="R9512" t="s">
        <v>42682</v>
      </c>
      <c r="S9512" t="s">
        <v>42984</v>
      </c>
      <c r="T9512" t="s">
        <v>44400</v>
      </c>
      <c r="U9512" t="s">
        <v>52602</v>
      </c>
      <c r="W9512" t="s">
        <v>39701</v>
      </c>
      <c r="X9512" t="s">
        <v>42683</v>
      </c>
    </row>
    <row r="9513" spans="1:24">
      <c r="A9513">
        <f>HYPERLINK("https://www.philgeps.gov.ph/GEPSNONPILOT/Tender/SplashBidNoticeAbstractUI.aspx?menuIndex=3&amp;refID=7175978&amp;Result=3","7175978")</f>
        <v>0</v>
      </c>
      <c r="B9513" t="s">
        <v>961</v>
      </c>
      <c r="C9513" t="s">
        <v>12605</v>
      </c>
      <c r="D9513" t="s">
        <v>17148</v>
      </c>
      <c r="E9513" t="s">
        <v>25389</v>
      </c>
      <c r="F9513" t="s">
        <v>29372</v>
      </c>
      <c r="G9513" t="s">
        <v>29380</v>
      </c>
      <c r="H9513" t="s">
        <v>29389</v>
      </c>
      <c r="I9513" t="s">
        <v>10408</v>
      </c>
      <c r="J9513" t="s">
        <v>35597</v>
      </c>
      <c r="K9513" t="s">
        <v>38533</v>
      </c>
      <c r="M9513" t="s">
        <v>39757</v>
      </c>
      <c r="N9513" t="s">
        <v>42669</v>
      </c>
      <c r="O9513" t="s">
        <v>42670</v>
      </c>
      <c r="P9513">
        <v>0</v>
      </c>
      <c r="Q9513">
        <v>22</v>
      </c>
      <c r="R9513" t="s">
        <v>42682</v>
      </c>
      <c r="S9513" t="s">
        <v>42984</v>
      </c>
      <c r="T9513" t="s">
        <v>44527</v>
      </c>
      <c r="U9513" t="s">
        <v>52603</v>
      </c>
      <c r="W9513" t="s">
        <v>39757</v>
      </c>
      <c r="X9513" t="s">
        <v>42683</v>
      </c>
    </row>
    <row r="9514" spans="1:24">
      <c r="A9514">
        <f>HYPERLINK("https://www.philgeps.gov.ph/GEPSNONPILOT/Tender/SplashBidNoticeAbstractUI.aspx?menuIndex=3&amp;refID=7176046&amp;Result=3","7176046")</f>
        <v>0</v>
      </c>
      <c r="B9514" t="s">
        <v>2839</v>
      </c>
      <c r="C9514" t="s">
        <v>12606</v>
      </c>
      <c r="D9514" t="s">
        <v>17226</v>
      </c>
      <c r="E9514" t="s">
        <v>18290</v>
      </c>
      <c r="F9514" t="s">
        <v>29372</v>
      </c>
      <c r="G9514" t="s">
        <v>29380</v>
      </c>
      <c r="H9514" t="s">
        <v>29389</v>
      </c>
      <c r="I9514" t="s">
        <v>10408</v>
      </c>
      <c r="J9514" t="s">
        <v>35598</v>
      </c>
      <c r="K9514" t="s">
        <v>38510</v>
      </c>
      <c r="M9514" t="s">
        <v>41832</v>
      </c>
      <c r="N9514" t="s">
        <v>42669</v>
      </c>
      <c r="O9514" t="s">
        <v>42670</v>
      </c>
      <c r="P9514">
        <v>0</v>
      </c>
      <c r="Q9514">
        <v>0</v>
      </c>
      <c r="R9514" t="s">
        <v>42682</v>
      </c>
      <c r="S9514" t="s">
        <v>42984</v>
      </c>
      <c r="T9514" t="s">
        <v>44399</v>
      </c>
      <c r="U9514" t="s">
        <v>52604</v>
      </c>
      <c r="W9514" t="s">
        <v>41832</v>
      </c>
      <c r="X9514" t="s">
        <v>42683</v>
      </c>
    </row>
    <row r="9515" spans="1:24">
      <c r="A9515">
        <f>HYPERLINK("https://www.philgeps.gov.ph/GEPSNONPILOT/Tender/SplashBidNoticeAbstractUI.aspx?menuIndex=3&amp;refID=7176186&amp;Result=3","7176186")</f>
        <v>0</v>
      </c>
      <c r="B9515" t="s">
        <v>1810</v>
      </c>
      <c r="C9515" t="s">
        <v>12607</v>
      </c>
      <c r="D9515" t="s">
        <v>17168</v>
      </c>
      <c r="E9515" t="s">
        <v>25390</v>
      </c>
      <c r="F9515" t="s">
        <v>29372</v>
      </c>
      <c r="G9515" t="s">
        <v>29380</v>
      </c>
      <c r="H9515" t="s">
        <v>29389</v>
      </c>
      <c r="I9515" t="s">
        <v>10408</v>
      </c>
      <c r="J9515" t="s">
        <v>35599</v>
      </c>
      <c r="K9515" t="s">
        <v>38622</v>
      </c>
      <c r="M9515" t="s">
        <v>40681</v>
      </c>
      <c r="N9515" t="s">
        <v>42669</v>
      </c>
      <c r="O9515" t="s">
        <v>42670</v>
      </c>
      <c r="P9515">
        <v>0</v>
      </c>
      <c r="Q9515">
        <v>1</v>
      </c>
      <c r="R9515" t="s">
        <v>42682</v>
      </c>
      <c r="S9515" t="s">
        <v>42984</v>
      </c>
      <c r="T9515" t="s">
        <v>44457</v>
      </c>
      <c r="U9515" t="s">
        <v>52605</v>
      </c>
      <c r="W9515" t="s">
        <v>40681</v>
      </c>
      <c r="X9515" t="s">
        <v>42683</v>
      </c>
    </row>
    <row r="9516" spans="1:24">
      <c r="A9516">
        <f>HYPERLINK("https://www.philgeps.gov.ph/GEPSNONPILOT/Tender/SplashBidNoticeAbstractUI.aspx?menuIndex=3&amp;refID=7175979&amp;Result=3","7175979")</f>
        <v>0</v>
      </c>
      <c r="B9516" t="s">
        <v>908</v>
      </c>
      <c r="C9516" t="s">
        <v>12608</v>
      </c>
      <c r="D9516" t="s">
        <v>17160</v>
      </c>
      <c r="E9516" t="s">
        <v>25391</v>
      </c>
      <c r="F9516" t="s">
        <v>29372</v>
      </c>
      <c r="G9516" t="s">
        <v>29380</v>
      </c>
      <c r="H9516" t="s">
        <v>29389</v>
      </c>
      <c r="I9516" t="s">
        <v>10408</v>
      </c>
      <c r="J9516" t="s">
        <v>30056</v>
      </c>
      <c r="K9516" t="s">
        <v>38577</v>
      </c>
      <c r="M9516" t="s">
        <v>39701</v>
      </c>
      <c r="N9516" t="s">
        <v>42669</v>
      </c>
      <c r="O9516" t="s">
        <v>42670</v>
      </c>
      <c r="P9516">
        <v>0</v>
      </c>
      <c r="Q9516">
        <v>0</v>
      </c>
      <c r="R9516" t="s">
        <v>42682</v>
      </c>
      <c r="S9516" t="s">
        <v>42984</v>
      </c>
      <c r="T9516" t="s">
        <v>44400</v>
      </c>
      <c r="U9516" t="s">
        <v>52606</v>
      </c>
      <c r="W9516" t="s">
        <v>39701</v>
      </c>
      <c r="X9516" t="s">
        <v>42683</v>
      </c>
    </row>
    <row r="9517" spans="1:24">
      <c r="A9517">
        <f>HYPERLINK("https://www.philgeps.gov.ph/GEPSNONPILOT/Tender/SplashBidNoticeAbstractUI.aspx?menuIndex=3&amp;refID=7176174&amp;Result=3","7176174")</f>
        <v>0</v>
      </c>
      <c r="B9517" t="s">
        <v>719</v>
      </c>
      <c r="C9517" t="s">
        <v>12609</v>
      </c>
      <c r="D9517" t="s">
        <v>17170</v>
      </c>
      <c r="E9517" t="s">
        <v>25392</v>
      </c>
      <c r="F9517" t="s">
        <v>29372</v>
      </c>
      <c r="G9517" t="s">
        <v>29380</v>
      </c>
      <c r="H9517" t="s">
        <v>11048</v>
      </c>
      <c r="I9517" t="s">
        <v>8614</v>
      </c>
      <c r="J9517" t="s">
        <v>29540</v>
      </c>
      <c r="K9517" t="s">
        <v>38487</v>
      </c>
      <c r="M9517" t="s">
        <v>39593</v>
      </c>
      <c r="N9517" t="s">
        <v>42669</v>
      </c>
      <c r="O9517" t="s">
        <v>42670</v>
      </c>
      <c r="P9517">
        <v>0</v>
      </c>
      <c r="Q9517">
        <v>11</v>
      </c>
      <c r="R9517" t="s">
        <v>42682</v>
      </c>
      <c r="S9517" t="s">
        <v>42984</v>
      </c>
      <c r="T9517" t="s">
        <v>44355</v>
      </c>
      <c r="U9517" t="s">
        <v>52607</v>
      </c>
      <c r="W9517" t="s">
        <v>39593</v>
      </c>
      <c r="X9517" t="s">
        <v>42683</v>
      </c>
    </row>
    <row r="9518" spans="1:24">
      <c r="A9518">
        <f>HYPERLINK("https://www.philgeps.gov.ph/GEPSNONPILOT/Tender/SplashBidNoticeAbstractUI.aspx?menuIndex=3&amp;refID=7176184&amp;Result=3","7176184")</f>
        <v>0</v>
      </c>
      <c r="B9518" t="s">
        <v>2840</v>
      </c>
      <c r="C9518" t="s">
        <v>12610</v>
      </c>
      <c r="D9518" t="s">
        <v>17177</v>
      </c>
      <c r="E9518" t="s">
        <v>25393</v>
      </c>
      <c r="F9518" t="s">
        <v>29372</v>
      </c>
      <c r="G9518" t="s">
        <v>29380</v>
      </c>
      <c r="H9518" t="s">
        <v>11048</v>
      </c>
      <c r="I9518" t="s">
        <v>29428</v>
      </c>
      <c r="J9518" t="s">
        <v>35600</v>
      </c>
      <c r="K9518" t="s">
        <v>38495</v>
      </c>
      <c r="M9518" t="s">
        <v>41833</v>
      </c>
      <c r="N9518" t="s">
        <v>42669</v>
      </c>
      <c r="O9518" t="s">
        <v>42670</v>
      </c>
      <c r="P9518">
        <v>0</v>
      </c>
      <c r="Q9518">
        <v>4</v>
      </c>
      <c r="R9518" t="s">
        <v>42682</v>
      </c>
      <c r="S9518" t="s">
        <v>42984</v>
      </c>
      <c r="T9518" t="s">
        <v>44375</v>
      </c>
      <c r="U9518" t="s">
        <v>52608</v>
      </c>
      <c r="W9518" t="s">
        <v>41833</v>
      </c>
      <c r="X9518" t="s">
        <v>42683</v>
      </c>
    </row>
    <row r="9519" spans="1:24">
      <c r="A9519">
        <f>HYPERLINK("https://www.philgeps.gov.ph/GEPSNONPILOT/Tender/SplashBidNoticeAbstractUI.aspx?menuIndex=3&amp;refID=7175972&amp;Result=3","7175972")</f>
        <v>0</v>
      </c>
      <c r="B9519" t="s">
        <v>52</v>
      </c>
      <c r="C9519" t="s">
        <v>12611</v>
      </c>
      <c r="D9519" t="s">
        <v>17183</v>
      </c>
      <c r="E9519" t="s">
        <v>25394</v>
      </c>
      <c r="F9519" t="s">
        <v>29372</v>
      </c>
      <c r="G9519" t="s">
        <v>29379</v>
      </c>
      <c r="H9519" t="s">
        <v>11048</v>
      </c>
      <c r="I9519" t="s">
        <v>14920</v>
      </c>
      <c r="J9519" t="s">
        <v>34069</v>
      </c>
      <c r="K9519" t="s">
        <v>38522</v>
      </c>
      <c r="M9519" t="s">
        <v>40848</v>
      </c>
      <c r="N9519" t="s">
        <v>42669</v>
      </c>
      <c r="O9519" t="s">
        <v>42670</v>
      </c>
      <c r="Q9519">
        <v>4</v>
      </c>
      <c r="R9519" t="s">
        <v>42682</v>
      </c>
      <c r="S9519" t="s">
        <v>43025</v>
      </c>
      <c r="T9519" t="s">
        <v>44431</v>
      </c>
      <c r="U9519" t="s">
        <v>52609</v>
      </c>
      <c r="W9519" t="s">
        <v>40848</v>
      </c>
      <c r="X9519" t="s">
        <v>42683</v>
      </c>
    </row>
    <row r="9520" spans="1:24">
      <c r="A9520">
        <f>HYPERLINK("https://www.philgeps.gov.ph/GEPSNONPILOT/Tender/SplashBidNoticeAbstractUI.aspx?menuIndex=3&amp;refID=7176171&amp;Result=3","7176171")</f>
        <v>0</v>
      </c>
      <c r="B9520" t="s">
        <v>2841</v>
      </c>
      <c r="C9520" t="s">
        <v>12612</v>
      </c>
      <c r="D9520" t="s">
        <v>17169</v>
      </c>
      <c r="E9520" t="s">
        <v>25395</v>
      </c>
      <c r="F9520" t="s">
        <v>29372</v>
      </c>
      <c r="G9520" t="s">
        <v>29380</v>
      </c>
      <c r="H9520" t="s">
        <v>29389</v>
      </c>
      <c r="I9520" t="s">
        <v>10408</v>
      </c>
      <c r="J9520" t="s">
        <v>35601</v>
      </c>
      <c r="K9520" t="s">
        <v>38504</v>
      </c>
      <c r="M9520" t="s">
        <v>41834</v>
      </c>
      <c r="N9520" t="s">
        <v>42669</v>
      </c>
      <c r="O9520" t="s">
        <v>42670</v>
      </c>
      <c r="P9520">
        <v>0</v>
      </c>
      <c r="Q9520">
        <v>2</v>
      </c>
      <c r="R9520" t="s">
        <v>42682</v>
      </c>
      <c r="S9520" t="s">
        <v>42984</v>
      </c>
      <c r="T9520" t="s">
        <v>44491</v>
      </c>
      <c r="U9520" t="s">
        <v>52610</v>
      </c>
      <c r="W9520" t="s">
        <v>41834</v>
      </c>
      <c r="X9520" t="s">
        <v>42683</v>
      </c>
    </row>
    <row r="9521" spans="1:24">
      <c r="A9521">
        <f>HYPERLINK("https://www.philgeps.gov.ph/GEPSNONPILOT/Tender/SplashBidNoticeAbstractUI.aspx?menuIndex=3&amp;refID=7176009&amp;Result=3","7176009")</f>
        <v>0</v>
      </c>
      <c r="B9521" t="s">
        <v>2842</v>
      </c>
      <c r="C9521" t="s">
        <v>12613</v>
      </c>
      <c r="D9521" t="s">
        <v>17177</v>
      </c>
      <c r="E9521" t="s">
        <v>17648</v>
      </c>
      <c r="F9521" t="s">
        <v>29372</v>
      </c>
      <c r="G9521" t="s">
        <v>29380</v>
      </c>
      <c r="H9521" t="s">
        <v>29389</v>
      </c>
      <c r="I9521" t="s">
        <v>10408</v>
      </c>
      <c r="J9521" t="s">
        <v>29587</v>
      </c>
      <c r="K9521" t="s">
        <v>38489</v>
      </c>
      <c r="M9521" t="s">
        <v>41835</v>
      </c>
      <c r="N9521" t="s">
        <v>42669</v>
      </c>
      <c r="O9521" t="s">
        <v>42670</v>
      </c>
      <c r="P9521">
        <v>0</v>
      </c>
      <c r="Q9521">
        <v>0</v>
      </c>
      <c r="R9521" t="s">
        <v>42682</v>
      </c>
      <c r="S9521" t="s">
        <v>42984</v>
      </c>
      <c r="T9521" t="s">
        <v>44452</v>
      </c>
      <c r="U9521" t="s">
        <v>52611</v>
      </c>
      <c r="W9521" t="s">
        <v>41835</v>
      </c>
      <c r="X9521" t="s">
        <v>42683</v>
      </c>
    </row>
    <row r="9522" spans="1:24">
      <c r="A9522">
        <f>HYPERLINK("https://www.philgeps.gov.ph/GEPSNONPILOT/Tender/SplashBidNoticeAbstractUI.aspx?menuIndex=3&amp;refID=7176155&amp;Result=3","7176155")</f>
        <v>0</v>
      </c>
      <c r="B9522" t="s">
        <v>2843</v>
      </c>
      <c r="C9522" t="s">
        <v>12614</v>
      </c>
      <c r="D9522" t="s">
        <v>17170</v>
      </c>
      <c r="E9522" t="s">
        <v>25396</v>
      </c>
      <c r="F9522" t="s">
        <v>29372</v>
      </c>
      <c r="G9522" t="s">
        <v>29380</v>
      </c>
      <c r="H9522" t="s">
        <v>29389</v>
      </c>
      <c r="I9522" t="s">
        <v>10408</v>
      </c>
      <c r="J9522" t="s">
        <v>35602</v>
      </c>
      <c r="K9522" t="s">
        <v>38510</v>
      </c>
      <c r="M9522" t="s">
        <v>41836</v>
      </c>
      <c r="N9522" t="s">
        <v>42669</v>
      </c>
      <c r="O9522" t="s">
        <v>42670</v>
      </c>
      <c r="P9522">
        <v>0</v>
      </c>
      <c r="Q9522">
        <v>0</v>
      </c>
      <c r="R9522" t="s">
        <v>42682</v>
      </c>
      <c r="S9522" t="s">
        <v>42984</v>
      </c>
      <c r="T9522" t="s">
        <v>44507</v>
      </c>
      <c r="U9522" t="s">
        <v>48673</v>
      </c>
      <c r="W9522" t="s">
        <v>41836</v>
      </c>
      <c r="X9522" t="s">
        <v>42683</v>
      </c>
    </row>
    <row r="9523" spans="1:24">
      <c r="A9523">
        <f>HYPERLINK("https://www.philgeps.gov.ph/GEPSNONPILOT/Tender/SplashBidNoticeAbstractUI.aspx?menuIndex=3&amp;refID=7175987&amp;Result=3","7175987")</f>
        <v>0</v>
      </c>
      <c r="B9523" t="s">
        <v>1243</v>
      </c>
      <c r="C9523" t="s">
        <v>12615</v>
      </c>
      <c r="D9523" t="s">
        <v>17170</v>
      </c>
      <c r="E9523" t="s">
        <v>25397</v>
      </c>
      <c r="F9523" t="s">
        <v>29372</v>
      </c>
      <c r="G9523" t="s">
        <v>29380</v>
      </c>
      <c r="H9523" t="s">
        <v>29389</v>
      </c>
      <c r="I9523" t="s">
        <v>10408</v>
      </c>
      <c r="J9523" t="s">
        <v>35603</v>
      </c>
      <c r="K9523" t="s">
        <v>38495</v>
      </c>
      <c r="M9523" t="s">
        <v>40066</v>
      </c>
      <c r="N9523" t="s">
        <v>42669</v>
      </c>
      <c r="O9523" t="s">
        <v>42670</v>
      </c>
      <c r="P9523">
        <v>0</v>
      </c>
      <c r="Q9523">
        <v>0</v>
      </c>
      <c r="R9523" t="s">
        <v>42682</v>
      </c>
      <c r="S9523" t="s">
        <v>42984</v>
      </c>
      <c r="T9523" t="s">
        <v>44360</v>
      </c>
      <c r="U9523" t="s">
        <v>52612</v>
      </c>
      <c r="W9523" t="s">
        <v>40066</v>
      </c>
      <c r="X9523" t="s">
        <v>42683</v>
      </c>
    </row>
    <row r="9524" spans="1:24">
      <c r="A9524">
        <f>HYPERLINK("https://www.philgeps.gov.ph/GEPSNONPILOT/Tender/SplashBidNoticeAbstractUI.aspx?menuIndex=3&amp;refID=7176165&amp;Result=3","7176165")</f>
        <v>0</v>
      </c>
      <c r="B9524" t="s">
        <v>2829</v>
      </c>
      <c r="C9524" t="s">
        <v>12616</v>
      </c>
      <c r="D9524" t="s">
        <v>17161</v>
      </c>
      <c r="F9524" t="s">
        <v>29372</v>
      </c>
      <c r="G9524" t="s">
        <v>29380</v>
      </c>
      <c r="H9524" t="s">
        <v>11048</v>
      </c>
      <c r="I9524" t="s">
        <v>4709</v>
      </c>
      <c r="J9524" t="s">
        <v>29529</v>
      </c>
      <c r="K9524" t="s">
        <v>38490</v>
      </c>
      <c r="M9524" t="s">
        <v>41820</v>
      </c>
      <c r="N9524" t="s">
        <v>42669</v>
      </c>
      <c r="O9524" t="s">
        <v>42670</v>
      </c>
      <c r="P9524">
        <v>0</v>
      </c>
      <c r="Q9524">
        <v>0</v>
      </c>
      <c r="R9524" t="s">
        <v>42682</v>
      </c>
      <c r="S9524" t="s">
        <v>42984</v>
      </c>
      <c r="T9524" t="s">
        <v>44393</v>
      </c>
      <c r="U9524" t="s">
        <v>52613</v>
      </c>
      <c r="W9524" t="s">
        <v>41820</v>
      </c>
      <c r="X9524" t="s">
        <v>42683</v>
      </c>
    </row>
    <row r="9525" spans="1:24">
      <c r="A9525">
        <f>HYPERLINK("https://www.philgeps.gov.ph/GEPSNONPILOT/Tender/SplashBidNoticeAbstractUI.aspx?menuIndex=3&amp;refID=7176134&amp;Result=3","7176134")</f>
        <v>0</v>
      </c>
      <c r="B9525" t="s">
        <v>2844</v>
      </c>
      <c r="C9525" t="s">
        <v>12617</v>
      </c>
      <c r="D9525" t="s">
        <v>17171</v>
      </c>
      <c r="E9525" t="s">
        <v>25398</v>
      </c>
      <c r="F9525" t="s">
        <v>29372</v>
      </c>
      <c r="G9525" t="s">
        <v>29380</v>
      </c>
      <c r="H9525" t="s">
        <v>29391</v>
      </c>
      <c r="I9525" t="s">
        <v>29391</v>
      </c>
      <c r="J9525" t="s">
        <v>35604</v>
      </c>
      <c r="K9525" t="s">
        <v>38536</v>
      </c>
      <c r="M9525" t="s">
        <v>41837</v>
      </c>
      <c r="N9525" t="s">
        <v>42669</v>
      </c>
      <c r="O9525" t="s">
        <v>42670</v>
      </c>
      <c r="P9525">
        <v>0</v>
      </c>
      <c r="Q9525">
        <v>3</v>
      </c>
      <c r="R9525" t="s">
        <v>42682</v>
      </c>
      <c r="S9525" t="s">
        <v>42984</v>
      </c>
      <c r="T9525" t="s">
        <v>44779</v>
      </c>
      <c r="U9525" t="s">
        <v>52614</v>
      </c>
      <c r="W9525" t="s">
        <v>41837</v>
      </c>
      <c r="X9525" t="s">
        <v>42683</v>
      </c>
    </row>
    <row r="9526" spans="1:24">
      <c r="A9526">
        <f>HYPERLINK("https://www.philgeps.gov.ph/GEPSNONPILOT/Tender/SplashBidNoticeAbstractUI.aspx?menuIndex=3&amp;refID=7176128&amp;Result=3","7176128")</f>
        <v>0</v>
      </c>
      <c r="B9526" t="s">
        <v>2845</v>
      </c>
      <c r="C9526" t="s">
        <v>12370</v>
      </c>
      <c r="D9526" t="s">
        <v>17213</v>
      </c>
      <c r="E9526" t="s">
        <v>25399</v>
      </c>
      <c r="F9526" t="s">
        <v>29372</v>
      </c>
      <c r="G9526" t="s">
        <v>29380</v>
      </c>
      <c r="H9526" t="s">
        <v>11048</v>
      </c>
      <c r="I9526" t="s">
        <v>9469</v>
      </c>
      <c r="J9526" t="s">
        <v>35605</v>
      </c>
      <c r="K9526" t="s">
        <v>38485</v>
      </c>
      <c r="M9526" t="s">
        <v>41838</v>
      </c>
      <c r="N9526" t="s">
        <v>42669</v>
      </c>
      <c r="O9526" t="s">
        <v>42670</v>
      </c>
      <c r="P9526">
        <v>0</v>
      </c>
      <c r="Q9526">
        <v>1</v>
      </c>
      <c r="R9526" t="s">
        <v>42682</v>
      </c>
      <c r="S9526" t="s">
        <v>42984</v>
      </c>
      <c r="T9526" t="s">
        <v>44400</v>
      </c>
      <c r="U9526" t="s">
        <v>52615</v>
      </c>
      <c r="W9526" t="s">
        <v>41838</v>
      </c>
      <c r="X9526" t="s">
        <v>42683</v>
      </c>
    </row>
    <row r="9527" spans="1:24">
      <c r="A9527">
        <f>HYPERLINK("https://www.philgeps.gov.ph/GEPSNONPILOT/Tender/SplashBidNoticeAbstractUI.aspx?menuIndex=3&amp;refID=7176001&amp;Result=3","7176001")</f>
        <v>0</v>
      </c>
      <c r="B9527" t="s">
        <v>2846</v>
      </c>
      <c r="C9527" t="s">
        <v>12618</v>
      </c>
      <c r="D9527" t="s">
        <v>17193</v>
      </c>
      <c r="E9527" t="s">
        <v>25400</v>
      </c>
      <c r="F9527" t="s">
        <v>29372</v>
      </c>
      <c r="G9527" t="s">
        <v>29379</v>
      </c>
      <c r="H9527" t="s">
        <v>11048</v>
      </c>
      <c r="I9527" t="s">
        <v>29396</v>
      </c>
      <c r="J9527" t="s">
        <v>35606</v>
      </c>
      <c r="K9527" t="s">
        <v>38487</v>
      </c>
      <c r="M9527" t="s">
        <v>41839</v>
      </c>
      <c r="N9527" t="s">
        <v>42669</v>
      </c>
      <c r="O9527" t="s">
        <v>42670</v>
      </c>
      <c r="P9527">
        <v>0</v>
      </c>
      <c r="Q9527">
        <v>8</v>
      </c>
      <c r="R9527" t="s">
        <v>42682</v>
      </c>
      <c r="S9527" t="s">
        <v>42984</v>
      </c>
      <c r="T9527" t="s">
        <v>44488</v>
      </c>
      <c r="U9527" t="s">
        <v>52616</v>
      </c>
      <c r="W9527" t="s">
        <v>41839</v>
      </c>
      <c r="X9527" t="s">
        <v>42683</v>
      </c>
    </row>
    <row r="9528" spans="1:24">
      <c r="A9528">
        <f>HYPERLINK("https://www.philgeps.gov.ph/GEPSNONPILOT/Tender/SplashBidNoticeAbstractUI.aspx?menuIndex=3&amp;refID=7176116&amp;Result=3","7176116")</f>
        <v>0</v>
      </c>
      <c r="B9528" t="s">
        <v>2847</v>
      </c>
      <c r="C9528" t="s">
        <v>12619</v>
      </c>
      <c r="D9528" t="s">
        <v>17151</v>
      </c>
      <c r="E9528" t="s">
        <v>25401</v>
      </c>
      <c r="F9528" t="s">
        <v>29372</v>
      </c>
      <c r="G9528" t="s">
        <v>29380</v>
      </c>
      <c r="H9528" t="s">
        <v>29389</v>
      </c>
      <c r="I9528" t="s">
        <v>10408</v>
      </c>
      <c r="J9528" t="s">
        <v>35607</v>
      </c>
      <c r="K9528" t="s">
        <v>38522</v>
      </c>
      <c r="M9528" t="s">
        <v>41840</v>
      </c>
      <c r="N9528" t="s">
        <v>42669</v>
      </c>
      <c r="O9528" t="s">
        <v>42670</v>
      </c>
      <c r="P9528">
        <v>0</v>
      </c>
      <c r="Q9528">
        <v>4</v>
      </c>
      <c r="R9528" t="s">
        <v>42682</v>
      </c>
      <c r="S9528" t="s">
        <v>42984</v>
      </c>
      <c r="T9528" t="s">
        <v>44517</v>
      </c>
      <c r="U9528" t="s">
        <v>52617</v>
      </c>
      <c r="V9528" t="s">
        <v>57422</v>
      </c>
      <c r="W9528" t="s">
        <v>41840</v>
      </c>
      <c r="X9528" t="s">
        <v>42683</v>
      </c>
    </row>
    <row r="9529" spans="1:24">
      <c r="A9529">
        <f>HYPERLINK("https://www.philgeps.gov.ph/GEPSNONPILOT/Tender/SplashBidNoticeAbstractUI.aspx?menuIndex=3&amp;refID=7176147&amp;Result=3","7176147")</f>
        <v>0</v>
      </c>
      <c r="B9529" t="s">
        <v>1416</v>
      </c>
      <c r="C9529" t="s">
        <v>12620</v>
      </c>
      <c r="D9529" t="s">
        <v>17202</v>
      </c>
      <c r="E9529" t="s">
        <v>25402</v>
      </c>
      <c r="F9529" t="s">
        <v>29372</v>
      </c>
      <c r="G9529" t="s">
        <v>29380</v>
      </c>
      <c r="H9529" t="s">
        <v>11048</v>
      </c>
      <c r="I9529" t="s">
        <v>10408</v>
      </c>
      <c r="J9529" t="s">
        <v>35608</v>
      </c>
      <c r="K9529" t="s">
        <v>38595</v>
      </c>
      <c r="M9529" t="s">
        <v>40255</v>
      </c>
      <c r="N9529" t="s">
        <v>42669</v>
      </c>
      <c r="O9529" t="s">
        <v>42670</v>
      </c>
      <c r="Q9529">
        <v>0</v>
      </c>
      <c r="R9529" t="s">
        <v>42682</v>
      </c>
      <c r="S9529" t="s">
        <v>43026</v>
      </c>
      <c r="T9529" t="s">
        <v>44488</v>
      </c>
      <c r="U9529" t="s">
        <v>52618</v>
      </c>
      <c r="V9529" t="s">
        <v>56748</v>
      </c>
      <c r="W9529" t="s">
        <v>40255</v>
      </c>
      <c r="X9529" t="s">
        <v>42683</v>
      </c>
    </row>
    <row r="9530" spans="1:24">
      <c r="A9530">
        <f>HYPERLINK("https://www.philgeps.gov.ph/GEPSNONPILOT/Tender/SplashBidNoticeAbstractUI.aspx?menuIndex=3&amp;refID=7176105&amp;Result=3","7176105")</f>
        <v>0</v>
      </c>
      <c r="B9530" t="s">
        <v>2848</v>
      </c>
      <c r="C9530" t="s">
        <v>12621</v>
      </c>
      <c r="D9530" t="s">
        <v>17170</v>
      </c>
      <c r="E9530" t="s">
        <v>25403</v>
      </c>
      <c r="F9530" t="s">
        <v>29372</v>
      </c>
      <c r="G9530" t="s">
        <v>29380</v>
      </c>
      <c r="H9530" t="s">
        <v>29389</v>
      </c>
      <c r="I9530" t="s">
        <v>10408</v>
      </c>
      <c r="J9530" t="s">
        <v>35609</v>
      </c>
      <c r="K9530" t="s">
        <v>38488</v>
      </c>
      <c r="M9530" t="s">
        <v>41841</v>
      </c>
      <c r="N9530" t="s">
        <v>42669</v>
      </c>
      <c r="O9530" t="s">
        <v>42670</v>
      </c>
      <c r="P9530">
        <v>0</v>
      </c>
      <c r="Q9530">
        <v>0</v>
      </c>
      <c r="R9530" t="s">
        <v>42682</v>
      </c>
      <c r="S9530" t="s">
        <v>42984</v>
      </c>
      <c r="T9530" t="s">
        <v>44507</v>
      </c>
      <c r="U9530" t="s">
        <v>48673</v>
      </c>
      <c r="W9530" t="s">
        <v>41841</v>
      </c>
      <c r="X9530" t="s">
        <v>42683</v>
      </c>
    </row>
    <row r="9531" spans="1:24">
      <c r="A9531">
        <f>HYPERLINK("https://www.philgeps.gov.ph/GEPSNONPILOT/Tender/SplashBidNoticeAbstractUI.aspx?menuIndex=3&amp;refID=7176102&amp;Result=3","7176102")</f>
        <v>0</v>
      </c>
      <c r="B9531" t="s">
        <v>2849</v>
      </c>
      <c r="C9531" t="s">
        <v>12622</v>
      </c>
      <c r="D9531" t="s">
        <v>17177</v>
      </c>
      <c r="E9531" t="s">
        <v>25404</v>
      </c>
      <c r="F9531" t="s">
        <v>29372</v>
      </c>
      <c r="G9531" t="s">
        <v>29379</v>
      </c>
      <c r="H9531" t="s">
        <v>29389</v>
      </c>
      <c r="I9531" t="s">
        <v>10408</v>
      </c>
      <c r="J9531" t="s">
        <v>29604</v>
      </c>
      <c r="K9531" t="s">
        <v>38495</v>
      </c>
      <c r="M9531" t="s">
        <v>41842</v>
      </c>
      <c r="N9531" t="s">
        <v>42669</v>
      </c>
      <c r="O9531" t="s">
        <v>42670</v>
      </c>
      <c r="P9531">
        <v>0</v>
      </c>
      <c r="Q9531">
        <v>1</v>
      </c>
      <c r="R9531" t="s">
        <v>42682</v>
      </c>
      <c r="S9531" t="s">
        <v>42984</v>
      </c>
      <c r="T9531" t="s">
        <v>44444</v>
      </c>
      <c r="U9531" t="s">
        <v>52619</v>
      </c>
      <c r="W9531" t="s">
        <v>41842</v>
      </c>
      <c r="X9531" t="s">
        <v>42683</v>
      </c>
    </row>
    <row r="9532" spans="1:24">
      <c r="A9532">
        <f>HYPERLINK("https://www.philgeps.gov.ph/GEPSNONPILOT/Tender/SplashBidNoticeAbstractUI.aspx?menuIndex=3&amp;refID=7176093&amp;Result=3","7176093")</f>
        <v>0</v>
      </c>
      <c r="B9532" t="s">
        <v>2850</v>
      </c>
      <c r="C9532" t="s">
        <v>12623</v>
      </c>
      <c r="D9532" t="s">
        <v>17141</v>
      </c>
      <c r="E9532" t="s">
        <v>25405</v>
      </c>
      <c r="F9532" t="s">
        <v>29372</v>
      </c>
      <c r="G9532" t="s">
        <v>29380</v>
      </c>
      <c r="H9532" t="s">
        <v>11048</v>
      </c>
      <c r="I9532" t="s">
        <v>9642</v>
      </c>
      <c r="J9532" t="s">
        <v>35610</v>
      </c>
      <c r="K9532" t="s">
        <v>38585</v>
      </c>
      <c r="M9532" t="s">
        <v>41843</v>
      </c>
      <c r="N9532" t="s">
        <v>42669</v>
      </c>
      <c r="O9532" t="s">
        <v>42670</v>
      </c>
      <c r="Q9532">
        <v>20</v>
      </c>
      <c r="R9532" t="s">
        <v>42682</v>
      </c>
      <c r="S9532" t="s">
        <v>43027</v>
      </c>
      <c r="T9532" t="s">
        <v>44527</v>
      </c>
      <c r="U9532" t="s">
        <v>45794</v>
      </c>
      <c r="W9532" t="s">
        <v>41843</v>
      </c>
      <c r="X9532" t="s">
        <v>42683</v>
      </c>
    </row>
    <row r="9533" spans="1:24">
      <c r="A9533">
        <f>HYPERLINK("https://www.philgeps.gov.ph/GEPSNONPILOT/Tender/SplashBidNoticeAbstractUI.aspx?menuIndex=3&amp;refID=7176086&amp;Result=3","7176086")</f>
        <v>0</v>
      </c>
      <c r="B9533" t="s">
        <v>908</v>
      </c>
      <c r="C9533" t="s">
        <v>12624</v>
      </c>
      <c r="D9533" t="s">
        <v>17160</v>
      </c>
      <c r="E9533" t="s">
        <v>25406</v>
      </c>
      <c r="F9533" t="s">
        <v>29372</v>
      </c>
      <c r="G9533" t="s">
        <v>29380</v>
      </c>
      <c r="H9533" t="s">
        <v>29389</v>
      </c>
      <c r="I9533" t="s">
        <v>10408</v>
      </c>
      <c r="J9533" t="s">
        <v>30412</v>
      </c>
      <c r="K9533" t="s">
        <v>38492</v>
      </c>
      <c r="M9533" t="s">
        <v>39701</v>
      </c>
      <c r="N9533" t="s">
        <v>42669</v>
      </c>
      <c r="O9533" t="s">
        <v>42670</v>
      </c>
      <c r="P9533">
        <v>0</v>
      </c>
      <c r="Q9533">
        <v>0</v>
      </c>
      <c r="R9533" t="s">
        <v>42682</v>
      </c>
      <c r="S9533" t="s">
        <v>42984</v>
      </c>
      <c r="T9533" t="s">
        <v>44400</v>
      </c>
      <c r="U9533" t="s">
        <v>52620</v>
      </c>
      <c r="W9533" t="s">
        <v>39701</v>
      </c>
      <c r="X9533" t="s">
        <v>42683</v>
      </c>
    </row>
    <row r="9534" spans="1:24">
      <c r="A9534">
        <f>HYPERLINK("https://www.philgeps.gov.ph/GEPSNONPILOT/Tender/SplashBidNoticeAbstractUI.aspx?menuIndex=3&amp;refID=7176133&amp;Result=3","7176133")</f>
        <v>0</v>
      </c>
      <c r="B9534" t="s">
        <v>2837</v>
      </c>
      <c r="C9534" t="s">
        <v>12625</v>
      </c>
      <c r="D9534" t="s">
        <v>17168</v>
      </c>
      <c r="E9534" t="s">
        <v>25407</v>
      </c>
      <c r="F9534" t="s">
        <v>29372</v>
      </c>
      <c r="G9534" t="s">
        <v>29380</v>
      </c>
      <c r="H9534" t="s">
        <v>11048</v>
      </c>
      <c r="I9534" t="s">
        <v>5383</v>
      </c>
      <c r="J9534" t="s">
        <v>35611</v>
      </c>
      <c r="K9534" t="s">
        <v>38487</v>
      </c>
      <c r="M9534" t="s">
        <v>41829</v>
      </c>
      <c r="N9534" t="s">
        <v>42669</v>
      </c>
      <c r="O9534" t="s">
        <v>42670</v>
      </c>
      <c r="P9534">
        <v>0</v>
      </c>
      <c r="Q9534">
        <v>3</v>
      </c>
      <c r="R9534" t="s">
        <v>42682</v>
      </c>
      <c r="S9534" t="s">
        <v>42984</v>
      </c>
      <c r="T9534" t="s">
        <v>44368</v>
      </c>
      <c r="U9534" t="s">
        <v>52621</v>
      </c>
      <c r="W9534" t="s">
        <v>41829</v>
      </c>
      <c r="X9534" t="s">
        <v>42683</v>
      </c>
    </row>
    <row r="9535" spans="1:24">
      <c r="A9535">
        <f>HYPERLINK("https://www.philgeps.gov.ph/GEPSNONPILOT/Tender/SplashBidNoticeAbstractUI.aspx?menuIndex=3&amp;refID=7175952&amp;Result=3","7175952")</f>
        <v>0</v>
      </c>
      <c r="B9535" t="s">
        <v>2837</v>
      </c>
      <c r="C9535" t="s">
        <v>12626</v>
      </c>
      <c r="D9535" t="s">
        <v>17168</v>
      </c>
      <c r="E9535" t="s">
        <v>25408</v>
      </c>
      <c r="F9535" t="s">
        <v>29372</v>
      </c>
      <c r="G9535" t="s">
        <v>29380</v>
      </c>
      <c r="H9535" t="s">
        <v>11048</v>
      </c>
      <c r="I9535" t="s">
        <v>29417</v>
      </c>
      <c r="J9535" t="s">
        <v>35612</v>
      </c>
      <c r="K9535" t="s">
        <v>38485</v>
      </c>
      <c r="M9535" t="s">
        <v>41829</v>
      </c>
      <c r="N9535" t="s">
        <v>42669</v>
      </c>
      <c r="O9535" t="s">
        <v>42670</v>
      </c>
      <c r="P9535">
        <v>0</v>
      </c>
      <c r="Q9535">
        <v>9</v>
      </c>
      <c r="R9535" t="s">
        <v>42682</v>
      </c>
      <c r="S9535" t="s">
        <v>42984</v>
      </c>
      <c r="T9535" t="s">
        <v>44355</v>
      </c>
      <c r="U9535" t="s">
        <v>52622</v>
      </c>
      <c r="W9535" t="s">
        <v>41829</v>
      </c>
      <c r="X9535" t="s">
        <v>42683</v>
      </c>
    </row>
    <row r="9536" spans="1:24">
      <c r="A9536">
        <f>HYPERLINK("https://www.philgeps.gov.ph/GEPSNONPILOT/Tender/SplashBidNoticeAbstractUI.aspx?menuIndex=3&amp;refID=7175878&amp;Result=3","7175878")</f>
        <v>0</v>
      </c>
      <c r="B9536" t="s">
        <v>49</v>
      </c>
      <c r="C9536" t="s">
        <v>12627</v>
      </c>
      <c r="D9536" t="s">
        <v>17156</v>
      </c>
      <c r="E9536" t="s">
        <v>25409</v>
      </c>
      <c r="F9536" t="s">
        <v>29372</v>
      </c>
      <c r="G9536" t="s">
        <v>29379</v>
      </c>
      <c r="H9536" t="s">
        <v>11048</v>
      </c>
      <c r="I9536" t="s">
        <v>3670</v>
      </c>
      <c r="J9536" t="s">
        <v>35613</v>
      </c>
      <c r="K9536" t="s">
        <v>38510</v>
      </c>
      <c r="L9536" t="s">
        <v>49</v>
      </c>
      <c r="M9536" t="s">
        <v>38802</v>
      </c>
      <c r="N9536" t="s">
        <v>42669</v>
      </c>
      <c r="O9536" t="s">
        <v>42670</v>
      </c>
      <c r="P9536">
        <v>0</v>
      </c>
      <c r="Q9536">
        <v>2</v>
      </c>
      <c r="R9536" t="s">
        <v>42682</v>
      </c>
      <c r="S9536" t="s">
        <v>42984</v>
      </c>
      <c r="T9536" t="s">
        <v>44441</v>
      </c>
      <c r="U9536" t="s">
        <v>45276</v>
      </c>
      <c r="W9536" t="s">
        <v>38802</v>
      </c>
      <c r="X9536" t="s">
        <v>42683</v>
      </c>
    </row>
    <row r="9537" spans="1:24">
      <c r="A9537">
        <f>HYPERLINK("https://www.philgeps.gov.ph/GEPSNONPILOT/Tender/SplashBidNoticeAbstractUI.aspx?menuIndex=3&amp;refID=7176307&amp;Result=3","7176307")</f>
        <v>0</v>
      </c>
      <c r="B9537" t="s">
        <v>1460</v>
      </c>
      <c r="C9537" t="s">
        <v>12628</v>
      </c>
      <c r="D9537" t="s">
        <v>17166</v>
      </c>
      <c r="E9537" t="s">
        <v>25410</v>
      </c>
      <c r="F9537" t="s">
        <v>29372</v>
      </c>
      <c r="G9537" t="s">
        <v>29383</v>
      </c>
      <c r="H9537" t="s">
        <v>11048</v>
      </c>
      <c r="I9537" t="s">
        <v>14920</v>
      </c>
      <c r="J9537" t="s">
        <v>29619</v>
      </c>
      <c r="K9537" t="s">
        <v>38491</v>
      </c>
      <c r="M9537" t="s">
        <v>41789</v>
      </c>
      <c r="N9537" t="s">
        <v>42669</v>
      </c>
      <c r="O9537" t="s">
        <v>42670</v>
      </c>
      <c r="P9537">
        <v>0</v>
      </c>
      <c r="Q9537">
        <v>2</v>
      </c>
      <c r="R9537" t="s">
        <v>42682</v>
      </c>
      <c r="S9537" t="s">
        <v>42984</v>
      </c>
      <c r="T9537" t="s">
        <v>44651</v>
      </c>
      <c r="U9537" t="s">
        <v>52623</v>
      </c>
      <c r="W9537" t="s">
        <v>41789</v>
      </c>
      <c r="X9537" t="s">
        <v>42683</v>
      </c>
    </row>
    <row r="9538" spans="1:24">
      <c r="A9538">
        <f>HYPERLINK("https://www.philgeps.gov.ph/GEPSNONPILOT/Tender/SplashBidNoticeAbstractUI.aspx?menuIndex=3&amp;refID=7176163&amp;Result=3","7176163")</f>
        <v>0</v>
      </c>
      <c r="B9538" t="s">
        <v>2462</v>
      </c>
      <c r="C9538" t="s">
        <v>12629</v>
      </c>
      <c r="D9538" t="s">
        <v>17141</v>
      </c>
      <c r="E9538" t="s">
        <v>25411</v>
      </c>
      <c r="F9538" t="s">
        <v>29372</v>
      </c>
      <c r="G9538" t="s">
        <v>29379</v>
      </c>
      <c r="H9538" t="s">
        <v>29390</v>
      </c>
      <c r="I9538" t="s">
        <v>29391</v>
      </c>
      <c r="J9538" t="s">
        <v>30302</v>
      </c>
      <c r="K9538" t="s">
        <v>38603</v>
      </c>
      <c r="M9538" t="s">
        <v>41410</v>
      </c>
      <c r="N9538" t="s">
        <v>42669</v>
      </c>
      <c r="O9538" t="s">
        <v>42670</v>
      </c>
      <c r="P9538">
        <v>0</v>
      </c>
      <c r="Q9538">
        <v>4</v>
      </c>
      <c r="R9538" t="s">
        <v>42682</v>
      </c>
      <c r="S9538" t="s">
        <v>42984</v>
      </c>
      <c r="T9538" t="s">
        <v>44456</v>
      </c>
      <c r="U9538" t="s">
        <v>52624</v>
      </c>
      <c r="W9538" t="s">
        <v>41410</v>
      </c>
      <c r="X9538" t="s">
        <v>42683</v>
      </c>
    </row>
    <row r="9539" spans="1:24">
      <c r="A9539">
        <f>HYPERLINK("https://www.philgeps.gov.ph/GEPSNONPILOT/Tender/SplashBidNoticeAbstractUI.aspx?menuIndex=3&amp;refID=7176301&amp;Result=3","7176301")</f>
        <v>0</v>
      </c>
      <c r="B9539" t="s">
        <v>2851</v>
      </c>
      <c r="C9539" t="s">
        <v>12630</v>
      </c>
      <c r="D9539" t="s">
        <v>17186</v>
      </c>
      <c r="E9539" t="s">
        <v>25412</v>
      </c>
      <c r="F9539" t="s">
        <v>29372</v>
      </c>
      <c r="G9539" t="s">
        <v>29380</v>
      </c>
      <c r="H9539" t="s">
        <v>11048</v>
      </c>
      <c r="I9539" t="s">
        <v>3670</v>
      </c>
      <c r="J9539" t="s">
        <v>29619</v>
      </c>
      <c r="K9539" t="s">
        <v>38534</v>
      </c>
      <c r="M9539" t="s">
        <v>41844</v>
      </c>
      <c r="N9539" t="s">
        <v>42669</v>
      </c>
      <c r="O9539" t="s">
        <v>42670</v>
      </c>
      <c r="P9539">
        <v>0</v>
      </c>
      <c r="Q9539">
        <v>1</v>
      </c>
      <c r="R9539" t="s">
        <v>42682</v>
      </c>
      <c r="S9539" t="s">
        <v>42984</v>
      </c>
      <c r="T9539" t="s">
        <v>44474</v>
      </c>
      <c r="U9539" t="s">
        <v>52625</v>
      </c>
      <c r="W9539" t="s">
        <v>58101</v>
      </c>
      <c r="X9539" t="s">
        <v>42683</v>
      </c>
    </row>
    <row r="9540" spans="1:24">
      <c r="A9540">
        <f>HYPERLINK("https://www.philgeps.gov.ph/GEPSNONPILOT/Tender/SplashBidNoticeAbstractUI.aspx?menuIndex=3&amp;refID=7176151&amp;Result=3","7176151")</f>
        <v>0</v>
      </c>
      <c r="B9540" t="s">
        <v>1460</v>
      </c>
      <c r="C9540" t="s">
        <v>12631</v>
      </c>
      <c r="D9540" t="s">
        <v>17166</v>
      </c>
      <c r="E9540" t="s">
        <v>25413</v>
      </c>
      <c r="F9540" t="s">
        <v>29372</v>
      </c>
      <c r="G9540" t="s">
        <v>29383</v>
      </c>
      <c r="H9540" t="s">
        <v>11048</v>
      </c>
      <c r="I9540" t="s">
        <v>5383</v>
      </c>
      <c r="J9540" t="s">
        <v>29915</v>
      </c>
      <c r="K9540" t="s">
        <v>38491</v>
      </c>
      <c r="M9540" t="s">
        <v>41789</v>
      </c>
      <c r="N9540" t="s">
        <v>42669</v>
      </c>
      <c r="O9540" t="s">
        <v>42670</v>
      </c>
      <c r="P9540">
        <v>0</v>
      </c>
      <c r="Q9540">
        <v>9</v>
      </c>
      <c r="R9540" t="s">
        <v>42682</v>
      </c>
      <c r="S9540" t="s">
        <v>42984</v>
      </c>
      <c r="T9540" t="s">
        <v>44651</v>
      </c>
      <c r="U9540" t="s">
        <v>52626</v>
      </c>
      <c r="W9540" t="s">
        <v>41789</v>
      </c>
      <c r="X9540" t="s">
        <v>42683</v>
      </c>
    </row>
    <row r="9541" spans="1:24">
      <c r="A9541">
        <f>HYPERLINK("https://www.philgeps.gov.ph/GEPSNONPILOT/Tender/SplashBidNoticeAbstractUI.aspx?menuIndex=3&amp;refID=7176123&amp;Result=3","7176123")</f>
        <v>0</v>
      </c>
      <c r="B9541" t="s">
        <v>2852</v>
      </c>
      <c r="C9541" t="s">
        <v>12632</v>
      </c>
      <c r="D9541" t="s">
        <v>17204</v>
      </c>
      <c r="E9541" t="s">
        <v>25414</v>
      </c>
      <c r="F9541" t="s">
        <v>29372</v>
      </c>
      <c r="G9541" t="s">
        <v>29380</v>
      </c>
      <c r="H9541" t="s">
        <v>11048</v>
      </c>
      <c r="I9541" t="s">
        <v>5383</v>
      </c>
      <c r="J9541" t="s">
        <v>35614</v>
      </c>
      <c r="K9541" t="s">
        <v>38510</v>
      </c>
      <c r="M9541" t="s">
        <v>41845</v>
      </c>
      <c r="N9541" t="s">
        <v>42669</v>
      </c>
      <c r="O9541" t="s">
        <v>42670</v>
      </c>
      <c r="P9541">
        <v>0</v>
      </c>
      <c r="Q9541">
        <v>4</v>
      </c>
      <c r="R9541" t="s">
        <v>42682</v>
      </c>
      <c r="S9541" t="s">
        <v>42984</v>
      </c>
      <c r="T9541" t="s">
        <v>44432</v>
      </c>
      <c r="U9541" t="s">
        <v>52627</v>
      </c>
      <c r="W9541" t="s">
        <v>41845</v>
      </c>
      <c r="X9541" t="s">
        <v>42683</v>
      </c>
    </row>
    <row r="9542" spans="1:24">
      <c r="A9542">
        <f>HYPERLINK("https://www.philgeps.gov.ph/GEPSNONPILOT/Tender/SplashBidNoticeAbstractUI.aspx?menuIndex=3&amp;refID=7176275&amp;Result=3","7176275")</f>
        <v>0</v>
      </c>
      <c r="B9542" t="s">
        <v>2835</v>
      </c>
      <c r="C9542" t="s">
        <v>12633</v>
      </c>
      <c r="D9542" t="s">
        <v>17158</v>
      </c>
      <c r="E9542" t="s">
        <v>25415</v>
      </c>
      <c r="F9542" t="s">
        <v>29372</v>
      </c>
      <c r="G9542" t="s">
        <v>29379</v>
      </c>
      <c r="H9542" t="s">
        <v>11048</v>
      </c>
      <c r="I9542" t="s">
        <v>29407</v>
      </c>
      <c r="J9542" t="s">
        <v>35615</v>
      </c>
      <c r="K9542" t="s">
        <v>38491</v>
      </c>
      <c r="M9542" t="s">
        <v>41827</v>
      </c>
      <c r="N9542" t="s">
        <v>42669</v>
      </c>
      <c r="O9542" t="s">
        <v>42670</v>
      </c>
      <c r="P9542">
        <v>0</v>
      </c>
      <c r="Q9542">
        <v>2</v>
      </c>
      <c r="R9542" t="s">
        <v>42682</v>
      </c>
      <c r="S9542" t="s">
        <v>42984</v>
      </c>
      <c r="T9542" t="s">
        <v>44491</v>
      </c>
      <c r="U9542" t="s">
        <v>52628</v>
      </c>
      <c r="W9542" t="s">
        <v>41827</v>
      </c>
      <c r="X9542" t="s">
        <v>42683</v>
      </c>
    </row>
    <row r="9543" spans="1:24">
      <c r="A9543">
        <f>HYPERLINK("https://www.philgeps.gov.ph/GEPSNONPILOT/Tender/SplashBidNoticeAbstractUI.aspx?menuIndex=3&amp;refID=7176109&amp;Result=3","7176109")</f>
        <v>0</v>
      </c>
      <c r="B9543" t="s">
        <v>2853</v>
      </c>
      <c r="C9543" t="s">
        <v>12634</v>
      </c>
      <c r="E9543" t="s">
        <v>25211</v>
      </c>
      <c r="F9543" t="s">
        <v>29372</v>
      </c>
      <c r="G9543" t="s">
        <v>29380</v>
      </c>
      <c r="H9543" t="s">
        <v>11048</v>
      </c>
      <c r="I9543" t="s">
        <v>29415</v>
      </c>
      <c r="J9543" t="s">
        <v>33073</v>
      </c>
      <c r="K9543" t="s">
        <v>38490</v>
      </c>
      <c r="M9543" t="s">
        <v>41846</v>
      </c>
      <c r="N9543" t="s">
        <v>42669</v>
      </c>
      <c r="O9543" t="s">
        <v>42670</v>
      </c>
      <c r="P9543">
        <v>0</v>
      </c>
      <c r="Q9543">
        <v>3</v>
      </c>
      <c r="R9543" t="s">
        <v>42682</v>
      </c>
      <c r="S9543" t="s">
        <v>42984</v>
      </c>
      <c r="T9543" t="s">
        <v>44525</v>
      </c>
      <c r="U9543" t="s">
        <v>52629</v>
      </c>
      <c r="W9543" t="s">
        <v>41846</v>
      </c>
      <c r="X9543" t="s">
        <v>42683</v>
      </c>
    </row>
    <row r="9544" spans="1:24">
      <c r="A9544">
        <f>HYPERLINK("https://www.philgeps.gov.ph/GEPSNONPILOT/Tender/SplashBidNoticeAbstractUI.aspx?menuIndex=3&amp;refID=7176264&amp;Result=3","7176264")</f>
        <v>0</v>
      </c>
      <c r="B9544" t="s">
        <v>2854</v>
      </c>
      <c r="C9544" t="s">
        <v>12635</v>
      </c>
      <c r="D9544" t="s">
        <v>17215</v>
      </c>
      <c r="E9544" t="s">
        <v>25416</v>
      </c>
      <c r="F9544" t="s">
        <v>29372</v>
      </c>
      <c r="G9544" t="s">
        <v>29380</v>
      </c>
      <c r="H9544" t="s">
        <v>11048</v>
      </c>
      <c r="I9544" t="s">
        <v>5383</v>
      </c>
      <c r="J9544" t="s">
        <v>35616</v>
      </c>
      <c r="K9544" t="s">
        <v>38488</v>
      </c>
      <c r="M9544" t="s">
        <v>41847</v>
      </c>
      <c r="N9544" t="s">
        <v>42669</v>
      </c>
      <c r="O9544" t="s">
        <v>42670</v>
      </c>
      <c r="Q9544">
        <v>5</v>
      </c>
      <c r="R9544" t="s">
        <v>42682</v>
      </c>
      <c r="S9544" t="s">
        <v>43028</v>
      </c>
      <c r="T9544" t="s">
        <v>44355</v>
      </c>
      <c r="U9544" t="s">
        <v>52630</v>
      </c>
      <c r="W9544" t="s">
        <v>41847</v>
      </c>
      <c r="X9544" t="s">
        <v>42683</v>
      </c>
    </row>
    <row r="9545" spans="1:24">
      <c r="A9545">
        <f>HYPERLINK("https://www.philgeps.gov.ph/GEPSNONPILOT/Tender/SplashBidNoticeAbstractUI.aspx?menuIndex=3&amp;refID=7176255&amp;Result=3","7176255")</f>
        <v>0</v>
      </c>
      <c r="B9545" t="s">
        <v>2047</v>
      </c>
      <c r="C9545" t="s">
        <v>12636</v>
      </c>
      <c r="D9545" t="s">
        <v>17189</v>
      </c>
      <c r="E9545" t="s">
        <v>25417</v>
      </c>
      <c r="F9545" t="s">
        <v>29372</v>
      </c>
      <c r="G9545" t="s">
        <v>29380</v>
      </c>
      <c r="H9545" t="s">
        <v>11048</v>
      </c>
      <c r="I9545" t="s">
        <v>29451</v>
      </c>
      <c r="J9545" t="s">
        <v>33591</v>
      </c>
      <c r="K9545" t="s">
        <v>38488</v>
      </c>
      <c r="M9545" t="s">
        <v>41826</v>
      </c>
      <c r="N9545" t="s">
        <v>42669</v>
      </c>
      <c r="O9545" t="s">
        <v>42670</v>
      </c>
      <c r="P9545">
        <v>0</v>
      </c>
      <c r="Q9545">
        <v>1</v>
      </c>
      <c r="R9545" t="s">
        <v>42682</v>
      </c>
      <c r="S9545" t="s">
        <v>42984</v>
      </c>
      <c r="T9545" t="s">
        <v>44631</v>
      </c>
      <c r="U9545" t="s">
        <v>52631</v>
      </c>
      <c r="W9545" t="s">
        <v>41826</v>
      </c>
      <c r="X9545" t="s">
        <v>42683</v>
      </c>
    </row>
    <row r="9546" spans="1:24">
      <c r="A9546">
        <f>HYPERLINK("https://www.philgeps.gov.ph/GEPSNONPILOT/Tender/SplashBidNoticeAbstractUI.aspx?menuIndex=3&amp;refID=7176306&amp;Result=3","7176306")</f>
        <v>0</v>
      </c>
      <c r="B9546" t="s">
        <v>2481</v>
      </c>
      <c r="C9546" t="s">
        <v>5654</v>
      </c>
      <c r="D9546" t="s">
        <v>17151</v>
      </c>
      <c r="E9546" t="s">
        <v>25418</v>
      </c>
      <c r="F9546" t="s">
        <v>29372</v>
      </c>
      <c r="G9546" t="s">
        <v>29379</v>
      </c>
      <c r="H9546" t="s">
        <v>11048</v>
      </c>
      <c r="I9546" t="s">
        <v>29398</v>
      </c>
      <c r="J9546" t="s">
        <v>33676</v>
      </c>
      <c r="K9546" t="s">
        <v>38485</v>
      </c>
      <c r="M9546" t="s">
        <v>41848</v>
      </c>
      <c r="N9546" t="s">
        <v>42669</v>
      </c>
      <c r="O9546" t="s">
        <v>42670</v>
      </c>
      <c r="P9546">
        <v>0</v>
      </c>
      <c r="Q9546">
        <v>6</v>
      </c>
      <c r="R9546" t="s">
        <v>42682</v>
      </c>
      <c r="S9546" t="s">
        <v>42984</v>
      </c>
      <c r="T9546" t="s">
        <v>44468</v>
      </c>
      <c r="U9546" t="s">
        <v>52632</v>
      </c>
      <c r="W9546" t="s">
        <v>41848</v>
      </c>
      <c r="X9546" t="s">
        <v>42683</v>
      </c>
    </row>
    <row r="9547" spans="1:24">
      <c r="A9547">
        <f>HYPERLINK("https://www.philgeps.gov.ph/GEPSNONPILOT/Tender/SplashBidNoticeAbstractUI.aspx?menuIndex=3&amp;refID=7176029&amp;Result=3","7176029")</f>
        <v>0</v>
      </c>
      <c r="B9547" t="s">
        <v>2855</v>
      </c>
      <c r="C9547" t="s">
        <v>10128</v>
      </c>
      <c r="D9547" t="s">
        <v>17141</v>
      </c>
      <c r="E9547" t="s">
        <v>25419</v>
      </c>
      <c r="F9547" t="s">
        <v>29373</v>
      </c>
      <c r="G9547" t="s">
        <v>29380</v>
      </c>
      <c r="H9547" t="s">
        <v>11048</v>
      </c>
      <c r="I9547" t="s">
        <v>3670</v>
      </c>
      <c r="J9547" t="s">
        <v>29587</v>
      </c>
      <c r="K9547" t="s">
        <v>38528</v>
      </c>
      <c r="M9547" t="s">
        <v>41849</v>
      </c>
      <c r="N9547" t="s">
        <v>42669</v>
      </c>
      <c r="O9547" t="s">
        <v>42670</v>
      </c>
      <c r="P9547">
        <v>0</v>
      </c>
      <c r="Q9547">
        <v>3</v>
      </c>
      <c r="R9547" t="s">
        <v>42682</v>
      </c>
      <c r="S9547" t="s">
        <v>42984</v>
      </c>
      <c r="T9547" t="s">
        <v>44525</v>
      </c>
      <c r="U9547" t="s">
        <v>52633</v>
      </c>
      <c r="V9547" t="s">
        <v>57423</v>
      </c>
      <c r="W9547" t="s">
        <v>41849</v>
      </c>
      <c r="X9547" t="s">
        <v>42683</v>
      </c>
    </row>
    <row r="9548" spans="1:24">
      <c r="A9548">
        <f>HYPERLINK("https://www.philgeps.gov.ph/GEPSNONPILOT/Tender/SplashBidNoticeAbstractUI.aspx?menuIndex=3&amp;refID=7176221&amp;Result=3","7176221")</f>
        <v>0</v>
      </c>
      <c r="B9548" t="s">
        <v>2856</v>
      </c>
      <c r="C9548" t="s">
        <v>12637</v>
      </c>
      <c r="D9548" t="s">
        <v>17197</v>
      </c>
      <c r="E9548" t="s">
        <v>25420</v>
      </c>
      <c r="F9548" t="s">
        <v>29372</v>
      </c>
      <c r="G9548" t="s">
        <v>29380</v>
      </c>
      <c r="H9548" t="s">
        <v>11048</v>
      </c>
      <c r="I9548" t="s">
        <v>29415</v>
      </c>
      <c r="J9548" t="s">
        <v>35617</v>
      </c>
      <c r="K9548" t="s">
        <v>38491</v>
      </c>
      <c r="M9548" t="s">
        <v>41850</v>
      </c>
      <c r="N9548" t="s">
        <v>42669</v>
      </c>
      <c r="O9548" t="s">
        <v>42670</v>
      </c>
      <c r="P9548">
        <v>0</v>
      </c>
      <c r="Q9548">
        <v>5</v>
      </c>
      <c r="R9548" t="s">
        <v>42682</v>
      </c>
      <c r="S9548" t="s">
        <v>42984</v>
      </c>
      <c r="T9548" t="s">
        <v>44384</v>
      </c>
      <c r="U9548" t="s">
        <v>52634</v>
      </c>
      <c r="V9548" t="s">
        <v>57424</v>
      </c>
      <c r="W9548" t="s">
        <v>41850</v>
      </c>
      <c r="X9548" t="s">
        <v>42683</v>
      </c>
    </row>
    <row r="9549" spans="1:24">
      <c r="A9549">
        <f>HYPERLINK("https://www.philgeps.gov.ph/GEPSNONPILOT/Tender/SplashBidNoticeAbstractUI.aspx?menuIndex=3&amp;refID=7176219&amp;Result=3","7176219")</f>
        <v>0</v>
      </c>
      <c r="B9549" t="s">
        <v>1466</v>
      </c>
      <c r="C9549" t="s">
        <v>12638</v>
      </c>
      <c r="E9549" t="s">
        <v>25421</v>
      </c>
      <c r="F9549" t="s">
        <v>29372</v>
      </c>
      <c r="G9549" t="s">
        <v>29380</v>
      </c>
      <c r="H9549" t="s">
        <v>11048</v>
      </c>
      <c r="I9549" t="s">
        <v>29393</v>
      </c>
      <c r="J9549" t="s">
        <v>35618</v>
      </c>
      <c r="K9549" t="s">
        <v>38490</v>
      </c>
      <c r="M9549" t="s">
        <v>41524</v>
      </c>
      <c r="N9549" t="s">
        <v>42669</v>
      </c>
      <c r="O9549" t="s">
        <v>42670</v>
      </c>
      <c r="P9549">
        <v>0</v>
      </c>
      <c r="Q9549">
        <v>0</v>
      </c>
      <c r="R9549" t="s">
        <v>42682</v>
      </c>
      <c r="S9549" t="s">
        <v>42984</v>
      </c>
      <c r="T9549" t="s">
        <v>44432</v>
      </c>
      <c r="U9549" t="s">
        <v>52635</v>
      </c>
      <c r="W9549" t="s">
        <v>41524</v>
      </c>
      <c r="X9549" t="s">
        <v>42683</v>
      </c>
    </row>
    <row r="9550" spans="1:24">
      <c r="A9550">
        <f>HYPERLINK("https://www.philgeps.gov.ph/GEPSNONPILOT/Tender/SplashBidNoticeAbstractUI.aspx?menuIndex=3&amp;refID=7176216&amp;Result=3","7176216")</f>
        <v>0</v>
      </c>
      <c r="B9550" t="s">
        <v>1416</v>
      </c>
      <c r="C9550" t="s">
        <v>12639</v>
      </c>
      <c r="D9550" t="s">
        <v>17202</v>
      </c>
      <c r="E9550" t="s">
        <v>25422</v>
      </c>
      <c r="F9550" t="s">
        <v>29372</v>
      </c>
      <c r="G9550" t="s">
        <v>29380</v>
      </c>
      <c r="H9550" t="s">
        <v>11048</v>
      </c>
      <c r="I9550" t="s">
        <v>10408</v>
      </c>
      <c r="J9550" t="s">
        <v>35619</v>
      </c>
      <c r="K9550" t="s">
        <v>38541</v>
      </c>
      <c r="M9550" t="s">
        <v>40255</v>
      </c>
      <c r="N9550" t="s">
        <v>42669</v>
      </c>
      <c r="O9550" t="s">
        <v>42670</v>
      </c>
      <c r="Q9550">
        <v>1</v>
      </c>
      <c r="R9550" t="s">
        <v>42682</v>
      </c>
      <c r="S9550" t="s">
        <v>43029</v>
      </c>
      <c r="T9550" t="s">
        <v>44488</v>
      </c>
      <c r="U9550" t="s">
        <v>52618</v>
      </c>
      <c r="V9550" t="s">
        <v>56748</v>
      </c>
      <c r="W9550" t="s">
        <v>40255</v>
      </c>
      <c r="X9550" t="s">
        <v>42683</v>
      </c>
    </row>
    <row r="9551" spans="1:24">
      <c r="A9551">
        <f>HYPERLINK("https://www.philgeps.gov.ph/GEPSNONPILOT/Tender/SplashBidNoticeAbstractUI.aspx?menuIndex=3&amp;refID=7176283&amp;Result=3","7176283")</f>
        <v>0</v>
      </c>
      <c r="B9551" t="s">
        <v>1466</v>
      </c>
      <c r="C9551" t="s">
        <v>12640</v>
      </c>
      <c r="E9551" t="s">
        <v>25423</v>
      </c>
      <c r="F9551" t="s">
        <v>29372</v>
      </c>
      <c r="G9551" t="s">
        <v>29380</v>
      </c>
      <c r="H9551" t="s">
        <v>11048</v>
      </c>
      <c r="I9551" t="s">
        <v>3670</v>
      </c>
      <c r="J9551" t="s">
        <v>29694</v>
      </c>
      <c r="K9551" t="s">
        <v>38490</v>
      </c>
      <c r="M9551" t="s">
        <v>41524</v>
      </c>
      <c r="N9551" t="s">
        <v>42669</v>
      </c>
      <c r="O9551" t="s">
        <v>42670</v>
      </c>
      <c r="P9551">
        <v>0</v>
      </c>
      <c r="Q9551">
        <v>1</v>
      </c>
      <c r="R9551" t="s">
        <v>42682</v>
      </c>
      <c r="S9551" t="s">
        <v>42984</v>
      </c>
      <c r="T9551" t="s">
        <v>44432</v>
      </c>
      <c r="U9551" t="s">
        <v>52636</v>
      </c>
      <c r="W9551" t="s">
        <v>41524</v>
      </c>
      <c r="X9551" t="s">
        <v>42683</v>
      </c>
    </row>
    <row r="9552" spans="1:24">
      <c r="A9552">
        <f>HYPERLINK("https://www.philgeps.gov.ph/GEPSNONPILOT/Tender/SplashBidNoticeAbstractUI.aspx?menuIndex=3&amp;refID=7176209&amp;Result=3","7176209")</f>
        <v>0</v>
      </c>
      <c r="B9552" t="s">
        <v>1460</v>
      </c>
      <c r="C9552" t="s">
        <v>12641</v>
      </c>
      <c r="D9552" t="s">
        <v>17166</v>
      </c>
      <c r="E9552" t="s">
        <v>25424</v>
      </c>
      <c r="F9552" t="s">
        <v>29372</v>
      </c>
      <c r="G9552" t="s">
        <v>29383</v>
      </c>
      <c r="H9552" t="s">
        <v>11048</v>
      </c>
      <c r="I9552" t="s">
        <v>29407</v>
      </c>
      <c r="J9552" t="s">
        <v>35620</v>
      </c>
      <c r="K9552" t="s">
        <v>38491</v>
      </c>
      <c r="M9552" t="s">
        <v>41789</v>
      </c>
      <c r="N9552" t="s">
        <v>42669</v>
      </c>
      <c r="O9552" t="s">
        <v>42670</v>
      </c>
      <c r="P9552">
        <v>0</v>
      </c>
      <c r="Q9552">
        <v>5</v>
      </c>
      <c r="R9552" t="s">
        <v>42682</v>
      </c>
      <c r="S9552" t="s">
        <v>42984</v>
      </c>
      <c r="T9552" t="s">
        <v>44651</v>
      </c>
      <c r="U9552" t="s">
        <v>52637</v>
      </c>
      <c r="W9552" t="s">
        <v>41789</v>
      </c>
      <c r="X9552" t="s">
        <v>42683</v>
      </c>
    </row>
    <row r="9553" spans="1:24">
      <c r="A9553">
        <f>HYPERLINK("https://www.philgeps.gov.ph/GEPSNONPILOT/Tender/SplashBidNoticeAbstractUI.aspx?menuIndex=3&amp;refID=7176087&amp;Result=3","7176087")</f>
        <v>0</v>
      </c>
      <c r="B9553" t="s">
        <v>2857</v>
      </c>
      <c r="C9553" t="s">
        <v>12642</v>
      </c>
      <c r="D9553" t="s">
        <v>17141</v>
      </c>
      <c r="E9553" t="s">
        <v>25425</v>
      </c>
      <c r="F9553" t="s">
        <v>29372</v>
      </c>
      <c r="G9553" t="s">
        <v>29380</v>
      </c>
      <c r="H9553" t="s">
        <v>29390</v>
      </c>
      <c r="I9553" t="s">
        <v>29396</v>
      </c>
      <c r="J9553" t="s">
        <v>31498</v>
      </c>
      <c r="K9553" t="s">
        <v>38580</v>
      </c>
      <c r="M9553" t="s">
        <v>41851</v>
      </c>
      <c r="N9553" t="s">
        <v>42669</v>
      </c>
      <c r="O9553" t="s">
        <v>42670</v>
      </c>
      <c r="Q9553">
        <v>3</v>
      </c>
      <c r="R9553" t="s">
        <v>42682</v>
      </c>
      <c r="S9553" t="s">
        <v>43030</v>
      </c>
      <c r="T9553" t="s">
        <v>44354</v>
      </c>
      <c r="U9553" t="s">
        <v>52638</v>
      </c>
      <c r="V9553" t="s">
        <v>57425</v>
      </c>
      <c r="W9553" t="s">
        <v>41851</v>
      </c>
      <c r="X9553" t="s">
        <v>42683</v>
      </c>
    </row>
    <row r="9554" spans="1:24">
      <c r="A9554">
        <f>HYPERLINK("https://www.philgeps.gov.ph/GEPSNONPILOT/Tender/SplashBidNoticeAbstractUI.aspx?menuIndex=3&amp;refID=7176195&amp;Result=3","7176195")</f>
        <v>0</v>
      </c>
      <c r="B9554" t="s">
        <v>52</v>
      </c>
      <c r="C9554" t="s">
        <v>12643</v>
      </c>
      <c r="D9554" t="s">
        <v>17183</v>
      </c>
      <c r="E9554" t="s">
        <v>25426</v>
      </c>
      <c r="F9554" t="s">
        <v>29372</v>
      </c>
      <c r="G9554" t="s">
        <v>29379</v>
      </c>
      <c r="H9554" t="s">
        <v>11048</v>
      </c>
      <c r="I9554" t="s">
        <v>14920</v>
      </c>
      <c r="J9554" t="s">
        <v>29578</v>
      </c>
      <c r="K9554" t="s">
        <v>38522</v>
      </c>
      <c r="M9554" t="s">
        <v>40848</v>
      </c>
      <c r="N9554" t="s">
        <v>42669</v>
      </c>
      <c r="O9554" t="s">
        <v>42670</v>
      </c>
      <c r="Q9554">
        <v>4</v>
      </c>
      <c r="R9554" t="s">
        <v>42682</v>
      </c>
      <c r="S9554" t="s">
        <v>43031</v>
      </c>
      <c r="T9554" t="s">
        <v>44431</v>
      </c>
      <c r="U9554" t="s">
        <v>52639</v>
      </c>
      <c r="W9554" t="s">
        <v>40848</v>
      </c>
      <c r="X9554" t="s">
        <v>42683</v>
      </c>
    </row>
    <row r="9555" spans="1:24">
      <c r="A9555">
        <f>HYPERLINK("https://www.philgeps.gov.ph/GEPSNONPILOT/Tender/SplashBidNoticeAbstractUI.aspx?menuIndex=3&amp;refID=7176192&amp;Result=3","7176192")</f>
        <v>0</v>
      </c>
      <c r="B9555" t="s">
        <v>2844</v>
      </c>
      <c r="C9555" t="s">
        <v>12644</v>
      </c>
      <c r="D9555" t="s">
        <v>17171</v>
      </c>
      <c r="E9555" t="s">
        <v>25427</v>
      </c>
      <c r="F9555" t="s">
        <v>29372</v>
      </c>
      <c r="G9555" t="s">
        <v>29380</v>
      </c>
      <c r="H9555" t="s">
        <v>29391</v>
      </c>
      <c r="I9555" t="s">
        <v>29391</v>
      </c>
      <c r="J9555" t="s">
        <v>35621</v>
      </c>
      <c r="K9555" t="s">
        <v>38488</v>
      </c>
      <c r="M9555" t="s">
        <v>41837</v>
      </c>
      <c r="N9555" t="s">
        <v>42669</v>
      </c>
      <c r="O9555" t="s">
        <v>42670</v>
      </c>
      <c r="P9555">
        <v>0</v>
      </c>
      <c r="Q9555">
        <v>3</v>
      </c>
      <c r="R9555" t="s">
        <v>42682</v>
      </c>
      <c r="S9555" t="s">
        <v>42984</v>
      </c>
      <c r="T9555" t="s">
        <v>44779</v>
      </c>
      <c r="U9555" t="s">
        <v>52640</v>
      </c>
      <c r="W9555" t="s">
        <v>41837</v>
      </c>
      <c r="X9555" t="s">
        <v>42683</v>
      </c>
    </row>
    <row r="9556" spans="1:24">
      <c r="A9556">
        <f>HYPERLINK("https://www.philgeps.gov.ph/GEPSNONPILOT/Tender/SplashBidNoticeAbstractUI.aspx?menuIndex=3&amp;refID=7176205&amp;Result=3","7176205")</f>
        <v>0</v>
      </c>
      <c r="B9556" t="s">
        <v>2858</v>
      </c>
      <c r="C9556" t="s">
        <v>12645</v>
      </c>
      <c r="D9556" t="s">
        <v>17154</v>
      </c>
      <c r="E9556" t="s">
        <v>25428</v>
      </c>
      <c r="F9556" t="s">
        <v>29372</v>
      </c>
      <c r="G9556" t="s">
        <v>29380</v>
      </c>
      <c r="H9556" t="s">
        <v>29390</v>
      </c>
      <c r="I9556" t="s">
        <v>29392</v>
      </c>
      <c r="J9556" t="s">
        <v>34195</v>
      </c>
      <c r="K9556" t="s">
        <v>38580</v>
      </c>
      <c r="M9556" t="s">
        <v>41852</v>
      </c>
      <c r="N9556" t="s">
        <v>42669</v>
      </c>
      <c r="O9556" t="s">
        <v>42670</v>
      </c>
      <c r="P9556">
        <v>0</v>
      </c>
      <c r="Q9556">
        <v>8</v>
      </c>
      <c r="R9556" t="s">
        <v>42682</v>
      </c>
      <c r="S9556" t="s">
        <v>42984</v>
      </c>
      <c r="T9556" t="s">
        <v>44476</v>
      </c>
      <c r="U9556" t="s">
        <v>52641</v>
      </c>
      <c r="W9556" t="s">
        <v>41852</v>
      </c>
      <c r="X9556" t="s">
        <v>42683</v>
      </c>
    </row>
    <row r="9557" spans="1:24">
      <c r="A9557">
        <f>HYPERLINK("https://www.philgeps.gov.ph/GEPSNONPILOT/Tender/SplashBidNoticeAbstractUI.aspx?menuIndex=3&amp;refID=7176224&amp;Result=3","7176224")</f>
        <v>0</v>
      </c>
      <c r="B9557" t="s">
        <v>2841</v>
      </c>
      <c r="C9557" t="s">
        <v>12646</v>
      </c>
      <c r="D9557" t="s">
        <v>17169</v>
      </c>
      <c r="E9557" t="s">
        <v>25429</v>
      </c>
      <c r="F9557" t="s">
        <v>29372</v>
      </c>
      <c r="G9557" t="s">
        <v>29380</v>
      </c>
      <c r="H9557" t="s">
        <v>29389</v>
      </c>
      <c r="I9557" t="s">
        <v>10408</v>
      </c>
      <c r="J9557" t="s">
        <v>35622</v>
      </c>
      <c r="K9557" t="s">
        <v>38496</v>
      </c>
      <c r="M9557" t="s">
        <v>41834</v>
      </c>
      <c r="N9557" t="s">
        <v>42669</v>
      </c>
      <c r="O9557" t="s">
        <v>42670</v>
      </c>
      <c r="P9557">
        <v>0</v>
      </c>
      <c r="Q9557">
        <v>2</v>
      </c>
      <c r="R9557" t="s">
        <v>42682</v>
      </c>
      <c r="S9557" t="s">
        <v>42984</v>
      </c>
      <c r="T9557" t="s">
        <v>44491</v>
      </c>
      <c r="U9557" t="s">
        <v>52642</v>
      </c>
      <c r="W9557" t="s">
        <v>41834</v>
      </c>
      <c r="X9557" t="s">
        <v>42683</v>
      </c>
    </row>
    <row r="9558" spans="1:24">
      <c r="A9558">
        <f>HYPERLINK("https://www.philgeps.gov.ph/GEPSNONPILOT/Tender/SplashBidNoticeAbstractUI.aspx?menuIndex=3&amp;refID=7176241&amp;Result=3","7176241")</f>
        <v>0</v>
      </c>
      <c r="B9558" t="s">
        <v>141</v>
      </c>
      <c r="C9558" t="s">
        <v>12647</v>
      </c>
      <c r="D9558" t="s">
        <v>17170</v>
      </c>
      <c r="E9558" t="s">
        <v>25430</v>
      </c>
      <c r="F9558" t="s">
        <v>29372</v>
      </c>
      <c r="G9558" t="s">
        <v>29380</v>
      </c>
      <c r="H9558" t="s">
        <v>29389</v>
      </c>
      <c r="I9558" t="s">
        <v>10408</v>
      </c>
      <c r="J9558" t="s">
        <v>35623</v>
      </c>
      <c r="K9558" t="s">
        <v>38515</v>
      </c>
      <c r="M9558" t="s">
        <v>41853</v>
      </c>
      <c r="N9558" t="s">
        <v>42669</v>
      </c>
      <c r="O9558" t="s">
        <v>42670</v>
      </c>
      <c r="Q9558">
        <v>1</v>
      </c>
      <c r="R9558" t="s">
        <v>42682</v>
      </c>
      <c r="S9558" t="s">
        <v>43032</v>
      </c>
      <c r="T9558" t="s">
        <v>44373</v>
      </c>
      <c r="U9558" t="s">
        <v>52643</v>
      </c>
      <c r="W9558" t="s">
        <v>41853</v>
      </c>
      <c r="X9558" t="s">
        <v>42683</v>
      </c>
    </row>
    <row r="9559" spans="1:24">
      <c r="A9559">
        <f>HYPERLINK("https://www.philgeps.gov.ph/GEPSNONPILOT/Tender/SplashBidNoticeAbstractUI.aspx?menuIndex=3&amp;refID=7176191&amp;Result=3","7176191")</f>
        <v>0</v>
      </c>
      <c r="B9559" t="s">
        <v>461</v>
      </c>
      <c r="C9559" t="s">
        <v>12648</v>
      </c>
      <c r="D9559" t="s">
        <v>17166</v>
      </c>
      <c r="E9559" t="s">
        <v>17648</v>
      </c>
      <c r="F9559" t="s">
        <v>29373</v>
      </c>
      <c r="G9559" t="s">
        <v>29380</v>
      </c>
      <c r="H9559" t="s">
        <v>29389</v>
      </c>
      <c r="I9559" t="s">
        <v>10408</v>
      </c>
      <c r="J9559" t="s">
        <v>29729</v>
      </c>
      <c r="K9559" t="s">
        <v>38485</v>
      </c>
      <c r="L9559" t="s">
        <v>461</v>
      </c>
      <c r="M9559" t="s">
        <v>39225</v>
      </c>
      <c r="N9559" t="s">
        <v>42669</v>
      </c>
      <c r="O9559" t="s">
        <v>42670</v>
      </c>
      <c r="P9559">
        <v>0</v>
      </c>
      <c r="Q9559">
        <v>1</v>
      </c>
      <c r="R9559" t="s">
        <v>42682</v>
      </c>
      <c r="S9559" t="s">
        <v>42984</v>
      </c>
      <c r="T9559" t="s">
        <v>44756</v>
      </c>
      <c r="U9559" t="s">
        <v>52644</v>
      </c>
      <c r="W9559" t="s">
        <v>39225</v>
      </c>
      <c r="X9559" t="s">
        <v>42683</v>
      </c>
    </row>
    <row r="9560" spans="1:24">
      <c r="A9560">
        <f>HYPERLINK("https://www.philgeps.gov.ph/GEPSNONPILOT/Tender/SplashBidNoticeAbstractUI.aspx?menuIndex=3&amp;refID=7175865&amp;Result=3","7175865")</f>
        <v>0</v>
      </c>
      <c r="B9560" t="s">
        <v>2044</v>
      </c>
      <c r="C9560" t="s">
        <v>12649</v>
      </c>
      <c r="D9560" t="s">
        <v>17170</v>
      </c>
      <c r="E9560" t="s">
        <v>25431</v>
      </c>
      <c r="F9560" t="s">
        <v>29372</v>
      </c>
      <c r="G9560" t="s">
        <v>29380</v>
      </c>
      <c r="H9560" t="s">
        <v>29389</v>
      </c>
      <c r="I9560" t="s">
        <v>10408</v>
      </c>
      <c r="J9560" t="s">
        <v>30161</v>
      </c>
      <c r="K9560" t="s">
        <v>38509</v>
      </c>
      <c r="M9560" t="s">
        <v>40941</v>
      </c>
      <c r="N9560" t="s">
        <v>42669</v>
      </c>
      <c r="O9560" t="s">
        <v>42670</v>
      </c>
      <c r="P9560">
        <v>0</v>
      </c>
      <c r="Q9560">
        <v>1</v>
      </c>
      <c r="R9560" t="s">
        <v>42682</v>
      </c>
      <c r="S9560" t="s">
        <v>42984</v>
      </c>
      <c r="T9560" t="s">
        <v>44391</v>
      </c>
      <c r="U9560" t="s">
        <v>52645</v>
      </c>
      <c r="W9560" t="s">
        <v>40941</v>
      </c>
      <c r="X9560" t="s">
        <v>42683</v>
      </c>
    </row>
    <row r="9561" spans="1:24">
      <c r="A9561">
        <f>HYPERLINK("https://www.philgeps.gov.ph/GEPSNONPILOT/Tender/SplashBidNoticeAbstractUI.aspx?menuIndex=3&amp;refID=7175858&amp;Result=3","7175858")</f>
        <v>0</v>
      </c>
      <c r="B9561" t="s">
        <v>1698</v>
      </c>
      <c r="C9561" t="s">
        <v>12650</v>
      </c>
      <c r="D9561" t="s">
        <v>17170</v>
      </c>
      <c r="E9561" t="s">
        <v>19215</v>
      </c>
      <c r="F9561" t="s">
        <v>29372</v>
      </c>
      <c r="G9561" t="s">
        <v>29380</v>
      </c>
      <c r="H9561" t="s">
        <v>29389</v>
      </c>
      <c r="I9561" t="s">
        <v>10408</v>
      </c>
      <c r="J9561" t="s">
        <v>29724</v>
      </c>
      <c r="K9561" t="s">
        <v>38496</v>
      </c>
      <c r="M9561" t="s">
        <v>40560</v>
      </c>
      <c r="N9561" t="s">
        <v>42669</v>
      </c>
      <c r="O9561" t="s">
        <v>42670</v>
      </c>
      <c r="P9561">
        <v>0</v>
      </c>
      <c r="Q9561">
        <v>0</v>
      </c>
      <c r="R9561" t="s">
        <v>42682</v>
      </c>
      <c r="S9561" t="s">
        <v>42984</v>
      </c>
      <c r="T9561" t="s">
        <v>44507</v>
      </c>
      <c r="U9561" t="s">
        <v>48673</v>
      </c>
      <c r="W9561" t="s">
        <v>40560</v>
      </c>
      <c r="X9561" t="s">
        <v>42683</v>
      </c>
    </row>
    <row r="9562" spans="1:24">
      <c r="A9562">
        <f>HYPERLINK("https://www.philgeps.gov.ph/GEPSNONPILOT/Tender/SplashBidNoticeAbstractUI.aspx?menuIndex=3&amp;refID=7175843&amp;Result=3","7175843")</f>
        <v>0</v>
      </c>
      <c r="B9562" t="s">
        <v>2218</v>
      </c>
      <c r="C9562" t="s">
        <v>12651</v>
      </c>
      <c r="D9562" t="s">
        <v>17188</v>
      </c>
      <c r="E9562" t="s">
        <v>25432</v>
      </c>
      <c r="F9562" t="s">
        <v>29372</v>
      </c>
      <c r="G9562" t="s">
        <v>29383</v>
      </c>
      <c r="H9562" t="s">
        <v>11048</v>
      </c>
      <c r="I9562" t="s">
        <v>29403</v>
      </c>
      <c r="J9562" t="s">
        <v>35624</v>
      </c>
      <c r="K9562" t="s">
        <v>38485</v>
      </c>
      <c r="M9562" t="s">
        <v>41136</v>
      </c>
      <c r="N9562" t="s">
        <v>42669</v>
      </c>
      <c r="O9562" t="s">
        <v>42670</v>
      </c>
      <c r="P9562">
        <v>0</v>
      </c>
      <c r="Q9562">
        <v>0</v>
      </c>
      <c r="R9562" t="s">
        <v>42682</v>
      </c>
      <c r="S9562" t="s">
        <v>42984</v>
      </c>
      <c r="T9562" t="s">
        <v>44488</v>
      </c>
      <c r="U9562" t="s">
        <v>52591</v>
      </c>
      <c r="W9562" t="s">
        <v>58073</v>
      </c>
      <c r="X9562" t="s">
        <v>42683</v>
      </c>
    </row>
    <row r="9563" spans="1:24">
      <c r="A9563">
        <f>HYPERLINK("https://www.philgeps.gov.ph/GEPSNONPILOT/Tender/SplashBidNoticeAbstractUI.aspx?menuIndex=3&amp;refID=7175836&amp;Result=3","7175836")</f>
        <v>0</v>
      </c>
      <c r="B9563" t="s">
        <v>1698</v>
      </c>
      <c r="C9563" t="s">
        <v>12652</v>
      </c>
      <c r="D9563" t="s">
        <v>17170</v>
      </c>
      <c r="E9563" t="s">
        <v>19153</v>
      </c>
      <c r="F9563" t="s">
        <v>29372</v>
      </c>
      <c r="G9563" t="s">
        <v>29380</v>
      </c>
      <c r="H9563" t="s">
        <v>29389</v>
      </c>
      <c r="I9563" t="s">
        <v>10408</v>
      </c>
      <c r="J9563" t="s">
        <v>35625</v>
      </c>
      <c r="K9563" t="s">
        <v>38495</v>
      </c>
      <c r="M9563" t="s">
        <v>40560</v>
      </c>
      <c r="N9563" t="s">
        <v>42669</v>
      </c>
      <c r="O9563" t="s">
        <v>42670</v>
      </c>
      <c r="P9563">
        <v>0</v>
      </c>
      <c r="Q9563">
        <v>0</v>
      </c>
      <c r="R9563" t="s">
        <v>42682</v>
      </c>
      <c r="S9563" t="s">
        <v>42984</v>
      </c>
      <c r="T9563" t="s">
        <v>44507</v>
      </c>
      <c r="U9563" t="s">
        <v>48673</v>
      </c>
      <c r="W9563" t="s">
        <v>40560</v>
      </c>
      <c r="X9563" t="s">
        <v>42683</v>
      </c>
    </row>
    <row r="9564" spans="1:24">
      <c r="A9564">
        <f>HYPERLINK("https://www.philgeps.gov.ph/GEPSNONPILOT/Tender/SplashBidNoticeAbstractUI.aspx?menuIndex=3&amp;refID=7175831&amp;Result=3","7175831")</f>
        <v>0</v>
      </c>
      <c r="B9564" t="s">
        <v>654</v>
      </c>
      <c r="C9564" t="s">
        <v>12653</v>
      </c>
      <c r="D9564" t="s">
        <v>17170</v>
      </c>
      <c r="E9564" t="s">
        <v>25433</v>
      </c>
      <c r="F9564" t="s">
        <v>29372</v>
      </c>
      <c r="G9564" t="s">
        <v>29380</v>
      </c>
      <c r="H9564" t="s">
        <v>11048</v>
      </c>
      <c r="I9564" t="s">
        <v>29414</v>
      </c>
      <c r="J9564" t="s">
        <v>35626</v>
      </c>
      <c r="K9564" t="s">
        <v>38487</v>
      </c>
      <c r="M9564" t="s">
        <v>39428</v>
      </c>
      <c r="N9564" t="s">
        <v>42669</v>
      </c>
      <c r="O9564" t="s">
        <v>42670</v>
      </c>
      <c r="P9564">
        <v>0</v>
      </c>
      <c r="Q9564">
        <v>11</v>
      </c>
      <c r="R9564" t="s">
        <v>42682</v>
      </c>
      <c r="S9564" t="s">
        <v>42984</v>
      </c>
      <c r="T9564" t="s">
        <v>44517</v>
      </c>
      <c r="U9564" t="s">
        <v>52646</v>
      </c>
      <c r="V9564" t="s">
        <v>56527</v>
      </c>
      <c r="W9564" t="s">
        <v>39428</v>
      </c>
      <c r="X9564" t="s">
        <v>42683</v>
      </c>
    </row>
    <row r="9565" spans="1:24">
      <c r="A9565">
        <f>HYPERLINK("https://www.philgeps.gov.ph/GEPSNONPILOT/Tender/SplashBidNoticeAbstractUI.aspx?menuIndex=3&amp;refID=7179568&amp;Result=3","7179568")</f>
        <v>0</v>
      </c>
      <c r="B9565" t="s">
        <v>1034</v>
      </c>
      <c r="C9565" t="s">
        <v>12654</v>
      </c>
      <c r="D9565" t="s">
        <v>17199</v>
      </c>
      <c r="E9565" t="s">
        <v>25434</v>
      </c>
      <c r="F9565" t="s">
        <v>29372</v>
      </c>
      <c r="G9565" t="s">
        <v>29380</v>
      </c>
      <c r="H9565" t="s">
        <v>11048</v>
      </c>
      <c r="I9565" t="s">
        <v>29400</v>
      </c>
      <c r="J9565" t="s">
        <v>35627</v>
      </c>
      <c r="K9565" t="s">
        <v>38491</v>
      </c>
      <c r="M9565" t="s">
        <v>39837</v>
      </c>
      <c r="N9565" t="s">
        <v>42669</v>
      </c>
      <c r="O9565" t="s">
        <v>42670</v>
      </c>
      <c r="Q9565">
        <v>15</v>
      </c>
      <c r="R9565" t="s">
        <v>42681</v>
      </c>
      <c r="S9565" t="s">
        <v>43033</v>
      </c>
      <c r="T9565" t="s">
        <v>44401</v>
      </c>
      <c r="U9565" t="s">
        <v>52277</v>
      </c>
      <c r="W9565" t="s">
        <v>58033</v>
      </c>
      <c r="X9565" t="s">
        <v>42682</v>
      </c>
    </row>
    <row r="9566" spans="1:24">
      <c r="A9566">
        <f>HYPERLINK("https://www.philgeps.gov.ph/GEPSNONPILOT/Tender/SplashBidNoticeAbstractUI.aspx?menuIndex=3&amp;refID=7179562&amp;Result=3","7179562")</f>
        <v>0</v>
      </c>
      <c r="B9566" t="s">
        <v>2732</v>
      </c>
      <c r="C9566" t="s">
        <v>4038</v>
      </c>
      <c r="D9566" t="s">
        <v>17185</v>
      </c>
      <c r="E9566" t="s">
        <v>25435</v>
      </c>
      <c r="F9566" t="s">
        <v>29372</v>
      </c>
      <c r="G9566" t="s">
        <v>29380</v>
      </c>
      <c r="H9566" t="s">
        <v>11048</v>
      </c>
      <c r="I9566" t="s">
        <v>3839</v>
      </c>
      <c r="J9566" t="s">
        <v>30026</v>
      </c>
      <c r="K9566" t="s">
        <v>38510</v>
      </c>
      <c r="M9566" t="s">
        <v>41715</v>
      </c>
      <c r="N9566" t="s">
        <v>42669</v>
      </c>
      <c r="O9566" t="s">
        <v>42670</v>
      </c>
      <c r="P9566">
        <v>0</v>
      </c>
      <c r="Q9566">
        <v>1</v>
      </c>
      <c r="R9566" t="s">
        <v>42681</v>
      </c>
      <c r="S9566" t="s">
        <v>42966</v>
      </c>
      <c r="T9566" t="s">
        <v>44432</v>
      </c>
      <c r="U9566" t="s">
        <v>52647</v>
      </c>
      <c r="W9566" t="s">
        <v>41715</v>
      </c>
      <c r="X9566" t="s">
        <v>42682</v>
      </c>
    </row>
    <row r="9567" spans="1:24">
      <c r="A9567">
        <f>HYPERLINK("https://www.philgeps.gov.ph/GEPSNONPILOT/Tender/SplashBidNoticeAbstractUI.aspx?menuIndex=3&amp;refID=7176461&amp;Result=3","7176461")</f>
        <v>0</v>
      </c>
      <c r="B9567" t="s">
        <v>681</v>
      </c>
      <c r="C9567" t="s">
        <v>12655</v>
      </c>
      <c r="D9567" t="s">
        <v>17160</v>
      </c>
      <c r="E9567" t="s">
        <v>25436</v>
      </c>
      <c r="F9567" t="s">
        <v>29372</v>
      </c>
      <c r="G9567" t="s">
        <v>29380</v>
      </c>
      <c r="H9567" t="s">
        <v>11048</v>
      </c>
      <c r="I9567" t="s">
        <v>3860</v>
      </c>
      <c r="J9567" t="s">
        <v>30815</v>
      </c>
      <c r="K9567" t="s">
        <v>38490</v>
      </c>
      <c r="M9567" t="s">
        <v>39457</v>
      </c>
      <c r="N9567" t="s">
        <v>42669</v>
      </c>
      <c r="O9567" t="s">
        <v>42670</v>
      </c>
      <c r="P9567">
        <v>0</v>
      </c>
      <c r="Q9567">
        <v>2</v>
      </c>
      <c r="R9567" t="s">
        <v>42682</v>
      </c>
      <c r="S9567" t="s">
        <v>42984</v>
      </c>
      <c r="T9567" t="s">
        <v>44510</v>
      </c>
      <c r="U9567" t="s">
        <v>52648</v>
      </c>
      <c r="W9567" t="s">
        <v>39457</v>
      </c>
      <c r="X9567" t="s">
        <v>42683</v>
      </c>
    </row>
    <row r="9568" spans="1:24">
      <c r="A9568">
        <f>HYPERLINK("https://www.philgeps.gov.ph/GEPSNONPILOT/Tender/SplashBidNoticeAbstractUI.aspx?menuIndex=3&amp;refID=7176188&amp;Result=3","7176188")</f>
        <v>0</v>
      </c>
      <c r="B9568" t="s">
        <v>1751</v>
      </c>
      <c r="C9568" t="s">
        <v>12656</v>
      </c>
      <c r="D9568" t="s">
        <v>17165</v>
      </c>
      <c r="E9568" t="s">
        <v>25437</v>
      </c>
      <c r="F9568" t="s">
        <v>29372</v>
      </c>
      <c r="G9568" t="s">
        <v>29380</v>
      </c>
      <c r="H9568" t="s">
        <v>11048</v>
      </c>
      <c r="I9568" t="s">
        <v>3670</v>
      </c>
      <c r="J9568" t="s">
        <v>29708</v>
      </c>
      <c r="K9568" t="s">
        <v>38488</v>
      </c>
      <c r="M9568" t="s">
        <v>40616</v>
      </c>
      <c r="N9568" t="s">
        <v>42669</v>
      </c>
      <c r="O9568" t="s">
        <v>42670</v>
      </c>
      <c r="P9568">
        <v>0</v>
      </c>
      <c r="Q9568">
        <v>0</v>
      </c>
      <c r="R9568" t="s">
        <v>42682</v>
      </c>
      <c r="S9568" t="s">
        <v>42984</v>
      </c>
      <c r="T9568" t="s">
        <v>44481</v>
      </c>
      <c r="U9568" t="s">
        <v>52649</v>
      </c>
      <c r="W9568" t="s">
        <v>40616</v>
      </c>
      <c r="X9568" t="s">
        <v>42683</v>
      </c>
    </row>
    <row r="9569" spans="1:24">
      <c r="A9569">
        <f>HYPERLINK("https://www.philgeps.gov.ph/GEPSNONPILOT/Tender/SplashBidNoticeAbstractUI.aspx?menuIndex=3&amp;refID=7176459&amp;Result=3","7176459")</f>
        <v>0</v>
      </c>
      <c r="B9569" t="s">
        <v>2859</v>
      </c>
      <c r="C9569" t="s">
        <v>12657</v>
      </c>
      <c r="D9569" t="s">
        <v>17212</v>
      </c>
      <c r="E9569" t="s">
        <v>25438</v>
      </c>
      <c r="F9569" t="s">
        <v>29372</v>
      </c>
      <c r="G9569" t="s">
        <v>29380</v>
      </c>
      <c r="H9569" t="s">
        <v>11048</v>
      </c>
      <c r="I9569" t="s">
        <v>10408</v>
      </c>
      <c r="J9569" t="s">
        <v>35628</v>
      </c>
      <c r="K9569" t="s">
        <v>38495</v>
      </c>
      <c r="M9569" t="s">
        <v>41854</v>
      </c>
      <c r="N9569" t="s">
        <v>42669</v>
      </c>
      <c r="O9569" t="s">
        <v>42670</v>
      </c>
      <c r="P9569">
        <v>0</v>
      </c>
      <c r="Q9569">
        <v>0</v>
      </c>
      <c r="R9569" t="s">
        <v>42682</v>
      </c>
      <c r="S9569" t="s">
        <v>42984</v>
      </c>
      <c r="T9569" t="s">
        <v>44438</v>
      </c>
      <c r="U9569" t="s">
        <v>52650</v>
      </c>
      <c r="W9569" t="s">
        <v>41854</v>
      </c>
      <c r="X9569" t="s">
        <v>42683</v>
      </c>
    </row>
    <row r="9570" spans="1:24">
      <c r="A9570">
        <f>HYPERLINK("https://www.philgeps.gov.ph/GEPSNONPILOT/Tender/SplashBidNoticeAbstractUI.aspx?menuIndex=3&amp;refID=7175857&amp;Result=3","7175857")</f>
        <v>0</v>
      </c>
      <c r="B9570" t="s">
        <v>2718</v>
      </c>
      <c r="C9570" t="s">
        <v>12658</v>
      </c>
      <c r="D9570" t="s">
        <v>17174</v>
      </c>
      <c r="E9570" t="s">
        <v>21148</v>
      </c>
      <c r="F9570" t="s">
        <v>29372</v>
      </c>
      <c r="G9570" t="s">
        <v>29380</v>
      </c>
      <c r="H9570" t="s">
        <v>11048</v>
      </c>
      <c r="I9570" t="s">
        <v>29466</v>
      </c>
      <c r="J9570" t="s">
        <v>30412</v>
      </c>
      <c r="K9570" t="s">
        <v>38496</v>
      </c>
      <c r="M9570" t="s">
        <v>41699</v>
      </c>
      <c r="N9570" t="s">
        <v>42669</v>
      </c>
      <c r="O9570" t="s">
        <v>42670</v>
      </c>
      <c r="P9570">
        <v>0</v>
      </c>
      <c r="Q9570">
        <v>5</v>
      </c>
      <c r="R9570" t="s">
        <v>42682</v>
      </c>
      <c r="S9570" t="s">
        <v>42984</v>
      </c>
      <c r="T9570" t="s">
        <v>44491</v>
      </c>
      <c r="U9570" t="s">
        <v>52651</v>
      </c>
      <c r="W9570" t="s">
        <v>41699</v>
      </c>
      <c r="X9570" t="s">
        <v>42683</v>
      </c>
    </row>
    <row r="9571" spans="1:24">
      <c r="A9571">
        <f>HYPERLINK("https://www.philgeps.gov.ph/GEPSNONPILOT/Tender/SplashBidNoticeAbstractUI.aspx?menuIndex=3&amp;refID=7176440&amp;Result=3","7176440")</f>
        <v>0</v>
      </c>
      <c r="B9571" t="s">
        <v>2844</v>
      </c>
      <c r="C9571" t="s">
        <v>12659</v>
      </c>
      <c r="D9571" t="s">
        <v>17171</v>
      </c>
      <c r="E9571" t="s">
        <v>25439</v>
      </c>
      <c r="F9571" t="s">
        <v>29372</v>
      </c>
      <c r="G9571" t="s">
        <v>29380</v>
      </c>
      <c r="H9571" t="s">
        <v>29391</v>
      </c>
      <c r="I9571" t="s">
        <v>29391</v>
      </c>
      <c r="J9571" t="s">
        <v>35629</v>
      </c>
      <c r="K9571" t="s">
        <v>38485</v>
      </c>
      <c r="M9571" t="s">
        <v>41837</v>
      </c>
      <c r="N9571" t="s">
        <v>42669</v>
      </c>
      <c r="O9571" t="s">
        <v>42670</v>
      </c>
      <c r="P9571">
        <v>0</v>
      </c>
      <c r="Q9571">
        <v>3</v>
      </c>
      <c r="R9571" t="s">
        <v>42682</v>
      </c>
      <c r="S9571" t="s">
        <v>42984</v>
      </c>
      <c r="T9571" t="s">
        <v>44779</v>
      </c>
      <c r="U9571" t="s">
        <v>52652</v>
      </c>
      <c r="W9571" t="s">
        <v>41837</v>
      </c>
      <c r="X9571" t="s">
        <v>42683</v>
      </c>
    </row>
    <row r="9572" spans="1:24">
      <c r="A9572">
        <f>HYPERLINK("https://www.philgeps.gov.ph/GEPSNONPILOT/Tender/SplashBidNoticeAbstractUI.aspx?menuIndex=3&amp;refID=7176200&amp;Result=3","7176200")</f>
        <v>0</v>
      </c>
      <c r="B9572" t="s">
        <v>1393</v>
      </c>
      <c r="C9572" t="s">
        <v>12660</v>
      </c>
      <c r="D9572" t="s">
        <v>17160</v>
      </c>
      <c r="E9572" t="s">
        <v>25440</v>
      </c>
      <c r="F9572" t="s">
        <v>29372</v>
      </c>
      <c r="G9572" t="s">
        <v>29380</v>
      </c>
      <c r="H9572" t="s">
        <v>11048</v>
      </c>
      <c r="I9572" t="s">
        <v>9469</v>
      </c>
      <c r="J9572" t="s">
        <v>31110</v>
      </c>
      <c r="K9572" t="s">
        <v>38485</v>
      </c>
      <c r="M9572" t="s">
        <v>40231</v>
      </c>
      <c r="N9572" t="s">
        <v>42669</v>
      </c>
      <c r="O9572" t="s">
        <v>42670</v>
      </c>
      <c r="P9572">
        <v>0</v>
      </c>
      <c r="Q9572">
        <v>4</v>
      </c>
      <c r="R9572" t="s">
        <v>42682</v>
      </c>
      <c r="S9572" t="s">
        <v>42984</v>
      </c>
      <c r="T9572" t="s">
        <v>44485</v>
      </c>
      <c r="U9572" t="s">
        <v>52653</v>
      </c>
      <c r="W9572" t="s">
        <v>40231</v>
      </c>
      <c r="X9572" t="s">
        <v>42683</v>
      </c>
    </row>
    <row r="9573" spans="1:24">
      <c r="A9573">
        <f>HYPERLINK("https://www.philgeps.gov.ph/GEPSNONPILOT/Tender/SplashBidNoticeAbstractUI.aspx?menuIndex=3&amp;refID=7176309&amp;Result=3","7176309")</f>
        <v>0</v>
      </c>
      <c r="B9573" t="s">
        <v>2860</v>
      </c>
      <c r="C9573" t="s">
        <v>12661</v>
      </c>
      <c r="D9573" t="s">
        <v>17188</v>
      </c>
      <c r="E9573" t="s">
        <v>18038</v>
      </c>
      <c r="F9573" t="s">
        <v>29373</v>
      </c>
      <c r="G9573" t="s">
        <v>29379</v>
      </c>
      <c r="H9573" t="s">
        <v>11048</v>
      </c>
      <c r="I9573" t="s">
        <v>29398</v>
      </c>
      <c r="J9573" t="s">
        <v>35630</v>
      </c>
      <c r="K9573" t="s">
        <v>38491</v>
      </c>
      <c r="M9573" t="s">
        <v>41855</v>
      </c>
      <c r="N9573" t="s">
        <v>42669</v>
      </c>
      <c r="O9573" t="s">
        <v>42670</v>
      </c>
      <c r="P9573">
        <v>0</v>
      </c>
      <c r="Q9573">
        <v>9</v>
      </c>
      <c r="R9573" t="s">
        <v>42682</v>
      </c>
      <c r="S9573" t="s">
        <v>42984</v>
      </c>
      <c r="T9573" t="s">
        <v>44596</v>
      </c>
      <c r="U9573" t="s">
        <v>52654</v>
      </c>
      <c r="W9573" t="s">
        <v>41855</v>
      </c>
      <c r="X9573" t="s">
        <v>42683</v>
      </c>
    </row>
    <row r="9574" spans="1:24">
      <c r="A9574">
        <f>HYPERLINK("https://www.philgeps.gov.ph/GEPSNONPILOT/Tender/SplashBidNoticeAbstractUI.aspx?menuIndex=3&amp;refID=7176433&amp;Result=3","7176433")</f>
        <v>0</v>
      </c>
      <c r="B9574" t="s">
        <v>2861</v>
      </c>
      <c r="C9574" t="s">
        <v>12662</v>
      </c>
      <c r="D9574" t="s">
        <v>17193</v>
      </c>
      <c r="E9574" t="s">
        <v>25441</v>
      </c>
      <c r="F9574" t="s">
        <v>29372</v>
      </c>
      <c r="G9574" t="s">
        <v>29385</v>
      </c>
      <c r="H9574" t="s">
        <v>29390</v>
      </c>
      <c r="I9574" t="s">
        <v>9469</v>
      </c>
      <c r="J9574" t="s">
        <v>35631</v>
      </c>
      <c r="K9574" t="s">
        <v>38522</v>
      </c>
      <c r="M9574" t="s">
        <v>41856</v>
      </c>
      <c r="N9574" t="s">
        <v>42669</v>
      </c>
      <c r="O9574" t="s">
        <v>42670</v>
      </c>
      <c r="P9574">
        <v>0</v>
      </c>
      <c r="Q9574">
        <v>1</v>
      </c>
      <c r="R9574" t="s">
        <v>42682</v>
      </c>
      <c r="S9574" t="s">
        <v>42984</v>
      </c>
      <c r="T9574" t="s">
        <v>44532</v>
      </c>
      <c r="U9574" t="s">
        <v>52655</v>
      </c>
      <c r="W9574" t="s">
        <v>41856</v>
      </c>
      <c r="X9574" t="s">
        <v>42683</v>
      </c>
    </row>
    <row r="9575" spans="1:24">
      <c r="A9575">
        <f>HYPERLINK("https://www.philgeps.gov.ph/GEPSNONPILOT/Tender/SplashBidNoticeAbstractUI.aspx?menuIndex=3&amp;refID=7176430&amp;Result=3","7176430")</f>
        <v>0</v>
      </c>
      <c r="B9575" t="s">
        <v>2481</v>
      </c>
      <c r="C9575" t="s">
        <v>12663</v>
      </c>
      <c r="D9575" t="s">
        <v>17151</v>
      </c>
      <c r="E9575" t="s">
        <v>25442</v>
      </c>
      <c r="F9575" t="s">
        <v>29372</v>
      </c>
      <c r="G9575" t="s">
        <v>29379</v>
      </c>
      <c r="H9575" t="s">
        <v>11048</v>
      </c>
      <c r="I9575" t="s">
        <v>29398</v>
      </c>
      <c r="J9575" t="s">
        <v>30127</v>
      </c>
      <c r="K9575" t="s">
        <v>38485</v>
      </c>
      <c r="M9575" t="s">
        <v>41848</v>
      </c>
      <c r="N9575" t="s">
        <v>42669</v>
      </c>
      <c r="O9575" t="s">
        <v>42670</v>
      </c>
      <c r="P9575">
        <v>0</v>
      </c>
      <c r="Q9575">
        <v>6</v>
      </c>
      <c r="R9575" t="s">
        <v>42682</v>
      </c>
      <c r="S9575" t="s">
        <v>42984</v>
      </c>
      <c r="T9575" t="s">
        <v>44468</v>
      </c>
      <c r="U9575" t="s">
        <v>52656</v>
      </c>
      <c r="W9575" t="s">
        <v>41848</v>
      </c>
      <c r="X9575" t="s">
        <v>42683</v>
      </c>
    </row>
    <row r="9576" spans="1:24">
      <c r="A9576">
        <f>HYPERLINK("https://www.philgeps.gov.ph/GEPSNONPILOT/Tender/SplashBidNoticeAbstractUI.aspx?menuIndex=3&amp;refID=7175868&amp;Result=3","7175868")</f>
        <v>0</v>
      </c>
      <c r="B9576" t="s">
        <v>2812</v>
      </c>
      <c r="C9576" t="s">
        <v>12664</v>
      </c>
      <c r="D9576" t="s">
        <v>17195</v>
      </c>
      <c r="E9576" t="s">
        <v>25304</v>
      </c>
      <c r="F9576" t="s">
        <v>29372</v>
      </c>
      <c r="G9576" t="s">
        <v>29380</v>
      </c>
      <c r="H9576" t="s">
        <v>11048</v>
      </c>
      <c r="I9576" t="s">
        <v>29391</v>
      </c>
      <c r="J9576" t="s">
        <v>35632</v>
      </c>
      <c r="K9576" t="s">
        <v>38491</v>
      </c>
      <c r="M9576" t="s">
        <v>41801</v>
      </c>
      <c r="N9576" t="s">
        <v>42669</v>
      </c>
      <c r="O9576" t="s">
        <v>42670</v>
      </c>
      <c r="P9576">
        <v>0</v>
      </c>
      <c r="Q9576">
        <v>0</v>
      </c>
      <c r="R9576" t="s">
        <v>42682</v>
      </c>
      <c r="S9576" t="s">
        <v>42984</v>
      </c>
      <c r="T9576" t="s">
        <v>44393</v>
      </c>
      <c r="U9576" t="s">
        <v>52509</v>
      </c>
      <c r="W9576" t="s">
        <v>41801</v>
      </c>
      <c r="X9576" t="s">
        <v>42683</v>
      </c>
    </row>
    <row r="9577" spans="1:24">
      <c r="A9577">
        <f>HYPERLINK("https://www.philgeps.gov.ph/GEPSNONPILOT/Tender/SplashBidNoticeAbstractUI.aspx?menuIndex=3&amp;refID=7176397&amp;Result=3","7176397")</f>
        <v>0</v>
      </c>
      <c r="B9577" t="s">
        <v>2847</v>
      </c>
      <c r="C9577" t="s">
        <v>12665</v>
      </c>
      <c r="D9577" t="s">
        <v>17151</v>
      </c>
      <c r="E9577" t="s">
        <v>25443</v>
      </c>
      <c r="F9577" t="s">
        <v>29372</v>
      </c>
      <c r="G9577" t="s">
        <v>29380</v>
      </c>
      <c r="H9577" t="s">
        <v>29389</v>
      </c>
      <c r="I9577" t="s">
        <v>10408</v>
      </c>
      <c r="J9577" t="s">
        <v>35633</v>
      </c>
      <c r="K9577" t="s">
        <v>38533</v>
      </c>
      <c r="M9577" t="s">
        <v>41840</v>
      </c>
      <c r="N9577" t="s">
        <v>42669</v>
      </c>
      <c r="O9577" t="s">
        <v>42670</v>
      </c>
      <c r="P9577">
        <v>0</v>
      </c>
      <c r="Q9577">
        <v>3</v>
      </c>
      <c r="R9577" t="s">
        <v>42682</v>
      </c>
      <c r="S9577" t="s">
        <v>42984</v>
      </c>
      <c r="T9577" t="s">
        <v>44517</v>
      </c>
      <c r="U9577" t="s">
        <v>52657</v>
      </c>
      <c r="V9577" t="s">
        <v>57422</v>
      </c>
      <c r="W9577" t="s">
        <v>41840</v>
      </c>
      <c r="X9577" t="s">
        <v>42683</v>
      </c>
    </row>
    <row r="9578" spans="1:24">
      <c r="A9578">
        <f>HYPERLINK("https://www.philgeps.gov.ph/GEPSNONPILOT/Tender/SplashBidNoticeAbstractUI.aspx?menuIndex=3&amp;refID=7176380&amp;Result=3","7176380")</f>
        <v>0</v>
      </c>
      <c r="B9578" t="s">
        <v>2844</v>
      </c>
      <c r="C9578" t="s">
        <v>12666</v>
      </c>
      <c r="D9578" t="s">
        <v>17171</v>
      </c>
      <c r="E9578" t="s">
        <v>25444</v>
      </c>
      <c r="F9578" t="s">
        <v>29372</v>
      </c>
      <c r="G9578" t="s">
        <v>29380</v>
      </c>
      <c r="H9578" t="s">
        <v>29391</v>
      </c>
      <c r="I9578" t="s">
        <v>29391</v>
      </c>
      <c r="J9578" t="s">
        <v>35634</v>
      </c>
      <c r="K9578" t="s">
        <v>38518</v>
      </c>
      <c r="M9578" t="s">
        <v>41837</v>
      </c>
      <c r="N9578" t="s">
        <v>42669</v>
      </c>
      <c r="O9578" t="s">
        <v>42670</v>
      </c>
      <c r="P9578">
        <v>0</v>
      </c>
      <c r="Q9578">
        <v>3</v>
      </c>
      <c r="R9578" t="s">
        <v>42682</v>
      </c>
      <c r="S9578" t="s">
        <v>42984</v>
      </c>
      <c r="T9578" t="s">
        <v>44779</v>
      </c>
      <c r="U9578" t="s">
        <v>52658</v>
      </c>
      <c r="W9578" t="s">
        <v>41837</v>
      </c>
      <c r="X9578" t="s">
        <v>42683</v>
      </c>
    </row>
    <row r="9579" spans="1:24">
      <c r="A9579">
        <f>HYPERLINK("https://www.philgeps.gov.ph/GEPSNONPILOT/Tender/SplashBidNoticeAbstractUI.aspx?menuIndex=3&amp;refID=7176280&amp;Result=3","7176280")</f>
        <v>0</v>
      </c>
      <c r="B9579" t="s">
        <v>1254</v>
      </c>
      <c r="C9579" t="s">
        <v>12667</v>
      </c>
      <c r="D9579" t="s">
        <v>17165</v>
      </c>
      <c r="E9579" t="s">
        <v>25445</v>
      </c>
      <c r="F9579" t="s">
        <v>29373</v>
      </c>
      <c r="G9579" t="s">
        <v>29379</v>
      </c>
      <c r="H9579" t="s">
        <v>11048</v>
      </c>
      <c r="I9579" t="s">
        <v>29407</v>
      </c>
      <c r="J9579" t="s">
        <v>35635</v>
      </c>
      <c r="K9579" t="s">
        <v>38488</v>
      </c>
      <c r="M9579" t="s">
        <v>40080</v>
      </c>
      <c r="N9579" t="s">
        <v>42669</v>
      </c>
      <c r="O9579" t="s">
        <v>42670</v>
      </c>
      <c r="Q9579">
        <v>2</v>
      </c>
      <c r="R9579" t="s">
        <v>42682</v>
      </c>
      <c r="S9579" t="s">
        <v>43034</v>
      </c>
      <c r="T9579" t="s">
        <v>44466</v>
      </c>
      <c r="U9579" t="s">
        <v>47046</v>
      </c>
      <c r="W9579" t="s">
        <v>40080</v>
      </c>
      <c r="X9579" t="s">
        <v>42683</v>
      </c>
    </row>
    <row r="9580" spans="1:24">
      <c r="A9580">
        <f>HYPERLINK("https://www.philgeps.gov.ph/GEPSNONPILOT/Tender/SplashBidNoticeAbstractUI.aspx?menuIndex=3&amp;refID=7176378&amp;Result=3","7176378")</f>
        <v>0</v>
      </c>
      <c r="B9580" t="s">
        <v>2862</v>
      </c>
      <c r="C9580" t="s">
        <v>12668</v>
      </c>
      <c r="D9580" t="s">
        <v>17168</v>
      </c>
      <c r="E9580" t="s">
        <v>17282</v>
      </c>
      <c r="F9580" t="s">
        <v>29372</v>
      </c>
      <c r="G9580" t="s">
        <v>29380</v>
      </c>
      <c r="H9580" t="s">
        <v>11048</v>
      </c>
      <c r="I9580" t="s">
        <v>29411</v>
      </c>
      <c r="J9580" t="s">
        <v>32810</v>
      </c>
      <c r="K9580" t="s">
        <v>38485</v>
      </c>
      <c r="L9580" t="s">
        <v>2862</v>
      </c>
      <c r="M9580" t="s">
        <v>41857</v>
      </c>
      <c r="N9580" t="s">
        <v>42669</v>
      </c>
      <c r="O9580" t="s">
        <v>42670</v>
      </c>
      <c r="P9580">
        <v>0</v>
      </c>
      <c r="Q9580">
        <v>1</v>
      </c>
      <c r="R9580" t="s">
        <v>42682</v>
      </c>
      <c r="S9580" t="s">
        <v>42984</v>
      </c>
      <c r="T9580" t="s">
        <v>44426</v>
      </c>
      <c r="U9580" t="s">
        <v>52659</v>
      </c>
      <c r="V9580" t="s">
        <v>57426</v>
      </c>
      <c r="W9580" t="s">
        <v>41857</v>
      </c>
      <c r="X9580" t="s">
        <v>42683</v>
      </c>
    </row>
    <row r="9581" spans="1:24">
      <c r="A9581">
        <f>HYPERLINK("https://www.philgeps.gov.ph/GEPSNONPILOT/Tender/SplashBidNoticeAbstractUI.aspx?menuIndex=3&amp;refID=7176366&amp;Result=3","7176366")</f>
        <v>0</v>
      </c>
      <c r="B9581" t="s">
        <v>2863</v>
      </c>
      <c r="C9581" t="s">
        <v>12669</v>
      </c>
      <c r="D9581" t="s">
        <v>17206</v>
      </c>
      <c r="E9581" t="s">
        <v>19772</v>
      </c>
      <c r="F9581" t="s">
        <v>29372</v>
      </c>
      <c r="G9581" t="s">
        <v>29380</v>
      </c>
      <c r="H9581" t="s">
        <v>29389</v>
      </c>
      <c r="I9581" t="s">
        <v>29408</v>
      </c>
      <c r="J9581" t="s">
        <v>29973</v>
      </c>
      <c r="K9581" t="s">
        <v>38485</v>
      </c>
      <c r="M9581" t="s">
        <v>41858</v>
      </c>
      <c r="N9581" t="s">
        <v>42669</v>
      </c>
      <c r="O9581" t="s">
        <v>42670</v>
      </c>
      <c r="P9581">
        <v>0</v>
      </c>
      <c r="Q9581">
        <v>2</v>
      </c>
      <c r="R9581" t="s">
        <v>42682</v>
      </c>
      <c r="S9581" t="s">
        <v>42984</v>
      </c>
      <c r="T9581" t="s">
        <v>44355</v>
      </c>
      <c r="U9581" t="s">
        <v>52660</v>
      </c>
      <c r="W9581" t="s">
        <v>41858</v>
      </c>
      <c r="X9581" t="s">
        <v>42683</v>
      </c>
    </row>
    <row r="9582" spans="1:24">
      <c r="A9582">
        <f>HYPERLINK("https://www.philgeps.gov.ph/GEPSNONPILOT/Tender/SplashBidNoticeAbstractUI.aspx?menuIndex=3&amp;refID=7176391&amp;Result=3","7176391")</f>
        <v>0</v>
      </c>
      <c r="B9582" t="s">
        <v>2859</v>
      </c>
      <c r="C9582" t="s">
        <v>12670</v>
      </c>
      <c r="D9582" t="s">
        <v>17212</v>
      </c>
      <c r="E9582" t="s">
        <v>25446</v>
      </c>
      <c r="F9582" t="s">
        <v>29372</v>
      </c>
      <c r="G9582" t="s">
        <v>29380</v>
      </c>
      <c r="H9582" t="s">
        <v>11048</v>
      </c>
      <c r="I9582" t="s">
        <v>29398</v>
      </c>
      <c r="J9582" t="s">
        <v>30107</v>
      </c>
      <c r="K9582" t="s">
        <v>38495</v>
      </c>
      <c r="M9582" t="s">
        <v>41854</v>
      </c>
      <c r="N9582" t="s">
        <v>42669</v>
      </c>
      <c r="O9582" t="s">
        <v>42670</v>
      </c>
      <c r="P9582">
        <v>0</v>
      </c>
      <c r="Q9582">
        <v>0</v>
      </c>
      <c r="R9582" t="s">
        <v>42682</v>
      </c>
      <c r="S9582" t="s">
        <v>42984</v>
      </c>
      <c r="T9582" t="s">
        <v>44438</v>
      </c>
      <c r="U9582" t="s">
        <v>52661</v>
      </c>
      <c r="W9582" t="s">
        <v>41854</v>
      </c>
      <c r="X9582" t="s">
        <v>42683</v>
      </c>
    </row>
    <row r="9583" spans="1:24">
      <c r="A9583">
        <f>HYPERLINK("https://www.philgeps.gov.ph/GEPSNONPILOT/Tender/SplashBidNoticeAbstractUI.aspx?menuIndex=3&amp;refID=7176420&amp;Result=3","7176420")</f>
        <v>0</v>
      </c>
      <c r="B9583" t="s">
        <v>1856</v>
      </c>
      <c r="C9583" t="s">
        <v>12671</v>
      </c>
      <c r="E9583" t="s">
        <v>25447</v>
      </c>
      <c r="F9583" t="s">
        <v>29376</v>
      </c>
      <c r="G9583" t="s">
        <v>29380</v>
      </c>
      <c r="H9583" t="s">
        <v>11048</v>
      </c>
      <c r="I9583" t="s">
        <v>3670</v>
      </c>
      <c r="J9583" t="s">
        <v>31092</v>
      </c>
      <c r="K9583" t="s">
        <v>38495</v>
      </c>
      <c r="M9583" t="s">
        <v>40729</v>
      </c>
      <c r="N9583" t="s">
        <v>42669</v>
      </c>
      <c r="O9583" t="s">
        <v>42670</v>
      </c>
      <c r="P9583">
        <v>0</v>
      </c>
      <c r="Q9583">
        <v>8</v>
      </c>
      <c r="R9583" t="s">
        <v>42682</v>
      </c>
      <c r="S9583" t="s">
        <v>42984</v>
      </c>
      <c r="T9583" t="s">
        <v>44780</v>
      </c>
      <c r="U9583" t="s">
        <v>52662</v>
      </c>
      <c r="W9583" t="s">
        <v>40729</v>
      </c>
      <c r="X9583" t="s">
        <v>42683</v>
      </c>
    </row>
    <row r="9584" spans="1:24">
      <c r="A9584">
        <f>HYPERLINK("https://www.philgeps.gov.ph/GEPSNONPILOT/Tender/SplashBidNoticeAbstractUI.aspx?menuIndex=3&amp;refID=7176324&amp;Result=3","7176324")</f>
        <v>0</v>
      </c>
      <c r="B9584" t="s">
        <v>2829</v>
      </c>
      <c r="C9584" t="s">
        <v>12672</v>
      </c>
      <c r="D9584" t="s">
        <v>17161</v>
      </c>
      <c r="F9584" t="s">
        <v>29372</v>
      </c>
      <c r="G9584" t="s">
        <v>29380</v>
      </c>
      <c r="H9584" t="s">
        <v>11048</v>
      </c>
      <c r="I9584" t="s">
        <v>29393</v>
      </c>
      <c r="J9584" t="s">
        <v>35636</v>
      </c>
      <c r="K9584" t="s">
        <v>38490</v>
      </c>
      <c r="M9584" t="s">
        <v>41820</v>
      </c>
      <c r="N9584" t="s">
        <v>42669</v>
      </c>
      <c r="O9584" t="s">
        <v>42670</v>
      </c>
      <c r="P9584">
        <v>0</v>
      </c>
      <c r="Q9584">
        <v>0</v>
      </c>
      <c r="R9584" t="s">
        <v>42682</v>
      </c>
      <c r="S9584" t="s">
        <v>42984</v>
      </c>
      <c r="T9584" t="s">
        <v>44389</v>
      </c>
      <c r="U9584" t="s">
        <v>52663</v>
      </c>
      <c r="W9584" t="s">
        <v>41820</v>
      </c>
      <c r="X9584" t="s">
        <v>42683</v>
      </c>
    </row>
    <row r="9585" spans="1:24">
      <c r="A9585">
        <f>HYPERLINK("https://www.philgeps.gov.ph/GEPSNONPILOT/Tender/SplashBidNoticeAbstractUI.aspx?menuIndex=3&amp;refID=7176368&amp;Result=3","7176368")</f>
        <v>0</v>
      </c>
      <c r="B9585" t="s">
        <v>2864</v>
      </c>
      <c r="C9585" t="s">
        <v>12673</v>
      </c>
      <c r="D9585" t="s">
        <v>17205</v>
      </c>
      <c r="E9585" t="s">
        <v>25448</v>
      </c>
      <c r="F9585" t="s">
        <v>29372</v>
      </c>
      <c r="G9585" t="s">
        <v>29380</v>
      </c>
      <c r="H9585" t="s">
        <v>11048</v>
      </c>
      <c r="I9585" t="s">
        <v>29395</v>
      </c>
      <c r="J9585" t="s">
        <v>35637</v>
      </c>
      <c r="K9585" t="s">
        <v>38489</v>
      </c>
      <c r="M9585" t="s">
        <v>41859</v>
      </c>
      <c r="N9585" t="s">
        <v>42669</v>
      </c>
      <c r="O9585" t="s">
        <v>42670</v>
      </c>
      <c r="P9585">
        <v>0</v>
      </c>
      <c r="Q9585">
        <v>0</v>
      </c>
      <c r="R9585" t="s">
        <v>42682</v>
      </c>
      <c r="S9585" t="s">
        <v>42984</v>
      </c>
      <c r="T9585" t="s">
        <v>44512</v>
      </c>
      <c r="U9585" t="s">
        <v>52664</v>
      </c>
      <c r="V9585" t="s">
        <v>57427</v>
      </c>
      <c r="W9585" t="s">
        <v>41859</v>
      </c>
      <c r="X9585" t="s">
        <v>42683</v>
      </c>
    </row>
    <row r="9586" spans="1:24">
      <c r="A9586">
        <f>HYPERLINK("https://www.philgeps.gov.ph/GEPSNONPILOT/Tender/SplashBidNoticeAbstractUI.aspx?menuIndex=3&amp;refID=7176441&amp;Result=3","7176441")</f>
        <v>0</v>
      </c>
      <c r="B9586" t="s">
        <v>2865</v>
      </c>
      <c r="C9586" t="s">
        <v>12674</v>
      </c>
      <c r="D9586" t="s">
        <v>17231</v>
      </c>
      <c r="E9586" t="s">
        <v>25449</v>
      </c>
      <c r="F9586" t="s">
        <v>29372</v>
      </c>
      <c r="G9586" t="s">
        <v>29380</v>
      </c>
      <c r="H9586" t="s">
        <v>11048</v>
      </c>
      <c r="I9586" t="s">
        <v>29407</v>
      </c>
      <c r="J9586" t="s">
        <v>35638</v>
      </c>
      <c r="K9586" t="s">
        <v>38495</v>
      </c>
      <c r="M9586" t="s">
        <v>41860</v>
      </c>
      <c r="N9586" t="s">
        <v>42669</v>
      </c>
      <c r="O9586" t="s">
        <v>42670</v>
      </c>
      <c r="Q9586">
        <v>10</v>
      </c>
      <c r="R9586" t="s">
        <v>42682</v>
      </c>
      <c r="S9586" t="s">
        <v>43035</v>
      </c>
      <c r="T9586" t="s">
        <v>44357</v>
      </c>
      <c r="U9586" t="s">
        <v>52665</v>
      </c>
      <c r="W9586" t="s">
        <v>41860</v>
      </c>
      <c r="X9586" t="s">
        <v>42683</v>
      </c>
    </row>
    <row r="9587" spans="1:24">
      <c r="A9587">
        <f>HYPERLINK("https://www.philgeps.gov.ph/GEPSNONPILOT/Tender/SplashBidNoticeAbstractUI.aspx?menuIndex=3&amp;refID=7179556&amp;Result=3","7179556")</f>
        <v>0</v>
      </c>
      <c r="B9587" t="s">
        <v>2737</v>
      </c>
      <c r="C9587" t="s">
        <v>12675</v>
      </c>
      <c r="D9587" t="s">
        <v>17170</v>
      </c>
      <c r="E9587" t="s">
        <v>25450</v>
      </c>
      <c r="F9587" t="s">
        <v>29372</v>
      </c>
      <c r="G9587" t="s">
        <v>29380</v>
      </c>
      <c r="H9587" t="s">
        <v>29389</v>
      </c>
      <c r="I9587" t="s">
        <v>10408</v>
      </c>
      <c r="J9587" t="s">
        <v>29543</v>
      </c>
      <c r="K9587" t="s">
        <v>38495</v>
      </c>
      <c r="M9587" t="s">
        <v>41720</v>
      </c>
      <c r="N9587" t="s">
        <v>42669</v>
      </c>
      <c r="O9587" t="s">
        <v>42670</v>
      </c>
      <c r="P9587">
        <v>0</v>
      </c>
      <c r="Q9587">
        <v>0</v>
      </c>
      <c r="R9587" t="s">
        <v>42681</v>
      </c>
      <c r="S9587" t="s">
        <v>42966</v>
      </c>
      <c r="T9587" t="s">
        <v>44355</v>
      </c>
      <c r="U9587" t="s">
        <v>52666</v>
      </c>
      <c r="W9587" t="s">
        <v>41720</v>
      </c>
      <c r="X9587" t="s">
        <v>42682</v>
      </c>
    </row>
    <row r="9588" spans="1:24">
      <c r="A9588">
        <f>HYPERLINK("https://www.philgeps.gov.ph/GEPSNONPILOT/Tender/SplashBidNoticeAbstractUI.aspx?menuIndex=3&amp;refID=7176350&amp;Result=3","7176350")</f>
        <v>0</v>
      </c>
      <c r="B9588" t="s">
        <v>2844</v>
      </c>
      <c r="C9588" t="s">
        <v>12676</v>
      </c>
      <c r="D9588" t="s">
        <v>17171</v>
      </c>
      <c r="E9588" t="s">
        <v>25451</v>
      </c>
      <c r="F9588" t="s">
        <v>29372</v>
      </c>
      <c r="G9588" t="s">
        <v>29380</v>
      </c>
      <c r="H9588" t="s">
        <v>29391</v>
      </c>
      <c r="I9588" t="s">
        <v>29391</v>
      </c>
      <c r="J9588" t="s">
        <v>35621</v>
      </c>
      <c r="K9588" t="s">
        <v>38488</v>
      </c>
      <c r="M9588" t="s">
        <v>41837</v>
      </c>
      <c r="N9588" t="s">
        <v>42669</v>
      </c>
      <c r="O9588" t="s">
        <v>42670</v>
      </c>
      <c r="P9588">
        <v>0</v>
      </c>
      <c r="Q9588">
        <v>3</v>
      </c>
      <c r="R9588" t="s">
        <v>42682</v>
      </c>
      <c r="S9588" t="s">
        <v>42984</v>
      </c>
      <c r="T9588" t="s">
        <v>44779</v>
      </c>
      <c r="U9588" t="s">
        <v>52667</v>
      </c>
      <c r="W9588" t="s">
        <v>41837</v>
      </c>
      <c r="X9588" t="s">
        <v>42683</v>
      </c>
    </row>
    <row r="9589" spans="1:24">
      <c r="A9589">
        <f>HYPERLINK("https://www.philgeps.gov.ph/GEPSNONPILOT/Tender/SplashBidNoticeAbstractUI.aspx?menuIndex=3&amp;refID=7176408&amp;Result=3","7176408")</f>
        <v>0</v>
      </c>
      <c r="B9589" t="s">
        <v>669</v>
      </c>
      <c r="C9589" t="s">
        <v>12677</v>
      </c>
      <c r="D9589" t="s">
        <v>17147</v>
      </c>
      <c r="E9589" t="s">
        <v>25452</v>
      </c>
      <c r="F9589" t="s">
        <v>29372</v>
      </c>
      <c r="G9589" t="s">
        <v>29380</v>
      </c>
      <c r="H9589" t="s">
        <v>29389</v>
      </c>
      <c r="I9589" t="s">
        <v>10408</v>
      </c>
      <c r="J9589" t="s">
        <v>35639</v>
      </c>
      <c r="K9589" t="s">
        <v>38582</v>
      </c>
      <c r="M9589" t="s">
        <v>41046</v>
      </c>
      <c r="N9589" t="s">
        <v>42669</v>
      </c>
      <c r="O9589" t="s">
        <v>42670</v>
      </c>
      <c r="P9589">
        <v>0</v>
      </c>
      <c r="Q9589">
        <v>0</v>
      </c>
      <c r="R9589" t="s">
        <v>42682</v>
      </c>
      <c r="S9589" t="s">
        <v>42984</v>
      </c>
      <c r="T9589" t="s">
        <v>44412</v>
      </c>
      <c r="U9589" t="s">
        <v>52668</v>
      </c>
      <c r="V9589" t="s">
        <v>57428</v>
      </c>
      <c r="W9589" t="s">
        <v>41046</v>
      </c>
      <c r="X9589" t="s">
        <v>42683</v>
      </c>
    </row>
    <row r="9590" spans="1:24">
      <c r="A9590">
        <f>HYPERLINK("https://www.philgeps.gov.ph/GEPSNONPILOT/Tender/SplashBidNoticeAbstractUI.aspx?menuIndex=3&amp;refID=7176629&amp;Result=3","7176629")</f>
        <v>0</v>
      </c>
      <c r="B9590" t="s">
        <v>2866</v>
      </c>
      <c r="C9590" t="s">
        <v>12678</v>
      </c>
      <c r="D9590" t="s">
        <v>17141</v>
      </c>
      <c r="E9590" t="s">
        <v>25453</v>
      </c>
      <c r="F9590" t="s">
        <v>29372</v>
      </c>
      <c r="G9590" t="s">
        <v>29380</v>
      </c>
      <c r="H9590" t="s">
        <v>11048</v>
      </c>
      <c r="I9590" t="s">
        <v>5383</v>
      </c>
      <c r="J9590" t="s">
        <v>35640</v>
      </c>
      <c r="K9590" t="s">
        <v>38485</v>
      </c>
      <c r="M9590" t="s">
        <v>41861</v>
      </c>
      <c r="N9590" t="s">
        <v>42669</v>
      </c>
      <c r="O9590" t="s">
        <v>42670</v>
      </c>
      <c r="P9590">
        <v>0</v>
      </c>
      <c r="Q9590">
        <v>6</v>
      </c>
      <c r="R9590" t="s">
        <v>42682</v>
      </c>
      <c r="S9590" t="s">
        <v>42984</v>
      </c>
      <c r="T9590" t="s">
        <v>44384</v>
      </c>
      <c r="U9590" t="s">
        <v>52669</v>
      </c>
      <c r="V9590" t="s">
        <v>57429</v>
      </c>
      <c r="W9590" t="s">
        <v>41861</v>
      </c>
      <c r="X9590" t="s">
        <v>42683</v>
      </c>
    </row>
    <row r="9591" spans="1:24">
      <c r="A9591">
        <f>HYPERLINK("https://www.philgeps.gov.ph/GEPSNONPILOT/Tender/SplashBidNoticeAbstractUI.aspx?menuIndex=3&amp;refID=7176670&amp;Result=3","7176670")</f>
        <v>0</v>
      </c>
      <c r="B9591" t="s">
        <v>2866</v>
      </c>
      <c r="C9591" t="s">
        <v>12679</v>
      </c>
      <c r="D9591" t="s">
        <v>17141</v>
      </c>
      <c r="E9591" t="s">
        <v>25454</v>
      </c>
      <c r="F9591" t="s">
        <v>29372</v>
      </c>
      <c r="G9591" t="s">
        <v>29380</v>
      </c>
      <c r="H9591" t="s">
        <v>11048</v>
      </c>
      <c r="I9591" t="s">
        <v>9469</v>
      </c>
      <c r="J9591" t="s">
        <v>35641</v>
      </c>
      <c r="K9591" t="s">
        <v>38485</v>
      </c>
      <c r="M9591" t="s">
        <v>41861</v>
      </c>
      <c r="N9591" t="s">
        <v>42669</v>
      </c>
      <c r="O9591" t="s">
        <v>42670</v>
      </c>
      <c r="P9591">
        <v>0</v>
      </c>
      <c r="Q9591">
        <v>3</v>
      </c>
      <c r="R9591" t="s">
        <v>42682</v>
      </c>
      <c r="S9591" t="s">
        <v>42984</v>
      </c>
      <c r="T9591" t="s">
        <v>44384</v>
      </c>
      <c r="U9591" t="s">
        <v>52670</v>
      </c>
      <c r="V9591" t="s">
        <v>57429</v>
      </c>
      <c r="W9591" t="s">
        <v>41861</v>
      </c>
      <c r="X9591" t="s">
        <v>42683</v>
      </c>
    </row>
    <row r="9592" spans="1:24">
      <c r="A9592">
        <f>HYPERLINK("https://www.philgeps.gov.ph/GEPSNONPILOT/Tender/SplashBidNoticeAbstractUI.aspx?menuIndex=3&amp;refID=7176677&amp;Result=3","7176677")</f>
        <v>0</v>
      </c>
      <c r="B9592" t="s">
        <v>2736</v>
      </c>
      <c r="C9592" t="s">
        <v>12680</v>
      </c>
      <c r="D9592" t="s">
        <v>17204</v>
      </c>
      <c r="E9592" t="s">
        <v>25455</v>
      </c>
      <c r="F9592" t="s">
        <v>29372</v>
      </c>
      <c r="G9592" t="s">
        <v>29380</v>
      </c>
      <c r="H9592" t="s">
        <v>11048</v>
      </c>
      <c r="I9592" t="s">
        <v>9469</v>
      </c>
      <c r="J9592" t="s">
        <v>29728</v>
      </c>
      <c r="K9592" t="s">
        <v>38528</v>
      </c>
      <c r="M9592" t="s">
        <v>41719</v>
      </c>
      <c r="N9592" t="s">
        <v>42669</v>
      </c>
      <c r="O9592" t="s">
        <v>42670</v>
      </c>
      <c r="P9592">
        <v>0</v>
      </c>
      <c r="Q9592">
        <v>1</v>
      </c>
      <c r="R9592" t="s">
        <v>42682</v>
      </c>
      <c r="S9592" t="s">
        <v>42984</v>
      </c>
      <c r="T9592" t="s">
        <v>44542</v>
      </c>
      <c r="U9592" t="s">
        <v>52671</v>
      </c>
      <c r="W9592" t="s">
        <v>41719</v>
      </c>
      <c r="X9592" t="s">
        <v>42683</v>
      </c>
    </row>
    <row r="9593" spans="1:24">
      <c r="A9593">
        <f>HYPERLINK("https://www.philgeps.gov.ph/GEPSNONPILOT/Tender/SplashBidNoticeAbstractUI.aspx?menuIndex=3&amp;refID=7176656&amp;Result=3","7176656")</f>
        <v>0</v>
      </c>
      <c r="B9593" t="s">
        <v>2867</v>
      </c>
      <c r="C9593" t="s">
        <v>12681</v>
      </c>
      <c r="D9593" t="s">
        <v>17199</v>
      </c>
      <c r="E9593" t="s">
        <v>25456</v>
      </c>
      <c r="F9593" t="s">
        <v>29372</v>
      </c>
      <c r="G9593" t="s">
        <v>29380</v>
      </c>
      <c r="H9593" t="s">
        <v>11048</v>
      </c>
      <c r="I9593" t="s">
        <v>4487</v>
      </c>
      <c r="J9593" t="s">
        <v>35642</v>
      </c>
      <c r="K9593" t="s">
        <v>38487</v>
      </c>
      <c r="M9593" t="s">
        <v>41862</v>
      </c>
      <c r="N9593" t="s">
        <v>42669</v>
      </c>
      <c r="O9593" t="s">
        <v>42670</v>
      </c>
      <c r="P9593">
        <v>0</v>
      </c>
      <c r="Q9593">
        <v>5</v>
      </c>
      <c r="R9593" t="s">
        <v>42682</v>
      </c>
      <c r="S9593" t="s">
        <v>42984</v>
      </c>
      <c r="T9593" t="s">
        <v>44400</v>
      </c>
      <c r="U9593" t="s">
        <v>52672</v>
      </c>
      <c r="W9593" t="s">
        <v>41862</v>
      </c>
      <c r="X9593" t="s">
        <v>42683</v>
      </c>
    </row>
    <row r="9594" spans="1:24">
      <c r="A9594">
        <f>HYPERLINK("https://www.philgeps.gov.ph/GEPSNONPILOT/Tender/SplashBidNoticeAbstractUI.aspx?menuIndex=3&amp;refID=7176613&amp;Result=3","7176613")</f>
        <v>0</v>
      </c>
      <c r="B9594" t="s">
        <v>669</v>
      </c>
      <c r="C9594" t="s">
        <v>12682</v>
      </c>
      <c r="D9594" t="s">
        <v>17147</v>
      </c>
      <c r="E9594" t="s">
        <v>25457</v>
      </c>
      <c r="F9594" t="s">
        <v>29372</v>
      </c>
      <c r="G9594" t="s">
        <v>29380</v>
      </c>
      <c r="H9594" t="s">
        <v>29389</v>
      </c>
      <c r="I9594" t="s">
        <v>10408</v>
      </c>
      <c r="J9594" t="s">
        <v>35643</v>
      </c>
      <c r="K9594" t="s">
        <v>38606</v>
      </c>
      <c r="M9594" t="s">
        <v>41046</v>
      </c>
      <c r="N9594" t="s">
        <v>42669</v>
      </c>
      <c r="O9594" t="s">
        <v>42670</v>
      </c>
      <c r="P9594">
        <v>0</v>
      </c>
      <c r="Q9594">
        <v>0</v>
      </c>
      <c r="R9594" t="s">
        <v>42682</v>
      </c>
      <c r="S9594" t="s">
        <v>42984</v>
      </c>
      <c r="T9594" t="s">
        <v>44412</v>
      </c>
      <c r="U9594" t="s">
        <v>52673</v>
      </c>
      <c r="V9594" t="s">
        <v>57430</v>
      </c>
      <c r="W9594" t="s">
        <v>41046</v>
      </c>
      <c r="X9594" t="s">
        <v>42683</v>
      </c>
    </row>
    <row r="9595" spans="1:24">
      <c r="A9595">
        <f>HYPERLINK("https://www.philgeps.gov.ph/GEPSNONPILOT/Tender/SplashBidNoticeAbstractUI.aspx?menuIndex=3&amp;refID=7176611&amp;Result=3","7176611")</f>
        <v>0</v>
      </c>
      <c r="B9595" t="s">
        <v>2747</v>
      </c>
      <c r="C9595" t="s">
        <v>12683</v>
      </c>
      <c r="D9595" t="s">
        <v>17197</v>
      </c>
      <c r="E9595" t="s">
        <v>25458</v>
      </c>
      <c r="F9595" t="s">
        <v>29372</v>
      </c>
      <c r="G9595" t="s">
        <v>29380</v>
      </c>
      <c r="H9595" t="s">
        <v>11048</v>
      </c>
      <c r="I9595" t="s">
        <v>8614</v>
      </c>
      <c r="J9595" t="s">
        <v>35644</v>
      </c>
      <c r="K9595" t="s">
        <v>38510</v>
      </c>
      <c r="M9595" t="s">
        <v>41730</v>
      </c>
      <c r="N9595" t="s">
        <v>42669</v>
      </c>
      <c r="O9595" t="s">
        <v>42670</v>
      </c>
      <c r="P9595">
        <v>0</v>
      </c>
      <c r="Q9595">
        <v>3</v>
      </c>
      <c r="R9595" t="s">
        <v>42682</v>
      </c>
      <c r="S9595" t="s">
        <v>42984</v>
      </c>
      <c r="T9595" t="s">
        <v>44373</v>
      </c>
      <c r="U9595" t="s">
        <v>52674</v>
      </c>
      <c r="W9595" t="s">
        <v>58095</v>
      </c>
      <c r="X9595" t="s">
        <v>42683</v>
      </c>
    </row>
    <row r="9596" spans="1:24">
      <c r="A9596">
        <f>HYPERLINK("https://www.philgeps.gov.ph/GEPSNONPILOT/Tender/SplashBidNoticeAbstractUI.aspx?menuIndex=3&amp;refID=7176607&amp;Result=3","7176607")</f>
        <v>0</v>
      </c>
      <c r="B9596" t="s">
        <v>2519</v>
      </c>
      <c r="C9596" t="s">
        <v>12684</v>
      </c>
      <c r="D9596" t="s">
        <v>17189</v>
      </c>
      <c r="E9596" t="s">
        <v>24167</v>
      </c>
      <c r="F9596" t="s">
        <v>29375</v>
      </c>
      <c r="G9596" t="s">
        <v>29379</v>
      </c>
      <c r="H9596" t="s">
        <v>11048</v>
      </c>
      <c r="I9596" t="s">
        <v>5383</v>
      </c>
      <c r="J9596" t="s">
        <v>34719</v>
      </c>
      <c r="K9596" t="s">
        <v>38534</v>
      </c>
      <c r="M9596" t="s">
        <v>41480</v>
      </c>
      <c r="N9596" t="s">
        <v>42669</v>
      </c>
      <c r="O9596" t="s">
        <v>42670</v>
      </c>
      <c r="P9596">
        <v>0</v>
      </c>
      <c r="Q9596">
        <v>1</v>
      </c>
      <c r="R9596" t="s">
        <v>42682</v>
      </c>
      <c r="S9596" t="s">
        <v>42984</v>
      </c>
      <c r="T9596" t="s">
        <v>44466</v>
      </c>
      <c r="U9596" t="s">
        <v>52675</v>
      </c>
      <c r="V9596" t="s">
        <v>57431</v>
      </c>
      <c r="W9596" t="s">
        <v>41480</v>
      </c>
      <c r="X9596" t="s">
        <v>42683</v>
      </c>
    </row>
    <row r="9597" spans="1:24">
      <c r="A9597">
        <f>HYPERLINK("https://www.philgeps.gov.ph/GEPSNONPILOT/Tender/SplashBidNoticeAbstractUI.aspx?menuIndex=3&amp;refID=7176606&amp;Result=3","7176606")</f>
        <v>0</v>
      </c>
      <c r="B9597" t="s">
        <v>2533</v>
      </c>
      <c r="C9597" t="s">
        <v>12685</v>
      </c>
      <c r="E9597" t="s">
        <v>25459</v>
      </c>
      <c r="F9597" t="s">
        <v>29372</v>
      </c>
      <c r="G9597" t="s">
        <v>29380</v>
      </c>
      <c r="H9597" t="s">
        <v>29389</v>
      </c>
      <c r="I9597" t="s">
        <v>10408</v>
      </c>
      <c r="J9597" t="s">
        <v>35645</v>
      </c>
      <c r="K9597" t="s">
        <v>38490</v>
      </c>
      <c r="M9597" t="s">
        <v>41495</v>
      </c>
      <c r="N9597" t="s">
        <v>42669</v>
      </c>
      <c r="O9597" t="s">
        <v>42670</v>
      </c>
      <c r="Q9597">
        <v>12</v>
      </c>
      <c r="R9597" t="s">
        <v>42682</v>
      </c>
      <c r="S9597" t="s">
        <v>43036</v>
      </c>
      <c r="T9597" t="s">
        <v>44781</v>
      </c>
      <c r="U9597" t="s">
        <v>51447</v>
      </c>
      <c r="W9597" t="s">
        <v>41495</v>
      </c>
      <c r="X9597" t="s">
        <v>42683</v>
      </c>
    </row>
    <row r="9598" spans="1:24">
      <c r="A9598">
        <f>HYPERLINK("https://www.philgeps.gov.ph/GEPSNONPILOT/Tender/SplashBidNoticeAbstractUI.aspx?menuIndex=3&amp;refID=7176592&amp;Result=3","7176592")</f>
        <v>0</v>
      </c>
      <c r="B9598" t="s">
        <v>2794</v>
      </c>
      <c r="C9598" t="s">
        <v>12686</v>
      </c>
      <c r="D9598" t="s">
        <v>17216</v>
      </c>
      <c r="E9598" t="s">
        <v>25460</v>
      </c>
      <c r="F9598" t="s">
        <v>29372</v>
      </c>
      <c r="G9598" t="s">
        <v>29380</v>
      </c>
      <c r="H9598" t="s">
        <v>29389</v>
      </c>
      <c r="I9598" t="s">
        <v>10408</v>
      </c>
      <c r="J9598" t="s">
        <v>29604</v>
      </c>
      <c r="K9598" t="s">
        <v>38531</v>
      </c>
      <c r="M9598" t="s">
        <v>41782</v>
      </c>
      <c r="N9598" t="s">
        <v>42669</v>
      </c>
      <c r="O9598" t="s">
        <v>42670</v>
      </c>
      <c r="P9598">
        <v>0</v>
      </c>
      <c r="Q9598">
        <v>0</v>
      </c>
      <c r="R9598" t="s">
        <v>42682</v>
      </c>
      <c r="S9598" t="s">
        <v>42984</v>
      </c>
      <c r="T9598" t="s">
        <v>44488</v>
      </c>
      <c r="U9598" t="s">
        <v>52676</v>
      </c>
      <c r="W9598" t="s">
        <v>41782</v>
      </c>
      <c r="X9598" t="s">
        <v>42683</v>
      </c>
    </row>
    <row r="9599" spans="1:24">
      <c r="A9599">
        <f>HYPERLINK("https://www.philgeps.gov.ph/GEPSNONPILOT/Tender/SplashBidNoticeAbstractUI.aspx?menuIndex=3&amp;refID=7176578&amp;Result=3","7176578")</f>
        <v>0</v>
      </c>
      <c r="B9599" t="s">
        <v>2868</v>
      </c>
      <c r="C9599" t="s">
        <v>12687</v>
      </c>
      <c r="D9599" t="s">
        <v>17168</v>
      </c>
      <c r="E9599" t="s">
        <v>18602</v>
      </c>
      <c r="F9599" t="s">
        <v>29372</v>
      </c>
      <c r="G9599" t="s">
        <v>29380</v>
      </c>
      <c r="H9599" t="s">
        <v>11048</v>
      </c>
      <c r="I9599" t="s">
        <v>3670</v>
      </c>
      <c r="J9599" t="s">
        <v>29555</v>
      </c>
      <c r="K9599" t="s">
        <v>38488</v>
      </c>
      <c r="M9599" t="s">
        <v>41863</v>
      </c>
      <c r="N9599" t="s">
        <v>42669</v>
      </c>
      <c r="O9599" t="s">
        <v>42670</v>
      </c>
      <c r="Q9599">
        <v>4</v>
      </c>
      <c r="R9599" t="s">
        <v>42682</v>
      </c>
      <c r="S9599" t="s">
        <v>43037</v>
      </c>
      <c r="T9599" t="s">
        <v>44457</v>
      </c>
      <c r="U9599" t="s">
        <v>52677</v>
      </c>
      <c r="W9599" t="s">
        <v>41863</v>
      </c>
      <c r="X9599" t="s">
        <v>42683</v>
      </c>
    </row>
    <row r="9600" spans="1:24">
      <c r="A9600">
        <f>HYPERLINK("https://www.philgeps.gov.ph/GEPSNONPILOT/Tender/SplashBidNoticeAbstractUI.aspx?menuIndex=3&amp;refID=7176790&amp;Result=3","7176790")</f>
        <v>0</v>
      </c>
      <c r="B9600" t="s">
        <v>2533</v>
      </c>
      <c r="C9600" t="s">
        <v>12688</v>
      </c>
      <c r="E9600" t="s">
        <v>25461</v>
      </c>
      <c r="F9600" t="s">
        <v>29372</v>
      </c>
      <c r="G9600" t="s">
        <v>29380</v>
      </c>
      <c r="H9600" t="s">
        <v>11048</v>
      </c>
      <c r="I9600" t="s">
        <v>29460</v>
      </c>
      <c r="J9600" t="s">
        <v>35646</v>
      </c>
      <c r="K9600" t="s">
        <v>38490</v>
      </c>
      <c r="M9600" t="s">
        <v>41495</v>
      </c>
      <c r="N9600" t="s">
        <v>42669</v>
      </c>
      <c r="O9600" t="s">
        <v>42670</v>
      </c>
      <c r="Q9600">
        <v>11</v>
      </c>
      <c r="R9600" t="s">
        <v>42682</v>
      </c>
      <c r="S9600" t="s">
        <v>43038</v>
      </c>
      <c r="T9600" t="s">
        <v>44781</v>
      </c>
      <c r="U9600" t="s">
        <v>51447</v>
      </c>
      <c r="W9600" t="s">
        <v>41495</v>
      </c>
      <c r="X9600" t="s">
        <v>42683</v>
      </c>
    </row>
    <row r="9601" spans="1:24">
      <c r="A9601">
        <f>HYPERLINK("https://www.philgeps.gov.ph/GEPSNONPILOT/Tender/SplashBidNoticeAbstractUI.aspx?menuIndex=3&amp;refID=7176666&amp;Result=3","7176666")</f>
        <v>0</v>
      </c>
      <c r="B9601" t="s">
        <v>979</v>
      </c>
      <c r="C9601" t="s">
        <v>12689</v>
      </c>
      <c r="D9601" t="s">
        <v>17178</v>
      </c>
      <c r="E9601" t="s">
        <v>25462</v>
      </c>
      <c r="F9601" t="s">
        <v>29372</v>
      </c>
      <c r="G9601" t="s">
        <v>29380</v>
      </c>
      <c r="H9601" t="s">
        <v>29389</v>
      </c>
      <c r="I9601" t="s">
        <v>10408</v>
      </c>
      <c r="J9601" t="s">
        <v>35647</v>
      </c>
      <c r="K9601" t="s">
        <v>38522</v>
      </c>
      <c r="M9601" t="s">
        <v>39776</v>
      </c>
      <c r="N9601" t="s">
        <v>42669</v>
      </c>
      <c r="O9601" t="s">
        <v>42670</v>
      </c>
      <c r="P9601">
        <v>0</v>
      </c>
      <c r="Q9601">
        <v>4</v>
      </c>
      <c r="R9601" t="s">
        <v>42682</v>
      </c>
      <c r="S9601" t="s">
        <v>42984</v>
      </c>
      <c r="T9601" t="s">
        <v>44579</v>
      </c>
      <c r="U9601" t="s">
        <v>52678</v>
      </c>
      <c r="W9601" t="s">
        <v>39776</v>
      </c>
      <c r="X9601" t="s">
        <v>42683</v>
      </c>
    </row>
    <row r="9602" spans="1:24">
      <c r="A9602">
        <f>HYPERLINK("https://www.philgeps.gov.ph/GEPSNONPILOT/Tender/SplashBidNoticeAbstractUI.aspx?menuIndex=3&amp;refID=7176676&amp;Result=3","7176676")</f>
        <v>0</v>
      </c>
      <c r="B9602" t="s">
        <v>2869</v>
      </c>
      <c r="C9602" t="s">
        <v>12690</v>
      </c>
      <c r="D9602" t="s">
        <v>17177</v>
      </c>
      <c r="E9602" t="s">
        <v>25463</v>
      </c>
      <c r="F9602" t="s">
        <v>29372</v>
      </c>
      <c r="G9602" t="s">
        <v>29380</v>
      </c>
      <c r="H9602" t="s">
        <v>29389</v>
      </c>
      <c r="I9602" t="s">
        <v>10408</v>
      </c>
      <c r="J9602" t="s">
        <v>32123</v>
      </c>
      <c r="K9602" t="s">
        <v>38591</v>
      </c>
      <c r="L9602" t="s">
        <v>2869</v>
      </c>
      <c r="M9602" t="s">
        <v>41864</v>
      </c>
      <c r="N9602" t="s">
        <v>42669</v>
      </c>
      <c r="O9602" t="s">
        <v>42670</v>
      </c>
      <c r="P9602">
        <v>0</v>
      </c>
      <c r="Q9602">
        <v>5</v>
      </c>
      <c r="R9602" t="s">
        <v>42682</v>
      </c>
      <c r="S9602" t="s">
        <v>42984</v>
      </c>
      <c r="T9602" t="s">
        <v>44453</v>
      </c>
      <c r="U9602" t="s">
        <v>52679</v>
      </c>
      <c r="W9602" t="s">
        <v>41864</v>
      </c>
      <c r="X9602" t="s">
        <v>42683</v>
      </c>
    </row>
    <row r="9603" spans="1:24">
      <c r="A9603">
        <f>HYPERLINK("https://www.philgeps.gov.ph/GEPSNONPILOT/Tender/SplashBidNoticeAbstractUI.aspx?menuIndex=3&amp;refID=7176851&amp;Result=3","7176851")</f>
        <v>0</v>
      </c>
      <c r="B9603" t="s">
        <v>2533</v>
      </c>
      <c r="C9603" t="s">
        <v>12691</v>
      </c>
      <c r="E9603" t="s">
        <v>25464</v>
      </c>
      <c r="F9603" t="s">
        <v>29372</v>
      </c>
      <c r="G9603" t="s">
        <v>29380</v>
      </c>
      <c r="H9603" t="s">
        <v>11048</v>
      </c>
      <c r="I9603" t="s">
        <v>29460</v>
      </c>
      <c r="J9603" t="s">
        <v>31487</v>
      </c>
      <c r="K9603" t="s">
        <v>38490</v>
      </c>
      <c r="M9603" t="s">
        <v>41495</v>
      </c>
      <c r="N9603" t="s">
        <v>42669</v>
      </c>
      <c r="O9603" t="s">
        <v>42670</v>
      </c>
      <c r="Q9603">
        <v>12</v>
      </c>
      <c r="R9603" t="s">
        <v>42682</v>
      </c>
      <c r="S9603" t="s">
        <v>43039</v>
      </c>
      <c r="T9603" t="s">
        <v>44781</v>
      </c>
      <c r="U9603" t="s">
        <v>51447</v>
      </c>
      <c r="W9603" t="s">
        <v>41495</v>
      </c>
      <c r="X9603" t="s">
        <v>42683</v>
      </c>
    </row>
    <row r="9604" spans="1:24">
      <c r="A9604">
        <f>HYPERLINK("https://www.philgeps.gov.ph/GEPSNONPILOT/Tender/SplashBidNoticeAbstractUI.aspx?menuIndex=3&amp;refID=7176418&amp;Result=3","7176418")</f>
        <v>0</v>
      </c>
      <c r="B9604" t="s">
        <v>2844</v>
      </c>
      <c r="C9604" t="s">
        <v>12692</v>
      </c>
      <c r="D9604" t="s">
        <v>17171</v>
      </c>
      <c r="E9604" t="s">
        <v>25465</v>
      </c>
      <c r="F9604" t="s">
        <v>29372</v>
      </c>
      <c r="G9604" t="s">
        <v>29380</v>
      </c>
      <c r="H9604" t="s">
        <v>29391</v>
      </c>
      <c r="I9604" t="s">
        <v>29391</v>
      </c>
      <c r="J9604" t="s">
        <v>35648</v>
      </c>
      <c r="K9604" t="s">
        <v>38601</v>
      </c>
      <c r="M9604" t="s">
        <v>41837</v>
      </c>
      <c r="N9604" t="s">
        <v>42669</v>
      </c>
      <c r="O9604" t="s">
        <v>42670</v>
      </c>
      <c r="P9604">
        <v>0</v>
      </c>
      <c r="Q9604">
        <v>3</v>
      </c>
      <c r="R9604" t="s">
        <v>42682</v>
      </c>
      <c r="S9604" t="s">
        <v>42984</v>
      </c>
      <c r="T9604" t="s">
        <v>44779</v>
      </c>
      <c r="U9604" t="s">
        <v>52680</v>
      </c>
      <c r="W9604" t="s">
        <v>41837</v>
      </c>
      <c r="X9604" t="s">
        <v>42683</v>
      </c>
    </row>
    <row r="9605" spans="1:24">
      <c r="A9605">
        <f>HYPERLINK("https://www.philgeps.gov.ph/GEPSNONPILOT/Tender/SplashBidNoticeAbstractUI.aspx?menuIndex=3&amp;refID=7176847&amp;Result=3","7176847")</f>
        <v>0</v>
      </c>
      <c r="B9605" t="s">
        <v>2870</v>
      </c>
      <c r="C9605" t="s">
        <v>12693</v>
      </c>
      <c r="D9605" t="s">
        <v>17170</v>
      </c>
      <c r="E9605" t="s">
        <v>25466</v>
      </c>
      <c r="F9605" t="s">
        <v>29372</v>
      </c>
      <c r="G9605" t="s">
        <v>29380</v>
      </c>
      <c r="H9605" t="s">
        <v>29389</v>
      </c>
      <c r="I9605" t="s">
        <v>10408</v>
      </c>
      <c r="J9605" t="s">
        <v>35649</v>
      </c>
      <c r="K9605" t="s">
        <v>38496</v>
      </c>
      <c r="M9605" t="s">
        <v>41865</v>
      </c>
      <c r="N9605" t="s">
        <v>42669</v>
      </c>
      <c r="O9605" t="s">
        <v>42670</v>
      </c>
      <c r="P9605">
        <v>0</v>
      </c>
      <c r="Q9605">
        <v>2</v>
      </c>
      <c r="R9605" t="s">
        <v>42682</v>
      </c>
      <c r="S9605" t="s">
        <v>42984</v>
      </c>
      <c r="T9605" t="s">
        <v>44488</v>
      </c>
      <c r="U9605" t="s">
        <v>52681</v>
      </c>
      <c r="W9605" t="s">
        <v>41865</v>
      </c>
      <c r="X9605" t="s">
        <v>42683</v>
      </c>
    </row>
    <row r="9606" spans="1:24">
      <c r="A9606">
        <f>HYPERLINK("https://www.philgeps.gov.ph/GEPSNONPILOT/Tender/SplashBidNoticeAbstractUI.aspx?menuIndex=3&amp;refID=7176836&amp;Result=3","7176836")</f>
        <v>0</v>
      </c>
      <c r="B9606" t="s">
        <v>2533</v>
      </c>
      <c r="C9606" t="s">
        <v>12694</v>
      </c>
      <c r="E9606" t="s">
        <v>25467</v>
      </c>
      <c r="F9606" t="s">
        <v>29372</v>
      </c>
      <c r="G9606" t="s">
        <v>29380</v>
      </c>
      <c r="H9606" t="s">
        <v>11048</v>
      </c>
      <c r="I9606" t="s">
        <v>29460</v>
      </c>
      <c r="J9606" t="s">
        <v>35650</v>
      </c>
      <c r="K9606" t="s">
        <v>38490</v>
      </c>
      <c r="M9606" t="s">
        <v>41495</v>
      </c>
      <c r="N9606" t="s">
        <v>42669</v>
      </c>
      <c r="O9606" t="s">
        <v>42670</v>
      </c>
      <c r="Q9606">
        <v>13</v>
      </c>
      <c r="R9606" t="s">
        <v>42682</v>
      </c>
      <c r="S9606" t="s">
        <v>43040</v>
      </c>
      <c r="T9606" t="s">
        <v>44781</v>
      </c>
      <c r="U9606" t="s">
        <v>51447</v>
      </c>
      <c r="W9606" t="s">
        <v>41495</v>
      </c>
      <c r="X9606" t="s">
        <v>42683</v>
      </c>
    </row>
    <row r="9607" spans="1:24">
      <c r="A9607">
        <f>HYPERLINK("https://www.philgeps.gov.ph/GEPSNONPILOT/Tender/SplashBidNoticeAbstractUI.aspx?menuIndex=3&amp;refID=7176342&amp;Result=3","7176342")</f>
        <v>0</v>
      </c>
      <c r="B9607" t="s">
        <v>1466</v>
      </c>
      <c r="C9607" t="s">
        <v>12695</v>
      </c>
      <c r="E9607" t="s">
        <v>25468</v>
      </c>
      <c r="F9607" t="s">
        <v>29372</v>
      </c>
      <c r="G9607" t="s">
        <v>29380</v>
      </c>
      <c r="H9607" t="s">
        <v>11048</v>
      </c>
      <c r="I9607" t="s">
        <v>4486</v>
      </c>
      <c r="J9607" t="s">
        <v>35651</v>
      </c>
      <c r="K9607" t="s">
        <v>38490</v>
      </c>
      <c r="M9607" t="s">
        <v>41524</v>
      </c>
      <c r="N9607" t="s">
        <v>42669</v>
      </c>
      <c r="O9607" t="s">
        <v>42670</v>
      </c>
      <c r="P9607">
        <v>0</v>
      </c>
      <c r="Q9607">
        <v>1</v>
      </c>
      <c r="R9607" t="s">
        <v>42682</v>
      </c>
      <c r="S9607" t="s">
        <v>42984</v>
      </c>
      <c r="T9607" t="s">
        <v>44432</v>
      </c>
      <c r="U9607" t="s">
        <v>52682</v>
      </c>
      <c r="W9607" t="s">
        <v>41524</v>
      </c>
      <c r="X9607" t="s">
        <v>42683</v>
      </c>
    </row>
    <row r="9608" spans="1:24">
      <c r="A9608">
        <f>HYPERLINK("https://www.philgeps.gov.ph/GEPSNONPILOT/Tender/SplashBidNoticeAbstractUI.aspx?menuIndex=3&amp;refID=7176792&amp;Result=3","7176792")</f>
        <v>0</v>
      </c>
      <c r="B9608" t="s">
        <v>2236</v>
      </c>
      <c r="C9608" t="s">
        <v>12696</v>
      </c>
      <c r="D9608" t="s">
        <v>17205</v>
      </c>
      <c r="E9608" t="s">
        <v>25469</v>
      </c>
      <c r="F9608" t="s">
        <v>29372</v>
      </c>
      <c r="G9608" t="s">
        <v>29380</v>
      </c>
      <c r="H9608" t="s">
        <v>11048</v>
      </c>
      <c r="I9608" t="s">
        <v>9469</v>
      </c>
      <c r="J9608" t="s">
        <v>31958</v>
      </c>
      <c r="K9608" t="s">
        <v>38531</v>
      </c>
      <c r="L9608" t="s">
        <v>2236</v>
      </c>
      <c r="M9608" t="s">
        <v>41154</v>
      </c>
      <c r="N9608" t="s">
        <v>42669</v>
      </c>
      <c r="O9608" t="s">
        <v>42670</v>
      </c>
      <c r="Q9608">
        <v>14</v>
      </c>
      <c r="R9608" t="s">
        <v>42682</v>
      </c>
      <c r="S9608" t="s">
        <v>43041</v>
      </c>
      <c r="T9608" t="s">
        <v>44446</v>
      </c>
      <c r="U9608" t="s">
        <v>52683</v>
      </c>
      <c r="W9608" t="s">
        <v>41154</v>
      </c>
      <c r="X9608" t="s">
        <v>42683</v>
      </c>
    </row>
    <row r="9609" spans="1:24">
      <c r="A9609">
        <f>HYPERLINK("https://www.philgeps.gov.ph/GEPSNONPILOT/Tender/SplashBidNoticeAbstractUI.aspx?menuIndex=3&amp;refID=7179417&amp;Result=3","7179417")</f>
        <v>0</v>
      </c>
      <c r="B9609" t="s">
        <v>2157</v>
      </c>
      <c r="C9609" t="s">
        <v>12697</v>
      </c>
      <c r="D9609" t="s">
        <v>17148</v>
      </c>
      <c r="E9609" t="s">
        <v>25470</v>
      </c>
      <c r="F9609" t="s">
        <v>29372</v>
      </c>
      <c r="G9609" t="s">
        <v>29380</v>
      </c>
      <c r="H9609" t="s">
        <v>11048</v>
      </c>
      <c r="I9609" t="s">
        <v>4709</v>
      </c>
      <c r="J9609" t="s">
        <v>35652</v>
      </c>
      <c r="K9609" t="s">
        <v>38510</v>
      </c>
      <c r="M9609" t="s">
        <v>41067</v>
      </c>
      <c r="N9609" t="s">
        <v>42669</v>
      </c>
      <c r="O9609" t="s">
        <v>42670</v>
      </c>
      <c r="P9609">
        <v>0</v>
      </c>
      <c r="Q9609">
        <v>4</v>
      </c>
      <c r="R9609" t="s">
        <v>42681</v>
      </c>
      <c r="S9609" t="s">
        <v>42966</v>
      </c>
      <c r="T9609" t="s">
        <v>44557</v>
      </c>
      <c r="U9609" t="s">
        <v>52684</v>
      </c>
      <c r="W9609" t="s">
        <v>41067</v>
      </c>
      <c r="X9609" t="s">
        <v>42682</v>
      </c>
    </row>
    <row r="9610" spans="1:24">
      <c r="A9610">
        <f>HYPERLINK("https://www.philgeps.gov.ph/GEPSNONPILOT/Tender/SplashBidNoticeAbstractUI.aspx?menuIndex=3&amp;refID=7176823&amp;Result=3","7176823")</f>
        <v>0</v>
      </c>
      <c r="B9610" t="s">
        <v>2533</v>
      </c>
      <c r="C9610" t="s">
        <v>12698</v>
      </c>
      <c r="E9610" t="s">
        <v>25471</v>
      </c>
      <c r="F9610" t="s">
        <v>29372</v>
      </c>
      <c r="G9610" t="s">
        <v>29380</v>
      </c>
      <c r="H9610" t="s">
        <v>11048</v>
      </c>
      <c r="I9610" t="s">
        <v>29460</v>
      </c>
      <c r="J9610" t="s">
        <v>29829</v>
      </c>
      <c r="K9610" t="s">
        <v>38490</v>
      </c>
      <c r="M9610" t="s">
        <v>41495</v>
      </c>
      <c r="N9610" t="s">
        <v>42669</v>
      </c>
      <c r="O9610" t="s">
        <v>42670</v>
      </c>
      <c r="Q9610">
        <v>10</v>
      </c>
      <c r="R9610" t="s">
        <v>42682</v>
      </c>
      <c r="S9610" t="s">
        <v>43042</v>
      </c>
      <c r="T9610" t="s">
        <v>44781</v>
      </c>
      <c r="U9610" t="s">
        <v>51447</v>
      </c>
      <c r="W9610" t="s">
        <v>41495</v>
      </c>
      <c r="X9610" t="s">
        <v>42683</v>
      </c>
    </row>
    <row r="9611" spans="1:24">
      <c r="A9611">
        <f>HYPERLINK("https://www.philgeps.gov.ph/GEPSNONPILOT/Tender/SplashBidNoticeAbstractUI.aspx?menuIndex=3&amp;refID=7176807&amp;Result=3","7176807")</f>
        <v>0</v>
      </c>
      <c r="B9611" t="s">
        <v>289</v>
      </c>
      <c r="C9611" t="s">
        <v>12699</v>
      </c>
      <c r="E9611" t="s">
        <v>25472</v>
      </c>
      <c r="F9611" t="s">
        <v>29372</v>
      </c>
      <c r="G9611" t="s">
        <v>29380</v>
      </c>
      <c r="H9611" t="s">
        <v>11048</v>
      </c>
      <c r="I9611" t="s">
        <v>3670</v>
      </c>
      <c r="J9611" t="s">
        <v>35653</v>
      </c>
      <c r="K9611" t="s">
        <v>38490</v>
      </c>
      <c r="M9611" t="s">
        <v>39048</v>
      </c>
      <c r="N9611" t="s">
        <v>42669</v>
      </c>
      <c r="O9611" t="s">
        <v>42670</v>
      </c>
      <c r="P9611">
        <v>0</v>
      </c>
      <c r="Q9611">
        <v>12</v>
      </c>
      <c r="R9611" t="s">
        <v>42682</v>
      </c>
      <c r="S9611" t="s">
        <v>42984</v>
      </c>
      <c r="T9611" t="s">
        <v>44515</v>
      </c>
      <c r="U9611" t="s">
        <v>47032</v>
      </c>
      <c r="W9611" t="s">
        <v>39048</v>
      </c>
      <c r="X9611" t="s">
        <v>42683</v>
      </c>
    </row>
    <row r="9612" spans="1:24">
      <c r="A9612">
        <f>HYPERLINK("https://www.philgeps.gov.ph/GEPSNONPILOT/Tender/SplashBidNoticeAbstractUI.aspx?menuIndex=3&amp;refID=7176806&amp;Result=3","7176806")</f>
        <v>0</v>
      </c>
      <c r="B9612" t="s">
        <v>2533</v>
      </c>
      <c r="C9612" t="s">
        <v>12700</v>
      </c>
      <c r="E9612" t="s">
        <v>25473</v>
      </c>
      <c r="F9612" t="s">
        <v>29372</v>
      </c>
      <c r="G9612" t="s">
        <v>29380</v>
      </c>
      <c r="H9612" t="s">
        <v>11048</v>
      </c>
      <c r="I9612" t="s">
        <v>29460</v>
      </c>
      <c r="J9612" t="s">
        <v>35654</v>
      </c>
      <c r="K9612" t="s">
        <v>38490</v>
      </c>
      <c r="M9612" t="s">
        <v>41495</v>
      </c>
      <c r="N9612" t="s">
        <v>42669</v>
      </c>
      <c r="O9612" t="s">
        <v>42670</v>
      </c>
      <c r="Q9612">
        <v>11</v>
      </c>
      <c r="R9612" t="s">
        <v>42682</v>
      </c>
      <c r="S9612" t="s">
        <v>43043</v>
      </c>
      <c r="T9612" t="s">
        <v>44781</v>
      </c>
      <c r="U9612" t="s">
        <v>51447</v>
      </c>
      <c r="W9612" t="s">
        <v>41495</v>
      </c>
      <c r="X9612" t="s">
        <v>42683</v>
      </c>
    </row>
    <row r="9613" spans="1:24">
      <c r="A9613">
        <f>HYPERLINK("https://www.philgeps.gov.ph/GEPSNONPILOT/Tender/SplashBidNoticeAbstractUI.aspx?menuIndex=3&amp;refID=7176842&amp;Result=3","7176842")</f>
        <v>0</v>
      </c>
      <c r="B9613" t="s">
        <v>2533</v>
      </c>
      <c r="C9613" t="s">
        <v>12701</v>
      </c>
      <c r="E9613" t="s">
        <v>25474</v>
      </c>
      <c r="F9613" t="s">
        <v>29372</v>
      </c>
      <c r="G9613" t="s">
        <v>29380</v>
      </c>
      <c r="H9613" t="s">
        <v>11048</v>
      </c>
      <c r="I9613" t="s">
        <v>29460</v>
      </c>
      <c r="J9613" t="s">
        <v>35655</v>
      </c>
      <c r="K9613" t="s">
        <v>38490</v>
      </c>
      <c r="M9613" t="s">
        <v>41495</v>
      </c>
      <c r="N9613" t="s">
        <v>42669</v>
      </c>
      <c r="O9613" t="s">
        <v>42670</v>
      </c>
      <c r="Q9613">
        <v>10</v>
      </c>
      <c r="R9613" t="s">
        <v>42682</v>
      </c>
      <c r="S9613" t="s">
        <v>43044</v>
      </c>
      <c r="T9613" t="s">
        <v>44781</v>
      </c>
      <c r="U9613" t="s">
        <v>51447</v>
      </c>
      <c r="W9613" t="s">
        <v>41495</v>
      </c>
      <c r="X9613" t="s">
        <v>42683</v>
      </c>
    </row>
    <row r="9614" spans="1:24">
      <c r="A9614">
        <f>HYPERLINK("https://www.philgeps.gov.ph/GEPSNONPILOT/Tender/SplashBidNoticeAbstractUI.aspx?menuIndex=3&amp;refID=7176830&amp;Result=3","7176830")</f>
        <v>0</v>
      </c>
      <c r="B9614" t="s">
        <v>2870</v>
      </c>
      <c r="C9614" t="s">
        <v>12702</v>
      </c>
      <c r="D9614" t="s">
        <v>17170</v>
      </c>
      <c r="E9614" t="s">
        <v>25475</v>
      </c>
      <c r="F9614" t="s">
        <v>29372</v>
      </c>
      <c r="G9614" t="s">
        <v>29380</v>
      </c>
      <c r="H9614" t="s">
        <v>29389</v>
      </c>
      <c r="I9614" t="s">
        <v>10408</v>
      </c>
      <c r="J9614" t="s">
        <v>29619</v>
      </c>
      <c r="K9614" t="s">
        <v>38496</v>
      </c>
      <c r="M9614" t="s">
        <v>41865</v>
      </c>
      <c r="N9614" t="s">
        <v>42669</v>
      </c>
      <c r="O9614" t="s">
        <v>42670</v>
      </c>
      <c r="P9614">
        <v>0</v>
      </c>
      <c r="Q9614">
        <v>0</v>
      </c>
      <c r="R9614" t="s">
        <v>42682</v>
      </c>
      <c r="S9614" t="s">
        <v>42984</v>
      </c>
      <c r="T9614" t="s">
        <v>44488</v>
      </c>
      <c r="U9614" t="s">
        <v>52685</v>
      </c>
      <c r="W9614" t="s">
        <v>41865</v>
      </c>
      <c r="X9614" t="s">
        <v>42683</v>
      </c>
    </row>
    <row r="9615" spans="1:24">
      <c r="A9615">
        <f>HYPERLINK("https://www.philgeps.gov.ph/GEPSNONPILOT/Tender/SplashBidNoticeAbstractUI.aspx?menuIndex=3&amp;refID=7176716&amp;Result=3","7176716")</f>
        <v>0</v>
      </c>
      <c r="B9615" t="s">
        <v>2871</v>
      </c>
      <c r="C9615" t="s">
        <v>12703</v>
      </c>
      <c r="D9615" t="s">
        <v>17198</v>
      </c>
      <c r="E9615" t="s">
        <v>25476</v>
      </c>
      <c r="F9615" t="s">
        <v>29372</v>
      </c>
      <c r="G9615" t="s">
        <v>29380</v>
      </c>
      <c r="H9615" t="s">
        <v>29389</v>
      </c>
      <c r="I9615" t="s">
        <v>10408</v>
      </c>
      <c r="J9615" t="s">
        <v>35656</v>
      </c>
      <c r="K9615" t="s">
        <v>38487</v>
      </c>
      <c r="M9615" t="s">
        <v>41866</v>
      </c>
      <c r="N9615" t="s">
        <v>42669</v>
      </c>
      <c r="O9615" t="s">
        <v>42670</v>
      </c>
      <c r="P9615">
        <v>0</v>
      </c>
      <c r="Q9615">
        <v>0</v>
      </c>
      <c r="R9615" t="s">
        <v>42682</v>
      </c>
      <c r="S9615" t="s">
        <v>42984</v>
      </c>
      <c r="T9615" t="s">
        <v>44355</v>
      </c>
      <c r="U9615" t="s">
        <v>52686</v>
      </c>
      <c r="W9615" t="s">
        <v>41866</v>
      </c>
      <c r="X9615" t="s">
        <v>42683</v>
      </c>
    </row>
    <row r="9616" spans="1:24">
      <c r="A9616">
        <f>HYPERLINK("https://www.philgeps.gov.ph/GEPSNONPILOT/Tender/SplashBidNoticeAbstractUI.aspx?menuIndex=3&amp;refID=7176702&amp;Result=3","7176702")</f>
        <v>0</v>
      </c>
      <c r="B9616" t="s">
        <v>267</v>
      </c>
      <c r="C9616" t="s">
        <v>12704</v>
      </c>
      <c r="D9616" t="s">
        <v>17148</v>
      </c>
      <c r="E9616" t="s">
        <v>25477</v>
      </c>
      <c r="F9616" t="s">
        <v>29372</v>
      </c>
      <c r="G9616" t="s">
        <v>29379</v>
      </c>
      <c r="H9616" t="s">
        <v>29389</v>
      </c>
      <c r="I9616" t="s">
        <v>10408</v>
      </c>
      <c r="J9616" t="s">
        <v>29555</v>
      </c>
      <c r="K9616" t="s">
        <v>38491</v>
      </c>
      <c r="M9616" t="s">
        <v>39026</v>
      </c>
      <c r="N9616" t="s">
        <v>42669</v>
      </c>
      <c r="O9616" t="s">
        <v>42670</v>
      </c>
      <c r="P9616">
        <v>0</v>
      </c>
      <c r="Q9616">
        <v>0</v>
      </c>
      <c r="R9616" t="s">
        <v>42682</v>
      </c>
      <c r="S9616" t="s">
        <v>42984</v>
      </c>
      <c r="T9616" t="s">
        <v>44488</v>
      </c>
      <c r="U9616" t="s">
        <v>52687</v>
      </c>
      <c r="V9616" t="s">
        <v>57293</v>
      </c>
      <c r="W9616" t="s">
        <v>39026</v>
      </c>
      <c r="X9616" t="s">
        <v>42683</v>
      </c>
    </row>
    <row r="9617" spans="1:24">
      <c r="A9617">
        <f>HYPERLINK("https://www.philgeps.gov.ph/GEPSNONPILOT/Tender/SplashBidNoticeAbstractUI.aspx?menuIndex=3&amp;refID=7176829&amp;Result=3","7176829")</f>
        <v>0</v>
      </c>
      <c r="B9617" t="s">
        <v>2533</v>
      </c>
      <c r="C9617" t="s">
        <v>12705</v>
      </c>
      <c r="E9617" t="s">
        <v>25478</v>
      </c>
      <c r="F9617" t="s">
        <v>29372</v>
      </c>
      <c r="G9617" t="s">
        <v>29380</v>
      </c>
      <c r="H9617" t="s">
        <v>11048</v>
      </c>
      <c r="I9617" t="s">
        <v>29460</v>
      </c>
      <c r="J9617" t="s">
        <v>35657</v>
      </c>
      <c r="K9617" t="s">
        <v>38490</v>
      </c>
      <c r="M9617" t="s">
        <v>41495</v>
      </c>
      <c r="N9617" t="s">
        <v>42669</v>
      </c>
      <c r="O9617" t="s">
        <v>42670</v>
      </c>
      <c r="Q9617">
        <v>11</v>
      </c>
      <c r="R9617" t="s">
        <v>42682</v>
      </c>
      <c r="S9617" t="s">
        <v>43045</v>
      </c>
      <c r="T9617" t="s">
        <v>44781</v>
      </c>
      <c r="U9617" t="s">
        <v>51447</v>
      </c>
      <c r="W9617" t="s">
        <v>41495</v>
      </c>
      <c r="X9617" t="s">
        <v>42683</v>
      </c>
    </row>
    <row r="9618" spans="1:24">
      <c r="A9618">
        <f>HYPERLINK("https://www.philgeps.gov.ph/GEPSNONPILOT/Tender/SplashBidNoticeAbstractUI.aspx?menuIndex=3&amp;refID=7176701&amp;Result=3","7176701")</f>
        <v>0</v>
      </c>
      <c r="B9618" t="s">
        <v>886</v>
      </c>
      <c r="C9618" t="s">
        <v>12706</v>
      </c>
      <c r="D9618" t="s">
        <v>17189</v>
      </c>
      <c r="E9618" t="s">
        <v>25479</v>
      </c>
      <c r="F9618" t="s">
        <v>29372</v>
      </c>
      <c r="G9618" t="s">
        <v>29380</v>
      </c>
      <c r="H9618" t="s">
        <v>11048</v>
      </c>
      <c r="I9618" t="s">
        <v>4709</v>
      </c>
      <c r="J9618" t="s">
        <v>35658</v>
      </c>
      <c r="K9618" t="s">
        <v>38567</v>
      </c>
      <c r="M9618" t="s">
        <v>39678</v>
      </c>
      <c r="N9618" t="s">
        <v>42669</v>
      </c>
      <c r="O9618" t="s">
        <v>42670</v>
      </c>
      <c r="P9618">
        <v>0</v>
      </c>
      <c r="Q9618">
        <v>2</v>
      </c>
      <c r="R9618" t="s">
        <v>42682</v>
      </c>
      <c r="S9618" t="s">
        <v>42984</v>
      </c>
      <c r="T9618" t="s">
        <v>44452</v>
      </c>
      <c r="U9618" t="s">
        <v>52688</v>
      </c>
      <c r="W9618" t="s">
        <v>39678</v>
      </c>
      <c r="X9618" t="s">
        <v>42683</v>
      </c>
    </row>
    <row r="9619" spans="1:24">
      <c r="A9619">
        <f>HYPERLINK("https://www.philgeps.gov.ph/GEPSNONPILOT/Tender/SplashBidNoticeAbstractUI.aspx?menuIndex=3&amp;refID=7176694&amp;Result=3","7176694")</f>
        <v>0</v>
      </c>
      <c r="B9619" t="s">
        <v>2869</v>
      </c>
      <c r="C9619" t="s">
        <v>12707</v>
      </c>
      <c r="D9619" t="s">
        <v>17177</v>
      </c>
      <c r="E9619" t="s">
        <v>25480</v>
      </c>
      <c r="F9619" t="s">
        <v>29372</v>
      </c>
      <c r="G9619" t="s">
        <v>29380</v>
      </c>
      <c r="H9619" t="s">
        <v>29389</v>
      </c>
      <c r="I9619" t="s">
        <v>10408</v>
      </c>
      <c r="J9619" t="s">
        <v>35659</v>
      </c>
      <c r="K9619" t="s">
        <v>38533</v>
      </c>
      <c r="L9619" t="s">
        <v>2869</v>
      </c>
      <c r="M9619" t="s">
        <v>41864</v>
      </c>
      <c r="N9619" t="s">
        <v>42669</v>
      </c>
      <c r="O9619" t="s">
        <v>42670</v>
      </c>
      <c r="P9619">
        <v>0</v>
      </c>
      <c r="Q9619">
        <v>5</v>
      </c>
      <c r="R9619" t="s">
        <v>42682</v>
      </c>
      <c r="S9619" t="s">
        <v>42984</v>
      </c>
      <c r="T9619" t="s">
        <v>44453</v>
      </c>
      <c r="U9619" t="s">
        <v>52689</v>
      </c>
      <c r="W9619" t="s">
        <v>41864</v>
      </c>
      <c r="X9619" t="s">
        <v>42683</v>
      </c>
    </row>
    <row r="9620" spans="1:24">
      <c r="A9620">
        <f>HYPERLINK("https://www.philgeps.gov.ph/GEPSNONPILOT/Tender/SplashBidNoticeAbstractUI.aspx?menuIndex=3&amp;refID=7176450&amp;Result=3","7176450")</f>
        <v>0</v>
      </c>
      <c r="B9620" t="s">
        <v>2862</v>
      </c>
      <c r="C9620" t="s">
        <v>7246</v>
      </c>
      <c r="D9620" t="s">
        <v>17168</v>
      </c>
      <c r="E9620" t="s">
        <v>17269</v>
      </c>
      <c r="F9620" t="s">
        <v>29372</v>
      </c>
      <c r="G9620" t="s">
        <v>29380</v>
      </c>
      <c r="H9620" t="s">
        <v>11048</v>
      </c>
      <c r="I9620" t="s">
        <v>3839</v>
      </c>
      <c r="J9620" t="s">
        <v>34086</v>
      </c>
      <c r="K9620" t="s">
        <v>38485</v>
      </c>
      <c r="L9620" t="s">
        <v>2862</v>
      </c>
      <c r="M9620" t="s">
        <v>41857</v>
      </c>
      <c r="N9620" t="s">
        <v>42669</v>
      </c>
      <c r="O9620" t="s">
        <v>42670</v>
      </c>
      <c r="P9620">
        <v>0</v>
      </c>
      <c r="Q9620">
        <v>0</v>
      </c>
      <c r="R9620" t="s">
        <v>42682</v>
      </c>
      <c r="S9620" t="s">
        <v>42984</v>
      </c>
      <c r="T9620" t="s">
        <v>44426</v>
      </c>
      <c r="U9620" t="s">
        <v>52690</v>
      </c>
      <c r="V9620" t="s">
        <v>57426</v>
      </c>
      <c r="W9620" t="s">
        <v>41857</v>
      </c>
      <c r="X9620" t="s">
        <v>42683</v>
      </c>
    </row>
    <row r="9621" spans="1:24">
      <c r="A9621">
        <f>HYPERLINK("https://www.philgeps.gov.ph/GEPSNONPILOT/Tender/SplashBidNoticeAbstractUI.aspx?menuIndex=3&amp;refID=7176732&amp;Result=3","7176732")</f>
        <v>0</v>
      </c>
      <c r="B9621" t="s">
        <v>2866</v>
      </c>
      <c r="C9621" t="s">
        <v>12708</v>
      </c>
      <c r="D9621" t="s">
        <v>17141</v>
      </c>
      <c r="E9621" t="s">
        <v>25481</v>
      </c>
      <c r="F9621" t="s">
        <v>29372</v>
      </c>
      <c r="G9621" t="s">
        <v>29380</v>
      </c>
      <c r="H9621" t="s">
        <v>11048</v>
      </c>
      <c r="I9621" t="s">
        <v>3695</v>
      </c>
      <c r="J9621" t="s">
        <v>35660</v>
      </c>
      <c r="K9621" t="s">
        <v>38485</v>
      </c>
      <c r="M9621" t="s">
        <v>41861</v>
      </c>
      <c r="N9621" t="s">
        <v>42669</v>
      </c>
      <c r="O9621" t="s">
        <v>42670</v>
      </c>
      <c r="P9621">
        <v>0</v>
      </c>
      <c r="Q9621">
        <v>15</v>
      </c>
      <c r="R9621" t="s">
        <v>42682</v>
      </c>
      <c r="S9621" t="s">
        <v>42984</v>
      </c>
      <c r="T9621" t="s">
        <v>44384</v>
      </c>
      <c r="U9621" t="s">
        <v>52669</v>
      </c>
      <c r="V9621" t="s">
        <v>57429</v>
      </c>
      <c r="W9621" t="s">
        <v>41861</v>
      </c>
      <c r="X9621" t="s">
        <v>42683</v>
      </c>
    </row>
    <row r="9622" spans="1:24">
      <c r="A9622">
        <f>HYPERLINK("https://www.philgeps.gov.ph/GEPSNONPILOT/Tender/SplashBidNoticeAbstractUI.aspx?menuIndex=3&amp;refID=7176555&amp;Result=3","7176555")</f>
        <v>0</v>
      </c>
      <c r="B9622" t="s">
        <v>2872</v>
      </c>
      <c r="C9622" t="s">
        <v>12709</v>
      </c>
      <c r="E9622" t="s">
        <v>25482</v>
      </c>
      <c r="F9622" t="s">
        <v>29372</v>
      </c>
      <c r="G9622" t="s">
        <v>29380</v>
      </c>
      <c r="H9622" t="s">
        <v>11048</v>
      </c>
      <c r="I9622" t="s">
        <v>4709</v>
      </c>
      <c r="J9622" t="s">
        <v>35661</v>
      </c>
      <c r="K9622" t="s">
        <v>38489</v>
      </c>
      <c r="M9622" t="s">
        <v>41867</v>
      </c>
      <c r="N9622" t="s">
        <v>42669</v>
      </c>
      <c r="O9622" t="s">
        <v>42670</v>
      </c>
      <c r="P9622">
        <v>0</v>
      </c>
      <c r="Q9622">
        <v>0</v>
      </c>
      <c r="R9622" t="s">
        <v>42682</v>
      </c>
      <c r="S9622" t="s">
        <v>42984</v>
      </c>
      <c r="T9622" t="s">
        <v>44470</v>
      </c>
      <c r="U9622" t="s">
        <v>52691</v>
      </c>
      <c r="W9622" t="s">
        <v>41867</v>
      </c>
      <c r="X9622" t="s">
        <v>42683</v>
      </c>
    </row>
    <row r="9623" spans="1:24">
      <c r="A9623">
        <f>HYPERLINK("https://www.philgeps.gov.ph/GEPSNONPILOT/Tender/SplashBidNoticeAbstractUI.aspx?menuIndex=3&amp;refID=7176527&amp;Result=3","7176527")</f>
        <v>0</v>
      </c>
      <c r="B9623" t="s">
        <v>2859</v>
      </c>
      <c r="C9623" t="s">
        <v>12710</v>
      </c>
      <c r="D9623" t="s">
        <v>17212</v>
      </c>
      <c r="E9623" t="s">
        <v>25483</v>
      </c>
      <c r="F9623" t="s">
        <v>29372</v>
      </c>
      <c r="G9623" t="s">
        <v>29380</v>
      </c>
      <c r="H9623" t="s">
        <v>11048</v>
      </c>
      <c r="I9623" t="s">
        <v>10408</v>
      </c>
      <c r="J9623" t="s">
        <v>29526</v>
      </c>
      <c r="K9623" t="s">
        <v>38496</v>
      </c>
      <c r="M9623" t="s">
        <v>41854</v>
      </c>
      <c r="N9623" t="s">
        <v>42669</v>
      </c>
      <c r="O9623" t="s">
        <v>42670</v>
      </c>
      <c r="P9623">
        <v>0</v>
      </c>
      <c r="Q9623">
        <v>0</v>
      </c>
      <c r="R9623" t="s">
        <v>42682</v>
      </c>
      <c r="S9623" t="s">
        <v>42984</v>
      </c>
      <c r="T9623" t="s">
        <v>44438</v>
      </c>
      <c r="U9623" t="s">
        <v>52692</v>
      </c>
      <c r="W9623" t="s">
        <v>41854</v>
      </c>
      <c r="X9623" t="s">
        <v>42683</v>
      </c>
    </row>
    <row r="9624" spans="1:24">
      <c r="A9624">
        <f>HYPERLINK("https://www.philgeps.gov.ph/GEPSNONPILOT/Tender/SplashBidNoticeAbstractUI.aspx?menuIndex=3&amp;refID=7176512&amp;Result=3","7176512")</f>
        <v>0</v>
      </c>
      <c r="B9624" t="s">
        <v>2481</v>
      </c>
      <c r="C9624" t="s">
        <v>12663</v>
      </c>
      <c r="D9624" t="s">
        <v>17151</v>
      </c>
      <c r="E9624" t="s">
        <v>25484</v>
      </c>
      <c r="F9624" t="s">
        <v>29372</v>
      </c>
      <c r="G9624" t="s">
        <v>29379</v>
      </c>
      <c r="H9624" t="s">
        <v>11048</v>
      </c>
      <c r="I9624" t="s">
        <v>29398</v>
      </c>
      <c r="J9624" t="s">
        <v>30127</v>
      </c>
      <c r="K9624" t="s">
        <v>38485</v>
      </c>
      <c r="M9624" t="s">
        <v>41848</v>
      </c>
      <c r="N9624" t="s">
        <v>42669</v>
      </c>
      <c r="O9624" t="s">
        <v>42670</v>
      </c>
      <c r="P9624">
        <v>0</v>
      </c>
      <c r="Q9624">
        <v>6</v>
      </c>
      <c r="R9624" t="s">
        <v>42682</v>
      </c>
      <c r="S9624" t="s">
        <v>42984</v>
      </c>
      <c r="T9624" t="s">
        <v>44468</v>
      </c>
      <c r="U9624" t="s">
        <v>52693</v>
      </c>
      <c r="W9624" t="s">
        <v>41848</v>
      </c>
      <c r="X9624" t="s">
        <v>42683</v>
      </c>
    </row>
    <row r="9625" spans="1:24">
      <c r="A9625">
        <f>HYPERLINK("https://www.philgeps.gov.ph/GEPSNONPILOT/Tender/SplashBidNoticeAbstractUI.aspx?menuIndex=3&amp;refID=7176500&amp;Result=3","7176500")</f>
        <v>0</v>
      </c>
      <c r="B9625" t="s">
        <v>669</v>
      </c>
      <c r="C9625" t="s">
        <v>12711</v>
      </c>
      <c r="D9625" t="s">
        <v>17147</v>
      </c>
      <c r="E9625" t="s">
        <v>25485</v>
      </c>
      <c r="F9625" t="s">
        <v>29372</v>
      </c>
      <c r="G9625" t="s">
        <v>29380</v>
      </c>
      <c r="H9625" t="s">
        <v>29389</v>
      </c>
      <c r="I9625" t="s">
        <v>10408</v>
      </c>
      <c r="J9625" t="s">
        <v>35662</v>
      </c>
      <c r="K9625" t="s">
        <v>38656</v>
      </c>
      <c r="M9625" t="s">
        <v>41046</v>
      </c>
      <c r="N9625" t="s">
        <v>42669</v>
      </c>
      <c r="O9625" t="s">
        <v>42670</v>
      </c>
      <c r="P9625">
        <v>0</v>
      </c>
      <c r="Q9625">
        <v>0</v>
      </c>
      <c r="R9625" t="s">
        <v>42682</v>
      </c>
      <c r="S9625" t="s">
        <v>42984</v>
      </c>
      <c r="T9625" t="s">
        <v>44412</v>
      </c>
      <c r="U9625" t="s">
        <v>52694</v>
      </c>
      <c r="V9625" t="s">
        <v>57432</v>
      </c>
      <c r="W9625" t="s">
        <v>41046</v>
      </c>
      <c r="X9625" t="s">
        <v>42683</v>
      </c>
    </row>
    <row r="9626" spans="1:24">
      <c r="A9626">
        <f>HYPERLINK("https://www.philgeps.gov.ph/GEPSNONPILOT/Tender/SplashBidNoticeAbstractUI.aspx?menuIndex=3&amp;refID=7176762&amp;Result=3","7176762")</f>
        <v>0</v>
      </c>
      <c r="B9626" t="s">
        <v>2866</v>
      </c>
      <c r="C9626" t="s">
        <v>12712</v>
      </c>
      <c r="D9626" t="s">
        <v>17141</v>
      </c>
      <c r="E9626" t="s">
        <v>25486</v>
      </c>
      <c r="F9626" t="s">
        <v>29372</v>
      </c>
      <c r="G9626" t="s">
        <v>29380</v>
      </c>
      <c r="H9626" t="s">
        <v>11048</v>
      </c>
      <c r="I9626" t="s">
        <v>3695</v>
      </c>
      <c r="J9626" t="s">
        <v>32431</v>
      </c>
      <c r="K9626" t="s">
        <v>38485</v>
      </c>
      <c r="M9626" t="s">
        <v>41861</v>
      </c>
      <c r="N9626" t="s">
        <v>42669</v>
      </c>
      <c r="O9626" t="s">
        <v>42670</v>
      </c>
      <c r="P9626">
        <v>0</v>
      </c>
      <c r="Q9626">
        <v>13</v>
      </c>
      <c r="R9626" t="s">
        <v>42682</v>
      </c>
      <c r="S9626" t="s">
        <v>42984</v>
      </c>
      <c r="T9626" t="s">
        <v>44384</v>
      </c>
      <c r="U9626" t="s">
        <v>52669</v>
      </c>
      <c r="V9626" t="s">
        <v>57429</v>
      </c>
      <c r="W9626" t="s">
        <v>41861</v>
      </c>
      <c r="X9626" t="s">
        <v>42683</v>
      </c>
    </row>
    <row r="9627" spans="1:24">
      <c r="A9627">
        <f>HYPERLINK("https://www.philgeps.gov.ph/GEPSNONPILOT/Tender/SplashBidNoticeAbstractUI.aspx?menuIndex=3&amp;refID=7176488&amp;Result=3","7176488")</f>
        <v>0</v>
      </c>
      <c r="B9627" t="s">
        <v>1443</v>
      </c>
      <c r="C9627" t="s">
        <v>12713</v>
      </c>
      <c r="D9627" t="s">
        <v>17207</v>
      </c>
      <c r="E9627" t="s">
        <v>24909</v>
      </c>
      <c r="F9627" t="s">
        <v>29372</v>
      </c>
      <c r="G9627" t="s">
        <v>29380</v>
      </c>
      <c r="H9627" t="s">
        <v>11048</v>
      </c>
      <c r="I9627" t="s">
        <v>3839</v>
      </c>
      <c r="J9627" t="s">
        <v>35663</v>
      </c>
      <c r="K9627" t="s">
        <v>38491</v>
      </c>
      <c r="M9627" t="s">
        <v>40284</v>
      </c>
      <c r="N9627" t="s">
        <v>42669</v>
      </c>
      <c r="O9627" t="s">
        <v>42670</v>
      </c>
      <c r="P9627">
        <v>0</v>
      </c>
      <c r="Q9627">
        <v>2</v>
      </c>
      <c r="R9627" t="s">
        <v>42682</v>
      </c>
      <c r="S9627" t="s">
        <v>42984</v>
      </c>
      <c r="T9627" t="s">
        <v>44782</v>
      </c>
      <c r="U9627" t="s">
        <v>52695</v>
      </c>
      <c r="V9627" t="s">
        <v>57433</v>
      </c>
      <c r="W9627" t="s">
        <v>40284</v>
      </c>
      <c r="X9627" t="s">
        <v>42683</v>
      </c>
    </row>
    <row r="9628" spans="1:24">
      <c r="A9628">
        <f>HYPERLINK("https://www.philgeps.gov.ph/GEPSNONPILOT/Tender/SplashBidNoticeAbstractUI.aspx?menuIndex=3&amp;refID=7176473&amp;Result=3","7176473")</f>
        <v>0</v>
      </c>
      <c r="B9628" t="s">
        <v>1209</v>
      </c>
      <c r="C9628" t="s">
        <v>12714</v>
      </c>
      <c r="D9628" t="s">
        <v>17170</v>
      </c>
      <c r="E9628" t="s">
        <v>25487</v>
      </c>
      <c r="F9628" t="s">
        <v>29372</v>
      </c>
      <c r="G9628" t="s">
        <v>29380</v>
      </c>
      <c r="H9628" t="s">
        <v>11048</v>
      </c>
      <c r="I9628" t="s">
        <v>4486</v>
      </c>
      <c r="J9628" t="s">
        <v>35664</v>
      </c>
      <c r="K9628" t="s">
        <v>38485</v>
      </c>
      <c r="M9628" t="s">
        <v>40026</v>
      </c>
      <c r="N9628" t="s">
        <v>42669</v>
      </c>
      <c r="O9628" t="s">
        <v>42670</v>
      </c>
      <c r="Q9628">
        <v>7</v>
      </c>
      <c r="R9628" t="s">
        <v>42682</v>
      </c>
      <c r="S9628" t="s">
        <v>43046</v>
      </c>
      <c r="T9628" t="s">
        <v>44357</v>
      </c>
      <c r="U9628" t="s">
        <v>52696</v>
      </c>
      <c r="W9628" t="s">
        <v>40026</v>
      </c>
      <c r="X9628" t="s">
        <v>42683</v>
      </c>
    </row>
    <row r="9629" spans="1:24">
      <c r="A9629">
        <f>HYPERLINK("https://www.philgeps.gov.ph/GEPSNONPILOT/Tender/SplashBidNoticeAbstractUI.aspx?menuIndex=3&amp;refID=7176679&amp;Result=3","7176679")</f>
        <v>0</v>
      </c>
      <c r="B9629" t="s">
        <v>1466</v>
      </c>
      <c r="C9629" t="s">
        <v>12479</v>
      </c>
      <c r="E9629" t="s">
        <v>25282</v>
      </c>
      <c r="F9629" t="s">
        <v>29372</v>
      </c>
      <c r="G9629" t="s">
        <v>29380</v>
      </c>
      <c r="H9629" t="s">
        <v>11048</v>
      </c>
      <c r="I9629" t="s">
        <v>4486</v>
      </c>
      <c r="J9629" t="s">
        <v>35522</v>
      </c>
      <c r="K9629" t="s">
        <v>38490</v>
      </c>
      <c r="M9629" t="s">
        <v>40309</v>
      </c>
      <c r="N9629" t="s">
        <v>42669</v>
      </c>
      <c r="O9629" t="s">
        <v>42670</v>
      </c>
      <c r="P9629">
        <v>0</v>
      </c>
      <c r="Q9629">
        <v>1</v>
      </c>
      <c r="R9629" t="s">
        <v>42682</v>
      </c>
      <c r="S9629" t="s">
        <v>42984</v>
      </c>
      <c r="T9629" t="s">
        <v>44432</v>
      </c>
      <c r="U9629" t="s">
        <v>52489</v>
      </c>
      <c r="W9629" t="s">
        <v>40309</v>
      </c>
      <c r="X9629" t="s">
        <v>42683</v>
      </c>
    </row>
    <row r="9630" spans="1:24">
      <c r="A9630">
        <f>HYPERLINK("https://www.philgeps.gov.ph/GEPSNONPILOT/Tender/SplashBidNoticeAbstractUI.aspx?menuIndex=3&amp;refID=7179409&amp;Result=3","7179409")</f>
        <v>0</v>
      </c>
      <c r="B9630" t="s">
        <v>1680</v>
      </c>
      <c r="C9630" t="s">
        <v>12715</v>
      </c>
      <c r="D9630" t="s">
        <v>17194</v>
      </c>
      <c r="E9630" t="s">
        <v>25488</v>
      </c>
      <c r="F9630" t="s">
        <v>29372</v>
      </c>
      <c r="G9630" t="s">
        <v>29379</v>
      </c>
      <c r="H9630" t="s">
        <v>11048</v>
      </c>
      <c r="I9630" t="s">
        <v>8614</v>
      </c>
      <c r="J9630" t="s">
        <v>29752</v>
      </c>
      <c r="K9630" t="s">
        <v>38485</v>
      </c>
      <c r="L9630" t="s">
        <v>1680</v>
      </c>
      <c r="M9630" t="s">
        <v>40540</v>
      </c>
      <c r="N9630" t="s">
        <v>42669</v>
      </c>
      <c r="O9630" t="s">
        <v>42670</v>
      </c>
      <c r="P9630">
        <v>0</v>
      </c>
      <c r="Q9630">
        <v>2</v>
      </c>
      <c r="R9630" t="s">
        <v>42681</v>
      </c>
      <c r="S9630" t="s">
        <v>42966</v>
      </c>
      <c r="T9630" t="s">
        <v>44432</v>
      </c>
      <c r="U9630" t="s">
        <v>52697</v>
      </c>
      <c r="V9630" t="s">
        <v>56879</v>
      </c>
      <c r="W9630" t="s">
        <v>40540</v>
      </c>
      <c r="X9630" t="s">
        <v>42682</v>
      </c>
    </row>
    <row r="9631" spans="1:24">
      <c r="A9631">
        <f>HYPERLINK("https://www.philgeps.gov.ph/GEPSNONPILOT/Tender/SplashBidNoticeAbstractUI.aspx?menuIndex=3&amp;refID=7176854&amp;Result=3","7176854")</f>
        <v>0</v>
      </c>
      <c r="B9631" t="s">
        <v>2870</v>
      </c>
      <c r="C9631" t="s">
        <v>12716</v>
      </c>
      <c r="D9631" t="s">
        <v>17170</v>
      </c>
      <c r="E9631" t="s">
        <v>25489</v>
      </c>
      <c r="F9631" t="s">
        <v>29372</v>
      </c>
      <c r="G9631" t="s">
        <v>29380</v>
      </c>
      <c r="H9631" t="s">
        <v>29389</v>
      </c>
      <c r="I9631" t="s">
        <v>10408</v>
      </c>
      <c r="J9631" t="s">
        <v>29590</v>
      </c>
      <c r="K9631" t="s">
        <v>38496</v>
      </c>
      <c r="M9631" t="s">
        <v>41865</v>
      </c>
      <c r="N9631" t="s">
        <v>42669</v>
      </c>
      <c r="O9631" t="s">
        <v>42670</v>
      </c>
      <c r="P9631">
        <v>0</v>
      </c>
      <c r="Q9631">
        <v>0</v>
      </c>
      <c r="R9631" t="s">
        <v>42682</v>
      </c>
      <c r="S9631" t="s">
        <v>42984</v>
      </c>
      <c r="T9631" t="s">
        <v>44488</v>
      </c>
      <c r="U9631" t="s">
        <v>52698</v>
      </c>
      <c r="W9631" t="s">
        <v>41865</v>
      </c>
      <c r="X9631" t="s">
        <v>42683</v>
      </c>
    </row>
    <row r="9632" spans="1:24">
      <c r="A9632">
        <f>HYPERLINK("https://www.philgeps.gov.ph/GEPSNONPILOT/Tender/SplashBidNoticeAbstractUI.aspx?menuIndex=3&amp;refID=7176892&amp;Result=3","7176892")</f>
        <v>0</v>
      </c>
      <c r="B9632" t="s">
        <v>380</v>
      </c>
      <c r="C9632" t="s">
        <v>12717</v>
      </c>
      <c r="D9632" t="s">
        <v>17160</v>
      </c>
      <c r="E9632" t="s">
        <v>25490</v>
      </c>
      <c r="F9632" t="s">
        <v>29372</v>
      </c>
      <c r="G9632" t="s">
        <v>29380</v>
      </c>
      <c r="H9632" t="s">
        <v>11048</v>
      </c>
      <c r="I9632" t="s">
        <v>29433</v>
      </c>
      <c r="J9632" t="s">
        <v>35665</v>
      </c>
      <c r="K9632" t="s">
        <v>38485</v>
      </c>
      <c r="M9632" t="s">
        <v>39142</v>
      </c>
      <c r="N9632" t="s">
        <v>42669</v>
      </c>
      <c r="O9632" t="s">
        <v>42670</v>
      </c>
      <c r="P9632">
        <v>0</v>
      </c>
      <c r="Q9632">
        <v>8</v>
      </c>
      <c r="R9632" t="s">
        <v>42682</v>
      </c>
      <c r="S9632" t="s">
        <v>42984</v>
      </c>
      <c r="T9632" t="s">
        <v>44438</v>
      </c>
      <c r="U9632" t="s">
        <v>52699</v>
      </c>
      <c r="V9632" t="s">
        <v>57434</v>
      </c>
      <c r="W9632" t="s">
        <v>39142</v>
      </c>
      <c r="X9632" t="s">
        <v>42683</v>
      </c>
    </row>
    <row r="9633" spans="1:24">
      <c r="A9633">
        <f>HYPERLINK("https://www.philgeps.gov.ph/GEPSNONPILOT/Tender/SplashBidNoticeAbstractUI.aspx?menuIndex=3&amp;refID=7176688&amp;Result=3","7176688")</f>
        <v>0</v>
      </c>
      <c r="B9633" t="s">
        <v>2868</v>
      </c>
      <c r="C9633" t="s">
        <v>12718</v>
      </c>
      <c r="D9633" t="s">
        <v>17168</v>
      </c>
      <c r="E9633" t="s">
        <v>18734</v>
      </c>
      <c r="F9633" t="s">
        <v>29372</v>
      </c>
      <c r="G9633" t="s">
        <v>29380</v>
      </c>
      <c r="H9633" t="s">
        <v>11048</v>
      </c>
      <c r="I9633" t="s">
        <v>29407</v>
      </c>
      <c r="J9633" t="s">
        <v>29549</v>
      </c>
      <c r="K9633" t="s">
        <v>38485</v>
      </c>
      <c r="M9633" t="s">
        <v>41863</v>
      </c>
      <c r="N9633" t="s">
        <v>42669</v>
      </c>
      <c r="O9633" t="s">
        <v>42670</v>
      </c>
      <c r="Q9633">
        <v>13</v>
      </c>
      <c r="R9633" t="s">
        <v>42682</v>
      </c>
      <c r="S9633" t="s">
        <v>43047</v>
      </c>
      <c r="T9633" t="s">
        <v>44457</v>
      </c>
      <c r="U9633" t="s">
        <v>52677</v>
      </c>
      <c r="W9633" t="s">
        <v>41863</v>
      </c>
      <c r="X9633" t="s">
        <v>42683</v>
      </c>
    </row>
    <row r="9634" spans="1:24">
      <c r="A9634">
        <f>HYPERLINK("https://www.philgeps.gov.ph/GEPSNONPILOT/Tender/SplashBidNoticeAbstractUI.aspx?menuIndex=3&amp;refID=7176495&amp;Result=3","7176495")</f>
        <v>0</v>
      </c>
      <c r="B9634" t="s">
        <v>2873</v>
      </c>
      <c r="C9634" t="s">
        <v>12719</v>
      </c>
      <c r="D9634" t="s">
        <v>17180</v>
      </c>
      <c r="E9634" t="s">
        <v>25491</v>
      </c>
      <c r="F9634" t="s">
        <v>29372</v>
      </c>
      <c r="G9634" t="s">
        <v>29380</v>
      </c>
      <c r="H9634" t="s">
        <v>11048</v>
      </c>
      <c r="I9634" t="s">
        <v>4709</v>
      </c>
      <c r="J9634" t="s">
        <v>35666</v>
      </c>
      <c r="K9634" t="s">
        <v>38534</v>
      </c>
      <c r="M9634" t="s">
        <v>41868</v>
      </c>
      <c r="N9634" t="s">
        <v>42669</v>
      </c>
      <c r="O9634" t="s">
        <v>42670</v>
      </c>
      <c r="P9634">
        <v>0</v>
      </c>
      <c r="Q9634">
        <v>4</v>
      </c>
      <c r="R9634" t="s">
        <v>42682</v>
      </c>
      <c r="S9634" t="s">
        <v>42984</v>
      </c>
      <c r="T9634" t="s">
        <v>44417</v>
      </c>
      <c r="U9634" t="s">
        <v>52700</v>
      </c>
      <c r="W9634" t="s">
        <v>41868</v>
      </c>
      <c r="X9634" t="s">
        <v>42683</v>
      </c>
    </row>
    <row r="9635" spans="1:24">
      <c r="A9635">
        <f>HYPERLINK("https://www.philgeps.gov.ph/GEPSNONPILOT/Tender/SplashBidNoticeAbstractUI.aspx?menuIndex=3&amp;refID=7176562&amp;Result=3","7176562")</f>
        <v>0</v>
      </c>
      <c r="B9635" t="s">
        <v>669</v>
      </c>
      <c r="C9635" t="s">
        <v>12720</v>
      </c>
      <c r="D9635" t="s">
        <v>17147</v>
      </c>
      <c r="E9635" t="s">
        <v>25492</v>
      </c>
      <c r="F9635" t="s">
        <v>29372</v>
      </c>
      <c r="G9635" t="s">
        <v>29380</v>
      </c>
      <c r="H9635" t="s">
        <v>29389</v>
      </c>
      <c r="I9635" t="s">
        <v>10408</v>
      </c>
      <c r="J9635" t="s">
        <v>35667</v>
      </c>
      <c r="K9635" t="s">
        <v>38507</v>
      </c>
      <c r="M9635" t="s">
        <v>41046</v>
      </c>
      <c r="N9635" t="s">
        <v>42669</v>
      </c>
      <c r="O9635" t="s">
        <v>42670</v>
      </c>
      <c r="P9635">
        <v>0</v>
      </c>
      <c r="Q9635">
        <v>0</v>
      </c>
      <c r="R9635" t="s">
        <v>42682</v>
      </c>
      <c r="S9635" t="s">
        <v>42984</v>
      </c>
      <c r="T9635" t="s">
        <v>44412</v>
      </c>
      <c r="U9635" t="s">
        <v>52701</v>
      </c>
      <c r="V9635" t="s">
        <v>57435</v>
      </c>
      <c r="W9635" t="s">
        <v>41046</v>
      </c>
      <c r="X9635" t="s">
        <v>42683</v>
      </c>
    </row>
    <row r="9636" spans="1:24">
      <c r="A9636">
        <f>HYPERLINK("https://www.philgeps.gov.ph/GEPSNONPILOT/Tender/SplashBidNoticeAbstractUI.aspx?menuIndex=3&amp;refID=7176875&amp;Result=3","7176875")</f>
        <v>0</v>
      </c>
      <c r="B9636" t="s">
        <v>886</v>
      </c>
      <c r="C9636" t="s">
        <v>12721</v>
      </c>
      <c r="D9636" t="s">
        <v>17189</v>
      </c>
      <c r="E9636" t="s">
        <v>25493</v>
      </c>
      <c r="F9636" t="s">
        <v>29372</v>
      </c>
      <c r="G9636" t="s">
        <v>29380</v>
      </c>
      <c r="H9636" t="s">
        <v>11048</v>
      </c>
      <c r="I9636" t="s">
        <v>4709</v>
      </c>
      <c r="J9636" t="s">
        <v>35668</v>
      </c>
      <c r="K9636" t="s">
        <v>38567</v>
      </c>
      <c r="M9636" t="s">
        <v>39678</v>
      </c>
      <c r="N9636" t="s">
        <v>42669</v>
      </c>
      <c r="O9636" t="s">
        <v>42670</v>
      </c>
      <c r="P9636">
        <v>0</v>
      </c>
      <c r="Q9636">
        <v>4</v>
      </c>
      <c r="R9636" t="s">
        <v>42682</v>
      </c>
      <c r="S9636" t="s">
        <v>42984</v>
      </c>
      <c r="T9636" t="s">
        <v>44452</v>
      </c>
      <c r="U9636" t="s">
        <v>52702</v>
      </c>
      <c r="W9636" t="s">
        <v>39678</v>
      </c>
      <c r="X9636" t="s">
        <v>42683</v>
      </c>
    </row>
    <row r="9637" spans="1:24">
      <c r="A9637">
        <f>HYPERLINK("https://www.philgeps.gov.ph/GEPSNONPILOT/Tender/SplashBidNoticeAbstractUI.aspx?menuIndex=3&amp;refID=7176860&amp;Result=3","7176860")</f>
        <v>0</v>
      </c>
      <c r="B9637" t="s">
        <v>2870</v>
      </c>
      <c r="C9637" t="s">
        <v>12722</v>
      </c>
      <c r="D9637" t="s">
        <v>17170</v>
      </c>
      <c r="E9637" t="s">
        <v>25494</v>
      </c>
      <c r="F9637" t="s">
        <v>29372</v>
      </c>
      <c r="G9637" t="s">
        <v>29380</v>
      </c>
      <c r="H9637" t="s">
        <v>29389</v>
      </c>
      <c r="I9637" t="s">
        <v>10408</v>
      </c>
      <c r="J9637" t="s">
        <v>35669</v>
      </c>
      <c r="K9637" t="s">
        <v>38485</v>
      </c>
      <c r="M9637" t="s">
        <v>41865</v>
      </c>
      <c r="N9637" t="s">
        <v>42669</v>
      </c>
      <c r="O9637" t="s">
        <v>42670</v>
      </c>
      <c r="P9637">
        <v>0</v>
      </c>
      <c r="Q9637">
        <v>0</v>
      </c>
      <c r="R9637" t="s">
        <v>42682</v>
      </c>
      <c r="S9637" t="s">
        <v>42984</v>
      </c>
      <c r="T9637" t="s">
        <v>44488</v>
      </c>
      <c r="U9637" t="s">
        <v>52703</v>
      </c>
      <c r="W9637" t="s">
        <v>41865</v>
      </c>
      <c r="X9637" t="s">
        <v>42683</v>
      </c>
    </row>
    <row r="9638" spans="1:24">
      <c r="A9638">
        <f>HYPERLINK("https://www.philgeps.gov.ph/GEPSNONPILOT/Tender/SplashBidNoticeAbstractUI.aspx?menuIndex=3&amp;refID=7176855&amp;Result=3","7176855")</f>
        <v>0</v>
      </c>
      <c r="B9638" t="s">
        <v>2201</v>
      </c>
      <c r="C9638" t="s">
        <v>12723</v>
      </c>
      <c r="D9638" t="s">
        <v>17168</v>
      </c>
      <c r="E9638" t="s">
        <v>25495</v>
      </c>
      <c r="F9638" t="s">
        <v>29372</v>
      </c>
      <c r="G9638" t="s">
        <v>29380</v>
      </c>
      <c r="H9638" t="s">
        <v>29389</v>
      </c>
      <c r="I9638" t="s">
        <v>10408</v>
      </c>
      <c r="J9638" t="s">
        <v>35670</v>
      </c>
      <c r="K9638" t="s">
        <v>38523</v>
      </c>
      <c r="M9638" t="s">
        <v>41116</v>
      </c>
      <c r="N9638" t="s">
        <v>42669</v>
      </c>
      <c r="O9638" t="s">
        <v>42670</v>
      </c>
      <c r="Q9638">
        <v>10</v>
      </c>
      <c r="R9638" t="s">
        <v>42682</v>
      </c>
      <c r="S9638" t="s">
        <v>43048</v>
      </c>
      <c r="T9638" t="s">
        <v>44368</v>
      </c>
      <c r="U9638" t="s">
        <v>52704</v>
      </c>
      <c r="W9638" t="s">
        <v>41116</v>
      </c>
      <c r="X9638" t="s">
        <v>42683</v>
      </c>
    </row>
    <row r="9639" spans="1:24">
      <c r="A9639">
        <f>HYPERLINK("https://www.philgeps.gov.ph/GEPSNONPILOT/Tender/SplashBidNoticeAbstractUI.aspx?menuIndex=3&amp;refID=7176933&amp;Result=3","7176933")</f>
        <v>0</v>
      </c>
      <c r="B9639" t="s">
        <v>1429</v>
      </c>
      <c r="C9639" t="s">
        <v>12724</v>
      </c>
      <c r="D9639" t="s">
        <v>17188</v>
      </c>
      <c r="E9639" t="s">
        <v>25496</v>
      </c>
      <c r="F9639" t="s">
        <v>29372</v>
      </c>
      <c r="G9639" t="s">
        <v>29380</v>
      </c>
      <c r="H9639" t="s">
        <v>11048</v>
      </c>
      <c r="I9639" t="s">
        <v>4487</v>
      </c>
      <c r="J9639" t="s">
        <v>35671</v>
      </c>
      <c r="K9639" t="s">
        <v>38485</v>
      </c>
      <c r="M9639" t="s">
        <v>40269</v>
      </c>
      <c r="N9639" t="s">
        <v>42669</v>
      </c>
      <c r="O9639" t="s">
        <v>42670</v>
      </c>
      <c r="P9639">
        <v>0</v>
      </c>
      <c r="Q9639">
        <v>9</v>
      </c>
      <c r="R9639" t="s">
        <v>42682</v>
      </c>
      <c r="S9639" t="s">
        <v>42984</v>
      </c>
      <c r="T9639" t="s">
        <v>44446</v>
      </c>
      <c r="U9639" t="s">
        <v>52705</v>
      </c>
      <c r="W9639" t="s">
        <v>40269</v>
      </c>
      <c r="X9639" t="s">
        <v>42683</v>
      </c>
    </row>
    <row r="9640" spans="1:24">
      <c r="A9640">
        <f>HYPERLINK("https://www.philgeps.gov.ph/GEPSNONPILOT/Tender/SplashBidNoticeAbstractUI.aspx?menuIndex=3&amp;refID=7176881&amp;Result=3","7176881")</f>
        <v>0</v>
      </c>
      <c r="B9640" t="s">
        <v>2201</v>
      </c>
      <c r="C9640" t="s">
        <v>12725</v>
      </c>
      <c r="D9640" t="s">
        <v>17168</v>
      </c>
      <c r="E9640" t="s">
        <v>25497</v>
      </c>
      <c r="F9640" t="s">
        <v>29372</v>
      </c>
      <c r="G9640" t="s">
        <v>29380</v>
      </c>
      <c r="H9640" t="s">
        <v>11048</v>
      </c>
      <c r="I9640" t="s">
        <v>8614</v>
      </c>
      <c r="J9640" t="s">
        <v>33081</v>
      </c>
      <c r="K9640" t="s">
        <v>38485</v>
      </c>
      <c r="M9640" t="s">
        <v>41116</v>
      </c>
      <c r="N9640" t="s">
        <v>42669</v>
      </c>
      <c r="O9640" t="s">
        <v>42670</v>
      </c>
      <c r="Q9640">
        <v>6</v>
      </c>
      <c r="R9640" t="s">
        <v>42682</v>
      </c>
      <c r="S9640" t="s">
        <v>43049</v>
      </c>
      <c r="T9640" t="s">
        <v>44664</v>
      </c>
      <c r="U9640" t="s">
        <v>52706</v>
      </c>
      <c r="W9640" t="s">
        <v>41116</v>
      </c>
      <c r="X9640" t="s">
        <v>42683</v>
      </c>
    </row>
    <row r="9641" spans="1:24">
      <c r="A9641">
        <f>HYPERLINK("https://www.philgeps.gov.ph/GEPSNONPILOT/Tender/SplashBidNoticeAbstractUI.aspx?menuIndex=3&amp;refID=7176883&amp;Result=3","7176883")</f>
        <v>0</v>
      </c>
      <c r="B9641" t="s">
        <v>616</v>
      </c>
      <c r="C9641" t="s">
        <v>12726</v>
      </c>
      <c r="D9641" t="s">
        <v>17204</v>
      </c>
      <c r="E9641" t="s">
        <v>25498</v>
      </c>
      <c r="F9641" t="s">
        <v>29372</v>
      </c>
      <c r="G9641" t="s">
        <v>29380</v>
      </c>
      <c r="H9641" t="s">
        <v>11048</v>
      </c>
      <c r="I9641" t="s">
        <v>29433</v>
      </c>
      <c r="J9641" t="s">
        <v>35672</v>
      </c>
      <c r="K9641" t="s">
        <v>38485</v>
      </c>
      <c r="M9641" t="s">
        <v>41869</v>
      </c>
      <c r="N9641" t="s">
        <v>42669</v>
      </c>
      <c r="O9641" t="s">
        <v>42670</v>
      </c>
      <c r="P9641">
        <v>0</v>
      </c>
      <c r="Q9641">
        <v>28</v>
      </c>
      <c r="R9641" t="s">
        <v>42682</v>
      </c>
      <c r="S9641" t="s">
        <v>42984</v>
      </c>
      <c r="T9641" t="s">
        <v>44507</v>
      </c>
      <c r="U9641" t="s">
        <v>52707</v>
      </c>
      <c r="W9641" t="s">
        <v>41869</v>
      </c>
      <c r="X9641" t="s">
        <v>42683</v>
      </c>
    </row>
    <row r="9642" spans="1:24">
      <c r="A9642">
        <f>HYPERLINK("https://www.philgeps.gov.ph/GEPSNONPILOT/Tender/SplashBidNoticeAbstractUI.aspx?menuIndex=3&amp;refID=7176876&amp;Result=3","7176876")</f>
        <v>0</v>
      </c>
      <c r="B9642" t="s">
        <v>141</v>
      </c>
      <c r="C9642" t="s">
        <v>12727</v>
      </c>
      <c r="D9642" t="s">
        <v>17170</v>
      </c>
      <c r="E9642" t="s">
        <v>25499</v>
      </c>
      <c r="F9642" t="s">
        <v>29372</v>
      </c>
      <c r="G9642" t="s">
        <v>29380</v>
      </c>
      <c r="H9642" t="s">
        <v>29389</v>
      </c>
      <c r="I9642" t="s">
        <v>10408</v>
      </c>
      <c r="J9642" t="s">
        <v>35673</v>
      </c>
      <c r="K9642" t="s">
        <v>38515</v>
      </c>
      <c r="M9642" t="s">
        <v>41853</v>
      </c>
      <c r="N9642" t="s">
        <v>42669</v>
      </c>
      <c r="O9642" t="s">
        <v>42670</v>
      </c>
      <c r="Q9642">
        <v>0</v>
      </c>
      <c r="R9642" t="s">
        <v>42682</v>
      </c>
      <c r="S9642" t="s">
        <v>43050</v>
      </c>
      <c r="T9642" t="s">
        <v>44373</v>
      </c>
      <c r="U9642" t="s">
        <v>52708</v>
      </c>
      <c r="W9642" t="s">
        <v>41853</v>
      </c>
      <c r="X9642" t="s">
        <v>42683</v>
      </c>
    </row>
    <row r="9643" spans="1:24">
      <c r="A9643">
        <f>HYPERLINK("https://www.philgeps.gov.ph/GEPSNONPILOT/Tender/SplashBidNoticeAbstractUI.aspx?menuIndex=3&amp;refID=7176935&amp;Result=3","7176935")</f>
        <v>0</v>
      </c>
      <c r="B9643" t="s">
        <v>2731</v>
      </c>
      <c r="C9643" t="s">
        <v>12728</v>
      </c>
      <c r="D9643" t="s">
        <v>17168</v>
      </c>
      <c r="E9643" t="s">
        <v>17404</v>
      </c>
      <c r="F9643" t="s">
        <v>29372</v>
      </c>
      <c r="G9643" t="s">
        <v>29380</v>
      </c>
      <c r="H9643" t="s">
        <v>29389</v>
      </c>
      <c r="I9643" t="s">
        <v>10408</v>
      </c>
      <c r="J9643" t="s">
        <v>29824</v>
      </c>
      <c r="K9643" t="s">
        <v>38644</v>
      </c>
      <c r="M9643" t="s">
        <v>41714</v>
      </c>
      <c r="N9643" t="s">
        <v>42669</v>
      </c>
      <c r="O9643" t="s">
        <v>42670</v>
      </c>
      <c r="P9643">
        <v>0</v>
      </c>
      <c r="Q9643">
        <v>0</v>
      </c>
      <c r="R9643" t="s">
        <v>42682</v>
      </c>
      <c r="S9643" t="s">
        <v>42984</v>
      </c>
      <c r="T9643" t="s">
        <v>44424</v>
      </c>
      <c r="U9643" t="s">
        <v>52709</v>
      </c>
      <c r="V9643" t="s">
        <v>57436</v>
      </c>
      <c r="W9643" t="s">
        <v>41714</v>
      </c>
      <c r="X9643" t="s">
        <v>42683</v>
      </c>
    </row>
    <row r="9644" spans="1:24">
      <c r="A9644">
        <f>HYPERLINK("https://www.philgeps.gov.ph/GEPSNONPILOT/Tender/SplashBidNoticeAbstractUI.aspx?menuIndex=3&amp;refID=7176930&amp;Result=3","7176930")</f>
        <v>0</v>
      </c>
      <c r="B9644" t="s">
        <v>2874</v>
      </c>
      <c r="C9644" t="s">
        <v>12729</v>
      </c>
      <c r="D9644" t="s">
        <v>17141</v>
      </c>
      <c r="E9644" t="s">
        <v>25500</v>
      </c>
      <c r="F9644" t="s">
        <v>29372</v>
      </c>
      <c r="G9644" t="s">
        <v>29380</v>
      </c>
      <c r="H9644" t="s">
        <v>29389</v>
      </c>
      <c r="I9644" t="s">
        <v>10408</v>
      </c>
      <c r="J9644" t="s">
        <v>29724</v>
      </c>
      <c r="K9644" t="s">
        <v>38527</v>
      </c>
      <c r="M9644" t="s">
        <v>41870</v>
      </c>
      <c r="N9644" t="s">
        <v>42669</v>
      </c>
      <c r="O9644" t="s">
        <v>42670</v>
      </c>
      <c r="Q9644">
        <v>4</v>
      </c>
      <c r="R9644" t="s">
        <v>42682</v>
      </c>
      <c r="S9644" t="s">
        <v>43051</v>
      </c>
      <c r="T9644" t="s">
        <v>44412</v>
      </c>
      <c r="U9644" t="s">
        <v>52710</v>
      </c>
      <c r="W9644" t="s">
        <v>41870</v>
      </c>
      <c r="X9644" t="s">
        <v>42683</v>
      </c>
    </row>
    <row r="9645" spans="1:24">
      <c r="A9645">
        <f>HYPERLINK("https://www.philgeps.gov.ph/GEPSNONPILOT/Tender/SplashBidNoticeAbstractUI.aspx?menuIndex=3&amp;refID=7176921&amp;Result=3","7176921")</f>
        <v>0</v>
      </c>
      <c r="B9645" t="s">
        <v>141</v>
      </c>
      <c r="C9645" t="s">
        <v>12730</v>
      </c>
      <c r="D9645" t="s">
        <v>17170</v>
      </c>
      <c r="E9645" t="s">
        <v>25501</v>
      </c>
      <c r="F9645" t="s">
        <v>29372</v>
      </c>
      <c r="G9645" t="s">
        <v>29380</v>
      </c>
      <c r="H9645" t="s">
        <v>29389</v>
      </c>
      <c r="I9645" t="s">
        <v>10408</v>
      </c>
      <c r="J9645" t="s">
        <v>35674</v>
      </c>
      <c r="K9645" t="s">
        <v>38526</v>
      </c>
      <c r="M9645" t="s">
        <v>41853</v>
      </c>
      <c r="N9645" t="s">
        <v>42669</v>
      </c>
      <c r="O9645" t="s">
        <v>42670</v>
      </c>
      <c r="Q9645">
        <v>2</v>
      </c>
      <c r="R9645" t="s">
        <v>42682</v>
      </c>
      <c r="S9645" t="s">
        <v>43052</v>
      </c>
      <c r="T9645" t="s">
        <v>44373</v>
      </c>
      <c r="U9645" t="s">
        <v>52711</v>
      </c>
      <c r="W9645" t="s">
        <v>41853</v>
      </c>
      <c r="X9645" t="s">
        <v>42683</v>
      </c>
    </row>
    <row r="9646" spans="1:24">
      <c r="A9646">
        <f>HYPERLINK("https://www.philgeps.gov.ph/GEPSNONPILOT/Tender/SplashBidNoticeAbstractUI.aspx?menuIndex=3&amp;refID=7176910&amp;Result=3","7176910")</f>
        <v>0</v>
      </c>
      <c r="B9646" t="s">
        <v>616</v>
      </c>
      <c r="C9646" t="s">
        <v>12731</v>
      </c>
      <c r="D9646" t="s">
        <v>17204</v>
      </c>
      <c r="E9646" t="s">
        <v>25502</v>
      </c>
      <c r="F9646" t="s">
        <v>29372</v>
      </c>
      <c r="G9646" t="s">
        <v>29380</v>
      </c>
      <c r="H9646" t="s">
        <v>11048</v>
      </c>
      <c r="I9646" t="s">
        <v>29433</v>
      </c>
      <c r="J9646" t="s">
        <v>35675</v>
      </c>
      <c r="K9646" t="s">
        <v>38485</v>
      </c>
      <c r="M9646" t="s">
        <v>41869</v>
      </c>
      <c r="N9646" t="s">
        <v>42669</v>
      </c>
      <c r="O9646" t="s">
        <v>42670</v>
      </c>
      <c r="P9646">
        <v>0</v>
      </c>
      <c r="Q9646">
        <v>24</v>
      </c>
      <c r="R9646" t="s">
        <v>42682</v>
      </c>
      <c r="S9646" t="s">
        <v>42984</v>
      </c>
      <c r="T9646" t="s">
        <v>44507</v>
      </c>
      <c r="U9646" t="s">
        <v>52712</v>
      </c>
      <c r="W9646" t="s">
        <v>41869</v>
      </c>
      <c r="X9646" t="s">
        <v>42683</v>
      </c>
    </row>
    <row r="9647" spans="1:24">
      <c r="A9647">
        <f>HYPERLINK("https://www.philgeps.gov.ph/GEPSNONPILOT/Tender/SplashBidNoticeAbstractUI.aspx?menuIndex=3&amp;refID=7176940&amp;Result=3","7176940")</f>
        <v>0</v>
      </c>
      <c r="B9647" t="s">
        <v>1046</v>
      </c>
      <c r="C9647" t="s">
        <v>12732</v>
      </c>
      <c r="D9647" t="s">
        <v>17178</v>
      </c>
      <c r="E9647" t="s">
        <v>25503</v>
      </c>
      <c r="F9647" t="s">
        <v>29372</v>
      </c>
      <c r="G9647" t="s">
        <v>29380</v>
      </c>
      <c r="H9647" t="s">
        <v>11048</v>
      </c>
      <c r="I9647" t="s">
        <v>29393</v>
      </c>
      <c r="J9647" t="s">
        <v>35676</v>
      </c>
      <c r="K9647" t="s">
        <v>38488</v>
      </c>
      <c r="M9647" t="s">
        <v>39851</v>
      </c>
      <c r="N9647" t="s">
        <v>42669</v>
      </c>
      <c r="O9647" t="s">
        <v>42670</v>
      </c>
      <c r="P9647">
        <v>0</v>
      </c>
      <c r="Q9647">
        <v>1</v>
      </c>
      <c r="R9647" t="s">
        <v>42682</v>
      </c>
      <c r="S9647" t="s">
        <v>42984</v>
      </c>
      <c r="T9647" t="s">
        <v>44527</v>
      </c>
      <c r="U9647" t="s">
        <v>51905</v>
      </c>
      <c r="W9647" t="s">
        <v>39851</v>
      </c>
      <c r="X9647" t="s">
        <v>42683</v>
      </c>
    </row>
    <row r="9648" spans="1:24">
      <c r="A9648">
        <f>HYPERLINK("https://www.philgeps.gov.ph/GEPSNONPILOT/Tender/SplashBidNoticeAbstractUI.aspx?menuIndex=3&amp;refID=7176905&amp;Result=3","7176905")</f>
        <v>0</v>
      </c>
      <c r="B9648" t="s">
        <v>1429</v>
      </c>
      <c r="C9648" t="s">
        <v>12733</v>
      </c>
      <c r="D9648" t="s">
        <v>17188</v>
      </c>
      <c r="E9648" t="s">
        <v>25504</v>
      </c>
      <c r="F9648" t="s">
        <v>29372</v>
      </c>
      <c r="G9648" t="s">
        <v>29380</v>
      </c>
      <c r="H9648" t="s">
        <v>11048</v>
      </c>
      <c r="I9648" t="s">
        <v>3670</v>
      </c>
      <c r="J9648" t="s">
        <v>35677</v>
      </c>
      <c r="K9648" t="s">
        <v>38485</v>
      </c>
      <c r="M9648" t="s">
        <v>40269</v>
      </c>
      <c r="N9648" t="s">
        <v>42669</v>
      </c>
      <c r="O9648" t="s">
        <v>42670</v>
      </c>
      <c r="P9648">
        <v>0</v>
      </c>
      <c r="Q9648">
        <v>6</v>
      </c>
      <c r="R9648" t="s">
        <v>42682</v>
      </c>
      <c r="S9648" t="s">
        <v>42984</v>
      </c>
      <c r="T9648" t="s">
        <v>44446</v>
      </c>
      <c r="U9648" t="s">
        <v>52713</v>
      </c>
      <c r="W9648" t="s">
        <v>40269</v>
      </c>
      <c r="X9648" t="s">
        <v>42683</v>
      </c>
    </row>
    <row r="9649" spans="1:24">
      <c r="A9649">
        <f>HYPERLINK("https://www.philgeps.gov.ph/GEPSNONPILOT/Tender/SplashBidNoticeAbstractUI.aspx?menuIndex=3&amp;refID=7176900&amp;Result=3","7176900")</f>
        <v>0</v>
      </c>
      <c r="B9649" t="s">
        <v>1231</v>
      </c>
      <c r="C9649" t="s">
        <v>12734</v>
      </c>
      <c r="D9649" t="s">
        <v>17191</v>
      </c>
      <c r="E9649" t="s">
        <v>25505</v>
      </c>
      <c r="F9649" t="s">
        <v>29372</v>
      </c>
      <c r="G9649" t="s">
        <v>29380</v>
      </c>
      <c r="H9649" t="s">
        <v>11048</v>
      </c>
      <c r="I9649" t="s">
        <v>29394</v>
      </c>
      <c r="J9649" t="s">
        <v>29931</v>
      </c>
      <c r="K9649" t="s">
        <v>38538</v>
      </c>
      <c r="M9649" t="s">
        <v>40052</v>
      </c>
      <c r="N9649" t="s">
        <v>42669</v>
      </c>
      <c r="O9649" t="s">
        <v>42670</v>
      </c>
      <c r="P9649">
        <v>0</v>
      </c>
      <c r="Q9649">
        <v>0</v>
      </c>
      <c r="R9649" t="s">
        <v>42682</v>
      </c>
      <c r="S9649" t="s">
        <v>42984</v>
      </c>
      <c r="T9649" t="s">
        <v>44491</v>
      </c>
      <c r="U9649" t="s">
        <v>52714</v>
      </c>
      <c r="W9649" t="s">
        <v>40052</v>
      </c>
      <c r="X9649" t="s">
        <v>42683</v>
      </c>
    </row>
    <row r="9650" spans="1:24">
      <c r="A9650">
        <f>HYPERLINK("https://www.philgeps.gov.ph/GEPSNONPILOT/Tender/SplashBidNoticeAbstractUI.aspx?menuIndex=3&amp;refID=7176959&amp;Result=3","7176959")</f>
        <v>0</v>
      </c>
      <c r="B9650" t="s">
        <v>1380</v>
      </c>
      <c r="C9650" t="s">
        <v>12735</v>
      </c>
      <c r="D9650" t="s">
        <v>17200</v>
      </c>
      <c r="E9650" t="s">
        <v>25506</v>
      </c>
      <c r="F9650" t="s">
        <v>29372</v>
      </c>
      <c r="G9650" t="s">
        <v>29380</v>
      </c>
      <c r="H9650" t="s">
        <v>29389</v>
      </c>
      <c r="I9650" t="s">
        <v>10408</v>
      </c>
      <c r="J9650" t="s">
        <v>35599</v>
      </c>
      <c r="K9650" t="s">
        <v>38622</v>
      </c>
      <c r="M9650" t="s">
        <v>40217</v>
      </c>
      <c r="N9650" t="s">
        <v>42669</v>
      </c>
      <c r="O9650" t="s">
        <v>42670</v>
      </c>
      <c r="Q9650">
        <v>0</v>
      </c>
      <c r="R9650" t="s">
        <v>42682</v>
      </c>
      <c r="S9650" t="s">
        <v>43053</v>
      </c>
      <c r="T9650" t="s">
        <v>44419</v>
      </c>
      <c r="U9650" t="s">
        <v>52715</v>
      </c>
      <c r="V9650" t="s">
        <v>57437</v>
      </c>
      <c r="W9650" t="s">
        <v>40217</v>
      </c>
      <c r="X9650" t="s">
        <v>42683</v>
      </c>
    </row>
    <row r="9651" spans="1:24">
      <c r="A9651">
        <f>HYPERLINK("https://www.philgeps.gov.ph/GEPSNONPILOT/Tender/SplashBidNoticeAbstractUI.aspx?menuIndex=3&amp;refID=7176954&amp;Result=3","7176954")</f>
        <v>0</v>
      </c>
      <c r="B9651" t="s">
        <v>882</v>
      </c>
      <c r="C9651" t="s">
        <v>12736</v>
      </c>
      <c r="D9651" t="s">
        <v>17193</v>
      </c>
      <c r="E9651" t="s">
        <v>25507</v>
      </c>
      <c r="F9651" t="s">
        <v>29372</v>
      </c>
      <c r="G9651" t="s">
        <v>29380</v>
      </c>
      <c r="H9651" t="s">
        <v>11048</v>
      </c>
      <c r="I9651" t="s">
        <v>4486</v>
      </c>
      <c r="J9651" t="s">
        <v>35678</v>
      </c>
      <c r="K9651" t="s">
        <v>38490</v>
      </c>
      <c r="M9651" t="s">
        <v>40723</v>
      </c>
      <c r="N9651" t="s">
        <v>42669</v>
      </c>
      <c r="O9651" t="s">
        <v>42670</v>
      </c>
      <c r="P9651">
        <v>0</v>
      </c>
      <c r="Q9651">
        <v>10</v>
      </c>
      <c r="R9651" t="s">
        <v>42682</v>
      </c>
      <c r="S9651" t="s">
        <v>42984</v>
      </c>
      <c r="T9651" t="s">
        <v>44515</v>
      </c>
      <c r="U9651" t="s">
        <v>52716</v>
      </c>
      <c r="V9651" t="s">
        <v>56948</v>
      </c>
      <c r="W9651" t="s">
        <v>40723</v>
      </c>
      <c r="X9651" t="s">
        <v>42683</v>
      </c>
    </row>
    <row r="9652" spans="1:24">
      <c r="A9652">
        <f>HYPERLINK("https://www.philgeps.gov.ph/GEPSNONPILOT/Tender/SplashBidNoticeAbstractUI.aspx?menuIndex=3&amp;refID=7176953&amp;Result=3","7176953")</f>
        <v>0</v>
      </c>
      <c r="B9652" t="s">
        <v>2875</v>
      </c>
      <c r="C9652" t="s">
        <v>12737</v>
      </c>
      <c r="D9652" t="s">
        <v>17160</v>
      </c>
      <c r="E9652" t="s">
        <v>25508</v>
      </c>
      <c r="F9652" t="s">
        <v>29372</v>
      </c>
      <c r="G9652" t="s">
        <v>29380</v>
      </c>
      <c r="H9652" t="s">
        <v>11048</v>
      </c>
      <c r="I9652" t="s">
        <v>9469</v>
      </c>
      <c r="J9652" t="s">
        <v>29984</v>
      </c>
      <c r="K9652" t="s">
        <v>38488</v>
      </c>
      <c r="M9652" t="s">
        <v>41871</v>
      </c>
      <c r="N9652" t="s">
        <v>42669</v>
      </c>
      <c r="O9652" t="s">
        <v>42670</v>
      </c>
      <c r="P9652">
        <v>0</v>
      </c>
      <c r="Q9652">
        <v>0</v>
      </c>
      <c r="R9652" t="s">
        <v>42682</v>
      </c>
      <c r="S9652" t="s">
        <v>42984</v>
      </c>
      <c r="T9652" t="s">
        <v>44488</v>
      </c>
      <c r="U9652" t="s">
        <v>52717</v>
      </c>
      <c r="V9652" t="s">
        <v>57438</v>
      </c>
      <c r="W9652" t="s">
        <v>41871</v>
      </c>
      <c r="X9652" t="s">
        <v>42683</v>
      </c>
    </row>
    <row r="9653" spans="1:24">
      <c r="A9653">
        <f>HYPERLINK("https://www.philgeps.gov.ph/GEPSNONPILOT/Tender/SplashBidNoticeAbstractUI.aspx?menuIndex=3&amp;refID=7176991&amp;Result=3","7176991")</f>
        <v>0</v>
      </c>
      <c r="B9653" t="s">
        <v>2876</v>
      </c>
      <c r="C9653" t="s">
        <v>12738</v>
      </c>
      <c r="D9653" t="s">
        <v>17145</v>
      </c>
      <c r="E9653" t="s">
        <v>25509</v>
      </c>
      <c r="F9653" t="s">
        <v>29372</v>
      </c>
      <c r="G9653" t="s">
        <v>29380</v>
      </c>
      <c r="H9653" t="s">
        <v>11048</v>
      </c>
      <c r="I9653" t="s">
        <v>4487</v>
      </c>
      <c r="J9653" t="s">
        <v>35679</v>
      </c>
      <c r="K9653" t="s">
        <v>38491</v>
      </c>
      <c r="M9653" t="s">
        <v>41872</v>
      </c>
      <c r="N9653" t="s">
        <v>42669</v>
      </c>
      <c r="O9653" t="s">
        <v>42670</v>
      </c>
      <c r="P9653">
        <v>0</v>
      </c>
      <c r="Q9653">
        <v>15</v>
      </c>
      <c r="R9653" t="s">
        <v>42682</v>
      </c>
      <c r="S9653" t="s">
        <v>42984</v>
      </c>
      <c r="T9653" t="s">
        <v>44460</v>
      </c>
      <c r="U9653" t="s">
        <v>52718</v>
      </c>
      <c r="W9653" t="s">
        <v>41872</v>
      </c>
      <c r="X9653" t="s">
        <v>42683</v>
      </c>
    </row>
    <row r="9654" spans="1:24">
      <c r="A9654">
        <f>HYPERLINK("https://www.philgeps.gov.ph/GEPSNONPILOT/Tender/SplashBidNoticeAbstractUI.aspx?menuIndex=3&amp;refID=7176920&amp;Result=3","7176920")</f>
        <v>0</v>
      </c>
      <c r="B9654" t="s">
        <v>2877</v>
      </c>
      <c r="C9654" t="s">
        <v>12739</v>
      </c>
      <c r="D9654" t="s">
        <v>17173</v>
      </c>
      <c r="E9654" t="s">
        <v>25510</v>
      </c>
      <c r="F9654" t="s">
        <v>29372</v>
      </c>
      <c r="G9654" t="s">
        <v>29384</v>
      </c>
      <c r="H9654" t="s">
        <v>11048</v>
      </c>
      <c r="I9654" t="s">
        <v>4709</v>
      </c>
      <c r="J9654" t="s">
        <v>35680</v>
      </c>
      <c r="K9654" t="s">
        <v>38488</v>
      </c>
      <c r="M9654" t="s">
        <v>41873</v>
      </c>
      <c r="N9654" t="s">
        <v>42669</v>
      </c>
      <c r="O9654" t="s">
        <v>42670</v>
      </c>
      <c r="P9654">
        <v>0</v>
      </c>
      <c r="Q9654">
        <v>0</v>
      </c>
      <c r="R9654" t="s">
        <v>42682</v>
      </c>
      <c r="S9654" t="s">
        <v>42984</v>
      </c>
      <c r="T9654" t="s">
        <v>44409</v>
      </c>
      <c r="U9654" t="s">
        <v>52719</v>
      </c>
      <c r="W9654" t="s">
        <v>41873</v>
      </c>
      <c r="X9654" t="s">
        <v>42683</v>
      </c>
    </row>
    <row r="9655" spans="1:24">
      <c r="A9655">
        <f>HYPERLINK("https://www.philgeps.gov.ph/GEPSNONPILOT/Tender/SplashBidNoticeAbstractUI.aspx?menuIndex=3&amp;refID=7176997&amp;Result=3","7176997")</f>
        <v>0</v>
      </c>
      <c r="B9655" t="s">
        <v>1046</v>
      </c>
      <c r="C9655" t="s">
        <v>12740</v>
      </c>
      <c r="D9655" t="s">
        <v>17178</v>
      </c>
      <c r="E9655" t="s">
        <v>25511</v>
      </c>
      <c r="F9655" t="s">
        <v>29372</v>
      </c>
      <c r="G9655" t="s">
        <v>29380</v>
      </c>
      <c r="H9655" t="s">
        <v>11048</v>
      </c>
      <c r="I9655" t="s">
        <v>4709</v>
      </c>
      <c r="J9655" t="s">
        <v>35681</v>
      </c>
      <c r="K9655" t="s">
        <v>38485</v>
      </c>
      <c r="M9655" t="s">
        <v>39851</v>
      </c>
      <c r="N9655" t="s">
        <v>42669</v>
      </c>
      <c r="O9655" t="s">
        <v>42670</v>
      </c>
      <c r="P9655">
        <v>0</v>
      </c>
      <c r="Q9655">
        <v>7</v>
      </c>
      <c r="R9655" t="s">
        <v>42682</v>
      </c>
      <c r="S9655" t="s">
        <v>42984</v>
      </c>
      <c r="T9655" t="s">
        <v>44527</v>
      </c>
      <c r="U9655" t="s">
        <v>51905</v>
      </c>
      <c r="W9655" t="s">
        <v>39851</v>
      </c>
      <c r="X9655" t="s">
        <v>42683</v>
      </c>
    </row>
    <row r="9656" spans="1:24">
      <c r="A9656">
        <f>HYPERLINK("https://www.philgeps.gov.ph/GEPSNONPILOT/Tender/SplashBidNoticeAbstractUI.aspx?menuIndex=3&amp;refID=7176922&amp;Result=3","7176922")</f>
        <v>0</v>
      </c>
      <c r="B9656" t="s">
        <v>1429</v>
      </c>
      <c r="C9656" t="s">
        <v>12741</v>
      </c>
      <c r="D9656" t="s">
        <v>17188</v>
      </c>
      <c r="E9656" t="s">
        <v>25512</v>
      </c>
      <c r="F9656" t="s">
        <v>29372</v>
      </c>
      <c r="G9656" t="s">
        <v>29380</v>
      </c>
      <c r="H9656" t="s">
        <v>11048</v>
      </c>
      <c r="I9656" t="s">
        <v>4709</v>
      </c>
      <c r="J9656" t="s">
        <v>35682</v>
      </c>
      <c r="K9656" t="s">
        <v>38485</v>
      </c>
      <c r="M9656" t="s">
        <v>40269</v>
      </c>
      <c r="N9656" t="s">
        <v>42669</v>
      </c>
      <c r="O9656" t="s">
        <v>42670</v>
      </c>
      <c r="P9656">
        <v>0</v>
      </c>
      <c r="Q9656">
        <v>2</v>
      </c>
      <c r="R9656" t="s">
        <v>42682</v>
      </c>
      <c r="S9656" t="s">
        <v>42984</v>
      </c>
      <c r="T9656" t="s">
        <v>44446</v>
      </c>
      <c r="U9656" t="s">
        <v>52720</v>
      </c>
      <c r="W9656" t="s">
        <v>40269</v>
      </c>
      <c r="X9656" t="s">
        <v>42683</v>
      </c>
    </row>
    <row r="9657" spans="1:24">
      <c r="A9657">
        <f>HYPERLINK("https://www.philgeps.gov.ph/GEPSNONPILOT/Tender/SplashBidNoticeAbstractUI.aspx?menuIndex=3&amp;refID=7177028&amp;Result=3","7177028")</f>
        <v>0</v>
      </c>
      <c r="B9657" t="s">
        <v>2878</v>
      </c>
      <c r="C9657" t="s">
        <v>12742</v>
      </c>
      <c r="D9657" t="s">
        <v>17216</v>
      </c>
      <c r="E9657" t="s">
        <v>17703</v>
      </c>
      <c r="F9657" t="s">
        <v>29372</v>
      </c>
      <c r="G9657" t="s">
        <v>29380</v>
      </c>
      <c r="H9657" t="s">
        <v>29389</v>
      </c>
      <c r="I9657" t="s">
        <v>10408</v>
      </c>
      <c r="J9657" t="s">
        <v>35644</v>
      </c>
      <c r="K9657" t="s">
        <v>38509</v>
      </c>
      <c r="M9657" t="s">
        <v>41874</v>
      </c>
      <c r="N9657" t="s">
        <v>42669</v>
      </c>
      <c r="O9657" t="s">
        <v>42670</v>
      </c>
      <c r="P9657">
        <v>0</v>
      </c>
      <c r="Q9657">
        <v>0</v>
      </c>
      <c r="R9657" t="s">
        <v>42682</v>
      </c>
      <c r="S9657" t="s">
        <v>42984</v>
      </c>
      <c r="T9657" t="s">
        <v>44375</v>
      </c>
      <c r="U9657" t="s">
        <v>52721</v>
      </c>
      <c r="W9657" t="s">
        <v>41874</v>
      </c>
      <c r="X9657" t="s">
        <v>42683</v>
      </c>
    </row>
    <row r="9658" spans="1:24">
      <c r="A9658">
        <f>HYPERLINK("https://www.philgeps.gov.ph/GEPSNONPILOT/Tender/SplashBidNoticeAbstractUI.aspx?menuIndex=3&amp;refID=7176989&amp;Result=3","7176989")</f>
        <v>0</v>
      </c>
      <c r="B9658" t="s">
        <v>141</v>
      </c>
      <c r="C9658" t="s">
        <v>12743</v>
      </c>
      <c r="D9658" t="s">
        <v>17170</v>
      </c>
      <c r="E9658" t="s">
        <v>25513</v>
      </c>
      <c r="F9658" t="s">
        <v>29372</v>
      </c>
      <c r="G9658" t="s">
        <v>29380</v>
      </c>
      <c r="H9658" t="s">
        <v>29389</v>
      </c>
      <c r="I9658" t="s">
        <v>10408</v>
      </c>
      <c r="J9658" t="s">
        <v>35683</v>
      </c>
      <c r="K9658" t="s">
        <v>38566</v>
      </c>
      <c r="M9658" t="s">
        <v>41853</v>
      </c>
      <c r="N9658" t="s">
        <v>42669</v>
      </c>
      <c r="O9658" t="s">
        <v>42670</v>
      </c>
      <c r="Q9658">
        <v>0</v>
      </c>
      <c r="R9658" t="s">
        <v>42682</v>
      </c>
      <c r="S9658" t="s">
        <v>43054</v>
      </c>
      <c r="T9658" t="s">
        <v>44373</v>
      </c>
      <c r="U9658" t="s">
        <v>52722</v>
      </c>
      <c r="W9658" t="s">
        <v>41853</v>
      </c>
      <c r="X9658" t="s">
        <v>42683</v>
      </c>
    </row>
    <row r="9659" spans="1:24">
      <c r="A9659">
        <f>HYPERLINK("https://www.philgeps.gov.ph/GEPSNONPILOT/Tender/SplashBidNoticeAbstractUI.aspx?menuIndex=3&amp;refID=7177017&amp;Result=3","7177017")</f>
        <v>0</v>
      </c>
      <c r="B9659" t="s">
        <v>141</v>
      </c>
      <c r="C9659" t="s">
        <v>12744</v>
      </c>
      <c r="D9659" t="s">
        <v>17170</v>
      </c>
      <c r="E9659" t="s">
        <v>25514</v>
      </c>
      <c r="F9659" t="s">
        <v>29372</v>
      </c>
      <c r="G9659" t="s">
        <v>29380</v>
      </c>
      <c r="H9659" t="s">
        <v>29389</v>
      </c>
      <c r="I9659" t="s">
        <v>10408</v>
      </c>
      <c r="J9659" t="s">
        <v>35684</v>
      </c>
      <c r="K9659" t="s">
        <v>38533</v>
      </c>
      <c r="M9659" t="s">
        <v>41853</v>
      </c>
      <c r="N9659" t="s">
        <v>42669</v>
      </c>
      <c r="O9659" t="s">
        <v>42670</v>
      </c>
      <c r="Q9659">
        <v>2</v>
      </c>
      <c r="R9659" t="s">
        <v>42682</v>
      </c>
      <c r="S9659" t="s">
        <v>43055</v>
      </c>
      <c r="T9659" t="s">
        <v>44373</v>
      </c>
      <c r="U9659" t="s">
        <v>52723</v>
      </c>
      <c r="W9659" t="s">
        <v>41853</v>
      </c>
      <c r="X9659" t="s">
        <v>42683</v>
      </c>
    </row>
    <row r="9660" spans="1:24">
      <c r="A9660">
        <f>HYPERLINK("https://www.philgeps.gov.ph/GEPSNONPILOT/Tender/SplashBidNoticeAbstractUI.aspx?menuIndex=3&amp;refID=7177023&amp;Result=3","7177023")</f>
        <v>0</v>
      </c>
      <c r="B9660" t="s">
        <v>2879</v>
      </c>
      <c r="C9660" t="s">
        <v>12745</v>
      </c>
      <c r="D9660" t="s">
        <v>17177</v>
      </c>
      <c r="E9660" t="s">
        <v>25515</v>
      </c>
      <c r="F9660" t="s">
        <v>29372</v>
      </c>
      <c r="G9660" t="s">
        <v>29380</v>
      </c>
      <c r="H9660" t="s">
        <v>29389</v>
      </c>
      <c r="I9660" t="s">
        <v>10408</v>
      </c>
      <c r="J9660" t="s">
        <v>29555</v>
      </c>
      <c r="K9660" t="s">
        <v>38510</v>
      </c>
      <c r="M9660" t="s">
        <v>41875</v>
      </c>
      <c r="N9660" t="s">
        <v>42669</v>
      </c>
      <c r="O9660" t="s">
        <v>42670</v>
      </c>
      <c r="P9660">
        <v>0</v>
      </c>
      <c r="Q9660">
        <v>0</v>
      </c>
      <c r="R9660" t="s">
        <v>42682</v>
      </c>
      <c r="S9660" t="s">
        <v>42984</v>
      </c>
      <c r="T9660" t="s">
        <v>44525</v>
      </c>
      <c r="U9660" t="s">
        <v>52724</v>
      </c>
      <c r="W9660" t="s">
        <v>41875</v>
      </c>
      <c r="X9660" t="s">
        <v>42683</v>
      </c>
    </row>
    <row r="9661" spans="1:24">
      <c r="A9661">
        <f>HYPERLINK("https://www.philgeps.gov.ph/GEPSNONPILOT/Tender/SplashBidNoticeAbstractUI.aspx?menuIndex=3&amp;refID=7177018&amp;Result=3","7177018")</f>
        <v>0</v>
      </c>
      <c r="B9661" t="s">
        <v>636</v>
      </c>
      <c r="C9661" t="s">
        <v>12746</v>
      </c>
      <c r="D9661" t="s">
        <v>17169</v>
      </c>
      <c r="E9661" t="s">
        <v>25516</v>
      </c>
      <c r="F9661" t="s">
        <v>29372</v>
      </c>
      <c r="G9661" t="s">
        <v>29380</v>
      </c>
      <c r="H9661" t="s">
        <v>29389</v>
      </c>
      <c r="I9661" t="s">
        <v>10408</v>
      </c>
      <c r="J9661" t="s">
        <v>29937</v>
      </c>
      <c r="K9661" t="s">
        <v>38495</v>
      </c>
      <c r="M9661" t="s">
        <v>39409</v>
      </c>
      <c r="N9661" t="s">
        <v>42669</v>
      </c>
      <c r="O9661" t="s">
        <v>42670</v>
      </c>
      <c r="P9661">
        <v>0</v>
      </c>
      <c r="Q9661">
        <v>0</v>
      </c>
      <c r="R9661" t="s">
        <v>42682</v>
      </c>
      <c r="S9661" t="s">
        <v>42984</v>
      </c>
      <c r="T9661" t="s">
        <v>44419</v>
      </c>
      <c r="U9661" t="s">
        <v>52725</v>
      </c>
      <c r="V9661" t="s">
        <v>56521</v>
      </c>
      <c r="W9661" t="s">
        <v>39409</v>
      </c>
      <c r="X9661" t="s">
        <v>42683</v>
      </c>
    </row>
    <row r="9662" spans="1:24">
      <c r="A9662">
        <f>HYPERLINK("https://www.philgeps.gov.ph/GEPSNONPILOT/Tender/SplashBidNoticeAbstractUI.aspx?menuIndex=3&amp;refID=7176984&amp;Result=3","7176984")</f>
        <v>0</v>
      </c>
      <c r="B9662" t="s">
        <v>1046</v>
      </c>
      <c r="C9662" t="s">
        <v>12747</v>
      </c>
      <c r="D9662" t="s">
        <v>17178</v>
      </c>
      <c r="E9662" t="s">
        <v>25517</v>
      </c>
      <c r="F9662" t="s">
        <v>29372</v>
      </c>
      <c r="G9662" t="s">
        <v>29380</v>
      </c>
      <c r="H9662" t="s">
        <v>11048</v>
      </c>
      <c r="I9662" t="s">
        <v>4709</v>
      </c>
      <c r="J9662" t="s">
        <v>35685</v>
      </c>
      <c r="K9662" t="s">
        <v>38485</v>
      </c>
      <c r="M9662" t="s">
        <v>39851</v>
      </c>
      <c r="N9662" t="s">
        <v>42669</v>
      </c>
      <c r="O9662" t="s">
        <v>42670</v>
      </c>
      <c r="P9662">
        <v>0</v>
      </c>
      <c r="Q9662">
        <v>10</v>
      </c>
      <c r="R9662" t="s">
        <v>42682</v>
      </c>
      <c r="S9662" t="s">
        <v>42984</v>
      </c>
      <c r="T9662" t="s">
        <v>44527</v>
      </c>
      <c r="U9662" t="s">
        <v>51905</v>
      </c>
      <c r="W9662" t="s">
        <v>39851</v>
      </c>
      <c r="X9662" t="s">
        <v>42683</v>
      </c>
    </row>
    <row r="9663" spans="1:24">
      <c r="A9663">
        <f>HYPERLINK("https://www.philgeps.gov.ph/GEPSNONPILOT/Tender/SplashBidNoticeAbstractUI.aspx?menuIndex=3&amp;refID=7176977&amp;Result=3","7176977")</f>
        <v>0</v>
      </c>
      <c r="B9663" t="s">
        <v>2880</v>
      </c>
      <c r="C9663" t="s">
        <v>12748</v>
      </c>
      <c r="D9663" t="s">
        <v>17199</v>
      </c>
      <c r="E9663" t="s">
        <v>25518</v>
      </c>
      <c r="F9663" t="s">
        <v>29372</v>
      </c>
      <c r="G9663" t="s">
        <v>29380</v>
      </c>
      <c r="H9663" t="s">
        <v>11048</v>
      </c>
      <c r="I9663" t="s">
        <v>29415</v>
      </c>
      <c r="J9663" t="s">
        <v>30161</v>
      </c>
      <c r="K9663" t="s">
        <v>38490</v>
      </c>
      <c r="M9663" t="s">
        <v>41876</v>
      </c>
      <c r="N9663" t="s">
        <v>42669</v>
      </c>
      <c r="O9663" t="s">
        <v>42670</v>
      </c>
      <c r="Q9663">
        <v>8</v>
      </c>
      <c r="R9663" t="s">
        <v>42682</v>
      </c>
      <c r="S9663" t="s">
        <v>43056</v>
      </c>
      <c r="T9663" t="s">
        <v>44457</v>
      </c>
      <c r="U9663" t="s">
        <v>52726</v>
      </c>
      <c r="W9663" t="s">
        <v>41876</v>
      </c>
      <c r="X9663" t="s">
        <v>42683</v>
      </c>
    </row>
    <row r="9664" spans="1:24">
      <c r="A9664">
        <f>HYPERLINK("https://www.philgeps.gov.ph/GEPSNONPILOT/Tender/SplashBidNoticeAbstractUI.aspx?menuIndex=3&amp;refID=7177002&amp;Result=3","7177002")</f>
        <v>0</v>
      </c>
      <c r="B9664" t="s">
        <v>1792</v>
      </c>
      <c r="C9664" t="s">
        <v>12749</v>
      </c>
      <c r="D9664" t="s">
        <v>17141</v>
      </c>
      <c r="E9664" t="s">
        <v>25519</v>
      </c>
      <c r="F9664" t="s">
        <v>29372</v>
      </c>
      <c r="G9664" t="s">
        <v>29379</v>
      </c>
      <c r="H9664" t="s">
        <v>11048</v>
      </c>
      <c r="I9664" t="s">
        <v>3839</v>
      </c>
      <c r="J9664" t="s">
        <v>30224</v>
      </c>
      <c r="K9664" t="s">
        <v>38510</v>
      </c>
      <c r="M9664" t="s">
        <v>41471</v>
      </c>
      <c r="N9664" t="s">
        <v>42669</v>
      </c>
      <c r="O9664" t="s">
        <v>42670</v>
      </c>
      <c r="Q9664">
        <v>5</v>
      </c>
      <c r="R9664" t="s">
        <v>42682</v>
      </c>
      <c r="S9664" t="s">
        <v>43057</v>
      </c>
      <c r="T9664" t="s">
        <v>44466</v>
      </c>
      <c r="U9664" t="s">
        <v>52727</v>
      </c>
      <c r="W9664" t="s">
        <v>41471</v>
      </c>
      <c r="X9664" t="s">
        <v>42683</v>
      </c>
    </row>
    <row r="9665" spans="1:24">
      <c r="A9665">
        <f>HYPERLINK("https://www.philgeps.gov.ph/GEPSNONPILOT/Tender/SplashBidNoticeAbstractUI.aspx?menuIndex=3&amp;refID=7176974&amp;Result=3","7176974")</f>
        <v>0</v>
      </c>
      <c r="B9665" t="s">
        <v>1046</v>
      </c>
      <c r="C9665" t="s">
        <v>12750</v>
      </c>
      <c r="D9665" t="s">
        <v>17178</v>
      </c>
      <c r="E9665" t="s">
        <v>25520</v>
      </c>
      <c r="F9665" t="s">
        <v>29372</v>
      </c>
      <c r="G9665" t="s">
        <v>29380</v>
      </c>
      <c r="H9665" t="s">
        <v>11048</v>
      </c>
      <c r="I9665" t="s">
        <v>4709</v>
      </c>
      <c r="J9665" t="s">
        <v>35686</v>
      </c>
      <c r="K9665" t="s">
        <v>38485</v>
      </c>
      <c r="M9665" t="s">
        <v>39851</v>
      </c>
      <c r="N9665" t="s">
        <v>42669</v>
      </c>
      <c r="O9665" t="s">
        <v>42670</v>
      </c>
      <c r="P9665">
        <v>0</v>
      </c>
      <c r="Q9665">
        <v>3</v>
      </c>
      <c r="R9665" t="s">
        <v>42682</v>
      </c>
      <c r="S9665" t="s">
        <v>42984</v>
      </c>
      <c r="T9665" t="s">
        <v>44527</v>
      </c>
      <c r="U9665" t="s">
        <v>51905</v>
      </c>
      <c r="W9665" t="s">
        <v>39851</v>
      </c>
      <c r="X9665" t="s">
        <v>42683</v>
      </c>
    </row>
    <row r="9666" spans="1:24">
      <c r="A9666">
        <f>HYPERLINK("https://www.philgeps.gov.ph/GEPSNONPILOT/Tender/SplashBidNoticeAbstractUI.aspx?menuIndex=3&amp;refID=7177019&amp;Result=3","7177019")</f>
        <v>0</v>
      </c>
      <c r="B9666" t="s">
        <v>2878</v>
      </c>
      <c r="C9666" t="s">
        <v>12751</v>
      </c>
      <c r="D9666" t="s">
        <v>17216</v>
      </c>
      <c r="E9666" t="s">
        <v>18463</v>
      </c>
      <c r="F9666" t="s">
        <v>29372</v>
      </c>
      <c r="G9666" t="s">
        <v>29380</v>
      </c>
      <c r="H9666" t="s">
        <v>29389</v>
      </c>
      <c r="I9666" t="s">
        <v>10408</v>
      </c>
      <c r="J9666" t="s">
        <v>29587</v>
      </c>
      <c r="K9666" t="s">
        <v>38488</v>
      </c>
      <c r="M9666" t="s">
        <v>41874</v>
      </c>
      <c r="N9666" t="s">
        <v>42669</v>
      </c>
      <c r="O9666" t="s">
        <v>42670</v>
      </c>
      <c r="P9666">
        <v>0</v>
      </c>
      <c r="Q9666">
        <v>1</v>
      </c>
      <c r="R9666" t="s">
        <v>42682</v>
      </c>
      <c r="S9666" t="s">
        <v>42984</v>
      </c>
      <c r="T9666" t="s">
        <v>44375</v>
      </c>
      <c r="U9666" t="s">
        <v>52728</v>
      </c>
      <c r="W9666" t="s">
        <v>41874</v>
      </c>
      <c r="X9666" t="s">
        <v>42683</v>
      </c>
    </row>
    <row r="9667" spans="1:24">
      <c r="A9667">
        <f>HYPERLINK("https://www.philgeps.gov.ph/GEPSNONPILOT/Tender/SplashBidNoticeAbstractUI.aspx?menuIndex=3&amp;refID=7176968&amp;Result=3","7176968")</f>
        <v>0</v>
      </c>
      <c r="B9667" t="s">
        <v>413</v>
      </c>
      <c r="C9667" t="s">
        <v>12752</v>
      </c>
      <c r="D9667" t="s">
        <v>17214</v>
      </c>
      <c r="E9667" t="s">
        <v>25521</v>
      </c>
      <c r="F9667" t="s">
        <v>29372</v>
      </c>
      <c r="G9667" t="s">
        <v>29380</v>
      </c>
      <c r="H9667" t="s">
        <v>11048</v>
      </c>
      <c r="I9667" t="s">
        <v>29392</v>
      </c>
      <c r="J9667" t="s">
        <v>35687</v>
      </c>
      <c r="K9667" t="s">
        <v>38588</v>
      </c>
      <c r="M9667" t="s">
        <v>39177</v>
      </c>
      <c r="N9667" t="s">
        <v>42669</v>
      </c>
      <c r="O9667" t="s">
        <v>42670</v>
      </c>
      <c r="P9667">
        <v>0</v>
      </c>
      <c r="Q9667">
        <v>6</v>
      </c>
      <c r="R9667" t="s">
        <v>42682</v>
      </c>
      <c r="S9667" t="s">
        <v>42984</v>
      </c>
      <c r="T9667" t="s">
        <v>44664</v>
      </c>
      <c r="U9667" t="s">
        <v>52729</v>
      </c>
      <c r="V9667" t="s">
        <v>57439</v>
      </c>
      <c r="W9667" t="s">
        <v>39177</v>
      </c>
      <c r="X9667" t="s">
        <v>42683</v>
      </c>
    </row>
    <row r="9668" spans="1:24">
      <c r="A9668">
        <f>HYPERLINK("https://www.philgeps.gov.ph/GEPSNONPILOT/Tender/SplashBidNoticeAbstractUI.aspx?menuIndex=3&amp;refID=7177033&amp;Result=3","7177033")</f>
        <v>0</v>
      </c>
      <c r="B9668" t="s">
        <v>2881</v>
      </c>
      <c r="C9668" t="s">
        <v>12753</v>
      </c>
      <c r="D9668" t="s">
        <v>17231</v>
      </c>
      <c r="E9668" t="s">
        <v>25522</v>
      </c>
      <c r="F9668" t="s">
        <v>29373</v>
      </c>
      <c r="G9668" t="s">
        <v>29380</v>
      </c>
      <c r="H9668" t="s">
        <v>11048</v>
      </c>
      <c r="I9668" t="s">
        <v>29395</v>
      </c>
      <c r="J9668" t="s">
        <v>35688</v>
      </c>
      <c r="K9668" t="s">
        <v>38496</v>
      </c>
      <c r="M9668" t="s">
        <v>41877</v>
      </c>
      <c r="N9668" t="s">
        <v>42669</v>
      </c>
      <c r="O9668" t="s">
        <v>42670</v>
      </c>
      <c r="P9668">
        <v>0</v>
      </c>
      <c r="Q9668">
        <v>1</v>
      </c>
      <c r="R9668" t="s">
        <v>42682</v>
      </c>
      <c r="S9668" t="s">
        <v>42984</v>
      </c>
      <c r="T9668" t="s">
        <v>44470</v>
      </c>
      <c r="U9668" t="s">
        <v>52730</v>
      </c>
      <c r="W9668" t="s">
        <v>41877</v>
      </c>
      <c r="X9668" t="s">
        <v>42683</v>
      </c>
    </row>
    <row r="9669" spans="1:24">
      <c r="A9669">
        <f>HYPERLINK("https://www.philgeps.gov.ph/GEPSNONPILOT/Tender/SplashBidNoticeAbstractUI.aspx?menuIndex=3&amp;refID=7176980&amp;Result=3","7176980")</f>
        <v>0</v>
      </c>
      <c r="B9669" t="s">
        <v>1380</v>
      </c>
      <c r="C9669" t="s">
        <v>12754</v>
      </c>
      <c r="D9669" t="s">
        <v>17200</v>
      </c>
      <c r="E9669" t="s">
        <v>25523</v>
      </c>
      <c r="F9669" t="s">
        <v>29372</v>
      </c>
      <c r="G9669" t="s">
        <v>29380</v>
      </c>
      <c r="H9669" t="s">
        <v>29389</v>
      </c>
      <c r="I9669" t="s">
        <v>10408</v>
      </c>
      <c r="J9669" t="s">
        <v>30438</v>
      </c>
      <c r="K9669" t="s">
        <v>38527</v>
      </c>
      <c r="M9669" t="s">
        <v>40217</v>
      </c>
      <c r="N9669" t="s">
        <v>42669</v>
      </c>
      <c r="O9669" t="s">
        <v>42670</v>
      </c>
      <c r="Q9669">
        <v>0</v>
      </c>
      <c r="R9669" t="s">
        <v>42682</v>
      </c>
      <c r="S9669" t="s">
        <v>43058</v>
      </c>
      <c r="T9669" t="s">
        <v>44419</v>
      </c>
      <c r="U9669" t="s">
        <v>52731</v>
      </c>
      <c r="V9669" t="s">
        <v>57440</v>
      </c>
      <c r="W9669" t="s">
        <v>40217</v>
      </c>
      <c r="X9669" t="s">
        <v>42683</v>
      </c>
    </row>
    <row r="9670" spans="1:24">
      <c r="A9670">
        <f>HYPERLINK("https://www.philgeps.gov.ph/GEPSNONPILOT/Tender/SplashBidNoticeAbstractUI.aspx?menuIndex=3&amp;refID=7177090&amp;Result=3","7177090")</f>
        <v>0</v>
      </c>
      <c r="B9670" t="s">
        <v>380</v>
      </c>
      <c r="C9670" t="s">
        <v>12755</v>
      </c>
      <c r="D9670" t="s">
        <v>17160</v>
      </c>
      <c r="E9670" t="s">
        <v>25524</v>
      </c>
      <c r="F9670" t="s">
        <v>29372</v>
      </c>
      <c r="G9670" t="s">
        <v>29380</v>
      </c>
      <c r="H9670" t="s">
        <v>11048</v>
      </c>
      <c r="I9670" t="s">
        <v>3695</v>
      </c>
      <c r="J9670" t="s">
        <v>35689</v>
      </c>
      <c r="K9670" t="s">
        <v>38485</v>
      </c>
      <c r="M9670" t="s">
        <v>39142</v>
      </c>
      <c r="N9670" t="s">
        <v>42669</v>
      </c>
      <c r="O9670" t="s">
        <v>42670</v>
      </c>
      <c r="P9670">
        <v>0</v>
      </c>
      <c r="Q9670">
        <v>8</v>
      </c>
      <c r="R9670" t="s">
        <v>42682</v>
      </c>
      <c r="S9670" t="s">
        <v>42984</v>
      </c>
      <c r="T9670" t="s">
        <v>44438</v>
      </c>
      <c r="U9670" t="s">
        <v>52732</v>
      </c>
      <c r="V9670" t="s">
        <v>57441</v>
      </c>
      <c r="W9670" t="s">
        <v>39142</v>
      </c>
      <c r="X9670" t="s">
        <v>42683</v>
      </c>
    </row>
    <row r="9671" spans="1:24">
      <c r="A9671">
        <f>HYPERLINK("https://www.philgeps.gov.ph/GEPSNONPILOT/Tender/SplashBidNoticeAbstractUI.aspx?menuIndex=3&amp;refID=7177086&amp;Result=3","7177086")</f>
        <v>0</v>
      </c>
      <c r="B9671" t="s">
        <v>2882</v>
      </c>
      <c r="C9671" t="s">
        <v>12756</v>
      </c>
      <c r="D9671" t="s">
        <v>17141</v>
      </c>
      <c r="E9671" t="s">
        <v>25525</v>
      </c>
      <c r="F9671" t="s">
        <v>29372</v>
      </c>
      <c r="G9671" t="s">
        <v>29384</v>
      </c>
      <c r="H9671" t="s">
        <v>11048</v>
      </c>
      <c r="I9671" t="s">
        <v>8614</v>
      </c>
      <c r="J9671" t="s">
        <v>29573</v>
      </c>
      <c r="K9671" t="s">
        <v>38485</v>
      </c>
      <c r="M9671" t="s">
        <v>41878</v>
      </c>
      <c r="N9671" t="s">
        <v>42669</v>
      </c>
      <c r="O9671" t="s">
        <v>42670</v>
      </c>
      <c r="P9671">
        <v>0</v>
      </c>
      <c r="Q9671">
        <v>17</v>
      </c>
      <c r="R9671" t="s">
        <v>42682</v>
      </c>
      <c r="S9671" t="s">
        <v>42984</v>
      </c>
      <c r="T9671" t="s">
        <v>44685</v>
      </c>
      <c r="U9671" t="s">
        <v>52733</v>
      </c>
      <c r="W9671" t="s">
        <v>41878</v>
      </c>
      <c r="X9671" t="s">
        <v>42683</v>
      </c>
    </row>
    <row r="9672" spans="1:24">
      <c r="A9672">
        <f>HYPERLINK("https://www.philgeps.gov.ph/GEPSNONPILOT/Tender/SplashBidNoticeAbstractUI.aspx?menuIndex=3&amp;refID=7177134&amp;Result=3","7177134")</f>
        <v>0</v>
      </c>
      <c r="B9672" t="s">
        <v>1286</v>
      </c>
      <c r="C9672" t="s">
        <v>12757</v>
      </c>
      <c r="E9672" t="s">
        <v>25526</v>
      </c>
      <c r="F9672" t="s">
        <v>29372</v>
      </c>
      <c r="G9672" t="s">
        <v>29380</v>
      </c>
      <c r="H9672" t="s">
        <v>11048</v>
      </c>
      <c r="I9672" t="s">
        <v>3860</v>
      </c>
      <c r="J9672" t="s">
        <v>35690</v>
      </c>
      <c r="K9672" t="s">
        <v>38510</v>
      </c>
      <c r="M9672" t="s">
        <v>40115</v>
      </c>
      <c r="N9672" t="s">
        <v>42669</v>
      </c>
      <c r="O9672" t="s">
        <v>42670</v>
      </c>
      <c r="P9672">
        <v>0</v>
      </c>
      <c r="Q9672">
        <v>0</v>
      </c>
      <c r="R9672" t="s">
        <v>42682</v>
      </c>
      <c r="S9672" t="s">
        <v>42984</v>
      </c>
      <c r="T9672" t="s">
        <v>44488</v>
      </c>
      <c r="U9672" t="s">
        <v>52734</v>
      </c>
      <c r="W9672" t="s">
        <v>40115</v>
      </c>
      <c r="X9672" t="s">
        <v>42683</v>
      </c>
    </row>
    <row r="9673" spans="1:24">
      <c r="A9673">
        <f>HYPERLINK("https://www.philgeps.gov.ph/GEPSNONPILOT/Tender/SplashBidNoticeAbstractUI.aspx?menuIndex=3&amp;refID=7176960&amp;Result=3","7176960")</f>
        <v>0</v>
      </c>
      <c r="B9673" t="s">
        <v>141</v>
      </c>
      <c r="C9673" t="s">
        <v>12758</v>
      </c>
      <c r="D9673" t="s">
        <v>17170</v>
      </c>
      <c r="E9673" t="s">
        <v>25527</v>
      </c>
      <c r="F9673" t="s">
        <v>29372</v>
      </c>
      <c r="G9673" t="s">
        <v>29380</v>
      </c>
      <c r="H9673" t="s">
        <v>29389</v>
      </c>
      <c r="I9673" t="s">
        <v>10408</v>
      </c>
      <c r="J9673" t="s">
        <v>35691</v>
      </c>
      <c r="K9673" t="s">
        <v>38526</v>
      </c>
      <c r="M9673" t="s">
        <v>41853</v>
      </c>
      <c r="N9673" t="s">
        <v>42669</v>
      </c>
      <c r="O9673" t="s">
        <v>42670</v>
      </c>
      <c r="Q9673">
        <v>1</v>
      </c>
      <c r="R9673" t="s">
        <v>42682</v>
      </c>
      <c r="S9673" t="s">
        <v>43059</v>
      </c>
      <c r="T9673" t="s">
        <v>44373</v>
      </c>
      <c r="U9673" t="s">
        <v>52735</v>
      </c>
      <c r="W9673" t="s">
        <v>41853</v>
      </c>
      <c r="X9673" t="s">
        <v>42683</v>
      </c>
    </row>
    <row r="9674" spans="1:24">
      <c r="A9674">
        <f>HYPERLINK("https://www.philgeps.gov.ph/GEPSNONPILOT/Tender/SplashBidNoticeAbstractUI.aspx?menuIndex=3&amp;refID=7176970&amp;Result=3","7176970")</f>
        <v>0</v>
      </c>
      <c r="B9674" t="s">
        <v>1046</v>
      </c>
      <c r="C9674" t="s">
        <v>12759</v>
      </c>
      <c r="D9674" t="s">
        <v>17178</v>
      </c>
      <c r="E9674" t="s">
        <v>25528</v>
      </c>
      <c r="F9674" t="s">
        <v>29372</v>
      </c>
      <c r="G9674" t="s">
        <v>29380</v>
      </c>
      <c r="H9674" t="s">
        <v>11048</v>
      </c>
      <c r="I9674" t="s">
        <v>29410</v>
      </c>
      <c r="J9674" t="s">
        <v>29526</v>
      </c>
      <c r="K9674" t="s">
        <v>38488</v>
      </c>
      <c r="M9674" t="s">
        <v>39851</v>
      </c>
      <c r="N9674" t="s">
        <v>42669</v>
      </c>
      <c r="O9674" t="s">
        <v>42670</v>
      </c>
      <c r="P9674">
        <v>0</v>
      </c>
      <c r="Q9674">
        <v>1</v>
      </c>
      <c r="R9674" t="s">
        <v>42682</v>
      </c>
      <c r="S9674" t="s">
        <v>42984</v>
      </c>
      <c r="T9674" t="s">
        <v>44527</v>
      </c>
      <c r="U9674" t="s">
        <v>51905</v>
      </c>
      <c r="W9674" t="s">
        <v>39851</v>
      </c>
      <c r="X9674" t="s">
        <v>42683</v>
      </c>
    </row>
    <row r="9675" spans="1:24">
      <c r="A9675">
        <f>HYPERLINK("https://www.philgeps.gov.ph/GEPSNONPILOT/Tender/SplashBidNoticeAbstractUI.aspx?menuIndex=3&amp;refID=7177110&amp;Result=3","7177110")</f>
        <v>0</v>
      </c>
      <c r="B9675" t="s">
        <v>380</v>
      </c>
      <c r="C9675" t="s">
        <v>12760</v>
      </c>
      <c r="D9675" t="s">
        <v>17160</v>
      </c>
      <c r="E9675" t="s">
        <v>25529</v>
      </c>
      <c r="F9675" t="s">
        <v>29372</v>
      </c>
      <c r="G9675" t="s">
        <v>29380</v>
      </c>
      <c r="H9675" t="s">
        <v>11048</v>
      </c>
      <c r="I9675" t="s">
        <v>9469</v>
      </c>
      <c r="J9675" t="s">
        <v>35692</v>
      </c>
      <c r="K9675" t="s">
        <v>38485</v>
      </c>
      <c r="M9675" t="s">
        <v>39142</v>
      </c>
      <c r="N9675" t="s">
        <v>42669</v>
      </c>
      <c r="O9675" t="s">
        <v>42670</v>
      </c>
      <c r="P9675">
        <v>0</v>
      </c>
      <c r="Q9675">
        <v>6</v>
      </c>
      <c r="R9675" t="s">
        <v>42682</v>
      </c>
      <c r="S9675" t="s">
        <v>42984</v>
      </c>
      <c r="T9675" t="s">
        <v>44438</v>
      </c>
      <c r="U9675" t="s">
        <v>52736</v>
      </c>
      <c r="V9675" t="s">
        <v>57442</v>
      </c>
      <c r="W9675" t="s">
        <v>39142</v>
      </c>
      <c r="X9675" t="s">
        <v>42683</v>
      </c>
    </row>
    <row r="9676" spans="1:24">
      <c r="A9676">
        <f>HYPERLINK("https://www.philgeps.gov.ph/GEPSNONPILOT/Tender/SplashBidNoticeAbstractUI.aspx?menuIndex=3&amp;refID=7177125&amp;Result=3","7177125")</f>
        <v>0</v>
      </c>
      <c r="B9676" t="s">
        <v>1286</v>
      </c>
      <c r="C9676" t="s">
        <v>12761</v>
      </c>
      <c r="E9676" t="s">
        <v>25530</v>
      </c>
      <c r="F9676" t="s">
        <v>29372</v>
      </c>
      <c r="G9676" t="s">
        <v>29380</v>
      </c>
      <c r="H9676" t="s">
        <v>11048</v>
      </c>
      <c r="I9676" t="s">
        <v>29398</v>
      </c>
      <c r="J9676" t="s">
        <v>35693</v>
      </c>
      <c r="K9676" t="s">
        <v>38510</v>
      </c>
      <c r="M9676" t="s">
        <v>40115</v>
      </c>
      <c r="N9676" t="s">
        <v>42669</v>
      </c>
      <c r="O9676" t="s">
        <v>42670</v>
      </c>
      <c r="P9676">
        <v>0</v>
      </c>
      <c r="Q9676">
        <v>0</v>
      </c>
      <c r="R9676" t="s">
        <v>42682</v>
      </c>
      <c r="S9676" t="s">
        <v>42984</v>
      </c>
      <c r="T9676" t="s">
        <v>44488</v>
      </c>
      <c r="U9676" t="s">
        <v>52737</v>
      </c>
      <c r="W9676" t="s">
        <v>40115</v>
      </c>
      <c r="X9676" t="s">
        <v>42683</v>
      </c>
    </row>
    <row r="9677" spans="1:24">
      <c r="A9677">
        <f>HYPERLINK("https://www.philgeps.gov.ph/GEPSNONPILOT/Tender/SplashBidNoticeAbstractUI.aspx?menuIndex=3&amp;refID=7177101&amp;Result=3","7177101")</f>
        <v>0</v>
      </c>
      <c r="B9677" t="s">
        <v>2883</v>
      </c>
      <c r="C9677" t="s">
        <v>12762</v>
      </c>
      <c r="D9677" t="s">
        <v>17149</v>
      </c>
      <c r="E9677" t="s">
        <v>18290</v>
      </c>
      <c r="F9677" t="s">
        <v>29372</v>
      </c>
      <c r="G9677" t="s">
        <v>29380</v>
      </c>
      <c r="H9677" t="s">
        <v>11048</v>
      </c>
      <c r="I9677" t="s">
        <v>29424</v>
      </c>
      <c r="J9677" t="s">
        <v>35694</v>
      </c>
      <c r="K9677" t="s">
        <v>38485</v>
      </c>
      <c r="M9677" t="s">
        <v>41879</v>
      </c>
      <c r="N9677" t="s">
        <v>42669</v>
      </c>
      <c r="O9677" t="s">
        <v>42670</v>
      </c>
      <c r="P9677">
        <v>0</v>
      </c>
      <c r="Q9677">
        <v>9</v>
      </c>
      <c r="R9677" t="s">
        <v>42682</v>
      </c>
      <c r="S9677" t="s">
        <v>42984</v>
      </c>
      <c r="T9677" t="s">
        <v>44517</v>
      </c>
      <c r="U9677" t="s">
        <v>52738</v>
      </c>
      <c r="W9677" t="s">
        <v>41879</v>
      </c>
      <c r="X9677" t="s">
        <v>42683</v>
      </c>
    </row>
    <row r="9678" spans="1:24">
      <c r="A9678">
        <f>HYPERLINK("https://www.philgeps.gov.ph/GEPSNONPILOT/Tender/SplashBidNoticeAbstractUI.aspx?menuIndex=3&amp;refID=7177010&amp;Result=3","7177010")</f>
        <v>0</v>
      </c>
      <c r="B9678" t="s">
        <v>2884</v>
      </c>
      <c r="C9678" t="s">
        <v>12763</v>
      </c>
      <c r="D9678" t="s">
        <v>17173</v>
      </c>
      <c r="E9678" t="s">
        <v>25510</v>
      </c>
      <c r="F9678" t="s">
        <v>29372</v>
      </c>
      <c r="G9678" t="s">
        <v>29384</v>
      </c>
      <c r="H9678" t="s">
        <v>11048</v>
      </c>
      <c r="I9678" t="s">
        <v>9469</v>
      </c>
      <c r="J9678" t="s">
        <v>29657</v>
      </c>
      <c r="K9678" t="s">
        <v>38488</v>
      </c>
      <c r="M9678" t="s">
        <v>41880</v>
      </c>
      <c r="N9678" t="s">
        <v>42669</v>
      </c>
      <c r="O9678" t="s">
        <v>42670</v>
      </c>
      <c r="P9678">
        <v>0</v>
      </c>
      <c r="Q9678">
        <v>0</v>
      </c>
      <c r="R9678" t="s">
        <v>42682</v>
      </c>
      <c r="S9678" t="s">
        <v>42984</v>
      </c>
      <c r="T9678" t="s">
        <v>44409</v>
      </c>
      <c r="U9678" t="s">
        <v>52739</v>
      </c>
      <c r="W9678" t="s">
        <v>41880</v>
      </c>
      <c r="X9678" t="s">
        <v>42683</v>
      </c>
    </row>
    <row r="9679" spans="1:24">
      <c r="A9679">
        <f>HYPERLINK("https://www.philgeps.gov.ph/GEPSNONPILOT/Tender/SplashBidNoticeAbstractUI.aspx?menuIndex=3&amp;refID=7177115&amp;Result=3","7177115")</f>
        <v>0</v>
      </c>
      <c r="B9679" t="s">
        <v>1359</v>
      </c>
      <c r="C9679" t="s">
        <v>12764</v>
      </c>
      <c r="D9679" t="s">
        <v>17172</v>
      </c>
      <c r="E9679" t="s">
        <v>22438</v>
      </c>
      <c r="F9679" t="s">
        <v>29372</v>
      </c>
      <c r="G9679" t="s">
        <v>29380</v>
      </c>
      <c r="H9679" t="s">
        <v>11048</v>
      </c>
      <c r="I9679" t="s">
        <v>3695</v>
      </c>
      <c r="J9679" t="s">
        <v>35695</v>
      </c>
      <c r="K9679" t="s">
        <v>38485</v>
      </c>
      <c r="M9679" t="s">
        <v>40196</v>
      </c>
      <c r="N9679" t="s">
        <v>42669</v>
      </c>
      <c r="O9679" t="s">
        <v>42670</v>
      </c>
      <c r="P9679">
        <v>0</v>
      </c>
      <c r="Q9679">
        <v>7</v>
      </c>
      <c r="R9679" t="s">
        <v>42682</v>
      </c>
      <c r="S9679" t="s">
        <v>42984</v>
      </c>
      <c r="T9679" t="s">
        <v>44357</v>
      </c>
      <c r="U9679" t="s">
        <v>52740</v>
      </c>
      <c r="V9679" t="s">
        <v>57443</v>
      </c>
      <c r="W9679" t="s">
        <v>40196</v>
      </c>
      <c r="X9679" t="s">
        <v>42683</v>
      </c>
    </row>
    <row r="9680" spans="1:24">
      <c r="A9680">
        <f>HYPERLINK("https://www.philgeps.gov.ph/GEPSNONPILOT/Tender/SplashBidNoticeAbstractUI.aspx?menuIndex=3&amp;refID=7177075&amp;Result=3","7177075")</f>
        <v>0</v>
      </c>
      <c r="B9680" t="s">
        <v>2257</v>
      </c>
      <c r="C9680" t="s">
        <v>12765</v>
      </c>
      <c r="D9680" t="s">
        <v>17205</v>
      </c>
      <c r="E9680" t="s">
        <v>25531</v>
      </c>
      <c r="F9680" t="s">
        <v>29372</v>
      </c>
      <c r="G9680" t="s">
        <v>29384</v>
      </c>
      <c r="H9680" t="s">
        <v>11048</v>
      </c>
      <c r="I9680" t="s">
        <v>3839</v>
      </c>
      <c r="J9680" t="s">
        <v>35696</v>
      </c>
      <c r="K9680" t="s">
        <v>38488</v>
      </c>
      <c r="M9680" t="s">
        <v>41881</v>
      </c>
      <c r="N9680" t="s">
        <v>42669</v>
      </c>
      <c r="O9680" t="s">
        <v>42670</v>
      </c>
      <c r="P9680">
        <v>0</v>
      </c>
      <c r="Q9680">
        <v>3</v>
      </c>
      <c r="R9680" t="s">
        <v>42682</v>
      </c>
      <c r="S9680" t="s">
        <v>42984</v>
      </c>
      <c r="T9680" t="s">
        <v>44541</v>
      </c>
      <c r="U9680" t="s">
        <v>52741</v>
      </c>
      <c r="V9680" t="s">
        <v>57444</v>
      </c>
      <c r="W9680" t="s">
        <v>41881</v>
      </c>
      <c r="X9680" t="s">
        <v>42683</v>
      </c>
    </row>
    <row r="9681" spans="1:24">
      <c r="A9681">
        <f>HYPERLINK("https://www.philgeps.gov.ph/GEPSNONPILOT/Tender/SplashBidNoticeAbstractUI.aspx?menuIndex=3&amp;refID=7177065&amp;Result=3","7177065")</f>
        <v>0</v>
      </c>
      <c r="B9681" t="s">
        <v>2878</v>
      </c>
      <c r="C9681" t="s">
        <v>12766</v>
      </c>
      <c r="D9681" t="s">
        <v>17216</v>
      </c>
      <c r="E9681" t="s">
        <v>18599</v>
      </c>
      <c r="F9681" t="s">
        <v>29372</v>
      </c>
      <c r="G9681" t="s">
        <v>29380</v>
      </c>
      <c r="H9681" t="s">
        <v>11048</v>
      </c>
      <c r="I9681" t="s">
        <v>9469</v>
      </c>
      <c r="J9681" t="s">
        <v>29587</v>
      </c>
      <c r="K9681" t="s">
        <v>38488</v>
      </c>
      <c r="M9681" t="s">
        <v>41874</v>
      </c>
      <c r="N9681" t="s">
        <v>42669</v>
      </c>
      <c r="O9681" t="s">
        <v>42670</v>
      </c>
      <c r="P9681">
        <v>0</v>
      </c>
      <c r="Q9681">
        <v>0</v>
      </c>
      <c r="R9681" t="s">
        <v>42682</v>
      </c>
      <c r="S9681" t="s">
        <v>42984</v>
      </c>
      <c r="T9681" t="s">
        <v>44375</v>
      </c>
      <c r="U9681" t="s">
        <v>52742</v>
      </c>
      <c r="W9681" t="s">
        <v>41874</v>
      </c>
      <c r="X9681" t="s">
        <v>42683</v>
      </c>
    </row>
    <row r="9682" spans="1:24">
      <c r="A9682">
        <f>HYPERLINK("https://www.philgeps.gov.ph/GEPSNONPILOT/Tender/SplashBidNoticeAbstractUI.aspx?menuIndex=3&amp;refID=7177057&amp;Result=3","7177057")</f>
        <v>0</v>
      </c>
      <c r="B9682" t="s">
        <v>141</v>
      </c>
      <c r="C9682" t="s">
        <v>12767</v>
      </c>
      <c r="D9682" t="s">
        <v>17170</v>
      </c>
      <c r="E9682" t="s">
        <v>25532</v>
      </c>
      <c r="F9682" t="s">
        <v>29372</v>
      </c>
      <c r="G9682" t="s">
        <v>29380</v>
      </c>
      <c r="H9682" t="s">
        <v>29389</v>
      </c>
      <c r="I9682" t="s">
        <v>10408</v>
      </c>
      <c r="J9682" t="s">
        <v>35697</v>
      </c>
      <c r="K9682" t="s">
        <v>38496</v>
      </c>
      <c r="M9682" t="s">
        <v>41853</v>
      </c>
      <c r="N9682" t="s">
        <v>42669</v>
      </c>
      <c r="O9682" t="s">
        <v>42670</v>
      </c>
      <c r="Q9682">
        <v>0</v>
      </c>
      <c r="R9682" t="s">
        <v>42682</v>
      </c>
      <c r="S9682" t="s">
        <v>43060</v>
      </c>
      <c r="T9682" t="s">
        <v>44373</v>
      </c>
      <c r="U9682" t="s">
        <v>52743</v>
      </c>
      <c r="W9682" t="s">
        <v>41853</v>
      </c>
      <c r="X9682" t="s">
        <v>42683</v>
      </c>
    </row>
    <row r="9683" spans="1:24">
      <c r="A9683">
        <f>HYPERLINK("https://www.philgeps.gov.ph/GEPSNONPILOT/Tender/SplashBidNoticeAbstractUI.aspx?menuIndex=3&amp;refID=7177055&amp;Result=3","7177055")</f>
        <v>0</v>
      </c>
      <c r="B9683" t="s">
        <v>2881</v>
      </c>
      <c r="C9683" t="s">
        <v>12768</v>
      </c>
      <c r="D9683" t="s">
        <v>17231</v>
      </c>
      <c r="E9683" t="s">
        <v>25533</v>
      </c>
      <c r="F9683" t="s">
        <v>29373</v>
      </c>
      <c r="G9683" t="s">
        <v>29380</v>
      </c>
      <c r="H9683" t="s">
        <v>11048</v>
      </c>
      <c r="I9683" t="s">
        <v>29395</v>
      </c>
      <c r="J9683" t="s">
        <v>35698</v>
      </c>
      <c r="K9683" t="s">
        <v>38496</v>
      </c>
      <c r="M9683" t="s">
        <v>41877</v>
      </c>
      <c r="N9683" t="s">
        <v>42669</v>
      </c>
      <c r="O9683" t="s">
        <v>42670</v>
      </c>
      <c r="P9683">
        <v>0</v>
      </c>
      <c r="Q9683">
        <v>1</v>
      </c>
      <c r="R9683" t="s">
        <v>42682</v>
      </c>
      <c r="S9683" t="s">
        <v>42984</v>
      </c>
      <c r="T9683" t="s">
        <v>44470</v>
      </c>
      <c r="U9683" t="s">
        <v>52744</v>
      </c>
      <c r="W9683" t="s">
        <v>41877</v>
      </c>
      <c r="X9683" t="s">
        <v>42683</v>
      </c>
    </row>
    <row r="9684" spans="1:24">
      <c r="A9684">
        <f>HYPERLINK("https://www.philgeps.gov.ph/GEPSNONPILOT/Tender/SplashBidNoticeAbstractUI.aspx?menuIndex=3&amp;refID=7177052&amp;Result=3","7177052")</f>
        <v>0</v>
      </c>
      <c r="B9684" t="s">
        <v>2878</v>
      </c>
      <c r="C9684" t="s">
        <v>12769</v>
      </c>
      <c r="D9684" t="s">
        <v>17216</v>
      </c>
      <c r="E9684" t="s">
        <v>18616</v>
      </c>
      <c r="F9684" t="s">
        <v>29372</v>
      </c>
      <c r="G9684" t="s">
        <v>29380</v>
      </c>
      <c r="H9684" t="s">
        <v>29389</v>
      </c>
      <c r="I9684" t="s">
        <v>10408</v>
      </c>
      <c r="J9684" t="s">
        <v>29615</v>
      </c>
      <c r="K9684" t="s">
        <v>38564</v>
      </c>
      <c r="M9684" t="s">
        <v>41874</v>
      </c>
      <c r="N9684" t="s">
        <v>42669</v>
      </c>
      <c r="O9684" t="s">
        <v>42670</v>
      </c>
      <c r="Q9684">
        <v>0</v>
      </c>
      <c r="R9684" t="s">
        <v>42682</v>
      </c>
      <c r="S9684" t="s">
        <v>43061</v>
      </c>
      <c r="T9684" t="s">
        <v>44375</v>
      </c>
      <c r="U9684" t="s">
        <v>52745</v>
      </c>
      <c r="W9684" t="s">
        <v>41874</v>
      </c>
      <c r="X9684" t="s">
        <v>42683</v>
      </c>
    </row>
    <row r="9685" spans="1:24">
      <c r="A9685">
        <f>HYPERLINK("https://www.philgeps.gov.ph/GEPSNONPILOT/Tender/SplashBidNoticeAbstractUI.aspx?menuIndex=3&amp;refID=7177198&amp;Result=3","7177198")</f>
        <v>0</v>
      </c>
      <c r="B9685" t="s">
        <v>956</v>
      </c>
      <c r="C9685" t="s">
        <v>12770</v>
      </c>
      <c r="D9685" t="s">
        <v>17141</v>
      </c>
      <c r="E9685" t="s">
        <v>25534</v>
      </c>
      <c r="F9685" t="s">
        <v>29372</v>
      </c>
      <c r="G9685" t="s">
        <v>29380</v>
      </c>
      <c r="H9685" t="s">
        <v>11048</v>
      </c>
      <c r="I9685" t="s">
        <v>29423</v>
      </c>
      <c r="J9685" t="s">
        <v>35699</v>
      </c>
      <c r="K9685" t="s">
        <v>38502</v>
      </c>
      <c r="M9685" t="s">
        <v>41882</v>
      </c>
      <c r="N9685" t="s">
        <v>42669</v>
      </c>
      <c r="O9685" t="s">
        <v>42670</v>
      </c>
      <c r="P9685">
        <v>0</v>
      </c>
      <c r="Q9685">
        <v>3</v>
      </c>
      <c r="R9685" t="s">
        <v>42682</v>
      </c>
      <c r="S9685" t="s">
        <v>42984</v>
      </c>
      <c r="T9685" t="s">
        <v>44355</v>
      </c>
      <c r="U9685" t="s">
        <v>50881</v>
      </c>
      <c r="W9685" t="s">
        <v>41882</v>
      </c>
      <c r="X9685" t="s">
        <v>42683</v>
      </c>
    </row>
    <row r="9686" spans="1:24">
      <c r="A9686">
        <f>HYPERLINK("https://www.philgeps.gov.ph/GEPSNONPILOT/Tender/SplashBidNoticeAbstractUI.aspx?menuIndex=3&amp;refID=7177279&amp;Result=3","7177279")</f>
        <v>0</v>
      </c>
      <c r="B9686" t="s">
        <v>2885</v>
      </c>
      <c r="C9686" t="s">
        <v>12771</v>
      </c>
      <c r="D9686" t="s">
        <v>17216</v>
      </c>
      <c r="E9686" t="s">
        <v>25535</v>
      </c>
      <c r="F9686" t="s">
        <v>29372</v>
      </c>
      <c r="G9686" t="s">
        <v>29380</v>
      </c>
      <c r="H9686" t="s">
        <v>11048</v>
      </c>
      <c r="I9686" t="s">
        <v>4486</v>
      </c>
      <c r="J9686" t="s">
        <v>30123</v>
      </c>
      <c r="K9686" t="s">
        <v>38485</v>
      </c>
      <c r="M9686" t="s">
        <v>41883</v>
      </c>
      <c r="N9686" t="s">
        <v>42669</v>
      </c>
      <c r="O9686" t="s">
        <v>42670</v>
      </c>
      <c r="P9686">
        <v>0</v>
      </c>
      <c r="Q9686">
        <v>3</v>
      </c>
      <c r="R9686" t="s">
        <v>42682</v>
      </c>
      <c r="S9686" t="s">
        <v>42984</v>
      </c>
      <c r="T9686" t="s">
        <v>44391</v>
      </c>
      <c r="U9686" t="s">
        <v>52746</v>
      </c>
      <c r="W9686" t="s">
        <v>41883</v>
      </c>
      <c r="X9686" t="s">
        <v>42683</v>
      </c>
    </row>
    <row r="9687" spans="1:24">
      <c r="A9687">
        <f>HYPERLINK("https://www.philgeps.gov.ph/GEPSNONPILOT/Tender/SplashBidNoticeAbstractUI.aspx?menuIndex=3&amp;refID=7177069&amp;Result=3","7177069")</f>
        <v>0</v>
      </c>
      <c r="B9687" t="s">
        <v>1472</v>
      </c>
      <c r="C9687" t="s">
        <v>12772</v>
      </c>
      <c r="D9687" t="s">
        <v>17170</v>
      </c>
      <c r="E9687" t="s">
        <v>25536</v>
      </c>
      <c r="F9687" t="s">
        <v>29372</v>
      </c>
      <c r="G9687" t="s">
        <v>29380</v>
      </c>
      <c r="H9687" t="s">
        <v>11048</v>
      </c>
      <c r="I9687" t="s">
        <v>3695</v>
      </c>
      <c r="J9687" t="s">
        <v>35700</v>
      </c>
      <c r="K9687" t="s">
        <v>38488</v>
      </c>
      <c r="M9687" t="s">
        <v>40315</v>
      </c>
      <c r="N9687" t="s">
        <v>42669</v>
      </c>
      <c r="O9687" t="s">
        <v>42670</v>
      </c>
      <c r="P9687">
        <v>0</v>
      </c>
      <c r="Q9687">
        <v>7</v>
      </c>
      <c r="R9687" t="s">
        <v>42682</v>
      </c>
      <c r="S9687" t="s">
        <v>42984</v>
      </c>
      <c r="T9687" t="s">
        <v>44415</v>
      </c>
      <c r="U9687" t="s">
        <v>52747</v>
      </c>
      <c r="W9687" t="s">
        <v>40315</v>
      </c>
      <c r="X9687" t="s">
        <v>42683</v>
      </c>
    </row>
    <row r="9688" spans="1:24">
      <c r="A9688">
        <f>HYPERLINK("https://www.philgeps.gov.ph/GEPSNONPILOT/Tender/SplashBidNoticeAbstractUI.aspx?menuIndex=3&amp;refID=7176913&amp;Result=3","7176913")</f>
        <v>0</v>
      </c>
      <c r="B9688" t="s">
        <v>1429</v>
      </c>
      <c r="C9688" t="s">
        <v>12773</v>
      </c>
      <c r="D9688" t="s">
        <v>17188</v>
      </c>
      <c r="E9688" t="s">
        <v>25537</v>
      </c>
      <c r="F9688" t="s">
        <v>29372</v>
      </c>
      <c r="G9688" t="s">
        <v>29380</v>
      </c>
      <c r="H9688" t="s">
        <v>11048</v>
      </c>
      <c r="I9688" t="s">
        <v>9469</v>
      </c>
      <c r="J9688" t="s">
        <v>35701</v>
      </c>
      <c r="K9688" t="s">
        <v>38485</v>
      </c>
      <c r="M9688" t="s">
        <v>40269</v>
      </c>
      <c r="N9688" t="s">
        <v>42669</v>
      </c>
      <c r="O9688" t="s">
        <v>42670</v>
      </c>
      <c r="P9688">
        <v>0</v>
      </c>
      <c r="Q9688">
        <v>2</v>
      </c>
      <c r="R9688" t="s">
        <v>42682</v>
      </c>
      <c r="S9688" t="s">
        <v>42984</v>
      </c>
      <c r="T9688" t="s">
        <v>44446</v>
      </c>
      <c r="U9688" t="s">
        <v>52748</v>
      </c>
      <c r="W9688" t="s">
        <v>40269</v>
      </c>
      <c r="X9688" t="s">
        <v>42683</v>
      </c>
    </row>
    <row r="9689" spans="1:24">
      <c r="A9689">
        <f>HYPERLINK("https://www.philgeps.gov.ph/GEPSNONPILOT/Tender/SplashBidNoticeAbstractUI.aspx?menuIndex=3&amp;refID=7177256&amp;Result=3","7177256")</f>
        <v>0</v>
      </c>
      <c r="B9689" t="s">
        <v>2752</v>
      </c>
      <c r="C9689" t="s">
        <v>12774</v>
      </c>
      <c r="D9689" t="s">
        <v>17211</v>
      </c>
      <c r="E9689" t="s">
        <v>25538</v>
      </c>
      <c r="F9689" t="s">
        <v>29372</v>
      </c>
      <c r="G9689" t="s">
        <v>29379</v>
      </c>
      <c r="H9689" t="s">
        <v>11048</v>
      </c>
      <c r="I9689" t="s">
        <v>8614</v>
      </c>
      <c r="J9689" t="s">
        <v>29571</v>
      </c>
      <c r="K9689" t="s">
        <v>38485</v>
      </c>
      <c r="M9689" t="s">
        <v>41735</v>
      </c>
      <c r="N9689" t="s">
        <v>42669</v>
      </c>
      <c r="O9689" t="s">
        <v>42670</v>
      </c>
      <c r="P9689">
        <v>0</v>
      </c>
      <c r="Q9689">
        <v>1</v>
      </c>
      <c r="R9689" t="s">
        <v>42682</v>
      </c>
      <c r="S9689" t="s">
        <v>42984</v>
      </c>
      <c r="T9689" t="s">
        <v>44464</v>
      </c>
      <c r="U9689" t="s">
        <v>52749</v>
      </c>
      <c r="W9689" t="s">
        <v>41735</v>
      </c>
      <c r="X9689" t="s">
        <v>42683</v>
      </c>
    </row>
    <row r="9690" spans="1:24">
      <c r="A9690">
        <f>HYPERLINK("https://www.philgeps.gov.ph/GEPSNONPILOT/Tender/SplashBidNoticeAbstractUI.aspx?menuIndex=3&amp;refID=7177253&amp;Result=3","7177253")</f>
        <v>0</v>
      </c>
      <c r="B9690" t="s">
        <v>582</v>
      </c>
      <c r="C9690" t="s">
        <v>12775</v>
      </c>
      <c r="D9690" t="s">
        <v>17145</v>
      </c>
      <c r="E9690" t="s">
        <v>25539</v>
      </c>
      <c r="F9690" t="s">
        <v>29372</v>
      </c>
      <c r="G9690" t="s">
        <v>29380</v>
      </c>
      <c r="H9690" t="s">
        <v>11048</v>
      </c>
      <c r="I9690" t="s">
        <v>3839</v>
      </c>
      <c r="J9690" t="s">
        <v>30046</v>
      </c>
      <c r="K9690" t="s">
        <v>38495</v>
      </c>
      <c r="M9690" t="s">
        <v>39351</v>
      </c>
      <c r="N9690" t="s">
        <v>42669</v>
      </c>
      <c r="O9690" t="s">
        <v>42670</v>
      </c>
      <c r="P9690">
        <v>0</v>
      </c>
      <c r="Q9690">
        <v>1</v>
      </c>
      <c r="R9690" t="s">
        <v>42682</v>
      </c>
      <c r="S9690" t="s">
        <v>42984</v>
      </c>
      <c r="T9690" t="s">
        <v>44453</v>
      </c>
      <c r="U9690" t="s">
        <v>46095</v>
      </c>
      <c r="W9690" t="s">
        <v>39351</v>
      </c>
      <c r="X9690" t="s">
        <v>42683</v>
      </c>
    </row>
    <row r="9691" spans="1:24">
      <c r="A9691">
        <f>HYPERLINK("https://www.philgeps.gov.ph/GEPSNONPILOT/Tender/SplashBidNoticeAbstractUI.aspx?menuIndex=3&amp;refID=7177243&amp;Result=3","7177243")</f>
        <v>0</v>
      </c>
      <c r="B9691" t="s">
        <v>582</v>
      </c>
      <c r="C9691" t="s">
        <v>12776</v>
      </c>
      <c r="D9691" t="s">
        <v>17145</v>
      </c>
      <c r="E9691" t="s">
        <v>25540</v>
      </c>
      <c r="F9691" t="s">
        <v>29372</v>
      </c>
      <c r="G9691" t="s">
        <v>29380</v>
      </c>
      <c r="H9691" t="s">
        <v>11048</v>
      </c>
      <c r="I9691" t="s">
        <v>29393</v>
      </c>
      <c r="J9691" t="s">
        <v>35702</v>
      </c>
      <c r="K9691" t="s">
        <v>38496</v>
      </c>
      <c r="M9691" t="s">
        <v>39351</v>
      </c>
      <c r="N9691" t="s">
        <v>42669</v>
      </c>
      <c r="O9691" t="s">
        <v>42670</v>
      </c>
      <c r="P9691">
        <v>0</v>
      </c>
      <c r="Q9691">
        <v>1</v>
      </c>
      <c r="R9691" t="s">
        <v>42682</v>
      </c>
      <c r="S9691" t="s">
        <v>42984</v>
      </c>
      <c r="T9691" t="s">
        <v>44453</v>
      </c>
      <c r="U9691" t="s">
        <v>46095</v>
      </c>
      <c r="W9691" t="s">
        <v>39351</v>
      </c>
      <c r="X9691" t="s">
        <v>42683</v>
      </c>
    </row>
    <row r="9692" spans="1:24">
      <c r="A9692">
        <f>HYPERLINK("https://www.philgeps.gov.ph/GEPSNONPILOT/Tender/SplashBidNoticeAbstractUI.aspx?menuIndex=3&amp;refID=7177096&amp;Result=3","7177096")</f>
        <v>0</v>
      </c>
      <c r="B9692" t="s">
        <v>956</v>
      </c>
      <c r="C9692" t="s">
        <v>12777</v>
      </c>
      <c r="D9692" t="s">
        <v>17141</v>
      </c>
      <c r="E9692" t="s">
        <v>25541</v>
      </c>
      <c r="F9692" t="s">
        <v>29372</v>
      </c>
      <c r="G9692" t="s">
        <v>29380</v>
      </c>
      <c r="H9692" t="s">
        <v>11048</v>
      </c>
      <c r="I9692" t="s">
        <v>29423</v>
      </c>
      <c r="J9692" t="s">
        <v>31092</v>
      </c>
      <c r="K9692" t="s">
        <v>38495</v>
      </c>
      <c r="M9692" t="s">
        <v>41321</v>
      </c>
      <c r="N9692" t="s">
        <v>42669</v>
      </c>
      <c r="O9692" t="s">
        <v>42670</v>
      </c>
      <c r="P9692">
        <v>0</v>
      </c>
      <c r="Q9692">
        <v>7</v>
      </c>
      <c r="R9692" t="s">
        <v>42682</v>
      </c>
      <c r="S9692" t="s">
        <v>42984</v>
      </c>
      <c r="T9692" t="s">
        <v>44662</v>
      </c>
      <c r="U9692" t="s">
        <v>50881</v>
      </c>
      <c r="W9692" t="s">
        <v>41321</v>
      </c>
      <c r="X9692" t="s">
        <v>42683</v>
      </c>
    </row>
    <row r="9693" spans="1:24">
      <c r="A9693">
        <f>HYPERLINK("https://www.philgeps.gov.ph/GEPSNONPILOT/Tender/SplashBidNoticeAbstractUI.aspx?menuIndex=3&amp;refID=7177237&amp;Result=3","7177237")</f>
        <v>0</v>
      </c>
      <c r="B9693" t="s">
        <v>905</v>
      </c>
      <c r="C9693" t="s">
        <v>12778</v>
      </c>
      <c r="D9693" t="s">
        <v>17151</v>
      </c>
      <c r="E9693" t="s">
        <v>25542</v>
      </c>
      <c r="F9693" t="s">
        <v>29372</v>
      </c>
      <c r="G9693" t="s">
        <v>29380</v>
      </c>
      <c r="H9693" t="s">
        <v>11048</v>
      </c>
      <c r="I9693" t="s">
        <v>29415</v>
      </c>
      <c r="J9693" t="s">
        <v>29543</v>
      </c>
      <c r="K9693" t="s">
        <v>38487</v>
      </c>
      <c r="M9693" t="s">
        <v>39698</v>
      </c>
      <c r="N9693" t="s">
        <v>42669</v>
      </c>
      <c r="O9693" t="s">
        <v>42670</v>
      </c>
      <c r="P9693">
        <v>0</v>
      </c>
      <c r="Q9693">
        <v>3</v>
      </c>
      <c r="R9693" t="s">
        <v>42682</v>
      </c>
      <c r="S9693" t="s">
        <v>42984</v>
      </c>
      <c r="T9693" t="s">
        <v>44474</v>
      </c>
      <c r="U9693" t="s">
        <v>52750</v>
      </c>
      <c r="W9693" t="s">
        <v>39698</v>
      </c>
      <c r="X9693" t="s">
        <v>42683</v>
      </c>
    </row>
    <row r="9694" spans="1:24">
      <c r="A9694">
        <f>HYPERLINK("https://www.philgeps.gov.ph/GEPSNONPILOT/Tender/SplashBidNoticeAbstractUI.aspx?menuIndex=3&amp;refID=7177234&amp;Result=3","7177234")</f>
        <v>0</v>
      </c>
      <c r="B9694" t="s">
        <v>2752</v>
      </c>
      <c r="C9694" t="s">
        <v>12779</v>
      </c>
      <c r="D9694" t="s">
        <v>17211</v>
      </c>
      <c r="E9694" t="s">
        <v>25543</v>
      </c>
      <c r="F9694" t="s">
        <v>29372</v>
      </c>
      <c r="G9694" t="s">
        <v>29379</v>
      </c>
      <c r="H9694" t="s">
        <v>11048</v>
      </c>
      <c r="I9694" t="s">
        <v>8614</v>
      </c>
      <c r="J9694" t="s">
        <v>30046</v>
      </c>
      <c r="K9694" t="s">
        <v>38485</v>
      </c>
      <c r="M9694" t="s">
        <v>41735</v>
      </c>
      <c r="N9694" t="s">
        <v>42669</v>
      </c>
      <c r="O9694" t="s">
        <v>42670</v>
      </c>
      <c r="P9694">
        <v>0</v>
      </c>
      <c r="Q9694">
        <v>0</v>
      </c>
      <c r="R9694" t="s">
        <v>42682</v>
      </c>
      <c r="S9694" t="s">
        <v>42984</v>
      </c>
      <c r="T9694" t="s">
        <v>44570</v>
      </c>
      <c r="U9694" t="s">
        <v>52751</v>
      </c>
      <c r="W9694" t="s">
        <v>41735</v>
      </c>
      <c r="X9694" t="s">
        <v>42683</v>
      </c>
    </row>
    <row r="9695" spans="1:24">
      <c r="A9695">
        <f>HYPERLINK("https://www.philgeps.gov.ph/GEPSNONPILOT/Tender/SplashBidNoticeAbstractUI.aspx?menuIndex=3&amp;refID=7177212&amp;Result=3","7177212")</f>
        <v>0</v>
      </c>
      <c r="B9695" t="s">
        <v>905</v>
      </c>
      <c r="C9695" t="s">
        <v>12780</v>
      </c>
      <c r="D9695" t="s">
        <v>17151</v>
      </c>
      <c r="E9695" t="s">
        <v>25544</v>
      </c>
      <c r="F9695" t="s">
        <v>29372</v>
      </c>
      <c r="G9695" t="s">
        <v>29380</v>
      </c>
      <c r="H9695" t="s">
        <v>11048</v>
      </c>
      <c r="I9695" t="s">
        <v>9469</v>
      </c>
      <c r="J9695" t="s">
        <v>30815</v>
      </c>
      <c r="K9695" t="s">
        <v>38487</v>
      </c>
      <c r="M9695" t="s">
        <v>39698</v>
      </c>
      <c r="N9695" t="s">
        <v>42669</v>
      </c>
      <c r="O9695" t="s">
        <v>42670</v>
      </c>
      <c r="P9695">
        <v>0</v>
      </c>
      <c r="Q9695">
        <v>7</v>
      </c>
      <c r="R9695" t="s">
        <v>42682</v>
      </c>
      <c r="S9695" t="s">
        <v>42984</v>
      </c>
      <c r="T9695" t="s">
        <v>44474</v>
      </c>
      <c r="U9695" t="s">
        <v>52752</v>
      </c>
      <c r="W9695" t="s">
        <v>39698</v>
      </c>
      <c r="X9695" t="s">
        <v>42683</v>
      </c>
    </row>
    <row r="9696" spans="1:24">
      <c r="A9696">
        <f>HYPERLINK("https://www.philgeps.gov.ph/GEPSNONPILOT/Tender/SplashBidNoticeAbstractUI.aspx?menuIndex=3&amp;refID=7177275&amp;Result=3","7177275")</f>
        <v>0</v>
      </c>
      <c r="B9696" t="s">
        <v>2602</v>
      </c>
      <c r="C9696" t="s">
        <v>12781</v>
      </c>
      <c r="D9696" t="s">
        <v>17166</v>
      </c>
      <c r="E9696" t="s">
        <v>25545</v>
      </c>
      <c r="F9696" t="s">
        <v>29372</v>
      </c>
      <c r="G9696" t="s">
        <v>29380</v>
      </c>
      <c r="H9696" t="s">
        <v>11048</v>
      </c>
      <c r="I9696" t="s">
        <v>4709</v>
      </c>
      <c r="J9696" t="s">
        <v>35703</v>
      </c>
      <c r="K9696" t="s">
        <v>38485</v>
      </c>
      <c r="M9696" t="s">
        <v>41571</v>
      </c>
      <c r="N9696" t="s">
        <v>42669</v>
      </c>
      <c r="O9696" t="s">
        <v>42670</v>
      </c>
      <c r="P9696">
        <v>0</v>
      </c>
      <c r="Q9696">
        <v>4</v>
      </c>
      <c r="R9696" t="s">
        <v>42682</v>
      </c>
      <c r="S9696" t="s">
        <v>42984</v>
      </c>
      <c r="T9696" t="s">
        <v>44474</v>
      </c>
      <c r="U9696" t="s">
        <v>52753</v>
      </c>
      <c r="W9696" t="s">
        <v>41571</v>
      </c>
      <c r="X9696" t="s">
        <v>42683</v>
      </c>
    </row>
    <row r="9697" spans="1:24">
      <c r="A9697">
        <f>HYPERLINK("https://www.philgeps.gov.ph/GEPSNONPILOT/Tender/SplashBidNoticeAbstractUI.aspx?menuIndex=3&amp;refID=7177205&amp;Result=3","7177205")</f>
        <v>0</v>
      </c>
      <c r="B9697" t="s">
        <v>2886</v>
      </c>
      <c r="C9697" t="s">
        <v>12782</v>
      </c>
      <c r="D9697" t="s">
        <v>17191</v>
      </c>
      <c r="E9697" t="s">
        <v>25546</v>
      </c>
      <c r="F9697" t="s">
        <v>29375</v>
      </c>
      <c r="G9697" t="s">
        <v>29380</v>
      </c>
      <c r="H9697" t="s">
        <v>11048</v>
      </c>
      <c r="I9697" t="s">
        <v>4709</v>
      </c>
      <c r="J9697" t="s">
        <v>29708</v>
      </c>
      <c r="K9697" t="s">
        <v>38485</v>
      </c>
      <c r="M9697" t="s">
        <v>41884</v>
      </c>
      <c r="N9697" t="s">
        <v>42669</v>
      </c>
      <c r="O9697" t="s">
        <v>42670</v>
      </c>
      <c r="P9697">
        <v>0</v>
      </c>
      <c r="Q9697">
        <v>1</v>
      </c>
      <c r="R9697" t="s">
        <v>42682</v>
      </c>
      <c r="S9697" t="s">
        <v>42984</v>
      </c>
      <c r="T9697" t="s">
        <v>44527</v>
      </c>
      <c r="U9697" t="s">
        <v>52754</v>
      </c>
      <c r="W9697" t="s">
        <v>41884</v>
      </c>
      <c r="X9697" t="s">
        <v>42683</v>
      </c>
    </row>
    <row r="9698" spans="1:24">
      <c r="A9698">
        <f>HYPERLINK("https://www.philgeps.gov.ph/GEPSNONPILOT/Tender/SplashBidNoticeAbstractUI.aspx?menuIndex=3&amp;refID=7177194&amp;Result=3","7177194")</f>
        <v>0</v>
      </c>
      <c r="B9698" t="s">
        <v>2602</v>
      </c>
      <c r="C9698" t="s">
        <v>12783</v>
      </c>
      <c r="D9698" t="s">
        <v>17166</v>
      </c>
      <c r="E9698" t="s">
        <v>25547</v>
      </c>
      <c r="F9698" t="s">
        <v>29372</v>
      </c>
      <c r="G9698" t="s">
        <v>29380</v>
      </c>
      <c r="H9698" t="s">
        <v>11048</v>
      </c>
      <c r="I9698" t="s">
        <v>4709</v>
      </c>
      <c r="J9698" t="s">
        <v>35704</v>
      </c>
      <c r="K9698" t="s">
        <v>38488</v>
      </c>
      <c r="M9698" t="s">
        <v>41571</v>
      </c>
      <c r="N9698" t="s">
        <v>42669</v>
      </c>
      <c r="O9698" t="s">
        <v>42670</v>
      </c>
      <c r="P9698">
        <v>0</v>
      </c>
      <c r="Q9698">
        <v>2</v>
      </c>
      <c r="R9698" t="s">
        <v>42682</v>
      </c>
      <c r="S9698" t="s">
        <v>42984</v>
      </c>
      <c r="T9698" t="s">
        <v>44474</v>
      </c>
      <c r="U9698" t="s">
        <v>52753</v>
      </c>
      <c r="W9698" t="s">
        <v>41571</v>
      </c>
      <c r="X9698" t="s">
        <v>42683</v>
      </c>
    </row>
    <row r="9699" spans="1:24">
      <c r="A9699">
        <f>HYPERLINK("https://www.philgeps.gov.ph/GEPSNONPILOT/Tender/SplashBidNoticeAbstractUI.aspx?menuIndex=3&amp;refID=7177193&amp;Result=3","7177193")</f>
        <v>0</v>
      </c>
      <c r="B9699" t="s">
        <v>905</v>
      </c>
      <c r="C9699" t="s">
        <v>12784</v>
      </c>
      <c r="D9699" t="s">
        <v>17151</v>
      </c>
      <c r="E9699" t="s">
        <v>25548</v>
      </c>
      <c r="F9699" t="s">
        <v>29372</v>
      </c>
      <c r="G9699" t="s">
        <v>29380</v>
      </c>
      <c r="H9699" t="s">
        <v>11048</v>
      </c>
      <c r="I9699" t="s">
        <v>29393</v>
      </c>
      <c r="J9699" t="s">
        <v>35705</v>
      </c>
      <c r="K9699" t="s">
        <v>38487</v>
      </c>
      <c r="M9699" t="s">
        <v>39698</v>
      </c>
      <c r="N9699" t="s">
        <v>42669</v>
      </c>
      <c r="O9699" t="s">
        <v>42670</v>
      </c>
      <c r="P9699">
        <v>0</v>
      </c>
      <c r="Q9699">
        <v>0</v>
      </c>
      <c r="R9699" t="s">
        <v>42682</v>
      </c>
      <c r="S9699" t="s">
        <v>42984</v>
      </c>
      <c r="T9699" t="s">
        <v>44474</v>
      </c>
      <c r="U9699" t="s">
        <v>52755</v>
      </c>
      <c r="W9699" t="s">
        <v>39698</v>
      </c>
      <c r="X9699" t="s">
        <v>42683</v>
      </c>
    </row>
    <row r="9700" spans="1:24">
      <c r="A9700">
        <f>HYPERLINK("https://www.philgeps.gov.ph/GEPSNONPILOT/Tender/SplashBidNoticeAbstractUI.aspx?menuIndex=3&amp;refID=7177155&amp;Result=3","7177155")</f>
        <v>0</v>
      </c>
      <c r="B9700" t="s">
        <v>380</v>
      </c>
      <c r="C9700" t="s">
        <v>12785</v>
      </c>
      <c r="D9700" t="s">
        <v>17160</v>
      </c>
      <c r="E9700" t="s">
        <v>25549</v>
      </c>
      <c r="F9700" t="s">
        <v>29372</v>
      </c>
      <c r="G9700" t="s">
        <v>29380</v>
      </c>
      <c r="H9700" t="s">
        <v>11048</v>
      </c>
      <c r="I9700" t="s">
        <v>8614</v>
      </c>
      <c r="J9700" t="s">
        <v>35706</v>
      </c>
      <c r="K9700" t="s">
        <v>38485</v>
      </c>
      <c r="M9700" t="s">
        <v>39142</v>
      </c>
      <c r="N9700" t="s">
        <v>42669</v>
      </c>
      <c r="O9700" t="s">
        <v>42670</v>
      </c>
      <c r="P9700">
        <v>0</v>
      </c>
      <c r="Q9700">
        <v>5</v>
      </c>
      <c r="R9700" t="s">
        <v>42682</v>
      </c>
      <c r="S9700" t="s">
        <v>42984</v>
      </c>
      <c r="T9700" t="s">
        <v>44438</v>
      </c>
      <c r="U9700" t="s">
        <v>52756</v>
      </c>
      <c r="V9700" t="s">
        <v>57445</v>
      </c>
      <c r="W9700" t="s">
        <v>39142</v>
      </c>
      <c r="X9700" t="s">
        <v>42683</v>
      </c>
    </row>
    <row r="9701" spans="1:24">
      <c r="A9701">
        <f>HYPERLINK("https://www.philgeps.gov.ph/GEPSNONPILOT/Tender/SplashBidNoticeAbstractUI.aspx?menuIndex=3&amp;refID=7177391&amp;Result=3","7177391")</f>
        <v>0</v>
      </c>
      <c r="B9701" t="s">
        <v>453</v>
      </c>
      <c r="C9701" t="s">
        <v>12786</v>
      </c>
      <c r="D9701" t="s">
        <v>17173</v>
      </c>
      <c r="E9701" t="s">
        <v>25550</v>
      </c>
      <c r="F9701" t="s">
        <v>29372</v>
      </c>
      <c r="G9701" t="s">
        <v>29380</v>
      </c>
      <c r="H9701" t="s">
        <v>29389</v>
      </c>
      <c r="I9701" t="s">
        <v>10408</v>
      </c>
      <c r="J9701" t="s">
        <v>35707</v>
      </c>
      <c r="K9701" t="s">
        <v>38558</v>
      </c>
      <c r="M9701" t="s">
        <v>39217</v>
      </c>
      <c r="N9701" t="s">
        <v>42669</v>
      </c>
      <c r="O9701" t="s">
        <v>42670</v>
      </c>
      <c r="P9701">
        <v>0</v>
      </c>
      <c r="Q9701">
        <v>1</v>
      </c>
      <c r="R9701" t="s">
        <v>42682</v>
      </c>
      <c r="S9701" t="s">
        <v>42984</v>
      </c>
      <c r="T9701" t="s">
        <v>44517</v>
      </c>
      <c r="U9701" t="s">
        <v>52757</v>
      </c>
      <c r="W9701" t="s">
        <v>39217</v>
      </c>
      <c r="X9701" t="s">
        <v>42683</v>
      </c>
    </row>
    <row r="9702" spans="1:24">
      <c r="A9702">
        <f>HYPERLINK("https://www.philgeps.gov.ph/GEPSNONPILOT/Tender/SplashBidNoticeAbstractUI.aspx?menuIndex=3&amp;refID=7148031&amp;Result=3","7148031")</f>
        <v>0</v>
      </c>
      <c r="B9702" t="s">
        <v>1058</v>
      </c>
      <c r="C9702" t="s">
        <v>12787</v>
      </c>
      <c r="D9702" t="s">
        <v>17141</v>
      </c>
      <c r="E9702" t="s">
        <v>12787</v>
      </c>
      <c r="F9702" t="s">
        <v>29372</v>
      </c>
      <c r="G9702" t="s">
        <v>29380</v>
      </c>
      <c r="H9702" t="s">
        <v>11048</v>
      </c>
      <c r="I9702" t="s">
        <v>29433</v>
      </c>
      <c r="J9702" t="s">
        <v>29590</v>
      </c>
      <c r="K9702" t="s">
        <v>38485</v>
      </c>
      <c r="M9702" t="s">
        <v>39865</v>
      </c>
      <c r="N9702" t="s">
        <v>42669</v>
      </c>
      <c r="O9702" t="s">
        <v>42670</v>
      </c>
      <c r="P9702">
        <v>0</v>
      </c>
      <c r="Q9702">
        <v>13</v>
      </c>
      <c r="R9702" t="s">
        <v>42683</v>
      </c>
      <c r="S9702" t="s">
        <v>43062</v>
      </c>
      <c r="T9702" t="s">
        <v>44412</v>
      </c>
      <c r="U9702" t="s">
        <v>47035</v>
      </c>
      <c r="W9702" t="s">
        <v>39865</v>
      </c>
      <c r="X9702" t="s">
        <v>42697</v>
      </c>
    </row>
    <row r="9703" spans="1:24">
      <c r="A9703">
        <f>HYPERLINK("https://www.philgeps.gov.ph/GEPSNONPILOT/Tender/SplashBidNoticeAbstractUI.aspx?menuIndex=3&amp;refID=7143018&amp;Result=3","7143018")</f>
        <v>0</v>
      </c>
      <c r="B9703" t="s">
        <v>2887</v>
      </c>
      <c r="C9703" t="s">
        <v>12788</v>
      </c>
      <c r="D9703" t="s">
        <v>17188</v>
      </c>
      <c r="E9703" t="s">
        <v>17747</v>
      </c>
      <c r="F9703" t="s">
        <v>29372</v>
      </c>
      <c r="G9703" t="s">
        <v>29380</v>
      </c>
      <c r="H9703" t="s">
        <v>11048</v>
      </c>
      <c r="I9703" t="s">
        <v>29391</v>
      </c>
      <c r="J9703" t="s">
        <v>29619</v>
      </c>
      <c r="K9703" t="s">
        <v>38495</v>
      </c>
      <c r="L9703" t="s">
        <v>2887</v>
      </c>
      <c r="M9703" t="s">
        <v>41885</v>
      </c>
      <c r="N9703" t="s">
        <v>42669</v>
      </c>
      <c r="O9703" t="s">
        <v>42670</v>
      </c>
      <c r="P9703">
        <v>0</v>
      </c>
      <c r="Q9703">
        <v>1</v>
      </c>
      <c r="R9703" t="s">
        <v>42683</v>
      </c>
      <c r="S9703" t="s">
        <v>43062</v>
      </c>
      <c r="T9703" t="s">
        <v>44568</v>
      </c>
      <c r="U9703" t="s">
        <v>52758</v>
      </c>
      <c r="W9703" t="s">
        <v>41885</v>
      </c>
      <c r="X9703" t="s">
        <v>42698</v>
      </c>
    </row>
    <row r="9704" spans="1:24">
      <c r="A9704">
        <f>HYPERLINK("https://www.philgeps.gov.ph/GEPSNONPILOT/Tender/SplashBidNoticeAbstractUI.aspx?menuIndex=3&amp;refID=7177252&amp;Result=3","7177252")</f>
        <v>0</v>
      </c>
      <c r="B9704" t="s">
        <v>2888</v>
      </c>
      <c r="C9704" t="s">
        <v>12789</v>
      </c>
      <c r="D9704" t="s">
        <v>17160</v>
      </c>
      <c r="E9704" t="s">
        <v>25551</v>
      </c>
      <c r="F9704" t="s">
        <v>29372</v>
      </c>
      <c r="G9704" t="s">
        <v>29380</v>
      </c>
      <c r="H9704" t="s">
        <v>11048</v>
      </c>
      <c r="I9704" t="s">
        <v>3695</v>
      </c>
      <c r="J9704" t="s">
        <v>35708</v>
      </c>
      <c r="K9704" t="s">
        <v>38518</v>
      </c>
      <c r="M9704" t="s">
        <v>41886</v>
      </c>
      <c r="N9704" t="s">
        <v>42669</v>
      </c>
      <c r="O9704" t="s">
        <v>42670</v>
      </c>
      <c r="P9704">
        <v>0</v>
      </c>
      <c r="Q9704">
        <v>8</v>
      </c>
      <c r="R9704" t="s">
        <v>42682</v>
      </c>
      <c r="S9704" t="s">
        <v>42984</v>
      </c>
      <c r="T9704" t="s">
        <v>44532</v>
      </c>
      <c r="U9704" t="s">
        <v>52759</v>
      </c>
      <c r="V9704" t="s">
        <v>57446</v>
      </c>
      <c r="W9704" t="s">
        <v>41886</v>
      </c>
      <c r="X9704" t="s">
        <v>42683</v>
      </c>
    </row>
    <row r="9705" spans="1:24">
      <c r="A9705">
        <f>HYPERLINK("https://www.philgeps.gov.ph/GEPSNONPILOT/Tender/SplashBidNoticeAbstractUI.aspx?menuIndex=3&amp;refID=7177412&amp;Result=3","7177412")</f>
        <v>0</v>
      </c>
      <c r="B9705" t="s">
        <v>453</v>
      </c>
      <c r="C9705" t="s">
        <v>12790</v>
      </c>
      <c r="D9705" t="s">
        <v>17173</v>
      </c>
      <c r="E9705" t="s">
        <v>25552</v>
      </c>
      <c r="F9705" t="s">
        <v>29372</v>
      </c>
      <c r="G9705" t="s">
        <v>29380</v>
      </c>
      <c r="H9705" t="s">
        <v>29389</v>
      </c>
      <c r="I9705" t="s">
        <v>10408</v>
      </c>
      <c r="J9705" t="s">
        <v>35709</v>
      </c>
      <c r="K9705" t="s">
        <v>38705</v>
      </c>
      <c r="M9705" t="s">
        <v>39217</v>
      </c>
      <c r="N9705" t="s">
        <v>42669</v>
      </c>
      <c r="O9705" t="s">
        <v>42670</v>
      </c>
      <c r="P9705">
        <v>0</v>
      </c>
      <c r="Q9705">
        <v>1</v>
      </c>
      <c r="R9705" t="s">
        <v>42682</v>
      </c>
      <c r="S9705" t="s">
        <v>42984</v>
      </c>
      <c r="T9705" t="s">
        <v>44517</v>
      </c>
      <c r="U9705" t="s">
        <v>52760</v>
      </c>
      <c r="W9705" t="s">
        <v>39217</v>
      </c>
      <c r="X9705" t="s">
        <v>42683</v>
      </c>
    </row>
    <row r="9706" spans="1:24">
      <c r="A9706">
        <f>HYPERLINK("https://www.philgeps.gov.ph/GEPSNONPILOT/Tender/SplashBidNoticeAbstractUI.aspx?menuIndex=3&amp;refID=7177157&amp;Result=3","7177157")</f>
        <v>0</v>
      </c>
      <c r="B9706" t="s">
        <v>2889</v>
      </c>
      <c r="C9706" t="s">
        <v>3952</v>
      </c>
      <c r="D9706" t="s">
        <v>17188</v>
      </c>
      <c r="E9706" t="s">
        <v>25553</v>
      </c>
      <c r="F9706" t="s">
        <v>29373</v>
      </c>
      <c r="G9706" t="s">
        <v>29380</v>
      </c>
      <c r="H9706" t="s">
        <v>11048</v>
      </c>
      <c r="I9706" t="s">
        <v>3952</v>
      </c>
      <c r="J9706" t="s">
        <v>31013</v>
      </c>
      <c r="K9706" t="s">
        <v>38490</v>
      </c>
      <c r="M9706" t="s">
        <v>41887</v>
      </c>
      <c r="N9706" t="s">
        <v>42669</v>
      </c>
      <c r="O9706" t="s">
        <v>42670</v>
      </c>
      <c r="P9706">
        <v>0</v>
      </c>
      <c r="Q9706">
        <v>0</v>
      </c>
      <c r="R9706" t="s">
        <v>42682</v>
      </c>
      <c r="S9706" t="s">
        <v>42984</v>
      </c>
      <c r="T9706" t="s">
        <v>44470</v>
      </c>
      <c r="U9706" t="s">
        <v>52761</v>
      </c>
      <c r="W9706" t="s">
        <v>41887</v>
      </c>
      <c r="X9706" t="s">
        <v>42683</v>
      </c>
    </row>
    <row r="9707" spans="1:24">
      <c r="A9707">
        <f>HYPERLINK("https://www.philgeps.gov.ph/GEPSNONPILOT/Tender/SplashBidNoticeAbstractUI.aspx?menuIndex=3&amp;refID=7177404&amp;Result=3","7177404")</f>
        <v>0</v>
      </c>
      <c r="B9707" t="s">
        <v>453</v>
      </c>
      <c r="C9707" t="s">
        <v>12791</v>
      </c>
      <c r="D9707" t="s">
        <v>17173</v>
      </c>
      <c r="E9707" t="s">
        <v>25554</v>
      </c>
      <c r="F9707" t="s">
        <v>29372</v>
      </c>
      <c r="G9707" t="s">
        <v>29380</v>
      </c>
      <c r="H9707" t="s">
        <v>29389</v>
      </c>
      <c r="I9707" t="s">
        <v>10408</v>
      </c>
      <c r="J9707" t="s">
        <v>35710</v>
      </c>
      <c r="K9707" t="s">
        <v>38706</v>
      </c>
      <c r="M9707" t="s">
        <v>39217</v>
      </c>
      <c r="N9707" t="s">
        <v>42669</v>
      </c>
      <c r="O9707" t="s">
        <v>42670</v>
      </c>
      <c r="P9707">
        <v>0</v>
      </c>
      <c r="Q9707">
        <v>1</v>
      </c>
      <c r="R9707" t="s">
        <v>42682</v>
      </c>
      <c r="S9707" t="s">
        <v>42984</v>
      </c>
      <c r="T9707" t="s">
        <v>44517</v>
      </c>
      <c r="U9707" t="s">
        <v>52762</v>
      </c>
      <c r="W9707" t="s">
        <v>39217</v>
      </c>
      <c r="X9707" t="s">
        <v>42683</v>
      </c>
    </row>
    <row r="9708" spans="1:24">
      <c r="A9708">
        <f>HYPERLINK("https://www.philgeps.gov.ph/GEPSNONPILOT/Tender/SplashBidNoticeAbstractUI.aspx?menuIndex=3&amp;refID=7177400&amp;Result=3","7177400")</f>
        <v>0</v>
      </c>
      <c r="B9708" t="s">
        <v>453</v>
      </c>
      <c r="C9708" t="s">
        <v>12792</v>
      </c>
      <c r="D9708" t="s">
        <v>17173</v>
      </c>
      <c r="E9708" t="s">
        <v>25555</v>
      </c>
      <c r="F9708" t="s">
        <v>29372</v>
      </c>
      <c r="G9708" t="s">
        <v>29380</v>
      </c>
      <c r="H9708" t="s">
        <v>29389</v>
      </c>
      <c r="I9708" t="s">
        <v>10408</v>
      </c>
      <c r="J9708" t="s">
        <v>35711</v>
      </c>
      <c r="K9708" t="s">
        <v>38577</v>
      </c>
      <c r="M9708" t="s">
        <v>39217</v>
      </c>
      <c r="N9708" t="s">
        <v>42669</v>
      </c>
      <c r="O9708" t="s">
        <v>42670</v>
      </c>
      <c r="P9708">
        <v>0</v>
      </c>
      <c r="Q9708">
        <v>1</v>
      </c>
      <c r="R9708" t="s">
        <v>42682</v>
      </c>
      <c r="S9708" t="s">
        <v>42984</v>
      </c>
      <c r="T9708" t="s">
        <v>44517</v>
      </c>
      <c r="U9708" t="s">
        <v>52763</v>
      </c>
      <c r="W9708" t="s">
        <v>39217</v>
      </c>
      <c r="X9708" t="s">
        <v>42683</v>
      </c>
    </row>
    <row r="9709" spans="1:24">
      <c r="A9709">
        <f>HYPERLINK("https://www.philgeps.gov.ph/GEPSNONPILOT/Tender/SplashBidNoticeAbstractUI.aspx?menuIndex=3&amp;refID=7177390&amp;Result=3","7177390")</f>
        <v>0</v>
      </c>
      <c r="B9709" t="s">
        <v>2890</v>
      </c>
      <c r="C9709" t="s">
        <v>12793</v>
      </c>
      <c r="D9709" t="s">
        <v>17147</v>
      </c>
      <c r="E9709" t="s">
        <v>18255</v>
      </c>
      <c r="F9709" t="s">
        <v>29373</v>
      </c>
      <c r="G9709" t="s">
        <v>29387</v>
      </c>
      <c r="H9709" t="s">
        <v>11048</v>
      </c>
      <c r="I9709" t="s">
        <v>29427</v>
      </c>
      <c r="J9709" t="s">
        <v>30010</v>
      </c>
      <c r="K9709" t="s">
        <v>38491</v>
      </c>
      <c r="M9709" t="s">
        <v>41888</v>
      </c>
      <c r="N9709" t="s">
        <v>42669</v>
      </c>
      <c r="O9709" t="s">
        <v>42670</v>
      </c>
      <c r="P9709">
        <v>0</v>
      </c>
      <c r="Q9709">
        <v>1</v>
      </c>
      <c r="R9709" t="s">
        <v>42682</v>
      </c>
      <c r="S9709" t="s">
        <v>42984</v>
      </c>
      <c r="T9709" t="s">
        <v>44357</v>
      </c>
      <c r="U9709" t="s">
        <v>52764</v>
      </c>
      <c r="W9709" t="s">
        <v>41888</v>
      </c>
      <c r="X9709" t="s">
        <v>42683</v>
      </c>
    </row>
    <row r="9710" spans="1:24">
      <c r="A9710">
        <f>HYPERLINK("https://www.philgeps.gov.ph/GEPSNONPILOT/Tender/SplashBidNoticeAbstractUI.aspx?menuIndex=3&amp;refID=7177410&amp;Result=3","7177410")</f>
        <v>0</v>
      </c>
      <c r="B9710" t="s">
        <v>453</v>
      </c>
      <c r="C9710" t="s">
        <v>12794</v>
      </c>
      <c r="D9710" t="s">
        <v>17173</v>
      </c>
      <c r="E9710" t="s">
        <v>25556</v>
      </c>
      <c r="F9710" t="s">
        <v>29372</v>
      </c>
      <c r="G9710" t="s">
        <v>29380</v>
      </c>
      <c r="H9710" t="s">
        <v>29389</v>
      </c>
      <c r="I9710" t="s">
        <v>10408</v>
      </c>
      <c r="J9710" t="s">
        <v>35712</v>
      </c>
      <c r="K9710" t="s">
        <v>38514</v>
      </c>
      <c r="M9710" t="s">
        <v>39217</v>
      </c>
      <c r="N9710" t="s">
        <v>42669</v>
      </c>
      <c r="O9710" t="s">
        <v>42670</v>
      </c>
      <c r="P9710">
        <v>0</v>
      </c>
      <c r="Q9710">
        <v>2</v>
      </c>
      <c r="R9710" t="s">
        <v>42682</v>
      </c>
      <c r="S9710" t="s">
        <v>42984</v>
      </c>
      <c r="T9710" t="s">
        <v>44517</v>
      </c>
      <c r="U9710" t="s">
        <v>52765</v>
      </c>
      <c r="W9710" t="s">
        <v>39217</v>
      </c>
      <c r="X9710" t="s">
        <v>42683</v>
      </c>
    </row>
    <row r="9711" spans="1:24">
      <c r="A9711">
        <f>HYPERLINK("https://www.philgeps.gov.ph/GEPSNONPILOT/Tender/SplashBidNoticeAbstractUI.aspx?menuIndex=3&amp;refID=7177408&amp;Result=3","7177408")</f>
        <v>0</v>
      </c>
      <c r="B9711" t="s">
        <v>453</v>
      </c>
      <c r="C9711" t="s">
        <v>12795</v>
      </c>
      <c r="D9711" t="s">
        <v>17173</v>
      </c>
      <c r="E9711" t="s">
        <v>25557</v>
      </c>
      <c r="F9711" t="s">
        <v>29372</v>
      </c>
      <c r="G9711" t="s">
        <v>29380</v>
      </c>
      <c r="H9711" t="s">
        <v>29389</v>
      </c>
      <c r="I9711" t="s">
        <v>10408</v>
      </c>
      <c r="J9711" t="s">
        <v>35713</v>
      </c>
      <c r="K9711" t="s">
        <v>38702</v>
      </c>
      <c r="M9711" t="s">
        <v>39217</v>
      </c>
      <c r="N9711" t="s">
        <v>42669</v>
      </c>
      <c r="O9711" t="s">
        <v>42670</v>
      </c>
      <c r="P9711">
        <v>0</v>
      </c>
      <c r="Q9711">
        <v>1</v>
      </c>
      <c r="R9711" t="s">
        <v>42682</v>
      </c>
      <c r="S9711" t="s">
        <v>42984</v>
      </c>
      <c r="T9711" t="s">
        <v>44517</v>
      </c>
      <c r="U9711" t="s">
        <v>52766</v>
      </c>
      <c r="W9711" t="s">
        <v>39217</v>
      </c>
      <c r="X9711" t="s">
        <v>42683</v>
      </c>
    </row>
    <row r="9712" spans="1:24">
      <c r="A9712">
        <f>HYPERLINK("https://www.philgeps.gov.ph/GEPSNONPILOT/Tender/SplashBidNoticeAbstractUI.aspx?menuIndex=3&amp;refID=7177379&amp;Result=3","7177379")</f>
        <v>0</v>
      </c>
      <c r="B9712" t="s">
        <v>2891</v>
      </c>
      <c r="C9712" t="s">
        <v>12796</v>
      </c>
      <c r="D9712" t="s">
        <v>17151</v>
      </c>
      <c r="E9712" t="s">
        <v>20907</v>
      </c>
      <c r="F9712" t="s">
        <v>29372</v>
      </c>
      <c r="G9712" t="s">
        <v>29380</v>
      </c>
      <c r="H9712" t="s">
        <v>11048</v>
      </c>
      <c r="I9712" t="s">
        <v>4709</v>
      </c>
      <c r="J9712" t="s">
        <v>35714</v>
      </c>
      <c r="K9712" t="s">
        <v>38518</v>
      </c>
      <c r="M9712" t="s">
        <v>41889</v>
      </c>
      <c r="N9712" t="s">
        <v>42669</v>
      </c>
      <c r="O9712" t="s">
        <v>42670</v>
      </c>
      <c r="Q9712">
        <v>1</v>
      </c>
      <c r="R9712" t="s">
        <v>42682</v>
      </c>
      <c r="S9712" t="s">
        <v>43063</v>
      </c>
      <c r="T9712" t="s">
        <v>44422</v>
      </c>
      <c r="U9712" t="s">
        <v>52767</v>
      </c>
      <c r="V9712" t="s">
        <v>57447</v>
      </c>
      <c r="W9712" t="s">
        <v>41889</v>
      </c>
      <c r="X9712" t="s">
        <v>42683</v>
      </c>
    </row>
    <row r="9713" spans="1:24">
      <c r="A9713">
        <f>HYPERLINK("https://www.philgeps.gov.ph/GEPSNONPILOT/Tender/SplashBidNoticeAbstractUI.aspx?menuIndex=3&amp;refID=7177353&amp;Result=3","7177353")</f>
        <v>0</v>
      </c>
      <c r="B9713" t="s">
        <v>453</v>
      </c>
      <c r="C9713" t="s">
        <v>12797</v>
      </c>
      <c r="D9713" t="s">
        <v>17173</v>
      </c>
      <c r="E9713" t="s">
        <v>25558</v>
      </c>
      <c r="F9713" t="s">
        <v>29372</v>
      </c>
      <c r="G9713" t="s">
        <v>29380</v>
      </c>
      <c r="H9713" t="s">
        <v>29389</v>
      </c>
      <c r="I9713" t="s">
        <v>10408</v>
      </c>
      <c r="J9713" t="s">
        <v>35715</v>
      </c>
      <c r="K9713" t="s">
        <v>38577</v>
      </c>
      <c r="M9713" t="s">
        <v>39217</v>
      </c>
      <c r="N9713" t="s">
        <v>42669</v>
      </c>
      <c r="O9713" t="s">
        <v>42670</v>
      </c>
      <c r="P9713">
        <v>0</v>
      </c>
      <c r="Q9713">
        <v>1</v>
      </c>
      <c r="R9713" t="s">
        <v>42682</v>
      </c>
      <c r="S9713" t="s">
        <v>42984</v>
      </c>
      <c r="T9713" t="s">
        <v>44517</v>
      </c>
      <c r="U9713" t="s">
        <v>52768</v>
      </c>
      <c r="W9713" t="s">
        <v>39217</v>
      </c>
      <c r="X9713" t="s">
        <v>42683</v>
      </c>
    </row>
    <row r="9714" spans="1:24">
      <c r="A9714">
        <f>HYPERLINK("https://www.philgeps.gov.ph/GEPSNONPILOT/Tender/SplashBidNoticeAbstractUI.aspx?menuIndex=3&amp;refID=7177348&amp;Result=3","7177348")</f>
        <v>0</v>
      </c>
      <c r="B9714" t="s">
        <v>2890</v>
      </c>
      <c r="C9714" t="s">
        <v>12798</v>
      </c>
      <c r="D9714" t="s">
        <v>17147</v>
      </c>
      <c r="E9714" t="s">
        <v>17648</v>
      </c>
      <c r="F9714" t="s">
        <v>29375</v>
      </c>
      <c r="G9714" t="s">
        <v>29387</v>
      </c>
      <c r="H9714" t="s">
        <v>11048</v>
      </c>
      <c r="I9714" t="s">
        <v>29395</v>
      </c>
      <c r="J9714" t="s">
        <v>35716</v>
      </c>
      <c r="K9714" t="s">
        <v>38491</v>
      </c>
      <c r="M9714" t="s">
        <v>41888</v>
      </c>
      <c r="N9714" t="s">
        <v>42669</v>
      </c>
      <c r="O9714" t="s">
        <v>42670</v>
      </c>
      <c r="P9714">
        <v>0</v>
      </c>
      <c r="Q9714">
        <v>0</v>
      </c>
      <c r="R9714" t="s">
        <v>42682</v>
      </c>
      <c r="S9714" t="s">
        <v>42984</v>
      </c>
      <c r="T9714" t="s">
        <v>44357</v>
      </c>
      <c r="U9714" t="s">
        <v>52769</v>
      </c>
      <c r="W9714" t="s">
        <v>41888</v>
      </c>
      <c r="X9714" t="s">
        <v>42683</v>
      </c>
    </row>
    <row r="9715" spans="1:24">
      <c r="A9715">
        <f>HYPERLINK("https://www.philgeps.gov.ph/GEPSNONPILOT/Tender/SplashBidNoticeAbstractUI.aspx?menuIndex=3&amp;refID=7177381&amp;Result=3","7177381")</f>
        <v>0</v>
      </c>
      <c r="B9715" t="s">
        <v>2890</v>
      </c>
      <c r="C9715" t="s">
        <v>12799</v>
      </c>
      <c r="D9715" t="s">
        <v>17147</v>
      </c>
      <c r="E9715" t="s">
        <v>17947</v>
      </c>
      <c r="F9715" t="s">
        <v>29375</v>
      </c>
      <c r="G9715" t="s">
        <v>29387</v>
      </c>
      <c r="H9715" t="s">
        <v>11048</v>
      </c>
      <c r="I9715" t="s">
        <v>29493</v>
      </c>
      <c r="J9715" t="s">
        <v>29767</v>
      </c>
      <c r="K9715" t="s">
        <v>38491</v>
      </c>
      <c r="M9715" t="s">
        <v>41888</v>
      </c>
      <c r="N9715" t="s">
        <v>42669</v>
      </c>
      <c r="O9715" t="s">
        <v>42670</v>
      </c>
      <c r="P9715">
        <v>0</v>
      </c>
      <c r="Q9715">
        <v>1</v>
      </c>
      <c r="R9715" t="s">
        <v>42682</v>
      </c>
      <c r="S9715" t="s">
        <v>42984</v>
      </c>
      <c r="T9715" t="s">
        <v>44357</v>
      </c>
      <c r="U9715" t="s">
        <v>52770</v>
      </c>
      <c r="W9715" t="s">
        <v>41888</v>
      </c>
      <c r="X9715" t="s">
        <v>42683</v>
      </c>
    </row>
    <row r="9716" spans="1:24">
      <c r="A9716">
        <f>HYPERLINK("https://www.philgeps.gov.ph/GEPSNONPILOT/Tender/SplashBidNoticeAbstractUI.aspx?menuIndex=3&amp;refID=7177347&amp;Result=3","7177347")</f>
        <v>0</v>
      </c>
      <c r="B9716" t="s">
        <v>2892</v>
      </c>
      <c r="C9716" t="s">
        <v>12800</v>
      </c>
      <c r="D9716" t="s">
        <v>17168</v>
      </c>
      <c r="E9716" t="s">
        <v>17994</v>
      </c>
      <c r="F9716" t="s">
        <v>29372</v>
      </c>
      <c r="G9716" t="s">
        <v>29380</v>
      </c>
      <c r="H9716" t="s">
        <v>11048</v>
      </c>
      <c r="I9716" t="s">
        <v>4709</v>
      </c>
      <c r="J9716" t="s">
        <v>35717</v>
      </c>
      <c r="K9716" t="s">
        <v>38510</v>
      </c>
      <c r="M9716" t="s">
        <v>41890</v>
      </c>
      <c r="N9716" t="s">
        <v>42669</v>
      </c>
      <c r="O9716" t="s">
        <v>42670</v>
      </c>
      <c r="P9716">
        <v>0</v>
      </c>
      <c r="Q9716">
        <v>0</v>
      </c>
      <c r="R9716" t="s">
        <v>42682</v>
      </c>
      <c r="S9716" t="s">
        <v>42984</v>
      </c>
      <c r="T9716" t="s">
        <v>44378</v>
      </c>
      <c r="U9716" t="s">
        <v>52771</v>
      </c>
      <c r="V9716" t="s">
        <v>57448</v>
      </c>
      <c r="W9716" t="s">
        <v>41890</v>
      </c>
      <c r="X9716" t="s">
        <v>42683</v>
      </c>
    </row>
    <row r="9717" spans="1:24">
      <c r="A9717">
        <f>HYPERLINK("https://www.philgeps.gov.ph/GEPSNONPILOT/Tender/SplashBidNoticeAbstractUI.aspx?menuIndex=3&amp;refID=7177338&amp;Result=3","7177338")</f>
        <v>0</v>
      </c>
      <c r="B9717" t="s">
        <v>2766</v>
      </c>
      <c r="C9717" t="s">
        <v>12801</v>
      </c>
      <c r="D9717" t="s">
        <v>17191</v>
      </c>
      <c r="E9717" t="s">
        <v>25546</v>
      </c>
      <c r="F9717" t="s">
        <v>29375</v>
      </c>
      <c r="G9717" t="s">
        <v>29380</v>
      </c>
      <c r="H9717" t="s">
        <v>11048</v>
      </c>
      <c r="I9717" t="s">
        <v>29417</v>
      </c>
      <c r="J9717" t="s">
        <v>31569</v>
      </c>
      <c r="K9717" t="s">
        <v>38485</v>
      </c>
      <c r="M9717" t="s">
        <v>41751</v>
      </c>
      <c r="N9717" t="s">
        <v>42669</v>
      </c>
      <c r="O9717" t="s">
        <v>42670</v>
      </c>
      <c r="P9717">
        <v>0</v>
      </c>
      <c r="Q9717">
        <v>0</v>
      </c>
      <c r="R9717" t="s">
        <v>42682</v>
      </c>
      <c r="S9717" t="s">
        <v>42984</v>
      </c>
      <c r="T9717" t="s">
        <v>44422</v>
      </c>
      <c r="U9717" t="s">
        <v>52772</v>
      </c>
      <c r="W9717" t="s">
        <v>41751</v>
      </c>
      <c r="X9717" t="s">
        <v>42683</v>
      </c>
    </row>
    <row r="9718" spans="1:24">
      <c r="A9718">
        <f>HYPERLINK("https://www.philgeps.gov.ph/GEPSNONPILOT/Tender/SplashBidNoticeAbstractUI.aspx?menuIndex=3&amp;refID=7177317&amp;Result=3","7177317")</f>
        <v>0</v>
      </c>
      <c r="B9718" t="s">
        <v>2766</v>
      </c>
      <c r="C9718" t="s">
        <v>12802</v>
      </c>
      <c r="D9718" t="s">
        <v>17191</v>
      </c>
      <c r="E9718" t="s">
        <v>24948</v>
      </c>
      <c r="F9718" t="s">
        <v>29375</v>
      </c>
      <c r="G9718" t="s">
        <v>29380</v>
      </c>
      <c r="H9718" t="s">
        <v>11048</v>
      </c>
      <c r="I9718" t="s">
        <v>4709</v>
      </c>
      <c r="J9718" t="s">
        <v>35718</v>
      </c>
      <c r="K9718" t="s">
        <v>38485</v>
      </c>
      <c r="M9718" t="s">
        <v>41751</v>
      </c>
      <c r="N9718" t="s">
        <v>42669</v>
      </c>
      <c r="O9718" t="s">
        <v>42670</v>
      </c>
      <c r="P9718">
        <v>0</v>
      </c>
      <c r="Q9718">
        <v>0</v>
      </c>
      <c r="R9718" t="s">
        <v>42682</v>
      </c>
      <c r="S9718" t="s">
        <v>42984</v>
      </c>
      <c r="T9718" t="s">
        <v>44527</v>
      </c>
      <c r="U9718" t="s">
        <v>52773</v>
      </c>
      <c r="W9718" t="s">
        <v>41751</v>
      </c>
      <c r="X9718" t="s">
        <v>42683</v>
      </c>
    </row>
    <row r="9719" spans="1:24">
      <c r="A9719">
        <f>HYPERLINK("https://www.philgeps.gov.ph/GEPSNONPILOT/Tender/SplashBidNoticeAbstractUI.aspx?menuIndex=3&amp;refID=7177153&amp;Result=3","7177153")</f>
        <v>0</v>
      </c>
      <c r="B9719" t="s">
        <v>2893</v>
      </c>
      <c r="C9719" t="s">
        <v>12803</v>
      </c>
      <c r="D9719" t="s">
        <v>17194</v>
      </c>
      <c r="E9719" t="s">
        <v>25559</v>
      </c>
      <c r="F9719" t="s">
        <v>29372</v>
      </c>
      <c r="G9719" t="s">
        <v>29380</v>
      </c>
      <c r="H9719" t="s">
        <v>11048</v>
      </c>
      <c r="I9719" t="s">
        <v>8614</v>
      </c>
      <c r="J9719" t="s">
        <v>29615</v>
      </c>
      <c r="K9719" t="s">
        <v>38522</v>
      </c>
      <c r="M9719" t="s">
        <v>41891</v>
      </c>
      <c r="N9719" t="s">
        <v>42669</v>
      </c>
      <c r="O9719" t="s">
        <v>42670</v>
      </c>
      <c r="P9719">
        <v>0</v>
      </c>
      <c r="Q9719">
        <v>8</v>
      </c>
      <c r="R9719" t="s">
        <v>42682</v>
      </c>
      <c r="S9719" t="s">
        <v>42984</v>
      </c>
      <c r="T9719" t="s">
        <v>44474</v>
      </c>
      <c r="U9719" t="s">
        <v>52774</v>
      </c>
      <c r="W9719" t="s">
        <v>41891</v>
      </c>
      <c r="X9719" t="s">
        <v>42683</v>
      </c>
    </row>
    <row r="9720" spans="1:24">
      <c r="A9720">
        <f>HYPERLINK("https://www.philgeps.gov.ph/GEPSNONPILOT/Tender/SplashBidNoticeAbstractUI.aspx?menuIndex=3&amp;refID=7177373&amp;Result=3","7177373")</f>
        <v>0</v>
      </c>
      <c r="B9720" t="s">
        <v>453</v>
      </c>
      <c r="C9720" t="s">
        <v>12804</v>
      </c>
      <c r="D9720" t="s">
        <v>17173</v>
      </c>
      <c r="E9720" t="s">
        <v>25560</v>
      </c>
      <c r="F9720" t="s">
        <v>29372</v>
      </c>
      <c r="G9720" t="s">
        <v>29380</v>
      </c>
      <c r="H9720" t="s">
        <v>29389</v>
      </c>
      <c r="I9720" t="s">
        <v>10408</v>
      </c>
      <c r="J9720" t="s">
        <v>35719</v>
      </c>
      <c r="K9720" t="s">
        <v>38538</v>
      </c>
      <c r="M9720" t="s">
        <v>39217</v>
      </c>
      <c r="N9720" t="s">
        <v>42669</v>
      </c>
      <c r="O9720" t="s">
        <v>42670</v>
      </c>
      <c r="P9720">
        <v>0</v>
      </c>
      <c r="Q9720">
        <v>1</v>
      </c>
      <c r="R9720" t="s">
        <v>42682</v>
      </c>
      <c r="S9720" t="s">
        <v>42984</v>
      </c>
      <c r="T9720" t="s">
        <v>44517</v>
      </c>
      <c r="U9720" t="s">
        <v>52775</v>
      </c>
      <c r="W9720" t="s">
        <v>39217</v>
      </c>
      <c r="X9720" t="s">
        <v>42683</v>
      </c>
    </row>
    <row r="9721" spans="1:24">
      <c r="A9721">
        <f>HYPERLINK("https://www.philgeps.gov.ph/GEPSNONPILOT/Tender/SplashBidNoticeAbstractUI.aspx?menuIndex=3&amp;refID=7177152&amp;Result=3","7177152")</f>
        <v>0</v>
      </c>
      <c r="B9721" t="s">
        <v>1286</v>
      </c>
      <c r="C9721" t="s">
        <v>12805</v>
      </c>
      <c r="E9721" t="s">
        <v>25561</v>
      </c>
      <c r="F9721" t="s">
        <v>29372</v>
      </c>
      <c r="G9721" t="s">
        <v>29380</v>
      </c>
      <c r="H9721" t="s">
        <v>11048</v>
      </c>
      <c r="I9721" t="s">
        <v>4709</v>
      </c>
      <c r="J9721" t="s">
        <v>35720</v>
      </c>
      <c r="K9721" t="s">
        <v>38510</v>
      </c>
      <c r="M9721" t="s">
        <v>40115</v>
      </c>
      <c r="N9721" t="s">
        <v>42669</v>
      </c>
      <c r="O9721" t="s">
        <v>42670</v>
      </c>
      <c r="P9721">
        <v>0</v>
      </c>
      <c r="Q9721">
        <v>0</v>
      </c>
      <c r="R9721" t="s">
        <v>42682</v>
      </c>
      <c r="S9721" t="s">
        <v>42984</v>
      </c>
      <c r="T9721" t="s">
        <v>44488</v>
      </c>
      <c r="U9721" t="s">
        <v>52776</v>
      </c>
      <c r="W9721" t="s">
        <v>40115</v>
      </c>
      <c r="X9721" t="s">
        <v>42683</v>
      </c>
    </row>
    <row r="9722" spans="1:24">
      <c r="A9722">
        <f>HYPERLINK("https://www.philgeps.gov.ph/GEPSNONPILOT/Tender/SplashBidNoticeAbstractUI.aspx?menuIndex=3&amp;refID=7177387&amp;Result=3","7177387")</f>
        <v>0</v>
      </c>
      <c r="B9722" t="s">
        <v>453</v>
      </c>
      <c r="C9722" t="s">
        <v>12806</v>
      </c>
      <c r="D9722" t="s">
        <v>17173</v>
      </c>
      <c r="E9722" t="s">
        <v>25562</v>
      </c>
      <c r="F9722" t="s">
        <v>29372</v>
      </c>
      <c r="G9722" t="s">
        <v>29380</v>
      </c>
      <c r="H9722" t="s">
        <v>29389</v>
      </c>
      <c r="I9722" t="s">
        <v>10408</v>
      </c>
      <c r="J9722" t="s">
        <v>35721</v>
      </c>
      <c r="K9722" t="s">
        <v>38508</v>
      </c>
      <c r="M9722" t="s">
        <v>39217</v>
      </c>
      <c r="N9722" t="s">
        <v>42669</v>
      </c>
      <c r="O9722" t="s">
        <v>42670</v>
      </c>
      <c r="P9722">
        <v>0</v>
      </c>
      <c r="Q9722">
        <v>1</v>
      </c>
      <c r="R9722" t="s">
        <v>42682</v>
      </c>
      <c r="S9722" t="s">
        <v>42984</v>
      </c>
      <c r="T9722" t="s">
        <v>44517</v>
      </c>
      <c r="U9722" t="s">
        <v>52777</v>
      </c>
      <c r="W9722" t="s">
        <v>39217</v>
      </c>
      <c r="X9722" t="s">
        <v>42683</v>
      </c>
    </row>
    <row r="9723" spans="1:24">
      <c r="A9723">
        <f>HYPERLINK("https://www.philgeps.gov.ph/GEPSNONPILOT/Tender/SplashBidNoticeAbstractUI.aspx?menuIndex=3&amp;refID=7177147&amp;Result=3","7177147")</f>
        <v>0</v>
      </c>
      <c r="B9723" t="s">
        <v>1286</v>
      </c>
      <c r="C9723" t="s">
        <v>12807</v>
      </c>
      <c r="E9723" t="s">
        <v>25563</v>
      </c>
      <c r="F9723" t="s">
        <v>29372</v>
      </c>
      <c r="G9723" t="s">
        <v>29380</v>
      </c>
      <c r="H9723" t="s">
        <v>11048</v>
      </c>
      <c r="I9723" t="s">
        <v>29426</v>
      </c>
      <c r="J9723" t="s">
        <v>35722</v>
      </c>
      <c r="K9723" t="s">
        <v>38510</v>
      </c>
      <c r="M9723" t="s">
        <v>40115</v>
      </c>
      <c r="N9723" t="s">
        <v>42669</v>
      </c>
      <c r="O9723" t="s">
        <v>42670</v>
      </c>
      <c r="P9723">
        <v>0</v>
      </c>
      <c r="Q9723">
        <v>2</v>
      </c>
      <c r="R9723" t="s">
        <v>42682</v>
      </c>
      <c r="S9723" t="s">
        <v>42984</v>
      </c>
      <c r="T9723" t="s">
        <v>44488</v>
      </c>
      <c r="U9723" t="s">
        <v>52778</v>
      </c>
      <c r="W9723" t="s">
        <v>40115</v>
      </c>
      <c r="X9723" t="s">
        <v>42683</v>
      </c>
    </row>
    <row r="9724" spans="1:24">
      <c r="A9724">
        <f>HYPERLINK("https://www.philgeps.gov.ph/GEPSNONPILOT/Tender/SplashBidNoticeAbstractUI.aspx?menuIndex=3&amp;refID=7177133&amp;Result=3","7177133")</f>
        <v>0</v>
      </c>
      <c r="B9724" t="s">
        <v>1073</v>
      </c>
      <c r="C9724" t="s">
        <v>12808</v>
      </c>
      <c r="D9724" t="s">
        <v>17141</v>
      </c>
      <c r="E9724" t="s">
        <v>25564</v>
      </c>
      <c r="F9724" t="s">
        <v>29372</v>
      </c>
      <c r="G9724" t="s">
        <v>29380</v>
      </c>
      <c r="H9724" t="s">
        <v>11048</v>
      </c>
      <c r="I9724" t="s">
        <v>29426</v>
      </c>
      <c r="J9724" t="s">
        <v>30161</v>
      </c>
      <c r="K9724" t="s">
        <v>38488</v>
      </c>
      <c r="M9724" t="s">
        <v>41181</v>
      </c>
      <c r="N9724" t="s">
        <v>42669</v>
      </c>
      <c r="O9724" t="s">
        <v>42670</v>
      </c>
      <c r="Q9724">
        <v>10</v>
      </c>
      <c r="R9724" t="s">
        <v>42682</v>
      </c>
      <c r="S9724" t="s">
        <v>43064</v>
      </c>
      <c r="T9724" t="s">
        <v>44515</v>
      </c>
      <c r="U9724" t="s">
        <v>52779</v>
      </c>
      <c r="W9724" t="s">
        <v>41181</v>
      </c>
      <c r="X9724" t="s">
        <v>42683</v>
      </c>
    </row>
    <row r="9725" spans="1:24">
      <c r="A9725">
        <f>HYPERLINK("https://www.philgeps.gov.ph/GEPSNONPILOT/Tender/SplashBidNoticeAbstractUI.aspx?menuIndex=3&amp;refID=7177345&amp;Result=3","7177345")</f>
        <v>0</v>
      </c>
      <c r="B9725" t="s">
        <v>2766</v>
      </c>
      <c r="C9725" t="s">
        <v>12809</v>
      </c>
      <c r="D9725" t="s">
        <v>17191</v>
      </c>
      <c r="E9725" t="s">
        <v>25565</v>
      </c>
      <c r="F9725" t="s">
        <v>29375</v>
      </c>
      <c r="G9725" t="s">
        <v>29380</v>
      </c>
      <c r="H9725" t="s">
        <v>11048</v>
      </c>
      <c r="I9725" t="s">
        <v>4709</v>
      </c>
      <c r="J9725" t="s">
        <v>35723</v>
      </c>
      <c r="K9725" t="s">
        <v>38485</v>
      </c>
      <c r="M9725" t="s">
        <v>41751</v>
      </c>
      <c r="N9725" t="s">
        <v>42669</v>
      </c>
      <c r="O9725" t="s">
        <v>42670</v>
      </c>
      <c r="P9725">
        <v>0</v>
      </c>
      <c r="Q9725">
        <v>0</v>
      </c>
      <c r="R9725" t="s">
        <v>42682</v>
      </c>
      <c r="S9725" t="s">
        <v>42984</v>
      </c>
      <c r="T9725" t="s">
        <v>44527</v>
      </c>
      <c r="U9725" t="s">
        <v>52780</v>
      </c>
      <c r="W9725" t="s">
        <v>41751</v>
      </c>
      <c r="X9725" t="s">
        <v>42683</v>
      </c>
    </row>
    <row r="9726" spans="1:24">
      <c r="A9726">
        <f>HYPERLINK("https://www.philgeps.gov.ph/GEPSNONPILOT/Tender/SplashBidNoticeAbstractUI.aspx?menuIndex=3&amp;refID=7177136&amp;Result=3","7177136")</f>
        <v>0</v>
      </c>
      <c r="B9726" t="s">
        <v>380</v>
      </c>
      <c r="C9726" t="s">
        <v>12810</v>
      </c>
      <c r="D9726" t="s">
        <v>17160</v>
      </c>
      <c r="E9726" t="s">
        <v>25566</v>
      </c>
      <c r="F9726" t="s">
        <v>29372</v>
      </c>
      <c r="G9726" t="s">
        <v>29380</v>
      </c>
      <c r="H9726" t="s">
        <v>29389</v>
      </c>
      <c r="I9726" t="s">
        <v>10408</v>
      </c>
      <c r="J9726" t="s">
        <v>35724</v>
      </c>
      <c r="K9726" t="s">
        <v>38524</v>
      </c>
      <c r="M9726" t="s">
        <v>39142</v>
      </c>
      <c r="N9726" t="s">
        <v>42669</v>
      </c>
      <c r="O9726" t="s">
        <v>42670</v>
      </c>
      <c r="P9726">
        <v>0</v>
      </c>
      <c r="Q9726">
        <v>2</v>
      </c>
      <c r="R9726" t="s">
        <v>42682</v>
      </c>
      <c r="S9726" t="s">
        <v>42984</v>
      </c>
      <c r="T9726" t="s">
        <v>44438</v>
      </c>
      <c r="U9726" t="s">
        <v>52781</v>
      </c>
      <c r="V9726" t="s">
        <v>57449</v>
      </c>
      <c r="W9726" t="s">
        <v>39142</v>
      </c>
      <c r="X9726" t="s">
        <v>42683</v>
      </c>
    </row>
    <row r="9727" spans="1:24">
      <c r="A9727">
        <f>HYPERLINK("https://www.philgeps.gov.ph/GEPSNONPILOT/Tender/SplashBidNoticeAbstractUI.aspx?menuIndex=3&amp;refID=7177286&amp;Result=3","7177286")</f>
        <v>0</v>
      </c>
      <c r="B9727" t="s">
        <v>2885</v>
      </c>
      <c r="C9727" t="s">
        <v>12811</v>
      </c>
      <c r="D9727" t="s">
        <v>17216</v>
      </c>
      <c r="E9727" t="s">
        <v>25567</v>
      </c>
      <c r="F9727" t="s">
        <v>29372</v>
      </c>
      <c r="G9727" t="s">
        <v>29380</v>
      </c>
      <c r="H9727" t="s">
        <v>29390</v>
      </c>
      <c r="I9727" t="s">
        <v>4487</v>
      </c>
      <c r="J9727" t="s">
        <v>29708</v>
      </c>
      <c r="K9727" t="s">
        <v>38485</v>
      </c>
      <c r="M9727" t="s">
        <v>41883</v>
      </c>
      <c r="N9727" t="s">
        <v>42669</v>
      </c>
      <c r="O9727" t="s">
        <v>42670</v>
      </c>
      <c r="P9727">
        <v>0</v>
      </c>
      <c r="Q9727">
        <v>2</v>
      </c>
      <c r="R9727" t="s">
        <v>42682</v>
      </c>
      <c r="S9727" t="s">
        <v>42984</v>
      </c>
      <c r="T9727" t="s">
        <v>44391</v>
      </c>
      <c r="U9727" t="s">
        <v>52782</v>
      </c>
      <c r="W9727" t="s">
        <v>41883</v>
      </c>
      <c r="X9727" t="s">
        <v>42683</v>
      </c>
    </row>
    <row r="9728" spans="1:24">
      <c r="A9728">
        <f>HYPERLINK("https://www.philgeps.gov.ph/GEPSNONPILOT/Tender/SplashBidNoticeAbstractUI.aspx?menuIndex=3&amp;refID=7166534&amp;Result=3","7166534")</f>
        <v>0</v>
      </c>
      <c r="B9728" t="s">
        <v>2297</v>
      </c>
      <c r="C9728" t="s">
        <v>4038</v>
      </c>
      <c r="D9728" t="s">
        <v>17181</v>
      </c>
      <c r="E9728" t="s">
        <v>25568</v>
      </c>
      <c r="F9728" t="s">
        <v>29372</v>
      </c>
      <c r="G9728" t="s">
        <v>29380</v>
      </c>
      <c r="H9728" t="s">
        <v>11048</v>
      </c>
      <c r="I9728" t="s">
        <v>3839</v>
      </c>
      <c r="J9728" t="s">
        <v>35725</v>
      </c>
      <c r="K9728" t="s">
        <v>38490</v>
      </c>
      <c r="M9728" t="s">
        <v>41284</v>
      </c>
      <c r="N9728" t="s">
        <v>42669</v>
      </c>
      <c r="O9728" t="s">
        <v>42670</v>
      </c>
      <c r="P9728">
        <v>0</v>
      </c>
      <c r="Q9728">
        <v>5</v>
      </c>
      <c r="R9728" t="s">
        <v>42683</v>
      </c>
      <c r="S9728" t="s">
        <v>43062</v>
      </c>
      <c r="T9728" t="s">
        <v>44424</v>
      </c>
      <c r="U9728" t="s">
        <v>52783</v>
      </c>
      <c r="W9728" t="s">
        <v>41284</v>
      </c>
      <c r="X9728" t="s">
        <v>42686</v>
      </c>
    </row>
    <row r="9729" spans="1:24">
      <c r="A9729">
        <f>HYPERLINK("https://www.philgeps.gov.ph/GEPSNONPILOT/Tender/SplashBidNoticeAbstractUI.aspx?menuIndex=3&amp;refID=7166424&amp;Result=3","7166424")</f>
        <v>0</v>
      </c>
      <c r="B9729" t="s">
        <v>2297</v>
      </c>
      <c r="C9729" t="s">
        <v>12812</v>
      </c>
      <c r="D9729" t="s">
        <v>17181</v>
      </c>
      <c r="E9729" t="s">
        <v>25569</v>
      </c>
      <c r="F9729" t="s">
        <v>29372</v>
      </c>
      <c r="G9729" t="s">
        <v>29380</v>
      </c>
      <c r="H9729" t="s">
        <v>11048</v>
      </c>
      <c r="I9729" t="s">
        <v>29432</v>
      </c>
      <c r="J9729" t="s">
        <v>35726</v>
      </c>
      <c r="K9729" t="s">
        <v>38490</v>
      </c>
      <c r="M9729" t="s">
        <v>41284</v>
      </c>
      <c r="N9729" t="s">
        <v>42669</v>
      </c>
      <c r="O9729" t="s">
        <v>42670</v>
      </c>
      <c r="P9729">
        <v>0</v>
      </c>
      <c r="Q9729">
        <v>0</v>
      </c>
      <c r="R9729" t="s">
        <v>42683</v>
      </c>
      <c r="S9729" t="s">
        <v>43062</v>
      </c>
      <c r="T9729" t="s">
        <v>44424</v>
      </c>
      <c r="U9729" t="s">
        <v>52784</v>
      </c>
      <c r="W9729" t="s">
        <v>41284</v>
      </c>
      <c r="X9729" t="s">
        <v>42686</v>
      </c>
    </row>
    <row r="9730" spans="1:24">
      <c r="A9730">
        <f>HYPERLINK("https://www.philgeps.gov.ph/GEPSNONPILOT/Tender/SplashBidNoticeAbstractUI.aspx?menuIndex=3&amp;refID=7166246&amp;Result=3","7166246")</f>
        <v>0</v>
      </c>
      <c r="B9730" t="s">
        <v>2297</v>
      </c>
      <c r="C9730" t="s">
        <v>12813</v>
      </c>
      <c r="D9730" t="s">
        <v>17181</v>
      </c>
      <c r="E9730" t="s">
        <v>25570</v>
      </c>
      <c r="F9730" t="s">
        <v>29372</v>
      </c>
      <c r="G9730" t="s">
        <v>29380</v>
      </c>
      <c r="H9730" t="s">
        <v>11048</v>
      </c>
      <c r="I9730" t="s">
        <v>29407</v>
      </c>
      <c r="J9730" t="s">
        <v>35727</v>
      </c>
      <c r="K9730" t="s">
        <v>38490</v>
      </c>
      <c r="M9730" t="s">
        <v>41284</v>
      </c>
      <c r="N9730" t="s">
        <v>42669</v>
      </c>
      <c r="O9730" t="s">
        <v>42670</v>
      </c>
      <c r="P9730">
        <v>0</v>
      </c>
      <c r="Q9730">
        <v>8</v>
      </c>
      <c r="R9730" t="s">
        <v>42683</v>
      </c>
      <c r="S9730" t="s">
        <v>43062</v>
      </c>
      <c r="T9730" t="s">
        <v>44424</v>
      </c>
      <c r="U9730" t="s">
        <v>52785</v>
      </c>
      <c r="W9730" t="s">
        <v>41284</v>
      </c>
      <c r="X9730" t="s">
        <v>42686</v>
      </c>
    </row>
    <row r="9731" spans="1:24">
      <c r="A9731">
        <f>HYPERLINK("https://www.philgeps.gov.ph/GEPSNONPILOT/Tender/SplashBidNoticeAbstractUI.aspx?menuIndex=3&amp;refID=7176951&amp;Result=3","7176951")</f>
        <v>0</v>
      </c>
      <c r="B9731" t="s">
        <v>1848</v>
      </c>
      <c r="C9731" t="s">
        <v>12814</v>
      </c>
      <c r="D9731" t="s">
        <v>17141</v>
      </c>
      <c r="E9731" t="s">
        <v>25571</v>
      </c>
      <c r="F9731" t="s">
        <v>29372</v>
      </c>
      <c r="G9731" t="s">
        <v>29380</v>
      </c>
      <c r="H9731" t="s">
        <v>11048</v>
      </c>
      <c r="I9731" t="s">
        <v>9469</v>
      </c>
      <c r="J9731" t="s">
        <v>29541</v>
      </c>
      <c r="K9731" t="s">
        <v>38485</v>
      </c>
      <c r="M9731" t="s">
        <v>40719</v>
      </c>
      <c r="N9731" t="s">
        <v>42669</v>
      </c>
      <c r="O9731" t="s">
        <v>42670</v>
      </c>
      <c r="P9731">
        <v>0</v>
      </c>
      <c r="Q9731">
        <v>5</v>
      </c>
      <c r="R9731" t="s">
        <v>42682</v>
      </c>
      <c r="S9731" t="s">
        <v>42984</v>
      </c>
      <c r="T9731" t="s">
        <v>44366</v>
      </c>
      <c r="U9731" t="s">
        <v>52786</v>
      </c>
      <c r="W9731" t="s">
        <v>40719</v>
      </c>
      <c r="X9731" t="s">
        <v>42683</v>
      </c>
    </row>
    <row r="9732" spans="1:24">
      <c r="A9732">
        <f>HYPERLINK("https://www.philgeps.gov.ph/GEPSNONPILOT/Tender/SplashBidNoticeAbstractUI.aspx?menuIndex=3&amp;refID=7166369&amp;Result=3","7166369")</f>
        <v>0</v>
      </c>
      <c r="B9732" t="s">
        <v>2297</v>
      </c>
      <c r="C9732" t="s">
        <v>12813</v>
      </c>
      <c r="D9732" t="s">
        <v>17181</v>
      </c>
      <c r="E9732" t="s">
        <v>25572</v>
      </c>
      <c r="F9732" t="s">
        <v>29372</v>
      </c>
      <c r="G9732" t="s">
        <v>29380</v>
      </c>
      <c r="H9732" t="s">
        <v>11048</v>
      </c>
      <c r="I9732" t="s">
        <v>29407</v>
      </c>
      <c r="J9732" t="s">
        <v>29764</v>
      </c>
      <c r="K9732" t="s">
        <v>38490</v>
      </c>
      <c r="M9732" t="s">
        <v>41284</v>
      </c>
      <c r="N9732" t="s">
        <v>42669</v>
      </c>
      <c r="O9732" t="s">
        <v>42670</v>
      </c>
      <c r="P9732">
        <v>0</v>
      </c>
      <c r="Q9732">
        <v>5</v>
      </c>
      <c r="R9732" t="s">
        <v>42683</v>
      </c>
      <c r="S9732" t="s">
        <v>43062</v>
      </c>
      <c r="T9732" t="s">
        <v>44424</v>
      </c>
      <c r="U9732" t="s">
        <v>52787</v>
      </c>
      <c r="W9732" t="s">
        <v>41284</v>
      </c>
      <c r="X9732" t="s">
        <v>42686</v>
      </c>
    </row>
    <row r="9733" spans="1:24">
      <c r="A9733">
        <f>HYPERLINK("https://www.philgeps.gov.ph/GEPSNONPILOT/Tender/SplashBidNoticeAbstractUI.aspx?menuIndex=3&amp;refID=7177140&amp;Result=3","7177140")</f>
        <v>0</v>
      </c>
      <c r="B9733" t="s">
        <v>1286</v>
      </c>
      <c r="C9733" t="s">
        <v>12815</v>
      </c>
      <c r="E9733" t="s">
        <v>25573</v>
      </c>
      <c r="F9733" t="s">
        <v>29372</v>
      </c>
      <c r="G9733" t="s">
        <v>29380</v>
      </c>
      <c r="H9733" t="s">
        <v>11048</v>
      </c>
      <c r="I9733" t="s">
        <v>29403</v>
      </c>
      <c r="J9733" t="s">
        <v>35728</v>
      </c>
      <c r="K9733" t="s">
        <v>38510</v>
      </c>
      <c r="M9733" t="s">
        <v>40115</v>
      </c>
      <c r="N9733" t="s">
        <v>42669</v>
      </c>
      <c r="O9733" t="s">
        <v>42670</v>
      </c>
      <c r="P9733">
        <v>0</v>
      </c>
      <c r="Q9733">
        <v>0</v>
      </c>
      <c r="R9733" t="s">
        <v>42682</v>
      </c>
      <c r="S9733" t="s">
        <v>42984</v>
      </c>
      <c r="T9733" t="s">
        <v>44488</v>
      </c>
      <c r="U9733" t="s">
        <v>52788</v>
      </c>
      <c r="W9733" t="s">
        <v>40115</v>
      </c>
      <c r="X9733" t="s">
        <v>42683</v>
      </c>
    </row>
    <row r="9734" spans="1:24">
      <c r="A9734">
        <f>HYPERLINK("https://www.philgeps.gov.ph/GEPSNONPILOT/Tender/SplashBidNoticeAbstractUI.aspx?menuIndex=3&amp;refID=7166257&amp;Result=3","7166257")</f>
        <v>0</v>
      </c>
      <c r="B9734" t="s">
        <v>2894</v>
      </c>
      <c r="C9734" t="s">
        <v>12816</v>
      </c>
      <c r="D9734" t="s">
        <v>17213</v>
      </c>
      <c r="E9734" t="s">
        <v>25574</v>
      </c>
      <c r="F9734" t="s">
        <v>29372</v>
      </c>
      <c r="G9734" t="s">
        <v>29380</v>
      </c>
      <c r="H9734" t="s">
        <v>11048</v>
      </c>
      <c r="I9734" t="s">
        <v>29398</v>
      </c>
      <c r="J9734" t="s">
        <v>35729</v>
      </c>
      <c r="K9734" t="s">
        <v>38485</v>
      </c>
      <c r="M9734" t="s">
        <v>41892</v>
      </c>
      <c r="N9734" t="s">
        <v>42669</v>
      </c>
      <c r="O9734" t="s">
        <v>42670</v>
      </c>
      <c r="P9734">
        <v>0</v>
      </c>
      <c r="Q9734">
        <v>12</v>
      </c>
      <c r="R9734" t="s">
        <v>42683</v>
      </c>
      <c r="S9734" t="s">
        <v>43062</v>
      </c>
      <c r="T9734" t="s">
        <v>44396</v>
      </c>
      <c r="U9734" t="s">
        <v>52789</v>
      </c>
      <c r="W9734" t="s">
        <v>41892</v>
      </c>
      <c r="X9734" t="s">
        <v>42686</v>
      </c>
    </row>
    <row r="9735" spans="1:24">
      <c r="A9735">
        <f>HYPERLINK("https://www.philgeps.gov.ph/GEPSNONPILOT/Tender/SplashBidNoticeAbstractUI.aspx?menuIndex=3&amp;refID=7165969&amp;Result=3","7165969")</f>
        <v>0</v>
      </c>
      <c r="B9735" t="s">
        <v>143</v>
      </c>
      <c r="C9735" t="s">
        <v>12817</v>
      </c>
      <c r="D9735" t="s">
        <v>17182</v>
      </c>
      <c r="E9735" t="s">
        <v>25575</v>
      </c>
      <c r="F9735" t="s">
        <v>29372</v>
      </c>
      <c r="G9735" t="s">
        <v>29379</v>
      </c>
      <c r="H9735" t="s">
        <v>11048</v>
      </c>
      <c r="I9735" t="s">
        <v>9469</v>
      </c>
      <c r="J9735" t="s">
        <v>29724</v>
      </c>
      <c r="K9735" t="s">
        <v>38485</v>
      </c>
      <c r="M9735" t="s">
        <v>38898</v>
      </c>
      <c r="N9735" t="s">
        <v>42669</v>
      </c>
      <c r="O9735" t="s">
        <v>42670</v>
      </c>
      <c r="Q9735">
        <v>8</v>
      </c>
      <c r="R9735" t="s">
        <v>42683</v>
      </c>
      <c r="S9735" t="s">
        <v>42893</v>
      </c>
      <c r="T9735" t="s">
        <v>44783</v>
      </c>
      <c r="U9735" t="s">
        <v>52790</v>
      </c>
      <c r="W9735" t="s">
        <v>38898</v>
      </c>
      <c r="X9735" t="s">
        <v>42686</v>
      </c>
    </row>
    <row r="9736" spans="1:24">
      <c r="A9736">
        <f>HYPERLINK("https://www.philgeps.gov.ph/GEPSNONPILOT/Tender/SplashBidNoticeAbstractUI.aspx?menuIndex=3&amp;refID=7176758&amp;Result=3","7176758")</f>
        <v>0</v>
      </c>
      <c r="B9736" t="s">
        <v>289</v>
      </c>
      <c r="C9736" t="s">
        <v>12818</v>
      </c>
      <c r="E9736" t="s">
        <v>25576</v>
      </c>
      <c r="F9736" t="s">
        <v>29372</v>
      </c>
      <c r="G9736" t="s">
        <v>29380</v>
      </c>
      <c r="H9736" t="s">
        <v>11048</v>
      </c>
      <c r="I9736" t="s">
        <v>29407</v>
      </c>
      <c r="J9736" t="s">
        <v>35730</v>
      </c>
      <c r="K9736" t="s">
        <v>38490</v>
      </c>
      <c r="M9736" t="s">
        <v>39048</v>
      </c>
      <c r="N9736" t="s">
        <v>42669</v>
      </c>
      <c r="O9736" t="s">
        <v>42670</v>
      </c>
      <c r="P9736">
        <v>0</v>
      </c>
      <c r="Q9736">
        <v>20</v>
      </c>
      <c r="R9736" t="s">
        <v>42682</v>
      </c>
      <c r="S9736" t="s">
        <v>42984</v>
      </c>
      <c r="T9736" t="s">
        <v>44515</v>
      </c>
      <c r="U9736" t="s">
        <v>47032</v>
      </c>
      <c r="W9736" t="s">
        <v>39048</v>
      </c>
      <c r="X9736" t="s">
        <v>42683</v>
      </c>
    </row>
    <row r="9737" spans="1:24">
      <c r="A9737">
        <f>HYPERLINK("https://www.philgeps.gov.ph/GEPSNONPILOT/Tender/SplashBidNoticeAbstractUI.aspx?menuIndex=3&amp;refID=7166500&amp;Result=3","7166500")</f>
        <v>0</v>
      </c>
      <c r="B9737" t="s">
        <v>2297</v>
      </c>
      <c r="C9737" t="s">
        <v>12813</v>
      </c>
      <c r="D9737" t="s">
        <v>17181</v>
      </c>
      <c r="E9737" t="s">
        <v>25577</v>
      </c>
      <c r="F9737" t="s">
        <v>29372</v>
      </c>
      <c r="G9737" t="s">
        <v>29380</v>
      </c>
      <c r="H9737" t="s">
        <v>11048</v>
      </c>
      <c r="I9737" t="s">
        <v>29407</v>
      </c>
      <c r="J9737" t="s">
        <v>35731</v>
      </c>
      <c r="K9737" t="s">
        <v>38490</v>
      </c>
      <c r="M9737" t="s">
        <v>41284</v>
      </c>
      <c r="N9737" t="s">
        <v>42669</v>
      </c>
      <c r="O9737" t="s">
        <v>42670</v>
      </c>
      <c r="P9737">
        <v>0</v>
      </c>
      <c r="Q9737">
        <v>4</v>
      </c>
      <c r="R9737" t="s">
        <v>42683</v>
      </c>
      <c r="S9737" t="s">
        <v>43062</v>
      </c>
      <c r="T9737" t="s">
        <v>44424</v>
      </c>
      <c r="U9737" t="s">
        <v>52791</v>
      </c>
      <c r="W9737" t="s">
        <v>41284</v>
      </c>
      <c r="X9737" t="s">
        <v>42686</v>
      </c>
    </row>
    <row r="9738" spans="1:24">
      <c r="A9738">
        <f>HYPERLINK("https://www.philgeps.gov.ph/GEPSNONPILOT/Tender/SplashBidNoticeAbstractUI.aspx?menuIndex=3&amp;refID=7165936&amp;Result=3","7165936")</f>
        <v>0</v>
      </c>
      <c r="B9738" t="s">
        <v>143</v>
      </c>
      <c r="C9738" t="s">
        <v>12819</v>
      </c>
      <c r="D9738" t="s">
        <v>17182</v>
      </c>
      <c r="E9738" t="s">
        <v>25578</v>
      </c>
      <c r="F9738" t="s">
        <v>29372</v>
      </c>
      <c r="G9738" t="s">
        <v>29380</v>
      </c>
      <c r="H9738" t="s">
        <v>11048</v>
      </c>
      <c r="I9738" t="s">
        <v>9469</v>
      </c>
      <c r="J9738" t="s">
        <v>29541</v>
      </c>
      <c r="K9738" t="s">
        <v>38485</v>
      </c>
      <c r="M9738" t="s">
        <v>38898</v>
      </c>
      <c r="N9738" t="s">
        <v>42669</v>
      </c>
      <c r="O9738" t="s">
        <v>42670</v>
      </c>
      <c r="Q9738">
        <v>10</v>
      </c>
      <c r="R9738" t="s">
        <v>42683</v>
      </c>
      <c r="S9738" t="s">
        <v>43065</v>
      </c>
      <c r="T9738" t="s">
        <v>44783</v>
      </c>
      <c r="U9738" t="s">
        <v>52790</v>
      </c>
      <c r="W9738" t="s">
        <v>38898</v>
      </c>
      <c r="X9738" t="s">
        <v>42686</v>
      </c>
    </row>
    <row r="9739" spans="1:24">
      <c r="A9739">
        <f>HYPERLINK("https://www.philgeps.gov.ph/GEPSNONPILOT/Tender/SplashBidNoticeAbstractUI.aspx?menuIndex=3&amp;refID=7166409&amp;Result=3","7166409")</f>
        <v>0</v>
      </c>
      <c r="B9739" t="s">
        <v>2895</v>
      </c>
      <c r="C9739" t="s">
        <v>12820</v>
      </c>
      <c r="D9739" t="s">
        <v>17182</v>
      </c>
      <c r="E9739" t="s">
        <v>25579</v>
      </c>
      <c r="F9739" t="s">
        <v>29372</v>
      </c>
      <c r="G9739" t="s">
        <v>29380</v>
      </c>
      <c r="H9739" t="s">
        <v>29389</v>
      </c>
      <c r="I9739" t="s">
        <v>10408</v>
      </c>
      <c r="J9739" t="s">
        <v>29573</v>
      </c>
      <c r="K9739" t="s">
        <v>38523</v>
      </c>
      <c r="M9739" t="s">
        <v>41893</v>
      </c>
      <c r="N9739" t="s">
        <v>42669</v>
      </c>
      <c r="O9739" t="s">
        <v>42670</v>
      </c>
      <c r="Q9739">
        <v>3</v>
      </c>
      <c r="R9739" t="s">
        <v>42683</v>
      </c>
      <c r="S9739" t="s">
        <v>43066</v>
      </c>
      <c r="T9739" t="s">
        <v>44689</v>
      </c>
      <c r="U9739" t="s">
        <v>52792</v>
      </c>
      <c r="V9739" t="s">
        <v>57450</v>
      </c>
      <c r="W9739" t="s">
        <v>41893</v>
      </c>
      <c r="X9739" t="s">
        <v>42686</v>
      </c>
    </row>
    <row r="9740" spans="1:24">
      <c r="A9740">
        <f>HYPERLINK("https://www.philgeps.gov.ph/GEPSNONPILOT/Tender/SplashBidNoticeAbstractUI.aspx?menuIndex=3&amp;refID=7165409&amp;Result=3","7165409")</f>
        <v>0</v>
      </c>
      <c r="B9740" t="s">
        <v>2468</v>
      </c>
      <c r="C9740" t="s">
        <v>12821</v>
      </c>
      <c r="E9740" t="s">
        <v>25580</v>
      </c>
      <c r="F9740" t="s">
        <v>29372</v>
      </c>
      <c r="G9740" t="s">
        <v>29380</v>
      </c>
      <c r="H9740" t="s">
        <v>29389</v>
      </c>
      <c r="I9740" t="s">
        <v>10408</v>
      </c>
      <c r="J9740" t="s">
        <v>35732</v>
      </c>
      <c r="K9740" t="s">
        <v>38490</v>
      </c>
      <c r="M9740" t="s">
        <v>41417</v>
      </c>
      <c r="N9740" t="s">
        <v>42669</v>
      </c>
      <c r="O9740" t="s">
        <v>42670</v>
      </c>
      <c r="Q9740">
        <v>7</v>
      </c>
      <c r="R9740" t="s">
        <v>42683</v>
      </c>
      <c r="S9740" t="s">
        <v>43067</v>
      </c>
      <c r="T9740" t="s">
        <v>44400</v>
      </c>
      <c r="U9740" t="s">
        <v>52793</v>
      </c>
      <c r="V9740" t="s">
        <v>57451</v>
      </c>
      <c r="W9740" t="s">
        <v>41417</v>
      </c>
      <c r="X9740" t="s">
        <v>42686</v>
      </c>
    </row>
    <row r="9741" spans="1:24">
      <c r="A9741">
        <f>HYPERLINK("https://www.philgeps.gov.ph/GEPSNONPILOT/Tender/SplashBidNoticeAbstractUI.aspx?menuIndex=3&amp;refID=7166312&amp;Result=3","7166312")</f>
        <v>0</v>
      </c>
      <c r="B9741" t="s">
        <v>2297</v>
      </c>
      <c r="C9741" t="s">
        <v>12822</v>
      </c>
      <c r="D9741" t="s">
        <v>17181</v>
      </c>
      <c r="E9741" t="s">
        <v>25581</v>
      </c>
      <c r="F9741" t="s">
        <v>29372</v>
      </c>
      <c r="G9741" t="s">
        <v>29380</v>
      </c>
      <c r="H9741" t="s">
        <v>11048</v>
      </c>
      <c r="I9741" t="s">
        <v>29433</v>
      </c>
      <c r="J9741" t="s">
        <v>35733</v>
      </c>
      <c r="K9741" t="s">
        <v>38490</v>
      </c>
      <c r="M9741" t="s">
        <v>41284</v>
      </c>
      <c r="N9741" t="s">
        <v>42669</v>
      </c>
      <c r="O9741" t="s">
        <v>42670</v>
      </c>
      <c r="P9741">
        <v>0</v>
      </c>
      <c r="Q9741">
        <v>16</v>
      </c>
      <c r="R9741" t="s">
        <v>42683</v>
      </c>
      <c r="S9741" t="s">
        <v>43062</v>
      </c>
      <c r="T9741" t="s">
        <v>44424</v>
      </c>
      <c r="U9741" t="s">
        <v>52794</v>
      </c>
      <c r="W9741" t="s">
        <v>41284</v>
      </c>
      <c r="X9741" t="s">
        <v>42686</v>
      </c>
    </row>
    <row r="9742" spans="1:24">
      <c r="A9742">
        <f>HYPERLINK("https://www.philgeps.gov.ph/GEPSNONPILOT/Tender/SplashBidNoticeAbstractUI.aspx?menuIndex=3&amp;refID=7165390&amp;Result=3","7165390")</f>
        <v>0</v>
      </c>
      <c r="B9742" t="s">
        <v>999</v>
      </c>
      <c r="C9742" t="s">
        <v>12823</v>
      </c>
      <c r="D9742" t="s">
        <v>17177</v>
      </c>
      <c r="E9742" t="s">
        <v>19537</v>
      </c>
      <c r="F9742" t="s">
        <v>29372</v>
      </c>
      <c r="G9742" t="s">
        <v>29380</v>
      </c>
      <c r="H9742" t="s">
        <v>29389</v>
      </c>
      <c r="I9742" t="s">
        <v>10408</v>
      </c>
      <c r="J9742" t="s">
        <v>35734</v>
      </c>
      <c r="K9742" t="s">
        <v>38490</v>
      </c>
      <c r="M9742" t="s">
        <v>39799</v>
      </c>
      <c r="N9742" t="s">
        <v>42669</v>
      </c>
      <c r="O9742" t="s">
        <v>42670</v>
      </c>
      <c r="P9742">
        <v>0</v>
      </c>
      <c r="Q9742">
        <v>13</v>
      </c>
      <c r="R9742" t="s">
        <v>42683</v>
      </c>
      <c r="S9742" t="s">
        <v>43062</v>
      </c>
      <c r="T9742" t="s">
        <v>44412</v>
      </c>
      <c r="U9742" t="s">
        <v>52795</v>
      </c>
      <c r="W9742" t="s">
        <v>39799</v>
      </c>
      <c r="X9742" t="s">
        <v>42686</v>
      </c>
    </row>
    <row r="9743" spans="1:24">
      <c r="A9743">
        <f>HYPERLINK("https://www.philgeps.gov.ph/GEPSNONPILOT/Tender/SplashBidNoticeAbstractUI.aspx?menuIndex=3&amp;refID=7166203&amp;Result=3","7166203")</f>
        <v>0</v>
      </c>
      <c r="B9743" t="s">
        <v>2896</v>
      </c>
      <c r="C9743" t="s">
        <v>12824</v>
      </c>
      <c r="D9743" t="s">
        <v>17183</v>
      </c>
      <c r="E9743" t="s">
        <v>25582</v>
      </c>
      <c r="F9743" t="s">
        <v>29373</v>
      </c>
      <c r="G9743" t="s">
        <v>29380</v>
      </c>
      <c r="H9743" t="s">
        <v>11048</v>
      </c>
      <c r="I9743" t="s">
        <v>29469</v>
      </c>
      <c r="J9743" t="s">
        <v>30084</v>
      </c>
      <c r="K9743" t="s">
        <v>38490</v>
      </c>
      <c r="M9743" t="s">
        <v>41894</v>
      </c>
      <c r="N9743" t="s">
        <v>42669</v>
      </c>
      <c r="O9743" t="s">
        <v>42670</v>
      </c>
      <c r="P9743">
        <v>0</v>
      </c>
      <c r="Q9743">
        <v>3</v>
      </c>
      <c r="R9743" t="s">
        <v>42683</v>
      </c>
      <c r="S9743" t="s">
        <v>43062</v>
      </c>
      <c r="T9743" t="s">
        <v>44394</v>
      </c>
      <c r="U9743" t="s">
        <v>52796</v>
      </c>
      <c r="W9743" t="s">
        <v>41894</v>
      </c>
      <c r="X9743" t="s">
        <v>42686</v>
      </c>
    </row>
    <row r="9744" spans="1:24">
      <c r="A9744">
        <f>HYPERLINK("https://www.philgeps.gov.ph/GEPSNONPILOT/Tender/SplashBidNoticeAbstractUI.aspx?menuIndex=3&amp;refID=7161797&amp;Result=3","7161797")</f>
        <v>0</v>
      </c>
      <c r="B9744" t="s">
        <v>2897</v>
      </c>
      <c r="C9744" t="s">
        <v>12825</v>
      </c>
      <c r="D9744" t="s">
        <v>17218</v>
      </c>
      <c r="E9744" t="s">
        <v>25583</v>
      </c>
      <c r="F9744" t="s">
        <v>29372</v>
      </c>
      <c r="G9744" t="s">
        <v>29380</v>
      </c>
      <c r="H9744" t="s">
        <v>11048</v>
      </c>
      <c r="I9744" t="s">
        <v>29440</v>
      </c>
      <c r="J9744" t="s">
        <v>31924</v>
      </c>
      <c r="K9744" t="s">
        <v>38496</v>
      </c>
      <c r="M9744" t="s">
        <v>41895</v>
      </c>
      <c r="N9744" t="s">
        <v>42669</v>
      </c>
      <c r="O9744" t="s">
        <v>42670</v>
      </c>
      <c r="P9744">
        <v>0</v>
      </c>
      <c r="Q9744">
        <v>1</v>
      </c>
      <c r="R9744" t="s">
        <v>42683</v>
      </c>
      <c r="S9744" t="s">
        <v>43062</v>
      </c>
      <c r="T9744" t="s">
        <v>44466</v>
      </c>
      <c r="U9744" t="s">
        <v>52797</v>
      </c>
      <c r="W9744" t="s">
        <v>41895</v>
      </c>
      <c r="X9744" t="s">
        <v>42689</v>
      </c>
    </row>
    <row r="9745" spans="1:24">
      <c r="A9745">
        <f>HYPERLINK("https://www.philgeps.gov.ph/GEPSNONPILOT/Tender/SplashBidNoticeAbstractUI.aspx?menuIndex=3&amp;refID=7148035&amp;Result=3","7148035")</f>
        <v>0</v>
      </c>
      <c r="B9745" t="s">
        <v>1058</v>
      </c>
      <c r="C9745" t="s">
        <v>12826</v>
      </c>
      <c r="D9745" t="s">
        <v>17141</v>
      </c>
      <c r="E9745" t="s">
        <v>12826</v>
      </c>
      <c r="F9745" t="s">
        <v>29372</v>
      </c>
      <c r="G9745" t="s">
        <v>29380</v>
      </c>
      <c r="H9745" t="s">
        <v>11048</v>
      </c>
      <c r="I9745" t="s">
        <v>29433</v>
      </c>
      <c r="J9745" t="s">
        <v>35735</v>
      </c>
      <c r="K9745" t="s">
        <v>38485</v>
      </c>
      <c r="M9745" t="s">
        <v>39865</v>
      </c>
      <c r="N9745" t="s">
        <v>42669</v>
      </c>
      <c r="O9745" t="s">
        <v>42670</v>
      </c>
      <c r="P9745">
        <v>0</v>
      </c>
      <c r="Q9745">
        <v>10</v>
      </c>
      <c r="R9745" t="s">
        <v>42683</v>
      </c>
      <c r="S9745" t="s">
        <v>43062</v>
      </c>
      <c r="T9745" t="s">
        <v>44412</v>
      </c>
      <c r="U9745" t="s">
        <v>47035</v>
      </c>
      <c r="W9745" t="s">
        <v>39865</v>
      </c>
      <c r="X9745" t="s">
        <v>42697</v>
      </c>
    </row>
    <row r="9746" spans="1:24">
      <c r="A9746">
        <f>HYPERLINK("https://www.philgeps.gov.ph/GEPSNONPILOT/Tender/SplashBidNoticeAbstractUI.aspx?menuIndex=3&amp;refID=7148033&amp;Result=3","7148033")</f>
        <v>0</v>
      </c>
      <c r="B9746" t="s">
        <v>1058</v>
      </c>
      <c r="C9746" t="s">
        <v>12827</v>
      </c>
      <c r="D9746" t="s">
        <v>17141</v>
      </c>
      <c r="E9746" t="s">
        <v>12827</v>
      </c>
      <c r="F9746" t="s">
        <v>29372</v>
      </c>
      <c r="G9746" t="s">
        <v>29380</v>
      </c>
      <c r="H9746" t="s">
        <v>11048</v>
      </c>
      <c r="I9746" t="s">
        <v>29433</v>
      </c>
      <c r="J9746" t="s">
        <v>35736</v>
      </c>
      <c r="K9746" t="s">
        <v>38485</v>
      </c>
      <c r="M9746" t="s">
        <v>39865</v>
      </c>
      <c r="N9746" t="s">
        <v>42669</v>
      </c>
      <c r="O9746" t="s">
        <v>42670</v>
      </c>
      <c r="P9746">
        <v>0</v>
      </c>
      <c r="Q9746">
        <v>9</v>
      </c>
      <c r="R9746" t="s">
        <v>42683</v>
      </c>
      <c r="S9746" t="s">
        <v>43062</v>
      </c>
      <c r="T9746" t="s">
        <v>44412</v>
      </c>
      <c r="U9746" t="s">
        <v>47035</v>
      </c>
      <c r="W9746" t="s">
        <v>39865</v>
      </c>
      <c r="X9746" t="s">
        <v>42697</v>
      </c>
    </row>
    <row r="9747" spans="1:24">
      <c r="A9747">
        <f>HYPERLINK("https://www.philgeps.gov.ph/GEPSNONPILOT/Tender/SplashBidNoticeAbstractUI.aspx?menuIndex=3&amp;refID=7177041&amp;Result=3","7177041")</f>
        <v>0</v>
      </c>
      <c r="B9747" t="s">
        <v>1055</v>
      </c>
      <c r="C9747" t="s">
        <v>12828</v>
      </c>
      <c r="D9747" t="s">
        <v>17176</v>
      </c>
      <c r="E9747" t="s">
        <v>25584</v>
      </c>
      <c r="F9747" t="s">
        <v>29372</v>
      </c>
      <c r="G9747" t="s">
        <v>29380</v>
      </c>
      <c r="H9747" t="s">
        <v>11048</v>
      </c>
      <c r="I9747" t="s">
        <v>10408</v>
      </c>
      <c r="J9747" t="s">
        <v>35737</v>
      </c>
      <c r="K9747" t="s">
        <v>38707</v>
      </c>
      <c r="M9747" t="s">
        <v>41168</v>
      </c>
      <c r="N9747" t="s">
        <v>42669</v>
      </c>
      <c r="O9747" t="s">
        <v>42670</v>
      </c>
      <c r="P9747">
        <v>0</v>
      </c>
      <c r="Q9747">
        <v>0</v>
      </c>
      <c r="R9747" t="s">
        <v>42682</v>
      </c>
      <c r="S9747" t="s">
        <v>42984</v>
      </c>
      <c r="T9747" t="s">
        <v>44527</v>
      </c>
      <c r="U9747" t="s">
        <v>52798</v>
      </c>
      <c r="V9747" t="s">
        <v>57452</v>
      </c>
      <c r="W9747" t="s">
        <v>41168</v>
      </c>
      <c r="X9747" t="s">
        <v>42683</v>
      </c>
    </row>
    <row r="9748" spans="1:24">
      <c r="A9748">
        <f>HYPERLINK("https://www.philgeps.gov.ph/GEPSNONPILOT/Tender/SplashBidNoticeAbstractUI.aspx?menuIndex=3&amp;refID=7177040&amp;Result=3","7177040")</f>
        <v>0</v>
      </c>
      <c r="B9748" t="s">
        <v>2878</v>
      </c>
      <c r="C9748" t="s">
        <v>12829</v>
      </c>
      <c r="D9748" t="s">
        <v>17216</v>
      </c>
      <c r="E9748" t="s">
        <v>18607</v>
      </c>
      <c r="F9748" t="s">
        <v>29372</v>
      </c>
      <c r="G9748" t="s">
        <v>29380</v>
      </c>
      <c r="H9748" t="s">
        <v>29389</v>
      </c>
      <c r="I9748" t="s">
        <v>10408</v>
      </c>
      <c r="J9748" t="s">
        <v>30113</v>
      </c>
      <c r="K9748" t="s">
        <v>38488</v>
      </c>
      <c r="M9748" t="s">
        <v>41874</v>
      </c>
      <c r="N9748" t="s">
        <v>42669</v>
      </c>
      <c r="O9748" t="s">
        <v>42670</v>
      </c>
      <c r="P9748">
        <v>0</v>
      </c>
      <c r="Q9748">
        <v>1</v>
      </c>
      <c r="R9748" t="s">
        <v>42682</v>
      </c>
      <c r="S9748" t="s">
        <v>42984</v>
      </c>
      <c r="T9748" t="s">
        <v>44375</v>
      </c>
      <c r="U9748" t="s">
        <v>52799</v>
      </c>
      <c r="W9748" t="s">
        <v>41874</v>
      </c>
      <c r="X9748" t="s">
        <v>42683</v>
      </c>
    </row>
    <row r="9749" spans="1:24">
      <c r="A9749">
        <f>HYPERLINK("https://www.philgeps.gov.ph/GEPSNONPILOT/Tender/SplashBidNoticeAbstractUI.aspx?menuIndex=3&amp;refID=7177038&amp;Result=3","7177038")</f>
        <v>0</v>
      </c>
      <c r="B9749" t="s">
        <v>141</v>
      </c>
      <c r="C9749" t="s">
        <v>12830</v>
      </c>
      <c r="D9749" t="s">
        <v>17170</v>
      </c>
      <c r="E9749" t="s">
        <v>25585</v>
      </c>
      <c r="F9749" t="s">
        <v>29372</v>
      </c>
      <c r="G9749" t="s">
        <v>29380</v>
      </c>
      <c r="H9749" t="s">
        <v>29389</v>
      </c>
      <c r="I9749" t="s">
        <v>10408</v>
      </c>
      <c r="J9749" t="s">
        <v>35738</v>
      </c>
      <c r="K9749" t="s">
        <v>38496</v>
      </c>
      <c r="M9749" t="s">
        <v>41853</v>
      </c>
      <c r="N9749" t="s">
        <v>42669</v>
      </c>
      <c r="O9749" t="s">
        <v>42670</v>
      </c>
      <c r="Q9749">
        <v>0</v>
      </c>
      <c r="R9749" t="s">
        <v>42682</v>
      </c>
      <c r="S9749" t="s">
        <v>43068</v>
      </c>
      <c r="T9749" t="s">
        <v>44373</v>
      </c>
      <c r="U9749" t="s">
        <v>52800</v>
      </c>
      <c r="W9749" t="s">
        <v>41853</v>
      </c>
      <c r="X9749" t="s">
        <v>42683</v>
      </c>
    </row>
    <row r="9750" spans="1:24">
      <c r="A9750">
        <f>HYPERLINK("https://www.philgeps.gov.ph/GEPSNONPILOT/Tender/SplashBidNoticeAbstractUI.aspx?menuIndex=3&amp;refID=7166568&amp;Result=3","7166568")</f>
        <v>0</v>
      </c>
      <c r="B9750" t="s">
        <v>1085</v>
      </c>
      <c r="C9750" t="s">
        <v>12831</v>
      </c>
      <c r="E9750" t="s">
        <v>25586</v>
      </c>
      <c r="F9750" t="s">
        <v>29372</v>
      </c>
      <c r="G9750" t="s">
        <v>29380</v>
      </c>
      <c r="H9750" t="s">
        <v>11048</v>
      </c>
      <c r="I9750" t="s">
        <v>8614</v>
      </c>
      <c r="J9750" t="s">
        <v>30056</v>
      </c>
      <c r="K9750" t="s">
        <v>38490</v>
      </c>
      <c r="M9750" t="s">
        <v>40157</v>
      </c>
      <c r="N9750" t="s">
        <v>42669</v>
      </c>
      <c r="O9750" t="s">
        <v>42670</v>
      </c>
      <c r="P9750">
        <v>0</v>
      </c>
      <c r="Q9750">
        <v>21</v>
      </c>
      <c r="R9750" t="s">
        <v>42683</v>
      </c>
      <c r="S9750" t="s">
        <v>43062</v>
      </c>
      <c r="T9750" t="s">
        <v>44396</v>
      </c>
      <c r="U9750" t="s">
        <v>45387</v>
      </c>
      <c r="W9750" t="s">
        <v>40157</v>
      </c>
      <c r="X9750" t="s">
        <v>42686</v>
      </c>
    </row>
    <row r="9751" spans="1:24">
      <c r="A9751">
        <f>HYPERLINK("https://www.philgeps.gov.ph/GEPSNONPILOT/Tender/SplashBidNoticeAbstractUI.aspx?menuIndex=3&amp;refID=7165583&amp;Result=3","7165583")</f>
        <v>0</v>
      </c>
      <c r="B9751" t="s">
        <v>2297</v>
      </c>
      <c r="C9751" t="s">
        <v>12832</v>
      </c>
      <c r="D9751" t="s">
        <v>17181</v>
      </c>
      <c r="E9751" t="s">
        <v>25587</v>
      </c>
      <c r="F9751" t="s">
        <v>29372</v>
      </c>
      <c r="G9751" t="s">
        <v>29380</v>
      </c>
      <c r="H9751" t="s">
        <v>11048</v>
      </c>
      <c r="I9751" t="s">
        <v>8614</v>
      </c>
      <c r="J9751" t="s">
        <v>35739</v>
      </c>
      <c r="K9751" t="s">
        <v>38490</v>
      </c>
      <c r="M9751" t="s">
        <v>41224</v>
      </c>
      <c r="N9751" t="s">
        <v>42669</v>
      </c>
      <c r="O9751" t="s">
        <v>42670</v>
      </c>
      <c r="P9751">
        <v>0</v>
      </c>
      <c r="Q9751">
        <v>1</v>
      </c>
      <c r="R9751" t="s">
        <v>42683</v>
      </c>
      <c r="S9751" t="s">
        <v>43062</v>
      </c>
      <c r="T9751" t="s">
        <v>44424</v>
      </c>
      <c r="U9751" t="s">
        <v>52801</v>
      </c>
      <c r="V9751" t="s">
        <v>57453</v>
      </c>
      <c r="W9751" t="s">
        <v>41224</v>
      </c>
      <c r="X9751" t="s">
        <v>42686</v>
      </c>
    </row>
    <row r="9752" spans="1:24">
      <c r="A9752">
        <f>HYPERLINK("https://www.philgeps.gov.ph/GEPSNONPILOT/Tender/SplashBidNoticeAbstractUI.aspx?menuIndex=3&amp;refID=7166725&amp;Result=3","7166725")</f>
        <v>0</v>
      </c>
      <c r="B9752" t="s">
        <v>2297</v>
      </c>
      <c r="C9752" t="s">
        <v>12813</v>
      </c>
      <c r="D9752" t="s">
        <v>17181</v>
      </c>
      <c r="E9752" t="s">
        <v>25588</v>
      </c>
      <c r="F9752" t="s">
        <v>29372</v>
      </c>
      <c r="G9752" t="s">
        <v>29380</v>
      </c>
      <c r="H9752" t="s">
        <v>11048</v>
      </c>
      <c r="I9752" t="s">
        <v>29407</v>
      </c>
      <c r="J9752" t="s">
        <v>32865</v>
      </c>
      <c r="K9752" t="s">
        <v>38490</v>
      </c>
      <c r="M9752" t="s">
        <v>41284</v>
      </c>
      <c r="N9752" t="s">
        <v>42669</v>
      </c>
      <c r="O9752" t="s">
        <v>42670</v>
      </c>
      <c r="P9752">
        <v>0</v>
      </c>
      <c r="Q9752">
        <v>5</v>
      </c>
      <c r="R9752" t="s">
        <v>42683</v>
      </c>
      <c r="S9752" t="s">
        <v>43062</v>
      </c>
      <c r="T9752" t="s">
        <v>44424</v>
      </c>
      <c r="U9752" t="s">
        <v>52802</v>
      </c>
      <c r="W9752" t="s">
        <v>41284</v>
      </c>
      <c r="X9752" t="s">
        <v>42686</v>
      </c>
    </row>
    <row r="9753" spans="1:24">
      <c r="A9753">
        <f>HYPERLINK("https://www.philgeps.gov.ph/GEPSNONPILOT/Tender/SplashBidNoticeAbstractUI.aspx?menuIndex=3&amp;refID=7166680&amp;Result=3","7166680")</f>
        <v>0</v>
      </c>
      <c r="B9753" t="s">
        <v>2297</v>
      </c>
      <c r="C9753" t="s">
        <v>4213</v>
      </c>
      <c r="D9753" t="s">
        <v>17181</v>
      </c>
      <c r="E9753" t="s">
        <v>25589</v>
      </c>
      <c r="F9753" t="s">
        <v>29372</v>
      </c>
      <c r="G9753" t="s">
        <v>29380</v>
      </c>
      <c r="H9753" t="s">
        <v>11048</v>
      </c>
      <c r="I9753" t="s">
        <v>3695</v>
      </c>
      <c r="J9753" t="s">
        <v>35740</v>
      </c>
      <c r="K9753" t="s">
        <v>38490</v>
      </c>
      <c r="M9753" t="s">
        <v>41284</v>
      </c>
      <c r="N9753" t="s">
        <v>42669</v>
      </c>
      <c r="O9753" t="s">
        <v>42670</v>
      </c>
      <c r="P9753">
        <v>0</v>
      </c>
      <c r="Q9753">
        <v>2</v>
      </c>
      <c r="R9753" t="s">
        <v>42683</v>
      </c>
      <c r="S9753" t="s">
        <v>43062</v>
      </c>
      <c r="T9753" t="s">
        <v>44424</v>
      </c>
      <c r="U9753" t="s">
        <v>52803</v>
      </c>
      <c r="W9753" t="s">
        <v>41284</v>
      </c>
      <c r="X9753" t="s">
        <v>42686</v>
      </c>
    </row>
    <row r="9754" spans="1:24">
      <c r="A9754">
        <f>HYPERLINK("https://www.philgeps.gov.ph/GEPSNONPILOT/Tender/SplashBidNoticeAbstractUI.aspx?menuIndex=3&amp;refID=7161796&amp;Result=3","7161796")</f>
        <v>0</v>
      </c>
      <c r="B9754" t="s">
        <v>2897</v>
      </c>
      <c r="C9754" t="s">
        <v>12833</v>
      </c>
      <c r="D9754" t="s">
        <v>17218</v>
      </c>
      <c r="E9754" t="s">
        <v>25590</v>
      </c>
      <c r="F9754" t="s">
        <v>29372</v>
      </c>
      <c r="G9754" t="s">
        <v>29380</v>
      </c>
      <c r="H9754" t="s">
        <v>11048</v>
      </c>
      <c r="I9754" t="s">
        <v>29447</v>
      </c>
      <c r="J9754" t="s">
        <v>29590</v>
      </c>
      <c r="K9754" t="s">
        <v>38485</v>
      </c>
      <c r="M9754" t="s">
        <v>41895</v>
      </c>
      <c r="N9754" t="s">
        <v>42669</v>
      </c>
      <c r="O9754" t="s">
        <v>42670</v>
      </c>
      <c r="P9754">
        <v>0</v>
      </c>
      <c r="Q9754">
        <v>1</v>
      </c>
      <c r="R9754" t="s">
        <v>42683</v>
      </c>
      <c r="S9754" t="s">
        <v>43062</v>
      </c>
      <c r="T9754" t="s">
        <v>44466</v>
      </c>
      <c r="U9754" t="s">
        <v>52804</v>
      </c>
      <c r="W9754" t="s">
        <v>41895</v>
      </c>
      <c r="X9754" t="s">
        <v>42689</v>
      </c>
    </row>
    <row r="9755" spans="1:24">
      <c r="A9755">
        <f>HYPERLINK("https://www.philgeps.gov.ph/GEPSNONPILOT/Tender/SplashBidNoticeAbstractUI.aspx?menuIndex=3&amp;refID=7166614&amp;Result=3","7166614")</f>
        <v>0</v>
      </c>
      <c r="B9755" t="s">
        <v>1085</v>
      </c>
      <c r="C9755" t="s">
        <v>12834</v>
      </c>
      <c r="E9755" t="s">
        <v>25591</v>
      </c>
      <c r="F9755" t="s">
        <v>29372</v>
      </c>
      <c r="G9755" t="s">
        <v>29380</v>
      </c>
      <c r="H9755" t="s">
        <v>11048</v>
      </c>
      <c r="I9755" t="s">
        <v>8614</v>
      </c>
      <c r="J9755" t="s">
        <v>35741</v>
      </c>
      <c r="K9755" t="s">
        <v>38490</v>
      </c>
      <c r="M9755" t="s">
        <v>40157</v>
      </c>
      <c r="N9755" t="s">
        <v>42669</v>
      </c>
      <c r="O9755" t="s">
        <v>42670</v>
      </c>
      <c r="P9755">
        <v>0</v>
      </c>
      <c r="Q9755">
        <v>16</v>
      </c>
      <c r="R9755" t="s">
        <v>42683</v>
      </c>
      <c r="S9755" t="s">
        <v>43062</v>
      </c>
      <c r="T9755" t="s">
        <v>44396</v>
      </c>
      <c r="U9755" t="s">
        <v>45387</v>
      </c>
      <c r="W9755" t="s">
        <v>40157</v>
      </c>
      <c r="X9755" t="s">
        <v>42686</v>
      </c>
    </row>
    <row r="9756" spans="1:24">
      <c r="A9756">
        <f>HYPERLINK("https://www.philgeps.gov.ph/GEPSNONPILOT/Tender/SplashBidNoticeAbstractUI.aspx?menuIndex=3&amp;refID=7148080&amp;Result=3","7148080")</f>
        <v>0</v>
      </c>
      <c r="B9756" t="s">
        <v>1058</v>
      </c>
      <c r="C9756" t="s">
        <v>12835</v>
      </c>
      <c r="D9756" t="s">
        <v>17141</v>
      </c>
      <c r="E9756" t="s">
        <v>25592</v>
      </c>
      <c r="F9756" t="s">
        <v>29372</v>
      </c>
      <c r="G9756" t="s">
        <v>29380</v>
      </c>
      <c r="H9756" t="s">
        <v>11048</v>
      </c>
      <c r="I9756" t="s">
        <v>4486</v>
      </c>
      <c r="J9756" t="s">
        <v>35742</v>
      </c>
      <c r="K9756" t="s">
        <v>38485</v>
      </c>
      <c r="M9756" t="s">
        <v>39865</v>
      </c>
      <c r="N9756" t="s">
        <v>42669</v>
      </c>
      <c r="O9756" t="s">
        <v>42670</v>
      </c>
      <c r="P9756">
        <v>0</v>
      </c>
      <c r="Q9756">
        <v>2</v>
      </c>
      <c r="R9756" t="s">
        <v>42683</v>
      </c>
      <c r="S9756" t="s">
        <v>43062</v>
      </c>
      <c r="T9756" t="s">
        <v>44412</v>
      </c>
      <c r="U9756" t="s">
        <v>52805</v>
      </c>
      <c r="W9756" t="s">
        <v>39865</v>
      </c>
      <c r="X9756" t="s">
        <v>42697</v>
      </c>
    </row>
    <row r="9757" spans="1:24">
      <c r="A9757">
        <f>HYPERLINK("https://www.philgeps.gov.ph/GEPSNONPILOT/Tender/SplashBidNoticeAbstractUI.aspx?menuIndex=3&amp;refID=7166576&amp;Result=3","7166576")</f>
        <v>0</v>
      </c>
      <c r="B9757" t="s">
        <v>2297</v>
      </c>
      <c r="C9757" t="s">
        <v>4213</v>
      </c>
      <c r="D9757" t="s">
        <v>17181</v>
      </c>
      <c r="E9757" t="s">
        <v>25593</v>
      </c>
      <c r="F9757" t="s">
        <v>29372</v>
      </c>
      <c r="G9757" t="s">
        <v>29380</v>
      </c>
      <c r="H9757" t="s">
        <v>11048</v>
      </c>
      <c r="I9757" t="s">
        <v>3695</v>
      </c>
      <c r="J9757" t="s">
        <v>35743</v>
      </c>
      <c r="K9757" t="s">
        <v>38490</v>
      </c>
      <c r="M9757" t="s">
        <v>41284</v>
      </c>
      <c r="N9757" t="s">
        <v>42669</v>
      </c>
      <c r="O9757" t="s">
        <v>42670</v>
      </c>
      <c r="P9757">
        <v>0</v>
      </c>
      <c r="Q9757">
        <v>2</v>
      </c>
      <c r="R9757" t="s">
        <v>42683</v>
      </c>
      <c r="S9757" t="s">
        <v>43062</v>
      </c>
      <c r="T9757" t="s">
        <v>44424</v>
      </c>
      <c r="U9757" t="s">
        <v>52806</v>
      </c>
      <c r="W9757" t="s">
        <v>41284</v>
      </c>
      <c r="X9757" t="s">
        <v>42686</v>
      </c>
    </row>
    <row r="9758" spans="1:24">
      <c r="A9758">
        <f>HYPERLINK("https://www.philgeps.gov.ph/GEPSNONPILOT/Tender/SplashBidNoticeAbstractUI.aspx?menuIndex=3&amp;refID=7168623&amp;Result=3","7168623")</f>
        <v>0</v>
      </c>
      <c r="B9758" t="s">
        <v>2898</v>
      </c>
      <c r="C9758" t="s">
        <v>12836</v>
      </c>
      <c r="D9758" t="s">
        <v>17186</v>
      </c>
      <c r="E9758" t="s">
        <v>25594</v>
      </c>
      <c r="F9758" t="s">
        <v>29372</v>
      </c>
      <c r="G9758" t="s">
        <v>29380</v>
      </c>
      <c r="H9758" t="s">
        <v>11048</v>
      </c>
      <c r="I9758" t="s">
        <v>3629</v>
      </c>
      <c r="J9758" t="s">
        <v>35744</v>
      </c>
      <c r="K9758" t="s">
        <v>38538</v>
      </c>
      <c r="M9758" t="s">
        <v>41896</v>
      </c>
      <c r="N9758" t="s">
        <v>42669</v>
      </c>
      <c r="O9758" t="s">
        <v>42670</v>
      </c>
      <c r="P9758">
        <v>0</v>
      </c>
      <c r="Q9758">
        <v>4</v>
      </c>
      <c r="R9758" t="s">
        <v>42683</v>
      </c>
      <c r="S9758" t="s">
        <v>43062</v>
      </c>
      <c r="T9758" t="s">
        <v>44357</v>
      </c>
      <c r="U9758" t="s">
        <v>52807</v>
      </c>
      <c r="W9758" t="s">
        <v>58102</v>
      </c>
      <c r="X9758" t="s">
        <v>42685</v>
      </c>
    </row>
    <row r="9759" spans="1:24">
      <c r="A9759">
        <f>HYPERLINK("https://www.philgeps.gov.ph/GEPSNONPILOT/Tender/SplashBidNoticeAbstractUI.aspx?menuIndex=3&amp;refID=7168746&amp;Result=3","7168746")</f>
        <v>0</v>
      </c>
      <c r="B9759" t="s">
        <v>1331</v>
      </c>
      <c r="C9759" t="s">
        <v>12837</v>
      </c>
      <c r="D9759" t="s">
        <v>17168</v>
      </c>
      <c r="E9759" t="s">
        <v>25595</v>
      </c>
      <c r="F9759" t="s">
        <v>29372</v>
      </c>
      <c r="G9759" t="s">
        <v>29380</v>
      </c>
      <c r="H9759" t="s">
        <v>11048</v>
      </c>
      <c r="I9759" t="s">
        <v>9642</v>
      </c>
      <c r="J9759" t="s">
        <v>35745</v>
      </c>
      <c r="K9759" t="s">
        <v>38510</v>
      </c>
      <c r="M9759" t="s">
        <v>40167</v>
      </c>
      <c r="N9759" t="s">
        <v>42669</v>
      </c>
      <c r="O9759" t="s">
        <v>42670</v>
      </c>
      <c r="P9759">
        <v>0</v>
      </c>
      <c r="Q9759">
        <v>14</v>
      </c>
      <c r="R9759" t="s">
        <v>42683</v>
      </c>
      <c r="S9759" t="s">
        <v>43062</v>
      </c>
      <c r="T9759" t="s">
        <v>44453</v>
      </c>
      <c r="U9759" t="s">
        <v>52808</v>
      </c>
      <c r="W9759" t="s">
        <v>40167</v>
      </c>
      <c r="X9759" t="s">
        <v>42685</v>
      </c>
    </row>
    <row r="9760" spans="1:24">
      <c r="A9760">
        <f>HYPERLINK("https://www.philgeps.gov.ph/GEPSNONPILOT/Tender/SplashBidNoticeAbstractUI.aspx?menuIndex=3&amp;refID=7168687&amp;Result=3","7168687")</f>
        <v>0</v>
      </c>
      <c r="B9760" t="s">
        <v>1331</v>
      </c>
      <c r="C9760" t="s">
        <v>12838</v>
      </c>
      <c r="D9760" t="s">
        <v>17168</v>
      </c>
      <c r="E9760" t="s">
        <v>25596</v>
      </c>
      <c r="F9760" t="s">
        <v>29372</v>
      </c>
      <c r="G9760" t="s">
        <v>29380</v>
      </c>
      <c r="H9760" t="s">
        <v>11048</v>
      </c>
      <c r="I9760" t="s">
        <v>29418</v>
      </c>
      <c r="J9760" t="s">
        <v>35617</v>
      </c>
      <c r="K9760" t="s">
        <v>38485</v>
      </c>
      <c r="M9760" t="s">
        <v>40167</v>
      </c>
      <c r="N9760" t="s">
        <v>42669</v>
      </c>
      <c r="O9760" t="s">
        <v>42670</v>
      </c>
      <c r="P9760">
        <v>0</v>
      </c>
      <c r="Q9760">
        <v>5</v>
      </c>
      <c r="R9760" t="s">
        <v>42683</v>
      </c>
      <c r="S9760" t="s">
        <v>43062</v>
      </c>
      <c r="T9760" t="s">
        <v>44453</v>
      </c>
      <c r="U9760" t="s">
        <v>52809</v>
      </c>
      <c r="W9760" t="s">
        <v>40167</v>
      </c>
      <c r="X9760" t="s">
        <v>42685</v>
      </c>
    </row>
    <row r="9761" spans="1:24">
      <c r="A9761">
        <f>HYPERLINK("https://www.philgeps.gov.ph/GEPSNONPILOT/Tender/SplashBidNoticeAbstractUI.aspx?menuIndex=3&amp;refID=7168675&amp;Result=3","7168675")</f>
        <v>0</v>
      </c>
      <c r="B9761" t="s">
        <v>1524</v>
      </c>
      <c r="C9761" t="s">
        <v>12839</v>
      </c>
      <c r="D9761" t="s">
        <v>17194</v>
      </c>
      <c r="E9761" t="s">
        <v>25597</v>
      </c>
      <c r="F9761" t="s">
        <v>29372</v>
      </c>
      <c r="G9761" t="s">
        <v>29380</v>
      </c>
      <c r="H9761" t="s">
        <v>29389</v>
      </c>
      <c r="I9761" t="s">
        <v>10408</v>
      </c>
      <c r="J9761" t="s">
        <v>35746</v>
      </c>
      <c r="K9761" t="s">
        <v>38487</v>
      </c>
      <c r="M9761" t="s">
        <v>40371</v>
      </c>
      <c r="N9761" t="s">
        <v>42669</v>
      </c>
      <c r="O9761" t="s">
        <v>42670</v>
      </c>
      <c r="Q9761">
        <v>1</v>
      </c>
      <c r="R9761" t="s">
        <v>42683</v>
      </c>
      <c r="S9761" t="s">
        <v>43069</v>
      </c>
      <c r="T9761" t="s">
        <v>44568</v>
      </c>
      <c r="U9761" t="s">
        <v>52810</v>
      </c>
      <c r="W9761" t="s">
        <v>40371</v>
      </c>
      <c r="X9761" t="s">
        <v>42685</v>
      </c>
    </row>
    <row r="9762" spans="1:24">
      <c r="A9762">
        <f>HYPERLINK("https://www.philgeps.gov.ph/GEPSNONPILOT/Tender/SplashBidNoticeAbstractUI.aspx?menuIndex=3&amp;refID=7168332&amp;Result=3","7168332")</f>
        <v>0</v>
      </c>
      <c r="B9762" t="s">
        <v>1331</v>
      </c>
      <c r="C9762" t="s">
        <v>12840</v>
      </c>
      <c r="D9762" t="s">
        <v>17168</v>
      </c>
      <c r="E9762" t="s">
        <v>25598</v>
      </c>
      <c r="F9762" t="s">
        <v>29372</v>
      </c>
      <c r="G9762" t="s">
        <v>29380</v>
      </c>
      <c r="H9762" t="s">
        <v>11048</v>
      </c>
      <c r="I9762" t="s">
        <v>29407</v>
      </c>
      <c r="J9762" t="s">
        <v>35747</v>
      </c>
      <c r="K9762" t="s">
        <v>38510</v>
      </c>
      <c r="M9762" t="s">
        <v>40167</v>
      </c>
      <c r="N9762" t="s">
        <v>42669</v>
      </c>
      <c r="O9762" t="s">
        <v>42670</v>
      </c>
      <c r="P9762">
        <v>0</v>
      </c>
      <c r="Q9762">
        <v>10</v>
      </c>
      <c r="R9762" t="s">
        <v>42683</v>
      </c>
      <c r="S9762" t="s">
        <v>43062</v>
      </c>
      <c r="T9762" t="s">
        <v>44453</v>
      </c>
      <c r="U9762" t="s">
        <v>52811</v>
      </c>
      <c r="W9762" t="s">
        <v>40167</v>
      </c>
      <c r="X9762" t="s">
        <v>42685</v>
      </c>
    </row>
    <row r="9763" spans="1:24">
      <c r="A9763">
        <f>HYPERLINK("https://www.philgeps.gov.ph/GEPSNONPILOT/Tender/SplashBidNoticeAbstractUI.aspx?menuIndex=3&amp;refID=7168261&amp;Result=3","7168261")</f>
        <v>0</v>
      </c>
      <c r="B9763" t="s">
        <v>1920</v>
      </c>
      <c r="C9763" t="s">
        <v>12841</v>
      </c>
      <c r="D9763" t="s">
        <v>17170</v>
      </c>
      <c r="E9763" t="s">
        <v>25599</v>
      </c>
      <c r="F9763" t="s">
        <v>29372</v>
      </c>
      <c r="G9763" t="s">
        <v>29380</v>
      </c>
      <c r="H9763" t="s">
        <v>29389</v>
      </c>
      <c r="I9763" t="s">
        <v>29429</v>
      </c>
      <c r="J9763" t="s">
        <v>35748</v>
      </c>
      <c r="K9763" t="s">
        <v>38520</v>
      </c>
      <c r="M9763" t="s">
        <v>40795</v>
      </c>
      <c r="N9763" t="s">
        <v>42669</v>
      </c>
      <c r="O9763" t="s">
        <v>42670</v>
      </c>
      <c r="Q9763">
        <v>10</v>
      </c>
      <c r="R9763" t="s">
        <v>42683</v>
      </c>
      <c r="S9763" t="s">
        <v>43070</v>
      </c>
      <c r="T9763" t="s">
        <v>44375</v>
      </c>
      <c r="U9763" t="s">
        <v>52812</v>
      </c>
      <c r="W9763" t="s">
        <v>40795</v>
      </c>
      <c r="X9763" t="s">
        <v>42685</v>
      </c>
    </row>
    <row r="9764" spans="1:24">
      <c r="A9764">
        <f>HYPERLINK("https://www.philgeps.gov.ph/GEPSNONPILOT/Tender/SplashBidNoticeAbstractUI.aspx?menuIndex=3&amp;refID=7166623&amp;Result=3","7166623")</f>
        <v>0</v>
      </c>
      <c r="B9764" t="s">
        <v>2297</v>
      </c>
      <c r="C9764" t="s">
        <v>12813</v>
      </c>
      <c r="D9764" t="s">
        <v>17181</v>
      </c>
      <c r="E9764" t="s">
        <v>25600</v>
      </c>
      <c r="F9764" t="s">
        <v>29372</v>
      </c>
      <c r="G9764" t="s">
        <v>29380</v>
      </c>
      <c r="H9764" t="s">
        <v>11048</v>
      </c>
      <c r="I9764" t="s">
        <v>29407</v>
      </c>
      <c r="J9764" t="s">
        <v>32918</v>
      </c>
      <c r="K9764" t="s">
        <v>38490</v>
      </c>
      <c r="M9764" t="s">
        <v>41284</v>
      </c>
      <c r="N9764" t="s">
        <v>42669</v>
      </c>
      <c r="O9764" t="s">
        <v>42670</v>
      </c>
      <c r="P9764">
        <v>0</v>
      </c>
      <c r="Q9764">
        <v>4</v>
      </c>
      <c r="R9764" t="s">
        <v>42683</v>
      </c>
      <c r="S9764" t="s">
        <v>43062</v>
      </c>
      <c r="T9764" t="s">
        <v>44424</v>
      </c>
      <c r="U9764" t="s">
        <v>52813</v>
      </c>
      <c r="W9764" t="s">
        <v>41284</v>
      </c>
      <c r="X9764" t="s">
        <v>42686</v>
      </c>
    </row>
    <row r="9765" spans="1:24">
      <c r="A9765">
        <f>HYPERLINK("https://www.philgeps.gov.ph/GEPSNONPILOT/Tender/SplashBidNoticeAbstractUI.aspx?menuIndex=3&amp;refID=7168225&amp;Result=3","7168225")</f>
        <v>0</v>
      </c>
      <c r="B9765" t="s">
        <v>671</v>
      </c>
      <c r="C9765" t="s">
        <v>12842</v>
      </c>
      <c r="D9765" t="s">
        <v>17177</v>
      </c>
      <c r="E9765" t="s">
        <v>25601</v>
      </c>
      <c r="F9765" t="s">
        <v>29372</v>
      </c>
      <c r="G9765" t="s">
        <v>29380</v>
      </c>
      <c r="H9765" t="s">
        <v>29389</v>
      </c>
      <c r="I9765" t="s">
        <v>29429</v>
      </c>
      <c r="J9765" t="s">
        <v>29788</v>
      </c>
      <c r="K9765" t="s">
        <v>38485</v>
      </c>
      <c r="M9765" t="s">
        <v>39509</v>
      </c>
      <c r="N9765" t="s">
        <v>42669</v>
      </c>
      <c r="O9765" t="s">
        <v>42670</v>
      </c>
      <c r="P9765">
        <v>0</v>
      </c>
      <c r="Q9765">
        <v>5</v>
      </c>
      <c r="R9765" t="s">
        <v>42683</v>
      </c>
      <c r="S9765" t="s">
        <v>43062</v>
      </c>
      <c r="T9765" t="s">
        <v>44457</v>
      </c>
      <c r="U9765" t="s">
        <v>52814</v>
      </c>
      <c r="W9765" t="s">
        <v>39509</v>
      </c>
      <c r="X9765" t="s">
        <v>42685</v>
      </c>
    </row>
    <row r="9766" spans="1:24">
      <c r="A9766">
        <f>HYPERLINK("https://www.philgeps.gov.ph/GEPSNONPILOT/Tender/SplashBidNoticeAbstractUI.aspx?menuIndex=3&amp;refID=7168074&amp;Result=3","7168074")</f>
        <v>0</v>
      </c>
      <c r="B9766" t="s">
        <v>1920</v>
      </c>
      <c r="C9766" t="s">
        <v>12843</v>
      </c>
      <c r="D9766" t="s">
        <v>17170</v>
      </c>
      <c r="E9766" t="s">
        <v>25602</v>
      </c>
      <c r="F9766" t="s">
        <v>29372</v>
      </c>
      <c r="G9766" t="s">
        <v>29380</v>
      </c>
      <c r="H9766" t="s">
        <v>29389</v>
      </c>
      <c r="I9766" t="s">
        <v>29429</v>
      </c>
      <c r="J9766" t="s">
        <v>35749</v>
      </c>
      <c r="K9766" t="s">
        <v>38495</v>
      </c>
      <c r="M9766" t="s">
        <v>40795</v>
      </c>
      <c r="N9766" t="s">
        <v>42669</v>
      </c>
      <c r="O9766" t="s">
        <v>42670</v>
      </c>
      <c r="Q9766">
        <v>9</v>
      </c>
      <c r="R9766" t="s">
        <v>42683</v>
      </c>
      <c r="S9766" t="s">
        <v>43071</v>
      </c>
      <c r="T9766" t="s">
        <v>44375</v>
      </c>
      <c r="U9766" t="s">
        <v>52815</v>
      </c>
      <c r="W9766" t="s">
        <v>40795</v>
      </c>
      <c r="X9766" t="s">
        <v>42685</v>
      </c>
    </row>
    <row r="9767" spans="1:24">
      <c r="A9767">
        <f>HYPERLINK("https://www.philgeps.gov.ph/GEPSNONPILOT/Tender/SplashBidNoticeAbstractUI.aspx?menuIndex=3&amp;refID=7165598&amp;Result=3","7165598")</f>
        <v>0</v>
      </c>
      <c r="B9767" t="s">
        <v>91</v>
      </c>
      <c r="C9767" t="s">
        <v>12844</v>
      </c>
      <c r="D9767" t="s">
        <v>17176</v>
      </c>
      <c r="E9767" t="s">
        <v>25603</v>
      </c>
      <c r="F9767" t="s">
        <v>29376</v>
      </c>
      <c r="G9767" t="s">
        <v>29383</v>
      </c>
      <c r="H9767" t="s">
        <v>11048</v>
      </c>
      <c r="I9767" t="s">
        <v>29423</v>
      </c>
      <c r="J9767" t="s">
        <v>32791</v>
      </c>
      <c r="K9767" t="s">
        <v>38485</v>
      </c>
      <c r="M9767" t="s">
        <v>38845</v>
      </c>
      <c r="N9767" t="s">
        <v>42669</v>
      </c>
      <c r="O9767" t="s">
        <v>42670</v>
      </c>
      <c r="Q9767">
        <v>7</v>
      </c>
      <c r="R9767" t="s">
        <v>42683</v>
      </c>
      <c r="S9767" t="s">
        <v>43072</v>
      </c>
      <c r="T9767" t="s">
        <v>44399</v>
      </c>
      <c r="U9767" t="s">
        <v>52816</v>
      </c>
      <c r="W9767" t="s">
        <v>38845</v>
      </c>
      <c r="X9767" t="s">
        <v>42686</v>
      </c>
    </row>
    <row r="9768" spans="1:24">
      <c r="A9768">
        <f>HYPERLINK("https://www.philgeps.gov.ph/GEPSNONPILOT/Tender/SplashBidNoticeAbstractUI.aspx?menuIndex=3&amp;refID=7167108&amp;Result=3","7167108")</f>
        <v>0</v>
      </c>
      <c r="B9768" t="s">
        <v>91</v>
      </c>
      <c r="C9768" t="s">
        <v>12845</v>
      </c>
      <c r="D9768" t="s">
        <v>17176</v>
      </c>
      <c r="E9768" t="s">
        <v>25603</v>
      </c>
      <c r="F9768" t="s">
        <v>29376</v>
      </c>
      <c r="G9768" t="s">
        <v>29383</v>
      </c>
      <c r="H9768" t="s">
        <v>11048</v>
      </c>
      <c r="I9768" t="s">
        <v>3670</v>
      </c>
      <c r="J9768" t="s">
        <v>29555</v>
      </c>
      <c r="K9768" t="s">
        <v>38485</v>
      </c>
      <c r="M9768" t="s">
        <v>38845</v>
      </c>
      <c r="N9768" t="s">
        <v>42669</v>
      </c>
      <c r="O9768" t="s">
        <v>42670</v>
      </c>
      <c r="Q9768">
        <v>0</v>
      </c>
      <c r="R9768" t="s">
        <v>42683</v>
      </c>
      <c r="S9768" t="s">
        <v>43073</v>
      </c>
      <c r="T9768" t="s">
        <v>44399</v>
      </c>
      <c r="U9768" t="s">
        <v>52816</v>
      </c>
      <c r="W9768" t="s">
        <v>38845</v>
      </c>
      <c r="X9768" t="s">
        <v>42686</v>
      </c>
    </row>
    <row r="9769" spans="1:24">
      <c r="A9769">
        <f>HYPERLINK("https://www.philgeps.gov.ph/GEPSNONPILOT/Tender/SplashBidNoticeAbstractUI.aspx?menuIndex=3&amp;refID=7167521&amp;Result=3","7167521")</f>
        <v>0</v>
      </c>
      <c r="B9769" t="s">
        <v>2635</v>
      </c>
      <c r="C9769" t="s">
        <v>12846</v>
      </c>
      <c r="D9769" t="s">
        <v>17181</v>
      </c>
      <c r="E9769" t="s">
        <v>25604</v>
      </c>
      <c r="F9769" t="s">
        <v>29372</v>
      </c>
      <c r="G9769" t="s">
        <v>29380</v>
      </c>
      <c r="H9769" t="s">
        <v>11048</v>
      </c>
      <c r="I9769" t="s">
        <v>4709</v>
      </c>
      <c r="J9769" t="s">
        <v>35750</v>
      </c>
      <c r="K9769" t="s">
        <v>38510</v>
      </c>
      <c r="M9769" t="s">
        <v>41607</v>
      </c>
      <c r="N9769" t="s">
        <v>42669</v>
      </c>
      <c r="O9769" t="s">
        <v>42670</v>
      </c>
      <c r="P9769">
        <v>0</v>
      </c>
      <c r="Q9769">
        <v>0</v>
      </c>
      <c r="R9769" t="s">
        <v>42683</v>
      </c>
      <c r="S9769" t="s">
        <v>43062</v>
      </c>
      <c r="T9769" t="s">
        <v>44527</v>
      </c>
      <c r="U9769" t="s">
        <v>52817</v>
      </c>
      <c r="V9769" t="s">
        <v>47492</v>
      </c>
      <c r="W9769" t="s">
        <v>41607</v>
      </c>
      <c r="X9769" t="s">
        <v>42686</v>
      </c>
    </row>
    <row r="9770" spans="1:24">
      <c r="A9770">
        <f>HYPERLINK("https://www.philgeps.gov.ph/GEPSNONPILOT/Tender/SplashBidNoticeAbstractUI.aspx?menuIndex=3&amp;refID=7168106&amp;Result=3","7168106")</f>
        <v>0</v>
      </c>
      <c r="B9770" t="s">
        <v>671</v>
      </c>
      <c r="C9770" t="s">
        <v>12847</v>
      </c>
      <c r="D9770" t="s">
        <v>17243</v>
      </c>
      <c r="E9770" t="s">
        <v>25605</v>
      </c>
      <c r="F9770" t="s">
        <v>29372</v>
      </c>
      <c r="G9770" t="s">
        <v>29380</v>
      </c>
      <c r="H9770" t="s">
        <v>11048</v>
      </c>
      <c r="I9770" t="s">
        <v>29394</v>
      </c>
      <c r="J9770" t="s">
        <v>35751</v>
      </c>
      <c r="K9770" t="s">
        <v>38487</v>
      </c>
      <c r="M9770" t="s">
        <v>39509</v>
      </c>
      <c r="N9770" t="s">
        <v>42669</v>
      </c>
      <c r="O9770" t="s">
        <v>42670</v>
      </c>
      <c r="P9770">
        <v>0</v>
      </c>
      <c r="Q9770">
        <v>6</v>
      </c>
      <c r="R9770" t="s">
        <v>42683</v>
      </c>
      <c r="S9770" t="s">
        <v>43062</v>
      </c>
      <c r="T9770" t="s">
        <v>44457</v>
      </c>
      <c r="U9770" t="s">
        <v>52818</v>
      </c>
      <c r="W9770" t="s">
        <v>39509</v>
      </c>
      <c r="X9770" t="s">
        <v>42685</v>
      </c>
    </row>
    <row r="9771" spans="1:24">
      <c r="A9771">
        <f>HYPERLINK("https://www.philgeps.gov.ph/GEPSNONPILOT/Tender/SplashBidNoticeAbstractUI.aspx?menuIndex=3&amp;refID=7167768&amp;Result=3","7167768")</f>
        <v>0</v>
      </c>
      <c r="B9771" t="s">
        <v>2896</v>
      </c>
      <c r="C9771" t="s">
        <v>12848</v>
      </c>
      <c r="D9771" t="s">
        <v>17183</v>
      </c>
      <c r="E9771" t="s">
        <v>25606</v>
      </c>
      <c r="F9771" t="s">
        <v>29372</v>
      </c>
      <c r="G9771" t="s">
        <v>29380</v>
      </c>
      <c r="H9771" t="s">
        <v>11048</v>
      </c>
      <c r="I9771" t="s">
        <v>5383</v>
      </c>
      <c r="J9771" t="s">
        <v>30169</v>
      </c>
      <c r="K9771" t="s">
        <v>38490</v>
      </c>
      <c r="M9771" t="s">
        <v>41894</v>
      </c>
      <c r="N9771" t="s">
        <v>42669</v>
      </c>
      <c r="O9771" t="s">
        <v>42670</v>
      </c>
      <c r="P9771">
        <v>0</v>
      </c>
      <c r="Q9771">
        <v>3</v>
      </c>
      <c r="R9771" t="s">
        <v>42683</v>
      </c>
      <c r="S9771" t="s">
        <v>43062</v>
      </c>
      <c r="T9771" t="s">
        <v>44386</v>
      </c>
      <c r="U9771" t="s">
        <v>52819</v>
      </c>
      <c r="W9771" t="s">
        <v>41894</v>
      </c>
      <c r="X9771" t="s">
        <v>42686</v>
      </c>
    </row>
    <row r="9772" spans="1:24">
      <c r="A9772">
        <f>HYPERLINK("https://www.philgeps.gov.ph/GEPSNONPILOT/Tender/SplashBidNoticeAbstractUI.aspx?menuIndex=3&amp;refID=7168756&amp;Result=3","7168756")</f>
        <v>0</v>
      </c>
      <c r="B9772" t="s">
        <v>1397</v>
      </c>
      <c r="C9772" t="s">
        <v>12849</v>
      </c>
      <c r="D9772" t="s">
        <v>17213</v>
      </c>
      <c r="E9772" t="s">
        <v>25607</v>
      </c>
      <c r="F9772" t="s">
        <v>29372</v>
      </c>
      <c r="G9772" t="s">
        <v>29384</v>
      </c>
      <c r="H9772" t="s">
        <v>11048</v>
      </c>
      <c r="I9772" t="s">
        <v>4487</v>
      </c>
      <c r="J9772" t="s">
        <v>35752</v>
      </c>
      <c r="K9772" t="s">
        <v>38489</v>
      </c>
      <c r="M9772" t="s">
        <v>41439</v>
      </c>
      <c r="N9772" t="s">
        <v>42669</v>
      </c>
      <c r="O9772" t="s">
        <v>42670</v>
      </c>
      <c r="P9772">
        <v>0</v>
      </c>
      <c r="Q9772">
        <v>6</v>
      </c>
      <c r="R9772" t="s">
        <v>42683</v>
      </c>
      <c r="S9772" t="s">
        <v>43062</v>
      </c>
      <c r="T9772" t="s">
        <v>44457</v>
      </c>
      <c r="U9772" t="s">
        <v>52820</v>
      </c>
      <c r="W9772" t="s">
        <v>41439</v>
      </c>
      <c r="X9772" t="s">
        <v>42685</v>
      </c>
    </row>
    <row r="9773" spans="1:24">
      <c r="A9773">
        <f>HYPERLINK("https://www.philgeps.gov.ph/GEPSNONPILOT/Tender/SplashBidNoticeAbstractUI.aspx?menuIndex=3&amp;refID=7166674&amp;Result=3","7166674")</f>
        <v>0</v>
      </c>
      <c r="B9773" t="s">
        <v>1912</v>
      </c>
      <c r="C9773" t="s">
        <v>12850</v>
      </c>
      <c r="D9773" t="s">
        <v>17194</v>
      </c>
      <c r="E9773" t="s">
        <v>25608</v>
      </c>
      <c r="F9773" t="s">
        <v>29372</v>
      </c>
      <c r="G9773" t="s">
        <v>29380</v>
      </c>
      <c r="H9773" t="s">
        <v>11048</v>
      </c>
      <c r="I9773" t="s">
        <v>29407</v>
      </c>
      <c r="J9773" t="s">
        <v>35753</v>
      </c>
      <c r="K9773" t="s">
        <v>38485</v>
      </c>
      <c r="M9773" t="s">
        <v>40787</v>
      </c>
      <c r="N9773" t="s">
        <v>42669</v>
      </c>
      <c r="O9773" t="s">
        <v>42670</v>
      </c>
      <c r="P9773">
        <v>0</v>
      </c>
      <c r="Q9773">
        <v>5</v>
      </c>
      <c r="R9773" t="s">
        <v>42683</v>
      </c>
      <c r="S9773" t="s">
        <v>43062</v>
      </c>
      <c r="T9773" t="s">
        <v>44444</v>
      </c>
      <c r="U9773" t="s">
        <v>52821</v>
      </c>
      <c r="W9773" t="s">
        <v>40787</v>
      </c>
      <c r="X9773" t="s">
        <v>42686</v>
      </c>
    </row>
    <row r="9774" spans="1:24">
      <c r="A9774">
        <f>HYPERLINK("https://www.philgeps.gov.ph/GEPSNONPILOT/Tender/SplashBidNoticeAbstractUI.aspx?menuIndex=3&amp;refID=7169421&amp;Result=3","7169421")</f>
        <v>0</v>
      </c>
      <c r="B9774" t="s">
        <v>2899</v>
      </c>
      <c r="C9774" t="s">
        <v>12851</v>
      </c>
      <c r="E9774" t="s">
        <v>25609</v>
      </c>
      <c r="F9774" t="s">
        <v>29372</v>
      </c>
      <c r="G9774" t="s">
        <v>29380</v>
      </c>
      <c r="H9774" t="s">
        <v>29389</v>
      </c>
      <c r="I9774" t="s">
        <v>10408</v>
      </c>
      <c r="J9774" t="s">
        <v>35754</v>
      </c>
      <c r="K9774" t="s">
        <v>38490</v>
      </c>
      <c r="M9774" t="s">
        <v>41897</v>
      </c>
      <c r="N9774" t="s">
        <v>42669</v>
      </c>
      <c r="O9774" t="s">
        <v>42670</v>
      </c>
      <c r="P9774">
        <v>0</v>
      </c>
      <c r="Q9774">
        <v>2</v>
      </c>
      <c r="R9774" t="s">
        <v>42683</v>
      </c>
      <c r="S9774" t="s">
        <v>43062</v>
      </c>
      <c r="T9774" t="s">
        <v>44481</v>
      </c>
      <c r="U9774" t="s">
        <v>52822</v>
      </c>
      <c r="W9774" t="s">
        <v>41897</v>
      </c>
      <c r="X9774" t="s">
        <v>42685</v>
      </c>
    </row>
    <row r="9775" spans="1:24">
      <c r="A9775">
        <f>HYPERLINK("https://www.philgeps.gov.ph/GEPSNONPILOT/Tender/SplashBidNoticeAbstractUI.aspx?menuIndex=3&amp;refID=7169216&amp;Result=3","7169216")</f>
        <v>0</v>
      </c>
      <c r="B9775" t="s">
        <v>2900</v>
      </c>
      <c r="C9775" t="s">
        <v>12852</v>
      </c>
      <c r="D9775" t="s">
        <v>17146</v>
      </c>
      <c r="E9775" t="s">
        <v>12852</v>
      </c>
      <c r="F9775" t="s">
        <v>29372</v>
      </c>
      <c r="G9775" t="s">
        <v>29380</v>
      </c>
      <c r="H9775" t="s">
        <v>11048</v>
      </c>
      <c r="I9775" t="s">
        <v>29461</v>
      </c>
      <c r="J9775" t="s">
        <v>33206</v>
      </c>
      <c r="K9775" t="s">
        <v>38488</v>
      </c>
      <c r="M9775" t="s">
        <v>41898</v>
      </c>
      <c r="N9775" t="s">
        <v>42669</v>
      </c>
      <c r="O9775" t="s">
        <v>42670</v>
      </c>
      <c r="P9775">
        <v>0</v>
      </c>
      <c r="Q9775">
        <v>1</v>
      </c>
      <c r="R9775" t="s">
        <v>42683</v>
      </c>
      <c r="S9775" t="s">
        <v>43062</v>
      </c>
      <c r="T9775" t="s">
        <v>44568</v>
      </c>
      <c r="U9775" t="s">
        <v>52823</v>
      </c>
      <c r="W9775" t="s">
        <v>41898</v>
      </c>
      <c r="X9775" t="s">
        <v>42685</v>
      </c>
    </row>
    <row r="9776" spans="1:24">
      <c r="A9776">
        <f>HYPERLINK("https://www.philgeps.gov.ph/GEPSNONPILOT/Tender/SplashBidNoticeAbstractUI.aspx?menuIndex=3&amp;refID=7177044&amp;Result=3","7177044")</f>
        <v>0</v>
      </c>
      <c r="B9776" t="s">
        <v>2901</v>
      </c>
      <c r="C9776" t="s">
        <v>12853</v>
      </c>
      <c r="D9776" t="s">
        <v>17172</v>
      </c>
      <c r="E9776" t="s">
        <v>25610</v>
      </c>
      <c r="F9776" t="s">
        <v>29372</v>
      </c>
      <c r="G9776" t="s">
        <v>29380</v>
      </c>
      <c r="H9776" t="s">
        <v>29389</v>
      </c>
      <c r="I9776" t="s">
        <v>10408</v>
      </c>
      <c r="J9776" t="s">
        <v>29824</v>
      </c>
      <c r="K9776" t="s">
        <v>38496</v>
      </c>
      <c r="M9776" t="s">
        <v>41899</v>
      </c>
      <c r="N9776" t="s">
        <v>42669</v>
      </c>
      <c r="O9776" t="s">
        <v>42670</v>
      </c>
      <c r="P9776">
        <v>0</v>
      </c>
      <c r="Q9776">
        <v>0</v>
      </c>
      <c r="R9776" t="s">
        <v>42682</v>
      </c>
      <c r="S9776" t="s">
        <v>42984</v>
      </c>
      <c r="T9776" t="s">
        <v>44382</v>
      </c>
      <c r="U9776" t="s">
        <v>52824</v>
      </c>
      <c r="W9776" t="s">
        <v>41899</v>
      </c>
      <c r="X9776" t="s">
        <v>42683</v>
      </c>
    </row>
    <row r="9777" spans="1:24">
      <c r="A9777">
        <f>HYPERLINK("https://www.philgeps.gov.ph/GEPSNONPILOT/Tender/SplashBidNoticeAbstractUI.aspx?menuIndex=3&amp;refID=7169147&amp;Result=3","7169147")</f>
        <v>0</v>
      </c>
      <c r="B9777" t="s">
        <v>1085</v>
      </c>
      <c r="C9777" t="s">
        <v>12854</v>
      </c>
      <c r="E9777" t="s">
        <v>25611</v>
      </c>
      <c r="F9777" t="s">
        <v>29372</v>
      </c>
      <c r="G9777" t="s">
        <v>29380</v>
      </c>
      <c r="H9777" t="s">
        <v>11048</v>
      </c>
      <c r="I9777" t="s">
        <v>29433</v>
      </c>
      <c r="J9777" t="s">
        <v>35755</v>
      </c>
      <c r="K9777" t="s">
        <v>38490</v>
      </c>
      <c r="M9777" t="s">
        <v>40157</v>
      </c>
      <c r="N9777" t="s">
        <v>42669</v>
      </c>
      <c r="O9777" t="s">
        <v>42670</v>
      </c>
      <c r="P9777">
        <v>0</v>
      </c>
      <c r="Q9777">
        <v>12</v>
      </c>
      <c r="R9777" t="s">
        <v>42683</v>
      </c>
      <c r="S9777" t="s">
        <v>43062</v>
      </c>
      <c r="T9777" t="s">
        <v>44396</v>
      </c>
      <c r="U9777" t="s">
        <v>45387</v>
      </c>
      <c r="W9777" t="s">
        <v>40157</v>
      </c>
      <c r="X9777" t="s">
        <v>42685</v>
      </c>
    </row>
    <row r="9778" spans="1:24">
      <c r="A9778">
        <f>HYPERLINK("https://www.philgeps.gov.ph/GEPSNONPILOT/Tender/SplashBidNoticeAbstractUI.aspx?menuIndex=3&amp;refID=7168858&amp;Result=3","7168858")</f>
        <v>0</v>
      </c>
      <c r="B9778" t="s">
        <v>2902</v>
      </c>
      <c r="C9778" t="s">
        <v>12855</v>
      </c>
      <c r="D9778" t="s">
        <v>17193</v>
      </c>
      <c r="E9778" t="s">
        <v>25612</v>
      </c>
      <c r="F9778" t="s">
        <v>29372</v>
      </c>
      <c r="G9778" t="s">
        <v>29380</v>
      </c>
      <c r="H9778" t="s">
        <v>29389</v>
      </c>
      <c r="I9778" t="s">
        <v>10408</v>
      </c>
      <c r="J9778" t="s">
        <v>35756</v>
      </c>
      <c r="K9778" t="s">
        <v>38535</v>
      </c>
      <c r="M9778" t="s">
        <v>41900</v>
      </c>
      <c r="N9778" t="s">
        <v>42669</v>
      </c>
      <c r="O9778" t="s">
        <v>42670</v>
      </c>
      <c r="P9778">
        <v>0</v>
      </c>
      <c r="Q9778">
        <v>0</v>
      </c>
      <c r="R9778" t="s">
        <v>42683</v>
      </c>
      <c r="S9778" t="s">
        <v>43062</v>
      </c>
      <c r="T9778" t="s">
        <v>44481</v>
      </c>
      <c r="U9778" t="s">
        <v>52825</v>
      </c>
      <c r="V9778" t="s">
        <v>57454</v>
      </c>
      <c r="W9778" t="s">
        <v>41900</v>
      </c>
      <c r="X9778" t="s">
        <v>42685</v>
      </c>
    </row>
    <row r="9779" spans="1:24">
      <c r="A9779">
        <f>HYPERLINK("https://www.philgeps.gov.ph/GEPSNONPILOT/Tender/SplashBidNoticeAbstractUI.aspx?menuIndex=3&amp;refID=7169357&amp;Result=3","7169357")</f>
        <v>0</v>
      </c>
      <c r="B9779" t="s">
        <v>2903</v>
      </c>
      <c r="C9779" t="s">
        <v>12856</v>
      </c>
      <c r="D9779" t="s">
        <v>17190</v>
      </c>
      <c r="E9779" t="s">
        <v>25613</v>
      </c>
      <c r="F9779" t="s">
        <v>29372</v>
      </c>
      <c r="G9779" t="s">
        <v>29380</v>
      </c>
      <c r="H9779" t="s">
        <v>29389</v>
      </c>
      <c r="I9779" t="s">
        <v>10408</v>
      </c>
      <c r="J9779" t="s">
        <v>35757</v>
      </c>
      <c r="K9779" t="s">
        <v>38505</v>
      </c>
      <c r="M9779" t="s">
        <v>41901</v>
      </c>
      <c r="N9779" t="s">
        <v>42669</v>
      </c>
      <c r="O9779" t="s">
        <v>42670</v>
      </c>
      <c r="P9779">
        <v>0</v>
      </c>
      <c r="Q9779">
        <v>0</v>
      </c>
      <c r="R9779" t="s">
        <v>42683</v>
      </c>
      <c r="S9779" t="s">
        <v>43062</v>
      </c>
      <c r="T9779" t="s">
        <v>44357</v>
      </c>
      <c r="U9779" t="s">
        <v>52826</v>
      </c>
      <c r="V9779" t="s">
        <v>57455</v>
      </c>
      <c r="W9779" t="s">
        <v>41901</v>
      </c>
      <c r="X9779" t="s">
        <v>42685</v>
      </c>
    </row>
    <row r="9780" spans="1:24">
      <c r="A9780">
        <f>HYPERLINK("https://www.philgeps.gov.ph/GEPSNONPILOT/Tender/SplashBidNoticeAbstractUI.aspx?menuIndex=3&amp;refID=7169379&amp;Result=3","7169379")</f>
        <v>0</v>
      </c>
      <c r="B9780" t="s">
        <v>89</v>
      </c>
      <c r="C9780" t="s">
        <v>12857</v>
      </c>
      <c r="D9780" t="s">
        <v>17146</v>
      </c>
      <c r="E9780" t="s">
        <v>25614</v>
      </c>
      <c r="F9780" t="s">
        <v>29372</v>
      </c>
      <c r="G9780" t="s">
        <v>29380</v>
      </c>
      <c r="H9780" t="s">
        <v>29389</v>
      </c>
      <c r="I9780" t="s">
        <v>10408</v>
      </c>
      <c r="J9780" t="s">
        <v>29724</v>
      </c>
      <c r="K9780" t="s">
        <v>38533</v>
      </c>
      <c r="M9780" t="s">
        <v>38843</v>
      </c>
      <c r="N9780" t="s">
        <v>42669</v>
      </c>
      <c r="O9780" t="s">
        <v>42670</v>
      </c>
      <c r="P9780">
        <v>0</v>
      </c>
      <c r="Q9780">
        <v>1</v>
      </c>
      <c r="R9780" t="s">
        <v>42683</v>
      </c>
      <c r="S9780" t="s">
        <v>43062</v>
      </c>
      <c r="T9780" t="s">
        <v>44361</v>
      </c>
      <c r="U9780" t="s">
        <v>52827</v>
      </c>
      <c r="V9780" t="s">
        <v>57456</v>
      </c>
      <c r="W9780" t="s">
        <v>38843</v>
      </c>
      <c r="X9780" t="s">
        <v>42685</v>
      </c>
    </row>
    <row r="9781" spans="1:24">
      <c r="A9781">
        <f>HYPERLINK("https://www.philgeps.gov.ph/GEPSNONPILOT/Tender/SplashBidNoticeAbstractUI.aspx?menuIndex=3&amp;refID=7169195&amp;Result=3","7169195")</f>
        <v>0</v>
      </c>
      <c r="B9781" t="s">
        <v>89</v>
      </c>
      <c r="C9781" t="s">
        <v>12858</v>
      </c>
      <c r="D9781" t="s">
        <v>17146</v>
      </c>
      <c r="E9781" t="s">
        <v>25615</v>
      </c>
      <c r="F9781" t="s">
        <v>29372</v>
      </c>
      <c r="G9781" t="s">
        <v>29380</v>
      </c>
      <c r="H9781" t="s">
        <v>29389</v>
      </c>
      <c r="I9781" t="s">
        <v>10408</v>
      </c>
      <c r="J9781" t="s">
        <v>29743</v>
      </c>
      <c r="K9781" t="s">
        <v>38495</v>
      </c>
      <c r="M9781" t="s">
        <v>38843</v>
      </c>
      <c r="N9781" t="s">
        <v>42669</v>
      </c>
      <c r="O9781" t="s">
        <v>42670</v>
      </c>
      <c r="P9781">
        <v>0</v>
      </c>
      <c r="Q9781">
        <v>0</v>
      </c>
      <c r="R9781" t="s">
        <v>42683</v>
      </c>
      <c r="S9781" t="s">
        <v>43062</v>
      </c>
      <c r="T9781" t="s">
        <v>44357</v>
      </c>
      <c r="U9781" t="s">
        <v>52828</v>
      </c>
      <c r="V9781" t="s">
        <v>57456</v>
      </c>
      <c r="W9781" t="s">
        <v>38843</v>
      </c>
      <c r="X9781" t="s">
        <v>42685</v>
      </c>
    </row>
    <row r="9782" spans="1:24">
      <c r="A9782">
        <f>HYPERLINK("https://www.philgeps.gov.ph/GEPSNONPILOT/Tender/SplashBidNoticeAbstractUI.aspx?menuIndex=3&amp;refID=7169541&amp;Result=3","7169541")</f>
        <v>0</v>
      </c>
      <c r="B9782" t="s">
        <v>2904</v>
      </c>
      <c r="C9782" t="s">
        <v>12859</v>
      </c>
      <c r="D9782" t="s">
        <v>17170</v>
      </c>
      <c r="E9782" t="s">
        <v>25616</v>
      </c>
      <c r="F9782" t="s">
        <v>29372</v>
      </c>
      <c r="G9782" t="s">
        <v>29380</v>
      </c>
      <c r="H9782" t="s">
        <v>29389</v>
      </c>
      <c r="I9782" t="s">
        <v>10408</v>
      </c>
      <c r="J9782" t="s">
        <v>35758</v>
      </c>
      <c r="K9782" t="s">
        <v>38512</v>
      </c>
      <c r="M9782" t="s">
        <v>41902</v>
      </c>
      <c r="N9782" t="s">
        <v>42669</v>
      </c>
      <c r="O9782" t="s">
        <v>42670</v>
      </c>
      <c r="P9782">
        <v>0</v>
      </c>
      <c r="Q9782">
        <v>1</v>
      </c>
      <c r="R9782" t="s">
        <v>42683</v>
      </c>
      <c r="S9782" t="s">
        <v>43062</v>
      </c>
      <c r="T9782" t="s">
        <v>44375</v>
      </c>
      <c r="U9782" t="s">
        <v>52829</v>
      </c>
      <c r="W9782" t="s">
        <v>41902</v>
      </c>
      <c r="X9782" t="s">
        <v>42685</v>
      </c>
    </row>
    <row r="9783" spans="1:24">
      <c r="A9783">
        <f>HYPERLINK("https://www.philgeps.gov.ph/GEPSNONPILOT/Tender/SplashBidNoticeAbstractUI.aspx?menuIndex=3&amp;refID=7169062&amp;Result=3","7169062")</f>
        <v>0</v>
      </c>
      <c r="B9783" t="s">
        <v>89</v>
      </c>
      <c r="C9783" t="s">
        <v>12860</v>
      </c>
      <c r="D9783" t="s">
        <v>17146</v>
      </c>
      <c r="E9783" t="s">
        <v>25617</v>
      </c>
      <c r="F9783" t="s">
        <v>29372</v>
      </c>
      <c r="G9783" t="s">
        <v>29380</v>
      </c>
      <c r="H9783" t="s">
        <v>29389</v>
      </c>
      <c r="I9783" t="s">
        <v>10408</v>
      </c>
      <c r="J9783" t="s">
        <v>30161</v>
      </c>
      <c r="K9783" t="s">
        <v>38533</v>
      </c>
      <c r="M9783" t="s">
        <v>38843</v>
      </c>
      <c r="N9783" t="s">
        <v>42669</v>
      </c>
      <c r="O9783" t="s">
        <v>42670</v>
      </c>
      <c r="P9783">
        <v>0</v>
      </c>
      <c r="Q9783">
        <v>0</v>
      </c>
      <c r="R9783" t="s">
        <v>42683</v>
      </c>
      <c r="S9783" t="s">
        <v>43062</v>
      </c>
      <c r="T9783" t="s">
        <v>44375</v>
      </c>
      <c r="U9783" t="s">
        <v>52830</v>
      </c>
      <c r="V9783" t="s">
        <v>57456</v>
      </c>
      <c r="W9783" t="s">
        <v>38843</v>
      </c>
      <c r="X9783" t="s">
        <v>42685</v>
      </c>
    </row>
    <row r="9784" spans="1:24">
      <c r="A9784">
        <f>HYPERLINK("https://www.philgeps.gov.ph/GEPSNONPILOT/Tender/SplashBidNoticeAbstractUI.aspx?menuIndex=3&amp;refID=7169026&amp;Result=3","7169026")</f>
        <v>0</v>
      </c>
      <c r="B9784" t="s">
        <v>1416</v>
      </c>
      <c r="C9784" t="s">
        <v>12861</v>
      </c>
      <c r="D9784" t="s">
        <v>17202</v>
      </c>
      <c r="E9784" t="s">
        <v>25618</v>
      </c>
      <c r="F9784" t="s">
        <v>29372</v>
      </c>
      <c r="G9784" t="s">
        <v>29380</v>
      </c>
      <c r="H9784" t="s">
        <v>11048</v>
      </c>
      <c r="I9784" t="s">
        <v>8614</v>
      </c>
      <c r="J9784" t="s">
        <v>29578</v>
      </c>
      <c r="K9784" t="s">
        <v>38485</v>
      </c>
      <c r="M9784" t="s">
        <v>40255</v>
      </c>
      <c r="N9784" t="s">
        <v>42669</v>
      </c>
      <c r="O9784" t="s">
        <v>42670</v>
      </c>
      <c r="Q9784">
        <v>0</v>
      </c>
      <c r="R9784" t="s">
        <v>42683</v>
      </c>
      <c r="S9784" t="s">
        <v>43074</v>
      </c>
      <c r="T9784" t="s">
        <v>44488</v>
      </c>
      <c r="U9784" t="s">
        <v>52831</v>
      </c>
      <c r="V9784" t="s">
        <v>56748</v>
      </c>
      <c r="W9784" t="s">
        <v>40255</v>
      </c>
      <c r="X9784" t="s">
        <v>42685</v>
      </c>
    </row>
    <row r="9785" spans="1:24">
      <c r="A9785">
        <f>HYPERLINK("https://www.philgeps.gov.ph/GEPSNONPILOT/Tender/SplashBidNoticeAbstractUI.aspx?menuIndex=3&amp;refID=7169020&amp;Result=3","7169020")</f>
        <v>0</v>
      </c>
      <c r="B9785" t="s">
        <v>2070</v>
      </c>
      <c r="C9785" t="s">
        <v>12862</v>
      </c>
      <c r="D9785" t="s">
        <v>17170</v>
      </c>
      <c r="E9785" t="s">
        <v>25619</v>
      </c>
      <c r="F9785" t="s">
        <v>29372</v>
      </c>
      <c r="G9785" t="s">
        <v>29380</v>
      </c>
      <c r="H9785" t="s">
        <v>11048</v>
      </c>
      <c r="I9785" t="s">
        <v>3839</v>
      </c>
      <c r="J9785" t="s">
        <v>35759</v>
      </c>
      <c r="K9785" t="s">
        <v>38518</v>
      </c>
      <c r="M9785" t="s">
        <v>40968</v>
      </c>
      <c r="N9785" t="s">
        <v>42669</v>
      </c>
      <c r="O9785" t="s">
        <v>42670</v>
      </c>
      <c r="P9785">
        <v>0</v>
      </c>
      <c r="Q9785">
        <v>3</v>
      </c>
      <c r="R9785" t="s">
        <v>42683</v>
      </c>
      <c r="S9785" t="s">
        <v>43062</v>
      </c>
      <c r="T9785" t="s">
        <v>44357</v>
      </c>
      <c r="U9785" t="s">
        <v>52832</v>
      </c>
      <c r="V9785" t="s">
        <v>57026</v>
      </c>
      <c r="W9785" t="s">
        <v>40968</v>
      </c>
      <c r="X9785" t="s">
        <v>42685</v>
      </c>
    </row>
    <row r="9786" spans="1:24">
      <c r="A9786">
        <f>HYPERLINK("https://www.philgeps.gov.ph/GEPSNONPILOT/Tender/SplashBidNoticeAbstractUI.aspx?menuIndex=3&amp;refID=7168865&amp;Result=3","7168865")</f>
        <v>0</v>
      </c>
      <c r="B9786" t="s">
        <v>2902</v>
      </c>
      <c r="C9786" t="s">
        <v>12863</v>
      </c>
      <c r="D9786" t="s">
        <v>17193</v>
      </c>
      <c r="E9786" t="s">
        <v>25620</v>
      </c>
      <c r="F9786" t="s">
        <v>29372</v>
      </c>
      <c r="G9786" t="s">
        <v>29380</v>
      </c>
      <c r="H9786" t="s">
        <v>29389</v>
      </c>
      <c r="I9786" t="s">
        <v>10408</v>
      </c>
      <c r="J9786" t="s">
        <v>29708</v>
      </c>
      <c r="K9786" t="s">
        <v>38556</v>
      </c>
      <c r="M9786" t="s">
        <v>41900</v>
      </c>
      <c r="N9786" t="s">
        <v>42669</v>
      </c>
      <c r="O9786" t="s">
        <v>42670</v>
      </c>
      <c r="P9786">
        <v>0</v>
      </c>
      <c r="Q9786">
        <v>0</v>
      </c>
      <c r="R9786" t="s">
        <v>42683</v>
      </c>
      <c r="S9786" t="s">
        <v>43062</v>
      </c>
      <c r="T9786" t="s">
        <v>44481</v>
      </c>
      <c r="U9786" t="s">
        <v>52833</v>
      </c>
      <c r="V9786" t="s">
        <v>57454</v>
      </c>
      <c r="W9786" t="s">
        <v>41900</v>
      </c>
      <c r="X9786" t="s">
        <v>42685</v>
      </c>
    </row>
    <row r="9787" spans="1:24">
      <c r="A9787">
        <f>HYPERLINK("https://www.philgeps.gov.ph/GEPSNONPILOT/Tender/SplashBidNoticeAbstractUI.aspx?menuIndex=3&amp;refID=7169475&amp;Result=3","7169475")</f>
        <v>0</v>
      </c>
      <c r="B9787" t="s">
        <v>2899</v>
      </c>
      <c r="C9787" t="s">
        <v>12864</v>
      </c>
      <c r="E9787" t="s">
        <v>25621</v>
      </c>
      <c r="F9787" t="s">
        <v>29372</v>
      </c>
      <c r="G9787" t="s">
        <v>29380</v>
      </c>
      <c r="H9787" t="s">
        <v>29389</v>
      </c>
      <c r="I9787" t="s">
        <v>10408</v>
      </c>
      <c r="J9787" t="s">
        <v>29788</v>
      </c>
      <c r="K9787" t="s">
        <v>38490</v>
      </c>
      <c r="M9787" t="s">
        <v>41897</v>
      </c>
      <c r="N9787" t="s">
        <v>42669</v>
      </c>
      <c r="O9787" t="s">
        <v>42670</v>
      </c>
      <c r="P9787">
        <v>0</v>
      </c>
      <c r="Q9787">
        <v>2</v>
      </c>
      <c r="R9787" t="s">
        <v>42683</v>
      </c>
      <c r="S9787" t="s">
        <v>43062</v>
      </c>
      <c r="T9787" t="s">
        <v>44549</v>
      </c>
      <c r="U9787" t="s">
        <v>52834</v>
      </c>
      <c r="W9787" t="s">
        <v>41897</v>
      </c>
      <c r="X9787" t="s">
        <v>42685</v>
      </c>
    </row>
    <row r="9788" spans="1:24">
      <c r="A9788">
        <f>HYPERLINK("https://www.philgeps.gov.ph/GEPSNONPILOT/Tender/SplashBidNoticeAbstractUI.aspx?menuIndex=3&amp;refID=7168862&amp;Result=3","7168862")</f>
        <v>0</v>
      </c>
      <c r="B9788" t="s">
        <v>2902</v>
      </c>
      <c r="C9788" t="s">
        <v>12865</v>
      </c>
      <c r="D9788" t="s">
        <v>17193</v>
      </c>
      <c r="E9788" t="s">
        <v>25622</v>
      </c>
      <c r="F9788" t="s">
        <v>29372</v>
      </c>
      <c r="G9788" t="s">
        <v>29380</v>
      </c>
      <c r="H9788" t="s">
        <v>29389</v>
      </c>
      <c r="I9788" t="s">
        <v>10408</v>
      </c>
      <c r="J9788" t="s">
        <v>29708</v>
      </c>
      <c r="K9788" t="s">
        <v>38488</v>
      </c>
      <c r="M9788" t="s">
        <v>41900</v>
      </c>
      <c r="N9788" t="s">
        <v>42669</v>
      </c>
      <c r="O9788" t="s">
        <v>42670</v>
      </c>
      <c r="P9788">
        <v>0</v>
      </c>
      <c r="Q9788">
        <v>0</v>
      </c>
      <c r="R9788" t="s">
        <v>42683</v>
      </c>
      <c r="S9788" t="s">
        <v>43062</v>
      </c>
      <c r="T9788" t="s">
        <v>44481</v>
      </c>
      <c r="U9788" t="s">
        <v>52835</v>
      </c>
      <c r="V9788" t="s">
        <v>57454</v>
      </c>
      <c r="W9788" t="s">
        <v>41900</v>
      </c>
      <c r="X9788" t="s">
        <v>42685</v>
      </c>
    </row>
    <row r="9789" spans="1:24">
      <c r="A9789">
        <f>HYPERLINK("https://www.philgeps.gov.ph/GEPSNONPILOT/Tender/SplashBidNoticeAbstractUI.aspx?menuIndex=3&amp;refID=7169504&amp;Result=3","7169504")</f>
        <v>0</v>
      </c>
      <c r="B9789" t="s">
        <v>2904</v>
      </c>
      <c r="C9789" t="s">
        <v>12866</v>
      </c>
      <c r="D9789" t="s">
        <v>17170</v>
      </c>
      <c r="E9789" t="s">
        <v>25623</v>
      </c>
      <c r="F9789" t="s">
        <v>29372</v>
      </c>
      <c r="G9789" t="s">
        <v>29380</v>
      </c>
      <c r="H9789" t="s">
        <v>11048</v>
      </c>
      <c r="I9789" t="s">
        <v>4486</v>
      </c>
      <c r="J9789" t="s">
        <v>35760</v>
      </c>
      <c r="K9789" t="s">
        <v>38488</v>
      </c>
      <c r="M9789" t="s">
        <v>41902</v>
      </c>
      <c r="N9789" t="s">
        <v>42669</v>
      </c>
      <c r="O9789" t="s">
        <v>42670</v>
      </c>
      <c r="P9789">
        <v>0</v>
      </c>
      <c r="Q9789">
        <v>6</v>
      </c>
      <c r="R9789" t="s">
        <v>42683</v>
      </c>
      <c r="S9789" t="s">
        <v>43062</v>
      </c>
      <c r="T9789" t="s">
        <v>44373</v>
      </c>
      <c r="U9789" t="s">
        <v>52836</v>
      </c>
      <c r="W9789" t="s">
        <v>41902</v>
      </c>
      <c r="X9789" t="s">
        <v>42685</v>
      </c>
    </row>
    <row r="9790" spans="1:24">
      <c r="A9790">
        <f>HYPERLINK("https://www.philgeps.gov.ph/GEPSNONPILOT/Tender/SplashBidNoticeAbstractUI.aspx?menuIndex=3&amp;refID=7170230&amp;Result=3","7170230")</f>
        <v>0</v>
      </c>
      <c r="B9790" t="s">
        <v>2905</v>
      </c>
      <c r="C9790" t="s">
        <v>12867</v>
      </c>
      <c r="D9790" t="s">
        <v>17194</v>
      </c>
      <c r="E9790" t="s">
        <v>25624</v>
      </c>
      <c r="F9790" t="s">
        <v>29372</v>
      </c>
      <c r="G9790" t="s">
        <v>29380</v>
      </c>
      <c r="H9790" t="s">
        <v>29389</v>
      </c>
      <c r="I9790" t="s">
        <v>10408</v>
      </c>
      <c r="J9790" t="s">
        <v>35761</v>
      </c>
      <c r="K9790" t="s">
        <v>38564</v>
      </c>
      <c r="M9790" t="s">
        <v>41903</v>
      </c>
      <c r="N9790" t="s">
        <v>42669</v>
      </c>
      <c r="O9790" t="s">
        <v>42670</v>
      </c>
      <c r="P9790">
        <v>0</v>
      </c>
      <c r="Q9790">
        <v>5</v>
      </c>
      <c r="R9790" t="s">
        <v>42683</v>
      </c>
      <c r="S9790" t="s">
        <v>43062</v>
      </c>
      <c r="T9790" t="s">
        <v>44400</v>
      </c>
      <c r="U9790" t="s">
        <v>52837</v>
      </c>
      <c r="W9790" t="s">
        <v>41903</v>
      </c>
      <c r="X9790" t="s">
        <v>42685</v>
      </c>
    </row>
    <row r="9791" spans="1:24">
      <c r="A9791">
        <f>HYPERLINK("https://www.philgeps.gov.ph/GEPSNONPILOT/Tender/SplashBidNoticeAbstractUI.aspx?menuIndex=3&amp;refID=7169128&amp;Result=3","7169128")</f>
        <v>0</v>
      </c>
      <c r="B9791" t="s">
        <v>2906</v>
      </c>
      <c r="C9791" t="s">
        <v>12868</v>
      </c>
      <c r="D9791" t="s">
        <v>17179</v>
      </c>
      <c r="E9791" t="s">
        <v>25625</v>
      </c>
      <c r="F9791" t="s">
        <v>29372</v>
      </c>
      <c r="G9791" t="s">
        <v>29380</v>
      </c>
      <c r="H9791" t="s">
        <v>11048</v>
      </c>
      <c r="I9791" t="s">
        <v>29495</v>
      </c>
      <c r="J9791" t="s">
        <v>31002</v>
      </c>
      <c r="K9791" t="s">
        <v>38491</v>
      </c>
      <c r="M9791" t="s">
        <v>41904</v>
      </c>
      <c r="N9791" t="s">
        <v>42669</v>
      </c>
      <c r="O9791" t="s">
        <v>42670</v>
      </c>
      <c r="Q9791">
        <v>1</v>
      </c>
      <c r="R9791" t="s">
        <v>42683</v>
      </c>
      <c r="S9791" t="s">
        <v>43075</v>
      </c>
      <c r="T9791" t="s">
        <v>44488</v>
      </c>
      <c r="U9791" t="s">
        <v>52838</v>
      </c>
      <c r="W9791" t="s">
        <v>41904</v>
      </c>
      <c r="X9791" t="s">
        <v>42685</v>
      </c>
    </row>
    <row r="9792" spans="1:24">
      <c r="A9792">
        <f>HYPERLINK("https://www.philgeps.gov.ph/GEPSNONPILOT/Tender/SplashBidNoticeAbstractUI.aspx?menuIndex=3&amp;refID=7170190&amp;Result=3","7170190")</f>
        <v>0</v>
      </c>
      <c r="B9792" t="s">
        <v>2907</v>
      </c>
      <c r="C9792" t="s">
        <v>12869</v>
      </c>
      <c r="D9792" t="s">
        <v>17148</v>
      </c>
      <c r="E9792" t="s">
        <v>25626</v>
      </c>
      <c r="F9792" t="s">
        <v>29372</v>
      </c>
      <c r="G9792" t="s">
        <v>29384</v>
      </c>
      <c r="H9792" t="s">
        <v>11048</v>
      </c>
      <c r="I9792" t="s">
        <v>4709</v>
      </c>
      <c r="J9792" t="s">
        <v>35762</v>
      </c>
      <c r="K9792" t="s">
        <v>38485</v>
      </c>
      <c r="M9792" t="s">
        <v>41905</v>
      </c>
      <c r="N9792" t="s">
        <v>42669</v>
      </c>
      <c r="O9792" t="s">
        <v>42670</v>
      </c>
      <c r="P9792">
        <v>0</v>
      </c>
      <c r="Q9792">
        <v>7</v>
      </c>
      <c r="R9792" t="s">
        <v>42683</v>
      </c>
      <c r="S9792" t="s">
        <v>43062</v>
      </c>
      <c r="T9792" t="s">
        <v>44488</v>
      </c>
      <c r="U9792" t="s">
        <v>52839</v>
      </c>
      <c r="W9792" t="s">
        <v>41905</v>
      </c>
      <c r="X9792" t="s">
        <v>42685</v>
      </c>
    </row>
    <row r="9793" spans="1:24">
      <c r="A9793">
        <f>HYPERLINK("https://www.philgeps.gov.ph/GEPSNONPILOT/Tender/SplashBidNoticeAbstractUI.aspx?menuIndex=3&amp;refID=7169554&amp;Result=3","7169554")</f>
        <v>0</v>
      </c>
      <c r="B9793" t="s">
        <v>86</v>
      </c>
      <c r="C9793" t="s">
        <v>12870</v>
      </c>
      <c r="E9793" t="s">
        <v>25627</v>
      </c>
      <c r="F9793" t="s">
        <v>29372</v>
      </c>
      <c r="G9793" t="s">
        <v>29380</v>
      </c>
      <c r="H9793" t="s">
        <v>29389</v>
      </c>
      <c r="I9793" t="s">
        <v>10408</v>
      </c>
      <c r="J9793" t="s">
        <v>35763</v>
      </c>
      <c r="K9793" t="s">
        <v>38496</v>
      </c>
      <c r="M9793" t="s">
        <v>40155</v>
      </c>
      <c r="N9793" t="s">
        <v>42669</v>
      </c>
      <c r="O9793" t="s">
        <v>42670</v>
      </c>
      <c r="P9793">
        <v>0</v>
      </c>
      <c r="Q9793">
        <v>1</v>
      </c>
      <c r="R9793" t="s">
        <v>42683</v>
      </c>
      <c r="S9793" t="s">
        <v>43062</v>
      </c>
      <c r="T9793" t="s">
        <v>44444</v>
      </c>
      <c r="U9793" t="s">
        <v>52840</v>
      </c>
      <c r="W9793" t="s">
        <v>40155</v>
      </c>
      <c r="X9793" t="s">
        <v>42685</v>
      </c>
    </row>
    <row r="9794" spans="1:24">
      <c r="A9794">
        <f>HYPERLINK("https://www.philgeps.gov.ph/GEPSNONPILOT/Tender/SplashBidNoticeAbstractUI.aspx?menuIndex=3&amp;refID=7170325&amp;Result=3","7170325")</f>
        <v>0</v>
      </c>
      <c r="B9794" t="s">
        <v>272</v>
      </c>
      <c r="C9794" t="s">
        <v>12871</v>
      </c>
      <c r="D9794" t="s">
        <v>17206</v>
      </c>
      <c r="E9794" t="s">
        <v>25628</v>
      </c>
      <c r="F9794" t="s">
        <v>29372</v>
      </c>
      <c r="G9794" t="s">
        <v>29381</v>
      </c>
      <c r="H9794" t="s">
        <v>11048</v>
      </c>
      <c r="I9794" t="s">
        <v>29436</v>
      </c>
      <c r="J9794" t="s">
        <v>35764</v>
      </c>
      <c r="K9794" t="s">
        <v>38510</v>
      </c>
      <c r="M9794" t="s">
        <v>41448</v>
      </c>
      <c r="N9794" t="s">
        <v>42669</v>
      </c>
      <c r="O9794" t="s">
        <v>42670</v>
      </c>
      <c r="P9794">
        <v>0</v>
      </c>
      <c r="Q9794">
        <v>11</v>
      </c>
      <c r="R9794" t="s">
        <v>42683</v>
      </c>
      <c r="S9794" t="s">
        <v>43062</v>
      </c>
      <c r="T9794" t="s">
        <v>44427</v>
      </c>
      <c r="U9794" t="s">
        <v>52841</v>
      </c>
      <c r="W9794" t="s">
        <v>41448</v>
      </c>
      <c r="X9794" t="s">
        <v>42685</v>
      </c>
    </row>
    <row r="9795" spans="1:24">
      <c r="A9795">
        <f>HYPERLINK("https://www.philgeps.gov.ph/GEPSNONPILOT/Tender/SplashBidNoticeAbstractUI.aspx?menuIndex=3&amp;refID=7170628&amp;Result=3","7170628")</f>
        <v>0</v>
      </c>
      <c r="B9795" t="s">
        <v>1047</v>
      </c>
      <c r="C9795" t="s">
        <v>12872</v>
      </c>
      <c r="D9795" t="s">
        <v>17141</v>
      </c>
      <c r="E9795" t="s">
        <v>25629</v>
      </c>
      <c r="F9795" t="s">
        <v>29372</v>
      </c>
      <c r="G9795" t="s">
        <v>29380</v>
      </c>
      <c r="H9795" t="s">
        <v>29389</v>
      </c>
      <c r="I9795" t="s">
        <v>10408</v>
      </c>
      <c r="J9795" t="s">
        <v>35765</v>
      </c>
      <c r="K9795" t="s">
        <v>38522</v>
      </c>
      <c r="M9795" t="s">
        <v>41906</v>
      </c>
      <c r="N9795" t="s">
        <v>42669</v>
      </c>
      <c r="O9795" t="s">
        <v>42670</v>
      </c>
      <c r="P9795">
        <v>0</v>
      </c>
      <c r="Q9795">
        <v>36</v>
      </c>
      <c r="R9795" t="s">
        <v>42683</v>
      </c>
      <c r="S9795" t="s">
        <v>43062</v>
      </c>
      <c r="T9795" t="s">
        <v>44433</v>
      </c>
      <c r="U9795" t="s">
        <v>52842</v>
      </c>
      <c r="W9795" t="s">
        <v>41906</v>
      </c>
      <c r="X9795" t="s">
        <v>42685</v>
      </c>
    </row>
    <row r="9796" spans="1:24">
      <c r="A9796">
        <f>HYPERLINK("https://www.philgeps.gov.ph/GEPSNONPILOT/Tender/SplashBidNoticeAbstractUI.aspx?menuIndex=3&amp;refID=7170599&amp;Result=3","7170599")</f>
        <v>0</v>
      </c>
      <c r="B9796" t="s">
        <v>173</v>
      </c>
      <c r="C9796" t="s">
        <v>12873</v>
      </c>
      <c r="E9796" t="s">
        <v>25630</v>
      </c>
      <c r="F9796" t="s">
        <v>29372</v>
      </c>
      <c r="G9796" t="s">
        <v>29380</v>
      </c>
      <c r="H9796" t="s">
        <v>11048</v>
      </c>
      <c r="I9796" t="s">
        <v>8614</v>
      </c>
      <c r="J9796" t="s">
        <v>35766</v>
      </c>
      <c r="K9796" t="s">
        <v>38490</v>
      </c>
      <c r="M9796" t="s">
        <v>41907</v>
      </c>
      <c r="N9796" t="s">
        <v>42669</v>
      </c>
      <c r="O9796" t="s">
        <v>42670</v>
      </c>
      <c r="P9796">
        <v>0</v>
      </c>
      <c r="Q9796">
        <v>17</v>
      </c>
      <c r="R9796" t="s">
        <v>42683</v>
      </c>
      <c r="S9796" t="s">
        <v>43062</v>
      </c>
      <c r="T9796" t="s">
        <v>44485</v>
      </c>
      <c r="U9796" t="s">
        <v>52843</v>
      </c>
      <c r="W9796" t="s">
        <v>41907</v>
      </c>
      <c r="X9796" t="s">
        <v>42685</v>
      </c>
    </row>
    <row r="9797" spans="1:24">
      <c r="A9797">
        <f>HYPERLINK("https://www.philgeps.gov.ph/GEPSNONPILOT/Tender/SplashBidNoticeAbstractUI.aspx?menuIndex=3&amp;refID=7170506&amp;Result=3","7170506")</f>
        <v>0</v>
      </c>
      <c r="B9797" t="s">
        <v>2908</v>
      </c>
      <c r="C9797" t="s">
        <v>12874</v>
      </c>
      <c r="D9797" t="s">
        <v>17212</v>
      </c>
      <c r="E9797" t="s">
        <v>25631</v>
      </c>
      <c r="F9797" t="s">
        <v>29372</v>
      </c>
      <c r="G9797" t="s">
        <v>29380</v>
      </c>
      <c r="H9797" t="s">
        <v>11048</v>
      </c>
      <c r="I9797" t="s">
        <v>9469</v>
      </c>
      <c r="J9797" t="s">
        <v>30161</v>
      </c>
      <c r="K9797" t="s">
        <v>38496</v>
      </c>
      <c r="M9797" t="s">
        <v>41908</v>
      </c>
      <c r="N9797" t="s">
        <v>42669</v>
      </c>
      <c r="O9797" t="s">
        <v>42670</v>
      </c>
      <c r="P9797">
        <v>0</v>
      </c>
      <c r="Q9797">
        <v>7</v>
      </c>
      <c r="R9797" t="s">
        <v>42683</v>
      </c>
      <c r="S9797" t="s">
        <v>43062</v>
      </c>
      <c r="T9797" t="s">
        <v>44357</v>
      </c>
      <c r="U9797" t="s">
        <v>52844</v>
      </c>
      <c r="W9797" t="s">
        <v>41908</v>
      </c>
      <c r="X9797" t="s">
        <v>42685</v>
      </c>
    </row>
    <row r="9798" spans="1:24">
      <c r="A9798">
        <f>HYPERLINK("https://www.philgeps.gov.ph/GEPSNONPILOT/Tender/SplashBidNoticeAbstractUI.aspx?menuIndex=3&amp;refID=7170493&amp;Result=3","7170493")</f>
        <v>0</v>
      </c>
      <c r="B9798" t="s">
        <v>2908</v>
      </c>
      <c r="C9798" t="s">
        <v>12875</v>
      </c>
      <c r="D9798" t="s">
        <v>17212</v>
      </c>
      <c r="E9798" t="s">
        <v>25632</v>
      </c>
      <c r="F9798" t="s">
        <v>29372</v>
      </c>
      <c r="G9798" t="s">
        <v>29380</v>
      </c>
      <c r="H9798" t="s">
        <v>29389</v>
      </c>
      <c r="I9798" t="s">
        <v>10408</v>
      </c>
      <c r="J9798" t="s">
        <v>29988</v>
      </c>
      <c r="K9798" t="s">
        <v>38515</v>
      </c>
      <c r="M9798" t="s">
        <v>41908</v>
      </c>
      <c r="N9798" t="s">
        <v>42669</v>
      </c>
      <c r="O9798" t="s">
        <v>42670</v>
      </c>
      <c r="P9798">
        <v>0</v>
      </c>
      <c r="Q9798">
        <v>2</v>
      </c>
      <c r="R9798" t="s">
        <v>42683</v>
      </c>
      <c r="S9798" t="s">
        <v>43062</v>
      </c>
      <c r="T9798" t="s">
        <v>44509</v>
      </c>
      <c r="U9798" t="s">
        <v>52845</v>
      </c>
      <c r="W9798" t="s">
        <v>41908</v>
      </c>
      <c r="X9798" t="s">
        <v>42685</v>
      </c>
    </row>
    <row r="9799" spans="1:24">
      <c r="A9799">
        <f>HYPERLINK("https://www.philgeps.gov.ph/GEPSNONPILOT/Tender/SplashBidNoticeAbstractUI.aspx?menuIndex=3&amp;refID=7170547&amp;Result=3","7170547")</f>
        <v>0</v>
      </c>
      <c r="B9799" t="s">
        <v>2908</v>
      </c>
      <c r="C9799" t="s">
        <v>12876</v>
      </c>
      <c r="D9799" t="s">
        <v>17212</v>
      </c>
      <c r="E9799" t="s">
        <v>25633</v>
      </c>
      <c r="F9799" t="s">
        <v>29372</v>
      </c>
      <c r="G9799" t="s">
        <v>29380</v>
      </c>
      <c r="H9799" t="s">
        <v>29389</v>
      </c>
      <c r="I9799" t="s">
        <v>10408</v>
      </c>
      <c r="J9799" t="s">
        <v>35767</v>
      </c>
      <c r="K9799" t="s">
        <v>38522</v>
      </c>
      <c r="M9799" t="s">
        <v>41908</v>
      </c>
      <c r="N9799" t="s">
        <v>42669</v>
      </c>
      <c r="O9799" t="s">
        <v>42670</v>
      </c>
      <c r="P9799">
        <v>0</v>
      </c>
      <c r="Q9799">
        <v>4</v>
      </c>
      <c r="R9799" t="s">
        <v>42683</v>
      </c>
      <c r="S9799" t="s">
        <v>43062</v>
      </c>
      <c r="T9799" t="s">
        <v>44357</v>
      </c>
      <c r="U9799" t="s">
        <v>52846</v>
      </c>
      <c r="W9799" t="s">
        <v>41908</v>
      </c>
      <c r="X9799" t="s">
        <v>42685</v>
      </c>
    </row>
    <row r="9800" spans="1:24">
      <c r="A9800">
        <f>HYPERLINK("https://www.philgeps.gov.ph/GEPSNONPILOT/Tender/SplashBidNoticeAbstractUI.aspx?menuIndex=3&amp;refID=7170400&amp;Result=3","7170400")</f>
        <v>0</v>
      </c>
      <c r="B9800" t="s">
        <v>2909</v>
      </c>
      <c r="C9800" t="s">
        <v>12877</v>
      </c>
      <c r="D9800" t="s">
        <v>17172</v>
      </c>
      <c r="E9800" t="s">
        <v>17399</v>
      </c>
      <c r="F9800" t="s">
        <v>29372</v>
      </c>
      <c r="G9800" t="s">
        <v>29380</v>
      </c>
      <c r="H9800" t="s">
        <v>29390</v>
      </c>
      <c r="I9800" t="s">
        <v>29412</v>
      </c>
      <c r="J9800" t="s">
        <v>35768</v>
      </c>
      <c r="K9800" t="s">
        <v>38491</v>
      </c>
      <c r="M9800" t="s">
        <v>41909</v>
      </c>
      <c r="N9800" t="s">
        <v>42669</v>
      </c>
      <c r="O9800" t="s">
        <v>42670</v>
      </c>
      <c r="P9800">
        <v>0</v>
      </c>
      <c r="Q9800">
        <v>1</v>
      </c>
      <c r="R9800" t="s">
        <v>42683</v>
      </c>
      <c r="S9800" t="s">
        <v>43062</v>
      </c>
      <c r="T9800" t="s">
        <v>44468</v>
      </c>
      <c r="U9800" t="s">
        <v>52847</v>
      </c>
      <c r="W9800" t="s">
        <v>41909</v>
      </c>
      <c r="X9800" t="s">
        <v>42685</v>
      </c>
    </row>
    <row r="9801" spans="1:24">
      <c r="A9801">
        <f>HYPERLINK("https://www.philgeps.gov.ph/GEPSNONPILOT/Tender/SplashBidNoticeAbstractUI.aspx?menuIndex=3&amp;refID=7169143&amp;Result=3","7169143")</f>
        <v>0</v>
      </c>
      <c r="B9801" t="s">
        <v>1416</v>
      </c>
      <c r="C9801" t="s">
        <v>12878</v>
      </c>
      <c r="D9801" t="s">
        <v>17202</v>
      </c>
      <c r="E9801" t="s">
        <v>25634</v>
      </c>
      <c r="F9801" t="s">
        <v>29372</v>
      </c>
      <c r="G9801" t="s">
        <v>29380</v>
      </c>
      <c r="H9801" t="s">
        <v>11048</v>
      </c>
      <c r="I9801" t="s">
        <v>9469</v>
      </c>
      <c r="J9801" t="s">
        <v>30161</v>
      </c>
      <c r="K9801" t="s">
        <v>38485</v>
      </c>
      <c r="M9801" t="s">
        <v>40255</v>
      </c>
      <c r="N9801" t="s">
        <v>42669</v>
      </c>
      <c r="O9801" t="s">
        <v>42670</v>
      </c>
      <c r="Q9801">
        <v>6</v>
      </c>
      <c r="R9801" t="s">
        <v>42683</v>
      </c>
      <c r="S9801" t="s">
        <v>43076</v>
      </c>
      <c r="T9801" t="s">
        <v>44355</v>
      </c>
      <c r="U9801" t="s">
        <v>52831</v>
      </c>
      <c r="V9801" t="s">
        <v>56748</v>
      </c>
      <c r="W9801" t="s">
        <v>40255</v>
      </c>
      <c r="X9801" t="s">
        <v>42685</v>
      </c>
    </row>
    <row r="9802" spans="1:24">
      <c r="A9802">
        <f>HYPERLINK("https://www.philgeps.gov.ph/GEPSNONPILOT/Tender/SplashBidNoticeAbstractUI.aspx?menuIndex=3&amp;refID=7169010&amp;Result=3","7169010")</f>
        <v>0</v>
      </c>
      <c r="B9802" t="s">
        <v>2900</v>
      </c>
      <c r="C9802" t="s">
        <v>12879</v>
      </c>
      <c r="D9802" t="s">
        <v>17146</v>
      </c>
      <c r="E9802" t="s">
        <v>25635</v>
      </c>
      <c r="F9802" t="s">
        <v>29372</v>
      </c>
      <c r="G9802" t="s">
        <v>29380</v>
      </c>
      <c r="H9802" t="s">
        <v>11048</v>
      </c>
      <c r="I9802" t="s">
        <v>3695</v>
      </c>
      <c r="J9802" t="s">
        <v>35769</v>
      </c>
      <c r="K9802" t="s">
        <v>38488</v>
      </c>
      <c r="M9802" t="s">
        <v>41898</v>
      </c>
      <c r="N9802" t="s">
        <v>42669</v>
      </c>
      <c r="O9802" t="s">
        <v>42670</v>
      </c>
      <c r="P9802">
        <v>0</v>
      </c>
      <c r="Q9802">
        <v>1</v>
      </c>
      <c r="R9802" t="s">
        <v>42683</v>
      </c>
      <c r="S9802" t="s">
        <v>43062</v>
      </c>
      <c r="T9802" t="s">
        <v>44568</v>
      </c>
      <c r="U9802" t="s">
        <v>52848</v>
      </c>
      <c r="W9802" t="s">
        <v>41898</v>
      </c>
      <c r="X9802" t="s">
        <v>42685</v>
      </c>
    </row>
    <row r="9803" spans="1:24">
      <c r="A9803">
        <f>HYPERLINK("https://www.philgeps.gov.ph/GEPSNONPILOT/Tender/SplashBidNoticeAbstractUI.aspx?menuIndex=3&amp;refID=7169935&amp;Result=3","7169935")</f>
        <v>0</v>
      </c>
      <c r="B9803" t="s">
        <v>86</v>
      </c>
      <c r="C9803" t="s">
        <v>12880</v>
      </c>
      <c r="E9803" t="s">
        <v>25636</v>
      </c>
      <c r="F9803" t="s">
        <v>29372</v>
      </c>
      <c r="G9803" t="s">
        <v>29380</v>
      </c>
      <c r="H9803" t="s">
        <v>11048</v>
      </c>
      <c r="I9803" t="s">
        <v>3952</v>
      </c>
      <c r="J9803" t="s">
        <v>35770</v>
      </c>
      <c r="K9803" t="s">
        <v>38491</v>
      </c>
      <c r="M9803" t="s">
        <v>40155</v>
      </c>
      <c r="N9803" t="s">
        <v>42669</v>
      </c>
      <c r="O9803" t="s">
        <v>42670</v>
      </c>
      <c r="P9803">
        <v>0</v>
      </c>
      <c r="Q9803">
        <v>2</v>
      </c>
      <c r="R9803" t="s">
        <v>42683</v>
      </c>
      <c r="S9803" t="s">
        <v>43062</v>
      </c>
      <c r="T9803" t="s">
        <v>44444</v>
      </c>
      <c r="U9803" t="s">
        <v>52849</v>
      </c>
      <c r="W9803" t="s">
        <v>40155</v>
      </c>
      <c r="X9803" t="s">
        <v>42685</v>
      </c>
    </row>
    <row r="9804" spans="1:24">
      <c r="A9804">
        <f>HYPERLINK("https://www.philgeps.gov.ph/GEPSNONPILOT/Tender/SplashBidNoticeAbstractUI.aspx?menuIndex=3&amp;refID=7169865&amp;Result=3","7169865")</f>
        <v>0</v>
      </c>
      <c r="B9804" t="s">
        <v>86</v>
      </c>
      <c r="C9804" t="s">
        <v>12881</v>
      </c>
      <c r="E9804" t="s">
        <v>25637</v>
      </c>
      <c r="F9804" t="s">
        <v>29372</v>
      </c>
      <c r="G9804" t="s">
        <v>29380</v>
      </c>
      <c r="H9804" t="s">
        <v>11048</v>
      </c>
      <c r="I9804" t="s">
        <v>9469</v>
      </c>
      <c r="J9804" t="s">
        <v>29937</v>
      </c>
      <c r="K9804" t="s">
        <v>38485</v>
      </c>
      <c r="M9804" t="s">
        <v>40155</v>
      </c>
      <c r="N9804" t="s">
        <v>42669</v>
      </c>
      <c r="O9804" t="s">
        <v>42670</v>
      </c>
      <c r="P9804">
        <v>0</v>
      </c>
      <c r="Q9804">
        <v>4</v>
      </c>
      <c r="R9804" t="s">
        <v>42683</v>
      </c>
      <c r="S9804" t="s">
        <v>43062</v>
      </c>
      <c r="T9804" t="s">
        <v>44444</v>
      </c>
      <c r="U9804" t="s">
        <v>52850</v>
      </c>
      <c r="W9804" t="s">
        <v>40155</v>
      </c>
      <c r="X9804" t="s">
        <v>42685</v>
      </c>
    </row>
    <row r="9805" spans="1:24">
      <c r="A9805">
        <f>HYPERLINK("https://www.philgeps.gov.ph/GEPSNONPILOT/Tender/SplashBidNoticeAbstractUI.aspx?menuIndex=3&amp;refID=7168854&amp;Result=3","7168854")</f>
        <v>0</v>
      </c>
      <c r="B9805" t="s">
        <v>2902</v>
      </c>
      <c r="C9805" t="s">
        <v>12882</v>
      </c>
      <c r="D9805" t="s">
        <v>17193</v>
      </c>
      <c r="E9805" t="s">
        <v>25638</v>
      </c>
      <c r="F9805" t="s">
        <v>29372</v>
      </c>
      <c r="G9805" t="s">
        <v>29380</v>
      </c>
      <c r="H9805" t="s">
        <v>29389</v>
      </c>
      <c r="I9805" t="s">
        <v>10408</v>
      </c>
      <c r="J9805" t="s">
        <v>29526</v>
      </c>
      <c r="K9805" t="s">
        <v>38538</v>
      </c>
      <c r="M9805" t="s">
        <v>41900</v>
      </c>
      <c r="N9805" t="s">
        <v>42669</v>
      </c>
      <c r="O9805" t="s">
        <v>42670</v>
      </c>
      <c r="P9805">
        <v>0</v>
      </c>
      <c r="Q9805">
        <v>0</v>
      </c>
      <c r="R9805" t="s">
        <v>42683</v>
      </c>
      <c r="S9805" t="s">
        <v>43062</v>
      </c>
      <c r="T9805" t="s">
        <v>44481</v>
      </c>
      <c r="U9805" t="s">
        <v>52851</v>
      </c>
      <c r="V9805" t="s">
        <v>57454</v>
      </c>
      <c r="W9805" t="s">
        <v>41900</v>
      </c>
      <c r="X9805" t="s">
        <v>42685</v>
      </c>
    </row>
    <row r="9806" spans="1:24">
      <c r="A9806">
        <f>HYPERLINK("https://www.philgeps.gov.ph/GEPSNONPILOT/Tender/SplashBidNoticeAbstractUI.aspx?menuIndex=3&amp;refID=7169852&amp;Result=3","7169852")</f>
        <v>0</v>
      </c>
      <c r="B9806" t="s">
        <v>2910</v>
      </c>
      <c r="C9806" t="s">
        <v>12883</v>
      </c>
      <c r="D9806" t="s">
        <v>17213</v>
      </c>
      <c r="E9806" t="s">
        <v>25639</v>
      </c>
      <c r="F9806" t="s">
        <v>29372</v>
      </c>
      <c r="G9806" t="s">
        <v>29380</v>
      </c>
      <c r="H9806" t="s">
        <v>11048</v>
      </c>
      <c r="I9806" t="s">
        <v>7828</v>
      </c>
      <c r="J9806" t="s">
        <v>29526</v>
      </c>
      <c r="K9806" t="s">
        <v>38490</v>
      </c>
      <c r="M9806" t="s">
        <v>41910</v>
      </c>
      <c r="N9806" t="s">
        <v>42669</v>
      </c>
      <c r="O9806" t="s">
        <v>42670</v>
      </c>
      <c r="P9806">
        <v>0</v>
      </c>
      <c r="Q9806">
        <v>2</v>
      </c>
      <c r="R9806" t="s">
        <v>42683</v>
      </c>
      <c r="S9806" t="s">
        <v>43062</v>
      </c>
      <c r="T9806" t="s">
        <v>44412</v>
      </c>
      <c r="U9806" t="s">
        <v>52852</v>
      </c>
      <c r="V9806" t="s">
        <v>57457</v>
      </c>
      <c r="W9806" t="s">
        <v>41910</v>
      </c>
      <c r="X9806" t="s">
        <v>42685</v>
      </c>
    </row>
    <row r="9807" spans="1:24">
      <c r="A9807">
        <f>HYPERLINK("https://www.philgeps.gov.ph/GEPSNONPILOT/Tender/SplashBidNoticeAbstractUI.aspx?menuIndex=3&amp;refID=7169658&amp;Result=3","7169658")</f>
        <v>0</v>
      </c>
      <c r="B9807" t="s">
        <v>1084</v>
      </c>
      <c r="C9807" t="s">
        <v>12884</v>
      </c>
      <c r="D9807" t="s">
        <v>17179</v>
      </c>
      <c r="E9807" t="s">
        <v>25640</v>
      </c>
      <c r="F9807" t="s">
        <v>29372</v>
      </c>
      <c r="G9807" t="s">
        <v>29380</v>
      </c>
      <c r="H9807" t="s">
        <v>11048</v>
      </c>
      <c r="I9807" t="s">
        <v>29392</v>
      </c>
      <c r="J9807" t="s">
        <v>35771</v>
      </c>
      <c r="K9807" t="s">
        <v>38490</v>
      </c>
      <c r="M9807" t="s">
        <v>39891</v>
      </c>
      <c r="N9807" t="s">
        <v>42669</v>
      </c>
      <c r="O9807" t="s">
        <v>42670</v>
      </c>
      <c r="P9807">
        <v>0</v>
      </c>
      <c r="Q9807">
        <v>2</v>
      </c>
      <c r="R9807" t="s">
        <v>42683</v>
      </c>
      <c r="S9807" t="s">
        <v>43062</v>
      </c>
      <c r="T9807" t="s">
        <v>44412</v>
      </c>
      <c r="U9807" t="s">
        <v>47177</v>
      </c>
      <c r="W9807" t="s">
        <v>39891</v>
      </c>
      <c r="X9807" t="s">
        <v>42685</v>
      </c>
    </row>
    <row r="9808" spans="1:24">
      <c r="A9808">
        <f>HYPERLINK("https://www.philgeps.gov.ph/GEPSNONPILOT/Tender/SplashBidNoticeAbstractUI.aspx?menuIndex=3&amp;refID=7170848&amp;Result=3","7170848")</f>
        <v>0</v>
      </c>
      <c r="B9808" t="s">
        <v>1654</v>
      </c>
      <c r="C9808" t="s">
        <v>12885</v>
      </c>
      <c r="D9808" t="s">
        <v>17153</v>
      </c>
      <c r="E9808" t="s">
        <v>25641</v>
      </c>
      <c r="F9808" t="s">
        <v>29373</v>
      </c>
      <c r="G9808" t="s">
        <v>29379</v>
      </c>
      <c r="H9808" t="s">
        <v>11048</v>
      </c>
      <c r="I9808" t="s">
        <v>29446</v>
      </c>
      <c r="J9808" t="s">
        <v>29555</v>
      </c>
      <c r="K9808" t="s">
        <v>38485</v>
      </c>
      <c r="M9808" t="s">
        <v>40511</v>
      </c>
      <c r="N9808" t="s">
        <v>42669</v>
      </c>
      <c r="O9808" t="s">
        <v>42670</v>
      </c>
      <c r="P9808">
        <v>0</v>
      </c>
      <c r="Q9808">
        <v>1</v>
      </c>
      <c r="R9808" t="s">
        <v>42683</v>
      </c>
      <c r="S9808" t="s">
        <v>43062</v>
      </c>
      <c r="T9808" t="s">
        <v>44386</v>
      </c>
      <c r="U9808" t="s">
        <v>52853</v>
      </c>
      <c r="W9808" t="s">
        <v>40511</v>
      </c>
      <c r="X9808" t="s">
        <v>42684</v>
      </c>
    </row>
    <row r="9809" spans="1:24">
      <c r="A9809">
        <f>HYPERLINK("https://www.philgeps.gov.ph/GEPSNONPILOT/Tender/SplashBidNoticeAbstractUI.aspx?menuIndex=3&amp;refID=7170841&amp;Result=3","7170841")</f>
        <v>0</v>
      </c>
      <c r="B9809" t="s">
        <v>2911</v>
      </c>
      <c r="C9809" t="s">
        <v>12886</v>
      </c>
      <c r="E9809" t="s">
        <v>25642</v>
      </c>
      <c r="F9809" t="s">
        <v>29372</v>
      </c>
      <c r="G9809" t="s">
        <v>29380</v>
      </c>
      <c r="H9809" t="s">
        <v>11048</v>
      </c>
      <c r="I9809" t="s">
        <v>9469</v>
      </c>
      <c r="J9809" t="s">
        <v>35772</v>
      </c>
      <c r="K9809" t="s">
        <v>38496</v>
      </c>
      <c r="M9809" t="s">
        <v>41911</v>
      </c>
      <c r="N9809" t="s">
        <v>42669</v>
      </c>
      <c r="O9809" t="s">
        <v>42670</v>
      </c>
      <c r="P9809">
        <v>0</v>
      </c>
      <c r="Q9809">
        <v>3</v>
      </c>
      <c r="R9809" t="s">
        <v>42683</v>
      </c>
      <c r="S9809" t="s">
        <v>43062</v>
      </c>
      <c r="T9809" t="s">
        <v>44412</v>
      </c>
      <c r="U9809" t="s">
        <v>52854</v>
      </c>
      <c r="W9809" t="s">
        <v>41911</v>
      </c>
      <c r="X9809" t="s">
        <v>42684</v>
      </c>
    </row>
    <row r="9810" spans="1:24">
      <c r="A9810">
        <f>HYPERLINK("https://www.philgeps.gov.ph/GEPSNONPILOT/Tender/SplashBidNoticeAbstractUI.aspx?menuIndex=3&amp;refID=7170834&amp;Result=3","7170834")</f>
        <v>0</v>
      </c>
      <c r="B9810" t="s">
        <v>2912</v>
      </c>
      <c r="C9810" t="s">
        <v>6287</v>
      </c>
      <c r="D9810" t="s">
        <v>17148</v>
      </c>
      <c r="E9810" t="s">
        <v>23742</v>
      </c>
      <c r="F9810" t="s">
        <v>29372</v>
      </c>
      <c r="G9810" t="s">
        <v>29380</v>
      </c>
      <c r="H9810" t="s">
        <v>11048</v>
      </c>
      <c r="I9810" t="s">
        <v>4709</v>
      </c>
      <c r="J9810" t="s">
        <v>35773</v>
      </c>
      <c r="K9810" t="s">
        <v>38488</v>
      </c>
      <c r="M9810" t="s">
        <v>41912</v>
      </c>
      <c r="N9810" t="s">
        <v>42669</v>
      </c>
      <c r="O9810" t="s">
        <v>42670</v>
      </c>
      <c r="P9810">
        <v>0</v>
      </c>
      <c r="Q9810">
        <v>3</v>
      </c>
      <c r="R9810" t="s">
        <v>42683</v>
      </c>
      <c r="S9810" t="s">
        <v>43062</v>
      </c>
      <c r="T9810" t="s">
        <v>44431</v>
      </c>
      <c r="U9810" t="s">
        <v>52855</v>
      </c>
      <c r="W9810" t="s">
        <v>41912</v>
      </c>
      <c r="X9810" t="s">
        <v>42684</v>
      </c>
    </row>
    <row r="9811" spans="1:24">
      <c r="A9811">
        <f>HYPERLINK("https://www.philgeps.gov.ph/GEPSNONPILOT/Tender/SplashBidNoticeAbstractUI.aspx?menuIndex=3&amp;refID=7170081&amp;Result=3","7170081")</f>
        <v>0</v>
      </c>
      <c r="B9811" t="s">
        <v>613</v>
      </c>
      <c r="C9811" t="s">
        <v>12887</v>
      </c>
      <c r="D9811" t="s">
        <v>17205</v>
      </c>
      <c r="E9811" t="s">
        <v>25643</v>
      </c>
      <c r="F9811" t="s">
        <v>29372</v>
      </c>
      <c r="G9811" t="s">
        <v>29383</v>
      </c>
      <c r="H9811" t="s">
        <v>11048</v>
      </c>
      <c r="I9811" t="s">
        <v>4709</v>
      </c>
      <c r="J9811" t="s">
        <v>35774</v>
      </c>
      <c r="K9811" t="s">
        <v>38490</v>
      </c>
      <c r="M9811" t="s">
        <v>39384</v>
      </c>
      <c r="N9811" t="s">
        <v>42669</v>
      </c>
      <c r="O9811" t="s">
        <v>42670</v>
      </c>
      <c r="Q9811">
        <v>1</v>
      </c>
      <c r="R9811" t="s">
        <v>42683</v>
      </c>
      <c r="S9811" t="s">
        <v>43077</v>
      </c>
      <c r="T9811" t="s">
        <v>44417</v>
      </c>
      <c r="U9811" t="s">
        <v>52856</v>
      </c>
      <c r="V9811" t="s">
        <v>56514</v>
      </c>
      <c r="W9811" t="s">
        <v>39384</v>
      </c>
      <c r="X9811" t="s">
        <v>42685</v>
      </c>
    </row>
    <row r="9812" spans="1:24">
      <c r="A9812">
        <f>HYPERLINK("https://www.philgeps.gov.ph/GEPSNONPILOT/Tender/SplashBidNoticeAbstractUI.aspx?menuIndex=3&amp;refID=7170810&amp;Result=3","7170810")</f>
        <v>0</v>
      </c>
      <c r="B9812" t="s">
        <v>1654</v>
      </c>
      <c r="C9812" t="s">
        <v>12888</v>
      </c>
      <c r="D9812" t="s">
        <v>17153</v>
      </c>
      <c r="E9812" t="s">
        <v>25644</v>
      </c>
      <c r="F9812" t="s">
        <v>29373</v>
      </c>
      <c r="G9812" t="s">
        <v>29380</v>
      </c>
      <c r="H9812" t="s">
        <v>11048</v>
      </c>
      <c r="I9812" t="s">
        <v>4709</v>
      </c>
      <c r="J9812" t="s">
        <v>35775</v>
      </c>
      <c r="K9812" t="s">
        <v>38487</v>
      </c>
      <c r="M9812" t="s">
        <v>40511</v>
      </c>
      <c r="N9812" t="s">
        <v>42669</v>
      </c>
      <c r="O9812" t="s">
        <v>42670</v>
      </c>
      <c r="P9812">
        <v>0</v>
      </c>
      <c r="Q9812">
        <v>0</v>
      </c>
      <c r="R9812" t="s">
        <v>42683</v>
      </c>
      <c r="S9812" t="s">
        <v>43062</v>
      </c>
      <c r="T9812" t="s">
        <v>44386</v>
      </c>
      <c r="U9812" t="s">
        <v>52857</v>
      </c>
      <c r="V9812" t="s">
        <v>57458</v>
      </c>
      <c r="W9812" t="s">
        <v>40511</v>
      </c>
      <c r="X9812" t="s">
        <v>42684</v>
      </c>
    </row>
    <row r="9813" spans="1:24">
      <c r="A9813">
        <f>HYPERLINK("https://www.philgeps.gov.ph/GEPSNONPILOT/Tender/SplashBidNoticeAbstractUI.aspx?menuIndex=3&amp;refID=7170751&amp;Result=3","7170751")</f>
        <v>0</v>
      </c>
      <c r="B9813" t="s">
        <v>2913</v>
      </c>
      <c r="C9813" t="s">
        <v>12889</v>
      </c>
      <c r="D9813" t="s">
        <v>17164</v>
      </c>
      <c r="E9813" t="s">
        <v>17540</v>
      </c>
      <c r="F9813" t="s">
        <v>29372</v>
      </c>
      <c r="G9813" t="s">
        <v>29380</v>
      </c>
      <c r="H9813" t="s">
        <v>11048</v>
      </c>
      <c r="I9813" t="s">
        <v>29415</v>
      </c>
      <c r="J9813" t="s">
        <v>29922</v>
      </c>
      <c r="K9813" t="s">
        <v>38491</v>
      </c>
      <c r="M9813" t="s">
        <v>41913</v>
      </c>
      <c r="N9813" t="s">
        <v>42669</v>
      </c>
      <c r="O9813" t="s">
        <v>42670</v>
      </c>
      <c r="P9813">
        <v>0</v>
      </c>
      <c r="Q9813">
        <v>2</v>
      </c>
      <c r="R9813" t="s">
        <v>42683</v>
      </c>
      <c r="S9813" t="s">
        <v>43062</v>
      </c>
      <c r="T9813" t="s">
        <v>44621</v>
      </c>
      <c r="U9813" t="s">
        <v>52858</v>
      </c>
      <c r="W9813" t="s">
        <v>41913</v>
      </c>
      <c r="X9813" t="s">
        <v>42684</v>
      </c>
    </row>
    <row r="9814" spans="1:24">
      <c r="A9814">
        <f>HYPERLINK("https://www.philgeps.gov.ph/GEPSNONPILOT/Tender/SplashBidNoticeAbstractUI.aspx?menuIndex=3&amp;refID=7170754&amp;Result=3","7170754")</f>
        <v>0</v>
      </c>
      <c r="B9814" t="s">
        <v>2671</v>
      </c>
      <c r="C9814" t="s">
        <v>12890</v>
      </c>
      <c r="D9814" t="s">
        <v>17145</v>
      </c>
      <c r="E9814" t="s">
        <v>25645</v>
      </c>
      <c r="F9814" t="s">
        <v>29372</v>
      </c>
      <c r="G9814" t="s">
        <v>29380</v>
      </c>
      <c r="H9814" t="s">
        <v>11048</v>
      </c>
      <c r="I9814" t="s">
        <v>4709</v>
      </c>
      <c r="J9814" t="s">
        <v>35776</v>
      </c>
      <c r="K9814" t="s">
        <v>38488</v>
      </c>
      <c r="M9814" t="s">
        <v>41650</v>
      </c>
      <c r="N9814" t="s">
        <v>42669</v>
      </c>
      <c r="O9814" t="s">
        <v>42670</v>
      </c>
      <c r="P9814">
        <v>0</v>
      </c>
      <c r="Q9814">
        <v>0</v>
      </c>
      <c r="R9814" t="s">
        <v>42683</v>
      </c>
      <c r="S9814" t="s">
        <v>43062</v>
      </c>
      <c r="T9814" t="s">
        <v>44527</v>
      </c>
      <c r="U9814" t="s">
        <v>52859</v>
      </c>
      <c r="W9814" t="s">
        <v>41650</v>
      </c>
      <c r="X9814" t="s">
        <v>42684</v>
      </c>
    </row>
    <row r="9815" spans="1:24">
      <c r="A9815">
        <f>HYPERLINK("https://www.philgeps.gov.ph/GEPSNONPILOT/Tender/SplashBidNoticeAbstractUI.aspx?menuIndex=3&amp;refID=7169894&amp;Result=3","7169894")</f>
        <v>0</v>
      </c>
      <c r="B9815" t="s">
        <v>586</v>
      </c>
      <c r="C9815" t="s">
        <v>12891</v>
      </c>
      <c r="D9815" t="s">
        <v>17161</v>
      </c>
      <c r="E9815" t="s">
        <v>25646</v>
      </c>
      <c r="F9815" t="s">
        <v>29372</v>
      </c>
      <c r="G9815" t="s">
        <v>29380</v>
      </c>
      <c r="H9815" t="s">
        <v>11048</v>
      </c>
      <c r="I9815" t="s">
        <v>29452</v>
      </c>
      <c r="J9815" t="s">
        <v>35777</v>
      </c>
      <c r="K9815" t="s">
        <v>38490</v>
      </c>
      <c r="M9815" t="s">
        <v>39355</v>
      </c>
      <c r="N9815" t="s">
        <v>42669</v>
      </c>
      <c r="O9815" t="s">
        <v>42670</v>
      </c>
      <c r="P9815">
        <v>0</v>
      </c>
      <c r="Q9815">
        <v>2</v>
      </c>
      <c r="R9815" t="s">
        <v>42683</v>
      </c>
      <c r="S9815" t="s">
        <v>43062</v>
      </c>
      <c r="T9815" t="s">
        <v>44357</v>
      </c>
      <c r="U9815" t="s">
        <v>52860</v>
      </c>
      <c r="W9815" t="s">
        <v>39355</v>
      </c>
      <c r="X9815" t="s">
        <v>42685</v>
      </c>
    </row>
    <row r="9816" spans="1:24">
      <c r="A9816">
        <f>HYPERLINK("https://www.philgeps.gov.ph/GEPSNONPILOT/Tender/SplashBidNoticeAbstractUI.aspx?menuIndex=3&amp;refID=7170747&amp;Result=3","7170747")</f>
        <v>0</v>
      </c>
      <c r="B9816" t="s">
        <v>2914</v>
      </c>
      <c r="C9816" t="s">
        <v>12853</v>
      </c>
      <c r="D9816" t="s">
        <v>17164</v>
      </c>
      <c r="E9816" t="s">
        <v>17540</v>
      </c>
      <c r="F9816" t="s">
        <v>29372</v>
      </c>
      <c r="G9816" t="s">
        <v>29380</v>
      </c>
      <c r="H9816" t="s">
        <v>29389</v>
      </c>
      <c r="I9816" t="s">
        <v>4709</v>
      </c>
      <c r="J9816" t="s">
        <v>35778</v>
      </c>
      <c r="K9816" t="s">
        <v>38491</v>
      </c>
      <c r="M9816" t="s">
        <v>41914</v>
      </c>
      <c r="N9816" t="s">
        <v>42669</v>
      </c>
      <c r="O9816" t="s">
        <v>42670</v>
      </c>
      <c r="P9816">
        <v>0</v>
      </c>
      <c r="Q9816">
        <v>0</v>
      </c>
      <c r="R9816" t="s">
        <v>42683</v>
      </c>
      <c r="S9816" t="s">
        <v>43062</v>
      </c>
      <c r="T9816" t="s">
        <v>44589</v>
      </c>
      <c r="U9816" t="s">
        <v>52861</v>
      </c>
      <c r="W9816" t="s">
        <v>41914</v>
      </c>
      <c r="X9816" t="s">
        <v>42684</v>
      </c>
    </row>
    <row r="9817" spans="1:24">
      <c r="A9817">
        <f>HYPERLINK("https://www.philgeps.gov.ph/GEPSNONPILOT/Tender/SplashBidNoticeAbstractUI.aspx?menuIndex=3&amp;refID=7170149&amp;Result=3","7170149")</f>
        <v>0</v>
      </c>
      <c r="B9817" t="s">
        <v>2907</v>
      </c>
      <c r="C9817" t="s">
        <v>12892</v>
      </c>
      <c r="D9817" t="s">
        <v>17148</v>
      </c>
      <c r="E9817" t="s">
        <v>25647</v>
      </c>
      <c r="F9817" t="s">
        <v>29372</v>
      </c>
      <c r="G9817" t="s">
        <v>29384</v>
      </c>
      <c r="H9817" t="s">
        <v>11048</v>
      </c>
      <c r="I9817" t="s">
        <v>3670</v>
      </c>
      <c r="J9817" t="s">
        <v>35779</v>
      </c>
      <c r="K9817" t="s">
        <v>38485</v>
      </c>
      <c r="M9817" t="s">
        <v>41905</v>
      </c>
      <c r="N9817" t="s">
        <v>42669</v>
      </c>
      <c r="O9817" t="s">
        <v>42670</v>
      </c>
      <c r="P9817">
        <v>0</v>
      </c>
      <c r="Q9817">
        <v>6</v>
      </c>
      <c r="R9817" t="s">
        <v>42683</v>
      </c>
      <c r="S9817" t="s">
        <v>43062</v>
      </c>
      <c r="T9817" t="s">
        <v>44488</v>
      </c>
      <c r="U9817" t="s">
        <v>52862</v>
      </c>
      <c r="W9817" t="s">
        <v>41905</v>
      </c>
      <c r="X9817" t="s">
        <v>42685</v>
      </c>
    </row>
    <row r="9818" spans="1:24">
      <c r="A9818">
        <f>HYPERLINK("https://www.philgeps.gov.ph/GEPSNONPILOT/Tender/SplashBidNoticeAbstractUI.aspx?menuIndex=3&amp;refID=7170483&amp;Result=3","7170483")</f>
        <v>0</v>
      </c>
      <c r="B9818" t="s">
        <v>2908</v>
      </c>
      <c r="C9818" t="s">
        <v>12893</v>
      </c>
      <c r="D9818" t="s">
        <v>17212</v>
      </c>
      <c r="E9818" t="s">
        <v>25648</v>
      </c>
      <c r="F9818" t="s">
        <v>29372</v>
      </c>
      <c r="G9818" t="s">
        <v>29380</v>
      </c>
      <c r="H9818" t="s">
        <v>29389</v>
      </c>
      <c r="I9818" t="s">
        <v>10408</v>
      </c>
      <c r="J9818" t="s">
        <v>35780</v>
      </c>
      <c r="K9818" t="s">
        <v>38649</v>
      </c>
      <c r="M9818" t="s">
        <v>41908</v>
      </c>
      <c r="N9818" t="s">
        <v>42669</v>
      </c>
      <c r="O9818" t="s">
        <v>42670</v>
      </c>
      <c r="P9818">
        <v>0</v>
      </c>
      <c r="Q9818">
        <v>2</v>
      </c>
      <c r="R9818" t="s">
        <v>42683</v>
      </c>
      <c r="S9818" t="s">
        <v>43062</v>
      </c>
      <c r="T9818" t="s">
        <v>44509</v>
      </c>
      <c r="U9818" t="s">
        <v>52863</v>
      </c>
      <c r="W9818" t="s">
        <v>41908</v>
      </c>
      <c r="X9818" t="s">
        <v>42685</v>
      </c>
    </row>
    <row r="9819" spans="1:24">
      <c r="A9819">
        <f>HYPERLINK("https://www.philgeps.gov.ph/GEPSNONPILOT/Tender/SplashBidNoticeAbstractUI.aspx?menuIndex=3&amp;refID=7170738&amp;Result=3","7170738")</f>
        <v>0</v>
      </c>
      <c r="B9819" t="s">
        <v>2915</v>
      </c>
      <c r="C9819" t="s">
        <v>12894</v>
      </c>
      <c r="D9819" t="s">
        <v>17149</v>
      </c>
      <c r="E9819" t="s">
        <v>25649</v>
      </c>
      <c r="F9819" t="s">
        <v>29374</v>
      </c>
      <c r="G9819" t="s">
        <v>29384</v>
      </c>
      <c r="H9819" t="s">
        <v>11048</v>
      </c>
      <c r="I9819" t="s">
        <v>29415</v>
      </c>
      <c r="J9819" t="s">
        <v>35781</v>
      </c>
      <c r="K9819" t="s">
        <v>38487</v>
      </c>
      <c r="M9819" t="s">
        <v>41915</v>
      </c>
      <c r="N9819" t="s">
        <v>42669</v>
      </c>
      <c r="O9819" t="s">
        <v>42670</v>
      </c>
      <c r="Q9819">
        <v>2</v>
      </c>
      <c r="R9819" t="s">
        <v>42683</v>
      </c>
      <c r="S9819" t="s">
        <v>43078</v>
      </c>
      <c r="T9819" t="s">
        <v>44643</v>
      </c>
      <c r="U9819" t="s">
        <v>52864</v>
      </c>
      <c r="V9819" t="s">
        <v>57459</v>
      </c>
      <c r="W9819" t="s">
        <v>41915</v>
      </c>
      <c r="X9819" t="s">
        <v>42684</v>
      </c>
    </row>
    <row r="9820" spans="1:24">
      <c r="A9820">
        <f>HYPERLINK("https://www.philgeps.gov.ph/GEPSNONPILOT/Tender/SplashBidNoticeAbstractUI.aspx?menuIndex=3&amp;refID=7170742&amp;Result=3","7170742")</f>
        <v>0</v>
      </c>
      <c r="B9820" t="s">
        <v>2915</v>
      </c>
      <c r="C9820" t="s">
        <v>12895</v>
      </c>
      <c r="D9820" t="s">
        <v>17149</v>
      </c>
      <c r="E9820" t="s">
        <v>25650</v>
      </c>
      <c r="F9820" t="s">
        <v>29374</v>
      </c>
      <c r="G9820" t="s">
        <v>29384</v>
      </c>
      <c r="H9820" t="s">
        <v>11048</v>
      </c>
      <c r="I9820" t="s">
        <v>29394</v>
      </c>
      <c r="J9820" t="s">
        <v>35782</v>
      </c>
      <c r="K9820" t="s">
        <v>38485</v>
      </c>
      <c r="M9820" t="s">
        <v>41915</v>
      </c>
      <c r="N9820" t="s">
        <v>42669</v>
      </c>
      <c r="O9820" t="s">
        <v>42670</v>
      </c>
      <c r="Q9820">
        <v>2</v>
      </c>
      <c r="R9820" t="s">
        <v>42683</v>
      </c>
      <c r="S9820" t="s">
        <v>43079</v>
      </c>
      <c r="T9820" t="s">
        <v>44643</v>
      </c>
      <c r="U9820" t="s">
        <v>52865</v>
      </c>
      <c r="V9820" t="s">
        <v>57460</v>
      </c>
      <c r="W9820" t="s">
        <v>41915</v>
      </c>
      <c r="X9820" t="s">
        <v>42684</v>
      </c>
    </row>
    <row r="9821" spans="1:24">
      <c r="A9821">
        <f>HYPERLINK("https://www.philgeps.gov.ph/GEPSNONPILOT/Tender/SplashBidNoticeAbstractUI.aspx?menuIndex=3&amp;refID=7167819&amp;Result=3","7167819")</f>
        <v>0</v>
      </c>
      <c r="B9821" t="s">
        <v>1284</v>
      </c>
      <c r="C9821" t="s">
        <v>12896</v>
      </c>
      <c r="D9821" t="s">
        <v>17154</v>
      </c>
      <c r="E9821" t="s">
        <v>25651</v>
      </c>
      <c r="F9821" t="s">
        <v>29372</v>
      </c>
      <c r="G9821" t="s">
        <v>29380</v>
      </c>
      <c r="H9821" t="s">
        <v>11048</v>
      </c>
      <c r="I9821" t="s">
        <v>8614</v>
      </c>
      <c r="J9821" t="s">
        <v>35783</v>
      </c>
      <c r="K9821" t="s">
        <v>38485</v>
      </c>
      <c r="M9821" t="s">
        <v>40112</v>
      </c>
      <c r="N9821" t="s">
        <v>42669</v>
      </c>
      <c r="O9821" t="s">
        <v>42670</v>
      </c>
      <c r="P9821">
        <v>0</v>
      </c>
      <c r="Q9821">
        <v>10</v>
      </c>
      <c r="R9821" t="s">
        <v>42683</v>
      </c>
      <c r="S9821" t="s">
        <v>43062</v>
      </c>
      <c r="T9821" t="s">
        <v>44480</v>
      </c>
      <c r="U9821" t="s">
        <v>52866</v>
      </c>
      <c r="W9821" t="s">
        <v>40112</v>
      </c>
      <c r="X9821" t="s">
        <v>42686</v>
      </c>
    </row>
    <row r="9822" spans="1:24">
      <c r="A9822">
        <f>HYPERLINK("https://www.philgeps.gov.ph/GEPSNONPILOT/Tender/SplashBidNoticeAbstractUI.aspx?menuIndex=3&amp;refID=7170736&amp;Result=3","7170736")</f>
        <v>0</v>
      </c>
      <c r="B9822" t="s">
        <v>2915</v>
      </c>
      <c r="C9822" t="s">
        <v>12897</v>
      </c>
      <c r="D9822" t="s">
        <v>17149</v>
      </c>
      <c r="E9822" t="s">
        <v>25652</v>
      </c>
      <c r="F9822" t="s">
        <v>29374</v>
      </c>
      <c r="G9822" t="s">
        <v>29384</v>
      </c>
      <c r="H9822" t="s">
        <v>11048</v>
      </c>
      <c r="I9822" t="s">
        <v>29415</v>
      </c>
      <c r="J9822" t="s">
        <v>35784</v>
      </c>
      <c r="K9822" t="s">
        <v>38487</v>
      </c>
      <c r="M9822" t="s">
        <v>41915</v>
      </c>
      <c r="N9822" t="s">
        <v>42669</v>
      </c>
      <c r="O9822" t="s">
        <v>42670</v>
      </c>
      <c r="Q9822">
        <v>1</v>
      </c>
      <c r="R9822" t="s">
        <v>42683</v>
      </c>
      <c r="S9822" t="s">
        <v>43080</v>
      </c>
      <c r="T9822" t="s">
        <v>44643</v>
      </c>
      <c r="U9822" t="s">
        <v>52867</v>
      </c>
      <c r="V9822" t="s">
        <v>57459</v>
      </c>
      <c r="W9822" t="s">
        <v>41915</v>
      </c>
      <c r="X9822" t="s">
        <v>42685</v>
      </c>
    </row>
    <row r="9823" spans="1:24">
      <c r="A9823">
        <f>HYPERLINK("https://www.philgeps.gov.ph/GEPSNONPILOT/Tender/SplashBidNoticeAbstractUI.aspx?menuIndex=3&amp;refID=7170746&amp;Result=3","7170746")</f>
        <v>0</v>
      </c>
      <c r="B9823" t="s">
        <v>2915</v>
      </c>
      <c r="C9823" t="s">
        <v>12898</v>
      </c>
      <c r="D9823" t="s">
        <v>17149</v>
      </c>
      <c r="E9823" t="s">
        <v>25653</v>
      </c>
      <c r="F9823" t="s">
        <v>29374</v>
      </c>
      <c r="G9823" t="s">
        <v>29384</v>
      </c>
      <c r="H9823" t="s">
        <v>11048</v>
      </c>
      <c r="I9823" t="s">
        <v>29401</v>
      </c>
      <c r="J9823" t="s">
        <v>35785</v>
      </c>
      <c r="K9823" t="s">
        <v>38485</v>
      </c>
      <c r="M9823" t="s">
        <v>41915</v>
      </c>
      <c r="N9823" t="s">
        <v>42669</v>
      </c>
      <c r="O9823" t="s">
        <v>42670</v>
      </c>
      <c r="Q9823">
        <v>1</v>
      </c>
      <c r="R9823" t="s">
        <v>42683</v>
      </c>
      <c r="S9823" t="s">
        <v>43081</v>
      </c>
      <c r="T9823" t="s">
        <v>44643</v>
      </c>
      <c r="U9823" t="s">
        <v>52868</v>
      </c>
      <c r="V9823" t="s">
        <v>57460</v>
      </c>
      <c r="W9823" t="s">
        <v>41915</v>
      </c>
      <c r="X9823" t="s">
        <v>42684</v>
      </c>
    </row>
    <row r="9824" spans="1:24">
      <c r="A9824">
        <f>HYPERLINK("https://www.philgeps.gov.ph/GEPSNONPILOT/Tender/SplashBidNoticeAbstractUI.aspx?menuIndex=3&amp;refID=7170695&amp;Result=3","7170695")</f>
        <v>0</v>
      </c>
      <c r="B9824" t="s">
        <v>1047</v>
      </c>
      <c r="C9824" t="s">
        <v>12899</v>
      </c>
      <c r="D9824" t="s">
        <v>17141</v>
      </c>
      <c r="E9824" t="s">
        <v>25654</v>
      </c>
      <c r="F9824" t="s">
        <v>29372</v>
      </c>
      <c r="G9824" t="s">
        <v>29380</v>
      </c>
      <c r="H9824" t="s">
        <v>29389</v>
      </c>
      <c r="I9824" t="s">
        <v>10408</v>
      </c>
      <c r="J9824" t="s">
        <v>35786</v>
      </c>
      <c r="K9824" t="s">
        <v>38522</v>
      </c>
      <c r="M9824" t="s">
        <v>41906</v>
      </c>
      <c r="N9824" t="s">
        <v>42669</v>
      </c>
      <c r="O9824" t="s">
        <v>42670</v>
      </c>
      <c r="P9824">
        <v>0</v>
      </c>
      <c r="Q9824">
        <v>32</v>
      </c>
      <c r="R9824" t="s">
        <v>42683</v>
      </c>
      <c r="S9824" t="s">
        <v>43062</v>
      </c>
      <c r="T9824" t="s">
        <v>44433</v>
      </c>
      <c r="U9824" t="s">
        <v>52842</v>
      </c>
      <c r="W9824" t="s">
        <v>41906</v>
      </c>
      <c r="X9824" t="s">
        <v>42685</v>
      </c>
    </row>
    <row r="9825" spans="1:24">
      <c r="A9825">
        <f>HYPERLINK("https://www.philgeps.gov.ph/GEPSNONPILOT/Tender/SplashBidNoticeAbstractUI.aspx?menuIndex=3&amp;refID=7170691&amp;Result=3","7170691")</f>
        <v>0</v>
      </c>
      <c r="B9825" t="s">
        <v>1047</v>
      </c>
      <c r="C9825" t="s">
        <v>12900</v>
      </c>
      <c r="D9825" t="s">
        <v>17141</v>
      </c>
      <c r="E9825" t="s">
        <v>25655</v>
      </c>
      <c r="F9825" t="s">
        <v>29372</v>
      </c>
      <c r="G9825" t="s">
        <v>29380</v>
      </c>
      <c r="H9825" t="s">
        <v>29389</v>
      </c>
      <c r="I9825" t="s">
        <v>10408</v>
      </c>
      <c r="J9825" t="s">
        <v>35787</v>
      </c>
      <c r="K9825" t="s">
        <v>38522</v>
      </c>
      <c r="M9825" t="s">
        <v>41906</v>
      </c>
      <c r="N9825" t="s">
        <v>42669</v>
      </c>
      <c r="O9825" t="s">
        <v>42670</v>
      </c>
      <c r="P9825">
        <v>0</v>
      </c>
      <c r="Q9825">
        <v>29</v>
      </c>
      <c r="R9825" t="s">
        <v>42683</v>
      </c>
      <c r="S9825" t="s">
        <v>43062</v>
      </c>
      <c r="T9825" t="s">
        <v>44433</v>
      </c>
      <c r="U9825" t="s">
        <v>52842</v>
      </c>
      <c r="W9825" t="s">
        <v>41906</v>
      </c>
      <c r="X9825" t="s">
        <v>42685</v>
      </c>
    </row>
    <row r="9826" spans="1:24">
      <c r="A9826">
        <f>HYPERLINK("https://www.philgeps.gov.ph/GEPSNONPILOT/Tender/SplashBidNoticeAbstractUI.aspx?menuIndex=3&amp;refID=7170740&amp;Result=3","7170740")</f>
        <v>0</v>
      </c>
      <c r="B9826" t="s">
        <v>2915</v>
      </c>
      <c r="C9826" t="s">
        <v>12901</v>
      </c>
      <c r="D9826" t="s">
        <v>17149</v>
      </c>
      <c r="E9826" t="s">
        <v>25656</v>
      </c>
      <c r="F9826" t="s">
        <v>29374</v>
      </c>
      <c r="G9826" t="s">
        <v>29384</v>
      </c>
      <c r="H9826" t="s">
        <v>11048</v>
      </c>
      <c r="I9826" t="s">
        <v>3670</v>
      </c>
      <c r="J9826" t="s">
        <v>35788</v>
      </c>
      <c r="K9826" t="s">
        <v>38485</v>
      </c>
      <c r="M9826" t="s">
        <v>41915</v>
      </c>
      <c r="N9826" t="s">
        <v>42669</v>
      </c>
      <c r="O9826" t="s">
        <v>42670</v>
      </c>
      <c r="Q9826">
        <v>1</v>
      </c>
      <c r="R9826" t="s">
        <v>42683</v>
      </c>
      <c r="S9826" t="s">
        <v>43082</v>
      </c>
      <c r="T9826" t="s">
        <v>44643</v>
      </c>
      <c r="U9826" t="s">
        <v>52869</v>
      </c>
      <c r="V9826" t="s">
        <v>57460</v>
      </c>
      <c r="W9826" t="s">
        <v>41915</v>
      </c>
      <c r="X9826" t="s">
        <v>42684</v>
      </c>
    </row>
    <row r="9827" spans="1:24">
      <c r="A9827">
        <f>HYPERLINK("https://www.philgeps.gov.ph/GEPSNONPILOT/Tender/SplashBidNoticeAbstractUI.aspx?menuIndex=3&amp;refID=7170686&amp;Result=3","7170686")</f>
        <v>0</v>
      </c>
      <c r="B9827" t="s">
        <v>1047</v>
      </c>
      <c r="C9827" t="s">
        <v>12902</v>
      </c>
      <c r="D9827" t="s">
        <v>17141</v>
      </c>
      <c r="E9827" t="s">
        <v>25657</v>
      </c>
      <c r="F9827" t="s">
        <v>29372</v>
      </c>
      <c r="G9827" t="s">
        <v>29380</v>
      </c>
      <c r="H9827" t="s">
        <v>29389</v>
      </c>
      <c r="I9827" t="s">
        <v>10408</v>
      </c>
      <c r="J9827" t="s">
        <v>35789</v>
      </c>
      <c r="K9827" t="s">
        <v>38522</v>
      </c>
      <c r="M9827" t="s">
        <v>41906</v>
      </c>
      <c r="N9827" t="s">
        <v>42669</v>
      </c>
      <c r="O9827" t="s">
        <v>42670</v>
      </c>
      <c r="P9827">
        <v>0</v>
      </c>
      <c r="Q9827">
        <v>31</v>
      </c>
      <c r="R9827" t="s">
        <v>42683</v>
      </c>
      <c r="S9827" t="s">
        <v>43062</v>
      </c>
      <c r="T9827" t="s">
        <v>44433</v>
      </c>
      <c r="U9827" t="s">
        <v>52870</v>
      </c>
      <c r="W9827" t="s">
        <v>41906</v>
      </c>
      <c r="X9827" t="s">
        <v>42685</v>
      </c>
    </row>
    <row r="9828" spans="1:24">
      <c r="A9828">
        <f>HYPERLINK("https://www.philgeps.gov.ph/GEPSNONPILOT/Tender/SplashBidNoticeAbstractUI.aspx?menuIndex=3&amp;refID=7169559&amp;Result=3","7169559")</f>
        <v>0</v>
      </c>
      <c r="B9828" t="s">
        <v>2904</v>
      </c>
      <c r="C9828" t="s">
        <v>12903</v>
      </c>
      <c r="D9828" t="s">
        <v>17170</v>
      </c>
      <c r="E9828" t="s">
        <v>25658</v>
      </c>
      <c r="F9828" t="s">
        <v>29372</v>
      </c>
      <c r="G9828" t="s">
        <v>29380</v>
      </c>
      <c r="H9828" t="s">
        <v>29389</v>
      </c>
      <c r="I9828" t="s">
        <v>10408</v>
      </c>
      <c r="J9828" t="s">
        <v>30787</v>
      </c>
      <c r="K9828" t="s">
        <v>38677</v>
      </c>
      <c r="M9828" t="s">
        <v>41902</v>
      </c>
      <c r="N9828" t="s">
        <v>42669</v>
      </c>
      <c r="O9828" t="s">
        <v>42670</v>
      </c>
      <c r="P9828">
        <v>0</v>
      </c>
      <c r="Q9828">
        <v>0</v>
      </c>
      <c r="R9828" t="s">
        <v>42683</v>
      </c>
      <c r="S9828" t="s">
        <v>43062</v>
      </c>
      <c r="T9828" t="s">
        <v>44357</v>
      </c>
      <c r="U9828" t="s">
        <v>52871</v>
      </c>
      <c r="W9828" t="s">
        <v>41902</v>
      </c>
      <c r="X9828" t="s">
        <v>42685</v>
      </c>
    </row>
    <row r="9829" spans="1:24">
      <c r="A9829">
        <f>HYPERLINK("https://www.philgeps.gov.ph/GEPSNONPILOT/Tender/SplashBidNoticeAbstractUI.aspx?menuIndex=3&amp;refID=7170996&amp;Result=3","7170996")</f>
        <v>0</v>
      </c>
      <c r="B9829" t="s">
        <v>2916</v>
      </c>
      <c r="C9829" t="s">
        <v>12904</v>
      </c>
      <c r="D9829" t="s">
        <v>17172</v>
      </c>
      <c r="E9829" t="s">
        <v>25659</v>
      </c>
      <c r="F9829" t="s">
        <v>29372</v>
      </c>
      <c r="G9829" t="s">
        <v>29380</v>
      </c>
      <c r="H9829" t="s">
        <v>11048</v>
      </c>
      <c r="I9829" t="s">
        <v>29412</v>
      </c>
      <c r="J9829" t="s">
        <v>35790</v>
      </c>
      <c r="K9829" t="s">
        <v>38490</v>
      </c>
      <c r="M9829" t="s">
        <v>41916</v>
      </c>
      <c r="N9829" t="s">
        <v>42669</v>
      </c>
      <c r="O9829" t="s">
        <v>42670</v>
      </c>
      <c r="P9829">
        <v>0</v>
      </c>
      <c r="Q9829">
        <v>3</v>
      </c>
      <c r="R9829" t="s">
        <v>42683</v>
      </c>
      <c r="S9829" t="s">
        <v>43062</v>
      </c>
      <c r="T9829" t="s">
        <v>44375</v>
      </c>
      <c r="U9829" t="s">
        <v>52872</v>
      </c>
      <c r="W9829" t="s">
        <v>41916</v>
      </c>
      <c r="X9829" t="s">
        <v>42684</v>
      </c>
    </row>
    <row r="9830" spans="1:24">
      <c r="A9830">
        <f>HYPERLINK("https://www.philgeps.gov.ph/GEPSNONPILOT/Tender/SplashBidNoticeAbstractUI.aspx?menuIndex=3&amp;refID=7171114&amp;Result=3","7171114")</f>
        <v>0</v>
      </c>
      <c r="B9830" t="s">
        <v>2599</v>
      </c>
      <c r="C9830" t="s">
        <v>12905</v>
      </c>
      <c r="D9830" t="s">
        <v>17222</v>
      </c>
      <c r="E9830" t="s">
        <v>25660</v>
      </c>
      <c r="F9830" t="s">
        <v>29372</v>
      </c>
      <c r="G9830" t="s">
        <v>29383</v>
      </c>
      <c r="H9830" t="s">
        <v>11048</v>
      </c>
      <c r="I9830" t="s">
        <v>29393</v>
      </c>
      <c r="J9830" t="s">
        <v>35791</v>
      </c>
      <c r="K9830" t="s">
        <v>38485</v>
      </c>
      <c r="M9830" t="s">
        <v>41566</v>
      </c>
      <c r="N9830" t="s">
        <v>42669</v>
      </c>
      <c r="O9830" t="s">
        <v>42670</v>
      </c>
      <c r="P9830">
        <v>0</v>
      </c>
      <c r="Q9830">
        <v>0</v>
      </c>
      <c r="R9830" t="s">
        <v>42683</v>
      </c>
      <c r="S9830" t="s">
        <v>43062</v>
      </c>
      <c r="T9830" t="s">
        <v>44468</v>
      </c>
      <c r="U9830" t="s">
        <v>52873</v>
      </c>
      <c r="W9830" t="s">
        <v>41566</v>
      </c>
      <c r="X9830" t="s">
        <v>42684</v>
      </c>
    </row>
    <row r="9831" spans="1:24">
      <c r="A9831">
        <f>HYPERLINK("https://www.philgeps.gov.ph/GEPSNONPILOT/Tender/SplashBidNoticeAbstractUI.aspx?menuIndex=3&amp;refID=7170703&amp;Result=3","7170703")</f>
        <v>0</v>
      </c>
      <c r="B9831" t="s">
        <v>1047</v>
      </c>
      <c r="C9831" t="s">
        <v>12906</v>
      </c>
      <c r="D9831" t="s">
        <v>17141</v>
      </c>
      <c r="E9831" t="s">
        <v>25661</v>
      </c>
      <c r="F9831" t="s">
        <v>29372</v>
      </c>
      <c r="G9831" t="s">
        <v>29380</v>
      </c>
      <c r="H9831" t="s">
        <v>29389</v>
      </c>
      <c r="I9831" t="s">
        <v>10408</v>
      </c>
      <c r="J9831" t="s">
        <v>35792</v>
      </c>
      <c r="K9831" t="s">
        <v>38522</v>
      </c>
      <c r="M9831" t="s">
        <v>41906</v>
      </c>
      <c r="N9831" t="s">
        <v>42669</v>
      </c>
      <c r="O9831" t="s">
        <v>42670</v>
      </c>
      <c r="P9831">
        <v>0</v>
      </c>
      <c r="Q9831">
        <v>33</v>
      </c>
      <c r="R9831" t="s">
        <v>42683</v>
      </c>
      <c r="S9831" t="s">
        <v>43062</v>
      </c>
      <c r="T9831" t="s">
        <v>44433</v>
      </c>
      <c r="U9831" t="s">
        <v>52842</v>
      </c>
      <c r="W9831" t="s">
        <v>41906</v>
      </c>
      <c r="X9831" t="s">
        <v>42685</v>
      </c>
    </row>
    <row r="9832" spans="1:24">
      <c r="A9832">
        <f>HYPERLINK("https://www.philgeps.gov.ph/GEPSNONPILOT/Tender/SplashBidNoticeAbstractUI.aspx?menuIndex=3&amp;refID=7171054&amp;Result=3","7171054")</f>
        <v>0</v>
      </c>
      <c r="B9832" t="s">
        <v>2351</v>
      </c>
      <c r="C9832" t="s">
        <v>12907</v>
      </c>
      <c r="D9832" t="s">
        <v>17145</v>
      </c>
      <c r="E9832" t="s">
        <v>21874</v>
      </c>
      <c r="F9832" t="s">
        <v>29372</v>
      </c>
      <c r="G9832" t="s">
        <v>29380</v>
      </c>
      <c r="H9832" t="s">
        <v>29389</v>
      </c>
      <c r="I9832" t="s">
        <v>10408</v>
      </c>
      <c r="J9832" t="s">
        <v>29615</v>
      </c>
      <c r="K9832" t="s">
        <v>38707</v>
      </c>
      <c r="M9832" t="s">
        <v>41285</v>
      </c>
      <c r="N9832" t="s">
        <v>42669</v>
      </c>
      <c r="O9832" t="s">
        <v>42670</v>
      </c>
      <c r="P9832">
        <v>0</v>
      </c>
      <c r="Q9832">
        <v>2</v>
      </c>
      <c r="R9832" t="s">
        <v>42683</v>
      </c>
      <c r="S9832" t="s">
        <v>43062</v>
      </c>
      <c r="T9832" t="s">
        <v>44556</v>
      </c>
      <c r="U9832" t="s">
        <v>52874</v>
      </c>
      <c r="W9832" t="s">
        <v>41285</v>
      </c>
      <c r="X9832" t="s">
        <v>42684</v>
      </c>
    </row>
    <row r="9833" spans="1:24">
      <c r="A9833">
        <f>HYPERLINK("https://www.philgeps.gov.ph/GEPSNONPILOT/Tender/SplashBidNoticeAbstractUI.aspx?menuIndex=3&amp;refID=7170739&amp;Result=3","7170739")</f>
        <v>0</v>
      </c>
      <c r="B9833" t="s">
        <v>2915</v>
      </c>
      <c r="C9833" t="s">
        <v>12908</v>
      </c>
      <c r="D9833" t="s">
        <v>17149</v>
      </c>
      <c r="E9833" t="s">
        <v>25662</v>
      </c>
      <c r="F9833" t="s">
        <v>29374</v>
      </c>
      <c r="G9833" t="s">
        <v>29384</v>
      </c>
      <c r="H9833" t="s">
        <v>11048</v>
      </c>
      <c r="I9833" t="s">
        <v>8614</v>
      </c>
      <c r="J9833" t="s">
        <v>35793</v>
      </c>
      <c r="K9833" t="s">
        <v>38485</v>
      </c>
      <c r="M9833" t="s">
        <v>41915</v>
      </c>
      <c r="N9833" t="s">
        <v>42669</v>
      </c>
      <c r="O9833" t="s">
        <v>42670</v>
      </c>
      <c r="Q9833">
        <v>1</v>
      </c>
      <c r="R9833" t="s">
        <v>42683</v>
      </c>
      <c r="S9833" t="s">
        <v>43083</v>
      </c>
      <c r="T9833" t="s">
        <v>44643</v>
      </c>
      <c r="U9833" t="s">
        <v>52875</v>
      </c>
      <c r="V9833" t="s">
        <v>57460</v>
      </c>
      <c r="W9833" t="s">
        <v>41915</v>
      </c>
      <c r="X9833" t="s">
        <v>42684</v>
      </c>
    </row>
    <row r="9834" spans="1:24">
      <c r="A9834">
        <f>HYPERLINK("https://www.philgeps.gov.ph/GEPSNONPILOT/Tender/SplashBidNoticeAbstractUI.aspx?menuIndex=3&amp;refID=7171041&amp;Result=3","7171041")</f>
        <v>0</v>
      </c>
      <c r="B9834" t="s">
        <v>2191</v>
      </c>
      <c r="C9834" t="s">
        <v>12909</v>
      </c>
      <c r="D9834" t="s">
        <v>17176</v>
      </c>
      <c r="E9834" t="s">
        <v>25663</v>
      </c>
      <c r="F9834" t="s">
        <v>29372</v>
      </c>
      <c r="G9834" t="s">
        <v>29380</v>
      </c>
      <c r="H9834" t="s">
        <v>11048</v>
      </c>
      <c r="I9834" t="s">
        <v>4487</v>
      </c>
      <c r="J9834" t="s">
        <v>35794</v>
      </c>
      <c r="K9834" t="s">
        <v>38488</v>
      </c>
      <c r="M9834" t="s">
        <v>41105</v>
      </c>
      <c r="N9834" t="s">
        <v>42669</v>
      </c>
      <c r="O9834" t="s">
        <v>42670</v>
      </c>
      <c r="P9834">
        <v>0</v>
      </c>
      <c r="Q9834">
        <v>4</v>
      </c>
      <c r="R9834" t="s">
        <v>42683</v>
      </c>
      <c r="S9834" t="s">
        <v>43062</v>
      </c>
      <c r="T9834" t="s">
        <v>44470</v>
      </c>
      <c r="U9834" t="s">
        <v>52876</v>
      </c>
      <c r="V9834" t="s">
        <v>57083</v>
      </c>
      <c r="W9834" t="s">
        <v>41105</v>
      </c>
      <c r="X9834" t="s">
        <v>42684</v>
      </c>
    </row>
    <row r="9835" spans="1:24">
      <c r="A9835">
        <f>HYPERLINK("https://www.philgeps.gov.ph/GEPSNONPILOT/Tender/SplashBidNoticeAbstractUI.aspx?menuIndex=3&amp;refID=7169581&amp;Result=3","7169581")</f>
        <v>0</v>
      </c>
      <c r="B9835" t="s">
        <v>2904</v>
      </c>
      <c r="C9835" t="s">
        <v>12910</v>
      </c>
      <c r="D9835" t="s">
        <v>17170</v>
      </c>
      <c r="E9835" t="s">
        <v>25664</v>
      </c>
      <c r="F9835" t="s">
        <v>29372</v>
      </c>
      <c r="G9835" t="s">
        <v>29380</v>
      </c>
      <c r="H9835" t="s">
        <v>29389</v>
      </c>
      <c r="I9835" t="s">
        <v>10408</v>
      </c>
      <c r="J9835" t="s">
        <v>35795</v>
      </c>
      <c r="K9835" t="s">
        <v>38546</v>
      </c>
      <c r="M9835" t="s">
        <v>41902</v>
      </c>
      <c r="N9835" t="s">
        <v>42669</v>
      </c>
      <c r="O9835" t="s">
        <v>42670</v>
      </c>
      <c r="P9835">
        <v>0</v>
      </c>
      <c r="Q9835">
        <v>0</v>
      </c>
      <c r="R9835" t="s">
        <v>42683</v>
      </c>
      <c r="S9835" t="s">
        <v>43062</v>
      </c>
      <c r="T9835" t="s">
        <v>44361</v>
      </c>
      <c r="U9835" t="s">
        <v>52877</v>
      </c>
      <c r="W9835" t="s">
        <v>41902</v>
      </c>
      <c r="X9835" t="s">
        <v>42685</v>
      </c>
    </row>
    <row r="9836" spans="1:24">
      <c r="A9836">
        <f>HYPERLINK("https://www.philgeps.gov.ph/GEPSNONPILOT/Tender/SplashBidNoticeAbstractUI.aspx?menuIndex=3&amp;refID=7171024&amp;Result=3","7171024")</f>
        <v>0</v>
      </c>
      <c r="B9836" t="s">
        <v>781</v>
      </c>
      <c r="C9836" t="s">
        <v>12911</v>
      </c>
      <c r="D9836" t="s">
        <v>17163</v>
      </c>
      <c r="E9836" t="s">
        <v>25665</v>
      </c>
      <c r="F9836" t="s">
        <v>29372</v>
      </c>
      <c r="G9836" t="s">
        <v>29380</v>
      </c>
      <c r="H9836" t="s">
        <v>29389</v>
      </c>
      <c r="I9836" t="s">
        <v>10408</v>
      </c>
      <c r="J9836" t="s">
        <v>35796</v>
      </c>
      <c r="K9836" t="s">
        <v>38522</v>
      </c>
      <c r="M9836" t="s">
        <v>41917</v>
      </c>
      <c r="N9836" t="s">
        <v>42669</v>
      </c>
      <c r="O9836" t="s">
        <v>42670</v>
      </c>
      <c r="P9836">
        <v>0</v>
      </c>
      <c r="Q9836">
        <v>67</v>
      </c>
      <c r="R9836" t="s">
        <v>42683</v>
      </c>
      <c r="S9836" t="s">
        <v>43062</v>
      </c>
      <c r="T9836" t="s">
        <v>44373</v>
      </c>
      <c r="U9836" t="s">
        <v>46453</v>
      </c>
      <c r="V9836" t="s">
        <v>57370</v>
      </c>
      <c r="W9836" t="s">
        <v>58096</v>
      </c>
      <c r="X9836" t="s">
        <v>42684</v>
      </c>
    </row>
    <row r="9837" spans="1:24">
      <c r="A9837">
        <f>HYPERLINK("https://www.philgeps.gov.ph/GEPSNONPILOT/Tender/SplashBidNoticeAbstractUI.aspx?menuIndex=3&amp;refID=7171008&amp;Result=3","7171008")</f>
        <v>0</v>
      </c>
      <c r="B9837" t="s">
        <v>1426</v>
      </c>
      <c r="C9837" t="s">
        <v>12912</v>
      </c>
      <c r="D9837" t="s">
        <v>17189</v>
      </c>
      <c r="E9837" t="s">
        <v>25666</v>
      </c>
      <c r="F9837" t="s">
        <v>29372</v>
      </c>
      <c r="G9837" t="s">
        <v>29380</v>
      </c>
      <c r="H9837" t="s">
        <v>11048</v>
      </c>
      <c r="I9837" t="s">
        <v>4709</v>
      </c>
      <c r="J9837" t="s">
        <v>35797</v>
      </c>
      <c r="K9837" t="s">
        <v>38510</v>
      </c>
      <c r="M9837" t="s">
        <v>40266</v>
      </c>
      <c r="N9837" t="s">
        <v>42669</v>
      </c>
      <c r="O9837" t="s">
        <v>42670</v>
      </c>
      <c r="Q9837">
        <v>0</v>
      </c>
      <c r="R9837" t="s">
        <v>42683</v>
      </c>
      <c r="S9837" t="s">
        <v>43084</v>
      </c>
      <c r="T9837" t="s">
        <v>44382</v>
      </c>
      <c r="U9837" t="s">
        <v>52878</v>
      </c>
      <c r="V9837" t="s">
        <v>57461</v>
      </c>
      <c r="W9837" t="s">
        <v>40266</v>
      </c>
      <c r="X9837" t="s">
        <v>42684</v>
      </c>
    </row>
    <row r="9838" spans="1:24">
      <c r="A9838">
        <f>HYPERLINK("https://www.philgeps.gov.ph/GEPSNONPILOT/Tender/SplashBidNoticeAbstractUI.aspx?menuIndex=3&amp;refID=7170729&amp;Result=3","7170729")</f>
        <v>0</v>
      </c>
      <c r="B9838" t="s">
        <v>2915</v>
      </c>
      <c r="C9838" t="s">
        <v>12913</v>
      </c>
      <c r="D9838" t="s">
        <v>17149</v>
      </c>
      <c r="E9838" t="s">
        <v>25667</v>
      </c>
      <c r="F9838" t="s">
        <v>29374</v>
      </c>
      <c r="G9838" t="s">
        <v>29384</v>
      </c>
      <c r="H9838" t="s">
        <v>11048</v>
      </c>
      <c r="I9838" t="s">
        <v>29415</v>
      </c>
      <c r="J9838" t="s">
        <v>29924</v>
      </c>
      <c r="K9838" t="s">
        <v>38487</v>
      </c>
      <c r="M9838" t="s">
        <v>41915</v>
      </c>
      <c r="N9838" t="s">
        <v>42669</v>
      </c>
      <c r="O9838" t="s">
        <v>42670</v>
      </c>
      <c r="Q9838">
        <v>3</v>
      </c>
      <c r="R9838" t="s">
        <v>42683</v>
      </c>
      <c r="S9838" t="s">
        <v>43085</v>
      </c>
      <c r="T9838" t="s">
        <v>44643</v>
      </c>
      <c r="U9838" t="s">
        <v>52879</v>
      </c>
      <c r="V9838" t="s">
        <v>57462</v>
      </c>
      <c r="W9838" t="s">
        <v>41915</v>
      </c>
      <c r="X9838" t="s">
        <v>42685</v>
      </c>
    </row>
    <row r="9839" spans="1:24">
      <c r="A9839">
        <f>HYPERLINK("https://www.philgeps.gov.ph/GEPSNONPILOT/Tender/SplashBidNoticeAbstractUI.aspx?menuIndex=3&amp;refID=7171002&amp;Result=3","7171002")</f>
        <v>0</v>
      </c>
      <c r="B9839" t="s">
        <v>74</v>
      </c>
      <c r="C9839" t="s">
        <v>12914</v>
      </c>
      <c r="D9839" t="s">
        <v>17169</v>
      </c>
      <c r="E9839" t="s">
        <v>25668</v>
      </c>
      <c r="F9839" t="s">
        <v>29372</v>
      </c>
      <c r="G9839" t="s">
        <v>29380</v>
      </c>
      <c r="H9839" t="s">
        <v>29389</v>
      </c>
      <c r="I9839" t="s">
        <v>10408</v>
      </c>
      <c r="J9839" t="s">
        <v>35798</v>
      </c>
      <c r="K9839" t="s">
        <v>38487</v>
      </c>
      <c r="L9839" t="s">
        <v>74</v>
      </c>
      <c r="M9839" t="s">
        <v>38828</v>
      </c>
      <c r="N9839" t="s">
        <v>42669</v>
      </c>
      <c r="O9839" t="s">
        <v>42670</v>
      </c>
      <c r="P9839">
        <v>0</v>
      </c>
      <c r="Q9839">
        <v>0</v>
      </c>
      <c r="R9839" t="s">
        <v>42683</v>
      </c>
      <c r="S9839" t="s">
        <v>43062</v>
      </c>
      <c r="T9839" t="s">
        <v>44666</v>
      </c>
      <c r="U9839" t="s">
        <v>52880</v>
      </c>
      <c r="W9839" t="s">
        <v>38828</v>
      </c>
      <c r="X9839" t="s">
        <v>42684</v>
      </c>
    </row>
    <row r="9840" spans="1:24">
      <c r="A9840">
        <f>HYPERLINK("https://www.philgeps.gov.ph/GEPSNONPILOT/Tender/SplashBidNoticeAbstractUI.aspx?menuIndex=3&amp;refID=7170994&amp;Result=3","7170994")</f>
        <v>0</v>
      </c>
      <c r="B9840" t="s">
        <v>2917</v>
      </c>
      <c r="C9840" t="s">
        <v>12915</v>
      </c>
      <c r="D9840" t="s">
        <v>17212</v>
      </c>
      <c r="E9840" t="s">
        <v>25669</v>
      </c>
      <c r="F9840" t="s">
        <v>29372</v>
      </c>
      <c r="G9840" t="s">
        <v>29380</v>
      </c>
      <c r="H9840" t="s">
        <v>29389</v>
      </c>
      <c r="I9840" t="s">
        <v>10408</v>
      </c>
      <c r="J9840" t="s">
        <v>35799</v>
      </c>
      <c r="K9840" t="s">
        <v>38533</v>
      </c>
      <c r="M9840" t="s">
        <v>41918</v>
      </c>
      <c r="N9840" t="s">
        <v>42669</v>
      </c>
      <c r="O9840" t="s">
        <v>42670</v>
      </c>
      <c r="P9840">
        <v>0</v>
      </c>
      <c r="Q9840">
        <v>22</v>
      </c>
      <c r="R9840" t="s">
        <v>42683</v>
      </c>
      <c r="S9840" t="s">
        <v>43062</v>
      </c>
      <c r="T9840" t="s">
        <v>44381</v>
      </c>
      <c r="U9840" t="s">
        <v>52881</v>
      </c>
      <c r="W9840" t="s">
        <v>41918</v>
      </c>
      <c r="X9840" t="s">
        <v>42684</v>
      </c>
    </row>
    <row r="9841" spans="1:24">
      <c r="A9841">
        <f>HYPERLINK("https://www.philgeps.gov.ph/GEPSNONPILOT/Tender/SplashBidNoticeAbstractUI.aspx?menuIndex=3&amp;refID=7170986&amp;Result=3","7170986")</f>
        <v>0</v>
      </c>
      <c r="B9841" t="s">
        <v>1413</v>
      </c>
      <c r="C9841" t="s">
        <v>12916</v>
      </c>
      <c r="D9841" t="s">
        <v>17171</v>
      </c>
      <c r="E9841" t="s">
        <v>19747</v>
      </c>
      <c r="F9841" t="s">
        <v>29372</v>
      </c>
      <c r="G9841" t="s">
        <v>29380</v>
      </c>
      <c r="H9841" t="s">
        <v>11048</v>
      </c>
      <c r="I9841" t="s">
        <v>3839</v>
      </c>
      <c r="J9841" t="s">
        <v>31223</v>
      </c>
      <c r="K9841" t="s">
        <v>38489</v>
      </c>
      <c r="M9841" t="s">
        <v>40252</v>
      </c>
      <c r="N9841" t="s">
        <v>42669</v>
      </c>
      <c r="O9841" t="s">
        <v>42670</v>
      </c>
      <c r="P9841">
        <v>0</v>
      </c>
      <c r="Q9841">
        <v>5</v>
      </c>
      <c r="R9841" t="s">
        <v>42683</v>
      </c>
      <c r="S9841" t="s">
        <v>43062</v>
      </c>
      <c r="T9841" t="s">
        <v>44412</v>
      </c>
      <c r="U9841" t="s">
        <v>52882</v>
      </c>
      <c r="W9841" t="s">
        <v>40252</v>
      </c>
      <c r="X9841" t="s">
        <v>42684</v>
      </c>
    </row>
    <row r="9842" spans="1:24">
      <c r="A9842">
        <f>HYPERLINK("https://www.philgeps.gov.ph/GEPSNONPILOT/Tender/SplashBidNoticeAbstractUI.aspx?menuIndex=3&amp;refID=7170977&amp;Result=3","7170977")</f>
        <v>0</v>
      </c>
      <c r="B9842" t="s">
        <v>2918</v>
      </c>
      <c r="C9842" t="s">
        <v>12917</v>
      </c>
      <c r="D9842" t="s">
        <v>17177</v>
      </c>
      <c r="E9842" t="s">
        <v>25670</v>
      </c>
      <c r="F9842" t="s">
        <v>29372</v>
      </c>
      <c r="G9842" t="s">
        <v>29380</v>
      </c>
      <c r="H9842" t="s">
        <v>11048</v>
      </c>
      <c r="I9842" t="s">
        <v>4709</v>
      </c>
      <c r="J9842" t="s">
        <v>35800</v>
      </c>
      <c r="K9842" t="s">
        <v>38485</v>
      </c>
      <c r="M9842" t="s">
        <v>41919</v>
      </c>
      <c r="N9842" t="s">
        <v>42669</v>
      </c>
      <c r="O9842" t="s">
        <v>42670</v>
      </c>
      <c r="P9842">
        <v>0</v>
      </c>
      <c r="Q9842">
        <v>0</v>
      </c>
      <c r="R9842" t="s">
        <v>42683</v>
      </c>
      <c r="S9842" t="s">
        <v>43062</v>
      </c>
      <c r="T9842" t="s">
        <v>44474</v>
      </c>
      <c r="U9842" t="s">
        <v>52883</v>
      </c>
      <c r="W9842" t="s">
        <v>41919</v>
      </c>
      <c r="X9842" t="s">
        <v>42684</v>
      </c>
    </row>
    <row r="9843" spans="1:24">
      <c r="A9843">
        <f>HYPERLINK("https://www.philgeps.gov.ph/GEPSNONPILOT/Tender/SplashBidNoticeAbstractUI.aspx?menuIndex=3&amp;refID=7171028&amp;Result=3","7171028")</f>
        <v>0</v>
      </c>
      <c r="B9843" t="s">
        <v>2919</v>
      </c>
      <c r="C9843" t="s">
        <v>12918</v>
      </c>
      <c r="D9843" t="s">
        <v>17188</v>
      </c>
      <c r="E9843" t="s">
        <v>17965</v>
      </c>
      <c r="F9843" t="s">
        <v>29372</v>
      </c>
      <c r="G9843" t="s">
        <v>29381</v>
      </c>
      <c r="H9843" t="s">
        <v>11048</v>
      </c>
      <c r="I9843" t="s">
        <v>4709</v>
      </c>
      <c r="J9843" t="s">
        <v>35801</v>
      </c>
      <c r="K9843" t="s">
        <v>38485</v>
      </c>
      <c r="M9843" t="s">
        <v>41920</v>
      </c>
      <c r="N9843" t="s">
        <v>42669</v>
      </c>
      <c r="O9843" t="s">
        <v>42670</v>
      </c>
      <c r="P9843">
        <v>0</v>
      </c>
      <c r="Q9843">
        <v>0</v>
      </c>
      <c r="R9843" t="s">
        <v>42683</v>
      </c>
      <c r="S9843" t="s">
        <v>43062</v>
      </c>
      <c r="T9843" t="s">
        <v>44427</v>
      </c>
      <c r="U9843" t="s">
        <v>52884</v>
      </c>
      <c r="W9843" t="s">
        <v>41920</v>
      </c>
      <c r="X9843" t="s">
        <v>42684</v>
      </c>
    </row>
    <row r="9844" spans="1:24">
      <c r="A9844">
        <f>HYPERLINK("https://www.philgeps.gov.ph/GEPSNONPILOT/Tender/SplashBidNoticeAbstractUI.aspx?menuIndex=3&amp;refID=7171016&amp;Result=3","7171016")</f>
        <v>0</v>
      </c>
      <c r="B9844" t="s">
        <v>2920</v>
      </c>
      <c r="C9844" t="s">
        <v>12919</v>
      </c>
      <c r="D9844" t="s">
        <v>17172</v>
      </c>
      <c r="E9844" t="s">
        <v>25671</v>
      </c>
      <c r="F9844" t="s">
        <v>29372</v>
      </c>
      <c r="G9844" t="s">
        <v>29380</v>
      </c>
      <c r="H9844" t="s">
        <v>11048</v>
      </c>
      <c r="I9844" t="s">
        <v>3952</v>
      </c>
      <c r="J9844" t="s">
        <v>35802</v>
      </c>
      <c r="K9844" t="s">
        <v>38538</v>
      </c>
      <c r="M9844" t="s">
        <v>41921</v>
      </c>
      <c r="N9844" t="s">
        <v>42669</v>
      </c>
      <c r="O9844" t="s">
        <v>42670</v>
      </c>
      <c r="P9844">
        <v>0</v>
      </c>
      <c r="Q9844">
        <v>0</v>
      </c>
      <c r="R9844" t="s">
        <v>42683</v>
      </c>
      <c r="S9844" t="s">
        <v>43062</v>
      </c>
      <c r="T9844" t="s">
        <v>44401</v>
      </c>
      <c r="U9844" t="s">
        <v>52885</v>
      </c>
      <c r="V9844" t="s">
        <v>57463</v>
      </c>
      <c r="W9844" t="s">
        <v>41921</v>
      </c>
      <c r="X9844" t="s">
        <v>42684</v>
      </c>
    </row>
    <row r="9845" spans="1:24">
      <c r="A9845">
        <f>HYPERLINK("https://www.philgeps.gov.ph/GEPSNONPILOT/Tender/SplashBidNoticeAbstractUI.aspx?menuIndex=3&amp;refID=7170936&amp;Result=3","7170936")</f>
        <v>0</v>
      </c>
      <c r="B9845" t="s">
        <v>1413</v>
      </c>
      <c r="C9845" t="s">
        <v>12920</v>
      </c>
      <c r="D9845" t="s">
        <v>17171</v>
      </c>
      <c r="E9845" t="s">
        <v>20173</v>
      </c>
      <c r="F9845" t="s">
        <v>29372</v>
      </c>
      <c r="G9845" t="s">
        <v>29380</v>
      </c>
      <c r="H9845" t="s">
        <v>11048</v>
      </c>
      <c r="I9845" t="s">
        <v>3839</v>
      </c>
      <c r="J9845" t="s">
        <v>33021</v>
      </c>
      <c r="K9845" t="s">
        <v>38510</v>
      </c>
      <c r="M9845" t="s">
        <v>40252</v>
      </c>
      <c r="N9845" t="s">
        <v>42669</v>
      </c>
      <c r="O9845" t="s">
        <v>42670</v>
      </c>
      <c r="P9845">
        <v>0</v>
      </c>
      <c r="Q9845">
        <v>4</v>
      </c>
      <c r="R9845" t="s">
        <v>42683</v>
      </c>
      <c r="S9845" t="s">
        <v>43062</v>
      </c>
      <c r="T9845" t="s">
        <v>44412</v>
      </c>
      <c r="U9845" t="s">
        <v>52886</v>
      </c>
      <c r="W9845" t="s">
        <v>40252</v>
      </c>
      <c r="X9845" t="s">
        <v>42684</v>
      </c>
    </row>
    <row r="9846" spans="1:24">
      <c r="A9846">
        <f>HYPERLINK("https://www.philgeps.gov.ph/GEPSNONPILOT/Tender/SplashBidNoticeAbstractUI.aspx?menuIndex=3&amp;refID=7170915&amp;Result=3","7170915")</f>
        <v>0</v>
      </c>
      <c r="B9846" t="s">
        <v>1413</v>
      </c>
      <c r="C9846" t="s">
        <v>12921</v>
      </c>
      <c r="D9846" t="s">
        <v>17171</v>
      </c>
      <c r="E9846" t="s">
        <v>19960</v>
      </c>
      <c r="F9846" t="s">
        <v>29372</v>
      </c>
      <c r="G9846" t="s">
        <v>29380</v>
      </c>
      <c r="H9846" t="s">
        <v>11048</v>
      </c>
      <c r="I9846" t="s">
        <v>5383</v>
      </c>
      <c r="J9846" t="s">
        <v>35803</v>
      </c>
      <c r="K9846" t="s">
        <v>38510</v>
      </c>
      <c r="M9846" t="s">
        <v>40252</v>
      </c>
      <c r="N9846" t="s">
        <v>42669</v>
      </c>
      <c r="O9846" t="s">
        <v>42670</v>
      </c>
      <c r="P9846">
        <v>0</v>
      </c>
      <c r="Q9846">
        <v>3</v>
      </c>
      <c r="R9846" t="s">
        <v>42683</v>
      </c>
      <c r="S9846" t="s">
        <v>43062</v>
      </c>
      <c r="T9846" t="s">
        <v>44412</v>
      </c>
      <c r="U9846" t="s">
        <v>52887</v>
      </c>
      <c r="W9846" t="s">
        <v>40252</v>
      </c>
      <c r="X9846" t="s">
        <v>42684</v>
      </c>
    </row>
    <row r="9847" spans="1:24">
      <c r="A9847">
        <f>HYPERLINK("https://www.philgeps.gov.ph/GEPSNONPILOT/Tender/SplashBidNoticeAbstractUI.aspx?menuIndex=3&amp;refID=7170887&amp;Result=3","7170887")</f>
        <v>0</v>
      </c>
      <c r="B9847" t="s">
        <v>1504</v>
      </c>
      <c r="C9847" t="s">
        <v>12922</v>
      </c>
      <c r="D9847" t="s">
        <v>17170</v>
      </c>
      <c r="E9847" t="s">
        <v>25672</v>
      </c>
      <c r="F9847" t="s">
        <v>29372</v>
      </c>
      <c r="G9847" t="s">
        <v>29380</v>
      </c>
      <c r="H9847" t="s">
        <v>11048</v>
      </c>
      <c r="I9847" t="s">
        <v>29393</v>
      </c>
      <c r="J9847" t="s">
        <v>35804</v>
      </c>
      <c r="K9847" t="s">
        <v>38525</v>
      </c>
      <c r="M9847" t="s">
        <v>40348</v>
      </c>
      <c r="N9847" t="s">
        <v>42669</v>
      </c>
      <c r="O9847" t="s">
        <v>42670</v>
      </c>
      <c r="P9847">
        <v>0</v>
      </c>
      <c r="Q9847">
        <v>0</v>
      </c>
      <c r="R9847" t="s">
        <v>42683</v>
      </c>
      <c r="S9847" t="s">
        <v>43062</v>
      </c>
      <c r="T9847" t="s">
        <v>44488</v>
      </c>
      <c r="U9847" t="s">
        <v>52888</v>
      </c>
      <c r="W9847" t="s">
        <v>40348</v>
      </c>
      <c r="X9847" t="s">
        <v>42684</v>
      </c>
    </row>
    <row r="9848" spans="1:24">
      <c r="A9848">
        <f>HYPERLINK("https://www.philgeps.gov.ph/GEPSNONPILOT/Tender/SplashBidNoticeAbstractUI.aspx?menuIndex=3&amp;refID=7170967&amp;Result=3","7170967")</f>
        <v>0</v>
      </c>
      <c r="B9848" t="s">
        <v>1528</v>
      </c>
      <c r="C9848" t="s">
        <v>12923</v>
      </c>
      <c r="D9848" t="s">
        <v>17178</v>
      </c>
      <c r="E9848" t="s">
        <v>25673</v>
      </c>
      <c r="F9848" t="s">
        <v>29372</v>
      </c>
      <c r="G9848" t="s">
        <v>29380</v>
      </c>
      <c r="H9848" t="s">
        <v>11048</v>
      </c>
      <c r="I9848" t="s">
        <v>5383</v>
      </c>
      <c r="J9848" t="s">
        <v>35805</v>
      </c>
      <c r="K9848" t="s">
        <v>38485</v>
      </c>
      <c r="M9848" t="s">
        <v>40377</v>
      </c>
      <c r="N9848" t="s">
        <v>42669</v>
      </c>
      <c r="O9848" t="s">
        <v>42670</v>
      </c>
      <c r="P9848">
        <v>0</v>
      </c>
      <c r="Q9848">
        <v>3</v>
      </c>
      <c r="R9848" t="s">
        <v>42683</v>
      </c>
      <c r="S9848" t="s">
        <v>43062</v>
      </c>
      <c r="T9848" t="s">
        <v>44532</v>
      </c>
      <c r="U9848" t="s">
        <v>52889</v>
      </c>
      <c r="V9848" t="s">
        <v>56799</v>
      </c>
      <c r="W9848" t="s">
        <v>40377</v>
      </c>
      <c r="X9848" t="s">
        <v>42684</v>
      </c>
    </row>
    <row r="9849" spans="1:24">
      <c r="A9849">
        <f>HYPERLINK("https://www.philgeps.gov.ph/GEPSNONPILOT/Tender/SplashBidNoticeAbstractUI.aspx?menuIndex=3&amp;refID=7170939&amp;Result=3","7170939")</f>
        <v>0</v>
      </c>
      <c r="B9849" t="s">
        <v>2153</v>
      </c>
      <c r="C9849" t="s">
        <v>12924</v>
      </c>
      <c r="D9849" t="s">
        <v>17170</v>
      </c>
      <c r="E9849" t="s">
        <v>25674</v>
      </c>
      <c r="F9849" t="s">
        <v>29372</v>
      </c>
      <c r="G9849" t="s">
        <v>29380</v>
      </c>
      <c r="H9849" t="s">
        <v>29389</v>
      </c>
      <c r="I9849" t="s">
        <v>10408</v>
      </c>
      <c r="J9849" t="s">
        <v>29526</v>
      </c>
      <c r="K9849" t="s">
        <v>38485</v>
      </c>
      <c r="M9849" t="s">
        <v>41061</v>
      </c>
      <c r="N9849" t="s">
        <v>42669</v>
      </c>
      <c r="O9849" t="s">
        <v>42670</v>
      </c>
      <c r="P9849">
        <v>0</v>
      </c>
      <c r="Q9849">
        <v>0</v>
      </c>
      <c r="R9849" t="s">
        <v>42683</v>
      </c>
      <c r="S9849" t="s">
        <v>43062</v>
      </c>
      <c r="T9849" t="s">
        <v>44371</v>
      </c>
      <c r="U9849" t="s">
        <v>52890</v>
      </c>
      <c r="V9849" t="s">
        <v>54918</v>
      </c>
      <c r="W9849" t="s">
        <v>41061</v>
      </c>
      <c r="X9849" t="s">
        <v>42684</v>
      </c>
    </row>
    <row r="9850" spans="1:24">
      <c r="A9850">
        <f>HYPERLINK("https://www.philgeps.gov.ph/GEPSNONPILOT/Tender/SplashBidNoticeAbstractUI.aspx?menuIndex=3&amp;refID=7171148&amp;Result=3","7171148")</f>
        <v>0</v>
      </c>
      <c r="B9850" t="s">
        <v>2921</v>
      </c>
      <c r="C9850" t="s">
        <v>12925</v>
      </c>
      <c r="D9850" t="s">
        <v>17160</v>
      </c>
      <c r="E9850" t="s">
        <v>25675</v>
      </c>
      <c r="F9850" t="s">
        <v>29372</v>
      </c>
      <c r="G9850" t="s">
        <v>29380</v>
      </c>
      <c r="H9850" t="s">
        <v>29389</v>
      </c>
      <c r="I9850" t="s">
        <v>10408</v>
      </c>
      <c r="J9850" t="s">
        <v>30161</v>
      </c>
      <c r="K9850" t="s">
        <v>38525</v>
      </c>
      <c r="M9850" t="s">
        <v>41922</v>
      </c>
      <c r="N9850" t="s">
        <v>42669</v>
      </c>
      <c r="O9850" t="s">
        <v>42670</v>
      </c>
      <c r="P9850">
        <v>0</v>
      </c>
      <c r="Q9850">
        <v>1</v>
      </c>
      <c r="R9850" t="s">
        <v>42683</v>
      </c>
      <c r="S9850" t="s">
        <v>43062</v>
      </c>
      <c r="T9850" t="s">
        <v>44375</v>
      </c>
      <c r="U9850" t="s">
        <v>52891</v>
      </c>
      <c r="W9850" t="s">
        <v>41922</v>
      </c>
      <c r="X9850" t="s">
        <v>42684</v>
      </c>
    </row>
    <row r="9851" spans="1:24">
      <c r="A9851">
        <f>HYPERLINK("https://www.philgeps.gov.ph/GEPSNONPILOT/Tender/SplashBidNoticeAbstractUI.aspx?menuIndex=3&amp;refID=7170991&amp;Result=3","7170991")</f>
        <v>0</v>
      </c>
      <c r="B9851" t="s">
        <v>1919</v>
      </c>
      <c r="C9851" t="s">
        <v>12926</v>
      </c>
      <c r="D9851" t="s">
        <v>17194</v>
      </c>
      <c r="E9851" t="s">
        <v>25676</v>
      </c>
      <c r="F9851" t="s">
        <v>29372</v>
      </c>
      <c r="G9851" t="s">
        <v>29380</v>
      </c>
      <c r="H9851" t="s">
        <v>11048</v>
      </c>
      <c r="I9851" t="s">
        <v>3629</v>
      </c>
      <c r="J9851" t="s">
        <v>32053</v>
      </c>
      <c r="K9851" t="s">
        <v>38485</v>
      </c>
      <c r="M9851" t="s">
        <v>40794</v>
      </c>
      <c r="N9851" t="s">
        <v>42669</v>
      </c>
      <c r="O9851" t="s">
        <v>42670</v>
      </c>
      <c r="Q9851">
        <v>0</v>
      </c>
      <c r="R9851" t="s">
        <v>42683</v>
      </c>
      <c r="S9851" t="s">
        <v>43086</v>
      </c>
      <c r="T9851" t="s">
        <v>44453</v>
      </c>
      <c r="U9851" t="s">
        <v>49323</v>
      </c>
      <c r="V9851" t="s">
        <v>56972</v>
      </c>
      <c r="W9851" t="s">
        <v>40794</v>
      </c>
      <c r="X9851" t="s">
        <v>42684</v>
      </c>
    </row>
    <row r="9852" spans="1:24">
      <c r="A9852">
        <f>HYPERLINK("https://www.philgeps.gov.ph/GEPSNONPILOT/Tender/SplashBidNoticeAbstractUI.aspx?menuIndex=3&amp;refID=7170744&amp;Result=3","7170744")</f>
        <v>0</v>
      </c>
      <c r="B9852" t="s">
        <v>2915</v>
      </c>
      <c r="C9852" t="s">
        <v>12927</v>
      </c>
      <c r="D9852" t="s">
        <v>17149</v>
      </c>
      <c r="E9852" t="s">
        <v>25677</v>
      </c>
      <c r="F9852" t="s">
        <v>29374</v>
      </c>
      <c r="G9852" t="s">
        <v>29384</v>
      </c>
      <c r="H9852" t="s">
        <v>11048</v>
      </c>
      <c r="I9852" t="s">
        <v>8794</v>
      </c>
      <c r="J9852" t="s">
        <v>35806</v>
      </c>
      <c r="K9852" t="s">
        <v>38485</v>
      </c>
      <c r="M9852" t="s">
        <v>41915</v>
      </c>
      <c r="N9852" t="s">
        <v>42669</v>
      </c>
      <c r="O9852" t="s">
        <v>42670</v>
      </c>
      <c r="Q9852">
        <v>1</v>
      </c>
      <c r="R9852" t="s">
        <v>42683</v>
      </c>
      <c r="S9852" t="s">
        <v>43087</v>
      </c>
      <c r="T9852" t="s">
        <v>44643</v>
      </c>
      <c r="U9852" t="s">
        <v>52892</v>
      </c>
      <c r="V9852" t="s">
        <v>57460</v>
      </c>
      <c r="W9852" t="s">
        <v>41915</v>
      </c>
      <c r="X9852" t="s">
        <v>42684</v>
      </c>
    </row>
    <row r="9853" spans="1:24">
      <c r="A9853">
        <f>HYPERLINK("https://www.philgeps.gov.ph/GEPSNONPILOT/Tender/SplashBidNoticeAbstractUI.aspx?menuIndex=3&amp;refID=7171310&amp;Result=3","7171310")</f>
        <v>0</v>
      </c>
      <c r="B9853" t="s">
        <v>2922</v>
      </c>
      <c r="C9853" t="s">
        <v>12928</v>
      </c>
      <c r="D9853" t="s">
        <v>17149</v>
      </c>
      <c r="E9853" t="s">
        <v>25678</v>
      </c>
      <c r="F9853" t="s">
        <v>29372</v>
      </c>
      <c r="G9853" t="s">
        <v>29380</v>
      </c>
      <c r="H9853" t="s">
        <v>11048</v>
      </c>
      <c r="I9853" t="s">
        <v>3670</v>
      </c>
      <c r="J9853" t="s">
        <v>35807</v>
      </c>
      <c r="K9853" t="s">
        <v>38485</v>
      </c>
      <c r="M9853" t="s">
        <v>41923</v>
      </c>
      <c r="N9853" t="s">
        <v>42669</v>
      </c>
      <c r="O9853" t="s">
        <v>42670</v>
      </c>
      <c r="P9853">
        <v>0</v>
      </c>
      <c r="Q9853">
        <v>3</v>
      </c>
      <c r="R9853" t="s">
        <v>42683</v>
      </c>
      <c r="S9853" t="s">
        <v>43062</v>
      </c>
      <c r="T9853" t="s">
        <v>44400</v>
      </c>
      <c r="U9853" t="s">
        <v>52893</v>
      </c>
      <c r="V9853" t="s">
        <v>57464</v>
      </c>
      <c r="W9853" t="s">
        <v>41923</v>
      </c>
      <c r="X9853" t="s">
        <v>42684</v>
      </c>
    </row>
    <row r="9854" spans="1:24">
      <c r="A9854">
        <f>HYPERLINK("https://www.philgeps.gov.ph/GEPSNONPILOT/Tender/SplashBidNoticeAbstractUI.aspx?menuIndex=3&amp;refID=7171346&amp;Result=3","7171346")</f>
        <v>0</v>
      </c>
      <c r="B9854" t="s">
        <v>2900</v>
      </c>
      <c r="C9854" t="s">
        <v>12929</v>
      </c>
      <c r="D9854" t="s">
        <v>17146</v>
      </c>
      <c r="E9854" t="s">
        <v>25679</v>
      </c>
      <c r="F9854" t="s">
        <v>29372</v>
      </c>
      <c r="G9854" t="s">
        <v>29380</v>
      </c>
      <c r="H9854" t="s">
        <v>11048</v>
      </c>
      <c r="I9854" t="s">
        <v>9469</v>
      </c>
      <c r="J9854" t="s">
        <v>35808</v>
      </c>
      <c r="K9854" t="s">
        <v>38485</v>
      </c>
      <c r="M9854" t="s">
        <v>41898</v>
      </c>
      <c r="N9854" t="s">
        <v>42669</v>
      </c>
      <c r="O9854" t="s">
        <v>42670</v>
      </c>
      <c r="Q9854">
        <v>5</v>
      </c>
      <c r="R9854" t="s">
        <v>42683</v>
      </c>
      <c r="S9854" t="s">
        <v>43088</v>
      </c>
      <c r="T9854" t="s">
        <v>44568</v>
      </c>
      <c r="U9854" t="s">
        <v>52894</v>
      </c>
      <c r="W9854" t="s">
        <v>41898</v>
      </c>
      <c r="X9854" t="s">
        <v>42684</v>
      </c>
    </row>
    <row r="9855" spans="1:24">
      <c r="A9855">
        <f>HYPERLINK("https://www.philgeps.gov.ph/GEPSNONPILOT/Tender/SplashBidNoticeAbstractUI.aspx?menuIndex=3&amp;refID=7171265&amp;Result=3","7171265")</f>
        <v>0</v>
      </c>
      <c r="B9855" t="s">
        <v>2923</v>
      </c>
      <c r="C9855" t="s">
        <v>12930</v>
      </c>
      <c r="D9855" t="s">
        <v>17168</v>
      </c>
      <c r="E9855" t="s">
        <v>25680</v>
      </c>
      <c r="F9855" t="s">
        <v>29372</v>
      </c>
      <c r="G9855" t="s">
        <v>29380</v>
      </c>
      <c r="H9855" t="s">
        <v>11048</v>
      </c>
      <c r="I9855" t="s">
        <v>29411</v>
      </c>
      <c r="J9855" t="s">
        <v>35809</v>
      </c>
      <c r="K9855" t="s">
        <v>38490</v>
      </c>
      <c r="M9855" t="s">
        <v>41924</v>
      </c>
      <c r="N9855" t="s">
        <v>42669</v>
      </c>
      <c r="O9855" t="s">
        <v>42670</v>
      </c>
      <c r="Q9855">
        <v>6</v>
      </c>
      <c r="R9855" t="s">
        <v>42683</v>
      </c>
      <c r="S9855" t="s">
        <v>43089</v>
      </c>
      <c r="T9855" t="s">
        <v>44357</v>
      </c>
      <c r="U9855" t="s">
        <v>52895</v>
      </c>
      <c r="W9855" t="s">
        <v>41924</v>
      </c>
      <c r="X9855" t="s">
        <v>42684</v>
      </c>
    </row>
    <row r="9856" spans="1:24">
      <c r="A9856">
        <f>HYPERLINK("https://www.philgeps.gov.ph/GEPSNONPILOT/Tender/SplashBidNoticeAbstractUI.aspx?menuIndex=3&amp;refID=7171134&amp;Result=3","7171134")</f>
        <v>0</v>
      </c>
      <c r="B9856" t="s">
        <v>2916</v>
      </c>
      <c r="C9856" t="s">
        <v>12931</v>
      </c>
      <c r="D9856" t="s">
        <v>17172</v>
      </c>
      <c r="E9856" t="s">
        <v>25681</v>
      </c>
      <c r="F9856" t="s">
        <v>29372</v>
      </c>
      <c r="G9856" t="s">
        <v>29380</v>
      </c>
      <c r="H9856" t="s">
        <v>11048</v>
      </c>
      <c r="I9856" t="s">
        <v>29424</v>
      </c>
      <c r="J9856" t="s">
        <v>35810</v>
      </c>
      <c r="K9856" t="s">
        <v>38490</v>
      </c>
      <c r="M9856" t="s">
        <v>41916</v>
      </c>
      <c r="N9856" t="s">
        <v>42669</v>
      </c>
      <c r="O9856" t="s">
        <v>42670</v>
      </c>
      <c r="P9856">
        <v>0</v>
      </c>
      <c r="Q9856">
        <v>0</v>
      </c>
      <c r="R9856" t="s">
        <v>42683</v>
      </c>
      <c r="S9856" t="s">
        <v>43062</v>
      </c>
      <c r="T9856" t="s">
        <v>44375</v>
      </c>
      <c r="U9856" t="s">
        <v>52896</v>
      </c>
      <c r="W9856" t="s">
        <v>41916</v>
      </c>
      <c r="X9856" t="s">
        <v>42684</v>
      </c>
    </row>
    <row r="9857" spans="1:24">
      <c r="A9857">
        <f>HYPERLINK("https://www.philgeps.gov.ph/GEPSNONPILOT/Tender/SplashBidNoticeAbstractUI.aspx?menuIndex=3&amp;refID=7170851&amp;Result=3","7170851")</f>
        <v>0</v>
      </c>
      <c r="B9857" t="s">
        <v>589</v>
      </c>
      <c r="C9857" t="s">
        <v>12932</v>
      </c>
      <c r="D9857" t="s">
        <v>17168</v>
      </c>
      <c r="E9857" t="s">
        <v>25682</v>
      </c>
      <c r="F9857" t="s">
        <v>29372</v>
      </c>
      <c r="G9857" t="s">
        <v>29380</v>
      </c>
      <c r="H9857" t="s">
        <v>11048</v>
      </c>
      <c r="I9857" t="s">
        <v>29414</v>
      </c>
      <c r="J9857" t="s">
        <v>29728</v>
      </c>
      <c r="K9857" t="s">
        <v>38538</v>
      </c>
      <c r="M9857" t="s">
        <v>40450</v>
      </c>
      <c r="N9857" t="s">
        <v>42669</v>
      </c>
      <c r="O9857" t="s">
        <v>42670</v>
      </c>
      <c r="P9857">
        <v>0</v>
      </c>
      <c r="Q9857">
        <v>9</v>
      </c>
      <c r="R9857" t="s">
        <v>42683</v>
      </c>
      <c r="S9857" t="s">
        <v>43062</v>
      </c>
      <c r="T9857" t="s">
        <v>44557</v>
      </c>
      <c r="U9857" t="s">
        <v>52897</v>
      </c>
      <c r="V9857" t="s">
        <v>56701</v>
      </c>
      <c r="W9857" t="s">
        <v>40450</v>
      </c>
      <c r="X9857" t="s">
        <v>42684</v>
      </c>
    </row>
    <row r="9858" spans="1:24">
      <c r="A9858">
        <f>HYPERLINK("https://www.philgeps.gov.ph/GEPSNONPILOT/Tender/SplashBidNoticeAbstractUI.aspx?menuIndex=3&amp;refID=7171255&amp;Result=3","7171255")</f>
        <v>0</v>
      </c>
      <c r="B9858" t="s">
        <v>2924</v>
      </c>
      <c r="C9858" t="s">
        <v>12933</v>
      </c>
      <c r="E9858" t="s">
        <v>20986</v>
      </c>
      <c r="F9858" t="s">
        <v>29372</v>
      </c>
      <c r="G9858" t="s">
        <v>29380</v>
      </c>
      <c r="H9858" t="s">
        <v>29389</v>
      </c>
      <c r="I9858" t="s">
        <v>10408</v>
      </c>
      <c r="J9858" t="s">
        <v>30244</v>
      </c>
      <c r="K9858" t="s">
        <v>38490</v>
      </c>
      <c r="M9858" t="s">
        <v>41925</v>
      </c>
      <c r="N9858" t="s">
        <v>42669</v>
      </c>
      <c r="O9858" t="s">
        <v>42670</v>
      </c>
      <c r="P9858">
        <v>0</v>
      </c>
      <c r="Q9858">
        <v>33</v>
      </c>
      <c r="R9858" t="s">
        <v>42683</v>
      </c>
      <c r="S9858" t="s">
        <v>43062</v>
      </c>
      <c r="T9858" t="s">
        <v>44474</v>
      </c>
      <c r="U9858" t="s">
        <v>52898</v>
      </c>
      <c r="W9858" t="s">
        <v>41925</v>
      </c>
      <c r="X9858" t="s">
        <v>42684</v>
      </c>
    </row>
    <row r="9859" spans="1:24">
      <c r="A9859">
        <f>HYPERLINK("https://www.philgeps.gov.ph/GEPSNONPILOT/Tender/SplashBidNoticeAbstractUI.aspx?menuIndex=3&amp;refID=7171372&amp;Result=3","7171372")</f>
        <v>0</v>
      </c>
      <c r="B9859" t="s">
        <v>2925</v>
      </c>
      <c r="C9859" t="s">
        <v>12934</v>
      </c>
      <c r="D9859" t="s">
        <v>17216</v>
      </c>
      <c r="E9859" t="s">
        <v>25683</v>
      </c>
      <c r="F9859" t="s">
        <v>29373</v>
      </c>
      <c r="G9859" t="s">
        <v>29380</v>
      </c>
      <c r="H9859" t="s">
        <v>11048</v>
      </c>
      <c r="I9859" t="s">
        <v>4709</v>
      </c>
      <c r="J9859" t="s">
        <v>35811</v>
      </c>
      <c r="K9859" t="s">
        <v>38488</v>
      </c>
      <c r="M9859" t="s">
        <v>41926</v>
      </c>
      <c r="N9859" t="s">
        <v>42669</v>
      </c>
      <c r="O9859" t="s">
        <v>42670</v>
      </c>
      <c r="P9859">
        <v>0</v>
      </c>
      <c r="Q9859">
        <v>0</v>
      </c>
      <c r="R9859" t="s">
        <v>42683</v>
      </c>
      <c r="S9859" t="s">
        <v>43062</v>
      </c>
      <c r="T9859" t="s">
        <v>44357</v>
      </c>
      <c r="U9859" t="s">
        <v>52899</v>
      </c>
      <c r="W9859" t="s">
        <v>41926</v>
      </c>
      <c r="X9859" t="s">
        <v>42684</v>
      </c>
    </row>
    <row r="9860" spans="1:24">
      <c r="A9860">
        <f>HYPERLINK("https://www.philgeps.gov.ph/GEPSNONPILOT/Tender/SplashBidNoticeAbstractUI.aspx?menuIndex=3&amp;refID=7170859&amp;Result=3","7170859")</f>
        <v>0</v>
      </c>
      <c r="B9860" t="s">
        <v>413</v>
      </c>
      <c r="C9860" t="s">
        <v>12935</v>
      </c>
      <c r="D9860" t="s">
        <v>17214</v>
      </c>
      <c r="E9860" t="s">
        <v>25684</v>
      </c>
      <c r="F9860" t="s">
        <v>29372</v>
      </c>
      <c r="G9860" t="s">
        <v>29380</v>
      </c>
      <c r="H9860" t="s">
        <v>11048</v>
      </c>
      <c r="I9860" t="s">
        <v>29425</v>
      </c>
      <c r="J9860" t="s">
        <v>35812</v>
      </c>
      <c r="K9860" t="s">
        <v>38496</v>
      </c>
      <c r="M9860" t="s">
        <v>39177</v>
      </c>
      <c r="N9860" t="s">
        <v>42669</v>
      </c>
      <c r="O9860" t="s">
        <v>42670</v>
      </c>
      <c r="Q9860">
        <v>12</v>
      </c>
      <c r="R9860" t="s">
        <v>42683</v>
      </c>
      <c r="S9860" t="s">
        <v>43090</v>
      </c>
      <c r="T9860" t="s">
        <v>44587</v>
      </c>
      <c r="U9860" t="s">
        <v>52900</v>
      </c>
      <c r="V9860" t="s">
        <v>57465</v>
      </c>
      <c r="W9860" t="s">
        <v>39177</v>
      </c>
      <c r="X9860" t="s">
        <v>42684</v>
      </c>
    </row>
    <row r="9861" spans="1:24">
      <c r="A9861">
        <f>HYPERLINK("https://www.philgeps.gov.ph/GEPSNONPILOT/Tender/SplashBidNoticeAbstractUI.aspx?menuIndex=3&amp;refID=7171308&amp;Result=3","7171308")</f>
        <v>0</v>
      </c>
      <c r="B9861" t="s">
        <v>2926</v>
      </c>
      <c r="C9861" t="s">
        <v>12936</v>
      </c>
      <c r="D9861" t="s">
        <v>17153</v>
      </c>
      <c r="E9861" t="s">
        <v>25685</v>
      </c>
      <c r="F9861" t="s">
        <v>29372</v>
      </c>
      <c r="G9861" t="s">
        <v>29380</v>
      </c>
      <c r="H9861" t="s">
        <v>11048</v>
      </c>
      <c r="I9861" t="s">
        <v>3952</v>
      </c>
      <c r="J9861" t="s">
        <v>35813</v>
      </c>
      <c r="K9861" t="s">
        <v>38496</v>
      </c>
      <c r="M9861" t="s">
        <v>41927</v>
      </c>
      <c r="N9861" t="s">
        <v>42669</v>
      </c>
      <c r="O9861" t="s">
        <v>42670</v>
      </c>
      <c r="Q9861">
        <v>6</v>
      </c>
      <c r="R9861" t="s">
        <v>42683</v>
      </c>
      <c r="S9861" t="s">
        <v>43091</v>
      </c>
      <c r="T9861" t="s">
        <v>44355</v>
      </c>
      <c r="U9861" t="s">
        <v>52901</v>
      </c>
      <c r="V9861" t="s">
        <v>57466</v>
      </c>
      <c r="W9861" t="s">
        <v>41927</v>
      </c>
      <c r="X9861" t="s">
        <v>42684</v>
      </c>
    </row>
    <row r="9862" spans="1:24">
      <c r="A9862">
        <f>HYPERLINK("https://www.philgeps.gov.ph/GEPSNONPILOT/Tender/SplashBidNoticeAbstractUI.aspx?menuIndex=3&amp;refID=7171261&amp;Result=3","7171261")</f>
        <v>0</v>
      </c>
      <c r="B9862" t="s">
        <v>2921</v>
      </c>
      <c r="C9862" t="s">
        <v>12937</v>
      </c>
      <c r="D9862" t="s">
        <v>17160</v>
      </c>
      <c r="E9862" t="s">
        <v>25686</v>
      </c>
      <c r="F9862" t="s">
        <v>29372</v>
      </c>
      <c r="G9862" t="s">
        <v>29380</v>
      </c>
      <c r="H9862" t="s">
        <v>29389</v>
      </c>
      <c r="I9862" t="s">
        <v>10408</v>
      </c>
      <c r="J9862" t="s">
        <v>30302</v>
      </c>
      <c r="K9862" t="s">
        <v>38531</v>
      </c>
      <c r="M9862" t="s">
        <v>41922</v>
      </c>
      <c r="N9862" t="s">
        <v>42669</v>
      </c>
      <c r="O9862" t="s">
        <v>42670</v>
      </c>
      <c r="P9862">
        <v>0</v>
      </c>
      <c r="Q9862">
        <v>1</v>
      </c>
      <c r="R9862" t="s">
        <v>42683</v>
      </c>
      <c r="S9862" t="s">
        <v>43062</v>
      </c>
      <c r="T9862" t="s">
        <v>44375</v>
      </c>
      <c r="U9862" t="s">
        <v>52902</v>
      </c>
      <c r="W9862" t="s">
        <v>41922</v>
      </c>
      <c r="X9862" t="s">
        <v>42684</v>
      </c>
    </row>
    <row r="9863" spans="1:24">
      <c r="A9863">
        <f>HYPERLINK("https://www.philgeps.gov.ph/GEPSNONPILOT/Tender/SplashBidNoticeAbstractUI.aspx?menuIndex=3&amp;refID=7171354&amp;Result=3","7171354")</f>
        <v>0</v>
      </c>
      <c r="B9863" t="s">
        <v>2927</v>
      </c>
      <c r="C9863" t="s">
        <v>12938</v>
      </c>
      <c r="D9863" t="s">
        <v>17213</v>
      </c>
      <c r="E9863" t="s">
        <v>25687</v>
      </c>
      <c r="F9863" t="s">
        <v>29373</v>
      </c>
      <c r="G9863" t="s">
        <v>29380</v>
      </c>
      <c r="H9863" t="s">
        <v>11048</v>
      </c>
      <c r="I9863" t="s">
        <v>3839</v>
      </c>
      <c r="J9863" t="s">
        <v>29694</v>
      </c>
      <c r="K9863" t="s">
        <v>38488</v>
      </c>
      <c r="M9863" t="s">
        <v>41928</v>
      </c>
      <c r="N9863" t="s">
        <v>42669</v>
      </c>
      <c r="O9863" t="s">
        <v>42670</v>
      </c>
      <c r="P9863">
        <v>0</v>
      </c>
      <c r="Q9863">
        <v>4</v>
      </c>
      <c r="R9863" t="s">
        <v>42683</v>
      </c>
      <c r="S9863" t="s">
        <v>43062</v>
      </c>
      <c r="T9863" t="s">
        <v>44670</v>
      </c>
      <c r="U9863" t="s">
        <v>52903</v>
      </c>
      <c r="W9863" t="s">
        <v>41928</v>
      </c>
      <c r="X9863" t="s">
        <v>42684</v>
      </c>
    </row>
    <row r="9864" spans="1:24">
      <c r="A9864">
        <f>HYPERLINK("https://www.philgeps.gov.ph/GEPSNONPILOT/Tender/SplashBidNoticeAbstractUI.aspx?menuIndex=3&amp;refID=7171253&amp;Result=3","7171253")</f>
        <v>0</v>
      </c>
      <c r="B9864" t="s">
        <v>2928</v>
      </c>
      <c r="C9864" t="s">
        <v>12939</v>
      </c>
      <c r="D9864" t="s">
        <v>17188</v>
      </c>
      <c r="E9864" t="s">
        <v>25688</v>
      </c>
      <c r="F9864" t="s">
        <v>29372</v>
      </c>
      <c r="G9864" t="s">
        <v>29380</v>
      </c>
      <c r="H9864" t="s">
        <v>29389</v>
      </c>
      <c r="I9864" t="s">
        <v>10408</v>
      </c>
      <c r="J9864" t="s">
        <v>35814</v>
      </c>
      <c r="K9864" t="s">
        <v>38485</v>
      </c>
      <c r="M9864" t="s">
        <v>41929</v>
      </c>
      <c r="N9864" t="s">
        <v>42669</v>
      </c>
      <c r="O9864" t="s">
        <v>42670</v>
      </c>
      <c r="P9864">
        <v>0</v>
      </c>
      <c r="Q9864">
        <v>0</v>
      </c>
      <c r="R9864" t="s">
        <v>42683</v>
      </c>
      <c r="S9864" t="s">
        <v>43062</v>
      </c>
      <c r="T9864" t="s">
        <v>44453</v>
      </c>
      <c r="U9864" t="s">
        <v>52904</v>
      </c>
      <c r="W9864" t="s">
        <v>41929</v>
      </c>
      <c r="X9864" t="s">
        <v>42684</v>
      </c>
    </row>
    <row r="9865" spans="1:24">
      <c r="A9865">
        <f>HYPERLINK("https://www.philgeps.gov.ph/GEPSNONPILOT/Tender/SplashBidNoticeAbstractUI.aspx?menuIndex=3&amp;refID=7171349&amp;Result=3","7171349")</f>
        <v>0</v>
      </c>
      <c r="B9865" t="s">
        <v>2929</v>
      </c>
      <c r="C9865" t="s">
        <v>12940</v>
      </c>
      <c r="D9865" t="s">
        <v>17206</v>
      </c>
      <c r="E9865" t="s">
        <v>25689</v>
      </c>
      <c r="F9865" t="s">
        <v>29372</v>
      </c>
      <c r="G9865" t="s">
        <v>29380</v>
      </c>
      <c r="H9865" t="s">
        <v>29389</v>
      </c>
      <c r="I9865" t="s">
        <v>29408</v>
      </c>
      <c r="J9865" t="s">
        <v>29804</v>
      </c>
      <c r="K9865" t="s">
        <v>38488</v>
      </c>
      <c r="M9865" t="s">
        <v>41930</v>
      </c>
      <c r="N9865" t="s">
        <v>42669</v>
      </c>
      <c r="O9865" t="s">
        <v>42670</v>
      </c>
      <c r="P9865">
        <v>0</v>
      </c>
      <c r="Q9865">
        <v>0</v>
      </c>
      <c r="R9865" t="s">
        <v>42683</v>
      </c>
      <c r="S9865" t="s">
        <v>43062</v>
      </c>
      <c r="T9865" t="s">
        <v>44373</v>
      </c>
      <c r="U9865" t="s">
        <v>52905</v>
      </c>
      <c r="W9865" t="s">
        <v>41930</v>
      </c>
      <c r="X9865" t="s">
        <v>42684</v>
      </c>
    </row>
    <row r="9866" spans="1:24">
      <c r="A9866">
        <f>HYPERLINK("https://www.philgeps.gov.ph/GEPSNONPILOT/Tender/SplashBidNoticeAbstractUI.aspx?menuIndex=3&amp;refID=7171215&amp;Result=3","7171215")</f>
        <v>0</v>
      </c>
      <c r="B9866" t="s">
        <v>2928</v>
      </c>
      <c r="C9866" t="s">
        <v>12941</v>
      </c>
      <c r="D9866" t="s">
        <v>17188</v>
      </c>
      <c r="E9866" t="s">
        <v>25690</v>
      </c>
      <c r="F9866" t="s">
        <v>29372</v>
      </c>
      <c r="G9866" t="s">
        <v>29380</v>
      </c>
      <c r="H9866" t="s">
        <v>29389</v>
      </c>
      <c r="I9866" t="s">
        <v>10408</v>
      </c>
      <c r="J9866" t="s">
        <v>35814</v>
      </c>
      <c r="K9866" t="s">
        <v>38485</v>
      </c>
      <c r="M9866" t="s">
        <v>41929</v>
      </c>
      <c r="N9866" t="s">
        <v>42669</v>
      </c>
      <c r="O9866" t="s">
        <v>42670</v>
      </c>
      <c r="P9866">
        <v>0</v>
      </c>
      <c r="Q9866">
        <v>0</v>
      </c>
      <c r="R9866" t="s">
        <v>42683</v>
      </c>
      <c r="S9866" t="s">
        <v>43062</v>
      </c>
      <c r="T9866" t="s">
        <v>44453</v>
      </c>
      <c r="U9866" t="s">
        <v>52906</v>
      </c>
      <c r="W9866" t="s">
        <v>41929</v>
      </c>
      <c r="X9866" t="s">
        <v>42684</v>
      </c>
    </row>
    <row r="9867" spans="1:24">
      <c r="A9867">
        <f>HYPERLINK("https://www.philgeps.gov.ph/GEPSNONPILOT/Tender/SplashBidNoticeAbstractUI.aspx?menuIndex=3&amp;refID=7171198&amp;Result=3","7171198")</f>
        <v>0</v>
      </c>
      <c r="B9867" t="s">
        <v>2921</v>
      </c>
      <c r="C9867" t="s">
        <v>12942</v>
      </c>
      <c r="D9867" t="s">
        <v>17160</v>
      </c>
      <c r="E9867" t="s">
        <v>25691</v>
      </c>
      <c r="F9867" t="s">
        <v>29372</v>
      </c>
      <c r="G9867" t="s">
        <v>29380</v>
      </c>
      <c r="H9867" t="s">
        <v>29389</v>
      </c>
      <c r="I9867" t="s">
        <v>10408</v>
      </c>
      <c r="J9867" t="s">
        <v>29788</v>
      </c>
      <c r="K9867" t="s">
        <v>38496</v>
      </c>
      <c r="M9867" t="s">
        <v>41922</v>
      </c>
      <c r="N9867" t="s">
        <v>42669</v>
      </c>
      <c r="O9867" t="s">
        <v>42670</v>
      </c>
      <c r="P9867">
        <v>0</v>
      </c>
      <c r="Q9867">
        <v>1</v>
      </c>
      <c r="R9867" t="s">
        <v>42683</v>
      </c>
      <c r="S9867" t="s">
        <v>43062</v>
      </c>
      <c r="T9867" t="s">
        <v>44375</v>
      </c>
      <c r="U9867" t="s">
        <v>52907</v>
      </c>
      <c r="W9867" t="s">
        <v>41922</v>
      </c>
      <c r="X9867" t="s">
        <v>42684</v>
      </c>
    </row>
    <row r="9868" spans="1:24">
      <c r="A9868">
        <f>HYPERLINK("https://www.philgeps.gov.ph/GEPSNONPILOT/Tender/SplashBidNoticeAbstractUI.aspx?menuIndex=3&amp;refID=7171185&amp;Result=3","7171185")</f>
        <v>0</v>
      </c>
      <c r="B9868" t="s">
        <v>2928</v>
      </c>
      <c r="C9868" t="s">
        <v>12943</v>
      </c>
      <c r="D9868" t="s">
        <v>17188</v>
      </c>
      <c r="E9868" t="s">
        <v>25692</v>
      </c>
      <c r="F9868" t="s">
        <v>29372</v>
      </c>
      <c r="G9868" t="s">
        <v>29380</v>
      </c>
      <c r="H9868" t="s">
        <v>29389</v>
      </c>
      <c r="I9868" t="s">
        <v>10408</v>
      </c>
      <c r="J9868" t="s">
        <v>35815</v>
      </c>
      <c r="K9868" t="s">
        <v>38496</v>
      </c>
      <c r="M9868" t="s">
        <v>41929</v>
      </c>
      <c r="N9868" t="s">
        <v>42669</v>
      </c>
      <c r="O9868" t="s">
        <v>42670</v>
      </c>
      <c r="P9868">
        <v>0</v>
      </c>
      <c r="Q9868">
        <v>0</v>
      </c>
      <c r="R9868" t="s">
        <v>42683</v>
      </c>
      <c r="S9868" t="s">
        <v>43062</v>
      </c>
      <c r="T9868" t="s">
        <v>44453</v>
      </c>
      <c r="U9868" t="s">
        <v>52908</v>
      </c>
      <c r="W9868" t="s">
        <v>41929</v>
      </c>
      <c r="X9868" t="s">
        <v>42684</v>
      </c>
    </row>
    <row r="9869" spans="1:24">
      <c r="A9869">
        <f>HYPERLINK("https://www.philgeps.gov.ph/GEPSNONPILOT/Tender/SplashBidNoticeAbstractUI.aspx?menuIndex=3&amp;refID=7171160&amp;Result=3","7171160")</f>
        <v>0</v>
      </c>
      <c r="B9869" t="s">
        <v>2919</v>
      </c>
      <c r="C9869" t="s">
        <v>9478</v>
      </c>
      <c r="D9869" t="s">
        <v>17188</v>
      </c>
      <c r="E9869" t="s">
        <v>17965</v>
      </c>
      <c r="F9869" t="s">
        <v>29372</v>
      </c>
      <c r="G9869" t="s">
        <v>29380</v>
      </c>
      <c r="H9869" t="s">
        <v>11048</v>
      </c>
      <c r="I9869" t="s">
        <v>4709</v>
      </c>
      <c r="J9869" t="s">
        <v>33544</v>
      </c>
      <c r="K9869" t="s">
        <v>38487</v>
      </c>
      <c r="M9869" t="s">
        <v>41920</v>
      </c>
      <c r="N9869" t="s">
        <v>42669</v>
      </c>
      <c r="O9869" t="s">
        <v>42670</v>
      </c>
      <c r="P9869">
        <v>0</v>
      </c>
      <c r="Q9869">
        <v>0</v>
      </c>
      <c r="R9869" t="s">
        <v>42683</v>
      </c>
      <c r="S9869" t="s">
        <v>43062</v>
      </c>
      <c r="T9869" t="s">
        <v>44427</v>
      </c>
      <c r="U9869" t="s">
        <v>52909</v>
      </c>
      <c r="W9869" t="s">
        <v>41920</v>
      </c>
      <c r="X9869" t="s">
        <v>42684</v>
      </c>
    </row>
    <row r="9870" spans="1:24">
      <c r="A9870">
        <f>HYPERLINK("https://www.philgeps.gov.ph/GEPSNONPILOT/Tender/SplashBidNoticeAbstractUI.aspx?menuIndex=3&amp;refID=7171150&amp;Result=3","7171150")</f>
        <v>0</v>
      </c>
      <c r="B9870" t="s">
        <v>74</v>
      </c>
      <c r="C9870" t="s">
        <v>12944</v>
      </c>
      <c r="D9870" t="s">
        <v>17169</v>
      </c>
      <c r="E9870" t="s">
        <v>25693</v>
      </c>
      <c r="F9870" t="s">
        <v>29372</v>
      </c>
      <c r="G9870" t="s">
        <v>29380</v>
      </c>
      <c r="H9870" t="s">
        <v>29389</v>
      </c>
      <c r="I9870" t="s">
        <v>10408</v>
      </c>
      <c r="J9870" t="s">
        <v>35816</v>
      </c>
      <c r="K9870" t="s">
        <v>38656</v>
      </c>
      <c r="L9870" t="s">
        <v>74</v>
      </c>
      <c r="M9870" t="s">
        <v>38828</v>
      </c>
      <c r="N9870" t="s">
        <v>42669</v>
      </c>
      <c r="O9870" t="s">
        <v>42670</v>
      </c>
      <c r="P9870">
        <v>0</v>
      </c>
      <c r="Q9870">
        <v>1</v>
      </c>
      <c r="R9870" t="s">
        <v>42683</v>
      </c>
      <c r="S9870" t="s">
        <v>43062</v>
      </c>
      <c r="T9870" t="s">
        <v>44666</v>
      </c>
      <c r="U9870" t="s">
        <v>52880</v>
      </c>
      <c r="W9870" t="s">
        <v>38828</v>
      </c>
      <c r="X9870" t="s">
        <v>42684</v>
      </c>
    </row>
    <row r="9871" spans="1:24">
      <c r="A9871">
        <f>HYPERLINK("https://www.philgeps.gov.ph/GEPSNONPILOT/Tender/SplashBidNoticeAbstractUI.aspx?menuIndex=3&amp;refID=7171359&amp;Result=3","7171359")</f>
        <v>0</v>
      </c>
      <c r="B9871" t="s">
        <v>2930</v>
      </c>
      <c r="C9871" t="s">
        <v>12945</v>
      </c>
      <c r="D9871" t="s">
        <v>17175</v>
      </c>
      <c r="E9871" t="s">
        <v>18290</v>
      </c>
      <c r="F9871" t="s">
        <v>29372</v>
      </c>
      <c r="G9871" t="s">
        <v>29380</v>
      </c>
      <c r="H9871" t="s">
        <v>11048</v>
      </c>
      <c r="I9871" t="s">
        <v>10408</v>
      </c>
      <c r="J9871" t="s">
        <v>31893</v>
      </c>
      <c r="K9871" t="s">
        <v>38485</v>
      </c>
      <c r="M9871" t="s">
        <v>41931</v>
      </c>
      <c r="N9871" t="s">
        <v>42669</v>
      </c>
      <c r="O9871" t="s">
        <v>42670</v>
      </c>
      <c r="P9871">
        <v>0</v>
      </c>
      <c r="Q9871">
        <v>0</v>
      </c>
      <c r="R9871" t="s">
        <v>42683</v>
      </c>
      <c r="S9871" t="s">
        <v>43062</v>
      </c>
      <c r="T9871" t="s">
        <v>44384</v>
      </c>
      <c r="U9871" t="s">
        <v>52910</v>
      </c>
      <c r="V9871" t="s">
        <v>56564</v>
      </c>
      <c r="W9871" t="s">
        <v>41931</v>
      </c>
      <c r="X9871" t="s">
        <v>42684</v>
      </c>
    </row>
    <row r="9872" spans="1:24">
      <c r="A9872">
        <f>HYPERLINK("https://www.philgeps.gov.ph/GEPSNONPILOT/Tender/SplashBidNoticeAbstractUI.aspx?menuIndex=3&amp;refID=7171341&amp;Result=3","7171341")</f>
        <v>0</v>
      </c>
      <c r="B9872" t="s">
        <v>2921</v>
      </c>
      <c r="C9872" t="s">
        <v>12946</v>
      </c>
      <c r="D9872" t="s">
        <v>17160</v>
      </c>
      <c r="E9872" t="s">
        <v>25694</v>
      </c>
      <c r="F9872" t="s">
        <v>29372</v>
      </c>
      <c r="G9872" t="s">
        <v>29380</v>
      </c>
      <c r="H9872" t="s">
        <v>29389</v>
      </c>
      <c r="I9872" t="s">
        <v>10408</v>
      </c>
      <c r="J9872" t="s">
        <v>29609</v>
      </c>
      <c r="K9872" t="s">
        <v>38530</v>
      </c>
      <c r="M9872" t="s">
        <v>41922</v>
      </c>
      <c r="N9872" t="s">
        <v>42669</v>
      </c>
      <c r="O9872" t="s">
        <v>42670</v>
      </c>
      <c r="P9872">
        <v>0</v>
      </c>
      <c r="Q9872">
        <v>1</v>
      </c>
      <c r="R9872" t="s">
        <v>42683</v>
      </c>
      <c r="S9872" t="s">
        <v>43062</v>
      </c>
      <c r="T9872" t="s">
        <v>44375</v>
      </c>
      <c r="U9872" t="s">
        <v>52911</v>
      </c>
      <c r="W9872" t="s">
        <v>41922</v>
      </c>
      <c r="X9872" t="s">
        <v>42684</v>
      </c>
    </row>
    <row r="9873" spans="1:24">
      <c r="A9873">
        <f>HYPERLINK("https://www.philgeps.gov.ph/GEPSNONPILOT/Tender/SplashBidNoticeAbstractUI.aspx?menuIndex=3&amp;refID=7171370&amp;Result=3","7171370")</f>
        <v>0</v>
      </c>
      <c r="B9873" t="s">
        <v>2911</v>
      </c>
      <c r="C9873" t="s">
        <v>12947</v>
      </c>
      <c r="D9873" t="s">
        <v>17186</v>
      </c>
      <c r="E9873" t="s">
        <v>25695</v>
      </c>
      <c r="F9873" t="s">
        <v>29372</v>
      </c>
      <c r="G9873" t="s">
        <v>29380</v>
      </c>
      <c r="H9873" t="s">
        <v>11048</v>
      </c>
      <c r="I9873" t="s">
        <v>29423</v>
      </c>
      <c r="J9873" t="s">
        <v>29734</v>
      </c>
      <c r="K9873" t="s">
        <v>38496</v>
      </c>
      <c r="M9873" t="s">
        <v>41911</v>
      </c>
      <c r="N9873" t="s">
        <v>42669</v>
      </c>
      <c r="O9873" t="s">
        <v>42670</v>
      </c>
      <c r="P9873">
        <v>0</v>
      </c>
      <c r="Q9873">
        <v>6</v>
      </c>
      <c r="R9873" t="s">
        <v>42683</v>
      </c>
      <c r="S9873" t="s">
        <v>43062</v>
      </c>
      <c r="T9873" t="s">
        <v>44412</v>
      </c>
      <c r="U9873" t="s">
        <v>52912</v>
      </c>
      <c r="W9873" t="s">
        <v>41911</v>
      </c>
      <c r="X9873" t="s">
        <v>42684</v>
      </c>
    </row>
    <row r="9874" spans="1:24">
      <c r="A9874">
        <f>HYPERLINK("https://www.philgeps.gov.ph/GEPSNONPILOT/Tender/SplashBidNoticeAbstractUI.aspx?menuIndex=3&amp;refID=7171445&amp;Result=3","7171445")</f>
        <v>0</v>
      </c>
      <c r="B9874" t="s">
        <v>2925</v>
      </c>
      <c r="C9874" t="s">
        <v>12948</v>
      </c>
      <c r="D9874" t="s">
        <v>17216</v>
      </c>
      <c r="E9874" t="s">
        <v>25696</v>
      </c>
      <c r="F9874" t="s">
        <v>29373</v>
      </c>
      <c r="G9874" t="s">
        <v>29380</v>
      </c>
      <c r="H9874" t="s">
        <v>11048</v>
      </c>
      <c r="I9874" t="s">
        <v>4709</v>
      </c>
      <c r="J9874" t="s">
        <v>35817</v>
      </c>
      <c r="K9874" t="s">
        <v>38488</v>
      </c>
      <c r="M9874" t="s">
        <v>41926</v>
      </c>
      <c r="N9874" t="s">
        <v>42669</v>
      </c>
      <c r="O9874" t="s">
        <v>42670</v>
      </c>
      <c r="P9874">
        <v>0</v>
      </c>
      <c r="Q9874">
        <v>0</v>
      </c>
      <c r="R9874" t="s">
        <v>42683</v>
      </c>
      <c r="S9874" t="s">
        <v>43062</v>
      </c>
      <c r="T9874" t="s">
        <v>44357</v>
      </c>
      <c r="U9874" t="s">
        <v>52913</v>
      </c>
      <c r="W9874" t="s">
        <v>41926</v>
      </c>
      <c r="X9874" t="s">
        <v>42684</v>
      </c>
    </row>
    <row r="9875" spans="1:24">
      <c r="A9875">
        <f>HYPERLINK("https://www.philgeps.gov.ph/GEPSNONPILOT/Tender/SplashBidNoticeAbstractUI.aspx?menuIndex=3&amp;refID=7170755&amp;Result=3","7170755")</f>
        <v>0</v>
      </c>
      <c r="B9875" t="s">
        <v>2671</v>
      </c>
      <c r="C9875" t="s">
        <v>12949</v>
      </c>
      <c r="D9875" t="s">
        <v>17145</v>
      </c>
      <c r="E9875" t="s">
        <v>25697</v>
      </c>
      <c r="F9875" t="s">
        <v>29372</v>
      </c>
      <c r="G9875" t="s">
        <v>29380</v>
      </c>
      <c r="H9875" t="s">
        <v>11048</v>
      </c>
      <c r="I9875" t="s">
        <v>5383</v>
      </c>
      <c r="J9875" t="s">
        <v>35818</v>
      </c>
      <c r="K9875" t="s">
        <v>38488</v>
      </c>
      <c r="M9875" t="s">
        <v>41650</v>
      </c>
      <c r="N9875" t="s">
        <v>42669</v>
      </c>
      <c r="O9875" t="s">
        <v>42670</v>
      </c>
      <c r="P9875">
        <v>0</v>
      </c>
      <c r="Q9875">
        <v>4</v>
      </c>
      <c r="R9875" t="s">
        <v>42683</v>
      </c>
      <c r="S9875" t="s">
        <v>43062</v>
      </c>
      <c r="T9875" t="s">
        <v>44391</v>
      </c>
      <c r="U9875" t="s">
        <v>52914</v>
      </c>
      <c r="W9875" t="s">
        <v>41650</v>
      </c>
      <c r="X9875" t="s">
        <v>42684</v>
      </c>
    </row>
    <row r="9876" spans="1:24">
      <c r="A9876">
        <f>HYPERLINK("https://www.philgeps.gov.ph/GEPSNONPILOT/Tender/SplashBidNoticeAbstractUI.aspx?menuIndex=3&amp;refID=7171444&amp;Result=3","7171444")</f>
        <v>0</v>
      </c>
      <c r="B9876" t="s">
        <v>1523</v>
      </c>
      <c r="C9876" t="s">
        <v>12950</v>
      </c>
      <c r="D9876" t="s">
        <v>17153</v>
      </c>
      <c r="E9876" t="s">
        <v>25698</v>
      </c>
      <c r="F9876" t="s">
        <v>29372</v>
      </c>
      <c r="G9876" t="s">
        <v>29380</v>
      </c>
      <c r="H9876" t="s">
        <v>11048</v>
      </c>
      <c r="I9876" t="s">
        <v>29393</v>
      </c>
      <c r="J9876" t="s">
        <v>35819</v>
      </c>
      <c r="K9876" t="s">
        <v>38490</v>
      </c>
      <c r="M9876" t="s">
        <v>40370</v>
      </c>
      <c r="N9876" t="s">
        <v>42669</v>
      </c>
      <c r="O9876" t="s">
        <v>42670</v>
      </c>
      <c r="Q9876">
        <v>0</v>
      </c>
      <c r="R9876" t="s">
        <v>42683</v>
      </c>
      <c r="S9876" t="s">
        <v>43092</v>
      </c>
      <c r="T9876" t="s">
        <v>44470</v>
      </c>
      <c r="U9876" t="s">
        <v>52915</v>
      </c>
      <c r="W9876" t="s">
        <v>40370</v>
      </c>
      <c r="X9876" t="s">
        <v>42684</v>
      </c>
    </row>
    <row r="9877" spans="1:24">
      <c r="A9877">
        <f>HYPERLINK("https://www.philgeps.gov.ph/GEPSNONPILOT/Tender/SplashBidNoticeAbstractUI.aspx?menuIndex=3&amp;refID=7171441&amp;Result=3","7171441")</f>
        <v>0</v>
      </c>
      <c r="B9877" t="s">
        <v>1224</v>
      </c>
      <c r="C9877" t="s">
        <v>12951</v>
      </c>
      <c r="D9877" t="s">
        <v>17158</v>
      </c>
      <c r="E9877" t="s">
        <v>25699</v>
      </c>
      <c r="F9877" t="s">
        <v>29372</v>
      </c>
      <c r="G9877" t="s">
        <v>29380</v>
      </c>
      <c r="H9877" t="s">
        <v>11048</v>
      </c>
      <c r="I9877" t="s">
        <v>29406</v>
      </c>
      <c r="J9877" t="s">
        <v>35820</v>
      </c>
      <c r="K9877" t="s">
        <v>38488</v>
      </c>
      <c r="M9877" t="s">
        <v>40044</v>
      </c>
      <c r="N9877" t="s">
        <v>42669</v>
      </c>
      <c r="O9877" t="s">
        <v>42670</v>
      </c>
      <c r="P9877">
        <v>0</v>
      </c>
      <c r="Q9877">
        <v>2</v>
      </c>
      <c r="R9877" t="s">
        <v>42683</v>
      </c>
      <c r="S9877" t="s">
        <v>43062</v>
      </c>
      <c r="T9877" t="s">
        <v>44375</v>
      </c>
      <c r="U9877" t="s">
        <v>52916</v>
      </c>
      <c r="V9877" t="s">
        <v>56460</v>
      </c>
      <c r="W9877" t="s">
        <v>40044</v>
      </c>
      <c r="X9877" t="s">
        <v>42684</v>
      </c>
    </row>
    <row r="9878" spans="1:24">
      <c r="A9878">
        <f>HYPERLINK("https://www.philgeps.gov.ph/GEPSNONPILOT/Tender/SplashBidNoticeAbstractUI.aspx?menuIndex=3&amp;refID=7171438&amp;Result=3","7171438")</f>
        <v>0</v>
      </c>
      <c r="B9878" t="s">
        <v>2931</v>
      </c>
      <c r="C9878" t="s">
        <v>12952</v>
      </c>
      <c r="D9878" t="s">
        <v>17160</v>
      </c>
      <c r="E9878" t="s">
        <v>25700</v>
      </c>
      <c r="F9878" t="s">
        <v>29372</v>
      </c>
      <c r="G9878" t="s">
        <v>29380</v>
      </c>
      <c r="H9878" t="s">
        <v>11048</v>
      </c>
      <c r="I9878" t="s">
        <v>4709</v>
      </c>
      <c r="J9878" t="s">
        <v>35821</v>
      </c>
      <c r="K9878" t="s">
        <v>38490</v>
      </c>
      <c r="M9878" t="s">
        <v>41932</v>
      </c>
      <c r="N9878" t="s">
        <v>42669</v>
      </c>
      <c r="O9878" t="s">
        <v>42670</v>
      </c>
      <c r="P9878">
        <v>0</v>
      </c>
      <c r="Q9878">
        <v>2</v>
      </c>
      <c r="R9878" t="s">
        <v>42683</v>
      </c>
      <c r="S9878" t="s">
        <v>43062</v>
      </c>
      <c r="T9878" t="s">
        <v>44391</v>
      </c>
      <c r="U9878" t="s">
        <v>52917</v>
      </c>
      <c r="W9878" t="s">
        <v>41932</v>
      </c>
      <c r="X9878" t="s">
        <v>42684</v>
      </c>
    </row>
    <row r="9879" spans="1:24">
      <c r="A9879">
        <f>HYPERLINK("https://www.philgeps.gov.ph/GEPSNONPILOT/Tender/SplashBidNoticeAbstractUI.aspx?menuIndex=3&amp;refID=7171420&amp;Result=3","7171420")</f>
        <v>0</v>
      </c>
      <c r="B9879" t="s">
        <v>2927</v>
      </c>
      <c r="C9879" t="s">
        <v>12953</v>
      </c>
      <c r="D9879" t="s">
        <v>17213</v>
      </c>
      <c r="E9879" t="s">
        <v>25701</v>
      </c>
      <c r="F9879" t="s">
        <v>29373</v>
      </c>
      <c r="G9879" t="s">
        <v>29380</v>
      </c>
      <c r="H9879" t="s">
        <v>11048</v>
      </c>
      <c r="I9879" t="s">
        <v>5383</v>
      </c>
      <c r="J9879" t="s">
        <v>30128</v>
      </c>
      <c r="K9879" t="s">
        <v>38488</v>
      </c>
      <c r="M9879" t="s">
        <v>41928</v>
      </c>
      <c r="N9879" t="s">
        <v>42669</v>
      </c>
      <c r="O9879" t="s">
        <v>42670</v>
      </c>
      <c r="P9879">
        <v>0</v>
      </c>
      <c r="Q9879">
        <v>4</v>
      </c>
      <c r="R9879" t="s">
        <v>42683</v>
      </c>
      <c r="S9879" t="s">
        <v>43062</v>
      </c>
      <c r="T9879" t="s">
        <v>44525</v>
      </c>
      <c r="U9879" t="s">
        <v>52918</v>
      </c>
      <c r="W9879" t="s">
        <v>41928</v>
      </c>
      <c r="X9879" t="s">
        <v>42684</v>
      </c>
    </row>
    <row r="9880" spans="1:24">
      <c r="A9880">
        <f>HYPERLINK("https://www.philgeps.gov.ph/GEPSNONPILOT/Tender/SplashBidNoticeAbstractUI.aspx?menuIndex=3&amp;refID=7171457&amp;Result=3","7171457")</f>
        <v>0</v>
      </c>
      <c r="B9880" t="s">
        <v>2689</v>
      </c>
      <c r="C9880" t="s">
        <v>12954</v>
      </c>
      <c r="D9880" t="s">
        <v>17168</v>
      </c>
      <c r="E9880" t="s">
        <v>25702</v>
      </c>
      <c r="F9880" t="s">
        <v>29372</v>
      </c>
      <c r="G9880" t="s">
        <v>29380</v>
      </c>
      <c r="H9880" t="s">
        <v>11048</v>
      </c>
      <c r="I9880" t="s">
        <v>4709</v>
      </c>
      <c r="J9880" t="s">
        <v>35822</v>
      </c>
      <c r="K9880" t="s">
        <v>38495</v>
      </c>
      <c r="M9880" t="s">
        <v>41669</v>
      </c>
      <c r="N9880" t="s">
        <v>42669</v>
      </c>
      <c r="O9880" t="s">
        <v>42670</v>
      </c>
      <c r="P9880">
        <v>0</v>
      </c>
      <c r="Q9880">
        <v>1</v>
      </c>
      <c r="R9880" t="s">
        <v>42683</v>
      </c>
      <c r="S9880" t="s">
        <v>43062</v>
      </c>
      <c r="T9880" t="s">
        <v>44485</v>
      </c>
      <c r="U9880" t="s">
        <v>52919</v>
      </c>
      <c r="W9880" t="s">
        <v>41669</v>
      </c>
      <c r="X9880" t="s">
        <v>42684</v>
      </c>
    </row>
    <row r="9881" spans="1:24">
      <c r="A9881">
        <f>HYPERLINK("https://www.philgeps.gov.ph/GEPSNONPILOT/Tender/SplashBidNoticeAbstractUI.aspx?menuIndex=3&amp;refID=7171408&amp;Result=3","7171408")</f>
        <v>0</v>
      </c>
      <c r="B9881" t="s">
        <v>891</v>
      </c>
      <c r="C9881" t="s">
        <v>12955</v>
      </c>
      <c r="D9881" t="s">
        <v>17158</v>
      </c>
      <c r="E9881" t="s">
        <v>20564</v>
      </c>
      <c r="F9881" t="s">
        <v>29372</v>
      </c>
      <c r="G9881" t="s">
        <v>29380</v>
      </c>
      <c r="H9881" t="s">
        <v>29389</v>
      </c>
      <c r="I9881" t="s">
        <v>10408</v>
      </c>
      <c r="J9881" t="s">
        <v>35823</v>
      </c>
      <c r="K9881" t="s">
        <v>38496</v>
      </c>
      <c r="M9881" t="s">
        <v>39684</v>
      </c>
      <c r="N9881" t="s">
        <v>42669</v>
      </c>
      <c r="O9881" t="s">
        <v>42670</v>
      </c>
      <c r="P9881">
        <v>0</v>
      </c>
      <c r="Q9881">
        <v>0</v>
      </c>
      <c r="R9881" t="s">
        <v>42683</v>
      </c>
      <c r="S9881" t="s">
        <v>43062</v>
      </c>
      <c r="T9881" t="s">
        <v>44777</v>
      </c>
      <c r="U9881" t="s">
        <v>52920</v>
      </c>
      <c r="W9881" t="s">
        <v>39684</v>
      </c>
      <c r="X9881" t="s">
        <v>42684</v>
      </c>
    </row>
    <row r="9882" spans="1:24">
      <c r="A9882">
        <f>HYPERLINK("https://www.philgeps.gov.ph/GEPSNONPILOT/Tender/SplashBidNoticeAbstractUI.aspx?menuIndex=3&amp;refID=7171401&amp;Result=3","7171401")</f>
        <v>0</v>
      </c>
      <c r="B9882" t="s">
        <v>1504</v>
      </c>
      <c r="C9882" t="s">
        <v>12956</v>
      </c>
      <c r="D9882" t="s">
        <v>17170</v>
      </c>
      <c r="E9882" t="s">
        <v>25703</v>
      </c>
      <c r="F9882" t="s">
        <v>29372</v>
      </c>
      <c r="G9882" t="s">
        <v>29379</v>
      </c>
      <c r="H9882" t="s">
        <v>11048</v>
      </c>
      <c r="I9882" t="s">
        <v>4487</v>
      </c>
      <c r="J9882" t="s">
        <v>29680</v>
      </c>
      <c r="K9882" t="s">
        <v>38488</v>
      </c>
      <c r="M9882" t="s">
        <v>40348</v>
      </c>
      <c r="N9882" t="s">
        <v>42669</v>
      </c>
      <c r="O9882" t="s">
        <v>42670</v>
      </c>
      <c r="P9882">
        <v>0</v>
      </c>
      <c r="Q9882">
        <v>2</v>
      </c>
      <c r="R9882" t="s">
        <v>42683</v>
      </c>
      <c r="S9882" t="s">
        <v>43062</v>
      </c>
      <c r="T9882" t="s">
        <v>44488</v>
      </c>
      <c r="U9882" t="s">
        <v>52921</v>
      </c>
      <c r="W9882" t="s">
        <v>40348</v>
      </c>
      <c r="X9882" t="s">
        <v>42684</v>
      </c>
    </row>
    <row r="9883" spans="1:24">
      <c r="A9883">
        <f>HYPERLINK("https://www.philgeps.gov.ph/GEPSNONPILOT/Tender/SplashBidNoticeAbstractUI.aspx?menuIndex=3&amp;refID=7171410&amp;Result=3","7171410")</f>
        <v>0</v>
      </c>
      <c r="B9883" t="s">
        <v>1523</v>
      </c>
      <c r="C9883" t="s">
        <v>12957</v>
      </c>
      <c r="D9883" t="s">
        <v>17153</v>
      </c>
      <c r="E9883" t="s">
        <v>25704</v>
      </c>
      <c r="F9883" t="s">
        <v>29372</v>
      </c>
      <c r="G9883" t="s">
        <v>29380</v>
      </c>
      <c r="H9883" t="s">
        <v>11048</v>
      </c>
      <c r="I9883" t="s">
        <v>29393</v>
      </c>
      <c r="J9883" t="s">
        <v>35824</v>
      </c>
      <c r="K9883" t="s">
        <v>38490</v>
      </c>
      <c r="M9883" t="s">
        <v>40370</v>
      </c>
      <c r="N9883" t="s">
        <v>42669</v>
      </c>
      <c r="O9883" t="s">
        <v>42670</v>
      </c>
      <c r="Q9883">
        <v>0</v>
      </c>
      <c r="R9883" t="s">
        <v>42683</v>
      </c>
      <c r="S9883" t="s">
        <v>42909</v>
      </c>
      <c r="T9883" t="s">
        <v>44470</v>
      </c>
      <c r="U9883" t="s">
        <v>52915</v>
      </c>
      <c r="W9883" t="s">
        <v>40370</v>
      </c>
      <c r="X9883" t="s">
        <v>42684</v>
      </c>
    </row>
    <row r="9884" spans="1:24">
      <c r="A9884">
        <f>HYPERLINK("https://www.philgeps.gov.ph/GEPSNONPILOT/Tender/SplashBidNoticeAbstractUI.aspx?menuIndex=3&amp;refID=7171472&amp;Result=3","7171472")</f>
        <v>0</v>
      </c>
      <c r="B9884" t="s">
        <v>1523</v>
      </c>
      <c r="C9884" t="s">
        <v>12950</v>
      </c>
      <c r="D9884" t="s">
        <v>17153</v>
      </c>
      <c r="E9884" t="s">
        <v>25705</v>
      </c>
      <c r="F9884" t="s">
        <v>29372</v>
      </c>
      <c r="G9884" t="s">
        <v>29380</v>
      </c>
      <c r="H9884" t="s">
        <v>11048</v>
      </c>
      <c r="I9884" t="s">
        <v>29393</v>
      </c>
      <c r="J9884" t="s">
        <v>35825</v>
      </c>
      <c r="K9884" t="s">
        <v>38490</v>
      </c>
      <c r="M9884" t="s">
        <v>40370</v>
      </c>
      <c r="N9884" t="s">
        <v>42669</v>
      </c>
      <c r="O9884" t="s">
        <v>42670</v>
      </c>
      <c r="Q9884">
        <v>0</v>
      </c>
      <c r="R9884" t="s">
        <v>42683</v>
      </c>
      <c r="S9884" t="s">
        <v>43093</v>
      </c>
      <c r="T9884" t="s">
        <v>44470</v>
      </c>
      <c r="U9884" t="s">
        <v>52915</v>
      </c>
      <c r="W9884" t="s">
        <v>40370</v>
      </c>
      <c r="X9884" t="s">
        <v>42684</v>
      </c>
    </row>
    <row r="9885" spans="1:24">
      <c r="A9885">
        <f>HYPERLINK("https://www.philgeps.gov.ph/GEPSNONPILOT/Tender/SplashBidNoticeAbstractUI.aspx?menuIndex=3&amp;refID=7171409&amp;Result=3","7171409")</f>
        <v>0</v>
      </c>
      <c r="B9885" t="s">
        <v>2040</v>
      </c>
      <c r="C9885" t="s">
        <v>12958</v>
      </c>
      <c r="D9885" t="s">
        <v>17216</v>
      </c>
      <c r="E9885" t="s">
        <v>25706</v>
      </c>
      <c r="F9885" t="s">
        <v>29372</v>
      </c>
      <c r="G9885" t="s">
        <v>29380</v>
      </c>
      <c r="H9885" t="s">
        <v>29389</v>
      </c>
      <c r="I9885" t="s">
        <v>10408</v>
      </c>
      <c r="J9885" t="s">
        <v>29708</v>
      </c>
      <c r="K9885" t="s">
        <v>38496</v>
      </c>
      <c r="M9885" t="s">
        <v>40937</v>
      </c>
      <c r="N9885" t="s">
        <v>42669</v>
      </c>
      <c r="O9885" t="s">
        <v>42670</v>
      </c>
      <c r="P9885">
        <v>0</v>
      </c>
      <c r="Q9885">
        <v>1</v>
      </c>
      <c r="R9885" t="s">
        <v>42683</v>
      </c>
      <c r="S9885" t="s">
        <v>43062</v>
      </c>
      <c r="T9885" t="s">
        <v>44513</v>
      </c>
      <c r="U9885" t="s">
        <v>52922</v>
      </c>
      <c r="W9885" t="s">
        <v>40937</v>
      </c>
      <c r="X9885" t="s">
        <v>42684</v>
      </c>
    </row>
    <row r="9886" spans="1:24">
      <c r="A9886">
        <f>HYPERLINK("https://www.philgeps.gov.ph/GEPSNONPILOT/Tender/SplashBidNoticeAbstractUI.aspx?menuIndex=3&amp;refID=7171533&amp;Result=3","7171533")</f>
        <v>0</v>
      </c>
      <c r="B9886" t="s">
        <v>662</v>
      </c>
      <c r="C9886" t="s">
        <v>12959</v>
      </c>
      <c r="D9886" t="s">
        <v>17211</v>
      </c>
      <c r="E9886" t="s">
        <v>25707</v>
      </c>
      <c r="F9886" t="s">
        <v>29372</v>
      </c>
      <c r="G9886" t="s">
        <v>29380</v>
      </c>
      <c r="H9886" t="s">
        <v>11048</v>
      </c>
      <c r="I9886" t="s">
        <v>29404</v>
      </c>
      <c r="J9886" t="s">
        <v>35826</v>
      </c>
      <c r="K9886" t="s">
        <v>38487</v>
      </c>
      <c r="M9886" t="s">
        <v>39438</v>
      </c>
      <c r="N9886" t="s">
        <v>42669</v>
      </c>
      <c r="O9886" t="s">
        <v>42670</v>
      </c>
      <c r="P9886">
        <v>0</v>
      </c>
      <c r="Q9886">
        <v>2</v>
      </c>
      <c r="R9886" t="s">
        <v>42683</v>
      </c>
      <c r="S9886" t="s">
        <v>43062</v>
      </c>
      <c r="T9886" t="s">
        <v>44355</v>
      </c>
      <c r="U9886" t="s">
        <v>52923</v>
      </c>
      <c r="W9886" t="s">
        <v>39438</v>
      </c>
      <c r="X9886" t="s">
        <v>42684</v>
      </c>
    </row>
    <row r="9887" spans="1:24">
      <c r="A9887">
        <f>HYPERLINK("https://www.philgeps.gov.ph/GEPSNONPILOT/Tender/SplashBidNoticeAbstractUI.aspx?menuIndex=3&amp;refID=7171529&amp;Result=3","7171529")</f>
        <v>0</v>
      </c>
      <c r="B9887" t="s">
        <v>1523</v>
      </c>
      <c r="C9887" t="s">
        <v>12960</v>
      </c>
      <c r="D9887" t="s">
        <v>17153</v>
      </c>
      <c r="E9887" t="s">
        <v>25708</v>
      </c>
      <c r="F9887" t="s">
        <v>29372</v>
      </c>
      <c r="G9887" t="s">
        <v>29380</v>
      </c>
      <c r="H9887" t="s">
        <v>11048</v>
      </c>
      <c r="I9887" t="s">
        <v>3629</v>
      </c>
      <c r="J9887" t="s">
        <v>35827</v>
      </c>
      <c r="K9887" t="s">
        <v>38490</v>
      </c>
      <c r="M9887" t="s">
        <v>40370</v>
      </c>
      <c r="N9887" t="s">
        <v>42669</v>
      </c>
      <c r="O9887" t="s">
        <v>42670</v>
      </c>
      <c r="Q9887">
        <v>0</v>
      </c>
      <c r="R9887" t="s">
        <v>42683</v>
      </c>
      <c r="S9887" t="s">
        <v>43094</v>
      </c>
      <c r="T9887" t="s">
        <v>44470</v>
      </c>
      <c r="U9887" t="s">
        <v>52915</v>
      </c>
      <c r="W9887" t="s">
        <v>40370</v>
      </c>
      <c r="X9887" t="s">
        <v>42684</v>
      </c>
    </row>
    <row r="9888" spans="1:24">
      <c r="A9888">
        <f>HYPERLINK("https://www.philgeps.gov.ph/GEPSNONPILOT/Tender/SplashBidNoticeAbstractUI.aspx?menuIndex=3&amp;refID=7171492&amp;Result=3","7171492")</f>
        <v>0</v>
      </c>
      <c r="B9888" t="s">
        <v>2925</v>
      </c>
      <c r="C9888" t="s">
        <v>12961</v>
      </c>
      <c r="D9888" t="s">
        <v>17216</v>
      </c>
      <c r="E9888" t="s">
        <v>25709</v>
      </c>
      <c r="F9888" t="s">
        <v>29373</v>
      </c>
      <c r="G9888" t="s">
        <v>29380</v>
      </c>
      <c r="H9888" t="s">
        <v>11048</v>
      </c>
      <c r="I9888" t="s">
        <v>4709</v>
      </c>
      <c r="J9888" t="s">
        <v>35828</v>
      </c>
      <c r="K9888" t="s">
        <v>38488</v>
      </c>
      <c r="M9888" t="s">
        <v>41926</v>
      </c>
      <c r="N9888" t="s">
        <v>42669</v>
      </c>
      <c r="O9888" t="s">
        <v>42670</v>
      </c>
      <c r="P9888">
        <v>0</v>
      </c>
      <c r="Q9888">
        <v>0</v>
      </c>
      <c r="R9888" t="s">
        <v>42683</v>
      </c>
      <c r="S9888" t="s">
        <v>43062</v>
      </c>
      <c r="T9888" t="s">
        <v>44357</v>
      </c>
      <c r="U9888" t="s">
        <v>52924</v>
      </c>
      <c r="W9888" t="s">
        <v>41926</v>
      </c>
      <c r="X9888" t="s">
        <v>42684</v>
      </c>
    </row>
    <row r="9889" spans="1:24">
      <c r="A9889">
        <f>HYPERLINK("https://www.philgeps.gov.ph/GEPSNONPILOT/Tender/SplashBidNoticeAbstractUI.aspx?menuIndex=3&amp;refID=7171394&amp;Result=3","7171394")</f>
        <v>0</v>
      </c>
      <c r="B9889" t="s">
        <v>2919</v>
      </c>
      <c r="C9889" t="s">
        <v>12962</v>
      </c>
      <c r="D9889" t="s">
        <v>17244</v>
      </c>
      <c r="E9889" t="s">
        <v>17994</v>
      </c>
      <c r="F9889" t="s">
        <v>29372</v>
      </c>
      <c r="G9889" t="s">
        <v>29380</v>
      </c>
      <c r="H9889" t="s">
        <v>11048</v>
      </c>
      <c r="I9889" t="s">
        <v>3670</v>
      </c>
      <c r="J9889" t="s">
        <v>29799</v>
      </c>
      <c r="K9889" t="s">
        <v>38485</v>
      </c>
      <c r="M9889" t="s">
        <v>41920</v>
      </c>
      <c r="N9889" t="s">
        <v>42669</v>
      </c>
      <c r="O9889" t="s">
        <v>42670</v>
      </c>
      <c r="P9889">
        <v>0</v>
      </c>
      <c r="Q9889">
        <v>0</v>
      </c>
      <c r="R9889" t="s">
        <v>42683</v>
      </c>
      <c r="S9889" t="s">
        <v>43062</v>
      </c>
      <c r="T9889" t="s">
        <v>44427</v>
      </c>
      <c r="U9889" t="s">
        <v>52925</v>
      </c>
      <c r="W9889" t="s">
        <v>41920</v>
      </c>
      <c r="X9889" t="s">
        <v>42684</v>
      </c>
    </row>
    <row r="9890" spans="1:24">
      <c r="A9890">
        <f>HYPERLINK("https://www.philgeps.gov.ph/GEPSNONPILOT/Tender/SplashBidNoticeAbstractUI.aspx?menuIndex=3&amp;refID=7171388&amp;Result=3","7171388")</f>
        <v>0</v>
      </c>
      <c r="B9890" t="s">
        <v>2927</v>
      </c>
      <c r="C9890" t="s">
        <v>12963</v>
      </c>
      <c r="D9890" t="s">
        <v>17213</v>
      </c>
      <c r="E9890" t="s">
        <v>25710</v>
      </c>
      <c r="F9890" t="s">
        <v>29373</v>
      </c>
      <c r="G9890" t="s">
        <v>29380</v>
      </c>
      <c r="H9890" t="s">
        <v>11048</v>
      </c>
      <c r="I9890" t="s">
        <v>3952</v>
      </c>
      <c r="J9890" t="s">
        <v>35829</v>
      </c>
      <c r="K9890" t="s">
        <v>38488</v>
      </c>
      <c r="M9890" t="s">
        <v>41928</v>
      </c>
      <c r="N9890" t="s">
        <v>42669</v>
      </c>
      <c r="O9890" t="s">
        <v>42670</v>
      </c>
      <c r="P9890">
        <v>0</v>
      </c>
      <c r="Q9890">
        <v>0</v>
      </c>
      <c r="R9890" t="s">
        <v>42683</v>
      </c>
      <c r="S9890" t="s">
        <v>43062</v>
      </c>
      <c r="T9890" t="s">
        <v>44525</v>
      </c>
      <c r="U9890" t="s">
        <v>52918</v>
      </c>
      <c r="W9890" t="s">
        <v>41928</v>
      </c>
      <c r="X9890" t="s">
        <v>42684</v>
      </c>
    </row>
    <row r="9891" spans="1:24">
      <c r="A9891">
        <f>HYPERLINK("https://www.philgeps.gov.ph/GEPSNONPILOT/Tender/SplashBidNoticeAbstractUI.aspx?menuIndex=3&amp;refID=7171453&amp;Result=3","7171453")</f>
        <v>0</v>
      </c>
      <c r="B9891" t="s">
        <v>2932</v>
      </c>
      <c r="C9891" t="s">
        <v>12964</v>
      </c>
      <c r="D9891" t="s">
        <v>17188</v>
      </c>
      <c r="E9891" t="s">
        <v>17965</v>
      </c>
      <c r="F9891" t="s">
        <v>29372</v>
      </c>
      <c r="G9891" t="s">
        <v>29381</v>
      </c>
      <c r="H9891" t="s">
        <v>11048</v>
      </c>
      <c r="I9891" t="s">
        <v>4709</v>
      </c>
      <c r="J9891" t="s">
        <v>35830</v>
      </c>
      <c r="K9891" t="s">
        <v>38485</v>
      </c>
      <c r="M9891" t="s">
        <v>41933</v>
      </c>
      <c r="N9891" t="s">
        <v>42669</v>
      </c>
      <c r="O9891" t="s">
        <v>42670</v>
      </c>
      <c r="P9891">
        <v>0</v>
      </c>
      <c r="Q9891">
        <v>0</v>
      </c>
      <c r="R9891" t="s">
        <v>42683</v>
      </c>
      <c r="S9891" t="s">
        <v>43062</v>
      </c>
      <c r="T9891" t="s">
        <v>44427</v>
      </c>
      <c r="U9891" t="s">
        <v>52926</v>
      </c>
      <c r="W9891" t="s">
        <v>41933</v>
      </c>
      <c r="X9891" t="s">
        <v>42684</v>
      </c>
    </row>
    <row r="9892" spans="1:24">
      <c r="A9892">
        <f>HYPERLINK("https://www.philgeps.gov.ph/GEPSNONPILOT/Tender/SplashBidNoticeAbstractUI.aspx?menuIndex=3&amp;refID=7171497&amp;Result=3","7171497")</f>
        <v>0</v>
      </c>
      <c r="B9892" t="s">
        <v>1523</v>
      </c>
      <c r="C9892" t="s">
        <v>12965</v>
      </c>
      <c r="D9892" t="s">
        <v>17153</v>
      </c>
      <c r="E9892" t="s">
        <v>25711</v>
      </c>
      <c r="F9892" t="s">
        <v>29372</v>
      </c>
      <c r="G9892" t="s">
        <v>29380</v>
      </c>
      <c r="H9892" t="s">
        <v>11048</v>
      </c>
      <c r="I9892" t="s">
        <v>3629</v>
      </c>
      <c r="J9892" t="s">
        <v>34581</v>
      </c>
      <c r="K9892" t="s">
        <v>38490</v>
      </c>
      <c r="M9892" t="s">
        <v>40370</v>
      </c>
      <c r="N9892" t="s">
        <v>42669</v>
      </c>
      <c r="O9892" t="s">
        <v>42670</v>
      </c>
      <c r="Q9892">
        <v>0</v>
      </c>
      <c r="R9892" t="s">
        <v>42683</v>
      </c>
      <c r="S9892" t="s">
        <v>43095</v>
      </c>
      <c r="T9892" t="s">
        <v>44470</v>
      </c>
      <c r="U9892" t="s">
        <v>52915</v>
      </c>
      <c r="W9892" t="s">
        <v>40370</v>
      </c>
      <c r="X9892" t="s">
        <v>42684</v>
      </c>
    </row>
    <row r="9893" spans="1:24">
      <c r="A9893">
        <f>HYPERLINK("https://www.philgeps.gov.ph/GEPSNONPILOT/Tender/SplashBidNoticeAbstractUI.aspx?menuIndex=3&amp;refID=7171381&amp;Result=3","7171381")</f>
        <v>0</v>
      </c>
      <c r="B9893" t="s">
        <v>2921</v>
      </c>
      <c r="C9893" t="s">
        <v>12966</v>
      </c>
      <c r="D9893" t="s">
        <v>17160</v>
      </c>
      <c r="E9893" t="s">
        <v>25712</v>
      </c>
      <c r="F9893" t="s">
        <v>29372</v>
      </c>
      <c r="G9893" t="s">
        <v>29380</v>
      </c>
      <c r="H9893" t="s">
        <v>11048</v>
      </c>
      <c r="I9893" t="s">
        <v>8208</v>
      </c>
      <c r="J9893" t="s">
        <v>29543</v>
      </c>
      <c r="K9893" t="s">
        <v>38488</v>
      </c>
      <c r="M9893" t="s">
        <v>41922</v>
      </c>
      <c r="N9893" t="s">
        <v>42669</v>
      </c>
      <c r="O9893" t="s">
        <v>42670</v>
      </c>
      <c r="P9893">
        <v>0</v>
      </c>
      <c r="Q9893">
        <v>2</v>
      </c>
      <c r="R9893" t="s">
        <v>42683</v>
      </c>
      <c r="S9893" t="s">
        <v>43062</v>
      </c>
      <c r="T9893" t="s">
        <v>44375</v>
      </c>
      <c r="U9893" t="s">
        <v>52927</v>
      </c>
      <c r="W9893" t="s">
        <v>41922</v>
      </c>
      <c r="X9893" t="s">
        <v>42684</v>
      </c>
    </row>
    <row r="9894" spans="1:24">
      <c r="A9894">
        <f>HYPERLINK("https://www.philgeps.gov.ph/GEPSNONPILOT/Tender/SplashBidNoticeAbstractUI.aspx?menuIndex=3&amp;refID=7171386&amp;Result=3","7171386")</f>
        <v>0</v>
      </c>
      <c r="B9894" t="s">
        <v>775</v>
      </c>
      <c r="C9894" t="s">
        <v>12967</v>
      </c>
      <c r="D9894" t="s">
        <v>17181</v>
      </c>
      <c r="E9894" t="s">
        <v>25713</v>
      </c>
      <c r="F9894" t="s">
        <v>29372</v>
      </c>
      <c r="G9894" t="s">
        <v>29380</v>
      </c>
      <c r="H9894" t="s">
        <v>11048</v>
      </c>
      <c r="I9894" t="s">
        <v>3670</v>
      </c>
      <c r="J9894" t="s">
        <v>35831</v>
      </c>
      <c r="K9894" t="s">
        <v>38485</v>
      </c>
      <c r="M9894" t="s">
        <v>39559</v>
      </c>
      <c r="N9894" t="s">
        <v>42669</v>
      </c>
      <c r="O9894" t="s">
        <v>42670</v>
      </c>
      <c r="P9894">
        <v>0</v>
      </c>
      <c r="Q9894">
        <v>1</v>
      </c>
      <c r="R9894" t="s">
        <v>42683</v>
      </c>
      <c r="S9894" t="s">
        <v>43062</v>
      </c>
      <c r="T9894" t="s">
        <v>44488</v>
      </c>
      <c r="U9894" t="s">
        <v>52928</v>
      </c>
      <c r="W9894" t="s">
        <v>39559</v>
      </c>
      <c r="X9894" t="s">
        <v>42684</v>
      </c>
    </row>
    <row r="9895" spans="1:24">
      <c r="A9895">
        <f>HYPERLINK("https://www.philgeps.gov.ph/GEPSNONPILOT/Tender/SplashBidNoticeAbstractUI.aspx?menuIndex=3&amp;refID=7171541&amp;Result=3","7171541")</f>
        <v>0</v>
      </c>
      <c r="B9895" t="s">
        <v>550</v>
      </c>
      <c r="C9895" t="s">
        <v>12968</v>
      </c>
      <c r="D9895" t="s">
        <v>17141</v>
      </c>
      <c r="E9895" t="s">
        <v>25714</v>
      </c>
      <c r="F9895" t="s">
        <v>29372</v>
      </c>
      <c r="G9895" t="s">
        <v>29380</v>
      </c>
      <c r="H9895" t="s">
        <v>29389</v>
      </c>
      <c r="I9895" t="s">
        <v>10408</v>
      </c>
      <c r="J9895" t="s">
        <v>35832</v>
      </c>
      <c r="K9895" t="s">
        <v>38487</v>
      </c>
      <c r="M9895" t="s">
        <v>41934</v>
      </c>
      <c r="N9895" t="s">
        <v>42669</v>
      </c>
      <c r="O9895" t="s">
        <v>42670</v>
      </c>
      <c r="P9895">
        <v>0</v>
      </c>
      <c r="Q9895">
        <v>2</v>
      </c>
      <c r="R9895" t="s">
        <v>42683</v>
      </c>
      <c r="S9895" t="s">
        <v>43062</v>
      </c>
      <c r="T9895" t="s">
        <v>44457</v>
      </c>
      <c r="U9895" t="s">
        <v>52929</v>
      </c>
      <c r="V9895" t="s">
        <v>57467</v>
      </c>
      <c r="W9895" t="s">
        <v>41934</v>
      </c>
      <c r="X9895" t="s">
        <v>42684</v>
      </c>
    </row>
    <row r="9896" spans="1:24">
      <c r="A9896">
        <f>HYPERLINK("https://www.philgeps.gov.ph/GEPSNONPILOT/Tender/SplashBidNoticeAbstractUI.aspx?menuIndex=3&amp;refID=7171614&amp;Result=3","7171614")</f>
        <v>0</v>
      </c>
      <c r="B9896" t="s">
        <v>1523</v>
      </c>
      <c r="C9896" t="s">
        <v>12969</v>
      </c>
      <c r="D9896" t="s">
        <v>17153</v>
      </c>
      <c r="E9896" t="s">
        <v>25715</v>
      </c>
      <c r="F9896" t="s">
        <v>29372</v>
      </c>
      <c r="G9896" t="s">
        <v>29380</v>
      </c>
      <c r="H9896" t="s">
        <v>11048</v>
      </c>
      <c r="I9896" t="s">
        <v>4709</v>
      </c>
      <c r="J9896" t="s">
        <v>35827</v>
      </c>
      <c r="K9896" t="s">
        <v>38490</v>
      </c>
      <c r="M9896" t="s">
        <v>40370</v>
      </c>
      <c r="N9896" t="s">
        <v>42669</v>
      </c>
      <c r="O9896" t="s">
        <v>42670</v>
      </c>
      <c r="Q9896">
        <v>2</v>
      </c>
      <c r="R9896" t="s">
        <v>42683</v>
      </c>
      <c r="S9896" t="s">
        <v>43096</v>
      </c>
      <c r="T9896" t="s">
        <v>44470</v>
      </c>
      <c r="U9896" t="s">
        <v>52915</v>
      </c>
      <c r="W9896" t="s">
        <v>40370</v>
      </c>
      <c r="X9896" t="s">
        <v>42684</v>
      </c>
    </row>
    <row r="9897" spans="1:24">
      <c r="A9897">
        <f>HYPERLINK("https://www.philgeps.gov.ph/GEPSNONPILOT/Tender/SplashBidNoticeAbstractUI.aspx?menuIndex=3&amp;refID=7171572&amp;Result=3","7171572")</f>
        <v>0</v>
      </c>
      <c r="B9897" t="s">
        <v>1523</v>
      </c>
      <c r="C9897" t="s">
        <v>12970</v>
      </c>
      <c r="D9897" t="s">
        <v>17153</v>
      </c>
      <c r="E9897" t="s">
        <v>25716</v>
      </c>
      <c r="F9897" t="s">
        <v>29372</v>
      </c>
      <c r="G9897" t="s">
        <v>29380</v>
      </c>
      <c r="H9897" t="s">
        <v>11048</v>
      </c>
      <c r="I9897" t="s">
        <v>3629</v>
      </c>
      <c r="J9897" t="s">
        <v>35833</v>
      </c>
      <c r="K9897" t="s">
        <v>38490</v>
      </c>
      <c r="M9897" t="s">
        <v>40370</v>
      </c>
      <c r="N9897" t="s">
        <v>42669</v>
      </c>
      <c r="O9897" t="s">
        <v>42670</v>
      </c>
      <c r="Q9897">
        <v>0</v>
      </c>
      <c r="R9897" t="s">
        <v>42683</v>
      </c>
      <c r="S9897" t="s">
        <v>43097</v>
      </c>
      <c r="T9897" t="s">
        <v>44470</v>
      </c>
      <c r="U9897" t="s">
        <v>52915</v>
      </c>
      <c r="W9897" t="s">
        <v>40370</v>
      </c>
      <c r="X9897" t="s">
        <v>42684</v>
      </c>
    </row>
    <row r="9898" spans="1:24">
      <c r="A9898">
        <f>HYPERLINK("https://www.philgeps.gov.ph/GEPSNONPILOT/Tender/SplashBidNoticeAbstractUI.aspx?menuIndex=3&amp;refID=7171570&amp;Result=3","7171570")</f>
        <v>0</v>
      </c>
      <c r="B9898" t="s">
        <v>1695</v>
      </c>
      <c r="C9898" t="s">
        <v>12971</v>
      </c>
      <c r="D9898" t="s">
        <v>17187</v>
      </c>
      <c r="E9898" t="s">
        <v>25717</v>
      </c>
      <c r="F9898" t="s">
        <v>29372</v>
      </c>
      <c r="G9898" t="s">
        <v>29380</v>
      </c>
      <c r="H9898" t="s">
        <v>11048</v>
      </c>
      <c r="I9898" t="s">
        <v>29394</v>
      </c>
      <c r="J9898" t="s">
        <v>35834</v>
      </c>
      <c r="K9898" t="s">
        <v>38488</v>
      </c>
      <c r="M9898" t="s">
        <v>40557</v>
      </c>
      <c r="N9898" t="s">
        <v>42669</v>
      </c>
      <c r="O9898" t="s">
        <v>42670</v>
      </c>
      <c r="Q9898">
        <v>3</v>
      </c>
      <c r="R9898" t="s">
        <v>42683</v>
      </c>
      <c r="S9898" t="s">
        <v>43098</v>
      </c>
      <c r="T9898" t="s">
        <v>44485</v>
      </c>
      <c r="U9898" t="s">
        <v>48669</v>
      </c>
      <c r="W9898" t="s">
        <v>40557</v>
      </c>
      <c r="X9898" t="s">
        <v>42684</v>
      </c>
    </row>
    <row r="9899" spans="1:24">
      <c r="A9899">
        <f>HYPERLINK("https://www.philgeps.gov.ph/GEPSNONPILOT/Tender/SplashBidNoticeAbstractUI.aspx?menuIndex=3&amp;refID=7171561&amp;Result=3","7171561")</f>
        <v>0</v>
      </c>
      <c r="B9899" t="s">
        <v>1532</v>
      </c>
      <c r="C9899" t="s">
        <v>12972</v>
      </c>
      <c r="D9899" t="s">
        <v>17174</v>
      </c>
      <c r="E9899" t="s">
        <v>25718</v>
      </c>
      <c r="F9899" t="s">
        <v>29373</v>
      </c>
      <c r="G9899" t="s">
        <v>29383</v>
      </c>
      <c r="H9899" t="s">
        <v>11048</v>
      </c>
      <c r="I9899" t="s">
        <v>29447</v>
      </c>
      <c r="J9899" t="s">
        <v>29680</v>
      </c>
      <c r="K9899" t="s">
        <v>38510</v>
      </c>
      <c r="M9899" t="s">
        <v>40381</v>
      </c>
      <c r="N9899" t="s">
        <v>42669</v>
      </c>
      <c r="O9899" t="s">
        <v>42670</v>
      </c>
      <c r="P9899">
        <v>0</v>
      </c>
      <c r="Q9899">
        <v>3</v>
      </c>
      <c r="R9899" t="s">
        <v>42683</v>
      </c>
      <c r="S9899" t="s">
        <v>43062</v>
      </c>
      <c r="T9899" t="s">
        <v>44371</v>
      </c>
      <c r="U9899" t="s">
        <v>52930</v>
      </c>
      <c r="W9899" t="s">
        <v>40381</v>
      </c>
      <c r="X9899" t="s">
        <v>42684</v>
      </c>
    </row>
    <row r="9900" spans="1:24">
      <c r="A9900">
        <f>HYPERLINK("https://www.philgeps.gov.ph/GEPSNONPILOT/Tender/SplashBidNoticeAbstractUI.aspx?menuIndex=3&amp;refID=7171553&amp;Result=3","7171553")</f>
        <v>0</v>
      </c>
      <c r="B9900" t="s">
        <v>2933</v>
      </c>
      <c r="C9900" t="s">
        <v>12973</v>
      </c>
      <c r="D9900" t="s">
        <v>17167</v>
      </c>
      <c r="E9900" t="s">
        <v>21924</v>
      </c>
      <c r="F9900" t="s">
        <v>29372</v>
      </c>
      <c r="G9900" t="s">
        <v>29380</v>
      </c>
      <c r="H9900" t="s">
        <v>11048</v>
      </c>
      <c r="I9900" t="s">
        <v>6417</v>
      </c>
      <c r="J9900" t="s">
        <v>30046</v>
      </c>
      <c r="K9900" t="s">
        <v>38485</v>
      </c>
      <c r="M9900" t="s">
        <v>41935</v>
      </c>
      <c r="N9900" t="s">
        <v>42669</v>
      </c>
      <c r="O9900" t="s">
        <v>42670</v>
      </c>
      <c r="P9900">
        <v>0</v>
      </c>
      <c r="Q9900">
        <v>2</v>
      </c>
      <c r="R9900" t="s">
        <v>42683</v>
      </c>
      <c r="S9900" t="s">
        <v>43062</v>
      </c>
      <c r="T9900" t="s">
        <v>44361</v>
      </c>
      <c r="U9900" t="s">
        <v>52931</v>
      </c>
      <c r="W9900" t="s">
        <v>41935</v>
      </c>
      <c r="X9900" t="s">
        <v>42684</v>
      </c>
    </row>
    <row r="9901" spans="1:24">
      <c r="A9901">
        <f>HYPERLINK("https://www.philgeps.gov.ph/GEPSNONPILOT/Tender/SplashBidNoticeAbstractUI.aspx?menuIndex=3&amp;refID=7171644&amp;Result=3","7171644")</f>
        <v>0</v>
      </c>
      <c r="B9901" t="s">
        <v>2934</v>
      </c>
      <c r="C9901" t="s">
        <v>12974</v>
      </c>
      <c r="D9901" t="s">
        <v>17221</v>
      </c>
      <c r="E9901" t="s">
        <v>25719</v>
      </c>
      <c r="F9901" t="s">
        <v>29372</v>
      </c>
      <c r="G9901" t="s">
        <v>29380</v>
      </c>
      <c r="H9901" t="s">
        <v>11048</v>
      </c>
      <c r="I9901" t="s">
        <v>3629</v>
      </c>
      <c r="J9901" t="s">
        <v>29543</v>
      </c>
      <c r="K9901" t="s">
        <v>38485</v>
      </c>
      <c r="M9901" t="s">
        <v>41936</v>
      </c>
      <c r="N9901" t="s">
        <v>42669</v>
      </c>
      <c r="O9901" t="s">
        <v>42670</v>
      </c>
      <c r="P9901">
        <v>0</v>
      </c>
      <c r="Q9901">
        <v>0</v>
      </c>
      <c r="R9901" t="s">
        <v>42683</v>
      </c>
      <c r="S9901" t="s">
        <v>43062</v>
      </c>
      <c r="T9901" t="s">
        <v>44527</v>
      </c>
      <c r="U9901" t="s">
        <v>52932</v>
      </c>
      <c r="W9901" t="s">
        <v>41936</v>
      </c>
      <c r="X9901" t="s">
        <v>42684</v>
      </c>
    </row>
    <row r="9902" spans="1:24">
      <c r="A9902">
        <f>HYPERLINK("https://www.philgeps.gov.ph/GEPSNONPILOT/Tender/SplashBidNoticeAbstractUI.aspx?menuIndex=3&amp;refID=7171544&amp;Result=3","7171544")</f>
        <v>0</v>
      </c>
      <c r="B9902" t="s">
        <v>223</v>
      </c>
      <c r="C9902" t="s">
        <v>12975</v>
      </c>
      <c r="D9902" t="s">
        <v>17176</v>
      </c>
      <c r="E9902" t="s">
        <v>25720</v>
      </c>
      <c r="F9902" t="s">
        <v>29372</v>
      </c>
      <c r="G9902" t="s">
        <v>29380</v>
      </c>
      <c r="H9902" t="s">
        <v>11048</v>
      </c>
      <c r="I9902" t="s">
        <v>29452</v>
      </c>
      <c r="J9902" t="s">
        <v>31485</v>
      </c>
      <c r="K9902" t="s">
        <v>38510</v>
      </c>
      <c r="M9902" t="s">
        <v>38982</v>
      </c>
      <c r="N9902" t="s">
        <v>42669</v>
      </c>
      <c r="O9902" t="s">
        <v>42670</v>
      </c>
      <c r="Q9902">
        <v>11</v>
      </c>
      <c r="R9902" t="s">
        <v>42683</v>
      </c>
      <c r="S9902" t="s">
        <v>43099</v>
      </c>
      <c r="T9902" t="s">
        <v>44468</v>
      </c>
      <c r="U9902" t="s">
        <v>52933</v>
      </c>
      <c r="W9902" t="s">
        <v>38982</v>
      </c>
      <c r="X9902" t="s">
        <v>42684</v>
      </c>
    </row>
    <row r="9903" spans="1:24">
      <c r="A9903">
        <f>HYPERLINK("https://www.philgeps.gov.ph/GEPSNONPILOT/Tender/SplashBidNoticeAbstractUI.aspx?menuIndex=3&amp;refID=7171564&amp;Result=3","7171564")</f>
        <v>0</v>
      </c>
      <c r="B9903" t="s">
        <v>2931</v>
      </c>
      <c r="C9903" t="s">
        <v>12976</v>
      </c>
      <c r="D9903" t="s">
        <v>17160</v>
      </c>
      <c r="E9903" t="s">
        <v>25721</v>
      </c>
      <c r="F9903" t="s">
        <v>29372</v>
      </c>
      <c r="G9903" t="s">
        <v>29380</v>
      </c>
      <c r="H9903" t="s">
        <v>11048</v>
      </c>
      <c r="I9903" t="s">
        <v>29505</v>
      </c>
      <c r="J9903" t="s">
        <v>30540</v>
      </c>
      <c r="K9903" t="s">
        <v>38490</v>
      </c>
      <c r="M9903" t="s">
        <v>41932</v>
      </c>
      <c r="N9903" t="s">
        <v>42669</v>
      </c>
      <c r="O9903" t="s">
        <v>42670</v>
      </c>
      <c r="P9903">
        <v>0</v>
      </c>
      <c r="Q9903">
        <v>3</v>
      </c>
      <c r="R9903" t="s">
        <v>42683</v>
      </c>
      <c r="S9903" t="s">
        <v>43062</v>
      </c>
      <c r="T9903" t="s">
        <v>44391</v>
      </c>
      <c r="U9903" t="s">
        <v>52934</v>
      </c>
      <c r="V9903" t="s">
        <v>57468</v>
      </c>
      <c r="W9903" t="s">
        <v>41932</v>
      </c>
      <c r="X9903" t="s">
        <v>42684</v>
      </c>
    </row>
    <row r="9904" spans="1:24">
      <c r="A9904">
        <f>HYPERLINK("https://www.philgeps.gov.ph/GEPSNONPILOT/Tender/SplashBidNoticeAbstractUI.aspx?menuIndex=3&amp;refID=7171680&amp;Result=3","7171680")</f>
        <v>0</v>
      </c>
      <c r="B9904" t="s">
        <v>2935</v>
      </c>
      <c r="C9904" t="s">
        <v>12977</v>
      </c>
      <c r="D9904" t="s">
        <v>17170</v>
      </c>
      <c r="E9904" t="s">
        <v>25722</v>
      </c>
      <c r="F9904" t="s">
        <v>29372</v>
      </c>
      <c r="G9904" t="s">
        <v>29380</v>
      </c>
      <c r="H9904" t="s">
        <v>11048</v>
      </c>
      <c r="I9904" t="s">
        <v>4709</v>
      </c>
      <c r="J9904" t="s">
        <v>35835</v>
      </c>
      <c r="K9904" t="s">
        <v>38490</v>
      </c>
      <c r="M9904" t="s">
        <v>41937</v>
      </c>
      <c r="N9904" t="s">
        <v>42669</v>
      </c>
      <c r="O9904" t="s">
        <v>42670</v>
      </c>
      <c r="P9904">
        <v>0</v>
      </c>
      <c r="Q9904">
        <v>0</v>
      </c>
      <c r="R9904" t="s">
        <v>42683</v>
      </c>
      <c r="S9904" t="s">
        <v>43062</v>
      </c>
      <c r="T9904" t="s">
        <v>44444</v>
      </c>
      <c r="U9904" t="s">
        <v>52935</v>
      </c>
      <c r="W9904" t="s">
        <v>41937</v>
      </c>
      <c r="X9904" t="s">
        <v>42684</v>
      </c>
    </row>
    <row r="9905" spans="1:24">
      <c r="A9905">
        <f>HYPERLINK("https://www.philgeps.gov.ph/GEPSNONPILOT/Tender/SplashBidNoticeAbstractUI.aspx?menuIndex=3&amp;refID=7171698&amp;Result=3","7171698")</f>
        <v>0</v>
      </c>
      <c r="B9905" t="s">
        <v>550</v>
      </c>
      <c r="C9905" t="s">
        <v>12978</v>
      </c>
      <c r="D9905" t="s">
        <v>17141</v>
      </c>
      <c r="E9905" t="s">
        <v>25723</v>
      </c>
      <c r="F9905" t="s">
        <v>29372</v>
      </c>
      <c r="G9905" t="s">
        <v>29380</v>
      </c>
      <c r="H9905" t="s">
        <v>29389</v>
      </c>
      <c r="I9905" t="s">
        <v>10408</v>
      </c>
      <c r="J9905" t="s">
        <v>35836</v>
      </c>
      <c r="K9905" t="s">
        <v>38564</v>
      </c>
      <c r="M9905" t="s">
        <v>41934</v>
      </c>
      <c r="N9905" t="s">
        <v>42669</v>
      </c>
      <c r="O9905" t="s">
        <v>42670</v>
      </c>
      <c r="P9905">
        <v>0</v>
      </c>
      <c r="Q9905">
        <v>5</v>
      </c>
      <c r="R9905" t="s">
        <v>42683</v>
      </c>
      <c r="S9905" t="s">
        <v>43062</v>
      </c>
      <c r="T9905" t="s">
        <v>44457</v>
      </c>
      <c r="U9905" t="s">
        <v>52929</v>
      </c>
      <c r="V9905" t="s">
        <v>57469</v>
      </c>
      <c r="W9905" t="s">
        <v>41934</v>
      </c>
      <c r="X9905" t="s">
        <v>42684</v>
      </c>
    </row>
    <row r="9906" spans="1:24">
      <c r="A9906">
        <f>HYPERLINK("https://www.philgeps.gov.ph/GEPSNONPILOT/Tender/SplashBidNoticeAbstractUI.aspx?menuIndex=3&amp;refID=7171682&amp;Result=3","7171682")</f>
        <v>0</v>
      </c>
      <c r="B9906" t="s">
        <v>313</v>
      </c>
      <c r="C9906" t="s">
        <v>12979</v>
      </c>
      <c r="D9906" t="s">
        <v>17207</v>
      </c>
      <c r="E9906" t="s">
        <v>17733</v>
      </c>
      <c r="F9906" t="s">
        <v>29372</v>
      </c>
      <c r="G9906" t="s">
        <v>29380</v>
      </c>
      <c r="H9906" t="s">
        <v>29389</v>
      </c>
      <c r="I9906" t="s">
        <v>10408</v>
      </c>
      <c r="J9906" t="s">
        <v>35837</v>
      </c>
      <c r="K9906" t="s">
        <v>38619</v>
      </c>
      <c r="M9906" t="s">
        <v>39072</v>
      </c>
      <c r="N9906" t="s">
        <v>42669</v>
      </c>
      <c r="O9906" t="s">
        <v>42670</v>
      </c>
      <c r="P9906">
        <v>0</v>
      </c>
      <c r="Q9906">
        <v>0</v>
      </c>
      <c r="R9906" t="s">
        <v>42683</v>
      </c>
      <c r="S9906" t="s">
        <v>43062</v>
      </c>
      <c r="T9906" t="s">
        <v>44357</v>
      </c>
      <c r="U9906" t="s">
        <v>52936</v>
      </c>
      <c r="W9906" t="s">
        <v>39072</v>
      </c>
      <c r="X9906" t="s">
        <v>42684</v>
      </c>
    </row>
    <row r="9907" spans="1:24">
      <c r="A9907">
        <f>HYPERLINK("https://www.philgeps.gov.ph/GEPSNONPILOT/Tender/SplashBidNoticeAbstractUI.aspx?menuIndex=3&amp;refID=7171652&amp;Result=3","7171652")</f>
        <v>0</v>
      </c>
      <c r="B9907" t="s">
        <v>2925</v>
      </c>
      <c r="C9907" t="s">
        <v>12980</v>
      </c>
      <c r="D9907" t="s">
        <v>17216</v>
      </c>
      <c r="E9907" t="s">
        <v>25724</v>
      </c>
      <c r="F9907" t="s">
        <v>29373</v>
      </c>
      <c r="G9907" t="s">
        <v>29380</v>
      </c>
      <c r="H9907" t="s">
        <v>11048</v>
      </c>
      <c r="I9907" t="s">
        <v>4709</v>
      </c>
      <c r="J9907" t="s">
        <v>35838</v>
      </c>
      <c r="K9907" t="s">
        <v>38488</v>
      </c>
      <c r="M9907" t="s">
        <v>41926</v>
      </c>
      <c r="N9907" t="s">
        <v>42669</v>
      </c>
      <c r="O9907" t="s">
        <v>42670</v>
      </c>
      <c r="P9907">
        <v>0</v>
      </c>
      <c r="Q9907">
        <v>0</v>
      </c>
      <c r="R9907" t="s">
        <v>42683</v>
      </c>
      <c r="S9907" t="s">
        <v>43062</v>
      </c>
      <c r="T9907" t="s">
        <v>44357</v>
      </c>
      <c r="U9907" t="s">
        <v>52937</v>
      </c>
      <c r="W9907" t="s">
        <v>41926</v>
      </c>
      <c r="X9907" t="s">
        <v>42684</v>
      </c>
    </row>
    <row r="9908" spans="1:24">
      <c r="A9908">
        <f>HYPERLINK("https://www.philgeps.gov.ph/GEPSNONPILOT/Tender/SplashBidNoticeAbstractUI.aspx?menuIndex=3&amp;refID=7171648&amp;Result=3","7171648")</f>
        <v>0</v>
      </c>
      <c r="B9908" t="s">
        <v>550</v>
      </c>
      <c r="C9908" t="s">
        <v>12981</v>
      </c>
      <c r="D9908" t="s">
        <v>17141</v>
      </c>
      <c r="E9908" t="s">
        <v>25725</v>
      </c>
      <c r="F9908" t="s">
        <v>29372</v>
      </c>
      <c r="G9908" t="s">
        <v>29380</v>
      </c>
      <c r="H9908" t="s">
        <v>29389</v>
      </c>
      <c r="I9908" t="s">
        <v>10408</v>
      </c>
      <c r="J9908" t="s">
        <v>35839</v>
      </c>
      <c r="K9908" t="s">
        <v>38495</v>
      </c>
      <c r="M9908" t="s">
        <v>41934</v>
      </c>
      <c r="N9908" t="s">
        <v>42669</v>
      </c>
      <c r="O9908" t="s">
        <v>42670</v>
      </c>
      <c r="Q9908">
        <v>3</v>
      </c>
      <c r="R9908" t="s">
        <v>42683</v>
      </c>
      <c r="S9908" t="s">
        <v>43100</v>
      </c>
      <c r="T9908" t="s">
        <v>44504</v>
      </c>
      <c r="U9908" t="s">
        <v>52929</v>
      </c>
      <c r="V9908" t="s">
        <v>57470</v>
      </c>
      <c r="W9908" t="s">
        <v>41934</v>
      </c>
      <c r="X9908" t="s">
        <v>42684</v>
      </c>
    </row>
    <row r="9909" spans="1:24">
      <c r="A9909">
        <f>HYPERLINK("https://www.philgeps.gov.ph/GEPSNONPILOT/Tender/SplashBidNoticeAbstractUI.aspx?menuIndex=3&amp;refID=7171744&amp;Result=3","7171744")</f>
        <v>0</v>
      </c>
      <c r="B9909" t="s">
        <v>2936</v>
      </c>
      <c r="C9909" t="s">
        <v>12982</v>
      </c>
      <c r="D9909" t="s">
        <v>17151</v>
      </c>
      <c r="E9909" t="s">
        <v>25726</v>
      </c>
      <c r="F9909" t="s">
        <v>29372</v>
      </c>
      <c r="G9909" t="s">
        <v>29380</v>
      </c>
      <c r="H9909" t="s">
        <v>11048</v>
      </c>
      <c r="I9909" t="s">
        <v>3695</v>
      </c>
      <c r="J9909" t="s">
        <v>30127</v>
      </c>
      <c r="K9909" t="s">
        <v>38491</v>
      </c>
      <c r="M9909" t="s">
        <v>41938</v>
      </c>
      <c r="N9909" t="s">
        <v>42669</v>
      </c>
      <c r="O9909" t="s">
        <v>42670</v>
      </c>
      <c r="P9909">
        <v>0</v>
      </c>
      <c r="Q9909">
        <v>0</v>
      </c>
      <c r="R9909" t="s">
        <v>42683</v>
      </c>
      <c r="S9909" t="s">
        <v>43062</v>
      </c>
      <c r="T9909" t="s">
        <v>44491</v>
      </c>
      <c r="U9909" t="s">
        <v>52938</v>
      </c>
      <c r="W9909" t="s">
        <v>41938</v>
      </c>
      <c r="X9909" t="s">
        <v>42684</v>
      </c>
    </row>
    <row r="9910" spans="1:24">
      <c r="A9910">
        <f>HYPERLINK("https://www.philgeps.gov.ph/GEPSNONPILOT/Tender/SplashBidNoticeAbstractUI.aspx?menuIndex=3&amp;refID=7171660&amp;Result=3","7171660")</f>
        <v>0</v>
      </c>
      <c r="B9910" t="s">
        <v>2605</v>
      </c>
      <c r="C9910" t="s">
        <v>12983</v>
      </c>
      <c r="E9910" t="s">
        <v>25727</v>
      </c>
      <c r="F9910" t="s">
        <v>29372</v>
      </c>
      <c r="G9910" t="s">
        <v>29380</v>
      </c>
      <c r="H9910" t="s">
        <v>11048</v>
      </c>
      <c r="I9910" t="s">
        <v>8614</v>
      </c>
      <c r="J9910" t="s">
        <v>35840</v>
      </c>
      <c r="K9910" t="s">
        <v>38485</v>
      </c>
      <c r="M9910" t="s">
        <v>41574</v>
      </c>
      <c r="N9910" t="s">
        <v>42669</v>
      </c>
      <c r="O9910" t="s">
        <v>42670</v>
      </c>
      <c r="P9910">
        <v>0</v>
      </c>
      <c r="Q9910">
        <v>10</v>
      </c>
      <c r="R9910" t="s">
        <v>42683</v>
      </c>
      <c r="S9910" t="s">
        <v>43062</v>
      </c>
      <c r="T9910" t="s">
        <v>44400</v>
      </c>
      <c r="U9910" t="s">
        <v>52470</v>
      </c>
      <c r="W9910" t="s">
        <v>41574</v>
      </c>
      <c r="X9910" t="s">
        <v>42684</v>
      </c>
    </row>
    <row r="9911" spans="1:24">
      <c r="A9911">
        <f>HYPERLINK("https://www.philgeps.gov.ph/GEPSNONPILOT/Tender/SplashBidNoticeAbstractUI.aspx?menuIndex=3&amp;refID=7171735&amp;Result=3","7171735")</f>
        <v>0</v>
      </c>
      <c r="B9911" t="s">
        <v>110</v>
      </c>
      <c r="C9911" t="s">
        <v>12984</v>
      </c>
      <c r="D9911" t="s">
        <v>17165</v>
      </c>
      <c r="E9911" t="s">
        <v>25728</v>
      </c>
      <c r="F9911" t="s">
        <v>29372</v>
      </c>
      <c r="G9911" t="s">
        <v>29380</v>
      </c>
      <c r="H9911" t="s">
        <v>11048</v>
      </c>
      <c r="I9911" t="s">
        <v>29407</v>
      </c>
      <c r="J9911" t="s">
        <v>35841</v>
      </c>
      <c r="K9911" t="s">
        <v>38510</v>
      </c>
      <c r="L9911" t="s">
        <v>110</v>
      </c>
      <c r="M9911" t="s">
        <v>38865</v>
      </c>
      <c r="N9911" t="s">
        <v>42669</v>
      </c>
      <c r="O9911" t="s">
        <v>42670</v>
      </c>
      <c r="P9911">
        <v>0</v>
      </c>
      <c r="Q9911">
        <v>20</v>
      </c>
      <c r="R9911" t="s">
        <v>42683</v>
      </c>
      <c r="S9911" t="s">
        <v>43062</v>
      </c>
      <c r="T9911" t="s">
        <v>44375</v>
      </c>
      <c r="U9911" t="s">
        <v>45036</v>
      </c>
      <c r="V9911" t="s">
        <v>56354</v>
      </c>
      <c r="W9911" t="s">
        <v>38865</v>
      </c>
      <c r="X9911" t="s">
        <v>42684</v>
      </c>
    </row>
    <row r="9912" spans="1:24">
      <c r="A9912">
        <f>HYPERLINK("https://www.philgeps.gov.ph/GEPSNONPILOT/Tender/SplashBidNoticeAbstractUI.aspx?menuIndex=3&amp;refID=7171701&amp;Result=3","7171701")</f>
        <v>0</v>
      </c>
      <c r="B9912" t="s">
        <v>2605</v>
      </c>
      <c r="C9912" t="s">
        <v>12985</v>
      </c>
      <c r="E9912" t="s">
        <v>25729</v>
      </c>
      <c r="F9912" t="s">
        <v>29372</v>
      </c>
      <c r="G9912" t="s">
        <v>29380</v>
      </c>
      <c r="H9912" t="s">
        <v>11048</v>
      </c>
      <c r="I9912" t="s">
        <v>8614</v>
      </c>
      <c r="J9912" t="s">
        <v>35842</v>
      </c>
      <c r="K9912" t="s">
        <v>38485</v>
      </c>
      <c r="M9912" t="s">
        <v>41574</v>
      </c>
      <c r="N9912" t="s">
        <v>42669</v>
      </c>
      <c r="O9912" t="s">
        <v>42670</v>
      </c>
      <c r="P9912">
        <v>0</v>
      </c>
      <c r="Q9912">
        <v>7</v>
      </c>
      <c r="R9912" t="s">
        <v>42683</v>
      </c>
      <c r="S9912" t="s">
        <v>43062</v>
      </c>
      <c r="T9912" t="s">
        <v>44433</v>
      </c>
      <c r="U9912" t="s">
        <v>52470</v>
      </c>
      <c r="W9912" t="s">
        <v>41574</v>
      </c>
      <c r="X9912" t="s">
        <v>42684</v>
      </c>
    </row>
    <row r="9913" spans="1:24">
      <c r="A9913">
        <f>HYPERLINK("https://www.philgeps.gov.ph/GEPSNONPILOT/Tender/SplashBidNoticeAbstractUI.aspx?menuIndex=3&amp;refID=7171727&amp;Result=3","7171727")</f>
        <v>0</v>
      </c>
      <c r="B9913" t="s">
        <v>2070</v>
      </c>
      <c r="C9913" t="s">
        <v>12986</v>
      </c>
      <c r="D9913" t="s">
        <v>17170</v>
      </c>
      <c r="E9913" t="s">
        <v>25730</v>
      </c>
      <c r="F9913" t="s">
        <v>29372</v>
      </c>
      <c r="G9913" t="s">
        <v>29380</v>
      </c>
      <c r="H9913" t="s">
        <v>11048</v>
      </c>
      <c r="I9913" t="s">
        <v>3839</v>
      </c>
      <c r="J9913" t="s">
        <v>31960</v>
      </c>
      <c r="K9913" t="s">
        <v>38488</v>
      </c>
      <c r="M9913" t="s">
        <v>40968</v>
      </c>
      <c r="N9913" t="s">
        <v>42669</v>
      </c>
      <c r="O9913" t="s">
        <v>42670</v>
      </c>
      <c r="P9913">
        <v>0</v>
      </c>
      <c r="Q9913">
        <v>8</v>
      </c>
      <c r="R9913" t="s">
        <v>42683</v>
      </c>
      <c r="S9913" t="s">
        <v>43062</v>
      </c>
      <c r="T9913" t="s">
        <v>44357</v>
      </c>
      <c r="U9913" t="s">
        <v>52939</v>
      </c>
      <c r="V9913" t="s">
        <v>57026</v>
      </c>
      <c r="W9913" t="s">
        <v>40968</v>
      </c>
      <c r="X9913" t="s">
        <v>42684</v>
      </c>
    </row>
    <row r="9914" spans="1:24">
      <c r="A9914">
        <f>HYPERLINK("https://www.philgeps.gov.ph/GEPSNONPILOT/Tender/SplashBidNoticeAbstractUI.aspx?menuIndex=3&amp;refID=7171726&amp;Result=3","7171726")</f>
        <v>0</v>
      </c>
      <c r="B9914" t="s">
        <v>550</v>
      </c>
      <c r="C9914" t="s">
        <v>12987</v>
      </c>
      <c r="D9914" t="s">
        <v>17141</v>
      </c>
      <c r="E9914" t="s">
        <v>25731</v>
      </c>
      <c r="F9914" t="s">
        <v>29372</v>
      </c>
      <c r="G9914" t="s">
        <v>29380</v>
      </c>
      <c r="H9914" t="s">
        <v>29389</v>
      </c>
      <c r="I9914" t="s">
        <v>10408</v>
      </c>
      <c r="J9914" t="s">
        <v>35843</v>
      </c>
      <c r="K9914" t="s">
        <v>38522</v>
      </c>
      <c r="M9914" t="s">
        <v>41934</v>
      </c>
      <c r="N9914" t="s">
        <v>42669</v>
      </c>
      <c r="O9914" t="s">
        <v>42670</v>
      </c>
      <c r="P9914">
        <v>0</v>
      </c>
      <c r="Q9914">
        <v>3</v>
      </c>
      <c r="R9914" t="s">
        <v>42683</v>
      </c>
      <c r="S9914" t="s">
        <v>43062</v>
      </c>
      <c r="T9914" t="s">
        <v>44457</v>
      </c>
      <c r="U9914" t="s">
        <v>52929</v>
      </c>
      <c r="V9914" t="s">
        <v>57467</v>
      </c>
      <c r="W9914" t="s">
        <v>41934</v>
      </c>
      <c r="X9914" t="s">
        <v>42684</v>
      </c>
    </row>
    <row r="9915" spans="1:24">
      <c r="A9915">
        <f>HYPERLINK("https://www.philgeps.gov.ph/GEPSNONPILOT/Tender/SplashBidNoticeAbstractUI.aspx?menuIndex=3&amp;refID=7171741&amp;Result=3","7171741")</f>
        <v>0</v>
      </c>
      <c r="B9915" t="s">
        <v>427</v>
      </c>
      <c r="C9915" t="s">
        <v>12988</v>
      </c>
      <c r="D9915" t="s">
        <v>17167</v>
      </c>
      <c r="E9915" t="s">
        <v>25732</v>
      </c>
      <c r="F9915" t="s">
        <v>29372</v>
      </c>
      <c r="G9915" t="s">
        <v>29380</v>
      </c>
      <c r="H9915" t="s">
        <v>11048</v>
      </c>
      <c r="I9915" t="s">
        <v>5383</v>
      </c>
      <c r="J9915" t="s">
        <v>35844</v>
      </c>
      <c r="K9915" t="s">
        <v>38518</v>
      </c>
      <c r="M9915" t="s">
        <v>39191</v>
      </c>
      <c r="N9915" t="s">
        <v>42669</v>
      </c>
      <c r="O9915" t="s">
        <v>42670</v>
      </c>
      <c r="P9915">
        <v>0</v>
      </c>
      <c r="Q9915">
        <v>2</v>
      </c>
      <c r="R9915" t="s">
        <v>42683</v>
      </c>
      <c r="S9915" t="s">
        <v>43062</v>
      </c>
      <c r="T9915" t="s">
        <v>44432</v>
      </c>
      <c r="U9915" t="s">
        <v>52940</v>
      </c>
      <c r="W9915" t="s">
        <v>39191</v>
      </c>
      <c r="X9915" t="s">
        <v>42684</v>
      </c>
    </row>
    <row r="9916" spans="1:24">
      <c r="A9916">
        <f>HYPERLINK("https://www.philgeps.gov.ph/GEPSNONPILOT/Tender/SplashBidNoticeAbstractUI.aspx?menuIndex=3&amp;refID=7171801&amp;Result=3","7171801")</f>
        <v>0</v>
      </c>
      <c r="B9916" t="s">
        <v>1141</v>
      </c>
      <c r="C9916" t="s">
        <v>12989</v>
      </c>
      <c r="D9916" t="s">
        <v>17141</v>
      </c>
      <c r="E9916" t="s">
        <v>25733</v>
      </c>
      <c r="F9916" t="s">
        <v>29372</v>
      </c>
      <c r="G9916" t="s">
        <v>29380</v>
      </c>
      <c r="H9916" t="s">
        <v>11048</v>
      </c>
      <c r="I9916" t="s">
        <v>29392</v>
      </c>
      <c r="J9916" t="s">
        <v>35845</v>
      </c>
      <c r="K9916" t="s">
        <v>38580</v>
      </c>
      <c r="M9916" t="s">
        <v>39954</v>
      </c>
      <c r="N9916" t="s">
        <v>42669</v>
      </c>
      <c r="O9916" t="s">
        <v>42670</v>
      </c>
      <c r="P9916">
        <v>0</v>
      </c>
      <c r="Q9916">
        <v>13</v>
      </c>
      <c r="R9916" t="s">
        <v>42683</v>
      </c>
      <c r="S9916" t="s">
        <v>43062</v>
      </c>
      <c r="T9916" t="s">
        <v>44784</v>
      </c>
      <c r="U9916" t="s">
        <v>52941</v>
      </c>
      <c r="W9916" t="s">
        <v>39954</v>
      </c>
      <c r="X9916" t="s">
        <v>42684</v>
      </c>
    </row>
    <row r="9917" spans="1:24">
      <c r="A9917">
        <f>HYPERLINK("https://www.philgeps.gov.ph/GEPSNONPILOT/Tender/SplashBidNoticeAbstractUI.aspx?menuIndex=3&amp;refID=7171639&amp;Result=3","7171639")</f>
        <v>0</v>
      </c>
      <c r="B9917" t="s">
        <v>2040</v>
      </c>
      <c r="C9917" t="s">
        <v>12990</v>
      </c>
      <c r="D9917" t="s">
        <v>17216</v>
      </c>
      <c r="E9917" t="s">
        <v>25734</v>
      </c>
      <c r="F9917" t="s">
        <v>29372</v>
      </c>
      <c r="G9917" t="s">
        <v>29380</v>
      </c>
      <c r="H9917" t="s">
        <v>29389</v>
      </c>
      <c r="I9917" t="s">
        <v>10408</v>
      </c>
      <c r="J9917" t="s">
        <v>29590</v>
      </c>
      <c r="K9917" t="s">
        <v>38496</v>
      </c>
      <c r="M9917" t="s">
        <v>40937</v>
      </c>
      <c r="N9917" t="s">
        <v>42669</v>
      </c>
      <c r="O9917" t="s">
        <v>42670</v>
      </c>
      <c r="P9917">
        <v>0</v>
      </c>
      <c r="Q9917">
        <v>1</v>
      </c>
      <c r="R9917" t="s">
        <v>42683</v>
      </c>
      <c r="S9917" t="s">
        <v>43062</v>
      </c>
      <c r="T9917" t="s">
        <v>44513</v>
      </c>
      <c r="U9917" t="s">
        <v>52942</v>
      </c>
      <c r="W9917" t="s">
        <v>40937</v>
      </c>
      <c r="X9917" t="s">
        <v>42684</v>
      </c>
    </row>
    <row r="9918" spans="1:24">
      <c r="A9918">
        <f>HYPERLINK("https://www.philgeps.gov.ph/GEPSNONPILOT/Tender/SplashBidNoticeAbstractUI.aspx?menuIndex=3&amp;refID=7171796&amp;Result=3","7171796")</f>
        <v>0</v>
      </c>
      <c r="B9918" t="s">
        <v>2069</v>
      </c>
      <c r="C9918" t="s">
        <v>12991</v>
      </c>
      <c r="D9918" t="s">
        <v>17222</v>
      </c>
      <c r="E9918" t="s">
        <v>25735</v>
      </c>
      <c r="F9918" t="s">
        <v>29372</v>
      </c>
      <c r="G9918" t="s">
        <v>29380</v>
      </c>
      <c r="H9918" t="s">
        <v>29389</v>
      </c>
      <c r="I9918" t="s">
        <v>10408</v>
      </c>
      <c r="J9918" t="s">
        <v>35846</v>
      </c>
      <c r="K9918" t="s">
        <v>38681</v>
      </c>
      <c r="M9918" t="s">
        <v>40967</v>
      </c>
      <c r="N9918" t="s">
        <v>42669</v>
      </c>
      <c r="O9918" t="s">
        <v>42670</v>
      </c>
      <c r="P9918">
        <v>0</v>
      </c>
      <c r="Q9918">
        <v>1</v>
      </c>
      <c r="R9918" t="s">
        <v>42683</v>
      </c>
      <c r="S9918" t="s">
        <v>43062</v>
      </c>
      <c r="T9918" t="s">
        <v>44357</v>
      </c>
      <c r="U9918" t="s">
        <v>52943</v>
      </c>
      <c r="W9918" t="s">
        <v>40967</v>
      </c>
      <c r="X9918" t="s">
        <v>42684</v>
      </c>
    </row>
    <row r="9919" spans="1:24">
      <c r="A9919">
        <f>HYPERLINK("https://www.philgeps.gov.ph/GEPSNONPILOT/Tender/SplashBidNoticeAbstractUI.aspx?menuIndex=3&amp;refID=7171769&amp;Result=3","7171769")</f>
        <v>0</v>
      </c>
      <c r="B9919" t="s">
        <v>110</v>
      </c>
      <c r="C9919" t="s">
        <v>12992</v>
      </c>
      <c r="D9919" t="s">
        <v>17165</v>
      </c>
      <c r="E9919" t="s">
        <v>25736</v>
      </c>
      <c r="F9919" t="s">
        <v>29372</v>
      </c>
      <c r="G9919" t="s">
        <v>29380</v>
      </c>
      <c r="H9919" t="s">
        <v>11048</v>
      </c>
      <c r="I9919" t="s">
        <v>14920</v>
      </c>
      <c r="J9919" t="s">
        <v>35847</v>
      </c>
      <c r="K9919" t="s">
        <v>38510</v>
      </c>
      <c r="L9919" t="s">
        <v>110</v>
      </c>
      <c r="M9919" t="s">
        <v>38865</v>
      </c>
      <c r="N9919" t="s">
        <v>42669</v>
      </c>
      <c r="O9919" t="s">
        <v>42670</v>
      </c>
      <c r="P9919">
        <v>0</v>
      </c>
      <c r="Q9919">
        <v>3</v>
      </c>
      <c r="R9919" t="s">
        <v>42683</v>
      </c>
      <c r="S9919" t="s">
        <v>43062</v>
      </c>
      <c r="T9919" t="s">
        <v>44375</v>
      </c>
      <c r="U9919" t="s">
        <v>45056</v>
      </c>
      <c r="V9919" t="s">
        <v>56354</v>
      </c>
      <c r="W9919" t="s">
        <v>38865</v>
      </c>
      <c r="X9919" t="s">
        <v>42684</v>
      </c>
    </row>
    <row r="9920" spans="1:24">
      <c r="A9920">
        <f>HYPERLINK("https://www.philgeps.gov.ph/GEPSNONPILOT/Tender/SplashBidNoticeAbstractUI.aspx?menuIndex=3&amp;refID=7171793&amp;Result=3","7171793")</f>
        <v>0</v>
      </c>
      <c r="B9920" t="s">
        <v>2165</v>
      </c>
      <c r="C9920" t="s">
        <v>12993</v>
      </c>
      <c r="D9920" t="s">
        <v>17197</v>
      </c>
      <c r="E9920" t="s">
        <v>21788</v>
      </c>
      <c r="F9920" t="s">
        <v>29372</v>
      </c>
      <c r="G9920" t="s">
        <v>29380</v>
      </c>
      <c r="H9920" t="s">
        <v>11048</v>
      </c>
      <c r="I9920" t="s">
        <v>29412</v>
      </c>
      <c r="J9920" t="s">
        <v>31487</v>
      </c>
      <c r="K9920" t="s">
        <v>38495</v>
      </c>
      <c r="M9920" t="s">
        <v>41076</v>
      </c>
      <c r="N9920" t="s">
        <v>42669</v>
      </c>
      <c r="O9920" t="s">
        <v>42670</v>
      </c>
      <c r="P9920">
        <v>0</v>
      </c>
      <c r="Q9920">
        <v>7</v>
      </c>
      <c r="R9920" t="s">
        <v>42683</v>
      </c>
      <c r="S9920" t="s">
        <v>43062</v>
      </c>
      <c r="T9920" t="s">
        <v>44391</v>
      </c>
      <c r="U9920" t="s">
        <v>52944</v>
      </c>
      <c r="W9920" t="s">
        <v>41076</v>
      </c>
      <c r="X9920" t="s">
        <v>42684</v>
      </c>
    </row>
    <row r="9921" spans="1:24">
      <c r="A9921">
        <f>HYPERLINK("https://www.philgeps.gov.ph/GEPSNONPILOT/Tender/SplashBidNoticeAbstractUI.aspx?menuIndex=3&amp;refID=7171755&amp;Result=3","7171755")</f>
        <v>0</v>
      </c>
      <c r="B9921" t="s">
        <v>2225</v>
      </c>
      <c r="C9921" t="s">
        <v>12994</v>
      </c>
      <c r="D9921" t="s">
        <v>17164</v>
      </c>
      <c r="E9921" t="s">
        <v>22563</v>
      </c>
      <c r="F9921" t="s">
        <v>29372</v>
      </c>
      <c r="G9921" t="s">
        <v>29380</v>
      </c>
      <c r="H9921" t="s">
        <v>11048</v>
      </c>
      <c r="I9921" t="s">
        <v>29403</v>
      </c>
      <c r="J9921" t="s">
        <v>30087</v>
      </c>
      <c r="K9921" t="s">
        <v>38491</v>
      </c>
      <c r="M9921" t="s">
        <v>41143</v>
      </c>
      <c r="N9921" t="s">
        <v>42669</v>
      </c>
      <c r="O9921" t="s">
        <v>42670</v>
      </c>
      <c r="P9921">
        <v>0</v>
      </c>
      <c r="Q9921">
        <v>1</v>
      </c>
      <c r="R9921" t="s">
        <v>42683</v>
      </c>
      <c r="S9921" t="s">
        <v>43062</v>
      </c>
      <c r="T9921" t="s">
        <v>44527</v>
      </c>
      <c r="U9921" t="s">
        <v>52945</v>
      </c>
      <c r="W9921" t="s">
        <v>41143</v>
      </c>
      <c r="X9921" t="s">
        <v>42684</v>
      </c>
    </row>
    <row r="9922" spans="1:24">
      <c r="A9922">
        <f>HYPERLINK("https://www.philgeps.gov.ph/GEPSNONPILOT/Tender/SplashBidNoticeAbstractUI.aspx?menuIndex=3&amp;refID=7171816&amp;Result=3","7171816")</f>
        <v>0</v>
      </c>
      <c r="B9922" t="s">
        <v>2937</v>
      </c>
      <c r="C9922" t="s">
        <v>12995</v>
      </c>
      <c r="D9922" t="s">
        <v>17159</v>
      </c>
      <c r="E9922" t="s">
        <v>24609</v>
      </c>
      <c r="F9922" t="s">
        <v>29372</v>
      </c>
      <c r="G9922" t="s">
        <v>29380</v>
      </c>
      <c r="H9922" t="s">
        <v>29389</v>
      </c>
      <c r="I9922" t="s">
        <v>29429</v>
      </c>
      <c r="J9922" t="s">
        <v>35848</v>
      </c>
      <c r="K9922" t="s">
        <v>38531</v>
      </c>
      <c r="M9922" t="s">
        <v>41939</v>
      </c>
      <c r="N9922" t="s">
        <v>42669</v>
      </c>
      <c r="O9922" t="s">
        <v>42670</v>
      </c>
      <c r="P9922">
        <v>0</v>
      </c>
      <c r="Q9922">
        <v>0</v>
      </c>
      <c r="R9922" t="s">
        <v>42683</v>
      </c>
      <c r="S9922" t="s">
        <v>43062</v>
      </c>
      <c r="T9922" t="s">
        <v>44539</v>
      </c>
      <c r="U9922" t="s">
        <v>52946</v>
      </c>
      <c r="W9922" t="s">
        <v>41939</v>
      </c>
      <c r="X9922" t="s">
        <v>42684</v>
      </c>
    </row>
    <row r="9923" spans="1:24">
      <c r="A9923">
        <f>HYPERLINK("https://www.philgeps.gov.ph/GEPSNONPILOT/Tender/SplashBidNoticeAbstractUI.aspx?menuIndex=3&amp;refID=7171579&amp;Result=3","7171579")</f>
        <v>0</v>
      </c>
      <c r="B9923" t="s">
        <v>550</v>
      </c>
      <c r="C9923" t="s">
        <v>12996</v>
      </c>
      <c r="D9923" t="s">
        <v>17141</v>
      </c>
      <c r="E9923" t="s">
        <v>25737</v>
      </c>
      <c r="F9923" t="s">
        <v>29372</v>
      </c>
      <c r="G9923" t="s">
        <v>29380</v>
      </c>
      <c r="H9923" t="s">
        <v>29389</v>
      </c>
      <c r="I9923" t="s">
        <v>10408</v>
      </c>
      <c r="J9923" t="s">
        <v>35849</v>
      </c>
      <c r="K9923" t="s">
        <v>38496</v>
      </c>
      <c r="M9923" t="s">
        <v>41934</v>
      </c>
      <c r="N9923" t="s">
        <v>42669</v>
      </c>
      <c r="O9923" t="s">
        <v>42670</v>
      </c>
      <c r="P9923">
        <v>0</v>
      </c>
      <c r="Q9923">
        <v>2</v>
      </c>
      <c r="R9923" t="s">
        <v>42683</v>
      </c>
      <c r="S9923" t="s">
        <v>43062</v>
      </c>
      <c r="T9923" t="s">
        <v>44457</v>
      </c>
      <c r="U9923" t="s">
        <v>52929</v>
      </c>
      <c r="V9923" t="s">
        <v>57467</v>
      </c>
      <c r="W9923" t="s">
        <v>41934</v>
      </c>
      <c r="X9923" t="s">
        <v>42684</v>
      </c>
    </row>
    <row r="9924" spans="1:24">
      <c r="A9924">
        <f>HYPERLINK("https://www.philgeps.gov.ph/GEPSNONPILOT/Tender/SplashBidNoticeAbstractUI.aspx?menuIndex=3&amp;refID=7171751&amp;Result=3","7171751")</f>
        <v>0</v>
      </c>
      <c r="B9924" t="s">
        <v>2938</v>
      </c>
      <c r="C9924" t="s">
        <v>12997</v>
      </c>
      <c r="D9924" t="s">
        <v>17144</v>
      </c>
      <c r="E9924" t="s">
        <v>25738</v>
      </c>
      <c r="F9924" t="s">
        <v>29372</v>
      </c>
      <c r="G9924" t="s">
        <v>29380</v>
      </c>
      <c r="H9924" t="s">
        <v>11048</v>
      </c>
      <c r="I9924" t="s">
        <v>10408</v>
      </c>
      <c r="J9924" t="s">
        <v>35850</v>
      </c>
      <c r="K9924" t="s">
        <v>38496</v>
      </c>
      <c r="M9924" t="s">
        <v>41940</v>
      </c>
      <c r="N9924" t="s">
        <v>42669</v>
      </c>
      <c r="O9924" t="s">
        <v>42670</v>
      </c>
      <c r="P9924">
        <v>0</v>
      </c>
      <c r="Q9924">
        <v>3</v>
      </c>
      <c r="R9924" t="s">
        <v>42683</v>
      </c>
      <c r="S9924" t="s">
        <v>43062</v>
      </c>
      <c r="T9924" t="s">
        <v>44491</v>
      </c>
      <c r="U9924" t="s">
        <v>52947</v>
      </c>
      <c r="V9924" t="s">
        <v>57471</v>
      </c>
      <c r="W9924" t="s">
        <v>41940</v>
      </c>
      <c r="X9924" t="s">
        <v>42684</v>
      </c>
    </row>
    <row r="9925" spans="1:24">
      <c r="A9925">
        <f>HYPERLINK("https://www.philgeps.gov.ph/GEPSNONPILOT/Tender/SplashBidNoticeAbstractUI.aspx?menuIndex=3&amp;refID=7171747&amp;Result=3","7171747")</f>
        <v>0</v>
      </c>
      <c r="B9925" t="s">
        <v>775</v>
      </c>
      <c r="C9925" t="s">
        <v>12998</v>
      </c>
      <c r="D9925" t="s">
        <v>17181</v>
      </c>
      <c r="E9925" t="s">
        <v>25739</v>
      </c>
      <c r="F9925" t="s">
        <v>29372</v>
      </c>
      <c r="G9925" t="s">
        <v>29380</v>
      </c>
      <c r="H9925" t="s">
        <v>11048</v>
      </c>
      <c r="I9925" t="s">
        <v>5383</v>
      </c>
      <c r="J9925" t="s">
        <v>35851</v>
      </c>
      <c r="K9925" t="s">
        <v>38485</v>
      </c>
      <c r="M9925" t="s">
        <v>39559</v>
      </c>
      <c r="N9925" t="s">
        <v>42669</v>
      </c>
      <c r="O9925" t="s">
        <v>42670</v>
      </c>
      <c r="P9925">
        <v>0</v>
      </c>
      <c r="Q9925">
        <v>1</v>
      </c>
      <c r="R9925" t="s">
        <v>42683</v>
      </c>
      <c r="S9925" t="s">
        <v>43062</v>
      </c>
      <c r="T9925" t="s">
        <v>44488</v>
      </c>
      <c r="U9925" t="s">
        <v>52948</v>
      </c>
      <c r="W9925" t="s">
        <v>39559</v>
      </c>
      <c r="X9925" t="s">
        <v>42684</v>
      </c>
    </row>
    <row r="9926" spans="1:24">
      <c r="A9926">
        <f>HYPERLINK("https://www.philgeps.gov.ph/GEPSNONPILOT/Tender/SplashBidNoticeAbstractUI.aspx?menuIndex=3&amp;refID=7171717&amp;Result=3","7171717")</f>
        <v>0</v>
      </c>
      <c r="B9926" t="s">
        <v>2925</v>
      </c>
      <c r="C9926" t="s">
        <v>12999</v>
      </c>
      <c r="D9926" t="s">
        <v>17216</v>
      </c>
      <c r="E9926" t="s">
        <v>25740</v>
      </c>
      <c r="F9926" t="s">
        <v>29373</v>
      </c>
      <c r="G9926" t="s">
        <v>29380</v>
      </c>
      <c r="H9926" t="s">
        <v>11048</v>
      </c>
      <c r="I9926" t="s">
        <v>4709</v>
      </c>
      <c r="J9926" t="s">
        <v>35852</v>
      </c>
      <c r="K9926" t="s">
        <v>38488</v>
      </c>
      <c r="M9926" t="s">
        <v>41926</v>
      </c>
      <c r="N9926" t="s">
        <v>42669</v>
      </c>
      <c r="O9926" t="s">
        <v>42670</v>
      </c>
      <c r="P9926">
        <v>0</v>
      </c>
      <c r="Q9926">
        <v>0</v>
      </c>
      <c r="R9926" t="s">
        <v>42683</v>
      </c>
      <c r="S9926" t="s">
        <v>43062</v>
      </c>
      <c r="T9926" t="s">
        <v>44357</v>
      </c>
      <c r="U9926" t="s">
        <v>52949</v>
      </c>
      <c r="W9926" t="s">
        <v>41926</v>
      </c>
      <c r="X9926" t="s">
        <v>42684</v>
      </c>
    </row>
    <row r="9927" spans="1:24">
      <c r="A9927">
        <f>HYPERLINK("https://www.philgeps.gov.ph/GEPSNONPILOT/Tender/SplashBidNoticeAbstractUI.aspx?menuIndex=3&amp;refID=7171715&amp;Result=3","7171715")</f>
        <v>0</v>
      </c>
      <c r="B9927" t="s">
        <v>2694</v>
      </c>
      <c r="C9927" t="s">
        <v>13000</v>
      </c>
      <c r="D9927" t="s">
        <v>17153</v>
      </c>
      <c r="E9927" t="s">
        <v>25741</v>
      </c>
      <c r="F9927" t="s">
        <v>29372</v>
      </c>
      <c r="G9927" t="s">
        <v>29380</v>
      </c>
      <c r="H9927" t="s">
        <v>29389</v>
      </c>
      <c r="I9927" t="s">
        <v>10408</v>
      </c>
      <c r="J9927" t="s">
        <v>29580</v>
      </c>
      <c r="K9927" t="s">
        <v>38538</v>
      </c>
      <c r="M9927" t="s">
        <v>41674</v>
      </c>
      <c r="N9927" t="s">
        <v>42669</v>
      </c>
      <c r="O9927" t="s">
        <v>42670</v>
      </c>
      <c r="P9927">
        <v>0</v>
      </c>
      <c r="Q9927">
        <v>0</v>
      </c>
      <c r="R9927" t="s">
        <v>42683</v>
      </c>
      <c r="S9927" t="s">
        <v>43062</v>
      </c>
      <c r="T9927" t="s">
        <v>44391</v>
      </c>
      <c r="U9927" t="s">
        <v>52950</v>
      </c>
      <c r="V9927" t="s">
        <v>57472</v>
      </c>
      <c r="W9927" t="s">
        <v>41674</v>
      </c>
      <c r="X9927" t="s">
        <v>42684</v>
      </c>
    </row>
    <row r="9928" spans="1:24">
      <c r="A9928">
        <f>HYPERLINK("https://www.philgeps.gov.ph/GEPSNONPILOT/Tender/SplashBidNoticeAbstractUI.aspx?menuIndex=3&amp;refID=7171708&amp;Result=3","7171708")</f>
        <v>0</v>
      </c>
      <c r="B9928" t="s">
        <v>110</v>
      </c>
      <c r="C9928" t="s">
        <v>13001</v>
      </c>
      <c r="D9928" t="s">
        <v>17165</v>
      </c>
      <c r="E9928" t="s">
        <v>25742</v>
      </c>
      <c r="F9928" t="s">
        <v>29372</v>
      </c>
      <c r="G9928" t="s">
        <v>29380</v>
      </c>
      <c r="H9928" t="s">
        <v>11048</v>
      </c>
      <c r="I9928" t="s">
        <v>3839</v>
      </c>
      <c r="J9928" t="s">
        <v>34346</v>
      </c>
      <c r="K9928" t="s">
        <v>38488</v>
      </c>
      <c r="L9928" t="s">
        <v>110</v>
      </c>
      <c r="M9928" t="s">
        <v>38865</v>
      </c>
      <c r="N9928" t="s">
        <v>42669</v>
      </c>
      <c r="O9928" t="s">
        <v>42670</v>
      </c>
      <c r="P9928">
        <v>0</v>
      </c>
      <c r="Q9928">
        <v>9</v>
      </c>
      <c r="R9928" t="s">
        <v>42683</v>
      </c>
      <c r="S9928" t="s">
        <v>43062</v>
      </c>
      <c r="T9928" t="s">
        <v>44375</v>
      </c>
      <c r="U9928" t="s">
        <v>51683</v>
      </c>
      <c r="V9928" t="s">
        <v>56354</v>
      </c>
      <c r="W9928" t="s">
        <v>38865</v>
      </c>
      <c r="X9928" t="s">
        <v>42684</v>
      </c>
    </row>
    <row r="9929" spans="1:24">
      <c r="A9929">
        <f>HYPERLINK("https://www.philgeps.gov.ph/GEPSNONPILOT/Tender/SplashBidNoticeAbstractUI.aspx?menuIndex=3&amp;refID=7171768&amp;Result=3","7171768")</f>
        <v>0</v>
      </c>
      <c r="B9929" t="s">
        <v>1152</v>
      </c>
      <c r="C9929" t="s">
        <v>13002</v>
      </c>
      <c r="D9929" t="s">
        <v>17204</v>
      </c>
      <c r="E9929" t="s">
        <v>25743</v>
      </c>
      <c r="F9929" t="s">
        <v>29372</v>
      </c>
      <c r="G9929" t="s">
        <v>29380</v>
      </c>
      <c r="H9929" t="s">
        <v>11048</v>
      </c>
      <c r="I9929" t="s">
        <v>29412</v>
      </c>
      <c r="J9929" t="s">
        <v>35853</v>
      </c>
      <c r="K9929" t="s">
        <v>38510</v>
      </c>
      <c r="M9929" t="s">
        <v>39966</v>
      </c>
      <c r="N9929" t="s">
        <v>42669</v>
      </c>
      <c r="O9929" t="s">
        <v>42670</v>
      </c>
      <c r="P9929">
        <v>0</v>
      </c>
      <c r="Q9929">
        <v>4</v>
      </c>
      <c r="R9929" t="s">
        <v>42683</v>
      </c>
      <c r="S9929" t="s">
        <v>43062</v>
      </c>
      <c r="T9929" t="s">
        <v>44527</v>
      </c>
      <c r="U9929" t="s">
        <v>52951</v>
      </c>
      <c r="V9929" t="s">
        <v>57473</v>
      </c>
      <c r="W9929" t="s">
        <v>39966</v>
      </c>
      <c r="X9929" t="s">
        <v>42684</v>
      </c>
    </row>
    <row r="9930" spans="1:24">
      <c r="A9930">
        <f>HYPERLINK("https://www.philgeps.gov.ph/GEPSNONPILOT/Tender/SplashBidNoticeAbstractUI.aspx?menuIndex=3&amp;refID=7171818&amp;Result=3","7171818")</f>
        <v>0</v>
      </c>
      <c r="B9930" t="s">
        <v>2938</v>
      </c>
      <c r="C9930" t="s">
        <v>13003</v>
      </c>
      <c r="D9930" t="s">
        <v>17144</v>
      </c>
      <c r="E9930" t="s">
        <v>25744</v>
      </c>
      <c r="F9930" t="s">
        <v>29372</v>
      </c>
      <c r="G9930" t="s">
        <v>29380</v>
      </c>
      <c r="H9930" t="s">
        <v>11048</v>
      </c>
      <c r="I9930" t="s">
        <v>10408</v>
      </c>
      <c r="J9930" t="s">
        <v>35854</v>
      </c>
      <c r="K9930" t="s">
        <v>38530</v>
      </c>
      <c r="M9930" t="s">
        <v>41940</v>
      </c>
      <c r="N9930" t="s">
        <v>42669</v>
      </c>
      <c r="O9930" t="s">
        <v>42670</v>
      </c>
      <c r="P9930">
        <v>0</v>
      </c>
      <c r="Q9930">
        <v>1</v>
      </c>
      <c r="R9930" t="s">
        <v>42683</v>
      </c>
      <c r="S9930" t="s">
        <v>43062</v>
      </c>
      <c r="T9930" t="s">
        <v>44491</v>
      </c>
      <c r="U9930" t="s">
        <v>52952</v>
      </c>
      <c r="V9930" t="s">
        <v>57474</v>
      </c>
      <c r="W9930" t="s">
        <v>41940</v>
      </c>
      <c r="X9930" t="s">
        <v>42684</v>
      </c>
    </row>
    <row r="9931" spans="1:24">
      <c r="A9931">
        <f>HYPERLINK("https://www.philgeps.gov.ph/GEPSNONPILOT/Tender/SplashBidNoticeAbstractUI.aspx?menuIndex=3&amp;refID=7171591&amp;Result=3","7171591")</f>
        <v>0</v>
      </c>
      <c r="B9931" t="s">
        <v>129</v>
      </c>
      <c r="C9931" t="s">
        <v>13004</v>
      </c>
      <c r="E9931" t="s">
        <v>25745</v>
      </c>
      <c r="F9931" t="s">
        <v>29372</v>
      </c>
      <c r="G9931" t="s">
        <v>29380</v>
      </c>
      <c r="H9931" t="s">
        <v>11048</v>
      </c>
      <c r="I9931" t="s">
        <v>29392</v>
      </c>
      <c r="J9931" t="s">
        <v>35855</v>
      </c>
      <c r="K9931" t="s">
        <v>38490</v>
      </c>
      <c r="M9931" t="s">
        <v>38884</v>
      </c>
      <c r="N9931" t="s">
        <v>42669</v>
      </c>
      <c r="O9931" t="s">
        <v>42670</v>
      </c>
      <c r="P9931">
        <v>0</v>
      </c>
      <c r="Q9931">
        <v>2</v>
      </c>
      <c r="R9931" t="s">
        <v>42683</v>
      </c>
      <c r="S9931" t="s">
        <v>43062</v>
      </c>
      <c r="T9931" t="s">
        <v>44422</v>
      </c>
      <c r="U9931" t="s">
        <v>52953</v>
      </c>
      <c r="W9931" t="s">
        <v>38884</v>
      </c>
      <c r="X9931" t="s">
        <v>42684</v>
      </c>
    </row>
    <row r="9932" spans="1:24">
      <c r="A9932">
        <f>HYPERLINK("https://www.philgeps.gov.ph/GEPSNONPILOT/Tender/SplashBidNoticeAbstractUI.aspx?menuIndex=3&amp;refID=7171955&amp;Result=3","7171955")</f>
        <v>0</v>
      </c>
      <c r="B9932" t="s">
        <v>2939</v>
      </c>
      <c r="C9932" t="s">
        <v>13005</v>
      </c>
      <c r="D9932" t="s">
        <v>17159</v>
      </c>
      <c r="E9932" t="s">
        <v>25746</v>
      </c>
      <c r="F9932" t="s">
        <v>29372</v>
      </c>
      <c r="G9932" t="s">
        <v>29380</v>
      </c>
      <c r="H9932" t="s">
        <v>11048</v>
      </c>
      <c r="I9932" t="s">
        <v>4709</v>
      </c>
      <c r="J9932" t="s">
        <v>35856</v>
      </c>
      <c r="K9932" t="s">
        <v>38485</v>
      </c>
      <c r="M9932" t="s">
        <v>41941</v>
      </c>
      <c r="N9932" t="s">
        <v>42669</v>
      </c>
      <c r="O9932" t="s">
        <v>42670</v>
      </c>
      <c r="P9932">
        <v>0</v>
      </c>
      <c r="Q9932">
        <v>0</v>
      </c>
      <c r="R9932" t="s">
        <v>42683</v>
      </c>
      <c r="S9932" t="s">
        <v>43062</v>
      </c>
      <c r="T9932" t="s">
        <v>44527</v>
      </c>
      <c r="U9932" t="s">
        <v>47707</v>
      </c>
      <c r="W9932" t="s">
        <v>41941</v>
      </c>
      <c r="X9932" t="s">
        <v>42684</v>
      </c>
    </row>
    <row r="9933" spans="1:24">
      <c r="A9933">
        <f>HYPERLINK("https://www.philgeps.gov.ph/GEPSNONPILOT/Tender/SplashBidNoticeAbstractUI.aspx?menuIndex=3&amp;refID=7171953&amp;Result=3","7171953")</f>
        <v>0</v>
      </c>
      <c r="B9933" t="s">
        <v>289</v>
      </c>
      <c r="C9933" t="s">
        <v>13006</v>
      </c>
      <c r="E9933" t="s">
        <v>25747</v>
      </c>
      <c r="F9933" t="s">
        <v>29372</v>
      </c>
      <c r="G9933" t="s">
        <v>29380</v>
      </c>
      <c r="H9933" t="s">
        <v>11048</v>
      </c>
      <c r="I9933" t="s">
        <v>9469</v>
      </c>
      <c r="J9933" t="s">
        <v>30412</v>
      </c>
      <c r="K9933" t="s">
        <v>38490</v>
      </c>
      <c r="M9933" t="s">
        <v>39048</v>
      </c>
      <c r="N9933" t="s">
        <v>42669</v>
      </c>
      <c r="O9933" t="s">
        <v>42670</v>
      </c>
      <c r="P9933">
        <v>0</v>
      </c>
      <c r="Q9933">
        <v>0</v>
      </c>
      <c r="R9933" t="s">
        <v>42683</v>
      </c>
      <c r="S9933" t="s">
        <v>43062</v>
      </c>
      <c r="T9933" t="s">
        <v>44366</v>
      </c>
      <c r="U9933" t="s">
        <v>52954</v>
      </c>
      <c r="W9933" t="s">
        <v>39048</v>
      </c>
      <c r="X9933" t="s">
        <v>42684</v>
      </c>
    </row>
    <row r="9934" spans="1:24">
      <c r="A9934">
        <f>HYPERLINK("https://www.philgeps.gov.ph/GEPSNONPILOT/Tender/SplashBidNoticeAbstractUI.aspx?menuIndex=3&amp;refID=7171752&amp;Result=3","7171752")</f>
        <v>0</v>
      </c>
      <c r="B9934" t="s">
        <v>110</v>
      </c>
      <c r="C9934" t="s">
        <v>13007</v>
      </c>
      <c r="D9934" t="s">
        <v>17165</v>
      </c>
      <c r="E9934" t="s">
        <v>25748</v>
      </c>
      <c r="F9934" t="s">
        <v>29372</v>
      </c>
      <c r="G9934" t="s">
        <v>29380</v>
      </c>
      <c r="H9934" t="s">
        <v>11048</v>
      </c>
      <c r="I9934" t="s">
        <v>3695</v>
      </c>
      <c r="J9934" t="s">
        <v>35857</v>
      </c>
      <c r="K9934" t="s">
        <v>38510</v>
      </c>
      <c r="L9934" t="s">
        <v>110</v>
      </c>
      <c r="M9934" t="s">
        <v>38865</v>
      </c>
      <c r="N9934" t="s">
        <v>42669</v>
      </c>
      <c r="O9934" t="s">
        <v>42670</v>
      </c>
      <c r="P9934">
        <v>0</v>
      </c>
      <c r="Q9934">
        <v>11</v>
      </c>
      <c r="R9934" t="s">
        <v>42683</v>
      </c>
      <c r="S9934" t="s">
        <v>43062</v>
      </c>
      <c r="T9934" t="s">
        <v>44375</v>
      </c>
      <c r="U9934" t="s">
        <v>45036</v>
      </c>
      <c r="V9934" t="s">
        <v>56354</v>
      </c>
      <c r="W9934" t="s">
        <v>38865</v>
      </c>
      <c r="X9934" t="s">
        <v>42684</v>
      </c>
    </row>
    <row r="9935" spans="1:24">
      <c r="A9935">
        <f>HYPERLINK("https://www.philgeps.gov.ph/GEPSNONPILOT/Tender/SplashBidNoticeAbstractUI.aspx?menuIndex=3&amp;refID=7171941&amp;Result=3","7171941")</f>
        <v>0</v>
      </c>
      <c r="B9935" t="s">
        <v>289</v>
      </c>
      <c r="C9935" t="s">
        <v>13008</v>
      </c>
      <c r="E9935" t="s">
        <v>25749</v>
      </c>
      <c r="F9935" t="s">
        <v>29372</v>
      </c>
      <c r="G9935" t="s">
        <v>29380</v>
      </c>
      <c r="H9935" t="s">
        <v>11048</v>
      </c>
      <c r="I9935" t="s">
        <v>9469</v>
      </c>
      <c r="J9935" t="s">
        <v>35858</v>
      </c>
      <c r="K9935" t="s">
        <v>38490</v>
      </c>
      <c r="M9935" t="s">
        <v>39048</v>
      </c>
      <c r="N9935" t="s">
        <v>42669</v>
      </c>
      <c r="O9935" t="s">
        <v>42670</v>
      </c>
      <c r="P9935">
        <v>0</v>
      </c>
      <c r="Q9935">
        <v>0</v>
      </c>
      <c r="R9935" t="s">
        <v>42683</v>
      </c>
      <c r="S9935" t="s">
        <v>43062</v>
      </c>
      <c r="T9935" t="s">
        <v>44366</v>
      </c>
      <c r="U9935" t="s">
        <v>52954</v>
      </c>
      <c r="W9935" t="s">
        <v>39048</v>
      </c>
      <c r="X9935" t="s">
        <v>42684</v>
      </c>
    </row>
    <row r="9936" spans="1:24">
      <c r="A9936">
        <f>HYPERLINK("https://www.philgeps.gov.ph/GEPSNONPILOT/Tender/SplashBidNoticeAbstractUI.aspx?menuIndex=3&amp;refID=7171950&amp;Result=3","7171950")</f>
        <v>0</v>
      </c>
      <c r="B9936" t="s">
        <v>2940</v>
      </c>
      <c r="C9936" t="s">
        <v>13009</v>
      </c>
      <c r="D9936" t="s">
        <v>17170</v>
      </c>
      <c r="E9936" t="s">
        <v>25750</v>
      </c>
      <c r="F9936" t="s">
        <v>29372</v>
      </c>
      <c r="G9936" t="s">
        <v>29380</v>
      </c>
      <c r="H9936" t="s">
        <v>11048</v>
      </c>
      <c r="I9936" t="s">
        <v>4709</v>
      </c>
      <c r="J9936" t="s">
        <v>29526</v>
      </c>
      <c r="K9936" t="s">
        <v>38485</v>
      </c>
      <c r="M9936" t="s">
        <v>41942</v>
      </c>
      <c r="N9936" t="s">
        <v>42669</v>
      </c>
      <c r="O9936" t="s">
        <v>42670</v>
      </c>
      <c r="P9936">
        <v>0</v>
      </c>
      <c r="Q9936">
        <v>4</v>
      </c>
      <c r="R9936" t="s">
        <v>42683</v>
      </c>
      <c r="S9936" t="s">
        <v>43062</v>
      </c>
      <c r="T9936" t="s">
        <v>44399</v>
      </c>
      <c r="U9936" t="s">
        <v>52955</v>
      </c>
      <c r="W9936" t="s">
        <v>41942</v>
      </c>
      <c r="X9936" t="s">
        <v>42684</v>
      </c>
    </row>
    <row r="9937" spans="1:24">
      <c r="A9937">
        <f>HYPERLINK("https://www.philgeps.gov.ph/GEPSNONPILOT/Tender/SplashBidNoticeAbstractUI.aspx?menuIndex=3&amp;refID=7171939&amp;Result=3","7171939")</f>
        <v>0</v>
      </c>
      <c r="B9937" t="s">
        <v>2925</v>
      </c>
      <c r="C9937" t="s">
        <v>13010</v>
      </c>
      <c r="D9937" t="s">
        <v>17216</v>
      </c>
      <c r="E9937" t="s">
        <v>25751</v>
      </c>
      <c r="F9937" t="s">
        <v>29373</v>
      </c>
      <c r="G9937" t="s">
        <v>29380</v>
      </c>
      <c r="H9937" t="s">
        <v>11048</v>
      </c>
      <c r="I9937" t="s">
        <v>4709</v>
      </c>
      <c r="J9937" t="s">
        <v>35859</v>
      </c>
      <c r="K9937" t="s">
        <v>38488</v>
      </c>
      <c r="M9937" t="s">
        <v>41926</v>
      </c>
      <c r="N9937" t="s">
        <v>42669</v>
      </c>
      <c r="O9937" t="s">
        <v>42670</v>
      </c>
      <c r="P9937">
        <v>0</v>
      </c>
      <c r="Q9937">
        <v>0</v>
      </c>
      <c r="R9937" t="s">
        <v>42683</v>
      </c>
      <c r="S9937" t="s">
        <v>43062</v>
      </c>
      <c r="T9937" t="s">
        <v>44357</v>
      </c>
      <c r="U9937" t="s">
        <v>52956</v>
      </c>
      <c r="W9937" t="s">
        <v>41926</v>
      </c>
      <c r="X9937" t="s">
        <v>42684</v>
      </c>
    </row>
    <row r="9938" spans="1:24">
      <c r="A9938">
        <f>HYPERLINK("https://www.philgeps.gov.ph/GEPSNONPILOT/Tender/SplashBidNoticeAbstractUI.aspx?menuIndex=3&amp;refID=7171938&amp;Result=3","7171938")</f>
        <v>0</v>
      </c>
      <c r="B9938" t="s">
        <v>1718</v>
      </c>
      <c r="C9938" t="s">
        <v>13011</v>
      </c>
      <c r="D9938" t="s">
        <v>17184</v>
      </c>
      <c r="E9938" t="s">
        <v>25752</v>
      </c>
      <c r="F9938" t="s">
        <v>29372</v>
      </c>
      <c r="G9938" t="s">
        <v>29380</v>
      </c>
      <c r="H9938" t="s">
        <v>11048</v>
      </c>
      <c r="I9938" t="s">
        <v>3695</v>
      </c>
      <c r="J9938" t="s">
        <v>35860</v>
      </c>
      <c r="K9938" t="s">
        <v>38485</v>
      </c>
      <c r="M9938" t="s">
        <v>40581</v>
      </c>
      <c r="N9938" t="s">
        <v>42669</v>
      </c>
      <c r="O9938" t="s">
        <v>42670</v>
      </c>
      <c r="Q9938">
        <v>12</v>
      </c>
      <c r="R9938" t="s">
        <v>42683</v>
      </c>
      <c r="S9938" t="s">
        <v>43101</v>
      </c>
      <c r="T9938" t="s">
        <v>44375</v>
      </c>
      <c r="U9938" t="s">
        <v>52957</v>
      </c>
      <c r="W9938" t="s">
        <v>40581</v>
      </c>
      <c r="X9938" t="s">
        <v>42684</v>
      </c>
    </row>
    <row r="9939" spans="1:24">
      <c r="A9939">
        <f>HYPERLINK("https://www.philgeps.gov.ph/GEPSNONPILOT/Tender/SplashBidNoticeAbstractUI.aspx?menuIndex=3&amp;refID=7171921&amp;Result=3","7171921")</f>
        <v>0</v>
      </c>
      <c r="B9939" t="s">
        <v>2925</v>
      </c>
      <c r="C9939" t="s">
        <v>13012</v>
      </c>
      <c r="D9939" t="s">
        <v>17216</v>
      </c>
      <c r="E9939" t="s">
        <v>25753</v>
      </c>
      <c r="F9939" t="s">
        <v>29373</v>
      </c>
      <c r="G9939" t="s">
        <v>29380</v>
      </c>
      <c r="H9939" t="s">
        <v>11048</v>
      </c>
      <c r="I9939" t="s">
        <v>4709</v>
      </c>
      <c r="J9939" t="s">
        <v>35861</v>
      </c>
      <c r="K9939" t="s">
        <v>38488</v>
      </c>
      <c r="M9939" t="s">
        <v>41926</v>
      </c>
      <c r="N9939" t="s">
        <v>42669</v>
      </c>
      <c r="O9939" t="s">
        <v>42670</v>
      </c>
      <c r="P9939">
        <v>0</v>
      </c>
      <c r="Q9939">
        <v>0</v>
      </c>
      <c r="R9939" t="s">
        <v>42683</v>
      </c>
      <c r="S9939" t="s">
        <v>43062</v>
      </c>
      <c r="T9939" t="s">
        <v>44357</v>
      </c>
      <c r="U9939" t="s">
        <v>52958</v>
      </c>
      <c r="W9939" t="s">
        <v>41926</v>
      </c>
      <c r="X9939" t="s">
        <v>42684</v>
      </c>
    </row>
    <row r="9940" spans="1:24">
      <c r="A9940">
        <f>HYPERLINK("https://www.philgeps.gov.ph/GEPSNONPILOT/Tender/SplashBidNoticeAbstractUI.aspx?menuIndex=3&amp;refID=7171945&amp;Result=3","7171945")</f>
        <v>0</v>
      </c>
      <c r="B9940" t="s">
        <v>476</v>
      </c>
      <c r="C9940" t="s">
        <v>13013</v>
      </c>
      <c r="E9940" t="s">
        <v>25754</v>
      </c>
      <c r="F9940" t="s">
        <v>29372</v>
      </c>
      <c r="G9940" t="s">
        <v>29380</v>
      </c>
      <c r="H9940" t="s">
        <v>29389</v>
      </c>
      <c r="I9940" t="s">
        <v>10408</v>
      </c>
      <c r="J9940" t="s">
        <v>35862</v>
      </c>
      <c r="K9940" t="s">
        <v>38490</v>
      </c>
      <c r="M9940" t="s">
        <v>39241</v>
      </c>
      <c r="N9940" t="s">
        <v>42669</v>
      </c>
      <c r="O9940" t="s">
        <v>42670</v>
      </c>
      <c r="Q9940">
        <v>3</v>
      </c>
      <c r="R9940" t="s">
        <v>42683</v>
      </c>
      <c r="S9940" t="s">
        <v>43102</v>
      </c>
      <c r="T9940" t="s">
        <v>44357</v>
      </c>
      <c r="U9940" t="s">
        <v>52462</v>
      </c>
      <c r="W9940" t="s">
        <v>39241</v>
      </c>
      <c r="X9940" t="s">
        <v>42684</v>
      </c>
    </row>
    <row r="9941" spans="1:24">
      <c r="A9941">
        <f>HYPERLINK("https://www.philgeps.gov.ph/GEPSNONPILOT/Tender/SplashBidNoticeAbstractUI.aspx?menuIndex=3&amp;refID=7171912&amp;Result=3","7171912")</f>
        <v>0</v>
      </c>
      <c r="B9941" t="s">
        <v>2936</v>
      </c>
      <c r="C9941" t="s">
        <v>13014</v>
      </c>
      <c r="D9941" t="s">
        <v>17151</v>
      </c>
      <c r="E9941" t="s">
        <v>25755</v>
      </c>
      <c r="F9941" t="s">
        <v>29372</v>
      </c>
      <c r="G9941" t="s">
        <v>29385</v>
      </c>
      <c r="H9941" t="s">
        <v>11048</v>
      </c>
      <c r="I9941" t="s">
        <v>3860</v>
      </c>
      <c r="J9941" t="s">
        <v>35863</v>
      </c>
      <c r="K9941" t="s">
        <v>38491</v>
      </c>
      <c r="M9941" t="s">
        <v>41938</v>
      </c>
      <c r="N9941" t="s">
        <v>42669</v>
      </c>
      <c r="O9941" t="s">
        <v>42670</v>
      </c>
      <c r="P9941">
        <v>0</v>
      </c>
      <c r="Q9941">
        <v>0</v>
      </c>
      <c r="R9941" t="s">
        <v>42683</v>
      </c>
      <c r="S9941" t="s">
        <v>43062</v>
      </c>
      <c r="T9941" t="s">
        <v>44491</v>
      </c>
      <c r="U9941" t="s">
        <v>52959</v>
      </c>
      <c r="W9941" t="s">
        <v>41938</v>
      </c>
      <c r="X9941" t="s">
        <v>42684</v>
      </c>
    </row>
    <row r="9942" spans="1:24">
      <c r="A9942">
        <f>HYPERLINK("https://www.philgeps.gov.ph/GEPSNONPILOT/Tender/SplashBidNoticeAbstractUI.aspx?menuIndex=3&amp;refID=7171891&amp;Result=3","7171891")</f>
        <v>0</v>
      </c>
      <c r="B9942" t="s">
        <v>2925</v>
      </c>
      <c r="C9942" t="s">
        <v>13015</v>
      </c>
      <c r="D9942" t="s">
        <v>17216</v>
      </c>
      <c r="E9942" t="s">
        <v>25756</v>
      </c>
      <c r="F9942" t="s">
        <v>29373</v>
      </c>
      <c r="G9942" t="s">
        <v>29380</v>
      </c>
      <c r="H9942" t="s">
        <v>11048</v>
      </c>
      <c r="I9942" t="s">
        <v>29393</v>
      </c>
      <c r="J9942" t="s">
        <v>35864</v>
      </c>
      <c r="K9942" t="s">
        <v>38510</v>
      </c>
      <c r="M9942" t="s">
        <v>41926</v>
      </c>
      <c r="N9942" t="s">
        <v>42669</v>
      </c>
      <c r="O9942" t="s">
        <v>42670</v>
      </c>
      <c r="P9942">
        <v>0</v>
      </c>
      <c r="Q9942">
        <v>0</v>
      </c>
      <c r="R9942" t="s">
        <v>42683</v>
      </c>
      <c r="S9942" t="s">
        <v>43062</v>
      </c>
      <c r="T9942" t="s">
        <v>44357</v>
      </c>
      <c r="U9942" t="s">
        <v>52960</v>
      </c>
      <c r="W9942" t="s">
        <v>41926</v>
      </c>
      <c r="X9942" t="s">
        <v>42684</v>
      </c>
    </row>
    <row r="9943" spans="1:24">
      <c r="A9943">
        <f>HYPERLINK("https://www.philgeps.gov.ph/GEPSNONPILOT/Tender/SplashBidNoticeAbstractUI.aspx?menuIndex=3&amp;refID=7171884&amp;Result=3","7171884")</f>
        <v>0</v>
      </c>
      <c r="B9943" t="s">
        <v>2941</v>
      </c>
      <c r="C9943" t="s">
        <v>13016</v>
      </c>
      <c r="D9943" t="s">
        <v>17177</v>
      </c>
      <c r="E9943" t="s">
        <v>25757</v>
      </c>
      <c r="F9943" t="s">
        <v>29372</v>
      </c>
      <c r="G9943" t="s">
        <v>29380</v>
      </c>
      <c r="H9943" t="s">
        <v>29389</v>
      </c>
      <c r="I9943" t="s">
        <v>10408</v>
      </c>
      <c r="J9943" t="s">
        <v>29751</v>
      </c>
      <c r="K9943" t="s">
        <v>38518</v>
      </c>
      <c r="M9943" t="s">
        <v>41943</v>
      </c>
      <c r="N9943" t="s">
        <v>42669</v>
      </c>
      <c r="O9943" t="s">
        <v>42670</v>
      </c>
      <c r="P9943">
        <v>0</v>
      </c>
      <c r="Q9943">
        <v>0</v>
      </c>
      <c r="R9943" t="s">
        <v>42683</v>
      </c>
      <c r="S9943" t="s">
        <v>43062</v>
      </c>
      <c r="T9943" t="s">
        <v>44444</v>
      </c>
      <c r="U9943" t="s">
        <v>52961</v>
      </c>
      <c r="V9943" t="s">
        <v>57162</v>
      </c>
      <c r="W9943" t="s">
        <v>41943</v>
      </c>
      <c r="X9943" t="s">
        <v>42684</v>
      </c>
    </row>
    <row r="9944" spans="1:24">
      <c r="A9944">
        <f>HYPERLINK("https://www.philgeps.gov.ph/GEPSNONPILOT/Tender/SplashBidNoticeAbstractUI.aspx?menuIndex=3&amp;refID=7171868&amp;Result=3","7171868")</f>
        <v>0</v>
      </c>
      <c r="B9944" t="s">
        <v>2936</v>
      </c>
      <c r="C9944" t="s">
        <v>13017</v>
      </c>
      <c r="D9944" t="s">
        <v>17151</v>
      </c>
      <c r="E9944" t="s">
        <v>25758</v>
      </c>
      <c r="F9944" t="s">
        <v>29372</v>
      </c>
      <c r="G9944" t="s">
        <v>29380</v>
      </c>
      <c r="H9944" t="s">
        <v>11048</v>
      </c>
      <c r="I9944" t="s">
        <v>29393</v>
      </c>
      <c r="J9944" t="s">
        <v>35865</v>
      </c>
      <c r="K9944" t="s">
        <v>38491</v>
      </c>
      <c r="M9944" t="s">
        <v>41938</v>
      </c>
      <c r="N9944" t="s">
        <v>42669</v>
      </c>
      <c r="O9944" t="s">
        <v>42670</v>
      </c>
      <c r="P9944">
        <v>0</v>
      </c>
      <c r="Q9944">
        <v>0</v>
      </c>
      <c r="R9944" t="s">
        <v>42683</v>
      </c>
      <c r="S9944" t="s">
        <v>43062</v>
      </c>
      <c r="T9944" t="s">
        <v>44491</v>
      </c>
      <c r="U9944" t="s">
        <v>52962</v>
      </c>
      <c r="W9944" t="s">
        <v>41938</v>
      </c>
      <c r="X9944" t="s">
        <v>42684</v>
      </c>
    </row>
    <row r="9945" spans="1:24">
      <c r="A9945">
        <f>HYPERLINK("https://www.philgeps.gov.ph/GEPSNONPILOT/Tender/SplashBidNoticeAbstractUI.aspx?menuIndex=3&amp;refID=7171848&amp;Result=3","7171848")</f>
        <v>0</v>
      </c>
      <c r="B9945" t="s">
        <v>1090</v>
      </c>
      <c r="C9945" t="s">
        <v>13018</v>
      </c>
      <c r="D9945" t="s">
        <v>17170</v>
      </c>
      <c r="E9945" t="s">
        <v>25759</v>
      </c>
      <c r="F9945" t="s">
        <v>29372</v>
      </c>
      <c r="G9945" t="s">
        <v>29380</v>
      </c>
      <c r="H9945" t="s">
        <v>29389</v>
      </c>
      <c r="I9945" t="s">
        <v>10408</v>
      </c>
      <c r="J9945" t="s">
        <v>35866</v>
      </c>
      <c r="K9945" t="s">
        <v>38496</v>
      </c>
      <c r="M9945" t="s">
        <v>39897</v>
      </c>
      <c r="N9945" t="s">
        <v>42669</v>
      </c>
      <c r="O9945" t="s">
        <v>42670</v>
      </c>
      <c r="P9945">
        <v>0</v>
      </c>
      <c r="Q9945">
        <v>0</v>
      </c>
      <c r="R9945" t="s">
        <v>42683</v>
      </c>
      <c r="S9945" t="s">
        <v>43062</v>
      </c>
      <c r="T9945" t="s">
        <v>44412</v>
      </c>
      <c r="U9945" t="s">
        <v>52963</v>
      </c>
      <c r="V9945" t="s">
        <v>57475</v>
      </c>
      <c r="W9945" t="s">
        <v>39897</v>
      </c>
      <c r="X9945" t="s">
        <v>42684</v>
      </c>
    </row>
    <row r="9946" spans="1:24">
      <c r="A9946">
        <f>HYPERLINK("https://www.philgeps.gov.ph/GEPSNONPILOT/Tender/SplashBidNoticeAbstractUI.aspx?menuIndex=3&amp;refID=7171845&amp;Result=3","7171845")</f>
        <v>0</v>
      </c>
      <c r="B9946" t="s">
        <v>2937</v>
      </c>
      <c r="C9946" t="s">
        <v>13019</v>
      </c>
      <c r="D9946" t="s">
        <v>17159</v>
      </c>
      <c r="E9946" t="s">
        <v>25760</v>
      </c>
      <c r="F9946" t="s">
        <v>29372</v>
      </c>
      <c r="G9946" t="s">
        <v>29380</v>
      </c>
      <c r="H9946" t="s">
        <v>29389</v>
      </c>
      <c r="I9946" t="s">
        <v>10408</v>
      </c>
      <c r="J9946" t="s">
        <v>30161</v>
      </c>
      <c r="K9946" t="s">
        <v>38527</v>
      </c>
      <c r="M9946" t="s">
        <v>41939</v>
      </c>
      <c r="N9946" t="s">
        <v>42669</v>
      </c>
      <c r="O9946" t="s">
        <v>42670</v>
      </c>
      <c r="P9946">
        <v>0</v>
      </c>
      <c r="Q9946">
        <v>0</v>
      </c>
      <c r="R9946" t="s">
        <v>42683</v>
      </c>
      <c r="S9946" t="s">
        <v>43062</v>
      </c>
      <c r="T9946" t="s">
        <v>44630</v>
      </c>
      <c r="U9946" t="s">
        <v>52964</v>
      </c>
      <c r="W9946" t="s">
        <v>41939</v>
      </c>
      <c r="X9946" t="s">
        <v>42684</v>
      </c>
    </row>
    <row r="9947" spans="1:24">
      <c r="A9947">
        <f>HYPERLINK("https://www.philgeps.gov.ph/GEPSNONPILOT/Tender/SplashBidNoticeAbstractUI.aspx?menuIndex=3&amp;refID=7171957&amp;Result=3","7171957")</f>
        <v>0</v>
      </c>
      <c r="B9947" t="s">
        <v>2942</v>
      </c>
      <c r="C9947" t="s">
        <v>13020</v>
      </c>
      <c r="D9947" t="s">
        <v>17212</v>
      </c>
      <c r="E9947" t="s">
        <v>25761</v>
      </c>
      <c r="F9947" t="s">
        <v>29372</v>
      </c>
      <c r="G9947" t="s">
        <v>29380</v>
      </c>
      <c r="H9947" t="s">
        <v>29389</v>
      </c>
      <c r="I9947" t="s">
        <v>10408</v>
      </c>
      <c r="J9947" t="s">
        <v>35867</v>
      </c>
      <c r="K9947" t="s">
        <v>38641</v>
      </c>
      <c r="M9947" t="s">
        <v>41944</v>
      </c>
      <c r="N9947" t="s">
        <v>42669</v>
      </c>
      <c r="O9947" t="s">
        <v>42670</v>
      </c>
      <c r="P9947">
        <v>0</v>
      </c>
      <c r="Q9947">
        <v>15</v>
      </c>
      <c r="R9947" t="s">
        <v>42683</v>
      </c>
      <c r="S9947" t="s">
        <v>43062</v>
      </c>
      <c r="T9947" t="s">
        <v>44438</v>
      </c>
      <c r="U9947" t="s">
        <v>52965</v>
      </c>
      <c r="W9947" t="s">
        <v>41944</v>
      </c>
      <c r="X9947" t="s">
        <v>42684</v>
      </c>
    </row>
    <row r="9948" spans="1:24">
      <c r="A9948">
        <f>HYPERLINK("https://www.philgeps.gov.ph/GEPSNONPILOT/Tender/SplashBidNoticeAbstractUI.aspx?menuIndex=3&amp;refID=7171989&amp;Result=3","7171989")</f>
        <v>0</v>
      </c>
      <c r="B9948" t="s">
        <v>2943</v>
      </c>
      <c r="C9948" t="s">
        <v>13021</v>
      </c>
      <c r="D9948" t="s">
        <v>17141</v>
      </c>
      <c r="E9948" t="s">
        <v>25762</v>
      </c>
      <c r="F9948" t="s">
        <v>29372</v>
      </c>
      <c r="G9948" t="s">
        <v>29380</v>
      </c>
      <c r="H9948" t="s">
        <v>11048</v>
      </c>
      <c r="I9948" t="s">
        <v>5383</v>
      </c>
      <c r="J9948" t="s">
        <v>29587</v>
      </c>
      <c r="K9948" t="s">
        <v>38491</v>
      </c>
      <c r="M9948" t="s">
        <v>41945</v>
      </c>
      <c r="N9948" t="s">
        <v>42669</v>
      </c>
      <c r="O9948" t="s">
        <v>42670</v>
      </c>
      <c r="P9948">
        <v>0</v>
      </c>
      <c r="Q9948">
        <v>2</v>
      </c>
      <c r="R9948" t="s">
        <v>42683</v>
      </c>
      <c r="S9948" t="s">
        <v>43062</v>
      </c>
      <c r="T9948" t="s">
        <v>44432</v>
      </c>
      <c r="U9948" t="s">
        <v>52966</v>
      </c>
      <c r="W9948" t="s">
        <v>41945</v>
      </c>
      <c r="X9948" t="s">
        <v>42684</v>
      </c>
    </row>
    <row r="9949" spans="1:24">
      <c r="A9949">
        <f>HYPERLINK("https://www.philgeps.gov.ph/GEPSNONPILOT/Tender/SplashBidNoticeAbstractUI.aspx?menuIndex=3&amp;refID=7171643&amp;Result=3","7171643")</f>
        <v>0</v>
      </c>
      <c r="B9949" t="s">
        <v>1523</v>
      </c>
      <c r="C9949" t="s">
        <v>13022</v>
      </c>
      <c r="D9949" t="s">
        <v>17153</v>
      </c>
      <c r="E9949" t="s">
        <v>25715</v>
      </c>
      <c r="F9949" t="s">
        <v>29372</v>
      </c>
      <c r="G9949" t="s">
        <v>29380</v>
      </c>
      <c r="H9949" t="s">
        <v>11048</v>
      </c>
      <c r="I9949" t="s">
        <v>3629</v>
      </c>
      <c r="J9949" t="s">
        <v>35868</v>
      </c>
      <c r="K9949" t="s">
        <v>38490</v>
      </c>
      <c r="M9949" t="s">
        <v>40370</v>
      </c>
      <c r="N9949" t="s">
        <v>42669</v>
      </c>
      <c r="O9949" t="s">
        <v>42670</v>
      </c>
      <c r="Q9949">
        <v>0</v>
      </c>
      <c r="R9949" t="s">
        <v>42683</v>
      </c>
      <c r="S9949" t="s">
        <v>43103</v>
      </c>
      <c r="T9949" t="s">
        <v>44470</v>
      </c>
      <c r="U9949" t="s">
        <v>52915</v>
      </c>
      <c r="W9949" t="s">
        <v>40370</v>
      </c>
      <c r="X9949" t="s">
        <v>42684</v>
      </c>
    </row>
    <row r="9950" spans="1:24">
      <c r="A9950">
        <f>HYPERLINK("https://www.philgeps.gov.ph/GEPSNONPILOT/Tender/SplashBidNoticeAbstractUI.aspx?menuIndex=3&amp;refID=7172032&amp;Result=3","7172032")</f>
        <v>0</v>
      </c>
      <c r="B9950" t="s">
        <v>2943</v>
      </c>
      <c r="C9950" t="s">
        <v>13023</v>
      </c>
      <c r="D9950" t="s">
        <v>17141</v>
      </c>
      <c r="E9950" t="s">
        <v>25763</v>
      </c>
      <c r="F9950" t="s">
        <v>29372</v>
      </c>
      <c r="G9950" t="s">
        <v>29380</v>
      </c>
      <c r="H9950" t="s">
        <v>11048</v>
      </c>
      <c r="I9950" t="s">
        <v>14920</v>
      </c>
      <c r="J9950" t="s">
        <v>35869</v>
      </c>
      <c r="K9950" t="s">
        <v>38491</v>
      </c>
      <c r="M9950" t="s">
        <v>41945</v>
      </c>
      <c r="N9950" t="s">
        <v>42669</v>
      </c>
      <c r="O9950" t="s">
        <v>42670</v>
      </c>
      <c r="P9950">
        <v>0</v>
      </c>
      <c r="Q9950">
        <v>2</v>
      </c>
      <c r="R9950" t="s">
        <v>42683</v>
      </c>
      <c r="S9950" t="s">
        <v>43062</v>
      </c>
      <c r="T9950" t="s">
        <v>44432</v>
      </c>
      <c r="U9950" t="s">
        <v>52967</v>
      </c>
      <c r="W9950" t="s">
        <v>41945</v>
      </c>
      <c r="X9950" t="s">
        <v>42684</v>
      </c>
    </row>
    <row r="9951" spans="1:24">
      <c r="A9951">
        <f>HYPERLINK("https://www.philgeps.gov.ph/GEPSNONPILOT/Tender/SplashBidNoticeAbstractUI.aspx?menuIndex=3&amp;refID=7172031&amp;Result=3","7172031")</f>
        <v>0</v>
      </c>
      <c r="B9951" t="s">
        <v>476</v>
      </c>
      <c r="C9951" t="s">
        <v>13024</v>
      </c>
      <c r="E9951" t="s">
        <v>25764</v>
      </c>
      <c r="F9951" t="s">
        <v>29372</v>
      </c>
      <c r="G9951" t="s">
        <v>29380</v>
      </c>
      <c r="H9951" t="s">
        <v>29389</v>
      </c>
      <c r="I9951" t="s">
        <v>4709</v>
      </c>
      <c r="J9951" t="s">
        <v>35870</v>
      </c>
      <c r="K9951" t="s">
        <v>38490</v>
      </c>
      <c r="M9951" t="s">
        <v>39241</v>
      </c>
      <c r="N9951" t="s">
        <v>42669</v>
      </c>
      <c r="O9951" t="s">
        <v>42670</v>
      </c>
      <c r="Q9951">
        <v>0</v>
      </c>
      <c r="R9951" t="s">
        <v>42683</v>
      </c>
      <c r="S9951" t="s">
        <v>43104</v>
      </c>
      <c r="T9951" t="s">
        <v>44488</v>
      </c>
      <c r="U9951" t="s">
        <v>52462</v>
      </c>
      <c r="W9951" t="s">
        <v>39241</v>
      </c>
      <c r="X9951" t="s">
        <v>42684</v>
      </c>
    </row>
    <row r="9952" spans="1:24">
      <c r="A9952">
        <f>HYPERLINK("https://www.philgeps.gov.ph/GEPSNONPILOT/Tender/SplashBidNoticeAbstractUI.aspx?menuIndex=3&amp;refID=7171885&amp;Result=3","7171885")</f>
        <v>0</v>
      </c>
      <c r="B9952" t="s">
        <v>1642</v>
      </c>
      <c r="C9952" t="s">
        <v>13025</v>
      </c>
      <c r="D9952" t="s">
        <v>17192</v>
      </c>
      <c r="E9952" t="s">
        <v>25765</v>
      </c>
      <c r="F9952" t="s">
        <v>29372</v>
      </c>
      <c r="G9952" t="s">
        <v>29380</v>
      </c>
      <c r="H9952" t="s">
        <v>11048</v>
      </c>
      <c r="I9952" t="s">
        <v>8614</v>
      </c>
      <c r="J9952" t="s">
        <v>35871</v>
      </c>
      <c r="K9952" t="s">
        <v>38487</v>
      </c>
      <c r="M9952" t="s">
        <v>40498</v>
      </c>
      <c r="N9952" t="s">
        <v>42669</v>
      </c>
      <c r="O9952" t="s">
        <v>42670</v>
      </c>
      <c r="Q9952">
        <v>10</v>
      </c>
      <c r="R9952" t="s">
        <v>42683</v>
      </c>
      <c r="S9952" t="s">
        <v>43105</v>
      </c>
      <c r="T9952" t="s">
        <v>44410</v>
      </c>
      <c r="U9952" t="s">
        <v>52968</v>
      </c>
      <c r="W9952" t="s">
        <v>40498</v>
      </c>
      <c r="X9952" t="s">
        <v>42684</v>
      </c>
    </row>
    <row r="9953" spans="1:24">
      <c r="A9953">
        <f>HYPERLINK("https://www.philgeps.gov.ph/GEPSNONPILOT/Tender/SplashBidNoticeAbstractUI.aspx?menuIndex=3&amp;refID=7171951&amp;Result=3","7171951")</f>
        <v>0</v>
      </c>
      <c r="B9953" t="s">
        <v>2943</v>
      </c>
      <c r="C9953" t="s">
        <v>13026</v>
      </c>
      <c r="D9953" t="s">
        <v>17141</v>
      </c>
      <c r="E9953" t="s">
        <v>25766</v>
      </c>
      <c r="F9953" t="s">
        <v>29372</v>
      </c>
      <c r="G9953" t="s">
        <v>29380</v>
      </c>
      <c r="H9953" t="s">
        <v>29390</v>
      </c>
      <c r="I9953" t="s">
        <v>3839</v>
      </c>
      <c r="J9953" t="s">
        <v>34941</v>
      </c>
      <c r="K9953" t="s">
        <v>38491</v>
      </c>
      <c r="M9953" t="s">
        <v>41945</v>
      </c>
      <c r="N9953" t="s">
        <v>42669</v>
      </c>
      <c r="O9953" t="s">
        <v>42670</v>
      </c>
      <c r="P9953">
        <v>0</v>
      </c>
      <c r="Q9953">
        <v>2</v>
      </c>
      <c r="R9953" t="s">
        <v>42683</v>
      </c>
      <c r="S9953" t="s">
        <v>43062</v>
      </c>
      <c r="T9953" t="s">
        <v>44432</v>
      </c>
      <c r="U9953" t="s">
        <v>52969</v>
      </c>
      <c r="W9953" t="s">
        <v>41945</v>
      </c>
      <c r="X9953" t="s">
        <v>42684</v>
      </c>
    </row>
    <row r="9954" spans="1:24">
      <c r="A9954">
        <f>HYPERLINK("https://www.philgeps.gov.ph/GEPSNONPILOT/Tender/SplashBidNoticeAbstractUI.aspx?menuIndex=3&amp;refID=7172016&amp;Result=3","7172016")</f>
        <v>0</v>
      </c>
      <c r="B9954" t="s">
        <v>2943</v>
      </c>
      <c r="C9954" t="s">
        <v>13027</v>
      </c>
      <c r="D9954" t="s">
        <v>17141</v>
      </c>
      <c r="E9954" t="s">
        <v>25767</v>
      </c>
      <c r="F9954" t="s">
        <v>29372</v>
      </c>
      <c r="G9954" t="s">
        <v>29380</v>
      </c>
      <c r="H9954" t="s">
        <v>11048</v>
      </c>
      <c r="I9954" t="s">
        <v>3670</v>
      </c>
      <c r="J9954" t="s">
        <v>35872</v>
      </c>
      <c r="K9954" t="s">
        <v>38491</v>
      </c>
      <c r="M9954" t="s">
        <v>41945</v>
      </c>
      <c r="N9954" t="s">
        <v>42669</v>
      </c>
      <c r="O9954" t="s">
        <v>42670</v>
      </c>
      <c r="P9954">
        <v>0</v>
      </c>
      <c r="Q9954">
        <v>1</v>
      </c>
      <c r="R9954" t="s">
        <v>42683</v>
      </c>
      <c r="S9954" t="s">
        <v>43062</v>
      </c>
      <c r="T9954" t="s">
        <v>44432</v>
      </c>
      <c r="U9954" t="s">
        <v>52970</v>
      </c>
      <c r="W9954" t="s">
        <v>41945</v>
      </c>
      <c r="X9954" t="s">
        <v>42684</v>
      </c>
    </row>
    <row r="9955" spans="1:24">
      <c r="A9955">
        <f>HYPERLINK("https://www.philgeps.gov.ph/GEPSNONPILOT/Tender/SplashBidNoticeAbstractUI.aspx?menuIndex=3&amp;refID=7171841&amp;Result=3","7171841")</f>
        <v>0</v>
      </c>
      <c r="B9955" t="s">
        <v>1718</v>
      </c>
      <c r="C9955" t="s">
        <v>13028</v>
      </c>
      <c r="D9955" t="s">
        <v>17184</v>
      </c>
      <c r="E9955" t="s">
        <v>25768</v>
      </c>
      <c r="F9955" t="s">
        <v>29372</v>
      </c>
      <c r="G9955" t="s">
        <v>29380</v>
      </c>
      <c r="H9955" t="s">
        <v>11048</v>
      </c>
      <c r="I9955" t="s">
        <v>29414</v>
      </c>
      <c r="J9955" t="s">
        <v>32508</v>
      </c>
      <c r="K9955" t="s">
        <v>38485</v>
      </c>
      <c r="M9955" t="s">
        <v>40581</v>
      </c>
      <c r="N9955" t="s">
        <v>42669</v>
      </c>
      <c r="O9955" t="s">
        <v>42670</v>
      </c>
      <c r="Q9955">
        <v>7</v>
      </c>
      <c r="R9955" t="s">
        <v>42683</v>
      </c>
      <c r="S9955" t="s">
        <v>43106</v>
      </c>
      <c r="T9955" t="s">
        <v>44375</v>
      </c>
      <c r="U9955" t="s">
        <v>52971</v>
      </c>
      <c r="W9955" t="s">
        <v>40581</v>
      </c>
      <c r="X9955" t="s">
        <v>42684</v>
      </c>
    </row>
    <row r="9956" spans="1:24">
      <c r="A9956">
        <f>HYPERLINK("https://www.philgeps.gov.ph/GEPSNONPILOT/Tender/SplashBidNoticeAbstractUI.aspx?menuIndex=3&amp;refID=7172013&amp;Result=3","7172013")</f>
        <v>0</v>
      </c>
      <c r="B9956" t="s">
        <v>2943</v>
      </c>
      <c r="C9956" t="s">
        <v>13029</v>
      </c>
      <c r="D9956" t="s">
        <v>17141</v>
      </c>
      <c r="E9956" t="s">
        <v>25769</v>
      </c>
      <c r="F9956" t="s">
        <v>29372</v>
      </c>
      <c r="G9956" t="s">
        <v>29380</v>
      </c>
      <c r="H9956" t="s">
        <v>11048</v>
      </c>
      <c r="I9956" t="s">
        <v>5383</v>
      </c>
      <c r="J9956" t="s">
        <v>35873</v>
      </c>
      <c r="K9956" t="s">
        <v>38491</v>
      </c>
      <c r="M9956" t="s">
        <v>41945</v>
      </c>
      <c r="N9956" t="s">
        <v>42669</v>
      </c>
      <c r="O9956" t="s">
        <v>42670</v>
      </c>
      <c r="P9956">
        <v>0</v>
      </c>
      <c r="Q9956">
        <v>1</v>
      </c>
      <c r="R9956" t="s">
        <v>42683</v>
      </c>
      <c r="S9956" t="s">
        <v>43062</v>
      </c>
      <c r="T9956" t="s">
        <v>44432</v>
      </c>
      <c r="U9956" t="s">
        <v>52966</v>
      </c>
      <c r="W9956" t="s">
        <v>41945</v>
      </c>
      <c r="X9956" t="s">
        <v>42684</v>
      </c>
    </row>
    <row r="9957" spans="1:24">
      <c r="A9957">
        <f>HYPERLINK("https://www.philgeps.gov.ph/GEPSNONPILOT/Tender/SplashBidNoticeAbstractUI.aspx?menuIndex=3&amp;refID=7172011&amp;Result=3","7172011")</f>
        <v>0</v>
      </c>
      <c r="B9957" t="s">
        <v>2943</v>
      </c>
      <c r="C9957" t="s">
        <v>13030</v>
      </c>
      <c r="D9957" t="s">
        <v>17141</v>
      </c>
      <c r="E9957" t="s">
        <v>25770</v>
      </c>
      <c r="F9957" t="s">
        <v>29372</v>
      </c>
      <c r="G9957" t="s">
        <v>29380</v>
      </c>
      <c r="H9957" t="s">
        <v>11048</v>
      </c>
      <c r="I9957" t="s">
        <v>14920</v>
      </c>
      <c r="J9957" t="s">
        <v>32345</v>
      </c>
      <c r="K9957" t="s">
        <v>38491</v>
      </c>
      <c r="M9957" t="s">
        <v>41945</v>
      </c>
      <c r="N9957" t="s">
        <v>42669</v>
      </c>
      <c r="O9957" t="s">
        <v>42670</v>
      </c>
      <c r="P9957">
        <v>0</v>
      </c>
      <c r="Q9957">
        <v>2</v>
      </c>
      <c r="R9957" t="s">
        <v>42683</v>
      </c>
      <c r="S9957" t="s">
        <v>43062</v>
      </c>
      <c r="T9957" t="s">
        <v>44432</v>
      </c>
      <c r="U9957" t="s">
        <v>52967</v>
      </c>
      <c r="W9957" t="s">
        <v>41945</v>
      </c>
      <c r="X9957" t="s">
        <v>42684</v>
      </c>
    </row>
    <row r="9958" spans="1:24">
      <c r="A9958">
        <f>HYPERLINK("https://www.philgeps.gov.ph/GEPSNONPILOT/Tender/SplashBidNoticeAbstractUI.aspx?menuIndex=3&amp;refID=7172002&amp;Result=3","7172002")</f>
        <v>0</v>
      </c>
      <c r="B9958" t="s">
        <v>2943</v>
      </c>
      <c r="C9958" t="s">
        <v>13031</v>
      </c>
      <c r="D9958" t="s">
        <v>17141</v>
      </c>
      <c r="E9958" t="s">
        <v>25771</v>
      </c>
      <c r="F9958" t="s">
        <v>29372</v>
      </c>
      <c r="G9958" t="s">
        <v>29380</v>
      </c>
      <c r="H9958" t="s">
        <v>11048</v>
      </c>
      <c r="I9958" t="s">
        <v>3670</v>
      </c>
      <c r="J9958" t="s">
        <v>35874</v>
      </c>
      <c r="K9958" t="s">
        <v>38491</v>
      </c>
      <c r="M9958" t="s">
        <v>41945</v>
      </c>
      <c r="N9958" t="s">
        <v>42669</v>
      </c>
      <c r="O9958" t="s">
        <v>42670</v>
      </c>
      <c r="P9958">
        <v>0</v>
      </c>
      <c r="Q9958">
        <v>0</v>
      </c>
      <c r="R9958" t="s">
        <v>42683</v>
      </c>
      <c r="S9958" t="s">
        <v>43062</v>
      </c>
      <c r="T9958" t="s">
        <v>44432</v>
      </c>
      <c r="U9958" t="s">
        <v>52970</v>
      </c>
      <c r="W9958" t="s">
        <v>41945</v>
      </c>
      <c r="X9958" t="s">
        <v>42684</v>
      </c>
    </row>
    <row r="9959" spans="1:24">
      <c r="A9959">
        <f>HYPERLINK("https://www.philgeps.gov.ph/GEPSNONPILOT/Tender/SplashBidNoticeAbstractUI.aspx?menuIndex=3&amp;refID=7171722&amp;Result=3","7171722")</f>
        <v>0</v>
      </c>
      <c r="B9959" t="s">
        <v>1279</v>
      </c>
      <c r="C9959" t="s">
        <v>13032</v>
      </c>
      <c r="D9959" t="s">
        <v>17141</v>
      </c>
      <c r="E9959" t="s">
        <v>18519</v>
      </c>
      <c r="F9959" t="s">
        <v>29372</v>
      </c>
      <c r="G9959" t="s">
        <v>29380</v>
      </c>
      <c r="H9959" t="s">
        <v>11048</v>
      </c>
      <c r="I9959" t="s">
        <v>29510</v>
      </c>
      <c r="J9959" t="s">
        <v>34580</v>
      </c>
      <c r="K9959" t="s">
        <v>38490</v>
      </c>
      <c r="M9959" t="s">
        <v>40107</v>
      </c>
      <c r="N9959" t="s">
        <v>42669</v>
      </c>
      <c r="O9959" t="s">
        <v>42670</v>
      </c>
      <c r="Q9959">
        <v>13</v>
      </c>
      <c r="R9959" t="s">
        <v>42683</v>
      </c>
      <c r="S9959" t="s">
        <v>43107</v>
      </c>
      <c r="T9959" t="s">
        <v>44543</v>
      </c>
      <c r="U9959" t="s">
        <v>52972</v>
      </c>
      <c r="W9959" t="s">
        <v>40107</v>
      </c>
      <c r="X9959" t="s">
        <v>42684</v>
      </c>
    </row>
    <row r="9960" spans="1:24">
      <c r="A9960">
        <f>HYPERLINK("https://www.philgeps.gov.ph/GEPSNONPILOT/Tender/SplashBidNoticeAbstractUI.aspx?menuIndex=3&amp;refID=7172014&amp;Result=3","7172014")</f>
        <v>0</v>
      </c>
      <c r="B9960" t="s">
        <v>476</v>
      </c>
      <c r="C9960" t="s">
        <v>13033</v>
      </c>
      <c r="E9960" t="s">
        <v>25772</v>
      </c>
      <c r="F9960" t="s">
        <v>29372</v>
      </c>
      <c r="G9960" t="s">
        <v>29380</v>
      </c>
      <c r="H9960" t="s">
        <v>29389</v>
      </c>
      <c r="I9960" t="s">
        <v>10408</v>
      </c>
      <c r="J9960" t="s">
        <v>35875</v>
      </c>
      <c r="K9960" t="s">
        <v>38490</v>
      </c>
      <c r="M9960" t="s">
        <v>39241</v>
      </c>
      <c r="N9960" t="s">
        <v>42669</v>
      </c>
      <c r="O9960" t="s">
        <v>42670</v>
      </c>
      <c r="Q9960">
        <v>0</v>
      </c>
      <c r="R9960" t="s">
        <v>42683</v>
      </c>
      <c r="S9960" t="s">
        <v>43108</v>
      </c>
      <c r="T9960" t="s">
        <v>44488</v>
      </c>
      <c r="U9960" t="s">
        <v>52462</v>
      </c>
      <c r="W9960" t="s">
        <v>39241</v>
      </c>
      <c r="X9960" t="s">
        <v>42684</v>
      </c>
    </row>
    <row r="9961" spans="1:24">
      <c r="A9961">
        <f>HYPERLINK("https://www.philgeps.gov.ph/GEPSNONPILOT/Tender/SplashBidNoticeAbstractUI.aspx?menuIndex=3&amp;refID=7171988&amp;Result=3","7171988")</f>
        <v>0</v>
      </c>
      <c r="B9961" t="s">
        <v>1597</v>
      </c>
      <c r="C9961" t="s">
        <v>13034</v>
      </c>
      <c r="D9961" t="s">
        <v>17168</v>
      </c>
      <c r="E9961" t="s">
        <v>25773</v>
      </c>
      <c r="F9961" t="s">
        <v>29372</v>
      </c>
      <c r="G9961" t="s">
        <v>29380</v>
      </c>
      <c r="H9961" t="s">
        <v>11048</v>
      </c>
      <c r="I9961" t="s">
        <v>9469</v>
      </c>
      <c r="J9961" t="s">
        <v>29543</v>
      </c>
      <c r="K9961" t="s">
        <v>38485</v>
      </c>
      <c r="M9961" t="s">
        <v>40449</v>
      </c>
      <c r="N9961" t="s">
        <v>42669</v>
      </c>
      <c r="O9961" t="s">
        <v>42670</v>
      </c>
      <c r="P9961">
        <v>0</v>
      </c>
      <c r="Q9961">
        <v>0</v>
      </c>
      <c r="R9961" t="s">
        <v>42683</v>
      </c>
      <c r="S9961" t="s">
        <v>43062</v>
      </c>
      <c r="T9961" t="s">
        <v>44419</v>
      </c>
      <c r="U9961" t="s">
        <v>52973</v>
      </c>
      <c r="V9961" t="s">
        <v>57476</v>
      </c>
      <c r="W9961" t="s">
        <v>40449</v>
      </c>
      <c r="X9961" t="s">
        <v>42684</v>
      </c>
    </row>
    <row r="9962" spans="1:24">
      <c r="A9962">
        <f>HYPERLINK("https://www.philgeps.gov.ph/GEPSNONPILOT/Tender/SplashBidNoticeAbstractUI.aspx?menuIndex=3&amp;refID=7171985&amp;Result=3","7171985")</f>
        <v>0</v>
      </c>
      <c r="B9962" t="s">
        <v>2943</v>
      </c>
      <c r="C9962" t="s">
        <v>13035</v>
      </c>
      <c r="D9962" t="s">
        <v>17141</v>
      </c>
      <c r="E9962" t="s">
        <v>25774</v>
      </c>
      <c r="F9962" t="s">
        <v>29372</v>
      </c>
      <c r="G9962" t="s">
        <v>29380</v>
      </c>
      <c r="H9962" t="s">
        <v>11048</v>
      </c>
      <c r="I9962" t="s">
        <v>3670</v>
      </c>
      <c r="J9962" t="s">
        <v>29729</v>
      </c>
      <c r="K9962" t="s">
        <v>38491</v>
      </c>
      <c r="M9962" t="s">
        <v>41945</v>
      </c>
      <c r="N9962" t="s">
        <v>42669</v>
      </c>
      <c r="O9962" t="s">
        <v>42670</v>
      </c>
      <c r="P9962">
        <v>0</v>
      </c>
      <c r="Q9962">
        <v>0</v>
      </c>
      <c r="R9962" t="s">
        <v>42683</v>
      </c>
      <c r="S9962" t="s">
        <v>43062</v>
      </c>
      <c r="T9962" t="s">
        <v>44432</v>
      </c>
      <c r="U9962" t="s">
        <v>52970</v>
      </c>
      <c r="W9962" t="s">
        <v>41945</v>
      </c>
      <c r="X9962" t="s">
        <v>42684</v>
      </c>
    </row>
    <row r="9963" spans="1:24">
      <c r="A9963">
        <f>HYPERLINK("https://www.philgeps.gov.ph/GEPSNONPILOT/Tender/SplashBidNoticeAbstractUI.aspx?menuIndex=3&amp;refID=7171596&amp;Result=3","7171596")</f>
        <v>0</v>
      </c>
      <c r="B9963" t="s">
        <v>2925</v>
      </c>
      <c r="C9963" t="s">
        <v>13036</v>
      </c>
      <c r="D9963" t="s">
        <v>17216</v>
      </c>
      <c r="E9963" t="s">
        <v>25775</v>
      </c>
      <c r="F9963" t="s">
        <v>29373</v>
      </c>
      <c r="G9963" t="s">
        <v>29380</v>
      </c>
      <c r="H9963" t="s">
        <v>11048</v>
      </c>
      <c r="I9963" t="s">
        <v>4709</v>
      </c>
      <c r="J9963" t="s">
        <v>31608</v>
      </c>
      <c r="K9963" t="s">
        <v>38488</v>
      </c>
      <c r="M9963" t="s">
        <v>41926</v>
      </c>
      <c r="N9963" t="s">
        <v>42669</v>
      </c>
      <c r="O9963" t="s">
        <v>42670</v>
      </c>
      <c r="P9963">
        <v>0</v>
      </c>
      <c r="Q9963">
        <v>0</v>
      </c>
      <c r="R9963" t="s">
        <v>42683</v>
      </c>
      <c r="S9963" t="s">
        <v>43062</v>
      </c>
      <c r="T9963" t="s">
        <v>44357</v>
      </c>
      <c r="U9963" t="s">
        <v>52974</v>
      </c>
      <c r="W9963" t="s">
        <v>41926</v>
      </c>
      <c r="X9963" t="s">
        <v>42684</v>
      </c>
    </row>
    <row r="9964" spans="1:24">
      <c r="A9964">
        <f>HYPERLINK("https://www.philgeps.gov.ph/GEPSNONPILOT/Tender/SplashBidNoticeAbstractUI.aspx?menuIndex=3&amp;refID=7172025&amp;Result=3","7172025")</f>
        <v>0</v>
      </c>
      <c r="B9964" t="s">
        <v>660</v>
      </c>
      <c r="C9964" t="s">
        <v>13037</v>
      </c>
      <c r="E9964" t="s">
        <v>25776</v>
      </c>
      <c r="F9964" t="s">
        <v>29372</v>
      </c>
      <c r="G9964" t="s">
        <v>29380</v>
      </c>
      <c r="H9964" t="s">
        <v>29391</v>
      </c>
      <c r="I9964" t="s">
        <v>29391</v>
      </c>
      <c r="J9964" t="s">
        <v>35876</v>
      </c>
      <c r="K9964" t="s">
        <v>38490</v>
      </c>
      <c r="M9964" t="s">
        <v>41946</v>
      </c>
      <c r="N9964" t="s">
        <v>42669</v>
      </c>
      <c r="O9964" t="s">
        <v>42670</v>
      </c>
      <c r="Q9964">
        <v>4</v>
      </c>
      <c r="R9964" t="s">
        <v>42683</v>
      </c>
      <c r="S9964" t="s">
        <v>43109</v>
      </c>
      <c r="T9964" t="s">
        <v>44396</v>
      </c>
      <c r="U9964" t="s">
        <v>52975</v>
      </c>
      <c r="W9964" t="s">
        <v>41946</v>
      </c>
      <c r="X9964" t="s">
        <v>42684</v>
      </c>
    </row>
    <row r="9965" spans="1:24">
      <c r="A9965">
        <f>HYPERLINK("https://www.philgeps.gov.ph/GEPSNONPILOT/Tender/SplashBidNoticeAbstractUI.aspx?menuIndex=3&amp;refID=7171977&amp;Result=3","7171977")</f>
        <v>0</v>
      </c>
      <c r="B9965" t="s">
        <v>2872</v>
      </c>
      <c r="C9965" t="s">
        <v>13038</v>
      </c>
      <c r="D9965" t="s">
        <v>17192</v>
      </c>
      <c r="E9965" t="s">
        <v>25777</v>
      </c>
      <c r="F9965" t="s">
        <v>29372</v>
      </c>
      <c r="G9965" t="s">
        <v>29380</v>
      </c>
      <c r="H9965" t="s">
        <v>11048</v>
      </c>
      <c r="I9965" t="s">
        <v>5383</v>
      </c>
      <c r="J9965" t="s">
        <v>29764</v>
      </c>
      <c r="K9965" t="s">
        <v>38489</v>
      </c>
      <c r="M9965" t="s">
        <v>41867</v>
      </c>
      <c r="N9965" t="s">
        <v>42669</v>
      </c>
      <c r="O9965" t="s">
        <v>42670</v>
      </c>
      <c r="P9965">
        <v>0</v>
      </c>
      <c r="Q9965">
        <v>0</v>
      </c>
      <c r="R9965" t="s">
        <v>42683</v>
      </c>
      <c r="S9965" t="s">
        <v>43062</v>
      </c>
      <c r="T9965" t="s">
        <v>44371</v>
      </c>
      <c r="U9965" t="s">
        <v>52976</v>
      </c>
      <c r="W9965" t="s">
        <v>41867</v>
      </c>
      <c r="X9965" t="s">
        <v>42684</v>
      </c>
    </row>
    <row r="9966" spans="1:24">
      <c r="A9966">
        <f>HYPERLINK("https://www.philgeps.gov.ph/GEPSNONPILOT/Tender/SplashBidNoticeAbstractUI.aspx?menuIndex=3&amp;refID=7171960&amp;Result=3","7171960")</f>
        <v>0</v>
      </c>
      <c r="B9966" t="s">
        <v>2925</v>
      </c>
      <c r="C9966" t="s">
        <v>13039</v>
      </c>
      <c r="D9966" t="s">
        <v>17216</v>
      </c>
      <c r="E9966" t="s">
        <v>25778</v>
      </c>
      <c r="F9966" t="s">
        <v>29373</v>
      </c>
      <c r="G9966" t="s">
        <v>29380</v>
      </c>
      <c r="H9966" t="s">
        <v>11048</v>
      </c>
      <c r="I9966" t="s">
        <v>4709</v>
      </c>
      <c r="J9966" t="s">
        <v>35877</v>
      </c>
      <c r="K9966" t="s">
        <v>38510</v>
      </c>
      <c r="M9966" t="s">
        <v>41926</v>
      </c>
      <c r="N9966" t="s">
        <v>42669</v>
      </c>
      <c r="O9966" t="s">
        <v>42670</v>
      </c>
      <c r="P9966">
        <v>0</v>
      </c>
      <c r="Q9966">
        <v>0</v>
      </c>
      <c r="R9966" t="s">
        <v>42683</v>
      </c>
      <c r="S9966" t="s">
        <v>43062</v>
      </c>
      <c r="T9966" t="s">
        <v>44357</v>
      </c>
      <c r="U9966" t="s">
        <v>52977</v>
      </c>
      <c r="W9966" t="s">
        <v>41926</v>
      </c>
      <c r="X9966" t="s">
        <v>42684</v>
      </c>
    </row>
    <row r="9967" spans="1:24">
      <c r="A9967">
        <f>HYPERLINK("https://www.philgeps.gov.ph/GEPSNONPILOT/Tender/SplashBidNoticeAbstractUI.aspx?menuIndex=3&amp;refID=7171829&amp;Result=3","7171829")</f>
        <v>0</v>
      </c>
      <c r="B9967" t="s">
        <v>2040</v>
      </c>
      <c r="C9967" t="s">
        <v>13040</v>
      </c>
      <c r="D9967" t="s">
        <v>17216</v>
      </c>
      <c r="E9967" t="s">
        <v>25779</v>
      </c>
      <c r="F9967" t="s">
        <v>29372</v>
      </c>
      <c r="G9967" t="s">
        <v>29380</v>
      </c>
      <c r="H9967" t="s">
        <v>11048</v>
      </c>
      <c r="I9967" t="s">
        <v>3952</v>
      </c>
      <c r="J9967" t="s">
        <v>29619</v>
      </c>
      <c r="K9967" t="s">
        <v>38485</v>
      </c>
      <c r="M9967" t="s">
        <v>40937</v>
      </c>
      <c r="N9967" t="s">
        <v>42669</v>
      </c>
      <c r="O9967" t="s">
        <v>42670</v>
      </c>
      <c r="P9967">
        <v>0</v>
      </c>
      <c r="Q9967">
        <v>5</v>
      </c>
      <c r="R9967" t="s">
        <v>42683</v>
      </c>
      <c r="S9967" t="s">
        <v>43062</v>
      </c>
      <c r="T9967" t="s">
        <v>44397</v>
      </c>
      <c r="U9967" t="s">
        <v>52978</v>
      </c>
      <c r="W9967" t="s">
        <v>40937</v>
      </c>
      <c r="X9967" t="s">
        <v>42684</v>
      </c>
    </row>
    <row r="9968" spans="1:24">
      <c r="A9968">
        <f>HYPERLINK("https://www.philgeps.gov.ph/GEPSNONPILOT/Tender/SplashBidNoticeAbstractUI.aspx?menuIndex=3&amp;refID=7171825&amp;Result=3","7171825")</f>
        <v>0</v>
      </c>
      <c r="B9968" t="s">
        <v>2784</v>
      </c>
      <c r="C9968" t="s">
        <v>13041</v>
      </c>
      <c r="D9968" t="s">
        <v>17159</v>
      </c>
      <c r="E9968" t="s">
        <v>25780</v>
      </c>
      <c r="F9968" t="s">
        <v>29372</v>
      </c>
      <c r="G9968" t="s">
        <v>29380</v>
      </c>
      <c r="H9968" t="s">
        <v>29389</v>
      </c>
      <c r="I9968" t="s">
        <v>10408</v>
      </c>
      <c r="J9968" t="s">
        <v>29543</v>
      </c>
      <c r="K9968" t="s">
        <v>38496</v>
      </c>
      <c r="M9968" t="s">
        <v>41771</v>
      </c>
      <c r="N9968" t="s">
        <v>42669</v>
      </c>
      <c r="O9968" t="s">
        <v>42670</v>
      </c>
      <c r="P9968">
        <v>0</v>
      </c>
      <c r="Q9968">
        <v>0</v>
      </c>
      <c r="R9968" t="s">
        <v>42683</v>
      </c>
      <c r="S9968" t="s">
        <v>43062</v>
      </c>
      <c r="T9968" t="s">
        <v>44382</v>
      </c>
      <c r="U9968" t="s">
        <v>52979</v>
      </c>
      <c r="W9968" t="s">
        <v>41771</v>
      </c>
      <c r="X9968" t="s">
        <v>42684</v>
      </c>
    </row>
    <row r="9969" spans="1:24">
      <c r="A9969">
        <f>HYPERLINK("https://www.philgeps.gov.ph/GEPSNONPILOT/Tender/SplashBidNoticeAbstractUI.aspx?menuIndex=3&amp;refID=7172045&amp;Result=3","7172045")</f>
        <v>0</v>
      </c>
      <c r="B9969" t="s">
        <v>2943</v>
      </c>
      <c r="C9969" t="s">
        <v>13042</v>
      </c>
      <c r="D9969" t="s">
        <v>17141</v>
      </c>
      <c r="E9969" t="s">
        <v>25781</v>
      </c>
      <c r="F9969" t="s">
        <v>29372</v>
      </c>
      <c r="G9969" t="s">
        <v>29380</v>
      </c>
      <c r="H9969" t="s">
        <v>11048</v>
      </c>
      <c r="I9969" t="s">
        <v>3670</v>
      </c>
      <c r="J9969" t="s">
        <v>29590</v>
      </c>
      <c r="K9969" t="s">
        <v>38491</v>
      </c>
      <c r="M9969" t="s">
        <v>41945</v>
      </c>
      <c r="N9969" t="s">
        <v>42669</v>
      </c>
      <c r="O9969" t="s">
        <v>42670</v>
      </c>
      <c r="P9969">
        <v>0</v>
      </c>
      <c r="Q9969">
        <v>0</v>
      </c>
      <c r="R9969" t="s">
        <v>42683</v>
      </c>
      <c r="S9969" t="s">
        <v>43062</v>
      </c>
      <c r="T9969" t="s">
        <v>44432</v>
      </c>
      <c r="U9969" t="s">
        <v>52970</v>
      </c>
      <c r="W9969" t="s">
        <v>41945</v>
      </c>
      <c r="X9969" t="s">
        <v>42684</v>
      </c>
    </row>
    <row r="9970" spans="1:24">
      <c r="A9970">
        <f>HYPERLINK("https://www.philgeps.gov.ph/GEPSNONPILOT/Tender/SplashBidNoticeAbstractUI.aspx?menuIndex=3&amp;refID=7171980&amp;Result=3","7171980")</f>
        <v>0</v>
      </c>
      <c r="B9970" t="s">
        <v>476</v>
      </c>
      <c r="C9970" t="s">
        <v>13043</v>
      </c>
      <c r="D9970" t="s">
        <v>17153</v>
      </c>
      <c r="E9970" t="s">
        <v>25782</v>
      </c>
      <c r="F9970" t="s">
        <v>29372</v>
      </c>
      <c r="G9970" t="s">
        <v>29380</v>
      </c>
      <c r="H9970" t="s">
        <v>29389</v>
      </c>
      <c r="I9970" t="s">
        <v>10408</v>
      </c>
      <c r="J9970" t="s">
        <v>35878</v>
      </c>
      <c r="K9970" t="s">
        <v>38490</v>
      </c>
      <c r="M9970" t="s">
        <v>39241</v>
      </c>
      <c r="N9970" t="s">
        <v>42669</v>
      </c>
      <c r="O9970" t="s">
        <v>42670</v>
      </c>
      <c r="Q9970">
        <v>1</v>
      </c>
      <c r="R9970" t="s">
        <v>42683</v>
      </c>
      <c r="S9970" t="s">
        <v>43110</v>
      </c>
      <c r="T9970" t="s">
        <v>44488</v>
      </c>
      <c r="U9970" t="s">
        <v>52462</v>
      </c>
      <c r="W9970" t="s">
        <v>39241</v>
      </c>
      <c r="X9970" t="s">
        <v>42684</v>
      </c>
    </row>
    <row r="9971" spans="1:24">
      <c r="A9971">
        <f>HYPERLINK("https://www.philgeps.gov.ph/GEPSNONPILOT/Tender/SplashBidNoticeAbstractUI.aspx?menuIndex=3&amp;refID=7172044&amp;Result=3","7172044")</f>
        <v>0</v>
      </c>
      <c r="B9971" t="s">
        <v>660</v>
      </c>
      <c r="C9971" t="s">
        <v>13044</v>
      </c>
      <c r="E9971" t="s">
        <v>25783</v>
      </c>
      <c r="F9971" t="s">
        <v>29372</v>
      </c>
      <c r="G9971" t="s">
        <v>29380</v>
      </c>
      <c r="H9971" t="s">
        <v>11048</v>
      </c>
      <c r="I9971" t="s">
        <v>9469</v>
      </c>
      <c r="J9971" t="s">
        <v>35879</v>
      </c>
      <c r="K9971" t="s">
        <v>38490</v>
      </c>
      <c r="M9971" t="s">
        <v>41946</v>
      </c>
      <c r="N9971" t="s">
        <v>42669</v>
      </c>
      <c r="O9971" t="s">
        <v>42670</v>
      </c>
      <c r="P9971">
        <v>0</v>
      </c>
      <c r="Q9971">
        <v>3</v>
      </c>
      <c r="R9971" t="s">
        <v>42683</v>
      </c>
      <c r="S9971" t="s">
        <v>43062</v>
      </c>
      <c r="T9971" t="s">
        <v>44396</v>
      </c>
      <c r="U9971" t="s">
        <v>52980</v>
      </c>
      <c r="W9971" t="s">
        <v>41946</v>
      </c>
      <c r="X9971" t="s">
        <v>42684</v>
      </c>
    </row>
    <row r="9972" spans="1:24">
      <c r="A9972">
        <f>HYPERLINK("https://www.philgeps.gov.ph/GEPSNONPILOT/Tender/SplashBidNoticeAbstractUI.aspx?menuIndex=3&amp;refID=7171996&amp;Result=3","7171996")</f>
        <v>0</v>
      </c>
      <c r="B9972" t="s">
        <v>2943</v>
      </c>
      <c r="C9972" t="s">
        <v>13045</v>
      </c>
      <c r="D9972" t="s">
        <v>17141</v>
      </c>
      <c r="E9972" t="s">
        <v>25784</v>
      </c>
      <c r="F9972" t="s">
        <v>29372</v>
      </c>
      <c r="G9972" t="s">
        <v>29380</v>
      </c>
      <c r="H9972" t="s">
        <v>11048</v>
      </c>
      <c r="I9972" t="s">
        <v>3670</v>
      </c>
      <c r="J9972" t="s">
        <v>35880</v>
      </c>
      <c r="K9972" t="s">
        <v>38491</v>
      </c>
      <c r="M9972" t="s">
        <v>41945</v>
      </c>
      <c r="N9972" t="s">
        <v>42669</v>
      </c>
      <c r="O9972" t="s">
        <v>42670</v>
      </c>
      <c r="P9972">
        <v>0</v>
      </c>
      <c r="Q9972">
        <v>0</v>
      </c>
      <c r="R9972" t="s">
        <v>42683</v>
      </c>
      <c r="S9972" t="s">
        <v>43062</v>
      </c>
      <c r="T9972" t="s">
        <v>44432</v>
      </c>
      <c r="U9972" t="s">
        <v>52970</v>
      </c>
      <c r="W9972" t="s">
        <v>41945</v>
      </c>
      <c r="X9972" t="s">
        <v>42684</v>
      </c>
    </row>
    <row r="9973" spans="1:24">
      <c r="A9973">
        <f>HYPERLINK("https://www.philgeps.gov.ph/GEPSNONPILOT/Tender/SplashBidNoticeAbstractUI.aspx?menuIndex=3&amp;refID=7172054&amp;Result=3","7172054")</f>
        <v>0</v>
      </c>
      <c r="B9973" t="s">
        <v>1359</v>
      </c>
      <c r="C9973" t="s">
        <v>13046</v>
      </c>
      <c r="D9973" t="s">
        <v>17172</v>
      </c>
      <c r="E9973" t="s">
        <v>21419</v>
      </c>
      <c r="F9973" t="s">
        <v>29372</v>
      </c>
      <c r="G9973" t="s">
        <v>29380</v>
      </c>
      <c r="H9973" t="s">
        <v>11048</v>
      </c>
      <c r="I9973" t="s">
        <v>29396</v>
      </c>
      <c r="J9973" t="s">
        <v>29619</v>
      </c>
      <c r="K9973" t="s">
        <v>38485</v>
      </c>
      <c r="M9973" t="s">
        <v>40196</v>
      </c>
      <c r="N9973" t="s">
        <v>42669</v>
      </c>
      <c r="O9973" t="s">
        <v>42670</v>
      </c>
      <c r="P9973">
        <v>0</v>
      </c>
      <c r="Q9973">
        <v>0</v>
      </c>
      <c r="R9973" t="s">
        <v>42683</v>
      </c>
      <c r="S9973" t="s">
        <v>43062</v>
      </c>
      <c r="T9973" t="s">
        <v>44357</v>
      </c>
      <c r="U9973" t="s">
        <v>52981</v>
      </c>
      <c r="V9973" t="s">
        <v>57477</v>
      </c>
      <c r="W9973" t="s">
        <v>40196</v>
      </c>
      <c r="X9973" t="s">
        <v>42684</v>
      </c>
    </row>
    <row r="9974" spans="1:24">
      <c r="A9974">
        <f>HYPERLINK("https://www.philgeps.gov.ph/GEPSNONPILOT/Tender/SplashBidNoticeAbstractUI.aspx?menuIndex=3&amp;refID=7171971&amp;Result=3","7171971")</f>
        <v>0</v>
      </c>
      <c r="B9974" t="s">
        <v>2943</v>
      </c>
      <c r="C9974" t="s">
        <v>13047</v>
      </c>
      <c r="D9974" t="s">
        <v>17141</v>
      </c>
      <c r="E9974" t="s">
        <v>25785</v>
      </c>
      <c r="F9974" t="s">
        <v>29372</v>
      </c>
      <c r="G9974" t="s">
        <v>29380</v>
      </c>
      <c r="H9974" t="s">
        <v>11048</v>
      </c>
      <c r="I9974" t="s">
        <v>3670</v>
      </c>
      <c r="J9974" t="s">
        <v>35881</v>
      </c>
      <c r="K9974" t="s">
        <v>38491</v>
      </c>
      <c r="M9974" t="s">
        <v>41945</v>
      </c>
      <c r="N9974" t="s">
        <v>42669</v>
      </c>
      <c r="O9974" t="s">
        <v>42670</v>
      </c>
      <c r="P9974">
        <v>0</v>
      </c>
      <c r="Q9974">
        <v>0</v>
      </c>
      <c r="R9974" t="s">
        <v>42683</v>
      </c>
      <c r="S9974" t="s">
        <v>43062</v>
      </c>
      <c r="T9974" t="s">
        <v>44432</v>
      </c>
      <c r="U9974" t="s">
        <v>52970</v>
      </c>
      <c r="W9974" t="s">
        <v>41945</v>
      </c>
      <c r="X9974" t="s">
        <v>42684</v>
      </c>
    </row>
    <row r="9975" spans="1:24">
      <c r="A9975">
        <f>HYPERLINK("https://www.philgeps.gov.ph/GEPSNONPILOT/Tender/SplashBidNoticeAbstractUI.aspx?menuIndex=3&amp;refID=7172009&amp;Result=3","7172009")</f>
        <v>0</v>
      </c>
      <c r="B9975" t="s">
        <v>2943</v>
      </c>
      <c r="C9975" t="s">
        <v>13048</v>
      </c>
      <c r="D9975" t="s">
        <v>17141</v>
      </c>
      <c r="E9975" t="s">
        <v>25786</v>
      </c>
      <c r="F9975" t="s">
        <v>29372</v>
      </c>
      <c r="G9975" t="s">
        <v>29380</v>
      </c>
      <c r="H9975" t="s">
        <v>11048</v>
      </c>
      <c r="I9975" t="s">
        <v>5383</v>
      </c>
      <c r="J9975" t="s">
        <v>29721</v>
      </c>
      <c r="K9975" t="s">
        <v>38491</v>
      </c>
      <c r="M9975" t="s">
        <v>41945</v>
      </c>
      <c r="N9975" t="s">
        <v>42669</v>
      </c>
      <c r="O9975" t="s">
        <v>42670</v>
      </c>
      <c r="P9975">
        <v>0</v>
      </c>
      <c r="Q9975">
        <v>1</v>
      </c>
      <c r="R9975" t="s">
        <v>42683</v>
      </c>
      <c r="S9975" t="s">
        <v>43062</v>
      </c>
      <c r="T9975" t="s">
        <v>44432</v>
      </c>
      <c r="U9975" t="s">
        <v>52966</v>
      </c>
      <c r="W9975" t="s">
        <v>41945</v>
      </c>
      <c r="X9975" t="s">
        <v>42684</v>
      </c>
    </row>
    <row r="9976" spans="1:24">
      <c r="A9976">
        <f>HYPERLINK("https://www.philgeps.gov.ph/GEPSNONPILOT/Tender/SplashBidNoticeAbstractUI.aspx?menuIndex=3&amp;refID=7172061&amp;Result=3","7172061")</f>
        <v>0</v>
      </c>
      <c r="B9976" t="s">
        <v>254</v>
      </c>
      <c r="C9976" t="s">
        <v>13049</v>
      </c>
      <c r="D9976" t="s">
        <v>17142</v>
      </c>
      <c r="E9976" t="s">
        <v>25787</v>
      </c>
      <c r="F9976" t="s">
        <v>29372</v>
      </c>
      <c r="G9976" t="s">
        <v>29383</v>
      </c>
      <c r="H9976" t="s">
        <v>11048</v>
      </c>
      <c r="I9976" t="s">
        <v>5383</v>
      </c>
      <c r="J9976" t="s">
        <v>30072</v>
      </c>
      <c r="K9976" t="s">
        <v>38491</v>
      </c>
      <c r="M9976" t="s">
        <v>39838</v>
      </c>
      <c r="N9976" t="s">
        <v>42669</v>
      </c>
      <c r="O9976" t="s">
        <v>42670</v>
      </c>
      <c r="P9976">
        <v>0</v>
      </c>
      <c r="Q9976">
        <v>3</v>
      </c>
      <c r="R9976" t="s">
        <v>42683</v>
      </c>
      <c r="S9976" t="s">
        <v>43062</v>
      </c>
      <c r="T9976" t="s">
        <v>44488</v>
      </c>
      <c r="U9976" t="s">
        <v>52982</v>
      </c>
      <c r="W9976" t="s">
        <v>39838</v>
      </c>
      <c r="X9976" t="s">
        <v>42684</v>
      </c>
    </row>
    <row r="9977" spans="1:24">
      <c r="A9977">
        <f>HYPERLINK("https://www.philgeps.gov.ph/GEPSNONPILOT/Tender/SplashBidNoticeAbstractUI.aspx?menuIndex=3&amp;refID=7172105&amp;Result=3","7172105")</f>
        <v>0</v>
      </c>
      <c r="B9977" t="s">
        <v>1359</v>
      </c>
      <c r="C9977" t="s">
        <v>13050</v>
      </c>
      <c r="D9977" t="s">
        <v>17172</v>
      </c>
      <c r="E9977" t="s">
        <v>25788</v>
      </c>
      <c r="F9977" t="s">
        <v>29372</v>
      </c>
      <c r="G9977" t="s">
        <v>29380</v>
      </c>
      <c r="H9977" t="s">
        <v>11048</v>
      </c>
      <c r="I9977" t="s">
        <v>29410</v>
      </c>
      <c r="J9977" t="s">
        <v>33803</v>
      </c>
      <c r="K9977" t="s">
        <v>38485</v>
      </c>
      <c r="M9977" t="s">
        <v>40196</v>
      </c>
      <c r="N9977" t="s">
        <v>42669</v>
      </c>
      <c r="O9977" t="s">
        <v>42670</v>
      </c>
      <c r="P9977">
        <v>0</v>
      </c>
      <c r="Q9977">
        <v>0</v>
      </c>
      <c r="R9977" t="s">
        <v>42683</v>
      </c>
      <c r="S9977" t="s">
        <v>43062</v>
      </c>
      <c r="T9977" t="s">
        <v>44357</v>
      </c>
      <c r="U9977" t="s">
        <v>52983</v>
      </c>
      <c r="V9977" t="s">
        <v>57478</v>
      </c>
      <c r="W9977" t="s">
        <v>40196</v>
      </c>
      <c r="X9977" t="s">
        <v>42684</v>
      </c>
    </row>
    <row r="9978" spans="1:24">
      <c r="A9978">
        <f>HYPERLINK("https://www.philgeps.gov.ph/GEPSNONPILOT/Tender/SplashBidNoticeAbstractUI.aspx?menuIndex=3&amp;refID=7172060&amp;Result=3","7172060")</f>
        <v>0</v>
      </c>
      <c r="B9978" t="s">
        <v>660</v>
      </c>
      <c r="C9978" t="s">
        <v>13051</v>
      </c>
      <c r="E9978" t="s">
        <v>25789</v>
      </c>
      <c r="F9978" t="s">
        <v>29372</v>
      </c>
      <c r="G9978" t="s">
        <v>29380</v>
      </c>
      <c r="H9978" t="s">
        <v>11048</v>
      </c>
      <c r="I9978" t="s">
        <v>9469</v>
      </c>
      <c r="J9978" t="s">
        <v>30161</v>
      </c>
      <c r="K9978" t="s">
        <v>38490</v>
      </c>
      <c r="M9978" t="s">
        <v>41946</v>
      </c>
      <c r="N9978" t="s">
        <v>42669</v>
      </c>
      <c r="O9978" t="s">
        <v>42670</v>
      </c>
      <c r="P9978">
        <v>0</v>
      </c>
      <c r="Q9978">
        <v>3</v>
      </c>
      <c r="R9978" t="s">
        <v>42683</v>
      </c>
      <c r="S9978" t="s">
        <v>43062</v>
      </c>
      <c r="T9978" t="s">
        <v>44396</v>
      </c>
      <c r="U9978" t="s">
        <v>52984</v>
      </c>
      <c r="W9978" t="s">
        <v>41946</v>
      </c>
      <c r="X9978" t="s">
        <v>42684</v>
      </c>
    </row>
    <row r="9979" spans="1:24">
      <c r="A9979">
        <f>HYPERLINK("https://www.philgeps.gov.ph/GEPSNONPILOT/Tender/SplashBidNoticeAbstractUI.aspx?menuIndex=3&amp;refID=7172109&amp;Result=3","7172109")</f>
        <v>0</v>
      </c>
      <c r="B9979" t="s">
        <v>2943</v>
      </c>
      <c r="C9979" t="s">
        <v>13052</v>
      </c>
      <c r="D9979" t="s">
        <v>17141</v>
      </c>
      <c r="E9979" t="s">
        <v>25790</v>
      </c>
      <c r="F9979" t="s">
        <v>29372</v>
      </c>
      <c r="G9979" t="s">
        <v>29380</v>
      </c>
      <c r="H9979" t="s">
        <v>11048</v>
      </c>
      <c r="I9979" t="s">
        <v>3670</v>
      </c>
      <c r="J9979" t="s">
        <v>29619</v>
      </c>
      <c r="K9979" t="s">
        <v>38491</v>
      </c>
      <c r="M9979" t="s">
        <v>41945</v>
      </c>
      <c r="N9979" t="s">
        <v>42669</v>
      </c>
      <c r="O9979" t="s">
        <v>42670</v>
      </c>
      <c r="P9979">
        <v>0</v>
      </c>
      <c r="Q9979">
        <v>0</v>
      </c>
      <c r="R9979" t="s">
        <v>42683</v>
      </c>
      <c r="S9979" t="s">
        <v>43062</v>
      </c>
      <c r="T9979" t="s">
        <v>44432</v>
      </c>
      <c r="U9979" t="s">
        <v>52970</v>
      </c>
      <c r="W9979" t="s">
        <v>41945</v>
      </c>
      <c r="X9979" t="s">
        <v>42684</v>
      </c>
    </row>
    <row r="9980" spans="1:24">
      <c r="A9980">
        <f>HYPERLINK("https://www.philgeps.gov.ph/GEPSNONPILOT/Tender/SplashBidNoticeAbstractUI.aspx?menuIndex=3&amp;refID=7172102&amp;Result=3","7172102")</f>
        <v>0</v>
      </c>
      <c r="B9980" t="s">
        <v>662</v>
      </c>
      <c r="C9980" t="s">
        <v>13053</v>
      </c>
      <c r="D9980" t="s">
        <v>17211</v>
      </c>
      <c r="E9980" t="s">
        <v>25791</v>
      </c>
      <c r="F9980" t="s">
        <v>29372</v>
      </c>
      <c r="G9980" t="s">
        <v>29380</v>
      </c>
      <c r="H9980" t="s">
        <v>11048</v>
      </c>
      <c r="I9980" t="s">
        <v>29433</v>
      </c>
      <c r="J9980" t="s">
        <v>35882</v>
      </c>
      <c r="K9980" t="s">
        <v>38487</v>
      </c>
      <c r="M9980" t="s">
        <v>39438</v>
      </c>
      <c r="N9980" t="s">
        <v>42669</v>
      </c>
      <c r="O9980" t="s">
        <v>42670</v>
      </c>
      <c r="P9980">
        <v>0</v>
      </c>
      <c r="Q9980">
        <v>5</v>
      </c>
      <c r="R9980" t="s">
        <v>42683</v>
      </c>
      <c r="S9980" t="s">
        <v>43062</v>
      </c>
      <c r="T9980" t="s">
        <v>44355</v>
      </c>
      <c r="U9980" t="s">
        <v>52985</v>
      </c>
      <c r="W9980" t="s">
        <v>39438</v>
      </c>
      <c r="X9980" t="s">
        <v>42684</v>
      </c>
    </row>
    <row r="9981" spans="1:24">
      <c r="A9981">
        <f>HYPERLINK("https://www.philgeps.gov.ph/GEPSNONPILOT/Tender/SplashBidNoticeAbstractUI.aspx?menuIndex=3&amp;refID=7171978&amp;Result=3","7171978")</f>
        <v>0</v>
      </c>
      <c r="B9981" t="s">
        <v>2943</v>
      </c>
      <c r="C9981" t="s">
        <v>13054</v>
      </c>
      <c r="D9981" t="s">
        <v>17141</v>
      </c>
      <c r="E9981" t="s">
        <v>25792</v>
      </c>
      <c r="F9981" t="s">
        <v>29372</v>
      </c>
      <c r="G9981" t="s">
        <v>29380</v>
      </c>
      <c r="H9981" t="s">
        <v>11048</v>
      </c>
      <c r="I9981" t="s">
        <v>3670</v>
      </c>
      <c r="J9981" t="s">
        <v>29604</v>
      </c>
      <c r="K9981" t="s">
        <v>38491</v>
      </c>
      <c r="M9981" t="s">
        <v>41945</v>
      </c>
      <c r="N9981" t="s">
        <v>42669</v>
      </c>
      <c r="O9981" t="s">
        <v>42670</v>
      </c>
      <c r="P9981">
        <v>0</v>
      </c>
      <c r="Q9981">
        <v>1</v>
      </c>
      <c r="R9981" t="s">
        <v>42683</v>
      </c>
      <c r="S9981" t="s">
        <v>43062</v>
      </c>
      <c r="T9981" t="s">
        <v>44432</v>
      </c>
      <c r="U9981" t="s">
        <v>52970</v>
      </c>
      <c r="W9981" t="s">
        <v>41945</v>
      </c>
      <c r="X9981" t="s">
        <v>42684</v>
      </c>
    </row>
    <row r="9982" spans="1:24">
      <c r="A9982">
        <f>HYPERLINK("https://www.philgeps.gov.ph/GEPSNONPILOT/Tender/SplashBidNoticeAbstractUI.aspx?menuIndex=3&amp;refID=7172101&amp;Result=3","7172101")</f>
        <v>0</v>
      </c>
      <c r="B9982" t="s">
        <v>739</v>
      </c>
      <c r="C9982" t="s">
        <v>13055</v>
      </c>
      <c r="D9982" t="s">
        <v>17158</v>
      </c>
      <c r="E9982" t="s">
        <v>25793</v>
      </c>
      <c r="F9982" t="s">
        <v>29372</v>
      </c>
      <c r="G9982" t="s">
        <v>29380</v>
      </c>
      <c r="H9982" t="s">
        <v>11048</v>
      </c>
      <c r="I9982" t="s">
        <v>29410</v>
      </c>
      <c r="J9982" t="s">
        <v>35883</v>
      </c>
      <c r="K9982" t="s">
        <v>38487</v>
      </c>
      <c r="M9982" t="s">
        <v>39520</v>
      </c>
      <c r="N9982" t="s">
        <v>42669</v>
      </c>
      <c r="O9982" t="s">
        <v>42670</v>
      </c>
      <c r="P9982">
        <v>0</v>
      </c>
      <c r="Q9982">
        <v>4</v>
      </c>
      <c r="R9982" t="s">
        <v>42683</v>
      </c>
      <c r="S9982" t="s">
        <v>43062</v>
      </c>
      <c r="T9982" t="s">
        <v>44391</v>
      </c>
      <c r="U9982" t="s">
        <v>52986</v>
      </c>
      <c r="W9982" t="s">
        <v>39520</v>
      </c>
      <c r="X9982" t="s">
        <v>42684</v>
      </c>
    </row>
    <row r="9983" spans="1:24">
      <c r="A9983">
        <f>HYPERLINK("https://www.philgeps.gov.ph/GEPSNONPILOT/Tender/SplashBidNoticeAbstractUI.aspx?menuIndex=3&amp;refID=7172079&amp;Result=3","7172079")</f>
        <v>0</v>
      </c>
      <c r="B9983" t="s">
        <v>2925</v>
      </c>
      <c r="C9983" t="s">
        <v>13056</v>
      </c>
      <c r="D9983" t="s">
        <v>17216</v>
      </c>
      <c r="E9983" t="s">
        <v>25794</v>
      </c>
      <c r="F9983" t="s">
        <v>29373</v>
      </c>
      <c r="G9983" t="s">
        <v>29380</v>
      </c>
      <c r="H9983" t="s">
        <v>11048</v>
      </c>
      <c r="I9983" t="s">
        <v>4709</v>
      </c>
      <c r="J9983" t="s">
        <v>35884</v>
      </c>
      <c r="K9983" t="s">
        <v>38510</v>
      </c>
      <c r="M9983" t="s">
        <v>41926</v>
      </c>
      <c r="N9983" t="s">
        <v>42669</v>
      </c>
      <c r="O9983" t="s">
        <v>42670</v>
      </c>
      <c r="P9983">
        <v>0</v>
      </c>
      <c r="Q9983">
        <v>0</v>
      </c>
      <c r="R9983" t="s">
        <v>42683</v>
      </c>
      <c r="S9983" t="s">
        <v>43062</v>
      </c>
      <c r="T9983" t="s">
        <v>44357</v>
      </c>
      <c r="U9983" t="s">
        <v>52987</v>
      </c>
      <c r="W9983" t="s">
        <v>41926</v>
      </c>
      <c r="X9983" t="s">
        <v>42684</v>
      </c>
    </row>
    <row r="9984" spans="1:24">
      <c r="A9984">
        <f>HYPERLINK("https://www.philgeps.gov.ph/GEPSNONPILOT/Tender/SplashBidNoticeAbstractUI.aspx?menuIndex=3&amp;refID=7172097&amp;Result=3","7172097")</f>
        <v>0</v>
      </c>
      <c r="B9984" t="s">
        <v>2944</v>
      </c>
      <c r="C9984" t="s">
        <v>13057</v>
      </c>
      <c r="D9984" t="s">
        <v>17163</v>
      </c>
      <c r="E9984" t="s">
        <v>25795</v>
      </c>
      <c r="F9984" t="s">
        <v>29372</v>
      </c>
      <c r="G9984" t="s">
        <v>29380</v>
      </c>
      <c r="H9984" t="s">
        <v>11048</v>
      </c>
      <c r="I9984" t="s">
        <v>29458</v>
      </c>
      <c r="J9984" t="s">
        <v>33327</v>
      </c>
      <c r="K9984" t="s">
        <v>38511</v>
      </c>
      <c r="M9984" t="s">
        <v>41947</v>
      </c>
      <c r="N9984" t="s">
        <v>42669</v>
      </c>
      <c r="O9984" t="s">
        <v>42670</v>
      </c>
      <c r="P9984">
        <v>0</v>
      </c>
      <c r="Q9984">
        <v>7</v>
      </c>
      <c r="R9984" t="s">
        <v>42683</v>
      </c>
      <c r="S9984" t="s">
        <v>43062</v>
      </c>
      <c r="T9984" t="s">
        <v>44457</v>
      </c>
      <c r="U9984" t="s">
        <v>52988</v>
      </c>
      <c r="V9984" t="s">
        <v>57479</v>
      </c>
      <c r="W9984" t="s">
        <v>41947</v>
      </c>
      <c r="X9984" t="s">
        <v>42684</v>
      </c>
    </row>
    <row r="9985" spans="1:24">
      <c r="A9985">
        <f>HYPERLINK("https://www.philgeps.gov.ph/GEPSNONPILOT/Tender/SplashBidNoticeAbstractUI.aspx?menuIndex=3&amp;refID=7172108&amp;Result=3","7172108")</f>
        <v>0</v>
      </c>
      <c r="B9985" t="s">
        <v>1513</v>
      </c>
      <c r="C9985" t="s">
        <v>13058</v>
      </c>
      <c r="D9985" t="s">
        <v>17171</v>
      </c>
      <c r="E9985" t="s">
        <v>25796</v>
      </c>
      <c r="F9985" t="s">
        <v>29372</v>
      </c>
      <c r="G9985" t="s">
        <v>29380</v>
      </c>
      <c r="H9985" t="s">
        <v>11048</v>
      </c>
      <c r="I9985" t="s">
        <v>29398</v>
      </c>
      <c r="J9985" t="s">
        <v>35885</v>
      </c>
      <c r="K9985" t="s">
        <v>38490</v>
      </c>
      <c r="M9985" t="s">
        <v>40357</v>
      </c>
      <c r="N9985" t="s">
        <v>42669</v>
      </c>
      <c r="O9985" t="s">
        <v>42670</v>
      </c>
      <c r="P9985">
        <v>0</v>
      </c>
      <c r="Q9985">
        <v>2</v>
      </c>
      <c r="R9985" t="s">
        <v>42683</v>
      </c>
      <c r="S9985" t="s">
        <v>43062</v>
      </c>
      <c r="T9985" t="s">
        <v>44354</v>
      </c>
      <c r="U9985" t="s">
        <v>52989</v>
      </c>
      <c r="V9985" t="s">
        <v>57480</v>
      </c>
      <c r="W9985" t="s">
        <v>40357</v>
      </c>
      <c r="X9985" t="s">
        <v>42684</v>
      </c>
    </row>
    <row r="9986" spans="1:24">
      <c r="A9986">
        <f>HYPERLINK("https://www.philgeps.gov.ph/GEPSNONPILOT/Tender/SplashBidNoticeAbstractUI.aspx?menuIndex=3&amp;refID=7172076&amp;Result=3","7172076")</f>
        <v>0</v>
      </c>
      <c r="B9986" t="s">
        <v>2922</v>
      </c>
      <c r="C9986" t="s">
        <v>13059</v>
      </c>
      <c r="D9986" t="s">
        <v>17149</v>
      </c>
      <c r="E9986" t="s">
        <v>25797</v>
      </c>
      <c r="F9986" t="s">
        <v>29372</v>
      </c>
      <c r="G9986" t="s">
        <v>29380</v>
      </c>
      <c r="H9986" t="s">
        <v>11048</v>
      </c>
      <c r="I9986" t="s">
        <v>3839</v>
      </c>
      <c r="J9986" t="s">
        <v>29619</v>
      </c>
      <c r="K9986" t="s">
        <v>38485</v>
      </c>
      <c r="M9986" t="s">
        <v>41923</v>
      </c>
      <c r="N9986" t="s">
        <v>42669</v>
      </c>
      <c r="O9986" t="s">
        <v>42670</v>
      </c>
      <c r="P9986">
        <v>0</v>
      </c>
      <c r="Q9986">
        <v>0</v>
      </c>
      <c r="R9986" t="s">
        <v>42683</v>
      </c>
      <c r="S9986" t="s">
        <v>43062</v>
      </c>
      <c r="T9986" t="s">
        <v>44527</v>
      </c>
      <c r="U9986" t="s">
        <v>52990</v>
      </c>
      <c r="V9986" t="s">
        <v>57481</v>
      </c>
      <c r="W9986" t="s">
        <v>41923</v>
      </c>
      <c r="X9986" t="s">
        <v>42684</v>
      </c>
    </row>
    <row r="9987" spans="1:24">
      <c r="A9987">
        <f>HYPERLINK("https://www.philgeps.gov.ph/GEPSNONPILOT/Tender/SplashBidNoticeAbstractUI.aspx?menuIndex=3&amp;refID=7172049&amp;Result=3","7172049")</f>
        <v>0</v>
      </c>
      <c r="B9987" t="s">
        <v>476</v>
      </c>
      <c r="C9987" t="s">
        <v>13060</v>
      </c>
      <c r="E9987" t="s">
        <v>21191</v>
      </c>
      <c r="F9987" t="s">
        <v>29372</v>
      </c>
      <c r="G9987" t="s">
        <v>29380</v>
      </c>
      <c r="H9987" t="s">
        <v>29389</v>
      </c>
      <c r="I9987" t="s">
        <v>10408</v>
      </c>
      <c r="J9987" t="s">
        <v>35886</v>
      </c>
      <c r="K9987" t="s">
        <v>38490</v>
      </c>
      <c r="M9987" t="s">
        <v>39241</v>
      </c>
      <c r="N9987" t="s">
        <v>42669</v>
      </c>
      <c r="O9987" t="s">
        <v>42670</v>
      </c>
      <c r="Q9987">
        <v>0</v>
      </c>
      <c r="R9987" t="s">
        <v>42683</v>
      </c>
      <c r="S9987" t="s">
        <v>43111</v>
      </c>
      <c r="T9987" t="s">
        <v>44488</v>
      </c>
      <c r="U9987" t="s">
        <v>52462</v>
      </c>
      <c r="W9987" t="s">
        <v>39241</v>
      </c>
      <c r="X9987" t="s">
        <v>42684</v>
      </c>
    </row>
    <row r="9988" spans="1:24">
      <c r="A9988">
        <f>HYPERLINK("https://www.philgeps.gov.ph/GEPSNONPILOT/Tender/SplashBidNoticeAbstractUI.aspx?menuIndex=3&amp;refID=7172111&amp;Result=3","7172111")</f>
        <v>0</v>
      </c>
      <c r="B9988" t="s">
        <v>1267</v>
      </c>
      <c r="C9988" t="s">
        <v>13061</v>
      </c>
      <c r="D9988" t="s">
        <v>17177</v>
      </c>
      <c r="E9988" t="s">
        <v>25798</v>
      </c>
      <c r="F9988" t="s">
        <v>29372</v>
      </c>
      <c r="G9988" t="s">
        <v>29380</v>
      </c>
      <c r="H9988" t="s">
        <v>29389</v>
      </c>
      <c r="I9988" t="s">
        <v>10408</v>
      </c>
      <c r="J9988" t="s">
        <v>32123</v>
      </c>
      <c r="K9988" t="s">
        <v>38595</v>
      </c>
      <c r="M9988" t="s">
        <v>40094</v>
      </c>
      <c r="N9988" t="s">
        <v>42669</v>
      </c>
      <c r="O9988" t="s">
        <v>42670</v>
      </c>
      <c r="P9988">
        <v>0</v>
      </c>
      <c r="Q9988">
        <v>7</v>
      </c>
      <c r="R9988" t="s">
        <v>42683</v>
      </c>
      <c r="S9988" t="s">
        <v>43062</v>
      </c>
      <c r="T9988" t="s">
        <v>44375</v>
      </c>
      <c r="U9988" t="s">
        <v>52991</v>
      </c>
      <c r="V9988" t="s">
        <v>57482</v>
      </c>
      <c r="W9988" t="s">
        <v>40094</v>
      </c>
      <c r="X9988" t="s">
        <v>42684</v>
      </c>
    </row>
    <row r="9989" spans="1:24">
      <c r="A9989">
        <f>HYPERLINK("https://www.philgeps.gov.ph/GEPSNONPILOT/Tender/SplashBidNoticeAbstractUI.aspx?menuIndex=3&amp;refID=7172051&amp;Result=3","7172051")</f>
        <v>0</v>
      </c>
      <c r="B9989" t="s">
        <v>2945</v>
      </c>
      <c r="C9989" t="s">
        <v>13062</v>
      </c>
      <c r="D9989" t="s">
        <v>17205</v>
      </c>
      <c r="E9989" t="s">
        <v>17533</v>
      </c>
      <c r="F9989" t="s">
        <v>29372</v>
      </c>
      <c r="G9989" t="s">
        <v>29380</v>
      </c>
      <c r="H9989" t="s">
        <v>11048</v>
      </c>
      <c r="I9989" t="s">
        <v>29395</v>
      </c>
      <c r="J9989" t="s">
        <v>35887</v>
      </c>
      <c r="K9989" t="s">
        <v>38488</v>
      </c>
      <c r="M9989" t="s">
        <v>41948</v>
      </c>
      <c r="N9989" t="s">
        <v>42669</v>
      </c>
      <c r="O9989" t="s">
        <v>42670</v>
      </c>
      <c r="P9989">
        <v>0</v>
      </c>
      <c r="Q9989">
        <v>1</v>
      </c>
      <c r="R9989" t="s">
        <v>42683</v>
      </c>
      <c r="S9989" t="s">
        <v>43062</v>
      </c>
      <c r="T9989" t="s">
        <v>44371</v>
      </c>
      <c r="U9989" t="s">
        <v>52992</v>
      </c>
      <c r="W9989" t="s">
        <v>41948</v>
      </c>
      <c r="X9989" t="s">
        <v>42684</v>
      </c>
    </row>
    <row r="9990" spans="1:24">
      <c r="A9990">
        <f>HYPERLINK("https://www.philgeps.gov.ph/GEPSNONPILOT/Tender/SplashBidNoticeAbstractUI.aspx?menuIndex=3&amp;refID=7171998&amp;Result=3","7171998")</f>
        <v>0</v>
      </c>
      <c r="B9990" t="s">
        <v>476</v>
      </c>
      <c r="C9990" t="s">
        <v>13063</v>
      </c>
      <c r="E9990" t="s">
        <v>25799</v>
      </c>
      <c r="F9990" t="s">
        <v>29372</v>
      </c>
      <c r="G9990" t="s">
        <v>29380</v>
      </c>
      <c r="H9990" t="s">
        <v>29389</v>
      </c>
      <c r="I9990" t="s">
        <v>4709</v>
      </c>
      <c r="J9990" t="s">
        <v>35888</v>
      </c>
      <c r="K9990" t="s">
        <v>38490</v>
      </c>
      <c r="M9990" t="s">
        <v>39241</v>
      </c>
      <c r="N9990" t="s">
        <v>42669</v>
      </c>
      <c r="O9990" t="s">
        <v>42670</v>
      </c>
      <c r="Q9990">
        <v>0</v>
      </c>
      <c r="R9990" t="s">
        <v>42683</v>
      </c>
      <c r="S9990" t="s">
        <v>43112</v>
      </c>
      <c r="T9990" t="s">
        <v>44488</v>
      </c>
      <c r="U9990" t="s">
        <v>52462</v>
      </c>
      <c r="W9990" t="s">
        <v>39241</v>
      </c>
      <c r="X9990" t="s">
        <v>42684</v>
      </c>
    </row>
    <row r="9991" spans="1:24">
      <c r="A9991">
        <f>HYPERLINK("https://www.philgeps.gov.ph/GEPSNONPILOT/Tender/SplashBidNoticeAbstractUI.aspx?menuIndex=3&amp;refID=7172165&amp;Result=3","7172165")</f>
        <v>0</v>
      </c>
      <c r="B9991" t="s">
        <v>2943</v>
      </c>
      <c r="C9991" t="s">
        <v>13064</v>
      </c>
      <c r="D9991" t="s">
        <v>17141</v>
      </c>
      <c r="E9991" t="s">
        <v>25800</v>
      </c>
      <c r="F9991" t="s">
        <v>29372</v>
      </c>
      <c r="G9991" t="s">
        <v>29380</v>
      </c>
      <c r="H9991" t="s">
        <v>11048</v>
      </c>
      <c r="I9991" t="s">
        <v>5383</v>
      </c>
      <c r="J9991" t="s">
        <v>35889</v>
      </c>
      <c r="K9991" t="s">
        <v>38491</v>
      </c>
      <c r="M9991" t="s">
        <v>41945</v>
      </c>
      <c r="N9991" t="s">
        <v>42669</v>
      </c>
      <c r="O9991" t="s">
        <v>42670</v>
      </c>
      <c r="P9991">
        <v>0</v>
      </c>
      <c r="Q9991">
        <v>0</v>
      </c>
      <c r="R9991" t="s">
        <v>42683</v>
      </c>
      <c r="S9991" t="s">
        <v>43062</v>
      </c>
      <c r="T9991" t="s">
        <v>44454</v>
      </c>
      <c r="U9991" t="s">
        <v>52966</v>
      </c>
      <c r="W9991" t="s">
        <v>41945</v>
      </c>
      <c r="X9991" t="s">
        <v>42684</v>
      </c>
    </row>
    <row r="9992" spans="1:24">
      <c r="A9992">
        <f>HYPERLINK("https://www.philgeps.gov.ph/GEPSNONPILOT/Tender/SplashBidNoticeAbstractUI.aspx?menuIndex=3&amp;refID=7172081&amp;Result=3","7172081")</f>
        <v>0</v>
      </c>
      <c r="B9992" t="s">
        <v>2946</v>
      </c>
      <c r="C9992" t="s">
        <v>13065</v>
      </c>
      <c r="D9992" t="s">
        <v>17192</v>
      </c>
      <c r="E9992" t="s">
        <v>25801</v>
      </c>
      <c r="F9992" t="s">
        <v>29372</v>
      </c>
      <c r="G9992" t="s">
        <v>29380</v>
      </c>
      <c r="H9992" t="s">
        <v>11048</v>
      </c>
      <c r="I9992" t="s">
        <v>9469</v>
      </c>
      <c r="J9992" t="s">
        <v>29590</v>
      </c>
      <c r="K9992" t="s">
        <v>38485</v>
      </c>
      <c r="M9992" t="s">
        <v>41949</v>
      </c>
      <c r="N9992" t="s">
        <v>42669</v>
      </c>
      <c r="O9992" t="s">
        <v>42670</v>
      </c>
      <c r="P9992">
        <v>0</v>
      </c>
      <c r="Q9992">
        <v>1</v>
      </c>
      <c r="R9992" t="s">
        <v>42683</v>
      </c>
      <c r="S9992" t="s">
        <v>43062</v>
      </c>
      <c r="T9992" t="s">
        <v>44457</v>
      </c>
      <c r="U9992" t="s">
        <v>52993</v>
      </c>
      <c r="W9992" t="s">
        <v>41949</v>
      </c>
      <c r="X9992" t="s">
        <v>42684</v>
      </c>
    </row>
    <row r="9993" spans="1:24">
      <c r="A9993">
        <f>HYPERLINK("https://www.philgeps.gov.ph/GEPSNONPILOT/Tender/SplashBidNoticeAbstractUI.aspx?menuIndex=3&amp;refID=7172063&amp;Result=3","7172063")</f>
        <v>0</v>
      </c>
      <c r="B9993" t="s">
        <v>476</v>
      </c>
      <c r="C9993" t="s">
        <v>13066</v>
      </c>
      <c r="E9993" t="s">
        <v>23522</v>
      </c>
      <c r="F9993" t="s">
        <v>29372</v>
      </c>
      <c r="G9993" t="s">
        <v>29380</v>
      </c>
      <c r="H9993" t="s">
        <v>11048</v>
      </c>
      <c r="I9993" t="s">
        <v>29399</v>
      </c>
      <c r="J9993" t="s">
        <v>29555</v>
      </c>
      <c r="K9993" t="s">
        <v>38490</v>
      </c>
      <c r="M9993" t="s">
        <v>39241</v>
      </c>
      <c r="N9993" t="s">
        <v>42669</v>
      </c>
      <c r="O9993" t="s">
        <v>42670</v>
      </c>
      <c r="Q9993">
        <v>0</v>
      </c>
      <c r="R9993" t="s">
        <v>42683</v>
      </c>
      <c r="S9993" t="s">
        <v>43113</v>
      </c>
      <c r="T9993" t="s">
        <v>44488</v>
      </c>
      <c r="U9993" t="s">
        <v>52462</v>
      </c>
      <c r="W9993" t="s">
        <v>39241</v>
      </c>
      <c r="X9993" t="s">
        <v>42684</v>
      </c>
    </row>
    <row r="9994" spans="1:24">
      <c r="A9994">
        <f>HYPERLINK("https://www.philgeps.gov.ph/GEPSNONPILOT/Tender/SplashBidNoticeAbstractUI.aspx?menuIndex=3&amp;refID=7172203&amp;Result=3","7172203")</f>
        <v>0</v>
      </c>
      <c r="B9994" t="s">
        <v>1279</v>
      </c>
      <c r="C9994" t="s">
        <v>6887</v>
      </c>
      <c r="D9994" t="s">
        <v>17141</v>
      </c>
      <c r="E9994" t="s">
        <v>19537</v>
      </c>
      <c r="F9994" t="s">
        <v>29372</v>
      </c>
      <c r="G9994" t="s">
        <v>29380</v>
      </c>
      <c r="H9994" t="s">
        <v>11048</v>
      </c>
      <c r="I9994" t="s">
        <v>8614</v>
      </c>
      <c r="J9994" t="s">
        <v>35890</v>
      </c>
      <c r="K9994" t="s">
        <v>38490</v>
      </c>
      <c r="M9994" t="s">
        <v>40107</v>
      </c>
      <c r="N9994" t="s">
        <v>42669</v>
      </c>
      <c r="O9994" t="s">
        <v>42670</v>
      </c>
      <c r="Q9994">
        <v>18</v>
      </c>
      <c r="R9994" t="s">
        <v>42683</v>
      </c>
      <c r="S9994" t="s">
        <v>43114</v>
      </c>
      <c r="T9994" t="s">
        <v>44543</v>
      </c>
      <c r="U9994" t="s">
        <v>52994</v>
      </c>
      <c r="W9994" t="s">
        <v>40107</v>
      </c>
      <c r="X9994" t="s">
        <v>42684</v>
      </c>
    </row>
    <row r="9995" spans="1:24">
      <c r="A9995">
        <f>HYPERLINK("https://www.philgeps.gov.ph/GEPSNONPILOT/Tender/SplashBidNoticeAbstractUI.aspx?menuIndex=3&amp;refID=7172195&amp;Result=3","7172195")</f>
        <v>0</v>
      </c>
      <c r="B9995" t="s">
        <v>2936</v>
      </c>
      <c r="C9995" t="s">
        <v>13067</v>
      </c>
      <c r="D9995" t="s">
        <v>17151</v>
      </c>
      <c r="E9995" t="s">
        <v>25802</v>
      </c>
      <c r="F9995" t="s">
        <v>29372</v>
      </c>
      <c r="G9995" t="s">
        <v>29380</v>
      </c>
      <c r="H9995" t="s">
        <v>11048</v>
      </c>
      <c r="I9995" t="s">
        <v>3695</v>
      </c>
      <c r="J9995" t="s">
        <v>35891</v>
      </c>
      <c r="K9995" t="s">
        <v>38491</v>
      </c>
      <c r="M9995" t="s">
        <v>41938</v>
      </c>
      <c r="N9995" t="s">
        <v>42669</v>
      </c>
      <c r="O9995" t="s">
        <v>42670</v>
      </c>
      <c r="P9995">
        <v>0</v>
      </c>
      <c r="Q9995">
        <v>0</v>
      </c>
      <c r="R9995" t="s">
        <v>42683</v>
      </c>
      <c r="S9995" t="s">
        <v>43062</v>
      </c>
      <c r="T9995" t="s">
        <v>44491</v>
      </c>
      <c r="U9995" t="s">
        <v>52995</v>
      </c>
      <c r="W9995" t="s">
        <v>41938</v>
      </c>
      <c r="X9995" t="s">
        <v>42684</v>
      </c>
    </row>
    <row r="9996" spans="1:24">
      <c r="A9996">
        <f>HYPERLINK("https://www.philgeps.gov.ph/GEPSNONPILOT/Tender/SplashBidNoticeAbstractUI.aspx?menuIndex=3&amp;refID=7172186&amp;Result=3","7172186")</f>
        <v>0</v>
      </c>
      <c r="B9996" t="s">
        <v>2943</v>
      </c>
      <c r="C9996" t="s">
        <v>13068</v>
      </c>
      <c r="D9996" t="s">
        <v>17141</v>
      </c>
      <c r="E9996" t="s">
        <v>25803</v>
      </c>
      <c r="F9996" t="s">
        <v>29372</v>
      </c>
      <c r="G9996" t="s">
        <v>29380</v>
      </c>
      <c r="H9996" t="s">
        <v>11048</v>
      </c>
      <c r="I9996" t="s">
        <v>29424</v>
      </c>
      <c r="J9996" t="s">
        <v>31642</v>
      </c>
      <c r="K9996" t="s">
        <v>38491</v>
      </c>
      <c r="M9996" t="s">
        <v>41945</v>
      </c>
      <c r="N9996" t="s">
        <v>42669</v>
      </c>
      <c r="O9996" t="s">
        <v>42670</v>
      </c>
      <c r="P9996">
        <v>0</v>
      </c>
      <c r="Q9996">
        <v>1</v>
      </c>
      <c r="R9996" t="s">
        <v>42683</v>
      </c>
      <c r="S9996" t="s">
        <v>43062</v>
      </c>
      <c r="T9996" t="s">
        <v>44432</v>
      </c>
      <c r="U9996" t="s">
        <v>52996</v>
      </c>
      <c r="W9996" t="s">
        <v>41945</v>
      </c>
      <c r="X9996" t="s">
        <v>42684</v>
      </c>
    </row>
    <row r="9997" spans="1:24">
      <c r="A9997">
        <f>HYPERLINK("https://www.philgeps.gov.ph/GEPSNONPILOT/Tender/SplashBidNoticeAbstractUI.aspx?menuIndex=3&amp;refID=7172117&amp;Result=3","7172117")</f>
        <v>0</v>
      </c>
      <c r="B9997" t="s">
        <v>1311</v>
      </c>
      <c r="C9997" t="s">
        <v>13069</v>
      </c>
      <c r="D9997" t="s">
        <v>17141</v>
      </c>
      <c r="E9997" t="s">
        <v>25804</v>
      </c>
      <c r="F9997" t="s">
        <v>29372</v>
      </c>
      <c r="G9997" t="s">
        <v>29380</v>
      </c>
      <c r="H9997" t="s">
        <v>11048</v>
      </c>
      <c r="I9997" t="s">
        <v>29485</v>
      </c>
      <c r="J9997" t="s">
        <v>30787</v>
      </c>
      <c r="K9997" t="s">
        <v>38496</v>
      </c>
      <c r="M9997" t="s">
        <v>40143</v>
      </c>
      <c r="N9997" t="s">
        <v>42669</v>
      </c>
      <c r="O9997" t="s">
        <v>42670</v>
      </c>
      <c r="P9997">
        <v>0</v>
      </c>
      <c r="Q9997">
        <v>10</v>
      </c>
      <c r="R9997" t="s">
        <v>42683</v>
      </c>
      <c r="S9997" t="s">
        <v>43062</v>
      </c>
      <c r="T9997" t="s">
        <v>44419</v>
      </c>
      <c r="U9997" t="s">
        <v>47781</v>
      </c>
      <c r="W9997" t="s">
        <v>40143</v>
      </c>
      <c r="X9997" t="s">
        <v>42684</v>
      </c>
    </row>
    <row r="9998" spans="1:24">
      <c r="A9998">
        <f>HYPERLINK("https://www.philgeps.gov.ph/GEPSNONPILOT/Tender/SplashBidNoticeAbstractUI.aspx?menuIndex=3&amp;refID=7172185&amp;Result=3","7172185")</f>
        <v>0</v>
      </c>
      <c r="B9998" t="s">
        <v>2925</v>
      </c>
      <c r="C9998" t="s">
        <v>13070</v>
      </c>
      <c r="D9998" t="s">
        <v>17216</v>
      </c>
      <c r="E9998" t="s">
        <v>25805</v>
      </c>
      <c r="F9998" t="s">
        <v>29373</v>
      </c>
      <c r="G9998" t="s">
        <v>29380</v>
      </c>
      <c r="H9998" t="s">
        <v>11048</v>
      </c>
      <c r="I9998" t="s">
        <v>4709</v>
      </c>
      <c r="J9998" t="s">
        <v>35892</v>
      </c>
      <c r="K9998" t="s">
        <v>38510</v>
      </c>
      <c r="M9998" t="s">
        <v>41926</v>
      </c>
      <c r="N9998" t="s">
        <v>42669</v>
      </c>
      <c r="O9998" t="s">
        <v>42670</v>
      </c>
      <c r="P9998">
        <v>0</v>
      </c>
      <c r="Q9998">
        <v>0</v>
      </c>
      <c r="R9998" t="s">
        <v>42683</v>
      </c>
      <c r="S9998" t="s">
        <v>43062</v>
      </c>
      <c r="T9998" t="s">
        <v>44357</v>
      </c>
      <c r="U9998" t="s">
        <v>52997</v>
      </c>
      <c r="W9998" t="s">
        <v>41926</v>
      </c>
      <c r="X9998" t="s">
        <v>42684</v>
      </c>
    </row>
    <row r="9999" spans="1:24">
      <c r="A9999">
        <f>HYPERLINK("https://www.philgeps.gov.ph/GEPSNONPILOT/Tender/SplashBidNoticeAbstractUI.aspx?menuIndex=3&amp;refID=7172189&amp;Result=3","7172189")</f>
        <v>0</v>
      </c>
      <c r="B9999" t="s">
        <v>660</v>
      </c>
      <c r="C9999" t="s">
        <v>13071</v>
      </c>
      <c r="E9999" t="s">
        <v>25806</v>
      </c>
      <c r="F9999" t="s">
        <v>29372</v>
      </c>
      <c r="G9999" t="s">
        <v>29380</v>
      </c>
      <c r="H9999" t="s">
        <v>11048</v>
      </c>
      <c r="I9999" t="s">
        <v>3629</v>
      </c>
      <c r="J9999" t="s">
        <v>32522</v>
      </c>
      <c r="K9999" t="s">
        <v>38490</v>
      </c>
      <c r="M9999" t="s">
        <v>41946</v>
      </c>
      <c r="N9999" t="s">
        <v>42669</v>
      </c>
      <c r="O9999" t="s">
        <v>42670</v>
      </c>
      <c r="P9999">
        <v>0</v>
      </c>
      <c r="Q9999">
        <v>6</v>
      </c>
      <c r="R9999" t="s">
        <v>42683</v>
      </c>
      <c r="S9999" t="s">
        <v>43062</v>
      </c>
      <c r="T9999" t="s">
        <v>44396</v>
      </c>
      <c r="U9999" t="s">
        <v>52998</v>
      </c>
      <c r="W9999" t="s">
        <v>41946</v>
      </c>
      <c r="X9999" t="s">
        <v>42684</v>
      </c>
    </row>
    <row r="10000" spans="1:24">
      <c r="A10000">
        <f>HYPERLINK("https://www.philgeps.gov.ph/GEPSNONPILOT/Tender/SplashBidNoticeAbstractUI.aspx?menuIndex=3&amp;refID=7172053&amp;Result=3","7172053")</f>
        <v>0</v>
      </c>
      <c r="B10000" t="s">
        <v>660</v>
      </c>
      <c r="C10000" t="s">
        <v>13072</v>
      </c>
      <c r="E10000" t="s">
        <v>25807</v>
      </c>
      <c r="F10000" t="s">
        <v>29372</v>
      </c>
      <c r="G10000" t="s">
        <v>29380</v>
      </c>
      <c r="H10000" t="s">
        <v>11048</v>
      </c>
      <c r="I10000" t="s">
        <v>9469</v>
      </c>
      <c r="J10000" t="s">
        <v>29541</v>
      </c>
      <c r="K10000" t="s">
        <v>38490</v>
      </c>
      <c r="M10000" t="s">
        <v>41946</v>
      </c>
      <c r="N10000" t="s">
        <v>42669</v>
      </c>
      <c r="O10000" t="s">
        <v>42670</v>
      </c>
      <c r="P10000">
        <v>0</v>
      </c>
      <c r="Q10000">
        <v>4</v>
      </c>
      <c r="R10000" t="s">
        <v>42683</v>
      </c>
      <c r="S10000" t="s">
        <v>43062</v>
      </c>
      <c r="T10000" t="s">
        <v>44396</v>
      </c>
      <c r="U10000" t="s">
        <v>52999</v>
      </c>
      <c r="W10000" t="s">
        <v>41946</v>
      </c>
      <c r="X10000" t="s">
        <v>42684</v>
      </c>
    </row>
    <row r="10001" spans="1:24">
      <c r="A10001">
        <f>HYPERLINK("https://www.philgeps.gov.ph/GEPSNONPILOT/Tender/SplashBidNoticeAbstractUI.aspx?menuIndex=3&amp;refID=7172154&amp;Result=3","7172154")</f>
        <v>0</v>
      </c>
      <c r="B10001" t="s">
        <v>1267</v>
      </c>
      <c r="C10001" t="s">
        <v>13073</v>
      </c>
      <c r="D10001" t="s">
        <v>17177</v>
      </c>
      <c r="E10001" t="s">
        <v>25808</v>
      </c>
      <c r="F10001" t="s">
        <v>29372</v>
      </c>
      <c r="G10001" t="s">
        <v>29380</v>
      </c>
      <c r="H10001" t="s">
        <v>29389</v>
      </c>
      <c r="I10001" t="s">
        <v>10408</v>
      </c>
      <c r="J10001" t="s">
        <v>30845</v>
      </c>
      <c r="K10001" t="s">
        <v>38595</v>
      </c>
      <c r="M10001" t="s">
        <v>40094</v>
      </c>
      <c r="N10001" t="s">
        <v>42669</v>
      </c>
      <c r="O10001" t="s">
        <v>42670</v>
      </c>
      <c r="P10001">
        <v>0</v>
      </c>
      <c r="Q10001">
        <v>4</v>
      </c>
      <c r="R10001" t="s">
        <v>42683</v>
      </c>
      <c r="S10001" t="s">
        <v>43062</v>
      </c>
      <c r="T10001" t="s">
        <v>44375</v>
      </c>
      <c r="U10001" t="s">
        <v>53000</v>
      </c>
      <c r="V10001" t="s">
        <v>57482</v>
      </c>
      <c r="W10001" t="s">
        <v>40094</v>
      </c>
      <c r="X10001" t="s">
        <v>42684</v>
      </c>
    </row>
    <row r="10002" spans="1:24">
      <c r="A10002">
        <f>HYPERLINK("https://www.philgeps.gov.ph/GEPSNONPILOT/Tender/SplashBidNoticeAbstractUI.aspx?menuIndex=3&amp;refID=7172153&amp;Result=3","7172153")</f>
        <v>0</v>
      </c>
      <c r="B10002" t="s">
        <v>2936</v>
      </c>
      <c r="C10002" t="s">
        <v>13074</v>
      </c>
      <c r="D10002" t="s">
        <v>17151</v>
      </c>
      <c r="E10002" t="s">
        <v>25809</v>
      </c>
      <c r="F10002" t="s">
        <v>29372</v>
      </c>
      <c r="G10002" t="s">
        <v>29380</v>
      </c>
      <c r="H10002" t="s">
        <v>11048</v>
      </c>
      <c r="I10002" t="s">
        <v>4709</v>
      </c>
      <c r="J10002" t="s">
        <v>35893</v>
      </c>
      <c r="K10002" t="s">
        <v>38491</v>
      </c>
      <c r="M10002" t="s">
        <v>41938</v>
      </c>
      <c r="N10002" t="s">
        <v>42669</v>
      </c>
      <c r="O10002" t="s">
        <v>42670</v>
      </c>
      <c r="P10002">
        <v>0</v>
      </c>
      <c r="Q10002">
        <v>0</v>
      </c>
      <c r="R10002" t="s">
        <v>42683</v>
      </c>
      <c r="S10002" t="s">
        <v>43062</v>
      </c>
      <c r="T10002" t="s">
        <v>44491</v>
      </c>
      <c r="U10002" t="s">
        <v>53001</v>
      </c>
      <c r="W10002" t="s">
        <v>41938</v>
      </c>
      <c r="X10002" t="s">
        <v>42684</v>
      </c>
    </row>
    <row r="10003" spans="1:24">
      <c r="A10003">
        <f>HYPERLINK("https://www.philgeps.gov.ph/GEPSNONPILOT/Tender/SplashBidNoticeAbstractUI.aspx?menuIndex=3&amp;refID=7172151&amp;Result=3","7172151")</f>
        <v>0</v>
      </c>
      <c r="B10003" t="s">
        <v>2943</v>
      </c>
      <c r="C10003" t="s">
        <v>13075</v>
      </c>
      <c r="D10003" t="s">
        <v>17141</v>
      </c>
      <c r="E10003" t="s">
        <v>25810</v>
      </c>
      <c r="F10003" t="s">
        <v>29372</v>
      </c>
      <c r="G10003" t="s">
        <v>29380</v>
      </c>
      <c r="H10003" t="s">
        <v>11048</v>
      </c>
      <c r="I10003" t="s">
        <v>14920</v>
      </c>
      <c r="J10003" t="s">
        <v>35894</v>
      </c>
      <c r="K10003" t="s">
        <v>38491</v>
      </c>
      <c r="M10003" t="s">
        <v>41945</v>
      </c>
      <c r="N10003" t="s">
        <v>42669</v>
      </c>
      <c r="O10003" t="s">
        <v>42670</v>
      </c>
      <c r="P10003">
        <v>0</v>
      </c>
      <c r="Q10003">
        <v>0</v>
      </c>
      <c r="R10003" t="s">
        <v>42683</v>
      </c>
      <c r="S10003" t="s">
        <v>43062</v>
      </c>
      <c r="T10003" t="s">
        <v>44432</v>
      </c>
      <c r="U10003" t="s">
        <v>52967</v>
      </c>
      <c r="W10003" t="s">
        <v>41945</v>
      </c>
      <c r="X10003" t="s">
        <v>42684</v>
      </c>
    </row>
    <row r="10004" spans="1:24">
      <c r="A10004">
        <f>HYPERLINK("https://www.philgeps.gov.ph/GEPSNONPILOT/Tender/SplashBidNoticeAbstractUI.aspx?menuIndex=3&amp;refID=7172180&amp;Result=3","7172180")</f>
        <v>0</v>
      </c>
      <c r="B10004" t="s">
        <v>1267</v>
      </c>
      <c r="C10004" t="s">
        <v>13076</v>
      </c>
      <c r="D10004" t="s">
        <v>17177</v>
      </c>
      <c r="E10004" t="s">
        <v>25811</v>
      </c>
      <c r="F10004" t="s">
        <v>29372</v>
      </c>
      <c r="G10004" t="s">
        <v>29380</v>
      </c>
      <c r="H10004" t="s">
        <v>29389</v>
      </c>
      <c r="I10004" t="s">
        <v>10408</v>
      </c>
      <c r="J10004" t="s">
        <v>30845</v>
      </c>
      <c r="K10004" t="s">
        <v>38689</v>
      </c>
      <c r="M10004" t="s">
        <v>40094</v>
      </c>
      <c r="N10004" t="s">
        <v>42669</v>
      </c>
      <c r="O10004" t="s">
        <v>42670</v>
      </c>
      <c r="P10004">
        <v>0</v>
      </c>
      <c r="Q10004">
        <v>6</v>
      </c>
      <c r="R10004" t="s">
        <v>42683</v>
      </c>
      <c r="S10004" t="s">
        <v>43062</v>
      </c>
      <c r="T10004" t="s">
        <v>44375</v>
      </c>
      <c r="U10004" t="s">
        <v>53002</v>
      </c>
      <c r="V10004" t="s">
        <v>57482</v>
      </c>
      <c r="W10004" t="s">
        <v>40094</v>
      </c>
      <c r="X10004" t="s">
        <v>42684</v>
      </c>
    </row>
    <row r="10005" spans="1:24">
      <c r="A10005">
        <f>HYPERLINK("https://www.philgeps.gov.ph/GEPSNONPILOT/Tender/SplashBidNoticeAbstractUI.aspx?menuIndex=3&amp;refID=7172167&amp;Result=3","7172167")</f>
        <v>0</v>
      </c>
      <c r="B10005" t="s">
        <v>669</v>
      </c>
      <c r="C10005" t="s">
        <v>13077</v>
      </c>
      <c r="D10005" t="s">
        <v>17147</v>
      </c>
      <c r="E10005" t="s">
        <v>25812</v>
      </c>
      <c r="F10005" t="s">
        <v>29372</v>
      </c>
      <c r="G10005" t="s">
        <v>29380</v>
      </c>
      <c r="H10005" t="s">
        <v>29389</v>
      </c>
      <c r="I10005" t="s">
        <v>10408</v>
      </c>
      <c r="J10005" t="s">
        <v>35895</v>
      </c>
      <c r="K10005" t="s">
        <v>38513</v>
      </c>
      <c r="M10005" t="s">
        <v>41046</v>
      </c>
      <c r="N10005" t="s">
        <v>42669</v>
      </c>
      <c r="O10005" t="s">
        <v>42670</v>
      </c>
      <c r="P10005">
        <v>0</v>
      </c>
      <c r="Q10005">
        <v>0</v>
      </c>
      <c r="R10005" t="s">
        <v>42683</v>
      </c>
      <c r="S10005" t="s">
        <v>43062</v>
      </c>
      <c r="T10005" t="s">
        <v>44491</v>
      </c>
      <c r="U10005" t="s">
        <v>53003</v>
      </c>
      <c r="V10005" t="s">
        <v>57483</v>
      </c>
      <c r="W10005" t="s">
        <v>41046</v>
      </c>
      <c r="X10005" t="s">
        <v>42684</v>
      </c>
    </row>
    <row r="10006" spans="1:24">
      <c r="A10006">
        <f>HYPERLINK("https://www.philgeps.gov.ph/GEPSNONPILOT/Tender/SplashBidNoticeAbstractUI.aspx?menuIndex=3&amp;refID=7172138&amp;Result=3","7172138")</f>
        <v>0</v>
      </c>
      <c r="B10006" t="s">
        <v>2925</v>
      </c>
      <c r="C10006" t="s">
        <v>13078</v>
      </c>
      <c r="D10006" t="s">
        <v>17216</v>
      </c>
      <c r="E10006" t="s">
        <v>25813</v>
      </c>
      <c r="F10006" t="s">
        <v>29373</v>
      </c>
      <c r="G10006" t="s">
        <v>29380</v>
      </c>
      <c r="H10006" t="s">
        <v>11048</v>
      </c>
      <c r="I10006" t="s">
        <v>4709</v>
      </c>
      <c r="J10006" t="s">
        <v>35896</v>
      </c>
      <c r="K10006" t="s">
        <v>38510</v>
      </c>
      <c r="M10006" t="s">
        <v>41926</v>
      </c>
      <c r="N10006" t="s">
        <v>42669</v>
      </c>
      <c r="O10006" t="s">
        <v>42670</v>
      </c>
      <c r="P10006">
        <v>0</v>
      </c>
      <c r="Q10006">
        <v>0</v>
      </c>
      <c r="R10006" t="s">
        <v>42683</v>
      </c>
      <c r="S10006" t="s">
        <v>43062</v>
      </c>
      <c r="T10006" t="s">
        <v>44357</v>
      </c>
      <c r="U10006" t="s">
        <v>53004</v>
      </c>
      <c r="W10006" t="s">
        <v>41926</v>
      </c>
      <c r="X10006" t="s">
        <v>42684</v>
      </c>
    </row>
    <row r="10007" spans="1:24">
      <c r="A10007">
        <f>HYPERLINK("https://www.philgeps.gov.ph/GEPSNONPILOT/Tender/SplashBidNoticeAbstractUI.aspx?menuIndex=3&amp;refID=7172131&amp;Result=3","7172131")</f>
        <v>0</v>
      </c>
      <c r="B10007" t="s">
        <v>2943</v>
      </c>
      <c r="C10007" t="s">
        <v>13079</v>
      </c>
      <c r="D10007" t="s">
        <v>17141</v>
      </c>
      <c r="E10007" t="s">
        <v>25814</v>
      </c>
      <c r="F10007" t="s">
        <v>29372</v>
      </c>
      <c r="G10007" t="s">
        <v>29380</v>
      </c>
      <c r="H10007" t="s">
        <v>11048</v>
      </c>
      <c r="I10007" t="s">
        <v>29412</v>
      </c>
      <c r="J10007" t="s">
        <v>35897</v>
      </c>
      <c r="K10007" t="s">
        <v>38491</v>
      </c>
      <c r="M10007" t="s">
        <v>41945</v>
      </c>
      <c r="N10007" t="s">
        <v>42669</v>
      </c>
      <c r="O10007" t="s">
        <v>42670</v>
      </c>
      <c r="P10007">
        <v>0</v>
      </c>
      <c r="Q10007">
        <v>1</v>
      </c>
      <c r="R10007" t="s">
        <v>42683</v>
      </c>
      <c r="S10007" t="s">
        <v>43062</v>
      </c>
      <c r="T10007" t="s">
        <v>44432</v>
      </c>
      <c r="U10007" t="s">
        <v>53005</v>
      </c>
      <c r="W10007" t="s">
        <v>41945</v>
      </c>
      <c r="X10007" t="s">
        <v>42684</v>
      </c>
    </row>
    <row r="10008" spans="1:24">
      <c r="A10008">
        <f>HYPERLINK("https://www.philgeps.gov.ph/GEPSNONPILOT/Tender/SplashBidNoticeAbstractUI.aspx?menuIndex=3&amp;refID=7172205&amp;Result=3","7172205")</f>
        <v>0</v>
      </c>
      <c r="B10008" t="s">
        <v>2943</v>
      </c>
      <c r="C10008" t="s">
        <v>13080</v>
      </c>
      <c r="D10008" t="s">
        <v>17141</v>
      </c>
      <c r="E10008" t="s">
        <v>25815</v>
      </c>
      <c r="F10008" t="s">
        <v>29372</v>
      </c>
      <c r="G10008" t="s">
        <v>29380</v>
      </c>
      <c r="H10008" t="s">
        <v>11048</v>
      </c>
      <c r="I10008" t="s">
        <v>14920</v>
      </c>
      <c r="J10008" t="s">
        <v>35898</v>
      </c>
      <c r="K10008" t="s">
        <v>38491</v>
      </c>
      <c r="M10008" t="s">
        <v>41945</v>
      </c>
      <c r="N10008" t="s">
        <v>42669</v>
      </c>
      <c r="O10008" t="s">
        <v>42670</v>
      </c>
      <c r="P10008">
        <v>0</v>
      </c>
      <c r="Q10008">
        <v>0</v>
      </c>
      <c r="R10008" t="s">
        <v>42683</v>
      </c>
      <c r="S10008" t="s">
        <v>43062</v>
      </c>
      <c r="T10008" t="s">
        <v>44432</v>
      </c>
      <c r="U10008" t="s">
        <v>52967</v>
      </c>
      <c r="W10008" t="s">
        <v>41945</v>
      </c>
      <c r="X10008" t="s">
        <v>42684</v>
      </c>
    </row>
    <row r="10009" spans="1:24">
      <c r="A10009">
        <f>HYPERLINK("https://www.philgeps.gov.ph/GEPSNONPILOT/Tender/SplashBidNoticeAbstractUI.aspx?menuIndex=3&amp;refID=7172286&amp;Result=3","7172286")</f>
        <v>0</v>
      </c>
      <c r="B10009" t="s">
        <v>869</v>
      </c>
      <c r="C10009" t="s">
        <v>13081</v>
      </c>
      <c r="D10009" t="s">
        <v>17142</v>
      </c>
      <c r="E10009" t="s">
        <v>25816</v>
      </c>
      <c r="F10009" t="s">
        <v>29372</v>
      </c>
      <c r="G10009" t="s">
        <v>29380</v>
      </c>
      <c r="H10009" t="s">
        <v>29389</v>
      </c>
      <c r="I10009" t="s">
        <v>10408</v>
      </c>
      <c r="J10009" t="s">
        <v>31498</v>
      </c>
      <c r="K10009" t="s">
        <v>38564</v>
      </c>
      <c r="M10009" t="s">
        <v>41950</v>
      </c>
      <c r="N10009" t="s">
        <v>42669</v>
      </c>
      <c r="O10009" t="s">
        <v>42670</v>
      </c>
      <c r="P10009">
        <v>0</v>
      </c>
      <c r="Q10009">
        <v>2</v>
      </c>
      <c r="R10009" t="s">
        <v>42683</v>
      </c>
      <c r="S10009" t="s">
        <v>43062</v>
      </c>
      <c r="T10009" t="s">
        <v>44396</v>
      </c>
      <c r="U10009" t="s">
        <v>53006</v>
      </c>
      <c r="W10009" t="s">
        <v>41950</v>
      </c>
      <c r="X10009" t="s">
        <v>42684</v>
      </c>
    </row>
    <row r="10010" spans="1:24">
      <c r="A10010">
        <f>HYPERLINK("https://www.philgeps.gov.ph/GEPSNONPILOT/Tender/SplashBidNoticeAbstractUI.aspx?menuIndex=3&amp;refID=7172178&amp;Result=3","7172178")</f>
        <v>0</v>
      </c>
      <c r="B10010" t="s">
        <v>2943</v>
      </c>
      <c r="C10010" t="s">
        <v>13082</v>
      </c>
      <c r="D10010" t="s">
        <v>17141</v>
      </c>
      <c r="E10010" t="s">
        <v>25817</v>
      </c>
      <c r="F10010" t="s">
        <v>29372</v>
      </c>
      <c r="G10010" t="s">
        <v>29380</v>
      </c>
      <c r="H10010" t="s">
        <v>11048</v>
      </c>
      <c r="I10010" t="s">
        <v>3670</v>
      </c>
      <c r="J10010" t="s">
        <v>35899</v>
      </c>
      <c r="K10010" t="s">
        <v>38491</v>
      </c>
      <c r="M10010" t="s">
        <v>41945</v>
      </c>
      <c r="N10010" t="s">
        <v>42669</v>
      </c>
      <c r="O10010" t="s">
        <v>42670</v>
      </c>
      <c r="P10010">
        <v>0</v>
      </c>
      <c r="Q10010">
        <v>0</v>
      </c>
      <c r="R10010" t="s">
        <v>42683</v>
      </c>
      <c r="S10010" t="s">
        <v>43062</v>
      </c>
      <c r="T10010" t="s">
        <v>44454</v>
      </c>
      <c r="U10010" t="s">
        <v>52970</v>
      </c>
      <c r="W10010" t="s">
        <v>41945</v>
      </c>
      <c r="X10010" t="s">
        <v>42684</v>
      </c>
    </row>
    <row r="10011" spans="1:24">
      <c r="A10011">
        <f>HYPERLINK("https://www.philgeps.gov.ph/GEPSNONPILOT/Tender/SplashBidNoticeAbstractUI.aspx?menuIndex=3&amp;refID=7172141&amp;Result=3","7172141")</f>
        <v>0</v>
      </c>
      <c r="B10011" t="s">
        <v>660</v>
      </c>
      <c r="C10011" t="s">
        <v>13083</v>
      </c>
      <c r="E10011" t="s">
        <v>25818</v>
      </c>
      <c r="F10011" t="s">
        <v>29372</v>
      </c>
      <c r="G10011" t="s">
        <v>29380</v>
      </c>
      <c r="H10011" t="s">
        <v>11048</v>
      </c>
      <c r="I10011" t="s">
        <v>9469</v>
      </c>
      <c r="J10011" t="s">
        <v>29540</v>
      </c>
      <c r="K10011" t="s">
        <v>38490</v>
      </c>
      <c r="M10011" t="s">
        <v>41946</v>
      </c>
      <c r="N10011" t="s">
        <v>42669</v>
      </c>
      <c r="O10011" t="s">
        <v>42670</v>
      </c>
      <c r="P10011">
        <v>0</v>
      </c>
      <c r="Q10011">
        <v>2</v>
      </c>
      <c r="R10011" t="s">
        <v>42683</v>
      </c>
      <c r="S10011" t="s">
        <v>43062</v>
      </c>
      <c r="T10011" t="s">
        <v>44396</v>
      </c>
      <c r="U10011" t="s">
        <v>53007</v>
      </c>
      <c r="W10011" t="s">
        <v>41946</v>
      </c>
      <c r="X10011" t="s">
        <v>42684</v>
      </c>
    </row>
    <row r="10012" spans="1:24">
      <c r="A10012">
        <f>HYPERLINK("https://www.philgeps.gov.ph/GEPSNONPILOT/Tender/SplashBidNoticeAbstractUI.aspx?menuIndex=3&amp;refID=7172272&amp;Result=3","7172272")</f>
        <v>0</v>
      </c>
      <c r="B10012" t="s">
        <v>2943</v>
      </c>
      <c r="C10012" t="s">
        <v>13084</v>
      </c>
      <c r="D10012" t="s">
        <v>17141</v>
      </c>
      <c r="E10012" t="s">
        <v>25819</v>
      </c>
      <c r="F10012" t="s">
        <v>29372</v>
      </c>
      <c r="G10012" t="s">
        <v>29380</v>
      </c>
      <c r="H10012" t="s">
        <v>11048</v>
      </c>
      <c r="I10012" t="s">
        <v>3670</v>
      </c>
      <c r="J10012" t="s">
        <v>35900</v>
      </c>
      <c r="K10012" t="s">
        <v>38491</v>
      </c>
      <c r="M10012" t="s">
        <v>41945</v>
      </c>
      <c r="N10012" t="s">
        <v>42669</v>
      </c>
      <c r="O10012" t="s">
        <v>42670</v>
      </c>
      <c r="P10012">
        <v>0</v>
      </c>
      <c r="Q10012">
        <v>0</v>
      </c>
      <c r="R10012" t="s">
        <v>42683</v>
      </c>
      <c r="S10012" t="s">
        <v>43062</v>
      </c>
      <c r="T10012" t="s">
        <v>44432</v>
      </c>
      <c r="U10012" t="s">
        <v>52970</v>
      </c>
      <c r="W10012" t="s">
        <v>41945</v>
      </c>
      <c r="X10012" t="s">
        <v>42684</v>
      </c>
    </row>
    <row r="10013" spans="1:24">
      <c r="A10013">
        <f>HYPERLINK("https://www.philgeps.gov.ph/GEPSNONPILOT/Tender/SplashBidNoticeAbstractUI.aspx?menuIndex=3&amp;refID=7172068&amp;Result=3","7172068")</f>
        <v>0</v>
      </c>
      <c r="B10013" t="s">
        <v>2943</v>
      </c>
      <c r="C10013" t="s">
        <v>13085</v>
      </c>
      <c r="D10013" t="s">
        <v>17141</v>
      </c>
      <c r="E10013" t="s">
        <v>25820</v>
      </c>
      <c r="F10013" t="s">
        <v>29372</v>
      </c>
      <c r="G10013" t="s">
        <v>29380</v>
      </c>
      <c r="H10013" t="s">
        <v>11048</v>
      </c>
      <c r="I10013" t="s">
        <v>5383</v>
      </c>
      <c r="J10013" t="s">
        <v>29619</v>
      </c>
      <c r="K10013" t="s">
        <v>38491</v>
      </c>
      <c r="M10013" t="s">
        <v>41945</v>
      </c>
      <c r="N10013" t="s">
        <v>42669</v>
      </c>
      <c r="O10013" t="s">
        <v>42670</v>
      </c>
      <c r="P10013">
        <v>0</v>
      </c>
      <c r="Q10013">
        <v>0</v>
      </c>
      <c r="R10013" t="s">
        <v>42683</v>
      </c>
      <c r="S10013" t="s">
        <v>43062</v>
      </c>
      <c r="T10013" t="s">
        <v>44432</v>
      </c>
      <c r="U10013" t="s">
        <v>52966</v>
      </c>
      <c r="W10013" t="s">
        <v>41945</v>
      </c>
      <c r="X10013" t="s">
        <v>42684</v>
      </c>
    </row>
    <row r="10014" spans="1:24">
      <c r="A10014">
        <f>HYPERLINK("https://www.philgeps.gov.ph/GEPSNONPILOT/Tender/SplashBidNoticeAbstractUI.aspx?menuIndex=3&amp;refID=7172267&amp;Result=3","7172267")</f>
        <v>0</v>
      </c>
      <c r="B10014" t="s">
        <v>669</v>
      </c>
      <c r="C10014" t="s">
        <v>13086</v>
      </c>
      <c r="D10014" t="s">
        <v>17147</v>
      </c>
      <c r="E10014" t="s">
        <v>25821</v>
      </c>
      <c r="F10014" t="s">
        <v>29372</v>
      </c>
      <c r="G10014" t="s">
        <v>29380</v>
      </c>
      <c r="H10014" t="s">
        <v>29389</v>
      </c>
      <c r="I10014" t="s">
        <v>10408</v>
      </c>
      <c r="J10014" t="s">
        <v>35901</v>
      </c>
      <c r="K10014" t="s">
        <v>38518</v>
      </c>
      <c r="M10014" t="s">
        <v>41046</v>
      </c>
      <c r="N10014" t="s">
        <v>42669</v>
      </c>
      <c r="O10014" t="s">
        <v>42670</v>
      </c>
      <c r="P10014">
        <v>0</v>
      </c>
      <c r="Q10014">
        <v>0</v>
      </c>
      <c r="R10014" t="s">
        <v>42683</v>
      </c>
      <c r="S10014" t="s">
        <v>43062</v>
      </c>
      <c r="T10014" t="s">
        <v>44491</v>
      </c>
      <c r="U10014" t="s">
        <v>53008</v>
      </c>
      <c r="V10014" t="s">
        <v>57484</v>
      </c>
      <c r="W10014" t="s">
        <v>41046</v>
      </c>
      <c r="X10014" t="s">
        <v>42684</v>
      </c>
    </row>
    <row r="10015" spans="1:24">
      <c r="A10015">
        <f>HYPERLINK("https://www.philgeps.gov.ph/GEPSNONPILOT/Tender/SplashBidNoticeAbstractUI.aspx?menuIndex=3&amp;refID=7172264&amp;Result=3","7172264")</f>
        <v>0</v>
      </c>
      <c r="B10015" t="s">
        <v>1267</v>
      </c>
      <c r="C10015" t="s">
        <v>13087</v>
      </c>
      <c r="D10015" t="s">
        <v>17177</v>
      </c>
      <c r="E10015" t="s">
        <v>25822</v>
      </c>
      <c r="F10015" t="s">
        <v>29372</v>
      </c>
      <c r="G10015" t="s">
        <v>29380</v>
      </c>
      <c r="H10015" t="s">
        <v>29389</v>
      </c>
      <c r="I10015" t="s">
        <v>10408</v>
      </c>
      <c r="J10015" t="s">
        <v>35902</v>
      </c>
      <c r="K10015" t="s">
        <v>38542</v>
      </c>
      <c r="M10015" t="s">
        <v>40094</v>
      </c>
      <c r="N10015" t="s">
        <v>42669</v>
      </c>
      <c r="O10015" t="s">
        <v>42670</v>
      </c>
      <c r="P10015">
        <v>0</v>
      </c>
      <c r="Q10015">
        <v>5</v>
      </c>
      <c r="R10015" t="s">
        <v>42683</v>
      </c>
      <c r="S10015" t="s">
        <v>43062</v>
      </c>
      <c r="T10015" t="s">
        <v>44375</v>
      </c>
      <c r="U10015" t="s">
        <v>53009</v>
      </c>
      <c r="V10015" t="s">
        <v>57482</v>
      </c>
      <c r="W10015" t="s">
        <v>40094</v>
      </c>
      <c r="X10015" t="s">
        <v>42684</v>
      </c>
    </row>
    <row r="10016" spans="1:24">
      <c r="A10016">
        <f>HYPERLINK("https://www.philgeps.gov.ph/GEPSNONPILOT/Tender/SplashBidNoticeAbstractUI.aspx?menuIndex=3&amp;refID=7172258&amp;Result=3","7172258")</f>
        <v>0</v>
      </c>
      <c r="B10016" t="s">
        <v>2055</v>
      </c>
      <c r="C10016" t="s">
        <v>13088</v>
      </c>
      <c r="D10016" t="s">
        <v>17222</v>
      </c>
      <c r="E10016" t="s">
        <v>25823</v>
      </c>
      <c r="F10016" t="s">
        <v>29372</v>
      </c>
      <c r="G10016" t="s">
        <v>29383</v>
      </c>
      <c r="H10016" t="s">
        <v>11048</v>
      </c>
      <c r="I10016" t="s">
        <v>29437</v>
      </c>
      <c r="J10016" t="s">
        <v>32563</v>
      </c>
      <c r="K10016" t="s">
        <v>38488</v>
      </c>
      <c r="M10016" t="s">
        <v>40953</v>
      </c>
      <c r="N10016" t="s">
        <v>42669</v>
      </c>
      <c r="O10016" t="s">
        <v>42670</v>
      </c>
      <c r="P10016">
        <v>0</v>
      </c>
      <c r="Q10016">
        <v>0</v>
      </c>
      <c r="R10016" t="s">
        <v>42683</v>
      </c>
      <c r="S10016" t="s">
        <v>43062</v>
      </c>
      <c r="T10016" t="s">
        <v>44785</v>
      </c>
      <c r="U10016" t="s">
        <v>53010</v>
      </c>
      <c r="W10016" t="s">
        <v>40953</v>
      </c>
      <c r="X10016" t="s">
        <v>42684</v>
      </c>
    </row>
    <row r="10017" spans="1:24">
      <c r="A10017">
        <f>HYPERLINK("https://www.philgeps.gov.ph/GEPSNONPILOT/Tender/SplashBidNoticeAbstractUI.aspx?menuIndex=3&amp;refID=7172254&amp;Result=3","7172254")</f>
        <v>0</v>
      </c>
      <c r="B10017" t="s">
        <v>1279</v>
      </c>
      <c r="C10017" t="s">
        <v>6817</v>
      </c>
      <c r="D10017" t="s">
        <v>17141</v>
      </c>
      <c r="E10017" t="s">
        <v>25824</v>
      </c>
      <c r="F10017" t="s">
        <v>29372</v>
      </c>
      <c r="G10017" t="s">
        <v>29380</v>
      </c>
      <c r="H10017" t="s">
        <v>11048</v>
      </c>
      <c r="I10017" t="s">
        <v>29433</v>
      </c>
      <c r="J10017" t="s">
        <v>29785</v>
      </c>
      <c r="K10017" t="s">
        <v>38490</v>
      </c>
      <c r="M10017" t="s">
        <v>40107</v>
      </c>
      <c r="N10017" t="s">
        <v>42669</v>
      </c>
      <c r="O10017" t="s">
        <v>42670</v>
      </c>
      <c r="Q10017">
        <v>22</v>
      </c>
      <c r="R10017" t="s">
        <v>42683</v>
      </c>
      <c r="S10017" t="s">
        <v>43115</v>
      </c>
      <c r="T10017" t="s">
        <v>44543</v>
      </c>
      <c r="U10017" t="s">
        <v>53011</v>
      </c>
      <c r="W10017" t="s">
        <v>40107</v>
      </c>
      <c r="X10017" t="s">
        <v>42684</v>
      </c>
    </row>
    <row r="10018" spans="1:24">
      <c r="A10018">
        <f>HYPERLINK("https://www.philgeps.gov.ph/GEPSNONPILOT/Tender/SplashBidNoticeAbstractUI.aspx?menuIndex=3&amp;refID=7172279&amp;Result=3","7172279")</f>
        <v>0</v>
      </c>
      <c r="B10018" t="s">
        <v>660</v>
      </c>
      <c r="C10018" t="s">
        <v>13089</v>
      </c>
      <c r="E10018" t="s">
        <v>25825</v>
      </c>
      <c r="F10018" t="s">
        <v>29372</v>
      </c>
      <c r="G10018" t="s">
        <v>29380</v>
      </c>
      <c r="H10018" t="s">
        <v>11048</v>
      </c>
      <c r="I10018" t="s">
        <v>3670</v>
      </c>
      <c r="J10018" t="s">
        <v>35903</v>
      </c>
      <c r="K10018" t="s">
        <v>38490</v>
      </c>
      <c r="M10018" t="s">
        <v>41946</v>
      </c>
      <c r="N10018" t="s">
        <v>42669</v>
      </c>
      <c r="O10018" t="s">
        <v>42670</v>
      </c>
      <c r="P10018">
        <v>0</v>
      </c>
      <c r="Q10018">
        <v>0</v>
      </c>
      <c r="R10018" t="s">
        <v>42683</v>
      </c>
      <c r="S10018" t="s">
        <v>43062</v>
      </c>
      <c r="T10018" t="s">
        <v>44396</v>
      </c>
      <c r="U10018" t="s">
        <v>53012</v>
      </c>
      <c r="W10018" t="s">
        <v>41946</v>
      </c>
      <c r="X10018" t="s">
        <v>42684</v>
      </c>
    </row>
    <row r="10019" spans="1:24">
      <c r="A10019">
        <f>HYPERLINK("https://www.philgeps.gov.ph/GEPSNONPILOT/Tender/SplashBidNoticeAbstractUI.aspx?menuIndex=3&amp;refID=7172252&amp;Result=3","7172252")</f>
        <v>0</v>
      </c>
      <c r="B10019" t="s">
        <v>660</v>
      </c>
      <c r="C10019" t="s">
        <v>13090</v>
      </c>
      <c r="E10019" t="s">
        <v>25826</v>
      </c>
      <c r="F10019" t="s">
        <v>29372</v>
      </c>
      <c r="G10019" t="s">
        <v>29380</v>
      </c>
      <c r="H10019" t="s">
        <v>11048</v>
      </c>
      <c r="I10019" t="s">
        <v>3670</v>
      </c>
      <c r="J10019" t="s">
        <v>31195</v>
      </c>
      <c r="K10019" t="s">
        <v>38490</v>
      </c>
      <c r="M10019" t="s">
        <v>41946</v>
      </c>
      <c r="N10019" t="s">
        <v>42669</v>
      </c>
      <c r="O10019" t="s">
        <v>42670</v>
      </c>
      <c r="P10019">
        <v>0</v>
      </c>
      <c r="Q10019">
        <v>1</v>
      </c>
      <c r="R10019" t="s">
        <v>42683</v>
      </c>
      <c r="S10019" t="s">
        <v>43062</v>
      </c>
      <c r="T10019" t="s">
        <v>44396</v>
      </c>
      <c r="U10019" t="s">
        <v>53013</v>
      </c>
      <c r="W10019" t="s">
        <v>41946</v>
      </c>
      <c r="X10019" t="s">
        <v>42684</v>
      </c>
    </row>
    <row r="10020" spans="1:24">
      <c r="A10020">
        <f>HYPERLINK("https://www.philgeps.gov.ph/GEPSNONPILOT/Tender/SplashBidNoticeAbstractUI.aspx?menuIndex=3&amp;refID=7172124&amp;Result=3","7172124")</f>
        <v>0</v>
      </c>
      <c r="B10020" t="s">
        <v>2943</v>
      </c>
      <c r="C10020" t="s">
        <v>13091</v>
      </c>
      <c r="D10020" t="s">
        <v>17141</v>
      </c>
      <c r="E10020" t="s">
        <v>25827</v>
      </c>
      <c r="F10020" t="s">
        <v>29372</v>
      </c>
      <c r="G10020" t="s">
        <v>29380</v>
      </c>
      <c r="H10020" t="s">
        <v>11048</v>
      </c>
      <c r="I10020" t="s">
        <v>14920</v>
      </c>
      <c r="J10020" t="s">
        <v>30302</v>
      </c>
      <c r="K10020" t="s">
        <v>38491</v>
      </c>
      <c r="M10020" t="s">
        <v>41945</v>
      </c>
      <c r="N10020" t="s">
        <v>42669</v>
      </c>
      <c r="O10020" t="s">
        <v>42670</v>
      </c>
      <c r="P10020">
        <v>0</v>
      </c>
      <c r="Q10020">
        <v>0</v>
      </c>
      <c r="R10020" t="s">
        <v>42683</v>
      </c>
      <c r="S10020" t="s">
        <v>43062</v>
      </c>
      <c r="T10020" t="s">
        <v>44432</v>
      </c>
      <c r="U10020" t="s">
        <v>52967</v>
      </c>
      <c r="W10020" t="s">
        <v>41945</v>
      </c>
      <c r="X10020" t="s">
        <v>42684</v>
      </c>
    </row>
    <row r="10021" spans="1:24">
      <c r="A10021">
        <f>HYPERLINK("https://www.philgeps.gov.ph/GEPSNONPILOT/Tender/SplashBidNoticeAbstractUI.aspx?menuIndex=3&amp;refID=7172247&amp;Result=3","7172247")</f>
        <v>0</v>
      </c>
      <c r="B10021" t="s">
        <v>2943</v>
      </c>
      <c r="C10021" t="s">
        <v>13092</v>
      </c>
      <c r="D10021" t="s">
        <v>17141</v>
      </c>
      <c r="E10021" t="s">
        <v>25828</v>
      </c>
      <c r="F10021" t="s">
        <v>29372</v>
      </c>
      <c r="G10021" t="s">
        <v>29380</v>
      </c>
      <c r="H10021" t="s">
        <v>11048</v>
      </c>
      <c r="I10021" t="s">
        <v>3670</v>
      </c>
      <c r="J10021" t="s">
        <v>35904</v>
      </c>
      <c r="K10021" t="s">
        <v>38491</v>
      </c>
      <c r="M10021" t="s">
        <v>41945</v>
      </c>
      <c r="N10021" t="s">
        <v>42669</v>
      </c>
      <c r="O10021" t="s">
        <v>42670</v>
      </c>
      <c r="P10021">
        <v>0</v>
      </c>
      <c r="Q10021">
        <v>0</v>
      </c>
      <c r="R10021" t="s">
        <v>42683</v>
      </c>
      <c r="S10021" t="s">
        <v>43062</v>
      </c>
      <c r="T10021" t="s">
        <v>44432</v>
      </c>
      <c r="U10021" t="s">
        <v>52970</v>
      </c>
      <c r="W10021" t="s">
        <v>41945</v>
      </c>
      <c r="X10021" t="s">
        <v>42684</v>
      </c>
    </row>
    <row r="10022" spans="1:24">
      <c r="A10022">
        <f>HYPERLINK("https://www.philgeps.gov.ph/GEPSNONPILOT/Tender/SplashBidNoticeAbstractUI.aspx?menuIndex=3&amp;refID=7172236&amp;Result=3","7172236")</f>
        <v>0</v>
      </c>
      <c r="B10022" t="s">
        <v>2943</v>
      </c>
      <c r="C10022" t="s">
        <v>13093</v>
      </c>
      <c r="D10022" t="s">
        <v>17141</v>
      </c>
      <c r="E10022" t="s">
        <v>25829</v>
      </c>
      <c r="F10022" t="s">
        <v>29372</v>
      </c>
      <c r="G10022" t="s">
        <v>29380</v>
      </c>
      <c r="H10022" t="s">
        <v>11048</v>
      </c>
      <c r="I10022" t="s">
        <v>14920</v>
      </c>
      <c r="J10022" t="s">
        <v>31086</v>
      </c>
      <c r="K10022" t="s">
        <v>38491</v>
      </c>
      <c r="M10022" t="s">
        <v>41945</v>
      </c>
      <c r="N10022" t="s">
        <v>42669</v>
      </c>
      <c r="O10022" t="s">
        <v>42670</v>
      </c>
      <c r="P10022">
        <v>0</v>
      </c>
      <c r="Q10022">
        <v>0</v>
      </c>
      <c r="R10022" t="s">
        <v>42683</v>
      </c>
      <c r="S10022" t="s">
        <v>43062</v>
      </c>
      <c r="T10022" t="s">
        <v>44432</v>
      </c>
      <c r="U10022" t="s">
        <v>52967</v>
      </c>
      <c r="W10022" t="s">
        <v>41945</v>
      </c>
      <c r="X10022" t="s">
        <v>42684</v>
      </c>
    </row>
    <row r="10023" spans="1:24">
      <c r="A10023">
        <f>HYPERLINK("https://www.philgeps.gov.ph/GEPSNONPILOT/Tender/SplashBidNoticeAbstractUI.aspx?menuIndex=3&amp;refID=7172263&amp;Result=3","7172263")</f>
        <v>0</v>
      </c>
      <c r="B10023" t="s">
        <v>2936</v>
      </c>
      <c r="C10023" t="s">
        <v>13094</v>
      </c>
      <c r="D10023" t="s">
        <v>17151</v>
      </c>
      <c r="E10023" t="s">
        <v>25830</v>
      </c>
      <c r="F10023" t="s">
        <v>29372</v>
      </c>
      <c r="G10023" t="s">
        <v>29380</v>
      </c>
      <c r="H10023" t="s">
        <v>11048</v>
      </c>
      <c r="I10023" t="s">
        <v>4709</v>
      </c>
      <c r="J10023" t="s">
        <v>35905</v>
      </c>
      <c r="K10023" t="s">
        <v>38491</v>
      </c>
      <c r="M10023" t="s">
        <v>41938</v>
      </c>
      <c r="N10023" t="s">
        <v>42669</v>
      </c>
      <c r="O10023" t="s">
        <v>42670</v>
      </c>
      <c r="P10023">
        <v>0</v>
      </c>
      <c r="Q10023">
        <v>0</v>
      </c>
      <c r="R10023" t="s">
        <v>42683</v>
      </c>
      <c r="S10023" t="s">
        <v>43062</v>
      </c>
      <c r="T10023" t="s">
        <v>44491</v>
      </c>
      <c r="U10023" t="s">
        <v>53014</v>
      </c>
      <c r="W10023" t="s">
        <v>41938</v>
      </c>
      <c r="X10023" t="s">
        <v>42684</v>
      </c>
    </row>
    <row r="10024" spans="1:24">
      <c r="A10024">
        <f>HYPERLINK("https://www.philgeps.gov.ph/GEPSNONPILOT/Tender/SplashBidNoticeAbstractUI.aspx?menuIndex=3&amp;refID=7172235&amp;Result=3","7172235")</f>
        <v>0</v>
      </c>
      <c r="B10024" t="s">
        <v>97</v>
      </c>
      <c r="C10024" t="s">
        <v>13095</v>
      </c>
      <c r="D10024" t="s">
        <v>17154</v>
      </c>
      <c r="E10024" t="s">
        <v>25831</v>
      </c>
      <c r="F10024" t="s">
        <v>29372</v>
      </c>
      <c r="G10024" t="s">
        <v>29380</v>
      </c>
      <c r="H10024" t="s">
        <v>11048</v>
      </c>
      <c r="I10024" t="s">
        <v>8614</v>
      </c>
      <c r="J10024" t="s">
        <v>29615</v>
      </c>
      <c r="K10024" t="s">
        <v>38488</v>
      </c>
      <c r="M10024" t="s">
        <v>38851</v>
      </c>
      <c r="N10024" t="s">
        <v>42669</v>
      </c>
      <c r="O10024" t="s">
        <v>42670</v>
      </c>
      <c r="Q10024">
        <v>14</v>
      </c>
      <c r="R10024" t="s">
        <v>42683</v>
      </c>
      <c r="S10024" t="s">
        <v>43116</v>
      </c>
      <c r="T10024" t="s">
        <v>44412</v>
      </c>
      <c r="U10024" t="s">
        <v>53015</v>
      </c>
      <c r="V10024" t="s">
        <v>57485</v>
      </c>
      <c r="W10024" t="s">
        <v>38851</v>
      </c>
      <c r="X10024" t="s">
        <v>42684</v>
      </c>
    </row>
    <row r="10025" spans="1:24">
      <c r="A10025">
        <f>HYPERLINK("https://www.philgeps.gov.ph/GEPSNONPILOT/Tender/SplashBidNoticeAbstractUI.aspx?menuIndex=3&amp;refID=7172221&amp;Result=3","7172221")</f>
        <v>0</v>
      </c>
      <c r="B10025" t="s">
        <v>1267</v>
      </c>
      <c r="C10025" t="s">
        <v>13096</v>
      </c>
      <c r="D10025" t="s">
        <v>17177</v>
      </c>
      <c r="E10025" t="s">
        <v>25832</v>
      </c>
      <c r="F10025" t="s">
        <v>29372</v>
      </c>
      <c r="G10025" t="s">
        <v>29380</v>
      </c>
      <c r="H10025" t="s">
        <v>29389</v>
      </c>
      <c r="I10025" t="s">
        <v>10408</v>
      </c>
      <c r="J10025" t="s">
        <v>30845</v>
      </c>
      <c r="K10025" t="s">
        <v>38689</v>
      </c>
      <c r="M10025" t="s">
        <v>40094</v>
      </c>
      <c r="N10025" t="s">
        <v>42669</v>
      </c>
      <c r="O10025" t="s">
        <v>42670</v>
      </c>
      <c r="P10025">
        <v>0</v>
      </c>
      <c r="Q10025">
        <v>4</v>
      </c>
      <c r="R10025" t="s">
        <v>42683</v>
      </c>
      <c r="S10025" t="s">
        <v>43062</v>
      </c>
      <c r="T10025" t="s">
        <v>44375</v>
      </c>
      <c r="U10025" t="s">
        <v>53016</v>
      </c>
      <c r="V10025" t="s">
        <v>57482</v>
      </c>
      <c r="W10025" t="s">
        <v>40094</v>
      </c>
      <c r="X10025" t="s">
        <v>42684</v>
      </c>
    </row>
    <row r="10026" spans="1:24">
      <c r="A10026">
        <f>HYPERLINK("https://www.philgeps.gov.ph/GEPSNONPILOT/Tender/SplashBidNoticeAbstractUI.aspx?menuIndex=3&amp;refID=7172215&amp;Result=3","7172215")</f>
        <v>0</v>
      </c>
      <c r="B10026" t="s">
        <v>654</v>
      </c>
      <c r="C10026" t="s">
        <v>13097</v>
      </c>
      <c r="D10026" t="s">
        <v>17170</v>
      </c>
      <c r="E10026" t="s">
        <v>25833</v>
      </c>
      <c r="F10026" t="s">
        <v>29372</v>
      </c>
      <c r="G10026" t="s">
        <v>29380</v>
      </c>
      <c r="H10026" t="s">
        <v>11048</v>
      </c>
      <c r="I10026" t="s">
        <v>3597</v>
      </c>
      <c r="J10026" t="s">
        <v>35906</v>
      </c>
      <c r="K10026" t="s">
        <v>38485</v>
      </c>
      <c r="M10026" t="s">
        <v>39428</v>
      </c>
      <c r="N10026" t="s">
        <v>42669</v>
      </c>
      <c r="O10026" t="s">
        <v>42670</v>
      </c>
      <c r="P10026">
        <v>0</v>
      </c>
      <c r="Q10026">
        <v>6</v>
      </c>
      <c r="R10026" t="s">
        <v>42683</v>
      </c>
      <c r="S10026" t="s">
        <v>43062</v>
      </c>
      <c r="T10026" t="s">
        <v>44419</v>
      </c>
      <c r="U10026" t="s">
        <v>46217</v>
      </c>
      <c r="V10026" t="s">
        <v>56527</v>
      </c>
      <c r="W10026" t="s">
        <v>39428</v>
      </c>
      <c r="X10026" t="s">
        <v>42684</v>
      </c>
    </row>
    <row r="10027" spans="1:24">
      <c r="A10027">
        <f>HYPERLINK("https://www.philgeps.gov.ph/GEPSNONPILOT/Tender/SplashBidNoticeAbstractUI.aspx?menuIndex=3&amp;refID=7172207&amp;Result=3","7172207")</f>
        <v>0</v>
      </c>
      <c r="B10027" t="s">
        <v>992</v>
      </c>
      <c r="C10027" t="s">
        <v>13098</v>
      </c>
      <c r="D10027" t="s">
        <v>17180</v>
      </c>
      <c r="E10027" t="s">
        <v>25834</v>
      </c>
      <c r="F10027" t="s">
        <v>29372</v>
      </c>
      <c r="G10027" t="s">
        <v>29380</v>
      </c>
      <c r="H10027" t="s">
        <v>29389</v>
      </c>
      <c r="I10027" t="s">
        <v>10408</v>
      </c>
      <c r="J10027" t="s">
        <v>35907</v>
      </c>
      <c r="K10027" t="s">
        <v>38564</v>
      </c>
      <c r="M10027" t="s">
        <v>39792</v>
      </c>
      <c r="N10027" t="s">
        <v>42669</v>
      </c>
      <c r="O10027" t="s">
        <v>42670</v>
      </c>
      <c r="P10027">
        <v>0</v>
      </c>
      <c r="Q10027">
        <v>32</v>
      </c>
      <c r="R10027" t="s">
        <v>42683</v>
      </c>
      <c r="S10027" t="s">
        <v>43062</v>
      </c>
      <c r="T10027" t="s">
        <v>44357</v>
      </c>
      <c r="U10027" t="s">
        <v>53017</v>
      </c>
      <c r="V10027" t="s">
        <v>56683</v>
      </c>
      <c r="W10027" t="s">
        <v>39792</v>
      </c>
      <c r="X10027" t="s">
        <v>42684</v>
      </c>
    </row>
    <row r="10028" spans="1:24">
      <c r="A10028">
        <f>HYPERLINK("https://www.philgeps.gov.ph/GEPSNONPILOT/Tender/SplashBidNoticeAbstractUI.aspx?menuIndex=3&amp;refID=7172122&amp;Result=3","7172122")</f>
        <v>0</v>
      </c>
      <c r="B10028" t="s">
        <v>2189</v>
      </c>
      <c r="C10028" t="s">
        <v>13099</v>
      </c>
      <c r="D10028" t="s">
        <v>17209</v>
      </c>
      <c r="E10028" t="s">
        <v>25835</v>
      </c>
      <c r="F10028" t="s">
        <v>29372</v>
      </c>
      <c r="G10028" t="s">
        <v>29380</v>
      </c>
      <c r="H10028" t="s">
        <v>29389</v>
      </c>
      <c r="I10028" t="s">
        <v>10408</v>
      </c>
      <c r="J10028" t="s">
        <v>30056</v>
      </c>
      <c r="K10028" t="s">
        <v>38490</v>
      </c>
      <c r="M10028" t="s">
        <v>41103</v>
      </c>
      <c r="N10028" t="s">
        <v>42669</v>
      </c>
      <c r="O10028" t="s">
        <v>42670</v>
      </c>
      <c r="Q10028">
        <v>0</v>
      </c>
      <c r="R10028" t="s">
        <v>42683</v>
      </c>
      <c r="S10028" t="s">
        <v>43117</v>
      </c>
      <c r="T10028" t="s">
        <v>44786</v>
      </c>
      <c r="U10028" t="s">
        <v>53018</v>
      </c>
      <c r="W10028" t="s">
        <v>41103</v>
      </c>
      <c r="X10028" t="s">
        <v>42684</v>
      </c>
    </row>
    <row r="10029" spans="1:24">
      <c r="A10029">
        <f>HYPERLINK("https://www.philgeps.gov.ph/GEPSNONPILOT/Tender/SplashBidNoticeAbstractUI.aspx?menuIndex=3&amp;refID=7172243&amp;Result=3","7172243")</f>
        <v>0</v>
      </c>
      <c r="B10029" t="s">
        <v>1267</v>
      </c>
      <c r="C10029" t="s">
        <v>13100</v>
      </c>
      <c r="D10029" t="s">
        <v>17177</v>
      </c>
      <c r="E10029" t="s">
        <v>25836</v>
      </c>
      <c r="F10029" t="s">
        <v>29372</v>
      </c>
      <c r="G10029" t="s">
        <v>29380</v>
      </c>
      <c r="H10029" t="s">
        <v>29389</v>
      </c>
      <c r="I10029" t="s">
        <v>10408</v>
      </c>
      <c r="J10029" t="s">
        <v>30845</v>
      </c>
      <c r="K10029" t="s">
        <v>38689</v>
      </c>
      <c r="M10029" t="s">
        <v>40094</v>
      </c>
      <c r="N10029" t="s">
        <v>42669</v>
      </c>
      <c r="O10029" t="s">
        <v>42670</v>
      </c>
      <c r="P10029">
        <v>0</v>
      </c>
      <c r="Q10029">
        <v>5</v>
      </c>
      <c r="R10029" t="s">
        <v>42683</v>
      </c>
      <c r="S10029" t="s">
        <v>43062</v>
      </c>
      <c r="T10029" t="s">
        <v>44375</v>
      </c>
      <c r="U10029" t="s">
        <v>53019</v>
      </c>
      <c r="V10029" t="s">
        <v>57482</v>
      </c>
      <c r="W10029" t="s">
        <v>40094</v>
      </c>
      <c r="X10029" t="s">
        <v>42684</v>
      </c>
    </row>
    <row r="10030" spans="1:24">
      <c r="A10030">
        <f>HYPERLINK("https://www.philgeps.gov.ph/GEPSNONPILOT/Tender/SplashBidNoticeAbstractUI.aspx?menuIndex=3&amp;refID=7172225&amp;Result=3","7172225")</f>
        <v>0</v>
      </c>
      <c r="B10030" t="s">
        <v>2943</v>
      </c>
      <c r="C10030" t="s">
        <v>13101</v>
      </c>
      <c r="D10030" t="s">
        <v>17141</v>
      </c>
      <c r="E10030" t="s">
        <v>25837</v>
      </c>
      <c r="F10030" t="s">
        <v>29372</v>
      </c>
      <c r="G10030" t="s">
        <v>29380</v>
      </c>
      <c r="H10030" t="s">
        <v>11048</v>
      </c>
      <c r="I10030" t="s">
        <v>5383</v>
      </c>
      <c r="J10030" t="s">
        <v>30107</v>
      </c>
      <c r="K10030" t="s">
        <v>38491</v>
      </c>
      <c r="M10030" t="s">
        <v>41945</v>
      </c>
      <c r="N10030" t="s">
        <v>42669</v>
      </c>
      <c r="O10030" t="s">
        <v>42670</v>
      </c>
      <c r="P10030">
        <v>0</v>
      </c>
      <c r="Q10030">
        <v>0</v>
      </c>
      <c r="R10030" t="s">
        <v>42683</v>
      </c>
      <c r="S10030" t="s">
        <v>43062</v>
      </c>
      <c r="T10030" t="s">
        <v>44432</v>
      </c>
      <c r="U10030" t="s">
        <v>52966</v>
      </c>
      <c r="W10030" t="s">
        <v>41945</v>
      </c>
      <c r="X10030" t="s">
        <v>42684</v>
      </c>
    </row>
    <row r="10031" spans="1:24">
      <c r="A10031">
        <f>HYPERLINK("https://www.philgeps.gov.ph/GEPSNONPILOT/Tender/SplashBidNoticeAbstractUI.aspx?menuIndex=3&amp;refID=7172299&amp;Result=3","7172299")</f>
        <v>0</v>
      </c>
      <c r="B10031" t="s">
        <v>669</v>
      </c>
      <c r="C10031" t="s">
        <v>13102</v>
      </c>
      <c r="D10031" t="s">
        <v>17147</v>
      </c>
      <c r="E10031" t="s">
        <v>25838</v>
      </c>
      <c r="F10031" t="s">
        <v>29372</v>
      </c>
      <c r="G10031" t="s">
        <v>29380</v>
      </c>
      <c r="H10031" t="s">
        <v>29389</v>
      </c>
      <c r="I10031" t="s">
        <v>10408</v>
      </c>
      <c r="J10031" t="s">
        <v>35908</v>
      </c>
      <c r="K10031" t="s">
        <v>38510</v>
      </c>
      <c r="M10031" t="s">
        <v>41046</v>
      </c>
      <c r="N10031" t="s">
        <v>42669</v>
      </c>
      <c r="O10031" t="s">
        <v>42670</v>
      </c>
      <c r="P10031">
        <v>0</v>
      </c>
      <c r="Q10031">
        <v>0</v>
      </c>
      <c r="R10031" t="s">
        <v>42683</v>
      </c>
      <c r="S10031" t="s">
        <v>43062</v>
      </c>
      <c r="T10031" t="s">
        <v>44491</v>
      </c>
      <c r="U10031" t="s">
        <v>53020</v>
      </c>
      <c r="V10031" t="s">
        <v>57486</v>
      </c>
      <c r="W10031" t="s">
        <v>41046</v>
      </c>
      <c r="X10031" t="s">
        <v>42684</v>
      </c>
    </row>
    <row r="10032" spans="1:24">
      <c r="A10032">
        <f>HYPERLINK("https://www.philgeps.gov.ph/GEPSNONPILOT/Tender/SplashBidNoticeAbstractUI.aspx?menuIndex=3&amp;refID=7172257&amp;Result=3","7172257")</f>
        <v>0</v>
      </c>
      <c r="B10032" t="s">
        <v>2943</v>
      </c>
      <c r="C10032" t="s">
        <v>13103</v>
      </c>
      <c r="D10032" t="s">
        <v>17141</v>
      </c>
      <c r="E10032" t="s">
        <v>25839</v>
      </c>
      <c r="F10032" t="s">
        <v>29372</v>
      </c>
      <c r="G10032" t="s">
        <v>29380</v>
      </c>
      <c r="H10032" t="s">
        <v>11048</v>
      </c>
      <c r="I10032" t="s">
        <v>3670</v>
      </c>
      <c r="J10032" t="s">
        <v>29825</v>
      </c>
      <c r="K10032" t="s">
        <v>38491</v>
      </c>
      <c r="M10032" t="s">
        <v>41945</v>
      </c>
      <c r="N10032" t="s">
        <v>42669</v>
      </c>
      <c r="O10032" t="s">
        <v>42670</v>
      </c>
      <c r="P10032">
        <v>0</v>
      </c>
      <c r="Q10032">
        <v>0</v>
      </c>
      <c r="R10032" t="s">
        <v>42683</v>
      </c>
      <c r="S10032" t="s">
        <v>43062</v>
      </c>
      <c r="T10032" t="s">
        <v>44432</v>
      </c>
      <c r="U10032" t="s">
        <v>52970</v>
      </c>
      <c r="W10032" t="s">
        <v>41945</v>
      </c>
      <c r="X10032" t="s">
        <v>42684</v>
      </c>
    </row>
    <row r="10033" spans="1:24">
      <c r="A10033">
        <f>HYPERLINK("https://www.philgeps.gov.ph/GEPSNONPILOT/Tender/SplashBidNoticeAbstractUI.aspx?menuIndex=3&amp;refID=7172379&amp;Result=3","7172379")</f>
        <v>0</v>
      </c>
      <c r="B10033" t="s">
        <v>2189</v>
      </c>
      <c r="C10033" t="s">
        <v>13104</v>
      </c>
      <c r="D10033" t="s">
        <v>17209</v>
      </c>
      <c r="E10033" t="s">
        <v>25840</v>
      </c>
      <c r="F10033" t="s">
        <v>29374</v>
      </c>
      <c r="G10033" t="s">
        <v>29380</v>
      </c>
      <c r="H10033" t="s">
        <v>29389</v>
      </c>
      <c r="I10033" t="s">
        <v>10408</v>
      </c>
      <c r="J10033" t="s">
        <v>35909</v>
      </c>
      <c r="K10033" t="s">
        <v>38490</v>
      </c>
      <c r="M10033" t="s">
        <v>41103</v>
      </c>
      <c r="N10033" t="s">
        <v>42669</v>
      </c>
      <c r="O10033" t="s">
        <v>42670</v>
      </c>
      <c r="Q10033">
        <v>0</v>
      </c>
      <c r="R10033" t="s">
        <v>42683</v>
      </c>
      <c r="S10033" t="s">
        <v>43118</v>
      </c>
      <c r="T10033" t="s">
        <v>44375</v>
      </c>
      <c r="U10033" t="s">
        <v>53021</v>
      </c>
      <c r="W10033" t="s">
        <v>41103</v>
      </c>
      <c r="X10033" t="s">
        <v>42684</v>
      </c>
    </row>
    <row r="10034" spans="1:24">
      <c r="A10034">
        <f>HYPERLINK("https://www.philgeps.gov.ph/GEPSNONPILOT/Tender/SplashBidNoticeAbstractUI.aspx?menuIndex=3&amp;refID=7172213&amp;Result=3","7172213")</f>
        <v>0</v>
      </c>
      <c r="B10034" t="s">
        <v>669</v>
      </c>
      <c r="C10034" t="s">
        <v>13105</v>
      </c>
      <c r="D10034" t="s">
        <v>17147</v>
      </c>
      <c r="E10034" t="s">
        <v>25841</v>
      </c>
      <c r="F10034" t="s">
        <v>29372</v>
      </c>
      <c r="G10034" t="s">
        <v>29380</v>
      </c>
      <c r="H10034" t="s">
        <v>29389</v>
      </c>
      <c r="I10034" t="s">
        <v>10408</v>
      </c>
      <c r="J10034" t="s">
        <v>35910</v>
      </c>
      <c r="K10034" t="s">
        <v>38492</v>
      </c>
      <c r="M10034" t="s">
        <v>41046</v>
      </c>
      <c r="N10034" t="s">
        <v>42669</v>
      </c>
      <c r="O10034" t="s">
        <v>42670</v>
      </c>
      <c r="P10034">
        <v>0</v>
      </c>
      <c r="Q10034">
        <v>0</v>
      </c>
      <c r="R10034" t="s">
        <v>42683</v>
      </c>
      <c r="S10034" t="s">
        <v>43062</v>
      </c>
      <c r="T10034" t="s">
        <v>44491</v>
      </c>
      <c r="U10034" t="s">
        <v>53022</v>
      </c>
      <c r="V10034" t="s">
        <v>57487</v>
      </c>
      <c r="W10034" t="s">
        <v>41046</v>
      </c>
      <c r="X10034" t="s">
        <v>42684</v>
      </c>
    </row>
    <row r="10035" spans="1:24">
      <c r="A10035">
        <f>HYPERLINK("https://www.philgeps.gov.ph/GEPSNONPILOT/Tender/SplashBidNoticeAbstractUI.aspx?menuIndex=3&amp;refID=7172172&amp;Result=3","7172172")</f>
        <v>0</v>
      </c>
      <c r="B10035" t="s">
        <v>660</v>
      </c>
      <c r="C10035" t="s">
        <v>13106</v>
      </c>
      <c r="E10035" t="s">
        <v>25842</v>
      </c>
      <c r="F10035" t="s">
        <v>29372</v>
      </c>
      <c r="G10035" t="s">
        <v>29380</v>
      </c>
      <c r="H10035" t="s">
        <v>11048</v>
      </c>
      <c r="I10035" t="s">
        <v>9469</v>
      </c>
      <c r="J10035" t="s">
        <v>35911</v>
      </c>
      <c r="K10035" t="s">
        <v>38490</v>
      </c>
      <c r="M10035" t="s">
        <v>41946</v>
      </c>
      <c r="N10035" t="s">
        <v>42669</v>
      </c>
      <c r="O10035" t="s">
        <v>42670</v>
      </c>
      <c r="P10035">
        <v>0</v>
      </c>
      <c r="Q10035">
        <v>0</v>
      </c>
      <c r="R10035" t="s">
        <v>42683</v>
      </c>
      <c r="S10035" t="s">
        <v>43062</v>
      </c>
      <c r="T10035" t="s">
        <v>44396</v>
      </c>
      <c r="U10035" t="s">
        <v>53023</v>
      </c>
      <c r="W10035" t="s">
        <v>41946</v>
      </c>
      <c r="X10035" t="s">
        <v>42684</v>
      </c>
    </row>
    <row r="10036" spans="1:24">
      <c r="A10036">
        <f>HYPERLINK("https://www.philgeps.gov.ph/GEPSNONPILOT/Tender/SplashBidNoticeAbstractUI.aspx?menuIndex=3&amp;refID=7172365&amp;Result=3","7172365")</f>
        <v>0</v>
      </c>
      <c r="B10036" t="s">
        <v>2943</v>
      </c>
      <c r="C10036" t="s">
        <v>13107</v>
      </c>
      <c r="D10036" t="s">
        <v>17141</v>
      </c>
      <c r="E10036" t="s">
        <v>25843</v>
      </c>
      <c r="F10036" t="s">
        <v>29372</v>
      </c>
      <c r="G10036" t="s">
        <v>29380</v>
      </c>
      <c r="H10036" t="s">
        <v>11048</v>
      </c>
      <c r="I10036" t="s">
        <v>3670</v>
      </c>
      <c r="J10036" t="s">
        <v>30232</v>
      </c>
      <c r="K10036" t="s">
        <v>38491</v>
      </c>
      <c r="M10036" t="s">
        <v>41945</v>
      </c>
      <c r="N10036" t="s">
        <v>42669</v>
      </c>
      <c r="O10036" t="s">
        <v>42670</v>
      </c>
      <c r="P10036">
        <v>0</v>
      </c>
      <c r="Q10036">
        <v>1</v>
      </c>
      <c r="R10036" t="s">
        <v>42683</v>
      </c>
      <c r="S10036" t="s">
        <v>43062</v>
      </c>
      <c r="T10036" t="s">
        <v>44432</v>
      </c>
      <c r="U10036" t="s">
        <v>52970</v>
      </c>
      <c r="W10036" t="s">
        <v>41945</v>
      </c>
      <c r="X10036" t="s">
        <v>42684</v>
      </c>
    </row>
    <row r="10037" spans="1:24">
      <c r="A10037">
        <f>HYPERLINK("https://www.philgeps.gov.ph/GEPSNONPILOT/Tender/SplashBidNoticeAbstractUI.aspx?menuIndex=3&amp;refID=7172355&amp;Result=3","7172355")</f>
        <v>0</v>
      </c>
      <c r="B10037" t="s">
        <v>660</v>
      </c>
      <c r="C10037" t="s">
        <v>13108</v>
      </c>
      <c r="E10037" t="s">
        <v>25844</v>
      </c>
      <c r="F10037" t="s">
        <v>29372</v>
      </c>
      <c r="G10037" t="s">
        <v>29380</v>
      </c>
      <c r="H10037" t="s">
        <v>11048</v>
      </c>
      <c r="I10037" t="s">
        <v>3860</v>
      </c>
      <c r="J10037" t="s">
        <v>35912</v>
      </c>
      <c r="K10037" t="s">
        <v>38490</v>
      </c>
      <c r="M10037" t="s">
        <v>41946</v>
      </c>
      <c r="N10037" t="s">
        <v>42669</v>
      </c>
      <c r="O10037" t="s">
        <v>42670</v>
      </c>
      <c r="P10037">
        <v>0</v>
      </c>
      <c r="Q10037">
        <v>5</v>
      </c>
      <c r="R10037" t="s">
        <v>42683</v>
      </c>
      <c r="S10037" t="s">
        <v>43062</v>
      </c>
      <c r="T10037" t="s">
        <v>44396</v>
      </c>
      <c r="U10037" t="s">
        <v>53024</v>
      </c>
      <c r="W10037" t="s">
        <v>41946</v>
      </c>
      <c r="X10037" t="s">
        <v>42684</v>
      </c>
    </row>
    <row r="10038" spans="1:24">
      <c r="A10038">
        <f>HYPERLINK("https://www.philgeps.gov.ph/GEPSNONPILOT/Tender/SplashBidNoticeAbstractUI.aspx?menuIndex=3&amp;refID=7172375&amp;Result=3","7172375")</f>
        <v>0</v>
      </c>
      <c r="B10038" t="s">
        <v>2947</v>
      </c>
      <c r="C10038" t="s">
        <v>13109</v>
      </c>
      <c r="D10038" t="s">
        <v>17186</v>
      </c>
      <c r="E10038" t="s">
        <v>25845</v>
      </c>
      <c r="F10038" t="s">
        <v>29372</v>
      </c>
      <c r="G10038" t="s">
        <v>29380</v>
      </c>
      <c r="H10038" t="s">
        <v>29389</v>
      </c>
      <c r="I10038" t="s">
        <v>10408</v>
      </c>
      <c r="J10038" t="s">
        <v>35913</v>
      </c>
      <c r="K10038" t="s">
        <v>38564</v>
      </c>
      <c r="M10038" t="s">
        <v>41951</v>
      </c>
      <c r="N10038" t="s">
        <v>42669</v>
      </c>
      <c r="O10038" t="s">
        <v>42670</v>
      </c>
      <c r="P10038">
        <v>0</v>
      </c>
      <c r="Q10038">
        <v>0</v>
      </c>
      <c r="R10038" t="s">
        <v>42683</v>
      </c>
      <c r="S10038" t="s">
        <v>43062</v>
      </c>
      <c r="T10038" t="s">
        <v>44527</v>
      </c>
      <c r="U10038" t="s">
        <v>53025</v>
      </c>
      <c r="W10038" t="s">
        <v>41951</v>
      </c>
      <c r="X10038" t="s">
        <v>42684</v>
      </c>
    </row>
    <row r="10039" spans="1:24">
      <c r="A10039">
        <f>HYPERLINK("https://www.philgeps.gov.ph/GEPSNONPILOT/Tender/SplashBidNoticeAbstractUI.aspx?menuIndex=3&amp;refID=7172353&amp;Result=3","7172353")</f>
        <v>0</v>
      </c>
      <c r="B10039" t="s">
        <v>955</v>
      </c>
      <c r="C10039" t="s">
        <v>13110</v>
      </c>
      <c r="E10039" t="s">
        <v>25846</v>
      </c>
      <c r="F10039" t="s">
        <v>29372</v>
      </c>
      <c r="G10039" t="s">
        <v>29380</v>
      </c>
      <c r="H10039" t="s">
        <v>11048</v>
      </c>
      <c r="I10039" t="s">
        <v>29407</v>
      </c>
      <c r="J10039" t="s">
        <v>35914</v>
      </c>
      <c r="K10039" t="s">
        <v>38490</v>
      </c>
      <c r="M10039" t="s">
        <v>39751</v>
      </c>
      <c r="N10039" t="s">
        <v>42669</v>
      </c>
      <c r="O10039" t="s">
        <v>42670</v>
      </c>
      <c r="P10039">
        <v>0</v>
      </c>
      <c r="Q10039">
        <v>4</v>
      </c>
      <c r="R10039" t="s">
        <v>42683</v>
      </c>
      <c r="S10039" t="s">
        <v>43062</v>
      </c>
      <c r="T10039" t="s">
        <v>44527</v>
      </c>
      <c r="U10039" t="s">
        <v>53026</v>
      </c>
      <c r="W10039" t="s">
        <v>39751</v>
      </c>
      <c r="X10039" t="s">
        <v>42684</v>
      </c>
    </row>
    <row r="10040" spans="1:24">
      <c r="A10040">
        <f>HYPERLINK("https://www.philgeps.gov.ph/GEPSNONPILOT/Tender/SplashBidNoticeAbstractUI.aspx?menuIndex=3&amp;refID=7172351&amp;Result=3","7172351")</f>
        <v>0</v>
      </c>
      <c r="B10040" t="s">
        <v>97</v>
      </c>
      <c r="C10040" t="s">
        <v>13111</v>
      </c>
      <c r="D10040" t="s">
        <v>17154</v>
      </c>
      <c r="E10040" t="s">
        <v>21338</v>
      </c>
      <c r="F10040" t="s">
        <v>29372</v>
      </c>
      <c r="G10040" t="s">
        <v>29380</v>
      </c>
      <c r="H10040" t="s">
        <v>11048</v>
      </c>
      <c r="I10040" t="s">
        <v>3670</v>
      </c>
      <c r="J10040" t="s">
        <v>29728</v>
      </c>
      <c r="K10040" t="s">
        <v>38488</v>
      </c>
      <c r="M10040" t="s">
        <v>38851</v>
      </c>
      <c r="N10040" t="s">
        <v>42669</v>
      </c>
      <c r="O10040" t="s">
        <v>42670</v>
      </c>
      <c r="P10040">
        <v>0</v>
      </c>
      <c r="Q10040">
        <v>1</v>
      </c>
      <c r="R10040" t="s">
        <v>42683</v>
      </c>
      <c r="S10040" t="s">
        <v>43062</v>
      </c>
      <c r="T10040" t="s">
        <v>44412</v>
      </c>
      <c r="U10040" t="s">
        <v>53027</v>
      </c>
      <c r="V10040" t="s">
        <v>57488</v>
      </c>
      <c r="W10040" t="s">
        <v>38851</v>
      </c>
      <c r="X10040" t="s">
        <v>42684</v>
      </c>
    </row>
    <row r="10041" spans="1:24">
      <c r="A10041">
        <f>HYPERLINK("https://www.philgeps.gov.ph/GEPSNONPILOT/Tender/SplashBidNoticeAbstractUI.aspx?menuIndex=3&amp;refID=7172301&amp;Result=3","7172301")</f>
        <v>0</v>
      </c>
      <c r="B10041" t="s">
        <v>1267</v>
      </c>
      <c r="C10041" t="s">
        <v>13112</v>
      </c>
      <c r="D10041" t="s">
        <v>17177</v>
      </c>
      <c r="E10041" t="s">
        <v>25847</v>
      </c>
      <c r="F10041" t="s">
        <v>29372</v>
      </c>
      <c r="G10041" t="s">
        <v>29380</v>
      </c>
      <c r="H10041" t="s">
        <v>29389</v>
      </c>
      <c r="I10041" t="s">
        <v>10408</v>
      </c>
      <c r="J10041" t="s">
        <v>35915</v>
      </c>
      <c r="K10041" t="s">
        <v>38694</v>
      </c>
      <c r="M10041" t="s">
        <v>40094</v>
      </c>
      <c r="N10041" t="s">
        <v>42669</v>
      </c>
      <c r="O10041" t="s">
        <v>42670</v>
      </c>
      <c r="P10041">
        <v>0</v>
      </c>
      <c r="Q10041">
        <v>5</v>
      </c>
      <c r="R10041" t="s">
        <v>42683</v>
      </c>
      <c r="S10041" t="s">
        <v>43062</v>
      </c>
      <c r="T10041" t="s">
        <v>44375</v>
      </c>
      <c r="U10041" t="s">
        <v>53028</v>
      </c>
      <c r="V10041" t="s">
        <v>57482</v>
      </c>
      <c r="W10041" t="s">
        <v>40094</v>
      </c>
      <c r="X10041" t="s">
        <v>42684</v>
      </c>
    </row>
    <row r="10042" spans="1:24">
      <c r="A10042">
        <f>HYPERLINK("https://www.philgeps.gov.ph/GEPSNONPILOT/Tender/SplashBidNoticeAbstractUI.aspx?menuIndex=3&amp;refID=7172349&amp;Result=3","7172349")</f>
        <v>0</v>
      </c>
      <c r="B10042" t="s">
        <v>669</v>
      </c>
      <c r="C10042" t="s">
        <v>13113</v>
      </c>
      <c r="D10042" t="s">
        <v>17147</v>
      </c>
      <c r="E10042" t="s">
        <v>25848</v>
      </c>
      <c r="F10042" t="s">
        <v>29372</v>
      </c>
      <c r="G10042" t="s">
        <v>29380</v>
      </c>
      <c r="H10042" t="s">
        <v>29389</v>
      </c>
      <c r="I10042" t="s">
        <v>10408</v>
      </c>
      <c r="J10042" t="s">
        <v>35916</v>
      </c>
      <c r="K10042" t="s">
        <v>38508</v>
      </c>
      <c r="M10042" t="s">
        <v>41046</v>
      </c>
      <c r="N10042" t="s">
        <v>42669</v>
      </c>
      <c r="O10042" t="s">
        <v>42670</v>
      </c>
      <c r="P10042">
        <v>0</v>
      </c>
      <c r="Q10042">
        <v>0</v>
      </c>
      <c r="R10042" t="s">
        <v>42683</v>
      </c>
      <c r="S10042" t="s">
        <v>43062</v>
      </c>
      <c r="T10042" t="s">
        <v>44491</v>
      </c>
      <c r="U10042" t="s">
        <v>53029</v>
      </c>
      <c r="V10042" t="s">
        <v>57489</v>
      </c>
      <c r="W10042" t="s">
        <v>41046</v>
      </c>
      <c r="X10042" t="s">
        <v>42684</v>
      </c>
    </row>
    <row r="10043" spans="1:24">
      <c r="A10043">
        <f>HYPERLINK("https://www.philgeps.gov.ph/GEPSNONPILOT/Tender/SplashBidNoticeAbstractUI.aspx?menuIndex=3&amp;refID=7172332&amp;Result=3","7172332")</f>
        <v>0</v>
      </c>
      <c r="B10043" t="s">
        <v>2943</v>
      </c>
      <c r="C10043" t="s">
        <v>13114</v>
      </c>
      <c r="D10043" t="s">
        <v>17141</v>
      </c>
      <c r="E10043" t="s">
        <v>25849</v>
      </c>
      <c r="F10043" t="s">
        <v>29372</v>
      </c>
      <c r="G10043" t="s">
        <v>29380</v>
      </c>
      <c r="H10043" t="s">
        <v>11048</v>
      </c>
      <c r="I10043" t="s">
        <v>14920</v>
      </c>
      <c r="J10043" t="s">
        <v>32504</v>
      </c>
      <c r="K10043" t="s">
        <v>38491</v>
      </c>
      <c r="M10043" t="s">
        <v>41945</v>
      </c>
      <c r="N10043" t="s">
        <v>42669</v>
      </c>
      <c r="O10043" t="s">
        <v>42670</v>
      </c>
      <c r="P10043">
        <v>0</v>
      </c>
      <c r="Q10043">
        <v>0</v>
      </c>
      <c r="R10043" t="s">
        <v>42683</v>
      </c>
      <c r="S10043" t="s">
        <v>43062</v>
      </c>
      <c r="T10043" t="s">
        <v>44432</v>
      </c>
      <c r="U10043" t="s">
        <v>52967</v>
      </c>
      <c r="W10043" t="s">
        <v>41945</v>
      </c>
      <c r="X10043" t="s">
        <v>42684</v>
      </c>
    </row>
    <row r="10044" spans="1:24">
      <c r="A10044">
        <f>HYPERLINK("https://www.philgeps.gov.ph/GEPSNONPILOT/Tender/SplashBidNoticeAbstractUI.aspx?menuIndex=3&amp;refID=7172370&amp;Result=3","7172370")</f>
        <v>0</v>
      </c>
      <c r="B10044" t="s">
        <v>36</v>
      </c>
      <c r="C10044" t="s">
        <v>13115</v>
      </c>
      <c r="D10044" t="s">
        <v>17150</v>
      </c>
      <c r="E10044" t="s">
        <v>25850</v>
      </c>
      <c r="F10044" t="s">
        <v>29372</v>
      </c>
      <c r="G10044" t="s">
        <v>29383</v>
      </c>
      <c r="H10044" t="s">
        <v>11048</v>
      </c>
      <c r="I10044" t="s">
        <v>3839</v>
      </c>
      <c r="J10044" t="s">
        <v>30434</v>
      </c>
      <c r="K10044" t="s">
        <v>38488</v>
      </c>
      <c r="M10044" t="s">
        <v>38789</v>
      </c>
      <c r="N10044" t="s">
        <v>42669</v>
      </c>
      <c r="O10044" t="s">
        <v>42670</v>
      </c>
      <c r="P10044">
        <v>0</v>
      </c>
      <c r="Q10044">
        <v>0</v>
      </c>
      <c r="R10044" t="s">
        <v>42683</v>
      </c>
      <c r="S10044" t="s">
        <v>43062</v>
      </c>
      <c r="T10044" t="s">
        <v>44560</v>
      </c>
      <c r="U10044" t="s">
        <v>53030</v>
      </c>
      <c r="V10044" t="s">
        <v>57490</v>
      </c>
      <c r="W10044" t="s">
        <v>38789</v>
      </c>
      <c r="X10044" t="s">
        <v>42684</v>
      </c>
    </row>
    <row r="10045" spans="1:24">
      <c r="A10045">
        <f>HYPERLINK("https://www.philgeps.gov.ph/GEPSNONPILOT/Tender/SplashBidNoticeAbstractUI.aspx?menuIndex=3&amp;refID=7172156&amp;Result=3","7172156")</f>
        <v>0</v>
      </c>
      <c r="B10045" t="s">
        <v>660</v>
      </c>
      <c r="C10045" t="s">
        <v>13116</v>
      </c>
      <c r="E10045" t="s">
        <v>25851</v>
      </c>
      <c r="F10045" t="s">
        <v>29372</v>
      </c>
      <c r="G10045" t="s">
        <v>29380</v>
      </c>
      <c r="H10045" t="s">
        <v>11048</v>
      </c>
      <c r="I10045" t="s">
        <v>9469</v>
      </c>
      <c r="J10045" t="s">
        <v>29973</v>
      </c>
      <c r="K10045" t="s">
        <v>38490</v>
      </c>
      <c r="M10045" t="s">
        <v>41946</v>
      </c>
      <c r="N10045" t="s">
        <v>42669</v>
      </c>
      <c r="O10045" t="s">
        <v>42670</v>
      </c>
      <c r="P10045">
        <v>0</v>
      </c>
      <c r="Q10045">
        <v>2</v>
      </c>
      <c r="R10045" t="s">
        <v>42683</v>
      </c>
      <c r="S10045" t="s">
        <v>43062</v>
      </c>
      <c r="T10045" t="s">
        <v>44396</v>
      </c>
      <c r="U10045" t="s">
        <v>53031</v>
      </c>
      <c r="W10045" t="s">
        <v>41946</v>
      </c>
      <c r="X10045" t="s">
        <v>42684</v>
      </c>
    </row>
    <row r="10046" spans="1:24">
      <c r="A10046">
        <f>HYPERLINK("https://www.philgeps.gov.ph/GEPSNONPILOT/Tender/SplashBidNoticeAbstractUI.aspx?menuIndex=3&amp;refID=7172338&amp;Result=3","7172338")</f>
        <v>0</v>
      </c>
      <c r="B10046" t="s">
        <v>1267</v>
      </c>
      <c r="C10046" t="s">
        <v>13117</v>
      </c>
      <c r="D10046" t="s">
        <v>17177</v>
      </c>
      <c r="E10046" t="s">
        <v>25852</v>
      </c>
      <c r="F10046" t="s">
        <v>29372</v>
      </c>
      <c r="G10046" t="s">
        <v>29380</v>
      </c>
      <c r="H10046" t="s">
        <v>29389</v>
      </c>
      <c r="I10046" t="s">
        <v>10408</v>
      </c>
      <c r="J10046" t="s">
        <v>35917</v>
      </c>
      <c r="K10046" t="s">
        <v>38677</v>
      </c>
      <c r="M10046" t="s">
        <v>40094</v>
      </c>
      <c r="N10046" t="s">
        <v>42669</v>
      </c>
      <c r="O10046" t="s">
        <v>42670</v>
      </c>
      <c r="P10046">
        <v>0</v>
      </c>
      <c r="Q10046">
        <v>5</v>
      </c>
      <c r="R10046" t="s">
        <v>42683</v>
      </c>
      <c r="S10046" t="s">
        <v>43062</v>
      </c>
      <c r="T10046" t="s">
        <v>44375</v>
      </c>
      <c r="U10046" t="s">
        <v>53032</v>
      </c>
      <c r="V10046" t="s">
        <v>57482</v>
      </c>
      <c r="W10046" t="s">
        <v>40094</v>
      </c>
      <c r="X10046" t="s">
        <v>42684</v>
      </c>
    </row>
    <row r="10047" spans="1:24">
      <c r="A10047">
        <f>HYPERLINK("https://www.philgeps.gov.ph/GEPSNONPILOT/Tender/SplashBidNoticeAbstractUI.aspx?menuIndex=3&amp;refID=7172354&amp;Result=3","7172354")</f>
        <v>0</v>
      </c>
      <c r="B10047" t="s">
        <v>2943</v>
      </c>
      <c r="C10047" t="s">
        <v>13118</v>
      </c>
      <c r="D10047" t="s">
        <v>17141</v>
      </c>
      <c r="E10047" t="s">
        <v>25853</v>
      </c>
      <c r="F10047" t="s">
        <v>29372</v>
      </c>
      <c r="G10047" t="s">
        <v>29380</v>
      </c>
      <c r="H10047" t="s">
        <v>11048</v>
      </c>
      <c r="I10047" t="s">
        <v>5383</v>
      </c>
      <c r="J10047" t="s">
        <v>30232</v>
      </c>
      <c r="K10047" t="s">
        <v>38491</v>
      </c>
      <c r="M10047" t="s">
        <v>41945</v>
      </c>
      <c r="N10047" t="s">
        <v>42669</v>
      </c>
      <c r="O10047" t="s">
        <v>42670</v>
      </c>
      <c r="P10047">
        <v>0</v>
      </c>
      <c r="Q10047">
        <v>1</v>
      </c>
      <c r="R10047" t="s">
        <v>42683</v>
      </c>
      <c r="S10047" t="s">
        <v>43062</v>
      </c>
      <c r="T10047" t="s">
        <v>44432</v>
      </c>
      <c r="U10047" t="s">
        <v>52966</v>
      </c>
      <c r="W10047" t="s">
        <v>41945</v>
      </c>
      <c r="X10047" t="s">
        <v>42684</v>
      </c>
    </row>
    <row r="10048" spans="1:24">
      <c r="A10048">
        <f>HYPERLINK("https://www.philgeps.gov.ph/GEPSNONPILOT/Tender/SplashBidNoticeAbstractUI.aspx?menuIndex=3&amp;refID=7172458&amp;Result=3","7172458")</f>
        <v>0</v>
      </c>
      <c r="B10048" t="s">
        <v>2943</v>
      </c>
      <c r="C10048" t="s">
        <v>13119</v>
      </c>
      <c r="D10048" t="s">
        <v>17141</v>
      </c>
      <c r="E10048" t="s">
        <v>25854</v>
      </c>
      <c r="F10048" t="s">
        <v>29372</v>
      </c>
      <c r="G10048" t="s">
        <v>29380</v>
      </c>
      <c r="H10048" t="s">
        <v>11048</v>
      </c>
      <c r="I10048" t="s">
        <v>3670</v>
      </c>
      <c r="J10048" t="s">
        <v>35918</v>
      </c>
      <c r="K10048" t="s">
        <v>38491</v>
      </c>
      <c r="M10048" t="s">
        <v>41945</v>
      </c>
      <c r="N10048" t="s">
        <v>42669</v>
      </c>
      <c r="O10048" t="s">
        <v>42670</v>
      </c>
      <c r="P10048">
        <v>0</v>
      </c>
      <c r="Q10048">
        <v>1</v>
      </c>
      <c r="R10048" t="s">
        <v>42683</v>
      </c>
      <c r="S10048" t="s">
        <v>43062</v>
      </c>
      <c r="T10048" t="s">
        <v>44432</v>
      </c>
      <c r="U10048" t="s">
        <v>52970</v>
      </c>
      <c r="W10048" t="s">
        <v>41945</v>
      </c>
      <c r="X10048" t="s">
        <v>42684</v>
      </c>
    </row>
    <row r="10049" spans="1:24">
      <c r="A10049">
        <f>HYPERLINK("https://www.philgeps.gov.ph/GEPSNONPILOT/Tender/SplashBidNoticeAbstractUI.aspx?menuIndex=3&amp;refID=7172447&amp;Result=3","7172447")</f>
        <v>0</v>
      </c>
      <c r="B10049" t="s">
        <v>1695</v>
      </c>
      <c r="C10049" t="s">
        <v>13120</v>
      </c>
      <c r="D10049" t="s">
        <v>17187</v>
      </c>
      <c r="E10049" t="s">
        <v>25855</v>
      </c>
      <c r="F10049" t="s">
        <v>29372</v>
      </c>
      <c r="G10049" t="s">
        <v>29380</v>
      </c>
      <c r="H10049" t="s">
        <v>29389</v>
      </c>
      <c r="I10049" t="s">
        <v>10408</v>
      </c>
      <c r="J10049" t="s">
        <v>29590</v>
      </c>
      <c r="K10049" t="s">
        <v>38518</v>
      </c>
      <c r="M10049" t="s">
        <v>40557</v>
      </c>
      <c r="N10049" t="s">
        <v>42669</v>
      </c>
      <c r="O10049" t="s">
        <v>42670</v>
      </c>
      <c r="Q10049">
        <v>0</v>
      </c>
      <c r="R10049" t="s">
        <v>42683</v>
      </c>
      <c r="S10049" t="s">
        <v>43119</v>
      </c>
      <c r="T10049" t="s">
        <v>44485</v>
      </c>
      <c r="U10049" t="s">
        <v>48669</v>
      </c>
      <c r="W10049" t="s">
        <v>40557</v>
      </c>
      <c r="X10049" t="s">
        <v>42684</v>
      </c>
    </row>
    <row r="10050" spans="1:24">
      <c r="A10050">
        <f>HYPERLINK("https://www.philgeps.gov.ph/GEPSNONPILOT/Tender/SplashBidNoticeAbstractUI.aspx?menuIndex=3&amp;refID=7172325&amp;Result=3","7172325")</f>
        <v>0</v>
      </c>
      <c r="B10050" t="s">
        <v>992</v>
      </c>
      <c r="C10050" t="s">
        <v>13121</v>
      </c>
      <c r="D10050" t="s">
        <v>17180</v>
      </c>
      <c r="E10050" t="s">
        <v>25856</v>
      </c>
      <c r="F10050" t="s">
        <v>29372</v>
      </c>
      <c r="G10050" t="s">
        <v>29380</v>
      </c>
      <c r="H10050" t="s">
        <v>29389</v>
      </c>
      <c r="I10050" t="s">
        <v>10408</v>
      </c>
      <c r="J10050" t="s">
        <v>35919</v>
      </c>
      <c r="K10050" t="s">
        <v>38533</v>
      </c>
      <c r="M10050" t="s">
        <v>39792</v>
      </c>
      <c r="N10050" t="s">
        <v>42669</v>
      </c>
      <c r="O10050" t="s">
        <v>42670</v>
      </c>
      <c r="P10050">
        <v>0</v>
      </c>
      <c r="Q10050">
        <v>30</v>
      </c>
      <c r="R10050" t="s">
        <v>42683</v>
      </c>
      <c r="S10050" t="s">
        <v>43062</v>
      </c>
      <c r="T10050" t="s">
        <v>44357</v>
      </c>
      <c r="U10050" t="s">
        <v>53033</v>
      </c>
      <c r="V10050" t="s">
        <v>56683</v>
      </c>
      <c r="W10050" t="s">
        <v>39792</v>
      </c>
      <c r="X10050" t="s">
        <v>42684</v>
      </c>
    </row>
    <row r="10051" spans="1:24">
      <c r="A10051">
        <f>HYPERLINK("https://www.philgeps.gov.ph/GEPSNONPILOT/Tender/SplashBidNoticeAbstractUI.aspx?menuIndex=3&amp;refID=7172443&amp;Result=3","7172443")</f>
        <v>0</v>
      </c>
      <c r="B10051" t="s">
        <v>2948</v>
      </c>
      <c r="C10051" t="s">
        <v>13122</v>
      </c>
      <c r="D10051" t="s">
        <v>17194</v>
      </c>
      <c r="E10051" t="s">
        <v>25857</v>
      </c>
      <c r="F10051" t="s">
        <v>29372</v>
      </c>
      <c r="G10051" t="s">
        <v>29380</v>
      </c>
      <c r="H10051" t="s">
        <v>11048</v>
      </c>
      <c r="I10051" t="s">
        <v>29394</v>
      </c>
      <c r="J10051" t="s">
        <v>29965</v>
      </c>
      <c r="K10051" t="s">
        <v>38485</v>
      </c>
      <c r="M10051" t="s">
        <v>41952</v>
      </c>
      <c r="N10051" t="s">
        <v>42669</v>
      </c>
      <c r="O10051" t="s">
        <v>42670</v>
      </c>
      <c r="P10051">
        <v>0</v>
      </c>
      <c r="Q10051">
        <v>1</v>
      </c>
      <c r="R10051" t="s">
        <v>42683</v>
      </c>
      <c r="S10051" t="s">
        <v>43062</v>
      </c>
      <c r="T10051" t="s">
        <v>44787</v>
      </c>
      <c r="U10051" t="s">
        <v>53034</v>
      </c>
      <c r="V10051" t="s">
        <v>57491</v>
      </c>
      <c r="W10051" t="s">
        <v>41952</v>
      </c>
      <c r="X10051" t="s">
        <v>42684</v>
      </c>
    </row>
    <row r="10052" spans="1:24">
      <c r="A10052">
        <f>HYPERLINK("https://www.philgeps.gov.ph/GEPSNONPILOT/Tender/SplashBidNoticeAbstractUI.aspx?menuIndex=3&amp;refID=7172442&amp;Result=3","7172442")</f>
        <v>0</v>
      </c>
      <c r="B10052" t="s">
        <v>1712</v>
      </c>
      <c r="C10052" t="s">
        <v>7896</v>
      </c>
      <c r="D10052" t="s">
        <v>17177</v>
      </c>
      <c r="E10052" t="s">
        <v>25858</v>
      </c>
      <c r="F10052" t="s">
        <v>29372</v>
      </c>
      <c r="G10052" t="s">
        <v>29380</v>
      </c>
      <c r="H10052" t="s">
        <v>11048</v>
      </c>
      <c r="I10052" t="s">
        <v>3695</v>
      </c>
      <c r="J10052" t="s">
        <v>35920</v>
      </c>
      <c r="K10052" t="s">
        <v>38510</v>
      </c>
      <c r="M10052" t="s">
        <v>40575</v>
      </c>
      <c r="N10052" t="s">
        <v>42669</v>
      </c>
      <c r="O10052" t="s">
        <v>42670</v>
      </c>
      <c r="P10052">
        <v>0</v>
      </c>
      <c r="Q10052">
        <v>4</v>
      </c>
      <c r="R10052" t="s">
        <v>42683</v>
      </c>
      <c r="S10052" t="s">
        <v>43062</v>
      </c>
      <c r="T10052" t="s">
        <v>44474</v>
      </c>
      <c r="U10052" t="s">
        <v>53035</v>
      </c>
      <c r="W10052" t="s">
        <v>40575</v>
      </c>
      <c r="X10052" t="s">
        <v>42684</v>
      </c>
    </row>
    <row r="10053" spans="1:24">
      <c r="A10053">
        <f>HYPERLINK("https://www.philgeps.gov.ph/GEPSNONPILOT/Tender/SplashBidNoticeAbstractUI.aspx?menuIndex=3&amp;refID=7172439&amp;Result=3","7172439")</f>
        <v>0</v>
      </c>
      <c r="B10053" t="s">
        <v>476</v>
      </c>
      <c r="C10053" t="s">
        <v>13123</v>
      </c>
      <c r="E10053" t="s">
        <v>20767</v>
      </c>
      <c r="F10053" t="s">
        <v>29372</v>
      </c>
      <c r="G10053" t="s">
        <v>29380</v>
      </c>
      <c r="H10053" t="s">
        <v>11048</v>
      </c>
      <c r="I10053" t="s">
        <v>8208</v>
      </c>
      <c r="J10053" t="s">
        <v>35921</v>
      </c>
      <c r="K10053" t="s">
        <v>38490</v>
      </c>
      <c r="M10053" t="s">
        <v>39241</v>
      </c>
      <c r="N10053" t="s">
        <v>42669</v>
      </c>
      <c r="O10053" t="s">
        <v>42670</v>
      </c>
      <c r="Q10053">
        <v>1</v>
      </c>
      <c r="R10053" t="s">
        <v>42683</v>
      </c>
      <c r="S10053" t="s">
        <v>43120</v>
      </c>
      <c r="T10053" t="s">
        <v>44488</v>
      </c>
      <c r="U10053" t="s">
        <v>52462</v>
      </c>
      <c r="W10053" t="s">
        <v>39241</v>
      </c>
      <c r="X10053" t="s">
        <v>42684</v>
      </c>
    </row>
    <row r="10054" spans="1:24">
      <c r="A10054">
        <f>HYPERLINK("https://www.philgeps.gov.ph/GEPSNONPILOT/Tender/SplashBidNoticeAbstractUI.aspx?menuIndex=3&amp;refID=7172444&amp;Result=3","7172444")</f>
        <v>0</v>
      </c>
      <c r="B10054" t="s">
        <v>703</v>
      </c>
      <c r="C10054" t="s">
        <v>13124</v>
      </c>
      <c r="D10054" t="s">
        <v>17161</v>
      </c>
      <c r="E10054" t="s">
        <v>25859</v>
      </c>
      <c r="F10054" t="s">
        <v>29372</v>
      </c>
      <c r="G10054" t="s">
        <v>29380</v>
      </c>
      <c r="H10054" t="s">
        <v>29389</v>
      </c>
      <c r="I10054" t="s">
        <v>10408</v>
      </c>
      <c r="J10054" t="s">
        <v>35922</v>
      </c>
      <c r="K10054" t="s">
        <v>38495</v>
      </c>
      <c r="M10054" t="s">
        <v>39481</v>
      </c>
      <c r="N10054" t="s">
        <v>42669</v>
      </c>
      <c r="O10054" t="s">
        <v>42670</v>
      </c>
      <c r="P10054">
        <v>0</v>
      </c>
      <c r="Q10054">
        <v>1</v>
      </c>
      <c r="R10054" t="s">
        <v>42683</v>
      </c>
      <c r="S10054" t="s">
        <v>43062</v>
      </c>
      <c r="T10054" t="s">
        <v>44776</v>
      </c>
      <c r="U10054" t="s">
        <v>53036</v>
      </c>
      <c r="W10054" t="s">
        <v>39481</v>
      </c>
      <c r="X10054" t="s">
        <v>42684</v>
      </c>
    </row>
    <row r="10055" spans="1:24">
      <c r="A10055">
        <f>HYPERLINK("https://www.philgeps.gov.ph/GEPSNONPILOT/Tender/SplashBidNoticeAbstractUI.aspx?menuIndex=3&amp;refID=7172434&amp;Result=3","7172434")</f>
        <v>0</v>
      </c>
      <c r="B10055" t="s">
        <v>2047</v>
      </c>
      <c r="C10055" t="s">
        <v>13125</v>
      </c>
      <c r="D10055" t="s">
        <v>17189</v>
      </c>
      <c r="E10055" t="s">
        <v>25860</v>
      </c>
      <c r="F10055" t="s">
        <v>29372</v>
      </c>
      <c r="G10055" t="s">
        <v>29380</v>
      </c>
      <c r="H10055" t="s">
        <v>11048</v>
      </c>
      <c r="I10055" t="s">
        <v>3839</v>
      </c>
      <c r="J10055" t="s">
        <v>29780</v>
      </c>
      <c r="K10055" t="s">
        <v>38485</v>
      </c>
      <c r="M10055" t="s">
        <v>41953</v>
      </c>
      <c r="N10055" t="s">
        <v>42669</v>
      </c>
      <c r="O10055" t="s">
        <v>42670</v>
      </c>
      <c r="P10055">
        <v>0</v>
      </c>
      <c r="Q10055">
        <v>5</v>
      </c>
      <c r="R10055" t="s">
        <v>42683</v>
      </c>
      <c r="S10055" t="s">
        <v>43062</v>
      </c>
      <c r="T10055" t="s">
        <v>44488</v>
      </c>
      <c r="U10055" t="s">
        <v>53037</v>
      </c>
      <c r="W10055" t="s">
        <v>41953</v>
      </c>
      <c r="X10055" t="s">
        <v>42684</v>
      </c>
    </row>
    <row r="10056" spans="1:24">
      <c r="A10056">
        <f>HYPERLINK("https://www.philgeps.gov.ph/GEPSNONPILOT/Tender/SplashBidNoticeAbstractUI.aspx?menuIndex=3&amp;refID=7172413&amp;Result=3","7172413")</f>
        <v>0</v>
      </c>
      <c r="B10056" t="s">
        <v>2943</v>
      </c>
      <c r="C10056" t="s">
        <v>13126</v>
      </c>
      <c r="D10056" t="s">
        <v>17141</v>
      </c>
      <c r="E10056" t="s">
        <v>25861</v>
      </c>
      <c r="F10056" t="s">
        <v>29372</v>
      </c>
      <c r="G10056" t="s">
        <v>29380</v>
      </c>
      <c r="H10056" t="s">
        <v>11048</v>
      </c>
      <c r="I10056" t="s">
        <v>14920</v>
      </c>
      <c r="J10056" t="s">
        <v>35923</v>
      </c>
      <c r="K10056" t="s">
        <v>38491</v>
      </c>
      <c r="M10056" t="s">
        <v>41945</v>
      </c>
      <c r="N10056" t="s">
        <v>42669</v>
      </c>
      <c r="O10056" t="s">
        <v>42670</v>
      </c>
      <c r="P10056">
        <v>0</v>
      </c>
      <c r="Q10056">
        <v>0</v>
      </c>
      <c r="R10056" t="s">
        <v>42683</v>
      </c>
      <c r="S10056" t="s">
        <v>43062</v>
      </c>
      <c r="T10056" t="s">
        <v>44432</v>
      </c>
      <c r="U10056" t="s">
        <v>52967</v>
      </c>
      <c r="W10056" t="s">
        <v>41945</v>
      </c>
      <c r="X10056" t="s">
        <v>42684</v>
      </c>
    </row>
    <row r="10057" spans="1:24">
      <c r="A10057">
        <f>HYPERLINK("https://www.philgeps.gov.ph/GEPSNONPILOT/Tender/SplashBidNoticeAbstractUI.aspx?menuIndex=3&amp;refID=7172410&amp;Result=3","7172410")</f>
        <v>0</v>
      </c>
      <c r="B10057" t="s">
        <v>669</v>
      </c>
      <c r="C10057" t="s">
        <v>13127</v>
      </c>
      <c r="D10057" t="s">
        <v>17147</v>
      </c>
      <c r="E10057" t="s">
        <v>25862</v>
      </c>
      <c r="F10057" t="s">
        <v>29372</v>
      </c>
      <c r="G10057" t="s">
        <v>29380</v>
      </c>
      <c r="H10057" t="s">
        <v>29389</v>
      </c>
      <c r="I10057" t="s">
        <v>10408</v>
      </c>
      <c r="J10057" t="s">
        <v>35924</v>
      </c>
      <c r="K10057" t="s">
        <v>38496</v>
      </c>
      <c r="M10057" t="s">
        <v>41046</v>
      </c>
      <c r="N10057" t="s">
        <v>42669</v>
      </c>
      <c r="O10057" t="s">
        <v>42670</v>
      </c>
      <c r="P10057">
        <v>0</v>
      </c>
      <c r="Q10057">
        <v>0</v>
      </c>
      <c r="R10057" t="s">
        <v>42683</v>
      </c>
      <c r="S10057" t="s">
        <v>43062</v>
      </c>
      <c r="T10057" t="s">
        <v>44412</v>
      </c>
      <c r="U10057" t="s">
        <v>53038</v>
      </c>
      <c r="V10057" t="s">
        <v>57492</v>
      </c>
      <c r="W10057" t="s">
        <v>41046</v>
      </c>
      <c r="X10057" t="s">
        <v>42684</v>
      </c>
    </row>
    <row r="10058" spans="1:24">
      <c r="A10058">
        <f>HYPERLINK("https://www.philgeps.gov.ph/GEPSNONPILOT/Tender/SplashBidNoticeAbstractUI.aspx?menuIndex=3&amp;refID=7172456&amp;Result=3","7172456")</f>
        <v>0</v>
      </c>
      <c r="B10058" t="s">
        <v>2949</v>
      </c>
      <c r="C10058" t="s">
        <v>13128</v>
      </c>
      <c r="D10058" t="s">
        <v>17202</v>
      </c>
      <c r="E10058" t="s">
        <v>25863</v>
      </c>
      <c r="F10058" t="s">
        <v>29372</v>
      </c>
      <c r="G10058" t="s">
        <v>29380</v>
      </c>
      <c r="H10058" t="s">
        <v>11048</v>
      </c>
      <c r="I10058" t="s">
        <v>29434</v>
      </c>
      <c r="J10058" t="s">
        <v>35925</v>
      </c>
      <c r="K10058" t="s">
        <v>38485</v>
      </c>
      <c r="M10058" t="s">
        <v>41954</v>
      </c>
      <c r="N10058" t="s">
        <v>42669</v>
      </c>
      <c r="O10058" t="s">
        <v>42670</v>
      </c>
      <c r="P10058">
        <v>0</v>
      </c>
      <c r="Q10058">
        <v>8</v>
      </c>
      <c r="R10058" t="s">
        <v>42683</v>
      </c>
      <c r="S10058" t="s">
        <v>43062</v>
      </c>
      <c r="T10058" t="s">
        <v>44390</v>
      </c>
      <c r="U10058" t="s">
        <v>53039</v>
      </c>
      <c r="W10058" t="s">
        <v>41954</v>
      </c>
      <c r="X10058" t="s">
        <v>42684</v>
      </c>
    </row>
    <row r="10059" spans="1:24">
      <c r="A10059">
        <f>HYPERLINK("https://www.philgeps.gov.ph/GEPSNONPILOT/Tender/SplashBidNoticeAbstractUI.aspx?menuIndex=3&amp;refID=7172400&amp;Result=3","7172400")</f>
        <v>0</v>
      </c>
      <c r="B10059" t="s">
        <v>2943</v>
      </c>
      <c r="C10059" t="s">
        <v>13129</v>
      </c>
      <c r="D10059" t="s">
        <v>17141</v>
      </c>
      <c r="E10059" t="s">
        <v>25864</v>
      </c>
      <c r="F10059" t="s">
        <v>29372</v>
      </c>
      <c r="G10059" t="s">
        <v>29380</v>
      </c>
      <c r="H10059" t="s">
        <v>11048</v>
      </c>
      <c r="I10059" t="s">
        <v>5383</v>
      </c>
      <c r="J10059" t="s">
        <v>35926</v>
      </c>
      <c r="K10059" t="s">
        <v>38491</v>
      </c>
      <c r="M10059" t="s">
        <v>41945</v>
      </c>
      <c r="N10059" t="s">
        <v>42669</v>
      </c>
      <c r="O10059" t="s">
        <v>42670</v>
      </c>
      <c r="P10059">
        <v>0</v>
      </c>
      <c r="Q10059">
        <v>0</v>
      </c>
      <c r="R10059" t="s">
        <v>42683</v>
      </c>
      <c r="S10059" t="s">
        <v>43062</v>
      </c>
      <c r="T10059" t="s">
        <v>44432</v>
      </c>
      <c r="U10059" t="s">
        <v>52966</v>
      </c>
      <c r="W10059" t="s">
        <v>41945</v>
      </c>
      <c r="X10059" t="s">
        <v>42684</v>
      </c>
    </row>
    <row r="10060" spans="1:24">
      <c r="A10060">
        <f>HYPERLINK("https://www.philgeps.gov.ph/GEPSNONPILOT/Tender/SplashBidNoticeAbstractUI.aspx?menuIndex=3&amp;refID=7172514&amp;Result=3","7172514")</f>
        <v>0</v>
      </c>
      <c r="B10060" t="s">
        <v>775</v>
      </c>
      <c r="C10060" t="s">
        <v>13130</v>
      </c>
      <c r="D10060" t="s">
        <v>17181</v>
      </c>
      <c r="E10060" t="s">
        <v>25865</v>
      </c>
      <c r="F10060" t="s">
        <v>29372</v>
      </c>
      <c r="G10060" t="s">
        <v>29380</v>
      </c>
      <c r="H10060" t="s">
        <v>11048</v>
      </c>
      <c r="I10060" t="s">
        <v>29398</v>
      </c>
      <c r="J10060" t="s">
        <v>35927</v>
      </c>
      <c r="K10060" t="s">
        <v>38485</v>
      </c>
      <c r="M10060" t="s">
        <v>39559</v>
      </c>
      <c r="N10060" t="s">
        <v>42669</v>
      </c>
      <c r="O10060" t="s">
        <v>42670</v>
      </c>
      <c r="P10060">
        <v>0</v>
      </c>
      <c r="Q10060">
        <v>0</v>
      </c>
      <c r="R10060" t="s">
        <v>42683</v>
      </c>
      <c r="S10060" t="s">
        <v>43062</v>
      </c>
      <c r="T10060" t="s">
        <v>44488</v>
      </c>
      <c r="U10060" t="s">
        <v>53040</v>
      </c>
      <c r="W10060" t="s">
        <v>39559</v>
      </c>
      <c r="X10060" t="s">
        <v>42684</v>
      </c>
    </row>
    <row r="10061" spans="1:24">
      <c r="A10061">
        <f>HYPERLINK("https://www.philgeps.gov.ph/GEPSNONPILOT/Tender/SplashBidNoticeAbstractUI.aspx?menuIndex=3&amp;refID=7172524&amp;Result=3","7172524")</f>
        <v>0</v>
      </c>
      <c r="B10061" t="s">
        <v>2200</v>
      </c>
      <c r="C10061" t="s">
        <v>13131</v>
      </c>
      <c r="D10061" t="s">
        <v>17182</v>
      </c>
      <c r="E10061" t="s">
        <v>25866</v>
      </c>
      <c r="F10061" t="s">
        <v>29372</v>
      </c>
      <c r="G10061" t="s">
        <v>29380</v>
      </c>
      <c r="H10061" t="s">
        <v>29389</v>
      </c>
      <c r="I10061" t="s">
        <v>10408</v>
      </c>
      <c r="J10061" t="s">
        <v>35928</v>
      </c>
      <c r="K10061" t="s">
        <v>38525</v>
      </c>
      <c r="M10061" t="s">
        <v>41115</v>
      </c>
      <c r="N10061" t="s">
        <v>42669</v>
      </c>
      <c r="O10061" t="s">
        <v>42670</v>
      </c>
      <c r="P10061">
        <v>0</v>
      </c>
      <c r="Q10061">
        <v>1</v>
      </c>
      <c r="R10061" t="s">
        <v>42683</v>
      </c>
      <c r="S10061" t="s">
        <v>43062</v>
      </c>
      <c r="T10061" t="s">
        <v>44493</v>
      </c>
      <c r="U10061" t="s">
        <v>53041</v>
      </c>
      <c r="W10061" t="s">
        <v>41115</v>
      </c>
      <c r="X10061" t="s">
        <v>42684</v>
      </c>
    </row>
    <row r="10062" spans="1:24">
      <c r="A10062">
        <f>HYPERLINK("https://www.philgeps.gov.ph/GEPSNONPILOT/Tender/SplashBidNoticeAbstractUI.aspx?menuIndex=3&amp;refID=7172523&amp;Result=3","7172523")</f>
        <v>0</v>
      </c>
      <c r="B10062" t="s">
        <v>455</v>
      </c>
      <c r="C10062" t="s">
        <v>13132</v>
      </c>
      <c r="D10062" t="s">
        <v>17157</v>
      </c>
      <c r="E10062" t="s">
        <v>25867</v>
      </c>
      <c r="F10062" t="s">
        <v>29372</v>
      </c>
      <c r="G10062" t="s">
        <v>29380</v>
      </c>
      <c r="H10062" t="s">
        <v>11048</v>
      </c>
      <c r="I10062" t="s">
        <v>3670</v>
      </c>
      <c r="J10062" t="s">
        <v>31355</v>
      </c>
      <c r="K10062" t="s">
        <v>38485</v>
      </c>
      <c r="M10062" t="s">
        <v>39219</v>
      </c>
      <c r="N10062" t="s">
        <v>42669</v>
      </c>
      <c r="O10062" t="s">
        <v>42670</v>
      </c>
      <c r="P10062">
        <v>0</v>
      </c>
      <c r="Q10062">
        <v>3</v>
      </c>
      <c r="R10062" t="s">
        <v>42683</v>
      </c>
      <c r="S10062" t="s">
        <v>43062</v>
      </c>
      <c r="T10062" t="s">
        <v>44453</v>
      </c>
      <c r="U10062" t="s">
        <v>45870</v>
      </c>
      <c r="V10062" t="s">
        <v>56472</v>
      </c>
      <c r="W10062" t="s">
        <v>39219</v>
      </c>
      <c r="X10062" t="s">
        <v>42684</v>
      </c>
    </row>
    <row r="10063" spans="1:24">
      <c r="A10063">
        <f>HYPERLINK("https://www.philgeps.gov.ph/GEPSNONPILOT/Tender/SplashBidNoticeAbstractUI.aspx?menuIndex=3&amp;refID=7172460&amp;Result=3","7172460")</f>
        <v>0</v>
      </c>
      <c r="B10063" t="s">
        <v>2950</v>
      </c>
      <c r="C10063" t="s">
        <v>13133</v>
      </c>
      <c r="D10063" t="s">
        <v>17163</v>
      </c>
      <c r="E10063" t="s">
        <v>25868</v>
      </c>
      <c r="F10063" t="s">
        <v>29372</v>
      </c>
      <c r="G10063" t="s">
        <v>29380</v>
      </c>
      <c r="H10063" t="s">
        <v>11048</v>
      </c>
      <c r="I10063" t="s">
        <v>4709</v>
      </c>
      <c r="J10063" t="s">
        <v>35929</v>
      </c>
      <c r="K10063" t="s">
        <v>38485</v>
      </c>
      <c r="M10063" t="s">
        <v>41955</v>
      </c>
      <c r="N10063" t="s">
        <v>42669</v>
      </c>
      <c r="O10063" t="s">
        <v>42670</v>
      </c>
      <c r="P10063">
        <v>0</v>
      </c>
      <c r="Q10063">
        <v>0</v>
      </c>
      <c r="R10063" t="s">
        <v>42683</v>
      </c>
      <c r="S10063" t="s">
        <v>43062</v>
      </c>
      <c r="T10063" t="s">
        <v>44398</v>
      </c>
      <c r="U10063" t="s">
        <v>53042</v>
      </c>
      <c r="W10063" t="s">
        <v>41955</v>
      </c>
      <c r="X10063" t="s">
        <v>42684</v>
      </c>
    </row>
    <row r="10064" spans="1:24">
      <c r="A10064">
        <f>HYPERLINK("https://www.philgeps.gov.ph/GEPSNONPILOT/Tender/SplashBidNoticeAbstractUI.aspx?menuIndex=3&amp;refID=7172408&amp;Result=3","7172408")</f>
        <v>0</v>
      </c>
      <c r="B10064" t="s">
        <v>2454</v>
      </c>
      <c r="C10064" t="s">
        <v>13134</v>
      </c>
      <c r="D10064" t="s">
        <v>17195</v>
      </c>
      <c r="E10064" t="s">
        <v>25869</v>
      </c>
      <c r="F10064" t="s">
        <v>29372</v>
      </c>
      <c r="G10064" t="s">
        <v>29380</v>
      </c>
      <c r="H10064" t="s">
        <v>11048</v>
      </c>
      <c r="I10064" t="s">
        <v>4709</v>
      </c>
      <c r="J10064" t="s">
        <v>35930</v>
      </c>
      <c r="K10064" t="s">
        <v>38485</v>
      </c>
      <c r="M10064" t="s">
        <v>41402</v>
      </c>
      <c r="N10064" t="s">
        <v>42669</v>
      </c>
      <c r="O10064" t="s">
        <v>42670</v>
      </c>
      <c r="P10064">
        <v>0</v>
      </c>
      <c r="Q10064">
        <v>1</v>
      </c>
      <c r="R10064" t="s">
        <v>42683</v>
      </c>
      <c r="S10064" t="s">
        <v>43062</v>
      </c>
      <c r="T10064" t="s">
        <v>44357</v>
      </c>
      <c r="U10064" t="s">
        <v>51118</v>
      </c>
      <c r="W10064" t="s">
        <v>41402</v>
      </c>
      <c r="X10064" t="s">
        <v>42684</v>
      </c>
    </row>
    <row r="10065" spans="1:24">
      <c r="A10065">
        <f>HYPERLINK("https://www.philgeps.gov.ph/GEPSNONPILOT/Tender/SplashBidNoticeAbstractUI.aspx?menuIndex=3&amp;refID=7172522&amp;Result=3","7172522")</f>
        <v>0</v>
      </c>
      <c r="B10065" t="s">
        <v>955</v>
      </c>
      <c r="C10065" t="s">
        <v>13135</v>
      </c>
      <c r="E10065" t="s">
        <v>25870</v>
      </c>
      <c r="F10065" t="s">
        <v>29372</v>
      </c>
      <c r="G10065" t="s">
        <v>29380</v>
      </c>
      <c r="H10065" t="s">
        <v>11048</v>
      </c>
      <c r="I10065" t="s">
        <v>29409</v>
      </c>
      <c r="J10065" t="s">
        <v>35931</v>
      </c>
      <c r="K10065" t="s">
        <v>38490</v>
      </c>
      <c r="M10065" t="s">
        <v>39751</v>
      </c>
      <c r="N10065" t="s">
        <v>42669</v>
      </c>
      <c r="O10065" t="s">
        <v>42670</v>
      </c>
      <c r="Q10065">
        <v>6</v>
      </c>
      <c r="R10065" t="s">
        <v>42683</v>
      </c>
      <c r="S10065" t="s">
        <v>43121</v>
      </c>
      <c r="T10065" t="s">
        <v>44527</v>
      </c>
      <c r="U10065" t="s">
        <v>53043</v>
      </c>
      <c r="W10065" t="s">
        <v>39751</v>
      </c>
      <c r="X10065" t="s">
        <v>42684</v>
      </c>
    </row>
    <row r="10066" spans="1:24">
      <c r="A10066">
        <f>HYPERLINK("https://www.philgeps.gov.ph/GEPSNONPILOT/Tender/SplashBidNoticeAbstractUI.aspx?menuIndex=3&amp;refID=7172518&amp;Result=3","7172518")</f>
        <v>0</v>
      </c>
      <c r="B10066" t="s">
        <v>1354</v>
      </c>
      <c r="C10066" t="s">
        <v>13136</v>
      </c>
      <c r="D10066" t="s">
        <v>17155</v>
      </c>
      <c r="E10066" t="s">
        <v>25871</v>
      </c>
      <c r="F10066" t="s">
        <v>29372</v>
      </c>
      <c r="G10066" t="s">
        <v>29380</v>
      </c>
      <c r="H10066" t="s">
        <v>11048</v>
      </c>
      <c r="I10066" t="s">
        <v>29488</v>
      </c>
      <c r="J10066" t="s">
        <v>35932</v>
      </c>
      <c r="K10066" t="s">
        <v>38664</v>
      </c>
      <c r="M10066" t="s">
        <v>40191</v>
      </c>
      <c r="N10066" t="s">
        <v>42669</v>
      </c>
      <c r="O10066" t="s">
        <v>42670</v>
      </c>
      <c r="Q10066">
        <v>0</v>
      </c>
      <c r="R10066" t="s">
        <v>42683</v>
      </c>
      <c r="S10066" t="s">
        <v>43122</v>
      </c>
      <c r="T10066" t="s">
        <v>44488</v>
      </c>
      <c r="U10066" t="s">
        <v>53044</v>
      </c>
      <c r="V10066" t="s">
        <v>57493</v>
      </c>
      <c r="W10066" t="s">
        <v>40191</v>
      </c>
      <c r="X10066" t="s">
        <v>42684</v>
      </c>
    </row>
    <row r="10067" spans="1:24">
      <c r="A10067">
        <f>HYPERLINK("https://www.philgeps.gov.ph/GEPSNONPILOT/Tender/SplashBidNoticeAbstractUI.aspx?menuIndex=3&amp;refID=7172506&amp;Result=3","7172506")</f>
        <v>0</v>
      </c>
      <c r="B10067" t="s">
        <v>2179</v>
      </c>
      <c r="C10067" t="s">
        <v>13137</v>
      </c>
      <c r="D10067" t="s">
        <v>17144</v>
      </c>
      <c r="E10067" t="s">
        <v>25872</v>
      </c>
      <c r="F10067" t="s">
        <v>29372</v>
      </c>
      <c r="G10067" t="s">
        <v>29380</v>
      </c>
      <c r="H10067" t="s">
        <v>11048</v>
      </c>
      <c r="I10067" t="s">
        <v>29393</v>
      </c>
      <c r="J10067" t="s">
        <v>35933</v>
      </c>
      <c r="K10067" t="s">
        <v>38485</v>
      </c>
      <c r="M10067" t="s">
        <v>41093</v>
      </c>
      <c r="N10067" t="s">
        <v>42669</v>
      </c>
      <c r="O10067" t="s">
        <v>42670</v>
      </c>
      <c r="P10067">
        <v>0</v>
      </c>
      <c r="Q10067">
        <v>4</v>
      </c>
      <c r="R10067" t="s">
        <v>42683</v>
      </c>
      <c r="S10067" t="s">
        <v>43062</v>
      </c>
      <c r="T10067" t="s">
        <v>44504</v>
      </c>
      <c r="U10067" t="s">
        <v>53045</v>
      </c>
      <c r="W10067" t="s">
        <v>41093</v>
      </c>
      <c r="X10067" t="s">
        <v>42684</v>
      </c>
    </row>
    <row r="10068" spans="1:24">
      <c r="A10068">
        <f>HYPERLINK("https://www.philgeps.gov.ph/GEPSNONPILOT/Tender/SplashBidNoticeAbstractUI.aspx?menuIndex=3&amp;refID=7172496&amp;Result=3","7172496")</f>
        <v>0</v>
      </c>
      <c r="B10068" t="s">
        <v>2947</v>
      </c>
      <c r="C10068" t="s">
        <v>13138</v>
      </c>
      <c r="D10068" t="s">
        <v>17186</v>
      </c>
      <c r="E10068" t="s">
        <v>25873</v>
      </c>
      <c r="F10068" t="s">
        <v>29372</v>
      </c>
      <c r="G10068" t="s">
        <v>29380</v>
      </c>
      <c r="H10068" t="s">
        <v>11048</v>
      </c>
      <c r="I10068" t="s">
        <v>3695</v>
      </c>
      <c r="J10068" t="s">
        <v>30161</v>
      </c>
      <c r="K10068" t="s">
        <v>38491</v>
      </c>
      <c r="M10068" t="s">
        <v>41951</v>
      </c>
      <c r="N10068" t="s">
        <v>42669</v>
      </c>
      <c r="O10068" t="s">
        <v>42670</v>
      </c>
      <c r="P10068">
        <v>0</v>
      </c>
      <c r="Q10068">
        <v>12</v>
      </c>
      <c r="R10068" t="s">
        <v>42683</v>
      </c>
      <c r="S10068" t="s">
        <v>43062</v>
      </c>
      <c r="T10068" t="s">
        <v>44527</v>
      </c>
      <c r="U10068" t="s">
        <v>53046</v>
      </c>
      <c r="W10068" t="s">
        <v>41951</v>
      </c>
      <c r="X10068" t="s">
        <v>42684</v>
      </c>
    </row>
    <row r="10069" spans="1:24">
      <c r="A10069">
        <f>HYPERLINK("https://www.philgeps.gov.ph/GEPSNONPILOT/Tender/SplashBidNoticeAbstractUI.aspx?menuIndex=3&amp;refID=7172509&amp;Result=3","7172509")</f>
        <v>0</v>
      </c>
      <c r="B10069" t="s">
        <v>750</v>
      </c>
      <c r="C10069" t="s">
        <v>13139</v>
      </c>
      <c r="D10069" t="s">
        <v>17181</v>
      </c>
      <c r="E10069" t="s">
        <v>25874</v>
      </c>
      <c r="F10069" t="s">
        <v>29372</v>
      </c>
      <c r="G10069" t="s">
        <v>29380</v>
      </c>
      <c r="H10069" t="s">
        <v>11048</v>
      </c>
      <c r="I10069" t="s">
        <v>3695</v>
      </c>
      <c r="J10069" t="s">
        <v>29543</v>
      </c>
      <c r="K10069" t="s">
        <v>38490</v>
      </c>
      <c r="M10069" t="s">
        <v>39533</v>
      </c>
      <c r="N10069" t="s">
        <v>42669</v>
      </c>
      <c r="O10069" t="s">
        <v>42670</v>
      </c>
      <c r="P10069">
        <v>0</v>
      </c>
      <c r="Q10069">
        <v>5</v>
      </c>
      <c r="R10069" t="s">
        <v>42683</v>
      </c>
      <c r="S10069" t="s">
        <v>43062</v>
      </c>
      <c r="T10069" t="s">
        <v>44391</v>
      </c>
      <c r="U10069" t="s">
        <v>53047</v>
      </c>
      <c r="W10069" t="s">
        <v>39533</v>
      </c>
      <c r="X10069" t="s">
        <v>42684</v>
      </c>
    </row>
    <row r="10070" spans="1:24">
      <c r="A10070">
        <f>HYPERLINK("https://www.philgeps.gov.ph/GEPSNONPILOT/Tender/SplashBidNoticeAbstractUI.aspx?menuIndex=3&amp;refID=7172493&amp;Result=3","7172493")</f>
        <v>0</v>
      </c>
      <c r="B10070" t="s">
        <v>674</v>
      </c>
      <c r="C10070" t="s">
        <v>13140</v>
      </c>
      <c r="D10070" t="s">
        <v>17164</v>
      </c>
      <c r="E10070" t="s">
        <v>25875</v>
      </c>
      <c r="F10070" t="s">
        <v>29372</v>
      </c>
      <c r="G10070" t="s">
        <v>29380</v>
      </c>
      <c r="H10070" t="s">
        <v>11048</v>
      </c>
      <c r="I10070" t="s">
        <v>9469</v>
      </c>
      <c r="J10070" t="s">
        <v>29609</v>
      </c>
      <c r="K10070" t="s">
        <v>38487</v>
      </c>
      <c r="M10070" t="s">
        <v>39450</v>
      </c>
      <c r="N10070" t="s">
        <v>42669</v>
      </c>
      <c r="O10070" t="s">
        <v>42670</v>
      </c>
      <c r="P10070">
        <v>0</v>
      </c>
      <c r="Q10070">
        <v>0</v>
      </c>
      <c r="R10070" t="s">
        <v>42683</v>
      </c>
      <c r="S10070" t="s">
        <v>43062</v>
      </c>
      <c r="T10070" t="s">
        <v>44452</v>
      </c>
      <c r="U10070" t="s">
        <v>53048</v>
      </c>
      <c r="W10070" t="s">
        <v>39450</v>
      </c>
      <c r="X10070" t="s">
        <v>42684</v>
      </c>
    </row>
    <row r="10071" spans="1:24">
      <c r="A10071">
        <f>HYPERLINK("https://www.philgeps.gov.ph/GEPSNONPILOT/Tender/SplashBidNoticeAbstractUI.aspx?menuIndex=3&amp;refID=7172491&amp;Result=3","7172491")</f>
        <v>0</v>
      </c>
      <c r="B10071" t="s">
        <v>992</v>
      </c>
      <c r="C10071" t="s">
        <v>13141</v>
      </c>
      <c r="D10071" t="s">
        <v>17180</v>
      </c>
      <c r="E10071" t="s">
        <v>25876</v>
      </c>
      <c r="F10071" t="s">
        <v>29372</v>
      </c>
      <c r="G10071" t="s">
        <v>29380</v>
      </c>
      <c r="H10071" t="s">
        <v>29389</v>
      </c>
      <c r="I10071" t="s">
        <v>10408</v>
      </c>
      <c r="J10071" t="s">
        <v>35934</v>
      </c>
      <c r="K10071" t="s">
        <v>38523</v>
      </c>
      <c r="M10071" t="s">
        <v>39792</v>
      </c>
      <c r="N10071" t="s">
        <v>42669</v>
      </c>
      <c r="O10071" t="s">
        <v>42670</v>
      </c>
      <c r="P10071">
        <v>0</v>
      </c>
      <c r="Q10071">
        <v>15</v>
      </c>
      <c r="R10071" t="s">
        <v>42683</v>
      </c>
      <c r="S10071" t="s">
        <v>43062</v>
      </c>
      <c r="T10071" t="s">
        <v>44357</v>
      </c>
      <c r="U10071" t="s">
        <v>53049</v>
      </c>
      <c r="V10071" t="s">
        <v>56683</v>
      </c>
      <c r="W10071" t="s">
        <v>39792</v>
      </c>
      <c r="X10071" t="s">
        <v>42684</v>
      </c>
    </row>
    <row r="10072" spans="1:24">
      <c r="A10072">
        <f>HYPERLINK("https://www.philgeps.gov.ph/GEPSNONPILOT/Tender/SplashBidNoticeAbstractUI.aspx?menuIndex=3&amp;refID=7172494&amp;Result=3","7172494")</f>
        <v>0</v>
      </c>
      <c r="B10072" t="s">
        <v>941</v>
      </c>
      <c r="C10072" t="s">
        <v>13142</v>
      </c>
      <c r="E10072" t="s">
        <v>25877</v>
      </c>
      <c r="F10072" t="s">
        <v>29372</v>
      </c>
      <c r="G10072" t="s">
        <v>29380</v>
      </c>
      <c r="H10072" t="s">
        <v>11048</v>
      </c>
      <c r="I10072" t="s">
        <v>29407</v>
      </c>
      <c r="J10072" t="s">
        <v>29615</v>
      </c>
      <c r="K10072" t="s">
        <v>38485</v>
      </c>
      <c r="M10072" t="s">
        <v>39736</v>
      </c>
      <c r="N10072" t="s">
        <v>42669</v>
      </c>
      <c r="O10072" t="s">
        <v>42670</v>
      </c>
      <c r="P10072">
        <v>0</v>
      </c>
      <c r="Q10072">
        <v>6</v>
      </c>
      <c r="R10072" t="s">
        <v>42683</v>
      </c>
      <c r="S10072" t="s">
        <v>43062</v>
      </c>
      <c r="T10072" t="s">
        <v>44503</v>
      </c>
      <c r="U10072" t="s">
        <v>53050</v>
      </c>
      <c r="W10072" t="s">
        <v>39736</v>
      </c>
      <c r="X10072" t="s">
        <v>42684</v>
      </c>
    </row>
    <row r="10073" spans="1:24">
      <c r="A10073">
        <f>HYPERLINK("https://www.philgeps.gov.ph/GEPSNONPILOT/Tender/SplashBidNoticeAbstractUI.aspx?menuIndex=3&amp;refID=7172486&amp;Result=3","7172486")</f>
        <v>0</v>
      </c>
      <c r="B10073" t="s">
        <v>2943</v>
      </c>
      <c r="C10073" t="s">
        <v>13143</v>
      </c>
      <c r="D10073" t="s">
        <v>17141</v>
      </c>
      <c r="E10073" t="s">
        <v>25878</v>
      </c>
      <c r="F10073" t="s">
        <v>29372</v>
      </c>
      <c r="G10073" t="s">
        <v>29380</v>
      </c>
      <c r="H10073" t="s">
        <v>11048</v>
      </c>
      <c r="I10073" t="s">
        <v>29437</v>
      </c>
      <c r="J10073" t="s">
        <v>35935</v>
      </c>
      <c r="K10073" t="s">
        <v>38491</v>
      </c>
      <c r="M10073" t="s">
        <v>41956</v>
      </c>
      <c r="N10073" t="s">
        <v>42669</v>
      </c>
      <c r="O10073" t="s">
        <v>42670</v>
      </c>
      <c r="P10073">
        <v>0</v>
      </c>
      <c r="Q10073">
        <v>2</v>
      </c>
      <c r="R10073" t="s">
        <v>42683</v>
      </c>
      <c r="S10073" t="s">
        <v>43062</v>
      </c>
      <c r="T10073" t="s">
        <v>44432</v>
      </c>
      <c r="U10073" t="s">
        <v>53051</v>
      </c>
      <c r="W10073" t="s">
        <v>41956</v>
      </c>
      <c r="X10073" t="s">
        <v>42684</v>
      </c>
    </row>
    <row r="10074" spans="1:24">
      <c r="A10074">
        <f>HYPERLINK("https://www.philgeps.gov.ph/GEPSNONPILOT/Tender/SplashBidNoticeAbstractUI.aspx?menuIndex=3&amp;refID=7172481&amp;Result=3","7172481")</f>
        <v>0</v>
      </c>
      <c r="B10074" t="s">
        <v>864</v>
      </c>
      <c r="C10074" t="s">
        <v>13144</v>
      </c>
      <c r="D10074" t="s">
        <v>17167</v>
      </c>
      <c r="E10074" t="s">
        <v>25879</v>
      </c>
      <c r="F10074" t="s">
        <v>29372</v>
      </c>
      <c r="G10074" t="s">
        <v>29380</v>
      </c>
      <c r="H10074" t="s">
        <v>29389</v>
      </c>
      <c r="I10074" t="s">
        <v>10408</v>
      </c>
      <c r="J10074" t="s">
        <v>35936</v>
      </c>
      <c r="K10074" t="s">
        <v>38702</v>
      </c>
      <c r="M10074" t="s">
        <v>39656</v>
      </c>
      <c r="N10074" t="s">
        <v>42669</v>
      </c>
      <c r="O10074" t="s">
        <v>42670</v>
      </c>
      <c r="P10074">
        <v>0</v>
      </c>
      <c r="Q10074">
        <v>0</v>
      </c>
      <c r="R10074" t="s">
        <v>42683</v>
      </c>
      <c r="S10074" t="s">
        <v>43062</v>
      </c>
      <c r="T10074" t="s">
        <v>44357</v>
      </c>
      <c r="U10074" t="s">
        <v>53052</v>
      </c>
      <c r="W10074" t="s">
        <v>39656</v>
      </c>
      <c r="X10074" t="s">
        <v>42684</v>
      </c>
    </row>
    <row r="10075" spans="1:24">
      <c r="A10075">
        <f>HYPERLINK("https://www.philgeps.gov.ph/GEPSNONPILOT/Tender/SplashBidNoticeAbstractUI.aspx?menuIndex=3&amp;refID=7172490&amp;Result=3","7172490")</f>
        <v>0</v>
      </c>
      <c r="B10075" t="s">
        <v>170</v>
      </c>
      <c r="C10075" t="s">
        <v>13145</v>
      </c>
      <c r="D10075" t="s">
        <v>17195</v>
      </c>
      <c r="E10075" t="s">
        <v>25880</v>
      </c>
      <c r="F10075" t="s">
        <v>29372</v>
      </c>
      <c r="G10075" t="s">
        <v>29379</v>
      </c>
      <c r="H10075" t="s">
        <v>11048</v>
      </c>
      <c r="I10075" t="s">
        <v>5383</v>
      </c>
      <c r="J10075" t="s">
        <v>35937</v>
      </c>
      <c r="K10075" t="s">
        <v>38495</v>
      </c>
      <c r="M10075" t="s">
        <v>38927</v>
      </c>
      <c r="N10075" t="s">
        <v>42669</v>
      </c>
      <c r="O10075" t="s">
        <v>42670</v>
      </c>
      <c r="P10075">
        <v>0</v>
      </c>
      <c r="Q10075">
        <v>0</v>
      </c>
      <c r="R10075" t="s">
        <v>42683</v>
      </c>
      <c r="S10075" t="s">
        <v>43062</v>
      </c>
      <c r="T10075" t="s">
        <v>44401</v>
      </c>
      <c r="U10075" t="s">
        <v>47920</v>
      </c>
      <c r="W10075" t="s">
        <v>38927</v>
      </c>
      <c r="X10075" t="s">
        <v>42684</v>
      </c>
    </row>
    <row r="10076" spans="1:24">
      <c r="A10076">
        <f>HYPERLINK("https://www.philgeps.gov.ph/GEPSNONPILOT/Tender/SplashBidNoticeAbstractUI.aspx?menuIndex=3&amp;refID=7172477&amp;Result=3","7172477")</f>
        <v>0</v>
      </c>
      <c r="B10076" t="s">
        <v>2774</v>
      </c>
      <c r="C10076" t="s">
        <v>13146</v>
      </c>
      <c r="D10076" t="s">
        <v>17141</v>
      </c>
      <c r="E10076" t="s">
        <v>25881</v>
      </c>
      <c r="F10076" t="s">
        <v>29372</v>
      </c>
      <c r="G10076" t="s">
        <v>29380</v>
      </c>
      <c r="H10076" t="s">
        <v>11048</v>
      </c>
      <c r="I10076" t="s">
        <v>3670</v>
      </c>
      <c r="J10076" t="s">
        <v>35938</v>
      </c>
      <c r="K10076" t="s">
        <v>38495</v>
      </c>
      <c r="M10076" t="s">
        <v>41759</v>
      </c>
      <c r="N10076" t="s">
        <v>42669</v>
      </c>
      <c r="O10076" t="s">
        <v>42670</v>
      </c>
      <c r="P10076">
        <v>0</v>
      </c>
      <c r="Q10076">
        <v>2</v>
      </c>
      <c r="R10076" t="s">
        <v>42683</v>
      </c>
      <c r="S10076" t="s">
        <v>43062</v>
      </c>
      <c r="T10076" t="s">
        <v>44527</v>
      </c>
      <c r="U10076" t="s">
        <v>53053</v>
      </c>
      <c r="V10076" t="s">
        <v>57494</v>
      </c>
      <c r="W10076" t="s">
        <v>41759</v>
      </c>
      <c r="X10076" t="s">
        <v>42684</v>
      </c>
    </row>
    <row r="10077" spans="1:24">
      <c r="A10077">
        <f>HYPERLINK("https://www.philgeps.gov.ph/GEPSNONPILOT/Tender/SplashBidNoticeAbstractUI.aspx?menuIndex=3&amp;refID=7172488&amp;Result=3","7172488")</f>
        <v>0</v>
      </c>
      <c r="B10077" t="s">
        <v>1279</v>
      </c>
      <c r="C10077" t="s">
        <v>13147</v>
      </c>
      <c r="D10077" t="s">
        <v>17141</v>
      </c>
      <c r="E10077" t="s">
        <v>17571</v>
      </c>
      <c r="F10077" t="s">
        <v>29372</v>
      </c>
      <c r="G10077" t="s">
        <v>29380</v>
      </c>
      <c r="H10077" t="s">
        <v>11048</v>
      </c>
      <c r="I10077" t="s">
        <v>8614</v>
      </c>
      <c r="J10077" t="s">
        <v>35939</v>
      </c>
      <c r="K10077" t="s">
        <v>38490</v>
      </c>
      <c r="M10077" t="s">
        <v>40107</v>
      </c>
      <c r="N10077" t="s">
        <v>42669</v>
      </c>
      <c r="O10077" t="s">
        <v>42670</v>
      </c>
      <c r="Q10077">
        <v>18</v>
      </c>
      <c r="R10077" t="s">
        <v>42683</v>
      </c>
      <c r="S10077" t="s">
        <v>43123</v>
      </c>
      <c r="T10077" t="s">
        <v>44543</v>
      </c>
      <c r="U10077" t="s">
        <v>53054</v>
      </c>
      <c r="W10077" t="s">
        <v>40107</v>
      </c>
      <c r="X10077" t="s">
        <v>42684</v>
      </c>
    </row>
    <row r="10078" spans="1:24">
      <c r="A10078">
        <f>HYPERLINK("https://www.philgeps.gov.ph/GEPSNONPILOT/Tender/SplashBidNoticeAbstractUI.aspx?menuIndex=3&amp;refID=7172471&amp;Result=3","7172471")</f>
        <v>0</v>
      </c>
      <c r="B10078" t="s">
        <v>2209</v>
      </c>
      <c r="C10078" t="s">
        <v>13148</v>
      </c>
      <c r="D10078" t="s">
        <v>17171</v>
      </c>
      <c r="E10078" t="s">
        <v>25882</v>
      </c>
      <c r="F10078" t="s">
        <v>29372</v>
      </c>
      <c r="G10078" t="s">
        <v>29380</v>
      </c>
      <c r="H10078" t="s">
        <v>11048</v>
      </c>
      <c r="I10078" t="s">
        <v>3839</v>
      </c>
      <c r="J10078" t="s">
        <v>35940</v>
      </c>
      <c r="K10078" t="s">
        <v>38490</v>
      </c>
      <c r="M10078" t="s">
        <v>41126</v>
      </c>
      <c r="N10078" t="s">
        <v>42669</v>
      </c>
      <c r="O10078" t="s">
        <v>42670</v>
      </c>
      <c r="Q10078">
        <v>4</v>
      </c>
      <c r="R10078" t="s">
        <v>42683</v>
      </c>
      <c r="S10078" t="s">
        <v>43124</v>
      </c>
      <c r="T10078" t="s">
        <v>44788</v>
      </c>
      <c r="U10078" t="s">
        <v>53055</v>
      </c>
      <c r="W10078" t="s">
        <v>41126</v>
      </c>
      <c r="X10078" t="s">
        <v>42684</v>
      </c>
    </row>
    <row r="10079" spans="1:24">
      <c r="A10079">
        <f>HYPERLINK("https://www.philgeps.gov.ph/GEPSNONPILOT/Tender/SplashBidNoticeAbstractUI.aspx?menuIndex=3&amp;refID=7172592&amp;Result=3","7172592")</f>
        <v>0</v>
      </c>
      <c r="B10079" t="s">
        <v>2950</v>
      </c>
      <c r="C10079" t="s">
        <v>13149</v>
      </c>
      <c r="D10079" t="s">
        <v>17151</v>
      </c>
      <c r="E10079" t="s">
        <v>25883</v>
      </c>
      <c r="F10079" t="s">
        <v>29372</v>
      </c>
      <c r="G10079" t="s">
        <v>29380</v>
      </c>
      <c r="H10079" t="s">
        <v>11048</v>
      </c>
      <c r="I10079" t="s">
        <v>4709</v>
      </c>
      <c r="J10079" t="s">
        <v>32726</v>
      </c>
      <c r="K10079" t="s">
        <v>38485</v>
      </c>
      <c r="M10079" t="s">
        <v>41955</v>
      </c>
      <c r="N10079" t="s">
        <v>42669</v>
      </c>
      <c r="O10079" t="s">
        <v>42670</v>
      </c>
      <c r="P10079">
        <v>0</v>
      </c>
      <c r="Q10079">
        <v>0</v>
      </c>
      <c r="R10079" t="s">
        <v>42683</v>
      </c>
      <c r="S10079" t="s">
        <v>43062</v>
      </c>
      <c r="T10079" t="s">
        <v>44398</v>
      </c>
      <c r="U10079" t="s">
        <v>53056</v>
      </c>
      <c r="W10079" t="s">
        <v>41955</v>
      </c>
      <c r="X10079" t="s">
        <v>42684</v>
      </c>
    </row>
    <row r="10080" spans="1:24">
      <c r="A10080">
        <f>HYPERLINK("https://www.philgeps.gov.ph/GEPSNONPILOT/Tender/SplashBidNoticeAbstractUI.aspx?menuIndex=3&amp;refID=7172588&amp;Result=3","7172588")</f>
        <v>0</v>
      </c>
      <c r="B10080" t="s">
        <v>1279</v>
      </c>
      <c r="C10080" t="s">
        <v>6887</v>
      </c>
      <c r="D10080" t="s">
        <v>17141</v>
      </c>
      <c r="E10080" t="s">
        <v>20823</v>
      </c>
      <c r="F10080" t="s">
        <v>29372</v>
      </c>
      <c r="G10080" t="s">
        <v>29380</v>
      </c>
      <c r="H10080" t="s">
        <v>11048</v>
      </c>
      <c r="I10080" t="s">
        <v>8614</v>
      </c>
      <c r="J10080" t="s">
        <v>29829</v>
      </c>
      <c r="K10080" t="s">
        <v>38490</v>
      </c>
      <c r="M10080" t="s">
        <v>40107</v>
      </c>
      <c r="N10080" t="s">
        <v>42669</v>
      </c>
      <c r="O10080" t="s">
        <v>42670</v>
      </c>
      <c r="Q10080">
        <v>19</v>
      </c>
      <c r="R10080" t="s">
        <v>42683</v>
      </c>
      <c r="S10080" t="s">
        <v>43125</v>
      </c>
      <c r="T10080" t="s">
        <v>44543</v>
      </c>
      <c r="U10080" t="s">
        <v>53057</v>
      </c>
      <c r="W10080" t="s">
        <v>40107</v>
      </c>
      <c r="X10080" t="s">
        <v>42684</v>
      </c>
    </row>
    <row r="10081" spans="1:24">
      <c r="A10081">
        <f>HYPERLINK("https://www.philgeps.gov.ph/GEPSNONPILOT/Tender/SplashBidNoticeAbstractUI.aspx?menuIndex=3&amp;refID=7172515&amp;Result=3","7172515")</f>
        <v>0</v>
      </c>
      <c r="B10081" t="s">
        <v>2951</v>
      </c>
      <c r="C10081" t="s">
        <v>13150</v>
      </c>
      <c r="D10081" t="s">
        <v>17167</v>
      </c>
      <c r="E10081" t="s">
        <v>25884</v>
      </c>
      <c r="F10081" t="s">
        <v>29372</v>
      </c>
      <c r="G10081" t="s">
        <v>29380</v>
      </c>
      <c r="H10081" t="s">
        <v>11048</v>
      </c>
      <c r="I10081" t="s">
        <v>29478</v>
      </c>
      <c r="J10081" t="s">
        <v>29555</v>
      </c>
      <c r="K10081" t="s">
        <v>38485</v>
      </c>
      <c r="M10081" t="s">
        <v>41957</v>
      </c>
      <c r="N10081" t="s">
        <v>42669</v>
      </c>
      <c r="O10081" t="s">
        <v>42670</v>
      </c>
      <c r="P10081">
        <v>0</v>
      </c>
      <c r="Q10081">
        <v>2</v>
      </c>
      <c r="R10081" t="s">
        <v>42683</v>
      </c>
      <c r="S10081" t="s">
        <v>43062</v>
      </c>
      <c r="T10081" t="s">
        <v>44357</v>
      </c>
      <c r="U10081" t="s">
        <v>53058</v>
      </c>
      <c r="V10081" t="s">
        <v>57495</v>
      </c>
      <c r="W10081" t="s">
        <v>58103</v>
      </c>
      <c r="X10081" t="s">
        <v>42684</v>
      </c>
    </row>
    <row r="10082" spans="1:24">
      <c r="A10082">
        <f>HYPERLINK("https://www.philgeps.gov.ph/GEPSNONPILOT/Tender/SplashBidNoticeAbstractUI.aspx?menuIndex=3&amp;refID=7172585&amp;Result=3","7172585")</f>
        <v>0</v>
      </c>
      <c r="B10082" t="s">
        <v>2943</v>
      </c>
      <c r="C10082" t="s">
        <v>13151</v>
      </c>
      <c r="D10082" t="s">
        <v>17141</v>
      </c>
      <c r="E10082" t="s">
        <v>25885</v>
      </c>
      <c r="F10082" t="s">
        <v>29372</v>
      </c>
      <c r="G10082" t="s">
        <v>29380</v>
      </c>
      <c r="H10082" t="s">
        <v>11048</v>
      </c>
      <c r="I10082" t="s">
        <v>5383</v>
      </c>
      <c r="J10082" t="s">
        <v>30302</v>
      </c>
      <c r="K10082" t="s">
        <v>38491</v>
      </c>
      <c r="M10082" t="s">
        <v>41956</v>
      </c>
      <c r="N10082" t="s">
        <v>42669</v>
      </c>
      <c r="O10082" t="s">
        <v>42670</v>
      </c>
      <c r="P10082">
        <v>0</v>
      </c>
      <c r="Q10082">
        <v>0</v>
      </c>
      <c r="R10082" t="s">
        <v>42683</v>
      </c>
      <c r="S10082" t="s">
        <v>43062</v>
      </c>
      <c r="T10082" t="s">
        <v>44432</v>
      </c>
      <c r="U10082" t="s">
        <v>52966</v>
      </c>
      <c r="W10082" t="s">
        <v>41956</v>
      </c>
      <c r="X10082" t="s">
        <v>42684</v>
      </c>
    </row>
    <row r="10083" spans="1:24">
      <c r="A10083">
        <f>HYPERLINK("https://www.philgeps.gov.ph/GEPSNONPILOT/Tender/SplashBidNoticeAbstractUI.aspx?menuIndex=3&amp;refID=7172583&amp;Result=3","7172583")</f>
        <v>0</v>
      </c>
      <c r="B10083" t="s">
        <v>1998</v>
      </c>
      <c r="C10083" t="s">
        <v>13152</v>
      </c>
      <c r="D10083" t="s">
        <v>17148</v>
      </c>
      <c r="E10083" t="s">
        <v>25886</v>
      </c>
      <c r="F10083" t="s">
        <v>29372</v>
      </c>
      <c r="G10083" t="s">
        <v>29380</v>
      </c>
      <c r="H10083" t="s">
        <v>11048</v>
      </c>
      <c r="I10083" t="s">
        <v>5383</v>
      </c>
      <c r="J10083" t="s">
        <v>35941</v>
      </c>
      <c r="K10083" t="s">
        <v>38485</v>
      </c>
      <c r="M10083" t="s">
        <v>40888</v>
      </c>
      <c r="N10083" t="s">
        <v>42669</v>
      </c>
      <c r="O10083" t="s">
        <v>42670</v>
      </c>
      <c r="P10083">
        <v>0</v>
      </c>
      <c r="Q10083">
        <v>11</v>
      </c>
      <c r="R10083" t="s">
        <v>42683</v>
      </c>
      <c r="S10083" t="s">
        <v>43062</v>
      </c>
      <c r="T10083" t="s">
        <v>44412</v>
      </c>
      <c r="U10083" t="s">
        <v>49562</v>
      </c>
      <c r="W10083" t="s">
        <v>58065</v>
      </c>
      <c r="X10083" t="s">
        <v>42684</v>
      </c>
    </row>
    <row r="10084" spans="1:24">
      <c r="A10084">
        <f>HYPERLINK("https://www.philgeps.gov.ph/GEPSNONPILOT/Tender/SplashBidNoticeAbstractUI.aspx?menuIndex=3&amp;refID=7172581&amp;Result=3","7172581")</f>
        <v>0</v>
      </c>
      <c r="B10084" t="s">
        <v>476</v>
      </c>
      <c r="C10084" t="s">
        <v>13153</v>
      </c>
      <c r="E10084" t="s">
        <v>21800</v>
      </c>
      <c r="F10084" t="s">
        <v>29372</v>
      </c>
      <c r="G10084" t="s">
        <v>29380</v>
      </c>
      <c r="H10084" t="s">
        <v>29389</v>
      </c>
      <c r="I10084" t="s">
        <v>10408</v>
      </c>
      <c r="J10084" t="s">
        <v>35942</v>
      </c>
      <c r="K10084" t="s">
        <v>38490</v>
      </c>
      <c r="M10084" t="s">
        <v>39241</v>
      </c>
      <c r="N10084" t="s">
        <v>42669</v>
      </c>
      <c r="O10084" t="s">
        <v>42670</v>
      </c>
      <c r="Q10084">
        <v>0</v>
      </c>
      <c r="R10084" t="s">
        <v>42683</v>
      </c>
      <c r="S10084" t="s">
        <v>43126</v>
      </c>
      <c r="T10084" t="s">
        <v>44488</v>
      </c>
      <c r="U10084" t="s">
        <v>52462</v>
      </c>
      <c r="W10084" t="s">
        <v>39241</v>
      </c>
      <c r="X10084" t="s">
        <v>42684</v>
      </c>
    </row>
    <row r="10085" spans="1:24">
      <c r="A10085">
        <f>HYPERLINK("https://www.philgeps.gov.ph/GEPSNONPILOT/Tender/SplashBidNoticeAbstractUI.aspx?menuIndex=3&amp;refID=7172586&amp;Result=3","7172586")</f>
        <v>0</v>
      </c>
      <c r="B10085" t="s">
        <v>339</v>
      </c>
      <c r="C10085" t="s">
        <v>13154</v>
      </c>
      <c r="D10085" t="s">
        <v>17156</v>
      </c>
      <c r="E10085" t="s">
        <v>25887</v>
      </c>
      <c r="F10085" t="s">
        <v>29372</v>
      </c>
      <c r="G10085" t="s">
        <v>29380</v>
      </c>
      <c r="H10085" t="s">
        <v>11048</v>
      </c>
      <c r="I10085" t="s">
        <v>29485</v>
      </c>
      <c r="J10085" t="s">
        <v>35943</v>
      </c>
      <c r="K10085" t="s">
        <v>38485</v>
      </c>
      <c r="M10085" t="s">
        <v>39651</v>
      </c>
      <c r="N10085" t="s">
        <v>42669</v>
      </c>
      <c r="O10085" t="s">
        <v>42670</v>
      </c>
      <c r="Q10085">
        <v>0</v>
      </c>
      <c r="R10085" t="s">
        <v>42683</v>
      </c>
      <c r="S10085" t="s">
        <v>43069</v>
      </c>
      <c r="T10085" t="s">
        <v>44397</v>
      </c>
      <c r="U10085" t="s">
        <v>53059</v>
      </c>
      <c r="W10085" t="s">
        <v>39651</v>
      </c>
      <c r="X10085" t="s">
        <v>42684</v>
      </c>
    </row>
    <row r="10086" spans="1:24">
      <c r="A10086">
        <f>HYPERLINK("https://www.philgeps.gov.ph/GEPSNONPILOT/Tender/SplashBidNoticeAbstractUI.aspx?menuIndex=3&amp;refID=7172580&amp;Result=3","7172580")</f>
        <v>0</v>
      </c>
      <c r="B10086" t="s">
        <v>1354</v>
      </c>
      <c r="C10086" t="s">
        <v>13155</v>
      </c>
      <c r="D10086" t="s">
        <v>17155</v>
      </c>
      <c r="E10086" t="s">
        <v>25888</v>
      </c>
      <c r="F10086" t="s">
        <v>29372</v>
      </c>
      <c r="G10086" t="s">
        <v>29380</v>
      </c>
      <c r="H10086" t="s">
        <v>11048</v>
      </c>
      <c r="I10086" t="s">
        <v>29488</v>
      </c>
      <c r="J10086" t="s">
        <v>35932</v>
      </c>
      <c r="K10086" t="s">
        <v>38664</v>
      </c>
      <c r="M10086" t="s">
        <v>40191</v>
      </c>
      <c r="N10086" t="s">
        <v>42669</v>
      </c>
      <c r="O10086" t="s">
        <v>42670</v>
      </c>
      <c r="Q10086">
        <v>0</v>
      </c>
      <c r="R10086" t="s">
        <v>42683</v>
      </c>
      <c r="S10086" t="s">
        <v>43127</v>
      </c>
      <c r="T10086" t="s">
        <v>44488</v>
      </c>
      <c r="U10086" t="s">
        <v>53044</v>
      </c>
      <c r="V10086" t="s">
        <v>57496</v>
      </c>
      <c r="W10086" t="s">
        <v>40191</v>
      </c>
      <c r="X10086" t="s">
        <v>42684</v>
      </c>
    </row>
    <row r="10087" spans="1:24">
      <c r="A10087">
        <f>HYPERLINK("https://www.philgeps.gov.ph/GEPSNONPILOT/Tender/SplashBidNoticeAbstractUI.aspx?menuIndex=3&amp;refID=7172593&amp;Result=3","7172593")</f>
        <v>0</v>
      </c>
      <c r="B10087" t="s">
        <v>455</v>
      </c>
      <c r="C10087" t="s">
        <v>13156</v>
      </c>
      <c r="D10087" t="s">
        <v>17157</v>
      </c>
      <c r="E10087" t="s">
        <v>25889</v>
      </c>
      <c r="F10087" t="s">
        <v>29372</v>
      </c>
      <c r="G10087" t="s">
        <v>29380</v>
      </c>
      <c r="H10087" t="s">
        <v>11048</v>
      </c>
      <c r="I10087" t="s">
        <v>7828</v>
      </c>
      <c r="J10087" t="s">
        <v>35944</v>
      </c>
      <c r="K10087" t="s">
        <v>38485</v>
      </c>
      <c r="M10087" t="s">
        <v>39219</v>
      </c>
      <c r="N10087" t="s">
        <v>42669</v>
      </c>
      <c r="O10087" t="s">
        <v>42670</v>
      </c>
      <c r="P10087">
        <v>0</v>
      </c>
      <c r="Q10087">
        <v>6</v>
      </c>
      <c r="R10087" t="s">
        <v>42683</v>
      </c>
      <c r="S10087" t="s">
        <v>43062</v>
      </c>
      <c r="T10087" t="s">
        <v>44453</v>
      </c>
      <c r="U10087" t="s">
        <v>53060</v>
      </c>
      <c r="V10087" t="s">
        <v>56472</v>
      </c>
      <c r="W10087" t="s">
        <v>39219</v>
      </c>
      <c r="X10087" t="s">
        <v>42684</v>
      </c>
    </row>
    <row r="10088" spans="1:24">
      <c r="A10088">
        <f>HYPERLINK("https://www.philgeps.gov.ph/GEPSNONPILOT/Tender/SplashBidNoticeAbstractUI.aspx?menuIndex=3&amp;refID=7172579&amp;Result=3","7172579")</f>
        <v>0</v>
      </c>
      <c r="B10088" t="s">
        <v>750</v>
      </c>
      <c r="C10088" t="s">
        <v>13157</v>
      </c>
      <c r="D10088" t="s">
        <v>17181</v>
      </c>
      <c r="E10088" t="s">
        <v>25890</v>
      </c>
      <c r="F10088" t="s">
        <v>29372</v>
      </c>
      <c r="G10088" t="s">
        <v>29380</v>
      </c>
      <c r="H10088" t="s">
        <v>11048</v>
      </c>
      <c r="I10088" t="s">
        <v>8208</v>
      </c>
      <c r="J10088" t="s">
        <v>35945</v>
      </c>
      <c r="K10088" t="s">
        <v>38490</v>
      </c>
      <c r="M10088" t="s">
        <v>39533</v>
      </c>
      <c r="N10088" t="s">
        <v>42669</v>
      </c>
      <c r="O10088" t="s">
        <v>42670</v>
      </c>
      <c r="P10088">
        <v>0</v>
      </c>
      <c r="Q10088">
        <v>0</v>
      </c>
      <c r="R10088" t="s">
        <v>42683</v>
      </c>
      <c r="S10088" t="s">
        <v>43062</v>
      </c>
      <c r="T10088" t="s">
        <v>44391</v>
      </c>
      <c r="U10088" t="s">
        <v>53061</v>
      </c>
      <c r="W10088" t="s">
        <v>39533</v>
      </c>
      <c r="X10088" t="s">
        <v>42684</v>
      </c>
    </row>
    <row r="10089" spans="1:24">
      <c r="A10089">
        <f>HYPERLINK("https://www.philgeps.gov.ph/GEPSNONPILOT/Tender/SplashBidNoticeAbstractUI.aspx?menuIndex=3&amp;refID=7172577&amp;Result=3","7172577")</f>
        <v>0</v>
      </c>
      <c r="B10089" t="s">
        <v>2952</v>
      </c>
      <c r="C10089" t="s">
        <v>13158</v>
      </c>
      <c r="D10089" t="s">
        <v>17144</v>
      </c>
      <c r="E10089" t="s">
        <v>25891</v>
      </c>
      <c r="F10089" t="s">
        <v>29372</v>
      </c>
      <c r="G10089" t="s">
        <v>29380</v>
      </c>
      <c r="H10089" t="s">
        <v>11048</v>
      </c>
      <c r="I10089" t="s">
        <v>29417</v>
      </c>
      <c r="J10089" t="s">
        <v>30787</v>
      </c>
      <c r="K10089" t="s">
        <v>38538</v>
      </c>
      <c r="M10089" t="s">
        <v>41958</v>
      </c>
      <c r="N10089" t="s">
        <v>42669</v>
      </c>
      <c r="O10089" t="s">
        <v>42670</v>
      </c>
      <c r="P10089">
        <v>0</v>
      </c>
      <c r="Q10089">
        <v>3</v>
      </c>
      <c r="R10089" t="s">
        <v>42683</v>
      </c>
      <c r="S10089" t="s">
        <v>43062</v>
      </c>
      <c r="T10089" t="s">
        <v>44375</v>
      </c>
      <c r="U10089" t="s">
        <v>53062</v>
      </c>
      <c r="V10089" t="s">
        <v>57497</v>
      </c>
      <c r="W10089" t="s">
        <v>41958</v>
      </c>
      <c r="X10089" t="s">
        <v>42684</v>
      </c>
    </row>
    <row r="10090" spans="1:24">
      <c r="A10090">
        <f>HYPERLINK("https://www.philgeps.gov.ph/GEPSNONPILOT/Tender/SplashBidNoticeAbstractUI.aspx?menuIndex=3&amp;refID=7172324&amp;Result=3","7172324")</f>
        <v>0</v>
      </c>
      <c r="B10090" t="s">
        <v>2925</v>
      </c>
      <c r="C10090" t="s">
        <v>13159</v>
      </c>
      <c r="D10090" t="s">
        <v>17216</v>
      </c>
      <c r="E10090" t="s">
        <v>25805</v>
      </c>
      <c r="F10090" t="s">
        <v>29373</v>
      </c>
      <c r="G10090" t="s">
        <v>29380</v>
      </c>
      <c r="H10090" t="s">
        <v>11048</v>
      </c>
      <c r="I10090" t="s">
        <v>4709</v>
      </c>
      <c r="J10090" t="s">
        <v>35946</v>
      </c>
      <c r="K10090" t="s">
        <v>38488</v>
      </c>
      <c r="M10090" t="s">
        <v>41926</v>
      </c>
      <c r="N10090" t="s">
        <v>42669</v>
      </c>
      <c r="O10090" t="s">
        <v>42670</v>
      </c>
      <c r="P10090">
        <v>0</v>
      </c>
      <c r="Q10090">
        <v>0</v>
      </c>
      <c r="R10090" t="s">
        <v>42683</v>
      </c>
      <c r="S10090" t="s">
        <v>43062</v>
      </c>
      <c r="T10090" t="s">
        <v>44375</v>
      </c>
      <c r="U10090" t="s">
        <v>53063</v>
      </c>
      <c r="W10090" t="s">
        <v>41926</v>
      </c>
      <c r="X10090" t="s">
        <v>42684</v>
      </c>
    </row>
    <row r="10091" spans="1:24">
      <c r="A10091">
        <f>HYPERLINK("https://www.philgeps.gov.ph/GEPSNONPILOT/Tender/SplashBidNoticeAbstractUI.aspx?menuIndex=3&amp;refID=7172568&amp;Result=3","7172568")</f>
        <v>0</v>
      </c>
      <c r="B10091" t="s">
        <v>654</v>
      </c>
      <c r="C10091" t="s">
        <v>13160</v>
      </c>
      <c r="D10091" t="s">
        <v>17170</v>
      </c>
      <c r="E10091" t="s">
        <v>25892</v>
      </c>
      <c r="F10091" t="s">
        <v>29372</v>
      </c>
      <c r="G10091" t="s">
        <v>29380</v>
      </c>
      <c r="H10091" t="s">
        <v>29389</v>
      </c>
      <c r="I10091" t="s">
        <v>10408</v>
      </c>
      <c r="J10091" t="s">
        <v>35947</v>
      </c>
      <c r="K10091" t="s">
        <v>38556</v>
      </c>
      <c r="M10091" t="s">
        <v>39428</v>
      </c>
      <c r="N10091" t="s">
        <v>42669</v>
      </c>
      <c r="O10091" t="s">
        <v>42670</v>
      </c>
      <c r="P10091">
        <v>0</v>
      </c>
      <c r="Q10091">
        <v>0</v>
      </c>
      <c r="R10091" t="s">
        <v>42683</v>
      </c>
      <c r="S10091" t="s">
        <v>43062</v>
      </c>
      <c r="T10091" t="s">
        <v>44776</v>
      </c>
      <c r="U10091" t="s">
        <v>46217</v>
      </c>
      <c r="V10091" t="s">
        <v>56527</v>
      </c>
      <c r="W10091" t="s">
        <v>39428</v>
      </c>
      <c r="X10091" t="s">
        <v>42684</v>
      </c>
    </row>
    <row r="10092" spans="1:24">
      <c r="A10092">
        <f>HYPERLINK("https://www.philgeps.gov.ph/GEPSNONPILOT/Tender/SplashBidNoticeAbstractUI.aspx?menuIndex=3&amp;refID=7172565&amp;Result=3","7172565")</f>
        <v>0</v>
      </c>
      <c r="B10092" t="s">
        <v>2943</v>
      </c>
      <c r="C10092" t="s">
        <v>13161</v>
      </c>
      <c r="D10092" t="s">
        <v>17141</v>
      </c>
      <c r="E10092" t="s">
        <v>25893</v>
      </c>
      <c r="F10092" t="s">
        <v>29372</v>
      </c>
      <c r="G10092" t="s">
        <v>29380</v>
      </c>
      <c r="H10092" t="s">
        <v>11048</v>
      </c>
      <c r="I10092" t="s">
        <v>14920</v>
      </c>
      <c r="J10092" t="s">
        <v>29549</v>
      </c>
      <c r="K10092" t="s">
        <v>38491</v>
      </c>
      <c r="M10092" t="s">
        <v>41956</v>
      </c>
      <c r="N10092" t="s">
        <v>42669</v>
      </c>
      <c r="O10092" t="s">
        <v>42670</v>
      </c>
      <c r="P10092">
        <v>0</v>
      </c>
      <c r="Q10092">
        <v>0</v>
      </c>
      <c r="R10092" t="s">
        <v>42683</v>
      </c>
      <c r="S10092" t="s">
        <v>43062</v>
      </c>
      <c r="T10092" t="s">
        <v>44432</v>
      </c>
      <c r="U10092" t="s">
        <v>52967</v>
      </c>
      <c r="W10092" t="s">
        <v>41956</v>
      </c>
      <c r="X10092" t="s">
        <v>42684</v>
      </c>
    </row>
    <row r="10093" spans="1:24">
      <c r="A10093">
        <f>HYPERLINK("https://www.philgeps.gov.ph/GEPSNONPILOT/Tender/SplashBidNoticeAbstractUI.aspx?menuIndex=3&amp;refID=7172569&amp;Result=3","7172569")</f>
        <v>0</v>
      </c>
      <c r="B10093" t="s">
        <v>955</v>
      </c>
      <c r="C10093" t="s">
        <v>13162</v>
      </c>
      <c r="E10093" t="s">
        <v>25894</v>
      </c>
      <c r="F10093" t="s">
        <v>29372</v>
      </c>
      <c r="G10093" t="s">
        <v>29380</v>
      </c>
      <c r="H10093" t="s">
        <v>11048</v>
      </c>
      <c r="I10093" t="s">
        <v>4709</v>
      </c>
      <c r="J10093" t="s">
        <v>35948</v>
      </c>
      <c r="K10093" t="s">
        <v>38490</v>
      </c>
      <c r="M10093" t="s">
        <v>39751</v>
      </c>
      <c r="N10093" t="s">
        <v>42669</v>
      </c>
      <c r="O10093" t="s">
        <v>42670</v>
      </c>
      <c r="P10093">
        <v>0</v>
      </c>
      <c r="Q10093">
        <v>1</v>
      </c>
      <c r="R10093" t="s">
        <v>42683</v>
      </c>
      <c r="S10093" t="s">
        <v>43062</v>
      </c>
      <c r="T10093" t="s">
        <v>44527</v>
      </c>
      <c r="U10093" t="s">
        <v>53064</v>
      </c>
      <c r="V10093" t="s">
        <v>57498</v>
      </c>
      <c r="W10093" t="s">
        <v>39751</v>
      </c>
      <c r="X10093" t="s">
        <v>42684</v>
      </c>
    </row>
    <row r="10094" spans="1:24">
      <c r="A10094">
        <f>HYPERLINK("https://www.philgeps.gov.ph/GEPSNONPILOT/Tender/SplashBidNoticeAbstractUI.aspx?menuIndex=3&amp;refID=7172554&amp;Result=3","7172554")</f>
        <v>0</v>
      </c>
      <c r="B10094" t="s">
        <v>1354</v>
      </c>
      <c r="C10094" t="s">
        <v>13163</v>
      </c>
      <c r="D10094" t="s">
        <v>17155</v>
      </c>
      <c r="E10094" t="s">
        <v>25895</v>
      </c>
      <c r="F10094" t="s">
        <v>29372</v>
      </c>
      <c r="G10094" t="s">
        <v>29380</v>
      </c>
      <c r="H10094" t="s">
        <v>11048</v>
      </c>
      <c r="I10094" t="s">
        <v>29488</v>
      </c>
      <c r="J10094" t="s">
        <v>35932</v>
      </c>
      <c r="K10094" t="s">
        <v>38664</v>
      </c>
      <c r="M10094" t="s">
        <v>40191</v>
      </c>
      <c r="N10094" t="s">
        <v>42669</v>
      </c>
      <c r="O10094" t="s">
        <v>42670</v>
      </c>
      <c r="Q10094">
        <v>0</v>
      </c>
      <c r="R10094" t="s">
        <v>42683</v>
      </c>
      <c r="S10094" t="s">
        <v>43128</v>
      </c>
      <c r="T10094" t="s">
        <v>44488</v>
      </c>
      <c r="U10094" t="s">
        <v>53044</v>
      </c>
      <c r="V10094" t="s">
        <v>57499</v>
      </c>
      <c r="W10094" t="s">
        <v>40191</v>
      </c>
      <c r="X10094" t="s">
        <v>42684</v>
      </c>
    </row>
    <row r="10095" spans="1:24">
      <c r="A10095">
        <f>HYPERLINK("https://www.philgeps.gov.ph/GEPSNONPILOT/Tender/SplashBidNoticeAbstractUI.aspx?menuIndex=3&amp;refID=7172544&amp;Result=3","7172544")</f>
        <v>0</v>
      </c>
      <c r="B10095" t="s">
        <v>2953</v>
      </c>
      <c r="C10095" t="s">
        <v>13164</v>
      </c>
      <c r="D10095" t="s">
        <v>17212</v>
      </c>
      <c r="E10095" t="s">
        <v>25896</v>
      </c>
      <c r="F10095" t="s">
        <v>29372</v>
      </c>
      <c r="G10095" t="s">
        <v>29382</v>
      </c>
      <c r="H10095" t="s">
        <v>11048</v>
      </c>
      <c r="I10095" t="s">
        <v>29458</v>
      </c>
      <c r="J10095" t="s">
        <v>29532</v>
      </c>
      <c r="K10095" t="s">
        <v>38530</v>
      </c>
      <c r="M10095" t="s">
        <v>41959</v>
      </c>
      <c r="N10095" t="s">
        <v>42669</v>
      </c>
      <c r="O10095" t="s">
        <v>42670</v>
      </c>
      <c r="P10095">
        <v>0</v>
      </c>
      <c r="Q10095">
        <v>9</v>
      </c>
      <c r="R10095" t="s">
        <v>42683</v>
      </c>
      <c r="S10095" t="s">
        <v>43062</v>
      </c>
      <c r="T10095" t="s">
        <v>44403</v>
      </c>
      <c r="U10095" t="s">
        <v>53065</v>
      </c>
      <c r="W10095" t="s">
        <v>41959</v>
      </c>
      <c r="X10095" t="s">
        <v>42684</v>
      </c>
    </row>
    <row r="10096" spans="1:24">
      <c r="A10096">
        <f>HYPERLINK("https://www.philgeps.gov.ph/GEPSNONPILOT/Tender/SplashBidNoticeAbstractUI.aspx?menuIndex=3&amp;refID=7172369&amp;Result=3","7172369")</f>
        <v>0</v>
      </c>
      <c r="B10096" t="s">
        <v>660</v>
      </c>
      <c r="C10096" t="s">
        <v>13165</v>
      </c>
      <c r="E10096" t="s">
        <v>25897</v>
      </c>
      <c r="F10096" t="s">
        <v>29372</v>
      </c>
      <c r="G10096" t="s">
        <v>29380</v>
      </c>
      <c r="H10096" t="s">
        <v>11048</v>
      </c>
      <c r="I10096" t="s">
        <v>3860</v>
      </c>
      <c r="J10096" t="s">
        <v>35949</v>
      </c>
      <c r="K10096" t="s">
        <v>38490</v>
      </c>
      <c r="M10096" t="s">
        <v>41946</v>
      </c>
      <c r="N10096" t="s">
        <v>42669</v>
      </c>
      <c r="O10096" t="s">
        <v>42670</v>
      </c>
      <c r="P10096">
        <v>0</v>
      </c>
      <c r="Q10096">
        <v>1</v>
      </c>
      <c r="R10096" t="s">
        <v>42683</v>
      </c>
      <c r="S10096" t="s">
        <v>43062</v>
      </c>
      <c r="T10096" t="s">
        <v>44396</v>
      </c>
      <c r="U10096" t="s">
        <v>53066</v>
      </c>
      <c r="W10096" t="s">
        <v>41946</v>
      </c>
      <c r="X10096" t="s">
        <v>42684</v>
      </c>
    </row>
    <row r="10097" spans="1:24">
      <c r="A10097">
        <f>HYPERLINK("https://www.philgeps.gov.ph/GEPSNONPILOT/Tender/SplashBidNoticeAbstractUI.aspx?menuIndex=3&amp;refID=7172543&amp;Result=3","7172543")</f>
        <v>0</v>
      </c>
      <c r="B10097" t="s">
        <v>2943</v>
      </c>
      <c r="C10097" t="s">
        <v>13166</v>
      </c>
      <c r="D10097" t="s">
        <v>17141</v>
      </c>
      <c r="E10097" t="s">
        <v>25898</v>
      </c>
      <c r="F10097" t="s">
        <v>29372</v>
      </c>
      <c r="G10097" t="s">
        <v>29380</v>
      </c>
      <c r="H10097" t="s">
        <v>11048</v>
      </c>
      <c r="I10097" t="s">
        <v>5383</v>
      </c>
      <c r="J10097" t="s">
        <v>29587</v>
      </c>
      <c r="K10097" t="s">
        <v>38491</v>
      </c>
      <c r="M10097" t="s">
        <v>41956</v>
      </c>
      <c r="N10097" t="s">
        <v>42669</v>
      </c>
      <c r="O10097" t="s">
        <v>42670</v>
      </c>
      <c r="P10097">
        <v>0</v>
      </c>
      <c r="Q10097">
        <v>0</v>
      </c>
      <c r="R10097" t="s">
        <v>42683</v>
      </c>
      <c r="S10097" t="s">
        <v>43062</v>
      </c>
      <c r="T10097" t="s">
        <v>44432</v>
      </c>
      <c r="U10097" t="s">
        <v>52966</v>
      </c>
      <c r="W10097" t="s">
        <v>41956</v>
      </c>
      <c r="X10097" t="s">
        <v>42684</v>
      </c>
    </row>
    <row r="10098" spans="1:24">
      <c r="A10098">
        <f>HYPERLINK("https://www.philgeps.gov.ph/GEPSNONPILOT/Tender/SplashBidNoticeAbstractUI.aspx?menuIndex=3&amp;refID=7172653&amp;Result=3","7172653")</f>
        <v>0</v>
      </c>
      <c r="B10098" t="s">
        <v>654</v>
      </c>
      <c r="C10098" t="s">
        <v>13167</v>
      </c>
      <c r="D10098" t="s">
        <v>17170</v>
      </c>
      <c r="E10098" t="s">
        <v>25892</v>
      </c>
      <c r="F10098" t="s">
        <v>29372</v>
      </c>
      <c r="G10098" t="s">
        <v>29380</v>
      </c>
      <c r="H10098" t="s">
        <v>29389</v>
      </c>
      <c r="I10098" t="s">
        <v>10408</v>
      </c>
      <c r="J10098" t="s">
        <v>35947</v>
      </c>
      <c r="K10098" t="s">
        <v>38556</v>
      </c>
      <c r="M10098" t="s">
        <v>39428</v>
      </c>
      <c r="N10098" t="s">
        <v>42669</v>
      </c>
      <c r="O10098" t="s">
        <v>42670</v>
      </c>
      <c r="P10098">
        <v>0</v>
      </c>
      <c r="Q10098">
        <v>1</v>
      </c>
      <c r="R10098" t="s">
        <v>42683</v>
      </c>
      <c r="S10098" t="s">
        <v>43062</v>
      </c>
      <c r="T10098" t="s">
        <v>44776</v>
      </c>
      <c r="U10098" t="s">
        <v>46217</v>
      </c>
      <c r="V10098" t="s">
        <v>56527</v>
      </c>
      <c r="W10098" t="s">
        <v>39428</v>
      </c>
      <c r="X10098" t="s">
        <v>42684</v>
      </c>
    </row>
    <row r="10099" spans="1:24">
      <c r="A10099">
        <f>HYPERLINK("https://www.philgeps.gov.ph/GEPSNONPILOT/Tender/SplashBidNoticeAbstractUI.aspx?menuIndex=3&amp;refID=7172525&amp;Result=3","7172525")</f>
        <v>0</v>
      </c>
      <c r="B10099" t="s">
        <v>2943</v>
      </c>
      <c r="C10099" t="s">
        <v>13168</v>
      </c>
      <c r="D10099" t="s">
        <v>17141</v>
      </c>
      <c r="E10099" t="s">
        <v>25899</v>
      </c>
      <c r="F10099" t="s">
        <v>29372</v>
      </c>
      <c r="G10099" t="s">
        <v>29380</v>
      </c>
      <c r="H10099" t="s">
        <v>11048</v>
      </c>
      <c r="I10099" t="s">
        <v>3670</v>
      </c>
      <c r="J10099" t="s">
        <v>35950</v>
      </c>
      <c r="K10099" t="s">
        <v>38491</v>
      </c>
      <c r="M10099" t="s">
        <v>41956</v>
      </c>
      <c r="N10099" t="s">
        <v>42669</v>
      </c>
      <c r="O10099" t="s">
        <v>42670</v>
      </c>
      <c r="P10099">
        <v>0</v>
      </c>
      <c r="Q10099">
        <v>0</v>
      </c>
      <c r="R10099" t="s">
        <v>42683</v>
      </c>
      <c r="S10099" t="s">
        <v>43062</v>
      </c>
      <c r="T10099" t="s">
        <v>44432</v>
      </c>
      <c r="U10099" t="s">
        <v>52970</v>
      </c>
      <c r="W10099" t="s">
        <v>41956</v>
      </c>
      <c r="X10099" t="s">
        <v>42684</v>
      </c>
    </row>
    <row r="10100" spans="1:24">
      <c r="A10100">
        <f>HYPERLINK("https://www.philgeps.gov.ph/GEPSNONPILOT/Tender/SplashBidNoticeAbstractUI.aspx?menuIndex=3&amp;refID=7172563&amp;Result=3","7172563")</f>
        <v>0</v>
      </c>
      <c r="B10100" t="s">
        <v>694</v>
      </c>
      <c r="C10100" t="s">
        <v>13169</v>
      </c>
      <c r="D10100" t="s">
        <v>17205</v>
      </c>
      <c r="E10100" t="s">
        <v>25900</v>
      </c>
      <c r="F10100" t="s">
        <v>29372</v>
      </c>
      <c r="G10100" t="s">
        <v>29380</v>
      </c>
      <c r="H10100" t="s">
        <v>11048</v>
      </c>
      <c r="I10100" t="s">
        <v>9469</v>
      </c>
      <c r="J10100" t="s">
        <v>35951</v>
      </c>
      <c r="K10100" t="s">
        <v>38485</v>
      </c>
      <c r="M10100" t="s">
        <v>41960</v>
      </c>
      <c r="N10100" t="s">
        <v>42669</v>
      </c>
      <c r="O10100" t="s">
        <v>42670</v>
      </c>
      <c r="P10100">
        <v>0</v>
      </c>
      <c r="Q10100">
        <v>8</v>
      </c>
      <c r="R10100" t="s">
        <v>42683</v>
      </c>
      <c r="S10100" t="s">
        <v>43062</v>
      </c>
      <c r="T10100" t="s">
        <v>44412</v>
      </c>
      <c r="U10100" t="s">
        <v>53067</v>
      </c>
      <c r="W10100" t="s">
        <v>41960</v>
      </c>
      <c r="X10100" t="s">
        <v>42684</v>
      </c>
    </row>
    <row r="10101" spans="1:24">
      <c r="A10101">
        <f>HYPERLINK("https://www.philgeps.gov.ph/GEPSNONPILOT/Tender/SplashBidNoticeAbstractUI.aspx?menuIndex=3&amp;refID=7172561&amp;Result=3","7172561")</f>
        <v>0</v>
      </c>
      <c r="B10101" t="s">
        <v>669</v>
      </c>
      <c r="C10101" t="s">
        <v>13170</v>
      </c>
      <c r="D10101" t="s">
        <v>17147</v>
      </c>
      <c r="E10101" t="s">
        <v>25901</v>
      </c>
      <c r="F10101" t="s">
        <v>29372</v>
      </c>
      <c r="G10101" t="s">
        <v>29380</v>
      </c>
      <c r="H10101" t="s">
        <v>29389</v>
      </c>
      <c r="I10101" t="s">
        <v>10408</v>
      </c>
      <c r="J10101" t="s">
        <v>35952</v>
      </c>
      <c r="K10101" t="s">
        <v>38509</v>
      </c>
      <c r="M10101" t="s">
        <v>41046</v>
      </c>
      <c r="N10101" t="s">
        <v>42669</v>
      </c>
      <c r="O10101" t="s">
        <v>42670</v>
      </c>
      <c r="P10101">
        <v>0</v>
      </c>
      <c r="Q10101">
        <v>0</v>
      </c>
      <c r="R10101" t="s">
        <v>42683</v>
      </c>
      <c r="S10101" t="s">
        <v>43062</v>
      </c>
      <c r="T10101" t="s">
        <v>44412</v>
      </c>
      <c r="U10101" t="s">
        <v>53068</v>
      </c>
      <c r="V10101" t="s">
        <v>57500</v>
      </c>
      <c r="W10101" t="s">
        <v>41046</v>
      </c>
      <c r="X10101" t="s">
        <v>42684</v>
      </c>
    </row>
    <row r="10102" spans="1:24">
      <c r="A10102">
        <f>HYPERLINK("https://www.philgeps.gov.ph/GEPSNONPILOT/Tender/SplashBidNoticeAbstractUI.aspx?menuIndex=3&amp;refID=7172646&amp;Result=3","7172646")</f>
        <v>0</v>
      </c>
      <c r="B10102" t="s">
        <v>476</v>
      </c>
      <c r="C10102" t="s">
        <v>13171</v>
      </c>
      <c r="E10102" t="s">
        <v>25902</v>
      </c>
      <c r="F10102" t="s">
        <v>29372</v>
      </c>
      <c r="G10102" t="s">
        <v>29380</v>
      </c>
      <c r="H10102" t="s">
        <v>11048</v>
      </c>
      <c r="I10102" t="s">
        <v>3839</v>
      </c>
      <c r="J10102" t="s">
        <v>29571</v>
      </c>
      <c r="K10102" t="s">
        <v>38490</v>
      </c>
      <c r="M10102" t="s">
        <v>39241</v>
      </c>
      <c r="N10102" t="s">
        <v>42669</v>
      </c>
      <c r="O10102" t="s">
        <v>42670</v>
      </c>
      <c r="Q10102">
        <v>0</v>
      </c>
      <c r="R10102" t="s">
        <v>42683</v>
      </c>
      <c r="S10102" t="s">
        <v>43129</v>
      </c>
      <c r="T10102" t="s">
        <v>44488</v>
      </c>
      <c r="U10102" t="s">
        <v>52462</v>
      </c>
      <c r="W10102" t="s">
        <v>39241</v>
      </c>
      <c r="X10102" t="s">
        <v>42684</v>
      </c>
    </row>
    <row r="10103" spans="1:24">
      <c r="A10103">
        <f>HYPERLINK("https://www.philgeps.gov.ph/GEPSNONPILOT/Tender/SplashBidNoticeAbstractUI.aspx?menuIndex=3&amp;refID=7172649&amp;Result=3","7172649")</f>
        <v>0</v>
      </c>
      <c r="B10103" t="s">
        <v>2950</v>
      </c>
      <c r="C10103" t="s">
        <v>13172</v>
      </c>
      <c r="D10103" t="s">
        <v>17151</v>
      </c>
      <c r="E10103" t="s">
        <v>25903</v>
      </c>
      <c r="F10103" t="s">
        <v>29372</v>
      </c>
      <c r="G10103" t="s">
        <v>29380</v>
      </c>
      <c r="H10103" t="s">
        <v>11048</v>
      </c>
      <c r="I10103" t="s">
        <v>4709</v>
      </c>
      <c r="J10103" t="s">
        <v>35953</v>
      </c>
      <c r="K10103" t="s">
        <v>38485</v>
      </c>
      <c r="M10103" t="s">
        <v>41955</v>
      </c>
      <c r="N10103" t="s">
        <v>42669</v>
      </c>
      <c r="O10103" t="s">
        <v>42670</v>
      </c>
      <c r="P10103">
        <v>0</v>
      </c>
      <c r="Q10103">
        <v>0</v>
      </c>
      <c r="R10103" t="s">
        <v>42683</v>
      </c>
      <c r="S10103" t="s">
        <v>43062</v>
      </c>
      <c r="T10103" t="s">
        <v>44398</v>
      </c>
      <c r="U10103" t="s">
        <v>53069</v>
      </c>
      <c r="W10103" t="s">
        <v>41955</v>
      </c>
      <c r="X10103" t="s">
        <v>42684</v>
      </c>
    </row>
    <row r="10104" spans="1:24">
      <c r="A10104">
        <f>HYPERLINK("https://www.philgeps.gov.ph/GEPSNONPILOT/Tender/SplashBidNoticeAbstractUI.aspx?menuIndex=3&amp;refID=7172640&amp;Result=3","7172640")</f>
        <v>0</v>
      </c>
      <c r="B10104" t="s">
        <v>170</v>
      </c>
      <c r="C10104" t="s">
        <v>13173</v>
      </c>
      <c r="D10104" t="s">
        <v>17195</v>
      </c>
      <c r="E10104" t="s">
        <v>25904</v>
      </c>
      <c r="F10104" t="s">
        <v>29372</v>
      </c>
      <c r="G10104" t="s">
        <v>29379</v>
      </c>
      <c r="H10104" t="s">
        <v>11048</v>
      </c>
      <c r="I10104" t="s">
        <v>5383</v>
      </c>
      <c r="J10104" t="s">
        <v>35954</v>
      </c>
      <c r="K10104" t="s">
        <v>38495</v>
      </c>
      <c r="M10104" t="s">
        <v>38927</v>
      </c>
      <c r="N10104" t="s">
        <v>42669</v>
      </c>
      <c r="O10104" t="s">
        <v>42670</v>
      </c>
      <c r="P10104">
        <v>0</v>
      </c>
      <c r="Q10104">
        <v>0</v>
      </c>
      <c r="R10104" t="s">
        <v>42683</v>
      </c>
      <c r="S10104" t="s">
        <v>43062</v>
      </c>
      <c r="T10104" t="s">
        <v>44401</v>
      </c>
      <c r="U10104" t="s">
        <v>47920</v>
      </c>
      <c r="W10104" t="s">
        <v>38927</v>
      </c>
      <c r="X10104" t="s">
        <v>42684</v>
      </c>
    </row>
    <row r="10105" spans="1:24">
      <c r="A10105">
        <f>HYPERLINK("https://www.philgeps.gov.ph/GEPSNONPILOT/Tender/SplashBidNoticeAbstractUI.aspx?menuIndex=3&amp;refID=7172634&amp;Result=3","7172634")</f>
        <v>0</v>
      </c>
      <c r="B10105" t="s">
        <v>909</v>
      </c>
      <c r="C10105" t="s">
        <v>13174</v>
      </c>
      <c r="D10105" t="s">
        <v>17202</v>
      </c>
      <c r="E10105" t="s">
        <v>25905</v>
      </c>
      <c r="F10105" t="s">
        <v>29372</v>
      </c>
      <c r="G10105" t="s">
        <v>29380</v>
      </c>
      <c r="H10105" t="s">
        <v>11048</v>
      </c>
      <c r="I10105" t="s">
        <v>4709</v>
      </c>
      <c r="J10105" t="s">
        <v>35955</v>
      </c>
      <c r="K10105" t="s">
        <v>38485</v>
      </c>
      <c r="M10105" t="s">
        <v>39702</v>
      </c>
      <c r="N10105" t="s">
        <v>42669</v>
      </c>
      <c r="O10105" t="s">
        <v>42670</v>
      </c>
      <c r="P10105">
        <v>0</v>
      </c>
      <c r="Q10105">
        <v>0</v>
      </c>
      <c r="R10105" t="s">
        <v>42683</v>
      </c>
      <c r="S10105" t="s">
        <v>43062</v>
      </c>
      <c r="T10105" t="s">
        <v>44399</v>
      </c>
      <c r="U10105" t="s">
        <v>53070</v>
      </c>
      <c r="V10105" t="s">
        <v>57501</v>
      </c>
      <c r="W10105" t="s">
        <v>39702</v>
      </c>
      <c r="X10105" t="s">
        <v>42684</v>
      </c>
    </row>
    <row r="10106" spans="1:24">
      <c r="A10106">
        <f>HYPERLINK("https://www.philgeps.gov.ph/GEPSNONPILOT/Tender/SplashBidNoticeAbstractUI.aspx?menuIndex=3&amp;refID=7172651&amp;Result=3","7172651")</f>
        <v>0</v>
      </c>
      <c r="B10106" t="s">
        <v>2954</v>
      </c>
      <c r="C10106" t="s">
        <v>13175</v>
      </c>
      <c r="D10106" t="s">
        <v>17186</v>
      </c>
      <c r="E10106" t="s">
        <v>25906</v>
      </c>
      <c r="F10106" t="s">
        <v>29372</v>
      </c>
      <c r="G10106" t="s">
        <v>29380</v>
      </c>
      <c r="H10106" t="s">
        <v>11048</v>
      </c>
      <c r="I10106" t="s">
        <v>29395</v>
      </c>
      <c r="J10106" t="s">
        <v>35956</v>
      </c>
      <c r="K10106" t="s">
        <v>38490</v>
      </c>
      <c r="M10106" t="s">
        <v>41961</v>
      </c>
      <c r="N10106" t="s">
        <v>42669</v>
      </c>
      <c r="O10106" t="s">
        <v>42670</v>
      </c>
      <c r="P10106">
        <v>0</v>
      </c>
      <c r="Q10106">
        <v>1</v>
      </c>
      <c r="R10106" t="s">
        <v>42683</v>
      </c>
      <c r="S10106" t="s">
        <v>43062</v>
      </c>
      <c r="T10106" t="s">
        <v>44527</v>
      </c>
      <c r="U10106" t="s">
        <v>53071</v>
      </c>
      <c r="W10106" t="s">
        <v>41961</v>
      </c>
      <c r="X10106" t="s">
        <v>42684</v>
      </c>
    </row>
    <row r="10107" spans="1:24">
      <c r="A10107">
        <f>HYPERLINK("https://www.philgeps.gov.ph/GEPSNONPILOT/Tender/SplashBidNoticeAbstractUI.aspx?menuIndex=3&amp;refID=7172648&amp;Result=3","7172648")</f>
        <v>0</v>
      </c>
      <c r="B10107" t="s">
        <v>1354</v>
      </c>
      <c r="C10107" t="s">
        <v>13176</v>
      </c>
      <c r="D10107" t="s">
        <v>17155</v>
      </c>
      <c r="E10107" t="s">
        <v>25907</v>
      </c>
      <c r="F10107" t="s">
        <v>29372</v>
      </c>
      <c r="G10107" t="s">
        <v>29380</v>
      </c>
      <c r="H10107" t="s">
        <v>11048</v>
      </c>
      <c r="I10107" t="s">
        <v>29488</v>
      </c>
      <c r="J10107" t="s">
        <v>35957</v>
      </c>
      <c r="K10107" t="s">
        <v>38510</v>
      </c>
      <c r="M10107" t="s">
        <v>40191</v>
      </c>
      <c r="N10107" t="s">
        <v>42669</v>
      </c>
      <c r="O10107" t="s">
        <v>42670</v>
      </c>
      <c r="Q10107">
        <v>0</v>
      </c>
      <c r="R10107" t="s">
        <v>42683</v>
      </c>
      <c r="S10107" t="s">
        <v>43130</v>
      </c>
      <c r="T10107" t="s">
        <v>44488</v>
      </c>
      <c r="U10107" t="s">
        <v>53044</v>
      </c>
      <c r="V10107" t="s">
        <v>57502</v>
      </c>
      <c r="W10107" t="s">
        <v>40191</v>
      </c>
      <c r="X10107" t="s">
        <v>42684</v>
      </c>
    </row>
    <row r="10108" spans="1:24">
      <c r="A10108">
        <f>HYPERLINK("https://www.philgeps.gov.ph/GEPSNONPILOT/Tender/SplashBidNoticeAbstractUI.aspx?menuIndex=3&amp;refID=7172626&amp;Result=3","7172626")</f>
        <v>0</v>
      </c>
      <c r="B10108" t="s">
        <v>455</v>
      </c>
      <c r="C10108" t="s">
        <v>13177</v>
      </c>
      <c r="D10108" t="s">
        <v>17157</v>
      </c>
      <c r="E10108" t="s">
        <v>25908</v>
      </c>
      <c r="F10108" t="s">
        <v>29372</v>
      </c>
      <c r="G10108" t="s">
        <v>29380</v>
      </c>
      <c r="H10108" t="s">
        <v>11048</v>
      </c>
      <c r="I10108" t="s">
        <v>9469</v>
      </c>
      <c r="J10108" t="s">
        <v>32024</v>
      </c>
      <c r="K10108" t="s">
        <v>38485</v>
      </c>
      <c r="M10108" t="s">
        <v>39219</v>
      </c>
      <c r="N10108" t="s">
        <v>42669</v>
      </c>
      <c r="O10108" t="s">
        <v>42670</v>
      </c>
      <c r="P10108">
        <v>0</v>
      </c>
      <c r="Q10108">
        <v>8</v>
      </c>
      <c r="R10108" t="s">
        <v>42683</v>
      </c>
      <c r="S10108" t="s">
        <v>43062</v>
      </c>
      <c r="T10108" t="s">
        <v>44453</v>
      </c>
      <c r="U10108" t="s">
        <v>53060</v>
      </c>
      <c r="V10108" t="s">
        <v>56471</v>
      </c>
      <c r="W10108" t="s">
        <v>39219</v>
      </c>
      <c r="X10108" t="s">
        <v>42684</v>
      </c>
    </row>
    <row r="10109" spans="1:24">
      <c r="A10109">
        <f>HYPERLINK("https://www.philgeps.gov.ph/GEPSNONPILOT/Tender/SplashBidNoticeAbstractUI.aspx?menuIndex=3&amp;refID=7172644&amp;Result=3","7172644")</f>
        <v>0</v>
      </c>
      <c r="B10109" t="s">
        <v>2955</v>
      </c>
      <c r="C10109" t="s">
        <v>13178</v>
      </c>
      <c r="D10109" t="s">
        <v>17193</v>
      </c>
      <c r="E10109" t="s">
        <v>25909</v>
      </c>
      <c r="F10109" t="s">
        <v>29372</v>
      </c>
      <c r="G10109" t="s">
        <v>29380</v>
      </c>
      <c r="H10109" t="s">
        <v>11048</v>
      </c>
      <c r="I10109" t="s">
        <v>9469</v>
      </c>
      <c r="J10109" t="s">
        <v>30161</v>
      </c>
      <c r="K10109" t="s">
        <v>38487</v>
      </c>
      <c r="M10109" t="s">
        <v>41962</v>
      </c>
      <c r="N10109" t="s">
        <v>42669</v>
      </c>
      <c r="O10109" t="s">
        <v>42670</v>
      </c>
      <c r="P10109">
        <v>0</v>
      </c>
      <c r="Q10109">
        <v>6</v>
      </c>
      <c r="R10109" t="s">
        <v>42683</v>
      </c>
      <c r="S10109" t="s">
        <v>43062</v>
      </c>
      <c r="T10109" t="s">
        <v>44777</v>
      </c>
      <c r="U10109" t="s">
        <v>53072</v>
      </c>
      <c r="W10109" t="s">
        <v>41962</v>
      </c>
      <c r="X10109" t="s">
        <v>42684</v>
      </c>
    </row>
    <row r="10110" spans="1:24">
      <c r="A10110">
        <f>HYPERLINK("https://www.philgeps.gov.ph/GEPSNONPILOT/Tender/SplashBidNoticeAbstractUI.aspx?menuIndex=3&amp;refID=7172570&amp;Result=3","7172570")</f>
        <v>0</v>
      </c>
      <c r="B10110" t="s">
        <v>2956</v>
      </c>
      <c r="C10110" t="s">
        <v>13179</v>
      </c>
      <c r="D10110" t="s">
        <v>17169</v>
      </c>
      <c r="E10110" t="s">
        <v>25910</v>
      </c>
      <c r="F10110" t="s">
        <v>29372</v>
      </c>
      <c r="G10110" t="s">
        <v>29380</v>
      </c>
      <c r="H10110" t="s">
        <v>29389</v>
      </c>
      <c r="I10110" t="s">
        <v>10408</v>
      </c>
      <c r="J10110" t="s">
        <v>35958</v>
      </c>
      <c r="K10110" t="s">
        <v>38490</v>
      </c>
      <c r="M10110" t="s">
        <v>41963</v>
      </c>
      <c r="N10110" t="s">
        <v>42669</v>
      </c>
      <c r="O10110" t="s">
        <v>42670</v>
      </c>
      <c r="P10110">
        <v>0</v>
      </c>
      <c r="Q10110">
        <v>2</v>
      </c>
      <c r="R10110" t="s">
        <v>42683</v>
      </c>
      <c r="S10110" t="s">
        <v>43062</v>
      </c>
      <c r="T10110" t="s">
        <v>44431</v>
      </c>
      <c r="U10110" t="s">
        <v>53073</v>
      </c>
      <c r="W10110" t="s">
        <v>41963</v>
      </c>
      <c r="X10110" t="s">
        <v>42684</v>
      </c>
    </row>
    <row r="10111" spans="1:24">
      <c r="A10111">
        <f>HYPERLINK("https://www.philgeps.gov.ph/GEPSNONPILOT/Tender/SplashBidNoticeAbstractUI.aspx?menuIndex=3&amp;refID=7172625&amp;Result=3","7172625")</f>
        <v>0</v>
      </c>
      <c r="B10111" t="s">
        <v>1354</v>
      </c>
      <c r="C10111" t="s">
        <v>13180</v>
      </c>
      <c r="D10111" t="s">
        <v>17155</v>
      </c>
      <c r="E10111" t="s">
        <v>25911</v>
      </c>
      <c r="F10111" t="s">
        <v>29372</v>
      </c>
      <c r="G10111" t="s">
        <v>29380</v>
      </c>
      <c r="H10111" t="s">
        <v>11048</v>
      </c>
      <c r="I10111" t="s">
        <v>29488</v>
      </c>
      <c r="J10111" t="s">
        <v>35959</v>
      </c>
      <c r="K10111" t="s">
        <v>38513</v>
      </c>
      <c r="M10111" t="s">
        <v>40191</v>
      </c>
      <c r="N10111" t="s">
        <v>42669</v>
      </c>
      <c r="O10111" t="s">
        <v>42670</v>
      </c>
      <c r="Q10111">
        <v>0</v>
      </c>
      <c r="R10111" t="s">
        <v>42683</v>
      </c>
      <c r="S10111" t="s">
        <v>43131</v>
      </c>
      <c r="T10111" t="s">
        <v>44488</v>
      </c>
      <c r="U10111" t="s">
        <v>53044</v>
      </c>
      <c r="V10111" t="s">
        <v>57503</v>
      </c>
      <c r="W10111" t="s">
        <v>40191</v>
      </c>
      <c r="X10111" t="s">
        <v>42684</v>
      </c>
    </row>
    <row r="10112" spans="1:24">
      <c r="A10112">
        <f>HYPERLINK("https://www.philgeps.gov.ph/GEPSNONPILOT/Tender/SplashBidNoticeAbstractUI.aspx?menuIndex=3&amp;refID=7172623&amp;Result=3","7172623")</f>
        <v>0</v>
      </c>
      <c r="B10112" t="s">
        <v>669</v>
      </c>
      <c r="C10112" t="s">
        <v>13181</v>
      </c>
      <c r="D10112" t="s">
        <v>17147</v>
      </c>
      <c r="E10112" t="s">
        <v>25912</v>
      </c>
      <c r="F10112" t="s">
        <v>29372</v>
      </c>
      <c r="G10112" t="s">
        <v>29380</v>
      </c>
      <c r="H10112" t="s">
        <v>29389</v>
      </c>
      <c r="I10112" t="s">
        <v>10408</v>
      </c>
      <c r="J10112" t="s">
        <v>35960</v>
      </c>
      <c r="K10112" t="s">
        <v>38499</v>
      </c>
      <c r="M10112" t="s">
        <v>41046</v>
      </c>
      <c r="N10112" t="s">
        <v>42669</v>
      </c>
      <c r="O10112" t="s">
        <v>42670</v>
      </c>
      <c r="P10112">
        <v>0</v>
      </c>
      <c r="Q10112">
        <v>0</v>
      </c>
      <c r="R10112" t="s">
        <v>42683</v>
      </c>
      <c r="S10112" t="s">
        <v>43062</v>
      </c>
      <c r="T10112" t="s">
        <v>44412</v>
      </c>
      <c r="U10112" t="s">
        <v>53074</v>
      </c>
      <c r="V10112" t="s">
        <v>57504</v>
      </c>
      <c r="W10112" t="s">
        <v>41046</v>
      </c>
      <c r="X10112" t="s">
        <v>42684</v>
      </c>
    </row>
    <row r="10113" spans="1:24">
      <c r="A10113">
        <f>HYPERLINK("https://www.philgeps.gov.ph/GEPSNONPILOT/Tender/SplashBidNoticeAbstractUI.aspx?menuIndex=3&amp;refID=7172302&amp;Result=3","7172302")</f>
        <v>0</v>
      </c>
      <c r="B10113" t="s">
        <v>36</v>
      </c>
      <c r="C10113" t="s">
        <v>13182</v>
      </c>
      <c r="D10113" t="s">
        <v>17150</v>
      </c>
      <c r="E10113" t="s">
        <v>25913</v>
      </c>
      <c r="F10113" t="s">
        <v>29372</v>
      </c>
      <c r="G10113" t="s">
        <v>29383</v>
      </c>
      <c r="H10113" t="s">
        <v>11048</v>
      </c>
      <c r="I10113" t="s">
        <v>3695</v>
      </c>
      <c r="J10113" t="s">
        <v>35961</v>
      </c>
      <c r="K10113" t="s">
        <v>38488</v>
      </c>
      <c r="M10113" t="s">
        <v>38789</v>
      </c>
      <c r="N10113" t="s">
        <v>42669</v>
      </c>
      <c r="O10113" t="s">
        <v>42670</v>
      </c>
      <c r="P10113">
        <v>0</v>
      </c>
      <c r="Q10113">
        <v>2</v>
      </c>
      <c r="R10113" t="s">
        <v>42683</v>
      </c>
      <c r="S10113" t="s">
        <v>43062</v>
      </c>
      <c r="T10113" t="s">
        <v>44560</v>
      </c>
      <c r="U10113" t="s">
        <v>53075</v>
      </c>
      <c r="V10113" t="s">
        <v>57505</v>
      </c>
      <c r="W10113" t="s">
        <v>38789</v>
      </c>
      <c r="X10113" t="s">
        <v>42684</v>
      </c>
    </row>
    <row r="10114" spans="1:24">
      <c r="A10114">
        <f>HYPERLINK("https://www.philgeps.gov.ph/GEPSNONPILOT/Tender/SplashBidNoticeAbstractUI.aspx?menuIndex=3&amp;refID=7172629&amp;Result=3","7172629")</f>
        <v>0</v>
      </c>
      <c r="B10114" t="s">
        <v>1695</v>
      </c>
      <c r="C10114" t="s">
        <v>13183</v>
      </c>
      <c r="D10114" t="s">
        <v>17187</v>
      </c>
      <c r="E10114" t="s">
        <v>25914</v>
      </c>
      <c r="F10114" t="s">
        <v>29372</v>
      </c>
      <c r="G10114" t="s">
        <v>29380</v>
      </c>
      <c r="H10114" t="s">
        <v>29389</v>
      </c>
      <c r="I10114" t="s">
        <v>10408</v>
      </c>
      <c r="J10114" t="s">
        <v>29590</v>
      </c>
      <c r="K10114" t="s">
        <v>38518</v>
      </c>
      <c r="M10114" t="s">
        <v>40557</v>
      </c>
      <c r="N10114" t="s">
        <v>42669</v>
      </c>
      <c r="O10114" t="s">
        <v>42670</v>
      </c>
      <c r="Q10114">
        <v>1</v>
      </c>
      <c r="R10114" t="s">
        <v>42683</v>
      </c>
      <c r="S10114" t="s">
        <v>43132</v>
      </c>
      <c r="T10114" t="s">
        <v>44485</v>
      </c>
      <c r="U10114" t="s">
        <v>48669</v>
      </c>
      <c r="W10114" t="s">
        <v>40557</v>
      </c>
      <c r="X10114" t="s">
        <v>42684</v>
      </c>
    </row>
    <row r="10115" spans="1:24">
      <c r="A10115">
        <f>HYPERLINK("https://www.philgeps.gov.ph/GEPSNONPILOT/Tender/SplashBidNoticeAbstractUI.aspx?menuIndex=3&amp;refID=7172550&amp;Result=3","7172550")</f>
        <v>0</v>
      </c>
      <c r="B10115" t="s">
        <v>2950</v>
      </c>
      <c r="C10115" t="s">
        <v>13184</v>
      </c>
      <c r="D10115" t="s">
        <v>17151</v>
      </c>
      <c r="E10115" t="s">
        <v>25915</v>
      </c>
      <c r="F10115" t="s">
        <v>29372</v>
      </c>
      <c r="G10115" t="s">
        <v>29380</v>
      </c>
      <c r="H10115" t="s">
        <v>11048</v>
      </c>
      <c r="I10115" t="s">
        <v>4709</v>
      </c>
      <c r="J10115" t="s">
        <v>35962</v>
      </c>
      <c r="K10115" t="s">
        <v>38485</v>
      </c>
      <c r="M10115" t="s">
        <v>41955</v>
      </c>
      <c r="N10115" t="s">
        <v>42669</v>
      </c>
      <c r="O10115" t="s">
        <v>42670</v>
      </c>
      <c r="P10115">
        <v>0</v>
      </c>
      <c r="Q10115">
        <v>0</v>
      </c>
      <c r="R10115" t="s">
        <v>42683</v>
      </c>
      <c r="S10115" t="s">
        <v>43062</v>
      </c>
      <c r="T10115" t="s">
        <v>44389</v>
      </c>
      <c r="U10115" t="s">
        <v>53076</v>
      </c>
      <c r="W10115" t="s">
        <v>41955</v>
      </c>
      <c r="X10115" t="s">
        <v>42684</v>
      </c>
    </row>
    <row r="10116" spans="1:24">
      <c r="A10116">
        <f>HYPERLINK("https://www.philgeps.gov.ph/GEPSNONPILOT/Tender/SplashBidNoticeAbstractUI.aspx?menuIndex=3&amp;refID=7172708&amp;Result=3","7172708")</f>
        <v>0</v>
      </c>
      <c r="B10116" t="s">
        <v>2943</v>
      </c>
      <c r="C10116" t="s">
        <v>13185</v>
      </c>
      <c r="D10116" t="s">
        <v>17141</v>
      </c>
      <c r="E10116" t="s">
        <v>25916</v>
      </c>
      <c r="F10116" t="s">
        <v>29372</v>
      </c>
      <c r="G10116" t="s">
        <v>29380</v>
      </c>
      <c r="H10116" t="s">
        <v>11048</v>
      </c>
      <c r="I10116" t="s">
        <v>29412</v>
      </c>
      <c r="J10116" t="s">
        <v>30302</v>
      </c>
      <c r="K10116" t="s">
        <v>38491</v>
      </c>
      <c r="M10116" t="s">
        <v>41956</v>
      </c>
      <c r="N10116" t="s">
        <v>42669</v>
      </c>
      <c r="O10116" t="s">
        <v>42670</v>
      </c>
      <c r="P10116">
        <v>0</v>
      </c>
      <c r="Q10116">
        <v>0</v>
      </c>
      <c r="R10116" t="s">
        <v>42683</v>
      </c>
      <c r="S10116" t="s">
        <v>43062</v>
      </c>
      <c r="T10116" t="s">
        <v>44432</v>
      </c>
      <c r="U10116" t="s">
        <v>53005</v>
      </c>
      <c r="W10116" t="s">
        <v>41956</v>
      </c>
      <c r="X10116" t="s">
        <v>42684</v>
      </c>
    </row>
    <row r="10117" spans="1:24">
      <c r="A10117">
        <f>HYPERLINK("https://www.philgeps.gov.ph/GEPSNONPILOT/Tender/SplashBidNoticeAbstractUI.aspx?menuIndex=3&amp;refID=7172706&amp;Result=3","7172706")</f>
        <v>0</v>
      </c>
      <c r="B10117" t="s">
        <v>476</v>
      </c>
      <c r="C10117" t="s">
        <v>13186</v>
      </c>
      <c r="E10117" t="s">
        <v>22449</v>
      </c>
      <c r="F10117" t="s">
        <v>29372</v>
      </c>
      <c r="G10117" t="s">
        <v>29380</v>
      </c>
      <c r="H10117" t="s">
        <v>11048</v>
      </c>
      <c r="I10117" t="s">
        <v>29394</v>
      </c>
      <c r="J10117" t="s">
        <v>32055</v>
      </c>
      <c r="K10117" t="s">
        <v>38490</v>
      </c>
      <c r="M10117" t="s">
        <v>39241</v>
      </c>
      <c r="N10117" t="s">
        <v>42669</v>
      </c>
      <c r="O10117" t="s">
        <v>42670</v>
      </c>
      <c r="Q10117">
        <v>0</v>
      </c>
      <c r="R10117" t="s">
        <v>42683</v>
      </c>
      <c r="S10117" t="s">
        <v>43133</v>
      </c>
      <c r="T10117" t="s">
        <v>44488</v>
      </c>
      <c r="U10117" t="s">
        <v>52462</v>
      </c>
      <c r="W10117" t="s">
        <v>39241</v>
      </c>
      <c r="X10117" t="s">
        <v>42684</v>
      </c>
    </row>
    <row r="10118" spans="1:24">
      <c r="A10118">
        <f>HYPERLINK("https://www.philgeps.gov.ph/GEPSNONPILOT/Tender/SplashBidNoticeAbstractUI.aspx?menuIndex=3&amp;refID=7172694&amp;Result=3","7172694")</f>
        <v>0</v>
      </c>
      <c r="B10118" t="s">
        <v>2950</v>
      </c>
      <c r="C10118" t="s">
        <v>13187</v>
      </c>
      <c r="D10118" t="s">
        <v>17151</v>
      </c>
      <c r="E10118" t="s">
        <v>25917</v>
      </c>
      <c r="F10118" t="s">
        <v>29372</v>
      </c>
      <c r="G10118" t="s">
        <v>29380</v>
      </c>
      <c r="H10118" t="s">
        <v>11048</v>
      </c>
      <c r="I10118" t="s">
        <v>4709</v>
      </c>
      <c r="J10118" t="s">
        <v>35963</v>
      </c>
      <c r="K10118" t="s">
        <v>38485</v>
      </c>
      <c r="M10118" t="s">
        <v>41955</v>
      </c>
      <c r="N10118" t="s">
        <v>42669</v>
      </c>
      <c r="O10118" t="s">
        <v>42670</v>
      </c>
      <c r="P10118">
        <v>0</v>
      </c>
      <c r="Q10118">
        <v>0</v>
      </c>
      <c r="R10118" t="s">
        <v>42683</v>
      </c>
      <c r="S10118" t="s">
        <v>43062</v>
      </c>
      <c r="T10118" t="s">
        <v>44398</v>
      </c>
      <c r="U10118" t="s">
        <v>53077</v>
      </c>
      <c r="W10118" t="s">
        <v>41955</v>
      </c>
      <c r="X10118" t="s">
        <v>42684</v>
      </c>
    </row>
    <row r="10119" spans="1:24">
      <c r="A10119">
        <f>HYPERLINK("https://www.philgeps.gov.ph/GEPSNONPILOT/Tender/SplashBidNoticeAbstractUI.aspx?menuIndex=3&amp;refID=7172699&amp;Result=3","7172699")</f>
        <v>0</v>
      </c>
      <c r="B10119" t="s">
        <v>955</v>
      </c>
      <c r="C10119" t="s">
        <v>13188</v>
      </c>
      <c r="E10119" t="s">
        <v>25918</v>
      </c>
      <c r="F10119" t="s">
        <v>29372</v>
      </c>
      <c r="G10119" t="s">
        <v>29380</v>
      </c>
      <c r="H10119" t="s">
        <v>11048</v>
      </c>
      <c r="I10119" t="s">
        <v>29414</v>
      </c>
      <c r="J10119" t="s">
        <v>35964</v>
      </c>
      <c r="K10119" t="s">
        <v>38490</v>
      </c>
      <c r="M10119" t="s">
        <v>39751</v>
      </c>
      <c r="N10119" t="s">
        <v>42669</v>
      </c>
      <c r="O10119" t="s">
        <v>42670</v>
      </c>
      <c r="P10119">
        <v>0</v>
      </c>
      <c r="Q10119">
        <v>4</v>
      </c>
      <c r="R10119" t="s">
        <v>42683</v>
      </c>
      <c r="S10119" t="s">
        <v>43062</v>
      </c>
      <c r="T10119" t="s">
        <v>44527</v>
      </c>
      <c r="U10119" t="s">
        <v>53078</v>
      </c>
      <c r="W10119" t="s">
        <v>39751</v>
      </c>
      <c r="X10119" t="s">
        <v>42684</v>
      </c>
    </row>
    <row r="10120" spans="1:24">
      <c r="A10120">
        <f>HYPERLINK("https://www.philgeps.gov.ph/GEPSNONPILOT/Tender/SplashBidNoticeAbstractUI.aspx?menuIndex=3&amp;refID=7172697&amp;Result=3","7172697")</f>
        <v>0</v>
      </c>
      <c r="B10120" t="s">
        <v>2957</v>
      </c>
      <c r="C10120" t="s">
        <v>13189</v>
      </c>
      <c r="D10120" t="s">
        <v>17175</v>
      </c>
      <c r="E10120" t="s">
        <v>25919</v>
      </c>
      <c r="F10120" t="s">
        <v>29372</v>
      </c>
      <c r="G10120" t="s">
        <v>29380</v>
      </c>
      <c r="H10120" t="s">
        <v>11048</v>
      </c>
      <c r="I10120" t="s">
        <v>4709</v>
      </c>
      <c r="J10120" t="s">
        <v>35965</v>
      </c>
      <c r="K10120" t="s">
        <v>38485</v>
      </c>
      <c r="M10120" t="s">
        <v>41964</v>
      </c>
      <c r="N10120" t="s">
        <v>42669</v>
      </c>
      <c r="O10120" t="s">
        <v>42670</v>
      </c>
      <c r="P10120">
        <v>0</v>
      </c>
      <c r="Q10120">
        <v>5</v>
      </c>
      <c r="R10120" t="s">
        <v>42683</v>
      </c>
      <c r="S10120" t="s">
        <v>43062</v>
      </c>
      <c r="T10120" t="s">
        <v>44527</v>
      </c>
      <c r="U10120" t="s">
        <v>53079</v>
      </c>
      <c r="V10120" t="s">
        <v>57506</v>
      </c>
      <c r="W10120" t="s">
        <v>41964</v>
      </c>
      <c r="X10120" t="s">
        <v>42684</v>
      </c>
    </row>
    <row r="10121" spans="1:24">
      <c r="A10121">
        <f>HYPERLINK("https://www.philgeps.gov.ph/GEPSNONPILOT/Tender/SplashBidNoticeAbstractUI.aspx?menuIndex=3&amp;refID=7172616&amp;Result=3","7172616")</f>
        <v>0</v>
      </c>
      <c r="B10121" t="s">
        <v>2943</v>
      </c>
      <c r="C10121" t="s">
        <v>13190</v>
      </c>
      <c r="D10121" t="s">
        <v>17141</v>
      </c>
      <c r="E10121" t="s">
        <v>25920</v>
      </c>
      <c r="F10121" t="s">
        <v>29372</v>
      </c>
      <c r="G10121" t="s">
        <v>29380</v>
      </c>
      <c r="H10121" t="s">
        <v>11048</v>
      </c>
      <c r="I10121" t="s">
        <v>5383</v>
      </c>
      <c r="J10121" t="s">
        <v>35966</v>
      </c>
      <c r="K10121" t="s">
        <v>38491</v>
      </c>
      <c r="M10121" t="s">
        <v>41956</v>
      </c>
      <c r="N10121" t="s">
        <v>42669</v>
      </c>
      <c r="O10121" t="s">
        <v>42670</v>
      </c>
      <c r="P10121">
        <v>0</v>
      </c>
      <c r="Q10121">
        <v>0</v>
      </c>
      <c r="R10121" t="s">
        <v>42683</v>
      </c>
      <c r="S10121" t="s">
        <v>43062</v>
      </c>
      <c r="T10121" t="s">
        <v>44432</v>
      </c>
      <c r="U10121" t="s">
        <v>52966</v>
      </c>
      <c r="W10121" t="s">
        <v>41956</v>
      </c>
      <c r="X10121" t="s">
        <v>42684</v>
      </c>
    </row>
    <row r="10122" spans="1:24">
      <c r="A10122">
        <f>HYPERLINK("https://www.philgeps.gov.ph/GEPSNONPILOT/Tender/SplashBidNoticeAbstractUI.aspx?menuIndex=3&amp;refID=7172677&amp;Result=3","7172677")</f>
        <v>0</v>
      </c>
      <c r="B10122" t="s">
        <v>2047</v>
      </c>
      <c r="C10122" t="s">
        <v>13191</v>
      </c>
      <c r="D10122" t="s">
        <v>17189</v>
      </c>
      <c r="E10122" t="s">
        <v>25921</v>
      </c>
      <c r="F10122" t="s">
        <v>29372</v>
      </c>
      <c r="G10122" t="s">
        <v>29380</v>
      </c>
      <c r="H10122" t="s">
        <v>11048</v>
      </c>
      <c r="I10122" t="s">
        <v>29494</v>
      </c>
      <c r="J10122" t="s">
        <v>35967</v>
      </c>
      <c r="K10122" t="s">
        <v>38485</v>
      </c>
      <c r="M10122" t="s">
        <v>41953</v>
      </c>
      <c r="N10122" t="s">
        <v>42669</v>
      </c>
      <c r="O10122" t="s">
        <v>42670</v>
      </c>
      <c r="P10122">
        <v>0</v>
      </c>
      <c r="Q10122">
        <v>7</v>
      </c>
      <c r="R10122" t="s">
        <v>42683</v>
      </c>
      <c r="S10122" t="s">
        <v>43062</v>
      </c>
      <c r="T10122" t="s">
        <v>44488</v>
      </c>
      <c r="U10122" t="s">
        <v>53037</v>
      </c>
      <c r="W10122" t="s">
        <v>41953</v>
      </c>
      <c r="X10122" t="s">
        <v>42684</v>
      </c>
    </row>
    <row r="10123" spans="1:24">
      <c r="A10123">
        <f>HYPERLINK("https://www.philgeps.gov.ph/GEPSNONPILOT/Tender/SplashBidNoticeAbstractUI.aspx?menuIndex=3&amp;refID=7172675&amp;Result=3","7172675")</f>
        <v>0</v>
      </c>
      <c r="B10123" t="s">
        <v>1678</v>
      </c>
      <c r="C10123" t="s">
        <v>13192</v>
      </c>
      <c r="D10123" t="s">
        <v>17174</v>
      </c>
      <c r="E10123" t="s">
        <v>21283</v>
      </c>
      <c r="F10123" t="s">
        <v>29372</v>
      </c>
      <c r="G10123" t="s">
        <v>29380</v>
      </c>
      <c r="H10123" t="s">
        <v>11048</v>
      </c>
      <c r="I10123" t="s">
        <v>4709</v>
      </c>
      <c r="J10123" t="s">
        <v>35968</v>
      </c>
      <c r="K10123" t="s">
        <v>38496</v>
      </c>
      <c r="M10123" t="s">
        <v>40538</v>
      </c>
      <c r="N10123" t="s">
        <v>42669</v>
      </c>
      <c r="O10123" t="s">
        <v>42670</v>
      </c>
      <c r="P10123">
        <v>0</v>
      </c>
      <c r="Q10123">
        <v>2</v>
      </c>
      <c r="R10123" t="s">
        <v>42683</v>
      </c>
      <c r="S10123" t="s">
        <v>43062</v>
      </c>
      <c r="T10123" t="s">
        <v>44371</v>
      </c>
      <c r="U10123" t="s">
        <v>53080</v>
      </c>
      <c r="W10123" t="s">
        <v>40538</v>
      </c>
      <c r="X10123" t="s">
        <v>42684</v>
      </c>
    </row>
    <row r="10124" spans="1:24">
      <c r="A10124">
        <f>HYPERLINK("https://www.philgeps.gov.ph/GEPSNONPILOT/Tender/SplashBidNoticeAbstractUI.aspx?menuIndex=3&amp;refID=7172692&amp;Result=3","7172692")</f>
        <v>0</v>
      </c>
      <c r="B10124" t="s">
        <v>2943</v>
      </c>
      <c r="C10124" t="s">
        <v>13193</v>
      </c>
      <c r="D10124" t="s">
        <v>17141</v>
      </c>
      <c r="E10124" t="s">
        <v>25922</v>
      </c>
      <c r="F10124" t="s">
        <v>29372</v>
      </c>
      <c r="G10124" t="s">
        <v>29380</v>
      </c>
      <c r="H10124" t="s">
        <v>11048</v>
      </c>
      <c r="I10124" t="s">
        <v>29412</v>
      </c>
      <c r="J10124" t="s">
        <v>29549</v>
      </c>
      <c r="K10124" t="s">
        <v>38491</v>
      </c>
      <c r="M10124" t="s">
        <v>41956</v>
      </c>
      <c r="N10124" t="s">
        <v>42669</v>
      </c>
      <c r="O10124" t="s">
        <v>42670</v>
      </c>
      <c r="P10124">
        <v>0</v>
      </c>
      <c r="Q10124">
        <v>0</v>
      </c>
      <c r="R10124" t="s">
        <v>42683</v>
      </c>
      <c r="S10124" t="s">
        <v>43062</v>
      </c>
      <c r="T10124" t="s">
        <v>44432</v>
      </c>
      <c r="U10124" t="s">
        <v>53005</v>
      </c>
      <c r="W10124" t="s">
        <v>41956</v>
      </c>
      <c r="X10124" t="s">
        <v>42684</v>
      </c>
    </row>
    <row r="10125" spans="1:24">
      <c r="A10125">
        <f>HYPERLINK("https://www.philgeps.gov.ph/GEPSNONPILOT/Tender/SplashBidNoticeAbstractUI.aspx?menuIndex=3&amp;refID=7172687&amp;Result=3","7172687")</f>
        <v>0</v>
      </c>
      <c r="B10125" t="s">
        <v>583</v>
      </c>
      <c r="C10125" t="s">
        <v>13194</v>
      </c>
      <c r="D10125" t="s">
        <v>17205</v>
      </c>
      <c r="E10125" t="s">
        <v>25923</v>
      </c>
      <c r="F10125" t="s">
        <v>29372</v>
      </c>
      <c r="G10125" t="s">
        <v>29380</v>
      </c>
      <c r="H10125" t="s">
        <v>11048</v>
      </c>
      <c r="I10125" t="s">
        <v>29415</v>
      </c>
      <c r="J10125" t="s">
        <v>35969</v>
      </c>
      <c r="K10125" t="s">
        <v>38496</v>
      </c>
      <c r="M10125" t="s">
        <v>41965</v>
      </c>
      <c r="N10125" t="s">
        <v>42669</v>
      </c>
      <c r="O10125" t="s">
        <v>42670</v>
      </c>
      <c r="P10125">
        <v>0</v>
      </c>
      <c r="Q10125">
        <v>2</v>
      </c>
      <c r="R10125" t="s">
        <v>42683</v>
      </c>
      <c r="S10125" t="s">
        <v>43062</v>
      </c>
      <c r="T10125" t="s">
        <v>44599</v>
      </c>
      <c r="U10125" t="s">
        <v>53081</v>
      </c>
      <c r="W10125" t="s">
        <v>41965</v>
      </c>
      <c r="X10125" t="s">
        <v>42684</v>
      </c>
    </row>
    <row r="10126" spans="1:24">
      <c r="A10126">
        <f>HYPERLINK("https://www.philgeps.gov.ph/GEPSNONPILOT/Tender/SplashBidNoticeAbstractUI.aspx?menuIndex=3&amp;refID=7172667&amp;Result=3","7172667")</f>
        <v>0</v>
      </c>
      <c r="B10126" t="s">
        <v>1279</v>
      </c>
      <c r="C10126" t="s">
        <v>6887</v>
      </c>
      <c r="D10126" t="s">
        <v>17141</v>
      </c>
      <c r="E10126" t="s">
        <v>18463</v>
      </c>
      <c r="F10126" t="s">
        <v>29372</v>
      </c>
      <c r="G10126" t="s">
        <v>29380</v>
      </c>
      <c r="H10126" t="s">
        <v>11048</v>
      </c>
      <c r="I10126" t="s">
        <v>8614</v>
      </c>
      <c r="J10126" t="s">
        <v>35970</v>
      </c>
      <c r="K10126" t="s">
        <v>38490</v>
      </c>
      <c r="M10126" t="s">
        <v>40107</v>
      </c>
      <c r="N10126" t="s">
        <v>42669</v>
      </c>
      <c r="O10126" t="s">
        <v>42670</v>
      </c>
      <c r="Q10126">
        <v>9</v>
      </c>
      <c r="R10126" t="s">
        <v>42683</v>
      </c>
      <c r="S10126" t="s">
        <v>43134</v>
      </c>
      <c r="T10126" t="s">
        <v>44543</v>
      </c>
      <c r="U10126" t="s">
        <v>53082</v>
      </c>
      <c r="W10126" t="s">
        <v>40107</v>
      </c>
      <c r="X10126" t="s">
        <v>42684</v>
      </c>
    </row>
    <row r="10127" spans="1:24">
      <c r="A10127">
        <f>HYPERLINK("https://www.philgeps.gov.ph/GEPSNONPILOT/Tender/SplashBidNoticeAbstractUI.aspx?menuIndex=3&amp;refID=7172665&amp;Result=3","7172665")</f>
        <v>0</v>
      </c>
      <c r="B10127" t="s">
        <v>1354</v>
      </c>
      <c r="C10127" t="s">
        <v>13195</v>
      </c>
      <c r="D10127" t="s">
        <v>17155</v>
      </c>
      <c r="E10127" t="s">
        <v>25924</v>
      </c>
      <c r="F10127" t="s">
        <v>29372</v>
      </c>
      <c r="G10127" t="s">
        <v>29380</v>
      </c>
      <c r="H10127" t="s">
        <v>11048</v>
      </c>
      <c r="I10127" t="s">
        <v>29488</v>
      </c>
      <c r="J10127" t="s">
        <v>35932</v>
      </c>
      <c r="K10127" t="s">
        <v>38664</v>
      </c>
      <c r="M10127" t="s">
        <v>40191</v>
      </c>
      <c r="N10127" t="s">
        <v>42669</v>
      </c>
      <c r="O10127" t="s">
        <v>42670</v>
      </c>
      <c r="Q10127">
        <v>1</v>
      </c>
      <c r="R10127" t="s">
        <v>42683</v>
      </c>
      <c r="S10127" t="s">
        <v>43130</v>
      </c>
      <c r="T10127" t="s">
        <v>44488</v>
      </c>
      <c r="U10127" t="s">
        <v>53044</v>
      </c>
      <c r="V10127" t="s">
        <v>57507</v>
      </c>
      <c r="W10127" t="s">
        <v>40191</v>
      </c>
      <c r="X10127" t="s">
        <v>42684</v>
      </c>
    </row>
    <row r="10128" spans="1:24">
      <c r="A10128">
        <f>HYPERLINK("https://www.philgeps.gov.ph/GEPSNONPILOT/Tender/SplashBidNoticeAbstractUI.aspx?menuIndex=3&amp;refID=7172671&amp;Result=3","7172671")</f>
        <v>0</v>
      </c>
      <c r="B10128" t="s">
        <v>1695</v>
      </c>
      <c r="C10128" t="s">
        <v>13196</v>
      </c>
      <c r="D10128" t="s">
        <v>17187</v>
      </c>
      <c r="E10128" t="s">
        <v>25925</v>
      </c>
      <c r="F10128" t="s">
        <v>29372</v>
      </c>
      <c r="G10128" t="s">
        <v>29380</v>
      </c>
      <c r="H10128" t="s">
        <v>29389</v>
      </c>
      <c r="I10128" t="s">
        <v>10408</v>
      </c>
      <c r="J10128" t="s">
        <v>29543</v>
      </c>
      <c r="K10128" t="s">
        <v>38571</v>
      </c>
      <c r="M10128" t="s">
        <v>40557</v>
      </c>
      <c r="N10128" t="s">
        <v>42669</v>
      </c>
      <c r="O10128" t="s">
        <v>42670</v>
      </c>
      <c r="Q10128">
        <v>1</v>
      </c>
      <c r="R10128" t="s">
        <v>42683</v>
      </c>
      <c r="S10128" t="s">
        <v>43135</v>
      </c>
      <c r="T10128" t="s">
        <v>44485</v>
      </c>
      <c r="U10128" t="s">
        <v>48669</v>
      </c>
      <c r="W10128" t="s">
        <v>40557</v>
      </c>
      <c r="X10128" t="s">
        <v>42684</v>
      </c>
    </row>
    <row r="10129" spans="1:24">
      <c r="A10129">
        <f>HYPERLINK("https://www.philgeps.gov.ph/GEPSNONPILOT/Tender/SplashBidNoticeAbstractUI.aspx?menuIndex=3&amp;refID=7172800&amp;Result=3","7172800")</f>
        <v>0</v>
      </c>
      <c r="B10129" t="s">
        <v>268</v>
      </c>
      <c r="C10129" t="s">
        <v>13197</v>
      </c>
      <c r="D10129" t="s">
        <v>17171</v>
      </c>
      <c r="E10129" t="s">
        <v>25926</v>
      </c>
      <c r="F10129" t="s">
        <v>29372</v>
      </c>
      <c r="G10129" t="s">
        <v>29380</v>
      </c>
      <c r="H10129" t="s">
        <v>11048</v>
      </c>
      <c r="I10129" t="s">
        <v>4709</v>
      </c>
      <c r="J10129" t="s">
        <v>35971</v>
      </c>
      <c r="K10129" t="s">
        <v>38534</v>
      </c>
      <c r="M10129" t="s">
        <v>39027</v>
      </c>
      <c r="N10129" t="s">
        <v>42669</v>
      </c>
      <c r="O10129" t="s">
        <v>42670</v>
      </c>
      <c r="P10129">
        <v>0</v>
      </c>
      <c r="Q10129">
        <v>0</v>
      </c>
      <c r="R10129" t="s">
        <v>42683</v>
      </c>
      <c r="S10129" t="s">
        <v>43062</v>
      </c>
      <c r="T10129" t="s">
        <v>44509</v>
      </c>
      <c r="U10129" t="s">
        <v>53083</v>
      </c>
      <c r="W10129" t="s">
        <v>39027</v>
      </c>
      <c r="X10129" t="s">
        <v>42684</v>
      </c>
    </row>
    <row r="10130" spans="1:24">
      <c r="A10130">
        <f>HYPERLINK("https://www.philgeps.gov.ph/GEPSNONPILOT/Tender/SplashBidNoticeAbstractUI.aspx?menuIndex=3&amp;refID=7172674&amp;Result=3","7172674")</f>
        <v>0</v>
      </c>
      <c r="B10130" t="s">
        <v>2943</v>
      </c>
      <c r="C10130" t="s">
        <v>13198</v>
      </c>
      <c r="D10130" t="s">
        <v>17141</v>
      </c>
      <c r="E10130" t="s">
        <v>25927</v>
      </c>
      <c r="F10130" t="s">
        <v>29372</v>
      </c>
      <c r="G10130" t="s">
        <v>29380</v>
      </c>
      <c r="H10130" t="s">
        <v>11048</v>
      </c>
      <c r="I10130" t="s">
        <v>14920</v>
      </c>
      <c r="J10130" t="s">
        <v>29529</v>
      </c>
      <c r="K10130" t="s">
        <v>38491</v>
      </c>
      <c r="M10130" t="s">
        <v>41956</v>
      </c>
      <c r="N10130" t="s">
        <v>42669</v>
      </c>
      <c r="O10130" t="s">
        <v>42670</v>
      </c>
      <c r="P10130">
        <v>0</v>
      </c>
      <c r="Q10130">
        <v>0</v>
      </c>
      <c r="R10130" t="s">
        <v>42683</v>
      </c>
      <c r="S10130" t="s">
        <v>43062</v>
      </c>
      <c r="T10130" t="s">
        <v>44432</v>
      </c>
      <c r="U10130" t="s">
        <v>52967</v>
      </c>
      <c r="W10130" t="s">
        <v>41956</v>
      </c>
      <c r="X10130" t="s">
        <v>42684</v>
      </c>
    </row>
    <row r="10131" spans="1:24">
      <c r="A10131">
        <f>HYPERLINK("https://www.philgeps.gov.ph/GEPSNONPILOT/Tender/SplashBidNoticeAbstractUI.aspx?menuIndex=3&amp;refID=7172799&amp;Result=3","7172799")</f>
        <v>0</v>
      </c>
      <c r="B10131" t="s">
        <v>2392</v>
      </c>
      <c r="C10131" t="s">
        <v>13199</v>
      </c>
      <c r="D10131" t="s">
        <v>17170</v>
      </c>
      <c r="E10131" t="s">
        <v>25928</v>
      </c>
      <c r="F10131" t="s">
        <v>29372</v>
      </c>
      <c r="G10131" t="s">
        <v>29380</v>
      </c>
      <c r="H10131" t="s">
        <v>11048</v>
      </c>
      <c r="I10131" t="s">
        <v>9469</v>
      </c>
      <c r="J10131" t="s">
        <v>31485</v>
      </c>
      <c r="K10131" t="s">
        <v>38490</v>
      </c>
      <c r="M10131" t="s">
        <v>41337</v>
      </c>
      <c r="N10131" t="s">
        <v>42669</v>
      </c>
      <c r="O10131" t="s">
        <v>42670</v>
      </c>
      <c r="P10131">
        <v>0</v>
      </c>
      <c r="Q10131">
        <v>10</v>
      </c>
      <c r="R10131" t="s">
        <v>42683</v>
      </c>
      <c r="S10131" t="s">
        <v>43062</v>
      </c>
      <c r="T10131" t="s">
        <v>44527</v>
      </c>
      <c r="U10131" t="s">
        <v>53084</v>
      </c>
      <c r="W10131" t="s">
        <v>41337</v>
      </c>
      <c r="X10131" t="s">
        <v>42684</v>
      </c>
    </row>
    <row r="10132" spans="1:24">
      <c r="A10132">
        <f>HYPERLINK("https://www.philgeps.gov.ph/GEPSNONPILOT/Tender/SplashBidNoticeAbstractUI.aspx?menuIndex=3&amp;refID=7172790&amp;Result=3","7172790")</f>
        <v>0</v>
      </c>
      <c r="B10132" t="s">
        <v>49</v>
      </c>
      <c r="C10132" t="s">
        <v>13200</v>
      </c>
      <c r="D10132" t="s">
        <v>17156</v>
      </c>
      <c r="E10132" t="s">
        <v>25929</v>
      </c>
      <c r="F10132" t="s">
        <v>29372</v>
      </c>
      <c r="G10132" t="s">
        <v>29380</v>
      </c>
      <c r="H10132" t="s">
        <v>29389</v>
      </c>
      <c r="I10132" t="s">
        <v>10408</v>
      </c>
      <c r="J10132" t="s">
        <v>35972</v>
      </c>
      <c r="K10132" t="s">
        <v>38487</v>
      </c>
      <c r="M10132" t="s">
        <v>41966</v>
      </c>
      <c r="N10132" t="s">
        <v>42669</v>
      </c>
      <c r="O10132" t="s">
        <v>42670</v>
      </c>
      <c r="Q10132">
        <v>1</v>
      </c>
      <c r="R10132" t="s">
        <v>42683</v>
      </c>
      <c r="S10132" t="s">
        <v>43136</v>
      </c>
      <c r="T10132" t="s">
        <v>44396</v>
      </c>
      <c r="U10132" t="s">
        <v>53085</v>
      </c>
      <c r="W10132" t="s">
        <v>41966</v>
      </c>
      <c r="X10132" t="s">
        <v>42684</v>
      </c>
    </row>
    <row r="10133" spans="1:24">
      <c r="A10133">
        <f>HYPERLINK("https://www.philgeps.gov.ph/GEPSNONPILOT/Tender/SplashBidNoticeAbstractUI.aspx?menuIndex=3&amp;refID=7172689&amp;Result=3","7172689")</f>
        <v>0</v>
      </c>
      <c r="B10133" t="s">
        <v>1354</v>
      </c>
      <c r="C10133" t="s">
        <v>13201</v>
      </c>
      <c r="D10133" t="s">
        <v>17155</v>
      </c>
      <c r="E10133" t="s">
        <v>25930</v>
      </c>
      <c r="F10133" t="s">
        <v>29372</v>
      </c>
      <c r="G10133" t="s">
        <v>29380</v>
      </c>
      <c r="H10133" t="s">
        <v>11048</v>
      </c>
      <c r="I10133" t="s">
        <v>29488</v>
      </c>
      <c r="J10133" t="s">
        <v>35973</v>
      </c>
      <c r="K10133" t="s">
        <v>38537</v>
      </c>
      <c r="M10133" t="s">
        <v>40191</v>
      </c>
      <c r="N10133" t="s">
        <v>42669</v>
      </c>
      <c r="O10133" t="s">
        <v>42670</v>
      </c>
      <c r="Q10133">
        <v>0</v>
      </c>
      <c r="R10133" t="s">
        <v>42683</v>
      </c>
      <c r="S10133" t="s">
        <v>42858</v>
      </c>
      <c r="T10133" t="s">
        <v>44488</v>
      </c>
      <c r="U10133" t="s">
        <v>53044</v>
      </c>
      <c r="V10133" t="s">
        <v>57508</v>
      </c>
      <c r="W10133" t="s">
        <v>40191</v>
      </c>
      <c r="X10133" t="s">
        <v>42684</v>
      </c>
    </row>
    <row r="10134" spans="1:24">
      <c r="A10134">
        <f>HYPERLINK("https://www.philgeps.gov.ph/GEPSNONPILOT/Tender/SplashBidNoticeAbstractUI.aspx?menuIndex=3&amp;refID=7172802&amp;Result=3","7172802")</f>
        <v>0</v>
      </c>
      <c r="B10134" t="s">
        <v>955</v>
      </c>
      <c r="C10134" t="s">
        <v>13202</v>
      </c>
      <c r="E10134" t="s">
        <v>25931</v>
      </c>
      <c r="F10134" t="s">
        <v>29372</v>
      </c>
      <c r="G10134" t="s">
        <v>29380</v>
      </c>
      <c r="H10134" t="s">
        <v>11048</v>
      </c>
      <c r="I10134" t="s">
        <v>29407</v>
      </c>
      <c r="J10134" t="s">
        <v>33298</v>
      </c>
      <c r="K10134" t="s">
        <v>38490</v>
      </c>
      <c r="M10134" t="s">
        <v>39751</v>
      </c>
      <c r="N10134" t="s">
        <v>42669</v>
      </c>
      <c r="O10134" t="s">
        <v>42670</v>
      </c>
      <c r="P10134">
        <v>0</v>
      </c>
      <c r="Q10134">
        <v>8</v>
      </c>
      <c r="R10134" t="s">
        <v>42683</v>
      </c>
      <c r="S10134" t="s">
        <v>43062</v>
      </c>
      <c r="T10134" t="s">
        <v>44527</v>
      </c>
      <c r="U10134" t="s">
        <v>53086</v>
      </c>
      <c r="W10134" t="s">
        <v>39751</v>
      </c>
      <c r="X10134" t="s">
        <v>42684</v>
      </c>
    </row>
    <row r="10135" spans="1:24">
      <c r="A10135">
        <f>HYPERLINK("https://www.philgeps.gov.ph/GEPSNONPILOT/Tender/SplashBidNoticeAbstractUI.aspx?menuIndex=3&amp;refID=7172783&amp;Result=3","7172783")</f>
        <v>0</v>
      </c>
      <c r="B10135" t="s">
        <v>476</v>
      </c>
      <c r="C10135" t="s">
        <v>13203</v>
      </c>
      <c r="E10135" t="s">
        <v>25932</v>
      </c>
      <c r="F10135" t="s">
        <v>29372</v>
      </c>
      <c r="G10135" t="s">
        <v>29380</v>
      </c>
      <c r="H10135" t="s">
        <v>11048</v>
      </c>
      <c r="I10135" t="s">
        <v>3839</v>
      </c>
      <c r="J10135" t="s">
        <v>35974</v>
      </c>
      <c r="K10135" t="s">
        <v>38490</v>
      </c>
      <c r="M10135" t="s">
        <v>39241</v>
      </c>
      <c r="N10135" t="s">
        <v>42669</v>
      </c>
      <c r="O10135" t="s">
        <v>42670</v>
      </c>
      <c r="Q10135">
        <v>0</v>
      </c>
      <c r="R10135" t="s">
        <v>42683</v>
      </c>
      <c r="S10135" t="s">
        <v>43137</v>
      </c>
      <c r="T10135" t="s">
        <v>44488</v>
      </c>
      <c r="U10135" t="s">
        <v>52462</v>
      </c>
      <c r="W10135" t="s">
        <v>39241</v>
      </c>
      <c r="X10135" t="s">
        <v>42684</v>
      </c>
    </row>
    <row r="10136" spans="1:24">
      <c r="A10136">
        <f>HYPERLINK("https://www.philgeps.gov.ph/GEPSNONPILOT/Tender/SplashBidNoticeAbstractUI.aspx?menuIndex=3&amp;refID=7172673&amp;Result=3","7172673")</f>
        <v>0</v>
      </c>
      <c r="B10136" t="s">
        <v>669</v>
      </c>
      <c r="C10136" t="s">
        <v>13204</v>
      </c>
      <c r="D10136" t="s">
        <v>17147</v>
      </c>
      <c r="E10136" t="s">
        <v>25933</v>
      </c>
      <c r="F10136" t="s">
        <v>29372</v>
      </c>
      <c r="G10136" t="s">
        <v>29380</v>
      </c>
      <c r="H10136" t="s">
        <v>29389</v>
      </c>
      <c r="I10136" t="s">
        <v>10408</v>
      </c>
      <c r="J10136" t="s">
        <v>35975</v>
      </c>
      <c r="K10136" t="s">
        <v>38577</v>
      </c>
      <c r="M10136" t="s">
        <v>41046</v>
      </c>
      <c r="N10136" t="s">
        <v>42669</v>
      </c>
      <c r="O10136" t="s">
        <v>42670</v>
      </c>
      <c r="P10136">
        <v>0</v>
      </c>
      <c r="Q10136">
        <v>0</v>
      </c>
      <c r="R10136" t="s">
        <v>42683</v>
      </c>
      <c r="S10136" t="s">
        <v>43062</v>
      </c>
      <c r="T10136" t="s">
        <v>44412</v>
      </c>
      <c r="U10136" t="s">
        <v>53087</v>
      </c>
      <c r="V10136" t="s">
        <v>57509</v>
      </c>
      <c r="W10136" t="s">
        <v>41046</v>
      </c>
      <c r="X10136" t="s">
        <v>42684</v>
      </c>
    </row>
    <row r="10137" spans="1:24">
      <c r="A10137">
        <f>HYPERLINK("https://www.philgeps.gov.ph/GEPSNONPILOT/Tender/SplashBidNoticeAbstractUI.aspx?menuIndex=3&amp;refID=7172769&amp;Result=3","7172769")</f>
        <v>0</v>
      </c>
      <c r="B10137" t="s">
        <v>339</v>
      </c>
      <c r="C10137" t="s">
        <v>13205</v>
      </c>
      <c r="D10137" t="s">
        <v>17156</v>
      </c>
      <c r="E10137" t="s">
        <v>25934</v>
      </c>
      <c r="F10137" t="s">
        <v>29372</v>
      </c>
      <c r="G10137" t="s">
        <v>29380</v>
      </c>
      <c r="H10137" t="s">
        <v>11048</v>
      </c>
      <c r="I10137" t="s">
        <v>29393</v>
      </c>
      <c r="J10137" t="s">
        <v>29724</v>
      </c>
      <c r="K10137" t="s">
        <v>38534</v>
      </c>
      <c r="M10137" t="s">
        <v>39651</v>
      </c>
      <c r="N10137" t="s">
        <v>42669</v>
      </c>
      <c r="O10137" t="s">
        <v>42670</v>
      </c>
      <c r="Q10137">
        <v>0</v>
      </c>
      <c r="R10137" t="s">
        <v>42683</v>
      </c>
      <c r="S10137" t="s">
        <v>43138</v>
      </c>
      <c r="T10137" t="s">
        <v>44397</v>
      </c>
      <c r="U10137" t="s">
        <v>53088</v>
      </c>
      <c r="W10137" t="s">
        <v>39651</v>
      </c>
      <c r="X10137" t="s">
        <v>42684</v>
      </c>
    </row>
    <row r="10138" spans="1:24">
      <c r="A10138">
        <f>HYPERLINK("https://www.philgeps.gov.ph/GEPSNONPILOT/Tender/SplashBidNoticeAbstractUI.aspx?menuIndex=3&amp;refID=7172792&amp;Result=3","7172792")</f>
        <v>0</v>
      </c>
      <c r="B10138" t="s">
        <v>2943</v>
      </c>
      <c r="C10138" t="s">
        <v>13206</v>
      </c>
      <c r="D10138" t="s">
        <v>17141</v>
      </c>
      <c r="E10138" t="s">
        <v>25935</v>
      </c>
      <c r="F10138" t="s">
        <v>29372</v>
      </c>
      <c r="G10138" t="s">
        <v>29380</v>
      </c>
      <c r="H10138" t="s">
        <v>11048</v>
      </c>
      <c r="I10138" t="s">
        <v>3670</v>
      </c>
      <c r="J10138" t="s">
        <v>35976</v>
      </c>
      <c r="K10138" t="s">
        <v>38491</v>
      </c>
      <c r="M10138" t="s">
        <v>41956</v>
      </c>
      <c r="N10138" t="s">
        <v>42669</v>
      </c>
      <c r="O10138" t="s">
        <v>42670</v>
      </c>
      <c r="P10138">
        <v>0</v>
      </c>
      <c r="Q10138">
        <v>0</v>
      </c>
      <c r="R10138" t="s">
        <v>42683</v>
      </c>
      <c r="S10138" t="s">
        <v>43062</v>
      </c>
      <c r="T10138" t="s">
        <v>44432</v>
      </c>
      <c r="U10138" t="s">
        <v>52970</v>
      </c>
      <c r="W10138" t="s">
        <v>41956</v>
      </c>
      <c r="X10138" t="s">
        <v>42684</v>
      </c>
    </row>
    <row r="10139" spans="1:24">
      <c r="A10139">
        <f>HYPERLINK("https://www.philgeps.gov.ph/GEPSNONPILOT/Tender/SplashBidNoticeAbstractUI.aspx?menuIndex=3&amp;refID=7172941&amp;Result=3","7172941")</f>
        <v>0</v>
      </c>
      <c r="B10139" t="s">
        <v>2545</v>
      </c>
      <c r="C10139" t="s">
        <v>13207</v>
      </c>
      <c r="D10139" t="s">
        <v>17143</v>
      </c>
      <c r="E10139" t="s">
        <v>25936</v>
      </c>
      <c r="F10139" t="s">
        <v>29372</v>
      </c>
      <c r="G10139" t="s">
        <v>29380</v>
      </c>
      <c r="H10139" t="s">
        <v>11048</v>
      </c>
      <c r="I10139" t="s">
        <v>29394</v>
      </c>
      <c r="J10139" t="s">
        <v>29708</v>
      </c>
      <c r="K10139" t="s">
        <v>38488</v>
      </c>
      <c r="M10139" t="s">
        <v>41508</v>
      </c>
      <c r="N10139" t="s">
        <v>42669</v>
      </c>
      <c r="O10139" t="s">
        <v>42670</v>
      </c>
      <c r="P10139">
        <v>0</v>
      </c>
      <c r="Q10139">
        <v>1</v>
      </c>
      <c r="R10139" t="s">
        <v>42683</v>
      </c>
      <c r="S10139" t="s">
        <v>43062</v>
      </c>
      <c r="T10139" t="s">
        <v>44425</v>
      </c>
      <c r="U10139" t="s">
        <v>53089</v>
      </c>
      <c r="W10139" t="s">
        <v>41508</v>
      </c>
      <c r="X10139" t="s">
        <v>42684</v>
      </c>
    </row>
    <row r="10140" spans="1:24">
      <c r="A10140">
        <f>HYPERLINK("https://www.philgeps.gov.ph/GEPSNONPILOT/Tender/SplashBidNoticeAbstractUI.aspx?menuIndex=3&amp;refID=7172775&amp;Result=3","7172775")</f>
        <v>0</v>
      </c>
      <c r="B10140" t="s">
        <v>586</v>
      </c>
      <c r="C10140" t="s">
        <v>13208</v>
      </c>
      <c r="D10140" t="s">
        <v>17161</v>
      </c>
      <c r="E10140" t="s">
        <v>25937</v>
      </c>
      <c r="F10140" t="s">
        <v>29372</v>
      </c>
      <c r="G10140" t="s">
        <v>29380</v>
      </c>
      <c r="H10140" t="s">
        <v>11048</v>
      </c>
      <c r="I10140" t="s">
        <v>4709</v>
      </c>
      <c r="J10140" t="s">
        <v>35977</v>
      </c>
      <c r="K10140" t="s">
        <v>38490</v>
      </c>
      <c r="M10140" t="s">
        <v>39355</v>
      </c>
      <c r="N10140" t="s">
        <v>42669</v>
      </c>
      <c r="O10140" t="s">
        <v>42670</v>
      </c>
      <c r="P10140">
        <v>0</v>
      </c>
      <c r="Q10140">
        <v>0</v>
      </c>
      <c r="R10140" t="s">
        <v>42683</v>
      </c>
      <c r="S10140" t="s">
        <v>43062</v>
      </c>
      <c r="T10140" t="s">
        <v>44368</v>
      </c>
      <c r="U10140" t="s">
        <v>53090</v>
      </c>
      <c r="W10140" t="s">
        <v>39355</v>
      </c>
      <c r="X10140" t="s">
        <v>42684</v>
      </c>
    </row>
    <row r="10141" spans="1:24">
      <c r="A10141">
        <f>HYPERLINK("https://www.philgeps.gov.ph/GEPSNONPILOT/Tender/SplashBidNoticeAbstractUI.aspx?menuIndex=3&amp;refID=7172782&amp;Result=3","7172782")</f>
        <v>0</v>
      </c>
      <c r="B10141" t="s">
        <v>955</v>
      </c>
      <c r="C10141" t="s">
        <v>13209</v>
      </c>
      <c r="E10141" t="s">
        <v>25938</v>
      </c>
      <c r="F10141" t="s">
        <v>29372</v>
      </c>
      <c r="G10141" t="s">
        <v>29380</v>
      </c>
      <c r="H10141" t="s">
        <v>11048</v>
      </c>
      <c r="I10141" t="s">
        <v>29433</v>
      </c>
      <c r="J10141" t="s">
        <v>35978</v>
      </c>
      <c r="K10141" t="s">
        <v>38490</v>
      </c>
      <c r="M10141" t="s">
        <v>39751</v>
      </c>
      <c r="N10141" t="s">
        <v>42669</v>
      </c>
      <c r="O10141" t="s">
        <v>42670</v>
      </c>
      <c r="P10141">
        <v>0</v>
      </c>
      <c r="Q10141">
        <v>3</v>
      </c>
      <c r="R10141" t="s">
        <v>42683</v>
      </c>
      <c r="S10141" t="s">
        <v>43062</v>
      </c>
      <c r="T10141" t="s">
        <v>44527</v>
      </c>
      <c r="U10141" t="s">
        <v>53091</v>
      </c>
      <c r="W10141" t="s">
        <v>39751</v>
      </c>
      <c r="X10141" t="s">
        <v>42684</v>
      </c>
    </row>
    <row r="10142" spans="1:24">
      <c r="A10142">
        <f>HYPERLINK("https://www.philgeps.gov.ph/GEPSNONPILOT/Tender/SplashBidNoticeAbstractUI.aspx?menuIndex=3&amp;refID=7172932&amp;Result=3","7172932")</f>
        <v>0</v>
      </c>
      <c r="B10142" t="s">
        <v>2958</v>
      </c>
      <c r="C10142" t="s">
        <v>13210</v>
      </c>
      <c r="D10142" t="s">
        <v>17168</v>
      </c>
      <c r="E10142" t="s">
        <v>25939</v>
      </c>
      <c r="F10142" t="s">
        <v>29373</v>
      </c>
      <c r="G10142" t="s">
        <v>29380</v>
      </c>
      <c r="H10142" t="s">
        <v>11048</v>
      </c>
      <c r="I10142" t="s">
        <v>4709</v>
      </c>
      <c r="J10142" t="s">
        <v>35979</v>
      </c>
      <c r="K10142" t="s">
        <v>38518</v>
      </c>
      <c r="M10142" t="s">
        <v>41967</v>
      </c>
      <c r="N10142" t="s">
        <v>42669</v>
      </c>
      <c r="O10142" t="s">
        <v>42670</v>
      </c>
      <c r="P10142">
        <v>0</v>
      </c>
      <c r="Q10142">
        <v>0</v>
      </c>
      <c r="R10142" t="s">
        <v>42683</v>
      </c>
      <c r="S10142" t="s">
        <v>43062</v>
      </c>
      <c r="T10142" t="s">
        <v>44390</v>
      </c>
      <c r="U10142" t="s">
        <v>46036</v>
      </c>
      <c r="V10142" t="s">
        <v>57510</v>
      </c>
      <c r="W10142" t="s">
        <v>41967</v>
      </c>
      <c r="X10142" t="s">
        <v>42684</v>
      </c>
    </row>
    <row r="10143" spans="1:24">
      <c r="A10143">
        <f>HYPERLINK("https://www.philgeps.gov.ph/GEPSNONPILOT/Tender/SplashBidNoticeAbstractUI.aspx?menuIndex=3&amp;refID=7172698&amp;Result=3","7172698")</f>
        <v>0</v>
      </c>
      <c r="B10143" t="s">
        <v>455</v>
      </c>
      <c r="C10143" t="s">
        <v>13211</v>
      </c>
      <c r="D10143" t="s">
        <v>17157</v>
      </c>
      <c r="E10143" t="s">
        <v>25940</v>
      </c>
      <c r="F10143" t="s">
        <v>29372</v>
      </c>
      <c r="G10143" t="s">
        <v>29380</v>
      </c>
      <c r="H10143" t="s">
        <v>11048</v>
      </c>
      <c r="I10143" t="s">
        <v>29447</v>
      </c>
      <c r="J10143" t="s">
        <v>35980</v>
      </c>
      <c r="K10143" t="s">
        <v>38485</v>
      </c>
      <c r="M10143" t="s">
        <v>39219</v>
      </c>
      <c r="N10143" t="s">
        <v>42669</v>
      </c>
      <c r="O10143" t="s">
        <v>42670</v>
      </c>
      <c r="P10143">
        <v>0</v>
      </c>
      <c r="Q10143">
        <v>1</v>
      </c>
      <c r="R10143" t="s">
        <v>42683</v>
      </c>
      <c r="S10143" t="s">
        <v>43062</v>
      </c>
      <c r="T10143" t="s">
        <v>44453</v>
      </c>
      <c r="U10143" t="s">
        <v>53092</v>
      </c>
      <c r="V10143" t="s">
        <v>56472</v>
      </c>
      <c r="W10143" t="s">
        <v>39219</v>
      </c>
      <c r="X10143" t="s">
        <v>42684</v>
      </c>
    </row>
    <row r="10144" spans="1:24">
      <c r="A10144">
        <f>HYPERLINK("https://www.philgeps.gov.ph/GEPSNONPILOT/Tender/SplashBidNoticeAbstractUI.aspx?menuIndex=3&amp;refID=7172765&amp;Result=3","7172765")</f>
        <v>0</v>
      </c>
      <c r="B10144" t="s">
        <v>2943</v>
      </c>
      <c r="C10144" t="s">
        <v>13212</v>
      </c>
      <c r="D10144" t="s">
        <v>17141</v>
      </c>
      <c r="E10144" t="s">
        <v>25941</v>
      </c>
      <c r="F10144" t="s">
        <v>29372</v>
      </c>
      <c r="G10144" t="s">
        <v>29380</v>
      </c>
      <c r="H10144" t="s">
        <v>11048</v>
      </c>
      <c r="I10144" t="s">
        <v>3670</v>
      </c>
      <c r="J10144" t="s">
        <v>35976</v>
      </c>
      <c r="K10144" t="s">
        <v>38491</v>
      </c>
      <c r="M10144" t="s">
        <v>41956</v>
      </c>
      <c r="N10144" t="s">
        <v>42669</v>
      </c>
      <c r="O10144" t="s">
        <v>42670</v>
      </c>
      <c r="P10144">
        <v>0</v>
      </c>
      <c r="Q10144">
        <v>0</v>
      </c>
      <c r="R10144" t="s">
        <v>42683</v>
      </c>
      <c r="S10144" t="s">
        <v>43062</v>
      </c>
      <c r="T10144" t="s">
        <v>44432</v>
      </c>
      <c r="U10144" t="s">
        <v>52970</v>
      </c>
      <c r="W10144" t="s">
        <v>41956</v>
      </c>
      <c r="X10144" t="s">
        <v>42684</v>
      </c>
    </row>
    <row r="10145" spans="1:24">
      <c r="A10145">
        <f>HYPERLINK("https://www.philgeps.gov.ph/GEPSNONPILOT/Tender/SplashBidNoticeAbstractUI.aspx?menuIndex=3&amp;refID=7172795&amp;Result=3","7172795")</f>
        <v>0</v>
      </c>
      <c r="B10145" t="s">
        <v>2959</v>
      </c>
      <c r="C10145" t="s">
        <v>13213</v>
      </c>
      <c r="D10145" t="s">
        <v>17163</v>
      </c>
      <c r="E10145" t="s">
        <v>25942</v>
      </c>
      <c r="F10145" t="s">
        <v>29372</v>
      </c>
      <c r="G10145" t="s">
        <v>29380</v>
      </c>
      <c r="H10145" t="s">
        <v>29389</v>
      </c>
      <c r="I10145" t="s">
        <v>10408</v>
      </c>
      <c r="J10145" t="s">
        <v>29743</v>
      </c>
      <c r="K10145" t="s">
        <v>38496</v>
      </c>
      <c r="M10145" t="s">
        <v>41968</v>
      </c>
      <c r="N10145" t="s">
        <v>42669</v>
      </c>
      <c r="O10145" t="s">
        <v>42670</v>
      </c>
      <c r="Q10145">
        <v>9</v>
      </c>
      <c r="R10145" t="s">
        <v>42683</v>
      </c>
      <c r="S10145" t="s">
        <v>43139</v>
      </c>
      <c r="T10145" t="s">
        <v>44419</v>
      </c>
      <c r="U10145" t="s">
        <v>53093</v>
      </c>
      <c r="W10145" t="s">
        <v>58104</v>
      </c>
      <c r="X10145" t="s">
        <v>42684</v>
      </c>
    </row>
    <row r="10146" spans="1:24">
      <c r="A10146">
        <f>HYPERLINK("https://www.philgeps.gov.ph/GEPSNONPILOT/Tender/SplashBidNoticeAbstractUI.aspx?menuIndex=3&amp;refID=7172916&amp;Result=3","7172916")</f>
        <v>0</v>
      </c>
      <c r="B10146" t="s">
        <v>674</v>
      </c>
      <c r="C10146" t="s">
        <v>13214</v>
      </c>
      <c r="D10146" t="s">
        <v>17164</v>
      </c>
      <c r="E10146" t="s">
        <v>25943</v>
      </c>
      <c r="F10146" t="s">
        <v>29372</v>
      </c>
      <c r="G10146" t="s">
        <v>29380</v>
      </c>
      <c r="H10146" t="s">
        <v>29389</v>
      </c>
      <c r="I10146" t="s">
        <v>10408</v>
      </c>
      <c r="J10146" t="s">
        <v>35981</v>
      </c>
      <c r="K10146" t="s">
        <v>38548</v>
      </c>
      <c r="M10146" t="s">
        <v>39450</v>
      </c>
      <c r="N10146" t="s">
        <v>42669</v>
      </c>
      <c r="O10146" t="s">
        <v>42670</v>
      </c>
      <c r="P10146">
        <v>0</v>
      </c>
      <c r="Q10146">
        <v>1</v>
      </c>
      <c r="R10146" t="s">
        <v>42683</v>
      </c>
      <c r="S10146" t="s">
        <v>43062</v>
      </c>
      <c r="T10146" t="s">
        <v>44532</v>
      </c>
      <c r="U10146" t="s">
        <v>53094</v>
      </c>
      <c r="W10146" t="s">
        <v>39450</v>
      </c>
      <c r="X10146" t="s">
        <v>42684</v>
      </c>
    </row>
    <row r="10147" spans="1:24">
      <c r="A10147">
        <f>HYPERLINK("https://www.philgeps.gov.ph/GEPSNONPILOT/Tender/SplashBidNoticeAbstractUI.aspx?menuIndex=3&amp;refID=7172917&amp;Result=3","7172917")</f>
        <v>0</v>
      </c>
      <c r="B10147" t="s">
        <v>2960</v>
      </c>
      <c r="C10147" t="s">
        <v>13215</v>
      </c>
      <c r="D10147" t="s">
        <v>17156</v>
      </c>
      <c r="E10147" t="s">
        <v>25944</v>
      </c>
      <c r="F10147" t="s">
        <v>29372</v>
      </c>
      <c r="G10147" t="s">
        <v>29380</v>
      </c>
      <c r="H10147" t="s">
        <v>29389</v>
      </c>
      <c r="I10147" t="s">
        <v>10408</v>
      </c>
      <c r="J10147" t="s">
        <v>29623</v>
      </c>
      <c r="K10147" t="s">
        <v>38546</v>
      </c>
      <c r="M10147" t="s">
        <v>41969</v>
      </c>
      <c r="N10147" t="s">
        <v>42669</v>
      </c>
      <c r="O10147" t="s">
        <v>42670</v>
      </c>
      <c r="Q10147">
        <v>2</v>
      </c>
      <c r="R10147" t="s">
        <v>42683</v>
      </c>
      <c r="S10147" t="s">
        <v>43140</v>
      </c>
      <c r="T10147" t="s">
        <v>44527</v>
      </c>
      <c r="U10147" t="s">
        <v>53095</v>
      </c>
      <c r="W10147" t="s">
        <v>41969</v>
      </c>
      <c r="X10147" t="s">
        <v>42684</v>
      </c>
    </row>
    <row r="10148" spans="1:24">
      <c r="A10148">
        <f>HYPERLINK("https://www.philgeps.gov.ph/GEPSNONPILOT/Tender/SplashBidNoticeAbstractUI.aspx?menuIndex=3&amp;refID=7172885&amp;Result=3","7172885")</f>
        <v>0</v>
      </c>
      <c r="B10148" t="s">
        <v>2943</v>
      </c>
      <c r="C10148" t="s">
        <v>13216</v>
      </c>
      <c r="D10148" t="s">
        <v>17141</v>
      </c>
      <c r="E10148" t="s">
        <v>25945</v>
      </c>
      <c r="F10148" t="s">
        <v>29372</v>
      </c>
      <c r="G10148" t="s">
        <v>29380</v>
      </c>
      <c r="H10148" t="s">
        <v>11048</v>
      </c>
      <c r="I10148" t="s">
        <v>14920</v>
      </c>
      <c r="J10148" t="s">
        <v>35982</v>
      </c>
      <c r="K10148" t="s">
        <v>38491</v>
      </c>
      <c r="M10148" t="s">
        <v>41956</v>
      </c>
      <c r="N10148" t="s">
        <v>42669</v>
      </c>
      <c r="O10148" t="s">
        <v>42670</v>
      </c>
      <c r="P10148">
        <v>0</v>
      </c>
      <c r="Q10148">
        <v>0</v>
      </c>
      <c r="R10148" t="s">
        <v>42683</v>
      </c>
      <c r="S10148" t="s">
        <v>43062</v>
      </c>
      <c r="T10148" t="s">
        <v>44432</v>
      </c>
      <c r="U10148" t="s">
        <v>52967</v>
      </c>
      <c r="W10148" t="s">
        <v>41956</v>
      </c>
      <c r="X10148" t="s">
        <v>42684</v>
      </c>
    </row>
    <row r="10149" spans="1:24">
      <c r="A10149">
        <f>HYPERLINK("https://www.philgeps.gov.ph/GEPSNONPILOT/Tender/SplashBidNoticeAbstractUI.aspx?menuIndex=3&amp;refID=7172881&amp;Result=3","7172881")</f>
        <v>0</v>
      </c>
      <c r="B10149" t="s">
        <v>2959</v>
      </c>
      <c r="C10149" t="s">
        <v>13217</v>
      </c>
      <c r="D10149" t="s">
        <v>17163</v>
      </c>
      <c r="E10149" t="s">
        <v>25946</v>
      </c>
      <c r="F10149" t="s">
        <v>29372</v>
      </c>
      <c r="G10149" t="s">
        <v>29380</v>
      </c>
      <c r="H10149" t="s">
        <v>29389</v>
      </c>
      <c r="I10149" t="s">
        <v>10408</v>
      </c>
      <c r="J10149" t="s">
        <v>35983</v>
      </c>
      <c r="K10149" t="s">
        <v>38485</v>
      </c>
      <c r="M10149" t="s">
        <v>41968</v>
      </c>
      <c r="N10149" t="s">
        <v>42669</v>
      </c>
      <c r="O10149" t="s">
        <v>42670</v>
      </c>
      <c r="Q10149">
        <v>19</v>
      </c>
      <c r="R10149" t="s">
        <v>42683</v>
      </c>
      <c r="S10149" t="s">
        <v>43141</v>
      </c>
      <c r="T10149" t="s">
        <v>44419</v>
      </c>
      <c r="U10149" t="s">
        <v>53093</v>
      </c>
      <c r="W10149" t="s">
        <v>58104</v>
      </c>
      <c r="X10149" t="s">
        <v>42684</v>
      </c>
    </row>
    <row r="10150" spans="1:24">
      <c r="A10150">
        <f>HYPERLINK("https://www.philgeps.gov.ph/GEPSNONPILOT/Tender/SplashBidNoticeAbstractUI.aspx?menuIndex=3&amp;refID=7172870&amp;Result=3","7172870")</f>
        <v>0</v>
      </c>
      <c r="B10150" t="s">
        <v>775</v>
      </c>
      <c r="C10150" t="s">
        <v>13218</v>
      </c>
      <c r="D10150" t="s">
        <v>17181</v>
      </c>
      <c r="E10150" t="s">
        <v>25947</v>
      </c>
      <c r="F10150" t="s">
        <v>29372</v>
      </c>
      <c r="G10150" t="s">
        <v>29380</v>
      </c>
      <c r="H10150" t="s">
        <v>11048</v>
      </c>
      <c r="I10150" t="s">
        <v>3952</v>
      </c>
      <c r="J10150" t="s">
        <v>35984</v>
      </c>
      <c r="K10150" t="s">
        <v>38495</v>
      </c>
      <c r="M10150" t="s">
        <v>39559</v>
      </c>
      <c r="N10150" t="s">
        <v>42669</v>
      </c>
      <c r="O10150" t="s">
        <v>42670</v>
      </c>
      <c r="P10150">
        <v>0</v>
      </c>
      <c r="Q10150">
        <v>1</v>
      </c>
      <c r="R10150" t="s">
        <v>42683</v>
      </c>
      <c r="S10150" t="s">
        <v>43062</v>
      </c>
      <c r="T10150" t="s">
        <v>44488</v>
      </c>
      <c r="U10150" t="s">
        <v>53096</v>
      </c>
      <c r="W10150" t="s">
        <v>39559</v>
      </c>
      <c r="X10150" t="s">
        <v>42684</v>
      </c>
    </row>
    <row r="10151" spans="1:24">
      <c r="A10151">
        <f>HYPERLINK("https://www.philgeps.gov.ph/GEPSNONPILOT/Tender/SplashBidNoticeAbstractUI.aspx?menuIndex=3&amp;refID=7172868&amp;Result=3","7172868")</f>
        <v>0</v>
      </c>
      <c r="B10151" t="s">
        <v>2943</v>
      </c>
      <c r="C10151" t="s">
        <v>13219</v>
      </c>
      <c r="D10151" t="s">
        <v>17141</v>
      </c>
      <c r="E10151" t="s">
        <v>25948</v>
      </c>
      <c r="F10151" t="s">
        <v>29372</v>
      </c>
      <c r="G10151" t="s">
        <v>29380</v>
      </c>
      <c r="H10151" t="s">
        <v>11048</v>
      </c>
      <c r="I10151" t="s">
        <v>5383</v>
      </c>
      <c r="J10151" t="s">
        <v>35985</v>
      </c>
      <c r="K10151" t="s">
        <v>38491</v>
      </c>
      <c r="M10151" t="s">
        <v>41956</v>
      </c>
      <c r="N10151" t="s">
        <v>42669</v>
      </c>
      <c r="O10151" t="s">
        <v>42670</v>
      </c>
      <c r="P10151">
        <v>0</v>
      </c>
      <c r="Q10151">
        <v>0</v>
      </c>
      <c r="R10151" t="s">
        <v>42683</v>
      </c>
      <c r="S10151" t="s">
        <v>43062</v>
      </c>
      <c r="T10151" t="s">
        <v>44432</v>
      </c>
      <c r="U10151" t="s">
        <v>52966</v>
      </c>
      <c r="W10151" t="s">
        <v>41956</v>
      </c>
      <c r="X10151" t="s">
        <v>42684</v>
      </c>
    </row>
    <row r="10152" spans="1:24">
      <c r="A10152">
        <f>HYPERLINK("https://www.philgeps.gov.ph/GEPSNONPILOT/Tender/SplashBidNoticeAbstractUI.aspx?menuIndex=3&amp;refID=7172864&amp;Result=3","7172864")</f>
        <v>0</v>
      </c>
      <c r="B10152" t="s">
        <v>586</v>
      </c>
      <c r="C10152" t="s">
        <v>13220</v>
      </c>
      <c r="D10152" t="s">
        <v>17161</v>
      </c>
      <c r="E10152" t="s">
        <v>25949</v>
      </c>
      <c r="F10152" t="s">
        <v>29372</v>
      </c>
      <c r="G10152" t="s">
        <v>29381</v>
      </c>
      <c r="H10152" t="s">
        <v>11048</v>
      </c>
      <c r="I10152" t="s">
        <v>4709</v>
      </c>
      <c r="J10152" t="s">
        <v>35986</v>
      </c>
      <c r="K10152" t="s">
        <v>38490</v>
      </c>
      <c r="M10152" t="s">
        <v>39355</v>
      </c>
      <c r="N10152" t="s">
        <v>42669</v>
      </c>
      <c r="O10152" t="s">
        <v>42670</v>
      </c>
      <c r="P10152">
        <v>0</v>
      </c>
      <c r="Q10152">
        <v>0</v>
      </c>
      <c r="R10152" t="s">
        <v>42683</v>
      </c>
      <c r="S10152" t="s">
        <v>43062</v>
      </c>
      <c r="T10152" t="s">
        <v>44488</v>
      </c>
      <c r="U10152" t="s">
        <v>53097</v>
      </c>
      <c r="W10152" t="s">
        <v>39355</v>
      </c>
      <c r="X10152" t="s">
        <v>42684</v>
      </c>
    </row>
    <row r="10153" spans="1:24">
      <c r="A10153">
        <f>HYPERLINK("https://www.philgeps.gov.ph/GEPSNONPILOT/Tender/SplashBidNoticeAbstractUI.aspx?menuIndex=3&amp;refID=7172862&amp;Result=3","7172862")</f>
        <v>0</v>
      </c>
      <c r="B10153" t="s">
        <v>1354</v>
      </c>
      <c r="C10153" t="s">
        <v>13221</v>
      </c>
      <c r="D10153" t="s">
        <v>17155</v>
      </c>
      <c r="E10153" t="s">
        <v>25950</v>
      </c>
      <c r="F10153" t="s">
        <v>29372</v>
      </c>
      <c r="G10153" t="s">
        <v>29383</v>
      </c>
      <c r="H10153" t="s">
        <v>11048</v>
      </c>
      <c r="I10153" t="s">
        <v>3629</v>
      </c>
      <c r="J10153" t="s">
        <v>35987</v>
      </c>
      <c r="K10153" t="s">
        <v>38488</v>
      </c>
      <c r="M10153" t="s">
        <v>40191</v>
      </c>
      <c r="N10153" t="s">
        <v>42669</v>
      </c>
      <c r="O10153" t="s">
        <v>42670</v>
      </c>
      <c r="Q10153">
        <v>0</v>
      </c>
      <c r="R10153" t="s">
        <v>42683</v>
      </c>
      <c r="S10153" t="s">
        <v>43025</v>
      </c>
      <c r="T10153" t="s">
        <v>44488</v>
      </c>
      <c r="U10153" t="s">
        <v>53098</v>
      </c>
      <c r="V10153" t="s">
        <v>57511</v>
      </c>
      <c r="W10153" t="s">
        <v>40191</v>
      </c>
      <c r="X10153" t="s">
        <v>42684</v>
      </c>
    </row>
    <row r="10154" spans="1:24">
      <c r="A10154">
        <f>HYPERLINK("https://www.philgeps.gov.ph/GEPSNONPILOT/Tender/SplashBidNoticeAbstractUI.aspx?menuIndex=3&amp;refID=7172858&amp;Result=3","7172858")</f>
        <v>0</v>
      </c>
      <c r="B10154" t="s">
        <v>2943</v>
      </c>
      <c r="C10154" t="s">
        <v>13222</v>
      </c>
      <c r="D10154" t="s">
        <v>17141</v>
      </c>
      <c r="E10154" t="s">
        <v>25951</v>
      </c>
      <c r="F10154" t="s">
        <v>29372</v>
      </c>
      <c r="G10154" t="s">
        <v>29380</v>
      </c>
      <c r="H10154" t="s">
        <v>11048</v>
      </c>
      <c r="I10154" t="s">
        <v>14920</v>
      </c>
      <c r="J10154" t="s">
        <v>35988</v>
      </c>
      <c r="K10154" t="s">
        <v>38491</v>
      </c>
      <c r="M10154" t="s">
        <v>41956</v>
      </c>
      <c r="N10154" t="s">
        <v>42669</v>
      </c>
      <c r="O10154" t="s">
        <v>42670</v>
      </c>
      <c r="P10154">
        <v>0</v>
      </c>
      <c r="Q10154">
        <v>0</v>
      </c>
      <c r="R10154" t="s">
        <v>42683</v>
      </c>
      <c r="S10154" t="s">
        <v>43062</v>
      </c>
      <c r="T10154" t="s">
        <v>44432</v>
      </c>
      <c r="U10154" t="s">
        <v>52967</v>
      </c>
      <c r="W10154" t="s">
        <v>41956</v>
      </c>
      <c r="X10154" t="s">
        <v>42684</v>
      </c>
    </row>
    <row r="10155" spans="1:24">
      <c r="A10155">
        <f>HYPERLINK("https://www.philgeps.gov.ph/GEPSNONPILOT/Tender/SplashBidNoticeAbstractUI.aspx?menuIndex=3&amp;refID=7172907&amp;Result=3","7172907")</f>
        <v>0</v>
      </c>
      <c r="B10155" t="s">
        <v>2959</v>
      </c>
      <c r="C10155" t="s">
        <v>13223</v>
      </c>
      <c r="D10155" t="s">
        <v>17163</v>
      </c>
      <c r="E10155" t="s">
        <v>25952</v>
      </c>
      <c r="F10155" t="s">
        <v>29372</v>
      </c>
      <c r="G10155" t="s">
        <v>29380</v>
      </c>
      <c r="H10155" t="s">
        <v>29389</v>
      </c>
      <c r="I10155" t="s">
        <v>10408</v>
      </c>
      <c r="J10155" t="s">
        <v>35599</v>
      </c>
      <c r="K10155" t="s">
        <v>38495</v>
      </c>
      <c r="M10155" t="s">
        <v>41968</v>
      </c>
      <c r="N10155" t="s">
        <v>42669</v>
      </c>
      <c r="O10155" t="s">
        <v>42670</v>
      </c>
      <c r="Q10155">
        <v>20</v>
      </c>
      <c r="R10155" t="s">
        <v>42683</v>
      </c>
      <c r="S10155" t="s">
        <v>43142</v>
      </c>
      <c r="T10155" t="s">
        <v>44419</v>
      </c>
      <c r="U10155" t="s">
        <v>53093</v>
      </c>
      <c r="W10155" t="s">
        <v>58104</v>
      </c>
      <c r="X10155" t="s">
        <v>42684</v>
      </c>
    </row>
    <row r="10156" spans="1:24">
      <c r="A10156">
        <f>HYPERLINK("https://www.philgeps.gov.ph/GEPSNONPILOT/Tender/SplashBidNoticeAbstractUI.aspx?menuIndex=3&amp;refID=7172813&amp;Result=3","7172813")</f>
        <v>0</v>
      </c>
      <c r="B10156" t="s">
        <v>834</v>
      </c>
      <c r="C10156" t="s">
        <v>13224</v>
      </c>
      <c r="D10156" t="s">
        <v>17187</v>
      </c>
      <c r="E10156" t="s">
        <v>18003</v>
      </c>
      <c r="F10156" t="s">
        <v>29372</v>
      </c>
      <c r="G10156" t="s">
        <v>29382</v>
      </c>
      <c r="H10156" t="s">
        <v>11048</v>
      </c>
      <c r="I10156" t="s">
        <v>3670</v>
      </c>
      <c r="J10156" t="s">
        <v>32144</v>
      </c>
      <c r="K10156" t="s">
        <v>38487</v>
      </c>
      <c r="M10156" t="s">
        <v>39623</v>
      </c>
      <c r="N10156" t="s">
        <v>42669</v>
      </c>
      <c r="O10156" t="s">
        <v>42670</v>
      </c>
      <c r="Q10156">
        <v>6</v>
      </c>
      <c r="R10156" t="s">
        <v>42683</v>
      </c>
      <c r="S10156" t="s">
        <v>43143</v>
      </c>
      <c r="T10156" t="s">
        <v>44385</v>
      </c>
      <c r="U10156" t="s">
        <v>53099</v>
      </c>
      <c r="W10156" t="s">
        <v>39623</v>
      </c>
      <c r="X10156" t="s">
        <v>42684</v>
      </c>
    </row>
    <row r="10157" spans="1:24">
      <c r="A10157">
        <f>HYPERLINK("https://www.philgeps.gov.ph/GEPSNONPILOT/Tender/SplashBidNoticeAbstractUI.aspx?menuIndex=3&amp;refID=7172928&amp;Result=3","7172928")</f>
        <v>0</v>
      </c>
      <c r="B10157" t="s">
        <v>2950</v>
      </c>
      <c r="C10157" t="s">
        <v>13225</v>
      </c>
      <c r="D10157" t="s">
        <v>17151</v>
      </c>
      <c r="E10157" t="s">
        <v>25953</v>
      </c>
      <c r="F10157" t="s">
        <v>29372</v>
      </c>
      <c r="G10157" t="s">
        <v>29380</v>
      </c>
      <c r="H10157" t="s">
        <v>11048</v>
      </c>
      <c r="I10157" t="s">
        <v>29407</v>
      </c>
      <c r="J10157" t="s">
        <v>29526</v>
      </c>
      <c r="K10157" t="s">
        <v>38488</v>
      </c>
      <c r="M10157" t="s">
        <v>41955</v>
      </c>
      <c r="N10157" t="s">
        <v>42669</v>
      </c>
      <c r="O10157" t="s">
        <v>42670</v>
      </c>
      <c r="P10157">
        <v>0</v>
      </c>
      <c r="Q10157">
        <v>1</v>
      </c>
      <c r="R10157" t="s">
        <v>42683</v>
      </c>
      <c r="S10157" t="s">
        <v>43062</v>
      </c>
      <c r="T10157" t="s">
        <v>44389</v>
      </c>
      <c r="U10157" t="s">
        <v>53100</v>
      </c>
      <c r="W10157" t="s">
        <v>41955</v>
      </c>
      <c r="X10157" t="s">
        <v>42684</v>
      </c>
    </row>
    <row r="10158" spans="1:24">
      <c r="A10158">
        <f>HYPERLINK("https://www.philgeps.gov.ph/GEPSNONPILOT/Tender/SplashBidNoticeAbstractUI.aspx?menuIndex=3&amp;refID=7172806&amp;Result=3","7172806")</f>
        <v>0</v>
      </c>
      <c r="B10158" t="s">
        <v>2943</v>
      </c>
      <c r="C10158" t="s">
        <v>13226</v>
      </c>
      <c r="D10158" t="s">
        <v>17141</v>
      </c>
      <c r="E10158" t="s">
        <v>25954</v>
      </c>
      <c r="F10158" t="s">
        <v>29372</v>
      </c>
      <c r="G10158" t="s">
        <v>29380</v>
      </c>
      <c r="H10158" t="s">
        <v>11048</v>
      </c>
      <c r="I10158" t="s">
        <v>5383</v>
      </c>
      <c r="J10158" t="s">
        <v>35989</v>
      </c>
      <c r="K10158" t="s">
        <v>38491</v>
      </c>
      <c r="M10158" t="s">
        <v>41956</v>
      </c>
      <c r="N10158" t="s">
        <v>42669</v>
      </c>
      <c r="O10158" t="s">
        <v>42670</v>
      </c>
      <c r="P10158">
        <v>0</v>
      </c>
      <c r="Q10158">
        <v>1</v>
      </c>
      <c r="R10158" t="s">
        <v>42683</v>
      </c>
      <c r="S10158" t="s">
        <v>43062</v>
      </c>
      <c r="T10158" t="s">
        <v>44432</v>
      </c>
      <c r="U10158" t="s">
        <v>52966</v>
      </c>
      <c r="W10158" t="s">
        <v>41956</v>
      </c>
      <c r="X10158" t="s">
        <v>42684</v>
      </c>
    </row>
    <row r="10159" spans="1:24">
      <c r="A10159">
        <f>HYPERLINK("https://www.philgeps.gov.ph/GEPSNONPILOT/Tender/SplashBidNoticeAbstractUI.aspx?menuIndex=3&amp;refID=7172835&amp;Result=3","7172835")</f>
        <v>0</v>
      </c>
      <c r="B10159" t="s">
        <v>2959</v>
      </c>
      <c r="C10159" t="s">
        <v>13227</v>
      </c>
      <c r="D10159" t="s">
        <v>17163</v>
      </c>
      <c r="E10159" t="s">
        <v>25955</v>
      </c>
      <c r="F10159" t="s">
        <v>29372</v>
      </c>
      <c r="G10159" t="s">
        <v>29380</v>
      </c>
      <c r="H10159" t="s">
        <v>29389</v>
      </c>
      <c r="I10159" t="s">
        <v>10408</v>
      </c>
      <c r="J10159" t="s">
        <v>35990</v>
      </c>
      <c r="K10159" t="s">
        <v>38496</v>
      </c>
      <c r="M10159" t="s">
        <v>41968</v>
      </c>
      <c r="N10159" t="s">
        <v>42669</v>
      </c>
      <c r="O10159" t="s">
        <v>42670</v>
      </c>
      <c r="Q10159">
        <v>19</v>
      </c>
      <c r="R10159" t="s">
        <v>42683</v>
      </c>
      <c r="S10159" t="s">
        <v>43144</v>
      </c>
      <c r="T10159" t="s">
        <v>44419</v>
      </c>
      <c r="U10159" t="s">
        <v>53093</v>
      </c>
      <c r="W10159" t="s">
        <v>58104</v>
      </c>
      <c r="X10159" t="s">
        <v>42684</v>
      </c>
    </row>
    <row r="10160" spans="1:24">
      <c r="A10160">
        <f>HYPERLINK("https://www.philgeps.gov.ph/GEPSNONPILOT/Tender/SplashBidNoticeAbstractUI.aspx?menuIndex=3&amp;refID=7172831&amp;Result=3","7172831")</f>
        <v>0</v>
      </c>
      <c r="B10160" t="s">
        <v>2943</v>
      </c>
      <c r="C10160" t="s">
        <v>13228</v>
      </c>
      <c r="D10160" t="s">
        <v>17141</v>
      </c>
      <c r="E10160" t="s">
        <v>25956</v>
      </c>
      <c r="F10160" t="s">
        <v>29372</v>
      </c>
      <c r="G10160" t="s">
        <v>29380</v>
      </c>
      <c r="H10160" t="s">
        <v>11048</v>
      </c>
      <c r="I10160" t="s">
        <v>5383</v>
      </c>
      <c r="J10160" t="s">
        <v>30302</v>
      </c>
      <c r="K10160" t="s">
        <v>38491</v>
      </c>
      <c r="M10160" t="s">
        <v>41956</v>
      </c>
      <c r="N10160" t="s">
        <v>42669</v>
      </c>
      <c r="O10160" t="s">
        <v>42670</v>
      </c>
      <c r="P10160">
        <v>0</v>
      </c>
      <c r="Q10160">
        <v>0</v>
      </c>
      <c r="R10160" t="s">
        <v>42683</v>
      </c>
      <c r="S10160" t="s">
        <v>43062</v>
      </c>
      <c r="T10160" t="s">
        <v>44432</v>
      </c>
      <c r="U10160" t="s">
        <v>52966</v>
      </c>
      <c r="W10160" t="s">
        <v>41956</v>
      </c>
      <c r="X10160" t="s">
        <v>42684</v>
      </c>
    </row>
    <row r="10161" spans="1:24">
      <c r="A10161">
        <f>HYPERLINK("https://www.philgeps.gov.ph/GEPSNONPILOT/Tender/SplashBidNoticeAbstractUI.aspx?menuIndex=3&amp;refID=7173063&amp;Result=3","7173063")</f>
        <v>0</v>
      </c>
      <c r="B10161" t="s">
        <v>2961</v>
      </c>
      <c r="C10161" t="s">
        <v>13229</v>
      </c>
      <c r="D10161" t="s">
        <v>17186</v>
      </c>
      <c r="E10161" t="s">
        <v>25957</v>
      </c>
      <c r="F10161" t="s">
        <v>29372</v>
      </c>
      <c r="G10161" t="s">
        <v>29380</v>
      </c>
      <c r="H10161" t="s">
        <v>11048</v>
      </c>
      <c r="I10161" t="s">
        <v>29447</v>
      </c>
      <c r="J10161" t="s">
        <v>29708</v>
      </c>
      <c r="K10161" t="s">
        <v>38496</v>
      </c>
      <c r="M10161" t="s">
        <v>41970</v>
      </c>
      <c r="N10161" t="s">
        <v>42669</v>
      </c>
      <c r="O10161" t="s">
        <v>42670</v>
      </c>
      <c r="P10161">
        <v>0</v>
      </c>
      <c r="Q10161">
        <v>2</v>
      </c>
      <c r="R10161" t="s">
        <v>42683</v>
      </c>
      <c r="S10161" t="s">
        <v>43062</v>
      </c>
      <c r="T10161" t="s">
        <v>44432</v>
      </c>
      <c r="U10161" t="s">
        <v>53101</v>
      </c>
      <c r="W10161" t="s">
        <v>41970</v>
      </c>
      <c r="X10161" t="s">
        <v>42684</v>
      </c>
    </row>
    <row r="10162" spans="1:24">
      <c r="A10162">
        <f>HYPERLINK("https://www.philgeps.gov.ph/GEPSNONPILOT/Tender/SplashBidNoticeAbstractUI.aspx?menuIndex=3&amp;refID=7173057&amp;Result=3","7173057")</f>
        <v>0</v>
      </c>
      <c r="B10162" t="s">
        <v>781</v>
      </c>
      <c r="C10162" t="s">
        <v>13230</v>
      </c>
      <c r="D10162" t="s">
        <v>17163</v>
      </c>
      <c r="E10162" t="s">
        <v>25958</v>
      </c>
      <c r="F10162" t="s">
        <v>29372</v>
      </c>
      <c r="G10162" t="s">
        <v>29380</v>
      </c>
      <c r="H10162" t="s">
        <v>29389</v>
      </c>
      <c r="I10162" t="s">
        <v>10408</v>
      </c>
      <c r="J10162" t="s">
        <v>35991</v>
      </c>
      <c r="K10162" t="s">
        <v>38487</v>
      </c>
      <c r="M10162" t="s">
        <v>41971</v>
      </c>
      <c r="N10162" t="s">
        <v>42669</v>
      </c>
      <c r="O10162" t="s">
        <v>42670</v>
      </c>
      <c r="P10162">
        <v>0</v>
      </c>
      <c r="Q10162">
        <v>74</v>
      </c>
      <c r="R10162" t="s">
        <v>42683</v>
      </c>
      <c r="S10162" t="s">
        <v>43062</v>
      </c>
      <c r="T10162" t="s">
        <v>44373</v>
      </c>
      <c r="U10162" t="s">
        <v>46453</v>
      </c>
      <c r="V10162" t="s">
        <v>57370</v>
      </c>
      <c r="W10162" t="s">
        <v>58096</v>
      </c>
      <c r="X10162" t="s">
        <v>42684</v>
      </c>
    </row>
    <row r="10163" spans="1:24">
      <c r="A10163">
        <f>HYPERLINK("https://www.philgeps.gov.ph/GEPSNONPILOT/Tender/SplashBidNoticeAbstractUI.aspx?menuIndex=3&amp;refID=7173048&amp;Result=3","7173048")</f>
        <v>0</v>
      </c>
      <c r="B10163" t="s">
        <v>2962</v>
      </c>
      <c r="C10163" t="s">
        <v>13231</v>
      </c>
      <c r="D10163" t="s">
        <v>17177</v>
      </c>
      <c r="E10163" t="s">
        <v>25959</v>
      </c>
      <c r="F10163" t="s">
        <v>29372</v>
      </c>
      <c r="G10163" t="s">
        <v>29380</v>
      </c>
      <c r="H10163" t="s">
        <v>11048</v>
      </c>
      <c r="I10163" t="s">
        <v>3839</v>
      </c>
      <c r="J10163" t="s">
        <v>35992</v>
      </c>
      <c r="K10163" t="s">
        <v>38485</v>
      </c>
      <c r="M10163" t="s">
        <v>41972</v>
      </c>
      <c r="N10163" t="s">
        <v>42669</v>
      </c>
      <c r="O10163" t="s">
        <v>42670</v>
      </c>
      <c r="P10163">
        <v>0</v>
      </c>
      <c r="Q10163">
        <v>3</v>
      </c>
      <c r="R10163" t="s">
        <v>42683</v>
      </c>
      <c r="S10163" t="s">
        <v>43062</v>
      </c>
      <c r="T10163" t="s">
        <v>44568</v>
      </c>
      <c r="U10163" t="s">
        <v>53102</v>
      </c>
      <c r="W10163" t="s">
        <v>41972</v>
      </c>
      <c r="X10163" t="s">
        <v>42684</v>
      </c>
    </row>
    <row r="10164" spans="1:24">
      <c r="A10164">
        <f>HYPERLINK("https://www.philgeps.gov.ph/GEPSNONPILOT/Tender/SplashBidNoticeAbstractUI.aspx?menuIndex=3&amp;refID=7172636&amp;Result=3","7172636")</f>
        <v>0</v>
      </c>
      <c r="B10164" t="s">
        <v>2943</v>
      </c>
      <c r="C10164" t="s">
        <v>13232</v>
      </c>
      <c r="D10164" t="s">
        <v>17141</v>
      </c>
      <c r="E10164" t="s">
        <v>25960</v>
      </c>
      <c r="F10164" t="s">
        <v>29372</v>
      </c>
      <c r="G10164" t="s">
        <v>29380</v>
      </c>
      <c r="H10164" t="s">
        <v>11048</v>
      </c>
      <c r="I10164" t="s">
        <v>5383</v>
      </c>
      <c r="J10164" t="s">
        <v>35993</v>
      </c>
      <c r="K10164" t="s">
        <v>38491</v>
      </c>
      <c r="M10164" t="s">
        <v>41956</v>
      </c>
      <c r="N10164" t="s">
        <v>42669</v>
      </c>
      <c r="O10164" t="s">
        <v>42670</v>
      </c>
      <c r="P10164">
        <v>0</v>
      </c>
      <c r="Q10164">
        <v>0</v>
      </c>
      <c r="R10164" t="s">
        <v>42683</v>
      </c>
      <c r="S10164" t="s">
        <v>43062</v>
      </c>
      <c r="T10164" t="s">
        <v>44432</v>
      </c>
      <c r="U10164" t="s">
        <v>52966</v>
      </c>
      <c r="W10164" t="s">
        <v>41956</v>
      </c>
      <c r="X10164" t="s">
        <v>42684</v>
      </c>
    </row>
    <row r="10165" spans="1:24">
      <c r="A10165">
        <f>HYPERLINK("https://www.philgeps.gov.ph/GEPSNONPILOT/Tender/SplashBidNoticeAbstractUI.aspx?menuIndex=3&amp;refID=7172889&amp;Result=3","7172889")</f>
        <v>0</v>
      </c>
      <c r="B10165" t="s">
        <v>1354</v>
      </c>
      <c r="C10165" t="s">
        <v>13233</v>
      </c>
      <c r="D10165" t="s">
        <v>17155</v>
      </c>
      <c r="E10165" t="s">
        <v>25961</v>
      </c>
      <c r="F10165" t="s">
        <v>29372</v>
      </c>
      <c r="G10165" t="s">
        <v>29383</v>
      </c>
      <c r="H10165" t="s">
        <v>11048</v>
      </c>
      <c r="I10165" t="s">
        <v>3629</v>
      </c>
      <c r="J10165" t="s">
        <v>35994</v>
      </c>
      <c r="K10165" t="s">
        <v>38488</v>
      </c>
      <c r="M10165" t="s">
        <v>40191</v>
      </c>
      <c r="N10165" t="s">
        <v>42669</v>
      </c>
      <c r="O10165" t="s">
        <v>42670</v>
      </c>
      <c r="Q10165">
        <v>0</v>
      </c>
      <c r="R10165" t="s">
        <v>42683</v>
      </c>
      <c r="S10165" t="s">
        <v>43145</v>
      </c>
      <c r="T10165" t="s">
        <v>44488</v>
      </c>
      <c r="U10165" t="s">
        <v>53098</v>
      </c>
      <c r="V10165" t="s">
        <v>57512</v>
      </c>
      <c r="W10165" t="s">
        <v>40191</v>
      </c>
      <c r="X10165" t="s">
        <v>42684</v>
      </c>
    </row>
    <row r="10166" spans="1:24">
      <c r="A10166">
        <f>HYPERLINK("https://www.philgeps.gov.ph/GEPSNONPILOT/Tender/SplashBidNoticeAbstractUI.aspx?menuIndex=3&amp;refID=7173034&amp;Result=3","7173034")</f>
        <v>0</v>
      </c>
      <c r="B10166" t="s">
        <v>775</v>
      </c>
      <c r="C10166" t="s">
        <v>13234</v>
      </c>
      <c r="D10166" t="s">
        <v>17181</v>
      </c>
      <c r="E10166" t="s">
        <v>25962</v>
      </c>
      <c r="F10166" t="s">
        <v>29372</v>
      </c>
      <c r="G10166" t="s">
        <v>29380</v>
      </c>
      <c r="H10166" t="s">
        <v>11048</v>
      </c>
      <c r="I10166" t="s">
        <v>29398</v>
      </c>
      <c r="J10166" t="s">
        <v>33016</v>
      </c>
      <c r="K10166" t="s">
        <v>38485</v>
      </c>
      <c r="M10166" t="s">
        <v>39559</v>
      </c>
      <c r="N10166" t="s">
        <v>42669</v>
      </c>
      <c r="O10166" t="s">
        <v>42670</v>
      </c>
      <c r="P10166">
        <v>0</v>
      </c>
      <c r="Q10166">
        <v>0</v>
      </c>
      <c r="R10166" t="s">
        <v>42683</v>
      </c>
      <c r="S10166" t="s">
        <v>43062</v>
      </c>
      <c r="T10166" t="s">
        <v>44488</v>
      </c>
      <c r="U10166" t="s">
        <v>53103</v>
      </c>
      <c r="W10166" t="s">
        <v>39559</v>
      </c>
      <c r="X10166" t="s">
        <v>42684</v>
      </c>
    </row>
    <row r="10167" spans="1:24">
      <c r="A10167">
        <f>HYPERLINK("https://www.philgeps.gov.ph/GEPSNONPILOT/Tender/SplashBidNoticeAbstractUI.aspx?menuIndex=3&amp;refID=7173007&amp;Result=3","7173007")</f>
        <v>0</v>
      </c>
      <c r="B10167" t="s">
        <v>476</v>
      </c>
      <c r="C10167" t="s">
        <v>13235</v>
      </c>
      <c r="E10167" t="s">
        <v>18425</v>
      </c>
      <c r="F10167" t="s">
        <v>29372</v>
      </c>
      <c r="G10167" t="s">
        <v>29380</v>
      </c>
      <c r="H10167" t="s">
        <v>11048</v>
      </c>
      <c r="I10167" t="s">
        <v>4709</v>
      </c>
      <c r="J10167" t="s">
        <v>35995</v>
      </c>
      <c r="K10167" t="s">
        <v>38490</v>
      </c>
      <c r="M10167" t="s">
        <v>39241</v>
      </c>
      <c r="N10167" t="s">
        <v>42669</v>
      </c>
      <c r="O10167" t="s">
        <v>42670</v>
      </c>
      <c r="Q10167">
        <v>0</v>
      </c>
      <c r="R10167" t="s">
        <v>42683</v>
      </c>
      <c r="S10167" t="s">
        <v>43146</v>
      </c>
      <c r="T10167" t="s">
        <v>44488</v>
      </c>
      <c r="U10167" t="s">
        <v>52462</v>
      </c>
      <c r="W10167" t="s">
        <v>39241</v>
      </c>
      <c r="X10167" t="s">
        <v>42684</v>
      </c>
    </row>
    <row r="10168" spans="1:24">
      <c r="A10168">
        <f>HYPERLINK("https://www.philgeps.gov.ph/GEPSNONPILOT/Tender/SplashBidNoticeAbstractUI.aspx?menuIndex=3&amp;refID=7172903&amp;Result=3","7172903")</f>
        <v>0</v>
      </c>
      <c r="B10168" t="s">
        <v>2943</v>
      </c>
      <c r="C10168" t="s">
        <v>13236</v>
      </c>
      <c r="D10168" t="s">
        <v>17141</v>
      </c>
      <c r="E10168" t="s">
        <v>25963</v>
      </c>
      <c r="F10168" t="s">
        <v>29372</v>
      </c>
      <c r="G10168" t="s">
        <v>29380</v>
      </c>
      <c r="H10168" t="s">
        <v>11048</v>
      </c>
      <c r="I10168" t="s">
        <v>14920</v>
      </c>
      <c r="J10168" t="s">
        <v>35996</v>
      </c>
      <c r="K10168" t="s">
        <v>38491</v>
      </c>
      <c r="M10168" t="s">
        <v>41956</v>
      </c>
      <c r="N10168" t="s">
        <v>42669</v>
      </c>
      <c r="O10168" t="s">
        <v>42670</v>
      </c>
      <c r="P10168">
        <v>0</v>
      </c>
      <c r="Q10168">
        <v>0</v>
      </c>
      <c r="R10168" t="s">
        <v>42683</v>
      </c>
      <c r="S10168" t="s">
        <v>43062</v>
      </c>
      <c r="T10168" t="s">
        <v>44432</v>
      </c>
      <c r="U10168" t="s">
        <v>52967</v>
      </c>
      <c r="W10168" t="s">
        <v>41956</v>
      </c>
      <c r="X10168" t="s">
        <v>42684</v>
      </c>
    </row>
    <row r="10169" spans="1:24">
      <c r="A10169">
        <f>HYPERLINK("https://www.philgeps.gov.ph/GEPSNONPILOT/Tender/SplashBidNoticeAbstractUI.aspx?menuIndex=3&amp;refID=7173066&amp;Result=3","7173066")</f>
        <v>0</v>
      </c>
      <c r="B10169" t="s">
        <v>1380</v>
      </c>
      <c r="C10169" t="s">
        <v>13237</v>
      </c>
      <c r="D10169" t="s">
        <v>17200</v>
      </c>
      <c r="E10169" t="s">
        <v>25964</v>
      </c>
      <c r="F10169" t="s">
        <v>29372</v>
      </c>
      <c r="G10169" t="s">
        <v>29380</v>
      </c>
      <c r="H10169" t="s">
        <v>29389</v>
      </c>
      <c r="I10169" t="s">
        <v>10408</v>
      </c>
      <c r="J10169" t="s">
        <v>34701</v>
      </c>
      <c r="K10169" t="s">
        <v>38622</v>
      </c>
      <c r="M10169" t="s">
        <v>40217</v>
      </c>
      <c r="N10169" t="s">
        <v>42669</v>
      </c>
      <c r="O10169" t="s">
        <v>42670</v>
      </c>
      <c r="P10169">
        <v>0</v>
      </c>
      <c r="Q10169">
        <v>0</v>
      </c>
      <c r="R10169" t="s">
        <v>42683</v>
      </c>
      <c r="S10169" t="s">
        <v>43062</v>
      </c>
      <c r="T10169" t="s">
        <v>44527</v>
      </c>
      <c r="U10169" t="s">
        <v>53104</v>
      </c>
      <c r="V10169" t="s">
        <v>57513</v>
      </c>
      <c r="W10169" t="s">
        <v>40217</v>
      </c>
      <c r="X10169" t="s">
        <v>42684</v>
      </c>
    </row>
    <row r="10170" spans="1:24">
      <c r="A10170">
        <f>HYPERLINK("https://www.philgeps.gov.ph/GEPSNONPILOT/Tender/SplashBidNoticeAbstractUI.aspx?menuIndex=3&amp;refID=7173025&amp;Result=3","7173025")</f>
        <v>0</v>
      </c>
      <c r="B10170" t="s">
        <v>1380</v>
      </c>
      <c r="C10170" t="s">
        <v>13238</v>
      </c>
      <c r="D10170" t="s">
        <v>17200</v>
      </c>
      <c r="E10170" t="s">
        <v>25965</v>
      </c>
      <c r="F10170" t="s">
        <v>29372</v>
      </c>
      <c r="G10170" t="s">
        <v>29380</v>
      </c>
      <c r="H10170" t="s">
        <v>29389</v>
      </c>
      <c r="I10170" t="s">
        <v>10408</v>
      </c>
      <c r="J10170" t="s">
        <v>35997</v>
      </c>
      <c r="K10170" t="s">
        <v>38544</v>
      </c>
      <c r="M10170" t="s">
        <v>40217</v>
      </c>
      <c r="N10170" t="s">
        <v>42669</v>
      </c>
      <c r="O10170" t="s">
        <v>42670</v>
      </c>
      <c r="P10170">
        <v>0</v>
      </c>
      <c r="Q10170">
        <v>2</v>
      </c>
      <c r="R10170" t="s">
        <v>42683</v>
      </c>
      <c r="S10170" t="s">
        <v>43062</v>
      </c>
      <c r="T10170" t="s">
        <v>44527</v>
      </c>
      <c r="U10170" t="s">
        <v>53105</v>
      </c>
      <c r="V10170" t="s">
        <v>57514</v>
      </c>
      <c r="W10170" t="s">
        <v>40217</v>
      </c>
      <c r="X10170" t="s">
        <v>42684</v>
      </c>
    </row>
    <row r="10171" spans="1:24">
      <c r="A10171">
        <f>HYPERLINK("https://www.philgeps.gov.ph/GEPSNONPILOT/Tender/SplashBidNoticeAbstractUI.aspx?menuIndex=3&amp;refID=7173008&amp;Result=3","7173008")</f>
        <v>0</v>
      </c>
      <c r="B10171" t="s">
        <v>2960</v>
      </c>
      <c r="C10171" t="s">
        <v>13239</v>
      </c>
      <c r="D10171" t="s">
        <v>17156</v>
      </c>
      <c r="E10171" t="s">
        <v>25966</v>
      </c>
      <c r="F10171" t="s">
        <v>29372</v>
      </c>
      <c r="G10171" t="s">
        <v>29380</v>
      </c>
      <c r="H10171" t="s">
        <v>29389</v>
      </c>
      <c r="I10171" t="s">
        <v>10408</v>
      </c>
      <c r="J10171" t="s">
        <v>29623</v>
      </c>
      <c r="K10171" t="s">
        <v>38527</v>
      </c>
      <c r="M10171" t="s">
        <v>41969</v>
      </c>
      <c r="N10171" t="s">
        <v>42669</v>
      </c>
      <c r="O10171" t="s">
        <v>42670</v>
      </c>
      <c r="Q10171">
        <v>2</v>
      </c>
      <c r="R10171" t="s">
        <v>42683</v>
      </c>
      <c r="S10171" t="s">
        <v>43147</v>
      </c>
      <c r="T10171" t="s">
        <v>44527</v>
      </c>
      <c r="U10171" t="s">
        <v>53106</v>
      </c>
      <c r="W10171" t="s">
        <v>41969</v>
      </c>
      <c r="X10171" t="s">
        <v>42684</v>
      </c>
    </row>
    <row r="10172" spans="1:24">
      <c r="A10172">
        <f>HYPERLINK("https://www.philgeps.gov.ph/GEPSNONPILOT/Tender/SplashBidNoticeAbstractUI.aspx?menuIndex=3&amp;refID=7173043&amp;Result=3","7173043")</f>
        <v>0</v>
      </c>
      <c r="B10172" t="s">
        <v>2961</v>
      </c>
      <c r="C10172" t="s">
        <v>13240</v>
      </c>
      <c r="D10172" t="s">
        <v>17186</v>
      </c>
      <c r="E10172" t="s">
        <v>25967</v>
      </c>
      <c r="F10172" t="s">
        <v>29372</v>
      </c>
      <c r="G10172" t="s">
        <v>29380</v>
      </c>
      <c r="H10172" t="s">
        <v>29389</v>
      </c>
      <c r="I10172" t="s">
        <v>10408</v>
      </c>
      <c r="J10172" t="s">
        <v>29609</v>
      </c>
      <c r="K10172" t="s">
        <v>38496</v>
      </c>
      <c r="M10172" t="s">
        <v>41970</v>
      </c>
      <c r="N10172" t="s">
        <v>42669</v>
      </c>
      <c r="O10172" t="s">
        <v>42670</v>
      </c>
      <c r="P10172">
        <v>0</v>
      </c>
      <c r="Q10172">
        <v>2</v>
      </c>
      <c r="R10172" t="s">
        <v>42683</v>
      </c>
      <c r="S10172" t="s">
        <v>43062</v>
      </c>
      <c r="T10172" t="s">
        <v>44432</v>
      </c>
      <c r="U10172" t="s">
        <v>53107</v>
      </c>
      <c r="W10172" t="s">
        <v>41970</v>
      </c>
      <c r="X10172" t="s">
        <v>42684</v>
      </c>
    </row>
    <row r="10173" spans="1:24">
      <c r="A10173">
        <f>HYPERLINK("https://www.philgeps.gov.ph/GEPSNONPILOT/Tender/SplashBidNoticeAbstractUI.aspx?menuIndex=3&amp;refID=7172974&amp;Result=3","7172974")</f>
        <v>0</v>
      </c>
      <c r="B10173" t="s">
        <v>1354</v>
      </c>
      <c r="C10173" t="s">
        <v>13241</v>
      </c>
      <c r="D10173" t="s">
        <v>17155</v>
      </c>
      <c r="E10173" t="s">
        <v>25968</v>
      </c>
      <c r="F10173" t="s">
        <v>29372</v>
      </c>
      <c r="G10173" t="s">
        <v>29383</v>
      </c>
      <c r="H10173" t="s">
        <v>11048</v>
      </c>
      <c r="I10173" t="s">
        <v>3629</v>
      </c>
      <c r="J10173" t="s">
        <v>35998</v>
      </c>
      <c r="K10173" t="s">
        <v>38488</v>
      </c>
      <c r="M10173" t="s">
        <v>40191</v>
      </c>
      <c r="N10173" t="s">
        <v>42669</v>
      </c>
      <c r="O10173" t="s">
        <v>42670</v>
      </c>
      <c r="Q10173">
        <v>0</v>
      </c>
      <c r="R10173" t="s">
        <v>42683</v>
      </c>
      <c r="S10173" t="s">
        <v>43148</v>
      </c>
      <c r="T10173" t="s">
        <v>44488</v>
      </c>
      <c r="U10173" t="s">
        <v>53098</v>
      </c>
      <c r="V10173" t="s">
        <v>57515</v>
      </c>
      <c r="W10173" t="s">
        <v>40191</v>
      </c>
      <c r="X10173" t="s">
        <v>42684</v>
      </c>
    </row>
    <row r="10174" spans="1:24">
      <c r="A10174">
        <f>HYPERLINK("https://www.philgeps.gov.ph/GEPSNONPILOT/Tender/SplashBidNoticeAbstractUI.aspx?menuIndex=3&amp;refID=7172955&amp;Result=3","7172955")</f>
        <v>0</v>
      </c>
      <c r="B10174" t="s">
        <v>2961</v>
      </c>
      <c r="C10174" t="s">
        <v>13242</v>
      </c>
      <c r="D10174" t="s">
        <v>17186</v>
      </c>
      <c r="E10174" t="s">
        <v>25969</v>
      </c>
      <c r="F10174" t="s">
        <v>29372</v>
      </c>
      <c r="G10174" t="s">
        <v>29380</v>
      </c>
      <c r="H10174" t="s">
        <v>29389</v>
      </c>
      <c r="I10174" t="s">
        <v>10408</v>
      </c>
      <c r="J10174" t="s">
        <v>29708</v>
      </c>
      <c r="K10174" t="s">
        <v>38496</v>
      </c>
      <c r="M10174" t="s">
        <v>41970</v>
      </c>
      <c r="N10174" t="s">
        <v>42669</v>
      </c>
      <c r="O10174" t="s">
        <v>42670</v>
      </c>
      <c r="P10174">
        <v>0</v>
      </c>
      <c r="Q10174">
        <v>1</v>
      </c>
      <c r="R10174" t="s">
        <v>42683</v>
      </c>
      <c r="S10174" t="s">
        <v>43062</v>
      </c>
      <c r="T10174" t="s">
        <v>44432</v>
      </c>
      <c r="U10174" t="s">
        <v>53108</v>
      </c>
      <c r="W10174" t="s">
        <v>41970</v>
      </c>
      <c r="X10174" t="s">
        <v>42684</v>
      </c>
    </row>
    <row r="10175" spans="1:24">
      <c r="A10175">
        <f>HYPERLINK("https://www.philgeps.gov.ph/GEPSNONPILOT/Tender/SplashBidNoticeAbstractUI.aspx?menuIndex=3&amp;refID=7172954&amp;Result=3","7172954")</f>
        <v>0</v>
      </c>
      <c r="B10175" t="s">
        <v>476</v>
      </c>
      <c r="C10175" t="s">
        <v>13243</v>
      </c>
      <c r="E10175" t="s">
        <v>25970</v>
      </c>
      <c r="F10175" t="s">
        <v>29372</v>
      </c>
      <c r="G10175" t="s">
        <v>29380</v>
      </c>
      <c r="H10175" t="s">
        <v>29389</v>
      </c>
      <c r="I10175" t="s">
        <v>10408</v>
      </c>
      <c r="J10175" t="s">
        <v>35999</v>
      </c>
      <c r="K10175" t="s">
        <v>38490</v>
      </c>
      <c r="M10175" t="s">
        <v>39241</v>
      </c>
      <c r="N10175" t="s">
        <v>42669</v>
      </c>
      <c r="O10175" t="s">
        <v>42670</v>
      </c>
      <c r="Q10175">
        <v>0</v>
      </c>
      <c r="R10175" t="s">
        <v>42683</v>
      </c>
      <c r="S10175" t="s">
        <v>43149</v>
      </c>
      <c r="T10175" t="s">
        <v>44488</v>
      </c>
      <c r="U10175" t="s">
        <v>52462</v>
      </c>
      <c r="W10175" t="s">
        <v>39241</v>
      </c>
      <c r="X10175" t="s">
        <v>42684</v>
      </c>
    </row>
    <row r="10176" spans="1:24">
      <c r="A10176">
        <f>HYPERLINK("https://www.philgeps.gov.ph/GEPSNONPILOT/Tender/SplashBidNoticeAbstractUI.aspx?menuIndex=3&amp;refID=7173051&amp;Result=3","7173051")</f>
        <v>0</v>
      </c>
      <c r="B10176" t="s">
        <v>891</v>
      </c>
      <c r="C10176" t="s">
        <v>13244</v>
      </c>
      <c r="D10176" t="s">
        <v>17158</v>
      </c>
      <c r="E10176" t="s">
        <v>20560</v>
      </c>
      <c r="F10176" t="s">
        <v>29372</v>
      </c>
      <c r="G10176" t="s">
        <v>29380</v>
      </c>
      <c r="H10176" t="s">
        <v>11048</v>
      </c>
      <c r="I10176" t="s">
        <v>29398</v>
      </c>
      <c r="J10176" t="s">
        <v>36000</v>
      </c>
      <c r="K10176" t="s">
        <v>38488</v>
      </c>
      <c r="M10176" t="s">
        <v>39684</v>
      </c>
      <c r="N10176" t="s">
        <v>42669</v>
      </c>
      <c r="O10176" t="s">
        <v>42670</v>
      </c>
      <c r="P10176">
        <v>0</v>
      </c>
      <c r="Q10176">
        <v>1</v>
      </c>
      <c r="R10176" t="s">
        <v>42683</v>
      </c>
      <c r="S10176" t="s">
        <v>43062</v>
      </c>
      <c r="T10176" t="s">
        <v>44564</v>
      </c>
      <c r="U10176" t="s">
        <v>53109</v>
      </c>
      <c r="W10176" t="s">
        <v>39684</v>
      </c>
      <c r="X10176" t="s">
        <v>42684</v>
      </c>
    </row>
    <row r="10177" spans="1:24">
      <c r="A10177">
        <f>HYPERLINK("https://www.philgeps.gov.ph/GEPSNONPILOT/Tender/SplashBidNoticeAbstractUI.aspx?menuIndex=3&amp;refID=7172976&amp;Result=3","7172976")</f>
        <v>0</v>
      </c>
      <c r="B10177" t="s">
        <v>2962</v>
      </c>
      <c r="C10177" t="s">
        <v>13245</v>
      </c>
      <c r="D10177" t="s">
        <v>17177</v>
      </c>
      <c r="E10177" t="s">
        <v>25971</v>
      </c>
      <c r="F10177" t="s">
        <v>29372</v>
      </c>
      <c r="G10177" t="s">
        <v>29380</v>
      </c>
      <c r="H10177" t="s">
        <v>29389</v>
      </c>
      <c r="I10177" t="s">
        <v>10408</v>
      </c>
      <c r="J10177" t="s">
        <v>29728</v>
      </c>
      <c r="K10177" t="s">
        <v>38525</v>
      </c>
      <c r="M10177" t="s">
        <v>41972</v>
      </c>
      <c r="N10177" t="s">
        <v>42669</v>
      </c>
      <c r="O10177" t="s">
        <v>42670</v>
      </c>
      <c r="P10177">
        <v>0</v>
      </c>
      <c r="Q10177">
        <v>2</v>
      </c>
      <c r="R10177" t="s">
        <v>42683</v>
      </c>
      <c r="S10177" t="s">
        <v>43062</v>
      </c>
      <c r="T10177" t="s">
        <v>44568</v>
      </c>
      <c r="U10177" t="s">
        <v>53110</v>
      </c>
      <c r="W10177" t="s">
        <v>41972</v>
      </c>
      <c r="X10177" t="s">
        <v>42684</v>
      </c>
    </row>
    <row r="10178" spans="1:24">
      <c r="A10178">
        <f>HYPERLINK("https://www.philgeps.gov.ph/GEPSNONPILOT/Tender/SplashBidNoticeAbstractUI.aspx?menuIndex=3&amp;refID=7173190&amp;Result=3","7173190")</f>
        <v>0</v>
      </c>
      <c r="B10178" t="s">
        <v>2963</v>
      </c>
      <c r="C10178" t="s">
        <v>13246</v>
      </c>
      <c r="D10178" t="s">
        <v>17167</v>
      </c>
      <c r="E10178" t="s">
        <v>18463</v>
      </c>
      <c r="F10178" t="s">
        <v>29372</v>
      </c>
      <c r="G10178" t="s">
        <v>29380</v>
      </c>
      <c r="H10178" t="s">
        <v>29389</v>
      </c>
      <c r="I10178" t="s">
        <v>10408</v>
      </c>
      <c r="J10178" t="s">
        <v>36001</v>
      </c>
      <c r="K10178" t="s">
        <v>38708</v>
      </c>
      <c r="M10178" t="s">
        <v>41973</v>
      </c>
      <c r="N10178" t="s">
        <v>42669</v>
      </c>
      <c r="O10178" t="s">
        <v>42670</v>
      </c>
      <c r="P10178">
        <v>0</v>
      </c>
      <c r="Q10178">
        <v>0</v>
      </c>
      <c r="R10178" t="s">
        <v>42683</v>
      </c>
      <c r="S10178" t="s">
        <v>43062</v>
      </c>
      <c r="T10178" t="s">
        <v>44789</v>
      </c>
      <c r="U10178" t="s">
        <v>53111</v>
      </c>
      <c r="W10178" t="s">
        <v>41973</v>
      </c>
      <c r="X10178" t="s">
        <v>42684</v>
      </c>
    </row>
    <row r="10179" spans="1:24">
      <c r="A10179">
        <f>HYPERLINK("https://www.philgeps.gov.ph/GEPSNONPILOT/Tender/SplashBidNoticeAbstractUI.aspx?menuIndex=3&amp;refID=7172931&amp;Result=3","7172931")</f>
        <v>0</v>
      </c>
      <c r="B10179" t="s">
        <v>2959</v>
      </c>
      <c r="C10179" t="s">
        <v>13247</v>
      </c>
      <c r="D10179" t="s">
        <v>17163</v>
      </c>
      <c r="E10179" t="s">
        <v>25972</v>
      </c>
      <c r="F10179" t="s">
        <v>29372</v>
      </c>
      <c r="G10179" t="s">
        <v>29380</v>
      </c>
      <c r="H10179" t="s">
        <v>29389</v>
      </c>
      <c r="I10179" t="s">
        <v>10408</v>
      </c>
      <c r="J10179" t="s">
        <v>31157</v>
      </c>
      <c r="K10179" t="s">
        <v>38525</v>
      </c>
      <c r="M10179" t="s">
        <v>41968</v>
      </c>
      <c r="N10179" t="s">
        <v>42669</v>
      </c>
      <c r="O10179" t="s">
        <v>42670</v>
      </c>
      <c r="Q10179">
        <v>21</v>
      </c>
      <c r="R10179" t="s">
        <v>42683</v>
      </c>
      <c r="S10179" t="s">
        <v>43150</v>
      </c>
      <c r="T10179" t="s">
        <v>44419</v>
      </c>
      <c r="U10179" t="s">
        <v>53093</v>
      </c>
      <c r="W10179" t="s">
        <v>58104</v>
      </c>
      <c r="X10179" t="s">
        <v>42684</v>
      </c>
    </row>
    <row r="10180" spans="1:24">
      <c r="A10180">
        <f>HYPERLINK("https://www.philgeps.gov.ph/GEPSNONPILOT/Tender/SplashBidNoticeAbstractUI.aspx?menuIndex=3&amp;refID=7173178&amp;Result=3","7173178")</f>
        <v>0</v>
      </c>
      <c r="B10180" t="s">
        <v>1566</v>
      </c>
      <c r="C10180" t="s">
        <v>6437</v>
      </c>
      <c r="E10180" t="s">
        <v>25973</v>
      </c>
      <c r="F10180" t="s">
        <v>29372</v>
      </c>
      <c r="G10180" t="s">
        <v>29380</v>
      </c>
      <c r="H10180" t="s">
        <v>11048</v>
      </c>
      <c r="I10180" t="s">
        <v>29403</v>
      </c>
      <c r="J10180" t="s">
        <v>31317</v>
      </c>
      <c r="K10180" t="s">
        <v>38490</v>
      </c>
      <c r="M10180" t="s">
        <v>40416</v>
      </c>
      <c r="N10180" t="s">
        <v>42669</v>
      </c>
      <c r="O10180" t="s">
        <v>42670</v>
      </c>
      <c r="P10180">
        <v>0</v>
      </c>
      <c r="Q10180">
        <v>0</v>
      </c>
      <c r="R10180" t="s">
        <v>42683</v>
      </c>
      <c r="S10180" t="s">
        <v>43062</v>
      </c>
      <c r="T10180" t="s">
        <v>44672</v>
      </c>
      <c r="U10180" t="s">
        <v>53112</v>
      </c>
      <c r="W10180" t="s">
        <v>40416</v>
      </c>
      <c r="X10180" t="s">
        <v>42684</v>
      </c>
    </row>
    <row r="10181" spans="1:24">
      <c r="A10181">
        <f>HYPERLINK("https://www.philgeps.gov.ph/GEPSNONPILOT/Tender/SplashBidNoticeAbstractUI.aspx?menuIndex=3&amp;refID=7173185&amp;Result=3","7173185")</f>
        <v>0</v>
      </c>
      <c r="B10181" t="s">
        <v>2904</v>
      </c>
      <c r="C10181" t="s">
        <v>13248</v>
      </c>
      <c r="D10181" t="s">
        <v>17170</v>
      </c>
      <c r="E10181" t="s">
        <v>25974</v>
      </c>
      <c r="F10181" t="s">
        <v>29372</v>
      </c>
      <c r="G10181" t="s">
        <v>29380</v>
      </c>
      <c r="H10181" t="s">
        <v>11048</v>
      </c>
      <c r="I10181" t="s">
        <v>3839</v>
      </c>
      <c r="J10181" t="s">
        <v>36002</v>
      </c>
      <c r="K10181" t="s">
        <v>38488</v>
      </c>
      <c r="M10181" t="s">
        <v>41902</v>
      </c>
      <c r="N10181" t="s">
        <v>42669</v>
      </c>
      <c r="O10181" t="s">
        <v>42670</v>
      </c>
      <c r="P10181">
        <v>0</v>
      </c>
      <c r="Q10181">
        <v>8</v>
      </c>
      <c r="R10181" t="s">
        <v>42683</v>
      </c>
      <c r="S10181" t="s">
        <v>43062</v>
      </c>
      <c r="T10181" t="s">
        <v>44412</v>
      </c>
      <c r="U10181" t="s">
        <v>53113</v>
      </c>
      <c r="W10181" t="s">
        <v>41902</v>
      </c>
      <c r="X10181" t="s">
        <v>42684</v>
      </c>
    </row>
    <row r="10182" spans="1:24">
      <c r="A10182">
        <f>HYPERLINK("https://www.philgeps.gov.ph/GEPSNONPILOT/Tender/SplashBidNoticeAbstractUI.aspx?menuIndex=3&amp;refID=7173166&amp;Result=3","7173166")</f>
        <v>0</v>
      </c>
      <c r="B10182" t="s">
        <v>435</v>
      </c>
      <c r="C10182" t="s">
        <v>4597</v>
      </c>
      <c r="D10182" t="s">
        <v>17179</v>
      </c>
      <c r="E10182" t="s">
        <v>25975</v>
      </c>
      <c r="F10182" t="s">
        <v>29373</v>
      </c>
      <c r="G10182" t="s">
        <v>29380</v>
      </c>
      <c r="H10182" t="s">
        <v>11048</v>
      </c>
      <c r="I10182" t="s">
        <v>4709</v>
      </c>
      <c r="J10182" t="s">
        <v>36003</v>
      </c>
      <c r="K10182" t="s">
        <v>38491</v>
      </c>
      <c r="M10182" t="s">
        <v>39199</v>
      </c>
      <c r="N10182" t="s">
        <v>42669</v>
      </c>
      <c r="O10182" t="s">
        <v>42670</v>
      </c>
      <c r="P10182">
        <v>0</v>
      </c>
      <c r="Q10182">
        <v>1</v>
      </c>
      <c r="R10182" t="s">
        <v>42683</v>
      </c>
      <c r="S10182" t="s">
        <v>43062</v>
      </c>
      <c r="T10182" t="s">
        <v>44378</v>
      </c>
      <c r="U10182" t="s">
        <v>53114</v>
      </c>
      <c r="V10182" t="s">
        <v>57516</v>
      </c>
      <c r="W10182" t="s">
        <v>39199</v>
      </c>
      <c r="X10182" t="s">
        <v>42684</v>
      </c>
    </row>
    <row r="10183" spans="1:24">
      <c r="A10183">
        <f>HYPERLINK("https://www.philgeps.gov.ph/GEPSNONPILOT/Tender/SplashBidNoticeAbstractUI.aspx?menuIndex=3&amp;refID=7172956&amp;Result=3","7172956")</f>
        <v>0</v>
      </c>
      <c r="B10183" t="s">
        <v>2964</v>
      </c>
      <c r="C10183" t="s">
        <v>13249</v>
      </c>
      <c r="D10183" t="s">
        <v>17144</v>
      </c>
      <c r="E10183" t="s">
        <v>25976</v>
      </c>
      <c r="F10183" t="s">
        <v>29372</v>
      </c>
      <c r="G10183" t="s">
        <v>29380</v>
      </c>
      <c r="H10183" t="s">
        <v>29389</v>
      </c>
      <c r="I10183" t="s">
        <v>10408</v>
      </c>
      <c r="J10183" t="s">
        <v>36004</v>
      </c>
      <c r="K10183" t="s">
        <v>38522</v>
      </c>
      <c r="M10183" t="s">
        <v>41974</v>
      </c>
      <c r="N10183" t="s">
        <v>42669</v>
      </c>
      <c r="O10183" t="s">
        <v>42670</v>
      </c>
      <c r="P10183">
        <v>0</v>
      </c>
      <c r="Q10183">
        <v>2</v>
      </c>
      <c r="R10183" t="s">
        <v>42683</v>
      </c>
      <c r="S10183" t="s">
        <v>43062</v>
      </c>
      <c r="T10183" t="s">
        <v>44476</v>
      </c>
      <c r="U10183" t="s">
        <v>53115</v>
      </c>
      <c r="W10183" t="s">
        <v>41974</v>
      </c>
      <c r="X10183" t="s">
        <v>42684</v>
      </c>
    </row>
    <row r="10184" spans="1:24">
      <c r="A10184">
        <f>HYPERLINK("https://www.philgeps.gov.ph/GEPSNONPILOT/Tender/SplashBidNoticeAbstractUI.aspx?menuIndex=3&amp;refID=7173153&amp;Result=3","7173153")</f>
        <v>0</v>
      </c>
      <c r="B10184" t="s">
        <v>781</v>
      </c>
      <c r="C10184" t="s">
        <v>13250</v>
      </c>
      <c r="D10184" t="s">
        <v>17163</v>
      </c>
      <c r="E10184" t="s">
        <v>25977</v>
      </c>
      <c r="F10184" t="s">
        <v>29372</v>
      </c>
      <c r="G10184" t="s">
        <v>29380</v>
      </c>
      <c r="H10184" t="s">
        <v>11048</v>
      </c>
      <c r="I10184" t="s">
        <v>3597</v>
      </c>
      <c r="J10184" t="s">
        <v>36005</v>
      </c>
      <c r="K10184" t="s">
        <v>38485</v>
      </c>
      <c r="M10184" t="s">
        <v>41975</v>
      </c>
      <c r="N10184" t="s">
        <v>42669</v>
      </c>
      <c r="O10184" t="s">
        <v>42670</v>
      </c>
      <c r="P10184">
        <v>0</v>
      </c>
      <c r="Q10184">
        <v>11</v>
      </c>
      <c r="R10184" t="s">
        <v>42683</v>
      </c>
      <c r="S10184" t="s">
        <v>43062</v>
      </c>
      <c r="T10184" t="s">
        <v>44373</v>
      </c>
      <c r="U10184" t="s">
        <v>46453</v>
      </c>
      <c r="V10184" t="s">
        <v>57370</v>
      </c>
      <c r="W10184" t="s">
        <v>58096</v>
      </c>
      <c r="X10184" t="s">
        <v>42684</v>
      </c>
    </row>
    <row r="10185" spans="1:24">
      <c r="A10185">
        <f>HYPERLINK("https://www.philgeps.gov.ph/GEPSNONPILOT/Tender/SplashBidNoticeAbstractUI.aspx?menuIndex=3&amp;refID=7173143&amp;Result=3","7173143")</f>
        <v>0</v>
      </c>
      <c r="B10185" t="s">
        <v>2965</v>
      </c>
      <c r="C10185" t="s">
        <v>13251</v>
      </c>
      <c r="E10185" t="s">
        <v>25978</v>
      </c>
      <c r="F10185" t="s">
        <v>29372</v>
      </c>
      <c r="G10185" t="s">
        <v>29380</v>
      </c>
      <c r="H10185" t="s">
        <v>11048</v>
      </c>
      <c r="I10185" t="s">
        <v>4486</v>
      </c>
      <c r="J10185" t="s">
        <v>29708</v>
      </c>
      <c r="K10185" t="s">
        <v>38485</v>
      </c>
      <c r="M10185" t="s">
        <v>41976</v>
      </c>
      <c r="N10185" t="s">
        <v>42669</v>
      </c>
      <c r="O10185" t="s">
        <v>42670</v>
      </c>
      <c r="Q10185">
        <v>2</v>
      </c>
      <c r="R10185" t="s">
        <v>42683</v>
      </c>
      <c r="S10185" t="s">
        <v>42960</v>
      </c>
      <c r="T10185" t="s">
        <v>44488</v>
      </c>
      <c r="U10185" t="s">
        <v>53116</v>
      </c>
      <c r="W10185" t="s">
        <v>41976</v>
      </c>
      <c r="X10185" t="s">
        <v>42684</v>
      </c>
    </row>
    <row r="10186" spans="1:24">
      <c r="A10186">
        <f>HYPERLINK("https://www.philgeps.gov.ph/GEPSNONPILOT/Tender/SplashBidNoticeAbstractUI.aspx?menuIndex=3&amp;refID=7173133&amp;Result=3","7173133")</f>
        <v>0</v>
      </c>
      <c r="B10186" t="s">
        <v>2966</v>
      </c>
      <c r="C10186" t="s">
        <v>13252</v>
      </c>
      <c r="D10186" t="s">
        <v>17163</v>
      </c>
      <c r="E10186" t="s">
        <v>25979</v>
      </c>
      <c r="F10186" t="s">
        <v>29372</v>
      </c>
      <c r="G10186" t="s">
        <v>29380</v>
      </c>
      <c r="H10186" t="s">
        <v>11048</v>
      </c>
      <c r="I10186" t="s">
        <v>4487</v>
      </c>
      <c r="J10186" t="s">
        <v>36006</v>
      </c>
      <c r="K10186" t="s">
        <v>38485</v>
      </c>
      <c r="M10186" t="s">
        <v>41977</v>
      </c>
      <c r="N10186" t="s">
        <v>42669</v>
      </c>
      <c r="O10186" t="s">
        <v>42670</v>
      </c>
      <c r="P10186">
        <v>0</v>
      </c>
      <c r="Q10186">
        <v>8</v>
      </c>
      <c r="R10186" t="s">
        <v>42683</v>
      </c>
      <c r="S10186" t="s">
        <v>43062</v>
      </c>
      <c r="T10186" t="s">
        <v>44355</v>
      </c>
      <c r="U10186" t="s">
        <v>53117</v>
      </c>
      <c r="V10186" t="s">
        <v>57517</v>
      </c>
      <c r="W10186" t="s">
        <v>41977</v>
      </c>
      <c r="X10186" t="s">
        <v>42684</v>
      </c>
    </row>
    <row r="10187" spans="1:24">
      <c r="A10187">
        <f>HYPERLINK("https://www.philgeps.gov.ph/GEPSNONPILOT/Tender/SplashBidNoticeAbstractUI.aspx?menuIndex=3&amp;refID=7173004&amp;Result=3","7173004")</f>
        <v>0</v>
      </c>
      <c r="B10187" t="s">
        <v>2961</v>
      </c>
      <c r="C10187" t="s">
        <v>13253</v>
      </c>
      <c r="D10187" t="s">
        <v>17186</v>
      </c>
      <c r="E10187" t="s">
        <v>25980</v>
      </c>
      <c r="F10187" t="s">
        <v>29372</v>
      </c>
      <c r="G10187" t="s">
        <v>29380</v>
      </c>
      <c r="H10187" t="s">
        <v>29389</v>
      </c>
      <c r="I10187" t="s">
        <v>10408</v>
      </c>
      <c r="J10187" t="s">
        <v>29811</v>
      </c>
      <c r="K10187" t="s">
        <v>38495</v>
      </c>
      <c r="M10187" t="s">
        <v>41970</v>
      </c>
      <c r="N10187" t="s">
        <v>42669</v>
      </c>
      <c r="O10187" t="s">
        <v>42670</v>
      </c>
      <c r="P10187">
        <v>0</v>
      </c>
      <c r="Q10187">
        <v>1</v>
      </c>
      <c r="R10187" t="s">
        <v>42683</v>
      </c>
      <c r="S10187" t="s">
        <v>43062</v>
      </c>
      <c r="T10187" t="s">
        <v>44432</v>
      </c>
      <c r="U10187" t="s">
        <v>53118</v>
      </c>
      <c r="W10187" t="s">
        <v>41970</v>
      </c>
      <c r="X10187" t="s">
        <v>42684</v>
      </c>
    </row>
    <row r="10188" spans="1:24">
      <c r="A10188">
        <f>HYPERLINK("https://www.philgeps.gov.ph/GEPSNONPILOT/Tender/SplashBidNoticeAbstractUI.aspx?menuIndex=3&amp;refID=7173157&amp;Result=3","7173157")</f>
        <v>0</v>
      </c>
      <c r="B10188" t="s">
        <v>2545</v>
      </c>
      <c r="C10188" t="s">
        <v>13254</v>
      </c>
      <c r="D10188" t="s">
        <v>17143</v>
      </c>
      <c r="E10188" t="s">
        <v>22349</v>
      </c>
      <c r="F10188" t="s">
        <v>29372</v>
      </c>
      <c r="G10188" t="s">
        <v>29380</v>
      </c>
      <c r="H10188" t="s">
        <v>11048</v>
      </c>
      <c r="I10188" t="s">
        <v>29479</v>
      </c>
      <c r="J10188" t="s">
        <v>36007</v>
      </c>
      <c r="K10188" t="s">
        <v>38488</v>
      </c>
      <c r="M10188" t="s">
        <v>41508</v>
      </c>
      <c r="N10188" t="s">
        <v>42669</v>
      </c>
      <c r="O10188" t="s">
        <v>42670</v>
      </c>
      <c r="P10188">
        <v>0</v>
      </c>
      <c r="Q10188">
        <v>5</v>
      </c>
      <c r="R10188" t="s">
        <v>42683</v>
      </c>
      <c r="S10188" t="s">
        <v>43062</v>
      </c>
      <c r="T10188" t="s">
        <v>44429</v>
      </c>
      <c r="U10188" t="s">
        <v>53119</v>
      </c>
      <c r="W10188" t="s">
        <v>41508</v>
      </c>
      <c r="X10188" t="s">
        <v>42684</v>
      </c>
    </row>
    <row r="10189" spans="1:24">
      <c r="A10189">
        <f>HYPERLINK("https://www.philgeps.gov.ph/GEPSNONPILOT/Tender/SplashBidNoticeAbstractUI.aspx?menuIndex=3&amp;refID=7173120&amp;Result=3","7173120")</f>
        <v>0</v>
      </c>
      <c r="B10189" t="s">
        <v>2950</v>
      </c>
      <c r="C10189" t="s">
        <v>13255</v>
      </c>
      <c r="D10189" t="s">
        <v>17151</v>
      </c>
      <c r="E10189" t="s">
        <v>25981</v>
      </c>
      <c r="F10189" t="s">
        <v>29372</v>
      </c>
      <c r="G10189" t="s">
        <v>29380</v>
      </c>
      <c r="H10189" t="s">
        <v>11048</v>
      </c>
      <c r="I10189" t="s">
        <v>29407</v>
      </c>
      <c r="J10189" t="s">
        <v>36008</v>
      </c>
      <c r="K10189" t="s">
        <v>38488</v>
      </c>
      <c r="M10189" t="s">
        <v>41955</v>
      </c>
      <c r="N10189" t="s">
        <v>42669</v>
      </c>
      <c r="O10189" t="s">
        <v>42670</v>
      </c>
      <c r="P10189">
        <v>0</v>
      </c>
      <c r="Q10189">
        <v>0</v>
      </c>
      <c r="R10189" t="s">
        <v>42683</v>
      </c>
      <c r="S10189" t="s">
        <v>43062</v>
      </c>
      <c r="T10189" t="s">
        <v>44398</v>
      </c>
      <c r="U10189" t="s">
        <v>53120</v>
      </c>
      <c r="W10189" t="s">
        <v>41955</v>
      </c>
      <c r="X10189" t="s">
        <v>42684</v>
      </c>
    </row>
    <row r="10190" spans="1:24">
      <c r="A10190">
        <f>HYPERLINK("https://www.philgeps.gov.ph/GEPSNONPILOT/Tender/SplashBidNoticeAbstractUI.aspx?menuIndex=3&amp;refID=7173115&amp;Result=3","7173115")</f>
        <v>0</v>
      </c>
      <c r="B10190" t="s">
        <v>2079</v>
      </c>
      <c r="C10190" t="s">
        <v>13256</v>
      </c>
      <c r="D10190" t="s">
        <v>17195</v>
      </c>
      <c r="E10190" t="s">
        <v>25982</v>
      </c>
      <c r="F10190" t="s">
        <v>29372</v>
      </c>
      <c r="G10190" t="s">
        <v>29383</v>
      </c>
      <c r="H10190" t="s">
        <v>11048</v>
      </c>
      <c r="I10190" t="s">
        <v>3839</v>
      </c>
      <c r="J10190" t="s">
        <v>29767</v>
      </c>
      <c r="K10190" t="s">
        <v>38488</v>
      </c>
      <c r="M10190" t="s">
        <v>40978</v>
      </c>
      <c r="N10190" t="s">
        <v>42669</v>
      </c>
      <c r="O10190" t="s">
        <v>42670</v>
      </c>
      <c r="P10190">
        <v>0</v>
      </c>
      <c r="Q10190">
        <v>0</v>
      </c>
      <c r="R10190" t="s">
        <v>42683</v>
      </c>
      <c r="S10190" t="s">
        <v>43062</v>
      </c>
      <c r="T10190" t="s">
        <v>44429</v>
      </c>
      <c r="U10190" t="s">
        <v>53121</v>
      </c>
      <c r="W10190" t="s">
        <v>40978</v>
      </c>
      <c r="X10190" t="s">
        <v>42684</v>
      </c>
    </row>
    <row r="10191" spans="1:24">
      <c r="A10191">
        <f>HYPERLINK("https://www.philgeps.gov.ph/GEPSNONPILOT/Tender/SplashBidNoticeAbstractUI.aspx?menuIndex=3&amp;refID=7173129&amp;Result=3","7173129")</f>
        <v>0</v>
      </c>
      <c r="B10191" t="s">
        <v>2967</v>
      </c>
      <c r="C10191" t="s">
        <v>13257</v>
      </c>
      <c r="D10191" t="s">
        <v>17180</v>
      </c>
      <c r="E10191" t="s">
        <v>18886</v>
      </c>
      <c r="F10191" t="s">
        <v>29372</v>
      </c>
      <c r="G10191" t="s">
        <v>29380</v>
      </c>
      <c r="H10191" t="s">
        <v>11048</v>
      </c>
      <c r="I10191" t="s">
        <v>4486</v>
      </c>
      <c r="J10191" t="s">
        <v>32835</v>
      </c>
      <c r="K10191" t="s">
        <v>38485</v>
      </c>
      <c r="L10191" t="s">
        <v>2967</v>
      </c>
      <c r="M10191" t="s">
        <v>41978</v>
      </c>
      <c r="N10191" t="s">
        <v>42669</v>
      </c>
      <c r="O10191" t="s">
        <v>42670</v>
      </c>
      <c r="P10191">
        <v>0</v>
      </c>
      <c r="Q10191">
        <v>6</v>
      </c>
      <c r="R10191" t="s">
        <v>42683</v>
      </c>
      <c r="S10191" t="s">
        <v>43062</v>
      </c>
      <c r="T10191" t="s">
        <v>44560</v>
      </c>
      <c r="U10191" t="s">
        <v>53122</v>
      </c>
      <c r="V10191" t="s">
        <v>57518</v>
      </c>
      <c r="W10191" t="s">
        <v>41978</v>
      </c>
      <c r="X10191" t="s">
        <v>42684</v>
      </c>
    </row>
    <row r="10192" spans="1:24">
      <c r="A10192">
        <f>HYPERLINK("https://www.philgeps.gov.ph/GEPSNONPILOT/Tender/SplashBidNoticeAbstractUI.aspx?menuIndex=3&amp;refID=7173289&amp;Result=3","7173289")</f>
        <v>0</v>
      </c>
      <c r="B10192" t="s">
        <v>2153</v>
      </c>
      <c r="C10192" t="s">
        <v>13258</v>
      </c>
      <c r="D10192" t="s">
        <v>17170</v>
      </c>
      <c r="E10192" t="s">
        <v>25983</v>
      </c>
      <c r="F10192" t="s">
        <v>29372</v>
      </c>
      <c r="G10192" t="s">
        <v>29380</v>
      </c>
      <c r="H10192" t="s">
        <v>11048</v>
      </c>
      <c r="I10192" t="s">
        <v>4709</v>
      </c>
      <c r="J10192" t="s">
        <v>29526</v>
      </c>
      <c r="K10192" t="s">
        <v>38518</v>
      </c>
      <c r="M10192" t="s">
        <v>41061</v>
      </c>
      <c r="N10192" t="s">
        <v>42669</v>
      </c>
      <c r="O10192" t="s">
        <v>42670</v>
      </c>
      <c r="P10192">
        <v>0</v>
      </c>
      <c r="Q10192">
        <v>1</v>
      </c>
      <c r="R10192" t="s">
        <v>42683</v>
      </c>
      <c r="S10192" t="s">
        <v>43062</v>
      </c>
      <c r="T10192" t="s">
        <v>44399</v>
      </c>
      <c r="U10192" t="s">
        <v>53123</v>
      </c>
      <c r="W10192" t="s">
        <v>41061</v>
      </c>
      <c r="X10192" t="s">
        <v>42684</v>
      </c>
    </row>
    <row r="10193" spans="1:24">
      <c r="A10193">
        <f>HYPERLINK("https://www.philgeps.gov.ph/GEPSNONPILOT/Tender/SplashBidNoticeAbstractUI.aspx?menuIndex=3&amp;refID=7173139&amp;Result=3","7173139")</f>
        <v>0</v>
      </c>
      <c r="B10193" t="s">
        <v>775</v>
      </c>
      <c r="C10193" t="s">
        <v>13259</v>
      </c>
      <c r="D10193" t="s">
        <v>17181</v>
      </c>
      <c r="E10193" t="s">
        <v>25984</v>
      </c>
      <c r="F10193" t="s">
        <v>29372</v>
      </c>
      <c r="G10193" t="s">
        <v>29380</v>
      </c>
      <c r="H10193" t="s">
        <v>11048</v>
      </c>
      <c r="I10193" t="s">
        <v>3839</v>
      </c>
      <c r="J10193" t="s">
        <v>32264</v>
      </c>
      <c r="K10193" t="s">
        <v>38485</v>
      </c>
      <c r="M10193" t="s">
        <v>39559</v>
      </c>
      <c r="N10193" t="s">
        <v>42669</v>
      </c>
      <c r="O10193" t="s">
        <v>42670</v>
      </c>
      <c r="P10193">
        <v>0</v>
      </c>
      <c r="Q10193">
        <v>1</v>
      </c>
      <c r="R10193" t="s">
        <v>42683</v>
      </c>
      <c r="S10193" t="s">
        <v>43062</v>
      </c>
      <c r="T10193" t="s">
        <v>44488</v>
      </c>
      <c r="U10193" t="s">
        <v>53124</v>
      </c>
      <c r="W10193" t="s">
        <v>39559</v>
      </c>
      <c r="X10193" t="s">
        <v>42684</v>
      </c>
    </row>
    <row r="10194" spans="1:24">
      <c r="A10194">
        <f>HYPERLINK("https://www.philgeps.gov.ph/GEPSNONPILOT/Tender/SplashBidNoticeAbstractUI.aspx?menuIndex=3&amp;refID=7173290&amp;Result=3","7173290")</f>
        <v>0</v>
      </c>
      <c r="B10194" t="s">
        <v>2968</v>
      </c>
      <c r="C10194" t="s">
        <v>13260</v>
      </c>
      <c r="D10194" t="s">
        <v>17176</v>
      </c>
      <c r="E10194" t="s">
        <v>25985</v>
      </c>
      <c r="F10194" t="s">
        <v>29372</v>
      </c>
      <c r="G10194" t="s">
        <v>29380</v>
      </c>
      <c r="H10194" t="s">
        <v>29389</v>
      </c>
      <c r="I10194" t="s">
        <v>10408</v>
      </c>
      <c r="J10194" t="s">
        <v>29555</v>
      </c>
      <c r="K10194" t="s">
        <v>38485</v>
      </c>
      <c r="M10194" t="s">
        <v>41979</v>
      </c>
      <c r="N10194" t="s">
        <v>42669</v>
      </c>
      <c r="O10194" t="s">
        <v>42670</v>
      </c>
      <c r="P10194">
        <v>0</v>
      </c>
      <c r="Q10194">
        <v>0</v>
      </c>
      <c r="R10194" t="s">
        <v>42683</v>
      </c>
      <c r="S10194" t="s">
        <v>43062</v>
      </c>
      <c r="T10194" t="s">
        <v>44481</v>
      </c>
      <c r="U10194" t="s">
        <v>53125</v>
      </c>
      <c r="W10194" t="s">
        <v>41979</v>
      </c>
      <c r="X10194" t="s">
        <v>42684</v>
      </c>
    </row>
    <row r="10195" spans="1:24">
      <c r="A10195">
        <f>HYPERLINK("https://www.philgeps.gov.ph/GEPSNONPILOT/Tender/SplashBidNoticeAbstractUI.aspx?menuIndex=3&amp;refID=7173263&amp;Result=3","7173263")</f>
        <v>0</v>
      </c>
      <c r="B10195" t="s">
        <v>2545</v>
      </c>
      <c r="C10195" t="s">
        <v>13261</v>
      </c>
      <c r="D10195" t="s">
        <v>17143</v>
      </c>
      <c r="E10195" t="s">
        <v>25986</v>
      </c>
      <c r="F10195" t="s">
        <v>29372</v>
      </c>
      <c r="G10195" t="s">
        <v>29380</v>
      </c>
      <c r="H10195" t="s">
        <v>11048</v>
      </c>
      <c r="I10195" t="s">
        <v>3670</v>
      </c>
      <c r="J10195" t="s">
        <v>29780</v>
      </c>
      <c r="K10195" t="s">
        <v>38488</v>
      </c>
      <c r="M10195" t="s">
        <v>41508</v>
      </c>
      <c r="N10195" t="s">
        <v>42669</v>
      </c>
      <c r="O10195" t="s">
        <v>42670</v>
      </c>
      <c r="P10195">
        <v>0</v>
      </c>
      <c r="Q10195">
        <v>0</v>
      </c>
      <c r="R10195" t="s">
        <v>42683</v>
      </c>
      <c r="S10195" t="s">
        <v>43062</v>
      </c>
      <c r="T10195" t="s">
        <v>44425</v>
      </c>
      <c r="U10195" t="s">
        <v>53126</v>
      </c>
      <c r="W10195" t="s">
        <v>41508</v>
      </c>
      <c r="X10195" t="s">
        <v>42684</v>
      </c>
    </row>
    <row r="10196" spans="1:24">
      <c r="A10196">
        <f>HYPERLINK("https://www.philgeps.gov.ph/GEPSNONPILOT/Tender/SplashBidNoticeAbstractUI.aspx?menuIndex=3&amp;refID=7173262&amp;Result=3","7173262")</f>
        <v>0</v>
      </c>
      <c r="B10196" t="s">
        <v>476</v>
      </c>
      <c r="C10196" t="s">
        <v>13262</v>
      </c>
      <c r="E10196" t="s">
        <v>18969</v>
      </c>
      <c r="F10196" t="s">
        <v>29372</v>
      </c>
      <c r="G10196" t="s">
        <v>29380</v>
      </c>
      <c r="H10196" t="s">
        <v>11048</v>
      </c>
      <c r="I10196" t="s">
        <v>29423</v>
      </c>
      <c r="J10196" t="s">
        <v>29734</v>
      </c>
      <c r="K10196" t="s">
        <v>38490</v>
      </c>
      <c r="M10196" t="s">
        <v>39241</v>
      </c>
      <c r="N10196" t="s">
        <v>42669</v>
      </c>
      <c r="O10196" t="s">
        <v>42670</v>
      </c>
      <c r="Q10196">
        <v>4</v>
      </c>
      <c r="R10196" t="s">
        <v>42683</v>
      </c>
      <c r="S10196" t="s">
        <v>43151</v>
      </c>
      <c r="T10196" t="s">
        <v>44357</v>
      </c>
      <c r="U10196" t="s">
        <v>52462</v>
      </c>
      <c r="W10196" t="s">
        <v>39241</v>
      </c>
      <c r="X10196" t="s">
        <v>42684</v>
      </c>
    </row>
    <row r="10197" spans="1:24">
      <c r="A10197">
        <f>HYPERLINK("https://www.philgeps.gov.ph/GEPSNONPILOT/Tender/SplashBidNoticeAbstractUI.aspx?menuIndex=3&amp;refID=7173255&amp;Result=3","7173255")</f>
        <v>0</v>
      </c>
      <c r="B10197" t="s">
        <v>1884</v>
      </c>
      <c r="C10197" t="s">
        <v>13263</v>
      </c>
      <c r="D10197" t="s">
        <v>17143</v>
      </c>
      <c r="E10197" t="s">
        <v>25987</v>
      </c>
      <c r="F10197" t="s">
        <v>29372</v>
      </c>
      <c r="G10197" t="s">
        <v>29380</v>
      </c>
      <c r="H10197" t="s">
        <v>29389</v>
      </c>
      <c r="I10197" t="s">
        <v>10408</v>
      </c>
      <c r="J10197" t="s">
        <v>35599</v>
      </c>
      <c r="K10197" t="s">
        <v>38522</v>
      </c>
      <c r="L10197" t="s">
        <v>1884</v>
      </c>
      <c r="M10197" t="s">
        <v>40757</v>
      </c>
      <c r="N10197" t="s">
        <v>42669</v>
      </c>
      <c r="O10197" t="s">
        <v>42670</v>
      </c>
      <c r="P10197">
        <v>0</v>
      </c>
      <c r="Q10197">
        <v>1</v>
      </c>
      <c r="R10197" t="s">
        <v>42683</v>
      </c>
      <c r="S10197" t="s">
        <v>43062</v>
      </c>
      <c r="T10197" t="s">
        <v>44527</v>
      </c>
      <c r="U10197" t="s">
        <v>53127</v>
      </c>
      <c r="W10197" t="s">
        <v>40757</v>
      </c>
      <c r="X10197" t="s">
        <v>42684</v>
      </c>
    </row>
    <row r="10198" spans="1:24">
      <c r="A10198">
        <f>HYPERLINK("https://www.philgeps.gov.ph/GEPSNONPILOT/Tender/SplashBidNoticeAbstractUI.aspx?menuIndex=3&amp;refID=7173250&amp;Result=3","7173250")</f>
        <v>0</v>
      </c>
      <c r="B10198" t="s">
        <v>781</v>
      </c>
      <c r="C10198" t="s">
        <v>13264</v>
      </c>
      <c r="D10198" t="s">
        <v>17163</v>
      </c>
      <c r="E10198" t="s">
        <v>25988</v>
      </c>
      <c r="F10198" t="s">
        <v>29372</v>
      </c>
      <c r="G10198" t="s">
        <v>29380</v>
      </c>
      <c r="H10198" t="s">
        <v>11048</v>
      </c>
      <c r="I10198" t="s">
        <v>3597</v>
      </c>
      <c r="J10198" t="s">
        <v>36009</v>
      </c>
      <c r="K10198" t="s">
        <v>38485</v>
      </c>
      <c r="M10198" t="s">
        <v>41917</v>
      </c>
      <c r="N10198" t="s">
        <v>42669</v>
      </c>
      <c r="O10198" t="s">
        <v>42670</v>
      </c>
      <c r="P10198">
        <v>0</v>
      </c>
      <c r="Q10198">
        <v>15</v>
      </c>
      <c r="R10198" t="s">
        <v>42683</v>
      </c>
      <c r="S10198" t="s">
        <v>43062</v>
      </c>
      <c r="T10198" t="s">
        <v>44373</v>
      </c>
      <c r="U10198" t="s">
        <v>46453</v>
      </c>
      <c r="V10198" t="s">
        <v>57370</v>
      </c>
      <c r="W10198" t="s">
        <v>58096</v>
      </c>
      <c r="X10198" t="s">
        <v>42684</v>
      </c>
    </row>
    <row r="10199" spans="1:24">
      <c r="A10199">
        <f>HYPERLINK("https://www.philgeps.gov.ph/GEPSNONPILOT/Tender/SplashBidNoticeAbstractUI.aspx?menuIndex=3&amp;refID=7173247&amp;Result=3","7173247")</f>
        <v>0</v>
      </c>
      <c r="B10199" t="s">
        <v>2969</v>
      </c>
      <c r="C10199" t="s">
        <v>13265</v>
      </c>
      <c r="D10199" t="s">
        <v>17141</v>
      </c>
      <c r="E10199" t="s">
        <v>25206</v>
      </c>
      <c r="F10199" t="s">
        <v>29375</v>
      </c>
      <c r="G10199" t="s">
        <v>29380</v>
      </c>
      <c r="H10199" t="s">
        <v>11048</v>
      </c>
      <c r="I10199" t="s">
        <v>29453</v>
      </c>
      <c r="J10199" t="s">
        <v>30412</v>
      </c>
      <c r="K10199" t="s">
        <v>38491</v>
      </c>
      <c r="M10199" t="s">
        <v>41980</v>
      </c>
      <c r="N10199" t="s">
        <v>42669</v>
      </c>
      <c r="O10199" t="s">
        <v>42670</v>
      </c>
      <c r="P10199">
        <v>0</v>
      </c>
      <c r="Q10199">
        <v>4</v>
      </c>
      <c r="R10199" t="s">
        <v>42683</v>
      </c>
      <c r="S10199" t="s">
        <v>43062</v>
      </c>
      <c r="T10199" t="s">
        <v>44386</v>
      </c>
      <c r="U10199" t="s">
        <v>53128</v>
      </c>
      <c r="W10199" t="s">
        <v>41980</v>
      </c>
      <c r="X10199" t="s">
        <v>42684</v>
      </c>
    </row>
    <row r="10200" spans="1:24">
      <c r="A10200">
        <f>HYPERLINK("https://www.philgeps.gov.ph/GEPSNONPILOT/Tender/SplashBidNoticeAbstractUI.aspx?menuIndex=3&amp;refID=7173237&amp;Result=3","7173237")</f>
        <v>0</v>
      </c>
      <c r="B10200" t="s">
        <v>36</v>
      </c>
      <c r="C10200" t="s">
        <v>13266</v>
      </c>
      <c r="D10200" t="s">
        <v>17150</v>
      </c>
      <c r="E10200" t="s">
        <v>25989</v>
      </c>
      <c r="F10200" t="s">
        <v>29372</v>
      </c>
      <c r="G10200" t="s">
        <v>29383</v>
      </c>
      <c r="H10200" t="s">
        <v>11048</v>
      </c>
      <c r="I10200" t="s">
        <v>29407</v>
      </c>
      <c r="J10200" t="s">
        <v>34400</v>
      </c>
      <c r="K10200" t="s">
        <v>38488</v>
      </c>
      <c r="M10200" t="s">
        <v>38789</v>
      </c>
      <c r="N10200" t="s">
        <v>42669</v>
      </c>
      <c r="O10200" t="s">
        <v>42670</v>
      </c>
      <c r="P10200">
        <v>0</v>
      </c>
      <c r="Q10200">
        <v>2</v>
      </c>
      <c r="R10200" t="s">
        <v>42683</v>
      </c>
      <c r="S10200" t="s">
        <v>43062</v>
      </c>
      <c r="T10200" t="s">
        <v>44560</v>
      </c>
      <c r="U10200" t="s">
        <v>53129</v>
      </c>
      <c r="V10200" t="s">
        <v>57519</v>
      </c>
      <c r="W10200" t="s">
        <v>38789</v>
      </c>
      <c r="X10200" t="s">
        <v>42684</v>
      </c>
    </row>
    <row r="10201" spans="1:24">
      <c r="A10201">
        <f>HYPERLINK("https://www.philgeps.gov.ph/GEPSNONPILOT/Tender/SplashBidNoticeAbstractUI.aspx?menuIndex=3&amp;refID=7173259&amp;Result=3","7173259")</f>
        <v>0</v>
      </c>
      <c r="B10201" t="s">
        <v>2969</v>
      </c>
      <c r="C10201" t="s">
        <v>13267</v>
      </c>
      <c r="D10201" t="s">
        <v>17141</v>
      </c>
      <c r="E10201" t="s">
        <v>25206</v>
      </c>
      <c r="F10201" t="s">
        <v>29375</v>
      </c>
      <c r="G10201" t="s">
        <v>29380</v>
      </c>
      <c r="H10201" t="s">
        <v>11048</v>
      </c>
      <c r="I10201" t="s">
        <v>29447</v>
      </c>
      <c r="J10201" t="s">
        <v>29604</v>
      </c>
      <c r="K10201" t="s">
        <v>38491</v>
      </c>
      <c r="M10201" t="s">
        <v>41980</v>
      </c>
      <c r="N10201" t="s">
        <v>42669</v>
      </c>
      <c r="O10201" t="s">
        <v>42670</v>
      </c>
      <c r="P10201">
        <v>0</v>
      </c>
      <c r="Q10201">
        <v>6</v>
      </c>
      <c r="R10201" t="s">
        <v>42683</v>
      </c>
      <c r="S10201" t="s">
        <v>43062</v>
      </c>
      <c r="T10201" t="s">
        <v>44386</v>
      </c>
      <c r="U10201" t="s">
        <v>53130</v>
      </c>
      <c r="W10201" t="s">
        <v>41980</v>
      </c>
      <c r="X10201" t="s">
        <v>42684</v>
      </c>
    </row>
    <row r="10202" spans="1:24">
      <c r="A10202">
        <f>HYPERLINK("https://www.philgeps.gov.ph/GEPSNONPILOT/Tender/SplashBidNoticeAbstractUI.aspx?menuIndex=3&amp;refID=7173222&amp;Result=3","7173222")</f>
        <v>0</v>
      </c>
      <c r="B10202" t="s">
        <v>2904</v>
      </c>
      <c r="C10202" t="s">
        <v>13268</v>
      </c>
      <c r="D10202" t="s">
        <v>17170</v>
      </c>
      <c r="E10202" t="s">
        <v>25990</v>
      </c>
      <c r="F10202" t="s">
        <v>29372</v>
      </c>
      <c r="G10202" t="s">
        <v>29380</v>
      </c>
      <c r="H10202" t="s">
        <v>11048</v>
      </c>
      <c r="I10202" t="s">
        <v>29399</v>
      </c>
      <c r="J10202" t="s">
        <v>36010</v>
      </c>
      <c r="K10202" t="s">
        <v>38488</v>
      </c>
      <c r="M10202" t="s">
        <v>41902</v>
      </c>
      <c r="N10202" t="s">
        <v>42669</v>
      </c>
      <c r="O10202" t="s">
        <v>42670</v>
      </c>
      <c r="P10202">
        <v>0</v>
      </c>
      <c r="Q10202">
        <v>5</v>
      </c>
      <c r="R10202" t="s">
        <v>42683</v>
      </c>
      <c r="S10202" t="s">
        <v>43062</v>
      </c>
      <c r="T10202" t="s">
        <v>44380</v>
      </c>
      <c r="U10202" t="s">
        <v>53131</v>
      </c>
      <c r="W10202" t="s">
        <v>41902</v>
      </c>
      <c r="X10202" t="s">
        <v>42684</v>
      </c>
    </row>
    <row r="10203" spans="1:24">
      <c r="A10203">
        <f>HYPERLINK("https://www.philgeps.gov.ph/GEPSNONPILOT/Tender/SplashBidNoticeAbstractUI.aspx?menuIndex=3&amp;refID=7173122&amp;Result=3","7173122")</f>
        <v>0</v>
      </c>
      <c r="B10203" t="s">
        <v>1856</v>
      </c>
      <c r="C10203" t="s">
        <v>13269</v>
      </c>
      <c r="D10203" t="s">
        <v>17144</v>
      </c>
      <c r="E10203" t="s">
        <v>25991</v>
      </c>
      <c r="F10203" t="s">
        <v>29372</v>
      </c>
      <c r="G10203" t="s">
        <v>29380</v>
      </c>
      <c r="H10203" t="s">
        <v>29389</v>
      </c>
      <c r="I10203" t="s">
        <v>10408</v>
      </c>
      <c r="J10203" t="s">
        <v>36011</v>
      </c>
      <c r="K10203" t="s">
        <v>38666</v>
      </c>
      <c r="M10203" t="s">
        <v>41981</v>
      </c>
      <c r="N10203" t="s">
        <v>42669</v>
      </c>
      <c r="O10203" t="s">
        <v>42670</v>
      </c>
      <c r="P10203">
        <v>0</v>
      </c>
      <c r="Q10203">
        <v>1</v>
      </c>
      <c r="R10203" t="s">
        <v>42683</v>
      </c>
      <c r="S10203" t="s">
        <v>43062</v>
      </c>
      <c r="T10203" t="s">
        <v>44396</v>
      </c>
      <c r="U10203" t="s">
        <v>53132</v>
      </c>
      <c r="W10203" t="s">
        <v>41981</v>
      </c>
      <c r="X10203" t="s">
        <v>42684</v>
      </c>
    </row>
    <row r="10204" spans="1:24">
      <c r="A10204">
        <f>HYPERLINK("https://www.philgeps.gov.ph/GEPSNONPILOT/Tender/SplashBidNoticeAbstractUI.aspx?menuIndex=3&amp;refID=7173220&amp;Result=3","7173220")</f>
        <v>0</v>
      </c>
      <c r="B10204" t="s">
        <v>2969</v>
      </c>
      <c r="C10204" t="s">
        <v>13270</v>
      </c>
      <c r="D10204" t="s">
        <v>17141</v>
      </c>
      <c r="E10204" t="s">
        <v>25206</v>
      </c>
      <c r="F10204" t="s">
        <v>29375</v>
      </c>
      <c r="G10204" t="s">
        <v>29380</v>
      </c>
      <c r="H10204" t="s">
        <v>11048</v>
      </c>
      <c r="I10204" t="s">
        <v>5383</v>
      </c>
      <c r="J10204" t="s">
        <v>29604</v>
      </c>
      <c r="K10204" t="s">
        <v>38491</v>
      </c>
      <c r="M10204" t="s">
        <v>41980</v>
      </c>
      <c r="N10204" t="s">
        <v>42669</v>
      </c>
      <c r="O10204" t="s">
        <v>42670</v>
      </c>
      <c r="P10204">
        <v>0</v>
      </c>
      <c r="Q10204">
        <v>10</v>
      </c>
      <c r="R10204" t="s">
        <v>42683</v>
      </c>
      <c r="S10204" t="s">
        <v>43062</v>
      </c>
      <c r="T10204" t="s">
        <v>44386</v>
      </c>
      <c r="U10204" t="s">
        <v>53133</v>
      </c>
      <c r="W10204" t="s">
        <v>41980</v>
      </c>
      <c r="X10204" t="s">
        <v>42684</v>
      </c>
    </row>
    <row r="10205" spans="1:24">
      <c r="A10205">
        <f>HYPERLINK("https://www.philgeps.gov.ph/GEPSNONPILOT/Tender/SplashBidNoticeAbstractUI.aspx?menuIndex=3&amp;refID=7173215&amp;Result=3","7173215")</f>
        <v>0</v>
      </c>
      <c r="B10205" t="s">
        <v>2967</v>
      </c>
      <c r="C10205" t="s">
        <v>13271</v>
      </c>
      <c r="D10205" t="s">
        <v>17180</v>
      </c>
      <c r="E10205" t="s">
        <v>22620</v>
      </c>
      <c r="F10205" t="s">
        <v>29372</v>
      </c>
      <c r="G10205" t="s">
        <v>29380</v>
      </c>
      <c r="H10205" t="s">
        <v>11048</v>
      </c>
      <c r="I10205" t="s">
        <v>4709</v>
      </c>
      <c r="J10205" t="s">
        <v>36012</v>
      </c>
      <c r="K10205" t="s">
        <v>38485</v>
      </c>
      <c r="L10205" t="s">
        <v>2967</v>
      </c>
      <c r="M10205" t="s">
        <v>41978</v>
      </c>
      <c r="N10205" t="s">
        <v>42669</v>
      </c>
      <c r="O10205" t="s">
        <v>42670</v>
      </c>
      <c r="P10205">
        <v>0</v>
      </c>
      <c r="Q10205">
        <v>34</v>
      </c>
      <c r="R10205" t="s">
        <v>42683</v>
      </c>
      <c r="S10205" t="s">
        <v>43062</v>
      </c>
      <c r="T10205" t="s">
        <v>44560</v>
      </c>
      <c r="U10205" t="s">
        <v>46036</v>
      </c>
      <c r="V10205" t="s">
        <v>57518</v>
      </c>
      <c r="W10205" t="s">
        <v>41978</v>
      </c>
      <c r="X10205" t="s">
        <v>42684</v>
      </c>
    </row>
    <row r="10206" spans="1:24">
      <c r="A10206">
        <f>HYPERLINK("https://www.philgeps.gov.ph/GEPSNONPILOT/Tender/SplashBidNoticeAbstractUI.aspx?menuIndex=3&amp;refID=7173236&amp;Result=3","7173236")</f>
        <v>0</v>
      </c>
      <c r="B10206" t="s">
        <v>2966</v>
      </c>
      <c r="C10206" t="s">
        <v>13272</v>
      </c>
      <c r="D10206" t="s">
        <v>17163</v>
      </c>
      <c r="E10206" t="s">
        <v>25992</v>
      </c>
      <c r="F10206" t="s">
        <v>29372</v>
      </c>
      <c r="G10206" t="s">
        <v>29380</v>
      </c>
      <c r="H10206" t="s">
        <v>29389</v>
      </c>
      <c r="I10206" t="s">
        <v>10408</v>
      </c>
      <c r="J10206" t="s">
        <v>36013</v>
      </c>
      <c r="K10206" t="s">
        <v>38496</v>
      </c>
      <c r="M10206" t="s">
        <v>41977</v>
      </c>
      <c r="N10206" t="s">
        <v>42669</v>
      </c>
      <c r="O10206" t="s">
        <v>42670</v>
      </c>
      <c r="P10206">
        <v>0</v>
      </c>
      <c r="Q10206">
        <v>10</v>
      </c>
      <c r="R10206" t="s">
        <v>42683</v>
      </c>
      <c r="S10206" t="s">
        <v>43062</v>
      </c>
      <c r="T10206" t="s">
        <v>44474</v>
      </c>
      <c r="U10206" t="s">
        <v>53134</v>
      </c>
      <c r="V10206" t="s">
        <v>57517</v>
      </c>
      <c r="W10206" t="s">
        <v>41977</v>
      </c>
      <c r="X10206" t="s">
        <v>42684</v>
      </c>
    </row>
    <row r="10207" spans="1:24">
      <c r="A10207">
        <f>HYPERLINK("https://www.philgeps.gov.ph/GEPSNONPILOT/Tender/SplashBidNoticeAbstractUI.aspx?menuIndex=3&amp;refID=7173328&amp;Result=3","7173328")</f>
        <v>0</v>
      </c>
      <c r="B10207" t="s">
        <v>1058</v>
      </c>
      <c r="C10207" t="s">
        <v>13273</v>
      </c>
      <c r="D10207" t="s">
        <v>17141</v>
      </c>
      <c r="E10207" t="s">
        <v>13273</v>
      </c>
      <c r="F10207" t="s">
        <v>29372</v>
      </c>
      <c r="G10207" t="s">
        <v>29380</v>
      </c>
      <c r="H10207" t="s">
        <v>11048</v>
      </c>
      <c r="I10207" t="s">
        <v>4487</v>
      </c>
      <c r="J10207" t="s">
        <v>36014</v>
      </c>
      <c r="K10207" t="s">
        <v>38485</v>
      </c>
      <c r="M10207" t="s">
        <v>39865</v>
      </c>
      <c r="N10207" t="s">
        <v>42669</v>
      </c>
      <c r="O10207" t="s">
        <v>42670</v>
      </c>
      <c r="P10207">
        <v>0</v>
      </c>
      <c r="Q10207">
        <v>1</v>
      </c>
      <c r="R10207" t="s">
        <v>42683</v>
      </c>
      <c r="S10207" t="s">
        <v>43062</v>
      </c>
      <c r="T10207" t="s">
        <v>44412</v>
      </c>
      <c r="U10207" t="s">
        <v>53135</v>
      </c>
      <c r="W10207" t="s">
        <v>39865</v>
      </c>
      <c r="X10207" t="s">
        <v>42684</v>
      </c>
    </row>
    <row r="10208" spans="1:24">
      <c r="A10208">
        <f>HYPERLINK("https://www.philgeps.gov.ph/GEPSNONPILOT/Tender/SplashBidNoticeAbstractUI.aspx?menuIndex=3&amp;refID=7173380&amp;Result=3","7173380")</f>
        <v>0</v>
      </c>
      <c r="B10208" t="s">
        <v>2970</v>
      </c>
      <c r="C10208" t="s">
        <v>13274</v>
      </c>
      <c r="D10208" t="s">
        <v>17166</v>
      </c>
      <c r="E10208" t="s">
        <v>25993</v>
      </c>
      <c r="F10208" t="s">
        <v>29372</v>
      </c>
      <c r="G10208" t="s">
        <v>29380</v>
      </c>
      <c r="H10208" t="s">
        <v>11048</v>
      </c>
      <c r="I10208" t="s">
        <v>4487</v>
      </c>
      <c r="J10208" t="s">
        <v>36015</v>
      </c>
      <c r="K10208" t="s">
        <v>38528</v>
      </c>
      <c r="M10208" t="s">
        <v>41982</v>
      </c>
      <c r="N10208" t="s">
        <v>42669</v>
      </c>
      <c r="O10208" t="s">
        <v>42670</v>
      </c>
      <c r="P10208">
        <v>0</v>
      </c>
      <c r="Q10208">
        <v>6</v>
      </c>
      <c r="R10208" t="s">
        <v>42683</v>
      </c>
      <c r="S10208" t="s">
        <v>43062</v>
      </c>
      <c r="T10208" t="s">
        <v>44357</v>
      </c>
      <c r="U10208" t="s">
        <v>53136</v>
      </c>
      <c r="W10208" t="s">
        <v>41982</v>
      </c>
      <c r="X10208" t="s">
        <v>42684</v>
      </c>
    </row>
    <row r="10209" spans="1:24">
      <c r="A10209">
        <f>HYPERLINK("https://www.philgeps.gov.ph/GEPSNONPILOT/Tender/SplashBidNoticeAbstractUI.aspx?menuIndex=3&amp;refID=7173367&amp;Result=3","7173367")</f>
        <v>0</v>
      </c>
      <c r="B10209" t="s">
        <v>1058</v>
      </c>
      <c r="C10209" t="s">
        <v>13275</v>
      </c>
      <c r="D10209" t="s">
        <v>17141</v>
      </c>
      <c r="E10209" t="s">
        <v>13275</v>
      </c>
      <c r="F10209" t="s">
        <v>29372</v>
      </c>
      <c r="G10209" t="s">
        <v>29380</v>
      </c>
      <c r="H10209" t="s">
        <v>11048</v>
      </c>
      <c r="I10209" t="s">
        <v>4487</v>
      </c>
      <c r="J10209" t="s">
        <v>29728</v>
      </c>
      <c r="K10209" t="s">
        <v>38485</v>
      </c>
      <c r="M10209" t="s">
        <v>39865</v>
      </c>
      <c r="N10209" t="s">
        <v>42669</v>
      </c>
      <c r="O10209" t="s">
        <v>42670</v>
      </c>
      <c r="P10209">
        <v>0</v>
      </c>
      <c r="Q10209">
        <v>2</v>
      </c>
      <c r="R10209" t="s">
        <v>42683</v>
      </c>
      <c r="S10209" t="s">
        <v>43062</v>
      </c>
      <c r="T10209" t="s">
        <v>44412</v>
      </c>
      <c r="U10209" t="s">
        <v>46808</v>
      </c>
      <c r="W10209" t="s">
        <v>39865</v>
      </c>
      <c r="X10209" t="s">
        <v>42684</v>
      </c>
    </row>
    <row r="10210" spans="1:24">
      <c r="A10210">
        <f>HYPERLINK("https://www.philgeps.gov.ph/GEPSNONPILOT/Tender/SplashBidNoticeAbstractUI.aspx?menuIndex=3&amp;refID=7173267&amp;Result=3","7173267")</f>
        <v>0</v>
      </c>
      <c r="B10210" t="s">
        <v>2151</v>
      </c>
      <c r="C10210" t="s">
        <v>13276</v>
      </c>
      <c r="E10210" t="s">
        <v>25994</v>
      </c>
      <c r="F10210" t="s">
        <v>29372</v>
      </c>
      <c r="G10210" t="s">
        <v>29380</v>
      </c>
      <c r="H10210" t="s">
        <v>11048</v>
      </c>
      <c r="I10210" t="s">
        <v>29441</v>
      </c>
      <c r="J10210" t="s">
        <v>31195</v>
      </c>
      <c r="K10210" t="s">
        <v>38490</v>
      </c>
      <c r="M10210" t="s">
        <v>41059</v>
      </c>
      <c r="N10210" t="s">
        <v>42669</v>
      </c>
      <c r="O10210" t="s">
        <v>42670</v>
      </c>
      <c r="Q10210">
        <v>5</v>
      </c>
      <c r="R10210" t="s">
        <v>42683</v>
      </c>
      <c r="S10210" t="s">
        <v>43152</v>
      </c>
      <c r="T10210" t="s">
        <v>44368</v>
      </c>
      <c r="U10210" t="s">
        <v>53137</v>
      </c>
      <c r="V10210" t="s">
        <v>57520</v>
      </c>
      <c r="W10210" t="s">
        <v>41059</v>
      </c>
      <c r="X10210" t="s">
        <v>42684</v>
      </c>
    </row>
    <row r="10211" spans="1:24">
      <c r="A10211">
        <f>HYPERLINK("https://www.philgeps.gov.ph/GEPSNONPILOT/Tender/SplashBidNoticeAbstractUI.aspx?menuIndex=3&amp;refID=7173362&amp;Result=3","7173362")</f>
        <v>0</v>
      </c>
      <c r="B10211" t="s">
        <v>2971</v>
      </c>
      <c r="C10211" t="s">
        <v>13277</v>
      </c>
      <c r="D10211" t="s">
        <v>17169</v>
      </c>
      <c r="E10211" t="s">
        <v>18218</v>
      </c>
      <c r="F10211" t="s">
        <v>29372</v>
      </c>
      <c r="G10211" t="s">
        <v>29380</v>
      </c>
      <c r="H10211" t="s">
        <v>29389</v>
      </c>
      <c r="I10211" t="s">
        <v>10408</v>
      </c>
      <c r="J10211" t="s">
        <v>30087</v>
      </c>
      <c r="K10211" t="s">
        <v>38485</v>
      </c>
      <c r="M10211" t="s">
        <v>41983</v>
      </c>
      <c r="N10211" t="s">
        <v>42669</v>
      </c>
      <c r="O10211" t="s">
        <v>42670</v>
      </c>
      <c r="P10211">
        <v>0</v>
      </c>
      <c r="Q10211">
        <v>2</v>
      </c>
      <c r="R10211" t="s">
        <v>42683</v>
      </c>
      <c r="S10211" t="s">
        <v>43062</v>
      </c>
      <c r="T10211" t="s">
        <v>44401</v>
      </c>
      <c r="U10211" t="s">
        <v>53138</v>
      </c>
      <c r="W10211" t="s">
        <v>41983</v>
      </c>
      <c r="X10211" t="s">
        <v>42684</v>
      </c>
    </row>
    <row r="10212" spans="1:24">
      <c r="A10212">
        <f>HYPERLINK("https://www.philgeps.gov.ph/GEPSNONPILOT/Tender/SplashBidNoticeAbstractUI.aspx?menuIndex=3&amp;refID=7173355&amp;Result=3","7173355")</f>
        <v>0</v>
      </c>
      <c r="B10212" t="s">
        <v>1058</v>
      </c>
      <c r="C10212" t="s">
        <v>13278</v>
      </c>
      <c r="D10212" t="s">
        <v>17141</v>
      </c>
      <c r="E10212" t="s">
        <v>13278</v>
      </c>
      <c r="F10212" t="s">
        <v>29372</v>
      </c>
      <c r="G10212" t="s">
        <v>29380</v>
      </c>
      <c r="H10212" t="s">
        <v>11048</v>
      </c>
      <c r="I10212" t="s">
        <v>4487</v>
      </c>
      <c r="J10212" t="s">
        <v>29988</v>
      </c>
      <c r="K10212" t="s">
        <v>38485</v>
      </c>
      <c r="M10212" t="s">
        <v>39865</v>
      </c>
      <c r="N10212" t="s">
        <v>42669</v>
      </c>
      <c r="O10212" t="s">
        <v>42670</v>
      </c>
      <c r="P10212">
        <v>0</v>
      </c>
      <c r="Q10212">
        <v>1</v>
      </c>
      <c r="R10212" t="s">
        <v>42683</v>
      </c>
      <c r="S10212" t="s">
        <v>43062</v>
      </c>
      <c r="T10212" t="s">
        <v>44412</v>
      </c>
      <c r="U10212" t="s">
        <v>46808</v>
      </c>
      <c r="W10212" t="s">
        <v>39865</v>
      </c>
      <c r="X10212" t="s">
        <v>42684</v>
      </c>
    </row>
    <row r="10213" spans="1:24">
      <c r="A10213">
        <f>HYPERLINK("https://www.philgeps.gov.ph/GEPSNONPILOT/Tender/SplashBidNoticeAbstractUI.aspx?menuIndex=3&amp;refID=7173352&amp;Result=3","7173352")</f>
        <v>0</v>
      </c>
      <c r="B10213" t="s">
        <v>674</v>
      </c>
      <c r="C10213" t="s">
        <v>13279</v>
      </c>
      <c r="D10213" t="s">
        <v>17164</v>
      </c>
      <c r="E10213" t="s">
        <v>25995</v>
      </c>
      <c r="F10213" t="s">
        <v>29372</v>
      </c>
      <c r="G10213" t="s">
        <v>29380</v>
      </c>
      <c r="H10213" t="s">
        <v>29389</v>
      </c>
      <c r="I10213" t="s">
        <v>10408</v>
      </c>
      <c r="J10213" t="s">
        <v>36016</v>
      </c>
      <c r="K10213" t="s">
        <v>38709</v>
      </c>
      <c r="M10213" t="s">
        <v>39450</v>
      </c>
      <c r="N10213" t="s">
        <v>42669</v>
      </c>
      <c r="O10213" t="s">
        <v>42670</v>
      </c>
      <c r="P10213">
        <v>0</v>
      </c>
      <c r="Q10213">
        <v>0</v>
      </c>
      <c r="R10213" t="s">
        <v>42683</v>
      </c>
      <c r="S10213" t="s">
        <v>43062</v>
      </c>
      <c r="T10213" t="s">
        <v>44532</v>
      </c>
      <c r="U10213" t="s">
        <v>53139</v>
      </c>
      <c r="W10213" t="s">
        <v>39450</v>
      </c>
      <c r="X10213" t="s">
        <v>42684</v>
      </c>
    </row>
    <row r="10214" spans="1:24">
      <c r="A10214">
        <f>HYPERLINK("https://www.philgeps.gov.ph/GEPSNONPILOT/Tender/SplashBidNoticeAbstractUI.aspx?menuIndex=3&amp;refID=7173342&amp;Result=3","7173342")</f>
        <v>0</v>
      </c>
      <c r="B10214" t="s">
        <v>2972</v>
      </c>
      <c r="C10214" t="s">
        <v>13280</v>
      </c>
      <c r="D10214" t="s">
        <v>17191</v>
      </c>
      <c r="E10214" t="s">
        <v>25993</v>
      </c>
      <c r="F10214" t="s">
        <v>29372</v>
      </c>
      <c r="G10214" t="s">
        <v>29380</v>
      </c>
      <c r="H10214" t="s">
        <v>11048</v>
      </c>
      <c r="I10214" t="s">
        <v>4709</v>
      </c>
      <c r="J10214" t="s">
        <v>36017</v>
      </c>
      <c r="K10214" t="s">
        <v>38510</v>
      </c>
      <c r="M10214" t="s">
        <v>41984</v>
      </c>
      <c r="N10214" t="s">
        <v>42669</v>
      </c>
      <c r="O10214" t="s">
        <v>42670</v>
      </c>
      <c r="P10214">
        <v>0</v>
      </c>
      <c r="Q10214">
        <v>1</v>
      </c>
      <c r="R10214" t="s">
        <v>42683</v>
      </c>
      <c r="S10214" t="s">
        <v>43062</v>
      </c>
      <c r="T10214" t="s">
        <v>44470</v>
      </c>
      <c r="U10214" t="s">
        <v>53140</v>
      </c>
      <c r="W10214" t="s">
        <v>41984</v>
      </c>
      <c r="X10214" t="s">
        <v>42684</v>
      </c>
    </row>
    <row r="10215" spans="1:24">
      <c r="A10215">
        <f>HYPERLINK("https://www.philgeps.gov.ph/GEPSNONPILOT/Tender/SplashBidNoticeAbstractUI.aspx?menuIndex=3&amp;refID=7173340&amp;Result=3","7173340")</f>
        <v>0</v>
      </c>
      <c r="B10215" t="s">
        <v>1443</v>
      </c>
      <c r="C10215" t="s">
        <v>13281</v>
      </c>
      <c r="D10215" t="s">
        <v>17207</v>
      </c>
      <c r="E10215" t="s">
        <v>21162</v>
      </c>
      <c r="F10215" t="s">
        <v>29372</v>
      </c>
      <c r="G10215" t="s">
        <v>29380</v>
      </c>
      <c r="H10215" t="s">
        <v>11048</v>
      </c>
      <c r="I10215" t="s">
        <v>3860</v>
      </c>
      <c r="J10215" t="s">
        <v>36018</v>
      </c>
      <c r="K10215" t="s">
        <v>38488</v>
      </c>
      <c r="M10215" t="s">
        <v>40284</v>
      </c>
      <c r="N10215" t="s">
        <v>42669</v>
      </c>
      <c r="O10215" t="s">
        <v>42670</v>
      </c>
      <c r="P10215">
        <v>0</v>
      </c>
      <c r="Q10215">
        <v>1</v>
      </c>
      <c r="R10215" t="s">
        <v>42683</v>
      </c>
      <c r="S10215" t="s">
        <v>43062</v>
      </c>
      <c r="T10215" t="s">
        <v>44790</v>
      </c>
      <c r="U10215" t="s">
        <v>53141</v>
      </c>
      <c r="V10215" t="s">
        <v>57521</v>
      </c>
      <c r="W10215" t="s">
        <v>40284</v>
      </c>
      <c r="X10215" t="s">
        <v>42684</v>
      </c>
    </row>
    <row r="10216" spans="1:24">
      <c r="A10216">
        <f>HYPERLINK("https://www.philgeps.gov.ph/GEPSNONPILOT/Tender/SplashBidNoticeAbstractUI.aspx?menuIndex=3&amp;refID=7173324&amp;Result=3","7173324")</f>
        <v>0</v>
      </c>
      <c r="B10216" t="s">
        <v>2972</v>
      </c>
      <c r="C10216" t="s">
        <v>13282</v>
      </c>
      <c r="D10216" t="s">
        <v>17191</v>
      </c>
      <c r="E10216" t="s">
        <v>25996</v>
      </c>
      <c r="F10216" t="s">
        <v>29372</v>
      </c>
      <c r="G10216" t="s">
        <v>29380</v>
      </c>
      <c r="H10216" t="s">
        <v>11048</v>
      </c>
      <c r="I10216" t="s">
        <v>4709</v>
      </c>
      <c r="J10216" t="s">
        <v>36019</v>
      </c>
      <c r="K10216" t="s">
        <v>38510</v>
      </c>
      <c r="M10216" t="s">
        <v>41984</v>
      </c>
      <c r="N10216" t="s">
        <v>42669</v>
      </c>
      <c r="O10216" t="s">
        <v>42670</v>
      </c>
      <c r="P10216">
        <v>0</v>
      </c>
      <c r="Q10216">
        <v>0</v>
      </c>
      <c r="R10216" t="s">
        <v>42683</v>
      </c>
      <c r="S10216" t="s">
        <v>43062</v>
      </c>
      <c r="T10216" t="s">
        <v>44430</v>
      </c>
      <c r="U10216" t="s">
        <v>53142</v>
      </c>
      <c r="W10216" t="s">
        <v>41984</v>
      </c>
      <c r="X10216" t="s">
        <v>42684</v>
      </c>
    </row>
    <row r="10217" spans="1:24">
      <c r="A10217">
        <f>HYPERLINK("https://www.philgeps.gov.ph/GEPSNONPILOT/Tender/SplashBidNoticeAbstractUI.aspx?menuIndex=3&amp;refID=7173323&amp;Result=3","7173323")</f>
        <v>0</v>
      </c>
      <c r="B10217" t="s">
        <v>2968</v>
      </c>
      <c r="C10217" t="s">
        <v>13283</v>
      </c>
      <c r="D10217" t="s">
        <v>17176</v>
      </c>
      <c r="E10217" t="s">
        <v>25997</v>
      </c>
      <c r="F10217" t="s">
        <v>29372</v>
      </c>
      <c r="G10217" t="s">
        <v>29380</v>
      </c>
      <c r="H10217" t="s">
        <v>29389</v>
      </c>
      <c r="I10217" t="s">
        <v>10408</v>
      </c>
      <c r="J10217" t="s">
        <v>29724</v>
      </c>
      <c r="K10217" t="s">
        <v>38523</v>
      </c>
      <c r="M10217" t="s">
        <v>41979</v>
      </c>
      <c r="N10217" t="s">
        <v>42669</v>
      </c>
      <c r="O10217" t="s">
        <v>42670</v>
      </c>
      <c r="P10217">
        <v>0</v>
      </c>
      <c r="Q10217">
        <v>0</v>
      </c>
      <c r="R10217" t="s">
        <v>42683</v>
      </c>
      <c r="S10217" t="s">
        <v>43062</v>
      </c>
      <c r="T10217" t="s">
        <v>44481</v>
      </c>
      <c r="U10217" t="s">
        <v>53143</v>
      </c>
      <c r="W10217" t="s">
        <v>41979</v>
      </c>
      <c r="X10217" t="s">
        <v>42684</v>
      </c>
    </row>
    <row r="10218" spans="1:24">
      <c r="A10218">
        <f>HYPERLINK("https://www.philgeps.gov.ph/GEPSNONPILOT/Tender/SplashBidNoticeAbstractUI.aspx?menuIndex=3&amp;refID=7173310&amp;Result=3","7173310")</f>
        <v>0</v>
      </c>
      <c r="B10218" t="s">
        <v>2327</v>
      </c>
      <c r="C10218" t="s">
        <v>13284</v>
      </c>
      <c r="D10218" t="s">
        <v>17163</v>
      </c>
      <c r="E10218" t="s">
        <v>25998</v>
      </c>
      <c r="F10218" t="s">
        <v>29372</v>
      </c>
      <c r="G10218" t="s">
        <v>29381</v>
      </c>
      <c r="H10218" t="s">
        <v>29389</v>
      </c>
      <c r="I10218" t="s">
        <v>10408</v>
      </c>
      <c r="J10218" t="s">
        <v>36020</v>
      </c>
      <c r="K10218" t="s">
        <v>38496</v>
      </c>
      <c r="M10218" t="s">
        <v>41985</v>
      </c>
      <c r="N10218" t="s">
        <v>42669</v>
      </c>
      <c r="O10218" t="s">
        <v>42670</v>
      </c>
      <c r="P10218">
        <v>0</v>
      </c>
      <c r="Q10218">
        <v>3</v>
      </c>
      <c r="R10218" t="s">
        <v>42683</v>
      </c>
      <c r="S10218" t="s">
        <v>43062</v>
      </c>
      <c r="T10218" t="s">
        <v>44401</v>
      </c>
      <c r="U10218" t="s">
        <v>53144</v>
      </c>
      <c r="W10218" t="s">
        <v>41985</v>
      </c>
      <c r="X10218" t="s">
        <v>42684</v>
      </c>
    </row>
    <row r="10219" spans="1:24">
      <c r="A10219">
        <f>HYPERLINK("https://www.philgeps.gov.ph/GEPSNONPILOT/Tender/SplashBidNoticeAbstractUI.aspx?menuIndex=3&amp;refID=7173307&amp;Result=3","7173307")</f>
        <v>0</v>
      </c>
      <c r="B10219" t="s">
        <v>2967</v>
      </c>
      <c r="C10219" t="s">
        <v>13285</v>
      </c>
      <c r="D10219" t="s">
        <v>17180</v>
      </c>
      <c r="E10219" t="s">
        <v>18903</v>
      </c>
      <c r="F10219" t="s">
        <v>29372</v>
      </c>
      <c r="G10219" t="s">
        <v>29380</v>
      </c>
      <c r="H10219" t="s">
        <v>11048</v>
      </c>
      <c r="I10219" t="s">
        <v>4709</v>
      </c>
      <c r="J10219" t="s">
        <v>36021</v>
      </c>
      <c r="K10219" t="s">
        <v>38485</v>
      </c>
      <c r="L10219" t="s">
        <v>2967</v>
      </c>
      <c r="M10219" t="s">
        <v>41978</v>
      </c>
      <c r="N10219" t="s">
        <v>42669</v>
      </c>
      <c r="O10219" t="s">
        <v>42670</v>
      </c>
      <c r="P10219">
        <v>0</v>
      </c>
      <c r="Q10219">
        <v>36</v>
      </c>
      <c r="R10219" t="s">
        <v>42683</v>
      </c>
      <c r="S10219" t="s">
        <v>43062</v>
      </c>
      <c r="T10219" t="s">
        <v>44560</v>
      </c>
      <c r="U10219" t="s">
        <v>46036</v>
      </c>
      <c r="V10219" t="s">
        <v>57518</v>
      </c>
      <c r="W10219" t="s">
        <v>41978</v>
      </c>
      <c r="X10219" t="s">
        <v>42684</v>
      </c>
    </row>
    <row r="10220" spans="1:24">
      <c r="A10220">
        <f>HYPERLINK("https://www.philgeps.gov.ph/GEPSNONPILOT/Tender/SplashBidNoticeAbstractUI.aspx?menuIndex=3&amp;refID=7173300&amp;Result=3","7173300")</f>
        <v>0</v>
      </c>
      <c r="B10220" t="s">
        <v>2151</v>
      </c>
      <c r="C10220" t="s">
        <v>13286</v>
      </c>
      <c r="E10220" t="s">
        <v>25999</v>
      </c>
      <c r="F10220" t="s">
        <v>29372</v>
      </c>
      <c r="G10220" t="s">
        <v>29380</v>
      </c>
      <c r="H10220" t="s">
        <v>11048</v>
      </c>
      <c r="I10220" t="s">
        <v>29441</v>
      </c>
      <c r="J10220" t="s">
        <v>36022</v>
      </c>
      <c r="K10220" t="s">
        <v>38490</v>
      </c>
      <c r="M10220" t="s">
        <v>41059</v>
      </c>
      <c r="N10220" t="s">
        <v>42669</v>
      </c>
      <c r="O10220" t="s">
        <v>42670</v>
      </c>
      <c r="Q10220">
        <v>3</v>
      </c>
      <c r="R10220" t="s">
        <v>42683</v>
      </c>
      <c r="S10220" t="s">
        <v>42861</v>
      </c>
      <c r="T10220" t="s">
        <v>44368</v>
      </c>
      <c r="U10220" t="s">
        <v>53145</v>
      </c>
      <c r="V10220" t="s">
        <v>57522</v>
      </c>
      <c r="W10220" t="s">
        <v>41059</v>
      </c>
      <c r="X10220" t="s">
        <v>42684</v>
      </c>
    </row>
    <row r="10221" spans="1:24">
      <c r="A10221">
        <f>HYPERLINK("https://www.philgeps.gov.ph/GEPSNONPILOT/Tender/SplashBidNoticeAbstractUI.aspx?menuIndex=3&amp;refID=7173298&amp;Result=3","7173298")</f>
        <v>0</v>
      </c>
      <c r="B10221" t="s">
        <v>2972</v>
      </c>
      <c r="C10221" t="s">
        <v>13287</v>
      </c>
      <c r="D10221" t="s">
        <v>17191</v>
      </c>
      <c r="E10221" t="s">
        <v>25396</v>
      </c>
      <c r="F10221" t="s">
        <v>29372</v>
      </c>
      <c r="G10221" t="s">
        <v>29380</v>
      </c>
      <c r="H10221" t="s">
        <v>11048</v>
      </c>
      <c r="I10221" t="s">
        <v>4709</v>
      </c>
      <c r="J10221" t="s">
        <v>36023</v>
      </c>
      <c r="K10221" t="s">
        <v>38510</v>
      </c>
      <c r="M10221" t="s">
        <v>41984</v>
      </c>
      <c r="N10221" t="s">
        <v>42669</v>
      </c>
      <c r="O10221" t="s">
        <v>42670</v>
      </c>
      <c r="P10221">
        <v>0</v>
      </c>
      <c r="Q10221">
        <v>1</v>
      </c>
      <c r="R10221" t="s">
        <v>42683</v>
      </c>
      <c r="S10221" t="s">
        <v>43062</v>
      </c>
      <c r="T10221" t="s">
        <v>44470</v>
      </c>
      <c r="U10221" t="s">
        <v>53146</v>
      </c>
      <c r="W10221" t="s">
        <v>41984</v>
      </c>
      <c r="X10221" t="s">
        <v>42684</v>
      </c>
    </row>
    <row r="10222" spans="1:24">
      <c r="A10222">
        <f>HYPERLINK("https://www.philgeps.gov.ph/GEPSNONPILOT/Tender/SplashBidNoticeAbstractUI.aspx?menuIndex=3&amp;refID=7173456&amp;Result=3","7173456")</f>
        <v>0</v>
      </c>
      <c r="B10222" t="s">
        <v>133</v>
      </c>
      <c r="C10222" t="s">
        <v>13288</v>
      </c>
      <c r="D10222" t="s">
        <v>17186</v>
      </c>
      <c r="E10222" t="s">
        <v>26000</v>
      </c>
      <c r="F10222" t="s">
        <v>29372</v>
      </c>
      <c r="G10222" t="s">
        <v>29380</v>
      </c>
      <c r="H10222" t="s">
        <v>29390</v>
      </c>
      <c r="I10222" t="s">
        <v>29392</v>
      </c>
      <c r="J10222" t="s">
        <v>36024</v>
      </c>
      <c r="K10222" t="s">
        <v>38669</v>
      </c>
      <c r="M10222" t="s">
        <v>38888</v>
      </c>
      <c r="N10222" t="s">
        <v>42669</v>
      </c>
      <c r="O10222" t="s">
        <v>42670</v>
      </c>
      <c r="Q10222">
        <v>1</v>
      </c>
      <c r="R10222" t="s">
        <v>42683</v>
      </c>
      <c r="S10222" t="s">
        <v>43153</v>
      </c>
      <c r="T10222" t="s">
        <v>44444</v>
      </c>
      <c r="U10222" t="s">
        <v>53147</v>
      </c>
      <c r="W10222" t="s">
        <v>38888</v>
      </c>
      <c r="X10222" t="s">
        <v>42684</v>
      </c>
    </row>
    <row r="10223" spans="1:24">
      <c r="A10223">
        <f>HYPERLINK("https://www.philgeps.gov.ph/GEPSNONPILOT/Tender/SplashBidNoticeAbstractUI.aspx?menuIndex=3&amp;refID=7173281&amp;Result=3","7173281")</f>
        <v>0</v>
      </c>
      <c r="B10223" t="s">
        <v>2972</v>
      </c>
      <c r="C10223" t="s">
        <v>13289</v>
      </c>
      <c r="D10223" t="s">
        <v>17191</v>
      </c>
      <c r="E10223" t="s">
        <v>20572</v>
      </c>
      <c r="F10223" t="s">
        <v>29372</v>
      </c>
      <c r="G10223" t="s">
        <v>29380</v>
      </c>
      <c r="H10223" t="s">
        <v>11048</v>
      </c>
      <c r="I10223" t="s">
        <v>4709</v>
      </c>
      <c r="J10223" t="s">
        <v>36025</v>
      </c>
      <c r="K10223" t="s">
        <v>38510</v>
      </c>
      <c r="M10223" t="s">
        <v>41984</v>
      </c>
      <c r="N10223" t="s">
        <v>42669</v>
      </c>
      <c r="O10223" t="s">
        <v>42670</v>
      </c>
      <c r="Q10223">
        <v>1</v>
      </c>
      <c r="R10223" t="s">
        <v>42683</v>
      </c>
      <c r="S10223" t="s">
        <v>43154</v>
      </c>
      <c r="T10223" t="s">
        <v>44470</v>
      </c>
      <c r="U10223" t="s">
        <v>53148</v>
      </c>
      <c r="W10223" t="s">
        <v>41984</v>
      </c>
      <c r="X10223" t="s">
        <v>42684</v>
      </c>
    </row>
    <row r="10224" spans="1:24">
      <c r="A10224">
        <f>HYPERLINK("https://www.philgeps.gov.ph/GEPSNONPILOT/Tender/SplashBidNoticeAbstractUI.aspx?menuIndex=3&amp;refID=7173455&amp;Result=3","7173455")</f>
        <v>0</v>
      </c>
      <c r="B10224" t="s">
        <v>1058</v>
      </c>
      <c r="C10224" t="s">
        <v>13290</v>
      </c>
      <c r="D10224" t="s">
        <v>17141</v>
      </c>
      <c r="E10224" t="s">
        <v>13290</v>
      </c>
      <c r="F10224" t="s">
        <v>29372</v>
      </c>
      <c r="G10224" t="s">
        <v>29380</v>
      </c>
      <c r="H10224" t="s">
        <v>11048</v>
      </c>
      <c r="I10224" t="s">
        <v>29433</v>
      </c>
      <c r="J10224" t="s">
        <v>30302</v>
      </c>
      <c r="K10224" t="s">
        <v>38485</v>
      </c>
      <c r="M10224" t="s">
        <v>39865</v>
      </c>
      <c r="N10224" t="s">
        <v>42669</v>
      </c>
      <c r="O10224" t="s">
        <v>42670</v>
      </c>
      <c r="P10224">
        <v>0</v>
      </c>
      <c r="Q10224">
        <v>9</v>
      </c>
      <c r="R10224" t="s">
        <v>42683</v>
      </c>
      <c r="S10224" t="s">
        <v>43062</v>
      </c>
      <c r="T10224" t="s">
        <v>44412</v>
      </c>
      <c r="U10224" t="s">
        <v>53149</v>
      </c>
      <c r="W10224" t="s">
        <v>39865</v>
      </c>
      <c r="X10224" t="s">
        <v>42684</v>
      </c>
    </row>
    <row r="10225" spans="1:24">
      <c r="A10225">
        <f>HYPERLINK("https://www.philgeps.gov.ph/GEPSNONPILOT/Tender/SplashBidNoticeAbstractUI.aspx?menuIndex=3&amp;refID=7173361&amp;Result=3","7173361")</f>
        <v>0</v>
      </c>
      <c r="B10225" t="s">
        <v>2194</v>
      </c>
      <c r="C10225" t="s">
        <v>13291</v>
      </c>
      <c r="D10225" t="s">
        <v>17168</v>
      </c>
      <c r="E10225" t="s">
        <v>26001</v>
      </c>
      <c r="F10225" t="s">
        <v>29372</v>
      </c>
      <c r="G10225" t="s">
        <v>29380</v>
      </c>
      <c r="H10225" t="s">
        <v>29389</v>
      </c>
      <c r="I10225" t="s">
        <v>29417</v>
      </c>
      <c r="J10225" t="s">
        <v>29780</v>
      </c>
      <c r="K10225" t="s">
        <v>38485</v>
      </c>
      <c r="M10225" t="s">
        <v>41108</v>
      </c>
      <c r="N10225" t="s">
        <v>42669</v>
      </c>
      <c r="O10225" t="s">
        <v>42670</v>
      </c>
      <c r="P10225">
        <v>0</v>
      </c>
      <c r="Q10225">
        <v>1</v>
      </c>
      <c r="R10225" t="s">
        <v>42683</v>
      </c>
      <c r="S10225" t="s">
        <v>43062</v>
      </c>
      <c r="T10225" t="s">
        <v>44538</v>
      </c>
      <c r="U10225" t="s">
        <v>53150</v>
      </c>
      <c r="V10225" t="s">
        <v>57062</v>
      </c>
      <c r="W10225" t="s">
        <v>41108</v>
      </c>
      <c r="X10225" t="s">
        <v>42684</v>
      </c>
    </row>
    <row r="10226" spans="1:24">
      <c r="A10226">
        <f>HYPERLINK("https://www.philgeps.gov.ph/GEPSNONPILOT/Tender/SplashBidNoticeAbstractUI.aspx?menuIndex=3&amp;refID=7173353&amp;Result=3","7173353")</f>
        <v>0</v>
      </c>
      <c r="B10226" t="s">
        <v>2968</v>
      </c>
      <c r="C10226" t="s">
        <v>13292</v>
      </c>
      <c r="D10226" t="s">
        <v>17176</v>
      </c>
      <c r="E10226" t="s">
        <v>26002</v>
      </c>
      <c r="F10226" t="s">
        <v>29372</v>
      </c>
      <c r="G10226" t="s">
        <v>29380</v>
      </c>
      <c r="H10226" t="s">
        <v>29389</v>
      </c>
      <c r="I10226" t="s">
        <v>10408</v>
      </c>
      <c r="J10226" t="s">
        <v>29587</v>
      </c>
      <c r="K10226" t="s">
        <v>38509</v>
      </c>
      <c r="M10226" t="s">
        <v>41979</v>
      </c>
      <c r="N10226" t="s">
        <v>42669</v>
      </c>
      <c r="O10226" t="s">
        <v>42670</v>
      </c>
      <c r="P10226">
        <v>0</v>
      </c>
      <c r="Q10226">
        <v>0</v>
      </c>
      <c r="R10226" t="s">
        <v>42683</v>
      </c>
      <c r="S10226" t="s">
        <v>43062</v>
      </c>
      <c r="T10226" t="s">
        <v>44481</v>
      </c>
      <c r="U10226" t="s">
        <v>53125</v>
      </c>
      <c r="W10226" t="s">
        <v>41979</v>
      </c>
      <c r="X10226" t="s">
        <v>42684</v>
      </c>
    </row>
    <row r="10227" spans="1:24">
      <c r="A10227">
        <f>HYPERLINK("https://www.philgeps.gov.ph/GEPSNONPILOT/Tender/SplashBidNoticeAbstractUI.aspx?menuIndex=3&amp;refID=7173138&amp;Result=3","7173138")</f>
        <v>0</v>
      </c>
      <c r="B10227" t="s">
        <v>476</v>
      </c>
      <c r="C10227" t="s">
        <v>13293</v>
      </c>
      <c r="E10227" t="s">
        <v>18415</v>
      </c>
      <c r="F10227" t="s">
        <v>29372</v>
      </c>
      <c r="G10227" t="s">
        <v>29380</v>
      </c>
      <c r="H10227" t="s">
        <v>11048</v>
      </c>
      <c r="I10227" t="s">
        <v>9469</v>
      </c>
      <c r="J10227" t="s">
        <v>29774</v>
      </c>
      <c r="K10227" t="s">
        <v>38490</v>
      </c>
      <c r="M10227" t="s">
        <v>39241</v>
      </c>
      <c r="N10227" t="s">
        <v>42669</v>
      </c>
      <c r="O10227" t="s">
        <v>42670</v>
      </c>
      <c r="Q10227">
        <v>3</v>
      </c>
      <c r="R10227" t="s">
        <v>42683</v>
      </c>
      <c r="S10227" t="s">
        <v>43155</v>
      </c>
      <c r="T10227" t="s">
        <v>44357</v>
      </c>
      <c r="U10227" t="s">
        <v>52462</v>
      </c>
      <c r="V10227" t="s">
        <v>57523</v>
      </c>
      <c r="W10227" t="s">
        <v>39241</v>
      </c>
      <c r="X10227" t="s">
        <v>42684</v>
      </c>
    </row>
    <row r="10228" spans="1:24">
      <c r="A10228">
        <f>HYPERLINK("https://www.philgeps.gov.ph/GEPSNONPILOT/Tender/SplashBidNoticeAbstractUI.aspx?menuIndex=3&amp;refID=7173453&amp;Result=3","7173453")</f>
        <v>0</v>
      </c>
      <c r="B10228" t="s">
        <v>2460</v>
      </c>
      <c r="C10228" t="s">
        <v>13294</v>
      </c>
      <c r="D10228" t="s">
        <v>17153</v>
      </c>
      <c r="E10228" t="s">
        <v>21552</v>
      </c>
      <c r="F10228" t="s">
        <v>29373</v>
      </c>
      <c r="G10228" t="s">
        <v>29381</v>
      </c>
      <c r="H10228" t="s">
        <v>11048</v>
      </c>
      <c r="I10228" t="s">
        <v>29428</v>
      </c>
      <c r="J10228" t="s">
        <v>36026</v>
      </c>
      <c r="K10228" t="s">
        <v>38491</v>
      </c>
      <c r="M10228" t="s">
        <v>41408</v>
      </c>
      <c r="N10228" t="s">
        <v>42669</v>
      </c>
      <c r="O10228" t="s">
        <v>42670</v>
      </c>
      <c r="P10228">
        <v>0</v>
      </c>
      <c r="Q10228">
        <v>0</v>
      </c>
      <c r="R10228" t="s">
        <v>42683</v>
      </c>
      <c r="S10228" t="s">
        <v>43062</v>
      </c>
      <c r="T10228" t="s">
        <v>44419</v>
      </c>
      <c r="U10228" t="s">
        <v>53151</v>
      </c>
      <c r="V10228" t="s">
        <v>57524</v>
      </c>
      <c r="W10228" t="s">
        <v>41408</v>
      </c>
      <c r="X10228" t="s">
        <v>42684</v>
      </c>
    </row>
    <row r="10229" spans="1:24">
      <c r="A10229">
        <f>HYPERLINK("https://www.philgeps.gov.ph/GEPSNONPILOT/Tender/SplashBidNoticeAbstractUI.aspx?menuIndex=3&amp;refID=7173428&amp;Result=3","7173428")</f>
        <v>0</v>
      </c>
      <c r="B10229" t="s">
        <v>1058</v>
      </c>
      <c r="C10229" t="s">
        <v>13295</v>
      </c>
      <c r="D10229" t="s">
        <v>17141</v>
      </c>
      <c r="E10229" t="s">
        <v>13295</v>
      </c>
      <c r="F10229" t="s">
        <v>29372</v>
      </c>
      <c r="G10229" t="s">
        <v>29380</v>
      </c>
      <c r="H10229" t="s">
        <v>11048</v>
      </c>
      <c r="I10229" t="s">
        <v>14920</v>
      </c>
      <c r="J10229" t="s">
        <v>31417</v>
      </c>
      <c r="K10229" t="s">
        <v>38485</v>
      </c>
      <c r="M10229" t="s">
        <v>39865</v>
      </c>
      <c r="N10229" t="s">
        <v>42669</v>
      </c>
      <c r="O10229" t="s">
        <v>42670</v>
      </c>
      <c r="P10229">
        <v>0</v>
      </c>
      <c r="Q10229">
        <v>0</v>
      </c>
      <c r="R10229" t="s">
        <v>42683</v>
      </c>
      <c r="S10229" t="s">
        <v>43062</v>
      </c>
      <c r="T10229" t="s">
        <v>44412</v>
      </c>
      <c r="U10229" t="s">
        <v>47038</v>
      </c>
      <c r="W10229" t="s">
        <v>39865</v>
      </c>
      <c r="X10229" t="s">
        <v>42684</v>
      </c>
    </row>
    <row r="10230" spans="1:24">
      <c r="A10230">
        <f>HYPERLINK("https://www.philgeps.gov.ph/GEPSNONPILOT/Tender/SplashBidNoticeAbstractUI.aspx?menuIndex=3&amp;refID=7173413&amp;Result=3","7173413")</f>
        <v>0</v>
      </c>
      <c r="B10230" t="s">
        <v>338</v>
      </c>
      <c r="C10230" t="s">
        <v>13296</v>
      </c>
      <c r="D10230" t="s">
        <v>17141</v>
      </c>
      <c r="E10230" t="s">
        <v>26003</v>
      </c>
      <c r="F10230" t="s">
        <v>29372</v>
      </c>
      <c r="G10230" t="s">
        <v>29380</v>
      </c>
      <c r="H10230" t="s">
        <v>11048</v>
      </c>
      <c r="I10230" t="s">
        <v>29411</v>
      </c>
      <c r="J10230" t="s">
        <v>29721</v>
      </c>
      <c r="K10230" t="s">
        <v>38485</v>
      </c>
      <c r="M10230" t="s">
        <v>41986</v>
      </c>
      <c r="N10230" t="s">
        <v>42669</v>
      </c>
      <c r="O10230" t="s">
        <v>42670</v>
      </c>
      <c r="Q10230">
        <v>13</v>
      </c>
      <c r="R10230" t="s">
        <v>42683</v>
      </c>
      <c r="S10230" t="s">
        <v>43156</v>
      </c>
      <c r="T10230" t="s">
        <v>44557</v>
      </c>
      <c r="U10230" t="s">
        <v>53152</v>
      </c>
      <c r="W10230" t="s">
        <v>41986</v>
      </c>
      <c r="X10230" t="s">
        <v>42684</v>
      </c>
    </row>
    <row r="10231" spans="1:24">
      <c r="A10231">
        <f>HYPERLINK("https://www.philgeps.gov.ph/GEPSNONPILOT/Tender/SplashBidNoticeAbstractUI.aspx?menuIndex=3&amp;refID=7173436&amp;Result=3","7173436")</f>
        <v>0</v>
      </c>
      <c r="B10231" t="s">
        <v>2973</v>
      </c>
      <c r="C10231" t="s">
        <v>13297</v>
      </c>
      <c r="D10231" t="s">
        <v>17177</v>
      </c>
      <c r="E10231" t="s">
        <v>26004</v>
      </c>
      <c r="F10231" t="s">
        <v>29372</v>
      </c>
      <c r="G10231" t="s">
        <v>29380</v>
      </c>
      <c r="H10231" t="s">
        <v>11048</v>
      </c>
      <c r="I10231" t="s">
        <v>3695</v>
      </c>
      <c r="J10231" t="s">
        <v>36027</v>
      </c>
      <c r="K10231" t="s">
        <v>38485</v>
      </c>
      <c r="M10231" t="s">
        <v>41987</v>
      </c>
      <c r="N10231" t="s">
        <v>42669</v>
      </c>
      <c r="O10231" t="s">
        <v>42670</v>
      </c>
      <c r="P10231">
        <v>0</v>
      </c>
      <c r="Q10231">
        <v>5</v>
      </c>
      <c r="R10231" t="s">
        <v>42683</v>
      </c>
      <c r="S10231" t="s">
        <v>43062</v>
      </c>
      <c r="T10231" t="s">
        <v>44527</v>
      </c>
      <c r="U10231" t="s">
        <v>53153</v>
      </c>
      <c r="W10231" t="s">
        <v>41987</v>
      </c>
      <c r="X10231" t="s">
        <v>42684</v>
      </c>
    </row>
    <row r="10232" spans="1:24">
      <c r="A10232">
        <f>HYPERLINK("https://www.philgeps.gov.ph/GEPSNONPILOT/Tender/SplashBidNoticeAbstractUI.aspx?menuIndex=3&amp;refID=7173410&amp;Result=3","7173410")</f>
        <v>0</v>
      </c>
      <c r="B10232" t="s">
        <v>2974</v>
      </c>
      <c r="C10232" t="s">
        <v>13298</v>
      </c>
      <c r="D10232" t="s">
        <v>17162</v>
      </c>
      <c r="E10232" t="s">
        <v>17399</v>
      </c>
      <c r="F10232" t="s">
        <v>29372</v>
      </c>
      <c r="G10232" t="s">
        <v>29380</v>
      </c>
      <c r="H10232" t="s">
        <v>11048</v>
      </c>
      <c r="I10232" t="s">
        <v>3670</v>
      </c>
      <c r="J10232" t="s">
        <v>36028</v>
      </c>
      <c r="K10232" t="s">
        <v>38488</v>
      </c>
      <c r="M10232" t="s">
        <v>41988</v>
      </c>
      <c r="N10232" t="s">
        <v>42669</v>
      </c>
      <c r="O10232" t="s">
        <v>42670</v>
      </c>
      <c r="P10232">
        <v>0</v>
      </c>
      <c r="Q10232">
        <v>9</v>
      </c>
      <c r="R10232" t="s">
        <v>42683</v>
      </c>
      <c r="S10232" t="s">
        <v>43062</v>
      </c>
      <c r="T10232" t="s">
        <v>44580</v>
      </c>
      <c r="U10232" t="s">
        <v>48561</v>
      </c>
      <c r="W10232" t="s">
        <v>41988</v>
      </c>
      <c r="X10232" t="s">
        <v>42684</v>
      </c>
    </row>
    <row r="10233" spans="1:24">
      <c r="A10233">
        <f>HYPERLINK("https://www.philgeps.gov.ph/GEPSNONPILOT/Tender/SplashBidNoticeAbstractUI.aspx?menuIndex=3&amp;refID=7173408&amp;Result=3","7173408")</f>
        <v>0</v>
      </c>
      <c r="B10233" t="s">
        <v>1058</v>
      </c>
      <c r="C10233" t="s">
        <v>13299</v>
      </c>
      <c r="D10233" t="s">
        <v>17141</v>
      </c>
      <c r="E10233" t="s">
        <v>13299</v>
      </c>
      <c r="F10233" t="s">
        <v>29372</v>
      </c>
      <c r="G10233" t="s">
        <v>29380</v>
      </c>
      <c r="H10233" t="s">
        <v>11048</v>
      </c>
      <c r="I10233" t="s">
        <v>4487</v>
      </c>
      <c r="J10233" t="s">
        <v>36029</v>
      </c>
      <c r="K10233" t="s">
        <v>38485</v>
      </c>
      <c r="M10233" t="s">
        <v>39865</v>
      </c>
      <c r="N10233" t="s">
        <v>42669</v>
      </c>
      <c r="O10233" t="s">
        <v>42670</v>
      </c>
      <c r="P10233">
        <v>0</v>
      </c>
      <c r="Q10233">
        <v>0</v>
      </c>
      <c r="R10233" t="s">
        <v>42683</v>
      </c>
      <c r="S10233" t="s">
        <v>43062</v>
      </c>
      <c r="T10233" t="s">
        <v>44412</v>
      </c>
      <c r="U10233" t="s">
        <v>46808</v>
      </c>
      <c r="W10233" t="s">
        <v>39865</v>
      </c>
      <c r="X10233" t="s">
        <v>42684</v>
      </c>
    </row>
    <row r="10234" spans="1:24">
      <c r="A10234">
        <f>HYPERLINK("https://www.philgeps.gov.ph/GEPSNONPILOT/Tender/SplashBidNoticeAbstractUI.aspx?menuIndex=3&amp;refID=7173431&amp;Result=3","7173431")</f>
        <v>0</v>
      </c>
      <c r="B10234" t="s">
        <v>2748</v>
      </c>
      <c r="C10234" t="s">
        <v>13300</v>
      </c>
      <c r="D10234" t="s">
        <v>17147</v>
      </c>
      <c r="E10234" t="s">
        <v>21803</v>
      </c>
      <c r="F10234" t="s">
        <v>29372</v>
      </c>
      <c r="G10234" t="s">
        <v>29380</v>
      </c>
      <c r="H10234" t="s">
        <v>11048</v>
      </c>
      <c r="I10234" t="s">
        <v>29394</v>
      </c>
      <c r="J10234" t="s">
        <v>36030</v>
      </c>
      <c r="K10234" t="s">
        <v>38518</v>
      </c>
      <c r="M10234" t="s">
        <v>41731</v>
      </c>
      <c r="N10234" t="s">
        <v>42669</v>
      </c>
      <c r="O10234" t="s">
        <v>42670</v>
      </c>
      <c r="P10234">
        <v>0</v>
      </c>
      <c r="Q10234">
        <v>3</v>
      </c>
      <c r="R10234" t="s">
        <v>42683</v>
      </c>
      <c r="S10234" t="s">
        <v>43062</v>
      </c>
      <c r="T10234" t="s">
        <v>44457</v>
      </c>
      <c r="U10234" t="s">
        <v>53154</v>
      </c>
      <c r="W10234" t="s">
        <v>41731</v>
      </c>
      <c r="X10234" t="s">
        <v>42684</v>
      </c>
    </row>
    <row r="10235" spans="1:24">
      <c r="A10235">
        <f>HYPERLINK("https://www.philgeps.gov.ph/GEPSNONPILOT/Tender/SplashBidNoticeAbstractUI.aspx?menuIndex=3&amp;refID=7173550&amp;Result=3","7173550")</f>
        <v>0</v>
      </c>
      <c r="B10235" t="s">
        <v>1782</v>
      </c>
      <c r="C10235" t="s">
        <v>13301</v>
      </c>
      <c r="D10235" t="s">
        <v>17177</v>
      </c>
      <c r="E10235" t="s">
        <v>26005</v>
      </c>
      <c r="F10235" t="s">
        <v>29372</v>
      </c>
      <c r="G10235" t="s">
        <v>29380</v>
      </c>
      <c r="H10235" t="s">
        <v>11048</v>
      </c>
      <c r="I10235" t="s">
        <v>29440</v>
      </c>
      <c r="J10235" t="s">
        <v>30297</v>
      </c>
      <c r="K10235" t="s">
        <v>38533</v>
      </c>
      <c r="M10235" t="s">
        <v>40651</v>
      </c>
      <c r="N10235" t="s">
        <v>42669</v>
      </c>
      <c r="O10235" t="s">
        <v>42670</v>
      </c>
      <c r="P10235">
        <v>0</v>
      </c>
      <c r="Q10235">
        <v>3</v>
      </c>
      <c r="R10235" t="s">
        <v>42683</v>
      </c>
      <c r="S10235" t="s">
        <v>43062</v>
      </c>
      <c r="T10235" t="s">
        <v>44791</v>
      </c>
      <c r="U10235" t="s">
        <v>53155</v>
      </c>
      <c r="W10235" t="s">
        <v>40651</v>
      </c>
      <c r="X10235" t="s">
        <v>42684</v>
      </c>
    </row>
    <row r="10236" spans="1:24">
      <c r="A10236">
        <f>HYPERLINK("https://www.philgeps.gov.ph/GEPSNONPILOT/Tender/SplashBidNoticeAbstractUI.aspx?menuIndex=3&amp;refID=7173597&amp;Result=3","7173597")</f>
        <v>0</v>
      </c>
      <c r="B10236" t="s">
        <v>2975</v>
      </c>
      <c r="C10236" t="s">
        <v>13302</v>
      </c>
      <c r="D10236" t="s">
        <v>17188</v>
      </c>
      <c r="E10236" t="s">
        <v>26006</v>
      </c>
      <c r="F10236" t="s">
        <v>29372</v>
      </c>
      <c r="G10236" t="s">
        <v>29380</v>
      </c>
      <c r="H10236" t="s">
        <v>11048</v>
      </c>
      <c r="I10236" t="s">
        <v>3839</v>
      </c>
      <c r="J10236" t="s">
        <v>36031</v>
      </c>
      <c r="K10236" t="s">
        <v>38485</v>
      </c>
      <c r="M10236" t="s">
        <v>41989</v>
      </c>
      <c r="N10236" t="s">
        <v>42669</v>
      </c>
      <c r="O10236" t="s">
        <v>42670</v>
      </c>
      <c r="P10236">
        <v>0</v>
      </c>
      <c r="Q10236">
        <v>4</v>
      </c>
      <c r="R10236" t="s">
        <v>42683</v>
      </c>
      <c r="S10236" t="s">
        <v>43062</v>
      </c>
      <c r="T10236" t="s">
        <v>44480</v>
      </c>
      <c r="U10236" t="s">
        <v>53156</v>
      </c>
      <c r="W10236" t="s">
        <v>41989</v>
      </c>
      <c r="X10236" t="s">
        <v>42684</v>
      </c>
    </row>
    <row r="10237" spans="1:24">
      <c r="A10237">
        <f>HYPERLINK("https://www.philgeps.gov.ph/GEPSNONPILOT/Tender/SplashBidNoticeAbstractUI.aspx?menuIndex=3&amp;refID=7173443&amp;Result=3","7173443")</f>
        <v>0</v>
      </c>
      <c r="B10237" t="s">
        <v>2976</v>
      </c>
      <c r="C10237" t="s">
        <v>13303</v>
      </c>
      <c r="D10237" t="s">
        <v>17147</v>
      </c>
      <c r="E10237" t="s">
        <v>20054</v>
      </c>
      <c r="F10237" t="s">
        <v>29372</v>
      </c>
      <c r="G10237" t="s">
        <v>29380</v>
      </c>
      <c r="H10237" t="s">
        <v>29389</v>
      </c>
      <c r="I10237" t="s">
        <v>10408</v>
      </c>
      <c r="J10237" t="s">
        <v>36032</v>
      </c>
      <c r="K10237" t="s">
        <v>38533</v>
      </c>
      <c r="M10237" t="s">
        <v>41990</v>
      </c>
      <c r="N10237" t="s">
        <v>42669</v>
      </c>
      <c r="O10237" t="s">
        <v>42670</v>
      </c>
      <c r="P10237">
        <v>0</v>
      </c>
      <c r="Q10237">
        <v>2</v>
      </c>
      <c r="R10237" t="s">
        <v>42683</v>
      </c>
      <c r="S10237" t="s">
        <v>43062</v>
      </c>
      <c r="T10237" t="s">
        <v>44745</v>
      </c>
      <c r="U10237" t="s">
        <v>53157</v>
      </c>
      <c r="W10237" t="s">
        <v>41990</v>
      </c>
      <c r="X10237" t="s">
        <v>42684</v>
      </c>
    </row>
    <row r="10238" spans="1:24">
      <c r="A10238">
        <f>HYPERLINK("https://www.philgeps.gov.ph/GEPSNONPILOT/Tender/SplashBidNoticeAbstractUI.aspx?menuIndex=3&amp;refID=7173592&amp;Result=3","7173592")</f>
        <v>0</v>
      </c>
      <c r="B10238" t="s">
        <v>1843</v>
      </c>
      <c r="C10238" t="s">
        <v>13304</v>
      </c>
      <c r="D10238" t="s">
        <v>17160</v>
      </c>
      <c r="E10238" t="s">
        <v>26007</v>
      </c>
      <c r="F10238" t="s">
        <v>29372</v>
      </c>
      <c r="G10238" t="s">
        <v>29380</v>
      </c>
      <c r="H10238" t="s">
        <v>29389</v>
      </c>
      <c r="I10238" t="s">
        <v>10408</v>
      </c>
      <c r="J10238" t="s">
        <v>36033</v>
      </c>
      <c r="K10238" t="s">
        <v>38710</v>
      </c>
      <c r="M10238" t="s">
        <v>40714</v>
      </c>
      <c r="N10238" t="s">
        <v>42669</v>
      </c>
      <c r="O10238" t="s">
        <v>42670</v>
      </c>
      <c r="P10238">
        <v>0</v>
      </c>
      <c r="Q10238">
        <v>4</v>
      </c>
      <c r="R10238" t="s">
        <v>42683</v>
      </c>
      <c r="S10238" t="s">
        <v>43062</v>
      </c>
      <c r="T10238" t="s">
        <v>44357</v>
      </c>
      <c r="U10238" t="s">
        <v>53158</v>
      </c>
      <c r="W10238" t="s">
        <v>40714</v>
      </c>
      <c r="X10238" t="s">
        <v>42684</v>
      </c>
    </row>
    <row r="10239" spans="1:24">
      <c r="A10239">
        <f>HYPERLINK("https://www.philgeps.gov.ph/GEPSNONPILOT/Tender/SplashBidNoticeAbstractUI.aspx?menuIndex=3&amp;refID=7173418&amp;Result=3","7173418")</f>
        <v>0</v>
      </c>
      <c r="B10239" t="s">
        <v>2925</v>
      </c>
      <c r="C10239" t="s">
        <v>13305</v>
      </c>
      <c r="D10239" t="s">
        <v>17216</v>
      </c>
      <c r="E10239" t="s">
        <v>26008</v>
      </c>
      <c r="F10239" t="s">
        <v>29373</v>
      </c>
      <c r="G10239" t="s">
        <v>29380</v>
      </c>
      <c r="H10239" t="s">
        <v>11048</v>
      </c>
      <c r="I10239" t="s">
        <v>4709</v>
      </c>
      <c r="J10239" t="s">
        <v>36034</v>
      </c>
      <c r="K10239" t="s">
        <v>38510</v>
      </c>
      <c r="M10239" t="s">
        <v>41926</v>
      </c>
      <c r="N10239" t="s">
        <v>42669</v>
      </c>
      <c r="O10239" t="s">
        <v>42670</v>
      </c>
      <c r="P10239">
        <v>0</v>
      </c>
      <c r="Q10239">
        <v>0</v>
      </c>
      <c r="R10239" t="s">
        <v>42683</v>
      </c>
      <c r="S10239" t="s">
        <v>43062</v>
      </c>
      <c r="T10239" t="s">
        <v>44357</v>
      </c>
      <c r="U10239" t="s">
        <v>53159</v>
      </c>
      <c r="W10239" t="s">
        <v>41926</v>
      </c>
      <c r="X10239" t="s">
        <v>42684</v>
      </c>
    </row>
    <row r="10240" spans="1:24">
      <c r="A10240">
        <f>HYPERLINK("https://www.philgeps.gov.ph/GEPSNONPILOT/Tender/SplashBidNoticeAbstractUI.aspx?menuIndex=3&amp;refID=7173567&amp;Result=3","7173567")</f>
        <v>0</v>
      </c>
      <c r="B10240" t="s">
        <v>1058</v>
      </c>
      <c r="C10240" t="s">
        <v>13306</v>
      </c>
      <c r="D10240" t="s">
        <v>17141</v>
      </c>
      <c r="E10240" t="s">
        <v>13306</v>
      </c>
      <c r="F10240" t="s">
        <v>29372</v>
      </c>
      <c r="G10240" t="s">
        <v>29380</v>
      </c>
      <c r="H10240" t="s">
        <v>11048</v>
      </c>
      <c r="I10240" t="s">
        <v>29409</v>
      </c>
      <c r="J10240" t="s">
        <v>30302</v>
      </c>
      <c r="K10240" t="s">
        <v>38485</v>
      </c>
      <c r="M10240" t="s">
        <v>39865</v>
      </c>
      <c r="N10240" t="s">
        <v>42669</v>
      </c>
      <c r="O10240" t="s">
        <v>42670</v>
      </c>
      <c r="P10240">
        <v>0</v>
      </c>
      <c r="Q10240">
        <v>6</v>
      </c>
      <c r="R10240" t="s">
        <v>42683</v>
      </c>
      <c r="S10240" t="s">
        <v>43062</v>
      </c>
      <c r="T10240" t="s">
        <v>44412</v>
      </c>
      <c r="U10240" t="s">
        <v>53160</v>
      </c>
      <c r="W10240" t="s">
        <v>39865</v>
      </c>
      <c r="X10240" t="s">
        <v>42684</v>
      </c>
    </row>
    <row r="10241" spans="1:24">
      <c r="A10241">
        <f>HYPERLINK("https://www.philgeps.gov.ph/GEPSNONPILOT/Tender/SplashBidNoticeAbstractUI.aspx?menuIndex=3&amp;refID=7173552&amp;Result=3","7173552")</f>
        <v>0</v>
      </c>
      <c r="B10241" t="s">
        <v>1058</v>
      </c>
      <c r="C10241" t="s">
        <v>13307</v>
      </c>
      <c r="D10241" t="s">
        <v>17141</v>
      </c>
      <c r="E10241" t="s">
        <v>13307</v>
      </c>
      <c r="F10241" t="s">
        <v>29372</v>
      </c>
      <c r="G10241" t="s">
        <v>29380</v>
      </c>
      <c r="H10241" t="s">
        <v>11048</v>
      </c>
      <c r="I10241" t="s">
        <v>29433</v>
      </c>
      <c r="J10241" t="s">
        <v>29543</v>
      </c>
      <c r="K10241" t="s">
        <v>38485</v>
      </c>
      <c r="M10241" t="s">
        <v>39865</v>
      </c>
      <c r="N10241" t="s">
        <v>42669</v>
      </c>
      <c r="O10241" t="s">
        <v>42670</v>
      </c>
      <c r="P10241">
        <v>0</v>
      </c>
      <c r="Q10241">
        <v>4</v>
      </c>
      <c r="R10241" t="s">
        <v>42683</v>
      </c>
      <c r="S10241" t="s">
        <v>43062</v>
      </c>
      <c r="T10241" t="s">
        <v>44412</v>
      </c>
      <c r="U10241" t="s">
        <v>47035</v>
      </c>
      <c r="W10241" t="s">
        <v>39865</v>
      </c>
      <c r="X10241" t="s">
        <v>42684</v>
      </c>
    </row>
    <row r="10242" spans="1:24">
      <c r="A10242">
        <f>HYPERLINK("https://www.philgeps.gov.ph/GEPSNONPILOT/Tender/SplashBidNoticeAbstractUI.aspx?menuIndex=3&amp;refID=7173542&amp;Result=3","7173542")</f>
        <v>0</v>
      </c>
      <c r="B10242" t="s">
        <v>2976</v>
      </c>
      <c r="C10242" t="s">
        <v>13291</v>
      </c>
      <c r="D10242" t="s">
        <v>17147</v>
      </c>
      <c r="E10242" t="s">
        <v>20026</v>
      </c>
      <c r="F10242" t="s">
        <v>29372</v>
      </c>
      <c r="G10242" t="s">
        <v>29380</v>
      </c>
      <c r="H10242" t="s">
        <v>29389</v>
      </c>
      <c r="I10242" t="s">
        <v>10408</v>
      </c>
      <c r="J10242" t="s">
        <v>36035</v>
      </c>
      <c r="K10242" t="s">
        <v>38496</v>
      </c>
      <c r="M10242" t="s">
        <v>41990</v>
      </c>
      <c r="N10242" t="s">
        <v>42669</v>
      </c>
      <c r="O10242" t="s">
        <v>42670</v>
      </c>
      <c r="P10242">
        <v>0</v>
      </c>
      <c r="Q10242">
        <v>8</v>
      </c>
      <c r="R10242" t="s">
        <v>42683</v>
      </c>
      <c r="S10242" t="s">
        <v>43062</v>
      </c>
      <c r="T10242" t="s">
        <v>44745</v>
      </c>
      <c r="U10242" t="s">
        <v>53161</v>
      </c>
      <c r="W10242" t="s">
        <v>41990</v>
      </c>
      <c r="X10242" t="s">
        <v>42684</v>
      </c>
    </row>
    <row r="10243" spans="1:24">
      <c r="A10243">
        <f>HYPERLINK("https://www.philgeps.gov.ph/GEPSNONPILOT/Tender/SplashBidNoticeAbstractUI.aspx?menuIndex=3&amp;refID=7173523&amp;Result=3","7173523")</f>
        <v>0</v>
      </c>
      <c r="B10243" t="s">
        <v>2209</v>
      </c>
      <c r="C10243" t="s">
        <v>13308</v>
      </c>
      <c r="D10243" t="s">
        <v>17171</v>
      </c>
      <c r="E10243" t="s">
        <v>26009</v>
      </c>
      <c r="F10243" t="s">
        <v>29372</v>
      </c>
      <c r="G10243" t="s">
        <v>29380</v>
      </c>
      <c r="H10243" t="s">
        <v>11048</v>
      </c>
      <c r="I10243" t="s">
        <v>29407</v>
      </c>
      <c r="J10243" t="s">
        <v>30728</v>
      </c>
      <c r="K10243" t="s">
        <v>38490</v>
      </c>
      <c r="M10243" t="s">
        <v>41126</v>
      </c>
      <c r="N10243" t="s">
        <v>42669</v>
      </c>
      <c r="O10243" t="s">
        <v>42670</v>
      </c>
      <c r="Q10243">
        <v>11</v>
      </c>
      <c r="R10243" t="s">
        <v>42683</v>
      </c>
      <c r="S10243" t="s">
        <v>43124</v>
      </c>
      <c r="T10243" t="s">
        <v>44788</v>
      </c>
      <c r="U10243" t="s">
        <v>53162</v>
      </c>
      <c r="W10243" t="s">
        <v>41126</v>
      </c>
      <c r="X10243" t="s">
        <v>42684</v>
      </c>
    </row>
    <row r="10244" spans="1:24">
      <c r="A10244">
        <f>HYPERLINK("https://www.philgeps.gov.ph/GEPSNONPILOT/Tender/SplashBidNoticeAbstractUI.aspx?menuIndex=3&amp;refID=7172966&amp;Result=3","7172966")</f>
        <v>0</v>
      </c>
      <c r="B10244" t="s">
        <v>2967</v>
      </c>
      <c r="C10244" t="s">
        <v>13309</v>
      </c>
      <c r="D10244" t="s">
        <v>17180</v>
      </c>
      <c r="E10244" t="s">
        <v>18599</v>
      </c>
      <c r="F10244" t="s">
        <v>29372</v>
      </c>
      <c r="G10244" t="s">
        <v>29380</v>
      </c>
      <c r="H10244" t="s">
        <v>11048</v>
      </c>
      <c r="I10244" t="s">
        <v>8208</v>
      </c>
      <c r="J10244" t="s">
        <v>29728</v>
      </c>
      <c r="K10244" t="s">
        <v>38522</v>
      </c>
      <c r="L10244" t="s">
        <v>2967</v>
      </c>
      <c r="M10244" t="s">
        <v>41978</v>
      </c>
      <c r="N10244" t="s">
        <v>42669</v>
      </c>
      <c r="O10244" t="s">
        <v>42670</v>
      </c>
      <c r="Q10244">
        <v>7</v>
      </c>
      <c r="R10244" t="s">
        <v>42683</v>
      </c>
      <c r="S10244" t="s">
        <v>43157</v>
      </c>
      <c r="T10244" t="s">
        <v>44560</v>
      </c>
      <c r="U10244" t="s">
        <v>53163</v>
      </c>
      <c r="V10244" t="s">
        <v>57518</v>
      </c>
      <c r="W10244" t="s">
        <v>41978</v>
      </c>
      <c r="X10244" t="s">
        <v>42684</v>
      </c>
    </row>
    <row r="10245" spans="1:24">
      <c r="A10245">
        <f>HYPERLINK("https://www.philgeps.gov.ph/GEPSNONPILOT/Tender/SplashBidNoticeAbstractUI.aspx?menuIndex=3&amp;refID=7173516&amp;Result=3","7173516")</f>
        <v>0</v>
      </c>
      <c r="B10245" t="s">
        <v>674</v>
      </c>
      <c r="C10245" t="s">
        <v>13310</v>
      </c>
      <c r="D10245" t="s">
        <v>17164</v>
      </c>
      <c r="E10245" t="s">
        <v>26010</v>
      </c>
      <c r="F10245" t="s">
        <v>29372</v>
      </c>
      <c r="G10245" t="s">
        <v>29380</v>
      </c>
      <c r="H10245" t="s">
        <v>29389</v>
      </c>
      <c r="I10245" t="s">
        <v>10408</v>
      </c>
      <c r="J10245" t="s">
        <v>36036</v>
      </c>
      <c r="K10245" t="s">
        <v>38711</v>
      </c>
      <c r="M10245" t="s">
        <v>39450</v>
      </c>
      <c r="N10245" t="s">
        <v>42669</v>
      </c>
      <c r="O10245" t="s">
        <v>42670</v>
      </c>
      <c r="P10245">
        <v>0</v>
      </c>
      <c r="Q10245">
        <v>0</v>
      </c>
      <c r="R10245" t="s">
        <v>42683</v>
      </c>
      <c r="S10245" t="s">
        <v>43062</v>
      </c>
      <c r="T10245" t="s">
        <v>44532</v>
      </c>
      <c r="U10245" t="s">
        <v>53164</v>
      </c>
      <c r="W10245" t="s">
        <v>39450</v>
      </c>
      <c r="X10245" t="s">
        <v>42684</v>
      </c>
    </row>
    <row r="10246" spans="1:24">
      <c r="A10246">
        <f>HYPERLINK("https://www.philgeps.gov.ph/GEPSNONPILOT/Tender/SplashBidNoticeAbstractUI.aspx?menuIndex=3&amp;refID=7173500&amp;Result=3","7173500")</f>
        <v>0</v>
      </c>
      <c r="B10246" t="s">
        <v>1336</v>
      </c>
      <c r="C10246" t="s">
        <v>13311</v>
      </c>
      <c r="D10246" t="s">
        <v>17226</v>
      </c>
      <c r="E10246" t="s">
        <v>26011</v>
      </c>
      <c r="F10246" t="s">
        <v>29372</v>
      </c>
      <c r="G10246" t="s">
        <v>29380</v>
      </c>
      <c r="H10246" t="s">
        <v>11048</v>
      </c>
      <c r="I10246" t="s">
        <v>4709</v>
      </c>
      <c r="J10246" t="s">
        <v>36037</v>
      </c>
      <c r="K10246" t="s">
        <v>38485</v>
      </c>
      <c r="M10246" t="s">
        <v>40172</v>
      </c>
      <c r="N10246" t="s">
        <v>42669</v>
      </c>
      <c r="O10246" t="s">
        <v>42670</v>
      </c>
      <c r="Q10246">
        <v>0</v>
      </c>
      <c r="R10246" t="s">
        <v>42683</v>
      </c>
      <c r="S10246" t="s">
        <v>43158</v>
      </c>
      <c r="T10246" t="s">
        <v>44542</v>
      </c>
      <c r="U10246" t="s">
        <v>53165</v>
      </c>
      <c r="W10246" t="s">
        <v>40172</v>
      </c>
      <c r="X10246" t="s">
        <v>42684</v>
      </c>
    </row>
    <row r="10247" spans="1:24">
      <c r="A10247">
        <f>HYPERLINK("https://www.philgeps.gov.ph/GEPSNONPILOT/Tender/SplashBidNoticeAbstractUI.aspx?menuIndex=3&amp;refID=7173577&amp;Result=3","7173577")</f>
        <v>0</v>
      </c>
      <c r="B10247" t="s">
        <v>1866</v>
      </c>
      <c r="C10247" t="s">
        <v>13312</v>
      </c>
      <c r="D10247" t="s">
        <v>17141</v>
      </c>
      <c r="E10247" t="s">
        <v>26012</v>
      </c>
      <c r="F10247" t="s">
        <v>29372</v>
      </c>
      <c r="G10247" t="s">
        <v>29380</v>
      </c>
      <c r="H10247" t="s">
        <v>29390</v>
      </c>
      <c r="I10247" t="s">
        <v>29440</v>
      </c>
      <c r="J10247" t="s">
        <v>36038</v>
      </c>
      <c r="K10247" t="s">
        <v>38603</v>
      </c>
      <c r="M10247" t="s">
        <v>40739</v>
      </c>
      <c r="N10247" t="s">
        <v>42669</v>
      </c>
      <c r="O10247" t="s">
        <v>42670</v>
      </c>
      <c r="P10247">
        <v>0</v>
      </c>
      <c r="Q10247">
        <v>4</v>
      </c>
      <c r="R10247" t="s">
        <v>42683</v>
      </c>
      <c r="S10247" t="s">
        <v>43062</v>
      </c>
      <c r="T10247" t="s">
        <v>44453</v>
      </c>
      <c r="U10247" t="s">
        <v>49180</v>
      </c>
      <c r="V10247" t="s">
        <v>57525</v>
      </c>
      <c r="W10247" t="s">
        <v>40739</v>
      </c>
      <c r="X10247" t="s">
        <v>42684</v>
      </c>
    </row>
    <row r="10248" spans="1:24">
      <c r="A10248">
        <f>HYPERLINK("https://www.philgeps.gov.ph/GEPSNONPILOT/Tender/SplashBidNoticeAbstractUI.aspx?menuIndex=3&amp;refID=7173537&amp;Result=3","7173537")</f>
        <v>0</v>
      </c>
      <c r="B10248" t="s">
        <v>1058</v>
      </c>
      <c r="C10248" t="s">
        <v>13313</v>
      </c>
      <c r="D10248" t="s">
        <v>17141</v>
      </c>
      <c r="E10248" t="s">
        <v>13313</v>
      </c>
      <c r="F10248" t="s">
        <v>29372</v>
      </c>
      <c r="G10248" t="s">
        <v>29380</v>
      </c>
      <c r="H10248" t="s">
        <v>11048</v>
      </c>
      <c r="I10248" t="s">
        <v>29433</v>
      </c>
      <c r="J10248" t="s">
        <v>36039</v>
      </c>
      <c r="K10248" t="s">
        <v>38485</v>
      </c>
      <c r="M10248" t="s">
        <v>39865</v>
      </c>
      <c r="N10248" t="s">
        <v>42669</v>
      </c>
      <c r="O10248" t="s">
        <v>42670</v>
      </c>
      <c r="P10248">
        <v>0</v>
      </c>
      <c r="Q10248">
        <v>5</v>
      </c>
      <c r="R10248" t="s">
        <v>42683</v>
      </c>
      <c r="S10248" t="s">
        <v>43062</v>
      </c>
      <c r="T10248" t="s">
        <v>44412</v>
      </c>
      <c r="U10248" t="s">
        <v>47035</v>
      </c>
      <c r="W10248" t="s">
        <v>39865</v>
      </c>
      <c r="X10248" t="s">
        <v>42684</v>
      </c>
    </row>
    <row r="10249" spans="1:24">
      <c r="A10249">
        <f>HYPERLINK("https://www.philgeps.gov.ph/GEPSNONPILOT/Tender/SplashBidNoticeAbstractUI.aspx?menuIndex=3&amp;refID=7173512&amp;Result=3","7173512")</f>
        <v>0</v>
      </c>
      <c r="B10249" t="s">
        <v>1055</v>
      </c>
      <c r="C10249" t="s">
        <v>13314</v>
      </c>
      <c r="D10249" t="s">
        <v>17176</v>
      </c>
      <c r="E10249" t="s">
        <v>26013</v>
      </c>
      <c r="F10249" t="s">
        <v>29372</v>
      </c>
      <c r="G10249" t="s">
        <v>29380</v>
      </c>
      <c r="H10249" t="s">
        <v>11048</v>
      </c>
      <c r="I10249" t="s">
        <v>4709</v>
      </c>
      <c r="J10249" t="s">
        <v>36040</v>
      </c>
      <c r="K10249" t="s">
        <v>38491</v>
      </c>
      <c r="M10249" t="s">
        <v>41168</v>
      </c>
      <c r="N10249" t="s">
        <v>42669</v>
      </c>
      <c r="O10249" t="s">
        <v>42670</v>
      </c>
      <c r="P10249">
        <v>0</v>
      </c>
      <c r="Q10249">
        <v>0</v>
      </c>
      <c r="R10249" t="s">
        <v>42683</v>
      </c>
      <c r="S10249" t="s">
        <v>43062</v>
      </c>
      <c r="T10249" t="s">
        <v>44401</v>
      </c>
      <c r="U10249" t="s">
        <v>53166</v>
      </c>
      <c r="V10249" t="s">
        <v>57103</v>
      </c>
      <c r="W10249" t="s">
        <v>41168</v>
      </c>
      <c r="X10249" t="s">
        <v>42684</v>
      </c>
    </row>
    <row r="10250" spans="1:24">
      <c r="A10250">
        <f>HYPERLINK("https://www.philgeps.gov.ph/GEPSNONPILOT/Tender/SplashBidNoticeAbstractUI.aspx?menuIndex=3&amp;refID=7173498&amp;Result=3","7173498")</f>
        <v>0</v>
      </c>
      <c r="B10250" t="s">
        <v>1058</v>
      </c>
      <c r="C10250" t="s">
        <v>13315</v>
      </c>
      <c r="D10250" t="s">
        <v>17141</v>
      </c>
      <c r="E10250" t="s">
        <v>13315</v>
      </c>
      <c r="F10250" t="s">
        <v>29372</v>
      </c>
      <c r="G10250" t="s">
        <v>29380</v>
      </c>
      <c r="H10250" t="s">
        <v>11048</v>
      </c>
      <c r="I10250" t="s">
        <v>29433</v>
      </c>
      <c r="J10250" t="s">
        <v>36041</v>
      </c>
      <c r="K10250" t="s">
        <v>38485</v>
      </c>
      <c r="M10250" t="s">
        <v>39865</v>
      </c>
      <c r="N10250" t="s">
        <v>42669</v>
      </c>
      <c r="O10250" t="s">
        <v>42670</v>
      </c>
      <c r="P10250">
        <v>0</v>
      </c>
      <c r="Q10250">
        <v>4</v>
      </c>
      <c r="R10250" t="s">
        <v>42683</v>
      </c>
      <c r="S10250" t="s">
        <v>43062</v>
      </c>
      <c r="T10250" t="s">
        <v>44412</v>
      </c>
      <c r="U10250" t="s">
        <v>47035</v>
      </c>
      <c r="W10250" t="s">
        <v>39865</v>
      </c>
      <c r="X10250" t="s">
        <v>42684</v>
      </c>
    </row>
    <row r="10251" spans="1:24">
      <c r="A10251">
        <f>HYPERLINK("https://www.philgeps.gov.ph/GEPSNONPILOT/Tender/SplashBidNoticeAbstractUI.aspx?menuIndex=3&amp;refID=7173473&amp;Result=3","7173473")</f>
        <v>0</v>
      </c>
      <c r="B10251" t="s">
        <v>1058</v>
      </c>
      <c r="C10251" t="s">
        <v>13316</v>
      </c>
      <c r="D10251" t="s">
        <v>17141</v>
      </c>
      <c r="E10251" t="s">
        <v>13316</v>
      </c>
      <c r="F10251" t="s">
        <v>29372</v>
      </c>
      <c r="G10251" t="s">
        <v>29380</v>
      </c>
      <c r="H10251" t="s">
        <v>11048</v>
      </c>
      <c r="I10251" t="s">
        <v>29433</v>
      </c>
      <c r="J10251" t="s">
        <v>31361</v>
      </c>
      <c r="K10251" t="s">
        <v>38485</v>
      </c>
      <c r="M10251" t="s">
        <v>39865</v>
      </c>
      <c r="N10251" t="s">
        <v>42669</v>
      </c>
      <c r="O10251" t="s">
        <v>42670</v>
      </c>
      <c r="P10251">
        <v>0</v>
      </c>
      <c r="Q10251">
        <v>6</v>
      </c>
      <c r="R10251" t="s">
        <v>42683</v>
      </c>
      <c r="S10251" t="s">
        <v>43062</v>
      </c>
      <c r="T10251" t="s">
        <v>44412</v>
      </c>
      <c r="U10251" t="s">
        <v>53149</v>
      </c>
      <c r="W10251" t="s">
        <v>39865</v>
      </c>
      <c r="X10251" t="s">
        <v>42684</v>
      </c>
    </row>
    <row r="10252" spans="1:24">
      <c r="A10252">
        <f>HYPERLINK("https://www.philgeps.gov.ph/GEPSNONPILOT/Tender/SplashBidNoticeAbstractUI.aspx?menuIndex=3&amp;refID=7173483&amp;Result=3","7173483")</f>
        <v>0</v>
      </c>
      <c r="B10252" t="s">
        <v>2925</v>
      </c>
      <c r="C10252" t="s">
        <v>13317</v>
      </c>
      <c r="D10252" t="s">
        <v>17216</v>
      </c>
      <c r="E10252" t="s">
        <v>26014</v>
      </c>
      <c r="F10252" t="s">
        <v>29373</v>
      </c>
      <c r="G10252" t="s">
        <v>29380</v>
      </c>
      <c r="H10252" t="s">
        <v>11048</v>
      </c>
      <c r="I10252" t="s">
        <v>4709</v>
      </c>
      <c r="J10252" t="s">
        <v>29797</v>
      </c>
      <c r="K10252" t="s">
        <v>38510</v>
      </c>
      <c r="M10252" t="s">
        <v>41926</v>
      </c>
      <c r="N10252" t="s">
        <v>42669</v>
      </c>
      <c r="O10252" t="s">
        <v>42670</v>
      </c>
      <c r="P10252">
        <v>0</v>
      </c>
      <c r="Q10252">
        <v>0</v>
      </c>
      <c r="R10252" t="s">
        <v>42683</v>
      </c>
      <c r="S10252" t="s">
        <v>43062</v>
      </c>
      <c r="T10252" t="s">
        <v>44357</v>
      </c>
      <c r="U10252" t="s">
        <v>53167</v>
      </c>
      <c r="W10252" t="s">
        <v>41926</v>
      </c>
      <c r="X10252" t="s">
        <v>42684</v>
      </c>
    </row>
    <row r="10253" spans="1:24">
      <c r="A10253">
        <f>HYPERLINK("https://www.philgeps.gov.ph/GEPSNONPILOT/Tender/SplashBidNoticeAbstractUI.aspx?menuIndex=3&amp;refID=7173489&amp;Result=3","7173489")</f>
        <v>0</v>
      </c>
      <c r="B10253" t="s">
        <v>1058</v>
      </c>
      <c r="C10253" t="s">
        <v>13318</v>
      </c>
      <c r="D10253" t="s">
        <v>17141</v>
      </c>
      <c r="E10253" t="s">
        <v>13318</v>
      </c>
      <c r="F10253" t="s">
        <v>29372</v>
      </c>
      <c r="G10253" t="s">
        <v>29380</v>
      </c>
      <c r="H10253" t="s">
        <v>11048</v>
      </c>
      <c r="I10253" t="s">
        <v>29433</v>
      </c>
      <c r="J10253" t="s">
        <v>29525</v>
      </c>
      <c r="K10253" t="s">
        <v>38485</v>
      </c>
      <c r="M10253" t="s">
        <v>39865</v>
      </c>
      <c r="N10253" t="s">
        <v>42669</v>
      </c>
      <c r="O10253" t="s">
        <v>42670</v>
      </c>
      <c r="P10253">
        <v>0</v>
      </c>
      <c r="Q10253">
        <v>6</v>
      </c>
      <c r="R10253" t="s">
        <v>42683</v>
      </c>
      <c r="S10253" t="s">
        <v>43062</v>
      </c>
      <c r="T10253" t="s">
        <v>44412</v>
      </c>
      <c r="U10253" t="s">
        <v>47035</v>
      </c>
      <c r="W10253" t="s">
        <v>39865</v>
      </c>
      <c r="X10253" t="s">
        <v>42684</v>
      </c>
    </row>
    <row r="10254" spans="1:24">
      <c r="A10254">
        <f>HYPERLINK("https://www.philgeps.gov.ph/GEPSNONPILOT/Tender/SplashBidNoticeAbstractUI.aspx?menuIndex=3&amp;refID=7173471&amp;Result=3","7173471")</f>
        <v>0</v>
      </c>
      <c r="B10254" t="s">
        <v>2748</v>
      </c>
      <c r="C10254" t="s">
        <v>13319</v>
      </c>
      <c r="D10254" t="s">
        <v>17147</v>
      </c>
      <c r="E10254" t="s">
        <v>19258</v>
      </c>
      <c r="F10254" t="s">
        <v>29372</v>
      </c>
      <c r="G10254" t="s">
        <v>29380</v>
      </c>
      <c r="H10254" t="s">
        <v>11048</v>
      </c>
      <c r="I10254" t="s">
        <v>9469</v>
      </c>
      <c r="J10254" t="s">
        <v>36042</v>
      </c>
      <c r="K10254" t="s">
        <v>38518</v>
      </c>
      <c r="M10254" t="s">
        <v>41731</v>
      </c>
      <c r="N10254" t="s">
        <v>42669</v>
      </c>
      <c r="O10254" t="s">
        <v>42670</v>
      </c>
      <c r="P10254">
        <v>0</v>
      </c>
      <c r="Q10254">
        <v>0</v>
      </c>
      <c r="R10254" t="s">
        <v>42683</v>
      </c>
      <c r="S10254" t="s">
        <v>43062</v>
      </c>
      <c r="T10254" t="s">
        <v>44457</v>
      </c>
      <c r="U10254" t="s">
        <v>53168</v>
      </c>
      <c r="W10254" t="s">
        <v>41731</v>
      </c>
      <c r="X10254" t="s">
        <v>42684</v>
      </c>
    </row>
    <row r="10255" spans="1:24">
      <c r="A10255">
        <f>HYPERLINK("https://www.philgeps.gov.ph/GEPSNONPILOT/Tender/SplashBidNoticeAbstractUI.aspx?menuIndex=3&amp;refID=7173468&amp;Result=3","7173468")</f>
        <v>0</v>
      </c>
      <c r="B10255" t="s">
        <v>2977</v>
      </c>
      <c r="C10255" t="s">
        <v>13320</v>
      </c>
      <c r="D10255" t="s">
        <v>17188</v>
      </c>
      <c r="E10255" t="s">
        <v>26015</v>
      </c>
      <c r="F10255" t="s">
        <v>29372</v>
      </c>
      <c r="G10255" t="s">
        <v>29380</v>
      </c>
      <c r="H10255" t="s">
        <v>29389</v>
      </c>
      <c r="I10255" t="s">
        <v>10408</v>
      </c>
      <c r="J10255" t="s">
        <v>29543</v>
      </c>
      <c r="K10255" t="s">
        <v>38522</v>
      </c>
      <c r="M10255" t="s">
        <v>41991</v>
      </c>
      <c r="N10255" t="s">
        <v>42669</v>
      </c>
      <c r="O10255" t="s">
        <v>42670</v>
      </c>
      <c r="P10255">
        <v>0</v>
      </c>
      <c r="Q10255">
        <v>0</v>
      </c>
      <c r="R10255" t="s">
        <v>42683</v>
      </c>
      <c r="S10255" t="s">
        <v>43062</v>
      </c>
      <c r="T10255" t="s">
        <v>44457</v>
      </c>
      <c r="U10255" t="s">
        <v>53169</v>
      </c>
      <c r="W10255" t="s">
        <v>41991</v>
      </c>
      <c r="X10255" t="s">
        <v>42684</v>
      </c>
    </row>
    <row r="10256" spans="1:24">
      <c r="A10256">
        <f>HYPERLINK("https://www.philgeps.gov.ph/GEPSNONPILOT/Tender/SplashBidNoticeAbstractUI.aspx?menuIndex=3&amp;refID=7173397&amp;Result=3","7173397")</f>
        <v>0</v>
      </c>
      <c r="B10256" t="s">
        <v>2967</v>
      </c>
      <c r="C10256" t="s">
        <v>4662</v>
      </c>
      <c r="D10256" t="s">
        <v>17180</v>
      </c>
      <c r="E10256" t="s">
        <v>26016</v>
      </c>
      <c r="F10256" t="s">
        <v>29372</v>
      </c>
      <c r="G10256" t="s">
        <v>29380</v>
      </c>
      <c r="H10256" t="s">
        <v>11048</v>
      </c>
      <c r="I10256" t="s">
        <v>4487</v>
      </c>
      <c r="J10256" t="s">
        <v>36043</v>
      </c>
      <c r="K10256" t="s">
        <v>38485</v>
      </c>
      <c r="L10256" t="s">
        <v>2967</v>
      </c>
      <c r="M10256" t="s">
        <v>41978</v>
      </c>
      <c r="N10256" t="s">
        <v>42669</v>
      </c>
      <c r="O10256" t="s">
        <v>42670</v>
      </c>
      <c r="P10256">
        <v>0</v>
      </c>
      <c r="Q10256">
        <v>7</v>
      </c>
      <c r="R10256" t="s">
        <v>42683</v>
      </c>
      <c r="S10256" t="s">
        <v>43062</v>
      </c>
      <c r="T10256" t="s">
        <v>44560</v>
      </c>
      <c r="U10256" t="s">
        <v>46808</v>
      </c>
      <c r="V10256" t="s">
        <v>57518</v>
      </c>
      <c r="W10256" t="s">
        <v>41978</v>
      </c>
      <c r="X10256" t="s">
        <v>42684</v>
      </c>
    </row>
    <row r="10257" spans="1:24">
      <c r="A10257">
        <f>HYPERLINK("https://www.philgeps.gov.ph/GEPSNONPILOT/Tender/SplashBidNoticeAbstractUI.aspx?menuIndex=3&amp;refID=7173394&amp;Result=3","7173394")</f>
        <v>0</v>
      </c>
      <c r="B10257" t="s">
        <v>940</v>
      </c>
      <c r="C10257" t="s">
        <v>13321</v>
      </c>
      <c r="E10257" t="s">
        <v>26017</v>
      </c>
      <c r="F10257" t="s">
        <v>29372</v>
      </c>
      <c r="G10257" t="s">
        <v>29380</v>
      </c>
      <c r="H10257" t="s">
        <v>29389</v>
      </c>
      <c r="I10257" t="s">
        <v>10408</v>
      </c>
      <c r="J10257" t="s">
        <v>32999</v>
      </c>
      <c r="K10257" t="s">
        <v>38564</v>
      </c>
      <c r="M10257" t="s">
        <v>39735</v>
      </c>
      <c r="N10257" t="s">
        <v>42669</v>
      </c>
      <c r="O10257" t="s">
        <v>42670</v>
      </c>
      <c r="P10257">
        <v>0</v>
      </c>
      <c r="Q10257">
        <v>0</v>
      </c>
      <c r="R10257" t="s">
        <v>42683</v>
      </c>
      <c r="S10257" t="s">
        <v>43062</v>
      </c>
      <c r="T10257" t="s">
        <v>44527</v>
      </c>
      <c r="U10257" t="s">
        <v>53170</v>
      </c>
      <c r="W10257" t="s">
        <v>39735</v>
      </c>
      <c r="X10257" t="s">
        <v>42684</v>
      </c>
    </row>
    <row r="10258" spans="1:24">
      <c r="A10258">
        <f>HYPERLINK("https://www.philgeps.gov.ph/GEPSNONPILOT/Tender/SplashBidNoticeAbstractUI.aspx?menuIndex=3&amp;refID=7173484&amp;Result=3","7173484")</f>
        <v>0</v>
      </c>
      <c r="B10258" t="s">
        <v>291</v>
      </c>
      <c r="C10258" t="s">
        <v>13322</v>
      </c>
      <c r="D10258" t="s">
        <v>17197</v>
      </c>
      <c r="E10258" t="s">
        <v>26018</v>
      </c>
      <c r="F10258" t="s">
        <v>29372</v>
      </c>
      <c r="G10258" t="s">
        <v>29380</v>
      </c>
      <c r="H10258" t="s">
        <v>29389</v>
      </c>
      <c r="I10258" t="s">
        <v>10408</v>
      </c>
      <c r="J10258" t="s">
        <v>36044</v>
      </c>
      <c r="K10258" t="s">
        <v>38712</v>
      </c>
      <c r="M10258" t="s">
        <v>39050</v>
      </c>
      <c r="N10258" t="s">
        <v>42669</v>
      </c>
      <c r="O10258" t="s">
        <v>42670</v>
      </c>
      <c r="P10258">
        <v>0</v>
      </c>
      <c r="Q10258">
        <v>2</v>
      </c>
      <c r="R10258" t="s">
        <v>42683</v>
      </c>
      <c r="S10258" t="s">
        <v>43062</v>
      </c>
      <c r="T10258" t="s">
        <v>44357</v>
      </c>
      <c r="U10258" t="s">
        <v>45494</v>
      </c>
      <c r="W10258" t="s">
        <v>39050</v>
      </c>
      <c r="X10258" t="s">
        <v>42684</v>
      </c>
    </row>
    <row r="10259" spans="1:24">
      <c r="A10259">
        <f>HYPERLINK("https://www.philgeps.gov.ph/GEPSNONPILOT/Tender/SplashBidNoticeAbstractUI.aspx?menuIndex=3&amp;refID=7173393&amp;Result=3","7173393")</f>
        <v>0</v>
      </c>
      <c r="B10259" t="s">
        <v>963</v>
      </c>
      <c r="C10259" t="s">
        <v>13323</v>
      </c>
      <c r="D10259" t="s">
        <v>17189</v>
      </c>
      <c r="E10259" t="s">
        <v>26019</v>
      </c>
      <c r="F10259" t="s">
        <v>29372</v>
      </c>
      <c r="G10259" t="s">
        <v>29380</v>
      </c>
      <c r="H10259" t="s">
        <v>29389</v>
      </c>
      <c r="I10259" t="s">
        <v>10408</v>
      </c>
      <c r="J10259" t="s">
        <v>36045</v>
      </c>
      <c r="K10259" t="s">
        <v>38518</v>
      </c>
      <c r="M10259" t="s">
        <v>39759</v>
      </c>
      <c r="N10259" t="s">
        <v>42669</v>
      </c>
      <c r="O10259" t="s">
        <v>42670</v>
      </c>
      <c r="P10259">
        <v>0</v>
      </c>
      <c r="Q10259">
        <v>2</v>
      </c>
      <c r="R10259" t="s">
        <v>42683</v>
      </c>
      <c r="S10259" t="s">
        <v>43062</v>
      </c>
      <c r="T10259" t="s">
        <v>44513</v>
      </c>
      <c r="U10259" t="s">
        <v>53171</v>
      </c>
      <c r="W10259" t="s">
        <v>39759</v>
      </c>
      <c r="X10259" t="s">
        <v>42684</v>
      </c>
    </row>
    <row r="10260" spans="1:24">
      <c r="A10260">
        <f>HYPERLINK("https://www.philgeps.gov.ph/GEPSNONPILOT/Tender/SplashBidNoticeAbstractUI.aspx?menuIndex=3&amp;refID=7173392&amp;Result=3","7173392")</f>
        <v>0</v>
      </c>
      <c r="B10260" t="s">
        <v>43</v>
      </c>
      <c r="C10260" t="s">
        <v>13324</v>
      </c>
      <c r="D10260" t="s">
        <v>17143</v>
      </c>
      <c r="E10260" t="s">
        <v>26020</v>
      </c>
      <c r="F10260" t="s">
        <v>29372</v>
      </c>
      <c r="G10260" t="s">
        <v>29380</v>
      </c>
      <c r="H10260" t="s">
        <v>11048</v>
      </c>
      <c r="I10260" t="s">
        <v>4709</v>
      </c>
      <c r="J10260" t="s">
        <v>29604</v>
      </c>
      <c r="K10260" t="s">
        <v>38485</v>
      </c>
      <c r="M10260" t="s">
        <v>38796</v>
      </c>
      <c r="N10260" t="s">
        <v>42669</v>
      </c>
      <c r="O10260" t="s">
        <v>42670</v>
      </c>
      <c r="P10260">
        <v>0</v>
      </c>
      <c r="Q10260">
        <v>1</v>
      </c>
      <c r="R10260" t="s">
        <v>42683</v>
      </c>
      <c r="S10260" t="s">
        <v>43062</v>
      </c>
      <c r="T10260" t="s">
        <v>44568</v>
      </c>
      <c r="U10260" t="s">
        <v>53172</v>
      </c>
      <c r="W10260" t="s">
        <v>38796</v>
      </c>
      <c r="X10260" t="s">
        <v>42684</v>
      </c>
    </row>
    <row r="10261" spans="1:24">
      <c r="A10261">
        <f>HYPERLINK("https://www.philgeps.gov.ph/GEPSNONPILOT/Tender/SplashBidNoticeAbstractUI.aspx?menuIndex=3&amp;refID=7173607&amp;Result=3","7173607")</f>
        <v>0</v>
      </c>
      <c r="B10261" t="s">
        <v>956</v>
      </c>
      <c r="C10261" t="s">
        <v>13325</v>
      </c>
      <c r="D10261" t="s">
        <v>17141</v>
      </c>
      <c r="E10261" t="s">
        <v>26021</v>
      </c>
      <c r="F10261" t="s">
        <v>29372</v>
      </c>
      <c r="G10261" t="s">
        <v>29380</v>
      </c>
      <c r="H10261" t="s">
        <v>11048</v>
      </c>
      <c r="I10261" t="s">
        <v>29501</v>
      </c>
      <c r="J10261" t="s">
        <v>30161</v>
      </c>
      <c r="K10261" t="s">
        <v>38502</v>
      </c>
      <c r="M10261" t="s">
        <v>41992</v>
      </c>
      <c r="N10261" t="s">
        <v>42669</v>
      </c>
      <c r="O10261" t="s">
        <v>42670</v>
      </c>
      <c r="P10261">
        <v>0</v>
      </c>
      <c r="Q10261">
        <v>3</v>
      </c>
      <c r="R10261" t="s">
        <v>42683</v>
      </c>
      <c r="S10261" t="s">
        <v>43062</v>
      </c>
      <c r="T10261" t="s">
        <v>44568</v>
      </c>
      <c r="U10261" t="s">
        <v>53173</v>
      </c>
      <c r="W10261" t="s">
        <v>41992</v>
      </c>
      <c r="X10261" t="s">
        <v>42684</v>
      </c>
    </row>
    <row r="10262" spans="1:24">
      <c r="A10262">
        <f>HYPERLINK("https://www.philgeps.gov.ph/GEPSNONPILOT/Tender/SplashBidNoticeAbstractUI.aspx?menuIndex=3&amp;refID=7173770&amp;Result=3","7173770")</f>
        <v>0</v>
      </c>
      <c r="B10262" t="s">
        <v>1088</v>
      </c>
      <c r="C10262" t="s">
        <v>13326</v>
      </c>
      <c r="E10262" t="s">
        <v>26022</v>
      </c>
      <c r="F10262" t="s">
        <v>29372</v>
      </c>
      <c r="G10262" t="s">
        <v>29380</v>
      </c>
      <c r="H10262" t="s">
        <v>11048</v>
      </c>
      <c r="I10262" t="s">
        <v>29415</v>
      </c>
      <c r="J10262" t="s">
        <v>36046</v>
      </c>
      <c r="K10262" t="s">
        <v>38522</v>
      </c>
      <c r="M10262" t="s">
        <v>40660</v>
      </c>
      <c r="N10262" t="s">
        <v>42669</v>
      </c>
      <c r="O10262" t="s">
        <v>42670</v>
      </c>
      <c r="P10262">
        <v>0</v>
      </c>
      <c r="Q10262">
        <v>10</v>
      </c>
      <c r="R10262" t="s">
        <v>42683</v>
      </c>
      <c r="S10262" t="s">
        <v>43062</v>
      </c>
      <c r="T10262" t="s">
        <v>44572</v>
      </c>
      <c r="U10262" t="s">
        <v>53174</v>
      </c>
      <c r="W10262" t="s">
        <v>41517</v>
      </c>
      <c r="X10262" t="s">
        <v>42684</v>
      </c>
    </row>
    <row r="10263" spans="1:24">
      <c r="A10263">
        <f>HYPERLINK("https://www.philgeps.gov.ph/GEPSNONPILOT/Tender/SplashBidNoticeAbstractUI.aspx?menuIndex=3&amp;refID=7173761&amp;Result=3","7173761")</f>
        <v>0</v>
      </c>
      <c r="B10263" t="s">
        <v>1194</v>
      </c>
      <c r="C10263" t="s">
        <v>13327</v>
      </c>
      <c r="D10263" t="s">
        <v>17182</v>
      </c>
      <c r="E10263" t="s">
        <v>26023</v>
      </c>
      <c r="F10263" t="s">
        <v>29372</v>
      </c>
      <c r="G10263" t="s">
        <v>29379</v>
      </c>
      <c r="H10263" t="s">
        <v>11048</v>
      </c>
      <c r="I10263" t="s">
        <v>29404</v>
      </c>
      <c r="J10263" t="s">
        <v>29825</v>
      </c>
      <c r="K10263" t="s">
        <v>38485</v>
      </c>
      <c r="M10263" t="s">
        <v>40011</v>
      </c>
      <c r="N10263" t="s">
        <v>42669</v>
      </c>
      <c r="O10263" t="s">
        <v>42670</v>
      </c>
      <c r="Q10263">
        <v>1</v>
      </c>
      <c r="R10263" t="s">
        <v>42683</v>
      </c>
      <c r="S10263" t="s">
        <v>43159</v>
      </c>
      <c r="T10263" t="s">
        <v>44425</v>
      </c>
      <c r="U10263" t="s">
        <v>47438</v>
      </c>
      <c r="V10263" t="s">
        <v>57526</v>
      </c>
      <c r="W10263" t="s">
        <v>58039</v>
      </c>
      <c r="X10263" t="s">
        <v>42684</v>
      </c>
    </row>
    <row r="10264" spans="1:24">
      <c r="A10264">
        <f>HYPERLINK("https://www.philgeps.gov.ph/GEPSNONPILOT/Tender/SplashBidNoticeAbstractUI.aspx?menuIndex=3&amp;refID=7173439&amp;Result=3","7173439")</f>
        <v>0</v>
      </c>
      <c r="B10264" t="s">
        <v>2710</v>
      </c>
      <c r="C10264" t="s">
        <v>13328</v>
      </c>
      <c r="D10264" t="s">
        <v>17206</v>
      </c>
      <c r="E10264" t="s">
        <v>26024</v>
      </c>
      <c r="F10264" t="s">
        <v>29372</v>
      </c>
      <c r="G10264" t="s">
        <v>29380</v>
      </c>
      <c r="H10264" t="s">
        <v>11048</v>
      </c>
      <c r="I10264" t="s">
        <v>29417</v>
      </c>
      <c r="J10264" t="s">
        <v>36047</v>
      </c>
      <c r="K10264" t="s">
        <v>38522</v>
      </c>
      <c r="M10264" t="s">
        <v>41690</v>
      </c>
      <c r="N10264" t="s">
        <v>42669</v>
      </c>
      <c r="O10264" t="s">
        <v>42670</v>
      </c>
      <c r="Q10264">
        <v>9</v>
      </c>
      <c r="R10264" t="s">
        <v>42683</v>
      </c>
      <c r="S10264" t="s">
        <v>43160</v>
      </c>
      <c r="T10264" t="s">
        <v>44776</v>
      </c>
      <c r="U10264" t="s">
        <v>53175</v>
      </c>
      <c r="W10264" t="s">
        <v>41690</v>
      </c>
      <c r="X10264" t="s">
        <v>42684</v>
      </c>
    </row>
    <row r="10265" spans="1:24">
      <c r="A10265">
        <f>HYPERLINK("https://www.philgeps.gov.ph/GEPSNONPILOT/Tender/SplashBidNoticeAbstractUI.aspx?menuIndex=3&amp;refID=7173745&amp;Result=3","7173745")</f>
        <v>0</v>
      </c>
      <c r="B10265" t="s">
        <v>1194</v>
      </c>
      <c r="C10265" t="s">
        <v>13329</v>
      </c>
      <c r="D10265" t="s">
        <v>17196</v>
      </c>
      <c r="E10265" t="s">
        <v>26025</v>
      </c>
      <c r="F10265" t="s">
        <v>29372</v>
      </c>
      <c r="G10265" t="s">
        <v>29379</v>
      </c>
      <c r="H10265" t="s">
        <v>11048</v>
      </c>
      <c r="I10265" t="s">
        <v>29404</v>
      </c>
      <c r="J10265" t="s">
        <v>29825</v>
      </c>
      <c r="K10265" t="s">
        <v>38485</v>
      </c>
      <c r="M10265" t="s">
        <v>40011</v>
      </c>
      <c r="N10265" t="s">
        <v>42669</v>
      </c>
      <c r="O10265" t="s">
        <v>42670</v>
      </c>
      <c r="Q10265">
        <v>1</v>
      </c>
      <c r="R10265" t="s">
        <v>42683</v>
      </c>
      <c r="S10265" t="s">
        <v>43161</v>
      </c>
      <c r="T10265" t="s">
        <v>44425</v>
      </c>
      <c r="U10265" t="s">
        <v>47438</v>
      </c>
      <c r="V10265" t="s">
        <v>57526</v>
      </c>
      <c r="W10265" t="s">
        <v>58039</v>
      </c>
      <c r="X10265" t="s">
        <v>42684</v>
      </c>
    </row>
    <row r="10266" spans="1:24">
      <c r="A10266">
        <f>HYPERLINK("https://www.philgeps.gov.ph/GEPSNONPILOT/Tender/SplashBidNoticeAbstractUI.aspx?menuIndex=3&amp;refID=7173389&amp;Result=3","7173389")</f>
        <v>0</v>
      </c>
      <c r="B10266" t="s">
        <v>2968</v>
      </c>
      <c r="C10266" t="s">
        <v>13330</v>
      </c>
      <c r="D10266" t="s">
        <v>17176</v>
      </c>
      <c r="E10266" t="s">
        <v>26026</v>
      </c>
      <c r="F10266" t="s">
        <v>29372</v>
      </c>
      <c r="G10266" t="s">
        <v>29380</v>
      </c>
      <c r="H10266" t="s">
        <v>29389</v>
      </c>
      <c r="I10266" t="s">
        <v>10408</v>
      </c>
      <c r="J10266" t="s">
        <v>36048</v>
      </c>
      <c r="K10266" t="s">
        <v>38713</v>
      </c>
      <c r="M10266" t="s">
        <v>41979</v>
      </c>
      <c r="N10266" t="s">
        <v>42669</v>
      </c>
      <c r="O10266" t="s">
        <v>42670</v>
      </c>
      <c r="P10266">
        <v>0</v>
      </c>
      <c r="Q10266">
        <v>0</v>
      </c>
      <c r="R10266" t="s">
        <v>42683</v>
      </c>
      <c r="S10266" t="s">
        <v>43062</v>
      </c>
      <c r="T10266" t="s">
        <v>44391</v>
      </c>
      <c r="U10266" t="s">
        <v>53125</v>
      </c>
      <c r="W10266" t="s">
        <v>41979</v>
      </c>
      <c r="X10266" t="s">
        <v>42684</v>
      </c>
    </row>
    <row r="10267" spans="1:24">
      <c r="A10267">
        <f>HYPERLINK("https://www.philgeps.gov.ph/GEPSNONPILOT/Tender/SplashBidNoticeAbstractUI.aspx?menuIndex=3&amp;refID=7173711&amp;Result=3","7173711")</f>
        <v>0</v>
      </c>
      <c r="B10267" t="s">
        <v>1058</v>
      </c>
      <c r="C10267" t="s">
        <v>13331</v>
      </c>
      <c r="D10267" t="s">
        <v>17141</v>
      </c>
      <c r="E10267" t="s">
        <v>13331</v>
      </c>
      <c r="F10267" t="s">
        <v>29372</v>
      </c>
      <c r="G10267" t="s">
        <v>29380</v>
      </c>
      <c r="H10267" t="s">
        <v>11048</v>
      </c>
      <c r="I10267" t="s">
        <v>29433</v>
      </c>
      <c r="J10267" t="s">
        <v>29721</v>
      </c>
      <c r="K10267" t="s">
        <v>38485</v>
      </c>
      <c r="M10267" t="s">
        <v>39865</v>
      </c>
      <c r="N10267" t="s">
        <v>42669</v>
      </c>
      <c r="O10267" t="s">
        <v>42670</v>
      </c>
      <c r="P10267">
        <v>0</v>
      </c>
      <c r="Q10267">
        <v>4</v>
      </c>
      <c r="R10267" t="s">
        <v>42683</v>
      </c>
      <c r="S10267" t="s">
        <v>43062</v>
      </c>
      <c r="T10267" t="s">
        <v>44412</v>
      </c>
      <c r="U10267" t="s">
        <v>47035</v>
      </c>
      <c r="W10267" t="s">
        <v>39865</v>
      </c>
      <c r="X10267" t="s">
        <v>42684</v>
      </c>
    </row>
    <row r="10268" spans="1:24">
      <c r="A10268">
        <f>HYPERLINK("https://www.philgeps.gov.ph/GEPSNONPILOT/Tender/SplashBidNoticeAbstractUI.aspx?menuIndex=3&amp;refID=7173492&amp;Result=3","7173492")</f>
        <v>0</v>
      </c>
      <c r="B10268" t="s">
        <v>2460</v>
      </c>
      <c r="C10268" t="s">
        <v>13332</v>
      </c>
      <c r="D10268" t="s">
        <v>17153</v>
      </c>
      <c r="E10268" t="s">
        <v>21578</v>
      </c>
      <c r="F10268" t="s">
        <v>29373</v>
      </c>
      <c r="G10268" t="s">
        <v>29381</v>
      </c>
      <c r="H10268" t="s">
        <v>11048</v>
      </c>
      <c r="I10268" t="s">
        <v>29428</v>
      </c>
      <c r="J10268" t="s">
        <v>36049</v>
      </c>
      <c r="K10268" t="s">
        <v>38491</v>
      </c>
      <c r="M10268" t="s">
        <v>41408</v>
      </c>
      <c r="N10268" t="s">
        <v>42669</v>
      </c>
      <c r="O10268" t="s">
        <v>42670</v>
      </c>
      <c r="P10268">
        <v>0</v>
      </c>
      <c r="Q10268">
        <v>0</v>
      </c>
      <c r="R10268" t="s">
        <v>42683</v>
      </c>
      <c r="S10268" t="s">
        <v>43062</v>
      </c>
      <c r="T10268" t="s">
        <v>44419</v>
      </c>
      <c r="U10268" t="s">
        <v>53176</v>
      </c>
      <c r="V10268" t="s">
        <v>57524</v>
      </c>
      <c r="W10268" t="s">
        <v>41408</v>
      </c>
      <c r="X10268" t="s">
        <v>42684</v>
      </c>
    </row>
    <row r="10269" spans="1:24">
      <c r="A10269">
        <f>HYPERLINK("https://www.philgeps.gov.ph/GEPSNONPILOT/Tender/SplashBidNoticeAbstractUI.aspx?menuIndex=3&amp;refID=7173705&amp;Result=3","7173705")</f>
        <v>0</v>
      </c>
      <c r="B10269" t="s">
        <v>2964</v>
      </c>
      <c r="C10269" t="s">
        <v>13333</v>
      </c>
      <c r="D10269" t="s">
        <v>17144</v>
      </c>
      <c r="E10269" t="s">
        <v>26027</v>
      </c>
      <c r="F10269" t="s">
        <v>29372</v>
      </c>
      <c r="G10269" t="s">
        <v>29380</v>
      </c>
      <c r="H10269" t="s">
        <v>29389</v>
      </c>
      <c r="I10269" t="s">
        <v>10408</v>
      </c>
      <c r="J10269" t="s">
        <v>36050</v>
      </c>
      <c r="K10269" t="s">
        <v>38522</v>
      </c>
      <c r="M10269" t="s">
        <v>41974</v>
      </c>
      <c r="N10269" t="s">
        <v>42669</v>
      </c>
      <c r="O10269" t="s">
        <v>42670</v>
      </c>
      <c r="P10269">
        <v>0</v>
      </c>
      <c r="Q10269">
        <v>1</v>
      </c>
      <c r="R10269" t="s">
        <v>42683</v>
      </c>
      <c r="S10269" t="s">
        <v>43062</v>
      </c>
      <c r="T10269" t="s">
        <v>44476</v>
      </c>
      <c r="U10269" t="s">
        <v>53177</v>
      </c>
      <c r="W10269" t="s">
        <v>41974</v>
      </c>
      <c r="X10269" t="s">
        <v>42684</v>
      </c>
    </row>
    <row r="10270" spans="1:24">
      <c r="A10270">
        <f>HYPERLINK("https://www.philgeps.gov.ph/GEPSNONPILOT/Tender/SplashBidNoticeAbstractUI.aspx?menuIndex=3&amp;refID=7173703&amp;Result=3","7173703")</f>
        <v>0</v>
      </c>
      <c r="B10270" t="s">
        <v>1058</v>
      </c>
      <c r="C10270" t="s">
        <v>13334</v>
      </c>
      <c r="D10270" t="s">
        <v>17141</v>
      </c>
      <c r="E10270" t="s">
        <v>13334</v>
      </c>
      <c r="F10270" t="s">
        <v>29372</v>
      </c>
      <c r="G10270" t="s">
        <v>29380</v>
      </c>
      <c r="H10270" t="s">
        <v>11048</v>
      </c>
      <c r="I10270" t="s">
        <v>29433</v>
      </c>
      <c r="J10270" t="s">
        <v>29708</v>
      </c>
      <c r="K10270" t="s">
        <v>38485</v>
      </c>
      <c r="M10270" t="s">
        <v>39865</v>
      </c>
      <c r="N10270" t="s">
        <v>42669</v>
      </c>
      <c r="O10270" t="s">
        <v>42670</v>
      </c>
      <c r="P10270">
        <v>0</v>
      </c>
      <c r="Q10270">
        <v>5</v>
      </c>
      <c r="R10270" t="s">
        <v>42683</v>
      </c>
      <c r="S10270" t="s">
        <v>43062</v>
      </c>
      <c r="T10270" t="s">
        <v>44412</v>
      </c>
      <c r="U10270" t="s">
        <v>53178</v>
      </c>
      <c r="W10270" t="s">
        <v>39865</v>
      </c>
      <c r="X10270" t="s">
        <v>42684</v>
      </c>
    </row>
    <row r="10271" spans="1:24">
      <c r="A10271">
        <f>HYPERLINK("https://www.philgeps.gov.ph/GEPSNONPILOT/Tender/SplashBidNoticeAbstractUI.aspx?menuIndex=3&amp;refID=7173677&amp;Result=3","7173677")</f>
        <v>0</v>
      </c>
      <c r="B10271" t="s">
        <v>2978</v>
      </c>
      <c r="C10271" t="s">
        <v>13335</v>
      </c>
      <c r="D10271" t="s">
        <v>17172</v>
      </c>
      <c r="E10271" t="s">
        <v>26028</v>
      </c>
      <c r="F10271" t="s">
        <v>29372</v>
      </c>
      <c r="G10271" t="s">
        <v>29380</v>
      </c>
      <c r="H10271" t="s">
        <v>11048</v>
      </c>
      <c r="I10271" t="s">
        <v>29407</v>
      </c>
      <c r="J10271" t="s">
        <v>36051</v>
      </c>
      <c r="K10271" t="s">
        <v>38485</v>
      </c>
      <c r="M10271" t="s">
        <v>41993</v>
      </c>
      <c r="N10271" t="s">
        <v>42669</v>
      </c>
      <c r="O10271" t="s">
        <v>42670</v>
      </c>
      <c r="P10271">
        <v>0</v>
      </c>
      <c r="Q10271">
        <v>7</v>
      </c>
      <c r="R10271" t="s">
        <v>42683</v>
      </c>
      <c r="S10271" t="s">
        <v>43062</v>
      </c>
      <c r="T10271" t="s">
        <v>44792</v>
      </c>
      <c r="U10271" t="s">
        <v>53179</v>
      </c>
      <c r="W10271" t="s">
        <v>41993</v>
      </c>
      <c r="X10271" t="s">
        <v>42684</v>
      </c>
    </row>
    <row r="10272" spans="1:24">
      <c r="A10272">
        <f>HYPERLINK("https://www.philgeps.gov.ph/GEPSNONPILOT/Tender/SplashBidNoticeAbstractUI.aspx?menuIndex=3&amp;refID=7173402&amp;Result=3","7173402")</f>
        <v>0</v>
      </c>
      <c r="B10272" t="s">
        <v>2979</v>
      </c>
      <c r="C10272" t="s">
        <v>13336</v>
      </c>
      <c r="D10272" t="s">
        <v>17181</v>
      </c>
      <c r="E10272" t="s">
        <v>17755</v>
      </c>
      <c r="F10272" t="s">
        <v>29372</v>
      </c>
      <c r="G10272" t="s">
        <v>29380</v>
      </c>
      <c r="H10272" t="s">
        <v>11048</v>
      </c>
      <c r="I10272" t="s">
        <v>29408</v>
      </c>
      <c r="J10272" t="s">
        <v>36052</v>
      </c>
      <c r="K10272" t="s">
        <v>38488</v>
      </c>
      <c r="M10272" t="s">
        <v>41994</v>
      </c>
      <c r="N10272" t="s">
        <v>42669</v>
      </c>
      <c r="O10272" t="s">
        <v>42670</v>
      </c>
      <c r="P10272">
        <v>0</v>
      </c>
      <c r="Q10272">
        <v>0</v>
      </c>
      <c r="R10272" t="s">
        <v>42683</v>
      </c>
      <c r="S10272" t="s">
        <v>43062</v>
      </c>
      <c r="T10272" t="s">
        <v>44793</v>
      </c>
      <c r="U10272" t="s">
        <v>53180</v>
      </c>
      <c r="W10272" t="s">
        <v>41994</v>
      </c>
      <c r="X10272" t="s">
        <v>42684</v>
      </c>
    </row>
    <row r="10273" spans="1:24">
      <c r="A10273">
        <f>HYPERLINK("https://www.philgeps.gov.ph/GEPSNONPILOT/Tender/SplashBidNoticeAbstractUI.aspx?menuIndex=3&amp;refID=7173666&amp;Result=3","7173666")</f>
        <v>0</v>
      </c>
      <c r="B10273" t="s">
        <v>1088</v>
      </c>
      <c r="C10273" t="s">
        <v>13337</v>
      </c>
      <c r="E10273" t="s">
        <v>26029</v>
      </c>
      <c r="F10273" t="s">
        <v>29372</v>
      </c>
      <c r="G10273" t="s">
        <v>29380</v>
      </c>
      <c r="H10273" t="s">
        <v>11048</v>
      </c>
      <c r="I10273" t="s">
        <v>29415</v>
      </c>
      <c r="J10273" t="s">
        <v>36053</v>
      </c>
      <c r="K10273" t="s">
        <v>38522</v>
      </c>
      <c r="M10273" t="s">
        <v>40660</v>
      </c>
      <c r="N10273" t="s">
        <v>42669</v>
      </c>
      <c r="O10273" t="s">
        <v>42670</v>
      </c>
      <c r="P10273">
        <v>0</v>
      </c>
      <c r="Q10273">
        <v>10</v>
      </c>
      <c r="R10273" t="s">
        <v>42683</v>
      </c>
      <c r="S10273" t="s">
        <v>43062</v>
      </c>
      <c r="T10273" t="s">
        <v>44503</v>
      </c>
      <c r="U10273" t="s">
        <v>53181</v>
      </c>
      <c r="W10273" t="s">
        <v>41517</v>
      </c>
      <c r="X10273" t="s">
        <v>42684</v>
      </c>
    </row>
    <row r="10274" spans="1:24">
      <c r="A10274">
        <f>HYPERLINK("https://www.philgeps.gov.ph/GEPSNONPILOT/Tender/SplashBidNoticeAbstractUI.aspx?menuIndex=3&amp;refID=7173659&amp;Result=3","7173659")</f>
        <v>0</v>
      </c>
      <c r="B10274" t="s">
        <v>1055</v>
      </c>
      <c r="C10274" t="s">
        <v>13338</v>
      </c>
      <c r="D10274" t="s">
        <v>17176</v>
      </c>
      <c r="E10274" t="s">
        <v>26030</v>
      </c>
      <c r="F10274" t="s">
        <v>29372</v>
      </c>
      <c r="G10274" t="s">
        <v>29380</v>
      </c>
      <c r="H10274" t="s">
        <v>11048</v>
      </c>
      <c r="I10274" t="s">
        <v>14920</v>
      </c>
      <c r="J10274" t="s">
        <v>36054</v>
      </c>
      <c r="K10274" t="s">
        <v>38491</v>
      </c>
      <c r="M10274" t="s">
        <v>41168</v>
      </c>
      <c r="N10274" t="s">
        <v>42669</v>
      </c>
      <c r="O10274" t="s">
        <v>42670</v>
      </c>
      <c r="P10274">
        <v>0</v>
      </c>
      <c r="Q10274">
        <v>0</v>
      </c>
      <c r="R10274" t="s">
        <v>42683</v>
      </c>
      <c r="S10274" t="s">
        <v>43062</v>
      </c>
      <c r="T10274" t="s">
        <v>44401</v>
      </c>
      <c r="U10274" t="s">
        <v>53182</v>
      </c>
      <c r="V10274" t="s">
        <v>57103</v>
      </c>
      <c r="W10274" t="s">
        <v>41168</v>
      </c>
      <c r="X10274" t="s">
        <v>42684</v>
      </c>
    </row>
    <row r="10275" spans="1:24">
      <c r="A10275">
        <f>HYPERLINK("https://www.philgeps.gov.ph/GEPSNONPILOT/Tender/SplashBidNoticeAbstractUI.aspx?menuIndex=3&amp;refID=7173725&amp;Result=3","7173725")</f>
        <v>0</v>
      </c>
      <c r="B10275" t="s">
        <v>1398</v>
      </c>
      <c r="C10275" t="s">
        <v>13339</v>
      </c>
      <c r="D10275" t="s">
        <v>17212</v>
      </c>
      <c r="E10275" t="s">
        <v>23871</v>
      </c>
      <c r="F10275" t="s">
        <v>29372</v>
      </c>
      <c r="G10275" t="s">
        <v>29380</v>
      </c>
      <c r="H10275" t="s">
        <v>29389</v>
      </c>
      <c r="I10275" t="s">
        <v>10408</v>
      </c>
      <c r="J10275" t="s">
        <v>29801</v>
      </c>
      <c r="K10275" t="s">
        <v>38496</v>
      </c>
      <c r="M10275" t="s">
        <v>40237</v>
      </c>
      <c r="N10275" t="s">
        <v>42669</v>
      </c>
      <c r="O10275" t="s">
        <v>42670</v>
      </c>
      <c r="P10275">
        <v>0</v>
      </c>
      <c r="Q10275">
        <v>6</v>
      </c>
      <c r="R10275" t="s">
        <v>42683</v>
      </c>
      <c r="S10275" t="s">
        <v>43062</v>
      </c>
      <c r="T10275" t="s">
        <v>44476</v>
      </c>
      <c r="U10275" t="s">
        <v>53183</v>
      </c>
      <c r="W10275" t="s">
        <v>40237</v>
      </c>
      <c r="X10275" t="s">
        <v>42684</v>
      </c>
    </row>
    <row r="10276" spans="1:24">
      <c r="A10276">
        <f>HYPERLINK("https://www.philgeps.gov.ph/GEPSNONPILOT/Tender/SplashBidNoticeAbstractUI.aspx?menuIndex=3&amp;refID=7173709&amp;Result=3","7173709")</f>
        <v>0</v>
      </c>
      <c r="B10276" t="s">
        <v>1058</v>
      </c>
      <c r="C10276" t="s">
        <v>13340</v>
      </c>
      <c r="D10276" t="s">
        <v>17141</v>
      </c>
      <c r="E10276" t="s">
        <v>13340</v>
      </c>
      <c r="F10276" t="s">
        <v>29372</v>
      </c>
      <c r="G10276" t="s">
        <v>29380</v>
      </c>
      <c r="H10276" t="s">
        <v>11048</v>
      </c>
      <c r="I10276" t="s">
        <v>29433</v>
      </c>
      <c r="J10276" t="s">
        <v>30056</v>
      </c>
      <c r="K10276" t="s">
        <v>38485</v>
      </c>
      <c r="M10276" t="s">
        <v>39865</v>
      </c>
      <c r="N10276" t="s">
        <v>42669</v>
      </c>
      <c r="O10276" t="s">
        <v>42670</v>
      </c>
      <c r="P10276">
        <v>0</v>
      </c>
      <c r="Q10276">
        <v>6</v>
      </c>
      <c r="R10276" t="s">
        <v>42683</v>
      </c>
      <c r="S10276" t="s">
        <v>43062</v>
      </c>
      <c r="T10276" t="s">
        <v>44412</v>
      </c>
      <c r="U10276" t="s">
        <v>47035</v>
      </c>
      <c r="W10276" t="s">
        <v>39865</v>
      </c>
      <c r="X10276" t="s">
        <v>42684</v>
      </c>
    </row>
    <row r="10277" spans="1:24">
      <c r="A10277">
        <f>HYPERLINK("https://www.philgeps.gov.ph/GEPSNONPILOT/Tender/SplashBidNoticeAbstractUI.aspx?menuIndex=3&amp;refID=7173652&amp;Result=3","7173652")</f>
        <v>0</v>
      </c>
      <c r="B10277" t="s">
        <v>2468</v>
      </c>
      <c r="C10277" t="s">
        <v>13341</v>
      </c>
      <c r="E10277" t="s">
        <v>26031</v>
      </c>
      <c r="F10277" t="s">
        <v>29372</v>
      </c>
      <c r="G10277" t="s">
        <v>29380</v>
      </c>
      <c r="H10277" t="s">
        <v>29389</v>
      </c>
      <c r="I10277" t="s">
        <v>10408</v>
      </c>
      <c r="J10277" t="s">
        <v>36055</v>
      </c>
      <c r="K10277" t="s">
        <v>38490</v>
      </c>
      <c r="M10277" t="s">
        <v>41417</v>
      </c>
      <c r="N10277" t="s">
        <v>42669</v>
      </c>
      <c r="O10277" t="s">
        <v>42670</v>
      </c>
      <c r="P10277">
        <v>0</v>
      </c>
      <c r="Q10277">
        <v>0</v>
      </c>
      <c r="R10277" t="s">
        <v>42683</v>
      </c>
      <c r="S10277" t="s">
        <v>43062</v>
      </c>
      <c r="T10277" t="s">
        <v>44400</v>
      </c>
      <c r="U10277" t="s">
        <v>53184</v>
      </c>
      <c r="V10277" t="s">
        <v>57451</v>
      </c>
      <c r="W10277" t="s">
        <v>41417</v>
      </c>
      <c r="X10277" t="s">
        <v>42684</v>
      </c>
    </row>
    <row r="10278" spans="1:24">
      <c r="A10278">
        <f>HYPERLINK("https://www.philgeps.gov.ph/GEPSNONPILOT/Tender/SplashBidNoticeAbstractUI.aspx?menuIndex=3&amp;refID=7173401&amp;Result=3","7173401")</f>
        <v>0</v>
      </c>
      <c r="B10278" t="s">
        <v>2980</v>
      </c>
      <c r="C10278" t="s">
        <v>13342</v>
      </c>
      <c r="D10278" t="s">
        <v>17156</v>
      </c>
      <c r="E10278" t="s">
        <v>26032</v>
      </c>
      <c r="F10278" t="s">
        <v>29372</v>
      </c>
      <c r="G10278" t="s">
        <v>29380</v>
      </c>
      <c r="H10278" t="s">
        <v>29389</v>
      </c>
      <c r="I10278" t="s">
        <v>10408</v>
      </c>
      <c r="J10278" t="s">
        <v>29590</v>
      </c>
      <c r="K10278" t="s">
        <v>38580</v>
      </c>
      <c r="M10278" t="s">
        <v>41995</v>
      </c>
      <c r="N10278" t="s">
        <v>42669</v>
      </c>
      <c r="O10278" t="s">
        <v>42670</v>
      </c>
      <c r="P10278">
        <v>0</v>
      </c>
      <c r="Q10278">
        <v>0</v>
      </c>
      <c r="R10278" t="s">
        <v>42683</v>
      </c>
      <c r="S10278" t="s">
        <v>43062</v>
      </c>
      <c r="T10278" t="s">
        <v>44794</v>
      </c>
      <c r="U10278" t="s">
        <v>53185</v>
      </c>
      <c r="V10278" t="s">
        <v>57527</v>
      </c>
      <c r="W10278" t="s">
        <v>41995</v>
      </c>
      <c r="X10278" t="s">
        <v>42684</v>
      </c>
    </row>
    <row r="10279" spans="1:24">
      <c r="A10279">
        <f>HYPERLINK("https://www.philgeps.gov.ph/GEPSNONPILOT/Tender/SplashBidNoticeAbstractUI.aspx?menuIndex=3&amp;refID=7173646&amp;Result=3","7173646")</f>
        <v>0</v>
      </c>
      <c r="B10279" t="s">
        <v>2981</v>
      </c>
      <c r="C10279" t="s">
        <v>13343</v>
      </c>
      <c r="D10279" t="s">
        <v>17167</v>
      </c>
      <c r="E10279" t="s">
        <v>26033</v>
      </c>
      <c r="F10279" t="s">
        <v>29372</v>
      </c>
      <c r="G10279" t="s">
        <v>29380</v>
      </c>
      <c r="H10279" t="s">
        <v>29389</v>
      </c>
      <c r="I10279" t="s">
        <v>10408</v>
      </c>
      <c r="J10279" t="s">
        <v>31206</v>
      </c>
      <c r="K10279" t="s">
        <v>38714</v>
      </c>
      <c r="L10279" t="s">
        <v>2981</v>
      </c>
      <c r="M10279" t="s">
        <v>41996</v>
      </c>
      <c r="N10279" t="s">
        <v>42669</v>
      </c>
      <c r="O10279" t="s">
        <v>42670</v>
      </c>
      <c r="Q10279">
        <v>0</v>
      </c>
      <c r="R10279" t="s">
        <v>42683</v>
      </c>
      <c r="S10279" t="s">
        <v>43162</v>
      </c>
      <c r="T10279" t="s">
        <v>44419</v>
      </c>
      <c r="U10279" t="s">
        <v>53186</v>
      </c>
      <c r="V10279" t="s">
        <v>57528</v>
      </c>
      <c r="W10279" t="s">
        <v>41996</v>
      </c>
      <c r="X10279" t="s">
        <v>42684</v>
      </c>
    </row>
    <row r="10280" spans="1:24">
      <c r="A10280">
        <f>HYPERLINK("https://www.philgeps.gov.ph/GEPSNONPILOT/Tender/SplashBidNoticeAbstractUI.aspx?menuIndex=3&amp;refID=7173645&amp;Result=3","7173645")</f>
        <v>0</v>
      </c>
      <c r="B10280" t="s">
        <v>1866</v>
      </c>
      <c r="C10280" t="s">
        <v>13344</v>
      </c>
      <c r="D10280" t="s">
        <v>17141</v>
      </c>
      <c r="E10280" t="s">
        <v>26034</v>
      </c>
      <c r="F10280" t="s">
        <v>29372</v>
      </c>
      <c r="G10280" t="s">
        <v>29380</v>
      </c>
      <c r="H10280" t="s">
        <v>11048</v>
      </c>
      <c r="I10280" t="s">
        <v>4486</v>
      </c>
      <c r="J10280" t="s">
        <v>29532</v>
      </c>
      <c r="K10280" t="s">
        <v>38485</v>
      </c>
      <c r="M10280" t="s">
        <v>40739</v>
      </c>
      <c r="N10280" t="s">
        <v>42669</v>
      </c>
      <c r="O10280" t="s">
        <v>42670</v>
      </c>
      <c r="P10280">
        <v>0</v>
      </c>
      <c r="Q10280">
        <v>9</v>
      </c>
      <c r="R10280" t="s">
        <v>42683</v>
      </c>
      <c r="S10280" t="s">
        <v>43062</v>
      </c>
      <c r="T10280" t="s">
        <v>44453</v>
      </c>
      <c r="U10280" t="s">
        <v>49180</v>
      </c>
      <c r="V10280" t="s">
        <v>57525</v>
      </c>
      <c r="W10280" t="s">
        <v>40739</v>
      </c>
      <c r="X10280" t="s">
        <v>42684</v>
      </c>
    </row>
    <row r="10281" spans="1:24">
      <c r="A10281">
        <f>HYPERLINK("https://www.philgeps.gov.ph/GEPSNONPILOT/Tender/SplashBidNoticeAbstractUI.aspx?menuIndex=3&amp;refID=7173639&amp;Result=3","7173639")</f>
        <v>0</v>
      </c>
      <c r="B10281" t="s">
        <v>2468</v>
      </c>
      <c r="C10281" t="s">
        <v>13345</v>
      </c>
      <c r="E10281" t="s">
        <v>26035</v>
      </c>
      <c r="F10281" t="s">
        <v>29372</v>
      </c>
      <c r="G10281" t="s">
        <v>29380</v>
      </c>
      <c r="H10281" t="s">
        <v>29389</v>
      </c>
      <c r="I10281" t="s">
        <v>10408</v>
      </c>
      <c r="J10281" t="s">
        <v>36056</v>
      </c>
      <c r="K10281" t="s">
        <v>38490</v>
      </c>
      <c r="M10281" t="s">
        <v>41417</v>
      </c>
      <c r="N10281" t="s">
        <v>42669</v>
      </c>
      <c r="O10281" t="s">
        <v>42670</v>
      </c>
      <c r="Q10281">
        <v>1</v>
      </c>
      <c r="R10281" t="s">
        <v>42683</v>
      </c>
      <c r="S10281" t="s">
        <v>43163</v>
      </c>
      <c r="T10281" t="s">
        <v>44400</v>
      </c>
      <c r="U10281" t="s">
        <v>53187</v>
      </c>
      <c r="V10281" t="s">
        <v>57451</v>
      </c>
      <c r="W10281" t="s">
        <v>41417</v>
      </c>
      <c r="X10281" t="s">
        <v>42684</v>
      </c>
    </row>
    <row r="10282" spans="1:24">
      <c r="A10282">
        <f>HYPERLINK("https://www.philgeps.gov.ph/GEPSNONPILOT/Tender/SplashBidNoticeAbstractUI.aspx?menuIndex=3&amp;refID=7173617&amp;Result=3","7173617")</f>
        <v>0</v>
      </c>
      <c r="B10282" t="s">
        <v>1552</v>
      </c>
      <c r="C10282" t="s">
        <v>13346</v>
      </c>
      <c r="D10282" t="s">
        <v>17187</v>
      </c>
      <c r="E10282" t="s">
        <v>26036</v>
      </c>
      <c r="F10282" t="s">
        <v>29372</v>
      </c>
      <c r="G10282" t="s">
        <v>29380</v>
      </c>
      <c r="H10282" t="s">
        <v>11048</v>
      </c>
      <c r="I10282" t="s">
        <v>29423</v>
      </c>
      <c r="J10282" t="s">
        <v>31429</v>
      </c>
      <c r="K10282" t="s">
        <v>38522</v>
      </c>
      <c r="M10282" t="s">
        <v>40402</v>
      </c>
      <c r="N10282" t="s">
        <v>42669</v>
      </c>
      <c r="O10282" t="s">
        <v>42670</v>
      </c>
      <c r="Q10282">
        <v>13</v>
      </c>
      <c r="R10282" t="s">
        <v>42683</v>
      </c>
      <c r="S10282" t="s">
        <v>43164</v>
      </c>
      <c r="T10282" t="s">
        <v>44666</v>
      </c>
      <c r="U10282" t="s">
        <v>53188</v>
      </c>
      <c r="W10282" t="s">
        <v>40402</v>
      </c>
      <c r="X10282" t="s">
        <v>42684</v>
      </c>
    </row>
    <row r="10283" spans="1:24">
      <c r="A10283">
        <f>HYPERLINK("https://www.philgeps.gov.ph/GEPSNONPILOT/Tender/SplashBidNoticeAbstractUI.aspx?menuIndex=3&amp;refID=7173387&amp;Result=3","7173387")</f>
        <v>0</v>
      </c>
      <c r="B10283" t="s">
        <v>2545</v>
      </c>
      <c r="C10283" t="s">
        <v>13347</v>
      </c>
      <c r="D10283" t="s">
        <v>17143</v>
      </c>
      <c r="E10283" t="s">
        <v>24429</v>
      </c>
      <c r="F10283" t="s">
        <v>29372</v>
      </c>
      <c r="G10283" t="s">
        <v>29380</v>
      </c>
      <c r="H10283" t="s">
        <v>11048</v>
      </c>
      <c r="I10283" t="s">
        <v>3670</v>
      </c>
      <c r="J10283" t="s">
        <v>34319</v>
      </c>
      <c r="K10283" t="s">
        <v>38488</v>
      </c>
      <c r="M10283" t="s">
        <v>41508</v>
      </c>
      <c r="N10283" t="s">
        <v>42669</v>
      </c>
      <c r="O10283" t="s">
        <v>42670</v>
      </c>
      <c r="P10283">
        <v>0</v>
      </c>
      <c r="Q10283">
        <v>2</v>
      </c>
      <c r="R10283" t="s">
        <v>42683</v>
      </c>
      <c r="S10283" t="s">
        <v>43062</v>
      </c>
      <c r="T10283" t="s">
        <v>44425</v>
      </c>
      <c r="U10283" t="s">
        <v>53189</v>
      </c>
      <c r="W10283" t="s">
        <v>41508</v>
      </c>
      <c r="X10283" t="s">
        <v>42684</v>
      </c>
    </row>
    <row r="10284" spans="1:24">
      <c r="A10284">
        <f>HYPERLINK("https://www.philgeps.gov.ph/GEPSNONPILOT/Tender/SplashBidNoticeAbstractUI.aspx?menuIndex=3&amp;refID=7173297&amp;Result=3","7173297")</f>
        <v>0</v>
      </c>
      <c r="B10284" t="s">
        <v>2982</v>
      </c>
      <c r="C10284" t="s">
        <v>13348</v>
      </c>
      <c r="D10284" t="s">
        <v>17177</v>
      </c>
      <c r="E10284" t="s">
        <v>26037</v>
      </c>
      <c r="F10284" t="s">
        <v>29372</v>
      </c>
      <c r="G10284" t="s">
        <v>29380</v>
      </c>
      <c r="H10284" t="s">
        <v>29389</v>
      </c>
      <c r="I10284" t="s">
        <v>10408</v>
      </c>
      <c r="J10284" t="s">
        <v>36057</v>
      </c>
      <c r="K10284" t="s">
        <v>38487</v>
      </c>
      <c r="M10284" t="s">
        <v>41997</v>
      </c>
      <c r="N10284" t="s">
        <v>42669</v>
      </c>
      <c r="O10284" t="s">
        <v>42670</v>
      </c>
      <c r="P10284">
        <v>0</v>
      </c>
      <c r="Q10284">
        <v>0</v>
      </c>
      <c r="R10284" t="s">
        <v>42683</v>
      </c>
      <c r="S10284" t="s">
        <v>43062</v>
      </c>
      <c r="T10284" t="s">
        <v>44357</v>
      </c>
      <c r="U10284" t="s">
        <v>53190</v>
      </c>
      <c r="V10284" t="s">
        <v>57529</v>
      </c>
      <c r="W10284" t="s">
        <v>58105</v>
      </c>
      <c r="X10284" t="s">
        <v>42684</v>
      </c>
    </row>
    <row r="10285" spans="1:24">
      <c r="A10285">
        <f>HYPERLINK("https://www.philgeps.gov.ph/GEPSNONPILOT/Tender/SplashBidNoticeAbstractUI.aspx?menuIndex=3&amp;refID=7173295&amp;Result=3","7173295")</f>
        <v>0</v>
      </c>
      <c r="B10285" t="s">
        <v>1856</v>
      </c>
      <c r="C10285" t="s">
        <v>13349</v>
      </c>
      <c r="D10285" t="s">
        <v>17144</v>
      </c>
      <c r="E10285" t="s">
        <v>26038</v>
      </c>
      <c r="F10285" t="s">
        <v>29372</v>
      </c>
      <c r="G10285" t="s">
        <v>29380</v>
      </c>
      <c r="H10285" t="s">
        <v>29389</v>
      </c>
      <c r="I10285" t="s">
        <v>10408</v>
      </c>
      <c r="J10285" t="s">
        <v>36058</v>
      </c>
      <c r="K10285" t="s">
        <v>38647</v>
      </c>
      <c r="M10285" t="s">
        <v>41981</v>
      </c>
      <c r="N10285" t="s">
        <v>42669</v>
      </c>
      <c r="O10285" t="s">
        <v>42670</v>
      </c>
      <c r="P10285">
        <v>0</v>
      </c>
      <c r="Q10285">
        <v>0</v>
      </c>
      <c r="R10285" t="s">
        <v>42683</v>
      </c>
      <c r="S10285" t="s">
        <v>43062</v>
      </c>
      <c r="T10285" t="s">
        <v>44396</v>
      </c>
      <c r="U10285" t="s">
        <v>53132</v>
      </c>
      <c r="W10285" t="s">
        <v>41981</v>
      </c>
      <c r="X10285" t="s">
        <v>42684</v>
      </c>
    </row>
    <row r="10286" spans="1:24">
      <c r="A10286">
        <f>HYPERLINK("https://www.philgeps.gov.ph/GEPSNONPILOT/Tender/SplashBidNoticeAbstractUI.aspx?menuIndex=3&amp;refID=7173656&amp;Result=3","7173656")</f>
        <v>0</v>
      </c>
      <c r="B10286" t="s">
        <v>2981</v>
      </c>
      <c r="C10286" t="s">
        <v>13350</v>
      </c>
      <c r="D10286" t="s">
        <v>17167</v>
      </c>
      <c r="E10286" t="s">
        <v>26039</v>
      </c>
      <c r="F10286" t="s">
        <v>29372</v>
      </c>
      <c r="G10286" t="s">
        <v>29380</v>
      </c>
      <c r="H10286" t="s">
        <v>29389</v>
      </c>
      <c r="I10286" t="s">
        <v>10408</v>
      </c>
      <c r="J10286" t="s">
        <v>36059</v>
      </c>
      <c r="K10286" t="s">
        <v>38564</v>
      </c>
      <c r="L10286" t="s">
        <v>2981</v>
      </c>
      <c r="M10286" t="s">
        <v>41996</v>
      </c>
      <c r="N10286" t="s">
        <v>42669</v>
      </c>
      <c r="O10286" t="s">
        <v>42670</v>
      </c>
      <c r="P10286">
        <v>0</v>
      </c>
      <c r="Q10286">
        <v>0</v>
      </c>
      <c r="R10286" t="s">
        <v>42683</v>
      </c>
      <c r="S10286" t="s">
        <v>43062</v>
      </c>
      <c r="T10286" t="s">
        <v>44419</v>
      </c>
      <c r="U10286" t="s">
        <v>53191</v>
      </c>
      <c r="V10286" t="s">
        <v>57530</v>
      </c>
      <c r="W10286" t="s">
        <v>41996</v>
      </c>
      <c r="X10286" t="s">
        <v>42684</v>
      </c>
    </row>
    <row r="10287" spans="1:24">
      <c r="A10287">
        <f>HYPERLINK("https://www.philgeps.gov.ph/GEPSNONPILOT/Tender/SplashBidNoticeAbstractUI.aspx?menuIndex=3&amp;refID=7173205&amp;Result=3","7173205")</f>
        <v>0</v>
      </c>
      <c r="B10287" t="s">
        <v>2969</v>
      </c>
      <c r="C10287" t="s">
        <v>13351</v>
      </c>
      <c r="D10287" t="s">
        <v>17141</v>
      </c>
      <c r="E10287" t="s">
        <v>25206</v>
      </c>
      <c r="F10287" t="s">
        <v>29375</v>
      </c>
      <c r="G10287" t="s">
        <v>29380</v>
      </c>
      <c r="H10287" t="s">
        <v>11048</v>
      </c>
      <c r="I10287" t="s">
        <v>7828</v>
      </c>
      <c r="J10287" t="s">
        <v>29604</v>
      </c>
      <c r="K10287" t="s">
        <v>38491</v>
      </c>
      <c r="M10287" t="s">
        <v>41980</v>
      </c>
      <c r="N10287" t="s">
        <v>42669</v>
      </c>
      <c r="O10287" t="s">
        <v>42670</v>
      </c>
      <c r="P10287">
        <v>0</v>
      </c>
      <c r="Q10287">
        <v>8</v>
      </c>
      <c r="R10287" t="s">
        <v>42683</v>
      </c>
      <c r="S10287" t="s">
        <v>43062</v>
      </c>
      <c r="T10287" t="s">
        <v>44394</v>
      </c>
      <c r="U10287" t="s">
        <v>53192</v>
      </c>
      <c r="W10287" t="s">
        <v>41980</v>
      </c>
      <c r="X10287" t="s">
        <v>42684</v>
      </c>
    </row>
    <row r="10288" spans="1:24">
      <c r="A10288">
        <f>HYPERLINK("https://www.philgeps.gov.ph/GEPSNONPILOT/Tender/SplashBidNoticeAbstractUI.aspx?menuIndex=3&amp;refID=7173202&amp;Result=3","7173202")</f>
        <v>0</v>
      </c>
      <c r="B10288" t="s">
        <v>2983</v>
      </c>
      <c r="C10288" t="s">
        <v>13352</v>
      </c>
      <c r="D10288" t="s">
        <v>17177</v>
      </c>
      <c r="E10288" t="s">
        <v>26040</v>
      </c>
      <c r="F10288" t="s">
        <v>29373</v>
      </c>
      <c r="G10288" t="s">
        <v>29380</v>
      </c>
      <c r="H10288" t="s">
        <v>11048</v>
      </c>
      <c r="I10288" t="s">
        <v>9469</v>
      </c>
      <c r="J10288" t="s">
        <v>29526</v>
      </c>
      <c r="K10288" t="s">
        <v>38490</v>
      </c>
      <c r="M10288" t="s">
        <v>41998</v>
      </c>
      <c r="N10288" t="s">
        <v>42669</v>
      </c>
      <c r="O10288" t="s">
        <v>42670</v>
      </c>
      <c r="P10288">
        <v>0</v>
      </c>
      <c r="Q10288">
        <v>0</v>
      </c>
      <c r="R10288" t="s">
        <v>42683</v>
      </c>
      <c r="S10288" t="s">
        <v>43062</v>
      </c>
      <c r="T10288" t="s">
        <v>44382</v>
      </c>
      <c r="U10288" t="s">
        <v>53193</v>
      </c>
      <c r="W10288" t="s">
        <v>41998</v>
      </c>
      <c r="X10288" t="s">
        <v>42684</v>
      </c>
    </row>
    <row r="10289" spans="1:24">
      <c r="A10289">
        <f>HYPERLINK("https://www.philgeps.gov.ph/GEPSNONPILOT/Tender/SplashBidNoticeAbstractUI.aspx?menuIndex=3&amp;refID=7173193&amp;Result=3","7173193")</f>
        <v>0</v>
      </c>
      <c r="B10289" t="s">
        <v>2969</v>
      </c>
      <c r="C10289" t="s">
        <v>13353</v>
      </c>
      <c r="D10289" t="s">
        <v>17141</v>
      </c>
      <c r="E10289" t="s">
        <v>25206</v>
      </c>
      <c r="F10289" t="s">
        <v>29375</v>
      </c>
      <c r="G10289" t="s">
        <v>29380</v>
      </c>
      <c r="H10289" t="s">
        <v>11048</v>
      </c>
      <c r="I10289" t="s">
        <v>7828</v>
      </c>
      <c r="J10289" t="s">
        <v>29590</v>
      </c>
      <c r="K10289" t="s">
        <v>38491</v>
      </c>
      <c r="M10289" t="s">
        <v>41980</v>
      </c>
      <c r="N10289" t="s">
        <v>42669</v>
      </c>
      <c r="O10289" t="s">
        <v>42670</v>
      </c>
      <c r="P10289">
        <v>0</v>
      </c>
      <c r="Q10289">
        <v>10</v>
      </c>
      <c r="R10289" t="s">
        <v>42683</v>
      </c>
      <c r="S10289" t="s">
        <v>43062</v>
      </c>
      <c r="T10289" t="s">
        <v>44382</v>
      </c>
      <c r="U10289" t="s">
        <v>53194</v>
      </c>
      <c r="W10289" t="s">
        <v>41980</v>
      </c>
      <c r="X10289" t="s">
        <v>42684</v>
      </c>
    </row>
    <row r="10290" spans="1:24">
      <c r="A10290">
        <f>HYPERLINK("https://www.philgeps.gov.ph/GEPSNONPILOT/Tender/SplashBidNoticeAbstractUI.aspx?menuIndex=3&amp;refID=7173192&amp;Result=3","7173192")</f>
        <v>0</v>
      </c>
      <c r="B10290" t="s">
        <v>2079</v>
      </c>
      <c r="C10290" t="s">
        <v>13354</v>
      </c>
      <c r="D10290" t="s">
        <v>17195</v>
      </c>
      <c r="E10290" t="s">
        <v>26041</v>
      </c>
      <c r="F10290" t="s">
        <v>29372</v>
      </c>
      <c r="G10290" t="s">
        <v>29379</v>
      </c>
      <c r="H10290" t="s">
        <v>11048</v>
      </c>
      <c r="I10290" t="s">
        <v>14920</v>
      </c>
      <c r="J10290" t="s">
        <v>36060</v>
      </c>
      <c r="K10290" t="s">
        <v>38488</v>
      </c>
      <c r="M10290" t="s">
        <v>40978</v>
      </c>
      <c r="N10290" t="s">
        <v>42669</v>
      </c>
      <c r="O10290" t="s">
        <v>42670</v>
      </c>
      <c r="P10290">
        <v>0</v>
      </c>
      <c r="Q10290">
        <v>0</v>
      </c>
      <c r="R10290" t="s">
        <v>42683</v>
      </c>
      <c r="S10290" t="s">
        <v>43062</v>
      </c>
      <c r="T10290" t="s">
        <v>44629</v>
      </c>
      <c r="U10290" t="s">
        <v>53121</v>
      </c>
      <c r="W10290" t="s">
        <v>40978</v>
      </c>
      <c r="X10290" t="s">
        <v>42684</v>
      </c>
    </row>
    <row r="10291" spans="1:24">
      <c r="A10291">
        <f>HYPERLINK("https://www.philgeps.gov.ph/GEPSNONPILOT/Tender/SplashBidNoticeAbstractUI.aspx?menuIndex=3&amp;refID=7173658&amp;Result=3","7173658")</f>
        <v>0</v>
      </c>
      <c r="B10291" t="s">
        <v>740</v>
      </c>
      <c r="C10291" t="s">
        <v>13355</v>
      </c>
      <c r="D10291" t="s">
        <v>17165</v>
      </c>
      <c r="E10291" t="s">
        <v>26042</v>
      </c>
      <c r="F10291" t="s">
        <v>29372</v>
      </c>
      <c r="G10291" t="s">
        <v>29380</v>
      </c>
      <c r="H10291" t="s">
        <v>11048</v>
      </c>
      <c r="I10291" t="s">
        <v>29422</v>
      </c>
      <c r="J10291" t="s">
        <v>33660</v>
      </c>
      <c r="K10291" t="s">
        <v>38522</v>
      </c>
      <c r="M10291" t="s">
        <v>39521</v>
      </c>
      <c r="N10291" t="s">
        <v>42669</v>
      </c>
      <c r="O10291" t="s">
        <v>42670</v>
      </c>
      <c r="P10291">
        <v>0</v>
      </c>
      <c r="Q10291">
        <v>5</v>
      </c>
      <c r="R10291" t="s">
        <v>42683</v>
      </c>
      <c r="S10291" t="s">
        <v>43062</v>
      </c>
      <c r="T10291" t="s">
        <v>44357</v>
      </c>
      <c r="U10291" t="s">
        <v>53195</v>
      </c>
      <c r="W10291" t="s">
        <v>39521</v>
      </c>
      <c r="X10291" t="s">
        <v>42684</v>
      </c>
    </row>
    <row r="10292" spans="1:24">
      <c r="A10292">
        <f>HYPERLINK("https://www.philgeps.gov.ph/GEPSNONPILOT/Tender/SplashBidNoticeAbstractUI.aspx?menuIndex=3&amp;refID=7173106&amp;Result=3","7173106")</f>
        <v>0</v>
      </c>
      <c r="B10292" t="s">
        <v>2984</v>
      </c>
      <c r="C10292" t="s">
        <v>5753</v>
      </c>
      <c r="D10292" t="s">
        <v>17199</v>
      </c>
      <c r="E10292" t="s">
        <v>26043</v>
      </c>
      <c r="F10292" t="s">
        <v>29372</v>
      </c>
      <c r="G10292" t="s">
        <v>29380</v>
      </c>
      <c r="H10292" t="s">
        <v>11048</v>
      </c>
      <c r="I10292" t="s">
        <v>4709</v>
      </c>
      <c r="J10292" t="s">
        <v>36061</v>
      </c>
      <c r="K10292" t="s">
        <v>38485</v>
      </c>
      <c r="M10292" t="s">
        <v>41999</v>
      </c>
      <c r="N10292" t="s">
        <v>42669</v>
      </c>
      <c r="O10292" t="s">
        <v>42670</v>
      </c>
      <c r="P10292">
        <v>0</v>
      </c>
      <c r="Q10292">
        <v>1</v>
      </c>
      <c r="R10292" t="s">
        <v>42683</v>
      </c>
      <c r="S10292" t="s">
        <v>43062</v>
      </c>
      <c r="T10292" t="s">
        <v>44450</v>
      </c>
      <c r="U10292" t="s">
        <v>53196</v>
      </c>
      <c r="W10292" t="s">
        <v>41999</v>
      </c>
      <c r="X10292" t="s">
        <v>42684</v>
      </c>
    </row>
    <row r="10293" spans="1:24">
      <c r="A10293">
        <f>HYPERLINK("https://www.philgeps.gov.ph/GEPSNONPILOT/Tender/SplashBidNoticeAbstractUI.aspx?menuIndex=3&amp;refID=7173293&amp;Result=3","7173293")</f>
        <v>0</v>
      </c>
      <c r="B10293" t="s">
        <v>2985</v>
      </c>
      <c r="C10293" t="s">
        <v>13356</v>
      </c>
      <c r="D10293" t="s">
        <v>17145</v>
      </c>
      <c r="E10293" t="s">
        <v>26044</v>
      </c>
      <c r="F10293" t="s">
        <v>29372</v>
      </c>
      <c r="G10293" t="s">
        <v>29380</v>
      </c>
      <c r="H10293" t="s">
        <v>29389</v>
      </c>
      <c r="I10293" t="s">
        <v>10408</v>
      </c>
      <c r="J10293" t="s">
        <v>36062</v>
      </c>
      <c r="K10293" t="s">
        <v>38531</v>
      </c>
      <c r="M10293" t="s">
        <v>42000</v>
      </c>
      <c r="N10293" t="s">
        <v>42669</v>
      </c>
      <c r="O10293" t="s">
        <v>42670</v>
      </c>
      <c r="P10293">
        <v>0</v>
      </c>
      <c r="Q10293">
        <v>2</v>
      </c>
      <c r="R10293" t="s">
        <v>42683</v>
      </c>
      <c r="S10293" t="s">
        <v>43062</v>
      </c>
      <c r="T10293" t="s">
        <v>44510</v>
      </c>
      <c r="U10293" t="s">
        <v>53197</v>
      </c>
      <c r="W10293" t="s">
        <v>42000</v>
      </c>
      <c r="X10293" t="s">
        <v>42684</v>
      </c>
    </row>
    <row r="10294" spans="1:24">
      <c r="A10294">
        <f>HYPERLINK("https://www.philgeps.gov.ph/GEPSNONPILOT/Tender/SplashBidNoticeAbstractUI.aspx?menuIndex=3&amp;refID=7173079&amp;Result=3","7173079")</f>
        <v>0</v>
      </c>
      <c r="B10294" t="s">
        <v>2545</v>
      </c>
      <c r="C10294" t="s">
        <v>13357</v>
      </c>
      <c r="D10294" t="s">
        <v>17143</v>
      </c>
      <c r="E10294" t="s">
        <v>26045</v>
      </c>
      <c r="F10294" t="s">
        <v>29372</v>
      </c>
      <c r="G10294" t="s">
        <v>29380</v>
      </c>
      <c r="H10294" t="s">
        <v>11048</v>
      </c>
      <c r="I10294" t="s">
        <v>3629</v>
      </c>
      <c r="J10294" t="s">
        <v>29822</v>
      </c>
      <c r="K10294" t="s">
        <v>38488</v>
      </c>
      <c r="M10294" t="s">
        <v>41508</v>
      </c>
      <c r="N10294" t="s">
        <v>42669</v>
      </c>
      <c r="O10294" t="s">
        <v>42670</v>
      </c>
      <c r="P10294">
        <v>0</v>
      </c>
      <c r="Q10294">
        <v>0</v>
      </c>
      <c r="R10294" t="s">
        <v>42683</v>
      </c>
      <c r="S10294" t="s">
        <v>43062</v>
      </c>
      <c r="T10294" t="s">
        <v>44425</v>
      </c>
      <c r="U10294" t="s">
        <v>53198</v>
      </c>
      <c r="W10294" t="s">
        <v>41508</v>
      </c>
      <c r="X10294" t="s">
        <v>42684</v>
      </c>
    </row>
    <row r="10295" spans="1:24">
      <c r="A10295">
        <f>HYPERLINK("https://www.philgeps.gov.ph/GEPSNONPILOT/Tender/SplashBidNoticeAbstractUI.aspx?menuIndex=3&amp;refID=7173077&amp;Result=3","7173077")</f>
        <v>0</v>
      </c>
      <c r="B10295" t="s">
        <v>476</v>
      </c>
      <c r="C10295" t="s">
        <v>13358</v>
      </c>
      <c r="E10295" t="s">
        <v>18418</v>
      </c>
      <c r="F10295" t="s">
        <v>29372</v>
      </c>
      <c r="G10295" t="s">
        <v>29380</v>
      </c>
      <c r="H10295" t="s">
        <v>11048</v>
      </c>
      <c r="I10295" t="s">
        <v>10408</v>
      </c>
      <c r="J10295" t="s">
        <v>32167</v>
      </c>
      <c r="K10295" t="s">
        <v>38490</v>
      </c>
      <c r="M10295" t="s">
        <v>39241</v>
      </c>
      <c r="N10295" t="s">
        <v>42669</v>
      </c>
      <c r="O10295" t="s">
        <v>42670</v>
      </c>
      <c r="Q10295">
        <v>0</v>
      </c>
      <c r="R10295" t="s">
        <v>42683</v>
      </c>
      <c r="S10295" t="s">
        <v>43165</v>
      </c>
      <c r="T10295" t="s">
        <v>44488</v>
      </c>
      <c r="U10295" t="s">
        <v>52462</v>
      </c>
      <c r="W10295" t="s">
        <v>39241</v>
      </c>
      <c r="X10295" t="s">
        <v>42684</v>
      </c>
    </row>
    <row r="10296" spans="1:24">
      <c r="A10296">
        <f>HYPERLINK("https://www.philgeps.gov.ph/GEPSNONPILOT/Tender/SplashBidNoticeAbstractUI.aspx?menuIndex=3&amp;refID=7173191&amp;Result=3","7173191")</f>
        <v>0</v>
      </c>
      <c r="B10296" t="s">
        <v>1884</v>
      </c>
      <c r="C10296" t="s">
        <v>13359</v>
      </c>
      <c r="D10296" t="s">
        <v>17143</v>
      </c>
      <c r="E10296" t="s">
        <v>26046</v>
      </c>
      <c r="F10296" t="s">
        <v>29372</v>
      </c>
      <c r="G10296" t="s">
        <v>29380</v>
      </c>
      <c r="H10296" t="s">
        <v>29389</v>
      </c>
      <c r="I10296" t="s">
        <v>10408</v>
      </c>
      <c r="J10296" t="s">
        <v>34754</v>
      </c>
      <c r="K10296" t="s">
        <v>38495</v>
      </c>
      <c r="L10296" t="s">
        <v>1884</v>
      </c>
      <c r="M10296" t="s">
        <v>40757</v>
      </c>
      <c r="N10296" t="s">
        <v>42669</v>
      </c>
      <c r="O10296" t="s">
        <v>42670</v>
      </c>
      <c r="P10296">
        <v>0</v>
      </c>
      <c r="Q10296">
        <v>2</v>
      </c>
      <c r="R10296" t="s">
        <v>42683</v>
      </c>
      <c r="S10296" t="s">
        <v>43062</v>
      </c>
      <c r="T10296" t="s">
        <v>44527</v>
      </c>
      <c r="U10296" t="s">
        <v>53199</v>
      </c>
      <c r="W10296" t="s">
        <v>40757</v>
      </c>
      <c r="X10296" t="s">
        <v>42684</v>
      </c>
    </row>
    <row r="10297" spans="1:24">
      <c r="A10297">
        <f>HYPERLINK("https://www.philgeps.gov.ph/GEPSNONPILOT/Tender/SplashBidNoticeAbstractUI.aspx?menuIndex=3&amp;refID=7172994&amp;Result=3","7172994")</f>
        <v>0</v>
      </c>
      <c r="B10297" t="s">
        <v>1354</v>
      </c>
      <c r="C10297" t="s">
        <v>13360</v>
      </c>
      <c r="D10297" t="s">
        <v>17155</v>
      </c>
      <c r="E10297" t="s">
        <v>26047</v>
      </c>
      <c r="F10297" t="s">
        <v>29372</v>
      </c>
      <c r="G10297" t="s">
        <v>29383</v>
      </c>
      <c r="H10297" t="s">
        <v>11048</v>
      </c>
      <c r="I10297" t="s">
        <v>9642</v>
      </c>
      <c r="J10297" t="s">
        <v>29532</v>
      </c>
      <c r="K10297" t="s">
        <v>38488</v>
      </c>
      <c r="M10297" t="s">
        <v>40191</v>
      </c>
      <c r="N10297" t="s">
        <v>42669</v>
      </c>
      <c r="O10297" t="s">
        <v>42670</v>
      </c>
      <c r="Q10297">
        <v>1</v>
      </c>
      <c r="R10297" t="s">
        <v>42683</v>
      </c>
      <c r="S10297" t="s">
        <v>43148</v>
      </c>
      <c r="T10297" t="s">
        <v>44488</v>
      </c>
      <c r="U10297" t="s">
        <v>53098</v>
      </c>
      <c r="V10297" t="s">
        <v>57531</v>
      </c>
      <c r="W10297" t="s">
        <v>40191</v>
      </c>
      <c r="X10297" t="s">
        <v>42684</v>
      </c>
    </row>
    <row r="10298" spans="1:24">
      <c r="A10298">
        <f>HYPERLINK("https://www.philgeps.gov.ph/GEPSNONPILOT/Tender/SplashBidNoticeAbstractUI.aspx?menuIndex=3&amp;refID=7173291&amp;Result=3","7173291")</f>
        <v>0</v>
      </c>
      <c r="B10298" t="s">
        <v>36</v>
      </c>
      <c r="C10298" t="s">
        <v>13361</v>
      </c>
      <c r="D10298" t="s">
        <v>17150</v>
      </c>
      <c r="E10298" t="s">
        <v>26048</v>
      </c>
      <c r="F10298" t="s">
        <v>29372</v>
      </c>
      <c r="G10298" t="s">
        <v>29383</v>
      </c>
      <c r="H10298" t="s">
        <v>11048</v>
      </c>
      <c r="I10298" t="s">
        <v>3629</v>
      </c>
      <c r="J10298" t="s">
        <v>34453</v>
      </c>
      <c r="K10298" t="s">
        <v>38488</v>
      </c>
      <c r="M10298" t="s">
        <v>38789</v>
      </c>
      <c r="N10298" t="s">
        <v>42669</v>
      </c>
      <c r="O10298" t="s">
        <v>42670</v>
      </c>
      <c r="P10298">
        <v>0</v>
      </c>
      <c r="Q10298">
        <v>0</v>
      </c>
      <c r="R10298" t="s">
        <v>42683</v>
      </c>
      <c r="S10298" t="s">
        <v>43062</v>
      </c>
      <c r="T10298" t="s">
        <v>44560</v>
      </c>
      <c r="U10298" t="s">
        <v>53200</v>
      </c>
      <c r="V10298" t="s">
        <v>57505</v>
      </c>
      <c r="W10298" t="s">
        <v>38789</v>
      </c>
      <c r="X10298" t="s">
        <v>42684</v>
      </c>
    </row>
    <row r="10299" spans="1:24">
      <c r="A10299">
        <f>HYPERLINK("https://www.philgeps.gov.ph/GEPSNONPILOT/Tender/SplashBidNoticeAbstractUI.aspx?menuIndex=3&amp;refID=7173093&amp;Result=3","7173093")</f>
        <v>0</v>
      </c>
      <c r="B10299" t="s">
        <v>781</v>
      </c>
      <c r="C10299" t="s">
        <v>13362</v>
      </c>
      <c r="D10299" t="s">
        <v>17163</v>
      </c>
      <c r="E10299" t="s">
        <v>26049</v>
      </c>
      <c r="F10299" t="s">
        <v>29372</v>
      </c>
      <c r="G10299" t="s">
        <v>29380</v>
      </c>
      <c r="H10299" t="s">
        <v>29389</v>
      </c>
      <c r="I10299" t="s">
        <v>10408</v>
      </c>
      <c r="J10299" t="s">
        <v>29728</v>
      </c>
      <c r="K10299" t="s">
        <v>38496</v>
      </c>
      <c r="M10299" t="s">
        <v>41736</v>
      </c>
      <c r="N10299" t="s">
        <v>42669</v>
      </c>
      <c r="O10299" t="s">
        <v>42670</v>
      </c>
      <c r="P10299">
        <v>0</v>
      </c>
      <c r="Q10299">
        <v>75</v>
      </c>
      <c r="R10299" t="s">
        <v>42683</v>
      </c>
      <c r="S10299" t="s">
        <v>43062</v>
      </c>
      <c r="T10299" t="s">
        <v>44373</v>
      </c>
      <c r="U10299" t="s">
        <v>46453</v>
      </c>
      <c r="V10299" t="s">
        <v>57370</v>
      </c>
      <c r="W10299" t="s">
        <v>58096</v>
      </c>
      <c r="X10299" t="s">
        <v>42684</v>
      </c>
    </row>
    <row r="10300" spans="1:24">
      <c r="A10300">
        <f>HYPERLINK("https://www.philgeps.gov.ph/GEPSNONPILOT/Tender/SplashBidNoticeAbstractUI.aspx?menuIndex=3&amp;refID=7173670&amp;Result=3","7173670")</f>
        <v>0</v>
      </c>
      <c r="B10300" t="s">
        <v>2981</v>
      </c>
      <c r="C10300" t="s">
        <v>13363</v>
      </c>
      <c r="D10300" t="s">
        <v>17167</v>
      </c>
      <c r="E10300" t="s">
        <v>26050</v>
      </c>
      <c r="F10300" t="s">
        <v>29372</v>
      </c>
      <c r="G10300" t="s">
        <v>29380</v>
      </c>
      <c r="H10300" t="s">
        <v>29389</v>
      </c>
      <c r="I10300" t="s">
        <v>10408</v>
      </c>
      <c r="J10300" t="s">
        <v>36063</v>
      </c>
      <c r="K10300" t="s">
        <v>38505</v>
      </c>
      <c r="L10300" t="s">
        <v>2981</v>
      </c>
      <c r="M10300" t="s">
        <v>41996</v>
      </c>
      <c r="N10300" t="s">
        <v>42669</v>
      </c>
      <c r="O10300" t="s">
        <v>42670</v>
      </c>
      <c r="P10300">
        <v>0</v>
      </c>
      <c r="Q10300">
        <v>0</v>
      </c>
      <c r="R10300" t="s">
        <v>42683</v>
      </c>
      <c r="S10300" t="s">
        <v>43062</v>
      </c>
      <c r="T10300" t="s">
        <v>44419</v>
      </c>
      <c r="U10300" t="s">
        <v>53201</v>
      </c>
      <c r="V10300" t="s">
        <v>57532</v>
      </c>
      <c r="W10300" t="s">
        <v>41996</v>
      </c>
      <c r="X10300" t="s">
        <v>42684</v>
      </c>
    </row>
    <row r="10301" spans="1:24">
      <c r="A10301">
        <f>HYPERLINK("https://www.philgeps.gov.ph/GEPSNONPILOT/Tender/SplashBidNoticeAbstractUI.aspx?menuIndex=3&amp;refID=7172746&amp;Result=3","7172746")</f>
        <v>0</v>
      </c>
      <c r="B10301" t="s">
        <v>2943</v>
      </c>
      <c r="C10301" t="s">
        <v>13364</v>
      </c>
      <c r="D10301" t="s">
        <v>17141</v>
      </c>
      <c r="E10301" t="s">
        <v>26051</v>
      </c>
      <c r="F10301" t="s">
        <v>29372</v>
      </c>
      <c r="G10301" t="s">
        <v>29380</v>
      </c>
      <c r="H10301" t="s">
        <v>11048</v>
      </c>
      <c r="I10301" t="s">
        <v>3670</v>
      </c>
      <c r="J10301" t="s">
        <v>35976</v>
      </c>
      <c r="K10301" t="s">
        <v>38491</v>
      </c>
      <c r="M10301" t="s">
        <v>41956</v>
      </c>
      <c r="N10301" t="s">
        <v>42669</v>
      </c>
      <c r="O10301" t="s">
        <v>42670</v>
      </c>
      <c r="P10301">
        <v>0</v>
      </c>
      <c r="Q10301">
        <v>0</v>
      </c>
      <c r="R10301" t="s">
        <v>42683</v>
      </c>
      <c r="S10301" t="s">
        <v>43062</v>
      </c>
      <c r="T10301" t="s">
        <v>44432</v>
      </c>
      <c r="U10301" t="s">
        <v>52970</v>
      </c>
      <c r="W10301" t="s">
        <v>41956</v>
      </c>
      <c r="X10301" t="s">
        <v>42684</v>
      </c>
    </row>
    <row r="10302" spans="1:24">
      <c r="A10302">
        <f>HYPERLINK("https://www.philgeps.gov.ph/GEPSNONPILOT/Tender/SplashBidNoticeAbstractUI.aspx?menuIndex=3&amp;refID=7172743&amp;Result=3","7172743")</f>
        <v>0</v>
      </c>
      <c r="B10302" t="s">
        <v>2952</v>
      </c>
      <c r="C10302" t="s">
        <v>13365</v>
      </c>
      <c r="D10302" t="s">
        <v>17144</v>
      </c>
      <c r="E10302" t="s">
        <v>26052</v>
      </c>
      <c r="F10302" t="s">
        <v>29372</v>
      </c>
      <c r="G10302" t="s">
        <v>29380</v>
      </c>
      <c r="H10302" t="s">
        <v>11048</v>
      </c>
      <c r="I10302" t="s">
        <v>9469</v>
      </c>
      <c r="J10302" t="s">
        <v>36064</v>
      </c>
      <c r="K10302" t="s">
        <v>38538</v>
      </c>
      <c r="M10302" t="s">
        <v>41958</v>
      </c>
      <c r="N10302" t="s">
        <v>42669</v>
      </c>
      <c r="O10302" t="s">
        <v>42670</v>
      </c>
      <c r="P10302">
        <v>0</v>
      </c>
      <c r="Q10302">
        <v>4</v>
      </c>
      <c r="R10302" t="s">
        <v>42683</v>
      </c>
      <c r="S10302" t="s">
        <v>43062</v>
      </c>
      <c r="T10302" t="s">
        <v>44375</v>
      </c>
      <c r="U10302" t="s">
        <v>53202</v>
      </c>
      <c r="V10302" t="s">
        <v>57497</v>
      </c>
      <c r="W10302" t="s">
        <v>41958</v>
      </c>
      <c r="X10302" t="s">
        <v>42684</v>
      </c>
    </row>
    <row r="10303" spans="1:24">
      <c r="A10303">
        <f>HYPERLINK("https://www.philgeps.gov.ph/GEPSNONPILOT/Tender/SplashBidNoticeAbstractUI.aspx?menuIndex=3&amp;refID=7173073&amp;Result=3","7173073")</f>
        <v>0</v>
      </c>
      <c r="B10303" t="s">
        <v>2982</v>
      </c>
      <c r="C10303" t="s">
        <v>13366</v>
      </c>
      <c r="D10303" t="s">
        <v>17177</v>
      </c>
      <c r="E10303" t="s">
        <v>26053</v>
      </c>
      <c r="F10303" t="s">
        <v>29372</v>
      </c>
      <c r="G10303" t="s">
        <v>29380</v>
      </c>
      <c r="H10303" t="s">
        <v>29389</v>
      </c>
      <c r="I10303" t="s">
        <v>10408</v>
      </c>
      <c r="J10303" t="s">
        <v>30976</v>
      </c>
      <c r="K10303" t="s">
        <v>38496</v>
      </c>
      <c r="M10303" t="s">
        <v>41997</v>
      </c>
      <c r="N10303" t="s">
        <v>42669</v>
      </c>
      <c r="O10303" t="s">
        <v>42670</v>
      </c>
      <c r="P10303">
        <v>0</v>
      </c>
      <c r="Q10303">
        <v>0</v>
      </c>
      <c r="R10303" t="s">
        <v>42683</v>
      </c>
      <c r="S10303" t="s">
        <v>43062</v>
      </c>
      <c r="T10303" t="s">
        <v>44357</v>
      </c>
      <c r="U10303" t="s">
        <v>53203</v>
      </c>
      <c r="V10303" t="s">
        <v>57533</v>
      </c>
      <c r="W10303" t="s">
        <v>58105</v>
      </c>
      <c r="X10303" t="s">
        <v>42684</v>
      </c>
    </row>
    <row r="10304" spans="1:24">
      <c r="A10304">
        <f>HYPERLINK("https://www.philgeps.gov.ph/GEPSNONPILOT/Tender/SplashBidNoticeAbstractUI.aspx?menuIndex=3&amp;refID=7172742&amp;Result=3","7172742")</f>
        <v>0</v>
      </c>
      <c r="B10304" t="s">
        <v>669</v>
      </c>
      <c r="C10304" t="s">
        <v>13367</v>
      </c>
      <c r="D10304" t="s">
        <v>17147</v>
      </c>
      <c r="E10304" t="s">
        <v>26054</v>
      </c>
      <c r="F10304" t="s">
        <v>29372</v>
      </c>
      <c r="G10304" t="s">
        <v>29380</v>
      </c>
      <c r="H10304" t="s">
        <v>29389</v>
      </c>
      <c r="I10304" t="s">
        <v>10408</v>
      </c>
      <c r="J10304" t="s">
        <v>36065</v>
      </c>
      <c r="K10304" t="s">
        <v>38605</v>
      </c>
      <c r="M10304" t="s">
        <v>41046</v>
      </c>
      <c r="N10304" t="s">
        <v>42669</v>
      </c>
      <c r="O10304" t="s">
        <v>42670</v>
      </c>
      <c r="P10304">
        <v>0</v>
      </c>
      <c r="Q10304">
        <v>0</v>
      </c>
      <c r="R10304" t="s">
        <v>42683</v>
      </c>
      <c r="S10304" t="s">
        <v>43062</v>
      </c>
      <c r="T10304" t="s">
        <v>44412</v>
      </c>
      <c r="U10304" t="s">
        <v>53204</v>
      </c>
      <c r="V10304" t="s">
        <v>57534</v>
      </c>
      <c r="W10304" t="s">
        <v>41046</v>
      </c>
      <c r="X10304" t="s">
        <v>42684</v>
      </c>
    </row>
    <row r="10305" spans="1:24">
      <c r="A10305">
        <f>HYPERLINK("https://www.philgeps.gov.ph/GEPSNONPILOT/Tender/SplashBidNoticeAbstractUI.aspx?menuIndex=3&amp;refID=7172732&amp;Result=3","7172732")</f>
        <v>0</v>
      </c>
      <c r="B10305" t="s">
        <v>2986</v>
      </c>
      <c r="C10305" t="s">
        <v>13368</v>
      </c>
      <c r="D10305" t="s">
        <v>17179</v>
      </c>
      <c r="E10305" t="s">
        <v>17401</v>
      </c>
      <c r="F10305" t="s">
        <v>29372</v>
      </c>
      <c r="G10305" t="s">
        <v>29380</v>
      </c>
      <c r="H10305" t="s">
        <v>11048</v>
      </c>
      <c r="I10305" t="s">
        <v>4709</v>
      </c>
      <c r="J10305" t="s">
        <v>36066</v>
      </c>
      <c r="K10305" t="s">
        <v>38491</v>
      </c>
      <c r="M10305" t="s">
        <v>42001</v>
      </c>
      <c r="N10305" t="s">
        <v>42669</v>
      </c>
      <c r="O10305" t="s">
        <v>42670</v>
      </c>
      <c r="P10305">
        <v>0</v>
      </c>
      <c r="Q10305">
        <v>1</v>
      </c>
      <c r="R10305" t="s">
        <v>42683</v>
      </c>
      <c r="S10305" t="s">
        <v>43062</v>
      </c>
      <c r="T10305" t="s">
        <v>44470</v>
      </c>
      <c r="U10305" t="s">
        <v>53205</v>
      </c>
      <c r="V10305" t="s">
        <v>56556</v>
      </c>
      <c r="W10305" t="s">
        <v>42001</v>
      </c>
      <c r="X10305" t="s">
        <v>42684</v>
      </c>
    </row>
    <row r="10306" spans="1:24">
      <c r="A10306">
        <f>HYPERLINK("https://www.philgeps.gov.ph/GEPSNONPILOT/Tender/SplashBidNoticeAbstractUI.aspx?menuIndex=3&amp;refID=7173072&amp;Result=3","7173072")</f>
        <v>0</v>
      </c>
      <c r="B10306" t="s">
        <v>2978</v>
      </c>
      <c r="C10306" t="s">
        <v>13369</v>
      </c>
      <c r="D10306" t="s">
        <v>17172</v>
      </c>
      <c r="E10306" t="s">
        <v>26055</v>
      </c>
      <c r="F10306" t="s">
        <v>29372</v>
      </c>
      <c r="G10306" t="s">
        <v>29380</v>
      </c>
      <c r="H10306" t="s">
        <v>29389</v>
      </c>
      <c r="I10306" t="s">
        <v>10408</v>
      </c>
      <c r="J10306" t="s">
        <v>36067</v>
      </c>
      <c r="K10306" t="s">
        <v>38522</v>
      </c>
      <c r="M10306" t="s">
        <v>41993</v>
      </c>
      <c r="N10306" t="s">
        <v>42669</v>
      </c>
      <c r="O10306" t="s">
        <v>42670</v>
      </c>
      <c r="P10306">
        <v>0</v>
      </c>
      <c r="Q10306">
        <v>0</v>
      </c>
      <c r="R10306" t="s">
        <v>42683</v>
      </c>
      <c r="S10306" t="s">
        <v>43062</v>
      </c>
      <c r="T10306" t="s">
        <v>44792</v>
      </c>
      <c r="U10306" t="s">
        <v>53206</v>
      </c>
      <c r="W10306" t="s">
        <v>41993</v>
      </c>
      <c r="X10306" t="s">
        <v>42684</v>
      </c>
    </row>
    <row r="10307" spans="1:24">
      <c r="A10307">
        <f>HYPERLINK("https://www.philgeps.gov.ph/GEPSNONPILOT/Tender/SplashBidNoticeAbstractUI.aspx?menuIndex=3&amp;refID=7172723&amp;Result=3","7172723")</f>
        <v>0</v>
      </c>
      <c r="B10307" t="s">
        <v>2943</v>
      </c>
      <c r="C10307" t="s">
        <v>13370</v>
      </c>
      <c r="D10307" t="s">
        <v>17141</v>
      </c>
      <c r="E10307" t="s">
        <v>26056</v>
      </c>
      <c r="F10307" t="s">
        <v>29372</v>
      </c>
      <c r="G10307" t="s">
        <v>29380</v>
      </c>
      <c r="H10307" t="s">
        <v>11048</v>
      </c>
      <c r="I10307" t="s">
        <v>3670</v>
      </c>
      <c r="J10307" t="s">
        <v>36068</v>
      </c>
      <c r="K10307" t="s">
        <v>38491</v>
      </c>
      <c r="M10307" t="s">
        <v>41956</v>
      </c>
      <c r="N10307" t="s">
        <v>42669</v>
      </c>
      <c r="O10307" t="s">
        <v>42670</v>
      </c>
      <c r="P10307">
        <v>0</v>
      </c>
      <c r="Q10307">
        <v>0</v>
      </c>
      <c r="R10307" t="s">
        <v>42683</v>
      </c>
      <c r="S10307" t="s">
        <v>43062</v>
      </c>
      <c r="T10307" t="s">
        <v>44432</v>
      </c>
      <c r="U10307" t="s">
        <v>52970</v>
      </c>
      <c r="W10307" t="s">
        <v>41956</v>
      </c>
      <c r="X10307" t="s">
        <v>42684</v>
      </c>
    </row>
    <row r="10308" spans="1:24">
      <c r="A10308">
        <f>HYPERLINK("https://www.philgeps.gov.ph/GEPSNONPILOT/Tender/SplashBidNoticeAbstractUI.aspx?menuIndex=3&amp;refID=7172718&amp;Result=3","7172718")</f>
        <v>0</v>
      </c>
      <c r="B10308" t="s">
        <v>955</v>
      </c>
      <c r="C10308" t="s">
        <v>13371</v>
      </c>
      <c r="E10308" t="s">
        <v>26057</v>
      </c>
      <c r="F10308" t="s">
        <v>29372</v>
      </c>
      <c r="G10308" t="s">
        <v>29380</v>
      </c>
      <c r="H10308" t="s">
        <v>11048</v>
      </c>
      <c r="I10308" t="s">
        <v>29414</v>
      </c>
      <c r="J10308" t="s">
        <v>36069</v>
      </c>
      <c r="K10308" t="s">
        <v>38490</v>
      </c>
      <c r="M10308" t="s">
        <v>39751</v>
      </c>
      <c r="N10308" t="s">
        <v>42669</v>
      </c>
      <c r="O10308" t="s">
        <v>42670</v>
      </c>
      <c r="P10308">
        <v>0</v>
      </c>
      <c r="Q10308">
        <v>8</v>
      </c>
      <c r="R10308" t="s">
        <v>42683</v>
      </c>
      <c r="S10308" t="s">
        <v>43062</v>
      </c>
      <c r="T10308" t="s">
        <v>44527</v>
      </c>
      <c r="U10308" t="s">
        <v>53207</v>
      </c>
      <c r="W10308" t="s">
        <v>39751</v>
      </c>
      <c r="X10308" t="s">
        <v>42684</v>
      </c>
    </row>
    <row r="10309" spans="1:24">
      <c r="A10309">
        <f>HYPERLINK("https://www.philgeps.gov.ph/GEPSNONPILOT/Tender/SplashBidNoticeAbstractUI.aspx?menuIndex=3&amp;refID=7172715&amp;Result=3","7172715")</f>
        <v>0</v>
      </c>
      <c r="B10309" t="s">
        <v>1279</v>
      </c>
      <c r="C10309" t="s">
        <v>13032</v>
      </c>
      <c r="D10309" t="s">
        <v>17141</v>
      </c>
      <c r="E10309" t="s">
        <v>17703</v>
      </c>
      <c r="F10309" t="s">
        <v>29372</v>
      </c>
      <c r="G10309" t="s">
        <v>29380</v>
      </c>
      <c r="H10309" t="s">
        <v>11048</v>
      </c>
      <c r="I10309" t="s">
        <v>29510</v>
      </c>
      <c r="J10309" t="s">
        <v>29724</v>
      </c>
      <c r="K10309" t="s">
        <v>38490</v>
      </c>
      <c r="M10309" t="s">
        <v>40107</v>
      </c>
      <c r="N10309" t="s">
        <v>42669</v>
      </c>
      <c r="O10309" t="s">
        <v>42670</v>
      </c>
      <c r="Q10309">
        <v>8</v>
      </c>
      <c r="R10309" t="s">
        <v>42683</v>
      </c>
      <c r="S10309" t="s">
        <v>43166</v>
      </c>
      <c r="T10309" t="s">
        <v>44543</v>
      </c>
      <c r="U10309" t="s">
        <v>53208</v>
      </c>
      <c r="W10309" t="s">
        <v>40107</v>
      </c>
      <c r="X10309" t="s">
        <v>42684</v>
      </c>
    </row>
    <row r="10310" spans="1:24">
      <c r="A10310">
        <f>HYPERLINK("https://www.philgeps.gov.ph/GEPSNONPILOT/Tender/SplashBidNoticeAbstractUI.aspx?menuIndex=3&amp;refID=7172658&amp;Result=3","7172658")</f>
        <v>0</v>
      </c>
      <c r="B10310" t="s">
        <v>2079</v>
      </c>
      <c r="C10310" t="s">
        <v>13372</v>
      </c>
      <c r="D10310" t="s">
        <v>17195</v>
      </c>
      <c r="E10310" t="s">
        <v>26058</v>
      </c>
      <c r="F10310" t="s">
        <v>29372</v>
      </c>
      <c r="G10310" t="s">
        <v>29379</v>
      </c>
      <c r="H10310" t="s">
        <v>11048</v>
      </c>
      <c r="I10310" t="s">
        <v>29402</v>
      </c>
      <c r="J10310" t="s">
        <v>30260</v>
      </c>
      <c r="K10310" t="s">
        <v>38485</v>
      </c>
      <c r="M10310" t="s">
        <v>40978</v>
      </c>
      <c r="N10310" t="s">
        <v>42669</v>
      </c>
      <c r="O10310" t="s">
        <v>42670</v>
      </c>
      <c r="P10310">
        <v>0</v>
      </c>
      <c r="Q10310">
        <v>0</v>
      </c>
      <c r="R10310" t="s">
        <v>42683</v>
      </c>
      <c r="S10310" t="s">
        <v>43062</v>
      </c>
      <c r="T10310" t="s">
        <v>44429</v>
      </c>
      <c r="U10310" t="s">
        <v>53209</v>
      </c>
      <c r="W10310" t="s">
        <v>40978</v>
      </c>
      <c r="X10310" t="s">
        <v>42684</v>
      </c>
    </row>
    <row r="10311" spans="1:24">
      <c r="A10311">
        <f>HYPERLINK("https://www.philgeps.gov.ph/GEPSNONPILOT/Tender/SplashBidNoticeAbstractUI.aspx?menuIndex=3&amp;refID=7172657&amp;Result=3","7172657")</f>
        <v>0</v>
      </c>
      <c r="B10311" t="s">
        <v>2943</v>
      </c>
      <c r="C10311" t="s">
        <v>13373</v>
      </c>
      <c r="D10311" t="s">
        <v>17141</v>
      </c>
      <c r="E10311" t="s">
        <v>26059</v>
      </c>
      <c r="F10311" t="s">
        <v>29372</v>
      </c>
      <c r="G10311" t="s">
        <v>29380</v>
      </c>
      <c r="H10311" t="s">
        <v>11048</v>
      </c>
      <c r="I10311" t="s">
        <v>3670</v>
      </c>
      <c r="J10311" t="s">
        <v>36070</v>
      </c>
      <c r="K10311" t="s">
        <v>38491</v>
      </c>
      <c r="M10311" t="s">
        <v>41956</v>
      </c>
      <c r="N10311" t="s">
        <v>42669</v>
      </c>
      <c r="O10311" t="s">
        <v>42670</v>
      </c>
      <c r="P10311">
        <v>0</v>
      </c>
      <c r="Q10311">
        <v>1</v>
      </c>
      <c r="R10311" t="s">
        <v>42683</v>
      </c>
      <c r="S10311" t="s">
        <v>43062</v>
      </c>
      <c r="T10311" t="s">
        <v>44432</v>
      </c>
      <c r="U10311" t="s">
        <v>52970</v>
      </c>
      <c r="W10311" t="s">
        <v>41956</v>
      </c>
      <c r="X10311" t="s">
        <v>42684</v>
      </c>
    </row>
    <row r="10312" spans="1:24">
      <c r="A10312">
        <f>HYPERLINK("https://www.philgeps.gov.ph/GEPSNONPILOT/Tender/SplashBidNoticeAbstractUI.aspx?menuIndex=3&amp;refID=7172741&amp;Result=3","7172741")</f>
        <v>0</v>
      </c>
      <c r="B10312" t="s">
        <v>955</v>
      </c>
      <c r="C10312" t="s">
        <v>13374</v>
      </c>
      <c r="E10312" t="s">
        <v>26060</v>
      </c>
      <c r="F10312" t="s">
        <v>29372</v>
      </c>
      <c r="G10312" t="s">
        <v>29380</v>
      </c>
      <c r="H10312" t="s">
        <v>11048</v>
      </c>
      <c r="I10312" t="s">
        <v>29414</v>
      </c>
      <c r="J10312" t="s">
        <v>36071</v>
      </c>
      <c r="K10312" t="s">
        <v>38490</v>
      </c>
      <c r="M10312" t="s">
        <v>39751</v>
      </c>
      <c r="N10312" t="s">
        <v>42669</v>
      </c>
      <c r="O10312" t="s">
        <v>42670</v>
      </c>
      <c r="P10312">
        <v>0</v>
      </c>
      <c r="Q10312">
        <v>4</v>
      </c>
      <c r="R10312" t="s">
        <v>42683</v>
      </c>
      <c r="S10312" t="s">
        <v>43062</v>
      </c>
      <c r="T10312" t="s">
        <v>44527</v>
      </c>
      <c r="U10312" t="s">
        <v>53210</v>
      </c>
      <c r="W10312" t="s">
        <v>39751</v>
      </c>
      <c r="X10312" t="s">
        <v>42684</v>
      </c>
    </row>
    <row r="10313" spans="1:24">
      <c r="A10313">
        <f>HYPERLINK("https://www.philgeps.gov.ph/GEPSNONPILOT/Tender/SplashBidNoticeAbstractUI.aspx?menuIndex=3&amp;refID=7172655&amp;Result=3","7172655")</f>
        <v>0</v>
      </c>
      <c r="B10313" t="s">
        <v>586</v>
      </c>
      <c r="C10313" t="s">
        <v>13375</v>
      </c>
      <c r="D10313" t="s">
        <v>17161</v>
      </c>
      <c r="E10313" t="s">
        <v>26061</v>
      </c>
      <c r="F10313" t="s">
        <v>29372</v>
      </c>
      <c r="G10313" t="s">
        <v>29380</v>
      </c>
      <c r="H10313" t="s">
        <v>11048</v>
      </c>
      <c r="I10313" t="s">
        <v>4709</v>
      </c>
      <c r="J10313" t="s">
        <v>36072</v>
      </c>
      <c r="K10313" t="s">
        <v>38490</v>
      </c>
      <c r="M10313" t="s">
        <v>39355</v>
      </c>
      <c r="N10313" t="s">
        <v>42669</v>
      </c>
      <c r="O10313" t="s">
        <v>42670</v>
      </c>
      <c r="P10313">
        <v>0</v>
      </c>
      <c r="Q10313">
        <v>0</v>
      </c>
      <c r="R10313" t="s">
        <v>42683</v>
      </c>
      <c r="S10313" t="s">
        <v>43062</v>
      </c>
      <c r="T10313" t="s">
        <v>44488</v>
      </c>
      <c r="U10313" t="s">
        <v>53211</v>
      </c>
      <c r="W10313" t="s">
        <v>39355</v>
      </c>
      <c r="X10313" t="s">
        <v>42684</v>
      </c>
    </row>
    <row r="10314" spans="1:24">
      <c r="A10314">
        <f>HYPERLINK("https://www.philgeps.gov.ph/GEPSNONPILOT/Tender/SplashBidNoticeAbstractUI.aspx?menuIndex=3&amp;refID=7172605&amp;Result=3","7172605")</f>
        <v>0</v>
      </c>
      <c r="B10314" t="s">
        <v>955</v>
      </c>
      <c r="C10314" t="s">
        <v>13376</v>
      </c>
      <c r="E10314" t="s">
        <v>26062</v>
      </c>
      <c r="F10314" t="s">
        <v>29372</v>
      </c>
      <c r="G10314" t="s">
        <v>29380</v>
      </c>
      <c r="H10314" t="s">
        <v>11048</v>
      </c>
      <c r="I10314" t="s">
        <v>29414</v>
      </c>
      <c r="J10314" t="s">
        <v>29829</v>
      </c>
      <c r="K10314" t="s">
        <v>38490</v>
      </c>
      <c r="M10314" t="s">
        <v>39751</v>
      </c>
      <c r="N10314" t="s">
        <v>42669</v>
      </c>
      <c r="O10314" t="s">
        <v>42670</v>
      </c>
      <c r="P10314">
        <v>0</v>
      </c>
      <c r="Q10314">
        <v>17</v>
      </c>
      <c r="R10314" t="s">
        <v>42683</v>
      </c>
      <c r="S10314" t="s">
        <v>43062</v>
      </c>
      <c r="T10314" t="s">
        <v>44527</v>
      </c>
      <c r="U10314" t="s">
        <v>53212</v>
      </c>
      <c r="W10314" t="s">
        <v>39751</v>
      </c>
      <c r="X10314" t="s">
        <v>42684</v>
      </c>
    </row>
    <row r="10315" spans="1:24">
      <c r="A10315">
        <f>HYPERLINK("https://www.philgeps.gov.ph/GEPSNONPILOT/Tender/SplashBidNoticeAbstractUI.aspx?menuIndex=3&amp;refID=7172947&amp;Result=3","7172947")</f>
        <v>0</v>
      </c>
      <c r="B10315" t="s">
        <v>2987</v>
      </c>
      <c r="C10315" t="s">
        <v>13377</v>
      </c>
      <c r="D10315" t="s">
        <v>17177</v>
      </c>
      <c r="E10315" t="s">
        <v>26063</v>
      </c>
      <c r="F10315" t="s">
        <v>29372</v>
      </c>
      <c r="G10315" t="s">
        <v>29380</v>
      </c>
      <c r="H10315" t="s">
        <v>11048</v>
      </c>
      <c r="I10315" t="s">
        <v>29393</v>
      </c>
      <c r="J10315" t="s">
        <v>36073</v>
      </c>
      <c r="K10315" t="s">
        <v>38486</v>
      </c>
      <c r="M10315" t="s">
        <v>42002</v>
      </c>
      <c r="N10315" t="s">
        <v>42669</v>
      </c>
      <c r="O10315" t="s">
        <v>42670</v>
      </c>
      <c r="P10315">
        <v>0</v>
      </c>
      <c r="Q10315">
        <v>0</v>
      </c>
      <c r="R10315" t="s">
        <v>42683</v>
      </c>
      <c r="S10315" t="s">
        <v>43062</v>
      </c>
      <c r="T10315" t="s">
        <v>44444</v>
      </c>
      <c r="U10315" t="s">
        <v>53213</v>
      </c>
      <c r="W10315" t="s">
        <v>42002</v>
      </c>
      <c r="X10315" t="s">
        <v>42684</v>
      </c>
    </row>
    <row r="10316" spans="1:24">
      <c r="A10316">
        <f>HYPERLINK("https://www.philgeps.gov.ph/GEPSNONPILOT/Tender/SplashBidNoticeAbstractUI.aspx?menuIndex=3&amp;refID=7172601&amp;Result=3","7172601")</f>
        <v>0</v>
      </c>
      <c r="B10316" t="s">
        <v>1354</v>
      </c>
      <c r="C10316" t="s">
        <v>13378</v>
      </c>
      <c r="D10316" t="s">
        <v>17155</v>
      </c>
      <c r="E10316" t="s">
        <v>26064</v>
      </c>
      <c r="F10316" t="s">
        <v>29372</v>
      </c>
      <c r="G10316" t="s">
        <v>29380</v>
      </c>
      <c r="H10316" t="s">
        <v>11048</v>
      </c>
      <c r="I10316" t="s">
        <v>29488</v>
      </c>
      <c r="J10316" t="s">
        <v>35932</v>
      </c>
      <c r="K10316" t="s">
        <v>38664</v>
      </c>
      <c r="M10316" t="s">
        <v>40191</v>
      </c>
      <c r="N10316" t="s">
        <v>42669</v>
      </c>
      <c r="O10316" t="s">
        <v>42670</v>
      </c>
      <c r="Q10316">
        <v>0</v>
      </c>
      <c r="R10316" t="s">
        <v>42683</v>
      </c>
      <c r="S10316" t="s">
        <v>43131</v>
      </c>
      <c r="T10316" t="s">
        <v>44488</v>
      </c>
      <c r="U10316" t="s">
        <v>53044</v>
      </c>
      <c r="V10316" t="s">
        <v>57535</v>
      </c>
      <c r="W10316" t="s">
        <v>40191</v>
      </c>
      <c r="X10316" t="s">
        <v>42684</v>
      </c>
    </row>
    <row r="10317" spans="1:24">
      <c r="A10317">
        <f>HYPERLINK("https://www.philgeps.gov.ph/GEPSNONPILOT/Tender/SplashBidNoticeAbstractUI.aspx?menuIndex=3&amp;refID=7172597&amp;Result=3","7172597")</f>
        <v>0</v>
      </c>
      <c r="B10317" t="s">
        <v>115</v>
      </c>
      <c r="C10317" t="s">
        <v>13379</v>
      </c>
      <c r="D10317" t="s">
        <v>17177</v>
      </c>
      <c r="E10317" t="s">
        <v>26065</v>
      </c>
      <c r="F10317" t="s">
        <v>29372</v>
      </c>
      <c r="G10317" t="s">
        <v>29380</v>
      </c>
      <c r="H10317" t="s">
        <v>11048</v>
      </c>
      <c r="I10317" t="s">
        <v>3839</v>
      </c>
      <c r="J10317" t="s">
        <v>29708</v>
      </c>
      <c r="K10317" t="s">
        <v>38518</v>
      </c>
      <c r="M10317" t="s">
        <v>38870</v>
      </c>
      <c r="N10317" t="s">
        <v>42669</v>
      </c>
      <c r="O10317" t="s">
        <v>42670</v>
      </c>
      <c r="P10317">
        <v>0</v>
      </c>
      <c r="Q10317">
        <v>2</v>
      </c>
      <c r="R10317" t="s">
        <v>42683</v>
      </c>
      <c r="S10317" t="s">
        <v>43062</v>
      </c>
      <c r="T10317" t="s">
        <v>44527</v>
      </c>
      <c r="U10317" t="s">
        <v>53214</v>
      </c>
      <c r="W10317" t="s">
        <v>38870</v>
      </c>
      <c r="X10317" t="s">
        <v>42684</v>
      </c>
    </row>
    <row r="10318" spans="1:24">
      <c r="A10318">
        <f>HYPERLINK("https://www.philgeps.gov.ph/GEPSNONPILOT/Tender/SplashBidNoticeAbstractUI.aspx?menuIndex=3&amp;refID=7172607&amp;Result=3","7172607")</f>
        <v>0</v>
      </c>
      <c r="B10318" t="s">
        <v>2710</v>
      </c>
      <c r="C10318" t="s">
        <v>13380</v>
      </c>
      <c r="D10318" t="s">
        <v>17206</v>
      </c>
      <c r="E10318" t="s">
        <v>13380</v>
      </c>
      <c r="F10318" t="s">
        <v>29372</v>
      </c>
      <c r="G10318" t="s">
        <v>29380</v>
      </c>
      <c r="H10318" t="s">
        <v>11048</v>
      </c>
      <c r="I10318" t="s">
        <v>4487</v>
      </c>
      <c r="J10318" t="s">
        <v>36074</v>
      </c>
      <c r="K10318" t="s">
        <v>38485</v>
      </c>
      <c r="M10318" t="s">
        <v>41690</v>
      </c>
      <c r="N10318" t="s">
        <v>42669</v>
      </c>
      <c r="O10318" t="s">
        <v>42670</v>
      </c>
      <c r="Q10318">
        <v>9</v>
      </c>
      <c r="R10318" t="s">
        <v>42683</v>
      </c>
      <c r="S10318" t="s">
        <v>43092</v>
      </c>
      <c r="T10318" t="s">
        <v>44453</v>
      </c>
      <c r="U10318" t="s">
        <v>53215</v>
      </c>
      <c r="W10318" t="s">
        <v>41690</v>
      </c>
      <c r="X10318" t="s">
        <v>42684</v>
      </c>
    </row>
    <row r="10319" spans="1:24">
      <c r="A10319">
        <f>HYPERLINK("https://www.philgeps.gov.ph/GEPSNONPILOT/Tender/SplashBidNoticeAbstractUI.aspx?menuIndex=3&amp;refID=7172719&amp;Result=3","7172719")</f>
        <v>0</v>
      </c>
      <c r="B10319" t="s">
        <v>115</v>
      </c>
      <c r="C10319" t="s">
        <v>13381</v>
      </c>
      <c r="D10319" t="s">
        <v>17177</v>
      </c>
      <c r="E10319" t="s">
        <v>26066</v>
      </c>
      <c r="F10319" t="s">
        <v>29372</v>
      </c>
      <c r="G10319" t="s">
        <v>29380</v>
      </c>
      <c r="H10319" t="s">
        <v>11048</v>
      </c>
      <c r="I10319" t="s">
        <v>29411</v>
      </c>
      <c r="J10319" t="s">
        <v>36075</v>
      </c>
      <c r="K10319" t="s">
        <v>38518</v>
      </c>
      <c r="M10319" t="s">
        <v>38870</v>
      </c>
      <c r="N10319" t="s">
        <v>42669</v>
      </c>
      <c r="O10319" t="s">
        <v>42670</v>
      </c>
      <c r="P10319">
        <v>0</v>
      </c>
      <c r="Q10319">
        <v>0</v>
      </c>
      <c r="R10319" t="s">
        <v>42683</v>
      </c>
      <c r="S10319" t="s">
        <v>43062</v>
      </c>
      <c r="T10319" t="s">
        <v>44527</v>
      </c>
      <c r="U10319" t="s">
        <v>53216</v>
      </c>
      <c r="W10319" t="s">
        <v>38870</v>
      </c>
      <c r="X10319" t="s">
        <v>42684</v>
      </c>
    </row>
    <row r="10320" spans="1:24">
      <c r="A10320">
        <f>HYPERLINK("https://www.philgeps.gov.ph/GEPSNONPILOT/Tender/SplashBidNoticeAbstractUI.aspx?menuIndex=3&amp;refID=7172949&amp;Result=3","7172949")</f>
        <v>0</v>
      </c>
      <c r="B10320" t="s">
        <v>1354</v>
      </c>
      <c r="C10320" t="s">
        <v>13241</v>
      </c>
      <c r="D10320" t="s">
        <v>17155</v>
      </c>
      <c r="E10320" t="s">
        <v>26067</v>
      </c>
      <c r="F10320" t="s">
        <v>29372</v>
      </c>
      <c r="G10320" t="s">
        <v>29383</v>
      </c>
      <c r="H10320" t="s">
        <v>11048</v>
      </c>
      <c r="I10320" t="s">
        <v>4709</v>
      </c>
      <c r="J10320" t="s">
        <v>30735</v>
      </c>
      <c r="K10320" t="s">
        <v>38488</v>
      </c>
      <c r="M10320" t="s">
        <v>40191</v>
      </c>
      <c r="N10320" t="s">
        <v>42669</v>
      </c>
      <c r="O10320" t="s">
        <v>42670</v>
      </c>
      <c r="Q10320">
        <v>0</v>
      </c>
      <c r="R10320" t="s">
        <v>42683</v>
      </c>
      <c r="S10320" t="s">
        <v>43031</v>
      </c>
      <c r="T10320" t="s">
        <v>44488</v>
      </c>
      <c r="U10320" t="s">
        <v>53098</v>
      </c>
      <c r="V10320" t="s">
        <v>57536</v>
      </c>
      <c r="W10320" t="s">
        <v>40191</v>
      </c>
      <c r="X10320" t="s">
        <v>42684</v>
      </c>
    </row>
    <row r="10321" spans="1:24">
      <c r="A10321">
        <f>HYPERLINK("https://www.philgeps.gov.ph/GEPSNONPILOT/Tender/SplashBidNoticeAbstractUI.aspx?menuIndex=3&amp;refID=7172662&amp;Result=3","7172662")</f>
        <v>0</v>
      </c>
      <c r="B10321" t="s">
        <v>339</v>
      </c>
      <c r="C10321" t="s">
        <v>13382</v>
      </c>
      <c r="D10321" t="s">
        <v>17156</v>
      </c>
      <c r="E10321" t="s">
        <v>26068</v>
      </c>
      <c r="F10321" t="s">
        <v>29372</v>
      </c>
      <c r="G10321" t="s">
        <v>29380</v>
      </c>
      <c r="H10321" t="s">
        <v>11048</v>
      </c>
      <c r="I10321" t="s">
        <v>3629</v>
      </c>
      <c r="J10321" t="s">
        <v>36076</v>
      </c>
      <c r="K10321" t="s">
        <v>38485</v>
      </c>
      <c r="M10321" t="s">
        <v>39651</v>
      </c>
      <c r="N10321" t="s">
        <v>42669</v>
      </c>
      <c r="O10321" t="s">
        <v>42670</v>
      </c>
      <c r="Q10321">
        <v>2</v>
      </c>
      <c r="R10321" t="s">
        <v>42683</v>
      </c>
      <c r="S10321" t="s">
        <v>43066</v>
      </c>
      <c r="T10321" t="s">
        <v>44397</v>
      </c>
      <c r="U10321" t="s">
        <v>53217</v>
      </c>
      <c r="W10321" t="s">
        <v>39651</v>
      </c>
      <c r="X10321" t="s">
        <v>42684</v>
      </c>
    </row>
    <row r="10322" spans="1:24">
      <c r="A10322">
        <f>HYPERLINK("https://www.philgeps.gov.ph/GEPSNONPILOT/Tender/SplashBidNoticeAbstractUI.aspx?menuIndex=3&amp;refID=7172393&amp;Result=3","7172393")</f>
        <v>0</v>
      </c>
      <c r="B10322" t="s">
        <v>660</v>
      </c>
      <c r="C10322" t="s">
        <v>13383</v>
      </c>
      <c r="E10322" t="s">
        <v>26069</v>
      </c>
      <c r="F10322" t="s">
        <v>29372</v>
      </c>
      <c r="G10322" t="s">
        <v>29380</v>
      </c>
      <c r="H10322" t="s">
        <v>11048</v>
      </c>
      <c r="I10322" t="s">
        <v>5383</v>
      </c>
      <c r="J10322" t="s">
        <v>36077</v>
      </c>
      <c r="K10322" t="s">
        <v>38490</v>
      </c>
      <c r="M10322" t="s">
        <v>41946</v>
      </c>
      <c r="N10322" t="s">
        <v>42669</v>
      </c>
      <c r="O10322" t="s">
        <v>42670</v>
      </c>
      <c r="P10322">
        <v>0</v>
      </c>
      <c r="Q10322">
        <v>3</v>
      </c>
      <c r="R10322" t="s">
        <v>42683</v>
      </c>
      <c r="S10322" t="s">
        <v>43062</v>
      </c>
      <c r="T10322" t="s">
        <v>44396</v>
      </c>
      <c r="U10322" t="s">
        <v>53218</v>
      </c>
      <c r="W10322" t="s">
        <v>41946</v>
      </c>
      <c r="X10322" t="s">
        <v>42684</v>
      </c>
    </row>
    <row r="10323" spans="1:24">
      <c r="A10323">
        <f>HYPERLINK("https://www.philgeps.gov.ph/GEPSNONPILOT/Tender/SplashBidNoticeAbstractUI.aspx?menuIndex=3&amp;refID=7172394&amp;Result=3","7172394")</f>
        <v>0</v>
      </c>
      <c r="B10323" t="s">
        <v>2984</v>
      </c>
      <c r="C10323" t="s">
        <v>13384</v>
      </c>
      <c r="D10323" t="s">
        <v>17199</v>
      </c>
      <c r="E10323" t="s">
        <v>26070</v>
      </c>
      <c r="F10323" t="s">
        <v>29372</v>
      </c>
      <c r="G10323" t="s">
        <v>29380</v>
      </c>
      <c r="H10323" t="s">
        <v>29389</v>
      </c>
      <c r="I10323" t="s">
        <v>10408</v>
      </c>
      <c r="J10323" t="s">
        <v>36078</v>
      </c>
      <c r="K10323" t="s">
        <v>38522</v>
      </c>
      <c r="M10323" t="s">
        <v>41999</v>
      </c>
      <c r="N10323" t="s">
        <v>42669</v>
      </c>
      <c r="O10323" t="s">
        <v>42670</v>
      </c>
      <c r="P10323">
        <v>0</v>
      </c>
      <c r="Q10323">
        <v>2</v>
      </c>
      <c r="R10323" t="s">
        <v>42683</v>
      </c>
      <c r="S10323" t="s">
        <v>43062</v>
      </c>
      <c r="T10323" t="s">
        <v>44450</v>
      </c>
      <c r="U10323" t="s">
        <v>53219</v>
      </c>
      <c r="W10323" t="s">
        <v>41999</v>
      </c>
      <c r="X10323" t="s">
        <v>42684</v>
      </c>
    </row>
    <row r="10324" spans="1:24">
      <c r="A10324">
        <f>HYPERLINK("https://www.philgeps.gov.ph/GEPSNONPILOT/Tender/SplashBidNoticeAbstractUI.aspx?menuIndex=3&amp;refID=7172383&amp;Result=3","7172383")</f>
        <v>0</v>
      </c>
      <c r="B10324" t="s">
        <v>955</v>
      </c>
      <c r="C10324" t="s">
        <v>13385</v>
      </c>
      <c r="E10324" t="s">
        <v>26071</v>
      </c>
      <c r="F10324" t="s">
        <v>29372</v>
      </c>
      <c r="G10324" t="s">
        <v>29380</v>
      </c>
      <c r="H10324" t="s">
        <v>11048</v>
      </c>
      <c r="I10324" t="s">
        <v>3860</v>
      </c>
      <c r="J10324" t="s">
        <v>36079</v>
      </c>
      <c r="K10324" t="s">
        <v>38490</v>
      </c>
      <c r="M10324" t="s">
        <v>39751</v>
      </c>
      <c r="N10324" t="s">
        <v>42669</v>
      </c>
      <c r="O10324" t="s">
        <v>42670</v>
      </c>
      <c r="P10324">
        <v>0</v>
      </c>
      <c r="Q10324">
        <v>5</v>
      </c>
      <c r="R10324" t="s">
        <v>42683</v>
      </c>
      <c r="S10324" t="s">
        <v>43062</v>
      </c>
      <c r="T10324" t="s">
        <v>44527</v>
      </c>
      <c r="U10324" t="s">
        <v>53220</v>
      </c>
      <c r="W10324" t="s">
        <v>39751</v>
      </c>
      <c r="X10324" t="s">
        <v>42684</v>
      </c>
    </row>
    <row r="10325" spans="1:24">
      <c r="A10325">
        <f>HYPERLINK("https://www.philgeps.gov.ph/GEPSNONPILOT/Tender/SplashBidNoticeAbstractUI.aspx?menuIndex=3&amp;refID=7172469&amp;Result=3","7172469")</f>
        <v>0</v>
      </c>
      <c r="B10325" t="s">
        <v>2079</v>
      </c>
      <c r="C10325" t="s">
        <v>13386</v>
      </c>
      <c r="D10325" t="s">
        <v>17195</v>
      </c>
      <c r="E10325" t="s">
        <v>26072</v>
      </c>
      <c r="F10325" t="s">
        <v>29372</v>
      </c>
      <c r="G10325" t="s">
        <v>29379</v>
      </c>
      <c r="H10325" t="s">
        <v>11048</v>
      </c>
      <c r="I10325" t="s">
        <v>4709</v>
      </c>
      <c r="J10325" t="s">
        <v>36080</v>
      </c>
      <c r="K10325" t="s">
        <v>38510</v>
      </c>
      <c r="M10325" t="s">
        <v>40978</v>
      </c>
      <c r="N10325" t="s">
        <v>42669</v>
      </c>
      <c r="O10325" t="s">
        <v>42670</v>
      </c>
      <c r="P10325">
        <v>0</v>
      </c>
      <c r="Q10325">
        <v>0</v>
      </c>
      <c r="R10325" t="s">
        <v>42683</v>
      </c>
      <c r="S10325" t="s">
        <v>43062</v>
      </c>
      <c r="T10325" t="s">
        <v>44629</v>
      </c>
      <c r="U10325" t="s">
        <v>53121</v>
      </c>
      <c r="W10325" t="s">
        <v>40978</v>
      </c>
      <c r="X10325" t="s">
        <v>42684</v>
      </c>
    </row>
    <row r="10326" spans="1:24">
      <c r="A10326">
        <f>HYPERLINK("https://www.philgeps.gov.ph/GEPSNONPILOT/Tender/SplashBidNoticeAbstractUI.aspx?menuIndex=3&amp;refID=7172398&amp;Result=3","7172398")</f>
        <v>0</v>
      </c>
      <c r="B10326" t="s">
        <v>992</v>
      </c>
      <c r="C10326" t="s">
        <v>13387</v>
      </c>
      <c r="D10326" t="s">
        <v>17180</v>
      </c>
      <c r="E10326" t="s">
        <v>26073</v>
      </c>
      <c r="F10326" t="s">
        <v>29372</v>
      </c>
      <c r="G10326" t="s">
        <v>29380</v>
      </c>
      <c r="H10326" t="s">
        <v>29389</v>
      </c>
      <c r="I10326" t="s">
        <v>10408</v>
      </c>
      <c r="J10326" t="s">
        <v>36081</v>
      </c>
      <c r="K10326" t="s">
        <v>38564</v>
      </c>
      <c r="M10326" t="s">
        <v>39792</v>
      </c>
      <c r="N10326" t="s">
        <v>42669</v>
      </c>
      <c r="O10326" t="s">
        <v>42670</v>
      </c>
      <c r="P10326">
        <v>0</v>
      </c>
      <c r="Q10326">
        <v>31</v>
      </c>
      <c r="R10326" t="s">
        <v>42683</v>
      </c>
      <c r="S10326" t="s">
        <v>43062</v>
      </c>
      <c r="T10326" t="s">
        <v>44357</v>
      </c>
      <c r="U10326" t="s">
        <v>53221</v>
      </c>
      <c r="V10326" t="s">
        <v>56683</v>
      </c>
      <c r="W10326" t="s">
        <v>39792</v>
      </c>
      <c r="X10326" t="s">
        <v>42684</v>
      </c>
    </row>
    <row r="10327" spans="1:24">
      <c r="A10327">
        <f>HYPERLINK("https://www.philgeps.gov.ph/GEPSNONPILOT/Tender/SplashBidNoticeAbstractUI.aspx?menuIndex=3&amp;refID=7172599&amp;Result=3","7172599")</f>
        <v>0</v>
      </c>
      <c r="B10327" t="s">
        <v>2047</v>
      </c>
      <c r="C10327" t="s">
        <v>13388</v>
      </c>
      <c r="D10327" t="s">
        <v>17189</v>
      </c>
      <c r="E10327" t="s">
        <v>26074</v>
      </c>
      <c r="F10327" t="s">
        <v>29372</v>
      </c>
      <c r="G10327" t="s">
        <v>29380</v>
      </c>
      <c r="H10327" t="s">
        <v>11048</v>
      </c>
      <c r="I10327" t="s">
        <v>29448</v>
      </c>
      <c r="J10327" t="s">
        <v>36082</v>
      </c>
      <c r="K10327" t="s">
        <v>38485</v>
      </c>
      <c r="M10327" t="s">
        <v>41953</v>
      </c>
      <c r="N10327" t="s">
        <v>42669</v>
      </c>
      <c r="O10327" t="s">
        <v>42670</v>
      </c>
      <c r="P10327">
        <v>0</v>
      </c>
      <c r="Q10327">
        <v>9</v>
      </c>
      <c r="R10327" t="s">
        <v>42683</v>
      </c>
      <c r="S10327" t="s">
        <v>43062</v>
      </c>
      <c r="T10327" t="s">
        <v>44488</v>
      </c>
      <c r="U10327" t="s">
        <v>53037</v>
      </c>
      <c r="W10327" t="s">
        <v>41953</v>
      </c>
      <c r="X10327" t="s">
        <v>42684</v>
      </c>
    </row>
    <row r="10328" spans="1:24">
      <c r="A10328">
        <f>HYPERLINK("https://www.philgeps.gov.ph/GEPSNONPILOT/Tender/SplashBidNoticeAbstractUI.aspx?menuIndex=3&amp;refID=7172307&amp;Result=3","7172307")</f>
        <v>0</v>
      </c>
      <c r="B10328" t="s">
        <v>435</v>
      </c>
      <c r="C10328" t="s">
        <v>4597</v>
      </c>
      <c r="D10328" t="s">
        <v>17179</v>
      </c>
      <c r="E10328" t="s">
        <v>26075</v>
      </c>
      <c r="F10328" t="s">
        <v>29373</v>
      </c>
      <c r="G10328" t="s">
        <v>29380</v>
      </c>
      <c r="H10328" t="s">
        <v>11048</v>
      </c>
      <c r="I10328" t="s">
        <v>4709</v>
      </c>
      <c r="J10328" t="s">
        <v>36083</v>
      </c>
      <c r="K10328" t="s">
        <v>38491</v>
      </c>
      <c r="M10328" t="s">
        <v>39199</v>
      </c>
      <c r="N10328" t="s">
        <v>42669</v>
      </c>
      <c r="O10328" t="s">
        <v>42670</v>
      </c>
      <c r="P10328">
        <v>0</v>
      </c>
      <c r="Q10328">
        <v>1</v>
      </c>
      <c r="R10328" t="s">
        <v>42683</v>
      </c>
      <c r="S10328" t="s">
        <v>43062</v>
      </c>
      <c r="T10328" t="s">
        <v>44378</v>
      </c>
      <c r="U10328" t="s">
        <v>53222</v>
      </c>
      <c r="V10328" t="s">
        <v>57516</v>
      </c>
      <c r="W10328" t="s">
        <v>39199</v>
      </c>
      <c r="X10328" t="s">
        <v>42684</v>
      </c>
    </row>
    <row r="10329" spans="1:24">
      <c r="A10329">
        <f>HYPERLINK("https://www.philgeps.gov.ph/GEPSNONPILOT/Tender/SplashBidNoticeAbstractUI.aspx?menuIndex=3&amp;refID=7172388&amp;Result=3","7172388")</f>
        <v>0</v>
      </c>
      <c r="B10329" t="s">
        <v>864</v>
      </c>
      <c r="C10329" t="s">
        <v>13389</v>
      </c>
      <c r="D10329" t="s">
        <v>17167</v>
      </c>
      <c r="E10329" t="s">
        <v>26076</v>
      </c>
      <c r="F10329" t="s">
        <v>29372</v>
      </c>
      <c r="G10329" t="s">
        <v>29380</v>
      </c>
      <c r="H10329" t="s">
        <v>29389</v>
      </c>
      <c r="I10329" t="s">
        <v>10408</v>
      </c>
      <c r="J10329" t="s">
        <v>36084</v>
      </c>
      <c r="K10329" t="s">
        <v>38702</v>
      </c>
      <c r="M10329" t="s">
        <v>39656</v>
      </c>
      <c r="N10329" t="s">
        <v>42669</v>
      </c>
      <c r="O10329" t="s">
        <v>42670</v>
      </c>
      <c r="P10329">
        <v>0</v>
      </c>
      <c r="Q10329">
        <v>0</v>
      </c>
      <c r="R10329" t="s">
        <v>42683</v>
      </c>
      <c r="S10329" t="s">
        <v>43062</v>
      </c>
      <c r="T10329" t="s">
        <v>44357</v>
      </c>
      <c r="U10329" t="s">
        <v>53223</v>
      </c>
      <c r="W10329" t="s">
        <v>39656</v>
      </c>
      <c r="X10329" t="s">
        <v>42684</v>
      </c>
    </row>
    <row r="10330" spans="1:24">
      <c r="A10330">
        <f>HYPERLINK("https://www.philgeps.gov.ph/GEPSNONPILOT/Tender/SplashBidNoticeAbstractUI.aspx?menuIndex=3&amp;refID=7173809&amp;Result=3","7173809")</f>
        <v>0</v>
      </c>
      <c r="B10330" t="s">
        <v>2988</v>
      </c>
      <c r="C10330" t="s">
        <v>13390</v>
      </c>
      <c r="D10330" t="s">
        <v>17168</v>
      </c>
      <c r="E10330" t="s">
        <v>24894</v>
      </c>
      <c r="F10330" t="s">
        <v>29372</v>
      </c>
      <c r="G10330" t="s">
        <v>29380</v>
      </c>
      <c r="H10330" t="s">
        <v>11048</v>
      </c>
      <c r="I10330" t="s">
        <v>9469</v>
      </c>
      <c r="J10330" t="s">
        <v>30161</v>
      </c>
      <c r="K10330" t="s">
        <v>38488</v>
      </c>
      <c r="L10330" t="s">
        <v>2988</v>
      </c>
      <c r="M10330" t="s">
        <v>42003</v>
      </c>
      <c r="N10330" t="s">
        <v>42669</v>
      </c>
      <c r="O10330" t="s">
        <v>42670</v>
      </c>
      <c r="Q10330">
        <v>7</v>
      </c>
      <c r="R10330" t="s">
        <v>42683</v>
      </c>
      <c r="S10330" t="s">
        <v>43167</v>
      </c>
      <c r="T10330" t="s">
        <v>44368</v>
      </c>
      <c r="U10330" t="s">
        <v>53224</v>
      </c>
      <c r="W10330" t="s">
        <v>42003</v>
      </c>
      <c r="X10330" t="s">
        <v>42684</v>
      </c>
    </row>
    <row r="10331" spans="1:24">
      <c r="A10331">
        <f>HYPERLINK("https://www.philgeps.gov.ph/GEPSNONPILOT/Tender/SplashBidNoticeAbstractUI.aspx?menuIndex=3&amp;refID=7173787&amp;Result=3","7173787")</f>
        <v>0</v>
      </c>
      <c r="B10331" t="s">
        <v>2964</v>
      </c>
      <c r="C10331" t="s">
        <v>13391</v>
      </c>
      <c r="D10331" t="s">
        <v>17144</v>
      </c>
      <c r="E10331" t="s">
        <v>26077</v>
      </c>
      <c r="F10331" t="s">
        <v>29372</v>
      </c>
      <c r="G10331" t="s">
        <v>29380</v>
      </c>
      <c r="H10331" t="s">
        <v>29389</v>
      </c>
      <c r="I10331" t="s">
        <v>10408</v>
      </c>
      <c r="J10331" t="s">
        <v>32999</v>
      </c>
      <c r="K10331" t="s">
        <v>38522</v>
      </c>
      <c r="M10331" t="s">
        <v>41974</v>
      </c>
      <c r="N10331" t="s">
        <v>42669</v>
      </c>
      <c r="O10331" t="s">
        <v>42670</v>
      </c>
      <c r="P10331">
        <v>0</v>
      </c>
      <c r="Q10331">
        <v>1</v>
      </c>
      <c r="R10331" t="s">
        <v>42683</v>
      </c>
      <c r="S10331" t="s">
        <v>43062</v>
      </c>
      <c r="T10331" t="s">
        <v>44476</v>
      </c>
      <c r="U10331" t="s">
        <v>53225</v>
      </c>
      <c r="W10331" t="s">
        <v>41974</v>
      </c>
      <c r="X10331" t="s">
        <v>42684</v>
      </c>
    </row>
    <row r="10332" spans="1:24">
      <c r="A10332">
        <f>HYPERLINK("https://www.philgeps.gov.ph/GEPSNONPILOT/Tender/SplashBidNoticeAbstractUI.aspx?menuIndex=3&amp;refID=7172380&amp;Result=3","7172380")</f>
        <v>0</v>
      </c>
      <c r="B10332" t="s">
        <v>2151</v>
      </c>
      <c r="C10332" t="s">
        <v>13392</v>
      </c>
      <c r="E10332" t="s">
        <v>26078</v>
      </c>
      <c r="F10332" t="s">
        <v>29372</v>
      </c>
      <c r="G10332" t="s">
        <v>29380</v>
      </c>
      <c r="H10332" t="s">
        <v>29389</v>
      </c>
      <c r="I10332" t="s">
        <v>10408</v>
      </c>
      <c r="J10332" t="s">
        <v>36085</v>
      </c>
      <c r="K10332" t="s">
        <v>38490</v>
      </c>
      <c r="M10332" t="s">
        <v>41059</v>
      </c>
      <c r="N10332" t="s">
        <v>42669</v>
      </c>
      <c r="O10332" t="s">
        <v>42670</v>
      </c>
      <c r="P10332">
        <v>0</v>
      </c>
      <c r="Q10332">
        <v>4</v>
      </c>
      <c r="R10332" t="s">
        <v>42683</v>
      </c>
      <c r="S10332" t="s">
        <v>43062</v>
      </c>
      <c r="T10332" t="s">
        <v>44357</v>
      </c>
      <c r="U10332" t="s">
        <v>53226</v>
      </c>
      <c r="V10332" t="s">
        <v>57537</v>
      </c>
      <c r="W10332" t="s">
        <v>41059</v>
      </c>
      <c r="X10332" t="s">
        <v>42684</v>
      </c>
    </row>
    <row r="10333" spans="1:24">
      <c r="A10333">
        <f>HYPERLINK("https://www.philgeps.gov.ph/GEPSNONPILOT/Tender/SplashBidNoticeAbstractUI.aspx?menuIndex=3&amp;refID=7173894&amp;Result=3","7173894")</f>
        <v>0</v>
      </c>
      <c r="B10333" t="s">
        <v>2047</v>
      </c>
      <c r="C10333" t="s">
        <v>13393</v>
      </c>
      <c r="D10333" t="s">
        <v>17189</v>
      </c>
      <c r="E10333" t="s">
        <v>26079</v>
      </c>
      <c r="F10333" t="s">
        <v>29372</v>
      </c>
      <c r="G10333" t="s">
        <v>29380</v>
      </c>
      <c r="H10333" t="s">
        <v>29389</v>
      </c>
      <c r="I10333" t="s">
        <v>10408</v>
      </c>
      <c r="J10333" t="s">
        <v>36086</v>
      </c>
      <c r="K10333" t="s">
        <v>38496</v>
      </c>
      <c r="M10333" t="s">
        <v>42004</v>
      </c>
      <c r="N10333" t="s">
        <v>42669</v>
      </c>
      <c r="O10333" t="s">
        <v>42670</v>
      </c>
      <c r="P10333">
        <v>0</v>
      </c>
      <c r="Q10333">
        <v>0</v>
      </c>
      <c r="R10333" t="s">
        <v>42683</v>
      </c>
      <c r="S10333" t="s">
        <v>43062</v>
      </c>
      <c r="T10333" t="s">
        <v>44548</v>
      </c>
      <c r="U10333" t="s">
        <v>53227</v>
      </c>
      <c r="W10333" t="s">
        <v>42004</v>
      </c>
      <c r="X10333" t="s">
        <v>42684</v>
      </c>
    </row>
    <row r="10334" spans="1:24">
      <c r="A10334">
        <f>HYPERLINK("https://www.philgeps.gov.ph/GEPSNONPILOT/Tender/SplashBidNoticeAbstractUI.aspx?menuIndex=3&amp;refID=7172305&amp;Result=3","7172305")</f>
        <v>0</v>
      </c>
      <c r="B10334" t="s">
        <v>2943</v>
      </c>
      <c r="C10334" t="s">
        <v>13394</v>
      </c>
      <c r="D10334" t="s">
        <v>17141</v>
      </c>
      <c r="E10334" t="s">
        <v>26080</v>
      </c>
      <c r="F10334" t="s">
        <v>29372</v>
      </c>
      <c r="G10334" t="s">
        <v>29380</v>
      </c>
      <c r="H10334" t="s">
        <v>11048</v>
      </c>
      <c r="I10334" t="s">
        <v>3670</v>
      </c>
      <c r="J10334" t="s">
        <v>36087</v>
      </c>
      <c r="K10334" t="s">
        <v>38491</v>
      </c>
      <c r="M10334" t="s">
        <v>41945</v>
      </c>
      <c r="N10334" t="s">
        <v>42669</v>
      </c>
      <c r="O10334" t="s">
        <v>42670</v>
      </c>
      <c r="P10334">
        <v>0</v>
      </c>
      <c r="Q10334">
        <v>0</v>
      </c>
      <c r="R10334" t="s">
        <v>42683</v>
      </c>
      <c r="S10334" t="s">
        <v>43062</v>
      </c>
      <c r="T10334" t="s">
        <v>44432</v>
      </c>
      <c r="U10334" t="s">
        <v>52970</v>
      </c>
      <c r="W10334" t="s">
        <v>41945</v>
      </c>
      <c r="X10334" t="s">
        <v>42684</v>
      </c>
    </row>
    <row r="10335" spans="1:24">
      <c r="A10335">
        <f>HYPERLINK("https://www.philgeps.gov.ph/GEPSNONPILOT/Tender/SplashBidNoticeAbstractUI.aspx?menuIndex=3&amp;refID=7173917&amp;Result=3","7173917")</f>
        <v>0</v>
      </c>
      <c r="B10335" t="s">
        <v>1091</v>
      </c>
      <c r="C10335" t="s">
        <v>13395</v>
      </c>
      <c r="D10335" t="s">
        <v>17141</v>
      </c>
      <c r="E10335" t="s">
        <v>26081</v>
      </c>
      <c r="F10335" t="s">
        <v>29372</v>
      </c>
      <c r="G10335" t="s">
        <v>29379</v>
      </c>
      <c r="H10335" t="s">
        <v>11048</v>
      </c>
      <c r="I10335" t="s">
        <v>29433</v>
      </c>
      <c r="J10335" t="s">
        <v>30113</v>
      </c>
      <c r="K10335" t="s">
        <v>38490</v>
      </c>
      <c r="M10335" t="s">
        <v>42005</v>
      </c>
      <c r="N10335" t="s">
        <v>42669</v>
      </c>
      <c r="O10335" t="s">
        <v>42670</v>
      </c>
      <c r="Q10335">
        <v>14</v>
      </c>
      <c r="R10335" t="s">
        <v>42683</v>
      </c>
      <c r="S10335" t="s">
        <v>43168</v>
      </c>
      <c r="T10335" t="s">
        <v>44425</v>
      </c>
      <c r="U10335" t="s">
        <v>53228</v>
      </c>
      <c r="V10335" t="s">
        <v>57538</v>
      </c>
      <c r="W10335" t="s">
        <v>42005</v>
      </c>
      <c r="X10335" t="s">
        <v>42684</v>
      </c>
    </row>
    <row r="10336" spans="1:24">
      <c r="A10336">
        <f>HYPERLINK("https://www.philgeps.gov.ph/GEPSNONPILOT/Tender/SplashBidNoticeAbstractUI.aspx?menuIndex=3&amp;refID=7173810&amp;Result=3","7173810")</f>
        <v>0</v>
      </c>
      <c r="B10336" t="s">
        <v>2964</v>
      </c>
      <c r="C10336" t="s">
        <v>13396</v>
      </c>
      <c r="D10336" t="s">
        <v>17144</v>
      </c>
      <c r="E10336" t="s">
        <v>26082</v>
      </c>
      <c r="F10336" t="s">
        <v>29374</v>
      </c>
      <c r="G10336" t="s">
        <v>29380</v>
      </c>
      <c r="H10336" t="s">
        <v>29389</v>
      </c>
      <c r="I10336" t="s">
        <v>10408</v>
      </c>
      <c r="J10336" t="s">
        <v>30161</v>
      </c>
      <c r="K10336" t="s">
        <v>38495</v>
      </c>
      <c r="M10336" t="s">
        <v>41974</v>
      </c>
      <c r="N10336" t="s">
        <v>42669</v>
      </c>
      <c r="O10336" t="s">
        <v>42670</v>
      </c>
      <c r="P10336">
        <v>0</v>
      </c>
      <c r="Q10336">
        <v>2</v>
      </c>
      <c r="R10336" t="s">
        <v>42683</v>
      </c>
      <c r="S10336" t="s">
        <v>43062</v>
      </c>
      <c r="T10336" t="s">
        <v>44476</v>
      </c>
      <c r="U10336" t="s">
        <v>53229</v>
      </c>
      <c r="W10336" t="s">
        <v>41974</v>
      </c>
      <c r="X10336" t="s">
        <v>42684</v>
      </c>
    </row>
    <row r="10337" spans="1:24">
      <c r="A10337">
        <f>HYPERLINK("https://www.philgeps.gov.ph/GEPSNONPILOT/Tender/SplashBidNoticeAbstractUI.aspx?menuIndex=3&amp;refID=7173896&amp;Result=3","7173896")</f>
        <v>0</v>
      </c>
      <c r="B10337" t="s">
        <v>2038</v>
      </c>
      <c r="C10337" t="s">
        <v>13397</v>
      </c>
      <c r="D10337" t="s">
        <v>17156</v>
      </c>
      <c r="E10337" t="s">
        <v>26083</v>
      </c>
      <c r="F10337" t="s">
        <v>29372</v>
      </c>
      <c r="G10337" t="s">
        <v>29380</v>
      </c>
      <c r="H10337" t="s">
        <v>11048</v>
      </c>
      <c r="I10337" t="s">
        <v>29409</v>
      </c>
      <c r="J10337" t="s">
        <v>30036</v>
      </c>
      <c r="K10337" t="s">
        <v>38485</v>
      </c>
      <c r="M10337" t="s">
        <v>40935</v>
      </c>
      <c r="N10337" t="s">
        <v>42669</v>
      </c>
      <c r="O10337" t="s">
        <v>42670</v>
      </c>
      <c r="Q10337">
        <v>5</v>
      </c>
      <c r="R10337" t="s">
        <v>42683</v>
      </c>
      <c r="S10337" t="s">
        <v>43169</v>
      </c>
      <c r="T10337" t="s">
        <v>44391</v>
      </c>
      <c r="U10337" t="s">
        <v>53230</v>
      </c>
      <c r="W10337" t="s">
        <v>40935</v>
      </c>
      <c r="X10337" t="s">
        <v>42684</v>
      </c>
    </row>
    <row r="10338" spans="1:24">
      <c r="A10338">
        <f>HYPERLINK("https://www.philgeps.gov.ph/GEPSNONPILOT/Tender/SplashBidNoticeAbstractUI.aspx?menuIndex=3&amp;refID=7172381&amp;Result=3","7172381")</f>
        <v>0</v>
      </c>
      <c r="B10338" t="s">
        <v>1490</v>
      </c>
      <c r="C10338" t="s">
        <v>13398</v>
      </c>
      <c r="D10338" t="s">
        <v>17144</v>
      </c>
      <c r="E10338" t="s">
        <v>26084</v>
      </c>
      <c r="F10338" t="s">
        <v>29372</v>
      </c>
      <c r="G10338" t="s">
        <v>29380</v>
      </c>
      <c r="H10338" t="s">
        <v>29389</v>
      </c>
      <c r="I10338" t="s">
        <v>10408</v>
      </c>
      <c r="J10338" t="s">
        <v>33045</v>
      </c>
      <c r="K10338" t="s">
        <v>38495</v>
      </c>
      <c r="M10338" t="s">
        <v>42006</v>
      </c>
      <c r="N10338" t="s">
        <v>42669</v>
      </c>
      <c r="O10338" t="s">
        <v>42670</v>
      </c>
      <c r="P10338">
        <v>0</v>
      </c>
      <c r="Q10338">
        <v>0</v>
      </c>
      <c r="R10338" t="s">
        <v>42683</v>
      </c>
      <c r="S10338" t="s">
        <v>43062</v>
      </c>
      <c r="T10338" t="s">
        <v>44568</v>
      </c>
      <c r="U10338" t="s">
        <v>48245</v>
      </c>
      <c r="W10338" t="s">
        <v>42006</v>
      </c>
      <c r="X10338" t="s">
        <v>42684</v>
      </c>
    </row>
    <row r="10339" spans="1:24">
      <c r="A10339">
        <f>HYPERLINK("https://www.philgeps.gov.ph/GEPSNONPILOT/Tender/SplashBidNoticeAbstractUI.aspx?menuIndex=3&amp;refID=7173915&amp;Result=3","7173915")</f>
        <v>0</v>
      </c>
      <c r="B10339" t="s">
        <v>533</v>
      </c>
      <c r="C10339" t="s">
        <v>13399</v>
      </c>
      <c r="E10339" t="s">
        <v>26085</v>
      </c>
      <c r="F10339" t="s">
        <v>29372</v>
      </c>
      <c r="G10339" t="s">
        <v>29380</v>
      </c>
      <c r="H10339" t="s">
        <v>11048</v>
      </c>
      <c r="I10339" t="s">
        <v>29404</v>
      </c>
      <c r="J10339" t="s">
        <v>32086</v>
      </c>
      <c r="K10339" t="s">
        <v>38490</v>
      </c>
      <c r="M10339" t="s">
        <v>39300</v>
      </c>
      <c r="N10339" t="s">
        <v>42669</v>
      </c>
      <c r="O10339" t="s">
        <v>42670</v>
      </c>
      <c r="P10339">
        <v>0</v>
      </c>
      <c r="Q10339">
        <v>2</v>
      </c>
      <c r="R10339" t="s">
        <v>42683</v>
      </c>
      <c r="S10339" t="s">
        <v>43062</v>
      </c>
      <c r="T10339" t="s">
        <v>44457</v>
      </c>
      <c r="U10339" t="s">
        <v>53231</v>
      </c>
      <c r="W10339" t="s">
        <v>39300</v>
      </c>
      <c r="X10339" t="s">
        <v>42684</v>
      </c>
    </row>
    <row r="10340" spans="1:24">
      <c r="A10340">
        <f>HYPERLINK("https://www.philgeps.gov.ph/GEPSNONPILOT/Tender/SplashBidNoticeAbstractUI.aspx?menuIndex=3&amp;refID=7172308&amp;Result=3","7172308")</f>
        <v>0</v>
      </c>
      <c r="B10340" t="s">
        <v>660</v>
      </c>
      <c r="C10340" t="s">
        <v>13400</v>
      </c>
      <c r="E10340" t="s">
        <v>26086</v>
      </c>
      <c r="F10340" t="s">
        <v>29372</v>
      </c>
      <c r="G10340" t="s">
        <v>29380</v>
      </c>
      <c r="H10340" t="s">
        <v>11048</v>
      </c>
      <c r="I10340" t="s">
        <v>4709</v>
      </c>
      <c r="J10340" t="s">
        <v>36088</v>
      </c>
      <c r="K10340" t="s">
        <v>38490</v>
      </c>
      <c r="M10340" t="s">
        <v>41946</v>
      </c>
      <c r="N10340" t="s">
        <v>42669</v>
      </c>
      <c r="O10340" t="s">
        <v>42670</v>
      </c>
      <c r="P10340">
        <v>0</v>
      </c>
      <c r="Q10340">
        <v>3</v>
      </c>
      <c r="R10340" t="s">
        <v>42683</v>
      </c>
      <c r="S10340" t="s">
        <v>43062</v>
      </c>
      <c r="T10340" t="s">
        <v>44396</v>
      </c>
      <c r="U10340" t="s">
        <v>53232</v>
      </c>
      <c r="W10340" t="s">
        <v>41946</v>
      </c>
      <c r="X10340" t="s">
        <v>42684</v>
      </c>
    </row>
    <row r="10341" spans="1:24">
      <c r="A10341">
        <f>HYPERLINK("https://www.philgeps.gov.ph/GEPSNONPILOT/Tender/SplashBidNoticeAbstractUI.aspx?menuIndex=3&amp;refID=7173910&amp;Result=3","7173910")</f>
        <v>0</v>
      </c>
      <c r="B10341" t="s">
        <v>544</v>
      </c>
      <c r="C10341" t="s">
        <v>13401</v>
      </c>
      <c r="D10341" t="s">
        <v>17194</v>
      </c>
      <c r="E10341" t="s">
        <v>26087</v>
      </c>
      <c r="F10341" t="s">
        <v>29372</v>
      </c>
      <c r="G10341" t="s">
        <v>29383</v>
      </c>
      <c r="H10341" t="s">
        <v>11048</v>
      </c>
      <c r="I10341" t="s">
        <v>4486</v>
      </c>
      <c r="J10341" t="s">
        <v>29557</v>
      </c>
      <c r="K10341" t="s">
        <v>38490</v>
      </c>
      <c r="M10341" t="s">
        <v>39312</v>
      </c>
      <c r="N10341" t="s">
        <v>42669</v>
      </c>
      <c r="O10341" t="s">
        <v>42670</v>
      </c>
      <c r="Q10341">
        <v>0</v>
      </c>
      <c r="R10341" t="s">
        <v>42683</v>
      </c>
      <c r="S10341" t="s">
        <v>43170</v>
      </c>
      <c r="T10341" t="s">
        <v>44373</v>
      </c>
      <c r="U10341" t="s">
        <v>53233</v>
      </c>
      <c r="W10341" t="s">
        <v>39312</v>
      </c>
      <c r="X10341" t="s">
        <v>42684</v>
      </c>
    </row>
    <row r="10342" spans="1:24">
      <c r="A10342">
        <f>HYPERLINK("https://www.philgeps.gov.ph/GEPSNONPILOT/Tender/SplashBidNoticeAbstractUI.aspx?menuIndex=3&amp;refID=7173874&amp;Result=3","7173874")</f>
        <v>0</v>
      </c>
      <c r="B10342" t="s">
        <v>289</v>
      </c>
      <c r="C10342" t="s">
        <v>13402</v>
      </c>
      <c r="E10342" t="s">
        <v>26088</v>
      </c>
      <c r="F10342" t="s">
        <v>29372</v>
      </c>
      <c r="G10342" t="s">
        <v>29380</v>
      </c>
      <c r="H10342" t="s">
        <v>11048</v>
      </c>
      <c r="I10342" t="s">
        <v>4709</v>
      </c>
      <c r="J10342" t="s">
        <v>36089</v>
      </c>
      <c r="K10342" t="s">
        <v>38518</v>
      </c>
      <c r="M10342" t="s">
        <v>39048</v>
      </c>
      <c r="N10342" t="s">
        <v>42669</v>
      </c>
      <c r="O10342" t="s">
        <v>42670</v>
      </c>
      <c r="P10342">
        <v>0</v>
      </c>
      <c r="Q10342">
        <v>2</v>
      </c>
      <c r="R10342" t="s">
        <v>42683</v>
      </c>
      <c r="S10342" t="s">
        <v>43062</v>
      </c>
      <c r="T10342" t="s">
        <v>44548</v>
      </c>
      <c r="U10342" t="s">
        <v>47032</v>
      </c>
      <c r="W10342" t="s">
        <v>39048</v>
      </c>
      <c r="X10342" t="s">
        <v>42684</v>
      </c>
    </row>
    <row r="10343" spans="1:24">
      <c r="A10343">
        <f>HYPERLINK("https://www.philgeps.gov.ph/GEPSNONPILOT/Tender/SplashBidNoticeAbstractUI.aspx?menuIndex=3&amp;refID=7173871&amp;Result=3","7173871")</f>
        <v>0</v>
      </c>
      <c r="B10343" t="s">
        <v>2989</v>
      </c>
      <c r="C10343" t="s">
        <v>13403</v>
      </c>
      <c r="D10343" t="s">
        <v>17168</v>
      </c>
      <c r="E10343" t="s">
        <v>18254</v>
      </c>
      <c r="F10343" t="s">
        <v>29372</v>
      </c>
      <c r="G10343" t="s">
        <v>29380</v>
      </c>
      <c r="H10343" t="s">
        <v>29389</v>
      </c>
      <c r="I10343" t="s">
        <v>29398</v>
      </c>
      <c r="J10343" t="s">
        <v>36090</v>
      </c>
      <c r="K10343" t="s">
        <v>38495</v>
      </c>
      <c r="L10343" t="s">
        <v>2989</v>
      </c>
      <c r="M10343" t="s">
        <v>42007</v>
      </c>
      <c r="N10343" t="s">
        <v>42669</v>
      </c>
      <c r="O10343" t="s">
        <v>42670</v>
      </c>
      <c r="P10343">
        <v>0</v>
      </c>
      <c r="Q10343">
        <v>0</v>
      </c>
      <c r="R10343" t="s">
        <v>42683</v>
      </c>
      <c r="S10343" t="s">
        <v>43062</v>
      </c>
      <c r="T10343" t="s">
        <v>44419</v>
      </c>
      <c r="U10343" t="s">
        <v>53234</v>
      </c>
      <c r="W10343" t="s">
        <v>42007</v>
      </c>
      <c r="X10343" t="s">
        <v>42684</v>
      </c>
    </row>
    <row r="10344" spans="1:24">
      <c r="A10344">
        <f>HYPERLINK("https://www.philgeps.gov.ph/GEPSNONPILOT/Tender/SplashBidNoticeAbstractUI.aspx?menuIndex=3&amp;refID=7173856&amp;Result=3","7173856")</f>
        <v>0</v>
      </c>
      <c r="B10344" t="s">
        <v>2990</v>
      </c>
      <c r="C10344" t="s">
        <v>13404</v>
      </c>
      <c r="D10344" t="s">
        <v>17141</v>
      </c>
      <c r="E10344" t="s">
        <v>26089</v>
      </c>
      <c r="F10344" t="s">
        <v>29372</v>
      </c>
      <c r="G10344" t="s">
        <v>29380</v>
      </c>
      <c r="H10344" t="s">
        <v>29389</v>
      </c>
      <c r="I10344" t="s">
        <v>10408</v>
      </c>
      <c r="J10344" t="s">
        <v>36091</v>
      </c>
      <c r="K10344" t="s">
        <v>38485</v>
      </c>
      <c r="M10344" t="s">
        <v>42008</v>
      </c>
      <c r="N10344" t="s">
        <v>42669</v>
      </c>
      <c r="O10344" t="s">
        <v>42670</v>
      </c>
      <c r="Q10344">
        <v>10</v>
      </c>
      <c r="R10344" t="s">
        <v>42683</v>
      </c>
      <c r="S10344" t="s">
        <v>43171</v>
      </c>
      <c r="T10344" t="s">
        <v>44361</v>
      </c>
      <c r="U10344" t="s">
        <v>53235</v>
      </c>
      <c r="W10344" t="s">
        <v>58106</v>
      </c>
      <c r="X10344" t="s">
        <v>42684</v>
      </c>
    </row>
    <row r="10345" spans="1:24">
      <c r="A10345">
        <f>HYPERLINK("https://www.philgeps.gov.ph/GEPSNONPILOT/Tender/SplashBidNoticeAbstractUI.aspx?menuIndex=3&amp;refID=7172595&amp;Result=3","7172595")</f>
        <v>0</v>
      </c>
      <c r="B10345" t="s">
        <v>49</v>
      </c>
      <c r="C10345" t="s">
        <v>13405</v>
      </c>
      <c r="D10345" t="s">
        <v>17156</v>
      </c>
      <c r="E10345" t="s">
        <v>26090</v>
      </c>
      <c r="F10345" t="s">
        <v>29372</v>
      </c>
      <c r="G10345" t="s">
        <v>29380</v>
      </c>
      <c r="H10345" t="s">
        <v>29389</v>
      </c>
      <c r="I10345" t="s">
        <v>10408</v>
      </c>
      <c r="J10345" t="s">
        <v>36092</v>
      </c>
      <c r="K10345" t="s">
        <v>38714</v>
      </c>
      <c r="M10345" t="s">
        <v>41966</v>
      </c>
      <c r="N10345" t="s">
        <v>42669</v>
      </c>
      <c r="O10345" t="s">
        <v>42670</v>
      </c>
      <c r="Q10345">
        <v>2</v>
      </c>
      <c r="R10345" t="s">
        <v>42683</v>
      </c>
      <c r="S10345" t="s">
        <v>43172</v>
      </c>
      <c r="T10345" t="s">
        <v>44396</v>
      </c>
      <c r="U10345" t="s">
        <v>53236</v>
      </c>
      <c r="W10345" t="s">
        <v>41966</v>
      </c>
      <c r="X10345" t="s">
        <v>42684</v>
      </c>
    </row>
    <row r="10346" spans="1:24">
      <c r="A10346">
        <f>HYPERLINK("https://www.philgeps.gov.ph/GEPSNONPILOT/Tender/SplashBidNoticeAbstractUI.aspx?menuIndex=3&amp;refID=7173843&amp;Result=3","7173843")</f>
        <v>0</v>
      </c>
      <c r="B10346" t="s">
        <v>2988</v>
      </c>
      <c r="C10346" t="s">
        <v>13406</v>
      </c>
      <c r="D10346" t="s">
        <v>17168</v>
      </c>
      <c r="E10346" t="s">
        <v>26091</v>
      </c>
      <c r="F10346" t="s">
        <v>29372</v>
      </c>
      <c r="G10346" t="s">
        <v>29380</v>
      </c>
      <c r="H10346" t="s">
        <v>11048</v>
      </c>
      <c r="I10346" t="s">
        <v>29405</v>
      </c>
      <c r="J10346" t="s">
        <v>36093</v>
      </c>
      <c r="K10346" t="s">
        <v>38488</v>
      </c>
      <c r="L10346" t="s">
        <v>2988</v>
      </c>
      <c r="M10346" t="s">
        <v>42003</v>
      </c>
      <c r="N10346" t="s">
        <v>42669</v>
      </c>
      <c r="O10346" t="s">
        <v>42670</v>
      </c>
      <c r="Q10346">
        <v>5</v>
      </c>
      <c r="R10346" t="s">
        <v>42683</v>
      </c>
      <c r="S10346" t="s">
        <v>43173</v>
      </c>
      <c r="T10346" t="s">
        <v>44368</v>
      </c>
      <c r="U10346" t="s">
        <v>53237</v>
      </c>
      <c r="W10346" t="s">
        <v>42003</v>
      </c>
      <c r="X10346" t="s">
        <v>42684</v>
      </c>
    </row>
    <row r="10347" spans="1:24">
      <c r="A10347">
        <f>HYPERLINK("https://www.philgeps.gov.ph/GEPSNONPILOT/Tender/SplashBidNoticeAbstractUI.aspx?menuIndex=3&amp;refID=7173835&amp;Result=3","7173835")</f>
        <v>0</v>
      </c>
      <c r="B10347" t="s">
        <v>1359</v>
      </c>
      <c r="C10347" t="s">
        <v>13407</v>
      </c>
      <c r="D10347" t="s">
        <v>17172</v>
      </c>
      <c r="E10347" t="s">
        <v>22306</v>
      </c>
      <c r="F10347" t="s">
        <v>29372</v>
      </c>
      <c r="G10347" t="s">
        <v>29380</v>
      </c>
      <c r="H10347" t="s">
        <v>11048</v>
      </c>
      <c r="I10347" t="s">
        <v>9469</v>
      </c>
      <c r="J10347" t="s">
        <v>29724</v>
      </c>
      <c r="K10347" t="s">
        <v>38485</v>
      </c>
      <c r="M10347" t="s">
        <v>40196</v>
      </c>
      <c r="N10347" t="s">
        <v>42669</v>
      </c>
      <c r="O10347" t="s">
        <v>42670</v>
      </c>
      <c r="P10347">
        <v>0</v>
      </c>
      <c r="Q10347">
        <v>4</v>
      </c>
      <c r="R10347" t="s">
        <v>42683</v>
      </c>
      <c r="S10347" t="s">
        <v>43062</v>
      </c>
      <c r="T10347" t="s">
        <v>44357</v>
      </c>
      <c r="U10347" t="s">
        <v>53238</v>
      </c>
      <c r="V10347" t="s">
        <v>57539</v>
      </c>
      <c r="W10347" t="s">
        <v>40196</v>
      </c>
      <c r="X10347" t="s">
        <v>42684</v>
      </c>
    </row>
    <row r="10348" spans="1:24">
      <c r="A10348">
        <f>HYPERLINK("https://www.philgeps.gov.ph/GEPSNONPILOT/Tender/SplashBidNoticeAbstractUI.aspx?menuIndex=3&amp;refID=7173827&amp;Result=3","7173827")</f>
        <v>0</v>
      </c>
      <c r="B10348" t="s">
        <v>2988</v>
      </c>
      <c r="C10348" t="s">
        <v>13408</v>
      </c>
      <c r="D10348" t="s">
        <v>17168</v>
      </c>
      <c r="E10348" t="s">
        <v>21615</v>
      </c>
      <c r="F10348" t="s">
        <v>29372</v>
      </c>
      <c r="G10348" t="s">
        <v>29380</v>
      </c>
      <c r="H10348" t="s">
        <v>29389</v>
      </c>
      <c r="I10348" t="s">
        <v>6417</v>
      </c>
      <c r="J10348" t="s">
        <v>36094</v>
      </c>
      <c r="K10348" t="s">
        <v>38495</v>
      </c>
      <c r="L10348" t="s">
        <v>2988</v>
      </c>
      <c r="M10348" t="s">
        <v>42003</v>
      </c>
      <c r="N10348" t="s">
        <v>42669</v>
      </c>
      <c r="O10348" t="s">
        <v>42670</v>
      </c>
      <c r="Q10348">
        <v>5</v>
      </c>
      <c r="R10348" t="s">
        <v>42683</v>
      </c>
      <c r="S10348" t="s">
        <v>43174</v>
      </c>
      <c r="T10348" t="s">
        <v>44368</v>
      </c>
      <c r="U10348" t="s">
        <v>53239</v>
      </c>
      <c r="W10348" t="s">
        <v>42003</v>
      </c>
      <c r="X10348" t="s">
        <v>42684</v>
      </c>
    </row>
    <row r="10349" spans="1:24">
      <c r="A10349">
        <f>HYPERLINK("https://www.philgeps.gov.ph/GEPSNONPILOT/Tender/SplashBidNoticeAbstractUI.aspx?menuIndex=3&amp;refID=7173888&amp;Result=3","7173888")</f>
        <v>0</v>
      </c>
      <c r="B10349" t="s">
        <v>289</v>
      </c>
      <c r="C10349" t="s">
        <v>13409</v>
      </c>
      <c r="E10349" t="s">
        <v>26092</v>
      </c>
      <c r="F10349" t="s">
        <v>29372</v>
      </c>
      <c r="G10349" t="s">
        <v>29380</v>
      </c>
      <c r="H10349" t="s">
        <v>29389</v>
      </c>
      <c r="I10349" t="s">
        <v>10408</v>
      </c>
      <c r="J10349" t="s">
        <v>36095</v>
      </c>
      <c r="K10349" t="s">
        <v>38490</v>
      </c>
      <c r="M10349" t="s">
        <v>39048</v>
      </c>
      <c r="N10349" t="s">
        <v>42669</v>
      </c>
      <c r="O10349" t="s">
        <v>42670</v>
      </c>
      <c r="P10349">
        <v>0</v>
      </c>
      <c r="Q10349">
        <v>5</v>
      </c>
      <c r="R10349" t="s">
        <v>42683</v>
      </c>
      <c r="S10349" t="s">
        <v>43062</v>
      </c>
      <c r="T10349" t="s">
        <v>44366</v>
      </c>
      <c r="U10349" t="s">
        <v>53240</v>
      </c>
      <c r="W10349" t="s">
        <v>39048</v>
      </c>
      <c r="X10349" t="s">
        <v>42684</v>
      </c>
    </row>
    <row r="10350" spans="1:24">
      <c r="A10350">
        <f>HYPERLINK("https://www.philgeps.gov.ph/GEPSNONPILOT/Tender/SplashBidNoticeAbstractUI.aspx?menuIndex=3&amp;refID=7173973&amp;Result=3","7173973")</f>
        <v>0</v>
      </c>
      <c r="B10350" t="s">
        <v>118</v>
      </c>
      <c r="C10350" t="s">
        <v>13410</v>
      </c>
      <c r="D10350" t="s">
        <v>17141</v>
      </c>
      <c r="E10350" t="s">
        <v>26093</v>
      </c>
      <c r="F10350" t="s">
        <v>29372</v>
      </c>
      <c r="G10350" t="s">
        <v>29380</v>
      </c>
      <c r="H10350" t="s">
        <v>29389</v>
      </c>
      <c r="I10350" t="s">
        <v>10408</v>
      </c>
      <c r="J10350" t="s">
        <v>36096</v>
      </c>
      <c r="K10350" t="s">
        <v>38564</v>
      </c>
      <c r="M10350" t="s">
        <v>42009</v>
      </c>
      <c r="N10350" t="s">
        <v>42669</v>
      </c>
      <c r="O10350" t="s">
        <v>42670</v>
      </c>
      <c r="P10350">
        <v>0</v>
      </c>
      <c r="Q10350">
        <v>58</v>
      </c>
      <c r="R10350" t="s">
        <v>42683</v>
      </c>
      <c r="S10350" t="s">
        <v>43062</v>
      </c>
      <c r="T10350" t="s">
        <v>44490</v>
      </c>
      <c r="U10350" t="s">
        <v>53241</v>
      </c>
      <c r="W10350" t="s">
        <v>42009</v>
      </c>
      <c r="X10350" t="s">
        <v>42684</v>
      </c>
    </row>
    <row r="10351" spans="1:24">
      <c r="A10351">
        <f>HYPERLINK("https://www.philgeps.gov.ph/GEPSNONPILOT/Tender/SplashBidNoticeAbstractUI.aspx?menuIndex=3&amp;refID=7173970&amp;Result=3","7173970")</f>
        <v>0</v>
      </c>
      <c r="B10351" t="s">
        <v>2991</v>
      </c>
      <c r="C10351" t="s">
        <v>13411</v>
      </c>
      <c r="E10351" t="s">
        <v>26094</v>
      </c>
      <c r="F10351" t="s">
        <v>29372</v>
      </c>
      <c r="G10351" t="s">
        <v>29380</v>
      </c>
      <c r="H10351" t="s">
        <v>29389</v>
      </c>
      <c r="I10351" t="s">
        <v>10408</v>
      </c>
      <c r="J10351" t="s">
        <v>36097</v>
      </c>
      <c r="K10351" t="s">
        <v>38490</v>
      </c>
      <c r="M10351" t="s">
        <v>42010</v>
      </c>
      <c r="N10351" t="s">
        <v>42669</v>
      </c>
      <c r="O10351" t="s">
        <v>42670</v>
      </c>
      <c r="Q10351">
        <v>1</v>
      </c>
      <c r="R10351" t="s">
        <v>42683</v>
      </c>
      <c r="S10351" t="s">
        <v>43175</v>
      </c>
      <c r="T10351" t="s">
        <v>44452</v>
      </c>
      <c r="U10351" t="s">
        <v>53242</v>
      </c>
      <c r="W10351" t="s">
        <v>42010</v>
      </c>
      <c r="X10351" t="s">
        <v>42684</v>
      </c>
    </row>
    <row r="10352" spans="1:24">
      <c r="A10352">
        <f>HYPERLINK("https://www.philgeps.gov.ph/GEPSNONPILOT/Tender/SplashBidNoticeAbstractUI.aspx?menuIndex=3&amp;refID=7174005&amp;Result=3","7174005")</f>
        <v>0</v>
      </c>
      <c r="B10352" t="s">
        <v>1771</v>
      </c>
      <c r="C10352" t="s">
        <v>13412</v>
      </c>
      <c r="D10352" t="s">
        <v>17188</v>
      </c>
      <c r="E10352" t="s">
        <v>26095</v>
      </c>
      <c r="F10352" t="s">
        <v>29372</v>
      </c>
      <c r="G10352" t="s">
        <v>29380</v>
      </c>
      <c r="H10352" t="s">
        <v>11048</v>
      </c>
      <c r="I10352" t="s">
        <v>9469</v>
      </c>
      <c r="J10352" t="s">
        <v>30350</v>
      </c>
      <c r="K10352" t="s">
        <v>38490</v>
      </c>
      <c r="M10352" t="s">
        <v>40638</v>
      </c>
      <c r="N10352" t="s">
        <v>42669</v>
      </c>
      <c r="O10352" t="s">
        <v>42670</v>
      </c>
      <c r="P10352">
        <v>0</v>
      </c>
      <c r="Q10352">
        <v>6</v>
      </c>
      <c r="R10352" t="s">
        <v>42683</v>
      </c>
      <c r="S10352" t="s">
        <v>43062</v>
      </c>
      <c r="T10352" t="s">
        <v>44557</v>
      </c>
      <c r="U10352" t="s">
        <v>53243</v>
      </c>
      <c r="W10352" t="s">
        <v>40638</v>
      </c>
      <c r="X10352" t="s">
        <v>42684</v>
      </c>
    </row>
    <row r="10353" spans="1:24">
      <c r="A10353">
        <f>HYPERLINK("https://www.philgeps.gov.ph/GEPSNONPILOT/Tender/SplashBidNoticeAbstractUI.aspx?menuIndex=3&amp;refID=7173852&amp;Result=3","7173852")</f>
        <v>0</v>
      </c>
      <c r="B10353" t="s">
        <v>2047</v>
      </c>
      <c r="C10353" t="s">
        <v>13413</v>
      </c>
      <c r="D10353" t="s">
        <v>17189</v>
      </c>
      <c r="E10353" t="s">
        <v>26096</v>
      </c>
      <c r="F10353" t="s">
        <v>29372</v>
      </c>
      <c r="G10353" t="s">
        <v>29380</v>
      </c>
      <c r="H10353" t="s">
        <v>29389</v>
      </c>
      <c r="I10353" t="s">
        <v>10408</v>
      </c>
      <c r="J10353" t="s">
        <v>30056</v>
      </c>
      <c r="K10353" t="s">
        <v>38495</v>
      </c>
      <c r="M10353" t="s">
        <v>42004</v>
      </c>
      <c r="N10353" t="s">
        <v>42669</v>
      </c>
      <c r="O10353" t="s">
        <v>42670</v>
      </c>
      <c r="Q10353">
        <v>1</v>
      </c>
      <c r="R10353" t="s">
        <v>42683</v>
      </c>
      <c r="S10353" t="s">
        <v>43176</v>
      </c>
      <c r="T10353" t="s">
        <v>44366</v>
      </c>
      <c r="U10353" t="s">
        <v>53244</v>
      </c>
      <c r="W10353" t="s">
        <v>42004</v>
      </c>
      <c r="X10353" t="s">
        <v>42684</v>
      </c>
    </row>
    <row r="10354" spans="1:24">
      <c r="A10354">
        <f>HYPERLINK("https://www.philgeps.gov.ph/GEPSNONPILOT/Tender/SplashBidNoticeAbstractUI.aspx?menuIndex=3&amp;refID=7173913&amp;Result=3","7173913")</f>
        <v>0</v>
      </c>
      <c r="B10354" t="s">
        <v>2973</v>
      </c>
      <c r="C10354" t="s">
        <v>13414</v>
      </c>
      <c r="D10354" t="s">
        <v>17177</v>
      </c>
      <c r="E10354" t="s">
        <v>26097</v>
      </c>
      <c r="F10354" t="s">
        <v>29372</v>
      </c>
      <c r="G10354" t="s">
        <v>29380</v>
      </c>
      <c r="H10354" t="s">
        <v>29389</v>
      </c>
      <c r="I10354" t="s">
        <v>10408</v>
      </c>
      <c r="J10354" t="s">
        <v>29708</v>
      </c>
      <c r="K10354" t="s">
        <v>38488</v>
      </c>
      <c r="M10354" t="s">
        <v>41987</v>
      </c>
      <c r="N10354" t="s">
        <v>42669</v>
      </c>
      <c r="O10354" t="s">
        <v>42670</v>
      </c>
      <c r="P10354">
        <v>0</v>
      </c>
      <c r="Q10354">
        <v>0</v>
      </c>
      <c r="R10354" t="s">
        <v>42683</v>
      </c>
      <c r="S10354" t="s">
        <v>43062</v>
      </c>
      <c r="T10354" t="s">
        <v>44527</v>
      </c>
      <c r="U10354" t="s">
        <v>53245</v>
      </c>
      <c r="W10354" t="s">
        <v>41987</v>
      </c>
      <c r="X10354" t="s">
        <v>42684</v>
      </c>
    </row>
    <row r="10355" spans="1:24">
      <c r="A10355">
        <f>HYPERLINK("https://www.philgeps.gov.ph/GEPSNONPILOT/Tender/SplashBidNoticeAbstractUI.aspx?menuIndex=3&amp;refID=7173831&amp;Result=3","7173831")</f>
        <v>0</v>
      </c>
      <c r="B10355" t="s">
        <v>2992</v>
      </c>
      <c r="C10355" t="s">
        <v>13415</v>
      </c>
      <c r="D10355" t="s">
        <v>17160</v>
      </c>
      <c r="E10355" t="s">
        <v>26098</v>
      </c>
      <c r="F10355" t="s">
        <v>29372</v>
      </c>
      <c r="G10355" t="s">
        <v>29380</v>
      </c>
      <c r="H10355" t="s">
        <v>29389</v>
      </c>
      <c r="I10355" t="s">
        <v>10408</v>
      </c>
      <c r="J10355" t="s">
        <v>36098</v>
      </c>
      <c r="K10355" t="s">
        <v>38513</v>
      </c>
      <c r="M10355" t="s">
        <v>42011</v>
      </c>
      <c r="N10355" t="s">
        <v>42669</v>
      </c>
      <c r="O10355" t="s">
        <v>42670</v>
      </c>
      <c r="P10355">
        <v>0</v>
      </c>
      <c r="Q10355">
        <v>1</v>
      </c>
      <c r="R10355" t="s">
        <v>42683</v>
      </c>
      <c r="S10355" t="s">
        <v>43062</v>
      </c>
      <c r="T10355" t="s">
        <v>44480</v>
      </c>
      <c r="U10355" t="s">
        <v>53246</v>
      </c>
      <c r="W10355" t="s">
        <v>42011</v>
      </c>
      <c r="X10355" t="s">
        <v>42684</v>
      </c>
    </row>
    <row r="10356" spans="1:24">
      <c r="A10356">
        <f>HYPERLINK("https://www.philgeps.gov.ph/GEPSNONPILOT/Tender/SplashBidNoticeAbstractUI.aspx?menuIndex=3&amp;refID=7173975&amp;Result=3","7173975")</f>
        <v>0</v>
      </c>
      <c r="B10356" t="s">
        <v>2991</v>
      </c>
      <c r="C10356" t="s">
        <v>13416</v>
      </c>
      <c r="E10356" t="s">
        <v>26099</v>
      </c>
      <c r="F10356" t="s">
        <v>29372</v>
      </c>
      <c r="G10356" t="s">
        <v>29380</v>
      </c>
      <c r="H10356" t="s">
        <v>29389</v>
      </c>
      <c r="I10356" t="s">
        <v>10408</v>
      </c>
      <c r="J10356" t="s">
        <v>36099</v>
      </c>
      <c r="K10356" t="s">
        <v>38490</v>
      </c>
      <c r="M10356" t="s">
        <v>42010</v>
      </c>
      <c r="N10356" t="s">
        <v>42669</v>
      </c>
      <c r="O10356" t="s">
        <v>42670</v>
      </c>
      <c r="Q10356">
        <v>0</v>
      </c>
      <c r="R10356" t="s">
        <v>42683</v>
      </c>
      <c r="S10356" t="s">
        <v>43177</v>
      </c>
      <c r="T10356" t="s">
        <v>44452</v>
      </c>
      <c r="U10356" t="s">
        <v>53247</v>
      </c>
      <c r="W10356" t="s">
        <v>42010</v>
      </c>
      <c r="X10356" t="s">
        <v>42684</v>
      </c>
    </row>
    <row r="10357" spans="1:24">
      <c r="A10357">
        <f>HYPERLINK("https://www.philgeps.gov.ph/GEPSNONPILOT/Tender/SplashBidNoticeAbstractUI.aspx?menuIndex=3&amp;refID=7173999&amp;Result=3","7173999")</f>
        <v>0</v>
      </c>
      <c r="B10357" t="s">
        <v>118</v>
      </c>
      <c r="C10357" t="s">
        <v>13417</v>
      </c>
      <c r="D10357" t="s">
        <v>17141</v>
      </c>
      <c r="E10357" t="s">
        <v>26100</v>
      </c>
      <c r="F10357" t="s">
        <v>29372</v>
      </c>
      <c r="G10357" t="s">
        <v>29380</v>
      </c>
      <c r="H10357" t="s">
        <v>29389</v>
      </c>
      <c r="I10357" t="s">
        <v>10408</v>
      </c>
      <c r="J10357" t="s">
        <v>36100</v>
      </c>
      <c r="K10357" t="s">
        <v>38564</v>
      </c>
      <c r="M10357" t="s">
        <v>42009</v>
      </c>
      <c r="N10357" t="s">
        <v>42669</v>
      </c>
      <c r="O10357" t="s">
        <v>42670</v>
      </c>
      <c r="P10357">
        <v>0</v>
      </c>
      <c r="Q10357">
        <v>57</v>
      </c>
      <c r="R10357" t="s">
        <v>42683</v>
      </c>
      <c r="S10357" t="s">
        <v>43062</v>
      </c>
      <c r="T10357" t="s">
        <v>44490</v>
      </c>
      <c r="U10357" t="s">
        <v>53248</v>
      </c>
      <c r="W10357" t="s">
        <v>42009</v>
      </c>
      <c r="X10357" t="s">
        <v>42684</v>
      </c>
    </row>
    <row r="10358" spans="1:24">
      <c r="A10358">
        <f>HYPERLINK("https://www.philgeps.gov.ph/GEPSNONPILOT/Tender/SplashBidNoticeAbstractUI.aspx?menuIndex=3&amp;refID=7173921&amp;Result=3","7173921")</f>
        <v>0</v>
      </c>
      <c r="B10358" t="s">
        <v>2973</v>
      </c>
      <c r="C10358" t="s">
        <v>13418</v>
      </c>
      <c r="D10358" t="s">
        <v>17177</v>
      </c>
      <c r="E10358" t="s">
        <v>26101</v>
      </c>
      <c r="F10358" t="s">
        <v>29372</v>
      </c>
      <c r="G10358" t="s">
        <v>29380</v>
      </c>
      <c r="H10358" t="s">
        <v>29389</v>
      </c>
      <c r="I10358" t="s">
        <v>10408</v>
      </c>
      <c r="J10358" t="s">
        <v>30412</v>
      </c>
      <c r="K10358" t="s">
        <v>38485</v>
      </c>
      <c r="M10358" t="s">
        <v>41987</v>
      </c>
      <c r="N10358" t="s">
        <v>42669</v>
      </c>
      <c r="O10358" t="s">
        <v>42670</v>
      </c>
      <c r="P10358">
        <v>0</v>
      </c>
      <c r="Q10358">
        <v>0</v>
      </c>
      <c r="R10358" t="s">
        <v>42683</v>
      </c>
      <c r="S10358" t="s">
        <v>43062</v>
      </c>
      <c r="T10358" t="s">
        <v>44527</v>
      </c>
      <c r="U10358" t="s">
        <v>53249</v>
      </c>
      <c r="W10358" t="s">
        <v>41987</v>
      </c>
      <c r="X10358" t="s">
        <v>42684</v>
      </c>
    </row>
    <row r="10359" spans="1:24">
      <c r="A10359">
        <f>HYPERLINK("https://www.philgeps.gov.ph/GEPSNONPILOT/Tender/SplashBidNoticeAbstractUI.aspx?menuIndex=3&amp;refID=7173965&amp;Result=3","7173965")</f>
        <v>0</v>
      </c>
      <c r="B10359" t="s">
        <v>118</v>
      </c>
      <c r="C10359" t="s">
        <v>13419</v>
      </c>
      <c r="D10359" t="s">
        <v>17141</v>
      </c>
      <c r="E10359" t="s">
        <v>26102</v>
      </c>
      <c r="F10359" t="s">
        <v>29372</v>
      </c>
      <c r="G10359" t="s">
        <v>29380</v>
      </c>
      <c r="H10359" t="s">
        <v>29389</v>
      </c>
      <c r="I10359" t="s">
        <v>10408</v>
      </c>
      <c r="J10359" t="s">
        <v>36101</v>
      </c>
      <c r="K10359" t="s">
        <v>38564</v>
      </c>
      <c r="M10359" t="s">
        <v>42009</v>
      </c>
      <c r="N10359" t="s">
        <v>42669</v>
      </c>
      <c r="O10359" t="s">
        <v>42670</v>
      </c>
      <c r="P10359">
        <v>0</v>
      </c>
      <c r="Q10359">
        <v>58</v>
      </c>
      <c r="R10359" t="s">
        <v>42683</v>
      </c>
      <c r="S10359" t="s">
        <v>43062</v>
      </c>
      <c r="T10359" t="s">
        <v>44490</v>
      </c>
      <c r="U10359" t="s">
        <v>53250</v>
      </c>
      <c r="W10359" t="s">
        <v>42009</v>
      </c>
      <c r="X10359" t="s">
        <v>42684</v>
      </c>
    </row>
    <row r="10360" spans="1:24">
      <c r="A10360">
        <f>HYPERLINK("https://www.philgeps.gov.ph/GEPSNONPILOT/Tender/SplashBidNoticeAbstractUI.aspx?menuIndex=3&amp;refID=7173962&amp;Result=3","7173962")</f>
        <v>0</v>
      </c>
      <c r="B10360" t="s">
        <v>533</v>
      </c>
      <c r="C10360" t="s">
        <v>13420</v>
      </c>
      <c r="E10360" t="s">
        <v>26103</v>
      </c>
      <c r="F10360" t="s">
        <v>29372</v>
      </c>
      <c r="G10360" t="s">
        <v>29380</v>
      </c>
      <c r="H10360" t="s">
        <v>11048</v>
      </c>
      <c r="I10360" t="s">
        <v>29394</v>
      </c>
      <c r="J10360" t="s">
        <v>36102</v>
      </c>
      <c r="K10360" t="s">
        <v>38490</v>
      </c>
      <c r="M10360" t="s">
        <v>39300</v>
      </c>
      <c r="N10360" t="s">
        <v>42669</v>
      </c>
      <c r="O10360" t="s">
        <v>42670</v>
      </c>
      <c r="Q10360">
        <v>0</v>
      </c>
      <c r="R10360" t="s">
        <v>42683</v>
      </c>
      <c r="S10360" t="s">
        <v>43178</v>
      </c>
      <c r="T10360" t="s">
        <v>44457</v>
      </c>
      <c r="U10360" t="s">
        <v>53251</v>
      </c>
      <c r="W10360" t="s">
        <v>39300</v>
      </c>
      <c r="X10360" t="s">
        <v>42684</v>
      </c>
    </row>
    <row r="10361" spans="1:24">
      <c r="A10361">
        <f>HYPERLINK("https://www.philgeps.gov.ph/GEPSNONPILOT/Tender/SplashBidNoticeAbstractUI.aspx?menuIndex=3&amp;refID=7173979&amp;Result=3","7173979")</f>
        <v>0</v>
      </c>
      <c r="B10361" t="s">
        <v>1755</v>
      </c>
      <c r="C10361" t="s">
        <v>13421</v>
      </c>
      <c r="D10361" t="s">
        <v>17158</v>
      </c>
      <c r="E10361" t="s">
        <v>26104</v>
      </c>
      <c r="F10361" t="s">
        <v>29372</v>
      </c>
      <c r="G10361" t="s">
        <v>29380</v>
      </c>
      <c r="H10361" t="s">
        <v>11048</v>
      </c>
      <c r="I10361" t="s">
        <v>3839</v>
      </c>
      <c r="J10361" t="s">
        <v>30679</v>
      </c>
      <c r="K10361" t="s">
        <v>38488</v>
      </c>
      <c r="L10361" t="s">
        <v>1755</v>
      </c>
      <c r="M10361" t="s">
        <v>40620</v>
      </c>
      <c r="N10361" t="s">
        <v>42669</v>
      </c>
      <c r="O10361" t="s">
        <v>42670</v>
      </c>
      <c r="P10361">
        <v>0</v>
      </c>
      <c r="Q10361">
        <v>4</v>
      </c>
      <c r="R10361" t="s">
        <v>42683</v>
      </c>
      <c r="S10361" t="s">
        <v>43062</v>
      </c>
      <c r="T10361" t="s">
        <v>44527</v>
      </c>
      <c r="U10361" t="s">
        <v>53252</v>
      </c>
      <c r="W10361" t="s">
        <v>40620</v>
      </c>
      <c r="X10361" t="s">
        <v>42684</v>
      </c>
    </row>
    <row r="10362" spans="1:24">
      <c r="A10362">
        <f>HYPERLINK("https://www.philgeps.gov.ph/GEPSNONPILOT/Tender/SplashBidNoticeAbstractUI.aspx?menuIndex=3&amp;refID=7173966&amp;Result=3","7173966")</f>
        <v>0</v>
      </c>
      <c r="B10362" t="s">
        <v>2993</v>
      </c>
      <c r="C10362" t="s">
        <v>13422</v>
      </c>
      <c r="E10362" t="s">
        <v>26105</v>
      </c>
      <c r="F10362" t="s">
        <v>29372</v>
      </c>
      <c r="G10362" t="s">
        <v>29380</v>
      </c>
      <c r="H10362" t="s">
        <v>29389</v>
      </c>
      <c r="I10362" t="s">
        <v>10408</v>
      </c>
      <c r="J10362" t="s">
        <v>29708</v>
      </c>
      <c r="K10362" t="s">
        <v>38485</v>
      </c>
      <c r="M10362" t="s">
        <v>42012</v>
      </c>
      <c r="N10362" t="s">
        <v>42669</v>
      </c>
      <c r="O10362" t="s">
        <v>42670</v>
      </c>
      <c r="P10362">
        <v>0</v>
      </c>
      <c r="Q10362">
        <v>0</v>
      </c>
      <c r="R10362" t="s">
        <v>42683</v>
      </c>
      <c r="S10362" t="s">
        <v>43062</v>
      </c>
      <c r="T10362" t="s">
        <v>44356</v>
      </c>
      <c r="U10362" t="s">
        <v>53253</v>
      </c>
      <c r="W10362" t="s">
        <v>42012</v>
      </c>
      <c r="X10362" t="s">
        <v>42684</v>
      </c>
    </row>
    <row r="10363" spans="1:24">
      <c r="A10363">
        <f>HYPERLINK("https://www.philgeps.gov.ph/GEPSNONPILOT/Tender/SplashBidNoticeAbstractUI.aspx?menuIndex=3&amp;refID=7173955&amp;Result=3","7173955")</f>
        <v>0</v>
      </c>
      <c r="B10363" t="s">
        <v>2994</v>
      </c>
      <c r="C10363" t="s">
        <v>13423</v>
      </c>
      <c r="D10363" t="s">
        <v>17212</v>
      </c>
      <c r="E10363" t="s">
        <v>17870</v>
      </c>
      <c r="F10363" t="s">
        <v>29372</v>
      </c>
      <c r="G10363" t="s">
        <v>29380</v>
      </c>
      <c r="H10363" t="s">
        <v>29389</v>
      </c>
      <c r="I10363" t="s">
        <v>10408</v>
      </c>
      <c r="J10363" t="s">
        <v>29555</v>
      </c>
      <c r="K10363" t="s">
        <v>38485</v>
      </c>
      <c r="M10363" t="s">
        <v>42013</v>
      </c>
      <c r="N10363" t="s">
        <v>42669</v>
      </c>
      <c r="O10363" t="s">
        <v>42670</v>
      </c>
      <c r="P10363">
        <v>0</v>
      </c>
      <c r="Q10363">
        <v>0</v>
      </c>
      <c r="R10363" t="s">
        <v>42683</v>
      </c>
      <c r="S10363" t="s">
        <v>43062</v>
      </c>
      <c r="T10363" t="s">
        <v>44356</v>
      </c>
      <c r="U10363" t="s">
        <v>53254</v>
      </c>
      <c r="W10363" t="s">
        <v>42013</v>
      </c>
      <c r="X10363" t="s">
        <v>42684</v>
      </c>
    </row>
    <row r="10364" spans="1:24">
      <c r="A10364">
        <f>HYPERLINK("https://www.philgeps.gov.ph/GEPSNONPILOT/Tender/SplashBidNoticeAbstractUI.aspx?menuIndex=3&amp;refID=7173950&amp;Result=3","7173950")</f>
        <v>0</v>
      </c>
      <c r="B10364" t="s">
        <v>118</v>
      </c>
      <c r="C10364" t="s">
        <v>13424</v>
      </c>
      <c r="D10364" t="s">
        <v>17141</v>
      </c>
      <c r="E10364" t="s">
        <v>26106</v>
      </c>
      <c r="F10364" t="s">
        <v>29372</v>
      </c>
      <c r="G10364" t="s">
        <v>29380</v>
      </c>
      <c r="H10364" t="s">
        <v>29389</v>
      </c>
      <c r="I10364" t="s">
        <v>10408</v>
      </c>
      <c r="J10364" t="s">
        <v>36103</v>
      </c>
      <c r="K10364" t="s">
        <v>38564</v>
      </c>
      <c r="M10364" t="s">
        <v>42009</v>
      </c>
      <c r="N10364" t="s">
        <v>42669</v>
      </c>
      <c r="O10364" t="s">
        <v>42670</v>
      </c>
      <c r="P10364">
        <v>0</v>
      </c>
      <c r="Q10364">
        <v>57</v>
      </c>
      <c r="R10364" t="s">
        <v>42683</v>
      </c>
      <c r="S10364" t="s">
        <v>43062</v>
      </c>
      <c r="T10364" t="s">
        <v>44490</v>
      </c>
      <c r="U10364" t="s">
        <v>53255</v>
      </c>
      <c r="W10364" t="s">
        <v>42009</v>
      </c>
      <c r="X10364" t="s">
        <v>42684</v>
      </c>
    </row>
    <row r="10365" spans="1:24">
      <c r="A10365">
        <f>HYPERLINK("https://www.philgeps.gov.ph/GEPSNONPILOT/Tender/SplashBidNoticeAbstractUI.aspx?menuIndex=3&amp;refID=7173961&amp;Result=3","7173961")</f>
        <v>0</v>
      </c>
      <c r="B10365" t="s">
        <v>118</v>
      </c>
      <c r="C10365" t="s">
        <v>13425</v>
      </c>
      <c r="D10365" t="s">
        <v>17141</v>
      </c>
      <c r="E10365" t="s">
        <v>26107</v>
      </c>
      <c r="F10365" t="s">
        <v>29372</v>
      </c>
      <c r="G10365" t="s">
        <v>29380</v>
      </c>
      <c r="H10365" t="s">
        <v>29389</v>
      </c>
      <c r="I10365" t="s">
        <v>10408</v>
      </c>
      <c r="J10365" t="s">
        <v>36104</v>
      </c>
      <c r="K10365" t="s">
        <v>38522</v>
      </c>
      <c r="M10365" t="s">
        <v>42009</v>
      </c>
      <c r="N10365" t="s">
        <v>42669</v>
      </c>
      <c r="O10365" t="s">
        <v>42670</v>
      </c>
      <c r="P10365">
        <v>0</v>
      </c>
      <c r="Q10365">
        <v>57</v>
      </c>
      <c r="R10365" t="s">
        <v>42683</v>
      </c>
      <c r="S10365" t="s">
        <v>43062</v>
      </c>
      <c r="T10365" t="s">
        <v>44490</v>
      </c>
      <c r="U10365" t="s">
        <v>53256</v>
      </c>
      <c r="W10365" t="s">
        <v>42009</v>
      </c>
      <c r="X10365" t="s">
        <v>42684</v>
      </c>
    </row>
    <row r="10366" spans="1:24">
      <c r="A10366">
        <f>HYPERLINK("https://www.philgeps.gov.ph/GEPSNONPILOT/Tender/SplashBidNoticeAbstractUI.aspx?menuIndex=3&amp;refID=7174085&amp;Result=3","7174085")</f>
        <v>0</v>
      </c>
      <c r="B10366" t="s">
        <v>2995</v>
      </c>
      <c r="C10366" t="s">
        <v>13426</v>
      </c>
      <c r="D10366" t="s">
        <v>17181</v>
      </c>
      <c r="E10366" t="s">
        <v>26108</v>
      </c>
      <c r="F10366" t="s">
        <v>29372</v>
      </c>
      <c r="G10366" t="s">
        <v>29380</v>
      </c>
      <c r="H10366" t="s">
        <v>29389</v>
      </c>
      <c r="I10366" t="s">
        <v>10408</v>
      </c>
      <c r="J10366" t="s">
        <v>30310</v>
      </c>
      <c r="K10366" t="s">
        <v>38522</v>
      </c>
      <c r="M10366" t="s">
        <v>42014</v>
      </c>
      <c r="N10366" t="s">
        <v>42669</v>
      </c>
      <c r="O10366" t="s">
        <v>42670</v>
      </c>
      <c r="P10366">
        <v>0</v>
      </c>
      <c r="Q10366">
        <v>1</v>
      </c>
      <c r="R10366" t="s">
        <v>42683</v>
      </c>
      <c r="S10366" t="s">
        <v>43062</v>
      </c>
      <c r="T10366" t="s">
        <v>44419</v>
      </c>
      <c r="U10366" t="s">
        <v>53257</v>
      </c>
      <c r="W10366" t="s">
        <v>42014</v>
      </c>
      <c r="X10366" t="s">
        <v>42684</v>
      </c>
    </row>
    <row r="10367" spans="1:24">
      <c r="A10367">
        <f>HYPERLINK("https://www.philgeps.gov.ph/GEPSNONPILOT/Tender/SplashBidNoticeAbstractUI.aspx?menuIndex=3&amp;refID=7173957&amp;Result=3","7173957")</f>
        <v>0</v>
      </c>
      <c r="B10367" t="s">
        <v>1764</v>
      </c>
      <c r="C10367" t="s">
        <v>13427</v>
      </c>
      <c r="D10367" t="s">
        <v>17185</v>
      </c>
      <c r="E10367" t="s">
        <v>26109</v>
      </c>
      <c r="F10367" t="s">
        <v>29372</v>
      </c>
      <c r="G10367" t="s">
        <v>29380</v>
      </c>
      <c r="H10367" t="s">
        <v>11048</v>
      </c>
      <c r="I10367" t="s">
        <v>9469</v>
      </c>
      <c r="J10367" t="s">
        <v>35914</v>
      </c>
      <c r="K10367" t="s">
        <v>38522</v>
      </c>
      <c r="M10367" t="s">
        <v>40631</v>
      </c>
      <c r="N10367" t="s">
        <v>42669</v>
      </c>
      <c r="O10367" t="s">
        <v>42670</v>
      </c>
      <c r="Q10367">
        <v>3</v>
      </c>
      <c r="R10367" t="s">
        <v>42683</v>
      </c>
      <c r="S10367" t="s">
        <v>43179</v>
      </c>
      <c r="T10367" t="s">
        <v>44640</v>
      </c>
      <c r="U10367" t="s">
        <v>53258</v>
      </c>
      <c r="W10367" t="s">
        <v>40631</v>
      </c>
      <c r="X10367" t="s">
        <v>42684</v>
      </c>
    </row>
    <row r="10368" spans="1:24">
      <c r="A10368">
        <f>HYPERLINK("https://www.philgeps.gov.ph/GEPSNONPILOT/Tender/SplashBidNoticeAbstractUI.aspx?menuIndex=3&amp;refID=7174068&amp;Result=3","7174068")</f>
        <v>0</v>
      </c>
      <c r="B10368" t="s">
        <v>413</v>
      </c>
      <c r="C10368" t="s">
        <v>13428</v>
      </c>
      <c r="D10368" t="s">
        <v>17141</v>
      </c>
      <c r="E10368" t="s">
        <v>26110</v>
      </c>
      <c r="F10368" t="s">
        <v>29372</v>
      </c>
      <c r="G10368" t="s">
        <v>29380</v>
      </c>
      <c r="H10368" t="s">
        <v>11048</v>
      </c>
      <c r="I10368" t="s">
        <v>8614</v>
      </c>
      <c r="J10368" t="s">
        <v>36105</v>
      </c>
      <c r="K10368" t="s">
        <v>38485</v>
      </c>
      <c r="M10368" t="s">
        <v>39177</v>
      </c>
      <c r="N10368" t="s">
        <v>42669</v>
      </c>
      <c r="O10368" t="s">
        <v>42670</v>
      </c>
      <c r="Q10368">
        <v>6</v>
      </c>
      <c r="R10368" t="s">
        <v>42683</v>
      </c>
      <c r="S10368" t="s">
        <v>43180</v>
      </c>
      <c r="T10368" t="s">
        <v>44664</v>
      </c>
      <c r="U10368" t="s">
        <v>53259</v>
      </c>
      <c r="V10368" t="s">
        <v>57540</v>
      </c>
      <c r="W10368" t="s">
        <v>39177</v>
      </c>
      <c r="X10368" t="s">
        <v>42684</v>
      </c>
    </row>
    <row r="10369" spans="1:24">
      <c r="A10369">
        <f>HYPERLINK("https://www.philgeps.gov.ph/GEPSNONPILOT/Tender/SplashBidNoticeAbstractUI.aspx?menuIndex=3&amp;refID=7173982&amp;Result=3","7173982")</f>
        <v>0</v>
      </c>
      <c r="B10369" t="s">
        <v>533</v>
      </c>
      <c r="C10369" t="s">
        <v>13429</v>
      </c>
      <c r="E10369" t="s">
        <v>26111</v>
      </c>
      <c r="F10369" t="s">
        <v>29372</v>
      </c>
      <c r="G10369" t="s">
        <v>29380</v>
      </c>
      <c r="H10369" t="s">
        <v>11048</v>
      </c>
      <c r="I10369" t="s">
        <v>29428</v>
      </c>
      <c r="J10369" t="s">
        <v>36106</v>
      </c>
      <c r="K10369" t="s">
        <v>38490</v>
      </c>
      <c r="M10369" t="s">
        <v>39300</v>
      </c>
      <c r="N10369" t="s">
        <v>42669</v>
      </c>
      <c r="O10369" t="s">
        <v>42670</v>
      </c>
      <c r="P10369">
        <v>0</v>
      </c>
      <c r="Q10369">
        <v>3</v>
      </c>
      <c r="R10369" t="s">
        <v>42683</v>
      </c>
      <c r="S10369" t="s">
        <v>43062</v>
      </c>
      <c r="T10369" t="s">
        <v>44457</v>
      </c>
      <c r="U10369" t="s">
        <v>53260</v>
      </c>
      <c r="W10369" t="s">
        <v>39300</v>
      </c>
      <c r="X10369" t="s">
        <v>42684</v>
      </c>
    </row>
    <row r="10370" spans="1:24">
      <c r="A10370">
        <f>HYPERLINK("https://www.philgeps.gov.ph/GEPSNONPILOT/Tender/SplashBidNoticeAbstractUI.aspx?menuIndex=3&amp;refID=7174067&amp;Result=3","7174067")</f>
        <v>0</v>
      </c>
      <c r="B10370" t="s">
        <v>1771</v>
      </c>
      <c r="C10370" t="s">
        <v>13430</v>
      </c>
      <c r="D10370" t="s">
        <v>17188</v>
      </c>
      <c r="E10370" t="s">
        <v>26112</v>
      </c>
      <c r="F10370" t="s">
        <v>29372</v>
      </c>
      <c r="G10370" t="s">
        <v>29380</v>
      </c>
      <c r="H10370" t="s">
        <v>11048</v>
      </c>
      <c r="I10370" t="s">
        <v>29407</v>
      </c>
      <c r="J10370" t="s">
        <v>36107</v>
      </c>
      <c r="K10370" t="s">
        <v>38490</v>
      </c>
      <c r="M10370" t="s">
        <v>40638</v>
      </c>
      <c r="N10370" t="s">
        <v>42669</v>
      </c>
      <c r="O10370" t="s">
        <v>42670</v>
      </c>
      <c r="P10370">
        <v>0</v>
      </c>
      <c r="Q10370">
        <v>9</v>
      </c>
      <c r="R10370" t="s">
        <v>42683</v>
      </c>
      <c r="S10370" t="s">
        <v>43062</v>
      </c>
      <c r="T10370" t="s">
        <v>44557</v>
      </c>
      <c r="U10370" t="s">
        <v>53261</v>
      </c>
      <c r="W10370" t="s">
        <v>40638</v>
      </c>
      <c r="X10370" t="s">
        <v>42684</v>
      </c>
    </row>
    <row r="10371" spans="1:24">
      <c r="A10371">
        <f>HYPERLINK("https://www.philgeps.gov.ph/GEPSNONPILOT/Tender/SplashBidNoticeAbstractUI.aspx?menuIndex=3&amp;refID=7174073&amp;Result=3","7174073")</f>
        <v>0</v>
      </c>
      <c r="B10371" t="s">
        <v>187</v>
      </c>
      <c r="C10371" t="s">
        <v>13431</v>
      </c>
      <c r="D10371" t="s">
        <v>17141</v>
      </c>
      <c r="E10371" t="s">
        <v>26113</v>
      </c>
      <c r="F10371" t="s">
        <v>29372</v>
      </c>
      <c r="G10371" t="s">
        <v>29380</v>
      </c>
      <c r="H10371" t="s">
        <v>11048</v>
      </c>
      <c r="I10371" t="s">
        <v>4486</v>
      </c>
      <c r="J10371" t="s">
        <v>36108</v>
      </c>
      <c r="K10371" t="s">
        <v>38485</v>
      </c>
      <c r="M10371" t="s">
        <v>38944</v>
      </c>
      <c r="N10371" t="s">
        <v>42669</v>
      </c>
      <c r="O10371" t="s">
        <v>42670</v>
      </c>
      <c r="P10371">
        <v>0</v>
      </c>
      <c r="Q10371">
        <v>11</v>
      </c>
      <c r="R10371" t="s">
        <v>42683</v>
      </c>
      <c r="S10371" t="s">
        <v>43062</v>
      </c>
      <c r="T10371" t="s">
        <v>44357</v>
      </c>
      <c r="U10371" t="s">
        <v>53262</v>
      </c>
      <c r="W10371" t="s">
        <v>38944</v>
      </c>
      <c r="X10371" t="s">
        <v>42684</v>
      </c>
    </row>
    <row r="10372" spans="1:24">
      <c r="A10372">
        <f>HYPERLINK("https://www.philgeps.gov.ph/GEPSNONPILOT/Tender/SplashBidNoticeAbstractUI.aspx?menuIndex=3&amp;refID=7174054&amp;Result=3","7174054")</f>
        <v>0</v>
      </c>
      <c r="B10372" t="s">
        <v>118</v>
      </c>
      <c r="C10372" t="s">
        <v>13432</v>
      </c>
      <c r="D10372" t="s">
        <v>17141</v>
      </c>
      <c r="E10372" t="s">
        <v>26114</v>
      </c>
      <c r="F10372" t="s">
        <v>29372</v>
      </c>
      <c r="G10372" t="s">
        <v>29380</v>
      </c>
      <c r="H10372" t="s">
        <v>29389</v>
      </c>
      <c r="I10372" t="s">
        <v>10408</v>
      </c>
      <c r="J10372" t="s">
        <v>36109</v>
      </c>
      <c r="K10372" t="s">
        <v>38495</v>
      </c>
      <c r="M10372" t="s">
        <v>42009</v>
      </c>
      <c r="N10372" t="s">
        <v>42669</v>
      </c>
      <c r="O10372" t="s">
        <v>42670</v>
      </c>
      <c r="P10372">
        <v>0</v>
      </c>
      <c r="Q10372">
        <v>57</v>
      </c>
      <c r="R10372" t="s">
        <v>42683</v>
      </c>
      <c r="S10372" t="s">
        <v>43062</v>
      </c>
      <c r="T10372" t="s">
        <v>44490</v>
      </c>
      <c r="U10372" t="s">
        <v>53263</v>
      </c>
      <c r="W10372" t="s">
        <v>42009</v>
      </c>
      <c r="X10372" t="s">
        <v>42684</v>
      </c>
    </row>
    <row r="10373" spans="1:24">
      <c r="A10373">
        <f>HYPERLINK("https://www.philgeps.gov.ph/GEPSNONPILOT/Tender/SplashBidNoticeAbstractUI.aspx?menuIndex=3&amp;refID=7174046&amp;Result=3","7174046")</f>
        <v>0</v>
      </c>
      <c r="B10373" t="s">
        <v>2996</v>
      </c>
      <c r="C10373" t="s">
        <v>13433</v>
      </c>
      <c r="D10373" t="s">
        <v>17216</v>
      </c>
      <c r="E10373" t="s">
        <v>26115</v>
      </c>
      <c r="F10373" t="s">
        <v>29372</v>
      </c>
      <c r="G10373" t="s">
        <v>29380</v>
      </c>
      <c r="H10373" t="s">
        <v>29389</v>
      </c>
      <c r="I10373" t="s">
        <v>29398</v>
      </c>
      <c r="J10373" t="s">
        <v>36110</v>
      </c>
      <c r="K10373" t="s">
        <v>38523</v>
      </c>
      <c r="M10373" t="s">
        <v>42015</v>
      </c>
      <c r="N10373" t="s">
        <v>42669</v>
      </c>
      <c r="O10373" t="s">
        <v>42670</v>
      </c>
      <c r="P10373">
        <v>0</v>
      </c>
      <c r="Q10373">
        <v>1</v>
      </c>
      <c r="R10373" t="s">
        <v>42683</v>
      </c>
      <c r="S10373" t="s">
        <v>43062</v>
      </c>
      <c r="T10373" t="s">
        <v>44488</v>
      </c>
      <c r="U10373" t="s">
        <v>53264</v>
      </c>
      <c r="W10373" t="s">
        <v>42015</v>
      </c>
      <c r="X10373" t="s">
        <v>42684</v>
      </c>
    </row>
    <row r="10374" spans="1:24">
      <c r="A10374">
        <f>HYPERLINK("https://www.philgeps.gov.ph/GEPSNONPILOT/Tender/SplashBidNoticeAbstractUI.aspx?menuIndex=3&amp;refID=7173988&amp;Result=3","7173988")</f>
        <v>0</v>
      </c>
      <c r="B10374" t="s">
        <v>118</v>
      </c>
      <c r="C10374" t="s">
        <v>13434</v>
      </c>
      <c r="D10374" t="s">
        <v>17141</v>
      </c>
      <c r="E10374" t="s">
        <v>26116</v>
      </c>
      <c r="F10374" t="s">
        <v>29372</v>
      </c>
      <c r="G10374" t="s">
        <v>29380</v>
      </c>
      <c r="H10374" t="s">
        <v>29389</v>
      </c>
      <c r="I10374" t="s">
        <v>10408</v>
      </c>
      <c r="J10374" t="s">
        <v>36111</v>
      </c>
      <c r="K10374" t="s">
        <v>38533</v>
      </c>
      <c r="M10374" t="s">
        <v>42009</v>
      </c>
      <c r="N10374" t="s">
        <v>42669</v>
      </c>
      <c r="O10374" t="s">
        <v>42670</v>
      </c>
      <c r="P10374">
        <v>0</v>
      </c>
      <c r="Q10374">
        <v>57</v>
      </c>
      <c r="R10374" t="s">
        <v>42683</v>
      </c>
      <c r="S10374" t="s">
        <v>43062</v>
      </c>
      <c r="T10374" t="s">
        <v>44490</v>
      </c>
      <c r="U10374" t="s">
        <v>53265</v>
      </c>
      <c r="W10374" t="s">
        <v>42009</v>
      </c>
      <c r="X10374" t="s">
        <v>42684</v>
      </c>
    </row>
    <row r="10375" spans="1:24">
      <c r="A10375">
        <f>HYPERLINK("https://www.philgeps.gov.ph/GEPSNONPILOT/Tender/SplashBidNoticeAbstractUI.aspx?menuIndex=3&amp;refID=7174043&amp;Result=3","7174043")</f>
        <v>0</v>
      </c>
      <c r="B10375" t="s">
        <v>118</v>
      </c>
      <c r="C10375" t="s">
        <v>13435</v>
      </c>
      <c r="D10375" t="s">
        <v>17141</v>
      </c>
      <c r="E10375" t="s">
        <v>26117</v>
      </c>
      <c r="F10375" t="s">
        <v>29372</v>
      </c>
      <c r="G10375" t="s">
        <v>29380</v>
      </c>
      <c r="H10375" t="s">
        <v>29389</v>
      </c>
      <c r="I10375" t="s">
        <v>10408</v>
      </c>
      <c r="J10375" t="s">
        <v>36112</v>
      </c>
      <c r="K10375" t="s">
        <v>38522</v>
      </c>
      <c r="M10375" t="s">
        <v>42009</v>
      </c>
      <c r="N10375" t="s">
        <v>42669</v>
      </c>
      <c r="O10375" t="s">
        <v>42670</v>
      </c>
      <c r="Q10375">
        <v>57</v>
      </c>
      <c r="R10375" t="s">
        <v>42683</v>
      </c>
      <c r="S10375" t="s">
        <v>43181</v>
      </c>
      <c r="T10375" t="s">
        <v>44490</v>
      </c>
      <c r="U10375" t="s">
        <v>53266</v>
      </c>
      <c r="W10375" t="s">
        <v>42009</v>
      </c>
      <c r="X10375" t="s">
        <v>42684</v>
      </c>
    </row>
    <row r="10376" spans="1:24">
      <c r="A10376">
        <f>HYPERLINK("https://www.philgeps.gov.ph/GEPSNONPILOT/Tender/SplashBidNoticeAbstractUI.aspx?menuIndex=3&amp;refID=7174078&amp;Result=3","7174078")</f>
        <v>0</v>
      </c>
      <c r="B10376" t="s">
        <v>2997</v>
      </c>
      <c r="C10376" t="s">
        <v>13436</v>
      </c>
      <c r="D10376" t="s">
        <v>17196</v>
      </c>
      <c r="E10376" t="s">
        <v>26118</v>
      </c>
      <c r="F10376" t="s">
        <v>29372</v>
      </c>
      <c r="G10376" t="s">
        <v>29380</v>
      </c>
      <c r="H10376" t="s">
        <v>29389</v>
      </c>
      <c r="I10376" t="s">
        <v>10408</v>
      </c>
      <c r="J10376" t="s">
        <v>36113</v>
      </c>
      <c r="K10376" t="s">
        <v>38494</v>
      </c>
      <c r="M10376" t="s">
        <v>42016</v>
      </c>
      <c r="N10376" t="s">
        <v>42669</v>
      </c>
      <c r="O10376" t="s">
        <v>42670</v>
      </c>
      <c r="P10376">
        <v>0</v>
      </c>
      <c r="Q10376">
        <v>2</v>
      </c>
      <c r="R10376" t="s">
        <v>42683</v>
      </c>
      <c r="S10376" t="s">
        <v>43062</v>
      </c>
      <c r="T10376" t="s">
        <v>44412</v>
      </c>
      <c r="U10376" t="s">
        <v>53267</v>
      </c>
      <c r="W10376" t="s">
        <v>42016</v>
      </c>
      <c r="X10376" t="s">
        <v>42684</v>
      </c>
    </row>
    <row r="10377" spans="1:24">
      <c r="A10377">
        <f>HYPERLINK("https://www.philgeps.gov.ph/GEPSNONPILOT/Tender/SplashBidNoticeAbstractUI.aspx?menuIndex=3&amp;refID=7174042&amp;Result=3","7174042")</f>
        <v>0</v>
      </c>
      <c r="B10377" t="s">
        <v>1771</v>
      </c>
      <c r="C10377" t="s">
        <v>13437</v>
      </c>
      <c r="D10377" t="s">
        <v>17188</v>
      </c>
      <c r="E10377" t="s">
        <v>26119</v>
      </c>
      <c r="F10377" t="s">
        <v>29372</v>
      </c>
      <c r="G10377" t="s">
        <v>29380</v>
      </c>
      <c r="H10377" t="s">
        <v>11048</v>
      </c>
      <c r="I10377" t="s">
        <v>4709</v>
      </c>
      <c r="J10377" t="s">
        <v>29619</v>
      </c>
      <c r="K10377" t="s">
        <v>38490</v>
      </c>
      <c r="M10377" t="s">
        <v>40638</v>
      </c>
      <c r="N10377" t="s">
        <v>42669</v>
      </c>
      <c r="O10377" t="s">
        <v>42670</v>
      </c>
      <c r="P10377">
        <v>0</v>
      </c>
      <c r="Q10377">
        <v>1</v>
      </c>
      <c r="R10377" t="s">
        <v>42683</v>
      </c>
      <c r="S10377" t="s">
        <v>43062</v>
      </c>
      <c r="T10377" t="s">
        <v>44479</v>
      </c>
      <c r="U10377" t="s">
        <v>53268</v>
      </c>
      <c r="W10377" t="s">
        <v>40638</v>
      </c>
      <c r="X10377" t="s">
        <v>42684</v>
      </c>
    </row>
    <row r="10378" spans="1:24">
      <c r="A10378">
        <f>HYPERLINK("https://www.philgeps.gov.ph/GEPSNONPILOT/Tender/SplashBidNoticeAbstractUI.aspx?menuIndex=3&amp;refID=7174061&amp;Result=3","7174061")</f>
        <v>0</v>
      </c>
      <c r="B10378" t="s">
        <v>413</v>
      </c>
      <c r="C10378" t="s">
        <v>13438</v>
      </c>
      <c r="D10378" t="s">
        <v>17214</v>
      </c>
      <c r="E10378" t="s">
        <v>26120</v>
      </c>
      <c r="F10378" t="s">
        <v>29372</v>
      </c>
      <c r="G10378" t="s">
        <v>29380</v>
      </c>
      <c r="H10378" t="s">
        <v>11048</v>
      </c>
      <c r="I10378" t="s">
        <v>29425</v>
      </c>
      <c r="J10378" t="s">
        <v>36114</v>
      </c>
      <c r="K10378" t="s">
        <v>38496</v>
      </c>
      <c r="M10378" t="s">
        <v>39177</v>
      </c>
      <c r="N10378" t="s">
        <v>42669</v>
      </c>
      <c r="O10378" t="s">
        <v>42670</v>
      </c>
      <c r="Q10378">
        <v>8</v>
      </c>
      <c r="R10378" t="s">
        <v>42683</v>
      </c>
      <c r="S10378" t="s">
        <v>43182</v>
      </c>
      <c r="T10378" t="s">
        <v>44664</v>
      </c>
      <c r="U10378" t="s">
        <v>53259</v>
      </c>
      <c r="V10378" t="s">
        <v>56550</v>
      </c>
      <c r="W10378" t="s">
        <v>39177</v>
      </c>
      <c r="X10378" t="s">
        <v>42684</v>
      </c>
    </row>
    <row r="10379" spans="1:24">
      <c r="A10379">
        <f>HYPERLINK("https://www.philgeps.gov.ph/GEPSNONPILOT/Tender/SplashBidNoticeAbstractUI.aspx?menuIndex=3&amp;refID=7174050&amp;Result=3","7174050")</f>
        <v>0</v>
      </c>
      <c r="B10379" t="s">
        <v>187</v>
      </c>
      <c r="C10379" t="s">
        <v>13439</v>
      </c>
      <c r="D10379" t="s">
        <v>17151</v>
      </c>
      <c r="E10379" t="s">
        <v>26121</v>
      </c>
      <c r="F10379" t="s">
        <v>29372</v>
      </c>
      <c r="G10379" t="s">
        <v>29380</v>
      </c>
      <c r="H10379" t="s">
        <v>11048</v>
      </c>
      <c r="I10379" t="s">
        <v>29433</v>
      </c>
      <c r="J10379" t="s">
        <v>36115</v>
      </c>
      <c r="K10379" t="s">
        <v>38495</v>
      </c>
      <c r="M10379" t="s">
        <v>38944</v>
      </c>
      <c r="N10379" t="s">
        <v>42669</v>
      </c>
      <c r="O10379" t="s">
        <v>42670</v>
      </c>
      <c r="P10379">
        <v>0</v>
      </c>
      <c r="Q10379">
        <v>11</v>
      </c>
      <c r="R10379" t="s">
        <v>42683</v>
      </c>
      <c r="S10379" t="s">
        <v>43062</v>
      </c>
      <c r="T10379" t="s">
        <v>44373</v>
      </c>
      <c r="U10379" t="s">
        <v>53269</v>
      </c>
      <c r="W10379" t="s">
        <v>38944</v>
      </c>
      <c r="X10379" t="s">
        <v>42684</v>
      </c>
    </row>
    <row r="10380" spans="1:24">
      <c r="A10380">
        <f>HYPERLINK("https://www.philgeps.gov.ph/GEPSNONPILOT/Tender/SplashBidNoticeAbstractUI.aspx?menuIndex=3&amp;refID=7113722&amp;Result=3","7113722")</f>
        <v>0</v>
      </c>
      <c r="B10380" t="s">
        <v>2998</v>
      </c>
      <c r="C10380" t="s">
        <v>13440</v>
      </c>
      <c r="E10380" t="s">
        <v>26122</v>
      </c>
      <c r="F10380" t="s">
        <v>29372</v>
      </c>
      <c r="G10380" t="s">
        <v>29380</v>
      </c>
      <c r="H10380" t="s">
        <v>11048</v>
      </c>
      <c r="I10380" t="s">
        <v>29414</v>
      </c>
      <c r="J10380" t="s">
        <v>29609</v>
      </c>
      <c r="K10380" t="s">
        <v>38496</v>
      </c>
      <c r="M10380" t="s">
        <v>42017</v>
      </c>
      <c r="N10380" t="s">
        <v>42669</v>
      </c>
      <c r="O10380" t="s">
        <v>42670</v>
      </c>
      <c r="P10380">
        <v>0</v>
      </c>
      <c r="Q10380">
        <v>16</v>
      </c>
      <c r="R10380" t="s">
        <v>42684</v>
      </c>
      <c r="S10380" t="s">
        <v>43183</v>
      </c>
      <c r="T10380" t="s">
        <v>44517</v>
      </c>
      <c r="U10380" t="s">
        <v>53270</v>
      </c>
      <c r="V10380" t="s">
        <v>57541</v>
      </c>
      <c r="W10380" t="s">
        <v>42017</v>
      </c>
      <c r="X10380" t="s">
        <v>42715</v>
      </c>
    </row>
    <row r="10381" spans="1:24">
      <c r="A10381">
        <f>HYPERLINK("https://www.philgeps.gov.ph/GEPSNONPILOT/Tender/SplashBidNoticeAbstractUI.aspx?menuIndex=3&amp;refID=7173887&amp;Result=3","7173887")</f>
        <v>0</v>
      </c>
      <c r="B10381" t="s">
        <v>544</v>
      </c>
      <c r="C10381" t="s">
        <v>13441</v>
      </c>
      <c r="D10381" t="s">
        <v>17194</v>
      </c>
      <c r="E10381" t="s">
        <v>26123</v>
      </c>
      <c r="F10381" t="s">
        <v>29372</v>
      </c>
      <c r="G10381" t="s">
        <v>29383</v>
      </c>
      <c r="H10381" t="s">
        <v>11048</v>
      </c>
      <c r="I10381" t="s">
        <v>5383</v>
      </c>
      <c r="J10381" t="s">
        <v>31164</v>
      </c>
      <c r="K10381" t="s">
        <v>38490</v>
      </c>
      <c r="M10381" t="s">
        <v>39312</v>
      </c>
      <c r="N10381" t="s">
        <v>42669</v>
      </c>
      <c r="O10381" t="s">
        <v>42670</v>
      </c>
      <c r="Q10381">
        <v>0</v>
      </c>
      <c r="R10381" t="s">
        <v>42683</v>
      </c>
      <c r="S10381" t="s">
        <v>43184</v>
      </c>
      <c r="T10381" t="s">
        <v>44373</v>
      </c>
      <c r="U10381" t="s">
        <v>53271</v>
      </c>
      <c r="W10381" t="s">
        <v>39312</v>
      </c>
      <c r="X10381" t="s">
        <v>42684</v>
      </c>
    </row>
    <row r="10382" spans="1:24">
      <c r="A10382">
        <f>HYPERLINK("https://www.philgeps.gov.ph/GEPSNONPILOT/Tender/SplashBidNoticeAbstractUI.aspx?menuIndex=3&amp;refID=7074343&amp;Result=3","7074343")</f>
        <v>0</v>
      </c>
      <c r="B10382" t="s">
        <v>2999</v>
      </c>
      <c r="C10382" t="s">
        <v>13442</v>
      </c>
      <c r="D10382" t="s">
        <v>17195</v>
      </c>
      <c r="E10382" t="s">
        <v>26124</v>
      </c>
      <c r="F10382" t="s">
        <v>29372</v>
      </c>
      <c r="G10382" t="s">
        <v>29380</v>
      </c>
      <c r="H10382" t="s">
        <v>29389</v>
      </c>
      <c r="I10382" t="s">
        <v>10408</v>
      </c>
      <c r="J10382" t="s">
        <v>29724</v>
      </c>
      <c r="K10382" t="s">
        <v>38715</v>
      </c>
      <c r="M10382" t="s">
        <v>42018</v>
      </c>
      <c r="N10382" t="s">
        <v>42669</v>
      </c>
      <c r="O10382" t="s">
        <v>42670</v>
      </c>
      <c r="Q10382">
        <v>70</v>
      </c>
      <c r="R10382" t="s">
        <v>42684</v>
      </c>
      <c r="S10382" t="s">
        <v>43156</v>
      </c>
      <c r="T10382" t="s">
        <v>44430</v>
      </c>
      <c r="U10382" t="s">
        <v>53272</v>
      </c>
      <c r="W10382" t="s">
        <v>42018</v>
      </c>
      <c r="X10382" t="s">
        <v>42722</v>
      </c>
    </row>
    <row r="10383" spans="1:24">
      <c r="A10383">
        <f>HYPERLINK("https://www.philgeps.gov.ph/GEPSNONPILOT/Tender/SplashBidNoticeAbstractUI.aspx?menuIndex=3&amp;refID=3202645&amp;Result=3","3202645")</f>
        <v>0</v>
      </c>
      <c r="B10383" t="s">
        <v>3000</v>
      </c>
      <c r="C10383" t="s">
        <v>13443</v>
      </c>
      <c r="D10383" t="s">
        <v>17199</v>
      </c>
      <c r="E10383" t="s">
        <v>26125</v>
      </c>
      <c r="F10383" t="s">
        <v>29372</v>
      </c>
      <c r="G10383" t="s">
        <v>29380</v>
      </c>
      <c r="H10383" t="s">
        <v>29389</v>
      </c>
      <c r="I10383" t="s">
        <v>10408</v>
      </c>
      <c r="J10383" t="s">
        <v>30088</v>
      </c>
      <c r="K10383" t="s">
        <v>38530</v>
      </c>
      <c r="M10383" t="s">
        <v>42019</v>
      </c>
      <c r="N10383" t="s">
        <v>42669</v>
      </c>
      <c r="O10383" t="s">
        <v>42670</v>
      </c>
      <c r="P10383">
        <v>0</v>
      </c>
      <c r="Q10383">
        <v>0</v>
      </c>
      <c r="R10383" t="s">
        <v>42684</v>
      </c>
      <c r="S10383" t="s">
        <v>43183</v>
      </c>
      <c r="T10383" t="s">
        <v>44398</v>
      </c>
      <c r="U10383" t="s">
        <v>53273</v>
      </c>
      <c r="W10383" t="s">
        <v>42019</v>
      </c>
      <c r="X10383" t="s">
        <v>58147</v>
      </c>
    </row>
    <row r="10384" spans="1:24">
      <c r="A10384">
        <f>HYPERLINK("https://www.philgeps.gov.ph/GEPSNONPILOT/Tender/SplashBidNoticeAbstractUI.aspx?menuIndex=3&amp;refID=7074305&amp;Result=3","7074305")</f>
        <v>0</v>
      </c>
      <c r="B10384" t="s">
        <v>2999</v>
      </c>
      <c r="C10384" t="s">
        <v>13444</v>
      </c>
      <c r="D10384" t="s">
        <v>17195</v>
      </c>
      <c r="E10384" t="s">
        <v>26126</v>
      </c>
      <c r="F10384" t="s">
        <v>29372</v>
      </c>
      <c r="G10384" t="s">
        <v>29380</v>
      </c>
      <c r="H10384" t="s">
        <v>29389</v>
      </c>
      <c r="I10384" t="s">
        <v>10408</v>
      </c>
      <c r="J10384" t="s">
        <v>29724</v>
      </c>
      <c r="K10384" t="s">
        <v>38715</v>
      </c>
      <c r="M10384" t="s">
        <v>42018</v>
      </c>
      <c r="N10384" t="s">
        <v>42669</v>
      </c>
      <c r="O10384" t="s">
        <v>42670</v>
      </c>
      <c r="Q10384">
        <v>71</v>
      </c>
      <c r="R10384" t="s">
        <v>42684</v>
      </c>
      <c r="S10384" t="s">
        <v>43185</v>
      </c>
      <c r="T10384" t="s">
        <v>44430</v>
      </c>
      <c r="U10384" t="s">
        <v>53274</v>
      </c>
      <c r="W10384" t="s">
        <v>42018</v>
      </c>
      <c r="X10384" t="s">
        <v>42722</v>
      </c>
    </row>
    <row r="10385" spans="1:24">
      <c r="A10385">
        <f>HYPERLINK("https://www.philgeps.gov.ph/GEPSNONPILOT/Tender/SplashBidNoticeAbstractUI.aspx?menuIndex=3&amp;refID=7174040&amp;Result=3","7174040")</f>
        <v>0</v>
      </c>
      <c r="B10385" t="s">
        <v>3001</v>
      </c>
      <c r="C10385" t="s">
        <v>13445</v>
      </c>
      <c r="D10385" t="s">
        <v>17163</v>
      </c>
      <c r="E10385" t="s">
        <v>26127</v>
      </c>
      <c r="F10385" t="s">
        <v>29372</v>
      </c>
      <c r="G10385" t="s">
        <v>29380</v>
      </c>
      <c r="H10385" t="s">
        <v>29389</v>
      </c>
      <c r="I10385" t="s">
        <v>10408</v>
      </c>
      <c r="J10385" t="s">
        <v>29540</v>
      </c>
      <c r="K10385" t="s">
        <v>38673</v>
      </c>
      <c r="M10385" t="s">
        <v>42020</v>
      </c>
      <c r="N10385" t="s">
        <v>42669</v>
      </c>
      <c r="O10385" t="s">
        <v>42670</v>
      </c>
      <c r="Q10385">
        <v>20</v>
      </c>
      <c r="R10385" t="s">
        <v>42683</v>
      </c>
      <c r="S10385" t="s">
        <v>43186</v>
      </c>
      <c r="T10385" t="s">
        <v>44355</v>
      </c>
      <c r="U10385" t="s">
        <v>53275</v>
      </c>
      <c r="V10385" t="s">
        <v>57542</v>
      </c>
      <c r="W10385" t="s">
        <v>42020</v>
      </c>
      <c r="X10385" t="s">
        <v>42684</v>
      </c>
    </row>
    <row r="10386" spans="1:24">
      <c r="A10386">
        <f>HYPERLINK("https://www.philgeps.gov.ph/GEPSNONPILOT/Tender/SplashBidNoticeAbstractUI.aspx?menuIndex=3&amp;refID=7174179&amp;Result=3","7174179")</f>
        <v>0</v>
      </c>
      <c r="B10386" t="s">
        <v>40</v>
      </c>
      <c r="C10386" t="s">
        <v>13446</v>
      </c>
      <c r="D10386" t="s">
        <v>17151</v>
      </c>
      <c r="E10386" t="s">
        <v>26128</v>
      </c>
      <c r="F10386" t="s">
        <v>29372</v>
      </c>
      <c r="G10386" t="s">
        <v>29380</v>
      </c>
      <c r="H10386" t="s">
        <v>11048</v>
      </c>
      <c r="I10386" t="s">
        <v>29397</v>
      </c>
      <c r="J10386" t="s">
        <v>36116</v>
      </c>
      <c r="K10386" t="s">
        <v>38488</v>
      </c>
      <c r="M10386" t="s">
        <v>38793</v>
      </c>
      <c r="N10386" t="s">
        <v>42669</v>
      </c>
      <c r="O10386" t="s">
        <v>42670</v>
      </c>
      <c r="Q10386">
        <v>1</v>
      </c>
      <c r="R10386" t="s">
        <v>42683</v>
      </c>
      <c r="S10386" t="s">
        <v>43187</v>
      </c>
      <c r="T10386" t="s">
        <v>44366</v>
      </c>
      <c r="U10386" t="s">
        <v>53276</v>
      </c>
      <c r="V10386" t="s">
        <v>56517</v>
      </c>
      <c r="W10386" t="s">
        <v>38793</v>
      </c>
      <c r="X10386" t="s">
        <v>42684</v>
      </c>
    </row>
    <row r="10387" spans="1:24">
      <c r="A10387">
        <f>HYPERLINK("https://www.philgeps.gov.ph/GEPSNONPILOT/Tender/SplashBidNoticeAbstractUI.aspx?menuIndex=3&amp;refID=7174144&amp;Result=3","7174144")</f>
        <v>0</v>
      </c>
      <c r="B10387" t="s">
        <v>635</v>
      </c>
      <c r="C10387" t="s">
        <v>13447</v>
      </c>
      <c r="D10387" t="s">
        <v>17141</v>
      </c>
      <c r="E10387" t="s">
        <v>26129</v>
      </c>
      <c r="F10387" t="s">
        <v>29372</v>
      </c>
      <c r="G10387" t="s">
        <v>29380</v>
      </c>
      <c r="H10387" t="s">
        <v>11048</v>
      </c>
      <c r="I10387" t="s">
        <v>29409</v>
      </c>
      <c r="J10387" t="s">
        <v>36117</v>
      </c>
      <c r="K10387" t="s">
        <v>38488</v>
      </c>
      <c r="M10387" t="s">
        <v>39408</v>
      </c>
      <c r="N10387" t="s">
        <v>42669</v>
      </c>
      <c r="O10387" t="s">
        <v>42670</v>
      </c>
      <c r="Q10387">
        <v>24</v>
      </c>
      <c r="R10387" t="s">
        <v>42683</v>
      </c>
      <c r="S10387" t="s">
        <v>43188</v>
      </c>
      <c r="T10387" t="s">
        <v>44783</v>
      </c>
      <c r="U10387" t="s">
        <v>53277</v>
      </c>
      <c r="V10387" t="s">
        <v>57543</v>
      </c>
      <c r="W10387" t="s">
        <v>39408</v>
      </c>
      <c r="X10387" t="s">
        <v>42684</v>
      </c>
    </row>
    <row r="10388" spans="1:24">
      <c r="A10388">
        <f>HYPERLINK("https://www.philgeps.gov.ph/GEPSNONPILOT/Tender/SplashBidNoticeAbstractUI.aspx?menuIndex=3&amp;refID=7173877&amp;Result=3","7173877")</f>
        <v>0</v>
      </c>
      <c r="B10388" t="s">
        <v>2047</v>
      </c>
      <c r="C10388" t="s">
        <v>13448</v>
      </c>
      <c r="D10388" t="s">
        <v>17189</v>
      </c>
      <c r="E10388" t="s">
        <v>26130</v>
      </c>
      <c r="F10388" t="s">
        <v>29372</v>
      </c>
      <c r="G10388" t="s">
        <v>29380</v>
      </c>
      <c r="H10388" t="s">
        <v>29389</v>
      </c>
      <c r="I10388" t="s">
        <v>10408</v>
      </c>
      <c r="J10388" t="s">
        <v>36118</v>
      </c>
      <c r="K10388" t="s">
        <v>38502</v>
      </c>
      <c r="M10388" t="s">
        <v>42004</v>
      </c>
      <c r="N10388" t="s">
        <v>42669</v>
      </c>
      <c r="O10388" t="s">
        <v>42670</v>
      </c>
      <c r="Q10388">
        <v>0</v>
      </c>
      <c r="R10388" t="s">
        <v>42683</v>
      </c>
      <c r="S10388" t="s">
        <v>43189</v>
      </c>
      <c r="T10388" t="s">
        <v>44366</v>
      </c>
      <c r="U10388" t="s">
        <v>53227</v>
      </c>
      <c r="W10388" t="s">
        <v>42004</v>
      </c>
      <c r="X10388" t="s">
        <v>42684</v>
      </c>
    </row>
    <row r="10389" spans="1:24">
      <c r="A10389">
        <f>HYPERLINK("https://www.philgeps.gov.ph/GEPSNONPILOT/Tender/SplashBidNoticeAbstractUI.aspx?menuIndex=3&amp;refID=7174132&amp;Result=3","7174132")</f>
        <v>0</v>
      </c>
      <c r="B10389" t="s">
        <v>2995</v>
      </c>
      <c r="C10389" t="s">
        <v>13449</v>
      </c>
      <c r="D10389" t="s">
        <v>17181</v>
      </c>
      <c r="E10389" t="s">
        <v>26131</v>
      </c>
      <c r="F10389" t="s">
        <v>29372</v>
      </c>
      <c r="G10389" t="s">
        <v>29380</v>
      </c>
      <c r="H10389" t="s">
        <v>11048</v>
      </c>
      <c r="I10389" t="s">
        <v>9469</v>
      </c>
      <c r="J10389" t="s">
        <v>29822</v>
      </c>
      <c r="K10389" t="s">
        <v>38488</v>
      </c>
      <c r="M10389" t="s">
        <v>42014</v>
      </c>
      <c r="N10389" t="s">
        <v>42669</v>
      </c>
      <c r="O10389" t="s">
        <v>42670</v>
      </c>
      <c r="P10389">
        <v>0</v>
      </c>
      <c r="Q10389">
        <v>0</v>
      </c>
      <c r="R10389" t="s">
        <v>42683</v>
      </c>
      <c r="S10389" t="s">
        <v>43062</v>
      </c>
      <c r="T10389" t="s">
        <v>44421</v>
      </c>
      <c r="U10389" t="s">
        <v>53278</v>
      </c>
      <c r="W10389" t="s">
        <v>42014</v>
      </c>
      <c r="X10389" t="s">
        <v>42684</v>
      </c>
    </row>
    <row r="10390" spans="1:24">
      <c r="A10390">
        <f>HYPERLINK("https://www.philgeps.gov.ph/GEPSNONPILOT/Tender/SplashBidNoticeAbstractUI.aspx?menuIndex=3&amp;refID=7174122&amp;Result=3","7174122")</f>
        <v>0</v>
      </c>
      <c r="B10390" t="s">
        <v>2995</v>
      </c>
      <c r="C10390" t="s">
        <v>13450</v>
      </c>
      <c r="D10390" t="s">
        <v>17181</v>
      </c>
      <c r="E10390" t="s">
        <v>26132</v>
      </c>
      <c r="F10390" t="s">
        <v>29372</v>
      </c>
      <c r="G10390" t="s">
        <v>29380</v>
      </c>
      <c r="H10390" t="s">
        <v>11048</v>
      </c>
      <c r="I10390" t="s">
        <v>29392</v>
      </c>
      <c r="J10390" t="s">
        <v>36119</v>
      </c>
      <c r="K10390" t="s">
        <v>38580</v>
      </c>
      <c r="M10390" t="s">
        <v>42014</v>
      </c>
      <c r="N10390" t="s">
        <v>42669</v>
      </c>
      <c r="O10390" t="s">
        <v>42670</v>
      </c>
      <c r="P10390">
        <v>0</v>
      </c>
      <c r="Q10390">
        <v>4</v>
      </c>
      <c r="R10390" t="s">
        <v>42683</v>
      </c>
      <c r="S10390" t="s">
        <v>43062</v>
      </c>
      <c r="T10390" t="s">
        <v>44447</v>
      </c>
      <c r="U10390" t="s">
        <v>53279</v>
      </c>
      <c r="W10390" t="s">
        <v>42014</v>
      </c>
      <c r="X10390" t="s">
        <v>42684</v>
      </c>
    </row>
    <row r="10391" spans="1:24">
      <c r="A10391">
        <f>HYPERLINK("https://www.philgeps.gov.ph/GEPSNONPILOT/Tender/SplashBidNoticeAbstractUI.aspx?menuIndex=3&amp;refID=7174109&amp;Result=3","7174109")</f>
        <v>0</v>
      </c>
      <c r="B10391" t="s">
        <v>3002</v>
      </c>
      <c r="C10391" t="s">
        <v>13451</v>
      </c>
      <c r="D10391" t="s">
        <v>17209</v>
      </c>
      <c r="E10391" t="s">
        <v>26133</v>
      </c>
      <c r="F10391" t="s">
        <v>29372</v>
      </c>
      <c r="G10391" t="s">
        <v>29383</v>
      </c>
      <c r="H10391" t="s">
        <v>11048</v>
      </c>
      <c r="I10391" t="s">
        <v>9469</v>
      </c>
      <c r="J10391" t="s">
        <v>36120</v>
      </c>
      <c r="K10391" t="s">
        <v>38557</v>
      </c>
      <c r="M10391" t="s">
        <v>42021</v>
      </c>
      <c r="N10391" t="s">
        <v>42669</v>
      </c>
      <c r="O10391" t="s">
        <v>42670</v>
      </c>
      <c r="P10391">
        <v>0</v>
      </c>
      <c r="Q10391">
        <v>3</v>
      </c>
      <c r="R10391" t="s">
        <v>42683</v>
      </c>
      <c r="S10391" t="s">
        <v>43062</v>
      </c>
      <c r="T10391" t="s">
        <v>44355</v>
      </c>
      <c r="U10391" t="s">
        <v>53280</v>
      </c>
      <c r="V10391" t="s">
        <v>57544</v>
      </c>
      <c r="W10391" t="s">
        <v>42021</v>
      </c>
      <c r="X10391" t="s">
        <v>42684</v>
      </c>
    </row>
    <row r="10392" spans="1:24">
      <c r="A10392">
        <f>HYPERLINK("https://www.philgeps.gov.ph/GEPSNONPILOT/Tender/SplashBidNoticeAbstractUI.aspx?menuIndex=3&amp;refID=7074330&amp;Result=3","7074330")</f>
        <v>0</v>
      </c>
      <c r="B10392" t="s">
        <v>2999</v>
      </c>
      <c r="C10392" t="s">
        <v>13452</v>
      </c>
      <c r="D10392" t="s">
        <v>17195</v>
      </c>
      <c r="E10392" t="s">
        <v>26134</v>
      </c>
      <c r="F10392" t="s">
        <v>29372</v>
      </c>
      <c r="G10392" t="s">
        <v>29380</v>
      </c>
      <c r="H10392" t="s">
        <v>29389</v>
      </c>
      <c r="I10392" t="s">
        <v>10408</v>
      </c>
      <c r="J10392" t="s">
        <v>29724</v>
      </c>
      <c r="K10392" t="s">
        <v>38715</v>
      </c>
      <c r="M10392" t="s">
        <v>42018</v>
      </c>
      <c r="N10392" t="s">
        <v>42669</v>
      </c>
      <c r="O10392" t="s">
        <v>42670</v>
      </c>
      <c r="Q10392">
        <v>70</v>
      </c>
      <c r="R10392" t="s">
        <v>42684</v>
      </c>
      <c r="S10392" t="s">
        <v>43190</v>
      </c>
      <c r="T10392" t="s">
        <v>44430</v>
      </c>
      <c r="U10392" t="s">
        <v>53281</v>
      </c>
      <c r="W10392" t="s">
        <v>42018</v>
      </c>
      <c r="X10392" t="s">
        <v>42722</v>
      </c>
    </row>
    <row r="10393" spans="1:24">
      <c r="A10393">
        <f>HYPERLINK("https://www.philgeps.gov.ph/GEPSNONPILOT/Tender/SplashBidNoticeAbstractUI.aspx?menuIndex=3&amp;refID=7174100&amp;Result=3","7174100")</f>
        <v>0</v>
      </c>
      <c r="B10393" t="s">
        <v>1297</v>
      </c>
      <c r="C10393" t="s">
        <v>13453</v>
      </c>
      <c r="D10393" t="s">
        <v>17154</v>
      </c>
      <c r="E10393" t="s">
        <v>26135</v>
      </c>
      <c r="F10393" t="s">
        <v>29372</v>
      </c>
      <c r="G10393" t="s">
        <v>29380</v>
      </c>
      <c r="H10393" t="s">
        <v>29389</v>
      </c>
      <c r="I10393" t="s">
        <v>10408</v>
      </c>
      <c r="J10393" t="s">
        <v>36121</v>
      </c>
      <c r="K10393" t="s">
        <v>38522</v>
      </c>
      <c r="M10393" t="s">
        <v>40126</v>
      </c>
      <c r="N10393" t="s">
        <v>42669</v>
      </c>
      <c r="O10393" t="s">
        <v>42670</v>
      </c>
      <c r="Q10393">
        <v>16</v>
      </c>
      <c r="R10393" t="s">
        <v>42683</v>
      </c>
      <c r="S10393" t="s">
        <v>43191</v>
      </c>
      <c r="T10393" t="s">
        <v>44375</v>
      </c>
      <c r="U10393" t="s">
        <v>53282</v>
      </c>
      <c r="V10393" t="s">
        <v>57545</v>
      </c>
      <c r="W10393" t="s">
        <v>40126</v>
      </c>
      <c r="X10393" t="s">
        <v>42684</v>
      </c>
    </row>
    <row r="10394" spans="1:24">
      <c r="A10394">
        <f>HYPERLINK("https://www.philgeps.gov.ph/GEPSNONPILOT/Tender/SplashBidNoticeAbstractUI.aspx?menuIndex=3&amp;refID=7113804&amp;Result=3","7113804")</f>
        <v>0</v>
      </c>
      <c r="B10394" t="s">
        <v>2998</v>
      </c>
      <c r="C10394" t="s">
        <v>13454</v>
      </c>
      <c r="E10394" t="s">
        <v>26122</v>
      </c>
      <c r="F10394" t="s">
        <v>29372</v>
      </c>
      <c r="G10394" t="s">
        <v>29380</v>
      </c>
      <c r="H10394" t="s">
        <v>11048</v>
      </c>
      <c r="I10394" t="s">
        <v>29414</v>
      </c>
      <c r="J10394" t="s">
        <v>35248</v>
      </c>
      <c r="K10394" t="s">
        <v>38496</v>
      </c>
      <c r="M10394" t="s">
        <v>42017</v>
      </c>
      <c r="N10394" t="s">
        <v>42669</v>
      </c>
      <c r="O10394" t="s">
        <v>42670</v>
      </c>
      <c r="P10394">
        <v>0</v>
      </c>
      <c r="Q10394">
        <v>12</v>
      </c>
      <c r="R10394" t="s">
        <v>42684</v>
      </c>
      <c r="S10394" t="s">
        <v>43183</v>
      </c>
      <c r="T10394" t="s">
        <v>44517</v>
      </c>
      <c r="U10394" t="s">
        <v>53270</v>
      </c>
      <c r="V10394" t="s">
        <v>57541</v>
      </c>
      <c r="W10394" t="s">
        <v>42017</v>
      </c>
      <c r="X10394" t="s">
        <v>42715</v>
      </c>
    </row>
    <row r="10395" spans="1:24">
      <c r="A10395">
        <f>HYPERLINK("https://www.philgeps.gov.ph/GEPSNONPILOT/Tender/SplashBidNoticeAbstractUI.aspx?menuIndex=3&amp;refID=7159295&amp;Result=3","7159295")</f>
        <v>0</v>
      </c>
      <c r="B10395" t="s">
        <v>2599</v>
      </c>
      <c r="C10395" t="s">
        <v>13455</v>
      </c>
      <c r="D10395" t="s">
        <v>17222</v>
      </c>
      <c r="E10395" t="s">
        <v>26136</v>
      </c>
      <c r="F10395" t="s">
        <v>29372</v>
      </c>
      <c r="G10395" t="s">
        <v>29380</v>
      </c>
      <c r="H10395" t="s">
        <v>11048</v>
      </c>
      <c r="I10395" t="s">
        <v>29405</v>
      </c>
      <c r="J10395" t="s">
        <v>36122</v>
      </c>
      <c r="K10395" t="s">
        <v>38485</v>
      </c>
      <c r="M10395" t="s">
        <v>41566</v>
      </c>
      <c r="N10395" t="s">
        <v>42669</v>
      </c>
      <c r="O10395" t="s">
        <v>42670</v>
      </c>
      <c r="P10395">
        <v>0</v>
      </c>
      <c r="Q10395">
        <v>2</v>
      </c>
      <c r="R10395" t="s">
        <v>42684</v>
      </c>
      <c r="S10395" t="s">
        <v>43183</v>
      </c>
      <c r="T10395" t="s">
        <v>44485</v>
      </c>
      <c r="U10395" t="s">
        <v>53283</v>
      </c>
      <c r="W10395" t="s">
        <v>41566</v>
      </c>
      <c r="X10395" t="s">
        <v>42690</v>
      </c>
    </row>
    <row r="10396" spans="1:24">
      <c r="A10396">
        <f>HYPERLINK("https://www.philgeps.gov.ph/GEPSNONPILOT/Tender/SplashBidNoticeAbstractUI.aspx?menuIndex=3&amp;refID=7174173&amp;Result=3","7174173")</f>
        <v>0</v>
      </c>
      <c r="B10396" t="s">
        <v>3003</v>
      </c>
      <c r="C10396" t="s">
        <v>13456</v>
      </c>
      <c r="D10396" t="s">
        <v>17209</v>
      </c>
      <c r="E10396" t="s">
        <v>26137</v>
      </c>
      <c r="F10396" t="s">
        <v>29372</v>
      </c>
      <c r="G10396" t="s">
        <v>29380</v>
      </c>
      <c r="H10396" t="s">
        <v>29389</v>
      </c>
      <c r="I10396" t="s">
        <v>10408</v>
      </c>
      <c r="J10396" t="s">
        <v>32431</v>
      </c>
      <c r="K10396" t="s">
        <v>38546</v>
      </c>
      <c r="M10396" t="s">
        <v>42022</v>
      </c>
      <c r="N10396" t="s">
        <v>42669</v>
      </c>
      <c r="O10396" t="s">
        <v>42670</v>
      </c>
      <c r="P10396">
        <v>0</v>
      </c>
      <c r="Q10396">
        <v>0</v>
      </c>
      <c r="R10396" t="s">
        <v>42683</v>
      </c>
      <c r="S10396" t="s">
        <v>43062</v>
      </c>
      <c r="T10396" t="s">
        <v>44453</v>
      </c>
      <c r="U10396" t="s">
        <v>53284</v>
      </c>
      <c r="V10396" t="s">
        <v>57546</v>
      </c>
      <c r="W10396" t="s">
        <v>58107</v>
      </c>
      <c r="X10396" t="s">
        <v>42684</v>
      </c>
    </row>
    <row r="10397" spans="1:24">
      <c r="A10397">
        <f>HYPERLINK("https://www.philgeps.gov.ph/GEPSNONPILOT/Tender/SplashBidNoticeAbstractUI.aspx?menuIndex=3&amp;refID=7174138&amp;Result=3","7174138")</f>
        <v>0</v>
      </c>
      <c r="B10397" t="s">
        <v>3004</v>
      </c>
      <c r="C10397" t="s">
        <v>13457</v>
      </c>
      <c r="D10397" t="s">
        <v>17205</v>
      </c>
      <c r="E10397" t="s">
        <v>26138</v>
      </c>
      <c r="F10397" t="s">
        <v>29372</v>
      </c>
      <c r="G10397" t="s">
        <v>29380</v>
      </c>
      <c r="H10397" t="s">
        <v>11048</v>
      </c>
      <c r="I10397" t="s">
        <v>29419</v>
      </c>
      <c r="J10397" t="s">
        <v>36123</v>
      </c>
      <c r="K10397" t="s">
        <v>38495</v>
      </c>
      <c r="M10397" t="s">
        <v>42023</v>
      </c>
      <c r="N10397" t="s">
        <v>42669</v>
      </c>
      <c r="O10397" t="s">
        <v>42670</v>
      </c>
      <c r="P10397">
        <v>0</v>
      </c>
      <c r="Q10397">
        <v>5</v>
      </c>
      <c r="R10397" t="s">
        <v>42683</v>
      </c>
      <c r="S10397" t="s">
        <v>43062</v>
      </c>
      <c r="T10397" t="s">
        <v>44422</v>
      </c>
      <c r="U10397" t="s">
        <v>53285</v>
      </c>
      <c r="W10397" t="s">
        <v>42023</v>
      </c>
      <c r="X10397" t="s">
        <v>42684</v>
      </c>
    </row>
    <row r="10398" spans="1:24">
      <c r="A10398">
        <f>HYPERLINK("https://www.philgeps.gov.ph/GEPSNONPILOT/Tender/SplashBidNoticeAbstractUI.aspx?menuIndex=3&amp;refID=7158718&amp;Result=3","7158718")</f>
        <v>0</v>
      </c>
      <c r="B10398" t="s">
        <v>3005</v>
      </c>
      <c r="C10398" t="s">
        <v>13458</v>
      </c>
      <c r="D10398" t="s">
        <v>17189</v>
      </c>
      <c r="E10398" t="s">
        <v>26139</v>
      </c>
      <c r="F10398" t="s">
        <v>29372</v>
      </c>
      <c r="G10398" t="s">
        <v>29380</v>
      </c>
      <c r="H10398" t="s">
        <v>11048</v>
      </c>
      <c r="I10398" t="s">
        <v>14920</v>
      </c>
      <c r="J10398" t="s">
        <v>36124</v>
      </c>
      <c r="K10398" t="s">
        <v>38491</v>
      </c>
      <c r="M10398" t="s">
        <v>42024</v>
      </c>
      <c r="N10398" t="s">
        <v>42669</v>
      </c>
      <c r="O10398" t="s">
        <v>42670</v>
      </c>
      <c r="P10398">
        <v>0</v>
      </c>
      <c r="Q10398">
        <v>1</v>
      </c>
      <c r="R10398" t="s">
        <v>42684</v>
      </c>
      <c r="S10398" t="s">
        <v>43183</v>
      </c>
      <c r="T10398" t="s">
        <v>44357</v>
      </c>
      <c r="U10398" t="s">
        <v>53286</v>
      </c>
      <c r="W10398" t="s">
        <v>42024</v>
      </c>
      <c r="X10398" t="s">
        <v>42690</v>
      </c>
    </row>
    <row r="10399" spans="1:24">
      <c r="A10399">
        <f>HYPERLINK("https://www.philgeps.gov.ph/GEPSNONPILOT/Tender/SplashBidNoticeAbstractUI.aspx?menuIndex=3&amp;refID=7111889-2&amp;Result=3","7111889-2")</f>
        <v>0</v>
      </c>
      <c r="B10399" t="s">
        <v>3006</v>
      </c>
      <c r="C10399" t="s">
        <v>13459</v>
      </c>
      <c r="D10399" t="s">
        <v>17159</v>
      </c>
      <c r="E10399" t="s">
        <v>26140</v>
      </c>
      <c r="F10399" t="s">
        <v>29372</v>
      </c>
      <c r="G10399" t="s">
        <v>29380</v>
      </c>
      <c r="H10399" t="s">
        <v>29391</v>
      </c>
      <c r="I10399" t="s">
        <v>29391</v>
      </c>
      <c r="J10399" t="s">
        <v>36125</v>
      </c>
      <c r="K10399" t="s">
        <v>38558</v>
      </c>
      <c r="M10399" t="s">
        <v>42025</v>
      </c>
      <c r="N10399" t="s">
        <v>42669</v>
      </c>
      <c r="O10399" t="s">
        <v>42670</v>
      </c>
      <c r="P10399">
        <v>0</v>
      </c>
      <c r="Q10399">
        <v>0</v>
      </c>
      <c r="R10399" t="s">
        <v>42684</v>
      </c>
      <c r="S10399" t="s">
        <v>43183</v>
      </c>
      <c r="T10399" t="s">
        <v>44357</v>
      </c>
      <c r="U10399" t="s">
        <v>46035</v>
      </c>
      <c r="W10399" t="s">
        <v>42025</v>
      </c>
      <c r="X10399" t="s">
        <v>42685</v>
      </c>
    </row>
    <row r="10400" spans="1:24">
      <c r="A10400">
        <f>HYPERLINK("https://www.philgeps.gov.ph/GEPSNONPILOT/Tender/SplashBidNoticeAbstractUI.aspx?menuIndex=3&amp;refID=7156425&amp;Result=3","7156425")</f>
        <v>0</v>
      </c>
      <c r="B10400" t="s">
        <v>1911</v>
      </c>
      <c r="C10400" t="s">
        <v>13460</v>
      </c>
      <c r="D10400" t="s">
        <v>17180</v>
      </c>
      <c r="E10400" t="s">
        <v>26141</v>
      </c>
      <c r="F10400" t="s">
        <v>29372</v>
      </c>
      <c r="G10400" t="s">
        <v>29380</v>
      </c>
      <c r="H10400" t="s">
        <v>29389</v>
      </c>
      <c r="I10400" t="s">
        <v>10408</v>
      </c>
      <c r="J10400" t="s">
        <v>36126</v>
      </c>
      <c r="K10400" t="s">
        <v>38564</v>
      </c>
      <c r="M10400" t="s">
        <v>40786</v>
      </c>
      <c r="N10400" t="s">
        <v>42669</v>
      </c>
      <c r="O10400" t="s">
        <v>42670</v>
      </c>
      <c r="P10400">
        <v>0</v>
      </c>
      <c r="Q10400">
        <v>11</v>
      </c>
      <c r="R10400" t="s">
        <v>42684</v>
      </c>
      <c r="S10400" t="s">
        <v>43183</v>
      </c>
      <c r="T10400" t="s">
        <v>44357</v>
      </c>
      <c r="U10400" t="s">
        <v>53287</v>
      </c>
      <c r="V10400" t="s">
        <v>47944</v>
      </c>
      <c r="W10400" t="s">
        <v>40786</v>
      </c>
      <c r="X10400" t="s">
        <v>42691</v>
      </c>
    </row>
    <row r="10401" spans="1:24">
      <c r="A10401">
        <f>HYPERLINK("https://www.philgeps.gov.ph/GEPSNONPILOT/Tender/SplashBidNoticeAbstractUI.aspx?menuIndex=3&amp;refID=7153786&amp;Result=3","7153786")</f>
        <v>0</v>
      </c>
      <c r="B10401" t="s">
        <v>3007</v>
      </c>
      <c r="C10401" t="s">
        <v>13461</v>
      </c>
      <c r="E10401" t="s">
        <v>26142</v>
      </c>
      <c r="F10401" t="s">
        <v>29372</v>
      </c>
      <c r="G10401" t="s">
        <v>29380</v>
      </c>
      <c r="H10401" t="s">
        <v>11048</v>
      </c>
      <c r="I10401" t="s">
        <v>9469</v>
      </c>
      <c r="J10401" t="s">
        <v>29937</v>
      </c>
      <c r="K10401" t="s">
        <v>38485</v>
      </c>
      <c r="M10401" t="s">
        <v>42026</v>
      </c>
      <c r="N10401" t="s">
        <v>42669</v>
      </c>
      <c r="O10401" t="s">
        <v>42670</v>
      </c>
      <c r="P10401">
        <v>0</v>
      </c>
      <c r="Q10401">
        <v>2</v>
      </c>
      <c r="R10401" t="s">
        <v>42684</v>
      </c>
      <c r="S10401" t="s">
        <v>43183</v>
      </c>
      <c r="T10401" t="s">
        <v>44357</v>
      </c>
      <c r="U10401" t="s">
        <v>53288</v>
      </c>
      <c r="V10401" t="s">
        <v>57547</v>
      </c>
      <c r="W10401" t="s">
        <v>42026</v>
      </c>
      <c r="X10401" t="s">
        <v>42692</v>
      </c>
    </row>
    <row r="10402" spans="1:24">
      <c r="A10402">
        <f>HYPERLINK("https://www.philgeps.gov.ph/GEPSNONPILOT/Tender/SplashBidNoticeAbstractUI.aspx?menuIndex=3&amp;refID=7152614&amp;Result=3","7152614")</f>
        <v>0</v>
      </c>
      <c r="B10402" t="s">
        <v>3008</v>
      </c>
      <c r="C10402" t="s">
        <v>4147</v>
      </c>
      <c r="D10402" t="s">
        <v>17161</v>
      </c>
      <c r="E10402" t="s">
        <v>26143</v>
      </c>
      <c r="F10402" t="s">
        <v>29372</v>
      </c>
      <c r="G10402" t="s">
        <v>29380</v>
      </c>
      <c r="H10402" t="s">
        <v>11048</v>
      </c>
      <c r="I10402" t="s">
        <v>3839</v>
      </c>
      <c r="J10402" t="s">
        <v>29820</v>
      </c>
      <c r="K10402" t="s">
        <v>38485</v>
      </c>
      <c r="M10402" t="s">
        <v>42027</v>
      </c>
      <c r="N10402" t="s">
        <v>42669</v>
      </c>
      <c r="O10402" t="s">
        <v>42670</v>
      </c>
      <c r="P10402">
        <v>0</v>
      </c>
      <c r="Q10402">
        <v>0</v>
      </c>
      <c r="R10402" t="s">
        <v>42684</v>
      </c>
      <c r="S10402" t="s">
        <v>43183</v>
      </c>
      <c r="T10402" t="s">
        <v>44450</v>
      </c>
      <c r="U10402" t="s">
        <v>53289</v>
      </c>
      <c r="W10402" t="s">
        <v>42027</v>
      </c>
      <c r="X10402" t="s">
        <v>42692</v>
      </c>
    </row>
    <row r="10403" spans="1:24">
      <c r="A10403">
        <f>HYPERLINK("https://www.philgeps.gov.ph/GEPSNONPILOT/Tender/SplashBidNoticeAbstractUI.aspx?menuIndex=3&amp;refID=7152575&amp;Result=3","7152575")</f>
        <v>0</v>
      </c>
      <c r="B10403" t="s">
        <v>3008</v>
      </c>
      <c r="C10403" t="s">
        <v>13462</v>
      </c>
      <c r="D10403" t="s">
        <v>17161</v>
      </c>
      <c r="E10403" t="s">
        <v>26143</v>
      </c>
      <c r="F10403" t="s">
        <v>29372</v>
      </c>
      <c r="G10403" t="s">
        <v>29380</v>
      </c>
      <c r="H10403" t="s">
        <v>11048</v>
      </c>
      <c r="I10403" t="s">
        <v>4709</v>
      </c>
      <c r="J10403" t="s">
        <v>36127</v>
      </c>
      <c r="K10403" t="s">
        <v>38485</v>
      </c>
      <c r="M10403" t="s">
        <v>42027</v>
      </c>
      <c r="N10403" t="s">
        <v>42669</v>
      </c>
      <c r="O10403" t="s">
        <v>42670</v>
      </c>
      <c r="P10403">
        <v>0</v>
      </c>
      <c r="Q10403">
        <v>0</v>
      </c>
      <c r="R10403" t="s">
        <v>42684</v>
      </c>
      <c r="S10403" t="s">
        <v>43183</v>
      </c>
      <c r="T10403" t="s">
        <v>44450</v>
      </c>
      <c r="U10403" t="s">
        <v>53290</v>
      </c>
      <c r="W10403" t="s">
        <v>42027</v>
      </c>
      <c r="X10403" t="s">
        <v>42692</v>
      </c>
    </row>
    <row r="10404" spans="1:24">
      <c r="A10404">
        <f>HYPERLINK("https://www.philgeps.gov.ph/GEPSNONPILOT/Tender/SplashBidNoticeAbstractUI.aspx?menuIndex=3&amp;refID=7174082&amp;Result=3","7174082")</f>
        <v>0</v>
      </c>
      <c r="B10404" t="s">
        <v>413</v>
      </c>
      <c r="C10404" t="s">
        <v>13463</v>
      </c>
      <c r="D10404" t="s">
        <v>17214</v>
      </c>
      <c r="E10404" t="s">
        <v>26144</v>
      </c>
      <c r="F10404" t="s">
        <v>29372</v>
      </c>
      <c r="G10404" t="s">
        <v>29380</v>
      </c>
      <c r="H10404" t="s">
        <v>11048</v>
      </c>
      <c r="I10404" t="s">
        <v>29406</v>
      </c>
      <c r="J10404" t="s">
        <v>36128</v>
      </c>
      <c r="K10404" t="s">
        <v>38496</v>
      </c>
      <c r="M10404" t="s">
        <v>39177</v>
      </c>
      <c r="N10404" t="s">
        <v>42669</v>
      </c>
      <c r="O10404" t="s">
        <v>42670</v>
      </c>
      <c r="Q10404">
        <v>22</v>
      </c>
      <c r="R10404" t="s">
        <v>42683</v>
      </c>
      <c r="S10404" t="s">
        <v>43192</v>
      </c>
      <c r="T10404" t="s">
        <v>44664</v>
      </c>
      <c r="U10404" t="s">
        <v>53259</v>
      </c>
      <c r="V10404" t="s">
        <v>57548</v>
      </c>
      <c r="W10404" t="s">
        <v>39177</v>
      </c>
      <c r="X10404" t="s">
        <v>42684</v>
      </c>
    </row>
    <row r="10405" spans="1:24">
      <c r="A10405">
        <f>HYPERLINK("https://www.philgeps.gov.ph/GEPSNONPILOT/Tender/SplashBidNoticeAbstractUI.aspx?menuIndex=3&amp;refID=7152563&amp;Result=3","7152563")</f>
        <v>0</v>
      </c>
      <c r="B10405" t="s">
        <v>3008</v>
      </c>
      <c r="C10405" t="s">
        <v>13464</v>
      </c>
      <c r="D10405" t="s">
        <v>17161</v>
      </c>
      <c r="E10405" t="s">
        <v>26143</v>
      </c>
      <c r="F10405" t="s">
        <v>29372</v>
      </c>
      <c r="G10405" t="s">
        <v>29380</v>
      </c>
      <c r="H10405" t="s">
        <v>11048</v>
      </c>
      <c r="I10405" t="s">
        <v>29405</v>
      </c>
      <c r="J10405" t="s">
        <v>36129</v>
      </c>
      <c r="K10405" t="s">
        <v>38485</v>
      </c>
      <c r="M10405" t="s">
        <v>42027</v>
      </c>
      <c r="N10405" t="s">
        <v>42669</v>
      </c>
      <c r="O10405" t="s">
        <v>42670</v>
      </c>
      <c r="P10405">
        <v>0</v>
      </c>
      <c r="Q10405">
        <v>8</v>
      </c>
      <c r="R10405" t="s">
        <v>42684</v>
      </c>
      <c r="S10405" t="s">
        <v>43183</v>
      </c>
      <c r="T10405" t="s">
        <v>44450</v>
      </c>
      <c r="U10405" t="s">
        <v>53291</v>
      </c>
      <c r="W10405" t="s">
        <v>42027</v>
      </c>
      <c r="X10405" t="s">
        <v>42692</v>
      </c>
    </row>
    <row r="10406" spans="1:24">
      <c r="A10406">
        <f>HYPERLINK("https://www.philgeps.gov.ph/GEPSNONPILOT/Tender/SplashBidNoticeAbstractUI.aspx?menuIndex=3&amp;refID=7152529&amp;Result=3","7152529")</f>
        <v>0</v>
      </c>
      <c r="B10406" t="s">
        <v>3008</v>
      </c>
      <c r="C10406" t="s">
        <v>13465</v>
      </c>
      <c r="D10406" t="s">
        <v>17161</v>
      </c>
      <c r="E10406" t="s">
        <v>26143</v>
      </c>
      <c r="F10406" t="s">
        <v>29372</v>
      </c>
      <c r="G10406" t="s">
        <v>29380</v>
      </c>
      <c r="H10406" t="s">
        <v>11048</v>
      </c>
      <c r="I10406" t="s">
        <v>29426</v>
      </c>
      <c r="J10406" t="s">
        <v>29657</v>
      </c>
      <c r="K10406" t="s">
        <v>38485</v>
      </c>
      <c r="M10406" t="s">
        <v>42027</v>
      </c>
      <c r="N10406" t="s">
        <v>42669</v>
      </c>
      <c r="O10406" t="s">
        <v>42670</v>
      </c>
      <c r="P10406">
        <v>0</v>
      </c>
      <c r="Q10406">
        <v>0</v>
      </c>
      <c r="R10406" t="s">
        <v>42684</v>
      </c>
      <c r="S10406" t="s">
        <v>43183</v>
      </c>
      <c r="T10406" t="s">
        <v>44450</v>
      </c>
      <c r="U10406" t="s">
        <v>53292</v>
      </c>
      <c r="W10406" t="s">
        <v>42027</v>
      </c>
      <c r="X10406" t="s">
        <v>42692</v>
      </c>
    </row>
    <row r="10407" spans="1:24">
      <c r="A10407">
        <f>HYPERLINK("https://www.philgeps.gov.ph/GEPSNONPILOT/Tender/SplashBidNoticeAbstractUI.aspx?menuIndex=3&amp;refID=7151568&amp;Result=3","7151568")</f>
        <v>0</v>
      </c>
      <c r="B10407" t="s">
        <v>3008</v>
      </c>
      <c r="C10407" t="s">
        <v>13466</v>
      </c>
      <c r="D10407" t="s">
        <v>17161</v>
      </c>
      <c r="E10407" t="s">
        <v>26143</v>
      </c>
      <c r="F10407" t="s">
        <v>29372</v>
      </c>
      <c r="G10407" t="s">
        <v>29380</v>
      </c>
      <c r="H10407" t="s">
        <v>11048</v>
      </c>
      <c r="I10407" t="s">
        <v>29405</v>
      </c>
      <c r="J10407" t="s">
        <v>29571</v>
      </c>
      <c r="K10407" t="s">
        <v>38485</v>
      </c>
      <c r="M10407" t="s">
        <v>42027</v>
      </c>
      <c r="N10407" t="s">
        <v>42669</v>
      </c>
      <c r="O10407" t="s">
        <v>42670</v>
      </c>
      <c r="P10407">
        <v>0</v>
      </c>
      <c r="Q10407">
        <v>4</v>
      </c>
      <c r="R10407" t="s">
        <v>42684</v>
      </c>
      <c r="S10407" t="s">
        <v>43183</v>
      </c>
      <c r="T10407" t="s">
        <v>44450</v>
      </c>
      <c r="U10407" t="s">
        <v>53293</v>
      </c>
      <c r="W10407" t="s">
        <v>42027</v>
      </c>
      <c r="X10407" t="s">
        <v>42693</v>
      </c>
    </row>
    <row r="10408" spans="1:24">
      <c r="A10408">
        <f>HYPERLINK("https://www.philgeps.gov.ph/GEPSNONPILOT/Tender/SplashBidNoticeAbstractUI.aspx?menuIndex=3&amp;refID=7150496&amp;Result=3","7150496")</f>
        <v>0</v>
      </c>
      <c r="B10408" t="s">
        <v>3008</v>
      </c>
      <c r="C10408" t="s">
        <v>13467</v>
      </c>
      <c r="D10408" t="s">
        <v>17161</v>
      </c>
      <c r="E10408" t="s">
        <v>26143</v>
      </c>
      <c r="F10408" t="s">
        <v>29372</v>
      </c>
      <c r="G10408" t="s">
        <v>29380</v>
      </c>
      <c r="H10408" t="s">
        <v>11048</v>
      </c>
      <c r="I10408" t="s">
        <v>4709</v>
      </c>
      <c r="J10408" t="s">
        <v>36130</v>
      </c>
      <c r="K10408" t="s">
        <v>38485</v>
      </c>
      <c r="M10408" t="s">
        <v>42027</v>
      </c>
      <c r="N10408" t="s">
        <v>42669</v>
      </c>
      <c r="O10408" t="s">
        <v>42670</v>
      </c>
      <c r="P10408">
        <v>0</v>
      </c>
      <c r="Q10408">
        <v>0</v>
      </c>
      <c r="R10408" t="s">
        <v>42684</v>
      </c>
      <c r="S10408" t="s">
        <v>43183</v>
      </c>
      <c r="T10408" t="s">
        <v>44450</v>
      </c>
      <c r="U10408" t="s">
        <v>53294</v>
      </c>
      <c r="W10408" t="s">
        <v>42027</v>
      </c>
      <c r="X10408" t="s">
        <v>42693</v>
      </c>
    </row>
    <row r="10409" spans="1:24">
      <c r="A10409">
        <f>HYPERLINK("https://www.philgeps.gov.ph/GEPSNONPILOT/Tender/SplashBidNoticeAbstractUI.aspx?menuIndex=3&amp;refID=7149820&amp;Result=3","7149820")</f>
        <v>0</v>
      </c>
      <c r="B10409" t="s">
        <v>3009</v>
      </c>
      <c r="C10409" t="s">
        <v>13468</v>
      </c>
      <c r="D10409" t="s">
        <v>17201</v>
      </c>
      <c r="E10409" t="s">
        <v>19453</v>
      </c>
      <c r="F10409" t="s">
        <v>29372</v>
      </c>
      <c r="G10409" t="s">
        <v>29380</v>
      </c>
      <c r="H10409" t="s">
        <v>29389</v>
      </c>
      <c r="I10409" t="s">
        <v>29464</v>
      </c>
      <c r="J10409" t="s">
        <v>29543</v>
      </c>
      <c r="K10409" t="s">
        <v>38496</v>
      </c>
      <c r="M10409" t="s">
        <v>42028</v>
      </c>
      <c r="N10409" t="s">
        <v>42669</v>
      </c>
      <c r="O10409" t="s">
        <v>42670</v>
      </c>
      <c r="P10409">
        <v>0</v>
      </c>
      <c r="Q10409">
        <v>3</v>
      </c>
      <c r="R10409" t="s">
        <v>42684</v>
      </c>
      <c r="S10409" t="s">
        <v>43183</v>
      </c>
      <c r="T10409" t="s">
        <v>44391</v>
      </c>
      <c r="U10409" t="s">
        <v>53295</v>
      </c>
      <c r="W10409" t="s">
        <v>42028</v>
      </c>
      <c r="X10409" t="s">
        <v>42693</v>
      </c>
    </row>
    <row r="10410" spans="1:24">
      <c r="A10410">
        <f>HYPERLINK("https://www.philgeps.gov.ph/GEPSNONPILOT/Tender/SplashBidNoticeAbstractUI.aspx?menuIndex=3&amp;refID=7147506&amp;Result=3","7147506")</f>
        <v>0</v>
      </c>
      <c r="B10410" t="s">
        <v>3008</v>
      </c>
      <c r="C10410" t="s">
        <v>13469</v>
      </c>
      <c r="D10410" t="s">
        <v>17161</v>
      </c>
      <c r="E10410" t="s">
        <v>26143</v>
      </c>
      <c r="F10410" t="s">
        <v>29372</v>
      </c>
      <c r="G10410" t="s">
        <v>29380</v>
      </c>
      <c r="H10410" t="s">
        <v>11048</v>
      </c>
      <c r="I10410" t="s">
        <v>4709</v>
      </c>
      <c r="J10410" t="s">
        <v>36131</v>
      </c>
      <c r="K10410" t="s">
        <v>38485</v>
      </c>
      <c r="M10410" t="s">
        <v>42027</v>
      </c>
      <c r="N10410" t="s">
        <v>42669</v>
      </c>
      <c r="O10410" t="s">
        <v>42670</v>
      </c>
      <c r="P10410">
        <v>0</v>
      </c>
      <c r="Q10410">
        <v>0</v>
      </c>
      <c r="R10410" t="s">
        <v>42684</v>
      </c>
      <c r="S10410" t="s">
        <v>43183</v>
      </c>
      <c r="T10410" t="s">
        <v>44450</v>
      </c>
      <c r="U10410" t="s">
        <v>53296</v>
      </c>
      <c r="W10410" t="s">
        <v>42027</v>
      </c>
      <c r="X10410" t="s">
        <v>42697</v>
      </c>
    </row>
    <row r="10411" spans="1:24">
      <c r="A10411">
        <f>HYPERLINK("https://www.philgeps.gov.ph/GEPSNONPILOT/Tender/SplashBidNoticeAbstractUI.aspx?menuIndex=3&amp;refID=7153194&amp;Result=3","7153194")</f>
        <v>0</v>
      </c>
      <c r="B10411" t="s">
        <v>3010</v>
      </c>
      <c r="C10411" t="s">
        <v>13470</v>
      </c>
      <c r="D10411" t="s">
        <v>17164</v>
      </c>
      <c r="E10411" t="s">
        <v>26145</v>
      </c>
      <c r="F10411" t="s">
        <v>29372</v>
      </c>
      <c r="G10411" t="s">
        <v>29380</v>
      </c>
      <c r="H10411" t="s">
        <v>29389</v>
      </c>
      <c r="I10411" t="s">
        <v>10408</v>
      </c>
      <c r="J10411" t="s">
        <v>32024</v>
      </c>
      <c r="K10411" t="s">
        <v>38637</v>
      </c>
      <c r="M10411" t="s">
        <v>42029</v>
      </c>
      <c r="N10411" t="s">
        <v>42669</v>
      </c>
      <c r="O10411" t="s">
        <v>42670</v>
      </c>
      <c r="P10411">
        <v>0</v>
      </c>
      <c r="Q10411">
        <v>2</v>
      </c>
      <c r="R10411" t="s">
        <v>42684</v>
      </c>
      <c r="S10411" t="s">
        <v>43183</v>
      </c>
      <c r="T10411" t="s">
        <v>44375</v>
      </c>
      <c r="U10411" t="s">
        <v>53297</v>
      </c>
      <c r="W10411" t="s">
        <v>42029</v>
      </c>
      <c r="X10411" t="s">
        <v>42692</v>
      </c>
    </row>
    <row r="10412" spans="1:24">
      <c r="A10412">
        <f>HYPERLINK("https://www.philgeps.gov.ph/GEPSNONPILOT/Tender/SplashBidNoticeAbstractUI.aspx?menuIndex=3&amp;refID=7155283&amp;Result=3","7155283")</f>
        <v>0</v>
      </c>
      <c r="B10412" t="s">
        <v>1911</v>
      </c>
      <c r="C10412" t="s">
        <v>13471</v>
      </c>
      <c r="D10412" t="s">
        <v>17180</v>
      </c>
      <c r="E10412" t="s">
        <v>26146</v>
      </c>
      <c r="F10412" t="s">
        <v>29372</v>
      </c>
      <c r="G10412" t="s">
        <v>29380</v>
      </c>
      <c r="H10412" t="s">
        <v>29389</v>
      </c>
      <c r="I10412" t="s">
        <v>10408</v>
      </c>
      <c r="J10412" t="s">
        <v>36132</v>
      </c>
      <c r="K10412" t="s">
        <v>38621</v>
      </c>
      <c r="M10412" t="s">
        <v>40786</v>
      </c>
      <c r="N10412" t="s">
        <v>42669</v>
      </c>
      <c r="O10412" t="s">
        <v>42670</v>
      </c>
      <c r="P10412">
        <v>0</v>
      </c>
      <c r="Q10412">
        <v>22</v>
      </c>
      <c r="R10412" t="s">
        <v>42684</v>
      </c>
      <c r="S10412" t="s">
        <v>43183</v>
      </c>
      <c r="T10412" t="s">
        <v>44357</v>
      </c>
      <c r="U10412" t="s">
        <v>53298</v>
      </c>
      <c r="V10412" t="s">
        <v>47944</v>
      </c>
      <c r="W10412" t="s">
        <v>40786</v>
      </c>
      <c r="X10412" t="s">
        <v>42691</v>
      </c>
    </row>
    <row r="10413" spans="1:24">
      <c r="A10413">
        <f>HYPERLINK("https://www.philgeps.gov.ph/GEPSNONPILOT/Tender/SplashBidNoticeAbstractUI.aspx?menuIndex=3&amp;refID=7164378&amp;Result=3","7164378")</f>
        <v>0</v>
      </c>
      <c r="B10413" t="s">
        <v>332</v>
      </c>
      <c r="C10413" t="s">
        <v>13472</v>
      </c>
      <c r="D10413" t="s">
        <v>17213</v>
      </c>
      <c r="E10413" t="s">
        <v>26147</v>
      </c>
      <c r="F10413" t="s">
        <v>29372</v>
      </c>
      <c r="G10413" t="s">
        <v>29380</v>
      </c>
      <c r="H10413" t="s">
        <v>29389</v>
      </c>
      <c r="I10413" t="s">
        <v>10408</v>
      </c>
      <c r="J10413" t="s">
        <v>36133</v>
      </c>
      <c r="K10413" t="s">
        <v>38522</v>
      </c>
      <c r="M10413" t="s">
        <v>39091</v>
      </c>
      <c r="N10413" t="s">
        <v>42669</v>
      </c>
      <c r="O10413" t="s">
        <v>42670</v>
      </c>
      <c r="P10413">
        <v>0</v>
      </c>
      <c r="Q10413">
        <v>0</v>
      </c>
      <c r="R10413" t="s">
        <v>42684</v>
      </c>
      <c r="S10413" t="s">
        <v>43183</v>
      </c>
      <c r="T10413" t="s">
        <v>44412</v>
      </c>
      <c r="U10413" t="s">
        <v>53299</v>
      </c>
      <c r="V10413" t="s">
        <v>57549</v>
      </c>
      <c r="W10413" t="s">
        <v>39091</v>
      </c>
      <c r="X10413" t="s">
        <v>42688</v>
      </c>
    </row>
    <row r="10414" spans="1:24">
      <c r="A10414">
        <f>HYPERLINK("https://www.philgeps.gov.ph/GEPSNONPILOT/Tender/SplashBidNoticeAbstractUI.aspx?menuIndex=3&amp;refID=7151456&amp;Result=3","7151456")</f>
        <v>0</v>
      </c>
      <c r="B10414" t="s">
        <v>3008</v>
      </c>
      <c r="C10414" t="s">
        <v>13473</v>
      </c>
      <c r="D10414" t="s">
        <v>17161</v>
      </c>
      <c r="E10414" t="s">
        <v>26143</v>
      </c>
      <c r="F10414" t="s">
        <v>29372</v>
      </c>
      <c r="G10414" t="s">
        <v>29380</v>
      </c>
      <c r="H10414" t="s">
        <v>11048</v>
      </c>
      <c r="I10414" t="s">
        <v>4709</v>
      </c>
      <c r="J10414" t="s">
        <v>36130</v>
      </c>
      <c r="K10414" t="s">
        <v>38485</v>
      </c>
      <c r="M10414" t="s">
        <v>42027</v>
      </c>
      <c r="N10414" t="s">
        <v>42669</v>
      </c>
      <c r="O10414" t="s">
        <v>42670</v>
      </c>
      <c r="P10414">
        <v>0</v>
      </c>
      <c r="Q10414">
        <v>0</v>
      </c>
      <c r="R10414" t="s">
        <v>42684</v>
      </c>
      <c r="S10414" t="s">
        <v>43183</v>
      </c>
      <c r="T10414" t="s">
        <v>44450</v>
      </c>
      <c r="U10414" t="s">
        <v>53300</v>
      </c>
      <c r="W10414" t="s">
        <v>42027</v>
      </c>
      <c r="X10414" t="s">
        <v>42693</v>
      </c>
    </row>
    <row r="10415" spans="1:24">
      <c r="A10415">
        <f>HYPERLINK("https://www.philgeps.gov.ph/GEPSNONPILOT/Tender/SplashBidNoticeAbstractUI.aspx?menuIndex=3&amp;refID=7164375&amp;Result=3","7164375")</f>
        <v>0</v>
      </c>
      <c r="B10415" t="s">
        <v>332</v>
      </c>
      <c r="C10415" t="s">
        <v>13474</v>
      </c>
      <c r="D10415" t="s">
        <v>17213</v>
      </c>
      <c r="E10415" t="s">
        <v>26148</v>
      </c>
      <c r="F10415" t="s">
        <v>29372</v>
      </c>
      <c r="G10415" t="s">
        <v>29380</v>
      </c>
      <c r="H10415" t="s">
        <v>11048</v>
      </c>
      <c r="I10415" t="s">
        <v>29395</v>
      </c>
      <c r="J10415" t="s">
        <v>36134</v>
      </c>
      <c r="K10415" t="s">
        <v>38485</v>
      </c>
      <c r="M10415" t="s">
        <v>39091</v>
      </c>
      <c r="N10415" t="s">
        <v>42669</v>
      </c>
      <c r="O10415" t="s">
        <v>42670</v>
      </c>
      <c r="P10415">
        <v>0</v>
      </c>
      <c r="Q10415">
        <v>0</v>
      </c>
      <c r="R10415" t="s">
        <v>42684</v>
      </c>
      <c r="S10415" t="s">
        <v>43183</v>
      </c>
      <c r="T10415" t="s">
        <v>44412</v>
      </c>
      <c r="U10415" t="s">
        <v>53301</v>
      </c>
      <c r="V10415" t="s">
        <v>57550</v>
      </c>
      <c r="W10415" t="s">
        <v>39091</v>
      </c>
      <c r="X10415" t="s">
        <v>42688</v>
      </c>
    </row>
    <row r="10416" spans="1:24">
      <c r="A10416">
        <f>HYPERLINK("https://www.philgeps.gov.ph/GEPSNONPILOT/Tender/SplashBidNoticeAbstractUI.aspx?menuIndex=3&amp;refID=7163385&amp;Result=3","7163385")</f>
        <v>0</v>
      </c>
      <c r="B10416" t="s">
        <v>278</v>
      </c>
      <c r="C10416" t="s">
        <v>13475</v>
      </c>
      <c r="D10416" t="s">
        <v>17206</v>
      </c>
      <c r="E10416" t="s">
        <v>26149</v>
      </c>
      <c r="F10416" t="s">
        <v>29372</v>
      </c>
      <c r="G10416" t="s">
        <v>29379</v>
      </c>
      <c r="H10416" t="s">
        <v>11048</v>
      </c>
      <c r="I10416" t="s">
        <v>29396</v>
      </c>
      <c r="J10416" t="s">
        <v>29587</v>
      </c>
      <c r="K10416" t="s">
        <v>38485</v>
      </c>
      <c r="M10416" t="s">
        <v>41697</v>
      </c>
      <c r="N10416" t="s">
        <v>42669</v>
      </c>
      <c r="O10416" t="s">
        <v>42670</v>
      </c>
      <c r="Q10416">
        <v>1</v>
      </c>
      <c r="R10416" t="s">
        <v>42684</v>
      </c>
      <c r="S10416" t="s">
        <v>43193</v>
      </c>
      <c r="T10416" t="s">
        <v>44427</v>
      </c>
      <c r="U10416" t="s">
        <v>53302</v>
      </c>
      <c r="W10416" t="s">
        <v>41697</v>
      </c>
      <c r="X10416" t="s">
        <v>42689</v>
      </c>
    </row>
    <row r="10417" spans="1:24">
      <c r="A10417">
        <f>HYPERLINK("https://www.philgeps.gov.ph/GEPSNONPILOT/Tender/SplashBidNoticeAbstractUI.aspx?menuIndex=3&amp;refID=7156340&amp;Result=3","7156340")</f>
        <v>0</v>
      </c>
      <c r="B10417" t="s">
        <v>589</v>
      </c>
      <c r="C10417" t="s">
        <v>13476</v>
      </c>
      <c r="D10417" t="s">
        <v>17168</v>
      </c>
      <c r="E10417" t="s">
        <v>26150</v>
      </c>
      <c r="F10417" t="s">
        <v>29372</v>
      </c>
      <c r="G10417" t="s">
        <v>29380</v>
      </c>
      <c r="H10417" t="s">
        <v>11048</v>
      </c>
      <c r="I10417" t="s">
        <v>29414</v>
      </c>
      <c r="J10417" t="s">
        <v>36135</v>
      </c>
      <c r="K10417" t="s">
        <v>38496</v>
      </c>
      <c r="M10417" t="s">
        <v>39485</v>
      </c>
      <c r="N10417" t="s">
        <v>42669</v>
      </c>
      <c r="O10417" t="s">
        <v>42670</v>
      </c>
      <c r="Q10417">
        <v>4</v>
      </c>
      <c r="R10417" t="s">
        <v>42684</v>
      </c>
      <c r="S10417" t="s">
        <v>43194</v>
      </c>
      <c r="T10417" t="s">
        <v>44457</v>
      </c>
      <c r="U10417" t="s">
        <v>53303</v>
      </c>
      <c r="V10417" t="s">
        <v>56973</v>
      </c>
      <c r="W10417" t="s">
        <v>39485</v>
      </c>
      <c r="X10417" t="s">
        <v>42691</v>
      </c>
    </row>
    <row r="10418" spans="1:24">
      <c r="A10418">
        <f>HYPERLINK("https://www.philgeps.gov.ph/GEPSNONPILOT/Tender/SplashBidNoticeAbstractUI.aspx?menuIndex=3&amp;refID=7163269&amp;Result=3","7163269")</f>
        <v>0</v>
      </c>
      <c r="B10418" t="s">
        <v>80</v>
      </c>
      <c r="C10418" t="s">
        <v>13477</v>
      </c>
      <c r="D10418" t="s">
        <v>17142</v>
      </c>
      <c r="E10418" t="s">
        <v>26151</v>
      </c>
      <c r="F10418" t="s">
        <v>29372</v>
      </c>
      <c r="G10418" t="s">
        <v>29380</v>
      </c>
      <c r="H10418" t="s">
        <v>29389</v>
      </c>
      <c r="I10418" t="s">
        <v>10408</v>
      </c>
      <c r="J10418" t="s">
        <v>36136</v>
      </c>
      <c r="K10418" t="s">
        <v>38522</v>
      </c>
      <c r="M10418" t="s">
        <v>38834</v>
      </c>
      <c r="N10418" t="s">
        <v>42669</v>
      </c>
      <c r="O10418" t="s">
        <v>42670</v>
      </c>
      <c r="P10418">
        <v>0</v>
      </c>
      <c r="Q10418">
        <v>4</v>
      </c>
      <c r="R10418" t="s">
        <v>42684</v>
      </c>
      <c r="S10418" t="s">
        <v>43183</v>
      </c>
      <c r="T10418" t="s">
        <v>44397</v>
      </c>
      <c r="U10418" t="s">
        <v>53304</v>
      </c>
      <c r="W10418" t="s">
        <v>38834</v>
      </c>
      <c r="X10418" t="s">
        <v>42689</v>
      </c>
    </row>
    <row r="10419" spans="1:24">
      <c r="A10419">
        <f>HYPERLINK("https://www.philgeps.gov.ph/GEPSNONPILOT/Tender/SplashBidNoticeAbstractUI.aspx?menuIndex=3&amp;refID=7163301&amp;Result=3","7163301")</f>
        <v>0</v>
      </c>
      <c r="B10419" t="s">
        <v>80</v>
      </c>
      <c r="C10419" t="s">
        <v>13478</v>
      </c>
      <c r="D10419" t="s">
        <v>17142</v>
      </c>
      <c r="E10419" t="s">
        <v>26152</v>
      </c>
      <c r="F10419" t="s">
        <v>29372</v>
      </c>
      <c r="G10419" t="s">
        <v>29380</v>
      </c>
      <c r="H10419" t="s">
        <v>29389</v>
      </c>
      <c r="I10419" t="s">
        <v>10408</v>
      </c>
      <c r="J10419" t="s">
        <v>36137</v>
      </c>
      <c r="K10419" t="s">
        <v>38522</v>
      </c>
      <c r="M10419" t="s">
        <v>38834</v>
      </c>
      <c r="N10419" t="s">
        <v>42669</v>
      </c>
      <c r="O10419" t="s">
        <v>42670</v>
      </c>
      <c r="P10419">
        <v>0</v>
      </c>
      <c r="Q10419">
        <v>1</v>
      </c>
      <c r="R10419" t="s">
        <v>42684</v>
      </c>
      <c r="S10419" t="s">
        <v>43183</v>
      </c>
      <c r="T10419" t="s">
        <v>44397</v>
      </c>
      <c r="U10419" t="s">
        <v>53305</v>
      </c>
      <c r="W10419" t="s">
        <v>38834</v>
      </c>
      <c r="X10419" t="s">
        <v>42689</v>
      </c>
    </row>
    <row r="10420" spans="1:24">
      <c r="A10420">
        <f>HYPERLINK("https://www.philgeps.gov.ph/GEPSNONPILOT/Tender/SplashBidNoticeAbstractUI.aspx?menuIndex=3&amp;refID=7163248&amp;Result=3","7163248")</f>
        <v>0</v>
      </c>
      <c r="B10420" t="s">
        <v>2311</v>
      </c>
      <c r="C10420" t="s">
        <v>13479</v>
      </c>
      <c r="D10420" t="s">
        <v>17191</v>
      </c>
      <c r="E10420" t="s">
        <v>26153</v>
      </c>
      <c r="F10420" t="s">
        <v>29372</v>
      </c>
      <c r="G10420" t="s">
        <v>29380</v>
      </c>
      <c r="H10420" t="s">
        <v>11048</v>
      </c>
      <c r="I10420" t="s">
        <v>29407</v>
      </c>
      <c r="J10420" t="s">
        <v>36138</v>
      </c>
      <c r="K10420" t="s">
        <v>38485</v>
      </c>
      <c r="M10420" t="s">
        <v>41242</v>
      </c>
      <c r="N10420" t="s">
        <v>42669</v>
      </c>
      <c r="O10420" t="s">
        <v>42670</v>
      </c>
      <c r="Q10420">
        <v>15</v>
      </c>
      <c r="R10420" t="s">
        <v>42684</v>
      </c>
      <c r="S10420" t="s">
        <v>43195</v>
      </c>
      <c r="T10420" t="s">
        <v>44357</v>
      </c>
      <c r="U10420" t="s">
        <v>53306</v>
      </c>
      <c r="V10420" t="s">
        <v>57551</v>
      </c>
      <c r="W10420" t="s">
        <v>41242</v>
      </c>
      <c r="X10420" t="s">
        <v>42689</v>
      </c>
    </row>
    <row r="10421" spans="1:24">
      <c r="A10421">
        <f>HYPERLINK("https://www.philgeps.gov.ph/GEPSNONPILOT/Tender/SplashBidNoticeAbstractUI.aspx?menuIndex=3&amp;refID=7162875&amp;Result=3","7162875")</f>
        <v>0</v>
      </c>
      <c r="B10421" t="s">
        <v>1927</v>
      </c>
      <c r="C10421" t="s">
        <v>13480</v>
      </c>
      <c r="D10421" t="s">
        <v>17231</v>
      </c>
      <c r="E10421" t="s">
        <v>26154</v>
      </c>
      <c r="F10421" t="s">
        <v>29372</v>
      </c>
      <c r="G10421" t="s">
        <v>29380</v>
      </c>
      <c r="H10421" t="s">
        <v>11048</v>
      </c>
      <c r="I10421" t="s">
        <v>4709</v>
      </c>
      <c r="J10421" t="s">
        <v>36139</v>
      </c>
      <c r="K10421" t="s">
        <v>38496</v>
      </c>
      <c r="M10421" t="s">
        <v>40804</v>
      </c>
      <c r="N10421" t="s">
        <v>42669</v>
      </c>
      <c r="O10421" t="s">
        <v>42670</v>
      </c>
      <c r="P10421">
        <v>0</v>
      </c>
      <c r="Q10421">
        <v>1</v>
      </c>
      <c r="R10421" t="s">
        <v>42684</v>
      </c>
      <c r="S10421" t="s">
        <v>43183</v>
      </c>
      <c r="T10421" t="s">
        <v>44481</v>
      </c>
      <c r="U10421" t="s">
        <v>53307</v>
      </c>
      <c r="W10421" t="s">
        <v>40804</v>
      </c>
      <c r="X10421" t="s">
        <v>42689</v>
      </c>
    </row>
    <row r="10422" spans="1:24">
      <c r="A10422">
        <f>HYPERLINK("https://www.philgeps.gov.ph/GEPSNONPILOT/Tender/SplashBidNoticeAbstractUI.aspx?menuIndex=3&amp;refID=7163405&amp;Result=3","7163405")</f>
        <v>0</v>
      </c>
      <c r="B10422" t="s">
        <v>1919</v>
      </c>
      <c r="C10422" t="s">
        <v>13481</v>
      </c>
      <c r="D10422" t="s">
        <v>17194</v>
      </c>
      <c r="E10422" t="s">
        <v>26155</v>
      </c>
      <c r="F10422" t="s">
        <v>29372</v>
      </c>
      <c r="G10422" t="s">
        <v>29380</v>
      </c>
      <c r="H10422" t="s">
        <v>29389</v>
      </c>
      <c r="I10422" t="s">
        <v>10408</v>
      </c>
      <c r="J10422" t="s">
        <v>33066</v>
      </c>
      <c r="K10422" t="s">
        <v>38716</v>
      </c>
      <c r="M10422" t="s">
        <v>40820</v>
      </c>
      <c r="N10422" t="s">
        <v>42669</v>
      </c>
      <c r="O10422" t="s">
        <v>42670</v>
      </c>
      <c r="Q10422">
        <v>14</v>
      </c>
      <c r="R10422" t="s">
        <v>42684</v>
      </c>
      <c r="S10422" t="s">
        <v>43196</v>
      </c>
      <c r="T10422" t="s">
        <v>44453</v>
      </c>
      <c r="U10422" t="s">
        <v>53308</v>
      </c>
      <c r="V10422" t="s">
        <v>56972</v>
      </c>
      <c r="W10422" t="s">
        <v>40820</v>
      </c>
      <c r="X10422" t="s">
        <v>42689</v>
      </c>
    </row>
    <row r="10423" spans="1:24">
      <c r="A10423">
        <f>HYPERLINK("https://www.philgeps.gov.ph/GEPSNONPILOT/Tender/SplashBidNoticeAbstractUI.aspx?menuIndex=3&amp;refID=7161982&amp;Result=3","7161982")</f>
        <v>0</v>
      </c>
      <c r="B10423" t="s">
        <v>3011</v>
      </c>
      <c r="C10423" t="s">
        <v>13482</v>
      </c>
      <c r="D10423" t="s">
        <v>17192</v>
      </c>
      <c r="E10423" t="s">
        <v>17714</v>
      </c>
      <c r="F10423" t="s">
        <v>29372</v>
      </c>
      <c r="G10423" t="s">
        <v>29380</v>
      </c>
      <c r="H10423" t="s">
        <v>29389</v>
      </c>
      <c r="I10423" t="s">
        <v>10408</v>
      </c>
      <c r="J10423" t="s">
        <v>36140</v>
      </c>
      <c r="K10423" t="s">
        <v>38522</v>
      </c>
      <c r="M10423" t="s">
        <v>42030</v>
      </c>
      <c r="N10423" t="s">
        <v>42669</v>
      </c>
      <c r="O10423" t="s">
        <v>42670</v>
      </c>
      <c r="P10423">
        <v>0</v>
      </c>
      <c r="Q10423">
        <v>0</v>
      </c>
      <c r="R10423" t="s">
        <v>42684</v>
      </c>
      <c r="S10423" t="s">
        <v>43183</v>
      </c>
      <c r="T10423" t="s">
        <v>44375</v>
      </c>
      <c r="U10423" t="s">
        <v>53309</v>
      </c>
      <c r="W10423" t="s">
        <v>42030</v>
      </c>
      <c r="X10423" t="s">
        <v>42689</v>
      </c>
    </row>
    <row r="10424" spans="1:24">
      <c r="A10424">
        <f>HYPERLINK("https://www.philgeps.gov.ph/GEPSNONPILOT/Tender/SplashBidNoticeAbstractUI.aspx?menuIndex=3&amp;refID=7162550&amp;Result=3","7162550")</f>
        <v>0</v>
      </c>
      <c r="B10424" t="s">
        <v>1029</v>
      </c>
      <c r="C10424" t="s">
        <v>13483</v>
      </c>
      <c r="E10424" t="s">
        <v>23899</v>
      </c>
      <c r="F10424" t="s">
        <v>29372</v>
      </c>
      <c r="G10424" t="s">
        <v>29380</v>
      </c>
      <c r="H10424" t="s">
        <v>29389</v>
      </c>
      <c r="I10424" t="s">
        <v>10408</v>
      </c>
      <c r="J10424" t="s">
        <v>29543</v>
      </c>
      <c r="K10424" t="s">
        <v>38496</v>
      </c>
      <c r="M10424" t="s">
        <v>39831</v>
      </c>
      <c r="N10424" t="s">
        <v>42669</v>
      </c>
      <c r="O10424" t="s">
        <v>42670</v>
      </c>
      <c r="P10424">
        <v>0</v>
      </c>
      <c r="Q10424">
        <v>1</v>
      </c>
      <c r="R10424" t="s">
        <v>42684</v>
      </c>
      <c r="S10424" t="s">
        <v>43183</v>
      </c>
      <c r="T10424" t="s">
        <v>44357</v>
      </c>
      <c r="U10424" t="s">
        <v>47046</v>
      </c>
      <c r="W10424" t="s">
        <v>39831</v>
      </c>
      <c r="X10424" t="s">
        <v>42689</v>
      </c>
    </row>
    <row r="10425" spans="1:24">
      <c r="A10425">
        <f>HYPERLINK("https://www.philgeps.gov.ph/GEPSNONPILOT/Tender/SplashBidNoticeAbstractUI.aspx?menuIndex=3&amp;refID=7160475&amp;Result=3","7160475")</f>
        <v>0</v>
      </c>
      <c r="B10425" t="s">
        <v>1115</v>
      </c>
      <c r="C10425" t="s">
        <v>13484</v>
      </c>
      <c r="D10425" t="s">
        <v>17167</v>
      </c>
      <c r="E10425" t="s">
        <v>26156</v>
      </c>
      <c r="F10425" t="s">
        <v>29372</v>
      </c>
      <c r="G10425" t="s">
        <v>29380</v>
      </c>
      <c r="H10425" t="s">
        <v>11048</v>
      </c>
      <c r="I10425" t="s">
        <v>29394</v>
      </c>
      <c r="J10425" t="s">
        <v>31110</v>
      </c>
      <c r="K10425" t="s">
        <v>38491</v>
      </c>
      <c r="M10425" t="s">
        <v>42031</v>
      </c>
      <c r="N10425" t="s">
        <v>42669</v>
      </c>
      <c r="O10425" t="s">
        <v>42670</v>
      </c>
      <c r="P10425">
        <v>0</v>
      </c>
      <c r="Q10425">
        <v>1</v>
      </c>
      <c r="R10425" t="s">
        <v>42684</v>
      </c>
      <c r="S10425" t="s">
        <v>43183</v>
      </c>
      <c r="T10425" t="s">
        <v>44366</v>
      </c>
      <c r="U10425" t="s">
        <v>53310</v>
      </c>
      <c r="W10425" t="s">
        <v>42031</v>
      </c>
      <c r="X10425" t="s">
        <v>42690</v>
      </c>
    </row>
    <row r="10426" spans="1:24">
      <c r="A10426">
        <f>HYPERLINK("https://www.philgeps.gov.ph/GEPSNONPILOT/Tender/SplashBidNoticeAbstractUI.aspx?menuIndex=3&amp;refID=7152405&amp;Result=3","7152405")</f>
        <v>0</v>
      </c>
      <c r="B10426" t="s">
        <v>3008</v>
      </c>
      <c r="C10426" t="s">
        <v>13485</v>
      </c>
      <c r="D10426" t="s">
        <v>17161</v>
      </c>
      <c r="E10426" t="s">
        <v>26143</v>
      </c>
      <c r="F10426" t="s">
        <v>29372</v>
      </c>
      <c r="G10426" t="s">
        <v>29380</v>
      </c>
      <c r="H10426" t="s">
        <v>11048</v>
      </c>
      <c r="I10426" t="s">
        <v>3952</v>
      </c>
      <c r="J10426" t="s">
        <v>36141</v>
      </c>
      <c r="K10426" t="s">
        <v>38485</v>
      </c>
      <c r="M10426" t="s">
        <v>42027</v>
      </c>
      <c r="N10426" t="s">
        <v>42669</v>
      </c>
      <c r="O10426" t="s">
        <v>42670</v>
      </c>
      <c r="P10426">
        <v>0</v>
      </c>
      <c r="Q10426">
        <v>0</v>
      </c>
      <c r="R10426" t="s">
        <v>42684</v>
      </c>
      <c r="S10426" t="s">
        <v>43183</v>
      </c>
      <c r="T10426" t="s">
        <v>44450</v>
      </c>
      <c r="U10426" t="s">
        <v>53311</v>
      </c>
      <c r="W10426" t="s">
        <v>42027</v>
      </c>
      <c r="X10426" t="s">
        <v>42692</v>
      </c>
    </row>
    <row r="10427" spans="1:24">
      <c r="A10427">
        <f>HYPERLINK("https://www.philgeps.gov.ph/GEPSNONPILOT/Tender/SplashBidNoticeAbstractUI.aspx?menuIndex=3&amp;refID=7160934&amp;Result=3","7160934")</f>
        <v>0</v>
      </c>
      <c r="B10427" t="s">
        <v>3012</v>
      </c>
      <c r="C10427" t="s">
        <v>13486</v>
      </c>
      <c r="D10427" t="s">
        <v>17158</v>
      </c>
      <c r="E10427" t="s">
        <v>17533</v>
      </c>
      <c r="F10427" t="s">
        <v>29372</v>
      </c>
      <c r="G10427" t="s">
        <v>29380</v>
      </c>
      <c r="H10427" t="s">
        <v>29389</v>
      </c>
      <c r="I10427" t="s">
        <v>10408</v>
      </c>
      <c r="J10427" t="s">
        <v>36142</v>
      </c>
      <c r="K10427" t="s">
        <v>38488</v>
      </c>
      <c r="M10427" t="s">
        <v>42032</v>
      </c>
      <c r="N10427" t="s">
        <v>42669</v>
      </c>
      <c r="O10427" t="s">
        <v>42670</v>
      </c>
      <c r="P10427">
        <v>0</v>
      </c>
      <c r="Q10427">
        <v>0</v>
      </c>
      <c r="R10427" t="s">
        <v>42684</v>
      </c>
      <c r="S10427" t="s">
        <v>43183</v>
      </c>
      <c r="T10427" t="s">
        <v>44375</v>
      </c>
      <c r="U10427" t="s">
        <v>53312</v>
      </c>
      <c r="W10427" t="s">
        <v>42032</v>
      </c>
      <c r="X10427" t="s">
        <v>42690</v>
      </c>
    </row>
    <row r="10428" spans="1:24">
      <c r="A10428">
        <f>HYPERLINK("https://www.philgeps.gov.ph/GEPSNONPILOT/Tender/SplashBidNoticeAbstractUI.aspx?menuIndex=3&amp;refID=7161620&amp;Result=3","7161620")</f>
        <v>0</v>
      </c>
      <c r="B10428" t="s">
        <v>3013</v>
      </c>
      <c r="C10428" t="s">
        <v>13487</v>
      </c>
      <c r="D10428" t="s">
        <v>17168</v>
      </c>
      <c r="E10428" t="s">
        <v>17951</v>
      </c>
      <c r="F10428" t="s">
        <v>29372</v>
      </c>
      <c r="G10428" t="s">
        <v>29380</v>
      </c>
      <c r="H10428" t="s">
        <v>11048</v>
      </c>
      <c r="I10428" t="s">
        <v>5383</v>
      </c>
      <c r="J10428" t="s">
        <v>36143</v>
      </c>
      <c r="K10428" t="s">
        <v>38534</v>
      </c>
      <c r="M10428" t="s">
        <v>42033</v>
      </c>
      <c r="N10428" t="s">
        <v>42669</v>
      </c>
      <c r="O10428" t="s">
        <v>42670</v>
      </c>
      <c r="P10428">
        <v>0</v>
      </c>
      <c r="Q10428">
        <v>1</v>
      </c>
      <c r="R10428" t="s">
        <v>42684</v>
      </c>
      <c r="S10428" t="s">
        <v>43183</v>
      </c>
      <c r="T10428" t="s">
        <v>44361</v>
      </c>
      <c r="U10428" t="s">
        <v>53313</v>
      </c>
      <c r="V10428" t="s">
        <v>57552</v>
      </c>
      <c r="W10428" t="s">
        <v>42033</v>
      </c>
      <c r="X10428" t="s">
        <v>42690</v>
      </c>
    </row>
    <row r="10429" spans="1:24">
      <c r="A10429">
        <f>HYPERLINK("https://www.philgeps.gov.ph/GEPSNONPILOT/Tender/SplashBidNoticeAbstractUI.aspx?menuIndex=3&amp;refID=7160536&amp;Result=3","7160536")</f>
        <v>0</v>
      </c>
      <c r="B10429" t="s">
        <v>1115</v>
      </c>
      <c r="C10429" t="s">
        <v>13488</v>
      </c>
      <c r="D10429" t="s">
        <v>17167</v>
      </c>
      <c r="E10429" t="s">
        <v>26157</v>
      </c>
      <c r="F10429" t="s">
        <v>29372</v>
      </c>
      <c r="G10429" t="s">
        <v>29380</v>
      </c>
      <c r="H10429" t="s">
        <v>11048</v>
      </c>
      <c r="I10429" t="s">
        <v>9469</v>
      </c>
      <c r="J10429" t="s">
        <v>29788</v>
      </c>
      <c r="K10429" t="s">
        <v>38491</v>
      </c>
      <c r="M10429" t="s">
        <v>42031</v>
      </c>
      <c r="N10429" t="s">
        <v>42669</v>
      </c>
      <c r="O10429" t="s">
        <v>42670</v>
      </c>
      <c r="P10429">
        <v>0</v>
      </c>
      <c r="Q10429">
        <v>6</v>
      </c>
      <c r="R10429" t="s">
        <v>42684</v>
      </c>
      <c r="S10429" t="s">
        <v>43183</v>
      </c>
      <c r="T10429" t="s">
        <v>44366</v>
      </c>
      <c r="U10429" t="s">
        <v>53314</v>
      </c>
      <c r="W10429" t="s">
        <v>42031</v>
      </c>
      <c r="X10429" t="s">
        <v>42690</v>
      </c>
    </row>
    <row r="10430" spans="1:24">
      <c r="A10430">
        <f>HYPERLINK("https://www.philgeps.gov.ph/GEPSNONPILOT/Tender/SplashBidNoticeAbstractUI.aspx?menuIndex=3&amp;refID=7160507&amp;Result=3","7160507")</f>
        <v>0</v>
      </c>
      <c r="B10430" t="s">
        <v>1115</v>
      </c>
      <c r="C10430" t="s">
        <v>13489</v>
      </c>
      <c r="D10430" t="s">
        <v>17167</v>
      </c>
      <c r="E10430" t="s">
        <v>26158</v>
      </c>
      <c r="F10430" t="s">
        <v>29372</v>
      </c>
      <c r="G10430" t="s">
        <v>29380</v>
      </c>
      <c r="H10430" t="s">
        <v>11048</v>
      </c>
      <c r="I10430" t="s">
        <v>29458</v>
      </c>
      <c r="J10430" t="s">
        <v>36144</v>
      </c>
      <c r="K10430" t="s">
        <v>38491</v>
      </c>
      <c r="M10430" t="s">
        <v>42031</v>
      </c>
      <c r="N10430" t="s">
        <v>42669</v>
      </c>
      <c r="O10430" t="s">
        <v>42670</v>
      </c>
      <c r="P10430">
        <v>0</v>
      </c>
      <c r="Q10430">
        <v>4</v>
      </c>
      <c r="R10430" t="s">
        <v>42684</v>
      </c>
      <c r="S10430" t="s">
        <v>43183</v>
      </c>
      <c r="T10430" t="s">
        <v>44366</v>
      </c>
      <c r="U10430" t="s">
        <v>53315</v>
      </c>
      <c r="W10430" t="s">
        <v>42031</v>
      </c>
      <c r="X10430" t="s">
        <v>42690</v>
      </c>
    </row>
    <row r="10431" spans="1:24">
      <c r="A10431">
        <f>HYPERLINK("https://www.philgeps.gov.ph/GEPSNONPILOT/Tender/SplashBidNoticeAbstractUI.aspx?menuIndex=3&amp;refID=7166030&amp;Result=3","7166030")</f>
        <v>0</v>
      </c>
      <c r="B10431" t="s">
        <v>2859</v>
      </c>
      <c r="C10431" t="s">
        <v>13490</v>
      </c>
      <c r="D10431" t="s">
        <v>17212</v>
      </c>
      <c r="E10431" t="s">
        <v>26159</v>
      </c>
      <c r="F10431" t="s">
        <v>29372</v>
      </c>
      <c r="G10431" t="s">
        <v>29380</v>
      </c>
      <c r="H10431" t="s">
        <v>11048</v>
      </c>
      <c r="I10431" t="s">
        <v>3695</v>
      </c>
      <c r="J10431" t="s">
        <v>30232</v>
      </c>
      <c r="K10431" t="s">
        <v>38496</v>
      </c>
      <c r="M10431" t="s">
        <v>41854</v>
      </c>
      <c r="N10431" t="s">
        <v>42669</v>
      </c>
      <c r="O10431" t="s">
        <v>42670</v>
      </c>
      <c r="P10431">
        <v>0</v>
      </c>
      <c r="Q10431">
        <v>4</v>
      </c>
      <c r="R10431" t="s">
        <v>42684</v>
      </c>
      <c r="S10431" t="s">
        <v>43183</v>
      </c>
      <c r="T10431" t="s">
        <v>44509</v>
      </c>
      <c r="U10431" t="s">
        <v>53316</v>
      </c>
      <c r="W10431" t="s">
        <v>41854</v>
      </c>
      <c r="X10431" t="s">
        <v>42686</v>
      </c>
    </row>
    <row r="10432" spans="1:24">
      <c r="A10432">
        <f>HYPERLINK("https://www.philgeps.gov.ph/GEPSNONPILOT/Tender/SplashBidNoticeAbstractUI.aspx?menuIndex=3&amp;refID=7160331&amp;Result=3","7160331")</f>
        <v>0</v>
      </c>
      <c r="B10432" t="s">
        <v>2110</v>
      </c>
      <c r="C10432" t="s">
        <v>13491</v>
      </c>
      <c r="D10432" t="s">
        <v>17197</v>
      </c>
      <c r="E10432" t="s">
        <v>19582</v>
      </c>
      <c r="F10432" t="s">
        <v>29372</v>
      </c>
      <c r="G10432" t="s">
        <v>29380</v>
      </c>
      <c r="H10432" t="s">
        <v>29389</v>
      </c>
      <c r="I10432" t="s">
        <v>10408</v>
      </c>
      <c r="J10432" t="s">
        <v>36145</v>
      </c>
      <c r="K10432" t="s">
        <v>38577</v>
      </c>
      <c r="M10432" t="s">
        <v>41013</v>
      </c>
      <c r="N10432" t="s">
        <v>42669</v>
      </c>
      <c r="O10432" t="s">
        <v>42670</v>
      </c>
      <c r="P10432">
        <v>0</v>
      </c>
      <c r="Q10432">
        <v>0</v>
      </c>
      <c r="R10432" t="s">
        <v>42684</v>
      </c>
      <c r="S10432" t="s">
        <v>43183</v>
      </c>
      <c r="T10432" t="s">
        <v>44411</v>
      </c>
      <c r="U10432" t="s">
        <v>53317</v>
      </c>
      <c r="W10432" t="s">
        <v>41013</v>
      </c>
      <c r="X10432" t="s">
        <v>42690</v>
      </c>
    </row>
    <row r="10433" spans="1:24">
      <c r="A10433">
        <f>HYPERLINK("https://www.philgeps.gov.ph/GEPSNONPILOT/Tender/SplashBidNoticeAbstractUI.aspx?menuIndex=3&amp;refID=7161545&amp;Result=3","7161545")</f>
        <v>0</v>
      </c>
      <c r="B10433" t="s">
        <v>3014</v>
      </c>
      <c r="C10433" t="s">
        <v>13492</v>
      </c>
      <c r="D10433" t="s">
        <v>17166</v>
      </c>
      <c r="E10433" t="s">
        <v>26160</v>
      </c>
      <c r="F10433" t="s">
        <v>29372</v>
      </c>
      <c r="G10433" t="s">
        <v>29380</v>
      </c>
      <c r="H10433" t="s">
        <v>11048</v>
      </c>
      <c r="I10433" t="s">
        <v>29397</v>
      </c>
      <c r="J10433" t="s">
        <v>36146</v>
      </c>
      <c r="K10433" t="s">
        <v>38488</v>
      </c>
      <c r="M10433" t="s">
        <v>42034</v>
      </c>
      <c r="N10433" t="s">
        <v>42669</v>
      </c>
      <c r="O10433" t="s">
        <v>42670</v>
      </c>
      <c r="P10433">
        <v>0</v>
      </c>
      <c r="Q10433">
        <v>3</v>
      </c>
      <c r="R10433" t="s">
        <v>42684</v>
      </c>
      <c r="S10433" t="s">
        <v>43183</v>
      </c>
      <c r="T10433" t="s">
        <v>44412</v>
      </c>
      <c r="U10433" t="s">
        <v>53318</v>
      </c>
      <c r="W10433" t="s">
        <v>42034</v>
      </c>
      <c r="X10433" t="s">
        <v>42690</v>
      </c>
    </row>
    <row r="10434" spans="1:24">
      <c r="A10434">
        <f>HYPERLINK("https://www.philgeps.gov.ph/GEPSNONPILOT/Tender/SplashBidNoticeAbstractUI.aspx?menuIndex=3&amp;refID=7162575&amp;Result=3","7162575")</f>
        <v>0</v>
      </c>
      <c r="B10434" t="s">
        <v>1919</v>
      </c>
      <c r="C10434" t="s">
        <v>13493</v>
      </c>
      <c r="D10434" t="s">
        <v>17194</v>
      </c>
      <c r="E10434" t="s">
        <v>26161</v>
      </c>
      <c r="F10434" t="s">
        <v>29372</v>
      </c>
      <c r="G10434" t="s">
        <v>29380</v>
      </c>
      <c r="H10434" t="s">
        <v>11048</v>
      </c>
      <c r="I10434" t="s">
        <v>4709</v>
      </c>
      <c r="J10434" t="s">
        <v>36147</v>
      </c>
      <c r="K10434" t="s">
        <v>38485</v>
      </c>
      <c r="M10434" t="s">
        <v>40820</v>
      </c>
      <c r="N10434" t="s">
        <v>42669</v>
      </c>
      <c r="O10434" t="s">
        <v>42670</v>
      </c>
      <c r="Q10434">
        <v>1</v>
      </c>
      <c r="R10434" t="s">
        <v>42684</v>
      </c>
      <c r="S10434" t="s">
        <v>43197</v>
      </c>
      <c r="T10434" t="s">
        <v>44453</v>
      </c>
      <c r="U10434" t="s">
        <v>49323</v>
      </c>
      <c r="V10434" t="s">
        <v>56972</v>
      </c>
      <c r="W10434" t="s">
        <v>40820</v>
      </c>
      <c r="X10434" t="s">
        <v>42689</v>
      </c>
    </row>
    <row r="10435" spans="1:24">
      <c r="A10435">
        <f>HYPERLINK("https://www.philgeps.gov.ph/GEPSNONPILOT/Tender/SplashBidNoticeAbstractUI.aspx?menuIndex=3&amp;refID=7165915&amp;Result=3","7165915")</f>
        <v>0</v>
      </c>
      <c r="B10435" t="s">
        <v>2859</v>
      </c>
      <c r="C10435" t="s">
        <v>13494</v>
      </c>
      <c r="D10435" t="s">
        <v>17212</v>
      </c>
      <c r="E10435" t="s">
        <v>26162</v>
      </c>
      <c r="F10435" t="s">
        <v>29372</v>
      </c>
      <c r="G10435" t="s">
        <v>29380</v>
      </c>
      <c r="H10435" t="s">
        <v>11048</v>
      </c>
      <c r="I10435" t="s">
        <v>8208</v>
      </c>
      <c r="J10435" t="s">
        <v>29590</v>
      </c>
      <c r="K10435" t="s">
        <v>38496</v>
      </c>
      <c r="M10435" t="s">
        <v>41854</v>
      </c>
      <c r="N10435" t="s">
        <v>42669</v>
      </c>
      <c r="O10435" t="s">
        <v>42670</v>
      </c>
      <c r="P10435">
        <v>0</v>
      </c>
      <c r="Q10435">
        <v>0</v>
      </c>
      <c r="R10435" t="s">
        <v>42684</v>
      </c>
      <c r="S10435" t="s">
        <v>43183</v>
      </c>
      <c r="T10435" t="s">
        <v>44509</v>
      </c>
      <c r="U10435" t="s">
        <v>53319</v>
      </c>
      <c r="W10435" t="s">
        <v>41854</v>
      </c>
      <c r="X10435" t="s">
        <v>42686</v>
      </c>
    </row>
    <row r="10436" spans="1:24">
      <c r="A10436">
        <f>HYPERLINK("https://www.philgeps.gov.ph/GEPSNONPILOT/Tender/SplashBidNoticeAbstractUI.aspx?menuIndex=3&amp;refID=7162177&amp;Result=3","7162177")</f>
        <v>0</v>
      </c>
      <c r="B10436" t="s">
        <v>529</v>
      </c>
      <c r="C10436" t="s">
        <v>13495</v>
      </c>
      <c r="D10436" t="s">
        <v>17147</v>
      </c>
      <c r="E10436" t="s">
        <v>26163</v>
      </c>
      <c r="F10436" t="s">
        <v>29372</v>
      </c>
      <c r="G10436" t="s">
        <v>29380</v>
      </c>
      <c r="H10436" t="s">
        <v>11048</v>
      </c>
      <c r="I10436" t="s">
        <v>9469</v>
      </c>
      <c r="J10436" t="s">
        <v>29937</v>
      </c>
      <c r="K10436" t="s">
        <v>38503</v>
      </c>
      <c r="M10436" t="s">
        <v>39296</v>
      </c>
      <c r="N10436" t="s">
        <v>42669</v>
      </c>
      <c r="O10436" t="s">
        <v>42670</v>
      </c>
      <c r="P10436">
        <v>0</v>
      </c>
      <c r="Q10436">
        <v>4</v>
      </c>
      <c r="R10436" t="s">
        <v>42684</v>
      </c>
      <c r="S10436" t="s">
        <v>43183</v>
      </c>
      <c r="T10436" t="s">
        <v>44527</v>
      </c>
      <c r="U10436" t="s">
        <v>53320</v>
      </c>
      <c r="W10436" t="s">
        <v>39296</v>
      </c>
      <c r="X10436" t="s">
        <v>42689</v>
      </c>
    </row>
    <row r="10437" spans="1:24">
      <c r="A10437">
        <f>HYPERLINK("https://www.philgeps.gov.ph/GEPSNONPILOT/Tender/SplashBidNoticeAbstractUI.aspx?menuIndex=3&amp;refID=7165838&amp;Result=3","7165838")</f>
        <v>0</v>
      </c>
      <c r="B10437" t="s">
        <v>2859</v>
      </c>
      <c r="C10437" t="s">
        <v>13496</v>
      </c>
      <c r="D10437" t="s">
        <v>17212</v>
      </c>
      <c r="E10437" t="s">
        <v>26164</v>
      </c>
      <c r="F10437" t="s">
        <v>29372</v>
      </c>
      <c r="G10437" t="s">
        <v>29380</v>
      </c>
      <c r="H10437" t="s">
        <v>11048</v>
      </c>
      <c r="I10437" t="s">
        <v>29451</v>
      </c>
      <c r="J10437" t="s">
        <v>29587</v>
      </c>
      <c r="K10437" t="s">
        <v>38496</v>
      </c>
      <c r="M10437" t="s">
        <v>41854</v>
      </c>
      <c r="N10437" t="s">
        <v>42669</v>
      </c>
      <c r="O10437" t="s">
        <v>42670</v>
      </c>
      <c r="P10437">
        <v>0</v>
      </c>
      <c r="Q10437">
        <v>4</v>
      </c>
      <c r="R10437" t="s">
        <v>42684</v>
      </c>
      <c r="S10437" t="s">
        <v>43183</v>
      </c>
      <c r="T10437" t="s">
        <v>44509</v>
      </c>
      <c r="U10437" t="s">
        <v>53321</v>
      </c>
      <c r="W10437" t="s">
        <v>41854</v>
      </c>
      <c r="X10437" t="s">
        <v>42686</v>
      </c>
    </row>
    <row r="10438" spans="1:24">
      <c r="A10438">
        <f>HYPERLINK("https://www.philgeps.gov.ph/GEPSNONPILOT/Tender/SplashBidNoticeAbstractUI.aspx?menuIndex=3&amp;refID=7174116&amp;Result=3","7174116")</f>
        <v>0</v>
      </c>
      <c r="B10438" t="s">
        <v>1105</v>
      </c>
      <c r="C10438" t="s">
        <v>13497</v>
      </c>
      <c r="D10438" t="s">
        <v>17153</v>
      </c>
      <c r="E10438" t="s">
        <v>26165</v>
      </c>
      <c r="F10438" t="s">
        <v>29372</v>
      </c>
      <c r="G10438" t="s">
        <v>29380</v>
      </c>
      <c r="H10438" t="s">
        <v>29389</v>
      </c>
      <c r="I10438" t="s">
        <v>10408</v>
      </c>
      <c r="J10438" t="s">
        <v>36148</v>
      </c>
      <c r="K10438" t="s">
        <v>38577</v>
      </c>
      <c r="M10438" t="s">
        <v>39914</v>
      </c>
      <c r="N10438" t="s">
        <v>42669</v>
      </c>
      <c r="O10438" t="s">
        <v>42670</v>
      </c>
      <c r="P10438">
        <v>0</v>
      </c>
      <c r="Q10438">
        <v>1</v>
      </c>
      <c r="R10438" t="s">
        <v>42683</v>
      </c>
      <c r="S10438" t="s">
        <v>43062</v>
      </c>
      <c r="T10438" t="s">
        <v>44373</v>
      </c>
      <c r="U10438" t="s">
        <v>53322</v>
      </c>
      <c r="W10438" t="s">
        <v>39914</v>
      </c>
      <c r="X10438" t="s">
        <v>42684</v>
      </c>
    </row>
    <row r="10439" spans="1:24">
      <c r="A10439">
        <f>HYPERLINK("https://www.philgeps.gov.ph/GEPSNONPILOT/Tender/SplashBidNoticeAbstractUI.aspx?menuIndex=3&amp;refID=7165689&amp;Result=3","7165689")</f>
        <v>0</v>
      </c>
      <c r="B10439" t="s">
        <v>58</v>
      </c>
      <c r="C10439" t="s">
        <v>13498</v>
      </c>
      <c r="D10439" t="s">
        <v>17144</v>
      </c>
      <c r="E10439" t="s">
        <v>26166</v>
      </c>
      <c r="F10439" t="s">
        <v>29372</v>
      </c>
      <c r="G10439" t="s">
        <v>29380</v>
      </c>
      <c r="H10439" t="s">
        <v>11048</v>
      </c>
      <c r="I10439" t="s">
        <v>29437</v>
      </c>
      <c r="J10439" t="s">
        <v>35599</v>
      </c>
      <c r="K10439" t="s">
        <v>38490</v>
      </c>
      <c r="L10439" t="s">
        <v>58</v>
      </c>
      <c r="M10439" t="s">
        <v>38811</v>
      </c>
      <c r="N10439" t="s">
        <v>42669</v>
      </c>
      <c r="O10439" t="s">
        <v>42670</v>
      </c>
      <c r="Q10439">
        <v>3</v>
      </c>
      <c r="R10439" t="s">
        <v>42684</v>
      </c>
      <c r="S10439" t="s">
        <v>42953</v>
      </c>
      <c r="T10439" t="s">
        <v>44391</v>
      </c>
      <c r="U10439" t="s">
        <v>53323</v>
      </c>
      <c r="W10439" t="s">
        <v>38811</v>
      </c>
      <c r="X10439" t="s">
        <v>42686</v>
      </c>
    </row>
    <row r="10440" spans="1:24">
      <c r="A10440">
        <f>HYPERLINK("https://www.philgeps.gov.ph/GEPSNONPILOT/Tender/SplashBidNoticeAbstractUI.aspx?menuIndex=3&amp;refID=7163196&amp;Result=3","7163196")</f>
        <v>0</v>
      </c>
      <c r="B10440" t="s">
        <v>2311</v>
      </c>
      <c r="C10440" t="s">
        <v>13499</v>
      </c>
      <c r="D10440" t="s">
        <v>17191</v>
      </c>
      <c r="E10440" t="s">
        <v>26167</v>
      </c>
      <c r="F10440" t="s">
        <v>29372</v>
      </c>
      <c r="G10440" t="s">
        <v>29380</v>
      </c>
      <c r="H10440" t="s">
        <v>11048</v>
      </c>
      <c r="I10440" t="s">
        <v>3695</v>
      </c>
      <c r="J10440" t="s">
        <v>36149</v>
      </c>
      <c r="K10440" t="s">
        <v>38485</v>
      </c>
      <c r="M10440" t="s">
        <v>41242</v>
      </c>
      <c r="N10440" t="s">
        <v>42669</v>
      </c>
      <c r="O10440" t="s">
        <v>42670</v>
      </c>
      <c r="Q10440">
        <v>9</v>
      </c>
      <c r="R10440" t="s">
        <v>42684</v>
      </c>
      <c r="S10440" t="s">
        <v>43198</v>
      </c>
      <c r="T10440" t="s">
        <v>44357</v>
      </c>
      <c r="U10440" t="s">
        <v>53324</v>
      </c>
      <c r="V10440" t="s">
        <v>57553</v>
      </c>
      <c r="W10440" t="s">
        <v>41242</v>
      </c>
      <c r="X10440" t="s">
        <v>42689</v>
      </c>
    </row>
    <row r="10441" spans="1:24">
      <c r="A10441">
        <f>HYPERLINK("https://www.philgeps.gov.ph/GEPSNONPILOT/Tender/SplashBidNoticeAbstractUI.aspx?menuIndex=3&amp;refID=7165945&amp;Result=3","7165945")</f>
        <v>0</v>
      </c>
      <c r="B10441" t="s">
        <v>1466</v>
      </c>
      <c r="C10441" t="s">
        <v>13500</v>
      </c>
      <c r="E10441" t="s">
        <v>26168</v>
      </c>
      <c r="F10441" t="s">
        <v>29372</v>
      </c>
      <c r="G10441" t="s">
        <v>29380</v>
      </c>
      <c r="H10441" t="s">
        <v>11048</v>
      </c>
      <c r="I10441" t="s">
        <v>3670</v>
      </c>
      <c r="J10441" t="s">
        <v>36150</v>
      </c>
      <c r="K10441" t="s">
        <v>38490</v>
      </c>
      <c r="M10441" t="s">
        <v>41524</v>
      </c>
      <c r="N10441" t="s">
        <v>42669</v>
      </c>
      <c r="O10441" t="s">
        <v>42670</v>
      </c>
      <c r="P10441">
        <v>0</v>
      </c>
      <c r="Q10441">
        <v>6</v>
      </c>
      <c r="R10441" t="s">
        <v>42684</v>
      </c>
      <c r="S10441" t="s">
        <v>43183</v>
      </c>
      <c r="T10441" t="s">
        <v>44432</v>
      </c>
      <c r="U10441" t="s">
        <v>53325</v>
      </c>
      <c r="W10441" t="s">
        <v>41524</v>
      </c>
      <c r="X10441" t="s">
        <v>42686</v>
      </c>
    </row>
    <row r="10442" spans="1:24">
      <c r="A10442">
        <f>HYPERLINK("https://www.philgeps.gov.ph/GEPSNONPILOT/Tender/SplashBidNoticeAbstractUI.aspx?menuIndex=3&amp;refID=7165496&amp;Result=3","7165496")</f>
        <v>0</v>
      </c>
      <c r="B10442" t="s">
        <v>953</v>
      </c>
      <c r="C10442" t="s">
        <v>13501</v>
      </c>
      <c r="D10442" t="s">
        <v>17225</v>
      </c>
      <c r="E10442" t="s">
        <v>26169</v>
      </c>
      <c r="F10442" t="s">
        <v>29372</v>
      </c>
      <c r="G10442" t="s">
        <v>29380</v>
      </c>
      <c r="H10442" t="s">
        <v>11048</v>
      </c>
      <c r="I10442" t="s">
        <v>5383</v>
      </c>
      <c r="J10442" t="s">
        <v>29724</v>
      </c>
      <c r="K10442" t="s">
        <v>38510</v>
      </c>
      <c r="M10442" t="s">
        <v>39749</v>
      </c>
      <c r="N10442" t="s">
        <v>42669</v>
      </c>
      <c r="O10442" t="s">
        <v>42670</v>
      </c>
      <c r="P10442">
        <v>0</v>
      </c>
      <c r="Q10442">
        <v>3</v>
      </c>
      <c r="R10442" t="s">
        <v>42684</v>
      </c>
      <c r="S10442" t="s">
        <v>43183</v>
      </c>
      <c r="T10442" t="s">
        <v>44375</v>
      </c>
      <c r="U10442" t="s">
        <v>53326</v>
      </c>
      <c r="W10442" t="s">
        <v>39749</v>
      </c>
      <c r="X10442" t="s">
        <v>42686</v>
      </c>
    </row>
    <row r="10443" spans="1:24">
      <c r="A10443">
        <f>HYPERLINK("https://www.philgeps.gov.ph/GEPSNONPILOT/Tender/SplashBidNoticeAbstractUI.aspx?menuIndex=3&amp;refID=7165958&amp;Result=3","7165958")</f>
        <v>0</v>
      </c>
      <c r="B10443" t="s">
        <v>2859</v>
      </c>
      <c r="C10443" t="s">
        <v>13502</v>
      </c>
      <c r="D10443" t="s">
        <v>17212</v>
      </c>
      <c r="E10443" t="s">
        <v>26170</v>
      </c>
      <c r="F10443" t="s">
        <v>29372</v>
      </c>
      <c r="G10443" t="s">
        <v>29380</v>
      </c>
      <c r="H10443" t="s">
        <v>11048</v>
      </c>
      <c r="I10443" t="s">
        <v>3839</v>
      </c>
      <c r="J10443" t="s">
        <v>31317</v>
      </c>
      <c r="K10443" t="s">
        <v>38496</v>
      </c>
      <c r="M10443" t="s">
        <v>41854</v>
      </c>
      <c r="N10443" t="s">
        <v>42669</v>
      </c>
      <c r="O10443" t="s">
        <v>42670</v>
      </c>
      <c r="P10443">
        <v>0</v>
      </c>
      <c r="Q10443">
        <v>2</v>
      </c>
      <c r="R10443" t="s">
        <v>42684</v>
      </c>
      <c r="S10443" t="s">
        <v>43183</v>
      </c>
      <c r="T10443" t="s">
        <v>44509</v>
      </c>
      <c r="U10443" t="s">
        <v>53327</v>
      </c>
      <c r="W10443" t="s">
        <v>41854</v>
      </c>
      <c r="X10443" t="s">
        <v>42686</v>
      </c>
    </row>
    <row r="10444" spans="1:24">
      <c r="A10444">
        <f>HYPERLINK("https://www.philgeps.gov.ph/GEPSNONPILOT/Tender/SplashBidNoticeAbstractUI.aspx?menuIndex=3&amp;refID=7165874&amp;Result=3","7165874")</f>
        <v>0</v>
      </c>
      <c r="B10444" t="s">
        <v>2859</v>
      </c>
      <c r="C10444" t="s">
        <v>13503</v>
      </c>
      <c r="D10444" t="s">
        <v>17212</v>
      </c>
      <c r="E10444" t="s">
        <v>26171</v>
      </c>
      <c r="F10444" t="s">
        <v>29372</v>
      </c>
      <c r="G10444" t="s">
        <v>29380</v>
      </c>
      <c r="H10444" t="s">
        <v>11048</v>
      </c>
      <c r="I10444" t="s">
        <v>8208</v>
      </c>
      <c r="J10444" t="s">
        <v>36151</v>
      </c>
      <c r="K10444" t="s">
        <v>38496</v>
      </c>
      <c r="M10444" t="s">
        <v>41854</v>
      </c>
      <c r="N10444" t="s">
        <v>42669</v>
      </c>
      <c r="O10444" t="s">
        <v>42670</v>
      </c>
      <c r="P10444">
        <v>0</v>
      </c>
      <c r="Q10444">
        <v>0</v>
      </c>
      <c r="R10444" t="s">
        <v>42684</v>
      </c>
      <c r="S10444" t="s">
        <v>43183</v>
      </c>
      <c r="T10444" t="s">
        <v>44509</v>
      </c>
      <c r="U10444" t="s">
        <v>53328</v>
      </c>
      <c r="W10444" t="s">
        <v>41854</v>
      </c>
      <c r="X10444" t="s">
        <v>42686</v>
      </c>
    </row>
    <row r="10445" spans="1:24">
      <c r="A10445">
        <f>HYPERLINK("https://www.philgeps.gov.ph/GEPSNONPILOT/Tender/SplashBidNoticeAbstractUI.aspx?menuIndex=3&amp;refID=7165324&amp;Result=3","7165324")</f>
        <v>0</v>
      </c>
      <c r="B10445" t="s">
        <v>3009</v>
      </c>
      <c r="C10445" t="s">
        <v>13504</v>
      </c>
      <c r="D10445" t="s">
        <v>17201</v>
      </c>
      <c r="E10445" t="s">
        <v>20938</v>
      </c>
      <c r="F10445" t="s">
        <v>29372</v>
      </c>
      <c r="G10445" t="s">
        <v>29380</v>
      </c>
      <c r="H10445" t="s">
        <v>29389</v>
      </c>
      <c r="I10445" t="s">
        <v>10408</v>
      </c>
      <c r="J10445" t="s">
        <v>29543</v>
      </c>
      <c r="K10445" t="s">
        <v>38496</v>
      </c>
      <c r="M10445" t="s">
        <v>42028</v>
      </c>
      <c r="N10445" t="s">
        <v>42669</v>
      </c>
      <c r="O10445" t="s">
        <v>42670</v>
      </c>
      <c r="P10445">
        <v>0</v>
      </c>
      <c r="Q10445">
        <v>0</v>
      </c>
      <c r="R10445" t="s">
        <v>42684</v>
      </c>
      <c r="S10445" t="s">
        <v>43183</v>
      </c>
      <c r="T10445" t="s">
        <v>44391</v>
      </c>
      <c r="U10445" t="s">
        <v>53295</v>
      </c>
      <c r="W10445" t="s">
        <v>42028</v>
      </c>
      <c r="X10445" t="s">
        <v>42686</v>
      </c>
    </row>
    <row r="10446" spans="1:24">
      <c r="A10446">
        <f>HYPERLINK("https://www.philgeps.gov.ph/GEPSNONPILOT/Tender/SplashBidNoticeAbstractUI.aspx?menuIndex=3&amp;refID=7165224&amp;Result=3","7165224")</f>
        <v>0</v>
      </c>
      <c r="B10446" t="s">
        <v>3015</v>
      </c>
      <c r="C10446" t="s">
        <v>13505</v>
      </c>
      <c r="D10446" t="s">
        <v>17204</v>
      </c>
      <c r="E10446" t="s">
        <v>17267</v>
      </c>
      <c r="F10446" t="s">
        <v>29372</v>
      </c>
      <c r="G10446" t="s">
        <v>29380</v>
      </c>
      <c r="H10446" t="s">
        <v>11048</v>
      </c>
      <c r="I10446" t="s">
        <v>10408</v>
      </c>
      <c r="J10446" t="s">
        <v>36152</v>
      </c>
      <c r="K10446" t="s">
        <v>38548</v>
      </c>
      <c r="M10446" t="s">
        <v>42035</v>
      </c>
      <c r="N10446" t="s">
        <v>42669</v>
      </c>
      <c r="O10446" t="s">
        <v>42670</v>
      </c>
      <c r="P10446">
        <v>0</v>
      </c>
      <c r="Q10446">
        <v>0</v>
      </c>
      <c r="R10446" t="s">
        <v>42684</v>
      </c>
      <c r="S10446" t="s">
        <v>43183</v>
      </c>
      <c r="T10446" t="s">
        <v>44412</v>
      </c>
      <c r="U10446" t="s">
        <v>53329</v>
      </c>
      <c r="V10446" t="s">
        <v>57554</v>
      </c>
      <c r="W10446" t="s">
        <v>42035</v>
      </c>
      <c r="X10446" t="s">
        <v>42686</v>
      </c>
    </row>
    <row r="10447" spans="1:24">
      <c r="A10447">
        <f>HYPERLINK("https://www.philgeps.gov.ph/GEPSNONPILOT/Tender/SplashBidNoticeAbstractUI.aspx?menuIndex=3&amp;refID=7165186&amp;Result=3","7165186")</f>
        <v>0</v>
      </c>
      <c r="B10447" t="s">
        <v>3009</v>
      </c>
      <c r="C10447" t="s">
        <v>13506</v>
      </c>
      <c r="D10447" t="s">
        <v>17201</v>
      </c>
      <c r="E10447" t="s">
        <v>20958</v>
      </c>
      <c r="F10447" t="s">
        <v>29372</v>
      </c>
      <c r="G10447" t="s">
        <v>29380</v>
      </c>
      <c r="H10447" t="s">
        <v>29389</v>
      </c>
      <c r="I10447" t="s">
        <v>10408</v>
      </c>
      <c r="J10447" t="s">
        <v>36153</v>
      </c>
      <c r="K10447" t="s">
        <v>38495</v>
      </c>
      <c r="M10447" t="s">
        <v>42028</v>
      </c>
      <c r="N10447" t="s">
        <v>42669</v>
      </c>
      <c r="O10447" t="s">
        <v>42670</v>
      </c>
      <c r="P10447">
        <v>0</v>
      </c>
      <c r="Q10447">
        <v>0</v>
      </c>
      <c r="R10447" t="s">
        <v>42684</v>
      </c>
      <c r="S10447" t="s">
        <v>43183</v>
      </c>
      <c r="T10447" t="s">
        <v>44391</v>
      </c>
      <c r="U10447" t="s">
        <v>53295</v>
      </c>
      <c r="W10447" t="s">
        <v>42028</v>
      </c>
      <c r="X10447" t="s">
        <v>42686</v>
      </c>
    </row>
    <row r="10448" spans="1:24">
      <c r="A10448">
        <f>HYPERLINK("https://www.philgeps.gov.ph/GEPSNONPILOT/Tender/SplashBidNoticeAbstractUI.aspx?menuIndex=3&amp;refID=7166056&amp;Result=3","7166056")</f>
        <v>0</v>
      </c>
      <c r="B10448" t="s">
        <v>1466</v>
      </c>
      <c r="C10448" t="s">
        <v>13507</v>
      </c>
      <c r="E10448" t="s">
        <v>26172</v>
      </c>
      <c r="F10448" t="s">
        <v>29372</v>
      </c>
      <c r="G10448" t="s">
        <v>29379</v>
      </c>
      <c r="H10448" t="s">
        <v>11048</v>
      </c>
      <c r="I10448" t="s">
        <v>3695</v>
      </c>
      <c r="J10448" t="s">
        <v>36154</v>
      </c>
      <c r="K10448" t="s">
        <v>38490</v>
      </c>
      <c r="M10448" t="s">
        <v>41524</v>
      </c>
      <c r="N10448" t="s">
        <v>42669</v>
      </c>
      <c r="O10448" t="s">
        <v>42670</v>
      </c>
      <c r="P10448">
        <v>0</v>
      </c>
      <c r="Q10448">
        <v>6</v>
      </c>
      <c r="R10448" t="s">
        <v>42684</v>
      </c>
      <c r="S10448" t="s">
        <v>43183</v>
      </c>
      <c r="T10448" t="s">
        <v>44432</v>
      </c>
      <c r="U10448" t="s">
        <v>53330</v>
      </c>
      <c r="W10448" t="s">
        <v>41524</v>
      </c>
      <c r="X10448" t="s">
        <v>42686</v>
      </c>
    </row>
    <row r="10449" spans="1:24">
      <c r="A10449">
        <f>HYPERLINK("https://www.philgeps.gov.ph/GEPSNONPILOT/Tender/SplashBidNoticeAbstractUI.aspx?menuIndex=3&amp;refID=7165806&amp;Result=3","7165806")</f>
        <v>0</v>
      </c>
      <c r="B10449" t="s">
        <v>3016</v>
      </c>
      <c r="C10449" t="s">
        <v>13508</v>
      </c>
      <c r="D10449" t="s">
        <v>17141</v>
      </c>
      <c r="E10449" t="s">
        <v>26173</v>
      </c>
      <c r="F10449" t="s">
        <v>29372</v>
      </c>
      <c r="G10449" t="s">
        <v>29380</v>
      </c>
      <c r="H10449" t="s">
        <v>11048</v>
      </c>
      <c r="I10449" t="s">
        <v>29413</v>
      </c>
      <c r="J10449" t="s">
        <v>36155</v>
      </c>
      <c r="K10449" t="s">
        <v>38526</v>
      </c>
      <c r="M10449" t="s">
        <v>42036</v>
      </c>
      <c r="N10449" t="s">
        <v>42669</v>
      </c>
      <c r="O10449" t="s">
        <v>42670</v>
      </c>
      <c r="Q10449">
        <v>15</v>
      </c>
      <c r="R10449" t="s">
        <v>42684</v>
      </c>
      <c r="S10449" t="s">
        <v>43199</v>
      </c>
      <c r="T10449" t="s">
        <v>44791</v>
      </c>
      <c r="U10449" t="s">
        <v>53331</v>
      </c>
      <c r="W10449" t="s">
        <v>42036</v>
      </c>
      <c r="X10449" t="s">
        <v>42686</v>
      </c>
    </row>
    <row r="10450" spans="1:24">
      <c r="A10450">
        <f>HYPERLINK("https://www.philgeps.gov.ph/GEPSNONPILOT/Tender/SplashBidNoticeAbstractUI.aspx?menuIndex=3&amp;refID=7166949&amp;Result=3","7166949")</f>
        <v>0</v>
      </c>
      <c r="B10450" t="s">
        <v>1464</v>
      </c>
      <c r="C10450" t="s">
        <v>13509</v>
      </c>
      <c r="D10450" t="s">
        <v>17169</v>
      </c>
      <c r="E10450" t="s">
        <v>26174</v>
      </c>
      <c r="F10450" t="s">
        <v>29372</v>
      </c>
      <c r="G10450" t="s">
        <v>29380</v>
      </c>
      <c r="H10450" t="s">
        <v>11048</v>
      </c>
      <c r="I10450" t="s">
        <v>29414</v>
      </c>
      <c r="J10450" t="s">
        <v>31195</v>
      </c>
      <c r="K10450" t="s">
        <v>38490</v>
      </c>
      <c r="M10450" t="s">
        <v>40307</v>
      </c>
      <c r="N10450" t="s">
        <v>42669</v>
      </c>
      <c r="O10450" t="s">
        <v>42670</v>
      </c>
      <c r="P10450">
        <v>0</v>
      </c>
      <c r="Q10450">
        <v>17</v>
      </c>
      <c r="R10450" t="s">
        <v>42684</v>
      </c>
      <c r="S10450" t="s">
        <v>43183</v>
      </c>
      <c r="T10450" t="s">
        <v>44551</v>
      </c>
      <c r="U10450" t="s">
        <v>53332</v>
      </c>
      <c r="W10450" t="s">
        <v>40307</v>
      </c>
      <c r="X10450" t="s">
        <v>42686</v>
      </c>
    </row>
    <row r="10451" spans="1:24">
      <c r="A10451">
        <f>HYPERLINK("https://www.philgeps.gov.ph/GEPSNONPILOT/Tender/SplashBidNoticeAbstractUI.aspx?menuIndex=3&amp;refID=7165542&amp;Result=3","7165542")</f>
        <v>0</v>
      </c>
      <c r="B10451" t="s">
        <v>272</v>
      </c>
      <c r="C10451" t="s">
        <v>13510</v>
      </c>
      <c r="D10451" t="s">
        <v>17206</v>
      </c>
      <c r="E10451" t="s">
        <v>26175</v>
      </c>
      <c r="F10451" t="s">
        <v>29372</v>
      </c>
      <c r="G10451" t="s">
        <v>29380</v>
      </c>
      <c r="H10451" t="s">
        <v>11048</v>
      </c>
      <c r="I10451" t="s">
        <v>29409</v>
      </c>
      <c r="J10451" t="s">
        <v>36156</v>
      </c>
      <c r="K10451" t="s">
        <v>38488</v>
      </c>
      <c r="M10451" t="s">
        <v>41448</v>
      </c>
      <c r="N10451" t="s">
        <v>42669</v>
      </c>
      <c r="O10451" t="s">
        <v>42670</v>
      </c>
      <c r="P10451">
        <v>0</v>
      </c>
      <c r="Q10451">
        <v>11</v>
      </c>
      <c r="R10451" t="s">
        <v>42684</v>
      </c>
      <c r="S10451" t="s">
        <v>43183</v>
      </c>
      <c r="T10451" t="s">
        <v>44422</v>
      </c>
      <c r="U10451" t="s">
        <v>53333</v>
      </c>
      <c r="W10451" t="s">
        <v>41448</v>
      </c>
      <c r="X10451" t="s">
        <v>42686</v>
      </c>
    </row>
    <row r="10452" spans="1:24">
      <c r="A10452">
        <f>HYPERLINK("https://www.philgeps.gov.ph/GEPSNONPILOT/Tender/SplashBidNoticeAbstractUI.aspx?menuIndex=3&amp;refID=7167100&amp;Result=3","7167100")</f>
        <v>0</v>
      </c>
      <c r="B10452" t="s">
        <v>1464</v>
      </c>
      <c r="C10452" t="s">
        <v>13511</v>
      </c>
      <c r="D10452" t="s">
        <v>17169</v>
      </c>
      <c r="E10452" t="s">
        <v>26176</v>
      </c>
      <c r="F10452" t="s">
        <v>29372</v>
      </c>
      <c r="G10452" t="s">
        <v>29380</v>
      </c>
      <c r="H10452" t="s">
        <v>11048</v>
      </c>
      <c r="I10452" t="s">
        <v>29414</v>
      </c>
      <c r="J10452" t="s">
        <v>35562</v>
      </c>
      <c r="K10452" t="s">
        <v>38490</v>
      </c>
      <c r="M10452" t="s">
        <v>40307</v>
      </c>
      <c r="N10452" t="s">
        <v>42669</v>
      </c>
      <c r="O10452" t="s">
        <v>42670</v>
      </c>
      <c r="P10452">
        <v>0</v>
      </c>
      <c r="Q10452">
        <v>8</v>
      </c>
      <c r="R10452" t="s">
        <v>42684</v>
      </c>
      <c r="S10452" t="s">
        <v>43183</v>
      </c>
      <c r="T10452" t="s">
        <v>44551</v>
      </c>
      <c r="U10452" t="s">
        <v>53334</v>
      </c>
      <c r="W10452" t="s">
        <v>40307</v>
      </c>
      <c r="X10452" t="s">
        <v>42686</v>
      </c>
    </row>
    <row r="10453" spans="1:24">
      <c r="A10453">
        <f>HYPERLINK("https://www.philgeps.gov.ph/GEPSNONPILOT/Tender/SplashBidNoticeAbstractUI.aspx?menuIndex=3&amp;refID=7167087&amp;Result=3","7167087")</f>
        <v>0</v>
      </c>
      <c r="B10453" t="s">
        <v>3017</v>
      </c>
      <c r="C10453" t="s">
        <v>13512</v>
      </c>
      <c r="D10453" t="s">
        <v>17182</v>
      </c>
      <c r="E10453" t="s">
        <v>26177</v>
      </c>
      <c r="F10453" t="s">
        <v>29372</v>
      </c>
      <c r="G10453" t="s">
        <v>29380</v>
      </c>
      <c r="H10453" t="s">
        <v>11048</v>
      </c>
      <c r="I10453" t="s">
        <v>5383</v>
      </c>
      <c r="J10453" t="s">
        <v>36157</v>
      </c>
      <c r="K10453" t="s">
        <v>38491</v>
      </c>
      <c r="M10453" t="s">
        <v>42037</v>
      </c>
      <c r="N10453" t="s">
        <v>42669</v>
      </c>
      <c r="O10453" t="s">
        <v>42670</v>
      </c>
      <c r="P10453">
        <v>0</v>
      </c>
      <c r="Q10453">
        <v>4</v>
      </c>
      <c r="R10453" t="s">
        <v>42684</v>
      </c>
      <c r="S10453" t="s">
        <v>43183</v>
      </c>
      <c r="T10453" t="s">
        <v>44357</v>
      </c>
      <c r="U10453" t="s">
        <v>53335</v>
      </c>
      <c r="V10453" t="s">
        <v>57555</v>
      </c>
      <c r="W10453" t="s">
        <v>42037</v>
      </c>
      <c r="X10453" t="s">
        <v>42686</v>
      </c>
    </row>
    <row r="10454" spans="1:24">
      <c r="A10454">
        <f>HYPERLINK("https://www.philgeps.gov.ph/GEPSNONPILOT/Tender/SplashBidNoticeAbstractUI.aspx?menuIndex=3&amp;refID=7165014&amp;Result=3","7165014")</f>
        <v>0</v>
      </c>
      <c r="B10454" t="s">
        <v>2523</v>
      </c>
      <c r="C10454" t="s">
        <v>13513</v>
      </c>
      <c r="D10454" t="s">
        <v>17206</v>
      </c>
      <c r="E10454" t="s">
        <v>26178</v>
      </c>
      <c r="F10454" t="s">
        <v>29372</v>
      </c>
      <c r="G10454" t="s">
        <v>29380</v>
      </c>
      <c r="H10454" t="s">
        <v>11048</v>
      </c>
      <c r="I10454" t="s">
        <v>8614</v>
      </c>
      <c r="J10454" t="s">
        <v>33492</v>
      </c>
      <c r="K10454" t="s">
        <v>38487</v>
      </c>
      <c r="M10454" t="s">
        <v>41485</v>
      </c>
      <c r="N10454" t="s">
        <v>42669</v>
      </c>
      <c r="O10454" t="s">
        <v>42670</v>
      </c>
      <c r="Q10454">
        <v>9</v>
      </c>
      <c r="R10454" t="s">
        <v>42684</v>
      </c>
      <c r="S10454" t="s">
        <v>43200</v>
      </c>
      <c r="T10454" t="s">
        <v>44357</v>
      </c>
      <c r="U10454" t="s">
        <v>53336</v>
      </c>
      <c r="W10454" t="s">
        <v>41485</v>
      </c>
      <c r="X10454" t="s">
        <v>42686</v>
      </c>
    </row>
    <row r="10455" spans="1:24">
      <c r="A10455">
        <f>HYPERLINK("https://www.philgeps.gov.ph/GEPSNONPILOT/Tender/SplashBidNoticeAbstractUI.aspx?menuIndex=3&amp;refID=7167042&amp;Result=3","7167042")</f>
        <v>0</v>
      </c>
      <c r="B10455" t="s">
        <v>2608</v>
      </c>
      <c r="C10455" t="s">
        <v>13514</v>
      </c>
      <c r="D10455" t="s">
        <v>17192</v>
      </c>
      <c r="E10455" t="s">
        <v>26179</v>
      </c>
      <c r="F10455" t="s">
        <v>29372</v>
      </c>
      <c r="G10455" t="s">
        <v>29380</v>
      </c>
      <c r="H10455" t="s">
        <v>11048</v>
      </c>
      <c r="I10455" t="s">
        <v>29423</v>
      </c>
      <c r="J10455" t="s">
        <v>29543</v>
      </c>
      <c r="K10455" t="s">
        <v>38485</v>
      </c>
      <c r="M10455" t="s">
        <v>41577</v>
      </c>
      <c r="N10455" t="s">
        <v>42669</v>
      </c>
      <c r="O10455" t="s">
        <v>42670</v>
      </c>
      <c r="P10455">
        <v>0</v>
      </c>
      <c r="Q10455">
        <v>9</v>
      </c>
      <c r="R10455" t="s">
        <v>42684</v>
      </c>
      <c r="S10455" t="s">
        <v>43183</v>
      </c>
      <c r="T10455" t="s">
        <v>44543</v>
      </c>
      <c r="U10455" t="s">
        <v>53337</v>
      </c>
      <c r="W10455" t="s">
        <v>41577</v>
      </c>
      <c r="X10455" t="s">
        <v>42686</v>
      </c>
    </row>
    <row r="10456" spans="1:24">
      <c r="A10456">
        <f>HYPERLINK("https://www.philgeps.gov.ph/GEPSNONPILOT/Tender/SplashBidNoticeAbstractUI.aspx?menuIndex=3&amp;refID=7165601&amp;Result=3","7165601")</f>
        <v>0</v>
      </c>
      <c r="B10456" t="s">
        <v>58</v>
      </c>
      <c r="C10456" t="s">
        <v>13515</v>
      </c>
      <c r="D10456" t="s">
        <v>17144</v>
      </c>
      <c r="E10456" t="s">
        <v>26180</v>
      </c>
      <c r="F10456" t="s">
        <v>29372</v>
      </c>
      <c r="G10456" t="s">
        <v>29380</v>
      </c>
      <c r="H10456" t="s">
        <v>11048</v>
      </c>
      <c r="I10456" t="s">
        <v>4487</v>
      </c>
      <c r="J10456" t="s">
        <v>36158</v>
      </c>
      <c r="K10456" t="s">
        <v>38490</v>
      </c>
      <c r="L10456" t="s">
        <v>58</v>
      </c>
      <c r="M10456" t="s">
        <v>38811</v>
      </c>
      <c r="N10456" t="s">
        <v>42669</v>
      </c>
      <c r="O10456" t="s">
        <v>42670</v>
      </c>
      <c r="Q10456">
        <v>11</v>
      </c>
      <c r="R10456" t="s">
        <v>42684</v>
      </c>
      <c r="S10456" t="s">
        <v>43201</v>
      </c>
      <c r="T10456" t="s">
        <v>44391</v>
      </c>
      <c r="U10456" t="s">
        <v>53338</v>
      </c>
      <c r="W10456" t="s">
        <v>38811</v>
      </c>
      <c r="X10456" t="s">
        <v>42686</v>
      </c>
    </row>
    <row r="10457" spans="1:24">
      <c r="A10457">
        <f>HYPERLINK("https://www.philgeps.gov.ph/GEPSNONPILOT/Tender/SplashBidNoticeAbstractUI.aspx?menuIndex=3&amp;refID=7167039&amp;Result=3","7167039")</f>
        <v>0</v>
      </c>
      <c r="B10457" t="s">
        <v>1464</v>
      </c>
      <c r="C10457" t="s">
        <v>13516</v>
      </c>
      <c r="D10457" t="s">
        <v>17169</v>
      </c>
      <c r="E10457" t="s">
        <v>26181</v>
      </c>
      <c r="F10457" t="s">
        <v>29372</v>
      </c>
      <c r="G10457" t="s">
        <v>29380</v>
      </c>
      <c r="H10457" t="s">
        <v>11048</v>
      </c>
      <c r="I10457" t="s">
        <v>29414</v>
      </c>
      <c r="J10457" t="s">
        <v>29789</v>
      </c>
      <c r="K10457" t="s">
        <v>38490</v>
      </c>
      <c r="M10457" t="s">
        <v>40307</v>
      </c>
      <c r="N10457" t="s">
        <v>42669</v>
      </c>
      <c r="O10457" t="s">
        <v>42670</v>
      </c>
      <c r="P10457">
        <v>0</v>
      </c>
      <c r="Q10457">
        <v>16</v>
      </c>
      <c r="R10457" t="s">
        <v>42684</v>
      </c>
      <c r="S10457" t="s">
        <v>43183</v>
      </c>
      <c r="T10457" t="s">
        <v>44551</v>
      </c>
      <c r="U10457" t="s">
        <v>53339</v>
      </c>
      <c r="W10457" t="s">
        <v>40307</v>
      </c>
      <c r="X10457" t="s">
        <v>42686</v>
      </c>
    </row>
    <row r="10458" spans="1:24">
      <c r="A10458">
        <f>HYPERLINK("https://www.philgeps.gov.ph/GEPSNONPILOT/Tender/SplashBidNoticeAbstractUI.aspx?menuIndex=3&amp;refID=7166995&amp;Result=3","7166995")</f>
        <v>0</v>
      </c>
      <c r="B10458" t="s">
        <v>1464</v>
      </c>
      <c r="C10458" t="s">
        <v>13517</v>
      </c>
      <c r="D10458" t="s">
        <v>17169</v>
      </c>
      <c r="E10458" t="s">
        <v>26182</v>
      </c>
      <c r="F10458" t="s">
        <v>29372</v>
      </c>
      <c r="G10458" t="s">
        <v>29380</v>
      </c>
      <c r="H10458" t="s">
        <v>11048</v>
      </c>
      <c r="I10458" t="s">
        <v>29414</v>
      </c>
      <c r="J10458" t="s">
        <v>29724</v>
      </c>
      <c r="K10458" t="s">
        <v>38490</v>
      </c>
      <c r="M10458" t="s">
        <v>40307</v>
      </c>
      <c r="N10458" t="s">
        <v>42669</v>
      </c>
      <c r="O10458" t="s">
        <v>42670</v>
      </c>
      <c r="P10458">
        <v>0</v>
      </c>
      <c r="Q10458">
        <v>19</v>
      </c>
      <c r="R10458" t="s">
        <v>42684</v>
      </c>
      <c r="S10458" t="s">
        <v>43183</v>
      </c>
      <c r="T10458" t="s">
        <v>44551</v>
      </c>
      <c r="U10458" t="s">
        <v>53340</v>
      </c>
      <c r="W10458" t="s">
        <v>40307</v>
      </c>
      <c r="X10458" t="s">
        <v>42686</v>
      </c>
    </row>
    <row r="10459" spans="1:24">
      <c r="A10459">
        <f>HYPERLINK("https://www.philgeps.gov.ph/GEPSNONPILOT/Tender/SplashBidNoticeAbstractUI.aspx?menuIndex=3&amp;refID=7166876&amp;Result=3","7166876")</f>
        <v>0</v>
      </c>
      <c r="B10459" t="s">
        <v>1464</v>
      </c>
      <c r="C10459" t="s">
        <v>13518</v>
      </c>
      <c r="D10459" t="s">
        <v>17169</v>
      </c>
      <c r="E10459" t="s">
        <v>26183</v>
      </c>
      <c r="F10459" t="s">
        <v>29372</v>
      </c>
      <c r="G10459" t="s">
        <v>29380</v>
      </c>
      <c r="H10459" t="s">
        <v>11048</v>
      </c>
      <c r="I10459" t="s">
        <v>29414</v>
      </c>
      <c r="J10459" t="s">
        <v>29724</v>
      </c>
      <c r="K10459" t="s">
        <v>38490</v>
      </c>
      <c r="M10459" t="s">
        <v>40307</v>
      </c>
      <c r="N10459" t="s">
        <v>42669</v>
      </c>
      <c r="O10459" t="s">
        <v>42670</v>
      </c>
      <c r="P10459">
        <v>0</v>
      </c>
      <c r="Q10459">
        <v>17</v>
      </c>
      <c r="R10459" t="s">
        <v>42684</v>
      </c>
      <c r="S10459" t="s">
        <v>43183</v>
      </c>
      <c r="T10459" t="s">
        <v>44551</v>
      </c>
      <c r="U10459" t="s">
        <v>53341</v>
      </c>
      <c r="W10459" t="s">
        <v>40307</v>
      </c>
      <c r="X10459" t="s">
        <v>42686</v>
      </c>
    </row>
    <row r="10460" spans="1:24">
      <c r="A10460">
        <f>HYPERLINK("https://www.philgeps.gov.ph/GEPSNONPILOT/Tender/SplashBidNoticeAbstractUI.aspx?menuIndex=3&amp;refID=7166812&amp;Result=3","7166812")</f>
        <v>0</v>
      </c>
      <c r="B10460" t="s">
        <v>1464</v>
      </c>
      <c r="C10460" t="s">
        <v>13519</v>
      </c>
      <c r="D10460" t="s">
        <v>17169</v>
      </c>
      <c r="E10460" t="s">
        <v>26184</v>
      </c>
      <c r="F10460" t="s">
        <v>29372</v>
      </c>
      <c r="G10460" t="s">
        <v>29380</v>
      </c>
      <c r="H10460" t="s">
        <v>11048</v>
      </c>
      <c r="I10460" t="s">
        <v>29414</v>
      </c>
      <c r="J10460" t="s">
        <v>36159</v>
      </c>
      <c r="K10460" t="s">
        <v>38490</v>
      </c>
      <c r="M10460" t="s">
        <v>40307</v>
      </c>
      <c r="N10460" t="s">
        <v>42669</v>
      </c>
      <c r="O10460" t="s">
        <v>42670</v>
      </c>
      <c r="P10460">
        <v>0</v>
      </c>
      <c r="Q10460">
        <v>21</v>
      </c>
      <c r="R10460" t="s">
        <v>42684</v>
      </c>
      <c r="S10460" t="s">
        <v>43183</v>
      </c>
      <c r="T10460" t="s">
        <v>44551</v>
      </c>
      <c r="U10460" t="s">
        <v>53342</v>
      </c>
      <c r="W10460" t="s">
        <v>40307</v>
      </c>
      <c r="X10460" t="s">
        <v>42686</v>
      </c>
    </row>
    <row r="10461" spans="1:24">
      <c r="A10461">
        <f>HYPERLINK("https://www.philgeps.gov.ph/GEPSNONPILOT/Tender/SplashBidNoticeAbstractUI.aspx?menuIndex=3&amp;refID=7166741&amp;Result=3","7166741")</f>
        <v>0</v>
      </c>
      <c r="B10461" t="s">
        <v>1200</v>
      </c>
      <c r="C10461" t="s">
        <v>13520</v>
      </c>
      <c r="E10461" t="s">
        <v>25772</v>
      </c>
      <c r="F10461" t="s">
        <v>29372</v>
      </c>
      <c r="G10461" t="s">
        <v>29380</v>
      </c>
      <c r="H10461" t="s">
        <v>11048</v>
      </c>
      <c r="I10461" t="s">
        <v>29401</v>
      </c>
      <c r="J10461" t="s">
        <v>36160</v>
      </c>
      <c r="K10461" t="s">
        <v>38490</v>
      </c>
      <c r="M10461" t="s">
        <v>42038</v>
      </c>
      <c r="N10461" t="s">
        <v>42669</v>
      </c>
      <c r="O10461" t="s">
        <v>42670</v>
      </c>
      <c r="P10461">
        <v>0</v>
      </c>
      <c r="Q10461">
        <v>1</v>
      </c>
      <c r="R10461" t="s">
        <v>42684</v>
      </c>
      <c r="S10461" t="s">
        <v>43183</v>
      </c>
      <c r="T10461" t="s">
        <v>44650</v>
      </c>
      <c r="U10461" t="s">
        <v>53343</v>
      </c>
      <c r="V10461" t="s">
        <v>57556</v>
      </c>
      <c r="W10461" t="s">
        <v>42038</v>
      </c>
      <c r="X10461" t="s">
        <v>42686</v>
      </c>
    </row>
    <row r="10462" spans="1:24">
      <c r="A10462">
        <f>HYPERLINK("https://www.philgeps.gov.ph/GEPSNONPILOT/Tender/SplashBidNoticeAbstractUI.aspx?menuIndex=3&amp;refID=7166710&amp;Result=3","7166710")</f>
        <v>0</v>
      </c>
      <c r="B10462" t="s">
        <v>1200</v>
      </c>
      <c r="C10462" t="s">
        <v>13521</v>
      </c>
      <c r="E10462" t="s">
        <v>25799</v>
      </c>
      <c r="F10462" t="s">
        <v>29372</v>
      </c>
      <c r="G10462" t="s">
        <v>29380</v>
      </c>
      <c r="H10462" t="s">
        <v>11048</v>
      </c>
      <c r="I10462" t="s">
        <v>29409</v>
      </c>
      <c r="J10462" t="s">
        <v>29937</v>
      </c>
      <c r="K10462" t="s">
        <v>38490</v>
      </c>
      <c r="M10462" t="s">
        <v>42038</v>
      </c>
      <c r="N10462" t="s">
        <v>42669</v>
      </c>
      <c r="O10462" t="s">
        <v>42670</v>
      </c>
      <c r="P10462">
        <v>0</v>
      </c>
      <c r="Q10462">
        <v>12</v>
      </c>
      <c r="R10462" t="s">
        <v>42684</v>
      </c>
      <c r="S10462" t="s">
        <v>43183</v>
      </c>
      <c r="T10462" t="s">
        <v>44650</v>
      </c>
      <c r="U10462" t="s">
        <v>53344</v>
      </c>
      <c r="V10462" t="s">
        <v>57556</v>
      </c>
      <c r="W10462" t="s">
        <v>42038</v>
      </c>
      <c r="X10462" t="s">
        <v>42686</v>
      </c>
    </row>
    <row r="10463" spans="1:24">
      <c r="A10463">
        <f>HYPERLINK("https://www.philgeps.gov.ph/GEPSNONPILOT/Tender/SplashBidNoticeAbstractUI.aspx?menuIndex=3&amp;refID=7166654&amp;Result=3","7166654")</f>
        <v>0</v>
      </c>
      <c r="B10463" t="s">
        <v>1200</v>
      </c>
      <c r="C10463" t="s">
        <v>13522</v>
      </c>
      <c r="E10463" t="s">
        <v>25782</v>
      </c>
      <c r="F10463" t="s">
        <v>29372</v>
      </c>
      <c r="G10463" t="s">
        <v>29380</v>
      </c>
      <c r="H10463" t="s">
        <v>11048</v>
      </c>
      <c r="I10463" t="s">
        <v>29404</v>
      </c>
      <c r="J10463" t="s">
        <v>36161</v>
      </c>
      <c r="K10463" t="s">
        <v>38490</v>
      </c>
      <c r="M10463" t="s">
        <v>42038</v>
      </c>
      <c r="N10463" t="s">
        <v>42669</v>
      </c>
      <c r="O10463" t="s">
        <v>42670</v>
      </c>
      <c r="P10463">
        <v>0</v>
      </c>
      <c r="Q10463">
        <v>1</v>
      </c>
      <c r="R10463" t="s">
        <v>42684</v>
      </c>
      <c r="S10463" t="s">
        <v>43183</v>
      </c>
      <c r="T10463" t="s">
        <v>44650</v>
      </c>
      <c r="U10463" t="s">
        <v>53345</v>
      </c>
      <c r="V10463" t="s">
        <v>57556</v>
      </c>
      <c r="W10463" t="s">
        <v>42038</v>
      </c>
      <c r="X10463" t="s">
        <v>42686</v>
      </c>
    </row>
    <row r="10464" spans="1:24">
      <c r="A10464">
        <f>HYPERLINK("https://www.philgeps.gov.ph/GEPSNONPILOT/Tender/SplashBidNoticeAbstractUI.aspx?menuIndex=3&amp;refID=7166920&amp;Result=3","7166920")</f>
        <v>0</v>
      </c>
      <c r="B10464" t="s">
        <v>1464</v>
      </c>
      <c r="C10464" t="s">
        <v>13523</v>
      </c>
      <c r="D10464" t="s">
        <v>17169</v>
      </c>
      <c r="E10464" t="s">
        <v>26185</v>
      </c>
      <c r="F10464" t="s">
        <v>29372</v>
      </c>
      <c r="G10464" t="s">
        <v>29380</v>
      </c>
      <c r="H10464" t="s">
        <v>11048</v>
      </c>
      <c r="I10464" t="s">
        <v>29414</v>
      </c>
      <c r="J10464" t="s">
        <v>30308</v>
      </c>
      <c r="K10464" t="s">
        <v>38490</v>
      </c>
      <c r="M10464" t="s">
        <v>40307</v>
      </c>
      <c r="N10464" t="s">
        <v>42669</v>
      </c>
      <c r="O10464" t="s">
        <v>42670</v>
      </c>
      <c r="P10464">
        <v>0</v>
      </c>
      <c r="Q10464">
        <v>24</v>
      </c>
      <c r="R10464" t="s">
        <v>42684</v>
      </c>
      <c r="S10464" t="s">
        <v>43183</v>
      </c>
      <c r="T10464" t="s">
        <v>44551</v>
      </c>
      <c r="U10464" t="s">
        <v>53346</v>
      </c>
      <c r="W10464" t="s">
        <v>40307</v>
      </c>
      <c r="X10464" t="s">
        <v>42686</v>
      </c>
    </row>
    <row r="10465" spans="1:24">
      <c r="A10465">
        <f>HYPERLINK("https://www.philgeps.gov.ph/GEPSNONPILOT/Tender/SplashBidNoticeAbstractUI.aspx?menuIndex=3&amp;refID=7166760&amp;Result=3","7166760")</f>
        <v>0</v>
      </c>
      <c r="B10465" t="s">
        <v>1464</v>
      </c>
      <c r="C10465" t="s">
        <v>13524</v>
      </c>
      <c r="D10465" t="s">
        <v>17169</v>
      </c>
      <c r="E10465" t="s">
        <v>26186</v>
      </c>
      <c r="F10465" t="s">
        <v>29372</v>
      </c>
      <c r="G10465" t="s">
        <v>29380</v>
      </c>
      <c r="H10465" t="s">
        <v>11048</v>
      </c>
      <c r="I10465" t="s">
        <v>29466</v>
      </c>
      <c r="J10465" t="s">
        <v>29615</v>
      </c>
      <c r="K10465" t="s">
        <v>38490</v>
      </c>
      <c r="M10465" t="s">
        <v>40307</v>
      </c>
      <c r="N10465" t="s">
        <v>42669</v>
      </c>
      <c r="O10465" t="s">
        <v>42670</v>
      </c>
      <c r="P10465">
        <v>0</v>
      </c>
      <c r="Q10465">
        <v>5</v>
      </c>
      <c r="R10465" t="s">
        <v>42684</v>
      </c>
      <c r="S10465" t="s">
        <v>43183</v>
      </c>
      <c r="T10465" t="s">
        <v>44509</v>
      </c>
      <c r="U10465" t="s">
        <v>53347</v>
      </c>
      <c r="W10465" t="s">
        <v>40307</v>
      </c>
      <c r="X10465" t="s">
        <v>42686</v>
      </c>
    </row>
    <row r="10466" spans="1:24">
      <c r="A10466">
        <f>HYPERLINK("https://www.philgeps.gov.ph/GEPSNONPILOT/Tender/SplashBidNoticeAbstractUI.aspx?menuIndex=3&amp;refID=7166601&amp;Result=3","7166601")</f>
        <v>0</v>
      </c>
      <c r="B10466" t="s">
        <v>1200</v>
      </c>
      <c r="C10466" t="s">
        <v>13525</v>
      </c>
      <c r="E10466" t="s">
        <v>25296</v>
      </c>
      <c r="F10466" t="s">
        <v>29372</v>
      </c>
      <c r="G10466" t="s">
        <v>29380</v>
      </c>
      <c r="H10466" t="s">
        <v>11048</v>
      </c>
      <c r="I10466" t="s">
        <v>29404</v>
      </c>
      <c r="J10466" t="s">
        <v>36162</v>
      </c>
      <c r="K10466" t="s">
        <v>38490</v>
      </c>
      <c r="M10466" t="s">
        <v>42038</v>
      </c>
      <c r="N10466" t="s">
        <v>42669</v>
      </c>
      <c r="O10466" t="s">
        <v>42670</v>
      </c>
      <c r="P10466">
        <v>0</v>
      </c>
      <c r="Q10466">
        <v>2</v>
      </c>
      <c r="R10466" t="s">
        <v>42684</v>
      </c>
      <c r="S10466" t="s">
        <v>43183</v>
      </c>
      <c r="T10466" t="s">
        <v>44650</v>
      </c>
      <c r="U10466" t="s">
        <v>53348</v>
      </c>
      <c r="V10466" t="s">
        <v>57556</v>
      </c>
      <c r="W10466" t="s">
        <v>42038</v>
      </c>
      <c r="X10466" t="s">
        <v>42686</v>
      </c>
    </row>
    <row r="10467" spans="1:24">
      <c r="A10467">
        <f>HYPERLINK("https://www.philgeps.gov.ph/GEPSNONPILOT/Tender/SplashBidNoticeAbstractUI.aspx?menuIndex=3&amp;refID=7167069&amp;Result=3","7167069")</f>
        <v>0</v>
      </c>
      <c r="B10467" t="s">
        <v>1464</v>
      </c>
      <c r="C10467" t="s">
        <v>13526</v>
      </c>
      <c r="D10467" t="s">
        <v>17169</v>
      </c>
      <c r="E10467" t="s">
        <v>26187</v>
      </c>
      <c r="F10467" t="s">
        <v>29372</v>
      </c>
      <c r="G10467" t="s">
        <v>29380</v>
      </c>
      <c r="H10467" t="s">
        <v>11048</v>
      </c>
      <c r="I10467" t="s">
        <v>29414</v>
      </c>
      <c r="J10467" t="s">
        <v>36163</v>
      </c>
      <c r="K10467" t="s">
        <v>38490</v>
      </c>
      <c r="M10467" t="s">
        <v>40307</v>
      </c>
      <c r="N10467" t="s">
        <v>42669</v>
      </c>
      <c r="O10467" t="s">
        <v>42670</v>
      </c>
      <c r="P10467">
        <v>0</v>
      </c>
      <c r="Q10467">
        <v>41</v>
      </c>
      <c r="R10467" t="s">
        <v>42684</v>
      </c>
      <c r="S10467" t="s">
        <v>43183</v>
      </c>
      <c r="T10467" t="s">
        <v>44551</v>
      </c>
      <c r="U10467" t="s">
        <v>53349</v>
      </c>
      <c r="W10467" t="s">
        <v>40307</v>
      </c>
      <c r="X10467" t="s">
        <v>42686</v>
      </c>
    </row>
    <row r="10468" spans="1:24">
      <c r="A10468">
        <f>HYPERLINK("https://www.philgeps.gov.ph/GEPSNONPILOT/Tender/SplashBidNoticeAbstractUI.aspx?menuIndex=3&amp;refID=7164908&amp;Result=3","7164908")</f>
        <v>0</v>
      </c>
      <c r="B10468" t="s">
        <v>3018</v>
      </c>
      <c r="C10468" t="s">
        <v>13527</v>
      </c>
      <c r="D10468" t="s">
        <v>17209</v>
      </c>
      <c r="E10468" t="s">
        <v>26188</v>
      </c>
      <c r="F10468" t="s">
        <v>29372</v>
      </c>
      <c r="G10468" t="s">
        <v>29380</v>
      </c>
      <c r="H10468" t="s">
        <v>29389</v>
      </c>
      <c r="I10468" t="s">
        <v>10408</v>
      </c>
      <c r="J10468" t="s">
        <v>36164</v>
      </c>
      <c r="K10468" t="s">
        <v>38531</v>
      </c>
      <c r="M10468" t="s">
        <v>42039</v>
      </c>
      <c r="N10468" t="s">
        <v>42669</v>
      </c>
      <c r="O10468" t="s">
        <v>42670</v>
      </c>
      <c r="P10468">
        <v>0</v>
      </c>
      <c r="Q10468">
        <v>1</v>
      </c>
      <c r="R10468" t="s">
        <v>42684</v>
      </c>
      <c r="S10468" t="s">
        <v>43183</v>
      </c>
      <c r="T10468" t="s">
        <v>44375</v>
      </c>
      <c r="U10468" t="s">
        <v>53350</v>
      </c>
      <c r="W10468" t="s">
        <v>42039</v>
      </c>
      <c r="X10468" t="s">
        <v>42687</v>
      </c>
    </row>
    <row r="10469" spans="1:24">
      <c r="A10469">
        <f>HYPERLINK("https://www.philgeps.gov.ph/GEPSNONPILOT/Tender/SplashBidNoticeAbstractUI.aspx?menuIndex=3&amp;refID=7166206&amp;Result=3","7166206")</f>
        <v>0</v>
      </c>
      <c r="B10469" t="s">
        <v>2859</v>
      </c>
      <c r="C10469" t="s">
        <v>13528</v>
      </c>
      <c r="D10469" t="s">
        <v>17212</v>
      </c>
      <c r="E10469" t="s">
        <v>25483</v>
      </c>
      <c r="F10469" t="s">
        <v>29372</v>
      </c>
      <c r="G10469" t="s">
        <v>29380</v>
      </c>
      <c r="H10469" t="s">
        <v>11048</v>
      </c>
      <c r="I10469" t="s">
        <v>3695</v>
      </c>
      <c r="J10469" t="s">
        <v>36165</v>
      </c>
      <c r="K10469" t="s">
        <v>38496</v>
      </c>
      <c r="M10469" t="s">
        <v>41854</v>
      </c>
      <c r="N10469" t="s">
        <v>42669</v>
      </c>
      <c r="O10469" t="s">
        <v>42670</v>
      </c>
      <c r="P10469">
        <v>0</v>
      </c>
      <c r="Q10469">
        <v>0</v>
      </c>
      <c r="R10469" t="s">
        <v>42684</v>
      </c>
      <c r="S10469" t="s">
        <v>43183</v>
      </c>
      <c r="T10469" t="s">
        <v>44509</v>
      </c>
      <c r="U10469" t="s">
        <v>53351</v>
      </c>
      <c r="W10469" t="s">
        <v>41854</v>
      </c>
      <c r="X10469" t="s">
        <v>42686</v>
      </c>
    </row>
    <row r="10470" spans="1:24">
      <c r="A10470">
        <f>HYPERLINK("https://www.philgeps.gov.ph/GEPSNONPILOT/Tender/SplashBidNoticeAbstractUI.aspx?menuIndex=3&amp;refID=7166114&amp;Result=3","7166114")</f>
        <v>0</v>
      </c>
      <c r="B10470" t="s">
        <v>2859</v>
      </c>
      <c r="C10470" t="s">
        <v>13529</v>
      </c>
      <c r="D10470" t="s">
        <v>17212</v>
      </c>
      <c r="E10470" t="s">
        <v>25438</v>
      </c>
      <c r="F10470" t="s">
        <v>29372</v>
      </c>
      <c r="G10470" t="s">
        <v>29380</v>
      </c>
      <c r="H10470" t="s">
        <v>11048</v>
      </c>
      <c r="I10470" t="s">
        <v>3695</v>
      </c>
      <c r="J10470" t="s">
        <v>30435</v>
      </c>
      <c r="K10470" t="s">
        <v>38496</v>
      </c>
      <c r="M10470" t="s">
        <v>41854</v>
      </c>
      <c r="N10470" t="s">
        <v>42669</v>
      </c>
      <c r="O10470" t="s">
        <v>42670</v>
      </c>
      <c r="P10470">
        <v>0</v>
      </c>
      <c r="Q10470">
        <v>3</v>
      </c>
      <c r="R10470" t="s">
        <v>42684</v>
      </c>
      <c r="S10470" t="s">
        <v>43183</v>
      </c>
      <c r="T10470" t="s">
        <v>44509</v>
      </c>
      <c r="U10470" t="s">
        <v>53352</v>
      </c>
      <c r="W10470" t="s">
        <v>41854</v>
      </c>
      <c r="X10470" t="s">
        <v>42686</v>
      </c>
    </row>
    <row r="10471" spans="1:24">
      <c r="A10471">
        <f>HYPERLINK("https://www.philgeps.gov.ph/GEPSNONPILOT/Tender/SplashBidNoticeAbstractUI.aspx?menuIndex=3&amp;refID=7165538&amp;Result=3","7165538")</f>
        <v>0</v>
      </c>
      <c r="B10471" t="s">
        <v>953</v>
      </c>
      <c r="C10471" t="s">
        <v>13530</v>
      </c>
      <c r="D10471" t="s">
        <v>17225</v>
      </c>
      <c r="E10471" t="s">
        <v>26189</v>
      </c>
      <c r="F10471" t="s">
        <v>29372</v>
      </c>
      <c r="G10471" t="s">
        <v>29380</v>
      </c>
      <c r="H10471" t="s">
        <v>11048</v>
      </c>
      <c r="I10471" t="s">
        <v>3839</v>
      </c>
      <c r="J10471" t="s">
        <v>36166</v>
      </c>
      <c r="K10471" t="s">
        <v>38510</v>
      </c>
      <c r="M10471" t="s">
        <v>39749</v>
      </c>
      <c r="N10471" t="s">
        <v>42669</v>
      </c>
      <c r="O10471" t="s">
        <v>42670</v>
      </c>
      <c r="P10471">
        <v>0</v>
      </c>
      <c r="Q10471">
        <v>7</v>
      </c>
      <c r="R10471" t="s">
        <v>42684</v>
      </c>
      <c r="S10471" t="s">
        <v>43183</v>
      </c>
      <c r="T10471" t="s">
        <v>44375</v>
      </c>
      <c r="U10471" t="s">
        <v>53353</v>
      </c>
      <c r="W10471" t="s">
        <v>39749</v>
      </c>
      <c r="X10471" t="s">
        <v>42686</v>
      </c>
    </row>
    <row r="10472" spans="1:24">
      <c r="A10472">
        <f>HYPERLINK("https://www.philgeps.gov.ph/GEPSNONPILOT/Tender/SplashBidNoticeAbstractUI.aspx?menuIndex=3&amp;refID=7164647&amp;Result=3","7164647")</f>
        <v>0</v>
      </c>
      <c r="B10472" t="s">
        <v>332</v>
      </c>
      <c r="C10472" t="s">
        <v>13531</v>
      </c>
      <c r="D10472" t="s">
        <v>17213</v>
      </c>
      <c r="E10472" t="s">
        <v>26190</v>
      </c>
      <c r="F10472" t="s">
        <v>29372</v>
      </c>
      <c r="G10472" t="s">
        <v>29380</v>
      </c>
      <c r="H10472" t="s">
        <v>11048</v>
      </c>
      <c r="I10472" t="s">
        <v>10408</v>
      </c>
      <c r="J10472" t="s">
        <v>30474</v>
      </c>
      <c r="K10472" t="s">
        <v>38522</v>
      </c>
      <c r="M10472" t="s">
        <v>39091</v>
      </c>
      <c r="N10472" t="s">
        <v>42669</v>
      </c>
      <c r="O10472" t="s">
        <v>42670</v>
      </c>
      <c r="P10472">
        <v>0</v>
      </c>
      <c r="Q10472">
        <v>0</v>
      </c>
      <c r="R10472" t="s">
        <v>42684</v>
      </c>
      <c r="S10472" t="s">
        <v>43183</v>
      </c>
      <c r="T10472" t="s">
        <v>44412</v>
      </c>
      <c r="U10472" t="s">
        <v>53354</v>
      </c>
      <c r="V10472" t="s">
        <v>57549</v>
      </c>
      <c r="W10472" t="s">
        <v>39091</v>
      </c>
      <c r="X10472" t="s">
        <v>42687</v>
      </c>
    </row>
    <row r="10473" spans="1:24">
      <c r="A10473">
        <f>HYPERLINK("https://www.philgeps.gov.ph/GEPSNONPILOT/Tender/SplashBidNoticeAbstractUI.aspx?menuIndex=3&amp;refID=7146035&amp;Result=3","7146035")</f>
        <v>0</v>
      </c>
      <c r="B10473" t="s">
        <v>3008</v>
      </c>
      <c r="C10473" t="s">
        <v>13532</v>
      </c>
      <c r="D10473" t="s">
        <v>17161</v>
      </c>
      <c r="E10473" t="s">
        <v>26143</v>
      </c>
      <c r="F10473" t="s">
        <v>29372</v>
      </c>
      <c r="G10473" t="s">
        <v>29380</v>
      </c>
      <c r="H10473" t="s">
        <v>11048</v>
      </c>
      <c r="I10473" t="s">
        <v>4709</v>
      </c>
      <c r="J10473" t="s">
        <v>36167</v>
      </c>
      <c r="K10473" t="s">
        <v>38485</v>
      </c>
      <c r="M10473" t="s">
        <v>42027</v>
      </c>
      <c r="N10473" t="s">
        <v>42669</v>
      </c>
      <c r="O10473" t="s">
        <v>42670</v>
      </c>
      <c r="P10473">
        <v>0</v>
      </c>
      <c r="Q10473">
        <v>0</v>
      </c>
      <c r="R10473" t="s">
        <v>42684</v>
      </c>
      <c r="S10473" t="s">
        <v>43183</v>
      </c>
      <c r="T10473" t="s">
        <v>44450</v>
      </c>
      <c r="U10473" t="s">
        <v>53355</v>
      </c>
      <c r="W10473" t="s">
        <v>42027</v>
      </c>
      <c r="X10473" t="s">
        <v>42697</v>
      </c>
    </row>
    <row r="10474" spans="1:24">
      <c r="A10474">
        <f>HYPERLINK("https://www.philgeps.gov.ph/GEPSNONPILOT/Tender/SplashBidNoticeAbstractUI.aspx?menuIndex=3&amp;refID=7113762&amp;Result=3","7113762")</f>
        <v>0</v>
      </c>
      <c r="B10474" t="s">
        <v>2998</v>
      </c>
      <c r="C10474" t="s">
        <v>13533</v>
      </c>
      <c r="E10474" t="s">
        <v>26122</v>
      </c>
      <c r="F10474" t="s">
        <v>29372</v>
      </c>
      <c r="G10474" t="s">
        <v>29380</v>
      </c>
      <c r="H10474" t="s">
        <v>11048</v>
      </c>
      <c r="I10474" t="s">
        <v>29414</v>
      </c>
      <c r="J10474" t="s">
        <v>36168</v>
      </c>
      <c r="K10474" t="s">
        <v>38496</v>
      </c>
      <c r="M10474" t="s">
        <v>42017</v>
      </c>
      <c r="N10474" t="s">
        <v>42669</v>
      </c>
      <c r="O10474" t="s">
        <v>42670</v>
      </c>
      <c r="P10474">
        <v>0</v>
      </c>
      <c r="Q10474">
        <v>16</v>
      </c>
      <c r="R10474" t="s">
        <v>42684</v>
      </c>
      <c r="S10474" t="s">
        <v>43183</v>
      </c>
      <c r="T10474" t="s">
        <v>44517</v>
      </c>
      <c r="U10474" t="s">
        <v>53270</v>
      </c>
      <c r="V10474" t="s">
        <v>57541</v>
      </c>
      <c r="W10474" t="s">
        <v>42017</v>
      </c>
      <c r="X10474" t="s">
        <v>42715</v>
      </c>
    </row>
    <row r="10475" spans="1:24">
      <c r="A10475">
        <f>HYPERLINK("https://www.philgeps.gov.ph/GEPSNONPILOT/Tender/SplashBidNoticeAbstractUI.aspx?menuIndex=3&amp;refID=7174097&amp;Result=3","7174097")</f>
        <v>0</v>
      </c>
      <c r="B10475" t="s">
        <v>1771</v>
      </c>
      <c r="C10475" t="s">
        <v>13534</v>
      </c>
      <c r="D10475" t="s">
        <v>17188</v>
      </c>
      <c r="E10475" t="s">
        <v>26191</v>
      </c>
      <c r="F10475" t="s">
        <v>29372</v>
      </c>
      <c r="G10475" t="s">
        <v>29380</v>
      </c>
      <c r="H10475" t="s">
        <v>11048</v>
      </c>
      <c r="I10475" t="s">
        <v>29393</v>
      </c>
      <c r="J10475" t="s">
        <v>36169</v>
      </c>
      <c r="K10475" t="s">
        <v>38490</v>
      </c>
      <c r="M10475" t="s">
        <v>40638</v>
      </c>
      <c r="N10475" t="s">
        <v>42669</v>
      </c>
      <c r="O10475" t="s">
        <v>42670</v>
      </c>
      <c r="P10475">
        <v>0</v>
      </c>
      <c r="Q10475">
        <v>0</v>
      </c>
      <c r="R10475" t="s">
        <v>42683</v>
      </c>
      <c r="S10475" t="s">
        <v>43062</v>
      </c>
      <c r="T10475" t="s">
        <v>44557</v>
      </c>
      <c r="U10475" t="s">
        <v>53356</v>
      </c>
      <c r="W10475" t="s">
        <v>40638</v>
      </c>
      <c r="X10475" t="s">
        <v>42684</v>
      </c>
    </row>
    <row r="10476" spans="1:24">
      <c r="A10476">
        <f>HYPERLINK("https://www.philgeps.gov.ph/GEPSNONPILOT/Tender/SplashBidNoticeAbstractUI.aspx?menuIndex=3&amp;refID=7174094&amp;Result=3","7174094")</f>
        <v>0</v>
      </c>
      <c r="B10476" t="s">
        <v>1297</v>
      </c>
      <c r="C10476" t="s">
        <v>13535</v>
      </c>
      <c r="D10476" t="s">
        <v>17154</v>
      </c>
      <c r="E10476" t="s">
        <v>26192</v>
      </c>
      <c r="F10476" t="s">
        <v>29372</v>
      </c>
      <c r="G10476" t="s">
        <v>29380</v>
      </c>
      <c r="H10476" t="s">
        <v>29389</v>
      </c>
      <c r="I10476" t="s">
        <v>10408</v>
      </c>
      <c r="J10476" t="s">
        <v>36170</v>
      </c>
      <c r="K10476" t="s">
        <v>38522</v>
      </c>
      <c r="M10476" t="s">
        <v>40126</v>
      </c>
      <c r="N10476" t="s">
        <v>42669</v>
      </c>
      <c r="O10476" t="s">
        <v>42670</v>
      </c>
      <c r="Q10476">
        <v>13</v>
      </c>
      <c r="R10476" t="s">
        <v>42683</v>
      </c>
      <c r="S10476" t="s">
        <v>43202</v>
      </c>
      <c r="T10476" t="s">
        <v>44375</v>
      </c>
      <c r="U10476" t="s">
        <v>53357</v>
      </c>
      <c r="V10476" t="s">
        <v>57557</v>
      </c>
      <c r="W10476" t="s">
        <v>40126</v>
      </c>
      <c r="X10476" t="s">
        <v>42684</v>
      </c>
    </row>
    <row r="10477" spans="1:24">
      <c r="A10477">
        <f>HYPERLINK("https://www.philgeps.gov.ph/GEPSNONPILOT/Tender/SplashBidNoticeAbstractUI.aspx?menuIndex=3&amp;refID=7166635&amp;Result=3","7166635")</f>
        <v>0</v>
      </c>
      <c r="B10477" t="s">
        <v>1200</v>
      </c>
      <c r="C10477" t="s">
        <v>13536</v>
      </c>
      <c r="E10477" t="s">
        <v>25754</v>
      </c>
      <c r="F10477" t="s">
        <v>29372</v>
      </c>
      <c r="G10477" t="s">
        <v>29380</v>
      </c>
      <c r="H10477" t="s">
        <v>11048</v>
      </c>
      <c r="I10477" t="s">
        <v>29404</v>
      </c>
      <c r="J10477" t="s">
        <v>36171</v>
      </c>
      <c r="K10477" t="s">
        <v>38490</v>
      </c>
      <c r="M10477" t="s">
        <v>42038</v>
      </c>
      <c r="N10477" t="s">
        <v>42669</v>
      </c>
      <c r="O10477" t="s">
        <v>42670</v>
      </c>
      <c r="P10477">
        <v>0</v>
      </c>
      <c r="Q10477">
        <v>1</v>
      </c>
      <c r="R10477" t="s">
        <v>42684</v>
      </c>
      <c r="S10477" t="s">
        <v>43183</v>
      </c>
      <c r="T10477" t="s">
        <v>44650</v>
      </c>
      <c r="U10477" t="s">
        <v>53358</v>
      </c>
      <c r="V10477" t="s">
        <v>57558</v>
      </c>
      <c r="W10477" t="s">
        <v>42038</v>
      </c>
      <c r="X10477" t="s">
        <v>42686</v>
      </c>
    </row>
    <row r="10478" spans="1:24">
      <c r="A10478">
        <f>HYPERLINK("https://www.philgeps.gov.ph/GEPSNONPILOT/Tender/SplashBidNoticeAbstractUI.aspx?menuIndex=3&amp;refID=7174087&amp;Result=3","7174087")</f>
        <v>0</v>
      </c>
      <c r="B10478" t="s">
        <v>1297</v>
      </c>
      <c r="C10478" t="s">
        <v>13537</v>
      </c>
      <c r="D10478" t="s">
        <v>17154</v>
      </c>
      <c r="E10478" t="s">
        <v>26193</v>
      </c>
      <c r="F10478" t="s">
        <v>29372</v>
      </c>
      <c r="G10478" t="s">
        <v>29380</v>
      </c>
      <c r="H10478" t="s">
        <v>29389</v>
      </c>
      <c r="I10478" t="s">
        <v>10408</v>
      </c>
      <c r="J10478" t="s">
        <v>36172</v>
      </c>
      <c r="K10478" t="s">
        <v>38485</v>
      </c>
      <c r="M10478" t="s">
        <v>40126</v>
      </c>
      <c r="N10478" t="s">
        <v>42669</v>
      </c>
      <c r="O10478" t="s">
        <v>42670</v>
      </c>
      <c r="Q10478">
        <v>0</v>
      </c>
      <c r="R10478" t="s">
        <v>42683</v>
      </c>
      <c r="S10478" t="s">
        <v>43203</v>
      </c>
      <c r="T10478" t="s">
        <v>44375</v>
      </c>
      <c r="U10478" t="s">
        <v>53359</v>
      </c>
      <c r="V10478" t="s">
        <v>57559</v>
      </c>
      <c r="W10478" t="s">
        <v>40126</v>
      </c>
      <c r="X10478" t="s">
        <v>42684</v>
      </c>
    </row>
    <row r="10479" spans="1:24">
      <c r="A10479">
        <f>HYPERLINK("https://www.philgeps.gov.ph/GEPSNONPILOT/Tender/SplashBidNoticeAbstractUI.aspx?menuIndex=3&amp;refID=7174033&amp;Result=3","7174033")</f>
        <v>0</v>
      </c>
      <c r="B10479" t="s">
        <v>118</v>
      </c>
      <c r="C10479" t="s">
        <v>13538</v>
      </c>
      <c r="D10479" t="s">
        <v>17141</v>
      </c>
      <c r="E10479" t="s">
        <v>26194</v>
      </c>
      <c r="F10479" t="s">
        <v>29372</v>
      </c>
      <c r="G10479" t="s">
        <v>29380</v>
      </c>
      <c r="H10479" t="s">
        <v>29389</v>
      </c>
      <c r="I10479" t="s">
        <v>10408</v>
      </c>
      <c r="J10479" t="s">
        <v>36173</v>
      </c>
      <c r="K10479" t="s">
        <v>38533</v>
      </c>
      <c r="M10479" t="s">
        <v>42009</v>
      </c>
      <c r="N10479" t="s">
        <v>42669</v>
      </c>
      <c r="O10479" t="s">
        <v>42670</v>
      </c>
      <c r="P10479">
        <v>0</v>
      </c>
      <c r="Q10479">
        <v>56</v>
      </c>
      <c r="R10479" t="s">
        <v>42683</v>
      </c>
      <c r="S10479" t="s">
        <v>43062</v>
      </c>
      <c r="T10479" t="s">
        <v>44490</v>
      </c>
      <c r="U10479" t="s">
        <v>53360</v>
      </c>
      <c r="W10479" t="s">
        <v>42009</v>
      </c>
      <c r="X10479" t="s">
        <v>42684</v>
      </c>
    </row>
    <row r="10480" spans="1:24">
      <c r="A10480">
        <f>HYPERLINK("https://www.philgeps.gov.ph/GEPSNONPILOT/Tender/SplashBidNoticeAbstractUI.aspx?menuIndex=3&amp;refID=7166284&amp;Result=3","7166284")</f>
        <v>0</v>
      </c>
      <c r="B10480" t="s">
        <v>2859</v>
      </c>
      <c r="C10480" t="s">
        <v>13539</v>
      </c>
      <c r="D10480" t="s">
        <v>17212</v>
      </c>
      <c r="E10480" t="s">
        <v>25446</v>
      </c>
      <c r="F10480" t="s">
        <v>29372</v>
      </c>
      <c r="G10480" t="s">
        <v>29380</v>
      </c>
      <c r="H10480" t="s">
        <v>11048</v>
      </c>
      <c r="I10480" t="s">
        <v>3860</v>
      </c>
      <c r="J10480" t="s">
        <v>30886</v>
      </c>
      <c r="K10480" t="s">
        <v>38496</v>
      </c>
      <c r="M10480" t="s">
        <v>41854</v>
      </c>
      <c r="N10480" t="s">
        <v>42669</v>
      </c>
      <c r="O10480" t="s">
        <v>42670</v>
      </c>
      <c r="P10480">
        <v>0</v>
      </c>
      <c r="Q10480">
        <v>0</v>
      </c>
      <c r="R10480" t="s">
        <v>42684</v>
      </c>
      <c r="S10480" t="s">
        <v>43183</v>
      </c>
      <c r="T10480" t="s">
        <v>44509</v>
      </c>
      <c r="U10480" t="s">
        <v>53361</v>
      </c>
      <c r="W10480" t="s">
        <v>41854</v>
      </c>
      <c r="X10480" t="s">
        <v>42686</v>
      </c>
    </row>
    <row r="10481" spans="1:24">
      <c r="A10481">
        <f>HYPERLINK("https://www.philgeps.gov.ph/GEPSNONPILOT/Tender/SplashBidNoticeAbstractUI.aspx?menuIndex=3&amp;refID=7174026&amp;Result=3","7174026")</f>
        <v>0</v>
      </c>
      <c r="B10481" t="s">
        <v>413</v>
      </c>
      <c r="C10481" t="s">
        <v>13540</v>
      </c>
      <c r="D10481" t="s">
        <v>17214</v>
      </c>
      <c r="E10481" t="s">
        <v>26195</v>
      </c>
      <c r="F10481" t="s">
        <v>29372</v>
      </c>
      <c r="G10481" t="s">
        <v>29380</v>
      </c>
      <c r="H10481" t="s">
        <v>11048</v>
      </c>
      <c r="I10481" t="s">
        <v>29425</v>
      </c>
      <c r="J10481" t="s">
        <v>36174</v>
      </c>
      <c r="K10481" t="s">
        <v>38533</v>
      </c>
      <c r="M10481" t="s">
        <v>39177</v>
      </c>
      <c r="N10481" t="s">
        <v>42669</v>
      </c>
      <c r="O10481" t="s">
        <v>42670</v>
      </c>
      <c r="Q10481">
        <v>7</v>
      </c>
      <c r="R10481" t="s">
        <v>42683</v>
      </c>
      <c r="S10481" t="s">
        <v>43204</v>
      </c>
      <c r="T10481" t="s">
        <v>44366</v>
      </c>
      <c r="U10481" t="s">
        <v>53259</v>
      </c>
      <c r="V10481" t="s">
        <v>57560</v>
      </c>
      <c r="W10481" t="s">
        <v>39177</v>
      </c>
      <c r="X10481" t="s">
        <v>42684</v>
      </c>
    </row>
    <row r="10482" spans="1:24">
      <c r="A10482">
        <f>HYPERLINK("https://www.philgeps.gov.ph/GEPSNONPILOT/Tender/SplashBidNoticeAbstractUI.aspx?menuIndex=3&amp;refID=7164624&amp;Result=3","7164624")</f>
        <v>0</v>
      </c>
      <c r="B10482" t="s">
        <v>38</v>
      </c>
      <c r="C10482" t="s">
        <v>13541</v>
      </c>
      <c r="D10482" t="s">
        <v>17151</v>
      </c>
      <c r="E10482" t="s">
        <v>26196</v>
      </c>
      <c r="F10482" t="s">
        <v>29372</v>
      </c>
      <c r="G10482" t="s">
        <v>29380</v>
      </c>
      <c r="H10482" t="s">
        <v>11048</v>
      </c>
      <c r="I10482" t="s">
        <v>29393</v>
      </c>
      <c r="J10482" t="s">
        <v>36175</v>
      </c>
      <c r="K10482" t="s">
        <v>38485</v>
      </c>
      <c r="M10482" t="s">
        <v>38791</v>
      </c>
      <c r="N10482" t="s">
        <v>42669</v>
      </c>
      <c r="O10482" t="s">
        <v>42670</v>
      </c>
      <c r="P10482">
        <v>0</v>
      </c>
      <c r="Q10482">
        <v>2</v>
      </c>
      <c r="R10482" t="s">
        <v>42684</v>
      </c>
      <c r="S10482" t="s">
        <v>43183</v>
      </c>
      <c r="T10482" t="s">
        <v>44357</v>
      </c>
      <c r="U10482" t="s">
        <v>53362</v>
      </c>
      <c r="V10482" t="s">
        <v>56460</v>
      </c>
      <c r="W10482" t="s">
        <v>38791</v>
      </c>
      <c r="X10482" t="s">
        <v>42688</v>
      </c>
    </row>
    <row r="10483" spans="1:24">
      <c r="A10483">
        <f>HYPERLINK("https://www.philgeps.gov.ph/GEPSNONPILOT/Tender/SplashBidNoticeAbstractUI.aspx?menuIndex=3&amp;refID=7174022&amp;Result=3","7174022")</f>
        <v>0</v>
      </c>
      <c r="B10483" t="s">
        <v>118</v>
      </c>
      <c r="C10483" t="s">
        <v>13542</v>
      </c>
      <c r="D10483" t="s">
        <v>17141</v>
      </c>
      <c r="E10483" t="s">
        <v>26197</v>
      </c>
      <c r="F10483" t="s">
        <v>29372</v>
      </c>
      <c r="G10483" t="s">
        <v>29380</v>
      </c>
      <c r="H10483" t="s">
        <v>29389</v>
      </c>
      <c r="I10483" t="s">
        <v>10408</v>
      </c>
      <c r="J10483" t="s">
        <v>36176</v>
      </c>
      <c r="K10483" t="s">
        <v>38533</v>
      </c>
      <c r="M10483" t="s">
        <v>42009</v>
      </c>
      <c r="N10483" t="s">
        <v>42669</v>
      </c>
      <c r="O10483" t="s">
        <v>42670</v>
      </c>
      <c r="P10483">
        <v>0</v>
      </c>
      <c r="Q10483">
        <v>58</v>
      </c>
      <c r="R10483" t="s">
        <v>42683</v>
      </c>
      <c r="S10483" t="s">
        <v>43062</v>
      </c>
      <c r="T10483" t="s">
        <v>44490</v>
      </c>
      <c r="U10483" t="s">
        <v>53363</v>
      </c>
      <c r="W10483" t="s">
        <v>42009</v>
      </c>
      <c r="X10483" t="s">
        <v>42684</v>
      </c>
    </row>
    <row r="10484" spans="1:24">
      <c r="A10484">
        <f>HYPERLINK("https://www.philgeps.gov.ph/GEPSNONPILOT/Tender/SplashBidNoticeAbstractUI.aspx?menuIndex=3&amp;refID=7174018&amp;Result=3","7174018")</f>
        <v>0</v>
      </c>
      <c r="B10484" t="s">
        <v>3004</v>
      </c>
      <c r="C10484" t="s">
        <v>13543</v>
      </c>
      <c r="D10484" t="s">
        <v>17205</v>
      </c>
      <c r="E10484" t="s">
        <v>26198</v>
      </c>
      <c r="F10484" t="s">
        <v>29372</v>
      </c>
      <c r="G10484" t="s">
        <v>29380</v>
      </c>
      <c r="H10484" t="s">
        <v>11048</v>
      </c>
      <c r="I10484" t="s">
        <v>4487</v>
      </c>
      <c r="J10484" t="s">
        <v>36177</v>
      </c>
      <c r="K10484" t="s">
        <v>38487</v>
      </c>
      <c r="M10484" t="s">
        <v>42023</v>
      </c>
      <c r="N10484" t="s">
        <v>42669</v>
      </c>
      <c r="O10484" t="s">
        <v>42670</v>
      </c>
      <c r="P10484">
        <v>0</v>
      </c>
      <c r="Q10484">
        <v>5</v>
      </c>
      <c r="R10484" t="s">
        <v>42683</v>
      </c>
      <c r="S10484" t="s">
        <v>43062</v>
      </c>
      <c r="T10484" t="s">
        <v>44777</v>
      </c>
      <c r="U10484" t="s">
        <v>53364</v>
      </c>
      <c r="W10484" t="s">
        <v>42023</v>
      </c>
      <c r="X10484" t="s">
        <v>42684</v>
      </c>
    </row>
    <row r="10485" spans="1:24">
      <c r="A10485">
        <f>HYPERLINK("https://www.philgeps.gov.ph/GEPSNONPILOT/Tender/SplashBidNoticeAbstractUI.aspx?menuIndex=3&amp;refID=7174009&amp;Result=3","7174009")</f>
        <v>0</v>
      </c>
      <c r="B10485" t="s">
        <v>1755</v>
      </c>
      <c r="C10485" t="s">
        <v>13544</v>
      </c>
      <c r="D10485" t="s">
        <v>17158</v>
      </c>
      <c r="E10485" t="s">
        <v>26199</v>
      </c>
      <c r="F10485" t="s">
        <v>29372</v>
      </c>
      <c r="G10485" t="s">
        <v>29380</v>
      </c>
      <c r="H10485" t="s">
        <v>11048</v>
      </c>
      <c r="I10485" t="s">
        <v>29400</v>
      </c>
      <c r="J10485" t="s">
        <v>31263</v>
      </c>
      <c r="K10485" t="s">
        <v>38488</v>
      </c>
      <c r="L10485" t="s">
        <v>1755</v>
      </c>
      <c r="M10485" t="s">
        <v>40620</v>
      </c>
      <c r="N10485" t="s">
        <v>42669</v>
      </c>
      <c r="O10485" t="s">
        <v>42670</v>
      </c>
      <c r="P10485">
        <v>0</v>
      </c>
      <c r="Q10485">
        <v>6</v>
      </c>
      <c r="R10485" t="s">
        <v>42683</v>
      </c>
      <c r="S10485" t="s">
        <v>43062</v>
      </c>
      <c r="T10485" t="s">
        <v>44527</v>
      </c>
      <c r="U10485" t="s">
        <v>53365</v>
      </c>
      <c r="W10485" t="s">
        <v>40620</v>
      </c>
      <c r="X10485" t="s">
        <v>42684</v>
      </c>
    </row>
    <row r="10486" spans="1:24">
      <c r="A10486">
        <f>HYPERLINK("https://www.philgeps.gov.ph/GEPSNONPILOT/Tender/SplashBidNoticeAbstractUI.aspx?menuIndex=3&amp;refID=7173949&amp;Result=3","7173949")</f>
        <v>0</v>
      </c>
      <c r="B10486" t="s">
        <v>2973</v>
      </c>
      <c r="C10486" t="s">
        <v>13545</v>
      </c>
      <c r="D10486" t="s">
        <v>17177</v>
      </c>
      <c r="E10486" t="s">
        <v>26200</v>
      </c>
      <c r="F10486" t="s">
        <v>29372</v>
      </c>
      <c r="G10486" t="s">
        <v>29380</v>
      </c>
      <c r="H10486" t="s">
        <v>29389</v>
      </c>
      <c r="I10486" t="s">
        <v>10408</v>
      </c>
      <c r="J10486" t="s">
        <v>29708</v>
      </c>
      <c r="K10486" t="s">
        <v>38485</v>
      </c>
      <c r="M10486" t="s">
        <v>41987</v>
      </c>
      <c r="N10486" t="s">
        <v>42669</v>
      </c>
      <c r="O10486" t="s">
        <v>42670</v>
      </c>
      <c r="P10486">
        <v>0</v>
      </c>
      <c r="Q10486">
        <v>0</v>
      </c>
      <c r="R10486" t="s">
        <v>42683</v>
      </c>
      <c r="S10486" t="s">
        <v>43062</v>
      </c>
      <c r="T10486" t="s">
        <v>44527</v>
      </c>
      <c r="U10486" t="s">
        <v>53366</v>
      </c>
      <c r="W10486" t="s">
        <v>41987</v>
      </c>
      <c r="X10486" t="s">
        <v>42684</v>
      </c>
    </row>
    <row r="10487" spans="1:24">
      <c r="A10487">
        <f>HYPERLINK("https://www.philgeps.gov.ph/GEPSNONPILOT/Tender/SplashBidNoticeAbstractUI.aspx?menuIndex=3&amp;refID=7174086&amp;Result=3","7174086")</f>
        <v>0</v>
      </c>
      <c r="B10487" t="s">
        <v>2997</v>
      </c>
      <c r="C10487" t="s">
        <v>13546</v>
      </c>
      <c r="D10487" t="s">
        <v>17196</v>
      </c>
      <c r="E10487" t="s">
        <v>26201</v>
      </c>
      <c r="F10487" t="s">
        <v>29372</v>
      </c>
      <c r="G10487" t="s">
        <v>29380</v>
      </c>
      <c r="H10487" t="s">
        <v>29389</v>
      </c>
      <c r="I10487" t="s">
        <v>10408</v>
      </c>
      <c r="J10487" t="s">
        <v>36178</v>
      </c>
      <c r="K10487" t="s">
        <v>38496</v>
      </c>
      <c r="M10487" t="s">
        <v>42016</v>
      </c>
      <c r="N10487" t="s">
        <v>42669</v>
      </c>
      <c r="O10487" t="s">
        <v>42670</v>
      </c>
      <c r="P10487">
        <v>0</v>
      </c>
      <c r="Q10487">
        <v>1</v>
      </c>
      <c r="R10487" t="s">
        <v>42683</v>
      </c>
      <c r="S10487" t="s">
        <v>43062</v>
      </c>
      <c r="T10487" t="s">
        <v>44357</v>
      </c>
      <c r="U10487" t="s">
        <v>53367</v>
      </c>
      <c r="W10487" t="s">
        <v>42016</v>
      </c>
      <c r="X10487" t="s">
        <v>42684</v>
      </c>
    </row>
    <row r="10488" spans="1:24">
      <c r="A10488">
        <f>HYPERLINK("https://www.philgeps.gov.ph/GEPSNONPILOT/Tender/SplashBidNoticeAbstractUI.aspx?menuIndex=3&amp;refID=7173940&amp;Result=3","7173940")</f>
        <v>0</v>
      </c>
      <c r="B10488" t="s">
        <v>118</v>
      </c>
      <c r="C10488" t="s">
        <v>13547</v>
      </c>
      <c r="D10488" t="s">
        <v>17141</v>
      </c>
      <c r="E10488" t="s">
        <v>26202</v>
      </c>
      <c r="F10488" t="s">
        <v>29372</v>
      </c>
      <c r="G10488" t="s">
        <v>29380</v>
      </c>
      <c r="H10488" t="s">
        <v>29389</v>
      </c>
      <c r="I10488" t="s">
        <v>10408</v>
      </c>
      <c r="J10488" t="s">
        <v>36179</v>
      </c>
      <c r="K10488" t="s">
        <v>38522</v>
      </c>
      <c r="M10488" t="s">
        <v>42009</v>
      </c>
      <c r="N10488" t="s">
        <v>42669</v>
      </c>
      <c r="O10488" t="s">
        <v>42670</v>
      </c>
      <c r="P10488">
        <v>0</v>
      </c>
      <c r="Q10488">
        <v>57</v>
      </c>
      <c r="R10488" t="s">
        <v>42683</v>
      </c>
      <c r="S10488" t="s">
        <v>43062</v>
      </c>
      <c r="T10488" t="s">
        <v>44490</v>
      </c>
      <c r="U10488" t="s">
        <v>53368</v>
      </c>
      <c r="W10488" t="s">
        <v>42009</v>
      </c>
      <c r="X10488" t="s">
        <v>42684</v>
      </c>
    </row>
    <row r="10489" spans="1:24">
      <c r="A10489">
        <f>HYPERLINK("https://www.philgeps.gov.ph/GEPSNONPILOT/Tender/SplashBidNoticeAbstractUI.aspx?menuIndex=3&amp;refID=7174034&amp;Result=3","7174034")</f>
        <v>0</v>
      </c>
      <c r="B10489" t="s">
        <v>1755</v>
      </c>
      <c r="C10489" t="s">
        <v>13548</v>
      </c>
      <c r="D10489" t="s">
        <v>17158</v>
      </c>
      <c r="E10489" t="s">
        <v>26203</v>
      </c>
      <c r="F10489" t="s">
        <v>29372</v>
      </c>
      <c r="G10489" t="s">
        <v>29380</v>
      </c>
      <c r="H10489" t="s">
        <v>11048</v>
      </c>
      <c r="I10489" t="s">
        <v>3839</v>
      </c>
      <c r="J10489" t="s">
        <v>30100</v>
      </c>
      <c r="K10489" t="s">
        <v>38488</v>
      </c>
      <c r="L10489" t="s">
        <v>1755</v>
      </c>
      <c r="M10489" t="s">
        <v>40620</v>
      </c>
      <c r="N10489" t="s">
        <v>42669</v>
      </c>
      <c r="O10489" t="s">
        <v>42670</v>
      </c>
      <c r="P10489">
        <v>0</v>
      </c>
      <c r="Q10489">
        <v>9</v>
      </c>
      <c r="R10489" t="s">
        <v>42683</v>
      </c>
      <c r="S10489" t="s">
        <v>43062</v>
      </c>
      <c r="T10489" t="s">
        <v>44527</v>
      </c>
      <c r="U10489" t="s">
        <v>53369</v>
      </c>
      <c r="W10489" t="s">
        <v>40620</v>
      </c>
      <c r="X10489" t="s">
        <v>42684</v>
      </c>
    </row>
    <row r="10490" spans="1:24">
      <c r="A10490">
        <f>HYPERLINK("https://www.philgeps.gov.ph/GEPSNONPILOT/Tender/SplashBidNoticeAbstractUI.aspx?menuIndex=3&amp;refID=7173934&amp;Result=3","7173934")</f>
        <v>0</v>
      </c>
      <c r="B10490" t="s">
        <v>2973</v>
      </c>
      <c r="C10490" t="s">
        <v>13549</v>
      </c>
      <c r="D10490" t="s">
        <v>17177</v>
      </c>
      <c r="E10490" t="s">
        <v>26204</v>
      </c>
      <c r="F10490" t="s">
        <v>29372</v>
      </c>
      <c r="G10490" t="s">
        <v>29380</v>
      </c>
      <c r="H10490" t="s">
        <v>29389</v>
      </c>
      <c r="I10490" t="s">
        <v>10408</v>
      </c>
      <c r="J10490" t="s">
        <v>29587</v>
      </c>
      <c r="K10490" t="s">
        <v>38485</v>
      </c>
      <c r="M10490" t="s">
        <v>41987</v>
      </c>
      <c r="N10490" t="s">
        <v>42669</v>
      </c>
      <c r="O10490" t="s">
        <v>42670</v>
      </c>
      <c r="P10490">
        <v>0</v>
      </c>
      <c r="Q10490">
        <v>0</v>
      </c>
      <c r="R10490" t="s">
        <v>42683</v>
      </c>
      <c r="S10490" t="s">
        <v>43062</v>
      </c>
      <c r="T10490" t="s">
        <v>44527</v>
      </c>
      <c r="U10490" t="s">
        <v>53370</v>
      </c>
      <c r="W10490" t="s">
        <v>41987</v>
      </c>
      <c r="X10490" t="s">
        <v>42684</v>
      </c>
    </row>
    <row r="10491" spans="1:24">
      <c r="A10491">
        <f>HYPERLINK("https://www.philgeps.gov.ph/GEPSNONPILOT/Tender/SplashBidNoticeAbstractUI.aspx?menuIndex=3&amp;refID=7165539&amp;Result=3","7165539")</f>
        <v>0</v>
      </c>
      <c r="B10491" t="s">
        <v>58</v>
      </c>
      <c r="C10491" t="s">
        <v>13550</v>
      </c>
      <c r="D10491" t="s">
        <v>17144</v>
      </c>
      <c r="E10491" t="s">
        <v>26205</v>
      </c>
      <c r="F10491" t="s">
        <v>29372</v>
      </c>
      <c r="G10491" t="s">
        <v>29380</v>
      </c>
      <c r="H10491" t="s">
        <v>11048</v>
      </c>
      <c r="I10491" t="s">
        <v>4487</v>
      </c>
      <c r="J10491" t="s">
        <v>36180</v>
      </c>
      <c r="K10491" t="s">
        <v>38490</v>
      </c>
      <c r="L10491" t="s">
        <v>58</v>
      </c>
      <c r="M10491" t="s">
        <v>38811</v>
      </c>
      <c r="N10491" t="s">
        <v>42669</v>
      </c>
      <c r="O10491" t="s">
        <v>42670</v>
      </c>
      <c r="Q10491">
        <v>5</v>
      </c>
      <c r="R10491" t="s">
        <v>42684</v>
      </c>
      <c r="S10491" t="s">
        <v>43205</v>
      </c>
      <c r="T10491" t="s">
        <v>44391</v>
      </c>
      <c r="U10491" t="s">
        <v>53371</v>
      </c>
      <c r="W10491" t="s">
        <v>38811</v>
      </c>
      <c r="X10491" t="s">
        <v>42686</v>
      </c>
    </row>
    <row r="10492" spans="1:24">
      <c r="A10492">
        <f>HYPERLINK("https://www.philgeps.gov.ph/GEPSNONPILOT/Tender/SplashBidNoticeAbstractUI.aspx?menuIndex=3&amp;refID=7173943&amp;Result=3","7173943")</f>
        <v>0</v>
      </c>
      <c r="B10492" t="s">
        <v>1691</v>
      </c>
      <c r="C10492" t="s">
        <v>13551</v>
      </c>
      <c r="D10492" t="s">
        <v>17175</v>
      </c>
      <c r="E10492" t="s">
        <v>26206</v>
      </c>
      <c r="F10492" t="s">
        <v>29372</v>
      </c>
      <c r="G10492" t="s">
        <v>29380</v>
      </c>
      <c r="H10492" t="s">
        <v>11048</v>
      </c>
      <c r="I10492" t="s">
        <v>29395</v>
      </c>
      <c r="J10492" t="s">
        <v>36181</v>
      </c>
      <c r="K10492" t="s">
        <v>38518</v>
      </c>
      <c r="M10492" t="s">
        <v>40553</v>
      </c>
      <c r="N10492" t="s">
        <v>42669</v>
      </c>
      <c r="O10492" t="s">
        <v>42670</v>
      </c>
      <c r="Q10492">
        <v>0</v>
      </c>
      <c r="R10492" t="s">
        <v>42683</v>
      </c>
      <c r="S10492" t="s">
        <v>43206</v>
      </c>
      <c r="T10492" t="s">
        <v>44457</v>
      </c>
      <c r="U10492" t="s">
        <v>53372</v>
      </c>
      <c r="V10492" t="s">
        <v>56888</v>
      </c>
      <c r="W10492" t="s">
        <v>40553</v>
      </c>
      <c r="X10492" t="s">
        <v>42684</v>
      </c>
    </row>
    <row r="10493" spans="1:24">
      <c r="A10493">
        <f>HYPERLINK("https://www.philgeps.gov.ph/GEPSNONPILOT/Tender/SplashBidNoticeAbstractUI.aspx?menuIndex=3&amp;refID=7174096&amp;Result=3","7174096")</f>
        <v>0</v>
      </c>
      <c r="B10493" t="s">
        <v>3019</v>
      </c>
      <c r="C10493" t="s">
        <v>13552</v>
      </c>
      <c r="D10493" t="s">
        <v>17169</v>
      </c>
      <c r="E10493" t="s">
        <v>26207</v>
      </c>
      <c r="F10493" t="s">
        <v>29372</v>
      </c>
      <c r="G10493" t="s">
        <v>29380</v>
      </c>
      <c r="H10493" t="s">
        <v>29389</v>
      </c>
      <c r="I10493" t="s">
        <v>10408</v>
      </c>
      <c r="J10493" t="s">
        <v>36182</v>
      </c>
      <c r="K10493" t="s">
        <v>38510</v>
      </c>
      <c r="M10493" t="s">
        <v>42040</v>
      </c>
      <c r="N10493" t="s">
        <v>42669</v>
      </c>
      <c r="O10493" t="s">
        <v>42670</v>
      </c>
      <c r="P10493">
        <v>0</v>
      </c>
      <c r="Q10493">
        <v>0</v>
      </c>
      <c r="R10493" t="s">
        <v>42683</v>
      </c>
      <c r="S10493" t="s">
        <v>43062</v>
      </c>
      <c r="T10493" t="s">
        <v>44474</v>
      </c>
      <c r="U10493" t="s">
        <v>53373</v>
      </c>
      <c r="W10493" t="s">
        <v>42040</v>
      </c>
      <c r="X10493" t="s">
        <v>42684</v>
      </c>
    </row>
    <row r="10494" spans="1:24">
      <c r="A10494">
        <f>HYPERLINK("https://www.philgeps.gov.ph/GEPSNONPILOT/Tender/SplashBidNoticeAbstractUI.aspx?menuIndex=3&amp;refID=7174006&amp;Result=3","7174006")</f>
        <v>0</v>
      </c>
      <c r="B10494" t="s">
        <v>118</v>
      </c>
      <c r="C10494" t="s">
        <v>13553</v>
      </c>
      <c r="D10494" t="s">
        <v>17141</v>
      </c>
      <c r="E10494" t="s">
        <v>26208</v>
      </c>
      <c r="F10494" t="s">
        <v>29372</v>
      </c>
      <c r="G10494" t="s">
        <v>29380</v>
      </c>
      <c r="H10494" t="s">
        <v>29389</v>
      </c>
      <c r="I10494" t="s">
        <v>10408</v>
      </c>
      <c r="J10494" t="s">
        <v>36183</v>
      </c>
      <c r="K10494" t="s">
        <v>38522</v>
      </c>
      <c r="M10494" t="s">
        <v>42009</v>
      </c>
      <c r="N10494" t="s">
        <v>42669</v>
      </c>
      <c r="O10494" t="s">
        <v>42670</v>
      </c>
      <c r="P10494">
        <v>0</v>
      </c>
      <c r="Q10494">
        <v>58</v>
      </c>
      <c r="R10494" t="s">
        <v>42683</v>
      </c>
      <c r="S10494" t="s">
        <v>43062</v>
      </c>
      <c r="T10494" t="s">
        <v>44490</v>
      </c>
      <c r="U10494" t="s">
        <v>53374</v>
      </c>
      <c r="W10494" t="s">
        <v>42009</v>
      </c>
      <c r="X10494" t="s">
        <v>42684</v>
      </c>
    </row>
    <row r="10495" spans="1:24">
      <c r="A10495">
        <f>HYPERLINK("https://www.philgeps.gov.ph/GEPSNONPILOT/Tender/SplashBidNoticeAbstractUI.aspx?menuIndex=3&amp;refID=7167119&amp;Result=3","7167119")</f>
        <v>0</v>
      </c>
      <c r="B10495" t="s">
        <v>2360</v>
      </c>
      <c r="C10495" t="s">
        <v>13554</v>
      </c>
      <c r="D10495" t="s">
        <v>17168</v>
      </c>
      <c r="E10495" t="s">
        <v>26209</v>
      </c>
      <c r="F10495" t="s">
        <v>29372</v>
      </c>
      <c r="G10495" t="s">
        <v>29380</v>
      </c>
      <c r="H10495" t="s">
        <v>11048</v>
      </c>
      <c r="I10495" t="s">
        <v>4709</v>
      </c>
      <c r="J10495" t="s">
        <v>36184</v>
      </c>
      <c r="K10495" t="s">
        <v>38488</v>
      </c>
      <c r="M10495" t="s">
        <v>41296</v>
      </c>
      <c r="N10495" t="s">
        <v>42669</v>
      </c>
      <c r="O10495" t="s">
        <v>42670</v>
      </c>
      <c r="P10495">
        <v>0</v>
      </c>
      <c r="Q10495">
        <v>0</v>
      </c>
      <c r="R10495" t="s">
        <v>42684</v>
      </c>
      <c r="S10495" t="s">
        <v>43183</v>
      </c>
      <c r="T10495" t="s">
        <v>44485</v>
      </c>
      <c r="U10495" t="s">
        <v>53375</v>
      </c>
      <c r="W10495" t="s">
        <v>41296</v>
      </c>
      <c r="X10495" t="s">
        <v>42686</v>
      </c>
    </row>
    <row r="10496" spans="1:24">
      <c r="A10496">
        <f>HYPERLINK("https://www.philgeps.gov.ph/GEPSNONPILOT/Tender/SplashBidNoticeAbstractUI.aspx?menuIndex=3&amp;refID=7167373&amp;Result=3","7167373")</f>
        <v>0</v>
      </c>
      <c r="B10496" t="s">
        <v>1817</v>
      </c>
      <c r="C10496" t="s">
        <v>13555</v>
      </c>
      <c r="D10496" t="s">
        <v>17153</v>
      </c>
      <c r="E10496" t="s">
        <v>26210</v>
      </c>
      <c r="F10496" t="s">
        <v>29372</v>
      </c>
      <c r="G10496" t="s">
        <v>29380</v>
      </c>
      <c r="H10496" t="s">
        <v>29389</v>
      </c>
      <c r="I10496" t="s">
        <v>10408</v>
      </c>
      <c r="J10496" t="s">
        <v>36185</v>
      </c>
      <c r="K10496" t="s">
        <v>38533</v>
      </c>
      <c r="M10496" t="s">
        <v>40688</v>
      </c>
      <c r="N10496" t="s">
        <v>42669</v>
      </c>
      <c r="O10496" t="s">
        <v>42670</v>
      </c>
      <c r="P10496">
        <v>0</v>
      </c>
      <c r="Q10496">
        <v>2</v>
      </c>
      <c r="R10496" t="s">
        <v>42684</v>
      </c>
      <c r="S10496" t="s">
        <v>43183</v>
      </c>
      <c r="T10496" t="s">
        <v>44444</v>
      </c>
      <c r="U10496" t="s">
        <v>53376</v>
      </c>
      <c r="W10496" t="s">
        <v>40688</v>
      </c>
      <c r="X10496" t="s">
        <v>42686</v>
      </c>
    </row>
    <row r="10497" spans="1:24">
      <c r="A10497">
        <f>HYPERLINK("https://www.philgeps.gov.ph/GEPSNONPILOT/Tender/SplashBidNoticeAbstractUI.aspx?menuIndex=3&amp;refID=7167336&amp;Result=3","7167336")</f>
        <v>0</v>
      </c>
      <c r="B10497" t="s">
        <v>2451</v>
      </c>
      <c r="C10497" t="s">
        <v>13556</v>
      </c>
      <c r="D10497" t="s">
        <v>17228</v>
      </c>
      <c r="E10497" t="s">
        <v>26211</v>
      </c>
      <c r="F10497" t="s">
        <v>29372</v>
      </c>
      <c r="G10497" t="s">
        <v>29380</v>
      </c>
      <c r="H10497" t="s">
        <v>29389</v>
      </c>
      <c r="I10497" t="s">
        <v>10408</v>
      </c>
      <c r="J10497" t="s">
        <v>29543</v>
      </c>
      <c r="K10497" t="s">
        <v>38490</v>
      </c>
      <c r="M10497" t="s">
        <v>41399</v>
      </c>
      <c r="N10497" t="s">
        <v>42669</v>
      </c>
      <c r="O10497" t="s">
        <v>42670</v>
      </c>
      <c r="P10497">
        <v>0</v>
      </c>
      <c r="Q10497">
        <v>1</v>
      </c>
      <c r="R10497" t="s">
        <v>42684</v>
      </c>
      <c r="S10497" t="s">
        <v>43183</v>
      </c>
      <c r="T10497" t="s">
        <v>44375</v>
      </c>
      <c r="U10497" t="s">
        <v>53377</v>
      </c>
      <c r="W10497" t="s">
        <v>41399</v>
      </c>
      <c r="X10497" t="s">
        <v>42686</v>
      </c>
    </row>
    <row r="10498" spans="1:24">
      <c r="A10498">
        <f>HYPERLINK("https://www.philgeps.gov.ph/GEPSNONPILOT/Tender/SplashBidNoticeAbstractUI.aspx?menuIndex=3&amp;refID=7167295&amp;Result=3","7167295")</f>
        <v>0</v>
      </c>
      <c r="B10498" t="s">
        <v>2451</v>
      </c>
      <c r="C10498" t="s">
        <v>13557</v>
      </c>
      <c r="D10498" t="s">
        <v>17228</v>
      </c>
      <c r="E10498" t="s">
        <v>26212</v>
      </c>
      <c r="F10498" t="s">
        <v>29372</v>
      </c>
      <c r="G10498" t="s">
        <v>29380</v>
      </c>
      <c r="H10498" t="s">
        <v>29389</v>
      </c>
      <c r="I10498" t="s">
        <v>10408</v>
      </c>
      <c r="J10498" t="s">
        <v>30056</v>
      </c>
      <c r="K10498" t="s">
        <v>38490</v>
      </c>
      <c r="M10498" t="s">
        <v>41399</v>
      </c>
      <c r="N10498" t="s">
        <v>42669</v>
      </c>
      <c r="O10498" t="s">
        <v>42670</v>
      </c>
      <c r="P10498">
        <v>0</v>
      </c>
      <c r="Q10498">
        <v>1</v>
      </c>
      <c r="R10498" t="s">
        <v>42684</v>
      </c>
      <c r="S10498" t="s">
        <v>43183</v>
      </c>
      <c r="T10498" t="s">
        <v>44375</v>
      </c>
      <c r="U10498" t="s">
        <v>53377</v>
      </c>
      <c r="W10498" t="s">
        <v>41399</v>
      </c>
      <c r="X10498" t="s">
        <v>42686</v>
      </c>
    </row>
    <row r="10499" spans="1:24">
      <c r="A10499">
        <f>HYPERLINK("https://www.philgeps.gov.ph/GEPSNONPILOT/Tender/SplashBidNoticeAbstractUI.aspx?menuIndex=3&amp;refID=7167324&amp;Result=3","7167324")</f>
        <v>0</v>
      </c>
      <c r="B10499" t="s">
        <v>1464</v>
      </c>
      <c r="C10499" t="s">
        <v>13558</v>
      </c>
      <c r="D10499" t="s">
        <v>17169</v>
      </c>
      <c r="E10499" t="s">
        <v>26213</v>
      </c>
      <c r="F10499" t="s">
        <v>29372</v>
      </c>
      <c r="G10499" t="s">
        <v>29380</v>
      </c>
      <c r="H10499" t="s">
        <v>11048</v>
      </c>
      <c r="I10499" t="s">
        <v>29414</v>
      </c>
      <c r="J10499" t="s">
        <v>36186</v>
      </c>
      <c r="K10499" t="s">
        <v>38490</v>
      </c>
      <c r="M10499" t="s">
        <v>40307</v>
      </c>
      <c r="N10499" t="s">
        <v>42669</v>
      </c>
      <c r="O10499" t="s">
        <v>42670</v>
      </c>
      <c r="P10499">
        <v>0</v>
      </c>
      <c r="Q10499">
        <v>15</v>
      </c>
      <c r="R10499" t="s">
        <v>42684</v>
      </c>
      <c r="S10499" t="s">
        <v>43183</v>
      </c>
      <c r="T10499" t="s">
        <v>44551</v>
      </c>
      <c r="U10499" t="s">
        <v>53378</v>
      </c>
      <c r="W10499" t="s">
        <v>40307</v>
      </c>
      <c r="X10499" t="s">
        <v>42686</v>
      </c>
    </row>
    <row r="10500" spans="1:24">
      <c r="A10500">
        <f>HYPERLINK("https://www.philgeps.gov.ph/GEPSNONPILOT/Tender/SplashBidNoticeAbstractUI.aspx?menuIndex=3&amp;refID=7167284&amp;Result=3","7167284")</f>
        <v>0</v>
      </c>
      <c r="B10500" t="s">
        <v>1464</v>
      </c>
      <c r="C10500" t="s">
        <v>13559</v>
      </c>
      <c r="D10500" t="s">
        <v>17169</v>
      </c>
      <c r="E10500" t="s">
        <v>26214</v>
      </c>
      <c r="F10500" t="s">
        <v>29372</v>
      </c>
      <c r="G10500" t="s">
        <v>29380</v>
      </c>
      <c r="H10500" t="s">
        <v>11048</v>
      </c>
      <c r="I10500" t="s">
        <v>29414</v>
      </c>
      <c r="J10500" t="s">
        <v>29728</v>
      </c>
      <c r="K10500" t="s">
        <v>38490</v>
      </c>
      <c r="M10500" t="s">
        <v>40307</v>
      </c>
      <c r="N10500" t="s">
        <v>42669</v>
      </c>
      <c r="O10500" t="s">
        <v>42670</v>
      </c>
      <c r="P10500">
        <v>0</v>
      </c>
      <c r="Q10500">
        <v>6</v>
      </c>
      <c r="R10500" t="s">
        <v>42684</v>
      </c>
      <c r="S10500" t="s">
        <v>43183</v>
      </c>
      <c r="T10500" t="s">
        <v>44551</v>
      </c>
      <c r="U10500" t="s">
        <v>53379</v>
      </c>
      <c r="W10500" t="s">
        <v>40307</v>
      </c>
      <c r="X10500" t="s">
        <v>42686</v>
      </c>
    </row>
    <row r="10501" spans="1:24">
      <c r="A10501">
        <f>HYPERLINK("https://www.philgeps.gov.ph/GEPSNONPILOT/Tender/SplashBidNoticeAbstractUI.aspx?menuIndex=3&amp;refID=7167214&amp;Result=3","7167214")</f>
        <v>0</v>
      </c>
      <c r="B10501" t="s">
        <v>1464</v>
      </c>
      <c r="C10501" t="s">
        <v>13560</v>
      </c>
      <c r="D10501" t="s">
        <v>17169</v>
      </c>
      <c r="E10501" t="s">
        <v>26215</v>
      </c>
      <c r="F10501" t="s">
        <v>29372</v>
      </c>
      <c r="G10501" t="s">
        <v>29380</v>
      </c>
      <c r="H10501" t="s">
        <v>11048</v>
      </c>
      <c r="I10501" t="s">
        <v>29414</v>
      </c>
      <c r="J10501" t="s">
        <v>29829</v>
      </c>
      <c r="K10501" t="s">
        <v>38490</v>
      </c>
      <c r="M10501" t="s">
        <v>40307</v>
      </c>
      <c r="N10501" t="s">
        <v>42669</v>
      </c>
      <c r="O10501" t="s">
        <v>42670</v>
      </c>
      <c r="P10501">
        <v>0</v>
      </c>
      <c r="Q10501">
        <v>26</v>
      </c>
      <c r="R10501" t="s">
        <v>42684</v>
      </c>
      <c r="S10501" t="s">
        <v>43183</v>
      </c>
      <c r="T10501" t="s">
        <v>44551</v>
      </c>
      <c r="U10501" t="s">
        <v>53380</v>
      </c>
      <c r="W10501" t="s">
        <v>40307</v>
      </c>
      <c r="X10501" t="s">
        <v>42686</v>
      </c>
    </row>
    <row r="10502" spans="1:24">
      <c r="A10502">
        <f>HYPERLINK("https://www.philgeps.gov.ph/GEPSNONPILOT/Tender/SplashBidNoticeAbstractUI.aspx?menuIndex=3&amp;refID=7167183&amp;Result=3","7167183")</f>
        <v>0</v>
      </c>
      <c r="B10502" t="s">
        <v>3005</v>
      </c>
      <c r="C10502" t="s">
        <v>13561</v>
      </c>
      <c r="D10502" t="s">
        <v>17189</v>
      </c>
      <c r="E10502" t="s">
        <v>26216</v>
      </c>
      <c r="F10502" t="s">
        <v>29372</v>
      </c>
      <c r="G10502" t="s">
        <v>29380</v>
      </c>
      <c r="H10502" t="s">
        <v>11048</v>
      </c>
      <c r="I10502" t="s">
        <v>14920</v>
      </c>
      <c r="J10502" t="s">
        <v>36187</v>
      </c>
      <c r="K10502" t="s">
        <v>38491</v>
      </c>
      <c r="M10502" t="s">
        <v>42024</v>
      </c>
      <c r="N10502" t="s">
        <v>42669</v>
      </c>
      <c r="O10502" t="s">
        <v>42670</v>
      </c>
      <c r="P10502">
        <v>0</v>
      </c>
      <c r="Q10502">
        <v>0</v>
      </c>
      <c r="R10502" t="s">
        <v>42684</v>
      </c>
      <c r="S10502" t="s">
        <v>43183</v>
      </c>
      <c r="T10502" t="s">
        <v>44361</v>
      </c>
      <c r="U10502" t="s">
        <v>53286</v>
      </c>
      <c r="W10502" t="s">
        <v>42024</v>
      </c>
      <c r="X10502" t="s">
        <v>42686</v>
      </c>
    </row>
    <row r="10503" spans="1:24">
      <c r="A10503">
        <f>HYPERLINK("https://www.philgeps.gov.ph/GEPSNONPILOT/Tender/SplashBidNoticeAbstractUI.aspx?menuIndex=3&amp;refID=7167667&amp;Result=3","7167667")</f>
        <v>0</v>
      </c>
      <c r="B10503" t="s">
        <v>2685</v>
      </c>
      <c r="C10503" t="s">
        <v>13562</v>
      </c>
      <c r="D10503" t="s">
        <v>17177</v>
      </c>
      <c r="E10503" t="s">
        <v>26217</v>
      </c>
      <c r="F10503" t="s">
        <v>29372</v>
      </c>
      <c r="G10503" t="s">
        <v>29380</v>
      </c>
      <c r="H10503" t="s">
        <v>11048</v>
      </c>
      <c r="I10503" t="s">
        <v>29414</v>
      </c>
      <c r="J10503" t="s">
        <v>36188</v>
      </c>
      <c r="K10503" t="s">
        <v>38485</v>
      </c>
      <c r="M10503" t="s">
        <v>42041</v>
      </c>
      <c r="N10503" t="s">
        <v>42669</v>
      </c>
      <c r="O10503" t="s">
        <v>42670</v>
      </c>
      <c r="P10503">
        <v>0</v>
      </c>
      <c r="Q10503">
        <v>11</v>
      </c>
      <c r="R10503" t="s">
        <v>42684</v>
      </c>
      <c r="S10503" t="s">
        <v>43183</v>
      </c>
      <c r="T10503" t="s">
        <v>44460</v>
      </c>
      <c r="U10503" t="s">
        <v>53381</v>
      </c>
      <c r="W10503" t="s">
        <v>42041</v>
      </c>
      <c r="X10503" t="s">
        <v>42686</v>
      </c>
    </row>
    <row r="10504" spans="1:24">
      <c r="A10504">
        <f>HYPERLINK("https://www.philgeps.gov.ph/GEPSNONPILOT/Tender/SplashBidNoticeAbstractUI.aspx?menuIndex=3&amp;refID=7167355&amp;Result=3","7167355")</f>
        <v>0</v>
      </c>
      <c r="B10504" t="s">
        <v>2360</v>
      </c>
      <c r="C10504" t="s">
        <v>13563</v>
      </c>
      <c r="D10504" t="s">
        <v>17168</v>
      </c>
      <c r="E10504" t="s">
        <v>26209</v>
      </c>
      <c r="F10504" t="s">
        <v>29372</v>
      </c>
      <c r="G10504" t="s">
        <v>29380</v>
      </c>
      <c r="H10504" t="s">
        <v>11048</v>
      </c>
      <c r="I10504" t="s">
        <v>4709</v>
      </c>
      <c r="J10504" t="s">
        <v>36189</v>
      </c>
      <c r="K10504" t="s">
        <v>38488</v>
      </c>
      <c r="M10504" t="s">
        <v>41296</v>
      </c>
      <c r="N10504" t="s">
        <v>42669</v>
      </c>
      <c r="O10504" t="s">
        <v>42670</v>
      </c>
      <c r="P10504">
        <v>0</v>
      </c>
      <c r="Q10504">
        <v>0</v>
      </c>
      <c r="R10504" t="s">
        <v>42684</v>
      </c>
      <c r="S10504" t="s">
        <v>43183</v>
      </c>
      <c r="T10504" t="s">
        <v>44485</v>
      </c>
      <c r="U10504" t="s">
        <v>53375</v>
      </c>
      <c r="W10504" t="s">
        <v>41296</v>
      </c>
      <c r="X10504" t="s">
        <v>42686</v>
      </c>
    </row>
    <row r="10505" spans="1:24">
      <c r="A10505">
        <f>HYPERLINK("https://www.philgeps.gov.ph/GEPSNONPILOT/Tender/SplashBidNoticeAbstractUI.aspx?menuIndex=3&amp;refID=7167367&amp;Result=3","7167367")</f>
        <v>0</v>
      </c>
      <c r="B10505" t="s">
        <v>1464</v>
      </c>
      <c r="C10505" t="s">
        <v>13564</v>
      </c>
      <c r="D10505" t="s">
        <v>17169</v>
      </c>
      <c r="E10505" t="s">
        <v>26218</v>
      </c>
      <c r="F10505" t="s">
        <v>29372</v>
      </c>
      <c r="G10505" t="s">
        <v>29380</v>
      </c>
      <c r="H10505" t="s">
        <v>11048</v>
      </c>
      <c r="I10505" t="s">
        <v>29414</v>
      </c>
      <c r="J10505" t="s">
        <v>36190</v>
      </c>
      <c r="K10505" t="s">
        <v>38490</v>
      </c>
      <c r="M10505" t="s">
        <v>40307</v>
      </c>
      <c r="N10505" t="s">
        <v>42669</v>
      </c>
      <c r="O10505" t="s">
        <v>42670</v>
      </c>
      <c r="P10505">
        <v>0</v>
      </c>
      <c r="Q10505">
        <v>28</v>
      </c>
      <c r="R10505" t="s">
        <v>42684</v>
      </c>
      <c r="S10505" t="s">
        <v>43183</v>
      </c>
      <c r="T10505" t="s">
        <v>44551</v>
      </c>
      <c r="U10505" t="s">
        <v>53382</v>
      </c>
      <c r="W10505" t="s">
        <v>40307</v>
      </c>
      <c r="X10505" t="s">
        <v>42686</v>
      </c>
    </row>
    <row r="10506" spans="1:24">
      <c r="A10506">
        <f>HYPERLINK("https://www.philgeps.gov.ph/GEPSNONPILOT/Tender/SplashBidNoticeAbstractUI.aspx?menuIndex=3&amp;refID=7167663&amp;Result=3","7167663")</f>
        <v>0</v>
      </c>
      <c r="B10506" t="s">
        <v>2685</v>
      </c>
      <c r="C10506" t="s">
        <v>13565</v>
      </c>
      <c r="D10506" t="s">
        <v>17177</v>
      </c>
      <c r="E10506" t="s">
        <v>26219</v>
      </c>
      <c r="F10506" t="s">
        <v>29372</v>
      </c>
      <c r="G10506" t="s">
        <v>29380</v>
      </c>
      <c r="H10506" t="s">
        <v>11048</v>
      </c>
      <c r="I10506" t="s">
        <v>29414</v>
      </c>
      <c r="J10506" t="s">
        <v>36191</v>
      </c>
      <c r="K10506" t="s">
        <v>38485</v>
      </c>
      <c r="M10506" t="s">
        <v>42041</v>
      </c>
      <c r="N10506" t="s">
        <v>42669</v>
      </c>
      <c r="O10506" t="s">
        <v>42670</v>
      </c>
      <c r="P10506">
        <v>0</v>
      </c>
      <c r="Q10506">
        <v>17</v>
      </c>
      <c r="R10506" t="s">
        <v>42684</v>
      </c>
      <c r="S10506" t="s">
        <v>43183</v>
      </c>
      <c r="T10506" t="s">
        <v>44460</v>
      </c>
      <c r="U10506" t="s">
        <v>53383</v>
      </c>
      <c r="W10506" t="s">
        <v>42041</v>
      </c>
      <c r="X10506" t="s">
        <v>42686</v>
      </c>
    </row>
    <row r="10507" spans="1:24">
      <c r="A10507">
        <f>HYPERLINK("https://www.philgeps.gov.ph/GEPSNONPILOT/Tender/SplashBidNoticeAbstractUI.aspx?menuIndex=3&amp;refID=7167425&amp;Result=3","7167425")</f>
        <v>0</v>
      </c>
      <c r="B10507" t="s">
        <v>2685</v>
      </c>
      <c r="C10507" t="s">
        <v>13566</v>
      </c>
      <c r="D10507" t="s">
        <v>17177</v>
      </c>
      <c r="E10507" t="s">
        <v>26220</v>
      </c>
      <c r="F10507" t="s">
        <v>29372</v>
      </c>
      <c r="G10507" t="s">
        <v>29380</v>
      </c>
      <c r="H10507" t="s">
        <v>11048</v>
      </c>
      <c r="I10507" t="s">
        <v>29414</v>
      </c>
      <c r="J10507" t="s">
        <v>36192</v>
      </c>
      <c r="K10507" t="s">
        <v>38485</v>
      </c>
      <c r="M10507" t="s">
        <v>42041</v>
      </c>
      <c r="N10507" t="s">
        <v>42669</v>
      </c>
      <c r="O10507" t="s">
        <v>42670</v>
      </c>
      <c r="P10507">
        <v>0</v>
      </c>
      <c r="Q10507">
        <v>21</v>
      </c>
      <c r="R10507" t="s">
        <v>42684</v>
      </c>
      <c r="S10507" t="s">
        <v>43183</v>
      </c>
      <c r="T10507" t="s">
        <v>44539</v>
      </c>
      <c r="U10507" t="s">
        <v>53384</v>
      </c>
      <c r="W10507" t="s">
        <v>42041</v>
      </c>
      <c r="X10507" t="s">
        <v>42686</v>
      </c>
    </row>
    <row r="10508" spans="1:24">
      <c r="A10508">
        <f>HYPERLINK("https://www.philgeps.gov.ph/GEPSNONPILOT/Tender/SplashBidNoticeAbstractUI.aspx?menuIndex=3&amp;refID=7167245&amp;Result=3","7167245")</f>
        <v>0</v>
      </c>
      <c r="B10508" t="s">
        <v>2451</v>
      </c>
      <c r="C10508" t="s">
        <v>13567</v>
      </c>
      <c r="D10508" t="s">
        <v>17228</v>
      </c>
      <c r="E10508" t="s">
        <v>26221</v>
      </c>
      <c r="F10508" t="s">
        <v>29372</v>
      </c>
      <c r="G10508" t="s">
        <v>29380</v>
      </c>
      <c r="H10508" t="s">
        <v>29389</v>
      </c>
      <c r="I10508" t="s">
        <v>10408</v>
      </c>
      <c r="J10508" t="s">
        <v>29604</v>
      </c>
      <c r="K10508" t="s">
        <v>38490</v>
      </c>
      <c r="M10508" t="s">
        <v>41399</v>
      </c>
      <c r="N10508" t="s">
        <v>42669</v>
      </c>
      <c r="O10508" t="s">
        <v>42670</v>
      </c>
      <c r="P10508">
        <v>0</v>
      </c>
      <c r="Q10508">
        <v>1</v>
      </c>
      <c r="R10508" t="s">
        <v>42684</v>
      </c>
      <c r="S10508" t="s">
        <v>43183</v>
      </c>
      <c r="T10508" t="s">
        <v>44375</v>
      </c>
      <c r="U10508" t="s">
        <v>53377</v>
      </c>
      <c r="W10508" t="s">
        <v>41399</v>
      </c>
      <c r="X10508" t="s">
        <v>42686</v>
      </c>
    </row>
    <row r="10509" spans="1:24">
      <c r="A10509">
        <f>HYPERLINK("https://www.philgeps.gov.ph/GEPSNONPILOT/Tender/SplashBidNoticeAbstractUI.aspx?menuIndex=3&amp;refID=7167149&amp;Result=3","7167149")</f>
        <v>0</v>
      </c>
      <c r="B10509" t="s">
        <v>1464</v>
      </c>
      <c r="C10509" t="s">
        <v>13568</v>
      </c>
      <c r="D10509" t="s">
        <v>17169</v>
      </c>
      <c r="E10509" t="s">
        <v>26222</v>
      </c>
      <c r="F10509" t="s">
        <v>29372</v>
      </c>
      <c r="G10509" t="s">
        <v>29380</v>
      </c>
      <c r="H10509" t="s">
        <v>11048</v>
      </c>
      <c r="I10509" t="s">
        <v>29414</v>
      </c>
      <c r="J10509" t="s">
        <v>29573</v>
      </c>
      <c r="K10509" t="s">
        <v>38490</v>
      </c>
      <c r="M10509" t="s">
        <v>40307</v>
      </c>
      <c r="N10509" t="s">
        <v>42669</v>
      </c>
      <c r="O10509" t="s">
        <v>42670</v>
      </c>
      <c r="P10509">
        <v>0</v>
      </c>
      <c r="Q10509">
        <v>39</v>
      </c>
      <c r="R10509" t="s">
        <v>42684</v>
      </c>
      <c r="S10509" t="s">
        <v>43183</v>
      </c>
      <c r="T10509" t="s">
        <v>44551</v>
      </c>
      <c r="U10509" t="s">
        <v>53385</v>
      </c>
      <c r="W10509" t="s">
        <v>40307</v>
      </c>
      <c r="X10509" t="s">
        <v>42686</v>
      </c>
    </row>
    <row r="10510" spans="1:24">
      <c r="A10510">
        <f>HYPERLINK("https://www.philgeps.gov.ph/GEPSNONPILOT/Tender/SplashBidNoticeAbstractUI.aspx?menuIndex=3&amp;refID=7167673&amp;Result=3","7167673")</f>
        <v>0</v>
      </c>
      <c r="B10510" t="s">
        <v>2685</v>
      </c>
      <c r="C10510" t="s">
        <v>13569</v>
      </c>
      <c r="D10510" t="s">
        <v>17177</v>
      </c>
      <c r="E10510" t="s">
        <v>26223</v>
      </c>
      <c r="F10510" t="s">
        <v>29372</v>
      </c>
      <c r="G10510" t="s">
        <v>29380</v>
      </c>
      <c r="H10510" t="s">
        <v>11048</v>
      </c>
      <c r="I10510" t="s">
        <v>29414</v>
      </c>
      <c r="J10510" t="s">
        <v>36193</v>
      </c>
      <c r="K10510" t="s">
        <v>38485</v>
      </c>
      <c r="M10510" t="s">
        <v>42041</v>
      </c>
      <c r="N10510" t="s">
        <v>42669</v>
      </c>
      <c r="O10510" t="s">
        <v>42670</v>
      </c>
      <c r="P10510">
        <v>0</v>
      </c>
      <c r="Q10510">
        <v>13</v>
      </c>
      <c r="R10510" t="s">
        <v>42684</v>
      </c>
      <c r="S10510" t="s">
        <v>43183</v>
      </c>
      <c r="T10510" t="s">
        <v>44460</v>
      </c>
      <c r="U10510" t="s">
        <v>53386</v>
      </c>
      <c r="W10510" t="s">
        <v>42041</v>
      </c>
      <c r="X10510" t="s">
        <v>42686</v>
      </c>
    </row>
    <row r="10511" spans="1:24">
      <c r="A10511">
        <f>HYPERLINK("https://www.philgeps.gov.ph/GEPSNONPILOT/Tender/SplashBidNoticeAbstractUI.aspx?menuIndex=3&amp;refID=7167387&amp;Result=3","7167387")</f>
        <v>0</v>
      </c>
      <c r="B10511" t="s">
        <v>2685</v>
      </c>
      <c r="C10511" t="s">
        <v>13570</v>
      </c>
      <c r="D10511" t="s">
        <v>17177</v>
      </c>
      <c r="E10511" t="s">
        <v>26224</v>
      </c>
      <c r="F10511" t="s">
        <v>29372</v>
      </c>
      <c r="G10511" t="s">
        <v>29380</v>
      </c>
      <c r="H10511" t="s">
        <v>11048</v>
      </c>
      <c r="I10511" t="s">
        <v>29414</v>
      </c>
      <c r="J10511" t="s">
        <v>36194</v>
      </c>
      <c r="K10511" t="s">
        <v>38485</v>
      </c>
      <c r="M10511" t="s">
        <v>42041</v>
      </c>
      <c r="N10511" t="s">
        <v>42669</v>
      </c>
      <c r="O10511" t="s">
        <v>42670</v>
      </c>
      <c r="P10511">
        <v>0</v>
      </c>
      <c r="Q10511">
        <v>33</v>
      </c>
      <c r="R10511" t="s">
        <v>42684</v>
      </c>
      <c r="S10511" t="s">
        <v>43183</v>
      </c>
      <c r="T10511" t="s">
        <v>44539</v>
      </c>
      <c r="U10511" t="s">
        <v>53387</v>
      </c>
      <c r="W10511" t="s">
        <v>42041</v>
      </c>
      <c r="X10511" t="s">
        <v>42686</v>
      </c>
    </row>
    <row r="10512" spans="1:24">
      <c r="A10512">
        <f>HYPERLINK("https://www.philgeps.gov.ph/GEPSNONPILOT/Tender/SplashBidNoticeAbstractUI.aspx?menuIndex=3&amp;refID=7167644&amp;Result=3","7167644")</f>
        <v>0</v>
      </c>
      <c r="B10512" t="s">
        <v>2685</v>
      </c>
      <c r="C10512" t="s">
        <v>13571</v>
      </c>
      <c r="D10512" t="s">
        <v>17177</v>
      </c>
      <c r="E10512" t="s">
        <v>26225</v>
      </c>
      <c r="F10512" t="s">
        <v>29372</v>
      </c>
      <c r="G10512" t="s">
        <v>29380</v>
      </c>
      <c r="H10512" t="s">
        <v>11048</v>
      </c>
      <c r="I10512" t="s">
        <v>29414</v>
      </c>
      <c r="J10512" t="s">
        <v>36195</v>
      </c>
      <c r="K10512" t="s">
        <v>38485</v>
      </c>
      <c r="M10512" t="s">
        <v>42041</v>
      </c>
      <c r="N10512" t="s">
        <v>42669</v>
      </c>
      <c r="O10512" t="s">
        <v>42670</v>
      </c>
      <c r="P10512">
        <v>0</v>
      </c>
      <c r="Q10512">
        <v>24</v>
      </c>
      <c r="R10512" t="s">
        <v>42684</v>
      </c>
      <c r="S10512" t="s">
        <v>43183</v>
      </c>
      <c r="T10512" t="s">
        <v>44539</v>
      </c>
      <c r="U10512" t="s">
        <v>53388</v>
      </c>
      <c r="W10512" t="s">
        <v>42041</v>
      </c>
      <c r="X10512" t="s">
        <v>42686</v>
      </c>
    </row>
    <row r="10513" spans="1:24">
      <c r="A10513">
        <f>HYPERLINK("https://www.philgeps.gov.ph/GEPSNONPILOT/Tender/SplashBidNoticeAbstractUI.aspx?menuIndex=3&amp;refID=7167670&amp;Result=3","7167670")</f>
        <v>0</v>
      </c>
      <c r="B10513" t="s">
        <v>2685</v>
      </c>
      <c r="C10513" t="s">
        <v>13572</v>
      </c>
      <c r="D10513" t="s">
        <v>17177</v>
      </c>
      <c r="E10513" t="s">
        <v>26226</v>
      </c>
      <c r="F10513" t="s">
        <v>29372</v>
      </c>
      <c r="G10513" t="s">
        <v>29380</v>
      </c>
      <c r="H10513" t="s">
        <v>11048</v>
      </c>
      <c r="I10513" t="s">
        <v>29414</v>
      </c>
      <c r="J10513" t="s">
        <v>36196</v>
      </c>
      <c r="K10513" t="s">
        <v>38485</v>
      </c>
      <c r="M10513" t="s">
        <v>42041</v>
      </c>
      <c r="N10513" t="s">
        <v>42669</v>
      </c>
      <c r="O10513" t="s">
        <v>42670</v>
      </c>
      <c r="P10513">
        <v>0</v>
      </c>
      <c r="Q10513">
        <v>11</v>
      </c>
      <c r="R10513" t="s">
        <v>42684</v>
      </c>
      <c r="S10513" t="s">
        <v>43183</v>
      </c>
      <c r="T10513" t="s">
        <v>44460</v>
      </c>
      <c r="U10513" t="s">
        <v>53389</v>
      </c>
      <c r="W10513" t="s">
        <v>42041</v>
      </c>
      <c r="X10513" t="s">
        <v>42686</v>
      </c>
    </row>
    <row r="10514" spans="1:24">
      <c r="A10514">
        <f>HYPERLINK("https://www.philgeps.gov.ph/GEPSNONPILOT/Tender/SplashBidNoticeAbstractUI.aspx?menuIndex=3&amp;refID=7168028&amp;Result=3","7168028")</f>
        <v>0</v>
      </c>
      <c r="B10514" t="s">
        <v>3020</v>
      </c>
      <c r="C10514" t="s">
        <v>13573</v>
      </c>
      <c r="D10514" t="s">
        <v>17177</v>
      </c>
      <c r="E10514" t="s">
        <v>26227</v>
      </c>
      <c r="F10514" t="s">
        <v>29372</v>
      </c>
      <c r="G10514" t="s">
        <v>29380</v>
      </c>
      <c r="H10514" t="s">
        <v>29389</v>
      </c>
      <c r="I10514" t="s">
        <v>10408</v>
      </c>
      <c r="J10514" t="s">
        <v>29590</v>
      </c>
      <c r="K10514" t="s">
        <v>38496</v>
      </c>
      <c r="L10514" t="s">
        <v>3020</v>
      </c>
      <c r="M10514" t="s">
        <v>42042</v>
      </c>
      <c r="N10514" t="s">
        <v>42669</v>
      </c>
      <c r="O10514" t="s">
        <v>42670</v>
      </c>
      <c r="P10514">
        <v>0</v>
      </c>
      <c r="Q10514">
        <v>1</v>
      </c>
      <c r="R10514" t="s">
        <v>42684</v>
      </c>
      <c r="S10514" t="s">
        <v>43183</v>
      </c>
      <c r="T10514" t="s">
        <v>44532</v>
      </c>
      <c r="U10514" t="s">
        <v>48632</v>
      </c>
      <c r="W10514" t="s">
        <v>42042</v>
      </c>
      <c r="X10514" t="s">
        <v>42685</v>
      </c>
    </row>
    <row r="10515" spans="1:24">
      <c r="A10515">
        <f>HYPERLINK("https://www.philgeps.gov.ph/GEPSNONPILOT/Tender/SplashBidNoticeAbstractUI.aspx?menuIndex=3&amp;refID=7167886&amp;Result=3","7167886")</f>
        <v>0</v>
      </c>
      <c r="B10515" t="s">
        <v>332</v>
      </c>
      <c r="C10515" t="s">
        <v>13574</v>
      </c>
      <c r="D10515" t="s">
        <v>17213</v>
      </c>
      <c r="E10515" t="s">
        <v>26228</v>
      </c>
      <c r="F10515" t="s">
        <v>29372</v>
      </c>
      <c r="G10515" t="s">
        <v>29380</v>
      </c>
      <c r="H10515" t="s">
        <v>11048</v>
      </c>
      <c r="I10515" t="s">
        <v>9469</v>
      </c>
      <c r="J10515" t="s">
        <v>29543</v>
      </c>
      <c r="K10515" t="s">
        <v>38485</v>
      </c>
      <c r="M10515" t="s">
        <v>39091</v>
      </c>
      <c r="N10515" t="s">
        <v>42669</v>
      </c>
      <c r="O10515" t="s">
        <v>42670</v>
      </c>
      <c r="P10515">
        <v>0</v>
      </c>
      <c r="Q10515">
        <v>2</v>
      </c>
      <c r="R10515" t="s">
        <v>42684</v>
      </c>
      <c r="S10515" t="s">
        <v>43183</v>
      </c>
      <c r="T10515" t="s">
        <v>44412</v>
      </c>
      <c r="U10515" t="s">
        <v>53390</v>
      </c>
      <c r="V10515" t="s">
        <v>57550</v>
      </c>
      <c r="W10515" t="s">
        <v>39091</v>
      </c>
      <c r="X10515" t="s">
        <v>42685</v>
      </c>
    </row>
    <row r="10516" spans="1:24">
      <c r="A10516">
        <f>HYPERLINK("https://www.philgeps.gov.ph/GEPSNONPILOT/Tender/SplashBidNoticeAbstractUI.aspx?menuIndex=3&amp;refID=7167674&amp;Result=3","7167674")</f>
        <v>0</v>
      </c>
      <c r="B10516" t="s">
        <v>544</v>
      </c>
      <c r="C10516" t="s">
        <v>13575</v>
      </c>
      <c r="D10516" t="s">
        <v>17153</v>
      </c>
      <c r="E10516" t="s">
        <v>26229</v>
      </c>
      <c r="F10516" t="s">
        <v>29372</v>
      </c>
      <c r="G10516" t="s">
        <v>29379</v>
      </c>
      <c r="H10516" t="s">
        <v>11048</v>
      </c>
      <c r="I10516" t="s">
        <v>29424</v>
      </c>
      <c r="J10516" t="s">
        <v>33228</v>
      </c>
      <c r="K10516" t="s">
        <v>38490</v>
      </c>
      <c r="M10516" t="s">
        <v>39312</v>
      </c>
      <c r="N10516" t="s">
        <v>42669</v>
      </c>
      <c r="O10516" t="s">
        <v>42670</v>
      </c>
      <c r="Q10516">
        <v>0</v>
      </c>
      <c r="R10516" t="s">
        <v>42684</v>
      </c>
      <c r="S10516" t="s">
        <v>43207</v>
      </c>
      <c r="T10516" t="s">
        <v>44373</v>
      </c>
      <c r="U10516" t="s">
        <v>53391</v>
      </c>
      <c r="W10516" t="s">
        <v>39312</v>
      </c>
      <c r="X10516" t="s">
        <v>42686</v>
      </c>
    </row>
    <row r="10517" spans="1:24">
      <c r="A10517">
        <f>HYPERLINK("https://www.philgeps.gov.ph/GEPSNONPILOT/Tender/SplashBidNoticeAbstractUI.aspx?menuIndex=3&amp;refID=7168071&amp;Result=3","7168071")</f>
        <v>0</v>
      </c>
      <c r="B10517" t="s">
        <v>2577</v>
      </c>
      <c r="C10517" t="s">
        <v>13576</v>
      </c>
      <c r="D10517" t="s">
        <v>17193</v>
      </c>
      <c r="E10517" t="s">
        <v>26230</v>
      </c>
      <c r="F10517" t="s">
        <v>29372</v>
      </c>
      <c r="G10517" t="s">
        <v>29380</v>
      </c>
      <c r="H10517" t="s">
        <v>29389</v>
      </c>
      <c r="I10517" t="s">
        <v>10408</v>
      </c>
      <c r="J10517" t="s">
        <v>36197</v>
      </c>
      <c r="K10517" t="s">
        <v>38717</v>
      </c>
      <c r="M10517" t="s">
        <v>41544</v>
      </c>
      <c r="N10517" t="s">
        <v>42669</v>
      </c>
      <c r="O10517" t="s">
        <v>42670</v>
      </c>
      <c r="P10517">
        <v>0</v>
      </c>
      <c r="Q10517">
        <v>6</v>
      </c>
      <c r="R10517" t="s">
        <v>42684</v>
      </c>
      <c r="S10517" t="s">
        <v>43183</v>
      </c>
      <c r="T10517" t="s">
        <v>44795</v>
      </c>
      <c r="U10517" t="s">
        <v>53392</v>
      </c>
      <c r="V10517" t="s">
        <v>57561</v>
      </c>
      <c r="W10517" t="s">
        <v>41544</v>
      </c>
      <c r="X10517" t="s">
        <v>42685</v>
      </c>
    </row>
    <row r="10518" spans="1:24">
      <c r="A10518">
        <f>HYPERLINK("https://www.philgeps.gov.ph/GEPSNONPILOT/Tender/SplashBidNoticeAbstractUI.aspx?menuIndex=3&amp;refID=7168068&amp;Result=3","7168068")</f>
        <v>0</v>
      </c>
      <c r="B10518" t="s">
        <v>1224</v>
      </c>
      <c r="C10518" t="s">
        <v>13577</v>
      </c>
      <c r="D10518" t="s">
        <v>17158</v>
      </c>
      <c r="E10518" t="s">
        <v>26231</v>
      </c>
      <c r="F10518" t="s">
        <v>29372</v>
      </c>
      <c r="G10518" t="s">
        <v>29380</v>
      </c>
      <c r="H10518" t="s">
        <v>11048</v>
      </c>
      <c r="I10518" t="s">
        <v>4709</v>
      </c>
      <c r="J10518" t="s">
        <v>36198</v>
      </c>
      <c r="K10518" t="s">
        <v>38488</v>
      </c>
      <c r="M10518" t="s">
        <v>40044</v>
      </c>
      <c r="N10518" t="s">
        <v>42669</v>
      </c>
      <c r="O10518" t="s">
        <v>42670</v>
      </c>
      <c r="P10518">
        <v>0</v>
      </c>
      <c r="Q10518">
        <v>0</v>
      </c>
      <c r="R10518" t="s">
        <v>42684</v>
      </c>
      <c r="S10518" t="s">
        <v>43183</v>
      </c>
      <c r="T10518" t="s">
        <v>44357</v>
      </c>
      <c r="U10518" t="s">
        <v>53393</v>
      </c>
      <c r="V10518" t="s">
        <v>56460</v>
      </c>
      <c r="W10518" t="s">
        <v>40044</v>
      </c>
      <c r="X10518" t="s">
        <v>42685</v>
      </c>
    </row>
    <row r="10519" spans="1:24">
      <c r="A10519">
        <f>HYPERLINK("https://www.philgeps.gov.ph/GEPSNONPILOT/Tender/SplashBidNoticeAbstractUI.aspx?menuIndex=3&amp;refID=7168036&amp;Result=3","7168036")</f>
        <v>0</v>
      </c>
      <c r="B10519" t="s">
        <v>2203</v>
      </c>
      <c r="C10519" t="s">
        <v>13578</v>
      </c>
      <c r="D10519" t="s">
        <v>17204</v>
      </c>
      <c r="E10519" t="s">
        <v>26232</v>
      </c>
      <c r="F10519" t="s">
        <v>29372</v>
      </c>
      <c r="G10519" t="s">
        <v>29379</v>
      </c>
      <c r="H10519" t="s">
        <v>29390</v>
      </c>
      <c r="I10519" t="s">
        <v>29396</v>
      </c>
      <c r="J10519" t="s">
        <v>36199</v>
      </c>
      <c r="K10519" t="s">
        <v>38485</v>
      </c>
      <c r="M10519" t="s">
        <v>41118</v>
      </c>
      <c r="N10519" t="s">
        <v>42669</v>
      </c>
      <c r="O10519" t="s">
        <v>42670</v>
      </c>
      <c r="Q10519">
        <v>0</v>
      </c>
      <c r="R10519" t="s">
        <v>42684</v>
      </c>
      <c r="S10519" t="s">
        <v>43208</v>
      </c>
      <c r="T10519" t="s">
        <v>44470</v>
      </c>
      <c r="U10519" t="s">
        <v>53394</v>
      </c>
      <c r="W10519" t="s">
        <v>41118</v>
      </c>
      <c r="X10519" t="s">
        <v>42685</v>
      </c>
    </row>
    <row r="10520" spans="1:24">
      <c r="A10520">
        <f>HYPERLINK("https://www.philgeps.gov.ph/GEPSNONPILOT/Tender/SplashBidNoticeAbstractUI.aspx?menuIndex=3&amp;refID=7167649&amp;Result=3","7167649")</f>
        <v>0</v>
      </c>
      <c r="B10520" t="s">
        <v>2685</v>
      </c>
      <c r="C10520" t="s">
        <v>13579</v>
      </c>
      <c r="D10520" t="s">
        <v>17177</v>
      </c>
      <c r="E10520" t="s">
        <v>26233</v>
      </c>
      <c r="F10520" t="s">
        <v>29372</v>
      </c>
      <c r="G10520" t="s">
        <v>29380</v>
      </c>
      <c r="H10520" t="s">
        <v>11048</v>
      </c>
      <c r="I10520" t="s">
        <v>29414</v>
      </c>
      <c r="J10520" t="s">
        <v>36200</v>
      </c>
      <c r="K10520" t="s">
        <v>38485</v>
      </c>
      <c r="M10520" t="s">
        <v>42041</v>
      </c>
      <c r="N10520" t="s">
        <v>42669</v>
      </c>
      <c r="O10520" t="s">
        <v>42670</v>
      </c>
      <c r="P10520">
        <v>0</v>
      </c>
      <c r="Q10520">
        <v>12</v>
      </c>
      <c r="R10520" t="s">
        <v>42684</v>
      </c>
      <c r="S10520" t="s">
        <v>43183</v>
      </c>
      <c r="T10520" t="s">
        <v>44539</v>
      </c>
      <c r="U10520" t="s">
        <v>53395</v>
      </c>
      <c r="W10520" t="s">
        <v>42041</v>
      </c>
      <c r="X10520" t="s">
        <v>42686</v>
      </c>
    </row>
    <row r="10521" spans="1:24">
      <c r="A10521">
        <f>HYPERLINK("https://www.philgeps.gov.ph/GEPSNONPILOT/Tender/SplashBidNoticeAbstractUI.aspx?menuIndex=3&amp;refID=7167970&amp;Result=3","7167970")</f>
        <v>0</v>
      </c>
      <c r="B10521" t="s">
        <v>1464</v>
      </c>
      <c r="C10521" t="s">
        <v>13580</v>
      </c>
      <c r="D10521" t="s">
        <v>17169</v>
      </c>
      <c r="E10521" t="s">
        <v>26234</v>
      </c>
      <c r="F10521" t="s">
        <v>29372</v>
      </c>
      <c r="G10521" t="s">
        <v>29380</v>
      </c>
      <c r="H10521" t="s">
        <v>11048</v>
      </c>
      <c r="I10521" t="s">
        <v>29414</v>
      </c>
      <c r="J10521" t="s">
        <v>29573</v>
      </c>
      <c r="K10521" t="s">
        <v>38490</v>
      </c>
      <c r="M10521" t="s">
        <v>40307</v>
      </c>
      <c r="N10521" t="s">
        <v>42669</v>
      </c>
      <c r="O10521" t="s">
        <v>42670</v>
      </c>
      <c r="P10521">
        <v>0</v>
      </c>
      <c r="Q10521">
        <v>29</v>
      </c>
      <c r="R10521" t="s">
        <v>42684</v>
      </c>
      <c r="S10521" t="s">
        <v>43183</v>
      </c>
      <c r="T10521" t="s">
        <v>44551</v>
      </c>
      <c r="U10521" t="s">
        <v>53396</v>
      </c>
      <c r="W10521" t="s">
        <v>40307</v>
      </c>
      <c r="X10521" t="s">
        <v>42685</v>
      </c>
    </row>
    <row r="10522" spans="1:24">
      <c r="A10522">
        <f>HYPERLINK("https://www.philgeps.gov.ph/GEPSNONPILOT/Tender/SplashBidNoticeAbstractUI.aspx?menuIndex=3&amp;refID=7168043&amp;Result=3","7168043")</f>
        <v>0</v>
      </c>
      <c r="B10522" t="s">
        <v>3020</v>
      </c>
      <c r="C10522" t="s">
        <v>13581</v>
      </c>
      <c r="D10522" t="s">
        <v>17177</v>
      </c>
      <c r="E10522" t="s">
        <v>26235</v>
      </c>
      <c r="F10522" t="s">
        <v>29372</v>
      </c>
      <c r="G10522" t="s">
        <v>29380</v>
      </c>
      <c r="H10522" t="s">
        <v>29389</v>
      </c>
      <c r="I10522" t="s">
        <v>10408</v>
      </c>
      <c r="J10522" t="s">
        <v>29590</v>
      </c>
      <c r="K10522" t="s">
        <v>38487</v>
      </c>
      <c r="L10522" t="s">
        <v>3020</v>
      </c>
      <c r="M10522" t="s">
        <v>42042</v>
      </c>
      <c r="N10522" t="s">
        <v>42669</v>
      </c>
      <c r="O10522" t="s">
        <v>42670</v>
      </c>
      <c r="P10522">
        <v>0</v>
      </c>
      <c r="Q10522">
        <v>0</v>
      </c>
      <c r="R10522" t="s">
        <v>42684</v>
      </c>
      <c r="S10522" t="s">
        <v>43183</v>
      </c>
      <c r="T10522" t="s">
        <v>44776</v>
      </c>
      <c r="U10522" t="s">
        <v>48632</v>
      </c>
      <c r="W10522" t="s">
        <v>42042</v>
      </c>
      <c r="X10522" t="s">
        <v>42685</v>
      </c>
    </row>
    <row r="10523" spans="1:24">
      <c r="A10523">
        <f>HYPERLINK("https://www.philgeps.gov.ph/GEPSNONPILOT/Tender/SplashBidNoticeAbstractUI.aspx?menuIndex=3&amp;refID=7167923&amp;Result=3","7167923")</f>
        <v>0</v>
      </c>
      <c r="B10523" t="s">
        <v>1202</v>
      </c>
      <c r="C10523" t="s">
        <v>13582</v>
      </c>
      <c r="E10523" t="s">
        <v>26236</v>
      </c>
      <c r="F10523" t="s">
        <v>29372</v>
      </c>
      <c r="G10523" t="s">
        <v>29380</v>
      </c>
      <c r="H10523" t="s">
        <v>29389</v>
      </c>
      <c r="I10523" t="s">
        <v>10408</v>
      </c>
      <c r="J10523" t="s">
        <v>36201</v>
      </c>
      <c r="K10523" t="s">
        <v>38522</v>
      </c>
      <c r="M10523" t="s">
        <v>40019</v>
      </c>
      <c r="N10523" t="s">
        <v>42669</v>
      </c>
      <c r="O10523" t="s">
        <v>42670</v>
      </c>
      <c r="P10523">
        <v>0</v>
      </c>
      <c r="Q10523">
        <v>7</v>
      </c>
      <c r="R10523" t="s">
        <v>42684</v>
      </c>
      <c r="S10523" t="s">
        <v>43183</v>
      </c>
      <c r="T10523" t="s">
        <v>44375</v>
      </c>
      <c r="U10523" t="s">
        <v>53397</v>
      </c>
      <c r="V10523" t="s">
        <v>57562</v>
      </c>
      <c r="W10523" t="s">
        <v>40019</v>
      </c>
      <c r="X10523" t="s">
        <v>42685</v>
      </c>
    </row>
    <row r="10524" spans="1:24">
      <c r="A10524">
        <f>HYPERLINK("https://www.philgeps.gov.ph/GEPSNONPILOT/Tender/SplashBidNoticeAbstractUI.aspx?menuIndex=3&amp;refID=7167991&amp;Result=3","7167991")</f>
        <v>0</v>
      </c>
      <c r="B10524" t="s">
        <v>3021</v>
      </c>
      <c r="C10524" t="s">
        <v>13583</v>
      </c>
      <c r="E10524" t="s">
        <v>26237</v>
      </c>
      <c r="F10524" t="s">
        <v>29372</v>
      </c>
      <c r="G10524" t="s">
        <v>29380</v>
      </c>
      <c r="H10524" t="s">
        <v>11048</v>
      </c>
      <c r="I10524" t="s">
        <v>4709</v>
      </c>
      <c r="J10524" t="s">
        <v>36202</v>
      </c>
      <c r="K10524" t="s">
        <v>38488</v>
      </c>
      <c r="M10524" t="s">
        <v>42043</v>
      </c>
      <c r="N10524" t="s">
        <v>42669</v>
      </c>
      <c r="O10524" t="s">
        <v>42670</v>
      </c>
      <c r="P10524">
        <v>0</v>
      </c>
      <c r="Q10524">
        <v>0</v>
      </c>
      <c r="R10524" t="s">
        <v>42684</v>
      </c>
      <c r="S10524" t="s">
        <v>43183</v>
      </c>
      <c r="T10524" t="s">
        <v>44366</v>
      </c>
      <c r="U10524" t="s">
        <v>53398</v>
      </c>
      <c r="W10524" t="s">
        <v>42043</v>
      </c>
      <c r="X10524" t="s">
        <v>42685</v>
      </c>
    </row>
    <row r="10525" spans="1:24">
      <c r="A10525">
        <f>HYPERLINK("https://www.philgeps.gov.ph/GEPSNONPILOT/Tender/SplashBidNoticeAbstractUI.aspx?menuIndex=3&amp;refID=7167921&amp;Result=3","7167921")</f>
        <v>0</v>
      </c>
      <c r="B10525" t="s">
        <v>838</v>
      </c>
      <c r="C10525" t="s">
        <v>13584</v>
      </c>
      <c r="E10525" t="s">
        <v>26238</v>
      </c>
      <c r="F10525" t="s">
        <v>29372</v>
      </c>
      <c r="G10525" t="s">
        <v>29381</v>
      </c>
      <c r="H10525" t="s">
        <v>11048</v>
      </c>
      <c r="I10525" t="s">
        <v>9469</v>
      </c>
      <c r="J10525" t="s">
        <v>30787</v>
      </c>
      <c r="K10525" t="s">
        <v>38487</v>
      </c>
      <c r="M10525" t="s">
        <v>39628</v>
      </c>
      <c r="N10525" t="s">
        <v>42669</v>
      </c>
      <c r="O10525" t="s">
        <v>42670</v>
      </c>
      <c r="P10525">
        <v>0</v>
      </c>
      <c r="Q10525">
        <v>4</v>
      </c>
      <c r="R10525" t="s">
        <v>42684</v>
      </c>
      <c r="S10525" t="s">
        <v>43183</v>
      </c>
      <c r="T10525" t="s">
        <v>44579</v>
      </c>
      <c r="U10525" t="s">
        <v>53399</v>
      </c>
      <c r="W10525" t="s">
        <v>58093</v>
      </c>
      <c r="X10525" t="s">
        <v>42685</v>
      </c>
    </row>
    <row r="10526" spans="1:24">
      <c r="A10526">
        <f>HYPERLINK("https://www.philgeps.gov.ph/GEPSNONPILOT/Tender/SplashBidNoticeAbstractUI.aspx?menuIndex=3&amp;refID=7167913&amp;Result=3","7167913")</f>
        <v>0</v>
      </c>
      <c r="B10526" t="s">
        <v>1202</v>
      </c>
      <c r="C10526" t="s">
        <v>13585</v>
      </c>
      <c r="E10526" t="s">
        <v>18912</v>
      </c>
      <c r="F10526" t="s">
        <v>29372</v>
      </c>
      <c r="G10526" t="s">
        <v>29380</v>
      </c>
      <c r="H10526" t="s">
        <v>11048</v>
      </c>
      <c r="I10526" t="s">
        <v>8614</v>
      </c>
      <c r="J10526" t="s">
        <v>36203</v>
      </c>
      <c r="K10526" t="s">
        <v>38496</v>
      </c>
      <c r="M10526" t="s">
        <v>40019</v>
      </c>
      <c r="N10526" t="s">
        <v>42669</v>
      </c>
      <c r="O10526" t="s">
        <v>42670</v>
      </c>
      <c r="P10526">
        <v>0</v>
      </c>
      <c r="Q10526">
        <v>8</v>
      </c>
      <c r="R10526" t="s">
        <v>42684</v>
      </c>
      <c r="S10526" t="s">
        <v>43183</v>
      </c>
      <c r="T10526" t="s">
        <v>44375</v>
      </c>
      <c r="U10526" t="s">
        <v>53400</v>
      </c>
      <c r="W10526" t="s">
        <v>40019</v>
      </c>
      <c r="X10526" t="s">
        <v>42685</v>
      </c>
    </row>
    <row r="10527" spans="1:24">
      <c r="A10527">
        <f>HYPERLINK("https://www.philgeps.gov.ph/GEPSNONPILOT/Tender/SplashBidNoticeAbstractUI.aspx?menuIndex=3&amp;refID=7167909&amp;Result=3","7167909")</f>
        <v>0</v>
      </c>
      <c r="B10527" t="s">
        <v>3022</v>
      </c>
      <c r="C10527" t="s">
        <v>13586</v>
      </c>
      <c r="D10527" t="s">
        <v>17171</v>
      </c>
      <c r="E10527" t="s">
        <v>26239</v>
      </c>
      <c r="F10527" t="s">
        <v>29372</v>
      </c>
      <c r="G10527" t="s">
        <v>29380</v>
      </c>
      <c r="H10527" t="s">
        <v>11048</v>
      </c>
      <c r="I10527" t="s">
        <v>4709</v>
      </c>
      <c r="J10527" t="s">
        <v>30460</v>
      </c>
      <c r="K10527" t="s">
        <v>38534</v>
      </c>
      <c r="M10527" t="s">
        <v>42044</v>
      </c>
      <c r="N10527" t="s">
        <v>42669</v>
      </c>
      <c r="O10527" t="s">
        <v>42670</v>
      </c>
      <c r="P10527">
        <v>0</v>
      </c>
      <c r="Q10527">
        <v>0</v>
      </c>
      <c r="R10527" t="s">
        <v>42684</v>
      </c>
      <c r="S10527" t="s">
        <v>43183</v>
      </c>
      <c r="T10527" t="s">
        <v>44356</v>
      </c>
      <c r="U10527" t="s">
        <v>53401</v>
      </c>
      <c r="W10527" t="s">
        <v>42044</v>
      </c>
      <c r="X10527" t="s">
        <v>42685</v>
      </c>
    </row>
    <row r="10528" spans="1:24">
      <c r="A10528">
        <f>HYPERLINK("https://www.philgeps.gov.ph/GEPSNONPILOT/Tender/SplashBidNoticeAbstractUI.aspx?menuIndex=3&amp;refID=7167904&amp;Result=3","7167904")</f>
        <v>0</v>
      </c>
      <c r="B10528" t="s">
        <v>3022</v>
      </c>
      <c r="C10528" t="s">
        <v>13587</v>
      </c>
      <c r="D10528" t="s">
        <v>17171</v>
      </c>
      <c r="E10528" t="s">
        <v>26240</v>
      </c>
      <c r="F10528" t="s">
        <v>29372</v>
      </c>
      <c r="G10528" t="s">
        <v>29380</v>
      </c>
      <c r="H10528" t="s">
        <v>11048</v>
      </c>
      <c r="I10528" t="s">
        <v>5383</v>
      </c>
      <c r="J10528" t="s">
        <v>30332</v>
      </c>
      <c r="K10528" t="s">
        <v>38534</v>
      </c>
      <c r="M10528" t="s">
        <v>42044</v>
      </c>
      <c r="N10528" t="s">
        <v>42669</v>
      </c>
      <c r="O10528" t="s">
        <v>42670</v>
      </c>
      <c r="P10528">
        <v>0</v>
      </c>
      <c r="Q10528">
        <v>2</v>
      </c>
      <c r="R10528" t="s">
        <v>42684</v>
      </c>
      <c r="S10528" t="s">
        <v>43183</v>
      </c>
      <c r="T10528" t="s">
        <v>44356</v>
      </c>
      <c r="U10528" t="s">
        <v>53402</v>
      </c>
      <c r="W10528" t="s">
        <v>42044</v>
      </c>
      <c r="X10528" t="s">
        <v>42685</v>
      </c>
    </row>
    <row r="10529" spans="1:24">
      <c r="A10529">
        <f>HYPERLINK("https://www.philgeps.gov.ph/GEPSNONPILOT/Tender/SplashBidNoticeAbstractUI.aspx?menuIndex=3&amp;refID=7168097&amp;Result=3","7168097")</f>
        <v>0</v>
      </c>
      <c r="B10529" t="s">
        <v>3023</v>
      </c>
      <c r="C10529" t="s">
        <v>13588</v>
      </c>
      <c r="D10529" t="s">
        <v>17202</v>
      </c>
      <c r="E10529" t="s">
        <v>26241</v>
      </c>
      <c r="F10529" t="s">
        <v>29372</v>
      </c>
      <c r="G10529" t="s">
        <v>29380</v>
      </c>
      <c r="H10529" t="s">
        <v>11048</v>
      </c>
      <c r="I10529" t="s">
        <v>4487</v>
      </c>
      <c r="J10529" t="s">
        <v>36204</v>
      </c>
      <c r="K10529" t="s">
        <v>38485</v>
      </c>
      <c r="M10529" t="s">
        <v>42045</v>
      </c>
      <c r="N10529" t="s">
        <v>42669</v>
      </c>
      <c r="O10529" t="s">
        <v>42670</v>
      </c>
      <c r="Q10529">
        <v>1</v>
      </c>
      <c r="R10529" t="s">
        <v>42684</v>
      </c>
      <c r="S10529" t="s">
        <v>43209</v>
      </c>
      <c r="T10529" t="s">
        <v>44357</v>
      </c>
      <c r="U10529" t="s">
        <v>53403</v>
      </c>
      <c r="W10529" t="s">
        <v>42045</v>
      </c>
      <c r="X10529" t="s">
        <v>42685</v>
      </c>
    </row>
    <row r="10530" spans="1:24">
      <c r="A10530">
        <f>HYPERLINK("https://www.philgeps.gov.ph/GEPSNONPILOT/Tender/SplashBidNoticeAbstractUI.aspx?menuIndex=3&amp;refID=7167917&amp;Result=3","7167917")</f>
        <v>0</v>
      </c>
      <c r="B10530" t="s">
        <v>1202</v>
      </c>
      <c r="C10530" t="s">
        <v>13589</v>
      </c>
      <c r="E10530" t="s">
        <v>26242</v>
      </c>
      <c r="F10530" t="s">
        <v>29372</v>
      </c>
      <c r="G10530" t="s">
        <v>29380</v>
      </c>
      <c r="H10530" t="s">
        <v>29389</v>
      </c>
      <c r="I10530" t="s">
        <v>10408</v>
      </c>
      <c r="J10530" t="s">
        <v>29543</v>
      </c>
      <c r="K10530" t="s">
        <v>38487</v>
      </c>
      <c r="M10530" t="s">
        <v>40019</v>
      </c>
      <c r="N10530" t="s">
        <v>42669</v>
      </c>
      <c r="O10530" t="s">
        <v>42670</v>
      </c>
      <c r="P10530">
        <v>0</v>
      </c>
      <c r="Q10530">
        <v>5</v>
      </c>
      <c r="R10530" t="s">
        <v>42684</v>
      </c>
      <c r="S10530" t="s">
        <v>43183</v>
      </c>
      <c r="T10530" t="s">
        <v>44375</v>
      </c>
      <c r="U10530" t="s">
        <v>53404</v>
      </c>
      <c r="V10530" t="s">
        <v>57562</v>
      </c>
      <c r="W10530" t="s">
        <v>40019</v>
      </c>
      <c r="X10530" t="s">
        <v>42685</v>
      </c>
    </row>
    <row r="10531" spans="1:24">
      <c r="A10531">
        <f>HYPERLINK("https://www.philgeps.gov.ph/GEPSNONPILOT/Tender/SplashBidNoticeAbstractUI.aspx?menuIndex=3&amp;refID=7168076&amp;Result=3","7168076")</f>
        <v>0</v>
      </c>
      <c r="B10531" t="s">
        <v>1188</v>
      </c>
      <c r="C10531" t="s">
        <v>13590</v>
      </c>
      <c r="D10531" t="s">
        <v>17162</v>
      </c>
      <c r="E10531" t="s">
        <v>26243</v>
      </c>
      <c r="F10531" t="s">
        <v>29372</v>
      </c>
      <c r="G10531" t="s">
        <v>29380</v>
      </c>
      <c r="H10531" t="s">
        <v>29389</v>
      </c>
      <c r="I10531" t="s">
        <v>10408</v>
      </c>
      <c r="J10531" t="s">
        <v>36205</v>
      </c>
      <c r="K10531" t="s">
        <v>38490</v>
      </c>
      <c r="M10531" t="s">
        <v>40004</v>
      </c>
      <c r="N10531" t="s">
        <v>42669</v>
      </c>
      <c r="O10531" t="s">
        <v>42670</v>
      </c>
      <c r="P10531">
        <v>0</v>
      </c>
      <c r="Q10531">
        <v>1</v>
      </c>
      <c r="R10531" t="s">
        <v>42684</v>
      </c>
      <c r="S10531" t="s">
        <v>43183</v>
      </c>
      <c r="T10531" t="s">
        <v>44357</v>
      </c>
      <c r="U10531" t="s">
        <v>53405</v>
      </c>
      <c r="W10531" t="s">
        <v>58038</v>
      </c>
      <c r="X10531" t="s">
        <v>42685</v>
      </c>
    </row>
    <row r="10532" spans="1:24">
      <c r="A10532">
        <f>HYPERLINK("https://www.philgeps.gov.ph/GEPSNONPILOT/Tender/SplashBidNoticeAbstractUI.aspx?menuIndex=3&amp;refID=7168205&amp;Result=3","7168205")</f>
        <v>0</v>
      </c>
      <c r="B10532" t="s">
        <v>223</v>
      </c>
      <c r="C10532" t="s">
        <v>13591</v>
      </c>
      <c r="D10532" t="s">
        <v>17176</v>
      </c>
      <c r="E10532" t="s">
        <v>26244</v>
      </c>
      <c r="F10532" t="s">
        <v>29372</v>
      </c>
      <c r="G10532" t="s">
        <v>29380</v>
      </c>
      <c r="H10532" t="s">
        <v>11048</v>
      </c>
      <c r="I10532" t="s">
        <v>5383</v>
      </c>
      <c r="J10532" t="s">
        <v>36206</v>
      </c>
      <c r="K10532" t="s">
        <v>38491</v>
      </c>
      <c r="M10532" t="s">
        <v>38982</v>
      </c>
      <c r="N10532" t="s">
        <v>42669</v>
      </c>
      <c r="O10532" t="s">
        <v>42670</v>
      </c>
      <c r="P10532">
        <v>0</v>
      </c>
      <c r="Q10532">
        <v>3</v>
      </c>
      <c r="R10532" t="s">
        <v>42684</v>
      </c>
      <c r="S10532" t="s">
        <v>43183</v>
      </c>
      <c r="T10532" t="s">
        <v>44430</v>
      </c>
      <c r="U10532" t="s">
        <v>53406</v>
      </c>
      <c r="W10532" t="s">
        <v>38982</v>
      </c>
      <c r="X10532" t="s">
        <v>42685</v>
      </c>
    </row>
    <row r="10533" spans="1:24">
      <c r="A10533">
        <f>HYPERLINK("https://www.philgeps.gov.ph/GEPSNONPILOT/Tender/SplashBidNoticeAbstractUI.aspx?menuIndex=3&amp;refID=7168204&amp;Result=3","7168204")</f>
        <v>0</v>
      </c>
      <c r="B10533" t="s">
        <v>3024</v>
      </c>
      <c r="C10533" t="s">
        <v>7593</v>
      </c>
      <c r="D10533" t="s">
        <v>17169</v>
      </c>
      <c r="E10533" t="s">
        <v>20432</v>
      </c>
      <c r="F10533" t="s">
        <v>29375</v>
      </c>
      <c r="G10533" t="s">
        <v>29380</v>
      </c>
      <c r="H10533" t="s">
        <v>29389</v>
      </c>
      <c r="I10533" t="s">
        <v>10408</v>
      </c>
      <c r="J10533" t="s">
        <v>36207</v>
      </c>
      <c r="K10533" t="s">
        <v>38487</v>
      </c>
      <c r="M10533" t="s">
        <v>42046</v>
      </c>
      <c r="N10533" t="s">
        <v>42669</v>
      </c>
      <c r="O10533" t="s">
        <v>42670</v>
      </c>
      <c r="P10533">
        <v>0</v>
      </c>
      <c r="Q10533">
        <v>0</v>
      </c>
      <c r="R10533" t="s">
        <v>42684</v>
      </c>
      <c r="S10533" t="s">
        <v>43183</v>
      </c>
      <c r="T10533" t="s">
        <v>44481</v>
      </c>
      <c r="U10533" t="s">
        <v>53407</v>
      </c>
      <c r="W10533" t="s">
        <v>42046</v>
      </c>
      <c r="X10533" t="s">
        <v>42685</v>
      </c>
    </row>
    <row r="10534" spans="1:24">
      <c r="A10534">
        <f>HYPERLINK("https://www.philgeps.gov.ph/GEPSNONPILOT/Tender/SplashBidNoticeAbstractUI.aspx?menuIndex=3&amp;refID=7168200&amp;Result=3","7168200")</f>
        <v>0</v>
      </c>
      <c r="B10534" t="s">
        <v>3025</v>
      </c>
      <c r="C10534" t="s">
        <v>13592</v>
      </c>
      <c r="D10534" t="s">
        <v>17164</v>
      </c>
      <c r="E10534" t="s">
        <v>26245</v>
      </c>
      <c r="F10534" t="s">
        <v>29374</v>
      </c>
      <c r="G10534" t="s">
        <v>29380</v>
      </c>
      <c r="H10534" t="s">
        <v>11048</v>
      </c>
      <c r="I10534" t="s">
        <v>9469</v>
      </c>
      <c r="J10534" t="s">
        <v>31893</v>
      </c>
      <c r="K10534" t="s">
        <v>38491</v>
      </c>
      <c r="M10534" t="s">
        <v>42047</v>
      </c>
      <c r="N10534" t="s">
        <v>42669</v>
      </c>
      <c r="O10534" t="s">
        <v>42670</v>
      </c>
      <c r="Q10534">
        <v>7</v>
      </c>
      <c r="R10534" t="s">
        <v>42684</v>
      </c>
      <c r="S10534" t="s">
        <v>43210</v>
      </c>
      <c r="T10534" t="s">
        <v>44357</v>
      </c>
      <c r="U10534" t="s">
        <v>53408</v>
      </c>
      <c r="V10534" t="s">
        <v>57563</v>
      </c>
      <c r="W10534" t="s">
        <v>42047</v>
      </c>
      <c r="X10534" t="s">
        <v>42685</v>
      </c>
    </row>
    <row r="10535" spans="1:24">
      <c r="A10535">
        <f>HYPERLINK("https://www.philgeps.gov.ph/GEPSNONPILOT/Tender/SplashBidNoticeAbstractUI.aspx?menuIndex=3&amp;refID=7168199&amp;Result=3","7168199")</f>
        <v>0</v>
      </c>
      <c r="B10535" t="s">
        <v>2451</v>
      </c>
      <c r="C10535" t="s">
        <v>13593</v>
      </c>
      <c r="D10535" t="s">
        <v>17228</v>
      </c>
      <c r="E10535" t="s">
        <v>26246</v>
      </c>
      <c r="F10535" t="s">
        <v>29372</v>
      </c>
      <c r="G10535" t="s">
        <v>29380</v>
      </c>
      <c r="H10535" t="s">
        <v>29389</v>
      </c>
      <c r="I10535" t="s">
        <v>10408</v>
      </c>
      <c r="J10535" t="s">
        <v>29788</v>
      </c>
      <c r="K10535" t="s">
        <v>38490</v>
      </c>
      <c r="M10535" t="s">
        <v>41399</v>
      </c>
      <c r="N10535" t="s">
        <v>42669</v>
      </c>
      <c r="O10535" t="s">
        <v>42670</v>
      </c>
      <c r="P10535">
        <v>0</v>
      </c>
      <c r="Q10535">
        <v>1</v>
      </c>
      <c r="R10535" t="s">
        <v>42684</v>
      </c>
      <c r="S10535" t="s">
        <v>43183</v>
      </c>
      <c r="T10535" t="s">
        <v>44375</v>
      </c>
      <c r="U10535" t="s">
        <v>53377</v>
      </c>
      <c r="W10535" t="s">
        <v>41399</v>
      </c>
      <c r="X10535" t="s">
        <v>42685</v>
      </c>
    </row>
    <row r="10536" spans="1:24">
      <c r="A10536">
        <f>HYPERLINK("https://www.philgeps.gov.ph/GEPSNONPILOT/Tender/SplashBidNoticeAbstractUI.aspx?menuIndex=3&amp;refID=7168193&amp;Result=3","7168193")</f>
        <v>0</v>
      </c>
      <c r="B10536" t="s">
        <v>2817</v>
      </c>
      <c r="C10536" t="s">
        <v>13594</v>
      </c>
      <c r="D10536" t="s">
        <v>17194</v>
      </c>
      <c r="E10536" t="s">
        <v>17399</v>
      </c>
      <c r="F10536" t="s">
        <v>29372</v>
      </c>
      <c r="G10536" t="s">
        <v>29380</v>
      </c>
      <c r="H10536" t="s">
        <v>11048</v>
      </c>
      <c r="I10536" t="s">
        <v>4709</v>
      </c>
      <c r="J10536" t="s">
        <v>36208</v>
      </c>
      <c r="K10536" t="s">
        <v>38485</v>
      </c>
      <c r="M10536" t="s">
        <v>41806</v>
      </c>
      <c r="N10536" t="s">
        <v>42669</v>
      </c>
      <c r="O10536" t="s">
        <v>42670</v>
      </c>
      <c r="P10536">
        <v>0</v>
      </c>
      <c r="Q10536">
        <v>0</v>
      </c>
      <c r="R10536" t="s">
        <v>42684</v>
      </c>
      <c r="S10536" t="s">
        <v>43183</v>
      </c>
      <c r="T10536" t="s">
        <v>44371</v>
      </c>
      <c r="U10536" t="s">
        <v>53409</v>
      </c>
      <c r="W10536" t="s">
        <v>41806</v>
      </c>
      <c r="X10536" t="s">
        <v>42685</v>
      </c>
    </row>
    <row r="10537" spans="1:24">
      <c r="A10537">
        <f>HYPERLINK("https://www.philgeps.gov.ph/GEPSNONPILOT/Tender/SplashBidNoticeAbstractUI.aspx?menuIndex=3&amp;refID=7168183&amp;Result=3","7168183")</f>
        <v>0</v>
      </c>
      <c r="B10537" t="s">
        <v>1188</v>
      </c>
      <c r="C10537" t="s">
        <v>13595</v>
      </c>
      <c r="D10537" t="s">
        <v>17162</v>
      </c>
      <c r="E10537" t="s">
        <v>26247</v>
      </c>
      <c r="F10537" t="s">
        <v>29372</v>
      </c>
      <c r="G10537" t="s">
        <v>29380</v>
      </c>
      <c r="H10537" t="s">
        <v>29389</v>
      </c>
      <c r="I10537" t="s">
        <v>10408</v>
      </c>
      <c r="J10537" t="s">
        <v>36209</v>
      </c>
      <c r="K10537" t="s">
        <v>38490</v>
      </c>
      <c r="M10537" t="s">
        <v>40004</v>
      </c>
      <c r="N10537" t="s">
        <v>42669</v>
      </c>
      <c r="O10537" t="s">
        <v>42670</v>
      </c>
      <c r="P10537">
        <v>0</v>
      </c>
      <c r="Q10537">
        <v>1</v>
      </c>
      <c r="R10537" t="s">
        <v>42684</v>
      </c>
      <c r="S10537" t="s">
        <v>43183</v>
      </c>
      <c r="T10537" t="s">
        <v>44357</v>
      </c>
      <c r="U10537" t="s">
        <v>53410</v>
      </c>
      <c r="W10537" t="s">
        <v>58038</v>
      </c>
      <c r="X10537" t="s">
        <v>42685</v>
      </c>
    </row>
    <row r="10538" spans="1:24">
      <c r="A10538">
        <f>HYPERLINK("https://www.philgeps.gov.ph/GEPSNONPILOT/Tender/SplashBidNoticeAbstractUI.aspx?menuIndex=3&amp;refID=7168178&amp;Result=3","7168178")</f>
        <v>0</v>
      </c>
      <c r="B10538" t="s">
        <v>1565</v>
      </c>
      <c r="C10538" t="s">
        <v>13596</v>
      </c>
      <c r="D10538" t="s">
        <v>17156</v>
      </c>
      <c r="E10538" t="s">
        <v>26248</v>
      </c>
      <c r="F10538" t="s">
        <v>29372</v>
      </c>
      <c r="G10538" t="s">
        <v>29380</v>
      </c>
      <c r="H10538" t="s">
        <v>11048</v>
      </c>
      <c r="I10538" t="s">
        <v>4709</v>
      </c>
      <c r="J10538" t="s">
        <v>36210</v>
      </c>
      <c r="K10538" t="s">
        <v>38488</v>
      </c>
      <c r="M10538" t="s">
        <v>40415</v>
      </c>
      <c r="N10538" t="s">
        <v>42669</v>
      </c>
      <c r="O10538" t="s">
        <v>42670</v>
      </c>
      <c r="P10538">
        <v>0</v>
      </c>
      <c r="Q10538">
        <v>0</v>
      </c>
      <c r="R10538" t="s">
        <v>42684</v>
      </c>
      <c r="S10538" t="s">
        <v>43183</v>
      </c>
      <c r="T10538" t="s">
        <v>44364</v>
      </c>
      <c r="U10538" t="s">
        <v>48373</v>
      </c>
      <c r="W10538" t="s">
        <v>40415</v>
      </c>
      <c r="X10538" t="s">
        <v>42685</v>
      </c>
    </row>
    <row r="10539" spans="1:24">
      <c r="A10539">
        <f>HYPERLINK("https://www.philgeps.gov.ph/GEPSNONPILOT/Tender/SplashBidNoticeAbstractUI.aspx?menuIndex=3&amp;refID=7168011&amp;Result=3","7168011")</f>
        <v>0</v>
      </c>
      <c r="B10539" t="s">
        <v>1638</v>
      </c>
      <c r="C10539" t="s">
        <v>13597</v>
      </c>
      <c r="D10539" t="s">
        <v>17213</v>
      </c>
      <c r="E10539" t="s">
        <v>26249</v>
      </c>
      <c r="F10539" t="s">
        <v>29372</v>
      </c>
      <c r="G10539" t="s">
        <v>29380</v>
      </c>
      <c r="H10539" t="s">
        <v>29389</v>
      </c>
      <c r="I10539" t="s">
        <v>10408</v>
      </c>
      <c r="J10539" t="s">
        <v>30310</v>
      </c>
      <c r="K10539" t="s">
        <v>38495</v>
      </c>
      <c r="M10539" t="s">
        <v>40494</v>
      </c>
      <c r="N10539" t="s">
        <v>42669</v>
      </c>
      <c r="O10539" t="s">
        <v>42670</v>
      </c>
      <c r="P10539">
        <v>0</v>
      </c>
      <c r="Q10539">
        <v>0</v>
      </c>
      <c r="R10539" t="s">
        <v>42684</v>
      </c>
      <c r="S10539" t="s">
        <v>43183</v>
      </c>
      <c r="T10539" t="s">
        <v>44542</v>
      </c>
      <c r="U10539" t="s">
        <v>53411</v>
      </c>
      <c r="W10539" t="s">
        <v>58050</v>
      </c>
      <c r="X10539" t="s">
        <v>42685</v>
      </c>
    </row>
    <row r="10540" spans="1:24">
      <c r="A10540">
        <f>HYPERLINK("https://www.philgeps.gov.ph/GEPSNONPILOT/Tender/SplashBidNoticeAbstractUI.aspx?menuIndex=3&amp;refID=7168171&amp;Result=3","7168171")</f>
        <v>0</v>
      </c>
      <c r="B10540" t="s">
        <v>3026</v>
      </c>
      <c r="C10540" t="s">
        <v>4969</v>
      </c>
      <c r="D10540" t="s">
        <v>17177</v>
      </c>
      <c r="E10540" t="s">
        <v>26250</v>
      </c>
      <c r="F10540" t="s">
        <v>29372</v>
      </c>
      <c r="G10540" t="s">
        <v>29380</v>
      </c>
      <c r="H10540" t="s">
        <v>29389</v>
      </c>
      <c r="I10540" t="s">
        <v>10408</v>
      </c>
      <c r="J10540" t="s">
        <v>29543</v>
      </c>
      <c r="K10540" t="s">
        <v>38496</v>
      </c>
      <c r="M10540" t="s">
        <v>42048</v>
      </c>
      <c r="N10540" t="s">
        <v>42669</v>
      </c>
      <c r="O10540" t="s">
        <v>42670</v>
      </c>
      <c r="P10540">
        <v>0</v>
      </c>
      <c r="Q10540">
        <v>2</v>
      </c>
      <c r="R10540" t="s">
        <v>42684</v>
      </c>
      <c r="S10540" t="s">
        <v>43183</v>
      </c>
      <c r="T10540" t="s">
        <v>44354</v>
      </c>
      <c r="U10540" t="s">
        <v>53412</v>
      </c>
      <c r="W10540" t="s">
        <v>42048</v>
      </c>
      <c r="X10540" t="s">
        <v>42685</v>
      </c>
    </row>
    <row r="10541" spans="1:24">
      <c r="A10541">
        <f>HYPERLINK("https://www.philgeps.gov.ph/GEPSNONPILOT/Tender/SplashBidNoticeAbstractUI.aspx?menuIndex=3&amp;refID=7168168&amp;Result=3","7168168")</f>
        <v>0</v>
      </c>
      <c r="B10541" t="s">
        <v>3025</v>
      </c>
      <c r="C10541" t="s">
        <v>13598</v>
      </c>
      <c r="D10541" t="s">
        <v>17164</v>
      </c>
      <c r="E10541" t="s">
        <v>26251</v>
      </c>
      <c r="F10541" t="s">
        <v>29372</v>
      </c>
      <c r="G10541" t="s">
        <v>29380</v>
      </c>
      <c r="H10541" t="s">
        <v>11048</v>
      </c>
      <c r="I10541" t="s">
        <v>9469</v>
      </c>
      <c r="J10541" t="s">
        <v>30056</v>
      </c>
      <c r="K10541" t="s">
        <v>38491</v>
      </c>
      <c r="M10541" t="s">
        <v>42047</v>
      </c>
      <c r="N10541" t="s">
        <v>42669</v>
      </c>
      <c r="O10541" t="s">
        <v>42670</v>
      </c>
      <c r="Q10541">
        <v>6</v>
      </c>
      <c r="R10541" t="s">
        <v>42684</v>
      </c>
      <c r="S10541" t="s">
        <v>43211</v>
      </c>
      <c r="T10541" t="s">
        <v>44357</v>
      </c>
      <c r="U10541" t="s">
        <v>53413</v>
      </c>
      <c r="V10541" t="s">
        <v>57563</v>
      </c>
      <c r="W10541" t="s">
        <v>42047</v>
      </c>
      <c r="X10541" t="s">
        <v>42685</v>
      </c>
    </row>
    <row r="10542" spans="1:24">
      <c r="A10542">
        <f>HYPERLINK("https://www.philgeps.gov.ph/GEPSNONPILOT/Tender/SplashBidNoticeAbstractUI.aspx?menuIndex=3&amp;refID=7168166&amp;Result=3","7168166")</f>
        <v>0</v>
      </c>
      <c r="B10542" t="s">
        <v>768</v>
      </c>
      <c r="C10542" t="s">
        <v>13599</v>
      </c>
      <c r="D10542" t="s">
        <v>17170</v>
      </c>
      <c r="E10542" t="s">
        <v>26252</v>
      </c>
      <c r="F10542" t="s">
        <v>29372</v>
      </c>
      <c r="G10542" t="s">
        <v>29380</v>
      </c>
      <c r="H10542" t="s">
        <v>11048</v>
      </c>
      <c r="I10542" t="s">
        <v>29404</v>
      </c>
      <c r="J10542" t="s">
        <v>30161</v>
      </c>
      <c r="K10542" t="s">
        <v>38510</v>
      </c>
      <c r="M10542" t="s">
        <v>39552</v>
      </c>
      <c r="N10542" t="s">
        <v>42669</v>
      </c>
      <c r="O10542" t="s">
        <v>42670</v>
      </c>
      <c r="P10542">
        <v>0</v>
      </c>
      <c r="Q10542">
        <v>0</v>
      </c>
      <c r="R10542" t="s">
        <v>42684</v>
      </c>
      <c r="S10542" t="s">
        <v>43183</v>
      </c>
      <c r="T10542" t="s">
        <v>44485</v>
      </c>
      <c r="U10542" t="s">
        <v>53414</v>
      </c>
      <c r="W10542" t="s">
        <v>39552</v>
      </c>
      <c r="X10542" t="s">
        <v>42685</v>
      </c>
    </row>
    <row r="10543" spans="1:24">
      <c r="A10543">
        <f>HYPERLINK("https://www.philgeps.gov.ph/GEPSNONPILOT/Tender/SplashBidNoticeAbstractUI.aspx?menuIndex=3&amp;refID=7167922&amp;Result=3","7167922")</f>
        <v>0</v>
      </c>
      <c r="B10543" t="s">
        <v>1202</v>
      </c>
      <c r="C10543" t="s">
        <v>13600</v>
      </c>
      <c r="E10543" t="s">
        <v>26253</v>
      </c>
      <c r="F10543" t="s">
        <v>29372</v>
      </c>
      <c r="G10543" t="s">
        <v>29380</v>
      </c>
      <c r="H10543" t="s">
        <v>29389</v>
      </c>
      <c r="I10543" t="s">
        <v>10408</v>
      </c>
      <c r="J10543" t="s">
        <v>36211</v>
      </c>
      <c r="K10543" t="s">
        <v>38564</v>
      </c>
      <c r="M10543" t="s">
        <v>40019</v>
      </c>
      <c r="N10543" t="s">
        <v>42669</v>
      </c>
      <c r="O10543" t="s">
        <v>42670</v>
      </c>
      <c r="P10543">
        <v>0</v>
      </c>
      <c r="Q10543">
        <v>3</v>
      </c>
      <c r="R10543" t="s">
        <v>42684</v>
      </c>
      <c r="S10543" t="s">
        <v>43183</v>
      </c>
      <c r="T10543" t="s">
        <v>44375</v>
      </c>
      <c r="U10543" t="s">
        <v>53415</v>
      </c>
      <c r="V10543" t="s">
        <v>57562</v>
      </c>
      <c r="W10543" t="s">
        <v>40019</v>
      </c>
      <c r="X10543" t="s">
        <v>42685</v>
      </c>
    </row>
    <row r="10544" spans="1:24">
      <c r="A10544">
        <f>HYPERLINK("https://www.philgeps.gov.ph/GEPSNONPILOT/Tender/SplashBidNoticeAbstractUI.aspx?menuIndex=3&amp;refID=7168155&amp;Result=3","7168155")</f>
        <v>0</v>
      </c>
      <c r="B10544" t="s">
        <v>3027</v>
      </c>
      <c r="C10544" t="s">
        <v>13601</v>
      </c>
      <c r="D10544" t="s">
        <v>17226</v>
      </c>
      <c r="E10544" t="s">
        <v>26254</v>
      </c>
      <c r="F10544" t="s">
        <v>29372</v>
      </c>
      <c r="G10544" t="s">
        <v>29380</v>
      </c>
      <c r="H10544" t="s">
        <v>11048</v>
      </c>
      <c r="I10544" t="s">
        <v>3839</v>
      </c>
      <c r="J10544" t="s">
        <v>29625</v>
      </c>
      <c r="K10544" t="s">
        <v>38488</v>
      </c>
      <c r="M10544" t="s">
        <v>42049</v>
      </c>
      <c r="N10544" t="s">
        <v>42669</v>
      </c>
      <c r="O10544" t="s">
        <v>42670</v>
      </c>
      <c r="P10544">
        <v>0</v>
      </c>
      <c r="Q10544">
        <v>0</v>
      </c>
      <c r="R10544" t="s">
        <v>42684</v>
      </c>
      <c r="S10544" t="s">
        <v>43183</v>
      </c>
      <c r="T10544" t="s">
        <v>44391</v>
      </c>
      <c r="U10544" t="s">
        <v>53416</v>
      </c>
      <c r="W10544" t="s">
        <v>42049</v>
      </c>
      <c r="X10544" t="s">
        <v>42685</v>
      </c>
    </row>
    <row r="10545" spans="1:24">
      <c r="A10545">
        <f>HYPERLINK("https://www.philgeps.gov.ph/GEPSNONPILOT/Tender/SplashBidNoticeAbstractUI.aspx?menuIndex=3&amp;refID=7168127&amp;Result=3","7168127")</f>
        <v>0</v>
      </c>
      <c r="B10545" t="s">
        <v>1291</v>
      </c>
      <c r="C10545" t="s">
        <v>13602</v>
      </c>
      <c r="D10545" t="s">
        <v>17144</v>
      </c>
      <c r="E10545" t="s">
        <v>26255</v>
      </c>
      <c r="F10545" t="s">
        <v>29372</v>
      </c>
      <c r="G10545" t="s">
        <v>29380</v>
      </c>
      <c r="H10545" t="s">
        <v>11048</v>
      </c>
      <c r="I10545" t="s">
        <v>3839</v>
      </c>
      <c r="J10545" t="s">
        <v>36212</v>
      </c>
      <c r="K10545" t="s">
        <v>38488</v>
      </c>
      <c r="M10545" t="s">
        <v>40120</v>
      </c>
      <c r="N10545" t="s">
        <v>42669</v>
      </c>
      <c r="O10545" t="s">
        <v>42670</v>
      </c>
      <c r="Q10545">
        <v>5</v>
      </c>
      <c r="R10545" t="s">
        <v>42684</v>
      </c>
      <c r="S10545" t="s">
        <v>43212</v>
      </c>
      <c r="T10545" t="s">
        <v>44527</v>
      </c>
      <c r="U10545" t="s">
        <v>53417</v>
      </c>
      <c r="W10545" t="s">
        <v>40120</v>
      </c>
      <c r="X10545" t="s">
        <v>42685</v>
      </c>
    </row>
    <row r="10546" spans="1:24">
      <c r="A10546">
        <f>HYPERLINK("https://www.philgeps.gov.ph/GEPSNONPILOT/Tender/SplashBidNoticeAbstractUI.aspx?menuIndex=3&amp;refID=7168140&amp;Result=3","7168140")</f>
        <v>0</v>
      </c>
      <c r="B10546" t="s">
        <v>2273</v>
      </c>
      <c r="C10546" t="s">
        <v>13603</v>
      </c>
      <c r="D10546" t="s">
        <v>17201</v>
      </c>
      <c r="E10546" t="s">
        <v>26256</v>
      </c>
      <c r="F10546" t="s">
        <v>29372</v>
      </c>
      <c r="G10546" t="s">
        <v>29380</v>
      </c>
      <c r="H10546" t="s">
        <v>11048</v>
      </c>
      <c r="I10546" t="s">
        <v>29410</v>
      </c>
      <c r="J10546" t="s">
        <v>29729</v>
      </c>
      <c r="K10546" t="s">
        <v>38485</v>
      </c>
      <c r="L10546" t="s">
        <v>2273</v>
      </c>
      <c r="M10546" t="s">
        <v>41195</v>
      </c>
      <c r="N10546" t="s">
        <v>42669</v>
      </c>
      <c r="O10546" t="s">
        <v>42670</v>
      </c>
      <c r="P10546">
        <v>0</v>
      </c>
      <c r="Q10546">
        <v>9</v>
      </c>
      <c r="R10546" t="s">
        <v>42684</v>
      </c>
      <c r="S10546" t="s">
        <v>43183</v>
      </c>
      <c r="T10546" t="s">
        <v>44457</v>
      </c>
      <c r="U10546" t="s">
        <v>53418</v>
      </c>
      <c r="W10546" t="s">
        <v>41195</v>
      </c>
      <c r="X10546" t="s">
        <v>42685</v>
      </c>
    </row>
    <row r="10547" spans="1:24">
      <c r="A10547">
        <f>HYPERLINK("https://www.philgeps.gov.ph/GEPSNONPILOT/Tender/SplashBidNoticeAbstractUI.aspx?menuIndex=3&amp;refID=7168115&amp;Result=3","7168115")</f>
        <v>0</v>
      </c>
      <c r="B10547" t="s">
        <v>558</v>
      </c>
      <c r="C10547" t="s">
        <v>13604</v>
      </c>
      <c r="D10547" t="s">
        <v>17157</v>
      </c>
      <c r="E10547" t="s">
        <v>26257</v>
      </c>
      <c r="F10547" t="s">
        <v>29372</v>
      </c>
      <c r="G10547" t="s">
        <v>29380</v>
      </c>
      <c r="H10547" t="s">
        <v>29389</v>
      </c>
      <c r="I10547" t="s">
        <v>10408</v>
      </c>
      <c r="J10547" t="s">
        <v>30056</v>
      </c>
      <c r="K10547" t="s">
        <v>38495</v>
      </c>
      <c r="M10547" t="s">
        <v>39327</v>
      </c>
      <c r="N10547" t="s">
        <v>42669</v>
      </c>
      <c r="O10547" t="s">
        <v>42670</v>
      </c>
      <c r="P10547">
        <v>0</v>
      </c>
      <c r="Q10547">
        <v>0</v>
      </c>
      <c r="R10547" t="s">
        <v>42684</v>
      </c>
      <c r="S10547" t="s">
        <v>43183</v>
      </c>
      <c r="T10547" t="s">
        <v>44796</v>
      </c>
      <c r="U10547" t="s">
        <v>53419</v>
      </c>
      <c r="W10547" t="s">
        <v>39327</v>
      </c>
      <c r="X10547" t="s">
        <v>42685</v>
      </c>
    </row>
    <row r="10548" spans="1:24">
      <c r="A10548">
        <f>HYPERLINK("https://www.philgeps.gov.ph/GEPSNONPILOT/Tender/SplashBidNoticeAbstractUI.aspx?menuIndex=3&amp;refID=7168104&amp;Result=3","7168104")</f>
        <v>0</v>
      </c>
      <c r="B10548" t="s">
        <v>3028</v>
      </c>
      <c r="C10548" t="s">
        <v>13605</v>
      </c>
      <c r="D10548" t="s">
        <v>17144</v>
      </c>
      <c r="E10548" t="s">
        <v>26258</v>
      </c>
      <c r="F10548" t="s">
        <v>29372</v>
      </c>
      <c r="G10548" t="s">
        <v>29380</v>
      </c>
      <c r="H10548" t="s">
        <v>11048</v>
      </c>
      <c r="I10548" t="s">
        <v>4486</v>
      </c>
      <c r="J10548" t="s">
        <v>30540</v>
      </c>
      <c r="K10548" t="s">
        <v>38485</v>
      </c>
      <c r="M10548" t="s">
        <v>42050</v>
      </c>
      <c r="N10548" t="s">
        <v>42669</v>
      </c>
      <c r="O10548" t="s">
        <v>42670</v>
      </c>
      <c r="P10548">
        <v>0</v>
      </c>
      <c r="Q10548">
        <v>2</v>
      </c>
      <c r="R10548" t="s">
        <v>42684</v>
      </c>
      <c r="S10548" t="s">
        <v>43183</v>
      </c>
      <c r="T10548" t="s">
        <v>44404</v>
      </c>
      <c r="U10548" t="s">
        <v>53420</v>
      </c>
      <c r="W10548" t="s">
        <v>42050</v>
      </c>
      <c r="X10548" t="s">
        <v>42685</v>
      </c>
    </row>
    <row r="10549" spans="1:24">
      <c r="A10549">
        <f>HYPERLINK("https://www.philgeps.gov.ph/GEPSNONPILOT/Tender/SplashBidNoticeAbstractUI.aspx?menuIndex=3&amp;refID=7168099&amp;Result=3","7168099")</f>
        <v>0</v>
      </c>
      <c r="B10549" t="s">
        <v>1188</v>
      </c>
      <c r="C10549" t="s">
        <v>13606</v>
      </c>
      <c r="D10549" t="s">
        <v>17162</v>
      </c>
      <c r="E10549" t="s">
        <v>26259</v>
      </c>
      <c r="F10549" t="s">
        <v>29372</v>
      </c>
      <c r="G10549" t="s">
        <v>29380</v>
      </c>
      <c r="H10549" t="s">
        <v>29389</v>
      </c>
      <c r="I10549" t="s">
        <v>10408</v>
      </c>
      <c r="J10549" t="s">
        <v>36213</v>
      </c>
      <c r="K10549" t="s">
        <v>38490</v>
      </c>
      <c r="M10549" t="s">
        <v>40004</v>
      </c>
      <c r="N10549" t="s">
        <v>42669</v>
      </c>
      <c r="O10549" t="s">
        <v>42670</v>
      </c>
      <c r="P10549">
        <v>0</v>
      </c>
      <c r="Q10549">
        <v>1</v>
      </c>
      <c r="R10549" t="s">
        <v>42684</v>
      </c>
      <c r="S10549" t="s">
        <v>43183</v>
      </c>
      <c r="T10549" t="s">
        <v>44357</v>
      </c>
      <c r="U10549" t="s">
        <v>53421</v>
      </c>
      <c r="W10549" t="s">
        <v>58038</v>
      </c>
      <c r="X10549" t="s">
        <v>42685</v>
      </c>
    </row>
    <row r="10550" spans="1:24">
      <c r="A10550">
        <f>HYPERLINK("https://www.philgeps.gov.ph/GEPSNONPILOT/Tender/SplashBidNoticeAbstractUI.aspx?menuIndex=3&amp;refID=7168218&amp;Result=3","7168218")</f>
        <v>0</v>
      </c>
      <c r="B10550" t="s">
        <v>529</v>
      </c>
      <c r="C10550" t="s">
        <v>13607</v>
      </c>
      <c r="D10550" t="s">
        <v>17147</v>
      </c>
      <c r="E10550" t="s">
        <v>26260</v>
      </c>
      <c r="F10550" t="s">
        <v>29372</v>
      </c>
      <c r="G10550" t="s">
        <v>29380</v>
      </c>
      <c r="H10550" t="s">
        <v>11048</v>
      </c>
      <c r="I10550" t="s">
        <v>9469</v>
      </c>
      <c r="J10550" t="s">
        <v>36214</v>
      </c>
      <c r="K10550" t="s">
        <v>38485</v>
      </c>
      <c r="M10550" t="s">
        <v>39296</v>
      </c>
      <c r="N10550" t="s">
        <v>42669</v>
      </c>
      <c r="O10550" t="s">
        <v>42670</v>
      </c>
      <c r="P10550">
        <v>0</v>
      </c>
      <c r="Q10550">
        <v>6</v>
      </c>
      <c r="R10550" t="s">
        <v>42684</v>
      </c>
      <c r="S10550" t="s">
        <v>43183</v>
      </c>
      <c r="T10550" t="s">
        <v>44527</v>
      </c>
      <c r="U10550" t="s">
        <v>53422</v>
      </c>
      <c r="W10550" t="s">
        <v>39296</v>
      </c>
      <c r="X10550" t="s">
        <v>42685</v>
      </c>
    </row>
    <row r="10551" spans="1:24">
      <c r="A10551">
        <f>HYPERLINK("https://www.philgeps.gov.ph/GEPSNONPILOT/Tender/SplashBidNoticeAbstractUI.aspx?menuIndex=3&amp;refID=7168304&amp;Result=3","7168304")</f>
        <v>0</v>
      </c>
      <c r="B10551" t="s">
        <v>2345</v>
      </c>
      <c r="C10551" t="s">
        <v>13608</v>
      </c>
      <c r="D10551" t="s">
        <v>17168</v>
      </c>
      <c r="E10551" t="s">
        <v>17730</v>
      </c>
      <c r="F10551" t="s">
        <v>29372</v>
      </c>
      <c r="G10551" t="s">
        <v>29380</v>
      </c>
      <c r="H10551" t="s">
        <v>11048</v>
      </c>
      <c r="I10551" t="s">
        <v>9469</v>
      </c>
      <c r="J10551" t="s">
        <v>30161</v>
      </c>
      <c r="K10551" t="s">
        <v>38487</v>
      </c>
      <c r="M10551" t="s">
        <v>41278</v>
      </c>
      <c r="N10551" t="s">
        <v>42669</v>
      </c>
      <c r="O10551" t="s">
        <v>42670</v>
      </c>
      <c r="P10551">
        <v>0</v>
      </c>
      <c r="Q10551">
        <v>4</v>
      </c>
      <c r="R10551" t="s">
        <v>42684</v>
      </c>
      <c r="S10551" t="s">
        <v>43183</v>
      </c>
      <c r="T10551" t="s">
        <v>44466</v>
      </c>
      <c r="U10551" t="s">
        <v>53423</v>
      </c>
      <c r="W10551" t="s">
        <v>41278</v>
      </c>
      <c r="X10551" t="s">
        <v>42685</v>
      </c>
    </row>
    <row r="10552" spans="1:24">
      <c r="A10552">
        <f>HYPERLINK("https://www.philgeps.gov.ph/GEPSNONPILOT/Tender/SplashBidNoticeAbstractUI.aspx?menuIndex=3&amp;refID=7168291&amp;Result=3","7168291")</f>
        <v>0</v>
      </c>
      <c r="B10552" t="s">
        <v>62</v>
      </c>
      <c r="C10552" t="s">
        <v>13609</v>
      </c>
      <c r="D10552" t="s">
        <v>17167</v>
      </c>
      <c r="E10552" t="s">
        <v>26261</v>
      </c>
      <c r="F10552" t="s">
        <v>29372</v>
      </c>
      <c r="G10552" t="s">
        <v>29380</v>
      </c>
      <c r="H10552" t="s">
        <v>29389</v>
      </c>
      <c r="I10552" t="s">
        <v>10408</v>
      </c>
      <c r="J10552" t="s">
        <v>36215</v>
      </c>
      <c r="K10552" t="s">
        <v>38718</v>
      </c>
      <c r="M10552" t="s">
        <v>38816</v>
      </c>
      <c r="N10552" t="s">
        <v>42669</v>
      </c>
      <c r="O10552" t="s">
        <v>42670</v>
      </c>
      <c r="P10552">
        <v>0</v>
      </c>
      <c r="Q10552">
        <v>0</v>
      </c>
      <c r="R10552" t="s">
        <v>42684</v>
      </c>
      <c r="S10552" t="s">
        <v>43183</v>
      </c>
      <c r="T10552" t="s">
        <v>44777</v>
      </c>
      <c r="U10552" t="s">
        <v>53424</v>
      </c>
      <c r="V10552" t="s">
        <v>57564</v>
      </c>
      <c r="W10552" t="s">
        <v>38816</v>
      </c>
      <c r="X10552" t="s">
        <v>42685</v>
      </c>
    </row>
    <row r="10553" spans="1:24">
      <c r="A10553">
        <f>HYPERLINK("https://www.philgeps.gov.ph/GEPSNONPILOT/Tender/SplashBidNoticeAbstractUI.aspx?menuIndex=3&amp;refID=7168290&amp;Result=3","7168290")</f>
        <v>0</v>
      </c>
      <c r="B10553" t="s">
        <v>2451</v>
      </c>
      <c r="C10553" t="s">
        <v>13610</v>
      </c>
      <c r="D10553" t="s">
        <v>17228</v>
      </c>
      <c r="E10553" t="s">
        <v>26262</v>
      </c>
      <c r="F10553" t="s">
        <v>29372</v>
      </c>
      <c r="G10553" t="s">
        <v>29380</v>
      </c>
      <c r="H10553" t="s">
        <v>29389</v>
      </c>
      <c r="I10553" t="s">
        <v>10408</v>
      </c>
      <c r="J10553" t="s">
        <v>29788</v>
      </c>
      <c r="K10553" t="s">
        <v>38490</v>
      </c>
      <c r="M10553" t="s">
        <v>41399</v>
      </c>
      <c r="N10553" t="s">
        <v>42669</v>
      </c>
      <c r="O10553" t="s">
        <v>42670</v>
      </c>
      <c r="P10553">
        <v>0</v>
      </c>
      <c r="Q10553">
        <v>1</v>
      </c>
      <c r="R10553" t="s">
        <v>42684</v>
      </c>
      <c r="S10553" t="s">
        <v>43183</v>
      </c>
      <c r="T10553" t="s">
        <v>44375</v>
      </c>
      <c r="U10553" t="s">
        <v>53377</v>
      </c>
      <c r="W10553" t="s">
        <v>41399</v>
      </c>
      <c r="X10553" t="s">
        <v>42685</v>
      </c>
    </row>
    <row r="10554" spans="1:24">
      <c r="A10554">
        <f>HYPERLINK("https://www.philgeps.gov.ph/GEPSNONPILOT/Tender/SplashBidNoticeAbstractUI.aspx?menuIndex=3&amp;refID=7168276&amp;Result=3","7168276")</f>
        <v>0</v>
      </c>
      <c r="B10554" t="s">
        <v>2248</v>
      </c>
      <c r="C10554" t="s">
        <v>13611</v>
      </c>
      <c r="D10554" t="s">
        <v>17154</v>
      </c>
      <c r="E10554" t="s">
        <v>26263</v>
      </c>
      <c r="F10554" t="s">
        <v>29372</v>
      </c>
      <c r="G10554" t="s">
        <v>29380</v>
      </c>
      <c r="H10554" t="s">
        <v>29389</v>
      </c>
      <c r="I10554" t="s">
        <v>10408</v>
      </c>
      <c r="J10554" t="s">
        <v>33438</v>
      </c>
      <c r="K10554" t="s">
        <v>38564</v>
      </c>
      <c r="M10554" t="s">
        <v>41166</v>
      </c>
      <c r="N10554" t="s">
        <v>42669</v>
      </c>
      <c r="O10554" t="s">
        <v>42670</v>
      </c>
      <c r="P10554">
        <v>0</v>
      </c>
      <c r="Q10554">
        <v>5</v>
      </c>
      <c r="R10554" t="s">
        <v>42684</v>
      </c>
      <c r="S10554" t="s">
        <v>43183</v>
      </c>
      <c r="T10554" t="s">
        <v>44371</v>
      </c>
      <c r="U10554" t="s">
        <v>44902</v>
      </c>
      <c r="W10554" t="s">
        <v>41166</v>
      </c>
      <c r="X10554" t="s">
        <v>42685</v>
      </c>
    </row>
    <row r="10555" spans="1:24">
      <c r="A10555">
        <f>HYPERLINK("https://www.philgeps.gov.ph/GEPSNONPILOT/Tender/SplashBidNoticeAbstractUI.aspx?menuIndex=3&amp;refID=7168138&amp;Result=3","7168138")</f>
        <v>0</v>
      </c>
      <c r="B10555" t="s">
        <v>763</v>
      </c>
      <c r="C10555" t="s">
        <v>13612</v>
      </c>
      <c r="D10555" t="s">
        <v>17165</v>
      </c>
      <c r="E10555" t="s">
        <v>26264</v>
      </c>
      <c r="F10555" t="s">
        <v>29372</v>
      </c>
      <c r="G10555" t="s">
        <v>29380</v>
      </c>
      <c r="H10555" t="s">
        <v>11048</v>
      </c>
      <c r="I10555" t="s">
        <v>4709</v>
      </c>
      <c r="J10555" t="s">
        <v>29590</v>
      </c>
      <c r="K10555" t="s">
        <v>38496</v>
      </c>
      <c r="M10555" t="s">
        <v>39546</v>
      </c>
      <c r="N10555" t="s">
        <v>42669</v>
      </c>
      <c r="O10555" t="s">
        <v>42670</v>
      </c>
      <c r="Q10555">
        <v>0</v>
      </c>
      <c r="R10555" t="s">
        <v>42684</v>
      </c>
      <c r="S10555" t="s">
        <v>43213</v>
      </c>
      <c r="T10555" t="s">
        <v>44464</v>
      </c>
      <c r="U10555" t="s">
        <v>46424</v>
      </c>
      <c r="W10555" t="s">
        <v>39546</v>
      </c>
      <c r="X10555" t="s">
        <v>42685</v>
      </c>
    </row>
    <row r="10556" spans="1:24">
      <c r="A10556">
        <f>HYPERLINK("https://www.philgeps.gov.ph/GEPSNONPILOT/Tender/SplashBidNoticeAbstractUI.aspx?menuIndex=3&amp;refID=7168255&amp;Result=3","7168255")</f>
        <v>0</v>
      </c>
      <c r="B10556" t="s">
        <v>1188</v>
      </c>
      <c r="C10556" t="s">
        <v>13613</v>
      </c>
      <c r="D10556" t="s">
        <v>17162</v>
      </c>
      <c r="E10556" t="s">
        <v>26265</v>
      </c>
      <c r="F10556" t="s">
        <v>29372</v>
      </c>
      <c r="G10556" t="s">
        <v>29380</v>
      </c>
      <c r="H10556" t="s">
        <v>29389</v>
      </c>
      <c r="I10556" t="s">
        <v>10408</v>
      </c>
      <c r="J10556" t="s">
        <v>36216</v>
      </c>
      <c r="K10556" t="s">
        <v>38490</v>
      </c>
      <c r="M10556" t="s">
        <v>40004</v>
      </c>
      <c r="N10556" t="s">
        <v>42669</v>
      </c>
      <c r="O10556" t="s">
        <v>42670</v>
      </c>
      <c r="P10556">
        <v>0</v>
      </c>
      <c r="Q10556">
        <v>1</v>
      </c>
      <c r="R10556" t="s">
        <v>42684</v>
      </c>
      <c r="S10556" t="s">
        <v>43183</v>
      </c>
      <c r="T10556" t="s">
        <v>44357</v>
      </c>
      <c r="U10556" t="s">
        <v>53425</v>
      </c>
      <c r="W10556" t="s">
        <v>58038</v>
      </c>
      <c r="X10556" t="s">
        <v>42685</v>
      </c>
    </row>
    <row r="10557" spans="1:24">
      <c r="A10557">
        <f>HYPERLINK("https://www.philgeps.gov.ph/GEPSNONPILOT/Tender/SplashBidNoticeAbstractUI.aspx?menuIndex=3&amp;refID=7168031&amp;Result=3","7168031")</f>
        <v>0</v>
      </c>
      <c r="B10557" t="s">
        <v>1638</v>
      </c>
      <c r="C10557" t="s">
        <v>13614</v>
      </c>
      <c r="D10557" t="s">
        <v>17213</v>
      </c>
      <c r="E10557" t="s">
        <v>26266</v>
      </c>
      <c r="F10557" t="s">
        <v>29372</v>
      </c>
      <c r="G10557" t="s">
        <v>29380</v>
      </c>
      <c r="H10557" t="s">
        <v>11048</v>
      </c>
      <c r="I10557" t="s">
        <v>5383</v>
      </c>
      <c r="J10557" t="s">
        <v>36217</v>
      </c>
      <c r="K10557" t="s">
        <v>38490</v>
      </c>
      <c r="M10557" t="s">
        <v>40494</v>
      </c>
      <c r="N10557" t="s">
        <v>42669</v>
      </c>
      <c r="O10557" t="s">
        <v>42670</v>
      </c>
      <c r="P10557">
        <v>0</v>
      </c>
      <c r="Q10557">
        <v>2</v>
      </c>
      <c r="R10557" t="s">
        <v>42684</v>
      </c>
      <c r="S10557" t="s">
        <v>43183</v>
      </c>
      <c r="T10557" t="s">
        <v>44542</v>
      </c>
      <c r="U10557" t="s">
        <v>53426</v>
      </c>
      <c r="W10557" t="s">
        <v>58050</v>
      </c>
      <c r="X10557" t="s">
        <v>42685</v>
      </c>
    </row>
    <row r="10558" spans="1:24">
      <c r="A10558">
        <f>HYPERLINK("https://www.philgeps.gov.ph/GEPSNONPILOT/Tender/SplashBidNoticeAbstractUI.aspx?menuIndex=3&amp;refID=7168252&amp;Result=3","7168252")</f>
        <v>0</v>
      </c>
      <c r="B10558" t="s">
        <v>2817</v>
      </c>
      <c r="C10558" t="s">
        <v>13594</v>
      </c>
      <c r="D10558" t="s">
        <v>17194</v>
      </c>
      <c r="E10558" t="s">
        <v>17434</v>
      </c>
      <c r="F10558" t="s">
        <v>29372</v>
      </c>
      <c r="G10558" t="s">
        <v>29380</v>
      </c>
      <c r="H10558" t="s">
        <v>11048</v>
      </c>
      <c r="I10558" t="s">
        <v>4709</v>
      </c>
      <c r="J10558" t="s">
        <v>36218</v>
      </c>
      <c r="K10558" t="s">
        <v>38485</v>
      </c>
      <c r="M10558" t="s">
        <v>41806</v>
      </c>
      <c r="N10558" t="s">
        <v>42669</v>
      </c>
      <c r="O10558" t="s">
        <v>42670</v>
      </c>
      <c r="P10558">
        <v>0</v>
      </c>
      <c r="Q10558">
        <v>0</v>
      </c>
      <c r="R10558" t="s">
        <v>42684</v>
      </c>
      <c r="S10558" t="s">
        <v>43183</v>
      </c>
      <c r="T10558" t="s">
        <v>44371</v>
      </c>
      <c r="U10558" t="s">
        <v>53427</v>
      </c>
      <c r="W10558" t="s">
        <v>41806</v>
      </c>
      <c r="X10558" t="s">
        <v>42685</v>
      </c>
    </row>
    <row r="10559" spans="1:24">
      <c r="A10559">
        <f>HYPERLINK("https://www.philgeps.gov.ph/GEPSNONPILOT/Tender/SplashBidNoticeAbstractUI.aspx?menuIndex=3&amp;refID=7167391&amp;Result=3","7167391")</f>
        <v>0</v>
      </c>
      <c r="B10559" t="s">
        <v>547</v>
      </c>
      <c r="C10559" t="s">
        <v>13615</v>
      </c>
      <c r="D10559" t="s">
        <v>17174</v>
      </c>
      <c r="E10559" t="s">
        <v>26267</v>
      </c>
      <c r="F10559" t="s">
        <v>29372</v>
      </c>
      <c r="G10559" t="s">
        <v>29381</v>
      </c>
      <c r="H10559" t="s">
        <v>11048</v>
      </c>
      <c r="I10559" t="s">
        <v>8794</v>
      </c>
      <c r="J10559" t="s">
        <v>36219</v>
      </c>
      <c r="K10559" t="s">
        <v>38485</v>
      </c>
      <c r="M10559" t="s">
        <v>39316</v>
      </c>
      <c r="N10559" t="s">
        <v>42669</v>
      </c>
      <c r="O10559" t="s">
        <v>42670</v>
      </c>
      <c r="Q10559">
        <v>2</v>
      </c>
      <c r="R10559" t="s">
        <v>42684</v>
      </c>
      <c r="S10559" t="s">
        <v>43047</v>
      </c>
      <c r="T10559" t="s">
        <v>44357</v>
      </c>
      <c r="U10559" t="s">
        <v>53428</v>
      </c>
      <c r="W10559" t="s">
        <v>58017</v>
      </c>
      <c r="X10559" t="s">
        <v>42686</v>
      </c>
    </row>
    <row r="10560" spans="1:24">
      <c r="A10560">
        <f>HYPERLINK("https://www.philgeps.gov.ph/GEPSNONPILOT/Tender/SplashBidNoticeAbstractUI.aspx?menuIndex=3&amp;refID=7168242&amp;Result=3","7168242")</f>
        <v>0</v>
      </c>
      <c r="B10560" t="s">
        <v>1565</v>
      </c>
      <c r="C10560" t="s">
        <v>13616</v>
      </c>
      <c r="D10560" t="s">
        <v>17156</v>
      </c>
      <c r="E10560" t="s">
        <v>26268</v>
      </c>
      <c r="F10560" t="s">
        <v>29372</v>
      </c>
      <c r="G10560" t="s">
        <v>29380</v>
      </c>
      <c r="H10560" t="s">
        <v>11048</v>
      </c>
      <c r="I10560" t="s">
        <v>4709</v>
      </c>
      <c r="J10560" t="s">
        <v>36220</v>
      </c>
      <c r="K10560" t="s">
        <v>38488</v>
      </c>
      <c r="M10560" t="s">
        <v>40415</v>
      </c>
      <c r="N10560" t="s">
        <v>42669</v>
      </c>
      <c r="O10560" t="s">
        <v>42670</v>
      </c>
      <c r="P10560">
        <v>0</v>
      </c>
      <c r="Q10560">
        <v>1</v>
      </c>
      <c r="R10560" t="s">
        <v>42684</v>
      </c>
      <c r="S10560" t="s">
        <v>43183</v>
      </c>
      <c r="T10560" t="s">
        <v>44361</v>
      </c>
      <c r="U10560" t="s">
        <v>48373</v>
      </c>
      <c r="W10560" t="s">
        <v>40415</v>
      </c>
      <c r="X10560" t="s">
        <v>42685</v>
      </c>
    </row>
    <row r="10561" spans="1:24">
      <c r="A10561">
        <f>HYPERLINK("https://www.philgeps.gov.ph/GEPSNONPILOT/Tender/SplashBidNoticeAbstractUI.aspx?menuIndex=3&amp;refID=7168330&amp;Result=3","7168330")</f>
        <v>0</v>
      </c>
      <c r="B10561" t="s">
        <v>2451</v>
      </c>
      <c r="C10561" t="s">
        <v>13617</v>
      </c>
      <c r="D10561" t="s">
        <v>17228</v>
      </c>
      <c r="E10561" t="s">
        <v>26269</v>
      </c>
      <c r="F10561" t="s">
        <v>29372</v>
      </c>
      <c r="G10561" t="s">
        <v>29380</v>
      </c>
      <c r="H10561" t="s">
        <v>29389</v>
      </c>
      <c r="I10561" t="s">
        <v>10408</v>
      </c>
      <c r="J10561" t="s">
        <v>36221</v>
      </c>
      <c r="K10561" t="s">
        <v>38490</v>
      </c>
      <c r="M10561" t="s">
        <v>41399</v>
      </c>
      <c r="N10561" t="s">
        <v>42669</v>
      </c>
      <c r="O10561" t="s">
        <v>42670</v>
      </c>
      <c r="P10561">
        <v>0</v>
      </c>
      <c r="Q10561">
        <v>1</v>
      </c>
      <c r="R10561" t="s">
        <v>42684</v>
      </c>
      <c r="S10561" t="s">
        <v>43183</v>
      </c>
      <c r="T10561" t="s">
        <v>44375</v>
      </c>
      <c r="U10561" t="s">
        <v>53377</v>
      </c>
      <c r="W10561" t="s">
        <v>41399</v>
      </c>
      <c r="X10561" t="s">
        <v>42685</v>
      </c>
    </row>
    <row r="10562" spans="1:24">
      <c r="A10562">
        <f>HYPERLINK("https://www.philgeps.gov.ph/GEPSNONPILOT/Tender/SplashBidNoticeAbstractUI.aspx?menuIndex=3&amp;refID=7168311&amp;Result=3","7168311")</f>
        <v>0</v>
      </c>
      <c r="B10562" t="s">
        <v>2189</v>
      </c>
      <c r="C10562" t="s">
        <v>13618</v>
      </c>
      <c r="D10562" t="s">
        <v>17209</v>
      </c>
      <c r="E10562" t="s">
        <v>26270</v>
      </c>
      <c r="F10562" t="s">
        <v>29372</v>
      </c>
      <c r="G10562" t="s">
        <v>29380</v>
      </c>
      <c r="H10562" t="s">
        <v>11048</v>
      </c>
      <c r="I10562" t="s">
        <v>3839</v>
      </c>
      <c r="J10562" t="s">
        <v>29555</v>
      </c>
      <c r="K10562" t="s">
        <v>38491</v>
      </c>
      <c r="M10562" t="s">
        <v>41103</v>
      </c>
      <c r="N10562" t="s">
        <v>42669</v>
      </c>
      <c r="O10562" t="s">
        <v>42670</v>
      </c>
      <c r="Q10562">
        <v>0</v>
      </c>
      <c r="R10562" t="s">
        <v>42684</v>
      </c>
      <c r="S10562" t="s">
        <v>43214</v>
      </c>
      <c r="T10562" t="s">
        <v>44493</v>
      </c>
      <c r="U10562" t="s">
        <v>53429</v>
      </c>
      <c r="W10562" t="s">
        <v>41103</v>
      </c>
      <c r="X10562" t="s">
        <v>42685</v>
      </c>
    </row>
    <row r="10563" spans="1:24">
      <c r="A10563">
        <f>HYPERLINK("https://www.philgeps.gov.ph/GEPSNONPILOT/Tender/SplashBidNoticeAbstractUI.aspx?menuIndex=3&amp;refID=7168308&amp;Result=3","7168308")</f>
        <v>0</v>
      </c>
      <c r="B10563" t="s">
        <v>2725</v>
      </c>
      <c r="C10563" t="s">
        <v>13619</v>
      </c>
      <c r="D10563" t="s">
        <v>17197</v>
      </c>
      <c r="E10563" t="s">
        <v>21551</v>
      </c>
      <c r="F10563" t="s">
        <v>29372</v>
      </c>
      <c r="G10563" t="s">
        <v>29380</v>
      </c>
      <c r="H10563" t="s">
        <v>11048</v>
      </c>
      <c r="I10563" t="s">
        <v>29407</v>
      </c>
      <c r="J10563" t="s">
        <v>36222</v>
      </c>
      <c r="K10563" t="s">
        <v>38485</v>
      </c>
      <c r="M10563" t="s">
        <v>41708</v>
      </c>
      <c r="N10563" t="s">
        <v>42669</v>
      </c>
      <c r="O10563" t="s">
        <v>42670</v>
      </c>
      <c r="P10563">
        <v>0</v>
      </c>
      <c r="Q10563">
        <v>14</v>
      </c>
      <c r="R10563" t="s">
        <v>42684</v>
      </c>
      <c r="S10563" t="s">
        <v>43183</v>
      </c>
      <c r="T10563" t="s">
        <v>44412</v>
      </c>
      <c r="U10563" t="s">
        <v>53430</v>
      </c>
      <c r="V10563" t="s">
        <v>57367</v>
      </c>
      <c r="W10563" t="s">
        <v>41708</v>
      </c>
      <c r="X10563" t="s">
        <v>42685</v>
      </c>
    </row>
    <row r="10564" spans="1:24">
      <c r="A10564">
        <f>HYPERLINK("https://www.philgeps.gov.ph/GEPSNONPILOT/Tender/SplashBidNoticeAbstractUI.aspx?menuIndex=3&amp;refID=7168219&amp;Result=3","7168219")</f>
        <v>0</v>
      </c>
      <c r="B10564" t="s">
        <v>3029</v>
      </c>
      <c r="C10564" t="s">
        <v>13620</v>
      </c>
      <c r="D10564" t="s">
        <v>17160</v>
      </c>
      <c r="E10564" t="s">
        <v>26271</v>
      </c>
      <c r="F10564" t="s">
        <v>29372</v>
      </c>
      <c r="G10564" t="s">
        <v>29380</v>
      </c>
      <c r="H10564" t="s">
        <v>11048</v>
      </c>
      <c r="I10564" t="s">
        <v>4487</v>
      </c>
      <c r="J10564" t="s">
        <v>30056</v>
      </c>
      <c r="K10564" t="s">
        <v>38485</v>
      </c>
      <c r="M10564" t="s">
        <v>42051</v>
      </c>
      <c r="N10564" t="s">
        <v>42669</v>
      </c>
      <c r="O10564" t="s">
        <v>42670</v>
      </c>
      <c r="P10564">
        <v>0</v>
      </c>
      <c r="Q10564">
        <v>6</v>
      </c>
      <c r="R10564" t="s">
        <v>42684</v>
      </c>
      <c r="S10564" t="s">
        <v>43183</v>
      </c>
      <c r="T10564" t="s">
        <v>44527</v>
      </c>
      <c r="U10564" t="s">
        <v>53431</v>
      </c>
      <c r="W10564" t="s">
        <v>42051</v>
      </c>
      <c r="X10564" t="s">
        <v>42685</v>
      </c>
    </row>
    <row r="10565" spans="1:24">
      <c r="A10565">
        <f>HYPERLINK("https://www.philgeps.gov.ph/GEPSNONPILOT/Tender/SplashBidNoticeAbstractUI.aspx?menuIndex=3&amp;refID=7168102&amp;Result=3","7168102")</f>
        <v>0</v>
      </c>
      <c r="B10565" t="s">
        <v>1565</v>
      </c>
      <c r="C10565" t="s">
        <v>13621</v>
      </c>
      <c r="D10565" t="s">
        <v>17156</v>
      </c>
      <c r="E10565" t="s">
        <v>26272</v>
      </c>
      <c r="F10565" t="s">
        <v>29372</v>
      </c>
      <c r="G10565" t="s">
        <v>29380</v>
      </c>
      <c r="H10565" t="s">
        <v>11048</v>
      </c>
      <c r="I10565" t="s">
        <v>4709</v>
      </c>
      <c r="J10565" t="s">
        <v>36223</v>
      </c>
      <c r="K10565" t="s">
        <v>38488</v>
      </c>
      <c r="M10565" t="s">
        <v>40415</v>
      </c>
      <c r="N10565" t="s">
        <v>42669</v>
      </c>
      <c r="O10565" t="s">
        <v>42670</v>
      </c>
      <c r="P10565">
        <v>0</v>
      </c>
      <c r="Q10565">
        <v>0</v>
      </c>
      <c r="R10565" t="s">
        <v>42684</v>
      </c>
      <c r="S10565" t="s">
        <v>43183</v>
      </c>
      <c r="T10565" t="s">
        <v>44361</v>
      </c>
      <c r="U10565" t="s">
        <v>48373</v>
      </c>
      <c r="W10565" t="s">
        <v>40415</v>
      </c>
      <c r="X10565" t="s">
        <v>42685</v>
      </c>
    </row>
    <row r="10566" spans="1:24">
      <c r="A10566">
        <f>HYPERLINK("https://www.philgeps.gov.ph/GEPSNONPILOT/Tender/SplashBidNoticeAbstractUI.aspx?menuIndex=3&amp;refID=7168335&amp;Result=3","7168335")</f>
        <v>0</v>
      </c>
      <c r="B10566" t="s">
        <v>1188</v>
      </c>
      <c r="C10566" t="s">
        <v>13622</v>
      </c>
      <c r="D10566" t="s">
        <v>17162</v>
      </c>
      <c r="E10566" t="s">
        <v>26273</v>
      </c>
      <c r="F10566" t="s">
        <v>29372</v>
      </c>
      <c r="G10566" t="s">
        <v>29380</v>
      </c>
      <c r="H10566" t="s">
        <v>29389</v>
      </c>
      <c r="I10566" t="s">
        <v>10408</v>
      </c>
      <c r="J10566" t="s">
        <v>36224</v>
      </c>
      <c r="K10566" t="s">
        <v>38490</v>
      </c>
      <c r="M10566" t="s">
        <v>40004</v>
      </c>
      <c r="N10566" t="s">
        <v>42669</v>
      </c>
      <c r="O10566" t="s">
        <v>42670</v>
      </c>
      <c r="P10566">
        <v>0</v>
      </c>
      <c r="Q10566">
        <v>1</v>
      </c>
      <c r="R10566" t="s">
        <v>42684</v>
      </c>
      <c r="S10566" t="s">
        <v>43183</v>
      </c>
      <c r="T10566" t="s">
        <v>44357</v>
      </c>
      <c r="U10566" t="s">
        <v>53432</v>
      </c>
      <c r="W10566" t="s">
        <v>58038</v>
      </c>
      <c r="X10566" t="s">
        <v>42685</v>
      </c>
    </row>
    <row r="10567" spans="1:24">
      <c r="A10567">
        <f>HYPERLINK("https://www.philgeps.gov.ph/GEPSNONPILOT/Tender/SplashBidNoticeAbstractUI.aspx?menuIndex=3&amp;refID=7168241&amp;Result=3","7168241")</f>
        <v>0</v>
      </c>
      <c r="B10567" t="s">
        <v>2451</v>
      </c>
      <c r="C10567" t="s">
        <v>13623</v>
      </c>
      <c r="D10567" t="s">
        <v>17228</v>
      </c>
      <c r="E10567" t="s">
        <v>26274</v>
      </c>
      <c r="F10567" t="s">
        <v>29372</v>
      </c>
      <c r="G10567" t="s">
        <v>29380</v>
      </c>
      <c r="H10567" t="s">
        <v>29389</v>
      </c>
      <c r="I10567" t="s">
        <v>10408</v>
      </c>
      <c r="J10567" t="s">
        <v>30161</v>
      </c>
      <c r="K10567" t="s">
        <v>38490</v>
      </c>
      <c r="M10567" t="s">
        <v>41399</v>
      </c>
      <c r="N10567" t="s">
        <v>42669</v>
      </c>
      <c r="O10567" t="s">
        <v>42670</v>
      </c>
      <c r="P10567">
        <v>0</v>
      </c>
      <c r="Q10567">
        <v>1</v>
      </c>
      <c r="R10567" t="s">
        <v>42684</v>
      </c>
      <c r="S10567" t="s">
        <v>43183</v>
      </c>
      <c r="T10567" t="s">
        <v>44375</v>
      </c>
      <c r="U10567" t="s">
        <v>53377</v>
      </c>
      <c r="W10567" t="s">
        <v>41399</v>
      </c>
      <c r="X10567" t="s">
        <v>42685</v>
      </c>
    </row>
    <row r="10568" spans="1:24">
      <c r="A10568">
        <f>HYPERLINK("https://www.philgeps.gov.ph/GEPSNONPILOT/Tender/SplashBidNoticeAbstractUI.aspx?menuIndex=3&amp;refID=7168227&amp;Result=3","7168227")</f>
        <v>0</v>
      </c>
      <c r="B10568" t="s">
        <v>3025</v>
      </c>
      <c r="C10568" t="s">
        <v>13624</v>
      </c>
      <c r="D10568" t="s">
        <v>17164</v>
      </c>
      <c r="E10568" t="s">
        <v>26275</v>
      </c>
      <c r="F10568" t="s">
        <v>29372</v>
      </c>
      <c r="G10568" t="s">
        <v>29380</v>
      </c>
      <c r="H10568" t="s">
        <v>11048</v>
      </c>
      <c r="I10568" t="s">
        <v>9469</v>
      </c>
      <c r="J10568" t="s">
        <v>36225</v>
      </c>
      <c r="K10568" t="s">
        <v>38491</v>
      </c>
      <c r="M10568" t="s">
        <v>42047</v>
      </c>
      <c r="N10568" t="s">
        <v>42669</v>
      </c>
      <c r="O10568" t="s">
        <v>42670</v>
      </c>
      <c r="Q10568">
        <v>6</v>
      </c>
      <c r="R10568" t="s">
        <v>42684</v>
      </c>
      <c r="S10568" t="s">
        <v>43215</v>
      </c>
      <c r="T10568" t="s">
        <v>44357</v>
      </c>
      <c r="U10568" t="s">
        <v>53433</v>
      </c>
      <c r="V10568" t="s">
        <v>57563</v>
      </c>
      <c r="W10568" t="s">
        <v>42047</v>
      </c>
      <c r="X10568" t="s">
        <v>42685</v>
      </c>
    </row>
    <row r="10569" spans="1:24">
      <c r="A10569">
        <f>HYPERLINK("https://www.philgeps.gov.ph/GEPSNONPILOT/Tender/SplashBidNoticeAbstractUI.aspx?menuIndex=3&amp;refID=7168231&amp;Result=3","7168231")</f>
        <v>0</v>
      </c>
      <c r="B10569" t="s">
        <v>3030</v>
      </c>
      <c r="C10569" t="s">
        <v>13625</v>
      </c>
      <c r="D10569" t="s">
        <v>17213</v>
      </c>
      <c r="E10569" t="s">
        <v>26276</v>
      </c>
      <c r="F10569" t="s">
        <v>29372</v>
      </c>
      <c r="G10569" t="s">
        <v>29380</v>
      </c>
      <c r="H10569" t="s">
        <v>29389</v>
      </c>
      <c r="I10569" t="s">
        <v>10408</v>
      </c>
      <c r="J10569" t="s">
        <v>36226</v>
      </c>
      <c r="K10569" t="s">
        <v>38522</v>
      </c>
      <c r="M10569" t="s">
        <v>42052</v>
      </c>
      <c r="N10569" t="s">
        <v>42669</v>
      </c>
      <c r="O10569" t="s">
        <v>42670</v>
      </c>
      <c r="Q10569">
        <v>4</v>
      </c>
      <c r="R10569" t="s">
        <v>42684</v>
      </c>
      <c r="S10569" t="s">
        <v>43216</v>
      </c>
      <c r="T10569" t="s">
        <v>44472</v>
      </c>
      <c r="U10569" t="s">
        <v>53434</v>
      </c>
      <c r="W10569" t="s">
        <v>42052</v>
      </c>
      <c r="X10569" t="s">
        <v>42685</v>
      </c>
    </row>
    <row r="10570" spans="1:24">
      <c r="A10570">
        <f>HYPERLINK("https://www.philgeps.gov.ph/GEPSNONPILOT/Tender/SplashBidNoticeAbstractUI.aspx?menuIndex=3&amp;refID=7168309&amp;Result=3","7168309")</f>
        <v>0</v>
      </c>
      <c r="B10570" t="s">
        <v>3031</v>
      </c>
      <c r="C10570" t="s">
        <v>4919</v>
      </c>
      <c r="D10570" t="s">
        <v>17172</v>
      </c>
      <c r="E10570" t="s">
        <v>19019</v>
      </c>
      <c r="F10570" t="s">
        <v>29372</v>
      </c>
      <c r="G10570" t="s">
        <v>29380</v>
      </c>
      <c r="H10570" t="s">
        <v>11048</v>
      </c>
      <c r="I10570" t="s">
        <v>4709</v>
      </c>
      <c r="J10570" t="s">
        <v>36227</v>
      </c>
      <c r="K10570" t="s">
        <v>38510</v>
      </c>
      <c r="M10570" t="s">
        <v>42053</v>
      </c>
      <c r="N10570" t="s">
        <v>42669</v>
      </c>
      <c r="O10570" t="s">
        <v>42670</v>
      </c>
      <c r="P10570">
        <v>0</v>
      </c>
      <c r="Q10570">
        <v>0</v>
      </c>
      <c r="R10570" t="s">
        <v>42684</v>
      </c>
      <c r="S10570" t="s">
        <v>43183</v>
      </c>
      <c r="T10570" t="s">
        <v>44357</v>
      </c>
      <c r="U10570" t="s">
        <v>53435</v>
      </c>
      <c r="W10570" t="s">
        <v>42053</v>
      </c>
      <c r="X10570" t="s">
        <v>42685</v>
      </c>
    </row>
    <row r="10571" spans="1:24">
      <c r="A10571">
        <f>HYPERLINK("https://www.philgeps.gov.ph/GEPSNONPILOT/Tender/SplashBidNoticeAbstractUI.aspx?menuIndex=3&amp;refID=7168232&amp;Result=3","7168232")</f>
        <v>0</v>
      </c>
      <c r="B10571" t="s">
        <v>2725</v>
      </c>
      <c r="C10571" t="s">
        <v>13626</v>
      </c>
      <c r="D10571" t="s">
        <v>17197</v>
      </c>
      <c r="E10571" t="s">
        <v>20078</v>
      </c>
      <c r="F10571" t="s">
        <v>29372</v>
      </c>
      <c r="G10571" t="s">
        <v>29380</v>
      </c>
      <c r="H10571" t="s">
        <v>11048</v>
      </c>
      <c r="I10571" t="s">
        <v>29417</v>
      </c>
      <c r="J10571" t="s">
        <v>30161</v>
      </c>
      <c r="K10571" t="s">
        <v>38496</v>
      </c>
      <c r="M10571" t="s">
        <v>41708</v>
      </c>
      <c r="N10571" t="s">
        <v>42669</v>
      </c>
      <c r="O10571" t="s">
        <v>42670</v>
      </c>
      <c r="P10571">
        <v>0</v>
      </c>
      <c r="Q10571">
        <v>7</v>
      </c>
      <c r="R10571" t="s">
        <v>42684</v>
      </c>
      <c r="S10571" t="s">
        <v>43183</v>
      </c>
      <c r="T10571" t="s">
        <v>44412</v>
      </c>
      <c r="U10571" t="s">
        <v>53436</v>
      </c>
      <c r="V10571" t="s">
        <v>57367</v>
      </c>
      <c r="W10571" t="s">
        <v>41708</v>
      </c>
      <c r="X10571" t="s">
        <v>42685</v>
      </c>
    </row>
    <row r="10572" spans="1:24">
      <c r="A10572">
        <f>HYPERLINK("https://www.philgeps.gov.ph/GEPSNONPILOT/Tender/SplashBidNoticeAbstractUI.aspx?menuIndex=3&amp;refID=7168229&amp;Result=3","7168229")</f>
        <v>0</v>
      </c>
      <c r="B10572" t="s">
        <v>946</v>
      </c>
      <c r="C10572" t="s">
        <v>13627</v>
      </c>
      <c r="D10572" t="s">
        <v>17141</v>
      </c>
      <c r="E10572" t="s">
        <v>13627</v>
      </c>
      <c r="F10572" t="s">
        <v>29372</v>
      </c>
      <c r="G10572" t="s">
        <v>29383</v>
      </c>
      <c r="H10572" t="s">
        <v>11048</v>
      </c>
      <c r="I10572" t="s">
        <v>29411</v>
      </c>
      <c r="J10572" t="s">
        <v>30149</v>
      </c>
      <c r="K10572" t="s">
        <v>38490</v>
      </c>
      <c r="M10572" t="s">
        <v>39742</v>
      </c>
      <c r="N10572" t="s">
        <v>42669</v>
      </c>
      <c r="O10572" t="s">
        <v>42670</v>
      </c>
      <c r="Q10572">
        <v>5</v>
      </c>
      <c r="R10572" t="s">
        <v>42684</v>
      </c>
      <c r="S10572" t="s">
        <v>43217</v>
      </c>
      <c r="T10572" t="s">
        <v>44417</v>
      </c>
      <c r="U10572" t="s">
        <v>53437</v>
      </c>
      <c r="W10572" t="s">
        <v>39742</v>
      </c>
      <c r="X10572" t="s">
        <v>42685</v>
      </c>
    </row>
    <row r="10573" spans="1:24">
      <c r="A10573">
        <f>HYPERLINK("https://www.philgeps.gov.ph/GEPSNONPILOT/Tender/SplashBidNoticeAbstractUI.aspx?menuIndex=3&amp;refID=7168435&amp;Result=3","7168435")</f>
        <v>0</v>
      </c>
      <c r="B10573" t="s">
        <v>3032</v>
      </c>
      <c r="C10573" t="s">
        <v>13628</v>
      </c>
      <c r="D10573" t="s">
        <v>17211</v>
      </c>
      <c r="E10573" t="s">
        <v>26277</v>
      </c>
      <c r="F10573" t="s">
        <v>29372</v>
      </c>
      <c r="G10573" t="s">
        <v>29380</v>
      </c>
      <c r="H10573" t="s">
        <v>11048</v>
      </c>
      <c r="I10573" t="s">
        <v>29437</v>
      </c>
      <c r="J10573" t="s">
        <v>30308</v>
      </c>
      <c r="K10573" t="s">
        <v>38487</v>
      </c>
      <c r="M10573" t="s">
        <v>42054</v>
      </c>
      <c r="N10573" t="s">
        <v>42669</v>
      </c>
      <c r="O10573" t="s">
        <v>42670</v>
      </c>
      <c r="P10573">
        <v>0</v>
      </c>
      <c r="Q10573">
        <v>0</v>
      </c>
      <c r="R10573" t="s">
        <v>42684</v>
      </c>
      <c r="S10573" t="s">
        <v>43183</v>
      </c>
      <c r="T10573" t="s">
        <v>44357</v>
      </c>
      <c r="U10573" t="s">
        <v>53438</v>
      </c>
      <c r="W10573" t="s">
        <v>42054</v>
      </c>
      <c r="X10573" t="s">
        <v>42685</v>
      </c>
    </row>
    <row r="10574" spans="1:24">
      <c r="A10574">
        <f>HYPERLINK("https://www.philgeps.gov.ph/GEPSNONPILOT/Tender/SplashBidNoticeAbstractUI.aspx?menuIndex=3&amp;refID=7168356&amp;Result=3","7168356")</f>
        <v>0</v>
      </c>
      <c r="B10574" t="s">
        <v>1565</v>
      </c>
      <c r="C10574" t="s">
        <v>13629</v>
      </c>
      <c r="D10574" t="s">
        <v>17156</v>
      </c>
      <c r="E10574" t="s">
        <v>26278</v>
      </c>
      <c r="F10574" t="s">
        <v>29372</v>
      </c>
      <c r="G10574" t="s">
        <v>29380</v>
      </c>
      <c r="H10574" t="s">
        <v>11048</v>
      </c>
      <c r="I10574" t="s">
        <v>4709</v>
      </c>
      <c r="J10574" t="s">
        <v>36228</v>
      </c>
      <c r="K10574" t="s">
        <v>38488</v>
      </c>
      <c r="M10574" t="s">
        <v>40415</v>
      </c>
      <c r="N10574" t="s">
        <v>42669</v>
      </c>
      <c r="O10574" t="s">
        <v>42670</v>
      </c>
      <c r="P10574">
        <v>0</v>
      </c>
      <c r="Q10574">
        <v>0</v>
      </c>
      <c r="R10574" t="s">
        <v>42684</v>
      </c>
      <c r="S10574" t="s">
        <v>43183</v>
      </c>
      <c r="T10574" t="s">
        <v>44361</v>
      </c>
      <c r="U10574" t="s">
        <v>48373</v>
      </c>
      <c r="W10574" t="s">
        <v>40415</v>
      </c>
      <c r="X10574" t="s">
        <v>42685</v>
      </c>
    </row>
    <row r="10575" spans="1:24">
      <c r="A10575">
        <f>HYPERLINK("https://www.philgeps.gov.ph/GEPSNONPILOT/Tender/SplashBidNoticeAbstractUI.aspx?menuIndex=3&amp;refID=7168427&amp;Result=3","7168427")</f>
        <v>0</v>
      </c>
      <c r="B10575" t="s">
        <v>2817</v>
      </c>
      <c r="C10575" t="s">
        <v>13630</v>
      </c>
      <c r="D10575" t="s">
        <v>17194</v>
      </c>
      <c r="E10575" t="s">
        <v>19225</v>
      </c>
      <c r="F10575" t="s">
        <v>29372</v>
      </c>
      <c r="G10575" t="s">
        <v>29380</v>
      </c>
      <c r="H10575" t="s">
        <v>11048</v>
      </c>
      <c r="I10575" t="s">
        <v>4709</v>
      </c>
      <c r="J10575" t="s">
        <v>36229</v>
      </c>
      <c r="K10575" t="s">
        <v>38485</v>
      </c>
      <c r="M10575" t="s">
        <v>41806</v>
      </c>
      <c r="N10575" t="s">
        <v>42669</v>
      </c>
      <c r="O10575" t="s">
        <v>42670</v>
      </c>
      <c r="P10575">
        <v>0</v>
      </c>
      <c r="Q10575">
        <v>0</v>
      </c>
      <c r="R10575" t="s">
        <v>42684</v>
      </c>
      <c r="S10575" t="s">
        <v>43183</v>
      </c>
      <c r="T10575" t="s">
        <v>44371</v>
      </c>
      <c r="U10575" t="s">
        <v>53439</v>
      </c>
      <c r="W10575" t="s">
        <v>41806</v>
      </c>
      <c r="X10575" t="s">
        <v>42685</v>
      </c>
    </row>
    <row r="10576" spans="1:24">
      <c r="A10576">
        <f>HYPERLINK("https://www.philgeps.gov.ph/GEPSNONPILOT/Tender/SplashBidNoticeAbstractUI.aspx?menuIndex=3&amp;refID=7168265&amp;Result=3","7168265")</f>
        <v>0</v>
      </c>
      <c r="B10576" t="s">
        <v>2817</v>
      </c>
      <c r="C10576" t="s">
        <v>13631</v>
      </c>
      <c r="D10576" t="s">
        <v>17194</v>
      </c>
      <c r="E10576" t="s">
        <v>17479</v>
      </c>
      <c r="F10576" t="s">
        <v>29372</v>
      </c>
      <c r="G10576" t="s">
        <v>29380</v>
      </c>
      <c r="H10576" t="s">
        <v>11048</v>
      </c>
      <c r="I10576" t="s">
        <v>4709</v>
      </c>
      <c r="J10576" t="s">
        <v>36230</v>
      </c>
      <c r="K10576" t="s">
        <v>38485</v>
      </c>
      <c r="M10576" t="s">
        <v>41806</v>
      </c>
      <c r="N10576" t="s">
        <v>42669</v>
      </c>
      <c r="O10576" t="s">
        <v>42670</v>
      </c>
      <c r="P10576">
        <v>0</v>
      </c>
      <c r="Q10576">
        <v>0</v>
      </c>
      <c r="R10576" t="s">
        <v>42684</v>
      </c>
      <c r="S10576" t="s">
        <v>43183</v>
      </c>
      <c r="T10576" t="s">
        <v>44371</v>
      </c>
      <c r="U10576" t="s">
        <v>53440</v>
      </c>
      <c r="W10576" t="s">
        <v>41806</v>
      </c>
      <c r="X10576" t="s">
        <v>42685</v>
      </c>
    </row>
    <row r="10577" spans="1:24">
      <c r="A10577">
        <f>HYPERLINK("https://www.philgeps.gov.ph/GEPSNONPILOT/Tender/SplashBidNoticeAbstractUI.aspx?menuIndex=3&amp;refID=7168424&amp;Result=3","7168424")</f>
        <v>0</v>
      </c>
      <c r="B10577" t="s">
        <v>3033</v>
      </c>
      <c r="C10577" t="s">
        <v>13632</v>
      </c>
      <c r="D10577" t="s">
        <v>17155</v>
      </c>
      <c r="E10577" t="s">
        <v>26279</v>
      </c>
      <c r="F10577" t="s">
        <v>29372</v>
      </c>
      <c r="G10577" t="s">
        <v>29380</v>
      </c>
      <c r="H10577" t="s">
        <v>11048</v>
      </c>
      <c r="I10577" t="s">
        <v>3695</v>
      </c>
      <c r="J10577" t="s">
        <v>29587</v>
      </c>
      <c r="K10577" t="s">
        <v>38488</v>
      </c>
      <c r="L10577" t="s">
        <v>3033</v>
      </c>
      <c r="M10577" t="s">
        <v>42055</v>
      </c>
      <c r="N10577" t="s">
        <v>42669</v>
      </c>
      <c r="O10577" t="s">
        <v>42670</v>
      </c>
      <c r="P10577">
        <v>0</v>
      </c>
      <c r="Q10577">
        <v>3</v>
      </c>
      <c r="R10577" t="s">
        <v>42684</v>
      </c>
      <c r="S10577" t="s">
        <v>43183</v>
      </c>
      <c r="T10577" t="s">
        <v>44375</v>
      </c>
      <c r="U10577" t="s">
        <v>53441</v>
      </c>
      <c r="V10577" t="s">
        <v>57565</v>
      </c>
      <c r="W10577" t="s">
        <v>42055</v>
      </c>
      <c r="X10577" t="s">
        <v>42685</v>
      </c>
    </row>
    <row r="10578" spans="1:24">
      <c r="A10578">
        <f>HYPERLINK("https://www.philgeps.gov.ph/GEPSNONPILOT/Tender/SplashBidNoticeAbstractUI.aspx?menuIndex=3&amp;refID=7168421&amp;Result=3","7168421")</f>
        <v>0</v>
      </c>
      <c r="B10578" t="s">
        <v>2024</v>
      </c>
      <c r="C10578" t="s">
        <v>13633</v>
      </c>
      <c r="D10578" t="s">
        <v>17173</v>
      </c>
      <c r="E10578" t="s">
        <v>26280</v>
      </c>
      <c r="F10578" t="s">
        <v>29372</v>
      </c>
      <c r="G10578" t="s">
        <v>29380</v>
      </c>
      <c r="H10578" t="s">
        <v>29389</v>
      </c>
      <c r="I10578" t="s">
        <v>10408</v>
      </c>
      <c r="J10578" t="s">
        <v>36231</v>
      </c>
      <c r="K10578" t="s">
        <v>38533</v>
      </c>
      <c r="M10578" t="s">
        <v>40918</v>
      </c>
      <c r="N10578" t="s">
        <v>42669</v>
      </c>
      <c r="O10578" t="s">
        <v>42670</v>
      </c>
      <c r="P10578">
        <v>0</v>
      </c>
      <c r="Q10578">
        <v>0</v>
      </c>
      <c r="R10578" t="s">
        <v>42684</v>
      </c>
      <c r="S10578" t="s">
        <v>43183</v>
      </c>
      <c r="T10578" t="s">
        <v>44568</v>
      </c>
      <c r="U10578" t="s">
        <v>53442</v>
      </c>
      <c r="W10578" t="s">
        <v>40918</v>
      </c>
      <c r="X10578" t="s">
        <v>42685</v>
      </c>
    </row>
    <row r="10579" spans="1:24">
      <c r="A10579">
        <f>HYPERLINK("https://www.philgeps.gov.ph/GEPSNONPILOT/Tender/SplashBidNoticeAbstractUI.aspx?menuIndex=3&amp;refID=7168418&amp;Result=3","7168418")</f>
        <v>0</v>
      </c>
      <c r="B10579" t="s">
        <v>1188</v>
      </c>
      <c r="C10579" t="s">
        <v>13634</v>
      </c>
      <c r="D10579" t="s">
        <v>17162</v>
      </c>
      <c r="E10579" t="s">
        <v>26281</v>
      </c>
      <c r="F10579" t="s">
        <v>29372</v>
      </c>
      <c r="G10579" t="s">
        <v>29380</v>
      </c>
      <c r="H10579" t="s">
        <v>29389</v>
      </c>
      <c r="I10579" t="s">
        <v>10408</v>
      </c>
      <c r="J10579" t="s">
        <v>36232</v>
      </c>
      <c r="K10579" t="s">
        <v>38490</v>
      </c>
      <c r="M10579" t="s">
        <v>40004</v>
      </c>
      <c r="N10579" t="s">
        <v>42669</v>
      </c>
      <c r="O10579" t="s">
        <v>42670</v>
      </c>
      <c r="P10579">
        <v>0</v>
      </c>
      <c r="Q10579">
        <v>1</v>
      </c>
      <c r="R10579" t="s">
        <v>42684</v>
      </c>
      <c r="S10579" t="s">
        <v>43183</v>
      </c>
      <c r="T10579" t="s">
        <v>44357</v>
      </c>
      <c r="U10579" t="s">
        <v>53443</v>
      </c>
      <c r="W10579" t="s">
        <v>58038</v>
      </c>
      <c r="X10579" t="s">
        <v>42685</v>
      </c>
    </row>
    <row r="10580" spans="1:24">
      <c r="A10580">
        <f>HYPERLINK("https://www.philgeps.gov.ph/GEPSNONPILOT/Tender/SplashBidNoticeAbstractUI.aspx?menuIndex=3&amp;refID=7168411&amp;Result=3","7168411")</f>
        <v>0</v>
      </c>
      <c r="B10580" t="s">
        <v>2967</v>
      </c>
      <c r="C10580" t="s">
        <v>13635</v>
      </c>
      <c r="D10580" t="s">
        <v>17180</v>
      </c>
      <c r="E10580" t="s">
        <v>17493</v>
      </c>
      <c r="F10580" t="s">
        <v>29372</v>
      </c>
      <c r="G10580" t="s">
        <v>29380</v>
      </c>
      <c r="H10580" t="s">
        <v>11048</v>
      </c>
      <c r="I10580" t="s">
        <v>4709</v>
      </c>
      <c r="J10580" t="s">
        <v>36233</v>
      </c>
      <c r="K10580" t="s">
        <v>38485</v>
      </c>
      <c r="L10580" t="s">
        <v>2967</v>
      </c>
      <c r="M10580" t="s">
        <v>41978</v>
      </c>
      <c r="N10580" t="s">
        <v>42669</v>
      </c>
      <c r="O10580" t="s">
        <v>42670</v>
      </c>
      <c r="P10580">
        <v>0</v>
      </c>
      <c r="Q10580">
        <v>49</v>
      </c>
      <c r="R10580" t="s">
        <v>42684</v>
      </c>
      <c r="S10580" t="s">
        <v>43183</v>
      </c>
      <c r="T10580" t="s">
        <v>44560</v>
      </c>
      <c r="U10580" t="s">
        <v>46036</v>
      </c>
      <c r="V10580" t="s">
        <v>57518</v>
      </c>
      <c r="W10580" t="s">
        <v>41978</v>
      </c>
      <c r="X10580" t="s">
        <v>42685</v>
      </c>
    </row>
    <row r="10581" spans="1:24">
      <c r="A10581">
        <f>HYPERLINK("https://www.philgeps.gov.ph/GEPSNONPILOT/Tender/SplashBidNoticeAbstractUI.aspx?menuIndex=3&amp;refID=7168409&amp;Result=3","7168409")</f>
        <v>0</v>
      </c>
      <c r="B10581" t="s">
        <v>2817</v>
      </c>
      <c r="C10581" t="s">
        <v>13631</v>
      </c>
      <c r="D10581" t="s">
        <v>17194</v>
      </c>
      <c r="E10581" t="s">
        <v>17730</v>
      </c>
      <c r="F10581" t="s">
        <v>29372</v>
      </c>
      <c r="G10581" t="s">
        <v>29380</v>
      </c>
      <c r="H10581" t="s">
        <v>11048</v>
      </c>
      <c r="I10581" t="s">
        <v>4709</v>
      </c>
      <c r="J10581" t="s">
        <v>36234</v>
      </c>
      <c r="K10581" t="s">
        <v>38485</v>
      </c>
      <c r="M10581" t="s">
        <v>41806</v>
      </c>
      <c r="N10581" t="s">
        <v>42669</v>
      </c>
      <c r="O10581" t="s">
        <v>42670</v>
      </c>
      <c r="P10581">
        <v>0</v>
      </c>
      <c r="Q10581">
        <v>0</v>
      </c>
      <c r="R10581" t="s">
        <v>42684</v>
      </c>
      <c r="S10581" t="s">
        <v>43183</v>
      </c>
      <c r="T10581" t="s">
        <v>44371</v>
      </c>
      <c r="U10581" t="s">
        <v>53444</v>
      </c>
      <c r="W10581" t="s">
        <v>41806</v>
      </c>
      <c r="X10581" t="s">
        <v>42685</v>
      </c>
    </row>
    <row r="10582" spans="1:24">
      <c r="A10582">
        <f>HYPERLINK("https://www.philgeps.gov.ph/GEPSNONPILOT/Tender/SplashBidNoticeAbstractUI.aspx?menuIndex=3&amp;refID=7168380&amp;Result=3","7168380")</f>
        <v>0</v>
      </c>
      <c r="B10582" t="s">
        <v>1447</v>
      </c>
      <c r="C10582" t="s">
        <v>13636</v>
      </c>
      <c r="D10582" t="s">
        <v>17182</v>
      </c>
      <c r="E10582" t="s">
        <v>26282</v>
      </c>
      <c r="F10582" t="s">
        <v>29372</v>
      </c>
      <c r="G10582" t="s">
        <v>29380</v>
      </c>
      <c r="H10582" t="s">
        <v>11048</v>
      </c>
      <c r="I10582" t="s">
        <v>29405</v>
      </c>
      <c r="J10582" t="s">
        <v>36235</v>
      </c>
      <c r="K10582" t="s">
        <v>38496</v>
      </c>
      <c r="M10582" t="s">
        <v>40288</v>
      </c>
      <c r="N10582" t="s">
        <v>42669</v>
      </c>
      <c r="O10582" t="s">
        <v>42670</v>
      </c>
      <c r="P10582">
        <v>0</v>
      </c>
      <c r="Q10582">
        <v>6</v>
      </c>
      <c r="R10582" t="s">
        <v>42684</v>
      </c>
      <c r="S10582" t="s">
        <v>43183</v>
      </c>
      <c r="T10582" t="s">
        <v>44444</v>
      </c>
      <c r="U10582" t="s">
        <v>53445</v>
      </c>
      <c r="V10582" t="s">
        <v>57566</v>
      </c>
      <c r="W10582" t="s">
        <v>40288</v>
      </c>
      <c r="X10582" t="s">
        <v>42685</v>
      </c>
    </row>
    <row r="10583" spans="1:24">
      <c r="A10583">
        <f>HYPERLINK("https://www.philgeps.gov.ph/GEPSNONPILOT/Tender/SplashBidNoticeAbstractUI.aspx?menuIndex=3&amp;refID=7168460&amp;Result=3","7168460")</f>
        <v>0</v>
      </c>
      <c r="B10583" t="s">
        <v>3034</v>
      </c>
      <c r="C10583" t="s">
        <v>13637</v>
      </c>
      <c r="D10583" t="s">
        <v>17183</v>
      </c>
      <c r="E10583" t="s">
        <v>26283</v>
      </c>
      <c r="F10583" t="s">
        <v>29372</v>
      </c>
      <c r="G10583" t="s">
        <v>29380</v>
      </c>
      <c r="H10583" t="s">
        <v>29389</v>
      </c>
      <c r="I10583" t="s">
        <v>10408</v>
      </c>
      <c r="J10583" t="s">
        <v>36236</v>
      </c>
      <c r="K10583" t="s">
        <v>38495</v>
      </c>
      <c r="M10583" t="s">
        <v>42056</v>
      </c>
      <c r="N10583" t="s">
        <v>42669</v>
      </c>
      <c r="O10583" t="s">
        <v>42670</v>
      </c>
      <c r="P10583">
        <v>0</v>
      </c>
      <c r="Q10583">
        <v>3</v>
      </c>
      <c r="R10583" t="s">
        <v>42684</v>
      </c>
      <c r="S10583" t="s">
        <v>43183</v>
      </c>
      <c r="T10583" t="s">
        <v>44412</v>
      </c>
      <c r="U10583" t="s">
        <v>53446</v>
      </c>
      <c r="V10583" t="s">
        <v>57567</v>
      </c>
      <c r="W10583" t="s">
        <v>42056</v>
      </c>
      <c r="X10583" t="s">
        <v>42685</v>
      </c>
    </row>
    <row r="10584" spans="1:24">
      <c r="A10584">
        <f>HYPERLINK("https://www.philgeps.gov.ph/GEPSNONPILOT/Tender/SplashBidNoticeAbstractUI.aspx?menuIndex=3&amp;refID=7168441&amp;Result=3","7168441")</f>
        <v>0</v>
      </c>
      <c r="B10584" t="s">
        <v>1160</v>
      </c>
      <c r="C10584" t="s">
        <v>6414</v>
      </c>
      <c r="D10584" t="s">
        <v>17211</v>
      </c>
      <c r="E10584" t="s">
        <v>19716</v>
      </c>
      <c r="F10584" t="s">
        <v>29372</v>
      </c>
      <c r="G10584" t="s">
        <v>29380</v>
      </c>
      <c r="H10584" t="s">
        <v>11048</v>
      </c>
      <c r="I10584" t="s">
        <v>4487</v>
      </c>
      <c r="J10584" t="s">
        <v>36237</v>
      </c>
      <c r="K10584" t="s">
        <v>38485</v>
      </c>
      <c r="M10584" t="s">
        <v>39974</v>
      </c>
      <c r="N10584" t="s">
        <v>42669</v>
      </c>
      <c r="O10584" t="s">
        <v>42670</v>
      </c>
      <c r="Q10584">
        <v>9</v>
      </c>
      <c r="R10584" t="s">
        <v>42684</v>
      </c>
      <c r="S10584" t="s">
        <v>43218</v>
      </c>
      <c r="T10584" t="s">
        <v>44527</v>
      </c>
      <c r="U10584" t="s">
        <v>53447</v>
      </c>
      <c r="W10584" t="s">
        <v>39974</v>
      </c>
      <c r="X10584" t="s">
        <v>42685</v>
      </c>
    </row>
    <row r="10585" spans="1:24">
      <c r="A10585">
        <f>HYPERLINK("https://www.philgeps.gov.ph/GEPSNONPILOT/Tender/SplashBidNoticeAbstractUI.aspx?menuIndex=3&amp;refID=7168345&amp;Result=3","7168345")</f>
        <v>0</v>
      </c>
      <c r="B10585" t="s">
        <v>1291</v>
      </c>
      <c r="C10585" t="s">
        <v>13638</v>
      </c>
      <c r="D10585" t="s">
        <v>17144</v>
      </c>
      <c r="E10585" t="s">
        <v>22379</v>
      </c>
      <c r="F10585" t="s">
        <v>29372</v>
      </c>
      <c r="G10585" t="s">
        <v>29380</v>
      </c>
      <c r="H10585" t="s">
        <v>11048</v>
      </c>
      <c r="I10585" t="s">
        <v>3839</v>
      </c>
      <c r="J10585" t="s">
        <v>30398</v>
      </c>
      <c r="K10585" t="s">
        <v>38488</v>
      </c>
      <c r="M10585" t="s">
        <v>40120</v>
      </c>
      <c r="N10585" t="s">
        <v>42669</v>
      </c>
      <c r="O10585" t="s">
        <v>42670</v>
      </c>
      <c r="Q10585">
        <v>14</v>
      </c>
      <c r="R10585" t="s">
        <v>42684</v>
      </c>
      <c r="S10585" t="s">
        <v>43219</v>
      </c>
      <c r="T10585" t="s">
        <v>44527</v>
      </c>
      <c r="U10585" t="s">
        <v>53448</v>
      </c>
      <c r="W10585" t="s">
        <v>40120</v>
      </c>
      <c r="X10585" t="s">
        <v>42685</v>
      </c>
    </row>
    <row r="10586" spans="1:24">
      <c r="A10586">
        <f>HYPERLINK("https://www.philgeps.gov.ph/GEPSNONPILOT/Tender/SplashBidNoticeAbstractUI.aspx?menuIndex=3&amp;refID=7168375&amp;Result=3","7168375")</f>
        <v>0</v>
      </c>
      <c r="B10586" t="s">
        <v>2248</v>
      </c>
      <c r="C10586" t="s">
        <v>13639</v>
      </c>
      <c r="D10586" t="s">
        <v>17154</v>
      </c>
      <c r="E10586" t="s">
        <v>26284</v>
      </c>
      <c r="F10586" t="s">
        <v>29372</v>
      </c>
      <c r="G10586" t="s">
        <v>29380</v>
      </c>
      <c r="H10586" t="s">
        <v>29389</v>
      </c>
      <c r="I10586" t="s">
        <v>10408</v>
      </c>
      <c r="J10586" t="s">
        <v>33438</v>
      </c>
      <c r="K10586" t="s">
        <v>38564</v>
      </c>
      <c r="M10586" t="s">
        <v>41166</v>
      </c>
      <c r="N10586" t="s">
        <v>42669</v>
      </c>
      <c r="O10586" t="s">
        <v>42670</v>
      </c>
      <c r="P10586">
        <v>0</v>
      </c>
      <c r="Q10586">
        <v>2</v>
      </c>
      <c r="R10586" t="s">
        <v>42684</v>
      </c>
      <c r="S10586" t="s">
        <v>43183</v>
      </c>
      <c r="T10586" t="s">
        <v>44371</v>
      </c>
      <c r="U10586" t="s">
        <v>44902</v>
      </c>
      <c r="W10586" t="s">
        <v>41166</v>
      </c>
      <c r="X10586" t="s">
        <v>42685</v>
      </c>
    </row>
    <row r="10587" spans="1:24">
      <c r="A10587">
        <f>HYPERLINK("https://www.philgeps.gov.ph/GEPSNONPILOT/Tender/SplashBidNoticeAbstractUI.aspx?menuIndex=3&amp;refID=7168367&amp;Result=3","7168367")</f>
        <v>0</v>
      </c>
      <c r="B10587" t="s">
        <v>2451</v>
      </c>
      <c r="C10587" t="s">
        <v>13640</v>
      </c>
      <c r="D10587" t="s">
        <v>17228</v>
      </c>
      <c r="E10587" t="s">
        <v>26285</v>
      </c>
      <c r="F10587" t="s">
        <v>29372</v>
      </c>
      <c r="G10587" t="s">
        <v>29380</v>
      </c>
      <c r="H10587" t="s">
        <v>29389</v>
      </c>
      <c r="I10587" t="s">
        <v>10408</v>
      </c>
      <c r="J10587" t="s">
        <v>29829</v>
      </c>
      <c r="K10587" t="s">
        <v>38490</v>
      </c>
      <c r="M10587" t="s">
        <v>41399</v>
      </c>
      <c r="N10587" t="s">
        <v>42669</v>
      </c>
      <c r="O10587" t="s">
        <v>42670</v>
      </c>
      <c r="P10587">
        <v>0</v>
      </c>
      <c r="Q10587">
        <v>1</v>
      </c>
      <c r="R10587" t="s">
        <v>42684</v>
      </c>
      <c r="S10587" t="s">
        <v>43183</v>
      </c>
      <c r="T10587" t="s">
        <v>44375</v>
      </c>
      <c r="U10587" t="s">
        <v>53377</v>
      </c>
      <c r="W10587" t="s">
        <v>41399</v>
      </c>
      <c r="X10587" t="s">
        <v>42685</v>
      </c>
    </row>
    <row r="10588" spans="1:24">
      <c r="A10588">
        <f>HYPERLINK("https://www.philgeps.gov.ph/GEPSNONPILOT/Tender/SplashBidNoticeAbstractUI.aspx?menuIndex=3&amp;refID=7167106&amp;Result=3","7167106")</f>
        <v>0</v>
      </c>
      <c r="B10588" t="s">
        <v>1791</v>
      </c>
      <c r="C10588" t="s">
        <v>13641</v>
      </c>
      <c r="D10588" t="s">
        <v>17202</v>
      </c>
      <c r="E10588" t="s">
        <v>21187</v>
      </c>
      <c r="F10588" t="s">
        <v>29372</v>
      </c>
      <c r="G10588" t="s">
        <v>29380</v>
      </c>
      <c r="H10588" t="s">
        <v>29389</v>
      </c>
      <c r="I10588" t="s">
        <v>4709</v>
      </c>
      <c r="J10588" t="s">
        <v>36238</v>
      </c>
      <c r="K10588" t="s">
        <v>38485</v>
      </c>
      <c r="M10588" t="s">
        <v>40662</v>
      </c>
      <c r="N10588" t="s">
        <v>42669</v>
      </c>
      <c r="O10588" t="s">
        <v>42670</v>
      </c>
      <c r="P10588">
        <v>0</v>
      </c>
      <c r="Q10588">
        <v>0</v>
      </c>
      <c r="R10588" t="s">
        <v>42684</v>
      </c>
      <c r="S10588" t="s">
        <v>43183</v>
      </c>
      <c r="T10588" t="s">
        <v>44488</v>
      </c>
      <c r="U10588" t="s">
        <v>53449</v>
      </c>
      <c r="W10588" t="s">
        <v>40662</v>
      </c>
      <c r="X10588" t="s">
        <v>42686</v>
      </c>
    </row>
    <row r="10589" spans="1:24">
      <c r="A10589">
        <f>HYPERLINK("https://www.philgeps.gov.ph/GEPSNONPILOT/Tender/SplashBidNoticeAbstractUI.aspx?menuIndex=3&amp;refID=7168454&amp;Result=3","7168454")</f>
        <v>0</v>
      </c>
      <c r="B10589" t="s">
        <v>3033</v>
      </c>
      <c r="C10589" t="s">
        <v>13642</v>
      </c>
      <c r="D10589" t="s">
        <v>17155</v>
      </c>
      <c r="E10589" t="s">
        <v>26286</v>
      </c>
      <c r="F10589" t="s">
        <v>29372</v>
      </c>
      <c r="G10589" t="s">
        <v>29380</v>
      </c>
      <c r="H10589" t="s">
        <v>11048</v>
      </c>
      <c r="I10589" t="s">
        <v>3695</v>
      </c>
      <c r="J10589" t="s">
        <v>36239</v>
      </c>
      <c r="K10589" t="s">
        <v>38488</v>
      </c>
      <c r="L10589" t="s">
        <v>3033</v>
      </c>
      <c r="M10589" t="s">
        <v>42055</v>
      </c>
      <c r="N10589" t="s">
        <v>42669</v>
      </c>
      <c r="O10589" t="s">
        <v>42670</v>
      </c>
      <c r="P10589">
        <v>0</v>
      </c>
      <c r="Q10589">
        <v>3</v>
      </c>
      <c r="R10589" t="s">
        <v>42684</v>
      </c>
      <c r="S10589" t="s">
        <v>43183</v>
      </c>
      <c r="T10589" t="s">
        <v>44375</v>
      </c>
      <c r="U10589" t="s">
        <v>53450</v>
      </c>
      <c r="V10589" t="s">
        <v>57568</v>
      </c>
      <c r="W10589" t="s">
        <v>42055</v>
      </c>
      <c r="X10589" t="s">
        <v>42685</v>
      </c>
    </row>
    <row r="10590" spans="1:24">
      <c r="A10590">
        <f>HYPERLINK("https://www.philgeps.gov.ph/GEPSNONPILOT/Tender/SplashBidNoticeAbstractUI.aspx?menuIndex=3&amp;refID=7168452&amp;Result=3","7168452")</f>
        <v>0</v>
      </c>
      <c r="B10590" t="s">
        <v>2451</v>
      </c>
      <c r="C10590" t="s">
        <v>13643</v>
      </c>
      <c r="D10590" t="s">
        <v>17228</v>
      </c>
      <c r="E10590" t="s">
        <v>26287</v>
      </c>
      <c r="F10590" t="s">
        <v>29372</v>
      </c>
      <c r="G10590" t="s">
        <v>29380</v>
      </c>
      <c r="H10590" t="s">
        <v>29389</v>
      </c>
      <c r="I10590" t="s">
        <v>10408</v>
      </c>
      <c r="J10590" t="s">
        <v>30056</v>
      </c>
      <c r="K10590" t="s">
        <v>38490</v>
      </c>
      <c r="M10590" t="s">
        <v>41399</v>
      </c>
      <c r="N10590" t="s">
        <v>42669</v>
      </c>
      <c r="O10590" t="s">
        <v>42670</v>
      </c>
      <c r="P10590">
        <v>0</v>
      </c>
      <c r="Q10590">
        <v>1</v>
      </c>
      <c r="R10590" t="s">
        <v>42684</v>
      </c>
      <c r="S10590" t="s">
        <v>43183</v>
      </c>
      <c r="T10590" t="s">
        <v>44375</v>
      </c>
      <c r="U10590" t="s">
        <v>53377</v>
      </c>
      <c r="W10590" t="s">
        <v>41399</v>
      </c>
      <c r="X10590" t="s">
        <v>42685</v>
      </c>
    </row>
    <row r="10591" spans="1:24">
      <c r="A10591">
        <f>HYPERLINK("https://www.philgeps.gov.ph/GEPSNONPILOT/Tender/SplashBidNoticeAbstractUI.aspx?menuIndex=3&amp;refID=7168461&amp;Result=3","7168461")</f>
        <v>0</v>
      </c>
      <c r="B10591" t="s">
        <v>2817</v>
      </c>
      <c r="C10591" t="s">
        <v>13630</v>
      </c>
      <c r="D10591" t="s">
        <v>17194</v>
      </c>
      <c r="E10591" t="s">
        <v>19316</v>
      </c>
      <c r="F10591" t="s">
        <v>29372</v>
      </c>
      <c r="G10591" t="s">
        <v>29380</v>
      </c>
      <c r="H10591" t="s">
        <v>11048</v>
      </c>
      <c r="I10591" t="s">
        <v>4709</v>
      </c>
      <c r="J10591" t="s">
        <v>36240</v>
      </c>
      <c r="K10591" t="s">
        <v>38485</v>
      </c>
      <c r="M10591" t="s">
        <v>41806</v>
      </c>
      <c r="N10591" t="s">
        <v>42669</v>
      </c>
      <c r="O10591" t="s">
        <v>42670</v>
      </c>
      <c r="P10591">
        <v>0</v>
      </c>
      <c r="Q10591">
        <v>0</v>
      </c>
      <c r="R10591" t="s">
        <v>42684</v>
      </c>
      <c r="S10591" t="s">
        <v>43183</v>
      </c>
      <c r="T10591" t="s">
        <v>44371</v>
      </c>
      <c r="U10591" t="s">
        <v>53451</v>
      </c>
      <c r="W10591" t="s">
        <v>41806</v>
      </c>
      <c r="X10591" t="s">
        <v>42685</v>
      </c>
    </row>
    <row r="10592" spans="1:24">
      <c r="A10592">
        <f>HYPERLINK("https://www.philgeps.gov.ph/GEPSNONPILOT/Tender/SplashBidNoticeAbstractUI.aspx?menuIndex=3&amp;refID=7168503&amp;Result=3","7168503")</f>
        <v>0</v>
      </c>
      <c r="B10592" t="s">
        <v>2216</v>
      </c>
      <c r="C10592" t="s">
        <v>13644</v>
      </c>
      <c r="D10592" t="s">
        <v>17144</v>
      </c>
      <c r="E10592" t="s">
        <v>26288</v>
      </c>
      <c r="F10592" t="s">
        <v>29372</v>
      </c>
      <c r="G10592" t="s">
        <v>29380</v>
      </c>
      <c r="H10592" t="s">
        <v>29389</v>
      </c>
      <c r="I10592" t="s">
        <v>10408</v>
      </c>
      <c r="J10592" t="s">
        <v>36241</v>
      </c>
      <c r="K10592" t="s">
        <v>38617</v>
      </c>
      <c r="M10592" t="s">
        <v>41133</v>
      </c>
      <c r="N10592" t="s">
        <v>42669</v>
      </c>
      <c r="O10592" t="s">
        <v>42670</v>
      </c>
      <c r="P10592">
        <v>0</v>
      </c>
      <c r="Q10592">
        <v>1</v>
      </c>
      <c r="R10592" t="s">
        <v>42684</v>
      </c>
      <c r="S10592" t="s">
        <v>43183</v>
      </c>
      <c r="T10592" t="s">
        <v>44375</v>
      </c>
      <c r="U10592" t="s">
        <v>53452</v>
      </c>
      <c r="V10592" t="s">
        <v>57092</v>
      </c>
      <c r="W10592" t="s">
        <v>41133</v>
      </c>
      <c r="X10592" t="s">
        <v>42685</v>
      </c>
    </row>
    <row r="10593" spans="1:24">
      <c r="A10593">
        <f>HYPERLINK("https://www.philgeps.gov.ph/GEPSNONPILOT/Tender/SplashBidNoticeAbstractUI.aspx?menuIndex=3&amp;refID=7168524&amp;Result=3","7168524")</f>
        <v>0</v>
      </c>
      <c r="B10593" t="s">
        <v>129</v>
      </c>
      <c r="C10593" t="s">
        <v>13645</v>
      </c>
      <c r="E10593" t="s">
        <v>26289</v>
      </c>
      <c r="F10593" t="s">
        <v>29372</v>
      </c>
      <c r="G10593" t="s">
        <v>29380</v>
      </c>
      <c r="H10593" t="s">
        <v>11048</v>
      </c>
      <c r="I10593" t="s">
        <v>29433</v>
      </c>
      <c r="J10593" t="s">
        <v>36242</v>
      </c>
      <c r="K10593" t="s">
        <v>38490</v>
      </c>
      <c r="M10593" t="s">
        <v>38884</v>
      </c>
      <c r="N10593" t="s">
        <v>42669</v>
      </c>
      <c r="O10593" t="s">
        <v>42670</v>
      </c>
      <c r="P10593">
        <v>0</v>
      </c>
      <c r="Q10593">
        <v>19</v>
      </c>
      <c r="R10593" t="s">
        <v>42684</v>
      </c>
      <c r="S10593" t="s">
        <v>43183</v>
      </c>
      <c r="T10593" t="s">
        <v>44364</v>
      </c>
      <c r="U10593" t="s">
        <v>53453</v>
      </c>
      <c r="V10593" t="s">
        <v>57569</v>
      </c>
      <c r="W10593" t="s">
        <v>38884</v>
      </c>
      <c r="X10593" t="s">
        <v>42685</v>
      </c>
    </row>
    <row r="10594" spans="1:24">
      <c r="A10594">
        <f>HYPERLINK("https://www.philgeps.gov.ph/GEPSNONPILOT/Tender/SplashBidNoticeAbstractUI.aspx?menuIndex=3&amp;refID=7168434&amp;Result=3","7168434")</f>
        <v>0</v>
      </c>
      <c r="B10594" t="s">
        <v>2248</v>
      </c>
      <c r="C10594" t="s">
        <v>13646</v>
      </c>
      <c r="D10594" t="s">
        <v>17154</v>
      </c>
      <c r="E10594" t="s">
        <v>26290</v>
      </c>
      <c r="F10594" t="s">
        <v>29372</v>
      </c>
      <c r="G10594" t="s">
        <v>29380</v>
      </c>
      <c r="H10594" t="s">
        <v>29389</v>
      </c>
      <c r="I10594" t="s">
        <v>10408</v>
      </c>
      <c r="J10594" t="s">
        <v>30845</v>
      </c>
      <c r="K10594" t="s">
        <v>38564</v>
      </c>
      <c r="M10594" t="s">
        <v>41166</v>
      </c>
      <c r="N10594" t="s">
        <v>42669</v>
      </c>
      <c r="O10594" t="s">
        <v>42670</v>
      </c>
      <c r="P10594">
        <v>0</v>
      </c>
      <c r="Q10594">
        <v>2</v>
      </c>
      <c r="R10594" t="s">
        <v>42684</v>
      </c>
      <c r="S10594" t="s">
        <v>43183</v>
      </c>
      <c r="T10594" t="s">
        <v>44371</v>
      </c>
      <c r="U10594" t="s">
        <v>44902</v>
      </c>
      <c r="W10594" t="s">
        <v>41166</v>
      </c>
      <c r="X10594" t="s">
        <v>42685</v>
      </c>
    </row>
    <row r="10595" spans="1:24">
      <c r="A10595">
        <f>HYPERLINK("https://www.philgeps.gov.ph/GEPSNONPILOT/Tender/SplashBidNoticeAbstractUI.aspx?menuIndex=3&amp;refID=7168496&amp;Result=3","7168496")</f>
        <v>0</v>
      </c>
      <c r="B10595" t="s">
        <v>2248</v>
      </c>
      <c r="C10595" t="s">
        <v>13647</v>
      </c>
      <c r="D10595" t="s">
        <v>17154</v>
      </c>
      <c r="E10595" t="s">
        <v>26291</v>
      </c>
      <c r="F10595" t="s">
        <v>29372</v>
      </c>
      <c r="G10595" t="s">
        <v>29380</v>
      </c>
      <c r="H10595" t="s">
        <v>29389</v>
      </c>
      <c r="I10595" t="s">
        <v>10408</v>
      </c>
      <c r="J10595" t="s">
        <v>29829</v>
      </c>
      <c r="K10595" t="s">
        <v>38564</v>
      </c>
      <c r="M10595" t="s">
        <v>41166</v>
      </c>
      <c r="N10595" t="s">
        <v>42669</v>
      </c>
      <c r="O10595" t="s">
        <v>42670</v>
      </c>
      <c r="Q10595">
        <v>1</v>
      </c>
      <c r="R10595" t="s">
        <v>42684</v>
      </c>
      <c r="S10595" t="s">
        <v>43220</v>
      </c>
      <c r="T10595" t="s">
        <v>44371</v>
      </c>
      <c r="U10595" t="s">
        <v>53454</v>
      </c>
      <c r="W10595" t="s">
        <v>41166</v>
      </c>
      <c r="X10595" t="s">
        <v>42685</v>
      </c>
    </row>
    <row r="10596" spans="1:24">
      <c r="A10596">
        <f>HYPERLINK("https://www.philgeps.gov.ph/GEPSNONPILOT/Tender/SplashBidNoticeAbstractUI.aspx?menuIndex=3&amp;refID=7168509&amp;Result=3","7168509")</f>
        <v>0</v>
      </c>
      <c r="B10596" t="s">
        <v>1160</v>
      </c>
      <c r="C10596" t="s">
        <v>13648</v>
      </c>
      <c r="D10596" t="s">
        <v>17211</v>
      </c>
      <c r="E10596" t="s">
        <v>20412</v>
      </c>
      <c r="F10596" t="s">
        <v>29372</v>
      </c>
      <c r="G10596" t="s">
        <v>29380</v>
      </c>
      <c r="H10596" t="s">
        <v>11048</v>
      </c>
      <c r="I10596" t="s">
        <v>29479</v>
      </c>
      <c r="J10596" t="s">
        <v>33810</v>
      </c>
      <c r="K10596" t="s">
        <v>38485</v>
      </c>
      <c r="M10596" t="s">
        <v>39974</v>
      </c>
      <c r="N10596" t="s">
        <v>42669</v>
      </c>
      <c r="O10596" t="s">
        <v>42670</v>
      </c>
      <c r="Q10596">
        <v>9</v>
      </c>
      <c r="R10596" t="s">
        <v>42684</v>
      </c>
      <c r="S10596" t="s">
        <v>43221</v>
      </c>
      <c r="T10596" t="s">
        <v>44541</v>
      </c>
      <c r="U10596" t="s">
        <v>53455</v>
      </c>
      <c r="W10596" t="s">
        <v>39974</v>
      </c>
      <c r="X10596" t="s">
        <v>42685</v>
      </c>
    </row>
    <row r="10597" spans="1:24">
      <c r="A10597">
        <f>HYPERLINK("https://www.philgeps.gov.ph/GEPSNONPILOT/Tender/SplashBidNoticeAbstractUI.aspx?menuIndex=3&amp;refID=7168493&amp;Result=3","7168493")</f>
        <v>0</v>
      </c>
      <c r="B10597" t="s">
        <v>3035</v>
      </c>
      <c r="C10597" t="s">
        <v>13649</v>
      </c>
      <c r="E10597" t="s">
        <v>26292</v>
      </c>
      <c r="F10597" t="s">
        <v>29375</v>
      </c>
      <c r="G10597" t="s">
        <v>29380</v>
      </c>
      <c r="H10597" t="s">
        <v>11048</v>
      </c>
      <c r="I10597" t="s">
        <v>29404</v>
      </c>
      <c r="J10597" t="s">
        <v>29555</v>
      </c>
      <c r="K10597" t="s">
        <v>38491</v>
      </c>
      <c r="M10597" t="s">
        <v>42057</v>
      </c>
      <c r="N10597" t="s">
        <v>42669</v>
      </c>
      <c r="O10597" t="s">
        <v>42670</v>
      </c>
      <c r="P10597">
        <v>0</v>
      </c>
      <c r="Q10597">
        <v>0</v>
      </c>
      <c r="R10597" t="s">
        <v>42684</v>
      </c>
      <c r="S10597" t="s">
        <v>43183</v>
      </c>
      <c r="T10597" t="s">
        <v>44702</v>
      </c>
      <c r="U10597" t="s">
        <v>53456</v>
      </c>
      <c r="W10597" t="s">
        <v>42057</v>
      </c>
      <c r="X10597" t="s">
        <v>42685</v>
      </c>
    </row>
    <row r="10598" spans="1:24">
      <c r="A10598">
        <f>HYPERLINK("https://www.philgeps.gov.ph/GEPSNONPILOT/Tender/SplashBidNoticeAbstractUI.aspx?menuIndex=3&amp;refID=7168445&amp;Result=3","7168445")</f>
        <v>0</v>
      </c>
      <c r="B10598" t="s">
        <v>2967</v>
      </c>
      <c r="C10598" t="s">
        <v>13650</v>
      </c>
      <c r="D10598" t="s">
        <v>17180</v>
      </c>
      <c r="E10598" t="s">
        <v>18590</v>
      </c>
      <c r="F10598" t="s">
        <v>29372</v>
      </c>
      <c r="G10598" t="s">
        <v>29380</v>
      </c>
      <c r="H10598" t="s">
        <v>11048</v>
      </c>
      <c r="I10598" t="s">
        <v>4709</v>
      </c>
      <c r="J10598" t="s">
        <v>36243</v>
      </c>
      <c r="K10598" t="s">
        <v>38485</v>
      </c>
      <c r="L10598" t="s">
        <v>2967</v>
      </c>
      <c r="M10598" t="s">
        <v>41978</v>
      </c>
      <c r="N10598" t="s">
        <v>42669</v>
      </c>
      <c r="O10598" t="s">
        <v>42670</v>
      </c>
      <c r="P10598">
        <v>0</v>
      </c>
      <c r="Q10598">
        <v>46</v>
      </c>
      <c r="R10598" t="s">
        <v>42684</v>
      </c>
      <c r="S10598" t="s">
        <v>43183</v>
      </c>
      <c r="T10598" t="s">
        <v>44434</v>
      </c>
      <c r="U10598" t="s">
        <v>46036</v>
      </c>
      <c r="V10598" t="s">
        <v>57518</v>
      </c>
      <c r="W10598" t="s">
        <v>41978</v>
      </c>
      <c r="X10598" t="s">
        <v>42685</v>
      </c>
    </row>
    <row r="10599" spans="1:24">
      <c r="A10599">
        <f>HYPERLINK("https://www.philgeps.gov.ph/GEPSNONPILOT/Tender/SplashBidNoticeAbstractUI.aspx?menuIndex=3&amp;refID=7168577&amp;Result=3","7168577")</f>
        <v>0</v>
      </c>
      <c r="B10599" t="s">
        <v>2248</v>
      </c>
      <c r="C10599" t="s">
        <v>13651</v>
      </c>
      <c r="D10599" t="s">
        <v>17154</v>
      </c>
      <c r="E10599" t="s">
        <v>26293</v>
      </c>
      <c r="F10599" t="s">
        <v>29372</v>
      </c>
      <c r="G10599" t="s">
        <v>29380</v>
      </c>
      <c r="H10599" t="s">
        <v>29389</v>
      </c>
      <c r="I10599" t="s">
        <v>10408</v>
      </c>
      <c r="J10599" t="s">
        <v>36244</v>
      </c>
      <c r="K10599" t="s">
        <v>38520</v>
      </c>
      <c r="M10599" t="s">
        <v>41166</v>
      </c>
      <c r="N10599" t="s">
        <v>42669</v>
      </c>
      <c r="O10599" t="s">
        <v>42670</v>
      </c>
      <c r="Q10599">
        <v>9</v>
      </c>
      <c r="R10599" t="s">
        <v>42684</v>
      </c>
      <c r="S10599" t="s">
        <v>43222</v>
      </c>
      <c r="T10599" t="s">
        <v>44371</v>
      </c>
      <c r="U10599" t="s">
        <v>53457</v>
      </c>
      <c r="W10599" t="s">
        <v>41166</v>
      </c>
      <c r="X10599" t="s">
        <v>42685</v>
      </c>
    </row>
    <row r="10600" spans="1:24">
      <c r="A10600">
        <f>HYPERLINK("https://www.philgeps.gov.ph/GEPSNONPILOT/Tender/SplashBidNoticeAbstractUI.aspx?menuIndex=3&amp;refID=7168558&amp;Result=3","7168558")</f>
        <v>0</v>
      </c>
      <c r="B10600" t="s">
        <v>1565</v>
      </c>
      <c r="C10600" t="s">
        <v>13652</v>
      </c>
      <c r="D10600" t="s">
        <v>17156</v>
      </c>
      <c r="E10600" t="s">
        <v>21600</v>
      </c>
      <c r="F10600" t="s">
        <v>29372</v>
      </c>
      <c r="G10600" t="s">
        <v>29380</v>
      </c>
      <c r="H10600" t="s">
        <v>11048</v>
      </c>
      <c r="I10600" t="s">
        <v>4709</v>
      </c>
      <c r="J10600" t="s">
        <v>36245</v>
      </c>
      <c r="K10600" t="s">
        <v>38488</v>
      </c>
      <c r="M10600" t="s">
        <v>40415</v>
      </c>
      <c r="N10600" t="s">
        <v>42669</v>
      </c>
      <c r="O10600" t="s">
        <v>42670</v>
      </c>
      <c r="P10600">
        <v>0</v>
      </c>
      <c r="Q10600">
        <v>1</v>
      </c>
      <c r="R10600" t="s">
        <v>42684</v>
      </c>
      <c r="S10600" t="s">
        <v>43183</v>
      </c>
      <c r="T10600" t="s">
        <v>44361</v>
      </c>
      <c r="U10600" t="s">
        <v>48373</v>
      </c>
      <c r="W10600" t="s">
        <v>40415</v>
      </c>
      <c r="X10600" t="s">
        <v>42685</v>
      </c>
    </row>
    <row r="10601" spans="1:24">
      <c r="A10601">
        <f>HYPERLINK("https://www.philgeps.gov.ph/GEPSNONPILOT/Tender/SplashBidNoticeAbstractUI.aspx?menuIndex=3&amp;refID=7168511&amp;Result=3","7168511")</f>
        <v>0</v>
      </c>
      <c r="B10601" t="s">
        <v>2898</v>
      </c>
      <c r="C10601" t="s">
        <v>13653</v>
      </c>
      <c r="D10601" t="s">
        <v>17186</v>
      </c>
      <c r="E10601" t="s">
        <v>26294</v>
      </c>
      <c r="F10601" t="s">
        <v>29372</v>
      </c>
      <c r="G10601" t="s">
        <v>29380</v>
      </c>
      <c r="H10601" t="s">
        <v>11048</v>
      </c>
      <c r="I10601" t="s">
        <v>29407</v>
      </c>
      <c r="J10601" t="s">
        <v>29789</v>
      </c>
      <c r="K10601" t="s">
        <v>38538</v>
      </c>
      <c r="M10601" t="s">
        <v>41896</v>
      </c>
      <c r="N10601" t="s">
        <v>42669</v>
      </c>
      <c r="O10601" t="s">
        <v>42670</v>
      </c>
      <c r="P10601">
        <v>0</v>
      </c>
      <c r="Q10601">
        <v>42</v>
      </c>
      <c r="R10601" t="s">
        <v>42684</v>
      </c>
      <c r="S10601" t="s">
        <v>43183</v>
      </c>
      <c r="T10601" t="s">
        <v>44357</v>
      </c>
      <c r="U10601" t="s">
        <v>53458</v>
      </c>
      <c r="W10601" t="s">
        <v>58102</v>
      </c>
      <c r="X10601" t="s">
        <v>42685</v>
      </c>
    </row>
    <row r="10602" spans="1:24">
      <c r="A10602">
        <f>HYPERLINK("https://www.philgeps.gov.ph/GEPSNONPILOT/Tender/SplashBidNoticeAbstractUI.aspx?menuIndex=3&amp;refID=7168541&amp;Result=3","7168541")</f>
        <v>0</v>
      </c>
      <c r="B10602" t="s">
        <v>1927</v>
      </c>
      <c r="C10602" t="s">
        <v>13654</v>
      </c>
      <c r="D10602" t="s">
        <v>17231</v>
      </c>
      <c r="E10602" t="s">
        <v>26295</v>
      </c>
      <c r="F10602" t="s">
        <v>29372</v>
      </c>
      <c r="G10602" t="s">
        <v>29380</v>
      </c>
      <c r="H10602" t="s">
        <v>29389</v>
      </c>
      <c r="I10602" t="s">
        <v>10408</v>
      </c>
      <c r="J10602" t="s">
        <v>36246</v>
      </c>
      <c r="K10602" t="s">
        <v>38719</v>
      </c>
      <c r="M10602" t="s">
        <v>40804</v>
      </c>
      <c r="N10602" t="s">
        <v>42669</v>
      </c>
      <c r="O10602" t="s">
        <v>42670</v>
      </c>
      <c r="P10602">
        <v>0</v>
      </c>
      <c r="Q10602">
        <v>0</v>
      </c>
      <c r="R10602" t="s">
        <v>42684</v>
      </c>
      <c r="S10602" t="s">
        <v>43183</v>
      </c>
      <c r="T10602" t="s">
        <v>44481</v>
      </c>
      <c r="U10602" t="s">
        <v>53459</v>
      </c>
      <c r="W10602" t="s">
        <v>40804</v>
      </c>
      <c r="X10602" t="s">
        <v>42685</v>
      </c>
    </row>
    <row r="10603" spans="1:24">
      <c r="A10603">
        <f>HYPERLINK("https://www.philgeps.gov.ph/GEPSNONPILOT/Tender/SplashBidNoticeAbstractUI.aspx?menuIndex=3&amp;refID=7168437&amp;Result=3","7168437")</f>
        <v>0</v>
      </c>
      <c r="B10603" t="s">
        <v>1447</v>
      </c>
      <c r="C10603" t="s">
        <v>13655</v>
      </c>
      <c r="D10603" t="s">
        <v>17182</v>
      </c>
      <c r="E10603" t="s">
        <v>26296</v>
      </c>
      <c r="F10603" t="s">
        <v>29372</v>
      </c>
      <c r="G10603" t="s">
        <v>29380</v>
      </c>
      <c r="H10603" t="s">
        <v>11048</v>
      </c>
      <c r="I10603" t="s">
        <v>29405</v>
      </c>
      <c r="J10603" t="s">
        <v>36247</v>
      </c>
      <c r="K10603" t="s">
        <v>38496</v>
      </c>
      <c r="M10603" t="s">
        <v>40288</v>
      </c>
      <c r="N10603" t="s">
        <v>42669</v>
      </c>
      <c r="O10603" t="s">
        <v>42670</v>
      </c>
      <c r="P10603">
        <v>0</v>
      </c>
      <c r="Q10603">
        <v>4</v>
      </c>
      <c r="R10603" t="s">
        <v>42684</v>
      </c>
      <c r="S10603" t="s">
        <v>43183</v>
      </c>
      <c r="T10603" t="s">
        <v>44444</v>
      </c>
      <c r="U10603" t="s">
        <v>53460</v>
      </c>
      <c r="V10603" t="s">
        <v>57570</v>
      </c>
      <c r="W10603" t="s">
        <v>40288</v>
      </c>
      <c r="X10603" t="s">
        <v>42685</v>
      </c>
    </row>
    <row r="10604" spans="1:24">
      <c r="A10604">
        <f>HYPERLINK("https://www.philgeps.gov.ph/GEPSNONPILOT/Tender/SplashBidNoticeAbstractUI.aspx?menuIndex=3&amp;refID=7168534&amp;Result=3","7168534")</f>
        <v>0</v>
      </c>
      <c r="B10604" t="s">
        <v>2451</v>
      </c>
      <c r="C10604" t="s">
        <v>13656</v>
      </c>
      <c r="D10604" t="s">
        <v>17228</v>
      </c>
      <c r="E10604" t="s">
        <v>26297</v>
      </c>
      <c r="F10604" t="s">
        <v>29372</v>
      </c>
      <c r="G10604" t="s">
        <v>29380</v>
      </c>
      <c r="H10604" t="s">
        <v>29389</v>
      </c>
      <c r="I10604" t="s">
        <v>10408</v>
      </c>
      <c r="J10604" t="s">
        <v>29788</v>
      </c>
      <c r="K10604" t="s">
        <v>38490</v>
      </c>
      <c r="M10604" t="s">
        <v>41399</v>
      </c>
      <c r="N10604" t="s">
        <v>42669</v>
      </c>
      <c r="O10604" t="s">
        <v>42670</v>
      </c>
      <c r="P10604">
        <v>0</v>
      </c>
      <c r="Q10604">
        <v>1</v>
      </c>
      <c r="R10604" t="s">
        <v>42684</v>
      </c>
      <c r="S10604" t="s">
        <v>43183</v>
      </c>
      <c r="T10604" t="s">
        <v>44375</v>
      </c>
      <c r="U10604" t="s">
        <v>53377</v>
      </c>
      <c r="W10604" t="s">
        <v>41399</v>
      </c>
      <c r="X10604" t="s">
        <v>42685</v>
      </c>
    </row>
    <row r="10605" spans="1:24">
      <c r="A10605">
        <f>HYPERLINK("https://www.philgeps.gov.ph/GEPSNONPILOT/Tender/SplashBidNoticeAbstractUI.aspx?menuIndex=3&amp;refID=7168495&amp;Result=3","7168495")</f>
        <v>0</v>
      </c>
      <c r="B10605" t="s">
        <v>1565</v>
      </c>
      <c r="C10605" t="s">
        <v>13657</v>
      </c>
      <c r="D10605" t="s">
        <v>17156</v>
      </c>
      <c r="E10605" t="s">
        <v>21559</v>
      </c>
      <c r="F10605" t="s">
        <v>29372</v>
      </c>
      <c r="G10605" t="s">
        <v>29380</v>
      </c>
      <c r="H10605" t="s">
        <v>11048</v>
      </c>
      <c r="I10605" t="s">
        <v>4709</v>
      </c>
      <c r="J10605" t="s">
        <v>36248</v>
      </c>
      <c r="K10605" t="s">
        <v>38488</v>
      </c>
      <c r="M10605" t="s">
        <v>40415</v>
      </c>
      <c r="N10605" t="s">
        <v>42669</v>
      </c>
      <c r="O10605" t="s">
        <v>42670</v>
      </c>
      <c r="P10605">
        <v>0</v>
      </c>
      <c r="Q10605">
        <v>1</v>
      </c>
      <c r="R10605" t="s">
        <v>42684</v>
      </c>
      <c r="S10605" t="s">
        <v>43183</v>
      </c>
      <c r="T10605" t="s">
        <v>44361</v>
      </c>
      <c r="U10605" t="s">
        <v>48373</v>
      </c>
      <c r="W10605" t="s">
        <v>40415</v>
      </c>
      <c r="X10605" t="s">
        <v>42685</v>
      </c>
    </row>
    <row r="10606" spans="1:24">
      <c r="A10606">
        <f>HYPERLINK("https://www.philgeps.gov.ph/GEPSNONPILOT/Tender/SplashBidNoticeAbstractUI.aspx?menuIndex=3&amp;refID=7168532&amp;Result=3","7168532")</f>
        <v>0</v>
      </c>
      <c r="B10606" t="s">
        <v>1291</v>
      </c>
      <c r="C10606" t="s">
        <v>13658</v>
      </c>
      <c r="D10606" t="s">
        <v>17144</v>
      </c>
      <c r="E10606" t="s">
        <v>26298</v>
      </c>
      <c r="F10606" t="s">
        <v>29372</v>
      </c>
      <c r="G10606" t="s">
        <v>29380</v>
      </c>
      <c r="H10606" t="s">
        <v>11048</v>
      </c>
      <c r="I10606" t="s">
        <v>4487</v>
      </c>
      <c r="J10606" t="s">
        <v>36249</v>
      </c>
      <c r="K10606" t="s">
        <v>38488</v>
      </c>
      <c r="M10606" t="s">
        <v>40120</v>
      </c>
      <c r="N10606" t="s">
        <v>42669</v>
      </c>
      <c r="O10606" t="s">
        <v>42670</v>
      </c>
      <c r="Q10606">
        <v>7</v>
      </c>
      <c r="R10606" t="s">
        <v>42684</v>
      </c>
      <c r="S10606" t="s">
        <v>43223</v>
      </c>
      <c r="T10606" t="s">
        <v>44527</v>
      </c>
      <c r="U10606" t="s">
        <v>53461</v>
      </c>
      <c r="W10606" t="s">
        <v>40120</v>
      </c>
      <c r="X10606" t="s">
        <v>42685</v>
      </c>
    </row>
    <row r="10607" spans="1:24">
      <c r="A10607">
        <f>HYPERLINK("https://www.philgeps.gov.ph/GEPSNONPILOT/Tender/SplashBidNoticeAbstractUI.aspx?menuIndex=3&amp;refID=7168529&amp;Result=3","7168529")</f>
        <v>0</v>
      </c>
      <c r="B10607" t="s">
        <v>2967</v>
      </c>
      <c r="C10607" t="s">
        <v>13659</v>
      </c>
      <c r="D10607" t="s">
        <v>17180</v>
      </c>
      <c r="E10607" t="s">
        <v>17480</v>
      </c>
      <c r="F10607" t="s">
        <v>29372</v>
      </c>
      <c r="G10607" t="s">
        <v>29380</v>
      </c>
      <c r="H10607" t="s">
        <v>11048</v>
      </c>
      <c r="I10607" t="s">
        <v>4709</v>
      </c>
      <c r="J10607" t="s">
        <v>36250</v>
      </c>
      <c r="K10607" t="s">
        <v>38485</v>
      </c>
      <c r="L10607" t="s">
        <v>2967</v>
      </c>
      <c r="M10607" t="s">
        <v>41978</v>
      </c>
      <c r="N10607" t="s">
        <v>42669</v>
      </c>
      <c r="O10607" t="s">
        <v>42670</v>
      </c>
      <c r="P10607">
        <v>0</v>
      </c>
      <c r="Q10607">
        <v>48</v>
      </c>
      <c r="R10607" t="s">
        <v>42684</v>
      </c>
      <c r="S10607" t="s">
        <v>43183</v>
      </c>
      <c r="T10607" t="s">
        <v>44560</v>
      </c>
      <c r="U10607" t="s">
        <v>46036</v>
      </c>
      <c r="V10607" t="s">
        <v>57518</v>
      </c>
      <c r="W10607" t="s">
        <v>41978</v>
      </c>
      <c r="X10607" t="s">
        <v>42685</v>
      </c>
    </row>
    <row r="10608" spans="1:24">
      <c r="A10608">
        <f>HYPERLINK("https://www.philgeps.gov.ph/GEPSNONPILOT/Tender/SplashBidNoticeAbstractUI.aspx?menuIndex=3&amp;refID=7168481&amp;Result=3","7168481")</f>
        <v>0</v>
      </c>
      <c r="B10608" t="s">
        <v>3036</v>
      </c>
      <c r="C10608" t="s">
        <v>13660</v>
      </c>
      <c r="D10608" t="s">
        <v>17214</v>
      </c>
      <c r="E10608" t="s">
        <v>26299</v>
      </c>
      <c r="F10608" t="s">
        <v>29372</v>
      </c>
      <c r="G10608" t="s">
        <v>29380</v>
      </c>
      <c r="H10608" t="s">
        <v>11048</v>
      </c>
      <c r="I10608" t="s">
        <v>4709</v>
      </c>
      <c r="J10608" t="s">
        <v>36251</v>
      </c>
      <c r="K10608" t="s">
        <v>38510</v>
      </c>
      <c r="M10608" t="s">
        <v>42058</v>
      </c>
      <c r="N10608" t="s">
        <v>42669</v>
      </c>
      <c r="O10608" t="s">
        <v>42670</v>
      </c>
      <c r="P10608">
        <v>0</v>
      </c>
      <c r="Q10608">
        <v>0</v>
      </c>
      <c r="R10608" t="s">
        <v>42684</v>
      </c>
      <c r="S10608" t="s">
        <v>43183</v>
      </c>
      <c r="T10608" t="s">
        <v>44515</v>
      </c>
      <c r="U10608" t="s">
        <v>53462</v>
      </c>
      <c r="V10608" t="s">
        <v>57571</v>
      </c>
      <c r="W10608" t="s">
        <v>42058</v>
      </c>
      <c r="X10608" t="s">
        <v>42685</v>
      </c>
    </row>
    <row r="10609" spans="1:24">
      <c r="A10609">
        <f>HYPERLINK("https://www.philgeps.gov.ph/GEPSNONPILOT/Tender/SplashBidNoticeAbstractUI.aspx?menuIndex=3&amp;refID=7168564&amp;Result=3","7168564")</f>
        <v>0</v>
      </c>
      <c r="B10609" t="s">
        <v>2967</v>
      </c>
      <c r="C10609" t="s">
        <v>13661</v>
      </c>
      <c r="D10609" t="s">
        <v>17180</v>
      </c>
      <c r="E10609" t="s">
        <v>25824</v>
      </c>
      <c r="F10609" t="s">
        <v>29372</v>
      </c>
      <c r="G10609" t="s">
        <v>29380</v>
      </c>
      <c r="H10609" t="s">
        <v>11048</v>
      </c>
      <c r="I10609" t="s">
        <v>4709</v>
      </c>
      <c r="J10609" t="s">
        <v>36250</v>
      </c>
      <c r="K10609" t="s">
        <v>38485</v>
      </c>
      <c r="L10609" t="s">
        <v>2967</v>
      </c>
      <c r="M10609" t="s">
        <v>41978</v>
      </c>
      <c r="N10609" t="s">
        <v>42669</v>
      </c>
      <c r="O10609" t="s">
        <v>42670</v>
      </c>
      <c r="P10609">
        <v>0</v>
      </c>
      <c r="Q10609">
        <v>49</v>
      </c>
      <c r="R10609" t="s">
        <v>42684</v>
      </c>
      <c r="S10609" t="s">
        <v>43183</v>
      </c>
      <c r="T10609" t="s">
        <v>44560</v>
      </c>
      <c r="U10609" t="s">
        <v>46036</v>
      </c>
      <c r="V10609" t="s">
        <v>57518</v>
      </c>
      <c r="W10609" t="s">
        <v>41978</v>
      </c>
      <c r="X10609" t="s">
        <v>42685</v>
      </c>
    </row>
    <row r="10610" spans="1:24">
      <c r="A10610">
        <f>HYPERLINK("https://www.philgeps.gov.ph/GEPSNONPILOT/Tender/SplashBidNoticeAbstractUI.aspx?menuIndex=3&amp;refID=7168476&amp;Result=3","7168476")</f>
        <v>0</v>
      </c>
      <c r="B10610" t="s">
        <v>3037</v>
      </c>
      <c r="C10610" t="s">
        <v>13662</v>
      </c>
      <c r="D10610" t="s">
        <v>17170</v>
      </c>
      <c r="E10610" t="s">
        <v>26300</v>
      </c>
      <c r="F10610" t="s">
        <v>29372</v>
      </c>
      <c r="G10610" t="s">
        <v>29380</v>
      </c>
      <c r="H10610" t="s">
        <v>29389</v>
      </c>
      <c r="I10610" t="s">
        <v>10408</v>
      </c>
      <c r="J10610" t="s">
        <v>36252</v>
      </c>
      <c r="K10610" t="s">
        <v>38572</v>
      </c>
      <c r="M10610" t="s">
        <v>42059</v>
      </c>
      <c r="N10610" t="s">
        <v>42669</v>
      </c>
      <c r="O10610" t="s">
        <v>42670</v>
      </c>
      <c r="Q10610">
        <v>1</v>
      </c>
      <c r="R10610" t="s">
        <v>42684</v>
      </c>
      <c r="S10610" t="s">
        <v>43224</v>
      </c>
      <c r="T10610" t="s">
        <v>44727</v>
      </c>
      <c r="U10610" t="s">
        <v>53463</v>
      </c>
      <c r="V10610" t="s">
        <v>57572</v>
      </c>
      <c r="W10610" t="s">
        <v>42059</v>
      </c>
      <c r="X10610" t="s">
        <v>42685</v>
      </c>
    </row>
    <row r="10611" spans="1:24">
      <c r="A10611">
        <f>HYPERLINK("https://www.philgeps.gov.ph/GEPSNONPILOT/Tender/SplashBidNoticeAbstractUI.aspx?menuIndex=3&amp;refID=7168543&amp;Result=3","7168543")</f>
        <v>0</v>
      </c>
      <c r="B10611" t="s">
        <v>544</v>
      </c>
      <c r="C10611" t="s">
        <v>13663</v>
      </c>
      <c r="D10611" t="s">
        <v>17153</v>
      </c>
      <c r="E10611" t="s">
        <v>26301</v>
      </c>
      <c r="F10611" t="s">
        <v>29372</v>
      </c>
      <c r="G10611" t="s">
        <v>29383</v>
      </c>
      <c r="H10611" t="s">
        <v>11048</v>
      </c>
      <c r="I10611" t="s">
        <v>29448</v>
      </c>
      <c r="J10611" t="s">
        <v>36253</v>
      </c>
      <c r="K10611" t="s">
        <v>38490</v>
      </c>
      <c r="M10611" t="s">
        <v>39312</v>
      </c>
      <c r="N10611" t="s">
        <v>42669</v>
      </c>
      <c r="O10611" t="s">
        <v>42670</v>
      </c>
      <c r="Q10611">
        <v>1</v>
      </c>
      <c r="R10611" t="s">
        <v>42684</v>
      </c>
      <c r="S10611" t="s">
        <v>43225</v>
      </c>
      <c r="T10611" t="s">
        <v>44386</v>
      </c>
      <c r="U10611" t="s">
        <v>53464</v>
      </c>
      <c r="W10611" t="s">
        <v>39312</v>
      </c>
      <c r="X10611" t="s">
        <v>42685</v>
      </c>
    </row>
    <row r="10612" spans="1:24">
      <c r="A10612">
        <f>HYPERLINK("https://www.philgeps.gov.ph/GEPSNONPILOT/Tender/SplashBidNoticeAbstractUI.aspx?menuIndex=3&amp;refID=7168540&amp;Result=3","7168540")</f>
        <v>0</v>
      </c>
      <c r="B10612" t="s">
        <v>3037</v>
      </c>
      <c r="C10612" t="s">
        <v>13664</v>
      </c>
      <c r="D10612" t="s">
        <v>17170</v>
      </c>
      <c r="E10612" t="s">
        <v>26302</v>
      </c>
      <c r="F10612" t="s">
        <v>29372</v>
      </c>
      <c r="G10612" t="s">
        <v>29380</v>
      </c>
      <c r="H10612" t="s">
        <v>29389</v>
      </c>
      <c r="I10612" t="s">
        <v>10408</v>
      </c>
      <c r="J10612" t="s">
        <v>36254</v>
      </c>
      <c r="K10612" t="s">
        <v>38557</v>
      </c>
      <c r="M10612" t="s">
        <v>42059</v>
      </c>
      <c r="N10612" t="s">
        <v>42669</v>
      </c>
      <c r="O10612" t="s">
        <v>42670</v>
      </c>
      <c r="P10612">
        <v>0</v>
      </c>
      <c r="Q10612">
        <v>1</v>
      </c>
      <c r="R10612" t="s">
        <v>42684</v>
      </c>
      <c r="S10612" t="s">
        <v>43183</v>
      </c>
      <c r="T10612" t="s">
        <v>44727</v>
      </c>
      <c r="U10612" t="s">
        <v>53465</v>
      </c>
      <c r="V10612" t="s">
        <v>57572</v>
      </c>
      <c r="W10612" t="s">
        <v>42059</v>
      </c>
      <c r="X10612" t="s">
        <v>42685</v>
      </c>
    </row>
    <row r="10613" spans="1:24">
      <c r="A10613">
        <f>HYPERLINK("https://www.philgeps.gov.ph/GEPSNONPILOT/Tender/SplashBidNoticeAbstractUI.aspx?menuIndex=3&amp;refID=7168488&amp;Result=3","7168488")</f>
        <v>0</v>
      </c>
      <c r="B10613" t="s">
        <v>3017</v>
      </c>
      <c r="C10613" t="s">
        <v>13665</v>
      </c>
      <c r="D10613" t="s">
        <v>17182</v>
      </c>
      <c r="E10613" t="s">
        <v>21789</v>
      </c>
      <c r="F10613" t="s">
        <v>29372</v>
      </c>
      <c r="G10613" t="s">
        <v>29380</v>
      </c>
      <c r="H10613" t="s">
        <v>29390</v>
      </c>
      <c r="I10613" t="s">
        <v>29440</v>
      </c>
      <c r="J10613" t="s">
        <v>31110</v>
      </c>
      <c r="K10613" t="s">
        <v>38487</v>
      </c>
      <c r="M10613" t="s">
        <v>42037</v>
      </c>
      <c r="N10613" t="s">
        <v>42669</v>
      </c>
      <c r="O10613" t="s">
        <v>42670</v>
      </c>
      <c r="P10613">
        <v>0</v>
      </c>
      <c r="Q10613">
        <v>4</v>
      </c>
      <c r="R10613" t="s">
        <v>42684</v>
      </c>
      <c r="S10613" t="s">
        <v>43183</v>
      </c>
      <c r="T10613" t="s">
        <v>44364</v>
      </c>
      <c r="U10613" t="s">
        <v>53466</v>
      </c>
      <c r="V10613" t="s">
        <v>57573</v>
      </c>
      <c r="W10613" t="s">
        <v>42037</v>
      </c>
      <c r="X10613" t="s">
        <v>42685</v>
      </c>
    </row>
    <row r="10614" spans="1:24">
      <c r="A10614">
        <f>HYPERLINK("https://www.philgeps.gov.ph/GEPSNONPILOT/Tender/SplashBidNoticeAbstractUI.aspx?menuIndex=3&amp;refID=7168583&amp;Result=3","7168583")</f>
        <v>0</v>
      </c>
      <c r="B10614" t="s">
        <v>990</v>
      </c>
      <c r="C10614" t="s">
        <v>13666</v>
      </c>
      <c r="D10614" t="s">
        <v>17186</v>
      </c>
      <c r="E10614" t="s">
        <v>26303</v>
      </c>
      <c r="F10614" t="s">
        <v>29372</v>
      </c>
      <c r="G10614" t="s">
        <v>29380</v>
      </c>
      <c r="H10614" t="s">
        <v>11048</v>
      </c>
      <c r="I10614" t="s">
        <v>9469</v>
      </c>
      <c r="J10614" t="s">
        <v>34978</v>
      </c>
      <c r="K10614" t="s">
        <v>38485</v>
      </c>
      <c r="M10614" t="s">
        <v>39789</v>
      </c>
      <c r="N10614" t="s">
        <v>42669</v>
      </c>
      <c r="O10614" t="s">
        <v>42670</v>
      </c>
      <c r="P10614">
        <v>0</v>
      </c>
      <c r="Q10614">
        <v>4</v>
      </c>
      <c r="R10614" t="s">
        <v>42684</v>
      </c>
      <c r="S10614" t="s">
        <v>43183</v>
      </c>
      <c r="T10614" t="s">
        <v>44466</v>
      </c>
      <c r="U10614" t="s">
        <v>53467</v>
      </c>
      <c r="V10614" t="s">
        <v>56607</v>
      </c>
      <c r="W10614" t="s">
        <v>39789</v>
      </c>
      <c r="X10614" t="s">
        <v>42685</v>
      </c>
    </row>
    <row r="10615" spans="1:24">
      <c r="A10615">
        <f>HYPERLINK("https://www.philgeps.gov.ph/GEPSNONPILOT/Tender/SplashBidNoticeAbstractUI.aspx?menuIndex=3&amp;refID=7168446&amp;Result=3","7168446")</f>
        <v>0</v>
      </c>
      <c r="B10615" t="s">
        <v>2012</v>
      </c>
      <c r="C10615" t="s">
        <v>13667</v>
      </c>
      <c r="D10615" t="s">
        <v>17197</v>
      </c>
      <c r="E10615" t="s">
        <v>26304</v>
      </c>
      <c r="F10615" t="s">
        <v>29372</v>
      </c>
      <c r="G10615" t="s">
        <v>29380</v>
      </c>
      <c r="H10615" t="s">
        <v>29389</v>
      </c>
      <c r="I10615" t="s">
        <v>10408</v>
      </c>
      <c r="J10615" t="s">
        <v>36255</v>
      </c>
      <c r="K10615" t="s">
        <v>38533</v>
      </c>
      <c r="M10615" t="s">
        <v>40903</v>
      </c>
      <c r="N10615" t="s">
        <v>42669</v>
      </c>
      <c r="O10615" t="s">
        <v>42670</v>
      </c>
      <c r="P10615">
        <v>0</v>
      </c>
      <c r="Q10615">
        <v>0</v>
      </c>
      <c r="R10615" t="s">
        <v>42684</v>
      </c>
      <c r="S10615" t="s">
        <v>43183</v>
      </c>
      <c r="T10615" t="s">
        <v>44412</v>
      </c>
      <c r="U10615" t="s">
        <v>53468</v>
      </c>
      <c r="W10615" t="s">
        <v>40903</v>
      </c>
      <c r="X10615" t="s">
        <v>42685</v>
      </c>
    </row>
    <row r="10616" spans="1:24">
      <c r="A10616">
        <f>HYPERLINK("https://www.philgeps.gov.ph/GEPSNONPILOT/Tender/SplashBidNoticeAbstractUI.aspx?menuIndex=3&amp;refID=7168641&amp;Result=3","7168641")</f>
        <v>0</v>
      </c>
      <c r="B10616" t="s">
        <v>2248</v>
      </c>
      <c r="C10616" t="s">
        <v>13668</v>
      </c>
      <c r="D10616" t="s">
        <v>17154</v>
      </c>
      <c r="E10616" t="s">
        <v>26305</v>
      </c>
      <c r="F10616" t="s">
        <v>29372</v>
      </c>
      <c r="G10616" t="s">
        <v>29380</v>
      </c>
      <c r="H10616" t="s">
        <v>29389</v>
      </c>
      <c r="I10616" t="s">
        <v>10408</v>
      </c>
      <c r="J10616" t="s">
        <v>36256</v>
      </c>
      <c r="K10616" t="s">
        <v>38523</v>
      </c>
      <c r="M10616" t="s">
        <v>41166</v>
      </c>
      <c r="N10616" t="s">
        <v>42669</v>
      </c>
      <c r="O10616" t="s">
        <v>42670</v>
      </c>
      <c r="Q10616">
        <v>5</v>
      </c>
      <c r="R10616" t="s">
        <v>42684</v>
      </c>
      <c r="S10616" t="s">
        <v>43226</v>
      </c>
      <c r="T10616" t="s">
        <v>44371</v>
      </c>
      <c r="U10616" t="s">
        <v>53469</v>
      </c>
      <c r="W10616" t="s">
        <v>41166</v>
      </c>
      <c r="X10616" t="s">
        <v>42685</v>
      </c>
    </row>
    <row r="10617" spans="1:24">
      <c r="A10617">
        <f>HYPERLINK("https://www.philgeps.gov.ph/GEPSNONPILOT/Tender/SplashBidNoticeAbstractUI.aspx?menuIndex=3&amp;refID=7168619&amp;Result=3","7168619")</f>
        <v>0</v>
      </c>
      <c r="B10617" t="s">
        <v>3038</v>
      </c>
      <c r="C10617" t="s">
        <v>13669</v>
      </c>
      <c r="D10617" t="s">
        <v>17169</v>
      </c>
      <c r="E10617" t="s">
        <v>26306</v>
      </c>
      <c r="F10617" t="s">
        <v>29372</v>
      </c>
      <c r="G10617" t="s">
        <v>29380</v>
      </c>
      <c r="H10617" t="s">
        <v>29389</v>
      </c>
      <c r="I10617" t="s">
        <v>10408</v>
      </c>
      <c r="J10617" t="s">
        <v>36257</v>
      </c>
      <c r="K10617" t="s">
        <v>38487</v>
      </c>
      <c r="M10617" t="s">
        <v>42060</v>
      </c>
      <c r="N10617" t="s">
        <v>42669</v>
      </c>
      <c r="O10617" t="s">
        <v>42670</v>
      </c>
      <c r="P10617">
        <v>0</v>
      </c>
      <c r="Q10617">
        <v>4</v>
      </c>
      <c r="R10617" t="s">
        <v>42684</v>
      </c>
      <c r="S10617" t="s">
        <v>43183</v>
      </c>
      <c r="T10617" t="s">
        <v>44568</v>
      </c>
      <c r="U10617" t="s">
        <v>53470</v>
      </c>
      <c r="W10617" t="s">
        <v>42060</v>
      </c>
      <c r="X10617" t="s">
        <v>42685</v>
      </c>
    </row>
    <row r="10618" spans="1:24">
      <c r="A10618">
        <f>HYPERLINK("https://www.philgeps.gov.ph/GEPSNONPILOT/Tender/SplashBidNoticeAbstractUI.aspx?menuIndex=3&amp;refID=7168602&amp;Result=3","7168602")</f>
        <v>0</v>
      </c>
      <c r="B10618" t="s">
        <v>240</v>
      </c>
      <c r="C10618" t="s">
        <v>13670</v>
      </c>
      <c r="D10618" t="s">
        <v>17185</v>
      </c>
      <c r="E10618" t="s">
        <v>26307</v>
      </c>
      <c r="F10618" t="s">
        <v>29372</v>
      </c>
      <c r="G10618" t="s">
        <v>29379</v>
      </c>
      <c r="H10618" t="s">
        <v>11048</v>
      </c>
      <c r="I10618" t="s">
        <v>8614</v>
      </c>
      <c r="J10618" t="s">
        <v>36258</v>
      </c>
      <c r="K10618" t="s">
        <v>38490</v>
      </c>
      <c r="M10618" t="s">
        <v>38999</v>
      </c>
      <c r="N10618" t="s">
        <v>42669</v>
      </c>
      <c r="O10618" t="s">
        <v>42670</v>
      </c>
      <c r="P10618">
        <v>0</v>
      </c>
      <c r="Q10618">
        <v>2</v>
      </c>
      <c r="R10618" t="s">
        <v>42684</v>
      </c>
      <c r="S10618" t="s">
        <v>43183</v>
      </c>
      <c r="T10618" t="s">
        <v>44481</v>
      </c>
      <c r="U10618" t="s">
        <v>53471</v>
      </c>
      <c r="W10618" t="s">
        <v>38999</v>
      </c>
      <c r="X10618" t="s">
        <v>42685</v>
      </c>
    </row>
    <row r="10619" spans="1:24">
      <c r="A10619">
        <f>HYPERLINK("https://www.philgeps.gov.ph/GEPSNONPILOT/Tender/SplashBidNoticeAbstractUI.aspx?menuIndex=3&amp;refID=7168596&amp;Result=3","7168596")</f>
        <v>0</v>
      </c>
      <c r="B10619" t="s">
        <v>1291</v>
      </c>
      <c r="C10619" t="s">
        <v>13671</v>
      </c>
      <c r="D10619" t="s">
        <v>17144</v>
      </c>
      <c r="E10619" t="s">
        <v>26308</v>
      </c>
      <c r="F10619" t="s">
        <v>29372</v>
      </c>
      <c r="G10619" t="s">
        <v>29380</v>
      </c>
      <c r="H10619" t="s">
        <v>11048</v>
      </c>
      <c r="I10619" t="s">
        <v>4487</v>
      </c>
      <c r="J10619" t="s">
        <v>36259</v>
      </c>
      <c r="K10619" t="s">
        <v>38488</v>
      </c>
      <c r="M10619" t="s">
        <v>40120</v>
      </c>
      <c r="N10619" t="s">
        <v>42669</v>
      </c>
      <c r="O10619" t="s">
        <v>42670</v>
      </c>
      <c r="Q10619">
        <v>3</v>
      </c>
      <c r="R10619" t="s">
        <v>42684</v>
      </c>
      <c r="S10619" t="s">
        <v>43227</v>
      </c>
      <c r="T10619" t="s">
        <v>44527</v>
      </c>
      <c r="U10619" t="s">
        <v>53472</v>
      </c>
      <c r="W10619" t="s">
        <v>40120</v>
      </c>
      <c r="X10619" t="s">
        <v>42685</v>
      </c>
    </row>
    <row r="10620" spans="1:24">
      <c r="A10620">
        <f>HYPERLINK("https://www.philgeps.gov.ph/GEPSNONPILOT/Tender/SplashBidNoticeAbstractUI.aspx?menuIndex=3&amp;refID=7168585&amp;Result=3","7168585")</f>
        <v>0</v>
      </c>
      <c r="B10620" t="s">
        <v>883</v>
      </c>
      <c r="C10620" t="s">
        <v>13672</v>
      </c>
      <c r="D10620" t="s">
        <v>17161</v>
      </c>
      <c r="E10620" t="s">
        <v>26309</v>
      </c>
      <c r="F10620" t="s">
        <v>29372</v>
      </c>
      <c r="G10620" t="s">
        <v>29380</v>
      </c>
      <c r="H10620" t="s">
        <v>11048</v>
      </c>
      <c r="I10620" t="s">
        <v>29397</v>
      </c>
      <c r="J10620" t="s">
        <v>29708</v>
      </c>
      <c r="K10620" t="s">
        <v>38491</v>
      </c>
      <c r="M10620" t="s">
        <v>39675</v>
      </c>
      <c r="N10620" t="s">
        <v>42669</v>
      </c>
      <c r="O10620" t="s">
        <v>42670</v>
      </c>
      <c r="P10620">
        <v>0</v>
      </c>
      <c r="Q10620">
        <v>1</v>
      </c>
      <c r="R10620" t="s">
        <v>42684</v>
      </c>
      <c r="S10620" t="s">
        <v>43183</v>
      </c>
      <c r="T10620" t="s">
        <v>44488</v>
      </c>
      <c r="U10620" t="s">
        <v>53473</v>
      </c>
      <c r="W10620" t="s">
        <v>39675</v>
      </c>
      <c r="X10620" t="s">
        <v>42685</v>
      </c>
    </row>
    <row r="10621" spans="1:24">
      <c r="A10621">
        <f>HYPERLINK("https://www.philgeps.gov.ph/GEPSNONPILOT/Tender/SplashBidNoticeAbstractUI.aspx?menuIndex=3&amp;refID=7168620&amp;Result=3","7168620")</f>
        <v>0</v>
      </c>
      <c r="B10621" t="s">
        <v>2967</v>
      </c>
      <c r="C10621" t="s">
        <v>13673</v>
      </c>
      <c r="D10621" t="s">
        <v>17180</v>
      </c>
      <c r="E10621" t="s">
        <v>20823</v>
      </c>
      <c r="F10621" t="s">
        <v>29372</v>
      </c>
      <c r="G10621" t="s">
        <v>29380</v>
      </c>
      <c r="H10621" t="s">
        <v>11048</v>
      </c>
      <c r="I10621" t="s">
        <v>4709</v>
      </c>
      <c r="J10621" t="s">
        <v>36250</v>
      </c>
      <c r="K10621" t="s">
        <v>38485</v>
      </c>
      <c r="L10621" t="s">
        <v>2967</v>
      </c>
      <c r="M10621" t="s">
        <v>41978</v>
      </c>
      <c r="N10621" t="s">
        <v>42669</v>
      </c>
      <c r="O10621" t="s">
        <v>42670</v>
      </c>
      <c r="P10621">
        <v>0</v>
      </c>
      <c r="Q10621">
        <v>48</v>
      </c>
      <c r="R10621" t="s">
        <v>42684</v>
      </c>
      <c r="S10621" t="s">
        <v>43183</v>
      </c>
      <c r="T10621" t="s">
        <v>44560</v>
      </c>
      <c r="U10621" t="s">
        <v>46036</v>
      </c>
      <c r="V10621" t="s">
        <v>57518</v>
      </c>
      <c r="W10621" t="s">
        <v>41978</v>
      </c>
      <c r="X10621" t="s">
        <v>42685</v>
      </c>
    </row>
    <row r="10622" spans="1:24">
      <c r="A10622">
        <f>HYPERLINK("https://www.philgeps.gov.ph/GEPSNONPILOT/Tender/SplashBidNoticeAbstractUI.aspx?menuIndex=3&amp;refID=7168606&amp;Result=3","7168606")</f>
        <v>0</v>
      </c>
      <c r="B10622" t="s">
        <v>2451</v>
      </c>
      <c r="C10622" t="s">
        <v>13674</v>
      </c>
      <c r="D10622" t="s">
        <v>17228</v>
      </c>
      <c r="E10622" t="s">
        <v>26310</v>
      </c>
      <c r="F10622" t="s">
        <v>29372</v>
      </c>
      <c r="G10622" t="s">
        <v>29380</v>
      </c>
      <c r="H10622" t="s">
        <v>11048</v>
      </c>
      <c r="I10622" t="s">
        <v>29397</v>
      </c>
      <c r="J10622" t="s">
        <v>29937</v>
      </c>
      <c r="K10622" t="s">
        <v>38490</v>
      </c>
      <c r="M10622" t="s">
        <v>41399</v>
      </c>
      <c r="N10622" t="s">
        <v>42669</v>
      </c>
      <c r="O10622" t="s">
        <v>42670</v>
      </c>
      <c r="Q10622">
        <v>3</v>
      </c>
      <c r="R10622" t="s">
        <v>42684</v>
      </c>
      <c r="S10622" t="s">
        <v>43063</v>
      </c>
      <c r="T10622" t="s">
        <v>44375</v>
      </c>
      <c r="U10622" t="s">
        <v>53474</v>
      </c>
      <c r="W10622" t="s">
        <v>41399</v>
      </c>
      <c r="X10622" t="s">
        <v>42685</v>
      </c>
    </row>
    <row r="10623" spans="1:24">
      <c r="A10623">
        <f>HYPERLINK("https://www.philgeps.gov.ph/GEPSNONPILOT/Tender/SplashBidNoticeAbstractUI.aspx?menuIndex=3&amp;refID=7168715&amp;Result=3","7168715")</f>
        <v>0</v>
      </c>
      <c r="B10623" t="s">
        <v>3039</v>
      </c>
      <c r="C10623" t="s">
        <v>13675</v>
      </c>
      <c r="D10623" t="s">
        <v>17157</v>
      </c>
      <c r="E10623" t="s">
        <v>26311</v>
      </c>
      <c r="F10623" t="s">
        <v>29372</v>
      </c>
      <c r="G10623" t="s">
        <v>29380</v>
      </c>
      <c r="H10623" t="s">
        <v>29389</v>
      </c>
      <c r="I10623" t="s">
        <v>10408</v>
      </c>
      <c r="J10623" t="s">
        <v>30056</v>
      </c>
      <c r="K10623" t="s">
        <v>38642</v>
      </c>
      <c r="M10623" t="s">
        <v>42061</v>
      </c>
      <c r="N10623" t="s">
        <v>42669</v>
      </c>
      <c r="O10623" t="s">
        <v>42670</v>
      </c>
      <c r="P10623">
        <v>0</v>
      </c>
      <c r="Q10623">
        <v>0</v>
      </c>
      <c r="R10623" t="s">
        <v>42684</v>
      </c>
      <c r="S10623" t="s">
        <v>43183</v>
      </c>
      <c r="T10623" t="s">
        <v>44640</v>
      </c>
      <c r="U10623" t="s">
        <v>53475</v>
      </c>
      <c r="W10623" t="s">
        <v>42061</v>
      </c>
      <c r="X10623" t="s">
        <v>42685</v>
      </c>
    </row>
    <row r="10624" spans="1:24">
      <c r="A10624">
        <f>HYPERLINK("https://www.philgeps.gov.ph/GEPSNONPILOT/Tender/SplashBidNoticeAbstractUI.aspx?menuIndex=3&amp;refID=7168720&amp;Result=3","7168720")</f>
        <v>0</v>
      </c>
      <c r="B10624" t="s">
        <v>3040</v>
      </c>
      <c r="C10624" t="s">
        <v>13676</v>
      </c>
      <c r="D10624" t="s">
        <v>17141</v>
      </c>
      <c r="E10624" t="s">
        <v>26312</v>
      </c>
      <c r="F10624" t="s">
        <v>29372</v>
      </c>
      <c r="G10624" t="s">
        <v>29380</v>
      </c>
      <c r="H10624" t="s">
        <v>29390</v>
      </c>
      <c r="I10624" t="s">
        <v>29409</v>
      </c>
      <c r="J10624" t="s">
        <v>36260</v>
      </c>
      <c r="K10624" t="s">
        <v>38516</v>
      </c>
      <c r="M10624" t="s">
        <v>42062</v>
      </c>
      <c r="N10624" t="s">
        <v>42669</v>
      </c>
      <c r="O10624" t="s">
        <v>42670</v>
      </c>
      <c r="P10624">
        <v>0</v>
      </c>
      <c r="Q10624">
        <v>25</v>
      </c>
      <c r="R10624" t="s">
        <v>42684</v>
      </c>
      <c r="S10624" t="s">
        <v>43183</v>
      </c>
      <c r="T10624" t="s">
        <v>44375</v>
      </c>
      <c r="U10624" t="s">
        <v>53476</v>
      </c>
      <c r="W10624" t="s">
        <v>42062</v>
      </c>
      <c r="X10624" t="s">
        <v>42685</v>
      </c>
    </row>
    <row r="10625" spans="1:24">
      <c r="A10625">
        <f>HYPERLINK("https://www.philgeps.gov.ph/GEPSNONPILOT/Tender/SplashBidNoticeAbstractUI.aspx?menuIndex=3&amp;refID=7168718&amp;Result=3","7168718")</f>
        <v>0</v>
      </c>
      <c r="B10625" t="s">
        <v>1566</v>
      </c>
      <c r="C10625" t="s">
        <v>7686</v>
      </c>
      <c r="E10625" t="s">
        <v>26313</v>
      </c>
      <c r="F10625" t="s">
        <v>29372</v>
      </c>
      <c r="G10625" t="s">
        <v>29380</v>
      </c>
      <c r="H10625" t="s">
        <v>11048</v>
      </c>
      <c r="I10625" t="s">
        <v>29393</v>
      </c>
      <c r="J10625" t="s">
        <v>36261</v>
      </c>
      <c r="K10625" t="s">
        <v>38490</v>
      </c>
      <c r="M10625" t="s">
        <v>40416</v>
      </c>
      <c r="N10625" t="s">
        <v>42669</v>
      </c>
      <c r="O10625" t="s">
        <v>42670</v>
      </c>
      <c r="P10625">
        <v>0</v>
      </c>
      <c r="Q10625">
        <v>0</v>
      </c>
      <c r="R10625" t="s">
        <v>42684</v>
      </c>
      <c r="S10625" t="s">
        <v>43183</v>
      </c>
      <c r="T10625" t="s">
        <v>44672</v>
      </c>
      <c r="U10625" t="s">
        <v>53477</v>
      </c>
      <c r="W10625" t="s">
        <v>40416</v>
      </c>
      <c r="X10625" t="s">
        <v>42685</v>
      </c>
    </row>
    <row r="10626" spans="1:24">
      <c r="A10626">
        <f>HYPERLINK("https://www.philgeps.gov.ph/GEPSNONPILOT/Tender/SplashBidNoticeAbstractUI.aspx?menuIndex=3&amp;refID=7168667&amp;Result=3","7168667")</f>
        <v>0</v>
      </c>
      <c r="B10626" t="s">
        <v>2967</v>
      </c>
      <c r="C10626" t="s">
        <v>5786</v>
      </c>
      <c r="D10626" t="s">
        <v>17180</v>
      </c>
      <c r="E10626" t="s">
        <v>18602</v>
      </c>
      <c r="F10626" t="s">
        <v>29372</v>
      </c>
      <c r="G10626" t="s">
        <v>29380</v>
      </c>
      <c r="H10626" t="s">
        <v>11048</v>
      </c>
      <c r="I10626" t="s">
        <v>29425</v>
      </c>
      <c r="J10626" t="s">
        <v>29609</v>
      </c>
      <c r="K10626" t="s">
        <v>38485</v>
      </c>
      <c r="L10626" t="s">
        <v>2967</v>
      </c>
      <c r="M10626" t="s">
        <v>41978</v>
      </c>
      <c r="N10626" t="s">
        <v>42669</v>
      </c>
      <c r="O10626" t="s">
        <v>42670</v>
      </c>
      <c r="P10626">
        <v>0</v>
      </c>
      <c r="Q10626">
        <v>15</v>
      </c>
      <c r="R10626" t="s">
        <v>42684</v>
      </c>
      <c r="S10626" t="s">
        <v>43183</v>
      </c>
      <c r="T10626" t="s">
        <v>44560</v>
      </c>
      <c r="U10626" t="s">
        <v>53478</v>
      </c>
      <c r="V10626" t="s">
        <v>57518</v>
      </c>
      <c r="W10626" t="s">
        <v>41978</v>
      </c>
      <c r="X10626" t="s">
        <v>42685</v>
      </c>
    </row>
    <row r="10627" spans="1:24">
      <c r="A10627">
        <f>HYPERLINK("https://www.philgeps.gov.ph/GEPSNONPILOT/Tender/SplashBidNoticeAbstractUI.aspx?menuIndex=3&amp;refID=7168699&amp;Result=3","7168699")</f>
        <v>0</v>
      </c>
      <c r="B10627" t="s">
        <v>2336</v>
      </c>
      <c r="C10627" t="s">
        <v>13677</v>
      </c>
      <c r="E10627" t="s">
        <v>26314</v>
      </c>
      <c r="F10627" t="s">
        <v>29372</v>
      </c>
      <c r="G10627" t="s">
        <v>29380</v>
      </c>
      <c r="H10627" t="s">
        <v>29389</v>
      </c>
      <c r="I10627" t="s">
        <v>10408</v>
      </c>
      <c r="J10627" t="s">
        <v>36262</v>
      </c>
      <c r="K10627" t="s">
        <v>38720</v>
      </c>
      <c r="M10627" t="s">
        <v>41269</v>
      </c>
      <c r="N10627" t="s">
        <v>42669</v>
      </c>
      <c r="O10627" t="s">
        <v>42670</v>
      </c>
      <c r="P10627">
        <v>0</v>
      </c>
      <c r="Q10627">
        <v>7</v>
      </c>
      <c r="R10627" t="s">
        <v>42684</v>
      </c>
      <c r="S10627" t="s">
        <v>43183</v>
      </c>
      <c r="T10627" t="s">
        <v>44357</v>
      </c>
      <c r="U10627" t="s">
        <v>53479</v>
      </c>
      <c r="V10627" t="s">
        <v>57574</v>
      </c>
      <c r="W10627" t="s">
        <v>41269</v>
      </c>
      <c r="X10627" t="s">
        <v>42685</v>
      </c>
    </row>
    <row r="10628" spans="1:24">
      <c r="A10628">
        <f>HYPERLINK("https://www.philgeps.gov.ph/GEPSNONPILOT/Tender/SplashBidNoticeAbstractUI.aspx?menuIndex=3&amp;refID=7168697&amp;Result=3","7168697")</f>
        <v>0</v>
      </c>
      <c r="B10628" t="s">
        <v>3041</v>
      </c>
      <c r="C10628" t="s">
        <v>9478</v>
      </c>
      <c r="D10628" t="s">
        <v>17188</v>
      </c>
      <c r="E10628" t="s">
        <v>17965</v>
      </c>
      <c r="F10628" t="s">
        <v>29372</v>
      </c>
      <c r="G10628" t="s">
        <v>29380</v>
      </c>
      <c r="H10628" t="s">
        <v>11048</v>
      </c>
      <c r="I10628" t="s">
        <v>10408</v>
      </c>
      <c r="J10628" t="s">
        <v>33544</v>
      </c>
      <c r="K10628" t="s">
        <v>38487</v>
      </c>
      <c r="M10628" t="s">
        <v>42063</v>
      </c>
      <c r="N10628" t="s">
        <v>42669</v>
      </c>
      <c r="O10628" t="s">
        <v>42670</v>
      </c>
      <c r="P10628">
        <v>0</v>
      </c>
      <c r="Q10628">
        <v>0</v>
      </c>
      <c r="R10628" t="s">
        <v>42684</v>
      </c>
      <c r="S10628" t="s">
        <v>43183</v>
      </c>
      <c r="T10628" t="s">
        <v>44432</v>
      </c>
      <c r="U10628" t="s">
        <v>53480</v>
      </c>
      <c r="W10628" t="s">
        <v>42063</v>
      </c>
      <c r="X10628" t="s">
        <v>42685</v>
      </c>
    </row>
    <row r="10629" spans="1:24">
      <c r="A10629">
        <f>HYPERLINK("https://www.philgeps.gov.ph/GEPSNONPILOT/Tender/SplashBidNoticeAbstractUI.aspx?menuIndex=3&amp;refID=7168591&amp;Result=3","7168591")</f>
        <v>0</v>
      </c>
      <c r="B10629" t="s">
        <v>2967</v>
      </c>
      <c r="C10629" t="s">
        <v>13678</v>
      </c>
      <c r="D10629" t="s">
        <v>17180</v>
      </c>
      <c r="E10629" t="s">
        <v>19537</v>
      </c>
      <c r="F10629" t="s">
        <v>29372</v>
      </c>
      <c r="G10629" t="s">
        <v>29380</v>
      </c>
      <c r="H10629" t="s">
        <v>11048</v>
      </c>
      <c r="I10629" t="s">
        <v>4709</v>
      </c>
      <c r="J10629" t="s">
        <v>36250</v>
      </c>
      <c r="K10629" t="s">
        <v>38485</v>
      </c>
      <c r="L10629" t="s">
        <v>2967</v>
      </c>
      <c r="M10629" t="s">
        <v>41978</v>
      </c>
      <c r="N10629" t="s">
        <v>42669</v>
      </c>
      <c r="O10629" t="s">
        <v>42670</v>
      </c>
      <c r="P10629">
        <v>0</v>
      </c>
      <c r="Q10629">
        <v>50</v>
      </c>
      <c r="R10629" t="s">
        <v>42684</v>
      </c>
      <c r="S10629" t="s">
        <v>43183</v>
      </c>
      <c r="T10629" t="s">
        <v>44560</v>
      </c>
      <c r="U10629" t="s">
        <v>46036</v>
      </c>
      <c r="V10629" t="s">
        <v>57518</v>
      </c>
      <c r="W10629" t="s">
        <v>41978</v>
      </c>
      <c r="X10629" t="s">
        <v>42685</v>
      </c>
    </row>
    <row r="10630" spans="1:24">
      <c r="A10630">
        <f>HYPERLINK("https://www.philgeps.gov.ph/GEPSNONPILOT/Tender/SplashBidNoticeAbstractUI.aspx?menuIndex=3&amp;refID=7168713&amp;Result=3","7168713")</f>
        <v>0</v>
      </c>
      <c r="B10630" t="s">
        <v>2248</v>
      </c>
      <c r="C10630" t="s">
        <v>13679</v>
      </c>
      <c r="D10630" t="s">
        <v>17154</v>
      </c>
      <c r="E10630" t="s">
        <v>26315</v>
      </c>
      <c r="F10630" t="s">
        <v>29372</v>
      </c>
      <c r="G10630" t="s">
        <v>29380</v>
      </c>
      <c r="H10630" t="s">
        <v>29389</v>
      </c>
      <c r="I10630" t="s">
        <v>10408</v>
      </c>
      <c r="J10630" t="s">
        <v>36263</v>
      </c>
      <c r="K10630" t="s">
        <v>38523</v>
      </c>
      <c r="M10630" t="s">
        <v>41166</v>
      </c>
      <c r="N10630" t="s">
        <v>42669</v>
      </c>
      <c r="O10630" t="s">
        <v>42670</v>
      </c>
      <c r="Q10630">
        <v>8</v>
      </c>
      <c r="R10630" t="s">
        <v>42684</v>
      </c>
      <c r="S10630" t="s">
        <v>43228</v>
      </c>
      <c r="T10630" t="s">
        <v>44371</v>
      </c>
      <c r="U10630" t="s">
        <v>53469</v>
      </c>
      <c r="W10630" t="s">
        <v>41166</v>
      </c>
      <c r="X10630" t="s">
        <v>42685</v>
      </c>
    </row>
    <row r="10631" spans="1:24">
      <c r="A10631">
        <f>HYPERLINK("https://www.philgeps.gov.ph/GEPSNONPILOT/Tender/SplashBidNoticeAbstractUI.aspx?menuIndex=3&amp;refID=7168803&amp;Result=3","7168803")</f>
        <v>0</v>
      </c>
      <c r="B10631" t="s">
        <v>3039</v>
      </c>
      <c r="C10631" t="s">
        <v>13680</v>
      </c>
      <c r="D10631" t="s">
        <v>17157</v>
      </c>
      <c r="E10631" t="s">
        <v>26316</v>
      </c>
      <c r="F10631" t="s">
        <v>29372</v>
      </c>
      <c r="G10631" t="s">
        <v>29380</v>
      </c>
      <c r="H10631" t="s">
        <v>29389</v>
      </c>
      <c r="I10631" t="s">
        <v>10408</v>
      </c>
      <c r="J10631" t="s">
        <v>29543</v>
      </c>
      <c r="K10631" t="s">
        <v>38496</v>
      </c>
      <c r="M10631" t="s">
        <v>42061</v>
      </c>
      <c r="N10631" t="s">
        <v>42669</v>
      </c>
      <c r="O10631" t="s">
        <v>42670</v>
      </c>
      <c r="P10631">
        <v>0</v>
      </c>
      <c r="Q10631">
        <v>0</v>
      </c>
      <c r="R10631" t="s">
        <v>42684</v>
      </c>
      <c r="S10631" t="s">
        <v>43183</v>
      </c>
      <c r="T10631" t="s">
        <v>44640</v>
      </c>
      <c r="U10631" t="s">
        <v>53481</v>
      </c>
      <c r="W10631" t="s">
        <v>42061</v>
      </c>
      <c r="X10631" t="s">
        <v>42685</v>
      </c>
    </row>
    <row r="10632" spans="1:24">
      <c r="A10632">
        <f>HYPERLINK("https://www.philgeps.gov.ph/GEPSNONPILOT/Tender/SplashBidNoticeAbstractUI.aspx?menuIndex=3&amp;refID=7168801&amp;Result=3","7168801")</f>
        <v>0</v>
      </c>
      <c r="B10632" t="s">
        <v>1466</v>
      </c>
      <c r="C10632" t="s">
        <v>13681</v>
      </c>
      <c r="E10632" t="s">
        <v>26317</v>
      </c>
      <c r="F10632" t="s">
        <v>29372</v>
      </c>
      <c r="G10632" t="s">
        <v>29381</v>
      </c>
      <c r="H10632" t="s">
        <v>11048</v>
      </c>
      <c r="I10632" t="s">
        <v>29433</v>
      </c>
      <c r="J10632" t="s">
        <v>36264</v>
      </c>
      <c r="K10632" t="s">
        <v>38490</v>
      </c>
      <c r="M10632" t="s">
        <v>41524</v>
      </c>
      <c r="N10632" t="s">
        <v>42669</v>
      </c>
      <c r="O10632" t="s">
        <v>42670</v>
      </c>
      <c r="P10632">
        <v>0</v>
      </c>
      <c r="Q10632">
        <v>23</v>
      </c>
      <c r="R10632" t="s">
        <v>42684</v>
      </c>
      <c r="S10632" t="s">
        <v>43183</v>
      </c>
      <c r="T10632" t="s">
        <v>44412</v>
      </c>
      <c r="U10632" t="s">
        <v>53482</v>
      </c>
      <c r="W10632" t="s">
        <v>41524</v>
      </c>
      <c r="X10632" t="s">
        <v>42685</v>
      </c>
    </row>
    <row r="10633" spans="1:24">
      <c r="A10633">
        <f>HYPERLINK("https://www.philgeps.gov.ph/GEPSNONPILOT/Tender/SplashBidNoticeAbstractUI.aspx?menuIndex=3&amp;refID=7168728&amp;Result=3","7168728")</f>
        <v>0</v>
      </c>
      <c r="B10633" t="s">
        <v>3042</v>
      </c>
      <c r="C10633" t="s">
        <v>13682</v>
      </c>
      <c r="D10633" t="s">
        <v>17172</v>
      </c>
      <c r="E10633" t="s">
        <v>26318</v>
      </c>
      <c r="F10633" t="s">
        <v>29372</v>
      </c>
      <c r="G10633" t="s">
        <v>29380</v>
      </c>
      <c r="H10633" t="s">
        <v>11048</v>
      </c>
      <c r="I10633" t="s">
        <v>4709</v>
      </c>
      <c r="J10633" t="s">
        <v>36265</v>
      </c>
      <c r="K10633" t="s">
        <v>38538</v>
      </c>
      <c r="M10633" t="s">
        <v>42064</v>
      </c>
      <c r="N10633" t="s">
        <v>42669</v>
      </c>
      <c r="O10633" t="s">
        <v>42670</v>
      </c>
      <c r="P10633">
        <v>0</v>
      </c>
      <c r="Q10633">
        <v>1</v>
      </c>
      <c r="R10633" t="s">
        <v>42684</v>
      </c>
      <c r="S10633" t="s">
        <v>43183</v>
      </c>
      <c r="T10633" t="s">
        <v>44412</v>
      </c>
      <c r="U10633" t="s">
        <v>53483</v>
      </c>
      <c r="V10633" t="s">
        <v>57575</v>
      </c>
      <c r="W10633" t="s">
        <v>42064</v>
      </c>
      <c r="X10633" t="s">
        <v>42685</v>
      </c>
    </row>
    <row r="10634" spans="1:24">
      <c r="A10634">
        <f>HYPERLINK("https://www.philgeps.gov.ph/GEPSNONPILOT/Tender/SplashBidNoticeAbstractUI.aspx?menuIndex=3&amp;refID=7168727&amp;Result=3","7168727")</f>
        <v>0</v>
      </c>
      <c r="B10634" t="s">
        <v>1415</v>
      </c>
      <c r="C10634" t="s">
        <v>13683</v>
      </c>
      <c r="D10634" t="s">
        <v>17147</v>
      </c>
      <c r="E10634" t="s">
        <v>26319</v>
      </c>
      <c r="F10634" t="s">
        <v>29372</v>
      </c>
      <c r="G10634" t="s">
        <v>29380</v>
      </c>
      <c r="H10634" t="s">
        <v>11048</v>
      </c>
      <c r="I10634" t="s">
        <v>4709</v>
      </c>
      <c r="J10634" t="s">
        <v>36266</v>
      </c>
      <c r="K10634" t="s">
        <v>38521</v>
      </c>
      <c r="M10634" t="s">
        <v>40254</v>
      </c>
      <c r="N10634" t="s">
        <v>42669</v>
      </c>
      <c r="O10634" t="s">
        <v>42670</v>
      </c>
      <c r="P10634">
        <v>0</v>
      </c>
      <c r="Q10634">
        <v>0</v>
      </c>
      <c r="R10634" t="s">
        <v>42684</v>
      </c>
      <c r="S10634" t="s">
        <v>43183</v>
      </c>
      <c r="T10634" t="s">
        <v>44457</v>
      </c>
      <c r="U10634" t="s">
        <v>53484</v>
      </c>
      <c r="W10634" t="s">
        <v>40254</v>
      </c>
      <c r="X10634" t="s">
        <v>42685</v>
      </c>
    </row>
    <row r="10635" spans="1:24">
      <c r="A10635">
        <f>HYPERLINK("https://www.philgeps.gov.ph/GEPSNONPILOT/Tender/SplashBidNoticeAbstractUI.aspx?menuIndex=3&amp;refID=7168841&amp;Result=3","7168841")</f>
        <v>0</v>
      </c>
      <c r="B10635" t="s">
        <v>1415</v>
      </c>
      <c r="C10635" t="s">
        <v>13684</v>
      </c>
      <c r="D10635" t="s">
        <v>17147</v>
      </c>
      <c r="E10635" t="s">
        <v>26320</v>
      </c>
      <c r="F10635" t="s">
        <v>29372</v>
      </c>
      <c r="G10635" t="s">
        <v>29380</v>
      </c>
      <c r="H10635" t="s">
        <v>29389</v>
      </c>
      <c r="I10635" t="s">
        <v>10408</v>
      </c>
      <c r="J10635" t="s">
        <v>36267</v>
      </c>
      <c r="K10635" t="s">
        <v>38721</v>
      </c>
      <c r="M10635" t="s">
        <v>40254</v>
      </c>
      <c r="N10635" t="s">
        <v>42669</v>
      </c>
      <c r="O10635" t="s">
        <v>42670</v>
      </c>
      <c r="P10635">
        <v>0</v>
      </c>
      <c r="Q10635">
        <v>0</v>
      </c>
      <c r="R10635" t="s">
        <v>42684</v>
      </c>
      <c r="S10635" t="s">
        <v>43183</v>
      </c>
      <c r="T10635" t="s">
        <v>44457</v>
      </c>
      <c r="U10635" t="s">
        <v>53485</v>
      </c>
      <c r="W10635" t="s">
        <v>40254</v>
      </c>
      <c r="X10635" t="s">
        <v>42685</v>
      </c>
    </row>
    <row r="10636" spans="1:24">
      <c r="A10636">
        <f>HYPERLINK("https://www.philgeps.gov.ph/GEPSNONPILOT/Tender/SplashBidNoticeAbstractUI.aspx?menuIndex=3&amp;refID=7168709&amp;Result=3","7168709")</f>
        <v>0</v>
      </c>
      <c r="B10636" t="s">
        <v>2967</v>
      </c>
      <c r="C10636" t="s">
        <v>13685</v>
      </c>
      <c r="D10636" t="s">
        <v>17180</v>
      </c>
      <c r="E10636" t="s">
        <v>26321</v>
      </c>
      <c r="F10636" t="s">
        <v>29372</v>
      </c>
      <c r="G10636" t="s">
        <v>29380</v>
      </c>
      <c r="H10636" t="s">
        <v>11048</v>
      </c>
      <c r="I10636" t="s">
        <v>9642</v>
      </c>
      <c r="J10636" t="s">
        <v>29543</v>
      </c>
      <c r="K10636" t="s">
        <v>38485</v>
      </c>
      <c r="L10636" t="s">
        <v>2967</v>
      </c>
      <c r="M10636" t="s">
        <v>41978</v>
      </c>
      <c r="N10636" t="s">
        <v>42669</v>
      </c>
      <c r="O10636" t="s">
        <v>42670</v>
      </c>
      <c r="P10636">
        <v>0</v>
      </c>
      <c r="Q10636">
        <v>20</v>
      </c>
      <c r="R10636" t="s">
        <v>42684</v>
      </c>
      <c r="S10636" t="s">
        <v>43183</v>
      </c>
      <c r="T10636" t="s">
        <v>44560</v>
      </c>
      <c r="U10636" t="s">
        <v>53486</v>
      </c>
      <c r="V10636" t="s">
        <v>57518</v>
      </c>
      <c r="W10636" t="s">
        <v>41978</v>
      </c>
      <c r="X10636" t="s">
        <v>42685</v>
      </c>
    </row>
    <row r="10637" spans="1:24">
      <c r="A10637">
        <f>HYPERLINK("https://www.philgeps.gov.ph/GEPSNONPILOT/Tender/SplashBidNoticeAbstractUI.aspx?menuIndex=3&amp;refID=7168828&amp;Result=3","7168828")</f>
        <v>0</v>
      </c>
      <c r="B10637" t="s">
        <v>1291</v>
      </c>
      <c r="C10637" t="s">
        <v>13686</v>
      </c>
      <c r="D10637" t="s">
        <v>17144</v>
      </c>
      <c r="E10637" t="s">
        <v>26322</v>
      </c>
      <c r="F10637" t="s">
        <v>29372</v>
      </c>
      <c r="G10637" t="s">
        <v>29380</v>
      </c>
      <c r="H10637" t="s">
        <v>11048</v>
      </c>
      <c r="I10637" t="s">
        <v>4486</v>
      </c>
      <c r="J10637" t="s">
        <v>29708</v>
      </c>
      <c r="K10637" t="s">
        <v>38488</v>
      </c>
      <c r="M10637" t="s">
        <v>40120</v>
      </c>
      <c r="N10637" t="s">
        <v>42669</v>
      </c>
      <c r="O10637" t="s">
        <v>42670</v>
      </c>
      <c r="Q10637">
        <v>5</v>
      </c>
      <c r="R10637" t="s">
        <v>42684</v>
      </c>
      <c r="S10637" t="s">
        <v>43229</v>
      </c>
      <c r="T10637" t="s">
        <v>44527</v>
      </c>
      <c r="U10637" t="s">
        <v>53487</v>
      </c>
      <c r="W10637" t="s">
        <v>40120</v>
      </c>
      <c r="X10637" t="s">
        <v>42685</v>
      </c>
    </row>
    <row r="10638" spans="1:24">
      <c r="A10638">
        <f>HYPERLINK("https://www.philgeps.gov.ph/GEPSNONPILOT/Tender/SplashBidNoticeAbstractUI.aspx?menuIndex=3&amp;refID=7168807&amp;Result=3","7168807")</f>
        <v>0</v>
      </c>
      <c r="B10638" t="s">
        <v>1566</v>
      </c>
      <c r="C10638" t="s">
        <v>13687</v>
      </c>
      <c r="E10638" t="s">
        <v>26323</v>
      </c>
      <c r="F10638" t="s">
        <v>29372</v>
      </c>
      <c r="G10638" t="s">
        <v>29380</v>
      </c>
      <c r="H10638" t="s">
        <v>11048</v>
      </c>
      <c r="I10638" t="s">
        <v>29444</v>
      </c>
      <c r="J10638" t="s">
        <v>29799</v>
      </c>
      <c r="K10638" t="s">
        <v>38490</v>
      </c>
      <c r="M10638" t="s">
        <v>40416</v>
      </c>
      <c r="N10638" t="s">
        <v>42669</v>
      </c>
      <c r="O10638" t="s">
        <v>42670</v>
      </c>
      <c r="P10638">
        <v>0</v>
      </c>
      <c r="Q10638">
        <v>1</v>
      </c>
      <c r="R10638" t="s">
        <v>42684</v>
      </c>
      <c r="S10638" t="s">
        <v>43183</v>
      </c>
      <c r="T10638" t="s">
        <v>44672</v>
      </c>
      <c r="U10638" t="s">
        <v>53488</v>
      </c>
      <c r="W10638" t="s">
        <v>40416</v>
      </c>
      <c r="X10638" t="s">
        <v>42685</v>
      </c>
    </row>
    <row r="10639" spans="1:24">
      <c r="A10639">
        <f>HYPERLINK("https://www.philgeps.gov.ph/GEPSNONPILOT/Tender/SplashBidNoticeAbstractUI.aspx?menuIndex=3&amp;refID=7168796&amp;Result=3","7168796")</f>
        <v>0</v>
      </c>
      <c r="B10639" t="s">
        <v>3043</v>
      </c>
      <c r="C10639" t="s">
        <v>6287</v>
      </c>
      <c r="D10639" t="s">
        <v>17148</v>
      </c>
      <c r="E10639" t="s">
        <v>20432</v>
      </c>
      <c r="F10639" t="s">
        <v>29372</v>
      </c>
      <c r="G10639" t="s">
        <v>29380</v>
      </c>
      <c r="H10639" t="s">
        <v>11048</v>
      </c>
      <c r="I10639" t="s">
        <v>4709</v>
      </c>
      <c r="J10639" t="s">
        <v>36268</v>
      </c>
      <c r="K10639" t="s">
        <v>38510</v>
      </c>
      <c r="M10639" t="s">
        <v>42065</v>
      </c>
      <c r="N10639" t="s">
        <v>42669</v>
      </c>
      <c r="O10639" t="s">
        <v>42670</v>
      </c>
      <c r="P10639">
        <v>0</v>
      </c>
      <c r="Q10639">
        <v>2</v>
      </c>
      <c r="R10639" t="s">
        <v>42684</v>
      </c>
      <c r="S10639" t="s">
        <v>43183</v>
      </c>
      <c r="T10639" t="s">
        <v>44530</v>
      </c>
      <c r="U10639" t="s">
        <v>53489</v>
      </c>
      <c r="W10639" t="s">
        <v>42065</v>
      </c>
      <c r="X10639" t="s">
        <v>42685</v>
      </c>
    </row>
    <row r="10640" spans="1:24">
      <c r="A10640">
        <f>HYPERLINK("https://www.philgeps.gov.ph/GEPSNONPILOT/Tender/SplashBidNoticeAbstractUI.aspx?menuIndex=3&amp;refID=7168670&amp;Result=3","7168670")</f>
        <v>0</v>
      </c>
      <c r="B10640" t="s">
        <v>3038</v>
      </c>
      <c r="C10640" t="s">
        <v>13688</v>
      </c>
      <c r="D10640" t="s">
        <v>17169</v>
      </c>
      <c r="E10640" t="s">
        <v>26324</v>
      </c>
      <c r="F10640" t="s">
        <v>29372</v>
      </c>
      <c r="G10640" t="s">
        <v>29380</v>
      </c>
      <c r="H10640" t="s">
        <v>29389</v>
      </c>
      <c r="I10640" t="s">
        <v>10408</v>
      </c>
      <c r="J10640" t="s">
        <v>36269</v>
      </c>
      <c r="K10640" t="s">
        <v>38496</v>
      </c>
      <c r="M10640" t="s">
        <v>42060</v>
      </c>
      <c r="N10640" t="s">
        <v>42669</v>
      </c>
      <c r="O10640" t="s">
        <v>42670</v>
      </c>
      <c r="P10640">
        <v>0</v>
      </c>
      <c r="Q10640">
        <v>0</v>
      </c>
      <c r="R10640" t="s">
        <v>42684</v>
      </c>
      <c r="S10640" t="s">
        <v>43183</v>
      </c>
      <c r="T10640" t="s">
        <v>44568</v>
      </c>
      <c r="U10640" t="s">
        <v>53490</v>
      </c>
      <c r="W10640" t="s">
        <v>42060</v>
      </c>
      <c r="X10640" t="s">
        <v>42685</v>
      </c>
    </row>
    <row r="10641" spans="1:24">
      <c r="A10641">
        <f>HYPERLINK("https://www.philgeps.gov.ph/GEPSNONPILOT/Tender/SplashBidNoticeAbstractUI.aspx?menuIndex=3&amp;refID=7168805&amp;Result=3","7168805")</f>
        <v>0</v>
      </c>
      <c r="B10641" t="s">
        <v>1291</v>
      </c>
      <c r="C10641" t="s">
        <v>13689</v>
      </c>
      <c r="D10641" t="s">
        <v>17144</v>
      </c>
      <c r="E10641" t="s">
        <v>26325</v>
      </c>
      <c r="F10641" t="s">
        <v>29372</v>
      </c>
      <c r="G10641" t="s">
        <v>29380</v>
      </c>
      <c r="H10641" t="s">
        <v>11048</v>
      </c>
      <c r="I10641" t="s">
        <v>4487</v>
      </c>
      <c r="J10641" t="s">
        <v>36270</v>
      </c>
      <c r="K10641" t="s">
        <v>38488</v>
      </c>
      <c r="M10641" t="s">
        <v>40120</v>
      </c>
      <c r="N10641" t="s">
        <v>42669</v>
      </c>
      <c r="O10641" t="s">
        <v>42670</v>
      </c>
      <c r="Q10641">
        <v>4</v>
      </c>
      <c r="R10641" t="s">
        <v>42684</v>
      </c>
      <c r="S10641" t="s">
        <v>43230</v>
      </c>
      <c r="T10641" t="s">
        <v>44527</v>
      </c>
      <c r="U10641" t="s">
        <v>53491</v>
      </c>
      <c r="W10641" t="s">
        <v>40120</v>
      </c>
      <c r="X10641" t="s">
        <v>42685</v>
      </c>
    </row>
    <row r="10642" spans="1:24">
      <c r="A10642">
        <f>HYPERLINK("https://www.philgeps.gov.ph/GEPSNONPILOT/Tender/SplashBidNoticeAbstractUI.aspx?menuIndex=3&amp;refID=7168766&amp;Result=3","7168766")</f>
        <v>0</v>
      </c>
      <c r="B10642" t="s">
        <v>1566</v>
      </c>
      <c r="C10642" t="s">
        <v>13690</v>
      </c>
      <c r="E10642" t="s">
        <v>26326</v>
      </c>
      <c r="F10642" t="s">
        <v>29372</v>
      </c>
      <c r="G10642" t="s">
        <v>29380</v>
      </c>
      <c r="H10642" t="s">
        <v>11048</v>
      </c>
      <c r="I10642" t="s">
        <v>3629</v>
      </c>
      <c r="J10642" t="s">
        <v>36271</v>
      </c>
      <c r="K10642" t="s">
        <v>38490</v>
      </c>
      <c r="M10642" t="s">
        <v>40416</v>
      </c>
      <c r="N10642" t="s">
        <v>42669</v>
      </c>
      <c r="O10642" t="s">
        <v>42670</v>
      </c>
      <c r="P10642">
        <v>0</v>
      </c>
      <c r="Q10642">
        <v>0</v>
      </c>
      <c r="R10642" t="s">
        <v>42684</v>
      </c>
      <c r="S10642" t="s">
        <v>43183</v>
      </c>
      <c r="T10642" t="s">
        <v>44672</v>
      </c>
      <c r="U10642" t="s">
        <v>53492</v>
      </c>
      <c r="W10642" t="s">
        <v>40416</v>
      </c>
      <c r="X10642" t="s">
        <v>42685</v>
      </c>
    </row>
    <row r="10643" spans="1:24">
      <c r="A10643">
        <f>HYPERLINK("https://www.philgeps.gov.ph/GEPSNONPILOT/Tender/SplashBidNoticeAbstractUI.aspx?menuIndex=3&amp;refID=7168765&amp;Result=3","7168765")</f>
        <v>0</v>
      </c>
      <c r="B10643" t="s">
        <v>2481</v>
      </c>
      <c r="C10643" t="s">
        <v>13691</v>
      </c>
      <c r="D10643" t="s">
        <v>17151</v>
      </c>
      <c r="E10643" t="s">
        <v>26327</v>
      </c>
      <c r="F10643" t="s">
        <v>29372</v>
      </c>
      <c r="G10643" t="s">
        <v>29380</v>
      </c>
      <c r="H10643" t="s">
        <v>11048</v>
      </c>
      <c r="I10643" t="s">
        <v>4709</v>
      </c>
      <c r="J10643" t="s">
        <v>36272</v>
      </c>
      <c r="K10643" t="s">
        <v>38485</v>
      </c>
      <c r="M10643" t="s">
        <v>41431</v>
      </c>
      <c r="N10643" t="s">
        <v>42669</v>
      </c>
      <c r="O10643" t="s">
        <v>42670</v>
      </c>
      <c r="P10643">
        <v>0</v>
      </c>
      <c r="Q10643">
        <v>4</v>
      </c>
      <c r="R10643" t="s">
        <v>42684</v>
      </c>
      <c r="S10643" t="s">
        <v>43183</v>
      </c>
      <c r="T10643" t="s">
        <v>44354</v>
      </c>
      <c r="U10643" t="s">
        <v>53493</v>
      </c>
      <c r="W10643" t="s">
        <v>41431</v>
      </c>
      <c r="X10643" t="s">
        <v>42685</v>
      </c>
    </row>
    <row r="10644" spans="1:24">
      <c r="A10644">
        <f>HYPERLINK("https://www.philgeps.gov.ph/GEPSNONPILOT/Tender/SplashBidNoticeAbstractUI.aspx?menuIndex=3&amp;refID=7168767&amp;Result=3","7168767")</f>
        <v>0</v>
      </c>
      <c r="B10644" t="s">
        <v>1415</v>
      </c>
      <c r="C10644" t="s">
        <v>13692</v>
      </c>
      <c r="D10644" t="s">
        <v>17147</v>
      </c>
      <c r="E10644" t="s">
        <v>26328</v>
      </c>
      <c r="F10644" t="s">
        <v>29372</v>
      </c>
      <c r="G10644" t="s">
        <v>29380</v>
      </c>
      <c r="H10644" t="s">
        <v>11048</v>
      </c>
      <c r="I10644" t="s">
        <v>4487</v>
      </c>
      <c r="J10644" t="s">
        <v>29619</v>
      </c>
      <c r="K10644" t="s">
        <v>38521</v>
      </c>
      <c r="M10644" t="s">
        <v>40254</v>
      </c>
      <c r="N10644" t="s">
        <v>42669</v>
      </c>
      <c r="O10644" t="s">
        <v>42670</v>
      </c>
      <c r="P10644">
        <v>0</v>
      </c>
      <c r="Q10644">
        <v>3</v>
      </c>
      <c r="R10644" t="s">
        <v>42684</v>
      </c>
      <c r="S10644" t="s">
        <v>43183</v>
      </c>
      <c r="T10644" t="s">
        <v>44457</v>
      </c>
      <c r="U10644" t="s">
        <v>53494</v>
      </c>
      <c r="W10644" t="s">
        <v>40254</v>
      </c>
      <c r="X10644" t="s">
        <v>42685</v>
      </c>
    </row>
    <row r="10645" spans="1:24">
      <c r="A10645">
        <f>HYPERLINK("https://www.philgeps.gov.ph/GEPSNONPILOT/Tender/SplashBidNoticeAbstractUI.aspx?menuIndex=3&amp;refID=7168758&amp;Result=3","7168758")</f>
        <v>0</v>
      </c>
      <c r="B10645" t="s">
        <v>2451</v>
      </c>
      <c r="C10645" t="s">
        <v>13693</v>
      </c>
      <c r="D10645" t="s">
        <v>17228</v>
      </c>
      <c r="E10645" t="s">
        <v>26329</v>
      </c>
      <c r="F10645" t="s">
        <v>29372</v>
      </c>
      <c r="G10645" t="s">
        <v>29380</v>
      </c>
      <c r="H10645" t="s">
        <v>11048</v>
      </c>
      <c r="I10645" t="s">
        <v>29404</v>
      </c>
      <c r="J10645" t="s">
        <v>29541</v>
      </c>
      <c r="K10645" t="s">
        <v>38490</v>
      </c>
      <c r="M10645" t="s">
        <v>41399</v>
      </c>
      <c r="N10645" t="s">
        <v>42669</v>
      </c>
      <c r="O10645" t="s">
        <v>42670</v>
      </c>
      <c r="P10645">
        <v>0</v>
      </c>
      <c r="Q10645">
        <v>3</v>
      </c>
      <c r="R10645" t="s">
        <v>42684</v>
      </c>
      <c r="S10645" t="s">
        <v>43183</v>
      </c>
      <c r="T10645" t="s">
        <v>44375</v>
      </c>
      <c r="U10645" t="s">
        <v>53474</v>
      </c>
      <c r="W10645" t="s">
        <v>41399</v>
      </c>
      <c r="X10645" t="s">
        <v>42685</v>
      </c>
    </row>
    <row r="10646" spans="1:24">
      <c r="A10646">
        <f>HYPERLINK("https://www.philgeps.gov.ph/GEPSNONPILOT/Tender/SplashBidNoticeAbstractUI.aspx?menuIndex=3&amp;refID=7168776&amp;Result=3","7168776")</f>
        <v>0</v>
      </c>
      <c r="B10646" t="s">
        <v>2967</v>
      </c>
      <c r="C10646" t="s">
        <v>13694</v>
      </c>
      <c r="D10646" t="s">
        <v>17180</v>
      </c>
      <c r="E10646" t="s">
        <v>26330</v>
      </c>
      <c r="F10646" t="s">
        <v>29372</v>
      </c>
      <c r="G10646" t="s">
        <v>29380</v>
      </c>
      <c r="H10646" t="s">
        <v>11048</v>
      </c>
      <c r="I10646" t="s">
        <v>3670</v>
      </c>
      <c r="J10646" t="s">
        <v>36273</v>
      </c>
      <c r="K10646" t="s">
        <v>38485</v>
      </c>
      <c r="L10646" t="s">
        <v>2967</v>
      </c>
      <c r="M10646" t="s">
        <v>41978</v>
      </c>
      <c r="N10646" t="s">
        <v>42669</v>
      </c>
      <c r="O10646" t="s">
        <v>42670</v>
      </c>
      <c r="P10646">
        <v>0</v>
      </c>
      <c r="Q10646">
        <v>17</v>
      </c>
      <c r="R10646" t="s">
        <v>42684</v>
      </c>
      <c r="S10646" t="s">
        <v>43183</v>
      </c>
      <c r="T10646" t="s">
        <v>44560</v>
      </c>
      <c r="U10646" t="s">
        <v>53495</v>
      </c>
      <c r="V10646" t="s">
        <v>57518</v>
      </c>
      <c r="W10646" t="s">
        <v>41978</v>
      </c>
      <c r="X10646" t="s">
        <v>42685</v>
      </c>
    </row>
    <row r="10647" spans="1:24">
      <c r="A10647">
        <f>HYPERLINK("https://www.philgeps.gov.ph/GEPSNONPILOT/Tender/SplashBidNoticeAbstractUI.aspx?menuIndex=3&amp;refID=7168740&amp;Result=3","7168740")</f>
        <v>0</v>
      </c>
      <c r="B10647" t="s">
        <v>3044</v>
      </c>
      <c r="C10647" t="s">
        <v>13695</v>
      </c>
      <c r="D10647" t="s">
        <v>17188</v>
      </c>
      <c r="E10647" t="s">
        <v>26331</v>
      </c>
      <c r="F10647" t="s">
        <v>29372</v>
      </c>
      <c r="G10647" t="s">
        <v>29380</v>
      </c>
      <c r="H10647" t="s">
        <v>11048</v>
      </c>
      <c r="I10647" t="s">
        <v>9469</v>
      </c>
      <c r="J10647" t="s">
        <v>29587</v>
      </c>
      <c r="K10647" t="s">
        <v>38485</v>
      </c>
      <c r="M10647" t="s">
        <v>42066</v>
      </c>
      <c r="N10647" t="s">
        <v>42669</v>
      </c>
      <c r="O10647" t="s">
        <v>42670</v>
      </c>
      <c r="P10647">
        <v>0</v>
      </c>
      <c r="Q10647">
        <v>1</v>
      </c>
      <c r="R10647" t="s">
        <v>42684</v>
      </c>
      <c r="S10647" t="s">
        <v>43183</v>
      </c>
      <c r="T10647" t="s">
        <v>44457</v>
      </c>
      <c r="U10647" t="s">
        <v>53496</v>
      </c>
      <c r="W10647" t="s">
        <v>42066</v>
      </c>
      <c r="X10647" t="s">
        <v>42685</v>
      </c>
    </row>
    <row r="10648" spans="1:24">
      <c r="A10648">
        <f>HYPERLINK("https://www.philgeps.gov.ph/GEPSNONPILOT/Tender/SplashBidNoticeAbstractUI.aspx?menuIndex=3&amp;refID=7168999&amp;Result=3","7168999")</f>
        <v>0</v>
      </c>
      <c r="B10648" t="s">
        <v>2374</v>
      </c>
      <c r="C10648" t="s">
        <v>13696</v>
      </c>
      <c r="D10648" t="s">
        <v>17163</v>
      </c>
      <c r="E10648" t="s">
        <v>26332</v>
      </c>
      <c r="F10648" t="s">
        <v>29372</v>
      </c>
      <c r="G10648" t="s">
        <v>29379</v>
      </c>
      <c r="H10648" t="s">
        <v>11048</v>
      </c>
      <c r="I10648" t="s">
        <v>5383</v>
      </c>
      <c r="J10648" t="s">
        <v>30865</v>
      </c>
      <c r="K10648" t="s">
        <v>38490</v>
      </c>
      <c r="M10648" t="s">
        <v>41315</v>
      </c>
      <c r="N10648" t="s">
        <v>42669</v>
      </c>
      <c r="O10648" t="s">
        <v>42670</v>
      </c>
      <c r="Q10648">
        <v>3</v>
      </c>
      <c r="R10648" t="s">
        <v>42684</v>
      </c>
      <c r="S10648" t="s">
        <v>43231</v>
      </c>
      <c r="T10648" t="s">
        <v>44651</v>
      </c>
      <c r="U10648" t="s">
        <v>53497</v>
      </c>
      <c r="W10648" t="s">
        <v>58085</v>
      </c>
      <c r="X10648" t="s">
        <v>42685</v>
      </c>
    </row>
    <row r="10649" spans="1:24">
      <c r="A10649">
        <f>HYPERLINK("https://www.philgeps.gov.ph/GEPSNONPILOT/Tender/SplashBidNoticeAbstractUI.aspx?menuIndex=3&amp;refID=7168757&amp;Result=3","7168757")</f>
        <v>0</v>
      </c>
      <c r="B10649" t="s">
        <v>3045</v>
      </c>
      <c r="C10649" t="s">
        <v>13697</v>
      </c>
      <c r="D10649" t="s">
        <v>17141</v>
      </c>
      <c r="E10649" t="s">
        <v>26333</v>
      </c>
      <c r="F10649" t="s">
        <v>29372</v>
      </c>
      <c r="G10649" t="s">
        <v>29379</v>
      </c>
      <c r="H10649" t="s">
        <v>11048</v>
      </c>
      <c r="I10649" t="s">
        <v>8614</v>
      </c>
      <c r="J10649" t="s">
        <v>29529</v>
      </c>
      <c r="K10649" t="s">
        <v>38488</v>
      </c>
      <c r="M10649" t="s">
        <v>42067</v>
      </c>
      <c r="N10649" t="s">
        <v>42669</v>
      </c>
      <c r="O10649" t="s">
        <v>42670</v>
      </c>
      <c r="P10649">
        <v>0</v>
      </c>
      <c r="Q10649">
        <v>2</v>
      </c>
      <c r="R10649" t="s">
        <v>42684</v>
      </c>
      <c r="S10649" t="s">
        <v>43183</v>
      </c>
      <c r="T10649" t="s">
        <v>44417</v>
      </c>
      <c r="U10649" t="s">
        <v>53498</v>
      </c>
      <c r="W10649" t="s">
        <v>42067</v>
      </c>
      <c r="X10649" t="s">
        <v>42685</v>
      </c>
    </row>
    <row r="10650" spans="1:24">
      <c r="A10650">
        <f>HYPERLINK("https://www.philgeps.gov.ph/GEPSNONPILOT/Tender/SplashBidNoticeAbstractUI.aspx?menuIndex=3&amp;refID=7168981&amp;Result=3","7168981")</f>
        <v>0</v>
      </c>
      <c r="B10650" t="s">
        <v>1377</v>
      </c>
      <c r="C10650" t="s">
        <v>13698</v>
      </c>
      <c r="D10650" t="s">
        <v>17172</v>
      </c>
      <c r="E10650" t="s">
        <v>26334</v>
      </c>
      <c r="F10650" t="s">
        <v>29372</v>
      </c>
      <c r="G10650" t="s">
        <v>29380</v>
      </c>
      <c r="H10650" t="s">
        <v>29389</v>
      </c>
      <c r="I10650" t="s">
        <v>10408</v>
      </c>
      <c r="J10650" t="s">
        <v>30161</v>
      </c>
      <c r="K10650" t="s">
        <v>38495</v>
      </c>
      <c r="M10650" t="s">
        <v>40214</v>
      </c>
      <c r="N10650" t="s">
        <v>42669</v>
      </c>
      <c r="O10650" t="s">
        <v>42670</v>
      </c>
      <c r="P10650">
        <v>0</v>
      </c>
      <c r="Q10650">
        <v>2</v>
      </c>
      <c r="R10650" t="s">
        <v>42684</v>
      </c>
      <c r="S10650" t="s">
        <v>43183</v>
      </c>
      <c r="T10650" t="s">
        <v>44412</v>
      </c>
      <c r="U10650" t="s">
        <v>53499</v>
      </c>
      <c r="W10650" t="s">
        <v>40214</v>
      </c>
      <c r="X10650" t="s">
        <v>42685</v>
      </c>
    </row>
    <row r="10651" spans="1:24">
      <c r="A10651">
        <f>HYPERLINK("https://www.philgeps.gov.ph/GEPSNONPILOT/Tender/SplashBidNoticeAbstractUI.aspx?menuIndex=3&amp;refID=7168847&amp;Result=3","7168847")</f>
        <v>0</v>
      </c>
      <c r="B10651" t="s">
        <v>3039</v>
      </c>
      <c r="C10651" t="s">
        <v>13699</v>
      </c>
      <c r="D10651" t="s">
        <v>17157</v>
      </c>
      <c r="E10651" t="s">
        <v>26335</v>
      </c>
      <c r="F10651" t="s">
        <v>29372</v>
      </c>
      <c r="G10651" t="s">
        <v>29380</v>
      </c>
      <c r="H10651" t="s">
        <v>29389</v>
      </c>
      <c r="I10651" t="s">
        <v>10408</v>
      </c>
      <c r="J10651" t="s">
        <v>29543</v>
      </c>
      <c r="K10651" t="s">
        <v>38722</v>
      </c>
      <c r="M10651" t="s">
        <v>42061</v>
      </c>
      <c r="N10651" t="s">
        <v>42669</v>
      </c>
      <c r="O10651" t="s">
        <v>42670</v>
      </c>
      <c r="P10651">
        <v>0</v>
      </c>
      <c r="Q10651">
        <v>0</v>
      </c>
      <c r="R10651" t="s">
        <v>42684</v>
      </c>
      <c r="S10651" t="s">
        <v>43183</v>
      </c>
      <c r="T10651" t="s">
        <v>44640</v>
      </c>
      <c r="U10651" t="s">
        <v>53500</v>
      </c>
      <c r="W10651" t="s">
        <v>42061</v>
      </c>
      <c r="X10651" t="s">
        <v>42685</v>
      </c>
    </row>
    <row r="10652" spans="1:24">
      <c r="A10652">
        <f>HYPERLINK("https://www.philgeps.gov.ph/GEPSNONPILOT/Tender/SplashBidNoticeAbstractUI.aspx?menuIndex=3&amp;refID=7168970&amp;Result=3","7168970")</f>
        <v>0</v>
      </c>
      <c r="B10652" t="s">
        <v>1399</v>
      </c>
      <c r="C10652" t="s">
        <v>13700</v>
      </c>
      <c r="D10652" t="s">
        <v>17168</v>
      </c>
      <c r="E10652" t="s">
        <v>17579</v>
      </c>
      <c r="F10652" t="s">
        <v>29372</v>
      </c>
      <c r="G10652" t="s">
        <v>29380</v>
      </c>
      <c r="H10652" t="s">
        <v>11048</v>
      </c>
      <c r="I10652" t="s">
        <v>4709</v>
      </c>
      <c r="J10652" t="s">
        <v>36274</v>
      </c>
      <c r="K10652" t="s">
        <v>38510</v>
      </c>
      <c r="M10652" t="s">
        <v>40238</v>
      </c>
      <c r="N10652" t="s">
        <v>42669</v>
      </c>
      <c r="O10652" t="s">
        <v>42670</v>
      </c>
      <c r="P10652">
        <v>0</v>
      </c>
      <c r="Q10652">
        <v>3</v>
      </c>
      <c r="R10652" t="s">
        <v>42684</v>
      </c>
      <c r="S10652" t="s">
        <v>43183</v>
      </c>
      <c r="T10652" t="s">
        <v>44366</v>
      </c>
      <c r="U10652" t="s">
        <v>45484</v>
      </c>
      <c r="W10652" t="s">
        <v>40238</v>
      </c>
      <c r="X10652" t="s">
        <v>42685</v>
      </c>
    </row>
    <row r="10653" spans="1:24">
      <c r="A10653">
        <f>HYPERLINK("https://www.philgeps.gov.ph/GEPSNONPILOT/Tender/SplashBidNoticeAbstractUI.aspx?menuIndex=3&amp;refID=7168973&amp;Result=3","7168973")</f>
        <v>0</v>
      </c>
      <c r="B10653" t="s">
        <v>3046</v>
      </c>
      <c r="C10653" t="s">
        <v>13701</v>
      </c>
      <c r="D10653" t="s">
        <v>17188</v>
      </c>
      <c r="E10653" t="s">
        <v>26336</v>
      </c>
      <c r="F10653" t="s">
        <v>29372</v>
      </c>
      <c r="G10653" t="s">
        <v>29380</v>
      </c>
      <c r="H10653" t="s">
        <v>29389</v>
      </c>
      <c r="I10653" t="s">
        <v>10408</v>
      </c>
      <c r="J10653" t="s">
        <v>36275</v>
      </c>
      <c r="K10653" t="s">
        <v>38496</v>
      </c>
      <c r="M10653" t="s">
        <v>42068</v>
      </c>
      <c r="N10653" t="s">
        <v>42669</v>
      </c>
      <c r="O10653" t="s">
        <v>42670</v>
      </c>
      <c r="P10653">
        <v>0</v>
      </c>
      <c r="Q10653">
        <v>0</v>
      </c>
      <c r="R10653" t="s">
        <v>42684</v>
      </c>
      <c r="S10653" t="s">
        <v>43183</v>
      </c>
      <c r="T10653" t="s">
        <v>44457</v>
      </c>
      <c r="U10653" t="s">
        <v>53501</v>
      </c>
      <c r="W10653" t="s">
        <v>42068</v>
      </c>
      <c r="X10653" t="s">
        <v>42685</v>
      </c>
    </row>
    <row r="10654" spans="1:24">
      <c r="A10654">
        <f>HYPERLINK("https://www.philgeps.gov.ph/GEPSNONPILOT/Tender/SplashBidNoticeAbstractUI.aspx?menuIndex=3&amp;refID=7168761&amp;Result=3","7168761")</f>
        <v>0</v>
      </c>
      <c r="B10654" t="s">
        <v>61</v>
      </c>
      <c r="C10654" t="s">
        <v>13702</v>
      </c>
      <c r="D10654" t="s">
        <v>17166</v>
      </c>
      <c r="E10654" t="s">
        <v>26337</v>
      </c>
      <c r="F10654" t="s">
        <v>29372</v>
      </c>
      <c r="G10654" t="s">
        <v>29380</v>
      </c>
      <c r="H10654" t="s">
        <v>29389</v>
      </c>
      <c r="I10654" t="s">
        <v>10408</v>
      </c>
      <c r="J10654" t="s">
        <v>29590</v>
      </c>
      <c r="K10654" t="s">
        <v>38496</v>
      </c>
      <c r="M10654" t="s">
        <v>38815</v>
      </c>
      <c r="N10654" t="s">
        <v>42669</v>
      </c>
      <c r="O10654" t="s">
        <v>42670</v>
      </c>
      <c r="P10654">
        <v>0</v>
      </c>
      <c r="Q10654">
        <v>0</v>
      </c>
      <c r="R10654" t="s">
        <v>42684</v>
      </c>
      <c r="S10654" t="s">
        <v>43183</v>
      </c>
      <c r="T10654" t="s">
        <v>44427</v>
      </c>
      <c r="U10654" t="s">
        <v>53502</v>
      </c>
      <c r="W10654" t="s">
        <v>38815</v>
      </c>
      <c r="X10654" t="s">
        <v>42685</v>
      </c>
    </row>
    <row r="10655" spans="1:24">
      <c r="A10655">
        <f>HYPERLINK("https://www.philgeps.gov.ph/GEPSNONPILOT/Tender/SplashBidNoticeAbstractUI.aspx?menuIndex=3&amp;refID=7168971&amp;Result=3","7168971")</f>
        <v>0</v>
      </c>
      <c r="B10655" t="s">
        <v>2696</v>
      </c>
      <c r="C10655" t="s">
        <v>13703</v>
      </c>
      <c r="D10655" t="s">
        <v>17171</v>
      </c>
      <c r="E10655" t="s">
        <v>17994</v>
      </c>
      <c r="F10655" t="s">
        <v>29372</v>
      </c>
      <c r="G10655" t="s">
        <v>29380</v>
      </c>
      <c r="H10655" t="s">
        <v>11048</v>
      </c>
      <c r="I10655" t="s">
        <v>4709</v>
      </c>
      <c r="J10655" t="s">
        <v>36276</v>
      </c>
      <c r="K10655" t="s">
        <v>38534</v>
      </c>
      <c r="M10655" t="s">
        <v>41676</v>
      </c>
      <c r="N10655" t="s">
        <v>42669</v>
      </c>
      <c r="O10655" t="s">
        <v>42670</v>
      </c>
      <c r="P10655">
        <v>0</v>
      </c>
      <c r="Q10655">
        <v>1</v>
      </c>
      <c r="R10655" t="s">
        <v>42684</v>
      </c>
      <c r="S10655" t="s">
        <v>43183</v>
      </c>
      <c r="T10655" t="s">
        <v>44568</v>
      </c>
      <c r="U10655" t="s">
        <v>52054</v>
      </c>
      <c r="W10655" t="s">
        <v>41676</v>
      </c>
      <c r="X10655" t="s">
        <v>42685</v>
      </c>
    </row>
    <row r="10656" spans="1:24">
      <c r="A10656">
        <f>HYPERLINK("https://www.philgeps.gov.ph/GEPSNONPILOT/Tender/SplashBidNoticeAbstractUI.aspx?menuIndex=3&amp;refID=7168960&amp;Result=3","7168960")</f>
        <v>0</v>
      </c>
      <c r="B10656" t="s">
        <v>1399</v>
      </c>
      <c r="C10656" t="s">
        <v>13704</v>
      </c>
      <c r="D10656" t="s">
        <v>17168</v>
      </c>
      <c r="E10656" t="s">
        <v>22419</v>
      </c>
      <c r="F10656" t="s">
        <v>29372</v>
      </c>
      <c r="G10656" t="s">
        <v>29380</v>
      </c>
      <c r="H10656" t="s">
        <v>11048</v>
      </c>
      <c r="I10656" t="s">
        <v>4709</v>
      </c>
      <c r="J10656" t="s">
        <v>36277</v>
      </c>
      <c r="K10656" t="s">
        <v>38510</v>
      </c>
      <c r="M10656" t="s">
        <v>40238</v>
      </c>
      <c r="N10656" t="s">
        <v>42669</v>
      </c>
      <c r="O10656" t="s">
        <v>42670</v>
      </c>
      <c r="P10656">
        <v>0</v>
      </c>
      <c r="Q10656">
        <v>2</v>
      </c>
      <c r="R10656" t="s">
        <v>42684</v>
      </c>
      <c r="S10656" t="s">
        <v>43183</v>
      </c>
      <c r="T10656" t="s">
        <v>44366</v>
      </c>
      <c r="U10656" t="s">
        <v>45484</v>
      </c>
      <c r="W10656" t="s">
        <v>40238</v>
      </c>
      <c r="X10656" t="s">
        <v>42685</v>
      </c>
    </row>
    <row r="10657" spans="1:24">
      <c r="A10657">
        <f>HYPERLINK("https://www.philgeps.gov.ph/GEPSNONPILOT/Tender/SplashBidNoticeAbstractUI.aspx?menuIndex=3&amp;refID=7168950&amp;Result=3","7168950")</f>
        <v>0</v>
      </c>
      <c r="B10657" t="s">
        <v>1399</v>
      </c>
      <c r="C10657" t="s">
        <v>13705</v>
      </c>
      <c r="D10657" t="s">
        <v>17168</v>
      </c>
      <c r="E10657" t="s">
        <v>19316</v>
      </c>
      <c r="F10657" t="s">
        <v>29372</v>
      </c>
      <c r="G10657" t="s">
        <v>29380</v>
      </c>
      <c r="H10657" t="s">
        <v>11048</v>
      </c>
      <c r="I10657" t="s">
        <v>4709</v>
      </c>
      <c r="J10657" t="s">
        <v>36278</v>
      </c>
      <c r="K10657" t="s">
        <v>38510</v>
      </c>
      <c r="M10657" t="s">
        <v>40238</v>
      </c>
      <c r="N10657" t="s">
        <v>42669</v>
      </c>
      <c r="O10657" t="s">
        <v>42670</v>
      </c>
      <c r="P10657">
        <v>0</v>
      </c>
      <c r="Q10657">
        <v>2</v>
      </c>
      <c r="R10657" t="s">
        <v>42684</v>
      </c>
      <c r="S10657" t="s">
        <v>43183</v>
      </c>
      <c r="T10657" t="s">
        <v>44366</v>
      </c>
      <c r="U10657" t="s">
        <v>45484</v>
      </c>
      <c r="W10657" t="s">
        <v>40238</v>
      </c>
      <c r="X10657" t="s">
        <v>42685</v>
      </c>
    </row>
    <row r="10658" spans="1:24">
      <c r="A10658">
        <f>HYPERLINK("https://www.philgeps.gov.ph/GEPSNONPILOT/Tender/SplashBidNoticeAbstractUI.aspx?menuIndex=3&amp;refID=7168984&amp;Result=3","7168984")</f>
        <v>0</v>
      </c>
      <c r="B10658" t="s">
        <v>1617</v>
      </c>
      <c r="C10658" t="s">
        <v>13706</v>
      </c>
      <c r="D10658" t="s">
        <v>17163</v>
      </c>
      <c r="E10658" t="s">
        <v>26338</v>
      </c>
      <c r="F10658" t="s">
        <v>29372</v>
      </c>
      <c r="G10658" t="s">
        <v>29380</v>
      </c>
      <c r="H10658" t="s">
        <v>29389</v>
      </c>
      <c r="I10658" t="s">
        <v>10408</v>
      </c>
      <c r="J10658" t="s">
        <v>36279</v>
      </c>
      <c r="K10658" t="s">
        <v>38533</v>
      </c>
      <c r="M10658" t="s">
        <v>40470</v>
      </c>
      <c r="N10658" t="s">
        <v>42669</v>
      </c>
      <c r="O10658" t="s">
        <v>42670</v>
      </c>
      <c r="P10658">
        <v>0</v>
      </c>
      <c r="Q10658">
        <v>3</v>
      </c>
      <c r="R10658" t="s">
        <v>42684</v>
      </c>
      <c r="S10658" t="s">
        <v>43183</v>
      </c>
      <c r="T10658" t="s">
        <v>44619</v>
      </c>
      <c r="U10658" t="s">
        <v>53503</v>
      </c>
      <c r="W10658" t="s">
        <v>40470</v>
      </c>
      <c r="X10658" t="s">
        <v>42685</v>
      </c>
    </row>
    <row r="10659" spans="1:24">
      <c r="A10659">
        <f>HYPERLINK("https://www.philgeps.gov.ph/GEPSNONPILOT/Tender/SplashBidNoticeAbstractUI.aspx?menuIndex=3&amp;refID=7168933&amp;Result=3","7168933")</f>
        <v>0</v>
      </c>
      <c r="B10659" t="s">
        <v>669</v>
      </c>
      <c r="C10659" t="s">
        <v>13707</v>
      </c>
      <c r="D10659" t="s">
        <v>17147</v>
      </c>
      <c r="E10659" t="s">
        <v>26339</v>
      </c>
      <c r="F10659" t="s">
        <v>29372</v>
      </c>
      <c r="G10659" t="s">
        <v>29380</v>
      </c>
      <c r="H10659" t="s">
        <v>11048</v>
      </c>
      <c r="I10659" t="s">
        <v>29407</v>
      </c>
      <c r="J10659" t="s">
        <v>36280</v>
      </c>
      <c r="K10659" t="s">
        <v>38488</v>
      </c>
      <c r="M10659" t="s">
        <v>42069</v>
      </c>
      <c r="N10659" t="s">
        <v>42669</v>
      </c>
      <c r="O10659" t="s">
        <v>42670</v>
      </c>
      <c r="P10659">
        <v>0</v>
      </c>
      <c r="Q10659">
        <v>6</v>
      </c>
      <c r="R10659" t="s">
        <v>42684</v>
      </c>
      <c r="S10659" t="s">
        <v>43183</v>
      </c>
      <c r="T10659" t="s">
        <v>44411</v>
      </c>
      <c r="U10659" t="s">
        <v>53504</v>
      </c>
      <c r="V10659" t="s">
        <v>56460</v>
      </c>
      <c r="W10659" t="s">
        <v>42069</v>
      </c>
      <c r="X10659" t="s">
        <v>42685</v>
      </c>
    </row>
    <row r="10660" spans="1:24">
      <c r="A10660">
        <f>HYPERLINK("https://www.philgeps.gov.ph/GEPSNONPILOT/Tender/SplashBidNoticeAbstractUI.aspx?menuIndex=3&amp;refID=7168956&amp;Result=3","7168956")</f>
        <v>0</v>
      </c>
      <c r="B10660" t="s">
        <v>1170</v>
      </c>
      <c r="C10660" t="s">
        <v>13708</v>
      </c>
      <c r="D10660" t="s">
        <v>17169</v>
      </c>
      <c r="E10660" t="s">
        <v>26340</v>
      </c>
      <c r="F10660" t="s">
        <v>29372</v>
      </c>
      <c r="G10660" t="s">
        <v>29380</v>
      </c>
      <c r="H10660" t="s">
        <v>29389</v>
      </c>
      <c r="I10660" t="s">
        <v>10408</v>
      </c>
      <c r="J10660" t="s">
        <v>36281</v>
      </c>
      <c r="K10660" t="s">
        <v>38496</v>
      </c>
      <c r="M10660" t="s">
        <v>42070</v>
      </c>
      <c r="N10660" t="s">
        <v>42669</v>
      </c>
      <c r="O10660" t="s">
        <v>42670</v>
      </c>
      <c r="P10660">
        <v>0</v>
      </c>
      <c r="Q10660">
        <v>2</v>
      </c>
      <c r="R10660" t="s">
        <v>42684</v>
      </c>
      <c r="S10660" t="s">
        <v>43183</v>
      </c>
      <c r="T10660" t="s">
        <v>44361</v>
      </c>
      <c r="U10660" t="s">
        <v>53505</v>
      </c>
      <c r="W10660" t="s">
        <v>42070</v>
      </c>
      <c r="X10660" t="s">
        <v>42685</v>
      </c>
    </row>
    <row r="10661" spans="1:24">
      <c r="A10661">
        <f>HYPERLINK("https://www.philgeps.gov.ph/GEPSNONPILOT/Tender/SplashBidNoticeAbstractUI.aspx?menuIndex=3&amp;refID=7169000&amp;Result=3","7169000")</f>
        <v>0</v>
      </c>
      <c r="B10661" t="s">
        <v>3047</v>
      </c>
      <c r="C10661" t="s">
        <v>13709</v>
      </c>
      <c r="D10661" t="s">
        <v>17192</v>
      </c>
      <c r="E10661" t="s">
        <v>26341</v>
      </c>
      <c r="F10661" t="s">
        <v>29372</v>
      </c>
      <c r="G10661" t="s">
        <v>29380</v>
      </c>
      <c r="H10661" t="s">
        <v>11048</v>
      </c>
      <c r="I10661" t="s">
        <v>29414</v>
      </c>
      <c r="J10661" t="s">
        <v>36282</v>
      </c>
      <c r="K10661" t="s">
        <v>38485</v>
      </c>
      <c r="M10661" t="s">
        <v>42071</v>
      </c>
      <c r="N10661" t="s">
        <v>42669</v>
      </c>
      <c r="O10661" t="s">
        <v>42670</v>
      </c>
      <c r="P10661">
        <v>0</v>
      </c>
      <c r="Q10661">
        <v>9</v>
      </c>
      <c r="R10661" t="s">
        <v>42684</v>
      </c>
      <c r="S10661" t="s">
        <v>43183</v>
      </c>
      <c r="T10661" t="s">
        <v>44354</v>
      </c>
      <c r="U10661" t="s">
        <v>53506</v>
      </c>
      <c r="W10661" t="s">
        <v>58108</v>
      </c>
      <c r="X10661" t="s">
        <v>42685</v>
      </c>
    </row>
    <row r="10662" spans="1:24">
      <c r="A10662">
        <f>HYPERLINK("https://www.philgeps.gov.ph/GEPSNONPILOT/Tender/SplashBidNoticeAbstractUI.aspx?menuIndex=3&amp;refID=7169081&amp;Result=3","7169081")</f>
        <v>0</v>
      </c>
      <c r="B10662" t="s">
        <v>119</v>
      </c>
      <c r="C10662" t="s">
        <v>13710</v>
      </c>
      <c r="D10662" t="s">
        <v>17141</v>
      </c>
      <c r="E10662" t="s">
        <v>26342</v>
      </c>
      <c r="F10662" t="s">
        <v>29372</v>
      </c>
      <c r="G10662" t="s">
        <v>29380</v>
      </c>
      <c r="H10662" t="s">
        <v>29390</v>
      </c>
      <c r="I10662" t="s">
        <v>7828</v>
      </c>
      <c r="J10662" t="s">
        <v>36283</v>
      </c>
      <c r="K10662" t="s">
        <v>38495</v>
      </c>
      <c r="M10662" t="s">
        <v>42072</v>
      </c>
      <c r="N10662" t="s">
        <v>42669</v>
      </c>
      <c r="O10662" t="s">
        <v>42670</v>
      </c>
      <c r="P10662">
        <v>0</v>
      </c>
      <c r="Q10662">
        <v>20</v>
      </c>
      <c r="R10662" t="s">
        <v>42684</v>
      </c>
      <c r="S10662" t="s">
        <v>43183</v>
      </c>
      <c r="T10662" t="s">
        <v>44568</v>
      </c>
      <c r="U10662" t="s">
        <v>53507</v>
      </c>
      <c r="W10662" t="s">
        <v>42072</v>
      </c>
      <c r="X10662" t="s">
        <v>42685</v>
      </c>
    </row>
    <row r="10663" spans="1:24">
      <c r="A10663">
        <f>HYPERLINK("https://www.philgeps.gov.ph/GEPSNONPILOT/Tender/SplashBidNoticeAbstractUI.aspx?menuIndex=3&amp;refID=7169077&amp;Result=3","7169077")</f>
        <v>0</v>
      </c>
      <c r="B10663" t="s">
        <v>3047</v>
      </c>
      <c r="C10663" t="s">
        <v>13711</v>
      </c>
      <c r="D10663" t="s">
        <v>17192</v>
      </c>
      <c r="E10663" t="s">
        <v>26343</v>
      </c>
      <c r="F10663" t="s">
        <v>29372</v>
      </c>
      <c r="G10663" t="s">
        <v>29380</v>
      </c>
      <c r="H10663" t="s">
        <v>11048</v>
      </c>
      <c r="I10663" t="s">
        <v>29397</v>
      </c>
      <c r="J10663" t="s">
        <v>29540</v>
      </c>
      <c r="K10663" t="s">
        <v>38485</v>
      </c>
      <c r="M10663" t="s">
        <v>42071</v>
      </c>
      <c r="N10663" t="s">
        <v>42669</v>
      </c>
      <c r="O10663" t="s">
        <v>42670</v>
      </c>
      <c r="Q10663">
        <v>14</v>
      </c>
      <c r="R10663" t="s">
        <v>42684</v>
      </c>
      <c r="S10663" t="s">
        <v>43232</v>
      </c>
      <c r="T10663" t="s">
        <v>44354</v>
      </c>
      <c r="U10663" t="s">
        <v>53508</v>
      </c>
      <c r="W10663" t="s">
        <v>58108</v>
      </c>
      <c r="X10663" t="s">
        <v>42685</v>
      </c>
    </row>
    <row r="10664" spans="1:24">
      <c r="A10664">
        <f>HYPERLINK("https://www.philgeps.gov.ph/GEPSNONPILOT/Tender/SplashBidNoticeAbstractUI.aspx?menuIndex=3&amp;refID=7168944&amp;Result=3","7168944")</f>
        <v>0</v>
      </c>
      <c r="B10664" t="s">
        <v>2589</v>
      </c>
      <c r="C10664" t="s">
        <v>13712</v>
      </c>
      <c r="D10664" t="s">
        <v>17145</v>
      </c>
      <c r="E10664" t="s">
        <v>26344</v>
      </c>
      <c r="F10664" t="s">
        <v>29372</v>
      </c>
      <c r="G10664" t="s">
        <v>29380</v>
      </c>
      <c r="H10664" t="s">
        <v>11048</v>
      </c>
      <c r="I10664" t="s">
        <v>3670</v>
      </c>
      <c r="J10664" t="s">
        <v>36284</v>
      </c>
      <c r="K10664" t="s">
        <v>38485</v>
      </c>
      <c r="M10664" t="s">
        <v>41556</v>
      </c>
      <c r="N10664" t="s">
        <v>42669</v>
      </c>
      <c r="O10664" t="s">
        <v>42670</v>
      </c>
      <c r="Q10664">
        <v>6</v>
      </c>
      <c r="R10664" t="s">
        <v>42684</v>
      </c>
      <c r="S10664" t="s">
        <v>42913</v>
      </c>
      <c r="T10664" t="s">
        <v>44375</v>
      </c>
      <c r="U10664" t="s">
        <v>53509</v>
      </c>
      <c r="W10664" t="s">
        <v>41556</v>
      </c>
      <c r="X10664" t="s">
        <v>42685</v>
      </c>
    </row>
    <row r="10665" spans="1:24">
      <c r="A10665">
        <f>HYPERLINK("https://www.philgeps.gov.ph/GEPSNONPILOT/Tender/SplashBidNoticeAbstractUI.aspx?menuIndex=3&amp;refID=7169066&amp;Result=3","7169066")</f>
        <v>0</v>
      </c>
      <c r="B10665" t="s">
        <v>3048</v>
      </c>
      <c r="C10665" t="s">
        <v>13713</v>
      </c>
      <c r="E10665" t="s">
        <v>26345</v>
      </c>
      <c r="F10665" t="s">
        <v>29372</v>
      </c>
      <c r="G10665" t="s">
        <v>29380</v>
      </c>
      <c r="H10665" t="s">
        <v>11048</v>
      </c>
      <c r="I10665" t="s">
        <v>29428</v>
      </c>
      <c r="J10665" t="s">
        <v>36285</v>
      </c>
      <c r="K10665" t="s">
        <v>38496</v>
      </c>
      <c r="M10665" t="s">
        <v>42073</v>
      </c>
      <c r="N10665" t="s">
        <v>42669</v>
      </c>
      <c r="O10665" t="s">
        <v>42670</v>
      </c>
      <c r="P10665">
        <v>0</v>
      </c>
      <c r="Q10665">
        <v>4</v>
      </c>
      <c r="R10665" t="s">
        <v>42684</v>
      </c>
      <c r="S10665" t="s">
        <v>43183</v>
      </c>
      <c r="T10665" t="s">
        <v>44411</v>
      </c>
      <c r="U10665" t="s">
        <v>53510</v>
      </c>
      <c r="W10665" t="s">
        <v>42073</v>
      </c>
      <c r="X10665" t="s">
        <v>42685</v>
      </c>
    </row>
    <row r="10666" spans="1:24">
      <c r="A10666">
        <f>HYPERLINK("https://www.philgeps.gov.ph/GEPSNONPILOT/Tender/SplashBidNoticeAbstractUI.aspx?menuIndex=3&amp;refID=7168804&amp;Result=3","7168804")</f>
        <v>0</v>
      </c>
      <c r="B10666" t="s">
        <v>1415</v>
      </c>
      <c r="C10666" t="s">
        <v>13714</v>
      </c>
      <c r="D10666" t="s">
        <v>17147</v>
      </c>
      <c r="E10666" t="s">
        <v>26346</v>
      </c>
      <c r="F10666" t="s">
        <v>29372</v>
      </c>
      <c r="G10666" t="s">
        <v>29380</v>
      </c>
      <c r="H10666" t="s">
        <v>29389</v>
      </c>
      <c r="I10666" t="s">
        <v>10408</v>
      </c>
      <c r="J10666" t="s">
        <v>36286</v>
      </c>
      <c r="K10666" t="s">
        <v>38660</v>
      </c>
      <c r="M10666" t="s">
        <v>40254</v>
      </c>
      <c r="N10666" t="s">
        <v>42669</v>
      </c>
      <c r="O10666" t="s">
        <v>42670</v>
      </c>
      <c r="P10666">
        <v>0</v>
      </c>
      <c r="Q10666">
        <v>0</v>
      </c>
      <c r="R10666" t="s">
        <v>42684</v>
      </c>
      <c r="S10666" t="s">
        <v>43183</v>
      </c>
      <c r="T10666" t="s">
        <v>44457</v>
      </c>
      <c r="U10666" t="s">
        <v>53511</v>
      </c>
      <c r="W10666" t="s">
        <v>40254</v>
      </c>
      <c r="X10666" t="s">
        <v>42685</v>
      </c>
    </row>
    <row r="10667" spans="1:24">
      <c r="A10667">
        <f>HYPERLINK("https://www.philgeps.gov.ph/GEPSNONPILOT/Tender/SplashBidNoticeAbstractUI.aspx?menuIndex=3&amp;refID=7169044&amp;Result=3","7169044")</f>
        <v>0</v>
      </c>
      <c r="B10667" t="s">
        <v>1515</v>
      </c>
      <c r="C10667" t="s">
        <v>13715</v>
      </c>
      <c r="D10667" t="s">
        <v>17174</v>
      </c>
      <c r="E10667" t="s">
        <v>26347</v>
      </c>
      <c r="F10667" t="s">
        <v>29372</v>
      </c>
      <c r="G10667" t="s">
        <v>29380</v>
      </c>
      <c r="H10667" t="s">
        <v>11048</v>
      </c>
      <c r="I10667" t="s">
        <v>29393</v>
      </c>
      <c r="J10667" t="s">
        <v>30310</v>
      </c>
      <c r="K10667" t="s">
        <v>38490</v>
      </c>
      <c r="M10667" t="s">
        <v>40359</v>
      </c>
      <c r="N10667" t="s">
        <v>42669</v>
      </c>
      <c r="O10667" t="s">
        <v>42670</v>
      </c>
      <c r="P10667">
        <v>0</v>
      </c>
      <c r="Q10667">
        <v>0</v>
      </c>
      <c r="R10667" t="s">
        <v>42684</v>
      </c>
      <c r="S10667" t="s">
        <v>43183</v>
      </c>
      <c r="T10667" t="s">
        <v>44400</v>
      </c>
      <c r="U10667" t="s">
        <v>53512</v>
      </c>
      <c r="W10667" t="s">
        <v>40359</v>
      </c>
      <c r="X10667" t="s">
        <v>42685</v>
      </c>
    </row>
    <row r="10668" spans="1:24">
      <c r="A10668">
        <f>HYPERLINK("https://www.philgeps.gov.ph/GEPSNONPILOT/Tender/SplashBidNoticeAbstractUI.aspx?menuIndex=3&amp;refID=7169043&amp;Result=3","7169043")</f>
        <v>0</v>
      </c>
      <c r="B10668" t="s">
        <v>1289</v>
      </c>
      <c r="C10668" t="s">
        <v>13716</v>
      </c>
      <c r="D10668" t="s">
        <v>17202</v>
      </c>
      <c r="E10668" t="s">
        <v>26348</v>
      </c>
      <c r="F10668" t="s">
        <v>29372</v>
      </c>
      <c r="G10668" t="s">
        <v>29380</v>
      </c>
      <c r="H10668" t="s">
        <v>11048</v>
      </c>
      <c r="I10668" t="s">
        <v>8794</v>
      </c>
      <c r="J10668" t="s">
        <v>36287</v>
      </c>
      <c r="K10668" t="s">
        <v>38489</v>
      </c>
      <c r="L10668" t="s">
        <v>1289</v>
      </c>
      <c r="M10668" t="s">
        <v>40118</v>
      </c>
      <c r="N10668" t="s">
        <v>42669</v>
      </c>
      <c r="O10668" t="s">
        <v>42670</v>
      </c>
      <c r="P10668">
        <v>0</v>
      </c>
      <c r="Q10668">
        <v>1</v>
      </c>
      <c r="R10668" t="s">
        <v>42684</v>
      </c>
      <c r="S10668" t="s">
        <v>43183</v>
      </c>
      <c r="T10668" t="s">
        <v>44412</v>
      </c>
      <c r="U10668" t="s">
        <v>50900</v>
      </c>
      <c r="W10668" t="s">
        <v>40118</v>
      </c>
      <c r="X10668" t="s">
        <v>42685</v>
      </c>
    </row>
    <row r="10669" spans="1:24">
      <c r="A10669">
        <f>HYPERLINK("https://www.philgeps.gov.ph/GEPSNONPILOT/Tender/SplashBidNoticeAbstractUI.aspx?menuIndex=3&amp;refID=7169068&amp;Result=3","7169068")</f>
        <v>0</v>
      </c>
      <c r="B10669" t="s">
        <v>867</v>
      </c>
      <c r="C10669" t="s">
        <v>7189</v>
      </c>
      <c r="D10669" t="s">
        <v>17226</v>
      </c>
      <c r="E10669" t="s">
        <v>19628</v>
      </c>
      <c r="F10669" t="s">
        <v>29372</v>
      </c>
      <c r="G10669" t="s">
        <v>29380</v>
      </c>
      <c r="H10669" t="s">
        <v>11048</v>
      </c>
      <c r="I10669" t="s">
        <v>29407</v>
      </c>
      <c r="J10669" t="s">
        <v>36288</v>
      </c>
      <c r="K10669" t="s">
        <v>38503</v>
      </c>
      <c r="L10669" t="s">
        <v>867</v>
      </c>
      <c r="M10669" t="s">
        <v>39659</v>
      </c>
      <c r="N10669" t="s">
        <v>42669</v>
      </c>
      <c r="O10669" t="s">
        <v>42670</v>
      </c>
      <c r="P10669">
        <v>0</v>
      </c>
      <c r="Q10669">
        <v>2</v>
      </c>
      <c r="R10669" t="s">
        <v>42684</v>
      </c>
      <c r="S10669" t="s">
        <v>43183</v>
      </c>
      <c r="T10669" t="s">
        <v>44412</v>
      </c>
      <c r="U10669" t="s">
        <v>53513</v>
      </c>
      <c r="W10669" t="s">
        <v>39659</v>
      </c>
      <c r="X10669" t="s">
        <v>42685</v>
      </c>
    </row>
    <row r="10670" spans="1:24">
      <c r="A10670">
        <f>HYPERLINK("https://www.philgeps.gov.ph/GEPSNONPILOT/Tender/SplashBidNoticeAbstractUI.aspx?menuIndex=3&amp;refID=7169028&amp;Result=3","7169028")</f>
        <v>0</v>
      </c>
      <c r="B10670" t="s">
        <v>1617</v>
      </c>
      <c r="C10670" t="s">
        <v>13717</v>
      </c>
      <c r="D10670" t="s">
        <v>17163</v>
      </c>
      <c r="E10670" t="s">
        <v>26338</v>
      </c>
      <c r="F10670" t="s">
        <v>29372</v>
      </c>
      <c r="G10670" t="s">
        <v>29380</v>
      </c>
      <c r="H10670" t="s">
        <v>29389</v>
      </c>
      <c r="I10670" t="s">
        <v>10408</v>
      </c>
      <c r="J10670" t="s">
        <v>36289</v>
      </c>
      <c r="K10670" t="s">
        <v>38495</v>
      </c>
      <c r="M10670" t="s">
        <v>40470</v>
      </c>
      <c r="N10670" t="s">
        <v>42669</v>
      </c>
      <c r="O10670" t="s">
        <v>42670</v>
      </c>
      <c r="P10670">
        <v>0</v>
      </c>
      <c r="Q10670">
        <v>2</v>
      </c>
      <c r="R10670" t="s">
        <v>42684</v>
      </c>
      <c r="S10670" t="s">
        <v>43183</v>
      </c>
      <c r="T10670" t="s">
        <v>44539</v>
      </c>
      <c r="U10670" t="s">
        <v>53503</v>
      </c>
      <c r="W10670" t="s">
        <v>40470</v>
      </c>
      <c r="X10670" t="s">
        <v>42685</v>
      </c>
    </row>
    <row r="10671" spans="1:24">
      <c r="A10671">
        <f>HYPERLINK("https://www.philgeps.gov.ph/GEPSNONPILOT/Tender/SplashBidNoticeAbstractUI.aspx?menuIndex=3&amp;refID=7168662&amp;Result=3","7168662")</f>
        <v>0</v>
      </c>
      <c r="B10671" t="s">
        <v>3049</v>
      </c>
      <c r="C10671" t="s">
        <v>13718</v>
      </c>
      <c r="D10671" t="s">
        <v>17177</v>
      </c>
      <c r="E10671" t="s">
        <v>26237</v>
      </c>
      <c r="F10671" t="s">
        <v>29372</v>
      </c>
      <c r="G10671" t="s">
        <v>29380</v>
      </c>
      <c r="H10671" t="s">
        <v>11048</v>
      </c>
      <c r="I10671" t="s">
        <v>29398</v>
      </c>
      <c r="J10671" t="s">
        <v>36290</v>
      </c>
      <c r="K10671" t="s">
        <v>38503</v>
      </c>
      <c r="M10671" t="s">
        <v>42074</v>
      </c>
      <c r="N10671" t="s">
        <v>42669</v>
      </c>
      <c r="O10671" t="s">
        <v>42670</v>
      </c>
      <c r="P10671">
        <v>0</v>
      </c>
      <c r="Q10671">
        <v>0</v>
      </c>
      <c r="R10671" t="s">
        <v>42684</v>
      </c>
      <c r="S10671" t="s">
        <v>43183</v>
      </c>
      <c r="T10671" t="s">
        <v>44375</v>
      </c>
      <c r="U10671" t="s">
        <v>53514</v>
      </c>
      <c r="W10671" t="s">
        <v>42074</v>
      </c>
      <c r="X10671" t="s">
        <v>42685</v>
      </c>
    </row>
    <row r="10672" spans="1:24">
      <c r="A10672">
        <f>HYPERLINK("https://www.philgeps.gov.ph/GEPSNONPILOT/Tender/SplashBidNoticeAbstractUI.aspx?menuIndex=3&amp;refID=7169021&amp;Result=3","7169021")</f>
        <v>0</v>
      </c>
      <c r="B10672" t="s">
        <v>2153</v>
      </c>
      <c r="C10672" t="s">
        <v>13719</v>
      </c>
      <c r="D10672" t="s">
        <v>17170</v>
      </c>
      <c r="E10672" t="s">
        <v>26349</v>
      </c>
      <c r="F10672" t="s">
        <v>29372</v>
      </c>
      <c r="G10672" t="s">
        <v>29380</v>
      </c>
      <c r="H10672" t="s">
        <v>29389</v>
      </c>
      <c r="I10672" t="s">
        <v>10408</v>
      </c>
      <c r="J10672" t="s">
        <v>29526</v>
      </c>
      <c r="K10672" t="s">
        <v>38518</v>
      </c>
      <c r="M10672" t="s">
        <v>41061</v>
      </c>
      <c r="N10672" t="s">
        <v>42669</v>
      </c>
      <c r="O10672" t="s">
        <v>42670</v>
      </c>
      <c r="P10672">
        <v>0</v>
      </c>
      <c r="Q10672">
        <v>0</v>
      </c>
      <c r="R10672" t="s">
        <v>42684</v>
      </c>
      <c r="S10672" t="s">
        <v>43183</v>
      </c>
      <c r="T10672" t="s">
        <v>44401</v>
      </c>
      <c r="U10672" t="s">
        <v>53515</v>
      </c>
      <c r="V10672" t="s">
        <v>57576</v>
      </c>
      <c r="W10672" t="s">
        <v>41061</v>
      </c>
      <c r="X10672" t="s">
        <v>42685</v>
      </c>
    </row>
    <row r="10673" spans="1:24">
      <c r="A10673">
        <f>HYPERLINK("https://www.philgeps.gov.ph/GEPSNONPILOT/Tender/SplashBidNoticeAbstractUI.aspx?menuIndex=3&amp;refID=7169012&amp;Result=3","7169012")</f>
        <v>0</v>
      </c>
      <c r="B10673" t="s">
        <v>1617</v>
      </c>
      <c r="C10673" t="s">
        <v>13720</v>
      </c>
      <c r="D10673" t="s">
        <v>17163</v>
      </c>
      <c r="E10673" t="s">
        <v>26338</v>
      </c>
      <c r="F10673" t="s">
        <v>29372</v>
      </c>
      <c r="G10673" t="s">
        <v>29380</v>
      </c>
      <c r="H10673" t="s">
        <v>29389</v>
      </c>
      <c r="I10673" t="s">
        <v>10408</v>
      </c>
      <c r="J10673" t="s">
        <v>36291</v>
      </c>
      <c r="K10673" t="s">
        <v>38522</v>
      </c>
      <c r="M10673" t="s">
        <v>40470</v>
      </c>
      <c r="N10673" t="s">
        <v>42669</v>
      </c>
      <c r="O10673" t="s">
        <v>42670</v>
      </c>
      <c r="P10673">
        <v>0</v>
      </c>
      <c r="Q10673">
        <v>2</v>
      </c>
      <c r="R10673" t="s">
        <v>42684</v>
      </c>
      <c r="S10673" t="s">
        <v>43183</v>
      </c>
      <c r="T10673" t="s">
        <v>44619</v>
      </c>
      <c r="U10673" t="s">
        <v>53503</v>
      </c>
      <c r="W10673" t="s">
        <v>40470</v>
      </c>
      <c r="X10673" t="s">
        <v>42685</v>
      </c>
    </row>
    <row r="10674" spans="1:24">
      <c r="A10674">
        <f>HYPERLINK("https://www.philgeps.gov.ph/GEPSNONPILOT/Tender/SplashBidNoticeAbstractUI.aspx?menuIndex=3&amp;refID=7169031&amp;Result=3","7169031")</f>
        <v>0</v>
      </c>
      <c r="B10674" t="s">
        <v>883</v>
      </c>
      <c r="C10674" t="s">
        <v>13721</v>
      </c>
      <c r="D10674" t="s">
        <v>17161</v>
      </c>
      <c r="E10674" t="s">
        <v>26350</v>
      </c>
      <c r="F10674" t="s">
        <v>29372</v>
      </c>
      <c r="G10674" t="s">
        <v>29380</v>
      </c>
      <c r="H10674" t="s">
        <v>11048</v>
      </c>
      <c r="I10674" t="s">
        <v>10408</v>
      </c>
      <c r="J10674" t="s">
        <v>36292</v>
      </c>
      <c r="K10674" t="s">
        <v>38538</v>
      </c>
      <c r="M10674" t="s">
        <v>39675</v>
      </c>
      <c r="N10674" t="s">
        <v>42669</v>
      </c>
      <c r="O10674" t="s">
        <v>42670</v>
      </c>
      <c r="P10674">
        <v>0</v>
      </c>
      <c r="Q10674">
        <v>0</v>
      </c>
      <c r="R10674" t="s">
        <v>42684</v>
      </c>
      <c r="S10674" t="s">
        <v>43183</v>
      </c>
      <c r="T10674" t="s">
        <v>44357</v>
      </c>
      <c r="U10674" t="s">
        <v>53516</v>
      </c>
      <c r="W10674" t="s">
        <v>39675</v>
      </c>
      <c r="X10674" t="s">
        <v>42685</v>
      </c>
    </row>
    <row r="10675" spans="1:24">
      <c r="A10675">
        <f>HYPERLINK("https://www.philgeps.gov.ph/GEPSNONPILOT/Tender/SplashBidNoticeAbstractUI.aspx?menuIndex=3&amp;refID=7169009&amp;Result=3","7169009")</f>
        <v>0</v>
      </c>
      <c r="B10675" t="s">
        <v>3038</v>
      </c>
      <c r="C10675" t="s">
        <v>13722</v>
      </c>
      <c r="D10675" t="s">
        <v>17169</v>
      </c>
      <c r="E10675" t="s">
        <v>26351</v>
      </c>
      <c r="F10675" t="s">
        <v>29372</v>
      </c>
      <c r="G10675" t="s">
        <v>29380</v>
      </c>
      <c r="H10675" t="s">
        <v>11048</v>
      </c>
      <c r="I10675" t="s">
        <v>3839</v>
      </c>
      <c r="J10675" t="s">
        <v>30056</v>
      </c>
      <c r="K10675" t="s">
        <v>38510</v>
      </c>
      <c r="M10675" t="s">
        <v>42060</v>
      </c>
      <c r="N10675" t="s">
        <v>42669</v>
      </c>
      <c r="O10675" t="s">
        <v>42670</v>
      </c>
      <c r="P10675">
        <v>0</v>
      </c>
      <c r="Q10675">
        <v>15</v>
      </c>
      <c r="R10675" t="s">
        <v>42684</v>
      </c>
      <c r="S10675" t="s">
        <v>43183</v>
      </c>
      <c r="T10675" t="s">
        <v>44568</v>
      </c>
      <c r="U10675" t="s">
        <v>53517</v>
      </c>
      <c r="W10675" t="s">
        <v>42060</v>
      </c>
      <c r="X10675" t="s">
        <v>42685</v>
      </c>
    </row>
    <row r="10676" spans="1:24">
      <c r="A10676">
        <f>HYPERLINK("https://www.philgeps.gov.ph/GEPSNONPILOT/Tender/SplashBidNoticeAbstractUI.aspx?menuIndex=3&amp;refID=7169007&amp;Result=3","7169007")</f>
        <v>0</v>
      </c>
      <c r="B10676" t="s">
        <v>3050</v>
      </c>
      <c r="C10676" t="s">
        <v>13723</v>
      </c>
      <c r="D10676" t="s">
        <v>17198</v>
      </c>
      <c r="E10676" t="s">
        <v>26352</v>
      </c>
      <c r="F10676" t="s">
        <v>29372</v>
      </c>
      <c r="G10676" t="s">
        <v>29380</v>
      </c>
      <c r="H10676" t="s">
        <v>11048</v>
      </c>
      <c r="I10676" t="s">
        <v>29394</v>
      </c>
      <c r="J10676" t="s">
        <v>36293</v>
      </c>
      <c r="K10676" t="s">
        <v>38485</v>
      </c>
      <c r="M10676" t="s">
        <v>42075</v>
      </c>
      <c r="N10676" t="s">
        <v>42669</v>
      </c>
      <c r="O10676" t="s">
        <v>42670</v>
      </c>
      <c r="Q10676">
        <v>1</v>
      </c>
      <c r="R10676" t="s">
        <v>42684</v>
      </c>
      <c r="S10676" t="s">
        <v>43233</v>
      </c>
      <c r="T10676" t="s">
        <v>44457</v>
      </c>
      <c r="U10676" t="s">
        <v>53518</v>
      </c>
      <c r="W10676" t="s">
        <v>42075</v>
      </c>
      <c r="X10676" t="s">
        <v>42685</v>
      </c>
    </row>
    <row r="10677" spans="1:24">
      <c r="A10677">
        <f>HYPERLINK("https://www.philgeps.gov.ph/GEPSNONPILOT/Tender/SplashBidNoticeAbstractUI.aspx?menuIndex=3&amp;refID=7169017&amp;Result=3","7169017")</f>
        <v>0</v>
      </c>
      <c r="B10677" t="s">
        <v>1617</v>
      </c>
      <c r="C10677" t="s">
        <v>13724</v>
      </c>
      <c r="D10677" t="s">
        <v>17163</v>
      </c>
      <c r="E10677" t="s">
        <v>26338</v>
      </c>
      <c r="F10677" t="s">
        <v>29372</v>
      </c>
      <c r="G10677" t="s">
        <v>29380</v>
      </c>
      <c r="H10677" t="s">
        <v>29389</v>
      </c>
      <c r="I10677" t="s">
        <v>10408</v>
      </c>
      <c r="J10677" t="s">
        <v>36294</v>
      </c>
      <c r="K10677" t="s">
        <v>38490</v>
      </c>
      <c r="M10677" t="s">
        <v>40470</v>
      </c>
      <c r="N10677" t="s">
        <v>42669</v>
      </c>
      <c r="O10677" t="s">
        <v>42670</v>
      </c>
      <c r="P10677">
        <v>0</v>
      </c>
      <c r="Q10677">
        <v>1</v>
      </c>
      <c r="R10677" t="s">
        <v>42684</v>
      </c>
      <c r="S10677" t="s">
        <v>43183</v>
      </c>
      <c r="T10677" t="s">
        <v>44619</v>
      </c>
      <c r="U10677" t="s">
        <v>53503</v>
      </c>
      <c r="W10677" t="s">
        <v>40470</v>
      </c>
      <c r="X10677" t="s">
        <v>42685</v>
      </c>
    </row>
    <row r="10678" spans="1:24">
      <c r="A10678">
        <f>HYPERLINK("https://www.philgeps.gov.ph/GEPSNONPILOT/Tender/SplashBidNoticeAbstractUI.aspx?menuIndex=3&amp;refID=7169005&amp;Result=3","7169005")</f>
        <v>0</v>
      </c>
      <c r="B10678" t="s">
        <v>2817</v>
      </c>
      <c r="C10678" t="s">
        <v>13630</v>
      </c>
      <c r="D10678" t="s">
        <v>17194</v>
      </c>
      <c r="E10678" t="s">
        <v>22419</v>
      </c>
      <c r="F10678" t="s">
        <v>29372</v>
      </c>
      <c r="G10678" t="s">
        <v>29380</v>
      </c>
      <c r="H10678" t="s">
        <v>11048</v>
      </c>
      <c r="I10678" t="s">
        <v>4709</v>
      </c>
      <c r="J10678" t="s">
        <v>36295</v>
      </c>
      <c r="K10678" t="s">
        <v>38485</v>
      </c>
      <c r="M10678" t="s">
        <v>41806</v>
      </c>
      <c r="N10678" t="s">
        <v>42669</v>
      </c>
      <c r="O10678" t="s">
        <v>42670</v>
      </c>
      <c r="P10678">
        <v>0</v>
      </c>
      <c r="Q10678">
        <v>0</v>
      </c>
      <c r="R10678" t="s">
        <v>42684</v>
      </c>
      <c r="S10678" t="s">
        <v>43183</v>
      </c>
      <c r="T10678" t="s">
        <v>44371</v>
      </c>
      <c r="U10678" t="s">
        <v>53519</v>
      </c>
      <c r="W10678" t="s">
        <v>41806</v>
      </c>
      <c r="X10678" t="s">
        <v>42685</v>
      </c>
    </row>
    <row r="10679" spans="1:24">
      <c r="A10679">
        <f>HYPERLINK("https://www.philgeps.gov.ph/GEPSNONPILOT/Tender/SplashBidNoticeAbstractUI.aspx?menuIndex=3&amp;refID=7169013&amp;Result=3","7169013")</f>
        <v>0</v>
      </c>
      <c r="B10679" t="s">
        <v>2817</v>
      </c>
      <c r="C10679" t="s">
        <v>13725</v>
      </c>
      <c r="D10679" t="s">
        <v>17194</v>
      </c>
      <c r="E10679" t="s">
        <v>17579</v>
      </c>
      <c r="F10679" t="s">
        <v>29372</v>
      </c>
      <c r="G10679" t="s">
        <v>29380</v>
      </c>
      <c r="H10679" t="s">
        <v>11048</v>
      </c>
      <c r="I10679" t="s">
        <v>5383</v>
      </c>
      <c r="J10679" t="s">
        <v>36296</v>
      </c>
      <c r="K10679" t="s">
        <v>38485</v>
      </c>
      <c r="M10679" t="s">
        <v>41806</v>
      </c>
      <c r="N10679" t="s">
        <v>42669</v>
      </c>
      <c r="O10679" t="s">
        <v>42670</v>
      </c>
      <c r="P10679">
        <v>0</v>
      </c>
      <c r="Q10679">
        <v>4</v>
      </c>
      <c r="R10679" t="s">
        <v>42684</v>
      </c>
      <c r="S10679" t="s">
        <v>43183</v>
      </c>
      <c r="T10679" t="s">
        <v>44371</v>
      </c>
      <c r="U10679" t="s">
        <v>53520</v>
      </c>
      <c r="W10679" t="s">
        <v>41806</v>
      </c>
      <c r="X10679" t="s">
        <v>42685</v>
      </c>
    </row>
    <row r="10680" spans="1:24">
      <c r="A10680">
        <f>HYPERLINK("https://www.philgeps.gov.ph/GEPSNONPILOT/Tender/SplashBidNoticeAbstractUI.aspx?menuIndex=3&amp;refID=7169004&amp;Result=3","7169004")</f>
        <v>0</v>
      </c>
      <c r="B10680" t="s">
        <v>1617</v>
      </c>
      <c r="C10680" t="s">
        <v>13726</v>
      </c>
      <c r="D10680" t="s">
        <v>17163</v>
      </c>
      <c r="E10680" t="s">
        <v>26338</v>
      </c>
      <c r="F10680" t="s">
        <v>29372</v>
      </c>
      <c r="G10680" t="s">
        <v>29380</v>
      </c>
      <c r="H10680" t="s">
        <v>29389</v>
      </c>
      <c r="I10680" t="s">
        <v>10408</v>
      </c>
      <c r="J10680" t="s">
        <v>36297</v>
      </c>
      <c r="K10680" t="s">
        <v>38564</v>
      </c>
      <c r="M10680" t="s">
        <v>40470</v>
      </c>
      <c r="N10680" t="s">
        <v>42669</v>
      </c>
      <c r="O10680" t="s">
        <v>42670</v>
      </c>
      <c r="P10680">
        <v>0</v>
      </c>
      <c r="Q10680">
        <v>1</v>
      </c>
      <c r="R10680" t="s">
        <v>42684</v>
      </c>
      <c r="S10680" t="s">
        <v>43183</v>
      </c>
      <c r="T10680" t="s">
        <v>44619</v>
      </c>
      <c r="U10680" t="s">
        <v>53503</v>
      </c>
      <c r="W10680" t="s">
        <v>40470</v>
      </c>
      <c r="X10680" t="s">
        <v>42685</v>
      </c>
    </row>
    <row r="10681" spans="1:24">
      <c r="A10681">
        <f>HYPERLINK("https://www.philgeps.gov.ph/GEPSNONPILOT/Tender/SplashBidNoticeAbstractUI.aspx?menuIndex=3&amp;refID=7168910&amp;Result=3","7168910")</f>
        <v>0</v>
      </c>
      <c r="B10681" t="s">
        <v>1617</v>
      </c>
      <c r="C10681" t="s">
        <v>13727</v>
      </c>
      <c r="D10681" t="s">
        <v>17163</v>
      </c>
      <c r="E10681" t="s">
        <v>26338</v>
      </c>
      <c r="F10681" t="s">
        <v>29372</v>
      </c>
      <c r="G10681" t="s">
        <v>29380</v>
      </c>
      <c r="H10681" t="s">
        <v>29389</v>
      </c>
      <c r="I10681" t="s">
        <v>10408</v>
      </c>
      <c r="J10681" t="s">
        <v>36298</v>
      </c>
      <c r="K10681" t="s">
        <v>38496</v>
      </c>
      <c r="M10681" t="s">
        <v>40470</v>
      </c>
      <c r="N10681" t="s">
        <v>42669</v>
      </c>
      <c r="O10681" t="s">
        <v>42670</v>
      </c>
      <c r="P10681">
        <v>0</v>
      </c>
      <c r="Q10681">
        <v>1</v>
      </c>
      <c r="R10681" t="s">
        <v>42684</v>
      </c>
      <c r="S10681" t="s">
        <v>43183</v>
      </c>
      <c r="T10681" t="s">
        <v>44619</v>
      </c>
      <c r="U10681" t="s">
        <v>53503</v>
      </c>
      <c r="W10681" t="s">
        <v>40470</v>
      </c>
      <c r="X10681" t="s">
        <v>42685</v>
      </c>
    </row>
    <row r="10682" spans="1:24">
      <c r="A10682">
        <f>HYPERLINK("https://www.philgeps.gov.ph/GEPSNONPILOT/Tender/SplashBidNoticeAbstractUI.aspx?menuIndex=3&amp;refID=7168906&amp;Result=3","7168906")</f>
        <v>0</v>
      </c>
      <c r="B10682" t="s">
        <v>3051</v>
      </c>
      <c r="C10682" t="s">
        <v>13728</v>
      </c>
      <c r="D10682" t="s">
        <v>17153</v>
      </c>
      <c r="E10682" t="s">
        <v>26353</v>
      </c>
      <c r="F10682" t="s">
        <v>29372</v>
      </c>
      <c r="G10682" t="s">
        <v>29380</v>
      </c>
      <c r="H10682" t="s">
        <v>29389</v>
      </c>
      <c r="I10682" t="s">
        <v>10408</v>
      </c>
      <c r="J10682" t="s">
        <v>36299</v>
      </c>
      <c r="K10682" t="s">
        <v>38564</v>
      </c>
      <c r="M10682" t="s">
        <v>42076</v>
      </c>
      <c r="N10682" t="s">
        <v>42669</v>
      </c>
      <c r="O10682" t="s">
        <v>42670</v>
      </c>
      <c r="P10682">
        <v>0</v>
      </c>
      <c r="Q10682">
        <v>26</v>
      </c>
      <c r="R10682" t="s">
        <v>42684</v>
      </c>
      <c r="S10682" t="s">
        <v>43183</v>
      </c>
      <c r="T10682" t="s">
        <v>44464</v>
      </c>
      <c r="U10682" t="s">
        <v>53521</v>
      </c>
      <c r="W10682" t="s">
        <v>42076</v>
      </c>
      <c r="X10682" t="s">
        <v>42685</v>
      </c>
    </row>
    <row r="10683" spans="1:24">
      <c r="A10683">
        <f>HYPERLINK("https://www.philgeps.gov.ph/GEPSNONPILOT/Tender/SplashBidNoticeAbstractUI.aspx?menuIndex=3&amp;refID=7168898&amp;Result=3","7168898")</f>
        <v>0</v>
      </c>
      <c r="B10683" t="s">
        <v>3052</v>
      </c>
      <c r="C10683" t="s">
        <v>13729</v>
      </c>
      <c r="D10683" t="s">
        <v>17171</v>
      </c>
      <c r="E10683" t="s">
        <v>26354</v>
      </c>
      <c r="F10683" t="s">
        <v>29372</v>
      </c>
      <c r="G10683" t="s">
        <v>29380</v>
      </c>
      <c r="H10683" t="s">
        <v>29391</v>
      </c>
      <c r="I10683" t="s">
        <v>8208</v>
      </c>
      <c r="J10683" t="s">
        <v>29675</v>
      </c>
      <c r="K10683" t="s">
        <v>38489</v>
      </c>
      <c r="M10683" t="s">
        <v>42077</v>
      </c>
      <c r="N10683" t="s">
        <v>42669</v>
      </c>
      <c r="O10683" t="s">
        <v>42670</v>
      </c>
      <c r="P10683">
        <v>0</v>
      </c>
      <c r="Q10683">
        <v>0</v>
      </c>
      <c r="R10683" t="s">
        <v>42684</v>
      </c>
      <c r="S10683" t="s">
        <v>43183</v>
      </c>
      <c r="T10683" t="s">
        <v>44426</v>
      </c>
      <c r="U10683" t="s">
        <v>53522</v>
      </c>
      <c r="W10683" t="s">
        <v>42077</v>
      </c>
      <c r="X10683" t="s">
        <v>42685</v>
      </c>
    </row>
    <row r="10684" spans="1:24">
      <c r="A10684">
        <f>HYPERLINK("https://www.philgeps.gov.ph/GEPSNONPILOT/Tender/SplashBidNoticeAbstractUI.aspx?menuIndex=3&amp;refID=7169006&amp;Result=3","7169006")</f>
        <v>0</v>
      </c>
      <c r="B10684" t="s">
        <v>1515</v>
      </c>
      <c r="C10684" t="s">
        <v>13730</v>
      </c>
      <c r="D10684" t="s">
        <v>17174</v>
      </c>
      <c r="E10684" t="s">
        <v>26355</v>
      </c>
      <c r="F10684" t="s">
        <v>29372</v>
      </c>
      <c r="G10684" t="s">
        <v>29380</v>
      </c>
      <c r="H10684" t="s">
        <v>11048</v>
      </c>
      <c r="I10684" t="s">
        <v>29393</v>
      </c>
      <c r="J10684" t="s">
        <v>36300</v>
      </c>
      <c r="K10684" t="s">
        <v>38490</v>
      </c>
      <c r="M10684" t="s">
        <v>40359</v>
      </c>
      <c r="N10684" t="s">
        <v>42669</v>
      </c>
      <c r="O10684" t="s">
        <v>42670</v>
      </c>
      <c r="P10684">
        <v>0</v>
      </c>
      <c r="Q10684">
        <v>0</v>
      </c>
      <c r="R10684" t="s">
        <v>42684</v>
      </c>
      <c r="S10684" t="s">
        <v>43183</v>
      </c>
      <c r="T10684" t="s">
        <v>44400</v>
      </c>
      <c r="U10684" t="s">
        <v>53523</v>
      </c>
      <c r="W10684" t="s">
        <v>40359</v>
      </c>
      <c r="X10684" t="s">
        <v>42685</v>
      </c>
    </row>
    <row r="10685" spans="1:24">
      <c r="A10685">
        <f>HYPERLINK("https://www.philgeps.gov.ph/GEPSNONPILOT/Tender/SplashBidNoticeAbstractUI.aspx?menuIndex=3&amp;refID=7168886&amp;Result=3","7168886")</f>
        <v>0</v>
      </c>
      <c r="B10685" t="s">
        <v>1617</v>
      </c>
      <c r="C10685" t="s">
        <v>13731</v>
      </c>
      <c r="D10685" t="s">
        <v>17163</v>
      </c>
      <c r="E10685" t="s">
        <v>26338</v>
      </c>
      <c r="F10685" t="s">
        <v>29372</v>
      </c>
      <c r="G10685" t="s">
        <v>29380</v>
      </c>
      <c r="H10685" t="s">
        <v>29389</v>
      </c>
      <c r="I10685" t="s">
        <v>10408</v>
      </c>
      <c r="J10685" t="s">
        <v>36301</v>
      </c>
      <c r="K10685" t="s">
        <v>38485</v>
      </c>
      <c r="M10685" t="s">
        <v>40470</v>
      </c>
      <c r="N10685" t="s">
        <v>42669</v>
      </c>
      <c r="O10685" t="s">
        <v>42670</v>
      </c>
      <c r="P10685">
        <v>0</v>
      </c>
      <c r="Q10685">
        <v>1</v>
      </c>
      <c r="R10685" t="s">
        <v>42684</v>
      </c>
      <c r="S10685" t="s">
        <v>43183</v>
      </c>
      <c r="T10685" t="s">
        <v>44619</v>
      </c>
      <c r="U10685" t="s">
        <v>53503</v>
      </c>
      <c r="W10685" t="s">
        <v>40470</v>
      </c>
      <c r="X10685" t="s">
        <v>42685</v>
      </c>
    </row>
    <row r="10686" spans="1:24">
      <c r="A10686">
        <f>HYPERLINK("https://www.philgeps.gov.ph/GEPSNONPILOT/Tender/SplashBidNoticeAbstractUI.aspx?menuIndex=3&amp;refID=7168870&amp;Result=3","7168870")</f>
        <v>0</v>
      </c>
      <c r="B10686" t="s">
        <v>867</v>
      </c>
      <c r="C10686" t="s">
        <v>13732</v>
      </c>
      <c r="D10686" t="s">
        <v>17226</v>
      </c>
      <c r="E10686" t="s">
        <v>20412</v>
      </c>
      <c r="F10686" t="s">
        <v>29372</v>
      </c>
      <c r="G10686" t="s">
        <v>29380</v>
      </c>
      <c r="H10686" t="s">
        <v>29389</v>
      </c>
      <c r="I10686" t="s">
        <v>10408</v>
      </c>
      <c r="J10686" t="s">
        <v>36302</v>
      </c>
      <c r="K10686" t="s">
        <v>38656</v>
      </c>
      <c r="L10686" t="s">
        <v>867</v>
      </c>
      <c r="M10686" t="s">
        <v>39659</v>
      </c>
      <c r="N10686" t="s">
        <v>42669</v>
      </c>
      <c r="O10686" t="s">
        <v>42670</v>
      </c>
      <c r="P10686">
        <v>0</v>
      </c>
      <c r="Q10686">
        <v>0</v>
      </c>
      <c r="R10686" t="s">
        <v>42684</v>
      </c>
      <c r="S10686" t="s">
        <v>43183</v>
      </c>
      <c r="T10686" t="s">
        <v>44357</v>
      </c>
      <c r="U10686" t="s">
        <v>53524</v>
      </c>
      <c r="W10686" t="s">
        <v>39659</v>
      </c>
      <c r="X10686" t="s">
        <v>42685</v>
      </c>
    </row>
    <row r="10687" spans="1:24">
      <c r="A10687">
        <f>HYPERLINK("https://www.philgeps.gov.ph/GEPSNONPILOT/Tender/SplashBidNoticeAbstractUI.aspx?menuIndex=3&amp;refID=7169230&amp;Result=3","7169230")</f>
        <v>0</v>
      </c>
      <c r="B10687" t="s">
        <v>3047</v>
      </c>
      <c r="C10687" t="s">
        <v>13733</v>
      </c>
      <c r="D10687" t="s">
        <v>17192</v>
      </c>
      <c r="E10687" t="s">
        <v>26356</v>
      </c>
      <c r="F10687" t="s">
        <v>29372</v>
      </c>
      <c r="G10687" t="s">
        <v>29380</v>
      </c>
      <c r="H10687" t="s">
        <v>11048</v>
      </c>
      <c r="I10687" t="s">
        <v>29447</v>
      </c>
      <c r="J10687" t="s">
        <v>33327</v>
      </c>
      <c r="K10687" t="s">
        <v>38485</v>
      </c>
      <c r="M10687" t="s">
        <v>42071</v>
      </c>
      <c r="N10687" t="s">
        <v>42669</v>
      </c>
      <c r="O10687" t="s">
        <v>42670</v>
      </c>
      <c r="P10687">
        <v>0</v>
      </c>
      <c r="Q10687">
        <v>6</v>
      </c>
      <c r="R10687" t="s">
        <v>42684</v>
      </c>
      <c r="S10687" t="s">
        <v>43183</v>
      </c>
      <c r="T10687" t="s">
        <v>44354</v>
      </c>
      <c r="U10687" t="s">
        <v>53525</v>
      </c>
      <c r="W10687" t="s">
        <v>58108</v>
      </c>
      <c r="X10687" t="s">
        <v>42685</v>
      </c>
    </row>
    <row r="10688" spans="1:24">
      <c r="A10688">
        <f>HYPERLINK("https://www.philgeps.gov.ph/GEPSNONPILOT/Tender/SplashBidNoticeAbstractUI.aspx?menuIndex=3&amp;refID=7168932&amp;Result=3","7168932")</f>
        <v>0</v>
      </c>
      <c r="B10688" t="s">
        <v>790</v>
      </c>
      <c r="C10688" t="s">
        <v>13734</v>
      </c>
      <c r="D10688" t="s">
        <v>17245</v>
      </c>
      <c r="E10688" t="s">
        <v>21203</v>
      </c>
      <c r="F10688" t="s">
        <v>29372</v>
      </c>
      <c r="G10688" t="s">
        <v>29380</v>
      </c>
      <c r="H10688" t="s">
        <v>29389</v>
      </c>
      <c r="I10688" t="s">
        <v>10408</v>
      </c>
      <c r="J10688" t="s">
        <v>30302</v>
      </c>
      <c r="K10688" t="s">
        <v>38490</v>
      </c>
      <c r="M10688" t="s">
        <v>39574</v>
      </c>
      <c r="N10688" t="s">
        <v>42669</v>
      </c>
      <c r="O10688" t="s">
        <v>42670</v>
      </c>
      <c r="P10688">
        <v>0</v>
      </c>
      <c r="Q10688">
        <v>1</v>
      </c>
      <c r="R10688" t="s">
        <v>42684</v>
      </c>
      <c r="S10688" t="s">
        <v>43183</v>
      </c>
      <c r="T10688" t="s">
        <v>44480</v>
      </c>
      <c r="U10688" t="s">
        <v>53526</v>
      </c>
      <c r="W10688" t="s">
        <v>39574</v>
      </c>
      <c r="X10688" t="s">
        <v>42685</v>
      </c>
    </row>
    <row r="10689" spans="1:24">
      <c r="A10689">
        <f>HYPERLINK("https://www.philgeps.gov.ph/GEPSNONPILOT/Tender/SplashBidNoticeAbstractUI.aspx?menuIndex=3&amp;refID=7168895&amp;Result=3","7168895")</f>
        <v>0</v>
      </c>
      <c r="B10689" t="s">
        <v>1617</v>
      </c>
      <c r="C10689" t="s">
        <v>13735</v>
      </c>
      <c r="D10689" t="s">
        <v>17163</v>
      </c>
      <c r="E10689" t="s">
        <v>26338</v>
      </c>
      <c r="F10689" t="s">
        <v>29372</v>
      </c>
      <c r="G10689" t="s">
        <v>29380</v>
      </c>
      <c r="H10689" t="s">
        <v>29389</v>
      </c>
      <c r="I10689" t="s">
        <v>10408</v>
      </c>
      <c r="J10689" t="s">
        <v>36303</v>
      </c>
      <c r="K10689" t="s">
        <v>38496</v>
      </c>
      <c r="M10689" t="s">
        <v>40470</v>
      </c>
      <c r="N10689" t="s">
        <v>42669</v>
      </c>
      <c r="O10689" t="s">
        <v>42670</v>
      </c>
      <c r="P10689">
        <v>0</v>
      </c>
      <c r="Q10689">
        <v>1</v>
      </c>
      <c r="R10689" t="s">
        <v>42684</v>
      </c>
      <c r="S10689" t="s">
        <v>43183</v>
      </c>
      <c r="T10689" t="s">
        <v>44619</v>
      </c>
      <c r="U10689" t="s">
        <v>53503</v>
      </c>
      <c r="W10689" t="s">
        <v>40470</v>
      </c>
      <c r="X10689" t="s">
        <v>42685</v>
      </c>
    </row>
    <row r="10690" spans="1:24">
      <c r="A10690">
        <f>HYPERLINK("https://www.philgeps.gov.ph/GEPSNONPILOT/Tender/SplashBidNoticeAbstractUI.aspx?menuIndex=3&amp;refID=7169213&amp;Result=3","7169213")</f>
        <v>0</v>
      </c>
      <c r="B10690" t="s">
        <v>3053</v>
      </c>
      <c r="C10690" t="s">
        <v>13736</v>
      </c>
      <c r="D10690" t="s">
        <v>17170</v>
      </c>
      <c r="E10690" t="s">
        <v>26357</v>
      </c>
      <c r="F10690" t="s">
        <v>29372</v>
      </c>
      <c r="G10690" t="s">
        <v>29380</v>
      </c>
      <c r="H10690" t="s">
        <v>29390</v>
      </c>
      <c r="I10690" t="s">
        <v>29392</v>
      </c>
      <c r="J10690" t="s">
        <v>36304</v>
      </c>
      <c r="K10690" t="s">
        <v>38485</v>
      </c>
      <c r="M10690" t="s">
        <v>42078</v>
      </c>
      <c r="N10690" t="s">
        <v>42669</v>
      </c>
      <c r="O10690" t="s">
        <v>42670</v>
      </c>
      <c r="P10690">
        <v>0</v>
      </c>
      <c r="Q10690">
        <v>6</v>
      </c>
      <c r="R10690" t="s">
        <v>42684</v>
      </c>
      <c r="S10690" t="s">
        <v>43183</v>
      </c>
      <c r="T10690" t="s">
        <v>44375</v>
      </c>
      <c r="U10690" t="s">
        <v>53527</v>
      </c>
      <c r="W10690" t="s">
        <v>42078</v>
      </c>
      <c r="X10690" t="s">
        <v>42685</v>
      </c>
    </row>
    <row r="10691" spans="1:24">
      <c r="A10691">
        <f>HYPERLINK("https://www.philgeps.gov.ph/GEPSNONPILOT/Tender/SplashBidNoticeAbstractUI.aspx?menuIndex=3&amp;refID=7168915&amp;Result=3","7168915")</f>
        <v>0</v>
      </c>
      <c r="B10691" t="s">
        <v>1617</v>
      </c>
      <c r="C10691" t="s">
        <v>13737</v>
      </c>
      <c r="D10691" t="s">
        <v>17163</v>
      </c>
      <c r="E10691" t="s">
        <v>26338</v>
      </c>
      <c r="F10691" t="s">
        <v>29372</v>
      </c>
      <c r="G10691" t="s">
        <v>29380</v>
      </c>
      <c r="H10691" t="s">
        <v>29389</v>
      </c>
      <c r="I10691" t="s">
        <v>10408</v>
      </c>
      <c r="J10691" t="s">
        <v>36305</v>
      </c>
      <c r="K10691" t="s">
        <v>38495</v>
      </c>
      <c r="M10691" t="s">
        <v>40470</v>
      </c>
      <c r="N10691" t="s">
        <v>42669</v>
      </c>
      <c r="O10691" t="s">
        <v>42670</v>
      </c>
      <c r="P10691">
        <v>0</v>
      </c>
      <c r="Q10691">
        <v>2</v>
      </c>
      <c r="R10691" t="s">
        <v>42684</v>
      </c>
      <c r="S10691" t="s">
        <v>43183</v>
      </c>
      <c r="T10691" t="s">
        <v>44619</v>
      </c>
      <c r="U10691" t="s">
        <v>53503</v>
      </c>
      <c r="W10691" t="s">
        <v>40470</v>
      </c>
      <c r="X10691" t="s">
        <v>42685</v>
      </c>
    </row>
    <row r="10692" spans="1:24">
      <c r="A10692">
        <f>HYPERLINK("https://www.philgeps.gov.ph/GEPSNONPILOT/Tender/SplashBidNoticeAbstractUI.aspx?menuIndex=3&amp;refID=7169222&amp;Result=3","7169222")</f>
        <v>0</v>
      </c>
      <c r="B10692" t="s">
        <v>216</v>
      </c>
      <c r="C10692" t="s">
        <v>13738</v>
      </c>
      <c r="D10692" t="s">
        <v>17183</v>
      </c>
      <c r="E10692" t="s">
        <v>19139</v>
      </c>
      <c r="F10692" t="s">
        <v>29372</v>
      </c>
      <c r="G10692" t="s">
        <v>29380</v>
      </c>
      <c r="H10692" t="s">
        <v>11048</v>
      </c>
      <c r="I10692" t="s">
        <v>8614</v>
      </c>
      <c r="J10692" t="s">
        <v>29764</v>
      </c>
      <c r="K10692" t="s">
        <v>38485</v>
      </c>
      <c r="M10692" t="s">
        <v>38974</v>
      </c>
      <c r="N10692" t="s">
        <v>42669</v>
      </c>
      <c r="O10692" t="s">
        <v>42670</v>
      </c>
      <c r="P10692">
        <v>0</v>
      </c>
      <c r="Q10692">
        <v>1</v>
      </c>
      <c r="R10692" t="s">
        <v>42684</v>
      </c>
      <c r="S10692" t="s">
        <v>43183</v>
      </c>
      <c r="T10692" t="s">
        <v>44391</v>
      </c>
      <c r="U10692" t="s">
        <v>53528</v>
      </c>
      <c r="W10692" t="s">
        <v>38974</v>
      </c>
      <c r="X10692" t="s">
        <v>42685</v>
      </c>
    </row>
    <row r="10693" spans="1:24">
      <c r="A10693">
        <f>HYPERLINK("https://www.philgeps.gov.ph/GEPSNONPILOT/Tender/SplashBidNoticeAbstractUI.aspx?menuIndex=3&amp;refID=7169176&amp;Result=3","7169176")</f>
        <v>0</v>
      </c>
      <c r="B10693" t="s">
        <v>3054</v>
      </c>
      <c r="C10693" t="s">
        <v>13739</v>
      </c>
      <c r="D10693" t="s">
        <v>17171</v>
      </c>
      <c r="E10693" t="s">
        <v>26358</v>
      </c>
      <c r="F10693" t="s">
        <v>29372</v>
      </c>
      <c r="G10693" t="s">
        <v>29380</v>
      </c>
      <c r="H10693" t="s">
        <v>29389</v>
      </c>
      <c r="I10693" t="s">
        <v>10408</v>
      </c>
      <c r="J10693" t="s">
        <v>34678</v>
      </c>
      <c r="K10693" t="s">
        <v>38542</v>
      </c>
      <c r="M10693" t="s">
        <v>42079</v>
      </c>
      <c r="N10693" t="s">
        <v>42669</v>
      </c>
      <c r="O10693" t="s">
        <v>42670</v>
      </c>
      <c r="P10693">
        <v>0</v>
      </c>
      <c r="Q10693">
        <v>12</v>
      </c>
      <c r="R10693" t="s">
        <v>42684</v>
      </c>
      <c r="S10693" t="s">
        <v>43183</v>
      </c>
      <c r="T10693" t="s">
        <v>44357</v>
      </c>
      <c r="U10693" t="s">
        <v>53529</v>
      </c>
      <c r="W10693" t="s">
        <v>42079</v>
      </c>
      <c r="X10693" t="s">
        <v>42685</v>
      </c>
    </row>
    <row r="10694" spans="1:24">
      <c r="A10694">
        <f>HYPERLINK("https://www.philgeps.gov.ph/GEPSNONPILOT/Tender/SplashBidNoticeAbstractUI.aspx?menuIndex=3&amp;refID=7169206&amp;Result=3","7169206")</f>
        <v>0</v>
      </c>
      <c r="B10694" t="s">
        <v>669</v>
      </c>
      <c r="C10694" t="s">
        <v>13740</v>
      </c>
      <c r="D10694" t="s">
        <v>17147</v>
      </c>
      <c r="E10694" t="s">
        <v>26359</v>
      </c>
      <c r="F10694" t="s">
        <v>29372</v>
      </c>
      <c r="G10694" t="s">
        <v>29380</v>
      </c>
      <c r="H10694" t="s">
        <v>11048</v>
      </c>
      <c r="I10694" t="s">
        <v>3839</v>
      </c>
      <c r="J10694" t="s">
        <v>31219</v>
      </c>
      <c r="K10694" t="s">
        <v>38488</v>
      </c>
      <c r="M10694" t="s">
        <v>39445</v>
      </c>
      <c r="N10694" t="s">
        <v>42669</v>
      </c>
      <c r="O10694" t="s">
        <v>42670</v>
      </c>
      <c r="P10694">
        <v>0</v>
      </c>
      <c r="Q10694">
        <v>1</v>
      </c>
      <c r="R10694" t="s">
        <v>42684</v>
      </c>
      <c r="S10694" t="s">
        <v>43183</v>
      </c>
      <c r="T10694" t="s">
        <v>44411</v>
      </c>
      <c r="U10694" t="s">
        <v>53530</v>
      </c>
      <c r="V10694" t="s">
        <v>56460</v>
      </c>
      <c r="W10694" t="s">
        <v>39445</v>
      </c>
      <c r="X10694" t="s">
        <v>42685</v>
      </c>
    </row>
    <row r="10695" spans="1:24">
      <c r="A10695">
        <f>HYPERLINK("https://www.philgeps.gov.ph/GEPSNONPILOT/Tender/SplashBidNoticeAbstractUI.aspx?menuIndex=3&amp;refID=7169168&amp;Result=3","7169168")</f>
        <v>0</v>
      </c>
      <c r="B10695" t="s">
        <v>669</v>
      </c>
      <c r="C10695" t="s">
        <v>13741</v>
      </c>
      <c r="D10695" t="s">
        <v>17147</v>
      </c>
      <c r="E10695" t="s">
        <v>26360</v>
      </c>
      <c r="F10695" t="s">
        <v>29372</v>
      </c>
      <c r="G10695" t="s">
        <v>29380</v>
      </c>
      <c r="H10695" t="s">
        <v>11048</v>
      </c>
      <c r="I10695" t="s">
        <v>7828</v>
      </c>
      <c r="J10695" t="s">
        <v>29543</v>
      </c>
      <c r="K10695" t="s">
        <v>38485</v>
      </c>
      <c r="M10695" t="s">
        <v>39445</v>
      </c>
      <c r="N10695" t="s">
        <v>42669</v>
      </c>
      <c r="O10695" t="s">
        <v>42670</v>
      </c>
      <c r="P10695">
        <v>0</v>
      </c>
      <c r="Q10695">
        <v>5</v>
      </c>
      <c r="R10695" t="s">
        <v>42684</v>
      </c>
      <c r="S10695" t="s">
        <v>43183</v>
      </c>
      <c r="T10695" t="s">
        <v>44411</v>
      </c>
      <c r="U10695" t="s">
        <v>53531</v>
      </c>
      <c r="V10695" t="s">
        <v>56460</v>
      </c>
      <c r="W10695" t="s">
        <v>39445</v>
      </c>
      <c r="X10695" t="s">
        <v>42685</v>
      </c>
    </row>
    <row r="10696" spans="1:24">
      <c r="A10696">
        <f>HYPERLINK("https://www.philgeps.gov.ph/GEPSNONPILOT/Tender/SplashBidNoticeAbstractUI.aspx?menuIndex=3&amp;refID=7169159&amp;Result=3","7169159")</f>
        <v>0</v>
      </c>
      <c r="B10696" t="s">
        <v>3055</v>
      </c>
      <c r="C10696" t="s">
        <v>13742</v>
      </c>
      <c r="D10696" t="s">
        <v>17141</v>
      </c>
      <c r="E10696" t="s">
        <v>26361</v>
      </c>
      <c r="F10696" t="s">
        <v>29372</v>
      </c>
      <c r="G10696" t="s">
        <v>29380</v>
      </c>
      <c r="H10696" t="s">
        <v>11048</v>
      </c>
      <c r="I10696" t="s">
        <v>29440</v>
      </c>
      <c r="J10696" t="s">
        <v>29587</v>
      </c>
      <c r="K10696" t="s">
        <v>38603</v>
      </c>
      <c r="M10696" t="s">
        <v>42080</v>
      </c>
      <c r="N10696" t="s">
        <v>42669</v>
      </c>
      <c r="O10696" t="s">
        <v>42670</v>
      </c>
      <c r="Q10696">
        <v>3</v>
      </c>
      <c r="R10696" t="s">
        <v>42684</v>
      </c>
      <c r="S10696" t="s">
        <v>43234</v>
      </c>
      <c r="T10696" t="s">
        <v>44366</v>
      </c>
      <c r="U10696" t="s">
        <v>53532</v>
      </c>
      <c r="W10696" t="s">
        <v>42080</v>
      </c>
      <c r="X10696" t="s">
        <v>42685</v>
      </c>
    </row>
    <row r="10697" spans="1:24">
      <c r="A10697">
        <f>HYPERLINK("https://www.philgeps.gov.ph/GEPSNONPILOT/Tender/SplashBidNoticeAbstractUI.aspx?menuIndex=3&amp;refID=7169157&amp;Result=3","7169157")</f>
        <v>0</v>
      </c>
      <c r="B10697" t="s">
        <v>902</v>
      </c>
      <c r="C10697" t="s">
        <v>7775</v>
      </c>
      <c r="D10697" t="s">
        <v>17205</v>
      </c>
      <c r="E10697" t="s">
        <v>26362</v>
      </c>
      <c r="F10697" t="s">
        <v>29372</v>
      </c>
      <c r="G10697" t="s">
        <v>29380</v>
      </c>
      <c r="H10697" t="s">
        <v>11048</v>
      </c>
      <c r="I10697" t="s">
        <v>29395</v>
      </c>
      <c r="J10697" t="s">
        <v>36306</v>
      </c>
      <c r="K10697" t="s">
        <v>38490</v>
      </c>
      <c r="M10697" t="s">
        <v>39695</v>
      </c>
      <c r="N10697" t="s">
        <v>42669</v>
      </c>
      <c r="O10697" t="s">
        <v>42670</v>
      </c>
      <c r="P10697">
        <v>0</v>
      </c>
      <c r="Q10697">
        <v>1</v>
      </c>
      <c r="R10697" t="s">
        <v>42684</v>
      </c>
      <c r="S10697" t="s">
        <v>43183</v>
      </c>
      <c r="T10697" t="s">
        <v>44412</v>
      </c>
      <c r="U10697" t="s">
        <v>53533</v>
      </c>
      <c r="W10697" t="s">
        <v>39695</v>
      </c>
      <c r="X10697" t="s">
        <v>42685</v>
      </c>
    </row>
    <row r="10698" spans="1:24">
      <c r="A10698">
        <f>HYPERLINK("https://www.philgeps.gov.ph/GEPSNONPILOT/Tender/SplashBidNoticeAbstractUI.aspx?menuIndex=3&amp;refID=7169153&amp;Result=3","7169153")</f>
        <v>0</v>
      </c>
      <c r="B10698" t="s">
        <v>3047</v>
      </c>
      <c r="C10698" t="s">
        <v>13743</v>
      </c>
      <c r="D10698" t="s">
        <v>17192</v>
      </c>
      <c r="E10698" t="s">
        <v>26363</v>
      </c>
      <c r="F10698" t="s">
        <v>29372</v>
      </c>
      <c r="G10698" t="s">
        <v>29380</v>
      </c>
      <c r="H10698" t="s">
        <v>11048</v>
      </c>
      <c r="I10698" t="s">
        <v>8614</v>
      </c>
      <c r="J10698" t="s">
        <v>36307</v>
      </c>
      <c r="K10698" t="s">
        <v>38496</v>
      </c>
      <c r="M10698" t="s">
        <v>42071</v>
      </c>
      <c r="N10698" t="s">
        <v>42669</v>
      </c>
      <c r="O10698" t="s">
        <v>42670</v>
      </c>
      <c r="P10698">
        <v>0</v>
      </c>
      <c r="Q10698">
        <v>4</v>
      </c>
      <c r="R10698" t="s">
        <v>42684</v>
      </c>
      <c r="S10698" t="s">
        <v>43183</v>
      </c>
      <c r="T10698" t="s">
        <v>44354</v>
      </c>
      <c r="U10698" t="s">
        <v>53534</v>
      </c>
      <c r="W10698" t="s">
        <v>58108</v>
      </c>
      <c r="X10698" t="s">
        <v>42685</v>
      </c>
    </row>
    <row r="10699" spans="1:24">
      <c r="A10699">
        <f>HYPERLINK("https://www.philgeps.gov.ph/GEPSNONPILOT/Tender/SplashBidNoticeAbstractUI.aspx?menuIndex=3&amp;refID=7169182&amp;Result=3","7169182")</f>
        <v>0</v>
      </c>
      <c r="B10699" t="s">
        <v>953</v>
      </c>
      <c r="C10699" t="s">
        <v>13744</v>
      </c>
      <c r="D10699" t="s">
        <v>17225</v>
      </c>
      <c r="E10699" t="s">
        <v>26364</v>
      </c>
      <c r="F10699" t="s">
        <v>29372</v>
      </c>
      <c r="G10699" t="s">
        <v>29380</v>
      </c>
      <c r="H10699" t="s">
        <v>11048</v>
      </c>
      <c r="I10699" t="s">
        <v>3839</v>
      </c>
      <c r="J10699" t="s">
        <v>36308</v>
      </c>
      <c r="K10699" t="s">
        <v>38510</v>
      </c>
      <c r="M10699" t="s">
        <v>39749</v>
      </c>
      <c r="N10699" t="s">
        <v>42669</v>
      </c>
      <c r="O10699" t="s">
        <v>42670</v>
      </c>
      <c r="P10699">
        <v>0</v>
      </c>
      <c r="Q10699">
        <v>5</v>
      </c>
      <c r="R10699" t="s">
        <v>42684</v>
      </c>
      <c r="S10699" t="s">
        <v>43183</v>
      </c>
      <c r="T10699" t="s">
        <v>44375</v>
      </c>
      <c r="U10699" t="s">
        <v>53535</v>
      </c>
      <c r="W10699" t="s">
        <v>39749</v>
      </c>
      <c r="X10699" t="s">
        <v>42685</v>
      </c>
    </row>
    <row r="10700" spans="1:24">
      <c r="A10700">
        <f>HYPERLINK("https://www.philgeps.gov.ph/GEPSNONPILOT/Tender/SplashBidNoticeAbstractUI.aspx?menuIndex=3&amp;refID=7169132&amp;Result=3","7169132")</f>
        <v>0</v>
      </c>
      <c r="B10700" t="s">
        <v>3050</v>
      </c>
      <c r="C10700" t="s">
        <v>13745</v>
      </c>
      <c r="D10700" t="s">
        <v>17198</v>
      </c>
      <c r="E10700" t="s">
        <v>26365</v>
      </c>
      <c r="F10700" t="s">
        <v>29372</v>
      </c>
      <c r="G10700" t="s">
        <v>29380</v>
      </c>
      <c r="H10700" t="s">
        <v>11048</v>
      </c>
      <c r="I10700" t="s">
        <v>29407</v>
      </c>
      <c r="J10700" t="s">
        <v>36309</v>
      </c>
      <c r="K10700" t="s">
        <v>38485</v>
      </c>
      <c r="M10700" t="s">
        <v>42075</v>
      </c>
      <c r="N10700" t="s">
        <v>42669</v>
      </c>
      <c r="O10700" t="s">
        <v>42670</v>
      </c>
      <c r="Q10700">
        <v>8</v>
      </c>
      <c r="R10700" t="s">
        <v>42684</v>
      </c>
      <c r="S10700" t="s">
        <v>43235</v>
      </c>
      <c r="T10700" t="s">
        <v>44457</v>
      </c>
      <c r="U10700" t="s">
        <v>53536</v>
      </c>
      <c r="W10700" t="s">
        <v>42075</v>
      </c>
      <c r="X10700" t="s">
        <v>42685</v>
      </c>
    </row>
    <row r="10701" spans="1:24">
      <c r="A10701">
        <f>HYPERLINK("https://www.philgeps.gov.ph/GEPSNONPILOT/Tender/SplashBidNoticeAbstractUI.aspx?menuIndex=3&amp;refID=7169120&amp;Result=3","7169120")</f>
        <v>0</v>
      </c>
      <c r="B10701" t="s">
        <v>3056</v>
      </c>
      <c r="C10701" t="s">
        <v>13746</v>
      </c>
      <c r="D10701" t="s">
        <v>17213</v>
      </c>
      <c r="E10701" t="s">
        <v>20850</v>
      </c>
      <c r="F10701" t="s">
        <v>29372</v>
      </c>
      <c r="G10701" t="s">
        <v>29380</v>
      </c>
      <c r="H10701" t="s">
        <v>29389</v>
      </c>
      <c r="I10701" t="s">
        <v>29417</v>
      </c>
      <c r="J10701" t="s">
        <v>36310</v>
      </c>
      <c r="K10701" t="s">
        <v>38495</v>
      </c>
      <c r="M10701" t="s">
        <v>42081</v>
      </c>
      <c r="N10701" t="s">
        <v>42669</v>
      </c>
      <c r="O10701" t="s">
        <v>42670</v>
      </c>
      <c r="P10701">
        <v>0</v>
      </c>
      <c r="Q10701">
        <v>8</v>
      </c>
      <c r="R10701" t="s">
        <v>42684</v>
      </c>
      <c r="S10701" t="s">
        <v>43183</v>
      </c>
      <c r="T10701" t="s">
        <v>44419</v>
      </c>
      <c r="U10701" t="s">
        <v>53537</v>
      </c>
      <c r="W10701" t="s">
        <v>42081</v>
      </c>
      <c r="X10701" t="s">
        <v>42685</v>
      </c>
    </row>
    <row r="10702" spans="1:24">
      <c r="A10702">
        <f>HYPERLINK("https://www.philgeps.gov.ph/GEPSNONPILOT/Tender/SplashBidNoticeAbstractUI.aspx?menuIndex=3&amp;refID=7169115&amp;Result=3","7169115")</f>
        <v>0</v>
      </c>
      <c r="B10702" t="s">
        <v>3047</v>
      </c>
      <c r="C10702" t="s">
        <v>13747</v>
      </c>
      <c r="D10702" t="s">
        <v>17192</v>
      </c>
      <c r="E10702" t="s">
        <v>26366</v>
      </c>
      <c r="F10702" t="s">
        <v>29372</v>
      </c>
      <c r="G10702" t="s">
        <v>29380</v>
      </c>
      <c r="H10702" t="s">
        <v>11048</v>
      </c>
      <c r="I10702" t="s">
        <v>29426</v>
      </c>
      <c r="J10702" t="s">
        <v>34247</v>
      </c>
      <c r="K10702" t="s">
        <v>38485</v>
      </c>
      <c r="M10702" t="s">
        <v>42071</v>
      </c>
      <c r="N10702" t="s">
        <v>42669</v>
      </c>
      <c r="O10702" t="s">
        <v>42670</v>
      </c>
      <c r="P10702">
        <v>0</v>
      </c>
      <c r="Q10702">
        <v>5</v>
      </c>
      <c r="R10702" t="s">
        <v>42684</v>
      </c>
      <c r="S10702" t="s">
        <v>43183</v>
      </c>
      <c r="T10702" t="s">
        <v>44354</v>
      </c>
      <c r="U10702" t="s">
        <v>53538</v>
      </c>
      <c r="W10702" t="s">
        <v>58108</v>
      </c>
      <c r="X10702" t="s">
        <v>42685</v>
      </c>
    </row>
    <row r="10703" spans="1:24">
      <c r="A10703">
        <f>HYPERLINK("https://www.philgeps.gov.ph/GEPSNONPILOT/Tender/SplashBidNoticeAbstractUI.aspx?menuIndex=3&amp;refID=7169345&amp;Result=3","7169345")</f>
        <v>0</v>
      </c>
      <c r="B10703" t="s">
        <v>544</v>
      </c>
      <c r="C10703" t="s">
        <v>13748</v>
      </c>
      <c r="D10703" t="s">
        <v>17153</v>
      </c>
      <c r="E10703" t="s">
        <v>26367</v>
      </c>
      <c r="F10703" t="s">
        <v>29372</v>
      </c>
      <c r="G10703" t="s">
        <v>29383</v>
      </c>
      <c r="H10703" t="s">
        <v>11048</v>
      </c>
      <c r="I10703" t="s">
        <v>14920</v>
      </c>
      <c r="J10703" t="s">
        <v>36311</v>
      </c>
      <c r="K10703" t="s">
        <v>38490</v>
      </c>
      <c r="M10703" t="s">
        <v>39312</v>
      </c>
      <c r="N10703" t="s">
        <v>42669</v>
      </c>
      <c r="O10703" t="s">
        <v>42670</v>
      </c>
      <c r="Q10703">
        <v>0</v>
      </c>
      <c r="R10703" t="s">
        <v>42684</v>
      </c>
      <c r="S10703" t="s">
        <v>43236</v>
      </c>
      <c r="T10703" t="s">
        <v>44386</v>
      </c>
      <c r="U10703" t="s">
        <v>53539</v>
      </c>
      <c r="W10703" t="s">
        <v>39312</v>
      </c>
      <c r="X10703" t="s">
        <v>42685</v>
      </c>
    </row>
    <row r="10704" spans="1:24">
      <c r="A10704">
        <f>HYPERLINK("https://www.philgeps.gov.ph/GEPSNONPILOT/Tender/SplashBidNoticeAbstractUI.aspx?menuIndex=3&amp;refID=7169221&amp;Result=3","7169221")</f>
        <v>0</v>
      </c>
      <c r="B10704" t="s">
        <v>1632</v>
      </c>
      <c r="C10704" t="s">
        <v>13749</v>
      </c>
      <c r="D10704" t="s">
        <v>17174</v>
      </c>
      <c r="E10704" t="s">
        <v>26368</v>
      </c>
      <c r="F10704" t="s">
        <v>29372</v>
      </c>
      <c r="G10704" t="s">
        <v>29380</v>
      </c>
      <c r="H10704" t="s">
        <v>29389</v>
      </c>
      <c r="I10704" t="s">
        <v>29413</v>
      </c>
      <c r="J10704" t="s">
        <v>36312</v>
      </c>
      <c r="K10704" t="s">
        <v>38485</v>
      </c>
      <c r="M10704" t="s">
        <v>40488</v>
      </c>
      <c r="N10704" t="s">
        <v>42669</v>
      </c>
      <c r="O10704" t="s">
        <v>42670</v>
      </c>
      <c r="P10704">
        <v>0</v>
      </c>
      <c r="Q10704">
        <v>6</v>
      </c>
      <c r="R10704" t="s">
        <v>42684</v>
      </c>
      <c r="S10704" t="s">
        <v>43183</v>
      </c>
      <c r="T10704" t="s">
        <v>44527</v>
      </c>
      <c r="U10704" t="s">
        <v>53540</v>
      </c>
      <c r="W10704" t="s">
        <v>40488</v>
      </c>
      <c r="X10704" t="s">
        <v>42685</v>
      </c>
    </row>
    <row r="10705" spans="1:24">
      <c r="A10705">
        <f>HYPERLINK("https://www.philgeps.gov.ph/GEPSNONPILOT/Tender/SplashBidNoticeAbstractUI.aspx?menuIndex=3&amp;refID=7169008&amp;Result=3","7169008")</f>
        <v>0</v>
      </c>
      <c r="B10705" t="s">
        <v>2696</v>
      </c>
      <c r="C10705" t="s">
        <v>13750</v>
      </c>
      <c r="D10705" t="s">
        <v>17171</v>
      </c>
      <c r="E10705" t="s">
        <v>17965</v>
      </c>
      <c r="F10705" t="s">
        <v>29372</v>
      </c>
      <c r="G10705" t="s">
        <v>29380</v>
      </c>
      <c r="H10705" t="s">
        <v>11048</v>
      </c>
      <c r="I10705" t="s">
        <v>29407</v>
      </c>
      <c r="J10705" t="s">
        <v>36313</v>
      </c>
      <c r="K10705" t="s">
        <v>38534</v>
      </c>
      <c r="M10705" t="s">
        <v>41676</v>
      </c>
      <c r="N10705" t="s">
        <v>42669</v>
      </c>
      <c r="O10705" t="s">
        <v>42670</v>
      </c>
      <c r="P10705">
        <v>0</v>
      </c>
      <c r="Q10705">
        <v>1</v>
      </c>
      <c r="R10705" t="s">
        <v>42684</v>
      </c>
      <c r="S10705" t="s">
        <v>43183</v>
      </c>
      <c r="T10705" t="s">
        <v>44568</v>
      </c>
      <c r="U10705" t="s">
        <v>52054</v>
      </c>
      <c r="W10705" t="s">
        <v>41676</v>
      </c>
      <c r="X10705" t="s">
        <v>42685</v>
      </c>
    </row>
    <row r="10706" spans="1:24">
      <c r="A10706">
        <f>HYPERLINK("https://www.philgeps.gov.ph/GEPSNONPILOT/Tender/SplashBidNoticeAbstractUI.aspx?menuIndex=3&amp;refID=7169351&amp;Result=3","7169351")</f>
        <v>0</v>
      </c>
      <c r="B10706" t="s">
        <v>2224</v>
      </c>
      <c r="C10706" t="s">
        <v>13751</v>
      </c>
      <c r="D10706" t="s">
        <v>17143</v>
      </c>
      <c r="E10706" t="s">
        <v>19628</v>
      </c>
      <c r="F10706" t="s">
        <v>29372</v>
      </c>
      <c r="G10706" t="s">
        <v>29380</v>
      </c>
      <c r="H10706" t="s">
        <v>11048</v>
      </c>
      <c r="I10706" t="s">
        <v>29407</v>
      </c>
      <c r="J10706" t="s">
        <v>36314</v>
      </c>
      <c r="K10706" t="s">
        <v>38485</v>
      </c>
      <c r="M10706" t="s">
        <v>41142</v>
      </c>
      <c r="N10706" t="s">
        <v>42669</v>
      </c>
      <c r="O10706" t="s">
        <v>42670</v>
      </c>
      <c r="P10706">
        <v>0</v>
      </c>
      <c r="Q10706">
        <v>3</v>
      </c>
      <c r="R10706" t="s">
        <v>42684</v>
      </c>
      <c r="S10706" t="s">
        <v>43183</v>
      </c>
      <c r="T10706" t="s">
        <v>44391</v>
      </c>
      <c r="U10706" t="s">
        <v>53541</v>
      </c>
      <c r="V10706" t="s">
        <v>57577</v>
      </c>
      <c r="W10706" t="s">
        <v>41142</v>
      </c>
      <c r="X10706" t="s">
        <v>42685</v>
      </c>
    </row>
    <row r="10707" spans="1:24">
      <c r="A10707">
        <f>HYPERLINK("https://www.philgeps.gov.ph/GEPSNONPILOT/Tender/SplashBidNoticeAbstractUI.aspx?menuIndex=3&amp;refID=7169371&amp;Result=3","7169371")</f>
        <v>0</v>
      </c>
      <c r="B10707" t="s">
        <v>3047</v>
      </c>
      <c r="C10707" t="s">
        <v>13752</v>
      </c>
      <c r="D10707" t="s">
        <v>17192</v>
      </c>
      <c r="E10707" t="s">
        <v>26369</v>
      </c>
      <c r="F10707" t="s">
        <v>29372</v>
      </c>
      <c r="G10707" t="s">
        <v>29380</v>
      </c>
      <c r="H10707" t="s">
        <v>11048</v>
      </c>
      <c r="I10707" t="s">
        <v>29415</v>
      </c>
      <c r="J10707" t="s">
        <v>36315</v>
      </c>
      <c r="K10707" t="s">
        <v>38485</v>
      </c>
      <c r="M10707" t="s">
        <v>42071</v>
      </c>
      <c r="N10707" t="s">
        <v>42669</v>
      </c>
      <c r="O10707" t="s">
        <v>42670</v>
      </c>
      <c r="P10707">
        <v>0</v>
      </c>
      <c r="Q10707">
        <v>5</v>
      </c>
      <c r="R10707" t="s">
        <v>42684</v>
      </c>
      <c r="S10707" t="s">
        <v>43183</v>
      </c>
      <c r="T10707" t="s">
        <v>44354</v>
      </c>
      <c r="U10707" t="s">
        <v>53542</v>
      </c>
      <c r="W10707" t="s">
        <v>58108</v>
      </c>
      <c r="X10707" t="s">
        <v>42685</v>
      </c>
    </row>
    <row r="10708" spans="1:24">
      <c r="A10708">
        <f>HYPERLINK("https://www.philgeps.gov.ph/GEPSNONPILOT/Tender/SplashBidNoticeAbstractUI.aspx?menuIndex=3&amp;refID=7168665&amp;Result=3","7168665")</f>
        <v>0</v>
      </c>
      <c r="B10708" t="s">
        <v>1565</v>
      </c>
      <c r="C10708" t="s">
        <v>13753</v>
      </c>
      <c r="D10708" t="s">
        <v>17156</v>
      </c>
      <c r="E10708" t="s">
        <v>21611</v>
      </c>
      <c r="F10708" t="s">
        <v>29372</v>
      </c>
      <c r="G10708" t="s">
        <v>29380</v>
      </c>
      <c r="H10708" t="s">
        <v>11048</v>
      </c>
      <c r="I10708" t="s">
        <v>4709</v>
      </c>
      <c r="J10708" t="s">
        <v>36316</v>
      </c>
      <c r="K10708" t="s">
        <v>38488</v>
      </c>
      <c r="M10708" t="s">
        <v>40415</v>
      </c>
      <c r="N10708" t="s">
        <v>42669</v>
      </c>
      <c r="O10708" t="s">
        <v>42670</v>
      </c>
      <c r="P10708">
        <v>0</v>
      </c>
      <c r="Q10708">
        <v>0</v>
      </c>
      <c r="R10708" t="s">
        <v>42684</v>
      </c>
      <c r="S10708" t="s">
        <v>43183</v>
      </c>
      <c r="T10708" t="s">
        <v>44361</v>
      </c>
      <c r="U10708" t="s">
        <v>48373</v>
      </c>
      <c r="W10708" t="s">
        <v>40415</v>
      </c>
      <c r="X10708" t="s">
        <v>42685</v>
      </c>
    </row>
    <row r="10709" spans="1:24">
      <c r="A10709">
        <f>HYPERLINK("https://www.philgeps.gov.ph/GEPSNONPILOT/Tender/SplashBidNoticeAbstractUI.aspx?menuIndex=3&amp;refID=7169319&amp;Result=3","7169319")</f>
        <v>0</v>
      </c>
      <c r="B10709" t="s">
        <v>2817</v>
      </c>
      <c r="C10709" t="s">
        <v>13754</v>
      </c>
      <c r="D10709" t="s">
        <v>17194</v>
      </c>
      <c r="E10709" t="s">
        <v>20094</v>
      </c>
      <c r="F10709" t="s">
        <v>29372</v>
      </c>
      <c r="G10709" t="s">
        <v>29380</v>
      </c>
      <c r="H10709" t="s">
        <v>11048</v>
      </c>
      <c r="I10709" t="s">
        <v>14920</v>
      </c>
      <c r="J10709" t="s">
        <v>36317</v>
      </c>
      <c r="K10709" t="s">
        <v>38485</v>
      </c>
      <c r="M10709" t="s">
        <v>41806</v>
      </c>
      <c r="N10709" t="s">
        <v>42669</v>
      </c>
      <c r="O10709" t="s">
        <v>42670</v>
      </c>
      <c r="P10709">
        <v>0</v>
      </c>
      <c r="Q10709">
        <v>1</v>
      </c>
      <c r="R10709" t="s">
        <v>42684</v>
      </c>
      <c r="S10709" t="s">
        <v>43183</v>
      </c>
      <c r="T10709" t="s">
        <v>44371</v>
      </c>
      <c r="U10709" t="s">
        <v>53543</v>
      </c>
      <c r="W10709" t="s">
        <v>41806</v>
      </c>
      <c r="X10709" t="s">
        <v>42685</v>
      </c>
    </row>
    <row r="10710" spans="1:24">
      <c r="A10710">
        <f>HYPERLINK("https://www.philgeps.gov.ph/GEPSNONPILOT/Tender/SplashBidNoticeAbstractUI.aspx?menuIndex=3&amp;refID=7169329&amp;Result=3","7169329")</f>
        <v>0</v>
      </c>
      <c r="B10710" t="s">
        <v>2589</v>
      </c>
      <c r="C10710" t="s">
        <v>13755</v>
      </c>
      <c r="D10710" t="s">
        <v>17177</v>
      </c>
      <c r="E10710" t="s">
        <v>26370</v>
      </c>
      <c r="F10710" t="s">
        <v>29372</v>
      </c>
      <c r="G10710" t="s">
        <v>29380</v>
      </c>
      <c r="H10710" t="s">
        <v>11048</v>
      </c>
      <c r="I10710" t="s">
        <v>3670</v>
      </c>
      <c r="J10710" t="s">
        <v>36318</v>
      </c>
      <c r="K10710" t="s">
        <v>38485</v>
      </c>
      <c r="M10710" t="s">
        <v>41556</v>
      </c>
      <c r="N10710" t="s">
        <v>42669</v>
      </c>
      <c r="O10710" t="s">
        <v>42670</v>
      </c>
      <c r="Q10710">
        <v>5</v>
      </c>
      <c r="R10710" t="s">
        <v>42684</v>
      </c>
      <c r="S10710" t="s">
        <v>43237</v>
      </c>
      <c r="T10710" t="s">
        <v>44354</v>
      </c>
      <c r="U10710" t="s">
        <v>53544</v>
      </c>
      <c r="W10710" t="s">
        <v>41556</v>
      </c>
      <c r="X10710" t="s">
        <v>42685</v>
      </c>
    </row>
    <row r="10711" spans="1:24">
      <c r="A10711">
        <f>HYPERLINK("https://www.philgeps.gov.ph/GEPSNONPILOT/Tender/SplashBidNoticeAbstractUI.aspx?menuIndex=3&amp;refID=7169331&amp;Result=3","7169331")</f>
        <v>0</v>
      </c>
      <c r="B10711" t="s">
        <v>3057</v>
      </c>
      <c r="C10711" t="s">
        <v>13756</v>
      </c>
      <c r="D10711" t="s">
        <v>17191</v>
      </c>
      <c r="E10711" t="s">
        <v>17479</v>
      </c>
      <c r="F10711" t="s">
        <v>29372</v>
      </c>
      <c r="G10711" t="s">
        <v>29380</v>
      </c>
      <c r="H10711" t="s">
        <v>29389</v>
      </c>
      <c r="I10711" t="s">
        <v>10408</v>
      </c>
      <c r="J10711" t="s">
        <v>35599</v>
      </c>
      <c r="K10711" t="s">
        <v>38522</v>
      </c>
      <c r="M10711" t="s">
        <v>42082</v>
      </c>
      <c r="N10711" t="s">
        <v>42669</v>
      </c>
      <c r="O10711" t="s">
        <v>42670</v>
      </c>
      <c r="P10711">
        <v>0</v>
      </c>
      <c r="Q10711">
        <v>4</v>
      </c>
      <c r="R10711" t="s">
        <v>42684</v>
      </c>
      <c r="S10711" t="s">
        <v>43183</v>
      </c>
      <c r="T10711" t="s">
        <v>44457</v>
      </c>
      <c r="U10711" t="s">
        <v>53545</v>
      </c>
      <c r="W10711" t="s">
        <v>42082</v>
      </c>
      <c r="X10711" t="s">
        <v>42685</v>
      </c>
    </row>
    <row r="10712" spans="1:24">
      <c r="A10712">
        <f>HYPERLINK("https://www.philgeps.gov.ph/GEPSNONPILOT/Tender/SplashBidNoticeAbstractUI.aspx?menuIndex=3&amp;refID=7169315&amp;Result=3","7169315")</f>
        <v>0</v>
      </c>
      <c r="B10712" t="s">
        <v>1918</v>
      </c>
      <c r="C10712" t="s">
        <v>13757</v>
      </c>
      <c r="D10712" t="s">
        <v>17194</v>
      </c>
      <c r="E10712" t="s">
        <v>26371</v>
      </c>
      <c r="F10712" t="s">
        <v>29372</v>
      </c>
      <c r="G10712" t="s">
        <v>29380</v>
      </c>
      <c r="H10712" t="s">
        <v>11048</v>
      </c>
      <c r="I10712" t="s">
        <v>3695</v>
      </c>
      <c r="J10712" t="s">
        <v>36319</v>
      </c>
      <c r="K10712" t="s">
        <v>38488</v>
      </c>
      <c r="L10712" t="s">
        <v>1918</v>
      </c>
      <c r="M10712" t="s">
        <v>40793</v>
      </c>
      <c r="N10712" t="s">
        <v>42669</v>
      </c>
      <c r="O10712" t="s">
        <v>42670</v>
      </c>
      <c r="P10712">
        <v>0</v>
      </c>
      <c r="Q10712">
        <v>11</v>
      </c>
      <c r="R10712" t="s">
        <v>42684</v>
      </c>
      <c r="S10712" t="s">
        <v>43183</v>
      </c>
      <c r="T10712" t="s">
        <v>44357</v>
      </c>
      <c r="U10712" t="s">
        <v>49318</v>
      </c>
      <c r="V10712" t="s">
        <v>57578</v>
      </c>
      <c r="W10712" t="s">
        <v>40793</v>
      </c>
      <c r="X10712" t="s">
        <v>42685</v>
      </c>
    </row>
    <row r="10713" spans="1:24">
      <c r="A10713">
        <f>HYPERLINK("https://www.philgeps.gov.ph/GEPSNONPILOT/Tender/SplashBidNoticeAbstractUI.aspx?menuIndex=3&amp;refID=7169304&amp;Result=3","7169304")</f>
        <v>0</v>
      </c>
      <c r="B10713" t="s">
        <v>867</v>
      </c>
      <c r="C10713" t="s">
        <v>13758</v>
      </c>
      <c r="D10713" t="s">
        <v>17226</v>
      </c>
      <c r="E10713" t="s">
        <v>19635</v>
      </c>
      <c r="F10713" t="s">
        <v>29372</v>
      </c>
      <c r="G10713" t="s">
        <v>29380</v>
      </c>
      <c r="H10713" t="s">
        <v>11048</v>
      </c>
      <c r="I10713" t="s">
        <v>29407</v>
      </c>
      <c r="J10713" t="s">
        <v>36320</v>
      </c>
      <c r="K10713" t="s">
        <v>38503</v>
      </c>
      <c r="L10713" t="s">
        <v>867</v>
      </c>
      <c r="M10713" t="s">
        <v>39659</v>
      </c>
      <c r="N10713" t="s">
        <v>42669</v>
      </c>
      <c r="O10713" t="s">
        <v>42670</v>
      </c>
      <c r="P10713">
        <v>0</v>
      </c>
      <c r="Q10713">
        <v>2</v>
      </c>
      <c r="R10713" t="s">
        <v>42684</v>
      </c>
      <c r="S10713" t="s">
        <v>43183</v>
      </c>
      <c r="T10713" t="s">
        <v>44400</v>
      </c>
      <c r="U10713" t="s">
        <v>53546</v>
      </c>
      <c r="W10713" t="s">
        <v>39659</v>
      </c>
      <c r="X10713" t="s">
        <v>42685</v>
      </c>
    </row>
    <row r="10714" spans="1:24">
      <c r="A10714">
        <f>HYPERLINK("https://www.philgeps.gov.ph/GEPSNONPILOT/Tender/SplashBidNoticeAbstractUI.aspx?menuIndex=3&amp;refID=7169347&amp;Result=3","7169347")</f>
        <v>0</v>
      </c>
      <c r="B10714" t="s">
        <v>3058</v>
      </c>
      <c r="C10714" t="s">
        <v>13759</v>
      </c>
      <c r="D10714" t="s">
        <v>17141</v>
      </c>
      <c r="E10714" t="s">
        <v>26372</v>
      </c>
      <c r="F10714" t="s">
        <v>29372</v>
      </c>
      <c r="G10714" t="s">
        <v>29380</v>
      </c>
      <c r="H10714" t="s">
        <v>11048</v>
      </c>
      <c r="I10714" t="s">
        <v>4487</v>
      </c>
      <c r="J10714" t="s">
        <v>33981</v>
      </c>
      <c r="K10714" t="s">
        <v>38490</v>
      </c>
      <c r="M10714" t="s">
        <v>42083</v>
      </c>
      <c r="N10714" t="s">
        <v>42669</v>
      </c>
      <c r="O10714" t="s">
        <v>42670</v>
      </c>
      <c r="P10714">
        <v>0</v>
      </c>
      <c r="Q10714">
        <v>21</v>
      </c>
      <c r="R10714" t="s">
        <v>42684</v>
      </c>
      <c r="S10714" t="s">
        <v>43183</v>
      </c>
      <c r="T10714" t="s">
        <v>44470</v>
      </c>
      <c r="U10714" t="s">
        <v>53547</v>
      </c>
      <c r="W10714" t="s">
        <v>42083</v>
      </c>
      <c r="X10714" t="s">
        <v>42685</v>
      </c>
    </row>
    <row r="10715" spans="1:24">
      <c r="A10715">
        <f>HYPERLINK("https://www.philgeps.gov.ph/GEPSNONPILOT/Tender/SplashBidNoticeAbstractUI.aspx?menuIndex=3&amp;refID=7169486&amp;Result=3","7169486")</f>
        <v>0</v>
      </c>
      <c r="B10715" t="s">
        <v>3059</v>
      </c>
      <c r="C10715" t="s">
        <v>13760</v>
      </c>
      <c r="D10715" t="s">
        <v>17193</v>
      </c>
      <c r="E10715" t="s">
        <v>26373</v>
      </c>
      <c r="F10715" t="s">
        <v>29372</v>
      </c>
      <c r="G10715" t="s">
        <v>29380</v>
      </c>
      <c r="H10715" t="s">
        <v>29389</v>
      </c>
      <c r="I10715" t="s">
        <v>10408</v>
      </c>
      <c r="J10715" t="s">
        <v>30056</v>
      </c>
      <c r="K10715" t="s">
        <v>38539</v>
      </c>
      <c r="M10715" t="s">
        <v>42084</v>
      </c>
      <c r="N10715" t="s">
        <v>42669</v>
      </c>
      <c r="O10715" t="s">
        <v>42670</v>
      </c>
      <c r="P10715">
        <v>0</v>
      </c>
      <c r="Q10715">
        <v>0</v>
      </c>
      <c r="R10715" t="s">
        <v>42684</v>
      </c>
      <c r="S10715" t="s">
        <v>43183</v>
      </c>
      <c r="T10715" t="s">
        <v>44557</v>
      </c>
      <c r="U10715" t="s">
        <v>53548</v>
      </c>
      <c r="V10715" t="s">
        <v>57579</v>
      </c>
      <c r="W10715" t="s">
        <v>42084</v>
      </c>
      <c r="X10715" t="s">
        <v>42685</v>
      </c>
    </row>
    <row r="10716" spans="1:24">
      <c r="A10716">
        <f>HYPERLINK("https://www.philgeps.gov.ph/GEPSNONPILOT/Tender/SplashBidNoticeAbstractUI.aspx?menuIndex=3&amp;refID=7169302&amp;Result=3","7169302")</f>
        <v>0</v>
      </c>
      <c r="B10716" t="s">
        <v>1930</v>
      </c>
      <c r="C10716" t="s">
        <v>13761</v>
      </c>
      <c r="E10716" t="s">
        <v>26374</v>
      </c>
      <c r="F10716" t="s">
        <v>29372</v>
      </c>
      <c r="G10716" t="s">
        <v>29380</v>
      </c>
      <c r="H10716" t="s">
        <v>11048</v>
      </c>
      <c r="I10716" t="s">
        <v>29491</v>
      </c>
      <c r="J10716" t="s">
        <v>36321</v>
      </c>
      <c r="K10716" t="s">
        <v>38490</v>
      </c>
      <c r="M10716" t="s">
        <v>42085</v>
      </c>
      <c r="N10716" t="s">
        <v>42669</v>
      </c>
      <c r="O10716" t="s">
        <v>42670</v>
      </c>
      <c r="Q10716">
        <v>6</v>
      </c>
      <c r="R10716" t="s">
        <v>42684</v>
      </c>
      <c r="S10716" t="s">
        <v>43238</v>
      </c>
      <c r="T10716" t="s">
        <v>44666</v>
      </c>
      <c r="U10716" t="s">
        <v>53549</v>
      </c>
      <c r="W10716" t="s">
        <v>42085</v>
      </c>
      <c r="X10716" t="s">
        <v>42685</v>
      </c>
    </row>
    <row r="10717" spans="1:24">
      <c r="A10717">
        <f>HYPERLINK("https://www.philgeps.gov.ph/GEPSNONPILOT/Tender/SplashBidNoticeAbstractUI.aspx?menuIndex=3&amp;refID=7169294&amp;Result=3","7169294")</f>
        <v>0</v>
      </c>
      <c r="B10717" t="s">
        <v>2817</v>
      </c>
      <c r="C10717" t="s">
        <v>13754</v>
      </c>
      <c r="D10717" t="s">
        <v>17194</v>
      </c>
      <c r="E10717" t="s">
        <v>19616</v>
      </c>
      <c r="F10717" t="s">
        <v>29372</v>
      </c>
      <c r="G10717" t="s">
        <v>29380</v>
      </c>
      <c r="H10717" t="s">
        <v>11048</v>
      </c>
      <c r="I10717" t="s">
        <v>5383</v>
      </c>
      <c r="J10717" t="s">
        <v>36322</v>
      </c>
      <c r="K10717" t="s">
        <v>38485</v>
      </c>
      <c r="M10717" t="s">
        <v>41806</v>
      </c>
      <c r="N10717" t="s">
        <v>42669</v>
      </c>
      <c r="O10717" t="s">
        <v>42670</v>
      </c>
      <c r="P10717">
        <v>0</v>
      </c>
      <c r="Q10717">
        <v>3</v>
      </c>
      <c r="R10717" t="s">
        <v>42684</v>
      </c>
      <c r="S10717" t="s">
        <v>43183</v>
      </c>
      <c r="T10717" t="s">
        <v>44371</v>
      </c>
      <c r="U10717" t="s">
        <v>53550</v>
      </c>
      <c r="W10717" t="s">
        <v>41806</v>
      </c>
      <c r="X10717" t="s">
        <v>42685</v>
      </c>
    </row>
    <row r="10718" spans="1:24">
      <c r="A10718">
        <f>HYPERLINK("https://www.philgeps.gov.ph/GEPSNONPILOT/Tender/SplashBidNoticeAbstractUI.aspx?menuIndex=3&amp;refID=7169134&amp;Result=3","7169134")</f>
        <v>0</v>
      </c>
      <c r="B10718" t="s">
        <v>1632</v>
      </c>
      <c r="C10718" t="s">
        <v>13762</v>
      </c>
      <c r="D10718" t="s">
        <v>17174</v>
      </c>
      <c r="E10718" t="s">
        <v>26375</v>
      </c>
      <c r="F10718" t="s">
        <v>29372</v>
      </c>
      <c r="G10718" t="s">
        <v>29380</v>
      </c>
      <c r="H10718" t="s">
        <v>11048</v>
      </c>
      <c r="I10718" t="s">
        <v>4709</v>
      </c>
      <c r="J10718" t="s">
        <v>30412</v>
      </c>
      <c r="K10718" t="s">
        <v>38487</v>
      </c>
      <c r="M10718" t="s">
        <v>40488</v>
      </c>
      <c r="N10718" t="s">
        <v>42669</v>
      </c>
      <c r="O10718" t="s">
        <v>42670</v>
      </c>
      <c r="P10718">
        <v>0</v>
      </c>
      <c r="Q10718">
        <v>3</v>
      </c>
      <c r="R10718" t="s">
        <v>42684</v>
      </c>
      <c r="S10718" t="s">
        <v>43183</v>
      </c>
      <c r="T10718" t="s">
        <v>44527</v>
      </c>
      <c r="U10718" t="s">
        <v>53551</v>
      </c>
      <c r="W10718" t="s">
        <v>40488</v>
      </c>
      <c r="X10718" t="s">
        <v>42685</v>
      </c>
    </row>
    <row r="10719" spans="1:24">
      <c r="A10719">
        <f>HYPERLINK("https://www.philgeps.gov.ph/GEPSNONPILOT/Tender/SplashBidNoticeAbstractUI.aspx?menuIndex=3&amp;refID=7169503&amp;Result=3","7169503")</f>
        <v>0</v>
      </c>
      <c r="B10719" t="s">
        <v>3060</v>
      </c>
      <c r="C10719" t="s">
        <v>13763</v>
      </c>
      <c r="D10719" t="s">
        <v>17141</v>
      </c>
      <c r="E10719" t="s">
        <v>26376</v>
      </c>
      <c r="F10719" t="s">
        <v>29372</v>
      </c>
      <c r="G10719" t="s">
        <v>29380</v>
      </c>
      <c r="H10719" t="s">
        <v>11048</v>
      </c>
      <c r="I10719" t="s">
        <v>29424</v>
      </c>
      <c r="J10719" t="s">
        <v>36323</v>
      </c>
      <c r="K10719" t="s">
        <v>38485</v>
      </c>
      <c r="M10719" t="s">
        <v>42086</v>
      </c>
      <c r="N10719" t="s">
        <v>42669</v>
      </c>
      <c r="O10719" t="s">
        <v>42670</v>
      </c>
      <c r="P10719">
        <v>0</v>
      </c>
      <c r="Q10719">
        <v>4</v>
      </c>
      <c r="R10719" t="s">
        <v>42684</v>
      </c>
      <c r="S10719" t="s">
        <v>43183</v>
      </c>
      <c r="T10719" t="s">
        <v>44373</v>
      </c>
      <c r="U10719" t="s">
        <v>53552</v>
      </c>
      <c r="W10719" t="s">
        <v>42086</v>
      </c>
      <c r="X10719" t="s">
        <v>42685</v>
      </c>
    </row>
    <row r="10720" spans="1:24">
      <c r="A10720">
        <f>HYPERLINK("https://www.philgeps.gov.ph/GEPSNONPILOT/Tender/SplashBidNoticeAbstractUI.aspx?menuIndex=3&amp;refID=7169500&amp;Result=3","7169500")</f>
        <v>0</v>
      </c>
      <c r="B10720" t="s">
        <v>3061</v>
      </c>
      <c r="C10720" t="s">
        <v>13764</v>
      </c>
      <c r="D10720" t="s">
        <v>17180</v>
      </c>
      <c r="E10720" t="s">
        <v>26377</v>
      </c>
      <c r="F10720" t="s">
        <v>29372</v>
      </c>
      <c r="G10720" t="s">
        <v>29380</v>
      </c>
      <c r="H10720" t="s">
        <v>11048</v>
      </c>
      <c r="I10720" t="s">
        <v>9469</v>
      </c>
      <c r="J10720" t="s">
        <v>36324</v>
      </c>
      <c r="K10720" t="s">
        <v>38488</v>
      </c>
      <c r="M10720" t="s">
        <v>42087</v>
      </c>
      <c r="N10720" t="s">
        <v>42669</v>
      </c>
      <c r="O10720" t="s">
        <v>42670</v>
      </c>
      <c r="P10720">
        <v>0</v>
      </c>
      <c r="Q10720">
        <v>10</v>
      </c>
      <c r="R10720" t="s">
        <v>42684</v>
      </c>
      <c r="S10720" t="s">
        <v>43183</v>
      </c>
      <c r="T10720" t="s">
        <v>44527</v>
      </c>
      <c r="U10720" t="s">
        <v>53553</v>
      </c>
      <c r="V10720" t="s">
        <v>56517</v>
      </c>
      <c r="W10720" t="s">
        <v>42087</v>
      </c>
      <c r="X10720" t="s">
        <v>42685</v>
      </c>
    </row>
    <row r="10721" spans="1:24">
      <c r="A10721">
        <f>HYPERLINK("https://www.philgeps.gov.ph/GEPSNONPILOT/Tender/SplashBidNoticeAbstractUI.aspx?menuIndex=3&amp;refID=7169493&amp;Result=3","7169493")</f>
        <v>0</v>
      </c>
      <c r="B10721" t="s">
        <v>1632</v>
      </c>
      <c r="C10721" t="s">
        <v>13765</v>
      </c>
      <c r="D10721" t="s">
        <v>17174</v>
      </c>
      <c r="E10721" t="s">
        <v>26378</v>
      </c>
      <c r="F10721" t="s">
        <v>29372</v>
      </c>
      <c r="G10721" t="s">
        <v>29380</v>
      </c>
      <c r="H10721" t="s">
        <v>11048</v>
      </c>
      <c r="I10721" t="s">
        <v>29410</v>
      </c>
      <c r="J10721" t="s">
        <v>36325</v>
      </c>
      <c r="K10721" t="s">
        <v>38485</v>
      </c>
      <c r="M10721" t="s">
        <v>40488</v>
      </c>
      <c r="N10721" t="s">
        <v>42669</v>
      </c>
      <c r="O10721" t="s">
        <v>42670</v>
      </c>
      <c r="P10721">
        <v>0</v>
      </c>
      <c r="Q10721">
        <v>5</v>
      </c>
      <c r="R10721" t="s">
        <v>42684</v>
      </c>
      <c r="S10721" t="s">
        <v>43183</v>
      </c>
      <c r="T10721" t="s">
        <v>44527</v>
      </c>
      <c r="U10721" t="s">
        <v>53554</v>
      </c>
      <c r="W10721" t="s">
        <v>40488</v>
      </c>
      <c r="X10721" t="s">
        <v>42685</v>
      </c>
    </row>
    <row r="10722" spans="1:24">
      <c r="A10722">
        <f>HYPERLINK("https://www.philgeps.gov.ph/GEPSNONPILOT/Tender/SplashBidNoticeAbstractUI.aspx?menuIndex=3&amp;refID=7169491&amp;Result=3","7169491")</f>
        <v>0</v>
      </c>
      <c r="B10722" t="s">
        <v>2744</v>
      </c>
      <c r="C10722" t="s">
        <v>13766</v>
      </c>
      <c r="D10722" t="s">
        <v>17170</v>
      </c>
      <c r="E10722" t="s">
        <v>26379</v>
      </c>
      <c r="F10722" t="s">
        <v>29372</v>
      </c>
      <c r="G10722" t="s">
        <v>29380</v>
      </c>
      <c r="H10722" t="s">
        <v>11048</v>
      </c>
      <c r="I10722" t="s">
        <v>4709</v>
      </c>
      <c r="J10722" t="s">
        <v>29526</v>
      </c>
      <c r="K10722" t="s">
        <v>38488</v>
      </c>
      <c r="M10722" t="s">
        <v>41727</v>
      </c>
      <c r="N10722" t="s">
        <v>42669</v>
      </c>
      <c r="O10722" t="s">
        <v>42670</v>
      </c>
      <c r="P10722">
        <v>0</v>
      </c>
      <c r="Q10722">
        <v>1</v>
      </c>
      <c r="R10722" t="s">
        <v>42684</v>
      </c>
      <c r="S10722" t="s">
        <v>43183</v>
      </c>
      <c r="T10722" t="s">
        <v>44481</v>
      </c>
      <c r="U10722" t="s">
        <v>53555</v>
      </c>
      <c r="W10722" t="s">
        <v>41727</v>
      </c>
      <c r="X10722" t="s">
        <v>42685</v>
      </c>
    </row>
    <row r="10723" spans="1:24">
      <c r="A10723">
        <f>HYPERLINK("https://www.philgeps.gov.ph/GEPSNONPILOT/Tender/SplashBidNoticeAbstractUI.aspx?menuIndex=3&amp;refID=7169476&amp;Result=3","7169476")</f>
        <v>0</v>
      </c>
      <c r="B10723" t="s">
        <v>181</v>
      </c>
      <c r="C10723" t="s">
        <v>13767</v>
      </c>
      <c r="D10723" t="s">
        <v>17187</v>
      </c>
      <c r="E10723" t="s">
        <v>26380</v>
      </c>
      <c r="F10723" t="s">
        <v>29372</v>
      </c>
      <c r="G10723" t="s">
        <v>29379</v>
      </c>
      <c r="H10723" t="s">
        <v>29391</v>
      </c>
      <c r="I10723" t="s">
        <v>29391</v>
      </c>
      <c r="J10723" t="s">
        <v>29625</v>
      </c>
      <c r="K10723" t="s">
        <v>38488</v>
      </c>
      <c r="M10723" t="s">
        <v>38972</v>
      </c>
      <c r="N10723" t="s">
        <v>42669</v>
      </c>
      <c r="O10723" t="s">
        <v>42670</v>
      </c>
      <c r="Q10723">
        <v>0</v>
      </c>
      <c r="R10723" t="s">
        <v>42684</v>
      </c>
      <c r="S10723" t="s">
        <v>43239</v>
      </c>
      <c r="T10723" t="s">
        <v>44371</v>
      </c>
      <c r="U10723" t="s">
        <v>53556</v>
      </c>
      <c r="W10723" t="s">
        <v>38938</v>
      </c>
      <c r="X10723" t="s">
        <v>42685</v>
      </c>
    </row>
    <row r="10724" spans="1:24">
      <c r="A10724">
        <f>HYPERLINK("https://www.philgeps.gov.ph/GEPSNONPILOT/Tender/SplashBidNoticeAbstractUI.aspx?menuIndex=3&amp;refID=7169467&amp;Result=3","7169467")</f>
        <v>0</v>
      </c>
      <c r="B10724" t="s">
        <v>3062</v>
      </c>
      <c r="C10724" t="s">
        <v>13768</v>
      </c>
      <c r="D10724" t="s">
        <v>17169</v>
      </c>
      <c r="E10724" t="s">
        <v>26381</v>
      </c>
      <c r="F10724" t="s">
        <v>29372</v>
      </c>
      <c r="G10724" t="s">
        <v>29380</v>
      </c>
      <c r="H10724" t="s">
        <v>29389</v>
      </c>
      <c r="I10724" t="s">
        <v>10408</v>
      </c>
      <c r="J10724" t="s">
        <v>30056</v>
      </c>
      <c r="K10724" t="s">
        <v>38564</v>
      </c>
      <c r="M10724" t="s">
        <v>42088</v>
      </c>
      <c r="N10724" t="s">
        <v>42669</v>
      </c>
      <c r="O10724" t="s">
        <v>42670</v>
      </c>
      <c r="P10724">
        <v>0</v>
      </c>
      <c r="Q10724">
        <v>1</v>
      </c>
      <c r="R10724" t="s">
        <v>42684</v>
      </c>
      <c r="S10724" t="s">
        <v>43183</v>
      </c>
      <c r="T10724" t="s">
        <v>44510</v>
      </c>
      <c r="U10724" t="s">
        <v>53557</v>
      </c>
      <c r="W10724" t="s">
        <v>42088</v>
      </c>
      <c r="X10724" t="s">
        <v>42685</v>
      </c>
    </row>
    <row r="10725" spans="1:24">
      <c r="A10725">
        <f>HYPERLINK("https://www.philgeps.gov.ph/GEPSNONPILOT/Tender/SplashBidNoticeAbstractUI.aspx?menuIndex=3&amp;refID=7169364&amp;Result=3","7169364")</f>
        <v>0</v>
      </c>
      <c r="B10725" t="s">
        <v>3048</v>
      </c>
      <c r="C10725" t="s">
        <v>13769</v>
      </c>
      <c r="E10725" t="s">
        <v>26382</v>
      </c>
      <c r="F10725" t="s">
        <v>29372</v>
      </c>
      <c r="G10725" t="s">
        <v>29380</v>
      </c>
      <c r="H10725" t="s">
        <v>11048</v>
      </c>
      <c r="I10725" t="s">
        <v>29428</v>
      </c>
      <c r="J10725" t="s">
        <v>36326</v>
      </c>
      <c r="K10725" t="s">
        <v>38496</v>
      </c>
      <c r="M10725" t="s">
        <v>42073</v>
      </c>
      <c r="N10725" t="s">
        <v>42669</v>
      </c>
      <c r="O10725" t="s">
        <v>42670</v>
      </c>
      <c r="Q10725">
        <v>2</v>
      </c>
      <c r="R10725" t="s">
        <v>42684</v>
      </c>
      <c r="S10725" t="s">
        <v>42795</v>
      </c>
      <c r="T10725" t="s">
        <v>44797</v>
      </c>
      <c r="U10725" t="s">
        <v>53558</v>
      </c>
      <c r="W10725" t="s">
        <v>42073</v>
      </c>
      <c r="X10725" t="s">
        <v>42685</v>
      </c>
    </row>
    <row r="10726" spans="1:24">
      <c r="A10726">
        <f>HYPERLINK("https://www.philgeps.gov.ph/GEPSNONPILOT/Tender/SplashBidNoticeAbstractUI.aspx?menuIndex=3&amp;refID=7169449&amp;Result=3","7169449")</f>
        <v>0</v>
      </c>
      <c r="B10726" t="s">
        <v>858</v>
      </c>
      <c r="C10726" t="s">
        <v>13770</v>
      </c>
      <c r="D10726" t="s">
        <v>17199</v>
      </c>
      <c r="E10726" t="s">
        <v>26383</v>
      </c>
      <c r="F10726" t="s">
        <v>29372</v>
      </c>
      <c r="G10726" t="s">
        <v>29380</v>
      </c>
      <c r="H10726" t="s">
        <v>11048</v>
      </c>
      <c r="I10726" t="s">
        <v>29393</v>
      </c>
      <c r="J10726" t="s">
        <v>36327</v>
      </c>
      <c r="K10726" t="s">
        <v>38528</v>
      </c>
      <c r="M10726" t="s">
        <v>42089</v>
      </c>
      <c r="N10726" t="s">
        <v>42669</v>
      </c>
      <c r="O10726" t="s">
        <v>42670</v>
      </c>
      <c r="P10726">
        <v>0</v>
      </c>
      <c r="Q10726">
        <v>0</v>
      </c>
      <c r="R10726" t="s">
        <v>42684</v>
      </c>
      <c r="S10726" t="s">
        <v>43183</v>
      </c>
      <c r="T10726" t="s">
        <v>44398</v>
      </c>
      <c r="U10726" t="s">
        <v>53559</v>
      </c>
      <c r="W10726" t="s">
        <v>42089</v>
      </c>
      <c r="X10726" t="s">
        <v>42685</v>
      </c>
    </row>
    <row r="10727" spans="1:24">
      <c r="A10727">
        <f>HYPERLINK("https://www.philgeps.gov.ph/GEPSNONPILOT/Tender/SplashBidNoticeAbstractUI.aspx?menuIndex=3&amp;refID=7169448&amp;Result=3","7169448")</f>
        <v>0</v>
      </c>
      <c r="B10727" t="s">
        <v>1429</v>
      </c>
      <c r="C10727" t="s">
        <v>13771</v>
      </c>
      <c r="E10727" t="s">
        <v>26384</v>
      </c>
      <c r="F10727" t="s">
        <v>29372</v>
      </c>
      <c r="G10727" t="s">
        <v>29380</v>
      </c>
      <c r="H10727" t="s">
        <v>29389</v>
      </c>
      <c r="I10727" t="s">
        <v>10408</v>
      </c>
      <c r="J10727" t="s">
        <v>30244</v>
      </c>
      <c r="K10727" t="s">
        <v>38522</v>
      </c>
      <c r="M10727" t="s">
        <v>41466</v>
      </c>
      <c r="N10727" t="s">
        <v>42669</v>
      </c>
      <c r="O10727" t="s">
        <v>42670</v>
      </c>
      <c r="P10727">
        <v>0</v>
      </c>
      <c r="Q10727">
        <v>4</v>
      </c>
      <c r="R10727" t="s">
        <v>42684</v>
      </c>
      <c r="S10727" t="s">
        <v>43183</v>
      </c>
      <c r="T10727" t="s">
        <v>44485</v>
      </c>
      <c r="U10727" t="s">
        <v>53560</v>
      </c>
      <c r="W10727" t="s">
        <v>41466</v>
      </c>
      <c r="X10727" t="s">
        <v>42685</v>
      </c>
    </row>
    <row r="10728" spans="1:24">
      <c r="A10728">
        <f>HYPERLINK("https://www.philgeps.gov.ph/GEPSNONPILOT/Tender/SplashBidNoticeAbstractUI.aspx?menuIndex=3&amp;refID=7169430&amp;Result=3","7169430")</f>
        <v>0</v>
      </c>
      <c r="B10728" t="s">
        <v>3063</v>
      </c>
      <c r="C10728" t="s">
        <v>13772</v>
      </c>
      <c r="E10728" t="s">
        <v>26385</v>
      </c>
      <c r="F10728" t="s">
        <v>29372</v>
      </c>
      <c r="G10728" t="s">
        <v>29380</v>
      </c>
      <c r="H10728" t="s">
        <v>29390</v>
      </c>
      <c r="I10728" t="s">
        <v>29417</v>
      </c>
      <c r="J10728" t="s">
        <v>36328</v>
      </c>
      <c r="K10728" t="s">
        <v>38485</v>
      </c>
      <c r="M10728" t="s">
        <v>42090</v>
      </c>
      <c r="N10728" t="s">
        <v>42669</v>
      </c>
      <c r="O10728" t="s">
        <v>42670</v>
      </c>
      <c r="P10728">
        <v>0</v>
      </c>
      <c r="Q10728">
        <v>4</v>
      </c>
      <c r="R10728" t="s">
        <v>42684</v>
      </c>
      <c r="S10728" t="s">
        <v>43183</v>
      </c>
      <c r="T10728" t="s">
        <v>44426</v>
      </c>
      <c r="U10728" t="s">
        <v>53561</v>
      </c>
      <c r="W10728" t="s">
        <v>42090</v>
      </c>
      <c r="X10728" t="s">
        <v>42685</v>
      </c>
    </row>
    <row r="10729" spans="1:24">
      <c r="A10729">
        <f>HYPERLINK("https://www.philgeps.gov.ph/GEPSNONPILOT/Tender/SplashBidNoticeAbstractUI.aspx?menuIndex=3&amp;refID=7169309&amp;Result=3","7169309")</f>
        <v>0</v>
      </c>
      <c r="B10729" t="s">
        <v>3064</v>
      </c>
      <c r="C10729" t="s">
        <v>13773</v>
      </c>
      <c r="D10729" t="s">
        <v>17175</v>
      </c>
      <c r="E10729" t="s">
        <v>26386</v>
      </c>
      <c r="F10729" t="s">
        <v>29372</v>
      </c>
      <c r="G10729" t="s">
        <v>29380</v>
      </c>
      <c r="H10729" t="s">
        <v>11048</v>
      </c>
      <c r="I10729" t="s">
        <v>3839</v>
      </c>
      <c r="J10729" t="s">
        <v>36329</v>
      </c>
      <c r="K10729" t="s">
        <v>38496</v>
      </c>
      <c r="M10729" t="s">
        <v>42091</v>
      </c>
      <c r="N10729" t="s">
        <v>42669</v>
      </c>
      <c r="O10729" t="s">
        <v>42670</v>
      </c>
      <c r="P10729">
        <v>0</v>
      </c>
      <c r="Q10729">
        <v>9</v>
      </c>
      <c r="R10729" t="s">
        <v>42684</v>
      </c>
      <c r="S10729" t="s">
        <v>43183</v>
      </c>
      <c r="T10729" t="s">
        <v>44391</v>
      </c>
      <c r="U10729" t="s">
        <v>53562</v>
      </c>
      <c r="V10729" t="s">
        <v>57580</v>
      </c>
      <c r="W10729" t="s">
        <v>42091</v>
      </c>
      <c r="X10729" t="s">
        <v>42685</v>
      </c>
    </row>
    <row r="10730" spans="1:24">
      <c r="A10730">
        <f>HYPERLINK("https://www.philgeps.gov.ph/GEPSNONPILOT/Tender/SplashBidNoticeAbstractUI.aspx?menuIndex=3&amp;refID=7169499&amp;Result=3","7169499")</f>
        <v>0</v>
      </c>
      <c r="B10730" t="s">
        <v>3047</v>
      </c>
      <c r="C10730" t="s">
        <v>13774</v>
      </c>
      <c r="D10730" t="s">
        <v>17192</v>
      </c>
      <c r="E10730" t="s">
        <v>26387</v>
      </c>
      <c r="F10730" t="s">
        <v>29372</v>
      </c>
      <c r="G10730" t="s">
        <v>29380</v>
      </c>
      <c r="H10730" t="s">
        <v>29389</v>
      </c>
      <c r="I10730" t="s">
        <v>10408</v>
      </c>
      <c r="J10730" t="s">
        <v>30161</v>
      </c>
      <c r="K10730" t="s">
        <v>38496</v>
      </c>
      <c r="M10730" t="s">
        <v>42071</v>
      </c>
      <c r="N10730" t="s">
        <v>42669</v>
      </c>
      <c r="O10730" t="s">
        <v>42670</v>
      </c>
      <c r="P10730">
        <v>0</v>
      </c>
      <c r="Q10730">
        <v>2</v>
      </c>
      <c r="R10730" t="s">
        <v>42684</v>
      </c>
      <c r="S10730" t="s">
        <v>43183</v>
      </c>
      <c r="T10730" t="s">
        <v>44354</v>
      </c>
      <c r="U10730" t="s">
        <v>53563</v>
      </c>
      <c r="W10730" t="s">
        <v>58108</v>
      </c>
      <c r="X10730" t="s">
        <v>42685</v>
      </c>
    </row>
    <row r="10731" spans="1:24">
      <c r="A10731">
        <f>HYPERLINK("https://www.philgeps.gov.ph/GEPSNONPILOT/Tender/SplashBidNoticeAbstractUI.aspx?menuIndex=3&amp;refID=7169410&amp;Result=3","7169410")</f>
        <v>0</v>
      </c>
      <c r="B10731" t="s">
        <v>3047</v>
      </c>
      <c r="C10731" t="s">
        <v>13775</v>
      </c>
      <c r="D10731" t="s">
        <v>17192</v>
      </c>
      <c r="E10731" t="s">
        <v>26388</v>
      </c>
      <c r="F10731" t="s">
        <v>29372</v>
      </c>
      <c r="G10731" t="s">
        <v>29380</v>
      </c>
      <c r="H10731" t="s">
        <v>11048</v>
      </c>
      <c r="I10731" t="s">
        <v>29394</v>
      </c>
      <c r="J10731" t="s">
        <v>36330</v>
      </c>
      <c r="K10731" t="s">
        <v>38485</v>
      </c>
      <c r="M10731" t="s">
        <v>42071</v>
      </c>
      <c r="N10731" t="s">
        <v>42669</v>
      </c>
      <c r="O10731" t="s">
        <v>42670</v>
      </c>
      <c r="P10731">
        <v>0</v>
      </c>
      <c r="Q10731">
        <v>5</v>
      </c>
      <c r="R10731" t="s">
        <v>42684</v>
      </c>
      <c r="S10731" t="s">
        <v>43183</v>
      </c>
      <c r="T10731" t="s">
        <v>44354</v>
      </c>
      <c r="U10731" t="s">
        <v>53564</v>
      </c>
      <c r="W10731" t="s">
        <v>58108</v>
      </c>
      <c r="X10731" t="s">
        <v>42685</v>
      </c>
    </row>
    <row r="10732" spans="1:24">
      <c r="A10732">
        <f>HYPERLINK("https://www.philgeps.gov.ph/GEPSNONPILOT/Tender/SplashBidNoticeAbstractUI.aspx?menuIndex=3&amp;refID=7169386&amp;Result=3","7169386")</f>
        <v>0</v>
      </c>
      <c r="B10732" t="s">
        <v>3057</v>
      </c>
      <c r="C10732" t="s">
        <v>13776</v>
      </c>
      <c r="D10732" t="s">
        <v>17191</v>
      </c>
      <c r="E10732" t="s">
        <v>17730</v>
      </c>
      <c r="F10732" t="s">
        <v>29372</v>
      </c>
      <c r="G10732" t="s">
        <v>29380</v>
      </c>
      <c r="H10732" t="s">
        <v>29389</v>
      </c>
      <c r="I10732" t="s">
        <v>10408</v>
      </c>
      <c r="J10732" t="s">
        <v>29543</v>
      </c>
      <c r="K10732" t="s">
        <v>38485</v>
      </c>
      <c r="M10732" t="s">
        <v>42082</v>
      </c>
      <c r="N10732" t="s">
        <v>42669</v>
      </c>
      <c r="O10732" t="s">
        <v>42670</v>
      </c>
      <c r="P10732">
        <v>0</v>
      </c>
      <c r="Q10732">
        <v>3</v>
      </c>
      <c r="R10732" t="s">
        <v>42684</v>
      </c>
      <c r="S10732" t="s">
        <v>43183</v>
      </c>
      <c r="T10732" t="s">
        <v>44457</v>
      </c>
      <c r="U10732" t="s">
        <v>53565</v>
      </c>
      <c r="W10732" t="s">
        <v>42082</v>
      </c>
      <c r="X10732" t="s">
        <v>42685</v>
      </c>
    </row>
    <row r="10733" spans="1:24">
      <c r="A10733">
        <f>HYPERLINK("https://www.philgeps.gov.ph/GEPSNONPILOT/Tender/SplashBidNoticeAbstractUI.aspx?menuIndex=3&amp;refID=7169385&amp;Result=3","7169385")</f>
        <v>0</v>
      </c>
      <c r="B10733" t="s">
        <v>3065</v>
      </c>
      <c r="C10733" t="s">
        <v>13777</v>
      </c>
      <c r="E10733" t="s">
        <v>26389</v>
      </c>
      <c r="F10733" t="s">
        <v>29372</v>
      </c>
      <c r="G10733" t="s">
        <v>29380</v>
      </c>
      <c r="H10733" t="s">
        <v>11048</v>
      </c>
      <c r="I10733" t="s">
        <v>4709</v>
      </c>
      <c r="J10733" t="s">
        <v>36331</v>
      </c>
      <c r="K10733" t="s">
        <v>38491</v>
      </c>
      <c r="M10733" t="s">
        <v>42092</v>
      </c>
      <c r="N10733" t="s">
        <v>42669</v>
      </c>
      <c r="O10733" t="s">
        <v>42670</v>
      </c>
      <c r="P10733">
        <v>0</v>
      </c>
      <c r="Q10733">
        <v>0</v>
      </c>
      <c r="R10733" t="s">
        <v>42684</v>
      </c>
      <c r="S10733" t="s">
        <v>43183</v>
      </c>
      <c r="T10733" t="s">
        <v>44364</v>
      </c>
      <c r="U10733" t="s">
        <v>53566</v>
      </c>
      <c r="V10733" t="s">
        <v>57581</v>
      </c>
      <c r="W10733" t="s">
        <v>42092</v>
      </c>
      <c r="X10733" t="s">
        <v>42685</v>
      </c>
    </row>
    <row r="10734" spans="1:24">
      <c r="A10734">
        <f>HYPERLINK("https://www.philgeps.gov.ph/GEPSNONPILOT/Tender/SplashBidNoticeAbstractUI.aspx?menuIndex=3&amp;refID=7169443&amp;Result=3","7169443")</f>
        <v>0</v>
      </c>
      <c r="B10734" t="s">
        <v>538</v>
      </c>
      <c r="C10734" t="s">
        <v>13778</v>
      </c>
      <c r="D10734" t="s">
        <v>17214</v>
      </c>
      <c r="E10734" t="s">
        <v>26390</v>
      </c>
      <c r="F10734" t="s">
        <v>29372</v>
      </c>
      <c r="G10734" t="s">
        <v>29380</v>
      </c>
      <c r="H10734" t="s">
        <v>11048</v>
      </c>
      <c r="I10734" t="s">
        <v>29409</v>
      </c>
      <c r="J10734" t="s">
        <v>36332</v>
      </c>
      <c r="K10734" t="s">
        <v>38490</v>
      </c>
      <c r="M10734" t="s">
        <v>39306</v>
      </c>
      <c r="N10734" t="s">
        <v>42669</v>
      </c>
      <c r="O10734" t="s">
        <v>42670</v>
      </c>
      <c r="P10734">
        <v>0</v>
      </c>
      <c r="Q10734">
        <v>12</v>
      </c>
      <c r="R10734" t="s">
        <v>42684</v>
      </c>
      <c r="S10734" t="s">
        <v>43183</v>
      </c>
      <c r="T10734" t="s">
        <v>44798</v>
      </c>
      <c r="U10734" t="s">
        <v>53567</v>
      </c>
      <c r="V10734" t="s">
        <v>56591</v>
      </c>
      <c r="W10734" t="s">
        <v>39306</v>
      </c>
      <c r="X10734" t="s">
        <v>42685</v>
      </c>
    </row>
    <row r="10735" spans="1:24">
      <c r="A10735">
        <f>HYPERLINK("https://www.philgeps.gov.ph/GEPSNONPILOT/Tender/SplashBidNoticeAbstractUI.aspx?menuIndex=3&amp;refID=7169384&amp;Result=3","7169384")</f>
        <v>0</v>
      </c>
      <c r="B10735" t="s">
        <v>650</v>
      </c>
      <c r="C10735" t="s">
        <v>13779</v>
      </c>
      <c r="D10735" t="s">
        <v>17144</v>
      </c>
      <c r="E10735" t="s">
        <v>26391</v>
      </c>
      <c r="F10735" t="s">
        <v>29372</v>
      </c>
      <c r="G10735" t="s">
        <v>29380</v>
      </c>
      <c r="H10735" t="s">
        <v>11048</v>
      </c>
      <c r="I10735" t="s">
        <v>3670</v>
      </c>
      <c r="J10735" t="s">
        <v>36333</v>
      </c>
      <c r="K10735" t="s">
        <v>38518</v>
      </c>
      <c r="M10735" t="s">
        <v>39424</v>
      </c>
      <c r="N10735" t="s">
        <v>42669</v>
      </c>
      <c r="O10735" t="s">
        <v>42670</v>
      </c>
      <c r="Q10735">
        <v>6</v>
      </c>
      <c r="R10735" t="s">
        <v>42684</v>
      </c>
      <c r="S10735" t="s">
        <v>43240</v>
      </c>
      <c r="T10735" t="s">
        <v>44366</v>
      </c>
      <c r="U10735" t="s">
        <v>53568</v>
      </c>
      <c r="V10735" t="s">
        <v>56381</v>
      </c>
      <c r="W10735" t="s">
        <v>39424</v>
      </c>
      <c r="X10735" t="s">
        <v>42685</v>
      </c>
    </row>
    <row r="10736" spans="1:24">
      <c r="A10736">
        <f>HYPERLINK("https://www.philgeps.gov.ph/GEPSNONPILOT/Tender/SplashBidNoticeAbstractUI.aspx?menuIndex=3&amp;refID=7169383&amp;Result=3","7169383")</f>
        <v>0</v>
      </c>
      <c r="B10736" t="s">
        <v>2817</v>
      </c>
      <c r="C10736" t="s">
        <v>13780</v>
      </c>
      <c r="D10736" t="s">
        <v>17194</v>
      </c>
      <c r="E10736" t="s">
        <v>18964</v>
      </c>
      <c r="F10736" t="s">
        <v>29372</v>
      </c>
      <c r="G10736" t="s">
        <v>29380</v>
      </c>
      <c r="H10736" t="s">
        <v>11048</v>
      </c>
      <c r="I10736" t="s">
        <v>5383</v>
      </c>
      <c r="J10736" t="s">
        <v>36334</v>
      </c>
      <c r="K10736" t="s">
        <v>38485</v>
      </c>
      <c r="M10736" t="s">
        <v>41806</v>
      </c>
      <c r="N10736" t="s">
        <v>42669</v>
      </c>
      <c r="O10736" t="s">
        <v>42670</v>
      </c>
      <c r="P10736">
        <v>0</v>
      </c>
      <c r="Q10736">
        <v>2</v>
      </c>
      <c r="R10736" t="s">
        <v>42684</v>
      </c>
      <c r="S10736" t="s">
        <v>43183</v>
      </c>
      <c r="T10736" t="s">
        <v>44371</v>
      </c>
      <c r="U10736" t="s">
        <v>53569</v>
      </c>
      <c r="W10736" t="s">
        <v>41806</v>
      </c>
      <c r="X10736" t="s">
        <v>42685</v>
      </c>
    </row>
    <row r="10737" spans="1:24">
      <c r="A10737">
        <f>HYPERLINK("https://www.philgeps.gov.ph/GEPSNONPILOT/Tender/SplashBidNoticeAbstractUI.aspx?menuIndex=3&amp;refID=7169283&amp;Result=3","7169283")</f>
        <v>0</v>
      </c>
      <c r="B10737" t="s">
        <v>3047</v>
      </c>
      <c r="C10737" t="s">
        <v>13781</v>
      </c>
      <c r="D10737" t="s">
        <v>17192</v>
      </c>
      <c r="E10737" t="s">
        <v>26392</v>
      </c>
      <c r="F10737" t="s">
        <v>29372</v>
      </c>
      <c r="G10737" t="s">
        <v>29380</v>
      </c>
      <c r="H10737" t="s">
        <v>11048</v>
      </c>
      <c r="I10737" t="s">
        <v>9642</v>
      </c>
      <c r="J10737" t="s">
        <v>34240</v>
      </c>
      <c r="K10737" t="s">
        <v>38485</v>
      </c>
      <c r="M10737" t="s">
        <v>42071</v>
      </c>
      <c r="N10737" t="s">
        <v>42669</v>
      </c>
      <c r="O10737" t="s">
        <v>42670</v>
      </c>
      <c r="P10737">
        <v>0</v>
      </c>
      <c r="Q10737">
        <v>10</v>
      </c>
      <c r="R10737" t="s">
        <v>42684</v>
      </c>
      <c r="S10737" t="s">
        <v>43183</v>
      </c>
      <c r="T10737" t="s">
        <v>44354</v>
      </c>
      <c r="U10737" t="s">
        <v>53570</v>
      </c>
      <c r="W10737" t="s">
        <v>58108</v>
      </c>
      <c r="X10737" t="s">
        <v>42685</v>
      </c>
    </row>
    <row r="10738" spans="1:24">
      <c r="A10738">
        <f>HYPERLINK("https://www.philgeps.gov.ph/GEPSNONPILOT/Tender/SplashBidNoticeAbstractUI.aspx?menuIndex=3&amp;refID=7169578&amp;Result=3","7169578")</f>
        <v>0</v>
      </c>
      <c r="B10738" t="s">
        <v>455</v>
      </c>
      <c r="C10738" t="s">
        <v>13782</v>
      </c>
      <c r="D10738" t="s">
        <v>17157</v>
      </c>
      <c r="E10738" t="s">
        <v>26393</v>
      </c>
      <c r="F10738" t="s">
        <v>29372</v>
      </c>
      <c r="G10738" t="s">
        <v>29380</v>
      </c>
      <c r="H10738" t="s">
        <v>29389</v>
      </c>
      <c r="I10738" t="s">
        <v>10408</v>
      </c>
      <c r="J10738" t="s">
        <v>29708</v>
      </c>
      <c r="K10738" t="s">
        <v>38503</v>
      </c>
      <c r="M10738" t="s">
        <v>39219</v>
      </c>
      <c r="N10738" t="s">
        <v>42669</v>
      </c>
      <c r="O10738" t="s">
        <v>42670</v>
      </c>
      <c r="P10738">
        <v>0</v>
      </c>
      <c r="Q10738">
        <v>0</v>
      </c>
      <c r="R10738" t="s">
        <v>42684</v>
      </c>
      <c r="S10738" t="s">
        <v>43183</v>
      </c>
      <c r="T10738" t="s">
        <v>44457</v>
      </c>
      <c r="U10738" t="s">
        <v>53571</v>
      </c>
      <c r="W10738" t="s">
        <v>39219</v>
      </c>
      <c r="X10738" t="s">
        <v>42685</v>
      </c>
    </row>
    <row r="10739" spans="1:24">
      <c r="A10739">
        <f>HYPERLINK("https://www.philgeps.gov.ph/GEPSNONPILOT/Tender/SplashBidNoticeAbstractUI.aspx?menuIndex=3&amp;refID=7169198&amp;Result=3","7169198")</f>
        <v>0</v>
      </c>
      <c r="B10739" t="s">
        <v>3047</v>
      </c>
      <c r="C10739" t="s">
        <v>13783</v>
      </c>
      <c r="D10739" t="s">
        <v>17192</v>
      </c>
      <c r="E10739" t="s">
        <v>26394</v>
      </c>
      <c r="F10739" t="s">
        <v>29372</v>
      </c>
      <c r="G10739" t="s">
        <v>29380</v>
      </c>
      <c r="H10739" t="s">
        <v>11048</v>
      </c>
      <c r="I10739" t="s">
        <v>8614</v>
      </c>
      <c r="J10739" t="s">
        <v>29988</v>
      </c>
      <c r="K10739" t="s">
        <v>38485</v>
      </c>
      <c r="M10739" t="s">
        <v>42071</v>
      </c>
      <c r="N10739" t="s">
        <v>42669</v>
      </c>
      <c r="O10739" t="s">
        <v>42670</v>
      </c>
      <c r="P10739">
        <v>0</v>
      </c>
      <c r="Q10739">
        <v>1</v>
      </c>
      <c r="R10739" t="s">
        <v>42684</v>
      </c>
      <c r="S10739" t="s">
        <v>43183</v>
      </c>
      <c r="T10739" t="s">
        <v>44354</v>
      </c>
      <c r="U10739" t="s">
        <v>53572</v>
      </c>
      <c r="W10739" t="s">
        <v>58108</v>
      </c>
      <c r="X10739" t="s">
        <v>42685</v>
      </c>
    </row>
    <row r="10740" spans="1:24">
      <c r="A10740">
        <f>HYPERLINK("https://www.philgeps.gov.ph/GEPSNONPILOT/Tender/SplashBidNoticeAbstractUI.aspx?menuIndex=3&amp;refID=7169566&amp;Result=3","7169566")</f>
        <v>0</v>
      </c>
      <c r="B10740" t="s">
        <v>455</v>
      </c>
      <c r="C10740" t="s">
        <v>13784</v>
      </c>
      <c r="D10740" t="s">
        <v>17157</v>
      </c>
      <c r="E10740" t="s">
        <v>26395</v>
      </c>
      <c r="F10740" t="s">
        <v>29372</v>
      </c>
      <c r="G10740" t="s">
        <v>29380</v>
      </c>
      <c r="H10740" t="s">
        <v>29389</v>
      </c>
      <c r="I10740" t="s">
        <v>10408</v>
      </c>
      <c r="J10740" t="s">
        <v>29708</v>
      </c>
      <c r="K10740" t="s">
        <v>38485</v>
      </c>
      <c r="M10740" t="s">
        <v>39219</v>
      </c>
      <c r="N10740" t="s">
        <v>42669</v>
      </c>
      <c r="O10740" t="s">
        <v>42670</v>
      </c>
      <c r="P10740">
        <v>0</v>
      </c>
      <c r="Q10740">
        <v>0</v>
      </c>
      <c r="R10740" t="s">
        <v>42684</v>
      </c>
      <c r="S10740" t="s">
        <v>43183</v>
      </c>
      <c r="T10740" t="s">
        <v>44457</v>
      </c>
      <c r="U10740" t="s">
        <v>53571</v>
      </c>
      <c r="W10740" t="s">
        <v>39219</v>
      </c>
      <c r="X10740" t="s">
        <v>42685</v>
      </c>
    </row>
    <row r="10741" spans="1:24">
      <c r="A10741">
        <f>HYPERLINK("https://www.philgeps.gov.ph/GEPSNONPILOT/Tender/SplashBidNoticeAbstractUI.aspx?menuIndex=3&amp;refID=7169441&amp;Result=3","7169441")</f>
        <v>0</v>
      </c>
      <c r="B10741" t="s">
        <v>1930</v>
      </c>
      <c r="C10741" t="s">
        <v>13785</v>
      </c>
      <c r="E10741" t="s">
        <v>26396</v>
      </c>
      <c r="F10741" t="s">
        <v>29372</v>
      </c>
      <c r="G10741" t="s">
        <v>29380</v>
      </c>
      <c r="H10741" t="s">
        <v>11048</v>
      </c>
      <c r="I10741" t="s">
        <v>3670</v>
      </c>
      <c r="J10741" t="s">
        <v>36335</v>
      </c>
      <c r="K10741" t="s">
        <v>38490</v>
      </c>
      <c r="M10741" t="s">
        <v>42085</v>
      </c>
      <c r="N10741" t="s">
        <v>42669</v>
      </c>
      <c r="O10741" t="s">
        <v>42670</v>
      </c>
      <c r="P10741">
        <v>0</v>
      </c>
      <c r="Q10741">
        <v>5</v>
      </c>
      <c r="R10741" t="s">
        <v>42684</v>
      </c>
      <c r="S10741" t="s">
        <v>43183</v>
      </c>
      <c r="T10741" t="s">
        <v>44799</v>
      </c>
      <c r="U10741" t="s">
        <v>53573</v>
      </c>
      <c r="W10741" t="s">
        <v>42085</v>
      </c>
      <c r="X10741" t="s">
        <v>42685</v>
      </c>
    </row>
    <row r="10742" spans="1:24">
      <c r="A10742">
        <f>HYPERLINK("https://www.philgeps.gov.ph/GEPSNONPILOT/Tender/SplashBidNoticeAbstractUI.aspx?menuIndex=3&amp;refID=7169562&amp;Result=3","7169562")</f>
        <v>0</v>
      </c>
      <c r="B10742" t="s">
        <v>3061</v>
      </c>
      <c r="C10742" t="s">
        <v>13786</v>
      </c>
      <c r="D10742" t="s">
        <v>17180</v>
      </c>
      <c r="E10742" t="s">
        <v>26397</v>
      </c>
      <c r="F10742" t="s">
        <v>29372</v>
      </c>
      <c r="G10742" t="s">
        <v>29380</v>
      </c>
      <c r="H10742" t="s">
        <v>29389</v>
      </c>
      <c r="I10742" t="s">
        <v>10408</v>
      </c>
      <c r="J10742" t="s">
        <v>36336</v>
      </c>
      <c r="K10742" t="s">
        <v>38723</v>
      </c>
      <c r="M10742" t="s">
        <v>42087</v>
      </c>
      <c r="N10742" t="s">
        <v>42669</v>
      </c>
      <c r="O10742" t="s">
        <v>42670</v>
      </c>
      <c r="P10742">
        <v>0</v>
      </c>
      <c r="Q10742">
        <v>145</v>
      </c>
      <c r="R10742" t="s">
        <v>42684</v>
      </c>
      <c r="S10742" t="s">
        <v>43183</v>
      </c>
      <c r="T10742" t="s">
        <v>44527</v>
      </c>
      <c r="U10742" t="s">
        <v>53574</v>
      </c>
      <c r="V10742" t="s">
        <v>56517</v>
      </c>
      <c r="W10742" t="s">
        <v>42087</v>
      </c>
      <c r="X10742" t="s">
        <v>42685</v>
      </c>
    </row>
    <row r="10743" spans="1:24">
      <c r="A10743">
        <f>HYPERLINK("https://www.philgeps.gov.ph/GEPSNONPILOT/Tender/SplashBidNoticeAbstractUI.aspx?menuIndex=3&amp;refID=7169558&amp;Result=3","7169558")</f>
        <v>0</v>
      </c>
      <c r="B10743" t="s">
        <v>2224</v>
      </c>
      <c r="C10743" t="s">
        <v>13787</v>
      </c>
      <c r="D10743" t="s">
        <v>17143</v>
      </c>
      <c r="E10743" t="s">
        <v>20850</v>
      </c>
      <c r="F10743" t="s">
        <v>29372</v>
      </c>
      <c r="G10743" t="s">
        <v>29380</v>
      </c>
      <c r="H10743" t="s">
        <v>29389</v>
      </c>
      <c r="I10743" t="s">
        <v>10408</v>
      </c>
      <c r="J10743" t="s">
        <v>30056</v>
      </c>
      <c r="K10743" t="s">
        <v>38495</v>
      </c>
      <c r="M10743" t="s">
        <v>41142</v>
      </c>
      <c r="N10743" t="s">
        <v>42669</v>
      </c>
      <c r="O10743" t="s">
        <v>42670</v>
      </c>
      <c r="P10743">
        <v>0</v>
      </c>
      <c r="Q10743">
        <v>2</v>
      </c>
      <c r="R10743" t="s">
        <v>42684</v>
      </c>
      <c r="S10743" t="s">
        <v>43183</v>
      </c>
      <c r="T10743" t="s">
        <v>44391</v>
      </c>
      <c r="U10743" t="s">
        <v>53575</v>
      </c>
      <c r="W10743" t="s">
        <v>41142</v>
      </c>
      <c r="X10743" t="s">
        <v>42685</v>
      </c>
    </row>
    <row r="10744" spans="1:24">
      <c r="A10744">
        <f>HYPERLINK("https://www.philgeps.gov.ph/GEPSNONPILOT/Tender/SplashBidNoticeAbstractUI.aspx?menuIndex=3&amp;refID=7169555&amp;Result=3","7169555")</f>
        <v>0</v>
      </c>
      <c r="B10744" t="s">
        <v>455</v>
      </c>
      <c r="C10744" t="s">
        <v>13788</v>
      </c>
      <c r="D10744" t="s">
        <v>17157</v>
      </c>
      <c r="E10744" t="s">
        <v>26398</v>
      </c>
      <c r="F10744" t="s">
        <v>29372</v>
      </c>
      <c r="G10744" t="s">
        <v>29380</v>
      </c>
      <c r="H10744" t="s">
        <v>29389</v>
      </c>
      <c r="I10744" t="s">
        <v>10408</v>
      </c>
      <c r="J10744" t="s">
        <v>29708</v>
      </c>
      <c r="K10744" t="s">
        <v>38485</v>
      </c>
      <c r="M10744" t="s">
        <v>39219</v>
      </c>
      <c r="N10744" t="s">
        <v>42669</v>
      </c>
      <c r="O10744" t="s">
        <v>42670</v>
      </c>
      <c r="P10744">
        <v>0</v>
      </c>
      <c r="Q10744">
        <v>0</v>
      </c>
      <c r="R10744" t="s">
        <v>42684</v>
      </c>
      <c r="S10744" t="s">
        <v>43183</v>
      </c>
      <c r="T10744" t="s">
        <v>44457</v>
      </c>
      <c r="U10744" t="s">
        <v>53571</v>
      </c>
      <c r="W10744" t="s">
        <v>39219</v>
      </c>
      <c r="X10744" t="s">
        <v>42685</v>
      </c>
    </row>
    <row r="10745" spans="1:24">
      <c r="A10745">
        <f>HYPERLINK("https://www.philgeps.gov.ph/GEPSNONPILOT/Tender/SplashBidNoticeAbstractUI.aspx?menuIndex=3&amp;refID=7169550&amp;Result=3","7169550")</f>
        <v>0</v>
      </c>
      <c r="B10745" t="s">
        <v>1264</v>
      </c>
      <c r="C10745" t="s">
        <v>13789</v>
      </c>
      <c r="D10745" t="s">
        <v>17210</v>
      </c>
      <c r="E10745" t="s">
        <v>26399</v>
      </c>
      <c r="F10745" t="s">
        <v>29372</v>
      </c>
      <c r="G10745" t="s">
        <v>29380</v>
      </c>
      <c r="H10745" t="s">
        <v>11048</v>
      </c>
      <c r="I10745" t="s">
        <v>9469</v>
      </c>
      <c r="J10745" t="s">
        <v>30350</v>
      </c>
      <c r="K10745" t="s">
        <v>38485</v>
      </c>
      <c r="M10745" t="s">
        <v>40091</v>
      </c>
      <c r="N10745" t="s">
        <v>42669</v>
      </c>
      <c r="O10745" t="s">
        <v>42670</v>
      </c>
      <c r="P10745">
        <v>0</v>
      </c>
      <c r="Q10745">
        <v>1</v>
      </c>
      <c r="R10745" t="s">
        <v>42684</v>
      </c>
      <c r="S10745" t="s">
        <v>43183</v>
      </c>
      <c r="T10745" t="s">
        <v>44398</v>
      </c>
      <c r="U10745" t="s">
        <v>53576</v>
      </c>
      <c r="W10745" t="s">
        <v>40091</v>
      </c>
      <c r="X10745" t="s">
        <v>42685</v>
      </c>
    </row>
    <row r="10746" spans="1:24">
      <c r="A10746">
        <f>HYPERLINK("https://www.philgeps.gov.ph/GEPSNONPILOT/Tender/SplashBidNoticeAbstractUI.aspx?menuIndex=3&amp;refID=7169576&amp;Result=3","7169576")</f>
        <v>0</v>
      </c>
      <c r="B10746" t="s">
        <v>455</v>
      </c>
      <c r="C10746" t="s">
        <v>13790</v>
      </c>
      <c r="D10746" t="s">
        <v>17157</v>
      </c>
      <c r="E10746" t="s">
        <v>26400</v>
      </c>
      <c r="F10746" t="s">
        <v>29372</v>
      </c>
      <c r="G10746" t="s">
        <v>29380</v>
      </c>
      <c r="H10746" t="s">
        <v>29389</v>
      </c>
      <c r="I10746" t="s">
        <v>10408</v>
      </c>
      <c r="J10746" t="s">
        <v>29708</v>
      </c>
      <c r="K10746" t="s">
        <v>38485</v>
      </c>
      <c r="M10746" t="s">
        <v>39219</v>
      </c>
      <c r="N10746" t="s">
        <v>42669</v>
      </c>
      <c r="O10746" t="s">
        <v>42670</v>
      </c>
      <c r="P10746">
        <v>0</v>
      </c>
      <c r="Q10746">
        <v>0</v>
      </c>
      <c r="R10746" t="s">
        <v>42684</v>
      </c>
      <c r="S10746" t="s">
        <v>43183</v>
      </c>
      <c r="T10746" t="s">
        <v>44457</v>
      </c>
      <c r="U10746" t="s">
        <v>53571</v>
      </c>
      <c r="W10746" t="s">
        <v>39219</v>
      </c>
      <c r="X10746" t="s">
        <v>42685</v>
      </c>
    </row>
    <row r="10747" spans="1:24">
      <c r="A10747">
        <f>HYPERLINK("https://www.philgeps.gov.ph/GEPSNONPILOT/Tender/SplashBidNoticeAbstractUI.aspx?menuIndex=3&amp;refID=7169543&amp;Result=3","7169543")</f>
        <v>0</v>
      </c>
      <c r="B10747" t="s">
        <v>455</v>
      </c>
      <c r="C10747" t="s">
        <v>13791</v>
      </c>
      <c r="D10747" t="s">
        <v>17157</v>
      </c>
      <c r="E10747" t="s">
        <v>26401</v>
      </c>
      <c r="F10747" t="s">
        <v>29372</v>
      </c>
      <c r="G10747" t="s">
        <v>29380</v>
      </c>
      <c r="H10747" t="s">
        <v>29389</v>
      </c>
      <c r="I10747" t="s">
        <v>10408</v>
      </c>
      <c r="J10747" t="s">
        <v>29708</v>
      </c>
      <c r="K10747" t="s">
        <v>38485</v>
      </c>
      <c r="M10747" t="s">
        <v>39219</v>
      </c>
      <c r="N10747" t="s">
        <v>42669</v>
      </c>
      <c r="O10747" t="s">
        <v>42670</v>
      </c>
      <c r="P10747">
        <v>0</v>
      </c>
      <c r="Q10747">
        <v>0</v>
      </c>
      <c r="R10747" t="s">
        <v>42684</v>
      </c>
      <c r="S10747" t="s">
        <v>43183</v>
      </c>
      <c r="T10747" t="s">
        <v>44457</v>
      </c>
      <c r="U10747" t="s">
        <v>53571</v>
      </c>
      <c r="W10747" t="s">
        <v>39219</v>
      </c>
      <c r="X10747" t="s">
        <v>42685</v>
      </c>
    </row>
    <row r="10748" spans="1:24">
      <c r="A10748">
        <f>HYPERLINK("https://www.philgeps.gov.ph/GEPSNONPILOT/Tender/SplashBidNoticeAbstractUI.aspx?menuIndex=3&amp;refID=7169536&amp;Result=3","7169536")</f>
        <v>0</v>
      </c>
      <c r="B10748" t="s">
        <v>455</v>
      </c>
      <c r="C10748" t="s">
        <v>13792</v>
      </c>
      <c r="D10748" t="s">
        <v>17157</v>
      </c>
      <c r="E10748" t="s">
        <v>26402</v>
      </c>
      <c r="F10748" t="s">
        <v>29372</v>
      </c>
      <c r="G10748" t="s">
        <v>29380</v>
      </c>
      <c r="H10748" t="s">
        <v>29389</v>
      </c>
      <c r="I10748" t="s">
        <v>10408</v>
      </c>
      <c r="J10748" t="s">
        <v>29604</v>
      </c>
      <c r="K10748" t="s">
        <v>38485</v>
      </c>
      <c r="M10748" t="s">
        <v>39219</v>
      </c>
      <c r="N10748" t="s">
        <v>42669</v>
      </c>
      <c r="O10748" t="s">
        <v>42670</v>
      </c>
      <c r="P10748">
        <v>0</v>
      </c>
      <c r="Q10748">
        <v>0</v>
      </c>
      <c r="R10748" t="s">
        <v>42684</v>
      </c>
      <c r="S10748" t="s">
        <v>43183</v>
      </c>
      <c r="T10748" t="s">
        <v>44457</v>
      </c>
      <c r="U10748" t="s">
        <v>53571</v>
      </c>
      <c r="W10748" t="s">
        <v>39219</v>
      </c>
      <c r="X10748" t="s">
        <v>42685</v>
      </c>
    </row>
    <row r="10749" spans="1:24">
      <c r="A10749">
        <f>HYPERLINK("https://www.philgeps.gov.ph/GEPSNONPILOT/Tender/SplashBidNoticeAbstractUI.aspx?menuIndex=3&amp;refID=7169293&amp;Result=3","7169293")</f>
        <v>0</v>
      </c>
      <c r="B10749" t="s">
        <v>2752</v>
      </c>
      <c r="C10749" t="s">
        <v>13793</v>
      </c>
      <c r="D10749" t="s">
        <v>17211</v>
      </c>
      <c r="E10749" t="s">
        <v>26403</v>
      </c>
      <c r="F10749" t="s">
        <v>29372</v>
      </c>
      <c r="G10749" t="s">
        <v>29380</v>
      </c>
      <c r="H10749" t="s">
        <v>11048</v>
      </c>
      <c r="I10749" t="s">
        <v>29398</v>
      </c>
      <c r="J10749" t="s">
        <v>36337</v>
      </c>
      <c r="K10749" t="s">
        <v>38485</v>
      </c>
      <c r="M10749" t="s">
        <v>41735</v>
      </c>
      <c r="N10749" t="s">
        <v>42669</v>
      </c>
      <c r="O10749" t="s">
        <v>42670</v>
      </c>
      <c r="Q10749">
        <v>8</v>
      </c>
      <c r="R10749" t="s">
        <v>42684</v>
      </c>
      <c r="S10749" t="s">
        <v>43241</v>
      </c>
      <c r="T10749" t="s">
        <v>44562</v>
      </c>
      <c r="U10749" t="s">
        <v>53577</v>
      </c>
      <c r="W10749" t="s">
        <v>41735</v>
      </c>
      <c r="X10749" t="s">
        <v>42685</v>
      </c>
    </row>
    <row r="10750" spans="1:24">
      <c r="A10750">
        <f>HYPERLINK("https://www.philgeps.gov.ph/GEPSNONPILOT/Tender/SplashBidNoticeAbstractUI.aspx?menuIndex=3&amp;refID=7169416&amp;Result=3","7169416")</f>
        <v>0</v>
      </c>
      <c r="B10750" t="s">
        <v>1632</v>
      </c>
      <c r="C10750" t="s">
        <v>13794</v>
      </c>
      <c r="D10750" t="s">
        <v>17174</v>
      </c>
      <c r="E10750" t="s">
        <v>26404</v>
      </c>
      <c r="F10750" t="s">
        <v>29372</v>
      </c>
      <c r="G10750" t="s">
        <v>29380</v>
      </c>
      <c r="H10750" t="s">
        <v>29389</v>
      </c>
      <c r="I10750" t="s">
        <v>10408</v>
      </c>
      <c r="J10750" t="s">
        <v>36338</v>
      </c>
      <c r="K10750" t="s">
        <v>38495</v>
      </c>
      <c r="M10750" t="s">
        <v>40488</v>
      </c>
      <c r="N10750" t="s">
        <v>42669</v>
      </c>
      <c r="O10750" t="s">
        <v>42670</v>
      </c>
      <c r="P10750">
        <v>0</v>
      </c>
      <c r="Q10750">
        <v>0</v>
      </c>
      <c r="R10750" t="s">
        <v>42684</v>
      </c>
      <c r="S10750" t="s">
        <v>43183</v>
      </c>
      <c r="T10750" t="s">
        <v>44527</v>
      </c>
      <c r="U10750" t="s">
        <v>53578</v>
      </c>
      <c r="W10750" t="s">
        <v>40488</v>
      </c>
      <c r="X10750" t="s">
        <v>42685</v>
      </c>
    </row>
    <row r="10751" spans="1:24">
      <c r="A10751">
        <f>HYPERLINK("https://www.philgeps.gov.ph/GEPSNONPILOT/Tender/SplashBidNoticeAbstractUI.aspx?menuIndex=3&amp;refID=7169557&amp;Result=3","7169557")</f>
        <v>0</v>
      </c>
      <c r="B10751" t="s">
        <v>2865</v>
      </c>
      <c r="C10751" t="s">
        <v>13795</v>
      </c>
      <c r="D10751" t="s">
        <v>17231</v>
      </c>
      <c r="E10751" t="s">
        <v>18246</v>
      </c>
      <c r="F10751" t="s">
        <v>29372</v>
      </c>
      <c r="G10751" t="s">
        <v>29379</v>
      </c>
      <c r="H10751" t="s">
        <v>11048</v>
      </c>
      <c r="I10751" t="s">
        <v>29400</v>
      </c>
      <c r="J10751" t="s">
        <v>36339</v>
      </c>
      <c r="K10751" t="s">
        <v>38522</v>
      </c>
      <c r="M10751" t="s">
        <v>41860</v>
      </c>
      <c r="N10751" t="s">
        <v>42669</v>
      </c>
      <c r="O10751" t="s">
        <v>42670</v>
      </c>
      <c r="Q10751">
        <v>47</v>
      </c>
      <c r="R10751" t="s">
        <v>42684</v>
      </c>
      <c r="S10751" t="s">
        <v>43242</v>
      </c>
      <c r="T10751" t="s">
        <v>44412</v>
      </c>
      <c r="U10751" t="s">
        <v>53579</v>
      </c>
      <c r="W10751" t="s">
        <v>41860</v>
      </c>
      <c r="X10751" t="s">
        <v>42685</v>
      </c>
    </row>
    <row r="10752" spans="1:24">
      <c r="A10752">
        <f>HYPERLINK("https://www.philgeps.gov.ph/GEPSNONPILOT/Tender/SplashBidNoticeAbstractUI.aspx?menuIndex=3&amp;refID=7169671&amp;Result=3","7169671")</f>
        <v>0</v>
      </c>
      <c r="B10752" t="s">
        <v>455</v>
      </c>
      <c r="C10752" t="s">
        <v>13796</v>
      </c>
      <c r="D10752" t="s">
        <v>17157</v>
      </c>
      <c r="E10752" t="s">
        <v>26405</v>
      </c>
      <c r="F10752" t="s">
        <v>29372</v>
      </c>
      <c r="G10752" t="s">
        <v>29380</v>
      </c>
      <c r="H10752" t="s">
        <v>29389</v>
      </c>
      <c r="I10752" t="s">
        <v>10408</v>
      </c>
      <c r="J10752" t="s">
        <v>29590</v>
      </c>
      <c r="K10752" t="s">
        <v>38503</v>
      </c>
      <c r="M10752" t="s">
        <v>39219</v>
      </c>
      <c r="N10752" t="s">
        <v>42669</v>
      </c>
      <c r="O10752" t="s">
        <v>42670</v>
      </c>
      <c r="P10752">
        <v>0</v>
      </c>
      <c r="Q10752">
        <v>0</v>
      </c>
      <c r="R10752" t="s">
        <v>42684</v>
      </c>
      <c r="S10752" t="s">
        <v>43183</v>
      </c>
      <c r="T10752" t="s">
        <v>44457</v>
      </c>
      <c r="U10752" t="s">
        <v>53571</v>
      </c>
      <c r="W10752" t="s">
        <v>39219</v>
      </c>
      <c r="X10752" t="s">
        <v>42685</v>
      </c>
    </row>
    <row r="10753" spans="1:24">
      <c r="A10753">
        <f>HYPERLINK("https://www.philgeps.gov.ph/GEPSNONPILOT/Tender/SplashBidNoticeAbstractUI.aspx?menuIndex=3&amp;refID=7169534&amp;Result=3","7169534")</f>
        <v>0</v>
      </c>
      <c r="B10753" t="s">
        <v>3061</v>
      </c>
      <c r="C10753" t="s">
        <v>13797</v>
      </c>
      <c r="D10753" t="s">
        <v>17180</v>
      </c>
      <c r="E10753" t="s">
        <v>26406</v>
      </c>
      <c r="F10753" t="s">
        <v>29372</v>
      </c>
      <c r="G10753" t="s">
        <v>29380</v>
      </c>
      <c r="H10753" t="s">
        <v>29391</v>
      </c>
      <c r="I10753" t="s">
        <v>29391</v>
      </c>
      <c r="J10753" t="s">
        <v>29937</v>
      </c>
      <c r="K10753" t="s">
        <v>38517</v>
      </c>
      <c r="M10753" t="s">
        <v>42087</v>
      </c>
      <c r="N10753" t="s">
        <v>42669</v>
      </c>
      <c r="O10753" t="s">
        <v>42670</v>
      </c>
      <c r="P10753">
        <v>0</v>
      </c>
      <c r="Q10753">
        <v>15</v>
      </c>
      <c r="R10753" t="s">
        <v>42684</v>
      </c>
      <c r="S10753" t="s">
        <v>43183</v>
      </c>
      <c r="T10753" t="s">
        <v>44527</v>
      </c>
      <c r="U10753" t="s">
        <v>53580</v>
      </c>
      <c r="V10753" t="s">
        <v>56517</v>
      </c>
      <c r="W10753" t="s">
        <v>42087</v>
      </c>
      <c r="X10753" t="s">
        <v>42685</v>
      </c>
    </row>
    <row r="10754" spans="1:24">
      <c r="A10754">
        <f>HYPERLINK("https://www.philgeps.gov.ph/GEPSNONPILOT/Tender/SplashBidNoticeAbstractUI.aspx?menuIndex=3&amp;refID=7169537&amp;Result=3","7169537")</f>
        <v>0</v>
      </c>
      <c r="B10754" t="s">
        <v>73</v>
      </c>
      <c r="C10754" t="s">
        <v>13798</v>
      </c>
      <c r="D10754" t="s">
        <v>17171</v>
      </c>
      <c r="E10754" t="s">
        <v>26407</v>
      </c>
      <c r="F10754" t="s">
        <v>29372</v>
      </c>
      <c r="G10754" t="s">
        <v>29380</v>
      </c>
      <c r="H10754" t="s">
        <v>11048</v>
      </c>
      <c r="I10754" t="s">
        <v>3629</v>
      </c>
      <c r="J10754" t="s">
        <v>36340</v>
      </c>
      <c r="K10754" t="s">
        <v>38485</v>
      </c>
      <c r="M10754" t="s">
        <v>40913</v>
      </c>
      <c r="N10754" t="s">
        <v>42669</v>
      </c>
      <c r="O10754" t="s">
        <v>42670</v>
      </c>
      <c r="Q10754">
        <v>4</v>
      </c>
      <c r="R10754" t="s">
        <v>42684</v>
      </c>
      <c r="S10754" t="s">
        <v>43243</v>
      </c>
      <c r="T10754" t="s">
        <v>44391</v>
      </c>
      <c r="U10754" t="s">
        <v>53581</v>
      </c>
      <c r="W10754" t="s">
        <v>40913</v>
      </c>
      <c r="X10754" t="s">
        <v>42685</v>
      </c>
    </row>
    <row r="10755" spans="1:24">
      <c r="A10755">
        <f>HYPERLINK("https://www.philgeps.gov.ph/GEPSNONPILOT/Tender/SplashBidNoticeAbstractUI.aspx?menuIndex=3&amp;refID=7169661&amp;Result=3","7169661")</f>
        <v>0</v>
      </c>
      <c r="B10755" t="s">
        <v>181</v>
      </c>
      <c r="C10755" t="s">
        <v>13799</v>
      </c>
      <c r="D10755" t="s">
        <v>17228</v>
      </c>
      <c r="E10755" t="s">
        <v>26408</v>
      </c>
      <c r="F10755" t="s">
        <v>29372</v>
      </c>
      <c r="G10755" t="s">
        <v>29379</v>
      </c>
      <c r="H10755" t="s">
        <v>29391</v>
      </c>
      <c r="I10755" t="s">
        <v>29391</v>
      </c>
      <c r="J10755" t="s">
        <v>29625</v>
      </c>
      <c r="K10755" t="s">
        <v>38488</v>
      </c>
      <c r="M10755" t="s">
        <v>38972</v>
      </c>
      <c r="N10755" t="s">
        <v>42669</v>
      </c>
      <c r="O10755" t="s">
        <v>42670</v>
      </c>
      <c r="Q10755">
        <v>0</v>
      </c>
      <c r="R10755" t="s">
        <v>42684</v>
      </c>
      <c r="S10755" t="s">
        <v>43244</v>
      </c>
      <c r="T10755" t="s">
        <v>44371</v>
      </c>
      <c r="U10755" t="s">
        <v>53582</v>
      </c>
      <c r="W10755" t="s">
        <v>38938</v>
      </c>
      <c r="X10755" t="s">
        <v>42685</v>
      </c>
    </row>
    <row r="10756" spans="1:24">
      <c r="A10756">
        <f>HYPERLINK("https://www.philgeps.gov.ph/GEPSNONPILOT/Tender/SplashBidNoticeAbstractUI.aspx?menuIndex=3&amp;refID=7169642&amp;Result=3","7169642")</f>
        <v>0</v>
      </c>
      <c r="B10756" t="s">
        <v>3062</v>
      </c>
      <c r="C10756" t="s">
        <v>13800</v>
      </c>
      <c r="D10756" t="s">
        <v>17169</v>
      </c>
      <c r="E10756" t="s">
        <v>26409</v>
      </c>
      <c r="F10756" t="s">
        <v>29372</v>
      </c>
      <c r="G10756" t="s">
        <v>29380</v>
      </c>
      <c r="H10756" t="s">
        <v>29389</v>
      </c>
      <c r="I10756" t="s">
        <v>10408</v>
      </c>
      <c r="J10756" t="s">
        <v>29543</v>
      </c>
      <c r="K10756" t="s">
        <v>38495</v>
      </c>
      <c r="M10756" t="s">
        <v>42088</v>
      </c>
      <c r="N10756" t="s">
        <v>42669</v>
      </c>
      <c r="O10756" t="s">
        <v>42670</v>
      </c>
      <c r="P10756">
        <v>0</v>
      </c>
      <c r="Q10756">
        <v>1</v>
      </c>
      <c r="R10756" t="s">
        <v>42684</v>
      </c>
      <c r="S10756" t="s">
        <v>43183</v>
      </c>
      <c r="T10756" t="s">
        <v>44510</v>
      </c>
      <c r="U10756" t="s">
        <v>53583</v>
      </c>
      <c r="W10756" t="s">
        <v>42088</v>
      </c>
      <c r="X10756" t="s">
        <v>42685</v>
      </c>
    </row>
    <row r="10757" spans="1:24">
      <c r="A10757">
        <f>HYPERLINK("https://www.philgeps.gov.ph/GEPSNONPILOT/Tender/SplashBidNoticeAbstractUI.aspx?menuIndex=3&amp;refID=7169665&amp;Result=3","7169665")</f>
        <v>0</v>
      </c>
      <c r="B10757" t="s">
        <v>3066</v>
      </c>
      <c r="C10757" t="s">
        <v>13801</v>
      </c>
      <c r="D10757" t="s">
        <v>17213</v>
      </c>
      <c r="E10757" t="s">
        <v>26410</v>
      </c>
      <c r="F10757" t="s">
        <v>29372</v>
      </c>
      <c r="G10757" t="s">
        <v>29380</v>
      </c>
      <c r="H10757" t="s">
        <v>29389</v>
      </c>
      <c r="I10757" t="s">
        <v>10408</v>
      </c>
      <c r="J10757" t="s">
        <v>36341</v>
      </c>
      <c r="K10757" t="s">
        <v>38640</v>
      </c>
      <c r="M10757" t="s">
        <v>42093</v>
      </c>
      <c r="N10757" t="s">
        <v>42669</v>
      </c>
      <c r="O10757" t="s">
        <v>42670</v>
      </c>
      <c r="Q10757">
        <v>0</v>
      </c>
      <c r="R10757" t="s">
        <v>42684</v>
      </c>
      <c r="S10757" t="s">
        <v>43245</v>
      </c>
      <c r="T10757" t="s">
        <v>44357</v>
      </c>
      <c r="U10757" t="s">
        <v>53584</v>
      </c>
      <c r="V10757" t="s">
        <v>57582</v>
      </c>
      <c r="W10757" t="s">
        <v>42093</v>
      </c>
      <c r="X10757" t="s">
        <v>42685</v>
      </c>
    </row>
    <row r="10758" spans="1:24">
      <c r="A10758">
        <f>HYPERLINK("https://www.philgeps.gov.ph/GEPSNONPILOT/Tender/SplashBidNoticeAbstractUI.aspx?menuIndex=3&amp;refID=7169664&amp;Result=3","7169664")</f>
        <v>0</v>
      </c>
      <c r="B10758" t="s">
        <v>455</v>
      </c>
      <c r="C10758" t="s">
        <v>13802</v>
      </c>
      <c r="D10758" t="s">
        <v>17157</v>
      </c>
      <c r="E10758" t="s">
        <v>26411</v>
      </c>
      <c r="F10758" t="s">
        <v>29372</v>
      </c>
      <c r="G10758" t="s">
        <v>29380</v>
      </c>
      <c r="H10758" t="s">
        <v>29389</v>
      </c>
      <c r="I10758" t="s">
        <v>10408</v>
      </c>
      <c r="J10758" t="s">
        <v>29590</v>
      </c>
      <c r="K10758" t="s">
        <v>38571</v>
      </c>
      <c r="M10758" t="s">
        <v>39219</v>
      </c>
      <c r="N10758" t="s">
        <v>42669</v>
      </c>
      <c r="O10758" t="s">
        <v>42670</v>
      </c>
      <c r="P10758">
        <v>0</v>
      </c>
      <c r="Q10758">
        <v>0</v>
      </c>
      <c r="R10758" t="s">
        <v>42684</v>
      </c>
      <c r="S10758" t="s">
        <v>43183</v>
      </c>
      <c r="T10758" t="s">
        <v>44457</v>
      </c>
      <c r="U10758" t="s">
        <v>53571</v>
      </c>
      <c r="W10758" t="s">
        <v>39219</v>
      </c>
      <c r="X10758" t="s">
        <v>42685</v>
      </c>
    </row>
    <row r="10759" spans="1:24">
      <c r="A10759">
        <f>HYPERLINK("https://www.philgeps.gov.ph/GEPSNONPILOT/Tender/SplashBidNoticeAbstractUI.aspx?menuIndex=3&amp;refID=7169623&amp;Result=3","7169623")</f>
        <v>0</v>
      </c>
      <c r="B10759" t="s">
        <v>455</v>
      </c>
      <c r="C10759" t="s">
        <v>13803</v>
      </c>
      <c r="D10759" t="s">
        <v>17157</v>
      </c>
      <c r="E10759" t="s">
        <v>26412</v>
      </c>
      <c r="F10759" t="s">
        <v>29372</v>
      </c>
      <c r="G10759" t="s">
        <v>29380</v>
      </c>
      <c r="H10759" t="s">
        <v>29389</v>
      </c>
      <c r="I10759" t="s">
        <v>10408</v>
      </c>
      <c r="J10759" t="s">
        <v>29587</v>
      </c>
      <c r="K10759" t="s">
        <v>38485</v>
      </c>
      <c r="M10759" t="s">
        <v>39219</v>
      </c>
      <c r="N10759" t="s">
        <v>42669</v>
      </c>
      <c r="O10759" t="s">
        <v>42670</v>
      </c>
      <c r="P10759">
        <v>0</v>
      </c>
      <c r="Q10759">
        <v>0</v>
      </c>
      <c r="R10759" t="s">
        <v>42684</v>
      </c>
      <c r="S10759" t="s">
        <v>43183</v>
      </c>
      <c r="T10759" t="s">
        <v>44457</v>
      </c>
      <c r="U10759" t="s">
        <v>53571</v>
      </c>
      <c r="W10759" t="s">
        <v>39219</v>
      </c>
      <c r="X10759" t="s">
        <v>42685</v>
      </c>
    </row>
    <row r="10760" spans="1:24">
      <c r="A10760">
        <f>HYPERLINK("https://www.philgeps.gov.ph/GEPSNONPILOT/Tender/SplashBidNoticeAbstractUI.aspx?menuIndex=3&amp;refID=7169030&amp;Result=3","7169030")</f>
        <v>0</v>
      </c>
      <c r="B10760" t="s">
        <v>3056</v>
      </c>
      <c r="C10760" t="s">
        <v>13804</v>
      </c>
      <c r="D10760" t="s">
        <v>17213</v>
      </c>
      <c r="E10760" t="s">
        <v>19378</v>
      </c>
      <c r="F10760" t="s">
        <v>29372</v>
      </c>
      <c r="G10760" t="s">
        <v>29380</v>
      </c>
      <c r="H10760" t="s">
        <v>29389</v>
      </c>
      <c r="I10760" t="s">
        <v>10408</v>
      </c>
      <c r="J10760" t="s">
        <v>36342</v>
      </c>
      <c r="K10760" t="s">
        <v>38564</v>
      </c>
      <c r="M10760" t="s">
        <v>42081</v>
      </c>
      <c r="N10760" t="s">
        <v>42669</v>
      </c>
      <c r="O10760" t="s">
        <v>42670</v>
      </c>
      <c r="P10760">
        <v>0</v>
      </c>
      <c r="Q10760">
        <v>2</v>
      </c>
      <c r="R10760" t="s">
        <v>42684</v>
      </c>
      <c r="S10760" t="s">
        <v>43183</v>
      </c>
      <c r="T10760" t="s">
        <v>44527</v>
      </c>
      <c r="U10760" t="s">
        <v>53585</v>
      </c>
      <c r="W10760" t="s">
        <v>42081</v>
      </c>
      <c r="X10760" t="s">
        <v>42685</v>
      </c>
    </row>
    <row r="10761" spans="1:24">
      <c r="A10761">
        <f>HYPERLINK("https://www.philgeps.gov.ph/GEPSNONPILOT/Tender/SplashBidNoticeAbstractUI.aspx?menuIndex=3&amp;refID=7169612&amp;Result=3","7169612")</f>
        <v>0</v>
      </c>
      <c r="B10761" t="s">
        <v>3067</v>
      </c>
      <c r="C10761" t="s">
        <v>13805</v>
      </c>
      <c r="D10761" t="s">
        <v>17173</v>
      </c>
      <c r="E10761" t="s">
        <v>22817</v>
      </c>
      <c r="F10761" t="s">
        <v>29372</v>
      </c>
      <c r="G10761" t="s">
        <v>29380</v>
      </c>
      <c r="H10761" t="s">
        <v>11048</v>
      </c>
      <c r="I10761" t="s">
        <v>4709</v>
      </c>
      <c r="J10761" t="s">
        <v>36343</v>
      </c>
      <c r="K10761" t="s">
        <v>38488</v>
      </c>
      <c r="M10761" t="s">
        <v>42094</v>
      </c>
      <c r="N10761" t="s">
        <v>42669</v>
      </c>
      <c r="O10761" t="s">
        <v>42670</v>
      </c>
      <c r="P10761">
        <v>0</v>
      </c>
      <c r="Q10761">
        <v>0</v>
      </c>
      <c r="R10761" t="s">
        <v>42684</v>
      </c>
      <c r="S10761" t="s">
        <v>43183</v>
      </c>
      <c r="T10761" t="s">
        <v>44397</v>
      </c>
      <c r="U10761" t="s">
        <v>53586</v>
      </c>
      <c r="W10761" t="s">
        <v>42094</v>
      </c>
      <c r="X10761" t="s">
        <v>42685</v>
      </c>
    </row>
    <row r="10762" spans="1:24">
      <c r="A10762">
        <f>HYPERLINK("https://www.philgeps.gov.ph/GEPSNONPILOT/Tender/SplashBidNoticeAbstractUI.aspx?menuIndex=3&amp;refID=7169615&amp;Result=3","7169615")</f>
        <v>0</v>
      </c>
      <c r="B10762" t="s">
        <v>3068</v>
      </c>
      <c r="C10762" t="s">
        <v>13806</v>
      </c>
      <c r="D10762" t="s">
        <v>17231</v>
      </c>
      <c r="E10762" t="s">
        <v>18043</v>
      </c>
      <c r="F10762" t="s">
        <v>29372</v>
      </c>
      <c r="G10762" t="s">
        <v>29380</v>
      </c>
      <c r="H10762" t="s">
        <v>29389</v>
      </c>
      <c r="I10762" t="s">
        <v>29417</v>
      </c>
      <c r="J10762" t="s">
        <v>36344</v>
      </c>
      <c r="K10762" t="s">
        <v>38490</v>
      </c>
      <c r="M10762" t="s">
        <v>42095</v>
      </c>
      <c r="N10762" t="s">
        <v>42669</v>
      </c>
      <c r="O10762" t="s">
        <v>42670</v>
      </c>
      <c r="P10762">
        <v>0</v>
      </c>
      <c r="Q10762">
        <v>1</v>
      </c>
      <c r="R10762" t="s">
        <v>42684</v>
      </c>
      <c r="S10762" t="s">
        <v>43183</v>
      </c>
      <c r="T10762" t="s">
        <v>44412</v>
      </c>
      <c r="U10762" t="s">
        <v>53587</v>
      </c>
      <c r="W10762" t="s">
        <v>42095</v>
      </c>
      <c r="X10762" t="s">
        <v>42685</v>
      </c>
    </row>
    <row r="10763" spans="1:24">
      <c r="A10763">
        <f>HYPERLINK("https://www.philgeps.gov.ph/GEPSNONPILOT/Tender/SplashBidNoticeAbstractUI.aspx?menuIndex=3&amp;refID=7169606&amp;Result=3","7169606")</f>
        <v>0</v>
      </c>
      <c r="B10763" t="s">
        <v>2630</v>
      </c>
      <c r="C10763" t="s">
        <v>13807</v>
      </c>
      <c r="D10763" t="s">
        <v>17186</v>
      </c>
      <c r="E10763" t="s">
        <v>26413</v>
      </c>
      <c r="F10763" t="s">
        <v>29372</v>
      </c>
      <c r="G10763" t="s">
        <v>29380</v>
      </c>
      <c r="H10763" t="s">
        <v>29389</v>
      </c>
      <c r="I10763" t="s">
        <v>10408</v>
      </c>
      <c r="J10763" t="s">
        <v>36345</v>
      </c>
      <c r="K10763" t="s">
        <v>38527</v>
      </c>
      <c r="M10763" t="s">
        <v>41602</v>
      </c>
      <c r="N10763" t="s">
        <v>42669</v>
      </c>
      <c r="O10763" t="s">
        <v>42670</v>
      </c>
      <c r="P10763">
        <v>0</v>
      </c>
      <c r="Q10763">
        <v>0</v>
      </c>
      <c r="R10763" t="s">
        <v>42684</v>
      </c>
      <c r="S10763" t="s">
        <v>43183</v>
      </c>
      <c r="T10763" t="s">
        <v>44419</v>
      </c>
      <c r="U10763" t="s">
        <v>53588</v>
      </c>
      <c r="W10763" t="s">
        <v>41602</v>
      </c>
      <c r="X10763" t="s">
        <v>42685</v>
      </c>
    </row>
    <row r="10764" spans="1:24">
      <c r="A10764">
        <f>HYPERLINK("https://www.philgeps.gov.ph/GEPSNONPILOT/Tender/SplashBidNoticeAbstractUI.aspx?menuIndex=3&amp;refID=7169604&amp;Result=3","7169604")</f>
        <v>0</v>
      </c>
      <c r="B10764" t="s">
        <v>455</v>
      </c>
      <c r="C10764" t="s">
        <v>13808</v>
      </c>
      <c r="D10764" t="s">
        <v>17157</v>
      </c>
      <c r="E10764" t="s">
        <v>26414</v>
      </c>
      <c r="F10764" t="s">
        <v>29372</v>
      </c>
      <c r="G10764" t="s">
        <v>29380</v>
      </c>
      <c r="H10764" t="s">
        <v>29389</v>
      </c>
      <c r="I10764" t="s">
        <v>10408</v>
      </c>
      <c r="J10764" t="s">
        <v>29587</v>
      </c>
      <c r="K10764" t="s">
        <v>38503</v>
      </c>
      <c r="M10764" t="s">
        <v>39219</v>
      </c>
      <c r="N10764" t="s">
        <v>42669</v>
      </c>
      <c r="O10764" t="s">
        <v>42670</v>
      </c>
      <c r="P10764">
        <v>0</v>
      </c>
      <c r="Q10764">
        <v>0</v>
      </c>
      <c r="R10764" t="s">
        <v>42684</v>
      </c>
      <c r="S10764" t="s">
        <v>43183</v>
      </c>
      <c r="T10764" t="s">
        <v>44457</v>
      </c>
      <c r="U10764" t="s">
        <v>53571</v>
      </c>
      <c r="W10764" t="s">
        <v>39219</v>
      </c>
      <c r="X10764" t="s">
        <v>42685</v>
      </c>
    </row>
    <row r="10765" spans="1:24">
      <c r="A10765">
        <f>HYPERLINK("https://www.philgeps.gov.ph/GEPSNONPILOT/Tender/SplashBidNoticeAbstractUI.aspx?menuIndex=3&amp;refID=7169535&amp;Result=3","7169535")</f>
        <v>0</v>
      </c>
      <c r="B10765" t="s">
        <v>2431</v>
      </c>
      <c r="C10765" t="s">
        <v>13809</v>
      </c>
      <c r="D10765" t="s">
        <v>17197</v>
      </c>
      <c r="E10765" t="s">
        <v>26415</v>
      </c>
      <c r="F10765" t="s">
        <v>29372</v>
      </c>
      <c r="G10765" t="s">
        <v>29380</v>
      </c>
      <c r="H10765" t="s">
        <v>29389</v>
      </c>
      <c r="I10765" t="s">
        <v>4709</v>
      </c>
      <c r="J10765" t="s">
        <v>30815</v>
      </c>
      <c r="K10765" t="s">
        <v>38522</v>
      </c>
      <c r="M10765" t="s">
        <v>41379</v>
      </c>
      <c r="N10765" t="s">
        <v>42669</v>
      </c>
      <c r="O10765" t="s">
        <v>42670</v>
      </c>
      <c r="P10765">
        <v>0</v>
      </c>
      <c r="Q10765">
        <v>0</v>
      </c>
      <c r="R10765" t="s">
        <v>42684</v>
      </c>
      <c r="S10765" t="s">
        <v>43183</v>
      </c>
      <c r="T10765" t="s">
        <v>44412</v>
      </c>
      <c r="U10765" t="s">
        <v>53589</v>
      </c>
      <c r="W10765" t="s">
        <v>41379</v>
      </c>
      <c r="X10765" t="s">
        <v>42685</v>
      </c>
    </row>
    <row r="10766" spans="1:24">
      <c r="A10766">
        <f>HYPERLINK("https://www.philgeps.gov.ph/GEPSNONPILOT/Tender/SplashBidNoticeAbstractUI.aspx?menuIndex=3&amp;refID=7169591&amp;Result=3","7169591")</f>
        <v>0</v>
      </c>
      <c r="B10766" t="s">
        <v>455</v>
      </c>
      <c r="C10766" t="s">
        <v>13810</v>
      </c>
      <c r="D10766" t="s">
        <v>17157</v>
      </c>
      <c r="E10766" t="s">
        <v>26416</v>
      </c>
      <c r="F10766" t="s">
        <v>29372</v>
      </c>
      <c r="G10766" t="s">
        <v>29380</v>
      </c>
      <c r="H10766" t="s">
        <v>29389</v>
      </c>
      <c r="I10766" t="s">
        <v>10408</v>
      </c>
      <c r="J10766" t="s">
        <v>29587</v>
      </c>
      <c r="K10766" t="s">
        <v>38485</v>
      </c>
      <c r="M10766" t="s">
        <v>39219</v>
      </c>
      <c r="N10766" t="s">
        <v>42669</v>
      </c>
      <c r="O10766" t="s">
        <v>42670</v>
      </c>
      <c r="P10766">
        <v>0</v>
      </c>
      <c r="Q10766">
        <v>0</v>
      </c>
      <c r="R10766" t="s">
        <v>42684</v>
      </c>
      <c r="S10766" t="s">
        <v>43183</v>
      </c>
      <c r="T10766" t="s">
        <v>44457</v>
      </c>
      <c r="U10766" t="s">
        <v>53571</v>
      </c>
      <c r="W10766" t="s">
        <v>39219</v>
      </c>
      <c r="X10766" t="s">
        <v>42685</v>
      </c>
    </row>
    <row r="10767" spans="1:24">
      <c r="A10767">
        <f>HYPERLINK("https://www.philgeps.gov.ph/GEPSNONPILOT/Tender/SplashBidNoticeAbstractUI.aspx?menuIndex=3&amp;refID=7169610&amp;Result=3","7169610")</f>
        <v>0</v>
      </c>
      <c r="B10767" t="s">
        <v>455</v>
      </c>
      <c r="C10767" t="s">
        <v>13811</v>
      </c>
      <c r="D10767" t="s">
        <v>17157</v>
      </c>
      <c r="E10767" t="s">
        <v>26417</v>
      </c>
      <c r="F10767" t="s">
        <v>29372</v>
      </c>
      <c r="G10767" t="s">
        <v>29380</v>
      </c>
      <c r="H10767" t="s">
        <v>29389</v>
      </c>
      <c r="I10767" t="s">
        <v>10408</v>
      </c>
      <c r="J10767" t="s">
        <v>29587</v>
      </c>
      <c r="K10767" t="s">
        <v>38485</v>
      </c>
      <c r="M10767" t="s">
        <v>39219</v>
      </c>
      <c r="N10767" t="s">
        <v>42669</v>
      </c>
      <c r="O10767" t="s">
        <v>42670</v>
      </c>
      <c r="P10767">
        <v>0</v>
      </c>
      <c r="Q10767">
        <v>0</v>
      </c>
      <c r="R10767" t="s">
        <v>42684</v>
      </c>
      <c r="S10767" t="s">
        <v>43183</v>
      </c>
      <c r="T10767" t="s">
        <v>44457</v>
      </c>
      <c r="U10767" t="s">
        <v>53571</v>
      </c>
      <c r="W10767" t="s">
        <v>39219</v>
      </c>
      <c r="X10767" t="s">
        <v>42685</v>
      </c>
    </row>
    <row r="10768" spans="1:24">
      <c r="A10768">
        <f>HYPERLINK("https://www.philgeps.gov.ph/GEPSNONPILOT/Tender/SplashBidNoticeAbstractUI.aspx?menuIndex=3&amp;refID=7169768&amp;Result=3","7169768")</f>
        <v>0</v>
      </c>
      <c r="B10768" t="s">
        <v>264</v>
      </c>
      <c r="C10768" t="s">
        <v>13812</v>
      </c>
      <c r="E10768" t="s">
        <v>26418</v>
      </c>
      <c r="F10768" t="s">
        <v>29372</v>
      </c>
      <c r="G10768" t="s">
        <v>29380</v>
      </c>
      <c r="H10768" t="s">
        <v>11048</v>
      </c>
      <c r="I10768" t="s">
        <v>29407</v>
      </c>
      <c r="J10768" t="s">
        <v>36346</v>
      </c>
      <c r="K10768" t="s">
        <v>38490</v>
      </c>
      <c r="M10768" t="s">
        <v>42096</v>
      </c>
      <c r="N10768" t="s">
        <v>42669</v>
      </c>
      <c r="O10768" t="s">
        <v>42670</v>
      </c>
      <c r="Q10768">
        <v>5</v>
      </c>
      <c r="R10768" t="s">
        <v>42684</v>
      </c>
      <c r="S10768" t="s">
        <v>42863</v>
      </c>
      <c r="T10768" t="s">
        <v>44375</v>
      </c>
      <c r="U10768" t="s">
        <v>53590</v>
      </c>
      <c r="W10768" t="s">
        <v>42096</v>
      </c>
      <c r="X10768" t="s">
        <v>42685</v>
      </c>
    </row>
    <row r="10769" spans="1:24">
      <c r="A10769">
        <f>HYPERLINK("https://www.philgeps.gov.ph/GEPSNONPILOT/Tender/SplashBidNoticeAbstractUI.aspx?menuIndex=3&amp;refID=7169605&amp;Result=3","7169605")</f>
        <v>0</v>
      </c>
      <c r="B10769" t="s">
        <v>2255</v>
      </c>
      <c r="C10769" t="s">
        <v>13813</v>
      </c>
      <c r="D10769" t="s">
        <v>17157</v>
      </c>
      <c r="E10769" t="s">
        <v>26419</v>
      </c>
      <c r="F10769" t="s">
        <v>29372</v>
      </c>
      <c r="G10769" t="s">
        <v>29380</v>
      </c>
      <c r="H10769" t="s">
        <v>29389</v>
      </c>
      <c r="I10769" t="s">
        <v>10408</v>
      </c>
      <c r="J10769" t="s">
        <v>36347</v>
      </c>
      <c r="K10769" t="s">
        <v>38525</v>
      </c>
      <c r="M10769" t="s">
        <v>41176</v>
      </c>
      <c r="N10769" t="s">
        <v>42669</v>
      </c>
      <c r="O10769" t="s">
        <v>42670</v>
      </c>
      <c r="P10769">
        <v>0</v>
      </c>
      <c r="Q10769">
        <v>7</v>
      </c>
      <c r="R10769" t="s">
        <v>42684</v>
      </c>
      <c r="S10769" t="s">
        <v>43183</v>
      </c>
      <c r="T10769" t="s">
        <v>44357</v>
      </c>
      <c r="U10769" t="s">
        <v>53591</v>
      </c>
      <c r="W10769" t="s">
        <v>41176</v>
      </c>
      <c r="X10769" t="s">
        <v>42685</v>
      </c>
    </row>
    <row r="10770" spans="1:24">
      <c r="A10770">
        <f>HYPERLINK("https://www.philgeps.gov.ph/GEPSNONPILOT/Tender/SplashBidNoticeAbstractUI.aspx?menuIndex=3&amp;refID=7169754&amp;Result=3","7169754")</f>
        <v>0</v>
      </c>
      <c r="B10770" t="s">
        <v>1930</v>
      </c>
      <c r="C10770" t="s">
        <v>13814</v>
      </c>
      <c r="E10770" t="s">
        <v>26420</v>
      </c>
      <c r="F10770" t="s">
        <v>29372</v>
      </c>
      <c r="G10770" t="s">
        <v>29380</v>
      </c>
      <c r="H10770" t="s">
        <v>11048</v>
      </c>
      <c r="I10770" t="s">
        <v>29407</v>
      </c>
      <c r="J10770" t="s">
        <v>36348</v>
      </c>
      <c r="K10770" t="s">
        <v>38490</v>
      </c>
      <c r="M10770" t="s">
        <v>41738</v>
      </c>
      <c r="N10770" t="s">
        <v>42669</v>
      </c>
      <c r="O10770" t="s">
        <v>42670</v>
      </c>
      <c r="P10770">
        <v>0</v>
      </c>
      <c r="Q10770">
        <v>12</v>
      </c>
      <c r="R10770" t="s">
        <v>42684</v>
      </c>
      <c r="S10770" t="s">
        <v>43183</v>
      </c>
      <c r="T10770" t="s">
        <v>44400</v>
      </c>
      <c r="U10770" t="s">
        <v>53592</v>
      </c>
      <c r="W10770" t="s">
        <v>41738</v>
      </c>
      <c r="X10770" t="s">
        <v>42685</v>
      </c>
    </row>
    <row r="10771" spans="1:24">
      <c r="A10771">
        <f>HYPERLINK("https://www.philgeps.gov.ph/GEPSNONPILOT/Tender/SplashBidNoticeAbstractUI.aspx?menuIndex=3&amp;refID=7169752&amp;Result=3","7169752")</f>
        <v>0</v>
      </c>
      <c r="B10771" t="s">
        <v>2336</v>
      </c>
      <c r="C10771" t="s">
        <v>13815</v>
      </c>
      <c r="D10771" t="s">
        <v>17188</v>
      </c>
      <c r="E10771" t="s">
        <v>26421</v>
      </c>
      <c r="F10771" t="s">
        <v>29372</v>
      </c>
      <c r="G10771" t="s">
        <v>29380</v>
      </c>
      <c r="H10771" t="s">
        <v>11048</v>
      </c>
      <c r="I10771" t="s">
        <v>8614</v>
      </c>
      <c r="J10771" t="s">
        <v>32053</v>
      </c>
      <c r="K10771" t="s">
        <v>38485</v>
      </c>
      <c r="M10771" t="s">
        <v>41269</v>
      </c>
      <c r="N10771" t="s">
        <v>42669</v>
      </c>
      <c r="O10771" t="s">
        <v>42670</v>
      </c>
      <c r="P10771">
        <v>0</v>
      </c>
      <c r="Q10771">
        <v>3</v>
      </c>
      <c r="R10771" t="s">
        <v>42684</v>
      </c>
      <c r="S10771" t="s">
        <v>43183</v>
      </c>
      <c r="T10771" t="s">
        <v>44357</v>
      </c>
      <c r="U10771" t="s">
        <v>53593</v>
      </c>
      <c r="W10771" t="s">
        <v>41269</v>
      </c>
      <c r="X10771" t="s">
        <v>42685</v>
      </c>
    </row>
    <row r="10772" spans="1:24">
      <c r="A10772">
        <f>HYPERLINK("https://www.philgeps.gov.ph/GEPSNONPILOT/Tender/SplashBidNoticeAbstractUI.aspx?menuIndex=3&amp;refID=7169753&amp;Result=3","7169753")</f>
        <v>0</v>
      </c>
      <c r="B10772" t="s">
        <v>744</v>
      </c>
      <c r="C10772" t="s">
        <v>13816</v>
      </c>
      <c r="D10772" t="s">
        <v>17157</v>
      </c>
      <c r="E10772" t="s">
        <v>26422</v>
      </c>
      <c r="F10772" t="s">
        <v>29372</v>
      </c>
      <c r="G10772" t="s">
        <v>29380</v>
      </c>
      <c r="H10772" t="s">
        <v>29389</v>
      </c>
      <c r="I10772" t="s">
        <v>10408</v>
      </c>
      <c r="J10772" t="s">
        <v>31086</v>
      </c>
      <c r="K10772" t="s">
        <v>38496</v>
      </c>
      <c r="M10772" t="s">
        <v>39525</v>
      </c>
      <c r="N10772" t="s">
        <v>42669</v>
      </c>
      <c r="O10772" t="s">
        <v>42670</v>
      </c>
      <c r="P10772">
        <v>0</v>
      </c>
      <c r="Q10772">
        <v>0</v>
      </c>
      <c r="R10772" t="s">
        <v>42684</v>
      </c>
      <c r="S10772" t="s">
        <v>43183</v>
      </c>
      <c r="T10772" t="s">
        <v>44354</v>
      </c>
      <c r="U10772" t="s">
        <v>53594</v>
      </c>
      <c r="W10772" t="s">
        <v>39525</v>
      </c>
      <c r="X10772" t="s">
        <v>42685</v>
      </c>
    </row>
    <row r="10773" spans="1:24">
      <c r="A10773">
        <f>HYPERLINK("https://www.philgeps.gov.ph/GEPSNONPILOT/Tender/SplashBidNoticeAbstractUI.aspx?menuIndex=3&amp;refID=7169769&amp;Result=3","7169769")</f>
        <v>0</v>
      </c>
      <c r="B10773" t="s">
        <v>3069</v>
      </c>
      <c r="C10773" t="s">
        <v>13817</v>
      </c>
      <c r="D10773" t="s">
        <v>17161</v>
      </c>
      <c r="E10773" t="s">
        <v>26423</v>
      </c>
      <c r="F10773" t="s">
        <v>29372</v>
      </c>
      <c r="G10773" t="s">
        <v>29380</v>
      </c>
      <c r="H10773" t="s">
        <v>11048</v>
      </c>
      <c r="I10773" t="s">
        <v>4709</v>
      </c>
      <c r="J10773" t="s">
        <v>36349</v>
      </c>
      <c r="K10773" t="s">
        <v>38490</v>
      </c>
      <c r="M10773" t="s">
        <v>42097</v>
      </c>
      <c r="N10773" t="s">
        <v>42669</v>
      </c>
      <c r="O10773" t="s">
        <v>42670</v>
      </c>
      <c r="P10773">
        <v>0</v>
      </c>
      <c r="Q10773">
        <v>0</v>
      </c>
      <c r="R10773" t="s">
        <v>42684</v>
      </c>
      <c r="S10773" t="s">
        <v>43183</v>
      </c>
      <c r="T10773" t="s">
        <v>44488</v>
      </c>
      <c r="U10773" t="s">
        <v>53595</v>
      </c>
      <c r="W10773" t="s">
        <v>42097</v>
      </c>
      <c r="X10773" t="s">
        <v>42685</v>
      </c>
    </row>
    <row r="10774" spans="1:24">
      <c r="A10774">
        <f>HYPERLINK("https://www.philgeps.gov.ph/GEPSNONPILOT/Tender/SplashBidNoticeAbstractUI.aspx?menuIndex=3&amp;refID=7169740&amp;Result=3","7169740")</f>
        <v>0</v>
      </c>
      <c r="B10774" t="s">
        <v>1334</v>
      </c>
      <c r="C10774" t="s">
        <v>13818</v>
      </c>
      <c r="D10774" t="s">
        <v>17182</v>
      </c>
      <c r="E10774" t="s">
        <v>26424</v>
      </c>
      <c r="F10774" t="s">
        <v>29372</v>
      </c>
      <c r="G10774" t="s">
        <v>29380</v>
      </c>
      <c r="H10774" t="s">
        <v>11048</v>
      </c>
      <c r="I10774" t="s">
        <v>29407</v>
      </c>
      <c r="J10774" t="s">
        <v>30451</v>
      </c>
      <c r="K10774" t="s">
        <v>38510</v>
      </c>
      <c r="M10774" t="s">
        <v>40170</v>
      </c>
      <c r="N10774" t="s">
        <v>42669</v>
      </c>
      <c r="O10774" t="s">
        <v>42670</v>
      </c>
      <c r="P10774">
        <v>0</v>
      </c>
      <c r="Q10774">
        <v>3</v>
      </c>
      <c r="R10774" t="s">
        <v>42684</v>
      </c>
      <c r="S10774" t="s">
        <v>43183</v>
      </c>
      <c r="T10774" t="s">
        <v>44662</v>
      </c>
      <c r="U10774" t="s">
        <v>53596</v>
      </c>
      <c r="W10774" t="s">
        <v>40170</v>
      </c>
      <c r="X10774" t="s">
        <v>42685</v>
      </c>
    </row>
    <row r="10775" spans="1:24">
      <c r="A10775">
        <f>HYPERLINK("https://www.philgeps.gov.ph/GEPSNONPILOT/Tender/SplashBidNoticeAbstractUI.aspx?menuIndex=3&amp;refID=7169737&amp;Result=3","7169737")</f>
        <v>0</v>
      </c>
      <c r="B10775" t="s">
        <v>3069</v>
      </c>
      <c r="C10775" t="s">
        <v>13819</v>
      </c>
      <c r="D10775" t="s">
        <v>17161</v>
      </c>
      <c r="E10775" t="s">
        <v>26425</v>
      </c>
      <c r="F10775" t="s">
        <v>29372</v>
      </c>
      <c r="G10775" t="s">
        <v>29380</v>
      </c>
      <c r="H10775" t="s">
        <v>11048</v>
      </c>
      <c r="I10775" t="s">
        <v>4709</v>
      </c>
      <c r="J10775" t="s">
        <v>36350</v>
      </c>
      <c r="K10775" t="s">
        <v>38490</v>
      </c>
      <c r="M10775" t="s">
        <v>42097</v>
      </c>
      <c r="N10775" t="s">
        <v>42669</v>
      </c>
      <c r="O10775" t="s">
        <v>42670</v>
      </c>
      <c r="P10775">
        <v>0</v>
      </c>
      <c r="Q10775">
        <v>0</v>
      </c>
      <c r="R10775" t="s">
        <v>42684</v>
      </c>
      <c r="S10775" t="s">
        <v>43183</v>
      </c>
      <c r="T10775" t="s">
        <v>44488</v>
      </c>
      <c r="U10775" t="s">
        <v>53595</v>
      </c>
      <c r="W10775" t="s">
        <v>42097</v>
      </c>
      <c r="X10775" t="s">
        <v>42685</v>
      </c>
    </row>
    <row r="10776" spans="1:24">
      <c r="A10776">
        <f>HYPERLINK("https://www.philgeps.gov.ph/GEPSNONPILOT/Tender/SplashBidNoticeAbstractUI.aspx?menuIndex=3&amp;refID=7169720&amp;Result=3","7169720")</f>
        <v>0</v>
      </c>
      <c r="B10776" t="s">
        <v>2630</v>
      </c>
      <c r="C10776" t="s">
        <v>13820</v>
      </c>
      <c r="D10776" t="s">
        <v>17186</v>
      </c>
      <c r="E10776" t="s">
        <v>26426</v>
      </c>
      <c r="F10776" t="s">
        <v>29372</v>
      </c>
      <c r="G10776" t="s">
        <v>29380</v>
      </c>
      <c r="H10776" t="s">
        <v>11048</v>
      </c>
      <c r="I10776" t="s">
        <v>29447</v>
      </c>
      <c r="J10776" t="s">
        <v>36351</v>
      </c>
      <c r="K10776" t="s">
        <v>38488</v>
      </c>
      <c r="M10776" t="s">
        <v>41602</v>
      </c>
      <c r="N10776" t="s">
        <v>42669</v>
      </c>
      <c r="O10776" t="s">
        <v>42670</v>
      </c>
      <c r="P10776">
        <v>0</v>
      </c>
      <c r="Q10776">
        <v>7</v>
      </c>
      <c r="R10776" t="s">
        <v>42684</v>
      </c>
      <c r="S10776" t="s">
        <v>43183</v>
      </c>
      <c r="T10776" t="s">
        <v>44419</v>
      </c>
      <c r="U10776" t="s">
        <v>53597</v>
      </c>
      <c r="W10776" t="s">
        <v>41602</v>
      </c>
      <c r="X10776" t="s">
        <v>42685</v>
      </c>
    </row>
    <row r="10777" spans="1:24">
      <c r="A10777">
        <f>HYPERLINK("https://www.philgeps.gov.ph/GEPSNONPILOT/Tender/SplashBidNoticeAbstractUI.aspx?menuIndex=3&amp;refID=7169745&amp;Result=3","7169745")</f>
        <v>0</v>
      </c>
      <c r="B10777" t="s">
        <v>2965</v>
      </c>
      <c r="C10777" t="s">
        <v>13821</v>
      </c>
      <c r="D10777" t="s">
        <v>17205</v>
      </c>
      <c r="E10777" t="s">
        <v>26427</v>
      </c>
      <c r="F10777" t="s">
        <v>29372</v>
      </c>
      <c r="G10777" t="s">
        <v>29380</v>
      </c>
      <c r="H10777" t="s">
        <v>29389</v>
      </c>
      <c r="I10777" t="s">
        <v>10408</v>
      </c>
      <c r="J10777" t="s">
        <v>36352</v>
      </c>
      <c r="K10777" t="s">
        <v>38512</v>
      </c>
      <c r="M10777" t="s">
        <v>41976</v>
      </c>
      <c r="N10777" t="s">
        <v>42669</v>
      </c>
      <c r="O10777" t="s">
        <v>42670</v>
      </c>
      <c r="P10777">
        <v>0</v>
      </c>
      <c r="Q10777">
        <v>25</v>
      </c>
      <c r="R10777" t="s">
        <v>42684</v>
      </c>
      <c r="S10777" t="s">
        <v>43183</v>
      </c>
      <c r="T10777" t="s">
        <v>44364</v>
      </c>
      <c r="U10777" t="s">
        <v>53598</v>
      </c>
      <c r="W10777" t="s">
        <v>41976</v>
      </c>
      <c r="X10777" t="s">
        <v>42685</v>
      </c>
    </row>
    <row r="10778" spans="1:24">
      <c r="A10778">
        <f>HYPERLINK("https://www.philgeps.gov.ph/GEPSNONPILOT/Tender/SplashBidNoticeAbstractUI.aspx?menuIndex=3&amp;refID=7169718&amp;Result=3","7169718")</f>
        <v>0</v>
      </c>
      <c r="B10778" t="s">
        <v>3070</v>
      </c>
      <c r="C10778" t="s">
        <v>13822</v>
      </c>
      <c r="D10778" t="s">
        <v>17169</v>
      </c>
      <c r="E10778" t="s">
        <v>26428</v>
      </c>
      <c r="F10778" t="s">
        <v>29372</v>
      </c>
      <c r="G10778" t="s">
        <v>29380</v>
      </c>
      <c r="H10778" t="s">
        <v>29389</v>
      </c>
      <c r="I10778" t="s">
        <v>10408</v>
      </c>
      <c r="J10778" t="s">
        <v>36353</v>
      </c>
      <c r="K10778" t="s">
        <v>38490</v>
      </c>
      <c r="M10778" t="s">
        <v>42098</v>
      </c>
      <c r="N10778" t="s">
        <v>42669</v>
      </c>
      <c r="O10778" t="s">
        <v>42670</v>
      </c>
      <c r="Q10778">
        <v>0</v>
      </c>
      <c r="R10778" t="s">
        <v>42684</v>
      </c>
      <c r="S10778" t="s">
        <v>43246</v>
      </c>
      <c r="T10778" t="s">
        <v>44527</v>
      </c>
      <c r="U10778" t="s">
        <v>53599</v>
      </c>
      <c r="W10778" t="s">
        <v>42098</v>
      </c>
      <c r="X10778" t="s">
        <v>42685</v>
      </c>
    </row>
    <row r="10779" spans="1:24">
      <c r="A10779">
        <f>HYPERLINK("https://www.philgeps.gov.ph/GEPSNONPILOT/Tender/SplashBidNoticeAbstractUI.aspx?menuIndex=3&amp;refID=7169715&amp;Result=3","7169715")</f>
        <v>0</v>
      </c>
      <c r="B10779" t="s">
        <v>105</v>
      </c>
      <c r="C10779" t="s">
        <v>13823</v>
      </c>
      <c r="D10779" t="s">
        <v>17181</v>
      </c>
      <c r="E10779" t="s">
        <v>26429</v>
      </c>
      <c r="F10779" t="s">
        <v>29372</v>
      </c>
      <c r="G10779" t="s">
        <v>29380</v>
      </c>
      <c r="H10779" t="s">
        <v>11048</v>
      </c>
      <c r="I10779" t="s">
        <v>4709</v>
      </c>
      <c r="J10779" t="s">
        <v>36354</v>
      </c>
      <c r="K10779" t="s">
        <v>38485</v>
      </c>
      <c r="M10779" t="s">
        <v>38860</v>
      </c>
      <c r="N10779" t="s">
        <v>42669</v>
      </c>
      <c r="O10779" t="s">
        <v>42670</v>
      </c>
      <c r="P10779">
        <v>0</v>
      </c>
      <c r="Q10779">
        <v>3</v>
      </c>
      <c r="R10779" t="s">
        <v>42684</v>
      </c>
      <c r="S10779" t="s">
        <v>43183</v>
      </c>
      <c r="T10779" t="s">
        <v>44373</v>
      </c>
      <c r="U10779" t="s">
        <v>53600</v>
      </c>
      <c r="W10779" t="s">
        <v>38860</v>
      </c>
      <c r="X10779" t="s">
        <v>42685</v>
      </c>
    </row>
    <row r="10780" spans="1:24">
      <c r="A10780">
        <f>HYPERLINK("https://www.philgeps.gov.ph/GEPSNONPILOT/Tender/SplashBidNoticeAbstractUI.aspx?menuIndex=3&amp;refID=7169710&amp;Result=3","7169710")</f>
        <v>0</v>
      </c>
      <c r="B10780" t="s">
        <v>3071</v>
      </c>
      <c r="C10780" t="s">
        <v>13824</v>
      </c>
      <c r="D10780" t="s">
        <v>17165</v>
      </c>
      <c r="E10780" t="s">
        <v>26430</v>
      </c>
      <c r="F10780" t="s">
        <v>29373</v>
      </c>
      <c r="G10780" t="s">
        <v>29380</v>
      </c>
      <c r="H10780" t="s">
        <v>11048</v>
      </c>
      <c r="I10780" t="s">
        <v>29415</v>
      </c>
      <c r="J10780" t="s">
        <v>36355</v>
      </c>
      <c r="K10780" t="s">
        <v>38510</v>
      </c>
      <c r="M10780" t="s">
        <v>42099</v>
      </c>
      <c r="N10780" t="s">
        <v>42669</v>
      </c>
      <c r="O10780" t="s">
        <v>42670</v>
      </c>
      <c r="P10780">
        <v>0</v>
      </c>
      <c r="Q10780">
        <v>3</v>
      </c>
      <c r="R10780" t="s">
        <v>42684</v>
      </c>
      <c r="S10780" t="s">
        <v>43183</v>
      </c>
      <c r="T10780" t="s">
        <v>44401</v>
      </c>
      <c r="U10780" t="s">
        <v>53601</v>
      </c>
      <c r="W10780" t="s">
        <v>42099</v>
      </c>
      <c r="X10780" t="s">
        <v>42685</v>
      </c>
    </row>
    <row r="10781" spans="1:24">
      <c r="A10781">
        <f>HYPERLINK("https://www.philgeps.gov.ph/GEPSNONPILOT/Tender/SplashBidNoticeAbstractUI.aspx?menuIndex=3&amp;refID=7169637&amp;Result=3","7169637")</f>
        <v>0</v>
      </c>
      <c r="B10781" t="s">
        <v>3072</v>
      </c>
      <c r="C10781" t="s">
        <v>13825</v>
      </c>
      <c r="D10781" t="s">
        <v>17197</v>
      </c>
      <c r="E10781" t="s">
        <v>21231</v>
      </c>
      <c r="F10781" t="s">
        <v>29372</v>
      </c>
      <c r="G10781" t="s">
        <v>29380</v>
      </c>
      <c r="H10781" t="s">
        <v>11048</v>
      </c>
      <c r="I10781" t="s">
        <v>29433</v>
      </c>
      <c r="J10781" t="s">
        <v>36356</v>
      </c>
      <c r="K10781" t="s">
        <v>38502</v>
      </c>
      <c r="M10781" t="s">
        <v>42100</v>
      </c>
      <c r="N10781" t="s">
        <v>42669</v>
      </c>
      <c r="O10781" t="s">
        <v>42670</v>
      </c>
      <c r="Q10781">
        <v>12</v>
      </c>
      <c r="R10781" t="s">
        <v>42684</v>
      </c>
      <c r="S10781" t="s">
        <v>43247</v>
      </c>
      <c r="T10781" t="s">
        <v>44527</v>
      </c>
      <c r="U10781" t="s">
        <v>53602</v>
      </c>
      <c r="W10781" t="s">
        <v>42100</v>
      </c>
      <c r="X10781" t="s">
        <v>42685</v>
      </c>
    </row>
    <row r="10782" spans="1:24">
      <c r="A10782">
        <f>HYPERLINK("https://www.philgeps.gov.ph/GEPSNONPILOT/Tender/SplashBidNoticeAbstractUI.aspx?menuIndex=3&amp;refID=7169702&amp;Result=3","7169702")</f>
        <v>0</v>
      </c>
      <c r="B10782" t="s">
        <v>181</v>
      </c>
      <c r="C10782" t="s">
        <v>13826</v>
      </c>
      <c r="D10782" t="s">
        <v>17228</v>
      </c>
      <c r="E10782" t="s">
        <v>26431</v>
      </c>
      <c r="F10782" t="s">
        <v>29372</v>
      </c>
      <c r="G10782" t="s">
        <v>29379</v>
      </c>
      <c r="H10782" t="s">
        <v>29391</v>
      </c>
      <c r="I10782" t="s">
        <v>29391</v>
      </c>
      <c r="J10782" t="s">
        <v>29625</v>
      </c>
      <c r="K10782" t="s">
        <v>38488</v>
      </c>
      <c r="M10782" t="s">
        <v>38972</v>
      </c>
      <c r="N10782" t="s">
        <v>42669</v>
      </c>
      <c r="O10782" t="s">
        <v>42670</v>
      </c>
      <c r="Q10782">
        <v>0</v>
      </c>
      <c r="R10782" t="s">
        <v>42684</v>
      </c>
      <c r="S10782" t="s">
        <v>43248</v>
      </c>
      <c r="T10782" t="s">
        <v>44371</v>
      </c>
      <c r="U10782" t="s">
        <v>53603</v>
      </c>
      <c r="W10782" t="s">
        <v>38938</v>
      </c>
      <c r="X10782" t="s">
        <v>42685</v>
      </c>
    </row>
    <row r="10783" spans="1:24">
      <c r="A10783">
        <f>HYPERLINK("https://www.philgeps.gov.ph/GEPSNONPILOT/Tender/SplashBidNoticeAbstractUI.aspx?menuIndex=3&amp;refID=7169694&amp;Result=3","7169694")</f>
        <v>0</v>
      </c>
      <c r="B10783" t="s">
        <v>54</v>
      </c>
      <c r="C10783" t="s">
        <v>13827</v>
      </c>
      <c r="D10783" t="s">
        <v>17162</v>
      </c>
      <c r="E10783" t="s">
        <v>26432</v>
      </c>
      <c r="F10783" t="s">
        <v>29372</v>
      </c>
      <c r="G10783" t="s">
        <v>29380</v>
      </c>
      <c r="H10783" t="s">
        <v>29389</v>
      </c>
      <c r="I10783" t="s">
        <v>10408</v>
      </c>
      <c r="J10783" t="s">
        <v>36357</v>
      </c>
      <c r="K10783" t="s">
        <v>38622</v>
      </c>
      <c r="L10783" t="s">
        <v>54</v>
      </c>
      <c r="M10783" t="s">
        <v>38807</v>
      </c>
      <c r="N10783" t="s">
        <v>42669</v>
      </c>
      <c r="O10783" t="s">
        <v>42670</v>
      </c>
      <c r="P10783">
        <v>0</v>
      </c>
      <c r="Q10783">
        <v>1</v>
      </c>
      <c r="R10783" t="s">
        <v>42684</v>
      </c>
      <c r="S10783" t="s">
        <v>43183</v>
      </c>
      <c r="T10783" t="s">
        <v>44357</v>
      </c>
      <c r="U10783" t="s">
        <v>53604</v>
      </c>
      <c r="W10783" t="s">
        <v>38807</v>
      </c>
      <c r="X10783" t="s">
        <v>42685</v>
      </c>
    </row>
    <row r="10784" spans="1:24">
      <c r="A10784">
        <f>HYPERLINK("https://www.philgeps.gov.ph/GEPSNONPILOT/Tender/SplashBidNoticeAbstractUI.aspx?menuIndex=3&amp;refID=7169701&amp;Result=3","7169701")</f>
        <v>0</v>
      </c>
      <c r="B10784" t="s">
        <v>3054</v>
      </c>
      <c r="C10784" t="s">
        <v>13828</v>
      </c>
      <c r="D10784" t="s">
        <v>17171</v>
      </c>
      <c r="E10784" t="s">
        <v>26433</v>
      </c>
      <c r="F10784" t="s">
        <v>29372</v>
      </c>
      <c r="G10784" t="s">
        <v>29380</v>
      </c>
      <c r="H10784" t="s">
        <v>29389</v>
      </c>
      <c r="I10784" t="s">
        <v>10408</v>
      </c>
      <c r="J10784" t="s">
        <v>36358</v>
      </c>
      <c r="K10784" t="s">
        <v>38609</v>
      </c>
      <c r="M10784" t="s">
        <v>42079</v>
      </c>
      <c r="N10784" t="s">
        <v>42669</v>
      </c>
      <c r="O10784" t="s">
        <v>42670</v>
      </c>
      <c r="P10784">
        <v>0</v>
      </c>
      <c r="Q10784">
        <v>12</v>
      </c>
      <c r="R10784" t="s">
        <v>42684</v>
      </c>
      <c r="S10784" t="s">
        <v>43183</v>
      </c>
      <c r="T10784" t="s">
        <v>44357</v>
      </c>
      <c r="U10784" t="s">
        <v>53605</v>
      </c>
      <c r="W10784" t="s">
        <v>42079</v>
      </c>
      <c r="X10784" t="s">
        <v>42685</v>
      </c>
    </row>
    <row r="10785" spans="1:24">
      <c r="A10785">
        <f>HYPERLINK("https://www.philgeps.gov.ph/GEPSNONPILOT/Tender/SplashBidNoticeAbstractUI.aspx?menuIndex=3&amp;refID=7169542&amp;Result=3","7169542")</f>
        <v>0</v>
      </c>
      <c r="B10785" t="s">
        <v>953</v>
      </c>
      <c r="C10785" t="s">
        <v>13829</v>
      </c>
      <c r="D10785" t="s">
        <v>17225</v>
      </c>
      <c r="E10785" t="s">
        <v>26434</v>
      </c>
      <c r="F10785" t="s">
        <v>29372</v>
      </c>
      <c r="G10785" t="s">
        <v>29380</v>
      </c>
      <c r="H10785" t="s">
        <v>11048</v>
      </c>
      <c r="I10785" t="s">
        <v>29412</v>
      </c>
      <c r="J10785" t="s">
        <v>36359</v>
      </c>
      <c r="K10785" t="s">
        <v>38510</v>
      </c>
      <c r="M10785" t="s">
        <v>39749</v>
      </c>
      <c r="N10785" t="s">
        <v>42669</v>
      </c>
      <c r="O10785" t="s">
        <v>42670</v>
      </c>
      <c r="P10785">
        <v>0</v>
      </c>
      <c r="Q10785">
        <v>1</v>
      </c>
      <c r="R10785" t="s">
        <v>42684</v>
      </c>
      <c r="S10785" t="s">
        <v>43183</v>
      </c>
      <c r="T10785" t="s">
        <v>44375</v>
      </c>
      <c r="U10785" t="s">
        <v>53606</v>
      </c>
      <c r="W10785" t="s">
        <v>39749</v>
      </c>
      <c r="X10785" t="s">
        <v>42685</v>
      </c>
    </row>
    <row r="10786" spans="1:24">
      <c r="A10786">
        <f>HYPERLINK("https://www.philgeps.gov.ph/GEPSNONPILOT/Tender/SplashBidNoticeAbstractUI.aspx?menuIndex=3&amp;refID=7169675&amp;Result=3","7169675")</f>
        <v>0</v>
      </c>
      <c r="B10786" t="s">
        <v>544</v>
      </c>
      <c r="C10786" t="s">
        <v>13830</v>
      </c>
      <c r="D10786" t="s">
        <v>17153</v>
      </c>
      <c r="E10786" t="s">
        <v>26435</v>
      </c>
      <c r="F10786" t="s">
        <v>29372</v>
      </c>
      <c r="G10786" t="s">
        <v>29383</v>
      </c>
      <c r="H10786" t="s">
        <v>11048</v>
      </c>
      <c r="I10786" t="s">
        <v>14920</v>
      </c>
      <c r="J10786" t="s">
        <v>36360</v>
      </c>
      <c r="K10786" t="s">
        <v>38490</v>
      </c>
      <c r="M10786" t="s">
        <v>39312</v>
      </c>
      <c r="N10786" t="s">
        <v>42669</v>
      </c>
      <c r="O10786" t="s">
        <v>42670</v>
      </c>
      <c r="P10786">
        <v>0</v>
      </c>
      <c r="Q10786">
        <v>0</v>
      </c>
      <c r="R10786" t="s">
        <v>42684</v>
      </c>
      <c r="S10786" t="s">
        <v>43183</v>
      </c>
      <c r="T10786" t="s">
        <v>44493</v>
      </c>
      <c r="U10786" t="s">
        <v>53607</v>
      </c>
      <c r="W10786" t="s">
        <v>39312</v>
      </c>
      <c r="X10786" t="s">
        <v>42685</v>
      </c>
    </row>
    <row r="10787" spans="1:24">
      <c r="A10787">
        <f>HYPERLINK("https://www.philgeps.gov.ph/GEPSNONPILOT/Tender/SplashBidNoticeAbstractUI.aspx?menuIndex=3&amp;refID=7169744&amp;Result=3","7169744")</f>
        <v>0</v>
      </c>
      <c r="B10787" t="s">
        <v>650</v>
      </c>
      <c r="C10787" t="s">
        <v>13831</v>
      </c>
      <c r="D10787" t="s">
        <v>17144</v>
      </c>
      <c r="E10787" t="s">
        <v>26436</v>
      </c>
      <c r="F10787" t="s">
        <v>29372</v>
      </c>
      <c r="G10787" t="s">
        <v>29380</v>
      </c>
      <c r="H10787" t="s">
        <v>11048</v>
      </c>
      <c r="I10787" t="s">
        <v>29511</v>
      </c>
      <c r="J10787" t="s">
        <v>36361</v>
      </c>
      <c r="K10787" t="s">
        <v>38485</v>
      </c>
      <c r="M10787" t="s">
        <v>39424</v>
      </c>
      <c r="N10787" t="s">
        <v>42669</v>
      </c>
      <c r="O10787" t="s">
        <v>42670</v>
      </c>
      <c r="Q10787">
        <v>20</v>
      </c>
      <c r="R10787" t="s">
        <v>42684</v>
      </c>
      <c r="S10787" t="s">
        <v>43249</v>
      </c>
      <c r="T10787" t="s">
        <v>44366</v>
      </c>
      <c r="U10787" t="s">
        <v>53608</v>
      </c>
      <c r="V10787" t="s">
        <v>56381</v>
      </c>
      <c r="W10787" t="s">
        <v>39424</v>
      </c>
      <c r="X10787" t="s">
        <v>42685</v>
      </c>
    </row>
    <row r="10788" spans="1:24">
      <c r="A10788">
        <f>HYPERLINK("https://www.philgeps.gov.ph/GEPSNONPILOT/Tender/SplashBidNoticeAbstractUI.aspx?menuIndex=3&amp;refID=7169588&amp;Result=3","7169588")</f>
        <v>0</v>
      </c>
      <c r="B10788" t="s">
        <v>2685</v>
      </c>
      <c r="C10788" t="s">
        <v>13832</v>
      </c>
      <c r="D10788" t="s">
        <v>17177</v>
      </c>
      <c r="E10788" t="s">
        <v>26437</v>
      </c>
      <c r="F10788" t="s">
        <v>29372</v>
      </c>
      <c r="G10788" t="s">
        <v>29380</v>
      </c>
      <c r="H10788" t="s">
        <v>11048</v>
      </c>
      <c r="I10788" t="s">
        <v>29414</v>
      </c>
      <c r="J10788" t="s">
        <v>36362</v>
      </c>
      <c r="K10788" t="s">
        <v>38485</v>
      </c>
      <c r="M10788" t="s">
        <v>42041</v>
      </c>
      <c r="N10788" t="s">
        <v>42669</v>
      </c>
      <c r="O10788" t="s">
        <v>42670</v>
      </c>
      <c r="P10788">
        <v>0</v>
      </c>
      <c r="Q10788">
        <v>14</v>
      </c>
      <c r="R10788" t="s">
        <v>42684</v>
      </c>
      <c r="S10788" t="s">
        <v>43183</v>
      </c>
      <c r="T10788" t="s">
        <v>44539</v>
      </c>
      <c r="U10788" t="s">
        <v>53609</v>
      </c>
      <c r="W10788" t="s">
        <v>42041</v>
      </c>
      <c r="X10788" t="s">
        <v>42685</v>
      </c>
    </row>
    <row r="10789" spans="1:24">
      <c r="A10789">
        <f>HYPERLINK("https://www.philgeps.gov.ph/GEPSNONPILOT/Tender/SplashBidNoticeAbstractUI.aspx?menuIndex=3&amp;refID=7169586&amp;Result=3","7169586")</f>
        <v>0</v>
      </c>
      <c r="B10789" t="s">
        <v>1930</v>
      </c>
      <c r="C10789" t="s">
        <v>13833</v>
      </c>
      <c r="E10789" t="s">
        <v>26438</v>
      </c>
      <c r="F10789" t="s">
        <v>29372</v>
      </c>
      <c r="G10789" t="s">
        <v>29380</v>
      </c>
      <c r="H10789" t="s">
        <v>11048</v>
      </c>
      <c r="I10789" t="s">
        <v>29407</v>
      </c>
      <c r="J10789" t="s">
        <v>36363</v>
      </c>
      <c r="K10789" t="s">
        <v>38490</v>
      </c>
      <c r="M10789" t="s">
        <v>41738</v>
      </c>
      <c r="N10789" t="s">
        <v>42669</v>
      </c>
      <c r="O10789" t="s">
        <v>42670</v>
      </c>
      <c r="Q10789">
        <v>13</v>
      </c>
      <c r="R10789" t="s">
        <v>42684</v>
      </c>
      <c r="S10789" t="s">
        <v>43250</v>
      </c>
      <c r="T10789" t="s">
        <v>44400</v>
      </c>
      <c r="U10789" t="s">
        <v>53610</v>
      </c>
      <c r="W10789" t="s">
        <v>41738</v>
      </c>
      <c r="X10789" t="s">
        <v>42685</v>
      </c>
    </row>
    <row r="10790" spans="1:24">
      <c r="A10790">
        <f>HYPERLINK("https://www.philgeps.gov.ph/GEPSNONPILOT/Tender/SplashBidNoticeAbstractUI.aspx?menuIndex=3&amp;refID=7169688&amp;Result=3","7169688")</f>
        <v>0</v>
      </c>
      <c r="B10790" t="s">
        <v>3068</v>
      </c>
      <c r="C10790" t="s">
        <v>13834</v>
      </c>
      <c r="D10790" t="s">
        <v>17231</v>
      </c>
      <c r="E10790" t="s">
        <v>26439</v>
      </c>
      <c r="F10790" t="s">
        <v>29372</v>
      </c>
      <c r="G10790" t="s">
        <v>29380</v>
      </c>
      <c r="H10790" t="s">
        <v>29389</v>
      </c>
      <c r="I10790" t="s">
        <v>10408</v>
      </c>
      <c r="J10790" t="s">
        <v>36364</v>
      </c>
      <c r="K10790" t="s">
        <v>38490</v>
      </c>
      <c r="M10790" t="s">
        <v>42095</v>
      </c>
      <c r="N10790" t="s">
        <v>42669</v>
      </c>
      <c r="O10790" t="s">
        <v>42670</v>
      </c>
      <c r="P10790">
        <v>0</v>
      </c>
      <c r="Q10790">
        <v>2</v>
      </c>
      <c r="R10790" t="s">
        <v>42684</v>
      </c>
      <c r="S10790" t="s">
        <v>43183</v>
      </c>
      <c r="T10790" t="s">
        <v>44412</v>
      </c>
      <c r="U10790" t="s">
        <v>53611</v>
      </c>
      <c r="W10790" t="s">
        <v>42095</v>
      </c>
      <c r="X10790" t="s">
        <v>42685</v>
      </c>
    </row>
    <row r="10791" spans="1:24">
      <c r="A10791">
        <f>HYPERLINK("https://www.philgeps.gov.ph/GEPSNONPILOT/Tender/SplashBidNoticeAbstractUI.aspx?menuIndex=3&amp;refID=7169632&amp;Result=3","7169632")</f>
        <v>0</v>
      </c>
      <c r="B10791" t="s">
        <v>455</v>
      </c>
      <c r="C10791" t="s">
        <v>13835</v>
      </c>
      <c r="D10791" t="s">
        <v>17157</v>
      </c>
      <c r="E10791" t="s">
        <v>26440</v>
      </c>
      <c r="F10791" t="s">
        <v>29372</v>
      </c>
      <c r="G10791" t="s">
        <v>29380</v>
      </c>
      <c r="H10791" t="s">
        <v>29389</v>
      </c>
      <c r="I10791" t="s">
        <v>10408</v>
      </c>
      <c r="J10791" t="s">
        <v>29708</v>
      </c>
      <c r="K10791" t="s">
        <v>38485</v>
      </c>
      <c r="M10791" t="s">
        <v>39219</v>
      </c>
      <c r="N10791" t="s">
        <v>42669</v>
      </c>
      <c r="O10791" t="s">
        <v>42670</v>
      </c>
      <c r="P10791">
        <v>0</v>
      </c>
      <c r="Q10791">
        <v>0</v>
      </c>
      <c r="R10791" t="s">
        <v>42684</v>
      </c>
      <c r="S10791" t="s">
        <v>43183</v>
      </c>
      <c r="T10791" t="s">
        <v>44457</v>
      </c>
      <c r="U10791" t="s">
        <v>53571</v>
      </c>
      <c r="W10791" t="s">
        <v>39219</v>
      </c>
      <c r="X10791" t="s">
        <v>42685</v>
      </c>
    </row>
    <row r="10792" spans="1:24">
      <c r="A10792">
        <f>HYPERLINK("https://www.philgeps.gov.ph/GEPSNONPILOT/Tender/SplashBidNoticeAbstractUI.aspx?menuIndex=3&amp;refID=7169587&amp;Result=3","7169587")</f>
        <v>0</v>
      </c>
      <c r="B10792" t="s">
        <v>455</v>
      </c>
      <c r="C10792" t="s">
        <v>13836</v>
      </c>
      <c r="D10792" t="s">
        <v>17157</v>
      </c>
      <c r="E10792" t="s">
        <v>26441</v>
      </c>
      <c r="F10792" t="s">
        <v>29372</v>
      </c>
      <c r="G10792" t="s">
        <v>29380</v>
      </c>
      <c r="H10792" t="s">
        <v>29389</v>
      </c>
      <c r="I10792" t="s">
        <v>10408</v>
      </c>
      <c r="J10792" t="s">
        <v>29708</v>
      </c>
      <c r="K10792" t="s">
        <v>38485</v>
      </c>
      <c r="M10792" t="s">
        <v>39219</v>
      </c>
      <c r="N10792" t="s">
        <v>42669</v>
      </c>
      <c r="O10792" t="s">
        <v>42670</v>
      </c>
      <c r="P10792">
        <v>0</v>
      </c>
      <c r="Q10792">
        <v>0</v>
      </c>
      <c r="R10792" t="s">
        <v>42684</v>
      </c>
      <c r="S10792" t="s">
        <v>43183</v>
      </c>
      <c r="T10792" t="s">
        <v>44457</v>
      </c>
      <c r="U10792" t="s">
        <v>53571</v>
      </c>
      <c r="W10792" t="s">
        <v>39219</v>
      </c>
      <c r="X10792" t="s">
        <v>42685</v>
      </c>
    </row>
    <row r="10793" spans="1:24">
      <c r="A10793">
        <f>HYPERLINK("https://www.philgeps.gov.ph/GEPSNONPILOT/Tender/SplashBidNoticeAbstractUI.aspx?menuIndex=3&amp;refID=7169717&amp;Result=3","7169717")</f>
        <v>0</v>
      </c>
      <c r="B10793" t="s">
        <v>2748</v>
      </c>
      <c r="C10793" t="s">
        <v>13837</v>
      </c>
      <c r="D10793" t="s">
        <v>17147</v>
      </c>
      <c r="E10793" t="s">
        <v>26442</v>
      </c>
      <c r="F10793" t="s">
        <v>29372</v>
      </c>
      <c r="G10793" t="s">
        <v>29380</v>
      </c>
      <c r="H10793" t="s">
        <v>11048</v>
      </c>
      <c r="I10793" t="s">
        <v>10408</v>
      </c>
      <c r="J10793" t="s">
        <v>36365</v>
      </c>
      <c r="K10793" t="s">
        <v>38523</v>
      </c>
      <c r="M10793" t="s">
        <v>41731</v>
      </c>
      <c r="N10793" t="s">
        <v>42669</v>
      </c>
      <c r="O10793" t="s">
        <v>42670</v>
      </c>
      <c r="Q10793">
        <v>5</v>
      </c>
      <c r="R10793" t="s">
        <v>42684</v>
      </c>
      <c r="S10793" t="s">
        <v>43251</v>
      </c>
      <c r="T10793" t="s">
        <v>44457</v>
      </c>
      <c r="U10793" t="s">
        <v>53612</v>
      </c>
      <c r="W10793" t="s">
        <v>41731</v>
      </c>
      <c r="X10793" t="s">
        <v>42685</v>
      </c>
    </row>
    <row r="10794" spans="1:24">
      <c r="A10794">
        <f>HYPERLINK("https://www.philgeps.gov.ph/GEPSNONPILOT/Tender/SplashBidNoticeAbstractUI.aspx?menuIndex=3&amp;refID=7169579&amp;Result=3","7169579")</f>
        <v>0</v>
      </c>
      <c r="B10794" t="s">
        <v>3073</v>
      </c>
      <c r="C10794" t="s">
        <v>13838</v>
      </c>
      <c r="D10794" t="s">
        <v>17192</v>
      </c>
      <c r="E10794" t="s">
        <v>26443</v>
      </c>
      <c r="F10794" t="s">
        <v>29372</v>
      </c>
      <c r="G10794" t="s">
        <v>29381</v>
      </c>
      <c r="H10794" t="s">
        <v>11048</v>
      </c>
      <c r="I10794" t="s">
        <v>3695</v>
      </c>
      <c r="J10794" t="s">
        <v>36366</v>
      </c>
      <c r="K10794" t="s">
        <v>38490</v>
      </c>
      <c r="M10794" t="s">
        <v>42101</v>
      </c>
      <c r="N10794" t="s">
        <v>42669</v>
      </c>
      <c r="O10794" t="s">
        <v>42670</v>
      </c>
      <c r="P10794">
        <v>0</v>
      </c>
      <c r="Q10794">
        <v>18</v>
      </c>
      <c r="R10794" t="s">
        <v>42684</v>
      </c>
      <c r="S10794" t="s">
        <v>43183</v>
      </c>
      <c r="T10794" t="s">
        <v>44387</v>
      </c>
      <c r="U10794" t="s">
        <v>53613</v>
      </c>
      <c r="W10794" t="s">
        <v>42101</v>
      </c>
      <c r="X10794" t="s">
        <v>42685</v>
      </c>
    </row>
    <row r="10795" spans="1:24">
      <c r="A10795">
        <f>HYPERLINK("https://www.philgeps.gov.ph/GEPSNONPILOT/Tender/SplashBidNoticeAbstractUI.aspx?menuIndex=3&amp;refID=7169775&amp;Result=3","7169775")</f>
        <v>0</v>
      </c>
      <c r="B10795" t="s">
        <v>181</v>
      </c>
      <c r="C10795" t="s">
        <v>13839</v>
      </c>
      <c r="D10795" t="s">
        <v>17186</v>
      </c>
      <c r="E10795" t="s">
        <v>26444</v>
      </c>
      <c r="F10795" t="s">
        <v>29372</v>
      </c>
      <c r="G10795" t="s">
        <v>29379</v>
      </c>
      <c r="H10795" t="s">
        <v>29391</v>
      </c>
      <c r="I10795" t="s">
        <v>29391</v>
      </c>
      <c r="J10795" t="s">
        <v>29625</v>
      </c>
      <c r="K10795" t="s">
        <v>38488</v>
      </c>
      <c r="M10795" t="s">
        <v>38972</v>
      </c>
      <c r="N10795" t="s">
        <v>42669</v>
      </c>
      <c r="O10795" t="s">
        <v>42670</v>
      </c>
      <c r="Q10795">
        <v>0</v>
      </c>
      <c r="R10795" t="s">
        <v>42684</v>
      </c>
      <c r="S10795" t="s">
        <v>43252</v>
      </c>
      <c r="T10795" t="s">
        <v>44371</v>
      </c>
      <c r="U10795" t="s">
        <v>53614</v>
      </c>
      <c r="W10795" t="s">
        <v>38938</v>
      </c>
      <c r="X10795" t="s">
        <v>42685</v>
      </c>
    </row>
    <row r="10796" spans="1:24">
      <c r="A10796">
        <f>HYPERLINK("https://www.philgeps.gov.ph/GEPSNONPILOT/Tender/SplashBidNoticeAbstractUI.aspx?menuIndex=3&amp;refID=7169853&amp;Result=3","7169853")</f>
        <v>0</v>
      </c>
      <c r="B10796" t="s">
        <v>2218</v>
      </c>
      <c r="C10796" t="s">
        <v>13840</v>
      </c>
      <c r="D10796" t="s">
        <v>17188</v>
      </c>
      <c r="E10796" t="s">
        <v>26445</v>
      </c>
      <c r="F10796" t="s">
        <v>29372</v>
      </c>
      <c r="G10796" t="s">
        <v>29380</v>
      </c>
      <c r="H10796" t="s">
        <v>11048</v>
      </c>
      <c r="I10796" t="s">
        <v>29464</v>
      </c>
      <c r="J10796" t="s">
        <v>36367</v>
      </c>
      <c r="K10796" t="s">
        <v>38485</v>
      </c>
      <c r="M10796" t="s">
        <v>41136</v>
      </c>
      <c r="N10796" t="s">
        <v>42669</v>
      </c>
      <c r="O10796" t="s">
        <v>42670</v>
      </c>
      <c r="Q10796">
        <v>6</v>
      </c>
      <c r="R10796" t="s">
        <v>42684</v>
      </c>
      <c r="S10796" t="s">
        <v>43253</v>
      </c>
      <c r="T10796" t="s">
        <v>44409</v>
      </c>
      <c r="U10796" t="s">
        <v>53615</v>
      </c>
      <c r="W10796" t="s">
        <v>58073</v>
      </c>
      <c r="X10796" t="s">
        <v>42685</v>
      </c>
    </row>
    <row r="10797" spans="1:24">
      <c r="A10797">
        <f>HYPERLINK("https://www.philgeps.gov.ph/GEPSNONPILOT/Tender/SplashBidNoticeAbstractUI.aspx?menuIndex=3&amp;refID=7169884&amp;Result=3","7169884")</f>
        <v>0</v>
      </c>
      <c r="B10797" t="s">
        <v>1930</v>
      </c>
      <c r="C10797" t="s">
        <v>13841</v>
      </c>
      <c r="D10797" t="s">
        <v>17185</v>
      </c>
      <c r="E10797" t="s">
        <v>26446</v>
      </c>
      <c r="F10797" t="s">
        <v>29372</v>
      </c>
      <c r="G10797" t="s">
        <v>29380</v>
      </c>
      <c r="H10797" t="s">
        <v>11048</v>
      </c>
      <c r="I10797" t="s">
        <v>5383</v>
      </c>
      <c r="J10797" t="s">
        <v>36368</v>
      </c>
      <c r="K10797" t="s">
        <v>38490</v>
      </c>
      <c r="M10797" t="s">
        <v>42102</v>
      </c>
      <c r="N10797" t="s">
        <v>42669</v>
      </c>
      <c r="O10797" t="s">
        <v>42670</v>
      </c>
      <c r="P10797">
        <v>0</v>
      </c>
      <c r="Q10797">
        <v>0</v>
      </c>
      <c r="R10797" t="s">
        <v>42684</v>
      </c>
      <c r="S10797" t="s">
        <v>43183</v>
      </c>
      <c r="T10797" t="s">
        <v>44666</v>
      </c>
      <c r="U10797" t="s">
        <v>53616</v>
      </c>
      <c r="W10797" t="s">
        <v>42102</v>
      </c>
      <c r="X10797" t="s">
        <v>42685</v>
      </c>
    </row>
    <row r="10798" spans="1:24">
      <c r="A10798">
        <f>HYPERLINK("https://www.philgeps.gov.ph/GEPSNONPILOT/Tender/SplashBidNoticeAbstractUI.aspx?menuIndex=3&amp;refID=7169440&amp;Result=3","7169440")</f>
        <v>0</v>
      </c>
      <c r="B10798" t="s">
        <v>3047</v>
      </c>
      <c r="C10798" t="s">
        <v>13842</v>
      </c>
      <c r="D10798" t="s">
        <v>17192</v>
      </c>
      <c r="E10798" t="s">
        <v>26447</v>
      </c>
      <c r="F10798" t="s">
        <v>29372</v>
      </c>
      <c r="G10798" t="s">
        <v>29380</v>
      </c>
      <c r="H10798" t="s">
        <v>29389</v>
      </c>
      <c r="I10798" t="s">
        <v>10408</v>
      </c>
      <c r="J10798" t="s">
        <v>29587</v>
      </c>
      <c r="K10798" t="s">
        <v>38518</v>
      </c>
      <c r="M10798" t="s">
        <v>42071</v>
      </c>
      <c r="N10798" t="s">
        <v>42669</v>
      </c>
      <c r="O10798" t="s">
        <v>42670</v>
      </c>
      <c r="P10798">
        <v>0</v>
      </c>
      <c r="Q10798">
        <v>1</v>
      </c>
      <c r="R10798" t="s">
        <v>42684</v>
      </c>
      <c r="S10798" t="s">
        <v>43183</v>
      </c>
      <c r="T10798" t="s">
        <v>44364</v>
      </c>
      <c r="U10798" t="s">
        <v>53617</v>
      </c>
      <c r="W10798" t="s">
        <v>58108</v>
      </c>
      <c r="X10798" t="s">
        <v>42685</v>
      </c>
    </row>
    <row r="10799" spans="1:24">
      <c r="A10799">
        <f>HYPERLINK("https://www.philgeps.gov.ph/GEPSNONPILOT/Tender/SplashBidNoticeAbstractUI.aspx?menuIndex=3&amp;refID=7169883&amp;Result=3","7169883")</f>
        <v>0</v>
      </c>
      <c r="B10799" t="s">
        <v>3074</v>
      </c>
      <c r="C10799" t="s">
        <v>13843</v>
      </c>
      <c r="D10799" t="s">
        <v>17161</v>
      </c>
      <c r="E10799" t="s">
        <v>17401</v>
      </c>
      <c r="F10799" t="s">
        <v>29372</v>
      </c>
      <c r="G10799" t="s">
        <v>29380</v>
      </c>
      <c r="H10799" t="s">
        <v>11048</v>
      </c>
      <c r="I10799" t="s">
        <v>5383</v>
      </c>
      <c r="J10799" t="s">
        <v>36369</v>
      </c>
      <c r="K10799" t="s">
        <v>38485</v>
      </c>
      <c r="M10799" t="s">
        <v>42103</v>
      </c>
      <c r="N10799" t="s">
        <v>42669</v>
      </c>
      <c r="O10799" t="s">
        <v>42670</v>
      </c>
      <c r="Q10799">
        <v>5</v>
      </c>
      <c r="R10799" t="s">
        <v>42684</v>
      </c>
      <c r="S10799" t="s">
        <v>43254</v>
      </c>
      <c r="T10799" t="s">
        <v>44401</v>
      </c>
      <c r="U10799" t="s">
        <v>53618</v>
      </c>
      <c r="W10799" t="s">
        <v>42103</v>
      </c>
      <c r="X10799" t="s">
        <v>42685</v>
      </c>
    </row>
    <row r="10800" spans="1:24">
      <c r="A10800">
        <f>HYPERLINK("https://www.philgeps.gov.ph/GEPSNONPILOT/Tender/SplashBidNoticeAbstractUI.aspx?menuIndex=3&amp;refID=7169680&amp;Result=3","7169680")</f>
        <v>0</v>
      </c>
      <c r="B10800" t="s">
        <v>744</v>
      </c>
      <c r="C10800" t="s">
        <v>13844</v>
      </c>
      <c r="D10800" t="s">
        <v>17157</v>
      </c>
      <c r="E10800" t="s">
        <v>26448</v>
      </c>
      <c r="F10800" t="s">
        <v>29372</v>
      </c>
      <c r="G10800" t="s">
        <v>29380</v>
      </c>
      <c r="H10800" t="s">
        <v>29389</v>
      </c>
      <c r="I10800" t="s">
        <v>10408</v>
      </c>
      <c r="J10800" t="s">
        <v>29609</v>
      </c>
      <c r="K10800" t="s">
        <v>38496</v>
      </c>
      <c r="M10800" t="s">
        <v>39525</v>
      </c>
      <c r="N10800" t="s">
        <v>42669</v>
      </c>
      <c r="O10800" t="s">
        <v>42670</v>
      </c>
      <c r="P10800">
        <v>0</v>
      </c>
      <c r="Q10800">
        <v>0</v>
      </c>
      <c r="R10800" t="s">
        <v>42684</v>
      </c>
      <c r="S10800" t="s">
        <v>43183</v>
      </c>
      <c r="T10800" t="s">
        <v>44354</v>
      </c>
      <c r="U10800" t="s">
        <v>53619</v>
      </c>
      <c r="W10800" t="s">
        <v>39525</v>
      </c>
      <c r="X10800" t="s">
        <v>42685</v>
      </c>
    </row>
    <row r="10801" spans="1:24">
      <c r="A10801">
        <f>HYPERLINK("https://www.philgeps.gov.ph/GEPSNONPILOT/Tender/SplashBidNoticeAbstractUI.aspx?menuIndex=3&amp;refID=7169882&amp;Result=3","7169882")</f>
        <v>0</v>
      </c>
      <c r="B10801" t="s">
        <v>2973</v>
      </c>
      <c r="C10801" t="s">
        <v>13845</v>
      </c>
      <c r="D10801" t="s">
        <v>17177</v>
      </c>
      <c r="E10801" t="s">
        <v>26449</v>
      </c>
      <c r="F10801" t="s">
        <v>29372</v>
      </c>
      <c r="G10801" t="s">
        <v>29380</v>
      </c>
      <c r="H10801" t="s">
        <v>29389</v>
      </c>
      <c r="I10801" t="s">
        <v>10408</v>
      </c>
      <c r="J10801" t="s">
        <v>30088</v>
      </c>
      <c r="K10801" t="s">
        <v>38485</v>
      </c>
      <c r="M10801" t="s">
        <v>41987</v>
      </c>
      <c r="N10801" t="s">
        <v>42669</v>
      </c>
      <c r="O10801" t="s">
        <v>42670</v>
      </c>
      <c r="P10801">
        <v>0</v>
      </c>
      <c r="Q10801">
        <v>0</v>
      </c>
      <c r="R10801" t="s">
        <v>42684</v>
      </c>
      <c r="S10801" t="s">
        <v>43183</v>
      </c>
      <c r="T10801" t="s">
        <v>44357</v>
      </c>
      <c r="U10801" t="s">
        <v>53620</v>
      </c>
      <c r="W10801" t="s">
        <v>41987</v>
      </c>
      <c r="X10801" t="s">
        <v>42685</v>
      </c>
    </row>
    <row r="10802" spans="1:24">
      <c r="A10802">
        <f>HYPERLINK("https://www.philgeps.gov.ph/GEPSNONPILOT/Tender/SplashBidNoticeAbstractUI.aspx?menuIndex=3&amp;refID=7169876&amp;Result=3","7169876")</f>
        <v>0</v>
      </c>
      <c r="B10802" t="s">
        <v>2451</v>
      </c>
      <c r="C10802" t="s">
        <v>13846</v>
      </c>
      <c r="D10802" t="s">
        <v>17228</v>
      </c>
      <c r="E10802" t="s">
        <v>26450</v>
      </c>
      <c r="F10802" t="s">
        <v>29372</v>
      </c>
      <c r="G10802" t="s">
        <v>29380</v>
      </c>
      <c r="H10802" t="s">
        <v>29389</v>
      </c>
      <c r="I10802" t="s">
        <v>10408</v>
      </c>
      <c r="J10802" t="s">
        <v>30161</v>
      </c>
      <c r="K10802" t="s">
        <v>38490</v>
      </c>
      <c r="M10802" t="s">
        <v>41399</v>
      </c>
      <c r="N10802" t="s">
        <v>42669</v>
      </c>
      <c r="O10802" t="s">
        <v>42670</v>
      </c>
      <c r="P10802">
        <v>0</v>
      </c>
      <c r="Q10802">
        <v>1</v>
      </c>
      <c r="R10802" t="s">
        <v>42684</v>
      </c>
      <c r="S10802" t="s">
        <v>43183</v>
      </c>
      <c r="T10802" t="s">
        <v>44375</v>
      </c>
      <c r="U10802" t="s">
        <v>53377</v>
      </c>
      <c r="W10802" t="s">
        <v>41399</v>
      </c>
      <c r="X10802" t="s">
        <v>42685</v>
      </c>
    </row>
    <row r="10803" spans="1:24">
      <c r="A10803">
        <f>HYPERLINK("https://www.philgeps.gov.ph/GEPSNONPILOT/Tender/SplashBidNoticeAbstractUI.aspx?menuIndex=3&amp;refID=7169864&amp;Result=3","7169864")</f>
        <v>0</v>
      </c>
      <c r="B10803" t="s">
        <v>782</v>
      </c>
      <c r="C10803" t="s">
        <v>13847</v>
      </c>
      <c r="D10803" t="s">
        <v>17204</v>
      </c>
      <c r="E10803" t="s">
        <v>26451</v>
      </c>
      <c r="F10803" t="s">
        <v>29372</v>
      </c>
      <c r="G10803" t="s">
        <v>29380</v>
      </c>
      <c r="H10803" t="s">
        <v>11048</v>
      </c>
      <c r="I10803" t="s">
        <v>29433</v>
      </c>
      <c r="J10803" t="s">
        <v>36370</v>
      </c>
      <c r="K10803" t="s">
        <v>38495</v>
      </c>
      <c r="M10803" t="s">
        <v>40796</v>
      </c>
      <c r="N10803" t="s">
        <v>42669</v>
      </c>
      <c r="O10803" t="s">
        <v>42670</v>
      </c>
      <c r="Q10803">
        <v>31</v>
      </c>
      <c r="R10803" t="s">
        <v>42684</v>
      </c>
      <c r="S10803" t="s">
        <v>43255</v>
      </c>
      <c r="T10803" t="s">
        <v>44412</v>
      </c>
      <c r="U10803" t="s">
        <v>53621</v>
      </c>
      <c r="W10803" t="s">
        <v>39566</v>
      </c>
      <c r="X10803" t="s">
        <v>42685</v>
      </c>
    </row>
    <row r="10804" spans="1:24">
      <c r="A10804">
        <f>HYPERLINK("https://www.philgeps.gov.ph/GEPSNONPILOT/Tender/SplashBidNoticeAbstractUI.aspx?menuIndex=3&amp;refID=7169854&amp;Result=3","7169854")</f>
        <v>0</v>
      </c>
      <c r="B10804" t="s">
        <v>650</v>
      </c>
      <c r="C10804" t="s">
        <v>13848</v>
      </c>
      <c r="D10804" t="s">
        <v>17144</v>
      </c>
      <c r="E10804" t="s">
        <v>26452</v>
      </c>
      <c r="F10804" t="s">
        <v>29372</v>
      </c>
      <c r="G10804" t="s">
        <v>29380</v>
      </c>
      <c r="H10804" t="s">
        <v>11048</v>
      </c>
      <c r="I10804" t="s">
        <v>29407</v>
      </c>
      <c r="J10804" t="s">
        <v>36371</v>
      </c>
      <c r="K10804" t="s">
        <v>38518</v>
      </c>
      <c r="M10804" t="s">
        <v>39424</v>
      </c>
      <c r="N10804" t="s">
        <v>42669</v>
      </c>
      <c r="O10804" t="s">
        <v>42670</v>
      </c>
      <c r="Q10804">
        <v>10</v>
      </c>
      <c r="R10804" t="s">
        <v>42684</v>
      </c>
      <c r="S10804" t="s">
        <v>43256</v>
      </c>
      <c r="T10804" t="s">
        <v>44366</v>
      </c>
      <c r="U10804" t="s">
        <v>53622</v>
      </c>
      <c r="V10804" t="s">
        <v>56381</v>
      </c>
      <c r="W10804" t="s">
        <v>39424</v>
      </c>
      <c r="X10804" t="s">
        <v>42685</v>
      </c>
    </row>
    <row r="10805" spans="1:24">
      <c r="A10805">
        <f>HYPERLINK("https://www.philgeps.gov.ph/GEPSNONPILOT/Tender/SplashBidNoticeAbstractUI.aspx?menuIndex=3&amp;refID=7169902&amp;Result=3","7169902")</f>
        <v>0</v>
      </c>
      <c r="B10805" t="s">
        <v>2935</v>
      </c>
      <c r="C10805" t="s">
        <v>13849</v>
      </c>
      <c r="D10805" t="s">
        <v>17170</v>
      </c>
      <c r="E10805" t="s">
        <v>26453</v>
      </c>
      <c r="F10805" t="s">
        <v>29372</v>
      </c>
      <c r="G10805" t="s">
        <v>29380</v>
      </c>
      <c r="H10805" t="s">
        <v>29389</v>
      </c>
      <c r="I10805" t="s">
        <v>10408</v>
      </c>
      <c r="J10805" t="s">
        <v>30161</v>
      </c>
      <c r="K10805" t="s">
        <v>38490</v>
      </c>
      <c r="M10805" t="s">
        <v>41937</v>
      </c>
      <c r="N10805" t="s">
        <v>42669</v>
      </c>
      <c r="O10805" t="s">
        <v>42670</v>
      </c>
      <c r="P10805">
        <v>0</v>
      </c>
      <c r="Q10805">
        <v>0</v>
      </c>
      <c r="R10805" t="s">
        <v>42684</v>
      </c>
      <c r="S10805" t="s">
        <v>43183</v>
      </c>
      <c r="T10805" t="s">
        <v>44444</v>
      </c>
      <c r="U10805" t="s">
        <v>53623</v>
      </c>
      <c r="W10805" t="s">
        <v>41937</v>
      </c>
      <c r="X10805" t="s">
        <v>42685</v>
      </c>
    </row>
    <row r="10806" spans="1:24">
      <c r="A10806">
        <f>HYPERLINK("https://www.philgeps.gov.ph/GEPSNONPILOT/Tender/SplashBidNoticeAbstractUI.aspx?menuIndex=3&amp;refID=7169582&amp;Result=3","7169582")</f>
        <v>0</v>
      </c>
      <c r="B10806" t="s">
        <v>54</v>
      </c>
      <c r="C10806" t="s">
        <v>13850</v>
      </c>
      <c r="D10806" t="s">
        <v>17162</v>
      </c>
      <c r="E10806" t="s">
        <v>26454</v>
      </c>
      <c r="F10806" t="s">
        <v>29372</v>
      </c>
      <c r="G10806" t="s">
        <v>29380</v>
      </c>
      <c r="H10806" t="s">
        <v>29389</v>
      </c>
      <c r="I10806" t="s">
        <v>10408</v>
      </c>
      <c r="J10806" t="s">
        <v>36372</v>
      </c>
      <c r="K10806" t="s">
        <v>38496</v>
      </c>
      <c r="L10806" t="s">
        <v>54</v>
      </c>
      <c r="M10806" t="s">
        <v>38807</v>
      </c>
      <c r="N10806" t="s">
        <v>42669</v>
      </c>
      <c r="O10806" t="s">
        <v>42670</v>
      </c>
      <c r="P10806">
        <v>0</v>
      </c>
      <c r="Q10806">
        <v>2</v>
      </c>
      <c r="R10806" t="s">
        <v>42684</v>
      </c>
      <c r="S10806" t="s">
        <v>43183</v>
      </c>
      <c r="T10806" t="s">
        <v>44357</v>
      </c>
      <c r="U10806" t="s">
        <v>53624</v>
      </c>
      <c r="W10806" t="s">
        <v>38807</v>
      </c>
      <c r="X10806" t="s">
        <v>42685</v>
      </c>
    </row>
    <row r="10807" spans="1:24">
      <c r="A10807">
        <f>HYPERLINK("https://www.philgeps.gov.ph/GEPSNONPILOT/Tender/SplashBidNoticeAbstractUI.aspx?menuIndex=3&amp;refID=7169816&amp;Result=3","7169816")</f>
        <v>0</v>
      </c>
      <c r="B10807" t="s">
        <v>1812</v>
      </c>
      <c r="C10807" t="s">
        <v>13851</v>
      </c>
      <c r="D10807" t="s">
        <v>17194</v>
      </c>
      <c r="E10807" t="s">
        <v>26455</v>
      </c>
      <c r="F10807" t="s">
        <v>29372</v>
      </c>
      <c r="G10807" t="s">
        <v>29380</v>
      </c>
      <c r="H10807" t="s">
        <v>11048</v>
      </c>
      <c r="I10807" t="s">
        <v>8614</v>
      </c>
      <c r="J10807" t="s">
        <v>30809</v>
      </c>
      <c r="K10807" t="s">
        <v>38490</v>
      </c>
      <c r="M10807" t="s">
        <v>40683</v>
      </c>
      <c r="N10807" t="s">
        <v>42669</v>
      </c>
      <c r="O10807" t="s">
        <v>42670</v>
      </c>
      <c r="P10807">
        <v>0</v>
      </c>
      <c r="Q10807">
        <v>4</v>
      </c>
      <c r="R10807" t="s">
        <v>42684</v>
      </c>
      <c r="S10807" t="s">
        <v>43183</v>
      </c>
      <c r="T10807" t="s">
        <v>44800</v>
      </c>
      <c r="U10807" t="s">
        <v>53625</v>
      </c>
      <c r="W10807" t="s">
        <v>40683</v>
      </c>
      <c r="X10807" t="s">
        <v>42685</v>
      </c>
    </row>
    <row r="10808" spans="1:24">
      <c r="A10808">
        <f>HYPERLINK("https://www.philgeps.gov.ph/GEPSNONPILOT/Tender/SplashBidNoticeAbstractUI.aspx?menuIndex=3&amp;refID=7169857&amp;Result=3","7169857")</f>
        <v>0</v>
      </c>
      <c r="B10808" t="s">
        <v>3075</v>
      </c>
      <c r="C10808" t="s">
        <v>13852</v>
      </c>
      <c r="D10808" t="s">
        <v>17176</v>
      </c>
      <c r="E10808" t="s">
        <v>26456</v>
      </c>
      <c r="F10808" t="s">
        <v>29372</v>
      </c>
      <c r="G10808" t="s">
        <v>29380</v>
      </c>
      <c r="H10808" t="s">
        <v>29389</v>
      </c>
      <c r="I10808" t="s">
        <v>10408</v>
      </c>
      <c r="J10808" t="s">
        <v>36373</v>
      </c>
      <c r="K10808" t="s">
        <v>38520</v>
      </c>
      <c r="M10808" t="s">
        <v>42104</v>
      </c>
      <c r="N10808" t="s">
        <v>42669</v>
      </c>
      <c r="O10808" t="s">
        <v>42670</v>
      </c>
      <c r="Q10808">
        <v>2</v>
      </c>
      <c r="R10808" t="s">
        <v>42684</v>
      </c>
      <c r="S10808" t="s">
        <v>43089</v>
      </c>
      <c r="T10808" t="s">
        <v>44453</v>
      </c>
      <c r="U10808" t="s">
        <v>53626</v>
      </c>
      <c r="W10808" t="s">
        <v>42104</v>
      </c>
      <c r="X10808" t="s">
        <v>42685</v>
      </c>
    </row>
    <row r="10809" spans="1:24">
      <c r="A10809">
        <f>HYPERLINK("https://www.philgeps.gov.ph/GEPSNONPILOT/Tender/SplashBidNoticeAbstractUI.aspx?menuIndex=3&amp;refID=7169809&amp;Result=3","7169809")</f>
        <v>0</v>
      </c>
      <c r="B10809" t="s">
        <v>3076</v>
      </c>
      <c r="C10809" t="s">
        <v>13853</v>
      </c>
      <c r="D10809" t="s">
        <v>17145</v>
      </c>
      <c r="E10809" t="s">
        <v>26457</v>
      </c>
      <c r="F10809" t="s">
        <v>29372</v>
      </c>
      <c r="G10809" t="s">
        <v>29380</v>
      </c>
      <c r="H10809" t="s">
        <v>29389</v>
      </c>
      <c r="I10809" t="s">
        <v>10408</v>
      </c>
      <c r="J10809" t="s">
        <v>36374</v>
      </c>
      <c r="K10809" t="s">
        <v>38533</v>
      </c>
      <c r="M10809" t="s">
        <v>42105</v>
      </c>
      <c r="N10809" t="s">
        <v>42669</v>
      </c>
      <c r="O10809" t="s">
        <v>42670</v>
      </c>
      <c r="P10809">
        <v>0</v>
      </c>
      <c r="Q10809">
        <v>1</v>
      </c>
      <c r="R10809" t="s">
        <v>42684</v>
      </c>
      <c r="S10809" t="s">
        <v>43183</v>
      </c>
      <c r="T10809" t="s">
        <v>44564</v>
      </c>
      <c r="U10809" t="s">
        <v>53627</v>
      </c>
      <c r="W10809" t="s">
        <v>42105</v>
      </c>
      <c r="X10809" t="s">
        <v>42685</v>
      </c>
    </row>
    <row r="10810" spans="1:24">
      <c r="A10810">
        <f>HYPERLINK("https://www.philgeps.gov.ph/GEPSNONPILOT/Tender/SplashBidNoticeAbstractUI.aspx?menuIndex=3&amp;refID=7169836&amp;Result=3","7169836")</f>
        <v>0</v>
      </c>
      <c r="B10810" t="s">
        <v>3077</v>
      </c>
      <c r="C10810" t="s">
        <v>13854</v>
      </c>
      <c r="D10810" t="s">
        <v>17153</v>
      </c>
      <c r="E10810" t="s">
        <v>26458</v>
      </c>
      <c r="F10810" t="s">
        <v>29372</v>
      </c>
      <c r="G10810" t="s">
        <v>29380</v>
      </c>
      <c r="H10810" t="s">
        <v>11048</v>
      </c>
      <c r="I10810" t="s">
        <v>29407</v>
      </c>
      <c r="J10810" t="s">
        <v>36375</v>
      </c>
      <c r="K10810" t="s">
        <v>38488</v>
      </c>
      <c r="M10810" t="s">
        <v>42106</v>
      </c>
      <c r="N10810" t="s">
        <v>42669</v>
      </c>
      <c r="O10810" t="s">
        <v>42670</v>
      </c>
      <c r="Q10810">
        <v>21</v>
      </c>
      <c r="R10810" t="s">
        <v>42684</v>
      </c>
      <c r="S10810" t="s">
        <v>43257</v>
      </c>
      <c r="T10810" t="s">
        <v>44357</v>
      </c>
      <c r="U10810" t="s">
        <v>53628</v>
      </c>
      <c r="W10810" t="s">
        <v>42106</v>
      </c>
      <c r="X10810" t="s">
        <v>42685</v>
      </c>
    </row>
    <row r="10811" spans="1:24">
      <c r="A10811">
        <f>HYPERLINK("https://www.philgeps.gov.ph/GEPSNONPILOT/Tender/SplashBidNoticeAbstractUI.aspx?menuIndex=3&amp;refID=7169794&amp;Result=3","7169794")</f>
        <v>0</v>
      </c>
      <c r="B10811" t="s">
        <v>3069</v>
      </c>
      <c r="C10811" t="s">
        <v>13855</v>
      </c>
      <c r="D10811" t="s">
        <v>17161</v>
      </c>
      <c r="E10811" t="s">
        <v>26459</v>
      </c>
      <c r="F10811" t="s">
        <v>29372</v>
      </c>
      <c r="G10811" t="s">
        <v>29380</v>
      </c>
      <c r="H10811" t="s">
        <v>11048</v>
      </c>
      <c r="I10811" t="s">
        <v>4709</v>
      </c>
      <c r="J10811" t="s">
        <v>36376</v>
      </c>
      <c r="K10811" t="s">
        <v>38490</v>
      </c>
      <c r="M10811" t="s">
        <v>42097</v>
      </c>
      <c r="N10811" t="s">
        <v>42669</v>
      </c>
      <c r="O10811" t="s">
        <v>42670</v>
      </c>
      <c r="P10811">
        <v>0</v>
      </c>
      <c r="Q10811">
        <v>0</v>
      </c>
      <c r="R10811" t="s">
        <v>42684</v>
      </c>
      <c r="S10811" t="s">
        <v>43183</v>
      </c>
      <c r="T10811" t="s">
        <v>44488</v>
      </c>
      <c r="U10811" t="s">
        <v>53595</v>
      </c>
      <c r="W10811" t="s">
        <v>42097</v>
      </c>
      <c r="X10811" t="s">
        <v>42685</v>
      </c>
    </row>
    <row r="10812" spans="1:24">
      <c r="A10812">
        <f>HYPERLINK("https://www.philgeps.gov.ph/GEPSNONPILOT/Tender/SplashBidNoticeAbstractUI.aspx?menuIndex=3&amp;refID=7169825&amp;Result=3","7169825")</f>
        <v>0</v>
      </c>
      <c r="B10812" t="s">
        <v>744</v>
      </c>
      <c r="C10812" t="s">
        <v>13856</v>
      </c>
      <c r="D10812" t="s">
        <v>17157</v>
      </c>
      <c r="E10812" t="s">
        <v>26460</v>
      </c>
      <c r="F10812" t="s">
        <v>29372</v>
      </c>
      <c r="G10812" t="s">
        <v>29380</v>
      </c>
      <c r="H10812" t="s">
        <v>29389</v>
      </c>
      <c r="I10812" t="s">
        <v>10408</v>
      </c>
      <c r="J10812" t="s">
        <v>29604</v>
      </c>
      <c r="K10812" t="s">
        <v>38496</v>
      </c>
      <c r="M10812" t="s">
        <v>39525</v>
      </c>
      <c r="N10812" t="s">
        <v>42669</v>
      </c>
      <c r="O10812" t="s">
        <v>42670</v>
      </c>
      <c r="P10812">
        <v>0</v>
      </c>
      <c r="Q10812">
        <v>0</v>
      </c>
      <c r="R10812" t="s">
        <v>42684</v>
      </c>
      <c r="S10812" t="s">
        <v>43183</v>
      </c>
      <c r="T10812" t="s">
        <v>44354</v>
      </c>
      <c r="U10812" t="s">
        <v>53629</v>
      </c>
      <c r="W10812" t="s">
        <v>39525</v>
      </c>
      <c r="X10812" t="s">
        <v>42685</v>
      </c>
    </row>
    <row r="10813" spans="1:24">
      <c r="A10813">
        <f>HYPERLINK("https://www.philgeps.gov.ph/GEPSNONPILOT/Tender/SplashBidNoticeAbstractUI.aspx?menuIndex=3&amp;refID=7169527&amp;Result=3","7169527")</f>
        <v>0</v>
      </c>
      <c r="B10813" t="s">
        <v>3060</v>
      </c>
      <c r="C10813" t="s">
        <v>13857</v>
      </c>
      <c r="D10813" t="s">
        <v>17141</v>
      </c>
      <c r="E10813" t="s">
        <v>26461</v>
      </c>
      <c r="F10813" t="s">
        <v>29372</v>
      </c>
      <c r="G10813" t="s">
        <v>29380</v>
      </c>
      <c r="H10813" t="s">
        <v>11048</v>
      </c>
      <c r="I10813" t="s">
        <v>29493</v>
      </c>
      <c r="J10813" t="s">
        <v>30056</v>
      </c>
      <c r="K10813" t="s">
        <v>38485</v>
      </c>
      <c r="M10813" t="s">
        <v>42086</v>
      </c>
      <c r="N10813" t="s">
        <v>42669</v>
      </c>
      <c r="O10813" t="s">
        <v>42670</v>
      </c>
      <c r="P10813">
        <v>0</v>
      </c>
      <c r="Q10813">
        <v>2</v>
      </c>
      <c r="R10813" t="s">
        <v>42684</v>
      </c>
      <c r="S10813" t="s">
        <v>43183</v>
      </c>
      <c r="T10813" t="s">
        <v>44373</v>
      </c>
      <c r="U10813" t="s">
        <v>53630</v>
      </c>
      <c r="W10813" t="s">
        <v>42086</v>
      </c>
      <c r="X10813" t="s">
        <v>42685</v>
      </c>
    </row>
    <row r="10814" spans="1:24">
      <c r="A10814">
        <f>HYPERLINK("https://www.philgeps.gov.ph/GEPSNONPILOT/Tender/SplashBidNoticeAbstractUI.aspx?menuIndex=3&amp;refID=7169521&amp;Result=3","7169521")</f>
        <v>0</v>
      </c>
      <c r="B10814" t="s">
        <v>1952</v>
      </c>
      <c r="C10814" t="s">
        <v>13858</v>
      </c>
      <c r="D10814" t="s">
        <v>17191</v>
      </c>
      <c r="E10814" t="s">
        <v>26462</v>
      </c>
      <c r="F10814" t="s">
        <v>29372</v>
      </c>
      <c r="G10814" t="s">
        <v>29380</v>
      </c>
      <c r="H10814" t="s">
        <v>11048</v>
      </c>
      <c r="I10814" t="s">
        <v>4709</v>
      </c>
      <c r="J10814" t="s">
        <v>36377</v>
      </c>
      <c r="K10814" t="s">
        <v>38488</v>
      </c>
      <c r="M10814" t="s">
        <v>40834</v>
      </c>
      <c r="N10814" t="s">
        <v>42669</v>
      </c>
      <c r="O10814" t="s">
        <v>42670</v>
      </c>
      <c r="P10814">
        <v>0</v>
      </c>
      <c r="Q10814">
        <v>0</v>
      </c>
      <c r="R10814" t="s">
        <v>42684</v>
      </c>
      <c r="S10814" t="s">
        <v>43183</v>
      </c>
      <c r="T10814" t="s">
        <v>44387</v>
      </c>
      <c r="U10814" t="s">
        <v>53631</v>
      </c>
      <c r="W10814" t="s">
        <v>40834</v>
      </c>
      <c r="X10814" t="s">
        <v>42685</v>
      </c>
    </row>
    <row r="10815" spans="1:24">
      <c r="A10815">
        <f>HYPERLINK("https://www.philgeps.gov.ph/GEPSNONPILOT/Tender/SplashBidNoticeAbstractUI.aspx?menuIndex=3&amp;refID=7169799&amp;Result=3","7169799")</f>
        <v>0</v>
      </c>
      <c r="B10815" t="s">
        <v>3078</v>
      </c>
      <c r="C10815" t="s">
        <v>8003</v>
      </c>
      <c r="D10815" t="s">
        <v>17172</v>
      </c>
      <c r="E10815" t="s">
        <v>17347</v>
      </c>
      <c r="F10815" t="s">
        <v>29377</v>
      </c>
      <c r="G10815" t="s">
        <v>29380</v>
      </c>
      <c r="H10815" t="s">
        <v>29389</v>
      </c>
      <c r="I10815" t="s">
        <v>10408</v>
      </c>
      <c r="J10815" t="s">
        <v>29708</v>
      </c>
      <c r="K10815" t="s">
        <v>38490</v>
      </c>
      <c r="M10815" t="s">
        <v>42107</v>
      </c>
      <c r="N10815" t="s">
        <v>42669</v>
      </c>
      <c r="O10815" t="s">
        <v>42670</v>
      </c>
      <c r="P10815">
        <v>0</v>
      </c>
      <c r="Q10815">
        <v>1</v>
      </c>
      <c r="R10815" t="s">
        <v>42684</v>
      </c>
      <c r="S10815" t="s">
        <v>43183</v>
      </c>
      <c r="T10815" t="s">
        <v>44397</v>
      </c>
      <c r="U10815" t="s">
        <v>53632</v>
      </c>
      <c r="W10815" t="s">
        <v>42107</v>
      </c>
      <c r="X10815" t="s">
        <v>42685</v>
      </c>
    </row>
    <row r="10816" spans="1:24">
      <c r="A10816">
        <f>HYPERLINK("https://www.philgeps.gov.ph/GEPSNONPILOT/Tender/SplashBidNoticeAbstractUI.aspx?menuIndex=3&amp;refID=7169879&amp;Result=3","7169879")</f>
        <v>0</v>
      </c>
      <c r="B10816" t="s">
        <v>2751</v>
      </c>
      <c r="C10816" t="s">
        <v>13859</v>
      </c>
      <c r="D10816" t="s">
        <v>17153</v>
      </c>
      <c r="E10816" t="s">
        <v>26463</v>
      </c>
      <c r="F10816" t="s">
        <v>29372</v>
      </c>
      <c r="G10816" t="s">
        <v>29379</v>
      </c>
      <c r="H10816" t="s">
        <v>11048</v>
      </c>
      <c r="I10816" t="s">
        <v>29426</v>
      </c>
      <c r="J10816" t="s">
        <v>29980</v>
      </c>
      <c r="K10816" t="s">
        <v>38495</v>
      </c>
      <c r="M10816" t="s">
        <v>41734</v>
      </c>
      <c r="N10816" t="s">
        <v>42669</v>
      </c>
      <c r="O10816" t="s">
        <v>42670</v>
      </c>
      <c r="P10816">
        <v>0</v>
      </c>
      <c r="Q10816">
        <v>0</v>
      </c>
      <c r="R10816" t="s">
        <v>42684</v>
      </c>
      <c r="S10816" t="s">
        <v>43183</v>
      </c>
      <c r="T10816" t="s">
        <v>44488</v>
      </c>
      <c r="U10816" t="s">
        <v>53633</v>
      </c>
      <c r="W10816" t="s">
        <v>41734</v>
      </c>
      <c r="X10816" t="s">
        <v>42685</v>
      </c>
    </row>
    <row r="10817" spans="1:24">
      <c r="A10817">
        <f>HYPERLINK("https://www.philgeps.gov.ph/GEPSNONPILOT/Tender/SplashBidNoticeAbstractUI.aspx?menuIndex=3&amp;refID=7169528&amp;Result=3","7169528")</f>
        <v>0</v>
      </c>
      <c r="B10817" t="s">
        <v>2224</v>
      </c>
      <c r="C10817" t="s">
        <v>13860</v>
      </c>
      <c r="D10817" t="s">
        <v>17143</v>
      </c>
      <c r="E10817" t="s">
        <v>19378</v>
      </c>
      <c r="F10817" t="s">
        <v>29372</v>
      </c>
      <c r="G10817" t="s">
        <v>29380</v>
      </c>
      <c r="H10817" t="s">
        <v>29389</v>
      </c>
      <c r="I10817" t="s">
        <v>10408</v>
      </c>
      <c r="J10817" t="s">
        <v>29801</v>
      </c>
      <c r="K10817" t="s">
        <v>38495</v>
      </c>
      <c r="M10817" t="s">
        <v>41142</v>
      </c>
      <c r="N10817" t="s">
        <v>42669</v>
      </c>
      <c r="O10817" t="s">
        <v>42670</v>
      </c>
      <c r="P10817">
        <v>0</v>
      </c>
      <c r="Q10817">
        <v>1</v>
      </c>
      <c r="R10817" t="s">
        <v>42684</v>
      </c>
      <c r="S10817" t="s">
        <v>43183</v>
      </c>
      <c r="T10817" t="s">
        <v>44391</v>
      </c>
      <c r="U10817" t="s">
        <v>53634</v>
      </c>
      <c r="W10817" t="s">
        <v>41142</v>
      </c>
      <c r="X10817" t="s">
        <v>42685</v>
      </c>
    </row>
    <row r="10818" spans="1:24">
      <c r="A10818">
        <f>HYPERLINK("https://www.philgeps.gov.ph/GEPSNONPILOT/Tender/SplashBidNoticeAbstractUI.aspx?menuIndex=3&amp;refID=7169505&amp;Result=3","7169505")</f>
        <v>0</v>
      </c>
      <c r="B10818" t="s">
        <v>455</v>
      </c>
      <c r="C10818" t="s">
        <v>13861</v>
      </c>
      <c r="D10818" t="s">
        <v>17157</v>
      </c>
      <c r="E10818" t="s">
        <v>26464</v>
      </c>
      <c r="F10818" t="s">
        <v>29372</v>
      </c>
      <c r="G10818" t="s">
        <v>29380</v>
      </c>
      <c r="H10818" t="s">
        <v>29389</v>
      </c>
      <c r="I10818" t="s">
        <v>10408</v>
      </c>
      <c r="J10818" t="s">
        <v>29587</v>
      </c>
      <c r="K10818" t="s">
        <v>38495</v>
      </c>
      <c r="M10818" t="s">
        <v>39219</v>
      </c>
      <c r="N10818" t="s">
        <v>42669</v>
      </c>
      <c r="O10818" t="s">
        <v>42670</v>
      </c>
      <c r="P10818">
        <v>0</v>
      </c>
      <c r="Q10818">
        <v>0</v>
      </c>
      <c r="R10818" t="s">
        <v>42684</v>
      </c>
      <c r="S10818" t="s">
        <v>43183</v>
      </c>
      <c r="T10818" t="s">
        <v>44457</v>
      </c>
      <c r="U10818" t="s">
        <v>53571</v>
      </c>
      <c r="W10818" t="s">
        <v>39219</v>
      </c>
      <c r="X10818" t="s">
        <v>42685</v>
      </c>
    </row>
    <row r="10819" spans="1:24">
      <c r="A10819">
        <f>HYPERLINK("https://www.philgeps.gov.ph/GEPSNONPILOT/Tender/SplashBidNoticeAbstractUI.aspx?menuIndex=3&amp;refID=7169506&amp;Result=3","7169506")</f>
        <v>0</v>
      </c>
      <c r="B10819" t="s">
        <v>1874</v>
      </c>
      <c r="C10819" t="s">
        <v>13862</v>
      </c>
      <c r="D10819" t="s">
        <v>17192</v>
      </c>
      <c r="E10819" t="s">
        <v>26465</v>
      </c>
      <c r="F10819" t="s">
        <v>29372</v>
      </c>
      <c r="G10819" t="s">
        <v>29380</v>
      </c>
      <c r="H10819" t="s">
        <v>11048</v>
      </c>
      <c r="I10819" t="s">
        <v>9469</v>
      </c>
      <c r="J10819" t="s">
        <v>29788</v>
      </c>
      <c r="K10819" t="s">
        <v>38487</v>
      </c>
      <c r="M10819" t="s">
        <v>40747</v>
      </c>
      <c r="N10819" t="s">
        <v>42669</v>
      </c>
      <c r="O10819" t="s">
        <v>42670</v>
      </c>
      <c r="P10819">
        <v>0</v>
      </c>
      <c r="Q10819">
        <v>9</v>
      </c>
      <c r="R10819" t="s">
        <v>42684</v>
      </c>
      <c r="S10819" t="s">
        <v>43183</v>
      </c>
      <c r="T10819" t="s">
        <v>44568</v>
      </c>
      <c r="U10819" t="s">
        <v>53635</v>
      </c>
      <c r="W10819" t="s">
        <v>58061</v>
      </c>
      <c r="X10819" t="s">
        <v>42685</v>
      </c>
    </row>
    <row r="10820" spans="1:24">
      <c r="A10820">
        <f>HYPERLINK("https://www.philgeps.gov.ph/GEPSNONPILOT/Tender/SplashBidNoticeAbstractUI.aspx?menuIndex=3&amp;refID=7169257&amp;Result=3","7169257")</f>
        <v>0</v>
      </c>
      <c r="B10820" t="s">
        <v>3047</v>
      </c>
      <c r="C10820" t="s">
        <v>13863</v>
      </c>
      <c r="D10820" t="s">
        <v>17192</v>
      </c>
      <c r="E10820" t="s">
        <v>26466</v>
      </c>
      <c r="F10820" t="s">
        <v>29372</v>
      </c>
      <c r="G10820" t="s">
        <v>29380</v>
      </c>
      <c r="H10820" t="s">
        <v>11048</v>
      </c>
      <c r="I10820" t="s">
        <v>29412</v>
      </c>
      <c r="J10820" t="s">
        <v>36378</v>
      </c>
      <c r="K10820" t="s">
        <v>38485</v>
      </c>
      <c r="M10820" t="s">
        <v>42071</v>
      </c>
      <c r="N10820" t="s">
        <v>42669</v>
      </c>
      <c r="O10820" t="s">
        <v>42670</v>
      </c>
      <c r="P10820">
        <v>0</v>
      </c>
      <c r="Q10820">
        <v>5</v>
      </c>
      <c r="R10820" t="s">
        <v>42684</v>
      </c>
      <c r="S10820" t="s">
        <v>43183</v>
      </c>
      <c r="T10820" t="s">
        <v>44364</v>
      </c>
      <c r="U10820" t="s">
        <v>53636</v>
      </c>
      <c r="W10820" t="s">
        <v>58108</v>
      </c>
      <c r="X10820" t="s">
        <v>42685</v>
      </c>
    </row>
    <row r="10821" spans="1:24">
      <c r="A10821">
        <f>HYPERLINK("https://www.philgeps.gov.ph/GEPSNONPILOT/Tender/SplashBidNoticeAbstractUI.aspx?menuIndex=3&amp;refID=7169971&amp;Result=3","7169971")</f>
        <v>0</v>
      </c>
      <c r="B10821" t="s">
        <v>2327</v>
      </c>
      <c r="C10821" t="s">
        <v>13864</v>
      </c>
      <c r="D10821" t="s">
        <v>17163</v>
      </c>
      <c r="E10821" t="s">
        <v>26467</v>
      </c>
      <c r="F10821" t="s">
        <v>29372</v>
      </c>
      <c r="G10821" t="s">
        <v>29380</v>
      </c>
      <c r="H10821" t="s">
        <v>29389</v>
      </c>
      <c r="I10821" t="s">
        <v>10408</v>
      </c>
      <c r="J10821" t="s">
        <v>36379</v>
      </c>
      <c r="K10821" t="s">
        <v>38495</v>
      </c>
      <c r="M10821" t="s">
        <v>41985</v>
      </c>
      <c r="N10821" t="s">
        <v>42669</v>
      </c>
      <c r="O10821" t="s">
        <v>42670</v>
      </c>
      <c r="P10821">
        <v>0</v>
      </c>
      <c r="Q10821">
        <v>13</v>
      </c>
      <c r="R10821" t="s">
        <v>42684</v>
      </c>
      <c r="S10821" t="s">
        <v>43183</v>
      </c>
      <c r="T10821" t="s">
        <v>44357</v>
      </c>
      <c r="U10821" t="s">
        <v>53637</v>
      </c>
      <c r="W10821" t="s">
        <v>41985</v>
      </c>
      <c r="X10821" t="s">
        <v>42685</v>
      </c>
    </row>
    <row r="10822" spans="1:24">
      <c r="A10822">
        <f>HYPERLINK("https://www.philgeps.gov.ph/GEPSNONPILOT/Tender/SplashBidNoticeAbstractUI.aspx?menuIndex=3&amp;refID=7169965&amp;Result=3","7169965")</f>
        <v>0</v>
      </c>
      <c r="B10822" t="s">
        <v>782</v>
      </c>
      <c r="C10822" t="s">
        <v>13865</v>
      </c>
      <c r="D10822" t="s">
        <v>17204</v>
      </c>
      <c r="E10822" t="s">
        <v>26468</v>
      </c>
      <c r="F10822" t="s">
        <v>29372</v>
      </c>
      <c r="G10822" t="s">
        <v>29380</v>
      </c>
      <c r="H10822" t="s">
        <v>11048</v>
      </c>
      <c r="I10822" t="s">
        <v>29404</v>
      </c>
      <c r="J10822" t="s">
        <v>35324</v>
      </c>
      <c r="K10822" t="s">
        <v>38485</v>
      </c>
      <c r="M10822" t="s">
        <v>40796</v>
      </c>
      <c r="N10822" t="s">
        <v>42669</v>
      </c>
      <c r="O10822" t="s">
        <v>42670</v>
      </c>
      <c r="P10822">
        <v>0</v>
      </c>
      <c r="Q10822">
        <v>1</v>
      </c>
      <c r="R10822" t="s">
        <v>42684</v>
      </c>
      <c r="S10822" t="s">
        <v>43183</v>
      </c>
      <c r="T10822" t="s">
        <v>44357</v>
      </c>
      <c r="U10822" t="s">
        <v>53638</v>
      </c>
      <c r="W10822" t="s">
        <v>39566</v>
      </c>
      <c r="X10822" t="s">
        <v>42685</v>
      </c>
    </row>
    <row r="10823" spans="1:24">
      <c r="A10823">
        <f>HYPERLINK("https://www.philgeps.gov.ph/GEPSNONPILOT/Tender/SplashBidNoticeAbstractUI.aspx?menuIndex=3&amp;refID=7169964&amp;Result=3","7169964")</f>
        <v>0</v>
      </c>
      <c r="B10823" t="s">
        <v>2973</v>
      </c>
      <c r="C10823" t="s">
        <v>13866</v>
      </c>
      <c r="D10823" t="s">
        <v>17177</v>
      </c>
      <c r="E10823" t="s">
        <v>26469</v>
      </c>
      <c r="F10823" t="s">
        <v>29372</v>
      </c>
      <c r="G10823" t="s">
        <v>29380</v>
      </c>
      <c r="H10823" t="s">
        <v>29389</v>
      </c>
      <c r="I10823" t="s">
        <v>10408</v>
      </c>
      <c r="J10823" t="s">
        <v>29708</v>
      </c>
      <c r="K10823" t="s">
        <v>38485</v>
      </c>
      <c r="M10823" t="s">
        <v>41987</v>
      </c>
      <c r="N10823" t="s">
        <v>42669</v>
      </c>
      <c r="O10823" t="s">
        <v>42670</v>
      </c>
      <c r="P10823">
        <v>0</v>
      </c>
      <c r="Q10823">
        <v>0</v>
      </c>
      <c r="R10823" t="s">
        <v>42684</v>
      </c>
      <c r="S10823" t="s">
        <v>43183</v>
      </c>
      <c r="T10823" t="s">
        <v>44357</v>
      </c>
      <c r="U10823" t="s">
        <v>53639</v>
      </c>
      <c r="W10823" t="s">
        <v>41987</v>
      </c>
      <c r="X10823" t="s">
        <v>42685</v>
      </c>
    </row>
    <row r="10824" spans="1:24">
      <c r="A10824">
        <f>HYPERLINK("https://www.philgeps.gov.ph/GEPSNONPILOT/Tender/SplashBidNoticeAbstractUI.aspx?menuIndex=3&amp;refID=7169810&amp;Result=3","7169810")</f>
        <v>0</v>
      </c>
      <c r="B10824" t="s">
        <v>3079</v>
      </c>
      <c r="C10824" t="s">
        <v>13867</v>
      </c>
      <c r="D10824" t="s">
        <v>17144</v>
      </c>
      <c r="E10824" t="s">
        <v>26470</v>
      </c>
      <c r="F10824" t="s">
        <v>29372</v>
      </c>
      <c r="G10824" t="s">
        <v>29380</v>
      </c>
      <c r="H10824" t="s">
        <v>11048</v>
      </c>
      <c r="I10824" t="s">
        <v>29414</v>
      </c>
      <c r="J10824" t="s">
        <v>36380</v>
      </c>
      <c r="K10824" t="s">
        <v>38496</v>
      </c>
      <c r="M10824" t="s">
        <v>42108</v>
      </c>
      <c r="N10824" t="s">
        <v>42669</v>
      </c>
      <c r="O10824" t="s">
        <v>42670</v>
      </c>
      <c r="Q10824">
        <v>52</v>
      </c>
      <c r="R10824" t="s">
        <v>42684</v>
      </c>
      <c r="S10824" t="s">
        <v>43258</v>
      </c>
      <c r="T10824" t="s">
        <v>44375</v>
      </c>
      <c r="U10824" t="s">
        <v>53640</v>
      </c>
      <c r="W10824" t="s">
        <v>42108</v>
      </c>
      <c r="X10824" t="s">
        <v>42685</v>
      </c>
    </row>
    <row r="10825" spans="1:24">
      <c r="A10825">
        <f>HYPERLINK("https://www.philgeps.gov.ph/GEPSNONPILOT/Tender/SplashBidNoticeAbstractUI.aspx?menuIndex=3&amp;refID=7169954&amp;Result=3","7169954")</f>
        <v>0</v>
      </c>
      <c r="B10825" t="s">
        <v>586</v>
      </c>
      <c r="C10825" t="s">
        <v>13868</v>
      </c>
      <c r="D10825" t="s">
        <v>17161</v>
      </c>
      <c r="E10825" t="s">
        <v>26471</v>
      </c>
      <c r="F10825" t="s">
        <v>29372</v>
      </c>
      <c r="G10825" t="s">
        <v>29380</v>
      </c>
      <c r="H10825" t="s">
        <v>11048</v>
      </c>
      <c r="I10825" t="s">
        <v>4709</v>
      </c>
      <c r="J10825" t="s">
        <v>36381</v>
      </c>
      <c r="K10825" t="s">
        <v>38490</v>
      </c>
      <c r="M10825" t="s">
        <v>39355</v>
      </c>
      <c r="N10825" t="s">
        <v>42669</v>
      </c>
      <c r="O10825" t="s">
        <v>42670</v>
      </c>
      <c r="P10825">
        <v>0</v>
      </c>
      <c r="Q10825">
        <v>0</v>
      </c>
      <c r="R10825" t="s">
        <v>42684</v>
      </c>
      <c r="S10825" t="s">
        <v>43183</v>
      </c>
      <c r="T10825" t="s">
        <v>44357</v>
      </c>
      <c r="U10825" t="s">
        <v>53641</v>
      </c>
      <c r="W10825" t="s">
        <v>39355</v>
      </c>
      <c r="X10825" t="s">
        <v>42685</v>
      </c>
    </row>
    <row r="10826" spans="1:24">
      <c r="A10826">
        <f>HYPERLINK("https://www.philgeps.gov.ph/GEPSNONPILOT/Tender/SplashBidNoticeAbstractUI.aspx?menuIndex=3&amp;refID=7169777&amp;Result=3","7169777")</f>
        <v>0</v>
      </c>
      <c r="B10826" t="s">
        <v>3080</v>
      </c>
      <c r="C10826" t="s">
        <v>13869</v>
      </c>
      <c r="D10826" t="s">
        <v>17170</v>
      </c>
      <c r="E10826" t="s">
        <v>26472</v>
      </c>
      <c r="F10826" t="s">
        <v>29372</v>
      </c>
      <c r="G10826" t="s">
        <v>29380</v>
      </c>
      <c r="H10826" t="s">
        <v>29389</v>
      </c>
      <c r="I10826" t="s">
        <v>29398</v>
      </c>
      <c r="J10826" t="s">
        <v>29788</v>
      </c>
      <c r="K10826" t="s">
        <v>38577</v>
      </c>
      <c r="M10826" t="s">
        <v>42109</v>
      </c>
      <c r="N10826" t="s">
        <v>42669</v>
      </c>
      <c r="O10826" t="s">
        <v>42670</v>
      </c>
      <c r="P10826">
        <v>0</v>
      </c>
      <c r="Q10826">
        <v>1</v>
      </c>
      <c r="R10826" t="s">
        <v>42684</v>
      </c>
      <c r="S10826" t="s">
        <v>43183</v>
      </c>
      <c r="T10826" t="s">
        <v>44801</v>
      </c>
      <c r="U10826" t="s">
        <v>53642</v>
      </c>
      <c r="V10826" t="s">
        <v>57583</v>
      </c>
      <c r="W10826" t="s">
        <v>42109</v>
      </c>
      <c r="X10826" t="s">
        <v>42685</v>
      </c>
    </row>
    <row r="10827" spans="1:24">
      <c r="A10827">
        <f>HYPERLINK("https://www.philgeps.gov.ph/GEPSNONPILOT/Tender/SplashBidNoticeAbstractUI.aspx?menuIndex=3&amp;refID=7169948&amp;Result=3","7169948")</f>
        <v>0</v>
      </c>
      <c r="B10827" t="s">
        <v>2935</v>
      </c>
      <c r="C10827" t="s">
        <v>13870</v>
      </c>
      <c r="D10827" t="s">
        <v>17170</v>
      </c>
      <c r="E10827" t="s">
        <v>26473</v>
      </c>
      <c r="F10827" t="s">
        <v>29372</v>
      </c>
      <c r="G10827" t="s">
        <v>29380</v>
      </c>
      <c r="H10827" t="s">
        <v>11048</v>
      </c>
      <c r="I10827" t="s">
        <v>4709</v>
      </c>
      <c r="J10827" t="s">
        <v>36382</v>
      </c>
      <c r="K10827" t="s">
        <v>38490</v>
      </c>
      <c r="M10827" t="s">
        <v>41937</v>
      </c>
      <c r="N10827" t="s">
        <v>42669</v>
      </c>
      <c r="O10827" t="s">
        <v>42670</v>
      </c>
      <c r="P10827">
        <v>0</v>
      </c>
      <c r="Q10827">
        <v>0</v>
      </c>
      <c r="R10827" t="s">
        <v>42684</v>
      </c>
      <c r="S10827" t="s">
        <v>43183</v>
      </c>
      <c r="T10827" t="s">
        <v>44444</v>
      </c>
      <c r="U10827" t="s">
        <v>53643</v>
      </c>
      <c r="W10827" t="s">
        <v>41937</v>
      </c>
      <c r="X10827" t="s">
        <v>42685</v>
      </c>
    </row>
    <row r="10828" spans="1:24">
      <c r="A10828">
        <f>HYPERLINK("https://www.philgeps.gov.ph/GEPSNONPILOT/Tender/SplashBidNoticeAbstractUI.aspx?menuIndex=3&amp;refID=7169955&amp;Result=3","7169955")</f>
        <v>0</v>
      </c>
      <c r="B10828" t="s">
        <v>503</v>
      </c>
      <c r="C10828" t="s">
        <v>13871</v>
      </c>
      <c r="D10828" t="s">
        <v>17156</v>
      </c>
      <c r="E10828" t="s">
        <v>26474</v>
      </c>
      <c r="F10828" t="s">
        <v>29372</v>
      </c>
      <c r="G10828" t="s">
        <v>29380</v>
      </c>
      <c r="H10828" t="s">
        <v>11048</v>
      </c>
      <c r="I10828" t="s">
        <v>29404</v>
      </c>
      <c r="J10828" t="s">
        <v>36383</v>
      </c>
      <c r="K10828" t="s">
        <v>38487</v>
      </c>
      <c r="M10828" t="s">
        <v>39268</v>
      </c>
      <c r="N10828" t="s">
        <v>42669</v>
      </c>
      <c r="O10828" t="s">
        <v>42670</v>
      </c>
      <c r="Q10828">
        <v>2</v>
      </c>
      <c r="R10828" t="s">
        <v>42684</v>
      </c>
      <c r="S10828" t="s">
        <v>43259</v>
      </c>
      <c r="T10828" t="s">
        <v>44375</v>
      </c>
      <c r="U10828" t="s">
        <v>53644</v>
      </c>
      <c r="W10828" t="s">
        <v>39268</v>
      </c>
      <c r="X10828" t="s">
        <v>42685</v>
      </c>
    </row>
    <row r="10829" spans="1:24">
      <c r="A10829">
        <f>HYPERLINK("https://www.philgeps.gov.ph/GEPSNONPILOT/Tender/SplashBidNoticeAbstractUI.aspx?menuIndex=3&amp;refID=7169940&amp;Result=3","7169940")</f>
        <v>0</v>
      </c>
      <c r="B10829" t="s">
        <v>586</v>
      </c>
      <c r="C10829" t="s">
        <v>13872</v>
      </c>
      <c r="D10829" t="s">
        <v>17161</v>
      </c>
      <c r="E10829" t="s">
        <v>26475</v>
      </c>
      <c r="F10829" t="s">
        <v>29372</v>
      </c>
      <c r="G10829" t="s">
        <v>29380</v>
      </c>
      <c r="H10829" t="s">
        <v>11048</v>
      </c>
      <c r="I10829" t="s">
        <v>4709</v>
      </c>
      <c r="J10829" t="s">
        <v>36384</v>
      </c>
      <c r="K10829" t="s">
        <v>38490</v>
      </c>
      <c r="M10829" t="s">
        <v>39355</v>
      </c>
      <c r="N10829" t="s">
        <v>42669</v>
      </c>
      <c r="O10829" t="s">
        <v>42670</v>
      </c>
      <c r="P10829">
        <v>0</v>
      </c>
      <c r="Q10829">
        <v>0</v>
      </c>
      <c r="R10829" t="s">
        <v>42684</v>
      </c>
      <c r="S10829" t="s">
        <v>43183</v>
      </c>
      <c r="T10829" t="s">
        <v>44357</v>
      </c>
      <c r="U10829" t="s">
        <v>53645</v>
      </c>
      <c r="W10829" t="s">
        <v>39355</v>
      </c>
      <c r="X10829" t="s">
        <v>42685</v>
      </c>
    </row>
    <row r="10830" spans="1:24">
      <c r="A10830">
        <f>HYPERLINK("https://www.philgeps.gov.ph/GEPSNONPILOT/Tender/SplashBidNoticeAbstractUI.aspx?menuIndex=3&amp;refID=7169966&amp;Result=3","7169966")</f>
        <v>0</v>
      </c>
      <c r="B10830" t="s">
        <v>1930</v>
      </c>
      <c r="C10830" t="s">
        <v>13873</v>
      </c>
      <c r="D10830" t="s">
        <v>17185</v>
      </c>
      <c r="E10830" t="s">
        <v>26476</v>
      </c>
      <c r="F10830" t="s">
        <v>29372</v>
      </c>
      <c r="G10830" t="s">
        <v>29380</v>
      </c>
      <c r="H10830" t="s">
        <v>11048</v>
      </c>
      <c r="I10830" t="s">
        <v>3629</v>
      </c>
      <c r="J10830" t="s">
        <v>36385</v>
      </c>
      <c r="K10830" t="s">
        <v>38490</v>
      </c>
      <c r="M10830" t="s">
        <v>40874</v>
      </c>
      <c r="N10830" t="s">
        <v>42669</v>
      </c>
      <c r="O10830" t="s">
        <v>42670</v>
      </c>
      <c r="P10830">
        <v>0</v>
      </c>
      <c r="Q10830">
        <v>0</v>
      </c>
      <c r="R10830" t="s">
        <v>42684</v>
      </c>
      <c r="S10830" t="s">
        <v>43183</v>
      </c>
      <c r="T10830" t="s">
        <v>44666</v>
      </c>
      <c r="U10830" t="s">
        <v>53646</v>
      </c>
      <c r="W10830" t="s">
        <v>40874</v>
      </c>
      <c r="X10830" t="s">
        <v>42685</v>
      </c>
    </row>
    <row r="10831" spans="1:24">
      <c r="A10831">
        <f>HYPERLINK("https://www.philgeps.gov.ph/GEPSNONPILOT/Tender/SplashBidNoticeAbstractUI.aspx?menuIndex=3&amp;refID=7169930&amp;Result=3","7169930")</f>
        <v>0</v>
      </c>
      <c r="B10831" t="s">
        <v>2817</v>
      </c>
      <c r="C10831" t="s">
        <v>13874</v>
      </c>
      <c r="D10831" t="s">
        <v>17194</v>
      </c>
      <c r="E10831" t="s">
        <v>24937</v>
      </c>
      <c r="F10831" t="s">
        <v>29372</v>
      </c>
      <c r="G10831" t="s">
        <v>29380</v>
      </c>
      <c r="H10831" t="s">
        <v>11048</v>
      </c>
      <c r="I10831" t="s">
        <v>4486</v>
      </c>
      <c r="J10831" t="s">
        <v>36386</v>
      </c>
      <c r="K10831" t="s">
        <v>38485</v>
      </c>
      <c r="M10831" t="s">
        <v>41806</v>
      </c>
      <c r="N10831" t="s">
        <v>42669</v>
      </c>
      <c r="O10831" t="s">
        <v>42670</v>
      </c>
      <c r="P10831">
        <v>0</v>
      </c>
      <c r="Q10831">
        <v>2</v>
      </c>
      <c r="R10831" t="s">
        <v>42684</v>
      </c>
      <c r="S10831" t="s">
        <v>43183</v>
      </c>
      <c r="T10831" t="s">
        <v>44371</v>
      </c>
      <c r="U10831" t="s">
        <v>53647</v>
      </c>
      <c r="W10831" t="s">
        <v>41806</v>
      </c>
      <c r="X10831" t="s">
        <v>42685</v>
      </c>
    </row>
    <row r="10832" spans="1:24">
      <c r="A10832">
        <f>HYPERLINK("https://www.philgeps.gov.ph/GEPSNONPILOT/Tender/SplashBidNoticeAbstractUI.aspx?menuIndex=3&amp;refID=7169928&amp;Result=3","7169928")</f>
        <v>0</v>
      </c>
      <c r="B10832" t="s">
        <v>503</v>
      </c>
      <c r="C10832" t="s">
        <v>13875</v>
      </c>
      <c r="D10832" t="s">
        <v>17156</v>
      </c>
      <c r="E10832" t="s">
        <v>26477</v>
      </c>
      <c r="F10832" t="s">
        <v>29372</v>
      </c>
      <c r="G10832" t="s">
        <v>29380</v>
      </c>
      <c r="H10832" t="s">
        <v>11048</v>
      </c>
      <c r="I10832" t="s">
        <v>29404</v>
      </c>
      <c r="J10832" t="s">
        <v>29774</v>
      </c>
      <c r="K10832" t="s">
        <v>38487</v>
      </c>
      <c r="M10832" t="s">
        <v>39268</v>
      </c>
      <c r="N10832" t="s">
        <v>42669</v>
      </c>
      <c r="O10832" t="s">
        <v>42670</v>
      </c>
      <c r="Q10832">
        <v>1</v>
      </c>
      <c r="R10832" t="s">
        <v>42684</v>
      </c>
      <c r="S10832" t="s">
        <v>43260</v>
      </c>
      <c r="T10832" t="s">
        <v>44375</v>
      </c>
      <c r="U10832" t="s">
        <v>53648</v>
      </c>
      <c r="W10832" t="s">
        <v>39268</v>
      </c>
      <c r="X10832" t="s">
        <v>42685</v>
      </c>
    </row>
    <row r="10833" spans="1:24">
      <c r="A10833">
        <f>HYPERLINK("https://www.philgeps.gov.ph/GEPSNONPILOT/Tender/SplashBidNoticeAbstractUI.aspx?menuIndex=3&amp;refID=7169941&amp;Result=3","7169941")</f>
        <v>0</v>
      </c>
      <c r="B10833" t="s">
        <v>2218</v>
      </c>
      <c r="C10833" t="s">
        <v>13876</v>
      </c>
      <c r="D10833" t="s">
        <v>17188</v>
      </c>
      <c r="E10833" t="s">
        <v>26478</v>
      </c>
      <c r="F10833" t="s">
        <v>29372</v>
      </c>
      <c r="G10833" t="s">
        <v>29380</v>
      </c>
      <c r="H10833" t="s">
        <v>11048</v>
      </c>
      <c r="I10833" t="s">
        <v>4709</v>
      </c>
      <c r="J10833" t="s">
        <v>36387</v>
      </c>
      <c r="K10833" t="s">
        <v>38485</v>
      </c>
      <c r="M10833" t="s">
        <v>41136</v>
      </c>
      <c r="N10833" t="s">
        <v>42669</v>
      </c>
      <c r="O10833" t="s">
        <v>42670</v>
      </c>
      <c r="Q10833">
        <v>3</v>
      </c>
      <c r="R10833" t="s">
        <v>42684</v>
      </c>
      <c r="S10833" t="s">
        <v>43261</v>
      </c>
      <c r="T10833" t="s">
        <v>44409</v>
      </c>
      <c r="U10833" t="s">
        <v>53615</v>
      </c>
      <c r="W10833" t="s">
        <v>58073</v>
      </c>
      <c r="X10833" t="s">
        <v>42685</v>
      </c>
    </row>
    <row r="10834" spans="1:24">
      <c r="A10834">
        <f>HYPERLINK("https://www.philgeps.gov.ph/GEPSNONPILOT/Tender/SplashBidNoticeAbstractUI.aspx?menuIndex=3&amp;refID=7169921&amp;Result=3","7169921")</f>
        <v>0</v>
      </c>
      <c r="B10834" t="s">
        <v>2935</v>
      </c>
      <c r="C10834" t="s">
        <v>13877</v>
      </c>
      <c r="D10834" t="s">
        <v>17170</v>
      </c>
      <c r="E10834" t="s">
        <v>26479</v>
      </c>
      <c r="F10834" t="s">
        <v>29372</v>
      </c>
      <c r="G10834" t="s">
        <v>29380</v>
      </c>
      <c r="H10834" t="s">
        <v>29389</v>
      </c>
      <c r="I10834" t="s">
        <v>10408</v>
      </c>
      <c r="J10834" t="s">
        <v>36388</v>
      </c>
      <c r="K10834" t="s">
        <v>38490</v>
      </c>
      <c r="M10834" t="s">
        <v>41937</v>
      </c>
      <c r="N10834" t="s">
        <v>42669</v>
      </c>
      <c r="O10834" t="s">
        <v>42670</v>
      </c>
      <c r="P10834">
        <v>0</v>
      </c>
      <c r="Q10834">
        <v>0</v>
      </c>
      <c r="R10834" t="s">
        <v>42684</v>
      </c>
      <c r="S10834" t="s">
        <v>43183</v>
      </c>
      <c r="T10834" t="s">
        <v>44444</v>
      </c>
      <c r="U10834" t="s">
        <v>53649</v>
      </c>
      <c r="W10834" t="s">
        <v>41937</v>
      </c>
      <c r="X10834" t="s">
        <v>42685</v>
      </c>
    </row>
    <row r="10835" spans="1:24">
      <c r="A10835">
        <f>HYPERLINK("https://www.philgeps.gov.ph/GEPSNONPILOT/Tender/SplashBidNoticeAbstractUI.aspx?menuIndex=3&amp;refID=7169932&amp;Result=3","7169932")</f>
        <v>0</v>
      </c>
      <c r="B10835" t="s">
        <v>2811</v>
      </c>
      <c r="C10835" t="s">
        <v>13878</v>
      </c>
      <c r="D10835" t="s">
        <v>17177</v>
      </c>
      <c r="E10835" t="s">
        <v>26480</v>
      </c>
      <c r="F10835" t="s">
        <v>29372</v>
      </c>
      <c r="G10835" t="s">
        <v>29380</v>
      </c>
      <c r="H10835" t="s">
        <v>11048</v>
      </c>
      <c r="I10835" t="s">
        <v>4709</v>
      </c>
      <c r="J10835" t="s">
        <v>36389</v>
      </c>
      <c r="K10835" t="s">
        <v>38510</v>
      </c>
      <c r="M10835" t="s">
        <v>41800</v>
      </c>
      <c r="N10835" t="s">
        <v>42669</v>
      </c>
      <c r="O10835" t="s">
        <v>42670</v>
      </c>
      <c r="P10835">
        <v>0</v>
      </c>
      <c r="Q10835">
        <v>0</v>
      </c>
      <c r="R10835" t="s">
        <v>42684</v>
      </c>
      <c r="S10835" t="s">
        <v>43183</v>
      </c>
      <c r="T10835" t="s">
        <v>44559</v>
      </c>
      <c r="U10835" t="s">
        <v>52507</v>
      </c>
      <c r="W10835" t="s">
        <v>41800</v>
      </c>
      <c r="X10835" t="s">
        <v>42685</v>
      </c>
    </row>
    <row r="10836" spans="1:24">
      <c r="A10836">
        <f>HYPERLINK("https://www.philgeps.gov.ph/GEPSNONPILOT/Tender/SplashBidNoticeAbstractUI.aspx?menuIndex=3&amp;refID=7169915&amp;Result=3","7169915")</f>
        <v>0</v>
      </c>
      <c r="B10836" t="s">
        <v>2451</v>
      </c>
      <c r="C10836" t="s">
        <v>13879</v>
      </c>
      <c r="D10836" t="s">
        <v>17228</v>
      </c>
      <c r="E10836" t="s">
        <v>26481</v>
      </c>
      <c r="F10836" t="s">
        <v>29372</v>
      </c>
      <c r="G10836" t="s">
        <v>29380</v>
      </c>
      <c r="H10836" t="s">
        <v>29389</v>
      </c>
      <c r="I10836" t="s">
        <v>10408</v>
      </c>
      <c r="J10836" t="s">
        <v>31958</v>
      </c>
      <c r="K10836" t="s">
        <v>38490</v>
      </c>
      <c r="M10836" t="s">
        <v>41399</v>
      </c>
      <c r="N10836" t="s">
        <v>42669</v>
      </c>
      <c r="O10836" t="s">
        <v>42670</v>
      </c>
      <c r="P10836">
        <v>0</v>
      </c>
      <c r="Q10836">
        <v>1</v>
      </c>
      <c r="R10836" t="s">
        <v>42684</v>
      </c>
      <c r="S10836" t="s">
        <v>43183</v>
      </c>
      <c r="T10836" t="s">
        <v>44375</v>
      </c>
      <c r="U10836" t="s">
        <v>53377</v>
      </c>
      <c r="W10836" t="s">
        <v>41399</v>
      </c>
      <c r="X10836" t="s">
        <v>42685</v>
      </c>
    </row>
    <row r="10837" spans="1:24">
      <c r="A10837">
        <f>HYPERLINK("https://www.philgeps.gov.ph/GEPSNONPILOT/Tender/SplashBidNoticeAbstractUI.aspx?menuIndex=3&amp;refID=7169907&amp;Result=3","7169907")</f>
        <v>0</v>
      </c>
      <c r="B10837" t="s">
        <v>3075</v>
      </c>
      <c r="C10837" t="s">
        <v>13880</v>
      </c>
      <c r="D10837" t="s">
        <v>17176</v>
      </c>
      <c r="E10837" t="s">
        <v>26482</v>
      </c>
      <c r="F10837" t="s">
        <v>29372</v>
      </c>
      <c r="G10837" t="s">
        <v>29380</v>
      </c>
      <c r="H10837" t="s">
        <v>29389</v>
      </c>
      <c r="I10837" t="s">
        <v>10408</v>
      </c>
      <c r="J10837" t="s">
        <v>36390</v>
      </c>
      <c r="K10837" t="s">
        <v>38724</v>
      </c>
      <c r="M10837" t="s">
        <v>42104</v>
      </c>
      <c r="N10837" t="s">
        <v>42669</v>
      </c>
      <c r="O10837" t="s">
        <v>42670</v>
      </c>
      <c r="Q10837">
        <v>3</v>
      </c>
      <c r="R10837" t="s">
        <v>42684</v>
      </c>
      <c r="S10837" t="s">
        <v>43262</v>
      </c>
      <c r="T10837" t="s">
        <v>44453</v>
      </c>
      <c r="U10837" t="s">
        <v>53650</v>
      </c>
      <c r="W10837" t="s">
        <v>42104</v>
      </c>
      <c r="X10837" t="s">
        <v>42685</v>
      </c>
    </row>
    <row r="10838" spans="1:24">
      <c r="A10838">
        <f>HYPERLINK("https://www.philgeps.gov.ph/GEPSNONPILOT/Tender/SplashBidNoticeAbstractUI.aspx?menuIndex=3&amp;refID=7169913&amp;Result=3","7169913")</f>
        <v>0</v>
      </c>
      <c r="B10838" t="s">
        <v>586</v>
      </c>
      <c r="C10838" t="s">
        <v>13881</v>
      </c>
      <c r="D10838" t="s">
        <v>17161</v>
      </c>
      <c r="E10838" t="s">
        <v>26483</v>
      </c>
      <c r="F10838" t="s">
        <v>29372</v>
      </c>
      <c r="G10838" t="s">
        <v>29380</v>
      </c>
      <c r="H10838" t="s">
        <v>11048</v>
      </c>
      <c r="I10838" t="s">
        <v>4709</v>
      </c>
      <c r="J10838" t="s">
        <v>36391</v>
      </c>
      <c r="K10838" t="s">
        <v>38490</v>
      </c>
      <c r="M10838" t="s">
        <v>39355</v>
      </c>
      <c r="N10838" t="s">
        <v>42669</v>
      </c>
      <c r="O10838" t="s">
        <v>42670</v>
      </c>
      <c r="P10838">
        <v>0</v>
      </c>
      <c r="Q10838">
        <v>0</v>
      </c>
      <c r="R10838" t="s">
        <v>42684</v>
      </c>
      <c r="S10838" t="s">
        <v>43183</v>
      </c>
      <c r="T10838" t="s">
        <v>44357</v>
      </c>
      <c r="U10838" t="s">
        <v>53651</v>
      </c>
      <c r="W10838" t="s">
        <v>39355</v>
      </c>
      <c r="X10838" t="s">
        <v>42685</v>
      </c>
    </row>
    <row r="10839" spans="1:24">
      <c r="A10839">
        <f>HYPERLINK("https://www.philgeps.gov.ph/GEPSNONPILOT/Tender/SplashBidNoticeAbstractUI.aspx?menuIndex=3&amp;refID=7169911&amp;Result=3","7169911")</f>
        <v>0</v>
      </c>
      <c r="B10839" t="s">
        <v>368</v>
      </c>
      <c r="C10839" t="s">
        <v>13882</v>
      </c>
      <c r="D10839" t="s">
        <v>17147</v>
      </c>
      <c r="E10839" t="s">
        <v>26484</v>
      </c>
      <c r="F10839" t="s">
        <v>29372</v>
      </c>
      <c r="G10839" t="s">
        <v>29381</v>
      </c>
      <c r="H10839" t="s">
        <v>11048</v>
      </c>
      <c r="I10839" t="s">
        <v>9469</v>
      </c>
      <c r="J10839" t="s">
        <v>29774</v>
      </c>
      <c r="K10839" t="s">
        <v>38485</v>
      </c>
      <c r="M10839" t="s">
        <v>39128</v>
      </c>
      <c r="N10839" t="s">
        <v>42669</v>
      </c>
      <c r="O10839" t="s">
        <v>42670</v>
      </c>
      <c r="P10839">
        <v>0</v>
      </c>
      <c r="Q10839">
        <v>3</v>
      </c>
      <c r="R10839" t="s">
        <v>42684</v>
      </c>
      <c r="S10839" t="s">
        <v>43183</v>
      </c>
      <c r="T10839" t="s">
        <v>44481</v>
      </c>
      <c r="U10839" t="s">
        <v>53652</v>
      </c>
      <c r="V10839" t="s">
        <v>57584</v>
      </c>
      <c r="W10839" t="s">
        <v>39128</v>
      </c>
      <c r="X10839" t="s">
        <v>42685</v>
      </c>
    </row>
    <row r="10840" spans="1:24">
      <c r="A10840">
        <f>HYPERLINK("https://www.philgeps.gov.ph/GEPSNONPILOT/Tender/SplashBidNoticeAbstractUI.aspx?menuIndex=3&amp;refID=7169249&amp;Result=3","7169249")</f>
        <v>0</v>
      </c>
      <c r="B10840" t="s">
        <v>3081</v>
      </c>
      <c r="C10840" t="s">
        <v>13883</v>
      </c>
      <c r="D10840" t="s">
        <v>17143</v>
      </c>
      <c r="E10840" t="s">
        <v>26485</v>
      </c>
      <c r="F10840" t="s">
        <v>29372</v>
      </c>
      <c r="G10840" t="s">
        <v>29380</v>
      </c>
      <c r="H10840" t="s">
        <v>29389</v>
      </c>
      <c r="I10840" t="s">
        <v>10408</v>
      </c>
      <c r="J10840" t="s">
        <v>29590</v>
      </c>
      <c r="K10840" t="s">
        <v>38496</v>
      </c>
      <c r="M10840" t="s">
        <v>42110</v>
      </c>
      <c r="N10840" t="s">
        <v>42669</v>
      </c>
      <c r="O10840" t="s">
        <v>42670</v>
      </c>
      <c r="P10840">
        <v>0</v>
      </c>
      <c r="Q10840">
        <v>1</v>
      </c>
      <c r="R10840" t="s">
        <v>42684</v>
      </c>
      <c r="S10840" t="s">
        <v>43183</v>
      </c>
      <c r="T10840" t="s">
        <v>44488</v>
      </c>
      <c r="U10840" t="s">
        <v>53653</v>
      </c>
      <c r="W10840" t="s">
        <v>42110</v>
      </c>
      <c r="X10840" t="s">
        <v>42685</v>
      </c>
    </row>
    <row r="10841" spans="1:24">
      <c r="A10841">
        <f>HYPERLINK("https://www.philgeps.gov.ph/GEPSNONPILOT/Tender/SplashBidNoticeAbstractUI.aspx?menuIndex=3&amp;refID=7169917&amp;Result=3","7169917")</f>
        <v>0</v>
      </c>
      <c r="B10841" t="s">
        <v>181</v>
      </c>
      <c r="C10841" t="s">
        <v>13884</v>
      </c>
      <c r="D10841" t="s">
        <v>17187</v>
      </c>
      <c r="E10841" t="s">
        <v>26486</v>
      </c>
      <c r="F10841" t="s">
        <v>29372</v>
      </c>
      <c r="G10841" t="s">
        <v>29379</v>
      </c>
      <c r="H10841" t="s">
        <v>29391</v>
      </c>
      <c r="I10841" t="s">
        <v>29391</v>
      </c>
      <c r="J10841" t="s">
        <v>29625</v>
      </c>
      <c r="K10841" t="s">
        <v>38488</v>
      </c>
      <c r="M10841" t="s">
        <v>38972</v>
      </c>
      <c r="N10841" t="s">
        <v>42669</v>
      </c>
      <c r="O10841" t="s">
        <v>42670</v>
      </c>
      <c r="Q10841">
        <v>2</v>
      </c>
      <c r="R10841" t="s">
        <v>42684</v>
      </c>
      <c r="S10841" t="s">
        <v>43143</v>
      </c>
      <c r="T10841" t="s">
        <v>44371</v>
      </c>
      <c r="U10841" t="s">
        <v>53654</v>
      </c>
      <c r="W10841" t="s">
        <v>38938</v>
      </c>
      <c r="X10841" t="s">
        <v>42685</v>
      </c>
    </row>
    <row r="10842" spans="1:24">
      <c r="A10842">
        <f>HYPERLINK("https://www.philgeps.gov.ph/GEPSNONPILOT/Tender/SplashBidNoticeAbstractUI.aspx?menuIndex=3&amp;refID=7169953&amp;Result=3","7169953")</f>
        <v>0</v>
      </c>
      <c r="B10842" t="s">
        <v>3082</v>
      </c>
      <c r="C10842" t="s">
        <v>13885</v>
      </c>
      <c r="D10842" t="s">
        <v>17187</v>
      </c>
      <c r="E10842" t="s">
        <v>26487</v>
      </c>
      <c r="F10842" t="s">
        <v>29372</v>
      </c>
      <c r="G10842" t="s">
        <v>29380</v>
      </c>
      <c r="H10842" t="s">
        <v>11048</v>
      </c>
      <c r="I10842" t="s">
        <v>29446</v>
      </c>
      <c r="J10842" t="s">
        <v>36392</v>
      </c>
      <c r="K10842" t="s">
        <v>38490</v>
      </c>
      <c r="M10842" t="s">
        <v>42111</v>
      </c>
      <c r="N10842" t="s">
        <v>42669</v>
      </c>
      <c r="O10842" t="s">
        <v>42670</v>
      </c>
      <c r="Q10842">
        <v>4</v>
      </c>
      <c r="R10842" t="s">
        <v>42684</v>
      </c>
      <c r="S10842" t="s">
        <v>42888</v>
      </c>
      <c r="T10842" t="s">
        <v>44640</v>
      </c>
      <c r="U10842" t="s">
        <v>53655</v>
      </c>
      <c r="W10842" t="s">
        <v>42111</v>
      </c>
      <c r="X10842" t="s">
        <v>42685</v>
      </c>
    </row>
    <row r="10843" spans="1:24">
      <c r="A10843">
        <f>HYPERLINK("https://www.philgeps.gov.ph/GEPSNONPILOT/Tender/SplashBidNoticeAbstractUI.aspx?menuIndex=3&amp;refID=7169242&amp;Result=3","7169242")</f>
        <v>0</v>
      </c>
      <c r="B10843" t="s">
        <v>2217</v>
      </c>
      <c r="C10843" t="s">
        <v>9826</v>
      </c>
      <c r="D10843" t="s">
        <v>17179</v>
      </c>
      <c r="E10843" t="s">
        <v>26488</v>
      </c>
      <c r="F10843" t="s">
        <v>29372</v>
      </c>
      <c r="G10843" t="s">
        <v>29379</v>
      </c>
      <c r="H10843" t="s">
        <v>29390</v>
      </c>
      <c r="I10843" t="s">
        <v>29437</v>
      </c>
      <c r="J10843" t="s">
        <v>29929</v>
      </c>
      <c r="K10843" t="s">
        <v>38590</v>
      </c>
      <c r="M10843" t="s">
        <v>41134</v>
      </c>
      <c r="N10843" t="s">
        <v>42669</v>
      </c>
      <c r="O10843" t="s">
        <v>42670</v>
      </c>
      <c r="Q10843">
        <v>1</v>
      </c>
      <c r="R10843" t="s">
        <v>42684</v>
      </c>
      <c r="S10843" t="s">
        <v>43263</v>
      </c>
      <c r="T10843" t="s">
        <v>44397</v>
      </c>
      <c r="U10843" t="s">
        <v>53656</v>
      </c>
      <c r="W10843" t="s">
        <v>41134</v>
      </c>
      <c r="X10843" t="s">
        <v>42685</v>
      </c>
    </row>
    <row r="10844" spans="1:24">
      <c r="A10844">
        <f>HYPERLINK("https://www.philgeps.gov.ph/GEPSNONPILOT/Tender/SplashBidNoticeAbstractUI.aspx?menuIndex=3&amp;refID=7169231&amp;Result=3","7169231")</f>
        <v>0</v>
      </c>
      <c r="B10844" t="s">
        <v>3083</v>
      </c>
      <c r="C10844" t="s">
        <v>13886</v>
      </c>
      <c r="D10844" t="s">
        <v>17142</v>
      </c>
      <c r="E10844" t="s">
        <v>26489</v>
      </c>
      <c r="F10844" t="s">
        <v>29372</v>
      </c>
      <c r="G10844" t="s">
        <v>29380</v>
      </c>
      <c r="H10844" t="s">
        <v>11048</v>
      </c>
      <c r="I10844" t="s">
        <v>29396</v>
      </c>
      <c r="J10844" t="s">
        <v>29543</v>
      </c>
      <c r="K10844" t="s">
        <v>38485</v>
      </c>
      <c r="M10844" t="s">
        <v>42112</v>
      </c>
      <c r="N10844" t="s">
        <v>42669</v>
      </c>
      <c r="O10844" t="s">
        <v>42670</v>
      </c>
      <c r="P10844">
        <v>0</v>
      </c>
      <c r="Q10844">
        <v>1</v>
      </c>
      <c r="R10844" t="s">
        <v>42684</v>
      </c>
      <c r="S10844" t="s">
        <v>43183</v>
      </c>
      <c r="T10844" t="s">
        <v>44357</v>
      </c>
      <c r="U10844" t="s">
        <v>53657</v>
      </c>
      <c r="W10844" t="s">
        <v>42112</v>
      </c>
      <c r="X10844" t="s">
        <v>42685</v>
      </c>
    </row>
    <row r="10845" spans="1:24">
      <c r="A10845">
        <f>HYPERLINK("https://www.philgeps.gov.ph/GEPSNONPILOT/Tender/SplashBidNoticeAbstractUI.aspx?menuIndex=3&amp;refID=7169113&amp;Result=3","7169113")</f>
        <v>0</v>
      </c>
      <c r="B10845" t="s">
        <v>3084</v>
      </c>
      <c r="C10845" t="s">
        <v>13887</v>
      </c>
      <c r="D10845" t="s">
        <v>17199</v>
      </c>
      <c r="E10845" t="s">
        <v>26490</v>
      </c>
      <c r="F10845" t="s">
        <v>29372</v>
      </c>
      <c r="G10845" t="s">
        <v>29380</v>
      </c>
      <c r="H10845" t="s">
        <v>29389</v>
      </c>
      <c r="I10845" t="s">
        <v>10408</v>
      </c>
      <c r="J10845" t="s">
        <v>36393</v>
      </c>
      <c r="K10845" t="s">
        <v>38496</v>
      </c>
      <c r="M10845" t="s">
        <v>42113</v>
      </c>
      <c r="N10845" t="s">
        <v>42669</v>
      </c>
      <c r="O10845" t="s">
        <v>42670</v>
      </c>
      <c r="P10845">
        <v>0</v>
      </c>
      <c r="Q10845">
        <v>1</v>
      </c>
      <c r="R10845" t="s">
        <v>42684</v>
      </c>
      <c r="S10845" t="s">
        <v>43183</v>
      </c>
      <c r="T10845" t="s">
        <v>44491</v>
      </c>
      <c r="U10845" t="s">
        <v>53658</v>
      </c>
      <c r="W10845" t="s">
        <v>42113</v>
      </c>
      <c r="X10845" t="s">
        <v>42685</v>
      </c>
    </row>
    <row r="10846" spans="1:24">
      <c r="A10846">
        <f>HYPERLINK("https://www.philgeps.gov.ph/GEPSNONPILOT/Tender/SplashBidNoticeAbstractUI.aspx?menuIndex=3&amp;refID=7169509&amp;Result=3","7169509")</f>
        <v>0</v>
      </c>
      <c r="B10846" t="s">
        <v>2965</v>
      </c>
      <c r="C10846" t="s">
        <v>13888</v>
      </c>
      <c r="D10846" t="s">
        <v>17205</v>
      </c>
      <c r="E10846" t="s">
        <v>26491</v>
      </c>
      <c r="F10846" t="s">
        <v>29372</v>
      </c>
      <c r="G10846" t="s">
        <v>29380</v>
      </c>
      <c r="H10846" t="s">
        <v>29389</v>
      </c>
      <c r="I10846" t="s">
        <v>10408</v>
      </c>
      <c r="J10846" t="s">
        <v>36394</v>
      </c>
      <c r="K10846" t="s">
        <v>38495</v>
      </c>
      <c r="M10846" t="s">
        <v>41976</v>
      </c>
      <c r="N10846" t="s">
        <v>42669</v>
      </c>
      <c r="O10846" t="s">
        <v>42670</v>
      </c>
      <c r="P10846">
        <v>0</v>
      </c>
      <c r="Q10846">
        <v>26</v>
      </c>
      <c r="R10846" t="s">
        <v>42684</v>
      </c>
      <c r="S10846" t="s">
        <v>43183</v>
      </c>
      <c r="T10846" t="s">
        <v>44364</v>
      </c>
      <c r="U10846" t="s">
        <v>53659</v>
      </c>
      <c r="W10846" t="s">
        <v>41976</v>
      </c>
      <c r="X10846" t="s">
        <v>42685</v>
      </c>
    </row>
    <row r="10847" spans="1:24">
      <c r="A10847">
        <f>HYPERLINK("https://www.philgeps.gov.ph/GEPSNONPILOT/Tender/SplashBidNoticeAbstractUI.aspx?menuIndex=3&amp;refID=7169088&amp;Result=3","7169088")</f>
        <v>0</v>
      </c>
      <c r="B10847" t="s">
        <v>3050</v>
      </c>
      <c r="C10847" t="s">
        <v>13889</v>
      </c>
      <c r="D10847" t="s">
        <v>17198</v>
      </c>
      <c r="E10847" t="s">
        <v>26492</v>
      </c>
      <c r="F10847" t="s">
        <v>29372</v>
      </c>
      <c r="G10847" t="s">
        <v>29380</v>
      </c>
      <c r="H10847" t="s">
        <v>11048</v>
      </c>
      <c r="I10847" t="s">
        <v>29394</v>
      </c>
      <c r="J10847" t="s">
        <v>36395</v>
      </c>
      <c r="K10847" t="s">
        <v>38485</v>
      </c>
      <c r="M10847" t="s">
        <v>42075</v>
      </c>
      <c r="N10847" t="s">
        <v>42669</v>
      </c>
      <c r="O10847" t="s">
        <v>42670</v>
      </c>
      <c r="Q10847">
        <v>2</v>
      </c>
      <c r="R10847" t="s">
        <v>42684</v>
      </c>
      <c r="S10847" t="s">
        <v>43264</v>
      </c>
      <c r="T10847" t="s">
        <v>44457</v>
      </c>
      <c r="U10847" t="s">
        <v>53660</v>
      </c>
      <c r="W10847" t="s">
        <v>42075</v>
      </c>
      <c r="X10847" t="s">
        <v>42685</v>
      </c>
    </row>
    <row r="10848" spans="1:24">
      <c r="A10848">
        <f>HYPERLINK("https://www.philgeps.gov.ph/GEPSNONPILOT/Tender/SplashBidNoticeAbstractUI.aspx?menuIndex=3&amp;refID=7169093&amp;Result=3","7169093")</f>
        <v>0</v>
      </c>
      <c r="B10848" t="s">
        <v>1930</v>
      </c>
      <c r="C10848" t="s">
        <v>13890</v>
      </c>
      <c r="D10848" t="s">
        <v>17185</v>
      </c>
      <c r="E10848" t="s">
        <v>26493</v>
      </c>
      <c r="F10848" t="s">
        <v>29372</v>
      </c>
      <c r="G10848" t="s">
        <v>29380</v>
      </c>
      <c r="H10848" t="s">
        <v>11048</v>
      </c>
      <c r="I10848" t="s">
        <v>29407</v>
      </c>
      <c r="J10848" t="s">
        <v>36396</v>
      </c>
      <c r="K10848" t="s">
        <v>38510</v>
      </c>
      <c r="M10848" t="s">
        <v>40808</v>
      </c>
      <c r="N10848" t="s">
        <v>42669</v>
      </c>
      <c r="O10848" t="s">
        <v>42670</v>
      </c>
      <c r="Q10848">
        <v>26</v>
      </c>
      <c r="R10848" t="s">
        <v>42684</v>
      </c>
      <c r="S10848" t="s">
        <v>43199</v>
      </c>
      <c r="T10848" t="s">
        <v>44400</v>
      </c>
      <c r="U10848" t="s">
        <v>53661</v>
      </c>
      <c r="W10848" t="s">
        <v>40808</v>
      </c>
      <c r="X10848" t="s">
        <v>42685</v>
      </c>
    </row>
    <row r="10849" spans="1:24">
      <c r="A10849">
        <f>HYPERLINK("https://www.philgeps.gov.ph/GEPSNONPILOT/Tender/SplashBidNoticeAbstractUI.aspx?menuIndex=3&amp;refID=7168734&amp;Result=3","7168734")</f>
        <v>0</v>
      </c>
      <c r="B10849" t="s">
        <v>1291</v>
      </c>
      <c r="C10849" t="s">
        <v>13891</v>
      </c>
      <c r="D10849" t="s">
        <v>17144</v>
      </c>
      <c r="E10849" t="s">
        <v>26494</v>
      </c>
      <c r="F10849" t="s">
        <v>29372</v>
      </c>
      <c r="G10849" t="s">
        <v>29380</v>
      </c>
      <c r="H10849" t="s">
        <v>11048</v>
      </c>
      <c r="I10849" t="s">
        <v>4709</v>
      </c>
      <c r="J10849" t="s">
        <v>36397</v>
      </c>
      <c r="K10849" t="s">
        <v>38488</v>
      </c>
      <c r="M10849" t="s">
        <v>40120</v>
      </c>
      <c r="N10849" t="s">
        <v>42669</v>
      </c>
      <c r="O10849" t="s">
        <v>42670</v>
      </c>
      <c r="Q10849">
        <v>7</v>
      </c>
      <c r="R10849" t="s">
        <v>42684</v>
      </c>
      <c r="S10849" t="s">
        <v>43265</v>
      </c>
      <c r="T10849" t="s">
        <v>44527</v>
      </c>
      <c r="U10849" t="s">
        <v>53662</v>
      </c>
      <c r="W10849" t="s">
        <v>40120</v>
      </c>
      <c r="X10849" t="s">
        <v>42685</v>
      </c>
    </row>
    <row r="10850" spans="1:24">
      <c r="A10850">
        <f>HYPERLINK("https://www.philgeps.gov.ph/GEPSNONPILOT/Tender/SplashBidNoticeAbstractUI.aspx?menuIndex=3&amp;refID=7169982&amp;Result=3","7169982")</f>
        <v>0</v>
      </c>
      <c r="B10850" t="s">
        <v>2451</v>
      </c>
      <c r="C10850" t="s">
        <v>13892</v>
      </c>
      <c r="D10850" t="s">
        <v>17228</v>
      </c>
      <c r="E10850" t="s">
        <v>26495</v>
      </c>
      <c r="F10850" t="s">
        <v>29372</v>
      </c>
      <c r="G10850" t="s">
        <v>29380</v>
      </c>
      <c r="H10850" t="s">
        <v>29389</v>
      </c>
      <c r="I10850" t="s">
        <v>10408</v>
      </c>
      <c r="J10850" t="s">
        <v>29615</v>
      </c>
      <c r="K10850" t="s">
        <v>38490</v>
      </c>
      <c r="M10850" t="s">
        <v>41399</v>
      </c>
      <c r="N10850" t="s">
        <v>42669</v>
      </c>
      <c r="O10850" t="s">
        <v>42670</v>
      </c>
      <c r="P10850">
        <v>0</v>
      </c>
      <c r="Q10850">
        <v>1</v>
      </c>
      <c r="R10850" t="s">
        <v>42684</v>
      </c>
      <c r="S10850" t="s">
        <v>43183</v>
      </c>
      <c r="T10850" t="s">
        <v>44375</v>
      </c>
      <c r="U10850" t="s">
        <v>53377</v>
      </c>
      <c r="W10850" t="s">
        <v>41399</v>
      </c>
      <c r="X10850" t="s">
        <v>42685</v>
      </c>
    </row>
    <row r="10851" spans="1:24">
      <c r="A10851">
        <f>HYPERLINK("https://www.philgeps.gov.ph/GEPSNONPILOT/Tender/SplashBidNoticeAbstractUI.aspx?menuIndex=3&amp;refID=7169244&amp;Result=3","7169244")</f>
        <v>0</v>
      </c>
      <c r="B10851" t="s">
        <v>2500</v>
      </c>
      <c r="C10851" t="s">
        <v>13893</v>
      </c>
      <c r="D10851" t="s">
        <v>17167</v>
      </c>
      <c r="E10851" t="s">
        <v>26496</v>
      </c>
      <c r="F10851" t="s">
        <v>29372</v>
      </c>
      <c r="G10851" t="s">
        <v>29380</v>
      </c>
      <c r="H10851" t="s">
        <v>29389</v>
      </c>
      <c r="I10851" t="s">
        <v>10408</v>
      </c>
      <c r="J10851" t="s">
        <v>34878</v>
      </c>
      <c r="K10851" t="s">
        <v>38579</v>
      </c>
      <c r="M10851" t="s">
        <v>41456</v>
      </c>
      <c r="N10851" t="s">
        <v>42669</v>
      </c>
      <c r="O10851" t="s">
        <v>42670</v>
      </c>
      <c r="P10851">
        <v>0</v>
      </c>
      <c r="Q10851">
        <v>0</v>
      </c>
      <c r="R10851" t="s">
        <v>42684</v>
      </c>
      <c r="S10851" t="s">
        <v>43183</v>
      </c>
      <c r="T10851" t="s">
        <v>44568</v>
      </c>
      <c r="U10851" t="s">
        <v>53663</v>
      </c>
      <c r="V10851" t="s">
        <v>57224</v>
      </c>
      <c r="W10851" t="s">
        <v>41456</v>
      </c>
      <c r="X10851" t="s">
        <v>42685</v>
      </c>
    </row>
    <row r="10852" spans="1:24">
      <c r="A10852">
        <f>HYPERLINK("https://www.philgeps.gov.ph/GEPSNONPILOT/Tender/SplashBidNoticeAbstractUI.aspx?menuIndex=3&amp;refID=7169974&amp;Result=3","7169974")</f>
        <v>0</v>
      </c>
      <c r="B10852" t="s">
        <v>3076</v>
      </c>
      <c r="C10852" t="s">
        <v>13894</v>
      </c>
      <c r="D10852" t="s">
        <v>17145</v>
      </c>
      <c r="E10852" t="s">
        <v>26497</v>
      </c>
      <c r="F10852" t="s">
        <v>29372</v>
      </c>
      <c r="G10852" t="s">
        <v>29380</v>
      </c>
      <c r="H10852" t="s">
        <v>29389</v>
      </c>
      <c r="I10852" t="s">
        <v>10408</v>
      </c>
      <c r="J10852" t="s">
        <v>36398</v>
      </c>
      <c r="K10852" t="s">
        <v>38488</v>
      </c>
      <c r="M10852" t="s">
        <v>42105</v>
      </c>
      <c r="N10852" t="s">
        <v>42669</v>
      </c>
      <c r="O10852" t="s">
        <v>42670</v>
      </c>
      <c r="P10852">
        <v>0</v>
      </c>
      <c r="Q10852">
        <v>0</v>
      </c>
      <c r="R10852" t="s">
        <v>42684</v>
      </c>
      <c r="S10852" t="s">
        <v>43183</v>
      </c>
      <c r="T10852" t="s">
        <v>44391</v>
      </c>
      <c r="U10852" t="s">
        <v>53664</v>
      </c>
      <c r="W10852" t="s">
        <v>42105</v>
      </c>
      <c r="X10852" t="s">
        <v>42685</v>
      </c>
    </row>
    <row r="10853" spans="1:24">
      <c r="A10853">
        <f>HYPERLINK("https://www.philgeps.gov.ph/GEPSNONPILOT/Tender/SplashBidNoticeAbstractUI.aspx?menuIndex=3&amp;refID=7170038&amp;Result=3","7170038")</f>
        <v>0</v>
      </c>
      <c r="B10853" t="s">
        <v>181</v>
      </c>
      <c r="C10853" t="s">
        <v>13895</v>
      </c>
      <c r="D10853" t="s">
        <v>17163</v>
      </c>
      <c r="E10853" t="s">
        <v>26498</v>
      </c>
      <c r="F10853" t="s">
        <v>29372</v>
      </c>
      <c r="G10853" t="s">
        <v>29379</v>
      </c>
      <c r="H10853" t="s">
        <v>29391</v>
      </c>
      <c r="I10853" t="s">
        <v>29391</v>
      </c>
      <c r="J10853" t="s">
        <v>30889</v>
      </c>
      <c r="K10853" t="s">
        <v>38488</v>
      </c>
      <c r="M10853" t="s">
        <v>38972</v>
      </c>
      <c r="N10853" t="s">
        <v>42669</v>
      </c>
      <c r="O10853" t="s">
        <v>42670</v>
      </c>
      <c r="Q10853">
        <v>1</v>
      </c>
      <c r="R10853" t="s">
        <v>42684</v>
      </c>
      <c r="S10853" t="s">
        <v>43266</v>
      </c>
      <c r="T10853" t="s">
        <v>44371</v>
      </c>
      <c r="U10853" t="s">
        <v>53665</v>
      </c>
      <c r="W10853" t="s">
        <v>38938</v>
      </c>
      <c r="X10853" t="s">
        <v>42685</v>
      </c>
    </row>
    <row r="10854" spans="1:24">
      <c r="A10854">
        <f>HYPERLINK("https://www.philgeps.gov.ph/GEPSNONPILOT/Tender/SplashBidNoticeAbstractUI.aspx?menuIndex=3&amp;refID=7168868&amp;Result=3","7168868")</f>
        <v>0</v>
      </c>
      <c r="B10854" t="s">
        <v>3085</v>
      </c>
      <c r="C10854" t="s">
        <v>13896</v>
      </c>
      <c r="D10854" t="s">
        <v>17214</v>
      </c>
      <c r="E10854" t="s">
        <v>26499</v>
      </c>
      <c r="F10854" t="s">
        <v>29372</v>
      </c>
      <c r="G10854" t="s">
        <v>29380</v>
      </c>
      <c r="H10854" t="s">
        <v>29389</v>
      </c>
      <c r="I10854" t="s">
        <v>10408</v>
      </c>
      <c r="J10854" t="s">
        <v>36399</v>
      </c>
      <c r="K10854" t="s">
        <v>38487</v>
      </c>
      <c r="M10854" t="s">
        <v>42114</v>
      </c>
      <c r="N10854" t="s">
        <v>42669</v>
      </c>
      <c r="O10854" t="s">
        <v>42670</v>
      </c>
      <c r="P10854">
        <v>0</v>
      </c>
      <c r="Q10854">
        <v>0</v>
      </c>
      <c r="R10854" t="s">
        <v>42684</v>
      </c>
      <c r="S10854" t="s">
        <v>43183</v>
      </c>
      <c r="T10854" t="s">
        <v>44512</v>
      </c>
      <c r="U10854" t="s">
        <v>53666</v>
      </c>
      <c r="W10854" t="s">
        <v>42114</v>
      </c>
      <c r="X10854" t="s">
        <v>42685</v>
      </c>
    </row>
    <row r="10855" spans="1:24">
      <c r="A10855">
        <f>HYPERLINK("https://www.philgeps.gov.ph/GEPSNONPILOT/Tender/SplashBidNoticeAbstractUI.aspx?menuIndex=3&amp;refID=7170045&amp;Result=3","7170045")</f>
        <v>0</v>
      </c>
      <c r="B10855" t="s">
        <v>739</v>
      </c>
      <c r="C10855" t="s">
        <v>13897</v>
      </c>
      <c r="D10855" t="s">
        <v>17158</v>
      </c>
      <c r="E10855" t="s">
        <v>26500</v>
      </c>
      <c r="F10855" t="s">
        <v>29372</v>
      </c>
      <c r="G10855" t="s">
        <v>29380</v>
      </c>
      <c r="H10855" t="s">
        <v>11048</v>
      </c>
      <c r="I10855" t="s">
        <v>29454</v>
      </c>
      <c r="J10855" t="s">
        <v>36400</v>
      </c>
      <c r="K10855" t="s">
        <v>38522</v>
      </c>
      <c r="M10855" t="s">
        <v>39520</v>
      </c>
      <c r="N10855" t="s">
        <v>42669</v>
      </c>
      <c r="O10855" t="s">
        <v>42670</v>
      </c>
      <c r="P10855">
        <v>0</v>
      </c>
      <c r="Q10855">
        <v>0</v>
      </c>
      <c r="R10855" t="s">
        <v>42684</v>
      </c>
      <c r="S10855" t="s">
        <v>43183</v>
      </c>
      <c r="T10855" t="s">
        <v>44412</v>
      </c>
      <c r="U10855" t="s">
        <v>53667</v>
      </c>
      <c r="W10855" t="s">
        <v>39520</v>
      </c>
      <c r="X10855" t="s">
        <v>42685</v>
      </c>
    </row>
    <row r="10856" spans="1:24">
      <c r="A10856">
        <f>HYPERLINK("https://www.philgeps.gov.ph/GEPSNONPILOT/Tender/SplashBidNoticeAbstractUI.aspx?menuIndex=3&amp;refID=7170031&amp;Result=3","7170031")</f>
        <v>0</v>
      </c>
      <c r="B10856" t="s">
        <v>366</v>
      </c>
      <c r="C10856" t="s">
        <v>13898</v>
      </c>
      <c r="D10856" t="s">
        <v>17172</v>
      </c>
      <c r="E10856" t="s">
        <v>26501</v>
      </c>
      <c r="F10856" t="s">
        <v>29372</v>
      </c>
      <c r="G10856" t="s">
        <v>29380</v>
      </c>
      <c r="H10856" t="s">
        <v>29389</v>
      </c>
      <c r="I10856" t="s">
        <v>29413</v>
      </c>
      <c r="J10856" t="s">
        <v>29529</v>
      </c>
      <c r="K10856" t="s">
        <v>38491</v>
      </c>
      <c r="M10856" t="s">
        <v>39126</v>
      </c>
      <c r="N10856" t="s">
        <v>42669</v>
      </c>
      <c r="O10856" t="s">
        <v>42670</v>
      </c>
      <c r="P10856">
        <v>0</v>
      </c>
      <c r="Q10856">
        <v>1</v>
      </c>
      <c r="R10856" t="s">
        <v>42684</v>
      </c>
      <c r="S10856" t="s">
        <v>43183</v>
      </c>
      <c r="T10856" t="s">
        <v>44488</v>
      </c>
      <c r="U10856" t="s">
        <v>53668</v>
      </c>
      <c r="W10856" t="s">
        <v>39126</v>
      </c>
      <c r="X10856" t="s">
        <v>42685</v>
      </c>
    </row>
    <row r="10857" spans="1:24">
      <c r="A10857">
        <f>HYPERLINK("https://www.philgeps.gov.ph/GEPSNONPILOT/Tender/SplashBidNoticeAbstractUI.aspx?menuIndex=3&amp;refID=7170072&amp;Result=3","7170072")</f>
        <v>0</v>
      </c>
      <c r="B10857" t="s">
        <v>1047</v>
      </c>
      <c r="C10857" t="s">
        <v>13899</v>
      </c>
      <c r="D10857" t="s">
        <v>17141</v>
      </c>
      <c r="E10857" t="s">
        <v>26502</v>
      </c>
      <c r="F10857" t="s">
        <v>29372</v>
      </c>
      <c r="G10857" t="s">
        <v>29380</v>
      </c>
      <c r="H10857" t="s">
        <v>11048</v>
      </c>
      <c r="I10857" t="s">
        <v>3839</v>
      </c>
      <c r="J10857" t="s">
        <v>32053</v>
      </c>
      <c r="K10857" t="s">
        <v>38485</v>
      </c>
      <c r="M10857" t="s">
        <v>42115</v>
      </c>
      <c r="N10857" t="s">
        <v>42669</v>
      </c>
      <c r="O10857" t="s">
        <v>42670</v>
      </c>
      <c r="P10857">
        <v>0</v>
      </c>
      <c r="Q10857">
        <v>17</v>
      </c>
      <c r="R10857" t="s">
        <v>42684</v>
      </c>
      <c r="S10857" t="s">
        <v>43183</v>
      </c>
      <c r="T10857" t="s">
        <v>44361</v>
      </c>
      <c r="U10857" t="s">
        <v>53669</v>
      </c>
      <c r="W10857" t="s">
        <v>42115</v>
      </c>
      <c r="X10857" t="s">
        <v>42685</v>
      </c>
    </row>
    <row r="10858" spans="1:24">
      <c r="A10858">
        <f>HYPERLINK("https://www.philgeps.gov.ph/GEPSNONPILOT/Tender/SplashBidNoticeAbstractUI.aspx?menuIndex=3&amp;refID=7170067&amp;Result=3","7170067")</f>
        <v>0</v>
      </c>
      <c r="B10858" t="s">
        <v>97</v>
      </c>
      <c r="C10858" t="s">
        <v>13900</v>
      </c>
      <c r="D10858" t="s">
        <v>17154</v>
      </c>
      <c r="E10858" t="s">
        <v>26503</v>
      </c>
      <c r="F10858" t="s">
        <v>29372</v>
      </c>
      <c r="G10858" t="s">
        <v>29380</v>
      </c>
      <c r="H10858" t="s">
        <v>29389</v>
      </c>
      <c r="I10858" t="s">
        <v>10408</v>
      </c>
      <c r="J10858" t="s">
        <v>31902</v>
      </c>
      <c r="K10858" t="s">
        <v>38496</v>
      </c>
      <c r="M10858" t="s">
        <v>42116</v>
      </c>
      <c r="N10858" t="s">
        <v>42669</v>
      </c>
      <c r="O10858" t="s">
        <v>42670</v>
      </c>
      <c r="P10858">
        <v>0</v>
      </c>
      <c r="Q10858">
        <v>1</v>
      </c>
      <c r="R10858" t="s">
        <v>42684</v>
      </c>
      <c r="S10858" t="s">
        <v>43183</v>
      </c>
      <c r="T10858" t="s">
        <v>44361</v>
      </c>
      <c r="U10858" t="s">
        <v>53670</v>
      </c>
      <c r="W10858" t="s">
        <v>42116</v>
      </c>
      <c r="X10858" t="s">
        <v>42685</v>
      </c>
    </row>
    <row r="10859" spans="1:24">
      <c r="A10859">
        <f>HYPERLINK("https://www.philgeps.gov.ph/GEPSNONPILOT/Tender/SplashBidNoticeAbstractUI.aspx?menuIndex=3&amp;refID=7170019&amp;Result=3","7170019")</f>
        <v>0</v>
      </c>
      <c r="B10859" t="s">
        <v>503</v>
      </c>
      <c r="C10859" t="s">
        <v>13901</v>
      </c>
      <c r="D10859" t="s">
        <v>17156</v>
      </c>
      <c r="E10859" t="s">
        <v>26504</v>
      </c>
      <c r="F10859" t="s">
        <v>29372</v>
      </c>
      <c r="G10859" t="s">
        <v>29380</v>
      </c>
      <c r="H10859" t="s">
        <v>11048</v>
      </c>
      <c r="I10859" t="s">
        <v>29394</v>
      </c>
      <c r="J10859" t="s">
        <v>36401</v>
      </c>
      <c r="K10859" t="s">
        <v>38485</v>
      </c>
      <c r="M10859" t="s">
        <v>39268</v>
      </c>
      <c r="N10859" t="s">
        <v>42669</v>
      </c>
      <c r="O10859" t="s">
        <v>42670</v>
      </c>
      <c r="Q10859">
        <v>2</v>
      </c>
      <c r="R10859" t="s">
        <v>42684</v>
      </c>
      <c r="S10859" t="s">
        <v>43267</v>
      </c>
      <c r="T10859" t="s">
        <v>44375</v>
      </c>
      <c r="U10859" t="s">
        <v>53671</v>
      </c>
      <c r="W10859" t="s">
        <v>39268</v>
      </c>
      <c r="X10859" t="s">
        <v>42685</v>
      </c>
    </row>
    <row r="10860" spans="1:24">
      <c r="A10860">
        <f>HYPERLINK("https://www.philgeps.gov.ph/GEPSNONPILOT/Tender/SplashBidNoticeAbstractUI.aspx?menuIndex=3&amp;refID=7170064&amp;Result=3","7170064")</f>
        <v>0</v>
      </c>
      <c r="B10860" t="s">
        <v>503</v>
      </c>
      <c r="C10860" t="s">
        <v>13902</v>
      </c>
      <c r="D10860" t="s">
        <v>17156</v>
      </c>
      <c r="E10860" t="s">
        <v>26505</v>
      </c>
      <c r="F10860" t="s">
        <v>29372</v>
      </c>
      <c r="G10860" t="s">
        <v>29380</v>
      </c>
      <c r="H10860" t="s">
        <v>11048</v>
      </c>
      <c r="I10860" t="s">
        <v>29468</v>
      </c>
      <c r="J10860" t="s">
        <v>36402</v>
      </c>
      <c r="K10860" t="s">
        <v>38485</v>
      </c>
      <c r="M10860" t="s">
        <v>39268</v>
      </c>
      <c r="N10860" t="s">
        <v>42669</v>
      </c>
      <c r="O10860" t="s">
        <v>42670</v>
      </c>
      <c r="Q10860">
        <v>0</v>
      </c>
      <c r="R10860" t="s">
        <v>42684</v>
      </c>
      <c r="S10860" t="s">
        <v>43268</v>
      </c>
      <c r="T10860" t="s">
        <v>44375</v>
      </c>
      <c r="U10860" t="s">
        <v>53672</v>
      </c>
      <c r="W10860" t="s">
        <v>39268</v>
      </c>
      <c r="X10860" t="s">
        <v>42685</v>
      </c>
    </row>
    <row r="10861" spans="1:24">
      <c r="A10861">
        <f>HYPERLINK("https://www.philgeps.gov.ph/GEPSNONPILOT/Tender/SplashBidNoticeAbstractUI.aspx?menuIndex=3&amp;refID=7169096&amp;Result=3","7169096")</f>
        <v>0</v>
      </c>
      <c r="B10861" t="s">
        <v>1163</v>
      </c>
      <c r="C10861" t="s">
        <v>13903</v>
      </c>
      <c r="D10861" t="s">
        <v>17193</v>
      </c>
      <c r="E10861" t="s">
        <v>26506</v>
      </c>
      <c r="F10861" t="s">
        <v>29372</v>
      </c>
      <c r="G10861" t="s">
        <v>29380</v>
      </c>
      <c r="H10861" t="s">
        <v>11048</v>
      </c>
      <c r="I10861" t="s">
        <v>29393</v>
      </c>
      <c r="J10861" t="s">
        <v>36403</v>
      </c>
      <c r="K10861" t="s">
        <v>38603</v>
      </c>
      <c r="M10861" t="s">
        <v>39978</v>
      </c>
      <c r="N10861" t="s">
        <v>42669</v>
      </c>
      <c r="O10861" t="s">
        <v>42670</v>
      </c>
      <c r="P10861">
        <v>0</v>
      </c>
      <c r="Q10861">
        <v>2</v>
      </c>
      <c r="R10861" t="s">
        <v>42684</v>
      </c>
      <c r="S10861" t="s">
        <v>43183</v>
      </c>
      <c r="T10861" t="s">
        <v>44527</v>
      </c>
      <c r="U10861" t="s">
        <v>53673</v>
      </c>
      <c r="V10861" t="s">
        <v>56924</v>
      </c>
      <c r="W10861" t="s">
        <v>58036</v>
      </c>
      <c r="X10861" t="s">
        <v>42685</v>
      </c>
    </row>
    <row r="10862" spans="1:24">
      <c r="A10862">
        <f>HYPERLINK("https://www.philgeps.gov.ph/GEPSNONPILOT/Tender/SplashBidNoticeAbstractUI.aspx?menuIndex=3&amp;refID=7170048&amp;Result=3","7170048")</f>
        <v>0</v>
      </c>
      <c r="B10862" t="s">
        <v>503</v>
      </c>
      <c r="C10862" t="s">
        <v>13904</v>
      </c>
      <c r="D10862" t="s">
        <v>17156</v>
      </c>
      <c r="E10862" t="s">
        <v>26507</v>
      </c>
      <c r="F10862" t="s">
        <v>29372</v>
      </c>
      <c r="G10862" t="s">
        <v>29380</v>
      </c>
      <c r="H10862" t="s">
        <v>11048</v>
      </c>
      <c r="I10862" t="s">
        <v>29468</v>
      </c>
      <c r="J10862" t="s">
        <v>36404</v>
      </c>
      <c r="K10862" t="s">
        <v>38530</v>
      </c>
      <c r="M10862" t="s">
        <v>39268</v>
      </c>
      <c r="N10862" t="s">
        <v>42669</v>
      </c>
      <c r="O10862" t="s">
        <v>42670</v>
      </c>
      <c r="Q10862">
        <v>1</v>
      </c>
      <c r="R10862" t="s">
        <v>42684</v>
      </c>
      <c r="S10862" t="s">
        <v>43267</v>
      </c>
      <c r="T10862" t="s">
        <v>44375</v>
      </c>
      <c r="U10862" t="s">
        <v>53674</v>
      </c>
      <c r="W10862" t="s">
        <v>39268</v>
      </c>
      <c r="X10862" t="s">
        <v>42685</v>
      </c>
    </row>
    <row r="10863" spans="1:24">
      <c r="A10863">
        <f>HYPERLINK("https://www.philgeps.gov.ph/GEPSNONPILOT/Tender/SplashBidNoticeAbstractUI.aspx?menuIndex=3&amp;refID=7170014&amp;Result=3","7170014")</f>
        <v>0</v>
      </c>
      <c r="B10863" t="s">
        <v>616</v>
      </c>
      <c r="C10863" t="s">
        <v>13905</v>
      </c>
      <c r="D10863" t="s">
        <v>17204</v>
      </c>
      <c r="E10863" t="s">
        <v>26508</v>
      </c>
      <c r="F10863" t="s">
        <v>29372</v>
      </c>
      <c r="G10863" t="s">
        <v>29380</v>
      </c>
      <c r="H10863" t="s">
        <v>11048</v>
      </c>
      <c r="I10863" t="s">
        <v>8614</v>
      </c>
      <c r="J10863" t="s">
        <v>36405</v>
      </c>
      <c r="K10863" t="s">
        <v>38485</v>
      </c>
      <c r="M10863" t="s">
        <v>41869</v>
      </c>
      <c r="N10863" t="s">
        <v>42669</v>
      </c>
      <c r="O10863" t="s">
        <v>42670</v>
      </c>
      <c r="P10863">
        <v>0</v>
      </c>
      <c r="Q10863">
        <v>13</v>
      </c>
      <c r="R10863" t="s">
        <v>42684</v>
      </c>
      <c r="S10863" t="s">
        <v>43183</v>
      </c>
      <c r="T10863" t="s">
        <v>44485</v>
      </c>
      <c r="U10863" t="s">
        <v>53675</v>
      </c>
      <c r="W10863" t="s">
        <v>41869</v>
      </c>
      <c r="X10863" t="s">
        <v>42685</v>
      </c>
    </row>
    <row r="10864" spans="1:24">
      <c r="A10864">
        <f>HYPERLINK("https://www.philgeps.gov.ph/GEPSNONPILOT/Tender/SplashBidNoticeAbstractUI.aspx?menuIndex=3&amp;refID=7170046&amp;Result=3","7170046")</f>
        <v>0</v>
      </c>
      <c r="B10864" t="s">
        <v>1930</v>
      </c>
      <c r="C10864" t="s">
        <v>13906</v>
      </c>
      <c r="D10864" t="s">
        <v>17185</v>
      </c>
      <c r="E10864" t="s">
        <v>26509</v>
      </c>
      <c r="F10864" t="s">
        <v>29372</v>
      </c>
      <c r="G10864" t="s">
        <v>29380</v>
      </c>
      <c r="H10864" t="s">
        <v>11048</v>
      </c>
      <c r="I10864" t="s">
        <v>29400</v>
      </c>
      <c r="J10864" t="s">
        <v>30308</v>
      </c>
      <c r="K10864" t="s">
        <v>38490</v>
      </c>
      <c r="M10864" t="s">
        <v>41452</v>
      </c>
      <c r="N10864" t="s">
        <v>42669</v>
      </c>
      <c r="O10864" t="s">
        <v>42670</v>
      </c>
      <c r="P10864">
        <v>0</v>
      </c>
      <c r="Q10864">
        <v>18</v>
      </c>
      <c r="R10864" t="s">
        <v>42684</v>
      </c>
      <c r="S10864" t="s">
        <v>43183</v>
      </c>
      <c r="T10864" t="s">
        <v>44666</v>
      </c>
      <c r="U10864" t="s">
        <v>53676</v>
      </c>
      <c r="W10864" t="s">
        <v>41452</v>
      </c>
      <c r="X10864" t="s">
        <v>42685</v>
      </c>
    </row>
    <row r="10865" spans="1:24">
      <c r="A10865">
        <f>HYPERLINK("https://www.philgeps.gov.ph/GEPSNONPILOT/Tender/SplashBidNoticeAbstractUI.aspx?menuIndex=3&amp;refID=7170011&amp;Result=3","7170011")</f>
        <v>0</v>
      </c>
      <c r="B10865" t="s">
        <v>1654</v>
      </c>
      <c r="C10865" t="s">
        <v>13907</v>
      </c>
      <c r="D10865" t="s">
        <v>17153</v>
      </c>
      <c r="E10865" t="s">
        <v>26510</v>
      </c>
      <c r="F10865" t="s">
        <v>29373</v>
      </c>
      <c r="G10865" t="s">
        <v>29380</v>
      </c>
      <c r="H10865" t="s">
        <v>29389</v>
      </c>
      <c r="I10865" t="s">
        <v>10408</v>
      </c>
      <c r="J10865" t="s">
        <v>29721</v>
      </c>
      <c r="K10865" t="s">
        <v>38496</v>
      </c>
      <c r="M10865" t="s">
        <v>40511</v>
      </c>
      <c r="N10865" t="s">
        <v>42669</v>
      </c>
      <c r="O10865" t="s">
        <v>42670</v>
      </c>
      <c r="P10865">
        <v>0</v>
      </c>
      <c r="Q10865">
        <v>1</v>
      </c>
      <c r="R10865" t="s">
        <v>42684</v>
      </c>
      <c r="S10865" t="s">
        <v>43183</v>
      </c>
      <c r="T10865" t="s">
        <v>44386</v>
      </c>
      <c r="U10865" t="s">
        <v>53677</v>
      </c>
      <c r="V10865" t="s">
        <v>57585</v>
      </c>
      <c r="W10865" t="s">
        <v>40511</v>
      </c>
      <c r="X10865" t="s">
        <v>42685</v>
      </c>
    </row>
    <row r="10866" spans="1:24">
      <c r="A10866">
        <f>HYPERLINK("https://www.philgeps.gov.ph/GEPSNONPILOT/Tender/SplashBidNoticeAbstractUI.aspx?menuIndex=3&amp;refID=7170039&amp;Result=3","7170039")</f>
        <v>0</v>
      </c>
      <c r="B10866" t="s">
        <v>2630</v>
      </c>
      <c r="C10866" t="s">
        <v>13908</v>
      </c>
      <c r="D10866" t="s">
        <v>17186</v>
      </c>
      <c r="E10866" t="s">
        <v>26511</v>
      </c>
      <c r="F10866" t="s">
        <v>29372</v>
      </c>
      <c r="G10866" t="s">
        <v>29380</v>
      </c>
      <c r="H10866" t="s">
        <v>11048</v>
      </c>
      <c r="I10866" t="s">
        <v>29407</v>
      </c>
      <c r="J10866" t="s">
        <v>36406</v>
      </c>
      <c r="K10866" t="s">
        <v>38510</v>
      </c>
      <c r="M10866" t="s">
        <v>41602</v>
      </c>
      <c r="N10866" t="s">
        <v>42669</v>
      </c>
      <c r="O10866" t="s">
        <v>42670</v>
      </c>
      <c r="P10866">
        <v>0</v>
      </c>
      <c r="Q10866">
        <v>2</v>
      </c>
      <c r="R10866" t="s">
        <v>42684</v>
      </c>
      <c r="S10866" t="s">
        <v>43183</v>
      </c>
      <c r="T10866" t="s">
        <v>44419</v>
      </c>
      <c r="U10866" t="s">
        <v>53678</v>
      </c>
      <c r="W10866" t="s">
        <v>41602</v>
      </c>
      <c r="X10866" t="s">
        <v>42685</v>
      </c>
    </row>
    <row r="10867" spans="1:24">
      <c r="A10867">
        <f>HYPERLINK("https://www.philgeps.gov.ph/GEPSNONPILOT/Tender/SplashBidNoticeAbstractUI.aspx?menuIndex=3&amp;refID=7169906&amp;Result=3","7169906")</f>
        <v>0</v>
      </c>
      <c r="B10867" t="s">
        <v>2497</v>
      </c>
      <c r="C10867" t="s">
        <v>13909</v>
      </c>
      <c r="D10867" t="s">
        <v>17172</v>
      </c>
      <c r="E10867" t="s">
        <v>24056</v>
      </c>
      <c r="F10867" t="s">
        <v>29373</v>
      </c>
      <c r="G10867" t="s">
        <v>29380</v>
      </c>
      <c r="H10867" t="s">
        <v>11048</v>
      </c>
      <c r="I10867" t="s">
        <v>29420</v>
      </c>
      <c r="J10867" t="s">
        <v>35420</v>
      </c>
      <c r="K10867" t="s">
        <v>38538</v>
      </c>
      <c r="L10867" t="s">
        <v>2497</v>
      </c>
      <c r="M10867" t="s">
        <v>41450</v>
      </c>
      <c r="N10867" t="s">
        <v>42669</v>
      </c>
      <c r="O10867" t="s">
        <v>42670</v>
      </c>
      <c r="P10867">
        <v>0</v>
      </c>
      <c r="Q10867">
        <v>2</v>
      </c>
      <c r="R10867" t="s">
        <v>42684</v>
      </c>
      <c r="S10867" t="s">
        <v>43183</v>
      </c>
      <c r="T10867" t="s">
        <v>44409</v>
      </c>
      <c r="U10867" t="s">
        <v>53679</v>
      </c>
      <c r="W10867" t="s">
        <v>41450</v>
      </c>
      <c r="X10867" t="s">
        <v>42685</v>
      </c>
    </row>
    <row r="10868" spans="1:24">
      <c r="A10868">
        <f>HYPERLINK("https://www.philgeps.gov.ph/GEPSNONPILOT/Tender/SplashBidNoticeAbstractUI.aspx?menuIndex=3&amp;refID=7169991&amp;Result=3","7169991")</f>
        <v>0</v>
      </c>
      <c r="B10868" t="s">
        <v>739</v>
      </c>
      <c r="C10868" t="s">
        <v>13910</v>
      </c>
      <c r="D10868" t="s">
        <v>17158</v>
      </c>
      <c r="E10868" t="s">
        <v>26512</v>
      </c>
      <c r="F10868" t="s">
        <v>29372</v>
      </c>
      <c r="G10868" t="s">
        <v>29380</v>
      </c>
      <c r="H10868" t="s">
        <v>29389</v>
      </c>
      <c r="I10868" t="s">
        <v>10408</v>
      </c>
      <c r="J10868" t="s">
        <v>36407</v>
      </c>
      <c r="K10868" t="s">
        <v>38496</v>
      </c>
      <c r="M10868" t="s">
        <v>39520</v>
      </c>
      <c r="N10868" t="s">
        <v>42669</v>
      </c>
      <c r="O10868" t="s">
        <v>42670</v>
      </c>
      <c r="P10868">
        <v>0</v>
      </c>
      <c r="Q10868">
        <v>1</v>
      </c>
      <c r="R10868" t="s">
        <v>42684</v>
      </c>
      <c r="S10868" t="s">
        <v>43183</v>
      </c>
      <c r="T10868" t="s">
        <v>44412</v>
      </c>
      <c r="U10868" t="s">
        <v>53667</v>
      </c>
      <c r="W10868" t="s">
        <v>39520</v>
      </c>
      <c r="X10868" t="s">
        <v>42685</v>
      </c>
    </row>
    <row r="10869" spans="1:24">
      <c r="A10869">
        <f>HYPERLINK("https://www.philgeps.gov.ph/GEPSNONPILOT/Tender/SplashBidNoticeAbstractUI.aspx?menuIndex=3&amp;refID=7170054&amp;Result=3","7170054")</f>
        <v>0</v>
      </c>
      <c r="B10869" t="s">
        <v>1848</v>
      </c>
      <c r="C10869" t="s">
        <v>13911</v>
      </c>
      <c r="D10869" t="s">
        <v>17141</v>
      </c>
      <c r="E10869" t="s">
        <v>26513</v>
      </c>
      <c r="F10869" t="s">
        <v>29372</v>
      </c>
      <c r="G10869" t="s">
        <v>29381</v>
      </c>
      <c r="H10869" t="s">
        <v>11048</v>
      </c>
      <c r="I10869" t="s">
        <v>29433</v>
      </c>
      <c r="J10869" t="s">
        <v>32182</v>
      </c>
      <c r="K10869" t="s">
        <v>38487</v>
      </c>
      <c r="M10869" t="s">
        <v>40719</v>
      </c>
      <c r="N10869" t="s">
        <v>42669</v>
      </c>
      <c r="O10869" t="s">
        <v>42670</v>
      </c>
      <c r="Q10869">
        <v>23</v>
      </c>
      <c r="R10869" t="s">
        <v>42684</v>
      </c>
      <c r="S10869" t="s">
        <v>43269</v>
      </c>
      <c r="T10869" t="s">
        <v>44366</v>
      </c>
      <c r="U10869" t="s">
        <v>53680</v>
      </c>
      <c r="W10869" t="s">
        <v>40719</v>
      </c>
      <c r="X10869" t="s">
        <v>42685</v>
      </c>
    </row>
    <row r="10870" spans="1:24">
      <c r="A10870">
        <f>HYPERLINK("https://www.philgeps.gov.ph/GEPSNONPILOT/Tender/SplashBidNoticeAbstractUI.aspx?menuIndex=3&amp;refID=7169986&amp;Result=3","7169986")</f>
        <v>0</v>
      </c>
      <c r="B10870" t="s">
        <v>503</v>
      </c>
      <c r="C10870" t="s">
        <v>13912</v>
      </c>
      <c r="D10870" t="s">
        <v>17156</v>
      </c>
      <c r="E10870" t="s">
        <v>26514</v>
      </c>
      <c r="F10870" t="s">
        <v>29372</v>
      </c>
      <c r="G10870" t="s">
        <v>29380</v>
      </c>
      <c r="H10870" t="s">
        <v>11048</v>
      </c>
      <c r="I10870" t="s">
        <v>29394</v>
      </c>
      <c r="J10870" t="s">
        <v>36408</v>
      </c>
      <c r="K10870" t="s">
        <v>38485</v>
      </c>
      <c r="M10870" t="s">
        <v>39268</v>
      </c>
      <c r="N10870" t="s">
        <v>42669</v>
      </c>
      <c r="O10870" t="s">
        <v>42670</v>
      </c>
      <c r="Q10870">
        <v>6</v>
      </c>
      <c r="R10870" t="s">
        <v>42684</v>
      </c>
      <c r="S10870" t="s">
        <v>43270</v>
      </c>
      <c r="T10870" t="s">
        <v>44375</v>
      </c>
      <c r="U10870" t="s">
        <v>53681</v>
      </c>
      <c r="W10870" t="s">
        <v>39268</v>
      </c>
      <c r="X10870" t="s">
        <v>42685</v>
      </c>
    </row>
    <row r="10871" spans="1:24">
      <c r="A10871">
        <f>HYPERLINK("https://www.philgeps.gov.ph/GEPSNONPILOT/Tender/SplashBidNoticeAbstractUI.aspx?menuIndex=3&amp;refID=7170042&amp;Result=3","7170042")</f>
        <v>0</v>
      </c>
      <c r="B10871" t="s">
        <v>2817</v>
      </c>
      <c r="C10871" t="s">
        <v>13913</v>
      </c>
      <c r="D10871" t="s">
        <v>17194</v>
      </c>
      <c r="E10871" t="s">
        <v>26515</v>
      </c>
      <c r="F10871" t="s">
        <v>29372</v>
      </c>
      <c r="G10871" t="s">
        <v>29380</v>
      </c>
      <c r="H10871" t="s">
        <v>11048</v>
      </c>
      <c r="I10871" t="s">
        <v>9469</v>
      </c>
      <c r="J10871" t="s">
        <v>36409</v>
      </c>
      <c r="K10871" t="s">
        <v>38485</v>
      </c>
      <c r="M10871" t="s">
        <v>41806</v>
      </c>
      <c r="N10871" t="s">
        <v>42669</v>
      </c>
      <c r="O10871" t="s">
        <v>42670</v>
      </c>
      <c r="P10871">
        <v>0</v>
      </c>
      <c r="Q10871">
        <v>0</v>
      </c>
      <c r="R10871" t="s">
        <v>42684</v>
      </c>
      <c r="S10871" t="s">
        <v>43183</v>
      </c>
      <c r="T10871" t="s">
        <v>44371</v>
      </c>
      <c r="U10871" t="s">
        <v>53682</v>
      </c>
      <c r="W10871" t="s">
        <v>41806</v>
      </c>
      <c r="X10871" t="s">
        <v>42685</v>
      </c>
    </row>
    <row r="10872" spans="1:24">
      <c r="A10872">
        <f>HYPERLINK("https://www.philgeps.gov.ph/GEPSNONPILOT/Tender/SplashBidNoticeAbstractUI.aspx?menuIndex=3&amp;refID=7169881&amp;Result=3","7169881")</f>
        <v>0</v>
      </c>
      <c r="B10872" t="s">
        <v>744</v>
      </c>
      <c r="C10872" t="s">
        <v>13914</v>
      </c>
      <c r="D10872" t="s">
        <v>17157</v>
      </c>
      <c r="E10872" t="s">
        <v>26516</v>
      </c>
      <c r="F10872" t="s">
        <v>29372</v>
      </c>
      <c r="G10872" t="s">
        <v>29380</v>
      </c>
      <c r="H10872" t="s">
        <v>29389</v>
      </c>
      <c r="I10872" t="s">
        <v>29408</v>
      </c>
      <c r="J10872" t="s">
        <v>29708</v>
      </c>
      <c r="K10872" t="s">
        <v>38485</v>
      </c>
      <c r="M10872" t="s">
        <v>39525</v>
      </c>
      <c r="N10872" t="s">
        <v>42669</v>
      </c>
      <c r="O10872" t="s">
        <v>42670</v>
      </c>
      <c r="P10872">
        <v>0</v>
      </c>
      <c r="Q10872">
        <v>1</v>
      </c>
      <c r="R10872" t="s">
        <v>42684</v>
      </c>
      <c r="S10872" t="s">
        <v>43183</v>
      </c>
      <c r="T10872" t="s">
        <v>44354</v>
      </c>
      <c r="U10872" t="s">
        <v>53683</v>
      </c>
      <c r="W10872" t="s">
        <v>39525</v>
      </c>
      <c r="X10872" t="s">
        <v>42685</v>
      </c>
    </row>
    <row r="10873" spans="1:24">
      <c r="A10873">
        <f>HYPERLINK("https://www.philgeps.gov.ph/GEPSNONPILOT/Tender/SplashBidNoticeAbstractUI.aspx?menuIndex=3&amp;refID=7170007&amp;Result=3","7170007")</f>
        <v>0</v>
      </c>
      <c r="B10873" t="s">
        <v>1047</v>
      </c>
      <c r="C10873" t="s">
        <v>13915</v>
      </c>
      <c r="D10873" t="s">
        <v>17141</v>
      </c>
      <c r="E10873" t="s">
        <v>26517</v>
      </c>
      <c r="F10873" t="s">
        <v>29372</v>
      </c>
      <c r="G10873" t="s">
        <v>29380</v>
      </c>
      <c r="H10873" t="s">
        <v>11048</v>
      </c>
      <c r="I10873" t="s">
        <v>3860</v>
      </c>
      <c r="J10873" t="s">
        <v>36410</v>
      </c>
      <c r="K10873" t="s">
        <v>38488</v>
      </c>
      <c r="M10873" t="s">
        <v>42117</v>
      </c>
      <c r="N10873" t="s">
        <v>42669</v>
      </c>
      <c r="O10873" t="s">
        <v>42670</v>
      </c>
      <c r="P10873">
        <v>0</v>
      </c>
      <c r="Q10873">
        <v>15</v>
      </c>
      <c r="R10873" t="s">
        <v>42684</v>
      </c>
      <c r="S10873" t="s">
        <v>43183</v>
      </c>
      <c r="T10873" t="s">
        <v>44361</v>
      </c>
      <c r="U10873" t="s">
        <v>53684</v>
      </c>
      <c r="W10873" t="s">
        <v>42117</v>
      </c>
      <c r="X10873" t="s">
        <v>42685</v>
      </c>
    </row>
    <row r="10874" spans="1:24">
      <c r="A10874">
        <f>HYPERLINK("https://www.philgeps.gov.ph/GEPSNONPILOT/Tender/SplashBidNoticeAbstractUI.aspx?menuIndex=3&amp;refID=7170001&amp;Result=3","7170001")</f>
        <v>0</v>
      </c>
      <c r="B10874" t="s">
        <v>2817</v>
      </c>
      <c r="C10874" t="s">
        <v>13916</v>
      </c>
      <c r="D10874" t="s">
        <v>17194</v>
      </c>
      <c r="E10874" t="s">
        <v>20636</v>
      </c>
      <c r="F10874" t="s">
        <v>29372</v>
      </c>
      <c r="G10874" t="s">
        <v>29380</v>
      </c>
      <c r="H10874" t="s">
        <v>11048</v>
      </c>
      <c r="I10874" t="s">
        <v>4709</v>
      </c>
      <c r="J10874" t="s">
        <v>36411</v>
      </c>
      <c r="K10874" t="s">
        <v>38485</v>
      </c>
      <c r="M10874" t="s">
        <v>41806</v>
      </c>
      <c r="N10874" t="s">
        <v>42669</v>
      </c>
      <c r="O10874" t="s">
        <v>42670</v>
      </c>
      <c r="P10874">
        <v>0</v>
      </c>
      <c r="Q10874">
        <v>1</v>
      </c>
      <c r="R10874" t="s">
        <v>42684</v>
      </c>
      <c r="S10874" t="s">
        <v>43183</v>
      </c>
      <c r="T10874" t="s">
        <v>44371</v>
      </c>
      <c r="U10874" t="s">
        <v>53685</v>
      </c>
      <c r="W10874" t="s">
        <v>41806</v>
      </c>
      <c r="X10874" t="s">
        <v>42685</v>
      </c>
    </row>
    <row r="10875" spans="1:24">
      <c r="A10875">
        <f>HYPERLINK("https://www.philgeps.gov.ph/GEPSNONPILOT/Tender/SplashBidNoticeAbstractUI.aspx?menuIndex=3&amp;refID=7170078&amp;Result=3","7170078")</f>
        <v>0</v>
      </c>
      <c r="B10875" t="s">
        <v>278</v>
      </c>
      <c r="C10875" t="s">
        <v>13917</v>
      </c>
      <c r="D10875" t="s">
        <v>17206</v>
      </c>
      <c r="E10875" t="s">
        <v>26518</v>
      </c>
      <c r="F10875" t="s">
        <v>29372</v>
      </c>
      <c r="G10875" t="s">
        <v>29379</v>
      </c>
      <c r="H10875" t="s">
        <v>11048</v>
      </c>
      <c r="I10875" t="s">
        <v>29396</v>
      </c>
      <c r="J10875" t="s">
        <v>29590</v>
      </c>
      <c r="K10875" t="s">
        <v>38485</v>
      </c>
      <c r="M10875" t="s">
        <v>41697</v>
      </c>
      <c r="N10875" t="s">
        <v>42669</v>
      </c>
      <c r="O10875" t="s">
        <v>42670</v>
      </c>
      <c r="Q10875">
        <v>4</v>
      </c>
      <c r="R10875" t="s">
        <v>42684</v>
      </c>
      <c r="S10875" t="s">
        <v>43271</v>
      </c>
      <c r="T10875" t="s">
        <v>44427</v>
      </c>
      <c r="U10875" t="s">
        <v>53686</v>
      </c>
      <c r="W10875" t="s">
        <v>41697</v>
      </c>
      <c r="X10875" t="s">
        <v>42685</v>
      </c>
    </row>
    <row r="10876" spans="1:24">
      <c r="A10876">
        <f>HYPERLINK("https://www.philgeps.gov.ph/GEPSNONPILOT/Tender/SplashBidNoticeAbstractUI.aspx?menuIndex=3&amp;refID=7170096&amp;Result=3","7170096")</f>
        <v>0</v>
      </c>
      <c r="B10876" t="s">
        <v>1047</v>
      </c>
      <c r="C10876" t="s">
        <v>13918</v>
      </c>
      <c r="D10876" t="s">
        <v>17141</v>
      </c>
      <c r="E10876" t="s">
        <v>26519</v>
      </c>
      <c r="F10876" t="s">
        <v>29372</v>
      </c>
      <c r="G10876" t="s">
        <v>29380</v>
      </c>
      <c r="H10876" t="s">
        <v>11048</v>
      </c>
      <c r="I10876" t="s">
        <v>3695</v>
      </c>
      <c r="J10876" t="s">
        <v>36412</v>
      </c>
      <c r="K10876" t="s">
        <v>38485</v>
      </c>
      <c r="M10876" t="s">
        <v>42118</v>
      </c>
      <c r="N10876" t="s">
        <v>42669</v>
      </c>
      <c r="O10876" t="s">
        <v>42670</v>
      </c>
      <c r="P10876">
        <v>0</v>
      </c>
      <c r="Q10876">
        <v>12</v>
      </c>
      <c r="R10876" t="s">
        <v>42684</v>
      </c>
      <c r="S10876" t="s">
        <v>43183</v>
      </c>
      <c r="T10876" t="s">
        <v>44361</v>
      </c>
      <c r="U10876" t="s">
        <v>53687</v>
      </c>
      <c r="W10876" t="s">
        <v>42118</v>
      </c>
      <c r="X10876" t="s">
        <v>42685</v>
      </c>
    </row>
    <row r="10877" spans="1:24">
      <c r="A10877">
        <f>HYPERLINK("https://www.philgeps.gov.ph/GEPSNONPILOT/Tender/SplashBidNoticeAbstractUI.aspx?menuIndex=3&amp;refID=7170132&amp;Result=3","7170132")</f>
        <v>0</v>
      </c>
      <c r="B10877" t="s">
        <v>792</v>
      </c>
      <c r="C10877" t="s">
        <v>13919</v>
      </c>
      <c r="D10877" t="s">
        <v>17187</v>
      </c>
      <c r="E10877" t="s">
        <v>17534</v>
      </c>
      <c r="F10877" t="s">
        <v>29372</v>
      </c>
      <c r="G10877" t="s">
        <v>29380</v>
      </c>
      <c r="H10877" t="s">
        <v>11048</v>
      </c>
      <c r="I10877" t="s">
        <v>29393</v>
      </c>
      <c r="J10877" t="s">
        <v>29774</v>
      </c>
      <c r="K10877" t="s">
        <v>38490</v>
      </c>
      <c r="M10877" t="s">
        <v>39576</v>
      </c>
      <c r="N10877" t="s">
        <v>42669</v>
      </c>
      <c r="O10877" t="s">
        <v>42670</v>
      </c>
      <c r="P10877">
        <v>0</v>
      </c>
      <c r="Q10877">
        <v>1</v>
      </c>
      <c r="R10877" t="s">
        <v>42684</v>
      </c>
      <c r="S10877" t="s">
        <v>43183</v>
      </c>
      <c r="T10877" t="s">
        <v>44429</v>
      </c>
      <c r="U10877" t="s">
        <v>53688</v>
      </c>
      <c r="V10877" t="s">
        <v>57586</v>
      </c>
      <c r="W10877" t="s">
        <v>39576</v>
      </c>
      <c r="X10877" t="s">
        <v>42685</v>
      </c>
    </row>
    <row r="10878" spans="1:24">
      <c r="A10878">
        <f>HYPERLINK("https://www.philgeps.gov.ph/GEPSNONPILOT/Tender/SplashBidNoticeAbstractUI.aspx?menuIndex=3&amp;refID=7170089&amp;Result=3","7170089")</f>
        <v>0</v>
      </c>
      <c r="B10878" t="s">
        <v>1639</v>
      </c>
      <c r="C10878" t="s">
        <v>13920</v>
      </c>
      <c r="D10878" t="s">
        <v>17184</v>
      </c>
      <c r="E10878" t="s">
        <v>26520</v>
      </c>
      <c r="F10878" t="s">
        <v>29372</v>
      </c>
      <c r="G10878" t="s">
        <v>29381</v>
      </c>
      <c r="H10878" t="s">
        <v>11048</v>
      </c>
      <c r="I10878" t="s">
        <v>4709</v>
      </c>
      <c r="J10878" t="s">
        <v>36413</v>
      </c>
      <c r="K10878" t="s">
        <v>38496</v>
      </c>
      <c r="M10878" t="s">
        <v>40495</v>
      </c>
      <c r="N10878" t="s">
        <v>42669</v>
      </c>
      <c r="O10878" t="s">
        <v>42670</v>
      </c>
      <c r="P10878">
        <v>0</v>
      </c>
      <c r="Q10878">
        <v>0</v>
      </c>
      <c r="R10878" t="s">
        <v>42684</v>
      </c>
      <c r="S10878" t="s">
        <v>43183</v>
      </c>
      <c r="T10878" t="s">
        <v>44525</v>
      </c>
      <c r="U10878" t="s">
        <v>53689</v>
      </c>
      <c r="W10878" t="s">
        <v>40495</v>
      </c>
      <c r="X10878" t="s">
        <v>42685</v>
      </c>
    </row>
    <row r="10879" spans="1:24">
      <c r="A10879">
        <f>HYPERLINK("https://www.philgeps.gov.ph/GEPSNONPILOT/Tender/SplashBidNoticeAbstractUI.aspx?menuIndex=3&amp;refID=7170087&amp;Result=3","7170087")</f>
        <v>0</v>
      </c>
      <c r="B10879" t="s">
        <v>1047</v>
      </c>
      <c r="C10879" t="s">
        <v>13921</v>
      </c>
      <c r="D10879" t="s">
        <v>17141</v>
      </c>
      <c r="E10879" t="s">
        <v>26521</v>
      </c>
      <c r="F10879" t="s">
        <v>29372</v>
      </c>
      <c r="G10879" t="s">
        <v>29380</v>
      </c>
      <c r="H10879" t="s">
        <v>11048</v>
      </c>
      <c r="I10879" t="s">
        <v>3839</v>
      </c>
      <c r="J10879" t="s">
        <v>36414</v>
      </c>
      <c r="K10879" t="s">
        <v>38485</v>
      </c>
      <c r="M10879" t="s">
        <v>42119</v>
      </c>
      <c r="N10879" t="s">
        <v>42669</v>
      </c>
      <c r="O10879" t="s">
        <v>42670</v>
      </c>
      <c r="P10879">
        <v>0</v>
      </c>
      <c r="Q10879">
        <v>30</v>
      </c>
      <c r="R10879" t="s">
        <v>42684</v>
      </c>
      <c r="S10879" t="s">
        <v>43183</v>
      </c>
      <c r="T10879" t="s">
        <v>44361</v>
      </c>
      <c r="U10879" t="s">
        <v>53690</v>
      </c>
      <c r="W10879" t="s">
        <v>42119</v>
      </c>
      <c r="X10879" t="s">
        <v>42685</v>
      </c>
    </row>
    <row r="10880" spans="1:24">
      <c r="A10880">
        <f>HYPERLINK("https://www.philgeps.gov.ph/GEPSNONPILOT/Tender/SplashBidNoticeAbstractUI.aspx?menuIndex=3&amp;refID=7170085&amp;Result=3","7170085")</f>
        <v>0</v>
      </c>
      <c r="B10880" t="s">
        <v>2811</v>
      </c>
      <c r="C10880" t="s">
        <v>13922</v>
      </c>
      <c r="D10880" t="s">
        <v>17177</v>
      </c>
      <c r="E10880" t="s">
        <v>26522</v>
      </c>
      <c r="F10880" t="s">
        <v>29372</v>
      </c>
      <c r="G10880" t="s">
        <v>29380</v>
      </c>
      <c r="H10880" t="s">
        <v>11048</v>
      </c>
      <c r="I10880" t="s">
        <v>4709</v>
      </c>
      <c r="J10880" t="s">
        <v>36389</v>
      </c>
      <c r="K10880" t="s">
        <v>38510</v>
      </c>
      <c r="M10880" t="s">
        <v>41800</v>
      </c>
      <c r="N10880" t="s">
        <v>42669</v>
      </c>
      <c r="O10880" t="s">
        <v>42670</v>
      </c>
      <c r="P10880">
        <v>0</v>
      </c>
      <c r="Q10880">
        <v>0</v>
      </c>
      <c r="R10880" t="s">
        <v>42684</v>
      </c>
      <c r="S10880" t="s">
        <v>43183</v>
      </c>
      <c r="T10880" t="s">
        <v>44563</v>
      </c>
      <c r="U10880" t="s">
        <v>52507</v>
      </c>
      <c r="W10880" t="s">
        <v>41800</v>
      </c>
      <c r="X10880" t="s">
        <v>42685</v>
      </c>
    </row>
    <row r="10881" spans="1:24">
      <c r="A10881">
        <f>HYPERLINK("https://www.philgeps.gov.ph/GEPSNONPILOT/Tender/SplashBidNoticeAbstractUI.aspx?menuIndex=3&amp;refID=7170084&amp;Result=3","7170084")</f>
        <v>0</v>
      </c>
      <c r="B10881" t="s">
        <v>2817</v>
      </c>
      <c r="C10881" t="s">
        <v>13923</v>
      </c>
      <c r="D10881" t="s">
        <v>17194</v>
      </c>
      <c r="E10881" t="s">
        <v>18897</v>
      </c>
      <c r="F10881" t="s">
        <v>29372</v>
      </c>
      <c r="G10881" t="s">
        <v>29380</v>
      </c>
      <c r="H10881" t="s">
        <v>11048</v>
      </c>
      <c r="I10881" t="s">
        <v>4487</v>
      </c>
      <c r="J10881" t="s">
        <v>29692</v>
      </c>
      <c r="K10881" t="s">
        <v>38485</v>
      </c>
      <c r="M10881" t="s">
        <v>41806</v>
      </c>
      <c r="N10881" t="s">
        <v>42669</v>
      </c>
      <c r="O10881" t="s">
        <v>42670</v>
      </c>
      <c r="P10881">
        <v>0</v>
      </c>
      <c r="Q10881">
        <v>2</v>
      </c>
      <c r="R10881" t="s">
        <v>42684</v>
      </c>
      <c r="S10881" t="s">
        <v>43183</v>
      </c>
      <c r="T10881" t="s">
        <v>44371</v>
      </c>
      <c r="U10881" t="s">
        <v>53691</v>
      </c>
      <c r="W10881" t="s">
        <v>41806</v>
      </c>
      <c r="X10881" t="s">
        <v>42685</v>
      </c>
    </row>
    <row r="10882" spans="1:24">
      <c r="A10882">
        <f>HYPERLINK("https://www.philgeps.gov.ph/GEPSNONPILOT/Tender/SplashBidNoticeAbstractUI.aspx?menuIndex=3&amp;refID=7170164&amp;Result=3","7170164")</f>
        <v>0</v>
      </c>
      <c r="B10882" t="s">
        <v>1817</v>
      </c>
      <c r="C10882" t="s">
        <v>13924</v>
      </c>
      <c r="D10882" t="s">
        <v>17153</v>
      </c>
      <c r="E10882" t="s">
        <v>26523</v>
      </c>
      <c r="F10882" t="s">
        <v>29372</v>
      </c>
      <c r="G10882" t="s">
        <v>29380</v>
      </c>
      <c r="H10882" t="s">
        <v>11048</v>
      </c>
      <c r="I10882" t="s">
        <v>29407</v>
      </c>
      <c r="J10882" t="s">
        <v>36415</v>
      </c>
      <c r="K10882" t="s">
        <v>38488</v>
      </c>
      <c r="M10882" t="s">
        <v>40688</v>
      </c>
      <c r="N10882" t="s">
        <v>42669</v>
      </c>
      <c r="O10882" t="s">
        <v>42670</v>
      </c>
      <c r="Q10882">
        <v>8</v>
      </c>
      <c r="R10882" t="s">
        <v>42684</v>
      </c>
      <c r="S10882" t="s">
        <v>43272</v>
      </c>
      <c r="T10882" t="s">
        <v>44375</v>
      </c>
      <c r="U10882" t="s">
        <v>51296</v>
      </c>
      <c r="W10882" t="s">
        <v>40688</v>
      </c>
      <c r="X10882" t="s">
        <v>42685</v>
      </c>
    </row>
    <row r="10883" spans="1:24">
      <c r="A10883">
        <f>HYPERLINK("https://www.philgeps.gov.ph/GEPSNONPILOT/Tender/SplashBidNoticeAbstractUI.aspx?menuIndex=3&amp;refID=7170133&amp;Result=3","7170133")</f>
        <v>0</v>
      </c>
      <c r="B10883" t="s">
        <v>1047</v>
      </c>
      <c r="C10883" t="s">
        <v>13925</v>
      </c>
      <c r="D10883" t="s">
        <v>17141</v>
      </c>
      <c r="E10883" t="s">
        <v>26524</v>
      </c>
      <c r="F10883" t="s">
        <v>29372</v>
      </c>
      <c r="G10883" t="s">
        <v>29380</v>
      </c>
      <c r="H10883" t="s">
        <v>11048</v>
      </c>
      <c r="I10883" t="s">
        <v>9642</v>
      </c>
      <c r="J10883" t="s">
        <v>36416</v>
      </c>
      <c r="K10883" t="s">
        <v>38485</v>
      </c>
      <c r="M10883" t="s">
        <v>42120</v>
      </c>
      <c r="N10883" t="s">
        <v>42669</v>
      </c>
      <c r="O10883" t="s">
        <v>42670</v>
      </c>
      <c r="P10883">
        <v>0</v>
      </c>
      <c r="Q10883">
        <v>19</v>
      </c>
      <c r="R10883" t="s">
        <v>42684</v>
      </c>
      <c r="S10883" t="s">
        <v>43183</v>
      </c>
      <c r="T10883" t="s">
        <v>44361</v>
      </c>
      <c r="U10883" t="s">
        <v>53692</v>
      </c>
      <c r="W10883" t="s">
        <v>42120</v>
      </c>
      <c r="X10883" t="s">
        <v>42685</v>
      </c>
    </row>
    <row r="10884" spans="1:24">
      <c r="A10884">
        <f>HYPERLINK("https://www.philgeps.gov.ph/GEPSNONPILOT/Tender/SplashBidNoticeAbstractUI.aspx?menuIndex=3&amp;refID=7170155&amp;Result=3","7170155")</f>
        <v>0</v>
      </c>
      <c r="B10884" t="s">
        <v>3086</v>
      </c>
      <c r="C10884" t="s">
        <v>13926</v>
      </c>
      <c r="D10884" t="s">
        <v>17177</v>
      </c>
      <c r="E10884" t="s">
        <v>26525</v>
      </c>
      <c r="F10884" t="s">
        <v>29372</v>
      </c>
      <c r="G10884" t="s">
        <v>29380</v>
      </c>
      <c r="H10884" t="s">
        <v>11048</v>
      </c>
      <c r="I10884" t="s">
        <v>8614</v>
      </c>
      <c r="J10884" t="s">
        <v>36417</v>
      </c>
      <c r="K10884" t="s">
        <v>38487</v>
      </c>
      <c r="M10884" t="s">
        <v>42121</v>
      </c>
      <c r="N10884" t="s">
        <v>42669</v>
      </c>
      <c r="O10884" t="s">
        <v>42670</v>
      </c>
      <c r="P10884">
        <v>0</v>
      </c>
      <c r="Q10884">
        <v>7</v>
      </c>
      <c r="R10884" t="s">
        <v>42684</v>
      </c>
      <c r="S10884" t="s">
        <v>43183</v>
      </c>
      <c r="T10884" t="s">
        <v>44422</v>
      </c>
      <c r="U10884" t="s">
        <v>53693</v>
      </c>
      <c r="W10884" t="s">
        <v>42121</v>
      </c>
      <c r="X10884" t="s">
        <v>42685</v>
      </c>
    </row>
    <row r="10885" spans="1:24">
      <c r="A10885">
        <f>HYPERLINK("https://www.philgeps.gov.ph/GEPSNONPILOT/Tender/SplashBidNoticeAbstractUI.aspx?menuIndex=3&amp;refID=7170114&amp;Result=3","7170114")</f>
        <v>0</v>
      </c>
      <c r="B10885" t="s">
        <v>465</v>
      </c>
      <c r="C10885" t="s">
        <v>13927</v>
      </c>
      <c r="D10885" t="s">
        <v>17168</v>
      </c>
      <c r="E10885" t="s">
        <v>26526</v>
      </c>
      <c r="F10885" t="s">
        <v>29372</v>
      </c>
      <c r="G10885" t="s">
        <v>29380</v>
      </c>
      <c r="H10885" t="s">
        <v>29389</v>
      </c>
      <c r="I10885" t="s">
        <v>10408</v>
      </c>
      <c r="J10885" t="s">
        <v>36418</v>
      </c>
      <c r="K10885" t="s">
        <v>38490</v>
      </c>
      <c r="M10885" t="s">
        <v>39229</v>
      </c>
      <c r="N10885" t="s">
        <v>42669</v>
      </c>
      <c r="O10885" t="s">
        <v>42670</v>
      </c>
      <c r="P10885">
        <v>0</v>
      </c>
      <c r="Q10885">
        <v>1</v>
      </c>
      <c r="R10885" t="s">
        <v>42684</v>
      </c>
      <c r="S10885" t="s">
        <v>43183</v>
      </c>
      <c r="T10885" t="s">
        <v>44412</v>
      </c>
      <c r="U10885" t="s">
        <v>53694</v>
      </c>
      <c r="W10885" t="s">
        <v>39229</v>
      </c>
      <c r="X10885" t="s">
        <v>42685</v>
      </c>
    </row>
    <row r="10886" spans="1:24">
      <c r="A10886">
        <f>HYPERLINK("https://www.philgeps.gov.ph/GEPSNONPILOT/Tender/SplashBidNoticeAbstractUI.aspx?menuIndex=3&amp;refID=7170157&amp;Result=3","7170157")</f>
        <v>0</v>
      </c>
      <c r="B10886" t="s">
        <v>1930</v>
      </c>
      <c r="C10886" t="s">
        <v>13928</v>
      </c>
      <c r="D10886" t="s">
        <v>17185</v>
      </c>
      <c r="E10886" t="s">
        <v>26527</v>
      </c>
      <c r="F10886" t="s">
        <v>29372</v>
      </c>
      <c r="G10886" t="s">
        <v>29380</v>
      </c>
      <c r="H10886" t="s">
        <v>11048</v>
      </c>
      <c r="I10886" t="s">
        <v>4709</v>
      </c>
      <c r="J10886" t="s">
        <v>36419</v>
      </c>
      <c r="K10886" t="s">
        <v>38490</v>
      </c>
      <c r="M10886" t="s">
        <v>40874</v>
      </c>
      <c r="N10886" t="s">
        <v>42669</v>
      </c>
      <c r="O10886" t="s">
        <v>42670</v>
      </c>
      <c r="P10886">
        <v>0</v>
      </c>
      <c r="Q10886">
        <v>3</v>
      </c>
      <c r="R10886" t="s">
        <v>42684</v>
      </c>
      <c r="S10886" t="s">
        <v>43183</v>
      </c>
      <c r="T10886" t="s">
        <v>44666</v>
      </c>
      <c r="U10886" t="s">
        <v>53695</v>
      </c>
      <c r="W10886" t="s">
        <v>40874</v>
      </c>
      <c r="X10886" t="s">
        <v>42685</v>
      </c>
    </row>
    <row r="10887" spans="1:24">
      <c r="A10887">
        <f>HYPERLINK("https://www.philgeps.gov.ph/GEPSNONPILOT/Tender/SplashBidNoticeAbstractUI.aspx?menuIndex=3&amp;refID=7170144&amp;Result=3","7170144")</f>
        <v>0</v>
      </c>
      <c r="B10887" t="s">
        <v>1192</v>
      </c>
      <c r="C10887" t="s">
        <v>13929</v>
      </c>
      <c r="D10887" t="s">
        <v>17213</v>
      </c>
      <c r="E10887" t="s">
        <v>17648</v>
      </c>
      <c r="F10887" t="s">
        <v>29372</v>
      </c>
      <c r="G10887" t="s">
        <v>29380</v>
      </c>
      <c r="H10887" t="s">
        <v>11048</v>
      </c>
      <c r="I10887" t="s">
        <v>29392</v>
      </c>
      <c r="J10887" t="s">
        <v>36420</v>
      </c>
      <c r="K10887" t="s">
        <v>38580</v>
      </c>
      <c r="M10887" t="s">
        <v>40008</v>
      </c>
      <c r="N10887" t="s">
        <v>42669</v>
      </c>
      <c r="O10887" t="s">
        <v>42670</v>
      </c>
      <c r="Q10887">
        <v>3</v>
      </c>
      <c r="R10887" t="s">
        <v>42684</v>
      </c>
      <c r="S10887" t="s">
        <v>43273</v>
      </c>
      <c r="T10887" t="s">
        <v>44802</v>
      </c>
      <c r="U10887" t="s">
        <v>53696</v>
      </c>
      <c r="W10887" t="s">
        <v>40008</v>
      </c>
      <c r="X10887" t="s">
        <v>42685</v>
      </c>
    </row>
    <row r="10888" spans="1:24">
      <c r="A10888">
        <f>HYPERLINK("https://www.philgeps.gov.ph/GEPSNONPILOT/Tender/SplashBidNoticeAbstractUI.aspx?menuIndex=3&amp;refID=7170156&amp;Result=3","7170156")</f>
        <v>0</v>
      </c>
      <c r="B10888" t="s">
        <v>3087</v>
      </c>
      <c r="C10888" t="s">
        <v>13930</v>
      </c>
      <c r="D10888" t="s">
        <v>17164</v>
      </c>
      <c r="E10888" t="s">
        <v>26528</v>
      </c>
      <c r="F10888" t="s">
        <v>29372</v>
      </c>
      <c r="G10888" t="s">
        <v>29380</v>
      </c>
      <c r="H10888" t="s">
        <v>29389</v>
      </c>
      <c r="I10888" t="s">
        <v>10408</v>
      </c>
      <c r="J10888" t="s">
        <v>36421</v>
      </c>
      <c r="K10888" t="s">
        <v>38563</v>
      </c>
      <c r="M10888" t="s">
        <v>42122</v>
      </c>
      <c r="N10888" t="s">
        <v>42669</v>
      </c>
      <c r="O10888" t="s">
        <v>42670</v>
      </c>
      <c r="Q10888">
        <v>2</v>
      </c>
      <c r="R10888" t="s">
        <v>42684</v>
      </c>
      <c r="S10888" t="s">
        <v>43274</v>
      </c>
      <c r="T10888" t="s">
        <v>44357</v>
      </c>
      <c r="U10888" t="s">
        <v>53697</v>
      </c>
      <c r="W10888" t="s">
        <v>42122</v>
      </c>
      <c r="X10888" t="s">
        <v>42685</v>
      </c>
    </row>
    <row r="10889" spans="1:24">
      <c r="A10889">
        <f>HYPERLINK("https://www.philgeps.gov.ph/GEPSNONPILOT/Tender/SplashBidNoticeAbstractUI.aspx?menuIndex=3&amp;refID=7170142&amp;Result=3","7170142")</f>
        <v>0</v>
      </c>
      <c r="B10889" t="s">
        <v>616</v>
      </c>
      <c r="C10889" t="s">
        <v>13931</v>
      </c>
      <c r="D10889" t="s">
        <v>17204</v>
      </c>
      <c r="E10889" t="s">
        <v>26529</v>
      </c>
      <c r="F10889" t="s">
        <v>29372</v>
      </c>
      <c r="G10889" t="s">
        <v>29380</v>
      </c>
      <c r="H10889" t="s">
        <v>11048</v>
      </c>
      <c r="I10889" t="s">
        <v>8614</v>
      </c>
      <c r="J10889" t="s">
        <v>36422</v>
      </c>
      <c r="K10889" t="s">
        <v>38485</v>
      </c>
      <c r="M10889" t="s">
        <v>41869</v>
      </c>
      <c r="N10889" t="s">
        <v>42669</v>
      </c>
      <c r="O10889" t="s">
        <v>42670</v>
      </c>
      <c r="P10889">
        <v>0</v>
      </c>
      <c r="Q10889">
        <v>12</v>
      </c>
      <c r="R10889" t="s">
        <v>42684</v>
      </c>
      <c r="S10889" t="s">
        <v>43183</v>
      </c>
      <c r="T10889" t="s">
        <v>44485</v>
      </c>
      <c r="U10889" t="s">
        <v>53698</v>
      </c>
      <c r="W10889" t="s">
        <v>41869</v>
      </c>
      <c r="X10889" t="s">
        <v>42685</v>
      </c>
    </row>
    <row r="10890" spans="1:24">
      <c r="A10890">
        <f>HYPERLINK("https://www.philgeps.gov.ph/GEPSNONPILOT/Tender/SplashBidNoticeAbstractUI.aspx?menuIndex=3&amp;refID=7170192&amp;Result=3","7170192")</f>
        <v>0</v>
      </c>
      <c r="B10890" t="s">
        <v>2341</v>
      </c>
      <c r="C10890" t="s">
        <v>13932</v>
      </c>
      <c r="D10890" t="s">
        <v>17141</v>
      </c>
      <c r="E10890" t="s">
        <v>26530</v>
      </c>
      <c r="F10890" t="s">
        <v>29372</v>
      </c>
      <c r="G10890" t="s">
        <v>29380</v>
      </c>
      <c r="H10890" t="s">
        <v>11048</v>
      </c>
      <c r="I10890" t="s">
        <v>29414</v>
      </c>
      <c r="J10890" t="s">
        <v>31110</v>
      </c>
      <c r="K10890" t="s">
        <v>38485</v>
      </c>
      <c r="M10890" t="s">
        <v>42123</v>
      </c>
      <c r="N10890" t="s">
        <v>42669</v>
      </c>
      <c r="O10890" t="s">
        <v>42670</v>
      </c>
      <c r="P10890">
        <v>0</v>
      </c>
      <c r="Q10890">
        <v>26</v>
      </c>
      <c r="R10890" t="s">
        <v>42684</v>
      </c>
      <c r="S10890" t="s">
        <v>43183</v>
      </c>
      <c r="T10890" t="s">
        <v>44412</v>
      </c>
      <c r="U10890" t="s">
        <v>53699</v>
      </c>
      <c r="W10890" t="s">
        <v>42123</v>
      </c>
      <c r="X10890" t="s">
        <v>42685</v>
      </c>
    </row>
    <row r="10891" spans="1:24">
      <c r="A10891">
        <f>HYPERLINK("https://www.philgeps.gov.ph/GEPSNONPILOT/Tender/SplashBidNoticeAbstractUI.aspx?menuIndex=3&amp;refID=7170123&amp;Result=3","7170123")</f>
        <v>0</v>
      </c>
      <c r="B10891" t="s">
        <v>503</v>
      </c>
      <c r="C10891" t="s">
        <v>13933</v>
      </c>
      <c r="D10891" t="s">
        <v>17156</v>
      </c>
      <c r="E10891" t="s">
        <v>26531</v>
      </c>
      <c r="F10891" t="s">
        <v>29372</v>
      </c>
      <c r="G10891" t="s">
        <v>29380</v>
      </c>
      <c r="H10891" t="s">
        <v>11048</v>
      </c>
      <c r="I10891" t="s">
        <v>29428</v>
      </c>
      <c r="J10891" t="s">
        <v>36423</v>
      </c>
      <c r="K10891" t="s">
        <v>38485</v>
      </c>
      <c r="M10891" t="s">
        <v>39268</v>
      </c>
      <c r="N10891" t="s">
        <v>42669</v>
      </c>
      <c r="O10891" t="s">
        <v>42670</v>
      </c>
      <c r="Q10891">
        <v>3</v>
      </c>
      <c r="R10891" t="s">
        <v>42684</v>
      </c>
      <c r="S10891" t="s">
        <v>43275</v>
      </c>
      <c r="T10891" t="s">
        <v>44375</v>
      </c>
      <c r="U10891" t="s">
        <v>53700</v>
      </c>
      <c r="W10891" t="s">
        <v>39268</v>
      </c>
      <c r="X10891" t="s">
        <v>42685</v>
      </c>
    </row>
    <row r="10892" spans="1:24">
      <c r="A10892">
        <f>HYPERLINK("https://www.philgeps.gov.ph/GEPSNONPILOT/Tender/SplashBidNoticeAbstractUI.aspx?menuIndex=3&amp;refID=7170191&amp;Result=3","7170191")</f>
        <v>0</v>
      </c>
      <c r="B10892" t="s">
        <v>3086</v>
      </c>
      <c r="C10892" t="s">
        <v>13934</v>
      </c>
      <c r="D10892" t="s">
        <v>17177</v>
      </c>
      <c r="E10892" t="s">
        <v>26532</v>
      </c>
      <c r="F10892" t="s">
        <v>29372</v>
      </c>
      <c r="G10892" t="s">
        <v>29380</v>
      </c>
      <c r="H10892" t="s">
        <v>29389</v>
      </c>
      <c r="I10892" t="s">
        <v>10408</v>
      </c>
      <c r="J10892" t="s">
        <v>36424</v>
      </c>
      <c r="K10892" t="s">
        <v>38579</v>
      </c>
      <c r="M10892" t="s">
        <v>42121</v>
      </c>
      <c r="N10892" t="s">
        <v>42669</v>
      </c>
      <c r="O10892" t="s">
        <v>42670</v>
      </c>
      <c r="P10892">
        <v>0</v>
      </c>
      <c r="Q10892">
        <v>4</v>
      </c>
      <c r="R10892" t="s">
        <v>42684</v>
      </c>
      <c r="S10892" t="s">
        <v>43183</v>
      </c>
      <c r="T10892" t="s">
        <v>44422</v>
      </c>
      <c r="U10892" t="s">
        <v>53701</v>
      </c>
      <c r="W10892" t="s">
        <v>42121</v>
      </c>
      <c r="X10892" t="s">
        <v>42685</v>
      </c>
    </row>
    <row r="10893" spans="1:24">
      <c r="A10893">
        <f>HYPERLINK("https://www.philgeps.gov.ph/GEPSNONPILOT/Tender/SplashBidNoticeAbstractUI.aspx?menuIndex=3&amp;refID=7170185&amp;Result=3","7170185")</f>
        <v>0</v>
      </c>
      <c r="B10893" t="s">
        <v>2916</v>
      </c>
      <c r="C10893" t="s">
        <v>13935</v>
      </c>
      <c r="D10893" t="s">
        <v>17172</v>
      </c>
      <c r="E10893" t="s">
        <v>26533</v>
      </c>
      <c r="F10893" t="s">
        <v>29372</v>
      </c>
      <c r="G10893" t="s">
        <v>29380</v>
      </c>
      <c r="H10893" t="s">
        <v>29391</v>
      </c>
      <c r="I10893" t="s">
        <v>29391</v>
      </c>
      <c r="J10893" t="s">
        <v>31219</v>
      </c>
      <c r="K10893" t="s">
        <v>38490</v>
      </c>
      <c r="M10893" t="s">
        <v>41916</v>
      </c>
      <c r="N10893" t="s">
        <v>42669</v>
      </c>
      <c r="O10893" t="s">
        <v>42670</v>
      </c>
      <c r="Q10893">
        <v>13</v>
      </c>
      <c r="R10893" t="s">
        <v>42684</v>
      </c>
      <c r="S10893" t="s">
        <v>43276</v>
      </c>
      <c r="T10893" t="s">
        <v>44364</v>
      </c>
      <c r="U10893" t="s">
        <v>53702</v>
      </c>
      <c r="W10893" t="s">
        <v>41916</v>
      </c>
      <c r="X10893" t="s">
        <v>42685</v>
      </c>
    </row>
    <row r="10894" spans="1:24">
      <c r="A10894">
        <f>HYPERLINK("https://www.philgeps.gov.ph/GEPSNONPILOT/Tender/SplashBidNoticeAbstractUI.aspx?menuIndex=3&amp;refID=7170184&amp;Result=3","7170184")</f>
        <v>0</v>
      </c>
      <c r="B10894" t="s">
        <v>1047</v>
      </c>
      <c r="C10894" t="s">
        <v>13936</v>
      </c>
      <c r="D10894" t="s">
        <v>17141</v>
      </c>
      <c r="E10894" t="s">
        <v>26534</v>
      </c>
      <c r="F10894" t="s">
        <v>29372</v>
      </c>
      <c r="G10894" t="s">
        <v>29380</v>
      </c>
      <c r="H10894" t="s">
        <v>11048</v>
      </c>
      <c r="I10894" t="s">
        <v>3839</v>
      </c>
      <c r="J10894" t="s">
        <v>36425</v>
      </c>
      <c r="K10894" t="s">
        <v>38485</v>
      </c>
      <c r="M10894" t="s">
        <v>42119</v>
      </c>
      <c r="N10894" t="s">
        <v>42669</v>
      </c>
      <c r="O10894" t="s">
        <v>42670</v>
      </c>
      <c r="P10894">
        <v>0</v>
      </c>
      <c r="Q10894">
        <v>27</v>
      </c>
      <c r="R10894" t="s">
        <v>42684</v>
      </c>
      <c r="S10894" t="s">
        <v>43183</v>
      </c>
      <c r="T10894" t="s">
        <v>44361</v>
      </c>
      <c r="U10894" t="s">
        <v>53703</v>
      </c>
      <c r="W10894" t="s">
        <v>42119</v>
      </c>
      <c r="X10894" t="s">
        <v>42685</v>
      </c>
    </row>
    <row r="10895" spans="1:24">
      <c r="A10895">
        <f>HYPERLINK("https://www.philgeps.gov.ph/GEPSNONPILOT/Tender/SplashBidNoticeAbstractUI.aspx?menuIndex=3&amp;refID=7170245&amp;Result=3","7170245")</f>
        <v>0</v>
      </c>
      <c r="B10895" t="s">
        <v>1047</v>
      </c>
      <c r="C10895" t="s">
        <v>13937</v>
      </c>
      <c r="D10895" t="s">
        <v>17141</v>
      </c>
      <c r="E10895" t="s">
        <v>26535</v>
      </c>
      <c r="F10895" t="s">
        <v>29372</v>
      </c>
      <c r="G10895" t="s">
        <v>29380</v>
      </c>
      <c r="H10895" t="s">
        <v>11048</v>
      </c>
      <c r="I10895" t="s">
        <v>29458</v>
      </c>
      <c r="J10895" t="s">
        <v>30751</v>
      </c>
      <c r="K10895" t="s">
        <v>38488</v>
      </c>
      <c r="M10895" t="s">
        <v>42124</v>
      </c>
      <c r="N10895" t="s">
        <v>42669</v>
      </c>
      <c r="O10895" t="s">
        <v>42670</v>
      </c>
      <c r="Q10895">
        <v>5</v>
      </c>
      <c r="R10895" t="s">
        <v>42684</v>
      </c>
      <c r="S10895" t="s">
        <v>43277</v>
      </c>
      <c r="T10895" t="s">
        <v>44361</v>
      </c>
      <c r="U10895" t="s">
        <v>53704</v>
      </c>
      <c r="W10895" t="s">
        <v>42124</v>
      </c>
      <c r="X10895" t="s">
        <v>42685</v>
      </c>
    </row>
    <row r="10896" spans="1:24">
      <c r="A10896">
        <f>HYPERLINK("https://www.philgeps.gov.ph/GEPSNONPILOT/Tender/SplashBidNoticeAbstractUI.aspx?menuIndex=3&amp;refID=7170179&amp;Result=3","7170179")</f>
        <v>0</v>
      </c>
      <c r="B10896" t="s">
        <v>3087</v>
      </c>
      <c r="C10896" t="s">
        <v>13938</v>
      </c>
      <c r="D10896" t="s">
        <v>17164</v>
      </c>
      <c r="E10896" t="s">
        <v>26536</v>
      </c>
      <c r="F10896" t="s">
        <v>29372</v>
      </c>
      <c r="G10896" t="s">
        <v>29380</v>
      </c>
      <c r="H10896" t="s">
        <v>29389</v>
      </c>
      <c r="I10896" t="s">
        <v>10408</v>
      </c>
      <c r="J10896" t="s">
        <v>36426</v>
      </c>
      <c r="K10896" t="s">
        <v>38563</v>
      </c>
      <c r="M10896" t="s">
        <v>42122</v>
      </c>
      <c r="N10896" t="s">
        <v>42669</v>
      </c>
      <c r="O10896" t="s">
        <v>42670</v>
      </c>
      <c r="Q10896">
        <v>2</v>
      </c>
      <c r="R10896" t="s">
        <v>42684</v>
      </c>
      <c r="S10896" t="s">
        <v>43278</v>
      </c>
      <c r="T10896" t="s">
        <v>44357</v>
      </c>
      <c r="U10896" t="s">
        <v>53697</v>
      </c>
      <c r="W10896" t="s">
        <v>42122</v>
      </c>
      <c r="X10896" t="s">
        <v>42685</v>
      </c>
    </row>
    <row r="10897" spans="1:24">
      <c r="A10897">
        <f>HYPERLINK("https://www.philgeps.gov.ph/GEPSNONPILOT/Tender/SplashBidNoticeAbstractUI.aspx?menuIndex=3&amp;refID=7170177&amp;Result=3","7170177")</f>
        <v>0</v>
      </c>
      <c r="B10897" t="s">
        <v>3088</v>
      </c>
      <c r="C10897" t="s">
        <v>13939</v>
      </c>
      <c r="D10897" t="s">
        <v>17181</v>
      </c>
      <c r="E10897" t="s">
        <v>26537</v>
      </c>
      <c r="F10897" t="s">
        <v>29372</v>
      </c>
      <c r="G10897" t="s">
        <v>29380</v>
      </c>
      <c r="H10897" t="s">
        <v>11048</v>
      </c>
      <c r="I10897" t="s">
        <v>29395</v>
      </c>
      <c r="J10897" t="s">
        <v>29708</v>
      </c>
      <c r="K10897" t="s">
        <v>38488</v>
      </c>
      <c r="M10897" t="s">
        <v>42125</v>
      </c>
      <c r="N10897" t="s">
        <v>42669</v>
      </c>
      <c r="O10897" t="s">
        <v>42670</v>
      </c>
      <c r="P10897">
        <v>0</v>
      </c>
      <c r="Q10897">
        <v>0</v>
      </c>
      <c r="R10897" t="s">
        <v>42684</v>
      </c>
      <c r="S10897" t="s">
        <v>43183</v>
      </c>
      <c r="T10897" t="s">
        <v>44432</v>
      </c>
      <c r="U10897" t="s">
        <v>53705</v>
      </c>
      <c r="W10897" t="s">
        <v>42125</v>
      </c>
      <c r="X10897" t="s">
        <v>42685</v>
      </c>
    </row>
    <row r="10898" spans="1:24">
      <c r="A10898">
        <f>HYPERLINK("https://www.philgeps.gov.ph/GEPSNONPILOT/Tender/SplashBidNoticeAbstractUI.aspx?menuIndex=3&amp;refID=7170151&amp;Result=3","7170151")</f>
        <v>0</v>
      </c>
      <c r="B10898" t="s">
        <v>58</v>
      </c>
      <c r="C10898" t="s">
        <v>13940</v>
      </c>
      <c r="D10898" t="s">
        <v>17144</v>
      </c>
      <c r="E10898" t="s">
        <v>26538</v>
      </c>
      <c r="F10898" t="s">
        <v>29372</v>
      </c>
      <c r="G10898" t="s">
        <v>29384</v>
      </c>
      <c r="H10898" t="s">
        <v>29389</v>
      </c>
      <c r="I10898" t="s">
        <v>10408</v>
      </c>
      <c r="J10898" t="s">
        <v>36427</v>
      </c>
      <c r="K10898" t="s">
        <v>38490</v>
      </c>
      <c r="L10898" t="s">
        <v>58</v>
      </c>
      <c r="M10898" t="s">
        <v>40154</v>
      </c>
      <c r="N10898" t="s">
        <v>42669</v>
      </c>
      <c r="O10898" t="s">
        <v>42670</v>
      </c>
      <c r="Q10898">
        <v>7</v>
      </c>
      <c r="R10898" t="s">
        <v>42684</v>
      </c>
      <c r="S10898" t="s">
        <v>43279</v>
      </c>
      <c r="T10898" t="s">
        <v>44412</v>
      </c>
      <c r="U10898" t="s">
        <v>53706</v>
      </c>
      <c r="W10898" t="s">
        <v>40154</v>
      </c>
      <c r="X10898" t="s">
        <v>42685</v>
      </c>
    </row>
    <row r="10899" spans="1:24">
      <c r="A10899">
        <f>HYPERLINK("https://www.philgeps.gov.ph/GEPSNONPILOT/Tender/SplashBidNoticeAbstractUI.aspx?menuIndex=3&amp;refID=7170237&amp;Result=3","7170237")</f>
        <v>0</v>
      </c>
      <c r="B10899" t="s">
        <v>3089</v>
      </c>
      <c r="C10899" t="s">
        <v>13941</v>
      </c>
      <c r="D10899" t="s">
        <v>17171</v>
      </c>
      <c r="E10899" t="s">
        <v>26539</v>
      </c>
      <c r="F10899" t="s">
        <v>29372</v>
      </c>
      <c r="G10899" t="s">
        <v>29380</v>
      </c>
      <c r="H10899" t="s">
        <v>29389</v>
      </c>
      <c r="I10899" t="s">
        <v>10408</v>
      </c>
      <c r="J10899" t="s">
        <v>35595</v>
      </c>
      <c r="K10899" t="s">
        <v>38642</v>
      </c>
      <c r="M10899" t="s">
        <v>42126</v>
      </c>
      <c r="N10899" t="s">
        <v>42669</v>
      </c>
      <c r="O10899" t="s">
        <v>42670</v>
      </c>
      <c r="P10899">
        <v>0</v>
      </c>
      <c r="Q10899">
        <v>8</v>
      </c>
      <c r="R10899" t="s">
        <v>42684</v>
      </c>
      <c r="S10899" t="s">
        <v>43183</v>
      </c>
      <c r="T10899" t="s">
        <v>44457</v>
      </c>
      <c r="U10899" t="s">
        <v>53707</v>
      </c>
      <c r="V10899" t="s">
        <v>56571</v>
      </c>
      <c r="W10899" t="s">
        <v>58109</v>
      </c>
      <c r="X10899" t="s">
        <v>42685</v>
      </c>
    </row>
    <row r="10900" spans="1:24">
      <c r="A10900">
        <f>HYPERLINK("https://www.philgeps.gov.ph/GEPSNONPILOT/Tender/SplashBidNoticeAbstractUI.aspx?menuIndex=3&amp;refID=7170233&amp;Result=3","7170233")</f>
        <v>0</v>
      </c>
      <c r="B10900" t="s">
        <v>841</v>
      </c>
      <c r="C10900" t="s">
        <v>13942</v>
      </c>
      <c r="D10900" t="s">
        <v>17142</v>
      </c>
      <c r="E10900" t="s">
        <v>26540</v>
      </c>
      <c r="F10900" t="s">
        <v>29372</v>
      </c>
      <c r="G10900" t="s">
        <v>29380</v>
      </c>
      <c r="H10900" t="s">
        <v>29389</v>
      </c>
      <c r="I10900" t="s">
        <v>10408</v>
      </c>
      <c r="J10900" t="s">
        <v>36428</v>
      </c>
      <c r="K10900" t="s">
        <v>38606</v>
      </c>
      <c r="M10900" t="s">
        <v>39631</v>
      </c>
      <c r="N10900" t="s">
        <v>42669</v>
      </c>
      <c r="O10900" t="s">
        <v>42670</v>
      </c>
      <c r="P10900">
        <v>0</v>
      </c>
      <c r="Q10900">
        <v>11</v>
      </c>
      <c r="R10900" t="s">
        <v>42684</v>
      </c>
      <c r="S10900" t="s">
        <v>43183</v>
      </c>
      <c r="T10900" t="s">
        <v>44412</v>
      </c>
      <c r="U10900" t="s">
        <v>53708</v>
      </c>
      <c r="W10900" t="s">
        <v>39631</v>
      </c>
      <c r="X10900" t="s">
        <v>42685</v>
      </c>
    </row>
    <row r="10901" spans="1:24">
      <c r="A10901">
        <f>HYPERLINK("https://www.philgeps.gov.ph/GEPSNONPILOT/Tender/SplashBidNoticeAbstractUI.aspx?menuIndex=3&amp;refID=7170227&amp;Result=3","7170227")</f>
        <v>0</v>
      </c>
      <c r="B10901" t="s">
        <v>58</v>
      </c>
      <c r="C10901" t="s">
        <v>13943</v>
      </c>
      <c r="D10901" t="s">
        <v>17144</v>
      </c>
      <c r="E10901" t="s">
        <v>26541</v>
      </c>
      <c r="F10901" t="s">
        <v>29372</v>
      </c>
      <c r="G10901" t="s">
        <v>29384</v>
      </c>
      <c r="H10901" t="s">
        <v>29389</v>
      </c>
      <c r="I10901" t="s">
        <v>10408</v>
      </c>
      <c r="J10901" t="s">
        <v>30161</v>
      </c>
      <c r="K10901" t="s">
        <v>38490</v>
      </c>
      <c r="L10901" t="s">
        <v>58</v>
      </c>
      <c r="M10901" t="s">
        <v>40154</v>
      </c>
      <c r="N10901" t="s">
        <v>42669</v>
      </c>
      <c r="O10901" t="s">
        <v>42670</v>
      </c>
      <c r="Q10901">
        <v>10</v>
      </c>
      <c r="R10901" t="s">
        <v>42684</v>
      </c>
      <c r="S10901" t="s">
        <v>43280</v>
      </c>
      <c r="T10901" t="s">
        <v>44412</v>
      </c>
      <c r="U10901" t="s">
        <v>53709</v>
      </c>
      <c r="W10901" t="s">
        <v>40154</v>
      </c>
      <c r="X10901" t="s">
        <v>42685</v>
      </c>
    </row>
    <row r="10902" spans="1:24">
      <c r="A10902">
        <f>HYPERLINK("https://www.philgeps.gov.ph/GEPSNONPILOT/Tender/SplashBidNoticeAbstractUI.aspx?menuIndex=3&amp;refID=7170207&amp;Result=3","7170207")</f>
        <v>0</v>
      </c>
      <c r="B10902" t="s">
        <v>3087</v>
      </c>
      <c r="C10902" t="s">
        <v>13944</v>
      </c>
      <c r="D10902" t="s">
        <v>17164</v>
      </c>
      <c r="E10902" t="s">
        <v>26542</v>
      </c>
      <c r="F10902" t="s">
        <v>29372</v>
      </c>
      <c r="G10902" t="s">
        <v>29380</v>
      </c>
      <c r="H10902" t="s">
        <v>29389</v>
      </c>
      <c r="I10902" t="s">
        <v>10408</v>
      </c>
      <c r="J10902" t="s">
        <v>36421</v>
      </c>
      <c r="K10902" t="s">
        <v>38563</v>
      </c>
      <c r="M10902" t="s">
        <v>42122</v>
      </c>
      <c r="N10902" t="s">
        <v>42669</v>
      </c>
      <c r="O10902" t="s">
        <v>42670</v>
      </c>
      <c r="Q10902">
        <v>2</v>
      </c>
      <c r="R10902" t="s">
        <v>42684</v>
      </c>
      <c r="S10902" t="s">
        <v>43281</v>
      </c>
      <c r="T10902" t="s">
        <v>44357</v>
      </c>
      <c r="U10902" t="s">
        <v>53697</v>
      </c>
      <c r="W10902" t="s">
        <v>42122</v>
      </c>
      <c r="X10902" t="s">
        <v>42685</v>
      </c>
    </row>
    <row r="10903" spans="1:24">
      <c r="A10903">
        <f>HYPERLINK("https://www.philgeps.gov.ph/GEPSNONPILOT/Tender/SplashBidNoticeAbstractUI.aspx?menuIndex=3&amp;refID=7170226&amp;Result=3","7170226")</f>
        <v>0</v>
      </c>
      <c r="B10903" t="s">
        <v>1047</v>
      </c>
      <c r="C10903" t="s">
        <v>13945</v>
      </c>
      <c r="D10903" t="s">
        <v>17141</v>
      </c>
      <c r="E10903" t="s">
        <v>26543</v>
      </c>
      <c r="F10903" t="s">
        <v>29372</v>
      </c>
      <c r="G10903" t="s">
        <v>29380</v>
      </c>
      <c r="H10903" t="s">
        <v>11048</v>
      </c>
      <c r="I10903" t="s">
        <v>3695</v>
      </c>
      <c r="J10903" t="s">
        <v>36429</v>
      </c>
      <c r="K10903" t="s">
        <v>38485</v>
      </c>
      <c r="M10903" t="s">
        <v>42124</v>
      </c>
      <c r="N10903" t="s">
        <v>42669</v>
      </c>
      <c r="O10903" t="s">
        <v>42670</v>
      </c>
      <c r="P10903">
        <v>0</v>
      </c>
      <c r="Q10903">
        <v>11</v>
      </c>
      <c r="R10903" t="s">
        <v>42684</v>
      </c>
      <c r="S10903" t="s">
        <v>43183</v>
      </c>
      <c r="T10903" t="s">
        <v>44361</v>
      </c>
      <c r="U10903" t="s">
        <v>53710</v>
      </c>
      <c r="W10903" t="s">
        <v>42124</v>
      </c>
      <c r="X10903" t="s">
        <v>42685</v>
      </c>
    </row>
    <row r="10904" spans="1:24">
      <c r="A10904">
        <f>HYPERLINK("https://www.philgeps.gov.ph/GEPSNONPILOT/Tender/SplashBidNoticeAbstractUI.aspx?menuIndex=3&amp;refID=7170198&amp;Result=3","7170198")</f>
        <v>0</v>
      </c>
      <c r="B10904" t="s">
        <v>3088</v>
      </c>
      <c r="C10904" t="s">
        <v>13946</v>
      </c>
      <c r="D10904" t="s">
        <v>17181</v>
      </c>
      <c r="E10904" t="s">
        <v>26544</v>
      </c>
      <c r="F10904" t="s">
        <v>29372</v>
      </c>
      <c r="G10904" t="s">
        <v>29380</v>
      </c>
      <c r="H10904" t="s">
        <v>11048</v>
      </c>
      <c r="I10904" t="s">
        <v>29417</v>
      </c>
      <c r="J10904" t="s">
        <v>30036</v>
      </c>
      <c r="K10904" t="s">
        <v>38485</v>
      </c>
      <c r="M10904" t="s">
        <v>42125</v>
      </c>
      <c r="N10904" t="s">
        <v>42669</v>
      </c>
      <c r="O10904" t="s">
        <v>42670</v>
      </c>
      <c r="P10904">
        <v>0</v>
      </c>
      <c r="Q10904">
        <v>1</v>
      </c>
      <c r="R10904" t="s">
        <v>42684</v>
      </c>
      <c r="S10904" t="s">
        <v>43183</v>
      </c>
      <c r="T10904" t="s">
        <v>44432</v>
      </c>
      <c r="U10904" t="s">
        <v>53711</v>
      </c>
      <c r="W10904" t="s">
        <v>42125</v>
      </c>
      <c r="X10904" t="s">
        <v>42685</v>
      </c>
    </row>
    <row r="10905" spans="1:24">
      <c r="A10905">
        <f>HYPERLINK("https://www.philgeps.gov.ph/GEPSNONPILOT/Tender/SplashBidNoticeAbstractUI.aspx?menuIndex=3&amp;refID=7170238&amp;Result=3","7170238")</f>
        <v>0</v>
      </c>
      <c r="B10905" t="s">
        <v>3090</v>
      </c>
      <c r="C10905" t="s">
        <v>13947</v>
      </c>
      <c r="D10905" t="s">
        <v>17212</v>
      </c>
      <c r="E10905" t="s">
        <v>26545</v>
      </c>
      <c r="F10905" t="s">
        <v>29372</v>
      </c>
      <c r="G10905" t="s">
        <v>29380</v>
      </c>
      <c r="H10905" t="s">
        <v>29389</v>
      </c>
      <c r="I10905" t="s">
        <v>10408</v>
      </c>
      <c r="J10905" t="s">
        <v>36430</v>
      </c>
      <c r="K10905" t="s">
        <v>38572</v>
      </c>
      <c r="M10905" t="s">
        <v>42127</v>
      </c>
      <c r="N10905" t="s">
        <v>42669</v>
      </c>
      <c r="O10905" t="s">
        <v>42670</v>
      </c>
      <c r="P10905">
        <v>0</v>
      </c>
      <c r="Q10905">
        <v>1</v>
      </c>
      <c r="R10905" t="s">
        <v>42684</v>
      </c>
      <c r="S10905" t="s">
        <v>43183</v>
      </c>
      <c r="T10905" t="s">
        <v>44412</v>
      </c>
      <c r="U10905" t="s">
        <v>53712</v>
      </c>
      <c r="W10905" t="s">
        <v>42127</v>
      </c>
      <c r="X10905" t="s">
        <v>42685</v>
      </c>
    </row>
    <row r="10906" spans="1:24">
      <c r="A10906">
        <f>HYPERLINK("https://www.philgeps.gov.ph/GEPSNONPILOT/Tender/SplashBidNoticeAbstractUI.aspx?menuIndex=3&amp;refID=7170193&amp;Result=3","7170193")</f>
        <v>0</v>
      </c>
      <c r="B10906" t="s">
        <v>58</v>
      </c>
      <c r="C10906" t="s">
        <v>13948</v>
      </c>
      <c r="D10906" t="s">
        <v>17144</v>
      </c>
      <c r="E10906" t="s">
        <v>26546</v>
      </c>
      <c r="F10906" t="s">
        <v>29372</v>
      </c>
      <c r="G10906" t="s">
        <v>29384</v>
      </c>
      <c r="H10906" t="s">
        <v>29389</v>
      </c>
      <c r="I10906" t="s">
        <v>10408</v>
      </c>
      <c r="J10906" t="s">
        <v>32852</v>
      </c>
      <c r="K10906" t="s">
        <v>38490</v>
      </c>
      <c r="L10906" t="s">
        <v>58</v>
      </c>
      <c r="M10906" t="s">
        <v>40154</v>
      </c>
      <c r="N10906" t="s">
        <v>42669</v>
      </c>
      <c r="O10906" t="s">
        <v>42670</v>
      </c>
      <c r="Q10906">
        <v>7</v>
      </c>
      <c r="R10906" t="s">
        <v>42684</v>
      </c>
      <c r="S10906" t="s">
        <v>43282</v>
      </c>
      <c r="T10906" t="s">
        <v>44412</v>
      </c>
      <c r="U10906" t="s">
        <v>53713</v>
      </c>
      <c r="W10906" t="s">
        <v>40154</v>
      </c>
      <c r="X10906" t="s">
        <v>42685</v>
      </c>
    </row>
    <row r="10907" spans="1:24">
      <c r="A10907">
        <f>HYPERLINK("https://www.philgeps.gov.ph/GEPSNONPILOT/Tender/SplashBidNoticeAbstractUI.aspx?menuIndex=3&amp;refID=7170182&amp;Result=3","7170182")</f>
        <v>0</v>
      </c>
      <c r="B10907" t="s">
        <v>3091</v>
      </c>
      <c r="C10907" t="s">
        <v>13949</v>
      </c>
      <c r="D10907" t="s">
        <v>17160</v>
      </c>
      <c r="E10907" t="s">
        <v>26547</v>
      </c>
      <c r="F10907" t="s">
        <v>29372</v>
      </c>
      <c r="G10907" t="s">
        <v>29380</v>
      </c>
      <c r="H10907" t="s">
        <v>11048</v>
      </c>
      <c r="I10907" t="s">
        <v>3839</v>
      </c>
      <c r="J10907" t="s">
        <v>34195</v>
      </c>
      <c r="K10907" t="s">
        <v>38488</v>
      </c>
      <c r="M10907" t="s">
        <v>42128</v>
      </c>
      <c r="N10907" t="s">
        <v>42669</v>
      </c>
      <c r="O10907" t="s">
        <v>42670</v>
      </c>
      <c r="Q10907">
        <v>4</v>
      </c>
      <c r="R10907" t="s">
        <v>42684</v>
      </c>
      <c r="S10907" t="s">
        <v>43283</v>
      </c>
      <c r="T10907" t="s">
        <v>44469</v>
      </c>
      <c r="U10907" t="s">
        <v>53714</v>
      </c>
      <c r="W10907" t="s">
        <v>42128</v>
      </c>
      <c r="X10907" t="s">
        <v>42685</v>
      </c>
    </row>
    <row r="10908" spans="1:24">
      <c r="A10908">
        <f>HYPERLINK("https://www.philgeps.gov.ph/GEPSNONPILOT/Tender/SplashBidNoticeAbstractUI.aspx?menuIndex=3&amp;refID=7170181&amp;Result=3","7170181")</f>
        <v>0</v>
      </c>
      <c r="B10908" t="s">
        <v>933</v>
      </c>
      <c r="C10908" t="s">
        <v>13950</v>
      </c>
      <c r="D10908" t="s">
        <v>17170</v>
      </c>
      <c r="E10908" t="s">
        <v>26548</v>
      </c>
      <c r="F10908" t="s">
        <v>29372</v>
      </c>
      <c r="G10908" t="s">
        <v>29380</v>
      </c>
      <c r="H10908" t="s">
        <v>11048</v>
      </c>
      <c r="I10908" t="s">
        <v>29466</v>
      </c>
      <c r="J10908" t="s">
        <v>36431</v>
      </c>
      <c r="K10908" t="s">
        <v>38490</v>
      </c>
      <c r="M10908" t="s">
        <v>41092</v>
      </c>
      <c r="N10908" t="s">
        <v>42669</v>
      </c>
      <c r="O10908" t="s">
        <v>42670</v>
      </c>
      <c r="P10908">
        <v>0</v>
      </c>
      <c r="Q10908">
        <v>1</v>
      </c>
      <c r="R10908" t="s">
        <v>42684</v>
      </c>
      <c r="S10908" t="s">
        <v>43183</v>
      </c>
      <c r="T10908" t="s">
        <v>44375</v>
      </c>
      <c r="U10908" t="s">
        <v>53715</v>
      </c>
      <c r="V10908" t="s">
        <v>57074</v>
      </c>
      <c r="W10908" t="s">
        <v>41092</v>
      </c>
      <c r="X10908" t="s">
        <v>42685</v>
      </c>
    </row>
    <row r="10909" spans="1:24">
      <c r="A10909">
        <f>HYPERLINK("https://www.philgeps.gov.ph/GEPSNONPILOT/Tender/SplashBidNoticeAbstractUI.aspx?menuIndex=3&amp;refID=7170251&amp;Result=3","7170251")</f>
        <v>0</v>
      </c>
      <c r="B10909" t="s">
        <v>3090</v>
      </c>
      <c r="C10909" t="s">
        <v>13951</v>
      </c>
      <c r="D10909" t="s">
        <v>17212</v>
      </c>
      <c r="E10909" t="s">
        <v>26549</v>
      </c>
      <c r="F10909" t="s">
        <v>29372</v>
      </c>
      <c r="G10909" t="s">
        <v>29380</v>
      </c>
      <c r="H10909" t="s">
        <v>29389</v>
      </c>
      <c r="I10909" t="s">
        <v>29417</v>
      </c>
      <c r="J10909" t="s">
        <v>29615</v>
      </c>
      <c r="K10909" t="s">
        <v>38656</v>
      </c>
      <c r="M10909" t="s">
        <v>42127</v>
      </c>
      <c r="N10909" t="s">
        <v>42669</v>
      </c>
      <c r="O10909" t="s">
        <v>42670</v>
      </c>
      <c r="P10909">
        <v>0</v>
      </c>
      <c r="Q10909">
        <v>2</v>
      </c>
      <c r="R10909" t="s">
        <v>42684</v>
      </c>
      <c r="S10909" t="s">
        <v>43183</v>
      </c>
      <c r="T10909" t="s">
        <v>44412</v>
      </c>
      <c r="U10909" t="s">
        <v>53716</v>
      </c>
      <c r="W10909" t="s">
        <v>42127</v>
      </c>
      <c r="X10909" t="s">
        <v>42685</v>
      </c>
    </row>
    <row r="10910" spans="1:24">
      <c r="A10910">
        <f>HYPERLINK("https://www.philgeps.gov.ph/GEPSNONPILOT/Tender/SplashBidNoticeAbstractUI.aspx?menuIndex=3&amp;refID=7170308&amp;Result=3","7170308")</f>
        <v>0</v>
      </c>
      <c r="B10910" t="s">
        <v>3092</v>
      </c>
      <c r="C10910" t="s">
        <v>13952</v>
      </c>
      <c r="D10910" t="s">
        <v>17188</v>
      </c>
      <c r="E10910" t="s">
        <v>19589</v>
      </c>
      <c r="F10910" t="s">
        <v>29372</v>
      </c>
      <c r="G10910" t="s">
        <v>29380</v>
      </c>
      <c r="H10910" t="s">
        <v>29389</v>
      </c>
      <c r="I10910" t="s">
        <v>10408</v>
      </c>
      <c r="J10910" t="s">
        <v>29555</v>
      </c>
      <c r="K10910" t="s">
        <v>38510</v>
      </c>
      <c r="M10910" t="s">
        <v>42129</v>
      </c>
      <c r="N10910" t="s">
        <v>42669</v>
      </c>
      <c r="O10910" t="s">
        <v>42670</v>
      </c>
      <c r="P10910">
        <v>0</v>
      </c>
      <c r="Q10910">
        <v>0</v>
      </c>
      <c r="R10910" t="s">
        <v>42684</v>
      </c>
      <c r="S10910" t="s">
        <v>43183</v>
      </c>
      <c r="T10910" t="s">
        <v>44357</v>
      </c>
      <c r="U10910" t="s">
        <v>53717</v>
      </c>
      <c r="W10910" t="s">
        <v>42129</v>
      </c>
      <c r="X10910" t="s">
        <v>42685</v>
      </c>
    </row>
    <row r="10911" spans="1:24">
      <c r="A10911">
        <f>HYPERLINK("https://www.philgeps.gov.ph/GEPSNONPILOT/Tender/SplashBidNoticeAbstractUI.aspx?menuIndex=3&amp;refID=7170141&amp;Result=3","7170141")</f>
        <v>0</v>
      </c>
      <c r="B10911" t="s">
        <v>1047</v>
      </c>
      <c r="C10911" t="s">
        <v>13953</v>
      </c>
      <c r="D10911" t="s">
        <v>17141</v>
      </c>
      <c r="E10911" t="s">
        <v>26550</v>
      </c>
      <c r="F10911" t="s">
        <v>29372</v>
      </c>
      <c r="G10911" t="s">
        <v>29380</v>
      </c>
      <c r="H10911" t="s">
        <v>11048</v>
      </c>
      <c r="I10911" t="s">
        <v>29447</v>
      </c>
      <c r="J10911" t="s">
        <v>36432</v>
      </c>
      <c r="K10911" t="s">
        <v>38487</v>
      </c>
      <c r="M10911" t="s">
        <v>42118</v>
      </c>
      <c r="N10911" t="s">
        <v>42669</v>
      </c>
      <c r="O10911" t="s">
        <v>42670</v>
      </c>
      <c r="P10911">
        <v>0</v>
      </c>
      <c r="Q10911">
        <v>6</v>
      </c>
      <c r="R10911" t="s">
        <v>42684</v>
      </c>
      <c r="S10911" t="s">
        <v>43183</v>
      </c>
      <c r="T10911" t="s">
        <v>44361</v>
      </c>
      <c r="U10911" t="s">
        <v>53718</v>
      </c>
      <c r="W10911" t="s">
        <v>42118</v>
      </c>
      <c r="X10911" t="s">
        <v>42685</v>
      </c>
    </row>
    <row r="10912" spans="1:24">
      <c r="A10912">
        <f>HYPERLINK("https://www.philgeps.gov.ph/GEPSNONPILOT/Tender/SplashBidNoticeAbstractUI.aspx?menuIndex=3&amp;refID=7170202&amp;Result=3","7170202")</f>
        <v>0</v>
      </c>
      <c r="B10912" t="s">
        <v>616</v>
      </c>
      <c r="C10912" t="s">
        <v>13954</v>
      </c>
      <c r="D10912" t="s">
        <v>17204</v>
      </c>
      <c r="E10912" t="s">
        <v>26551</v>
      </c>
      <c r="F10912" t="s">
        <v>29372</v>
      </c>
      <c r="G10912" t="s">
        <v>29380</v>
      </c>
      <c r="H10912" t="s">
        <v>11048</v>
      </c>
      <c r="I10912" t="s">
        <v>29401</v>
      </c>
      <c r="J10912" t="s">
        <v>36433</v>
      </c>
      <c r="K10912" t="s">
        <v>38488</v>
      </c>
      <c r="M10912" t="s">
        <v>41869</v>
      </c>
      <c r="N10912" t="s">
        <v>42669</v>
      </c>
      <c r="O10912" t="s">
        <v>42670</v>
      </c>
      <c r="P10912">
        <v>0</v>
      </c>
      <c r="Q10912">
        <v>3</v>
      </c>
      <c r="R10912" t="s">
        <v>42684</v>
      </c>
      <c r="S10912" t="s">
        <v>43183</v>
      </c>
      <c r="T10912" t="s">
        <v>44485</v>
      </c>
      <c r="U10912" t="s">
        <v>53719</v>
      </c>
      <c r="W10912" t="s">
        <v>41869</v>
      </c>
      <c r="X10912" t="s">
        <v>42685</v>
      </c>
    </row>
    <row r="10913" spans="1:24">
      <c r="A10913">
        <f>HYPERLINK("https://www.philgeps.gov.ph/GEPSNONPILOT/Tender/SplashBidNoticeAbstractUI.aspx?menuIndex=3&amp;refID=7170331&amp;Result=3","7170331")</f>
        <v>0</v>
      </c>
      <c r="B10913" t="s">
        <v>1817</v>
      </c>
      <c r="C10913" t="s">
        <v>13955</v>
      </c>
      <c r="D10913" t="s">
        <v>17153</v>
      </c>
      <c r="E10913" t="s">
        <v>26552</v>
      </c>
      <c r="F10913" t="s">
        <v>29372</v>
      </c>
      <c r="G10913" t="s">
        <v>29380</v>
      </c>
      <c r="H10913" t="s">
        <v>11048</v>
      </c>
      <c r="I10913" t="s">
        <v>29414</v>
      </c>
      <c r="J10913" t="s">
        <v>36434</v>
      </c>
      <c r="K10913" t="s">
        <v>38485</v>
      </c>
      <c r="M10913" t="s">
        <v>40688</v>
      </c>
      <c r="N10913" t="s">
        <v>42669</v>
      </c>
      <c r="O10913" t="s">
        <v>42670</v>
      </c>
      <c r="Q10913">
        <v>18</v>
      </c>
      <c r="R10913" t="s">
        <v>42684</v>
      </c>
      <c r="S10913" t="s">
        <v>43284</v>
      </c>
      <c r="T10913" t="s">
        <v>44375</v>
      </c>
      <c r="U10913" t="s">
        <v>51296</v>
      </c>
      <c r="W10913" t="s">
        <v>40688</v>
      </c>
      <c r="X10913" t="s">
        <v>42685</v>
      </c>
    </row>
    <row r="10914" spans="1:24">
      <c r="A10914">
        <f>HYPERLINK("https://www.philgeps.gov.ph/GEPSNONPILOT/Tender/SplashBidNoticeAbstractUI.aspx?menuIndex=3&amp;refID=7170322&amp;Result=3","7170322")</f>
        <v>0</v>
      </c>
      <c r="B10914" t="s">
        <v>1817</v>
      </c>
      <c r="C10914" t="s">
        <v>13956</v>
      </c>
      <c r="D10914" t="s">
        <v>17153</v>
      </c>
      <c r="E10914" t="s">
        <v>26553</v>
      </c>
      <c r="F10914" t="s">
        <v>29372</v>
      </c>
      <c r="G10914" t="s">
        <v>29380</v>
      </c>
      <c r="H10914" t="s">
        <v>11048</v>
      </c>
      <c r="I10914" t="s">
        <v>3695</v>
      </c>
      <c r="J10914" t="s">
        <v>36435</v>
      </c>
      <c r="K10914" t="s">
        <v>38488</v>
      </c>
      <c r="M10914" t="s">
        <v>40688</v>
      </c>
      <c r="N10914" t="s">
        <v>42669</v>
      </c>
      <c r="O10914" t="s">
        <v>42670</v>
      </c>
      <c r="Q10914">
        <v>2</v>
      </c>
      <c r="R10914" t="s">
        <v>42684</v>
      </c>
      <c r="S10914" t="s">
        <v>43285</v>
      </c>
      <c r="T10914" t="s">
        <v>44375</v>
      </c>
      <c r="U10914" t="s">
        <v>51296</v>
      </c>
      <c r="W10914" t="s">
        <v>40688</v>
      </c>
      <c r="X10914" t="s">
        <v>42685</v>
      </c>
    </row>
    <row r="10915" spans="1:24">
      <c r="A10915">
        <f>HYPERLINK("https://www.philgeps.gov.ph/GEPSNONPILOT/Tender/SplashBidNoticeAbstractUI.aspx?menuIndex=3&amp;refID=7170318&amp;Result=3","7170318")</f>
        <v>0</v>
      </c>
      <c r="B10915" t="s">
        <v>3092</v>
      </c>
      <c r="C10915" t="s">
        <v>13957</v>
      </c>
      <c r="D10915" t="s">
        <v>17188</v>
      </c>
      <c r="E10915" t="s">
        <v>26554</v>
      </c>
      <c r="F10915" t="s">
        <v>29372</v>
      </c>
      <c r="G10915" t="s">
        <v>29380</v>
      </c>
      <c r="H10915" t="s">
        <v>29389</v>
      </c>
      <c r="I10915" t="s">
        <v>10408</v>
      </c>
      <c r="J10915" t="s">
        <v>36436</v>
      </c>
      <c r="K10915" t="s">
        <v>38485</v>
      </c>
      <c r="M10915" t="s">
        <v>42129</v>
      </c>
      <c r="N10915" t="s">
        <v>42669</v>
      </c>
      <c r="O10915" t="s">
        <v>42670</v>
      </c>
      <c r="P10915">
        <v>0</v>
      </c>
      <c r="Q10915">
        <v>0</v>
      </c>
      <c r="R10915" t="s">
        <v>42684</v>
      </c>
      <c r="S10915" t="s">
        <v>43183</v>
      </c>
      <c r="T10915" t="s">
        <v>44357</v>
      </c>
      <c r="U10915" t="s">
        <v>53720</v>
      </c>
      <c r="W10915" t="s">
        <v>42129</v>
      </c>
      <c r="X10915" t="s">
        <v>42685</v>
      </c>
    </row>
    <row r="10916" spans="1:24">
      <c r="A10916">
        <f>HYPERLINK("https://www.philgeps.gov.ph/GEPSNONPILOT/Tender/SplashBidNoticeAbstractUI.aspx?menuIndex=3&amp;refID=7170314&amp;Result=3","7170314")</f>
        <v>0</v>
      </c>
      <c r="B10916" t="s">
        <v>3093</v>
      </c>
      <c r="C10916" t="s">
        <v>13958</v>
      </c>
      <c r="D10916" t="s">
        <v>17174</v>
      </c>
      <c r="E10916" t="s">
        <v>26555</v>
      </c>
      <c r="F10916" t="s">
        <v>29372</v>
      </c>
      <c r="G10916" t="s">
        <v>29380</v>
      </c>
      <c r="H10916" t="s">
        <v>11048</v>
      </c>
      <c r="I10916" t="s">
        <v>3670</v>
      </c>
      <c r="J10916" t="s">
        <v>29712</v>
      </c>
      <c r="K10916" t="s">
        <v>38485</v>
      </c>
      <c r="M10916" t="s">
        <v>42130</v>
      </c>
      <c r="N10916" t="s">
        <v>42669</v>
      </c>
      <c r="O10916" t="s">
        <v>42670</v>
      </c>
      <c r="P10916">
        <v>0</v>
      </c>
      <c r="Q10916">
        <v>3</v>
      </c>
      <c r="R10916" t="s">
        <v>42684</v>
      </c>
      <c r="S10916" t="s">
        <v>43183</v>
      </c>
      <c r="T10916" t="s">
        <v>44803</v>
      </c>
      <c r="U10916" t="s">
        <v>53721</v>
      </c>
      <c r="W10916" t="s">
        <v>42130</v>
      </c>
      <c r="X10916" t="s">
        <v>42685</v>
      </c>
    </row>
    <row r="10917" spans="1:24">
      <c r="A10917">
        <f>HYPERLINK("https://www.philgeps.gov.ph/GEPSNONPILOT/Tender/SplashBidNoticeAbstractUI.aspx?menuIndex=3&amp;refID=7170312&amp;Result=3","7170312")</f>
        <v>0</v>
      </c>
      <c r="B10917" t="s">
        <v>1817</v>
      </c>
      <c r="C10917" t="s">
        <v>13959</v>
      </c>
      <c r="D10917" t="s">
        <v>17153</v>
      </c>
      <c r="E10917" t="s">
        <v>26556</v>
      </c>
      <c r="F10917" t="s">
        <v>29372</v>
      </c>
      <c r="G10917" t="s">
        <v>29380</v>
      </c>
      <c r="H10917" t="s">
        <v>11048</v>
      </c>
      <c r="I10917" t="s">
        <v>3695</v>
      </c>
      <c r="J10917" t="s">
        <v>36437</v>
      </c>
      <c r="K10917" t="s">
        <v>38488</v>
      </c>
      <c r="M10917" t="s">
        <v>40688</v>
      </c>
      <c r="N10917" t="s">
        <v>42669</v>
      </c>
      <c r="O10917" t="s">
        <v>42670</v>
      </c>
      <c r="Q10917">
        <v>3</v>
      </c>
      <c r="R10917" t="s">
        <v>42684</v>
      </c>
      <c r="S10917" t="s">
        <v>43286</v>
      </c>
      <c r="T10917" t="s">
        <v>44375</v>
      </c>
      <c r="U10917" t="s">
        <v>51296</v>
      </c>
      <c r="W10917" t="s">
        <v>40688</v>
      </c>
      <c r="X10917" t="s">
        <v>42685</v>
      </c>
    </row>
    <row r="10918" spans="1:24">
      <c r="A10918">
        <f>HYPERLINK("https://www.philgeps.gov.ph/GEPSNONPILOT/Tender/SplashBidNoticeAbstractUI.aspx?menuIndex=3&amp;refID=7170305&amp;Result=3","7170305")</f>
        <v>0</v>
      </c>
      <c r="B10918" t="s">
        <v>1817</v>
      </c>
      <c r="C10918" t="s">
        <v>13960</v>
      </c>
      <c r="D10918" t="s">
        <v>17153</v>
      </c>
      <c r="E10918" t="s">
        <v>26557</v>
      </c>
      <c r="F10918" t="s">
        <v>29372</v>
      </c>
      <c r="G10918" t="s">
        <v>29380</v>
      </c>
      <c r="H10918" t="s">
        <v>11048</v>
      </c>
      <c r="I10918" t="s">
        <v>3597</v>
      </c>
      <c r="J10918" t="s">
        <v>36438</v>
      </c>
      <c r="K10918" t="s">
        <v>38495</v>
      </c>
      <c r="M10918" t="s">
        <v>40688</v>
      </c>
      <c r="N10918" t="s">
        <v>42669</v>
      </c>
      <c r="O10918" t="s">
        <v>42670</v>
      </c>
      <c r="Q10918">
        <v>2</v>
      </c>
      <c r="R10918" t="s">
        <v>42684</v>
      </c>
      <c r="S10918" t="s">
        <v>42899</v>
      </c>
      <c r="T10918" t="s">
        <v>44375</v>
      </c>
      <c r="U10918" t="s">
        <v>51296</v>
      </c>
      <c r="W10918" t="s">
        <v>40688</v>
      </c>
      <c r="X10918" t="s">
        <v>42685</v>
      </c>
    </row>
    <row r="10919" spans="1:24">
      <c r="A10919">
        <f>HYPERLINK("https://www.philgeps.gov.ph/GEPSNONPILOT/Tender/SplashBidNoticeAbstractUI.aspx?menuIndex=3&amp;refID=7170300&amp;Result=3","7170300")</f>
        <v>0</v>
      </c>
      <c r="B10919" t="s">
        <v>3094</v>
      </c>
      <c r="C10919" t="s">
        <v>13961</v>
      </c>
      <c r="D10919" t="s">
        <v>17147</v>
      </c>
      <c r="E10919" t="s">
        <v>19402</v>
      </c>
      <c r="F10919" t="s">
        <v>29372</v>
      </c>
      <c r="G10919" t="s">
        <v>29380</v>
      </c>
      <c r="H10919" t="s">
        <v>11048</v>
      </c>
      <c r="I10919" t="s">
        <v>8614</v>
      </c>
      <c r="J10919" t="s">
        <v>36439</v>
      </c>
      <c r="K10919" t="s">
        <v>38488</v>
      </c>
      <c r="M10919" t="s">
        <v>42131</v>
      </c>
      <c r="N10919" t="s">
        <v>42669</v>
      </c>
      <c r="O10919" t="s">
        <v>42670</v>
      </c>
      <c r="Q10919">
        <v>15</v>
      </c>
      <c r="R10919" t="s">
        <v>42684</v>
      </c>
      <c r="S10919" t="s">
        <v>43287</v>
      </c>
      <c r="T10919" t="s">
        <v>44426</v>
      </c>
      <c r="U10919" t="s">
        <v>44974</v>
      </c>
      <c r="W10919" t="s">
        <v>42131</v>
      </c>
      <c r="X10919" t="s">
        <v>42685</v>
      </c>
    </row>
    <row r="10920" spans="1:24">
      <c r="A10920">
        <f>HYPERLINK("https://www.philgeps.gov.ph/GEPSNONPILOT/Tender/SplashBidNoticeAbstractUI.aspx?menuIndex=3&amp;refID=7170299&amp;Result=3","7170299")</f>
        <v>0</v>
      </c>
      <c r="B10920" t="s">
        <v>1817</v>
      </c>
      <c r="C10920" t="s">
        <v>13962</v>
      </c>
      <c r="D10920" t="s">
        <v>17153</v>
      </c>
      <c r="E10920" t="s">
        <v>26558</v>
      </c>
      <c r="F10920" t="s">
        <v>29372</v>
      </c>
      <c r="G10920" t="s">
        <v>29380</v>
      </c>
      <c r="H10920" t="s">
        <v>11048</v>
      </c>
      <c r="I10920" t="s">
        <v>3597</v>
      </c>
      <c r="J10920" t="s">
        <v>36440</v>
      </c>
      <c r="K10920" t="s">
        <v>38496</v>
      </c>
      <c r="M10920" t="s">
        <v>40688</v>
      </c>
      <c r="N10920" t="s">
        <v>42669</v>
      </c>
      <c r="O10920" t="s">
        <v>42670</v>
      </c>
      <c r="Q10920">
        <v>1</v>
      </c>
      <c r="R10920" t="s">
        <v>42684</v>
      </c>
      <c r="S10920" t="s">
        <v>43288</v>
      </c>
      <c r="T10920" t="s">
        <v>44375</v>
      </c>
      <c r="U10920" t="s">
        <v>51296</v>
      </c>
      <c r="W10920" t="s">
        <v>40688</v>
      </c>
      <c r="X10920" t="s">
        <v>42685</v>
      </c>
    </row>
    <row r="10921" spans="1:24">
      <c r="A10921">
        <f>HYPERLINK("https://www.philgeps.gov.ph/GEPSNONPILOT/Tender/SplashBidNoticeAbstractUI.aspx?menuIndex=3&amp;refID=7170288&amp;Result=3","7170288")</f>
        <v>0</v>
      </c>
      <c r="B10921" t="s">
        <v>249</v>
      </c>
      <c r="C10921" t="s">
        <v>13963</v>
      </c>
      <c r="D10921" t="s">
        <v>17170</v>
      </c>
      <c r="E10921" t="s">
        <v>18924</v>
      </c>
      <c r="F10921" t="s">
        <v>29372</v>
      </c>
      <c r="G10921" t="s">
        <v>29380</v>
      </c>
      <c r="H10921" t="s">
        <v>29389</v>
      </c>
      <c r="I10921" t="s">
        <v>10408</v>
      </c>
      <c r="J10921" t="s">
        <v>29590</v>
      </c>
      <c r="K10921" t="s">
        <v>38490</v>
      </c>
      <c r="M10921" t="s">
        <v>39008</v>
      </c>
      <c r="N10921" t="s">
        <v>42669</v>
      </c>
      <c r="O10921" t="s">
        <v>42670</v>
      </c>
      <c r="P10921">
        <v>0</v>
      </c>
      <c r="Q10921">
        <v>0</v>
      </c>
      <c r="R10921" t="s">
        <v>42684</v>
      </c>
      <c r="S10921" t="s">
        <v>43183</v>
      </c>
      <c r="T10921" t="s">
        <v>44417</v>
      </c>
      <c r="U10921" t="s">
        <v>53722</v>
      </c>
      <c r="W10921" t="s">
        <v>39008</v>
      </c>
      <c r="X10921" t="s">
        <v>42685</v>
      </c>
    </row>
    <row r="10922" spans="1:24">
      <c r="A10922">
        <f>HYPERLINK("https://www.philgeps.gov.ph/GEPSNONPILOT/Tender/SplashBidNoticeAbstractUI.aspx?menuIndex=3&amp;refID=7170248&amp;Result=3","7170248")</f>
        <v>0</v>
      </c>
      <c r="B10922" t="s">
        <v>1817</v>
      </c>
      <c r="C10922" t="s">
        <v>13964</v>
      </c>
      <c r="D10922" t="s">
        <v>17153</v>
      </c>
      <c r="E10922" t="s">
        <v>26559</v>
      </c>
      <c r="F10922" t="s">
        <v>29372</v>
      </c>
      <c r="G10922" t="s">
        <v>29380</v>
      </c>
      <c r="H10922" t="s">
        <v>11048</v>
      </c>
      <c r="I10922" t="s">
        <v>29407</v>
      </c>
      <c r="J10922" t="s">
        <v>36441</v>
      </c>
      <c r="K10922" t="s">
        <v>38495</v>
      </c>
      <c r="M10922" t="s">
        <v>40688</v>
      </c>
      <c r="N10922" t="s">
        <v>42669</v>
      </c>
      <c r="O10922" t="s">
        <v>42670</v>
      </c>
      <c r="Q10922">
        <v>13</v>
      </c>
      <c r="R10922" t="s">
        <v>42684</v>
      </c>
      <c r="S10922" t="s">
        <v>43289</v>
      </c>
      <c r="T10922" t="s">
        <v>44375</v>
      </c>
      <c r="U10922" t="s">
        <v>51296</v>
      </c>
      <c r="W10922" t="s">
        <v>40688</v>
      </c>
      <c r="X10922" t="s">
        <v>42685</v>
      </c>
    </row>
    <row r="10923" spans="1:24">
      <c r="A10923">
        <f>HYPERLINK("https://www.philgeps.gov.ph/GEPSNONPILOT/Tender/SplashBidNoticeAbstractUI.aspx?menuIndex=3&amp;refID=7170285&amp;Result=3","7170285")</f>
        <v>0</v>
      </c>
      <c r="B10923" t="s">
        <v>3094</v>
      </c>
      <c r="C10923" t="s">
        <v>13965</v>
      </c>
      <c r="D10923" t="s">
        <v>17147</v>
      </c>
      <c r="E10923" t="s">
        <v>19597</v>
      </c>
      <c r="F10923" t="s">
        <v>29372</v>
      </c>
      <c r="G10923" t="s">
        <v>29380</v>
      </c>
      <c r="H10923" t="s">
        <v>11048</v>
      </c>
      <c r="I10923" t="s">
        <v>29412</v>
      </c>
      <c r="J10923" t="s">
        <v>29716</v>
      </c>
      <c r="K10923" t="s">
        <v>38488</v>
      </c>
      <c r="M10923" t="s">
        <v>42131</v>
      </c>
      <c r="N10923" t="s">
        <v>42669</v>
      </c>
      <c r="O10923" t="s">
        <v>42670</v>
      </c>
      <c r="Q10923">
        <v>15</v>
      </c>
      <c r="R10923" t="s">
        <v>42684</v>
      </c>
      <c r="S10923" t="s">
        <v>43290</v>
      </c>
      <c r="T10923" t="s">
        <v>44426</v>
      </c>
      <c r="U10923" t="s">
        <v>51327</v>
      </c>
      <c r="W10923" t="s">
        <v>42131</v>
      </c>
      <c r="X10923" t="s">
        <v>42685</v>
      </c>
    </row>
    <row r="10924" spans="1:24">
      <c r="A10924">
        <f>HYPERLINK("https://www.philgeps.gov.ph/GEPSNONPILOT/Tender/SplashBidNoticeAbstractUI.aspx?menuIndex=3&amp;refID=7170273&amp;Result=3","7170273")</f>
        <v>0</v>
      </c>
      <c r="B10924" t="s">
        <v>3095</v>
      </c>
      <c r="C10924" t="s">
        <v>13966</v>
      </c>
      <c r="D10924" t="s">
        <v>17226</v>
      </c>
      <c r="E10924" t="s">
        <v>26560</v>
      </c>
      <c r="F10924" t="s">
        <v>29372</v>
      </c>
      <c r="G10924" t="s">
        <v>29380</v>
      </c>
      <c r="H10924" t="s">
        <v>29389</v>
      </c>
      <c r="I10924" t="s">
        <v>10408</v>
      </c>
      <c r="J10924" t="s">
        <v>29587</v>
      </c>
      <c r="K10924" t="s">
        <v>38525</v>
      </c>
      <c r="M10924" t="s">
        <v>42132</v>
      </c>
      <c r="N10924" t="s">
        <v>42669</v>
      </c>
      <c r="O10924" t="s">
        <v>42670</v>
      </c>
      <c r="P10924">
        <v>0</v>
      </c>
      <c r="Q10924">
        <v>0</v>
      </c>
      <c r="R10924" t="s">
        <v>42684</v>
      </c>
      <c r="S10924" t="s">
        <v>43183</v>
      </c>
      <c r="T10924" t="s">
        <v>44397</v>
      </c>
      <c r="U10924" t="s">
        <v>53723</v>
      </c>
      <c r="W10924" t="s">
        <v>42132</v>
      </c>
      <c r="X10924" t="s">
        <v>42685</v>
      </c>
    </row>
    <row r="10925" spans="1:24">
      <c r="A10925">
        <f>HYPERLINK("https://www.philgeps.gov.ph/GEPSNONPILOT/Tender/SplashBidNoticeAbstractUI.aspx?menuIndex=3&amp;refID=7170275&amp;Result=3","7170275")</f>
        <v>0</v>
      </c>
      <c r="B10925" t="s">
        <v>3089</v>
      </c>
      <c r="C10925" t="s">
        <v>13967</v>
      </c>
      <c r="D10925" t="s">
        <v>17171</v>
      </c>
      <c r="E10925" t="s">
        <v>26561</v>
      </c>
      <c r="F10925" t="s">
        <v>29372</v>
      </c>
      <c r="G10925" t="s">
        <v>29380</v>
      </c>
      <c r="H10925" t="s">
        <v>29389</v>
      </c>
      <c r="I10925" t="s">
        <v>10408</v>
      </c>
      <c r="J10925" t="s">
        <v>35595</v>
      </c>
      <c r="K10925" t="s">
        <v>38662</v>
      </c>
      <c r="M10925" t="s">
        <v>42126</v>
      </c>
      <c r="N10925" t="s">
        <v>42669</v>
      </c>
      <c r="O10925" t="s">
        <v>42670</v>
      </c>
      <c r="P10925">
        <v>0</v>
      </c>
      <c r="Q10925">
        <v>8</v>
      </c>
      <c r="R10925" t="s">
        <v>42684</v>
      </c>
      <c r="S10925" t="s">
        <v>43183</v>
      </c>
      <c r="T10925" t="s">
        <v>44457</v>
      </c>
      <c r="U10925" t="s">
        <v>53724</v>
      </c>
      <c r="V10925" t="s">
        <v>56571</v>
      </c>
      <c r="W10925" t="s">
        <v>58109</v>
      </c>
      <c r="X10925" t="s">
        <v>42685</v>
      </c>
    </row>
    <row r="10926" spans="1:24">
      <c r="A10926">
        <f>HYPERLINK("https://www.philgeps.gov.ph/GEPSNONPILOT/Tender/SplashBidNoticeAbstractUI.aspx?menuIndex=3&amp;refID=7170263&amp;Result=3","7170263")</f>
        <v>0</v>
      </c>
      <c r="B10926" t="s">
        <v>2341</v>
      </c>
      <c r="C10926" t="s">
        <v>13968</v>
      </c>
      <c r="D10926" t="s">
        <v>17141</v>
      </c>
      <c r="E10926" t="s">
        <v>26562</v>
      </c>
      <c r="F10926" t="s">
        <v>29372</v>
      </c>
      <c r="G10926" t="s">
        <v>29380</v>
      </c>
      <c r="H10926" t="s">
        <v>11048</v>
      </c>
      <c r="I10926" t="s">
        <v>29414</v>
      </c>
      <c r="J10926" t="s">
        <v>29788</v>
      </c>
      <c r="K10926" t="s">
        <v>38485</v>
      </c>
      <c r="M10926" t="s">
        <v>42123</v>
      </c>
      <c r="N10926" t="s">
        <v>42669</v>
      </c>
      <c r="O10926" t="s">
        <v>42670</v>
      </c>
      <c r="P10926">
        <v>0</v>
      </c>
      <c r="Q10926">
        <v>24</v>
      </c>
      <c r="R10926" t="s">
        <v>42684</v>
      </c>
      <c r="S10926" t="s">
        <v>43183</v>
      </c>
      <c r="T10926" t="s">
        <v>44412</v>
      </c>
      <c r="U10926" t="s">
        <v>53725</v>
      </c>
      <c r="W10926" t="s">
        <v>42123</v>
      </c>
      <c r="X10926" t="s">
        <v>42685</v>
      </c>
    </row>
    <row r="10927" spans="1:24">
      <c r="A10927">
        <f>HYPERLINK("https://www.philgeps.gov.ph/GEPSNONPILOT/Tender/SplashBidNoticeAbstractUI.aspx?menuIndex=3&amp;refID=7170225&amp;Result=3","7170225")</f>
        <v>0</v>
      </c>
      <c r="B10927" t="s">
        <v>2341</v>
      </c>
      <c r="C10927" t="s">
        <v>13969</v>
      </c>
      <c r="D10927" t="s">
        <v>17141</v>
      </c>
      <c r="E10927" t="s">
        <v>26563</v>
      </c>
      <c r="F10927" t="s">
        <v>29372</v>
      </c>
      <c r="G10927" t="s">
        <v>29380</v>
      </c>
      <c r="H10927" t="s">
        <v>11048</v>
      </c>
      <c r="I10927" t="s">
        <v>29414</v>
      </c>
      <c r="J10927" t="s">
        <v>31894</v>
      </c>
      <c r="K10927" t="s">
        <v>38485</v>
      </c>
      <c r="M10927" t="s">
        <v>42123</v>
      </c>
      <c r="N10927" t="s">
        <v>42669</v>
      </c>
      <c r="O10927" t="s">
        <v>42670</v>
      </c>
      <c r="P10927">
        <v>0</v>
      </c>
      <c r="Q10927">
        <v>29</v>
      </c>
      <c r="R10927" t="s">
        <v>42684</v>
      </c>
      <c r="S10927" t="s">
        <v>43183</v>
      </c>
      <c r="T10927" t="s">
        <v>44412</v>
      </c>
      <c r="U10927" t="s">
        <v>53726</v>
      </c>
      <c r="W10927" t="s">
        <v>42123</v>
      </c>
      <c r="X10927" t="s">
        <v>42685</v>
      </c>
    </row>
    <row r="10928" spans="1:24">
      <c r="A10928">
        <f>HYPERLINK("https://www.philgeps.gov.ph/GEPSNONPILOT/Tender/SplashBidNoticeAbstractUI.aspx?menuIndex=3&amp;refID=7170258&amp;Result=3","7170258")</f>
        <v>0</v>
      </c>
      <c r="B10928" t="s">
        <v>3096</v>
      </c>
      <c r="C10928" t="s">
        <v>13970</v>
      </c>
      <c r="D10928" t="s">
        <v>17180</v>
      </c>
      <c r="E10928" t="s">
        <v>17768</v>
      </c>
      <c r="F10928" t="s">
        <v>29372</v>
      </c>
      <c r="G10928" t="s">
        <v>29380</v>
      </c>
      <c r="H10928" t="s">
        <v>11048</v>
      </c>
      <c r="I10928" t="s">
        <v>29399</v>
      </c>
      <c r="J10928" t="s">
        <v>36442</v>
      </c>
      <c r="K10928" t="s">
        <v>38487</v>
      </c>
      <c r="M10928" t="s">
        <v>42133</v>
      </c>
      <c r="N10928" t="s">
        <v>42669</v>
      </c>
      <c r="O10928" t="s">
        <v>42670</v>
      </c>
      <c r="P10928">
        <v>0</v>
      </c>
      <c r="Q10928">
        <v>21</v>
      </c>
      <c r="R10928" t="s">
        <v>42684</v>
      </c>
      <c r="S10928" t="s">
        <v>43183</v>
      </c>
      <c r="T10928" t="s">
        <v>44453</v>
      </c>
      <c r="U10928" t="s">
        <v>53727</v>
      </c>
      <c r="W10928" t="s">
        <v>42133</v>
      </c>
      <c r="X10928" t="s">
        <v>42685</v>
      </c>
    </row>
    <row r="10929" spans="1:24">
      <c r="A10929">
        <f>HYPERLINK("https://www.philgeps.gov.ph/GEPSNONPILOT/Tender/SplashBidNoticeAbstractUI.aspx?menuIndex=3&amp;refID=7170297&amp;Result=3","7170297")</f>
        <v>0</v>
      </c>
      <c r="B10929" t="s">
        <v>616</v>
      </c>
      <c r="C10929" t="s">
        <v>13971</v>
      </c>
      <c r="D10929" t="s">
        <v>17204</v>
      </c>
      <c r="E10929" t="s">
        <v>26564</v>
      </c>
      <c r="F10929" t="s">
        <v>29372</v>
      </c>
      <c r="G10929" t="s">
        <v>29380</v>
      </c>
      <c r="H10929" t="s">
        <v>11048</v>
      </c>
      <c r="I10929" t="s">
        <v>29401</v>
      </c>
      <c r="J10929" t="s">
        <v>36443</v>
      </c>
      <c r="K10929" t="s">
        <v>38488</v>
      </c>
      <c r="M10929" t="s">
        <v>41869</v>
      </c>
      <c r="N10929" t="s">
        <v>42669</v>
      </c>
      <c r="O10929" t="s">
        <v>42670</v>
      </c>
      <c r="P10929">
        <v>0</v>
      </c>
      <c r="Q10929">
        <v>3</v>
      </c>
      <c r="R10929" t="s">
        <v>42684</v>
      </c>
      <c r="S10929" t="s">
        <v>43183</v>
      </c>
      <c r="T10929" t="s">
        <v>44485</v>
      </c>
      <c r="U10929" t="s">
        <v>53728</v>
      </c>
      <c r="W10929" t="s">
        <v>41869</v>
      </c>
      <c r="X10929" t="s">
        <v>42685</v>
      </c>
    </row>
    <row r="10930" spans="1:24">
      <c r="A10930">
        <f>HYPERLINK("https://www.philgeps.gov.ph/GEPSNONPILOT/Tender/SplashBidNoticeAbstractUI.aspx?menuIndex=3&amp;refID=7170270&amp;Result=3","7170270")</f>
        <v>0</v>
      </c>
      <c r="B10930" t="s">
        <v>1817</v>
      </c>
      <c r="C10930" t="s">
        <v>13972</v>
      </c>
      <c r="D10930" t="s">
        <v>17153</v>
      </c>
      <c r="E10930" t="s">
        <v>26565</v>
      </c>
      <c r="F10930" t="s">
        <v>29372</v>
      </c>
      <c r="G10930" t="s">
        <v>29380</v>
      </c>
      <c r="H10930" t="s">
        <v>29389</v>
      </c>
      <c r="I10930" t="s">
        <v>10408</v>
      </c>
      <c r="J10930" t="s">
        <v>36444</v>
      </c>
      <c r="K10930" t="s">
        <v>38495</v>
      </c>
      <c r="M10930" t="s">
        <v>40688</v>
      </c>
      <c r="N10930" t="s">
        <v>42669</v>
      </c>
      <c r="O10930" t="s">
        <v>42670</v>
      </c>
      <c r="P10930">
        <v>0</v>
      </c>
      <c r="Q10930">
        <v>1</v>
      </c>
      <c r="R10930" t="s">
        <v>42684</v>
      </c>
      <c r="S10930" t="s">
        <v>43183</v>
      </c>
      <c r="T10930" t="s">
        <v>44444</v>
      </c>
      <c r="U10930" t="s">
        <v>53376</v>
      </c>
      <c r="W10930" t="s">
        <v>40688</v>
      </c>
      <c r="X10930" t="s">
        <v>42685</v>
      </c>
    </row>
    <row r="10931" spans="1:24">
      <c r="A10931">
        <f>HYPERLINK("https://www.philgeps.gov.ph/GEPSNONPILOT/Tender/SplashBidNoticeAbstractUI.aspx?menuIndex=3&amp;refID=7170396&amp;Result=3","7170396")</f>
        <v>0</v>
      </c>
      <c r="B10931" t="s">
        <v>3090</v>
      </c>
      <c r="C10931" t="s">
        <v>13973</v>
      </c>
      <c r="D10931" t="s">
        <v>17212</v>
      </c>
      <c r="E10931" t="s">
        <v>26566</v>
      </c>
      <c r="F10931" t="s">
        <v>29372</v>
      </c>
      <c r="G10931" t="s">
        <v>29380</v>
      </c>
      <c r="H10931" t="s">
        <v>11048</v>
      </c>
      <c r="I10931" t="s">
        <v>29424</v>
      </c>
      <c r="J10931" t="s">
        <v>36445</v>
      </c>
      <c r="K10931" t="s">
        <v>38488</v>
      </c>
      <c r="M10931" t="s">
        <v>42127</v>
      </c>
      <c r="N10931" t="s">
        <v>42669</v>
      </c>
      <c r="O10931" t="s">
        <v>42670</v>
      </c>
      <c r="P10931">
        <v>0</v>
      </c>
      <c r="Q10931">
        <v>1</v>
      </c>
      <c r="R10931" t="s">
        <v>42684</v>
      </c>
      <c r="S10931" t="s">
        <v>43183</v>
      </c>
      <c r="T10931" t="s">
        <v>44412</v>
      </c>
      <c r="U10931" t="s">
        <v>53729</v>
      </c>
      <c r="W10931" t="s">
        <v>42127</v>
      </c>
      <c r="X10931" t="s">
        <v>42685</v>
      </c>
    </row>
    <row r="10932" spans="1:24">
      <c r="A10932">
        <f>HYPERLINK("https://www.philgeps.gov.ph/GEPSNONPILOT/Tender/SplashBidNoticeAbstractUI.aspx?menuIndex=3&amp;refID=7170252&amp;Result=3","7170252")</f>
        <v>0</v>
      </c>
      <c r="B10932" t="s">
        <v>58</v>
      </c>
      <c r="C10932" t="s">
        <v>13974</v>
      </c>
      <c r="D10932" t="s">
        <v>17189</v>
      </c>
      <c r="E10932" t="s">
        <v>26567</v>
      </c>
      <c r="F10932" t="s">
        <v>29372</v>
      </c>
      <c r="G10932" t="s">
        <v>29384</v>
      </c>
      <c r="H10932" t="s">
        <v>29389</v>
      </c>
      <c r="I10932" t="s">
        <v>10408</v>
      </c>
      <c r="J10932" t="s">
        <v>36190</v>
      </c>
      <c r="K10932" t="s">
        <v>38490</v>
      </c>
      <c r="L10932" t="s">
        <v>58</v>
      </c>
      <c r="M10932" t="s">
        <v>40154</v>
      </c>
      <c r="N10932" t="s">
        <v>42669</v>
      </c>
      <c r="O10932" t="s">
        <v>42670</v>
      </c>
      <c r="Q10932">
        <v>6</v>
      </c>
      <c r="R10932" t="s">
        <v>42684</v>
      </c>
      <c r="S10932" t="s">
        <v>43291</v>
      </c>
      <c r="T10932" t="s">
        <v>44412</v>
      </c>
      <c r="U10932" t="s">
        <v>53730</v>
      </c>
      <c r="W10932" t="s">
        <v>40154</v>
      </c>
      <c r="X10932" t="s">
        <v>42685</v>
      </c>
    </row>
    <row r="10933" spans="1:24">
      <c r="A10933">
        <f>HYPERLINK("https://www.philgeps.gov.ph/GEPSNONPILOT/Tender/SplashBidNoticeAbstractUI.aspx?menuIndex=3&amp;refID=7170392&amp;Result=3","7170392")</f>
        <v>0</v>
      </c>
      <c r="B10933" t="s">
        <v>2391</v>
      </c>
      <c r="C10933" t="s">
        <v>13975</v>
      </c>
      <c r="D10933" t="s">
        <v>17190</v>
      </c>
      <c r="E10933" t="s">
        <v>26568</v>
      </c>
      <c r="F10933" t="s">
        <v>29372</v>
      </c>
      <c r="G10933" t="s">
        <v>29380</v>
      </c>
      <c r="H10933" t="s">
        <v>11048</v>
      </c>
      <c r="I10933" t="s">
        <v>29488</v>
      </c>
      <c r="J10933" t="s">
        <v>30789</v>
      </c>
      <c r="K10933" t="s">
        <v>38488</v>
      </c>
      <c r="M10933" t="s">
        <v>41336</v>
      </c>
      <c r="N10933" t="s">
        <v>42669</v>
      </c>
      <c r="O10933" t="s">
        <v>42670</v>
      </c>
      <c r="P10933">
        <v>0</v>
      </c>
      <c r="Q10933">
        <v>1</v>
      </c>
      <c r="R10933" t="s">
        <v>42684</v>
      </c>
      <c r="S10933" t="s">
        <v>43183</v>
      </c>
      <c r="T10933" t="s">
        <v>44357</v>
      </c>
      <c r="U10933" t="s">
        <v>53731</v>
      </c>
      <c r="W10933" t="s">
        <v>41336</v>
      </c>
      <c r="X10933" t="s">
        <v>42685</v>
      </c>
    </row>
    <row r="10934" spans="1:24">
      <c r="A10934">
        <f>HYPERLINK("https://www.philgeps.gov.ph/GEPSNONPILOT/Tender/SplashBidNoticeAbstractUI.aspx?menuIndex=3&amp;refID=7170389&amp;Result=3","7170389")</f>
        <v>0</v>
      </c>
      <c r="B10934" t="s">
        <v>1010</v>
      </c>
      <c r="C10934" t="s">
        <v>13976</v>
      </c>
      <c r="E10934" t="s">
        <v>26569</v>
      </c>
      <c r="F10934" t="s">
        <v>29372</v>
      </c>
      <c r="G10934" t="s">
        <v>29380</v>
      </c>
      <c r="H10934" t="s">
        <v>29389</v>
      </c>
      <c r="I10934" t="s">
        <v>10408</v>
      </c>
      <c r="J10934" t="s">
        <v>36446</v>
      </c>
      <c r="K10934" t="s">
        <v>38490</v>
      </c>
      <c r="M10934" t="s">
        <v>39810</v>
      </c>
      <c r="N10934" t="s">
        <v>42669</v>
      </c>
      <c r="O10934" t="s">
        <v>42670</v>
      </c>
      <c r="P10934">
        <v>0</v>
      </c>
      <c r="Q10934">
        <v>0</v>
      </c>
      <c r="R10934" t="s">
        <v>42684</v>
      </c>
      <c r="S10934" t="s">
        <v>43183</v>
      </c>
      <c r="T10934" t="s">
        <v>44527</v>
      </c>
      <c r="U10934" t="s">
        <v>53732</v>
      </c>
      <c r="W10934" t="s">
        <v>39810</v>
      </c>
      <c r="X10934" t="s">
        <v>42685</v>
      </c>
    </row>
    <row r="10935" spans="1:24">
      <c r="A10935">
        <f>HYPERLINK("https://www.philgeps.gov.ph/GEPSNONPILOT/Tender/SplashBidNoticeAbstractUI.aspx?menuIndex=3&amp;refID=7170382&amp;Result=3","7170382")</f>
        <v>0</v>
      </c>
      <c r="B10935" t="s">
        <v>1047</v>
      </c>
      <c r="C10935" t="s">
        <v>13977</v>
      </c>
      <c r="D10935" t="s">
        <v>17141</v>
      </c>
      <c r="E10935" t="s">
        <v>26570</v>
      </c>
      <c r="F10935" t="s">
        <v>29372</v>
      </c>
      <c r="G10935" t="s">
        <v>29380</v>
      </c>
      <c r="H10935" t="s">
        <v>11048</v>
      </c>
      <c r="I10935" t="s">
        <v>29512</v>
      </c>
      <c r="J10935" t="s">
        <v>31416</v>
      </c>
      <c r="K10935" t="s">
        <v>38580</v>
      </c>
      <c r="M10935" t="s">
        <v>42134</v>
      </c>
      <c r="N10935" t="s">
        <v>42669</v>
      </c>
      <c r="O10935" t="s">
        <v>42670</v>
      </c>
      <c r="P10935">
        <v>0</v>
      </c>
      <c r="Q10935">
        <v>7</v>
      </c>
      <c r="R10935" t="s">
        <v>42684</v>
      </c>
      <c r="S10935" t="s">
        <v>43183</v>
      </c>
      <c r="T10935" t="s">
        <v>44361</v>
      </c>
      <c r="U10935" t="s">
        <v>53733</v>
      </c>
      <c r="W10935" t="s">
        <v>42134</v>
      </c>
      <c r="X10935" t="s">
        <v>42685</v>
      </c>
    </row>
    <row r="10936" spans="1:24">
      <c r="A10936">
        <f>HYPERLINK("https://www.philgeps.gov.ph/GEPSNONPILOT/Tender/SplashBidNoticeAbstractUI.aspx?menuIndex=3&amp;refID=7170203&amp;Result=3","7170203")</f>
        <v>0</v>
      </c>
      <c r="B10936" t="s">
        <v>2789</v>
      </c>
      <c r="C10936" t="s">
        <v>13978</v>
      </c>
      <c r="D10936" t="s">
        <v>17161</v>
      </c>
      <c r="E10936" t="s">
        <v>26571</v>
      </c>
      <c r="F10936" t="s">
        <v>29372</v>
      </c>
      <c r="G10936" t="s">
        <v>29380</v>
      </c>
      <c r="H10936" t="s">
        <v>29389</v>
      </c>
      <c r="I10936" t="s">
        <v>10408</v>
      </c>
      <c r="J10936" t="s">
        <v>36447</v>
      </c>
      <c r="K10936" t="s">
        <v>38488</v>
      </c>
      <c r="M10936" t="s">
        <v>41776</v>
      </c>
      <c r="N10936" t="s">
        <v>42669</v>
      </c>
      <c r="O10936" t="s">
        <v>42670</v>
      </c>
      <c r="Q10936">
        <v>0</v>
      </c>
      <c r="R10936" t="s">
        <v>42684</v>
      </c>
      <c r="S10936" t="s">
        <v>43292</v>
      </c>
      <c r="T10936" t="s">
        <v>44444</v>
      </c>
      <c r="U10936" t="s">
        <v>53734</v>
      </c>
      <c r="W10936" t="s">
        <v>41776</v>
      </c>
      <c r="X10936" t="s">
        <v>42685</v>
      </c>
    </row>
    <row r="10937" spans="1:24">
      <c r="A10937">
        <f>HYPERLINK("https://www.philgeps.gov.ph/GEPSNONPILOT/Tender/SplashBidNoticeAbstractUI.aspx?menuIndex=3&amp;refID=7170348&amp;Result=3","7170348")</f>
        <v>0</v>
      </c>
      <c r="B10937" t="s">
        <v>1817</v>
      </c>
      <c r="C10937" t="s">
        <v>13979</v>
      </c>
      <c r="D10937" t="s">
        <v>17153</v>
      </c>
      <c r="E10937" t="s">
        <v>26572</v>
      </c>
      <c r="F10937" t="s">
        <v>29372</v>
      </c>
      <c r="G10937" t="s">
        <v>29380</v>
      </c>
      <c r="H10937" t="s">
        <v>11048</v>
      </c>
      <c r="I10937" t="s">
        <v>29403</v>
      </c>
      <c r="J10937" t="s">
        <v>36448</v>
      </c>
      <c r="K10937" t="s">
        <v>38496</v>
      </c>
      <c r="M10937" t="s">
        <v>40688</v>
      </c>
      <c r="N10937" t="s">
        <v>42669</v>
      </c>
      <c r="O10937" t="s">
        <v>42670</v>
      </c>
      <c r="Q10937">
        <v>1</v>
      </c>
      <c r="R10937" t="s">
        <v>42684</v>
      </c>
      <c r="S10937" t="s">
        <v>43293</v>
      </c>
      <c r="T10937" t="s">
        <v>44375</v>
      </c>
      <c r="U10937" t="s">
        <v>51296</v>
      </c>
      <c r="W10937" t="s">
        <v>40688</v>
      </c>
      <c r="X10937" t="s">
        <v>42685</v>
      </c>
    </row>
    <row r="10938" spans="1:24">
      <c r="A10938">
        <f>HYPERLINK("https://www.philgeps.gov.ph/GEPSNONPILOT/Tender/SplashBidNoticeAbstractUI.aspx?menuIndex=3&amp;refID=7170395&amp;Result=3","7170395")</f>
        <v>0</v>
      </c>
      <c r="B10938" t="s">
        <v>1010</v>
      </c>
      <c r="C10938" t="s">
        <v>13980</v>
      </c>
      <c r="E10938" t="s">
        <v>26573</v>
      </c>
      <c r="F10938" t="s">
        <v>29372</v>
      </c>
      <c r="G10938" t="s">
        <v>29380</v>
      </c>
      <c r="H10938" t="s">
        <v>29389</v>
      </c>
      <c r="I10938" t="s">
        <v>10408</v>
      </c>
      <c r="J10938" t="s">
        <v>36449</v>
      </c>
      <c r="K10938" t="s">
        <v>38490</v>
      </c>
      <c r="M10938" t="s">
        <v>39810</v>
      </c>
      <c r="N10938" t="s">
        <v>42669</v>
      </c>
      <c r="O10938" t="s">
        <v>42670</v>
      </c>
      <c r="P10938">
        <v>0</v>
      </c>
      <c r="Q10938">
        <v>0</v>
      </c>
      <c r="R10938" t="s">
        <v>42684</v>
      </c>
      <c r="S10938" t="s">
        <v>43183</v>
      </c>
      <c r="T10938" t="s">
        <v>44527</v>
      </c>
      <c r="U10938" t="s">
        <v>53735</v>
      </c>
      <c r="W10938" t="s">
        <v>39810</v>
      </c>
      <c r="X10938" t="s">
        <v>42685</v>
      </c>
    </row>
    <row r="10939" spans="1:24">
      <c r="A10939">
        <f>HYPERLINK("https://www.philgeps.gov.ph/GEPSNONPILOT/Tender/SplashBidNoticeAbstractUI.aspx?menuIndex=3&amp;refID=7170363&amp;Result=3","7170363")</f>
        <v>0</v>
      </c>
      <c r="B10939" t="s">
        <v>3097</v>
      </c>
      <c r="C10939" t="s">
        <v>13981</v>
      </c>
      <c r="D10939" t="s">
        <v>17141</v>
      </c>
      <c r="E10939" t="s">
        <v>26574</v>
      </c>
      <c r="F10939" t="s">
        <v>29372</v>
      </c>
      <c r="G10939" t="s">
        <v>29380</v>
      </c>
      <c r="H10939" t="s">
        <v>29390</v>
      </c>
      <c r="I10939" t="s">
        <v>8614</v>
      </c>
      <c r="J10939" t="s">
        <v>36450</v>
      </c>
      <c r="K10939" t="s">
        <v>38700</v>
      </c>
      <c r="M10939" t="s">
        <v>42135</v>
      </c>
      <c r="N10939" t="s">
        <v>42669</v>
      </c>
      <c r="O10939" t="s">
        <v>42670</v>
      </c>
      <c r="P10939">
        <v>0</v>
      </c>
      <c r="Q10939">
        <v>22</v>
      </c>
      <c r="R10939" t="s">
        <v>42684</v>
      </c>
      <c r="S10939" t="s">
        <v>43183</v>
      </c>
      <c r="T10939" t="s">
        <v>44357</v>
      </c>
      <c r="U10939" t="s">
        <v>53736</v>
      </c>
      <c r="W10939" t="s">
        <v>42135</v>
      </c>
      <c r="X10939" t="s">
        <v>42685</v>
      </c>
    </row>
    <row r="10940" spans="1:24">
      <c r="A10940">
        <f>HYPERLINK("https://www.philgeps.gov.ph/GEPSNONPILOT/Tender/SplashBidNoticeAbstractUI.aspx?menuIndex=3&amp;refID=7170386&amp;Result=3","7170386")</f>
        <v>0</v>
      </c>
      <c r="B10940" t="s">
        <v>1010</v>
      </c>
      <c r="C10940" t="s">
        <v>13982</v>
      </c>
      <c r="E10940" t="s">
        <v>26575</v>
      </c>
      <c r="F10940" t="s">
        <v>29372</v>
      </c>
      <c r="G10940" t="s">
        <v>29380</v>
      </c>
      <c r="H10940" t="s">
        <v>29389</v>
      </c>
      <c r="I10940" t="s">
        <v>10408</v>
      </c>
      <c r="J10940" t="s">
        <v>36451</v>
      </c>
      <c r="K10940" t="s">
        <v>38490</v>
      </c>
      <c r="M10940" t="s">
        <v>39810</v>
      </c>
      <c r="N10940" t="s">
        <v>42669</v>
      </c>
      <c r="O10940" t="s">
        <v>42670</v>
      </c>
      <c r="P10940">
        <v>0</v>
      </c>
      <c r="Q10940">
        <v>0</v>
      </c>
      <c r="R10940" t="s">
        <v>42684</v>
      </c>
      <c r="S10940" t="s">
        <v>43183</v>
      </c>
      <c r="T10940" t="s">
        <v>44527</v>
      </c>
      <c r="U10940" t="s">
        <v>53737</v>
      </c>
      <c r="W10940" t="s">
        <v>39810</v>
      </c>
      <c r="X10940" t="s">
        <v>42685</v>
      </c>
    </row>
    <row r="10941" spans="1:24">
      <c r="A10941">
        <f>HYPERLINK("https://www.philgeps.gov.ph/GEPSNONPILOT/Tender/SplashBidNoticeAbstractUI.aspx?menuIndex=3&amp;refID=7170408&amp;Result=3","7170408")</f>
        <v>0</v>
      </c>
      <c r="B10941" t="s">
        <v>1010</v>
      </c>
      <c r="C10941" t="s">
        <v>13983</v>
      </c>
      <c r="E10941" t="s">
        <v>26576</v>
      </c>
      <c r="F10941" t="s">
        <v>29372</v>
      </c>
      <c r="G10941" t="s">
        <v>29380</v>
      </c>
      <c r="H10941" t="s">
        <v>29389</v>
      </c>
      <c r="I10941" t="s">
        <v>10408</v>
      </c>
      <c r="J10941" t="s">
        <v>36452</v>
      </c>
      <c r="K10941" t="s">
        <v>38490</v>
      </c>
      <c r="M10941" t="s">
        <v>39810</v>
      </c>
      <c r="N10941" t="s">
        <v>42669</v>
      </c>
      <c r="O10941" t="s">
        <v>42670</v>
      </c>
      <c r="P10941">
        <v>0</v>
      </c>
      <c r="Q10941">
        <v>0</v>
      </c>
      <c r="R10941" t="s">
        <v>42684</v>
      </c>
      <c r="S10941" t="s">
        <v>43183</v>
      </c>
      <c r="T10941" t="s">
        <v>44527</v>
      </c>
      <c r="U10941" t="s">
        <v>53738</v>
      </c>
      <c r="W10941" t="s">
        <v>39810</v>
      </c>
      <c r="X10941" t="s">
        <v>42685</v>
      </c>
    </row>
    <row r="10942" spans="1:24">
      <c r="A10942">
        <f>HYPERLINK("https://www.philgeps.gov.ph/GEPSNONPILOT/Tender/SplashBidNoticeAbstractUI.aspx?menuIndex=3&amp;refID=7170407&amp;Result=3","7170407")</f>
        <v>0</v>
      </c>
      <c r="B10942" t="s">
        <v>2999</v>
      </c>
      <c r="C10942" t="s">
        <v>13984</v>
      </c>
      <c r="D10942" t="s">
        <v>17195</v>
      </c>
      <c r="E10942" t="s">
        <v>26577</v>
      </c>
      <c r="F10942" t="s">
        <v>29372</v>
      </c>
      <c r="G10942" t="s">
        <v>29380</v>
      </c>
      <c r="H10942" t="s">
        <v>29389</v>
      </c>
      <c r="I10942" t="s">
        <v>10408</v>
      </c>
      <c r="J10942" t="s">
        <v>36453</v>
      </c>
      <c r="K10942" t="s">
        <v>38500</v>
      </c>
      <c r="M10942" t="s">
        <v>42018</v>
      </c>
      <c r="N10942" t="s">
        <v>42669</v>
      </c>
      <c r="O10942" t="s">
        <v>42670</v>
      </c>
      <c r="Q10942">
        <v>72</v>
      </c>
      <c r="R10942" t="s">
        <v>42684</v>
      </c>
      <c r="S10942" t="s">
        <v>43294</v>
      </c>
      <c r="T10942" t="s">
        <v>44430</v>
      </c>
      <c r="U10942" t="s">
        <v>53739</v>
      </c>
      <c r="W10942" t="s">
        <v>42018</v>
      </c>
      <c r="X10942" t="s">
        <v>42685</v>
      </c>
    </row>
    <row r="10943" spans="1:24">
      <c r="A10943">
        <f>HYPERLINK("https://www.philgeps.gov.ph/GEPSNONPILOT/Tender/SplashBidNoticeAbstractUI.aspx?menuIndex=3&amp;refID=7170376&amp;Result=3","7170376")</f>
        <v>0</v>
      </c>
      <c r="B10943" t="s">
        <v>1010</v>
      </c>
      <c r="C10943" t="s">
        <v>13985</v>
      </c>
      <c r="E10943" t="s">
        <v>26578</v>
      </c>
      <c r="F10943" t="s">
        <v>29372</v>
      </c>
      <c r="G10943" t="s">
        <v>29380</v>
      </c>
      <c r="H10943" t="s">
        <v>29389</v>
      </c>
      <c r="I10943" t="s">
        <v>10408</v>
      </c>
      <c r="J10943" t="s">
        <v>36454</v>
      </c>
      <c r="K10943" t="s">
        <v>38490</v>
      </c>
      <c r="M10943" t="s">
        <v>39810</v>
      </c>
      <c r="N10943" t="s">
        <v>42669</v>
      </c>
      <c r="O10943" t="s">
        <v>42670</v>
      </c>
      <c r="P10943">
        <v>0</v>
      </c>
      <c r="Q10943">
        <v>0</v>
      </c>
      <c r="R10943" t="s">
        <v>42684</v>
      </c>
      <c r="S10943" t="s">
        <v>43183</v>
      </c>
      <c r="T10943" t="s">
        <v>44527</v>
      </c>
      <c r="U10943" t="s">
        <v>53740</v>
      </c>
      <c r="W10943" t="s">
        <v>39810</v>
      </c>
      <c r="X10943" t="s">
        <v>42685</v>
      </c>
    </row>
    <row r="10944" spans="1:24">
      <c r="A10944">
        <f>HYPERLINK("https://www.philgeps.gov.ph/GEPSNONPILOT/Tender/SplashBidNoticeAbstractUI.aspx?menuIndex=3&amp;refID=7170401&amp;Result=3","7170401")</f>
        <v>0</v>
      </c>
      <c r="B10944" t="s">
        <v>1010</v>
      </c>
      <c r="C10944" t="s">
        <v>13986</v>
      </c>
      <c r="E10944" t="s">
        <v>26579</v>
      </c>
      <c r="F10944" t="s">
        <v>29372</v>
      </c>
      <c r="G10944" t="s">
        <v>29380</v>
      </c>
      <c r="H10944" t="s">
        <v>29389</v>
      </c>
      <c r="I10944" t="s">
        <v>10408</v>
      </c>
      <c r="J10944" t="s">
        <v>36455</v>
      </c>
      <c r="K10944" t="s">
        <v>38490</v>
      </c>
      <c r="M10944" t="s">
        <v>39810</v>
      </c>
      <c r="N10944" t="s">
        <v>42669</v>
      </c>
      <c r="O10944" t="s">
        <v>42670</v>
      </c>
      <c r="P10944">
        <v>0</v>
      </c>
      <c r="Q10944">
        <v>0</v>
      </c>
      <c r="R10944" t="s">
        <v>42684</v>
      </c>
      <c r="S10944" t="s">
        <v>43183</v>
      </c>
      <c r="T10944" t="s">
        <v>44527</v>
      </c>
      <c r="U10944" t="s">
        <v>53741</v>
      </c>
      <c r="W10944" t="s">
        <v>39810</v>
      </c>
      <c r="X10944" t="s">
        <v>42685</v>
      </c>
    </row>
    <row r="10945" spans="1:24">
      <c r="A10945">
        <f>HYPERLINK("https://www.philgeps.gov.ph/GEPSNONPILOT/Tender/SplashBidNoticeAbstractUI.aspx?menuIndex=3&amp;refID=7170410&amp;Result=3","7170410")</f>
        <v>0</v>
      </c>
      <c r="B10945" t="s">
        <v>2999</v>
      </c>
      <c r="C10945" t="s">
        <v>13987</v>
      </c>
      <c r="D10945" t="s">
        <v>17195</v>
      </c>
      <c r="E10945" t="s">
        <v>26580</v>
      </c>
      <c r="F10945" t="s">
        <v>29372</v>
      </c>
      <c r="G10945" t="s">
        <v>29380</v>
      </c>
      <c r="H10945" t="s">
        <v>29389</v>
      </c>
      <c r="I10945" t="s">
        <v>10408</v>
      </c>
      <c r="J10945" t="s">
        <v>36453</v>
      </c>
      <c r="K10945" t="s">
        <v>38500</v>
      </c>
      <c r="M10945" t="s">
        <v>42018</v>
      </c>
      <c r="N10945" t="s">
        <v>42669</v>
      </c>
      <c r="O10945" t="s">
        <v>42670</v>
      </c>
      <c r="Q10945">
        <v>72</v>
      </c>
      <c r="R10945" t="s">
        <v>42684</v>
      </c>
      <c r="S10945" t="s">
        <v>43295</v>
      </c>
      <c r="T10945" t="s">
        <v>44430</v>
      </c>
      <c r="U10945" t="s">
        <v>53742</v>
      </c>
      <c r="W10945" t="s">
        <v>42018</v>
      </c>
      <c r="X10945" t="s">
        <v>42685</v>
      </c>
    </row>
    <row r="10946" spans="1:24">
      <c r="A10946">
        <f>HYPERLINK("https://www.philgeps.gov.ph/GEPSNONPILOT/Tender/SplashBidNoticeAbstractUI.aspx?menuIndex=3&amp;refID=7170361&amp;Result=3","7170361")</f>
        <v>0</v>
      </c>
      <c r="B10946" t="s">
        <v>3098</v>
      </c>
      <c r="C10946" t="s">
        <v>13988</v>
      </c>
      <c r="E10946" t="s">
        <v>17479</v>
      </c>
      <c r="F10946" t="s">
        <v>29372</v>
      </c>
      <c r="G10946" t="s">
        <v>29380</v>
      </c>
      <c r="H10946" t="s">
        <v>11048</v>
      </c>
      <c r="I10946" t="s">
        <v>5383</v>
      </c>
      <c r="J10946" t="s">
        <v>36456</v>
      </c>
      <c r="K10946" t="s">
        <v>38490</v>
      </c>
      <c r="M10946" t="s">
        <v>42136</v>
      </c>
      <c r="N10946" t="s">
        <v>42669</v>
      </c>
      <c r="O10946" t="s">
        <v>42670</v>
      </c>
      <c r="Q10946">
        <v>6</v>
      </c>
      <c r="R10946" t="s">
        <v>42684</v>
      </c>
      <c r="S10946" t="s">
        <v>43296</v>
      </c>
      <c r="T10946" t="s">
        <v>44426</v>
      </c>
      <c r="U10946" t="s">
        <v>53743</v>
      </c>
      <c r="W10946" t="s">
        <v>58110</v>
      </c>
      <c r="X10946" t="s">
        <v>42685</v>
      </c>
    </row>
    <row r="10947" spans="1:24">
      <c r="A10947">
        <f>HYPERLINK("https://www.philgeps.gov.ph/GEPSNONPILOT/Tender/SplashBidNoticeAbstractUI.aspx?menuIndex=3&amp;refID=7170108&amp;Result=3","7170108")</f>
        <v>0</v>
      </c>
      <c r="B10947" t="s">
        <v>140</v>
      </c>
      <c r="C10947" t="s">
        <v>13989</v>
      </c>
      <c r="D10947" t="s">
        <v>17170</v>
      </c>
      <c r="E10947" t="s">
        <v>26581</v>
      </c>
      <c r="F10947" t="s">
        <v>29372</v>
      </c>
      <c r="G10947" t="s">
        <v>29380</v>
      </c>
      <c r="H10947" t="s">
        <v>11048</v>
      </c>
      <c r="I10947" t="s">
        <v>3695</v>
      </c>
      <c r="J10947" t="s">
        <v>36457</v>
      </c>
      <c r="K10947" t="s">
        <v>38485</v>
      </c>
      <c r="M10947" t="s">
        <v>38895</v>
      </c>
      <c r="N10947" t="s">
        <v>42669</v>
      </c>
      <c r="O10947" t="s">
        <v>42670</v>
      </c>
      <c r="Q10947">
        <v>12</v>
      </c>
      <c r="R10947" t="s">
        <v>42684</v>
      </c>
      <c r="S10947" t="s">
        <v>43297</v>
      </c>
      <c r="T10947" t="s">
        <v>44400</v>
      </c>
      <c r="U10947" t="s">
        <v>53744</v>
      </c>
      <c r="W10947" t="s">
        <v>38895</v>
      </c>
      <c r="X10947" t="s">
        <v>42685</v>
      </c>
    </row>
    <row r="10948" spans="1:24">
      <c r="A10948">
        <f>HYPERLINK("https://www.philgeps.gov.ph/GEPSNONPILOT/Tender/SplashBidNoticeAbstractUI.aspx?menuIndex=3&amp;refID=7170350&amp;Result=3","7170350")</f>
        <v>0</v>
      </c>
      <c r="B10948" t="s">
        <v>1225</v>
      </c>
      <c r="C10948" t="s">
        <v>13990</v>
      </c>
      <c r="D10948" t="s">
        <v>17177</v>
      </c>
      <c r="E10948" t="s">
        <v>26582</v>
      </c>
      <c r="F10948" t="s">
        <v>29372</v>
      </c>
      <c r="G10948" t="s">
        <v>29380</v>
      </c>
      <c r="H10948" t="s">
        <v>29389</v>
      </c>
      <c r="I10948" t="s">
        <v>10408</v>
      </c>
      <c r="J10948" t="s">
        <v>36458</v>
      </c>
      <c r="K10948" t="s">
        <v>38533</v>
      </c>
      <c r="M10948" t="s">
        <v>41051</v>
      </c>
      <c r="N10948" t="s">
        <v>42669</v>
      </c>
      <c r="O10948" t="s">
        <v>42670</v>
      </c>
      <c r="P10948">
        <v>0</v>
      </c>
      <c r="Q10948">
        <v>3</v>
      </c>
      <c r="R10948" t="s">
        <v>42684</v>
      </c>
      <c r="S10948" t="s">
        <v>43183</v>
      </c>
      <c r="T10948" t="s">
        <v>44373</v>
      </c>
      <c r="U10948" t="s">
        <v>53745</v>
      </c>
      <c r="W10948" t="s">
        <v>41051</v>
      </c>
      <c r="X10948" t="s">
        <v>42685</v>
      </c>
    </row>
    <row r="10949" spans="1:24">
      <c r="A10949">
        <f>HYPERLINK("https://www.philgeps.gov.ph/GEPSNONPILOT/Tender/SplashBidNoticeAbstractUI.aspx?menuIndex=3&amp;refID=7170354&amp;Result=3","7170354")</f>
        <v>0</v>
      </c>
      <c r="B10949" t="s">
        <v>3093</v>
      </c>
      <c r="C10949" t="s">
        <v>13991</v>
      </c>
      <c r="D10949" t="s">
        <v>17174</v>
      </c>
      <c r="E10949" t="s">
        <v>26555</v>
      </c>
      <c r="F10949" t="s">
        <v>29372</v>
      </c>
      <c r="G10949" t="s">
        <v>29380</v>
      </c>
      <c r="H10949" t="s">
        <v>11048</v>
      </c>
      <c r="I10949" t="s">
        <v>29506</v>
      </c>
      <c r="J10949" t="s">
        <v>29823</v>
      </c>
      <c r="K10949" t="s">
        <v>38485</v>
      </c>
      <c r="M10949" t="s">
        <v>42130</v>
      </c>
      <c r="N10949" t="s">
        <v>42669</v>
      </c>
      <c r="O10949" t="s">
        <v>42670</v>
      </c>
      <c r="Q10949">
        <v>1</v>
      </c>
      <c r="R10949" t="s">
        <v>42684</v>
      </c>
      <c r="S10949" t="s">
        <v>42861</v>
      </c>
      <c r="T10949" t="s">
        <v>44442</v>
      </c>
      <c r="U10949" t="s">
        <v>53746</v>
      </c>
      <c r="W10949" t="s">
        <v>42130</v>
      </c>
      <c r="X10949" t="s">
        <v>42685</v>
      </c>
    </row>
    <row r="10950" spans="1:24">
      <c r="A10950">
        <f>HYPERLINK("https://www.philgeps.gov.ph/GEPSNONPILOT/Tender/SplashBidNoticeAbstractUI.aspx?menuIndex=3&amp;refID=7170411&amp;Result=3","7170411")</f>
        <v>0</v>
      </c>
      <c r="B10950" t="s">
        <v>1034</v>
      </c>
      <c r="C10950" t="s">
        <v>13992</v>
      </c>
      <c r="D10950" t="s">
        <v>17199</v>
      </c>
      <c r="E10950" t="s">
        <v>26583</v>
      </c>
      <c r="F10950" t="s">
        <v>29372</v>
      </c>
      <c r="G10950" t="s">
        <v>29380</v>
      </c>
      <c r="H10950" t="s">
        <v>29389</v>
      </c>
      <c r="I10950" t="s">
        <v>10408</v>
      </c>
      <c r="J10950" t="s">
        <v>30161</v>
      </c>
      <c r="K10950" t="s">
        <v>38527</v>
      </c>
      <c r="M10950" t="s">
        <v>40046</v>
      </c>
      <c r="N10950" t="s">
        <v>42669</v>
      </c>
      <c r="O10950" t="s">
        <v>42670</v>
      </c>
      <c r="P10950">
        <v>0</v>
      </c>
      <c r="Q10950">
        <v>0</v>
      </c>
      <c r="R10950" t="s">
        <v>42684</v>
      </c>
      <c r="S10950" t="s">
        <v>43183</v>
      </c>
      <c r="T10950" t="s">
        <v>44357</v>
      </c>
      <c r="U10950" t="s">
        <v>53747</v>
      </c>
      <c r="W10950" t="s">
        <v>40046</v>
      </c>
      <c r="X10950" t="s">
        <v>42685</v>
      </c>
    </row>
    <row r="10951" spans="1:24">
      <c r="A10951">
        <f>HYPERLINK("https://www.philgeps.gov.ph/GEPSNONPILOT/Tender/SplashBidNoticeAbstractUI.aspx?menuIndex=3&amp;refID=7170482&amp;Result=3","7170482")</f>
        <v>0</v>
      </c>
      <c r="B10951" t="s">
        <v>2950</v>
      </c>
      <c r="C10951" t="s">
        <v>13993</v>
      </c>
      <c r="D10951" t="s">
        <v>17151</v>
      </c>
      <c r="E10951" t="s">
        <v>26584</v>
      </c>
      <c r="F10951" t="s">
        <v>29372</v>
      </c>
      <c r="G10951" t="s">
        <v>29380</v>
      </c>
      <c r="H10951" t="s">
        <v>11048</v>
      </c>
      <c r="I10951" t="s">
        <v>3670</v>
      </c>
      <c r="J10951" t="s">
        <v>30010</v>
      </c>
      <c r="K10951" t="s">
        <v>38485</v>
      </c>
      <c r="M10951" t="s">
        <v>41955</v>
      </c>
      <c r="N10951" t="s">
        <v>42669</v>
      </c>
      <c r="O10951" t="s">
        <v>42670</v>
      </c>
      <c r="P10951">
        <v>0</v>
      </c>
      <c r="Q10951">
        <v>0</v>
      </c>
      <c r="R10951" t="s">
        <v>42684</v>
      </c>
      <c r="S10951" t="s">
        <v>43183</v>
      </c>
      <c r="T10951" t="s">
        <v>44389</v>
      </c>
      <c r="U10951" t="s">
        <v>53748</v>
      </c>
      <c r="W10951" t="s">
        <v>41955</v>
      </c>
      <c r="X10951" t="s">
        <v>42685</v>
      </c>
    </row>
    <row r="10952" spans="1:24">
      <c r="A10952">
        <f>HYPERLINK("https://www.philgeps.gov.ph/GEPSNONPILOT/Tender/SplashBidNoticeAbstractUI.aspx?menuIndex=3&amp;refID=7170517&amp;Result=3","7170517")</f>
        <v>0</v>
      </c>
      <c r="B10952" t="s">
        <v>2950</v>
      </c>
      <c r="C10952" t="s">
        <v>13994</v>
      </c>
      <c r="D10952" t="s">
        <v>17151</v>
      </c>
      <c r="E10952" t="s">
        <v>26585</v>
      </c>
      <c r="F10952" t="s">
        <v>29372</v>
      </c>
      <c r="G10952" t="s">
        <v>29380</v>
      </c>
      <c r="H10952" t="s">
        <v>11048</v>
      </c>
      <c r="I10952" t="s">
        <v>4709</v>
      </c>
      <c r="J10952" t="s">
        <v>36459</v>
      </c>
      <c r="K10952" t="s">
        <v>38485</v>
      </c>
      <c r="M10952" t="s">
        <v>41955</v>
      </c>
      <c r="N10952" t="s">
        <v>42669</v>
      </c>
      <c r="O10952" t="s">
        <v>42670</v>
      </c>
      <c r="P10952">
        <v>0</v>
      </c>
      <c r="Q10952">
        <v>0</v>
      </c>
      <c r="R10952" t="s">
        <v>42684</v>
      </c>
      <c r="S10952" t="s">
        <v>43183</v>
      </c>
      <c r="T10952" t="s">
        <v>44398</v>
      </c>
      <c r="U10952" t="s">
        <v>53749</v>
      </c>
      <c r="W10952" t="s">
        <v>41955</v>
      </c>
      <c r="X10952" t="s">
        <v>42685</v>
      </c>
    </row>
    <row r="10953" spans="1:24">
      <c r="A10953">
        <f>HYPERLINK("https://www.philgeps.gov.ph/GEPSNONPILOT/Tender/SplashBidNoticeAbstractUI.aspx?menuIndex=3&amp;refID=7170403&amp;Result=3","7170403")</f>
        <v>0</v>
      </c>
      <c r="B10953" t="s">
        <v>1034</v>
      </c>
      <c r="C10953" t="s">
        <v>13995</v>
      </c>
      <c r="D10953" t="s">
        <v>17199</v>
      </c>
      <c r="E10953" t="s">
        <v>26586</v>
      </c>
      <c r="F10953" t="s">
        <v>29372</v>
      </c>
      <c r="G10953" t="s">
        <v>29380</v>
      </c>
      <c r="H10953" t="s">
        <v>29389</v>
      </c>
      <c r="I10953" t="s">
        <v>10408</v>
      </c>
      <c r="J10953" t="s">
        <v>30244</v>
      </c>
      <c r="K10953" t="s">
        <v>38496</v>
      </c>
      <c r="M10953" t="s">
        <v>40046</v>
      </c>
      <c r="N10953" t="s">
        <v>42669</v>
      </c>
      <c r="O10953" t="s">
        <v>42670</v>
      </c>
      <c r="P10953">
        <v>0</v>
      </c>
      <c r="Q10953">
        <v>0</v>
      </c>
      <c r="R10953" t="s">
        <v>42684</v>
      </c>
      <c r="S10953" t="s">
        <v>43183</v>
      </c>
      <c r="T10953" t="s">
        <v>44357</v>
      </c>
      <c r="U10953" t="s">
        <v>53747</v>
      </c>
      <c r="W10953" t="s">
        <v>40046</v>
      </c>
      <c r="X10953" t="s">
        <v>42685</v>
      </c>
    </row>
    <row r="10954" spans="1:24">
      <c r="A10954">
        <f>HYPERLINK("https://www.philgeps.gov.ph/GEPSNONPILOT/Tender/SplashBidNoticeAbstractUI.aspx?menuIndex=3&amp;refID=7170097&amp;Result=3","7170097")</f>
        <v>0</v>
      </c>
      <c r="B10954" t="s">
        <v>278</v>
      </c>
      <c r="C10954" t="s">
        <v>13996</v>
      </c>
      <c r="D10954" t="s">
        <v>17206</v>
      </c>
      <c r="E10954" t="s">
        <v>26587</v>
      </c>
      <c r="F10954" t="s">
        <v>29372</v>
      </c>
      <c r="G10954" t="s">
        <v>29379</v>
      </c>
      <c r="H10954" t="s">
        <v>11048</v>
      </c>
      <c r="I10954" t="s">
        <v>29396</v>
      </c>
      <c r="J10954" t="s">
        <v>36460</v>
      </c>
      <c r="K10954" t="s">
        <v>38485</v>
      </c>
      <c r="M10954" t="s">
        <v>41697</v>
      </c>
      <c r="N10954" t="s">
        <v>42669</v>
      </c>
      <c r="O10954" t="s">
        <v>42670</v>
      </c>
      <c r="Q10954">
        <v>5</v>
      </c>
      <c r="R10954" t="s">
        <v>42684</v>
      </c>
      <c r="S10954" t="s">
        <v>43271</v>
      </c>
      <c r="T10954" t="s">
        <v>44427</v>
      </c>
      <c r="U10954" t="s">
        <v>53686</v>
      </c>
      <c r="W10954" t="s">
        <v>41697</v>
      </c>
      <c r="X10954" t="s">
        <v>42685</v>
      </c>
    </row>
    <row r="10955" spans="1:24">
      <c r="A10955">
        <f>HYPERLINK("https://www.philgeps.gov.ph/GEPSNONPILOT/Tender/SplashBidNoticeAbstractUI.aspx?menuIndex=3&amp;refID=7170404&amp;Result=3","7170404")</f>
        <v>0</v>
      </c>
      <c r="B10955" t="s">
        <v>1010</v>
      </c>
      <c r="C10955" t="s">
        <v>13997</v>
      </c>
      <c r="E10955" t="s">
        <v>26588</v>
      </c>
      <c r="F10955" t="s">
        <v>29372</v>
      </c>
      <c r="G10955" t="s">
        <v>29380</v>
      </c>
      <c r="H10955" t="s">
        <v>29389</v>
      </c>
      <c r="I10955" t="s">
        <v>10408</v>
      </c>
      <c r="J10955" t="s">
        <v>36461</v>
      </c>
      <c r="K10955" t="s">
        <v>38490</v>
      </c>
      <c r="M10955" t="s">
        <v>39810</v>
      </c>
      <c r="N10955" t="s">
        <v>42669</v>
      </c>
      <c r="O10955" t="s">
        <v>42670</v>
      </c>
      <c r="P10955">
        <v>0</v>
      </c>
      <c r="Q10955">
        <v>0</v>
      </c>
      <c r="R10955" t="s">
        <v>42684</v>
      </c>
      <c r="S10955" t="s">
        <v>43183</v>
      </c>
      <c r="T10955" t="s">
        <v>44422</v>
      </c>
      <c r="U10955" t="s">
        <v>53750</v>
      </c>
      <c r="W10955" t="s">
        <v>39810</v>
      </c>
      <c r="X10955" t="s">
        <v>42685</v>
      </c>
    </row>
    <row r="10956" spans="1:24">
      <c r="A10956">
        <f>HYPERLINK("https://www.philgeps.gov.ph/GEPSNONPILOT/Tender/SplashBidNoticeAbstractUI.aspx?menuIndex=3&amp;refID=7170509&amp;Result=3","7170509")</f>
        <v>0</v>
      </c>
      <c r="B10956" t="s">
        <v>2950</v>
      </c>
      <c r="C10956" t="s">
        <v>13998</v>
      </c>
      <c r="D10956" t="s">
        <v>17151</v>
      </c>
      <c r="E10956" t="s">
        <v>26589</v>
      </c>
      <c r="F10956" t="s">
        <v>29372</v>
      </c>
      <c r="G10956" t="s">
        <v>29380</v>
      </c>
      <c r="H10956" t="s">
        <v>11048</v>
      </c>
      <c r="I10956" t="s">
        <v>4709</v>
      </c>
      <c r="J10956" t="s">
        <v>36462</v>
      </c>
      <c r="K10956" t="s">
        <v>38485</v>
      </c>
      <c r="M10956" t="s">
        <v>41955</v>
      </c>
      <c r="N10956" t="s">
        <v>42669</v>
      </c>
      <c r="O10956" t="s">
        <v>42670</v>
      </c>
      <c r="P10956">
        <v>0</v>
      </c>
      <c r="Q10956">
        <v>0</v>
      </c>
      <c r="R10956" t="s">
        <v>42684</v>
      </c>
      <c r="S10956" t="s">
        <v>43183</v>
      </c>
      <c r="T10956" t="s">
        <v>44398</v>
      </c>
      <c r="U10956" t="s">
        <v>53751</v>
      </c>
      <c r="W10956" t="s">
        <v>41955</v>
      </c>
      <c r="X10956" t="s">
        <v>42685</v>
      </c>
    </row>
    <row r="10957" spans="1:24">
      <c r="A10957">
        <f>HYPERLINK("https://www.philgeps.gov.ph/GEPSNONPILOT/Tender/SplashBidNoticeAbstractUI.aspx?menuIndex=3&amp;refID=7170484&amp;Result=3","7170484")</f>
        <v>0</v>
      </c>
      <c r="B10957" t="s">
        <v>3058</v>
      </c>
      <c r="C10957" t="s">
        <v>13999</v>
      </c>
      <c r="D10957" t="s">
        <v>17141</v>
      </c>
      <c r="E10957" t="s">
        <v>26590</v>
      </c>
      <c r="F10957" t="s">
        <v>29372</v>
      </c>
      <c r="G10957" t="s">
        <v>29380</v>
      </c>
      <c r="H10957" t="s">
        <v>11048</v>
      </c>
      <c r="I10957" t="s">
        <v>29397</v>
      </c>
      <c r="J10957" t="s">
        <v>36463</v>
      </c>
      <c r="K10957" t="s">
        <v>38490</v>
      </c>
      <c r="M10957" t="s">
        <v>42083</v>
      </c>
      <c r="N10957" t="s">
        <v>42669</v>
      </c>
      <c r="O10957" t="s">
        <v>42670</v>
      </c>
      <c r="Q10957">
        <v>6</v>
      </c>
      <c r="R10957" t="s">
        <v>42684</v>
      </c>
      <c r="S10957" t="s">
        <v>43298</v>
      </c>
      <c r="T10957" t="s">
        <v>44470</v>
      </c>
      <c r="U10957" t="s">
        <v>53547</v>
      </c>
      <c r="W10957" t="s">
        <v>42083</v>
      </c>
      <c r="X10957" t="s">
        <v>42685</v>
      </c>
    </row>
    <row r="10958" spans="1:24">
      <c r="A10958">
        <f>HYPERLINK("https://www.philgeps.gov.ph/GEPSNONPILOT/Tender/SplashBidNoticeAbstractUI.aspx?menuIndex=3&amp;refID=7170502&amp;Result=3","7170502")</f>
        <v>0</v>
      </c>
      <c r="B10958" t="s">
        <v>2950</v>
      </c>
      <c r="C10958" t="s">
        <v>14000</v>
      </c>
      <c r="D10958" t="s">
        <v>17151</v>
      </c>
      <c r="E10958" t="s">
        <v>26591</v>
      </c>
      <c r="F10958" t="s">
        <v>29372</v>
      </c>
      <c r="G10958" t="s">
        <v>29380</v>
      </c>
      <c r="H10958" t="s">
        <v>11048</v>
      </c>
      <c r="I10958" t="s">
        <v>3839</v>
      </c>
      <c r="J10958" t="s">
        <v>29657</v>
      </c>
      <c r="K10958" t="s">
        <v>38485</v>
      </c>
      <c r="M10958" t="s">
        <v>41955</v>
      </c>
      <c r="N10958" t="s">
        <v>42669</v>
      </c>
      <c r="O10958" t="s">
        <v>42670</v>
      </c>
      <c r="P10958">
        <v>0</v>
      </c>
      <c r="Q10958">
        <v>0</v>
      </c>
      <c r="R10958" t="s">
        <v>42684</v>
      </c>
      <c r="S10958" t="s">
        <v>43183</v>
      </c>
      <c r="T10958" t="s">
        <v>44398</v>
      </c>
      <c r="U10958" t="s">
        <v>53752</v>
      </c>
      <c r="W10958" t="s">
        <v>41955</v>
      </c>
      <c r="X10958" t="s">
        <v>42685</v>
      </c>
    </row>
    <row r="10959" spans="1:24">
      <c r="A10959">
        <f>HYPERLINK("https://www.philgeps.gov.ph/GEPSNONPILOT/Tender/SplashBidNoticeAbstractUI.aspx?menuIndex=3&amp;refID=7170494&amp;Result=3","7170494")</f>
        <v>0</v>
      </c>
      <c r="B10959" t="s">
        <v>2950</v>
      </c>
      <c r="C10959" t="s">
        <v>14001</v>
      </c>
      <c r="D10959" t="s">
        <v>17151</v>
      </c>
      <c r="E10959" t="s">
        <v>26592</v>
      </c>
      <c r="F10959" t="s">
        <v>29372</v>
      </c>
      <c r="G10959" t="s">
        <v>29380</v>
      </c>
      <c r="H10959" t="s">
        <v>11048</v>
      </c>
      <c r="I10959" t="s">
        <v>6417</v>
      </c>
      <c r="J10959" t="s">
        <v>29675</v>
      </c>
      <c r="K10959" t="s">
        <v>38485</v>
      </c>
      <c r="M10959" t="s">
        <v>41955</v>
      </c>
      <c r="N10959" t="s">
        <v>42669</v>
      </c>
      <c r="O10959" t="s">
        <v>42670</v>
      </c>
      <c r="P10959">
        <v>0</v>
      </c>
      <c r="Q10959">
        <v>0</v>
      </c>
      <c r="R10959" t="s">
        <v>42684</v>
      </c>
      <c r="S10959" t="s">
        <v>43183</v>
      </c>
      <c r="T10959" t="s">
        <v>44398</v>
      </c>
      <c r="U10959" t="s">
        <v>53753</v>
      </c>
      <c r="W10959" t="s">
        <v>41955</v>
      </c>
      <c r="X10959" t="s">
        <v>42685</v>
      </c>
    </row>
    <row r="10960" spans="1:24">
      <c r="A10960">
        <f>HYPERLINK("https://www.philgeps.gov.ph/GEPSNONPILOT/Tender/SplashBidNoticeAbstractUI.aspx?menuIndex=3&amp;refID=7170464&amp;Result=3","7170464")</f>
        <v>0</v>
      </c>
      <c r="B10960" t="s">
        <v>3099</v>
      </c>
      <c r="C10960" t="s">
        <v>5329</v>
      </c>
      <c r="D10960" t="s">
        <v>17165</v>
      </c>
      <c r="E10960" t="s">
        <v>17755</v>
      </c>
      <c r="F10960" t="s">
        <v>29373</v>
      </c>
      <c r="G10960" t="s">
        <v>29380</v>
      </c>
      <c r="H10960" t="s">
        <v>11048</v>
      </c>
      <c r="I10960" t="s">
        <v>4709</v>
      </c>
      <c r="J10960" t="s">
        <v>36464</v>
      </c>
      <c r="K10960" t="s">
        <v>38510</v>
      </c>
      <c r="M10960" t="s">
        <v>42137</v>
      </c>
      <c r="N10960" t="s">
        <v>42669</v>
      </c>
      <c r="O10960" t="s">
        <v>42670</v>
      </c>
      <c r="P10960">
        <v>0</v>
      </c>
      <c r="Q10960">
        <v>0</v>
      </c>
      <c r="R10960" t="s">
        <v>42684</v>
      </c>
      <c r="S10960" t="s">
        <v>43183</v>
      </c>
      <c r="T10960" t="s">
        <v>44349</v>
      </c>
      <c r="U10960" t="s">
        <v>53754</v>
      </c>
      <c r="W10960" t="s">
        <v>42137</v>
      </c>
      <c r="X10960" t="s">
        <v>42685</v>
      </c>
    </row>
    <row r="10961" spans="1:24">
      <c r="A10961">
        <f>HYPERLINK("https://www.philgeps.gov.ph/GEPSNONPILOT/Tender/SplashBidNoticeAbstractUI.aspx?menuIndex=3&amp;refID=7170398&amp;Result=3","7170398")</f>
        <v>0</v>
      </c>
      <c r="B10961" t="s">
        <v>1047</v>
      </c>
      <c r="C10961" t="s">
        <v>14002</v>
      </c>
      <c r="D10961" t="s">
        <v>17141</v>
      </c>
      <c r="E10961" t="s">
        <v>26593</v>
      </c>
      <c r="F10961" t="s">
        <v>29372</v>
      </c>
      <c r="G10961" t="s">
        <v>29380</v>
      </c>
      <c r="H10961" t="s">
        <v>11048</v>
      </c>
      <c r="I10961" t="s">
        <v>9469</v>
      </c>
      <c r="J10961" t="s">
        <v>36465</v>
      </c>
      <c r="K10961" t="s">
        <v>38485</v>
      </c>
      <c r="M10961" t="s">
        <v>42138</v>
      </c>
      <c r="N10961" t="s">
        <v>42669</v>
      </c>
      <c r="O10961" t="s">
        <v>42670</v>
      </c>
      <c r="P10961">
        <v>0</v>
      </c>
      <c r="Q10961">
        <v>13</v>
      </c>
      <c r="R10961" t="s">
        <v>42684</v>
      </c>
      <c r="S10961" t="s">
        <v>43183</v>
      </c>
      <c r="T10961" t="s">
        <v>44361</v>
      </c>
      <c r="U10961" t="s">
        <v>53755</v>
      </c>
      <c r="W10961" t="s">
        <v>42138</v>
      </c>
      <c r="X10961" t="s">
        <v>42685</v>
      </c>
    </row>
    <row r="10962" spans="1:24">
      <c r="A10962">
        <f>HYPERLINK("https://www.philgeps.gov.ph/GEPSNONPILOT/Tender/SplashBidNoticeAbstractUI.aspx?menuIndex=3&amp;refID=7170438&amp;Result=3","7170438")</f>
        <v>0</v>
      </c>
      <c r="B10962" t="s">
        <v>1225</v>
      </c>
      <c r="C10962" t="s">
        <v>14003</v>
      </c>
      <c r="D10962" t="s">
        <v>17177</v>
      </c>
      <c r="E10962" t="s">
        <v>26594</v>
      </c>
      <c r="F10962" t="s">
        <v>29372</v>
      </c>
      <c r="G10962" t="s">
        <v>29380</v>
      </c>
      <c r="H10962" t="s">
        <v>29389</v>
      </c>
      <c r="I10962" t="s">
        <v>10408</v>
      </c>
      <c r="J10962" t="s">
        <v>36466</v>
      </c>
      <c r="K10962" t="s">
        <v>38564</v>
      </c>
      <c r="M10962" t="s">
        <v>41051</v>
      </c>
      <c r="N10962" t="s">
        <v>42669</v>
      </c>
      <c r="O10962" t="s">
        <v>42670</v>
      </c>
      <c r="Q10962">
        <v>3</v>
      </c>
      <c r="R10962" t="s">
        <v>42684</v>
      </c>
      <c r="S10962" t="s">
        <v>43299</v>
      </c>
      <c r="T10962" t="s">
        <v>44373</v>
      </c>
      <c r="U10962" t="s">
        <v>53745</v>
      </c>
      <c r="W10962" t="s">
        <v>41051</v>
      </c>
      <c r="X10962" t="s">
        <v>42685</v>
      </c>
    </row>
    <row r="10963" spans="1:24">
      <c r="A10963">
        <f>HYPERLINK("https://www.philgeps.gov.ph/GEPSNONPILOT/Tender/SplashBidNoticeAbstractUI.aspx?menuIndex=3&amp;refID=7170422&amp;Result=3","7170422")</f>
        <v>0</v>
      </c>
      <c r="B10963" t="s">
        <v>2391</v>
      </c>
      <c r="C10963" t="s">
        <v>14004</v>
      </c>
      <c r="D10963" t="s">
        <v>17190</v>
      </c>
      <c r="E10963" t="s">
        <v>26595</v>
      </c>
      <c r="F10963" t="s">
        <v>29372</v>
      </c>
      <c r="G10963" t="s">
        <v>29380</v>
      </c>
      <c r="H10963" t="s">
        <v>29389</v>
      </c>
      <c r="I10963" t="s">
        <v>10408</v>
      </c>
      <c r="J10963" t="s">
        <v>36467</v>
      </c>
      <c r="K10963" t="s">
        <v>38666</v>
      </c>
      <c r="M10963" t="s">
        <v>41336</v>
      </c>
      <c r="N10963" t="s">
        <v>42669</v>
      </c>
      <c r="O10963" t="s">
        <v>42670</v>
      </c>
      <c r="P10963">
        <v>0</v>
      </c>
      <c r="Q10963">
        <v>0</v>
      </c>
      <c r="R10963" t="s">
        <v>42684</v>
      </c>
      <c r="S10963" t="s">
        <v>43183</v>
      </c>
      <c r="T10963" t="s">
        <v>44357</v>
      </c>
      <c r="U10963" t="s">
        <v>53756</v>
      </c>
      <c r="W10963" t="s">
        <v>41336</v>
      </c>
      <c r="X10963" t="s">
        <v>42685</v>
      </c>
    </row>
    <row r="10964" spans="1:24">
      <c r="A10964">
        <f>HYPERLINK("https://www.philgeps.gov.ph/GEPSNONPILOT/Tender/SplashBidNoticeAbstractUI.aspx?menuIndex=3&amp;refID=7170430&amp;Result=3","7170430")</f>
        <v>0</v>
      </c>
      <c r="B10964" t="s">
        <v>3100</v>
      </c>
      <c r="C10964" t="s">
        <v>14005</v>
      </c>
      <c r="D10964" t="s">
        <v>17141</v>
      </c>
      <c r="E10964" t="s">
        <v>26596</v>
      </c>
      <c r="F10964" t="s">
        <v>29372</v>
      </c>
      <c r="G10964" t="s">
        <v>29380</v>
      </c>
      <c r="H10964" t="s">
        <v>11048</v>
      </c>
      <c r="I10964" t="s">
        <v>9469</v>
      </c>
      <c r="J10964" t="s">
        <v>29724</v>
      </c>
      <c r="K10964" t="s">
        <v>38485</v>
      </c>
      <c r="M10964" t="s">
        <v>42139</v>
      </c>
      <c r="N10964" t="s">
        <v>42669</v>
      </c>
      <c r="O10964" t="s">
        <v>42670</v>
      </c>
      <c r="P10964">
        <v>0</v>
      </c>
      <c r="Q10964">
        <v>3</v>
      </c>
      <c r="R10964" t="s">
        <v>42684</v>
      </c>
      <c r="S10964" t="s">
        <v>43183</v>
      </c>
      <c r="T10964" t="s">
        <v>44357</v>
      </c>
      <c r="U10964" t="s">
        <v>53757</v>
      </c>
      <c r="V10964" t="s">
        <v>57587</v>
      </c>
      <c r="W10964" t="s">
        <v>42139</v>
      </c>
      <c r="X10964" t="s">
        <v>42685</v>
      </c>
    </row>
    <row r="10965" spans="1:24">
      <c r="A10965">
        <f>HYPERLINK("https://www.philgeps.gov.ph/GEPSNONPILOT/Tender/SplashBidNoticeAbstractUI.aspx?menuIndex=3&amp;refID=7170419&amp;Result=3","7170419")</f>
        <v>0</v>
      </c>
      <c r="B10965" t="s">
        <v>2999</v>
      </c>
      <c r="C10965" t="s">
        <v>14006</v>
      </c>
      <c r="D10965" t="s">
        <v>17195</v>
      </c>
      <c r="E10965" t="s">
        <v>26597</v>
      </c>
      <c r="F10965" t="s">
        <v>29372</v>
      </c>
      <c r="G10965" t="s">
        <v>29380</v>
      </c>
      <c r="H10965" t="s">
        <v>29389</v>
      </c>
      <c r="I10965" t="s">
        <v>10408</v>
      </c>
      <c r="J10965" t="s">
        <v>36468</v>
      </c>
      <c r="K10965" t="s">
        <v>38555</v>
      </c>
      <c r="M10965" t="s">
        <v>42018</v>
      </c>
      <c r="N10965" t="s">
        <v>42669</v>
      </c>
      <c r="O10965" t="s">
        <v>42670</v>
      </c>
      <c r="Q10965">
        <v>71</v>
      </c>
      <c r="R10965" t="s">
        <v>42684</v>
      </c>
      <c r="S10965" t="s">
        <v>43300</v>
      </c>
      <c r="T10965" t="s">
        <v>44430</v>
      </c>
      <c r="U10965" t="s">
        <v>53758</v>
      </c>
      <c r="W10965" t="s">
        <v>42018</v>
      </c>
      <c r="X10965" t="s">
        <v>42685</v>
      </c>
    </row>
    <row r="10966" spans="1:24">
      <c r="A10966">
        <f>HYPERLINK("https://www.philgeps.gov.ph/GEPSNONPILOT/Tender/SplashBidNoticeAbstractUI.aspx?menuIndex=3&amp;refID=7170488&amp;Result=3","7170488")</f>
        <v>0</v>
      </c>
      <c r="B10966" t="s">
        <v>2950</v>
      </c>
      <c r="C10966" t="s">
        <v>14007</v>
      </c>
      <c r="D10966" t="s">
        <v>17151</v>
      </c>
      <c r="E10966" t="s">
        <v>26598</v>
      </c>
      <c r="F10966" t="s">
        <v>29372</v>
      </c>
      <c r="G10966" t="s">
        <v>29380</v>
      </c>
      <c r="H10966" t="s">
        <v>11048</v>
      </c>
      <c r="I10966" t="s">
        <v>29426</v>
      </c>
      <c r="J10966" t="s">
        <v>30113</v>
      </c>
      <c r="K10966" t="s">
        <v>38485</v>
      </c>
      <c r="M10966" t="s">
        <v>41955</v>
      </c>
      <c r="N10966" t="s">
        <v>42669</v>
      </c>
      <c r="O10966" t="s">
        <v>42670</v>
      </c>
      <c r="P10966">
        <v>0</v>
      </c>
      <c r="Q10966">
        <v>2</v>
      </c>
      <c r="R10966" t="s">
        <v>42684</v>
      </c>
      <c r="S10966" t="s">
        <v>43183</v>
      </c>
      <c r="T10966" t="s">
        <v>44398</v>
      </c>
      <c r="U10966" t="s">
        <v>53759</v>
      </c>
      <c r="W10966" t="s">
        <v>41955</v>
      </c>
      <c r="X10966" t="s">
        <v>42685</v>
      </c>
    </row>
    <row r="10967" spans="1:24">
      <c r="A10967">
        <f>HYPERLINK("https://www.philgeps.gov.ph/GEPSNONPILOT/Tender/SplashBidNoticeAbstractUI.aspx?menuIndex=3&amp;refID=7170477&amp;Result=3","7170477")</f>
        <v>0</v>
      </c>
      <c r="B10967" t="s">
        <v>2950</v>
      </c>
      <c r="C10967" t="s">
        <v>14008</v>
      </c>
      <c r="D10967" t="s">
        <v>17151</v>
      </c>
      <c r="E10967" t="s">
        <v>26599</v>
      </c>
      <c r="F10967" t="s">
        <v>29372</v>
      </c>
      <c r="G10967" t="s">
        <v>29380</v>
      </c>
      <c r="H10967" t="s">
        <v>11048</v>
      </c>
      <c r="I10967" t="s">
        <v>3597</v>
      </c>
      <c r="J10967" t="s">
        <v>30113</v>
      </c>
      <c r="K10967" t="s">
        <v>38485</v>
      </c>
      <c r="M10967" t="s">
        <v>41955</v>
      </c>
      <c r="N10967" t="s">
        <v>42669</v>
      </c>
      <c r="O10967" t="s">
        <v>42670</v>
      </c>
      <c r="P10967">
        <v>0</v>
      </c>
      <c r="Q10967">
        <v>1</v>
      </c>
      <c r="R10967" t="s">
        <v>42684</v>
      </c>
      <c r="S10967" t="s">
        <v>43183</v>
      </c>
      <c r="T10967" t="s">
        <v>44398</v>
      </c>
      <c r="U10967" t="s">
        <v>53760</v>
      </c>
      <c r="W10967" t="s">
        <v>41955</v>
      </c>
      <c r="X10967" t="s">
        <v>42685</v>
      </c>
    </row>
    <row r="10968" spans="1:24">
      <c r="A10968">
        <f>HYPERLINK("https://www.philgeps.gov.ph/GEPSNONPILOT/Tender/SplashBidNoticeAbstractUI.aspx?menuIndex=3&amp;refID=7170447&amp;Result=3","7170447")</f>
        <v>0</v>
      </c>
      <c r="B10968" t="s">
        <v>1225</v>
      </c>
      <c r="C10968" t="s">
        <v>14009</v>
      </c>
      <c r="D10968" t="s">
        <v>17177</v>
      </c>
      <c r="E10968" t="s">
        <v>26600</v>
      </c>
      <c r="F10968" t="s">
        <v>29372</v>
      </c>
      <c r="G10968" t="s">
        <v>29380</v>
      </c>
      <c r="H10968" t="s">
        <v>29389</v>
      </c>
      <c r="I10968" t="s">
        <v>10408</v>
      </c>
      <c r="J10968" t="s">
        <v>36469</v>
      </c>
      <c r="K10968" t="s">
        <v>38564</v>
      </c>
      <c r="M10968" t="s">
        <v>41051</v>
      </c>
      <c r="N10968" t="s">
        <v>42669</v>
      </c>
      <c r="O10968" t="s">
        <v>42670</v>
      </c>
      <c r="Q10968">
        <v>4</v>
      </c>
      <c r="R10968" t="s">
        <v>42684</v>
      </c>
      <c r="S10968" t="s">
        <v>43301</v>
      </c>
      <c r="T10968" t="s">
        <v>44412</v>
      </c>
      <c r="U10968" t="s">
        <v>53745</v>
      </c>
      <c r="W10968" t="s">
        <v>41051</v>
      </c>
      <c r="X10968" t="s">
        <v>42685</v>
      </c>
    </row>
    <row r="10969" spans="1:24">
      <c r="A10969">
        <f>HYPERLINK("https://www.philgeps.gov.ph/GEPSNONPILOT/Tender/SplashBidNoticeAbstractUI.aspx?menuIndex=3&amp;refID=7170412&amp;Result=3","7170412")</f>
        <v>0</v>
      </c>
      <c r="B10969" t="s">
        <v>2999</v>
      </c>
      <c r="C10969" t="s">
        <v>14010</v>
      </c>
      <c r="D10969" t="s">
        <v>17195</v>
      </c>
      <c r="E10969" t="s">
        <v>26601</v>
      </c>
      <c r="F10969" t="s">
        <v>29372</v>
      </c>
      <c r="G10969" t="s">
        <v>29380</v>
      </c>
      <c r="H10969" t="s">
        <v>29389</v>
      </c>
      <c r="I10969" t="s">
        <v>10408</v>
      </c>
      <c r="J10969" t="s">
        <v>36470</v>
      </c>
      <c r="K10969" t="s">
        <v>38604</v>
      </c>
      <c r="M10969" t="s">
        <v>42018</v>
      </c>
      <c r="N10969" t="s">
        <v>42669</v>
      </c>
      <c r="O10969" t="s">
        <v>42670</v>
      </c>
      <c r="Q10969">
        <v>71</v>
      </c>
      <c r="R10969" t="s">
        <v>42684</v>
      </c>
      <c r="S10969" t="s">
        <v>43302</v>
      </c>
      <c r="T10969" t="s">
        <v>44430</v>
      </c>
      <c r="U10969" t="s">
        <v>53761</v>
      </c>
      <c r="W10969" t="s">
        <v>42018</v>
      </c>
      <c r="X10969" t="s">
        <v>42685</v>
      </c>
    </row>
    <row r="10970" spans="1:24">
      <c r="A10970">
        <f>HYPERLINK("https://www.philgeps.gov.ph/GEPSNONPILOT/Tender/SplashBidNoticeAbstractUI.aspx?menuIndex=3&amp;refID=7170428&amp;Result=3","7170428")</f>
        <v>0</v>
      </c>
      <c r="B10970" t="s">
        <v>2999</v>
      </c>
      <c r="C10970" t="s">
        <v>14011</v>
      </c>
      <c r="D10970" t="s">
        <v>17195</v>
      </c>
      <c r="E10970" t="s">
        <v>26602</v>
      </c>
      <c r="F10970" t="s">
        <v>29372</v>
      </c>
      <c r="G10970" t="s">
        <v>29380</v>
      </c>
      <c r="H10970" t="s">
        <v>29389</v>
      </c>
      <c r="I10970" t="s">
        <v>10408</v>
      </c>
      <c r="J10970" t="s">
        <v>36471</v>
      </c>
      <c r="K10970" t="s">
        <v>38591</v>
      </c>
      <c r="M10970" t="s">
        <v>42018</v>
      </c>
      <c r="N10970" t="s">
        <v>42669</v>
      </c>
      <c r="O10970" t="s">
        <v>42670</v>
      </c>
      <c r="Q10970">
        <v>71</v>
      </c>
      <c r="R10970" t="s">
        <v>42684</v>
      </c>
      <c r="S10970" t="s">
        <v>43303</v>
      </c>
      <c r="T10970" t="s">
        <v>44430</v>
      </c>
      <c r="U10970" t="s">
        <v>53762</v>
      </c>
      <c r="W10970" t="s">
        <v>42018</v>
      </c>
      <c r="X10970" t="s">
        <v>42685</v>
      </c>
    </row>
    <row r="10971" spans="1:24">
      <c r="A10971">
        <f>HYPERLINK("https://www.philgeps.gov.ph/GEPSNONPILOT/Tender/SplashBidNoticeAbstractUI.aspx?menuIndex=3&amp;refID=7170572&amp;Result=3","7170572")</f>
        <v>0</v>
      </c>
      <c r="B10971" t="s">
        <v>272</v>
      </c>
      <c r="C10971" t="s">
        <v>4213</v>
      </c>
      <c r="D10971" t="s">
        <v>17206</v>
      </c>
      <c r="E10971" t="s">
        <v>26603</v>
      </c>
      <c r="F10971" t="s">
        <v>29372</v>
      </c>
      <c r="G10971" t="s">
        <v>29380</v>
      </c>
      <c r="H10971" t="s">
        <v>11048</v>
      </c>
      <c r="I10971" t="s">
        <v>3695</v>
      </c>
      <c r="J10971" t="s">
        <v>36472</v>
      </c>
      <c r="K10971" t="s">
        <v>38510</v>
      </c>
      <c r="M10971" t="s">
        <v>39031</v>
      </c>
      <c r="N10971" t="s">
        <v>42669</v>
      </c>
      <c r="O10971" t="s">
        <v>42670</v>
      </c>
      <c r="P10971">
        <v>0</v>
      </c>
      <c r="Q10971">
        <v>0</v>
      </c>
      <c r="R10971" t="s">
        <v>42684</v>
      </c>
      <c r="S10971" t="s">
        <v>43183</v>
      </c>
      <c r="T10971" t="s">
        <v>44457</v>
      </c>
      <c r="U10971" t="s">
        <v>53763</v>
      </c>
      <c r="W10971" t="s">
        <v>39031</v>
      </c>
      <c r="X10971" t="s">
        <v>42685</v>
      </c>
    </row>
    <row r="10972" spans="1:24">
      <c r="A10972">
        <f>HYPERLINK("https://www.philgeps.gov.ph/GEPSNONPILOT/Tender/SplashBidNoticeAbstractUI.aspx?menuIndex=3&amp;refID=7170421&amp;Result=3","7170421")</f>
        <v>0</v>
      </c>
      <c r="B10972" t="s">
        <v>2999</v>
      </c>
      <c r="C10972" t="s">
        <v>14012</v>
      </c>
      <c r="D10972" t="s">
        <v>17195</v>
      </c>
      <c r="E10972" t="s">
        <v>26604</v>
      </c>
      <c r="F10972" t="s">
        <v>29372</v>
      </c>
      <c r="G10972" t="s">
        <v>29380</v>
      </c>
      <c r="H10972" t="s">
        <v>29389</v>
      </c>
      <c r="I10972" t="s">
        <v>10408</v>
      </c>
      <c r="J10972" t="s">
        <v>36473</v>
      </c>
      <c r="K10972" t="s">
        <v>38496</v>
      </c>
      <c r="M10972" t="s">
        <v>42018</v>
      </c>
      <c r="N10972" t="s">
        <v>42669</v>
      </c>
      <c r="O10972" t="s">
        <v>42670</v>
      </c>
      <c r="Q10972">
        <v>69</v>
      </c>
      <c r="R10972" t="s">
        <v>42684</v>
      </c>
      <c r="S10972" t="s">
        <v>43304</v>
      </c>
      <c r="T10972" t="s">
        <v>44430</v>
      </c>
      <c r="U10972" t="s">
        <v>53764</v>
      </c>
      <c r="W10972" t="s">
        <v>42018</v>
      </c>
      <c r="X10972" t="s">
        <v>42685</v>
      </c>
    </row>
    <row r="10973" spans="1:24">
      <c r="A10973">
        <f>HYPERLINK("https://www.philgeps.gov.ph/GEPSNONPILOT/Tender/SplashBidNoticeAbstractUI.aspx?menuIndex=3&amp;refID=7170417&amp;Result=3","7170417")</f>
        <v>0</v>
      </c>
      <c r="B10973" t="s">
        <v>1010</v>
      </c>
      <c r="C10973" t="s">
        <v>14013</v>
      </c>
      <c r="E10973" t="s">
        <v>26605</v>
      </c>
      <c r="F10973" t="s">
        <v>29372</v>
      </c>
      <c r="G10973" t="s">
        <v>29380</v>
      </c>
      <c r="H10973" t="s">
        <v>29389</v>
      </c>
      <c r="I10973" t="s">
        <v>10408</v>
      </c>
      <c r="J10973" t="s">
        <v>36474</v>
      </c>
      <c r="K10973" t="s">
        <v>38490</v>
      </c>
      <c r="M10973" t="s">
        <v>39810</v>
      </c>
      <c r="N10973" t="s">
        <v>42669</v>
      </c>
      <c r="O10973" t="s">
        <v>42670</v>
      </c>
      <c r="P10973">
        <v>0</v>
      </c>
      <c r="Q10973">
        <v>0</v>
      </c>
      <c r="R10973" t="s">
        <v>42684</v>
      </c>
      <c r="S10973" t="s">
        <v>43183</v>
      </c>
      <c r="T10973" t="s">
        <v>44527</v>
      </c>
      <c r="U10973" t="s">
        <v>53765</v>
      </c>
      <c r="W10973" t="s">
        <v>39810</v>
      </c>
      <c r="X10973" t="s">
        <v>42685</v>
      </c>
    </row>
    <row r="10974" spans="1:24">
      <c r="A10974">
        <f>HYPERLINK("https://www.philgeps.gov.ph/GEPSNONPILOT/Tender/SplashBidNoticeAbstractUI.aspx?menuIndex=3&amp;refID=7170564&amp;Result=3","7170564")</f>
        <v>0</v>
      </c>
      <c r="B10974" t="s">
        <v>3101</v>
      </c>
      <c r="C10974" t="s">
        <v>14014</v>
      </c>
      <c r="D10974" t="s">
        <v>17194</v>
      </c>
      <c r="E10974" t="s">
        <v>26606</v>
      </c>
      <c r="F10974" t="s">
        <v>29372</v>
      </c>
      <c r="G10974" t="s">
        <v>29380</v>
      </c>
      <c r="H10974" t="s">
        <v>29389</v>
      </c>
      <c r="I10974" t="s">
        <v>10408</v>
      </c>
      <c r="J10974" t="s">
        <v>29543</v>
      </c>
      <c r="K10974" t="s">
        <v>38495</v>
      </c>
      <c r="M10974" t="s">
        <v>42140</v>
      </c>
      <c r="N10974" t="s">
        <v>42669</v>
      </c>
      <c r="O10974" t="s">
        <v>42670</v>
      </c>
      <c r="Q10974">
        <v>2</v>
      </c>
      <c r="R10974" t="s">
        <v>42684</v>
      </c>
      <c r="S10974" t="s">
        <v>43305</v>
      </c>
      <c r="T10974" t="s">
        <v>44409</v>
      </c>
      <c r="U10974" t="s">
        <v>53766</v>
      </c>
      <c r="W10974" t="s">
        <v>42140</v>
      </c>
      <c r="X10974" t="s">
        <v>42685</v>
      </c>
    </row>
    <row r="10975" spans="1:24">
      <c r="A10975">
        <f>HYPERLINK("https://www.philgeps.gov.ph/GEPSNONPILOT/Tender/SplashBidNoticeAbstractUI.aspx?menuIndex=3&amp;refID=7170371&amp;Result=3","7170371")</f>
        <v>0</v>
      </c>
      <c r="B10975" t="s">
        <v>3090</v>
      </c>
      <c r="C10975" t="s">
        <v>13898</v>
      </c>
      <c r="D10975" t="s">
        <v>17212</v>
      </c>
      <c r="E10975" t="s">
        <v>26607</v>
      </c>
      <c r="F10975" t="s">
        <v>29372</v>
      </c>
      <c r="G10975" t="s">
        <v>29380</v>
      </c>
      <c r="H10975" t="s">
        <v>11048</v>
      </c>
      <c r="I10975" t="s">
        <v>4486</v>
      </c>
      <c r="J10975" t="s">
        <v>29724</v>
      </c>
      <c r="K10975" t="s">
        <v>38487</v>
      </c>
      <c r="M10975" t="s">
        <v>42127</v>
      </c>
      <c r="N10975" t="s">
        <v>42669</v>
      </c>
      <c r="O10975" t="s">
        <v>42670</v>
      </c>
      <c r="P10975">
        <v>0</v>
      </c>
      <c r="Q10975">
        <v>5</v>
      </c>
      <c r="R10975" t="s">
        <v>42684</v>
      </c>
      <c r="S10975" t="s">
        <v>43183</v>
      </c>
      <c r="T10975" t="s">
        <v>44412</v>
      </c>
      <c r="U10975" t="s">
        <v>53767</v>
      </c>
      <c r="W10975" t="s">
        <v>42127</v>
      </c>
      <c r="X10975" t="s">
        <v>42685</v>
      </c>
    </row>
    <row r="10976" spans="1:24">
      <c r="A10976">
        <f>HYPERLINK("https://www.philgeps.gov.ph/GEPSNONPILOT/Tender/SplashBidNoticeAbstractUI.aspx?menuIndex=3&amp;refID=7170415&amp;Result=3","7170415")</f>
        <v>0</v>
      </c>
      <c r="B10976" t="s">
        <v>2999</v>
      </c>
      <c r="C10976" t="s">
        <v>14015</v>
      </c>
      <c r="D10976" t="s">
        <v>17195</v>
      </c>
      <c r="E10976" t="s">
        <v>26608</v>
      </c>
      <c r="F10976" t="s">
        <v>29372</v>
      </c>
      <c r="G10976" t="s">
        <v>29380</v>
      </c>
      <c r="H10976" t="s">
        <v>29389</v>
      </c>
      <c r="I10976" t="s">
        <v>10408</v>
      </c>
      <c r="J10976" t="s">
        <v>29724</v>
      </c>
      <c r="K10976" t="s">
        <v>38715</v>
      </c>
      <c r="M10976" t="s">
        <v>42018</v>
      </c>
      <c r="N10976" t="s">
        <v>42669</v>
      </c>
      <c r="O10976" t="s">
        <v>42670</v>
      </c>
      <c r="Q10976">
        <v>72</v>
      </c>
      <c r="R10976" t="s">
        <v>42684</v>
      </c>
      <c r="S10976" t="s">
        <v>43306</v>
      </c>
      <c r="T10976" t="s">
        <v>44430</v>
      </c>
      <c r="U10976" t="s">
        <v>53768</v>
      </c>
      <c r="W10976" t="s">
        <v>42018</v>
      </c>
      <c r="X10976" t="s">
        <v>42685</v>
      </c>
    </row>
    <row r="10977" spans="1:24">
      <c r="A10977">
        <f>HYPERLINK("https://www.philgeps.gov.ph/GEPSNONPILOT/Tender/SplashBidNoticeAbstractUI.aspx?menuIndex=3&amp;refID=7170562&amp;Result=3","7170562")</f>
        <v>0</v>
      </c>
      <c r="B10977" t="s">
        <v>339</v>
      </c>
      <c r="C10977" t="s">
        <v>14016</v>
      </c>
      <c r="D10977" t="s">
        <v>17156</v>
      </c>
      <c r="E10977" t="s">
        <v>26609</v>
      </c>
      <c r="F10977" t="s">
        <v>29372</v>
      </c>
      <c r="G10977" t="s">
        <v>29380</v>
      </c>
      <c r="H10977" t="s">
        <v>29389</v>
      </c>
      <c r="I10977" t="s">
        <v>10408</v>
      </c>
      <c r="J10977" t="s">
        <v>36475</v>
      </c>
      <c r="K10977" t="s">
        <v>38640</v>
      </c>
      <c r="M10977" t="s">
        <v>42141</v>
      </c>
      <c r="N10977" t="s">
        <v>42669</v>
      </c>
      <c r="O10977" t="s">
        <v>42670</v>
      </c>
      <c r="P10977">
        <v>0</v>
      </c>
      <c r="Q10977">
        <v>2</v>
      </c>
      <c r="R10977" t="s">
        <v>42684</v>
      </c>
      <c r="S10977" t="s">
        <v>43183</v>
      </c>
      <c r="T10977" t="s">
        <v>44640</v>
      </c>
      <c r="U10977" t="s">
        <v>53769</v>
      </c>
      <c r="W10977" t="s">
        <v>42141</v>
      </c>
      <c r="X10977" t="s">
        <v>42685</v>
      </c>
    </row>
    <row r="10978" spans="1:24">
      <c r="A10978">
        <f>HYPERLINK("https://www.philgeps.gov.ph/GEPSNONPILOT/Tender/SplashBidNoticeAbstractUI.aspx?menuIndex=3&amp;refID=7170552&amp;Result=3","7170552")</f>
        <v>0</v>
      </c>
      <c r="B10978" t="s">
        <v>339</v>
      </c>
      <c r="C10978" t="s">
        <v>14017</v>
      </c>
      <c r="D10978" t="s">
        <v>17156</v>
      </c>
      <c r="E10978" t="s">
        <v>26610</v>
      </c>
      <c r="F10978" t="s">
        <v>29372</v>
      </c>
      <c r="G10978" t="s">
        <v>29380</v>
      </c>
      <c r="H10978" t="s">
        <v>29389</v>
      </c>
      <c r="I10978" t="s">
        <v>10408</v>
      </c>
      <c r="J10978" t="s">
        <v>36476</v>
      </c>
      <c r="K10978" t="s">
        <v>38533</v>
      </c>
      <c r="M10978" t="s">
        <v>42141</v>
      </c>
      <c r="N10978" t="s">
        <v>42669</v>
      </c>
      <c r="O10978" t="s">
        <v>42670</v>
      </c>
      <c r="P10978">
        <v>0</v>
      </c>
      <c r="Q10978">
        <v>3</v>
      </c>
      <c r="R10978" t="s">
        <v>42684</v>
      </c>
      <c r="S10978" t="s">
        <v>43183</v>
      </c>
      <c r="T10978" t="s">
        <v>44640</v>
      </c>
      <c r="U10978" t="s">
        <v>53770</v>
      </c>
      <c r="W10978" t="s">
        <v>42141</v>
      </c>
      <c r="X10978" t="s">
        <v>42685</v>
      </c>
    </row>
    <row r="10979" spans="1:24">
      <c r="A10979">
        <f>HYPERLINK("https://www.philgeps.gov.ph/GEPSNONPILOT/Tender/SplashBidNoticeAbstractUI.aspx?menuIndex=3&amp;refID=7170569&amp;Result=3","7170569")</f>
        <v>0</v>
      </c>
      <c r="B10979" t="s">
        <v>3102</v>
      </c>
      <c r="C10979" t="s">
        <v>14018</v>
      </c>
      <c r="D10979" t="s">
        <v>17199</v>
      </c>
      <c r="E10979" t="s">
        <v>26611</v>
      </c>
      <c r="F10979" t="s">
        <v>29372</v>
      </c>
      <c r="G10979" t="s">
        <v>29380</v>
      </c>
      <c r="H10979" t="s">
        <v>29389</v>
      </c>
      <c r="I10979" t="s">
        <v>10408</v>
      </c>
      <c r="J10979" t="s">
        <v>29774</v>
      </c>
      <c r="K10979" t="s">
        <v>38525</v>
      </c>
      <c r="M10979" t="s">
        <v>42142</v>
      </c>
      <c r="N10979" t="s">
        <v>42669</v>
      </c>
      <c r="O10979" t="s">
        <v>42670</v>
      </c>
      <c r="Q10979">
        <v>1</v>
      </c>
      <c r="R10979" t="s">
        <v>42684</v>
      </c>
      <c r="S10979" t="s">
        <v>43307</v>
      </c>
      <c r="T10979" t="s">
        <v>44424</v>
      </c>
      <c r="U10979" t="s">
        <v>53771</v>
      </c>
      <c r="W10979" t="s">
        <v>42142</v>
      </c>
      <c r="X10979" t="s">
        <v>42685</v>
      </c>
    </row>
    <row r="10980" spans="1:24">
      <c r="A10980">
        <f>HYPERLINK("https://www.philgeps.gov.ph/GEPSNONPILOT/Tender/SplashBidNoticeAbstractUI.aspx?menuIndex=3&amp;refID=7170546&amp;Result=3","7170546")</f>
        <v>0</v>
      </c>
      <c r="B10980" t="s">
        <v>272</v>
      </c>
      <c r="C10980" t="s">
        <v>12111</v>
      </c>
      <c r="D10980" t="s">
        <v>17206</v>
      </c>
      <c r="E10980" t="s">
        <v>26612</v>
      </c>
      <c r="F10980" t="s">
        <v>29372</v>
      </c>
      <c r="G10980" t="s">
        <v>29380</v>
      </c>
      <c r="H10980" t="s">
        <v>11048</v>
      </c>
      <c r="I10980" t="s">
        <v>29433</v>
      </c>
      <c r="J10980" t="s">
        <v>36477</v>
      </c>
      <c r="K10980" t="s">
        <v>38510</v>
      </c>
      <c r="M10980" t="s">
        <v>39031</v>
      </c>
      <c r="N10980" t="s">
        <v>42669</v>
      </c>
      <c r="O10980" t="s">
        <v>42670</v>
      </c>
      <c r="P10980">
        <v>0</v>
      </c>
      <c r="Q10980">
        <v>19</v>
      </c>
      <c r="R10980" t="s">
        <v>42684</v>
      </c>
      <c r="S10980" t="s">
        <v>43183</v>
      </c>
      <c r="T10980" t="s">
        <v>44457</v>
      </c>
      <c r="U10980" t="s">
        <v>53772</v>
      </c>
      <c r="W10980" t="s">
        <v>39031</v>
      </c>
      <c r="X10980" t="s">
        <v>42685</v>
      </c>
    </row>
    <row r="10981" spans="1:24">
      <c r="A10981">
        <f>HYPERLINK("https://www.philgeps.gov.ph/GEPSNONPILOT/Tender/SplashBidNoticeAbstractUI.aspx?menuIndex=3&amp;refID=7170570&amp;Result=3","7170570")</f>
        <v>0</v>
      </c>
      <c r="B10981" t="s">
        <v>339</v>
      </c>
      <c r="C10981" t="s">
        <v>14019</v>
      </c>
      <c r="D10981" t="s">
        <v>17156</v>
      </c>
      <c r="E10981" t="s">
        <v>26613</v>
      </c>
      <c r="F10981" t="s">
        <v>29372</v>
      </c>
      <c r="G10981" t="s">
        <v>29380</v>
      </c>
      <c r="H10981" t="s">
        <v>29389</v>
      </c>
      <c r="I10981" t="s">
        <v>10408</v>
      </c>
      <c r="J10981" t="s">
        <v>36478</v>
      </c>
      <c r="K10981" t="s">
        <v>38690</v>
      </c>
      <c r="M10981" t="s">
        <v>42141</v>
      </c>
      <c r="N10981" t="s">
        <v>42669</v>
      </c>
      <c r="O10981" t="s">
        <v>42670</v>
      </c>
      <c r="P10981">
        <v>0</v>
      </c>
      <c r="Q10981">
        <v>1</v>
      </c>
      <c r="R10981" t="s">
        <v>42684</v>
      </c>
      <c r="S10981" t="s">
        <v>43183</v>
      </c>
      <c r="T10981" t="s">
        <v>44640</v>
      </c>
      <c r="U10981" t="s">
        <v>53773</v>
      </c>
      <c r="W10981" t="s">
        <v>42141</v>
      </c>
      <c r="X10981" t="s">
        <v>42685</v>
      </c>
    </row>
    <row r="10982" spans="1:24">
      <c r="A10982">
        <f>HYPERLINK("https://www.philgeps.gov.ph/GEPSNONPILOT/Tender/SplashBidNoticeAbstractUI.aspx?menuIndex=3&amp;refID=7170542&amp;Result=3","7170542")</f>
        <v>0</v>
      </c>
      <c r="B10982" t="s">
        <v>3101</v>
      </c>
      <c r="C10982" t="s">
        <v>14014</v>
      </c>
      <c r="D10982" t="s">
        <v>17194</v>
      </c>
      <c r="E10982" t="s">
        <v>26614</v>
      </c>
      <c r="F10982" t="s">
        <v>29372</v>
      </c>
      <c r="G10982" t="s">
        <v>29380</v>
      </c>
      <c r="H10982" t="s">
        <v>29389</v>
      </c>
      <c r="I10982" t="s">
        <v>10408</v>
      </c>
      <c r="J10982" t="s">
        <v>29543</v>
      </c>
      <c r="K10982" t="s">
        <v>38495</v>
      </c>
      <c r="M10982" t="s">
        <v>42140</v>
      </c>
      <c r="N10982" t="s">
        <v>42669</v>
      </c>
      <c r="O10982" t="s">
        <v>42670</v>
      </c>
      <c r="Q10982">
        <v>3</v>
      </c>
      <c r="R10982" t="s">
        <v>42684</v>
      </c>
      <c r="S10982" t="s">
        <v>43308</v>
      </c>
      <c r="T10982" t="s">
        <v>44409</v>
      </c>
      <c r="U10982" t="s">
        <v>53774</v>
      </c>
      <c r="W10982" t="s">
        <v>42140</v>
      </c>
      <c r="X10982" t="s">
        <v>42685</v>
      </c>
    </row>
    <row r="10983" spans="1:24">
      <c r="A10983">
        <f>HYPERLINK("https://www.philgeps.gov.ph/GEPSNONPILOT/Tender/SplashBidNoticeAbstractUI.aspx?menuIndex=3&amp;refID=7170543&amp;Result=3","7170543")</f>
        <v>0</v>
      </c>
      <c r="B10983" t="s">
        <v>339</v>
      </c>
      <c r="C10983" t="s">
        <v>14020</v>
      </c>
      <c r="D10983" t="s">
        <v>17156</v>
      </c>
      <c r="E10983" t="s">
        <v>26615</v>
      </c>
      <c r="F10983" t="s">
        <v>29372</v>
      </c>
      <c r="G10983" t="s">
        <v>29380</v>
      </c>
      <c r="H10983" t="s">
        <v>29389</v>
      </c>
      <c r="I10983" t="s">
        <v>10408</v>
      </c>
      <c r="J10983" t="s">
        <v>36479</v>
      </c>
      <c r="K10983" t="s">
        <v>38559</v>
      </c>
      <c r="M10983" t="s">
        <v>42141</v>
      </c>
      <c r="N10983" t="s">
        <v>42669</v>
      </c>
      <c r="O10983" t="s">
        <v>42670</v>
      </c>
      <c r="P10983">
        <v>0</v>
      </c>
      <c r="Q10983">
        <v>2</v>
      </c>
      <c r="R10983" t="s">
        <v>42684</v>
      </c>
      <c r="S10983" t="s">
        <v>43183</v>
      </c>
      <c r="T10983" t="s">
        <v>44640</v>
      </c>
      <c r="U10983" t="s">
        <v>53775</v>
      </c>
      <c r="W10983" t="s">
        <v>42141</v>
      </c>
      <c r="X10983" t="s">
        <v>42685</v>
      </c>
    </row>
    <row r="10984" spans="1:24">
      <c r="A10984">
        <f>HYPERLINK("https://www.philgeps.gov.ph/GEPSNONPILOT/Tender/SplashBidNoticeAbstractUI.aspx?menuIndex=3&amp;refID=7170540&amp;Result=3","7170540")</f>
        <v>0</v>
      </c>
      <c r="B10984" t="s">
        <v>2950</v>
      </c>
      <c r="C10984" t="s">
        <v>14021</v>
      </c>
      <c r="D10984" t="s">
        <v>17151</v>
      </c>
      <c r="E10984" t="s">
        <v>26616</v>
      </c>
      <c r="F10984" t="s">
        <v>29372</v>
      </c>
      <c r="G10984" t="s">
        <v>29380</v>
      </c>
      <c r="H10984" t="s">
        <v>11048</v>
      </c>
      <c r="I10984" t="s">
        <v>4709</v>
      </c>
      <c r="J10984" t="s">
        <v>36480</v>
      </c>
      <c r="K10984" t="s">
        <v>38485</v>
      </c>
      <c r="M10984" t="s">
        <v>41955</v>
      </c>
      <c r="N10984" t="s">
        <v>42669</v>
      </c>
      <c r="O10984" t="s">
        <v>42670</v>
      </c>
      <c r="P10984">
        <v>0</v>
      </c>
      <c r="Q10984">
        <v>0</v>
      </c>
      <c r="R10984" t="s">
        <v>42684</v>
      </c>
      <c r="S10984" t="s">
        <v>43183</v>
      </c>
      <c r="T10984" t="s">
        <v>44398</v>
      </c>
      <c r="U10984" t="s">
        <v>53776</v>
      </c>
      <c r="W10984" t="s">
        <v>41955</v>
      </c>
      <c r="X10984" t="s">
        <v>42685</v>
      </c>
    </row>
    <row r="10985" spans="1:24">
      <c r="A10985">
        <f>HYPERLINK("https://www.philgeps.gov.ph/GEPSNONPILOT/Tender/SplashBidNoticeAbstractUI.aspx?menuIndex=3&amp;refID=7170554&amp;Result=3","7170554")</f>
        <v>0</v>
      </c>
      <c r="B10985" t="s">
        <v>3101</v>
      </c>
      <c r="C10985" t="s">
        <v>14014</v>
      </c>
      <c r="D10985" t="s">
        <v>17194</v>
      </c>
      <c r="E10985" t="s">
        <v>26617</v>
      </c>
      <c r="F10985" t="s">
        <v>29372</v>
      </c>
      <c r="G10985" t="s">
        <v>29380</v>
      </c>
      <c r="H10985" t="s">
        <v>29389</v>
      </c>
      <c r="I10985" t="s">
        <v>10408</v>
      </c>
      <c r="J10985" t="s">
        <v>29543</v>
      </c>
      <c r="K10985" t="s">
        <v>38495</v>
      </c>
      <c r="M10985" t="s">
        <v>42140</v>
      </c>
      <c r="N10985" t="s">
        <v>42669</v>
      </c>
      <c r="O10985" t="s">
        <v>42670</v>
      </c>
      <c r="Q10985">
        <v>3</v>
      </c>
      <c r="R10985" t="s">
        <v>42684</v>
      </c>
      <c r="S10985" t="s">
        <v>42869</v>
      </c>
      <c r="T10985" t="s">
        <v>44409</v>
      </c>
      <c r="U10985" t="s">
        <v>53777</v>
      </c>
      <c r="W10985" t="s">
        <v>42140</v>
      </c>
      <c r="X10985" t="s">
        <v>42685</v>
      </c>
    </row>
    <row r="10986" spans="1:24">
      <c r="A10986">
        <f>HYPERLINK("https://www.philgeps.gov.ph/GEPSNONPILOT/Tender/SplashBidNoticeAbstractUI.aspx?menuIndex=3&amp;refID=7170573&amp;Result=3","7170573")</f>
        <v>0</v>
      </c>
      <c r="B10986" t="s">
        <v>3101</v>
      </c>
      <c r="C10986" t="s">
        <v>14014</v>
      </c>
      <c r="D10986" t="s">
        <v>17194</v>
      </c>
      <c r="E10986" t="s">
        <v>26618</v>
      </c>
      <c r="F10986" t="s">
        <v>29372</v>
      </c>
      <c r="G10986" t="s">
        <v>29380</v>
      </c>
      <c r="H10986" t="s">
        <v>29389</v>
      </c>
      <c r="I10986" t="s">
        <v>10408</v>
      </c>
      <c r="J10986" t="s">
        <v>29543</v>
      </c>
      <c r="K10986" t="s">
        <v>38495</v>
      </c>
      <c r="M10986" t="s">
        <v>42140</v>
      </c>
      <c r="N10986" t="s">
        <v>42669</v>
      </c>
      <c r="O10986" t="s">
        <v>42670</v>
      </c>
      <c r="Q10986">
        <v>2</v>
      </c>
      <c r="R10986" t="s">
        <v>42684</v>
      </c>
      <c r="S10986" t="s">
        <v>43309</v>
      </c>
      <c r="T10986" t="s">
        <v>44409</v>
      </c>
      <c r="U10986" t="s">
        <v>53778</v>
      </c>
      <c r="W10986" t="s">
        <v>42140</v>
      </c>
      <c r="X10986" t="s">
        <v>42685</v>
      </c>
    </row>
    <row r="10987" spans="1:24">
      <c r="A10987">
        <f>HYPERLINK("https://www.philgeps.gov.ph/GEPSNONPILOT/Tender/SplashBidNoticeAbstractUI.aspx?menuIndex=3&amp;refID=7170556&amp;Result=3","7170556")</f>
        <v>0</v>
      </c>
      <c r="B10987" t="s">
        <v>339</v>
      </c>
      <c r="C10987" t="s">
        <v>14022</v>
      </c>
      <c r="D10987" t="s">
        <v>17156</v>
      </c>
      <c r="E10987" t="s">
        <v>26619</v>
      </c>
      <c r="F10987" t="s">
        <v>29372</v>
      </c>
      <c r="G10987" t="s">
        <v>29380</v>
      </c>
      <c r="H10987" t="s">
        <v>29389</v>
      </c>
      <c r="I10987" t="s">
        <v>10408</v>
      </c>
      <c r="J10987" t="s">
        <v>36481</v>
      </c>
      <c r="K10987" t="s">
        <v>38487</v>
      </c>
      <c r="M10987" t="s">
        <v>42141</v>
      </c>
      <c r="N10987" t="s">
        <v>42669</v>
      </c>
      <c r="O10987" t="s">
        <v>42670</v>
      </c>
      <c r="P10987">
        <v>0</v>
      </c>
      <c r="Q10987">
        <v>0</v>
      </c>
      <c r="R10987" t="s">
        <v>42684</v>
      </c>
      <c r="S10987" t="s">
        <v>43183</v>
      </c>
      <c r="T10987" t="s">
        <v>44640</v>
      </c>
      <c r="U10987" t="s">
        <v>53779</v>
      </c>
      <c r="W10987" t="s">
        <v>42141</v>
      </c>
      <c r="X10987" t="s">
        <v>42685</v>
      </c>
    </row>
    <row r="10988" spans="1:24">
      <c r="A10988">
        <f>HYPERLINK("https://www.philgeps.gov.ph/GEPSNONPILOT/Tender/SplashBidNoticeAbstractUI.aspx?menuIndex=3&amp;refID=7170533&amp;Result=3","7170533")</f>
        <v>0</v>
      </c>
      <c r="B10988" t="s">
        <v>3101</v>
      </c>
      <c r="C10988" t="s">
        <v>14014</v>
      </c>
      <c r="D10988" t="s">
        <v>17194</v>
      </c>
      <c r="E10988" t="s">
        <v>26620</v>
      </c>
      <c r="F10988" t="s">
        <v>29372</v>
      </c>
      <c r="G10988" t="s">
        <v>29380</v>
      </c>
      <c r="H10988" t="s">
        <v>29389</v>
      </c>
      <c r="I10988" t="s">
        <v>10408</v>
      </c>
      <c r="J10988" t="s">
        <v>29543</v>
      </c>
      <c r="K10988" t="s">
        <v>38495</v>
      </c>
      <c r="M10988" t="s">
        <v>42140</v>
      </c>
      <c r="N10988" t="s">
        <v>42669</v>
      </c>
      <c r="O10988" t="s">
        <v>42670</v>
      </c>
      <c r="Q10988">
        <v>3</v>
      </c>
      <c r="R10988" t="s">
        <v>42684</v>
      </c>
      <c r="S10988" t="s">
        <v>43310</v>
      </c>
      <c r="T10988" t="s">
        <v>44409</v>
      </c>
      <c r="U10988" t="s">
        <v>53780</v>
      </c>
      <c r="W10988" t="s">
        <v>42140</v>
      </c>
      <c r="X10988" t="s">
        <v>42685</v>
      </c>
    </row>
    <row r="10989" spans="1:24">
      <c r="A10989">
        <f>HYPERLINK("https://www.philgeps.gov.ph/GEPSNONPILOT/Tender/SplashBidNoticeAbstractUI.aspx?menuIndex=3&amp;refID=7170529&amp;Result=3","7170529")</f>
        <v>0</v>
      </c>
      <c r="B10989" t="s">
        <v>272</v>
      </c>
      <c r="C10989" t="s">
        <v>14023</v>
      </c>
      <c r="D10989" t="s">
        <v>17206</v>
      </c>
      <c r="E10989" t="s">
        <v>26621</v>
      </c>
      <c r="F10989" t="s">
        <v>29372</v>
      </c>
      <c r="G10989" t="s">
        <v>29380</v>
      </c>
      <c r="H10989" t="s">
        <v>11048</v>
      </c>
      <c r="I10989" t="s">
        <v>29400</v>
      </c>
      <c r="J10989" t="s">
        <v>36482</v>
      </c>
      <c r="K10989" t="s">
        <v>38510</v>
      </c>
      <c r="M10989" t="s">
        <v>39031</v>
      </c>
      <c r="N10989" t="s">
        <v>42669</v>
      </c>
      <c r="O10989" t="s">
        <v>42670</v>
      </c>
      <c r="P10989">
        <v>0</v>
      </c>
      <c r="Q10989">
        <v>14</v>
      </c>
      <c r="R10989" t="s">
        <v>42684</v>
      </c>
      <c r="S10989" t="s">
        <v>43183</v>
      </c>
      <c r="T10989" t="s">
        <v>44457</v>
      </c>
      <c r="U10989" t="s">
        <v>53781</v>
      </c>
      <c r="W10989" t="s">
        <v>39031</v>
      </c>
      <c r="X10989" t="s">
        <v>42685</v>
      </c>
    </row>
    <row r="10990" spans="1:24">
      <c r="A10990">
        <f>HYPERLINK("https://www.philgeps.gov.ph/GEPSNONPILOT/Tender/SplashBidNoticeAbstractUI.aspx?menuIndex=3&amp;refID=7170574&amp;Result=3","7170574")</f>
        <v>0</v>
      </c>
      <c r="B10990" t="s">
        <v>2642</v>
      </c>
      <c r="C10990" t="s">
        <v>14024</v>
      </c>
      <c r="D10990" t="s">
        <v>17141</v>
      </c>
      <c r="E10990" t="s">
        <v>26622</v>
      </c>
      <c r="F10990" t="s">
        <v>29372</v>
      </c>
      <c r="G10990" t="s">
        <v>29380</v>
      </c>
      <c r="H10990" t="s">
        <v>29389</v>
      </c>
      <c r="I10990" t="s">
        <v>10408</v>
      </c>
      <c r="J10990" t="s">
        <v>36483</v>
      </c>
      <c r="K10990" t="s">
        <v>38563</v>
      </c>
      <c r="M10990" t="s">
        <v>41615</v>
      </c>
      <c r="N10990" t="s">
        <v>42669</v>
      </c>
      <c r="O10990" t="s">
        <v>42670</v>
      </c>
      <c r="P10990">
        <v>0</v>
      </c>
      <c r="Q10990">
        <v>6</v>
      </c>
      <c r="R10990" t="s">
        <v>42684</v>
      </c>
      <c r="S10990" t="s">
        <v>43183</v>
      </c>
      <c r="T10990" t="s">
        <v>44357</v>
      </c>
      <c r="U10990" t="s">
        <v>51883</v>
      </c>
      <c r="W10990" t="s">
        <v>41615</v>
      </c>
      <c r="X10990" t="s">
        <v>42685</v>
      </c>
    </row>
    <row r="10991" spans="1:24">
      <c r="A10991">
        <f>HYPERLINK("https://www.philgeps.gov.ph/GEPSNONPILOT/Tender/SplashBidNoticeAbstractUI.aspx?menuIndex=3&amp;refID=7170521&amp;Result=3","7170521")</f>
        <v>0</v>
      </c>
      <c r="B10991" t="s">
        <v>3103</v>
      </c>
      <c r="C10991" t="s">
        <v>14025</v>
      </c>
      <c r="D10991" t="s">
        <v>17142</v>
      </c>
      <c r="E10991" t="s">
        <v>26623</v>
      </c>
      <c r="F10991" t="s">
        <v>29372</v>
      </c>
      <c r="G10991" t="s">
        <v>29380</v>
      </c>
      <c r="H10991" t="s">
        <v>29389</v>
      </c>
      <c r="I10991" t="s">
        <v>10408</v>
      </c>
      <c r="J10991" t="s">
        <v>36484</v>
      </c>
      <c r="K10991" t="s">
        <v>38531</v>
      </c>
      <c r="M10991" t="s">
        <v>42143</v>
      </c>
      <c r="N10991" t="s">
        <v>42669</v>
      </c>
      <c r="O10991" t="s">
        <v>42670</v>
      </c>
      <c r="P10991">
        <v>0</v>
      </c>
      <c r="Q10991">
        <v>1</v>
      </c>
      <c r="R10991" t="s">
        <v>42684</v>
      </c>
      <c r="S10991" t="s">
        <v>43183</v>
      </c>
      <c r="T10991" t="s">
        <v>44412</v>
      </c>
      <c r="U10991" t="s">
        <v>53782</v>
      </c>
      <c r="W10991" t="s">
        <v>42143</v>
      </c>
      <c r="X10991" t="s">
        <v>42685</v>
      </c>
    </row>
    <row r="10992" spans="1:24">
      <c r="A10992">
        <f>HYPERLINK("https://www.philgeps.gov.ph/GEPSNONPILOT/Tender/SplashBidNoticeAbstractUI.aspx?menuIndex=3&amp;refID=7170616&amp;Result=3","7170616")</f>
        <v>0</v>
      </c>
      <c r="B10992" t="s">
        <v>3104</v>
      </c>
      <c r="C10992" t="s">
        <v>14026</v>
      </c>
      <c r="D10992" t="s">
        <v>17155</v>
      </c>
      <c r="E10992" t="s">
        <v>26624</v>
      </c>
      <c r="F10992" t="s">
        <v>29372</v>
      </c>
      <c r="G10992" t="s">
        <v>29380</v>
      </c>
      <c r="H10992" t="s">
        <v>11048</v>
      </c>
      <c r="I10992" t="s">
        <v>5383</v>
      </c>
      <c r="J10992" t="s">
        <v>36485</v>
      </c>
      <c r="K10992" t="s">
        <v>38491</v>
      </c>
      <c r="M10992" t="s">
        <v>42144</v>
      </c>
      <c r="N10992" t="s">
        <v>42669</v>
      </c>
      <c r="O10992" t="s">
        <v>42670</v>
      </c>
      <c r="P10992">
        <v>0</v>
      </c>
      <c r="Q10992">
        <v>4</v>
      </c>
      <c r="R10992" t="s">
        <v>42684</v>
      </c>
      <c r="S10992" t="s">
        <v>43183</v>
      </c>
      <c r="T10992" t="s">
        <v>44507</v>
      </c>
      <c r="U10992" t="s">
        <v>53783</v>
      </c>
      <c r="W10992" t="s">
        <v>42144</v>
      </c>
      <c r="X10992" t="s">
        <v>42685</v>
      </c>
    </row>
    <row r="10993" spans="1:24">
      <c r="A10993">
        <f>HYPERLINK("https://www.philgeps.gov.ph/GEPSNONPILOT/Tender/SplashBidNoticeAbstractUI.aspx?menuIndex=3&amp;refID=7170598&amp;Result=3","7170598")</f>
        <v>0</v>
      </c>
      <c r="B10993" t="s">
        <v>272</v>
      </c>
      <c r="C10993" t="s">
        <v>4196</v>
      </c>
      <c r="D10993" t="s">
        <v>17206</v>
      </c>
      <c r="E10993" t="s">
        <v>26625</v>
      </c>
      <c r="F10993" t="s">
        <v>29372</v>
      </c>
      <c r="G10993" t="s">
        <v>29380</v>
      </c>
      <c r="H10993" t="s">
        <v>11048</v>
      </c>
      <c r="I10993" t="s">
        <v>29407</v>
      </c>
      <c r="J10993" t="s">
        <v>36486</v>
      </c>
      <c r="K10993" t="s">
        <v>38510</v>
      </c>
      <c r="M10993" t="s">
        <v>39031</v>
      </c>
      <c r="N10993" t="s">
        <v>42669</v>
      </c>
      <c r="O10993" t="s">
        <v>42670</v>
      </c>
      <c r="P10993">
        <v>0</v>
      </c>
      <c r="Q10993">
        <v>14</v>
      </c>
      <c r="R10993" t="s">
        <v>42684</v>
      </c>
      <c r="S10993" t="s">
        <v>43183</v>
      </c>
      <c r="T10993" t="s">
        <v>44457</v>
      </c>
      <c r="U10993" t="s">
        <v>53784</v>
      </c>
      <c r="W10993" t="s">
        <v>39031</v>
      </c>
      <c r="X10993" t="s">
        <v>42685</v>
      </c>
    </row>
    <row r="10994" spans="1:24">
      <c r="A10994">
        <f>HYPERLINK("https://www.philgeps.gov.ph/GEPSNONPILOT/Tender/SplashBidNoticeAbstractUI.aspx?menuIndex=3&amp;refID=7170595&amp;Result=3","7170595")</f>
        <v>0</v>
      </c>
      <c r="B10994" t="s">
        <v>2047</v>
      </c>
      <c r="C10994" t="s">
        <v>14027</v>
      </c>
      <c r="D10994" t="s">
        <v>17189</v>
      </c>
      <c r="E10994" t="s">
        <v>26626</v>
      </c>
      <c r="F10994" t="s">
        <v>29372</v>
      </c>
      <c r="G10994" t="s">
        <v>29380</v>
      </c>
      <c r="H10994" t="s">
        <v>29389</v>
      </c>
      <c r="I10994" t="s">
        <v>10408</v>
      </c>
      <c r="J10994" t="s">
        <v>29543</v>
      </c>
      <c r="K10994" t="s">
        <v>38515</v>
      </c>
      <c r="M10994" t="s">
        <v>42004</v>
      </c>
      <c r="N10994" t="s">
        <v>42669</v>
      </c>
      <c r="O10994" t="s">
        <v>42670</v>
      </c>
      <c r="Q10994">
        <v>0</v>
      </c>
      <c r="R10994" t="s">
        <v>42684</v>
      </c>
      <c r="S10994" t="s">
        <v>43311</v>
      </c>
      <c r="T10994" t="s">
        <v>44366</v>
      </c>
      <c r="U10994" t="s">
        <v>53227</v>
      </c>
      <c r="W10994" t="s">
        <v>42004</v>
      </c>
      <c r="X10994" t="s">
        <v>42685</v>
      </c>
    </row>
    <row r="10995" spans="1:24">
      <c r="A10995">
        <f>HYPERLINK("https://www.philgeps.gov.ph/GEPSNONPILOT/Tender/SplashBidNoticeAbstractUI.aspx?menuIndex=3&amp;refID=7170520&amp;Result=3","7170520")</f>
        <v>0</v>
      </c>
      <c r="B10995" t="s">
        <v>1117</v>
      </c>
      <c r="C10995" t="s">
        <v>14028</v>
      </c>
      <c r="D10995" t="s">
        <v>17162</v>
      </c>
      <c r="E10995" t="s">
        <v>26627</v>
      </c>
      <c r="F10995" t="s">
        <v>29372</v>
      </c>
      <c r="G10995" t="s">
        <v>29380</v>
      </c>
      <c r="H10995" t="s">
        <v>29389</v>
      </c>
      <c r="I10995" t="s">
        <v>10408</v>
      </c>
      <c r="J10995" t="s">
        <v>30161</v>
      </c>
      <c r="K10995" t="s">
        <v>38650</v>
      </c>
      <c r="M10995" t="s">
        <v>39926</v>
      </c>
      <c r="N10995" t="s">
        <v>42669</v>
      </c>
      <c r="O10995" t="s">
        <v>42670</v>
      </c>
      <c r="P10995">
        <v>0</v>
      </c>
      <c r="Q10995">
        <v>1</v>
      </c>
      <c r="R10995" t="s">
        <v>42684</v>
      </c>
      <c r="S10995" t="s">
        <v>43183</v>
      </c>
      <c r="T10995" t="s">
        <v>44373</v>
      </c>
      <c r="U10995" t="s">
        <v>53785</v>
      </c>
      <c r="W10995" t="s">
        <v>39926</v>
      </c>
      <c r="X10995" t="s">
        <v>42685</v>
      </c>
    </row>
    <row r="10996" spans="1:24">
      <c r="A10996">
        <f>HYPERLINK("https://www.philgeps.gov.ph/GEPSNONPILOT/Tender/SplashBidNoticeAbstractUI.aspx?menuIndex=3&amp;refID=7170591&amp;Result=3","7170591")</f>
        <v>0</v>
      </c>
      <c r="B10996" t="s">
        <v>3105</v>
      </c>
      <c r="C10996" t="s">
        <v>14029</v>
      </c>
      <c r="D10996" t="s">
        <v>17161</v>
      </c>
      <c r="E10996" t="s">
        <v>26628</v>
      </c>
      <c r="F10996" t="s">
        <v>29372</v>
      </c>
      <c r="G10996" t="s">
        <v>29380</v>
      </c>
      <c r="H10996" t="s">
        <v>11048</v>
      </c>
      <c r="I10996" t="s">
        <v>29409</v>
      </c>
      <c r="J10996" t="s">
        <v>36487</v>
      </c>
      <c r="K10996" t="s">
        <v>38491</v>
      </c>
      <c r="M10996" t="s">
        <v>42145</v>
      </c>
      <c r="N10996" t="s">
        <v>42669</v>
      </c>
      <c r="O10996" t="s">
        <v>42670</v>
      </c>
      <c r="P10996">
        <v>0</v>
      </c>
      <c r="Q10996">
        <v>6</v>
      </c>
      <c r="R10996" t="s">
        <v>42684</v>
      </c>
      <c r="S10996" t="s">
        <v>43183</v>
      </c>
      <c r="T10996" t="s">
        <v>44357</v>
      </c>
      <c r="U10996" t="s">
        <v>53786</v>
      </c>
      <c r="W10996" t="s">
        <v>42145</v>
      </c>
      <c r="X10996" t="s">
        <v>42685</v>
      </c>
    </row>
    <row r="10997" spans="1:24">
      <c r="A10997">
        <f>HYPERLINK("https://www.philgeps.gov.ph/GEPSNONPILOT/Tender/SplashBidNoticeAbstractUI.aspx?menuIndex=3&amp;refID=7170615&amp;Result=3","7170615")</f>
        <v>0</v>
      </c>
      <c r="B10997" t="s">
        <v>3106</v>
      </c>
      <c r="C10997" t="s">
        <v>14030</v>
      </c>
      <c r="D10997" t="s">
        <v>17206</v>
      </c>
      <c r="E10997" t="s">
        <v>26629</v>
      </c>
      <c r="F10997" t="s">
        <v>29372</v>
      </c>
      <c r="G10997" t="s">
        <v>29380</v>
      </c>
      <c r="H10997" t="s">
        <v>11048</v>
      </c>
      <c r="I10997" t="s">
        <v>4709</v>
      </c>
      <c r="J10997" t="s">
        <v>36488</v>
      </c>
      <c r="K10997" t="s">
        <v>38485</v>
      </c>
      <c r="M10997" t="s">
        <v>42146</v>
      </c>
      <c r="N10997" t="s">
        <v>42669</v>
      </c>
      <c r="O10997" t="s">
        <v>42670</v>
      </c>
      <c r="P10997">
        <v>0</v>
      </c>
      <c r="Q10997">
        <v>0</v>
      </c>
      <c r="R10997" t="s">
        <v>42684</v>
      </c>
      <c r="S10997" t="s">
        <v>43183</v>
      </c>
      <c r="T10997" t="s">
        <v>44357</v>
      </c>
      <c r="U10997" t="s">
        <v>53787</v>
      </c>
      <c r="W10997" t="s">
        <v>42146</v>
      </c>
      <c r="X10997" t="s">
        <v>42685</v>
      </c>
    </row>
    <row r="10998" spans="1:24">
      <c r="A10998">
        <f>HYPERLINK("https://www.philgeps.gov.ph/GEPSNONPILOT/Tender/SplashBidNoticeAbstractUI.aspx?menuIndex=3&amp;refID=7170585&amp;Result=3","7170585")</f>
        <v>0</v>
      </c>
      <c r="B10998" t="s">
        <v>3101</v>
      </c>
      <c r="C10998" t="s">
        <v>14031</v>
      </c>
      <c r="D10998" t="s">
        <v>17194</v>
      </c>
      <c r="E10998" t="s">
        <v>26630</v>
      </c>
      <c r="F10998" t="s">
        <v>29372</v>
      </c>
      <c r="G10998" t="s">
        <v>29380</v>
      </c>
      <c r="H10998" t="s">
        <v>11048</v>
      </c>
      <c r="I10998" t="s">
        <v>29398</v>
      </c>
      <c r="J10998" t="s">
        <v>29965</v>
      </c>
      <c r="K10998" t="s">
        <v>38487</v>
      </c>
      <c r="M10998" t="s">
        <v>42140</v>
      </c>
      <c r="N10998" t="s">
        <v>42669</v>
      </c>
      <c r="O10998" t="s">
        <v>42670</v>
      </c>
      <c r="Q10998">
        <v>2</v>
      </c>
      <c r="R10998" t="s">
        <v>42684</v>
      </c>
      <c r="S10998" t="s">
        <v>43312</v>
      </c>
      <c r="T10998" t="s">
        <v>44409</v>
      </c>
      <c r="U10998" t="s">
        <v>53788</v>
      </c>
      <c r="W10998" t="s">
        <v>42140</v>
      </c>
      <c r="X10998" t="s">
        <v>42685</v>
      </c>
    </row>
    <row r="10999" spans="1:24">
      <c r="A10999">
        <f>HYPERLINK("https://www.philgeps.gov.ph/GEPSNONPILOT/Tender/SplashBidNoticeAbstractUI.aspx?menuIndex=3&amp;refID=7170584&amp;Result=3","7170584")</f>
        <v>0</v>
      </c>
      <c r="B10999" t="s">
        <v>2642</v>
      </c>
      <c r="C10999" t="s">
        <v>14032</v>
      </c>
      <c r="D10999" t="s">
        <v>17141</v>
      </c>
      <c r="E10999" t="s">
        <v>26631</v>
      </c>
      <c r="F10999" t="s">
        <v>29372</v>
      </c>
      <c r="G10999" t="s">
        <v>29380</v>
      </c>
      <c r="H10999" t="s">
        <v>29389</v>
      </c>
      <c r="I10999" t="s">
        <v>10408</v>
      </c>
      <c r="J10999" t="s">
        <v>36489</v>
      </c>
      <c r="K10999" t="s">
        <v>38523</v>
      </c>
      <c r="M10999" t="s">
        <v>41615</v>
      </c>
      <c r="N10999" t="s">
        <v>42669</v>
      </c>
      <c r="O10999" t="s">
        <v>42670</v>
      </c>
      <c r="Q10999">
        <v>6</v>
      </c>
      <c r="R10999" t="s">
        <v>42684</v>
      </c>
      <c r="S10999" t="s">
        <v>43313</v>
      </c>
      <c r="T10999" t="s">
        <v>44357</v>
      </c>
      <c r="U10999" t="s">
        <v>53789</v>
      </c>
      <c r="W10999" t="s">
        <v>41615</v>
      </c>
      <c r="X10999" t="s">
        <v>42685</v>
      </c>
    </row>
    <row r="11000" spans="1:24">
      <c r="A11000">
        <f>HYPERLINK("https://www.philgeps.gov.ph/GEPSNONPILOT/Tender/SplashBidNoticeAbstractUI.aspx?menuIndex=3&amp;refID=7170596&amp;Result=3","7170596")</f>
        <v>0</v>
      </c>
      <c r="B11000" t="s">
        <v>2642</v>
      </c>
      <c r="C11000" t="s">
        <v>14033</v>
      </c>
      <c r="D11000" t="s">
        <v>17141</v>
      </c>
      <c r="E11000" t="s">
        <v>26632</v>
      </c>
      <c r="F11000" t="s">
        <v>29372</v>
      </c>
      <c r="G11000" t="s">
        <v>29380</v>
      </c>
      <c r="H11000" t="s">
        <v>29389</v>
      </c>
      <c r="I11000" t="s">
        <v>10408</v>
      </c>
      <c r="J11000" t="s">
        <v>36490</v>
      </c>
      <c r="K11000" t="s">
        <v>38563</v>
      </c>
      <c r="M11000" t="s">
        <v>41615</v>
      </c>
      <c r="N11000" t="s">
        <v>42669</v>
      </c>
      <c r="O11000" t="s">
        <v>42670</v>
      </c>
      <c r="Q11000">
        <v>9</v>
      </c>
      <c r="R11000" t="s">
        <v>42684</v>
      </c>
      <c r="S11000" t="s">
        <v>43314</v>
      </c>
      <c r="T11000" t="s">
        <v>44357</v>
      </c>
      <c r="U11000" t="s">
        <v>53789</v>
      </c>
      <c r="W11000" t="s">
        <v>41615</v>
      </c>
      <c r="X11000" t="s">
        <v>42685</v>
      </c>
    </row>
    <row r="11001" spans="1:24">
      <c r="A11001">
        <f>HYPERLINK("https://www.philgeps.gov.ph/GEPSNONPILOT/Tender/SplashBidNoticeAbstractUI.aspx?menuIndex=3&amp;refID=7170657&amp;Result=3","7170657")</f>
        <v>0</v>
      </c>
      <c r="B11001" t="s">
        <v>3107</v>
      </c>
      <c r="C11001" t="s">
        <v>14034</v>
      </c>
      <c r="D11001" t="s">
        <v>17166</v>
      </c>
      <c r="E11001" t="s">
        <v>19278</v>
      </c>
      <c r="F11001" t="s">
        <v>29372</v>
      </c>
      <c r="G11001" t="s">
        <v>29379</v>
      </c>
      <c r="H11001" t="s">
        <v>11048</v>
      </c>
      <c r="I11001" t="s">
        <v>29436</v>
      </c>
      <c r="J11001" t="s">
        <v>33228</v>
      </c>
      <c r="K11001" t="s">
        <v>38496</v>
      </c>
      <c r="M11001" t="s">
        <v>42147</v>
      </c>
      <c r="N11001" t="s">
        <v>42669</v>
      </c>
      <c r="O11001" t="s">
        <v>42670</v>
      </c>
      <c r="P11001">
        <v>0</v>
      </c>
      <c r="Q11001">
        <v>7</v>
      </c>
      <c r="R11001" t="s">
        <v>42684</v>
      </c>
      <c r="S11001" t="s">
        <v>43183</v>
      </c>
      <c r="T11001" t="s">
        <v>44526</v>
      </c>
      <c r="U11001" t="s">
        <v>53790</v>
      </c>
      <c r="V11001" t="s">
        <v>57588</v>
      </c>
      <c r="W11001" t="s">
        <v>42147</v>
      </c>
      <c r="X11001" t="s">
        <v>42685</v>
      </c>
    </row>
    <row r="11002" spans="1:24">
      <c r="A11002">
        <f>HYPERLINK("https://www.philgeps.gov.ph/GEPSNONPILOT/Tender/SplashBidNoticeAbstractUI.aspx?menuIndex=3&amp;refID=7170653&amp;Result=3","7170653")</f>
        <v>0</v>
      </c>
      <c r="B11002" t="s">
        <v>2268</v>
      </c>
      <c r="C11002" t="s">
        <v>14035</v>
      </c>
      <c r="D11002" t="s">
        <v>17155</v>
      </c>
      <c r="E11002" t="s">
        <v>26633</v>
      </c>
      <c r="F11002" t="s">
        <v>29372</v>
      </c>
      <c r="G11002" t="s">
        <v>29380</v>
      </c>
      <c r="H11002" t="s">
        <v>11048</v>
      </c>
      <c r="I11002" t="s">
        <v>9469</v>
      </c>
      <c r="J11002" t="s">
        <v>29788</v>
      </c>
      <c r="K11002" t="s">
        <v>38496</v>
      </c>
      <c r="M11002" t="s">
        <v>41190</v>
      </c>
      <c r="N11002" t="s">
        <v>42669</v>
      </c>
      <c r="O11002" t="s">
        <v>42670</v>
      </c>
      <c r="Q11002">
        <v>5</v>
      </c>
      <c r="R11002" t="s">
        <v>42684</v>
      </c>
      <c r="S11002" t="s">
        <v>43315</v>
      </c>
      <c r="T11002" t="s">
        <v>44643</v>
      </c>
      <c r="U11002" t="s">
        <v>53791</v>
      </c>
      <c r="W11002" t="s">
        <v>41190</v>
      </c>
      <c r="X11002" t="s">
        <v>42685</v>
      </c>
    </row>
    <row r="11003" spans="1:24">
      <c r="A11003">
        <f>HYPERLINK("https://www.philgeps.gov.ph/GEPSNONPILOT/Tender/SplashBidNoticeAbstractUI.aspx?menuIndex=3&amp;refID=7170639&amp;Result=3","7170639")</f>
        <v>0</v>
      </c>
      <c r="B11003" t="s">
        <v>3104</v>
      </c>
      <c r="C11003" t="s">
        <v>14036</v>
      </c>
      <c r="D11003" t="s">
        <v>17155</v>
      </c>
      <c r="E11003" t="s">
        <v>26634</v>
      </c>
      <c r="F11003" t="s">
        <v>29372</v>
      </c>
      <c r="G11003" t="s">
        <v>29380</v>
      </c>
      <c r="H11003" t="s">
        <v>29389</v>
      </c>
      <c r="I11003" t="s">
        <v>10408</v>
      </c>
      <c r="J11003" t="s">
        <v>36491</v>
      </c>
      <c r="K11003" t="s">
        <v>38549</v>
      </c>
      <c r="M11003" t="s">
        <v>42144</v>
      </c>
      <c r="N11003" t="s">
        <v>42669</v>
      </c>
      <c r="O11003" t="s">
        <v>42670</v>
      </c>
      <c r="P11003">
        <v>0</v>
      </c>
      <c r="Q11003">
        <v>1</v>
      </c>
      <c r="R11003" t="s">
        <v>42684</v>
      </c>
      <c r="S11003" t="s">
        <v>43183</v>
      </c>
      <c r="T11003" t="s">
        <v>44579</v>
      </c>
      <c r="U11003" t="s">
        <v>53792</v>
      </c>
      <c r="V11003" t="s">
        <v>57589</v>
      </c>
      <c r="W11003" t="s">
        <v>42144</v>
      </c>
      <c r="X11003" t="s">
        <v>42685</v>
      </c>
    </row>
    <row r="11004" spans="1:24">
      <c r="A11004">
        <f>HYPERLINK("https://www.philgeps.gov.ph/GEPSNONPILOT/Tender/SplashBidNoticeAbstractUI.aspx?menuIndex=3&amp;refID=7170647&amp;Result=3","7170647")</f>
        <v>0</v>
      </c>
      <c r="B11004" t="s">
        <v>3107</v>
      </c>
      <c r="C11004" t="s">
        <v>14037</v>
      </c>
      <c r="D11004" t="s">
        <v>17195</v>
      </c>
      <c r="E11004" t="s">
        <v>19635</v>
      </c>
      <c r="F11004" t="s">
        <v>29372</v>
      </c>
      <c r="G11004" t="s">
        <v>29379</v>
      </c>
      <c r="H11004" t="s">
        <v>29389</v>
      </c>
      <c r="I11004" t="s">
        <v>10408</v>
      </c>
      <c r="J11004" t="s">
        <v>30412</v>
      </c>
      <c r="K11004" t="s">
        <v>38522</v>
      </c>
      <c r="M11004" t="s">
        <v>42147</v>
      </c>
      <c r="N11004" t="s">
        <v>42669</v>
      </c>
      <c r="O11004" t="s">
        <v>42670</v>
      </c>
      <c r="P11004">
        <v>0</v>
      </c>
      <c r="Q11004">
        <v>1</v>
      </c>
      <c r="R11004" t="s">
        <v>42684</v>
      </c>
      <c r="S11004" t="s">
        <v>43183</v>
      </c>
      <c r="T11004" t="s">
        <v>44526</v>
      </c>
      <c r="U11004" t="s">
        <v>53793</v>
      </c>
      <c r="V11004" t="s">
        <v>57588</v>
      </c>
      <c r="W11004" t="s">
        <v>42147</v>
      </c>
      <c r="X11004" t="s">
        <v>42685</v>
      </c>
    </row>
    <row r="11005" spans="1:24">
      <c r="A11005">
        <f>HYPERLINK("https://www.philgeps.gov.ph/GEPSNONPILOT/Tender/SplashBidNoticeAbstractUI.aspx?menuIndex=3&amp;refID=7170620&amp;Result=3","7170620")</f>
        <v>0</v>
      </c>
      <c r="B11005" t="s">
        <v>339</v>
      </c>
      <c r="C11005" t="s">
        <v>14038</v>
      </c>
      <c r="D11005" t="s">
        <v>17156</v>
      </c>
      <c r="E11005" t="s">
        <v>26635</v>
      </c>
      <c r="F11005" t="s">
        <v>29372</v>
      </c>
      <c r="G11005" t="s">
        <v>29380</v>
      </c>
      <c r="H11005" t="s">
        <v>29389</v>
      </c>
      <c r="I11005" t="s">
        <v>10408</v>
      </c>
      <c r="J11005" t="s">
        <v>36492</v>
      </c>
      <c r="K11005" t="s">
        <v>38515</v>
      </c>
      <c r="M11005" t="s">
        <v>42141</v>
      </c>
      <c r="N11005" t="s">
        <v>42669</v>
      </c>
      <c r="O11005" t="s">
        <v>42670</v>
      </c>
      <c r="P11005">
        <v>0</v>
      </c>
      <c r="Q11005">
        <v>1</v>
      </c>
      <c r="R11005" t="s">
        <v>42684</v>
      </c>
      <c r="S11005" t="s">
        <v>43183</v>
      </c>
      <c r="T11005" t="s">
        <v>44640</v>
      </c>
      <c r="U11005" t="s">
        <v>53794</v>
      </c>
      <c r="W11005" t="s">
        <v>42141</v>
      </c>
      <c r="X11005" t="s">
        <v>42685</v>
      </c>
    </row>
    <row r="11006" spans="1:24">
      <c r="A11006">
        <f>HYPERLINK("https://www.philgeps.gov.ph/GEPSNONPILOT/Tender/SplashBidNoticeAbstractUI.aspx?menuIndex=3&amp;refID=7170622&amp;Result=3","7170622")</f>
        <v>0</v>
      </c>
      <c r="B11006" t="s">
        <v>3107</v>
      </c>
      <c r="C11006" t="s">
        <v>14039</v>
      </c>
      <c r="D11006" t="s">
        <v>17166</v>
      </c>
      <c r="E11006" t="s">
        <v>19628</v>
      </c>
      <c r="F11006" t="s">
        <v>29372</v>
      </c>
      <c r="G11006" t="s">
        <v>29379</v>
      </c>
      <c r="H11006" t="s">
        <v>11048</v>
      </c>
      <c r="I11006" t="s">
        <v>29419</v>
      </c>
      <c r="J11006" t="s">
        <v>30764</v>
      </c>
      <c r="K11006" t="s">
        <v>38496</v>
      </c>
      <c r="M11006" t="s">
        <v>42147</v>
      </c>
      <c r="N11006" t="s">
        <v>42669</v>
      </c>
      <c r="O11006" t="s">
        <v>42670</v>
      </c>
      <c r="P11006">
        <v>0</v>
      </c>
      <c r="Q11006">
        <v>4</v>
      </c>
      <c r="R11006" t="s">
        <v>42684</v>
      </c>
      <c r="S11006" t="s">
        <v>43183</v>
      </c>
      <c r="T11006" t="s">
        <v>44526</v>
      </c>
      <c r="U11006" t="s">
        <v>53795</v>
      </c>
      <c r="V11006" t="s">
        <v>57588</v>
      </c>
      <c r="W11006" t="s">
        <v>42147</v>
      </c>
      <c r="X11006" t="s">
        <v>42685</v>
      </c>
    </row>
    <row r="11007" spans="1:24">
      <c r="A11007">
        <f>HYPERLINK("https://www.philgeps.gov.ph/GEPSNONPILOT/Tender/SplashBidNoticeAbstractUI.aspx?menuIndex=3&amp;refID=7170583&amp;Result=3","7170583")</f>
        <v>0</v>
      </c>
      <c r="B11007" t="s">
        <v>272</v>
      </c>
      <c r="C11007" t="s">
        <v>4213</v>
      </c>
      <c r="D11007" t="s">
        <v>17206</v>
      </c>
      <c r="E11007" t="s">
        <v>26636</v>
      </c>
      <c r="F11007" t="s">
        <v>29372</v>
      </c>
      <c r="G11007" t="s">
        <v>29380</v>
      </c>
      <c r="H11007" t="s">
        <v>11048</v>
      </c>
      <c r="I11007" t="s">
        <v>3695</v>
      </c>
      <c r="J11007" t="s">
        <v>36493</v>
      </c>
      <c r="K11007" t="s">
        <v>38510</v>
      </c>
      <c r="M11007" t="s">
        <v>39031</v>
      </c>
      <c r="N11007" t="s">
        <v>42669</v>
      </c>
      <c r="O11007" t="s">
        <v>42670</v>
      </c>
      <c r="P11007">
        <v>0</v>
      </c>
      <c r="Q11007">
        <v>0</v>
      </c>
      <c r="R11007" t="s">
        <v>42684</v>
      </c>
      <c r="S11007" t="s">
        <v>43183</v>
      </c>
      <c r="T11007" t="s">
        <v>44457</v>
      </c>
      <c r="U11007" t="s">
        <v>53796</v>
      </c>
      <c r="W11007" t="s">
        <v>39031</v>
      </c>
      <c r="X11007" t="s">
        <v>42685</v>
      </c>
    </row>
    <row r="11008" spans="1:24">
      <c r="A11008">
        <f>HYPERLINK("https://www.philgeps.gov.ph/GEPSNONPILOT/Tender/SplashBidNoticeAbstractUI.aspx?menuIndex=3&amp;refID=7170578&amp;Result=3","7170578")</f>
        <v>0</v>
      </c>
      <c r="B11008" t="s">
        <v>3101</v>
      </c>
      <c r="C11008" t="s">
        <v>14040</v>
      </c>
      <c r="D11008" t="s">
        <v>17194</v>
      </c>
      <c r="E11008" t="s">
        <v>26637</v>
      </c>
      <c r="F11008" t="s">
        <v>29372</v>
      </c>
      <c r="G11008" t="s">
        <v>29380</v>
      </c>
      <c r="H11008" t="s">
        <v>11048</v>
      </c>
      <c r="I11008" t="s">
        <v>9469</v>
      </c>
      <c r="J11008" t="s">
        <v>30056</v>
      </c>
      <c r="K11008" t="s">
        <v>38487</v>
      </c>
      <c r="M11008" t="s">
        <v>42140</v>
      </c>
      <c r="N11008" t="s">
        <v>42669</v>
      </c>
      <c r="O11008" t="s">
        <v>42670</v>
      </c>
      <c r="Q11008">
        <v>1</v>
      </c>
      <c r="R11008" t="s">
        <v>42684</v>
      </c>
      <c r="S11008" t="s">
        <v>43316</v>
      </c>
      <c r="T11008" t="s">
        <v>44409</v>
      </c>
      <c r="U11008" t="s">
        <v>53797</v>
      </c>
      <c r="W11008" t="s">
        <v>42140</v>
      </c>
      <c r="X11008" t="s">
        <v>42685</v>
      </c>
    </row>
    <row r="11009" spans="1:24">
      <c r="A11009">
        <f>HYPERLINK("https://www.philgeps.gov.ph/GEPSNONPILOT/Tender/SplashBidNoticeAbstractUI.aspx?menuIndex=3&amp;refID=7170530&amp;Result=3","7170530")</f>
        <v>0</v>
      </c>
      <c r="B11009" t="s">
        <v>2950</v>
      </c>
      <c r="C11009" t="s">
        <v>14041</v>
      </c>
      <c r="D11009" t="s">
        <v>17151</v>
      </c>
      <c r="E11009" t="s">
        <v>26638</v>
      </c>
      <c r="F11009" t="s">
        <v>29372</v>
      </c>
      <c r="G11009" t="s">
        <v>29380</v>
      </c>
      <c r="H11009" t="s">
        <v>11048</v>
      </c>
      <c r="I11009" t="s">
        <v>4709</v>
      </c>
      <c r="J11009" t="s">
        <v>36494</v>
      </c>
      <c r="K11009" t="s">
        <v>38485</v>
      </c>
      <c r="M11009" t="s">
        <v>41955</v>
      </c>
      <c r="N11009" t="s">
        <v>42669</v>
      </c>
      <c r="O11009" t="s">
        <v>42670</v>
      </c>
      <c r="P11009">
        <v>0</v>
      </c>
      <c r="Q11009">
        <v>0</v>
      </c>
      <c r="R11009" t="s">
        <v>42684</v>
      </c>
      <c r="S11009" t="s">
        <v>43183</v>
      </c>
      <c r="T11009" t="s">
        <v>44398</v>
      </c>
      <c r="U11009" t="s">
        <v>53798</v>
      </c>
      <c r="W11009" t="s">
        <v>41955</v>
      </c>
      <c r="X11009" t="s">
        <v>42685</v>
      </c>
    </row>
    <row r="11010" spans="1:24">
      <c r="A11010">
        <f>HYPERLINK("https://www.philgeps.gov.ph/GEPSNONPILOT/Tender/SplashBidNoticeAbstractUI.aspx?menuIndex=3&amp;refID=7170666&amp;Result=3","7170666")</f>
        <v>0</v>
      </c>
      <c r="B11010" t="s">
        <v>3108</v>
      </c>
      <c r="C11010" t="s">
        <v>14042</v>
      </c>
      <c r="D11010" t="s">
        <v>17201</v>
      </c>
      <c r="E11010" t="s">
        <v>26639</v>
      </c>
      <c r="F11010" t="s">
        <v>29372</v>
      </c>
      <c r="G11010" t="s">
        <v>29380</v>
      </c>
      <c r="H11010" t="s">
        <v>11048</v>
      </c>
      <c r="I11010" t="s">
        <v>4487</v>
      </c>
      <c r="J11010" t="s">
        <v>36495</v>
      </c>
      <c r="K11010" t="s">
        <v>38510</v>
      </c>
      <c r="M11010" t="s">
        <v>42148</v>
      </c>
      <c r="N11010" t="s">
        <v>42669</v>
      </c>
      <c r="O11010" t="s">
        <v>42670</v>
      </c>
      <c r="P11010">
        <v>0</v>
      </c>
      <c r="Q11010">
        <v>8</v>
      </c>
      <c r="R11010" t="s">
        <v>42684</v>
      </c>
      <c r="S11010" t="s">
        <v>43183</v>
      </c>
      <c r="T11010" t="s">
        <v>44375</v>
      </c>
      <c r="U11010" t="s">
        <v>53799</v>
      </c>
      <c r="W11010" t="s">
        <v>42148</v>
      </c>
      <c r="X11010" t="s">
        <v>42685</v>
      </c>
    </row>
    <row r="11011" spans="1:24">
      <c r="A11011">
        <f>HYPERLINK("https://www.philgeps.gov.ph/GEPSNONPILOT/Tender/SplashBidNoticeAbstractUI.aspx?menuIndex=3&amp;refID=7170577&amp;Result=3","7170577")</f>
        <v>0</v>
      </c>
      <c r="B11011" t="s">
        <v>3106</v>
      </c>
      <c r="C11011" t="s">
        <v>14043</v>
      </c>
      <c r="D11011" t="s">
        <v>17206</v>
      </c>
      <c r="E11011" t="s">
        <v>26640</v>
      </c>
      <c r="F11011" t="s">
        <v>29372</v>
      </c>
      <c r="G11011" t="s">
        <v>29380</v>
      </c>
      <c r="H11011" t="s">
        <v>11048</v>
      </c>
      <c r="I11011" t="s">
        <v>4709</v>
      </c>
      <c r="J11011" t="s">
        <v>36496</v>
      </c>
      <c r="K11011" t="s">
        <v>38485</v>
      </c>
      <c r="M11011" t="s">
        <v>42146</v>
      </c>
      <c r="N11011" t="s">
        <v>42669</v>
      </c>
      <c r="O11011" t="s">
        <v>42670</v>
      </c>
      <c r="P11011">
        <v>0</v>
      </c>
      <c r="Q11011">
        <v>1</v>
      </c>
      <c r="R11011" t="s">
        <v>42684</v>
      </c>
      <c r="S11011" t="s">
        <v>43183</v>
      </c>
      <c r="T11011" t="s">
        <v>44357</v>
      </c>
      <c r="U11011" t="s">
        <v>53800</v>
      </c>
      <c r="W11011" t="s">
        <v>42146</v>
      </c>
      <c r="X11011" t="s">
        <v>42685</v>
      </c>
    </row>
    <row r="11012" spans="1:24">
      <c r="A11012">
        <f>HYPERLINK("https://www.philgeps.gov.ph/GEPSNONPILOT/Tender/SplashBidNoticeAbstractUI.aspx?menuIndex=3&amp;refID=7170711&amp;Result=3","7170711")</f>
        <v>0</v>
      </c>
      <c r="B11012" t="s">
        <v>365</v>
      </c>
      <c r="C11012" t="s">
        <v>14044</v>
      </c>
      <c r="D11012" t="s">
        <v>17143</v>
      </c>
      <c r="E11012" t="s">
        <v>26641</v>
      </c>
      <c r="F11012" t="s">
        <v>29372</v>
      </c>
      <c r="G11012" t="s">
        <v>29380</v>
      </c>
      <c r="H11012" t="s">
        <v>11048</v>
      </c>
      <c r="I11012" t="s">
        <v>29393</v>
      </c>
      <c r="J11012" t="s">
        <v>36497</v>
      </c>
      <c r="K11012" t="s">
        <v>38495</v>
      </c>
      <c r="M11012" t="s">
        <v>39125</v>
      </c>
      <c r="N11012" t="s">
        <v>42669</v>
      </c>
      <c r="O11012" t="s">
        <v>42670</v>
      </c>
      <c r="P11012">
        <v>0</v>
      </c>
      <c r="Q11012">
        <v>0</v>
      </c>
      <c r="R11012" t="s">
        <v>42684</v>
      </c>
      <c r="S11012" t="s">
        <v>43183</v>
      </c>
      <c r="T11012" t="s">
        <v>44472</v>
      </c>
      <c r="U11012" t="s">
        <v>53801</v>
      </c>
      <c r="W11012" t="s">
        <v>58010</v>
      </c>
      <c r="X11012" t="s">
        <v>42685</v>
      </c>
    </row>
    <row r="11013" spans="1:24">
      <c r="A11013">
        <f>HYPERLINK("https://www.philgeps.gov.ph/GEPSNONPILOT/Tender/SplashBidNoticeAbstractUI.aspx?menuIndex=3&amp;refID=7170710&amp;Result=3","7170710")</f>
        <v>0</v>
      </c>
      <c r="B11013" t="s">
        <v>365</v>
      </c>
      <c r="C11013" t="s">
        <v>14045</v>
      </c>
      <c r="D11013" t="s">
        <v>17143</v>
      </c>
      <c r="E11013" t="s">
        <v>26642</v>
      </c>
      <c r="F11013" t="s">
        <v>29372</v>
      </c>
      <c r="G11013" t="s">
        <v>29380</v>
      </c>
      <c r="H11013" t="s">
        <v>11048</v>
      </c>
      <c r="I11013" t="s">
        <v>29393</v>
      </c>
      <c r="J11013" t="s">
        <v>36498</v>
      </c>
      <c r="K11013" t="s">
        <v>38495</v>
      </c>
      <c r="M11013" t="s">
        <v>39125</v>
      </c>
      <c r="N11013" t="s">
        <v>42669</v>
      </c>
      <c r="O11013" t="s">
        <v>42670</v>
      </c>
      <c r="P11013">
        <v>0</v>
      </c>
      <c r="Q11013">
        <v>0</v>
      </c>
      <c r="R11013" t="s">
        <v>42684</v>
      </c>
      <c r="S11013" t="s">
        <v>43183</v>
      </c>
      <c r="T11013" t="s">
        <v>44457</v>
      </c>
      <c r="U11013" t="s">
        <v>53802</v>
      </c>
      <c r="W11013" t="s">
        <v>58010</v>
      </c>
      <c r="X11013" t="s">
        <v>42685</v>
      </c>
    </row>
    <row r="11014" spans="1:24">
      <c r="A11014">
        <f>HYPERLINK("https://www.philgeps.gov.ph/GEPSNONPILOT/Tender/SplashBidNoticeAbstractUI.aspx?menuIndex=3&amp;refID=7170550&amp;Result=3","7170550")</f>
        <v>0</v>
      </c>
      <c r="B11014" t="s">
        <v>1530</v>
      </c>
      <c r="C11014" t="s">
        <v>14046</v>
      </c>
      <c r="D11014" t="s">
        <v>17147</v>
      </c>
      <c r="E11014" t="s">
        <v>21478</v>
      </c>
      <c r="F11014" t="s">
        <v>29372</v>
      </c>
      <c r="G11014" t="s">
        <v>29380</v>
      </c>
      <c r="H11014" t="s">
        <v>11048</v>
      </c>
      <c r="I11014" t="s">
        <v>4709</v>
      </c>
      <c r="J11014" t="s">
        <v>36499</v>
      </c>
      <c r="K11014" t="s">
        <v>38510</v>
      </c>
      <c r="M11014" t="s">
        <v>40379</v>
      </c>
      <c r="N11014" t="s">
        <v>42669</v>
      </c>
      <c r="O11014" t="s">
        <v>42670</v>
      </c>
      <c r="P11014">
        <v>0</v>
      </c>
      <c r="Q11014">
        <v>0</v>
      </c>
      <c r="R11014" t="s">
        <v>42684</v>
      </c>
      <c r="S11014" t="s">
        <v>43183</v>
      </c>
      <c r="T11014" t="s">
        <v>44412</v>
      </c>
      <c r="U11014" t="s">
        <v>53803</v>
      </c>
      <c r="W11014" t="s">
        <v>40379</v>
      </c>
      <c r="X11014" t="s">
        <v>42685</v>
      </c>
    </row>
    <row r="11015" spans="1:24">
      <c r="A11015">
        <f>HYPERLINK("https://www.philgeps.gov.ph/GEPSNONPILOT/Tender/SplashBidNoticeAbstractUI.aspx?menuIndex=3&amp;refID=7170593&amp;Result=3","7170593")</f>
        <v>0</v>
      </c>
      <c r="B11015" t="s">
        <v>3109</v>
      </c>
      <c r="C11015" t="s">
        <v>14047</v>
      </c>
      <c r="D11015" t="s">
        <v>17148</v>
      </c>
      <c r="E11015" t="s">
        <v>21845</v>
      </c>
      <c r="F11015" t="s">
        <v>29372</v>
      </c>
      <c r="G11015" t="s">
        <v>29380</v>
      </c>
      <c r="H11015" t="s">
        <v>11048</v>
      </c>
      <c r="I11015" t="s">
        <v>4709</v>
      </c>
      <c r="J11015" t="s">
        <v>29526</v>
      </c>
      <c r="K11015" t="s">
        <v>38491</v>
      </c>
      <c r="M11015" t="s">
        <v>42149</v>
      </c>
      <c r="N11015" t="s">
        <v>42669</v>
      </c>
      <c r="O11015" t="s">
        <v>42670</v>
      </c>
      <c r="P11015">
        <v>0</v>
      </c>
      <c r="Q11015">
        <v>6</v>
      </c>
      <c r="R11015" t="s">
        <v>42684</v>
      </c>
      <c r="S11015" t="s">
        <v>43183</v>
      </c>
      <c r="T11015" t="s">
        <v>44491</v>
      </c>
      <c r="U11015" t="s">
        <v>53804</v>
      </c>
      <c r="W11015" t="s">
        <v>42149</v>
      </c>
      <c r="X11015" t="s">
        <v>42685</v>
      </c>
    </row>
    <row r="11016" spans="1:24">
      <c r="A11016">
        <f>HYPERLINK("https://www.philgeps.gov.ph/GEPSNONPILOT/Tender/SplashBidNoticeAbstractUI.aspx?menuIndex=3&amp;refID=7108884&amp;Result=3","7108884")</f>
        <v>0</v>
      </c>
      <c r="B11016" t="s">
        <v>2998</v>
      </c>
      <c r="C11016" t="s">
        <v>14048</v>
      </c>
      <c r="E11016" t="s">
        <v>26122</v>
      </c>
      <c r="F11016" t="s">
        <v>29372</v>
      </c>
      <c r="G11016" t="s">
        <v>29380</v>
      </c>
      <c r="H11016" t="s">
        <v>11048</v>
      </c>
      <c r="I11016" t="s">
        <v>29414</v>
      </c>
      <c r="J11016" t="s">
        <v>36500</v>
      </c>
      <c r="K11016" t="s">
        <v>38496</v>
      </c>
      <c r="M11016" t="s">
        <v>42017</v>
      </c>
      <c r="N11016" t="s">
        <v>42669</v>
      </c>
      <c r="O11016" t="s">
        <v>42670</v>
      </c>
      <c r="P11016">
        <v>0</v>
      </c>
      <c r="Q11016">
        <v>21</v>
      </c>
      <c r="R11016" t="s">
        <v>42685</v>
      </c>
      <c r="S11016" t="s">
        <v>43317</v>
      </c>
      <c r="T11016" t="s">
        <v>44517</v>
      </c>
      <c r="U11016" t="s">
        <v>53270</v>
      </c>
      <c r="V11016" t="s">
        <v>57541</v>
      </c>
      <c r="W11016" t="s">
        <v>42017</v>
      </c>
      <c r="X11016" t="s">
        <v>42711</v>
      </c>
    </row>
    <row r="11017" spans="1:24">
      <c r="A11017">
        <f>HYPERLINK("https://www.philgeps.gov.ph/GEPSNONPILOT/Tender/SplashBidNoticeAbstractUI.aspx?menuIndex=3&amp;refID=7170727&amp;Result=3","7170727")</f>
        <v>0</v>
      </c>
      <c r="B11017" t="s">
        <v>404</v>
      </c>
      <c r="C11017" t="s">
        <v>14049</v>
      </c>
      <c r="D11017" t="s">
        <v>17180</v>
      </c>
      <c r="E11017" t="s">
        <v>26643</v>
      </c>
      <c r="F11017" t="s">
        <v>29372</v>
      </c>
      <c r="G11017" t="s">
        <v>29380</v>
      </c>
      <c r="H11017" t="s">
        <v>11048</v>
      </c>
      <c r="I11017" t="s">
        <v>29398</v>
      </c>
      <c r="J11017" t="s">
        <v>29587</v>
      </c>
      <c r="K11017" t="s">
        <v>38496</v>
      </c>
      <c r="L11017" t="s">
        <v>404</v>
      </c>
      <c r="M11017" t="s">
        <v>39168</v>
      </c>
      <c r="N11017" t="s">
        <v>42669</v>
      </c>
      <c r="O11017" t="s">
        <v>42670</v>
      </c>
      <c r="P11017">
        <v>0</v>
      </c>
      <c r="Q11017">
        <v>2</v>
      </c>
      <c r="R11017" t="s">
        <v>42684</v>
      </c>
      <c r="S11017" t="s">
        <v>43183</v>
      </c>
      <c r="T11017" t="s">
        <v>44378</v>
      </c>
      <c r="U11017" t="s">
        <v>53805</v>
      </c>
      <c r="W11017" t="s">
        <v>39168</v>
      </c>
      <c r="X11017" t="s">
        <v>42685</v>
      </c>
    </row>
    <row r="11018" spans="1:24">
      <c r="A11018">
        <f>HYPERLINK("https://www.philgeps.gov.ph/GEPSNONPILOT/Tender/SplashBidNoticeAbstractUI.aspx?menuIndex=3&amp;refID=7170704&amp;Result=3","7170704")</f>
        <v>0</v>
      </c>
      <c r="B11018" t="s">
        <v>365</v>
      </c>
      <c r="C11018" t="s">
        <v>14050</v>
      </c>
      <c r="D11018" t="s">
        <v>17143</v>
      </c>
      <c r="E11018" t="s">
        <v>26644</v>
      </c>
      <c r="F11018" t="s">
        <v>29372</v>
      </c>
      <c r="G11018" t="s">
        <v>29380</v>
      </c>
      <c r="H11018" t="s">
        <v>11048</v>
      </c>
      <c r="I11018" t="s">
        <v>29393</v>
      </c>
      <c r="J11018" t="s">
        <v>36501</v>
      </c>
      <c r="K11018" t="s">
        <v>38495</v>
      </c>
      <c r="M11018" t="s">
        <v>39125</v>
      </c>
      <c r="N11018" t="s">
        <v>42669</v>
      </c>
      <c r="O11018" t="s">
        <v>42670</v>
      </c>
      <c r="P11018">
        <v>0</v>
      </c>
      <c r="Q11018">
        <v>0</v>
      </c>
      <c r="R11018" t="s">
        <v>42684</v>
      </c>
      <c r="S11018" t="s">
        <v>43183</v>
      </c>
      <c r="T11018" t="s">
        <v>44457</v>
      </c>
      <c r="U11018" t="s">
        <v>53806</v>
      </c>
      <c r="W11018" t="s">
        <v>58010</v>
      </c>
      <c r="X11018" t="s">
        <v>42685</v>
      </c>
    </row>
    <row r="11019" spans="1:24">
      <c r="A11019">
        <f>HYPERLINK("https://www.philgeps.gov.ph/GEPSNONPILOT/Tender/SplashBidNoticeAbstractUI.aspx?menuIndex=3&amp;refID=7170705&amp;Result=3","7170705")</f>
        <v>0</v>
      </c>
      <c r="B11019" t="s">
        <v>365</v>
      </c>
      <c r="C11019" t="s">
        <v>14051</v>
      </c>
      <c r="D11019" t="s">
        <v>17143</v>
      </c>
      <c r="E11019" t="s">
        <v>26645</v>
      </c>
      <c r="F11019" t="s">
        <v>29372</v>
      </c>
      <c r="G11019" t="s">
        <v>29380</v>
      </c>
      <c r="H11019" t="s">
        <v>11048</v>
      </c>
      <c r="I11019" t="s">
        <v>29393</v>
      </c>
      <c r="J11019" t="s">
        <v>36502</v>
      </c>
      <c r="K11019" t="s">
        <v>38495</v>
      </c>
      <c r="M11019" t="s">
        <v>39125</v>
      </c>
      <c r="N11019" t="s">
        <v>42669</v>
      </c>
      <c r="O11019" t="s">
        <v>42670</v>
      </c>
      <c r="P11019">
        <v>0</v>
      </c>
      <c r="Q11019">
        <v>0</v>
      </c>
      <c r="R11019" t="s">
        <v>42684</v>
      </c>
      <c r="S11019" t="s">
        <v>43183</v>
      </c>
      <c r="T11019" t="s">
        <v>44457</v>
      </c>
      <c r="U11019" t="s">
        <v>53807</v>
      </c>
      <c r="W11019" t="s">
        <v>58010</v>
      </c>
      <c r="X11019" t="s">
        <v>42685</v>
      </c>
    </row>
    <row r="11020" spans="1:24">
      <c r="A11020">
        <f>HYPERLINK("https://www.philgeps.gov.ph/GEPSNONPILOT/Tender/SplashBidNoticeAbstractUI.aspx?menuIndex=3&amp;refID=7109017&amp;Result=3","7109017")</f>
        <v>0</v>
      </c>
      <c r="B11020" t="s">
        <v>2998</v>
      </c>
      <c r="C11020" t="s">
        <v>14052</v>
      </c>
      <c r="E11020" t="s">
        <v>26122</v>
      </c>
      <c r="F11020" t="s">
        <v>29372</v>
      </c>
      <c r="G11020" t="s">
        <v>29380</v>
      </c>
      <c r="H11020" t="s">
        <v>11048</v>
      </c>
      <c r="I11020" t="s">
        <v>29414</v>
      </c>
      <c r="J11020" t="s">
        <v>36503</v>
      </c>
      <c r="K11020" t="s">
        <v>38496</v>
      </c>
      <c r="M11020" t="s">
        <v>42017</v>
      </c>
      <c r="N11020" t="s">
        <v>42669</v>
      </c>
      <c r="O11020" t="s">
        <v>42670</v>
      </c>
      <c r="P11020">
        <v>0</v>
      </c>
      <c r="Q11020">
        <v>26</v>
      </c>
      <c r="R11020" t="s">
        <v>42685</v>
      </c>
      <c r="S11020" t="s">
        <v>43317</v>
      </c>
      <c r="T11020" t="s">
        <v>44517</v>
      </c>
      <c r="U11020" t="s">
        <v>53270</v>
      </c>
      <c r="V11020" t="s">
        <v>57590</v>
      </c>
      <c r="W11020" t="s">
        <v>42017</v>
      </c>
      <c r="X11020" t="s">
        <v>42711</v>
      </c>
    </row>
    <row r="11021" spans="1:24">
      <c r="A11021">
        <f>HYPERLINK("https://www.philgeps.gov.ph/GEPSNONPILOT/Tender/SplashBidNoticeAbstractUI.aspx?menuIndex=3&amp;refID=7170714&amp;Result=3","7170714")</f>
        <v>0</v>
      </c>
      <c r="B11021" t="s">
        <v>365</v>
      </c>
      <c r="C11021" t="s">
        <v>14053</v>
      </c>
      <c r="D11021" t="s">
        <v>17143</v>
      </c>
      <c r="E11021" t="s">
        <v>26646</v>
      </c>
      <c r="F11021" t="s">
        <v>29372</v>
      </c>
      <c r="G11021" t="s">
        <v>29380</v>
      </c>
      <c r="H11021" t="s">
        <v>11048</v>
      </c>
      <c r="I11021" t="s">
        <v>29393</v>
      </c>
      <c r="J11021" t="s">
        <v>36504</v>
      </c>
      <c r="K11021" t="s">
        <v>38495</v>
      </c>
      <c r="M11021" t="s">
        <v>39125</v>
      </c>
      <c r="N11021" t="s">
        <v>42669</v>
      </c>
      <c r="O11021" t="s">
        <v>42670</v>
      </c>
      <c r="P11021">
        <v>0</v>
      </c>
      <c r="Q11021">
        <v>0</v>
      </c>
      <c r="R11021" t="s">
        <v>42684</v>
      </c>
      <c r="S11021" t="s">
        <v>43183</v>
      </c>
      <c r="T11021" t="s">
        <v>44457</v>
      </c>
      <c r="U11021" t="s">
        <v>53808</v>
      </c>
      <c r="W11021" t="s">
        <v>58010</v>
      </c>
      <c r="X11021" t="s">
        <v>42685</v>
      </c>
    </row>
    <row r="11022" spans="1:24">
      <c r="A11022">
        <f>HYPERLINK("https://www.philgeps.gov.ph/GEPSNONPILOT/Tender/SplashBidNoticeAbstractUI.aspx?menuIndex=3&amp;refID=7170725&amp;Result=3","7170725")</f>
        <v>0</v>
      </c>
      <c r="B11022" t="s">
        <v>3110</v>
      </c>
      <c r="C11022" t="s">
        <v>14054</v>
      </c>
      <c r="D11022" t="s">
        <v>17144</v>
      </c>
      <c r="E11022" t="s">
        <v>26647</v>
      </c>
      <c r="F11022" t="s">
        <v>29372</v>
      </c>
      <c r="G11022" t="s">
        <v>29380</v>
      </c>
      <c r="H11022" t="s">
        <v>11048</v>
      </c>
      <c r="I11022" t="s">
        <v>29409</v>
      </c>
      <c r="J11022" t="s">
        <v>36505</v>
      </c>
      <c r="K11022" t="s">
        <v>38485</v>
      </c>
      <c r="M11022" t="s">
        <v>42150</v>
      </c>
      <c r="N11022" t="s">
        <v>42669</v>
      </c>
      <c r="O11022" t="s">
        <v>42670</v>
      </c>
      <c r="P11022">
        <v>0</v>
      </c>
      <c r="Q11022">
        <v>10</v>
      </c>
      <c r="R11022" t="s">
        <v>42684</v>
      </c>
      <c r="S11022" t="s">
        <v>43183</v>
      </c>
      <c r="T11022" t="s">
        <v>44469</v>
      </c>
      <c r="U11022" t="s">
        <v>53809</v>
      </c>
      <c r="W11022" t="s">
        <v>42150</v>
      </c>
      <c r="X11022" t="s">
        <v>42685</v>
      </c>
    </row>
    <row r="11023" spans="1:24">
      <c r="A11023">
        <f>HYPERLINK("https://www.philgeps.gov.ph/GEPSNONPILOT/Tender/SplashBidNoticeAbstractUI.aspx?menuIndex=3&amp;refID=7170525&amp;Result=3","7170525")</f>
        <v>0</v>
      </c>
      <c r="B11023" t="s">
        <v>2950</v>
      </c>
      <c r="C11023" t="s">
        <v>14055</v>
      </c>
      <c r="D11023" t="s">
        <v>17151</v>
      </c>
      <c r="E11023" t="s">
        <v>26648</v>
      </c>
      <c r="F11023" t="s">
        <v>29372</v>
      </c>
      <c r="G11023" t="s">
        <v>29380</v>
      </c>
      <c r="H11023" t="s">
        <v>11048</v>
      </c>
      <c r="I11023" t="s">
        <v>4709</v>
      </c>
      <c r="J11023" t="s">
        <v>36506</v>
      </c>
      <c r="K11023" t="s">
        <v>38485</v>
      </c>
      <c r="M11023" t="s">
        <v>41955</v>
      </c>
      <c r="N11023" t="s">
        <v>42669</v>
      </c>
      <c r="O11023" t="s">
        <v>42670</v>
      </c>
      <c r="P11023">
        <v>0</v>
      </c>
      <c r="Q11023">
        <v>0</v>
      </c>
      <c r="R11023" t="s">
        <v>42684</v>
      </c>
      <c r="S11023" t="s">
        <v>43183</v>
      </c>
      <c r="T11023" t="s">
        <v>44398</v>
      </c>
      <c r="U11023" t="s">
        <v>53810</v>
      </c>
      <c r="W11023" t="s">
        <v>41955</v>
      </c>
      <c r="X11023" t="s">
        <v>42685</v>
      </c>
    </row>
    <row r="11024" spans="1:24">
      <c r="A11024">
        <f>HYPERLINK("https://www.philgeps.gov.ph/GEPSNONPILOT/Tender/SplashBidNoticeAbstractUI.aspx?menuIndex=3&amp;refID=7170701&amp;Result=3","7170701")</f>
        <v>0</v>
      </c>
      <c r="B11024" t="s">
        <v>365</v>
      </c>
      <c r="C11024" t="s">
        <v>14056</v>
      </c>
      <c r="D11024" t="s">
        <v>17143</v>
      </c>
      <c r="E11024" t="s">
        <v>26649</v>
      </c>
      <c r="F11024" t="s">
        <v>29372</v>
      </c>
      <c r="G11024" t="s">
        <v>29380</v>
      </c>
      <c r="H11024" t="s">
        <v>11048</v>
      </c>
      <c r="I11024" t="s">
        <v>29400</v>
      </c>
      <c r="J11024" t="s">
        <v>35777</v>
      </c>
      <c r="K11024" t="s">
        <v>38485</v>
      </c>
      <c r="M11024" t="s">
        <v>39125</v>
      </c>
      <c r="N11024" t="s">
        <v>42669</v>
      </c>
      <c r="O11024" t="s">
        <v>42670</v>
      </c>
      <c r="P11024">
        <v>0</v>
      </c>
      <c r="Q11024">
        <v>5</v>
      </c>
      <c r="R11024" t="s">
        <v>42684</v>
      </c>
      <c r="S11024" t="s">
        <v>43183</v>
      </c>
      <c r="T11024" t="s">
        <v>44457</v>
      </c>
      <c r="U11024" t="s">
        <v>53811</v>
      </c>
      <c r="W11024" t="s">
        <v>58010</v>
      </c>
      <c r="X11024" t="s">
        <v>42685</v>
      </c>
    </row>
    <row r="11025" spans="1:24">
      <c r="A11025">
        <f>HYPERLINK("https://www.philgeps.gov.ph/GEPSNONPILOT/Tender/SplashBidNoticeAbstractUI.aspx?menuIndex=3&amp;refID=7170685&amp;Result=3","7170685")</f>
        <v>0</v>
      </c>
      <c r="B11025" t="s">
        <v>3108</v>
      </c>
      <c r="C11025" t="s">
        <v>14057</v>
      </c>
      <c r="D11025" t="s">
        <v>17201</v>
      </c>
      <c r="E11025" t="s">
        <v>26650</v>
      </c>
      <c r="F11025" t="s">
        <v>29372</v>
      </c>
      <c r="G11025" t="s">
        <v>29380</v>
      </c>
      <c r="H11025" t="s">
        <v>11048</v>
      </c>
      <c r="I11025" t="s">
        <v>29404</v>
      </c>
      <c r="J11025" t="s">
        <v>30863</v>
      </c>
      <c r="K11025" t="s">
        <v>38510</v>
      </c>
      <c r="M11025" t="s">
        <v>42148</v>
      </c>
      <c r="N11025" t="s">
        <v>42669</v>
      </c>
      <c r="O11025" t="s">
        <v>42670</v>
      </c>
      <c r="P11025">
        <v>0</v>
      </c>
      <c r="Q11025">
        <v>1</v>
      </c>
      <c r="R11025" t="s">
        <v>42684</v>
      </c>
      <c r="S11025" t="s">
        <v>43183</v>
      </c>
      <c r="T11025" t="s">
        <v>44375</v>
      </c>
      <c r="U11025" t="s">
        <v>53799</v>
      </c>
      <c r="W11025" t="s">
        <v>42148</v>
      </c>
      <c r="X11025" t="s">
        <v>42685</v>
      </c>
    </row>
    <row r="11026" spans="1:24">
      <c r="A11026">
        <f>HYPERLINK("https://www.philgeps.gov.ph/GEPSNONPILOT/Tender/SplashBidNoticeAbstractUI.aspx?menuIndex=3&amp;refID=7108575&amp;Result=3","7108575")</f>
        <v>0</v>
      </c>
      <c r="B11026" t="s">
        <v>2998</v>
      </c>
      <c r="C11026" t="s">
        <v>14058</v>
      </c>
      <c r="E11026" t="s">
        <v>26122</v>
      </c>
      <c r="F11026" t="s">
        <v>29372</v>
      </c>
      <c r="G11026" t="s">
        <v>29380</v>
      </c>
      <c r="H11026" t="s">
        <v>11048</v>
      </c>
      <c r="I11026" t="s">
        <v>29414</v>
      </c>
      <c r="J11026" t="s">
        <v>36507</v>
      </c>
      <c r="K11026" t="s">
        <v>38496</v>
      </c>
      <c r="M11026" t="s">
        <v>42017</v>
      </c>
      <c r="N11026" t="s">
        <v>42669</v>
      </c>
      <c r="O11026" t="s">
        <v>42670</v>
      </c>
      <c r="P11026">
        <v>0</v>
      </c>
      <c r="Q11026">
        <v>25</v>
      </c>
      <c r="R11026" t="s">
        <v>42685</v>
      </c>
      <c r="S11026" t="s">
        <v>43317</v>
      </c>
      <c r="T11026" t="s">
        <v>44517</v>
      </c>
      <c r="U11026" t="s">
        <v>53270</v>
      </c>
      <c r="V11026" t="s">
        <v>57590</v>
      </c>
      <c r="W11026" t="s">
        <v>42017</v>
      </c>
      <c r="X11026" t="s">
        <v>42711</v>
      </c>
    </row>
    <row r="11027" spans="1:24">
      <c r="A11027">
        <f>HYPERLINK("https://www.philgeps.gov.ph/GEPSNONPILOT/Tender/SplashBidNoticeAbstractUI.aspx?menuIndex=3&amp;refID=7170684&amp;Result=3","7170684")</f>
        <v>0</v>
      </c>
      <c r="B11027" t="s">
        <v>2314</v>
      </c>
      <c r="C11027" t="s">
        <v>14059</v>
      </c>
      <c r="D11027" t="s">
        <v>17142</v>
      </c>
      <c r="E11027" t="s">
        <v>26651</v>
      </c>
      <c r="F11027" t="s">
        <v>29372</v>
      </c>
      <c r="G11027" t="s">
        <v>29380</v>
      </c>
      <c r="H11027" t="s">
        <v>29389</v>
      </c>
      <c r="I11027" t="s">
        <v>10408</v>
      </c>
      <c r="J11027" t="s">
        <v>36508</v>
      </c>
      <c r="K11027" t="s">
        <v>38622</v>
      </c>
      <c r="M11027" t="s">
        <v>41245</v>
      </c>
      <c r="N11027" t="s">
        <v>42669</v>
      </c>
      <c r="O11027" t="s">
        <v>42670</v>
      </c>
      <c r="Q11027">
        <v>12</v>
      </c>
      <c r="R11027" t="s">
        <v>42684</v>
      </c>
      <c r="S11027" t="s">
        <v>43318</v>
      </c>
      <c r="T11027" t="s">
        <v>44470</v>
      </c>
      <c r="U11027" t="s">
        <v>53812</v>
      </c>
      <c r="W11027" t="s">
        <v>41245</v>
      </c>
      <c r="X11027" t="s">
        <v>42685</v>
      </c>
    </row>
    <row r="11028" spans="1:24">
      <c r="A11028">
        <f>HYPERLINK("https://www.philgeps.gov.ph/GEPSNONPILOT/Tender/SplashBidNoticeAbstractUI.aspx?menuIndex=3&amp;refID=7170697&amp;Result=3","7170697")</f>
        <v>0</v>
      </c>
      <c r="B11028" t="s">
        <v>2314</v>
      </c>
      <c r="C11028" t="s">
        <v>14060</v>
      </c>
      <c r="D11028" t="s">
        <v>17142</v>
      </c>
      <c r="E11028" t="s">
        <v>26652</v>
      </c>
      <c r="F11028" t="s">
        <v>29372</v>
      </c>
      <c r="G11028" t="s">
        <v>29380</v>
      </c>
      <c r="H11028" t="s">
        <v>29389</v>
      </c>
      <c r="I11028" t="s">
        <v>10408</v>
      </c>
      <c r="J11028" t="s">
        <v>30070</v>
      </c>
      <c r="K11028" t="s">
        <v>38725</v>
      </c>
      <c r="M11028" t="s">
        <v>41245</v>
      </c>
      <c r="N11028" t="s">
        <v>42669</v>
      </c>
      <c r="O11028" t="s">
        <v>42670</v>
      </c>
      <c r="Q11028">
        <v>14</v>
      </c>
      <c r="R11028" t="s">
        <v>42684</v>
      </c>
      <c r="S11028" t="s">
        <v>43319</v>
      </c>
      <c r="T11028" t="s">
        <v>44470</v>
      </c>
      <c r="U11028" t="s">
        <v>53813</v>
      </c>
      <c r="W11028" t="s">
        <v>41245</v>
      </c>
      <c r="X11028" t="s">
        <v>42685</v>
      </c>
    </row>
    <row r="11029" spans="1:24">
      <c r="A11029">
        <f>HYPERLINK("https://www.philgeps.gov.ph/GEPSNONPILOT/Tender/SplashBidNoticeAbstractUI.aspx?menuIndex=3&amp;refID=7170683&amp;Result=3","7170683")</f>
        <v>0</v>
      </c>
      <c r="B11029" t="s">
        <v>338</v>
      </c>
      <c r="C11029" t="s">
        <v>14061</v>
      </c>
      <c r="D11029" t="s">
        <v>17141</v>
      </c>
      <c r="E11029" t="s">
        <v>26653</v>
      </c>
      <c r="F11029" t="s">
        <v>29372</v>
      </c>
      <c r="G11029" t="s">
        <v>29380</v>
      </c>
      <c r="H11029" t="s">
        <v>29389</v>
      </c>
      <c r="I11029" t="s">
        <v>29429</v>
      </c>
      <c r="J11029" t="s">
        <v>36509</v>
      </c>
      <c r="K11029" t="s">
        <v>38523</v>
      </c>
      <c r="M11029" t="s">
        <v>42151</v>
      </c>
      <c r="N11029" t="s">
        <v>42669</v>
      </c>
      <c r="O11029" t="s">
        <v>42670</v>
      </c>
      <c r="P11029">
        <v>0</v>
      </c>
      <c r="Q11029">
        <v>2</v>
      </c>
      <c r="R11029" t="s">
        <v>42684</v>
      </c>
      <c r="S11029" t="s">
        <v>43183</v>
      </c>
      <c r="T11029" t="s">
        <v>44457</v>
      </c>
      <c r="U11029" t="s">
        <v>53814</v>
      </c>
      <c r="W11029" t="s">
        <v>42151</v>
      </c>
      <c r="X11029" t="s">
        <v>42685</v>
      </c>
    </row>
    <row r="11030" spans="1:24">
      <c r="A11030">
        <f>HYPERLINK("https://www.philgeps.gov.ph/GEPSNONPILOT/Tender/SplashBidNoticeAbstractUI.aspx?menuIndex=3&amp;refID=7109516&amp;Result=3","7109516")</f>
        <v>0</v>
      </c>
      <c r="B11030" t="s">
        <v>2998</v>
      </c>
      <c r="C11030" t="s">
        <v>14062</v>
      </c>
      <c r="E11030" t="s">
        <v>26122</v>
      </c>
      <c r="F11030" t="s">
        <v>29372</v>
      </c>
      <c r="G11030" t="s">
        <v>29380</v>
      </c>
      <c r="H11030" t="s">
        <v>11048</v>
      </c>
      <c r="I11030" t="s">
        <v>29414</v>
      </c>
      <c r="J11030" t="s">
        <v>36510</v>
      </c>
      <c r="K11030" t="s">
        <v>38496</v>
      </c>
      <c r="M11030" t="s">
        <v>42017</v>
      </c>
      <c r="N11030" t="s">
        <v>42669</v>
      </c>
      <c r="O11030" t="s">
        <v>42670</v>
      </c>
      <c r="P11030">
        <v>0</v>
      </c>
      <c r="Q11030">
        <v>25</v>
      </c>
      <c r="R11030" t="s">
        <v>42685</v>
      </c>
      <c r="S11030" t="s">
        <v>43317</v>
      </c>
      <c r="T11030" t="s">
        <v>44517</v>
      </c>
      <c r="U11030" t="s">
        <v>53270</v>
      </c>
      <c r="V11030" t="s">
        <v>57541</v>
      </c>
      <c r="W11030" t="s">
        <v>42017</v>
      </c>
      <c r="X11030" t="s">
        <v>42711</v>
      </c>
    </row>
    <row r="11031" spans="1:24">
      <c r="A11031">
        <f>HYPERLINK("https://www.philgeps.gov.ph/GEPSNONPILOT/Tender/SplashBidNoticeAbstractUI.aspx?menuIndex=3&amp;refID=7155756&amp;Result=3","7155756")</f>
        <v>0</v>
      </c>
      <c r="B11031" t="s">
        <v>535</v>
      </c>
      <c r="C11031" t="s">
        <v>14063</v>
      </c>
      <c r="E11031" t="s">
        <v>26654</v>
      </c>
      <c r="F11031" t="s">
        <v>29372</v>
      </c>
      <c r="G11031" t="s">
        <v>29380</v>
      </c>
      <c r="H11031" t="s">
        <v>11048</v>
      </c>
      <c r="I11031" t="s">
        <v>4487</v>
      </c>
      <c r="J11031" t="s">
        <v>36511</v>
      </c>
      <c r="K11031" t="s">
        <v>38490</v>
      </c>
      <c r="M11031" t="s">
        <v>39303</v>
      </c>
      <c r="N11031" t="s">
        <v>42669</v>
      </c>
      <c r="O11031" t="s">
        <v>42670</v>
      </c>
      <c r="P11031">
        <v>0</v>
      </c>
      <c r="Q11031">
        <v>9</v>
      </c>
      <c r="R11031" t="s">
        <v>42685</v>
      </c>
      <c r="S11031" t="s">
        <v>43317</v>
      </c>
      <c r="T11031" t="s">
        <v>44375</v>
      </c>
      <c r="U11031" t="s">
        <v>53815</v>
      </c>
      <c r="W11031" t="s">
        <v>39303</v>
      </c>
      <c r="X11031" t="s">
        <v>42691</v>
      </c>
    </row>
    <row r="11032" spans="1:24">
      <c r="A11032">
        <f>HYPERLINK("https://www.philgeps.gov.ph/GEPSNONPILOT/Tender/SplashBidNoticeAbstractUI.aspx?menuIndex=3&amp;refID=7170693&amp;Result=3","7170693")</f>
        <v>0</v>
      </c>
      <c r="B11032" t="s">
        <v>365</v>
      </c>
      <c r="C11032" t="s">
        <v>14064</v>
      </c>
      <c r="D11032" t="s">
        <v>17143</v>
      </c>
      <c r="E11032" t="s">
        <v>26655</v>
      </c>
      <c r="F11032" t="s">
        <v>29372</v>
      </c>
      <c r="G11032" t="s">
        <v>29380</v>
      </c>
      <c r="H11032" t="s">
        <v>11048</v>
      </c>
      <c r="I11032" t="s">
        <v>8208</v>
      </c>
      <c r="J11032" t="s">
        <v>36512</v>
      </c>
      <c r="K11032" t="s">
        <v>38495</v>
      </c>
      <c r="M11032" t="s">
        <v>39125</v>
      </c>
      <c r="N11032" t="s">
        <v>42669</v>
      </c>
      <c r="O11032" t="s">
        <v>42670</v>
      </c>
      <c r="P11032">
        <v>0</v>
      </c>
      <c r="Q11032">
        <v>0</v>
      </c>
      <c r="R11032" t="s">
        <v>42684</v>
      </c>
      <c r="S11032" t="s">
        <v>43183</v>
      </c>
      <c r="T11032" t="s">
        <v>44457</v>
      </c>
      <c r="U11032" t="s">
        <v>53816</v>
      </c>
      <c r="W11032" t="s">
        <v>58010</v>
      </c>
      <c r="X11032" t="s">
        <v>42685</v>
      </c>
    </row>
    <row r="11033" spans="1:24">
      <c r="A11033">
        <f>HYPERLINK("https://www.philgeps.gov.ph/GEPSNONPILOT/Tender/SplashBidNoticeAbstractUI.aspx?menuIndex=3&amp;refID=7154874&amp;Result=3","7154874")</f>
        <v>0</v>
      </c>
      <c r="B11033" t="s">
        <v>949</v>
      </c>
      <c r="C11033" t="s">
        <v>14065</v>
      </c>
      <c r="D11033" t="s">
        <v>17186</v>
      </c>
      <c r="E11033" t="s">
        <v>17283</v>
      </c>
      <c r="F11033" t="s">
        <v>29372</v>
      </c>
      <c r="G11033" t="s">
        <v>29380</v>
      </c>
      <c r="H11033" t="s">
        <v>11048</v>
      </c>
      <c r="I11033" t="s">
        <v>29452</v>
      </c>
      <c r="J11033" t="s">
        <v>36513</v>
      </c>
      <c r="K11033" t="s">
        <v>38496</v>
      </c>
      <c r="M11033" t="s">
        <v>42152</v>
      </c>
      <c r="N11033" t="s">
        <v>42669</v>
      </c>
      <c r="O11033" t="s">
        <v>42670</v>
      </c>
      <c r="Q11033">
        <v>3</v>
      </c>
      <c r="R11033" t="s">
        <v>42685</v>
      </c>
      <c r="S11033" t="s">
        <v>43320</v>
      </c>
      <c r="T11033" t="s">
        <v>44412</v>
      </c>
      <c r="U11033" t="s">
        <v>53817</v>
      </c>
      <c r="V11033" t="s">
        <v>57591</v>
      </c>
      <c r="W11033" t="s">
        <v>42152</v>
      </c>
      <c r="X11033" t="s">
        <v>42692</v>
      </c>
    </row>
    <row r="11034" spans="1:24">
      <c r="A11034">
        <f>HYPERLINK("https://www.philgeps.gov.ph/GEPSNONPILOT/Tender/SplashBidNoticeAbstractUI.aspx?menuIndex=3&amp;refID=7170623&amp;Result=3","7170623")</f>
        <v>0</v>
      </c>
      <c r="B11034" t="s">
        <v>3104</v>
      </c>
      <c r="C11034" t="s">
        <v>14066</v>
      </c>
      <c r="D11034" t="s">
        <v>17155</v>
      </c>
      <c r="E11034" t="s">
        <v>26624</v>
      </c>
      <c r="F11034" t="s">
        <v>29375</v>
      </c>
      <c r="G11034" t="s">
        <v>29380</v>
      </c>
      <c r="H11034" t="s">
        <v>11048</v>
      </c>
      <c r="I11034" t="s">
        <v>8208</v>
      </c>
      <c r="J11034" t="s">
        <v>30083</v>
      </c>
      <c r="K11034" t="s">
        <v>38491</v>
      </c>
      <c r="M11034" t="s">
        <v>42144</v>
      </c>
      <c r="N11034" t="s">
        <v>42669</v>
      </c>
      <c r="O11034" t="s">
        <v>42670</v>
      </c>
      <c r="P11034">
        <v>0</v>
      </c>
      <c r="Q11034">
        <v>0</v>
      </c>
      <c r="R11034" t="s">
        <v>42684</v>
      </c>
      <c r="S11034" t="s">
        <v>43183</v>
      </c>
      <c r="T11034" t="s">
        <v>44466</v>
      </c>
      <c r="U11034" t="s">
        <v>53818</v>
      </c>
      <c r="W11034" t="s">
        <v>42144</v>
      </c>
      <c r="X11034" t="s">
        <v>42685</v>
      </c>
    </row>
    <row r="11035" spans="1:24">
      <c r="A11035">
        <f>HYPERLINK("https://www.philgeps.gov.ph/GEPSNONPILOT/Tender/SplashBidNoticeAbstractUI.aspx?menuIndex=3&amp;refID=7153088&amp;Result=3","7153088")</f>
        <v>0</v>
      </c>
      <c r="B11035" t="s">
        <v>266</v>
      </c>
      <c r="C11035" t="s">
        <v>14067</v>
      </c>
      <c r="D11035" t="s">
        <v>17170</v>
      </c>
      <c r="E11035" t="s">
        <v>26656</v>
      </c>
      <c r="F11035" t="s">
        <v>29372</v>
      </c>
      <c r="G11035" t="s">
        <v>29380</v>
      </c>
      <c r="H11035" t="s">
        <v>11048</v>
      </c>
      <c r="I11035" t="s">
        <v>29394</v>
      </c>
      <c r="J11035" t="s">
        <v>33934</v>
      </c>
      <c r="K11035" t="s">
        <v>38485</v>
      </c>
      <c r="M11035" t="s">
        <v>39025</v>
      </c>
      <c r="N11035" t="s">
        <v>42669</v>
      </c>
      <c r="O11035" t="s">
        <v>42670</v>
      </c>
      <c r="P11035">
        <v>0</v>
      </c>
      <c r="Q11035">
        <v>3</v>
      </c>
      <c r="R11035" t="s">
        <v>42685</v>
      </c>
      <c r="S11035" t="s">
        <v>43317</v>
      </c>
      <c r="T11035" t="s">
        <v>44401</v>
      </c>
      <c r="U11035" t="s">
        <v>53819</v>
      </c>
      <c r="W11035" t="s">
        <v>39025</v>
      </c>
      <c r="X11035" t="s">
        <v>42692</v>
      </c>
    </row>
    <row r="11036" spans="1:24">
      <c r="A11036">
        <f>HYPERLINK("https://www.philgeps.gov.ph/GEPSNONPILOT/Tender/SplashBidNoticeAbstractUI.aspx?menuIndex=3&amp;refID=7145381&amp;Result=3","7145381")</f>
        <v>0</v>
      </c>
      <c r="B11036" t="s">
        <v>903</v>
      </c>
      <c r="C11036" t="s">
        <v>14068</v>
      </c>
      <c r="D11036" t="s">
        <v>17188</v>
      </c>
      <c r="E11036" t="s">
        <v>25102</v>
      </c>
      <c r="F11036" t="s">
        <v>29372</v>
      </c>
      <c r="G11036" t="s">
        <v>29380</v>
      </c>
      <c r="H11036" t="s">
        <v>29389</v>
      </c>
      <c r="I11036" t="s">
        <v>10408</v>
      </c>
      <c r="J11036" t="s">
        <v>36514</v>
      </c>
      <c r="K11036" t="s">
        <v>38490</v>
      </c>
      <c r="M11036" t="s">
        <v>39696</v>
      </c>
      <c r="N11036" t="s">
        <v>42669</v>
      </c>
      <c r="O11036" t="s">
        <v>42670</v>
      </c>
      <c r="P11036">
        <v>0</v>
      </c>
      <c r="Q11036">
        <v>1</v>
      </c>
      <c r="R11036" t="s">
        <v>42685</v>
      </c>
      <c r="S11036" t="s">
        <v>43317</v>
      </c>
      <c r="T11036" t="s">
        <v>44415</v>
      </c>
      <c r="U11036" t="s">
        <v>53820</v>
      </c>
      <c r="W11036" t="s">
        <v>39696</v>
      </c>
      <c r="X11036" t="s">
        <v>42697</v>
      </c>
    </row>
    <row r="11037" spans="1:24">
      <c r="A11037">
        <f>HYPERLINK("https://www.philgeps.gov.ph/GEPSNONPILOT/Tender/SplashBidNoticeAbstractUI.aspx?menuIndex=3&amp;refID=7170677&amp;Result=3","7170677")</f>
        <v>0</v>
      </c>
      <c r="B11037" t="s">
        <v>3108</v>
      </c>
      <c r="C11037" t="s">
        <v>14069</v>
      </c>
      <c r="D11037" t="s">
        <v>17201</v>
      </c>
      <c r="E11037" t="s">
        <v>26657</v>
      </c>
      <c r="F11037" t="s">
        <v>29372</v>
      </c>
      <c r="G11037" t="s">
        <v>29380</v>
      </c>
      <c r="H11037" t="s">
        <v>11048</v>
      </c>
      <c r="I11037" t="s">
        <v>29466</v>
      </c>
      <c r="J11037" t="s">
        <v>29543</v>
      </c>
      <c r="K11037" t="s">
        <v>38510</v>
      </c>
      <c r="M11037" t="s">
        <v>42148</v>
      </c>
      <c r="N11037" t="s">
        <v>42669</v>
      </c>
      <c r="O11037" t="s">
        <v>42670</v>
      </c>
      <c r="P11037">
        <v>0</v>
      </c>
      <c r="Q11037">
        <v>5</v>
      </c>
      <c r="R11037" t="s">
        <v>42684</v>
      </c>
      <c r="S11037" t="s">
        <v>43183</v>
      </c>
      <c r="T11037" t="s">
        <v>44375</v>
      </c>
      <c r="U11037" t="s">
        <v>53799</v>
      </c>
      <c r="W11037" t="s">
        <v>42148</v>
      </c>
      <c r="X11037" t="s">
        <v>42685</v>
      </c>
    </row>
    <row r="11038" spans="1:24">
      <c r="A11038">
        <f>HYPERLINK("https://www.philgeps.gov.ph/GEPSNONPILOT/Tender/SplashBidNoticeAbstractUI.aspx?menuIndex=3&amp;refID=7113669&amp;Result=3","7113669")</f>
        <v>0</v>
      </c>
      <c r="B11038" t="s">
        <v>2998</v>
      </c>
      <c r="C11038" t="s">
        <v>14070</v>
      </c>
      <c r="E11038" t="s">
        <v>26122</v>
      </c>
      <c r="F11038" t="s">
        <v>29372</v>
      </c>
      <c r="G11038" t="s">
        <v>29380</v>
      </c>
      <c r="H11038" t="s">
        <v>11048</v>
      </c>
      <c r="I11038" t="s">
        <v>29414</v>
      </c>
      <c r="J11038" t="s">
        <v>31279</v>
      </c>
      <c r="K11038" t="s">
        <v>38496</v>
      </c>
      <c r="M11038" t="s">
        <v>42017</v>
      </c>
      <c r="N11038" t="s">
        <v>42669</v>
      </c>
      <c r="O11038" t="s">
        <v>42670</v>
      </c>
      <c r="P11038">
        <v>0</v>
      </c>
      <c r="Q11038">
        <v>21</v>
      </c>
      <c r="R11038" t="s">
        <v>42685</v>
      </c>
      <c r="S11038" t="s">
        <v>43317</v>
      </c>
      <c r="T11038" t="s">
        <v>44517</v>
      </c>
      <c r="U11038" t="s">
        <v>53270</v>
      </c>
      <c r="V11038" t="s">
        <v>57590</v>
      </c>
      <c r="W11038" t="s">
        <v>42017</v>
      </c>
      <c r="X11038" t="s">
        <v>42715</v>
      </c>
    </row>
    <row r="11039" spans="1:24">
      <c r="A11039">
        <f>HYPERLINK("https://www.philgeps.gov.ph/GEPSNONPILOT/Tender/SplashBidNoticeAbstractUI.aspx?menuIndex=3&amp;refID=7153807&amp;Result=3","7153807")</f>
        <v>0</v>
      </c>
      <c r="B11039" t="s">
        <v>1371</v>
      </c>
      <c r="C11039" t="s">
        <v>14071</v>
      </c>
      <c r="D11039" t="s">
        <v>17141</v>
      </c>
      <c r="E11039" t="s">
        <v>26658</v>
      </c>
      <c r="F11039" t="s">
        <v>29372</v>
      </c>
      <c r="G11039" t="s">
        <v>29380</v>
      </c>
      <c r="H11039" t="s">
        <v>11048</v>
      </c>
      <c r="I11039" t="s">
        <v>29414</v>
      </c>
      <c r="J11039" t="s">
        <v>36515</v>
      </c>
      <c r="K11039" t="s">
        <v>38495</v>
      </c>
      <c r="M11039" t="s">
        <v>42153</v>
      </c>
      <c r="N11039" t="s">
        <v>42669</v>
      </c>
      <c r="O11039" t="s">
        <v>42670</v>
      </c>
      <c r="Q11039">
        <v>32</v>
      </c>
      <c r="R11039" t="s">
        <v>42685</v>
      </c>
      <c r="S11039" t="s">
        <v>43321</v>
      </c>
      <c r="T11039" t="s">
        <v>44375</v>
      </c>
      <c r="U11039" t="s">
        <v>53821</v>
      </c>
      <c r="V11039" t="s">
        <v>56381</v>
      </c>
      <c r="W11039" t="s">
        <v>42153</v>
      </c>
      <c r="X11039" t="s">
        <v>42692</v>
      </c>
    </row>
    <row r="11040" spans="1:24">
      <c r="A11040">
        <f>HYPERLINK("https://www.philgeps.gov.ph/GEPSNONPILOT/Tender/SplashBidNoticeAbstractUI.aspx?menuIndex=3&amp;refID=7109737&amp;Result=3","7109737")</f>
        <v>0</v>
      </c>
      <c r="B11040" t="s">
        <v>2998</v>
      </c>
      <c r="C11040" t="s">
        <v>14072</v>
      </c>
      <c r="E11040" t="s">
        <v>26122</v>
      </c>
      <c r="F11040" t="s">
        <v>29372</v>
      </c>
      <c r="G11040" t="s">
        <v>29380</v>
      </c>
      <c r="H11040" t="s">
        <v>11048</v>
      </c>
      <c r="I11040" t="s">
        <v>29414</v>
      </c>
      <c r="J11040" t="s">
        <v>31092</v>
      </c>
      <c r="K11040" t="s">
        <v>38496</v>
      </c>
      <c r="M11040" t="s">
        <v>42017</v>
      </c>
      <c r="N11040" t="s">
        <v>42669</v>
      </c>
      <c r="O11040" t="s">
        <v>42670</v>
      </c>
      <c r="P11040">
        <v>0</v>
      </c>
      <c r="Q11040">
        <v>24</v>
      </c>
      <c r="R11040" t="s">
        <v>42685</v>
      </c>
      <c r="S11040" t="s">
        <v>43317</v>
      </c>
      <c r="T11040" t="s">
        <v>44517</v>
      </c>
      <c r="U11040" t="s">
        <v>53270</v>
      </c>
      <c r="V11040" t="s">
        <v>57541</v>
      </c>
      <c r="W11040" t="s">
        <v>42017</v>
      </c>
      <c r="X11040" t="s">
        <v>42711</v>
      </c>
    </row>
    <row r="11041" spans="1:24">
      <c r="A11041">
        <f>HYPERLINK("https://www.philgeps.gov.ph/GEPSNONPILOT/Tender/SplashBidNoticeAbstractUI.aspx?menuIndex=3&amp;refID=7109724&amp;Result=3","7109724")</f>
        <v>0</v>
      </c>
      <c r="B11041" t="s">
        <v>2998</v>
      </c>
      <c r="C11041" t="s">
        <v>14073</v>
      </c>
      <c r="E11041" t="s">
        <v>26122</v>
      </c>
      <c r="F11041" t="s">
        <v>29372</v>
      </c>
      <c r="G11041" t="s">
        <v>29380</v>
      </c>
      <c r="H11041" t="s">
        <v>11048</v>
      </c>
      <c r="I11041" t="s">
        <v>29414</v>
      </c>
      <c r="J11041" t="s">
        <v>36516</v>
      </c>
      <c r="K11041" t="s">
        <v>38496</v>
      </c>
      <c r="M11041" t="s">
        <v>42017</v>
      </c>
      <c r="N11041" t="s">
        <v>42669</v>
      </c>
      <c r="O11041" t="s">
        <v>42670</v>
      </c>
      <c r="P11041">
        <v>0</v>
      </c>
      <c r="Q11041">
        <v>24</v>
      </c>
      <c r="R11041" t="s">
        <v>42685</v>
      </c>
      <c r="S11041" t="s">
        <v>43317</v>
      </c>
      <c r="T11041" t="s">
        <v>44517</v>
      </c>
      <c r="U11041" t="s">
        <v>53270</v>
      </c>
      <c r="V11041" t="s">
        <v>57590</v>
      </c>
      <c r="W11041" t="s">
        <v>42017</v>
      </c>
      <c r="X11041" t="s">
        <v>42711</v>
      </c>
    </row>
    <row r="11042" spans="1:24">
      <c r="A11042">
        <f>HYPERLINK("https://www.philgeps.gov.ph/GEPSNONPILOT/Tender/SplashBidNoticeAbstractUI.aspx?menuIndex=3&amp;refID=7148052&amp;Result=3","7148052")</f>
        <v>0</v>
      </c>
      <c r="B11042" t="s">
        <v>3111</v>
      </c>
      <c r="C11042" t="s">
        <v>14074</v>
      </c>
      <c r="D11042" t="s">
        <v>17141</v>
      </c>
      <c r="E11042" t="s">
        <v>26659</v>
      </c>
      <c r="F11042" t="s">
        <v>29372</v>
      </c>
      <c r="G11042" t="s">
        <v>29380</v>
      </c>
      <c r="H11042" t="s">
        <v>11048</v>
      </c>
      <c r="I11042" t="s">
        <v>8614</v>
      </c>
      <c r="J11042" t="s">
        <v>36517</v>
      </c>
      <c r="K11042" t="s">
        <v>38490</v>
      </c>
      <c r="M11042" t="s">
        <v>42154</v>
      </c>
      <c r="N11042" t="s">
        <v>42669</v>
      </c>
      <c r="O11042" t="s">
        <v>42670</v>
      </c>
      <c r="Q11042">
        <v>22</v>
      </c>
      <c r="R11042" t="s">
        <v>42685</v>
      </c>
      <c r="S11042" t="s">
        <v>43322</v>
      </c>
      <c r="T11042" t="s">
        <v>44375</v>
      </c>
      <c r="U11042" t="s">
        <v>53822</v>
      </c>
      <c r="V11042" t="s">
        <v>57592</v>
      </c>
      <c r="W11042" t="s">
        <v>42154</v>
      </c>
      <c r="X11042" t="s">
        <v>42697</v>
      </c>
    </row>
    <row r="11043" spans="1:24">
      <c r="A11043">
        <f>HYPERLINK("https://www.philgeps.gov.ph/GEPSNONPILOT/Tender/SplashBidNoticeAbstractUI.aspx?menuIndex=3&amp;refID=7109699&amp;Result=3","7109699")</f>
        <v>0</v>
      </c>
      <c r="B11043" t="s">
        <v>2998</v>
      </c>
      <c r="C11043" t="s">
        <v>14075</v>
      </c>
      <c r="E11043" t="s">
        <v>26122</v>
      </c>
      <c r="F11043" t="s">
        <v>29372</v>
      </c>
      <c r="G11043" t="s">
        <v>29380</v>
      </c>
      <c r="H11043" t="s">
        <v>11048</v>
      </c>
      <c r="I11043" t="s">
        <v>29414</v>
      </c>
      <c r="J11043" t="s">
        <v>36518</v>
      </c>
      <c r="K11043" t="s">
        <v>38496</v>
      </c>
      <c r="M11043" t="s">
        <v>42017</v>
      </c>
      <c r="N11043" t="s">
        <v>42669</v>
      </c>
      <c r="O11043" t="s">
        <v>42670</v>
      </c>
      <c r="P11043">
        <v>0</v>
      </c>
      <c r="Q11043">
        <v>36</v>
      </c>
      <c r="R11043" t="s">
        <v>42685</v>
      </c>
      <c r="S11043" t="s">
        <v>43317</v>
      </c>
      <c r="T11043" t="s">
        <v>44517</v>
      </c>
      <c r="U11043" t="s">
        <v>53270</v>
      </c>
      <c r="V11043" t="s">
        <v>57590</v>
      </c>
      <c r="W11043" t="s">
        <v>42017</v>
      </c>
      <c r="X11043" t="s">
        <v>42711</v>
      </c>
    </row>
    <row r="11044" spans="1:24">
      <c r="A11044">
        <f>HYPERLINK("https://www.philgeps.gov.ph/GEPSNONPILOT/Tender/SplashBidNoticeAbstractUI.aspx?menuIndex=3&amp;refID=7109685&amp;Result=3","7109685")</f>
        <v>0</v>
      </c>
      <c r="B11044" t="s">
        <v>2998</v>
      </c>
      <c r="C11044" t="s">
        <v>14076</v>
      </c>
      <c r="E11044" t="s">
        <v>26122</v>
      </c>
      <c r="F11044" t="s">
        <v>29372</v>
      </c>
      <c r="G11044" t="s">
        <v>29380</v>
      </c>
      <c r="H11044" t="s">
        <v>11048</v>
      </c>
      <c r="I11044" t="s">
        <v>29414</v>
      </c>
      <c r="J11044" t="s">
        <v>36519</v>
      </c>
      <c r="K11044" t="s">
        <v>38496</v>
      </c>
      <c r="M11044" t="s">
        <v>42017</v>
      </c>
      <c r="N11044" t="s">
        <v>42669</v>
      </c>
      <c r="O11044" t="s">
        <v>42670</v>
      </c>
      <c r="P11044">
        <v>0</v>
      </c>
      <c r="Q11044">
        <v>31</v>
      </c>
      <c r="R11044" t="s">
        <v>42685</v>
      </c>
      <c r="S11044" t="s">
        <v>43317</v>
      </c>
      <c r="T11044" t="s">
        <v>44517</v>
      </c>
      <c r="U11044" t="s">
        <v>53270</v>
      </c>
      <c r="V11044" t="s">
        <v>57590</v>
      </c>
      <c r="W11044" t="s">
        <v>42017</v>
      </c>
      <c r="X11044" t="s">
        <v>42711</v>
      </c>
    </row>
    <row r="11045" spans="1:24">
      <c r="A11045">
        <f>HYPERLINK("https://www.philgeps.gov.ph/GEPSNONPILOT/Tender/SplashBidNoticeAbstractUI.aspx?menuIndex=3&amp;refID=7170715&amp;Result=3","7170715")</f>
        <v>0</v>
      </c>
      <c r="B11045" t="s">
        <v>365</v>
      </c>
      <c r="C11045" t="s">
        <v>14077</v>
      </c>
      <c r="D11045" t="s">
        <v>17143</v>
      </c>
      <c r="E11045" t="s">
        <v>26660</v>
      </c>
      <c r="F11045" t="s">
        <v>29372</v>
      </c>
      <c r="G11045" t="s">
        <v>29380</v>
      </c>
      <c r="H11045" t="s">
        <v>11048</v>
      </c>
      <c r="I11045" t="s">
        <v>8614</v>
      </c>
      <c r="J11045" t="s">
        <v>36520</v>
      </c>
      <c r="K11045" t="s">
        <v>38488</v>
      </c>
      <c r="M11045" t="s">
        <v>39125</v>
      </c>
      <c r="N11045" t="s">
        <v>42669</v>
      </c>
      <c r="O11045" t="s">
        <v>42670</v>
      </c>
      <c r="P11045">
        <v>0</v>
      </c>
      <c r="Q11045">
        <v>2</v>
      </c>
      <c r="R11045" t="s">
        <v>42684</v>
      </c>
      <c r="S11045" t="s">
        <v>43183</v>
      </c>
      <c r="T11045" t="s">
        <v>44457</v>
      </c>
      <c r="U11045" t="s">
        <v>53823</v>
      </c>
      <c r="W11045" t="s">
        <v>58010</v>
      </c>
      <c r="X11045" t="s">
        <v>42685</v>
      </c>
    </row>
    <row r="11046" spans="1:24">
      <c r="A11046">
        <f>HYPERLINK("https://www.philgeps.gov.ph/GEPSNONPILOT/Tender/SplashBidNoticeAbstractUI.aspx?menuIndex=3&amp;refID=7109649&amp;Result=3","7109649")</f>
        <v>0</v>
      </c>
      <c r="B11046" t="s">
        <v>2998</v>
      </c>
      <c r="C11046" t="s">
        <v>14078</v>
      </c>
      <c r="E11046" t="s">
        <v>26122</v>
      </c>
      <c r="F11046" t="s">
        <v>29372</v>
      </c>
      <c r="G11046" t="s">
        <v>29380</v>
      </c>
      <c r="H11046" t="s">
        <v>11048</v>
      </c>
      <c r="I11046" t="s">
        <v>29414</v>
      </c>
      <c r="J11046" t="s">
        <v>36521</v>
      </c>
      <c r="K11046" t="s">
        <v>38496</v>
      </c>
      <c r="M11046" t="s">
        <v>42017</v>
      </c>
      <c r="N11046" t="s">
        <v>42669</v>
      </c>
      <c r="O11046" t="s">
        <v>42670</v>
      </c>
      <c r="P11046">
        <v>0</v>
      </c>
      <c r="Q11046">
        <v>29</v>
      </c>
      <c r="R11046" t="s">
        <v>42685</v>
      </c>
      <c r="S11046" t="s">
        <v>43317</v>
      </c>
      <c r="T11046" t="s">
        <v>44517</v>
      </c>
      <c r="U11046" t="s">
        <v>53270</v>
      </c>
      <c r="V11046" t="s">
        <v>57590</v>
      </c>
      <c r="W11046" t="s">
        <v>42017</v>
      </c>
      <c r="X11046" t="s">
        <v>42711</v>
      </c>
    </row>
    <row r="11047" spans="1:24">
      <c r="A11047">
        <f>HYPERLINK("https://www.philgeps.gov.ph/GEPSNONPILOT/Tender/SplashBidNoticeAbstractUI.aspx?menuIndex=3&amp;refID=7109617&amp;Result=3","7109617")</f>
        <v>0</v>
      </c>
      <c r="B11047" t="s">
        <v>2998</v>
      </c>
      <c r="C11047" t="s">
        <v>14079</v>
      </c>
      <c r="E11047" t="s">
        <v>26122</v>
      </c>
      <c r="F11047" t="s">
        <v>29372</v>
      </c>
      <c r="G11047" t="s">
        <v>29380</v>
      </c>
      <c r="H11047" t="s">
        <v>11048</v>
      </c>
      <c r="I11047" t="s">
        <v>29414</v>
      </c>
      <c r="J11047" t="s">
        <v>36522</v>
      </c>
      <c r="K11047" t="s">
        <v>38496</v>
      </c>
      <c r="M11047" t="s">
        <v>42017</v>
      </c>
      <c r="N11047" t="s">
        <v>42669</v>
      </c>
      <c r="O11047" t="s">
        <v>42670</v>
      </c>
      <c r="P11047">
        <v>0</v>
      </c>
      <c r="Q11047">
        <v>28</v>
      </c>
      <c r="R11047" t="s">
        <v>42685</v>
      </c>
      <c r="S11047" t="s">
        <v>43317</v>
      </c>
      <c r="T11047" t="s">
        <v>44517</v>
      </c>
      <c r="U11047" t="s">
        <v>53270</v>
      </c>
      <c r="V11047" t="s">
        <v>57541</v>
      </c>
      <c r="W11047" t="s">
        <v>42017</v>
      </c>
      <c r="X11047" t="s">
        <v>42711</v>
      </c>
    </row>
    <row r="11048" spans="1:24">
      <c r="A11048">
        <f>HYPERLINK("https://www.philgeps.gov.ph/GEPSNONPILOT/Tender/SplashBidNoticeAbstractUI.aspx?menuIndex=3&amp;refID=7109307&amp;Result=3","7109307")</f>
        <v>0</v>
      </c>
      <c r="B11048" t="s">
        <v>2998</v>
      </c>
      <c r="C11048" t="s">
        <v>14080</v>
      </c>
      <c r="E11048" t="s">
        <v>26122</v>
      </c>
      <c r="F11048" t="s">
        <v>29372</v>
      </c>
      <c r="G11048" t="s">
        <v>29380</v>
      </c>
      <c r="H11048" t="s">
        <v>11048</v>
      </c>
      <c r="I11048" t="s">
        <v>29414</v>
      </c>
      <c r="J11048" t="s">
        <v>36523</v>
      </c>
      <c r="K11048" t="s">
        <v>38496</v>
      </c>
      <c r="M11048" t="s">
        <v>42017</v>
      </c>
      <c r="N11048" t="s">
        <v>42669</v>
      </c>
      <c r="O11048" t="s">
        <v>42670</v>
      </c>
      <c r="P11048">
        <v>0</v>
      </c>
      <c r="Q11048">
        <v>22</v>
      </c>
      <c r="R11048" t="s">
        <v>42685</v>
      </c>
      <c r="S11048" t="s">
        <v>43317</v>
      </c>
      <c r="T11048" t="s">
        <v>44517</v>
      </c>
      <c r="U11048" t="s">
        <v>53270</v>
      </c>
      <c r="V11048" t="s">
        <v>57590</v>
      </c>
      <c r="W11048" t="s">
        <v>42017</v>
      </c>
      <c r="X11048" t="s">
        <v>42711</v>
      </c>
    </row>
    <row r="11049" spans="1:24">
      <c r="A11049">
        <f>HYPERLINK("https://www.philgeps.gov.ph/GEPSNONPILOT/Tender/SplashBidNoticeAbstractUI.aspx?menuIndex=3&amp;refID=7153169&amp;Result=3","7153169")</f>
        <v>0</v>
      </c>
      <c r="B11049" t="s">
        <v>266</v>
      </c>
      <c r="C11049" t="s">
        <v>14081</v>
      </c>
      <c r="D11049" t="s">
        <v>17170</v>
      </c>
      <c r="E11049" t="s">
        <v>26661</v>
      </c>
      <c r="F11049" t="s">
        <v>29372</v>
      </c>
      <c r="G11049" t="s">
        <v>29380</v>
      </c>
      <c r="H11049" t="s">
        <v>11048</v>
      </c>
      <c r="I11049" t="s">
        <v>29407</v>
      </c>
      <c r="J11049" t="s">
        <v>30798</v>
      </c>
      <c r="K11049" t="s">
        <v>38485</v>
      </c>
      <c r="M11049" t="s">
        <v>39025</v>
      </c>
      <c r="N11049" t="s">
        <v>42669</v>
      </c>
      <c r="O11049" t="s">
        <v>42670</v>
      </c>
      <c r="P11049">
        <v>0</v>
      </c>
      <c r="Q11049">
        <v>3</v>
      </c>
      <c r="R11049" t="s">
        <v>42685</v>
      </c>
      <c r="S11049" t="s">
        <v>43317</v>
      </c>
      <c r="T11049" t="s">
        <v>44401</v>
      </c>
      <c r="U11049" t="s">
        <v>53824</v>
      </c>
      <c r="W11049" t="s">
        <v>39025</v>
      </c>
      <c r="X11049" t="s">
        <v>42692</v>
      </c>
    </row>
    <row r="11050" spans="1:24">
      <c r="A11050">
        <f>HYPERLINK("https://www.philgeps.gov.ph/GEPSNONPILOT/Tender/SplashBidNoticeAbstractUI.aspx?menuIndex=3&amp;refID=7157908&amp;Result=3","7157908")</f>
        <v>0</v>
      </c>
      <c r="B11050" t="s">
        <v>2064</v>
      </c>
      <c r="C11050" t="s">
        <v>14082</v>
      </c>
      <c r="D11050" t="s">
        <v>17207</v>
      </c>
      <c r="E11050" t="s">
        <v>26662</v>
      </c>
      <c r="F11050" t="s">
        <v>29372</v>
      </c>
      <c r="G11050" t="s">
        <v>29380</v>
      </c>
      <c r="H11050" t="s">
        <v>29389</v>
      </c>
      <c r="I11050" t="s">
        <v>10408</v>
      </c>
      <c r="J11050" t="s">
        <v>29937</v>
      </c>
      <c r="K11050" t="s">
        <v>38496</v>
      </c>
      <c r="M11050" t="s">
        <v>40962</v>
      </c>
      <c r="N11050" t="s">
        <v>42669</v>
      </c>
      <c r="O11050" t="s">
        <v>42670</v>
      </c>
      <c r="P11050">
        <v>0</v>
      </c>
      <c r="Q11050">
        <v>1</v>
      </c>
      <c r="R11050" t="s">
        <v>42685</v>
      </c>
      <c r="S11050" t="s">
        <v>43317</v>
      </c>
      <c r="T11050" t="s">
        <v>44439</v>
      </c>
      <c r="U11050" t="s">
        <v>53825</v>
      </c>
      <c r="W11050" t="s">
        <v>40962</v>
      </c>
      <c r="X11050" t="s">
        <v>42691</v>
      </c>
    </row>
    <row r="11051" spans="1:24">
      <c r="A11051">
        <f>HYPERLINK("https://www.philgeps.gov.ph/GEPSNONPILOT/Tender/SplashBidNoticeAbstractUI.aspx?menuIndex=3&amp;refID=7109751&amp;Result=3","7109751")</f>
        <v>0</v>
      </c>
      <c r="B11051" t="s">
        <v>2998</v>
      </c>
      <c r="C11051" t="s">
        <v>14083</v>
      </c>
      <c r="E11051" t="s">
        <v>26122</v>
      </c>
      <c r="F11051" t="s">
        <v>29372</v>
      </c>
      <c r="G11051" t="s">
        <v>29380</v>
      </c>
      <c r="H11051" t="s">
        <v>11048</v>
      </c>
      <c r="I11051" t="s">
        <v>29414</v>
      </c>
      <c r="J11051" t="s">
        <v>36524</v>
      </c>
      <c r="K11051" t="s">
        <v>38496</v>
      </c>
      <c r="M11051" t="s">
        <v>42017</v>
      </c>
      <c r="N11051" t="s">
        <v>42669</v>
      </c>
      <c r="O11051" t="s">
        <v>42670</v>
      </c>
      <c r="P11051">
        <v>0</v>
      </c>
      <c r="Q11051">
        <v>25</v>
      </c>
      <c r="R11051" t="s">
        <v>42685</v>
      </c>
      <c r="S11051" t="s">
        <v>43317</v>
      </c>
      <c r="T11051" t="s">
        <v>44517</v>
      </c>
      <c r="U11051" t="s">
        <v>53270</v>
      </c>
      <c r="V11051" t="s">
        <v>57541</v>
      </c>
      <c r="W11051" t="s">
        <v>42017</v>
      </c>
      <c r="X11051" t="s">
        <v>42711</v>
      </c>
    </row>
    <row r="11052" spans="1:24">
      <c r="A11052">
        <f>HYPERLINK("https://www.philgeps.gov.ph/GEPSNONPILOT/Tender/SplashBidNoticeAbstractUI.aspx?menuIndex=3&amp;refID=7109635&amp;Result=3","7109635")</f>
        <v>0</v>
      </c>
      <c r="B11052" t="s">
        <v>2998</v>
      </c>
      <c r="C11052" t="s">
        <v>14084</v>
      </c>
      <c r="E11052" t="s">
        <v>26122</v>
      </c>
      <c r="F11052" t="s">
        <v>29372</v>
      </c>
      <c r="G11052" t="s">
        <v>29380</v>
      </c>
      <c r="H11052" t="s">
        <v>11048</v>
      </c>
      <c r="I11052" t="s">
        <v>29414</v>
      </c>
      <c r="J11052" t="s">
        <v>36525</v>
      </c>
      <c r="K11052" t="s">
        <v>38496</v>
      </c>
      <c r="M11052" t="s">
        <v>42017</v>
      </c>
      <c r="N11052" t="s">
        <v>42669</v>
      </c>
      <c r="O11052" t="s">
        <v>42670</v>
      </c>
      <c r="P11052">
        <v>0</v>
      </c>
      <c r="Q11052">
        <v>31</v>
      </c>
      <c r="R11052" t="s">
        <v>42685</v>
      </c>
      <c r="S11052" t="s">
        <v>43317</v>
      </c>
      <c r="T11052" t="s">
        <v>44517</v>
      </c>
      <c r="U11052" t="s">
        <v>53270</v>
      </c>
      <c r="V11052" t="s">
        <v>57590</v>
      </c>
      <c r="W11052" t="s">
        <v>42017</v>
      </c>
      <c r="X11052" t="s">
        <v>42711</v>
      </c>
    </row>
    <row r="11053" spans="1:24">
      <c r="A11053">
        <f>HYPERLINK("https://www.philgeps.gov.ph/GEPSNONPILOT/Tender/SplashBidNoticeAbstractUI.aspx?menuIndex=3&amp;refID=7158822&amp;Result=3","7158822")</f>
        <v>0</v>
      </c>
      <c r="B11053" t="s">
        <v>3112</v>
      </c>
      <c r="C11053" t="s">
        <v>14085</v>
      </c>
      <c r="D11053" t="s">
        <v>17168</v>
      </c>
      <c r="E11053" t="s">
        <v>26663</v>
      </c>
      <c r="F11053" t="s">
        <v>29372</v>
      </c>
      <c r="G11053" t="s">
        <v>29380</v>
      </c>
      <c r="H11053" t="s">
        <v>11048</v>
      </c>
      <c r="I11053" t="s">
        <v>29415</v>
      </c>
      <c r="J11053" t="s">
        <v>29937</v>
      </c>
      <c r="K11053" t="s">
        <v>38522</v>
      </c>
      <c r="M11053" t="s">
        <v>42155</v>
      </c>
      <c r="N11053" t="s">
        <v>42669</v>
      </c>
      <c r="O11053" t="s">
        <v>42670</v>
      </c>
      <c r="Q11053">
        <v>5</v>
      </c>
      <c r="R11053" t="s">
        <v>42685</v>
      </c>
      <c r="S11053" t="s">
        <v>42955</v>
      </c>
      <c r="T11053" t="s">
        <v>44446</v>
      </c>
      <c r="U11053" t="s">
        <v>53826</v>
      </c>
      <c r="V11053" t="s">
        <v>53826</v>
      </c>
      <c r="W11053" t="s">
        <v>42155</v>
      </c>
      <c r="X11053" t="s">
        <v>42690</v>
      </c>
    </row>
    <row r="11054" spans="1:24">
      <c r="A11054">
        <f>HYPERLINK("https://www.philgeps.gov.ph/GEPSNONPILOT/Tender/SplashBidNoticeAbstractUI.aspx?menuIndex=3&amp;refID=7109713&amp;Result=3","7109713")</f>
        <v>0</v>
      </c>
      <c r="B11054" t="s">
        <v>2998</v>
      </c>
      <c r="C11054" t="s">
        <v>14086</v>
      </c>
      <c r="E11054" t="s">
        <v>26122</v>
      </c>
      <c r="F11054" t="s">
        <v>29372</v>
      </c>
      <c r="G11054" t="s">
        <v>29380</v>
      </c>
      <c r="H11054" t="s">
        <v>11048</v>
      </c>
      <c r="I11054" t="s">
        <v>29414</v>
      </c>
      <c r="J11054" t="s">
        <v>36526</v>
      </c>
      <c r="K11054" t="s">
        <v>38496</v>
      </c>
      <c r="M11054" t="s">
        <v>42017</v>
      </c>
      <c r="N11054" t="s">
        <v>42669</v>
      </c>
      <c r="O11054" t="s">
        <v>42670</v>
      </c>
      <c r="P11054">
        <v>0</v>
      </c>
      <c r="Q11054">
        <v>24</v>
      </c>
      <c r="R11054" t="s">
        <v>42685</v>
      </c>
      <c r="S11054" t="s">
        <v>43317</v>
      </c>
      <c r="T11054" t="s">
        <v>44517</v>
      </c>
      <c r="U11054" t="s">
        <v>53270</v>
      </c>
      <c r="V11054" t="s">
        <v>57590</v>
      </c>
      <c r="W11054" t="s">
        <v>42017</v>
      </c>
      <c r="X11054" t="s">
        <v>42711</v>
      </c>
    </row>
    <row r="11055" spans="1:24">
      <c r="A11055">
        <f>HYPERLINK("https://www.philgeps.gov.ph/GEPSNONPILOT/Tender/SplashBidNoticeAbstractUI.aspx?menuIndex=3&amp;refID=7158785&amp;Result=3","7158785")</f>
        <v>0</v>
      </c>
      <c r="B11055" t="s">
        <v>3112</v>
      </c>
      <c r="C11055" t="s">
        <v>14087</v>
      </c>
      <c r="D11055" t="s">
        <v>17204</v>
      </c>
      <c r="E11055" t="s">
        <v>26664</v>
      </c>
      <c r="F11055" t="s">
        <v>29372</v>
      </c>
      <c r="G11055" t="s">
        <v>29380</v>
      </c>
      <c r="H11055" t="s">
        <v>11048</v>
      </c>
      <c r="I11055" t="s">
        <v>29415</v>
      </c>
      <c r="J11055" t="s">
        <v>29785</v>
      </c>
      <c r="K11055" t="s">
        <v>38522</v>
      </c>
      <c r="M11055" t="s">
        <v>42155</v>
      </c>
      <c r="N11055" t="s">
        <v>42669</v>
      </c>
      <c r="O11055" t="s">
        <v>42670</v>
      </c>
      <c r="Q11055">
        <v>12</v>
      </c>
      <c r="R11055" t="s">
        <v>42685</v>
      </c>
      <c r="S11055" t="s">
        <v>43323</v>
      </c>
      <c r="T11055" t="s">
        <v>44368</v>
      </c>
      <c r="U11055" t="s">
        <v>53826</v>
      </c>
      <c r="V11055" t="s">
        <v>53826</v>
      </c>
      <c r="W11055" t="s">
        <v>42155</v>
      </c>
      <c r="X11055" t="s">
        <v>42690</v>
      </c>
    </row>
    <row r="11056" spans="1:24">
      <c r="A11056">
        <f>HYPERLINK("https://www.philgeps.gov.ph/GEPSNONPILOT/Tender/SplashBidNoticeAbstractUI.aspx?menuIndex=3&amp;refID=7158727&amp;Result=3","7158727")</f>
        <v>0</v>
      </c>
      <c r="B11056" t="s">
        <v>3112</v>
      </c>
      <c r="C11056" t="s">
        <v>14088</v>
      </c>
      <c r="D11056" t="s">
        <v>17204</v>
      </c>
      <c r="E11056" t="s">
        <v>26665</v>
      </c>
      <c r="F11056" t="s">
        <v>29372</v>
      </c>
      <c r="G11056" t="s">
        <v>29380</v>
      </c>
      <c r="H11056" t="s">
        <v>11048</v>
      </c>
      <c r="I11056" t="s">
        <v>29415</v>
      </c>
      <c r="J11056" t="s">
        <v>29724</v>
      </c>
      <c r="K11056" t="s">
        <v>38522</v>
      </c>
      <c r="M11056" t="s">
        <v>42155</v>
      </c>
      <c r="N11056" t="s">
        <v>42669</v>
      </c>
      <c r="O11056" t="s">
        <v>42670</v>
      </c>
      <c r="Q11056">
        <v>18</v>
      </c>
      <c r="R11056" t="s">
        <v>42685</v>
      </c>
      <c r="S11056" t="s">
        <v>43324</v>
      </c>
      <c r="T11056" t="s">
        <v>44368</v>
      </c>
      <c r="U11056" t="s">
        <v>53826</v>
      </c>
      <c r="V11056" t="s">
        <v>53826</v>
      </c>
      <c r="W11056" t="s">
        <v>42155</v>
      </c>
      <c r="X11056" t="s">
        <v>42690</v>
      </c>
    </row>
    <row r="11057" spans="1:24">
      <c r="A11057">
        <f>HYPERLINK("https://www.philgeps.gov.ph/GEPSNONPILOT/Tender/SplashBidNoticeAbstractUI.aspx?menuIndex=3&amp;refID=7170689&amp;Result=3","7170689")</f>
        <v>0</v>
      </c>
      <c r="B11057" t="s">
        <v>2314</v>
      </c>
      <c r="C11057" t="s">
        <v>14089</v>
      </c>
      <c r="D11057" t="s">
        <v>17142</v>
      </c>
      <c r="E11057" t="s">
        <v>26666</v>
      </c>
      <c r="F11057" t="s">
        <v>29372</v>
      </c>
      <c r="G11057" t="s">
        <v>29380</v>
      </c>
      <c r="H11057" t="s">
        <v>29389</v>
      </c>
      <c r="I11057" t="s">
        <v>10408</v>
      </c>
      <c r="J11057" t="s">
        <v>36527</v>
      </c>
      <c r="K11057" t="s">
        <v>38526</v>
      </c>
      <c r="M11057" t="s">
        <v>41245</v>
      </c>
      <c r="N11057" t="s">
        <v>42669</v>
      </c>
      <c r="O11057" t="s">
        <v>42670</v>
      </c>
      <c r="P11057">
        <v>0</v>
      </c>
      <c r="Q11057">
        <v>15</v>
      </c>
      <c r="R11057" t="s">
        <v>42684</v>
      </c>
      <c r="S11057" t="s">
        <v>43183</v>
      </c>
      <c r="T11057" t="s">
        <v>44470</v>
      </c>
      <c r="U11057" t="s">
        <v>53827</v>
      </c>
      <c r="W11057" t="s">
        <v>41245</v>
      </c>
      <c r="X11057" t="s">
        <v>42685</v>
      </c>
    </row>
    <row r="11058" spans="1:24">
      <c r="A11058">
        <f>HYPERLINK("https://www.philgeps.gov.ph/GEPSNONPILOT/Tender/SplashBidNoticeAbstractUI.aspx?menuIndex=3&amp;refID=7160199&amp;Result=3","7160199")</f>
        <v>0</v>
      </c>
      <c r="B11058" t="s">
        <v>196</v>
      </c>
      <c r="C11058" t="s">
        <v>14090</v>
      </c>
      <c r="D11058" t="s">
        <v>17166</v>
      </c>
      <c r="E11058" t="s">
        <v>26667</v>
      </c>
      <c r="F11058" t="s">
        <v>29372</v>
      </c>
      <c r="G11058" t="s">
        <v>29380</v>
      </c>
      <c r="H11058" t="s">
        <v>11048</v>
      </c>
      <c r="I11058" t="s">
        <v>3839</v>
      </c>
      <c r="J11058" t="s">
        <v>36383</v>
      </c>
      <c r="K11058" t="s">
        <v>38487</v>
      </c>
      <c r="M11058" t="s">
        <v>38953</v>
      </c>
      <c r="N11058" t="s">
        <v>42669</v>
      </c>
      <c r="O11058" t="s">
        <v>42670</v>
      </c>
      <c r="P11058">
        <v>0</v>
      </c>
      <c r="Q11058">
        <v>2</v>
      </c>
      <c r="R11058" t="s">
        <v>42685</v>
      </c>
      <c r="S11058" t="s">
        <v>43317</v>
      </c>
      <c r="T11058" t="s">
        <v>44527</v>
      </c>
      <c r="U11058" t="s">
        <v>53828</v>
      </c>
      <c r="W11058" t="s">
        <v>58083</v>
      </c>
      <c r="X11058" t="s">
        <v>42690</v>
      </c>
    </row>
    <row r="11059" spans="1:24">
      <c r="A11059">
        <f>HYPERLINK("https://www.philgeps.gov.ph/GEPSNONPILOT/Tender/SplashBidNoticeAbstractUI.aspx?menuIndex=3&amp;refID=7158993&amp;Result=3","7158993")</f>
        <v>0</v>
      </c>
      <c r="B11059" t="s">
        <v>3112</v>
      </c>
      <c r="C11059" t="s">
        <v>14091</v>
      </c>
      <c r="D11059" t="s">
        <v>17194</v>
      </c>
      <c r="E11059" t="s">
        <v>26668</v>
      </c>
      <c r="F11059" t="s">
        <v>29372</v>
      </c>
      <c r="G11059" t="s">
        <v>29380</v>
      </c>
      <c r="H11059" t="s">
        <v>11048</v>
      </c>
      <c r="I11059" t="s">
        <v>29415</v>
      </c>
      <c r="J11059" t="s">
        <v>29937</v>
      </c>
      <c r="K11059" t="s">
        <v>38522</v>
      </c>
      <c r="M11059" t="s">
        <v>42155</v>
      </c>
      <c r="N11059" t="s">
        <v>42669</v>
      </c>
      <c r="O11059" t="s">
        <v>42670</v>
      </c>
      <c r="Q11059">
        <v>3</v>
      </c>
      <c r="R11059" t="s">
        <v>42685</v>
      </c>
      <c r="S11059" t="s">
        <v>42953</v>
      </c>
      <c r="T11059" t="s">
        <v>44368</v>
      </c>
      <c r="U11059" t="s">
        <v>53826</v>
      </c>
      <c r="V11059" t="s">
        <v>53826</v>
      </c>
      <c r="W11059" t="s">
        <v>42155</v>
      </c>
      <c r="X11059" t="s">
        <v>42690</v>
      </c>
    </row>
    <row r="11060" spans="1:24">
      <c r="A11060">
        <f>HYPERLINK("https://www.philgeps.gov.ph/GEPSNONPILOT/Tender/SplashBidNoticeAbstractUI.aspx?menuIndex=3&amp;refID=7158749&amp;Result=3","7158749")</f>
        <v>0</v>
      </c>
      <c r="B11060" t="s">
        <v>3112</v>
      </c>
      <c r="C11060" t="s">
        <v>14092</v>
      </c>
      <c r="D11060" t="s">
        <v>17166</v>
      </c>
      <c r="E11060" t="s">
        <v>26669</v>
      </c>
      <c r="F11060" t="s">
        <v>29372</v>
      </c>
      <c r="G11060" t="s">
        <v>29380</v>
      </c>
      <c r="H11060" t="s">
        <v>11048</v>
      </c>
      <c r="I11060" t="s">
        <v>29415</v>
      </c>
      <c r="J11060" t="s">
        <v>29788</v>
      </c>
      <c r="K11060" t="s">
        <v>38522</v>
      </c>
      <c r="M11060" t="s">
        <v>42155</v>
      </c>
      <c r="N11060" t="s">
        <v>42669</v>
      </c>
      <c r="O11060" t="s">
        <v>42670</v>
      </c>
      <c r="Q11060">
        <v>15</v>
      </c>
      <c r="R11060" t="s">
        <v>42685</v>
      </c>
      <c r="S11060" t="s">
        <v>42824</v>
      </c>
      <c r="T11060" t="s">
        <v>44368</v>
      </c>
      <c r="U11060" t="s">
        <v>53826</v>
      </c>
      <c r="V11060" t="s">
        <v>53826</v>
      </c>
      <c r="W11060" t="s">
        <v>42155</v>
      </c>
      <c r="X11060" t="s">
        <v>42690</v>
      </c>
    </row>
    <row r="11061" spans="1:24">
      <c r="A11061">
        <f>HYPERLINK("https://www.philgeps.gov.ph/GEPSNONPILOT/Tender/SplashBidNoticeAbstractUI.aspx?menuIndex=3&amp;refID=7159805&amp;Result=3","7159805")</f>
        <v>0</v>
      </c>
      <c r="B11061" t="s">
        <v>196</v>
      </c>
      <c r="C11061" t="s">
        <v>14093</v>
      </c>
      <c r="D11061" t="s">
        <v>17166</v>
      </c>
      <c r="E11061" t="s">
        <v>26670</v>
      </c>
      <c r="F11061" t="s">
        <v>29372</v>
      </c>
      <c r="G11061" t="s">
        <v>29380</v>
      </c>
      <c r="H11061" t="s">
        <v>11048</v>
      </c>
      <c r="I11061" t="s">
        <v>3695</v>
      </c>
      <c r="J11061" t="s">
        <v>36528</v>
      </c>
      <c r="K11061" t="s">
        <v>38510</v>
      </c>
      <c r="M11061" t="s">
        <v>38953</v>
      </c>
      <c r="N11061" t="s">
        <v>42669</v>
      </c>
      <c r="O11061" t="s">
        <v>42670</v>
      </c>
      <c r="P11061">
        <v>0</v>
      </c>
      <c r="Q11061">
        <v>3</v>
      </c>
      <c r="R11061" t="s">
        <v>42685</v>
      </c>
      <c r="S11061" t="s">
        <v>43317</v>
      </c>
      <c r="T11061" t="s">
        <v>44527</v>
      </c>
      <c r="U11061" t="s">
        <v>53829</v>
      </c>
      <c r="W11061" t="s">
        <v>58083</v>
      </c>
      <c r="X11061" t="s">
        <v>42690</v>
      </c>
    </row>
    <row r="11062" spans="1:24">
      <c r="A11062">
        <f>HYPERLINK("https://www.philgeps.gov.ph/GEPSNONPILOT/Tender/SplashBidNoticeAbstractUI.aspx?menuIndex=3&amp;refID=7159943&amp;Result=3","7159943")</f>
        <v>0</v>
      </c>
      <c r="B11062" t="s">
        <v>196</v>
      </c>
      <c r="C11062" t="s">
        <v>14094</v>
      </c>
      <c r="D11062" t="s">
        <v>17166</v>
      </c>
      <c r="E11062" t="s">
        <v>26671</v>
      </c>
      <c r="F11062" t="s">
        <v>29372</v>
      </c>
      <c r="G11062" t="s">
        <v>29380</v>
      </c>
      <c r="H11062" t="s">
        <v>11048</v>
      </c>
      <c r="I11062" t="s">
        <v>29433</v>
      </c>
      <c r="J11062" t="s">
        <v>30297</v>
      </c>
      <c r="K11062" t="s">
        <v>38496</v>
      </c>
      <c r="M11062" t="s">
        <v>38953</v>
      </c>
      <c r="N11062" t="s">
        <v>42669</v>
      </c>
      <c r="O11062" t="s">
        <v>42670</v>
      </c>
      <c r="P11062">
        <v>0</v>
      </c>
      <c r="Q11062">
        <v>17</v>
      </c>
      <c r="R11062" t="s">
        <v>42685</v>
      </c>
      <c r="S11062" t="s">
        <v>43317</v>
      </c>
      <c r="T11062" t="s">
        <v>44527</v>
      </c>
      <c r="U11062" t="s">
        <v>53830</v>
      </c>
      <c r="W11062" t="s">
        <v>58083</v>
      </c>
      <c r="X11062" t="s">
        <v>42690</v>
      </c>
    </row>
    <row r="11063" spans="1:24">
      <c r="A11063">
        <f>HYPERLINK("https://www.philgeps.gov.ph/GEPSNONPILOT/Tender/SplashBidNoticeAbstractUI.aspx?menuIndex=3&amp;refID=7159768&amp;Result=3","7159768")</f>
        <v>0</v>
      </c>
      <c r="B11063" t="s">
        <v>196</v>
      </c>
      <c r="C11063" t="s">
        <v>14095</v>
      </c>
      <c r="D11063" t="s">
        <v>17166</v>
      </c>
      <c r="E11063" t="s">
        <v>26672</v>
      </c>
      <c r="F11063" t="s">
        <v>29372</v>
      </c>
      <c r="G11063" t="s">
        <v>29380</v>
      </c>
      <c r="H11063" t="s">
        <v>11048</v>
      </c>
      <c r="I11063" t="s">
        <v>29468</v>
      </c>
      <c r="J11063" t="s">
        <v>36529</v>
      </c>
      <c r="K11063" t="s">
        <v>38510</v>
      </c>
      <c r="M11063" t="s">
        <v>38953</v>
      </c>
      <c r="N11063" t="s">
        <v>42669</v>
      </c>
      <c r="O11063" t="s">
        <v>42670</v>
      </c>
      <c r="P11063">
        <v>0</v>
      </c>
      <c r="Q11063">
        <v>3</v>
      </c>
      <c r="R11063" t="s">
        <v>42685</v>
      </c>
      <c r="S11063" t="s">
        <v>43317</v>
      </c>
      <c r="T11063" t="s">
        <v>44527</v>
      </c>
      <c r="U11063" t="s">
        <v>53831</v>
      </c>
      <c r="W11063" t="s">
        <v>58083</v>
      </c>
      <c r="X11063" t="s">
        <v>42690</v>
      </c>
    </row>
    <row r="11064" spans="1:24">
      <c r="A11064">
        <f>HYPERLINK("https://www.philgeps.gov.ph/GEPSNONPILOT/Tender/SplashBidNoticeAbstractUI.aspx?menuIndex=3&amp;refID=7159898&amp;Result=3","7159898")</f>
        <v>0</v>
      </c>
      <c r="B11064" t="s">
        <v>196</v>
      </c>
      <c r="C11064" t="s">
        <v>14096</v>
      </c>
      <c r="D11064" t="s">
        <v>17166</v>
      </c>
      <c r="E11064" t="s">
        <v>26673</v>
      </c>
      <c r="F11064" t="s">
        <v>29372</v>
      </c>
      <c r="G11064" t="s">
        <v>29380</v>
      </c>
      <c r="H11064" t="s">
        <v>11048</v>
      </c>
      <c r="I11064" t="s">
        <v>3695</v>
      </c>
      <c r="J11064" t="s">
        <v>36530</v>
      </c>
      <c r="K11064" t="s">
        <v>38510</v>
      </c>
      <c r="M11064" t="s">
        <v>38953</v>
      </c>
      <c r="N11064" t="s">
        <v>42669</v>
      </c>
      <c r="O11064" t="s">
        <v>42670</v>
      </c>
      <c r="P11064">
        <v>0</v>
      </c>
      <c r="Q11064">
        <v>5</v>
      </c>
      <c r="R11064" t="s">
        <v>42685</v>
      </c>
      <c r="S11064" t="s">
        <v>43317</v>
      </c>
      <c r="T11064" t="s">
        <v>44527</v>
      </c>
      <c r="U11064" t="s">
        <v>53832</v>
      </c>
      <c r="W11064" t="s">
        <v>58083</v>
      </c>
      <c r="X11064" t="s">
        <v>42690</v>
      </c>
    </row>
    <row r="11065" spans="1:24">
      <c r="A11065">
        <f>HYPERLINK("https://www.philgeps.gov.ph/GEPSNONPILOT/Tender/SplashBidNoticeAbstractUI.aspx?menuIndex=3&amp;refID=7159751&amp;Result=3","7159751")</f>
        <v>0</v>
      </c>
      <c r="B11065" t="s">
        <v>196</v>
      </c>
      <c r="C11065" t="s">
        <v>14097</v>
      </c>
      <c r="D11065" t="s">
        <v>17166</v>
      </c>
      <c r="E11065" t="s">
        <v>26674</v>
      </c>
      <c r="F11065" t="s">
        <v>29372</v>
      </c>
      <c r="G11065" t="s">
        <v>29380</v>
      </c>
      <c r="H11065" t="s">
        <v>11048</v>
      </c>
      <c r="I11065" t="s">
        <v>3670</v>
      </c>
      <c r="J11065" t="s">
        <v>36531</v>
      </c>
      <c r="K11065" t="s">
        <v>38485</v>
      </c>
      <c r="M11065" t="s">
        <v>38953</v>
      </c>
      <c r="N11065" t="s">
        <v>42669</v>
      </c>
      <c r="O11065" t="s">
        <v>42670</v>
      </c>
      <c r="P11065">
        <v>0</v>
      </c>
      <c r="Q11065">
        <v>1</v>
      </c>
      <c r="R11065" t="s">
        <v>42685</v>
      </c>
      <c r="S11065" t="s">
        <v>43317</v>
      </c>
      <c r="T11065" t="s">
        <v>44527</v>
      </c>
      <c r="U11065" t="s">
        <v>53833</v>
      </c>
      <c r="W11065" t="s">
        <v>58083</v>
      </c>
      <c r="X11065" t="s">
        <v>42690</v>
      </c>
    </row>
    <row r="11066" spans="1:24">
      <c r="A11066">
        <f>HYPERLINK("https://www.philgeps.gov.ph/GEPSNONPILOT/Tender/SplashBidNoticeAbstractUI.aspx?menuIndex=3&amp;refID=7159025&amp;Result=3","7159025")</f>
        <v>0</v>
      </c>
      <c r="B11066" t="s">
        <v>3112</v>
      </c>
      <c r="C11066" t="s">
        <v>14098</v>
      </c>
      <c r="D11066" t="s">
        <v>17183</v>
      </c>
      <c r="E11066" t="s">
        <v>26675</v>
      </c>
      <c r="F11066" t="s">
        <v>29372</v>
      </c>
      <c r="G11066" t="s">
        <v>29380</v>
      </c>
      <c r="H11066" t="s">
        <v>11048</v>
      </c>
      <c r="I11066" t="s">
        <v>29415</v>
      </c>
      <c r="J11066" t="s">
        <v>29728</v>
      </c>
      <c r="K11066" t="s">
        <v>38522</v>
      </c>
      <c r="M11066" t="s">
        <v>42155</v>
      </c>
      <c r="N11066" t="s">
        <v>42669</v>
      </c>
      <c r="O11066" t="s">
        <v>42670</v>
      </c>
      <c r="P11066">
        <v>0</v>
      </c>
      <c r="Q11066">
        <v>8</v>
      </c>
      <c r="R11066" t="s">
        <v>42685</v>
      </c>
      <c r="S11066" t="s">
        <v>43317</v>
      </c>
      <c r="T11066" t="s">
        <v>44368</v>
      </c>
      <c r="U11066" t="s">
        <v>53826</v>
      </c>
      <c r="V11066" t="s">
        <v>53826</v>
      </c>
      <c r="W11066" t="s">
        <v>42155</v>
      </c>
      <c r="X11066" t="s">
        <v>42690</v>
      </c>
    </row>
    <row r="11067" spans="1:24">
      <c r="A11067">
        <f>HYPERLINK("https://www.philgeps.gov.ph/GEPSNONPILOT/Tender/SplashBidNoticeAbstractUI.aspx?menuIndex=3&amp;refID=7157979&amp;Result=3","7157979")</f>
        <v>0</v>
      </c>
      <c r="B11067" t="s">
        <v>2064</v>
      </c>
      <c r="C11067" t="s">
        <v>14099</v>
      </c>
      <c r="D11067" t="s">
        <v>17207</v>
      </c>
      <c r="E11067" t="s">
        <v>26676</v>
      </c>
      <c r="F11067" t="s">
        <v>29372</v>
      </c>
      <c r="G11067" t="s">
        <v>29380</v>
      </c>
      <c r="H11067" t="s">
        <v>29389</v>
      </c>
      <c r="I11067" t="s">
        <v>10408</v>
      </c>
      <c r="J11067" t="s">
        <v>29988</v>
      </c>
      <c r="K11067" t="s">
        <v>38485</v>
      </c>
      <c r="M11067" t="s">
        <v>40962</v>
      </c>
      <c r="N11067" t="s">
        <v>42669</v>
      </c>
      <c r="O11067" t="s">
        <v>42670</v>
      </c>
      <c r="P11067">
        <v>0</v>
      </c>
      <c r="Q11067">
        <v>0</v>
      </c>
      <c r="R11067" t="s">
        <v>42685</v>
      </c>
      <c r="S11067" t="s">
        <v>43317</v>
      </c>
      <c r="T11067" t="s">
        <v>44363</v>
      </c>
      <c r="U11067" t="s">
        <v>53834</v>
      </c>
      <c r="W11067" t="s">
        <v>40962</v>
      </c>
      <c r="X11067" t="s">
        <v>42691</v>
      </c>
    </row>
    <row r="11068" spans="1:24">
      <c r="A11068">
        <f>HYPERLINK("https://www.philgeps.gov.ph/GEPSNONPILOT/Tender/SplashBidNoticeAbstractUI.aspx?menuIndex=3&amp;refID=7158942&amp;Result=3","7158942")</f>
        <v>0</v>
      </c>
      <c r="B11068" t="s">
        <v>3112</v>
      </c>
      <c r="C11068" t="s">
        <v>14100</v>
      </c>
      <c r="D11068" t="s">
        <v>17171</v>
      </c>
      <c r="E11068" t="s">
        <v>26677</v>
      </c>
      <c r="F11068" t="s">
        <v>29372</v>
      </c>
      <c r="G11068" t="s">
        <v>29380</v>
      </c>
      <c r="H11068" t="s">
        <v>11048</v>
      </c>
      <c r="I11068" t="s">
        <v>29415</v>
      </c>
      <c r="J11068" t="s">
        <v>29937</v>
      </c>
      <c r="K11068" t="s">
        <v>38522</v>
      </c>
      <c r="M11068" t="s">
        <v>42155</v>
      </c>
      <c r="N11068" t="s">
        <v>42669</v>
      </c>
      <c r="O11068" t="s">
        <v>42670</v>
      </c>
      <c r="Q11068">
        <v>4</v>
      </c>
      <c r="R11068" t="s">
        <v>42685</v>
      </c>
      <c r="S11068" t="s">
        <v>42956</v>
      </c>
      <c r="T11068" t="s">
        <v>44368</v>
      </c>
      <c r="U11068" t="s">
        <v>53826</v>
      </c>
      <c r="V11068" t="s">
        <v>53826</v>
      </c>
      <c r="W11068" t="s">
        <v>42155</v>
      </c>
      <c r="X11068" t="s">
        <v>42690</v>
      </c>
    </row>
    <row r="11069" spans="1:24">
      <c r="A11069">
        <f>HYPERLINK("https://www.philgeps.gov.ph/GEPSNONPILOT/Tender/SplashBidNoticeAbstractUI.aspx?menuIndex=3&amp;refID=7159923&amp;Result=3","7159923")</f>
        <v>0</v>
      </c>
      <c r="B11069" t="s">
        <v>196</v>
      </c>
      <c r="C11069" t="s">
        <v>14101</v>
      </c>
      <c r="D11069" t="s">
        <v>17166</v>
      </c>
      <c r="E11069" t="s">
        <v>26678</v>
      </c>
      <c r="F11069" t="s">
        <v>29372</v>
      </c>
      <c r="G11069" t="s">
        <v>29380</v>
      </c>
      <c r="H11069" t="s">
        <v>11048</v>
      </c>
      <c r="I11069" t="s">
        <v>29407</v>
      </c>
      <c r="J11069" t="s">
        <v>34371</v>
      </c>
      <c r="K11069" t="s">
        <v>38510</v>
      </c>
      <c r="M11069" t="s">
        <v>38953</v>
      </c>
      <c r="N11069" t="s">
        <v>42669</v>
      </c>
      <c r="O11069" t="s">
        <v>42670</v>
      </c>
      <c r="P11069">
        <v>0</v>
      </c>
      <c r="Q11069">
        <v>11</v>
      </c>
      <c r="R11069" t="s">
        <v>42685</v>
      </c>
      <c r="S11069" t="s">
        <v>43317</v>
      </c>
      <c r="T11069" t="s">
        <v>44527</v>
      </c>
      <c r="U11069" t="s">
        <v>53835</v>
      </c>
      <c r="W11069" t="s">
        <v>58083</v>
      </c>
      <c r="X11069" t="s">
        <v>42690</v>
      </c>
    </row>
    <row r="11070" spans="1:24">
      <c r="A11070">
        <f>HYPERLINK("https://www.philgeps.gov.ph/GEPSNONPILOT/Tender/SplashBidNoticeAbstractUI.aspx?menuIndex=3&amp;refID=7163256&amp;Result=3","7163256")</f>
        <v>0</v>
      </c>
      <c r="B11070" t="s">
        <v>379</v>
      </c>
      <c r="C11070" t="s">
        <v>14102</v>
      </c>
      <c r="E11070" t="s">
        <v>26679</v>
      </c>
      <c r="F11070" t="s">
        <v>29372</v>
      </c>
      <c r="G11070" t="s">
        <v>29380</v>
      </c>
      <c r="H11070" t="s">
        <v>29389</v>
      </c>
      <c r="I11070" t="s">
        <v>10408</v>
      </c>
      <c r="J11070" t="s">
        <v>31307</v>
      </c>
      <c r="K11070" t="s">
        <v>38490</v>
      </c>
      <c r="M11070" t="s">
        <v>39141</v>
      </c>
      <c r="N11070" t="s">
        <v>42669</v>
      </c>
      <c r="O11070" t="s">
        <v>42670</v>
      </c>
      <c r="P11070">
        <v>0</v>
      </c>
      <c r="Q11070">
        <v>2</v>
      </c>
      <c r="R11070" t="s">
        <v>42685</v>
      </c>
      <c r="S11070" t="s">
        <v>43317</v>
      </c>
      <c r="T11070" t="s">
        <v>44364</v>
      </c>
      <c r="U11070" t="s">
        <v>53836</v>
      </c>
      <c r="W11070" t="s">
        <v>39141</v>
      </c>
      <c r="X11070" t="s">
        <v>42689</v>
      </c>
    </row>
    <row r="11071" spans="1:24">
      <c r="A11071">
        <f>HYPERLINK("https://www.philgeps.gov.ph/GEPSNONPILOT/Tender/SplashBidNoticeAbstractUI.aspx?menuIndex=3&amp;refID=7160329&amp;Result=3","7160329")</f>
        <v>0</v>
      </c>
      <c r="B11071" t="s">
        <v>772</v>
      </c>
      <c r="C11071" t="s">
        <v>14103</v>
      </c>
      <c r="D11071" t="s">
        <v>17187</v>
      </c>
      <c r="E11071" t="s">
        <v>26680</v>
      </c>
      <c r="F11071" t="s">
        <v>29372</v>
      </c>
      <c r="G11071" t="s">
        <v>29380</v>
      </c>
      <c r="H11071" t="s">
        <v>11048</v>
      </c>
      <c r="I11071" t="s">
        <v>14920</v>
      </c>
      <c r="J11071" t="s">
        <v>36532</v>
      </c>
      <c r="K11071" t="s">
        <v>38491</v>
      </c>
      <c r="M11071" t="s">
        <v>39556</v>
      </c>
      <c r="N11071" t="s">
        <v>42669</v>
      </c>
      <c r="O11071" t="s">
        <v>42670</v>
      </c>
      <c r="P11071">
        <v>0</v>
      </c>
      <c r="Q11071">
        <v>2</v>
      </c>
      <c r="R11071" t="s">
        <v>42685</v>
      </c>
      <c r="S11071" t="s">
        <v>43317</v>
      </c>
      <c r="T11071" t="s">
        <v>44401</v>
      </c>
      <c r="U11071" t="s">
        <v>53837</v>
      </c>
      <c r="W11071" t="s">
        <v>39556</v>
      </c>
      <c r="X11071" t="s">
        <v>42690</v>
      </c>
    </row>
    <row r="11072" spans="1:24">
      <c r="A11072">
        <f>HYPERLINK("https://www.philgeps.gov.ph/GEPSNONPILOT/Tender/SplashBidNoticeAbstractUI.aspx?menuIndex=3&amp;refID=7159787&amp;Result=3","7159787")</f>
        <v>0</v>
      </c>
      <c r="B11072" t="s">
        <v>196</v>
      </c>
      <c r="C11072" t="s">
        <v>14104</v>
      </c>
      <c r="D11072" t="s">
        <v>17166</v>
      </c>
      <c r="E11072" t="s">
        <v>26681</v>
      </c>
      <c r="F11072" t="s">
        <v>29372</v>
      </c>
      <c r="G11072" t="s">
        <v>29380</v>
      </c>
      <c r="H11072" t="s">
        <v>11048</v>
      </c>
      <c r="I11072" t="s">
        <v>29433</v>
      </c>
      <c r="J11072" t="s">
        <v>36533</v>
      </c>
      <c r="K11072" t="s">
        <v>38510</v>
      </c>
      <c r="M11072" t="s">
        <v>38953</v>
      </c>
      <c r="N11072" t="s">
        <v>42669</v>
      </c>
      <c r="O11072" t="s">
        <v>42670</v>
      </c>
      <c r="P11072">
        <v>0</v>
      </c>
      <c r="Q11072">
        <v>18</v>
      </c>
      <c r="R11072" t="s">
        <v>42685</v>
      </c>
      <c r="S11072" t="s">
        <v>43317</v>
      </c>
      <c r="T11072" t="s">
        <v>44527</v>
      </c>
      <c r="U11072" t="s">
        <v>53838</v>
      </c>
      <c r="W11072" t="s">
        <v>58083</v>
      </c>
      <c r="X11072" t="s">
        <v>42690</v>
      </c>
    </row>
    <row r="11073" spans="1:24">
      <c r="A11073">
        <f>HYPERLINK("https://www.philgeps.gov.ph/GEPSNONPILOT/Tender/SplashBidNoticeAbstractUI.aspx?menuIndex=3&amp;refID=7163773&amp;Result=3","7163773")</f>
        <v>0</v>
      </c>
      <c r="B11073" t="s">
        <v>3113</v>
      </c>
      <c r="C11073" t="s">
        <v>14105</v>
      </c>
      <c r="D11073" t="s">
        <v>17161</v>
      </c>
      <c r="E11073" t="s">
        <v>20975</v>
      </c>
      <c r="F11073" t="s">
        <v>29372</v>
      </c>
      <c r="G11073" t="s">
        <v>29380</v>
      </c>
      <c r="H11073" t="s">
        <v>29389</v>
      </c>
      <c r="I11073" t="s">
        <v>10408</v>
      </c>
      <c r="J11073" t="s">
        <v>29543</v>
      </c>
      <c r="K11073" t="s">
        <v>38495</v>
      </c>
      <c r="M11073" t="s">
        <v>42156</v>
      </c>
      <c r="N11073" t="s">
        <v>42669</v>
      </c>
      <c r="O11073" t="s">
        <v>42670</v>
      </c>
      <c r="P11073">
        <v>0</v>
      </c>
      <c r="Q11073">
        <v>1</v>
      </c>
      <c r="R11073" t="s">
        <v>42685</v>
      </c>
      <c r="S11073" t="s">
        <v>43317</v>
      </c>
      <c r="T11073" t="s">
        <v>44412</v>
      </c>
      <c r="U11073" t="s">
        <v>53839</v>
      </c>
      <c r="W11073" t="s">
        <v>42156</v>
      </c>
      <c r="X11073" t="s">
        <v>42689</v>
      </c>
    </row>
    <row r="11074" spans="1:24">
      <c r="A11074">
        <f>HYPERLINK("https://www.philgeps.gov.ph/GEPSNONPILOT/Tender/SplashBidNoticeAbstractUI.aspx?menuIndex=3&amp;refID=7157945&amp;Result=3","7157945")</f>
        <v>0</v>
      </c>
      <c r="B11074" t="s">
        <v>2064</v>
      </c>
      <c r="C11074" t="s">
        <v>14106</v>
      </c>
      <c r="D11074" t="s">
        <v>17207</v>
      </c>
      <c r="E11074" t="s">
        <v>26682</v>
      </c>
      <c r="F11074" t="s">
        <v>29372</v>
      </c>
      <c r="G11074" t="s">
        <v>29380</v>
      </c>
      <c r="H11074" t="s">
        <v>29389</v>
      </c>
      <c r="I11074" t="s">
        <v>10408</v>
      </c>
      <c r="J11074" t="s">
        <v>29604</v>
      </c>
      <c r="K11074" t="s">
        <v>38518</v>
      </c>
      <c r="M11074" t="s">
        <v>40962</v>
      </c>
      <c r="N11074" t="s">
        <v>42669</v>
      </c>
      <c r="O11074" t="s">
        <v>42670</v>
      </c>
      <c r="P11074">
        <v>0</v>
      </c>
      <c r="Q11074">
        <v>0</v>
      </c>
      <c r="R11074" t="s">
        <v>42685</v>
      </c>
      <c r="S11074" t="s">
        <v>43317</v>
      </c>
      <c r="T11074" t="s">
        <v>44804</v>
      </c>
      <c r="U11074" t="s">
        <v>53840</v>
      </c>
      <c r="W11074" t="s">
        <v>40962</v>
      </c>
      <c r="X11074" t="s">
        <v>42691</v>
      </c>
    </row>
    <row r="11075" spans="1:24">
      <c r="A11075">
        <f>HYPERLINK("https://www.philgeps.gov.ph/GEPSNONPILOT/Tender/SplashBidNoticeAbstractUI.aspx?menuIndex=3&amp;refID=7163849&amp;Result=3","7163849")</f>
        <v>0</v>
      </c>
      <c r="B11075" t="s">
        <v>3113</v>
      </c>
      <c r="C11075" t="s">
        <v>14107</v>
      </c>
      <c r="D11075" t="s">
        <v>17161</v>
      </c>
      <c r="E11075" t="s">
        <v>21022</v>
      </c>
      <c r="F11075" t="s">
        <v>29372</v>
      </c>
      <c r="G11075" t="s">
        <v>29380</v>
      </c>
      <c r="H11075" t="s">
        <v>29389</v>
      </c>
      <c r="I11075" t="s">
        <v>10408</v>
      </c>
      <c r="J11075" t="s">
        <v>29590</v>
      </c>
      <c r="K11075" t="s">
        <v>38487</v>
      </c>
      <c r="M11075" t="s">
        <v>42156</v>
      </c>
      <c r="N11075" t="s">
        <v>42669</v>
      </c>
      <c r="O11075" t="s">
        <v>42670</v>
      </c>
      <c r="P11075">
        <v>0</v>
      </c>
      <c r="Q11075">
        <v>1</v>
      </c>
      <c r="R11075" t="s">
        <v>42685</v>
      </c>
      <c r="S11075" t="s">
        <v>43317</v>
      </c>
      <c r="T11075" t="s">
        <v>44412</v>
      </c>
      <c r="U11075" t="s">
        <v>53841</v>
      </c>
      <c r="W11075" t="s">
        <v>42156</v>
      </c>
      <c r="X11075" t="s">
        <v>42689</v>
      </c>
    </row>
    <row r="11076" spans="1:24">
      <c r="A11076">
        <f>HYPERLINK("https://www.philgeps.gov.ph/GEPSNONPILOT/Tender/SplashBidNoticeAbstractUI.aspx?menuIndex=3&amp;refID=7163517&amp;Result=3","7163517")</f>
        <v>0</v>
      </c>
      <c r="B11076" t="s">
        <v>2388</v>
      </c>
      <c r="C11076" t="s">
        <v>14108</v>
      </c>
      <c r="D11076" t="s">
        <v>17185</v>
      </c>
      <c r="E11076" t="s">
        <v>26683</v>
      </c>
      <c r="F11076" t="s">
        <v>29372</v>
      </c>
      <c r="G11076" t="s">
        <v>29380</v>
      </c>
      <c r="H11076" t="s">
        <v>29390</v>
      </c>
      <c r="I11076" t="s">
        <v>29439</v>
      </c>
      <c r="J11076" t="s">
        <v>36534</v>
      </c>
      <c r="K11076" t="s">
        <v>38496</v>
      </c>
      <c r="M11076" t="s">
        <v>41333</v>
      </c>
      <c r="N11076" t="s">
        <v>42669</v>
      </c>
      <c r="O11076" t="s">
        <v>42670</v>
      </c>
      <c r="Q11076">
        <v>3</v>
      </c>
      <c r="R11076" t="s">
        <v>42685</v>
      </c>
      <c r="S11076" t="s">
        <v>43140</v>
      </c>
      <c r="T11076" t="s">
        <v>44373</v>
      </c>
      <c r="U11076" t="s">
        <v>53842</v>
      </c>
      <c r="V11076" t="s">
        <v>57593</v>
      </c>
      <c r="W11076" t="s">
        <v>41333</v>
      </c>
      <c r="X11076" t="s">
        <v>42689</v>
      </c>
    </row>
    <row r="11077" spans="1:24">
      <c r="A11077">
        <f>HYPERLINK("https://www.philgeps.gov.ph/GEPSNONPILOT/Tender/SplashBidNoticeAbstractUI.aspx?menuIndex=3&amp;refID=7158702&amp;Result=3","7158702")</f>
        <v>0</v>
      </c>
      <c r="B11077" t="s">
        <v>3112</v>
      </c>
      <c r="C11077" t="s">
        <v>14109</v>
      </c>
      <c r="D11077" t="s">
        <v>17174</v>
      </c>
      <c r="E11077" t="s">
        <v>26684</v>
      </c>
      <c r="F11077" t="s">
        <v>29372</v>
      </c>
      <c r="G11077" t="s">
        <v>29380</v>
      </c>
      <c r="H11077" t="s">
        <v>11048</v>
      </c>
      <c r="I11077" t="s">
        <v>29415</v>
      </c>
      <c r="J11077" t="s">
        <v>29785</v>
      </c>
      <c r="K11077" t="s">
        <v>38522</v>
      </c>
      <c r="M11077" t="s">
        <v>42155</v>
      </c>
      <c r="N11077" t="s">
        <v>42669</v>
      </c>
      <c r="O11077" t="s">
        <v>42670</v>
      </c>
      <c r="Q11077">
        <v>18</v>
      </c>
      <c r="R11077" t="s">
        <v>42685</v>
      </c>
      <c r="S11077" t="s">
        <v>43325</v>
      </c>
      <c r="T11077" t="s">
        <v>44368</v>
      </c>
      <c r="U11077" t="s">
        <v>53826</v>
      </c>
      <c r="V11077" t="s">
        <v>53826</v>
      </c>
      <c r="W11077" t="s">
        <v>42155</v>
      </c>
      <c r="X11077" t="s">
        <v>42690</v>
      </c>
    </row>
    <row r="11078" spans="1:24">
      <c r="A11078">
        <f>HYPERLINK("https://www.philgeps.gov.ph/GEPSNONPILOT/Tender/SplashBidNoticeAbstractUI.aspx?menuIndex=3&amp;refID=7163729&amp;Result=3","7163729")</f>
        <v>0</v>
      </c>
      <c r="B11078" t="s">
        <v>3113</v>
      </c>
      <c r="C11078" t="s">
        <v>14110</v>
      </c>
      <c r="D11078" t="s">
        <v>17161</v>
      </c>
      <c r="E11078" t="s">
        <v>20988</v>
      </c>
      <c r="F11078" t="s">
        <v>29372</v>
      </c>
      <c r="G11078" t="s">
        <v>29380</v>
      </c>
      <c r="H11078" t="s">
        <v>29389</v>
      </c>
      <c r="I11078" t="s">
        <v>10408</v>
      </c>
      <c r="J11078" t="s">
        <v>29543</v>
      </c>
      <c r="K11078" t="s">
        <v>38495</v>
      </c>
      <c r="M11078" t="s">
        <v>42156</v>
      </c>
      <c r="N11078" t="s">
        <v>42669</v>
      </c>
      <c r="O11078" t="s">
        <v>42670</v>
      </c>
      <c r="P11078">
        <v>0</v>
      </c>
      <c r="Q11078">
        <v>1</v>
      </c>
      <c r="R11078" t="s">
        <v>42685</v>
      </c>
      <c r="S11078" t="s">
        <v>43317</v>
      </c>
      <c r="T11078" t="s">
        <v>44412</v>
      </c>
      <c r="U11078" t="s">
        <v>53843</v>
      </c>
      <c r="W11078" t="s">
        <v>42156</v>
      </c>
      <c r="X11078" t="s">
        <v>42689</v>
      </c>
    </row>
    <row r="11079" spans="1:24">
      <c r="A11079">
        <f>HYPERLINK("https://www.philgeps.gov.ph/GEPSNONPILOT/Tender/SplashBidNoticeAbstractUI.aspx?menuIndex=3&amp;refID=7109594&amp;Result=3","7109594")</f>
        <v>0</v>
      </c>
      <c r="B11079" t="s">
        <v>2998</v>
      </c>
      <c r="C11079" t="s">
        <v>14111</v>
      </c>
      <c r="E11079" t="s">
        <v>26122</v>
      </c>
      <c r="F11079" t="s">
        <v>29372</v>
      </c>
      <c r="G11079" t="s">
        <v>29380</v>
      </c>
      <c r="H11079" t="s">
        <v>11048</v>
      </c>
      <c r="I11079" t="s">
        <v>29414</v>
      </c>
      <c r="J11079" t="s">
        <v>29788</v>
      </c>
      <c r="K11079" t="s">
        <v>38496</v>
      </c>
      <c r="M11079" t="s">
        <v>42017</v>
      </c>
      <c r="N11079" t="s">
        <v>42669</v>
      </c>
      <c r="O11079" t="s">
        <v>42670</v>
      </c>
      <c r="P11079">
        <v>0</v>
      </c>
      <c r="Q11079">
        <v>25</v>
      </c>
      <c r="R11079" t="s">
        <v>42685</v>
      </c>
      <c r="S11079" t="s">
        <v>43317</v>
      </c>
      <c r="T11079" t="s">
        <v>44517</v>
      </c>
      <c r="U11079" t="s">
        <v>53270</v>
      </c>
      <c r="V11079" t="s">
        <v>57590</v>
      </c>
      <c r="W11079" t="s">
        <v>42017</v>
      </c>
      <c r="X11079" t="s">
        <v>42711</v>
      </c>
    </row>
    <row r="11080" spans="1:24">
      <c r="A11080">
        <f>HYPERLINK("https://www.philgeps.gov.ph/GEPSNONPILOT/Tender/SplashBidNoticeAbstractUI.aspx?menuIndex=3&amp;refID=7162519&amp;Result=3","7162519")</f>
        <v>0</v>
      </c>
      <c r="B11080" t="s">
        <v>60</v>
      </c>
      <c r="C11080" t="s">
        <v>14112</v>
      </c>
      <c r="E11080" t="s">
        <v>26685</v>
      </c>
      <c r="F11080" t="s">
        <v>29372</v>
      </c>
      <c r="G11080" t="s">
        <v>29380</v>
      </c>
      <c r="H11080" t="s">
        <v>11048</v>
      </c>
      <c r="I11080" t="s">
        <v>29433</v>
      </c>
      <c r="J11080" t="s">
        <v>31951</v>
      </c>
      <c r="K11080" t="s">
        <v>38490</v>
      </c>
      <c r="M11080" t="s">
        <v>40105</v>
      </c>
      <c r="N11080" t="s">
        <v>42669</v>
      </c>
      <c r="O11080" t="s">
        <v>42670</v>
      </c>
      <c r="P11080">
        <v>0</v>
      </c>
      <c r="Q11080">
        <v>7</v>
      </c>
      <c r="R11080" t="s">
        <v>42685</v>
      </c>
      <c r="S11080" t="s">
        <v>43317</v>
      </c>
      <c r="T11080" t="s">
        <v>44375</v>
      </c>
      <c r="U11080" t="s">
        <v>53844</v>
      </c>
      <c r="W11080" t="s">
        <v>40105</v>
      </c>
      <c r="X11080" t="s">
        <v>42689</v>
      </c>
    </row>
    <row r="11081" spans="1:24">
      <c r="A11081">
        <f>HYPERLINK("https://www.philgeps.gov.ph/GEPSNONPILOT/Tender/SplashBidNoticeAbstractUI.aspx?menuIndex=3&amp;refID=7163809&amp;Result=3","7163809")</f>
        <v>0</v>
      </c>
      <c r="B11081" t="s">
        <v>3113</v>
      </c>
      <c r="C11081" t="s">
        <v>14113</v>
      </c>
      <c r="D11081" t="s">
        <v>17161</v>
      </c>
      <c r="E11081" t="s">
        <v>21003</v>
      </c>
      <c r="F11081" t="s">
        <v>29372</v>
      </c>
      <c r="G11081" t="s">
        <v>29380</v>
      </c>
      <c r="H11081" t="s">
        <v>29389</v>
      </c>
      <c r="I11081" t="s">
        <v>10408</v>
      </c>
      <c r="J11081" t="s">
        <v>29543</v>
      </c>
      <c r="K11081" t="s">
        <v>38495</v>
      </c>
      <c r="M11081" t="s">
        <v>42156</v>
      </c>
      <c r="N11081" t="s">
        <v>42669</v>
      </c>
      <c r="O11081" t="s">
        <v>42670</v>
      </c>
      <c r="P11081">
        <v>0</v>
      </c>
      <c r="Q11081">
        <v>2</v>
      </c>
      <c r="R11081" t="s">
        <v>42685</v>
      </c>
      <c r="S11081" t="s">
        <v>43317</v>
      </c>
      <c r="T11081" t="s">
        <v>44412</v>
      </c>
      <c r="U11081" t="s">
        <v>53845</v>
      </c>
      <c r="W11081" t="s">
        <v>42156</v>
      </c>
      <c r="X11081" t="s">
        <v>42689</v>
      </c>
    </row>
    <row r="11082" spans="1:24">
      <c r="A11082">
        <f>HYPERLINK("https://www.philgeps.gov.ph/GEPSNONPILOT/Tender/SplashBidNoticeAbstractUI.aspx?menuIndex=3&amp;refID=7162480&amp;Result=3","7162480")</f>
        <v>0</v>
      </c>
      <c r="B11082" t="s">
        <v>60</v>
      </c>
      <c r="C11082" t="s">
        <v>14114</v>
      </c>
      <c r="E11082" t="s">
        <v>26686</v>
      </c>
      <c r="F11082" t="s">
        <v>29372</v>
      </c>
      <c r="G11082" t="s">
        <v>29380</v>
      </c>
      <c r="H11082" t="s">
        <v>11048</v>
      </c>
      <c r="I11082" t="s">
        <v>29433</v>
      </c>
      <c r="J11082" t="s">
        <v>36535</v>
      </c>
      <c r="K11082" t="s">
        <v>38490</v>
      </c>
      <c r="M11082" t="s">
        <v>40105</v>
      </c>
      <c r="N11082" t="s">
        <v>42669</v>
      </c>
      <c r="O11082" t="s">
        <v>42670</v>
      </c>
      <c r="P11082">
        <v>0</v>
      </c>
      <c r="Q11082">
        <v>5</v>
      </c>
      <c r="R11082" t="s">
        <v>42685</v>
      </c>
      <c r="S11082" t="s">
        <v>43317</v>
      </c>
      <c r="T11082" t="s">
        <v>44375</v>
      </c>
      <c r="U11082" t="s">
        <v>53846</v>
      </c>
      <c r="W11082" t="s">
        <v>40105</v>
      </c>
      <c r="X11082" t="s">
        <v>42689</v>
      </c>
    </row>
    <row r="11083" spans="1:24">
      <c r="A11083">
        <f>HYPERLINK("https://www.philgeps.gov.ph/GEPSNONPILOT/Tender/SplashBidNoticeAbstractUI.aspx?menuIndex=3&amp;refID=7162468&amp;Result=3","7162468")</f>
        <v>0</v>
      </c>
      <c r="B11083" t="s">
        <v>60</v>
      </c>
      <c r="C11083" t="s">
        <v>14115</v>
      </c>
      <c r="E11083" t="s">
        <v>26687</v>
      </c>
      <c r="F11083" t="s">
        <v>29372</v>
      </c>
      <c r="G11083" t="s">
        <v>29380</v>
      </c>
      <c r="H11083" t="s">
        <v>11048</v>
      </c>
      <c r="I11083" t="s">
        <v>29433</v>
      </c>
      <c r="J11083" t="s">
        <v>36536</v>
      </c>
      <c r="K11083" t="s">
        <v>38490</v>
      </c>
      <c r="M11083" t="s">
        <v>40105</v>
      </c>
      <c r="N11083" t="s">
        <v>42669</v>
      </c>
      <c r="O11083" t="s">
        <v>42670</v>
      </c>
      <c r="P11083">
        <v>0</v>
      </c>
      <c r="Q11083">
        <v>4</v>
      </c>
      <c r="R11083" t="s">
        <v>42685</v>
      </c>
      <c r="S11083" t="s">
        <v>43317</v>
      </c>
      <c r="T11083" t="s">
        <v>44375</v>
      </c>
      <c r="U11083" t="s">
        <v>53847</v>
      </c>
      <c r="W11083" t="s">
        <v>40105</v>
      </c>
      <c r="X11083" t="s">
        <v>42689</v>
      </c>
    </row>
    <row r="11084" spans="1:24">
      <c r="A11084">
        <f>HYPERLINK("https://www.philgeps.gov.ph/GEPSNONPILOT/Tender/SplashBidNoticeAbstractUI.aspx?menuIndex=3&amp;refID=7162443&amp;Result=3","7162443")</f>
        <v>0</v>
      </c>
      <c r="B11084" t="s">
        <v>60</v>
      </c>
      <c r="C11084" t="s">
        <v>14116</v>
      </c>
      <c r="E11084" t="s">
        <v>26688</v>
      </c>
      <c r="F11084" t="s">
        <v>29372</v>
      </c>
      <c r="G11084" t="s">
        <v>29380</v>
      </c>
      <c r="H11084" t="s">
        <v>11048</v>
      </c>
      <c r="I11084" t="s">
        <v>29433</v>
      </c>
      <c r="J11084" t="s">
        <v>36537</v>
      </c>
      <c r="K11084" t="s">
        <v>38490</v>
      </c>
      <c r="M11084" t="s">
        <v>40105</v>
      </c>
      <c r="N11084" t="s">
        <v>42669</v>
      </c>
      <c r="O11084" t="s">
        <v>42670</v>
      </c>
      <c r="P11084">
        <v>0</v>
      </c>
      <c r="Q11084">
        <v>12</v>
      </c>
      <c r="R11084" t="s">
        <v>42685</v>
      </c>
      <c r="S11084" t="s">
        <v>43317</v>
      </c>
      <c r="T11084" t="s">
        <v>44375</v>
      </c>
      <c r="U11084" t="s">
        <v>53848</v>
      </c>
      <c r="W11084" t="s">
        <v>40105</v>
      </c>
      <c r="X11084" t="s">
        <v>42689</v>
      </c>
    </row>
    <row r="11085" spans="1:24">
      <c r="A11085">
        <f>HYPERLINK("https://www.philgeps.gov.ph/GEPSNONPILOT/Tender/SplashBidNoticeAbstractUI.aspx?menuIndex=3&amp;refID=7162420&amp;Result=3","7162420")</f>
        <v>0</v>
      </c>
      <c r="B11085" t="s">
        <v>60</v>
      </c>
      <c r="C11085" t="s">
        <v>14117</v>
      </c>
      <c r="E11085" t="s">
        <v>26689</v>
      </c>
      <c r="F11085" t="s">
        <v>29372</v>
      </c>
      <c r="G11085" t="s">
        <v>29380</v>
      </c>
      <c r="H11085" t="s">
        <v>11048</v>
      </c>
      <c r="I11085" t="s">
        <v>29414</v>
      </c>
      <c r="J11085" t="s">
        <v>36538</v>
      </c>
      <c r="K11085" t="s">
        <v>38490</v>
      </c>
      <c r="M11085" t="s">
        <v>40105</v>
      </c>
      <c r="N11085" t="s">
        <v>42669</v>
      </c>
      <c r="O11085" t="s">
        <v>42670</v>
      </c>
      <c r="P11085">
        <v>0</v>
      </c>
      <c r="Q11085">
        <v>37</v>
      </c>
      <c r="R11085" t="s">
        <v>42685</v>
      </c>
      <c r="S11085" t="s">
        <v>43317</v>
      </c>
      <c r="T11085" t="s">
        <v>44375</v>
      </c>
      <c r="U11085" t="s">
        <v>53849</v>
      </c>
      <c r="W11085" t="s">
        <v>40105</v>
      </c>
      <c r="X11085" t="s">
        <v>42689</v>
      </c>
    </row>
    <row r="11086" spans="1:24">
      <c r="A11086">
        <f>HYPERLINK("https://www.philgeps.gov.ph/GEPSNONPILOT/Tender/SplashBidNoticeAbstractUI.aspx?menuIndex=3&amp;refID=7162033&amp;Result=3","7162033")</f>
        <v>0</v>
      </c>
      <c r="B11086" t="s">
        <v>677</v>
      </c>
      <c r="C11086" t="s">
        <v>14118</v>
      </c>
      <c r="D11086" t="s">
        <v>17221</v>
      </c>
      <c r="E11086" t="s">
        <v>26690</v>
      </c>
      <c r="F11086" t="s">
        <v>29372</v>
      </c>
      <c r="G11086" t="s">
        <v>29380</v>
      </c>
      <c r="H11086" t="s">
        <v>29389</v>
      </c>
      <c r="I11086" t="s">
        <v>10408</v>
      </c>
      <c r="J11086" t="s">
        <v>29829</v>
      </c>
      <c r="K11086" t="s">
        <v>38495</v>
      </c>
      <c r="M11086" t="s">
        <v>39453</v>
      </c>
      <c r="N11086" t="s">
        <v>42669</v>
      </c>
      <c r="O11086" t="s">
        <v>42670</v>
      </c>
      <c r="Q11086">
        <v>2</v>
      </c>
      <c r="R11086" t="s">
        <v>42685</v>
      </c>
      <c r="S11086" t="s">
        <v>43326</v>
      </c>
      <c r="T11086" t="s">
        <v>44397</v>
      </c>
      <c r="U11086" t="s">
        <v>53850</v>
      </c>
      <c r="V11086" t="s">
        <v>57594</v>
      </c>
      <c r="W11086" t="s">
        <v>58019</v>
      </c>
      <c r="X11086" t="s">
        <v>42689</v>
      </c>
    </row>
    <row r="11087" spans="1:24">
      <c r="A11087">
        <f>HYPERLINK("https://www.philgeps.gov.ph/GEPSNONPILOT/Tender/SplashBidNoticeAbstractUI.aspx?menuIndex=3&amp;refID=7162505&amp;Result=3","7162505")</f>
        <v>0</v>
      </c>
      <c r="B11087" t="s">
        <v>60</v>
      </c>
      <c r="C11087" t="s">
        <v>14119</v>
      </c>
      <c r="E11087" t="s">
        <v>26691</v>
      </c>
      <c r="F11087" t="s">
        <v>29372</v>
      </c>
      <c r="G11087" t="s">
        <v>29380</v>
      </c>
      <c r="H11087" t="s">
        <v>11048</v>
      </c>
      <c r="I11087" t="s">
        <v>29433</v>
      </c>
      <c r="J11087" t="s">
        <v>36539</v>
      </c>
      <c r="K11087" t="s">
        <v>38490</v>
      </c>
      <c r="M11087" t="s">
        <v>40105</v>
      </c>
      <c r="N11087" t="s">
        <v>42669</v>
      </c>
      <c r="O11087" t="s">
        <v>42670</v>
      </c>
      <c r="P11087">
        <v>0</v>
      </c>
      <c r="Q11087">
        <v>6</v>
      </c>
      <c r="R11087" t="s">
        <v>42685</v>
      </c>
      <c r="S11087" t="s">
        <v>43317</v>
      </c>
      <c r="T11087" t="s">
        <v>44375</v>
      </c>
      <c r="U11087" t="s">
        <v>53851</v>
      </c>
      <c r="W11087" t="s">
        <v>40105</v>
      </c>
      <c r="X11087" t="s">
        <v>42689</v>
      </c>
    </row>
    <row r="11088" spans="1:24">
      <c r="A11088">
        <f>HYPERLINK("https://www.philgeps.gov.ph/GEPSNONPILOT/Tender/SplashBidNoticeAbstractUI.aspx?menuIndex=3&amp;refID=7165042&amp;Result=3","7165042")</f>
        <v>0</v>
      </c>
      <c r="B11088" t="s">
        <v>689</v>
      </c>
      <c r="C11088" t="s">
        <v>14120</v>
      </c>
      <c r="D11088" t="s">
        <v>17216</v>
      </c>
      <c r="E11088" t="s">
        <v>26692</v>
      </c>
      <c r="F11088" t="s">
        <v>29372</v>
      </c>
      <c r="G11088" t="s">
        <v>29380</v>
      </c>
      <c r="H11088" t="s">
        <v>29389</v>
      </c>
      <c r="I11088" t="s">
        <v>10408</v>
      </c>
      <c r="J11088" t="s">
        <v>29543</v>
      </c>
      <c r="K11088" t="s">
        <v>38496</v>
      </c>
      <c r="M11088" t="s">
        <v>39465</v>
      </c>
      <c r="N11088" t="s">
        <v>42669</v>
      </c>
      <c r="O11088" t="s">
        <v>42670</v>
      </c>
      <c r="P11088">
        <v>0</v>
      </c>
      <c r="Q11088">
        <v>1</v>
      </c>
      <c r="R11088" t="s">
        <v>42685</v>
      </c>
      <c r="S11088" t="s">
        <v>43317</v>
      </c>
      <c r="T11088" t="s">
        <v>44412</v>
      </c>
      <c r="U11088" t="s">
        <v>53852</v>
      </c>
      <c r="W11088" t="s">
        <v>39465</v>
      </c>
      <c r="X11088" t="s">
        <v>42686</v>
      </c>
    </row>
    <row r="11089" spans="1:24">
      <c r="A11089">
        <f>HYPERLINK("https://www.philgeps.gov.ph/GEPSNONPILOT/Tender/SplashBidNoticeAbstractUI.aspx?menuIndex=3&amp;refID=7163485&amp;Result=3","7163485")</f>
        <v>0</v>
      </c>
      <c r="B11089" t="s">
        <v>2388</v>
      </c>
      <c r="C11089" t="s">
        <v>14121</v>
      </c>
      <c r="D11089" t="s">
        <v>17185</v>
      </c>
      <c r="E11089" t="s">
        <v>26683</v>
      </c>
      <c r="F11089" t="s">
        <v>29372</v>
      </c>
      <c r="G11089" t="s">
        <v>29380</v>
      </c>
      <c r="H11089" t="s">
        <v>11048</v>
      </c>
      <c r="I11089" t="s">
        <v>29405</v>
      </c>
      <c r="J11089" t="s">
        <v>32405</v>
      </c>
      <c r="K11089" t="s">
        <v>38485</v>
      </c>
      <c r="M11089" t="s">
        <v>41333</v>
      </c>
      <c r="N11089" t="s">
        <v>42669</v>
      </c>
      <c r="O11089" t="s">
        <v>42670</v>
      </c>
      <c r="Q11089">
        <v>12</v>
      </c>
      <c r="R11089" t="s">
        <v>42685</v>
      </c>
      <c r="S11089" t="s">
        <v>43327</v>
      </c>
      <c r="T11089" t="s">
        <v>44373</v>
      </c>
      <c r="U11089" t="s">
        <v>53853</v>
      </c>
      <c r="V11089" t="s">
        <v>57595</v>
      </c>
      <c r="W11089" t="s">
        <v>41333</v>
      </c>
      <c r="X11089" t="s">
        <v>42689</v>
      </c>
    </row>
    <row r="11090" spans="1:24">
      <c r="A11090">
        <f>HYPERLINK("https://www.philgeps.gov.ph/GEPSNONPILOT/Tender/SplashBidNoticeAbstractUI.aspx?menuIndex=3&amp;refID=7162493&amp;Result=3","7162493")</f>
        <v>0</v>
      </c>
      <c r="B11090" t="s">
        <v>60</v>
      </c>
      <c r="C11090" t="s">
        <v>14122</v>
      </c>
      <c r="E11090" t="s">
        <v>26693</v>
      </c>
      <c r="F11090" t="s">
        <v>29372</v>
      </c>
      <c r="G11090" t="s">
        <v>29380</v>
      </c>
      <c r="H11090" t="s">
        <v>11048</v>
      </c>
      <c r="I11090" t="s">
        <v>29433</v>
      </c>
      <c r="J11090" t="s">
        <v>36540</v>
      </c>
      <c r="K11090" t="s">
        <v>38490</v>
      </c>
      <c r="M11090" t="s">
        <v>40105</v>
      </c>
      <c r="N11090" t="s">
        <v>42669</v>
      </c>
      <c r="O11090" t="s">
        <v>42670</v>
      </c>
      <c r="P11090">
        <v>0</v>
      </c>
      <c r="Q11090">
        <v>4</v>
      </c>
      <c r="R11090" t="s">
        <v>42685</v>
      </c>
      <c r="S11090" t="s">
        <v>43317</v>
      </c>
      <c r="T11090" t="s">
        <v>44375</v>
      </c>
      <c r="U11090" t="s">
        <v>53854</v>
      </c>
      <c r="W11090" t="s">
        <v>40105</v>
      </c>
      <c r="X11090" t="s">
        <v>42689</v>
      </c>
    </row>
    <row r="11091" spans="1:24">
      <c r="A11091">
        <f>HYPERLINK("https://www.philgeps.gov.ph/GEPSNONPILOT/Tender/SplashBidNoticeAbstractUI.aspx?menuIndex=3&amp;refID=7165040&amp;Result=3","7165040")</f>
        <v>0</v>
      </c>
      <c r="B11091" t="s">
        <v>2388</v>
      </c>
      <c r="C11091" t="s">
        <v>14123</v>
      </c>
      <c r="D11091" t="s">
        <v>17185</v>
      </c>
      <c r="E11091" t="s">
        <v>26683</v>
      </c>
      <c r="F11091" t="s">
        <v>29372</v>
      </c>
      <c r="G11091" t="s">
        <v>29380</v>
      </c>
      <c r="H11091" t="s">
        <v>29390</v>
      </c>
      <c r="I11091" t="s">
        <v>29399</v>
      </c>
      <c r="J11091" t="s">
        <v>36541</v>
      </c>
      <c r="K11091" t="s">
        <v>38496</v>
      </c>
      <c r="M11091" t="s">
        <v>41333</v>
      </c>
      <c r="N11091" t="s">
        <v>42669</v>
      </c>
      <c r="O11091" t="s">
        <v>42670</v>
      </c>
      <c r="Q11091">
        <v>2</v>
      </c>
      <c r="R11091" t="s">
        <v>42685</v>
      </c>
      <c r="S11091" t="s">
        <v>43328</v>
      </c>
      <c r="T11091" t="s">
        <v>44373</v>
      </c>
      <c r="U11091" t="s">
        <v>53855</v>
      </c>
      <c r="V11091" t="s">
        <v>57596</v>
      </c>
      <c r="W11091" t="s">
        <v>41333</v>
      </c>
      <c r="X11091" t="s">
        <v>42686</v>
      </c>
    </row>
    <row r="11092" spans="1:24">
      <c r="A11092">
        <f>HYPERLINK("https://www.philgeps.gov.ph/GEPSNONPILOT/Tender/SplashBidNoticeAbstractUI.aspx?menuIndex=3&amp;refID=7164981&amp;Result=3","7164981")</f>
        <v>0</v>
      </c>
      <c r="B11092" t="s">
        <v>3114</v>
      </c>
      <c r="C11092" t="s">
        <v>14124</v>
      </c>
      <c r="D11092" t="s">
        <v>17146</v>
      </c>
      <c r="E11092" t="s">
        <v>23095</v>
      </c>
      <c r="F11092" t="s">
        <v>29372</v>
      </c>
      <c r="G11092" t="s">
        <v>29380</v>
      </c>
      <c r="H11092" t="s">
        <v>29389</v>
      </c>
      <c r="I11092" t="s">
        <v>4709</v>
      </c>
      <c r="J11092" t="s">
        <v>29625</v>
      </c>
      <c r="K11092" t="s">
        <v>38488</v>
      </c>
      <c r="M11092" t="s">
        <v>42157</v>
      </c>
      <c r="N11092" t="s">
        <v>42669</v>
      </c>
      <c r="O11092" t="s">
        <v>42670</v>
      </c>
      <c r="P11092">
        <v>0</v>
      </c>
      <c r="Q11092">
        <v>0</v>
      </c>
      <c r="R11092" t="s">
        <v>42685</v>
      </c>
      <c r="S11092" t="s">
        <v>43317</v>
      </c>
      <c r="T11092" t="s">
        <v>44488</v>
      </c>
      <c r="U11092" t="s">
        <v>53856</v>
      </c>
      <c r="W11092" t="s">
        <v>42157</v>
      </c>
      <c r="X11092" t="s">
        <v>42686</v>
      </c>
    </row>
    <row r="11093" spans="1:24">
      <c r="A11093">
        <f>HYPERLINK("https://www.philgeps.gov.ph/GEPSNONPILOT/Tender/SplashBidNoticeAbstractUI.aspx?menuIndex=3&amp;refID=7164980&amp;Result=3","7164980")</f>
        <v>0</v>
      </c>
      <c r="B11093" t="s">
        <v>3114</v>
      </c>
      <c r="C11093" t="s">
        <v>14125</v>
      </c>
      <c r="D11093" t="s">
        <v>17146</v>
      </c>
      <c r="E11093" t="s">
        <v>22738</v>
      </c>
      <c r="F11093" t="s">
        <v>29372</v>
      </c>
      <c r="G11093" t="s">
        <v>29380</v>
      </c>
      <c r="H11093" t="s">
        <v>29389</v>
      </c>
      <c r="I11093" t="s">
        <v>4709</v>
      </c>
      <c r="J11093" t="s">
        <v>29824</v>
      </c>
      <c r="K11093" t="s">
        <v>38488</v>
      </c>
      <c r="M11093" t="s">
        <v>42157</v>
      </c>
      <c r="N11093" t="s">
        <v>42669</v>
      </c>
      <c r="O11093" t="s">
        <v>42670</v>
      </c>
      <c r="P11093">
        <v>0</v>
      </c>
      <c r="Q11093">
        <v>0</v>
      </c>
      <c r="R11093" t="s">
        <v>42685</v>
      </c>
      <c r="S11093" t="s">
        <v>43317</v>
      </c>
      <c r="T11093" t="s">
        <v>44488</v>
      </c>
      <c r="U11093" t="s">
        <v>53856</v>
      </c>
      <c r="W11093" t="s">
        <v>42157</v>
      </c>
      <c r="X11093" t="s">
        <v>42686</v>
      </c>
    </row>
    <row r="11094" spans="1:24">
      <c r="A11094">
        <f>HYPERLINK("https://www.philgeps.gov.ph/GEPSNONPILOT/Tender/SplashBidNoticeAbstractUI.aspx?menuIndex=3&amp;refID=7164977&amp;Result=3","7164977")</f>
        <v>0</v>
      </c>
      <c r="B11094" t="s">
        <v>3115</v>
      </c>
      <c r="C11094" t="s">
        <v>14126</v>
      </c>
      <c r="D11094" t="s">
        <v>17193</v>
      </c>
      <c r="E11094" t="s">
        <v>26694</v>
      </c>
      <c r="F11094" t="s">
        <v>29372</v>
      </c>
      <c r="G11094" t="s">
        <v>29380</v>
      </c>
      <c r="H11094" t="s">
        <v>29389</v>
      </c>
      <c r="I11094" t="s">
        <v>10408</v>
      </c>
      <c r="J11094" t="s">
        <v>29728</v>
      </c>
      <c r="K11094" t="s">
        <v>38527</v>
      </c>
      <c r="M11094" t="s">
        <v>42158</v>
      </c>
      <c r="N11094" t="s">
        <v>42669</v>
      </c>
      <c r="O11094" t="s">
        <v>42670</v>
      </c>
      <c r="P11094">
        <v>0</v>
      </c>
      <c r="Q11094">
        <v>0</v>
      </c>
      <c r="R11094" t="s">
        <v>42685</v>
      </c>
      <c r="S11094" t="s">
        <v>43317</v>
      </c>
      <c r="T11094" t="s">
        <v>44470</v>
      </c>
      <c r="U11094" t="s">
        <v>53857</v>
      </c>
      <c r="V11094" t="s">
        <v>57597</v>
      </c>
      <c r="W11094" t="s">
        <v>58111</v>
      </c>
      <c r="X11094" t="s">
        <v>42686</v>
      </c>
    </row>
    <row r="11095" spans="1:24">
      <c r="A11095">
        <f>HYPERLINK("https://www.philgeps.gov.ph/GEPSNONPILOT/Tender/SplashBidNoticeAbstractUI.aspx?menuIndex=3&amp;refID=7158813&amp;Result=3","7158813")</f>
        <v>0</v>
      </c>
      <c r="B11095" t="s">
        <v>920</v>
      </c>
      <c r="C11095" t="s">
        <v>14127</v>
      </c>
      <c r="D11095" t="s">
        <v>17145</v>
      </c>
      <c r="E11095" t="s">
        <v>26695</v>
      </c>
      <c r="F11095" t="s">
        <v>29372</v>
      </c>
      <c r="G11095" t="s">
        <v>29380</v>
      </c>
      <c r="H11095" t="s">
        <v>29389</v>
      </c>
      <c r="I11095" t="s">
        <v>10408</v>
      </c>
      <c r="J11095" t="s">
        <v>29615</v>
      </c>
      <c r="K11095" t="s">
        <v>38485</v>
      </c>
      <c r="M11095" t="s">
        <v>39715</v>
      </c>
      <c r="N11095" t="s">
        <v>42669</v>
      </c>
      <c r="O11095" t="s">
        <v>42670</v>
      </c>
      <c r="P11095">
        <v>0</v>
      </c>
      <c r="Q11095">
        <v>7</v>
      </c>
      <c r="R11095" t="s">
        <v>42685</v>
      </c>
      <c r="S11095" t="s">
        <v>43317</v>
      </c>
      <c r="T11095" t="s">
        <v>44412</v>
      </c>
      <c r="U11095" t="s">
        <v>53858</v>
      </c>
      <c r="V11095" t="s">
        <v>57598</v>
      </c>
      <c r="W11095" t="s">
        <v>39715</v>
      </c>
      <c r="X11095" t="s">
        <v>42690</v>
      </c>
    </row>
    <row r="11096" spans="1:24">
      <c r="A11096">
        <f>HYPERLINK("https://www.philgeps.gov.ph/GEPSNONPILOT/Tender/SplashBidNoticeAbstractUI.aspx?menuIndex=3&amp;refID=7164976&amp;Result=3","7164976")</f>
        <v>0</v>
      </c>
      <c r="B11096" t="s">
        <v>3115</v>
      </c>
      <c r="C11096" t="s">
        <v>14128</v>
      </c>
      <c r="D11096" t="s">
        <v>17193</v>
      </c>
      <c r="E11096" t="s">
        <v>26696</v>
      </c>
      <c r="F11096" t="s">
        <v>29372</v>
      </c>
      <c r="G11096" t="s">
        <v>29380</v>
      </c>
      <c r="H11096" t="s">
        <v>29389</v>
      </c>
      <c r="I11096" t="s">
        <v>10408</v>
      </c>
      <c r="J11096" t="s">
        <v>29543</v>
      </c>
      <c r="K11096" t="s">
        <v>38577</v>
      </c>
      <c r="M11096" t="s">
        <v>42158</v>
      </c>
      <c r="N11096" t="s">
        <v>42669</v>
      </c>
      <c r="O11096" t="s">
        <v>42670</v>
      </c>
      <c r="P11096">
        <v>0</v>
      </c>
      <c r="Q11096">
        <v>0</v>
      </c>
      <c r="R11096" t="s">
        <v>42685</v>
      </c>
      <c r="S11096" t="s">
        <v>43317</v>
      </c>
      <c r="T11096" t="s">
        <v>44470</v>
      </c>
      <c r="U11096" t="s">
        <v>53859</v>
      </c>
      <c r="V11096" t="s">
        <v>57599</v>
      </c>
      <c r="W11096" t="s">
        <v>58111</v>
      </c>
      <c r="X11096" t="s">
        <v>42686</v>
      </c>
    </row>
    <row r="11097" spans="1:24">
      <c r="A11097">
        <f>HYPERLINK("https://www.philgeps.gov.ph/GEPSNONPILOT/Tender/SplashBidNoticeAbstractUI.aspx?menuIndex=3&amp;refID=7162453&amp;Result=3","7162453")</f>
        <v>0</v>
      </c>
      <c r="B11097" t="s">
        <v>60</v>
      </c>
      <c r="C11097" t="s">
        <v>14129</v>
      </c>
      <c r="E11097" t="s">
        <v>26697</v>
      </c>
      <c r="F11097" t="s">
        <v>29372</v>
      </c>
      <c r="G11097" t="s">
        <v>29380</v>
      </c>
      <c r="H11097" t="s">
        <v>11048</v>
      </c>
      <c r="I11097" t="s">
        <v>29433</v>
      </c>
      <c r="J11097" t="s">
        <v>36542</v>
      </c>
      <c r="K11097" t="s">
        <v>38490</v>
      </c>
      <c r="M11097" t="s">
        <v>40105</v>
      </c>
      <c r="N11097" t="s">
        <v>42669</v>
      </c>
      <c r="O11097" t="s">
        <v>42670</v>
      </c>
      <c r="P11097">
        <v>0</v>
      </c>
      <c r="Q11097">
        <v>9</v>
      </c>
      <c r="R11097" t="s">
        <v>42685</v>
      </c>
      <c r="S11097" t="s">
        <v>43317</v>
      </c>
      <c r="T11097" t="s">
        <v>44375</v>
      </c>
      <c r="U11097" t="s">
        <v>53860</v>
      </c>
      <c r="W11097" t="s">
        <v>40105</v>
      </c>
      <c r="X11097" t="s">
        <v>42689</v>
      </c>
    </row>
    <row r="11098" spans="1:24">
      <c r="A11098">
        <f>HYPERLINK("https://www.philgeps.gov.ph/GEPSNONPILOT/Tender/SplashBidNoticeAbstractUI.aspx?menuIndex=3&amp;refID=7162436&amp;Result=3","7162436")</f>
        <v>0</v>
      </c>
      <c r="B11098" t="s">
        <v>60</v>
      </c>
      <c r="C11098" t="s">
        <v>14130</v>
      </c>
      <c r="E11098" t="s">
        <v>26698</v>
      </c>
      <c r="F11098" t="s">
        <v>29372</v>
      </c>
      <c r="G11098" t="s">
        <v>29380</v>
      </c>
      <c r="H11098" t="s">
        <v>11048</v>
      </c>
      <c r="I11098" t="s">
        <v>29414</v>
      </c>
      <c r="J11098" t="s">
        <v>36543</v>
      </c>
      <c r="K11098" t="s">
        <v>38490</v>
      </c>
      <c r="M11098" t="s">
        <v>40105</v>
      </c>
      <c r="N11098" t="s">
        <v>42669</v>
      </c>
      <c r="O11098" t="s">
        <v>42670</v>
      </c>
      <c r="P11098">
        <v>0</v>
      </c>
      <c r="Q11098">
        <v>15</v>
      </c>
      <c r="R11098" t="s">
        <v>42685</v>
      </c>
      <c r="S11098" t="s">
        <v>43317</v>
      </c>
      <c r="T11098" t="s">
        <v>44375</v>
      </c>
      <c r="U11098" t="s">
        <v>53861</v>
      </c>
      <c r="W11098" t="s">
        <v>40105</v>
      </c>
      <c r="X11098" t="s">
        <v>42689</v>
      </c>
    </row>
    <row r="11099" spans="1:24">
      <c r="A11099">
        <f>HYPERLINK("https://www.philgeps.gov.ph/GEPSNONPILOT/Tender/SplashBidNoticeAbstractUI.aspx?menuIndex=3&amp;refID=7164723&amp;Result=3","7164723")</f>
        <v>0</v>
      </c>
      <c r="B11099" t="s">
        <v>3116</v>
      </c>
      <c r="C11099" t="s">
        <v>14131</v>
      </c>
      <c r="D11099" t="s">
        <v>17205</v>
      </c>
      <c r="E11099" t="s">
        <v>26554</v>
      </c>
      <c r="F11099" t="s">
        <v>29372</v>
      </c>
      <c r="G11099" t="s">
        <v>29380</v>
      </c>
      <c r="H11099" t="s">
        <v>29389</v>
      </c>
      <c r="I11099" t="s">
        <v>10408</v>
      </c>
      <c r="J11099" t="s">
        <v>29532</v>
      </c>
      <c r="K11099" t="s">
        <v>38485</v>
      </c>
      <c r="M11099" t="s">
        <v>42159</v>
      </c>
      <c r="N11099" t="s">
        <v>42669</v>
      </c>
      <c r="O11099" t="s">
        <v>42670</v>
      </c>
      <c r="P11099">
        <v>0</v>
      </c>
      <c r="Q11099">
        <v>2</v>
      </c>
      <c r="R11099" t="s">
        <v>42685</v>
      </c>
      <c r="S11099" t="s">
        <v>43317</v>
      </c>
      <c r="T11099" t="s">
        <v>44493</v>
      </c>
      <c r="U11099" t="s">
        <v>53862</v>
      </c>
      <c r="W11099" t="s">
        <v>42159</v>
      </c>
      <c r="X11099" t="s">
        <v>42687</v>
      </c>
    </row>
    <row r="11100" spans="1:24">
      <c r="A11100">
        <f>HYPERLINK("https://www.philgeps.gov.ph/GEPSNONPILOT/Tender/SplashBidNoticeAbstractUI.aspx?menuIndex=3&amp;refID=7164719&amp;Result=3","7164719")</f>
        <v>0</v>
      </c>
      <c r="B11100" t="s">
        <v>719</v>
      </c>
      <c r="C11100" t="s">
        <v>14132</v>
      </c>
      <c r="D11100" t="s">
        <v>17170</v>
      </c>
      <c r="E11100" t="s">
        <v>26699</v>
      </c>
      <c r="F11100" t="s">
        <v>29372</v>
      </c>
      <c r="G11100" t="s">
        <v>29380</v>
      </c>
      <c r="H11100" t="s">
        <v>11048</v>
      </c>
      <c r="I11100" t="s">
        <v>8614</v>
      </c>
      <c r="J11100" t="s">
        <v>36544</v>
      </c>
      <c r="K11100" t="s">
        <v>38487</v>
      </c>
      <c r="M11100" t="s">
        <v>39593</v>
      </c>
      <c r="N11100" t="s">
        <v>42669</v>
      </c>
      <c r="O11100" t="s">
        <v>42670</v>
      </c>
      <c r="Q11100">
        <v>13</v>
      </c>
      <c r="R11100" t="s">
        <v>42685</v>
      </c>
      <c r="S11100" t="s">
        <v>43329</v>
      </c>
      <c r="T11100" t="s">
        <v>44409</v>
      </c>
      <c r="U11100" t="s">
        <v>53863</v>
      </c>
      <c r="W11100" t="s">
        <v>39593</v>
      </c>
      <c r="X11100" t="s">
        <v>42687</v>
      </c>
    </row>
    <row r="11101" spans="1:24">
      <c r="A11101">
        <f>HYPERLINK("https://www.philgeps.gov.ph/GEPSNONPILOT/Tender/SplashBidNoticeAbstractUI.aspx?menuIndex=3&amp;refID=7164721&amp;Result=3","7164721")</f>
        <v>0</v>
      </c>
      <c r="B11101" t="s">
        <v>3116</v>
      </c>
      <c r="C11101" t="s">
        <v>14133</v>
      </c>
      <c r="D11101" t="s">
        <v>17205</v>
      </c>
      <c r="E11101" t="s">
        <v>19589</v>
      </c>
      <c r="F11101" t="s">
        <v>29372</v>
      </c>
      <c r="G11101" t="s">
        <v>29380</v>
      </c>
      <c r="H11101" t="s">
        <v>29389</v>
      </c>
      <c r="I11101" t="s">
        <v>10408</v>
      </c>
      <c r="J11101" t="s">
        <v>29811</v>
      </c>
      <c r="K11101" t="s">
        <v>38496</v>
      </c>
      <c r="M11101" t="s">
        <v>42159</v>
      </c>
      <c r="N11101" t="s">
        <v>42669</v>
      </c>
      <c r="O11101" t="s">
        <v>42670</v>
      </c>
      <c r="P11101">
        <v>0</v>
      </c>
      <c r="Q11101">
        <v>3</v>
      </c>
      <c r="R11101" t="s">
        <v>42685</v>
      </c>
      <c r="S11101" t="s">
        <v>43317</v>
      </c>
      <c r="T11101" t="s">
        <v>44493</v>
      </c>
      <c r="U11101" t="s">
        <v>53864</v>
      </c>
      <c r="W11101" t="s">
        <v>42159</v>
      </c>
      <c r="X11101" t="s">
        <v>42687</v>
      </c>
    </row>
    <row r="11102" spans="1:24">
      <c r="A11102">
        <f>HYPERLINK("https://www.philgeps.gov.ph/GEPSNONPILOT/Tender/SplashBidNoticeAbstractUI.aspx?menuIndex=3&amp;refID=7164509&amp;Result=3","7164509")</f>
        <v>0</v>
      </c>
      <c r="B11102" t="s">
        <v>213</v>
      </c>
      <c r="C11102" t="s">
        <v>14134</v>
      </c>
      <c r="D11102" t="s">
        <v>17201</v>
      </c>
      <c r="E11102" t="s">
        <v>26700</v>
      </c>
      <c r="F11102" t="s">
        <v>29372</v>
      </c>
      <c r="G11102" t="s">
        <v>29380</v>
      </c>
      <c r="H11102" t="s">
        <v>29389</v>
      </c>
      <c r="I11102" t="s">
        <v>10408</v>
      </c>
      <c r="J11102" t="s">
        <v>36545</v>
      </c>
      <c r="K11102" t="s">
        <v>38496</v>
      </c>
      <c r="M11102" t="s">
        <v>38970</v>
      </c>
      <c r="N11102" t="s">
        <v>42669</v>
      </c>
      <c r="O11102" t="s">
        <v>42670</v>
      </c>
      <c r="P11102">
        <v>0</v>
      </c>
      <c r="Q11102">
        <v>0</v>
      </c>
      <c r="R11102" t="s">
        <v>42685</v>
      </c>
      <c r="S11102" t="s">
        <v>43317</v>
      </c>
      <c r="T11102" t="s">
        <v>44364</v>
      </c>
      <c r="U11102" t="s">
        <v>53865</v>
      </c>
      <c r="W11102" t="s">
        <v>38970</v>
      </c>
      <c r="X11102" t="s">
        <v>42688</v>
      </c>
    </row>
    <row r="11103" spans="1:24">
      <c r="A11103">
        <f>HYPERLINK("https://www.philgeps.gov.ph/GEPSNONPILOT/Tender/SplashBidNoticeAbstractUI.aspx?menuIndex=3&amp;refID=7164975&amp;Result=3","7164975")</f>
        <v>0</v>
      </c>
      <c r="B11103" t="s">
        <v>3115</v>
      </c>
      <c r="C11103" t="s">
        <v>14135</v>
      </c>
      <c r="D11103" t="s">
        <v>17193</v>
      </c>
      <c r="E11103" t="s">
        <v>26701</v>
      </c>
      <c r="F11103" t="s">
        <v>29372</v>
      </c>
      <c r="G11103" t="s">
        <v>29380</v>
      </c>
      <c r="H11103" t="s">
        <v>29389</v>
      </c>
      <c r="I11103" t="s">
        <v>29417</v>
      </c>
      <c r="J11103" t="s">
        <v>29549</v>
      </c>
      <c r="K11103" t="s">
        <v>38672</v>
      </c>
      <c r="M11103" t="s">
        <v>42158</v>
      </c>
      <c r="N11103" t="s">
        <v>42669</v>
      </c>
      <c r="O11103" t="s">
        <v>42670</v>
      </c>
      <c r="P11103">
        <v>0</v>
      </c>
      <c r="Q11103">
        <v>1</v>
      </c>
      <c r="R11103" t="s">
        <v>42685</v>
      </c>
      <c r="S11103" t="s">
        <v>43317</v>
      </c>
      <c r="T11103" t="s">
        <v>44470</v>
      </c>
      <c r="U11103" t="s">
        <v>53866</v>
      </c>
      <c r="V11103" t="s">
        <v>57600</v>
      </c>
      <c r="W11103" t="s">
        <v>58111</v>
      </c>
      <c r="X11103" t="s">
        <v>42687</v>
      </c>
    </row>
    <row r="11104" spans="1:24">
      <c r="A11104">
        <f>HYPERLINK("https://www.philgeps.gov.ph/GEPSNONPILOT/Tender/SplashBidNoticeAbstractUI.aspx?menuIndex=3&amp;refID=7163928&amp;Result=3","7163928")</f>
        <v>0</v>
      </c>
      <c r="B11104" t="s">
        <v>3113</v>
      </c>
      <c r="C11104" t="s">
        <v>14136</v>
      </c>
      <c r="D11104" t="s">
        <v>17161</v>
      </c>
      <c r="E11104" t="s">
        <v>21057</v>
      </c>
      <c r="F11104" t="s">
        <v>29372</v>
      </c>
      <c r="G11104" t="s">
        <v>29380</v>
      </c>
      <c r="H11104" t="s">
        <v>29389</v>
      </c>
      <c r="I11104" t="s">
        <v>10408</v>
      </c>
      <c r="J11104" t="s">
        <v>36546</v>
      </c>
      <c r="K11104" t="s">
        <v>38495</v>
      </c>
      <c r="M11104" t="s">
        <v>42156</v>
      </c>
      <c r="N11104" t="s">
        <v>42669</v>
      </c>
      <c r="O11104" t="s">
        <v>42670</v>
      </c>
      <c r="P11104">
        <v>0</v>
      </c>
      <c r="Q11104">
        <v>0</v>
      </c>
      <c r="R11104" t="s">
        <v>42685</v>
      </c>
      <c r="S11104" t="s">
        <v>43317</v>
      </c>
      <c r="T11104" t="s">
        <v>44412</v>
      </c>
      <c r="U11104" t="s">
        <v>53867</v>
      </c>
      <c r="W11104" t="s">
        <v>42156</v>
      </c>
      <c r="X11104" t="s">
        <v>42689</v>
      </c>
    </row>
    <row r="11105" spans="1:24">
      <c r="A11105">
        <f>HYPERLINK("https://www.philgeps.gov.ph/GEPSNONPILOT/Tender/SplashBidNoticeAbstractUI.aspx?menuIndex=3&amp;refID=7164982&amp;Result=3","7164982")</f>
        <v>0</v>
      </c>
      <c r="B11105" t="s">
        <v>3114</v>
      </c>
      <c r="C11105" t="s">
        <v>14137</v>
      </c>
      <c r="D11105" t="s">
        <v>17146</v>
      </c>
      <c r="E11105" t="s">
        <v>18851</v>
      </c>
      <c r="F11105" t="s">
        <v>29372</v>
      </c>
      <c r="G11105" t="s">
        <v>29380</v>
      </c>
      <c r="H11105" t="s">
        <v>29389</v>
      </c>
      <c r="I11105" t="s">
        <v>4709</v>
      </c>
      <c r="J11105" t="s">
        <v>30232</v>
      </c>
      <c r="K11105" t="s">
        <v>38488</v>
      </c>
      <c r="M11105" t="s">
        <v>42157</v>
      </c>
      <c r="N11105" t="s">
        <v>42669</v>
      </c>
      <c r="O11105" t="s">
        <v>42670</v>
      </c>
      <c r="P11105">
        <v>0</v>
      </c>
      <c r="Q11105">
        <v>0</v>
      </c>
      <c r="R11105" t="s">
        <v>42685</v>
      </c>
      <c r="S11105" t="s">
        <v>43317</v>
      </c>
      <c r="T11105" t="s">
        <v>44488</v>
      </c>
      <c r="U11105" t="s">
        <v>53856</v>
      </c>
      <c r="W11105" t="s">
        <v>42157</v>
      </c>
      <c r="X11105" t="s">
        <v>42686</v>
      </c>
    </row>
    <row r="11106" spans="1:24">
      <c r="A11106">
        <f>HYPERLINK("https://www.philgeps.gov.ph/GEPSNONPILOT/Tender/SplashBidNoticeAbstractUI.aspx?menuIndex=3&amp;refID=7164978&amp;Result=3","7164978")</f>
        <v>0</v>
      </c>
      <c r="B11106" t="s">
        <v>3117</v>
      </c>
      <c r="C11106" t="s">
        <v>14138</v>
      </c>
      <c r="D11106" t="s">
        <v>17190</v>
      </c>
      <c r="E11106" t="s">
        <v>26702</v>
      </c>
      <c r="F11106" t="s">
        <v>29372</v>
      </c>
      <c r="G11106" t="s">
        <v>29380</v>
      </c>
      <c r="H11106" t="s">
        <v>29389</v>
      </c>
      <c r="I11106" t="s">
        <v>10408</v>
      </c>
      <c r="J11106" t="s">
        <v>36547</v>
      </c>
      <c r="K11106" t="s">
        <v>38495</v>
      </c>
      <c r="M11106" t="s">
        <v>42160</v>
      </c>
      <c r="N11106" t="s">
        <v>42669</v>
      </c>
      <c r="O11106" t="s">
        <v>42670</v>
      </c>
      <c r="P11106">
        <v>0</v>
      </c>
      <c r="Q11106">
        <v>1</v>
      </c>
      <c r="R11106" t="s">
        <v>42685</v>
      </c>
      <c r="S11106" t="s">
        <v>43317</v>
      </c>
      <c r="T11106" t="s">
        <v>44805</v>
      </c>
      <c r="U11106" t="s">
        <v>53868</v>
      </c>
      <c r="W11106" t="s">
        <v>42160</v>
      </c>
      <c r="X11106" t="s">
        <v>42686</v>
      </c>
    </row>
    <row r="11107" spans="1:24">
      <c r="A11107">
        <f>HYPERLINK("https://www.philgeps.gov.ph/GEPSNONPILOT/Tender/SplashBidNoticeAbstractUI.aspx?menuIndex=3&amp;refID=7164643&amp;Result=3","7164643")</f>
        <v>0</v>
      </c>
      <c r="B11107" t="s">
        <v>213</v>
      </c>
      <c r="C11107" t="s">
        <v>14139</v>
      </c>
      <c r="D11107" t="s">
        <v>17201</v>
      </c>
      <c r="E11107" t="s">
        <v>26703</v>
      </c>
      <c r="F11107" t="s">
        <v>29372</v>
      </c>
      <c r="G11107" t="s">
        <v>29380</v>
      </c>
      <c r="H11107" t="s">
        <v>29389</v>
      </c>
      <c r="I11107" t="s">
        <v>10408</v>
      </c>
      <c r="J11107" t="s">
        <v>36548</v>
      </c>
      <c r="K11107" t="s">
        <v>38496</v>
      </c>
      <c r="M11107" t="s">
        <v>38970</v>
      </c>
      <c r="N11107" t="s">
        <v>42669</v>
      </c>
      <c r="O11107" t="s">
        <v>42670</v>
      </c>
      <c r="P11107">
        <v>0</v>
      </c>
      <c r="Q11107">
        <v>0</v>
      </c>
      <c r="R11107" t="s">
        <v>42685</v>
      </c>
      <c r="S11107" t="s">
        <v>43317</v>
      </c>
      <c r="T11107" t="s">
        <v>44806</v>
      </c>
      <c r="U11107" t="s">
        <v>53869</v>
      </c>
      <c r="W11107" t="s">
        <v>38970</v>
      </c>
      <c r="X11107" t="s">
        <v>42687</v>
      </c>
    </row>
    <row r="11108" spans="1:24">
      <c r="A11108">
        <f>HYPERLINK("https://www.philgeps.gov.ph/GEPSNONPILOT/Tender/SplashBidNoticeAbstractUI.aspx?menuIndex=3&amp;refID=7163981&amp;Result=3","7163981")</f>
        <v>0</v>
      </c>
      <c r="B11108" t="s">
        <v>3113</v>
      </c>
      <c r="C11108" t="s">
        <v>14140</v>
      </c>
      <c r="D11108" t="s">
        <v>17161</v>
      </c>
      <c r="E11108" t="s">
        <v>21102</v>
      </c>
      <c r="F11108" t="s">
        <v>29372</v>
      </c>
      <c r="G11108" t="s">
        <v>29380</v>
      </c>
      <c r="H11108" t="s">
        <v>11048</v>
      </c>
      <c r="I11108" t="s">
        <v>3952</v>
      </c>
      <c r="J11108" t="s">
        <v>36549</v>
      </c>
      <c r="K11108" t="s">
        <v>38485</v>
      </c>
      <c r="M11108" t="s">
        <v>42156</v>
      </c>
      <c r="N11108" t="s">
        <v>42669</v>
      </c>
      <c r="O11108" t="s">
        <v>42670</v>
      </c>
      <c r="P11108">
        <v>0</v>
      </c>
      <c r="Q11108">
        <v>0</v>
      </c>
      <c r="R11108" t="s">
        <v>42685</v>
      </c>
      <c r="S11108" t="s">
        <v>43317</v>
      </c>
      <c r="T11108" t="s">
        <v>44412</v>
      </c>
      <c r="U11108" t="s">
        <v>53870</v>
      </c>
      <c r="W11108" t="s">
        <v>42156</v>
      </c>
      <c r="X11108" t="s">
        <v>42689</v>
      </c>
    </row>
    <row r="11109" spans="1:24">
      <c r="A11109">
        <f>HYPERLINK("https://www.philgeps.gov.ph/GEPSNONPILOT/Tender/SplashBidNoticeAbstractUI.aspx?menuIndex=3&amp;refID=7165184&amp;Result=3","7165184")</f>
        <v>0</v>
      </c>
      <c r="B11109" t="s">
        <v>1660</v>
      </c>
      <c r="C11109" t="s">
        <v>14141</v>
      </c>
      <c r="D11109" t="s">
        <v>17188</v>
      </c>
      <c r="E11109" t="s">
        <v>26704</v>
      </c>
      <c r="F11109" t="s">
        <v>29372</v>
      </c>
      <c r="G11109" t="s">
        <v>29380</v>
      </c>
      <c r="H11109" t="s">
        <v>11048</v>
      </c>
      <c r="I11109" t="s">
        <v>29407</v>
      </c>
      <c r="J11109" t="s">
        <v>36550</v>
      </c>
      <c r="K11109" t="s">
        <v>38488</v>
      </c>
      <c r="M11109" t="s">
        <v>40518</v>
      </c>
      <c r="N11109" t="s">
        <v>42669</v>
      </c>
      <c r="O11109" t="s">
        <v>42670</v>
      </c>
      <c r="P11109">
        <v>0</v>
      </c>
      <c r="Q11109">
        <v>5</v>
      </c>
      <c r="R11109" t="s">
        <v>42685</v>
      </c>
      <c r="S11109" t="s">
        <v>43317</v>
      </c>
      <c r="T11109" t="s">
        <v>44488</v>
      </c>
      <c r="U11109" t="s">
        <v>53871</v>
      </c>
      <c r="W11109" t="s">
        <v>40518</v>
      </c>
      <c r="X11109" t="s">
        <v>42686</v>
      </c>
    </row>
    <row r="11110" spans="1:24">
      <c r="A11110">
        <f>HYPERLINK("https://www.philgeps.gov.ph/GEPSNONPILOT/Tender/SplashBidNoticeAbstractUI.aspx?menuIndex=3&amp;refID=7163960&amp;Result=3","7163960")</f>
        <v>0</v>
      </c>
      <c r="B11110" t="s">
        <v>3113</v>
      </c>
      <c r="C11110" t="s">
        <v>14142</v>
      </c>
      <c r="D11110" t="s">
        <v>17161</v>
      </c>
      <c r="E11110" t="s">
        <v>21083</v>
      </c>
      <c r="F11110" t="s">
        <v>29372</v>
      </c>
      <c r="G11110" t="s">
        <v>29380</v>
      </c>
      <c r="H11110" t="s">
        <v>29389</v>
      </c>
      <c r="I11110" t="s">
        <v>10408</v>
      </c>
      <c r="J11110" t="s">
        <v>36551</v>
      </c>
      <c r="K11110" t="s">
        <v>38655</v>
      </c>
      <c r="M11110" t="s">
        <v>42156</v>
      </c>
      <c r="N11110" t="s">
        <v>42669</v>
      </c>
      <c r="O11110" t="s">
        <v>42670</v>
      </c>
      <c r="P11110">
        <v>0</v>
      </c>
      <c r="Q11110">
        <v>0</v>
      </c>
      <c r="R11110" t="s">
        <v>42685</v>
      </c>
      <c r="S11110" t="s">
        <v>43317</v>
      </c>
      <c r="T11110" t="s">
        <v>44412</v>
      </c>
      <c r="U11110" t="s">
        <v>53872</v>
      </c>
      <c r="W11110" t="s">
        <v>42156</v>
      </c>
      <c r="X11110" t="s">
        <v>42689</v>
      </c>
    </row>
    <row r="11111" spans="1:24">
      <c r="A11111">
        <f>HYPERLINK("https://www.philgeps.gov.ph/GEPSNONPILOT/Tender/SplashBidNoticeAbstractUI.aspx?menuIndex=3&amp;refID=7165227&amp;Result=3","7165227")</f>
        <v>0</v>
      </c>
      <c r="B11111" t="s">
        <v>3118</v>
      </c>
      <c r="C11111" t="s">
        <v>14143</v>
      </c>
      <c r="D11111" t="s">
        <v>17159</v>
      </c>
      <c r="E11111" t="s">
        <v>26705</v>
      </c>
      <c r="F11111" t="s">
        <v>29372</v>
      </c>
      <c r="G11111" t="s">
        <v>29380</v>
      </c>
      <c r="H11111" t="s">
        <v>11048</v>
      </c>
      <c r="I11111" t="s">
        <v>29398</v>
      </c>
      <c r="J11111" t="s">
        <v>30161</v>
      </c>
      <c r="K11111" t="s">
        <v>38488</v>
      </c>
      <c r="M11111" t="s">
        <v>42161</v>
      </c>
      <c r="N11111" t="s">
        <v>42669</v>
      </c>
      <c r="O11111" t="s">
        <v>42670</v>
      </c>
      <c r="P11111">
        <v>0</v>
      </c>
      <c r="Q11111">
        <v>12</v>
      </c>
      <c r="R11111" t="s">
        <v>42685</v>
      </c>
      <c r="S11111" t="s">
        <v>43317</v>
      </c>
      <c r="T11111" t="s">
        <v>44357</v>
      </c>
      <c r="U11111" t="s">
        <v>53873</v>
      </c>
      <c r="V11111" t="s">
        <v>57601</v>
      </c>
      <c r="W11111" t="s">
        <v>42161</v>
      </c>
      <c r="X11111" t="s">
        <v>42686</v>
      </c>
    </row>
    <row r="11112" spans="1:24">
      <c r="A11112">
        <f>HYPERLINK("https://www.philgeps.gov.ph/GEPSNONPILOT/Tender/SplashBidNoticeAbstractUI.aspx?menuIndex=3&amp;refID=7165214&amp;Result=3","7165214")</f>
        <v>0</v>
      </c>
      <c r="B11112" t="s">
        <v>3119</v>
      </c>
      <c r="C11112" t="s">
        <v>12772</v>
      </c>
      <c r="E11112" t="s">
        <v>17994</v>
      </c>
      <c r="F11112" t="s">
        <v>29372</v>
      </c>
      <c r="G11112" t="s">
        <v>29380</v>
      </c>
      <c r="H11112" t="s">
        <v>11048</v>
      </c>
      <c r="I11112" t="s">
        <v>3695</v>
      </c>
      <c r="J11112" t="s">
        <v>36552</v>
      </c>
      <c r="K11112" t="s">
        <v>38490</v>
      </c>
      <c r="M11112" t="s">
        <v>42162</v>
      </c>
      <c r="N11112" t="s">
        <v>42669</v>
      </c>
      <c r="O11112" t="s">
        <v>42670</v>
      </c>
      <c r="P11112">
        <v>0</v>
      </c>
      <c r="Q11112">
        <v>4</v>
      </c>
      <c r="R11112" t="s">
        <v>42685</v>
      </c>
      <c r="S11112" t="s">
        <v>43317</v>
      </c>
      <c r="T11112" t="s">
        <v>44542</v>
      </c>
      <c r="U11112" t="s">
        <v>53874</v>
      </c>
      <c r="W11112" t="s">
        <v>42162</v>
      </c>
      <c r="X11112" t="s">
        <v>42686</v>
      </c>
    </row>
    <row r="11113" spans="1:24">
      <c r="A11113">
        <f>HYPERLINK("https://www.philgeps.gov.ph/GEPSNONPILOT/Tender/SplashBidNoticeAbstractUI.aspx?menuIndex=3&amp;refID=7161847&amp;Result=3","7161847")</f>
        <v>0</v>
      </c>
      <c r="B11113" t="s">
        <v>57</v>
      </c>
      <c r="C11113" t="s">
        <v>14144</v>
      </c>
      <c r="D11113" t="s">
        <v>17160</v>
      </c>
      <c r="E11113" t="s">
        <v>26706</v>
      </c>
      <c r="F11113" t="s">
        <v>29372</v>
      </c>
      <c r="G11113" t="s">
        <v>29380</v>
      </c>
      <c r="H11113" t="s">
        <v>11048</v>
      </c>
      <c r="I11113" t="s">
        <v>29398</v>
      </c>
      <c r="J11113" t="s">
        <v>29703</v>
      </c>
      <c r="K11113" t="s">
        <v>38488</v>
      </c>
      <c r="M11113" t="s">
        <v>38810</v>
      </c>
      <c r="N11113" t="s">
        <v>42669</v>
      </c>
      <c r="O11113" t="s">
        <v>42670</v>
      </c>
      <c r="Q11113">
        <v>8</v>
      </c>
      <c r="R11113" t="s">
        <v>42685</v>
      </c>
      <c r="S11113" t="s">
        <v>43021</v>
      </c>
      <c r="T11113" t="s">
        <v>44361</v>
      </c>
      <c r="U11113" t="s">
        <v>53875</v>
      </c>
      <c r="W11113" t="s">
        <v>38810</v>
      </c>
      <c r="X11113" t="s">
        <v>42689</v>
      </c>
    </row>
    <row r="11114" spans="1:24">
      <c r="A11114">
        <f>HYPERLINK("https://www.philgeps.gov.ph/GEPSNONPILOT/Tender/SplashBidNoticeAbstractUI.aspx?menuIndex=3&amp;refID=7165204&amp;Result=3","7165204")</f>
        <v>0</v>
      </c>
      <c r="B11114" t="s">
        <v>1015</v>
      </c>
      <c r="C11114" t="s">
        <v>14145</v>
      </c>
      <c r="D11114" t="s">
        <v>17177</v>
      </c>
      <c r="E11114" t="s">
        <v>26707</v>
      </c>
      <c r="F11114" t="s">
        <v>29372</v>
      </c>
      <c r="G11114" t="s">
        <v>29380</v>
      </c>
      <c r="H11114" t="s">
        <v>29389</v>
      </c>
      <c r="I11114" t="s">
        <v>10408</v>
      </c>
      <c r="J11114" t="s">
        <v>29801</v>
      </c>
      <c r="K11114" t="s">
        <v>38485</v>
      </c>
      <c r="M11114" t="s">
        <v>39815</v>
      </c>
      <c r="N11114" t="s">
        <v>42669</v>
      </c>
      <c r="O11114" t="s">
        <v>42670</v>
      </c>
      <c r="P11114">
        <v>0</v>
      </c>
      <c r="Q11114">
        <v>1</v>
      </c>
      <c r="R11114" t="s">
        <v>42685</v>
      </c>
      <c r="S11114" t="s">
        <v>43317</v>
      </c>
      <c r="T11114" t="s">
        <v>44375</v>
      </c>
      <c r="U11114" t="s">
        <v>53876</v>
      </c>
      <c r="W11114" t="s">
        <v>39815</v>
      </c>
      <c r="X11114" t="s">
        <v>42686</v>
      </c>
    </row>
    <row r="11115" spans="1:24">
      <c r="A11115">
        <f>HYPERLINK("https://www.philgeps.gov.ph/GEPSNONPILOT/Tender/SplashBidNoticeAbstractUI.aspx?menuIndex=3&amp;refID=7165201&amp;Result=3","7165201")</f>
        <v>0</v>
      </c>
      <c r="B11115" t="s">
        <v>3120</v>
      </c>
      <c r="C11115" t="s">
        <v>14146</v>
      </c>
      <c r="D11115" t="s">
        <v>17172</v>
      </c>
      <c r="E11115" t="s">
        <v>17870</v>
      </c>
      <c r="F11115" t="s">
        <v>29372</v>
      </c>
      <c r="G11115" t="s">
        <v>29381</v>
      </c>
      <c r="H11115" t="s">
        <v>11048</v>
      </c>
      <c r="I11115" t="s">
        <v>29450</v>
      </c>
      <c r="J11115" t="s">
        <v>36553</v>
      </c>
      <c r="K11115" t="s">
        <v>38491</v>
      </c>
      <c r="M11115" t="s">
        <v>42163</v>
      </c>
      <c r="N11115" t="s">
        <v>42669</v>
      </c>
      <c r="O11115" t="s">
        <v>42670</v>
      </c>
      <c r="P11115">
        <v>0</v>
      </c>
      <c r="Q11115">
        <v>1</v>
      </c>
      <c r="R11115" t="s">
        <v>42685</v>
      </c>
      <c r="S11115" t="s">
        <v>43317</v>
      </c>
      <c r="T11115" t="s">
        <v>44807</v>
      </c>
      <c r="U11115" t="s">
        <v>53877</v>
      </c>
      <c r="W11115" t="s">
        <v>42163</v>
      </c>
      <c r="X11115" t="s">
        <v>42686</v>
      </c>
    </row>
    <row r="11116" spans="1:24">
      <c r="A11116">
        <f>HYPERLINK("https://www.philgeps.gov.ph/GEPSNONPILOT/Tender/SplashBidNoticeAbstractUI.aspx?menuIndex=3&amp;refID=7165194&amp;Result=3","7165194")</f>
        <v>0</v>
      </c>
      <c r="B11116" t="s">
        <v>3121</v>
      </c>
      <c r="C11116" t="s">
        <v>14147</v>
      </c>
      <c r="D11116" t="s">
        <v>17180</v>
      </c>
      <c r="E11116" t="s">
        <v>26708</v>
      </c>
      <c r="F11116" t="s">
        <v>29372</v>
      </c>
      <c r="G11116" t="s">
        <v>29380</v>
      </c>
      <c r="H11116" t="s">
        <v>11048</v>
      </c>
      <c r="I11116" t="s">
        <v>4709</v>
      </c>
      <c r="J11116" t="s">
        <v>36554</v>
      </c>
      <c r="K11116" t="s">
        <v>38490</v>
      </c>
      <c r="M11116" t="s">
        <v>42164</v>
      </c>
      <c r="N11116" t="s">
        <v>42669</v>
      </c>
      <c r="O11116" t="s">
        <v>42670</v>
      </c>
      <c r="P11116">
        <v>0</v>
      </c>
      <c r="Q11116">
        <v>2</v>
      </c>
      <c r="R11116" t="s">
        <v>42685</v>
      </c>
      <c r="S11116" t="s">
        <v>43317</v>
      </c>
      <c r="T11116" t="s">
        <v>44456</v>
      </c>
      <c r="U11116" t="s">
        <v>53878</v>
      </c>
      <c r="V11116" t="s">
        <v>57602</v>
      </c>
      <c r="W11116" t="s">
        <v>42164</v>
      </c>
      <c r="X11116" t="s">
        <v>42686</v>
      </c>
    </row>
    <row r="11117" spans="1:24">
      <c r="A11117">
        <f>HYPERLINK("https://www.philgeps.gov.ph/GEPSNONPILOT/Tender/SplashBidNoticeAbstractUI.aspx?menuIndex=3&amp;refID=7165148&amp;Result=3","7165148")</f>
        <v>0</v>
      </c>
      <c r="B11117" t="s">
        <v>2812</v>
      </c>
      <c r="C11117" t="s">
        <v>14148</v>
      </c>
      <c r="D11117" t="s">
        <v>17195</v>
      </c>
      <c r="E11117" t="s">
        <v>26709</v>
      </c>
      <c r="F11117" t="s">
        <v>29372</v>
      </c>
      <c r="G11117" t="s">
        <v>29380</v>
      </c>
      <c r="H11117" t="s">
        <v>11048</v>
      </c>
      <c r="I11117" t="s">
        <v>29403</v>
      </c>
      <c r="J11117" t="s">
        <v>29590</v>
      </c>
      <c r="K11117" t="s">
        <v>38491</v>
      </c>
      <c r="M11117" t="s">
        <v>41801</v>
      </c>
      <c r="N11117" t="s">
        <v>42669</v>
      </c>
      <c r="O11117" t="s">
        <v>42670</v>
      </c>
      <c r="P11117">
        <v>0</v>
      </c>
      <c r="Q11117">
        <v>1</v>
      </c>
      <c r="R11117" t="s">
        <v>42685</v>
      </c>
      <c r="S11117" t="s">
        <v>43317</v>
      </c>
      <c r="T11117" t="s">
        <v>44418</v>
      </c>
      <c r="U11117" t="s">
        <v>53879</v>
      </c>
      <c r="W11117" t="s">
        <v>41801</v>
      </c>
      <c r="X11117" t="s">
        <v>42686</v>
      </c>
    </row>
    <row r="11118" spans="1:24">
      <c r="A11118">
        <f>HYPERLINK("https://www.philgeps.gov.ph/GEPSNONPILOT/Tender/SplashBidNoticeAbstractUI.aspx?menuIndex=3&amp;refID=7165231&amp;Result=3","7165231")</f>
        <v>0</v>
      </c>
      <c r="B11118" t="s">
        <v>1676</v>
      </c>
      <c r="C11118" t="s">
        <v>14149</v>
      </c>
      <c r="D11118" t="s">
        <v>17155</v>
      </c>
      <c r="E11118" t="s">
        <v>26710</v>
      </c>
      <c r="F11118" t="s">
        <v>29372</v>
      </c>
      <c r="G11118" t="s">
        <v>29380</v>
      </c>
      <c r="H11118" t="s">
        <v>29389</v>
      </c>
      <c r="I11118" t="s">
        <v>10408</v>
      </c>
      <c r="J11118" t="s">
        <v>36555</v>
      </c>
      <c r="K11118" t="s">
        <v>38636</v>
      </c>
      <c r="M11118" t="s">
        <v>40536</v>
      </c>
      <c r="N11118" t="s">
        <v>42669</v>
      </c>
      <c r="O11118" t="s">
        <v>42670</v>
      </c>
      <c r="P11118">
        <v>0</v>
      </c>
      <c r="Q11118">
        <v>1</v>
      </c>
      <c r="R11118" t="s">
        <v>42685</v>
      </c>
      <c r="S11118" t="s">
        <v>43317</v>
      </c>
      <c r="T11118" t="s">
        <v>44375</v>
      </c>
      <c r="U11118" t="s">
        <v>53880</v>
      </c>
      <c r="W11118" t="s">
        <v>40536</v>
      </c>
      <c r="X11118" t="s">
        <v>42686</v>
      </c>
    </row>
    <row r="11119" spans="1:24">
      <c r="A11119">
        <f>HYPERLINK("https://www.philgeps.gov.ph/GEPSNONPILOT/Tender/SplashBidNoticeAbstractUI.aspx?menuIndex=3&amp;refID=7165187&amp;Result=3","7165187")</f>
        <v>0</v>
      </c>
      <c r="B11119" t="s">
        <v>3122</v>
      </c>
      <c r="C11119" t="s">
        <v>14150</v>
      </c>
      <c r="D11119" t="s">
        <v>17189</v>
      </c>
      <c r="E11119" t="s">
        <v>26711</v>
      </c>
      <c r="F11119" t="s">
        <v>29372</v>
      </c>
      <c r="G11119" t="s">
        <v>29380</v>
      </c>
      <c r="H11119" t="s">
        <v>29389</v>
      </c>
      <c r="I11119" t="s">
        <v>10408</v>
      </c>
      <c r="J11119" t="s">
        <v>30056</v>
      </c>
      <c r="K11119" t="s">
        <v>38726</v>
      </c>
      <c r="M11119" t="s">
        <v>42165</v>
      </c>
      <c r="N11119" t="s">
        <v>42669</v>
      </c>
      <c r="O11119" t="s">
        <v>42670</v>
      </c>
      <c r="P11119">
        <v>0</v>
      </c>
      <c r="Q11119">
        <v>2</v>
      </c>
      <c r="R11119" t="s">
        <v>42685</v>
      </c>
      <c r="S11119" t="s">
        <v>43317</v>
      </c>
      <c r="T11119" t="s">
        <v>44403</v>
      </c>
      <c r="U11119" t="s">
        <v>53881</v>
      </c>
      <c r="W11119" t="s">
        <v>42165</v>
      </c>
      <c r="X11119" t="s">
        <v>42686</v>
      </c>
    </row>
    <row r="11120" spans="1:24">
      <c r="A11120">
        <f>HYPERLINK("https://www.philgeps.gov.ph/GEPSNONPILOT/Tender/SplashBidNoticeAbstractUI.aspx?menuIndex=3&amp;refID=7165113&amp;Result=3","7165113")</f>
        <v>0</v>
      </c>
      <c r="B11120" t="s">
        <v>3123</v>
      </c>
      <c r="C11120" t="s">
        <v>14151</v>
      </c>
      <c r="D11120" t="s">
        <v>17144</v>
      </c>
      <c r="E11120" t="s">
        <v>17972</v>
      </c>
      <c r="F11120" t="s">
        <v>29372</v>
      </c>
      <c r="G11120" t="s">
        <v>29380</v>
      </c>
      <c r="H11120" t="s">
        <v>11048</v>
      </c>
      <c r="I11120" t="s">
        <v>9469</v>
      </c>
      <c r="J11120" t="s">
        <v>30412</v>
      </c>
      <c r="K11120" t="s">
        <v>38510</v>
      </c>
      <c r="M11120" t="s">
        <v>42166</v>
      </c>
      <c r="N11120" t="s">
        <v>42669</v>
      </c>
      <c r="O11120" t="s">
        <v>42670</v>
      </c>
      <c r="P11120">
        <v>0</v>
      </c>
      <c r="Q11120">
        <v>1</v>
      </c>
      <c r="R11120" t="s">
        <v>42685</v>
      </c>
      <c r="S11120" t="s">
        <v>43317</v>
      </c>
      <c r="T11120" t="s">
        <v>44525</v>
      </c>
      <c r="U11120" t="s">
        <v>53882</v>
      </c>
      <c r="W11120" t="s">
        <v>42166</v>
      </c>
      <c r="X11120" t="s">
        <v>42686</v>
      </c>
    </row>
    <row r="11121" spans="1:24">
      <c r="A11121">
        <f>HYPERLINK("https://www.philgeps.gov.ph/GEPSNONPILOT/Tender/SplashBidNoticeAbstractUI.aspx?menuIndex=3&amp;refID=7165138&amp;Result=3","7165138")</f>
        <v>0</v>
      </c>
      <c r="B11121" t="s">
        <v>3124</v>
      </c>
      <c r="C11121" t="s">
        <v>14152</v>
      </c>
      <c r="D11121" t="s">
        <v>17153</v>
      </c>
      <c r="E11121" t="s">
        <v>18524</v>
      </c>
      <c r="F11121" t="s">
        <v>29372</v>
      </c>
      <c r="G11121" t="s">
        <v>29380</v>
      </c>
      <c r="H11121" t="s">
        <v>11048</v>
      </c>
      <c r="I11121" t="s">
        <v>9469</v>
      </c>
      <c r="J11121" t="s">
        <v>31487</v>
      </c>
      <c r="K11121" t="s">
        <v>38491</v>
      </c>
      <c r="M11121" t="s">
        <v>42167</v>
      </c>
      <c r="N11121" t="s">
        <v>42669</v>
      </c>
      <c r="O11121" t="s">
        <v>42670</v>
      </c>
      <c r="P11121">
        <v>0</v>
      </c>
      <c r="Q11121">
        <v>10</v>
      </c>
      <c r="R11121" t="s">
        <v>42685</v>
      </c>
      <c r="S11121" t="s">
        <v>43317</v>
      </c>
      <c r="T11121" t="s">
        <v>44808</v>
      </c>
      <c r="U11121" t="s">
        <v>53883</v>
      </c>
      <c r="W11121" t="s">
        <v>42167</v>
      </c>
      <c r="X11121" t="s">
        <v>42686</v>
      </c>
    </row>
    <row r="11122" spans="1:24">
      <c r="A11122">
        <f>HYPERLINK("https://www.philgeps.gov.ph/GEPSNONPILOT/Tender/SplashBidNoticeAbstractUI.aspx?menuIndex=3&amp;refID=7165079&amp;Result=3","7165079")</f>
        <v>0</v>
      </c>
      <c r="B11122" t="s">
        <v>3125</v>
      </c>
      <c r="C11122" t="s">
        <v>14153</v>
      </c>
      <c r="D11122" t="s">
        <v>17168</v>
      </c>
      <c r="E11122" t="s">
        <v>17947</v>
      </c>
      <c r="F11122" t="s">
        <v>29372</v>
      </c>
      <c r="G11122" t="s">
        <v>29380</v>
      </c>
      <c r="H11122" t="s">
        <v>11048</v>
      </c>
      <c r="I11122" t="s">
        <v>4709</v>
      </c>
      <c r="J11122" t="s">
        <v>36556</v>
      </c>
      <c r="K11122" t="s">
        <v>38488</v>
      </c>
      <c r="M11122" t="s">
        <v>42168</v>
      </c>
      <c r="N11122" t="s">
        <v>42669</v>
      </c>
      <c r="O11122" t="s">
        <v>42670</v>
      </c>
      <c r="P11122">
        <v>0</v>
      </c>
      <c r="Q11122">
        <v>0</v>
      </c>
      <c r="R11122" t="s">
        <v>42685</v>
      </c>
      <c r="S11122" t="s">
        <v>43317</v>
      </c>
      <c r="T11122" t="s">
        <v>44371</v>
      </c>
      <c r="U11122" t="s">
        <v>53884</v>
      </c>
      <c r="W11122" t="s">
        <v>42168</v>
      </c>
      <c r="X11122" t="s">
        <v>42686</v>
      </c>
    </row>
    <row r="11123" spans="1:24">
      <c r="A11123">
        <f>HYPERLINK("https://www.philgeps.gov.ph/GEPSNONPILOT/Tender/SplashBidNoticeAbstractUI.aspx?menuIndex=3&amp;refID=7165075&amp;Result=3","7165075")</f>
        <v>0</v>
      </c>
      <c r="B11123" t="s">
        <v>1727</v>
      </c>
      <c r="C11123" t="s">
        <v>14154</v>
      </c>
      <c r="D11123" t="s">
        <v>17193</v>
      </c>
      <c r="E11123" t="s">
        <v>26712</v>
      </c>
      <c r="F11123" t="s">
        <v>29372</v>
      </c>
      <c r="G11123" t="s">
        <v>29380</v>
      </c>
      <c r="H11123" t="s">
        <v>11048</v>
      </c>
      <c r="I11123" t="s">
        <v>5383</v>
      </c>
      <c r="J11123" t="s">
        <v>36557</v>
      </c>
      <c r="K11123" t="s">
        <v>38490</v>
      </c>
      <c r="M11123" t="s">
        <v>40591</v>
      </c>
      <c r="N11123" t="s">
        <v>42669</v>
      </c>
      <c r="O11123" t="s">
        <v>42670</v>
      </c>
      <c r="P11123">
        <v>0</v>
      </c>
      <c r="Q11123">
        <v>5</v>
      </c>
      <c r="R11123" t="s">
        <v>42685</v>
      </c>
      <c r="S11123" t="s">
        <v>43317</v>
      </c>
      <c r="T11123" t="s">
        <v>44427</v>
      </c>
      <c r="U11123" t="s">
        <v>53885</v>
      </c>
      <c r="V11123" t="s">
        <v>57603</v>
      </c>
      <c r="W11123" t="s">
        <v>40591</v>
      </c>
      <c r="X11123" t="s">
        <v>42686</v>
      </c>
    </row>
    <row r="11124" spans="1:24">
      <c r="A11124">
        <f>HYPERLINK("https://www.philgeps.gov.ph/GEPSNONPILOT/Tender/SplashBidNoticeAbstractUI.aspx?menuIndex=3&amp;refID=7165060&amp;Result=3","7165060")</f>
        <v>0</v>
      </c>
      <c r="B11124" t="s">
        <v>60</v>
      </c>
      <c r="C11124" t="s">
        <v>14155</v>
      </c>
      <c r="E11124" t="s">
        <v>26713</v>
      </c>
      <c r="F11124" t="s">
        <v>29372</v>
      </c>
      <c r="G11124" t="s">
        <v>29380</v>
      </c>
      <c r="H11124" t="s">
        <v>11048</v>
      </c>
      <c r="I11124" t="s">
        <v>29433</v>
      </c>
      <c r="J11124" t="s">
        <v>36558</v>
      </c>
      <c r="K11124" t="s">
        <v>38490</v>
      </c>
      <c r="M11124" t="s">
        <v>40105</v>
      </c>
      <c r="N11124" t="s">
        <v>42669</v>
      </c>
      <c r="O11124" t="s">
        <v>42670</v>
      </c>
      <c r="P11124">
        <v>0</v>
      </c>
      <c r="Q11124">
        <v>5</v>
      </c>
      <c r="R11124" t="s">
        <v>42685</v>
      </c>
      <c r="S11124" t="s">
        <v>43317</v>
      </c>
      <c r="T11124" t="s">
        <v>44375</v>
      </c>
      <c r="U11124" t="s">
        <v>53886</v>
      </c>
      <c r="W11124" t="s">
        <v>40105</v>
      </c>
      <c r="X11124" t="s">
        <v>42686</v>
      </c>
    </row>
    <row r="11125" spans="1:24">
      <c r="A11125">
        <f>HYPERLINK("https://www.philgeps.gov.ph/GEPSNONPILOT/Tender/SplashBidNoticeAbstractUI.aspx?menuIndex=3&amp;refID=7165058&amp;Result=3","7165058")</f>
        <v>0</v>
      </c>
      <c r="B11125" t="s">
        <v>278</v>
      </c>
      <c r="C11125" t="s">
        <v>14156</v>
      </c>
      <c r="D11125" t="s">
        <v>17206</v>
      </c>
      <c r="E11125" t="s">
        <v>26714</v>
      </c>
      <c r="F11125" t="s">
        <v>29372</v>
      </c>
      <c r="G11125" t="s">
        <v>29382</v>
      </c>
      <c r="H11125" t="s">
        <v>11048</v>
      </c>
      <c r="I11125" t="s">
        <v>3952</v>
      </c>
      <c r="J11125" t="s">
        <v>30000</v>
      </c>
      <c r="K11125" t="s">
        <v>38485</v>
      </c>
      <c r="M11125" t="s">
        <v>41697</v>
      </c>
      <c r="N11125" t="s">
        <v>42669</v>
      </c>
      <c r="O11125" t="s">
        <v>42670</v>
      </c>
      <c r="Q11125">
        <v>8</v>
      </c>
      <c r="R11125" t="s">
        <v>42685</v>
      </c>
      <c r="S11125" t="s">
        <v>43330</v>
      </c>
      <c r="T11125" t="s">
        <v>44427</v>
      </c>
      <c r="U11125" t="s">
        <v>53887</v>
      </c>
      <c r="W11125" t="s">
        <v>41697</v>
      </c>
      <c r="X11125" t="s">
        <v>42686</v>
      </c>
    </row>
    <row r="11126" spans="1:24">
      <c r="A11126">
        <f>HYPERLINK("https://www.philgeps.gov.ph/GEPSNONPILOT/Tender/SplashBidNoticeAbstractUI.aspx?menuIndex=3&amp;refID=7165056&amp;Result=3","7165056")</f>
        <v>0</v>
      </c>
      <c r="B11126" t="s">
        <v>60</v>
      </c>
      <c r="C11126" t="s">
        <v>14157</v>
      </c>
      <c r="E11126" t="s">
        <v>26715</v>
      </c>
      <c r="F11126" t="s">
        <v>29372</v>
      </c>
      <c r="G11126" t="s">
        <v>29380</v>
      </c>
      <c r="H11126" t="s">
        <v>11048</v>
      </c>
      <c r="I11126" t="s">
        <v>29433</v>
      </c>
      <c r="J11126" t="s">
        <v>36559</v>
      </c>
      <c r="K11126" t="s">
        <v>38490</v>
      </c>
      <c r="M11126" t="s">
        <v>40105</v>
      </c>
      <c r="N11126" t="s">
        <v>42669</v>
      </c>
      <c r="O11126" t="s">
        <v>42670</v>
      </c>
      <c r="P11126">
        <v>0</v>
      </c>
      <c r="Q11126">
        <v>4</v>
      </c>
      <c r="R11126" t="s">
        <v>42685</v>
      </c>
      <c r="S11126" t="s">
        <v>43317</v>
      </c>
      <c r="T11126" t="s">
        <v>44375</v>
      </c>
      <c r="U11126" t="s">
        <v>53888</v>
      </c>
      <c r="W11126" t="s">
        <v>40105</v>
      </c>
      <c r="X11126" t="s">
        <v>42686</v>
      </c>
    </row>
    <row r="11127" spans="1:24">
      <c r="A11127">
        <f>HYPERLINK("https://www.philgeps.gov.ph/GEPSNONPILOT/Tender/SplashBidNoticeAbstractUI.aspx?menuIndex=3&amp;refID=7165050&amp;Result=3","7165050")</f>
        <v>0</v>
      </c>
      <c r="B11127" t="s">
        <v>60</v>
      </c>
      <c r="C11127" t="s">
        <v>14158</v>
      </c>
      <c r="E11127" t="s">
        <v>26716</v>
      </c>
      <c r="F11127" t="s">
        <v>29372</v>
      </c>
      <c r="G11127" t="s">
        <v>29380</v>
      </c>
      <c r="H11127" t="s">
        <v>11048</v>
      </c>
      <c r="I11127" t="s">
        <v>29433</v>
      </c>
      <c r="J11127" t="s">
        <v>36560</v>
      </c>
      <c r="K11127" t="s">
        <v>38490</v>
      </c>
      <c r="M11127" t="s">
        <v>40105</v>
      </c>
      <c r="N11127" t="s">
        <v>42669</v>
      </c>
      <c r="O11127" t="s">
        <v>42670</v>
      </c>
      <c r="P11127">
        <v>0</v>
      </c>
      <c r="Q11127">
        <v>4</v>
      </c>
      <c r="R11127" t="s">
        <v>42685</v>
      </c>
      <c r="S11127" t="s">
        <v>43317</v>
      </c>
      <c r="T11127" t="s">
        <v>44375</v>
      </c>
      <c r="U11127" t="s">
        <v>53889</v>
      </c>
      <c r="W11127" t="s">
        <v>40105</v>
      </c>
      <c r="X11127" t="s">
        <v>42686</v>
      </c>
    </row>
    <row r="11128" spans="1:24">
      <c r="A11128">
        <f>HYPERLINK("https://www.philgeps.gov.ph/GEPSNONPILOT/Tender/SplashBidNoticeAbstractUI.aspx?menuIndex=3&amp;refID=7164728&amp;Result=3","7164728")</f>
        <v>0</v>
      </c>
      <c r="B11128" t="s">
        <v>3116</v>
      </c>
      <c r="C11128" t="s">
        <v>14159</v>
      </c>
      <c r="D11128" t="s">
        <v>17205</v>
      </c>
      <c r="E11128" t="s">
        <v>26717</v>
      </c>
      <c r="F11128" t="s">
        <v>29372</v>
      </c>
      <c r="G11128" t="s">
        <v>29380</v>
      </c>
      <c r="H11128" t="s">
        <v>29389</v>
      </c>
      <c r="I11128" t="s">
        <v>29417</v>
      </c>
      <c r="J11128" t="s">
        <v>30036</v>
      </c>
      <c r="K11128" t="s">
        <v>38487</v>
      </c>
      <c r="M11128" t="s">
        <v>42159</v>
      </c>
      <c r="N11128" t="s">
        <v>42669</v>
      </c>
      <c r="O11128" t="s">
        <v>42670</v>
      </c>
      <c r="P11128">
        <v>0</v>
      </c>
      <c r="Q11128">
        <v>2</v>
      </c>
      <c r="R11128" t="s">
        <v>42685</v>
      </c>
      <c r="S11128" t="s">
        <v>43317</v>
      </c>
      <c r="T11128" t="s">
        <v>44493</v>
      </c>
      <c r="U11128" t="s">
        <v>53890</v>
      </c>
      <c r="W11128" t="s">
        <v>42159</v>
      </c>
      <c r="X11128" t="s">
        <v>42687</v>
      </c>
    </row>
    <row r="11129" spans="1:24">
      <c r="A11129">
        <f>HYPERLINK("https://www.philgeps.gov.ph/GEPSNONPILOT/Tender/SplashBidNoticeAbstractUI.aspx?menuIndex=3&amp;refID=7165246&amp;Result=3","7165246")</f>
        <v>0</v>
      </c>
      <c r="B11129" t="s">
        <v>2377</v>
      </c>
      <c r="C11129" t="s">
        <v>14160</v>
      </c>
      <c r="D11129" t="s">
        <v>17168</v>
      </c>
      <c r="E11129" t="s">
        <v>26718</v>
      </c>
      <c r="F11129" t="s">
        <v>29372</v>
      </c>
      <c r="G11129" t="s">
        <v>29380</v>
      </c>
      <c r="H11129" t="s">
        <v>11048</v>
      </c>
      <c r="I11129" t="s">
        <v>29513</v>
      </c>
      <c r="J11129" t="s">
        <v>29543</v>
      </c>
      <c r="K11129" t="s">
        <v>38488</v>
      </c>
      <c r="M11129" t="s">
        <v>41320</v>
      </c>
      <c r="N11129" t="s">
        <v>42669</v>
      </c>
      <c r="O11129" t="s">
        <v>42670</v>
      </c>
      <c r="P11129">
        <v>0</v>
      </c>
      <c r="Q11129">
        <v>0</v>
      </c>
      <c r="R11129" t="s">
        <v>42685</v>
      </c>
      <c r="S11129" t="s">
        <v>43317</v>
      </c>
      <c r="T11129" t="s">
        <v>44424</v>
      </c>
      <c r="U11129" t="s">
        <v>50879</v>
      </c>
      <c r="W11129" t="s">
        <v>41320</v>
      </c>
      <c r="X11129" t="s">
        <v>42686</v>
      </c>
    </row>
    <row r="11130" spans="1:24">
      <c r="A11130">
        <f>HYPERLINK("https://www.philgeps.gov.ph/GEPSNONPILOT/Tender/SplashBidNoticeAbstractUI.aspx?menuIndex=3&amp;refID=7163892&amp;Result=3","7163892")</f>
        <v>0</v>
      </c>
      <c r="B11130" t="s">
        <v>3113</v>
      </c>
      <c r="C11130" t="s">
        <v>14161</v>
      </c>
      <c r="D11130" t="s">
        <v>17161</v>
      </c>
      <c r="E11130" t="s">
        <v>21034</v>
      </c>
      <c r="F11130" t="s">
        <v>29372</v>
      </c>
      <c r="G11130" t="s">
        <v>29380</v>
      </c>
      <c r="H11130" t="s">
        <v>29389</v>
      </c>
      <c r="I11130" t="s">
        <v>10408</v>
      </c>
      <c r="J11130" t="s">
        <v>29543</v>
      </c>
      <c r="K11130" t="s">
        <v>38495</v>
      </c>
      <c r="M11130" t="s">
        <v>42156</v>
      </c>
      <c r="N11130" t="s">
        <v>42669</v>
      </c>
      <c r="O11130" t="s">
        <v>42670</v>
      </c>
      <c r="P11130">
        <v>0</v>
      </c>
      <c r="Q11130">
        <v>0</v>
      </c>
      <c r="R11130" t="s">
        <v>42685</v>
      </c>
      <c r="S11130" t="s">
        <v>43317</v>
      </c>
      <c r="T11130" t="s">
        <v>44412</v>
      </c>
      <c r="U11130" t="s">
        <v>53891</v>
      </c>
      <c r="W11130" t="s">
        <v>42156</v>
      </c>
      <c r="X11130" t="s">
        <v>42689</v>
      </c>
    </row>
    <row r="11131" spans="1:24">
      <c r="A11131">
        <f>HYPERLINK("https://www.philgeps.gov.ph/GEPSNONPILOT/Tender/SplashBidNoticeAbstractUI.aspx?menuIndex=3&amp;refID=7165045&amp;Result=3","7165045")</f>
        <v>0</v>
      </c>
      <c r="B11131" t="s">
        <v>2606</v>
      </c>
      <c r="C11131" t="s">
        <v>14162</v>
      </c>
      <c r="D11131" t="s">
        <v>17187</v>
      </c>
      <c r="E11131" t="s">
        <v>26719</v>
      </c>
      <c r="F11131" t="s">
        <v>29372</v>
      </c>
      <c r="G11131" t="s">
        <v>29380</v>
      </c>
      <c r="H11131" t="s">
        <v>11048</v>
      </c>
      <c r="I11131" t="s">
        <v>3670</v>
      </c>
      <c r="J11131" t="s">
        <v>31815</v>
      </c>
      <c r="K11131" t="s">
        <v>38485</v>
      </c>
      <c r="M11131" t="s">
        <v>41575</v>
      </c>
      <c r="N11131" t="s">
        <v>42669</v>
      </c>
      <c r="O11131" t="s">
        <v>42670</v>
      </c>
      <c r="P11131">
        <v>0</v>
      </c>
      <c r="Q11131">
        <v>3</v>
      </c>
      <c r="R11131" t="s">
        <v>42685</v>
      </c>
      <c r="S11131" t="s">
        <v>43317</v>
      </c>
      <c r="T11131" t="s">
        <v>44527</v>
      </c>
      <c r="U11131" t="s">
        <v>53892</v>
      </c>
      <c r="W11131" t="s">
        <v>41575</v>
      </c>
      <c r="X11131" t="s">
        <v>42686</v>
      </c>
    </row>
    <row r="11132" spans="1:24">
      <c r="A11132">
        <f>HYPERLINK("https://www.philgeps.gov.ph/GEPSNONPILOT/Tender/SplashBidNoticeAbstractUI.aspx?menuIndex=3&amp;refID=7165352&amp;Result=3","7165352")</f>
        <v>0</v>
      </c>
      <c r="B11132" t="s">
        <v>2327</v>
      </c>
      <c r="C11132" t="s">
        <v>14163</v>
      </c>
      <c r="D11132" t="s">
        <v>17163</v>
      </c>
      <c r="E11132" t="s">
        <v>26720</v>
      </c>
      <c r="F11132" t="s">
        <v>29372</v>
      </c>
      <c r="G11132" t="s">
        <v>29380</v>
      </c>
      <c r="H11132" t="s">
        <v>29391</v>
      </c>
      <c r="I11132" t="s">
        <v>29391</v>
      </c>
      <c r="J11132" t="s">
        <v>36561</v>
      </c>
      <c r="K11132" t="s">
        <v>38495</v>
      </c>
      <c r="M11132" t="s">
        <v>41985</v>
      </c>
      <c r="N11132" t="s">
        <v>42669</v>
      </c>
      <c r="O11132" t="s">
        <v>42670</v>
      </c>
      <c r="P11132">
        <v>0</v>
      </c>
      <c r="Q11132">
        <v>9</v>
      </c>
      <c r="R11132" t="s">
        <v>42685</v>
      </c>
      <c r="S11132" t="s">
        <v>43317</v>
      </c>
      <c r="T11132" t="s">
        <v>44488</v>
      </c>
      <c r="U11132" t="s">
        <v>53893</v>
      </c>
      <c r="W11132" t="s">
        <v>41985</v>
      </c>
      <c r="X11132" t="s">
        <v>42686</v>
      </c>
    </row>
    <row r="11133" spans="1:24">
      <c r="A11133">
        <f>HYPERLINK("https://www.philgeps.gov.ph/GEPSNONPILOT/Tender/SplashBidNoticeAbstractUI.aspx?menuIndex=3&amp;refID=7165341&amp;Result=3","7165341")</f>
        <v>0</v>
      </c>
      <c r="B11133" t="s">
        <v>2910</v>
      </c>
      <c r="C11133" t="s">
        <v>14164</v>
      </c>
      <c r="D11133" t="s">
        <v>17213</v>
      </c>
      <c r="E11133" t="s">
        <v>26721</v>
      </c>
      <c r="F11133" t="s">
        <v>29372</v>
      </c>
      <c r="G11133" t="s">
        <v>29380</v>
      </c>
      <c r="H11133" t="s">
        <v>11048</v>
      </c>
      <c r="I11133" t="s">
        <v>29403</v>
      </c>
      <c r="J11133" t="s">
        <v>36562</v>
      </c>
      <c r="K11133" t="s">
        <v>38490</v>
      </c>
      <c r="M11133" t="s">
        <v>41910</v>
      </c>
      <c r="N11133" t="s">
        <v>42669</v>
      </c>
      <c r="O11133" t="s">
        <v>42670</v>
      </c>
      <c r="P11133">
        <v>0</v>
      </c>
      <c r="Q11133">
        <v>2</v>
      </c>
      <c r="R11133" t="s">
        <v>42685</v>
      </c>
      <c r="S11133" t="s">
        <v>43317</v>
      </c>
      <c r="T11133" t="s">
        <v>44412</v>
      </c>
      <c r="U11133" t="s">
        <v>53894</v>
      </c>
      <c r="V11133" t="s">
        <v>57604</v>
      </c>
      <c r="W11133" t="s">
        <v>41910</v>
      </c>
      <c r="X11133" t="s">
        <v>42686</v>
      </c>
    </row>
    <row r="11134" spans="1:24">
      <c r="A11134">
        <f>HYPERLINK("https://www.philgeps.gov.ph/GEPSNONPILOT/Tender/SplashBidNoticeAbstractUI.aspx?menuIndex=3&amp;refID=7165330&amp;Result=3","7165330")</f>
        <v>0</v>
      </c>
      <c r="B11134" t="s">
        <v>3126</v>
      </c>
      <c r="C11134" t="s">
        <v>14165</v>
      </c>
      <c r="D11134" t="s">
        <v>17171</v>
      </c>
      <c r="E11134" t="s">
        <v>26722</v>
      </c>
      <c r="F11134" t="s">
        <v>29372</v>
      </c>
      <c r="G11134" t="s">
        <v>29380</v>
      </c>
      <c r="H11134" t="s">
        <v>11048</v>
      </c>
      <c r="I11134" t="s">
        <v>9469</v>
      </c>
      <c r="J11134" t="s">
        <v>36563</v>
      </c>
      <c r="K11134" t="s">
        <v>38487</v>
      </c>
      <c r="M11134" t="s">
        <v>42169</v>
      </c>
      <c r="N11134" t="s">
        <v>42669</v>
      </c>
      <c r="O11134" t="s">
        <v>42670</v>
      </c>
      <c r="P11134">
        <v>0</v>
      </c>
      <c r="Q11134">
        <v>2</v>
      </c>
      <c r="R11134" t="s">
        <v>42685</v>
      </c>
      <c r="S11134" t="s">
        <v>43317</v>
      </c>
      <c r="T11134" t="s">
        <v>44364</v>
      </c>
      <c r="U11134" t="s">
        <v>53895</v>
      </c>
      <c r="W11134" t="s">
        <v>42169</v>
      </c>
      <c r="X11134" t="s">
        <v>42686</v>
      </c>
    </row>
    <row r="11135" spans="1:24">
      <c r="A11135">
        <f>HYPERLINK("https://www.philgeps.gov.ph/GEPSNONPILOT/Tender/SplashBidNoticeAbstractUI.aspx?menuIndex=3&amp;refID=7165232&amp;Result=3","7165232")</f>
        <v>0</v>
      </c>
      <c r="B11135" t="s">
        <v>3122</v>
      </c>
      <c r="C11135" t="s">
        <v>14166</v>
      </c>
      <c r="D11135" t="s">
        <v>17189</v>
      </c>
      <c r="E11135" t="s">
        <v>26711</v>
      </c>
      <c r="F11135" t="s">
        <v>29372</v>
      </c>
      <c r="G11135" t="s">
        <v>29380</v>
      </c>
      <c r="H11135" t="s">
        <v>29389</v>
      </c>
      <c r="I11135" t="s">
        <v>10408</v>
      </c>
      <c r="J11135" t="s">
        <v>29587</v>
      </c>
      <c r="K11135" t="s">
        <v>38485</v>
      </c>
      <c r="M11135" t="s">
        <v>42165</v>
      </c>
      <c r="N11135" t="s">
        <v>42669</v>
      </c>
      <c r="O11135" t="s">
        <v>42670</v>
      </c>
      <c r="P11135">
        <v>0</v>
      </c>
      <c r="Q11135">
        <v>0</v>
      </c>
      <c r="R11135" t="s">
        <v>42685</v>
      </c>
      <c r="S11135" t="s">
        <v>43317</v>
      </c>
      <c r="T11135" t="s">
        <v>44403</v>
      </c>
      <c r="U11135" t="s">
        <v>53896</v>
      </c>
      <c r="W11135" t="s">
        <v>42165</v>
      </c>
      <c r="X11135" t="s">
        <v>42686</v>
      </c>
    </row>
    <row r="11136" spans="1:24">
      <c r="A11136">
        <f>HYPERLINK("https://www.philgeps.gov.ph/GEPSNONPILOT/Tender/SplashBidNoticeAbstractUI.aspx?menuIndex=3&amp;refID=7165327&amp;Result=3","7165327")</f>
        <v>0</v>
      </c>
      <c r="B11136" t="s">
        <v>1676</v>
      </c>
      <c r="C11136" t="s">
        <v>14167</v>
      </c>
      <c r="D11136" t="s">
        <v>17155</v>
      </c>
      <c r="E11136" t="s">
        <v>26723</v>
      </c>
      <c r="F11136" t="s">
        <v>29372</v>
      </c>
      <c r="G11136" t="s">
        <v>29380</v>
      </c>
      <c r="H11136" t="s">
        <v>29389</v>
      </c>
      <c r="I11136" t="s">
        <v>10408</v>
      </c>
      <c r="J11136" t="s">
        <v>30161</v>
      </c>
      <c r="K11136" t="s">
        <v>38509</v>
      </c>
      <c r="M11136" t="s">
        <v>40536</v>
      </c>
      <c r="N11136" t="s">
        <v>42669</v>
      </c>
      <c r="O11136" t="s">
        <v>42670</v>
      </c>
      <c r="P11136">
        <v>0</v>
      </c>
      <c r="Q11136">
        <v>1</v>
      </c>
      <c r="R11136" t="s">
        <v>42685</v>
      </c>
      <c r="S11136" t="s">
        <v>43317</v>
      </c>
      <c r="T11136" t="s">
        <v>44375</v>
      </c>
      <c r="U11136" t="s">
        <v>53897</v>
      </c>
      <c r="W11136" t="s">
        <v>40536</v>
      </c>
      <c r="X11136" t="s">
        <v>42686</v>
      </c>
    </row>
    <row r="11137" spans="1:24">
      <c r="A11137">
        <f>HYPERLINK("https://www.philgeps.gov.ph/GEPSNONPILOT/Tender/SplashBidNoticeAbstractUI.aspx?menuIndex=3&amp;refID=7165323&amp;Result=3","7165323")</f>
        <v>0</v>
      </c>
      <c r="B11137" t="s">
        <v>1607</v>
      </c>
      <c r="C11137" t="s">
        <v>14168</v>
      </c>
      <c r="D11137" t="s">
        <v>17160</v>
      </c>
      <c r="E11137" t="s">
        <v>21124</v>
      </c>
      <c r="F11137" t="s">
        <v>29372</v>
      </c>
      <c r="G11137" t="s">
        <v>29380</v>
      </c>
      <c r="H11137" t="s">
        <v>11048</v>
      </c>
      <c r="I11137" t="s">
        <v>29461</v>
      </c>
      <c r="J11137" t="s">
        <v>36564</v>
      </c>
      <c r="K11137" t="s">
        <v>38485</v>
      </c>
      <c r="M11137" t="s">
        <v>40460</v>
      </c>
      <c r="N11137" t="s">
        <v>42669</v>
      </c>
      <c r="O11137" t="s">
        <v>42670</v>
      </c>
      <c r="Q11137">
        <v>4</v>
      </c>
      <c r="R11137" t="s">
        <v>42685</v>
      </c>
      <c r="S11137" t="s">
        <v>43331</v>
      </c>
      <c r="T11137" t="s">
        <v>44802</v>
      </c>
      <c r="U11137" t="s">
        <v>53898</v>
      </c>
      <c r="W11137" t="s">
        <v>40460</v>
      </c>
      <c r="X11137" t="s">
        <v>42686</v>
      </c>
    </row>
    <row r="11138" spans="1:24">
      <c r="A11138">
        <f>HYPERLINK("https://www.philgeps.gov.ph/GEPSNONPILOT/Tender/SplashBidNoticeAbstractUI.aspx?menuIndex=3&amp;refID=7165092&amp;Result=3","7165092")</f>
        <v>0</v>
      </c>
      <c r="B11138" t="s">
        <v>1562</v>
      </c>
      <c r="C11138" t="s">
        <v>14169</v>
      </c>
      <c r="D11138" t="s">
        <v>17167</v>
      </c>
      <c r="E11138" t="s">
        <v>23772</v>
      </c>
      <c r="F11138" t="s">
        <v>29372</v>
      </c>
      <c r="G11138" t="s">
        <v>29380</v>
      </c>
      <c r="H11138" t="s">
        <v>11048</v>
      </c>
      <c r="I11138" t="s">
        <v>4709</v>
      </c>
      <c r="J11138" t="s">
        <v>36565</v>
      </c>
      <c r="K11138" t="s">
        <v>38485</v>
      </c>
      <c r="M11138" t="s">
        <v>40412</v>
      </c>
      <c r="N11138" t="s">
        <v>42669</v>
      </c>
      <c r="O11138" t="s">
        <v>42670</v>
      </c>
      <c r="P11138">
        <v>0</v>
      </c>
      <c r="Q11138">
        <v>0</v>
      </c>
      <c r="R11138" t="s">
        <v>42685</v>
      </c>
      <c r="S11138" t="s">
        <v>43317</v>
      </c>
      <c r="T11138" t="s">
        <v>44491</v>
      </c>
      <c r="U11138" t="s">
        <v>53899</v>
      </c>
      <c r="V11138" t="s">
        <v>57605</v>
      </c>
      <c r="W11138" t="s">
        <v>40412</v>
      </c>
      <c r="X11138" t="s">
        <v>42686</v>
      </c>
    </row>
    <row r="11139" spans="1:24">
      <c r="A11139">
        <f>HYPERLINK("https://www.philgeps.gov.ph/GEPSNONPILOT/Tender/SplashBidNoticeAbstractUI.aspx?menuIndex=3&amp;refID=7165304&amp;Result=3","7165304")</f>
        <v>0</v>
      </c>
      <c r="B11139" t="s">
        <v>2464</v>
      </c>
      <c r="C11139" t="s">
        <v>14170</v>
      </c>
      <c r="D11139" t="s">
        <v>17181</v>
      </c>
      <c r="E11139" t="s">
        <v>26724</v>
      </c>
      <c r="F11139" t="s">
        <v>29372</v>
      </c>
      <c r="G11139" t="s">
        <v>29380</v>
      </c>
      <c r="H11139" t="s">
        <v>11048</v>
      </c>
      <c r="I11139" t="s">
        <v>9469</v>
      </c>
      <c r="J11139" t="s">
        <v>36566</v>
      </c>
      <c r="K11139" t="s">
        <v>38567</v>
      </c>
      <c r="M11139" t="s">
        <v>41413</v>
      </c>
      <c r="N11139" t="s">
        <v>42669</v>
      </c>
      <c r="O11139" t="s">
        <v>42670</v>
      </c>
      <c r="P11139">
        <v>0</v>
      </c>
      <c r="Q11139">
        <v>6</v>
      </c>
      <c r="R11139" t="s">
        <v>42685</v>
      </c>
      <c r="S11139" t="s">
        <v>43317</v>
      </c>
      <c r="T11139" t="s">
        <v>44375</v>
      </c>
      <c r="U11139" t="s">
        <v>53900</v>
      </c>
      <c r="W11139" t="s">
        <v>41413</v>
      </c>
      <c r="X11139" t="s">
        <v>42686</v>
      </c>
    </row>
    <row r="11140" spans="1:24">
      <c r="A11140">
        <f>HYPERLINK("https://www.philgeps.gov.ph/GEPSNONPILOT/Tender/SplashBidNoticeAbstractUI.aspx?menuIndex=3&amp;refID=7165350&amp;Result=3","7165350")</f>
        <v>0</v>
      </c>
      <c r="B11140" t="s">
        <v>3127</v>
      </c>
      <c r="C11140" t="s">
        <v>14171</v>
      </c>
      <c r="D11140" t="s">
        <v>17174</v>
      </c>
      <c r="E11140" t="s">
        <v>26725</v>
      </c>
      <c r="F11140" t="s">
        <v>29372</v>
      </c>
      <c r="G11140" t="s">
        <v>29380</v>
      </c>
      <c r="H11140" t="s">
        <v>29389</v>
      </c>
      <c r="I11140" t="s">
        <v>10408</v>
      </c>
      <c r="J11140" t="s">
        <v>29587</v>
      </c>
      <c r="K11140" t="s">
        <v>38496</v>
      </c>
      <c r="M11140" t="s">
        <v>42170</v>
      </c>
      <c r="N11140" t="s">
        <v>42669</v>
      </c>
      <c r="O11140" t="s">
        <v>42670</v>
      </c>
      <c r="P11140">
        <v>0</v>
      </c>
      <c r="Q11140">
        <v>0</v>
      </c>
      <c r="R11140" t="s">
        <v>42685</v>
      </c>
      <c r="S11140" t="s">
        <v>43317</v>
      </c>
      <c r="T11140" t="s">
        <v>44527</v>
      </c>
      <c r="U11140" t="s">
        <v>53901</v>
      </c>
      <c r="V11140" t="s">
        <v>57606</v>
      </c>
      <c r="W11140" t="s">
        <v>42170</v>
      </c>
      <c r="X11140" t="s">
        <v>42686</v>
      </c>
    </row>
    <row r="11141" spans="1:24">
      <c r="A11141">
        <f>HYPERLINK("https://www.philgeps.gov.ph/GEPSNONPILOT/Tender/SplashBidNoticeAbstractUI.aspx?menuIndex=3&amp;refID=7165295&amp;Result=3","7165295")</f>
        <v>0</v>
      </c>
      <c r="B11141" t="s">
        <v>1447</v>
      </c>
      <c r="C11141" t="s">
        <v>14172</v>
      </c>
      <c r="D11141" t="s">
        <v>17182</v>
      </c>
      <c r="E11141" t="s">
        <v>26726</v>
      </c>
      <c r="F11141" t="s">
        <v>29372</v>
      </c>
      <c r="G11141" t="s">
        <v>29380</v>
      </c>
      <c r="H11141" t="s">
        <v>11048</v>
      </c>
      <c r="I11141" t="s">
        <v>29415</v>
      </c>
      <c r="J11141" t="s">
        <v>36567</v>
      </c>
      <c r="K11141" t="s">
        <v>38496</v>
      </c>
      <c r="M11141" t="s">
        <v>40288</v>
      </c>
      <c r="N11141" t="s">
        <v>42669</v>
      </c>
      <c r="O11141" t="s">
        <v>42670</v>
      </c>
      <c r="Q11141">
        <v>6</v>
      </c>
      <c r="R11141" t="s">
        <v>42685</v>
      </c>
      <c r="S11141" t="s">
        <v>43332</v>
      </c>
      <c r="T11141" t="s">
        <v>44444</v>
      </c>
      <c r="U11141" t="s">
        <v>53902</v>
      </c>
      <c r="V11141" t="s">
        <v>57607</v>
      </c>
      <c r="W11141" t="s">
        <v>40288</v>
      </c>
      <c r="X11141" t="s">
        <v>42686</v>
      </c>
    </row>
    <row r="11142" spans="1:24">
      <c r="A11142">
        <f>HYPERLINK("https://www.philgeps.gov.ph/GEPSNONPILOT/Tender/SplashBidNoticeAbstractUI.aspx?menuIndex=3&amp;refID=7165311&amp;Result=3","7165311")</f>
        <v>0</v>
      </c>
      <c r="B11142" t="s">
        <v>3128</v>
      </c>
      <c r="C11142" t="s">
        <v>14173</v>
      </c>
      <c r="D11142" t="s">
        <v>17171</v>
      </c>
      <c r="E11142" t="s">
        <v>26727</v>
      </c>
      <c r="F11142" t="s">
        <v>29372</v>
      </c>
      <c r="G11142" t="s">
        <v>29380</v>
      </c>
      <c r="H11142" t="s">
        <v>11048</v>
      </c>
      <c r="I11142" t="s">
        <v>29424</v>
      </c>
      <c r="J11142" t="s">
        <v>36568</v>
      </c>
      <c r="K11142" t="s">
        <v>38528</v>
      </c>
      <c r="M11142" t="s">
        <v>42171</v>
      </c>
      <c r="N11142" t="s">
        <v>42669</v>
      </c>
      <c r="O11142" t="s">
        <v>42670</v>
      </c>
      <c r="P11142">
        <v>0</v>
      </c>
      <c r="Q11142">
        <v>1</v>
      </c>
      <c r="R11142" t="s">
        <v>42685</v>
      </c>
      <c r="S11142" t="s">
        <v>43317</v>
      </c>
      <c r="T11142" t="s">
        <v>44509</v>
      </c>
      <c r="U11142" t="s">
        <v>53903</v>
      </c>
      <c r="W11142" t="s">
        <v>42171</v>
      </c>
      <c r="X11142" t="s">
        <v>42686</v>
      </c>
    </row>
    <row r="11143" spans="1:24">
      <c r="A11143">
        <f>HYPERLINK("https://www.philgeps.gov.ph/GEPSNONPILOT/Tender/SplashBidNoticeAbstractUI.aspx?menuIndex=3&amp;refID=7165303&amp;Result=3","7165303")</f>
        <v>0</v>
      </c>
      <c r="B11143" t="s">
        <v>1404</v>
      </c>
      <c r="C11143" t="s">
        <v>14174</v>
      </c>
      <c r="D11143" t="s">
        <v>17189</v>
      </c>
      <c r="E11143" t="s">
        <v>17740</v>
      </c>
      <c r="F11143" t="s">
        <v>29372</v>
      </c>
      <c r="G11143" t="s">
        <v>29380</v>
      </c>
      <c r="H11143" t="s">
        <v>29389</v>
      </c>
      <c r="I11143" t="s">
        <v>10408</v>
      </c>
      <c r="J11143" t="s">
        <v>36569</v>
      </c>
      <c r="K11143" t="s">
        <v>38564</v>
      </c>
      <c r="M11143" t="s">
        <v>40243</v>
      </c>
      <c r="N11143" t="s">
        <v>42669</v>
      </c>
      <c r="O11143" t="s">
        <v>42670</v>
      </c>
      <c r="P11143">
        <v>0</v>
      </c>
      <c r="Q11143">
        <v>0</v>
      </c>
      <c r="R11143" t="s">
        <v>42685</v>
      </c>
      <c r="S11143" t="s">
        <v>43317</v>
      </c>
      <c r="T11143" t="s">
        <v>44391</v>
      </c>
      <c r="U11143" t="s">
        <v>53904</v>
      </c>
      <c r="W11143" t="s">
        <v>40243</v>
      </c>
      <c r="X11143" t="s">
        <v>42686</v>
      </c>
    </row>
    <row r="11144" spans="1:24">
      <c r="A11144">
        <f>HYPERLINK("https://www.philgeps.gov.ph/GEPSNONPILOT/Tender/SplashBidNoticeAbstractUI.aspx?menuIndex=3&amp;refID=7165299&amp;Result=3","7165299")</f>
        <v>0</v>
      </c>
      <c r="B11144" t="s">
        <v>2844</v>
      </c>
      <c r="C11144" t="s">
        <v>14175</v>
      </c>
      <c r="D11144" t="s">
        <v>17171</v>
      </c>
      <c r="E11144" t="s">
        <v>26728</v>
      </c>
      <c r="F11144" t="s">
        <v>29372</v>
      </c>
      <c r="G11144" t="s">
        <v>29380</v>
      </c>
      <c r="H11144" t="s">
        <v>11048</v>
      </c>
      <c r="I11144" t="s">
        <v>29393</v>
      </c>
      <c r="J11144" t="s">
        <v>36570</v>
      </c>
      <c r="K11144" t="s">
        <v>38518</v>
      </c>
      <c r="M11144" t="s">
        <v>41837</v>
      </c>
      <c r="N11144" t="s">
        <v>42669</v>
      </c>
      <c r="O11144" t="s">
        <v>42670</v>
      </c>
      <c r="P11144">
        <v>0</v>
      </c>
      <c r="Q11144">
        <v>1</v>
      </c>
      <c r="R11144" t="s">
        <v>42685</v>
      </c>
      <c r="S11144" t="s">
        <v>43317</v>
      </c>
      <c r="T11144" t="s">
        <v>44411</v>
      </c>
      <c r="U11144" t="s">
        <v>53905</v>
      </c>
      <c r="W11144" t="s">
        <v>41837</v>
      </c>
      <c r="X11144" t="s">
        <v>42686</v>
      </c>
    </row>
    <row r="11145" spans="1:24">
      <c r="A11145">
        <f>HYPERLINK("https://www.philgeps.gov.ph/GEPSNONPILOT/Tender/SplashBidNoticeAbstractUI.aspx?menuIndex=3&amp;refID=7165512&amp;Result=3","7165512")</f>
        <v>0</v>
      </c>
      <c r="B11145" t="s">
        <v>134</v>
      </c>
      <c r="C11145" t="s">
        <v>14176</v>
      </c>
      <c r="D11145" t="s">
        <v>17177</v>
      </c>
      <c r="E11145" t="s">
        <v>26729</v>
      </c>
      <c r="F11145" t="s">
        <v>29372</v>
      </c>
      <c r="G11145" t="s">
        <v>29380</v>
      </c>
      <c r="H11145" t="s">
        <v>29389</v>
      </c>
      <c r="I11145" t="s">
        <v>10408</v>
      </c>
      <c r="J11145" t="s">
        <v>29788</v>
      </c>
      <c r="K11145" t="s">
        <v>38485</v>
      </c>
      <c r="M11145" t="s">
        <v>38889</v>
      </c>
      <c r="N11145" t="s">
        <v>42669</v>
      </c>
      <c r="O11145" t="s">
        <v>42670</v>
      </c>
      <c r="P11145">
        <v>0</v>
      </c>
      <c r="Q11145">
        <v>0</v>
      </c>
      <c r="R11145" t="s">
        <v>42685</v>
      </c>
      <c r="S11145" t="s">
        <v>43317</v>
      </c>
      <c r="T11145" t="s">
        <v>44373</v>
      </c>
      <c r="U11145" t="s">
        <v>53906</v>
      </c>
      <c r="V11145" t="s">
        <v>56517</v>
      </c>
      <c r="W11145" t="s">
        <v>38889</v>
      </c>
      <c r="X11145" t="s">
        <v>42686</v>
      </c>
    </row>
    <row r="11146" spans="1:24">
      <c r="A11146">
        <f>HYPERLINK("https://www.philgeps.gov.ph/GEPSNONPILOT/Tender/SplashBidNoticeAbstractUI.aspx?menuIndex=3&amp;refID=7165503&amp;Result=3","7165503")</f>
        <v>0</v>
      </c>
      <c r="B11146" t="s">
        <v>3129</v>
      </c>
      <c r="C11146" t="s">
        <v>14177</v>
      </c>
      <c r="E11146" t="s">
        <v>26730</v>
      </c>
      <c r="F11146" t="s">
        <v>29372</v>
      </c>
      <c r="G11146" t="s">
        <v>29380</v>
      </c>
      <c r="H11146" t="s">
        <v>11048</v>
      </c>
      <c r="I11146" t="s">
        <v>5383</v>
      </c>
      <c r="J11146" t="s">
        <v>36571</v>
      </c>
      <c r="K11146" t="s">
        <v>38490</v>
      </c>
      <c r="M11146" t="s">
        <v>42172</v>
      </c>
      <c r="N11146" t="s">
        <v>42669</v>
      </c>
      <c r="O11146" t="s">
        <v>42670</v>
      </c>
      <c r="P11146">
        <v>0</v>
      </c>
      <c r="Q11146">
        <v>0</v>
      </c>
      <c r="R11146" t="s">
        <v>42685</v>
      </c>
      <c r="S11146" t="s">
        <v>43317</v>
      </c>
      <c r="T11146" t="s">
        <v>44375</v>
      </c>
      <c r="U11146" t="s">
        <v>53907</v>
      </c>
      <c r="W11146" t="s">
        <v>42172</v>
      </c>
      <c r="X11146" t="s">
        <v>42686</v>
      </c>
    </row>
    <row r="11147" spans="1:24">
      <c r="A11147">
        <f>HYPERLINK("https://www.philgeps.gov.ph/GEPSNONPILOT/Tender/SplashBidNoticeAbstractUI.aspx?menuIndex=3&amp;refID=7165507&amp;Result=3","7165507")</f>
        <v>0</v>
      </c>
      <c r="B11147" t="s">
        <v>196</v>
      </c>
      <c r="C11147" t="s">
        <v>14178</v>
      </c>
      <c r="D11147" t="s">
        <v>17166</v>
      </c>
      <c r="E11147" t="s">
        <v>26731</v>
      </c>
      <c r="F11147" t="s">
        <v>29372</v>
      </c>
      <c r="G11147" t="s">
        <v>29380</v>
      </c>
      <c r="H11147" t="s">
        <v>29389</v>
      </c>
      <c r="I11147" t="s">
        <v>10408</v>
      </c>
      <c r="J11147" t="s">
        <v>36572</v>
      </c>
      <c r="K11147" t="s">
        <v>38528</v>
      </c>
      <c r="M11147" t="s">
        <v>42173</v>
      </c>
      <c r="N11147" t="s">
        <v>42669</v>
      </c>
      <c r="O11147" t="s">
        <v>42670</v>
      </c>
      <c r="P11147">
        <v>0</v>
      </c>
      <c r="Q11147">
        <v>0</v>
      </c>
      <c r="R11147" t="s">
        <v>42685</v>
      </c>
      <c r="S11147" t="s">
        <v>43317</v>
      </c>
      <c r="T11147" t="s">
        <v>44527</v>
      </c>
      <c r="U11147" t="s">
        <v>53908</v>
      </c>
      <c r="W11147" t="s">
        <v>58083</v>
      </c>
      <c r="X11147" t="s">
        <v>42686</v>
      </c>
    </row>
    <row r="11148" spans="1:24">
      <c r="A11148">
        <f>HYPERLINK("https://www.philgeps.gov.ph/GEPSNONPILOT/Tender/SplashBidNoticeAbstractUI.aspx?menuIndex=3&amp;refID=7165126&amp;Result=3","7165126")</f>
        <v>0</v>
      </c>
      <c r="B11148" t="s">
        <v>669</v>
      </c>
      <c r="C11148" t="s">
        <v>14179</v>
      </c>
      <c r="D11148" t="s">
        <v>17147</v>
      </c>
      <c r="E11148" t="s">
        <v>26732</v>
      </c>
      <c r="F11148" t="s">
        <v>29372</v>
      </c>
      <c r="G11148" t="s">
        <v>29380</v>
      </c>
      <c r="H11148" t="s">
        <v>11048</v>
      </c>
      <c r="I11148" t="s">
        <v>29407</v>
      </c>
      <c r="J11148" t="s">
        <v>29549</v>
      </c>
      <c r="K11148" t="s">
        <v>38488</v>
      </c>
      <c r="M11148" t="s">
        <v>42069</v>
      </c>
      <c r="N11148" t="s">
        <v>42669</v>
      </c>
      <c r="O11148" t="s">
        <v>42670</v>
      </c>
      <c r="P11148">
        <v>0</v>
      </c>
      <c r="Q11148">
        <v>3</v>
      </c>
      <c r="R11148" t="s">
        <v>42685</v>
      </c>
      <c r="S11148" t="s">
        <v>43317</v>
      </c>
      <c r="T11148" t="s">
        <v>44411</v>
      </c>
      <c r="U11148" t="s">
        <v>53909</v>
      </c>
      <c r="V11148" t="s">
        <v>56460</v>
      </c>
      <c r="W11148" t="s">
        <v>42069</v>
      </c>
      <c r="X11148" t="s">
        <v>42686</v>
      </c>
    </row>
    <row r="11149" spans="1:24">
      <c r="A11149">
        <f>HYPERLINK("https://www.philgeps.gov.ph/GEPSNONPILOT/Tender/SplashBidNoticeAbstractUI.aspx?menuIndex=3&amp;refID=7165489&amp;Result=3","7165489")</f>
        <v>0</v>
      </c>
      <c r="B11149" t="s">
        <v>772</v>
      </c>
      <c r="C11149" t="s">
        <v>14180</v>
      </c>
      <c r="D11149" t="s">
        <v>17187</v>
      </c>
      <c r="E11149" t="s">
        <v>26733</v>
      </c>
      <c r="F11149" t="s">
        <v>29372</v>
      </c>
      <c r="G11149" t="s">
        <v>29380</v>
      </c>
      <c r="H11149" t="s">
        <v>29389</v>
      </c>
      <c r="I11149" t="s">
        <v>10408</v>
      </c>
      <c r="J11149" t="s">
        <v>29543</v>
      </c>
      <c r="K11149" t="s">
        <v>38487</v>
      </c>
      <c r="M11149" t="s">
        <v>39556</v>
      </c>
      <c r="N11149" t="s">
        <v>42669</v>
      </c>
      <c r="O11149" t="s">
        <v>42670</v>
      </c>
      <c r="P11149">
        <v>0</v>
      </c>
      <c r="Q11149">
        <v>0</v>
      </c>
      <c r="R11149" t="s">
        <v>42685</v>
      </c>
      <c r="S11149" t="s">
        <v>43317</v>
      </c>
      <c r="T11149" t="s">
        <v>44401</v>
      </c>
      <c r="U11149" t="s">
        <v>46442</v>
      </c>
      <c r="W11149" t="s">
        <v>39556</v>
      </c>
      <c r="X11149" t="s">
        <v>42686</v>
      </c>
    </row>
    <row r="11150" spans="1:24">
      <c r="A11150">
        <f>HYPERLINK("https://www.philgeps.gov.ph/GEPSNONPILOT/Tender/SplashBidNoticeAbstractUI.aspx?menuIndex=3&amp;refID=7165484&amp;Result=3","7165484")</f>
        <v>0</v>
      </c>
      <c r="B11150" t="s">
        <v>579</v>
      </c>
      <c r="C11150" t="s">
        <v>14181</v>
      </c>
      <c r="D11150" t="s">
        <v>17141</v>
      </c>
      <c r="E11150" t="s">
        <v>26734</v>
      </c>
      <c r="F11150" t="s">
        <v>29373</v>
      </c>
      <c r="G11150" t="s">
        <v>29380</v>
      </c>
      <c r="H11150" t="s">
        <v>11048</v>
      </c>
      <c r="I11150" t="s">
        <v>29426</v>
      </c>
      <c r="J11150" t="s">
        <v>29590</v>
      </c>
      <c r="K11150" t="s">
        <v>38485</v>
      </c>
      <c r="M11150" t="s">
        <v>39348</v>
      </c>
      <c r="N11150" t="s">
        <v>42669</v>
      </c>
      <c r="O11150" t="s">
        <v>42670</v>
      </c>
      <c r="P11150">
        <v>0</v>
      </c>
      <c r="Q11150">
        <v>6</v>
      </c>
      <c r="R11150" t="s">
        <v>42685</v>
      </c>
      <c r="S11150" t="s">
        <v>43317</v>
      </c>
      <c r="T11150" t="s">
        <v>44432</v>
      </c>
      <c r="U11150" t="s">
        <v>53910</v>
      </c>
      <c r="V11150" t="s">
        <v>56504</v>
      </c>
      <c r="W11150" t="s">
        <v>39348</v>
      </c>
      <c r="X11150" t="s">
        <v>42686</v>
      </c>
    </row>
    <row r="11151" spans="1:24">
      <c r="A11151">
        <f>HYPERLINK("https://www.philgeps.gov.ph/GEPSNONPILOT/Tender/SplashBidNoticeAbstractUI.aspx?menuIndex=3&amp;refID=7165452&amp;Result=3","7165452")</f>
        <v>0</v>
      </c>
      <c r="B11151" t="s">
        <v>134</v>
      </c>
      <c r="C11151" t="s">
        <v>14182</v>
      </c>
      <c r="D11151" t="s">
        <v>17177</v>
      </c>
      <c r="E11151" t="s">
        <v>26735</v>
      </c>
      <c r="F11151" t="s">
        <v>29372</v>
      </c>
      <c r="G11151" t="s">
        <v>29380</v>
      </c>
      <c r="H11151" t="s">
        <v>29389</v>
      </c>
      <c r="I11151" t="s">
        <v>10408</v>
      </c>
      <c r="J11151" t="s">
        <v>29801</v>
      </c>
      <c r="K11151" t="s">
        <v>38496</v>
      </c>
      <c r="M11151" t="s">
        <v>38889</v>
      </c>
      <c r="N11151" t="s">
        <v>42669</v>
      </c>
      <c r="O11151" t="s">
        <v>42670</v>
      </c>
      <c r="P11151">
        <v>0</v>
      </c>
      <c r="Q11151">
        <v>0</v>
      </c>
      <c r="R11151" t="s">
        <v>42685</v>
      </c>
      <c r="S11151" t="s">
        <v>43317</v>
      </c>
      <c r="T11151" t="s">
        <v>44373</v>
      </c>
      <c r="U11151" t="s">
        <v>53911</v>
      </c>
      <c r="V11151" t="s">
        <v>56517</v>
      </c>
      <c r="W11151" t="s">
        <v>38889</v>
      </c>
      <c r="X11151" t="s">
        <v>42686</v>
      </c>
    </row>
    <row r="11152" spans="1:24">
      <c r="A11152">
        <f>HYPERLINK("https://www.philgeps.gov.ph/GEPSNONPILOT/Tender/SplashBidNoticeAbstractUI.aspx?menuIndex=3&amp;refID=7165447&amp;Result=3","7165447")</f>
        <v>0</v>
      </c>
      <c r="B11152" t="s">
        <v>3130</v>
      </c>
      <c r="C11152" t="s">
        <v>14183</v>
      </c>
      <c r="D11152" t="s">
        <v>17171</v>
      </c>
      <c r="E11152" t="s">
        <v>26736</v>
      </c>
      <c r="F11152" t="s">
        <v>29372</v>
      </c>
      <c r="G11152" t="s">
        <v>29380</v>
      </c>
      <c r="H11152" t="s">
        <v>11048</v>
      </c>
      <c r="I11152" t="s">
        <v>6417</v>
      </c>
      <c r="J11152" t="s">
        <v>30161</v>
      </c>
      <c r="K11152" t="s">
        <v>38518</v>
      </c>
      <c r="M11152" t="s">
        <v>42174</v>
      </c>
      <c r="N11152" t="s">
        <v>42669</v>
      </c>
      <c r="O11152" t="s">
        <v>42670</v>
      </c>
      <c r="P11152">
        <v>0</v>
      </c>
      <c r="Q11152">
        <v>8</v>
      </c>
      <c r="R11152" t="s">
        <v>42685</v>
      </c>
      <c r="S11152" t="s">
        <v>43317</v>
      </c>
      <c r="T11152" t="s">
        <v>44666</v>
      </c>
      <c r="U11152" t="s">
        <v>53912</v>
      </c>
      <c r="V11152" t="s">
        <v>57608</v>
      </c>
      <c r="W11152" t="s">
        <v>58112</v>
      </c>
      <c r="X11152" t="s">
        <v>42686</v>
      </c>
    </row>
    <row r="11153" spans="1:24">
      <c r="A11153">
        <f>HYPERLINK("https://www.philgeps.gov.ph/GEPSNONPILOT/Tender/SplashBidNoticeAbstractUI.aspx?menuIndex=3&amp;refID=7165453&amp;Result=3","7165453")</f>
        <v>0</v>
      </c>
      <c r="B11153" t="s">
        <v>130</v>
      </c>
      <c r="C11153" t="s">
        <v>14184</v>
      </c>
      <c r="D11153" t="s">
        <v>17185</v>
      </c>
      <c r="E11153" t="s">
        <v>26737</v>
      </c>
      <c r="F11153" t="s">
        <v>29372</v>
      </c>
      <c r="G11153" t="s">
        <v>29380</v>
      </c>
      <c r="H11153" t="s">
        <v>11048</v>
      </c>
      <c r="I11153" t="s">
        <v>8614</v>
      </c>
      <c r="J11153" t="s">
        <v>36573</v>
      </c>
      <c r="K11153" t="s">
        <v>38490</v>
      </c>
      <c r="M11153" t="s">
        <v>38885</v>
      </c>
      <c r="N11153" t="s">
        <v>42669</v>
      </c>
      <c r="O11153" t="s">
        <v>42670</v>
      </c>
      <c r="P11153">
        <v>0</v>
      </c>
      <c r="Q11153">
        <v>11</v>
      </c>
      <c r="R11153" t="s">
        <v>42685</v>
      </c>
      <c r="S11153" t="s">
        <v>43317</v>
      </c>
      <c r="T11153" t="s">
        <v>44412</v>
      </c>
      <c r="U11153" t="s">
        <v>53913</v>
      </c>
      <c r="W11153" t="s">
        <v>38885</v>
      </c>
      <c r="X11153" t="s">
        <v>42686</v>
      </c>
    </row>
    <row r="11154" spans="1:24">
      <c r="A11154">
        <f>HYPERLINK("https://www.philgeps.gov.ph/GEPSNONPILOT/Tender/SplashBidNoticeAbstractUI.aspx?menuIndex=3&amp;refID=7165440&amp;Result=3","7165440")</f>
        <v>0</v>
      </c>
      <c r="B11154" t="s">
        <v>1429</v>
      </c>
      <c r="C11154" t="s">
        <v>14185</v>
      </c>
      <c r="E11154" t="s">
        <v>26738</v>
      </c>
      <c r="F11154" t="s">
        <v>29372</v>
      </c>
      <c r="G11154" t="s">
        <v>29380</v>
      </c>
      <c r="H11154" t="s">
        <v>29389</v>
      </c>
      <c r="I11154" t="s">
        <v>10408</v>
      </c>
      <c r="J11154" t="s">
        <v>36574</v>
      </c>
      <c r="K11154" t="s">
        <v>38533</v>
      </c>
      <c r="M11154" t="s">
        <v>41466</v>
      </c>
      <c r="N11154" t="s">
        <v>42669</v>
      </c>
      <c r="O11154" t="s">
        <v>42670</v>
      </c>
      <c r="P11154">
        <v>0</v>
      </c>
      <c r="Q11154">
        <v>3</v>
      </c>
      <c r="R11154" t="s">
        <v>42685</v>
      </c>
      <c r="S11154" t="s">
        <v>43317</v>
      </c>
      <c r="T11154" t="s">
        <v>44485</v>
      </c>
      <c r="U11154" t="s">
        <v>53914</v>
      </c>
      <c r="W11154" t="s">
        <v>41466</v>
      </c>
      <c r="X11154" t="s">
        <v>42686</v>
      </c>
    </row>
    <row r="11155" spans="1:24">
      <c r="A11155">
        <f>HYPERLINK("https://www.philgeps.gov.ph/GEPSNONPILOT/Tender/SplashBidNoticeAbstractUI.aspx?menuIndex=3&amp;refID=7165504&amp;Result=3","7165504")</f>
        <v>0</v>
      </c>
      <c r="B11155" t="s">
        <v>130</v>
      </c>
      <c r="C11155" t="s">
        <v>14186</v>
      </c>
      <c r="D11155" t="s">
        <v>17185</v>
      </c>
      <c r="E11155" t="s">
        <v>26739</v>
      </c>
      <c r="F11155" t="s">
        <v>29372</v>
      </c>
      <c r="G11155" t="s">
        <v>29380</v>
      </c>
      <c r="H11155" t="s">
        <v>11048</v>
      </c>
      <c r="I11155" t="s">
        <v>29423</v>
      </c>
      <c r="J11155" t="s">
        <v>29543</v>
      </c>
      <c r="K11155" t="s">
        <v>38490</v>
      </c>
      <c r="M11155" t="s">
        <v>38885</v>
      </c>
      <c r="N11155" t="s">
        <v>42669</v>
      </c>
      <c r="O11155" t="s">
        <v>42670</v>
      </c>
      <c r="P11155">
        <v>0</v>
      </c>
      <c r="Q11155">
        <v>11</v>
      </c>
      <c r="R11155" t="s">
        <v>42685</v>
      </c>
      <c r="S11155" t="s">
        <v>43317</v>
      </c>
      <c r="T11155" t="s">
        <v>44412</v>
      </c>
      <c r="U11155" t="s">
        <v>53915</v>
      </c>
      <c r="W11155" t="s">
        <v>38885</v>
      </c>
      <c r="X11155" t="s">
        <v>42686</v>
      </c>
    </row>
    <row r="11156" spans="1:24">
      <c r="A11156">
        <f>HYPERLINK("https://www.philgeps.gov.ph/GEPSNONPILOT/Tender/SplashBidNoticeAbstractUI.aspx?menuIndex=3&amp;refID=7165471&amp;Result=3","7165471")</f>
        <v>0</v>
      </c>
      <c r="B11156" t="s">
        <v>1429</v>
      </c>
      <c r="C11156" t="s">
        <v>14187</v>
      </c>
      <c r="E11156" t="s">
        <v>26740</v>
      </c>
      <c r="F11156" t="s">
        <v>29372</v>
      </c>
      <c r="G11156" t="s">
        <v>29380</v>
      </c>
      <c r="H11156" t="s">
        <v>29389</v>
      </c>
      <c r="I11156" t="s">
        <v>10408</v>
      </c>
      <c r="J11156" t="s">
        <v>36575</v>
      </c>
      <c r="K11156" t="s">
        <v>38564</v>
      </c>
      <c r="M11156" t="s">
        <v>41466</v>
      </c>
      <c r="N11156" t="s">
        <v>42669</v>
      </c>
      <c r="O11156" t="s">
        <v>42670</v>
      </c>
      <c r="P11156">
        <v>0</v>
      </c>
      <c r="Q11156">
        <v>4</v>
      </c>
      <c r="R11156" t="s">
        <v>42685</v>
      </c>
      <c r="S11156" t="s">
        <v>43317</v>
      </c>
      <c r="T11156" t="s">
        <v>44485</v>
      </c>
      <c r="U11156" t="s">
        <v>53916</v>
      </c>
      <c r="W11156" t="s">
        <v>41466</v>
      </c>
      <c r="X11156" t="s">
        <v>42686</v>
      </c>
    </row>
    <row r="11157" spans="1:24">
      <c r="A11157">
        <f>HYPERLINK("https://www.philgeps.gov.ph/GEPSNONPILOT/Tender/SplashBidNoticeAbstractUI.aspx?menuIndex=3&amp;refID=7165441&amp;Result=3","7165441")</f>
        <v>0</v>
      </c>
      <c r="B11157" t="s">
        <v>3117</v>
      </c>
      <c r="C11157" t="s">
        <v>14188</v>
      </c>
      <c r="D11157" t="s">
        <v>17190</v>
      </c>
      <c r="E11157" t="s">
        <v>26741</v>
      </c>
      <c r="F11157" t="s">
        <v>29372</v>
      </c>
      <c r="G11157" t="s">
        <v>29380</v>
      </c>
      <c r="H11157" t="s">
        <v>29389</v>
      </c>
      <c r="I11157" t="s">
        <v>10408</v>
      </c>
      <c r="J11157" t="s">
        <v>36576</v>
      </c>
      <c r="K11157" t="s">
        <v>38495</v>
      </c>
      <c r="M11157" t="s">
        <v>42160</v>
      </c>
      <c r="N11157" t="s">
        <v>42669</v>
      </c>
      <c r="O11157" t="s">
        <v>42670</v>
      </c>
      <c r="P11157">
        <v>0</v>
      </c>
      <c r="Q11157">
        <v>2</v>
      </c>
      <c r="R11157" t="s">
        <v>42685</v>
      </c>
      <c r="S11157" t="s">
        <v>43317</v>
      </c>
      <c r="T11157" t="s">
        <v>44805</v>
      </c>
      <c r="U11157" t="s">
        <v>53917</v>
      </c>
      <c r="W11157" t="s">
        <v>42160</v>
      </c>
      <c r="X11157" t="s">
        <v>42686</v>
      </c>
    </row>
    <row r="11158" spans="1:24">
      <c r="A11158">
        <f>HYPERLINK("https://www.philgeps.gov.ph/GEPSNONPILOT/Tender/SplashBidNoticeAbstractUI.aspx?menuIndex=3&amp;refID=7165647&amp;Result=3","7165647")</f>
        <v>0</v>
      </c>
      <c r="B11158" t="s">
        <v>3131</v>
      </c>
      <c r="C11158" t="s">
        <v>14189</v>
      </c>
      <c r="D11158" t="s">
        <v>17205</v>
      </c>
      <c r="E11158" t="s">
        <v>26742</v>
      </c>
      <c r="F11158" t="s">
        <v>29372</v>
      </c>
      <c r="G11158" t="s">
        <v>29380</v>
      </c>
      <c r="H11158" t="s">
        <v>11048</v>
      </c>
      <c r="I11158" t="s">
        <v>29447</v>
      </c>
      <c r="J11158" t="s">
        <v>36577</v>
      </c>
      <c r="K11158" t="s">
        <v>38485</v>
      </c>
      <c r="M11158" t="s">
        <v>42175</v>
      </c>
      <c r="N11158" t="s">
        <v>42669</v>
      </c>
      <c r="O11158" t="s">
        <v>42670</v>
      </c>
      <c r="P11158">
        <v>0</v>
      </c>
      <c r="Q11158">
        <v>2</v>
      </c>
      <c r="R11158" t="s">
        <v>42685</v>
      </c>
      <c r="S11158" t="s">
        <v>43317</v>
      </c>
      <c r="T11158" t="s">
        <v>44413</v>
      </c>
      <c r="U11158" t="s">
        <v>53918</v>
      </c>
      <c r="W11158" t="s">
        <v>42175</v>
      </c>
      <c r="X11158" t="s">
        <v>42686</v>
      </c>
    </row>
    <row r="11159" spans="1:24">
      <c r="A11159">
        <f>HYPERLINK("https://www.philgeps.gov.ph/GEPSNONPILOT/Tender/SplashBidNoticeAbstractUI.aspx?menuIndex=3&amp;refID=7165644&amp;Result=3","7165644")</f>
        <v>0</v>
      </c>
      <c r="B11159" t="s">
        <v>138</v>
      </c>
      <c r="C11159" t="s">
        <v>14190</v>
      </c>
      <c r="D11159" t="s">
        <v>17141</v>
      </c>
      <c r="E11159" t="s">
        <v>26743</v>
      </c>
      <c r="F11159" t="s">
        <v>29372</v>
      </c>
      <c r="G11159" t="s">
        <v>29380</v>
      </c>
      <c r="H11159" t="s">
        <v>11048</v>
      </c>
      <c r="I11159" t="s">
        <v>29514</v>
      </c>
      <c r="J11159" t="s">
        <v>36578</v>
      </c>
      <c r="K11159" t="s">
        <v>38490</v>
      </c>
      <c r="M11159" t="s">
        <v>38893</v>
      </c>
      <c r="N11159" t="s">
        <v>42669</v>
      </c>
      <c r="O11159" t="s">
        <v>42670</v>
      </c>
      <c r="P11159">
        <v>0</v>
      </c>
      <c r="Q11159">
        <v>0</v>
      </c>
      <c r="R11159" t="s">
        <v>42685</v>
      </c>
      <c r="S11159" t="s">
        <v>43317</v>
      </c>
      <c r="T11159" t="s">
        <v>44375</v>
      </c>
      <c r="U11159" t="s">
        <v>53919</v>
      </c>
      <c r="V11159" t="s">
        <v>56371</v>
      </c>
      <c r="W11159" t="s">
        <v>38893</v>
      </c>
      <c r="X11159" t="s">
        <v>42686</v>
      </c>
    </row>
    <row r="11160" spans="1:24">
      <c r="A11160">
        <f>HYPERLINK("https://www.philgeps.gov.ph/GEPSNONPILOT/Tender/SplashBidNoticeAbstractUI.aspx?menuIndex=3&amp;refID=7165643&amp;Result=3","7165643")</f>
        <v>0</v>
      </c>
      <c r="B11160" t="s">
        <v>2982</v>
      </c>
      <c r="C11160" t="s">
        <v>14191</v>
      </c>
      <c r="D11160" t="s">
        <v>17177</v>
      </c>
      <c r="E11160" t="s">
        <v>26744</v>
      </c>
      <c r="F11160" t="s">
        <v>29372</v>
      </c>
      <c r="G11160" t="s">
        <v>29380</v>
      </c>
      <c r="H11160" t="s">
        <v>29389</v>
      </c>
      <c r="I11160" t="s">
        <v>10408</v>
      </c>
      <c r="J11160" t="s">
        <v>36579</v>
      </c>
      <c r="K11160" t="s">
        <v>38495</v>
      </c>
      <c r="M11160" t="s">
        <v>41997</v>
      </c>
      <c r="N11160" t="s">
        <v>42669</v>
      </c>
      <c r="O11160" t="s">
        <v>42670</v>
      </c>
      <c r="P11160">
        <v>0</v>
      </c>
      <c r="Q11160">
        <v>0</v>
      </c>
      <c r="R11160" t="s">
        <v>42685</v>
      </c>
      <c r="S11160" t="s">
        <v>43317</v>
      </c>
      <c r="T11160" t="s">
        <v>44357</v>
      </c>
      <c r="U11160" t="s">
        <v>53920</v>
      </c>
      <c r="V11160" t="s">
        <v>57609</v>
      </c>
      <c r="W11160" t="s">
        <v>58105</v>
      </c>
      <c r="X11160" t="s">
        <v>42686</v>
      </c>
    </row>
    <row r="11161" spans="1:24">
      <c r="A11161">
        <f>HYPERLINK("https://www.philgeps.gov.ph/GEPSNONPILOT/Tender/SplashBidNoticeAbstractUI.aspx?menuIndex=3&amp;refID=7165430&amp;Result=3","7165430")</f>
        <v>0</v>
      </c>
      <c r="B11161" t="s">
        <v>1624</v>
      </c>
      <c r="C11161" t="s">
        <v>14192</v>
      </c>
      <c r="D11161" t="s">
        <v>17196</v>
      </c>
      <c r="E11161" t="s">
        <v>26745</v>
      </c>
      <c r="F11161" t="s">
        <v>29372</v>
      </c>
      <c r="G11161" t="s">
        <v>29380</v>
      </c>
      <c r="H11161" t="s">
        <v>11048</v>
      </c>
      <c r="I11161" t="s">
        <v>3839</v>
      </c>
      <c r="J11161" t="s">
        <v>32856</v>
      </c>
      <c r="K11161" t="s">
        <v>38485</v>
      </c>
      <c r="L11161" t="s">
        <v>1624</v>
      </c>
      <c r="M11161" t="s">
        <v>40478</v>
      </c>
      <c r="N11161" t="s">
        <v>42669</v>
      </c>
      <c r="O11161" t="s">
        <v>42670</v>
      </c>
      <c r="Q11161">
        <v>14</v>
      </c>
      <c r="R11161" t="s">
        <v>42685</v>
      </c>
      <c r="S11161" t="s">
        <v>43333</v>
      </c>
      <c r="T11161" t="s">
        <v>44809</v>
      </c>
      <c r="U11161" t="s">
        <v>48507</v>
      </c>
      <c r="V11161" t="s">
        <v>56853</v>
      </c>
      <c r="W11161" t="s">
        <v>40478</v>
      </c>
      <c r="X11161" t="s">
        <v>42686</v>
      </c>
    </row>
    <row r="11162" spans="1:24">
      <c r="A11162">
        <f>HYPERLINK("https://www.philgeps.gov.ph/GEPSNONPILOT/Tender/SplashBidNoticeAbstractUI.aspx?menuIndex=3&amp;refID=7165642&amp;Result=3","7165642")</f>
        <v>0</v>
      </c>
      <c r="B11162" t="s">
        <v>3132</v>
      </c>
      <c r="C11162" t="s">
        <v>14193</v>
      </c>
      <c r="D11162" t="s">
        <v>17142</v>
      </c>
      <c r="E11162" t="s">
        <v>26746</v>
      </c>
      <c r="F11162" t="s">
        <v>29372</v>
      </c>
      <c r="G11162" t="s">
        <v>29380</v>
      </c>
      <c r="H11162" t="s">
        <v>11048</v>
      </c>
      <c r="I11162" t="s">
        <v>3839</v>
      </c>
      <c r="J11162" t="s">
        <v>29788</v>
      </c>
      <c r="K11162" t="s">
        <v>38491</v>
      </c>
      <c r="M11162" t="s">
        <v>42176</v>
      </c>
      <c r="N11162" t="s">
        <v>42669</v>
      </c>
      <c r="O11162" t="s">
        <v>42670</v>
      </c>
      <c r="P11162">
        <v>0</v>
      </c>
      <c r="Q11162">
        <v>6</v>
      </c>
      <c r="R11162" t="s">
        <v>42685</v>
      </c>
      <c r="S11162" t="s">
        <v>43317</v>
      </c>
      <c r="T11162" t="s">
        <v>44635</v>
      </c>
      <c r="U11162" t="s">
        <v>53921</v>
      </c>
      <c r="W11162" t="s">
        <v>42176</v>
      </c>
      <c r="X11162" t="s">
        <v>42686</v>
      </c>
    </row>
    <row r="11163" spans="1:24">
      <c r="A11163">
        <f>HYPERLINK("https://www.philgeps.gov.ph/GEPSNONPILOT/Tender/SplashBidNoticeAbstractUI.aspx?menuIndex=3&amp;refID=7165638&amp;Result=3","7165638")</f>
        <v>0</v>
      </c>
      <c r="B11163" t="s">
        <v>130</v>
      </c>
      <c r="C11163" t="s">
        <v>14194</v>
      </c>
      <c r="D11163" t="s">
        <v>17185</v>
      </c>
      <c r="E11163" t="s">
        <v>26747</v>
      </c>
      <c r="F11163" t="s">
        <v>29372</v>
      </c>
      <c r="G11163" t="s">
        <v>29380</v>
      </c>
      <c r="H11163" t="s">
        <v>11048</v>
      </c>
      <c r="I11163" t="s">
        <v>9469</v>
      </c>
      <c r="J11163" t="s">
        <v>32851</v>
      </c>
      <c r="K11163" t="s">
        <v>38490</v>
      </c>
      <c r="M11163" t="s">
        <v>38885</v>
      </c>
      <c r="N11163" t="s">
        <v>42669</v>
      </c>
      <c r="O11163" t="s">
        <v>42670</v>
      </c>
      <c r="P11163">
        <v>0</v>
      </c>
      <c r="Q11163">
        <v>6</v>
      </c>
      <c r="R11163" t="s">
        <v>42685</v>
      </c>
      <c r="S11163" t="s">
        <v>43317</v>
      </c>
      <c r="T11163" t="s">
        <v>44412</v>
      </c>
      <c r="U11163" t="s">
        <v>53922</v>
      </c>
      <c r="W11163" t="s">
        <v>38885</v>
      </c>
      <c r="X11163" t="s">
        <v>42686</v>
      </c>
    </row>
    <row r="11164" spans="1:24">
      <c r="A11164">
        <f>HYPERLINK("https://www.philgeps.gov.ph/GEPSNONPILOT/Tender/SplashBidNoticeAbstractUI.aspx?menuIndex=3&amp;refID=7165637&amp;Result=3","7165637")</f>
        <v>0</v>
      </c>
      <c r="B11164" t="s">
        <v>196</v>
      </c>
      <c r="C11164" t="s">
        <v>14195</v>
      </c>
      <c r="D11164" t="s">
        <v>17166</v>
      </c>
      <c r="E11164" t="s">
        <v>26748</v>
      </c>
      <c r="F11164" t="s">
        <v>29372</v>
      </c>
      <c r="G11164" t="s">
        <v>29380</v>
      </c>
      <c r="H11164" t="s">
        <v>29389</v>
      </c>
      <c r="I11164" t="s">
        <v>10408</v>
      </c>
      <c r="J11164" t="s">
        <v>36580</v>
      </c>
      <c r="K11164" t="s">
        <v>38496</v>
      </c>
      <c r="M11164" t="s">
        <v>42173</v>
      </c>
      <c r="N11164" t="s">
        <v>42669</v>
      </c>
      <c r="O11164" t="s">
        <v>42670</v>
      </c>
      <c r="P11164">
        <v>0</v>
      </c>
      <c r="Q11164">
        <v>1</v>
      </c>
      <c r="R11164" t="s">
        <v>42685</v>
      </c>
      <c r="S11164" t="s">
        <v>43317</v>
      </c>
      <c r="T11164" t="s">
        <v>44527</v>
      </c>
      <c r="U11164" t="s">
        <v>53923</v>
      </c>
      <c r="W11164" t="s">
        <v>58083</v>
      </c>
      <c r="X11164" t="s">
        <v>42686</v>
      </c>
    </row>
    <row r="11165" spans="1:24">
      <c r="A11165">
        <f>HYPERLINK("https://www.philgeps.gov.ph/GEPSNONPILOT/Tender/SplashBidNoticeAbstractUI.aspx?menuIndex=3&amp;refID=7165612&amp;Result=3","7165612")</f>
        <v>0</v>
      </c>
      <c r="B11165" t="s">
        <v>644</v>
      </c>
      <c r="C11165" t="s">
        <v>14196</v>
      </c>
      <c r="D11165" t="s">
        <v>17197</v>
      </c>
      <c r="E11165" t="s">
        <v>26749</v>
      </c>
      <c r="F11165" t="s">
        <v>29372</v>
      </c>
      <c r="G11165" t="s">
        <v>29380</v>
      </c>
      <c r="H11165" t="s">
        <v>11048</v>
      </c>
      <c r="I11165" t="s">
        <v>9469</v>
      </c>
      <c r="J11165" t="s">
        <v>36581</v>
      </c>
      <c r="K11165" t="s">
        <v>38485</v>
      </c>
      <c r="M11165" t="s">
        <v>39417</v>
      </c>
      <c r="N11165" t="s">
        <v>42669</v>
      </c>
      <c r="O11165" t="s">
        <v>42670</v>
      </c>
      <c r="P11165">
        <v>0</v>
      </c>
      <c r="Q11165">
        <v>16</v>
      </c>
      <c r="R11165" t="s">
        <v>42685</v>
      </c>
      <c r="S11165" t="s">
        <v>43317</v>
      </c>
      <c r="T11165" t="s">
        <v>44457</v>
      </c>
      <c r="U11165" t="s">
        <v>53924</v>
      </c>
      <c r="W11165" t="s">
        <v>39417</v>
      </c>
      <c r="X11165" t="s">
        <v>42686</v>
      </c>
    </row>
    <row r="11166" spans="1:24">
      <c r="A11166">
        <f>HYPERLINK("https://www.philgeps.gov.ph/GEPSNONPILOT/Tender/SplashBidNoticeAbstractUI.aspx?menuIndex=3&amp;refID=7165635&amp;Result=3","7165635")</f>
        <v>0</v>
      </c>
      <c r="B11166" t="s">
        <v>1429</v>
      </c>
      <c r="C11166" t="s">
        <v>14197</v>
      </c>
      <c r="E11166" t="s">
        <v>26750</v>
      </c>
      <c r="F11166" t="s">
        <v>29372</v>
      </c>
      <c r="G11166" t="s">
        <v>29380</v>
      </c>
      <c r="H11166" t="s">
        <v>29389</v>
      </c>
      <c r="I11166" t="s">
        <v>10408</v>
      </c>
      <c r="J11166" t="s">
        <v>36582</v>
      </c>
      <c r="K11166" t="s">
        <v>38496</v>
      </c>
      <c r="M11166" t="s">
        <v>41466</v>
      </c>
      <c r="N11166" t="s">
        <v>42669</v>
      </c>
      <c r="O11166" t="s">
        <v>42670</v>
      </c>
      <c r="P11166">
        <v>0</v>
      </c>
      <c r="Q11166">
        <v>0</v>
      </c>
      <c r="R11166" t="s">
        <v>42685</v>
      </c>
      <c r="S11166" t="s">
        <v>43317</v>
      </c>
      <c r="T11166" t="s">
        <v>44485</v>
      </c>
      <c r="U11166" t="s">
        <v>53925</v>
      </c>
      <c r="W11166" t="s">
        <v>41466</v>
      </c>
      <c r="X11166" t="s">
        <v>42686</v>
      </c>
    </row>
    <row r="11167" spans="1:24">
      <c r="A11167">
        <f>HYPERLINK("https://www.philgeps.gov.ph/GEPSNONPILOT/Tender/SplashBidNoticeAbstractUI.aspx?menuIndex=3&amp;refID=7165622&amp;Result=3","7165622")</f>
        <v>0</v>
      </c>
      <c r="B11167" t="s">
        <v>1624</v>
      </c>
      <c r="C11167" t="s">
        <v>14198</v>
      </c>
      <c r="D11167" t="s">
        <v>17196</v>
      </c>
      <c r="E11167" t="s">
        <v>26751</v>
      </c>
      <c r="F11167" t="s">
        <v>29372</v>
      </c>
      <c r="G11167" t="s">
        <v>29380</v>
      </c>
      <c r="H11167" t="s">
        <v>11048</v>
      </c>
      <c r="I11167" t="s">
        <v>5383</v>
      </c>
      <c r="J11167" t="s">
        <v>36583</v>
      </c>
      <c r="K11167" t="s">
        <v>38485</v>
      </c>
      <c r="L11167" t="s">
        <v>1624</v>
      </c>
      <c r="M11167" t="s">
        <v>40478</v>
      </c>
      <c r="N11167" t="s">
        <v>42669</v>
      </c>
      <c r="O11167" t="s">
        <v>42670</v>
      </c>
      <c r="Q11167">
        <v>4</v>
      </c>
      <c r="R11167" t="s">
        <v>42685</v>
      </c>
      <c r="S11167" t="s">
        <v>43334</v>
      </c>
      <c r="T11167" t="s">
        <v>44357</v>
      </c>
      <c r="U11167" t="s">
        <v>48507</v>
      </c>
      <c r="V11167" t="s">
        <v>56853</v>
      </c>
      <c r="W11167" t="s">
        <v>40478</v>
      </c>
      <c r="X11167" t="s">
        <v>42686</v>
      </c>
    </row>
    <row r="11168" spans="1:24">
      <c r="A11168">
        <f>HYPERLINK("https://www.philgeps.gov.ph/GEPSNONPILOT/Tender/SplashBidNoticeAbstractUI.aspx?menuIndex=3&amp;refID=7165595&amp;Result=3","7165595")</f>
        <v>0</v>
      </c>
      <c r="B11168" t="s">
        <v>134</v>
      </c>
      <c r="C11168" t="s">
        <v>14199</v>
      </c>
      <c r="D11168" t="s">
        <v>17177</v>
      </c>
      <c r="E11168" t="s">
        <v>26752</v>
      </c>
      <c r="F11168" t="s">
        <v>29372</v>
      </c>
      <c r="G11168" t="s">
        <v>29380</v>
      </c>
      <c r="H11168" t="s">
        <v>29389</v>
      </c>
      <c r="I11168" t="s">
        <v>10408</v>
      </c>
      <c r="J11168" t="s">
        <v>36584</v>
      </c>
      <c r="K11168" t="s">
        <v>38533</v>
      </c>
      <c r="M11168" t="s">
        <v>38889</v>
      </c>
      <c r="N11168" t="s">
        <v>42669</v>
      </c>
      <c r="O11168" t="s">
        <v>42670</v>
      </c>
      <c r="P11168">
        <v>0</v>
      </c>
      <c r="Q11168">
        <v>2</v>
      </c>
      <c r="R11168" t="s">
        <v>42685</v>
      </c>
      <c r="S11168" t="s">
        <v>43317</v>
      </c>
      <c r="T11168" t="s">
        <v>44373</v>
      </c>
      <c r="U11168" t="s">
        <v>53926</v>
      </c>
      <c r="V11168" t="s">
        <v>56517</v>
      </c>
      <c r="W11168" t="s">
        <v>38889</v>
      </c>
      <c r="X11168" t="s">
        <v>42686</v>
      </c>
    </row>
    <row r="11169" spans="1:24">
      <c r="A11169">
        <f>HYPERLINK("https://www.philgeps.gov.ph/GEPSNONPILOT/Tender/SplashBidNoticeAbstractUI.aspx?menuIndex=3&amp;refID=7165572&amp;Result=3","7165572")</f>
        <v>0</v>
      </c>
      <c r="B11169" t="s">
        <v>1429</v>
      </c>
      <c r="C11169" t="s">
        <v>14200</v>
      </c>
      <c r="E11169" t="s">
        <v>26753</v>
      </c>
      <c r="F11169" t="s">
        <v>29372</v>
      </c>
      <c r="G11169" t="s">
        <v>29380</v>
      </c>
      <c r="H11169" t="s">
        <v>29389</v>
      </c>
      <c r="I11169" t="s">
        <v>10408</v>
      </c>
      <c r="J11169" t="s">
        <v>36585</v>
      </c>
      <c r="K11169" t="s">
        <v>38622</v>
      </c>
      <c r="M11169" t="s">
        <v>41466</v>
      </c>
      <c r="N11169" t="s">
        <v>42669</v>
      </c>
      <c r="O11169" t="s">
        <v>42670</v>
      </c>
      <c r="P11169">
        <v>0</v>
      </c>
      <c r="Q11169">
        <v>0</v>
      </c>
      <c r="R11169" t="s">
        <v>42685</v>
      </c>
      <c r="S11169" t="s">
        <v>43317</v>
      </c>
      <c r="T11169" t="s">
        <v>44485</v>
      </c>
      <c r="U11169" t="s">
        <v>53927</v>
      </c>
      <c r="W11169" t="s">
        <v>41466</v>
      </c>
      <c r="X11169" t="s">
        <v>42686</v>
      </c>
    </row>
    <row r="11170" spans="1:24">
      <c r="A11170">
        <f>HYPERLINK("https://www.philgeps.gov.ph/GEPSNONPILOT/Tender/SplashBidNoticeAbstractUI.aspx?menuIndex=3&amp;refID=7165568&amp;Result=3","7165568")</f>
        <v>0</v>
      </c>
      <c r="B11170" t="s">
        <v>3133</v>
      </c>
      <c r="C11170" t="s">
        <v>14201</v>
      </c>
      <c r="D11170" t="s">
        <v>17151</v>
      </c>
      <c r="E11170" t="s">
        <v>26754</v>
      </c>
      <c r="F11170" t="s">
        <v>29372</v>
      </c>
      <c r="G11170" t="s">
        <v>29380</v>
      </c>
      <c r="H11170" t="s">
        <v>29389</v>
      </c>
      <c r="I11170" t="s">
        <v>29408</v>
      </c>
      <c r="J11170" t="s">
        <v>36586</v>
      </c>
      <c r="K11170" t="s">
        <v>38495</v>
      </c>
      <c r="M11170" t="s">
        <v>42177</v>
      </c>
      <c r="N11170" t="s">
        <v>42669</v>
      </c>
      <c r="O11170" t="s">
        <v>42670</v>
      </c>
      <c r="P11170">
        <v>0</v>
      </c>
      <c r="Q11170">
        <v>1</v>
      </c>
      <c r="R11170" t="s">
        <v>42685</v>
      </c>
      <c r="S11170" t="s">
        <v>43317</v>
      </c>
      <c r="T11170" t="s">
        <v>44431</v>
      </c>
      <c r="U11170" t="s">
        <v>53928</v>
      </c>
      <c r="W11170" t="s">
        <v>42177</v>
      </c>
      <c r="X11170" t="s">
        <v>42686</v>
      </c>
    </row>
    <row r="11171" spans="1:24">
      <c r="A11171">
        <f>HYPERLINK("https://www.philgeps.gov.ph/GEPSNONPILOT/Tender/SplashBidNoticeAbstractUI.aspx?menuIndex=3&amp;refID=7165567&amp;Result=3","7165567")</f>
        <v>0</v>
      </c>
      <c r="B11171" t="s">
        <v>134</v>
      </c>
      <c r="C11171" t="s">
        <v>14202</v>
      </c>
      <c r="D11171" t="s">
        <v>17177</v>
      </c>
      <c r="E11171" t="s">
        <v>26755</v>
      </c>
      <c r="F11171" t="s">
        <v>29372</v>
      </c>
      <c r="G11171" t="s">
        <v>29380</v>
      </c>
      <c r="H11171" t="s">
        <v>11048</v>
      </c>
      <c r="I11171" t="s">
        <v>3670</v>
      </c>
      <c r="J11171" t="s">
        <v>36587</v>
      </c>
      <c r="K11171" t="s">
        <v>38487</v>
      </c>
      <c r="M11171" t="s">
        <v>38889</v>
      </c>
      <c r="N11171" t="s">
        <v>42669</v>
      </c>
      <c r="O11171" t="s">
        <v>42670</v>
      </c>
      <c r="Q11171">
        <v>8</v>
      </c>
      <c r="R11171" t="s">
        <v>42685</v>
      </c>
      <c r="S11171" t="s">
        <v>43335</v>
      </c>
      <c r="T11171" t="s">
        <v>44373</v>
      </c>
      <c r="U11171" t="s">
        <v>53929</v>
      </c>
      <c r="V11171" t="s">
        <v>56517</v>
      </c>
      <c r="W11171" t="s">
        <v>38889</v>
      </c>
      <c r="X11171" t="s">
        <v>42686</v>
      </c>
    </row>
    <row r="11172" spans="1:24">
      <c r="A11172">
        <f>HYPERLINK("https://www.philgeps.gov.ph/GEPSNONPILOT/Tender/SplashBidNoticeAbstractUI.aspx?menuIndex=3&amp;refID=7165552&amp;Result=3","7165552")</f>
        <v>0</v>
      </c>
      <c r="B11172" t="s">
        <v>3134</v>
      </c>
      <c r="C11172" t="s">
        <v>14203</v>
      </c>
      <c r="D11172" t="s">
        <v>17228</v>
      </c>
      <c r="E11172" t="s">
        <v>26756</v>
      </c>
      <c r="F11172" t="s">
        <v>29372</v>
      </c>
      <c r="G11172" t="s">
        <v>29380</v>
      </c>
      <c r="H11172" t="s">
        <v>11048</v>
      </c>
      <c r="I11172" t="s">
        <v>29393</v>
      </c>
      <c r="J11172" t="s">
        <v>36588</v>
      </c>
      <c r="K11172" t="s">
        <v>38601</v>
      </c>
      <c r="M11172" t="s">
        <v>42178</v>
      </c>
      <c r="N11172" t="s">
        <v>42669</v>
      </c>
      <c r="O11172" t="s">
        <v>42670</v>
      </c>
      <c r="P11172">
        <v>0</v>
      </c>
      <c r="Q11172">
        <v>0</v>
      </c>
      <c r="R11172" t="s">
        <v>42685</v>
      </c>
      <c r="S11172" t="s">
        <v>43317</v>
      </c>
      <c r="T11172" t="s">
        <v>44491</v>
      </c>
      <c r="U11172" t="s">
        <v>53930</v>
      </c>
      <c r="V11172" t="s">
        <v>57610</v>
      </c>
      <c r="W11172" t="s">
        <v>42178</v>
      </c>
      <c r="X11172" t="s">
        <v>42686</v>
      </c>
    </row>
    <row r="11173" spans="1:24">
      <c r="A11173">
        <f>HYPERLINK("https://www.philgeps.gov.ph/GEPSNONPILOT/Tender/SplashBidNoticeAbstractUI.aspx?menuIndex=3&amp;refID=7165309&amp;Result=3","7165309")</f>
        <v>0</v>
      </c>
      <c r="B11173" t="s">
        <v>2374</v>
      </c>
      <c r="C11173" t="s">
        <v>14204</v>
      </c>
      <c r="D11173" t="s">
        <v>17163</v>
      </c>
      <c r="E11173" t="s">
        <v>26757</v>
      </c>
      <c r="F11173" t="s">
        <v>29372</v>
      </c>
      <c r="G11173" t="s">
        <v>29379</v>
      </c>
      <c r="H11173" t="s">
        <v>29390</v>
      </c>
      <c r="I11173" t="s">
        <v>29484</v>
      </c>
      <c r="J11173" t="s">
        <v>29708</v>
      </c>
      <c r="K11173" t="s">
        <v>38486</v>
      </c>
      <c r="M11173" t="s">
        <v>41315</v>
      </c>
      <c r="N11173" t="s">
        <v>42669</v>
      </c>
      <c r="O11173" t="s">
        <v>42670</v>
      </c>
      <c r="Q11173">
        <v>1</v>
      </c>
      <c r="R11173" t="s">
        <v>42685</v>
      </c>
      <c r="S11173" t="s">
        <v>43216</v>
      </c>
      <c r="T11173" t="s">
        <v>44491</v>
      </c>
      <c r="U11173" t="s">
        <v>53931</v>
      </c>
      <c r="W11173" t="s">
        <v>58085</v>
      </c>
      <c r="X11173" t="s">
        <v>42686</v>
      </c>
    </row>
    <row r="11174" spans="1:24">
      <c r="A11174">
        <f>HYPERLINK("https://www.philgeps.gov.ph/GEPSNONPILOT/Tender/SplashBidNoticeAbstractUI.aspx?menuIndex=3&amp;refID=7165541&amp;Result=3","7165541")</f>
        <v>0</v>
      </c>
      <c r="B11174" t="s">
        <v>3135</v>
      </c>
      <c r="C11174" t="s">
        <v>14205</v>
      </c>
      <c r="D11174" t="s">
        <v>17177</v>
      </c>
      <c r="E11174" t="s">
        <v>26758</v>
      </c>
      <c r="F11174" t="s">
        <v>29373</v>
      </c>
      <c r="G11174" t="s">
        <v>29380</v>
      </c>
      <c r="H11174" t="s">
        <v>11048</v>
      </c>
      <c r="I11174" t="s">
        <v>4709</v>
      </c>
      <c r="J11174" t="s">
        <v>36589</v>
      </c>
      <c r="K11174" t="s">
        <v>38510</v>
      </c>
      <c r="M11174" t="s">
        <v>42179</v>
      </c>
      <c r="N11174" t="s">
        <v>42669</v>
      </c>
      <c r="O11174" t="s">
        <v>42670</v>
      </c>
      <c r="P11174">
        <v>0</v>
      </c>
      <c r="Q11174">
        <v>0</v>
      </c>
      <c r="R11174" t="s">
        <v>42685</v>
      </c>
      <c r="S11174" t="s">
        <v>43317</v>
      </c>
      <c r="T11174" t="s">
        <v>44426</v>
      </c>
      <c r="U11174" t="s">
        <v>53932</v>
      </c>
      <c r="V11174" t="s">
        <v>51327</v>
      </c>
      <c r="W11174" t="s">
        <v>42179</v>
      </c>
      <c r="X11174" t="s">
        <v>42686</v>
      </c>
    </row>
    <row r="11175" spans="1:24">
      <c r="A11175">
        <f>HYPERLINK("https://www.philgeps.gov.ph/GEPSNONPILOT/Tender/SplashBidNoticeAbstractUI.aspx?menuIndex=3&amp;refID=7165611&amp;Result=3","7165611")</f>
        <v>0</v>
      </c>
      <c r="B11175" t="s">
        <v>1741</v>
      </c>
      <c r="C11175" t="s">
        <v>14206</v>
      </c>
      <c r="D11175" t="s">
        <v>17150</v>
      </c>
      <c r="E11175" t="s">
        <v>26759</v>
      </c>
      <c r="F11175" t="s">
        <v>29372</v>
      </c>
      <c r="G11175" t="s">
        <v>29380</v>
      </c>
      <c r="H11175" t="s">
        <v>11048</v>
      </c>
      <c r="I11175" t="s">
        <v>29394</v>
      </c>
      <c r="J11175" t="s">
        <v>31223</v>
      </c>
      <c r="K11175" t="s">
        <v>38485</v>
      </c>
      <c r="M11175" t="s">
        <v>40606</v>
      </c>
      <c r="N11175" t="s">
        <v>42669</v>
      </c>
      <c r="O11175" t="s">
        <v>42670</v>
      </c>
      <c r="P11175">
        <v>0</v>
      </c>
      <c r="Q11175">
        <v>1</v>
      </c>
      <c r="R11175" t="s">
        <v>42685</v>
      </c>
      <c r="S11175" t="s">
        <v>43317</v>
      </c>
      <c r="T11175" t="s">
        <v>44391</v>
      </c>
      <c r="U11175" t="s">
        <v>53933</v>
      </c>
      <c r="V11175" t="s">
        <v>57611</v>
      </c>
      <c r="W11175" t="s">
        <v>40606</v>
      </c>
      <c r="X11175" t="s">
        <v>42686</v>
      </c>
    </row>
    <row r="11176" spans="1:24">
      <c r="A11176">
        <f>HYPERLINK("https://www.philgeps.gov.ph/GEPSNONPILOT/Tender/SplashBidNoticeAbstractUI.aspx?menuIndex=3&amp;refID=7165392&amp;Result=3","7165392")</f>
        <v>0</v>
      </c>
      <c r="B11176" t="s">
        <v>134</v>
      </c>
      <c r="C11176" t="s">
        <v>14207</v>
      </c>
      <c r="D11176" t="s">
        <v>17177</v>
      </c>
      <c r="E11176" t="s">
        <v>26760</v>
      </c>
      <c r="F11176" t="s">
        <v>29372</v>
      </c>
      <c r="G11176" t="s">
        <v>29380</v>
      </c>
      <c r="H11176" t="s">
        <v>11048</v>
      </c>
      <c r="I11176" t="s">
        <v>29407</v>
      </c>
      <c r="J11176" t="s">
        <v>36590</v>
      </c>
      <c r="K11176" t="s">
        <v>38485</v>
      </c>
      <c r="M11176" t="s">
        <v>38889</v>
      </c>
      <c r="N11176" t="s">
        <v>42669</v>
      </c>
      <c r="O11176" t="s">
        <v>42670</v>
      </c>
      <c r="P11176">
        <v>0</v>
      </c>
      <c r="Q11176">
        <v>2</v>
      </c>
      <c r="R11176" t="s">
        <v>42685</v>
      </c>
      <c r="S11176" t="s">
        <v>43317</v>
      </c>
      <c r="T11176" t="s">
        <v>44485</v>
      </c>
      <c r="U11176" t="s">
        <v>53934</v>
      </c>
      <c r="V11176" t="s">
        <v>56517</v>
      </c>
      <c r="W11176" t="s">
        <v>38889</v>
      </c>
      <c r="X11176" t="s">
        <v>42686</v>
      </c>
    </row>
    <row r="11177" spans="1:24">
      <c r="A11177">
        <f>HYPERLINK("https://www.philgeps.gov.ph/GEPSNONPILOT/Tender/SplashBidNoticeAbstractUI.aspx?menuIndex=3&amp;refID=7165610&amp;Result=3","7165610")</f>
        <v>0</v>
      </c>
      <c r="B11177" t="s">
        <v>196</v>
      </c>
      <c r="C11177" t="s">
        <v>14208</v>
      </c>
      <c r="D11177" t="s">
        <v>17166</v>
      </c>
      <c r="E11177" t="s">
        <v>26761</v>
      </c>
      <c r="F11177" t="s">
        <v>29372</v>
      </c>
      <c r="G11177" t="s">
        <v>29380</v>
      </c>
      <c r="H11177" t="s">
        <v>29389</v>
      </c>
      <c r="I11177" t="s">
        <v>10408</v>
      </c>
      <c r="J11177" t="s">
        <v>36591</v>
      </c>
      <c r="K11177" t="s">
        <v>38485</v>
      </c>
      <c r="M11177" t="s">
        <v>42173</v>
      </c>
      <c r="N11177" t="s">
        <v>42669</v>
      </c>
      <c r="O11177" t="s">
        <v>42670</v>
      </c>
      <c r="P11177">
        <v>0</v>
      </c>
      <c r="Q11177">
        <v>0</v>
      </c>
      <c r="R11177" t="s">
        <v>42685</v>
      </c>
      <c r="S11177" t="s">
        <v>43317</v>
      </c>
      <c r="T11177" t="s">
        <v>44527</v>
      </c>
      <c r="U11177" t="s">
        <v>53935</v>
      </c>
      <c r="W11177" t="s">
        <v>58083</v>
      </c>
      <c r="X11177" t="s">
        <v>42686</v>
      </c>
    </row>
    <row r="11178" spans="1:24">
      <c r="A11178">
        <f>HYPERLINK("https://www.philgeps.gov.ph/GEPSNONPILOT/Tender/SplashBidNoticeAbstractUI.aspx?menuIndex=3&amp;refID=7165516&amp;Result=3","7165516")</f>
        <v>0</v>
      </c>
      <c r="B11178" t="s">
        <v>3129</v>
      </c>
      <c r="C11178" t="s">
        <v>14209</v>
      </c>
      <c r="E11178" t="s">
        <v>26762</v>
      </c>
      <c r="F11178" t="s">
        <v>29372</v>
      </c>
      <c r="G11178" t="s">
        <v>29380</v>
      </c>
      <c r="H11178" t="s">
        <v>11048</v>
      </c>
      <c r="I11178" t="s">
        <v>5383</v>
      </c>
      <c r="J11178" t="s">
        <v>36592</v>
      </c>
      <c r="K11178" t="s">
        <v>38490</v>
      </c>
      <c r="M11178" t="s">
        <v>42172</v>
      </c>
      <c r="N11178" t="s">
        <v>42669</v>
      </c>
      <c r="O11178" t="s">
        <v>42670</v>
      </c>
      <c r="P11178">
        <v>0</v>
      </c>
      <c r="Q11178">
        <v>0</v>
      </c>
      <c r="R11178" t="s">
        <v>42685</v>
      </c>
      <c r="S11178" t="s">
        <v>43317</v>
      </c>
      <c r="T11178" t="s">
        <v>44366</v>
      </c>
      <c r="U11178" t="s">
        <v>53936</v>
      </c>
      <c r="W11178" t="s">
        <v>42172</v>
      </c>
      <c r="X11178" t="s">
        <v>42686</v>
      </c>
    </row>
    <row r="11179" spans="1:24">
      <c r="A11179">
        <f>HYPERLINK("https://www.philgeps.gov.ph/GEPSNONPILOT/Tender/SplashBidNoticeAbstractUI.aspx?menuIndex=3&amp;refID=7160458&amp;Result=3","7160458")</f>
        <v>0</v>
      </c>
      <c r="B11179" t="s">
        <v>379</v>
      </c>
      <c r="C11179" t="s">
        <v>14210</v>
      </c>
      <c r="E11179" t="s">
        <v>26679</v>
      </c>
      <c r="F11179" t="s">
        <v>29372</v>
      </c>
      <c r="G11179" t="s">
        <v>29380</v>
      </c>
      <c r="H11179" t="s">
        <v>29389</v>
      </c>
      <c r="I11179" t="s">
        <v>10408</v>
      </c>
      <c r="J11179" t="s">
        <v>36593</v>
      </c>
      <c r="K11179" t="s">
        <v>38490</v>
      </c>
      <c r="M11179" t="s">
        <v>39141</v>
      </c>
      <c r="N11179" t="s">
        <v>42669</v>
      </c>
      <c r="O11179" t="s">
        <v>42670</v>
      </c>
      <c r="P11179">
        <v>0</v>
      </c>
      <c r="Q11179">
        <v>2</v>
      </c>
      <c r="R11179" t="s">
        <v>42685</v>
      </c>
      <c r="S11179" t="s">
        <v>43317</v>
      </c>
      <c r="T11179" t="s">
        <v>44357</v>
      </c>
      <c r="U11179" t="s">
        <v>53937</v>
      </c>
      <c r="W11179" t="s">
        <v>39141</v>
      </c>
      <c r="X11179" t="s">
        <v>42690</v>
      </c>
    </row>
    <row r="11180" spans="1:24">
      <c r="A11180">
        <f>HYPERLINK("https://www.philgeps.gov.ph/GEPSNONPILOT/Tender/SplashBidNoticeAbstractUI.aspx?menuIndex=3&amp;refID=7165569&amp;Result=3","7165569")</f>
        <v>0</v>
      </c>
      <c r="B11180" t="s">
        <v>138</v>
      </c>
      <c r="C11180" t="s">
        <v>14211</v>
      </c>
      <c r="D11180" t="s">
        <v>17141</v>
      </c>
      <c r="E11180" t="s">
        <v>26763</v>
      </c>
      <c r="F11180" t="s">
        <v>29372</v>
      </c>
      <c r="G11180" t="s">
        <v>29380</v>
      </c>
      <c r="H11180" t="s">
        <v>11048</v>
      </c>
      <c r="I11180" t="s">
        <v>29396</v>
      </c>
      <c r="J11180" t="s">
        <v>30335</v>
      </c>
      <c r="K11180" t="s">
        <v>38490</v>
      </c>
      <c r="M11180" t="s">
        <v>42180</v>
      </c>
      <c r="N11180" t="s">
        <v>42669</v>
      </c>
      <c r="O11180" t="s">
        <v>42670</v>
      </c>
      <c r="P11180">
        <v>0</v>
      </c>
      <c r="Q11180">
        <v>0</v>
      </c>
      <c r="R11180" t="s">
        <v>42685</v>
      </c>
      <c r="S11180" t="s">
        <v>43317</v>
      </c>
      <c r="T11180" t="s">
        <v>44375</v>
      </c>
      <c r="U11180" t="s">
        <v>53938</v>
      </c>
      <c r="W11180" t="s">
        <v>42180</v>
      </c>
      <c r="X11180" t="s">
        <v>42686</v>
      </c>
    </row>
    <row r="11181" spans="1:24">
      <c r="A11181">
        <f>HYPERLINK("https://www.philgeps.gov.ph/GEPSNONPILOT/Tender/SplashBidNoticeAbstractUI.aspx?menuIndex=3&amp;refID=7165615&amp;Result=3","7165615")</f>
        <v>0</v>
      </c>
      <c r="B11181" t="s">
        <v>3136</v>
      </c>
      <c r="C11181" t="s">
        <v>14212</v>
      </c>
      <c r="D11181" t="s">
        <v>17206</v>
      </c>
      <c r="E11181" t="s">
        <v>26764</v>
      </c>
      <c r="F11181" t="s">
        <v>29372</v>
      </c>
      <c r="G11181" t="s">
        <v>29380</v>
      </c>
      <c r="H11181" t="s">
        <v>29389</v>
      </c>
      <c r="I11181" t="s">
        <v>10408</v>
      </c>
      <c r="J11181" t="s">
        <v>31893</v>
      </c>
      <c r="K11181" t="s">
        <v>38496</v>
      </c>
      <c r="M11181" t="s">
        <v>42181</v>
      </c>
      <c r="N11181" t="s">
        <v>42669</v>
      </c>
      <c r="O11181" t="s">
        <v>42670</v>
      </c>
      <c r="P11181">
        <v>0</v>
      </c>
      <c r="Q11181">
        <v>0</v>
      </c>
      <c r="R11181" t="s">
        <v>42685</v>
      </c>
      <c r="S11181" t="s">
        <v>43317</v>
      </c>
      <c r="T11181" t="s">
        <v>44510</v>
      </c>
      <c r="U11181" t="s">
        <v>53939</v>
      </c>
      <c r="W11181" t="s">
        <v>42181</v>
      </c>
      <c r="X11181" t="s">
        <v>42686</v>
      </c>
    </row>
    <row r="11182" spans="1:24">
      <c r="A11182">
        <f>HYPERLINK("https://www.philgeps.gov.ph/GEPSNONPILOT/Tender/SplashBidNoticeAbstractUI.aspx?menuIndex=3&amp;refID=7165786&amp;Result=3","7165786")</f>
        <v>0</v>
      </c>
      <c r="B11182" t="s">
        <v>3131</v>
      </c>
      <c r="C11182" t="s">
        <v>14213</v>
      </c>
      <c r="D11182" t="s">
        <v>17205</v>
      </c>
      <c r="E11182" t="s">
        <v>26765</v>
      </c>
      <c r="F11182" t="s">
        <v>29372</v>
      </c>
      <c r="G11182" t="s">
        <v>29380</v>
      </c>
      <c r="H11182" t="s">
        <v>11048</v>
      </c>
      <c r="I11182" t="s">
        <v>29447</v>
      </c>
      <c r="J11182" t="s">
        <v>36594</v>
      </c>
      <c r="K11182" t="s">
        <v>38485</v>
      </c>
      <c r="M11182" t="s">
        <v>42175</v>
      </c>
      <c r="N11182" t="s">
        <v>42669</v>
      </c>
      <c r="O11182" t="s">
        <v>42670</v>
      </c>
      <c r="P11182">
        <v>0</v>
      </c>
      <c r="Q11182">
        <v>4</v>
      </c>
      <c r="R11182" t="s">
        <v>42685</v>
      </c>
      <c r="S11182" t="s">
        <v>43317</v>
      </c>
      <c r="T11182" t="s">
        <v>44379</v>
      </c>
      <c r="U11182" t="s">
        <v>53940</v>
      </c>
      <c r="W11182" t="s">
        <v>42175</v>
      </c>
      <c r="X11182" t="s">
        <v>42686</v>
      </c>
    </row>
    <row r="11183" spans="1:24">
      <c r="A11183">
        <f>HYPERLINK("https://www.philgeps.gov.ph/GEPSNONPILOT/Tender/SplashBidNoticeAbstractUI.aspx?menuIndex=3&amp;refID=7165785&amp;Result=3","7165785")</f>
        <v>0</v>
      </c>
      <c r="B11183" t="s">
        <v>2833</v>
      </c>
      <c r="C11183" t="s">
        <v>14214</v>
      </c>
      <c r="D11183" t="s">
        <v>17212</v>
      </c>
      <c r="E11183" t="s">
        <v>26766</v>
      </c>
      <c r="F11183" t="s">
        <v>29372</v>
      </c>
      <c r="G11183" t="s">
        <v>29380</v>
      </c>
      <c r="H11183" t="s">
        <v>29389</v>
      </c>
      <c r="I11183" t="s">
        <v>10408</v>
      </c>
      <c r="J11183" t="s">
        <v>36595</v>
      </c>
      <c r="K11183" t="s">
        <v>38522</v>
      </c>
      <c r="M11183" t="s">
        <v>41824</v>
      </c>
      <c r="N11183" t="s">
        <v>42669</v>
      </c>
      <c r="O11183" t="s">
        <v>42670</v>
      </c>
      <c r="P11183">
        <v>0</v>
      </c>
      <c r="Q11183">
        <v>44</v>
      </c>
      <c r="R11183" t="s">
        <v>42685</v>
      </c>
      <c r="S11183" t="s">
        <v>43317</v>
      </c>
      <c r="T11183" t="s">
        <v>44477</v>
      </c>
      <c r="U11183" t="s">
        <v>53941</v>
      </c>
      <c r="V11183" t="s">
        <v>57612</v>
      </c>
      <c r="W11183" t="s">
        <v>58100</v>
      </c>
      <c r="X11183" t="s">
        <v>42686</v>
      </c>
    </row>
    <row r="11184" spans="1:24">
      <c r="A11184">
        <f>HYPERLINK("https://www.philgeps.gov.ph/GEPSNONPILOT/Tender/SplashBidNoticeAbstractUI.aspx?menuIndex=3&amp;refID=7165781&amp;Result=3","7165781")</f>
        <v>0</v>
      </c>
      <c r="B11184" t="s">
        <v>1724</v>
      </c>
      <c r="C11184" t="s">
        <v>14215</v>
      </c>
      <c r="E11184" t="s">
        <v>26767</v>
      </c>
      <c r="F11184" t="s">
        <v>29372</v>
      </c>
      <c r="G11184" t="s">
        <v>29380</v>
      </c>
      <c r="H11184" t="s">
        <v>11048</v>
      </c>
      <c r="I11184" t="s">
        <v>10408</v>
      </c>
      <c r="J11184" t="s">
        <v>36596</v>
      </c>
      <c r="K11184" t="s">
        <v>38490</v>
      </c>
      <c r="M11184" t="s">
        <v>40588</v>
      </c>
      <c r="N11184" t="s">
        <v>42669</v>
      </c>
      <c r="O11184" t="s">
        <v>42670</v>
      </c>
      <c r="P11184">
        <v>0</v>
      </c>
      <c r="Q11184">
        <v>7</v>
      </c>
      <c r="R11184" t="s">
        <v>42685</v>
      </c>
      <c r="S11184" t="s">
        <v>43317</v>
      </c>
      <c r="T11184" t="s">
        <v>44391</v>
      </c>
      <c r="U11184" t="s">
        <v>48734</v>
      </c>
      <c r="W11184" t="s">
        <v>40588</v>
      </c>
      <c r="X11184" t="s">
        <v>42686</v>
      </c>
    </row>
    <row r="11185" spans="1:24">
      <c r="A11185">
        <f>HYPERLINK("https://www.philgeps.gov.ph/GEPSNONPILOT/Tender/SplashBidNoticeAbstractUI.aspx?menuIndex=3&amp;refID=7165766&amp;Result=3","7165766")</f>
        <v>0</v>
      </c>
      <c r="B11185" t="s">
        <v>2364</v>
      </c>
      <c r="C11185" t="s">
        <v>14216</v>
      </c>
      <c r="D11185" t="s">
        <v>17141</v>
      </c>
      <c r="E11185" t="s">
        <v>23581</v>
      </c>
      <c r="F11185" t="s">
        <v>29372</v>
      </c>
      <c r="G11185" t="s">
        <v>29380</v>
      </c>
      <c r="H11185" t="s">
        <v>29390</v>
      </c>
      <c r="I11185" t="s">
        <v>9469</v>
      </c>
      <c r="J11185" t="s">
        <v>29540</v>
      </c>
      <c r="K11185" t="s">
        <v>38485</v>
      </c>
      <c r="M11185" t="s">
        <v>41302</v>
      </c>
      <c r="N11185" t="s">
        <v>42669</v>
      </c>
      <c r="O11185" t="s">
        <v>42670</v>
      </c>
      <c r="P11185">
        <v>0</v>
      </c>
      <c r="Q11185">
        <v>6</v>
      </c>
      <c r="R11185" t="s">
        <v>42685</v>
      </c>
      <c r="S11185" t="s">
        <v>43317</v>
      </c>
      <c r="T11185" t="s">
        <v>44470</v>
      </c>
      <c r="U11185" t="s">
        <v>53942</v>
      </c>
      <c r="V11185" t="s">
        <v>57613</v>
      </c>
      <c r="W11185" t="s">
        <v>41302</v>
      </c>
      <c r="X11185" t="s">
        <v>42686</v>
      </c>
    </row>
    <row r="11186" spans="1:24">
      <c r="A11186">
        <f>HYPERLINK("https://www.philgeps.gov.ph/GEPSNONPILOT/Tender/SplashBidNoticeAbstractUI.aspx?menuIndex=3&amp;refID=7165383&amp;Result=3","7165383")</f>
        <v>0</v>
      </c>
      <c r="B11186" t="s">
        <v>272</v>
      </c>
      <c r="C11186" t="s">
        <v>14217</v>
      </c>
      <c r="D11186" t="s">
        <v>17206</v>
      </c>
      <c r="E11186" t="s">
        <v>26768</v>
      </c>
      <c r="F11186" t="s">
        <v>29372</v>
      </c>
      <c r="G11186" t="s">
        <v>29380</v>
      </c>
      <c r="H11186" t="s">
        <v>11048</v>
      </c>
      <c r="I11186" t="s">
        <v>3670</v>
      </c>
      <c r="J11186" t="s">
        <v>36597</v>
      </c>
      <c r="K11186" t="s">
        <v>38485</v>
      </c>
      <c r="M11186" t="s">
        <v>41448</v>
      </c>
      <c r="N11186" t="s">
        <v>42669</v>
      </c>
      <c r="O11186" t="s">
        <v>42670</v>
      </c>
      <c r="P11186">
        <v>0</v>
      </c>
      <c r="Q11186">
        <v>4</v>
      </c>
      <c r="R11186" t="s">
        <v>42685</v>
      </c>
      <c r="S11186" t="s">
        <v>43317</v>
      </c>
      <c r="T11186" t="s">
        <v>44422</v>
      </c>
      <c r="U11186" t="s">
        <v>53943</v>
      </c>
      <c r="W11186" t="s">
        <v>41448</v>
      </c>
      <c r="X11186" t="s">
        <v>42686</v>
      </c>
    </row>
    <row r="11187" spans="1:24">
      <c r="A11187">
        <f>HYPERLINK("https://www.philgeps.gov.ph/GEPSNONPILOT/Tender/SplashBidNoticeAbstractUI.aspx?menuIndex=3&amp;refID=7165763&amp;Result=3","7165763")</f>
        <v>0</v>
      </c>
      <c r="B11187" t="s">
        <v>1429</v>
      </c>
      <c r="C11187" t="s">
        <v>14218</v>
      </c>
      <c r="E11187" t="s">
        <v>26769</v>
      </c>
      <c r="F11187" t="s">
        <v>29372</v>
      </c>
      <c r="G11187" t="s">
        <v>29380</v>
      </c>
      <c r="H11187" t="s">
        <v>29389</v>
      </c>
      <c r="I11187" t="s">
        <v>10408</v>
      </c>
      <c r="J11187" t="s">
        <v>36598</v>
      </c>
      <c r="K11187" t="s">
        <v>38496</v>
      </c>
      <c r="M11187" t="s">
        <v>41466</v>
      </c>
      <c r="N11187" t="s">
        <v>42669</v>
      </c>
      <c r="O11187" t="s">
        <v>42670</v>
      </c>
      <c r="P11187">
        <v>0</v>
      </c>
      <c r="Q11187">
        <v>1</v>
      </c>
      <c r="R11187" t="s">
        <v>42685</v>
      </c>
      <c r="S11187" t="s">
        <v>43317</v>
      </c>
      <c r="T11187" t="s">
        <v>44485</v>
      </c>
      <c r="U11187" t="s">
        <v>53944</v>
      </c>
      <c r="W11187" t="s">
        <v>41466</v>
      </c>
      <c r="X11187" t="s">
        <v>42686</v>
      </c>
    </row>
    <row r="11188" spans="1:24">
      <c r="A11188">
        <f>HYPERLINK("https://www.philgeps.gov.ph/GEPSNONPILOT/Tender/SplashBidNoticeAbstractUI.aspx?menuIndex=3&amp;refID=7165772&amp;Result=3","7165772")</f>
        <v>0</v>
      </c>
      <c r="B11188" t="s">
        <v>579</v>
      </c>
      <c r="C11188" t="s">
        <v>14219</v>
      </c>
      <c r="D11188" t="s">
        <v>17141</v>
      </c>
      <c r="E11188" t="s">
        <v>26770</v>
      </c>
      <c r="F11188" t="s">
        <v>29373</v>
      </c>
      <c r="G11188" t="s">
        <v>29380</v>
      </c>
      <c r="H11188" t="s">
        <v>11048</v>
      </c>
      <c r="I11188" t="s">
        <v>4709</v>
      </c>
      <c r="J11188" t="s">
        <v>36599</v>
      </c>
      <c r="K11188" t="s">
        <v>38485</v>
      </c>
      <c r="M11188" t="s">
        <v>39348</v>
      </c>
      <c r="N11188" t="s">
        <v>42669</v>
      </c>
      <c r="O11188" t="s">
        <v>42670</v>
      </c>
      <c r="P11188">
        <v>0</v>
      </c>
      <c r="Q11188">
        <v>0</v>
      </c>
      <c r="R11188" t="s">
        <v>42685</v>
      </c>
      <c r="S11188" t="s">
        <v>43317</v>
      </c>
      <c r="T11188" t="s">
        <v>44491</v>
      </c>
      <c r="U11188" t="s">
        <v>53945</v>
      </c>
      <c r="V11188" t="s">
        <v>56504</v>
      </c>
      <c r="W11188" t="s">
        <v>39348</v>
      </c>
      <c r="X11188" t="s">
        <v>42686</v>
      </c>
    </row>
    <row r="11189" spans="1:24">
      <c r="A11189">
        <f>HYPERLINK("https://www.philgeps.gov.ph/GEPSNONPILOT/Tender/SplashBidNoticeAbstractUI.aspx?menuIndex=3&amp;refID=7165742&amp;Result=3","7165742")</f>
        <v>0</v>
      </c>
      <c r="B11189" t="s">
        <v>1429</v>
      </c>
      <c r="C11189" t="s">
        <v>14220</v>
      </c>
      <c r="E11189" t="s">
        <v>26771</v>
      </c>
      <c r="F11189" t="s">
        <v>29372</v>
      </c>
      <c r="G11189" t="s">
        <v>29380</v>
      </c>
      <c r="H11189" t="s">
        <v>29389</v>
      </c>
      <c r="I11189" t="s">
        <v>10408</v>
      </c>
      <c r="J11189" t="s">
        <v>36600</v>
      </c>
      <c r="K11189" t="s">
        <v>38495</v>
      </c>
      <c r="M11189" t="s">
        <v>41466</v>
      </c>
      <c r="N11189" t="s">
        <v>42669</v>
      </c>
      <c r="O11189" t="s">
        <v>42670</v>
      </c>
      <c r="P11189">
        <v>0</v>
      </c>
      <c r="Q11189">
        <v>3</v>
      </c>
      <c r="R11189" t="s">
        <v>42685</v>
      </c>
      <c r="S11189" t="s">
        <v>43317</v>
      </c>
      <c r="T11189" t="s">
        <v>44485</v>
      </c>
      <c r="U11189" t="s">
        <v>53946</v>
      </c>
      <c r="W11189" t="s">
        <v>41466</v>
      </c>
      <c r="X11189" t="s">
        <v>42686</v>
      </c>
    </row>
    <row r="11190" spans="1:24">
      <c r="A11190">
        <f>HYPERLINK("https://www.philgeps.gov.ph/GEPSNONPILOT/Tender/SplashBidNoticeAbstractUI.aspx?menuIndex=3&amp;refID=7165385&amp;Result=3","7165385")</f>
        <v>0</v>
      </c>
      <c r="B11190" t="s">
        <v>2117</v>
      </c>
      <c r="C11190" t="s">
        <v>14221</v>
      </c>
      <c r="D11190" t="s">
        <v>17202</v>
      </c>
      <c r="E11190" t="s">
        <v>26772</v>
      </c>
      <c r="F11190" t="s">
        <v>29372</v>
      </c>
      <c r="G11190" t="s">
        <v>29380</v>
      </c>
      <c r="H11190" t="s">
        <v>29389</v>
      </c>
      <c r="I11190" t="s">
        <v>4709</v>
      </c>
      <c r="J11190" t="s">
        <v>36601</v>
      </c>
      <c r="K11190" t="s">
        <v>38488</v>
      </c>
      <c r="M11190" t="s">
        <v>41021</v>
      </c>
      <c r="N11190" t="s">
        <v>42669</v>
      </c>
      <c r="O11190" t="s">
        <v>42670</v>
      </c>
      <c r="P11190">
        <v>0</v>
      </c>
      <c r="Q11190">
        <v>0</v>
      </c>
      <c r="R11190" t="s">
        <v>42685</v>
      </c>
      <c r="S11190" t="s">
        <v>43317</v>
      </c>
      <c r="T11190" t="s">
        <v>44448</v>
      </c>
      <c r="U11190" t="s">
        <v>53947</v>
      </c>
      <c r="V11190" t="s">
        <v>57042</v>
      </c>
      <c r="W11190" t="s">
        <v>41021</v>
      </c>
      <c r="X11190" t="s">
        <v>42686</v>
      </c>
    </row>
    <row r="11191" spans="1:24">
      <c r="A11191">
        <f>HYPERLINK("https://www.philgeps.gov.ph/GEPSNONPILOT/Tender/SplashBidNoticeAbstractUI.aspx?menuIndex=3&amp;refID=7165780&amp;Result=3","7165780")</f>
        <v>0</v>
      </c>
      <c r="B11191" t="s">
        <v>3137</v>
      </c>
      <c r="C11191" t="s">
        <v>14222</v>
      </c>
      <c r="D11191" t="s">
        <v>17211</v>
      </c>
      <c r="E11191" t="s">
        <v>23195</v>
      </c>
      <c r="F11191" t="s">
        <v>29372</v>
      </c>
      <c r="G11191" t="s">
        <v>29380</v>
      </c>
      <c r="H11191" t="s">
        <v>29389</v>
      </c>
      <c r="I11191" t="s">
        <v>10408</v>
      </c>
      <c r="J11191" t="s">
        <v>29767</v>
      </c>
      <c r="K11191" t="s">
        <v>38551</v>
      </c>
      <c r="M11191" t="s">
        <v>42182</v>
      </c>
      <c r="N11191" t="s">
        <v>42669</v>
      </c>
      <c r="O11191" t="s">
        <v>42670</v>
      </c>
      <c r="P11191">
        <v>0</v>
      </c>
      <c r="Q11191">
        <v>1</v>
      </c>
      <c r="R11191" t="s">
        <v>42685</v>
      </c>
      <c r="S11191" t="s">
        <v>43317</v>
      </c>
      <c r="T11191" t="s">
        <v>44410</v>
      </c>
      <c r="U11191" t="s">
        <v>53948</v>
      </c>
      <c r="V11191" t="s">
        <v>57614</v>
      </c>
      <c r="W11191" t="s">
        <v>42182</v>
      </c>
      <c r="X11191" t="s">
        <v>42686</v>
      </c>
    </row>
    <row r="11192" spans="1:24">
      <c r="A11192">
        <f>HYPERLINK("https://www.philgeps.gov.ph/GEPSNONPILOT/Tender/SplashBidNoticeAbstractUI.aspx?menuIndex=3&amp;refID=7165727&amp;Result=3","7165727")</f>
        <v>0</v>
      </c>
      <c r="B11192" t="s">
        <v>579</v>
      </c>
      <c r="C11192" t="s">
        <v>14223</v>
      </c>
      <c r="D11192" t="s">
        <v>17141</v>
      </c>
      <c r="E11192" t="s">
        <v>26773</v>
      </c>
      <c r="F11192" t="s">
        <v>29373</v>
      </c>
      <c r="G11192" t="s">
        <v>29380</v>
      </c>
      <c r="H11192" t="s">
        <v>11048</v>
      </c>
      <c r="I11192" t="s">
        <v>4487</v>
      </c>
      <c r="J11192" t="s">
        <v>36602</v>
      </c>
      <c r="K11192" t="s">
        <v>38485</v>
      </c>
      <c r="M11192" t="s">
        <v>39348</v>
      </c>
      <c r="N11192" t="s">
        <v>42669</v>
      </c>
      <c r="O11192" t="s">
        <v>42670</v>
      </c>
      <c r="P11192">
        <v>0</v>
      </c>
      <c r="Q11192">
        <v>2</v>
      </c>
      <c r="R11192" t="s">
        <v>42685</v>
      </c>
      <c r="S11192" t="s">
        <v>43317</v>
      </c>
      <c r="T11192" t="s">
        <v>44651</v>
      </c>
      <c r="U11192" t="s">
        <v>53949</v>
      </c>
      <c r="V11192" t="s">
        <v>56504</v>
      </c>
      <c r="W11192" t="s">
        <v>39348</v>
      </c>
      <c r="X11192" t="s">
        <v>42686</v>
      </c>
    </row>
    <row r="11193" spans="1:24">
      <c r="A11193">
        <f>HYPERLINK("https://www.philgeps.gov.ph/GEPSNONPILOT/Tender/SplashBidNoticeAbstractUI.aspx?menuIndex=3&amp;refID=7165739&amp;Result=3","7165739")</f>
        <v>0</v>
      </c>
      <c r="B11193" t="s">
        <v>3137</v>
      </c>
      <c r="C11193" t="s">
        <v>14224</v>
      </c>
      <c r="D11193" t="s">
        <v>17211</v>
      </c>
      <c r="E11193" t="s">
        <v>26774</v>
      </c>
      <c r="F11193" t="s">
        <v>29372</v>
      </c>
      <c r="G11193" t="s">
        <v>29380</v>
      </c>
      <c r="H11193" t="s">
        <v>29389</v>
      </c>
      <c r="I11193" t="s">
        <v>10408</v>
      </c>
      <c r="J11193" t="s">
        <v>36603</v>
      </c>
      <c r="K11193" t="s">
        <v>38564</v>
      </c>
      <c r="M11193" t="s">
        <v>42182</v>
      </c>
      <c r="N11193" t="s">
        <v>42669</v>
      </c>
      <c r="O11193" t="s">
        <v>42670</v>
      </c>
      <c r="P11193">
        <v>0</v>
      </c>
      <c r="Q11193">
        <v>0</v>
      </c>
      <c r="R11193" t="s">
        <v>42685</v>
      </c>
      <c r="S11193" t="s">
        <v>43317</v>
      </c>
      <c r="T11193" t="s">
        <v>44410</v>
      </c>
      <c r="U11193" t="s">
        <v>53950</v>
      </c>
      <c r="V11193" t="s">
        <v>57615</v>
      </c>
      <c r="W11193" t="s">
        <v>42182</v>
      </c>
      <c r="X11193" t="s">
        <v>42686</v>
      </c>
    </row>
    <row r="11194" spans="1:24">
      <c r="A11194">
        <f>HYPERLINK("https://www.philgeps.gov.ph/GEPSNONPILOT/Tender/SplashBidNoticeAbstractUI.aspx?menuIndex=3&amp;refID=7165695&amp;Result=3","7165695")</f>
        <v>0</v>
      </c>
      <c r="B11194" t="s">
        <v>1429</v>
      </c>
      <c r="C11194" t="s">
        <v>14225</v>
      </c>
      <c r="E11194" t="s">
        <v>26775</v>
      </c>
      <c r="F11194" t="s">
        <v>29372</v>
      </c>
      <c r="G11194" t="s">
        <v>29380</v>
      </c>
      <c r="H11194" t="s">
        <v>29389</v>
      </c>
      <c r="I11194" t="s">
        <v>10408</v>
      </c>
      <c r="J11194" t="s">
        <v>36604</v>
      </c>
      <c r="K11194" t="s">
        <v>38527</v>
      </c>
      <c r="M11194" t="s">
        <v>41466</v>
      </c>
      <c r="N11194" t="s">
        <v>42669</v>
      </c>
      <c r="O11194" t="s">
        <v>42670</v>
      </c>
      <c r="P11194">
        <v>0</v>
      </c>
      <c r="Q11194">
        <v>1</v>
      </c>
      <c r="R11194" t="s">
        <v>42685</v>
      </c>
      <c r="S11194" t="s">
        <v>43317</v>
      </c>
      <c r="T11194" t="s">
        <v>44485</v>
      </c>
      <c r="U11194" t="s">
        <v>53951</v>
      </c>
      <c r="W11194" t="s">
        <v>41466</v>
      </c>
      <c r="X11194" t="s">
        <v>42686</v>
      </c>
    </row>
    <row r="11195" spans="1:24">
      <c r="A11195">
        <f>HYPERLINK("https://www.philgeps.gov.ph/GEPSNONPILOT/Tender/SplashBidNoticeAbstractUI.aspx?menuIndex=3&amp;refID=7165692&amp;Result=3","7165692")</f>
        <v>0</v>
      </c>
      <c r="B11195" t="s">
        <v>642</v>
      </c>
      <c r="C11195" t="s">
        <v>14226</v>
      </c>
      <c r="D11195" t="s">
        <v>17161</v>
      </c>
      <c r="E11195" t="s">
        <v>26776</v>
      </c>
      <c r="F11195" t="s">
        <v>29373</v>
      </c>
      <c r="G11195" t="s">
        <v>29380</v>
      </c>
      <c r="H11195" t="s">
        <v>11048</v>
      </c>
      <c r="I11195" t="s">
        <v>4709</v>
      </c>
      <c r="J11195" t="s">
        <v>36605</v>
      </c>
      <c r="K11195" t="s">
        <v>38485</v>
      </c>
      <c r="M11195" t="s">
        <v>42183</v>
      </c>
      <c r="N11195" t="s">
        <v>42669</v>
      </c>
      <c r="O11195" t="s">
        <v>42670</v>
      </c>
      <c r="P11195">
        <v>0</v>
      </c>
      <c r="Q11195">
        <v>0</v>
      </c>
      <c r="R11195" t="s">
        <v>42685</v>
      </c>
      <c r="S11195" t="s">
        <v>43317</v>
      </c>
      <c r="T11195" t="s">
        <v>44488</v>
      </c>
      <c r="U11195" t="s">
        <v>53952</v>
      </c>
      <c r="W11195" t="s">
        <v>42183</v>
      </c>
      <c r="X11195" t="s">
        <v>42686</v>
      </c>
    </row>
    <row r="11196" spans="1:24">
      <c r="A11196">
        <f>HYPERLINK("https://www.philgeps.gov.ph/GEPSNONPILOT/Tender/SplashBidNoticeAbstractUI.aspx?menuIndex=3&amp;refID=7165759&amp;Result=3","7165759")</f>
        <v>0</v>
      </c>
      <c r="B11196" t="s">
        <v>3138</v>
      </c>
      <c r="C11196" t="s">
        <v>14227</v>
      </c>
      <c r="D11196" t="s">
        <v>17174</v>
      </c>
      <c r="E11196" t="s">
        <v>26777</v>
      </c>
      <c r="F11196" t="s">
        <v>29372</v>
      </c>
      <c r="G11196" t="s">
        <v>29380</v>
      </c>
      <c r="H11196" t="s">
        <v>29389</v>
      </c>
      <c r="I11196" t="s">
        <v>10408</v>
      </c>
      <c r="J11196" t="s">
        <v>29609</v>
      </c>
      <c r="K11196" t="s">
        <v>38656</v>
      </c>
      <c r="M11196" t="s">
        <v>42184</v>
      </c>
      <c r="N11196" t="s">
        <v>42669</v>
      </c>
      <c r="O11196" t="s">
        <v>42670</v>
      </c>
      <c r="Q11196">
        <v>0</v>
      </c>
      <c r="R11196" t="s">
        <v>42685</v>
      </c>
      <c r="S11196" t="s">
        <v>43336</v>
      </c>
      <c r="T11196" t="s">
        <v>44373</v>
      </c>
      <c r="U11196" t="s">
        <v>53953</v>
      </c>
      <c r="W11196" t="s">
        <v>42184</v>
      </c>
      <c r="X11196" t="s">
        <v>42686</v>
      </c>
    </row>
    <row r="11197" spans="1:24">
      <c r="A11197">
        <f>HYPERLINK("https://www.philgeps.gov.ph/GEPSNONPILOT/Tender/SplashBidNoticeAbstractUI.aspx?menuIndex=3&amp;refID=7165756&amp;Result=3","7165756")</f>
        <v>0</v>
      </c>
      <c r="B11197" t="s">
        <v>3139</v>
      </c>
      <c r="C11197" t="s">
        <v>14228</v>
      </c>
      <c r="D11197" t="s">
        <v>17222</v>
      </c>
      <c r="E11197" t="s">
        <v>26778</v>
      </c>
      <c r="F11197" t="s">
        <v>29372</v>
      </c>
      <c r="G11197" t="s">
        <v>29380</v>
      </c>
      <c r="H11197" t="s">
        <v>29389</v>
      </c>
      <c r="I11197" t="s">
        <v>10408</v>
      </c>
      <c r="J11197" t="s">
        <v>36606</v>
      </c>
      <c r="K11197" t="s">
        <v>38487</v>
      </c>
      <c r="M11197" t="s">
        <v>42185</v>
      </c>
      <c r="N11197" t="s">
        <v>42669</v>
      </c>
      <c r="O11197" t="s">
        <v>42670</v>
      </c>
      <c r="P11197">
        <v>0</v>
      </c>
      <c r="Q11197">
        <v>0</v>
      </c>
      <c r="R11197" t="s">
        <v>42685</v>
      </c>
      <c r="S11197" t="s">
        <v>43317</v>
      </c>
      <c r="T11197" t="s">
        <v>44375</v>
      </c>
      <c r="U11197" t="s">
        <v>53954</v>
      </c>
      <c r="W11197" t="s">
        <v>42185</v>
      </c>
      <c r="X11197" t="s">
        <v>42686</v>
      </c>
    </row>
    <row r="11198" spans="1:24">
      <c r="A11198">
        <f>HYPERLINK("https://www.philgeps.gov.ph/GEPSNONPILOT/Tender/SplashBidNoticeAbstractUI.aspx?menuIndex=3&amp;refID=7165934&amp;Result=3","7165934")</f>
        <v>0</v>
      </c>
      <c r="B11198" t="s">
        <v>3140</v>
      </c>
      <c r="C11198" t="s">
        <v>14229</v>
      </c>
      <c r="D11198" t="s">
        <v>17158</v>
      </c>
      <c r="E11198" t="s">
        <v>26779</v>
      </c>
      <c r="F11198" t="s">
        <v>29372</v>
      </c>
      <c r="G11198" t="s">
        <v>29380</v>
      </c>
      <c r="H11198" t="s">
        <v>11048</v>
      </c>
      <c r="I11198" t="s">
        <v>8208</v>
      </c>
      <c r="J11198" t="s">
        <v>36607</v>
      </c>
      <c r="K11198" t="s">
        <v>38485</v>
      </c>
      <c r="M11198" t="s">
        <v>42186</v>
      </c>
      <c r="N11198" t="s">
        <v>42669</v>
      </c>
      <c r="O11198" t="s">
        <v>42670</v>
      </c>
      <c r="P11198">
        <v>0</v>
      </c>
      <c r="Q11198">
        <v>1</v>
      </c>
      <c r="R11198" t="s">
        <v>42685</v>
      </c>
      <c r="S11198" t="s">
        <v>43317</v>
      </c>
      <c r="T11198" t="s">
        <v>44357</v>
      </c>
      <c r="U11198" t="s">
        <v>53955</v>
      </c>
      <c r="W11198" t="s">
        <v>42186</v>
      </c>
      <c r="X11198" t="s">
        <v>42686</v>
      </c>
    </row>
    <row r="11199" spans="1:24">
      <c r="A11199">
        <f>HYPERLINK("https://www.philgeps.gov.ph/GEPSNONPILOT/Tender/SplashBidNoticeAbstractUI.aspx?menuIndex=3&amp;refID=7165792&amp;Result=3","7165792")</f>
        <v>0</v>
      </c>
      <c r="B11199" t="s">
        <v>1429</v>
      </c>
      <c r="C11199" t="s">
        <v>14230</v>
      </c>
      <c r="E11199" t="s">
        <v>26780</v>
      </c>
      <c r="F11199" t="s">
        <v>29372</v>
      </c>
      <c r="G11199" t="s">
        <v>29380</v>
      </c>
      <c r="H11199" t="s">
        <v>29389</v>
      </c>
      <c r="I11199" t="s">
        <v>10408</v>
      </c>
      <c r="J11199" t="s">
        <v>36608</v>
      </c>
      <c r="K11199" t="s">
        <v>38520</v>
      </c>
      <c r="M11199" t="s">
        <v>41466</v>
      </c>
      <c r="N11199" t="s">
        <v>42669</v>
      </c>
      <c r="O11199" t="s">
        <v>42670</v>
      </c>
      <c r="P11199">
        <v>0</v>
      </c>
      <c r="Q11199">
        <v>2</v>
      </c>
      <c r="R11199" t="s">
        <v>42685</v>
      </c>
      <c r="S11199" t="s">
        <v>43317</v>
      </c>
      <c r="T11199" t="s">
        <v>44485</v>
      </c>
      <c r="U11199" t="s">
        <v>53956</v>
      </c>
      <c r="W11199" t="s">
        <v>41466</v>
      </c>
      <c r="X11199" t="s">
        <v>42686</v>
      </c>
    </row>
    <row r="11200" spans="1:24">
      <c r="A11200">
        <f>HYPERLINK("https://www.philgeps.gov.ph/GEPSNONPILOT/Tender/SplashBidNoticeAbstractUI.aspx?menuIndex=3&amp;refID=7165906&amp;Result=3","7165906")</f>
        <v>0</v>
      </c>
      <c r="B11200" t="s">
        <v>1607</v>
      </c>
      <c r="C11200" t="s">
        <v>14231</v>
      </c>
      <c r="D11200" t="s">
        <v>17160</v>
      </c>
      <c r="E11200" t="s">
        <v>21124</v>
      </c>
      <c r="F11200" t="s">
        <v>29372</v>
      </c>
      <c r="G11200" t="s">
        <v>29380</v>
      </c>
      <c r="H11200" t="s">
        <v>11048</v>
      </c>
      <c r="I11200" t="s">
        <v>3670</v>
      </c>
      <c r="J11200" t="s">
        <v>36609</v>
      </c>
      <c r="K11200" t="s">
        <v>38485</v>
      </c>
      <c r="M11200" t="s">
        <v>40460</v>
      </c>
      <c r="N11200" t="s">
        <v>42669</v>
      </c>
      <c r="O11200" t="s">
        <v>42670</v>
      </c>
      <c r="Q11200">
        <v>2</v>
      </c>
      <c r="R11200" t="s">
        <v>42685</v>
      </c>
      <c r="S11200" t="s">
        <v>43337</v>
      </c>
      <c r="T11200" t="s">
        <v>44802</v>
      </c>
      <c r="U11200" t="s">
        <v>53957</v>
      </c>
      <c r="W11200" t="s">
        <v>40460</v>
      </c>
      <c r="X11200" t="s">
        <v>42686</v>
      </c>
    </row>
    <row r="11201" spans="1:24">
      <c r="A11201">
        <f>HYPERLINK("https://www.philgeps.gov.ph/GEPSNONPILOT/Tender/SplashBidNoticeAbstractUI.aspx?menuIndex=3&amp;refID=7165891&amp;Result=3","7165891")</f>
        <v>0</v>
      </c>
      <c r="B11201" t="s">
        <v>3140</v>
      </c>
      <c r="C11201" t="s">
        <v>14232</v>
      </c>
      <c r="D11201" t="s">
        <v>17158</v>
      </c>
      <c r="E11201" t="s">
        <v>26781</v>
      </c>
      <c r="F11201" t="s">
        <v>29372</v>
      </c>
      <c r="G11201" t="s">
        <v>29380</v>
      </c>
      <c r="H11201" t="s">
        <v>11048</v>
      </c>
      <c r="I11201" t="s">
        <v>29403</v>
      </c>
      <c r="J11201" t="s">
        <v>36610</v>
      </c>
      <c r="K11201" t="s">
        <v>38485</v>
      </c>
      <c r="M11201" t="s">
        <v>42186</v>
      </c>
      <c r="N11201" t="s">
        <v>42669</v>
      </c>
      <c r="O11201" t="s">
        <v>42670</v>
      </c>
      <c r="P11201">
        <v>0</v>
      </c>
      <c r="Q11201">
        <v>0</v>
      </c>
      <c r="R11201" t="s">
        <v>42685</v>
      </c>
      <c r="S11201" t="s">
        <v>43317</v>
      </c>
      <c r="T11201" t="s">
        <v>44357</v>
      </c>
      <c r="U11201" t="s">
        <v>53958</v>
      </c>
      <c r="W11201" t="s">
        <v>42186</v>
      </c>
      <c r="X11201" t="s">
        <v>42686</v>
      </c>
    </row>
    <row r="11202" spans="1:24">
      <c r="A11202">
        <f>HYPERLINK("https://www.philgeps.gov.ph/GEPSNONPILOT/Tender/SplashBidNoticeAbstractUI.aspx?menuIndex=3&amp;refID=7165930&amp;Result=3","7165930")</f>
        <v>0</v>
      </c>
      <c r="B11202" t="s">
        <v>772</v>
      </c>
      <c r="C11202" t="s">
        <v>14233</v>
      </c>
      <c r="D11202" t="s">
        <v>17187</v>
      </c>
      <c r="E11202" t="s">
        <v>26782</v>
      </c>
      <c r="F11202" t="s">
        <v>29372</v>
      </c>
      <c r="G11202" t="s">
        <v>29380</v>
      </c>
      <c r="H11202" t="s">
        <v>29389</v>
      </c>
      <c r="I11202" t="s">
        <v>10408</v>
      </c>
      <c r="J11202" t="s">
        <v>31815</v>
      </c>
      <c r="K11202" t="s">
        <v>38485</v>
      </c>
      <c r="M11202" t="s">
        <v>39556</v>
      </c>
      <c r="N11202" t="s">
        <v>42669</v>
      </c>
      <c r="O11202" t="s">
        <v>42670</v>
      </c>
      <c r="P11202">
        <v>0</v>
      </c>
      <c r="Q11202">
        <v>0</v>
      </c>
      <c r="R11202" t="s">
        <v>42685</v>
      </c>
      <c r="S11202" t="s">
        <v>43317</v>
      </c>
      <c r="T11202" t="s">
        <v>44401</v>
      </c>
      <c r="U11202" t="s">
        <v>46442</v>
      </c>
      <c r="W11202" t="s">
        <v>39556</v>
      </c>
      <c r="X11202" t="s">
        <v>42686</v>
      </c>
    </row>
    <row r="11203" spans="1:24">
      <c r="A11203">
        <f>HYPERLINK("https://www.philgeps.gov.ph/GEPSNONPILOT/Tender/SplashBidNoticeAbstractUI.aspx?menuIndex=3&amp;refID=7165859&amp;Result=3","7165859")</f>
        <v>0</v>
      </c>
      <c r="B11203" t="s">
        <v>650</v>
      </c>
      <c r="C11203" t="s">
        <v>14234</v>
      </c>
      <c r="D11203" t="s">
        <v>17144</v>
      </c>
      <c r="E11203" t="s">
        <v>26783</v>
      </c>
      <c r="F11203" t="s">
        <v>29372</v>
      </c>
      <c r="G11203" t="s">
        <v>29380</v>
      </c>
      <c r="H11203" t="s">
        <v>11048</v>
      </c>
      <c r="I11203" t="s">
        <v>29437</v>
      </c>
      <c r="J11203" t="s">
        <v>29774</v>
      </c>
      <c r="K11203" t="s">
        <v>38486</v>
      </c>
      <c r="M11203" t="s">
        <v>39424</v>
      </c>
      <c r="N11203" t="s">
        <v>42669</v>
      </c>
      <c r="O11203" t="s">
        <v>42670</v>
      </c>
      <c r="Q11203">
        <v>5</v>
      </c>
      <c r="R11203" t="s">
        <v>42685</v>
      </c>
      <c r="S11203" t="s">
        <v>43338</v>
      </c>
      <c r="T11203" t="s">
        <v>44366</v>
      </c>
      <c r="U11203" t="s">
        <v>53959</v>
      </c>
      <c r="V11203" t="s">
        <v>56381</v>
      </c>
      <c r="W11203" t="s">
        <v>39424</v>
      </c>
      <c r="X11203" t="s">
        <v>42686</v>
      </c>
    </row>
    <row r="11204" spans="1:24">
      <c r="A11204">
        <f>HYPERLINK("https://www.philgeps.gov.ph/GEPSNONPILOT/Tender/SplashBidNoticeAbstractUI.aspx?menuIndex=3&amp;refID=7165848&amp;Result=3","7165848")</f>
        <v>0</v>
      </c>
      <c r="B11204" t="s">
        <v>3140</v>
      </c>
      <c r="C11204" t="s">
        <v>14235</v>
      </c>
      <c r="D11204" t="s">
        <v>17158</v>
      </c>
      <c r="E11204" t="s">
        <v>26784</v>
      </c>
      <c r="F11204" t="s">
        <v>29372</v>
      </c>
      <c r="G11204" t="s">
        <v>29380</v>
      </c>
      <c r="H11204" t="s">
        <v>11048</v>
      </c>
      <c r="I11204" t="s">
        <v>29403</v>
      </c>
      <c r="J11204" t="s">
        <v>36611</v>
      </c>
      <c r="K11204" t="s">
        <v>38485</v>
      </c>
      <c r="M11204" t="s">
        <v>42186</v>
      </c>
      <c r="N11204" t="s">
        <v>42669</v>
      </c>
      <c r="O11204" t="s">
        <v>42670</v>
      </c>
      <c r="P11204">
        <v>0</v>
      </c>
      <c r="Q11204">
        <v>0</v>
      </c>
      <c r="R11204" t="s">
        <v>42685</v>
      </c>
      <c r="S11204" t="s">
        <v>43317</v>
      </c>
      <c r="T11204" t="s">
        <v>44357</v>
      </c>
      <c r="U11204" t="s">
        <v>53960</v>
      </c>
      <c r="W11204" t="s">
        <v>42186</v>
      </c>
      <c r="X11204" t="s">
        <v>42686</v>
      </c>
    </row>
    <row r="11205" spans="1:24">
      <c r="A11205">
        <f>HYPERLINK("https://www.philgeps.gov.ph/GEPSNONPILOT/Tender/SplashBidNoticeAbstractUI.aspx?menuIndex=3&amp;refID=7165907&amp;Result=3","7165907")</f>
        <v>0</v>
      </c>
      <c r="B11205" t="s">
        <v>3141</v>
      </c>
      <c r="C11205" t="s">
        <v>14236</v>
      </c>
      <c r="E11205" t="s">
        <v>26785</v>
      </c>
      <c r="F11205" t="s">
        <v>29372</v>
      </c>
      <c r="G11205" t="s">
        <v>29380</v>
      </c>
      <c r="H11205" t="s">
        <v>11048</v>
      </c>
      <c r="I11205" t="s">
        <v>4709</v>
      </c>
      <c r="J11205" t="s">
        <v>29587</v>
      </c>
      <c r="K11205" t="s">
        <v>38518</v>
      </c>
      <c r="M11205" t="s">
        <v>42187</v>
      </c>
      <c r="N11205" t="s">
        <v>42669</v>
      </c>
      <c r="O11205" t="s">
        <v>42670</v>
      </c>
      <c r="P11205">
        <v>0</v>
      </c>
      <c r="Q11205">
        <v>0</v>
      </c>
      <c r="R11205" t="s">
        <v>42685</v>
      </c>
      <c r="S11205" t="s">
        <v>43317</v>
      </c>
      <c r="T11205" t="s">
        <v>44527</v>
      </c>
      <c r="U11205" t="s">
        <v>53961</v>
      </c>
      <c r="V11205" t="s">
        <v>57364</v>
      </c>
      <c r="W11205" t="s">
        <v>42187</v>
      </c>
      <c r="X11205" t="s">
        <v>42686</v>
      </c>
    </row>
    <row r="11206" spans="1:24">
      <c r="A11206">
        <f>HYPERLINK("https://www.philgeps.gov.ph/GEPSNONPILOT/Tender/SplashBidNoticeAbstractUI.aspx?menuIndex=3&amp;refID=7165717&amp;Result=3","7165717")</f>
        <v>0</v>
      </c>
      <c r="B11206" t="s">
        <v>196</v>
      </c>
      <c r="C11206" t="s">
        <v>14237</v>
      </c>
      <c r="D11206" t="s">
        <v>17166</v>
      </c>
      <c r="E11206" t="s">
        <v>26786</v>
      </c>
      <c r="F11206" t="s">
        <v>29372</v>
      </c>
      <c r="G11206" t="s">
        <v>29380</v>
      </c>
      <c r="H11206" t="s">
        <v>29389</v>
      </c>
      <c r="I11206" t="s">
        <v>10408</v>
      </c>
      <c r="J11206" t="s">
        <v>36612</v>
      </c>
      <c r="K11206" t="s">
        <v>38496</v>
      </c>
      <c r="M11206" t="s">
        <v>42173</v>
      </c>
      <c r="N11206" t="s">
        <v>42669</v>
      </c>
      <c r="O11206" t="s">
        <v>42670</v>
      </c>
      <c r="P11206">
        <v>0</v>
      </c>
      <c r="Q11206">
        <v>1</v>
      </c>
      <c r="R11206" t="s">
        <v>42685</v>
      </c>
      <c r="S11206" t="s">
        <v>43317</v>
      </c>
      <c r="T11206" t="s">
        <v>44527</v>
      </c>
      <c r="U11206" t="s">
        <v>53962</v>
      </c>
      <c r="W11206" t="s">
        <v>58083</v>
      </c>
      <c r="X11206" t="s">
        <v>42686</v>
      </c>
    </row>
    <row r="11207" spans="1:24">
      <c r="A11207">
        <f>HYPERLINK("https://www.philgeps.gov.ph/GEPSNONPILOT/Tender/SplashBidNoticeAbstractUI.aspx?menuIndex=3&amp;refID=7165843&amp;Result=3","7165843")</f>
        <v>0</v>
      </c>
      <c r="B11207" t="s">
        <v>3142</v>
      </c>
      <c r="C11207" t="s">
        <v>14238</v>
      </c>
      <c r="D11207" t="s">
        <v>17168</v>
      </c>
      <c r="E11207" t="s">
        <v>26785</v>
      </c>
      <c r="F11207" t="s">
        <v>29372</v>
      </c>
      <c r="G11207" t="s">
        <v>29380</v>
      </c>
      <c r="H11207" t="s">
        <v>11048</v>
      </c>
      <c r="I11207" t="s">
        <v>4709</v>
      </c>
      <c r="J11207" t="s">
        <v>36613</v>
      </c>
      <c r="K11207" t="s">
        <v>38518</v>
      </c>
      <c r="M11207" t="s">
        <v>42188</v>
      </c>
      <c r="N11207" t="s">
        <v>42669</v>
      </c>
      <c r="O11207" t="s">
        <v>42670</v>
      </c>
      <c r="P11207">
        <v>0</v>
      </c>
      <c r="Q11207">
        <v>0</v>
      </c>
      <c r="R11207" t="s">
        <v>42685</v>
      </c>
      <c r="S11207" t="s">
        <v>43317</v>
      </c>
      <c r="T11207" t="s">
        <v>44527</v>
      </c>
      <c r="U11207" t="s">
        <v>53963</v>
      </c>
      <c r="V11207" t="s">
        <v>57364</v>
      </c>
      <c r="W11207" t="s">
        <v>42188</v>
      </c>
      <c r="X11207" t="s">
        <v>42686</v>
      </c>
    </row>
    <row r="11208" spans="1:24">
      <c r="A11208">
        <f>HYPERLINK("https://www.philgeps.gov.ph/GEPSNONPILOT/Tender/SplashBidNoticeAbstractUI.aspx?menuIndex=3&amp;refID=7165863&amp;Result=3","7165863")</f>
        <v>0</v>
      </c>
      <c r="B11208" t="s">
        <v>3143</v>
      </c>
      <c r="C11208" t="s">
        <v>14239</v>
      </c>
      <c r="D11208" t="s">
        <v>17207</v>
      </c>
      <c r="E11208" t="s">
        <v>26787</v>
      </c>
      <c r="F11208" t="s">
        <v>29372</v>
      </c>
      <c r="G11208" t="s">
        <v>29380</v>
      </c>
      <c r="H11208" t="s">
        <v>29389</v>
      </c>
      <c r="I11208" t="s">
        <v>10408</v>
      </c>
      <c r="J11208" t="s">
        <v>36614</v>
      </c>
      <c r="K11208" t="s">
        <v>38492</v>
      </c>
      <c r="M11208" t="s">
        <v>42189</v>
      </c>
      <c r="N11208" t="s">
        <v>42669</v>
      </c>
      <c r="O11208" t="s">
        <v>42670</v>
      </c>
      <c r="Q11208">
        <v>0</v>
      </c>
      <c r="R11208" t="s">
        <v>42685</v>
      </c>
      <c r="S11208" t="s">
        <v>43339</v>
      </c>
      <c r="T11208" t="s">
        <v>44375</v>
      </c>
      <c r="U11208" t="s">
        <v>53964</v>
      </c>
      <c r="W11208" t="s">
        <v>42189</v>
      </c>
      <c r="X11208" t="s">
        <v>42686</v>
      </c>
    </row>
    <row r="11209" spans="1:24">
      <c r="A11209">
        <f>HYPERLINK("https://www.philgeps.gov.ph/GEPSNONPILOT/Tender/SplashBidNoticeAbstractUI.aspx?menuIndex=3&amp;refID=7165818&amp;Result=3","7165818")</f>
        <v>0</v>
      </c>
      <c r="B11209" t="s">
        <v>1429</v>
      </c>
      <c r="C11209" t="s">
        <v>14240</v>
      </c>
      <c r="E11209" t="s">
        <v>26788</v>
      </c>
      <c r="F11209" t="s">
        <v>29372</v>
      </c>
      <c r="G11209" t="s">
        <v>29380</v>
      </c>
      <c r="H11209" t="s">
        <v>29389</v>
      </c>
      <c r="I11209" t="s">
        <v>10408</v>
      </c>
      <c r="J11209" t="s">
        <v>36615</v>
      </c>
      <c r="K11209" t="s">
        <v>38533</v>
      </c>
      <c r="M11209" t="s">
        <v>41466</v>
      </c>
      <c r="N11209" t="s">
        <v>42669</v>
      </c>
      <c r="O11209" t="s">
        <v>42670</v>
      </c>
      <c r="P11209">
        <v>0</v>
      </c>
      <c r="Q11209">
        <v>1</v>
      </c>
      <c r="R11209" t="s">
        <v>42685</v>
      </c>
      <c r="S11209" t="s">
        <v>43317</v>
      </c>
      <c r="T11209" t="s">
        <v>44485</v>
      </c>
      <c r="U11209" t="s">
        <v>53965</v>
      </c>
      <c r="W11209" t="s">
        <v>41466</v>
      </c>
      <c r="X11209" t="s">
        <v>42686</v>
      </c>
    </row>
    <row r="11210" spans="1:24">
      <c r="A11210">
        <f>HYPERLINK("https://www.philgeps.gov.ph/GEPSNONPILOT/Tender/SplashBidNoticeAbstractUI.aspx?menuIndex=3&amp;refID=7165829&amp;Result=3","7165829")</f>
        <v>0</v>
      </c>
      <c r="B11210" t="s">
        <v>1429</v>
      </c>
      <c r="C11210" t="s">
        <v>14241</v>
      </c>
      <c r="E11210" t="s">
        <v>26789</v>
      </c>
      <c r="F11210" t="s">
        <v>29372</v>
      </c>
      <c r="G11210" t="s">
        <v>29380</v>
      </c>
      <c r="H11210" t="s">
        <v>29389</v>
      </c>
      <c r="I11210" t="s">
        <v>10408</v>
      </c>
      <c r="J11210" t="s">
        <v>29724</v>
      </c>
      <c r="K11210" t="s">
        <v>38564</v>
      </c>
      <c r="M11210" t="s">
        <v>41466</v>
      </c>
      <c r="N11210" t="s">
        <v>42669</v>
      </c>
      <c r="O11210" t="s">
        <v>42670</v>
      </c>
      <c r="P11210">
        <v>0</v>
      </c>
      <c r="Q11210">
        <v>1</v>
      </c>
      <c r="R11210" t="s">
        <v>42685</v>
      </c>
      <c r="S11210" t="s">
        <v>43317</v>
      </c>
      <c r="T11210" t="s">
        <v>44485</v>
      </c>
      <c r="U11210" t="s">
        <v>53966</v>
      </c>
      <c r="W11210" t="s">
        <v>41466</v>
      </c>
      <c r="X11210" t="s">
        <v>42686</v>
      </c>
    </row>
    <row r="11211" spans="1:24">
      <c r="A11211">
        <f>HYPERLINK("https://www.philgeps.gov.ph/GEPSNONPILOT/Tender/SplashBidNoticeAbstractUI.aspx?menuIndex=3&amp;refID=7165824&amp;Result=3","7165824")</f>
        <v>0</v>
      </c>
      <c r="B11211" t="s">
        <v>2576</v>
      </c>
      <c r="C11211" t="s">
        <v>14242</v>
      </c>
      <c r="D11211" t="s">
        <v>17169</v>
      </c>
      <c r="E11211" t="s">
        <v>26790</v>
      </c>
      <c r="F11211" t="s">
        <v>29372</v>
      </c>
      <c r="G11211" t="s">
        <v>29380</v>
      </c>
      <c r="H11211" t="s">
        <v>11048</v>
      </c>
      <c r="I11211" t="s">
        <v>3860</v>
      </c>
      <c r="J11211" t="s">
        <v>29543</v>
      </c>
      <c r="K11211" t="s">
        <v>38485</v>
      </c>
      <c r="M11211" t="s">
        <v>41543</v>
      </c>
      <c r="N11211" t="s">
        <v>42669</v>
      </c>
      <c r="O11211" t="s">
        <v>42670</v>
      </c>
      <c r="P11211">
        <v>0</v>
      </c>
      <c r="Q11211">
        <v>2</v>
      </c>
      <c r="R11211" t="s">
        <v>42685</v>
      </c>
      <c r="S11211" t="s">
        <v>43317</v>
      </c>
      <c r="T11211" t="s">
        <v>44436</v>
      </c>
      <c r="U11211" t="s">
        <v>51607</v>
      </c>
      <c r="W11211" t="s">
        <v>41543</v>
      </c>
      <c r="X11211" t="s">
        <v>42686</v>
      </c>
    </row>
    <row r="11212" spans="1:24">
      <c r="A11212">
        <f>HYPERLINK("https://www.philgeps.gov.ph/GEPSNONPILOT/Tender/SplashBidNoticeAbstractUI.aspx?menuIndex=3&amp;refID=7165879&amp;Result=3","7165879")</f>
        <v>0</v>
      </c>
      <c r="B11212" t="s">
        <v>1291</v>
      </c>
      <c r="C11212" t="s">
        <v>14243</v>
      </c>
      <c r="D11212" t="s">
        <v>17144</v>
      </c>
      <c r="E11212" t="s">
        <v>26791</v>
      </c>
      <c r="F11212" t="s">
        <v>29372</v>
      </c>
      <c r="G11212" t="s">
        <v>29380</v>
      </c>
      <c r="H11212" t="s">
        <v>29389</v>
      </c>
      <c r="I11212" t="s">
        <v>10408</v>
      </c>
      <c r="J11212" t="s">
        <v>36616</v>
      </c>
      <c r="K11212" t="s">
        <v>38727</v>
      </c>
      <c r="M11212" t="s">
        <v>40120</v>
      </c>
      <c r="N11212" t="s">
        <v>42669</v>
      </c>
      <c r="O11212" t="s">
        <v>42670</v>
      </c>
      <c r="Q11212">
        <v>2</v>
      </c>
      <c r="R11212" t="s">
        <v>42685</v>
      </c>
      <c r="S11212" t="s">
        <v>43340</v>
      </c>
      <c r="T11212" t="s">
        <v>44425</v>
      </c>
      <c r="U11212" t="s">
        <v>53967</v>
      </c>
      <c r="W11212" t="s">
        <v>40120</v>
      </c>
      <c r="X11212" t="s">
        <v>42686</v>
      </c>
    </row>
    <row r="11213" spans="1:24">
      <c r="A11213">
        <f>HYPERLINK("https://www.philgeps.gov.ph/GEPSNONPILOT/Tender/SplashBidNoticeAbstractUI.aspx?menuIndex=3&amp;refID=7166149&amp;Result=3","7166149")</f>
        <v>0</v>
      </c>
      <c r="B11213" t="s">
        <v>579</v>
      </c>
      <c r="C11213" t="s">
        <v>14244</v>
      </c>
      <c r="D11213" t="s">
        <v>17141</v>
      </c>
      <c r="E11213" t="s">
        <v>26792</v>
      </c>
      <c r="F11213" t="s">
        <v>29373</v>
      </c>
      <c r="G11213" t="s">
        <v>29380</v>
      </c>
      <c r="H11213" t="s">
        <v>11048</v>
      </c>
      <c r="I11213" t="s">
        <v>4709</v>
      </c>
      <c r="J11213" t="s">
        <v>36617</v>
      </c>
      <c r="K11213" t="s">
        <v>38485</v>
      </c>
      <c r="M11213" t="s">
        <v>39348</v>
      </c>
      <c r="N11213" t="s">
        <v>42669</v>
      </c>
      <c r="O11213" t="s">
        <v>42670</v>
      </c>
      <c r="P11213">
        <v>0</v>
      </c>
      <c r="Q11213">
        <v>2</v>
      </c>
      <c r="R11213" t="s">
        <v>42685</v>
      </c>
      <c r="S11213" t="s">
        <v>43317</v>
      </c>
      <c r="T11213" t="s">
        <v>44427</v>
      </c>
      <c r="U11213" t="s">
        <v>53968</v>
      </c>
      <c r="V11213" t="s">
        <v>56504</v>
      </c>
      <c r="W11213" t="s">
        <v>39348</v>
      </c>
      <c r="X11213" t="s">
        <v>42686</v>
      </c>
    </row>
    <row r="11214" spans="1:24">
      <c r="A11214">
        <f>HYPERLINK("https://www.philgeps.gov.ph/GEPSNONPILOT/Tender/SplashBidNoticeAbstractUI.aspx?menuIndex=3&amp;refID=7164737&amp;Result=3","7164737")</f>
        <v>0</v>
      </c>
      <c r="B11214" t="s">
        <v>3111</v>
      </c>
      <c r="C11214" t="s">
        <v>14245</v>
      </c>
      <c r="E11214" t="s">
        <v>26793</v>
      </c>
      <c r="F11214" t="s">
        <v>29372</v>
      </c>
      <c r="G11214" t="s">
        <v>29380</v>
      </c>
      <c r="H11214" t="s">
        <v>11048</v>
      </c>
      <c r="I11214" t="s">
        <v>8614</v>
      </c>
      <c r="J11214" t="s">
        <v>36618</v>
      </c>
      <c r="K11214" t="s">
        <v>38490</v>
      </c>
      <c r="M11214" t="s">
        <v>42190</v>
      </c>
      <c r="N11214" t="s">
        <v>42669</v>
      </c>
      <c r="O11214" t="s">
        <v>42670</v>
      </c>
      <c r="Q11214">
        <v>28</v>
      </c>
      <c r="R11214" t="s">
        <v>42685</v>
      </c>
      <c r="S11214" t="s">
        <v>43341</v>
      </c>
      <c r="T11214" t="s">
        <v>44375</v>
      </c>
      <c r="U11214" t="s">
        <v>53969</v>
      </c>
      <c r="W11214" t="s">
        <v>42190</v>
      </c>
      <c r="X11214" t="s">
        <v>42687</v>
      </c>
    </row>
    <row r="11215" spans="1:24">
      <c r="A11215">
        <f>HYPERLINK("https://www.philgeps.gov.ph/GEPSNONPILOT/Tender/SplashBidNoticeAbstractUI.aspx?menuIndex=3&amp;refID=7165816&amp;Result=3","7165816")</f>
        <v>0</v>
      </c>
      <c r="B11215" t="s">
        <v>3137</v>
      </c>
      <c r="C11215" t="s">
        <v>14246</v>
      </c>
      <c r="D11215" t="s">
        <v>17211</v>
      </c>
      <c r="E11215" t="s">
        <v>23206</v>
      </c>
      <c r="F11215" t="s">
        <v>29372</v>
      </c>
      <c r="G11215" t="s">
        <v>29380</v>
      </c>
      <c r="H11215" t="s">
        <v>29389</v>
      </c>
      <c r="I11215" t="s">
        <v>10408</v>
      </c>
      <c r="J11215" t="s">
        <v>32446</v>
      </c>
      <c r="K11215" t="s">
        <v>38530</v>
      </c>
      <c r="M11215" t="s">
        <v>42182</v>
      </c>
      <c r="N11215" t="s">
        <v>42669</v>
      </c>
      <c r="O11215" t="s">
        <v>42670</v>
      </c>
      <c r="P11215">
        <v>0</v>
      </c>
      <c r="Q11215">
        <v>0</v>
      </c>
      <c r="R11215" t="s">
        <v>42685</v>
      </c>
      <c r="S11215" t="s">
        <v>43317</v>
      </c>
      <c r="T11215" t="s">
        <v>44410</v>
      </c>
      <c r="U11215" t="s">
        <v>53970</v>
      </c>
      <c r="V11215" t="s">
        <v>57615</v>
      </c>
      <c r="W11215" t="s">
        <v>42182</v>
      </c>
      <c r="X11215" t="s">
        <v>42686</v>
      </c>
    </row>
    <row r="11216" spans="1:24">
      <c r="A11216">
        <f>HYPERLINK("https://www.philgeps.gov.ph/GEPSNONPILOT/Tender/SplashBidNoticeAbstractUI.aspx?menuIndex=3&amp;refID=7166143&amp;Result=3","7166143")</f>
        <v>0</v>
      </c>
      <c r="B11216" t="s">
        <v>2354</v>
      </c>
      <c r="C11216" t="s">
        <v>14247</v>
      </c>
      <c r="D11216" t="s">
        <v>17174</v>
      </c>
      <c r="E11216" t="s">
        <v>26794</v>
      </c>
      <c r="F11216" t="s">
        <v>29372</v>
      </c>
      <c r="G11216" t="s">
        <v>29380</v>
      </c>
      <c r="H11216" t="s">
        <v>11048</v>
      </c>
      <c r="I11216" t="s">
        <v>29485</v>
      </c>
      <c r="J11216" t="s">
        <v>30764</v>
      </c>
      <c r="K11216" t="s">
        <v>38485</v>
      </c>
      <c r="M11216" t="s">
        <v>41289</v>
      </c>
      <c r="N11216" t="s">
        <v>42669</v>
      </c>
      <c r="O11216" t="s">
        <v>42670</v>
      </c>
      <c r="P11216">
        <v>0</v>
      </c>
      <c r="Q11216">
        <v>1</v>
      </c>
      <c r="R11216" t="s">
        <v>42685</v>
      </c>
      <c r="S11216" t="s">
        <v>43317</v>
      </c>
      <c r="T11216" t="s">
        <v>44400</v>
      </c>
      <c r="U11216" t="s">
        <v>53971</v>
      </c>
      <c r="V11216" t="s">
        <v>57616</v>
      </c>
      <c r="W11216" t="s">
        <v>41289</v>
      </c>
      <c r="X11216" t="s">
        <v>42686</v>
      </c>
    </row>
    <row r="11217" spans="1:24">
      <c r="A11217">
        <f>HYPERLINK("https://www.philgeps.gov.ph/GEPSNONPILOT/Tender/SplashBidNoticeAbstractUI.aspx?menuIndex=3&amp;refID=7166107&amp;Result=3","7166107")</f>
        <v>0</v>
      </c>
      <c r="B11217" t="s">
        <v>2721</v>
      </c>
      <c r="C11217" t="s">
        <v>14248</v>
      </c>
      <c r="D11217" t="s">
        <v>17150</v>
      </c>
      <c r="E11217" t="s">
        <v>26795</v>
      </c>
      <c r="F11217" t="s">
        <v>29372</v>
      </c>
      <c r="G11217" t="s">
        <v>29379</v>
      </c>
      <c r="H11217" t="s">
        <v>11048</v>
      </c>
      <c r="I11217" t="s">
        <v>9469</v>
      </c>
      <c r="J11217" t="s">
        <v>36619</v>
      </c>
      <c r="K11217" t="s">
        <v>38485</v>
      </c>
      <c r="M11217" t="s">
        <v>41702</v>
      </c>
      <c r="N11217" t="s">
        <v>42669</v>
      </c>
      <c r="O11217" t="s">
        <v>42670</v>
      </c>
      <c r="P11217">
        <v>0</v>
      </c>
      <c r="Q11217">
        <v>2</v>
      </c>
      <c r="R11217" t="s">
        <v>42685</v>
      </c>
      <c r="S11217" t="s">
        <v>43317</v>
      </c>
      <c r="T11217" t="s">
        <v>44427</v>
      </c>
      <c r="U11217" t="s">
        <v>53972</v>
      </c>
      <c r="V11217" t="s">
        <v>57617</v>
      </c>
      <c r="W11217" t="s">
        <v>41702</v>
      </c>
      <c r="X11217" t="s">
        <v>42686</v>
      </c>
    </row>
    <row r="11218" spans="1:24">
      <c r="A11218">
        <f>HYPERLINK("https://www.philgeps.gov.ph/GEPSNONPILOT/Tender/SplashBidNoticeAbstractUI.aspx?menuIndex=3&amp;refID=7166092&amp;Result=3","7166092")</f>
        <v>0</v>
      </c>
      <c r="B11218" t="s">
        <v>2354</v>
      </c>
      <c r="C11218" t="s">
        <v>14249</v>
      </c>
      <c r="D11218" t="s">
        <v>17174</v>
      </c>
      <c r="E11218" t="s">
        <v>26796</v>
      </c>
      <c r="F11218" t="s">
        <v>29372</v>
      </c>
      <c r="G11218" t="s">
        <v>29380</v>
      </c>
      <c r="H11218" t="s">
        <v>11048</v>
      </c>
      <c r="I11218" t="s">
        <v>29412</v>
      </c>
      <c r="J11218" t="s">
        <v>35489</v>
      </c>
      <c r="K11218" t="s">
        <v>38503</v>
      </c>
      <c r="M11218" t="s">
        <v>41289</v>
      </c>
      <c r="N11218" t="s">
        <v>42669</v>
      </c>
      <c r="O11218" t="s">
        <v>42670</v>
      </c>
      <c r="P11218">
        <v>0</v>
      </c>
      <c r="Q11218">
        <v>1</v>
      </c>
      <c r="R11218" t="s">
        <v>42685</v>
      </c>
      <c r="S11218" t="s">
        <v>43317</v>
      </c>
      <c r="T11218" t="s">
        <v>44400</v>
      </c>
      <c r="U11218" t="s">
        <v>53973</v>
      </c>
      <c r="V11218" t="s">
        <v>57618</v>
      </c>
      <c r="W11218" t="s">
        <v>41289</v>
      </c>
      <c r="X11218" t="s">
        <v>42686</v>
      </c>
    </row>
    <row r="11219" spans="1:24">
      <c r="A11219">
        <f>HYPERLINK("https://www.philgeps.gov.ph/GEPSNONPILOT/Tender/SplashBidNoticeAbstractUI.aspx?menuIndex=3&amp;refID=7166150&amp;Result=3","7166150")</f>
        <v>0</v>
      </c>
      <c r="B11219" t="s">
        <v>2721</v>
      </c>
      <c r="C11219" t="s">
        <v>14250</v>
      </c>
      <c r="D11219" t="s">
        <v>17150</v>
      </c>
      <c r="E11219" t="s">
        <v>26797</v>
      </c>
      <c r="F11219" t="s">
        <v>29372</v>
      </c>
      <c r="G11219" t="s">
        <v>29379</v>
      </c>
      <c r="H11219" t="s">
        <v>11048</v>
      </c>
      <c r="I11219" t="s">
        <v>4487</v>
      </c>
      <c r="J11219" t="s">
        <v>36620</v>
      </c>
      <c r="K11219" t="s">
        <v>38485</v>
      </c>
      <c r="M11219" t="s">
        <v>41702</v>
      </c>
      <c r="N11219" t="s">
        <v>42669</v>
      </c>
      <c r="O11219" t="s">
        <v>42670</v>
      </c>
      <c r="P11219">
        <v>0</v>
      </c>
      <c r="Q11219">
        <v>1</v>
      </c>
      <c r="R11219" t="s">
        <v>42685</v>
      </c>
      <c r="S11219" t="s">
        <v>43317</v>
      </c>
      <c r="T11219" t="s">
        <v>44427</v>
      </c>
      <c r="U11219" t="s">
        <v>53974</v>
      </c>
      <c r="V11219" t="s">
        <v>57617</v>
      </c>
      <c r="W11219" t="s">
        <v>41702</v>
      </c>
      <c r="X11219" t="s">
        <v>42686</v>
      </c>
    </row>
    <row r="11220" spans="1:24">
      <c r="A11220">
        <f>HYPERLINK("https://www.philgeps.gov.ph/GEPSNONPILOT/Tender/SplashBidNoticeAbstractUI.aspx?menuIndex=3&amp;refID=7165730&amp;Result=3","7165730")</f>
        <v>0</v>
      </c>
      <c r="B11220" t="s">
        <v>830</v>
      </c>
      <c r="C11220" t="s">
        <v>14251</v>
      </c>
      <c r="D11220" t="s">
        <v>17182</v>
      </c>
      <c r="E11220" t="s">
        <v>26798</v>
      </c>
      <c r="F11220" t="s">
        <v>29372</v>
      </c>
      <c r="G11220" t="s">
        <v>29380</v>
      </c>
      <c r="H11220" t="s">
        <v>11048</v>
      </c>
      <c r="I11220" t="s">
        <v>29433</v>
      </c>
      <c r="J11220" t="s">
        <v>36621</v>
      </c>
      <c r="K11220" t="s">
        <v>38495</v>
      </c>
      <c r="M11220" t="s">
        <v>39617</v>
      </c>
      <c r="N11220" t="s">
        <v>42669</v>
      </c>
      <c r="O11220" t="s">
        <v>42670</v>
      </c>
      <c r="P11220">
        <v>0</v>
      </c>
      <c r="Q11220">
        <v>25</v>
      </c>
      <c r="R11220" t="s">
        <v>42685</v>
      </c>
      <c r="S11220" t="s">
        <v>43317</v>
      </c>
      <c r="T11220" t="s">
        <v>44431</v>
      </c>
      <c r="U11220" t="s">
        <v>53975</v>
      </c>
      <c r="W11220" t="s">
        <v>39617</v>
      </c>
      <c r="X11220" t="s">
        <v>42686</v>
      </c>
    </row>
    <row r="11221" spans="1:24">
      <c r="A11221">
        <f>HYPERLINK("https://www.philgeps.gov.ph/GEPSNONPILOT/Tender/SplashBidNoticeAbstractUI.aspx?menuIndex=3&amp;refID=7166057&amp;Result=3","7166057")</f>
        <v>0</v>
      </c>
      <c r="B11221" t="s">
        <v>1607</v>
      </c>
      <c r="C11221" t="s">
        <v>14252</v>
      </c>
      <c r="D11221" t="s">
        <v>17160</v>
      </c>
      <c r="E11221" t="s">
        <v>21124</v>
      </c>
      <c r="F11221" t="s">
        <v>29372</v>
      </c>
      <c r="G11221" t="s">
        <v>29380</v>
      </c>
      <c r="H11221" t="s">
        <v>11048</v>
      </c>
      <c r="I11221" t="s">
        <v>3670</v>
      </c>
      <c r="J11221" t="s">
        <v>36622</v>
      </c>
      <c r="K11221" t="s">
        <v>38485</v>
      </c>
      <c r="M11221" t="s">
        <v>40460</v>
      </c>
      <c r="N11221" t="s">
        <v>42669</v>
      </c>
      <c r="O11221" t="s">
        <v>42670</v>
      </c>
      <c r="Q11221">
        <v>1</v>
      </c>
      <c r="R11221" t="s">
        <v>42685</v>
      </c>
      <c r="S11221" t="s">
        <v>43342</v>
      </c>
      <c r="T11221" t="s">
        <v>44802</v>
      </c>
      <c r="U11221" t="s">
        <v>53976</v>
      </c>
      <c r="W11221" t="s">
        <v>40460</v>
      </c>
      <c r="X11221" t="s">
        <v>42686</v>
      </c>
    </row>
    <row r="11222" spans="1:24">
      <c r="A11222">
        <f>HYPERLINK("https://www.philgeps.gov.ph/GEPSNONPILOT/Tender/SplashBidNoticeAbstractUI.aspx?menuIndex=3&amp;refID=7166128&amp;Result=3","7166128")</f>
        <v>0</v>
      </c>
      <c r="B11222" t="s">
        <v>3144</v>
      </c>
      <c r="C11222" t="s">
        <v>14253</v>
      </c>
      <c r="D11222" t="s">
        <v>17211</v>
      </c>
      <c r="E11222" t="s">
        <v>17648</v>
      </c>
      <c r="F11222" t="s">
        <v>29372</v>
      </c>
      <c r="G11222" t="s">
        <v>29380</v>
      </c>
      <c r="H11222" t="s">
        <v>11048</v>
      </c>
      <c r="I11222" t="s">
        <v>4709</v>
      </c>
      <c r="J11222" t="s">
        <v>36623</v>
      </c>
      <c r="K11222" t="s">
        <v>38488</v>
      </c>
      <c r="M11222" t="s">
        <v>42191</v>
      </c>
      <c r="N11222" t="s">
        <v>42669</v>
      </c>
      <c r="O11222" t="s">
        <v>42670</v>
      </c>
      <c r="P11222">
        <v>0</v>
      </c>
      <c r="Q11222">
        <v>0</v>
      </c>
      <c r="R11222" t="s">
        <v>42685</v>
      </c>
      <c r="S11222" t="s">
        <v>43317</v>
      </c>
      <c r="T11222" t="s">
        <v>44485</v>
      </c>
      <c r="U11222" t="s">
        <v>53977</v>
      </c>
      <c r="V11222" t="s">
        <v>57619</v>
      </c>
      <c r="W11222" t="s">
        <v>42191</v>
      </c>
      <c r="X11222" t="s">
        <v>42686</v>
      </c>
    </row>
    <row r="11223" spans="1:24">
      <c r="A11223">
        <f>HYPERLINK("https://www.philgeps.gov.ph/GEPSNONPILOT/Tender/SplashBidNoticeAbstractUI.aspx?menuIndex=3&amp;refID=7166032&amp;Result=3","7166032")</f>
        <v>0</v>
      </c>
      <c r="B11223" t="s">
        <v>2721</v>
      </c>
      <c r="C11223" t="s">
        <v>14254</v>
      </c>
      <c r="D11223" t="s">
        <v>17150</v>
      </c>
      <c r="E11223" t="s">
        <v>26799</v>
      </c>
      <c r="F11223" t="s">
        <v>29372</v>
      </c>
      <c r="G11223" t="s">
        <v>29379</v>
      </c>
      <c r="H11223" t="s">
        <v>11048</v>
      </c>
      <c r="I11223" t="s">
        <v>29395</v>
      </c>
      <c r="J11223" t="s">
        <v>36624</v>
      </c>
      <c r="K11223" t="s">
        <v>38485</v>
      </c>
      <c r="M11223" t="s">
        <v>41702</v>
      </c>
      <c r="N11223" t="s">
        <v>42669</v>
      </c>
      <c r="O11223" t="s">
        <v>42670</v>
      </c>
      <c r="P11223">
        <v>0</v>
      </c>
      <c r="Q11223">
        <v>0</v>
      </c>
      <c r="R11223" t="s">
        <v>42685</v>
      </c>
      <c r="S11223" t="s">
        <v>43317</v>
      </c>
      <c r="T11223" t="s">
        <v>44427</v>
      </c>
      <c r="U11223" t="s">
        <v>53978</v>
      </c>
      <c r="V11223" t="s">
        <v>57617</v>
      </c>
      <c r="W11223" t="s">
        <v>41702</v>
      </c>
      <c r="X11223" t="s">
        <v>42686</v>
      </c>
    </row>
    <row r="11224" spans="1:24">
      <c r="A11224">
        <f>HYPERLINK("https://www.philgeps.gov.ph/GEPSNONPILOT/Tender/SplashBidNoticeAbstractUI.aspx?menuIndex=3&amp;refID=7166054&amp;Result=3","7166054")</f>
        <v>0</v>
      </c>
      <c r="B11224" t="s">
        <v>820</v>
      </c>
      <c r="C11224" t="s">
        <v>14255</v>
      </c>
      <c r="D11224" t="s">
        <v>17165</v>
      </c>
      <c r="E11224" t="s">
        <v>25764</v>
      </c>
      <c r="F11224" t="s">
        <v>29372</v>
      </c>
      <c r="G11224" t="s">
        <v>29380</v>
      </c>
      <c r="H11224" t="s">
        <v>11048</v>
      </c>
      <c r="I11224" t="s">
        <v>4709</v>
      </c>
      <c r="J11224" t="s">
        <v>36625</v>
      </c>
      <c r="K11224" t="s">
        <v>38488</v>
      </c>
      <c r="M11224" t="s">
        <v>39606</v>
      </c>
      <c r="N11224" t="s">
        <v>42669</v>
      </c>
      <c r="O11224" t="s">
        <v>42670</v>
      </c>
      <c r="Q11224">
        <v>0</v>
      </c>
      <c r="R11224" t="s">
        <v>42685</v>
      </c>
      <c r="S11224" t="s">
        <v>43343</v>
      </c>
      <c r="T11224" t="s">
        <v>44453</v>
      </c>
      <c r="U11224" t="s">
        <v>53979</v>
      </c>
      <c r="W11224" t="s">
        <v>39606</v>
      </c>
      <c r="X11224" t="s">
        <v>42686</v>
      </c>
    </row>
    <row r="11225" spans="1:24">
      <c r="A11225">
        <f>HYPERLINK("https://www.philgeps.gov.ph/GEPSNONPILOT/Tender/SplashBidNoticeAbstractUI.aspx?menuIndex=3&amp;refID=7166012&amp;Result=3","7166012")</f>
        <v>0</v>
      </c>
      <c r="B11225" t="s">
        <v>808</v>
      </c>
      <c r="C11225" t="s">
        <v>14256</v>
      </c>
      <c r="E11225" t="s">
        <v>26800</v>
      </c>
      <c r="F11225" t="s">
        <v>29372</v>
      </c>
      <c r="G11225" t="s">
        <v>29379</v>
      </c>
      <c r="H11225" t="s">
        <v>11048</v>
      </c>
      <c r="I11225" t="s">
        <v>29394</v>
      </c>
      <c r="J11225" t="s">
        <v>36626</v>
      </c>
      <c r="K11225" t="s">
        <v>38488</v>
      </c>
      <c r="M11225" t="s">
        <v>39594</v>
      </c>
      <c r="N11225" t="s">
        <v>42669</v>
      </c>
      <c r="O11225" t="s">
        <v>42670</v>
      </c>
      <c r="Q11225">
        <v>1</v>
      </c>
      <c r="R11225" t="s">
        <v>42685</v>
      </c>
      <c r="S11225" t="s">
        <v>43344</v>
      </c>
      <c r="T11225" t="s">
        <v>44488</v>
      </c>
      <c r="U11225" t="s">
        <v>53980</v>
      </c>
      <c r="W11225" t="s">
        <v>39594</v>
      </c>
      <c r="X11225" t="s">
        <v>42686</v>
      </c>
    </row>
    <row r="11226" spans="1:24">
      <c r="A11226">
        <f>HYPERLINK("https://www.philgeps.gov.ph/GEPSNONPILOT/Tender/SplashBidNoticeAbstractUI.aspx?menuIndex=3&amp;refID=7166060&amp;Result=3","7166060")</f>
        <v>0</v>
      </c>
      <c r="B11226" t="s">
        <v>2354</v>
      </c>
      <c r="C11226" t="s">
        <v>14257</v>
      </c>
      <c r="D11226" t="s">
        <v>17174</v>
      </c>
      <c r="E11226" t="s">
        <v>26801</v>
      </c>
      <c r="F11226" t="s">
        <v>29372</v>
      </c>
      <c r="G11226" t="s">
        <v>29380</v>
      </c>
      <c r="H11226" t="s">
        <v>11048</v>
      </c>
      <c r="I11226" t="s">
        <v>9642</v>
      </c>
      <c r="J11226" t="s">
        <v>29820</v>
      </c>
      <c r="K11226" t="s">
        <v>38503</v>
      </c>
      <c r="M11226" t="s">
        <v>41289</v>
      </c>
      <c r="N11226" t="s">
        <v>42669</v>
      </c>
      <c r="O11226" t="s">
        <v>42670</v>
      </c>
      <c r="P11226">
        <v>0</v>
      </c>
      <c r="Q11226">
        <v>2</v>
      </c>
      <c r="R11226" t="s">
        <v>42685</v>
      </c>
      <c r="S11226" t="s">
        <v>43317</v>
      </c>
      <c r="T11226" t="s">
        <v>44400</v>
      </c>
      <c r="U11226" t="s">
        <v>53981</v>
      </c>
      <c r="V11226" t="s">
        <v>57620</v>
      </c>
      <c r="W11226" t="s">
        <v>41289</v>
      </c>
      <c r="X11226" t="s">
        <v>42686</v>
      </c>
    </row>
    <row r="11227" spans="1:24">
      <c r="A11227">
        <f>HYPERLINK("https://www.philgeps.gov.ph/GEPSNONPILOT/Tender/SplashBidNoticeAbstractUI.aspx?menuIndex=3&amp;refID=7166118&amp;Result=3","7166118")</f>
        <v>0</v>
      </c>
      <c r="B11227" t="s">
        <v>936</v>
      </c>
      <c r="C11227" t="s">
        <v>14258</v>
      </c>
      <c r="D11227" t="s">
        <v>17186</v>
      </c>
      <c r="E11227" t="s">
        <v>26802</v>
      </c>
      <c r="F11227" t="s">
        <v>29372</v>
      </c>
      <c r="G11227" t="s">
        <v>29380</v>
      </c>
      <c r="H11227" t="s">
        <v>11048</v>
      </c>
      <c r="I11227" t="s">
        <v>9469</v>
      </c>
      <c r="J11227" t="s">
        <v>30815</v>
      </c>
      <c r="K11227" t="s">
        <v>38485</v>
      </c>
      <c r="M11227" t="s">
        <v>39731</v>
      </c>
      <c r="N11227" t="s">
        <v>42669</v>
      </c>
      <c r="O11227" t="s">
        <v>42670</v>
      </c>
      <c r="P11227">
        <v>0</v>
      </c>
      <c r="Q11227">
        <v>7</v>
      </c>
      <c r="R11227" t="s">
        <v>42685</v>
      </c>
      <c r="S11227" t="s">
        <v>43317</v>
      </c>
      <c r="T11227" t="s">
        <v>44357</v>
      </c>
      <c r="U11227" t="s">
        <v>53982</v>
      </c>
      <c r="W11227" t="s">
        <v>39731</v>
      </c>
      <c r="X11227" t="s">
        <v>42686</v>
      </c>
    </row>
    <row r="11228" spans="1:24">
      <c r="A11228">
        <f>HYPERLINK("https://www.philgeps.gov.ph/GEPSNONPILOT/Tender/SplashBidNoticeAbstractUI.aspx?menuIndex=3&amp;refID=7165992&amp;Result=3","7165992")</f>
        <v>0</v>
      </c>
      <c r="B11228" t="s">
        <v>3140</v>
      </c>
      <c r="C11228" t="s">
        <v>14259</v>
      </c>
      <c r="D11228" t="s">
        <v>17158</v>
      </c>
      <c r="E11228" t="s">
        <v>26803</v>
      </c>
      <c r="F11228" t="s">
        <v>29372</v>
      </c>
      <c r="G11228" t="s">
        <v>29380</v>
      </c>
      <c r="H11228" t="s">
        <v>11048</v>
      </c>
      <c r="I11228" t="s">
        <v>8208</v>
      </c>
      <c r="J11228" t="s">
        <v>32182</v>
      </c>
      <c r="K11228" t="s">
        <v>38485</v>
      </c>
      <c r="M11228" t="s">
        <v>42186</v>
      </c>
      <c r="N11228" t="s">
        <v>42669</v>
      </c>
      <c r="O11228" t="s">
        <v>42670</v>
      </c>
      <c r="P11228">
        <v>0</v>
      </c>
      <c r="Q11228">
        <v>0</v>
      </c>
      <c r="R11228" t="s">
        <v>42685</v>
      </c>
      <c r="S11228" t="s">
        <v>43317</v>
      </c>
      <c r="T11228" t="s">
        <v>44357</v>
      </c>
      <c r="U11228" t="s">
        <v>53983</v>
      </c>
      <c r="W11228" t="s">
        <v>42186</v>
      </c>
      <c r="X11228" t="s">
        <v>42686</v>
      </c>
    </row>
    <row r="11229" spans="1:24">
      <c r="A11229">
        <f>HYPERLINK("https://www.philgeps.gov.ph/GEPSNONPILOT/Tender/SplashBidNoticeAbstractUI.aspx?menuIndex=3&amp;refID=7165989&amp;Result=3","7165989")</f>
        <v>0</v>
      </c>
      <c r="B11229" t="s">
        <v>2022</v>
      </c>
      <c r="C11229" t="s">
        <v>14260</v>
      </c>
      <c r="D11229" t="s">
        <v>17143</v>
      </c>
      <c r="E11229" t="s">
        <v>26804</v>
      </c>
      <c r="F11229" t="s">
        <v>29372</v>
      </c>
      <c r="G11229" t="s">
        <v>29380</v>
      </c>
      <c r="H11229" t="s">
        <v>29389</v>
      </c>
      <c r="I11229" t="s">
        <v>10408</v>
      </c>
      <c r="J11229" t="s">
        <v>30012</v>
      </c>
      <c r="K11229" t="s">
        <v>38490</v>
      </c>
      <c r="M11229" t="s">
        <v>40915</v>
      </c>
      <c r="N11229" t="s">
        <v>42669</v>
      </c>
      <c r="O11229" t="s">
        <v>42670</v>
      </c>
      <c r="Q11229">
        <v>2</v>
      </c>
      <c r="R11229" t="s">
        <v>42685</v>
      </c>
      <c r="S11229" t="s">
        <v>43345</v>
      </c>
      <c r="T11229" t="s">
        <v>44368</v>
      </c>
      <c r="U11229" t="s">
        <v>53984</v>
      </c>
      <c r="W11229" t="s">
        <v>40915</v>
      </c>
      <c r="X11229" t="s">
        <v>42686</v>
      </c>
    </row>
    <row r="11230" spans="1:24">
      <c r="A11230">
        <f>HYPERLINK("https://www.philgeps.gov.ph/GEPSNONPILOT/Tender/SplashBidNoticeAbstractUI.aspx?menuIndex=3&amp;refID=7165970&amp;Result=3","7165970")</f>
        <v>0</v>
      </c>
      <c r="B11230" t="s">
        <v>1607</v>
      </c>
      <c r="C11230" t="s">
        <v>14261</v>
      </c>
      <c r="D11230" t="s">
        <v>17160</v>
      </c>
      <c r="E11230" t="s">
        <v>21124</v>
      </c>
      <c r="F11230" t="s">
        <v>29372</v>
      </c>
      <c r="G11230" t="s">
        <v>29380</v>
      </c>
      <c r="H11230" t="s">
        <v>11048</v>
      </c>
      <c r="I11230" t="s">
        <v>3670</v>
      </c>
      <c r="J11230" t="s">
        <v>29988</v>
      </c>
      <c r="K11230" t="s">
        <v>38485</v>
      </c>
      <c r="M11230" t="s">
        <v>40460</v>
      </c>
      <c r="N11230" t="s">
        <v>42669</v>
      </c>
      <c r="O11230" t="s">
        <v>42670</v>
      </c>
      <c r="Q11230">
        <v>1</v>
      </c>
      <c r="R11230" t="s">
        <v>42685</v>
      </c>
      <c r="S11230" t="s">
        <v>43346</v>
      </c>
      <c r="T11230" t="s">
        <v>44802</v>
      </c>
      <c r="U11230" t="s">
        <v>53985</v>
      </c>
      <c r="W11230" t="s">
        <v>40460</v>
      </c>
      <c r="X11230" t="s">
        <v>42686</v>
      </c>
    </row>
    <row r="11231" spans="1:24">
      <c r="A11231">
        <f>HYPERLINK("https://www.philgeps.gov.ph/GEPSNONPILOT/Tender/SplashBidNoticeAbstractUI.aspx?menuIndex=3&amp;refID=7165805&amp;Result=3","7165805")</f>
        <v>0</v>
      </c>
      <c r="B11231" t="s">
        <v>138</v>
      </c>
      <c r="C11231" t="s">
        <v>14262</v>
      </c>
      <c r="D11231" t="s">
        <v>17141</v>
      </c>
      <c r="E11231" t="s">
        <v>26805</v>
      </c>
      <c r="F11231" t="s">
        <v>29372</v>
      </c>
      <c r="G11231" t="s">
        <v>29380</v>
      </c>
      <c r="H11231" t="s">
        <v>11048</v>
      </c>
      <c r="I11231" t="s">
        <v>29426</v>
      </c>
      <c r="J11231" t="s">
        <v>36627</v>
      </c>
      <c r="K11231" t="s">
        <v>38490</v>
      </c>
      <c r="M11231" t="s">
        <v>38976</v>
      </c>
      <c r="N11231" t="s">
        <v>42669</v>
      </c>
      <c r="O11231" t="s">
        <v>42670</v>
      </c>
      <c r="P11231">
        <v>0</v>
      </c>
      <c r="Q11231">
        <v>6</v>
      </c>
      <c r="R11231" t="s">
        <v>42685</v>
      </c>
      <c r="S11231" t="s">
        <v>43317</v>
      </c>
      <c r="T11231" t="s">
        <v>44375</v>
      </c>
      <c r="U11231" t="s">
        <v>53986</v>
      </c>
      <c r="W11231" t="s">
        <v>38976</v>
      </c>
      <c r="X11231" t="s">
        <v>42686</v>
      </c>
    </row>
    <row r="11232" spans="1:24">
      <c r="A11232">
        <f>HYPERLINK("https://www.philgeps.gov.ph/GEPSNONPILOT/Tender/SplashBidNoticeAbstractUI.aspx?menuIndex=3&amp;refID=7165812&amp;Result=3","7165812")</f>
        <v>0</v>
      </c>
      <c r="B11232" t="s">
        <v>1429</v>
      </c>
      <c r="C11232" t="s">
        <v>14263</v>
      </c>
      <c r="E11232" t="s">
        <v>26806</v>
      </c>
      <c r="F11232" t="s">
        <v>29372</v>
      </c>
      <c r="G11232" t="s">
        <v>29380</v>
      </c>
      <c r="H11232" t="s">
        <v>29389</v>
      </c>
      <c r="I11232" t="s">
        <v>10408</v>
      </c>
      <c r="J11232" t="s">
        <v>36628</v>
      </c>
      <c r="K11232" t="s">
        <v>38564</v>
      </c>
      <c r="M11232" t="s">
        <v>41466</v>
      </c>
      <c r="N11232" t="s">
        <v>42669</v>
      </c>
      <c r="O11232" t="s">
        <v>42670</v>
      </c>
      <c r="P11232">
        <v>0</v>
      </c>
      <c r="Q11232">
        <v>1</v>
      </c>
      <c r="R11232" t="s">
        <v>42685</v>
      </c>
      <c r="S11232" t="s">
        <v>43317</v>
      </c>
      <c r="T11232" t="s">
        <v>44485</v>
      </c>
      <c r="U11232" t="s">
        <v>53987</v>
      </c>
      <c r="W11232" t="s">
        <v>41466</v>
      </c>
      <c r="X11232" t="s">
        <v>42686</v>
      </c>
    </row>
    <row r="11233" spans="1:24">
      <c r="A11233">
        <f>HYPERLINK("https://www.philgeps.gov.ph/GEPSNONPILOT/Tender/SplashBidNoticeAbstractUI.aspx?menuIndex=3&amp;refID=7165802&amp;Result=3","7165802")</f>
        <v>0</v>
      </c>
      <c r="B11233" t="s">
        <v>1429</v>
      </c>
      <c r="C11233" t="s">
        <v>14264</v>
      </c>
      <c r="E11233" t="s">
        <v>26807</v>
      </c>
      <c r="F11233" t="s">
        <v>29372</v>
      </c>
      <c r="G11233" t="s">
        <v>29380</v>
      </c>
      <c r="H11233" t="s">
        <v>29389</v>
      </c>
      <c r="I11233" t="s">
        <v>10408</v>
      </c>
      <c r="J11233" t="s">
        <v>36629</v>
      </c>
      <c r="K11233" t="s">
        <v>38496</v>
      </c>
      <c r="M11233" t="s">
        <v>41466</v>
      </c>
      <c r="N11233" t="s">
        <v>42669</v>
      </c>
      <c r="O11233" t="s">
        <v>42670</v>
      </c>
      <c r="P11233">
        <v>0</v>
      </c>
      <c r="Q11233">
        <v>0</v>
      </c>
      <c r="R11233" t="s">
        <v>42685</v>
      </c>
      <c r="S11233" t="s">
        <v>43317</v>
      </c>
      <c r="T11233" t="s">
        <v>44485</v>
      </c>
      <c r="U11233" t="s">
        <v>53988</v>
      </c>
      <c r="W11233" t="s">
        <v>41466</v>
      </c>
      <c r="X11233" t="s">
        <v>42686</v>
      </c>
    </row>
    <row r="11234" spans="1:24">
      <c r="A11234">
        <f>HYPERLINK("https://www.philgeps.gov.ph/GEPSNONPILOT/Tender/SplashBidNoticeAbstractUI.aspx?menuIndex=3&amp;refID=7166040&amp;Result=3","7166040")</f>
        <v>0</v>
      </c>
      <c r="B11234" t="s">
        <v>2876</v>
      </c>
      <c r="C11234" t="s">
        <v>14265</v>
      </c>
      <c r="D11234" t="s">
        <v>17145</v>
      </c>
      <c r="E11234" t="s">
        <v>26808</v>
      </c>
      <c r="F11234" t="s">
        <v>29372</v>
      </c>
      <c r="G11234" t="s">
        <v>29380</v>
      </c>
      <c r="H11234" t="s">
        <v>29389</v>
      </c>
      <c r="I11234" t="s">
        <v>10408</v>
      </c>
      <c r="J11234" t="s">
        <v>36630</v>
      </c>
      <c r="K11234" t="s">
        <v>38495</v>
      </c>
      <c r="M11234" t="s">
        <v>41872</v>
      </c>
      <c r="N11234" t="s">
        <v>42669</v>
      </c>
      <c r="O11234" t="s">
        <v>42670</v>
      </c>
      <c r="P11234">
        <v>0</v>
      </c>
      <c r="Q11234">
        <v>30</v>
      </c>
      <c r="R11234" t="s">
        <v>42685</v>
      </c>
      <c r="S11234" t="s">
        <v>43317</v>
      </c>
      <c r="T11234" t="s">
        <v>44375</v>
      </c>
      <c r="U11234" t="s">
        <v>53989</v>
      </c>
      <c r="W11234" t="s">
        <v>41872</v>
      </c>
      <c r="X11234" t="s">
        <v>42686</v>
      </c>
    </row>
    <row r="11235" spans="1:24">
      <c r="A11235">
        <f>HYPERLINK("https://www.philgeps.gov.ph/GEPSNONPILOT/Tender/SplashBidNoticeAbstractUI.aspx?menuIndex=3&amp;refID=7165822&amp;Result=3","7165822")</f>
        <v>0</v>
      </c>
      <c r="B11235" t="s">
        <v>1429</v>
      </c>
      <c r="C11235" t="s">
        <v>14266</v>
      </c>
      <c r="E11235" t="s">
        <v>26809</v>
      </c>
      <c r="F11235" t="s">
        <v>29372</v>
      </c>
      <c r="G11235" t="s">
        <v>29380</v>
      </c>
      <c r="H11235" t="s">
        <v>29389</v>
      </c>
      <c r="I11235" t="s">
        <v>10408</v>
      </c>
      <c r="J11235" t="s">
        <v>36631</v>
      </c>
      <c r="K11235" t="s">
        <v>38533</v>
      </c>
      <c r="M11235" t="s">
        <v>41466</v>
      </c>
      <c r="N11235" t="s">
        <v>42669</v>
      </c>
      <c r="O11235" t="s">
        <v>42670</v>
      </c>
      <c r="P11235">
        <v>0</v>
      </c>
      <c r="Q11235">
        <v>2</v>
      </c>
      <c r="R11235" t="s">
        <v>42685</v>
      </c>
      <c r="S11235" t="s">
        <v>43317</v>
      </c>
      <c r="T11235" t="s">
        <v>44485</v>
      </c>
      <c r="U11235" t="s">
        <v>53990</v>
      </c>
      <c r="W11235" t="s">
        <v>41466</v>
      </c>
      <c r="X11235" t="s">
        <v>42686</v>
      </c>
    </row>
    <row r="11236" spans="1:24">
      <c r="A11236">
        <f>HYPERLINK("https://www.philgeps.gov.ph/GEPSNONPILOT/Tender/SplashBidNoticeAbstractUI.aspx?menuIndex=3&amp;refID=7165955&amp;Result=3","7165955")</f>
        <v>0</v>
      </c>
      <c r="B11236" t="s">
        <v>3140</v>
      </c>
      <c r="C11236" t="s">
        <v>14267</v>
      </c>
      <c r="D11236" t="s">
        <v>17158</v>
      </c>
      <c r="E11236" t="s">
        <v>26810</v>
      </c>
      <c r="F11236" t="s">
        <v>29372</v>
      </c>
      <c r="G11236" t="s">
        <v>29380</v>
      </c>
      <c r="H11236" t="s">
        <v>11048</v>
      </c>
      <c r="I11236" t="s">
        <v>8208</v>
      </c>
      <c r="J11236" t="s">
        <v>29555</v>
      </c>
      <c r="K11236" t="s">
        <v>38485</v>
      </c>
      <c r="M11236" t="s">
        <v>42186</v>
      </c>
      <c r="N11236" t="s">
        <v>42669</v>
      </c>
      <c r="O11236" t="s">
        <v>42670</v>
      </c>
      <c r="P11236">
        <v>0</v>
      </c>
      <c r="Q11236">
        <v>0</v>
      </c>
      <c r="R11236" t="s">
        <v>42685</v>
      </c>
      <c r="S11236" t="s">
        <v>43317</v>
      </c>
      <c r="T11236" t="s">
        <v>44357</v>
      </c>
      <c r="U11236" t="s">
        <v>53991</v>
      </c>
      <c r="W11236" t="s">
        <v>42186</v>
      </c>
      <c r="X11236" t="s">
        <v>42686</v>
      </c>
    </row>
    <row r="11237" spans="1:24">
      <c r="A11237">
        <f>HYPERLINK("https://www.philgeps.gov.ph/GEPSNONPILOT/Tender/SplashBidNoticeAbstractUI.aspx?menuIndex=3&amp;refID=7166008&amp;Result=3","7166008")</f>
        <v>0</v>
      </c>
      <c r="B11237" t="s">
        <v>3145</v>
      </c>
      <c r="C11237" t="s">
        <v>14268</v>
      </c>
      <c r="D11237" t="s">
        <v>17168</v>
      </c>
      <c r="E11237" t="s">
        <v>18607</v>
      </c>
      <c r="F11237" t="s">
        <v>29372</v>
      </c>
      <c r="G11237" t="s">
        <v>29380</v>
      </c>
      <c r="H11237" t="s">
        <v>11048</v>
      </c>
      <c r="I11237" t="s">
        <v>29453</v>
      </c>
      <c r="J11237" t="s">
        <v>36632</v>
      </c>
      <c r="K11237" t="s">
        <v>38510</v>
      </c>
      <c r="M11237" t="s">
        <v>42192</v>
      </c>
      <c r="N11237" t="s">
        <v>42669</v>
      </c>
      <c r="O11237" t="s">
        <v>42670</v>
      </c>
      <c r="P11237">
        <v>0</v>
      </c>
      <c r="Q11237">
        <v>0</v>
      </c>
      <c r="R11237" t="s">
        <v>42685</v>
      </c>
      <c r="S11237" t="s">
        <v>43317</v>
      </c>
      <c r="T11237" t="s">
        <v>44431</v>
      </c>
      <c r="U11237" t="s">
        <v>53992</v>
      </c>
      <c r="W11237" t="s">
        <v>42192</v>
      </c>
      <c r="X11237" t="s">
        <v>42686</v>
      </c>
    </row>
    <row r="11238" spans="1:24">
      <c r="A11238">
        <f>HYPERLINK("https://www.philgeps.gov.ph/GEPSNONPILOT/Tender/SplashBidNoticeAbstractUI.aspx?menuIndex=3&amp;refID=7165656&amp;Result=3","7165656")</f>
        <v>0</v>
      </c>
      <c r="B11238" t="s">
        <v>1624</v>
      </c>
      <c r="C11238" t="s">
        <v>14269</v>
      </c>
      <c r="D11238" t="s">
        <v>17196</v>
      </c>
      <c r="E11238" t="s">
        <v>26811</v>
      </c>
      <c r="F11238" t="s">
        <v>29372</v>
      </c>
      <c r="G11238" t="s">
        <v>29380</v>
      </c>
      <c r="H11238" t="s">
        <v>11048</v>
      </c>
      <c r="I11238" t="s">
        <v>8614</v>
      </c>
      <c r="J11238" t="s">
        <v>36633</v>
      </c>
      <c r="K11238" t="s">
        <v>38485</v>
      </c>
      <c r="L11238" t="s">
        <v>1624</v>
      </c>
      <c r="M11238" t="s">
        <v>40478</v>
      </c>
      <c r="N11238" t="s">
        <v>42669</v>
      </c>
      <c r="O11238" t="s">
        <v>42670</v>
      </c>
      <c r="Q11238">
        <v>12</v>
      </c>
      <c r="R11238" t="s">
        <v>42685</v>
      </c>
      <c r="S11238" t="s">
        <v>43347</v>
      </c>
      <c r="T11238" t="s">
        <v>44357</v>
      </c>
      <c r="U11238" t="s">
        <v>48507</v>
      </c>
      <c r="V11238" t="s">
        <v>56853</v>
      </c>
      <c r="W11238" t="s">
        <v>40478</v>
      </c>
      <c r="X11238" t="s">
        <v>42686</v>
      </c>
    </row>
    <row r="11239" spans="1:24">
      <c r="A11239">
        <f>HYPERLINK("https://www.philgeps.gov.ph/GEPSNONPILOT/Tender/SplashBidNoticeAbstractUI.aspx?menuIndex=3&amp;refID=7165685&amp;Result=3","7165685")</f>
        <v>0</v>
      </c>
      <c r="B11239" t="s">
        <v>3137</v>
      </c>
      <c r="C11239" t="s">
        <v>14270</v>
      </c>
      <c r="D11239" t="s">
        <v>17211</v>
      </c>
      <c r="E11239" t="s">
        <v>18983</v>
      </c>
      <c r="F11239" t="s">
        <v>29372</v>
      </c>
      <c r="G11239" t="s">
        <v>29380</v>
      </c>
      <c r="H11239" t="s">
        <v>29389</v>
      </c>
      <c r="I11239" t="s">
        <v>10408</v>
      </c>
      <c r="J11239" t="s">
        <v>29526</v>
      </c>
      <c r="K11239" t="s">
        <v>38487</v>
      </c>
      <c r="M11239" t="s">
        <v>42182</v>
      </c>
      <c r="N11239" t="s">
        <v>42669</v>
      </c>
      <c r="O11239" t="s">
        <v>42670</v>
      </c>
      <c r="P11239">
        <v>0</v>
      </c>
      <c r="Q11239">
        <v>0</v>
      </c>
      <c r="R11239" t="s">
        <v>42685</v>
      </c>
      <c r="S11239" t="s">
        <v>43317</v>
      </c>
      <c r="T11239" t="s">
        <v>44410</v>
      </c>
      <c r="U11239" t="s">
        <v>53993</v>
      </c>
      <c r="V11239" t="s">
        <v>57621</v>
      </c>
      <c r="W11239" t="s">
        <v>42182</v>
      </c>
      <c r="X11239" t="s">
        <v>42686</v>
      </c>
    </row>
    <row r="11240" spans="1:24">
      <c r="A11240">
        <f>HYPERLINK("https://www.philgeps.gov.ph/GEPSNONPILOT/Tender/SplashBidNoticeAbstractUI.aspx?menuIndex=3&amp;refID=7166094&amp;Result=3","7166094")</f>
        <v>0</v>
      </c>
      <c r="B11240" t="s">
        <v>3146</v>
      </c>
      <c r="C11240" t="s">
        <v>14271</v>
      </c>
      <c r="D11240" t="s">
        <v>17187</v>
      </c>
      <c r="E11240" t="s">
        <v>17283</v>
      </c>
      <c r="F11240" t="s">
        <v>29372</v>
      </c>
      <c r="G11240" t="s">
        <v>29380</v>
      </c>
      <c r="H11240" t="s">
        <v>29389</v>
      </c>
      <c r="I11240" t="s">
        <v>10408</v>
      </c>
      <c r="J11240" t="s">
        <v>36634</v>
      </c>
      <c r="K11240" t="s">
        <v>38485</v>
      </c>
      <c r="M11240" t="s">
        <v>42193</v>
      </c>
      <c r="N11240" t="s">
        <v>42669</v>
      </c>
      <c r="O11240" t="s">
        <v>42670</v>
      </c>
      <c r="P11240">
        <v>0</v>
      </c>
      <c r="Q11240">
        <v>2</v>
      </c>
      <c r="R11240" t="s">
        <v>42685</v>
      </c>
      <c r="S11240" t="s">
        <v>43317</v>
      </c>
      <c r="T11240" t="s">
        <v>44354</v>
      </c>
      <c r="U11240" t="s">
        <v>53994</v>
      </c>
      <c r="V11240" t="s">
        <v>56460</v>
      </c>
      <c r="W11240" t="s">
        <v>42193</v>
      </c>
      <c r="X11240" t="s">
        <v>42686</v>
      </c>
    </row>
    <row r="11241" spans="1:24">
      <c r="A11241">
        <f>HYPERLINK("https://www.philgeps.gov.ph/GEPSNONPILOT/Tender/SplashBidNoticeAbstractUI.aspx?menuIndex=3&amp;refID=7166258&amp;Result=3","7166258")</f>
        <v>0</v>
      </c>
      <c r="B11241" t="s">
        <v>3147</v>
      </c>
      <c r="C11241" t="s">
        <v>14272</v>
      </c>
      <c r="D11241" t="s">
        <v>17198</v>
      </c>
      <c r="E11241" t="s">
        <v>26812</v>
      </c>
      <c r="F11241" t="s">
        <v>29372</v>
      </c>
      <c r="G11241" t="s">
        <v>29380</v>
      </c>
      <c r="H11241" t="s">
        <v>29389</v>
      </c>
      <c r="I11241" t="s">
        <v>10408</v>
      </c>
      <c r="J11241" t="s">
        <v>36635</v>
      </c>
      <c r="K11241" t="s">
        <v>38495</v>
      </c>
      <c r="M11241" t="s">
        <v>42194</v>
      </c>
      <c r="N11241" t="s">
        <v>42669</v>
      </c>
      <c r="O11241" t="s">
        <v>42670</v>
      </c>
      <c r="P11241">
        <v>0</v>
      </c>
      <c r="Q11241">
        <v>0</v>
      </c>
      <c r="R11241" t="s">
        <v>42685</v>
      </c>
      <c r="S11241" t="s">
        <v>43317</v>
      </c>
      <c r="T11241" t="s">
        <v>44357</v>
      </c>
      <c r="U11241" t="s">
        <v>46039</v>
      </c>
      <c r="W11241" t="s">
        <v>42194</v>
      </c>
      <c r="X11241" t="s">
        <v>42686</v>
      </c>
    </row>
    <row r="11242" spans="1:24">
      <c r="A11242">
        <f>HYPERLINK("https://www.philgeps.gov.ph/GEPSNONPILOT/Tender/SplashBidNoticeAbstractUI.aspx?menuIndex=3&amp;refID=7165793&amp;Result=3","7165793")</f>
        <v>0</v>
      </c>
      <c r="B11242" t="s">
        <v>3148</v>
      </c>
      <c r="C11242" t="s">
        <v>14273</v>
      </c>
      <c r="D11242" t="s">
        <v>17172</v>
      </c>
      <c r="E11242" t="s">
        <v>26813</v>
      </c>
      <c r="F11242" t="s">
        <v>29372</v>
      </c>
      <c r="G11242" t="s">
        <v>29380</v>
      </c>
      <c r="H11242" t="s">
        <v>11048</v>
      </c>
      <c r="I11242" t="s">
        <v>9469</v>
      </c>
      <c r="J11242" t="s">
        <v>36636</v>
      </c>
      <c r="K11242" t="s">
        <v>38485</v>
      </c>
      <c r="M11242" t="s">
        <v>42195</v>
      </c>
      <c r="N11242" t="s">
        <v>42669</v>
      </c>
      <c r="O11242" t="s">
        <v>42670</v>
      </c>
      <c r="P11242">
        <v>0</v>
      </c>
      <c r="Q11242">
        <v>9</v>
      </c>
      <c r="R11242" t="s">
        <v>42685</v>
      </c>
      <c r="S11242" t="s">
        <v>43317</v>
      </c>
      <c r="T11242" t="s">
        <v>44474</v>
      </c>
      <c r="U11242" t="s">
        <v>53995</v>
      </c>
      <c r="W11242" t="s">
        <v>42195</v>
      </c>
      <c r="X11242" t="s">
        <v>42686</v>
      </c>
    </row>
    <row r="11243" spans="1:24">
      <c r="A11243">
        <f>HYPERLINK("https://www.philgeps.gov.ph/GEPSNONPILOT/Tender/SplashBidNoticeAbstractUI.aspx?menuIndex=3&amp;refID=7165947&amp;Result=3","7165947")</f>
        <v>0</v>
      </c>
      <c r="B11243" t="s">
        <v>1488</v>
      </c>
      <c r="C11243" t="s">
        <v>14274</v>
      </c>
      <c r="D11243" t="s">
        <v>17205</v>
      </c>
      <c r="E11243" t="s">
        <v>20776</v>
      </c>
      <c r="F11243" t="s">
        <v>29372</v>
      </c>
      <c r="G11243" t="s">
        <v>29380</v>
      </c>
      <c r="H11243" t="s">
        <v>11048</v>
      </c>
      <c r="I11243" t="s">
        <v>14920</v>
      </c>
      <c r="J11243" t="s">
        <v>36637</v>
      </c>
      <c r="K11243" t="s">
        <v>38528</v>
      </c>
      <c r="M11243" t="s">
        <v>40331</v>
      </c>
      <c r="N11243" t="s">
        <v>42669</v>
      </c>
      <c r="O11243" t="s">
        <v>42670</v>
      </c>
      <c r="Q11243">
        <v>2</v>
      </c>
      <c r="R11243" t="s">
        <v>42685</v>
      </c>
      <c r="S11243" t="s">
        <v>43348</v>
      </c>
      <c r="T11243" t="s">
        <v>44409</v>
      </c>
      <c r="U11243" t="s">
        <v>53996</v>
      </c>
      <c r="V11243" t="s">
        <v>56777</v>
      </c>
      <c r="W11243" t="s">
        <v>40331</v>
      </c>
      <c r="X11243" t="s">
        <v>42686</v>
      </c>
    </row>
    <row r="11244" spans="1:24">
      <c r="A11244">
        <f>HYPERLINK("https://www.philgeps.gov.ph/GEPSNONPILOT/Tender/SplashBidNoticeAbstractUI.aspx?menuIndex=3&amp;refID=7166238&amp;Result=3","7166238")</f>
        <v>0</v>
      </c>
      <c r="B11244" t="s">
        <v>719</v>
      </c>
      <c r="C11244" t="s">
        <v>14275</v>
      </c>
      <c r="D11244" t="s">
        <v>17170</v>
      </c>
      <c r="E11244" t="s">
        <v>26814</v>
      </c>
      <c r="F11244" t="s">
        <v>29372</v>
      </c>
      <c r="G11244" t="s">
        <v>29380</v>
      </c>
      <c r="H11244" t="s">
        <v>11048</v>
      </c>
      <c r="I11244" t="s">
        <v>29423</v>
      </c>
      <c r="J11244" t="s">
        <v>36638</v>
      </c>
      <c r="K11244" t="s">
        <v>38488</v>
      </c>
      <c r="M11244" t="s">
        <v>39593</v>
      </c>
      <c r="N11244" t="s">
        <v>42669</v>
      </c>
      <c r="O11244" t="s">
        <v>42670</v>
      </c>
      <c r="Q11244">
        <v>9</v>
      </c>
      <c r="R11244" t="s">
        <v>42685</v>
      </c>
      <c r="S11244" t="s">
        <v>43349</v>
      </c>
      <c r="T11244" t="s">
        <v>44467</v>
      </c>
      <c r="U11244" t="s">
        <v>53997</v>
      </c>
      <c r="W11244" t="s">
        <v>39593</v>
      </c>
      <c r="X11244" t="s">
        <v>42686</v>
      </c>
    </row>
    <row r="11245" spans="1:24">
      <c r="A11245">
        <f>HYPERLINK("https://www.philgeps.gov.ph/GEPSNONPILOT/Tender/SplashBidNoticeAbstractUI.aspx?menuIndex=3&amp;refID=7166234&amp;Result=3","7166234")</f>
        <v>0</v>
      </c>
      <c r="B11245" t="s">
        <v>3149</v>
      </c>
      <c r="C11245" t="s">
        <v>14276</v>
      </c>
      <c r="D11245" t="s">
        <v>17149</v>
      </c>
      <c r="E11245" t="s">
        <v>17533</v>
      </c>
      <c r="F11245" t="s">
        <v>29372</v>
      </c>
      <c r="G11245" t="s">
        <v>29380</v>
      </c>
      <c r="H11245" t="s">
        <v>11048</v>
      </c>
      <c r="I11245" t="s">
        <v>29412</v>
      </c>
      <c r="J11245" t="s">
        <v>29615</v>
      </c>
      <c r="K11245" t="s">
        <v>38496</v>
      </c>
      <c r="M11245" t="s">
        <v>42196</v>
      </c>
      <c r="N11245" t="s">
        <v>42669</v>
      </c>
      <c r="O11245" t="s">
        <v>42670</v>
      </c>
      <c r="P11245">
        <v>0</v>
      </c>
      <c r="Q11245">
        <v>4</v>
      </c>
      <c r="R11245" t="s">
        <v>42685</v>
      </c>
      <c r="S11245" t="s">
        <v>43317</v>
      </c>
      <c r="T11245" t="s">
        <v>44409</v>
      </c>
      <c r="U11245" t="s">
        <v>53998</v>
      </c>
      <c r="W11245" t="s">
        <v>42196</v>
      </c>
      <c r="X11245" t="s">
        <v>42686</v>
      </c>
    </row>
    <row r="11246" spans="1:24">
      <c r="A11246">
        <f>HYPERLINK("https://www.philgeps.gov.ph/GEPSNONPILOT/Tender/SplashBidNoticeAbstractUI.aspx?menuIndex=3&amp;refID=7166228&amp;Result=3","7166228")</f>
        <v>0</v>
      </c>
      <c r="B11246" t="s">
        <v>785</v>
      </c>
      <c r="C11246" t="s">
        <v>14277</v>
      </c>
      <c r="D11246" t="s">
        <v>17171</v>
      </c>
      <c r="E11246" t="s">
        <v>26815</v>
      </c>
      <c r="F11246" t="s">
        <v>29372</v>
      </c>
      <c r="G11246" t="s">
        <v>29380</v>
      </c>
      <c r="H11246" t="s">
        <v>29390</v>
      </c>
      <c r="I11246" t="s">
        <v>29465</v>
      </c>
      <c r="J11246" t="s">
        <v>29788</v>
      </c>
      <c r="K11246" t="s">
        <v>38570</v>
      </c>
      <c r="M11246" t="s">
        <v>39569</v>
      </c>
      <c r="N11246" t="s">
        <v>42669</v>
      </c>
      <c r="O11246" t="s">
        <v>42670</v>
      </c>
      <c r="P11246">
        <v>0</v>
      </c>
      <c r="Q11246">
        <v>1</v>
      </c>
      <c r="R11246" t="s">
        <v>42685</v>
      </c>
      <c r="S11246" t="s">
        <v>43317</v>
      </c>
      <c r="T11246" t="s">
        <v>44412</v>
      </c>
      <c r="U11246" t="s">
        <v>53999</v>
      </c>
      <c r="W11246" t="s">
        <v>39569</v>
      </c>
      <c r="X11246" t="s">
        <v>42686</v>
      </c>
    </row>
    <row r="11247" spans="1:24">
      <c r="A11247">
        <f>HYPERLINK("https://www.philgeps.gov.ph/GEPSNONPILOT/Tender/SplashBidNoticeAbstractUI.aspx?menuIndex=3&amp;refID=7166197&amp;Result=3","7166197")</f>
        <v>0</v>
      </c>
      <c r="B11247" t="s">
        <v>2297</v>
      </c>
      <c r="C11247" t="s">
        <v>12832</v>
      </c>
      <c r="D11247" t="s">
        <v>17181</v>
      </c>
      <c r="E11247" t="s">
        <v>26816</v>
      </c>
      <c r="F11247" t="s">
        <v>29372</v>
      </c>
      <c r="G11247" t="s">
        <v>29380</v>
      </c>
      <c r="H11247" t="s">
        <v>11048</v>
      </c>
      <c r="I11247" t="s">
        <v>8614</v>
      </c>
      <c r="J11247" t="s">
        <v>32508</v>
      </c>
      <c r="K11247" t="s">
        <v>38490</v>
      </c>
      <c r="M11247" t="s">
        <v>41224</v>
      </c>
      <c r="N11247" t="s">
        <v>42669</v>
      </c>
      <c r="O11247" t="s">
        <v>42670</v>
      </c>
      <c r="P11247">
        <v>0</v>
      </c>
      <c r="Q11247">
        <v>5</v>
      </c>
      <c r="R11247" t="s">
        <v>42685</v>
      </c>
      <c r="S11247" t="s">
        <v>43317</v>
      </c>
      <c r="T11247" t="s">
        <v>44466</v>
      </c>
      <c r="U11247" t="s">
        <v>54000</v>
      </c>
      <c r="V11247" t="s">
        <v>57622</v>
      </c>
      <c r="W11247" t="s">
        <v>41224</v>
      </c>
      <c r="X11247" t="s">
        <v>42686</v>
      </c>
    </row>
    <row r="11248" spans="1:24">
      <c r="A11248">
        <f>HYPERLINK("https://www.philgeps.gov.ph/GEPSNONPILOT/Tender/SplashBidNoticeAbstractUI.aspx?menuIndex=3&amp;refID=7166243&amp;Result=3","7166243")</f>
        <v>0</v>
      </c>
      <c r="B11248" t="s">
        <v>1355</v>
      </c>
      <c r="C11248" t="s">
        <v>14278</v>
      </c>
      <c r="D11248" t="s">
        <v>17160</v>
      </c>
      <c r="E11248" t="s">
        <v>26817</v>
      </c>
      <c r="F11248" t="s">
        <v>29372</v>
      </c>
      <c r="G11248" t="s">
        <v>29380</v>
      </c>
      <c r="H11248" t="s">
        <v>11048</v>
      </c>
      <c r="I11248" t="s">
        <v>3839</v>
      </c>
      <c r="J11248" t="s">
        <v>36639</v>
      </c>
      <c r="K11248" t="s">
        <v>38485</v>
      </c>
      <c r="M11248" t="s">
        <v>42197</v>
      </c>
      <c r="N11248" t="s">
        <v>42669</v>
      </c>
      <c r="O11248" t="s">
        <v>42670</v>
      </c>
      <c r="P11248">
        <v>0</v>
      </c>
      <c r="Q11248">
        <v>6</v>
      </c>
      <c r="R11248" t="s">
        <v>42685</v>
      </c>
      <c r="S11248" t="s">
        <v>43317</v>
      </c>
      <c r="T11248" t="s">
        <v>44426</v>
      </c>
      <c r="U11248" t="s">
        <v>54001</v>
      </c>
      <c r="V11248" t="s">
        <v>56467</v>
      </c>
      <c r="W11248" t="s">
        <v>42197</v>
      </c>
      <c r="X11248" t="s">
        <v>42686</v>
      </c>
    </row>
    <row r="11249" spans="1:24">
      <c r="A11249">
        <f>HYPERLINK("https://www.philgeps.gov.ph/GEPSNONPILOT/Tender/SplashBidNoticeAbstractUI.aspx?menuIndex=3&amp;refID=7165797&amp;Result=3","7165797")</f>
        <v>0</v>
      </c>
      <c r="B11249" t="s">
        <v>2085</v>
      </c>
      <c r="C11249" t="s">
        <v>14279</v>
      </c>
      <c r="E11249" t="s">
        <v>26818</v>
      </c>
      <c r="F11249" t="s">
        <v>29372</v>
      </c>
      <c r="G11249" t="s">
        <v>29380</v>
      </c>
      <c r="H11249" t="s">
        <v>11048</v>
      </c>
      <c r="I11249" t="s">
        <v>4709</v>
      </c>
      <c r="J11249" t="s">
        <v>36640</v>
      </c>
      <c r="K11249" t="s">
        <v>38510</v>
      </c>
      <c r="M11249" t="s">
        <v>40985</v>
      </c>
      <c r="N11249" t="s">
        <v>42669</v>
      </c>
      <c r="O11249" t="s">
        <v>42670</v>
      </c>
      <c r="P11249">
        <v>0</v>
      </c>
      <c r="Q11249">
        <v>0</v>
      </c>
      <c r="R11249" t="s">
        <v>42685</v>
      </c>
      <c r="S11249" t="s">
        <v>43317</v>
      </c>
      <c r="T11249" t="s">
        <v>44356</v>
      </c>
      <c r="U11249" t="s">
        <v>54002</v>
      </c>
      <c r="W11249" t="s">
        <v>40985</v>
      </c>
      <c r="X11249" t="s">
        <v>42686</v>
      </c>
    </row>
    <row r="11250" spans="1:24">
      <c r="A11250">
        <f>HYPERLINK("https://www.philgeps.gov.ph/GEPSNONPILOT/Tender/SplashBidNoticeAbstractUI.aspx?menuIndex=3&amp;refID=7166195&amp;Result=3","7166195")</f>
        <v>0</v>
      </c>
      <c r="B11250" t="s">
        <v>785</v>
      </c>
      <c r="C11250" t="s">
        <v>14280</v>
      </c>
      <c r="D11250" t="s">
        <v>17171</v>
      </c>
      <c r="E11250" t="s">
        <v>26819</v>
      </c>
      <c r="F11250" t="s">
        <v>29372</v>
      </c>
      <c r="G11250" t="s">
        <v>29380</v>
      </c>
      <c r="H11250" t="s">
        <v>29390</v>
      </c>
      <c r="I11250" t="s">
        <v>29465</v>
      </c>
      <c r="J11250" t="s">
        <v>29590</v>
      </c>
      <c r="K11250" t="s">
        <v>38570</v>
      </c>
      <c r="M11250" t="s">
        <v>39569</v>
      </c>
      <c r="N11250" t="s">
        <v>42669</v>
      </c>
      <c r="O11250" t="s">
        <v>42670</v>
      </c>
      <c r="P11250">
        <v>0</v>
      </c>
      <c r="Q11250">
        <v>0</v>
      </c>
      <c r="R11250" t="s">
        <v>42685</v>
      </c>
      <c r="S11250" t="s">
        <v>43317</v>
      </c>
      <c r="T11250" t="s">
        <v>44412</v>
      </c>
      <c r="U11250" t="s">
        <v>54003</v>
      </c>
      <c r="W11250" t="s">
        <v>39569</v>
      </c>
      <c r="X11250" t="s">
        <v>42686</v>
      </c>
    </row>
    <row r="11251" spans="1:24">
      <c r="A11251">
        <f>HYPERLINK("https://www.philgeps.gov.ph/GEPSNONPILOT/Tender/SplashBidNoticeAbstractUI.aspx?menuIndex=3&amp;refID=7166255&amp;Result=3","7166255")</f>
        <v>0</v>
      </c>
      <c r="B11251" t="s">
        <v>1573</v>
      </c>
      <c r="C11251" t="s">
        <v>14281</v>
      </c>
      <c r="D11251" t="s">
        <v>17194</v>
      </c>
      <c r="E11251" t="s">
        <v>26820</v>
      </c>
      <c r="F11251" t="s">
        <v>29372</v>
      </c>
      <c r="G11251" t="s">
        <v>29380</v>
      </c>
      <c r="H11251" t="s">
        <v>29389</v>
      </c>
      <c r="I11251" t="s">
        <v>10408</v>
      </c>
      <c r="J11251" t="s">
        <v>29672</v>
      </c>
      <c r="K11251" t="s">
        <v>38609</v>
      </c>
      <c r="M11251" t="s">
        <v>40919</v>
      </c>
      <c r="N11251" t="s">
        <v>42669</v>
      </c>
      <c r="O11251" t="s">
        <v>42670</v>
      </c>
      <c r="P11251">
        <v>0</v>
      </c>
      <c r="Q11251">
        <v>0</v>
      </c>
      <c r="R11251" t="s">
        <v>42685</v>
      </c>
      <c r="S11251" t="s">
        <v>43317</v>
      </c>
      <c r="T11251" t="s">
        <v>44488</v>
      </c>
      <c r="U11251" t="s">
        <v>54004</v>
      </c>
      <c r="V11251" t="s">
        <v>57623</v>
      </c>
      <c r="W11251" t="s">
        <v>40919</v>
      </c>
      <c r="X11251" t="s">
        <v>42686</v>
      </c>
    </row>
    <row r="11252" spans="1:24">
      <c r="A11252">
        <f>HYPERLINK("https://www.philgeps.gov.ph/GEPSNONPILOT/Tender/SplashBidNoticeAbstractUI.aspx?menuIndex=3&amp;refID=7165691&amp;Result=3","7165691")</f>
        <v>0</v>
      </c>
      <c r="B11252" t="s">
        <v>3131</v>
      </c>
      <c r="C11252" t="s">
        <v>14282</v>
      </c>
      <c r="D11252" t="s">
        <v>17205</v>
      </c>
      <c r="E11252" t="s">
        <v>26821</v>
      </c>
      <c r="F11252" t="s">
        <v>29372</v>
      </c>
      <c r="G11252" t="s">
        <v>29380</v>
      </c>
      <c r="H11252" t="s">
        <v>11048</v>
      </c>
      <c r="I11252" t="s">
        <v>29417</v>
      </c>
      <c r="J11252" t="s">
        <v>36641</v>
      </c>
      <c r="K11252" t="s">
        <v>38485</v>
      </c>
      <c r="M11252" t="s">
        <v>42175</v>
      </c>
      <c r="N11252" t="s">
        <v>42669</v>
      </c>
      <c r="O11252" t="s">
        <v>42670</v>
      </c>
      <c r="P11252">
        <v>0</v>
      </c>
      <c r="Q11252">
        <v>5</v>
      </c>
      <c r="R11252" t="s">
        <v>42685</v>
      </c>
      <c r="S11252" t="s">
        <v>43317</v>
      </c>
      <c r="T11252" t="s">
        <v>44379</v>
      </c>
      <c r="U11252" t="s">
        <v>54005</v>
      </c>
      <c r="W11252" t="s">
        <v>42175</v>
      </c>
      <c r="X11252" t="s">
        <v>42686</v>
      </c>
    </row>
    <row r="11253" spans="1:24">
      <c r="A11253">
        <f>HYPERLINK("https://www.philgeps.gov.ph/GEPSNONPILOT/Tender/SplashBidNoticeAbstractUI.aspx?menuIndex=3&amp;refID=7166218&amp;Result=3","7166218")</f>
        <v>0</v>
      </c>
      <c r="B11253" t="s">
        <v>3147</v>
      </c>
      <c r="C11253" t="s">
        <v>14283</v>
      </c>
      <c r="D11253" t="s">
        <v>17198</v>
      </c>
      <c r="E11253" t="s">
        <v>26822</v>
      </c>
      <c r="F11253" t="s">
        <v>29372</v>
      </c>
      <c r="G11253" t="s">
        <v>29380</v>
      </c>
      <c r="H11253" t="s">
        <v>29389</v>
      </c>
      <c r="I11253" t="s">
        <v>10408</v>
      </c>
      <c r="J11253" t="s">
        <v>36642</v>
      </c>
      <c r="K11253" t="s">
        <v>38495</v>
      </c>
      <c r="M11253" t="s">
        <v>42194</v>
      </c>
      <c r="N11253" t="s">
        <v>42669</v>
      </c>
      <c r="O11253" t="s">
        <v>42670</v>
      </c>
      <c r="P11253">
        <v>0</v>
      </c>
      <c r="Q11253">
        <v>0</v>
      </c>
      <c r="R11253" t="s">
        <v>42685</v>
      </c>
      <c r="S11253" t="s">
        <v>43317</v>
      </c>
      <c r="T11253" t="s">
        <v>44357</v>
      </c>
      <c r="U11253" t="s">
        <v>46039</v>
      </c>
      <c r="W11253" t="s">
        <v>42194</v>
      </c>
      <c r="X11253" t="s">
        <v>42686</v>
      </c>
    </row>
    <row r="11254" spans="1:24">
      <c r="A11254">
        <f>HYPERLINK("https://www.philgeps.gov.ph/GEPSNONPILOT/Tender/SplashBidNoticeAbstractUI.aspx?menuIndex=3&amp;refID=7166180&amp;Result=3","7166180")</f>
        <v>0</v>
      </c>
      <c r="B11254" t="s">
        <v>1125</v>
      </c>
      <c r="C11254" t="s">
        <v>14284</v>
      </c>
      <c r="D11254" t="s">
        <v>17151</v>
      </c>
      <c r="E11254" t="s">
        <v>26823</v>
      </c>
      <c r="F11254" t="s">
        <v>29372</v>
      </c>
      <c r="G11254" t="s">
        <v>29380</v>
      </c>
      <c r="H11254" t="s">
        <v>29389</v>
      </c>
      <c r="I11254" t="s">
        <v>10408</v>
      </c>
      <c r="J11254" t="s">
        <v>36643</v>
      </c>
      <c r="K11254" t="s">
        <v>38609</v>
      </c>
      <c r="M11254" t="s">
        <v>39935</v>
      </c>
      <c r="N11254" t="s">
        <v>42669</v>
      </c>
      <c r="O11254" t="s">
        <v>42670</v>
      </c>
      <c r="P11254">
        <v>0</v>
      </c>
      <c r="Q11254">
        <v>0</v>
      </c>
      <c r="R11254" t="s">
        <v>42685</v>
      </c>
      <c r="S11254" t="s">
        <v>43317</v>
      </c>
      <c r="T11254" t="s">
        <v>44391</v>
      </c>
      <c r="U11254" t="s">
        <v>54006</v>
      </c>
      <c r="W11254" t="s">
        <v>39935</v>
      </c>
      <c r="X11254" t="s">
        <v>42686</v>
      </c>
    </row>
    <row r="11255" spans="1:24">
      <c r="A11255">
        <f>HYPERLINK("https://www.philgeps.gov.ph/GEPSNONPILOT/Tender/SplashBidNoticeAbstractUI.aspx?menuIndex=3&amp;refID=7166348&amp;Result=3","7166348")</f>
        <v>0</v>
      </c>
      <c r="B11255" t="s">
        <v>1125</v>
      </c>
      <c r="C11255" t="s">
        <v>14285</v>
      </c>
      <c r="D11255" t="s">
        <v>17151</v>
      </c>
      <c r="E11255" t="s">
        <v>26824</v>
      </c>
      <c r="F11255" t="s">
        <v>29372</v>
      </c>
      <c r="G11255" t="s">
        <v>29380</v>
      </c>
      <c r="H11255" t="s">
        <v>11048</v>
      </c>
      <c r="I11255" t="s">
        <v>3629</v>
      </c>
      <c r="J11255" t="s">
        <v>36644</v>
      </c>
      <c r="K11255" t="s">
        <v>38491</v>
      </c>
      <c r="M11255" t="s">
        <v>39935</v>
      </c>
      <c r="N11255" t="s">
        <v>42669</v>
      </c>
      <c r="O11255" t="s">
        <v>42670</v>
      </c>
      <c r="P11255">
        <v>0</v>
      </c>
      <c r="Q11255">
        <v>2</v>
      </c>
      <c r="R11255" t="s">
        <v>42685</v>
      </c>
      <c r="S11255" t="s">
        <v>43317</v>
      </c>
      <c r="T11255" t="s">
        <v>44400</v>
      </c>
      <c r="U11255" t="s">
        <v>47278</v>
      </c>
      <c r="V11255" t="s">
        <v>57624</v>
      </c>
      <c r="W11255" t="s">
        <v>39935</v>
      </c>
      <c r="X11255" t="s">
        <v>42686</v>
      </c>
    </row>
    <row r="11256" spans="1:24">
      <c r="A11256">
        <f>HYPERLINK("https://www.philgeps.gov.ph/GEPSNONPILOT/Tender/SplashBidNoticeAbstractUI.aspx?menuIndex=3&amp;refID=7166225&amp;Result=3","7166225")</f>
        <v>0</v>
      </c>
      <c r="B11256" t="s">
        <v>798</v>
      </c>
      <c r="C11256" t="s">
        <v>14286</v>
      </c>
      <c r="D11256" t="s">
        <v>17188</v>
      </c>
      <c r="E11256" t="s">
        <v>26825</v>
      </c>
      <c r="F11256" t="s">
        <v>29372</v>
      </c>
      <c r="G11256" t="s">
        <v>29380</v>
      </c>
      <c r="H11256" t="s">
        <v>11048</v>
      </c>
      <c r="I11256" t="s">
        <v>29400</v>
      </c>
      <c r="J11256" t="s">
        <v>30244</v>
      </c>
      <c r="K11256" t="s">
        <v>38490</v>
      </c>
      <c r="M11256" t="s">
        <v>39582</v>
      </c>
      <c r="N11256" t="s">
        <v>42669</v>
      </c>
      <c r="O11256" t="s">
        <v>42670</v>
      </c>
      <c r="Q11256">
        <v>21</v>
      </c>
      <c r="R11256" t="s">
        <v>42685</v>
      </c>
      <c r="S11256" t="s">
        <v>43350</v>
      </c>
      <c r="T11256" t="s">
        <v>44375</v>
      </c>
      <c r="U11256" t="s">
        <v>54007</v>
      </c>
      <c r="W11256" t="s">
        <v>39582</v>
      </c>
      <c r="X11256" t="s">
        <v>42686</v>
      </c>
    </row>
    <row r="11257" spans="1:24">
      <c r="A11257">
        <f>HYPERLINK("https://www.philgeps.gov.ph/GEPSNONPILOT/Tender/SplashBidNoticeAbstractUI.aspx?menuIndex=3&amp;refID=7166182&amp;Result=3","7166182")</f>
        <v>0</v>
      </c>
      <c r="B11257" t="s">
        <v>2910</v>
      </c>
      <c r="C11257" t="s">
        <v>14287</v>
      </c>
      <c r="D11257" t="s">
        <v>17213</v>
      </c>
      <c r="E11257" t="s">
        <v>26826</v>
      </c>
      <c r="F11257" t="s">
        <v>29372</v>
      </c>
      <c r="G11257" t="s">
        <v>29380</v>
      </c>
      <c r="H11257" t="s">
        <v>11048</v>
      </c>
      <c r="I11257" t="s">
        <v>29407</v>
      </c>
      <c r="J11257" t="s">
        <v>29604</v>
      </c>
      <c r="K11257" t="s">
        <v>38490</v>
      </c>
      <c r="M11257" t="s">
        <v>41910</v>
      </c>
      <c r="N11257" t="s">
        <v>42669</v>
      </c>
      <c r="O11257" t="s">
        <v>42670</v>
      </c>
      <c r="P11257">
        <v>0</v>
      </c>
      <c r="Q11257">
        <v>8</v>
      </c>
      <c r="R11257" t="s">
        <v>42685</v>
      </c>
      <c r="S11257" t="s">
        <v>43317</v>
      </c>
      <c r="T11257" t="s">
        <v>44412</v>
      </c>
      <c r="U11257" t="s">
        <v>54008</v>
      </c>
      <c r="V11257" t="s">
        <v>57604</v>
      </c>
      <c r="W11257" t="s">
        <v>41910</v>
      </c>
      <c r="X11257" t="s">
        <v>42686</v>
      </c>
    </row>
    <row r="11258" spans="1:24">
      <c r="A11258">
        <f>HYPERLINK("https://www.philgeps.gov.ph/GEPSNONPILOT/Tender/SplashBidNoticeAbstractUI.aspx?menuIndex=3&amp;refID=7166221&amp;Result=3","7166221")</f>
        <v>0</v>
      </c>
      <c r="B11258" t="s">
        <v>3150</v>
      </c>
      <c r="C11258" t="s">
        <v>14288</v>
      </c>
      <c r="D11258" t="s">
        <v>17183</v>
      </c>
      <c r="E11258" t="s">
        <v>26827</v>
      </c>
      <c r="F11258" t="s">
        <v>29372</v>
      </c>
      <c r="G11258" t="s">
        <v>29380</v>
      </c>
      <c r="H11258" t="s">
        <v>29389</v>
      </c>
      <c r="I11258" t="s">
        <v>10408</v>
      </c>
      <c r="J11258" t="s">
        <v>29543</v>
      </c>
      <c r="K11258" t="s">
        <v>38527</v>
      </c>
      <c r="M11258" t="s">
        <v>42198</v>
      </c>
      <c r="N11258" t="s">
        <v>42669</v>
      </c>
      <c r="O11258" t="s">
        <v>42670</v>
      </c>
      <c r="P11258">
        <v>0</v>
      </c>
      <c r="Q11258">
        <v>3</v>
      </c>
      <c r="R11258" t="s">
        <v>42685</v>
      </c>
      <c r="S11258" t="s">
        <v>43317</v>
      </c>
      <c r="T11258" t="s">
        <v>44398</v>
      </c>
      <c r="U11258" t="s">
        <v>54009</v>
      </c>
      <c r="V11258" t="s">
        <v>57625</v>
      </c>
      <c r="W11258" t="s">
        <v>42198</v>
      </c>
      <c r="X11258" t="s">
        <v>42686</v>
      </c>
    </row>
    <row r="11259" spans="1:24">
      <c r="A11259">
        <f>HYPERLINK("https://www.philgeps.gov.ph/GEPSNONPILOT/Tender/SplashBidNoticeAbstractUI.aspx?menuIndex=3&amp;refID=7166374&amp;Result=3","7166374")</f>
        <v>0</v>
      </c>
      <c r="B11259" t="s">
        <v>294</v>
      </c>
      <c r="C11259" t="s">
        <v>14289</v>
      </c>
      <c r="D11259" t="s">
        <v>17209</v>
      </c>
      <c r="E11259" t="s">
        <v>26828</v>
      </c>
      <c r="F11259" t="s">
        <v>29372</v>
      </c>
      <c r="G11259" t="s">
        <v>29380</v>
      </c>
      <c r="H11259" t="s">
        <v>11048</v>
      </c>
      <c r="I11259" t="s">
        <v>29412</v>
      </c>
      <c r="J11259" t="s">
        <v>36645</v>
      </c>
      <c r="K11259" t="s">
        <v>38485</v>
      </c>
      <c r="M11259" t="s">
        <v>39053</v>
      </c>
      <c r="N11259" t="s">
        <v>42669</v>
      </c>
      <c r="O11259" t="s">
        <v>42670</v>
      </c>
      <c r="P11259">
        <v>0</v>
      </c>
      <c r="Q11259">
        <v>1</v>
      </c>
      <c r="R11259" t="s">
        <v>42685</v>
      </c>
      <c r="S11259" t="s">
        <v>43317</v>
      </c>
      <c r="T11259" t="s">
        <v>44389</v>
      </c>
      <c r="U11259" t="s">
        <v>54010</v>
      </c>
      <c r="W11259" t="s">
        <v>39053</v>
      </c>
      <c r="X11259" t="s">
        <v>42686</v>
      </c>
    </row>
    <row r="11260" spans="1:24">
      <c r="A11260">
        <f>HYPERLINK("https://www.philgeps.gov.ph/GEPSNONPILOT/Tender/SplashBidNoticeAbstractUI.aspx?menuIndex=3&amp;refID=7166172&amp;Result=3","7166172")</f>
        <v>0</v>
      </c>
      <c r="B11260" t="s">
        <v>1179</v>
      </c>
      <c r="C11260" t="s">
        <v>14290</v>
      </c>
      <c r="D11260" t="s">
        <v>17206</v>
      </c>
      <c r="E11260" t="s">
        <v>26829</v>
      </c>
      <c r="F11260" t="s">
        <v>29372</v>
      </c>
      <c r="G11260" t="s">
        <v>29380</v>
      </c>
      <c r="H11260" t="s">
        <v>11048</v>
      </c>
      <c r="I11260" t="s">
        <v>4709</v>
      </c>
      <c r="J11260" t="s">
        <v>36646</v>
      </c>
      <c r="K11260" t="s">
        <v>38487</v>
      </c>
      <c r="M11260" t="s">
        <v>39994</v>
      </c>
      <c r="N11260" t="s">
        <v>42669</v>
      </c>
      <c r="O11260" t="s">
        <v>42670</v>
      </c>
      <c r="P11260">
        <v>0</v>
      </c>
      <c r="Q11260">
        <v>4</v>
      </c>
      <c r="R11260" t="s">
        <v>42685</v>
      </c>
      <c r="S11260" t="s">
        <v>43317</v>
      </c>
      <c r="T11260" t="s">
        <v>44810</v>
      </c>
      <c r="U11260" t="s">
        <v>54011</v>
      </c>
      <c r="W11260" t="s">
        <v>39994</v>
      </c>
      <c r="X11260" t="s">
        <v>42686</v>
      </c>
    </row>
    <row r="11261" spans="1:24">
      <c r="A11261">
        <f>HYPERLINK("https://www.philgeps.gov.ph/GEPSNONPILOT/Tender/SplashBidNoticeAbstractUI.aspx?menuIndex=3&amp;refID=7166184&amp;Result=3","7166184")</f>
        <v>0</v>
      </c>
      <c r="B11261" t="s">
        <v>3147</v>
      </c>
      <c r="C11261" t="s">
        <v>14291</v>
      </c>
      <c r="D11261" t="s">
        <v>17198</v>
      </c>
      <c r="E11261" t="s">
        <v>26830</v>
      </c>
      <c r="F11261" t="s">
        <v>29372</v>
      </c>
      <c r="G11261" t="s">
        <v>29380</v>
      </c>
      <c r="H11261" t="s">
        <v>29389</v>
      </c>
      <c r="I11261" t="s">
        <v>10408</v>
      </c>
      <c r="J11261" t="s">
        <v>36647</v>
      </c>
      <c r="K11261" t="s">
        <v>38502</v>
      </c>
      <c r="M11261" t="s">
        <v>42194</v>
      </c>
      <c r="N11261" t="s">
        <v>42669</v>
      </c>
      <c r="O11261" t="s">
        <v>42670</v>
      </c>
      <c r="P11261">
        <v>0</v>
      </c>
      <c r="Q11261">
        <v>0</v>
      </c>
      <c r="R11261" t="s">
        <v>42685</v>
      </c>
      <c r="S11261" t="s">
        <v>43317</v>
      </c>
      <c r="T11261" t="s">
        <v>44357</v>
      </c>
      <c r="U11261" t="s">
        <v>46039</v>
      </c>
      <c r="W11261" t="s">
        <v>42194</v>
      </c>
      <c r="X11261" t="s">
        <v>42686</v>
      </c>
    </row>
    <row r="11262" spans="1:24">
      <c r="A11262">
        <f>HYPERLINK("https://www.philgeps.gov.ph/GEPSNONPILOT/Tender/SplashBidNoticeAbstractUI.aspx?menuIndex=3&amp;refID=7166349&amp;Result=3","7166349")</f>
        <v>0</v>
      </c>
      <c r="B11262" t="s">
        <v>3147</v>
      </c>
      <c r="C11262" t="s">
        <v>14292</v>
      </c>
      <c r="D11262" t="s">
        <v>17198</v>
      </c>
      <c r="E11262" t="s">
        <v>26831</v>
      </c>
      <c r="F11262" t="s">
        <v>29372</v>
      </c>
      <c r="G11262" t="s">
        <v>29380</v>
      </c>
      <c r="H11262" t="s">
        <v>29389</v>
      </c>
      <c r="I11262" t="s">
        <v>10408</v>
      </c>
      <c r="J11262" t="s">
        <v>36648</v>
      </c>
      <c r="K11262" t="s">
        <v>38494</v>
      </c>
      <c r="M11262" t="s">
        <v>42194</v>
      </c>
      <c r="N11262" t="s">
        <v>42669</v>
      </c>
      <c r="O11262" t="s">
        <v>42670</v>
      </c>
      <c r="P11262">
        <v>0</v>
      </c>
      <c r="Q11262">
        <v>0</v>
      </c>
      <c r="R11262" t="s">
        <v>42685</v>
      </c>
      <c r="S11262" t="s">
        <v>43317</v>
      </c>
      <c r="T11262" t="s">
        <v>44357</v>
      </c>
      <c r="U11262" t="s">
        <v>46039</v>
      </c>
      <c r="W11262" t="s">
        <v>42194</v>
      </c>
      <c r="X11262" t="s">
        <v>42686</v>
      </c>
    </row>
    <row r="11263" spans="1:24">
      <c r="A11263">
        <f>HYPERLINK("https://www.philgeps.gov.ph/GEPSNONPILOT/Tender/SplashBidNoticeAbstractUI.aspx?menuIndex=3&amp;refID=7166359&amp;Result=3","7166359")</f>
        <v>0</v>
      </c>
      <c r="B11263" t="s">
        <v>2012</v>
      </c>
      <c r="C11263" t="s">
        <v>14293</v>
      </c>
      <c r="D11263" t="s">
        <v>17197</v>
      </c>
      <c r="E11263" t="s">
        <v>26832</v>
      </c>
      <c r="F11263" t="s">
        <v>29372</v>
      </c>
      <c r="G11263" t="s">
        <v>29380</v>
      </c>
      <c r="H11263" t="s">
        <v>29389</v>
      </c>
      <c r="I11263" t="s">
        <v>10408</v>
      </c>
      <c r="J11263" t="s">
        <v>36649</v>
      </c>
      <c r="K11263" t="s">
        <v>38495</v>
      </c>
      <c r="M11263" t="s">
        <v>40903</v>
      </c>
      <c r="N11263" t="s">
        <v>42669</v>
      </c>
      <c r="O11263" t="s">
        <v>42670</v>
      </c>
      <c r="P11263">
        <v>0</v>
      </c>
      <c r="Q11263">
        <v>0</v>
      </c>
      <c r="R11263" t="s">
        <v>42685</v>
      </c>
      <c r="S11263" t="s">
        <v>43317</v>
      </c>
      <c r="T11263" t="s">
        <v>44412</v>
      </c>
      <c r="U11263" t="s">
        <v>53468</v>
      </c>
      <c r="W11263" t="s">
        <v>40903</v>
      </c>
      <c r="X11263" t="s">
        <v>42686</v>
      </c>
    </row>
    <row r="11264" spans="1:24">
      <c r="A11264">
        <f>HYPERLINK("https://www.philgeps.gov.ph/GEPSNONPILOT/Tender/SplashBidNoticeAbstractUI.aspx?menuIndex=3&amp;refID=7166338&amp;Result=3","7166338")</f>
        <v>0</v>
      </c>
      <c r="B11264" t="s">
        <v>1355</v>
      </c>
      <c r="C11264" t="s">
        <v>14294</v>
      </c>
      <c r="D11264" t="s">
        <v>17160</v>
      </c>
      <c r="E11264" t="s">
        <v>26833</v>
      </c>
      <c r="F11264" t="s">
        <v>29372</v>
      </c>
      <c r="G11264" t="s">
        <v>29380</v>
      </c>
      <c r="H11264" t="s">
        <v>11048</v>
      </c>
      <c r="I11264" t="s">
        <v>4486</v>
      </c>
      <c r="J11264" t="s">
        <v>36650</v>
      </c>
      <c r="K11264" t="s">
        <v>38485</v>
      </c>
      <c r="M11264" t="s">
        <v>42197</v>
      </c>
      <c r="N11264" t="s">
        <v>42669</v>
      </c>
      <c r="O11264" t="s">
        <v>42670</v>
      </c>
      <c r="P11264">
        <v>0</v>
      </c>
      <c r="Q11264">
        <v>6</v>
      </c>
      <c r="R11264" t="s">
        <v>42685</v>
      </c>
      <c r="S11264" t="s">
        <v>43317</v>
      </c>
      <c r="T11264" t="s">
        <v>44426</v>
      </c>
      <c r="U11264" t="s">
        <v>54012</v>
      </c>
      <c r="V11264" t="s">
        <v>56467</v>
      </c>
      <c r="W11264" t="s">
        <v>42197</v>
      </c>
      <c r="X11264" t="s">
        <v>42686</v>
      </c>
    </row>
    <row r="11265" spans="1:24">
      <c r="A11265">
        <f>HYPERLINK("https://www.philgeps.gov.ph/GEPSNONPILOT/Tender/SplashBidNoticeAbstractUI.aspx?menuIndex=3&amp;refID=7166365&amp;Result=3","7166365")</f>
        <v>0</v>
      </c>
      <c r="B11265" t="s">
        <v>394</v>
      </c>
      <c r="C11265" t="s">
        <v>14295</v>
      </c>
      <c r="D11265" t="s">
        <v>17170</v>
      </c>
      <c r="E11265" t="s">
        <v>26834</v>
      </c>
      <c r="F11265" t="s">
        <v>29372</v>
      </c>
      <c r="G11265" t="s">
        <v>29380</v>
      </c>
      <c r="H11265" t="s">
        <v>11048</v>
      </c>
      <c r="I11265" t="s">
        <v>29425</v>
      </c>
      <c r="J11265" t="s">
        <v>36651</v>
      </c>
      <c r="K11265" t="s">
        <v>38495</v>
      </c>
      <c r="M11265" t="s">
        <v>39650</v>
      </c>
      <c r="N11265" t="s">
        <v>42669</v>
      </c>
      <c r="O11265" t="s">
        <v>42670</v>
      </c>
      <c r="P11265">
        <v>0</v>
      </c>
      <c r="Q11265">
        <v>6</v>
      </c>
      <c r="R11265" t="s">
        <v>42685</v>
      </c>
      <c r="S11265" t="s">
        <v>43317</v>
      </c>
      <c r="T11265" t="s">
        <v>44366</v>
      </c>
      <c r="U11265" t="s">
        <v>54013</v>
      </c>
      <c r="W11265" t="s">
        <v>39650</v>
      </c>
      <c r="X11265" t="s">
        <v>42686</v>
      </c>
    </row>
    <row r="11266" spans="1:24">
      <c r="A11266">
        <f>HYPERLINK("https://www.philgeps.gov.ph/GEPSNONPILOT/Tender/SplashBidNoticeAbstractUI.aspx?menuIndex=3&amp;refID=7166336&amp;Result=3","7166336")</f>
        <v>0</v>
      </c>
      <c r="B11266" t="s">
        <v>3151</v>
      </c>
      <c r="C11266" t="s">
        <v>14296</v>
      </c>
      <c r="D11266" t="s">
        <v>17205</v>
      </c>
      <c r="E11266" t="s">
        <v>26835</v>
      </c>
      <c r="F11266" t="s">
        <v>29372</v>
      </c>
      <c r="G11266" t="s">
        <v>29380</v>
      </c>
      <c r="H11266" t="s">
        <v>11048</v>
      </c>
      <c r="I11266" t="s">
        <v>4709</v>
      </c>
      <c r="J11266" t="s">
        <v>36652</v>
      </c>
      <c r="K11266" t="s">
        <v>38728</v>
      </c>
      <c r="M11266" t="s">
        <v>42199</v>
      </c>
      <c r="N11266" t="s">
        <v>42669</v>
      </c>
      <c r="O11266" t="s">
        <v>42670</v>
      </c>
      <c r="P11266">
        <v>0</v>
      </c>
      <c r="Q11266">
        <v>10</v>
      </c>
      <c r="R11266" t="s">
        <v>42685</v>
      </c>
      <c r="S11266" t="s">
        <v>43317</v>
      </c>
      <c r="T11266" t="s">
        <v>44354</v>
      </c>
      <c r="U11266" t="s">
        <v>54014</v>
      </c>
      <c r="W11266" t="s">
        <v>42199</v>
      </c>
      <c r="X11266" t="s">
        <v>42686</v>
      </c>
    </row>
    <row r="11267" spans="1:24">
      <c r="A11267">
        <f>HYPERLINK("https://www.philgeps.gov.ph/GEPSNONPILOT/Tender/SplashBidNoticeAbstractUI.aspx?menuIndex=3&amp;refID=7166327&amp;Result=3","7166327")</f>
        <v>0</v>
      </c>
      <c r="B11267" t="s">
        <v>3152</v>
      </c>
      <c r="C11267" t="s">
        <v>14297</v>
      </c>
      <c r="D11267" t="s">
        <v>17166</v>
      </c>
      <c r="E11267" t="s">
        <v>26836</v>
      </c>
      <c r="F11267" t="s">
        <v>29372</v>
      </c>
      <c r="G11267" t="s">
        <v>29380</v>
      </c>
      <c r="H11267" t="s">
        <v>29389</v>
      </c>
      <c r="I11267" t="s">
        <v>10408</v>
      </c>
      <c r="J11267" t="s">
        <v>36653</v>
      </c>
      <c r="K11267" t="s">
        <v>38493</v>
      </c>
      <c r="M11267" t="s">
        <v>42200</v>
      </c>
      <c r="N11267" t="s">
        <v>42669</v>
      </c>
      <c r="O11267" t="s">
        <v>42670</v>
      </c>
      <c r="Q11267">
        <v>6</v>
      </c>
      <c r="R11267" t="s">
        <v>42685</v>
      </c>
      <c r="S11267" t="s">
        <v>43351</v>
      </c>
      <c r="T11267" t="s">
        <v>44357</v>
      </c>
      <c r="U11267" t="s">
        <v>54015</v>
      </c>
      <c r="V11267" t="s">
        <v>57626</v>
      </c>
      <c r="W11267" t="s">
        <v>42200</v>
      </c>
      <c r="X11267" t="s">
        <v>42686</v>
      </c>
    </row>
    <row r="11268" spans="1:24">
      <c r="A11268">
        <f>HYPERLINK("https://www.philgeps.gov.ph/GEPSNONPILOT/Tender/SplashBidNoticeAbstractUI.aspx?menuIndex=3&amp;refID=7166402&amp;Result=3","7166402")</f>
        <v>0</v>
      </c>
      <c r="B11268" t="s">
        <v>883</v>
      </c>
      <c r="C11268" t="s">
        <v>14298</v>
      </c>
      <c r="D11268" t="s">
        <v>17161</v>
      </c>
      <c r="E11268" t="s">
        <v>26837</v>
      </c>
      <c r="F11268" t="s">
        <v>29372</v>
      </c>
      <c r="G11268" t="s">
        <v>29380</v>
      </c>
      <c r="H11268" t="s">
        <v>11048</v>
      </c>
      <c r="I11268" t="s">
        <v>10408</v>
      </c>
      <c r="J11268" t="s">
        <v>36654</v>
      </c>
      <c r="K11268" t="s">
        <v>38538</v>
      </c>
      <c r="M11268" t="s">
        <v>39675</v>
      </c>
      <c r="N11268" t="s">
        <v>42669</v>
      </c>
      <c r="O11268" t="s">
        <v>42670</v>
      </c>
      <c r="P11268">
        <v>0</v>
      </c>
      <c r="Q11268">
        <v>1</v>
      </c>
      <c r="R11268" t="s">
        <v>42685</v>
      </c>
      <c r="S11268" t="s">
        <v>43317</v>
      </c>
      <c r="T11268" t="s">
        <v>44357</v>
      </c>
      <c r="U11268" t="s">
        <v>54016</v>
      </c>
      <c r="W11268" t="s">
        <v>39675</v>
      </c>
      <c r="X11268" t="s">
        <v>42686</v>
      </c>
    </row>
    <row r="11269" spans="1:24">
      <c r="A11269">
        <f>HYPERLINK("https://www.philgeps.gov.ph/GEPSNONPILOT/Tender/SplashBidNoticeAbstractUI.aspx?menuIndex=3&amp;refID=7166311&amp;Result=3","7166311")</f>
        <v>0</v>
      </c>
      <c r="B11269" t="s">
        <v>2356</v>
      </c>
      <c r="C11269" t="s">
        <v>14299</v>
      </c>
      <c r="D11269" t="s">
        <v>17191</v>
      </c>
      <c r="E11269" t="s">
        <v>25052</v>
      </c>
      <c r="F11269" t="s">
        <v>29372</v>
      </c>
      <c r="G11269" t="s">
        <v>29380</v>
      </c>
      <c r="H11269" t="s">
        <v>11048</v>
      </c>
      <c r="I11269" t="s">
        <v>9642</v>
      </c>
      <c r="J11269" t="s">
        <v>36655</v>
      </c>
      <c r="K11269" t="s">
        <v>38495</v>
      </c>
      <c r="M11269" t="s">
        <v>41291</v>
      </c>
      <c r="N11269" t="s">
        <v>42669</v>
      </c>
      <c r="O11269" t="s">
        <v>42670</v>
      </c>
      <c r="Q11269">
        <v>8</v>
      </c>
      <c r="R11269" t="s">
        <v>42685</v>
      </c>
      <c r="S11269" t="s">
        <v>43352</v>
      </c>
      <c r="T11269" t="s">
        <v>44412</v>
      </c>
      <c r="U11269" t="s">
        <v>54017</v>
      </c>
      <c r="W11269" t="s">
        <v>41291</v>
      </c>
      <c r="X11269" t="s">
        <v>42686</v>
      </c>
    </row>
    <row r="11270" spans="1:24">
      <c r="A11270">
        <f>HYPERLINK("https://www.philgeps.gov.ph/GEPSNONPILOT/Tender/SplashBidNoticeAbstractUI.aspx?menuIndex=3&amp;refID=7166308&amp;Result=3","7166308")</f>
        <v>0</v>
      </c>
      <c r="B11270" t="s">
        <v>1125</v>
      </c>
      <c r="C11270" t="s">
        <v>14300</v>
      </c>
      <c r="D11270" t="s">
        <v>17151</v>
      </c>
      <c r="E11270" t="s">
        <v>26838</v>
      </c>
      <c r="F11270" t="s">
        <v>29372</v>
      </c>
      <c r="G11270" t="s">
        <v>29380</v>
      </c>
      <c r="H11270" t="s">
        <v>11048</v>
      </c>
      <c r="I11270" t="s">
        <v>9469</v>
      </c>
      <c r="J11270" t="s">
        <v>30161</v>
      </c>
      <c r="K11270" t="s">
        <v>38485</v>
      </c>
      <c r="M11270" t="s">
        <v>39935</v>
      </c>
      <c r="N11270" t="s">
        <v>42669</v>
      </c>
      <c r="O11270" t="s">
        <v>42670</v>
      </c>
      <c r="P11270">
        <v>0</v>
      </c>
      <c r="Q11270">
        <v>2</v>
      </c>
      <c r="R11270" t="s">
        <v>42685</v>
      </c>
      <c r="S11270" t="s">
        <v>43317</v>
      </c>
      <c r="T11270" t="s">
        <v>44400</v>
      </c>
      <c r="U11270" t="s">
        <v>47278</v>
      </c>
      <c r="V11270" t="s">
        <v>57627</v>
      </c>
      <c r="W11270" t="s">
        <v>39935</v>
      </c>
      <c r="X11270" t="s">
        <v>42686</v>
      </c>
    </row>
    <row r="11271" spans="1:24">
      <c r="A11271">
        <f>HYPERLINK("https://www.philgeps.gov.ph/GEPSNONPILOT/Tender/SplashBidNoticeAbstractUI.aspx?menuIndex=3&amp;refID=7166304&amp;Result=3","7166304")</f>
        <v>0</v>
      </c>
      <c r="B11271" t="s">
        <v>2133</v>
      </c>
      <c r="C11271" t="s">
        <v>14301</v>
      </c>
      <c r="D11271" t="s">
        <v>17183</v>
      </c>
      <c r="E11271" t="s">
        <v>26839</v>
      </c>
      <c r="F11271" t="s">
        <v>29372</v>
      </c>
      <c r="G11271" t="s">
        <v>29380</v>
      </c>
      <c r="H11271" t="s">
        <v>11048</v>
      </c>
      <c r="I11271" t="s">
        <v>29407</v>
      </c>
      <c r="J11271" t="s">
        <v>36656</v>
      </c>
      <c r="K11271" t="s">
        <v>38488</v>
      </c>
      <c r="L11271" t="s">
        <v>2133</v>
      </c>
      <c r="M11271" t="s">
        <v>41038</v>
      </c>
      <c r="N11271" t="s">
        <v>42669</v>
      </c>
      <c r="O11271" t="s">
        <v>42670</v>
      </c>
      <c r="P11271">
        <v>0</v>
      </c>
      <c r="Q11271">
        <v>2</v>
      </c>
      <c r="R11271" t="s">
        <v>42685</v>
      </c>
      <c r="S11271" t="s">
        <v>43317</v>
      </c>
      <c r="T11271" t="s">
        <v>44412</v>
      </c>
      <c r="U11271" t="s">
        <v>54018</v>
      </c>
      <c r="W11271" t="s">
        <v>41038</v>
      </c>
      <c r="X11271" t="s">
        <v>42686</v>
      </c>
    </row>
    <row r="11272" spans="1:24">
      <c r="A11272">
        <f>HYPERLINK("https://www.philgeps.gov.ph/GEPSNONPILOT/Tender/SplashBidNoticeAbstractUI.aspx?menuIndex=3&amp;refID=7166295&amp;Result=3","7166295")</f>
        <v>0</v>
      </c>
      <c r="B11272" t="s">
        <v>2012</v>
      </c>
      <c r="C11272" t="s">
        <v>14302</v>
      </c>
      <c r="D11272" t="s">
        <v>17197</v>
      </c>
      <c r="E11272" t="s">
        <v>26840</v>
      </c>
      <c r="F11272" t="s">
        <v>29372</v>
      </c>
      <c r="G11272" t="s">
        <v>29380</v>
      </c>
      <c r="H11272" t="s">
        <v>29389</v>
      </c>
      <c r="I11272" t="s">
        <v>10408</v>
      </c>
      <c r="J11272" t="s">
        <v>36657</v>
      </c>
      <c r="K11272" t="s">
        <v>38495</v>
      </c>
      <c r="M11272" t="s">
        <v>40903</v>
      </c>
      <c r="N11272" t="s">
        <v>42669</v>
      </c>
      <c r="O11272" t="s">
        <v>42670</v>
      </c>
      <c r="P11272">
        <v>0</v>
      </c>
      <c r="Q11272">
        <v>0</v>
      </c>
      <c r="R11272" t="s">
        <v>42685</v>
      </c>
      <c r="S11272" t="s">
        <v>43317</v>
      </c>
      <c r="T11272" t="s">
        <v>44412</v>
      </c>
      <c r="U11272" t="s">
        <v>54019</v>
      </c>
      <c r="W11272" t="s">
        <v>40903</v>
      </c>
      <c r="X11272" t="s">
        <v>42686</v>
      </c>
    </row>
    <row r="11273" spans="1:24">
      <c r="A11273">
        <f>HYPERLINK("https://www.philgeps.gov.ph/GEPSNONPILOT/Tender/SplashBidNoticeAbstractUI.aspx?menuIndex=3&amp;refID=7166185&amp;Result=3","7166185")</f>
        <v>0</v>
      </c>
      <c r="B11273" t="s">
        <v>2354</v>
      </c>
      <c r="C11273" t="s">
        <v>14303</v>
      </c>
      <c r="D11273" t="s">
        <v>17174</v>
      </c>
      <c r="E11273" t="s">
        <v>26841</v>
      </c>
      <c r="F11273" t="s">
        <v>29372</v>
      </c>
      <c r="G11273" t="s">
        <v>29380</v>
      </c>
      <c r="H11273" t="s">
        <v>11048</v>
      </c>
      <c r="I11273" t="s">
        <v>8614</v>
      </c>
      <c r="J11273" t="s">
        <v>36658</v>
      </c>
      <c r="K11273" t="s">
        <v>38503</v>
      </c>
      <c r="M11273" t="s">
        <v>41289</v>
      </c>
      <c r="N11273" t="s">
        <v>42669</v>
      </c>
      <c r="O11273" t="s">
        <v>42670</v>
      </c>
      <c r="P11273">
        <v>0</v>
      </c>
      <c r="Q11273">
        <v>2</v>
      </c>
      <c r="R11273" t="s">
        <v>42685</v>
      </c>
      <c r="S11273" t="s">
        <v>43317</v>
      </c>
      <c r="T11273" t="s">
        <v>44400</v>
      </c>
      <c r="U11273" t="s">
        <v>54020</v>
      </c>
      <c r="V11273" t="s">
        <v>57628</v>
      </c>
      <c r="W11273" t="s">
        <v>41289</v>
      </c>
      <c r="X11273" t="s">
        <v>42686</v>
      </c>
    </row>
    <row r="11274" spans="1:24">
      <c r="A11274">
        <f>HYPERLINK("https://www.philgeps.gov.ph/GEPSNONPILOT/Tender/SplashBidNoticeAbstractUI.aspx?menuIndex=3&amp;refID=7166355&amp;Result=3","7166355")</f>
        <v>0</v>
      </c>
      <c r="B11274" t="s">
        <v>2133</v>
      </c>
      <c r="C11274" t="s">
        <v>14304</v>
      </c>
      <c r="D11274" t="s">
        <v>17183</v>
      </c>
      <c r="E11274" t="s">
        <v>26842</v>
      </c>
      <c r="F11274" t="s">
        <v>29372</v>
      </c>
      <c r="G11274" t="s">
        <v>29380</v>
      </c>
      <c r="H11274" t="s">
        <v>11048</v>
      </c>
      <c r="I11274" t="s">
        <v>4487</v>
      </c>
      <c r="J11274" t="s">
        <v>36659</v>
      </c>
      <c r="K11274" t="s">
        <v>38488</v>
      </c>
      <c r="L11274" t="s">
        <v>2133</v>
      </c>
      <c r="M11274" t="s">
        <v>41038</v>
      </c>
      <c r="N11274" t="s">
        <v>42669</v>
      </c>
      <c r="O11274" t="s">
        <v>42670</v>
      </c>
      <c r="P11274">
        <v>0</v>
      </c>
      <c r="Q11274">
        <v>1</v>
      </c>
      <c r="R11274" t="s">
        <v>42685</v>
      </c>
      <c r="S11274" t="s">
        <v>43317</v>
      </c>
      <c r="T11274" t="s">
        <v>44412</v>
      </c>
      <c r="U11274" t="s">
        <v>54021</v>
      </c>
      <c r="W11274" t="s">
        <v>41038</v>
      </c>
      <c r="X11274" t="s">
        <v>42686</v>
      </c>
    </row>
    <row r="11275" spans="1:24">
      <c r="A11275">
        <f>HYPERLINK("https://www.philgeps.gov.ph/GEPSNONPILOT/Tender/SplashBidNoticeAbstractUI.aspx?menuIndex=3&amp;refID=7166321&amp;Result=3","7166321")</f>
        <v>0</v>
      </c>
      <c r="B11275" t="s">
        <v>3153</v>
      </c>
      <c r="C11275" t="s">
        <v>6287</v>
      </c>
      <c r="D11275" t="s">
        <v>17168</v>
      </c>
      <c r="E11275" t="s">
        <v>26843</v>
      </c>
      <c r="F11275" t="s">
        <v>29373</v>
      </c>
      <c r="G11275" t="s">
        <v>29380</v>
      </c>
      <c r="H11275" t="s">
        <v>11048</v>
      </c>
      <c r="I11275" t="s">
        <v>4709</v>
      </c>
      <c r="J11275" t="s">
        <v>36660</v>
      </c>
      <c r="K11275" t="s">
        <v>38518</v>
      </c>
      <c r="M11275" t="s">
        <v>42201</v>
      </c>
      <c r="N11275" t="s">
        <v>42669</v>
      </c>
      <c r="O11275" t="s">
        <v>42670</v>
      </c>
      <c r="P11275">
        <v>0</v>
      </c>
      <c r="Q11275">
        <v>0</v>
      </c>
      <c r="R11275" t="s">
        <v>42685</v>
      </c>
      <c r="S11275" t="s">
        <v>43317</v>
      </c>
      <c r="T11275" t="s">
        <v>44364</v>
      </c>
      <c r="U11275" t="s">
        <v>46036</v>
      </c>
      <c r="V11275" t="s">
        <v>57629</v>
      </c>
      <c r="W11275" t="s">
        <v>42201</v>
      </c>
      <c r="X11275" t="s">
        <v>42686</v>
      </c>
    </row>
    <row r="11276" spans="1:24">
      <c r="A11276">
        <f>HYPERLINK("https://www.philgeps.gov.ph/GEPSNONPILOT/Tender/SplashBidNoticeAbstractUI.aspx?menuIndex=3&amp;refID=7166266&amp;Result=3","7166266")</f>
        <v>0</v>
      </c>
      <c r="B11276" t="s">
        <v>3154</v>
      </c>
      <c r="C11276" t="s">
        <v>14305</v>
      </c>
      <c r="D11276" t="s">
        <v>17145</v>
      </c>
      <c r="E11276" t="s">
        <v>26844</v>
      </c>
      <c r="F11276" t="s">
        <v>29372</v>
      </c>
      <c r="G11276" t="s">
        <v>29380</v>
      </c>
      <c r="H11276" t="s">
        <v>29389</v>
      </c>
      <c r="I11276" t="s">
        <v>10408</v>
      </c>
      <c r="J11276" t="s">
        <v>29590</v>
      </c>
      <c r="K11276" t="s">
        <v>38487</v>
      </c>
      <c r="M11276" t="s">
        <v>42202</v>
      </c>
      <c r="N11276" t="s">
        <v>42669</v>
      </c>
      <c r="O11276" t="s">
        <v>42670</v>
      </c>
      <c r="P11276">
        <v>0</v>
      </c>
      <c r="Q11276">
        <v>0</v>
      </c>
      <c r="R11276" t="s">
        <v>42685</v>
      </c>
      <c r="S11276" t="s">
        <v>43317</v>
      </c>
      <c r="T11276" t="s">
        <v>44452</v>
      </c>
      <c r="U11276" t="s">
        <v>54022</v>
      </c>
      <c r="W11276" t="s">
        <v>42202</v>
      </c>
      <c r="X11276" t="s">
        <v>42686</v>
      </c>
    </row>
    <row r="11277" spans="1:24">
      <c r="A11277">
        <f>HYPERLINK("https://www.philgeps.gov.ph/GEPSNONPILOT/Tender/SplashBidNoticeAbstractUI.aspx?menuIndex=3&amp;refID=7166339&amp;Result=3","7166339")</f>
        <v>0</v>
      </c>
      <c r="B11277" t="s">
        <v>772</v>
      </c>
      <c r="C11277" t="s">
        <v>14306</v>
      </c>
      <c r="D11277" t="s">
        <v>17187</v>
      </c>
      <c r="E11277" t="s">
        <v>26845</v>
      </c>
      <c r="F11277" t="s">
        <v>29372</v>
      </c>
      <c r="G11277" t="s">
        <v>29380</v>
      </c>
      <c r="H11277" t="s">
        <v>29389</v>
      </c>
      <c r="I11277" t="s">
        <v>10408</v>
      </c>
      <c r="J11277" t="s">
        <v>36661</v>
      </c>
      <c r="K11277" t="s">
        <v>38485</v>
      </c>
      <c r="M11277" t="s">
        <v>39556</v>
      </c>
      <c r="N11277" t="s">
        <v>42669</v>
      </c>
      <c r="O11277" t="s">
        <v>42670</v>
      </c>
      <c r="P11277">
        <v>0</v>
      </c>
      <c r="Q11277">
        <v>2</v>
      </c>
      <c r="R11277" t="s">
        <v>42685</v>
      </c>
      <c r="S11277" t="s">
        <v>43317</v>
      </c>
      <c r="T11277" t="s">
        <v>44401</v>
      </c>
      <c r="U11277" t="s">
        <v>54023</v>
      </c>
      <c r="W11277" t="s">
        <v>39556</v>
      </c>
      <c r="X11277" t="s">
        <v>42686</v>
      </c>
    </row>
    <row r="11278" spans="1:24">
      <c r="A11278">
        <f>HYPERLINK("https://www.philgeps.gov.ph/GEPSNONPILOT/Tender/SplashBidNoticeAbstractUI.aspx?menuIndex=3&amp;refID=7166301&amp;Result=3","7166301")</f>
        <v>0</v>
      </c>
      <c r="B11278" t="s">
        <v>3147</v>
      </c>
      <c r="C11278" t="s">
        <v>14307</v>
      </c>
      <c r="D11278" t="s">
        <v>17198</v>
      </c>
      <c r="E11278" t="s">
        <v>26846</v>
      </c>
      <c r="F11278" t="s">
        <v>29372</v>
      </c>
      <c r="G11278" t="s">
        <v>29380</v>
      </c>
      <c r="H11278" t="s">
        <v>29389</v>
      </c>
      <c r="I11278" t="s">
        <v>10408</v>
      </c>
      <c r="J11278" t="s">
        <v>36662</v>
      </c>
      <c r="K11278" t="s">
        <v>38502</v>
      </c>
      <c r="M11278" t="s">
        <v>42194</v>
      </c>
      <c r="N11278" t="s">
        <v>42669</v>
      </c>
      <c r="O11278" t="s">
        <v>42670</v>
      </c>
      <c r="P11278">
        <v>0</v>
      </c>
      <c r="Q11278">
        <v>0</v>
      </c>
      <c r="R11278" t="s">
        <v>42685</v>
      </c>
      <c r="S11278" t="s">
        <v>43317</v>
      </c>
      <c r="T11278" t="s">
        <v>44357</v>
      </c>
      <c r="U11278" t="s">
        <v>46039</v>
      </c>
      <c r="W11278" t="s">
        <v>42194</v>
      </c>
      <c r="X11278" t="s">
        <v>42686</v>
      </c>
    </row>
    <row r="11279" spans="1:24">
      <c r="A11279">
        <f>HYPERLINK("https://www.philgeps.gov.ph/GEPSNONPILOT/Tender/SplashBidNoticeAbstractUI.aspx?menuIndex=3&amp;refID=7166526&amp;Result=3","7166526")</f>
        <v>0</v>
      </c>
      <c r="B11279" t="s">
        <v>955</v>
      </c>
      <c r="C11279" t="s">
        <v>14308</v>
      </c>
      <c r="E11279" t="s">
        <v>26847</v>
      </c>
      <c r="F11279" t="s">
        <v>29372</v>
      </c>
      <c r="G11279" t="s">
        <v>29380</v>
      </c>
      <c r="H11279" t="s">
        <v>29389</v>
      </c>
      <c r="I11279" t="s">
        <v>10408</v>
      </c>
      <c r="J11279" t="s">
        <v>36663</v>
      </c>
      <c r="K11279" t="s">
        <v>38490</v>
      </c>
      <c r="M11279" t="s">
        <v>39751</v>
      </c>
      <c r="N11279" t="s">
        <v>42669</v>
      </c>
      <c r="O11279" t="s">
        <v>42670</v>
      </c>
      <c r="P11279">
        <v>0</v>
      </c>
      <c r="Q11279">
        <v>1</v>
      </c>
      <c r="R11279" t="s">
        <v>42685</v>
      </c>
      <c r="S11279" t="s">
        <v>43317</v>
      </c>
      <c r="T11279" t="s">
        <v>44510</v>
      </c>
      <c r="U11279" t="s">
        <v>54024</v>
      </c>
      <c r="W11279" t="s">
        <v>39751</v>
      </c>
      <c r="X11279" t="s">
        <v>42686</v>
      </c>
    </row>
    <row r="11280" spans="1:24">
      <c r="A11280">
        <f>HYPERLINK("https://www.philgeps.gov.ph/GEPSNONPILOT/Tender/SplashBidNoticeAbstractUI.aspx?menuIndex=3&amp;refID=7166524&amp;Result=3","7166524")</f>
        <v>0</v>
      </c>
      <c r="B11280" t="s">
        <v>133</v>
      </c>
      <c r="C11280" t="s">
        <v>14309</v>
      </c>
      <c r="D11280" t="s">
        <v>17186</v>
      </c>
      <c r="E11280" t="s">
        <v>26848</v>
      </c>
      <c r="F11280" t="s">
        <v>29372</v>
      </c>
      <c r="G11280" t="s">
        <v>29380</v>
      </c>
      <c r="H11280" t="s">
        <v>29389</v>
      </c>
      <c r="I11280" t="s">
        <v>10408</v>
      </c>
      <c r="J11280" t="s">
        <v>31869</v>
      </c>
      <c r="K11280" t="s">
        <v>38495</v>
      </c>
      <c r="M11280" t="s">
        <v>38888</v>
      </c>
      <c r="N11280" t="s">
        <v>42669</v>
      </c>
      <c r="O11280" t="s">
        <v>42670</v>
      </c>
      <c r="P11280">
        <v>0</v>
      </c>
      <c r="Q11280">
        <v>0</v>
      </c>
      <c r="R11280" t="s">
        <v>42685</v>
      </c>
      <c r="S11280" t="s">
        <v>43317</v>
      </c>
      <c r="T11280" t="s">
        <v>44412</v>
      </c>
      <c r="U11280" t="s">
        <v>54025</v>
      </c>
      <c r="W11280" t="s">
        <v>38888</v>
      </c>
      <c r="X11280" t="s">
        <v>42686</v>
      </c>
    </row>
    <row r="11281" spans="1:24">
      <c r="A11281">
        <f>HYPERLINK("https://www.philgeps.gov.ph/GEPSNONPILOT/Tender/SplashBidNoticeAbstractUI.aspx?menuIndex=3&amp;refID=7166286&amp;Result=3","7166286")</f>
        <v>0</v>
      </c>
      <c r="B11281" t="s">
        <v>3151</v>
      </c>
      <c r="C11281" t="s">
        <v>14310</v>
      </c>
      <c r="D11281" t="s">
        <v>17205</v>
      </c>
      <c r="E11281" t="s">
        <v>26849</v>
      </c>
      <c r="F11281" t="s">
        <v>29372</v>
      </c>
      <c r="G11281" t="s">
        <v>29380</v>
      </c>
      <c r="H11281" t="s">
        <v>11048</v>
      </c>
      <c r="I11281" t="s">
        <v>4709</v>
      </c>
      <c r="J11281" t="s">
        <v>36664</v>
      </c>
      <c r="K11281" t="s">
        <v>38487</v>
      </c>
      <c r="M11281" t="s">
        <v>42199</v>
      </c>
      <c r="N11281" t="s">
        <v>42669</v>
      </c>
      <c r="O11281" t="s">
        <v>42670</v>
      </c>
      <c r="P11281">
        <v>0</v>
      </c>
      <c r="Q11281">
        <v>5</v>
      </c>
      <c r="R11281" t="s">
        <v>42685</v>
      </c>
      <c r="S11281" t="s">
        <v>43317</v>
      </c>
      <c r="T11281" t="s">
        <v>44610</v>
      </c>
      <c r="U11281" t="s">
        <v>54026</v>
      </c>
      <c r="W11281" t="s">
        <v>42199</v>
      </c>
      <c r="X11281" t="s">
        <v>42686</v>
      </c>
    </row>
    <row r="11282" spans="1:24">
      <c r="A11282">
        <f>HYPERLINK("https://www.philgeps.gov.ph/GEPSNONPILOT/Tender/SplashBidNoticeAbstractUI.aspx?menuIndex=3&amp;refID=7166501&amp;Result=3","7166501")</f>
        <v>0</v>
      </c>
      <c r="B11282" t="s">
        <v>2410</v>
      </c>
      <c r="C11282" t="s">
        <v>14311</v>
      </c>
      <c r="D11282" t="s">
        <v>17189</v>
      </c>
      <c r="E11282" t="s">
        <v>20054</v>
      </c>
      <c r="F11282" t="s">
        <v>29372</v>
      </c>
      <c r="G11282" t="s">
        <v>29380</v>
      </c>
      <c r="H11282" t="s">
        <v>11048</v>
      </c>
      <c r="I11282" t="s">
        <v>29426</v>
      </c>
      <c r="J11282" t="s">
        <v>30127</v>
      </c>
      <c r="K11282" t="s">
        <v>38510</v>
      </c>
      <c r="M11282" t="s">
        <v>41356</v>
      </c>
      <c r="N11282" t="s">
        <v>42669</v>
      </c>
      <c r="O11282" t="s">
        <v>42670</v>
      </c>
      <c r="P11282">
        <v>0</v>
      </c>
      <c r="Q11282">
        <v>1</v>
      </c>
      <c r="R11282" t="s">
        <v>42685</v>
      </c>
      <c r="S11282" t="s">
        <v>43317</v>
      </c>
      <c r="T11282" t="s">
        <v>44444</v>
      </c>
      <c r="U11282" t="s">
        <v>54027</v>
      </c>
      <c r="W11282" t="s">
        <v>41356</v>
      </c>
      <c r="X11282" t="s">
        <v>42686</v>
      </c>
    </row>
    <row r="11283" spans="1:24">
      <c r="A11283">
        <f>HYPERLINK("https://www.philgeps.gov.ph/GEPSNONPILOT/Tender/SplashBidNoticeAbstractUI.aspx?menuIndex=3&amp;refID=7166493&amp;Result=3","7166493")</f>
        <v>0</v>
      </c>
      <c r="B11283" t="s">
        <v>669</v>
      </c>
      <c r="C11283" t="s">
        <v>14312</v>
      </c>
      <c r="D11283" t="s">
        <v>17147</v>
      </c>
      <c r="E11283" t="s">
        <v>26850</v>
      </c>
      <c r="F11283" t="s">
        <v>29372</v>
      </c>
      <c r="G11283" t="s">
        <v>29380</v>
      </c>
      <c r="H11283" t="s">
        <v>11048</v>
      </c>
      <c r="I11283" t="s">
        <v>29407</v>
      </c>
      <c r="J11283" t="s">
        <v>36665</v>
      </c>
      <c r="K11283" t="s">
        <v>38488</v>
      </c>
      <c r="M11283" t="s">
        <v>42069</v>
      </c>
      <c r="N11283" t="s">
        <v>42669</v>
      </c>
      <c r="O11283" t="s">
        <v>42670</v>
      </c>
      <c r="P11283">
        <v>0</v>
      </c>
      <c r="Q11283">
        <v>2</v>
      </c>
      <c r="R11283" t="s">
        <v>42685</v>
      </c>
      <c r="S11283" t="s">
        <v>43317</v>
      </c>
      <c r="T11283" t="s">
        <v>44411</v>
      </c>
      <c r="U11283" t="s">
        <v>54028</v>
      </c>
      <c r="V11283" t="s">
        <v>56460</v>
      </c>
      <c r="W11283" t="s">
        <v>42069</v>
      </c>
      <c r="X11283" t="s">
        <v>42686</v>
      </c>
    </row>
    <row r="11284" spans="1:24">
      <c r="A11284">
        <f>HYPERLINK("https://www.philgeps.gov.ph/GEPSNONPILOT/Tender/SplashBidNoticeAbstractUI.aspx?menuIndex=3&amp;refID=7166486&amp;Result=3","7166486")</f>
        <v>0</v>
      </c>
      <c r="B11284" t="s">
        <v>48</v>
      </c>
      <c r="C11284" t="s">
        <v>14313</v>
      </c>
      <c r="D11284" t="s">
        <v>17158</v>
      </c>
      <c r="E11284" t="s">
        <v>26851</v>
      </c>
      <c r="F11284" t="s">
        <v>29372</v>
      </c>
      <c r="G11284" t="s">
        <v>29380</v>
      </c>
      <c r="H11284" t="s">
        <v>11048</v>
      </c>
      <c r="I11284" t="s">
        <v>8614</v>
      </c>
      <c r="J11284" t="s">
        <v>36666</v>
      </c>
      <c r="K11284" t="s">
        <v>38490</v>
      </c>
      <c r="M11284" t="s">
        <v>38801</v>
      </c>
      <c r="N11284" t="s">
        <v>42669</v>
      </c>
      <c r="O11284" t="s">
        <v>42670</v>
      </c>
      <c r="Q11284">
        <v>4</v>
      </c>
      <c r="R11284" t="s">
        <v>42685</v>
      </c>
      <c r="S11284" t="s">
        <v>43353</v>
      </c>
      <c r="T11284" t="s">
        <v>44357</v>
      </c>
      <c r="U11284" t="s">
        <v>54029</v>
      </c>
      <c r="W11284" t="s">
        <v>38801</v>
      </c>
      <c r="X11284" t="s">
        <v>42686</v>
      </c>
    </row>
    <row r="11285" spans="1:24">
      <c r="A11285">
        <f>HYPERLINK("https://www.philgeps.gov.ph/GEPSNONPILOT/Tender/SplashBidNoticeAbstractUI.aspx?menuIndex=3&amp;refID=7166260&amp;Result=3","7166260")</f>
        <v>0</v>
      </c>
      <c r="B11285" t="s">
        <v>3151</v>
      </c>
      <c r="C11285" t="s">
        <v>14314</v>
      </c>
      <c r="D11285" t="s">
        <v>17205</v>
      </c>
      <c r="E11285" t="s">
        <v>26852</v>
      </c>
      <c r="F11285" t="s">
        <v>29372</v>
      </c>
      <c r="G11285" t="s">
        <v>29380</v>
      </c>
      <c r="H11285" t="s">
        <v>11048</v>
      </c>
      <c r="I11285" t="s">
        <v>4709</v>
      </c>
      <c r="J11285" t="s">
        <v>36667</v>
      </c>
      <c r="K11285" t="s">
        <v>38525</v>
      </c>
      <c r="M11285" t="s">
        <v>42199</v>
      </c>
      <c r="N11285" t="s">
        <v>42669</v>
      </c>
      <c r="O11285" t="s">
        <v>42670</v>
      </c>
      <c r="P11285">
        <v>0</v>
      </c>
      <c r="Q11285">
        <v>7</v>
      </c>
      <c r="R11285" t="s">
        <v>42685</v>
      </c>
      <c r="S11285" t="s">
        <v>43317</v>
      </c>
      <c r="T11285" t="s">
        <v>44375</v>
      </c>
      <c r="U11285" t="s">
        <v>54030</v>
      </c>
      <c r="W11285" t="s">
        <v>42199</v>
      </c>
      <c r="X11285" t="s">
        <v>42686</v>
      </c>
    </row>
    <row r="11286" spans="1:24">
      <c r="A11286">
        <f>HYPERLINK("https://www.philgeps.gov.ph/GEPSNONPILOT/Tender/SplashBidNoticeAbstractUI.aspx?menuIndex=3&amp;refID=7166476&amp;Result=3","7166476")</f>
        <v>0</v>
      </c>
      <c r="B11286" t="s">
        <v>3138</v>
      </c>
      <c r="C11286" t="s">
        <v>14315</v>
      </c>
      <c r="D11286" t="s">
        <v>17174</v>
      </c>
      <c r="E11286" t="s">
        <v>26853</v>
      </c>
      <c r="F11286" t="s">
        <v>29372</v>
      </c>
      <c r="G11286" t="s">
        <v>29380</v>
      </c>
      <c r="H11286" t="s">
        <v>29389</v>
      </c>
      <c r="I11286" t="s">
        <v>10408</v>
      </c>
      <c r="J11286" t="s">
        <v>29761</v>
      </c>
      <c r="K11286" t="s">
        <v>38656</v>
      </c>
      <c r="M11286" t="s">
        <v>42184</v>
      </c>
      <c r="N11286" t="s">
        <v>42669</v>
      </c>
      <c r="O11286" t="s">
        <v>42670</v>
      </c>
      <c r="Q11286">
        <v>0</v>
      </c>
      <c r="R11286" t="s">
        <v>42685</v>
      </c>
      <c r="S11286" t="s">
        <v>43354</v>
      </c>
      <c r="T11286" t="s">
        <v>44373</v>
      </c>
      <c r="U11286" t="s">
        <v>54031</v>
      </c>
      <c r="W11286" t="s">
        <v>42184</v>
      </c>
      <c r="X11286" t="s">
        <v>42686</v>
      </c>
    </row>
    <row r="11287" spans="1:24">
      <c r="A11287">
        <f>HYPERLINK("https://www.philgeps.gov.ph/GEPSNONPILOT/Tender/SplashBidNoticeAbstractUI.aspx?menuIndex=3&amp;refID=7166452&amp;Result=3","7166452")</f>
        <v>0</v>
      </c>
      <c r="B11287" t="s">
        <v>3155</v>
      </c>
      <c r="C11287" t="s">
        <v>14316</v>
      </c>
      <c r="D11287" t="s">
        <v>17151</v>
      </c>
      <c r="E11287" t="s">
        <v>26854</v>
      </c>
      <c r="F11287" t="s">
        <v>29372</v>
      </c>
      <c r="G11287" t="s">
        <v>29380</v>
      </c>
      <c r="H11287" t="s">
        <v>29389</v>
      </c>
      <c r="I11287" t="s">
        <v>10408</v>
      </c>
      <c r="J11287" t="s">
        <v>30308</v>
      </c>
      <c r="K11287" t="s">
        <v>38654</v>
      </c>
      <c r="M11287" t="s">
        <v>42203</v>
      </c>
      <c r="N11287" t="s">
        <v>42669</v>
      </c>
      <c r="O11287" t="s">
        <v>42670</v>
      </c>
      <c r="P11287">
        <v>0</v>
      </c>
      <c r="Q11287">
        <v>1</v>
      </c>
      <c r="R11287" t="s">
        <v>42685</v>
      </c>
      <c r="S11287" t="s">
        <v>43317</v>
      </c>
      <c r="T11287" t="s">
        <v>44426</v>
      </c>
      <c r="U11287" t="s">
        <v>54032</v>
      </c>
      <c r="W11287" t="s">
        <v>42203</v>
      </c>
      <c r="X11287" t="s">
        <v>42686</v>
      </c>
    </row>
    <row r="11288" spans="1:24">
      <c r="A11288">
        <f>HYPERLINK("https://www.philgeps.gov.ph/GEPSNONPILOT/Tender/SplashBidNoticeAbstractUI.aspx?menuIndex=3&amp;refID=7166449&amp;Result=3","7166449")</f>
        <v>0</v>
      </c>
      <c r="B11288" t="s">
        <v>1336</v>
      </c>
      <c r="C11288" t="s">
        <v>14317</v>
      </c>
      <c r="D11288" t="s">
        <v>17226</v>
      </c>
      <c r="E11288" t="s">
        <v>26855</v>
      </c>
      <c r="F11288" t="s">
        <v>29372</v>
      </c>
      <c r="G11288" t="s">
        <v>29380</v>
      </c>
      <c r="H11288" t="s">
        <v>29389</v>
      </c>
      <c r="I11288" t="s">
        <v>10408</v>
      </c>
      <c r="J11288" t="s">
        <v>36668</v>
      </c>
      <c r="K11288" t="s">
        <v>38502</v>
      </c>
      <c r="M11288" t="s">
        <v>40172</v>
      </c>
      <c r="N11288" t="s">
        <v>42669</v>
      </c>
      <c r="O11288" t="s">
        <v>42670</v>
      </c>
      <c r="Q11288">
        <v>2</v>
      </c>
      <c r="R11288" t="s">
        <v>42685</v>
      </c>
      <c r="S11288" t="s">
        <v>43355</v>
      </c>
      <c r="T11288" t="s">
        <v>44527</v>
      </c>
      <c r="U11288" t="s">
        <v>54033</v>
      </c>
      <c r="W11288" t="s">
        <v>40172</v>
      </c>
      <c r="X11288" t="s">
        <v>42686</v>
      </c>
    </row>
    <row r="11289" spans="1:24">
      <c r="A11289">
        <f>HYPERLINK("https://www.philgeps.gov.ph/GEPSNONPILOT/Tender/SplashBidNoticeAbstractUI.aspx?menuIndex=3&amp;refID=7166181&amp;Result=3","7166181")</f>
        <v>0</v>
      </c>
      <c r="B11289" t="s">
        <v>3156</v>
      </c>
      <c r="C11289" t="s">
        <v>14318</v>
      </c>
      <c r="D11289" t="s">
        <v>17153</v>
      </c>
      <c r="E11289" t="s">
        <v>26856</v>
      </c>
      <c r="F11289" t="s">
        <v>29372</v>
      </c>
      <c r="G11289" t="s">
        <v>29380</v>
      </c>
      <c r="H11289" t="s">
        <v>29389</v>
      </c>
      <c r="I11289" t="s">
        <v>10408</v>
      </c>
      <c r="J11289" t="s">
        <v>36669</v>
      </c>
      <c r="K11289" t="s">
        <v>38537</v>
      </c>
      <c r="M11289" t="s">
        <v>42204</v>
      </c>
      <c r="N11289" t="s">
        <v>42669</v>
      </c>
      <c r="O11289" t="s">
        <v>42670</v>
      </c>
      <c r="P11289">
        <v>0</v>
      </c>
      <c r="Q11289">
        <v>0</v>
      </c>
      <c r="R11289" t="s">
        <v>42685</v>
      </c>
      <c r="S11289" t="s">
        <v>43317</v>
      </c>
      <c r="T11289" t="s">
        <v>44375</v>
      </c>
      <c r="U11289" t="s">
        <v>54034</v>
      </c>
      <c r="W11289" t="s">
        <v>42204</v>
      </c>
      <c r="X11289" t="s">
        <v>42686</v>
      </c>
    </row>
    <row r="11290" spans="1:24">
      <c r="A11290">
        <f>HYPERLINK("https://www.philgeps.gov.ph/GEPSNONPILOT/Tender/SplashBidNoticeAbstractUI.aspx?menuIndex=3&amp;refID=7166442&amp;Result=3","7166442")</f>
        <v>0</v>
      </c>
      <c r="B11290" t="s">
        <v>2012</v>
      </c>
      <c r="C11290" t="s">
        <v>14319</v>
      </c>
      <c r="D11290" t="s">
        <v>17197</v>
      </c>
      <c r="E11290" t="s">
        <v>26857</v>
      </c>
      <c r="F11290" t="s">
        <v>29372</v>
      </c>
      <c r="G11290" t="s">
        <v>29380</v>
      </c>
      <c r="H11290" t="s">
        <v>29389</v>
      </c>
      <c r="I11290" t="s">
        <v>10408</v>
      </c>
      <c r="J11290" t="s">
        <v>36670</v>
      </c>
      <c r="K11290" t="s">
        <v>38495</v>
      </c>
      <c r="M11290" t="s">
        <v>40903</v>
      </c>
      <c r="N11290" t="s">
        <v>42669</v>
      </c>
      <c r="O11290" t="s">
        <v>42670</v>
      </c>
      <c r="P11290">
        <v>0</v>
      </c>
      <c r="Q11290">
        <v>0</v>
      </c>
      <c r="R11290" t="s">
        <v>42685</v>
      </c>
      <c r="S11290" t="s">
        <v>43317</v>
      </c>
      <c r="T11290" t="s">
        <v>44412</v>
      </c>
      <c r="U11290" t="s">
        <v>53468</v>
      </c>
      <c r="W11290" t="s">
        <v>40903</v>
      </c>
      <c r="X11290" t="s">
        <v>42686</v>
      </c>
    </row>
    <row r="11291" spans="1:24">
      <c r="A11291">
        <f>HYPERLINK("https://www.philgeps.gov.ph/GEPSNONPILOT/Tender/SplashBidNoticeAbstractUI.aspx?menuIndex=3&amp;refID=7166484&amp;Result=3","7166484")</f>
        <v>0</v>
      </c>
      <c r="B11291" t="s">
        <v>3140</v>
      </c>
      <c r="C11291" t="s">
        <v>14320</v>
      </c>
      <c r="D11291" t="s">
        <v>17158</v>
      </c>
      <c r="E11291" t="s">
        <v>26858</v>
      </c>
      <c r="F11291" t="s">
        <v>29372</v>
      </c>
      <c r="G11291" t="s">
        <v>29380</v>
      </c>
      <c r="H11291" t="s">
        <v>11048</v>
      </c>
      <c r="I11291" t="s">
        <v>29414</v>
      </c>
      <c r="J11291" t="s">
        <v>32024</v>
      </c>
      <c r="K11291" t="s">
        <v>38485</v>
      </c>
      <c r="M11291" t="s">
        <v>42186</v>
      </c>
      <c r="N11291" t="s">
        <v>42669</v>
      </c>
      <c r="O11291" t="s">
        <v>42670</v>
      </c>
      <c r="P11291">
        <v>0</v>
      </c>
      <c r="Q11291">
        <v>23</v>
      </c>
      <c r="R11291" t="s">
        <v>42685</v>
      </c>
      <c r="S11291" t="s">
        <v>43317</v>
      </c>
      <c r="T11291" t="s">
        <v>44357</v>
      </c>
      <c r="U11291" t="s">
        <v>54035</v>
      </c>
      <c r="W11291" t="s">
        <v>42186</v>
      </c>
      <c r="X11291" t="s">
        <v>42686</v>
      </c>
    </row>
    <row r="11292" spans="1:24">
      <c r="A11292">
        <f>HYPERLINK("https://www.philgeps.gov.ph/GEPSNONPILOT/Tender/SplashBidNoticeAbstractUI.aspx?menuIndex=3&amp;refID=7166440&amp;Result=3","7166440")</f>
        <v>0</v>
      </c>
      <c r="B11292" t="s">
        <v>3154</v>
      </c>
      <c r="C11292" t="s">
        <v>14321</v>
      </c>
      <c r="D11292" t="s">
        <v>17145</v>
      </c>
      <c r="E11292" t="s">
        <v>26859</v>
      </c>
      <c r="F11292" t="s">
        <v>29372</v>
      </c>
      <c r="G11292" t="s">
        <v>29380</v>
      </c>
      <c r="H11292" t="s">
        <v>29389</v>
      </c>
      <c r="I11292" t="s">
        <v>10408</v>
      </c>
      <c r="J11292" t="s">
        <v>29590</v>
      </c>
      <c r="K11292" t="s">
        <v>38487</v>
      </c>
      <c r="M11292" t="s">
        <v>42202</v>
      </c>
      <c r="N11292" t="s">
        <v>42669</v>
      </c>
      <c r="O11292" t="s">
        <v>42670</v>
      </c>
      <c r="P11292">
        <v>0</v>
      </c>
      <c r="Q11292">
        <v>0</v>
      </c>
      <c r="R11292" t="s">
        <v>42685</v>
      </c>
      <c r="S11292" t="s">
        <v>43317</v>
      </c>
      <c r="T11292" t="s">
        <v>44452</v>
      </c>
      <c r="U11292" t="s">
        <v>54022</v>
      </c>
      <c r="W11292" t="s">
        <v>42202</v>
      </c>
      <c r="X11292" t="s">
        <v>42686</v>
      </c>
    </row>
    <row r="11293" spans="1:24">
      <c r="A11293">
        <f>HYPERLINK("https://www.philgeps.gov.ph/GEPSNONPILOT/Tender/SplashBidNoticeAbstractUI.aspx?menuIndex=3&amp;refID=7166441&amp;Result=3","7166441")</f>
        <v>0</v>
      </c>
      <c r="B11293" t="s">
        <v>2297</v>
      </c>
      <c r="C11293" t="s">
        <v>14322</v>
      </c>
      <c r="D11293" t="s">
        <v>17181</v>
      </c>
      <c r="E11293" t="s">
        <v>26860</v>
      </c>
      <c r="F11293" t="s">
        <v>29372</v>
      </c>
      <c r="G11293" t="s">
        <v>29380</v>
      </c>
      <c r="H11293" t="s">
        <v>11048</v>
      </c>
      <c r="I11293" t="s">
        <v>3839</v>
      </c>
      <c r="J11293" t="s">
        <v>36671</v>
      </c>
      <c r="K11293" t="s">
        <v>38490</v>
      </c>
      <c r="M11293" t="s">
        <v>41224</v>
      </c>
      <c r="N11293" t="s">
        <v>42669</v>
      </c>
      <c r="O11293" t="s">
        <v>42670</v>
      </c>
      <c r="P11293">
        <v>0</v>
      </c>
      <c r="Q11293">
        <v>8</v>
      </c>
      <c r="R11293" t="s">
        <v>42685</v>
      </c>
      <c r="S11293" t="s">
        <v>43317</v>
      </c>
      <c r="T11293" t="s">
        <v>44466</v>
      </c>
      <c r="U11293" t="s">
        <v>54036</v>
      </c>
      <c r="V11293" t="s">
        <v>57630</v>
      </c>
      <c r="W11293" t="s">
        <v>41224</v>
      </c>
      <c r="X11293" t="s">
        <v>42686</v>
      </c>
    </row>
    <row r="11294" spans="1:24">
      <c r="A11294">
        <f>HYPERLINK("https://www.philgeps.gov.ph/GEPSNONPILOT/Tender/SplashBidNoticeAbstractUI.aspx?menuIndex=3&amp;refID=7166475&amp;Result=3","7166475")</f>
        <v>0</v>
      </c>
      <c r="B11294" t="s">
        <v>579</v>
      </c>
      <c r="C11294" t="s">
        <v>14323</v>
      </c>
      <c r="D11294" t="s">
        <v>17141</v>
      </c>
      <c r="E11294" t="s">
        <v>26861</v>
      </c>
      <c r="F11294" t="s">
        <v>29373</v>
      </c>
      <c r="G11294" t="s">
        <v>29380</v>
      </c>
      <c r="H11294" t="s">
        <v>11048</v>
      </c>
      <c r="I11294" t="s">
        <v>29407</v>
      </c>
      <c r="J11294" t="s">
        <v>36672</v>
      </c>
      <c r="K11294" t="s">
        <v>38485</v>
      </c>
      <c r="M11294" t="s">
        <v>39348</v>
      </c>
      <c r="N11294" t="s">
        <v>42669</v>
      </c>
      <c r="O11294" t="s">
        <v>42670</v>
      </c>
      <c r="P11294">
        <v>0</v>
      </c>
      <c r="Q11294">
        <v>1</v>
      </c>
      <c r="R11294" t="s">
        <v>42685</v>
      </c>
      <c r="S11294" t="s">
        <v>43317</v>
      </c>
      <c r="T11294" t="s">
        <v>44560</v>
      </c>
      <c r="U11294" t="s">
        <v>54037</v>
      </c>
      <c r="V11294" t="s">
        <v>56504</v>
      </c>
      <c r="W11294" t="s">
        <v>39348</v>
      </c>
      <c r="X11294" t="s">
        <v>42686</v>
      </c>
    </row>
    <row r="11295" spans="1:24">
      <c r="A11295">
        <f>HYPERLINK("https://www.philgeps.gov.ph/GEPSNONPILOT/Tender/SplashBidNoticeAbstractUI.aspx?menuIndex=3&amp;refID=7166412&amp;Result=3","7166412")</f>
        <v>0</v>
      </c>
      <c r="B11295" t="s">
        <v>2876</v>
      </c>
      <c r="C11295" t="s">
        <v>14324</v>
      </c>
      <c r="D11295" t="s">
        <v>17145</v>
      </c>
      <c r="E11295" t="s">
        <v>26808</v>
      </c>
      <c r="F11295" t="s">
        <v>29372</v>
      </c>
      <c r="G11295" t="s">
        <v>29380</v>
      </c>
      <c r="H11295" t="s">
        <v>29389</v>
      </c>
      <c r="I11295" t="s">
        <v>10408</v>
      </c>
      <c r="J11295" t="s">
        <v>36673</v>
      </c>
      <c r="K11295" t="s">
        <v>38495</v>
      </c>
      <c r="M11295" t="s">
        <v>41872</v>
      </c>
      <c r="N11295" t="s">
        <v>42669</v>
      </c>
      <c r="O11295" t="s">
        <v>42670</v>
      </c>
      <c r="P11295">
        <v>0</v>
      </c>
      <c r="Q11295">
        <v>30</v>
      </c>
      <c r="R11295" t="s">
        <v>42685</v>
      </c>
      <c r="S11295" t="s">
        <v>43317</v>
      </c>
      <c r="T11295" t="s">
        <v>44375</v>
      </c>
      <c r="U11295" t="s">
        <v>54038</v>
      </c>
      <c r="W11295" t="s">
        <v>41872</v>
      </c>
      <c r="X11295" t="s">
        <v>42686</v>
      </c>
    </row>
    <row r="11296" spans="1:24">
      <c r="A11296">
        <f>HYPERLINK("https://www.philgeps.gov.ph/GEPSNONPILOT/Tender/SplashBidNoticeAbstractUI.aspx?menuIndex=3&amp;refID=7166405&amp;Result=3","7166405")</f>
        <v>0</v>
      </c>
      <c r="B11296" t="s">
        <v>2012</v>
      </c>
      <c r="C11296" t="s">
        <v>14325</v>
      </c>
      <c r="D11296" t="s">
        <v>17197</v>
      </c>
      <c r="E11296" t="s">
        <v>26862</v>
      </c>
      <c r="F11296" t="s">
        <v>29372</v>
      </c>
      <c r="G11296" t="s">
        <v>29380</v>
      </c>
      <c r="H11296" t="s">
        <v>29389</v>
      </c>
      <c r="I11296" t="s">
        <v>10408</v>
      </c>
      <c r="J11296" t="s">
        <v>36674</v>
      </c>
      <c r="K11296" t="s">
        <v>38495</v>
      </c>
      <c r="M11296" t="s">
        <v>40903</v>
      </c>
      <c r="N11296" t="s">
        <v>42669</v>
      </c>
      <c r="O11296" t="s">
        <v>42670</v>
      </c>
      <c r="P11296">
        <v>0</v>
      </c>
      <c r="Q11296">
        <v>0</v>
      </c>
      <c r="R11296" t="s">
        <v>42685</v>
      </c>
      <c r="S11296" t="s">
        <v>43317</v>
      </c>
      <c r="T11296" t="s">
        <v>44412</v>
      </c>
      <c r="U11296" t="s">
        <v>53468</v>
      </c>
      <c r="W11296" t="s">
        <v>40903</v>
      </c>
      <c r="X11296" t="s">
        <v>42686</v>
      </c>
    </row>
    <row r="11297" spans="1:24">
      <c r="A11297">
        <f>HYPERLINK("https://www.philgeps.gov.ph/GEPSNONPILOT/Tender/SplashBidNoticeAbstractUI.aspx?menuIndex=3&amp;refID=7166169&amp;Result=3","7166169")</f>
        <v>0</v>
      </c>
      <c r="B11297" t="s">
        <v>3150</v>
      </c>
      <c r="C11297" t="s">
        <v>14326</v>
      </c>
      <c r="D11297" t="s">
        <v>17183</v>
      </c>
      <c r="E11297" t="s">
        <v>26863</v>
      </c>
      <c r="F11297" t="s">
        <v>29372</v>
      </c>
      <c r="G11297" t="s">
        <v>29380</v>
      </c>
      <c r="H11297" t="s">
        <v>29389</v>
      </c>
      <c r="I11297" t="s">
        <v>10408</v>
      </c>
      <c r="J11297" t="s">
        <v>30161</v>
      </c>
      <c r="K11297" t="s">
        <v>38522</v>
      </c>
      <c r="M11297" t="s">
        <v>42198</v>
      </c>
      <c r="N11297" t="s">
        <v>42669</v>
      </c>
      <c r="O11297" t="s">
        <v>42670</v>
      </c>
      <c r="P11297">
        <v>0</v>
      </c>
      <c r="Q11297">
        <v>3</v>
      </c>
      <c r="R11297" t="s">
        <v>42685</v>
      </c>
      <c r="S11297" t="s">
        <v>43317</v>
      </c>
      <c r="T11297" t="s">
        <v>44398</v>
      </c>
      <c r="U11297" t="s">
        <v>54039</v>
      </c>
      <c r="V11297" t="s">
        <v>57631</v>
      </c>
      <c r="W11297" t="s">
        <v>42198</v>
      </c>
      <c r="X11297" t="s">
        <v>42686</v>
      </c>
    </row>
    <row r="11298" spans="1:24">
      <c r="A11298">
        <f>HYPERLINK("https://www.philgeps.gov.ph/GEPSNONPILOT/Tender/SplashBidNoticeAbstractUI.aspx?menuIndex=3&amp;refID=7166167&amp;Result=3","7166167")</f>
        <v>0</v>
      </c>
      <c r="B11298" t="s">
        <v>1607</v>
      </c>
      <c r="C11298" t="s">
        <v>14327</v>
      </c>
      <c r="D11298" t="s">
        <v>17160</v>
      </c>
      <c r="E11298" t="s">
        <v>21124</v>
      </c>
      <c r="F11298" t="s">
        <v>29372</v>
      </c>
      <c r="G11298" t="s">
        <v>29380</v>
      </c>
      <c r="H11298" t="s">
        <v>11048</v>
      </c>
      <c r="I11298" t="s">
        <v>3670</v>
      </c>
      <c r="J11298" t="s">
        <v>36675</v>
      </c>
      <c r="K11298" t="s">
        <v>38485</v>
      </c>
      <c r="M11298" t="s">
        <v>40460</v>
      </c>
      <c r="N11298" t="s">
        <v>42669</v>
      </c>
      <c r="O11298" t="s">
        <v>42670</v>
      </c>
      <c r="Q11298">
        <v>1</v>
      </c>
      <c r="R11298" t="s">
        <v>42685</v>
      </c>
      <c r="S11298" t="s">
        <v>43356</v>
      </c>
      <c r="T11298" t="s">
        <v>44802</v>
      </c>
      <c r="U11298" t="s">
        <v>54040</v>
      </c>
      <c r="W11298" t="s">
        <v>40460</v>
      </c>
      <c r="X11298" t="s">
        <v>42686</v>
      </c>
    </row>
    <row r="11299" spans="1:24">
      <c r="A11299">
        <f>HYPERLINK("https://www.philgeps.gov.ph/GEPSNONPILOT/Tender/SplashBidNoticeAbstractUI.aspx?menuIndex=3&amp;refID=7166447&amp;Result=3","7166447")</f>
        <v>0</v>
      </c>
      <c r="B11299" t="s">
        <v>65</v>
      </c>
      <c r="C11299" t="s">
        <v>14328</v>
      </c>
      <c r="D11299" t="s">
        <v>17141</v>
      </c>
      <c r="E11299" t="s">
        <v>26864</v>
      </c>
      <c r="F11299" t="s">
        <v>29372</v>
      </c>
      <c r="G11299" t="s">
        <v>29380</v>
      </c>
      <c r="H11299" t="s">
        <v>11048</v>
      </c>
      <c r="I11299" t="s">
        <v>9469</v>
      </c>
      <c r="J11299" t="s">
        <v>29774</v>
      </c>
      <c r="K11299" t="s">
        <v>38488</v>
      </c>
      <c r="M11299" t="s">
        <v>41294</v>
      </c>
      <c r="N11299" t="s">
        <v>42669</v>
      </c>
      <c r="O11299" t="s">
        <v>42670</v>
      </c>
      <c r="Q11299">
        <v>3</v>
      </c>
      <c r="R11299" t="s">
        <v>42685</v>
      </c>
      <c r="S11299" t="s">
        <v>43357</v>
      </c>
      <c r="T11299" t="s">
        <v>44398</v>
      </c>
      <c r="U11299" t="s">
        <v>54041</v>
      </c>
      <c r="W11299" t="s">
        <v>41294</v>
      </c>
      <c r="X11299" t="s">
        <v>42686</v>
      </c>
    </row>
    <row r="11300" spans="1:24">
      <c r="A11300">
        <f>HYPERLINK("https://www.philgeps.gov.ph/GEPSNONPILOT/Tender/SplashBidNoticeAbstractUI.aspx?menuIndex=3&amp;refID=7166418&amp;Result=3","7166418")</f>
        <v>0</v>
      </c>
      <c r="B11300" t="s">
        <v>1355</v>
      </c>
      <c r="C11300" t="s">
        <v>14329</v>
      </c>
      <c r="D11300" t="s">
        <v>17160</v>
      </c>
      <c r="E11300" t="s">
        <v>26865</v>
      </c>
      <c r="F11300" t="s">
        <v>29372</v>
      </c>
      <c r="G11300" t="s">
        <v>29380</v>
      </c>
      <c r="H11300" t="s">
        <v>11048</v>
      </c>
      <c r="I11300" t="s">
        <v>3952</v>
      </c>
      <c r="J11300" t="s">
        <v>36676</v>
      </c>
      <c r="K11300" t="s">
        <v>38485</v>
      </c>
      <c r="M11300" t="s">
        <v>42197</v>
      </c>
      <c r="N11300" t="s">
        <v>42669</v>
      </c>
      <c r="O11300" t="s">
        <v>42670</v>
      </c>
      <c r="P11300">
        <v>0</v>
      </c>
      <c r="Q11300">
        <v>7</v>
      </c>
      <c r="R11300" t="s">
        <v>42685</v>
      </c>
      <c r="S11300" t="s">
        <v>43317</v>
      </c>
      <c r="T11300" t="s">
        <v>44426</v>
      </c>
      <c r="U11300" t="s">
        <v>54042</v>
      </c>
      <c r="V11300" t="s">
        <v>56467</v>
      </c>
      <c r="W11300" t="s">
        <v>42197</v>
      </c>
      <c r="X11300" t="s">
        <v>42686</v>
      </c>
    </row>
    <row r="11301" spans="1:24">
      <c r="A11301">
        <f>HYPERLINK("https://www.philgeps.gov.ph/GEPSNONPILOT/Tender/SplashBidNoticeAbstractUI.aspx?menuIndex=3&amp;refID=7166403&amp;Result=3","7166403")</f>
        <v>0</v>
      </c>
      <c r="B11301" t="s">
        <v>1426</v>
      </c>
      <c r="C11301" t="s">
        <v>14330</v>
      </c>
      <c r="D11301" t="s">
        <v>17189</v>
      </c>
      <c r="E11301" t="s">
        <v>26866</v>
      </c>
      <c r="F11301" t="s">
        <v>29372</v>
      </c>
      <c r="G11301" t="s">
        <v>29380</v>
      </c>
      <c r="H11301" t="s">
        <v>11048</v>
      </c>
      <c r="I11301" t="s">
        <v>9469</v>
      </c>
      <c r="J11301" t="s">
        <v>29937</v>
      </c>
      <c r="K11301" t="s">
        <v>38495</v>
      </c>
      <c r="M11301" t="s">
        <v>40266</v>
      </c>
      <c r="N11301" t="s">
        <v>42669</v>
      </c>
      <c r="O11301" t="s">
        <v>42670</v>
      </c>
      <c r="P11301">
        <v>0</v>
      </c>
      <c r="Q11301">
        <v>2</v>
      </c>
      <c r="R11301" t="s">
        <v>42685</v>
      </c>
      <c r="S11301" t="s">
        <v>43317</v>
      </c>
      <c r="T11301" t="s">
        <v>44419</v>
      </c>
      <c r="U11301" t="s">
        <v>54043</v>
      </c>
      <c r="V11301" t="s">
        <v>57461</v>
      </c>
      <c r="W11301" t="s">
        <v>40266</v>
      </c>
      <c r="X11301" t="s">
        <v>42686</v>
      </c>
    </row>
    <row r="11302" spans="1:24">
      <c r="A11302">
        <f>HYPERLINK("https://www.philgeps.gov.ph/GEPSNONPILOT/Tender/SplashBidNoticeAbstractUI.aspx?menuIndex=3&amp;refID=7165354&amp;Result=3","7165354")</f>
        <v>0</v>
      </c>
      <c r="B11302" t="s">
        <v>1676</v>
      </c>
      <c r="C11302" t="s">
        <v>14331</v>
      </c>
      <c r="D11302" t="s">
        <v>17155</v>
      </c>
      <c r="E11302" t="s">
        <v>26867</v>
      </c>
      <c r="F11302" t="s">
        <v>29372</v>
      </c>
      <c r="G11302" t="s">
        <v>29380</v>
      </c>
      <c r="H11302" t="s">
        <v>29389</v>
      </c>
      <c r="I11302" t="s">
        <v>10408</v>
      </c>
      <c r="J11302" t="s">
        <v>30244</v>
      </c>
      <c r="K11302" t="s">
        <v>38584</v>
      </c>
      <c r="M11302" t="s">
        <v>40536</v>
      </c>
      <c r="N11302" t="s">
        <v>42669</v>
      </c>
      <c r="O11302" t="s">
        <v>42670</v>
      </c>
      <c r="P11302">
        <v>0</v>
      </c>
      <c r="Q11302">
        <v>0</v>
      </c>
      <c r="R11302" t="s">
        <v>42685</v>
      </c>
      <c r="S11302" t="s">
        <v>43317</v>
      </c>
      <c r="T11302" t="s">
        <v>44375</v>
      </c>
      <c r="U11302" t="s">
        <v>54044</v>
      </c>
      <c r="W11302" t="s">
        <v>40536</v>
      </c>
      <c r="X11302" t="s">
        <v>42686</v>
      </c>
    </row>
    <row r="11303" spans="1:24">
      <c r="A11303">
        <f>HYPERLINK("https://www.philgeps.gov.ph/GEPSNONPILOT/Tender/SplashBidNoticeAbstractUI.aspx?menuIndex=3&amp;refID=7165369&amp;Result=3","7165369")</f>
        <v>0</v>
      </c>
      <c r="B11303" t="s">
        <v>2468</v>
      </c>
      <c r="C11303" t="s">
        <v>14332</v>
      </c>
      <c r="E11303" t="s">
        <v>26868</v>
      </c>
      <c r="F11303" t="s">
        <v>29372</v>
      </c>
      <c r="G11303" t="s">
        <v>29380</v>
      </c>
      <c r="H11303" t="s">
        <v>29389</v>
      </c>
      <c r="I11303" t="s">
        <v>10408</v>
      </c>
      <c r="J11303" t="s">
        <v>36677</v>
      </c>
      <c r="K11303" t="s">
        <v>38490</v>
      </c>
      <c r="M11303" t="s">
        <v>41417</v>
      </c>
      <c r="N11303" t="s">
        <v>42669</v>
      </c>
      <c r="O11303" t="s">
        <v>42670</v>
      </c>
      <c r="P11303">
        <v>0</v>
      </c>
      <c r="Q11303">
        <v>0</v>
      </c>
      <c r="R11303" t="s">
        <v>42685</v>
      </c>
      <c r="S11303" t="s">
        <v>43317</v>
      </c>
      <c r="T11303" t="s">
        <v>44554</v>
      </c>
      <c r="U11303" t="s">
        <v>54045</v>
      </c>
      <c r="V11303" t="s">
        <v>57632</v>
      </c>
      <c r="W11303" t="s">
        <v>41417</v>
      </c>
      <c r="X11303" t="s">
        <v>42686</v>
      </c>
    </row>
    <row r="11304" spans="1:24">
      <c r="A11304">
        <f>HYPERLINK("https://www.philgeps.gov.ph/GEPSNONPILOT/Tender/SplashBidNoticeAbstractUI.aspx?menuIndex=3&amp;refID=7165353&amp;Result=3","7165353")</f>
        <v>0</v>
      </c>
      <c r="B11304" t="s">
        <v>2468</v>
      </c>
      <c r="C11304" t="s">
        <v>14333</v>
      </c>
      <c r="E11304" t="s">
        <v>26869</v>
      </c>
      <c r="F11304" t="s">
        <v>29372</v>
      </c>
      <c r="G11304" t="s">
        <v>29380</v>
      </c>
      <c r="H11304" t="s">
        <v>29389</v>
      </c>
      <c r="I11304" t="s">
        <v>10408</v>
      </c>
      <c r="J11304" t="s">
        <v>36678</v>
      </c>
      <c r="K11304" t="s">
        <v>38490</v>
      </c>
      <c r="M11304" t="s">
        <v>41417</v>
      </c>
      <c r="N11304" t="s">
        <v>42669</v>
      </c>
      <c r="O11304" t="s">
        <v>42670</v>
      </c>
      <c r="P11304">
        <v>0</v>
      </c>
      <c r="Q11304">
        <v>2</v>
      </c>
      <c r="R11304" t="s">
        <v>42685</v>
      </c>
      <c r="S11304" t="s">
        <v>43317</v>
      </c>
      <c r="T11304" t="s">
        <v>44554</v>
      </c>
      <c r="U11304" t="s">
        <v>54046</v>
      </c>
      <c r="V11304" t="s">
        <v>57632</v>
      </c>
      <c r="W11304" t="s">
        <v>41417</v>
      </c>
      <c r="X11304" t="s">
        <v>42686</v>
      </c>
    </row>
    <row r="11305" spans="1:24">
      <c r="A11305">
        <f>HYPERLINK("https://www.philgeps.gov.ph/GEPSNONPILOT/Tender/SplashBidNoticeAbstractUI.aspx?menuIndex=3&amp;refID=7166159&amp;Result=3","7166159")</f>
        <v>0</v>
      </c>
      <c r="B11305" t="s">
        <v>1048</v>
      </c>
      <c r="C11305" t="s">
        <v>14334</v>
      </c>
      <c r="D11305" t="s">
        <v>17204</v>
      </c>
      <c r="E11305" t="s">
        <v>26870</v>
      </c>
      <c r="F11305" t="s">
        <v>29372</v>
      </c>
      <c r="G11305" t="s">
        <v>29380</v>
      </c>
      <c r="H11305" t="s">
        <v>29391</v>
      </c>
      <c r="I11305" t="s">
        <v>29391</v>
      </c>
      <c r="J11305" t="s">
        <v>29788</v>
      </c>
      <c r="K11305" t="s">
        <v>38533</v>
      </c>
      <c r="M11305" t="s">
        <v>42205</v>
      </c>
      <c r="N11305" t="s">
        <v>42669</v>
      </c>
      <c r="O11305" t="s">
        <v>42670</v>
      </c>
      <c r="Q11305">
        <v>7</v>
      </c>
      <c r="R11305" t="s">
        <v>42685</v>
      </c>
      <c r="S11305" t="s">
        <v>43358</v>
      </c>
      <c r="T11305" t="s">
        <v>44403</v>
      </c>
      <c r="U11305" t="s">
        <v>54047</v>
      </c>
      <c r="W11305" t="s">
        <v>58113</v>
      </c>
      <c r="X11305" t="s">
        <v>42686</v>
      </c>
    </row>
    <row r="11306" spans="1:24">
      <c r="A11306">
        <f>HYPERLINK("https://www.philgeps.gov.ph/GEPSNONPILOT/Tender/SplashBidNoticeAbstractUI.aspx?menuIndex=3&amp;refID=7165282&amp;Result=3","7165282")</f>
        <v>0</v>
      </c>
      <c r="B11306" t="s">
        <v>2721</v>
      </c>
      <c r="C11306" t="s">
        <v>14335</v>
      </c>
      <c r="D11306" t="s">
        <v>17150</v>
      </c>
      <c r="E11306" t="s">
        <v>26871</v>
      </c>
      <c r="F11306" t="s">
        <v>29372</v>
      </c>
      <c r="G11306" t="s">
        <v>29380</v>
      </c>
      <c r="H11306" t="s">
        <v>11048</v>
      </c>
      <c r="I11306" t="s">
        <v>5383</v>
      </c>
      <c r="J11306" t="s">
        <v>36679</v>
      </c>
      <c r="K11306" t="s">
        <v>38485</v>
      </c>
      <c r="M11306" t="s">
        <v>41702</v>
      </c>
      <c r="N11306" t="s">
        <v>42669</v>
      </c>
      <c r="O11306" t="s">
        <v>42670</v>
      </c>
      <c r="P11306">
        <v>0</v>
      </c>
      <c r="Q11306">
        <v>1</v>
      </c>
      <c r="R11306" t="s">
        <v>42685</v>
      </c>
      <c r="S11306" t="s">
        <v>43317</v>
      </c>
      <c r="T11306" t="s">
        <v>44427</v>
      </c>
      <c r="U11306" t="s">
        <v>46808</v>
      </c>
      <c r="V11306" t="s">
        <v>57364</v>
      </c>
      <c r="W11306" t="s">
        <v>41702</v>
      </c>
      <c r="X11306" t="s">
        <v>42686</v>
      </c>
    </row>
    <row r="11307" spans="1:24">
      <c r="A11307">
        <f>HYPERLINK("https://www.philgeps.gov.ph/GEPSNONPILOT/Tender/SplashBidNoticeAbstractUI.aspx?menuIndex=3&amp;refID=7165290&amp;Result=3","7165290")</f>
        <v>0</v>
      </c>
      <c r="B11307" t="s">
        <v>1676</v>
      </c>
      <c r="C11307" t="s">
        <v>14336</v>
      </c>
      <c r="D11307" t="s">
        <v>17155</v>
      </c>
      <c r="E11307" t="s">
        <v>26872</v>
      </c>
      <c r="F11307" t="s">
        <v>29372</v>
      </c>
      <c r="G11307" t="s">
        <v>29380</v>
      </c>
      <c r="H11307" t="s">
        <v>29389</v>
      </c>
      <c r="I11307" t="s">
        <v>10408</v>
      </c>
      <c r="J11307" t="s">
        <v>30244</v>
      </c>
      <c r="K11307" t="s">
        <v>38614</v>
      </c>
      <c r="M11307" t="s">
        <v>40536</v>
      </c>
      <c r="N11307" t="s">
        <v>42669</v>
      </c>
      <c r="O11307" t="s">
        <v>42670</v>
      </c>
      <c r="P11307">
        <v>0</v>
      </c>
      <c r="Q11307">
        <v>1</v>
      </c>
      <c r="R11307" t="s">
        <v>42685</v>
      </c>
      <c r="S11307" t="s">
        <v>43317</v>
      </c>
      <c r="T11307" t="s">
        <v>44375</v>
      </c>
      <c r="U11307" t="s">
        <v>54048</v>
      </c>
      <c r="W11307" t="s">
        <v>40536</v>
      </c>
      <c r="X11307" t="s">
        <v>42686</v>
      </c>
    </row>
    <row r="11308" spans="1:24">
      <c r="A11308">
        <f>HYPERLINK("https://www.philgeps.gov.ph/GEPSNONPILOT/Tender/SplashBidNoticeAbstractUI.aspx?menuIndex=3&amp;refID=7166688&amp;Result=3","7166688")</f>
        <v>0</v>
      </c>
      <c r="B11308" t="s">
        <v>3157</v>
      </c>
      <c r="C11308" t="s">
        <v>14337</v>
      </c>
      <c r="D11308" t="s">
        <v>17171</v>
      </c>
      <c r="E11308" t="s">
        <v>26873</v>
      </c>
      <c r="F11308" t="s">
        <v>29372</v>
      </c>
      <c r="G11308" t="s">
        <v>29380</v>
      </c>
      <c r="H11308" t="s">
        <v>11048</v>
      </c>
      <c r="I11308" t="s">
        <v>4487</v>
      </c>
      <c r="J11308" t="s">
        <v>30026</v>
      </c>
      <c r="K11308" t="s">
        <v>38534</v>
      </c>
      <c r="M11308" t="s">
        <v>42206</v>
      </c>
      <c r="N11308" t="s">
        <v>42669</v>
      </c>
      <c r="O11308" t="s">
        <v>42670</v>
      </c>
      <c r="P11308">
        <v>0</v>
      </c>
      <c r="Q11308">
        <v>2</v>
      </c>
      <c r="R11308" t="s">
        <v>42685</v>
      </c>
      <c r="S11308" t="s">
        <v>43317</v>
      </c>
      <c r="T11308" t="s">
        <v>44802</v>
      </c>
      <c r="U11308" t="s">
        <v>54049</v>
      </c>
      <c r="W11308" t="s">
        <v>42206</v>
      </c>
      <c r="X11308" t="s">
        <v>42686</v>
      </c>
    </row>
    <row r="11309" spans="1:24">
      <c r="A11309">
        <f>HYPERLINK("https://www.philgeps.gov.ph/GEPSNONPILOT/Tender/SplashBidNoticeAbstractUI.aspx?menuIndex=3&amp;refID=7166672&amp;Result=3","7166672")</f>
        <v>0</v>
      </c>
      <c r="B11309" t="s">
        <v>828</v>
      </c>
      <c r="C11309" t="s">
        <v>14338</v>
      </c>
      <c r="D11309" t="s">
        <v>17160</v>
      </c>
      <c r="E11309" t="s">
        <v>26874</v>
      </c>
      <c r="F11309" t="s">
        <v>29372</v>
      </c>
      <c r="G11309" t="s">
        <v>29380</v>
      </c>
      <c r="H11309" t="s">
        <v>29389</v>
      </c>
      <c r="I11309" t="s">
        <v>10408</v>
      </c>
      <c r="J11309" t="s">
        <v>30056</v>
      </c>
      <c r="K11309" t="s">
        <v>38485</v>
      </c>
      <c r="M11309" t="s">
        <v>39615</v>
      </c>
      <c r="N11309" t="s">
        <v>42669</v>
      </c>
      <c r="O11309" t="s">
        <v>42670</v>
      </c>
      <c r="P11309">
        <v>0</v>
      </c>
      <c r="Q11309">
        <v>2</v>
      </c>
      <c r="R11309" t="s">
        <v>42685</v>
      </c>
      <c r="S11309" t="s">
        <v>43317</v>
      </c>
      <c r="T11309" t="s">
        <v>44466</v>
      </c>
      <c r="U11309" t="s">
        <v>54050</v>
      </c>
      <c r="W11309" t="s">
        <v>39615</v>
      </c>
      <c r="X11309" t="s">
        <v>42686</v>
      </c>
    </row>
    <row r="11310" spans="1:24">
      <c r="A11310">
        <f>HYPERLINK("https://www.philgeps.gov.ph/GEPSNONPILOT/Tender/SplashBidNoticeAbstractUI.aspx?menuIndex=3&amp;refID=7165366&amp;Result=3","7165366")</f>
        <v>0</v>
      </c>
      <c r="B11310" t="s">
        <v>1429</v>
      </c>
      <c r="C11310" t="s">
        <v>14339</v>
      </c>
      <c r="E11310" t="s">
        <v>26875</v>
      </c>
      <c r="F11310" t="s">
        <v>29372</v>
      </c>
      <c r="G11310" t="s">
        <v>29380</v>
      </c>
      <c r="H11310" t="s">
        <v>29389</v>
      </c>
      <c r="I11310" t="s">
        <v>10408</v>
      </c>
      <c r="J11310" t="s">
        <v>36680</v>
      </c>
      <c r="K11310" t="s">
        <v>38571</v>
      </c>
      <c r="M11310" t="s">
        <v>41466</v>
      </c>
      <c r="N11310" t="s">
        <v>42669</v>
      </c>
      <c r="O11310" t="s">
        <v>42670</v>
      </c>
      <c r="P11310">
        <v>0</v>
      </c>
      <c r="Q11310">
        <v>1</v>
      </c>
      <c r="R11310" t="s">
        <v>42685</v>
      </c>
      <c r="S11310" t="s">
        <v>43317</v>
      </c>
      <c r="T11310" t="s">
        <v>44485</v>
      </c>
      <c r="U11310" t="s">
        <v>54051</v>
      </c>
      <c r="W11310" t="s">
        <v>41466</v>
      </c>
      <c r="X11310" t="s">
        <v>42686</v>
      </c>
    </row>
    <row r="11311" spans="1:24">
      <c r="A11311">
        <f>HYPERLINK("https://www.philgeps.gov.ph/GEPSNONPILOT/Tender/SplashBidNoticeAbstractUI.aspx?menuIndex=3&amp;refID=7166668&amp;Result=3","7166668")</f>
        <v>0</v>
      </c>
      <c r="B11311" t="s">
        <v>3158</v>
      </c>
      <c r="C11311" t="s">
        <v>14340</v>
      </c>
      <c r="D11311" t="s">
        <v>17211</v>
      </c>
      <c r="E11311" t="s">
        <v>26876</v>
      </c>
      <c r="F11311" t="s">
        <v>29372</v>
      </c>
      <c r="G11311" t="s">
        <v>29380</v>
      </c>
      <c r="H11311" t="s">
        <v>29389</v>
      </c>
      <c r="I11311" t="s">
        <v>10408</v>
      </c>
      <c r="J11311" t="s">
        <v>36681</v>
      </c>
      <c r="K11311" t="s">
        <v>38518</v>
      </c>
      <c r="M11311" t="s">
        <v>42207</v>
      </c>
      <c r="N11311" t="s">
        <v>42669</v>
      </c>
      <c r="O11311" t="s">
        <v>42670</v>
      </c>
      <c r="P11311">
        <v>0</v>
      </c>
      <c r="Q11311">
        <v>1</v>
      </c>
      <c r="R11311" t="s">
        <v>42685</v>
      </c>
      <c r="S11311" t="s">
        <v>43317</v>
      </c>
      <c r="T11311" t="s">
        <v>44485</v>
      </c>
      <c r="U11311" t="s">
        <v>54052</v>
      </c>
      <c r="V11311" t="s">
        <v>57619</v>
      </c>
      <c r="W11311" t="s">
        <v>42207</v>
      </c>
      <c r="X11311" t="s">
        <v>42686</v>
      </c>
    </row>
    <row r="11312" spans="1:24">
      <c r="A11312">
        <f>HYPERLINK("https://www.philgeps.gov.ph/GEPSNONPILOT/Tender/SplashBidNoticeAbstractUI.aspx?menuIndex=3&amp;refID=7166533&amp;Result=3","7166533")</f>
        <v>0</v>
      </c>
      <c r="B11312" t="s">
        <v>2410</v>
      </c>
      <c r="C11312" t="s">
        <v>14341</v>
      </c>
      <c r="D11312" t="s">
        <v>17189</v>
      </c>
      <c r="E11312" t="s">
        <v>20054</v>
      </c>
      <c r="F11312" t="s">
        <v>29372</v>
      </c>
      <c r="G11312" t="s">
        <v>29380</v>
      </c>
      <c r="H11312" t="s">
        <v>11048</v>
      </c>
      <c r="I11312" t="s">
        <v>14920</v>
      </c>
      <c r="J11312" t="s">
        <v>36682</v>
      </c>
      <c r="K11312" t="s">
        <v>38510</v>
      </c>
      <c r="M11312" t="s">
        <v>41356</v>
      </c>
      <c r="N11312" t="s">
        <v>42669</v>
      </c>
      <c r="O11312" t="s">
        <v>42670</v>
      </c>
      <c r="P11312">
        <v>0</v>
      </c>
      <c r="Q11312">
        <v>2</v>
      </c>
      <c r="R11312" t="s">
        <v>42685</v>
      </c>
      <c r="S11312" t="s">
        <v>43317</v>
      </c>
      <c r="T11312" t="s">
        <v>44444</v>
      </c>
      <c r="U11312" t="s">
        <v>54053</v>
      </c>
      <c r="W11312" t="s">
        <v>41356</v>
      </c>
      <c r="X11312" t="s">
        <v>42686</v>
      </c>
    </row>
    <row r="11313" spans="1:24">
      <c r="A11313">
        <f>HYPERLINK("https://www.philgeps.gov.ph/GEPSNONPILOT/Tender/SplashBidNoticeAbstractUI.aspx?menuIndex=3&amp;refID=7165284&amp;Result=3","7165284")</f>
        <v>0</v>
      </c>
      <c r="B11313" t="s">
        <v>1404</v>
      </c>
      <c r="C11313" t="s">
        <v>14342</v>
      </c>
      <c r="D11313" t="s">
        <v>17189</v>
      </c>
      <c r="E11313" t="s">
        <v>17747</v>
      </c>
      <c r="F11313" t="s">
        <v>29372</v>
      </c>
      <c r="G11313" t="s">
        <v>29380</v>
      </c>
      <c r="H11313" t="s">
        <v>29389</v>
      </c>
      <c r="I11313" t="s">
        <v>10408</v>
      </c>
      <c r="J11313" t="s">
        <v>36683</v>
      </c>
      <c r="K11313" t="s">
        <v>38602</v>
      </c>
      <c r="M11313" t="s">
        <v>40243</v>
      </c>
      <c r="N11313" t="s">
        <v>42669</v>
      </c>
      <c r="O11313" t="s">
        <v>42670</v>
      </c>
      <c r="P11313">
        <v>0</v>
      </c>
      <c r="Q11313">
        <v>0</v>
      </c>
      <c r="R11313" t="s">
        <v>42685</v>
      </c>
      <c r="S11313" t="s">
        <v>43317</v>
      </c>
      <c r="T11313" t="s">
        <v>44391</v>
      </c>
      <c r="U11313" t="s">
        <v>54054</v>
      </c>
      <c r="W11313" t="s">
        <v>40243</v>
      </c>
      <c r="X11313" t="s">
        <v>42686</v>
      </c>
    </row>
    <row r="11314" spans="1:24">
      <c r="A11314">
        <f>HYPERLINK("https://www.philgeps.gov.ph/GEPSNONPILOT/Tender/SplashBidNoticeAbstractUI.aspx?menuIndex=3&amp;refID=7166662&amp;Result=3","7166662")</f>
        <v>0</v>
      </c>
      <c r="B11314" t="s">
        <v>140</v>
      </c>
      <c r="C11314" t="s">
        <v>14343</v>
      </c>
      <c r="D11314" t="s">
        <v>17170</v>
      </c>
      <c r="E11314" t="s">
        <v>26877</v>
      </c>
      <c r="F11314" t="s">
        <v>29372</v>
      </c>
      <c r="G11314" t="s">
        <v>29380</v>
      </c>
      <c r="H11314" t="s">
        <v>11048</v>
      </c>
      <c r="I11314" t="s">
        <v>29470</v>
      </c>
      <c r="J11314" t="s">
        <v>30244</v>
      </c>
      <c r="K11314" t="s">
        <v>38486</v>
      </c>
      <c r="M11314" t="s">
        <v>38895</v>
      </c>
      <c r="N11314" t="s">
        <v>42669</v>
      </c>
      <c r="O11314" t="s">
        <v>42670</v>
      </c>
      <c r="P11314">
        <v>0</v>
      </c>
      <c r="Q11314">
        <v>2</v>
      </c>
      <c r="R11314" t="s">
        <v>42685</v>
      </c>
      <c r="S11314" t="s">
        <v>43317</v>
      </c>
      <c r="T11314" t="s">
        <v>44366</v>
      </c>
      <c r="U11314" t="s">
        <v>54055</v>
      </c>
      <c r="W11314" t="s">
        <v>38895</v>
      </c>
      <c r="X11314" t="s">
        <v>42686</v>
      </c>
    </row>
    <row r="11315" spans="1:24">
      <c r="A11315">
        <f>HYPERLINK("https://www.philgeps.gov.ph/GEPSNONPILOT/Tender/SplashBidNoticeAbstractUI.aspx?menuIndex=3&amp;refID=7166685&amp;Result=3","7166685")</f>
        <v>0</v>
      </c>
      <c r="B11315" t="s">
        <v>660</v>
      </c>
      <c r="C11315" t="s">
        <v>14344</v>
      </c>
      <c r="D11315" t="s">
        <v>17199</v>
      </c>
      <c r="E11315" t="s">
        <v>14344</v>
      </c>
      <c r="F11315" t="s">
        <v>29372</v>
      </c>
      <c r="G11315" t="s">
        <v>29380</v>
      </c>
      <c r="H11315" t="s">
        <v>29389</v>
      </c>
      <c r="I11315" t="s">
        <v>29450</v>
      </c>
      <c r="J11315" t="s">
        <v>36684</v>
      </c>
      <c r="K11315" t="s">
        <v>38490</v>
      </c>
      <c r="M11315" t="s">
        <v>41459</v>
      </c>
      <c r="N11315" t="s">
        <v>42669</v>
      </c>
      <c r="O11315" t="s">
        <v>42670</v>
      </c>
      <c r="P11315">
        <v>0</v>
      </c>
      <c r="Q11315">
        <v>1</v>
      </c>
      <c r="R11315" t="s">
        <v>42685</v>
      </c>
      <c r="S11315" t="s">
        <v>43317</v>
      </c>
      <c r="T11315" t="s">
        <v>44397</v>
      </c>
      <c r="U11315" t="s">
        <v>54056</v>
      </c>
      <c r="W11315" t="s">
        <v>41459</v>
      </c>
      <c r="X11315" t="s">
        <v>42686</v>
      </c>
    </row>
    <row r="11316" spans="1:24">
      <c r="A11316">
        <f>HYPERLINK("https://www.philgeps.gov.ph/GEPSNONPILOT/Tender/SplashBidNoticeAbstractUI.aspx?menuIndex=3&amp;refID=7166630&amp;Result=3","7166630")</f>
        <v>0</v>
      </c>
      <c r="B11316" t="s">
        <v>3159</v>
      </c>
      <c r="C11316" t="s">
        <v>14345</v>
      </c>
      <c r="D11316" t="s">
        <v>17168</v>
      </c>
      <c r="E11316" t="s">
        <v>26878</v>
      </c>
      <c r="F11316" t="s">
        <v>29372</v>
      </c>
      <c r="G11316" t="s">
        <v>29380</v>
      </c>
      <c r="H11316" t="s">
        <v>29389</v>
      </c>
      <c r="I11316" t="s">
        <v>10408</v>
      </c>
      <c r="J11316" t="s">
        <v>29590</v>
      </c>
      <c r="K11316" t="s">
        <v>38485</v>
      </c>
      <c r="M11316" t="s">
        <v>42208</v>
      </c>
      <c r="N11316" t="s">
        <v>42669</v>
      </c>
      <c r="O11316" t="s">
        <v>42670</v>
      </c>
      <c r="P11316">
        <v>0</v>
      </c>
      <c r="Q11316">
        <v>0</v>
      </c>
      <c r="R11316" t="s">
        <v>42685</v>
      </c>
      <c r="S11316" t="s">
        <v>43317</v>
      </c>
      <c r="T11316" t="s">
        <v>44468</v>
      </c>
      <c r="U11316" t="s">
        <v>54057</v>
      </c>
      <c r="W11316" t="s">
        <v>42208</v>
      </c>
      <c r="X11316" t="s">
        <v>42686</v>
      </c>
    </row>
    <row r="11317" spans="1:24">
      <c r="A11317">
        <f>HYPERLINK("https://www.philgeps.gov.ph/GEPSNONPILOT/Tender/SplashBidNoticeAbstractUI.aspx?menuIndex=3&amp;refID=7166675&amp;Result=3","7166675")</f>
        <v>0</v>
      </c>
      <c r="B11317" t="s">
        <v>1466</v>
      </c>
      <c r="C11317" t="s">
        <v>14346</v>
      </c>
      <c r="E11317" t="s">
        <v>26879</v>
      </c>
      <c r="F11317" t="s">
        <v>29372</v>
      </c>
      <c r="G11317" t="s">
        <v>29380</v>
      </c>
      <c r="H11317" t="s">
        <v>11048</v>
      </c>
      <c r="I11317" t="s">
        <v>10408</v>
      </c>
      <c r="J11317" t="s">
        <v>36685</v>
      </c>
      <c r="K11317" t="s">
        <v>38490</v>
      </c>
      <c r="M11317" t="s">
        <v>41524</v>
      </c>
      <c r="N11317" t="s">
        <v>42669</v>
      </c>
      <c r="O11317" t="s">
        <v>42670</v>
      </c>
      <c r="P11317">
        <v>0</v>
      </c>
      <c r="Q11317">
        <v>3</v>
      </c>
      <c r="R11317" t="s">
        <v>42685</v>
      </c>
      <c r="S11317" t="s">
        <v>43317</v>
      </c>
      <c r="T11317" t="s">
        <v>44375</v>
      </c>
      <c r="U11317" t="s">
        <v>54058</v>
      </c>
      <c r="W11317" t="s">
        <v>41524</v>
      </c>
      <c r="X11317" t="s">
        <v>42686</v>
      </c>
    </row>
    <row r="11318" spans="1:24">
      <c r="A11318">
        <f>HYPERLINK("https://www.philgeps.gov.ph/GEPSNONPILOT/Tender/SplashBidNoticeAbstractUI.aspx?menuIndex=3&amp;refID=7166629&amp;Result=3","7166629")</f>
        <v>0</v>
      </c>
      <c r="B11318" t="s">
        <v>669</v>
      </c>
      <c r="C11318" t="s">
        <v>14347</v>
      </c>
      <c r="D11318" t="s">
        <v>17147</v>
      </c>
      <c r="E11318" t="s">
        <v>26880</v>
      </c>
      <c r="F11318" t="s">
        <v>29372</v>
      </c>
      <c r="G11318" t="s">
        <v>29380</v>
      </c>
      <c r="H11318" t="s">
        <v>11048</v>
      </c>
      <c r="I11318" t="s">
        <v>3695</v>
      </c>
      <c r="J11318" t="s">
        <v>36686</v>
      </c>
      <c r="K11318" t="s">
        <v>38488</v>
      </c>
      <c r="M11318" t="s">
        <v>42069</v>
      </c>
      <c r="N11318" t="s">
        <v>42669</v>
      </c>
      <c r="O11318" t="s">
        <v>42670</v>
      </c>
      <c r="P11318">
        <v>0</v>
      </c>
      <c r="Q11318">
        <v>7</v>
      </c>
      <c r="R11318" t="s">
        <v>42685</v>
      </c>
      <c r="S11318" t="s">
        <v>43317</v>
      </c>
      <c r="T11318" t="s">
        <v>44411</v>
      </c>
      <c r="U11318" t="s">
        <v>54059</v>
      </c>
      <c r="V11318" t="s">
        <v>56460</v>
      </c>
      <c r="W11318" t="s">
        <v>42069</v>
      </c>
      <c r="X11318" t="s">
        <v>42686</v>
      </c>
    </row>
    <row r="11319" spans="1:24">
      <c r="A11319">
        <f>HYPERLINK("https://www.philgeps.gov.ph/GEPSNONPILOT/Tender/SplashBidNoticeAbstractUI.aspx?menuIndex=3&amp;refID=7166594&amp;Result=3","7166594")</f>
        <v>0</v>
      </c>
      <c r="B11319" t="s">
        <v>828</v>
      </c>
      <c r="C11319" t="s">
        <v>14348</v>
      </c>
      <c r="D11319" t="s">
        <v>17160</v>
      </c>
      <c r="E11319" t="s">
        <v>26881</v>
      </c>
      <c r="F11319" t="s">
        <v>29372</v>
      </c>
      <c r="G11319" t="s">
        <v>29380</v>
      </c>
      <c r="H11319" t="s">
        <v>29389</v>
      </c>
      <c r="I11319" t="s">
        <v>10408</v>
      </c>
      <c r="J11319" t="s">
        <v>29587</v>
      </c>
      <c r="K11319" t="s">
        <v>38485</v>
      </c>
      <c r="M11319" t="s">
        <v>39615</v>
      </c>
      <c r="N11319" t="s">
        <v>42669</v>
      </c>
      <c r="O11319" t="s">
        <v>42670</v>
      </c>
      <c r="P11319">
        <v>0</v>
      </c>
      <c r="Q11319">
        <v>1</v>
      </c>
      <c r="R11319" t="s">
        <v>42685</v>
      </c>
      <c r="S11319" t="s">
        <v>43317</v>
      </c>
      <c r="T11319" t="s">
        <v>44466</v>
      </c>
      <c r="U11319" t="s">
        <v>54060</v>
      </c>
      <c r="W11319" t="s">
        <v>39615</v>
      </c>
      <c r="X11319" t="s">
        <v>42686</v>
      </c>
    </row>
    <row r="11320" spans="1:24">
      <c r="A11320">
        <f>HYPERLINK("https://www.philgeps.gov.ph/GEPSNONPILOT/Tender/SplashBidNoticeAbstractUI.aspx?menuIndex=3&amp;refID=7166665&amp;Result=3","7166665")</f>
        <v>0</v>
      </c>
      <c r="B11320" t="s">
        <v>579</v>
      </c>
      <c r="C11320" t="s">
        <v>14349</v>
      </c>
      <c r="D11320" t="s">
        <v>17141</v>
      </c>
      <c r="E11320" t="s">
        <v>26882</v>
      </c>
      <c r="F11320" t="s">
        <v>29373</v>
      </c>
      <c r="G11320" t="s">
        <v>29380</v>
      </c>
      <c r="H11320" t="s">
        <v>11048</v>
      </c>
      <c r="I11320" t="s">
        <v>29407</v>
      </c>
      <c r="J11320" t="s">
        <v>36687</v>
      </c>
      <c r="K11320" t="s">
        <v>38485</v>
      </c>
      <c r="M11320" t="s">
        <v>39348</v>
      </c>
      <c r="N11320" t="s">
        <v>42669</v>
      </c>
      <c r="O11320" t="s">
        <v>42670</v>
      </c>
      <c r="P11320">
        <v>0</v>
      </c>
      <c r="Q11320">
        <v>1</v>
      </c>
      <c r="R11320" t="s">
        <v>42685</v>
      </c>
      <c r="S11320" t="s">
        <v>43317</v>
      </c>
      <c r="T11320" t="s">
        <v>44481</v>
      </c>
      <c r="U11320" t="s">
        <v>54061</v>
      </c>
      <c r="V11320" t="s">
        <v>56504</v>
      </c>
      <c r="W11320" t="s">
        <v>39348</v>
      </c>
      <c r="X11320" t="s">
        <v>42686</v>
      </c>
    </row>
    <row r="11321" spans="1:24">
      <c r="A11321">
        <f>HYPERLINK("https://www.philgeps.gov.ph/GEPSNONPILOT/Tender/SplashBidNoticeAbstractUI.aspx?menuIndex=3&amp;refID=7166658&amp;Result=3","7166658")</f>
        <v>0</v>
      </c>
      <c r="B11321" t="s">
        <v>3154</v>
      </c>
      <c r="C11321" t="s">
        <v>14350</v>
      </c>
      <c r="D11321" t="s">
        <v>17145</v>
      </c>
      <c r="E11321" t="s">
        <v>26883</v>
      </c>
      <c r="F11321" t="s">
        <v>29372</v>
      </c>
      <c r="G11321" t="s">
        <v>29380</v>
      </c>
      <c r="H11321" t="s">
        <v>29389</v>
      </c>
      <c r="I11321" t="s">
        <v>10408</v>
      </c>
      <c r="J11321" t="s">
        <v>29590</v>
      </c>
      <c r="K11321" t="s">
        <v>38487</v>
      </c>
      <c r="M11321" t="s">
        <v>42202</v>
      </c>
      <c r="N11321" t="s">
        <v>42669</v>
      </c>
      <c r="O11321" t="s">
        <v>42670</v>
      </c>
      <c r="P11321">
        <v>0</v>
      </c>
      <c r="Q11321">
        <v>0</v>
      </c>
      <c r="R11321" t="s">
        <v>42685</v>
      </c>
      <c r="S11321" t="s">
        <v>43317</v>
      </c>
      <c r="T11321" t="s">
        <v>44544</v>
      </c>
      <c r="U11321" t="s">
        <v>54022</v>
      </c>
      <c r="W11321" t="s">
        <v>42202</v>
      </c>
      <c r="X11321" t="s">
        <v>42686</v>
      </c>
    </row>
    <row r="11322" spans="1:24">
      <c r="A11322">
        <f>HYPERLINK("https://www.philgeps.gov.ph/GEPSNONPILOT/Tender/SplashBidNoticeAbstractUI.aspx?menuIndex=3&amp;refID=7166559&amp;Result=3","7166559")</f>
        <v>0</v>
      </c>
      <c r="B11322" t="s">
        <v>2410</v>
      </c>
      <c r="C11322" t="s">
        <v>14351</v>
      </c>
      <c r="D11322" t="s">
        <v>17189</v>
      </c>
      <c r="E11322" t="s">
        <v>20054</v>
      </c>
      <c r="F11322" t="s">
        <v>29372</v>
      </c>
      <c r="G11322" t="s">
        <v>29379</v>
      </c>
      <c r="H11322" t="s">
        <v>11048</v>
      </c>
      <c r="I11322" t="s">
        <v>29464</v>
      </c>
      <c r="J11322" t="s">
        <v>36688</v>
      </c>
      <c r="K11322" t="s">
        <v>38510</v>
      </c>
      <c r="M11322" t="s">
        <v>41356</v>
      </c>
      <c r="N11322" t="s">
        <v>42669</v>
      </c>
      <c r="O11322" t="s">
        <v>42670</v>
      </c>
      <c r="Q11322">
        <v>9</v>
      </c>
      <c r="R11322" t="s">
        <v>42685</v>
      </c>
      <c r="S11322" t="s">
        <v>43359</v>
      </c>
      <c r="T11322" t="s">
        <v>44444</v>
      </c>
      <c r="U11322" t="s">
        <v>54062</v>
      </c>
      <c r="W11322" t="s">
        <v>41356</v>
      </c>
      <c r="X11322" t="s">
        <v>42686</v>
      </c>
    </row>
    <row r="11323" spans="1:24">
      <c r="A11323">
        <f>HYPERLINK("https://www.philgeps.gov.ph/GEPSNONPILOT/Tender/SplashBidNoticeAbstractUI.aspx?menuIndex=3&amp;refID=7166553&amp;Result=3","7166553")</f>
        <v>0</v>
      </c>
      <c r="B11323" t="s">
        <v>2656</v>
      </c>
      <c r="C11323" t="s">
        <v>14352</v>
      </c>
      <c r="D11323" t="s">
        <v>17147</v>
      </c>
      <c r="E11323" t="s">
        <v>24748</v>
      </c>
      <c r="F11323" t="s">
        <v>29372</v>
      </c>
      <c r="G11323" t="s">
        <v>29380</v>
      </c>
      <c r="H11323" t="s">
        <v>11048</v>
      </c>
      <c r="I11323" t="s">
        <v>3670</v>
      </c>
      <c r="J11323" t="s">
        <v>30232</v>
      </c>
      <c r="K11323" t="s">
        <v>38488</v>
      </c>
      <c r="M11323" t="s">
        <v>41632</v>
      </c>
      <c r="N11323" t="s">
        <v>42669</v>
      </c>
      <c r="O11323" t="s">
        <v>42670</v>
      </c>
      <c r="P11323">
        <v>0</v>
      </c>
      <c r="Q11323">
        <v>2</v>
      </c>
      <c r="R11323" t="s">
        <v>42685</v>
      </c>
      <c r="S11323" t="s">
        <v>43317</v>
      </c>
      <c r="T11323" t="s">
        <v>44409</v>
      </c>
      <c r="U11323" t="s">
        <v>54063</v>
      </c>
      <c r="W11323" t="s">
        <v>41632</v>
      </c>
      <c r="X11323" t="s">
        <v>42686</v>
      </c>
    </row>
    <row r="11324" spans="1:24">
      <c r="A11324">
        <f>HYPERLINK("https://www.philgeps.gov.ph/GEPSNONPILOT/Tender/SplashBidNoticeAbstractUI.aspx?menuIndex=3&amp;refID=7166545&amp;Result=3","7166545")</f>
        <v>0</v>
      </c>
      <c r="B11324" t="s">
        <v>1912</v>
      </c>
      <c r="C11324" t="s">
        <v>14353</v>
      </c>
      <c r="D11324" t="s">
        <v>17194</v>
      </c>
      <c r="E11324" t="s">
        <v>26884</v>
      </c>
      <c r="F11324" t="s">
        <v>29372</v>
      </c>
      <c r="G11324" t="s">
        <v>29380</v>
      </c>
      <c r="H11324" t="s">
        <v>11048</v>
      </c>
      <c r="I11324" t="s">
        <v>3860</v>
      </c>
      <c r="J11324" t="s">
        <v>36689</v>
      </c>
      <c r="K11324" t="s">
        <v>38488</v>
      </c>
      <c r="M11324" t="s">
        <v>40787</v>
      </c>
      <c r="N11324" t="s">
        <v>42669</v>
      </c>
      <c r="O11324" t="s">
        <v>42670</v>
      </c>
      <c r="P11324">
        <v>0</v>
      </c>
      <c r="Q11324">
        <v>1</v>
      </c>
      <c r="R11324" t="s">
        <v>42685</v>
      </c>
      <c r="S11324" t="s">
        <v>43317</v>
      </c>
      <c r="T11324" t="s">
        <v>44412</v>
      </c>
      <c r="U11324" t="s">
        <v>54064</v>
      </c>
      <c r="W11324" t="s">
        <v>40787</v>
      </c>
      <c r="X11324" t="s">
        <v>42686</v>
      </c>
    </row>
    <row r="11325" spans="1:24">
      <c r="A11325">
        <f>HYPERLINK("https://www.philgeps.gov.ph/GEPSNONPILOT/Tender/SplashBidNoticeAbstractUI.aspx?menuIndex=3&amp;refID=7166557&amp;Result=3","7166557")</f>
        <v>0</v>
      </c>
      <c r="B11325" t="s">
        <v>955</v>
      </c>
      <c r="C11325" t="s">
        <v>14354</v>
      </c>
      <c r="E11325" t="s">
        <v>26885</v>
      </c>
      <c r="F11325" t="s">
        <v>29372</v>
      </c>
      <c r="G11325" t="s">
        <v>29380</v>
      </c>
      <c r="H11325" t="s">
        <v>29389</v>
      </c>
      <c r="I11325" t="s">
        <v>10408</v>
      </c>
      <c r="J11325" t="s">
        <v>36690</v>
      </c>
      <c r="K11325" t="s">
        <v>38490</v>
      </c>
      <c r="M11325" t="s">
        <v>39751</v>
      </c>
      <c r="N11325" t="s">
        <v>42669</v>
      </c>
      <c r="O11325" t="s">
        <v>42670</v>
      </c>
      <c r="P11325">
        <v>0</v>
      </c>
      <c r="Q11325">
        <v>2</v>
      </c>
      <c r="R11325" t="s">
        <v>42685</v>
      </c>
      <c r="S11325" t="s">
        <v>43317</v>
      </c>
      <c r="T11325" t="s">
        <v>44510</v>
      </c>
      <c r="U11325" t="s">
        <v>54065</v>
      </c>
      <c r="W11325" t="s">
        <v>39751</v>
      </c>
      <c r="X11325" t="s">
        <v>42686</v>
      </c>
    </row>
    <row r="11326" spans="1:24">
      <c r="A11326">
        <f>HYPERLINK("https://www.philgeps.gov.ph/GEPSNONPILOT/Tender/SplashBidNoticeAbstractUI.aspx?menuIndex=3&amp;refID=7165255&amp;Result=3","7165255")</f>
        <v>0</v>
      </c>
      <c r="B11326" t="s">
        <v>1676</v>
      </c>
      <c r="C11326" t="s">
        <v>14355</v>
      </c>
      <c r="D11326" t="s">
        <v>17155</v>
      </c>
      <c r="E11326" t="s">
        <v>26886</v>
      </c>
      <c r="F11326" t="s">
        <v>29372</v>
      </c>
      <c r="G11326" t="s">
        <v>29380</v>
      </c>
      <c r="H11326" t="s">
        <v>29389</v>
      </c>
      <c r="I11326" t="s">
        <v>10408</v>
      </c>
      <c r="J11326" t="s">
        <v>29724</v>
      </c>
      <c r="K11326" t="s">
        <v>38500</v>
      </c>
      <c r="M11326" t="s">
        <v>40536</v>
      </c>
      <c r="N11326" t="s">
        <v>42669</v>
      </c>
      <c r="O11326" t="s">
        <v>42670</v>
      </c>
      <c r="P11326">
        <v>0</v>
      </c>
      <c r="Q11326">
        <v>3</v>
      </c>
      <c r="R11326" t="s">
        <v>42685</v>
      </c>
      <c r="S11326" t="s">
        <v>43317</v>
      </c>
      <c r="T11326" t="s">
        <v>44375</v>
      </c>
      <c r="U11326" t="s">
        <v>54066</v>
      </c>
      <c r="W11326" t="s">
        <v>40536</v>
      </c>
      <c r="X11326" t="s">
        <v>42686</v>
      </c>
    </row>
    <row r="11327" spans="1:24">
      <c r="A11327">
        <f>HYPERLINK("https://www.philgeps.gov.ph/GEPSNONPILOT/Tender/SplashBidNoticeAbstractUI.aspx?menuIndex=3&amp;refID=7166592&amp;Result=3","7166592")</f>
        <v>0</v>
      </c>
      <c r="B11327" t="s">
        <v>133</v>
      </c>
      <c r="C11327" t="s">
        <v>14356</v>
      </c>
      <c r="D11327" t="s">
        <v>17186</v>
      </c>
      <c r="E11327" t="s">
        <v>26887</v>
      </c>
      <c r="F11327" t="s">
        <v>29372</v>
      </c>
      <c r="G11327" t="s">
        <v>29380</v>
      </c>
      <c r="H11327" t="s">
        <v>29389</v>
      </c>
      <c r="I11327" t="s">
        <v>10408</v>
      </c>
      <c r="J11327" t="s">
        <v>36691</v>
      </c>
      <c r="K11327" t="s">
        <v>38496</v>
      </c>
      <c r="M11327" t="s">
        <v>38888</v>
      </c>
      <c r="N11327" t="s">
        <v>42669</v>
      </c>
      <c r="O11327" t="s">
        <v>42670</v>
      </c>
      <c r="P11327">
        <v>0</v>
      </c>
      <c r="Q11327">
        <v>1</v>
      </c>
      <c r="R11327" t="s">
        <v>42685</v>
      </c>
      <c r="S11327" t="s">
        <v>43317</v>
      </c>
      <c r="T11327" t="s">
        <v>44412</v>
      </c>
      <c r="U11327" t="s">
        <v>54067</v>
      </c>
      <c r="W11327" t="s">
        <v>38888</v>
      </c>
      <c r="X11327" t="s">
        <v>42686</v>
      </c>
    </row>
    <row r="11328" spans="1:24">
      <c r="A11328">
        <f>HYPERLINK("https://www.philgeps.gov.ph/GEPSNONPILOT/Tender/SplashBidNoticeAbstractUI.aspx?menuIndex=3&amp;refID=7166577&amp;Result=3","7166577")</f>
        <v>0</v>
      </c>
      <c r="B11328" t="s">
        <v>2876</v>
      </c>
      <c r="C11328" t="s">
        <v>14357</v>
      </c>
      <c r="D11328" t="s">
        <v>17145</v>
      </c>
      <c r="E11328" t="s">
        <v>26808</v>
      </c>
      <c r="F11328" t="s">
        <v>29372</v>
      </c>
      <c r="G11328" t="s">
        <v>29380</v>
      </c>
      <c r="H11328" t="s">
        <v>29389</v>
      </c>
      <c r="I11328" t="s">
        <v>10408</v>
      </c>
      <c r="J11328" t="s">
        <v>36692</v>
      </c>
      <c r="K11328" t="s">
        <v>38495</v>
      </c>
      <c r="M11328" t="s">
        <v>41872</v>
      </c>
      <c r="N11328" t="s">
        <v>42669</v>
      </c>
      <c r="O11328" t="s">
        <v>42670</v>
      </c>
      <c r="P11328">
        <v>0</v>
      </c>
      <c r="Q11328">
        <v>28</v>
      </c>
      <c r="R11328" t="s">
        <v>42685</v>
      </c>
      <c r="S11328" t="s">
        <v>43317</v>
      </c>
      <c r="T11328" t="s">
        <v>44375</v>
      </c>
      <c r="U11328" t="s">
        <v>54068</v>
      </c>
      <c r="W11328" t="s">
        <v>41872</v>
      </c>
      <c r="X11328" t="s">
        <v>42686</v>
      </c>
    </row>
    <row r="11329" spans="1:24">
      <c r="A11329">
        <f>HYPERLINK("https://www.philgeps.gov.ph/GEPSNONPILOT/Tender/SplashBidNoticeAbstractUI.aspx?menuIndex=3&amp;refID=7165248&amp;Result=3","7165248")</f>
        <v>0</v>
      </c>
      <c r="B11329" t="s">
        <v>3160</v>
      </c>
      <c r="C11329" t="s">
        <v>5753</v>
      </c>
      <c r="D11329" t="s">
        <v>17204</v>
      </c>
      <c r="E11329" t="s">
        <v>26888</v>
      </c>
      <c r="F11329" t="s">
        <v>29372</v>
      </c>
      <c r="G11329" t="s">
        <v>29380</v>
      </c>
      <c r="H11329" t="s">
        <v>11048</v>
      </c>
      <c r="I11329" t="s">
        <v>4709</v>
      </c>
      <c r="J11329" t="s">
        <v>31276</v>
      </c>
      <c r="K11329" t="s">
        <v>38538</v>
      </c>
      <c r="M11329" t="s">
        <v>42209</v>
      </c>
      <c r="N11329" t="s">
        <v>42669</v>
      </c>
      <c r="O11329" t="s">
        <v>42670</v>
      </c>
      <c r="P11329">
        <v>0</v>
      </c>
      <c r="Q11329">
        <v>1</v>
      </c>
      <c r="R11329" t="s">
        <v>42685</v>
      </c>
      <c r="S11329" t="s">
        <v>43317</v>
      </c>
      <c r="T11329" t="s">
        <v>44375</v>
      </c>
      <c r="U11329" t="s">
        <v>54069</v>
      </c>
      <c r="W11329" t="s">
        <v>42209</v>
      </c>
      <c r="X11329" t="s">
        <v>42686</v>
      </c>
    </row>
    <row r="11330" spans="1:24">
      <c r="A11330">
        <f>HYPERLINK("https://www.philgeps.gov.ph/GEPSNONPILOT/Tender/SplashBidNoticeAbstractUI.aspx?menuIndex=3&amp;refID=7166722&amp;Result=3","7166722")</f>
        <v>0</v>
      </c>
      <c r="B11330" t="s">
        <v>955</v>
      </c>
      <c r="C11330" t="s">
        <v>14358</v>
      </c>
      <c r="E11330" t="s">
        <v>26889</v>
      </c>
      <c r="F11330" t="s">
        <v>29372</v>
      </c>
      <c r="G11330" t="s">
        <v>29380</v>
      </c>
      <c r="H11330" t="s">
        <v>29389</v>
      </c>
      <c r="I11330" t="s">
        <v>10408</v>
      </c>
      <c r="J11330" t="s">
        <v>36693</v>
      </c>
      <c r="K11330" t="s">
        <v>38490</v>
      </c>
      <c r="M11330" t="s">
        <v>39751</v>
      </c>
      <c r="N11330" t="s">
        <v>42669</v>
      </c>
      <c r="O11330" t="s">
        <v>42670</v>
      </c>
      <c r="P11330">
        <v>0</v>
      </c>
      <c r="Q11330">
        <v>2</v>
      </c>
      <c r="R11330" t="s">
        <v>42685</v>
      </c>
      <c r="S11330" t="s">
        <v>43317</v>
      </c>
      <c r="T11330" t="s">
        <v>44510</v>
      </c>
      <c r="U11330" t="s">
        <v>54070</v>
      </c>
      <c r="W11330" t="s">
        <v>39751</v>
      </c>
      <c r="X11330" t="s">
        <v>42686</v>
      </c>
    </row>
    <row r="11331" spans="1:24">
      <c r="A11331">
        <f>HYPERLINK("https://www.philgeps.gov.ph/GEPSNONPILOT/Tender/SplashBidNoticeAbstractUI.aspx?menuIndex=3&amp;refID=7166637&amp;Result=3","7166637")</f>
        <v>0</v>
      </c>
      <c r="B11331" t="s">
        <v>3140</v>
      </c>
      <c r="C11331" t="s">
        <v>14359</v>
      </c>
      <c r="D11331" t="s">
        <v>17158</v>
      </c>
      <c r="E11331" t="s">
        <v>26890</v>
      </c>
      <c r="F11331" t="s">
        <v>29372</v>
      </c>
      <c r="G11331" t="s">
        <v>29380</v>
      </c>
      <c r="H11331" t="s">
        <v>11048</v>
      </c>
      <c r="I11331" t="s">
        <v>29435</v>
      </c>
      <c r="J11331" t="s">
        <v>29799</v>
      </c>
      <c r="K11331" t="s">
        <v>38485</v>
      </c>
      <c r="M11331" t="s">
        <v>42186</v>
      </c>
      <c r="N11331" t="s">
        <v>42669</v>
      </c>
      <c r="O11331" t="s">
        <v>42670</v>
      </c>
      <c r="P11331">
        <v>0</v>
      </c>
      <c r="Q11331">
        <v>2</v>
      </c>
      <c r="R11331" t="s">
        <v>42685</v>
      </c>
      <c r="S11331" t="s">
        <v>43317</v>
      </c>
      <c r="T11331" t="s">
        <v>44811</v>
      </c>
      <c r="U11331" t="s">
        <v>54071</v>
      </c>
      <c r="W11331" t="s">
        <v>42186</v>
      </c>
      <c r="X11331" t="s">
        <v>42686</v>
      </c>
    </row>
    <row r="11332" spans="1:24">
      <c r="A11332">
        <f>HYPERLINK("https://www.philgeps.gov.ph/GEPSNONPILOT/Tender/SplashBidNoticeAbstractUI.aspx?menuIndex=3&amp;refID=7166810&amp;Result=3","7166810")</f>
        <v>0</v>
      </c>
      <c r="B11332" t="s">
        <v>955</v>
      </c>
      <c r="C11332" t="s">
        <v>14360</v>
      </c>
      <c r="E11332" t="s">
        <v>26891</v>
      </c>
      <c r="F11332" t="s">
        <v>29372</v>
      </c>
      <c r="G11332" t="s">
        <v>29380</v>
      </c>
      <c r="H11332" t="s">
        <v>29389</v>
      </c>
      <c r="I11332" t="s">
        <v>10408</v>
      </c>
      <c r="J11332" t="s">
        <v>36694</v>
      </c>
      <c r="K11332" t="s">
        <v>38490</v>
      </c>
      <c r="M11332" t="s">
        <v>39751</v>
      </c>
      <c r="N11332" t="s">
        <v>42669</v>
      </c>
      <c r="O11332" t="s">
        <v>42670</v>
      </c>
      <c r="P11332">
        <v>0</v>
      </c>
      <c r="Q11332">
        <v>3</v>
      </c>
      <c r="R11332" t="s">
        <v>42685</v>
      </c>
      <c r="S11332" t="s">
        <v>43317</v>
      </c>
      <c r="T11332" t="s">
        <v>44510</v>
      </c>
      <c r="U11332" t="s">
        <v>54072</v>
      </c>
      <c r="W11332" t="s">
        <v>39751</v>
      </c>
      <c r="X11332" t="s">
        <v>42686</v>
      </c>
    </row>
    <row r="11333" spans="1:24">
      <c r="A11333">
        <f>HYPERLINK("https://www.philgeps.gov.ph/GEPSNONPILOT/Tender/SplashBidNoticeAbstractUI.aspx?menuIndex=3&amp;refID=7166799&amp;Result=3","7166799")</f>
        <v>0</v>
      </c>
      <c r="B11333" t="s">
        <v>394</v>
      </c>
      <c r="C11333" t="s">
        <v>14361</v>
      </c>
      <c r="D11333" t="s">
        <v>17170</v>
      </c>
      <c r="E11333" t="s">
        <v>26892</v>
      </c>
      <c r="F11333" t="s">
        <v>29372</v>
      </c>
      <c r="G11333" t="s">
        <v>29380</v>
      </c>
      <c r="H11333" t="s">
        <v>11048</v>
      </c>
      <c r="I11333" t="s">
        <v>29425</v>
      </c>
      <c r="J11333" t="s">
        <v>29609</v>
      </c>
      <c r="K11333" t="s">
        <v>38495</v>
      </c>
      <c r="M11333" t="s">
        <v>39650</v>
      </c>
      <c r="N11333" t="s">
        <v>42669</v>
      </c>
      <c r="O11333" t="s">
        <v>42670</v>
      </c>
      <c r="Q11333">
        <v>5</v>
      </c>
      <c r="R11333" t="s">
        <v>42685</v>
      </c>
      <c r="S11333" t="s">
        <v>43360</v>
      </c>
      <c r="T11333" t="s">
        <v>44366</v>
      </c>
      <c r="U11333" t="s">
        <v>54013</v>
      </c>
      <c r="W11333" t="s">
        <v>39650</v>
      </c>
      <c r="X11333" t="s">
        <v>42686</v>
      </c>
    </row>
    <row r="11334" spans="1:24">
      <c r="A11334">
        <f>HYPERLINK("https://www.philgeps.gov.ph/GEPSNONPILOT/Tender/SplashBidNoticeAbstractUI.aspx?menuIndex=3&amp;refID=7166794&amp;Result=3","7166794")</f>
        <v>0</v>
      </c>
      <c r="B11334" t="s">
        <v>1723</v>
      </c>
      <c r="C11334" t="s">
        <v>11924</v>
      </c>
      <c r="D11334" t="s">
        <v>17194</v>
      </c>
      <c r="E11334" t="s">
        <v>26893</v>
      </c>
      <c r="F11334" t="s">
        <v>29372</v>
      </c>
      <c r="G11334" t="s">
        <v>29380</v>
      </c>
      <c r="H11334" t="s">
        <v>11048</v>
      </c>
      <c r="I11334" t="s">
        <v>8614</v>
      </c>
      <c r="J11334" t="s">
        <v>29564</v>
      </c>
      <c r="K11334" t="s">
        <v>38510</v>
      </c>
      <c r="M11334" t="s">
        <v>40587</v>
      </c>
      <c r="N11334" t="s">
        <v>42669</v>
      </c>
      <c r="O11334" t="s">
        <v>42670</v>
      </c>
      <c r="Q11334">
        <v>1</v>
      </c>
      <c r="R11334" t="s">
        <v>42685</v>
      </c>
      <c r="S11334" t="s">
        <v>43361</v>
      </c>
      <c r="T11334" t="s">
        <v>44432</v>
      </c>
      <c r="U11334" t="s">
        <v>52114</v>
      </c>
      <c r="V11334" t="s">
        <v>57362</v>
      </c>
      <c r="W11334" t="s">
        <v>40587</v>
      </c>
      <c r="X11334" t="s">
        <v>42686</v>
      </c>
    </row>
    <row r="11335" spans="1:24">
      <c r="A11335">
        <f>HYPERLINK("https://www.philgeps.gov.ph/GEPSNONPILOT/Tender/SplashBidNoticeAbstractUI.aspx?menuIndex=3&amp;refID=7166869&amp;Result=3","7166869")</f>
        <v>0</v>
      </c>
      <c r="B11335" t="s">
        <v>3161</v>
      </c>
      <c r="C11335" t="s">
        <v>14362</v>
      </c>
      <c r="D11335" t="s">
        <v>17189</v>
      </c>
      <c r="E11335" t="s">
        <v>26894</v>
      </c>
      <c r="F11335" t="s">
        <v>29372</v>
      </c>
      <c r="G11335" t="s">
        <v>29380</v>
      </c>
      <c r="H11335" t="s">
        <v>29389</v>
      </c>
      <c r="I11335" t="s">
        <v>10408</v>
      </c>
      <c r="J11335" t="s">
        <v>30787</v>
      </c>
      <c r="K11335" t="s">
        <v>38564</v>
      </c>
      <c r="M11335" t="s">
        <v>42210</v>
      </c>
      <c r="N11335" t="s">
        <v>42669</v>
      </c>
      <c r="O11335" t="s">
        <v>42670</v>
      </c>
      <c r="Q11335">
        <v>0</v>
      </c>
      <c r="R11335" t="s">
        <v>42685</v>
      </c>
      <c r="S11335" t="s">
        <v>43024</v>
      </c>
      <c r="T11335" t="s">
        <v>44419</v>
      </c>
      <c r="U11335" t="s">
        <v>54073</v>
      </c>
      <c r="V11335" t="s">
        <v>57633</v>
      </c>
      <c r="W11335" t="s">
        <v>42210</v>
      </c>
      <c r="X11335" t="s">
        <v>42686</v>
      </c>
    </row>
    <row r="11336" spans="1:24">
      <c r="A11336">
        <f>HYPERLINK("https://www.philgeps.gov.ph/GEPSNONPILOT/Tender/SplashBidNoticeAbstractUI.aspx?menuIndex=3&amp;refID=7166535&amp;Result=3","7166535")</f>
        <v>0</v>
      </c>
      <c r="B11336" t="s">
        <v>3162</v>
      </c>
      <c r="C11336" t="s">
        <v>14363</v>
      </c>
      <c r="D11336" t="s">
        <v>17205</v>
      </c>
      <c r="E11336" t="s">
        <v>26895</v>
      </c>
      <c r="F11336" t="s">
        <v>29373</v>
      </c>
      <c r="G11336" t="s">
        <v>29380</v>
      </c>
      <c r="H11336" t="s">
        <v>29390</v>
      </c>
      <c r="I11336" t="s">
        <v>29409</v>
      </c>
      <c r="J11336" t="s">
        <v>29694</v>
      </c>
      <c r="K11336" t="s">
        <v>38538</v>
      </c>
      <c r="M11336" t="s">
        <v>42211</v>
      </c>
      <c r="N11336" t="s">
        <v>42669</v>
      </c>
      <c r="O11336" t="s">
        <v>42670</v>
      </c>
      <c r="Q11336">
        <v>4</v>
      </c>
      <c r="R11336" t="s">
        <v>42685</v>
      </c>
      <c r="S11336" t="s">
        <v>43362</v>
      </c>
      <c r="T11336" t="s">
        <v>44629</v>
      </c>
      <c r="U11336" t="s">
        <v>54074</v>
      </c>
      <c r="V11336" t="s">
        <v>57634</v>
      </c>
      <c r="W11336" t="s">
        <v>42211</v>
      </c>
      <c r="X11336" t="s">
        <v>42686</v>
      </c>
    </row>
    <row r="11337" spans="1:24">
      <c r="A11337">
        <f>HYPERLINK("https://www.philgeps.gov.ph/GEPSNONPILOT/Tender/SplashBidNoticeAbstractUI.aspx?menuIndex=3&amp;refID=7165254&amp;Result=3","7165254")</f>
        <v>0</v>
      </c>
      <c r="B11337" t="s">
        <v>1404</v>
      </c>
      <c r="C11337" t="s">
        <v>14364</v>
      </c>
      <c r="D11337" t="s">
        <v>17189</v>
      </c>
      <c r="E11337" t="s">
        <v>17709</v>
      </c>
      <c r="F11337" t="s">
        <v>29372</v>
      </c>
      <c r="G11337" t="s">
        <v>29380</v>
      </c>
      <c r="H11337" t="s">
        <v>29389</v>
      </c>
      <c r="I11337" t="s">
        <v>10408</v>
      </c>
      <c r="J11337" t="s">
        <v>36695</v>
      </c>
      <c r="K11337" t="s">
        <v>38533</v>
      </c>
      <c r="M11337" t="s">
        <v>40243</v>
      </c>
      <c r="N11337" t="s">
        <v>42669</v>
      </c>
      <c r="O11337" t="s">
        <v>42670</v>
      </c>
      <c r="P11337">
        <v>0</v>
      </c>
      <c r="Q11337">
        <v>0</v>
      </c>
      <c r="R11337" t="s">
        <v>42685</v>
      </c>
      <c r="S11337" t="s">
        <v>43317</v>
      </c>
      <c r="T11337" t="s">
        <v>44391</v>
      </c>
      <c r="U11337" t="s">
        <v>54075</v>
      </c>
      <c r="W11337" t="s">
        <v>40243</v>
      </c>
      <c r="X11337" t="s">
        <v>42686</v>
      </c>
    </row>
    <row r="11338" spans="1:24">
      <c r="A11338">
        <f>HYPERLINK("https://www.philgeps.gov.ph/GEPSNONPILOT/Tender/SplashBidNoticeAbstractUI.aspx?menuIndex=3&amp;refID=7166593&amp;Result=3","7166593")</f>
        <v>0</v>
      </c>
      <c r="B11338" t="s">
        <v>3155</v>
      </c>
      <c r="C11338" t="s">
        <v>14365</v>
      </c>
      <c r="D11338" t="s">
        <v>17151</v>
      </c>
      <c r="E11338" t="s">
        <v>26896</v>
      </c>
      <c r="F11338" t="s">
        <v>29372</v>
      </c>
      <c r="G11338" t="s">
        <v>29380</v>
      </c>
      <c r="H11338" t="s">
        <v>11048</v>
      </c>
      <c r="I11338" t="s">
        <v>4709</v>
      </c>
      <c r="J11338" t="s">
        <v>36696</v>
      </c>
      <c r="K11338" t="s">
        <v>38485</v>
      </c>
      <c r="M11338" t="s">
        <v>42203</v>
      </c>
      <c r="N11338" t="s">
        <v>42669</v>
      </c>
      <c r="O11338" t="s">
        <v>42670</v>
      </c>
      <c r="P11338">
        <v>0</v>
      </c>
      <c r="Q11338">
        <v>2</v>
      </c>
      <c r="R11338" t="s">
        <v>42685</v>
      </c>
      <c r="S11338" t="s">
        <v>43317</v>
      </c>
      <c r="T11338" t="s">
        <v>44389</v>
      </c>
      <c r="U11338" t="s">
        <v>54076</v>
      </c>
      <c r="W11338" t="s">
        <v>42203</v>
      </c>
      <c r="X11338" t="s">
        <v>42686</v>
      </c>
    </row>
    <row r="11339" spans="1:24">
      <c r="A11339">
        <f>HYPERLINK("https://www.philgeps.gov.ph/GEPSNONPILOT/Tender/SplashBidNoticeAbstractUI.aspx?menuIndex=3&amp;refID=7166775&amp;Result=3","7166775")</f>
        <v>0</v>
      </c>
      <c r="B11339" t="s">
        <v>133</v>
      </c>
      <c r="C11339" t="s">
        <v>14366</v>
      </c>
      <c r="D11339" t="s">
        <v>17186</v>
      </c>
      <c r="E11339" t="s">
        <v>26897</v>
      </c>
      <c r="F11339" t="s">
        <v>29372</v>
      </c>
      <c r="G11339" t="s">
        <v>29380</v>
      </c>
      <c r="H11339" t="s">
        <v>29389</v>
      </c>
      <c r="I11339" t="s">
        <v>10408</v>
      </c>
      <c r="J11339" t="s">
        <v>36697</v>
      </c>
      <c r="K11339" t="s">
        <v>38496</v>
      </c>
      <c r="M11339" t="s">
        <v>38888</v>
      </c>
      <c r="N11339" t="s">
        <v>42669</v>
      </c>
      <c r="O11339" t="s">
        <v>42670</v>
      </c>
      <c r="P11339">
        <v>0</v>
      </c>
      <c r="Q11339">
        <v>1</v>
      </c>
      <c r="R11339" t="s">
        <v>42685</v>
      </c>
      <c r="S11339" t="s">
        <v>43317</v>
      </c>
      <c r="T11339" t="s">
        <v>44412</v>
      </c>
      <c r="U11339" t="s">
        <v>54077</v>
      </c>
      <c r="W11339" t="s">
        <v>38888</v>
      </c>
      <c r="X11339" t="s">
        <v>42686</v>
      </c>
    </row>
    <row r="11340" spans="1:24">
      <c r="A11340">
        <f>HYPERLINK("https://www.philgeps.gov.ph/GEPSNONPILOT/Tender/SplashBidNoticeAbstractUI.aspx?menuIndex=3&amp;refID=7166823&amp;Result=3","7166823")</f>
        <v>0</v>
      </c>
      <c r="B11340" t="s">
        <v>1263</v>
      </c>
      <c r="C11340" t="s">
        <v>14367</v>
      </c>
      <c r="D11340" t="s">
        <v>17183</v>
      </c>
      <c r="E11340" t="s">
        <v>26898</v>
      </c>
      <c r="F11340" t="s">
        <v>29372</v>
      </c>
      <c r="G11340" t="s">
        <v>29380</v>
      </c>
      <c r="H11340" t="s">
        <v>11048</v>
      </c>
      <c r="I11340" t="s">
        <v>10408</v>
      </c>
      <c r="J11340" t="s">
        <v>31893</v>
      </c>
      <c r="K11340" t="s">
        <v>38522</v>
      </c>
      <c r="M11340" t="s">
        <v>40090</v>
      </c>
      <c r="N11340" t="s">
        <v>42669</v>
      </c>
      <c r="O11340" t="s">
        <v>42670</v>
      </c>
      <c r="Q11340">
        <v>4</v>
      </c>
      <c r="R11340" t="s">
        <v>42685</v>
      </c>
      <c r="S11340" t="s">
        <v>43363</v>
      </c>
      <c r="T11340" t="s">
        <v>44664</v>
      </c>
      <c r="U11340" t="s">
        <v>54078</v>
      </c>
      <c r="W11340" t="s">
        <v>40090</v>
      </c>
      <c r="X11340" t="s">
        <v>42686</v>
      </c>
    </row>
    <row r="11341" spans="1:24">
      <c r="A11341">
        <f>HYPERLINK("https://www.philgeps.gov.ph/GEPSNONPILOT/Tender/SplashBidNoticeAbstractUI.aspx?menuIndex=3&amp;refID=7166841&amp;Result=3","7166841")</f>
        <v>0</v>
      </c>
      <c r="B11341" t="s">
        <v>1137</v>
      </c>
      <c r="C11341" t="s">
        <v>14368</v>
      </c>
      <c r="D11341" t="s">
        <v>17193</v>
      </c>
      <c r="E11341" t="s">
        <v>26899</v>
      </c>
      <c r="F11341" t="s">
        <v>29372</v>
      </c>
      <c r="G11341" t="s">
        <v>29380</v>
      </c>
      <c r="H11341" t="s">
        <v>29389</v>
      </c>
      <c r="I11341" t="s">
        <v>10408</v>
      </c>
      <c r="J11341" t="s">
        <v>36698</v>
      </c>
      <c r="K11341" t="s">
        <v>38619</v>
      </c>
      <c r="M11341" t="s">
        <v>39949</v>
      </c>
      <c r="N11341" t="s">
        <v>42669</v>
      </c>
      <c r="O11341" t="s">
        <v>42670</v>
      </c>
      <c r="P11341">
        <v>0</v>
      </c>
      <c r="Q11341">
        <v>0</v>
      </c>
      <c r="R11341" t="s">
        <v>42685</v>
      </c>
      <c r="S11341" t="s">
        <v>43317</v>
      </c>
      <c r="T11341" t="s">
        <v>44373</v>
      </c>
      <c r="U11341" t="s">
        <v>54079</v>
      </c>
      <c r="V11341" t="s">
        <v>57635</v>
      </c>
      <c r="W11341" t="s">
        <v>39949</v>
      </c>
      <c r="X11341" t="s">
        <v>42686</v>
      </c>
    </row>
    <row r="11342" spans="1:24">
      <c r="A11342">
        <f>HYPERLINK("https://www.philgeps.gov.ph/GEPSNONPILOT/Tender/SplashBidNoticeAbstractUI.aspx?menuIndex=3&amp;refID=7166832&amp;Result=3","7166832")</f>
        <v>0</v>
      </c>
      <c r="B11342" t="s">
        <v>1586</v>
      </c>
      <c r="C11342" t="s">
        <v>14369</v>
      </c>
      <c r="D11342" t="s">
        <v>17143</v>
      </c>
      <c r="E11342" t="s">
        <v>26900</v>
      </c>
      <c r="F11342" t="s">
        <v>29372</v>
      </c>
      <c r="G11342" t="s">
        <v>29380</v>
      </c>
      <c r="H11342" t="s">
        <v>11048</v>
      </c>
      <c r="I11342" t="s">
        <v>29393</v>
      </c>
      <c r="J11342" t="s">
        <v>36699</v>
      </c>
      <c r="K11342" t="s">
        <v>38510</v>
      </c>
      <c r="M11342" t="s">
        <v>40437</v>
      </c>
      <c r="N11342" t="s">
        <v>42669</v>
      </c>
      <c r="O11342" t="s">
        <v>42670</v>
      </c>
      <c r="Q11342">
        <v>0</v>
      </c>
      <c r="R11342" t="s">
        <v>42685</v>
      </c>
      <c r="S11342" t="s">
        <v>43364</v>
      </c>
      <c r="T11342" t="s">
        <v>44491</v>
      </c>
      <c r="U11342" t="s">
        <v>54080</v>
      </c>
      <c r="W11342" t="s">
        <v>40437</v>
      </c>
      <c r="X11342" t="s">
        <v>42686</v>
      </c>
    </row>
    <row r="11343" spans="1:24">
      <c r="A11343">
        <f>HYPERLINK("https://www.philgeps.gov.ph/GEPSNONPILOT/Tender/SplashBidNoticeAbstractUI.aspx?menuIndex=3&amp;refID=7166818&amp;Result=3","7166818")</f>
        <v>0</v>
      </c>
      <c r="B11343" t="s">
        <v>1113</v>
      </c>
      <c r="C11343" t="s">
        <v>14370</v>
      </c>
      <c r="D11343" t="s">
        <v>17176</v>
      </c>
      <c r="E11343" t="s">
        <v>26901</v>
      </c>
      <c r="F11343" t="s">
        <v>29372</v>
      </c>
      <c r="G11343" t="s">
        <v>29380</v>
      </c>
      <c r="H11343" t="s">
        <v>29389</v>
      </c>
      <c r="I11343" t="s">
        <v>10408</v>
      </c>
      <c r="J11343" t="s">
        <v>36700</v>
      </c>
      <c r="K11343" t="s">
        <v>38674</v>
      </c>
      <c r="M11343" t="s">
        <v>39922</v>
      </c>
      <c r="N11343" t="s">
        <v>42669</v>
      </c>
      <c r="O11343" t="s">
        <v>42670</v>
      </c>
      <c r="Q11343">
        <v>0</v>
      </c>
      <c r="R11343" t="s">
        <v>42685</v>
      </c>
      <c r="S11343" t="s">
        <v>43365</v>
      </c>
      <c r="T11343" t="s">
        <v>44525</v>
      </c>
      <c r="U11343" t="s">
        <v>47248</v>
      </c>
      <c r="V11343" t="s">
        <v>57636</v>
      </c>
      <c r="W11343" t="s">
        <v>39922</v>
      </c>
      <c r="X11343" t="s">
        <v>42686</v>
      </c>
    </row>
    <row r="11344" spans="1:24">
      <c r="A11344">
        <f>HYPERLINK("https://www.philgeps.gov.ph/GEPSNONPILOT/Tender/SplashBidNoticeAbstractUI.aspx?menuIndex=3&amp;refID=7166772&amp;Result=3","7166772")</f>
        <v>0</v>
      </c>
      <c r="B11344" t="s">
        <v>427</v>
      </c>
      <c r="C11344" t="s">
        <v>14371</v>
      </c>
      <c r="D11344" t="s">
        <v>17167</v>
      </c>
      <c r="E11344" t="s">
        <v>26902</v>
      </c>
      <c r="F11344" t="s">
        <v>29372</v>
      </c>
      <c r="G11344" t="s">
        <v>29380</v>
      </c>
      <c r="H11344" t="s">
        <v>11048</v>
      </c>
      <c r="I11344" t="s">
        <v>29395</v>
      </c>
      <c r="J11344" t="s">
        <v>36701</v>
      </c>
      <c r="K11344" t="s">
        <v>38487</v>
      </c>
      <c r="M11344" t="s">
        <v>39191</v>
      </c>
      <c r="N11344" t="s">
        <v>42669</v>
      </c>
      <c r="O11344" t="s">
        <v>42670</v>
      </c>
      <c r="P11344">
        <v>0</v>
      </c>
      <c r="Q11344">
        <v>0</v>
      </c>
      <c r="R11344" t="s">
        <v>42685</v>
      </c>
      <c r="S11344" t="s">
        <v>43317</v>
      </c>
      <c r="T11344" t="s">
        <v>44426</v>
      </c>
      <c r="U11344" t="s">
        <v>54081</v>
      </c>
      <c r="W11344" t="s">
        <v>39191</v>
      </c>
      <c r="X11344" t="s">
        <v>42686</v>
      </c>
    </row>
    <row r="11345" spans="1:24">
      <c r="A11345">
        <f>HYPERLINK("https://www.philgeps.gov.ph/GEPSNONPILOT/Tender/SplashBidNoticeAbstractUI.aspx?menuIndex=3&amp;refID=7166784&amp;Result=3","7166784")</f>
        <v>0</v>
      </c>
      <c r="B11345" t="s">
        <v>3159</v>
      </c>
      <c r="C11345" t="s">
        <v>14372</v>
      </c>
      <c r="D11345" t="s">
        <v>17168</v>
      </c>
      <c r="E11345" t="s">
        <v>26903</v>
      </c>
      <c r="F11345" t="s">
        <v>29372</v>
      </c>
      <c r="G11345" t="s">
        <v>29380</v>
      </c>
      <c r="H11345" t="s">
        <v>29389</v>
      </c>
      <c r="I11345" t="s">
        <v>10408</v>
      </c>
      <c r="J11345" t="s">
        <v>29543</v>
      </c>
      <c r="K11345" t="s">
        <v>38527</v>
      </c>
      <c r="M11345" t="s">
        <v>42208</v>
      </c>
      <c r="N11345" t="s">
        <v>42669</v>
      </c>
      <c r="O11345" t="s">
        <v>42670</v>
      </c>
      <c r="P11345">
        <v>0</v>
      </c>
      <c r="Q11345">
        <v>1</v>
      </c>
      <c r="R11345" t="s">
        <v>42685</v>
      </c>
      <c r="S11345" t="s">
        <v>43317</v>
      </c>
      <c r="T11345" t="s">
        <v>44468</v>
      </c>
      <c r="U11345" t="s">
        <v>54082</v>
      </c>
      <c r="W11345" t="s">
        <v>42208</v>
      </c>
      <c r="X11345" t="s">
        <v>42686</v>
      </c>
    </row>
    <row r="11346" spans="1:24">
      <c r="A11346">
        <f>HYPERLINK("https://www.philgeps.gov.ph/GEPSNONPILOT/Tender/SplashBidNoticeAbstractUI.aspx?menuIndex=3&amp;refID=7166829&amp;Result=3","7166829")</f>
        <v>0</v>
      </c>
      <c r="B11346" t="s">
        <v>3163</v>
      </c>
      <c r="C11346" t="s">
        <v>14373</v>
      </c>
      <c r="D11346" t="s">
        <v>17188</v>
      </c>
      <c r="E11346" t="s">
        <v>26904</v>
      </c>
      <c r="F11346" t="s">
        <v>29372</v>
      </c>
      <c r="G11346" t="s">
        <v>29380</v>
      </c>
      <c r="H11346" t="s">
        <v>29389</v>
      </c>
      <c r="I11346" t="s">
        <v>10408</v>
      </c>
      <c r="J11346" t="s">
        <v>36702</v>
      </c>
      <c r="K11346" t="s">
        <v>38495</v>
      </c>
      <c r="L11346" t="s">
        <v>3163</v>
      </c>
      <c r="M11346" t="s">
        <v>42212</v>
      </c>
      <c r="N11346" t="s">
        <v>42669</v>
      </c>
      <c r="O11346" t="s">
        <v>42670</v>
      </c>
      <c r="P11346">
        <v>0</v>
      </c>
      <c r="Q11346">
        <v>3</v>
      </c>
      <c r="R11346" t="s">
        <v>42685</v>
      </c>
      <c r="S11346" t="s">
        <v>43317</v>
      </c>
      <c r="T11346" t="s">
        <v>44409</v>
      </c>
      <c r="U11346" t="s">
        <v>54083</v>
      </c>
      <c r="W11346" t="s">
        <v>42212</v>
      </c>
      <c r="X11346" t="s">
        <v>42686</v>
      </c>
    </row>
    <row r="11347" spans="1:24">
      <c r="A11347">
        <f>HYPERLINK("https://www.philgeps.gov.ph/GEPSNONPILOT/Tender/SplashBidNoticeAbstractUI.aspx?menuIndex=3&amp;refID=7166463&amp;Result=3","7166463")</f>
        <v>0</v>
      </c>
      <c r="B11347" t="s">
        <v>3152</v>
      </c>
      <c r="C11347" t="s">
        <v>14374</v>
      </c>
      <c r="D11347" t="s">
        <v>17166</v>
      </c>
      <c r="E11347" t="s">
        <v>26905</v>
      </c>
      <c r="F11347" t="s">
        <v>29372</v>
      </c>
      <c r="G11347" t="s">
        <v>29380</v>
      </c>
      <c r="H11347" t="s">
        <v>11048</v>
      </c>
      <c r="I11347" t="s">
        <v>29485</v>
      </c>
      <c r="J11347" t="s">
        <v>36703</v>
      </c>
      <c r="K11347" t="s">
        <v>38510</v>
      </c>
      <c r="M11347" t="s">
        <v>42200</v>
      </c>
      <c r="N11347" t="s">
        <v>42669</v>
      </c>
      <c r="O11347" t="s">
        <v>42670</v>
      </c>
      <c r="Q11347">
        <v>5</v>
      </c>
      <c r="R11347" t="s">
        <v>42685</v>
      </c>
      <c r="S11347" t="s">
        <v>43366</v>
      </c>
      <c r="T11347" t="s">
        <v>44357</v>
      </c>
      <c r="U11347" t="s">
        <v>54015</v>
      </c>
      <c r="V11347" t="s">
        <v>57637</v>
      </c>
      <c r="W11347" t="s">
        <v>42200</v>
      </c>
      <c r="X11347" t="s">
        <v>42686</v>
      </c>
    </row>
    <row r="11348" spans="1:24">
      <c r="A11348">
        <f>HYPERLINK("https://www.philgeps.gov.ph/GEPSNONPILOT/Tender/SplashBidNoticeAbstractUI.aspx?menuIndex=3&amp;refID=7166820&amp;Result=3","7166820")</f>
        <v>0</v>
      </c>
      <c r="B11348" t="s">
        <v>669</v>
      </c>
      <c r="C11348" t="s">
        <v>14375</v>
      </c>
      <c r="D11348" t="s">
        <v>17147</v>
      </c>
      <c r="E11348" t="s">
        <v>26906</v>
      </c>
      <c r="F11348" t="s">
        <v>29372</v>
      </c>
      <c r="G11348" t="s">
        <v>29380</v>
      </c>
      <c r="H11348" t="s">
        <v>11048</v>
      </c>
      <c r="I11348" t="s">
        <v>29407</v>
      </c>
      <c r="J11348" t="s">
        <v>36704</v>
      </c>
      <c r="K11348" t="s">
        <v>38488</v>
      </c>
      <c r="M11348" t="s">
        <v>42069</v>
      </c>
      <c r="N11348" t="s">
        <v>42669</v>
      </c>
      <c r="O11348" t="s">
        <v>42670</v>
      </c>
      <c r="P11348">
        <v>0</v>
      </c>
      <c r="Q11348">
        <v>5</v>
      </c>
      <c r="R11348" t="s">
        <v>42685</v>
      </c>
      <c r="S11348" t="s">
        <v>43317</v>
      </c>
      <c r="T11348" t="s">
        <v>44411</v>
      </c>
      <c r="U11348" t="s">
        <v>54084</v>
      </c>
      <c r="V11348" t="s">
        <v>56460</v>
      </c>
      <c r="W11348" t="s">
        <v>42069</v>
      </c>
      <c r="X11348" t="s">
        <v>42686</v>
      </c>
    </row>
    <row r="11349" spans="1:24">
      <c r="A11349">
        <f>HYPERLINK("https://www.philgeps.gov.ph/GEPSNONPILOT/Tender/SplashBidNoticeAbstractUI.aspx?menuIndex=3&amp;refID=7166737&amp;Result=3","7166737")</f>
        <v>0</v>
      </c>
      <c r="B11349" t="s">
        <v>955</v>
      </c>
      <c r="C11349" t="s">
        <v>14376</v>
      </c>
      <c r="E11349" t="s">
        <v>26907</v>
      </c>
      <c r="F11349" t="s">
        <v>29372</v>
      </c>
      <c r="G11349" t="s">
        <v>29380</v>
      </c>
      <c r="H11349" t="s">
        <v>29389</v>
      </c>
      <c r="I11349" t="s">
        <v>10408</v>
      </c>
      <c r="J11349" t="s">
        <v>36705</v>
      </c>
      <c r="K11349" t="s">
        <v>38490</v>
      </c>
      <c r="M11349" t="s">
        <v>39751</v>
      </c>
      <c r="N11349" t="s">
        <v>42669</v>
      </c>
      <c r="O11349" t="s">
        <v>42670</v>
      </c>
      <c r="P11349">
        <v>0</v>
      </c>
      <c r="Q11349">
        <v>1</v>
      </c>
      <c r="R11349" t="s">
        <v>42685</v>
      </c>
      <c r="S11349" t="s">
        <v>43317</v>
      </c>
      <c r="T11349" t="s">
        <v>44510</v>
      </c>
      <c r="U11349" t="s">
        <v>54085</v>
      </c>
      <c r="W11349" t="s">
        <v>39751</v>
      </c>
      <c r="X11349" t="s">
        <v>42686</v>
      </c>
    </row>
    <row r="11350" spans="1:24">
      <c r="A11350">
        <f>HYPERLINK("https://www.philgeps.gov.ph/GEPSNONPILOT/Tender/SplashBidNoticeAbstractUI.aspx?menuIndex=3&amp;refID=7166967&amp;Result=3","7166967")</f>
        <v>0</v>
      </c>
      <c r="B11350" t="s">
        <v>1084</v>
      </c>
      <c r="C11350" t="s">
        <v>14377</v>
      </c>
      <c r="D11350" t="s">
        <v>17179</v>
      </c>
      <c r="E11350" t="s">
        <v>26908</v>
      </c>
      <c r="F11350" t="s">
        <v>29372</v>
      </c>
      <c r="G11350" t="s">
        <v>29380</v>
      </c>
      <c r="H11350" t="s">
        <v>29389</v>
      </c>
      <c r="I11350" t="s">
        <v>10408</v>
      </c>
      <c r="J11350" t="s">
        <v>36706</v>
      </c>
      <c r="K11350" t="s">
        <v>38490</v>
      </c>
      <c r="M11350" t="s">
        <v>39910</v>
      </c>
      <c r="N11350" t="s">
        <v>42669</v>
      </c>
      <c r="O11350" t="s">
        <v>42670</v>
      </c>
      <c r="P11350">
        <v>0</v>
      </c>
      <c r="Q11350">
        <v>0</v>
      </c>
      <c r="R11350" t="s">
        <v>42685</v>
      </c>
      <c r="S11350" t="s">
        <v>43317</v>
      </c>
      <c r="T11350" t="s">
        <v>44412</v>
      </c>
      <c r="U11350" t="s">
        <v>51048</v>
      </c>
      <c r="W11350" t="s">
        <v>39910</v>
      </c>
      <c r="X11350" t="s">
        <v>42686</v>
      </c>
    </row>
    <row r="11351" spans="1:24">
      <c r="A11351">
        <f>HYPERLINK("https://www.philgeps.gov.ph/GEPSNONPILOT/Tender/SplashBidNoticeAbstractUI.aspx?menuIndex=3&amp;refID=7166753&amp;Result=3","7166753")</f>
        <v>0</v>
      </c>
      <c r="B11351" t="s">
        <v>133</v>
      </c>
      <c r="C11351" t="s">
        <v>14378</v>
      </c>
      <c r="D11351" t="s">
        <v>17186</v>
      </c>
      <c r="E11351" t="s">
        <v>26909</v>
      </c>
      <c r="F11351" t="s">
        <v>29372</v>
      </c>
      <c r="G11351" t="s">
        <v>29380</v>
      </c>
      <c r="H11351" t="s">
        <v>29389</v>
      </c>
      <c r="I11351" t="s">
        <v>10408</v>
      </c>
      <c r="J11351" t="s">
        <v>36707</v>
      </c>
      <c r="K11351" t="s">
        <v>38496</v>
      </c>
      <c r="M11351" t="s">
        <v>38888</v>
      </c>
      <c r="N11351" t="s">
        <v>42669</v>
      </c>
      <c r="O11351" t="s">
        <v>42670</v>
      </c>
      <c r="P11351">
        <v>0</v>
      </c>
      <c r="Q11351">
        <v>1</v>
      </c>
      <c r="R11351" t="s">
        <v>42685</v>
      </c>
      <c r="S11351" t="s">
        <v>43317</v>
      </c>
      <c r="T11351" t="s">
        <v>44412</v>
      </c>
      <c r="U11351" t="s">
        <v>54086</v>
      </c>
      <c r="W11351" t="s">
        <v>38888</v>
      </c>
      <c r="X11351" t="s">
        <v>42686</v>
      </c>
    </row>
    <row r="11352" spans="1:24">
      <c r="A11352">
        <f>HYPERLINK("https://www.philgeps.gov.ph/GEPSNONPILOT/Tender/SplashBidNoticeAbstractUI.aspx?menuIndex=3&amp;refID=7166992&amp;Result=3","7166992")</f>
        <v>0</v>
      </c>
      <c r="B11352" t="s">
        <v>920</v>
      </c>
      <c r="C11352" t="s">
        <v>14379</v>
      </c>
      <c r="D11352" t="s">
        <v>17145</v>
      </c>
      <c r="E11352" t="s">
        <v>26910</v>
      </c>
      <c r="F11352" t="s">
        <v>29372</v>
      </c>
      <c r="G11352" t="s">
        <v>29380</v>
      </c>
      <c r="H11352" t="s">
        <v>29389</v>
      </c>
      <c r="I11352" t="s">
        <v>10408</v>
      </c>
      <c r="J11352" t="s">
        <v>29724</v>
      </c>
      <c r="K11352" t="s">
        <v>38487</v>
      </c>
      <c r="M11352" t="s">
        <v>39715</v>
      </c>
      <c r="N11352" t="s">
        <v>42669</v>
      </c>
      <c r="O11352" t="s">
        <v>42670</v>
      </c>
      <c r="P11352">
        <v>0</v>
      </c>
      <c r="Q11352">
        <v>6</v>
      </c>
      <c r="R11352" t="s">
        <v>42685</v>
      </c>
      <c r="S11352" t="s">
        <v>43317</v>
      </c>
      <c r="T11352" t="s">
        <v>44412</v>
      </c>
      <c r="U11352" t="s">
        <v>54087</v>
      </c>
      <c r="V11352" t="s">
        <v>57638</v>
      </c>
      <c r="W11352" t="s">
        <v>39715</v>
      </c>
      <c r="X11352" t="s">
        <v>42686</v>
      </c>
    </row>
    <row r="11353" spans="1:24">
      <c r="A11353">
        <f>HYPERLINK("https://www.philgeps.gov.ph/GEPSNONPILOT/Tender/SplashBidNoticeAbstractUI.aspx?menuIndex=3&amp;refID=7166852&amp;Result=3","7166852")</f>
        <v>0</v>
      </c>
      <c r="B11353" t="s">
        <v>772</v>
      </c>
      <c r="C11353" t="s">
        <v>4662</v>
      </c>
      <c r="D11353" t="s">
        <v>17187</v>
      </c>
      <c r="E11353" t="s">
        <v>26911</v>
      </c>
      <c r="F11353" t="s">
        <v>29372</v>
      </c>
      <c r="G11353" t="s">
        <v>29380</v>
      </c>
      <c r="H11353" t="s">
        <v>11048</v>
      </c>
      <c r="I11353" t="s">
        <v>5383</v>
      </c>
      <c r="J11353" t="s">
        <v>36708</v>
      </c>
      <c r="K11353" t="s">
        <v>38491</v>
      </c>
      <c r="M11353" t="s">
        <v>39556</v>
      </c>
      <c r="N11353" t="s">
        <v>42669</v>
      </c>
      <c r="O11353" t="s">
        <v>42670</v>
      </c>
      <c r="P11353">
        <v>0</v>
      </c>
      <c r="Q11353">
        <v>5</v>
      </c>
      <c r="R11353" t="s">
        <v>42685</v>
      </c>
      <c r="S11353" t="s">
        <v>43317</v>
      </c>
      <c r="T11353" t="s">
        <v>44401</v>
      </c>
      <c r="U11353" t="s">
        <v>46442</v>
      </c>
      <c r="W11353" t="s">
        <v>39556</v>
      </c>
      <c r="X11353" t="s">
        <v>42686</v>
      </c>
    </row>
    <row r="11354" spans="1:24">
      <c r="A11354">
        <f>HYPERLINK("https://www.philgeps.gov.ph/GEPSNONPILOT/Tender/SplashBidNoticeAbstractUI.aspx?menuIndex=3&amp;refID=7166987&amp;Result=3","7166987")</f>
        <v>0</v>
      </c>
      <c r="B11354" t="s">
        <v>130</v>
      </c>
      <c r="C11354" t="s">
        <v>14380</v>
      </c>
      <c r="D11354" t="s">
        <v>17185</v>
      </c>
      <c r="E11354" t="s">
        <v>26912</v>
      </c>
      <c r="F11354" t="s">
        <v>29372</v>
      </c>
      <c r="G11354" t="s">
        <v>29380</v>
      </c>
      <c r="H11354" t="s">
        <v>11048</v>
      </c>
      <c r="I11354" t="s">
        <v>29461</v>
      </c>
      <c r="J11354" t="s">
        <v>30161</v>
      </c>
      <c r="K11354" t="s">
        <v>38490</v>
      </c>
      <c r="M11354" t="s">
        <v>38885</v>
      </c>
      <c r="N11354" t="s">
        <v>42669</v>
      </c>
      <c r="O11354" t="s">
        <v>42670</v>
      </c>
      <c r="P11354">
        <v>0</v>
      </c>
      <c r="Q11354">
        <v>7</v>
      </c>
      <c r="R11354" t="s">
        <v>42685</v>
      </c>
      <c r="S11354" t="s">
        <v>43317</v>
      </c>
      <c r="T11354" t="s">
        <v>44412</v>
      </c>
      <c r="U11354" t="s">
        <v>54088</v>
      </c>
      <c r="W11354" t="s">
        <v>38885</v>
      </c>
      <c r="X11354" t="s">
        <v>42686</v>
      </c>
    </row>
    <row r="11355" spans="1:24">
      <c r="A11355">
        <f>HYPERLINK("https://www.philgeps.gov.ph/GEPSNONPILOT/Tender/SplashBidNoticeAbstractUI.aspx?menuIndex=3&amp;refID=7166889&amp;Result=3","7166889")</f>
        <v>0</v>
      </c>
      <c r="B11355" t="s">
        <v>3164</v>
      </c>
      <c r="C11355" t="s">
        <v>14381</v>
      </c>
      <c r="D11355" t="s">
        <v>17144</v>
      </c>
      <c r="E11355" t="s">
        <v>17648</v>
      </c>
      <c r="F11355" t="s">
        <v>29375</v>
      </c>
      <c r="G11355" t="s">
        <v>29380</v>
      </c>
      <c r="H11355" t="s">
        <v>29389</v>
      </c>
      <c r="I11355" t="s">
        <v>29409</v>
      </c>
      <c r="J11355" t="s">
        <v>36709</v>
      </c>
      <c r="K11355" t="s">
        <v>38517</v>
      </c>
      <c r="M11355" t="s">
        <v>42213</v>
      </c>
      <c r="N11355" t="s">
        <v>42669</v>
      </c>
      <c r="O11355" t="s">
        <v>42670</v>
      </c>
      <c r="P11355">
        <v>0</v>
      </c>
      <c r="Q11355">
        <v>6</v>
      </c>
      <c r="R11355" t="s">
        <v>42685</v>
      </c>
      <c r="S11355" t="s">
        <v>43317</v>
      </c>
      <c r="T11355" t="s">
        <v>44454</v>
      </c>
      <c r="U11355" t="s">
        <v>54089</v>
      </c>
      <c r="W11355" t="s">
        <v>42213</v>
      </c>
      <c r="X11355" t="s">
        <v>42686</v>
      </c>
    </row>
    <row r="11356" spans="1:24">
      <c r="A11356">
        <f>HYPERLINK("https://www.philgeps.gov.ph/GEPSNONPILOT/Tender/SplashBidNoticeAbstractUI.aspx?menuIndex=3&amp;refID=7166975&amp;Result=3","7166975")</f>
        <v>0</v>
      </c>
      <c r="B11356" t="s">
        <v>616</v>
      </c>
      <c r="C11356" t="s">
        <v>14382</v>
      </c>
      <c r="D11356" t="s">
        <v>17197</v>
      </c>
      <c r="E11356" t="s">
        <v>26913</v>
      </c>
      <c r="F11356" t="s">
        <v>29372</v>
      </c>
      <c r="G11356" t="s">
        <v>29379</v>
      </c>
      <c r="H11356" t="s">
        <v>11048</v>
      </c>
      <c r="I11356" t="s">
        <v>29462</v>
      </c>
      <c r="J11356" t="s">
        <v>36710</v>
      </c>
      <c r="K11356" t="s">
        <v>38488</v>
      </c>
      <c r="M11356" t="s">
        <v>42214</v>
      </c>
      <c r="N11356" t="s">
        <v>42669</v>
      </c>
      <c r="O11356" t="s">
        <v>42670</v>
      </c>
      <c r="Q11356">
        <v>3</v>
      </c>
      <c r="R11356" t="s">
        <v>42685</v>
      </c>
      <c r="S11356" t="s">
        <v>43367</v>
      </c>
      <c r="T11356" t="s">
        <v>44454</v>
      </c>
      <c r="U11356" t="s">
        <v>54090</v>
      </c>
      <c r="W11356" t="s">
        <v>42214</v>
      </c>
      <c r="X11356" t="s">
        <v>42686</v>
      </c>
    </row>
    <row r="11357" spans="1:24">
      <c r="A11357">
        <f>HYPERLINK("https://www.philgeps.gov.ph/GEPSNONPILOT/Tender/SplashBidNoticeAbstractUI.aspx?menuIndex=3&amp;refID=7166963&amp;Result=3","7166963")</f>
        <v>0</v>
      </c>
      <c r="B11357" t="s">
        <v>2608</v>
      </c>
      <c r="C11357" t="s">
        <v>14383</v>
      </c>
      <c r="D11357" t="s">
        <v>17192</v>
      </c>
      <c r="E11357" t="s">
        <v>26914</v>
      </c>
      <c r="F11357" t="s">
        <v>29372</v>
      </c>
      <c r="G11357" t="s">
        <v>29380</v>
      </c>
      <c r="H11357" t="s">
        <v>29389</v>
      </c>
      <c r="I11357" t="s">
        <v>10408</v>
      </c>
      <c r="J11357" t="s">
        <v>29543</v>
      </c>
      <c r="K11357" t="s">
        <v>38550</v>
      </c>
      <c r="M11357" t="s">
        <v>41577</v>
      </c>
      <c r="N11357" t="s">
        <v>42669</v>
      </c>
      <c r="O11357" t="s">
        <v>42670</v>
      </c>
      <c r="P11357">
        <v>0</v>
      </c>
      <c r="Q11357">
        <v>0</v>
      </c>
      <c r="R11357" t="s">
        <v>42685</v>
      </c>
      <c r="S11357" t="s">
        <v>43317</v>
      </c>
      <c r="T11357" t="s">
        <v>44543</v>
      </c>
      <c r="U11357" t="s">
        <v>54091</v>
      </c>
      <c r="W11357" t="s">
        <v>41577</v>
      </c>
      <c r="X11357" t="s">
        <v>42686</v>
      </c>
    </row>
    <row r="11358" spans="1:24">
      <c r="A11358">
        <f>HYPERLINK("https://www.philgeps.gov.ph/GEPSNONPILOT/Tender/SplashBidNoticeAbstractUI.aspx?menuIndex=3&amp;refID=7166751&amp;Result=3","7166751")</f>
        <v>0</v>
      </c>
      <c r="B11358" t="s">
        <v>955</v>
      </c>
      <c r="C11358" t="s">
        <v>14384</v>
      </c>
      <c r="E11358" t="s">
        <v>26915</v>
      </c>
      <c r="F11358" t="s">
        <v>29372</v>
      </c>
      <c r="G11358" t="s">
        <v>29380</v>
      </c>
      <c r="H11358" t="s">
        <v>29389</v>
      </c>
      <c r="I11358" t="s">
        <v>10408</v>
      </c>
      <c r="J11358" t="s">
        <v>36711</v>
      </c>
      <c r="K11358" t="s">
        <v>38490</v>
      </c>
      <c r="M11358" t="s">
        <v>39751</v>
      </c>
      <c r="N11358" t="s">
        <v>42669</v>
      </c>
      <c r="O11358" t="s">
        <v>42670</v>
      </c>
      <c r="P11358">
        <v>0</v>
      </c>
      <c r="Q11358">
        <v>2</v>
      </c>
      <c r="R11358" t="s">
        <v>42685</v>
      </c>
      <c r="S11358" t="s">
        <v>43317</v>
      </c>
      <c r="T11358" t="s">
        <v>44510</v>
      </c>
      <c r="U11358" t="s">
        <v>54092</v>
      </c>
      <c r="W11358" t="s">
        <v>39751</v>
      </c>
      <c r="X11358" t="s">
        <v>42686</v>
      </c>
    </row>
    <row r="11359" spans="1:24">
      <c r="A11359">
        <f>HYPERLINK("https://www.philgeps.gov.ph/GEPSNONPILOT/Tender/SplashBidNoticeAbstractUI.aspx?menuIndex=3&amp;refID=7166951&amp;Result=3","7166951")</f>
        <v>0</v>
      </c>
      <c r="B11359" t="s">
        <v>2836</v>
      </c>
      <c r="C11359" t="s">
        <v>14385</v>
      </c>
      <c r="D11359" t="s">
        <v>17198</v>
      </c>
      <c r="E11359" t="s">
        <v>26916</v>
      </c>
      <c r="F11359" t="s">
        <v>29372</v>
      </c>
      <c r="G11359" t="s">
        <v>29380</v>
      </c>
      <c r="H11359" t="s">
        <v>29389</v>
      </c>
      <c r="I11359" t="s">
        <v>10408</v>
      </c>
      <c r="J11359" t="s">
        <v>36712</v>
      </c>
      <c r="K11359" t="s">
        <v>38487</v>
      </c>
      <c r="M11359" t="s">
        <v>41828</v>
      </c>
      <c r="N11359" t="s">
        <v>42669</v>
      </c>
      <c r="O11359" t="s">
        <v>42670</v>
      </c>
      <c r="P11359">
        <v>0</v>
      </c>
      <c r="Q11359">
        <v>1</v>
      </c>
      <c r="R11359" t="s">
        <v>42685</v>
      </c>
      <c r="S11359" t="s">
        <v>43317</v>
      </c>
      <c r="T11359" t="s">
        <v>44373</v>
      </c>
      <c r="U11359" t="s">
        <v>54093</v>
      </c>
      <c r="W11359" t="s">
        <v>41828</v>
      </c>
      <c r="X11359" t="s">
        <v>42686</v>
      </c>
    </row>
    <row r="11360" spans="1:24">
      <c r="A11360">
        <f>HYPERLINK("https://www.philgeps.gov.ph/GEPSNONPILOT/Tender/SplashBidNoticeAbstractUI.aspx?menuIndex=3&amp;refID=7166943&amp;Result=3","7166943")</f>
        <v>0</v>
      </c>
      <c r="B11360" t="s">
        <v>3165</v>
      </c>
      <c r="C11360" t="s">
        <v>14386</v>
      </c>
      <c r="D11360" t="s">
        <v>17168</v>
      </c>
      <c r="E11360" t="s">
        <v>26917</v>
      </c>
      <c r="F11360" t="s">
        <v>29372</v>
      </c>
      <c r="G11360" t="s">
        <v>29381</v>
      </c>
      <c r="H11360" t="s">
        <v>11048</v>
      </c>
      <c r="I11360" t="s">
        <v>9469</v>
      </c>
      <c r="J11360" t="s">
        <v>36713</v>
      </c>
      <c r="K11360" t="s">
        <v>38487</v>
      </c>
      <c r="M11360" t="s">
        <v>42215</v>
      </c>
      <c r="N11360" t="s">
        <v>42669</v>
      </c>
      <c r="O11360" t="s">
        <v>42670</v>
      </c>
      <c r="P11360">
        <v>0</v>
      </c>
      <c r="Q11360">
        <v>4</v>
      </c>
      <c r="R11360" t="s">
        <v>42685</v>
      </c>
      <c r="S11360" t="s">
        <v>43317</v>
      </c>
      <c r="T11360" t="s">
        <v>44570</v>
      </c>
      <c r="U11360" t="s">
        <v>54094</v>
      </c>
      <c r="W11360" t="s">
        <v>42215</v>
      </c>
      <c r="X11360" t="s">
        <v>42686</v>
      </c>
    </row>
    <row r="11361" spans="1:24">
      <c r="A11361">
        <f>HYPERLINK("https://www.philgeps.gov.ph/GEPSNONPILOT/Tender/SplashBidNoticeAbstractUI.aspx?menuIndex=3&amp;refID=7166939&amp;Result=3","7166939")</f>
        <v>0</v>
      </c>
      <c r="B11361" t="s">
        <v>3166</v>
      </c>
      <c r="C11361" t="s">
        <v>14387</v>
      </c>
      <c r="D11361" t="s">
        <v>17214</v>
      </c>
      <c r="E11361" t="s">
        <v>26918</v>
      </c>
      <c r="F11361" t="s">
        <v>29372</v>
      </c>
      <c r="G11361" t="s">
        <v>29380</v>
      </c>
      <c r="H11361" t="s">
        <v>11048</v>
      </c>
      <c r="I11361" t="s">
        <v>29511</v>
      </c>
      <c r="J11361" t="s">
        <v>36714</v>
      </c>
      <c r="K11361" t="s">
        <v>38487</v>
      </c>
      <c r="M11361" t="s">
        <v>42216</v>
      </c>
      <c r="N11361" t="s">
        <v>42669</v>
      </c>
      <c r="O11361" t="s">
        <v>42670</v>
      </c>
      <c r="P11361">
        <v>0</v>
      </c>
      <c r="Q11361">
        <v>31</v>
      </c>
      <c r="R11361" t="s">
        <v>42685</v>
      </c>
      <c r="S11361" t="s">
        <v>43317</v>
      </c>
      <c r="T11361" t="s">
        <v>44564</v>
      </c>
      <c r="U11361" t="s">
        <v>54095</v>
      </c>
      <c r="W11361" t="s">
        <v>42216</v>
      </c>
      <c r="X11361" t="s">
        <v>42686</v>
      </c>
    </row>
    <row r="11362" spans="1:24">
      <c r="A11362">
        <f>HYPERLINK("https://www.philgeps.gov.ph/GEPSNONPILOT/Tender/SplashBidNoticeAbstractUI.aspx?menuIndex=3&amp;refID=7166933&amp;Result=3","7166933")</f>
        <v>0</v>
      </c>
      <c r="B11362" t="s">
        <v>1785</v>
      </c>
      <c r="C11362" t="s">
        <v>14388</v>
      </c>
      <c r="D11362" t="s">
        <v>17188</v>
      </c>
      <c r="E11362" t="s">
        <v>26919</v>
      </c>
      <c r="F11362" t="s">
        <v>29372</v>
      </c>
      <c r="G11362" t="s">
        <v>29380</v>
      </c>
      <c r="H11362" t="s">
        <v>11048</v>
      </c>
      <c r="I11362" t="s">
        <v>4709</v>
      </c>
      <c r="J11362" t="s">
        <v>36715</v>
      </c>
      <c r="K11362" t="s">
        <v>38488</v>
      </c>
      <c r="M11362" t="s">
        <v>40654</v>
      </c>
      <c r="N11362" t="s">
        <v>42669</v>
      </c>
      <c r="O11362" t="s">
        <v>42670</v>
      </c>
      <c r="P11362">
        <v>0</v>
      </c>
      <c r="Q11362">
        <v>0</v>
      </c>
      <c r="R11362" t="s">
        <v>42685</v>
      </c>
      <c r="S11362" t="s">
        <v>43317</v>
      </c>
      <c r="T11362" t="s">
        <v>44375</v>
      </c>
      <c r="U11362" t="s">
        <v>54096</v>
      </c>
      <c r="W11362" t="s">
        <v>40654</v>
      </c>
      <c r="X11362" t="s">
        <v>42686</v>
      </c>
    </row>
    <row r="11363" spans="1:24">
      <c r="A11363">
        <f>HYPERLINK("https://www.philgeps.gov.ph/GEPSNONPILOT/Tender/SplashBidNoticeAbstractUI.aspx?menuIndex=3&amp;refID=7166980&amp;Result=3","7166980")</f>
        <v>0</v>
      </c>
      <c r="B11363" t="s">
        <v>3138</v>
      </c>
      <c r="C11363" t="s">
        <v>14389</v>
      </c>
      <c r="D11363" t="s">
        <v>17174</v>
      </c>
      <c r="E11363" t="s">
        <v>26920</v>
      </c>
      <c r="F11363" t="s">
        <v>29372</v>
      </c>
      <c r="G11363" t="s">
        <v>29380</v>
      </c>
      <c r="H11363" t="s">
        <v>29389</v>
      </c>
      <c r="I11363" t="s">
        <v>10408</v>
      </c>
      <c r="J11363" t="s">
        <v>34974</v>
      </c>
      <c r="K11363" t="s">
        <v>38487</v>
      </c>
      <c r="M11363" t="s">
        <v>42184</v>
      </c>
      <c r="N11363" t="s">
        <v>42669</v>
      </c>
      <c r="O11363" t="s">
        <v>42670</v>
      </c>
      <c r="Q11363">
        <v>0</v>
      </c>
      <c r="R11363" t="s">
        <v>42685</v>
      </c>
      <c r="S11363" t="s">
        <v>43368</v>
      </c>
      <c r="T11363" t="s">
        <v>44373</v>
      </c>
      <c r="U11363" t="s">
        <v>54097</v>
      </c>
      <c r="W11363" t="s">
        <v>42184</v>
      </c>
      <c r="X11363" t="s">
        <v>42686</v>
      </c>
    </row>
    <row r="11364" spans="1:24">
      <c r="A11364">
        <f>HYPERLINK("https://www.philgeps.gov.ph/GEPSNONPILOT/Tender/SplashBidNoticeAbstractUI.aspx?menuIndex=3&amp;refID=7166930&amp;Result=3","7166930")</f>
        <v>0</v>
      </c>
      <c r="B11364" t="s">
        <v>3167</v>
      </c>
      <c r="C11364" t="s">
        <v>14390</v>
      </c>
      <c r="D11364" t="s">
        <v>17141</v>
      </c>
      <c r="E11364" t="s">
        <v>26921</v>
      </c>
      <c r="F11364" t="s">
        <v>29372</v>
      </c>
      <c r="G11364" t="s">
        <v>29380</v>
      </c>
      <c r="H11364" t="s">
        <v>11048</v>
      </c>
      <c r="I11364" t="s">
        <v>29433</v>
      </c>
      <c r="J11364" t="s">
        <v>36716</v>
      </c>
      <c r="K11364" t="s">
        <v>38495</v>
      </c>
      <c r="M11364" t="s">
        <v>42217</v>
      </c>
      <c r="N11364" t="s">
        <v>42669</v>
      </c>
      <c r="O11364" t="s">
        <v>42670</v>
      </c>
      <c r="Q11364">
        <v>10</v>
      </c>
      <c r="R11364" t="s">
        <v>42685</v>
      </c>
      <c r="S11364" t="s">
        <v>43369</v>
      </c>
      <c r="T11364" t="s">
        <v>44812</v>
      </c>
      <c r="U11364" t="s">
        <v>54098</v>
      </c>
      <c r="V11364" t="s">
        <v>57639</v>
      </c>
      <c r="W11364" t="s">
        <v>42217</v>
      </c>
      <c r="X11364" t="s">
        <v>42686</v>
      </c>
    </row>
    <row r="11365" spans="1:24">
      <c r="A11365">
        <f>HYPERLINK("https://www.philgeps.gov.ph/GEPSNONPILOT/Tender/SplashBidNoticeAbstractUI.aspx?menuIndex=3&amp;refID=7166931&amp;Result=3","7166931")</f>
        <v>0</v>
      </c>
      <c r="B11365" t="s">
        <v>394</v>
      </c>
      <c r="C11365" t="s">
        <v>14391</v>
      </c>
      <c r="D11365" t="s">
        <v>17170</v>
      </c>
      <c r="E11365" t="s">
        <v>26922</v>
      </c>
      <c r="F11365" t="s">
        <v>29372</v>
      </c>
      <c r="G11365" t="s">
        <v>29380</v>
      </c>
      <c r="H11365" t="s">
        <v>11048</v>
      </c>
      <c r="I11365" t="s">
        <v>29425</v>
      </c>
      <c r="J11365" t="s">
        <v>36717</v>
      </c>
      <c r="K11365" t="s">
        <v>38495</v>
      </c>
      <c r="M11365" t="s">
        <v>39650</v>
      </c>
      <c r="N11365" t="s">
        <v>42669</v>
      </c>
      <c r="O11365" t="s">
        <v>42670</v>
      </c>
      <c r="P11365">
        <v>0</v>
      </c>
      <c r="Q11365">
        <v>4</v>
      </c>
      <c r="R11365" t="s">
        <v>42685</v>
      </c>
      <c r="S11365" t="s">
        <v>43317</v>
      </c>
      <c r="T11365" t="s">
        <v>44366</v>
      </c>
      <c r="U11365" t="s">
        <v>54013</v>
      </c>
      <c r="W11365" t="s">
        <v>39650</v>
      </c>
      <c r="X11365" t="s">
        <v>42686</v>
      </c>
    </row>
    <row r="11366" spans="1:24">
      <c r="A11366">
        <f>HYPERLINK("https://www.philgeps.gov.ph/GEPSNONPILOT/Tender/SplashBidNoticeAbstractUI.aspx?menuIndex=3&amp;refID=7166911&amp;Result=3","7166911")</f>
        <v>0</v>
      </c>
      <c r="B11366" t="s">
        <v>3168</v>
      </c>
      <c r="C11366" t="s">
        <v>14392</v>
      </c>
      <c r="D11366" t="s">
        <v>17170</v>
      </c>
      <c r="E11366" t="s">
        <v>20026</v>
      </c>
      <c r="F11366" t="s">
        <v>29372</v>
      </c>
      <c r="G11366" t="s">
        <v>29380</v>
      </c>
      <c r="H11366" t="s">
        <v>29389</v>
      </c>
      <c r="I11366" t="s">
        <v>10408</v>
      </c>
      <c r="J11366" t="s">
        <v>36718</v>
      </c>
      <c r="K11366" t="s">
        <v>38495</v>
      </c>
      <c r="M11366" t="s">
        <v>42218</v>
      </c>
      <c r="N11366" t="s">
        <v>42669</v>
      </c>
      <c r="O11366" t="s">
        <v>42670</v>
      </c>
      <c r="P11366">
        <v>0</v>
      </c>
      <c r="Q11366">
        <v>1</v>
      </c>
      <c r="R11366" t="s">
        <v>42685</v>
      </c>
      <c r="S11366" t="s">
        <v>43317</v>
      </c>
      <c r="T11366" t="s">
        <v>44568</v>
      </c>
      <c r="U11366" t="s">
        <v>54099</v>
      </c>
      <c r="W11366" t="s">
        <v>42218</v>
      </c>
      <c r="X11366" t="s">
        <v>42686</v>
      </c>
    </row>
    <row r="11367" spans="1:24">
      <c r="A11367">
        <f>HYPERLINK("https://www.philgeps.gov.ph/GEPSNONPILOT/Tender/SplashBidNoticeAbstractUI.aspx?menuIndex=3&amp;refID=7166891&amp;Result=3","7166891")</f>
        <v>0</v>
      </c>
      <c r="B11367" t="s">
        <v>1723</v>
      </c>
      <c r="C11367" t="s">
        <v>12072</v>
      </c>
      <c r="D11367" t="s">
        <v>17194</v>
      </c>
      <c r="E11367" t="s">
        <v>24922</v>
      </c>
      <c r="F11367" t="s">
        <v>29372</v>
      </c>
      <c r="G11367" t="s">
        <v>29380</v>
      </c>
      <c r="H11367" t="s">
        <v>11048</v>
      </c>
      <c r="I11367" t="s">
        <v>4486</v>
      </c>
      <c r="J11367" t="s">
        <v>30886</v>
      </c>
      <c r="K11367" t="s">
        <v>38510</v>
      </c>
      <c r="M11367" t="s">
        <v>40587</v>
      </c>
      <c r="N11367" t="s">
        <v>42669</v>
      </c>
      <c r="O11367" t="s">
        <v>42670</v>
      </c>
      <c r="Q11367">
        <v>1</v>
      </c>
      <c r="R11367" t="s">
        <v>42685</v>
      </c>
      <c r="S11367" t="s">
        <v>43370</v>
      </c>
      <c r="T11367" t="s">
        <v>44432</v>
      </c>
      <c r="U11367" t="s">
        <v>52136</v>
      </c>
      <c r="V11367" t="s">
        <v>57640</v>
      </c>
      <c r="W11367" t="s">
        <v>40587</v>
      </c>
      <c r="X11367" t="s">
        <v>42686</v>
      </c>
    </row>
    <row r="11368" spans="1:24">
      <c r="A11368">
        <f>HYPERLINK("https://www.philgeps.gov.ph/GEPSNONPILOT/Tender/SplashBidNoticeAbstractUI.aspx?menuIndex=3&amp;refID=7166874&amp;Result=3","7166874")</f>
        <v>0</v>
      </c>
      <c r="B11368" t="s">
        <v>955</v>
      </c>
      <c r="C11368" t="s">
        <v>14393</v>
      </c>
      <c r="E11368" t="s">
        <v>26923</v>
      </c>
      <c r="F11368" t="s">
        <v>29372</v>
      </c>
      <c r="G11368" t="s">
        <v>29380</v>
      </c>
      <c r="H11368" t="s">
        <v>29389</v>
      </c>
      <c r="I11368" t="s">
        <v>10408</v>
      </c>
      <c r="J11368" t="s">
        <v>36719</v>
      </c>
      <c r="K11368" t="s">
        <v>38490</v>
      </c>
      <c r="M11368" t="s">
        <v>39751</v>
      </c>
      <c r="N11368" t="s">
        <v>42669</v>
      </c>
      <c r="O11368" t="s">
        <v>42670</v>
      </c>
      <c r="P11368">
        <v>0</v>
      </c>
      <c r="Q11368">
        <v>2</v>
      </c>
      <c r="R11368" t="s">
        <v>42685</v>
      </c>
      <c r="S11368" t="s">
        <v>43317</v>
      </c>
      <c r="T11368" t="s">
        <v>44510</v>
      </c>
      <c r="U11368" t="s">
        <v>54100</v>
      </c>
      <c r="W11368" t="s">
        <v>39751</v>
      </c>
      <c r="X11368" t="s">
        <v>42686</v>
      </c>
    </row>
    <row r="11369" spans="1:24">
      <c r="A11369">
        <f>HYPERLINK("https://www.philgeps.gov.ph/GEPSNONPILOT/Tender/SplashBidNoticeAbstractUI.aspx?menuIndex=3&amp;refID=7166997&amp;Result=3","7166997")</f>
        <v>0</v>
      </c>
      <c r="B11369" t="s">
        <v>820</v>
      </c>
      <c r="C11369" t="s">
        <v>14394</v>
      </c>
      <c r="D11369" t="s">
        <v>17165</v>
      </c>
      <c r="E11369" t="s">
        <v>26924</v>
      </c>
      <c r="F11369" t="s">
        <v>29372</v>
      </c>
      <c r="G11369" t="s">
        <v>29379</v>
      </c>
      <c r="H11369" t="s">
        <v>11048</v>
      </c>
      <c r="I11369" t="s">
        <v>3670</v>
      </c>
      <c r="J11369" t="s">
        <v>29532</v>
      </c>
      <c r="K11369" t="s">
        <v>38485</v>
      </c>
      <c r="M11369" t="s">
        <v>39606</v>
      </c>
      <c r="N11369" t="s">
        <v>42669</v>
      </c>
      <c r="O11369" t="s">
        <v>42670</v>
      </c>
      <c r="Q11369">
        <v>3</v>
      </c>
      <c r="R11369" t="s">
        <v>42685</v>
      </c>
      <c r="S11369" t="s">
        <v>43371</v>
      </c>
      <c r="T11369" t="s">
        <v>44491</v>
      </c>
      <c r="U11369" t="s">
        <v>54101</v>
      </c>
      <c r="W11369" t="s">
        <v>39606</v>
      </c>
      <c r="X11369" t="s">
        <v>42686</v>
      </c>
    </row>
    <row r="11370" spans="1:24">
      <c r="A11370">
        <f>HYPERLINK("https://www.philgeps.gov.ph/GEPSNONPILOT/Tender/SplashBidNoticeAbstractUI.aspx?menuIndex=3&amp;refID=7166908&amp;Result=3","7166908")</f>
        <v>0</v>
      </c>
      <c r="B11370" t="s">
        <v>2608</v>
      </c>
      <c r="C11370" t="s">
        <v>14395</v>
      </c>
      <c r="D11370" t="s">
        <v>17192</v>
      </c>
      <c r="E11370" t="s">
        <v>26925</v>
      </c>
      <c r="F11370" t="s">
        <v>29372</v>
      </c>
      <c r="G11370" t="s">
        <v>29380</v>
      </c>
      <c r="H11370" t="s">
        <v>29389</v>
      </c>
      <c r="I11370" t="s">
        <v>10408</v>
      </c>
      <c r="J11370" t="s">
        <v>29543</v>
      </c>
      <c r="K11370" t="s">
        <v>38550</v>
      </c>
      <c r="M11370" t="s">
        <v>41577</v>
      </c>
      <c r="N11370" t="s">
        <v>42669</v>
      </c>
      <c r="O11370" t="s">
        <v>42670</v>
      </c>
      <c r="P11370">
        <v>0</v>
      </c>
      <c r="Q11370">
        <v>0</v>
      </c>
      <c r="R11370" t="s">
        <v>42685</v>
      </c>
      <c r="S11370" t="s">
        <v>43317</v>
      </c>
      <c r="T11370" t="s">
        <v>44543</v>
      </c>
      <c r="U11370" t="s">
        <v>54102</v>
      </c>
      <c r="W11370" t="s">
        <v>41577</v>
      </c>
      <c r="X11370" t="s">
        <v>42686</v>
      </c>
    </row>
    <row r="11371" spans="1:24">
      <c r="A11371">
        <f>HYPERLINK("https://www.philgeps.gov.ph/GEPSNONPILOT/Tender/SplashBidNoticeAbstractUI.aspx?menuIndex=3&amp;refID=7166952&amp;Result=3","7166952")</f>
        <v>0</v>
      </c>
      <c r="B11371" t="s">
        <v>533</v>
      </c>
      <c r="C11371" t="s">
        <v>14396</v>
      </c>
      <c r="E11371" t="s">
        <v>26926</v>
      </c>
      <c r="F11371" t="s">
        <v>29372</v>
      </c>
      <c r="G11371" t="s">
        <v>29380</v>
      </c>
      <c r="H11371" t="s">
        <v>11048</v>
      </c>
      <c r="I11371" t="s">
        <v>8208</v>
      </c>
      <c r="J11371" t="s">
        <v>36720</v>
      </c>
      <c r="K11371" t="s">
        <v>38490</v>
      </c>
      <c r="M11371" t="s">
        <v>39300</v>
      </c>
      <c r="N11371" t="s">
        <v>42669</v>
      </c>
      <c r="O11371" t="s">
        <v>42670</v>
      </c>
      <c r="Q11371">
        <v>0</v>
      </c>
      <c r="R11371" t="s">
        <v>42685</v>
      </c>
      <c r="S11371" t="s">
        <v>43372</v>
      </c>
      <c r="T11371" t="s">
        <v>44375</v>
      </c>
      <c r="U11371" t="s">
        <v>54103</v>
      </c>
      <c r="W11371" t="s">
        <v>39300</v>
      </c>
      <c r="X11371" t="s">
        <v>42686</v>
      </c>
    </row>
    <row r="11372" spans="1:24">
      <c r="A11372">
        <f>HYPERLINK("https://www.philgeps.gov.ph/GEPSNONPILOT/Tender/SplashBidNoticeAbstractUI.aspx?menuIndex=3&amp;refID=7166904&amp;Result=3","7166904")</f>
        <v>0</v>
      </c>
      <c r="B11372" t="s">
        <v>1113</v>
      </c>
      <c r="C11372" t="s">
        <v>14397</v>
      </c>
      <c r="D11372" t="s">
        <v>17176</v>
      </c>
      <c r="E11372" t="s">
        <v>26927</v>
      </c>
      <c r="F11372" t="s">
        <v>29372</v>
      </c>
      <c r="G11372" t="s">
        <v>29380</v>
      </c>
      <c r="H11372" t="s">
        <v>29389</v>
      </c>
      <c r="I11372" t="s">
        <v>10408</v>
      </c>
      <c r="J11372" t="s">
        <v>36721</v>
      </c>
      <c r="K11372" t="s">
        <v>38522</v>
      </c>
      <c r="M11372" t="s">
        <v>39922</v>
      </c>
      <c r="N11372" t="s">
        <v>42669</v>
      </c>
      <c r="O11372" t="s">
        <v>42670</v>
      </c>
      <c r="Q11372">
        <v>0</v>
      </c>
      <c r="R11372" t="s">
        <v>42685</v>
      </c>
      <c r="S11372" t="s">
        <v>43373</v>
      </c>
      <c r="T11372" t="s">
        <v>44450</v>
      </c>
      <c r="U11372" t="s">
        <v>54104</v>
      </c>
      <c r="V11372" t="s">
        <v>57641</v>
      </c>
      <c r="W11372" t="s">
        <v>39922</v>
      </c>
      <c r="X11372" t="s">
        <v>42686</v>
      </c>
    </row>
    <row r="11373" spans="1:24">
      <c r="A11373">
        <f>HYPERLINK("https://www.philgeps.gov.ph/GEPSNONPILOT/Tender/SplashBidNoticeAbstractUI.aspx?menuIndex=3&amp;refID=7166769&amp;Result=3","7166769")</f>
        <v>0</v>
      </c>
      <c r="B11373" t="s">
        <v>955</v>
      </c>
      <c r="C11373" t="s">
        <v>14398</v>
      </c>
      <c r="E11373" t="s">
        <v>26928</v>
      </c>
      <c r="F11373" t="s">
        <v>29372</v>
      </c>
      <c r="G11373" t="s">
        <v>29380</v>
      </c>
      <c r="H11373" t="s">
        <v>29389</v>
      </c>
      <c r="I11373" t="s">
        <v>10408</v>
      </c>
      <c r="J11373" t="s">
        <v>36722</v>
      </c>
      <c r="K11373" t="s">
        <v>38490</v>
      </c>
      <c r="M11373" t="s">
        <v>39751</v>
      </c>
      <c r="N11373" t="s">
        <v>42669</v>
      </c>
      <c r="O11373" t="s">
        <v>42670</v>
      </c>
      <c r="P11373">
        <v>0</v>
      </c>
      <c r="Q11373">
        <v>3</v>
      </c>
      <c r="R11373" t="s">
        <v>42685</v>
      </c>
      <c r="S11373" t="s">
        <v>43317</v>
      </c>
      <c r="T11373" t="s">
        <v>44510</v>
      </c>
      <c r="U11373" t="s">
        <v>54105</v>
      </c>
      <c r="W11373" t="s">
        <v>39751</v>
      </c>
      <c r="X11373" t="s">
        <v>42686</v>
      </c>
    </row>
    <row r="11374" spans="1:24">
      <c r="A11374">
        <f>HYPERLINK("https://www.philgeps.gov.ph/GEPSNONPILOT/Tender/SplashBidNoticeAbstractUI.aspx?menuIndex=3&amp;refID=7166747&amp;Result=3","7166747")</f>
        <v>0</v>
      </c>
      <c r="B11374" t="s">
        <v>1466</v>
      </c>
      <c r="C11374" t="s">
        <v>14399</v>
      </c>
      <c r="E11374" t="s">
        <v>26929</v>
      </c>
      <c r="F11374" t="s">
        <v>29372</v>
      </c>
      <c r="G11374" t="s">
        <v>29380</v>
      </c>
      <c r="H11374" t="s">
        <v>29389</v>
      </c>
      <c r="I11374" t="s">
        <v>10408</v>
      </c>
      <c r="J11374" t="s">
        <v>36723</v>
      </c>
      <c r="K11374" t="s">
        <v>38490</v>
      </c>
      <c r="M11374" t="s">
        <v>41524</v>
      </c>
      <c r="N11374" t="s">
        <v>42669</v>
      </c>
      <c r="O11374" t="s">
        <v>42670</v>
      </c>
      <c r="P11374">
        <v>0</v>
      </c>
      <c r="Q11374">
        <v>1</v>
      </c>
      <c r="R11374" t="s">
        <v>42685</v>
      </c>
      <c r="S11374" t="s">
        <v>43317</v>
      </c>
      <c r="T11374" t="s">
        <v>44375</v>
      </c>
      <c r="U11374" t="s">
        <v>54106</v>
      </c>
      <c r="W11374" t="s">
        <v>41524</v>
      </c>
      <c r="X11374" t="s">
        <v>42686</v>
      </c>
    </row>
    <row r="11375" spans="1:24">
      <c r="A11375">
        <f>HYPERLINK("https://www.philgeps.gov.ph/GEPSNONPILOT/Tender/SplashBidNoticeAbstractUI.aspx?menuIndex=3&amp;refID=7167003&amp;Result=3","7167003")</f>
        <v>0</v>
      </c>
      <c r="B11375" t="s">
        <v>828</v>
      </c>
      <c r="C11375" t="s">
        <v>14400</v>
      </c>
      <c r="D11375" t="s">
        <v>17160</v>
      </c>
      <c r="E11375" t="s">
        <v>26930</v>
      </c>
      <c r="F11375" t="s">
        <v>29372</v>
      </c>
      <c r="G11375" t="s">
        <v>29380</v>
      </c>
      <c r="H11375" t="s">
        <v>29389</v>
      </c>
      <c r="I11375" t="s">
        <v>10408</v>
      </c>
      <c r="J11375" t="s">
        <v>29937</v>
      </c>
      <c r="K11375" t="s">
        <v>38485</v>
      </c>
      <c r="M11375" t="s">
        <v>39615</v>
      </c>
      <c r="N11375" t="s">
        <v>42669</v>
      </c>
      <c r="O11375" t="s">
        <v>42670</v>
      </c>
      <c r="P11375">
        <v>0</v>
      </c>
      <c r="Q11375">
        <v>2</v>
      </c>
      <c r="R11375" t="s">
        <v>42685</v>
      </c>
      <c r="S11375" t="s">
        <v>43317</v>
      </c>
      <c r="T11375" t="s">
        <v>44466</v>
      </c>
      <c r="U11375" t="s">
        <v>54050</v>
      </c>
      <c r="W11375" t="s">
        <v>39615</v>
      </c>
      <c r="X11375" t="s">
        <v>42686</v>
      </c>
    </row>
    <row r="11376" spans="1:24">
      <c r="A11376">
        <f>HYPERLINK("https://www.philgeps.gov.ph/GEPSNONPILOT/Tender/SplashBidNoticeAbstractUI.aspx?menuIndex=3&amp;refID=7167034&amp;Result=3","7167034")</f>
        <v>0</v>
      </c>
      <c r="B11376" t="s">
        <v>2012</v>
      </c>
      <c r="C11376" t="s">
        <v>14401</v>
      </c>
      <c r="D11376" t="s">
        <v>17197</v>
      </c>
      <c r="E11376" t="s">
        <v>26931</v>
      </c>
      <c r="F11376" t="s">
        <v>29372</v>
      </c>
      <c r="G11376" t="s">
        <v>29380</v>
      </c>
      <c r="H11376" t="s">
        <v>29389</v>
      </c>
      <c r="I11376" t="s">
        <v>10408</v>
      </c>
      <c r="J11376" t="s">
        <v>36724</v>
      </c>
      <c r="K11376" t="s">
        <v>38526</v>
      </c>
      <c r="M11376" t="s">
        <v>40903</v>
      </c>
      <c r="N11376" t="s">
        <v>42669</v>
      </c>
      <c r="O11376" t="s">
        <v>42670</v>
      </c>
      <c r="P11376">
        <v>0</v>
      </c>
      <c r="Q11376">
        <v>0</v>
      </c>
      <c r="R11376" t="s">
        <v>42685</v>
      </c>
      <c r="S11376" t="s">
        <v>43317</v>
      </c>
      <c r="T11376" t="s">
        <v>44412</v>
      </c>
      <c r="U11376" t="s">
        <v>53468</v>
      </c>
      <c r="W11376" t="s">
        <v>40903</v>
      </c>
      <c r="X11376" t="s">
        <v>42686</v>
      </c>
    </row>
    <row r="11377" spans="1:24">
      <c r="A11377">
        <f>HYPERLINK("https://www.philgeps.gov.ph/GEPSNONPILOT/Tender/SplashBidNoticeAbstractUI.aspx?menuIndex=3&amp;refID=7167029&amp;Result=3","7167029")</f>
        <v>0</v>
      </c>
      <c r="B11377" t="s">
        <v>1791</v>
      </c>
      <c r="C11377" t="s">
        <v>14402</v>
      </c>
      <c r="D11377" t="s">
        <v>17202</v>
      </c>
      <c r="E11377" t="s">
        <v>21187</v>
      </c>
      <c r="F11377" t="s">
        <v>29372</v>
      </c>
      <c r="G11377" t="s">
        <v>29380</v>
      </c>
      <c r="H11377" t="s">
        <v>11048</v>
      </c>
      <c r="I11377" t="s">
        <v>29411</v>
      </c>
      <c r="J11377" t="s">
        <v>36725</v>
      </c>
      <c r="K11377" t="s">
        <v>38488</v>
      </c>
      <c r="M11377" t="s">
        <v>40662</v>
      </c>
      <c r="N11377" t="s">
        <v>42669</v>
      </c>
      <c r="O11377" t="s">
        <v>42670</v>
      </c>
      <c r="P11377">
        <v>0</v>
      </c>
      <c r="Q11377">
        <v>1</v>
      </c>
      <c r="R11377" t="s">
        <v>42685</v>
      </c>
      <c r="S11377" t="s">
        <v>43317</v>
      </c>
      <c r="T11377" t="s">
        <v>44488</v>
      </c>
      <c r="U11377" t="s">
        <v>54107</v>
      </c>
      <c r="W11377" t="s">
        <v>40662</v>
      </c>
      <c r="X11377" t="s">
        <v>42686</v>
      </c>
    </row>
    <row r="11378" spans="1:24">
      <c r="A11378">
        <f>HYPERLINK("https://www.philgeps.gov.ph/GEPSNONPILOT/Tender/SplashBidNoticeAbstractUI.aspx?menuIndex=3&amp;refID=7167012&amp;Result=3","7167012")</f>
        <v>0</v>
      </c>
      <c r="B11378" t="s">
        <v>3167</v>
      </c>
      <c r="C11378" t="s">
        <v>14403</v>
      </c>
      <c r="D11378" t="s">
        <v>17141</v>
      </c>
      <c r="E11378" t="s">
        <v>26932</v>
      </c>
      <c r="F11378" t="s">
        <v>29372</v>
      </c>
      <c r="G11378" t="s">
        <v>29380</v>
      </c>
      <c r="H11378" t="s">
        <v>11048</v>
      </c>
      <c r="I11378" t="s">
        <v>29413</v>
      </c>
      <c r="J11378" t="s">
        <v>29724</v>
      </c>
      <c r="K11378" t="s">
        <v>38485</v>
      </c>
      <c r="M11378" t="s">
        <v>42217</v>
      </c>
      <c r="N11378" t="s">
        <v>42669</v>
      </c>
      <c r="O11378" t="s">
        <v>42670</v>
      </c>
      <c r="Q11378">
        <v>18</v>
      </c>
      <c r="R11378" t="s">
        <v>42685</v>
      </c>
      <c r="S11378" t="s">
        <v>43089</v>
      </c>
      <c r="T11378" t="s">
        <v>44812</v>
      </c>
      <c r="U11378" t="s">
        <v>54108</v>
      </c>
      <c r="V11378" t="s">
        <v>57639</v>
      </c>
      <c r="W11378" t="s">
        <v>42217</v>
      </c>
      <c r="X11378" t="s">
        <v>42686</v>
      </c>
    </row>
    <row r="11379" spans="1:24">
      <c r="A11379">
        <f>HYPERLINK("https://www.philgeps.gov.ph/GEPSNONPILOT/Tender/SplashBidNoticeAbstractUI.aspx?menuIndex=3&amp;refID=7167033&amp;Result=3","7167033")</f>
        <v>0</v>
      </c>
      <c r="B11379" t="s">
        <v>1084</v>
      </c>
      <c r="C11379" t="s">
        <v>14404</v>
      </c>
      <c r="D11379" t="s">
        <v>17179</v>
      </c>
      <c r="E11379" t="s">
        <v>26933</v>
      </c>
      <c r="F11379" t="s">
        <v>29372</v>
      </c>
      <c r="G11379" t="s">
        <v>29380</v>
      </c>
      <c r="H11379" t="s">
        <v>29389</v>
      </c>
      <c r="I11379" t="s">
        <v>10408</v>
      </c>
      <c r="J11379" t="s">
        <v>36726</v>
      </c>
      <c r="K11379" t="s">
        <v>38490</v>
      </c>
      <c r="M11379" t="s">
        <v>39910</v>
      </c>
      <c r="N11379" t="s">
        <v>42669</v>
      </c>
      <c r="O11379" t="s">
        <v>42670</v>
      </c>
      <c r="P11379">
        <v>0</v>
      </c>
      <c r="Q11379">
        <v>1</v>
      </c>
      <c r="R11379" t="s">
        <v>42685</v>
      </c>
      <c r="S11379" t="s">
        <v>43317</v>
      </c>
      <c r="T11379" t="s">
        <v>44412</v>
      </c>
      <c r="U11379" t="s">
        <v>54109</v>
      </c>
      <c r="W11379" t="s">
        <v>39910</v>
      </c>
      <c r="X11379" t="s">
        <v>42686</v>
      </c>
    </row>
    <row r="11380" spans="1:24">
      <c r="A11380">
        <f>HYPERLINK("https://www.philgeps.gov.ph/GEPSNONPILOT/Tender/SplashBidNoticeAbstractUI.aspx?menuIndex=3&amp;refID=7167007&amp;Result=3","7167007")</f>
        <v>0</v>
      </c>
      <c r="B11380" t="s">
        <v>3169</v>
      </c>
      <c r="C11380" t="s">
        <v>14405</v>
      </c>
      <c r="D11380" t="s">
        <v>17158</v>
      </c>
      <c r="E11380" t="s">
        <v>17434</v>
      </c>
      <c r="F11380" t="s">
        <v>29372</v>
      </c>
      <c r="G11380" t="s">
        <v>29380</v>
      </c>
      <c r="H11380" t="s">
        <v>11048</v>
      </c>
      <c r="I11380" t="s">
        <v>29404</v>
      </c>
      <c r="J11380" t="s">
        <v>32851</v>
      </c>
      <c r="K11380" t="s">
        <v>38485</v>
      </c>
      <c r="M11380" t="s">
        <v>42219</v>
      </c>
      <c r="N11380" t="s">
        <v>42669</v>
      </c>
      <c r="O11380" t="s">
        <v>42670</v>
      </c>
      <c r="P11380">
        <v>0</v>
      </c>
      <c r="Q11380">
        <v>0</v>
      </c>
      <c r="R11380" t="s">
        <v>42685</v>
      </c>
      <c r="S11380" t="s">
        <v>43317</v>
      </c>
      <c r="T11380" t="s">
        <v>44412</v>
      </c>
      <c r="U11380" t="s">
        <v>54110</v>
      </c>
      <c r="W11380" t="s">
        <v>42219</v>
      </c>
      <c r="X11380" t="s">
        <v>42686</v>
      </c>
    </row>
    <row r="11381" spans="1:24">
      <c r="A11381">
        <f>HYPERLINK("https://www.philgeps.gov.ph/GEPSNONPILOT/Tender/SplashBidNoticeAbstractUI.aspx?menuIndex=3&amp;refID=7167154&amp;Result=3","7167154")</f>
        <v>0</v>
      </c>
      <c r="B11381" t="s">
        <v>764</v>
      </c>
      <c r="C11381" t="s">
        <v>14406</v>
      </c>
      <c r="D11381" t="s">
        <v>17177</v>
      </c>
      <c r="E11381" t="s">
        <v>26934</v>
      </c>
      <c r="F11381" t="s">
        <v>29372</v>
      </c>
      <c r="G11381" t="s">
        <v>29380</v>
      </c>
      <c r="H11381" t="s">
        <v>11048</v>
      </c>
      <c r="I11381" t="s">
        <v>29407</v>
      </c>
      <c r="J11381" t="s">
        <v>36727</v>
      </c>
      <c r="K11381" t="s">
        <v>38488</v>
      </c>
      <c r="M11381" t="s">
        <v>39547</v>
      </c>
      <c r="N11381" t="s">
        <v>42669</v>
      </c>
      <c r="O11381" t="s">
        <v>42670</v>
      </c>
      <c r="P11381">
        <v>0</v>
      </c>
      <c r="Q11381">
        <v>41</v>
      </c>
      <c r="R11381" t="s">
        <v>42685</v>
      </c>
      <c r="S11381" t="s">
        <v>43317</v>
      </c>
      <c r="T11381" t="s">
        <v>44666</v>
      </c>
      <c r="U11381" t="s">
        <v>54111</v>
      </c>
      <c r="W11381" t="s">
        <v>39547</v>
      </c>
      <c r="X11381" t="s">
        <v>42686</v>
      </c>
    </row>
    <row r="11382" spans="1:24">
      <c r="A11382">
        <f>HYPERLINK("https://www.philgeps.gov.ph/GEPSNONPILOT/Tender/SplashBidNoticeAbstractUI.aspx?menuIndex=3&amp;refID=7167139&amp;Result=3","7167139")</f>
        <v>0</v>
      </c>
      <c r="B11382" t="s">
        <v>828</v>
      </c>
      <c r="C11382" t="s">
        <v>14407</v>
      </c>
      <c r="D11382" t="s">
        <v>17160</v>
      </c>
      <c r="E11382" t="s">
        <v>26935</v>
      </c>
      <c r="F11382" t="s">
        <v>29372</v>
      </c>
      <c r="G11382" t="s">
        <v>29380</v>
      </c>
      <c r="H11382" t="s">
        <v>29389</v>
      </c>
      <c r="I11382" t="s">
        <v>10408</v>
      </c>
      <c r="J11382" t="s">
        <v>30161</v>
      </c>
      <c r="K11382" t="s">
        <v>38485</v>
      </c>
      <c r="M11382" t="s">
        <v>39615</v>
      </c>
      <c r="N11382" t="s">
        <v>42669</v>
      </c>
      <c r="O11382" t="s">
        <v>42670</v>
      </c>
      <c r="P11382">
        <v>0</v>
      </c>
      <c r="Q11382">
        <v>2</v>
      </c>
      <c r="R11382" t="s">
        <v>42685</v>
      </c>
      <c r="S11382" t="s">
        <v>43317</v>
      </c>
      <c r="T11382" t="s">
        <v>44466</v>
      </c>
      <c r="U11382" t="s">
        <v>54050</v>
      </c>
      <c r="W11382" t="s">
        <v>39615</v>
      </c>
      <c r="X11382" t="s">
        <v>42686</v>
      </c>
    </row>
    <row r="11383" spans="1:24">
      <c r="A11383">
        <f>HYPERLINK("https://www.philgeps.gov.ph/GEPSNONPILOT/Tender/SplashBidNoticeAbstractUI.aspx?menuIndex=3&amp;refID=7167057&amp;Result=3","7167057")</f>
        <v>0</v>
      </c>
      <c r="B11383" t="s">
        <v>3169</v>
      </c>
      <c r="C11383" t="s">
        <v>14408</v>
      </c>
      <c r="D11383" t="s">
        <v>17158</v>
      </c>
      <c r="E11383" t="s">
        <v>17479</v>
      </c>
      <c r="F11383" t="s">
        <v>29372</v>
      </c>
      <c r="G11383" t="s">
        <v>29380</v>
      </c>
      <c r="H11383" t="s">
        <v>29389</v>
      </c>
      <c r="I11383" t="s">
        <v>10408</v>
      </c>
      <c r="J11383" t="s">
        <v>36728</v>
      </c>
      <c r="K11383" t="s">
        <v>38564</v>
      </c>
      <c r="M11383" t="s">
        <v>42219</v>
      </c>
      <c r="N11383" t="s">
        <v>42669</v>
      </c>
      <c r="O11383" t="s">
        <v>42670</v>
      </c>
      <c r="P11383">
        <v>0</v>
      </c>
      <c r="Q11383">
        <v>4</v>
      </c>
      <c r="R11383" t="s">
        <v>42685</v>
      </c>
      <c r="S11383" t="s">
        <v>43317</v>
      </c>
      <c r="T11383" t="s">
        <v>44412</v>
      </c>
      <c r="U11383" t="s">
        <v>54112</v>
      </c>
      <c r="W11383" t="s">
        <v>42219</v>
      </c>
      <c r="X11383" t="s">
        <v>42686</v>
      </c>
    </row>
    <row r="11384" spans="1:24">
      <c r="A11384">
        <f>HYPERLINK("https://www.philgeps.gov.ph/GEPSNONPILOT/Tender/SplashBidNoticeAbstractUI.aspx?menuIndex=3&amp;refID=7167137&amp;Result=3","7167137")</f>
        <v>0</v>
      </c>
      <c r="B11384" t="s">
        <v>3170</v>
      </c>
      <c r="C11384" t="s">
        <v>14409</v>
      </c>
      <c r="D11384" t="s">
        <v>17171</v>
      </c>
      <c r="E11384" t="s">
        <v>26936</v>
      </c>
      <c r="F11384" t="s">
        <v>29372</v>
      </c>
      <c r="G11384" t="s">
        <v>29380</v>
      </c>
      <c r="H11384" t="s">
        <v>11048</v>
      </c>
      <c r="I11384" t="s">
        <v>29419</v>
      </c>
      <c r="J11384" t="s">
        <v>31463</v>
      </c>
      <c r="K11384" t="s">
        <v>38534</v>
      </c>
      <c r="M11384" t="s">
        <v>42220</v>
      </c>
      <c r="N11384" t="s">
        <v>42669</v>
      </c>
      <c r="O11384" t="s">
        <v>42670</v>
      </c>
      <c r="P11384">
        <v>0</v>
      </c>
      <c r="Q11384">
        <v>0</v>
      </c>
      <c r="R11384" t="s">
        <v>42685</v>
      </c>
      <c r="S11384" t="s">
        <v>43317</v>
      </c>
      <c r="T11384" t="s">
        <v>44813</v>
      </c>
      <c r="U11384" t="s">
        <v>54113</v>
      </c>
      <c r="W11384" t="s">
        <v>42220</v>
      </c>
      <c r="X11384" t="s">
        <v>42686</v>
      </c>
    </row>
    <row r="11385" spans="1:24">
      <c r="A11385">
        <f>HYPERLINK("https://www.philgeps.gov.ph/GEPSNONPILOT/Tender/SplashBidNoticeAbstractUI.aspx?menuIndex=3&amp;refID=7167135&amp;Result=3","7167135")</f>
        <v>0</v>
      </c>
      <c r="B11385" t="s">
        <v>579</v>
      </c>
      <c r="C11385" t="s">
        <v>14410</v>
      </c>
      <c r="D11385" t="s">
        <v>17141</v>
      </c>
      <c r="E11385" t="s">
        <v>26937</v>
      </c>
      <c r="F11385" t="s">
        <v>29373</v>
      </c>
      <c r="G11385" t="s">
        <v>29380</v>
      </c>
      <c r="H11385" t="s">
        <v>11048</v>
      </c>
      <c r="I11385" t="s">
        <v>29407</v>
      </c>
      <c r="J11385" t="s">
        <v>36729</v>
      </c>
      <c r="K11385" t="s">
        <v>38485</v>
      </c>
      <c r="M11385" t="s">
        <v>39348</v>
      </c>
      <c r="N11385" t="s">
        <v>42669</v>
      </c>
      <c r="O11385" t="s">
        <v>42670</v>
      </c>
      <c r="P11385">
        <v>0</v>
      </c>
      <c r="Q11385">
        <v>2</v>
      </c>
      <c r="R11385" t="s">
        <v>42685</v>
      </c>
      <c r="S11385" t="s">
        <v>43317</v>
      </c>
      <c r="T11385" t="s">
        <v>44387</v>
      </c>
      <c r="U11385" t="s">
        <v>54114</v>
      </c>
      <c r="V11385" t="s">
        <v>56504</v>
      </c>
      <c r="W11385" t="s">
        <v>39348</v>
      </c>
      <c r="X11385" t="s">
        <v>42686</v>
      </c>
    </row>
    <row r="11386" spans="1:24">
      <c r="A11386">
        <f>HYPERLINK("https://www.philgeps.gov.ph/GEPSNONPILOT/Tender/SplashBidNoticeAbstractUI.aspx?menuIndex=3&amp;refID=7167126&amp;Result=3","7167126")</f>
        <v>0</v>
      </c>
      <c r="B11386" t="s">
        <v>1785</v>
      </c>
      <c r="C11386" t="s">
        <v>14411</v>
      </c>
      <c r="D11386" t="s">
        <v>17188</v>
      </c>
      <c r="E11386" t="s">
        <v>26938</v>
      </c>
      <c r="F11386" t="s">
        <v>29372</v>
      </c>
      <c r="G11386" t="s">
        <v>29380</v>
      </c>
      <c r="H11386" t="s">
        <v>11048</v>
      </c>
      <c r="I11386" t="s">
        <v>29430</v>
      </c>
      <c r="J11386" t="s">
        <v>31263</v>
      </c>
      <c r="K11386" t="s">
        <v>38488</v>
      </c>
      <c r="M11386" t="s">
        <v>40654</v>
      </c>
      <c r="N11386" t="s">
        <v>42669</v>
      </c>
      <c r="O11386" t="s">
        <v>42670</v>
      </c>
      <c r="P11386">
        <v>0</v>
      </c>
      <c r="Q11386">
        <v>1</v>
      </c>
      <c r="R11386" t="s">
        <v>42685</v>
      </c>
      <c r="S11386" t="s">
        <v>43317</v>
      </c>
      <c r="T11386" t="s">
        <v>44361</v>
      </c>
      <c r="U11386" t="s">
        <v>54115</v>
      </c>
      <c r="W11386" t="s">
        <v>40654</v>
      </c>
      <c r="X11386" t="s">
        <v>42686</v>
      </c>
    </row>
    <row r="11387" spans="1:24">
      <c r="A11387">
        <f>HYPERLINK("https://www.philgeps.gov.ph/GEPSNONPILOT/Tender/SplashBidNoticeAbstractUI.aspx?menuIndex=3&amp;refID=7167150&amp;Result=3","7167150")</f>
        <v>0</v>
      </c>
      <c r="B11387" t="s">
        <v>1084</v>
      </c>
      <c r="C11387" t="s">
        <v>14412</v>
      </c>
      <c r="D11387" t="s">
        <v>17179</v>
      </c>
      <c r="E11387" t="s">
        <v>26939</v>
      </c>
      <c r="F11387" t="s">
        <v>29372</v>
      </c>
      <c r="G11387" t="s">
        <v>29380</v>
      </c>
      <c r="H11387" t="s">
        <v>11048</v>
      </c>
      <c r="I11387" t="s">
        <v>10408</v>
      </c>
      <c r="J11387" t="s">
        <v>36730</v>
      </c>
      <c r="K11387" t="s">
        <v>38490</v>
      </c>
      <c r="M11387" t="s">
        <v>39910</v>
      </c>
      <c r="N11387" t="s">
        <v>42669</v>
      </c>
      <c r="O11387" t="s">
        <v>42670</v>
      </c>
      <c r="P11387">
        <v>0</v>
      </c>
      <c r="Q11387">
        <v>1</v>
      </c>
      <c r="R11387" t="s">
        <v>42685</v>
      </c>
      <c r="S11387" t="s">
        <v>43317</v>
      </c>
      <c r="T11387" t="s">
        <v>44412</v>
      </c>
      <c r="U11387" t="s">
        <v>54116</v>
      </c>
      <c r="W11387" t="s">
        <v>39910</v>
      </c>
      <c r="X11387" t="s">
        <v>42686</v>
      </c>
    </row>
    <row r="11388" spans="1:24">
      <c r="A11388">
        <f>HYPERLINK("https://www.philgeps.gov.ph/GEPSNONPILOT/Tender/SplashBidNoticeAbstractUI.aspx?menuIndex=3&amp;refID=7167148&amp;Result=3","7167148")</f>
        <v>0</v>
      </c>
      <c r="B11388" t="s">
        <v>3171</v>
      </c>
      <c r="C11388" t="s">
        <v>14413</v>
      </c>
      <c r="D11388" t="s">
        <v>17177</v>
      </c>
      <c r="E11388" t="s">
        <v>26940</v>
      </c>
      <c r="F11388" t="s">
        <v>29372</v>
      </c>
      <c r="G11388" t="s">
        <v>29380</v>
      </c>
      <c r="H11388" t="s">
        <v>29389</v>
      </c>
      <c r="I11388" t="s">
        <v>10408</v>
      </c>
      <c r="J11388" t="s">
        <v>29526</v>
      </c>
      <c r="K11388" t="s">
        <v>38492</v>
      </c>
      <c r="M11388" t="s">
        <v>42221</v>
      </c>
      <c r="N11388" t="s">
        <v>42669</v>
      </c>
      <c r="O11388" t="s">
        <v>42670</v>
      </c>
      <c r="P11388">
        <v>0</v>
      </c>
      <c r="Q11388">
        <v>0</v>
      </c>
      <c r="R11388" t="s">
        <v>42685</v>
      </c>
      <c r="S11388" t="s">
        <v>43317</v>
      </c>
      <c r="T11388" t="s">
        <v>44412</v>
      </c>
      <c r="U11388" t="s">
        <v>54117</v>
      </c>
      <c r="V11388" t="s">
        <v>57162</v>
      </c>
      <c r="W11388" t="s">
        <v>42221</v>
      </c>
      <c r="X11388" t="s">
        <v>42686</v>
      </c>
    </row>
    <row r="11389" spans="1:24">
      <c r="A11389">
        <f>HYPERLINK("https://www.philgeps.gov.ph/GEPSNONPILOT/Tender/SplashBidNoticeAbstractUI.aspx?menuIndex=3&amp;refID=7167113&amp;Result=3","7167113")</f>
        <v>0</v>
      </c>
      <c r="B11389" t="s">
        <v>1084</v>
      </c>
      <c r="C11389" t="s">
        <v>14414</v>
      </c>
      <c r="D11389" t="s">
        <v>17179</v>
      </c>
      <c r="E11389" t="s">
        <v>26941</v>
      </c>
      <c r="F11389" t="s">
        <v>29372</v>
      </c>
      <c r="G11389" t="s">
        <v>29380</v>
      </c>
      <c r="H11389" t="s">
        <v>29389</v>
      </c>
      <c r="I11389" t="s">
        <v>10408</v>
      </c>
      <c r="J11389" t="s">
        <v>36731</v>
      </c>
      <c r="K11389" t="s">
        <v>38490</v>
      </c>
      <c r="M11389" t="s">
        <v>39910</v>
      </c>
      <c r="N11389" t="s">
        <v>42669</v>
      </c>
      <c r="O11389" t="s">
        <v>42670</v>
      </c>
      <c r="P11389">
        <v>0</v>
      </c>
      <c r="Q11389">
        <v>0</v>
      </c>
      <c r="R11389" t="s">
        <v>42685</v>
      </c>
      <c r="S11389" t="s">
        <v>43317</v>
      </c>
      <c r="T11389" t="s">
        <v>44412</v>
      </c>
      <c r="U11389" t="s">
        <v>54118</v>
      </c>
      <c r="W11389" t="s">
        <v>39910</v>
      </c>
      <c r="X11389" t="s">
        <v>42686</v>
      </c>
    </row>
    <row r="11390" spans="1:24">
      <c r="A11390">
        <f>HYPERLINK("https://www.philgeps.gov.ph/GEPSNONPILOT/Tender/SplashBidNoticeAbstractUI.aspx?menuIndex=3&amp;refID=7167319&amp;Result=3","7167319")</f>
        <v>0</v>
      </c>
      <c r="B11390" t="s">
        <v>1084</v>
      </c>
      <c r="C11390" t="s">
        <v>14415</v>
      </c>
      <c r="D11390" t="s">
        <v>17179</v>
      </c>
      <c r="E11390" t="s">
        <v>26942</v>
      </c>
      <c r="F11390" t="s">
        <v>29372</v>
      </c>
      <c r="G11390" t="s">
        <v>29380</v>
      </c>
      <c r="H11390" t="s">
        <v>11048</v>
      </c>
      <c r="I11390" t="s">
        <v>4486</v>
      </c>
      <c r="J11390" t="s">
        <v>36732</v>
      </c>
      <c r="K11390" t="s">
        <v>38490</v>
      </c>
      <c r="M11390" t="s">
        <v>39891</v>
      </c>
      <c r="N11390" t="s">
        <v>42669</v>
      </c>
      <c r="O11390" t="s">
        <v>42670</v>
      </c>
      <c r="P11390">
        <v>0</v>
      </c>
      <c r="Q11390">
        <v>10</v>
      </c>
      <c r="R11390" t="s">
        <v>42685</v>
      </c>
      <c r="S11390" t="s">
        <v>43317</v>
      </c>
      <c r="T11390" t="s">
        <v>44412</v>
      </c>
      <c r="U11390" t="s">
        <v>47177</v>
      </c>
      <c r="W11390" t="s">
        <v>39891</v>
      </c>
      <c r="X11390" t="s">
        <v>42686</v>
      </c>
    </row>
    <row r="11391" spans="1:24">
      <c r="A11391">
        <f>HYPERLINK("https://www.philgeps.gov.ph/GEPSNONPILOT/Tender/SplashBidNoticeAbstractUI.aspx?menuIndex=3&amp;refID=7167308&amp;Result=3","7167308")</f>
        <v>0</v>
      </c>
      <c r="B11391" t="s">
        <v>3172</v>
      </c>
      <c r="C11391" t="s">
        <v>14416</v>
      </c>
      <c r="D11391" t="s">
        <v>17171</v>
      </c>
      <c r="E11391" t="s">
        <v>26943</v>
      </c>
      <c r="F11391" t="s">
        <v>29372</v>
      </c>
      <c r="G11391" t="s">
        <v>29380</v>
      </c>
      <c r="H11391" t="s">
        <v>11048</v>
      </c>
      <c r="I11391" t="s">
        <v>3839</v>
      </c>
      <c r="J11391" t="s">
        <v>36733</v>
      </c>
      <c r="K11391" t="s">
        <v>38488</v>
      </c>
      <c r="M11391" t="s">
        <v>42222</v>
      </c>
      <c r="N11391" t="s">
        <v>42669</v>
      </c>
      <c r="O11391" t="s">
        <v>42670</v>
      </c>
      <c r="P11391">
        <v>0</v>
      </c>
      <c r="Q11391">
        <v>9</v>
      </c>
      <c r="R11391" t="s">
        <v>42685</v>
      </c>
      <c r="S11391" t="s">
        <v>43317</v>
      </c>
      <c r="T11391" t="s">
        <v>44610</v>
      </c>
      <c r="U11391" t="s">
        <v>54119</v>
      </c>
      <c r="W11391" t="s">
        <v>42222</v>
      </c>
      <c r="X11391" t="s">
        <v>42686</v>
      </c>
    </row>
    <row r="11392" spans="1:24">
      <c r="A11392">
        <f>HYPERLINK("https://www.philgeps.gov.ph/GEPSNONPILOT/Tender/SplashBidNoticeAbstractUI.aspx?menuIndex=3&amp;refID=7167083&amp;Result=3","7167083")</f>
        <v>0</v>
      </c>
      <c r="B11392" t="s">
        <v>1084</v>
      </c>
      <c r="C11392" t="s">
        <v>14417</v>
      </c>
      <c r="D11392" t="s">
        <v>17179</v>
      </c>
      <c r="E11392" t="s">
        <v>26944</v>
      </c>
      <c r="F11392" t="s">
        <v>29372</v>
      </c>
      <c r="G11392" t="s">
        <v>29380</v>
      </c>
      <c r="H11392" t="s">
        <v>29389</v>
      </c>
      <c r="I11392" t="s">
        <v>10408</v>
      </c>
      <c r="J11392" t="s">
        <v>36734</v>
      </c>
      <c r="K11392" t="s">
        <v>38490</v>
      </c>
      <c r="M11392" t="s">
        <v>39910</v>
      </c>
      <c r="N11392" t="s">
        <v>42669</v>
      </c>
      <c r="O11392" t="s">
        <v>42670</v>
      </c>
      <c r="P11392">
        <v>0</v>
      </c>
      <c r="Q11392">
        <v>0</v>
      </c>
      <c r="R11392" t="s">
        <v>42685</v>
      </c>
      <c r="S11392" t="s">
        <v>43317</v>
      </c>
      <c r="T11392" t="s">
        <v>44412</v>
      </c>
      <c r="U11392" t="s">
        <v>54120</v>
      </c>
      <c r="W11392" t="s">
        <v>39910</v>
      </c>
      <c r="X11392" t="s">
        <v>42686</v>
      </c>
    </row>
    <row r="11393" spans="1:24">
      <c r="A11393">
        <f>HYPERLINK("https://www.philgeps.gov.ph/GEPSNONPILOT/Tender/SplashBidNoticeAbstractUI.aspx?menuIndex=3&amp;refID=7167167&amp;Result=3","7167167")</f>
        <v>0</v>
      </c>
      <c r="B11393" t="s">
        <v>3152</v>
      </c>
      <c r="C11393" t="s">
        <v>14418</v>
      </c>
      <c r="D11393" t="s">
        <v>17166</v>
      </c>
      <c r="E11393" t="s">
        <v>26945</v>
      </c>
      <c r="F11393" t="s">
        <v>29372</v>
      </c>
      <c r="G11393" t="s">
        <v>29380</v>
      </c>
      <c r="H11393" t="s">
        <v>11048</v>
      </c>
      <c r="I11393" t="s">
        <v>8614</v>
      </c>
      <c r="J11393" t="s">
        <v>36735</v>
      </c>
      <c r="K11393" t="s">
        <v>38495</v>
      </c>
      <c r="M11393" t="s">
        <v>42200</v>
      </c>
      <c r="N11393" t="s">
        <v>42669</v>
      </c>
      <c r="O11393" t="s">
        <v>42670</v>
      </c>
      <c r="Q11393">
        <v>16</v>
      </c>
      <c r="R11393" t="s">
        <v>42685</v>
      </c>
      <c r="S11393" t="s">
        <v>43374</v>
      </c>
      <c r="T11393" t="s">
        <v>44357</v>
      </c>
      <c r="U11393" t="s">
        <v>54015</v>
      </c>
      <c r="V11393" t="s">
        <v>57642</v>
      </c>
      <c r="W11393" t="s">
        <v>42200</v>
      </c>
      <c r="X11393" t="s">
        <v>42686</v>
      </c>
    </row>
    <row r="11394" spans="1:24">
      <c r="A11394">
        <f>HYPERLINK("https://www.philgeps.gov.ph/GEPSNONPILOT/Tender/SplashBidNoticeAbstractUI.aspx?menuIndex=3&amp;refID=7167303&amp;Result=3","7167303")</f>
        <v>0</v>
      </c>
      <c r="B11394" t="s">
        <v>3173</v>
      </c>
      <c r="C11394" t="s">
        <v>14419</v>
      </c>
      <c r="D11394" t="s">
        <v>17169</v>
      </c>
      <c r="E11394" t="s">
        <v>25212</v>
      </c>
      <c r="F11394" t="s">
        <v>29372</v>
      </c>
      <c r="G11394" t="s">
        <v>29380</v>
      </c>
      <c r="H11394" t="s">
        <v>29389</v>
      </c>
      <c r="I11394" t="s">
        <v>10408</v>
      </c>
      <c r="J11394" t="s">
        <v>30032</v>
      </c>
      <c r="K11394" t="s">
        <v>38488</v>
      </c>
      <c r="M11394" t="s">
        <v>42223</v>
      </c>
      <c r="N11394" t="s">
        <v>42669</v>
      </c>
      <c r="O11394" t="s">
        <v>42670</v>
      </c>
      <c r="P11394">
        <v>0</v>
      </c>
      <c r="Q11394">
        <v>0</v>
      </c>
      <c r="R11394" t="s">
        <v>42685</v>
      </c>
      <c r="S11394" t="s">
        <v>43317</v>
      </c>
      <c r="T11394" t="s">
        <v>44412</v>
      </c>
      <c r="U11394" t="s">
        <v>54121</v>
      </c>
      <c r="W11394" t="s">
        <v>42223</v>
      </c>
      <c r="X11394" t="s">
        <v>42686</v>
      </c>
    </row>
    <row r="11395" spans="1:24">
      <c r="A11395">
        <f>HYPERLINK("https://www.philgeps.gov.ph/GEPSNONPILOT/Tender/SplashBidNoticeAbstractUI.aspx?menuIndex=3&amp;refID=7167292&amp;Result=3","7167292")</f>
        <v>0</v>
      </c>
      <c r="B11395" t="s">
        <v>1084</v>
      </c>
      <c r="C11395" t="s">
        <v>14420</v>
      </c>
      <c r="D11395" t="s">
        <v>17179</v>
      </c>
      <c r="E11395" t="s">
        <v>26946</v>
      </c>
      <c r="F11395" t="s">
        <v>29372</v>
      </c>
      <c r="G11395" t="s">
        <v>29380</v>
      </c>
      <c r="H11395" t="s">
        <v>11048</v>
      </c>
      <c r="I11395" t="s">
        <v>3839</v>
      </c>
      <c r="J11395" t="s">
        <v>36736</v>
      </c>
      <c r="K11395" t="s">
        <v>38490</v>
      </c>
      <c r="M11395" t="s">
        <v>39891</v>
      </c>
      <c r="N11395" t="s">
        <v>42669</v>
      </c>
      <c r="O11395" t="s">
        <v>42670</v>
      </c>
      <c r="P11395">
        <v>0</v>
      </c>
      <c r="Q11395">
        <v>5</v>
      </c>
      <c r="R11395" t="s">
        <v>42685</v>
      </c>
      <c r="S11395" t="s">
        <v>43317</v>
      </c>
      <c r="T11395" t="s">
        <v>44412</v>
      </c>
      <c r="U11395" t="s">
        <v>47177</v>
      </c>
      <c r="W11395" t="s">
        <v>39891</v>
      </c>
      <c r="X11395" t="s">
        <v>42686</v>
      </c>
    </row>
    <row r="11396" spans="1:24">
      <c r="A11396">
        <f>HYPERLINK("https://www.philgeps.gov.ph/GEPSNONPILOT/Tender/SplashBidNoticeAbstractUI.aspx?menuIndex=3&amp;refID=7167263&amp;Result=3","7167263")</f>
        <v>0</v>
      </c>
      <c r="B11396" t="s">
        <v>1190</v>
      </c>
      <c r="C11396" t="s">
        <v>14421</v>
      </c>
      <c r="E11396" t="s">
        <v>26947</v>
      </c>
      <c r="F11396" t="s">
        <v>29372</v>
      </c>
      <c r="G11396" t="s">
        <v>29380</v>
      </c>
      <c r="H11396" t="s">
        <v>11048</v>
      </c>
      <c r="I11396" t="s">
        <v>3695</v>
      </c>
      <c r="J11396" t="s">
        <v>36737</v>
      </c>
      <c r="K11396" t="s">
        <v>38490</v>
      </c>
      <c r="M11396" t="s">
        <v>42224</v>
      </c>
      <c r="N11396" t="s">
        <v>42669</v>
      </c>
      <c r="O11396" t="s">
        <v>42670</v>
      </c>
      <c r="Q11396">
        <v>17</v>
      </c>
      <c r="R11396" t="s">
        <v>42685</v>
      </c>
      <c r="S11396" t="s">
        <v>43178</v>
      </c>
      <c r="T11396" t="s">
        <v>44357</v>
      </c>
      <c r="U11396" t="s">
        <v>54122</v>
      </c>
      <c r="W11396" t="s">
        <v>42224</v>
      </c>
      <c r="X11396" t="s">
        <v>42686</v>
      </c>
    </row>
    <row r="11397" spans="1:24">
      <c r="A11397">
        <f>HYPERLINK("https://www.philgeps.gov.ph/GEPSNONPILOT/Tender/SplashBidNoticeAbstractUI.aspx?menuIndex=3&amp;refID=7167289&amp;Result=3","7167289")</f>
        <v>0</v>
      </c>
      <c r="B11397" t="s">
        <v>1190</v>
      </c>
      <c r="C11397" t="s">
        <v>14422</v>
      </c>
      <c r="E11397" t="s">
        <v>26948</v>
      </c>
      <c r="F11397" t="s">
        <v>29372</v>
      </c>
      <c r="G11397" t="s">
        <v>29380</v>
      </c>
      <c r="H11397" t="s">
        <v>11048</v>
      </c>
      <c r="I11397" t="s">
        <v>3695</v>
      </c>
      <c r="J11397" t="s">
        <v>36738</v>
      </c>
      <c r="K11397" t="s">
        <v>38490</v>
      </c>
      <c r="M11397" t="s">
        <v>42224</v>
      </c>
      <c r="N11397" t="s">
        <v>42669</v>
      </c>
      <c r="O11397" t="s">
        <v>42670</v>
      </c>
      <c r="Q11397">
        <v>19</v>
      </c>
      <c r="R11397" t="s">
        <v>42685</v>
      </c>
      <c r="S11397" t="s">
        <v>43375</v>
      </c>
      <c r="T11397" t="s">
        <v>44357</v>
      </c>
      <c r="U11397" t="s">
        <v>54122</v>
      </c>
      <c r="W11397" t="s">
        <v>42224</v>
      </c>
      <c r="X11397" t="s">
        <v>42686</v>
      </c>
    </row>
    <row r="11398" spans="1:24">
      <c r="A11398">
        <f>HYPERLINK("https://www.philgeps.gov.ph/GEPSNONPILOT/Tender/SplashBidNoticeAbstractUI.aspx?menuIndex=3&amp;refID=7167260&amp;Result=3","7167260")</f>
        <v>0</v>
      </c>
      <c r="B11398" t="s">
        <v>257</v>
      </c>
      <c r="C11398" t="s">
        <v>14423</v>
      </c>
      <c r="D11398" t="s">
        <v>17143</v>
      </c>
      <c r="E11398" t="s">
        <v>26949</v>
      </c>
      <c r="F11398" t="s">
        <v>29372</v>
      </c>
      <c r="G11398" t="s">
        <v>29380</v>
      </c>
      <c r="H11398" t="s">
        <v>11048</v>
      </c>
      <c r="I11398" t="s">
        <v>4487</v>
      </c>
      <c r="J11398" t="s">
        <v>36739</v>
      </c>
      <c r="K11398" t="s">
        <v>38496</v>
      </c>
      <c r="M11398" t="s">
        <v>39016</v>
      </c>
      <c r="N11398" t="s">
        <v>42669</v>
      </c>
      <c r="O11398" t="s">
        <v>42670</v>
      </c>
      <c r="P11398">
        <v>0</v>
      </c>
      <c r="Q11398">
        <v>4</v>
      </c>
      <c r="R11398" t="s">
        <v>42685</v>
      </c>
      <c r="S11398" t="s">
        <v>43317</v>
      </c>
      <c r="T11398" t="s">
        <v>44357</v>
      </c>
      <c r="U11398" t="s">
        <v>54123</v>
      </c>
      <c r="W11398" t="s">
        <v>39016</v>
      </c>
      <c r="X11398" t="s">
        <v>42686</v>
      </c>
    </row>
    <row r="11399" spans="1:24">
      <c r="A11399">
        <f>HYPERLINK("https://www.philgeps.gov.ph/GEPSNONPILOT/Tender/SplashBidNoticeAbstractUI.aspx?menuIndex=3&amp;refID=7167253&amp;Result=3","7167253")</f>
        <v>0</v>
      </c>
      <c r="B11399" t="s">
        <v>1785</v>
      </c>
      <c r="C11399" t="s">
        <v>14424</v>
      </c>
      <c r="D11399" t="s">
        <v>17188</v>
      </c>
      <c r="E11399" t="s">
        <v>26950</v>
      </c>
      <c r="F11399" t="s">
        <v>29372</v>
      </c>
      <c r="G11399" t="s">
        <v>29380</v>
      </c>
      <c r="H11399" t="s">
        <v>11048</v>
      </c>
      <c r="I11399" t="s">
        <v>29407</v>
      </c>
      <c r="J11399" t="s">
        <v>31689</v>
      </c>
      <c r="K11399" t="s">
        <v>38488</v>
      </c>
      <c r="M11399" t="s">
        <v>40654</v>
      </c>
      <c r="N11399" t="s">
        <v>42669</v>
      </c>
      <c r="O11399" t="s">
        <v>42670</v>
      </c>
      <c r="Q11399">
        <v>11</v>
      </c>
      <c r="R11399" t="s">
        <v>42685</v>
      </c>
      <c r="S11399" t="s">
        <v>43376</v>
      </c>
      <c r="T11399" t="s">
        <v>44412</v>
      </c>
      <c r="U11399" t="s">
        <v>54124</v>
      </c>
      <c r="W11399" t="s">
        <v>40654</v>
      </c>
      <c r="X11399" t="s">
        <v>42686</v>
      </c>
    </row>
    <row r="11400" spans="1:24">
      <c r="A11400">
        <f>HYPERLINK("https://www.philgeps.gov.ph/GEPSNONPILOT/Tender/SplashBidNoticeAbstractUI.aspx?menuIndex=3&amp;refID=7167224&amp;Result=3","7167224")</f>
        <v>0</v>
      </c>
      <c r="B11400" t="s">
        <v>413</v>
      </c>
      <c r="C11400" t="s">
        <v>14425</v>
      </c>
      <c r="D11400" t="s">
        <v>17187</v>
      </c>
      <c r="E11400" t="s">
        <v>26951</v>
      </c>
      <c r="F11400" t="s">
        <v>29372</v>
      </c>
      <c r="G11400" t="s">
        <v>29382</v>
      </c>
      <c r="H11400" t="s">
        <v>11048</v>
      </c>
      <c r="I11400" t="s">
        <v>3839</v>
      </c>
      <c r="J11400" t="s">
        <v>33291</v>
      </c>
      <c r="K11400" t="s">
        <v>38518</v>
      </c>
      <c r="M11400" t="s">
        <v>39708</v>
      </c>
      <c r="N11400" t="s">
        <v>42669</v>
      </c>
      <c r="O11400" t="s">
        <v>42670</v>
      </c>
      <c r="Q11400">
        <v>9</v>
      </c>
      <c r="R11400" t="s">
        <v>42685</v>
      </c>
      <c r="S11400" t="s">
        <v>43377</v>
      </c>
      <c r="T11400" t="s">
        <v>44444</v>
      </c>
      <c r="U11400" t="s">
        <v>46704</v>
      </c>
      <c r="V11400" t="s">
        <v>57643</v>
      </c>
      <c r="W11400" t="s">
        <v>39708</v>
      </c>
      <c r="X11400" t="s">
        <v>42686</v>
      </c>
    </row>
    <row r="11401" spans="1:24">
      <c r="A11401">
        <f>HYPERLINK("https://www.philgeps.gov.ph/GEPSNONPILOT/Tender/SplashBidNoticeAbstractUI.aspx?menuIndex=3&amp;refID=7167221&amp;Result=3","7167221")</f>
        <v>0</v>
      </c>
      <c r="B11401" t="s">
        <v>1190</v>
      </c>
      <c r="C11401" t="s">
        <v>14426</v>
      </c>
      <c r="E11401" t="s">
        <v>26952</v>
      </c>
      <c r="F11401" t="s">
        <v>29372</v>
      </c>
      <c r="G11401" t="s">
        <v>29380</v>
      </c>
      <c r="H11401" t="s">
        <v>11048</v>
      </c>
      <c r="I11401" t="s">
        <v>3695</v>
      </c>
      <c r="J11401" t="s">
        <v>36740</v>
      </c>
      <c r="K11401" t="s">
        <v>38490</v>
      </c>
      <c r="M11401" t="s">
        <v>42224</v>
      </c>
      <c r="N11401" t="s">
        <v>42669</v>
      </c>
      <c r="O11401" t="s">
        <v>42670</v>
      </c>
      <c r="Q11401">
        <v>16</v>
      </c>
      <c r="R11401" t="s">
        <v>42685</v>
      </c>
      <c r="S11401" t="s">
        <v>43378</v>
      </c>
      <c r="T11401" t="s">
        <v>44357</v>
      </c>
      <c r="U11401" t="s">
        <v>54122</v>
      </c>
      <c r="W11401" t="s">
        <v>42224</v>
      </c>
      <c r="X11401" t="s">
        <v>42686</v>
      </c>
    </row>
    <row r="11402" spans="1:24">
      <c r="A11402">
        <f>HYPERLINK("https://www.philgeps.gov.ph/GEPSNONPILOT/Tender/SplashBidNoticeAbstractUI.aspx?menuIndex=3&amp;refID=7167216&amp;Result=3","7167216")</f>
        <v>0</v>
      </c>
      <c r="B11402" t="s">
        <v>1084</v>
      </c>
      <c r="C11402" t="s">
        <v>14427</v>
      </c>
      <c r="D11402" t="s">
        <v>17179</v>
      </c>
      <c r="E11402" t="s">
        <v>26953</v>
      </c>
      <c r="F11402" t="s">
        <v>29372</v>
      </c>
      <c r="G11402" t="s">
        <v>29380</v>
      </c>
      <c r="H11402" t="s">
        <v>11048</v>
      </c>
      <c r="I11402" t="s">
        <v>5383</v>
      </c>
      <c r="J11402" t="s">
        <v>36741</v>
      </c>
      <c r="K11402" t="s">
        <v>38490</v>
      </c>
      <c r="M11402" t="s">
        <v>39910</v>
      </c>
      <c r="N11402" t="s">
        <v>42669</v>
      </c>
      <c r="O11402" t="s">
        <v>42670</v>
      </c>
      <c r="P11402">
        <v>0</v>
      </c>
      <c r="Q11402">
        <v>8</v>
      </c>
      <c r="R11402" t="s">
        <v>42685</v>
      </c>
      <c r="S11402" t="s">
        <v>43317</v>
      </c>
      <c r="T11402" t="s">
        <v>44412</v>
      </c>
      <c r="U11402" t="s">
        <v>54125</v>
      </c>
      <c r="W11402" t="s">
        <v>39910</v>
      </c>
      <c r="X11402" t="s">
        <v>42686</v>
      </c>
    </row>
    <row r="11403" spans="1:24">
      <c r="A11403">
        <f>HYPERLINK("https://www.philgeps.gov.ph/GEPSNONPILOT/Tender/SplashBidNoticeAbstractUI.aspx?menuIndex=3&amp;refID=7167208&amp;Result=3","7167208")</f>
        <v>0</v>
      </c>
      <c r="B11403" t="s">
        <v>1648</v>
      </c>
      <c r="C11403" t="s">
        <v>14428</v>
      </c>
      <c r="D11403" t="s">
        <v>17148</v>
      </c>
      <c r="E11403" t="s">
        <v>26954</v>
      </c>
      <c r="F11403" t="s">
        <v>29372</v>
      </c>
      <c r="G11403" t="s">
        <v>29380</v>
      </c>
      <c r="H11403" t="s">
        <v>11048</v>
      </c>
      <c r="I11403" t="s">
        <v>9469</v>
      </c>
      <c r="J11403" t="s">
        <v>30585</v>
      </c>
      <c r="K11403" t="s">
        <v>38488</v>
      </c>
      <c r="M11403" t="s">
        <v>40504</v>
      </c>
      <c r="N11403" t="s">
        <v>42669</v>
      </c>
      <c r="O11403" t="s">
        <v>42670</v>
      </c>
      <c r="P11403">
        <v>0</v>
      </c>
      <c r="Q11403">
        <v>0</v>
      </c>
      <c r="R11403" t="s">
        <v>42685</v>
      </c>
      <c r="S11403" t="s">
        <v>43317</v>
      </c>
      <c r="T11403" t="s">
        <v>44488</v>
      </c>
      <c r="U11403" t="s">
        <v>54126</v>
      </c>
      <c r="V11403" t="s">
        <v>57644</v>
      </c>
      <c r="W11403" t="s">
        <v>40504</v>
      </c>
      <c r="X11403" t="s">
        <v>42686</v>
      </c>
    </row>
    <row r="11404" spans="1:24">
      <c r="A11404">
        <f>HYPERLINK("https://www.philgeps.gov.ph/GEPSNONPILOT/Tender/SplashBidNoticeAbstractUI.aspx?menuIndex=3&amp;refID=7167134&amp;Result=3","7167134")</f>
        <v>0</v>
      </c>
      <c r="B11404" t="s">
        <v>1190</v>
      </c>
      <c r="C11404" t="s">
        <v>14429</v>
      </c>
      <c r="E11404" t="s">
        <v>26955</v>
      </c>
      <c r="F11404" t="s">
        <v>29372</v>
      </c>
      <c r="G11404" t="s">
        <v>29380</v>
      </c>
      <c r="H11404" t="s">
        <v>11048</v>
      </c>
      <c r="I11404" t="s">
        <v>3695</v>
      </c>
      <c r="J11404" t="s">
        <v>36742</v>
      </c>
      <c r="K11404" t="s">
        <v>38490</v>
      </c>
      <c r="M11404" t="s">
        <v>42224</v>
      </c>
      <c r="N11404" t="s">
        <v>42669</v>
      </c>
      <c r="O11404" t="s">
        <v>42670</v>
      </c>
      <c r="Q11404">
        <v>22</v>
      </c>
      <c r="R11404" t="s">
        <v>42685</v>
      </c>
      <c r="S11404" t="s">
        <v>43379</v>
      </c>
      <c r="T11404" t="s">
        <v>44357</v>
      </c>
      <c r="U11404" t="s">
        <v>54122</v>
      </c>
      <c r="W11404" t="s">
        <v>42224</v>
      </c>
      <c r="X11404" t="s">
        <v>42686</v>
      </c>
    </row>
    <row r="11405" spans="1:24">
      <c r="A11405">
        <f>HYPERLINK("https://www.philgeps.gov.ph/GEPSNONPILOT/Tender/SplashBidNoticeAbstractUI.aspx?menuIndex=3&amp;refID=7167071&amp;Result=3","7167071")</f>
        <v>0</v>
      </c>
      <c r="B11405" t="s">
        <v>1190</v>
      </c>
      <c r="C11405" t="s">
        <v>14430</v>
      </c>
      <c r="E11405" t="s">
        <v>26956</v>
      </c>
      <c r="F11405" t="s">
        <v>29372</v>
      </c>
      <c r="G11405" t="s">
        <v>29380</v>
      </c>
      <c r="H11405" t="s">
        <v>11048</v>
      </c>
      <c r="I11405" t="s">
        <v>3695</v>
      </c>
      <c r="J11405" t="s">
        <v>36743</v>
      </c>
      <c r="K11405" t="s">
        <v>38490</v>
      </c>
      <c r="M11405" t="s">
        <v>42224</v>
      </c>
      <c r="N11405" t="s">
        <v>42669</v>
      </c>
      <c r="O11405" t="s">
        <v>42670</v>
      </c>
      <c r="Q11405">
        <v>18</v>
      </c>
      <c r="R11405" t="s">
        <v>42685</v>
      </c>
      <c r="S11405" t="s">
        <v>43380</v>
      </c>
      <c r="T11405" t="s">
        <v>44357</v>
      </c>
      <c r="U11405" t="s">
        <v>54122</v>
      </c>
      <c r="W11405" t="s">
        <v>42224</v>
      </c>
      <c r="X11405" t="s">
        <v>42686</v>
      </c>
    </row>
    <row r="11406" spans="1:24">
      <c r="A11406">
        <f>HYPERLINK("https://www.philgeps.gov.ph/GEPSNONPILOT/Tender/SplashBidNoticeAbstractUI.aspx?menuIndex=3&amp;refID=7167244&amp;Result=3","7167244")</f>
        <v>0</v>
      </c>
      <c r="B11406" t="s">
        <v>1190</v>
      </c>
      <c r="C11406" t="s">
        <v>14431</v>
      </c>
      <c r="E11406" t="s">
        <v>26957</v>
      </c>
      <c r="F11406" t="s">
        <v>29372</v>
      </c>
      <c r="G11406" t="s">
        <v>29380</v>
      </c>
      <c r="H11406" t="s">
        <v>11048</v>
      </c>
      <c r="I11406" t="s">
        <v>3695</v>
      </c>
      <c r="J11406" t="s">
        <v>36744</v>
      </c>
      <c r="K11406" t="s">
        <v>38490</v>
      </c>
      <c r="M11406" t="s">
        <v>42224</v>
      </c>
      <c r="N11406" t="s">
        <v>42669</v>
      </c>
      <c r="O11406" t="s">
        <v>42670</v>
      </c>
      <c r="Q11406">
        <v>15</v>
      </c>
      <c r="R11406" t="s">
        <v>42685</v>
      </c>
      <c r="S11406" t="s">
        <v>43381</v>
      </c>
      <c r="T11406" t="s">
        <v>44357</v>
      </c>
      <c r="U11406" t="s">
        <v>54122</v>
      </c>
      <c r="W11406" t="s">
        <v>42224</v>
      </c>
      <c r="X11406" t="s">
        <v>42686</v>
      </c>
    </row>
    <row r="11407" spans="1:24">
      <c r="A11407">
        <f>HYPERLINK("https://www.philgeps.gov.ph/GEPSNONPILOT/Tender/SplashBidNoticeAbstractUI.aspx?menuIndex=3&amp;refID=7167421&amp;Result=3","7167421")</f>
        <v>0</v>
      </c>
      <c r="B11407" t="s">
        <v>2228</v>
      </c>
      <c r="C11407" t="s">
        <v>14432</v>
      </c>
      <c r="D11407" t="s">
        <v>17177</v>
      </c>
      <c r="E11407" t="s">
        <v>26958</v>
      </c>
      <c r="F11407" t="s">
        <v>29372</v>
      </c>
      <c r="G11407" t="s">
        <v>29380</v>
      </c>
      <c r="H11407" t="s">
        <v>11048</v>
      </c>
      <c r="I11407" t="s">
        <v>8614</v>
      </c>
      <c r="J11407" t="s">
        <v>29780</v>
      </c>
      <c r="K11407" t="s">
        <v>38496</v>
      </c>
      <c r="M11407" t="s">
        <v>41146</v>
      </c>
      <c r="N11407" t="s">
        <v>42669</v>
      </c>
      <c r="O11407" t="s">
        <v>42670</v>
      </c>
      <c r="P11407">
        <v>0</v>
      </c>
      <c r="Q11407">
        <v>6</v>
      </c>
      <c r="R11407" t="s">
        <v>42685</v>
      </c>
      <c r="S11407" t="s">
        <v>43317</v>
      </c>
      <c r="T11407" t="s">
        <v>44357</v>
      </c>
      <c r="U11407" t="s">
        <v>45794</v>
      </c>
      <c r="W11407" t="s">
        <v>41146</v>
      </c>
      <c r="X11407" t="s">
        <v>42686</v>
      </c>
    </row>
    <row r="11408" spans="1:24">
      <c r="A11408">
        <f>HYPERLINK("https://www.philgeps.gov.ph/GEPSNONPILOT/Tender/SplashBidNoticeAbstractUI.aspx?menuIndex=3&amp;refID=7167431&amp;Result=3","7167431")</f>
        <v>0</v>
      </c>
      <c r="B11408" t="s">
        <v>3174</v>
      </c>
      <c r="C11408" t="s">
        <v>14433</v>
      </c>
      <c r="D11408" t="s">
        <v>17149</v>
      </c>
      <c r="E11408" t="s">
        <v>26959</v>
      </c>
      <c r="F11408" t="s">
        <v>29372</v>
      </c>
      <c r="G11408" t="s">
        <v>29380</v>
      </c>
      <c r="H11408" t="s">
        <v>29389</v>
      </c>
      <c r="I11408" t="s">
        <v>10408</v>
      </c>
      <c r="J11408" t="s">
        <v>36745</v>
      </c>
      <c r="K11408" t="s">
        <v>38577</v>
      </c>
      <c r="M11408" t="s">
        <v>42225</v>
      </c>
      <c r="N11408" t="s">
        <v>42669</v>
      </c>
      <c r="O11408" t="s">
        <v>42670</v>
      </c>
      <c r="Q11408">
        <v>0</v>
      </c>
      <c r="R11408" t="s">
        <v>42685</v>
      </c>
      <c r="S11408" t="s">
        <v>42914</v>
      </c>
      <c r="T11408" t="s">
        <v>44354</v>
      </c>
      <c r="U11408" t="s">
        <v>54127</v>
      </c>
      <c r="W11408" t="s">
        <v>42225</v>
      </c>
      <c r="X11408" t="s">
        <v>42686</v>
      </c>
    </row>
    <row r="11409" spans="1:24">
      <c r="A11409">
        <f>HYPERLINK("https://www.philgeps.gov.ph/GEPSNONPILOT/Tender/SplashBidNoticeAbstractUI.aspx?menuIndex=3&amp;refID=7167433&amp;Result=3","7167433")</f>
        <v>0</v>
      </c>
      <c r="B11409" t="s">
        <v>413</v>
      </c>
      <c r="C11409" t="s">
        <v>14434</v>
      </c>
      <c r="D11409" t="s">
        <v>17180</v>
      </c>
      <c r="E11409" t="s">
        <v>26960</v>
      </c>
      <c r="F11409" t="s">
        <v>29372</v>
      </c>
      <c r="G11409" t="s">
        <v>29382</v>
      </c>
      <c r="H11409" t="s">
        <v>11048</v>
      </c>
      <c r="I11409" t="s">
        <v>4487</v>
      </c>
      <c r="J11409" t="s">
        <v>32248</v>
      </c>
      <c r="K11409" t="s">
        <v>38518</v>
      </c>
      <c r="M11409" t="s">
        <v>39708</v>
      </c>
      <c r="N11409" t="s">
        <v>42669</v>
      </c>
      <c r="O11409" t="s">
        <v>42670</v>
      </c>
      <c r="Q11409">
        <v>14</v>
      </c>
      <c r="R11409" t="s">
        <v>42685</v>
      </c>
      <c r="S11409" t="s">
        <v>43382</v>
      </c>
      <c r="T11409" t="s">
        <v>44444</v>
      </c>
      <c r="U11409" t="s">
        <v>46704</v>
      </c>
      <c r="V11409" t="s">
        <v>57643</v>
      </c>
      <c r="W11409" t="s">
        <v>39708</v>
      </c>
      <c r="X11409" t="s">
        <v>42686</v>
      </c>
    </row>
    <row r="11410" spans="1:24">
      <c r="A11410">
        <f>HYPERLINK("https://www.philgeps.gov.ph/GEPSNONPILOT/Tender/SplashBidNoticeAbstractUI.aspx?menuIndex=3&amp;refID=7167416&amp;Result=3","7167416")</f>
        <v>0</v>
      </c>
      <c r="B11410" t="s">
        <v>3175</v>
      </c>
      <c r="C11410" t="s">
        <v>14435</v>
      </c>
      <c r="D11410" t="s">
        <v>17164</v>
      </c>
      <c r="E11410" t="s">
        <v>17571</v>
      </c>
      <c r="F11410" t="s">
        <v>29372</v>
      </c>
      <c r="G11410" t="s">
        <v>29380</v>
      </c>
      <c r="H11410" t="s">
        <v>29389</v>
      </c>
      <c r="I11410" t="s">
        <v>10408</v>
      </c>
      <c r="J11410" t="s">
        <v>36746</v>
      </c>
      <c r="K11410" t="s">
        <v>38531</v>
      </c>
      <c r="M11410" t="s">
        <v>42226</v>
      </c>
      <c r="N11410" t="s">
        <v>42669</v>
      </c>
      <c r="O11410" t="s">
        <v>42670</v>
      </c>
      <c r="P11410">
        <v>0</v>
      </c>
      <c r="Q11410">
        <v>1</v>
      </c>
      <c r="R11410" t="s">
        <v>42685</v>
      </c>
      <c r="S11410" t="s">
        <v>43317</v>
      </c>
      <c r="T11410" t="s">
        <v>44412</v>
      </c>
      <c r="U11410" t="s">
        <v>54128</v>
      </c>
      <c r="W11410" t="s">
        <v>42226</v>
      </c>
      <c r="X11410" t="s">
        <v>42686</v>
      </c>
    </row>
    <row r="11411" spans="1:24">
      <c r="A11411">
        <f>HYPERLINK("https://www.philgeps.gov.ph/GEPSNONPILOT/Tender/SplashBidNoticeAbstractUI.aspx?menuIndex=3&amp;refID=7167405&amp;Result=3","7167405")</f>
        <v>0</v>
      </c>
      <c r="B11411" t="s">
        <v>1585</v>
      </c>
      <c r="C11411" t="s">
        <v>14436</v>
      </c>
      <c r="D11411" t="s">
        <v>17199</v>
      </c>
      <c r="E11411" t="s">
        <v>26961</v>
      </c>
      <c r="F11411" t="s">
        <v>29372</v>
      </c>
      <c r="G11411" t="s">
        <v>29380</v>
      </c>
      <c r="H11411" t="s">
        <v>29389</v>
      </c>
      <c r="I11411" t="s">
        <v>10408</v>
      </c>
      <c r="J11411" t="s">
        <v>30161</v>
      </c>
      <c r="K11411" t="s">
        <v>38485</v>
      </c>
      <c r="M11411" t="s">
        <v>40436</v>
      </c>
      <c r="N11411" t="s">
        <v>42669</v>
      </c>
      <c r="O11411" t="s">
        <v>42670</v>
      </c>
      <c r="P11411">
        <v>0</v>
      </c>
      <c r="Q11411">
        <v>0</v>
      </c>
      <c r="R11411" t="s">
        <v>42685</v>
      </c>
      <c r="S11411" t="s">
        <v>43317</v>
      </c>
      <c r="T11411" t="s">
        <v>44354</v>
      </c>
      <c r="U11411" t="s">
        <v>54129</v>
      </c>
      <c r="W11411" t="s">
        <v>40436</v>
      </c>
      <c r="X11411" t="s">
        <v>42686</v>
      </c>
    </row>
    <row r="11412" spans="1:24">
      <c r="A11412">
        <f>HYPERLINK("https://www.philgeps.gov.ph/GEPSNONPILOT/Tender/SplashBidNoticeAbstractUI.aspx?menuIndex=3&amp;refID=7167395&amp;Result=3","7167395")</f>
        <v>0</v>
      </c>
      <c r="B11412" t="s">
        <v>2550</v>
      </c>
      <c r="C11412" t="s">
        <v>14437</v>
      </c>
      <c r="E11412" t="s">
        <v>26962</v>
      </c>
      <c r="F11412" t="s">
        <v>29372</v>
      </c>
      <c r="G11412" t="s">
        <v>29380</v>
      </c>
      <c r="H11412" t="s">
        <v>11048</v>
      </c>
      <c r="I11412" t="s">
        <v>29478</v>
      </c>
      <c r="J11412" t="s">
        <v>36747</v>
      </c>
      <c r="K11412" t="s">
        <v>38522</v>
      </c>
      <c r="M11412" t="s">
        <v>42227</v>
      </c>
      <c r="N11412" t="s">
        <v>42669</v>
      </c>
      <c r="O11412" t="s">
        <v>42670</v>
      </c>
      <c r="P11412">
        <v>0</v>
      </c>
      <c r="Q11412">
        <v>9</v>
      </c>
      <c r="R11412" t="s">
        <v>42685</v>
      </c>
      <c r="S11412" t="s">
        <v>43317</v>
      </c>
      <c r="T11412" t="s">
        <v>44366</v>
      </c>
      <c r="U11412" t="s">
        <v>54130</v>
      </c>
      <c r="W11412" t="s">
        <v>42227</v>
      </c>
      <c r="X11412" t="s">
        <v>42686</v>
      </c>
    </row>
    <row r="11413" spans="1:24">
      <c r="A11413">
        <f>HYPERLINK("https://www.philgeps.gov.ph/GEPSNONPILOT/Tender/SplashBidNoticeAbstractUI.aspx?menuIndex=3&amp;refID=7167053&amp;Result=3","7167053")</f>
        <v>0</v>
      </c>
      <c r="B11413" t="s">
        <v>1785</v>
      </c>
      <c r="C11413" t="s">
        <v>14438</v>
      </c>
      <c r="D11413" t="s">
        <v>17188</v>
      </c>
      <c r="E11413" t="s">
        <v>26963</v>
      </c>
      <c r="F11413" t="s">
        <v>29372</v>
      </c>
      <c r="G11413" t="s">
        <v>29380</v>
      </c>
      <c r="H11413" t="s">
        <v>11048</v>
      </c>
      <c r="I11413" t="s">
        <v>9642</v>
      </c>
      <c r="J11413" t="s">
        <v>29708</v>
      </c>
      <c r="K11413" t="s">
        <v>38488</v>
      </c>
      <c r="M11413" t="s">
        <v>40654</v>
      </c>
      <c r="N11413" t="s">
        <v>42669</v>
      </c>
      <c r="O11413" t="s">
        <v>42670</v>
      </c>
      <c r="P11413">
        <v>0</v>
      </c>
      <c r="Q11413">
        <v>4</v>
      </c>
      <c r="R11413" t="s">
        <v>42685</v>
      </c>
      <c r="S11413" t="s">
        <v>43317</v>
      </c>
      <c r="T11413" t="s">
        <v>44357</v>
      </c>
      <c r="U11413" t="s">
        <v>54131</v>
      </c>
      <c r="W11413" t="s">
        <v>40654</v>
      </c>
      <c r="X11413" t="s">
        <v>42686</v>
      </c>
    </row>
    <row r="11414" spans="1:24">
      <c r="A11414">
        <f>HYPERLINK("https://www.philgeps.gov.ph/GEPSNONPILOT/Tender/SplashBidNoticeAbstractUI.aspx?menuIndex=3&amp;refID=7167380&amp;Result=3","7167380")</f>
        <v>0</v>
      </c>
      <c r="B11414" t="s">
        <v>3117</v>
      </c>
      <c r="C11414" t="s">
        <v>14439</v>
      </c>
      <c r="D11414" t="s">
        <v>17190</v>
      </c>
      <c r="E11414" t="s">
        <v>26964</v>
      </c>
      <c r="F11414" t="s">
        <v>29372</v>
      </c>
      <c r="G11414" t="s">
        <v>29380</v>
      </c>
      <c r="H11414" t="s">
        <v>29389</v>
      </c>
      <c r="I11414" t="s">
        <v>10408</v>
      </c>
      <c r="J11414" t="s">
        <v>36748</v>
      </c>
      <c r="K11414" t="s">
        <v>38495</v>
      </c>
      <c r="M11414" t="s">
        <v>42160</v>
      </c>
      <c r="N11414" t="s">
        <v>42669</v>
      </c>
      <c r="O11414" t="s">
        <v>42670</v>
      </c>
      <c r="P11414">
        <v>0</v>
      </c>
      <c r="Q11414">
        <v>1</v>
      </c>
      <c r="R11414" t="s">
        <v>42685</v>
      </c>
      <c r="S11414" t="s">
        <v>43317</v>
      </c>
      <c r="T11414" t="s">
        <v>44805</v>
      </c>
      <c r="U11414" t="s">
        <v>54132</v>
      </c>
      <c r="W11414" t="s">
        <v>42160</v>
      </c>
      <c r="X11414" t="s">
        <v>42686</v>
      </c>
    </row>
    <row r="11415" spans="1:24">
      <c r="A11415">
        <f>HYPERLINK("https://www.philgeps.gov.ph/GEPSNONPILOT/Tender/SplashBidNoticeAbstractUI.aspx?menuIndex=3&amp;refID=7167419&amp;Result=3","7167419")</f>
        <v>0</v>
      </c>
      <c r="B11415" t="s">
        <v>413</v>
      </c>
      <c r="C11415" t="s">
        <v>14440</v>
      </c>
      <c r="D11415" t="s">
        <v>17180</v>
      </c>
      <c r="E11415" t="s">
        <v>26965</v>
      </c>
      <c r="F11415" t="s">
        <v>29372</v>
      </c>
      <c r="G11415" t="s">
        <v>29382</v>
      </c>
      <c r="H11415" t="s">
        <v>11048</v>
      </c>
      <c r="I11415" t="s">
        <v>4487</v>
      </c>
      <c r="J11415" t="s">
        <v>36749</v>
      </c>
      <c r="K11415" t="s">
        <v>38518</v>
      </c>
      <c r="M11415" t="s">
        <v>39708</v>
      </c>
      <c r="N11415" t="s">
        <v>42669</v>
      </c>
      <c r="O11415" t="s">
        <v>42670</v>
      </c>
      <c r="Q11415">
        <v>10</v>
      </c>
      <c r="R11415" t="s">
        <v>42685</v>
      </c>
      <c r="S11415" t="s">
        <v>43383</v>
      </c>
      <c r="T11415" t="s">
        <v>44444</v>
      </c>
      <c r="U11415" t="s">
        <v>46704</v>
      </c>
      <c r="V11415" t="s">
        <v>57643</v>
      </c>
      <c r="W11415" t="s">
        <v>39708</v>
      </c>
      <c r="X11415" t="s">
        <v>42686</v>
      </c>
    </row>
    <row r="11416" spans="1:24">
      <c r="A11416">
        <f>HYPERLINK("https://www.philgeps.gov.ph/GEPSNONPILOT/Tender/SplashBidNoticeAbstractUI.aspx?menuIndex=3&amp;refID=7167328&amp;Result=3","7167328")</f>
        <v>0</v>
      </c>
      <c r="B11416" t="s">
        <v>1785</v>
      </c>
      <c r="C11416" t="s">
        <v>14441</v>
      </c>
      <c r="D11416" t="s">
        <v>17188</v>
      </c>
      <c r="E11416" t="s">
        <v>26966</v>
      </c>
      <c r="F11416" t="s">
        <v>29372</v>
      </c>
      <c r="G11416" t="s">
        <v>29380</v>
      </c>
      <c r="H11416" t="s">
        <v>11048</v>
      </c>
      <c r="I11416" t="s">
        <v>29407</v>
      </c>
      <c r="J11416" t="s">
        <v>31175</v>
      </c>
      <c r="K11416" t="s">
        <v>38488</v>
      </c>
      <c r="M11416" t="s">
        <v>40654</v>
      </c>
      <c r="N11416" t="s">
        <v>42669</v>
      </c>
      <c r="O11416" t="s">
        <v>42670</v>
      </c>
      <c r="P11416">
        <v>0</v>
      </c>
      <c r="Q11416">
        <v>6</v>
      </c>
      <c r="R11416" t="s">
        <v>42685</v>
      </c>
      <c r="S11416" t="s">
        <v>43317</v>
      </c>
      <c r="T11416" t="s">
        <v>44380</v>
      </c>
      <c r="U11416" t="s">
        <v>54133</v>
      </c>
      <c r="W11416" t="s">
        <v>40654</v>
      </c>
      <c r="X11416" t="s">
        <v>42686</v>
      </c>
    </row>
    <row r="11417" spans="1:24">
      <c r="A11417">
        <f>HYPERLINK("https://www.philgeps.gov.ph/GEPSNONPILOT/Tender/SplashBidNoticeAbstractUI.aspx?menuIndex=3&amp;refID=7167518&amp;Result=3","7167518")</f>
        <v>0</v>
      </c>
      <c r="B11417" t="s">
        <v>2236</v>
      </c>
      <c r="C11417" t="s">
        <v>14442</v>
      </c>
      <c r="D11417" t="s">
        <v>17205</v>
      </c>
      <c r="E11417" t="s">
        <v>26967</v>
      </c>
      <c r="F11417" t="s">
        <v>29372</v>
      </c>
      <c r="G11417" t="s">
        <v>29380</v>
      </c>
      <c r="H11417" t="s">
        <v>29389</v>
      </c>
      <c r="I11417" t="s">
        <v>10408</v>
      </c>
      <c r="J11417" t="s">
        <v>29543</v>
      </c>
      <c r="K11417" t="s">
        <v>38666</v>
      </c>
      <c r="L11417" t="s">
        <v>2236</v>
      </c>
      <c r="M11417" t="s">
        <v>41154</v>
      </c>
      <c r="N11417" t="s">
        <v>42669</v>
      </c>
      <c r="O11417" t="s">
        <v>42670</v>
      </c>
      <c r="Q11417">
        <v>70</v>
      </c>
      <c r="R11417" t="s">
        <v>42685</v>
      </c>
      <c r="S11417" t="s">
        <v>43384</v>
      </c>
      <c r="T11417" t="s">
        <v>44357</v>
      </c>
      <c r="U11417" t="s">
        <v>54134</v>
      </c>
      <c r="W11417" t="s">
        <v>41154</v>
      </c>
      <c r="X11417" t="s">
        <v>42686</v>
      </c>
    </row>
    <row r="11418" spans="1:24">
      <c r="A11418">
        <f>HYPERLINK("https://www.philgeps.gov.ph/GEPSNONPILOT/Tender/SplashBidNoticeAbstractUI.aspx?menuIndex=3&amp;refID=7167580&amp;Result=3","7167580")</f>
        <v>0</v>
      </c>
      <c r="B11418" t="s">
        <v>1662</v>
      </c>
      <c r="C11418" t="s">
        <v>14443</v>
      </c>
      <c r="D11418" t="s">
        <v>17149</v>
      </c>
      <c r="E11418" t="s">
        <v>26968</v>
      </c>
      <c r="F11418" t="s">
        <v>29372</v>
      </c>
      <c r="G11418" t="s">
        <v>29380</v>
      </c>
      <c r="H11418" t="s">
        <v>29389</v>
      </c>
      <c r="I11418" t="s">
        <v>10408</v>
      </c>
      <c r="J11418" t="s">
        <v>36750</v>
      </c>
      <c r="K11418" t="s">
        <v>38496</v>
      </c>
      <c r="M11418" t="s">
        <v>42228</v>
      </c>
      <c r="N11418" t="s">
        <v>42669</v>
      </c>
      <c r="O11418" t="s">
        <v>42670</v>
      </c>
      <c r="P11418">
        <v>0</v>
      </c>
      <c r="Q11418">
        <v>0</v>
      </c>
      <c r="R11418" t="s">
        <v>42685</v>
      </c>
      <c r="S11418" t="s">
        <v>43317</v>
      </c>
      <c r="T11418" t="s">
        <v>44470</v>
      </c>
      <c r="U11418" t="s">
        <v>54135</v>
      </c>
      <c r="W11418" t="s">
        <v>42228</v>
      </c>
      <c r="X11418" t="s">
        <v>42686</v>
      </c>
    </row>
    <row r="11419" spans="1:24">
      <c r="A11419">
        <f>HYPERLINK("https://www.philgeps.gov.ph/GEPSNONPILOT/Tender/SplashBidNoticeAbstractUI.aspx?menuIndex=3&amp;refID=7167576&amp;Result=3","7167576")</f>
        <v>0</v>
      </c>
      <c r="B11419" t="s">
        <v>160</v>
      </c>
      <c r="C11419" t="s">
        <v>14444</v>
      </c>
      <c r="D11419" t="s">
        <v>17193</v>
      </c>
      <c r="E11419" t="s">
        <v>26969</v>
      </c>
      <c r="F11419" t="s">
        <v>29372</v>
      </c>
      <c r="G11419" t="s">
        <v>29380</v>
      </c>
      <c r="H11419" t="s">
        <v>11048</v>
      </c>
      <c r="I11419" t="s">
        <v>29433</v>
      </c>
      <c r="J11419" t="s">
        <v>31195</v>
      </c>
      <c r="K11419" t="s">
        <v>38495</v>
      </c>
      <c r="M11419" t="s">
        <v>38916</v>
      </c>
      <c r="N11419" t="s">
        <v>42669</v>
      </c>
      <c r="O11419" t="s">
        <v>42670</v>
      </c>
      <c r="Q11419">
        <v>18</v>
      </c>
      <c r="R11419" t="s">
        <v>42685</v>
      </c>
      <c r="S11419" t="s">
        <v>43385</v>
      </c>
      <c r="T11419" t="s">
        <v>44412</v>
      </c>
      <c r="U11419" t="s">
        <v>54136</v>
      </c>
      <c r="W11419" t="s">
        <v>38916</v>
      </c>
      <c r="X11419" t="s">
        <v>42686</v>
      </c>
    </row>
    <row r="11420" spans="1:24">
      <c r="A11420">
        <f>HYPERLINK("https://www.philgeps.gov.ph/GEPSNONPILOT/Tender/SplashBidNoticeAbstractUI.aspx?menuIndex=3&amp;refID=7167389&amp;Result=3","7167389")</f>
        <v>0</v>
      </c>
      <c r="B11420" t="s">
        <v>3176</v>
      </c>
      <c r="C11420" t="s">
        <v>14445</v>
      </c>
      <c r="D11420" t="s">
        <v>17160</v>
      </c>
      <c r="E11420" t="s">
        <v>26970</v>
      </c>
      <c r="F11420" t="s">
        <v>29372</v>
      </c>
      <c r="G11420" t="s">
        <v>29379</v>
      </c>
      <c r="H11420" t="s">
        <v>11048</v>
      </c>
      <c r="I11420" t="s">
        <v>9642</v>
      </c>
      <c r="J11420" t="s">
        <v>29767</v>
      </c>
      <c r="K11420" t="s">
        <v>38518</v>
      </c>
      <c r="M11420" t="s">
        <v>42229</v>
      </c>
      <c r="N11420" t="s">
        <v>42669</v>
      </c>
      <c r="O11420" t="s">
        <v>42670</v>
      </c>
      <c r="Q11420">
        <v>7</v>
      </c>
      <c r="R11420" t="s">
        <v>42685</v>
      </c>
      <c r="S11420" t="s">
        <v>43386</v>
      </c>
      <c r="T11420" t="s">
        <v>44629</v>
      </c>
      <c r="U11420" t="s">
        <v>54137</v>
      </c>
      <c r="W11420" t="s">
        <v>42229</v>
      </c>
      <c r="X11420" t="s">
        <v>42686</v>
      </c>
    </row>
    <row r="11421" spans="1:24">
      <c r="A11421">
        <f>HYPERLINK("https://www.philgeps.gov.ph/GEPSNONPILOT/Tender/SplashBidNoticeAbstractUI.aspx?menuIndex=3&amp;refID=7167375&amp;Result=3","7167375")</f>
        <v>0</v>
      </c>
      <c r="B11421" t="s">
        <v>633</v>
      </c>
      <c r="C11421" t="s">
        <v>14446</v>
      </c>
      <c r="D11421" t="s">
        <v>17189</v>
      </c>
      <c r="E11421" t="s">
        <v>26971</v>
      </c>
      <c r="F11421" t="s">
        <v>29372</v>
      </c>
      <c r="G11421" t="s">
        <v>29380</v>
      </c>
      <c r="H11421" t="s">
        <v>11048</v>
      </c>
      <c r="I11421" t="s">
        <v>3839</v>
      </c>
      <c r="J11421" t="s">
        <v>29801</v>
      </c>
      <c r="K11421" t="s">
        <v>38487</v>
      </c>
      <c r="M11421" t="s">
        <v>42230</v>
      </c>
      <c r="N11421" t="s">
        <v>42669</v>
      </c>
      <c r="O11421" t="s">
        <v>42670</v>
      </c>
      <c r="P11421">
        <v>0</v>
      </c>
      <c r="Q11421">
        <v>13</v>
      </c>
      <c r="R11421" t="s">
        <v>42685</v>
      </c>
      <c r="S11421" t="s">
        <v>43317</v>
      </c>
      <c r="T11421" t="s">
        <v>44391</v>
      </c>
      <c r="U11421" t="s">
        <v>54138</v>
      </c>
      <c r="W11421" t="s">
        <v>42230</v>
      </c>
      <c r="X11421" t="s">
        <v>42686</v>
      </c>
    </row>
    <row r="11422" spans="1:24">
      <c r="A11422">
        <f>HYPERLINK("https://www.philgeps.gov.ph/GEPSNONPILOT/Tender/SplashBidNoticeAbstractUI.aspx?menuIndex=3&amp;refID=7167565&amp;Result=3","7167565")</f>
        <v>0</v>
      </c>
      <c r="B11422" t="s">
        <v>1662</v>
      </c>
      <c r="C11422" t="s">
        <v>14447</v>
      </c>
      <c r="D11422" t="s">
        <v>17149</v>
      </c>
      <c r="E11422" t="s">
        <v>26972</v>
      </c>
      <c r="F11422" t="s">
        <v>29372</v>
      </c>
      <c r="G11422" t="s">
        <v>29380</v>
      </c>
      <c r="H11422" t="s">
        <v>29389</v>
      </c>
      <c r="I11422" t="s">
        <v>10408</v>
      </c>
      <c r="J11422" t="s">
        <v>36751</v>
      </c>
      <c r="K11422" t="s">
        <v>38649</v>
      </c>
      <c r="M11422" t="s">
        <v>42228</v>
      </c>
      <c r="N11422" t="s">
        <v>42669</v>
      </c>
      <c r="O11422" t="s">
        <v>42670</v>
      </c>
      <c r="Q11422">
        <v>0</v>
      </c>
      <c r="R11422" t="s">
        <v>42685</v>
      </c>
      <c r="S11422" t="s">
        <v>43387</v>
      </c>
      <c r="T11422" t="s">
        <v>44470</v>
      </c>
      <c r="U11422" t="s">
        <v>54135</v>
      </c>
      <c r="W11422" t="s">
        <v>42228</v>
      </c>
      <c r="X11422" t="s">
        <v>42686</v>
      </c>
    </row>
    <row r="11423" spans="1:24">
      <c r="A11423">
        <f>HYPERLINK("https://www.philgeps.gov.ph/GEPSNONPILOT/Tender/SplashBidNoticeAbstractUI.aspx?menuIndex=3&amp;refID=7167513&amp;Result=3","7167513")</f>
        <v>0</v>
      </c>
      <c r="B11423" t="s">
        <v>91</v>
      </c>
      <c r="C11423" t="s">
        <v>14448</v>
      </c>
      <c r="D11423" t="s">
        <v>17176</v>
      </c>
      <c r="E11423" t="s">
        <v>26973</v>
      </c>
      <c r="F11423" t="s">
        <v>29372</v>
      </c>
      <c r="G11423" t="s">
        <v>29380</v>
      </c>
      <c r="H11423" t="s">
        <v>29389</v>
      </c>
      <c r="I11423" t="s">
        <v>10408</v>
      </c>
      <c r="J11423" t="s">
        <v>36752</v>
      </c>
      <c r="K11423" t="s">
        <v>38666</v>
      </c>
      <c r="M11423" t="s">
        <v>41447</v>
      </c>
      <c r="N11423" t="s">
        <v>42669</v>
      </c>
      <c r="O11423" t="s">
        <v>42670</v>
      </c>
      <c r="P11423">
        <v>0</v>
      </c>
      <c r="Q11423">
        <v>0</v>
      </c>
      <c r="R11423" t="s">
        <v>42685</v>
      </c>
      <c r="S11423" t="s">
        <v>43317</v>
      </c>
      <c r="T11423" t="s">
        <v>44373</v>
      </c>
      <c r="U11423" t="s">
        <v>51387</v>
      </c>
      <c r="W11423" t="s">
        <v>41447</v>
      </c>
      <c r="X11423" t="s">
        <v>42686</v>
      </c>
    </row>
    <row r="11424" spans="1:24">
      <c r="A11424">
        <f>HYPERLINK("https://www.philgeps.gov.ph/GEPSNONPILOT/Tender/SplashBidNoticeAbstractUI.aspx?menuIndex=3&amp;refID=7167398&amp;Result=3","7167398")</f>
        <v>0</v>
      </c>
      <c r="B11424" t="s">
        <v>413</v>
      </c>
      <c r="C11424" t="s">
        <v>14449</v>
      </c>
      <c r="D11424" t="s">
        <v>17180</v>
      </c>
      <c r="E11424" t="s">
        <v>26974</v>
      </c>
      <c r="F11424" t="s">
        <v>29372</v>
      </c>
      <c r="G11424" t="s">
        <v>29382</v>
      </c>
      <c r="H11424" t="s">
        <v>11048</v>
      </c>
      <c r="I11424" t="s">
        <v>3670</v>
      </c>
      <c r="J11424" t="s">
        <v>36753</v>
      </c>
      <c r="K11424" t="s">
        <v>38518</v>
      </c>
      <c r="M11424" t="s">
        <v>39708</v>
      </c>
      <c r="N11424" t="s">
        <v>42669</v>
      </c>
      <c r="O11424" t="s">
        <v>42670</v>
      </c>
      <c r="Q11424">
        <v>4</v>
      </c>
      <c r="R11424" t="s">
        <v>42685</v>
      </c>
      <c r="S11424" t="s">
        <v>42790</v>
      </c>
      <c r="T11424" t="s">
        <v>44444</v>
      </c>
      <c r="U11424" t="s">
        <v>46704</v>
      </c>
      <c r="V11424" t="s">
        <v>57643</v>
      </c>
      <c r="W11424" t="s">
        <v>39708</v>
      </c>
      <c r="X11424" t="s">
        <v>42686</v>
      </c>
    </row>
    <row r="11425" spans="1:24">
      <c r="A11425">
        <f>HYPERLINK("https://www.philgeps.gov.ph/GEPSNONPILOT/Tender/SplashBidNoticeAbstractUI.aspx?menuIndex=3&amp;refID=7167511&amp;Result=3","7167511")</f>
        <v>0</v>
      </c>
      <c r="B11425" t="s">
        <v>119</v>
      </c>
      <c r="C11425" t="s">
        <v>14450</v>
      </c>
      <c r="D11425" t="s">
        <v>17141</v>
      </c>
      <c r="E11425" t="s">
        <v>26975</v>
      </c>
      <c r="F11425" t="s">
        <v>29372</v>
      </c>
      <c r="G11425" t="s">
        <v>29380</v>
      </c>
      <c r="H11425" t="s">
        <v>11048</v>
      </c>
      <c r="I11425" t="s">
        <v>29409</v>
      </c>
      <c r="J11425" t="s">
        <v>36754</v>
      </c>
      <c r="K11425" t="s">
        <v>38488</v>
      </c>
      <c r="M11425" t="s">
        <v>42231</v>
      </c>
      <c r="N11425" t="s">
        <v>42669</v>
      </c>
      <c r="O11425" t="s">
        <v>42670</v>
      </c>
      <c r="P11425">
        <v>0</v>
      </c>
      <c r="Q11425">
        <v>15</v>
      </c>
      <c r="R11425" t="s">
        <v>42685</v>
      </c>
      <c r="S11425" t="s">
        <v>43317</v>
      </c>
      <c r="T11425" t="s">
        <v>44568</v>
      </c>
      <c r="U11425" t="s">
        <v>54139</v>
      </c>
      <c r="V11425" t="s">
        <v>57645</v>
      </c>
      <c r="W11425" t="s">
        <v>42231</v>
      </c>
      <c r="X11425" t="s">
        <v>42686</v>
      </c>
    </row>
    <row r="11426" spans="1:24">
      <c r="A11426">
        <f>HYPERLINK("https://www.philgeps.gov.ph/GEPSNONPILOT/Tender/SplashBidNoticeAbstractUI.aspx?menuIndex=3&amp;refID=7167300&amp;Result=3","7167300")</f>
        <v>0</v>
      </c>
      <c r="B11426" t="s">
        <v>2550</v>
      </c>
      <c r="C11426" t="s">
        <v>14451</v>
      </c>
      <c r="E11426" t="s">
        <v>26976</v>
      </c>
      <c r="F11426" t="s">
        <v>29372</v>
      </c>
      <c r="G11426" t="s">
        <v>29380</v>
      </c>
      <c r="H11426" t="s">
        <v>11048</v>
      </c>
      <c r="I11426" t="s">
        <v>29467</v>
      </c>
      <c r="J11426" t="s">
        <v>36755</v>
      </c>
      <c r="K11426" t="s">
        <v>38495</v>
      </c>
      <c r="M11426" t="s">
        <v>42227</v>
      </c>
      <c r="N11426" t="s">
        <v>42669</v>
      </c>
      <c r="O11426" t="s">
        <v>42670</v>
      </c>
      <c r="P11426">
        <v>0</v>
      </c>
      <c r="Q11426">
        <v>20</v>
      </c>
      <c r="R11426" t="s">
        <v>42685</v>
      </c>
      <c r="S11426" t="s">
        <v>43317</v>
      </c>
      <c r="T11426" t="s">
        <v>44354</v>
      </c>
      <c r="U11426" t="s">
        <v>54130</v>
      </c>
      <c r="W11426" t="s">
        <v>42227</v>
      </c>
      <c r="X11426" t="s">
        <v>42686</v>
      </c>
    </row>
    <row r="11427" spans="1:24">
      <c r="A11427">
        <f>HYPERLINK("https://www.philgeps.gov.ph/GEPSNONPILOT/Tender/SplashBidNoticeAbstractUI.aspx?menuIndex=3&amp;refID=7167507&amp;Result=3","7167507")</f>
        <v>0</v>
      </c>
      <c r="B11427" t="s">
        <v>3177</v>
      </c>
      <c r="C11427" t="s">
        <v>14452</v>
      </c>
      <c r="E11427" t="s">
        <v>26977</v>
      </c>
      <c r="F11427" t="s">
        <v>29372</v>
      </c>
      <c r="G11427" t="s">
        <v>29380</v>
      </c>
      <c r="H11427" t="s">
        <v>11048</v>
      </c>
      <c r="I11427" t="s">
        <v>4486</v>
      </c>
      <c r="J11427" t="s">
        <v>36756</v>
      </c>
      <c r="K11427" t="s">
        <v>38490</v>
      </c>
      <c r="M11427" t="s">
        <v>42232</v>
      </c>
      <c r="N11427" t="s">
        <v>42669</v>
      </c>
      <c r="O11427" t="s">
        <v>42670</v>
      </c>
      <c r="P11427">
        <v>0</v>
      </c>
      <c r="Q11427">
        <v>19</v>
      </c>
      <c r="R11427" t="s">
        <v>42685</v>
      </c>
      <c r="S11427" t="s">
        <v>43317</v>
      </c>
      <c r="T11427" t="s">
        <v>44357</v>
      </c>
      <c r="U11427" t="s">
        <v>54140</v>
      </c>
      <c r="V11427" t="s">
        <v>57646</v>
      </c>
      <c r="W11427" t="s">
        <v>42232</v>
      </c>
      <c r="X11427" t="s">
        <v>42686</v>
      </c>
    </row>
    <row r="11428" spans="1:24">
      <c r="A11428">
        <f>HYPERLINK("https://www.philgeps.gov.ph/GEPSNONPILOT/Tender/SplashBidNoticeAbstractUI.aspx?menuIndex=3&amp;refID=7167494&amp;Result=3","7167494")</f>
        <v>0</v>
      </c>
      <c r="B11428" t="s">
        <v>3167</v>
      </c>
      <c r="C11428" t="s">
        <v>14453</v>
      </c>
      <c r="D11428" t="s">
        <v>17141</v>
      </c>
      <c r="E11428" t="s">
        <v>26978</v>
      </c>
      <c r="F11428" t="s">
        <v>29372</v>
      </c>
      <c r="G11428" t="s">
        <v>29380</v>
      </c>
      <c r="H11428" t="s">
        <v>11048</v>
      </c>
      <c r="I11428" t="s">
        <v>9469</v>
      </c>
      <c r="J11428" t="s">
        <v>29788</v>
      </c>
      <c r="K11428" t="s">
        <v>38496</v>
      </c>
      <c r="M11428" t="s">
        <v>42217</v>
      </c>
      <c r="N11428" t="s">
        <v>42669</v>
      </c>
      <c r="O11428" t="s">
        <v>42670</v>
      </c>
      <c r="Q11428">
        <v>11</v>
      </c>
      <c r="R11428" t="s">
        <v>42685</v>
      </c>
      <c r="S11428" t="s">
        <v>43388</v>
      </c>
      <c r="T11428" t="s">
        <v>44812</v>
      </c>
      <c r="U11428" t="s">
        <v>54141</v>
      </c>
      <c r="V11428" t="s">
        <v>57639</v>
      </c>
      <c r="W11428" t="s">
        <v>42217</v>
      </c>
      <c r="X11428" t="s">
        <v>42686</v>
      </c>
    </row>
    <row r="11429" spans="1:24">
      <c r="A11429">
        <f>HYPERLINK("https://www.philgeps.gov.ph/GEPSNONPILOT/Tender/SplashBidNoticeAbstractUI.aspx?menuIndex=3&amp;refID=7167502&amp;Result=3","7167502")</f>
        <v>0</v>
      </c>
      <c r="B11429" t="s">
        <v>3178</v>
      </c>
      <c r="C11429" t="s">
        <v>14454</v>
      </c>
      <c r="D11429" t="s">
        <v>17173</v>
      </c>
      <c r="E11429" t="s">
        <v>22381</v>
      </c>
      <c r="F11429" t="s">
        <v>29372</v>
      </c>
      <c r="G11429" t="s">
        <v>29380</v>
      </c>
      <c r="H11429" t="s">
        <v>29389</v>
      </c>
      <c r="I11429" t="s">
        <v>29452</v>
      </c>
      <c r="J11429" t="s">
        <v>29801</v>
      </c>
      <c r="K11429" t="s">
        <v>38496</v>
      </c>
      <c r="M11429" t="s">
        <v>42233</v>
      </c>
      <c r="N11429" t="s">
        <v>42669</v>
      </c>
      <c r="O11429" t="s">
        <v>42670</v>
      </c>
      <c r="P11429">
        <v>0</v>
      </c>
      <c r="Q11429">
        <v>1</v>
      </c>
      <c r="R11429" t="s">
        <v>42685</v>
      </c>
      <c r="S11429" t="s">
        <v>43317</v>
      </c>
      <c r="T11429" t="s">
        <v>44398</v>
      </c>
      <c r="U11429" t="s">
        <v>54142</v>
      </c>
      <c r="V11429" t="s">
        <v>57647</v>
      </c>
      <c r="W11429" t="s">
        <v>42233</v>
      </c>
      <c r="X11429" t="s">
        <v>42686</v>
      </c>
    </row>
    <row r="11430" spans="1:24">
      <c r="A11430">
        <f>HYPERLINK("https://www.philgeps.gov.ph/GEPSNONPILOT/Tender/SplashBidNoticeAbstractUI.aspx?menuIndex=3&amp;refID=7167376&amp;Result=3","7167376")</f>
        <v>0</v>
      </c>
      <c r="B11430" t="s">
        <v>3179</v>
      </c>
      <c r="C11430" t="s">
        <v>14455</v>
      </c>
      <c r="D11430" t="s">
        <v>17204</v>
      </c>
      <c r="E11430" t="s">
        <v>26979</v>
      </c>
      <c r="F11430" t="s">
        <v>29372</v>
      </c>
      <c r="G11430" t="s">
        <v>29380</v>
      </c>
      <c r="H11430" t="s">
        <v>29391</v>
      </c>
      <c r="I11430" t="s">
        <v>10408</v>
      </c>
      <c r="J11430" t="s">
        <v>30161</v>
      </c>
      <c r="K11430" t="s">
        <v>38496</v>
      </c>
      <c r="M11430" t="s">
        <v>42234</v>
      </c>
      <c r="N11430" t="s">
        <v>42669</v>
      </c>
      <c r="O11430" t="s">
        <v>42670</v>
      </c>
      <c r="Q11430">
        <v>1</v>
      </c>
      <c r="R11430" t="s">
        <v>42685</v>
      </c>
      <c r="S11430" t="s">
        <v>43389</v>
      </c>
      <c r="T11430" t="s">
        <v>44444</v>
      </c>
      <c r="U11430" t="s">
        <v>54143</v>
      </c>
      <c r="W11430" t="s">
        <v>42234</v>
      </c>
      <c r="X11430" t="s">
        <v>42686</v>
      </c>
    </row>
    <row r="11431" spans="1:24">
      <c r="A11431">
        <f>HYPERLINK("https://www.philgeps.gov.ph/GEPSNONPILOT/Tender/SplashBidNoticeAbstractUI.aspx?menuIndex=3&amp;refID=7167500&amp;Result=3","7167500")</f>
        <v>0</v>
      </c>
      <c r="B11431" t="s">
        <v>2236</v>
      </c>
      <c r="C11431" t="s">
        <v>14456</v>
      </c>
      <c r="D11431" t="s">
        <v>17205</v>
      </c>
      <c r="E11431" t="s">
        <v>26980</v>
      </c>
      <c r="F11431" t="s">
        <v>29372</v>
      </c>
      <c r="G11431" t="s">
        <v>29380</v>
      </c>
      <c r="H11431" t="s">
        <v>29389</v>
      </c>
      <c r="I11431" t="s">
        <v>10408</v>
      </c>
      <c r="J11431" t="s">
        <v>29543</v>
      </c>
      <c r="K11431" t="s">
        <v>38487</v>
      </c>
      <c r="L11431" t="s">
        <v>2236</v>
      </c>
      <c r="M11431" t="s">
        <v>41154</v>
      </c>
      <c r="N11431" t="s">
        <v>42669</v>
      </c>
      <c r="O11431" t="s">
        <v>42670</v>
      </c>
      <c r="Q11431">
        <v>74</v>
      </c>
      <c r="R11431" t="s">
        <v>42685</v>
      </c>
      <c r="S11431" t="s">
        <v>43390</v>
      </c>
      <c r="T11431" t="s">
        <v>44375</v>
      </c>
      <c r="U11431" t="s">
        <v>54144</v>
      </c>
      <c r="W11431" t="s">
        <v>41154</v>
      </c>
      <c r="X11431" t="s">
        <v>42686</v>
      </c>
    </row>
    <row r="11432" spans="1:24">
      <c r="A11432">
        <f>HYPERLINK("https://www.philgeps.gov.ph/GEPSNONPILOT/Tender/SplashBidNoticeAbstractUI.aspx?menuIndex=3&amp;refID=7167488&amp;Result=3","7167488")</f>
        <v>0</v>
      </c>
      <c r="B11432" t="s">
        <v>91</v>
      </c>
      <c r="C11432" t="s">
        <v>14457</v>
      </c>
      <c r="D11432" t="s">
        <v>17176</v>
      </c>
      <c r="E11432" t="s">
        <v>26981</v>
      </c>
      <c r="F11432" t="s">
        <v>29372</v>
      </c>
      <c r="G11432" t="s">
        <v>29380</v>
      </c>
      <c r="H11432" t="s">
        <v>29389</v>
      </c>
      <c r="I11432" t="s">
        <v>10408</v>
      </c>
      <c r="J11432" t="s">
        <v>36757</v>
      </c>
      <c r="K11432" t="s">
        <v>38697</v>
      </c>
      <c r="M11432" t="s">
        <v>41447</v>
      </c>
      <c r="N11432" t="s">
        <v>42669</v>
      </c>
      <c r="O11432" t="s">
        <v>42670</v>
      </c>
      <c r="P11432">
        <v>0</v>
      </c>
      <c r="Q11432">
        <v>0</v>
      </c>
      <c r="R11432" t="s">
        <v>42685</v>
      </c>
      <c r="S11432" t="s">
        <v>43317</v>
      </c>
      <c r="T11432" t="s">
        <v>44373</v>
      </c>
      <c r="U11432" t="s">
        <v>51364</v>
      </c>
      <c r="W11432" t="s">
        <v>41447</v>
      </c>
      <c r="X11432" t="s">
        <v>42686</v>
      </c>
    </row>
    <row r="11433" spans="1:24">
      <c r="A11433">
        <f>HYPERLINK("https://www.philgeps.gov.ph/GEPSNONPILOT/Tender/SplashBidNoticeAbstractUI.aspx?menuIndex=3&amp;refID=7167547&amp;Result=3","7167547")</f>
        <v>0</v>
      </c>
      <c r="B11433" t="s">
        <v>2172</v>
      </c>
      <c r="C11433" t="s">
        <v>14458</v>
      </c>
      <c r="D11433" t="s">
        <v>17216</v>
      </c>
      <c r="E11433" t="s">
        <v>26982</v>
      </c>
      <c r="F11433" t="s">
        <v>29372</v>
      </c>
      <c r="G11433" t="s">
        <v>29380</v>
      </c>
      <c r="H11433" t="s">
        <v>29389</v>
      </c>
      <c r="I11433" t="s">
        <v>10408</v>
      </c>
      <c r="J11433" t="s">
        <v>29543</v>
      </c>
      <c r="K11433" t="s">
        <v>38522</v>
      </c>
      <c r="M11433" t="s">
        <v>41083</v>
      </c>
      <c r="N11433" t="s">
        <v>42669</v>
      </c>
      <c r="O11433" t="s">
        <v>42670</v>
      </c>
      <c r="P11433">
        <v>0</v>
      </c>
      <c r="Q11433">
        <v>1</v>
      </c>
      <c r="R11433" t="s">
        <v>42685</v>
      </c>
      <c r="S11433" t="s">
        <v>43317</v>
      </c>
      <c r="T11433" t="s">
        <v>44389</v>
      </c>
      <c r="U11433" t="s">
        <v>54145</v>
      </c>
      <c r="W11433" t="s">
        <v>41083</v>
      </c>
      <c r="X11433" t="s">
        <v>42686</v>
      </c>
    </row>
    <row r="11434" spans="1:24">
      <c r="A11434">
        <f>HYPERLINK("https://www.philgeps.gov.ph/GEPSNONPILOT/Tender/SplashBidNoticeAbstractUI.aspx?menuIndex=3&amp;refID=7167463&amp;Result=3","7167463")</f>
        <v>0</v>
      </c>
      <c r="B11434" t="s">
        <v>2550</v>
      </c>
      <c r="C11434" t="s">
        <v>14459</v>
      </c>
      <c r="E11434" t="s">
        <v>26983</v>
      </c>
      <c r="F11434" t="s">
        <v>29372</v>
      </c>
      <c r="G11434" t="s">
        <v>29380</v>
      </c>
      <c r="H11434" t="s">
        <v>11048</v>
      </c>
      <c r="I11434" t="s">
        <v>29478</v>
      </c>
      <c r="J11434" t="s">
        <v>36758</v>
      </c>
      <c r="K11434" t="s">
        <v>38522</v>
      </c>
      <c r="M11434" t="s">
        <v>42227</v>
      </c>
      <c r="N11434" t="s">
        <v>42669</v>
      </c>
      <c r="O11434" t="s">
        <v>42670</v>
      </c>
      <c r="P11434">
        <v>0</v>
      </c>
      <c r="Q11434">
        <v>8</v>
      </c>
      <c r="R11434" t="s">
        <v>42685</v>
      </c>
      <c r="S11434" t="s">
        <v>43317</v>
      </c>
      <c r="T11434" t="s">
        <v>44366</v>
      </c>
      <c r="U11434" t="s">
        <v>54130</v>
      </c>
      <c r="W11434" t="s">
        <v>42227</v>
      </c>
      <c r="X11434" t="s">
        <v>42686</v>
      </c>
    </row>
    <row r="11435" spans="1:24">
      <c r="A11435">
        <f>HYPERLINK("https://www.philgeps.gov.ph/GEPSNONPILOT/Tender/SplashBidNoticeAbstractUI.aspx?menuIndex=3&amp;refID=7167445&amp;Result=3","7167445")</f>
        <v>0</v>
      </c>
      <c r="B11435" t="s">
        <v>3175</v>
      </c>
      <c r="C11435" t="s">
        <v>14460</v>
      </c>
      <c r="D11435" t="s">
        <v>17164</v>
      </c>
      <c r="E11435" t="s">
        <v>18519</v>
      </c>
      <c r="F11435" t="s">
        <v>29372</v>
      </c>
      <c r="G11435" t="s">
        <v>29380</v>
      </c>
      <c r="H11435" t="s">
        <v>29389</v>
      </c>
      <c r="I11435" t="s">
        <v>10408</v>
      </c>
      <c r="J11435" t="s">
        <v>36759</v>
      </c>
      <c r="K11435" t="s">
        <v>38557</v>
      </c>
      <c r="M11435" t="s">
        <v>42226</v>
      </c>
      <c r="N11435" t="s">
        <v>42669</v>
      </c>
      <c r="O11435" t="s">
        <v>42670</v>
      </c>
      <c r="P11435">
        <v>0</v>
      </c>
      <c r="Q11435">
        <v>1</v>
      </c>
      <c r="R11435" t="s">
        <v>42685</v>
      </c>
      <c r="S11435" t="s">
        <v>43317</v>
      </c>
      <c r="T11435" t="s">
        <v>44412</v>
      </c>
      <c r="U11435" t="s">
        <v>54146</v>
      </c>
      <c r="W11435" t="s">
        <v>42226</v>
      </c>
      <c r="X11435" t="s">
        <v>42686</v>
      </c>
    </row>
    <row r="11436" spans="1:24">
      <c r="A11436">
        <f>HYPERLINK("https://www.philgeps.gov.ph/GEPSNONPILOT/Tender/SplashBidNoticeAbstractUI.aspx?menuIndex=3&amp;refID=7167554&amp;Result=3","7167554")</f>
        <v>0</v>
      </c>
      <c r="B11436" t="s">
        <v>1662</v>
      </c>
      <c r="C11436" t="s">
        <v>14461</v>
      </c>
      <c r="D11436" t="s">
        <v>17149</v>
      </c>
      <c r="E11436" t="s">
        <v>26984</v>
      </c>
      <c r="F11436" t="s">
        <v>29372</v>
      </c>
      <c r="G11436" t="s">
        <v>29380</v>
      </c>
      <c r="H11436" t="s">
        <v>29389</v>
      </c>
      <c r="I11436" t="s">
        <v>10408</v>
      </c>
      <c r="J11436" t="s">
        <v>36760</v>
      </c>
      <c r="K11436" t="s">
        <v>38614</v>
      </c>
      <c r="M11436" t="s">
        <v>42228</v>
      </c>
      <c r="N11436" t="s">
        <v>42669</v>
      </c>
      <c r="O11436" t="s">
        <v>42670</v>
      </c>
      <c r="Q11436">
        <v>1</v>
      </c>
      <c r="R11436" t="s">
        <v>42685</v>
      </c>
      <c r="S11436" t="s">
        <v>43391</v>
      </c>
      <c r="T11436" t="s">
        <v>44470</v>
      </c>
      <c r="U11436" t="s">
        <v>54135</v>
      </c>
      <c r="W11436" t="s">
        <v>42228</v>
      </c>
      <c r="X11436" t="s">
        <v>42686</v>
      </c>
    </row>
    <row r="11437" spans="1:24">
      <c r="A11437">
        <f>HYPERLINK("https://www.philgeps.gov.ph/GEPSNONPILOT/Tender/SplashBidNoticeAbstractUI.aspx?menuIndex=3&amp;refID=7167467&amp;Result=3","7167467")</f>
        <v>0</v>
      </c>
      <c r="B11437" t="s">
        <v>1161</v>
      </c>
      <c r="C11437" t="s">
        <v>14462</v>
      </c>
      <c r="D11437" t="s">
        <v>17144</v>
      </c>
      <c r="E11437" t="s">
        <v>26985</v>
      </c>
      <c r="F11437" t="s">
        <v>29372</v>
      </c>
      <c r="G11437" t="s">
        <v>29380</v>
      </c>
      <c r="H11437" t="s">
        <v>11048</v>
      </c>
      <c r="I11437" t="s">
        <v>9642</v>
      </c>
      <c r="J11437" t="s">
        <v>33981</v>
      </c>
      <c r="K11437" t="s">
        <v>38496</v>
      </c>
      <c r="M11437" t="s">
        <v>39976</v>
      </c>
      <c r="N11437" t="s">
        <v>42669</v>
      </c>
      <c r="O11437" t="s">
        <v>42670</v>
      </c>
      <c r="P11437">
        <v>0</v>
      </c>
      <c r="Q11437">
        <v>11</v>
      </c>
      <c r="R11437" t="s">
        <v>42685</v>
      </c>
      <c r="S11437" t="s">
        <v>43317</v>
      </c>
      <c r="T11437" t="s">
        <v>44412</v>
      </c>
      <c r="U11437" t="s">
        <v>54147</v>
      </c>
      <c r="W11437" t="s">
        <v>39976</v>
      </c>
      <c r="X11437" t="s">
        <v>42686</v>
      </c>
    </row>
    <row r="11438" spans="1:24">
      <c r="A11438">
        <f>HYPERLINK("https://www.philgeps.gov.ph/GEPSNONPILOT/Tender/SplashBidNoticeAbstractUI.aspx?menuIndex=3&amp;refID=7167447&amp;Result=3","7167447")</f>
        <v>0</v>
      </c>
      <c r="B11438" t="s">
        <v>3178</v>
      </c>
      <c r="C11438" t="s">
        <v>14463</v>
      </c>
      <c r="D11438" t="s">
        <v>17173</v>
      </c>
      <c r="E11438" t="s">
        <v>22320</v>
      </c>
      <c r="F11438" t="s">
        <v>29372</v>
      </c>
      <c r="G11438" t="s">
        <v>29380</v>
      </c>
      <c r="H11438" t="s">
        <v>11048</v>
      </c>
      <c r="I11438" t="s">
        <v>8614</v>
      </c>
      <c r="J11438" t="s">
        <v>33327</v>
      </c>
      <c r="K11438" t="s">
        <v>38485</v>
      </c>
      <c r="M11438" t="s">
        <v>42233</v>
      </c>
      <c r="N11438" t="s">
        <v>42669</v>
      </c>
      <c r="O11438" t="s">
        <v>42670</v>
      </c>
      <c r="P11438">
        <v>0</v>
      </c>
      <c r="Q11438">
        <v>0</v>
      </c>
      <c r="R11438" t="s">
        <v>42685</v>
      </c>
      <c r="S11438" t="s">
        <v>43317</v>
      </c>
      <c r="T11438" t="s">
        <v>44398</v>
      </c>
      <c r="U11438" t="s">
        <v>54148</v>
      </c>
      <c r="V11438" t="s">
        <v>57647</v>
      </c>
      <c r="W11438" t="s">
        <v>42233</v>
      </c>
      <c r="X11438" t="s">
        <v>42686</v>
      </c>
    </row>
    <row r="11439" spans="1:24">
      <c r="A11439">
        <f>HYPERLINK("https://www.philgeps.gov.ph/GEPSNONPILOT/Tender/SplashBidNoticeAbstractUI.aspx?menuIndex=3&amp;refID=7167369&amp;Result=3","7167369")</f>
        <v>0</v>
      </c>
      <c r="B11439" t="s">
        <v>3086</v>
      </c>
      <c r="C11439" t="s">
        <v>14464</v>
      </c>
      <c r="D11439" t="s">
        <v>17177</v>
      </c>
      <c r="E11439" t="s">
        <v>26986</v>
      </c>
      <c r="F11439" t="s">
        <v>29372</v>
      </c>
      <c r="G11439" t="s">
        <v>29380</v>
      </c>
      <c r="H11439" t="s">
        <v>11048</v>
      </c>
      <c r="I11439" t="s">
        <v>29417</v>
      </c>
      <c r="J11439" t="s">
        <v>36761</v>
      </c>
      <c r="K11439" t="s">
        <v>38485</v>
      </c>
      <c r="M11439" t="s">
        <v>42121</v>
      </c>
      <c r="N11439" t="s">
        <v>42669</v>
      </c>
      <c r="O11439" t="s">
        <v>42670</v>
      </c>
      <c r="Q11439">
        <v>2</v>
      </c>
      <c r="R11439" t="s">
        <v>42685</v>
      </c>
      <c r="S11439" t="s">
        <v>43392</v>
      </c>
      <c r="T11439" t="s">
        <v>44412</v>
      </c>
      <c r="U11439" t="s">
        <v>54149</v>
      </c>
      <c r="W11439" t="s">
        <v>42121</v>
      </c>
      <c r="X11439" t="s">
        <v>42686</v>
      </c>
    </row>
    <row r="11440" spans="1:24">
      <c r="A11440">
        <f>HYPERLINK("https://www.philgeps.gov.ph/GEPSNONPILOT/Tender/SplashBidNoticeAbstractUI.aspx?menuIndex=3&amp;refID=7167354&amp;Result=3","7167354")</f>
        <v>0</v>
      </c>
      <c r="B11440" t="s">
        <v>3179</v>
      </c>
      <c r="C11440" t="s">
        <v>14465</v>
      </c>
      <c r="D11440" t="s">
        <v>17204</v>
      </c>
      <c r="E11440" t="s">
        <v>26987</v>
      </c>
      <c r="F11440" t="s">
        <v>29372</v>
      </c>
      <c r="G11440" t="s">
        <v>29380</v>
      </c>
      <c r="H11440" t="s">
        <v>29389</v>
      </c>
      <c r="I11440" t="s">
        <v>10408</v>
      </c>
      <c r="J11440" t="s">
        <v>29543</v>
      </c>
      <c r="K11440" t="s">
        <v>38496</v>
      </c>
      <c r="M11440" t="s">
        <v>42234</v>
      </c>
      <c r="N11440" t="s">
        <v>42669</v>
      </c>
      <c r="O11440" t="s">
        <v>42670</v>
      </c>
      <c r="Q11440">
        <v>0</v>
      </c>
      <c r="R11440" t="s">
        <v>42685</v>
      </c>
      <c r="S11440" t="s">
        <v>43393</v>
      </c>
      <c r="T11440" t="s">
        <v>44444</v>
      </c>
      <c r="U11440" t="s">
        <v>54150</v>
      </c>
      <c r="W11440" t="s">
        <v>42234</v>
      </c>
      <c r="X11440" t="s">
        <v>42686</v>
      </c>
    </row>
    <row r="11441" spans="1:24">
      <c r="A11441">
        <f>HYPERLINK("https://www.philgeps.gov.ph/GEPSNONPILOT/Tender/SplashBidNoticeAbstractUI.aspx?menuIndex=3&amp;refID=7167349&amp;Result=3","7167349")</f>
        <v>0</v>
      </c>
      <c r="B11441" t="s">
        <v>938</v>
      </c>
      <c r="C11441" t="s">
        <v>14466</v>
      </c>
      <c r="D11441" t="s">
        <v>17153</v>
      </c>
      <c r="E11441" t="s">
        <v>26988</v>
      </c>
      <c r="F11441" t="s">
        <v>29372</v>
      </c>
      <c r="G11441" t="s">
        <v>29380</v>
      </c>
      <c r="H11441" t="s">
        <v>29389</v>
      </c>
      <c r="I11441" t="s">
        <v>29429</v>
      </c>
      <c r="J11441" t="s">
        <v>36762</v>
      </c>
      <c r="K11441" t="s">
        <v>38547</v>
      </c>
      <c r="M11441" t="s">
        <v>39733</v>
      </c>
      <c r="N11441" t="s">
        <v>42669</v>
      </c>
      <c r="O11441" t="s">
        <v>42670</v>
      </c>
      <c r="P11441">
        <v>0</v>
      </c>
      <c r="Q11441">
        <v>3</v>
      </c>
      <c r="R11441" t="s">
        <v>42685</v>
      </c>
      <c r="S11441" t="s">
        <v>43317</v>
      </c>
      <c r="T11441" t="s">
        <v>44409</v>
      </c>
      <c r="U11441" t="s">
        <v>54151</v>
      </c>
      <c r="W11441" t="s">
        <v>58027</v>
      </c>
      <c r="X11441" t="s">
        <v>42686</v>
      </c>
    </row>
    <row r="11442" spans="1:24">
      <c r="A11442">
        <f>HYPERLINK("https://www.philgeps.gov.ph/GEPSNONPILOT/Tender/SplashBidNoticeAbstractUI.aspx?menuIndex=3&amp;refID=7167371&amp;Result=3","7167371")</f>
        <v>0</v>
      </c>
      <c r="B11442" t="s">
        <v>3180</v>
      </c>
      <c r="C11442" t="s">
        <v>14467</v>
      </c>
      <c r="D11442" t="s">
        <v>17226</v>
      </c>
      <c r="E11442" t="s">
        <v>26989</v>
      </c>
      <c r="F11442" t="s">
        <v>29372</v>
      </c>
      <c r="G11442" t="s">
        <v>29380</v>
      </c>
      <c r="H11442" t="s">
        <v>29391</v>
      </c>
      <c r="I11442" t="s">
        <v>29391</v>
      </c>
      <c r="J11442" t="s">
        <v>29615</v>
      </c>
      <c r="K11442" t="s">
        <v>38729</v>
      </c>
      <c r="M11442" t="s">
        <v>42235</v>
      </c>
      <c r="N11442" t="s">
        <v>42669</v>
      </c>
      <c r="O11442" t="s">
        <v>42670</v>
      </c>
      <c r="P11442">
        <v>0</v>
      </c>
      <c r="Q11442">
        <v>6</v>
      </c>
      <c r="R11442" t="s">
        <v>42685</v>
      </c>
      <c r="S11442" t="s">
        <v>43317</v>
      </c>
      <c r="T11442" t="s">
        <v>44517</v>
      </c>
      <c r="U11442" t="s">
        <v>54152</v>
      </c>
      <c r="W11442" t="s">
        <v>42235</v>
      </c>
      <c r="X11442" t="s">
        <v>42686</v>
      </c>
    </row>
    <row r="11443" spans="1:24">
      <c r="A11443">
        <f>HYPERLINK("https://www.philgeps.gov.ph/GEPSNONPILOT/Tender/SplashBidNoticeAbstractUI.aspx?menuIndex=3&amp;refID=7167464&amp;Result=3","7167464")</f>
        <v>0</v>
      </c>
      <c r="B11443" t="s">
        <v>3086</v>
      </c>
      <c r="C11443" t="s">
        <v>14468</v>
      </c>
      <c r="D11443" t="s">
        <v>17177</v>
      </c>
      <c r="E11443" t="s">
        <v>26990</v>
      </c>
      <c r="F11443" t="s">
        <v>29372</v>
      </c>
      <c r="G11443" t="s">
        <v>29380</v>
      </c>
      <c r="H11443" t="s">
        <v>11048</v>
      </c>
      <c r="I11443" t="s">
        <v>3839</v>
      </c>
      <c r="J11443" t="s">
        <v>36763</v>
      </c>
      <c r="K11443" t="s">
        <v>38485</v>
      </c>
      <c r="M11443" t="s">
        <v>42121</v>
      </c>
      <c r="N11443" t="s">
        <v>42669</v>
      </c>
      <c r="O11443" t="s">
        <v>42670</v>
      </c>
      <c r="Q11443">
        <v>10</v>
      </c>
      <c r="R11443" t="s">
        <v>42685</v>
      </c>
      <c r="S11443" t="s">
        <v>43394</v>
      </c>
      <c r="T11443" t="s">
        <v>44412</v>
      </c>
      <c r="U11443" t="s">
        <v>54153</v>
      </c>
      <c r="W11443" t="s">
        <v>42121</v>
      </c>
      <c r="X11443" t="s">
        <v>42686</v>
      </c>
    </row>
    <row r="11444" spans="1:24">
      <c r="A11444">
        <f>HYPERLINK("https://www.philgeps.gov.ph/GEPSNONPILOT/Tender/SplashBidNoticeAbstractUI.aspx?menuIndex=3&amp;refID=7167481&amp;Result=3","7167481")</f>
        <v>0</v>
      </c>
      <c r="B11444" t="s">
        <v>3086</v>
      </c>
      <c r="C11444" t="s">
        <v>14469</v>
      </c>
      <c r="D11444" t="s">
        <v>17177</v>
      </c>
      <c r="E11444" t="s">
        <v>26991</v>
      </c>
      <c r="F11444" t="s">
        <v>29372</v>
      </c>
      <c r="G11444" t="s">
        <v>29380</v>
      </c>
      <c r="H11444" t="s">
        <v>29389</v>
      </c>
      <c r="I11444" t="s">
        <v>29417</v>
      </c>
      <c r="J11444" t="s">
        <v>36764</v>
      </c>
      <c r="K11444" t="s">
        <v>38495</v>
      </c>
      <c r="M11444" t="s">
        <v>42121</v>
      </c>
      <c r="N11444" t="s">
        <v>42669</v>
      </c>
      <c r="O11444" t="s">
        <v>42670</v>
      </c>
      <c r="P11444">
        <v>0</v>
      </c>
      <c r="Q11444">
        <v>1</v>
      </c>
      <c r="R11444" t="s">
        <v>42685</v>
      </c>
      <c r="S11444" t="s">
        <v>43317</v>
      </c>
      <c r="T11444" t="s">
        <v>44412</v>
      </c>
      <c r="U11444" t="s">
        <v>54154</v>
      </c>
      <c r="W11444" t="s">
        <v>42121</v>
      </c>
      <c r="X11444" t="s">
        <v>42686</v>
      </c>
    </row>
    <row r="11445" spans="1:24">
      <c r="A11445">
        <f>HYPERLINK("https://www.philgeps.gov.ph/GEPSNONPILOT/Tender/SplashBidNoticeAbstractUI.aspx?menuIndex=3&amp;refID=7167741&amp;Result=3","7167741")</f>
        <v>0</v>
      </c>
      <c r="B11445" t="s">
        <v>298</v>
      </c>
      <c r="C11445" t="s">
        <v>14470</v>
      </c>
      <c r="D11445" t="s">
        <v>17164</v>
      </c>
      <c r="E11445" t="s">
        <v>26992</v>
      </c>
      <c r="F11445" t="s">
        <v>29372</v>
      </c>
      <c r="G11445" t="s">
        <v>29380</v>
      </c>
      <c r="H11445" t="s">
        <v>29389</v>
      </c>
      <c r="I11445" t="s">
        <v>10408</v>
      </c>
      <c r="J11445" t="s">
        <v>36765</v>
      </c>
      <c r="K11445" t="s">
        <v>38565</v>
      </c>
      <c r="M11445" t="s">
        <v>39057</v>
      </c>
      <c r="N11445" t="s">
        <v>42669</v>
      </c>
      <c r="O11445" t="s">
        <v>42670</v>
      </c>
      <c r="P11445">
        <v>0</v>
      </c>
      <c r="Q11445">
        <v>2</v>
      </c>
      <c r="R11445" t="s">
        <v>42685</v>
      </c>
      <c r="S11445" t="s">
        <v>43317</v>
      </c>
      <c r="T11445" t="s">
        <v>44412</v>
      </c>
      <c r="U11445" t="s">
        <v>54155</v>
      </c>
      <c r="W11445" t="s">
        <v>39057</v>
      </c>
      <c r="X11445" t="s">
        <v>42686</v>
      </c>
    </row>
    <row r="11446" spans="1:24">
      <c r="A11446">
        <f>HYPERLINK("https://www.philgeps.gov.ph/GEPSNONPILOT/Tender/SplashBidNoticeAbstractUI.aspx?menuIndex=3&amp;refID=7167767&amp;Result=3","7167767")</f>
        <v>0</v>
      </c>
      <c r="B11446" t="s">
        <v>298</v>
      </c>
      <c r="C11446" t="s">
        <v>14471</v>
      </c>
      <c r="D11446" t="s">
        <v>17164</v>
      </c>
      <c r="E11446" t="s">
        <v>26993</v>
      </c>
      <c r="F11446" t="s">
        <v>29372</v>
      </c>
      <c r="G11446" t="s">
        <v>29380</v>
      </c>
      <c r="H11446" t="s">
        <v>29389</v>
      </c>
      <c r="I11446" t="s">
        <v>10408</v>
      </c>
      <c r="J11446" t="s">
        <v>36766</v>
      </c>
      <c r="K11446" t="s">
        <v>38504</v>
      </c>
      <c r="M11446" t="s">
        <v>39057</v>
      </c>
      <c r="N11446" t="s">
        <v>42669</v>
      </c>
      <c r="O11446" t="s">
        <v>42670</v>
      </c>
      <c r="P11446">
        <v>0</v>
      </c>
      <c r="Q11446">
        <v>2</v>
      </c>
      <c r="R11446" t="s">
        <v>42685</v>
      </c>
      <c r="S11446" t="s">
        <v>43317</v>
      </c>
      <c r="T11446" t="s">
        <v>44412</v>
      </c>
      <c r="U11446" t="s">
        <v>54156</v>
      </c>
      <c r="W11446" t="s">
        <v>39057</v>
      </c>
      <c r="X11446" t="s">
        <v>42686</v>
      </c>
    </row>
    <row r="11447" spans="1:24">
      <c r="A11447">
        <f>HYPERLINK("https://www.philgeps.gov.ph/GEPSNONPILOT/Tender/SplashBidNoticeAbstractUI.aspx?menuIndex=3&amp;refID=7167752&amp;Result=3","7167752")</f>
        <v>0</v>
      </c>
      <c r="B11447" t="s">
        <v>298</v>
      </c>
      <c r="C11447" t="s">
        <v>14472</v>
      </c>
      <c r="D11447" t="s">
        <v>17164</v>
      </c>
      <c r="E11447" t="s">
        <v>26994</v>
      </c>
      <c r="F11447" t="s">
        <v>29372</v>
      </c>
      <c r="G11447" t="s">
        <v>29380</v>
      </c>
      <c r="H11447" t="s">
        <v>29389</v>
      </c>
      <c r="I11447" t="s">
        <v>10408</v>
      </c>
      <c r="J11447" t="s">
        <v>36767</v>
      </c>
      <c r="K11447" t="s">
        <v>38689</v>
      </c>
      <c r="M11447" t="s">
        <v>39057</v>
      </c>
      <c r="N11447" t="s">
        <v>42669</v>
      </c>
      <c r="O11447" t="s">
        <v>42670</v>
      </c>
      <c r="P11447">
        <v>0</v>
      </c>
      <c r="Q11447">
        <v>2</v>
      </c>
      <c r="R11447" t="s">
        <v>42685</v>
      </c>
      <c r="S11447" t="s">
        <v>43317</v>
      </c>
      <c r="T11447" t="s">
        <v>44412</v>
      </c>
      <c r="U11447" t="s">
        <v>54157</v>
      </c>
      <c r="W11447" t="s">
        <v>39057</v>
      </c>
      <c r="X11447" t="s">
        <v>42686</v>
      </c>
    </row>
    <row r="11448" spans="1:24">
      <c r="A11448">
        <f>HYPERLINK("https://www.philgeps.gov.ph/GEPSNONPILOT/Tender/SplashBidNoticeAbstractUI.aspx?menuIndex=3&amp;refID=7167731&amp;Result=3","7167731")</f>
        <v>0</v>
      </c>
      <c r="B11448" t="s">
        <v>2756</v>
      </c>
      <c r="C11448" t="s">
        <v>14473</v>
      </c>
      <c r="D11448" t="s">
        <v>17141</v>
      </c>
      <c r="E11448" t="s">
        <v>14473</v>
      </c>
      <c r="F11448" t="s">
        <v>29372</v>
      </c>
      <c r="G11448" t="s">
        <v>29380</v>
      </c>
      <c r="H11448" t="s">
        <v>11048</v>
      </c>
      <c r="I11448" t="s">
        <v>9642</v>
      </c>
      <c r="J11448" t="s">
        <v>36768</v>
      </c>
      <c r="K11448" t="s">
        <v>38485</v>
      </c>
      <c r="M11448" t="s">
        <v>41741</v>
      </c>
      <c r="N11448" t="s">
        <v>42669</v>
      </c>
      <c r="O11448" t="s">
        <v>42670</v>
      </c>
      <c r="P11448">
        <v>0</v>
      </c>
      <c r="Q11448">
        <v>27</v>
      </c>
      <c r="R11448" t="s">
        <v>42685</v>
      </c>
      <c r="S11448" t="s">
        <v>43317</v>
      </c>
      <c r="T11448" t="s">
        <v>44527</v>
      </c>
      <c r="U11448" t="s">
        <v>54158</v>
      </c>
      <c r="V11448" t="s">
        <v>57375</v>
      </c>
      <c r="W11448" t="s">
        <v>41741</v>
      </c>
      <c r="X11448" t="s">
        <v>42686</v>
      </c>
    </row>
    <row r="11449" spans="1:24">
      <c r="A11449">
        <f>HYPERLINK("https://www.philgeps.gov.ph/GEPSNONPILOT/Tender/SplashBidNoticeAbstractUI.aspx?menuIndex=3&amp;refID=7167772&amp;Result=3","7167772")</f>
        <v>0</v>
      </c>
      <c r="B11449" t="s">
        <v>298</v>
      </c>
      <c r="C11449" t="s">
        <v>14474</v>
      </c>
      <c r="D11449" t="s">
        <v>17164</v>
      </c>
      <c r="E11449" t="s">
        <v>26995</v>
      </c>
      <c r="F11449" t="s">
        <v>29372</v>
      </c>
      <c r="G11449" t="s">
        <v>29380</v>
      </c>
      <c r="H11449" t="s">
        <v>29389</v>
      </c>
      <c r="I11449" t="s">
        <v>10408</v>
      </c>
      <c r="J11449" t="s">
        <v>36769</v>
      </c>
      <c r="K11449" t="s">
        <v>38556</v>
      </c>
      <c r="M11449" t="s">
        <v>39057</v>
      </c>
      <c r="N11449" t="s">
        <v>42669</v>
      </c>
      <c r="O11449" t="s">
        <v>42670</v>
      </c>
      <c r="P11449">
        <v>0</v>
      </c>
      <c r="Q11449">
        <v>2</v>
      </c>
      <c r="R11449" t="s">
        <v>42685</v>
      </c>
      <c r="S11449" t="s">
        <v>43317</v>
      </c>
      <c r="T11449" t="s">
        <v>44412</v>
      </c>
      <c r="U11449" t="s">
        <v>54159</v>
      </c>
      <c r="W11449" t="s">
        <v>39057</v>
      </c>
      <c r="X11449" t="s">
        <v>42686</v>
      </c>
    </row>
    <row r="11450" spans="1:24">
      <c r="A11450">
        <f>HYPERLINK("https://www.philgeps.gov.ph/GEPSNONPILOT/Tender/SplashBidNoticeAbstractUI.aspx?menuIndex=3&amp;refID=7167702&amp;Result=3","7167702")</f>
        <v>0</v>
      </c>
      <c r="B11450" t="s">
        <v>2257</v>
      </c>
      <c r="C11450" t="s">
        <v>14475</v>
      </c>
      <c r="D11450" t="s">
        <v>17205</v>
      </c>
      <c r="E11450" t="s">
        <v>26996</v>
      </c>
      <c r="F11450" t="s">
        <v>29372</v>
      </c>
      <c r="G11450" t="s">
        <v>29384</v>
      </c>
      <c r="H11450" t="s">
        <v>11048</v>
      </c>
      <c r="I11450" t="s">
        <v>29393</v>
      </c>
      <c r="J11450" t="s">
        <v>31951</v>
      </c>
      <c r="K11450" t="s">
        <v>38522</v>
      </c>
      <c r="M11450" t="s">
        <v>41178</v>
      </c>
      <c r="N11450" t="s">
        <v>42669</v>
      </c>
      <c r="O11450" t="s">
        <v>42670</v>
      </c>
      <c r="P11450">
        <v>0</v>
      </c>
      <c r="Q11450">
        <v>0</v>
      </c>
      <c r="R11450" t="s">
        <v>42685</v>
      </c>
      <c r="S11450" t="s">
        <v>43317</v>
      </c>
      <c r="T11450" t="s">
        <v>44357</v>
      </c>
      <c r="U11450" t="s">
        <v>54160</v>
      </c>
      <c r="W11450" t="s">
        <v>41178</v>
      </c>
      <c r="X11450" t="s">
        <v>42686</v>
      </c>
    </row>
    <row r="11451" spans="1:24">
      <c r="A11451">
        <f>HYPERLINK("https://www.philgeps.gov.ph/GEPSNONPILOT/Tender/SplashBidNoticeAbstractUI.aspx?menuIndex=3&amp;refID=7167691&amp;Result=3","7167691")</f>
        <v>0</v>
      </c>
      <c r="B11451" t="s">
        <v>3181</v>
      </c>
      <c r="C11451" t="s">
        <v>14476</v>
      </c>
      <c r="D11451" t="s">
        <v>17177</v>
      </c>
      <c r="E11451" t="s">
        <v>26997</v>
      </c>
      <c r="F11451" t="s">
        <v>29372</v>
      </c>
      <c r="G11451" t="s">
        <v>29380</v>
      </c>
      <c r="H11451" t="s">
        <v>11048</v>
      </c>
      <c r="I11451" t="s">
        <v>29413</v>
      </c>
      <c r="J11451" t="s">
        <v>29740</v>
      </c>
      <c r="K11451" t="s">
        <v>38485</v>
      </c>
      <c r="M11451" t="s">
        <v>42236</v>
      </c>
      <c r="N11451" t="s">
        <v>42669</v>
      </c>
      <c r="O11451" t="s">
        <v>42670</v>
      </c>
      <c r="P11451">
        <v>0</v>
      </c>
      <c r="Q11451">
        <v>6</v>
      </c>
      <c r="R11451" t="s">
        <v>42685</v>
      </c>
      <c r="S11451" t="s">
        <v>43317</v>
      </c>
      <c r="T11451" t="s">
        <v>44444</v>
      </c>
      <c r="U11451" t="s">
        <v>54161</v>
      </c>
      <c r="W11451" t="s">
        <v>42236</v>
      </c>
      <c r="X11451" t="s">
        <v>42686</v>
      </c>
    </row>
    <row r="11452" spans="1:24">
      <c r="A11452">
        <f>HYPERLINK("https://www.philgeps.gov.ph/GEPSNONPILOT/Tender/SplashBidNoticeAbstractUI.aspx?menuIndex=3&amp;refID=7167733&amp;Result=3","7167733")</f>
        <v>0</v>
      </c>
      <c r="B11452" t="s">
        <v>1073</v>
      </c>
      <c r="C11452" t="s">
        <v>14477</v>
      </c>
      <c r="D11452" t="s">
        <v>17141</v>
      </c>
      <c r="E11452" t="s">
        <v>26998</v>
      </c>
      <c r="F11452" t="s">
        <v>29372</v>
      </c>
      <c r="G11452" t="s">
        <v>29380</v>
      </c>
      <c r="H11452" t="s">
        <v>11048</v>
      </c>
      <c r="I11452" t="s">
        <v>8614</v>
      </c>
      <c r="J11452" t="s">
        <v>36770</v>
      </c>
      <c r="K11452" t="s">
        <v>38485</v>
      </c>
      <c r="M11452" t="s">
        <v>41181</v>
      </c>
      <c r="N11452" t="s">
        <v>42669</v>
      </c>
      <c r="O11452" t="s">
        <v>42670</v>
      </c>
      <c r="Q11452">
        <v>11</v>
      </c>
      <c r="R11452" t="s">
        <v>42685</v>
      </c>
      <c r="S11452" t="s">
        <v>43395</v>
      </c>
      <c r="T11452" t="s">
        <v>44802</v>
      </c>
      <c r="U11452" t="s">
        <v>54162</v>
      </c>
      <c r="W11452" t="s">
        <v>41181</v>
      </c>
      <c r="X11452" t="s">
        <v>42686</v>
      </c>
    </row>
    <row r="11453" spans="1:24">
      <c r="A11453">
        <f>HYPERLINK("https://www.philgeps.gov.ph/GEPSNONPILOT/Tender/SplashBidNoticeAbstractUI.aspx?menuIndex=3&amp;refID=7167436&amp;Result=3","7167436")</f>
        <v>0</v>
      </c>
      <c r="B11453" t="s">
        <v>2550</v>
      </c>
      <c r="C11453" t="s">
        <v>14478</v>
      </c>
      <c r="E11453" t="s">
        <v>26999</v>
      </c>
      <c r="F11453" t="s">
        <v>29372</v>
      </c>
      <c r="G11453" t="s">
        <v>29380</v>
      </c>
      <c r="H11453" t="s">
        <v>11048</v>
      </c>
      <c r="I11453" t="s">
        <v>29478</v>
      </c>
      <c r="J11453" t="s">
        <v>36771</v>
      </c>
      <c r="K11453" t="s">
        <v>38522</v>
      </c>
      <c r="M11453" t="s">
        <v>42227</v>
      </c>
      <c r="N11453" t="s">
        <v>42669</v>
      </c>
      <c r="O11453" t="s">
        <v>42670</v>
      </c>
      <c r="P11453">
        <v>0</v>
      </c>
      <c r="Q11453">
        <v>11</v>
      </c>
      <c r="R11453" t="s">
        <v>42685</v>
      </c>
      <c r="S11453" t="s">
        <v>43317</v>
      </c>
      <c r="T11453" t="s">
        <v>44366</v>
      </c>
      <c r="U11453" t="s">
        <v>54130</v>
      </c>
      <c r="W11453" t="s">
        <v>42227</v>
      </c>
      <c r="X11453" t="s">
        <v>42686</v>
      </c>
    </row>
    <row r="11454" spans="1:24">
      <c r="A11454">
        <f>HYPERLINK("https://www.philgeps.gov.ph/GEPSNONPILOT/Tender/SplashBidNoticeAbstractUI.aspx?menuIndex=3&amp;refID=7167099&amp;Result=3","7167099")</f>
        <v>0</v>
      </c>
      <c r="B11454" t="s">
        <v>828</v>
      </c>
      <c r="C11454" t="s">
        <v>14479</v>
      </c>
      <c r="D11454" t="s">
        <v>17160</v>
      </c>
      <c r="E11454" t="s">
        <v>27000</v>
      </c>
      <c r="F11454" t="s">
        <v>29372</v>
      </c>
      <c r="G11454" t="s">
        <v>29380</v>
      </c>
      <c r="H11454" t="s">
        <v>29389</v>
      </c>
      <c r="I11454" t="s">
        <v>10408</v>
      </c>
      <c r="J11454" t="s">
        <v>29543</v>
      </c>
      <c r="K11454" t="s">
        <v>38485</v>
      </c>
      <c r="M11454" t="s">
        <v>39615</v>
      </c>
      <c r="N11454" t="s">
        <v>42669</v>
      </c>
      <c r="O11454" t="s">
        <v>42670</v>
      </c>
      <c r="P11454">
        <v>0</v>
      </c>
      <c r="Q11454">
        <v>2</v>
      </c>
      <c r="R11454" t="s">
        <v>42685</v>
      </c>
      <c r="S11454" t="s">
        <v>43317</v>
      </c>
      <c r="T11454" t="s">
        <v>44466</v>
      </c>
      <c r="U11454" t="s">
        <v>54050</v>
      </c>
      <c r="W11454" t="s">
        <v>39615</v>
      </c>
      <c r="X11454" t="s">
        <v>42686</v>
      </c>
    </row>
    <row r="11455" spans="1:24">
      <c r="A11455">
        <f>HYPERLINK("https://www.philgeps.gov.ph/GEPSNONPILOT/Tender/SplashBidNoticeAbstractUI.aspx?menuIndex=3&amp;refID=7167773&amp;Result=3","7167773")</f>
        <v>0</v>
      </c>
      <c r="B11455" t="s">
        <v>1300</v>
      </c>
      <c r="C11455" t="s">
        <v>14480</v>
      </c>
      <c r="D11455" t="s">
        <v>17141</v>
      </c>
      <c r="E11455" t="s">
        <v>27001</v>
      </c>
      <c r="F11455" t="s">
        <v>29372</v>
      </c>
      <c r="G11455" t="s">
        <v>29380</v>
      </c>
      <c r="H11455" t="s">
        <v>11048</v>
      </c>
      <c r="I11455" t="s">
        <v>29433</v>
      </c>
      <c r="J11455" t="s">
        <v>36772</v>
      </c>
      <c r="K11455" t="s">
        <v>38487</v>
      </c>
      <c r="M11455" t="s">
        <v>42237</v>
      </c>
      <c r="N11455" t="s">
        <v>42669</v>
      </c>
      <c r="O11455" t="s">
        <v>42670</v>
      </c>
      <c r="Q11455">
        <v>40</v>
      </c>
      <c r="R11455" t="s">
        <v>42685</v>
      </c>
      <c r="S11455" t="s">
        <v>43396</v>
      </c>
      <c r="T11455" t="s">
        <v>44426</v>
      </c>
      <c r="U11455" t="s">
        <v>54163</v>
      </c>
      <c r="W11455" t="s">
        <v>42237</v>
      </c>
      <c r="X11455" t="s">
        <v>42686</v>
      </c>
    </row>
    <row r="11456" spans="1:24">
      <c r="A11456">
        <f>HYPERLINK("https://www.philgeps.gov.ph/GEPSNONPILOT/Tender/SplashBidNoticeAbstractUI.aspx?menuIndex=3&amp;refID=7167696&amp;Result=3","7167696")</f>
        <v>0</v>
      </c>
      <c r="B11456" t="s">
        <v>3182</v>
      </c>
      <c r="C11456" t="s">
        <v>14481</v>
      </c>
      <c r="D11456" t="s">
        <v>17164</v>
      </c>
      <c r="E11456" t="s">
        <v>27002</v>
      </c>
      <c r="F11456" t="s">
        <v>29372</v>
      </c>
      <c r="G11456" t="s">
        <v>29380</v>
      </c>
      <c r="H11456" t="s">
        <v>11048</v>
      </c>
      <c r="I11456" t="s">
        <v>29415</v>
      </c>
      <c r="J11456" t="s">
        <v>36773</v>
      </c>
      <c r="K11456" t="s">
        <v>38485</v>
      </c>
      <c r="M11456" t="s">
        <v>42238</v>
      </c>
      <c r="N11456" t="s">
        <v>42669</v>
      </c>
      <c r="O11456" t="s">
        <v>42670</v>
      </c>
      <c r="P11456">
        <v>0</v>
      </c>
      <c r="Q11456">
        <v>8</v>
      </c>
      <c r="R11456" t="s">
        <v>42685</v>
      </c>
      <c r="S11456" t="s">
        <v>43317</v>
      </c>
      <c r="T11456" t="s">
        <v>44412</v>
      </c>
      <c r="U11456" t="s">
        <v>54164</v>
      </c>
      <c r="W11456" t="s">
        <v>58114</v>
      </c>
      <c r="X11456" t="s">
        <v>42686</v>
      </c>
    </row>
    <row r="11457" spans="1:24">
      <c r="A11457">
        <f>HYPERLINK("https://www.philgeps.gov.ph/GEPSNONPILOT/Tender/SplashBidNoticeAbstractUI.aspx?menuIndex=3&amp;refID=7167759&amp;Result=3","7167759")</f>
        <v>0</v>
      </c>
      <c r="B11457" t="s">
        <v>2534</v>
      </c>
      <c r="C11457" t="s">
        <v>14482</v>
      </c>
      <c r="D11457" t="s">
        <v>17163</v>
      </c>
      <c r="E11457" t="s">
        <v>27003</v>
      </c>
      <c r="F11457" t="s">
        <v>29372</v>
      </c>
      <c r="G11457" t="s">
        <v>29380</v>
      </c>
      <c r="H11457" t="s">
        <v>29389</v>
      </c>
      <c r="I11457" t="s">
        <v>10408</v>
      </c>
      <c r="J11457" t="s">
        <v>30161</v>
      </c>
      <c r="K11457" t="s">
        <v>38496</v>
      </c>
      <c r="M11457" t="s">
        <v>41496</v>
      </c>
      <c r="N11457" t="s">
        <v>42669</v>
      </c>
      <c r="O11457" t="s">
        <v>42670</v>
      </c>
      <c r="P11457">
        <v>0</v>
      </c>
      <c r="Q11457">
        <v>2</v>
      </c>
      <c r="R11457" t="s">
        <v>42685</v>
      </c>
      <c r="S11457" t="s">
        <v>43317</v>
      </c>
      <c r="T11457" t="s">
        <v>44401</v>
      </c>
      <c r="U11457" t="s">
        <v>54165</v>
      </c>
      <c r="W11457" t="s">
        <v>41496</v>
      </c>
      <c r="X11457" t="s">
        <v>42686</v>
      </c>
    </row>
    <row r="11458" spans="1:24">
      <c r="A11458">
        <f>HYPERLINK("https://www.philgeps.gov.ph/GEPSNONPILOT/Tender/SplashBidNoticeAbstractUI.aspx?menuIndex=3&amp;refID=7167688&amp;Result=3","7167688")</f>
        <v>0</v>
      </c>
      <c r="B11458" t="s">
        <v>2093</v>
      </c>
      <c r="C11458" t="s">
        <v>14483</v>
      </c>
      <c r="D11458" t="s">
        <v>17141</v>
      </c>
      <c r="E11458" t="s">
        <v>17534</v>
      </c>
      <c r="F11458" t="s">
        <v>29372</v>
      </c>
      <c r="G11458" t="s">
        <v>29380</v>
      </c>
      <c r="H11458" t="s">
        <v>11048</v>
      </c>
      <c r="I11458" t="s">
        <v>29436</v>
      </c>
      <c r="J11458" t="s">
        <v>31498</v>
      </c>
      <c r="K11458" t="s">
        <v>38496</v>
      </c>
      <c r="M11458" t="s">
        <v>40995</v>
      </c>
      <c r="N11458" t="s">
        <v>42669</v>
      </c>
      <c r="O11458" t="s">
        <v>42670</v>
      </c>
      <c r="P11458">
        <v>0</v>
      </c>
      <c r="Q11458">
        <v>16</v>
      </c>
      <c r="R11458" t="s">
        <v>42685</v>
      </c>
      <c r="S11458" t="s">
        <v>43317</v>
      </c>
      <c r="T11458" t="s">
        <v>44650</v>
      </c>
      <c r="U11458" t="s">
        <v>54166</v>
      </c>
      <c r="V11458" t="s">
        <v>56381</v>
      </c>
      <c r="W11458" t="s">
        <v>40995</v>
      </c>
      <c r="X11458" t="s">
        <v>42686</v>
      </c>
    </row>
    <row r="11459" spans="1:24">
      <c r="A11459">
        <f>HYPERLINK("https://www.philgeps.gov.ph/GEPSNONPILOT/Tender/SplashBidNoticeAbstractUI.aspx?menuIndex=3&amp;refID=7157834&amp;Result=3","7157834")</f>
        <v>0</v>
      </c>
      <c r="B11459" t="s">
        <v>2064</v>
      </c>
      <c r="C11459" t="s">
        <v>14484</v>
      </c>
      <c r="D11459" t="s">
        <v>17207</v>
      </c>
      <c r="E11459" t="s">
        <v>27004</v>
      </c>
      <c r="F11459" t="s">
        <v>29372</v>
      </c>
      <c r="G11459" t="s">
        <v>29380</v>
      </c>
      <c r="H11459" t="s">
        <v>29389</v>
      </c>
      <c r="I11459" t="s">
        <v>10408</v>
      </c>
      <c r="J11459" t="s">
        <v>29937</v>
      </c>
      <c r="K11459" t="s">
        <v>38503</v>
      </c>
      <c r="M11459" t="s">
        <v>40962</v>
      </c>
      <c r="N11459" t="s">
        <v>42669</v>
      </c>
      <c r="O11459" t="s">
        <v>42670</v>
      </c>
      <c r="P11459">
        <v>0</v>
      </c>
      <c r="Q11459">
        <v>0</v>
      </c>
      <c r="R11459" t="s">
        <v>42686</v>
      </c>
      <c r="S11459" t="s">
        <v>43397</v>
      </c>
      <c r="T11459" t="s">
        <v>44503</v>
      </c>
      <c r="U11459" t="s">
        <v>54167</v>
      </c>
      <c r="W11459" t="s">
        <v>40962</v>
      </c>
      <c r="X11459" t="s">
        <v>42691</v>
      </c>
    </row>
    <row r="11460" spans="1:24">
      <c r="A11460">
        <f>HYPERLINK("https://www.philgeps.gov.ph/GEPSNONPILOT/Tender/SplashBidNoticeAbstractUI.aspx?menuIndex=3&amp;refID=7167683&amp;Result=3","7167683")</f>
        <v>0</v>
      </c>
      <c r="B11460" t="s">
        <v>1594</v>
      </c>
      <c r="C11460" t="s">
        <v>14485</v>
      </c>
      <c r="D11460" t="s">
        <v>17177</v>
      </c>
      <c r="E11460" t="s">
        <v>18285</v>
      </c>
      <c r="F11460" t="s">
        <v>29372</v>
      </c>
      <c r="G11460" t="s">
        <v>29380</v>
      </c>
      <c r="H11460" t="s">
        <v>29389</v>
      </c>
      <c r="I11460" t="s">
        <v>10408</v>
      </c>
      <c r="J11460" t="s">
        <v>36774</v>
      </c>
      <c r="K11460" t="s">
        <v>38533</v>
      </c>
      <c r="M11460" t="s">
        <v>42239</v>
      </c>
      <c r="N11460" t="s">
        <v>42669</v>
      </c>
      <c r="O11460" t="s">
        <v>42670</v>
      </c>
      <c r="P11460">
        <v>0</v>
      </c>
      <c r="Q11460">
        <v>21</v>
      </c>
      <c r="R11460" t="s">
        <v>42685</v>
      </c>
      <c r="S11460" t="s">
        <v>43317</v>
      </c>
      <c r="T11460" t="s">
        <v>44509</v>
      </c>
      <c r="U11460" t="s">
        <v>54168</v>
      </c>
      <c r="W11460" t="s">
        <v>42239</v>
      </c>
      <c r="X11460" t="s">
        <v>42686</v>
      </c>
    </row>
    <row r="11461" spans="1:24">
      <c r="A11461">
        <f>HYPERLINK("https://www.philgeps.gov.ph/GEPSNONPILOT/Tender/SplashBidNoticeAbstractUI.aspx?menuIndex=3&amp;refID=7157787&amp;Result=3","7157787")</f>
        <v>0</v>
      </c>
      <c r="B11461" t="s">
        <v>2064</v>
      </c>
      <c r="C11461" t="s">
        <v>4596</v>
      </c>
      <c r="D11461" t="s">
        <v>17207</v>
      </c>
      <c r="E11461" t="s">
        <v>27005</v>
      </c>
      <c r="F11461" t="s">
        <v>29372</v>
      </c>
      <c r="G11461" t="s">
        <v>29380</v>
      </c>
      <c r="H11461" t="s">
        <v>29389</v>
      </c>
      <c r="I11461" t="s">
        <v>10408</v>
      </c>
      <c r="J11461" t="s">
        <v>29788</v>
      </c>
      <c r="K11461" t="s">
        <v>38527</v>
      </c>
      <c r="M11461" t="s">
        <v>40962</v>
      </c>
      <c r="N11461" t="s">
        <v>42669</v>
      </c>
      <c r="O11461" t="s">
        <v>42670</v>
      </c>
      <c r="P11461">
        <v>0</v>
      </c>
      <c r="Q11461">
        <v>0</v>
      </c>
      <c r="R11461" t="s">
        <v>42686</v>
      </c>
      <c r="S11461" t="s">
        <v>43397</v>
      </c>
      <c r="T11461" t="s">
        <v>44725</v>
      </c>
      <c r="U11461" t="s">
        <v>54169</v>
      </c>
      <c r="W11461" t="s">
        <v>40962</v>
      </c>
      <c r="X11461" t="s">
        <v>42691</v>
      </c>
    </row>
    <row r="11462" spans="1:24">
      <c r="A11462">
        <f>HYPERLINK("https://www.philgeps.gov.ph/GEPSNONPILOT/Tender/SplashBidNoticeAbstractUI.aspx?menuIndex=3&amp;refID=7167677&amp;Result=3","7167677")</f>
        <v>0</v>
      </c>
      <c r="B11462" t="s">
        <v>2511</v>
      </c>
      <c r="C11462" t="s">
        <v>14486</v>
      </c>
      <c r="D11462" t="s">
        <v>17141</v>
      </c>
      <c r="E11462" t="s">
        <v>27006</v>
      </c>
      <c r="F11462" t="s">
        <v>29372</v>
      </c>
      <c r="G11462" t="s">
        <v>29380</v>
      </c>
      <c r="H11462" t="s">
        <v>11048</v>
      </c>
      <c r="I11462" t="s">
        <v>29441</v>
      </c>
      <c r="J11462" t="s">
        <v>36775</v>
      </c>
      <c r="K11462" t="s">
        <v>38522</v>
      </c>
      <c r="M11462" t="s">
        <v>42240</v>
      </c>
      <c r="N11462" t="s">
        <v>42669</v>
      </c>
      <c r="O11462" t="s">
        <v>42670</v>
      </c>
      <c r="P11462">
        <v>0</v>
      </c>
      <c r="Q11462">
        <v>4</v>
      </c>
      <c r="R11462" t="s">
        <v>42685</v>
      </c>
      <c r="S11462" t="s">
        <v>43317</v>
      </c>
      <c r="T11462" t="s">
        <v>44375</v>
      </c>
      <c r="U11462" t="s">
        <v>54170</v>
      </c>
      <c r="W11462" t="s">
        <v>42240</v>
      </c>
      <c r="X11462" t="s">
        <v>42686</v>
      </c>
    </row>
    <row r="11463" spans="1:24">
      <c r="A11463">
        <f>HYPERLINK("https://www.philgeps.gov.ph/GEPSNONPILOT/Tender/SplashBidNoticeAbstractUI.aspx?menuIndex=3&amp;refID=7167721&amp;Result=3","7167721")</f>
        <v>0</v>
      </c>
      <c r="B11463" t="s">
        <v>3181</v>
      </c>
      <c r="C11463" t="s">
        <v>14487</v>
      </c>
      <c r="D11463" t="s">
        <v>17177</v>
      </c>
      <c r="E11463" t="s">
        <v>26997</v>
      </c>
      <c r="F11463" t="s">
        <v>29372</v>
      </c>
      <c r="G11463" t="s">
        <v>29380</v>
      </c>
      <c r="H11463" t="s">
        <v>29389</v>
      </c>
      <c r="I11463" t="s">
        <v>10408</v>
      </c>
      <c r="J11463" t="s">
        <v>29604</v>
      </c>
      <c r="K11463" t="s">
        <v>38485</v>
      </c>
      <c r="M11463" t="s">
        <v>42236</v>
      </c>
      <c r="N11463" t="s">
        <v>42669</v>
      </c>
      <c r="O11463" t="s">
        <v>42670</v>
      </c>
      <c r="P11463">
        <v>0</v>
      </c>
      <c r="Q11463">
        <v>1</v>
      </c>
      <c r="R11463" t="s">
        <v>42685</v>
      </c>
      <c r="S11463" t="s">
        <v>43317</v>
      </c>
      <c r="T11463" t="s">
        <v>44491</v>
      </c>
      <c r="U11463" t="s">
        <v>54171</v>
      </c>
      <c r="W11463" t="s">
        <v>42236</v>
      </c>
      <c r="X11463" t="s">
        <v>42686</v>
      </c>
    </row>
    <row r="11464" spans="1:24">
      <c r="A11464">
        <f>HYPERLINK("https://www.philgeps.gov.ph/GEPSNONPILOT/Tender/SplashBidNoticeAbstractUI.aspx?menuIndex=3&amp;refID=7153745&amp;Result=3","7153745")</f>
        <v>0</v>
      </c>
      <c r="B11464" t="s">
        <v>3183</v>
      </c>
      <c r="C11464" t="s">
        <v>14488</v>
      </c>
      <c r="D11464" t="s">
        <v>17171</v>
      </c>
      <c r="E11464" t="s">
        <v>27007</v>
      </c>
      <c r="F11464" t="s">
        <v>29372</v>
      </c>
      <c r="G11464" t="s">
        <v>29380</v>
      </c>
      <c r="H11464" t="s">
        <v>11048</v>
      </c>
      <c r="I11464" t="s">
        <v>9469</v>
      </c>
      <c r="J11464" t="s">
        <v>31086</v>
      </c>
      <c r="K11464" t="s">
        <v>38485</v>
      </c>
      <c r="M11464" t="s">
        <v>42241</v>
      </c>
      <c r="N11464" t="s">
        <v>42669</v>
      </c>
      <c r="O11464" t="s">
        <v>42670</v>
      </c>
      <c r="P11464">
        <v>0</v>
      </c>
      <c r="Q11464">
        <v>1</v>
      </c>
      <c r="R11464" t="s">
        <v>42686</v>
      </c>
      <c r="S11464" t="s">
        <v>43397</v>
      </c>
      <c r="T11464" t="s">
        <v>44357</v>
      </c>
      <c r="U11464" t="s">
        <v>54172</v>
      </c>
      <c r="W11464" t="s">
        <v>42241</v>
      </c>
      <c r="X11464" t="s">
        <v>42692</v>
      </c>
    </row>
    <row r="11465" spans="1:24">
      <c r="A11465">
        <f>HYPERLINK("https://www.philgeps.gov.ph/GEPSNONPILOT/Tender/SplashBidNoticeAbstractUI.aspx?menuIndex=3&amp;refID=7157339&amp;Result=3","7157339")</f>
        <v>0</v>
      </c>
      <c r="B11465" t="s">
        <v>3184</v>
      </c>
      <c r="C11465" t="s">
        <v>14489</v>
      </c>
      <c r="D11465" t="s">
        <v>17174</v>
      </c>
      <c r="E11465" t="s">
        <v>27008</v>
      </c>
      <c r="F11465" t="s">
        <v>29372</v>
      </c>
      <c r="G11465" t="s">
        <v>29380</v>
      </c>
      <c r="H11465" t="s">
        <v>11048</v>
      </c>
      <c r="I11465" t="s">
        <v>4709</v>
      </c>
      <c r="J11465" t="s">
        <v>36776</v>
      </c>
      <c r="K11465" t="s">
        <v>38518</v>
      </c>
      <c r="M11465" t="s">
        <v>42242</v>
      </c>
      <c r="N11465" t="s">
        <v>42669</v>
      </c>
      <c r="O11465" t="s">
        <v>42670</v>
      </c>
      <c r="P11465">
        <v>0</v>
      </c>
      <c r="Q11465">
        <v>1</v>
      </c>
      <c r="R11465" t="s">
        <v>42686</v>
      </c>
      <c r="S11465" t="s">
        <v>43397</v>
      </c>
      <c r="T11465" t="s">
        <v>44401</v>
      </c>
      <c r="U11465" t="s">
        <v>54173</v>
      </c>
      <c r="W11465" t="s">
        <v>42242</v>
      </c>
      <c r="X11465" t="s">
        <v>42691</v>
      </c>
    </row>
    <row r="11466" spans="1:24">
      <c r="A11466">
        <f>HYPERLINK("https://www.philgeps.gov.ph/GEPSNONPILOT/Tender/SplashBidNoticeAbstractUI.aspx?menuIndex=3&amp;refID=7154511&amp;Result=3","7154511")</f>
        <v>0</v>
      </c>
      <c r="B11466" t="s">
        <v>3185</v>
      </c>
      <c r="C11466" t="s">
        <v>14490</v>
      </c>
      <c r="D11466" t="s">
        <v>17198</v>
      </c>
      <c r="E11466" t="s">
        <v>27009</v>
      </c>
      <c r="F11466" t="s">
        <v>29372</v>
      </c>
      <c r="G11466" t="s">
        <v>29380</v>
      </c>
      <c r="H11466" t="s">
        <v>11048</v>
      </c>
      <c r="I11466" t="s">
        <v>6417</v>
      </c>
      <c r="J11466" t="s">
        <v>33676</v>
      </c>
      <c r="K11466" t="s">
        <v>38488</v>
      </c>
      <c r="M11466" t="s">
        <v>42243</v>
      </c>
      <c r="N11466" t="s">
        <v>42669</v>
      </c>
      <c r="O11466" t="s">
        <v>42670</v>
      </c>
      <c r="P11466">
        <v>0</v>
      </c>
      <c r="Q11466">
        <v>1</v>
      </c>
      <c r="R11466" t="s">
        <v>42686</v>
      </c>
      <c r="S11466" t="s">
        <v>43397</v>
      </c>
      <c r="T11466" t="s">
        <v>44375</v>
      </c>
      <c r="U11466" t="s">
        <v>54174</v>
      </c>
      <c r="W11466" t="s">
        <v>42243</v>
      </c>
      <c r="X11466" t="s">
        <v>42692</v>
      </c>
    </row>
    <row r="11467" spans="1:24">
      <c r="A11467">
        <f>HYPERLINK("https://www.philgeps.gov.ph/GEPSNONPILOT/Tender/SplashBidNoticeAbstractUI.aspx?menuIndex=3&amp;refID=7151986&amp;Result=3","7151986")</f>
        <v>0</v>
      </c>
      <c r="B11467" t="s">
        <v>3140</v>
      </c>
      <c r="C11467" t="s">
        <v>14491</v>
      </c>
      <c r="D11467" t="s">
        <v>17158</v>
      </c>
      <c r="E11467" t="s">
        <v>27010</v>
      </c>
      <c r="F11467" t="s">
        <v>29372</v>
      </c>
      <c r="G11467" t="s">
        <v>29380</v>
      </c>
      <c r="H11467" t="s">
        <v>29389</v>
      </c>
      <c r="I11467" t="s">
        <v>10408</v>
      </c>
      <c r="J11467" t="s">
        <v>36777</v>
      </c>
      <c r="K11467" t="s">
        <v>38730</v>
      </c>
      <c r="M11467" t="s">
        <v>42186</v>
      </c>
      <c r="N11467" t="s">
        <v>42669</v>
      </c>
      <c r="O11467" t="s">
        <v>42670</v>
      </c>
      <c r="P11467">
        <v>0</v>
      </c>
      <c r="Q11467">
        <v>0</v>
      </c>
      <c r="R11467" t="s">
        <v>42686</v>
      </c>
      <c r="S11467" t="s">
        <v>43397</v>
      </c>
      <c r="T11467" t="s">
        <v>44357</v>
      </c>
      <c r="U11467" t="s">
        <v>54175</v>
      </c>
      <c r="W11467" t="s">
        <v>42186</v>
      </c>
      <c r="X11467" t="s">
        <v>42693</v>
      </c>
    </row>
    <row r="11468" spans="1:24">
      <c r="A11468">
        <f>HYPERLINK("https://www.philgeps.gov.ph/GEPSNONPILOT/Tender/SplashBidNoticeAbstractUI.aspx?menuIndex=3&amp;refID=7147616&amp;Result=3","7147616")</f>
        <v>0</v>
      </c>
      <c r="B11468" t="s">
        <v>3186</v>
      </c>
      <c r="C11468" t="s">
        <v>14492</v>
      </c>
      <c r="D11468" t="s">
        <v>17142</v>
      </c>
      <c r="E11468" t="s">
        <v>17972</v>
      </c>
      <c r="F11468" t="s">
        <v>29372</v>
      </c>
      <c r="G11468" t="s">
        <v>29380</v>
      </c>
      <c r="H11468" t="s">
        <v>29389</v>
      </c>
      <c r="I11468" t="s">
        <v>10408</v>
      </c>
      <c r="J11468" t="s">
        <v>36778</v>
      </c>
      <c r="K11468" t="s">
        <v>38525</v>
      </c>
      <c r="M11468" t="s">
        <v>42244</v>
      </c>
      <c r="N11468" t="s">
        <v>42669</v>
      </c>
      <c r="O11468" t="s">
        <v>42670</v>
      </c>
      <c r="P11468">
        <v>0</v>
      </c>
      <c r="Q11468">
        <v>5</v>
      </c>
      <c r="R11468" t="s">
        <v>42686</v>
      </c>
      <c r="S11468" t="s">
        <v>43397</v>
      </c>
      <c r="T11468" t="s">
        <v>44364</v>
      </c>
      <c r="U11468" t="s">
        <v>54176</v>
      </c>
      <c r="W11468" t="s">
        <v>42244</v>
      </c>
      <c r="X11468" t="s">
        <v>42697</v>
      </c>
    </row>
    <row r="11469" spans="1:24">
      <c r="A11469">
        <f>HYPERLINK("https://www.philgeps.gov.ph/GEPSNONPILOT/Tender/SplashBidNoticeAbstractUI.aspx?menuIndex=3&amp;refID=7157112&amp;Result=3","7157112")</f>
        <v>0</v>
      </c>
      <c r="B11469" t="s">
        <v>3184</v>
      </c>
      <c r="C11469" t="s">
        <v>14493</v>
      </c>
      <c r="D11469" t="s">
        <v>17174</v>
      </c>
      <c r="E11469" t="s">
        <v>27008</v>
      </c>
      <c r="F11469" t="s">
        <v>29372</v>
      </c>
      <c r="G11469" t="s">
        <v>29380</v>
      </c>
      <c r="H11469" t="s">
        <v>11048</v>
      </c>
      <c r="I11469" t="s">
        <v>4709</v>
      </c>
      <c r="J11469" t="s">
        <v>29555</v>
      </c>
      <c r="K11469" t="s">
        <v>38518</v>
      </c>
      <c r="M11469" t="s">
        <v>42242</v>
      </c>
      <c r="N11469" t="s">
        <v>42669</v>
      </c>
      <c r="O11469" t="s">
        <v>42670</v>
      </c>
      <c r="P11469">
        <v>0</v>
      </c>
      <c r="Q11469">
        <v>0</v>
      </c>
      <c r="R11469" t="s">
        <v>42686</v>
      </c>
      <c r="S11469" t="s">
        <v>43397</v>
      </c>
      <c r="T11469" t="s">
        <v>44401</v>
      </c>
      <c r="U11469" t="s">
        <v>54177</v>
      </c>
      <c r="W11469" t="s">
        <v>42242</v>
      </c>
      <c r="X11469" t="s">
        <v>42691</v>
      </c>
    </row>
    <row r="11470" spans="1:24">
      <c r="A11470">
        <f>HYPERLINK("https://www.philgeps.gov.ph/GEPSNONPILOT/Tender/SplashBidNoticeAbstractUI.aspx?menuIndex=3&amp;refID=7157735&amp;Result=3","7157735")</f>
        <v>0</v>
      </c>
      <c r="B11470" t="s">
        <v>2064</v>
      </c>
      <c r="C11470" t="s">
        <v>9302</v>
      </c>
      <c r="D11470" t="s">
        <v>17207</v>
      </c>
      <c r="E11470" t="s">
        <v>27011</v>
      </c>
      <c r="F11470" t="s">
        <v>29372</v>
      </c>
      <c r="G11470" t="s">
        <v>29380</v>
      </c>
      <c r="H11470" t="s">
        <v>29389</v>
      </c>
      <c r="I11470" t="s">
        <v>10408</v>
      </c>
      <c r="J11470" t="s">
        <v>29609</v>
      </c>
      <c r="K11470" t="s">
        <v>38487</v>
      </c>
      <c r="M11470" t="s">
        <v>40962</v>
      </c>
      <c r="N11470" t="s">
        <v>42669</v>
      </c>
      <c r="O11470" t="s">
        <v>42670</v>
      </c>
      <c r="P11470">
        <v>0</v>
      </c>
      <c r="Q11470">
        <v>0</v>
      </c>
      <c r="R11470" t="s">
        <v>42686</v>
      </c>
      <c r="S11470" t="s">
        <v>43397</v>
      </c>
      <c r="T11470" t="s">
        <v>44542</v>
      </c>
      <c r="U11470" t="s">
        <v>54178</v>
      </c>
      <c r="W11470" t="s">
        <v>40962</v>
      </c>
      <c r="X11470" t="s">
        <v>42691</v>
      </c>
    </row>
    <row r="11471" spans="1:24">
      <c r="A11471">
        <f>HYPERLINK("https://www.philgeps.gov.ph/GEPSNONPILOT/Tender/SplashBidNoticeAbstractUI.aspx?menuIndex=3&amp;refID=7167842&amp;Result=3","7167842")</f>
        <v>0</v>
      </c>
      <c r="B11471" t="s">
        <v>3187</v>
      </c>
      <c r="C11471" t="s">
        <v>14494</v>
      </c>
      <c r="E11471" t="s">
        <v>27012</v>
      </c>
      <c r="F11471" t="s">
        <v>29372</v>
      </c>
      <c r="G11471" t="s">
        <v>29380</v>
      </c>
      <c r="H11471" t="s">
        <v>11048</v>
      </c>
      <c r="I11471" t="s">
        <v>7828</v>
      </c>
      <c r="J11471" t="s">
        <v>31487</v>
      </c>
      <c r="K11471" t="s">
        <v>38502</v>
      </c>
      <c r="M11471" t="s">
        <v>42245</v>
      </c>
      <c r="N11471" t="s">
        <v>42669</v>
      </c>
      <c r="O11471" t="s">
        <v>42670</v>
      </c>
      <c r="P11471">
        <v>0</v>
      </c>
      <c r="Q11471">
        <v>13</v>
      </c>
      <c r="R11471" t="s">
        <v>42685</v>
      </c>
      <c r="S11471" t="s">
        <v>43317</v>
      </c>
      <c r="T11471" t="s">
        <v>44375</v>
      </c>
      <c r="U11471" t="s">
        <v>54179</v>
      </c>
      <c r="W11471" t="s">
        <v>42245</v>
      </c>
      <c r="X11471" t="s">
        <v>42686</v>
      </c>
    </row>
    <row r="11472" spans="1:24">
      <c r="A11472">
        <f>HYPERLINK("https://www.philgeps.gov.ph/GEPSNONPILOT/Tender/SplashBidNoticeAbstractUI.aspx?menuIndex=3&amp;refID=7167830&amp;Result=3","7167830")</f>
        <v>0</v>
      </c>
      <c r="B11472" t="s">
        <v>1594</v>
      </c>
      <c r="C11472" t="s">
        <v>14495</v>
      </c>
      <c r="D11472" t="s">
        <v>17177</v>
      </c>
      <c r="E11472" t="s">
        <v>17401</v>
      </c>
      <c r="F11472" t="s">
        <v>29372</v>
      </c>
      <c r="G11472" t="s">
        <v>29380</v>
      </c>
      <c r="H11472" t="s">
        <v>29389</v>
      </c>
      <c r="I11472" t="s">
        <v>10408</v>
      </c>
      <c r="J11472" t="s">
        <v>29543</v>
      </c>
      <c r="K11472" t="s">
        <v>38496</v>
      </c>
      <c r="M11472" t="s">
        <v>42239</v>
      </c>
      <c r="N11472" t="s">
        <v>42669</v>
      </c>
      <c r="O11472" t="s">
        <v>42670</v>
      </c>
      <c r="P11472">
        <v>0</v>
      </c>
      <c r="Q11472">
        <v>14</v>
      </c>
      <c r="R11472" t="s">
        <v>42685</v>
      </c>
      <c r="S11472" t="s">
        <v>43317</v>
      </c>
      <c r="T11472" t="s">
        <v>44509</v>
      </c>
      <c r="U11472" t="s">
        <v>54180</v>
      </c>
      <c r="W11472" t="s">
        <v>42239</v>
      </c>
      <c r="X11472" t="s">
        <v>42686</v>
      </c>
    </row>
    <row r="11473" spans="1:24">
      <c r="A11473">
        <f>HYPERLINK("https://www.philgeps.gov.ph/GEPSNONPILOT/Tender/SplashBidNoticeAbstractUI.aspx?menuIndex=3&amp;refID=7157599&amp;Result=3","7157599")</f>
        <v>0</v>
      </c>
      <c r="B11473" t="s">
        <v>3188</v>
      </c>
      <c r="C11473" t="s">
        <v>14496</v>
      </c>
      <c r="D11473" t="s">
        <v>17159</v>
      </c>
      <c r="E11473" t="s">
        <v>17571</v>
      </c>
      <c r="F11473" t="s">
        <v>29375</v>
      </c>
      <c r="G11473" t="s">
        <v>29383</v>
      </c>
      <c r="H11473" t="s">
        <v>11048</v>
      </c>
      <c r="I11473" t="s">
        <v>4709</v>
      </c>
      <c r="J11473" t="s">
        <v>36779</v>
      </c>
      <c r="K11473" t="s">
        <v>38485</v>
      </c>
      <c r="M11473" t="s">
        <v>42246</v>
      </c>
      <c r="N11473" t="s">
        <v>42669</v>
      </c>
      <c r="O11473" t="s">
        <v>42670</v>
      </c>
      <c r="P11473">
        <v>0</v>
      </c>
      <c r="Q11473">
        <v>1</v>
      </c>
      <c r="R11473" t="s">
        <v>42686</v>
      </c>
      <c r="S11473" t="s">
        <v>43397</v>
      </c>
      <c r="T11473" t="s">
        <v>44390</v>
      </c>
      <c r="U11473" t="s">
        <v>54181</v>
      </c>
      <c r="W11473" t="s">
        <v>42246</v>
      </c>
      <c r="X11473" t="s">
        <v>42691</v>
      </c>
    </row>
    <row r="11474" spans="1:24">
      <c r="A11474">
        <f>HYPERLINK("https://www.philgeps.gov.ph/GEPSNONPILOT/Tender/SplashBidNoticeAbstractUI.aspx?menuIndex=3&amp;refID=7167867&amp;Result=3","7167867")</f>
        <v>0</v>
      </c>
      <c r="B11474" t="s">
        <v>3187</v>
      </c>
      <c r="C11474" t="s">
        <v>14497</v>
      </c>
      <c r="E11474" t="s">
        <v>27013</v>
      </c>
      <c r="F11474" t="s">
        <v>29372</v>
      </c>
      <c r="G11474" t="s">
        <v>29380</v>
      </c>
      <c r="H11474" t="s">
        <v>29390</v>
      </c>
      <c r="I11474" t="s">
        <v>29409</v>
      </c>
      <c r="J11474" t="s">
        <v>29573</v>
      </c>
      <c r="K11474" t="s">
        <v>38586</v>
      </c>
      <c r="M11474" t="s">
        <v>42245</v>
      </c>
      <c r="N11474" t="s">
        <v>42669</v>
      </c>
      <c r="O11474" t="s">
        <v>42670</v>
      </c>
      <c r="P11474">
        <v>0</v>
      </c>
      <c r="Q11474">
        <v>15</v>
      </c>
      <c r="R11474" t="s">
        <v>42685</v>
      </c>
      <c r="S11474" t="s">
        <v>43317</v>
      </c>
      <c r="T11474" t="s">
        <v>44375</v>
      </c>
      <c r="U11474" t="s">
        <v>54182</v>
      </c>
      <c r="W11474" t="s">
        <v>42245</v>
      </c>
      <c r="X11474" t="s">
        <v>42686</v>
      </c>
    </row>
    <row r="11475" spans="1:24">
      <c r="A11475">
        <f>HYPERLINK("https://www.philgeps.gov.ph/GEPSNONPILOT/Tender/SplashBidNoticeAbstractUI.aspx?menuIndex=3&amp;refID=7167851&amp;Result=3","7167851")</f>
        <v>0</v>
      </c>
      <c r="B11475" t="s">
        <v>1795</v>
      </c>
      <c r="C11475" t="s">
        <v>14498</v>
      </c>
      <c r="D11475" t="s">
        <v>17170</v>
      </c>
      <c r="E11475" t="s">
        <v>27014</v>
      </c>
      <c r="F11475" t="s">
        <v>29372</v>
      </c>
      <c r="G11475" t="s">
        <v>29380</v>
      </c>
      <c r="H11475" t="s">
        <v>11048</v>
      </c>
      <c r="I11475" t="s">
        <v>5383</v>
      </c>
      <c r="J11475" t="s">
        <v>36780</v>
      </c>
      <c r="K11475" t="s">
        <v>38485</v>
      </c>
      <c r="M11475" t="s">
        <v>42247</v>
      </c>
      <c r="N11475" t="s">
        <v>42669</v>
      </c>
      <c r="O11475" t="s">
        <v>42670</v>
      </c>
      <c r="P11475">
        <v>0</v>
      </c>
      <c r="Q11475">
        <v>11</v>
      </c>
      <c r="R11475" t="s">
        <v>42685</v>
      </c>
      <c r="S11475" t="s">
        <v>43317</v>
      </c>
      <c r="T11475" t="s">
        <v>44373</v>
      </c>
      <c r="U11475" t="s">
        <v>54183</v>
      </c>
      <c r="W11475" t="s">
        <v>42247</v>
      </c>
      <c r="X11475" t="s">
        <v>42686</v>
      </c>
    </row>
    <row r="11476" spans="1:24">
      <c r="A11476">
        <f>HYPERLINK("https://www.philgeps.gov.ph/GEPSNONPILOT/Tender/SplashBidNoticeAbstractUI.aspx?menuIndex=3&amp;refID=7167774&amp;Result=3","7167774")</f>
        <v>0</v>
      </c>
      <c r="B11476" t="s">
        <v>298</v>
      </c>
      <c r="C11476" t="s">
        <v>14499</v>
      </c>
      <c r="D11476" t="s">
        <v>17164</v>
      </c>
      <c r="E11476" t="s">
        <v>27015</v>
      </c>
      <c r="F11476" t="s">
        <v>29372</v>
      </c>
      <c r="G11476" t="s">
        <v>29380</v>
      </c>
      <c r="H11476" t="s">
        <v>29389</v>
      </c>
      <c r="I11476" t="s">
        <v>10408</v>
      </c>
      <c r="J11476" t="s">
        <v>36781</v>
      </c>
      <c r="K11476" t="s">
        <v>38544</v>
      </c>
      <c r="M11476" t="s">
        <v>39057</v>
      </c>
      <c r="N11476" t="s">
        <v>42669</v>
      </c>
      <c r="O11476" t="s">
        <v>42670</v>
      </c>
      <c r="P11476">
        <v>0</v>
      </c>
      <c r="Q11476">
        <v>1</v>
      </c>
      <c r="R11476" t="s">
        <v>42685</v>
      </c>
      <c r="S11476" t="s">
        <v>43317</v>
      </c>
      <c r="T11476" t="s">
        <v>44412</v>
      </c>
      <c r="U11476" t="s">
        <v>54184</v>
      </c>
      <c r="W11476" t="s">
        <v>39057</v>
      </c>
      <c r="X11476" t="s">
        <v>42686</v>
      </c>
    </row>
    <row r="11477" spans="1:24">
      <c r="A11477">
        <f>HYPERLINK("https://www.philgeps.gov.ph/GEPSNONPILOT/Tender/SplashBidNoticeAbstractUI.aspx?menuIndex=3&amp;refID=7167837&amp;Result=3","7167837")</f>
        <v>0</v>
      </c>
      <c r="B11477" t="s">
        <v>1965</v>
      </c>
      <c r="C11477" t="s">
        <v>14500</v>
      </c>
      <c r="D11477" t="s">
        <v>17141</v>
      </c>
      <c r="E11477" t="s">
        <v>27016</v>
      </c>
      <c r="F11477" t="s">
        <v>29372</v>
      </c>
      <c r="G11477" t="s">
        <v>29380</v>
      </c>
      <c r="H11477" t="s">
        <v>11048</v>
      </c>
      <c r="I11477" t="s">
        <v>8614</v>
      </c>
      <c r="J11477" t="s">
        <v>36782</v>
      </c>
      <c r="K11477" t="s">
        <v>38490</v>
      </c>
      <c r="M11477" t="s">
        <v>42248</v>
      </c>
      <c r="N11477" t="s">
        <v>42669</v>
      </c>
      <c r="O11477" t="s">
        <v>42670</v>
      </c>
      <c r="P11477">
        <v>0</v>
      </c>
      <c r="Q11477">
        <v>25</v>
      </c>
      <c r="R11477" t="s">
        <v>42685</v>
      </c>
      <c r="S11477" t="s">
        <v>43317</v>
      </c>
      <c r="T11477" t="s">
        <v>44457</v>
      </c>
      <c r="U11477" t="s">
        <v>54185</v>
      </c>
      <c r="V11477" t="s">
        <v>57648</v>
      </c>
      <c r="W11477" t="s">
        <v>42248</v>
      </c>
      <c r="X11477" t="s">
        <v>42686</v>
      </c>
    </row>
    <row r="11478" spans="1:24">
      <c r="A11478">
        <f>HYPERLINK("https://www.philgeps.gov.ph/GEPSNONPILOT/Tender/SplashBidNoticeAbstractUI.aspx?menuIndex=3&amp;refID=7167782&amp;Result=3","7167782")</f>
        <v>0</v>
      </c>
      <c r="B11478" t="s">
        <v>298</v>
      </c>
      <c r="C11478" t="s">
        <v>14501</v>
      </c>
      <c r="D11478" t="s">
        <v>17164</v>
      </c>
      <c r="E11478" t="s">
        <v>27017</v>
      </c>
      <c r="F11478" t="s">
        <v>29372</v>
      </c>
      <c r="G11478" t="s">
        <v>29380</v>
      </c>
      <c r="H11478" t="s">
        <v>29389</v>
      </c>
      <c r="I11478" t="s">
        <v>10408</v>
      </c>
      <c r="J11478" t="s">
        <v>36783</v>
      </c>
      <c r="K11478" t="s">
        <v>38551</v>
      </c>
      <c r="M11478" t="s">
        <v>39057</v>
      </c>
      <c r="N11478" t="s">
        <v>42669</v>
      </c>
      <c r="O11478" t="s">
        <v>42670</v>
      </c>
      <c r="P11478">
        <v>0</v>
      </c>
      <c r="Q11478">
        <v>2</v>
      </c>
      <c r="R11478" t="s">
        <v>42685</v>
      </c>
      <c r="S11478" t="s">
        <v>43317</v>
      </c>
      <c r="T11478" t="s">
        <v>44412</v>
      </c>
      <c r="U11478" t="s">
        <v>54186</v>
      </c>
      <c r="W11478" t="s">
        <v>39057</v>
      </c>
      <c r="X11478" t="s">
        <v>42686</v>
      </c>
    </row>
    <row r="11479" spans="1:24">
      <c r="A11479">
        <f>HYPERLINK("https://www.philgeps.gov.ph/GEPSNONPILOT/Tender/SplashBidNoticeAbstractUI.aspx?menuIndex=3&amp;refID=7161863&amp;Result=3","7161863")</f>
        <v>0</v>
      </c>
      <c r="B11479" t="s">
        <v>1447</v>
      </c>
      <c r="C11479" t="s">
        <v>14502</v>
      </c>
      <c r="D11479" t="s">
        <v>17182</v>
      </c>
      <c r="E11479" t="s">
        <v>27018</v>
      </c>
      <c r="F11479" t="s">
        <v>29372</v>
      </c>
      <c r="G11479" t="s">
        <v>29380</v>
      </c>
      <c r="H11479" t="s">
        <v>11048</v>
      </c>
      <c r="I11479" t="s">
        <v>29400</v>
      </c>
      <c r="J11479" t="s">
        <v>36784</v>
      </c>
      <c r="K11479" t="s">
        <v>38485</v>
      </c>
      <c r="M11479" t="s">
        <v>40288</v>
      </c>
      <c r="N11479" t="s">
        <v>42669</v>
      </c>
      <c r="O11479" t="s">
        <v>42670</v>
      </c>
      <c r="P11479">
        <v>0</v>
      </c>
      <c r="Q11479">
        <v>14</v>
      </c>
      <c r="R11479" t="s">
        <v>42686</v>
      </c>
      <c r="S11479" t="s">
        <v>43397</v>
      </c>
      <c r="T11479" t="s">
        <v>44412</v>
      </c>
      <c r="U11479" t="s">
        <v>54187</v>
      </c>
      <c r="V11479" t="s">
        <v>57649</v>
      </c>
      <c r="W11479" t="s">
        <v>40288</v>
      </c>
      <c r="X11479" t="s">
        <v>42689</v>
      </c>
    </row>
    <row r="11480" spans="1:24">
      <c r="A11480">
        <f>HYPERLINK("https://www.philgeps.gov.ph/GEPSNONPILOT/Tender/SplashBidNoticeAbstractUI.aspx?menuIndex=3&amp;refID=7161280&amp;Result=3","7161280")</f>
        <v>0</v>
      </c>
      <c r="B11480" t="s">
        <v>46</v>
      </c>
      <c r="C11480" t="s">
        <v>14503</v>
      </c>
      <c r="D11480" t="s">
        <v>17157</v>
      </c>
      <c r="E11480" t="s">
        <v>27019</v>
      </c>
      <c r="F11480" t="s">
        <v>29372</v>
      </c>
      <c r="G11480" t="s">
        <v>29380</v>
      </c>
      <c r="H11480" t="s">
        <v>29389</v>
      </c>
      <c r="I11480" t="s">
        <v>10408</v>
      </c>
      <c r="J11480" t="s">
        <v>36785</v>
      </c>
      <c r="K11480" t="s">
        <v>38555</v>
      </c>
      <c r="M11480" t="s">
        <v>38799</v>
      </c>
      <c r="N11480" t="s">
        <v>42669</v>
      </c>
      <c r="O11480" t="s">
        <v>42670</v>
      </c>
      <c r="P11480">
        <v>0</v>
      </c>
      <c r="Q11480">
        <v>0</v>
      </c>
      <c r="R11480" t="s">
        <v>42686</v>
      </c>
      <c r="S11480" t="s">
        <v>43397</v>
      </c>
      <c r="T11480" t="s">
        <v>44373</v>
      </c>
      <c r="U11480" t="s">
        <v>54188</v>
      </c>
      <c r="V11480" t="s">
        <v>56333</v>
      </c>
      <c r="W11480" t="s">
        <v>38799</v>
      </c>
      <c r="X11480" t="s">
        <v>42690</v>
      </c>
    </row>
    <row r="11481" spans="1:24">
      <c r="A11481">
        <f>HYPERLINK("https://www.philgeps.gov.ph/GEPSNONPILOT/Tender/SplashBidNoticeAbstractUI.aspx?menuIndex=3&amp;refID=7145927&amp;Result=3","7145927")</f>
        <v>0</v>
      </c>
      <c r="B11481" t="s">
        <v>55</v>
      </c>
      <c r="C11481" t="s">
        <v>14504</v>
      </c>
      <c r="D11481" t="s">
        <v>17163</v>
      </c>
      <c r="E11481" t="s">
        <v>27020</v>
      </c>
      <c r="F11481" t="s">
        <v>29372</v>
      </c>
      <c r="G11481" t="s">
        <v>29380</v>
      </c>
      <c r="H11481" t="s">
        <v>29389</v>
      </c>
      <c r="I11481" t="s">
        <v>10408</v>
      </c>
      <c r="J11481" t="s">
        <v>36786</v>
      </c>
      <c r="K11481" t="s">
        <v>38485</v>
      </c>
      <c r="M11481" t="s">
        <v>38808</v>
      </c>
      <c r="N11481" t="s">
        <v>42669</v>
      </c>
      <c r="O11481" t="s">
        <v>42670</v>
      </c>
      <c r="P11481">
        <v>0</v>
      </c>
      <c r="Q11481">
        <v>13</v>
      </c>
      <c r="R11481" t="s">
        <v>42686</v>
      </c>
      <c r="S11481" t="s">
        <v>43397</v>
      </c>
      <c r="T11481" t="s">
        <v>44380</v>
      </c>
      <c r="U11481" t="s">
        <v>54189</v>
      </c>
      <c r="W11481" t="s">
        <v>38808</v>
      </c>
      <c r="X11481" t="s">
        <v>42697</v>
      </c>
    </row>
    <row r="11482" spans="1:24">
      <c r="A11482">
        <f>HYPERLINK("https://www.philgeps.gov.ph/GEPSNONPILOT/Tender/SplashBidNoticeAbstractUI.aspx?menuIndex=3&amp;refID=7167783&amp;Result=3","7167783")</f>
        <v>0</v>
      </c>
      <c r="B11482" t="s">
        <v>2534</v>
      </c>
      <c r="C11482" t="s">
        <v>14505</v>
      </c>
      <c r="D11482" t="s">
        <v>17163</v>
      </c>
      <c r="E11482" t="s">
        <v>27021</v>
      </c>
      <c r="F11482" t="s">
        <v>29372</v>
      </c>
      <c r="G11482" t="s">
        <v>29380</v>
      </c>
      <c r="H11482" t="s">
        <v>11048</v>
      </c>
      <c r="I11482" t="s">
        <v>29410</v>
      </c>
      <c r="J11482" t="s">
        <v>29587</v>
      </c>
      <c r="K11482" t="s">
        <v>38488</v>
      </c>
      <c r="M11482" t="s">
        <v>41496</v>
      </c>
      <c r="N11482" t="s">
        <v>42669</v>
      </c>
      <c r="O11482" t="s">
        <v>42670</v>
      </c>
      <c r="P11482">
        <v>0</v>
      </c>
      <c r="Q11482">
        <v>3</v>
      </c>
      <c r="R11482" t="s">
        <v>42685</v>
      </c>
      <c r="S11482" t="s">
        <v>43317</v>
      </c>
      <c r="T11482" t="s">
        <v>44488</v>
      </c>
      <c r="U11482" t="s">
        <v>54190</v>
      </c>
      <c r="W11482" t="s">
        <v>41496</v>
      </c>
      <c r="X11482" t="s">
        <v>42686</v>
      </c>
    </row>
    <row r="11483" spans="1:24">
      <c r="A11483">
        <f>HYPERLINK("https://www.philgeps.gov.ph/GEPSNONPILOT/Tender/SplashBidNoticeAbstractUI.aspx?menuIndex=3&amp;refID=7167657&amp;Result=3","7167657")</f>
        <v>0</v>
      </c>
      <c r="B11483" t="s">
        <v>3189</v>
      </c>
      <c r="C11483" t="s">
        <v>14506</v>
      </c>
      <c r="D11483" t="s">
        <v>17141</v>
      </c>
      <c r="E11483" t="s">
        <v>27022</v>
      </c>
      <c r="F11483" t="s">
        <v>29372</v>
      </c>
      <c r="G11483" t="s">
        <v>29380</v>
      </c>
      <c r="H11483" t="s">
        <v>29389</v>
      </c>
      <c r="I11483" t="s">
        <v>10408</v>
      </c>
      <c r="J11483" t="s">
        <v>29543</v>
      </c>
      <c r="K11483" t="s">
        <v>38496</v>
      </c>
      <c r="M11483" t="s">
        <v>42249</v>
      </c>
      <c r="N11483" t="s">
        <v>42669</v>
      </c>
      <c r="O11483" t="s">
        <v>42670</v>
      </c>
      <c r="P11483">
        <v>0</v>
      </c>
      <c r="Q11483">
        <v>2</v>
      </c>
      <c r="R11483" t="s">
        <v>42685</v>
      </c>
      <c r="S11483" t="s">
        <v>43317</v>
      </c>
      <c r="T11483" t="s">
        <v>44375</v>
      </c>
      <c r="U11483" t="s">
        <v>54191</v>
      </c>
      <c r="W11483" t="s">
        <v>42249</v>
      </c>
      <c r="X11483" t="s">
        <v>42686</v>
      </c>
    </row>
    <row r="11484" spans="1:24">
      <c r="A11484">
        <f>HYPERLINK("https://www.philgeps.gov.ph/GEPSNONPILOT/Tender/SplashBidNoticeAbstractUI.aspx?menuIndex=3&amp;refID=7161865&amp;Result=3","7161865")</f>
        <v>0</v>
      </c>
      <c r="B11484" t="s">
        <v>1447</v>
      </c>
      <c r="C11484" t="s">
        <v>14507</v>
      </c>
      <c r="D11484" t="s">
        <v>17182</v>
      </c>
      <c r="E11484" t="s">
        <v>27023</v>
      </c>
      <c r="F11484" t="s">
        <v>29372</v>
      </c>
      <c r="G11484" t="s">
        <v>29380</v>
      </c>
      <c r="H11484" t="s">
        <v>11048</v>
      </c>
      <c r="I11484" t="s">
        <v>29407</v>
      </c>
      <c r="J11484" t="s">
        <v>36787</v>
      </c>
      <c r="K11484" t="s">
        <v>38485</v>
      </c>
      <c r="M11484" t="s">
        <v>40288</v>
      </c>
      <c r="N11484" t="s">
        <v>42669</v>
      </c>
      <c r="O11484" t="s">
        <v>42670</v>
      </c>
      <c r="P11484">
        <v>0</v>
      </c>
      <c r="Q11484">
        <v>18</v>
      </c>
      <c r="R11484" t="s">
        <v>42686</v>
      </c>
      <c r="S11484" t="s">
        <v>43397</v>
      </c>
      <c r="T11484" t="s">
        <v>44412</v>
      </c>
      <c r="U11484" t="s">
        <v>54187</v>
      </c>
      <c r="V11484" t="s">
        <v>57650</v>
      </c>
      <c r="W11484" t="s">
        <v>40288</v>
      </c>
      <c r="X11484" t="s">
        <v>42689</v>
      </c>
    </row>
    <row r="11485" spans="1:24">
      <c r="A11485">
        <f>HYPERLINK("https://www.philgeps.gov.ph/GEPSNONPILOT/Tender/SplashBidNoticeAbstractUI.aspx?menuIndex=3&amp;refID=7160926&amp;Result=3","7160926")</f>
        <v>0</v>
      </c>
      <c r="B11485" t="s">
        <v>451</v>
      </c>
      <c r="C11485" t="s">
        <v>14508</v>
      </c>
      <c r="E11485" t="s">
        <v>27024</v>
      </c>
      <c r="F11485" t="s">
        <v>29372</v>
      </c>
      <c r="G11485" t="s">
        <v>29380</v>
      </c>
      <c r="H11485" t="s">
        <v>11048</v>
      </c>
      <c r="I11485" t="s">
        <v>29409</v>
      </c>
      <c r="J11485" t="s">
        <v>30161</v>
      </c>
      <c r="K11485" t="s">
        <v>38496</v>
      </c>
      <c r="M11485" t="s">
        <v>39215</v>
      </c>
      <c r="N11485" t="s">
        <v>42669</v>
      </c>
      <c r="O11485" t="s">
        <v>42670</v>
      </c>
      <c r="Q11485">
        <v>12</v>
      </c>
      <c r="R11485" t="s">
        <v>42686</v>
      </c>
      <c r="S11485" t="s">
        <v>43398</v>
      </c>
      <c r="T11485" t="s">
        <v>44398</v>
      </c>
      <c r="U11485" t="s">
        <v>45852</v>
      </c>
      <c r="W11485" t="s">
        <v>39215</v>
      </c>
      <c r="X11485" t="s">
        <v>42690</v>
      </c>
    </row>
    <row r="11486" spans="1:24">
      <c r="A11486">
        <f>HYPERLINK("https://www.philgeps.gov.ph/GEPSNONPILOT/Tender/SplashBidNoticeAbstractUI.aspx?menuIndex=3&amp;refID=7160388&amp;Result=3","7160388")</f>
        <v>0</v>
      </c>
      <c r="B11486" t="s">
        <v>2575</v>
      </c>
      <c r="C11486" t="s">
        <v>14509</v>
      </c>
      <c r="D11486" t="s">
        <v>17205</v>
      </c>
      <c r="E11486" t="s">
        <v>27025</v>
      </c>
      <c r="F11486" t="s">
        <v>29372</v>
      </c>
      <c r="G11486" t="s">
        <v>29380</v>
      </c>
      <c r="H11486" t="s">
        <v>11048</v>
      </c>
      <c r="I11486" t="s">
        <v>5383</v>
      </c>
      <c r="J11486" t="s">
        <v>36788</v>
      </c>
      <c r="K11486" t="s">
        <v>38485</v>
      </c>
      <c r="L11486" t="s">
        <v>2575</v>
      </c>
      <c r="M11486" t="s">
        <v>41542</v>
      </c>
      <c r="N11486" t="s">
        <v>42669</v>
      </c>
      <c r="O11486" t="s">
        <v>42670</v>
      </c>
      <c r="P11486">
        <v>0</v>
      </c>
      <c r="Q11486">
        <v>3</v>
      </c>
      <c r="R11486" t="s">
        <v>42686</v>
      </c>
      <c r="S11486" t="s">
        <v>43397</v>
      </c>
      <c r="T11486" t="s">
        <v>44375</v>
      </c>
      <c r="U11486" t="s">
        <v>51606</v>
      </c>
      <c r="W11486" t="s">
        <v>41542</v>
      </c>
      <c r="X11486" t="s">
        <v>42690</v>
      </c>
    </row>
    <row r="11487" spans="1:24">
      <c r="A11487">
        <f>HYPERLINK("https://www.philgeps.gov.ph/GEPSNONPILOT/Tender/SplashBidNoticeAbstractUI.aspx?menuIndex=3&amp;refID=7160813&amp;Result=3","7160813")</f>
        <v>0</v>
      </c>
      <c r="B11487" t="s">
        <v>1430</v>
      </c>
      <c r="C11487" t="s">
        <v>14510</v>
      </c>
      <c r="D11487" t="s">
        <v>17188</v>
      </c>
      <c r="E11487" t="s">
        <v>27026</v>
      </c>
      <c r="F11487" t="s">
        <v>29372</v>
      </c>
      <c r="G11487" t="s">
        <v>29380</v>
      </c>
      <c r="H11487" t="s">
        <v>29389</v>
      </c>
      <c r="I11487" t="s">
        <v>10408</v>
      </c>
      <c r="J11487" t="s">
        <v>29604</v>
      </c>
      <c r="K11487" t="s">
        <v>38487</v>
      </c>
      <c r="M11487" t="s">
        <v>40270</v>
      </c>
      <c r="N11487" t="s">
        <v>42669</v>
      </c>
      <c r="O11487" t="s">
        <v>42670</v>
      </c>
      <c r="P11487">
        <v>0</v>
      </c>
      <c r="Q11487">
        <v>1</v>
      </c>
      <c r="R11487" t="s">
        <v>42686</v>
      </c>
      <c r="S11487" t="s">
        <v>43397</v>
      </c>
      <c r="T11487" t="s">
        <v>44580</v>
      </c>
      <c r="U11487" t="s">
        <v>54192</v>
      </c>
      <c r="V11487" t="s">
        <v>54192</v>
      </c>
      <c r="W11487" t="s">
        <v>40270</v>
      </c>
      <c r="X11487" t="s">
        <v>42690</v>
      </c>
    </row>
    <row r="11488" spans="1:24">
      <c r="A11488">
        <f>HYPERLINK("https://www.philgeps.gov.ph/GEPSNONPILOT/Tender/SplashBidNoticeAbstractUI.aspx?menuIndex=3&amp;refID=7160358&amp;Result=3","7160358")</f>
        <v>0</v>
      </c>
      <c r="B11488" t="s">
        <v>3190</v>
      </c>
      <c r="C11488" t="s">
        <v>14511</v>
      </c>
      <c r="D11488" t="s">
        <v>17168</v>
      </c>
      <c r="E11488" t="s">
        <v>27027</v>
      </c>
      <c r="F11488" t="s">
        <v>29372</v>
      </c>
      <c r="G11488" t="s">
        <v>29380</v>
      </c>
      <c r="H11488" t="s">
        <v>11048</v>
      </c>
      <c r="I11488" t="s">
        <v>9469</v>
      </c>
      <c r="J11488" t="s">
        <v>29801</v>
      </c>
      <c r="K11488" t="s">
        <v>38485</v>
      </c>
      <c r="M11488" t="s">
        <v>42250</v>
      </c>
      <c r="N11488" t="s">
        <v>42669</v>
      </c>
      <c r="O11488" t="s">
        <v>42670</v>
      </c>
      <c r="P11488">
        <v>0</v>
      </c>
      <c r="Q11488">
        <v>1</v>
      </c>
      <c r="R11488" t="s">
        <v>42686</v>
      </c>
      <c r="S11488" t="s">
        <v>43397</v>
      </c>
      <c r="T11488" t="s">
        <v>44424</v>
      </c>
      <c r="U11488" t="s">
        <v>54193</v>
      </c>
      <c r="W11488" t="s">
        <v>42250</v>
      </c>
      <c r="X11488" t="s">
        <v>42690</v>
      </c>
    </row>
    <row r="11489" spans="1:24">
      <c r="A11489">
        <f>HYPERLINK("https://www.philgeps.gov.ph/GEPSNONPILOT/Tender/SplashBidNoticeAbstractUI.aspx?menuIndex=3&amp;refID=7160437&amp;Result=3","7160437")</f>
        <v>0</v>
      </c>
      <c r="B11489" t="s">
        <v>1949</v>
      </c>
      <c r="C11489" t="s">
        <v>14512</v>
      </c>
      <c r="D11489" t="s">
        <v>17179</v>
      </c>
      <c r="E11489" t="s">
        <v>27028</v>
      </c>
      <c r="F11489" t="s">
        <v>29372</v>
      </c>
      <c r="G11489" t="s">
        <v>29380</v>
      </c>
      <c r="H11489" t="s">
        <v>29389</v>
      </c>
      <c r="I11489" t="s">
        <v>10408</v>
      </c>
      <c r="J11489" t="s">
        <v>29615</v>
      </c>
      <c r="K11489" t="s">
        <v>38564</v>
      </c>
      <c r="M11489" t="s">
        <v>40831</v>
      </c>
      <c r="N11489" t="s">
        <v>42669</v>
      </c>
      <c r="O11489" t="s">
        <v>42670</v>
      </c>
      <c r="P11489">
        <v>0</v>
      </c>
      <c r="Q11489">
        <v>3</v>
      </c>
      <c r="R11489" t="s">
        <v>42686</v>
      </c>
      <c r="S11489" t="s">
        <v>43397</v>
      </c>
      <c r="T11489" t="s">
        <v>44430</v>
      </c>
      <c r="U11489" t="s">
        <v>54194</v>
      </c>
      <c r="W11489" t="s">
        <v>40831</v>
      </c>
      <c r="X11489" t="s">
        <v>42690</v>
      </c>
    </row>
    <row r="11490" spans="1:24">
      <c r="A11490">
        <f>HYPERLINK("https://www.philgeps.gov.ph/GEPSNONPILOT/Tender/SplashBidNoticeAbstractUI.aspx?menuIndex=3&amp;refID=7160709&amp;Result=3","7160709")</f>
        <v>0</v>
      </c>
      <c r="B11490" t="s">
        <v>3191</v>
      </c>
      <c r="C11490" t="s">
        <v>14513</v>
      </c>
      <c r="D11490" t="s">
        <v>17141</v>
      </c>
      <c r="E11490" t="s">
        <v>18945</v>
      </c>
      <c r="F11490" t="s">
        <v>29372</v>
      </c>
      <c r="G11490" t="s">
        <v>29379</v>
      </c>
      <c r="H11490" t="s">
        <v>11048</v>
      </c>
      <c r="I11490" t="s">
        <v>29419</v>
      </c>
      <c r="J11490" t="s">
        <v>36789</v>
      </c>
      <c r="K11490" t="s">
        <v>38491</v>
      </c>
      <c r="M11490" t="s">
        <v>42251</v>
      </c>
      <c r="N11490" t="s">
        <v>42669</v>
      </c>
      <c r="O11490" t="s">
        <v>42670</v>
      </c>
      <c r="Q11490">
        <v>1</v>
      </c>
      <c r="R11490" t="s">
        <v>42686</v>
      </c>
      <c r="S11490" t="s">
        <v>43399</v>
      </c>
      <c r="T11490" t="s">
        <v>44417</v>
      </c>
      <c r="U11490" t="s">
        <v>54195</v>
      </c>
      <c r="V11490" t="s">
        <v>57651</v>
      </c>
      <c r="W11490" t="s">
        <v>42251</v>
      </c>
      <c r="X11490" t="s">
        <v>42690</v>
      </c>
    </row>
    <row r="11491" spans="1:24">
      <c r="A11491">
        <f>HYPERLINK("https://www.philgeps.gov.ph/GEPSNONPILOT/Tender/SplashBidNoticeAbstractUI.aspx?menuIndex=3&amp;refID=7160621&amp;Result=3","7160621")</f>
        <v>0</v>
      </c>
      <c r="B11491" t="s">
        <v>1949</v>
      </c>
      <c r="C11491" t="s">
        <v>14514</v>
      </c>
      <c r="D11491" t="s">
        <v>17179</v>
      </c>
      <c r="E11491" t="s">
        <v>27029</v>
      </c>
      <c r="F11491" t="s">
        <v>29372</v>
      </c>
      <c r="G11491" t="s">
        <v>29380</v>
      </c>
      <c r="H11491" t="s">
        <v>29389</v>
      </c>
      <c r="I11491" t="s">
        <v>10408</v>
      </c>
      <c r="J11491" t="s">
        <v>29789</v>
      </c>
      <c r="K11491" t="s">
        <v>38564</v>
      </c>
      <c r="M11491" t="s">
        <v>40831</v>
      </c>
      <c r="N11491" t="s">
        <v>42669</v>
      </c>
      <c r="O11491" t="s">
        <v>42670</v>
      </c>
      <c r="P11491">
        <v>0</v>
      </c>
      <c r="Q11491">
        <v>1</v>
      </c>
      <c r="R11491" t="s">
        <v>42686</v>
      </c>
      <c r="S11491" t="s">
        <v>43397</v>
      </c>
      <c r="T11491" t="s">
        <v>44530</v>
      </c>
      <c r="U11491" t="s">
        <v>54196</v>
      </c>
      <c r="W11491" t="s">
        <v>40831</v>
      </c>
      <c r="X11491" t="s">
        <v>42690</v>
      </c>
    </row>
    <row r="11492" spans="1:24">
      <c r="A11492">
        <f>HYPERLINK("https://www.philgeps.gov.ph/GEPSNONPILOT/Tender/SplashBidNoticeAbstractUI.aspx?menuIndex=3&amp;refID=7159974&amp;Result=3","7159974")</f>
        <v>0</v>
      </c>
      <c r="B11492" t="s">
        <v>3192</v>
      </c>
      <c r="C11492" t="s">
        <v>14515</v>
      </c>
      <c r="D11492" t="s">
        <v>17183</v>
      </c>
      <c r="E11492" t="s">
        <v>27030</v>
      </c>
      <c r="F11492" t="s">
        <v>29372</v>
      </c>
      <c r="G11492" t="s">
        <v>29380</v>
      </c>
      <c r="H11492" t="s">
        <v>29389</v>
      </c>
      <c r="I11492" t="s">
        <v>10408</v>
      </c>
      <c r="J11492" t="s">
        <v>36790</v>
      </c>
      <c r="K11492" t="s">
        <v>38512</v>
      </c>
      <c r="M11492" t="s">
        <v>42252</v>
      </c>
      <c r="N11492" t="s">
        <v>42669</v>
      </c>
      <c r="O11492" t="s">
        <v>42670</v>
      </c>
      <c r="P11492">
        <v>0</v>
      </c>
      <c r="Q11492">
        <v>0</v>
      </c>
      <c r="R11492" t="s">
        <v>42686</v>
      </c>
      <c r="S11492" t="s">
        <v>43397</v>
      </c>
      <c r="T11492" t="s">
        <v>44357</v>
      </c>
      <c r="U11492" t="s">
        <v>54197</v>
      </c>
      <c r="W11492" t="s">
        <v>42252</v>
      </c>
      <c r="X11492" t="s">
        <v>42690</v>
      </c>
    </row>
    <row r="11493" spans="1:24">
      <c r="A11493">
        <f>HYPERLINK("https://www.philgeps.gov.ph/GEPSNONPILOT/Tender/SplashBidNoticeAbstractUI.aspx?menuIndex=3&amp;refID=7160164&amp;Result=3","7160164")</f>
        <v>0</v>
      </c>
      <c r="B11493" t="s">
        <v>2566</v>
      </c>
      <c r="C11493" t="s">
        <v>14516</v>
      </c>
      <c r="D11493" t="s">
        <v>17205</v>
      </c>
      <c r="E11493" t="s">
        <v>27031</v>
      </c>
      <c r="F11493" t="s">
        <v>29372</v>
      </c>
      <c r="G11493" t="s">
        <v>29380</v>
      </c>
      <c r="H11493" t="s">
        <v>11048</v>
      </c>
      <c r="I11493" t="s">
        <v>9469</v>
      </c>
      <c r="J11493" t="s">
        <v>30787</v>
      </c>
      <c r="K11493" t="s">
        <v>38488</v>
      </c>
      <c r="M11493" t="s">
        <v>41532</v>
      </c>
      <c r="N11493" t="s">
        <v>42669</v>
      </c>
      <c r="O11493" t="s">
        <v>42670</v>
      </c>
      <c r="P11493">
        <v>0</v>
      </c>
      <c r="Q11493">
        <v>6</v>
      </c>
      <c r="R11493" t="s">
        <v>42686</v>
      </c>
      <c r="S11493" t="s">
        <v>43397</v>
      </c>
      <c r="T11493" t="s">
        <v>44397</v>
      </c>
      <c r="U11493" t="s">
        <v>54198</v>
      </c>
      <c r="W11493" t="s">
        <v>41532</v>
      </c>
      <c r="X11493" t="s">
        <v>42690</v>
      </c>
    </row>
    <row r="11494" spans="1:24">
      <c r="A11494">
        <f>HYPERLINK("https://www.philgeps.gov.ph/GEPSNONPILOT/Tender/SplashBidNoticeAbstractUI.aspx?menuIndex=3&amp;refID=7158672&amp;Result=3","7158672")</f>
        <v>0</v>
      </c>
      <c r="B11494" t="s">
        <v>223</v>
      </c>
      <c r="C11494" t="s">
        <v>14517</v>
      </c>
      <c r="D11494" t="s">
        <v>17176</v>
      </c>
      <c r="E11494" t="s">
        <v>27032</v>
      </c>
      <c r="F11494" t="s">
        <v>29372</v>
      </c>
      <c r="G11494" t="s">
        <v>29380</v>
      </c>
      <c r="H11494" t="s">
        <v>11048</v>
      </c>
      <c r="I11494" t="s">
        <v>8614</v>
      </c>
      <c r="J11494" t="s">
        <v>31276</v>
      </c>
      <c r="K11494" t="s">
        <v>38489</v>
      </c>
      <c r="M11494" t="s">
        <v>38982</v>
      </c>
      <c r="N11494" t="s">
        <v>42669</v>
      </c>
      <c r="O11494" t="s">
        <v>42670</v>
      </c>
      <c r="P11494">
        <v>0</v>
      </c>
      <c r="Q11494">
        <v>2</v>
      </c>
      <c r="R11494" t="s">
        <v>42686</v>
      </c>
      <c r="S11494" t="s">
        <v>43397</v>
      </c>
      <c r="T11494" t="s">
        <v>44430</v>
      </c>
      <c r="U11494" t="s">
        <v>54199</v>
      </c>
      <c r="W11494" t="s">
        <v>38982</v>
      </c>
      <c r="X11494" t="s">
        <v>42690</v>
      </c>
    </row>
    <row r="11495" spans="1:24">
      <c r="A11495">
        <f>HYPERLINK("https://www.philgeps.gov.ph/GEPSNONPILOT/Tender/SplashBidNoticeAbstractUI.aspx?menuIndex=3&amp;refID=7160260&amp;Result=3","7160260")</f>
        <v>0</v>
      </c>
      <c r="B11495" t="s">
        <v>3193</v>
      </c>
      <c r="C11495" t="s">
        <v>14518</v>
      </c>
      <c r="D11495" t="s">
        <v>17211</v>
      </c>
      <c r="E11495" t="s">
        <v>17648</v>
      </c>
      <c r="F11495" t="s">
        <v>29372</v>
      </c>
      <c r="G11495" t="s">
        <v>29380</v>
      </c>
      <c r="H11495" t="s">
        <v>11048</v>
      </c>
      <c r="I11495" t="s">
        <v>4709</v>
      </c>
      <c r="J11495" t="s">
        <v>36791</v>
      </c>
      <c r="K11495" t="s">
        <v>38510</v>
      </c>
      <c r="M11495" t="s">
        <v>42253</v>
      </c>
      <c r="N11495" t="s">
        <v>42669</v>
      </c>
      <c r="O11495" t="s">
        <v>42670</v>
      </c>
      <c r="P11495">
        <v>0</v>
      </c>
      <c r="Q11495">
        <v>0</v>
      </c>
      <c r="R11495" t="s">
        <v>42686</v>
      </c>
      <c r="S11495" t="s">
        <v>43397</v>
      </c>
      <c r="T11495" t="s">
        <v>44485</v>
      </c>
      <c r="U11495" t="s">
        <v>54200</v>
      </c>
      <c r="V11495" t="s">
        <v>57619</v>
      </c>
      <c r="W11495" t="s">
        <v>42253</v>
      </c>
      <c r="X11495" t="s">
        <v>42690</v>
      </c>
    </row>
    <row r="11496" spans="1:24">
      <c r="A11496">
        <f>HYPERLINK("https://www.philgeps.gov.ph/GEPSNONPILOT/Tender/SplashBidNoticeAbstractUI.aspx?menuIndex=3&amp;refID=7160167&amp;Result=3","7160167")</f>
        <v>0</v>
      </c>
      <c r="B11496" t="s">
        <v>3194</v>
      </c>
      <c r="C11496" t="s">
        <v>14519</v>
      </c>
      <c r="D11496" t="s">
        <v>17211</v>
      </c>
      <c r="E11496" t="s">
        <v>27033</v>
      </c>
      <c r="F11496" t="s">
        <v>29372</v>
      </c>
      <c r="G11496" t="s">
        <v>29380</v>
      </c>
      <c r="H11496" t="s">
        <v>11048</v>
      </c>
      <c r="I11496" t="s">
        <v>4709</v>
      </c>
      <c r="J11496" t="s">
        <v>36792</v>
      </c>
      <c r="K11496" t="s">
        <v>38488</v>
      </c>
      <c r="M11496" t="s">
        <v>42254</v>
      </c>
      <c r="N11496" t="s">
        <v>42669</v>
      </c>
      <c r="O11496" t="s">
        <v>42670</v>
      </c>
      <c r="P11496">
        <v>0</v>
      </c>
      <c r="Q11496">
        <v>0</v>
      </c>
      <c r="R11496" t="s">
        <v>42686</v>
      </c>
      <c r="S11496" t="s">
        <v>43397</v>
      </c>
      <c r="T11496" t="s">
        <v>44485</v>
      </c>
      <c r="U11496" t="s">
        <v>54201</v>
      </c>
      <c r="V11496" t="s">
        <v>57619</v>
      </c>
      <c r="W11496" t="s">
        <v>42254</v>
      </c>
      <c r="X11496" t="s">
        <v>42690</v>
      </c>
    </row>
    <row r="11497" spans="1:24">
      <c r="A11497">
        <f>HYPERLINK("https://www.philgeps.gov.ph/GEPSNONPILOT/Tender/SplashBidNoticeAbstractUI.aspx?menuIndex=3&amp;refID=7160872&amp;Result=3","7160872")</f>
        <v>0</v>
      </c>
      <c r="B11497" t="s">
        <v>1430</v>
      </c>
      <c r="C11497" t="s">
        <v>14520</v>
      </c>
      <c r="D11497" t="s">
        <v>17188</v>
      </c>
      <c r="E11497" t="s">
        <v>27034</v>
      </c>
      <c r="F11497" t="s">
        <v>29372</v>
      </c>
      <c r="G11497" t="s">
        <v>29380</v>
      </c>
      <c r="H11497" t="s">
        <v>29389</v>
      </c>
      <c r="I11497" t="s">
        <v>10408</v>
      </c>
      <c r="J11497" t="s">
        <v>29590</v>
      </c>
      <c r="K11497" t="s">
        <v>38487</v>
      </c>
      <c r="M11497" t="s">
        <v>40270</v>
      </c>
      <c r="N11497" t="s">
        <v>42669</v>
      </c>
      <c r="O11497" t="s">
        <v>42670</v>
      </c>
      <c r="P11497">
        <v>0</v>
      </c>
      <c r="Q11497">
        <v>0</v>
      </c>
      <c r="R11497" t="s">
        <v>42686</v>
      </c>
      <c r="S11497" t="s">
        <v>43397</v>
      </c>
      <c r="T11497" t="s">
        <v>44580</v>
      </c>
      <c r="U11497" t="s">
        <v>54192</v>
      </c>
      <c r="V11497" t="s">
        <v>54192</v>
      </c>
      <c r="W11497" t="s">
        <v>40270</v>
      </c>
      <c r="X11497" t="s">
        <v>42690</v>
      </c>
    </row>
    <row r="11498" spans="1:24">
      <c r="A11498">
        <f>HYPERLINK("https://www.philgeps.gov.ph/GEPSNONPILOT/Tender/SplashBidNoticeAbstractUI.aspx?menuIndex=3&amp;refID=7157875&amp;Result=3","7157875")</f>
        <v>0</v>
      </c>
      <c r="B11498" t="s">
        <v>2064</v>
      </c>
      <c r="C11498" t="s">
        <v>9302</v>
      </c>
      <c r="D11498" t="s">
        <v>17207</v>
      </c>
      <c r="E11498" t="s">
        <v>27035</v>
      </c>
      <c r="F11498" t="s">
        <v>29372</v>
      </c>
      <c r="G11498" t="s">
        <v>29380</v>
      </c>
      <c r="H11498" t="s">
        <v>29389</v>
      </c>
      <c r="I11498" t="s">
        <v>10408</v>
      </c>
      <c r="J11498" t="s">
        <v>32146</v>
      </c>
      <c r="K11498" t="s">
        <v>38518</v>
      </c>
      <c r="M11498" t="s">
        <v>40962</v>
      </c>
      <c r="N11498" t="s">
        <v>42669</v>
      </c>
      <c r="O11498" t="s">
        <v>42670</v>
      </c>
      <c r="P11498">
        <v>0</v>
      </c>
      <c r="Q11498">
        <v>0</v>
      </c>
      <c r="R11498" t="s">
        <v>42686</v>
      </c>
      <c r="S11498" t="s">
        <v>43397</v>
      </c>
      <c r="T11498" t="s">
        <v>44814</v>
      </c>
      <c r="U11498" t="s">
        <v>54202</v>
      </c>
      <c r="W11498" t="s">
        <v>40962</v>
      </c>
      <c r="X11498" t="s">
        <v>42691</v>
      </c>
    </row>
    <row r="11499" spans="1:24">
      <c r="A11499">
        <f>HYPERLINK("https://www.philgeps.gov.ph/GEPSNONPILOT/Tender/SplashBidNoticeAbstractUI.aspx?menuIndex=3&amp;refID=7159343&amp;Result=3","7159343")</f>
        <v>0</v>
      </c>
      <c r="B11499" t="s">
        <v>572</v>
      </c>
      <c r="C11499" t="s">
        <v>14521</v>
      </c>
      <c r="D11499" t="s">
        <v>17165</v>
      </c>
      <c r="E11499" t="s">
        <v>27036</v>
      </c>
      <c r="F11499" t="s">
        <v>29372</v>
      </c>
      <c r="G11499" t="s">
        <v>29380</v>
      </c>
      <c r="H11499" t="s">
        <v>29389</v>
      </c>
      <c r="I11499" t="s">
        <v>10408</v>
      </c>
      <c r="J11499" t="s">
        <v>36793</v>
      </c>
      <c r="K11499" t="s">
        <v>38503</v>
      </c>
      <c r="M11499" t="s">
        <v>39341</v>
      </c>
      <c r="N11499" t="s">
        <v>42669</v>
      </c>
      <c r="O11499" t="s">
        <v>42670</v>
      </c>
      <c r="P11499">
        <v>0</v>
      </c>
      <c r="Q11499">
        <v>0</v>
      </c>
      <c r="R11499" t="s">
        <v>42686</v>
      </c>
      <c r="S11499" t="s">
        <v>43397</v>
      </c>
      <c r="T11499" t="s">
        <v>44375</v>
      </c>
      <c r="U11499" t="s">
        <v>54203</v>
      </c>
      <c r="W11499" t="s">
        <v>39341</v>
      </c>
      <c r="X11499" t="s">
        <v>42690</v>
      </c>
    </row>
    <row r="11500" spans="1:24">
      <c r="A11500">
        <f>HYPERLINK("https://www.philgeps.gov.ph/GEPSNONPILOT/Tender/SplashBidNoticeAbstractUI.aspx?menuIndex=3&amp;refID=7162290&amp;Result=3","7162290")</f>
        <v>0</v>
      </c>
      <c r="B11500" t="s">
        <v>149</v>
      </c>
      <c r="C11500" t="s">
        <v>14522</v>
      </c>
      <c r="D11500" t="s">
        <v>17190</v>
      </c>
      <c r="E11500" t="s">
        <v>17541</v>
      </c>
      <c r="F11500" t="s">
        <v>29372</v>
      </c>
      <c r="G11500" t="s">
        <v>29380</v>
      </c>
      <c r="H11500" t="s">
        <v>29389</v>
      </c>
      <c r="I11500" t="s">
        <v>10408</v>
      </c>
      <c r="J11500" t="s">
        <v>29801</v>
      </c>
      <c r="K11500" t="s">
        <v>38490</v>
      </c>
      <c r="M11500" t="s">
        <v>38904</v>
      </c>
      <c r="N11500" t="s">
        <v>42669</v>
      </c>
      <c r="O11500" t="s">
        <v>42670</v>
      </c>
      <c r="P11500">
        <v>0</v>
      </c>
      <c r="Q11500">
        <v>0</v>
      </c>
      <c r="R11500" t="s">
        <v>42686</v>
      </c>
      <c r="S11500" t="s">
        <v>43397</v>
      </c>
      <c r="T11500" t="s">
        <v>44357</v>
      </c>
      <c r="U11500" t="s">
        <v>54204</v>
      </c>
      <c r="V11500" t="s">
        <v>57652</v>
      </c>
      <c r="W11500" t="s">
        <v>38904</v>
      </c>
      <c r="X11500" t="s">
        <v>42689</v>
      </c>
    </row>
    <row r="11501" spans="1:24">
      <c r="A11501">
        <f>HYPERLINK("https://www.philgeps.gov.ph/GEPSNONPILOT/Tender/SplashBidNoticeAbstractUI.aspx?menuIndex=3&amp;refID=7160275&amp;Result=3","7160275")</f>
        <v>0</v>
      </c>
      <c r="B11501" t="s">
        <v>836</v>
      </c>
      <c r="C11501" t="s">
        <v>14523</v>
      </c>
      <c r="D11501" t="s">
        <v>17160</v>
      </c>
      <c r="E11501" t="s">
        <v>27037</v>
      </c>
      <c r="F11501" t="s">
        <v>29372</v>
      </c>
      <c r="G11501" t="s">
        <v>29380</v>
      </c>
      <c r="H11501" t="s">
        <v>29391</v>
      </c>
      <c r="I11501" t="s">
        <v>29391</v>
      </c>
      <c r="J11501" t="s">
        <v>36794</v>
      </c>
      <c r="K11501" t="s">
        <v>38485</v>
      </c>
      <c r="M11501" t="s">
        <v>40514</v>
      </c>
      <c r="N11501" t="s">
        <v>42669</v>
      </c>
      <c r="O11501" t="s">
        <v>42670</v>
      </c>
      <c r="P11501">
        <v>0</v>
      </c>
      <c r="Q11501">
        <v>5</v>
      </c>
      <c r="R11501" t="s">
        <v>42686</v>
      </c>
      <c r="S11501" t="s">
        <v>43397</v>
      </c>
      <c r="T11501" t="s">
        <v>44515</v>
      </c>
      <c r="U11501" t="s">
        <v>54205</v>
      </c>
      <c r="W11501" t="s">
        <v>40514</v>
      </c>
      <c r="X11501" t="s">
        <v>42690</v>
      </c>
    </row>
    <row r="11502" spans="1:24">
      <c r="A11502">
        <f>HYPERLINK("https://www.philgeps.gov.ph/GEPSNONPILOT/Tender/SplashBidNoticeAbstractUI.aspx?menuIndex=3&amp;refID=7162262&amp;Result=3","7162262")</f>
        <v>0</v>
      </c>
      <c r="B11502" t="s">
        <v>3195</v>
      </c>
      <c r="C11502" t="s">
        <v>14524</v>
      </c>
      <c r="D11502" t="s">
        <v>17188</v>
      </c>
      <c r="E11502" t="s">
        <v>27038</v>
      </c>
      <c r="F11502" t="s">
        <v>29372</v>
      </c>
      <c r="G11502" t="s">
        <v>29380</v>
      </c>
      <c r="H11502" t="s">
        <v>29389</v>
      </c>
      <c r="I11502" t="s">
        <v>29429</v>
      </c>
      <c r="J11502" t="s">
        <v>29526</v>
      </c>
      <c r="K11502" t="s">
        <v>38496</v>
      </c>
      <c r="M11502" t="s">
        <v>42255</v>
      </c>
      <c r="N11502" t="s">
        <v>42669</v>
      </c>
      <c r="O11502" t="s">
        <v>42670</v>
      </c>
      <c r="P11502">
        <v>0</v>
      </c>
      <c r="Q11502">
        <v>0</v>
      </c>
      <c r="R11502" t="s">
        <v>42686</v>
      </c>
      <c r="S11502" t="s">
        <v>43397</v>
      </c>
      <c r="T11502" t="s">
        <v>44426</v>
      </c>
      <c r="U11502" t="s">
        <v>54206</v>
      </c>
      <c r="W11502" t="s">
        <v>42255</v>
      </c>
      <c r="X11502" t="s">
        <v>42689</v>
      </c>
    </row>
    <row r="11503" spans="1:24">
      <c r="A11503">
        <f>HYPERLINK("https://www.philgeps.gov.ph/GEPSNONPILOT/Tender/SplashBidNoticeAbstractUI.aspx?menuIndex=3&amp;refID=7162220&amp;Result=3","7162220")</f>
        <v>0</v>
      </c>
      <c r="B11503" t="s">
        <v>49</v>
      </c>
      <c r="C11503" t="s">
        <v>14525</v>
      </c>
      <c r="D11503" t="s">
        <v>17156</v>
      </c>
      <c r="E11503" t="s">
        <v>27039</v>
      </c>
      <c r="F11503" t="s">
        <v>29372</v>
      </c>
      <c r="G11503" t="s">
        <v>29380</v>
      </c>
      <c r="H11503" t="s">
        <v>11048</v>
      </c>
      <c r="I11503" t="s">
        <v>29401</v>
      </c>
      <c r="J11503" t="s">
        <v>36795</v>
      </c>
      <c r="K11503" t="s">
        <v>38488</v>
      </c>
      <c r="L11503" t="s">
        <v>49</v>
      </c>
      <c r="M11503" t="s">
        <v>38802</v>
      </c>
      <c r="N11503" t="s">
        <v>42669</v>
      </c>
      <c r="O11503" t="s">
        <v>42670</v>
      </c>
      <c r="Q11503">
        <v>1</v>
      </c>
      <c r="R11503" t="s">
        <v>42686</v>
      </c>
      <c r="S11503" t="s">
        <v>43400</v>
      </c>
      <c r="T11503" t="s">
        <v>44397</v>
      </c>
      <c r="U11503" t="s">
        <v>54207</v>
      </c>
      <c r="W11503" t="s">
        <v>38802</v>
      </c>
      <c r="X11503" t="s">
        <v>42689</v>
      </c>
    </row>
    <row r="11504" spans="1:24">
      <c r="A11504">
        <f>HYPERLINK("https://www.philgeps.gov.ph/GEPSNONPILOT/Tender/SplashBidNoticeAbstractUI.aspx?menuIndex=3&amp;refID=7162181&amp;Result=3","7162181")</f>
        <v>0</v>
      </c>
      <c r="B11504" t="s">
        <v>3196</v>
      </c>
      <c r="C11504" t="s">
        <v>14526</v>
      </c>
      <c r="D11504" t="s">
        <v>17171</v>
      </c>
      <c r="E11504" t="s">
        <v>27040</v>
      </c>
      <c r="F11504" t="s">
        <v>29372</v>
      </c>
      <c r="G11504" t="s">
        <v>29380</v>
      </c>
      <c r="H11504" t="s">
        <v>11048</v>
      </c>
      <c r="I11504" t="s">
        <v>29393</v>
      </c>
      <c r="J11504" t="s">
        <v>36796</v>
      </c>
      <c r="K11504" t="s">
        <v>38518</v>
      </c>
      <c r="M11504" t="s">
        <v>42256</v>
      </c>
      <c r="N11504" t="s">
        <v>42669</v>
      </c>
      <c r="O11504" t="s">
        <v>42670</v>
      </c>
      <c r="P11504">
        <v>0</v>
      </c>
      <c r="Q11504">
        <v>0</v>
      </c>
      <c r="R11504" t="s">
        <v>42686</v>
      </c>
      <c r="S11504" t="s">
        <v>43397</v>
      </c>
      <c r="T11504" t="s">
        <v>44401</v>
      </c>
      <c r="U11504" t="s">
        <v>54208</v>
      </c>
      <c r="W11504" t="s">
        <v>42256</v>
      </c>
      <c r="X11504" t="s">
        <v>42689</v>
      </c>
    </row>
    <row r="11505" spans="1:24">
      <c r="A11505">
        <f>HYPERLINK("https://www.philgeps.gov.ph/GEPSNONPILOT/Tender/SplashBidNoticeAbstractUI.aspx?menuIndex=3&amp;refID=7162079&amp;Result=3","7162079")</f>
        <v>0</v>
      </c>
      <c r="B11505" t="s">
        <v>49</v>
      </c>
      <c r="C11505" t="s">
        <v>14527</v>
      </c>
      <c r="D11505" t="s">
        <v>17156</v>
      </c>
      <c r="E11505" t="s">
        <v>27041</v>
      </c>
      <c r="F11505" t="s">
        <v>29372</v>
      </c>
      <c r="G11505" t="s">
        <v>29380</v>
      </c>
      <c r="H11505" t="s">
        <v>11048</v>
      </c>
      <c r="I11505" t="s">
        <v>29393</v>
      </c>
      <c r="J11505" t="s">
        <v>36797</v>
      </c>
      <c r="K11505" t="s">
        <v>38488</v>
      </c>
      <c r="L11505" t="s">
        <v>49</v>
      </c>
      <c r="M11505" t="s">
        <v>38802</v>
      </c>
      <c r="N11505" t="s">
        <v>42669</v>
      </c>
      <c r="O11505" t="s">
        <v>42670</v>
      </c>
      <c r="P11505">
        <v>0</v>
      </c>
      <c r="Q11505">
        <v>0</v>
      </c>
      <c r="R11505" t="s">
        <v>42686</v>
      </c>
      <c r="S11505" t="s">
        <v>43397</v>
      </c>
      <c r="T11505" t="s">
        <v>44397</v>
      </c>
      <c r="U11505" t="s">
        <v>54209</v>
      </c>
      <c r="W11505" t="s">
        <v>38802</v>
      </c>
      <c r="X11505" t="s">
        <v>42689</v>
      </c>
    </row>
    <row r="11506" spans="1:24">
      <c r="A11506">
        <f>HYPERLINK("https://www.philgeps.gov.ph/GEPSNONPILOT/Tender/SplashBidNoticeAbstractUI.aspx?menuIndex=3&amp;refID=7162075&amp;Result=3","7162075")</f>
        <v>0</v>
      </c>
      <c r="B11506" t="s">
        <v>52</v>
      </c>
      <c r="C11506" t="s">
        <v>14528</v>
      </c>
      <c r="D11506" t="s">
        <v>17192</v>
      </c>
      <c r="E11506" t="s">
        <v>27042</v>
      </c>
      <c r="F11506" t="s">
        <v>29372</v>
      </c>
      <c r="G11506" t="s">
        <v>29379</v>
      </c>
      <c r="H11506" t="s">
        <v>11048</v>
      </c>
      <c r="I11506" t="s">
        <v>4486</v>
      </c>
      <c r="J11506" t="s">
        <v>36798</v>
      </c>
      <c r="K11506" t="s">
        <v>38530</v>
      </c>
      <c r="L11506" t="s">
        <v>52</v>
      </c>
      <c r="M11506" t="s">
        <v>38921</v>
      </c>
      <c r="N11506" t="s">
        <v>42669</v>
      </c>
      <c r="O11506" t="s">
        <v>42670</v>
      </c>
      <c r="Q11506">
        <v>9</v>
      </c>
      <c r="R11506" t="s">
        <v>42686</v>
      </c>
      <c r="S11506" t="s">
        <v>43401</v>
      </c>
      <c r="T11506" t="s">
        <v>44385</v>
      </c>
      <c r="U11506" t="s">
        <v>45160</v>
      </c>
      <c r="W11506" t="s">
        <v>38921</v>
      </c>
      <c r="X11506" t="s">
        <v>42689</v>
      </c>
    </row>
    <row r="11507" spans="1:24">
      <c r="A11507">
        <f>HYPERLINK("https://www.philgeps.gov.ph/GEPSNONPILOT/Tender/SplashBidNoticeAbstractUI.aspx?menuIndex=3&amp;refID=7162060&amp;Result=3","7162060")</f>
        <v>0</v>
      </c>
      <c r="B11507" t="s">
        <v>3197</v>
      </c>
      <c r="C11507" t="s">
        <v>14529</v>
      </c>
      <c r="D11507" t="s">
        <v>17165</v>
      </c>
      <c r="E11507" t="s">
        <v>27043</v>
      </c>
      <c r="F11507" t="s">
        <v>29372</v>
      </c>
      <c r="G11507" t="s">
        <v>29380</v>
      </c>
      <c r="H11507" t="s">
        <v>11048</v>
      </c>
      <c r="I11507" t="s">
        <v>3839</v>
      </c>
      <c r="J11507" t="s">
        <v>29789</v>
      </c>
      <c r="K11507" t="s">
        <v>38496</v>
      </c>
      <c r="M11507" t="s">
        <v>42257</v>
      </c>
      <c r="N11507" t="s">
        <v>42669</v>
      </c>
      <c r="O11507" t="s">
        <v>42670</v>
      </c>
      <c r="P11507">
        <v>0</v>
      </c>
      <c r="Q11507">
        <v>10</v>
      </c>
      <c r="R11507" t="s">
        <v>42686</v>
      </c>
      <c r="S11507" t="s">
        <v>43397</v>
      </c>
      <c r="T11507" t="s">
        <v>44373</v>
      </c>
      <c r="U11507" t="s">
        <v>54210</v>
      </c>
      <c r="W11507" t="s">
        <v>42257</v>
      </c>
      <c r="X11507" t="s">
        <v>42689</v>
      </c>
    </row>
    <row r="11508" spans="1:24">
      <c r="A11508">
        <f>HYPERLINK("https://www.philgeps.gov.ph/GEPSNONPILOT/Tender/SplashBidNoticeAbstractUI.aspx?menuIndex=3&amp;refID=7162034&amp;Result=3","7162034")</f>
        <v>0</v>
      </c>
      <c r="B11508" t="s">
        <v>149</v>
      </c>
      <c r="C11508" t="s">
        <v>14530</v>
      </c>
      <c r="D11508" t="s">
        <v>17190</v>
      </c>
      <c r="E11508" t="s">
        <v>17541</v>
      </c>
      <c r="F11508" t="s">
        <v>29372</v>
      </c>
      <c r="G11508" t="s">
        <v>29380</v>
      </c>
      <c r="H11508" t="s">
        <v>29389</v>
      </c>
      <c r="I11508" t="s">
        <v>10408</v>
      </c>
      <c r="J11508" t="s">
        <v>29543</v>
      </c>
      <c r="K11508" t="s">
        <v>38490</v>
      </c>
      <c r="M11508" t="s">
        <v>38904</v>
      </c>
      <c r="N11508" t="s">
        <v>42669</v>
      </c>
      <c r="O11508" t="s">
        <v>42670</v>
      </c>
      <c r="P11508">
        <v>0</v>
      </c>
      <c r="Q11508">
        <v>0</v>
      </c>
      <c r="R11508" t="s">
        <v>42686</v>
      </c>
      <c r="S11508" t="s">
        <v>43397</v>
      </c>
      <c r="T11508" t="s">
        <v>44357</v>
      </c>
      <c r="U11508" t="s">
        <v>54211</v>
      </c>
      <c r="V11508" t="s">
        <v>57652</v>
      </c>
      <c r="W11508" t="s">
        <v>38904</v>
      </c>
      <c r="X11508" t="s">
        <v>42689</v>
      </c>
    </row>
    <row r="11509" spans="1:24">
      <c r="A11509">
        <f>HYPERLINK("https://www.philgeps.gov.ph/GEPSNONPILOT/Tender/SplashBidNoticeAbstractUI.aspx?menuIndex=3&amp;refID=7162063&amp;Result=3","7162063")</f>
        <v>0</v>
      </c>
      <c r="B11509" t="s">
        <v>63</v>
      </c>
      <c r="C11509" t="s">
        <v>14531</v>
      </c>
      <c r="D11509" t="s">
        <v>17161</v>
      </c>
      <c r="E11509" t="s">
        <v>27044</v>
      </c>
      <c r="F11509" t="s">
        <v>29372</v>
      </c>
      <c r="G11509" t="s">
        <v>29380</v>
      </c>
      <c r="H11509" t="s">
        <v>11048</v>
      </c>
      <c r="I11509" t="s">
        <v>9469</v>
      </c>
      <c r="J11509" t="s">
        <v>29724</v>
      </c>
      <c r="K11509" t="s">
        <v>38490</v>
      </c>
      <c r="M11509" t="s">
        <v>38817</v>
      </c>
      <c r="N11509" t="s">
        <v>42669</v>
      </c>
      <c r="O11509" t="s">
        <v>42670</v>
      </c>
      <c r="P11509">
        <v>0</v>
      </c>
      <c r="Q11509">
        <v>8</v>
      </c>
      <c r="R11509" t="s">
        <v>42686</v>
      </c>
      <c r="S11509" t="s">
        <v>43397</v>
      </c>
      <c r="T11509" t="s">
        <v>44478</v>
      </c>
      <c r="U11509" t="s">
        <v>54212</v>
      </c>
      <c r="W11509" t="s">
        <v>38817</v>
      </c>
      <c r="X11509" t="s">
        <v>42689</v>
      </c>
    </row>
    <row r="11510" spans="1:24">
      <c r="A11510">
        <f>HYPERLINK("https://www.philgeps.gov.ph/GEPSNONPILOT/Tender/SplashBidNoticeAbstractUI.aspx?menuIndex=3&amp;refID=7162105&amp;Result=3","7162105")</f>
        <v>0</v>
      </c>
      <c r="B11510" t="s">
        <v>2933</v>
      </c>
      <c r="C11510" t="s">
        <v>14532</v>
      </c>
      <c r="D11510" t="s">
        <v>17167</v>
      </c>
      <c r="E11510" t="s">
        <v>27045</v>
      </c>
      <c r="F11510" t="s">
        <v>29372</v>
      </c>
      <c r="G11510" t="s">
        <v>29380</v>
      </c>
      <c r="H11510" t="s">
        <v>11048</v>
      </c>
      <c r="I11510" t="s">
        <v>9469</v>
      </c>
      <c r="J11510" t="s">
        <v>29788</v>
      </c>
      <c r="K11510" t="s">
        <v>38502</v>
      </c>
      <c r="M11510" t="s">
        <v>41935</v>
      </c>
      <c r="N11510" t="s">
        <v>42669</v>
      </c>
      <c r="O11510" t="s">
        <v>42670</v>
      </c>
      <c r="P11510">
        <v>0</v>
      </c>
      <c r="Q11510">
        <v>3</v>
      </c>
      <c r="R11510" t="s">
        <v>42686</v>
      </c>
      <c r="S11510" t="s">
        <v>43397</v>
      </c>
      <c r="T11510" t="s">
        <v>44361</v>
      </c>
      <c r="U11510" t="s">
        <v>54213</v>
      </c>
      <c r="W11510" t="s">
        <v>41935</v>
      </c>
      <c r="X11510" t="s">
        <v>42689</v>
      </c>
    </row>
    <row r="11511" spans="1:24">
      <c r="A11511">
        <f>HYPERLINK("https://www.philgeps.gov.ph/GEPSNONPILOT/Tender/SplashBidNoticeAbstractUI.aspx?menuIndex=3&amp;refID=7161955&amp;Result=3","7161955")</f>
        <v>0</v>
      </c>
      <c r="B11511" t="s">
        <v>1949</v>
      </c>
      <c r="C11511" t="s">
        <v>14533</v>
      </c>
      <c r="D11511" t="s">
        <v>17179</v>
      </c>
      <c r="E11511" t="s">
        <v>27046</v>
      </c>
      <c r="F11511" t="s">
        <v>29372</v>
      </c>
      <c r="G11511" t="s">
        <v>29380</v>
      </c>
      <c r="H11511" t="s">
        <v>29389</v>
      </c>
      <c r="I11511" t="s">
        <v>10408</v>
      </c>
      <c r="J11511" t="s">
        <v>36799</v>
      </c>
      <c r="K11511" t="s">
        <v>38526</v>
      </c>
      <c r="M11511" t="s">
        <v>40831</v>
      </c>
      <c r="N11511" t="s">
        <v>42669</v>
      </c>
      <c r="O11511" t="s">
        <v>42670</v>
      </c>
      <c r="P11511">
        <v>0</v>
      </c>
      <c r="Q11511">
        <v>3</v>
      </c>
      <c r="R11511" t="s">
        <v>42686</v>
      </c>
      <c r="S11511" t="s">
        <v>43397</v>
      </c>
      <c r="T11511" t="s">
        <v>44530</v>
      </c>
      <c r="U11511" t="s">
        <v>54214</v>
      </c>
      <c r="W11511" t="s">
        <v>40831</v>
      </c>
      <c r="X11511" t="s">
        <v>42689</v>
      </c>
    </row>
    <row r="11512" spans="1:24">
      <c r="A11512">
        <f>HYPERLINK("https://www.philgeps.gov.ph/GEPSNONPILOT/Tender/SplashBidNoticeAbstractUI.aspx?menuIndex=3&amp;refID=7162340&amp;Result=3","7162340")</f>
        <v>0</v>
      </c>
      <c r="B11512" t="s">
        <v>3198</v>
      </c>
      <c r="C11512" t="s">
        <v>14534</v>
      </c>
      <c r="D11512" t="s">
        <v>17177</v>
      </c>
      <c r="E11512" t="s">
        <v>27047</v>
      </c>
      <c r="F11512" t="s">
        <v>29372</v>
      </c>
      <c r="G11512" t="s">
        <v>29380</v>
      </c>
      <c r="H11512" t="s">
        <v>29389</v>
      </c>
      <c r="I11512" t="s">
        <v>10408</v>
      </c>
      <c r="J11512" t="s">
        <v>36800</v>
      </c>
      <c r="K11512" t="s">
        <v>38530</v>
      </c>
      <c r="L11512" t="s">
        <v>3198</v>
      </c>
      <c r="M11512" t="s">
        <v>42258</v>
      </c>
      <c r="N11512" t="s">
        <v>42669</v>
      </c>
      <c r="O11512" t="s">
        <v>42670</v>
      </c>
      <c r="P11512">
        <v>0</v>
      </c>
      <c r="Q11512">
        <v>4</v>
      </c>
      <c r="R11512" t="s">
        <v>42686</v>
      </c>
      <c r="S11512" t="s">
        <v>43397</v>
      </c>
      <c r="T11512" t="s">
        <v>44409</v>
      </c>
      <c r="U11512" t="s">
        <v>54215</v>
      </c>
      <c r="V11512" t="s">
        <v>57653</v>
      </c>
      <c r="W11512" t="s">
        <v>42258</v>
      </c>
      <c r="X11512" t="s">
        <v>42689</v>
      </c>
    </row>
    <row r="11513" spans="1:24">
      <c r="A11513">
        <f>HYPERLINK("https://www.philgeps.gov.ph/GEPSNONPILOT/Tender/SplashBidNoticeAbstractUI.aspx?menuIndex=3&amp;refID=7159236&amp;Result=3","7159236")</f>
        <v>0</v>
      </c>
      <c r="B11513" t="s">
        <v>1324</v>
      </c>
      <c r="C11513" t="s">
        <v>14535</v>
      </c>
      <c r="D11513" t="s">
        <v>17173</v>
      </c>
      <c r="E11513" t="s">
        <v>27048</v>
      </c>
      <c r="F11513" t="s">
        <v>29372</v>
      </c>
      <c r="G11513" t="s">
        <v>29380</v>
      </c>
      <c r="H11513" t="s">
        <v>11048</v>
      </c>
      <c r="I11513" t="s">
        <v>29400</v>
      </c>
      <c r="J11513" t="s">
        <v>36801</v>
      </c>
      <c r="K11513" t="s">
        <v>38485</v>
      </c>
      <c r="M11513" t="s">
        <v>40160</v>
      </c>
      <c r="N11513" t="s">
        <v>42669</v>
      </c>
      <c r="O11513" t="s">
        <v>42670</v>
      </c>
      <c r="P11513">
        <v>0</v>
      </c>
      <c r="Q11513">
        <v>17</v>
      </c>
      <c r="R11513" t="s">
        <v>42686</v>
      </c>
      <c r="S11513" t="s">
        <v>43397</v>
      </c>
      <c r="T11513" t="s">
        <v>44412</v>
      </c>
      <c r="U11513" t="s">
        <v>54216</v>
      </c>
      <c r="W11513" t="s">
        <v>40160</v>
      </c>
      <c r="X11513" t="s">
        <v>42690</v>
      </c>
    </row>
    <row r="11514" spans="1:24">
      <c r="A11514">
        <f>HYPERLINK("https://www.philgeps.gov.ph/GEPSNONPILOT/Tender/SplashBidNoticeAbstractUI.aspx?menuIndex=3&amp;refID=7162175&amp;Result=3","7162175")</f>
        <v>0</v>
      </c>
      <c r="B11514" t="s">
        <v>2508</v>
      </c>
      <c r="C11514" t="s">
        <v>14536</v>
      </c>
      <c r="D11514" t="s">
        <v>17180</v>
      </c>
      <c r="E11514" t="s">
        <v>27049</v>
      </c>
      <c r="F11514" t="s">
        <v>29372</v>
      </c>
      <c r="G11514" t="s">
        <v>29380</v>
      </c>
      <c r="H11514" t="s">
        <v>29389</v>
      </c>
      <c r="I11514" t="s">
        <v>10408</v>
      </c>
      <c r="J11514" t="s">
        <v>36802</v>
      </c>
      <c r="K11514" t="s">
        <v>38495</v>
      </c>
      <c r="M11514" t="s">
        <v>41467</v>
      </c>
      <c r="N11514" t="s">
        <v>42669</v>
      </c>
      <c r="O11514" t="s">
        <v>42670</v>
      </c>
      <c r="Q11514">
        <v>22</v>
      </c>
      <c r="R11514" t="s">
        <v>42686</v>
      </c>
      <c r="S11514" t="s">
        <v>43402</v>
      </c>
      <c r="T11514" t="s">
        <v>44357</v>
      </c>
      <c r="U11514" t="s">
        <v>54217</v>
      </c>
      <c r="W11514" t="s">
        <v>41467</v>
      </c>
      <c r="X11514" t="s">
        <v>42689</v>
      </c>
    </row>
    <row r="11515" spans="1:24">
      <c r="A11515">
        <f>HYPERLINK("https://www.philgeps.gov.ph/GEPSNONPILOT/Tender/SplashBidNoticeAbstractUI.aspx?menuIndex=3&amp;refID=7162949&amp;Result=3","7162949")</f>
        <v>0</v>
      </c>
      <c r="B11515" t="s">
        <v>2152</v>
      </c>
      <c r="C11515" t="s">
        <v>14537</v>
      </c>
      <c r="D11515" t="s">
        <v>17164</v>
      </c>
      <c r="E11515" t="s">
        <v>27050</v>
      </c>
      <c r="F11515" t="s">
        <v>29372</v>
      </c>
      <c r="G11515" t="s">
        <v>29380</v>
      </c>
      <c r="H11515" t="s">
        <v>29389</v>
      </c>
      <c r="I11515" t="s">
        <v>10408</v>
      </c>
      <c r="J11515" t="s">
        <v>36803</v>
      </c>
      <c r="K11515" t="s">
        <v>38522</v>
      </c>
      <c r="M11515" t="s">
        <v>41060</v>
      </c>
      <c r="N11515" t="s">
        <v>42669</v>
      </c>
      <c r="O11515" t="s">
        <v>42670</v>
      </c>
      <c r="P11515">
        <v>0</v>
      </c>
      <c r="Q11515">
        <v>6</v>
      </c>
      <c r="R11515" t="s">
        <v>42686</v>
      </c>
      <c r="S11515" t="s">
        <v>43397</v>
      </c>
      <c r="T11515" t="s">
        <v>44375</v>
      </c>
      <c r="U11515" t="s">
        <v>54218</v>
      </c>
      <c r="W11515" t="s">
        <v>41060</v>
      </c>
      <c r="X11515" t="s">
        <v>42689</v>
      </c>
    </row>
    <row r="11516" spans="1:24">
      <c r="A11516">
        <f>HYPERLINK("https://www.philgeps.gov.ph/GEPSNONPILOT/Tender/SplashBidNoticeAbstractUI.aspx?menuIndex=3&amp;refID=7162232&amp;Result=3","7162232")</f>
        <v>0</v>
      </c>
      <c r="B11516" t="s">
        <v>3199</v>
      </c>
      <c r="C11516" t="s">
        <v>14538</v>
      </c>
      <c r="E11516" t="s">
        <v>27051</v>
      </c>
      <c r="F11516" t="s">
        <v>29375</v>
      </c>
      <c r="G11516" t="s">
        <v>29380</v>
      </c>
      <c r="H11516" t="s">
        <v>11048</v>
      </c>
      <c r="I11516" t="s">
        <v>3670</v>
      </c>
      <c r="J11516" t="s">
        <v>29799</v>
      </c>
      <c r="K11516" t="s">
        <v>38490</v>
      </c>
      <c r="M11516" t="s">
        <v>42259</v>
      </c>
      <c r="N11516" t="s">
        <v>42669</v>
      </c>
      <c r="O11516" t="s">
        <v>42670</v>
      </c>
      <c r="P11516">
        <v>0</v>
      </c>
      <c r="Q11516">
        <v>1</v>
      </c>
      <c r="R11516" t="s">
        <v>42686</v>
      </c>
      <c r="S11516" t="s">
        <v>43397</v>
      </c>
      <c r="T11516" t="s">
        <v>44382</v>
      </c>
      <c r="U11516" t="s">
        <v>54219</v>
      </c>
      <c r="W11516" t="s">
        <v>42259</v>
      </c>
      <c r="X11516" t="s">
        <v>42689</v>
      </c>
    </row>
    <row r="11517" spans="1:24">
      <c r="A11517">
        <f>HYPERLINK("https://www.philgeps.gov.ph/GEPSNONPILOT/Tender/SplashBidNoticeAbstractUI.aspx?menuIndex=3&amp;refID=7161924&amp;Result=3","7161924")</f>
        <v>0</v>
      </c>
      <c r="B11517" t="s">
        <v>149</v>
      </c>
      <c r="C11517" t="s">
        <v>14539</v>
      </c>
      <c r="D11517" t="s">
        <v>17190</v>
      </c>
      <c r="E11517" t="s">
        <v>17541</v>
      </c>
      <c r="F11517" t="s">
        <v>29372</v>
      </c>
      <c r="G11517" t="s">
        <v>29380</v>
      </c>
      <c r="H11517" t="s">
        <v>29389</v>
      </c>
      <c r="I11517" t="s">
        <v>10408</v>
      </c>
      <c r="J11517" t="s">
        <v>29543</v>
      </c>
      <c r="K11517" t="s">
        <v>38490</v>
      </c>
      <c r="M11517" t="s">
        <v>38904</v>
      </c>
      <c r="N11517" t="s">
        <v>42669</v>
      </c>
      <c r="O11517" t="s">
        <v>42670</v>
      </c>
      <c r="P11517">
        <v>0</v>
      </c>
      <c r="Q11517">
        <v>0</v>
      </c>
      <c r="R11517" t="s">
        <v>42686</v>
      </c>
      <c r="S11517" t="s">
        <v>43397</v>
      </c>
      <c r="T11517" t="s">
        <v>44357</v>
      </c>
      <c r="U11517" t="s">
        <v>54220</v>
      </c>
      <c r="V11517" t="s">
        <v>57652</v>
      </c>
      <c r="W11517" t="s">
        <v>38904</v>
      </c>
      <c r="X11517" t="s">
        <v>42689</v>
      </c>
    </row>
    <row r="11518" spans="1:24">
      <c r="A11518">
        <f>HYPERLINK("https://www.philgeps.gov.ph/GEPSNONPILOT/Tender/SplashBidNoticeAbstractUI.aspx?menuIndex=3&amp;refID=7162807&amp;Result=3","7162807")</f>
        <v>0</v>
      </c>
      <c r="B11518" t="s">
        <v>2933</v>
      </c>
      <c r="C11518" t="s">
        <v>14540</v>
      </c>
      <c r="D11518" t="s">
        <v>17167</v>
      </c>
      <c r="E11518" t="s">
        <v>27052</v>
      </c>
      <c r="F11518" t="s">
        <v>29372</v>
      </c>
      <c r="G11518" t="s">
        <v>29380</v>
      </c>
      <c r="H11518" t="s">
        <v>11048</v>
      </c>
      <c r="I11518" t="s">
        <v>9469</v>
      </c>
      <c r="J11518" t="s">
        <v>36804</v>
      </c>
      <c r="K11518" t="s">
        <v>38502</v>
      </c>
      <c r="M11518" t="s">
        <v>41935</v>
      </c>
      <c r="N11518" t="s">
        <v>42669</v>
      </c>
      <c r="O11518" t="s">
        <v>42670</v>
      </c>
      <c r="P11518">
        <v>0</v>
      </c>
      <c r="Q11518">
        <v>2</v>
      </c>
      <c r="R11518" t="s">
        <v>42686</v>
      </c>
      <c r="S11518" t="s">
        <v>43397</v>
      </c>
      <c r="T11518" t="s">
        <v>44380</v>
      </c>
      <c r="U11518" t="s">
        <v>54221</v>
      </c>
      <c r="W11518" t="s">
        <v>41935</v>
      </c>
      <c r="X11518" t="s">
        <v>42689</v>
      </c>
    </row>
    <row r="11519" spans="1:24">
      <c r="A11519">
        <f>HYPERLINK("https://www.philgeps.gov.ph/GEPSNONPILOT/Tender/SplashBidNoticeAbstractUI.aspx?menuIndex=3&amp;refID=7162020&amp;Result=3","7162020")</f>
        <v>0</v>
      </c>
      <c r="B11519" t="s">
        <v>1949</v>
      </c>
      <c r="C11519" t="s">
        <v>14541</v>
      </c>
      <c r="D11519" t="s">
        <v>17179</v>
      </c>
      <c r="E11519" t="s">
        <v>27053</v>
      </c>
      <c r="F11519" t="s">
        <v>29372</v>
      </c>
      <c r="G11519" t="s">
        <v>29380</v>
      </c>
      <c r="H11519" t="s">
        <v>29389</v>
      </c>
      <c r="I11519" t="s">
        <v>10408</v>
      </c>
      <c r="J11519" t="s">
        <v>29734</v>
      </c>
      <c r="K11519" t="s">
        <v>38564</v>
      </c>
      <c r="M11519" t="s">
        <v>40831</v>
      </c>
      <c r="N11519" t="s">
        <v>42669</v>
      </c>
      <c r="O11519" t="s">
        <v>42670</v>
      </c>
      <c r="P11519">
        <v>0</v>
      </c>
      <c r="Q11519">
        <v>2</v>
      </c>
      <c r="R11519" t="s">
        <v>42686</v>
      </c>
      <c r="S11519" t="s">
        <v>43397</v>
      </c>
      <c r="T11519" t="s">
        <v>44530</v>
      </c>
      <c r="U11519" t="s">
        <v>54222</v>
      </c>
      <c r="W11519" t="s">
        <v>40831</v>
      </c>
      <c r="X11519" t="s">
        <v>42689</v>
      </c>
    </row>
    <row r="11520" spans="1:24">
      <c r="A11520">
        <f>HYPERLINK("https://www.philgeps.gov.ph/GEPSNONPILOT/Tender/SplashBidNoticeAbstractUI.aspx?menuIndex=3&amp;refID=7162790&amp;Result=3","7162790")</f>
        <v>0</v>
      </c>
      <c r="B11520" t="s">
        <v>2126</v>
      </c>
      <c r="C11520" t="s">
        <v>14542</v>
      </c>
      <c r="D11520" t="s">
        <v>17150</v>
      </c>
      <c r="E11520" t="s">
        <v>27054</v>
      </c>
      <c r="F11520" t="s">
        <v>29372</v>
      </c>
      <c r="G11520" t="s">
        <v>29380</v>
      </c>
      <c r="H11520" t="s">
        <v>11048</v>
      </c>
      <c r="I11520" t="s">
        <v>29452</v>
      </c>
      <c r="J11520" t="s">
        <v>31894</v>
      </c>
      <c r="K11520" t="s">
        <v>38485</v>
      </c>
      <c r="M11520" t="s">
        <v>41031</v>
      </c>
      <c r="N11520" t="s">
        <v>42669</v>
      </c>
      <c r="O11520" t="s">
        <v>42670</v>
      </c>
      <c r="P11520">
        <v>0</v>
      </c>
      <c r="Q11520">
        <v>10</v>
      </c>
      <c r="R11520" t="s">
        <v>42686</v>
      </c>
      <c r="S11520" t="s">
        <v>43397</v>
      </c>
      <c r="T11520" t="s">
        <v>44357</v>
      </c>
      <c r="U11520" t="s">
        <v>54223</v>
      </c>
      <c r="W11520" t="s">
        <v>41031</v>
      </c>
      <c r="X11520" t="s">
        <v>42689</v>
      </c>
    </row>
    <row r="11521" spans="1:24">
      <c r="A11521">
        <f>HYPERLINK("https://www.philgeps.gov.ph/GEPSNONPILOT/Tender/SplashBidNoticeAbstractUI.aspx?menuIndex=3&amp;refID=7161904&amp;Result=3","7161904")</f>
        <v>0</v>
      </c>
      <c r="B11521" t="s">
        <v>149</v>
      </c>
      <c r="C11521" t="s">
        <v>14543</v>
      </c>
      <c r="D11521" t="s">
        <v>17190</v>
      </c>
      <c r="E11521" t="s">
        <v>17541</v>
      </c>
      <c r="F11521" t="s">
        <v>29372</v>
      </c>
      <c r="G11521" t="s">
        <v>29380</v>
      </c>
      <c r="H11521" t="s">
        <v>29389</v>
      </c>
      <c r="I11521" t="s">
        <v>10408</v>
      </c>
      <c r="J11521" t="s">
        <v>29788</v>
      </c>
      <c r="K11521" t="s">
        <v>38490</v>
      </c>
      <c r="M11521" t="s">
        <v>38904</v>
      </c>
      <c r="N11521" t="s">
        <v>42669</v>
      </c>
      <c r="O11521" t="s">
        <v>42670</v>
      </c>
      <c r="P11521">
        <v>0</v>
      </c>
      <c r="Q11521">
        <v>0</v>
      </c>
      <c r="R11521" t="s">
        <v>42686</v>
      </c>
      <c r="S11521" t="s">
        <v>43397</v>
      </c>
      <c r="T11521" t="s">
        <v>44357</v>
      </c>
      <c r="U11521" t="s">
        <v>54224</v>
      </c>
      <c r="V11521" t="s">
        <v>57652</v>
      </c>
      <c r="W11521" t="s">
        <v>38904</v>
      </c>
      <c r="X11521" t="s">
        <v>42689</v>
      </c>
    </row>
    <row r="11522" spans="1:24">
      <c r="A11522">
        <f>HYPERLINK("https://www.philgeps.gov.ph/GEPSNONPILOT/Tender/SplashBidNoticeAbstractUI.aspx?menuIndex=3&amp;refID=7162626&amp;Result=3","7162626")</f>
        <v>0</v>
      </c>
      <c r="B11522" t="s">
        <v>79</v>
      </c>
      <c r="C11522" t="s">
        <v>14544</v>
      </c>
      <c r="D11522" t="s">
        <v>17172</v>
      </c>
      <c r="E11522" t="s">
        <v>27055</v>
      </c>
      <c r="F11522" t="s">
        <v>29372</v>
      </c>
      <c r="G11522" t="s">
        <v>29380</v>
      </c>
      <c r="H11522" t="s">
        <v>11048</v>
      </c>
      <c r="I11522" t="s">
        <v>9469</v>
      </c>
      <c r="J11522" t="s">
        <v>30056</v>
      </c>
      <c r="K11522" t="s">
        <v>38488</v>
      </c>
      <c r="M11522" t="s">
        <v>38833</v>
      </c>
      <c r="N11522" t="s">
        <v>42669</v>
      </c>
      <c r="O11522" t="s">
        <v>42670</v>
      </c>
      <c r="P11522">
        <v>0</v>
      </c>
      <c r="Q11522">
        <v>3</v>
      </c>
      <c r="R11522" t="s">
        <v>42686</v>
      </c>
      <c r="S11522" t="s">
        <v>43397</v>
      </c>
      <c r="T11522" t="s">
        <v>44357</v>
      </c>
      <c r="U11522" t="s">
        <v>54225</v>
      </c>
      <c r="V11522" t="s">
        <v>56344</v>
      </c>
      <c r="W11522" t="s">
        <v>38833</v>
      </c>
      <c r="X11522" t="s">
        <v>42689</v>
      </c>
    </row>
    <row r="11523" spans="1:24">
      <c r="A11523">
        <f>HYPERLINK("https://www.philgeps.gov.ph/GEPSNONPILOT/Tender/SplashBidNoticeAbstractUI.aspx?menuIndex=3&amp;refID=7162822&amp;Result=3","7162822")</f>
        <v>0</v>
      </c>
      <c r="B11523" t="s">
        <v>1460</v>
      </c>
      <c r="C11523" t="s">
        <v>14545</v>
      </c>
      <c r="D11523" t="s">
        <v>17166</v>
      </c>
      <c r="E11523" t="s">
        <v>27056</v>
      </c>
      <c r="F11523" t="s">
        <v>29372</v>
      </c>
      <c r="G11523" t="s">
        <v>29380</v>
      </c>
      <c r="H11523" t="s">
        <v>29389</v>
      </c>
      <c r="I11523" t="s">
        <v>10408</v>
      </c>
      <c r="J11523" t="s">
        <v>36805</v>
      </c>
      <c r="K11523" t="s">
        <v>38731</v>
      </c>
      <c r="M11523" t="s">
        <v>42260</v>
      </c>
      <c r="N11523" t="s">
        <v>42669</v>
      </c>
      <c r="O11523" t="s">
        <v>42670</v>
      </c>
      <c r="P11523">
        <v>0</v>
      </c>
      <c r="Q11523">
        <v>5</v>
      </c>
      <c r="R11523" t="s">
        <v>42686</v>
      </c>
      <c r="S11523" t="s">
        <v>43397</v>
      </c>
      <c r="T11523" t="s">
        <v>44434</v>
      </c>
      <c r="U11523" t="s">
        <v>54226</v>
      </c>
      <c r="W11523" t="s">
        <v>42260</v>
      </c>
      <c r="X11523" t="s">
        <v>42689</v>
      </c>
    </row>
    <row r="11524" spans="1:24">
      <c r="A11524">
        <f>HYPERLINK("https://www.philgeps.gov.ph/GEPSNONPILOT/Tender/SplashBidNoticeAbstractUI.aspx?menuIndex=3&amp;refID=7162850&amp;Result=3","7162850")</f>
        <v>0</v>
      </c>
      <c r="B11524" t="s">
        <v>662</v>
      </c>
      <c r="C11524" t="s">
        <v>14546</v>
      </c>
      <c r="D11524" t="s">
        <v>17211</v>
      </c>
      <c r="E11524" t="s">
        <v>27057</v>
      </c>
      <c r="F11524" t="s">
        <v>29372</v>
      </c>
      <c r="G11524" t="s">
        <v>29380</v>
      </c>
      <c r="H11524" t="s">
        <v>11048</v>
      </c>
      <c r="I11524" t="s">
        <v>29433</v>
      </c>
      <c r="J11524" t="s">
        <v>36806</v>
      </c>
      <c r="K11524" t="s">
        <v>38487</v>
      </c>
      <c r="M11524" t="s">
        <v>39438</v>
      </c>
      <c r="N11524" t="s">
        <v>42669</v>
      </c>
      <c r="O11524" t="s">
        <v>42670</v>
      </c>
      <c r="P11524">
        <v>0</v>
      </c>
      <c r="Q11524">
        <v>8</v>
      </c>
      <c r="R11524" t="s">
        <v>42686</v>
      </c>
      <c r="S11524" t="s">
        <v>43397</v>
      </c>
      <c r="T11524" t="s">
        <v>44357</v>
      </c>
      <c r="U11524" t="s">
        <v>54227</v>
      </c>
      <c r="W11524" t="s">
        <v>39438</v>
      </c>
      <c r="X11524" t="s">
        <v>42689</v>
      </c>
    </row>
    <row r="11525" spans="1:24">
      <c r="A11525">
        <f>HYPERLINK("https://www.philgeps.gov.ph/GEPSNONPILOT/Tender/SplashBidNoticeAbstractUI.aspx?menuIndex=3&amp;refID=7162586&amp;Result=3","7162586")</f>
        <v>0</v>
      </c>
      <c r="B11525" t="s">
        <v>902</v>
      </c>
      <c r="C11525" t="s">
        <v>14547</v>
      </c>
      <c r="D11525" t="s">
        <v>17205</v>
      </c>
      <c r="E11525" t="s">
        <v>27058</v>
      </c>
      <c r="F11525" t="s">
        <v>29372</v>
      </c>
      <c r="G11525" t="s">
        <v>29380</v>
      </c>
      <c r="H11525" t="s">
        <v>11048</v>
      </c>
      <c r="I11525" t="s">
        <v>29396</v>
      </c>
      <c r="J11525" t="s">
        <v>29543</v>
      </c>
      <c r="K11525" t="s">
        <v>38490</v>
      </c>
      <c r="M11525" t="s">
        <v>39695</v>
      </c>
      <c r="N11525" t="s">
        <v>42669</v>
      </c>
      <c r="O11525" t="s">
        <v>42670</v>
      </c>
      <c r="P11525">
        <v>0</v>
      </c>
      <c r="Q11525">
        <v>2</v>
      </c>
      <c r="R11525" t="s">
        <v>42686</v>
      </c>
      <c r="S11525" t="s">
        <v>43397</v>
      </c>
      <c r="T11525" t="s">
        <v>44485</v>
      </c>
      <c r="U11525" t="s">
        <v>54228</v>
      </c>
      <c r="W11525" t="s">
        <v>39695</v>
      </c>
      <c r="X11525" t="s">
        <v>42689</v>
      </c>
    </row>
    <row r="11526" spans="1:24">
      <c r="A11526">
        <f>HYPERLINK("https://www.philgeps.gov.ph/GEPSNONPILOT/Tender/SplashBidNoticeAbstractUI.aspx?menuIndex=3&amp;refID=7162071&amp;Result=3","7162071")</f>
        <v>0</v>
      </c>
      <c r="B11526" t="s">
        <v>3196</v>
      </c>
      <c r="C11526" t="s">
        <v>14548</v>
      </c>
      <c r="D11526" t="s">
        <v>17171</v>
      </c>
      <c r="E11526" t="s">
        <v>27059</v>
      </c>
      <c r="F11526" t="s">
        <v>29372</v>
      </c>
      <c r="G11526" t="s">
        <v>29380</v>
      </c>
      <c r="H11526" t="s">
        <v>11048</v>
      </c>
      <c r="I11526" t="s">
        <v>9469</v>
      </c>
      <c r="J11526" t="s">
        <v>29924</v>
      </c>
      <c r="K11526" t="s">
        <v>38496</v>
      </c>
      <c r="M11526" t="s">
        <v>42256</v>
      </c>
      <c r="N11526" t="s">
        <v>42669</v>
      </c>
      <c r="O11526" t="s">
        <v>42670</v>
      </c>
      <c r="P11526">
        <v>0</v>
      </c>
      <c r="Q11526">
        <v>3</v>
      </c>
      <c r="R11526" t="s">
        <v>42686</v>
      </c>
      <c r="S11526" t="s">
        <v>43397</v>
      </c>
      <c r="T11526" t="s">
        <v>44401</v>
      </c>
      <c r="U11526" t="s">
        <v>54229</v>
      </c>
      <c r="W11526" t="s">
        <v>42256</v>
      </c>
      <c r="X11526" t="s">
        <v>42689</v>
      </c>
    </row>
    <row r="11527" spans="1:24">
      <c r="A11527">
        <f>HYPERLINK("https://www.philgeps.gov.ph/GEPSNONPILOT/Tender/SplashBidNoticeAbstractUI.aspx?menuIndex=3&amp;refID=7162524&amp;Result=3","7162524")</f>
        <v>0</v>
      </c>
      <c r="B11527" t="s">
        <v>3200</v>
      </c>
      <c r="C11527" t="s">
        <v>9570</v>
      </c>
      <c r="D11527" t="s">
        <v>17185</v>
      </c>
      <c r="E11527" t="s">
        <v>18026</v>
      </c>
      <c r="F11527" t="s">
        <v>29373</v>
      </c>
      <c r="G11527" t="s">
        <v>29380</v>
      </c>
      <c r="H11527" t="s">
        <v>29389</v>
      </c>
      <c r="I11527" t="s">
        <v>10408</v>
      </c>
      <c r="J11527" t="s">
        <v>36807</v>
      </c>
      <c r="K11527" t="s">
        <v>38488</v>
      </c>
      <c r="M11527" t="s">
        <v>42261</v>
      </c>
      <c r="N11527" t="s">
        <v>42669</v>
      </c>
      <c r="O11527" t="s">
        <v>42670</v>
      </c>
      <c r="P11527">
        <v>0</v>
      </c>
      <c r="Q11527">
        <v>0</v>
      </c>
      <c r="R11527" t="s">
        <v>42686</v>
      </c>
      <c r="S11527" t="s">
        <v>43397</v>
      </c>
      <c r="T11527" t="s">
        <v>44530</v>
      </c>
      <c r="U11527" t="s">
        <v>54230</v>
      </c>
      <c r="V11527" t="s">
        <v>54230</v>
      </c>
      <c r="W11527" t="s">
        <v>42261</v>
      </c>
      <c r="X11527" t="s">
        <v>42689</v>
      </c>
    </row>
    <row r="11528" spans="1:24">
      <c r="A11528">
        <f>HYPERLINK("https://www.philgeps.gov.ph/GEPSNONPILOT/Tender/SplashBidNoticeAbstractUI.aspx?menuIndex=3&amp;refID=7162459&amp;Result=3","7162459")</f>
        <v>0</v>
      </c>
      <c r="B11528" t="s">
        <v>3198</v>
      </c>
      <c r="C11528" t="s">
        <v>14549</v>
      </c>
      <c r="D11528" t="s">
        <v>17177</v>
      </c>
      <c r="E11528" t="s">
        <v>27060</v>
      </c>
      <c r="F11528" t="s">
        <v>29372</v>
      </c>
      <c r="G11528" t="s">
        <v>29380</v>
      </c>
      <c r="H11528" t="s">
        <v>29389</v>
      </c>
      <c r="I11528" t="s">
        <v>10408</v>
      </c>
      <c r="J11528" t="s">
        <v>29609</v>
      </c>
      <c r="K11528" t="s">
        <v>38485</v>
      </c>
      <c r="L11528" t="s">
        <v>3198</v>
      </c>
      <c r="M11528" t="s">
        <v>42258</v>
      </c>
      <c r="N11528" t="s">
        <v>42669</v>
      </c>
      <c r="O11528" t="s">
        <v>42670</v>
      </c>
      <c r="P11528">
        <v>0</v>
      </c>
      <c r="Q11528">
        <v>2</v>
      </c>
      <c r="R11528" t="s">
        <v>42686</v>
      </c>
      <c r="S11528" t="s">
        <v>43397</v>
      </c>
      <c r="T11528" t="s">
        <v>44409</v>
      </c>
      <c r="U11528" t="s">
        <v>54231</v>
      </c>
      <c r="V11528" t="s">
        <v>57654</v>
      </c>
      <c r="W11528" t="s">
        <v>42258</v>
      </c>
      <c r="X11528" t="s">
        <v>42689</v>
      </c>
    </row>
    <row r="11529" spans="1:24">
      <c r="A11529">
        <f>HYPERLINK("https://www.philgeps.gov.ph/GEPSNONPILOT/Tender/SplashBidNoticeAbstractUI.aspx?menuIndex=3&amp;refID=7162603&amp;Result=3","7162603")</f>
        <v>0</v>
      </c>
      <c r="B11529" t="s">
        <v>149</v>
      </c>
      <c r="C11529" t="s">
        <v>14550</v>
      </c>
      <c r="D11529" t="s">
        <v>17190</v>
      </c>
      <c r="E11529" t="s">
        <v>17541</v>
      </c>
      <c r="F11529" t="s">
        <v>29372</v>
      </c>
      <c r="G11529" t="s">
        <v>29380</v>
      </c>
      <c r="H11529" t="s">
        <v>29389</v>
      </c>
      <c r="I11529" t="s">
        <v>10408</v>
      </c>
      <c r="J11529" t="s">
        <v>32398</v>
      </c>
      <c r="K11529" t="s">
        <v>38490</v>
      </c>
      <c r="M11529" t="s">
        <v>38904</v>
      </c>
      <c r="N11529" t="s">
        <v>42669</v>
      </c>
      <c r="O11529" t="s">
        <v>42670</v>
      </c>
      <c r="P11529">
        <v>0</v>
      </c>
      <c r="Q11529">
        <v>0</v>
      </c>
      <c r="R11529" t="s">
        <v>42686</v>
      </c>
      <c r="S11529" t="s">
        <v>43397</v>
      </c>
      <c r="T11529" t="s">
        <v>44357</v>
      </c>
      <c r="U11529" t="s">
        <v>54232</v>
      </c>
      <c r="V11529" t="s">
        <v>57652</v>
      </c>
      <c r="W11529" t="s">
        <v>38904</v>
      </c>
      <c r="X11529" t="s">
        <v>42689</v>
      </c>
    </row>
    <row r="11530" spans="1:24">
      <c r="A11530">
        <f>HYPERLINK("https://www.philgeps.gov.ph/GEPSNONPILOT/Tender/SplashBidNoticeAbstractUI.aspx?menuIndex=3&amp;refID=7162650&amp;Result=3","7162650")</f>
        <v>0</v>
      </c>
      <c r="B11530" t="s">
        <v>902</v>
      </c>
      <c r="C11530" t="s">
        <v>14551</v>
      </c>
      <c r="D11530" t="s">
        <v>17205</v>
      </c>
      <c r="E11530" t="s">
        <v>27061</v>
      </c>
      <c r="F11530" t="s">
        <v>29372</v>
      </c>
      <c r="G11530" t="s">
        <v>29380</v>
      </c>
      <c r="H11530" t="s">
        <v>11048</v>
      </c>
      <c r="I11530" t="s">
        <v>29407</v>
      </c>
      <c r="J11530" t="s">
        <v>36808</v>
      </c>
      <c r="K11530" t="s">
        <v>38490</v>
      </c>
      <c r="M11530" t="s">
        <v>39695</v>
      </c>
      <c r="N11530" t="s">
        <v>42669</v>
      </c>
      <c r="O11530" t="s">
        <v>42670</v>
      </c>
      <c r="P11530">
        <v>0</v>
      </c>
      <c r="Q11530">
        <v>7</v>
      </c>
      <c r="R11530" t="s">
        <v>42686</v>
      </c>
      <c r="S11530" t="s">
        <v>43397</v>
      </c>
      <c r="T11530" t="s">
        <v>44412</v>
      </c>
      <c r="U11530" t="s">
        <v>54228</v>
      </c>
      <c r="W11530" t="s">
        <v>39695</v>
      </c>
      <c r="X11530" t="s">
        <v>42689</v>
      </c>
    </row>
    <row r="11531" spans="1:24">
      <c r="A11531">
        <f>HYPERLINK("https://www.philgeps.gov.ph/GEPSNONPILOT/Tender/SplashBidNoticeAbstractUI.aspx?menuIndex=3&amp;refID=7162460&amp;Result=3","7162460")</f>
        <v>0</v>
      </c>
      <c r="B11531" t="s">
        <v>2854</v>
      </c>
      <c r="C11531" t="s">
        <v>14552</v>
      </c>
      <c r="D11531" t="s">
        <v>17215</v>
      </c>
      <c r="E11531" t="s">
        <v>27062</v>
      </c>
      <c r="F11531" t="s">
        <v>29372</v>
      </c>
      <c r="G11531" t="s">
        <v>29380</v>
      </c>
      <c r="H11531" t="s">
        <v>29389</v>
      </c>
      <c r="I11531" t="s">
        <v>29417</v>
      </c>
      <c r="J11531" t="s">
        <v>36809</v>
      </c>
      <c r="K11531" t="s">
        <v>38495</v>
      </c>
      <c r="M11531" t="s">
        <v>41847</v>
      </c>
      <c r="N11531" t="s">
        <v>42669</v>
      </c>
      <c r="O11531" t="s">
        <v>42670</v>
      </c>
      <c r="P11531">
        <v>0</v>
      </c>
      <c r="Q11531">
        <v>19</v>
      </c>
      <c r="R11531" t="s">
        <v>42686</v>
      </c>
      <c r="S11531" t="s">
        <v>43397</v>
      </c>
      <c r="T11531" t="s">
        <v>44357</v>
      </c>
      <c r="U11531" t="s">
        <v>54233</v>
      </c>
      <c r="W11531" t="s">
        <v>41847</v>
      </c>
      <c r="X11531" t="s">
        <v>42689</v>
      </c>
    </row>
    <row r="11532" spans="1:24">
      <c r="A11532">
        <f>HYPERLINK("https://www.philgeps.gov.ph/GEPSNONPILOT/Tender/SplashBidNoticeAbstractUI.aspx?menuIndex=3&amp;refID=7162402&amp;Result=3","7162402")</f>
        <v>0</v>
      </c>
      <c r="B11532" t="s">
        <v>2854</v>
      </c>
      <c r="C11532" t="s">
        <v>14553</v>
      </c>
      <c r="D11532" t="s">
        <v>17215</v>
      </c>
      <c r="E11532" t="s">
        <v>27063</v>
      </c>
      <c r="F11532" t="s">
        <v>29372</v>
      </c>
      <c r="G11532" t="s">
        <v>29380</v>
      </c>
      <c r="H11532" t="s">
        <v>29389</v>
      </c>
      <c r="I11532" t="s">
        <v>10408</v>
      </c>
      <c r="J11532" t="s">
        <v>36810</v>
      </c>
      <c r="K11532" t="s">
        <v>38525</v>
      </c>
      <c r="M11532" t="s">
        <v>41847</v>
      </c>
      <c r="N11532" t="s">
        <v>42669</v>
      </c>
      <c r="O11532" t="s">
        <v>42670</v>
      </c>
      <c r="P11532">
        <v>0</v>
      </c>
      <c r="Q11532">
        <v>30</v>
      </c>
      <c r="R11532" t="s">
        <v>42686</v>
      </c>
      <c r="S11532" t="s">
        <v>43397</v>
      </c>
      <c r="T11532" t="s">
        <v>44375</v>
      </c>
      <c r="U11532" t="s">
        <v>54234</v>
      </c>
      <c r="W11532" t="s">
        <v>41847</v>
      </c>
      <c r="X11532" t="s">
        <v>42689</v>
      </c>
    </row>
    <row r="11533" spans="1:24">
      <c r="A11533">
        <f>HYPERLINK("https://www.philgeps.gov.ph/GEPSNONPILOT/Tender/SplashBidNoticeAbstractUI.aspx?menuIndex=3&amp;refID=7162396&amp;Result=3","7162396")</f>
        <v>0</v>
      </c>
      <c r="B11533" t="s">
        <v>43</v>
      </c>
      <c r="C11533" t="s">
        <v>14554</v>
      </c>
      <c r="D11533" t="s">
        <v>17143</v>
      </c>
      <c r="E11533" t="s">
        <v>27064</v>
      </c>
      <c r="F11533" t="s">
        <v>29372</v>
      </c>
      <c r="G11533" t="s">
        <v>29380</v>
      </c>
      <c r="H11533" t="s">
        <v>11048</v>
      </c>
      <c r="I11533" t="s">
        <v>4709</v>
      </c>
      <c r="J11533" t="s">
        <v>29724</v>
      </c>
      <c r="K11533" t="s">
        <v>38546</v>
      </c>
      <c r="M11533" t="s">
        <v>38796</v>
      </c>
      <c r="N11533" t="s">
        <v>42669</v>
      </c>
      <c r="O11533" t="s">
        <v>42670</v>
      </c>
      <c r="Q11533">
        <v>4</v>
      </c>
      <c r="R11533" t="s">
        <v>42686</v>
      </c>
      <c r="S11533" t="s">
        <v>43403</v>
      </c>
      <c r="T11533" t="s">
        <v>44393</v>
      </c>
      <c r="U11533" t="s">
        <v>54235</v>
      </c>
      <c r="W11533" t="s">
        <v>38796</v>
      </c>
      <c r="X11533" t="s">
        <v>42689</v>
      </c>
    </row>
    <row r="11534" spans="1:24">
      <c r="A11534">
        <f>HYPERLINK("https://www.philgeps.gov.ph/GEPSNONPILOT/Tender/SplashBidNoticeAbstractUI.aspx?menuIndex=3&amp;refID=7162348&amp;Result=3","7162348")</f>
        <v>0</v>
      </c>
      <c r="B11534" t="s">
        <v>49</v>
      </c>
      <c r="C11534" t="s">
        <v>14555</v>
      </c>
      <c r="D11534" t="s">
        <v>17156</v>
      </c>
      <c r="E11534" t="s">
        <v>27065</v>
      </c>
      <c r="F11534" t="s">
        <v>29372</v>
      </c>
      <c r="G11534" t="s">
        <v>29380</v>
      </c>
      <c r="H11534" t="s">
        <v>11048</v>
      </c>
      <c r="I11534" t="s">
        <v>9469</v>
      </c>
      <c r="J11534" t="s">
        <v>36811</v>
      </c>
      <c r="K11534" t="s">
        <v>38491</v>
      </c>
      <c r="L11534" t="s">
        <v>49</v>
      </c>
      <c r="M11534" t="s">
        <v>38802</v>
      </c>
      <c r="N11534" t="s">
        <v>42669</v>
      </c>
      <c r="O11534" t="s">
        <v>42670</v>
      </c>
      <c r="Q11534">
        <v>11</v>
      </c>
      <c r="R11534" t="s">
        <v>42686</v>
      </c>
      <c r="S11534" t="s">
        <v>43404</v>
      </c>
      <c r="T11534" t="s">
        <v>44397</v>
      </c>
      <c r="U11534" t="s">
        <v>54236</v>
      </c>
      <c r="W11534" t="s">
        <v>38802</v>
      </c>
      <c r="X11534" t="s">
        <v>42689</v>
      </c>
    </row>
    <row r="11535" spans="1:24">
      <c r="A11535">
        <f>HYPERLINK("https://www.philgeps.gov.ph/GEPSNONPILOT/Tender/SplashBidNoticeAbstractUI.aspx?menuIndex=3&amp;refID=7161870&amp;Result=3","7161870")</f>
        <v>0</v>
      </c>
      <c r="B11535" t="s">
        <v>1447</v>
      </c>
      <c r="C11535" t="s">
        <v>14556</v>
      </c>
      <c r="D11535" t="s">
        <v>17182</v>
      </c>
      <c r="E11535" t="s">
        <v>27066</v>
      </c>
      <c r="F11535" t="s">
        <v>29372</v>
      </c>
      <c r="G11535" t="s">
        <v>29380</v>
      </c>
      <c r="H11535" t="s">
        <v>11048</v>
      </c>
      <c r="I11535" t="s">
        <v>29407</v>
      </c>
      <c r="J11535" t="s">
        <v>36812</v>
      </c>
      <c r="K11535" t="s">
        <v>38485</v>
      </c>
      <c r="M11535" t="s">
        <v>40288</v>
      </c>
      <c r="N11535" t="s">
        <v>42669</v>
      </c>
      <c r="O11535" t="s">
        <v>42670</v>
      </c>
      <c r="P11535">
        <v>0</v>
      </c>
      <c r="Q11535">
        <v>9</v>
      </c>
      <c r="R11535" t="s">
        <v>42686</v>
      </c>
      <c r="S11535" t="s">
        <v>43397</v>
      </c>
      <c r="T11535" t="s">
        <v>44412</v>
      </c>
      <c r="U11535" t="s">
        <v>54187</v>
      </c>
      <c r="V11535" t="s">
        <v>57655</v>
      </c>
      <c r="W11535" t="s">
        <v>40288</v>
      </c>
      <c r="X11535" t="s">
        <v>42689</v>
      </c>
    </row>
    <row r="11536" spans="1:24">
      <c r="A11536">
        <f>HYPERLINK("https://www.philgeps.gov.ph/GEPSNONPILOT/Tender/SplashBidNoticeAbstractUI.aspx?menuIndex=3&amp;refID=7162735&amp;Result=3","7162735")</f>
        <v>0</v>
      </c>
      <c r="B11536" t="s">
        <v>149</v>
      </c>
      <c r="C11536" t="s">
        <v>14557</v>
      </c>
      <c r="D11536" t="s">
        <v>17190</v>
      </c>
      <c r="E11536" t="s">
        <v>17541</v>
      </c>
      <c r="F11536" t="s">
        <v>29372</v>
      </c>
      <c r="G11536" t="s">
        <v>29380</v>
      </c>
      <c r="H11536" t="s">
        <v>29389</v>
      </c>
      <c r="I11536" t="s">
        <v>10408</v>
      </c>
      <c r="J11536" t="s">
        <v>29801</v>
      </c>
      <c r="K11536" t="s">
        <v>38490</v>
      </c>
      <c r="M11536" t="s">
        <v>38904</v>
      </c>
      <c r="N11536" t="s">
        <v>42669</v>
      </c>
      <c r="O11536" t="s">
        <v>42670</v>
      </c>
      <c r="P11536">
        <v>0</v>
      </c>
      <c r="Q11536">
        <v>0</v>
      </c>
      <c r="R11536" t="s">
        <v>42686</v>
      </c>
      <c r="S11536" t="s">
        <v>43397</v>
      </c>
      <c r="T11536" t="s">
        <v>44357</v>
      </c>
      <c r="U11536" t="s">
        <v>54237</v>
      </c>
      <c r="V11536" t="s">
        <v>57652</v>
      </c>
      <c r="W11536" t="s">
        <v>38904</v>
      </c>
      <c r="X11536" t="s">
        <v>42689</v>
      </c>
    </row>
    <row r="11537" spans="1:24">
      <c r="A11537">
        <f>HYPERLINK("https://www.philgeps.gov.ph/GEPSNONPILOT/Tender/SplashBidNoticeAbstractUI.aspx?menuIndex=3&amp;refID=7167610&amp;Result=3","7167610")</f>
        <v>0</v>
      </c>
      <c r="B11537" t="s">
        <v>832</v>
      </c>
      <c r="C11537" t="s">
        <v>14558</v>
      </c>
      <c r="E11537" t="s">
        <v>27067</v>
      </c>
      <c r="F11537" t="s">
        <v>29372</v>
      </c>
      <c r="G11537" t="s">
        <v>29381</v>
      </c>
      <c r="H11537" t="s">
        <v>11048</v>
      </c>
      <c r="I11537" t="s">
        <v>29410</v>
      </c>
      <c r="J11537" t="s">
        <v>36217</v>
      </c>
      <c r="K11537" t="s">
        <v>38490</v>
      </c>
      <c r="M11537" t="s">
        <v>39621</v>
      </c>
      <c r="N11537" t="s">
        <v>42669</v>
      </c>
      <c r="O11537" t="s">
        <v>42670</v>
      </c>
      <c r="Q11537">
        <v>18</v>
      </c>
      <c r="R11537" t="s">
        <v>42685</v>
      </c>
      <c r="S11537" t="s">
        <v>43405</v>
      </c>
      <c r="T11537" t="s">
        <v>44508</v>
      </c>
      <c r="U11537" t="s">
        <v>54238</v>
      </c>
      <c r="W11537" t="s">
        <v>39621</v>
      </c>
      <c r="X11537" t="s">
        <v>42686</v>
      </c>
    </row>
    <row r="11538" spans="1:24">
      <c r="A11538">
        <f>HYPERLINK("https://www.philgeps.gov.ph/GEPSNONPILOT/Tender/SplashBidNoticeAbstractUI.aspx?menuIndex=3&amp;refID=7167598&amp;Result=3","7167598")</f>
        <v>0</v>
      </c>
      <c r="B11538" t="s">
        <v>2535</v>
      </c>
      <c r="C11538" t="s">
        <v>14559</v>
      </c>
      <c r="D11538" t="s">
        <v>17172</v>
      </c>
      <c r="E11538" t="s">
        <v>27068</v>
      </c>
      <c r="F11538" t="s">
        <v>29372</v>
      </c>
      <c r="G11538" t="s">
        <v>29380</v>
      </c>
      <c r="H11538" t="s">
        <v>11048</v>
      </c>
      <c r="I11538" t="s">
        <v>9469</v>
      </c>
      <c r="J11538" t="s">
        <v>30335</v>
      </c>
      <c r="K11538" t="s">
        <v>38490</v>
      </c>
      <c r="M11538" t="s">
        <v>41497</v>
      </c>
      <c r="N11538" t="s">
        <v>42669</v>
      </c>
      <c r="O11538" t="s">
        <v>42670</v>
      </c>
      <c r="P11538">
        <v>0</v>
      </c>
      <c r="Q11538">
        <v>9</v>
      </c>
      <c r="R11538" t="s">
        <v>42685</v>
      </c>
      <c r="S11538" t="s">
        <v>43317</v>
      </c>
      <c r="T11538" t="s">
        <v>44389</v>
      </c>
      <c r="U11538" t="s">
        <v>51465</v>
      </c>
      <c r="W11538" t="s">
        <v>41497</v>
      </c>
      <c r="X11538" t="s">
        <v>42686</v>
      </c>
    </row>
    <row r="11539" spans="1:24">
      <c r="A11539">
        <f>HYPERLINK("https://www.philgeps.gov.ph/GEPSNONPILOT/Tender/SplashBidNoticeAbstractUI.aspx?menuIndex=3&amp;refID=7167581&amp;Result=3","7167581")</f>
        <v>0</v>
      </c>
      <c r="B11539" t="s">
        <v>2172</v>
      </c>
      <c r="C11539" t="s">
        <v>14560</v>
      </c>
      <c r="D11539" t="s">
        <v>17216</v>
      </c>
      <c r="E11539" t="s">
        <v>27069</v>
      </c>
      <c r="F11539" t="s">
        <v>29372</v>
      </c>
      <c r="G11539" t="s">
        <v>29380</v>
      </c>
      <c r="H11539" t="s">
        <v>29389</v>
      </c>
      <c r="I11539" t="s">
        <v>10408</v>
      </c>
      <c r="J11539" t="s">
        <v>29543</v>
      </c>
      <c r="K11539" t="s">
        <v>38522</v>
      </c>
      <c r="M11539" t="s">
        <v>41083</v>
      </c>
      <c r="N11539" t="s">
        <v>42669</v>
      </c>
      <c r="O11539" t="s">
        <v>42670</v>
      </c>
      <c r="P11539">
        <v>0</v>
      </c>
      <c r="Q11539">
        <v>0</v>
      </c>
      <c r="R11539" t="s">
        <v>42685</v>
      </c>
      <c r="S11539" t="s">
        <v>43317</v>
      </c>
      <c r="T11539" t="s">
        <v>44806</v>
      </c>
      <c r="U11539" t="s">
        <v>54239</v>
      </c>
      <c r="W11539" t="s">
        <v>41083</v>
      </c>
      <c r="X11539" t="s">
        <v>42686</v>
      </c>
    </row>
    <row r="11540" spans="1:24">
      <c r="A11540">
        <f>HYPERLINK("https://www.philgeps.gov.ph/GEPSNONPILOT/Tender/SplashBidNoticeAbstractUI.aspx?menuIndex=3&amp;refID=7167590&amp;Result=3","7167590")</f>
        <v>0</v>
      </c>
      <c r="B11540" t="s">
        <v>3201</v>
      </c>
      <c r="C11540" t="s">
        <v>14561</v>
      </c>
      <c r="D11540" t="s">
        <v>17189</v>
      </c>
      <c r="E11540" t="s">
        <v>18964</v>
      </c>
      <c r="F11540" t="s">
        <v>29372</v>
      </c>
      <c r="G11540" t="s">
        <v>29380</v>
      </c>
      <c r="H11540" t="s">
        <v>11048</v>
      </c>
      <c r="I11540" t="s">
        <v>4709</v>
      </c>
      <c r="J11540" t="s">
        <v>36813</v>
      </c>
      <c r="K11540" t="s">
        <v>38488</v>
      </c>
      <c r="M11540" t="s">
        <v>42262</v>
      </c>
      <c r="N11540" t="s">
        <v>42669</v>
      </c>
      <c r="O11540" t="s">
        <v>42670</v>
      </c>
      <c r="P11540">
        <v>0</v>
      </c>
      <c r="Q11540">
        <v>0</v>
      </c>
      <c r="R11540" t="s">
        <v>42685</v>
      </c>
      <c r="S11540" t="s">
        <v>43317</v>
      </c>
      <c r="T11540" t="s">
        <v>44815</v>
      </c>
      <c r="U11540" t="s">
        <v>54240</v>
      </c>
      <c r="W11540" t="s">
        <v>42262</v>
      </c>
      <c r="X11540" t="s">
        <v>42686</v>
      </c>
    </row>
    <row r="11541" spans="1:24">
      <c r="A11541">
        <f>HYPERLINK("https://www.philgeps.gov.ph/GEPSNONPILOT/Tender/SplashBidNoticeAbstractUI.aspx?menuIndex=3&amp;refID=7161874&amp;Result=3","7161874")</f>
        <v>0</v>
      </c>
      <c r="B11541" t="s">
        <v>1447</v>
      </c>
      <c r="C11541" t="s">
        <v>14562</v>
      </c>
      <c r="D11541" t="s">
        <v>17182</v>
      </c>
      <c r="E11541" t="s">
        <v>27070</v>
      </c>
      <c r="F11541" t="s">
        <v>29372</v>
      </c>
      <c r="G11541" t="s">
        <v>29380</v>
      </c>
      <c r="H11541" t="s">
        <v>11048</v>
      </c>
      <c r="I11541" t="s">
        <v>29400</v>
      </c>
      <c r="J11541" t="s">
        <v>36814</v>
      </c>
      <c r="K11541" t="s">
        <v>38485</v>
      </c>
      <c r="M11541" t="s">
        <v>40288</v>
      </c>
      <c r="N11541" t="s">
        <v>42669</v>
      </c>
      <c r="O11541" t="s">
        <v>42670</v>
      </c>
      <c r="P11541">
        <v>0</v>
      </c>
      <c r="Q11541">
        <v>11</v>
      </c>
      <c r="R11541" t="s">
        <v>42686</v>
      </c>
      <c r="S11541" t="s">
        <v>43397</v>
      </c>
      <c r="T11541" t="s">
        <v>44412</v>
      </c>
      <c r="U11541" t="s">
        <v>54187</v>
      </c>
      <c r="V11541" t="s">
        <v>57656</v>
      </c>
      <c r="W11541" t="s">
        <v>40288</v>
      </c>
      <c r="X11541" t="s">
        <v>42689</v>
      </c>
    </row>
    <row r="11542" spans="1:24">
      <c r="A11542">
        <f>HYPERLINK("https://www.philgeps.gov.ph/GEPSNONPILOT/Tender/SplashBidNoticeAbstractUI.aspx?menuIndex=3&amp;refID=7161881&amp;Result=3","7161881")</f>
        <v>0</v>
      </c>
      <c r="B11542" t="s">
        <v>149</v>
      </c>
      <c r="C11542" t="s">
        <v>14563</v>
      </c>
      <c r="D11542" t="s">
        <v>17190</v>
      </c>
      <c r="E11542" t="s">
        <v>17541</v>
      </c>
      <c r="F11542" t="s">
        <v>29372</v>
      </c>
      <c r="G11542" t="s">
        <v>29380</v>
      </c>
      <c r="H11542" t="s">
        <v>29389</v>
      </c>
      <c r="I11542" t="s">
        <v>10408</v>
      </c>
      <c r="J11542" t="s">
        <v>30161</v>
      </c>
      <c r="K11542" t="s">
        <v>38490</v>
      </c>
      <c r="M11542" t="s">
        <v>38904</v>
      </c>
      <c r="N11542" t="s">
        <v>42669</v>
      </c>
      <c r="O11542" t="s">
        <v>42670</v>
      </c>
      <c r="P11542">
        <v>0</v>
      </c>
      <c r="Q11542">
        <v>0</v>
      </c>
      <c r="R11542" t="s">
        <v>42686</v>
      </c>
      <c r="S11542" t="s">
        <v>43397</v>
      </c>
      <c r="T11542" t="s">
        <v>44357</v>
      </c>
      <c r="U11542" t="s">
        <v>54241</v>
      </c>
      <c r="V11542" t="s">
        <v>57652</v>
      </c>
      <c r="W11542" t="s">
        <v>38904</v>
      </c>
      <c r="X11542" t="s">
        <v>42689</v>
      </c>
    </row>
    <row r="11543" spans="1:24">
      <c r="A11543">
        <f>HYPERLINK("https://www.philgeps.gov.ph/GEPSNONPILOT/Tender/SplashBidNoticeAbstractUI.aspx?menuIndex=3&amp;refID=7162442&amp;Result=3","7162442")</f>
        <v>0</v>
      </c>
      <c r="B11543" t="s">
        <v>3202</v>
      </c>
      <c r="C11543" t="s">
        <v>14564</v>
      </c>
      <c r="D11543" t="s">
        <v>17171</v>
      </c>
      <c r="E11543" t="s">
        <v>27071</v>
      </c>
      <c r="F11543" t="s">
        <v>29372</v>
      </c>
      <c r="G11543" t="s">
        <v>29380</v>
      </c>
      <c r="H11543" t="s">
        <v>11048</v>
      </c>
      <c r="I11543" t="s">
        <v>29424</v>
      </c>
      <c r="J11543" t="s">
        <v>36815</v>
      </c>
      <c r="K11543" t="s">
        <v>38490</v>
      </c>
      <c r="M11543" t="s">
        <v>42263</v>
      </c>
      <c r="N11543" t="s">
        <v>42669</v>
      </c>
      <c r="O11543" t="s">
        <v>42670</v>
      </c>
      <c r="P11543">
        <v>0</v>
      </c>
      <c r="Q11543">
        <v>1</v>
      </c>
      <c r="R11543" t="s">
        <v>42686</v>
      </c>
      <c r="S11543" t="s">
        <v>43397</v>
      </c>
      <c r="T11543" t="s">
        <v>44430</v>
      </c>
      <c r="U11543" t="s">
        <v>54242</v>
      </c>
      <c r="W11543" t="s">
        <v>42263</v>
      </c>
      <c r="X11543" t="s">
        <v>42689</v>
      </c>
    </row>
    <row r="11544" spans="1:24">
      <c r="A11544">
        <f>HYPERLINK("https://www.philgeps.gov.ph/GEPSNONPILOT/Tender/SplashBidNoticeAbstractUI.aspx?menuIndex=3&amp;refID=7163856&amp;Result=3","7163856")</f>
        <v>0</v>
      </c>
      <c r="B11544" t="s">
        <v>2630</v>
      </c>
      <c r="C11544" t="s">
        <v>14565</v>
      </c>
      <c r="D11544" t="s">
        <v>17186</v>
      </c>
      <c r="E11544" t="s">
        <v>27072</v>
      </c>
      <c r="F11544" t="s">
        <v>29372</v>
      </c>
      <c r="G11544" t="s">
        <v>29380</v>
      </c>
      <c r="H11544" t="s">
        <v>11048</v>
      </c>
      <c r="I11544" t="s">
        <v>5383</v>
      </c>
      <c r="J11544" t="s">
        <v>36816</v>
      </c>
      <c r="K11544" t="s">
        <v>38510</v>
      </c>
      <c r="M11544" t="s">
        <v>41602</v>
      </c>
      <c r="N11544" t="s">
        <v>42669</v>
      </c>
      <c r="O11544" t="s">
        <v>42670</v>
      </c>
      <c r="P11544">
        <v>0</v>
      </c>
      <c r="Q11544">
        <v>3</v>
      </c>
      <c r="R11544" t="s">
        <v>42686</v>
      </c>
      <c r="S11544" t="s">
        <v>43397</v>
      </c>
      <c r="T11544" t="s">
        <v>44357</v>
      </c>
      <c r="U11544" t="s">
        <v>54243</v>
      </c>
      <c r="W11544" t="s">
        <v>41602</v>
      </c>
      <c r="X11544" t="s">
        <v>42689</v>
      </c>
    </row>
    <row r="11545" spans="1:24">
      <c r="A11545">
        <f>HYPERLINK("https://www.philgeps.gov.ph/GEPSNONPILOT/Tender/SplashBidNoticeAbstractUI.aspx?menuIndex=3&amp;refID=7167341&amp;Result=3","7167341")</f>
        <v>0</v>
      </c>
      <c r="B11545" t="s">
        <v>3175</v>
      </c>
      <c r="C11545" t="s">
        <v>14566</v>
      </c>
      <c r="D11545" t="s">
        <v>17164</v>
      </c>
      <c r="E11545" t="s">
        <v>17477</v>
      </c>
      <c r="F11545" t="s">
        <v>29372</v>
      </c>
      <c r="G11545" t="s">
        <v>29380</v>
      </c>
      <c r="H11545" t="s">
        <v>29389</v>
      </c>
      <c r="I11545" t="s">
        <v>10408</v>
      </c>
      <c r="J11545" t="s">
        <v>36817</v>
      </c>
      <c r="K11545" t="s">
        <v>38591</v>
      </c>
      <c r="M11545" t="s">
        <v>42226</v>
      </c>
      <c r="N11545" t="s">
        <v>42669</v>
      </c>
      <c r="O11545" t="s">
        <v>42670</v>
      </c>
      <c r="P11545">
        <v>0</v>
      </c>
      <c r="Q11545">
        <v>1</v>
      </c>
      <c r="R11545" t="s">
        <v>42685</v>
      </c>
      <c r="S11545" t="s">
        <v>43317</v>
      </c>
      <c r="T11545" t="s">
        <v>44412</v>
      </c>
      <c r="U11545" t="s">
        <v>54244</v>
      </c>
      <c r="W11545" t="s">
        <v>42226</v>
      </c>
      <c r="X11545" t="s">
        <v>42686</v>
      </c>
    </row>
    <row r="11546" spans="1:24">
      <c r="A11546">
        <f>HYPERLINK("https://www.philgeps.gov.ph/GEPSNONPILOT/Tender/SplashBidNoticeAbstractUI.aspx?menuIndex=3&amp;refID=7163664&amp;Result=3","7163664")</f>
        <v>0</v>
      </c>
      <c r="B11546" t="s">
        <v>2630</v>
      </c>
      <c r="C11546" t="s">
        <v>14567</v>
      </c>
      <c r="D11546" t="s">
        <v>17186</v>
      </c>
      <c r="E11546" t="s">
        <v>27073</v>
      </c>
      <c r="F11546" t="s">
        <v>29372</v>
      </c>
      <c r="G11546" t="s">
        <v>29380</v>
      </c>
      <c r="H11546" t="s">
        <v>11048</v>
      </c>
      <c r="I11546" t="s">
        <v>29433</v>
      </c>
      <c r="J11546" t="s">
        <v>36818</v>
      </c>
      <c r="K11546" t="s">
        <v>38510</v>
      </c>
      <c r="M11546" t="s">
        <v>41602</v>
      </c>
      <c r="N11546" t="s">
        <v>42669</v>
      </c>
      <c r="O11546" t="s">
        <v>42670</v>
      </c>
      <c r="P11546">
        <v>0</v>
      </c>
      <c r="Q11546">
        <v>13</v>
      </c>
      <c r="R11546" t="s">
        <v>42686</v>
      </c>
      <c r="S11546" t="s">
        <v>43397</v>
      </c>
      <c r="T11546" t="s">
        <v>44357</v>
      </c>
      <c r="U11546" t="s">
        <v>54245</v>
      </c>
      <c r="W11546" t="s">
        <v>41602</v>
      </c>
      <c r="X11546" t="s">
        <v>42689</v>
      </c>
    </row>
    <row r="11547" spans="1:24">
      <c r="A11547">
        <f>HYPERLINK("https://www.philgeps.gov.ph/GEPSNONPILOT/Tender/SplashBidNoticeAbstractUI.aspx?menuIndex=3&amp;refID=7163491&amp;Result=3","7163491")</f>
        <v>0</v>
      </c>
      <c r="B11547" t="s">
        <v>2630</v>
      </c>
      <c r="C11547" t="s">
        <v>14568</v>
      </c>
      <c r="D11547" t="s">
        <v>17186</v>
      </c>
      <c r="E11547" t="s">
        <v>26511</v>
      </c>
      <c r="F11547" t="s">
        <v>29372</v>
      </c>
      <c r="G11547" t="s">
        <v>29380</v>
      </c>
      <c r="H11547" t="s">
        <v>11048</v>
      </c>
      <c r="I11547" t="s">
        <v>3695</v>
      </c>
      <c r="J11547" t="s">
        <v>36819</v>
      </c>
      <c r="K11547" t="s">
        <v>38510</v>
      </c>
      <c r="M11547" t="s">
        <v>41602</v>
      </c>
      <c r="N11547" t="s">
        <v>42669</v>
      </c>
      <c r="O11547" t="s">
        <v>42670</v>
      </c>
      <c r="P11547">
        <v>0</v>
      </c>
      <c r="Q11547">
        <v>10</v>
      </c>
      <c r="R11547" t="s">
        <v>42686</v>
      </c>
      <c r="S11547" t="s">
        <v>43397</v>
      </c>
      <c r="T11547" t="s">
        <v>44357</v>
      </c>
      <c r="U11547" t="s">
        <v>54246</v>
      </c>
      <c r="W11547" t="s">
        <v>41602</v>
      </c>
      <c r="X11547" t="s">
        <v>42689</v>
      </c>
    </row>
    <row r="11548" spans="1:24">
      <c r="A11548">
        <f>HYPERLINK("https://www.philgeps.gov.ph/GEPSNONPILOT/Tender/SplashBidNoticeAbstractUI.aspx?menuIndex=3&amp;refID=7163475&amp;Result=3","7163475")</f>
        <v>0</v>
      </c>
      <c r="B11548" t="s">
        <v>2597</v>
      </c>
      <c r="C11548" t="s">
        <v>14569</v>
      </c>
      <c r="D11548" t="s">
        <v>17141</v>
      </c>
      <c r="E11548" t="s">
        <v>21894</v>
      </c>
      <c r="F11548" t="s">
        <v>29372</v>
      </c>
      <c r="G11548" t="s">
        <v>29380</v>
      </c>
      <c r="H11548" t="s">
        <v>11048</v>
      </c>
      <c r="I11548" t="s">
        <v>29396</v>
      </c>
      <c r="J11548" t="s">
        <v>36820</v>
      </c>
      <c r="K11548" t="s">
        <v>38580</v>
      </c>
      <c r="M11548" t="s">
        <v>41564</v>
      </c>
      <c r="N11548" t="s">
        <v>42669</v>
      </c>
      <c r="O11548" t="s">
        <v>42670</v>
      </c>
      <c r="Q11548">
        <v>1</v>
      </c>
      <c r="R11548" t="s">
        <v>42686</v>
      </c>
      <c r="S11548" t="s">
        <v>43406</v>
      </c>
      <c r="T11548" t="s">
        <v>44412</v>
      </c>
      <c r="U11548" t="s">
        <v>54247</v>
      </c>
      <c r="W11548" t="s">
        <v>41564</v>
      </c>
      <c r="X11548" t="s">
        <v>42689</v>
      </c>
    </row>
    <row r="11549" spans="1:24">
      <c r="A11549">
        <f>HYPERLINK("https://www.philgeps.gov.ph/GEPSNONPILOT/Tender/SplashBidNoticeAbstractUI.aspx?menuIndex=3&amp;refID=7162454&amp;Result=3","7162454")</f>
        <v>0</v>
      </c>
      <c r="B11549" t="s">
        <v>1580</v>
      </c>
      <c r="C11549" t="s">
        <v>14570</v>
      </c>
      <c r="D11549" t="s">
        <v>17197</v>
      </c>
      <c r="E11549" t="s">
        <v>27074</v>
      </c>
      <c r="F11549" t="s">
        <v>29372</v>
      </c>
      <c r="G11549" t="s">
        <v>29380</v>
      </c>
      <c r="H11549" t="s">
        <v>11048</v>
      </c>
      <c r="I11549" t="s">
        <v>29407</v>
      </c>
      <c r="J11549" t="s">
        <v>30437</v>
      </c>
      <c r="K11549" t="s">
        <v>38485</v>
      </c>
      <c r="M11549" t="s">
        <v>40430</v>
      </c>
      <c r="N11549" t="s">
        <v>42669</v>
      </c>
      <c r="O11549" t="s">
        <v>42670</v>
      </c>
      <c r="P11549">
        <v>0</v>
      </c>
      <c r="Q11549">
        <v>3</v>
      </c>
      <c r="R11549" t="s">
        <v>42686</v>
      </c>
      <c r="S11549" t="s">
        <v>43397</v>
      </c>
      <c r="T11549" t="s">
        <v>44375</v>
      </c>
      <c r="U11549" t="s">
        <v>54248</v>
      </c>
      <c r="W11549" t="s">
        <v>40430</v>
      </c>
      <c r="X11549" t="s">
        <v>42689</v>
      </c>
    </row>
    <row r="11550" spans="1:24">
      <c r="A11550">
        <f>HYPERLINK("https://www.philgeps.gov.ph/GEPSNONPILOT/Tender/SplashBidNoticeAbstractUI.aspx?menuIndex=3&amp;refID=7163448&amp;Result=3","7163448")</f>
        <v>0</v>
      </c>
      <c r="B11550" t="s">
        <v>459</v>
      </c>
      <c r="C11550" t="s">
        <v>14571</v>
      </c>
      <c r="D11550" t="s">
        <v>17193</v>
      </c>
      <c r="E11550" t="s">
        <v>27075</v>
      </c>
      <c r="F11550" t="s">
        <v>29372</v>
      </c>
      <c r="G11550" t="s">
        <v>29380</v>
      </c>
      <c r="H11550" t="s">
        <v>11048</v>
      </c>
      <c r="I11550" t="s">
        <v>29481</v>
      </c>
      <c r="J11550" t="s">
        <v>36821</v>
      </c>
      <c r="K11550" t="s">
        <v>38510</v>
      </c>
      <c r="M11550" t="s">
        <v>40623</v>
      </c>
      <c r="N11550" t="s">
        <v>42669</v>
      </c>
      <c r="O11550" t="s">
        <v>42670</v>
      </c>
      <c r="P11550">
        <v>0</v>
      </c>
      <c r="Q11550">
        <v>3</v>
      </c>
      <c r="R11550" t="s">
        <v>42686</v>
      </c>
      <c r="S11550" t="s">
        <v>43397</v>
      </c>
      <c r="T11550" t="s">
        <v>44480</v>
      </c>
      <c r="U11550" t="s">
        <v>54249</v>
      </c>
      <c r="W11550" t="s">
        <v>40623</v>
      </c>
      <c r="X11550" t="s">
        <v>42689</v>
      </c>
    </row>
    <row r="11551" spans="1:24">
      <c r="A11551">
        <f>HYPERLINK("https://www.philgeps.gov.ph/GEPSNONPILOT/Tender/SplashBidNoticeAbstractUI.aspx?menuIndex=3&amp;refID=7163867&amp;Result=3","7163867")</f>
        <v>0</v>
      </c>
      <c r="B11551" t="s">
        <v>451</v>
      </c>
      <c r="C11551" t="s">
        <v>14572</v>
      </c>
      <c r="E11551" t="s">
        <v>17794</v>
      </c>
      <c r="F11551" t="s">
        <v>29372</v>
      </c>
      <c r="G11551" t="s">
        <v>29380</v>
      </c>
      <c r="H11551" t="s">
        <v>29389</v>
      </c>
      <c r="I11551" t="s">
        <v>10408</v>
      </c>
      <c r="J11551" t="s">
        <v>36822</v>
      </c>
      <c r="K11551" t="s">
        <v>38502</v>
      </c>
      <c r="M11551" t="s">
        <v>39215</v>
      </c>
      <c r="N11551" t="s">
        <v>42669</v>
      </c>
      <c r="O11551" t="s">
        <v>42670</v>
      </c>
      <c r="P11551">
        <v>0</v>
      </c>
      <c r="Q11551">
        <v>10</v>
      </c>
      <c r="R11551" t="s">
        <v>42686</v>
      </c>
      <c r="S11551" t="s">
        <v>43397</v>
      </c>
      <c r="T11551" t="s">
        <v>44393</v>
      </c>
      <c r="U11551" t="s">
        <v>54250</v>
      </c>
      <c r="W11551" t="s">
        <v>39215</v>
      </c>
      <c r="X11551" t="s">
        <v>42689</v>
      </c>
    </row>
    <row r="11552" spans="1:24">
      <c r="A11552">
        <f>HYPERLINK("https://www.philgeps.gov.ph/GEPSNONPILOT/Tender/SplashBidNoticeAbstractUI.aspx?menuIndex=3&amp;refID=7167604&amp;Result=3","7167604")</f>
        <v>0</v>
      </c>
      <c r="B11552" t="s">
        <v>3203</v>
      </c>
      <c r="C11552" t="s">
        <v>14573</v>
      </c>
      <c r="D11552" t="s">
        <v>17202</v>
      </c>
      <c r="E11552" t="s">
        <v>17533</v>
      </c>
      <c r="F11552" t="s">
        <v>29372</v>
      </c>
      <c r="G11552" t="s">
        <v>29380</v>
      </c>
      <c r="H11552" t="s">
        <v>11048</v>
      </c>
      <c r="I11552" t="s">
        <v>4709</v>
      </c>
      <c r="J11552" t="s">
        <v>36823</v>
      </c>
      <c r="K11552" t="s">
        <v>38510</v>
      </c>
      <c r="M11552" t="s">
        <v>42264</v>
      </c>
      <c r="N11552" t="s">
        <v>42669</v>
      </c>
      <c r="O11552" t="s">
        <v>42670</v>
      </c>
      <c r="Q11552">
        <v>0</v>
      </c>
      <c r="R11552" t="s">
        <v>42685</v>
      </c>
      <c r="S11552" t="s">
        <v>43407</v>
      </c>
      <c r="T11552" t="s">
        <v>44470</v>
      </c>
      <c r="U11552" t="s">
        <v>54251</v>
      </c>
      <c r="W11552" t="s">
        <v>42264</v>
      </c>
      <c r="X11552" t="s">
        <v>42686</v>
      </c>
    </row>
    <row r="11553" spans="1:24">
      <c r="A11553">
        <f>HYPERLINK("https://www.philgeps.gov.ph/GEPSNONPILOT/Tender/SplashBidNoticeAbstractUI.aspx?menuIndex=3&amp;refID=7163940&amp;Result=3","7163940")</f>
        <v>0</v>
      </c>
      <c r="B11553" t="s">
        <v>2630</v>
      </c>
      <c r="C11553" t="s">
        <v>14574</v>
      </c>
      <c r="D11553" t="s">
        <v>17186</v>
      </c>
      <c r="E11553" t="s">
        <v>27076</v>
      </c>
      <c r="F11553" t="s">
        <v>29372</v>
      </c>
      <c r="G11553" t="s">
        <v>29380</v>
      </c>
      <c r="H11553" t="s">
        <v>11048</v>
      </c>
      <c r="I11553" t="s">
        <v>29432</v>
      </c>
      <c r="J11553" t="s">
        <v>36824</v>
      </c>
      <c r="K11553" t="s">
        <v>38510</v>
      </c>
      <c r="M11553" t="s">
        <v>41602</v>
      </c>
      <c r="N11553" t="s">
        <v>42669</v>
      </c>
      <c r="O11553" t="s">
        <v>42670</v>
      </c>
      <c r="P11553">
        <v>0</v>
      </c>
      <c r="Q11553">
        <v>2</v>
      </c>
      <c r="R11553" t="s">
        <v>42686</v>
      </c>
      <c r="S11553" t="s">
        <v>43397</v>
      </c>
      <c r="T11553" t="s">
        <v>44357</v>
      </c>
      <c r="U11553" t="s">
        <v>54252</v>
      </c>
      <c r="W11553" t="s">
        <v>41602</v>
      </c>
      <c r="X11553" t="s">
        <v>42689</v>
      </c>
    </row>
    <row r="11554" spans="1:24">
      <c r="A11554">
        <f>HYPERLINK("https://www.philgeps.gov.ph/GEPSNONPILOT/Tender/SplashBidNoticeAbstractUI.aspx?menuIndex=3&amp;refID=7164326&amp;Result=3","7164326")</f>
        <v>0</v>
      </c>
      <c r="B11554" t="s">
        <v>1399</v>
      </c>
      <c r="C11554" t="s">
        <v>14575</v>
      </c>
      <c r="D11554" t="s">
        <v>17168</v>
      </c>
      <c r="E11554" t="s">
        <v>17730</v>
      </c>
      <c r="F11554" t="s">
        <v>29372</v>
      </c>
      <c r="G11554" t="s">
        <v>29380</v>
      </c>
      <c r="H11554" t="s">
        <v>11048</v>
      </c>
      <c r="I11554" t="s">
        <v>4709</v>
      </c>
      <c r="J11554" t="s">
        <v>36825</v>
      </c>
      <c r="K11554" t="s">
        <v>38510</v>
      </c>
      <c r="M11554" t="s">
        <v>40238</v>
      </c>
      <c r="N11554" t="s">
        <v>42669</v>
      </c>
      <c r="O11554" t="s">
        <v>42670</v>
      </c>
      <c r="P11554">
        <v>0</v>
      </c>
      <c r="Q11554">
        <v>2</v>
      </c>
      <c r="R11554" t="s">
        <v>42686</v>
      </c>
      <c r="S11554" t="s">
        <v>43397</v>
      </c>
      <c r="T11554" t="s">
        <v>44366</v>
      </c>
      <c r="U11554" t="s">
        <v>45484</v>
      </c>
      <c r="W11554" t="s">
        <v>40238</v>
      </c>
      <c r="X11554" t="s">
        <v>42688</v>
      </c>
    </row>
    <row r="11555" spans="1:24">
      <c r="A11555">
        <f>HYPERLINK("https://www.philgeps.gov.ph/GEPSNONPILOT/Tender/SplashBidNoticeAbstractUI.aspx?menuIndex=3&amp;refID=7163613&amp;Result=3","7163613")</f>
        <v>0</v>
      </c>
      <c r="B11555" t="s">
        <v>740</v>
      </c>
      <c r="C11555" t="s">
        <v>14576</v>
      </c>
      <c r="D11555" t="s">
        <v>17165</v>
      </c>
      <c r="E11555" t="s">
        <v>27077</v>
      </c>
      <c r="F11555" t="s">
        <v>29372</v>
      </c>
      <c r="G11555" t="s">
        <v>29380</v>
      </c>
      <c r="H11555" t="s">
        <v>29389</v>
      </c>
      <c r="I11555" t="s">
        <v>10408</v>
      </c>
      <c r="J11555" t="s">
        <v>36826</v>
      </c>
      <c r="K11555" t="s">
        <v>38495</v>
      </c>
      <c r="M11555" t="s">
        <v>39521</v>
      </c>
      <c r="N11555" t="s">
        <v>42669</v>
      </c>
      <c r="O11555" t="s">
        <v>42670</v>
      </c>
      <c r="P11555">
        <v>0</v>
      </c>
      <c r="Q11555">
        <v>3</v>
      </c>
      <c r="R11555" t="s">
        <v>42686</v>
      </c>
      <c r="S11555" t="s">
        <v>43397</v>
      </c>
      <c r="T11555" t="s">
        <v>44357</v>
      </c>
      <c r="U11555" t="s">
        <v>54253</v>
      </c>
      <c r="W11555" t="s">
        <v>39521</v>
      </c>
      <c r="X11555" t="s">
        <v>42689</v>
      </c>
    </row>
    <row r="11556" spans="1:24">
      <c r="A11556">
        <f>HYPERLINK("https://www.philgeps.gov.ph/GEPSNONPILOT/Tender/SplashBidNoticeAbstractUI.aspx?menuIndex=3&amp;refID=7164313&amp;Result=3","7164313")</f>
        <v>0</v>
      </c>
      <c r="B11556" t="s">
        <v>1399</v>
      </c>
      <c r="C11556" t="s">
        <v>14577</v>
      </c>
      <c r="D11556" t="s">
        <v>17168</v>
      </c>
      <c r="E11556" t="s">
        <v>17399</v>
      </c>
      <c r="F11556" t="s">
        <v>29372</v>
      </c>
      <c r="G11556" t="s">
        <v>29380</v>
      </c>
      <c r="H11556" t="s">
        <v>11048</v>
      </c>
      <c r="I11556" t="s">
        <v>4709</v>
      </c>
      <c r="J11556" t="s">
        <v>36827</v>
      </c>
      <c r="K11556" t="s">
        <v>38510</v>
      </c>
      <c r="M11556" t="s">
        <v>40238</v>
      </c>
      <c r="N11556" t="s">
        <v>42669</v>
      </c>
      <c r="O11556" t="s">
        <v>42670</v>
      </c>
      <c r="P11556">
        <v>0</v>
      </c>
      <c r="Q11556">
        <v>4</v>
      </c>
      <c r="R11556" t="s">
        <v>42686</v>
      </c>
      <c r="S11556" t="s">
        <v>43397</v>
      </c>
      <c r="T11556" t="s">
        <v>44366</v>
      </c>
      <c r="U11556" t="s">
        <v>45484</v>
      </c>
      <c r="W11556" t="s">
        <v>40238</v>
      </c>
      <c r="X11556" t="s">
        <v>42688</v>
      </c>
    </row>
    <row r="11557" spans="1:24">
      <c r="A11557">
        <f>HYPERLINK("https://www.philgeps.gov.ph/GEPSNONPILOT/Tender/SplashBidNoticeAbstractUI.aspx?menuIndex=3&amp;refID=7162918&amp;Result=3","7162918")</f>
        <v>0</v>
      </c>
      <c r="B11557" t="s">
        <v>291</v>
      </c>
      <c r="C11557" t="s">
        <v>14578</v>
      </c>
      <c r="D11557" t="s">
        <v>17197</v>
      </c>
      <c r="E11557" t="s">
        <v>27078</v>
      </c>
      <c r="F11557" t="s">
        <v>29372</v>
      </c>
      <c r="G11557" t="s">
        <v>29386</v>
      </c>
      <c r="H11557" t="s">
        <v>29391</v>
      </c>
      <c r="I11557" t="s">
        <v>29391</v>
      </c>
      <c r="J11557" t="s">
        <v>29590</v>
      </c>
      <c r="K11557" t="s">
        <v>38485</v>
      </c>
      <c r="M11557" t="s">
        <v>39050</v>
      </c>
      <c r="N11557" t="s">
        <v>42669</v>
      </c>
      <c r="O11557" t="s">
        <v>42670</v>
      </c>
      <c r="P11557">
        <v>0</v>
      </c>
      <c r="Q11557">
        <v>2</v>
      </c>
      <c r="R11557" t="s">
        <v>42686</v>
      </c>
      <c r="S11557" t="s">
        <v>43397</v>
      </c>
      <c r="T11557" t="s">
        <v>44510</v>
      </c>
      <c r="U11557" t="s">
        <v>45494</v>
      </c>
      <c r="W11557" t="s">
        <v>39050</v>
      </c>
      <c r="X11557" t="s">
        <v>42689</v>
      </c>
    </row>
    <row r="11558" spans="1:24">
      <c r="A11558">
        <f>HYPERLINK("https://www.philgeps.gov.ph/GEPSNONPILOT/Tender/SplashBidNoticeAbstractUI.aspx?menuIndex=3&amp;refID=7163921&amp;Result=3","7163921")</f>
        <v>0</v>
      </c>
      <c r="B11558" t="s">
        <v>2851</v>
      </c>
      <c r="C11558" t="s">
        <v>14579</v>
      </c>
      <c r="D11558" t="s">
        <v>17186</v>
      </c>
      <c r="E11558" t="s">
        <v>27079</v>
      </c>
      <c r="F11558" t="s">
        <v>29372</v>
      </c>
      <c r="G11558" t="s">
        <v>29380</v>
      </c>
      <c r="H11558" t="s">
        <v>11048</v>
      </c>
      <c r="I11558" t="s">
        <v>29417</v>
      </c>
      <c r="J11558" t="s">
        <v>30169</v>
      </c>
      <c r="K11558" t="s">
        <v>38510</v>
      </c>
      <c r="M11558" t="s">
        <v>41844</v>
      </c>
      <c r="N11558" t="s">
        <v>42669</v>
      </c>
      <c r="O11558" t="s">
        <v>42670</v>
      </c>
      <c r="P11558">
        <v>0</v>
      </c>
      <c r="Q11558">
        <v>4</v>
      </c>
      <c r="R11558" t="s">
        <v>42686</v>
      </c>
      <c r="S11558" t="s">
        <v>43397</v>
      </c>
      <c r="T11558" t="s">
        <v>44412</v>
      </c>
      <c r="U11558" t="s">
        <v>54254</v>
      </c>
      <c r="W11558" t="s">
        <v>58101</v>
      </c>
      <c r="X11558" t="s">
        <v>42689</v>
      </c>
    </row>
    <row r="11559" spans="1:24">
      <c r="A11559">
        <f>HYPERLINK("https://www.philgeps.gov.ph/GEPSNONPILOT/Tender/SplashBidNoticeAbstractUI.aspx?menuIndex=3&amp;refID=7164164&amp;Result=3","7164164")</f>
        <v>0</v>
      </c>
      <c r="B11559" t="s">
        <v>3204</v>
      </c>
      <c r="C11559" t="s">
        <v>14580</v>
      </c>
      <c r="D11559" t="s">
        <v>17156</v>
      </c>
      <c r="E11559" t="s">
        <v>27080</v>
      </c>
      <c r="F11559" t="s">
        <v>29372</v>
      </c>
      <c r="G11559" t="s">
        <v>29380</v>
      </c>
      <c r="H11559" t="s">
        <v>11048</v>
      </c>
      <c r="I11559" t="s">
        <v>4487</v>
      </c>
      <c r="J11559" t="s">
        <v>36828</v>
      </c>
      <c r="K11559" t="s">
        <v>38485</v>
      </c>
      <c r="M11559" t="s">
        <v>42265</v>
      </c>
      <c r="N11559" t="s">
        <v>42669</v>
      </c>
      <c r="O11559" t="s">
        <v>42670</v>
      </c>
      <c r="Q11559">
        <v>8</v>
      </c>
      <c r="R11559" t="s">
        <v>42686</v>
      </c>
      <c r="S11559" t="s">
        <v>43408</v>
      </c>
      <c r="T11559" t="s">
        <v>44468</v>
      </c>
      <c r="U11559" t="s">
        <v>54255</v>
      </c>
      <c r="W11559" t="s">
        <v>58115</v>
      </c>
      <c r="X11559" t="s">
        <v>42689</v>
      </c>
    </row>
    <row r="11560" spans="1:24">
      <c r="A11560">
        <f>HYPERLINK("https://www.philgeps.gov.ph/GEPSNONPILOT/Tender/SplashBidNoticeAbstractUI.aspx?menuIndex=3&amp;refID=7163367&amp;Result=3","7163367")</f>
        <v>0</v>
      </c>
      <c r="B11560" t="s">
        <v>56</v>
      </c>
      <c r="C11560" t="s">
        <v>14581</v>
      </c>
      <c r="D11560" t="s">
        <v>17164</v>
      </c>
      <c r="E11560" t="s">
        <v>27081</v>
      </c>
      <c r="F11560" t="s">
        <v>29372</v>
      </c>
      <c r="G11560" t="s">
        <v>29380</v>
      </c>
      <c r="H11560" t="s">
        <v>29389</v>
      </c>
      <c r="I11560" t="s">
        <v>10408</v>
      </c>
      <c r="J11560" t="s">
        <v>36829</v>
      </c>
      <c r="K11560" t="s">
        <v>38558</v>
      </c>
      <c r="M11560" t="s">
        <v>38809</v>
      </c>
      <c r="N11560" t="s">
        <v>42669</v>
      </c>
      <c r="O11560" t="s">
        <v>42670</v>
      </c>
      <c r="P11560">
        <v>0</v>
      </c>
      <c r="Q11560">
        <v>1</v>
      </c>
      <c r="R11560" t="s">
        <v>42686</v>
      </c>
      <c r="S11560" t="s">
        <v>43397</v>
      </c>
      <c r="T11560" t="s">
        <v>44409</v>
      </c>
      <c r="U11560" t="s">
        <v>54256</v>
      </c>
      <c r="W11560" t="s">
        <v>38809</v>
      </c>
      <c r="X11560" t="s">
        <v>42689</v>
      </c>
    </row>
    <row r="11561" spans="1:24">
      <c r="A11561">
        <f>HYPERLINK("https://www.philgeps.gov.ph/GEPSNONPILOT/Tender/SplashBidNoticeAbstractUI.aspx?menuIndex=3&amp;refID=7164078&amp;Result=3","7164078")</f>
        <v>0</v>
      </c>
      <c r="B11561" t="s">
        <v>116</v>
      </c>
      <c r="C11561" t="s">
        <v>14582</v>
      </c>
      <c r="D11561" t="s">
        <v>17170</v>
      </c>
      <c r="E11561" t="s">
        <v>27082</v>
      </c>
      <c r="F11561" t="s">
        <v>29372</v>
      </c>
      <c r="G11561" t="s">
        <v>29380</v>
      </c>
      <c r="H11561" t="s">
        <v>29389</v>
      </c>
      <c r="I11561" t="s">
        <v>10408</v>
      </c>
      <c r="J11561" t="s">
        <v>30161</v>
      </c>
      <c r="K11561" t="s">
        <v>38485</v>
      </c>
      <c r="M11561" t="s">
        <v>38871</v>
      </c>
      <c r="N11561" t="s">
        <v>42669</v>
      </c>
      <c r="O11561" t="s">
        <v>42670</v>
      </c>
      <c r="Q11561">
        <v>0</v>
      </c>
      <c r="R11561" t="s">
        <v>42686</v>
      </c>
      <c r="S11561" t="s">
        <v>43376</v>
      </c>
      <c r="T11561" t="s">
        <v>44393</v>
      </c>
      <c r="U11561" t="s">
        <v>54257</v>
      </c>
      <c r="W11561" t="s">
        <v>38871</v>
      </c>
      <c r="X11561" t="s">
        <v>42689</v>
      </c>
    </row>
    <row r="11562" spans="1:24">
      <c r="A11562">
        <f>HYPERLINK("https://www.philgeps.gov.ph/GEPSNONPILOT/Tender/SplashBidNoticeAbstractUI.aspx?menuIndex=3&amp;refID=7164072&amp;Result=3","7164072")</f>
        <v>0</v>
      </c>
      <c r="B11562" t="s">
        <v>1242</v>
      </c>
      <c r="C11562" t="s">
        <v>14583</v>
      </c>
      <c r="D11562" t="s">
        <v>17183</v>
      </c>
      <c r="E11562" t="s">
        <v>27083</v>
      </c>
      <c r="F11562" t="s">
        <v>29372</v>
      </c>
      <c r="G11562" t="s">
        <v>29380</v>
      </c>
      <c r="H11562" t="s">
        <v>11048</v>
      </c>
      <c r="I11562" t="s">
        <v>3839</v>
      </c>
      <c r="J11562" t="s">
        <v>36830</v>
      </c>
      <c r="K11562" t="s">
        <v>38490</v>
      </c>
      <c r="M11562" t="s">
        <v>42266</v>
      </c>
      <c r="N11562" t="s">
        <v>42669</v>
      </c>
      <c r="O11562" t="s">
        <v>42670</v>
      </c>
      <c r="Q11562">
        <v>4</v>
      </c>
      <c r="R11562" t="s">
        <v>42686</v>
      </c>
      <c r="S11562" t="s">
        <v>43409</v>
      </c>
      <c r="T11562" t="s">
        <v>44568</v>
      </c>
      <c r="U11562" t="s">
        <v>54258</v>
      </c>
      <c r="W11562" t="s">
        <v>42266</v>
      </c>
      <c r="X11562" t="s">
        <v>42689</v>
      </c>
    </row>
    <row r="11563" spans="1:24">
      <c r="A11563">
        <f>HYPERLINK("https://www.philgeps.gov.ph/GEPSNONPILOT/Tender/SplashBidNoticeAbstractUI.aspx?menuIndex=3&amp;refID=7164053&amp;Result=3","7164053")</f>
        <v>0</v>
      </c>
      <c r="B11563" t="s">
        <v>3205</v>
      </c>
      <c r="C11563" t="s">
        <v>14584</v>
      </c>
      <c r="D11563" t="s">
        <v>17154</v>
      </c>
      <c r="E11563" t="s">
        <v>27084</v>
      </c>
      <c r="F11563" t="s">
        <v>29374</v>
      </c>
      <c r="G11563" t="s">
        <v>29380</v>
      </c>
      <c r="H11563" t="s">
        <v>29389</v>
      </c>
      <c r="I11563" t="s">
        <v>10408</v>
      </c>
      <c r="J11563" t="s">
        <v>36831</v>
      </c>
      <c r="K11563" t="s">
        <v>38485</v>
      </c>
      <c r="M11563" t="s">
        <v>42267</v>
      </c>
      <c r="N11563" t="s">
        <v>42669</v>
      </c>
      <c r="O11563" t="s">
        <v>42670</v>
      </c>
      <c r="P11563">
        <v>0</v>
      </c>
      <c r="Q11563">
        <v>0</v>
      </c>
      <c r="R11563" t="s">
        <v>42686</v>
      </c>
      <c r="S11563" t="s">
        <v>43397</v>
      </c>
      <c r="T11563" t="s">
        <v>44412</v>
      </c>
      <c r="U11563" t="s">
        <v>54259</v>
      </c>
      <c r="W11563" t="s">
        <v>42267</v>
      </c>
      <c r="X11563" t="s">
        <v>42689</v>
      </c>
    </row>
    <row r="11564" spans="1:24">
      <c r="A11564">
        <f>HYPERLINK("https://www.philgeps.gov.ph/GEPSNONPILOT/Tender/SplashBidNoticeAbstractUI.aspx?menuIndex=3&amp;refID=7164044&amp;Result=3","7164044")</f>
        <v>0</v>
      </c>
      <c r="B11564" t="s">
        <v>3205</v>
      </c>
      <c r="C11564" t="s">
        <v>14585</v>
      </c>
      <c r="D11564" t="s">
        <v>17154</v>
      </c>
      <c r="E11564" t="s">
        <v>27085</v>
      </c>
      <c r="F11564" t="s">
        <v>29372</v>
      </c>
      <c r="G11564" t="s">
        <v>29380</v>
      </c>
      <c r="H11564" t="s">
        <v>11048</v>
      </c>
      <c r="I11564" t="s">
        <v>9469</v>
      </c>
      <c r="J11564" t="s">
        <v>30308</v>
      </c>
      <c r="K11564" t="s">
        <v>38518</v>
      </c>
      <c r="M11564" t="s">
        <v>42267</v>
      </c>
      <c r="N11564" t="s">
        <v>42669</v>
      </c>
      <c r="O11564" t="s">
        <v>42670</v>
      </c>
      <c r="P11564">
        <v>0</v>
      </c>
      <c r="Q11564">
        <v>13</v>
      </c>
      <c r="R11564" t="s">
        <v>42686</v>
      </c>
      <c r="S11564" t="s">
        <v>43397</v>
      </c>
      <c r="T11564" t="s">
        <v>44816</v>
      </c>
      <c r="U11564" t="s">
        <v>54260</v>
      </c>
      <c r="W11564" t="s">
        <v>42267</v>
      </c>
      <c r="X11564" t="s">
        <v>42689</v>
      </c>
    </row>
    <row r="11565" spans="1:24">
      <c r="A11565">
        <f>HYPERLINK("https://www.philgeps.gov.ph/GEPSNONPILOT/Tender/SplashBidNoticeAbstractUI.aspx?menuIndex=3&amp;refID=7164316&amp;Result=3","7164316")</f>
        <v>0</v>
      </c>
      <c r="B11565" t="s">
        <v>1399</v>
      </c>
      <c r="C11565" t="s">
        <v>14586</v>
      </c>
      <c r="D11565" t="s">
        <v>17168</v>
      </c>
      <c r="E11565" t="s">
        <v>17434</v>
      </c>
      <c r="F11565" t="s">
        <v>29372</v>
      </c>
      <c r="G11565" t="s">
        <v>29380</v>
      </c>
      <c r="H11565" t="s">
        <v>11048</v>
      </c>
      <c r="I11565" t="s">
        <v>4709</v>
      </c>
      <c r="J11565" t="s">
        <v>36832</v>
      </c>
      <c r="K11565" t="s">
        <v>38510</v>
      </c>
      <c r="M11565" t="s">
        <v>40238</v>
      </c>
      <c r="N11565" t="s">
        <v>42669</v>
      </c>
      <c r="O11565" t="s">
        <v>42670</v>
      </c>
      <c r="P11565">
        <v>0</v>
      </c>
      <c r="Q11565">
        <v>3</v>
      </c>
      <c r="R11565" t="s">
        <v>42686</v>
      </c>
      <c r="S11565" t="s">
        <v>43397</v>
      </c>
      <c r="T11565" t="s">
        <v>44366</v>
      </c>
      <c r="U11565" t="s">
        <v>45484</v>
      </c>
      <c r="W11565" t="s">
        <v>40238</v>
      </c>
      <c r="X11565" t="s">
        <v>42688</v>
      </c>
    </row>
    <row r="11566" spans="1:24">
      <c r="A11566">
        <f>HYPERLINK("https://www.philgeps.gov.ph/GEPSNONPILOT/Tender/SplashBidNoticeAbstractUI.aspx?menuIndex=3&amp;refID=7163996&amp;Result=3","7163996")</f>
        <v>0</v>
      </c>
      <c r="B11566" t="s">
        <v>2851</v>
      </c>
      <c r="C11566" t="s">
        <v>14587</v>
      </c>
      <c r="D11566" t="s">
        <v>17186</v>
      </c>
      <c r="E11566" t="s">
        <v>27086</v>
      </c>
      <c r="F11566" t="s">
        <v>29372</v>
      </c>
      <c r="G11566" t="s">
        <v>29380</v>
      </c>
      <c r="H11566" t="s">
        <v>11048</v>
      </c>
      <c r="I11566" t="s">
        <v>4709</v>
      </c>
      <c r="J11566" t="s">
        <v>36833</v>
      </c>
      <c r="K11566" t="s">
        <v>38495</v>
      </c>
      <c r="M11566" t="s">
        <v>41844</v>
      </c>
      <c r="N11566" t="s">
        <v>42669</v>
      </c>
      <c r="O11566" t="s">
        <v>42670</v>
      </c>
      <c r="Q11566">
        <v>2</v>
      </c>
      <c r="R11566" t="s">
        <v>42686</v>
      </c>
      <c r="S11566" t="s">
        <v>43410</v>
      </c>
      <c r="T11566" t="s">
        <v>44412</v>
      </c>
      <c r="U11566" t="s">
        <v>54261</v>
      </c>
      <c r="W11566" t="s">
        <v>58101</v>
      </c>
      <c r="X11566" t="s">
        <v>42689</v>
      </c>
    </row>
    <row r="11567" spans="1:24">
      <c r="A11567">
        <f>HYPERLINK("https://www.philgeps.gov.ph/GEPSNONPILOT/Tender/SplashBidNoticeAbstractUI.aspx?menuIndex=3&amp;refID=7163989&amp;Result=3","7163989")</f>
        <v>0</v>
      </c>
      <c r="B11567" t="s">
        <v>170</v>
      </c>
      <c r="C11567" t="s">
        <v>14588</v>
      </c>
      <c r="D11567" t="s">
        <v>17195</v>
      </c>
      <c r="E11567" t="s">
        <v>27087</v>
      </c>
      <c r="F11567" t="s">
        <v>29372</v>
      </c>
      <c r="G11567" t="s">
        <v>29380</v>
      </c>
      <c r="H11567" t="s">
        <v>11048</v>
      </c>
      <c r="I11567" t="s">
        <v>29407</v>
      </c>
      <c r="J11567" t="s">
        <v>29532</v>
      </c>
      <c r="K11567" t="s">
        <v>38495</v>
      </c>
      <c r="M11567" t="s">
        <v>38927</v>
      </c>
      <c r="N11567" t="s">
        <v>42669</v>
      </c>
      <c r="O11567" t="s">
        <v>42670</v>
      </c>
      <c r="P11567">
        <v>0</v>
      </c>
      <c r="Q11567">
        <v>3</v>
      </c>
      <c r="R11567" t="s">
        <v>42686</v>
      </c>
      <c r="S11567" t="s">
        <v>43397</v>
      </c>
      <c r="T11567" t="s">
        <v>44371</v>
      </c>
      <c r="U11567" t="s">
        <v>45170</v>
      </c>
      <c r="W11567" t="s">
        <v>38927</v>
      </c>
      <c r="X11567" t="s">
        <v>42689</v>
      </c>
    </row>
    <row r="11568" spans="1:24">
      <c r="A11568">
        <f>HYPERLINK("https://www.philgeps.gov.ph/GEPSNONPILOT/Tender/SplashBidNoticeAbstractUI.aspx?menuIndex=3&amp;refID=7163963&amp;Result=3","7163963")</f>
        <v>0</v>
      </c>
      <c r="B11568" t="s">
        <v>3206</v>
      </c>
      <c r="C11568" t="s">
        <v>14589</v>
      </c>
      <c r="D11568" t="s">
        <v>17193</v>
      </c>
      <c r="E11568" t="s">
        <v>27088</v>
      </c>
      <c r="F11568" t="s">
        <v>29372</v>
      </c>
      <c r="G11568" t="s">
        <v>29380</v>
      </c>
      <c r="H11568" t="s">
        <v>11048</v>
      </c>
      <c r="I11568" t="s">
        <v>10408</v>
      </c>
      <c r="J11568" t="s">
        <v>29801</v>
      </c>
      <c r="K11568" t="s">
        <v>38496</v>
      </c>
      <c r="M11568" t="s">
        <v>42268</v>
      </c>
      <c r="N11568" t="s">
        <v>42669</v>
      </c>
      <c r="O11568" t="s">
        <v>42670</v>
      </c>
      <c r="P11568">
        <v>0</v>
      </c>
      <c r="Q11568">
        <v>0</v>
      </c>
      <c r="R11568" t="s">
        <v>42686</v>
      </c>
      <c r="S11568" t="s">
        <v>43397</v>
      </c>
      <c r="T11568" t="s">
        <v>44466</v>
      </c>
      <c r="U11568" t="s">
        <v>54262</v>
      </c>
      <c r="V11568" t="s">
        <v>57657</v>
      </c>
      <c r="W11568" t="s">
        <v>42268</v>
      </c>
      <c r="X11568" t="s">
        <v>42689</v>
      </c>
    </row>
    <row r="11569" spans="1:24">
      <c r="A11569">
        <f>HYPERLINK("https://www.philgeps.gov.ph/GEPSNONPILOT/Tender/SplashBidNoticeAbstractUI.aspx?menuIndex=3&amp;refID=7163962&amp;Result=3","7163962")</f>
        <v>0</v>
      </c>
      <c r="B11569" t="s">
        <v>2630</v>
      </c>
      <c r="C11569" t="s">
        <v>14590</v>
      </c>
      <c r="D11569" t="s">
        <v>17186</v>
      </c>
      <c r="E11569" t="s">
        <v>27089</v>
      </c>
      <c r="F11569" t="s">
        <v>29372</v>
      </c>
      <c r="G11569" t="s">
        <v>29380</v>
      </c>
      <c r="H11569" t="s">
        <v>11048</v>
      </c>
      <c r="I11569" t="s">
        <v>8614</v>
      </c>
      <c r="J11569" t="s">
        <v>36834</v>
      </c>
      <c r="K11569" t="s">
        <v>38485</v>
      </c>
      <c r="M11569" t="s">
        <v>41602</v>
      </c>
      <c r="N11569" t="s">
        <v>42669</v>
      </c>
      <c r="O11569" t="s">
        <v>42670</v>
      </c>
      <c r="P11569">
        <v>0</v>
      </c>
      <c r="Q11569">
        <v>7</v>
      </c>
      <c r="R11569" t="s">
        <v>42686</v>
      </c>
      <c r="S11569" t="s">
        <v>43397</v>
      </c>
      <c r="T11569" t="s">
        <v>44357</v>
      </c>
      <c r="U11569" t="s">
        <v>54263</v>
      </c>
      <c r="W11569" t="s">
        <v>41602</v>
      </c>
      <c r="X11569" t="s">
        <v>42689</v>
      </c>
    </row>
    <row r="11570" spans="1:24">
      <c r="A11570">
        <f>HYPERLINK("https://www.philgeps.gov.ph/GEPSNONPILOT/Tender/SplashBidNoticeAbstractUI.aspx?menuIndex=3&amp;refID=7163943&amp;Result=3","7163943")</f>
        <v>0</v>
      </c>
      <c r="B11570" t="s">
        <v>170</v>
      </c>
      <c r="C11570" t="s">
        <v>14591</v>
      </c>
      <c r="D11570" t="s">
        <v>17195</v>
      </c>
      <c r="E11570" t="s">
        <v>27090</v>
      </c>
      <c r="F11570" t="s">
        <v>29372</v>
      </c>
      <c r="G11570" t="s">
        <v>29380</v>
      </c>
      <c r="H11570" t="s">
        <v>11048</v>
      </c>
      <c r="I11570" t="s">
        <v>29394</v>
      </c>
      <c r="J11570" t="s">
        <v>30412</v>
      </c>
      <c r="K11570" t="s">
        <v>38495</v>
      </c>
      <c r="M11570" t="s">
        <v>38927</v>
      </c>
      <c r="N11570" t="s">
        <v>42669</v>
      </c>
      <c r="O11570" t="s">
        <v>42670</v>
      </c>
      <c r="P11570">
        <v>0</v>
      </c>
      <c r="Q11570">
        <v>1</v>
      </c>
      <c r="R11570" t="s">
        <v>42686</v>
      </c>
      <c r="S11570" t="s">
        <v>43397</v>
      </c>
      <c r="T11570" t="s">
        <v>44470</v>
      </c>
      <c r="U11570" t="s">
        <v>45170</v>
      </c>
      <c r="W11570" t="s">
        <v>38927</v>
      </c>
      <c r="X11570" t="s">
        <v>42689</v>
      </c>
    </row>
    <row r="11571" spans="1:24">
      <c r="A11571">
        <f>HYPERLINK("https://www.philgeps.gov.ph/GEPSNONPILOT/Tender/SplashBidNoticeAbstractUI.aspx?menuIndex=3&amp;refID=7163957&amp;Result=3","7163957")</f>
        <v>0</v>
      </c>
      <c r="B11571" t="s">
        <v>1355</v>
      </c>
      <c r="C11571" t="s">
        <v>14592</v>
      </c>
      <c r="D11571" t="s">
        <v>17160</v>
      </c>
      <c r="E11571" t="s">
        <v>27091</v>
      </c>
      <c r="F11571" t="s">
        <v>29372</v>
      </c>
      <c r="G11571" t="s">
        <v>29380</v>
      </c>
      <c r="H11571" t="s">
        <v>29389</v>
      </c>
      <c r="I11571" t="s">
        <v>10408</v>
      </c>
      <c r="J11571" t="s">
        <v>36835</v>
      </c>
      <c r="K11571" t="s">
        <v>38732</v>
      </c>
      <c r="M11571" t="s">
        <v>40192</v>
      </c>
      <c r="N11571" t="s">
        <v>42669</v>
      </c>
      <c r="O11571" t="s">
        <v>42670</v>
      </c>
      <c r="P11571">
        <v>0</v>
      </c>
      <c r="Q11571">
        <v>6</v>
      </c>
      <c r="R11571" t="s">
        <v>42686</v>
      </c>
      <c r="S11571" t="s">
        <v>43397</v>
      </c>
      <c r="T11571" t="s">
        <v>44517</v>
      </c>
      <c r="U11571" t="s">
        <v>54264</v>
      </c>
      <c r="V11571" t="s">
        <v>57658</v>
      </c>
      <c r="W11571" t="s">
        <v>40192</v>
      </c>
      <c r="X11571" t="s">
        <v>42689</v>
      </c>
    </row>
    <row r="11572" spans="1:24">
      <c r="A11572">
        <f>HYPERLINK("https://www.philgeps.gov.ph/GEPSNONPILOT/Tender/SplashBidNoticeAbstractUI.aspx?menuIndex=3&amp;refID=7163459&amp;Result=3","7163459")</f>
        <v>0</v>
      </c>
      <c r="B11572" t="s">
        <v>808</v>
      </c>
      <c r="C11572" t="s">
        <v>14593</v>
      </c>
      <c r="E11572" t="s">
        <v>27092</v>
      </c>
      <c r="F11572" t="s">
        <v>29372</v>
      </c>
      <c r="G11572" t="s">
        <v>29379</v>
      </c>
      <c r="H11572" t="s">
        <v>11048</v>
      </c>
      <c r="I11572" t="s">
        <v>29415</v>
      </c>
      <c r="J11572" t="s">
        <v>29729</v>
      </c>
      <c r="K11572" t="s">
        <v>38488</v>
      </c>
      <c r="M11572" t="s">
        <v>39594</v>
      </c>
      <c r="N11572" t="s">
        <v>42669</v>
      </c>
      <c r="O11572" t="s">
        <v>42670</v>
      </c>
      <c r="Q11572">
        <v>5</v>
      </c>
      <c r="R11572" t="s">
        <v>42686</v>
      </c>
      <c r="S11572" t="s">
        <v>43411</v>
      </c>
      <c r="T11572" t="s">
        <v>44488</v>
      </c>
      <c r="U11572" t="s">
        <v>54265</v>
      </c>
      <c r="W11572" t="s">
        <v>39594</v>
      </c>
      <c r="X11572" t="s">
        <v>42689</v>
      </c>
    </row>
    <row r="11573" spans="1:24">
      <c r="A11573">
        <f>HYPERLINK("https://www.philgeps.gov.ph/GEPSNONPILOT/Tender/SplashBidNoticeAbstractUI.aspx?menuIndex=3&amp;refID=7163260&amp;Result=3","7163260")</f>
        <v>0</v>
      </c>
      <c r="B11573" t="s">
        <v>1383</v>
      </c>
      <c r="C11573" t="s">
        <v>14594</v>
      </c>
      <c r="D11573" t="s">
        <v>17169</v>
      </c>
      <c r="E11573" t="s">
        <v>27093</v>
      </c>
      <c r="F11573" t="s">
        <v>29372</v>
      </c>
      <c r="G11573" t="s">
        <v>29380</v>
      </c>
      <c r="H11573" t="s">
        <v>11048</v>
      </c>
      <c r="I11573" t="s">
        <v>9469</v>
      </c>
      <c r="J11573" t="s">
        <v>36836</v>
      </c>
      <c r="K11573" t="s">
        <v>38533</v>
      </c>
      <c r="M11573" t="s">
        <v>40220</v>
      </c>
      <c r="N11573" t="s">
        <v>42669</v>
      </c>
      <c r="O11573" t="s">
        <v>42670</v>
      </c>
      <c r="Q11573">
        <v>55</v>
      </c>
      <c r="R11573" t="s">
        <v>42686</v>
      </c>
      <c r="S11573" t="s">
        <v>43412</v>
      </c>
      <c r="T11573" t="s">
        <v>44817</v>
      </c>
      <c r="U11573" t="s">
        <v>54266</v>
      </c>
      <c r="V11573" t="s">
        <v>57659</v>
      </c>
      <c r="W11573" t="s">
        <v>40220</v>
      </c>
      <c r="X11573" t="s">
        <v>42689</v>
      </c>
    </row>
    <row r="11574" spans="1:24">
      <c r="A11574">
        <f>HYPERLINK("https://www.philgeps.gov.ph/GEPSNONPILOT/Tender/SplashBidNoticeAbstractUI.aspx?menuIndex=3&amp;refID=7163994&amp;Result=3","7163994")</f>
        <v>0</v>
      </c>
      <c r="B11574" t="s">
        <v>1242</v>
      </c>
      <c r="C11574" t="s">
        <v>14595</v>
      </c>
      <c r="D11574" t="s">
        <v>17183</v>
      </c>
      <c r="E11574" t="s">
        <v>27094</v>
      </c>
      <c r="F11574" t="s">
        <v>29372</v>
      </c>
      <c r="G11574" t="s">
        <v>29380</v>
      </c>
      <c r="H11574" t="s">
        <v>29389</v>
      </c>
      <c r="I11574" t="s">
        <v>10408</v>
      </c>
      <c r="J11574" t="s">
        <v>36837</v>
      </c>
      <c r="K11574" t="s">
        <v>38490</v>
      </c>
      <c r="M11574" t="s">
        <v>42266</v>
      </c>
      <c r="N11574" t="s">
        <v>42669</v>
      </c>
      <c r="O11574" t="s">
        <v>42670</v>
      </c>
      <c r="Q11574">
        <v>3</v>
      </c>
      <c r="R11574" t="s">
        <v>42686</v>
      </c>
      <c r="S11574" t="s">
        <v>43382</v>
      </c>
      <c r="T11574" t="s">
        <v>44568</v>
      </c>
      <c r="U11574" t="s">
        <v>54267</v>
      </c>
      <c r="W11574" t="s">
        <v>42266</v>
      </c>
      <c r="X11574" t="s">
        <v>42689</v>
      </c>
    </row>
    <row r="11575" spans="1:24">
      <c r="A11575">
        <f>HYPERLINK("https://www.philgeps.gov.ph/GEPSNONPILOT/Tender/SplashBidNoticeAbstractUI.aspx?menuIndex=3&amp;refID=7163203&amp;Result=3","7163203")</f>
        <v>0</v>
      </c>
      <c r="B11575" t="s">
        <v>662</v>
      </c>
      <c r="C11575" t="s">
        <v>14596</v>
      </c>
      <c r="D11575" t="s">
        <v>17211</v>
      </c>
      <c r="E11575" t="s">
        <v>27095</v>
      </c>
      <c r="F11575" t="s">
        <v>29372</v>
      </c>
      <c r="G11575" t="s">
        <v>29380</v>
      </c>
      <c r="H11575" t="s">
        <v>11048</v>
      </c>
      <c r="I11575" t="s">
        <v>29423</v>
      </c>
      <c r="J11575" t="s">
        <v>29543</v>
      </c>
      <c r="K11575" t="s">
        <v>38496</v>
      </c>
      <c r="M11575" t="s">
        <v>39438</v>
      </c>
      <c r="N11575" t="s">
        <v>42669</v>
      </c>
      <c r="O11575" t="s">
        <v>42670</v>
      </c>
      <c r="P11575">
        <v>0</v>
      </c>
      <c r="Q11575">
        <v>3</v>
      </c>
      <c r="R11575" t="s">
        <v>42686</v>
      </c>
      <c r="S11575" t="s">
        <v>43397</v>
      </c>
      <c r="T11575" t="s">
        <v>44357</v>
      </c>
      <c r="U11575" t="s">
        <v>54268</v>
      </c>
      <c r="W11575" t="s">
        <v>39438</v>
      </c>
      <c r="X11575" t="s">
        <v>42689</v>
      </c>
    </row>
    <row r="11576" spans="1:24">
      <c r="A11576">
        <f>HYPERLINK("https://www.philgeps.gov.ph/GEPSNONPILOT/Tender/SplashBidNoticeAbstractUI.aspx?menuIndex=3&amp;refID=7163954&amp;Result=3","7163954")</f>
        <v>0</v>
      </c>
      <c r="B11576" t="s">
        <v>2851</v>
      </c>
      <c r="C11576" t="s">
        <v>14597</v>
      </c>
      <c r="D11576" t="s">
        <v>17186</v>
      </c>
      <c r="E11576" t="s">
        <v>27096</v>
      </c>
      <c r="F11576" t="s">
        <v>29372</v>
      </c>
      <c r="G11576" t="s">
        <v>29380</v>
      </c>
      <c r="H11576" t="s">
        <v>11048</v>
      </c>
      <c r="I11576" t="s">
        <v>4709</v>
      </c>
      <c r="J11576" t="s">
        <v>36838</v>
      </c>
      <c r="K11576" t="s">
        <v>38518</v>
      </c>
      <c r="M11576" t="s">
        <v>41844</v>
      </c>
      <c r="N11576" t="s">
        <v>42669</v>
      </c>
      <c r="O11576" t="s">
        <v>42670</v>
      </c>
      <c r="Q11576">
        <v>0</v>
      </c>
      <c r="R11576" t="s">
        <v>42686</v>
      </c>
      <c r="S11576" t="s">
        <v>43413</v>
      </c>
      <c r="T11576" t="s">
        <v>44412</v>
      </c>
      <c r="U11576" t="s">
        <v>54269</v>
      </c>
      <c r="W11576" t="s">
        <v>58101</v>
      </c>
      <c r="X11576" t="s">
        <v>42689</v>
      </c>
    </row>
    <row r="11577" spans="1:24">
      <c r="A11577">
        <f>HYPERLINK("https://www.philgeps.gov.ph/GEPSNONPILOT/Tender/SplashBidNoticeAbstractUI.aspx?menuIndex=3&amp;refID=7164027&amp;Result=3","7164027")</f>
        <v>0</v>
      </c>
      <c r="B11577" t="s">
        <v>1242</v>
      </c>
      <c r="C11577" t="s">
        <v>14598</v>
      </c>
      <c r="D11577" t="s">
        <v>17183</v>
      </c>
      <c r="E11577" t="s">
        <v>27097</v>
      </c>
      <c r="F11577" t="s">
        <v>29372</v>
      </c>
      <c r="G11577" t="s">
        <v>29380</v>
      </c>
      <c r="H11577" t="s">
        <v>11048</v>
      </c>
      <c r="I11577" t="s">
        <v>29414</v>
      </c>
      <c r="J11577" t="s">
        <v>36839</v>
      </c>
      <c r="K11577" t="s">
        <v>38490</v>
      </c>
      <c r="M11577" t="s">
        <v>42266</v>
      </c>
      <c r="N11577" t="s">
        <v>42669</v>
      </c>
      <c r="O11577" t="s">
        <v>42670</v>
      </c>
      <c r="Q11577">
        <v>40</v>
      </c>
      <c r="R11577" t="s">
        <v>42686</v>
      </c>
      <c r="S11577" t="s">
        <v>43414</v>
      </c>
      <c r="T11577" t="s">
        <v>44568</v>
      </c>
      <c r="U11577" t="s">
        <v>54270</v>
      </c>
      <c r="W11577" t="s">
        <v>42266</v>
      </c>
      <c r="X11577" t="s">
        <v>42689</v>
      </c>
    </row>
    <row r="11578" spans="1:24">
      <c r="A11578">
        <f>HYPERLINK("https://www.philgeps.gov.ph/GEPSNONPILOT/Tender/SplashBidNoticeAbstractUI.aspx?menuIndex=3&amp;refID=7163342&amp;Result=3","7163342")</f>
        <v>0</v>
      </c>
      <c r="B11578" t="s">
        <v>1287</v>
      </c>
      <c r="C11578" t="s">
        <v>14599</v>
      </c>
      <c r="D11578" t="s">
        <v>17194</v>
      </c>
      <c r="E11578" t="s">
        <v>27098</v>
      </c>
      <c r="F11578" t="s">
        <v>29372</v>
      </c>
      <c r="G11578" t="s">
        <v>29380</v>
      </c>
      <c r="H11578" t="s">
        <v>11048</v>
      </c>
      <c r="I11578" t="s">
        <v>29404</v>
      </c>
      <c r="J11578" t="s">
        <v>36621</v>
      </c>
      <c r="K11578" t="s">
        <v>38496</v>
      </c>
      <c r="M11578" t="s">
        <v>40724</v>
      </c>
      <c r="N11578" t="s">
        <v>42669</v>
      </c>
      <c r="O11578" t="s">
        <v>42670</v>
      </c>
      <c r="Q11578">
        <v>1</v>
      </c>
      <c r="R11578" t="s">
        <v>42686</v>
      </c>
      <c r="S11578" t="s">
        <v>43415</v>
      </c>
      <c r="T11578" t="s">
        <v>44366</v>
      </c>
      <c r="U11578" t="s">
        <v>54271</v>
      </c>
      <c r="W11578" t="s">
        <v>40724</v>
      </c>
      <c r="X11578" t="s">
        <v>42689</v>
      </c>
    </row>
    <row r="11579" spans="1:24">
      <c r="A11579">
        <f>HYPERLINK("https://www.philgeps.gov.ph/GEPSNONPILOT/Tender/SplashBidNoticeAbstractUI.aspx?menuIndex=3&amp;refID=7164560&amp;Result=3","7164560")</f>
        <v>0</v>
      </c>
      <c r="B11579" t="s">
        <v>3207</v>
      </c>
      <c r="C11579" t="s">
        <v>14600</v>
      </c>
      <c r="D11579" t="s">
        <v>17192</v>
      </c>
      <c r="E11579" t="s">
        <v>27099</v>
      </c>
      <c r="F11579" t="s">
        <v>29372</v>
      </c>
      <c r="G11579" t="s">
        <v>29380</v>
      </c>
      <c r="H11579" t="s">
        <v>29389</v>
      </c>
      <c r="I11579" t="s">
        <v>29408</v>
      </c>
      <c r="J11579" t="s">
        <v>36840</v>
      </c>
      <c r="K11579" t="s">
        <v>38522</v>
      </c>
      <c r="M11579" t="s">
        <v>42269</v>
      </c>
      <c r="N11579" t="s">
        <v>42669</v>
      </c>
      <c r="O11579" t="s">
        <v>42670</v>
      </c>
      <c r="P11579">
        <v>0</v>
      </c>
      <c r="Q11579">
        <v>4</v>
      </c>
      <c r="R11579" t="s">
        <v>42686</v>
      </c>
      <c r="S11579" t="s">
        <v>43397</v>
      </c>
      <c r="T11579" t="s">
        <v>44480</v>
      </c>
      <c r="U11579" t="s">
        <v>54272</v>
      </c>
      <c r="V11579" t="s">
        <v>57660</v>
      </c>
      <c r="W11579" t="s">
        <v>42269</v>
      </c>
      <c r="X11579" t="s">
        <v>42688</v>
      </c>
    </row>
    <row r="11580" spans="1:24">
      <c r="A11580">
        <f>HYPERLINK("https://www.philgeps.gov.ph/GEPSNONPILOT/Tender/SplashBidNoticeAbstractUI.aspx?menuIndex=3&amp;refID=7164553&amp;Result=3","7164553")</f>
        <v>0</v>
      </c>
      <c r="B11580" t="s">
        <v>2606</v>
      </c>
      <c r="C11580" t="s">
        <v>14601</v>
      </c>
      <c r="D11580" t="s">
        <v>17187</v>
      </c>
      <c r="E11580" t="s">
        <v>27100</v>
      </c>
      <c r="F11580" t="s">
        <v>29372</v>
      </c>
      <c r="G11580" t="s">
        <v>29380</v>
      </c>
      <c r="H11580" t="s">
        <v>11048</v>
      </c>
      <c r="I11580" t="s">
        <v>3670</v>
      </c>
      <c r="J11580" t="s">
        <v>29774</v>
      </c>
      <c r="K11580" t="s">
        <v>38485</v>
      </c>
      <c r="M11580" t="s">
        <v>41575</v>
      </c>
      <c r="N11580" t="s">
        <v>42669</v>
      </c>
      <c r="O11580" t="s">
        <v>42670</v>
      </c>
      <c r="P11580">
        <v>0</v>
      </c>
      <c r="Q11580">
        <v>9</v>
      </c>
      <c r="R11580" t="s">
        <v>42686</v>
      </c>
      <c r="S11580" t="s">
        <v>43397</v>
      </c>
      <c r="T11580" t="s">
        <v>44527</v>
      </c>
      <c r="U11580" t="s">
        <v>54273</v>
      </c>
      <c r="W11580" t="s">
        <v>41575</v>
      </c>
      <c r="X11580" t="s">
        <v>42688</v>
      </c>
    </row>
    <row r="11581" spans="1:24">
      <c r="A11581">
        <f>HYPERLINK("https://www.philgeps.gov.ph/GEPSNONPILOT/Tender/SplashBidNoticeAbstractUI.aspx?menuIndex=3&amp;refID=7164074&amp;Result=3","7164074")</f>
        <v>0</v>
      </c>
      <c r="B11581" t="s">
        <v>1242</v>
      </c>
      <c r="C11581" t="s">
        <v>14602</v>
      </c>
      <c r="D11581" t="s">
        <v>17183</v>
      </c>
      <c r="E11581" t="s">
        <v>27101</v>
      </c>
      <c r="F11581" t="s">
        <v>29372</v>
      </c>
      <c r="G11581" t="s">
        <v>29380</v>
      </c>
      <c r="H11581" t="s">
        <v>11048</v>
      </c>
      <c r="I11581" t="s">
        <v>9642</v>
      </c>
      <c r="J11581" t="s">
        <v>36841</v>
      </c>
      <c r="K11581" t="s">
        <v>38490</v>
      </c>
      <c r="M11581" t="s">
        <v>42266</v>
      </c>
      <c r="N11581" t="s">
        <v>42669</v>
      </c>
      <c r="O11581" t="s">
        <v>42670</v>
      </c>
      <c r="Q11581">
        <v>8</v>
      </c>
      <c r="R11581" t="s">
        <v>42686</v>
      </c>
      <c r="S11581" t="s">
        <v>43416</v>
      </c>
      <c r="T11581" t="s">
        <v>44568</v>
      </c>
      <c r="U11581" t="s">
        <v>54274</v>
      </c>
      <c r="W11581" t="s">
        <v>42266</v>
      </c>
      <c r="X11581" t="s">
        <v>42689</v>
      </c>
    </row>
    <row r="11582" spans="1:24">
      <c r="A11582">
        <f>HYPERLINK("https://www.philgeps.gov.ph/GEPSNONPILOT/Tender/SplashBidNoticeAbstractUI.aspx?menuIndex=3&amp;refID=7164547&amp;Result=3","7164547")</f>
        <v>0</v>
      </c>
      <c r="B11582" t="s">
        <v>2606</v>
      </c>
      <c r="C11582" t="s">
        <v>14603</v>
      </c>
      <c r="D11582" t="s">
        <v>17187</v>
      </c>
      <c r="E11582" t="s">
        <v>27102</v>
      </c>
      <c r="F11582" t="s">
        <v>29372</v>
      </c>
      <c r="G11582" t="s">
        <v>29380</v>
      </c>
      <c r="H11582" t="s">
        <v>11048</v>
      </c>
      <c r="I11582" t="s">
        <v>9469</v>
      </c>
      <c r="J11582" t="s">
        <v>31893</v>
      </c>
      <c r="K11582" t="s">
        <v>38515</v>
      </c>
      <c r="M11582" t="s">
        <v>41575</v>
      </c>
      <c r="N11582" t="s">
        <v>42669</v>
      </c>
      <c r="O11582" t="s">
        <v>42670</v>
      </c>
      <c r="P11582">
        <v>0</v>
      </c>
      <c r="Q11582">
        <v>6</v>
      </c>
      <c r="R11582" t="s">
        <v>42686</v>
      </c>
      <c r="S11582" t="s">
        <v>43397</v>
      </c>
      <c r="T11582" t="s">
        <v>44527</v>
      </c>
      <c r="U11582" t="s">
        <v>54275</v>
      </c>
      <c r="W11582" t="s">
        <v>41575</v>
      </c>
      <c r="X11582" t="s">
        <v>42688</v>
      </c>
    </row>
    <row r="11583" spans="1:24">
      <c r="A11583">
        <f>HYPERLINK("https://www.philgeps.gov.ph/GEPSNONPILOT/Tender/SplashBidNoticeAbstractUI.aspx?menuIndex=3&amp;refID=7164539&amp;Result=3","7164539")</f>
        <v>0</v>
      </c>
      <c r="B11583" t="s">
        <v>2606</v>
      </c>
      <c r="C11583" t="s">
        <v>14604</v>
      </c>
      <c r="D11583" t="s">
        <v>17187</v>
      </c>
      <c r="E11583" t="s">
        <v>24555</v>
      </c>
      <c r="F11583" t="s">
        <v>29372</v>
      </c>
      <c r="G11583" t="s">
        <v>29380</v>
      </c>
      <c r="H11583" t="s">
        <v>11048</v>
      </c>
      <c r="I11583" t="s">
        <v>29407</v>
      </c>
      <c r="J11583" t="s">
        <v>29543</v>
      </c>
      <c r="K11583" t="s">
        <v>38485</v>
      </c>
      <c r="M11583" t="s">
        <v>41575</v>
      </c>
      <c r="N11583" t="s">
        <v>42669</v>
      </c>
      <c r="O11583" t="s">
        <v>42670</v>
      </c>
      <c r="P11583">
        <v>0</v>
      </c>
      <c r="Q11583">
        <v>7</v>
      </c>
      <c r="R11583" t="s">
        <v>42686</v>
      </c>
      <c r="S11583" t="s">
        <v>43397</v>
      </c>
      <c r="T11583" t="s">
        <v>44527</v>
      </c>
      <c r="U11583" t="s">
        <v>54276</v>
      </c>
      <c r="W11583" t="s">
        <v>41575</v>
      </c>
      <c r="X11583" t="s">
        <v>42688</v>
      </c>
    </row>
    <row r="11584" spans="1:24">
      <c r="A11584">
        <f>HYPERLINK("https://www.philgeps.gov.ph/GEPSNONPILOT/Tender/SplashBidNoticeAbstractUI.aspx?menuIndex=3&amp;refID=7164542&amp;Result=3","7164542")</f>
        <v>0</v>
      </c>
      <c r="B11584" t="s">
        <v>2606</v>
      </c>
      <c r="C11584" t="s">
        <v>14605</v>
      </c>
      <c r="D11584" t="s">
        <v>17187</v>
      </c>
      <c r="E11584" t="s">
        <v>27103</v>
      </c>
      <c r="F11584" t="s">
        <v>29372</v>
      </c>
      <c r="G11584" t="s">
        <v>29380</v>
      </c>
      <c r="H11584" t="s">
        <v>11048</v>
      </c>
      <c r="I11584" t="s">
        <v>3670</v>
      </c>
      <c r="J11584" t="s">
        <v>29609</v>
      </c>
      <c r="K11584" t="s">
        <v>38485</v>
      </c>
      <c r="M11584" t="s">
        <v>41575</v>
      </c>
      <c r="N11584" t="s">
        <v>42669</v>
      </c>
      <c r="O11584" t="s">
        <v>42670</v>
      </c>
      <c r="P11584">
        <v>0</v>
      </c>
      <c r="Q11584">
        <v>8</v>
      </c>
      <c r="R11584" t="s">
        <v>42686</v>
      </c>
      <c r="S11584" t="s">
        <v>43397</v>
      </c>
      <c r="T11584" t="s">
        <v>44527</v>
      </c>
      <c r="U11584" t="s">
        <v>54277</v>
      </c>
      <c r="W11584" t="s">
        <v>41575</v>
      </c>
      <c r="X11584" t="s">
        <v>42688</v>
      </c>
    </row>
    <row r="11585" spans="1:24">
      <c r="A11585">
        <f>HYPERLINK("https://www.philgeps.gov.ph/GEPSNONPILOT/Tender/SplashBidNoticeAbstractUI.aspx?menuIndex=3&amp;refID=7164456&amp;Result=3","7164456")</f>
        <v>0</v>
      </c>
      <c r="B11585" t="s">
        <v>3075</v>
      </c>
      <c r="C11585" t="s">
        <v>14606</v>
      </c>
      <c r="D11585" t="s">
        <v>17176</v>
      </c>
      <c r="E11585" t="s">
        <v>14606</v>
      </c>
      <c r="F11585" t="s">
        <v>29372</v>
      </c>
      <c r="G11585" t="s">
        <v>29380</v>
      </c>
      <c r="H11585" t="s">
        <v>29389</v>
      </c>
      <c r="I11585" t="s">
        <v>10408</v>
      </c>
      <c r="J11585" t="s">
        <v>36842</v>
      </c>
      <c r="K11585" t="s">
        <v>38602</v>
      </c>
      <c r="M11585" t="s">
        <v>42104</v>
      </c>
      <c r="N11585" t="s">
        <v>42669</v>
      </c>
      <c r="O11585" t="s">
        <v>42670</v>
      </c>
      <c r="Q11585">
        <v>3</v>
      </c>
      <c r="R11585" t="s">
        <v>42686</v>
      </c>
      <c r="S11585" t="s">
        <v>43417</v>
      </c>
      <c r="T11585" t="s">
        <v>44373</v>
      </c>
      <c r="U11585" t="s">
        <v>54278</v>
      </c>
      <c r="W11585" t="s">
        <v>42104</v>
      </c>
      <c r="X11585" t="s">
        <v>42688</v>
      </c>
    </row>
    <row r="11586" spans="1:24">
      <c r="A11586">
        <f>HYPERLINK("https://www.philgeps.gov.ph/GEPSNONPILOT/Tender/SplashBidNoticeAbstractUI.aspx?menuIndex=3&amp;refID=7164508&amp;Result=3","7164508")</f>
        <v>0</v>
      </c>
      <c r="B11586" t="s">
        <v>2606</v>
      </c>
      <c r="C11586" t="s">
        <v>14607</v>
      </c>
      <c r="D11586" t="s">
        <v>17187</v>
      </c>
      <c r="E11586" t="s">
        <v>24559</v>
      </c>
      <c r="F11586" t="s">
        <v>29372</v>
      </c>
      <c r="G11586" t="s">
        <v>29380</v>
      </c>
      <c r="H11586" t="s">
        <v>11048</v>
      </c>
      <c r="I11586" t="s">
        <v>29398</v>
      </c>
      <c r="J11586" t="s">
        <v>29937</v>
      </c>
      <c r="K11586" t="s">
        <v>38485</v>
      </c>
      <c r="M11586" t="s">
        <v>41575</v>
      </c>
      <c r="N11586" t="s">
        <v>42669</v>
      </c>
      <c r="O11586" t="s">
        <v>42670</v>
      </c>
      <c r="P11586">
        <v>0</v>
      </c>
      <c r="Q11586">
        <v>1</v>
      </c>
      <c r="R11586" t="s">
        <v>42686</v>
      </c>
      <c r="S11586" t="s">
        <v>43397</v>
      </c>
      <c r="T11586" t="s">
        <v>44527</v>
      </c>
      <c r="U11586" t="s">
        <v>54279</v>
      </c>
      <c r="W11586" t="s">
        <v>41575</v>
      </c>
      <c r="X11586" t="s">
        <v>42688</v>
      </c>
    </row>
    <row r="11587" spans="1:24">
      <c r="A11587">
        <f>HYPERLINK("https://www.philgeps.gov.ph/GEPSNONPILOT/Tender/SplashBidNoticeAbstractUI.aspx?menuIndex=3&amp;refID=7164452&amp;Result=3","7164452")</f>
        <v>0</v>
      </c>
      <c r="B11587" t="s">
        <v>895</v>
      </c>
      <c r="C11587" t="s">
        <v>14608</v>
      </c>
      <c r="D11587" t="s">
        <v>17197</v>
      </c>
      <c r="E11587" t="s">
        <v>18616</v>
      </c>
      <c r="F11587" t="s">
        <v>29372</v>
      </c>
      <c r="G11587" t="s">
        <v>29380</v>
      </c>
      <c r="H11587" t="s">
        <v>29390</v>
      </c>
      <c r="I11587" t="s">
        <v>29400</v>
      </c>
      <c r="J11587" t="s">
        <v>30244</v>
      </c>
      <c r="K11587" t="s">
        <v>38487</v>
      </c>
      <c r="M11587" t="s">
        <v>42270</v>
      </c>
      <c r="N11587" t="s">
        <v>42669</v>
      </c>
      <c r="O11587" t="s">
        <v>42670</v>
      </c>
      <c r="Q11587">
        <v>26</v>
      </c>
      <c r="R11587" t="s">
        <v>42686</v>
      </c>
      <c r="S11587" t="s">
        <v>43418</v>
      </c>
      <c r="T11587" t="s">
        <v>44417</v>
      </c>
      <c r="U11587" t="s">
        <v>54280</v>
      </c>
      <c r="W11587" t="s">
        <v>42270</v>
      </c>
      <c r="X11587" t="s">
        <v>42688</v>
      </c>
    </row>
    <row r="11588" spans="1:24">
      <c r="A11588">
        <f>HYPERLINK("https://www.philgeps.gov.ph/GEPSNONPILOT/Tender/SplashBidNoticeAbstractUI.aspx?menuIndex=3&amp;refID=7164494&amp;Result=3","7164494")</f>
        <v>0</v>
      </c>
      <c r="B11588" t="s">
        <v>2606</v>
      </c>
      <c r="C11588" t="s">
        <v>14609</v>
      </c>
      <c r="D11588" t="s">
        <v>17187</v>
      </c>
      <c r="E11588" t="s">
        <v>24545</v>
      </c>
      <c r="F11588" t="s">
        <v>29372</v>
      </c>
      <c r="G11588" t="s">
        <v>29380</v>
      </c>
      <c r="H11588" t="s">
        <v>11048</v>
      </c>
      <c r="I11588" t="s">
        <v>29407</v>
      </c>
      <c r="J11588" t="s">
        <v>29724</v>
      </c>
      <c r="K11588" t="s">
        <v>38485</v>
      </c>
      <c r="M11588" t="s">
        <v>41575</v>
      </c>
      <c r="N11588" t="s">
        <v>42669</v>
      </c>
      <c r="O11588" t="s">
        <v>42670</v>
      </c>
      <c r="P11588">
        <v>0</v>
      </c>
      <c r="Q11588">
        <v>8</v>
      </c>
      <c r="R11588" t="s">
        <v>42686</v>
      </c>
      <c r="S11588" t="s">
        <v>43397</v>
      </c>
      <c r="T11588" t="s">
        <v>44527</v>
      </c>
      <c r="U11588" t="s">
        <v>54281</v>
      </c>
      <c r="W11588" t="s">
        <v>41575</v>
      </c>
      <c r="X11588" t="s">
        <v>42688</v>
      </c>
    </row>
    <row r="11589" spans="1:24">
      <c r="A11589">
        <f>HYPERLINK("https://www.philgeps.gov.ph/GEPSNONPILOT/Tender/SplashBidNoticeAbstractUI.aspx?menuIndex=3&amp;refID=7164448&amp;Result=3","7164448")</f>
        <v>0</v>
      </c>
      <c r="B11589" t="s">
        <v>3075</v>
      </c>
      <c r="C11589" t="s">
        <v>14610</v>
      </c>
      <c r="E11589" t="s">
        <v>27104</v>
      </c>
      <c r="F11589" t="s">
        <v>29372</v>
      </c>
      <c r="G11589" t="s">
        <v>29380</v>
      </c>
      <c r="H11589" t="s">
        <v>29389</v>
      </c>
      <c r="I11589" t="s">
        <v>10408</v>
      </c>
      <c r="J11589" t="s">
        <v>36843</v>
      </c>
      <c r="K11589" t="s">
        <v>38733</v>
      </c>
      <c r="M11589" t="s">
        <v>42104</v>
      </c>
      <c r="N11589" t="s">
        <v>42669</v>
      </c>
      <c r="O11589" t="s">
        <v>42670</v>
      </c>
      <c r="Q11589">
        <v>3</v>
      </c>
      <c r="R11589" t="s">
        <v>42686</v>
      </c>
      <c r="S11589" t="s">
        <v>43419</v>
      </c>
      <c r="T11589" t="s">
        <v>44818</v>
      </c>
      <c r="U11589" t="s">
        <v>54282</v>
      </c>
      <c r="W11589" t="s">
        <v>42104</v>
      </c>
      <c r="X11589" t="s">
        <v>42688</v>
      </c>
    </row>
    <row r="11590" spans="1:24">
      <c r="A11590">
        <f>HYPERLINK("https://www.philgeps.gov.ph/GEPSNONPILOT/Tender/SplashBidNoticeAbstractUI.aspx?menuIndex=3&amp;refID=7163302&amp;Result=3","7163302")</f>
        <v>0</v>
      </c>
      <c r="B11590" t="s">
        <v>3208</v>
      </c>
      <c r="C11590" t="s">
        <v>3728</v>
      </c>
      <c r="E11590" t="s">
        <v>17870</v>
      </c>
      <c r="F11590" t="s">
        <v>29375</v>
      </c>
      <c r="G11590" t="s">
        <v>29380</v>
      </c>
      <c r="H11590" t="s">
        <v>11048</v>
      </c>
      <c r="I11590" t="s">
        <v>4709</v>
      </c>
      <c r="J11590" t="s">
        <v>36844</v>
      </c>
      <c r="K11590" t="s">
        <v>38490</v>
      </c>
      <c r="M11590" t="s">
        <v>42271</v>
      </c>
      <c r="N11590" t="s">
        <v>42669</v>
      </c>
      <c r="O11590" t="s">
        <v>42670</v>
      </c>
      <c r="P11590">
        <v>0</v>
      </c>
      <c r="Q11590">
        <v>0</v>
      </c>
      <c r="R11590" t="s">
        <v>42686</v>
      </c>
      <c r="S11590" t="s">
        <v>43397</v>
      </c>
      <c r="T11590" t="s">
        <v>44551</v>
      </c>
      <c r="U11590" t="s">
        <v>54283</v>
      </c>
      <c r="W11590" t="s">
        <v>42271</v>
      </c>
      <c r="X11590" t="s">
        <v>42689</v>
      </c>
    </row>
    <row r="11591" spans="1:24">
      <c r="A11591">
        <f>HYPERLINK("https://www.philgeps.gov.ph/GEPSNONPILOT/Tender/SplashBidNoticeAbstractUI.aspx?menuIndex=3&amp;refID=7164446&amp;Result=3","7164446")</f>
        <v>0</v>
      </c>
      <c r="B11591" t="s">
        <v>895</v>
      </c>
      <c r="C11591" t="s">
        <v>14611</v>
      </c>
      <c r="D11591" t="s">
        <v>17197</v>
      </c>
      <c r="E11591" t="s">
        <v>18607</v>
      </c>
      <c r="F11591" t="s">
        <v>29372</v>
      </c>
      <c r="G11591" t="s">
        <v>29380</v>
      </c>
      <c r="H11591" t="s">
        <v>29390</v>
      </c>
      <c r="I11591" t="s">
        <v>29400</v>
      </c>
      <c r="J11591" t="s">
        <v>35005</v>
      </c>
      <c r="K11591" t="s">
        <v>38487</v>
      </c>
      <c r="M11591" t="s">
        <v>42270</v>
      </c>
      <c r="N11591" t="s">
        <v>42669</v>
      </c>
      <c r="O11591" t="s">
        <v>42670</v>
      </c>
      <c r="Q11591">
        <v>27</v>
      </c>
      <c r="R11591" t="s">
        <v>42686</v>
      </c>
      <c r="S11591" t="s">
        <v>43420</v>
      </c>
      <c r="T11591" t="s">
        <v>44417</v>
      </c>
      <c r="U11591" t="s">
        <v>54284</v>
      </c>
      <c r="W11591" t="s">
        <v>42270</v>
      </c>
      <c r="X11591" t="s">
        <v>42688</v>
      </c>
    </row>
    <row r="11592" spans="1:24">
      <c r="A11592">
        <f>HYPERLINK("https://www.philgeps.gov.ph/GEPSNONPILOT/Tender/SplashBidNoticeAbstractUI.aspx?menuIndex=3&amp;refID=7164444&amp;Result=3","7164444")</f>
        <v>0</v>
      </c>
      <c r="B11592" t="s">
        <v>3075</v>
      </c>
      <c r="C11592" t="s">
        <v>14612</v>
      </c>
      <c r="D11592" t="s">
        <v>17176</v>
      </c>
      <c r="E11592" t="s">
        <v>14612</v>
      </c>
      <c r="F11592" t="s">
        <v>29372</v>
      </c>
      <c r="G11592" t="s">
        <v>29380</v>
      </c>
      <c r="H11592" t="s">
        <v>29389</v>
      </c>
      <c r="I11592" t="s">
        <v>10408</v>
      </c>
      <c r="J11592" t="s">
        <v>36845</v>
      </c>
      <c r="K11592" t="s">
        <v>38734</v>
      </c>
      <c r="M11592" t="s">
        <v>42104</v>
      </c>
      <c r="N11592" t="s">
        <v>42669</v>
      </c>
      <c r="O11592" t="s">
        <v>42670</v>
      </c>
      <c r="Q11592">
        <v>1</v>
      </c>
      <c r="R11592" t="s">
        <v>42686</v>
      </c>
      <c r="S11592" t="s">
        <v>43421</v>
      </c>
      <c r="T11592" t="s">
        <v>44818</v>
      </c>
      <c r="U11592" t="s">
        <v>54285</v>
      </c>
      <c r="W11592" t="s">
        <v>42104</v>
      </c>
      <c r="X11592" t="s">
        <v>42688</v>
      </c>
    </row>
    <row r="11593" spans="1:24">
      <c r="A11593">
        <f>HYPERLINK("https://www.philgeps.gov.ph/GEPSNONPILOT/Tender/SplashBidNoticeAbstractUI.aspx?menuIndex=3&amp;refID=7164439&amp;Result=3","7164439")</f>
        <v>0</v>
      </c>
      <c r="B11593" t="s">
        <v>3075</v>
      </c>
      <c r="C11593" t="s">
        <v>14613</v>
      </c>
      <c r="D11593" t="s">
        <v>17176</v>
      </c>
      <c r="E11593" t="s">
        <v>14613</v>
      </c>
      <c r="F11593" t="s">
        <v>29372</v>
      </c>
      <c r="G11593" t="s">
        <v>29380</v>
      </c>
      <c r="H11593" t="s">
        <v>29389</v>
      </c>
      <c r="I11593" t="s">
        <v>10408</v>
      </c>
      <c r="J11593" t="s">
        <v>36846</v>
      </c>
      <c r="K11593" t="s">
        <v>38563</v>
      </c>
      <c r="M11593" t="s">
        <v>42104</v>
      </c>
      <c r="N11593" t="s">
        <v>42669</v>
      </c>
      <c r="O11593" t="s">
        <v>42670</v>
      </c>
      <c r="Q11593">
        <v>0</v>
      </c>
      <c r="R11593" t="s">
        <v>42686</v>
      </c>
      <c r="S11593" t="s">
        <v>43422</v>
      </c>
      <c r="T11593" t="s">
        <v>44818</v>
      </c>
      <c r="U11593" t="s">
        <v>54286</v>
      </c>
      <c r="W11593" t="s">
        <v>42104</v>
      </c>
      <c r="X11593" t="s">
        <v>42688</v>
      </c>
    </row>
    <row r="11594" spans="1:24">
      <c r="A11594">
        <f>HYPERLINK("https://www.philgeps.gov.ph/GEPSNONPILOT/Tender/SplashBidNoticeAbstractUI.aspx?menuIndex=3&amp;refID=7164432&amp;Result=3","7164432")</f>
        <v>0</v>
      </c>
      <c r="B11594" t="s">
        <v>3209</v>
      </c>
      <c r="C11594" t="s">
        <v>14614</v>
      </c>
      <c r="D11594" t="s">
        <v>17160</v>
      </c>
      <c r="E11594" t="s">
        <v>27105</v>
      </c>
      <c r="F11594" t="s">
        <v>29372</v>
      </c>
      <c r="G11594" t="s">
        <v>29380</v>
      </c>
      <c r="H11594" t="s">
        <v>29389</v>
      </c>
      <c r="I11594" t="s">
        <v>10408</v>
      </c>
      <c r="J11594" t="s">
        <v>36847</v>
      </c>
      <c r="K11594" t="s">
        <v>38535</v>
      </c>
      <c r="M11594" t="s">
        <v>42272</v>
      </c>
      <c r="N11594" t="s">
        <v>42669</v>
      </c>
      <c r="O11594" t="s">
        <v>42670</v>
      </c>
      <c r="P11594">
        <v>0</v>
      </c>
      <c r="Q11594">
        <v>0</v>
      </c>
      <c r="R11594" t="s">
        <v>42686</v>
      </c>
      <c r="S11594" t="s">
        <v>43397</v>
      </c>
      <c r="T11594" t="s">
        <v>44357</v>
      </c>
      <c r="U11594" t="s">
        <v>54287</v>
      </c>
      <c r="V11594" t="s">
        <v>57661</v>
      </c>
      <c r="W11594" t="s">
        <v>42272</v>
      </c>
      <c r="X11594" t="s">
        <v>42688</v>
      </c>
    </row>
    <row r="11595" spans="1:24">
      <c r="A11595">
        <f>HYPERLINK("https://www.philgeps.gov.ph/GEPSNONPILOT/Tender/SplashBidNoticeAbstractUI.aspx?menuIndex=3&amp;refID=7164348&amp;Result=3","7164348")</f>
        <v>0</v>
      </c>
      <c r="B11595" t="s">
        <v>278</v>
      </c>
      <c r="C11595" t="s">
        <v>14615</v>
      </c>
      <c r="D11595" t="s">
        <v>17206</v>
      </c>
      <c r="E11595" t="s">
        <v>27106</v>
      </c>
      <c r="F11595" t="s">
        <v>29372</v>
      </c>
      <c r="G11595" t="s">
        <v>29380</v>
      </c>
      <c r="H11595" t="s">
        <v>29389</v>
      </c>
      <c r="I11595" t="s">
        <v>10408</v>
      </c>
      <c r="J11595" t="s">
        <v>36848</v>
      </c>
      <c r="K11595" t="s">
        <v>38496</v>
      </c>
      <c r="M11595" t="s">
        <v>39710</v>
      </c>
      <c r="N11595" t="s">
        <v>42669</v>
      </c>
      <c r="O11595" t="s">
        <v>42670</v>
      </c>
      <c r="Q11595">
        <v>9</v>
      </c>
      <c r="R11595" t="s">
        <v>42686</v>
      </c>
      <c r="S11595" t="s">
        <v>43423</v>
      </c>
      <c r="T11595" t="s">
        <v>44366</v>
      </c>
      <c r="U11595" t="s">
        <v>54288</v>
      </c>
      <c r="W11595" t="s">
        <v>39710</v>
      </c>
      <c r="X11595" t="s">
        <v>42688</v>
      </c>
    </row>
    <row r="11596" spans="1:24">
      <c r="A11596">
        <f>HYPERLINK("https://www.philgeps.gov.ph/GEPSNONPILOT/Tender/SplashBidNoticeAbstractUI.aspx?menuIndex=3&amp;refID=7164451&amp;Result=3","7164451")</f>
        <v>0</v>
      </c>
      <c r="B11596" t="s">
        <v>3075</v>
      </c>
      <c r="C11596" t="s">
        <v>14616</v>
      </c>
      <c r="E11596" t="s">
        <v>14616</v>
      </c>
      <c r="F11596" t="s">
        <v>29372</v>
      </c>
      <c r="G11596" t="s">
        <v>29380</v>
      </c>
      <c r="H11596" t="s">
        <v>29389</v>
      </c>
      <c r="I11596" t="s">
        <v>10408</v>
      </c>
      <c r="J11596" t="s">
        <v>36849</v>
      </c>
      <c r="K11596" t="s">
        <v>38490</v>
      </c>
      <c r="M11596" t="s">
        <v>42104</v>
      </c>
      <c r="N11596" t="s">
        <v>42669</v>
      </c>
      <c r="O11596" t="s">
        <v>42670</v>
      </c>
      <c r="Q11596">
        <v>2</v>
      </c>
      <c r="R11596" t="s">
        <v>42686</v>
      </c>
      <c r="S11596" t="s">
        <v>43343</v>
      </c>
      <c r="T11596" t="s">
        <v>44818</v>
      </c>
      <c r="U11596" t="s">
        <v>54289</v>
      </c>
      <c r="W11596" t="s">
        <v>42104</v>
      </c>
      <c r="X11596" t="s">
        <v>42688</v>
      </c>
    </row>
    <row r="11597" spans="1:24">
      <c r="A11597">
        <f>HYPERLINK("https://www.philgeps.gov.ph/GEPSNONPILOT/Tender/SplashBidNoticeAbstractUI.aspx?menuIndex=3&amp;refID=7164550&amp;Result=3","7164550")</f>
        <v>0</v>
      </c>
      <c r="B11597" t="s">
        <v>2606</v>
      </c>
      <c r="C11597" t="s">
        <v>14617</v>
      </c>
      <c r="D11597" t="s">
        <v>17187</v>
      </c>
      <c r="E11597" t="s">
        <v>27107</v>
      </c>
      <c r="F11597" t="s">
        <v>29372</v>
      </c>
      <c r="G11597" t="s">
        <v>29380</v>
      </c>
      <c r="H11597" t="s">
        <v>11048</v>
      </c>
      <c r="I11597" t="s">
        <v>9469</v>
      </c>
      <c r="J11597" t="s">
        <v>30056</v>
      </c>
      <c r="K11597" t="s">
        <v>38485</v>
      </c>
      <c r="M11597" t="s">
        <v>41575</v>
      </c>
      <c r="N11597" t="s">
        <v>42669</v>
      </c>
      <c r="O11597" t="s">
        <v>42670</v>
      </c>
      <c r="P11597">
        <v>0</v>
      </c>
      <c r="Q11597">
        <v>8</v>
      </c>
      <c r="R11597" t="s">
        <v>42686</v>
      </c>
      <c r="S11597" t="s">
        <v>43397</v>
      </c>
      <c r="T11597" t="s">
        <v>44527</v>
      </c>
      <c r="U11597" t="s">
        <v>54290</v>
      </c>
      <c r="W11597" t="s">
        <v>41575</v>
      </c>
      <c r="X11597" t="s">
        <v>42688</v>
      </c>
    </row>
    <row r="11598" spans="1:24">
      <c r="A11598">
        <f>HYPERLINK("https://www.philgeps.gov.ph/GEPSNONPILOT/Tender/SplashBidNoticeAbstractUI.aspx?menuIndex=3&amp;refID=7163197&amp;Result=3","7163197")</f>
        <v>0</v>
      </c>
      <c r="B11598" t="s">
        <v>3210</v>
      </c>
      <c r="C11598" t="s">
        <v>14618</v>
      </c>
      <c r="D11598" t="s">
        <v>17160</v>
      </c>
      <c r="E11598" t="s">
        <v>27108</v>
      </c>
      <c r="F11598" t="s">
        <v>29375</v>
      </c>
      <c r="G11598" t="s">
        <v>29380</v>
      </c>
      <c r="H11598" t="s">
        <v>29389</v>
      </c>
      <c r="I11598" t="s">
        <v>10408</v>
      </c>
      <c r="J11598" t="s">
        <v>29619</v>
      </c>
      <c r="K11598" t="s">
        <v>38485</v>
      </c>
      <c r="M11598" t="s">
        <v>42273</v>
      </c>
      <c r="N11598" t="s">
        <v>42669</v>
      </c>
      <c r="O11598" t="s">
        <v>42670</v>
      </c>
      <c r="P11598">
        <v>0</v>
      </c>
      <c r="Q11598">
        <v>1</v>
      </c>
      <c r="R11598" t="s">
        <v>42686</v>
      </c>
      <c r="S11598" t="s">
        <v>43397</v>
      </c>
      <c r="T11598" t="s">
        <v>44426</v>
      </c>
      <c r="U11598" t="s">
        <v>54291</v>
      </c>
      <c r="W11598" t="s">
        <v>42273</v>
      </c>
      <c r="X11598" t="s">
        <v>42689</v>
      </c>
    </row>
    <row r="11599" spans="1:24">
      <c r="A11599">
        <f>HYPERLINK("https://www.philgeps.gov.ph/GEPSNONPILOT/Tender/SplashBidNoticeAbstractUI.aspx?menuIndex=3&amp;refID=7163174&amp;Result=3","7163174")</f>
        <v>0</v>
      </c>
      <c r="B11599" t="s">
        <v>2055</v>
      </c>
      <c r="C11599" t="s">
        <v>14619</v>
      </c>
      <c r="D11599" t="s">
        <v>17222</v>
      </c>
      <c r="E11599" t="s">
        <v>27109</v>
      </c>
      <c r="F11599" t="s">
        <v>29372</v>
      </c>
      <c r="G11599" t="s">
        <v>29383</v>
      </c>
      <c r="H11599" t="s">
        <v>11048</v>
      </c>
      <c r="I11599" t="s">
        <v>29408</v>
      </c>
      <c r="J11599" t="s">
        <v>36850</v>
      </c>
      <c r="K11599" t="s">
        <v>38488</v>
      </c>
      <c r="M11599" t="s">
        <v>40953</v>
      </c>
      <c r="N11599" t="s">
        <v>42669</v>
      </c>
      <c r="O11599" t="s">
        <v>42670</v>
      </c>
      <c r="P11599">
        <v>0</v>
      </c>
      <c r="Q11599">
        <v>1</v>
      </c>
      <c r="R11599" t="s">
        <v>42686</v>
      </c>
      <c r="S11599" t="s">
        <v>43397</v>
      </c>
      <c r="T11599" t="s">
        <v>44398</v>
      </c>
      <c r="U11599" t="s">
        <v>54292</v>
      </c>
      <c r="W11599" t="s">
        <v>40953</v>
      </c>
      <c r="X11599" t="s">
        <v>42689</v>
      </c>
    </row>
    <row r="11600" spans="1:24">
      <c r="A11600">
        <f>HYPERLINK("https://www.philgeps.gov.ph/GEPSNONPILOT/Tender/SplashBidNoticeAbstractUI.aspx?menuIndex=3&amp;refID=7164462&amp;Result=3","7164462")</f>
        <v>0</v>
      </c>
      <c r="B11600" t="s">
        <v>3075</v>
      </c>
      <c r="C11600" t="s">
        <v>14620</v>
      </c>
      <c r="D11600" t="s">
        <v>17176</v>
      </c>
      <c r="E11600" t="s">
        <v>27110</v>
      </c>
      <c r="F11600" t="s">
        <v>29372</v>
      </c>
      <c r="G11600" t="s">
        <v>29380</v>
      </c>
      <c r="H11600" t="s">
        <v>29389</v>
      </c>
      <c r="I11600" t="s">
        <v>10408</v>
      </c>
      <c r="J11600" t="s">
        <v>36851</v>
      </c>
      <c r="K11600" t="s">
        <v>38735</v>
      </c>
      <c r="M11600" t="s">
        <v>42104</v>
      </c>
      <c r="N11600" t="s">
        <v>42669</v>
      </c>
      <c r="O11600" t="s">
        <v>42670</v>
      </c>
      <c r="P11600">
        <v>0</v>
      </c>
      <c r="Q11600">
        <v>0</v>
      </c>
      <c r="R11600" t="s">
        <v>42686</v>
      </c>
      <c r="S11600" t="s">
        <v>43397</v>
      </c>
      <c r="T11600" t="s">
        <v>44373</v>
      </c>
      <c r="U11600" t="s">
        <v>54293</v>
      </c>
      <c r="W11600" t="s">
        <v>42104</v>
      </c>
      <c r="X11600" t="s">
        <v>42688</v>
      </c>
    </row>
    <row r="11601" spans="1:24">
      <c r="A11601">
        <f>HYPERLINK("https://www.philgeps.gov.ph/GEPSNONPILOT/Tender/SplashBidNoticeAbstractUI.aspx?menuIndex=3&amp;refID=7163145&amp;Result=3","7163145")</f>
        <v>0</v>
      </c>
      <c r="B11601" t="s">
        <v>3211</v>
      </c>
      <c r="C11601" t="s">
        <v>14621</v>
      </c>
      <c r="D11601" t="s">
        <v>17197</v>
      </c>
      <c r="E11601" t="s">
        <v>27111</v>
      </c>
      <c r="F11601" t="s">
        <v>29372</v>
      </c>
      <c r="G11601" t="s">
        <v>29380</v>
      </c>
      <c r="H11601" t="s">
        <v>29389</v>
      </c>
      <c r="I11601" t="s">
        <v>10408</v>
      </c>
      <c r="J11601" t="s">
        <v>36852</v>
      </c>
      <c r="K11601" t="s">
        <v>38554</v>
      </c>
      <c r="M11601" t="s">
        <v>42274</v>
      </c>
      <c r="N11601" t="s">
        <v>42669</v>
      </c>
      <c r="O11601" t="s">
        <v>42670</v>
      </c>
      <c r="P11601">
        <v>0</v>
      </c>
      <c r="Q11601">
        <v>2</v>
      </c>
      <c r="R11601" t="s">
        <v>42686</v>
      </c>
      <c r="S11601" t="s">
        <v>43397</v>
      </c>
      <c r="T11601" t="s">
        <v>44412</v>
      </c>
      <c r="U11601" t="s">
        <v>54294</v>
      </c>
      <c r="W11601" t="s">
        <v>42274</v>
      </c>
      <c r="X11601" t="s">
        <v>42689</v>
      </c>
    </row>
    <row r="11602" spans="1:24">
      <c r="A11602">
        <f>HYPERLINK("https://www.philgeps.gov.ph/GEPSNONPILOT/Tender/SplashBidNoticeAbstractUI.aspx?menuIndex=3&amp;refID=7164426&amp;Result=3","7164426")</f>
        <v>0</v>
      </c>
      <c r="B11602" t="s">
        <v>3209</v>
      </c>
      <c r="C11602" t="s">
        <v>14622</v>
      </c>
      <c r="D11602" t="s">
        <v>17160</v>
      </c>
      <c r="E11602" t="s">
        <v>27112</v>
      </c>
      <c r="F11602" t="s">
        <v>29372</v>
      </c>
      <c r="G11602" t="s">
        <v>29380</v>
      </c>
      <c r="H11602" t="s">
        <v>11048</v>
      </c>
      <c r="I11602" t="s">
        <v>4709</v>
      </c>
      <c r="J11602" t="s">
        <v>36853</v>
      </c>
      <c r="K11602" t="s">
        <v>38488</v>
      </c>
      <c r="M11602" t="s">
        <v>42272</v>
      </c>
      <c r="N11602" t="s">
        <v>42669</v>
      </c>
      <c r="O11602" t="s">
        <v>42670</v>
      </c>
      <c r="P11602">
        <v>0</v>
      </c>
      <c r="Q11602">
        <v>0</v>
      </c>
      <c r="R11602" t="s">
        <v>42686</v>
      </c>
      <c r="S11602" t="s">
        <v>43397</v>
      </c>
      <c r="T11602" t="s">
        <v>44357</v>
      </c>
      <c r="U11602" t="s">
        <v>54295</v>
      </c>
      <c r="V11602" t="s">
        <v>57661</v>
      </c>
      <c r="W11602" t="s">
        <v>42272</v>
      </c>
      <c r="X11602" t="s">
        <v>42688</v>
      </c>
    </row>
    <row r="11603" spans="1:24">
      <c r="A11603">
        <f>HYPERLINK("https://www.philgeps.gov.ph/GEPSNONPILOT/Tender/SplashBidNoticeAbstractUI.aspx?menuIndex=3&amp;refID=7163101&amp;Result=3","7163101")</f>
        <v>0</v>
      </c>
      <c r="B11603" t="s">
        <v>2002</v>
      </c>
      <c r="C11603" t="s">
        <v>14623</v>
      </c>
      <c r="D11603" t="s">
        <v>17153</v>
      </c>
      <c r="E11603" t="s">
        <v>27113</v>
      </c>
      <c r="F11603" t="s">
        <v>29372</v>
      </c>
      <c r="G11603" t="s">
        <v>29380</v>
      </c>
      <c r="H11603" t="s">
        <v>29389</v>
      </c>
      <c r="I11603" t="s">
        <v>10408</v>
      </c>
      <c r="J11603" t="s">
        <v>29587</v>
      </c>
      <c r="K11603" t="s">
        <v>38535</v>
      </c>
      <c r="M11603" t="s">
        <v>40892</v>
      </c>
      <c r="N11603" t="s">
        <v>42669</v>
      </c>
      <c r="O11603" t="s">
        <v>42670</v>
      </c>
      <c r="P11603">
        <v>0</v>
      </c>
      <c r="Q11603">
        <v>0</v>
      </c>
      <c r="R11603" t="s">
        <v>42686</v>
      </c>
      <c r="S11603" t="s">
        <v>43397</v>
      </c>
      <c r="T11603" t="s">
        <v>44525</v>
      </c>
      <c r="U11603" t="s">
        <v>54296</v>
      </c>
      <c r="W11603" t="s">
        <v>40892</v>
      </c>
      <c r="X11603" t="s">
        <v>42689</v>
      </c>
    </row>
    <row r="11604" spans="1:24">
      <c r="A11604">
        <f>HYPERLINK("https://www.philgeps.gov.ph/GEPSNONPILOT/Tender/SplashBidNoticeAbstractUI.aspx?menuIndex=3&amp;refID=7164327&amp;Result=3","7164327")</f>
        <v>0</v>
      </c>
      <c r="B11604" t="s">
        <v>1399</v>
      </c>
      <c r="C11604" t="s">
        <v>14624</v>
      </c>
      <c r="D11604" t="s">
        <v>17168</v>
      </c>
      <c r="E11604" t="s">
        <v>19225</v>
      </c>
      <c r="F11604" t="s">
        <v>29372</v>
      </c>
      <c r="G11604" t="s">
        <v>29380</v>
      </c>
      <c r="H11604" t="s">
        <v>11048</v>
      </c>
      <c r="I11604" t="s">
        <v>4709</v>
      </c>
      <c r="J11604" t="s">
        <v>36854</v>
      </c>
      <c r="K11604" t="s">
        <v>38510</v>
      </c>
      <c r="M11604" t="s">
        <v>40238</v>
      </c>
      <c r="N11604" t="s">
        <v>42669</v>
      </c>
      <c r="O11604" t="s">
        <v>42670</v>
      </c>
      <c r="P11604">
        <v>0</v>
      </c>
      <c r="Q11604">
        <v>2</v>
      </c>
      <c r="R11604" t="s">
        <v>42686</v>
      </c>
      <c r="S11604" t="s">
        <v>43397</v>
      </c>
      <c r="T11604" t="s">
        <v>44366</v>
      </c>
      <c r="U11604" t="s">
        <v>45484</v>
      </c>
      <c r="W11604" t="s">
        <v>40238</v>
      </c>
      <c r="X11604" t="s">
        <v>42688</v>
      </c>
    </row>
    <row r="11605" spans="1:24">
      <c r="A11605">
        <f>HYPERLINK("https://www.philgeps.gov.ph/GEPSNONPILOT/Tender/SplashBidNoticeAbstractUI.aspx?menuIndex=3&amp;refID=7163017&amp;Result=3","7163017")</f>
        <v>0</v>
      </c>
      <c r="B11605" t="s">
        <v>3212</v>
      </c>
      <c r="C11605" t="s">
        <v>14625</v>
      </c>
      <c r="D11605" t="s">
        <v>17196</v>
      </c>
      <c r="E11605" t="s">
        <v>27114</v>
      </c>
      <c r="F11605" t="s">
        <v>29372</v>
      </c>
      <c r="G11605" t="s">
        <v>29380</v>
      </c>
      <c r="H11605" t="s">
        <v>29389</v>
      </c>
      <c r="I11605" t="s">
        <v>10408</v>
      </c>
      <c r="J11605" t="s">
        <v>31307</v>
      </c>
      <c r="K11605" t="s">
        <v>38522</v>
      </c>
      <c r="M11605" t="s">
        <v>42275</v>
      </c>
      <c r="N11605" t="s">
        <v>42669</v>
      </c>
      <c r="O11605" t="s">
        <v>42670</v>
      </c>
      <c r="P11605">
        <v>0</v>
      </c>
      <c r="Q11605">
        <v>2</v>
      </c>
      <c r="R11605" t="s">
        <v>42686</v>
      </c>
      <c r="S11605" t="s">
        <v>43397</v>
      </c>
      <c r="T11605" t="s">
        <v>44409</v>
      </c>
      <c r="U11605" t="s">
        <v>54297</v>
      </c>
      <c r="V11605" t="s">
        <v>57662</v>
      </c>
      <c r="W11605" t="s">
        <v>42275</v>
      </c>
      <c r="X11605" t="s">
        <v>42689</v>
      </c>
    </row>
    <row r="11606" spans="1:24">
      <c r="A11606">
        <f>HYPERLINK("https://www.philgeps.gov.ph/GEPSNONPILOT/Tender/SplashBidNoticeAbstractUI.aspx?menuIndex=3&amp;refID=7167330&amp;Result=3","7167330")</f>
        <v>0</v>
      </c>
      <c r="B11606" t="s">
        <v>956</v>
      </c>
      <c r="C11606" t="s">
        <v>14626</v>
      </c>
      <c r="D11606" t="s">
        <v>17141</v>
      </c>
      <c r="E11606" t="s">
        <v>27115</v>
      </c>
      <c r="F11606" t="s">
        <v>29372</v>
      </c>
      <c r="G11606" t="s">
        <v>29380</v>
      </c>
      <c r="H11606" t="s">
        <v>11048</v>
      </c>
      <c r="I11606" t="s">
        <v>29421</v>
      </c>
      <c r="J11606" t="s">
        <v>31498</v>
      </c>
      <c r="K11606" t="s">
        <v>38564</v>
      </c>
      <c r="M11606" t="s">
        <v>41992</v>
      </c>
      <c r="N11606" t="s">
        <v>42669</v>
      </c>
      <c r="O11606" t="s">
        <v>42670</v>
      </c>
      <c r="Q11606">
        <v>9</v>
      </c>
      <c r="R11606" t="s">
        <v>42685</v>
      </c>
      <c r="S11606" t="s">
        <v>43424</v>
      </c>
      <c r="T11606" t="s">
        <v>44527</v>
      </c>
      <c r="U11606" t="s">
        <v>53173</v>
      </c>
      <c r="W11606" t="s">
        <v>41992</v>
      </c>
      <c r="X11606" t="s">
        <v>42686</v>
      </c>
    </row>
    <row r="11607" spans="1:24">
      <c r="A11607">
        <f>HYPERLINK("https://www.philgeps.gov.ph/GEPSNONPILOT/Tender/SplashBidNoticeAbstractUI.aspx?menuIndex=3&amp;refID=7167194&amp;Result=3","7167194")</f>
        <v>0</v>
      </c>
      <c r="B11607" t="s">
        <v>3213</v>
      </c>
      <c r="C11607" t="s">
        <v>14627</v>
      </c>
      <c r="D11607" t="s">
        <v>17141</v>
      </c>
      <c r="E11607" t="s">
        <v>22818</v>
      </c>
      <c r="F11607" t="s">
        <v>29372</v>
      </c>
      <c r="G11607" t="s">
        <v>29380</v>
      </c>
      <c r="H11607" t="s">
        <v>11048</v>
      </c>
      <c r="I11607" t="s">
        <v>10408</v>
      </c>
      <c r="J11607" t="s">
        <v>31195</v>
      </c>
      <c r="K11607" t="s">
        <v>38501</v>
      </c>
      <c r="M11607" t="s">
        <v>42276</v>
      </c>
      <c r="N11607" t="s">
        <v>42669</v>
      </c>
      <c r="O11607" t="s">
        <v>42670</v>
      </c>
      <c r="P11607">
        <v>0</v>
      </c>
      <c r="Q11607">
        <v>14</v>
      </c>
      <c r="R11607" t="s">
        <v>42685</v>
      </c>
      <c r="S11607" t="s">
        <v>43317</v>
      </c>
      <c r="T11607" t="s">
        <v>44357</v>
      </c>
      <c r="U11607" t="s">
        <v>54298</v>
      </c>
      <c r="W11607" t="s">
        <v>42276</v>
      </c>
      <c r="X11607" t="s">
        <v>42686</v>
      </c>
    </row>
    <row r="11608" spans="1:24">
      <c r="A11608">
        <f>HYPERLINK("https://www.philgeps.gov.ph/GEPSNONPILOT/Tender/SplashBidNoticeAbstractUI.aspx?menuIndex=3&amp;refID=7164318&amp;Result=3","7164318")</f>
        <v>0</v>
      </c>
      <c r="B11608" t="s">
        <v>1399</v>
      </c>
      <c r="C11608" t="s">
        <v>14628</v>
      </c>
      <c r="D11608" t="s">
        <v>17168</v>
      </c>
      <c r="E11608" t="s">
        <v>17479</v>
      </c>
      <c r="F11608" t="s">
        <v>29372</v>
      </c>
      <c r="G11608" t="s">
        <v>29380</v>
      </c>
      <c r="H11608" t="s">
        <v>11048</v>
      </c>
      <c r="I11608" t="s">
        <v>4709</v>
      </c>
      <c r="J11608" t="s">
        <v>36855</v>
      </c>
      <c r="K11608" t="s">
        <v>38510</v>
      </c>
      <c r="M11608" t="s">
        <v>40238</v>
      </c>
      <c r="N11608" t="s">
        <v>42669</v>
      </c>
      <c r="O11608" t="s">
        <v>42670</v>
      </c>
      <c r="P11608">
        <v>0</v>
      </c>
      <c r="Q11608">
        <v>2</v>
      </c>
      <c r="R11608" t="s">
        <v>42686</v>
      </c>
      <c r="S11608" t="s">
        <v>43397</v>
      </c>
      <c r="T11608" t="s">
        <v>44366</v>
      </c>
      <c r="U11608" t="s">
        <v>45484</v>
      </c>
      <c r="W11608" t="s">
        <v>40238</v>
      </c>
      <c r="X11608" t="s">
        <v>42688</v>
      </c>
    </row>
    <row r="11609" spans="1:24">
      <c r="A11609">
        <f>HYPERLINK("https://www.philgeps.gov.ph/GEPSNONPILOT/Tender/SplashBidNoticeAbstractUI.aspx?menuIndex=3&amp;refID=7167156&amp;Result=3","7167156")</f>
        <v>0</v>
      </c>
      <c r="B11609" t="s">
        <v>1190</v>
      </c>
      <c r="C11609" t="s">
        <v>14629</v>
      </c>
      <c r="E11609" t="s">
        <v>27116</v>
      </c>
      <c r="F11609" t="s">
        <v>29372</v>
      </c>
      <c r="G11609" t="s">
        <v>29380</v>
      </c>
      <c r="H11609" t="s">
        <v>11048</v>
      </c>
      <c r="I11609" t="s">
        <v>3695</v>
      </c>
      <c r="J11609" t="s">
        <v>36856</v>
      </c>
      <c r="K11609" t="s">
        <v>38490</v>
      </c>
      <c r="M11609" t="s">
        <v>42224</v>
      </c>
      <c r="N11609" t="s">
        <v>42669</v>
      </c>
      <c r="O11609" t="s">
        <v>42670</v>
      </c>
      <c r="Q11609">
        <v>15</v>
      </c>
      <c r="R11609" t="s">
        <v>42685</v>
      </c>
      <c r="S11609" t="s">
        <v>43425</v>
      </c>
      <c r="T11609" t="s">
        <v>44357</v>
      </c>
      <c r="U11609" t="s">
        <v>54122</v>
      </c>
      <c r="W11609" t="s">
        <v>42224</v>
      </c>
      <c r="X11609" t="s">
        <v>42686</v>
      </c>
    </row>
    <row r="11610" spans="1:24">
      <c r="A11610">
        <f>HYPERLINK("https://www.philgeps.gov.ph/GEPSNONPILOT/Tender/SplashBidNoticeAbstractUI.aspx?menuIndex=3&amp;refID=7167339&amp;Result=3","7167339")</f>
        <v>0</v>
      </c>
      <c r="B11610" t="s">
        <v>2648</v>
      </c>
      <c r="C11610" t="s">
        <v>14630</v>
      </c>
      <c r="D11610" t="s">
        <v>17141</v>
      </c>
      <c r="E11610" t="s">
        <v>27117</v>
      </c>
      <c r="F11610" t="s">
        <v>29372</v>
      </c>
      <c r="G11610" t="s">
        <v>29381</v>
      </c>
      <c r="H11610" t="s">
        <v>11048</v>
      </c>
      <c r="I11610" t="s">
        <v>9469</v>
      </c>
      <c r="J11610" t="s">
        <v>29734</v>
      </c>
      <c r="K11610" t="s">
        <v>38485</v>
      </c>
      <c r="M11610" t="s">
        <v>41621</v>
      </c>
      <c r="N11610" t="s">
        <v>42669</v>
      </c>
      <c r="O11610" t="s">
        <v>42670</v>
      </c>
      <c r="Q11610">
        <v>7</v>
      </c>
      <c r="R11610" t="s">
        <v>42685</v>
      </c>
      <c r="S11610" t="s">
        <v>43426</v>
      </c>
      <c r="T11610" t="s">
        <v>44457</v>
      </c>
      <c r="U11610" t="s">
        <v>54299</v>
      </c>
      <c r="V11610" t="s">
        <v>57328</v>
      </c>
      <c r="W11610" t="s">
        <v>41621</v>
      </c>
      <c r="X11610" t="s">
        <v>42686</v>
      </c>
    </row>
    <row r="11611" spans="1:24">
      <c r="A11611">
        <f>HYPERLINK("https://www.philgeps.gov.ph/GEPSNONPILOT/Tender/SplashBidNoticeAbstractUI.aspx?menuIndex=3&amp;refID=7163202&amp;Result=3","7163202")</f>
        <v>0</v>
      </c>
      <c r="B11611" t="s">
        <v>1079</v>
      </c>
      <c r="C11611" t="s">
        <v>14631</v>
      </c>
      <c r="D11611" t="s">
        <v>17181</v>
      </c>
      <c r="E11611" t="s">
        <v>27118</v>
      </c>
      <c r="F11611" t="s">
        <v>29373</v>
      </c>
      <c r="G11611" t="s">
        <v>29380</v>
      </c>
      <c r="H11611" t="s">
        <v>11048</v>
      </c>
      <c r="I11611" t="s">
        <v>29394</v>
      </c>
      <c r="J11611" t="s">
        <v>29729</v>
      </c>
      <c r="K11611" t="s">
        <v>38488</v>
      </c>
      <c r="L11611" t="s">
        <v>1079</v>
      </c>
      <c r="M11611" t="s">
        <v>39886</v>
      </c>
      <c r="N11611" t="s">
        <v>42669</v>
      </c>
      <c r="O11611" t="s">
        <v>42670</v>
      </c>
      <c r="P11611">
        <v>0</v>
      </c>
      <c r="Q11611">
        <v>4</v>
      </c>
      <c r="R11611" t="s">
        <v>42686</v>
      </c>
      <c r="S11611" t="s">
        <v>43397</v>
      </c>
      <c r="T11611" t="s">
        <v>44491</v>
      </c>
      <c r="U11611" t="s">
        <v>54300</v>
      </c>
      <c r="W11611" t="s">
        <v>39886</v>
      </c>
      <c r="X11611" t="s">
        <v>42689</v>
      </c>
    </row>
    <row r="11612" spans="1:24">
      <c r="A11612">
        <f>HYPERLINK("https://www.philgeps.gov.ph/GEPSNONPILOT/Tender/SplashBidNoticeAbstractUI.aspx?menuIndex=3&amp;refID=7167199&amp;Result=3","7167199")</f>
        <v>0</v>
      </c>
      <c r="B11612" t="s">
        <v>1190</v>
      </c>
      <c r="C11612" t="s">
        <v>14632</v>
      </c>
      <c r="E11612" t="s">
        <v>27119</v>
      </c>
      <c r="F11612" t="s">
        <v>29372</v>
      </c>
      <c r="G11612" t="s">
        <v>29380</v>
      </c>
      <c r="H11612" t="s">
        <v>11048</v>
      </c>
      <c r="I11612" t="s">
        <v>3695</v>
      </c>
      <c r="J11612" t="s">
        <v>36857</v>
      </c>
      <c r="K11612" t="s">
        <v>38490</v>
      </c>
      <c r="M11612" t="s">
        <v>42224</v>
      </c>
      <c r="N11612" t="s">
        <v>42669</v>
      </c>
      <c r="O11612" t="s">
        <v>42670</v>
      </c>
      <c r="Q11612">
        <v>20</v>
      </c>
      <c r="R11612" t="s">
        <v>42685</v>
      </c>
      <c r="S11612" t="s">
        <v>43427</v>
      </c>
      <c r="T11612" t="s">
        <v>44357</v>
      </c>
      <c r="U11612" t="s">
        <v>54122</v>
      </c>
      <c r="W11612" t="s">
        <v>42224</v>
      </c>
      <c r="X11612" t="s">
        <v>42686</v>
      </c>
    </row>
    <row r="11613" spans="1:24">
      <c r="A11613">
        <f>HYPERLINK("https://www.philgeps.gov.ph/GEPSNONPILOT/Tender/SplashBidNoticeAbstractUI.aspx?menuIndex=3&amp;refID=7167192&amp;Result=3","7167192")</f>
        <v>0</v>
      </c>
      <c r="B11613" t="s">
        <v>1785</v>
      </c>
      <c r="C11613" t="s">
        <v>14633</v>
      </c>
      <c r="D11613" t="s">
        <v>17188</v>
      </c>
      <c r="E11613" t="s">
        <v>27120</v>
      </c>
      <c r="F11613" t="s">
        <v>29372</v>
      </c>
      <c r="G11613" t="s">
        <v>29380</v>
      </c>
      <c r="H11613" t="s">
        <v>11048</v>
      </c>
      <c r="I11613" t="s">
        <v>4709</v>
      </c>
      <c r="J11613" t="s">
        <v>29587</v>
      </c>
      <c r="K11613" t="s">
        <v>38488</v>
      </c>
      <c r="M11613" t="s">
        <v>40654</v>
      </c>
      <c r="N11613" t="s">
        <v>42669</v>
      </c>
      <c r="O11613" t="s">
        <v>42670</v>
      </c>
      <c r="P11613">
        <v>0</v>
      </c>
      <c r="Q11613">
        <v>0</v>
      </c>
      <c r="R11613" t="s">
        <v>42685</v>
      </c>
      <c r="S11613" t="s">
        <v>43317</v>
      </c>
      <c r="T11613" t="s">
        <v>44373</v>
      </c>
      <c r="U11613" t="s">
        <v>54301</v>
      </c>
      <c r="W11613" t="s">
        <v>40654</v>
      </c>
      <c r="X11613" t="s">
        <v>42686</v>
      </c>
    </row>
    <row r="11614" spans="1:24">
      <c r="A11614">
        <f>HYPERLINK("https://www.philgeps.gov.ph/GEPSNONPILOT/Tender/SplashBidNoticeAbstractUI.aspx?menuIndex=3&amp;refID=7164562&amp;Result=3","7164562")</f>
        <v>0</v>
      </c>
      <c r="B11614" t="s">
        <v>2606</v>
      </c>
      <c r="C11614" t="s">
        <v>14634</v>
      </c>
      <c r="D11614" t="s">
        <v>17187</v>
      </c>
      <c r="E11614" t="s">
        <v>27121</v>
      </c>
      <c r="F11614" t="s">
        <v>29372</v>
      </c>
      <c r="G11614" t="s">
        <v>29386</v>
      </c>
      <c r="H11614" t="s">
        <v>11048</v>
      </c>
      <c r="I11614" t="s">
        <v>29391</v>
      </c>
      <c r="J11614" t="s">
        <v>32295</v>
      </c>
      <c r="K11614" t="s">
        <v>38603</v>
      </c>
      <c r="M11614" t="s">
        <v>41575</v>
      </c>
      <c r="N11614" t="s">
        <v>42669</v>
      </c>
      <c r="O11614" t="s">
        <v>42670</v>
      </c>
      <c r="P11614">
        <v>0</v>
      </c>
      <c r="Q11614">
        <v>4</v>
      </c>
      <c r="R11614" t="s">
        <v>42686</v>
      </c>
      <c r="S11614" t="s">
        <v>43397</v>
      </c>
      <c r="T11614" t="s">
        <v>44527</v>
      </c>
      <c r="U11614" t="s">
        <v>54302</v>
      </c>
      <c r="W11614" t="s">
        <v>41575</v>
      </c>
      <c r="X11614" t="s">
        <v>42688</v>
      </c>
    </row>
    <row r="11615" spans="1:24">
      <c r="A11615">
        <f>HYPERLINK("https://www.philgeps.gov.ph/GEPSNONPILOT/Tender/SplashBidNoticeAbstractUI.aspx?menuIndex=3&amp;refID=7164826&amp;Result=3","7164826")</f>
        <v>0</v>
      </c>
      <c r="B11615" t="s">
        <v>3214</v>
      </c>
      <c r="C11615" t="s">
        <v>14635</v>
      </c>
      <c r="D11615" t="s">
        <v>17151</v>
      </c>
      <c r="E11615" t="s">
        <v>27122</v>
      </c>
      <c r="F11615" t="s">
        <v>29372</v>
      </c>
      <c r="G11615" t="s">
        <v>29380</v>
      </c>
      <c r="H11615" t="s">
        <v>11048</v>
      </c>
      <c r="I11615" t="s">
        <v>29393</v>
      </c>
      <c r="J11615" t="s">
        <v>36858</v>
      </c>
      <c r="K11615" t="s">
        <v>38485</v>
      </c>
      <c r="M11615" t="s">
        <v>42277</v>
      </c>
      <c r="N11615" t="s">
        <v>42669</v>
      </c>
      <c r="O11615" t="s">
        <v>42670</v>
      </c>
      <c r="P11615">
        <v>0</v>
      </c>
      <c r="Q11615">
        <v>1</v>
      </c>
      <c r="R11615" t="s">
        <v>42686</v>
      </c>
      <c r="S11615" t="s">
        <v>43397</v>
      </c>
      <c r="T11615" t="s">
        <v>44398</v>
      </c>
      <c r="U11615" t="s">
        <v>54303</v>
      </c>
      <c r="V11615" t="s">
        <v>57663</v>
      </c>
      <c r="W11615" t="s">
        <v>42277</v>
      </c>
      <c r="X11615" t="s">
        <v>42687</v>
      </c>
    </row>
    <row r="11616" spans="1:24">
      <c r="A11616">
        <f>HYPERLINK("https://www.philgeps.gov.ph/GEPSNONPILOT/Tender/SplashBidNoticeAbstractUI.aspx?menuIndex=3&amp;refID=7164561&amp;Result=3","7164561")</f>
        <v>0</v>
      </c>
      <c r="B11616" t="s">
        <v>2606</v>
      </c>
      <c r="C11616" t="s">
        <v>14636</v>
      </c>
      <c r="D11616" t="s">
        <v>17187</v>
      </c>
      <c r="E11616" t="s">
        <v>27123</v>
      </c>
      <c r="F11616" t="s">
        <v>29372</v>
      </c>
      <c r="G11616" t="s">
        <v>29380</v>
      </c>
      <c r="H11616" t="s">
        <v>11048</v>
      </c>
      <c r="I11616" t="s">
        <v>29419</v>
      </c>
      <c r="J11616" t="s">
        <v>31893</v>
      </c>
      <c r="K11616" t="s">
        <v>38515</v>
      </c>
      <c r="M11616" t="s">
        <v>41575</v>
      </c>
      <c r="N11616" t="s">
        <v>42669</v>
      </c>
      <c r="O11616" t="s">
        <v>42670</v>
      </c>
      <c r="P11616">
        <v>0</v>
      </c>
      <c r="Q11616">
        <v>9</v>
      </c>
      <c r="R11616" t="s">
        <v>42686</v>
      </c>
      <c r="S11616" t="s">
        <v>43397</v>
      </c>
      <c r="T11616" t="s">
        <v>44527</v>
      </c>
      <c r="U11616" t="s">
        <v>54304</v>
      </c>
      <c r="W11616" t="s">
        <v>41575</v>
      </c>
      <c r="X11616" t="s">
        <v>42688</v>
      </c>
    </row>
    <row r="11617" spans="1:24">
      <c r="A11617">
        <f>HYPERLINK("https://www.philgeps.gov.ph/GEPSNONPILOT/Tender/SplashBidNoticeAbstractUI.aspx?menuIndex=3&amp;refID=7164822&amp;Result=3","7164822")</f>
        <v>0</v>
      </c>
      <c r="B11617" t="s">
        <v>2252</v>
      </c>
      <c r="C11617" t="s">
        <v>14637</v>
      </c>
      <c r="D11617" t="s">
        <v>17183</v>
      </c>
      <c r="E11617" t="s">
        <v>27124</v>
      </c>
      <c r="F11617" t="s">
        <v>29372</v>
      </c>
      <c r="G11617" t="s">
        <v>29380</v>
      </c>
      <c r="H11617" t="s">
        <v>11048</v>
      </c>
      <c r="I11617" t="s">
        <v>29400</v>
      </c>
      <c r="J11617" t="s">
        <v>36859</v>
      </c>
      <c r="K11617" t="s">
        <v>38496</v>
      </c>
      <c r="M11617" t="s">
        <v>41173</v>
      </c>
      <c r="N11617" t="s">
        <v>42669</v>
      </c>
      <c r="O11617" t="s">
        <v>42670</v>
      </c>
      <c r="P11617">
        <v>0</v>
      </c>
      <c r="Q11617">
        <v>12</v>
      </c>
      <c r="R11617" t="s">
        <v>42686</v>
      </c>
      <c r="S11617" t="s">
        <v>43397</v>
      </c>
      <c r="T11617" t="s">
        <v>44452</v>
      </c>
      <c r="U11617" t="s">
        <v>54305</v>
      </c>
      <c r="V11617" t="s">
        <v>56675</v>
      </c>
      <c r="W11617" t="s">
        <v>41173</v>
      </c>
      <c r="X11617" t="s">
        <v>42687</v>
      </c>
    </row>
    <row r="11618" spans="1:24">
      <c r="A11618">
        <f>HYPERLINK("https://www.philgeps.gov.ph/GEPSNONPILOT/Tender/SplashBidNoticeAbstractUI.aspx?menuIndex=3&amp;refID=7164709&amp;Result=3","7164709")</f>
        <v>0</v>
      </c>
      <c r="B11618" t="s">
        <v>430</v>
      </c>
      <c r="C11618" t="s">
        <v>14638</v>
      </c>
      <c r="D11618" t="s">
        <v>17168</v>
      </c>
      <c r="E11618" t="s">
        <v>27125</v>
      </c>
      <c r="F11618" t="s">
        <v>29372</v>
      </c>
      <c r="G11618" t="s">
        <v>29380</v>
      </c>
      <c r="H11618" t="s">
        <v>29389</v>
      </c>
      <c r="I11618" t="s">
        <v>10408</v>
      </c>
      <c r="J11618" t="s">
        <v>36860</v>
      </c>
      <c r="K11618" t="s">
        <v>38485</v>
      </c>
      <c r="M11618" t="s">
        <v>40337</v>
      </c>
      <c r="N11618" t="s">
        <v>42669</v>
      </c>
      <c r="O11618" t="s">
        <v>42670</v>
      </c>
      <c r="P11618">
        <v>0</v>
      </c>
      <c r="Q11618">
        <v>0</v>
      </c>
      <c r="R11618" t="s">
        <v>42686</v>
      </c>
      <c r="S11618" t="s">
        <v>43397</v>
      </c>
      <c r="T11618" t="s">
        <v>44391</v>
      </c>
      <c r="U11618" t="s">
        <v>54306</v>
      </c>
      <c r="W11618" t="s">
        <v>40337</v>
      </c>
      <c r="X11618" t="s">
        <v>42687</v>
      </c>
    </row>
    <row r="11619" spans="1:24">
      <c r="A11619">
        <f>HYPERLINK("https://www.philgeps.gov.ph/GEPSNONPILOT/Tender/SplashBidNoticeAbstractUI.aspx?menuIndex=3&amp;refID=7164776&amp;Result=3","7164776")</f>
        <v>0</v>
      </c>
      <c r="B11619" t="s">
        <v>3215</v>
      </c>
      <c r="C11619" t="s">
        <v>14639</v>
      </c>
      <c r="E11619" t="s">
        <v>27126</v>
      </c>
      <c r="F11619" t="s">
        <v>29372</v>
      </c>
      <c r="G11619" t="s">
        <v>29380</v>
      </c>
      <c r="H11619" t="s">
        <v>11048</v>
      </c>
      <c r="I11619" t="s">
        <v>5383</v>
      </c>
      <c r="J11619" t="s">
        <v>36861</v>
      </c>
      <c r="K11619" t="s">
        <v>38490</v>
      </c>
      <c r="M11619" t="s">
        <v>42278</v>
      </c>
      <c r="N11619" t="s">
        <v>42669</v>
      </c>
      <c r="O11619" t="s">
        <v>42670</v>
      </c>
      <c r="Q11619">
        <v>16</v>
      </c>
      <c r="R11619" t="s">
        <v>42686</v>
      </c>
      <c r="S11619" t="s">
        <v>43428</v>
      </c>
      <c r="T11619" t="s">
        <v>44357</v>
      </c>
      <c r="U11619" t="s">
        <v>54307</v>
      </c>
      <c r="W11619" t="s">
        <v>42278</v>
      </c>
      <c r="X11619" t="s">
        <v>42687</v>
      </c>
    </row>
    <row r="11620" spans="1:24">
      <c r="A11620">
        <f>HYPERLINK("https://www.philgeps.gov.ph/GEPSNONPILOT/Tender/SplashBidNoticeAbstractUI.aspx?menuIndex=3&amp;refID=7164740&amp;Result=3","7164740")</f>
        <v>0</v>
      </c>
      <c r="B11620" t="s">
        <v>1343</v>
      </c>
      <c r="C11620" t="s">
        <v>14640</v>
      </c>
      <c r="D11620" t="s">
        <v>17141</v>
      </c>
      <c r="E11620" t="s">
        <v>27127</v>
      </c>
      <c r="F11620" t="s">
        <v>29372</v>
      </c>
      <c r="G11620" t="s">
        <v>29380</v>
      </c>
      <c r="H11620" t="s">
        <v>11048</v>
      </c>
      <c r="I11620" t="s">
        <v>29414</v>
      </c>
      <c r="J11620" t="s">
        <v>36862</v>
      </c>
      <c r="K11620" t="s">
        <v>38490</v>
      </c>
      <c r="M11620" t="s">
        <v>42279</v>
      </c>
      <c r="N11620" t="s">
        <v>42669</v>
      </c>
      <c r="O11620" t="s">
        <v>42670</v>
      </c>
      <c r="Q11620">
        <v>54</v>
      </c>
      <c r="R11620" t="s">
        <v>42686</v>
      </c>
      <c r="S11620" t="s">
        <v>43429</v>
      </c>
      <c r="T11620" t="s">
        <v>44357</v>
      </c>
      <c r="U11620" t="s">
        <v>54308</v>
      </c>
      <c r="W11620" t="s">
        <v>42279</v>
      </c>
      <c r="X11620" t="s">
        <v>42687</v>
      </c>
    </row>
    <row r="11621" spans="1:24">
      <c r="A11621">
        <f>HYPERLINK("https://www.philgeps.gov.ph/GEPSNONPILOT/Tender/SplashBidNoticeAbstractUI.aspx?menuIndex=3&amp;refID=7164697&amp;Result=3","7164697")</f>
        <v>0</v>
      </c>
      <c r="B11621" t="s">
        <v>430</v>
      </c>
      <c r="C11621" t="s">
        <v>14641</v>
      </c>
      <c r="D11621" t="s">
        <v>17168</v>
      </c>
      <c r="E11621" t="s">
        <v>27128</v>
      </c>
      <c r="F11621" t="s">
        <v>29372</v>
      </c>
      <c r="G11621" t="s">
        <v>29380</v>
      </c>
      <c r="H11621" t="s">
        <v>11048</v>
      </c>
      <c r="I11621" t="s">
        <v>29407</v>
      </c>
      <c r="J11621" t="s">
        <v>36863</v>
      </c>
      <c r="K11621" t="s">
        <v>38485</v>
      </c>
      <c r="M11621" t="s">
        <v>40337</v>
      </c>
      <c r="N11621" t="s">
        <v>42669</v>
      </c>
      <c r="O11621" t="s">
        <v>42670</v>
      </c>
      <c r="P11621">
        <v>0</v>
      </c>
      <c r="Q11621">
        <v>12</v>
      </c>
      <c r="R11621" t="s">
        <v>42686</v>
      </c>
      <c r="S11621" t="s">
        <v>43397</v>
      </c>
      <c r="T11621" t="s">
        <v>44391</v>
      </c>
      <c r="U11621" t="s">
        <v>54309</v>
      </c>
      <c r="W11621" t="s">
        <v>40337</v>
      </c>
      <c r="X11621" t="s">
        <v>42687</v>
      </c>
    </row>
    <row r="11622" spans="1:24">
      <c r="A11622">
        <f>HYPERLINK("https://www.philgeps.gov.ph/GEPSNONPILOT/Tender/SplashBidNoticeAbstractUI.aspx?menuIndex=3&amp;refID=7164759&amp;Result=3","7164759")</f>
        <v>0</v>
      </c>
      <c r="B11622" t="s">
        <v>1501</v>
      </c>
      <c r="C11622" t="s">
        <v>14642</v>
      </c>
      <c r="E11622" t="s">
        <v>27129</v>
      </c>
      <c r="F11622" t="s">
        <v>29372</v>
      </c>
      <c r="G11622" t="s">
        <v>29380</v>
      </c>
      <c r="H11622" t="s">
        <v>11048</v>
      </c>
      <c r="I11622" t="s">
        <v>10408</v>
      </c>
      <c r="J11622" t="s">
        <v>29724</v>
      </c>
      <c r="K11622" t="s">
        <v>38579</v>
      </c>
      <c r="M11622" t="s">
        <v>42280</v>
      </c>
      <c r="N11622" t="s">
        <v>42669</v>
      </c>
      <c r="O11622" t="s">
        <v>42670</v>
      </c>
      <c r="P11622">
        <v>0</v>
      </c>
      <c r="Q11622">
        <v>1</v>
      </c>
      <c r="R11622" t="s">
        <v>42686</v>
      </c>
      <c r="S11622" t="s">
        <v>43397</v>
      </c>
      <c r="T11622" t="s">
        <v>44412</v>
      </c>
      <c r="U11622" t="s">
        <v>54310</v>
      </c>
      <c r="W11622" t="s">
        <v>42280</v>
      </c>
      <c r="X11622" t="s">
        <v>42687</v>
      </c>
    </row>
    <row r="11623" spans="1:24">
      <c r="A11623">
        <f>HYPERLINK("https://www.philgeps.gov.ph/GEPSNONPILOT/Tender/SplashBidNoticeAbstractUI.aspx?menuIndex=3&amp;refID=7164887&amp;Result=3","7164887")</f>
        <v>0</v>
      </c>
      <c r="B11623" t="s">
        <v>2098</v>
      </c>
      <c r="C11623" t="s">
        <v>14643</v>
      </c>
      <c r="D11623" t="s">
        <v>17160</v>
      </c>
      <c r="E11623" t="s">
        <v>27130</v>
      </c>
      <c r="F11623" t="s">
        <v>29372</v>
      </c>
      <c r="G11623" t="s">
        <v>29380</v>
      </c>
      <c r="H11623" t="s">
        <v>29389</v>
      </c>
      <c r="I11623" t="s">
        <v>10408</v>
      </c>
      <c r="J11623" t="s">
        <v>29543</v>
      </c>
      <c r="K11623" t="s">
        <v>38534</v>
      </c>
      <c r="M11623" t="s">
        <v>41001</v>
      </c>
      <c r="N11623" t="s">
        <v>42669</v>
      </c>
      <c r="O11623" t="s">
        <v>42670</v>
      </c>
      <c r="P11623">
        <v>0</v>
      </c>
      <c r="Q11623">
        <v>0</v>
      </c>
      <c r="R11623" t="s">
        <v>42686</v>
      </c>
      <c r="S11623" t="s">
        <v>43397</v>
      </c>
      <c r="T11623" t="s">
        <v>44386</v>
      </c>
      <c r="U11623" t="s">
        <v>54311</v>
      </c>
      <c r="W11623" t="s">
        <v>41001</v>
      </c>
      <c r="X11623" t="s">
        <v>42687</v>
      </c>
    </row>
    <row r="11624" spans="1:24">
      <c r="A11624">
        <f>HYPERLINK("https://www.philgeps.gov.ph/GEPSNONPILOT/Tender/SplashBidNoticeAbstractUI.aspx?menuIndex=3&amp;refID=7164899&amp;Result=3","7164899")</f>
        <v>0</v>
      </c>
      <c r="B11624" t="s">
        <v>2747</v>
      </c>
      <c r="C11624" t="s">
        <v>14644</v>
      </c>
      <c r="D11624" t="s">
        <v>17197</v>
      </c>
      <c r="E11624" t="s">
        <v>27131</v>
      </c>
      <c r="F11624" t="s">
        <v>29372</v>
      </c>
      <c r="G11624" t="s">
        <v>29380</v>
      </c>
      <c r="H11624" t="s">
        <v>11048</v>
      </c>
      <c r="I11624" t="s">
        <v>29433</v>
      </c>
      <c r="J11624" t="s">
        <v>36864</v>
      </c>
      <c r="K11624" t="s">
        <v>38491</v>
      </c>
      <c r="M11624" t="s">
        <v>41730</v>
      </c>
      <c r="N11624" t="s">
        <v>42669</v>
      </c>
      <c r="O11624" t="s">
        <v>42670</v>
      </c>
      <c r="P11624">
        <v>0</v>
      </c>
      <c r="Q11624">
        <v>4</v>
      </c>
      <c r="R11624" t="s">
        <v>42686</v>
      </c>
      <c r="S11624" t="s">
        <v>43397</v>
      </c>
      <c r="T11624" t="s">
        <v>44394</v>
      </c>
      <c r="U11624" t="s">
        <v>54312</v>
      </c>
      <c r="W11624" t="s">
        <v>58095</v>
      </c>
      <c r="X11624" t="s">
        <v>42687</v>
      </c>
    </row>
    <row r="11625" spans="1:24">
      <c r="A11625">
        <f>HYPERLINK("https://www.philgeps.gov.ph/GEPSNONPILOT/Tender/SplashBidNoticeAbstractUI.aspx?menuIndex=3&amp;refID=7164886&amp;Result=3","7164886")</f>
        <v>0</v>
      </c>
      <c r="B11625" t="s">
        <v>2663</v>
      </c>
      <c r="C11625" t="s">
        <v>14645</v>
      </c>
      <c r="D11625" t="s">
        <v>17160</v>
      </c>
      <c r="E11625" t="s">
        <v>27132</v>
      </c>
      <c r="F11625" t="s">
        <v>29372</v>
      </c>
      <c r="G11625" t="s">
        <v>29380</v>
      </c>
      <c r="H11625" t="s">
        <v>29389</v>
      </c>
      <c r="I11625" t="s">
        <v>10408</v>
      </c>
      <c r="J11625" t="s">
        <v>36865</v>
      </c>
      <c r="K11625" t="s">
        <v>38533</v>
      </c>
      <c r="M11625" t="s">
        <v>41640</v>
      </c>
      <c r="N11625" t="s">
        <v>42669</v>
      </c>
      <c r="O11625" t="s">
        <v>42670</v>
      </c>
      <c r="P11625">
        <v>0</v>
      </c>
      <c r="Q11625">
        <v>1</v>
      </c>
      <c r="R11625" t="s">
        <v>42686</v>
      </c>
      <c r="S11625" t="s">
        <v>43397</v>
      </c>
      <c r="T11625" t="s">
        <v>44398</v>
      </c>
      <c r="U11625" t="s">
        <v>54313</v>
      </c>
      <c r="V11625" t="s">
        <v>57664</v>
      </c>
      <c r="W11625" t="s">
        <v>41640</v>
      </c>
      <c r="X11625" t="s">
        <v>42687</v>
      </c>
    </row>
    <row r="11626" spans="1:24">
      <c r="A11626">
        <f>HYPERLINK("https://www.philgeps.gov.ph/GEPSNONPILOT/Tender/SplashBidNoticeAbstractUI.aspx?menuIndex=3&amp;refID=7164828&amp;Result=3","7164828")</f>
        <v>0</v>
      </c>
      <c r="B11626" t="s">
        <v>3214</v>
      </c>
      <c r="C11626" t="s">
        <v>14646</v>
      </c>
      <c r="D11626" t="s">
        <v>17151</v>
      </c>
      <c r="E11626" t="s">
        <v>27133</v>
      </c>
      <c r="F11626" t="s">
        <v>29372</v>
      </c>
      <c r="G11626" t="s">
        <v>29380</v>
      </c>
      <c r="H11626" t="s">
        <v>11048</v>
      </c>
      <c r="I11626" t="s">
        <v>29393</v>
      </c>
      <c r="J11626" t="s">
        <v>29734</v>
      </c>
      <c r="K11626" t="s">
        <v>38485</v>
      </c>
      <c r="M11626" t="s">
        <v>42277</v>
      </c>
      <c r="N11626" t="s">
        <v>42669</v>
      </c>
      <c r="O11626" t="s">
        <v>42670</v>
      </c>
      <c r="P11626">
        <v>0</v>
      </c>
      <c r="Q11626">
        <v>0</v>
      </c>
      <c r="R11626" t="s">
        <v>42686</v>
      </c>
      <c r="S11626" t="s">
        <v>43397</v>
      </c>
      <c r="T11626" t="s">
        <v>44398</v>
      </c>
      <c r="U11626" t="s">
        <v>54314</v>
      </c>
      <c r="V11626" t="s">
        <v>57665</v>
      </c>
      <c r="W11626" t="s">
        <v>42277</v>
      </c>
      <c r="X11626" t="s">
        <v>42687</v>
      </c>
    </row>
    <row r="11627" spans="1:24">
      <c r="A11627">
        <f>HYPERLINK("https://www.philgeps.gov.ph/GEPSNONPILOT/Tender/SplashBidNoticeAbstractUI.aspx?menuIndex=3&amp;refID=7164694&amp;Result=3","7164694")</f>
        <v>0</v>
      </c>
      <c r="B11627" t="s">
        <v>430</v>
      </c>
      <c r="C11627" t="s">
        <v>14647</v>
      </c>
      <c r="D11627" t="s">
        <v>17168</v>
      </c>
      <c r="E11627" t="s">
        <v>27134</v>
      </c>
      <c r="F11627" t="s">
        <v>29372</v>
      </c>
      <c r="G11627" t="s">
        <v>29380</v>
      </c>
      <c r="H11627" t="s">
        <v>29389</v>
      </c>
      <c r="I11627" t="s">
        <v>10408</v>
      </c>
      <c r="J11627" t="s">
        <v>29543</v>
      </c>
      <c r="K11627" t="s">
        <v>38485</v>
      </c>
      <c r="M11627" t="s">
        <v>40337</v>
      </c>
      <c r="N11627" t="s">
        <v>42669</v>
      </c>
      <c r="O11627" t="s">
        <v>42670</v>
      </c>
      <c r="P11627">
        <v>0</v>
      </c>
      <c r="Q11627">
        <v>3</v>
      </c>
      <c r="R11627" t="s">
        <v>42686</v>
      </c>
      <c r="S11627" t="s">
        <v>43397</v>
      </c>
      <c r="T11627" t="s">
        <v>44391</v>
      </c>
      <c r="U11627" t="s">
        <v>54315</v>
      </c>
      <c r="W11627" t="s">
        <v>40337</v>
      </c>
      <c r="X11627" t="s">
        <v>42687</v>
      </c>
    </row>
    <row r="11628" spans="1:24">
      <c r="A11628">
        <f>HYPERLINK("https://www.philgeps.gov.ph/GEPSNONPILOT/Tender/SplashBidNoticeAbstractUI.aspx?menuIndex=3&amp;refID=7164564&amp;Result=3","7164564")</f>
        <v>0</v>
      </c>
      <c r="B11628" t="s">
        <v>3216</v>
      </c>
      <c r="C11628" t="s">
        <v>14648</v>
      </c>
      <c r="D11628" t="s">
        <v>17177</v>
      </c>
      <c r="E11628" t="s">
        <v>27135</v>
      </c>
      <c r="F11628" t="s">
        <v>29372</v>
      </c>
      <c r="G11628" t="s">
        <v>29380</v>
      </c>
      <c r="H11628" t="s">
        <v>11048</v>
      </c>
      <c r="I11628" t="s">
        <v>29412</v>
      </c>
      <c r="J11628" t="s">
        <v>36866</v>
      </c>
      <c r="K11628" t="s">
        <v>38517</v>
      </c>
      <c r="M11628" t="s">
        <v>42281</v>
      </c>
      <c r="N11628" t="s">
        <v>42669</v>
      </c>
      <c r="O11628" t="s">
        <v>42670</v>
      </c>
      <c r="P11628">
        <v>0</v>
      </c>
      <c r="Q11628">
        <v>5</v>
      </c>
      <c r="R11628" t="s">
        <v>42686</v>
      </c>
      <c r="S11628" t="s">
        <v>43397</v>
      </c>
      <c r="T11628" t="s">
        <v>44819</v>
      </c>
      <c r="U11628" t="s">
        <v>54316</v>
      </c>
      <c r="W11628" t="s">
        <v>42281</v>
      </c>
      <c r="X11628" t="s">
        <v>42688</v>
      </c>
    </row>
    <row r="11629" spans="1:24">
      <c r="A11629">
        <f>HYPERLINK("https://www.philgeps.gov.ph/GEPSNONPILOT/Tender/SplashBidNoticeAbstractUI.aspx?menuIndex=3&amp;refID=7167175&amp;Result=3","7167175")</f>
        <v>0</v>
      </c>
      <c r="B11629" t="s">
        <v>1190</v>
      </c>
      <c r="C11629" t="s">
        <v>14649</v>
      </c>
      <c r="E11629" t="s">
        <v>27136</v>
      </c>
      <c r="F11629" t="s">
        <v>29372</v>
      </c>
      <c r="G11629" t="s">
        <v>29380</v>
      </c>
      <c r="H11629" t="s">
        <v>11048</v>
      </c>
      <c r="I11629" t="s">
        <v>3695</v>
      </c>
      <c r="J11629" t="s">
        <v>36867</v>
      </c>
      <c r="K11629" t="s">
        <v>38490</v>
      </c>
      <c r="M11629" t="s">
        <v>42224</v>
      </c>
      <c r="N11629" t="s">
        <v>42669</v>
      </c>
      <c r="O11629" t="s">
        <v>42670</v>
      </c>
      <c r="Q11629">
        <v>16</v>
      </c>
      <c r="R11629" t="s">
        <v>42685</v>
      </c>
      <c r="S11629" t="s">
        <v>43425</v>
      </c>
      <c r="T11629" t="s">
        <v>44357</v>
      </c>
      <c r="U11629" t="s">
        <v>54122</v>
      </c>
      <c r="W11629" t="s">
        <v>42224</v>
      </c>
      <c r="X11629" t="s">
        <v>42686</v>
      </c>
    </row>
    <row r="11630" spans="1:24">
      <c r="A11630">
        <f>HYPERLINK("https://www.philgeps.gov.ph/GEPSNONPILOT/Tender/SplashBidNoticeAbstractUI.aspx?menuIndex=3&amp;refID=7164752&amp;Result=3","7164752")</f>
        <v>0</v>
      </c>
      <c r="B11630" t="s">
        <v>323</v>
      </c>
      <c r="C11630" t="s">
        <v>14650</v>
      </c>
      <c r="D11630" t="s">
        <v>17143</v>
      </c>
      <c r="E11630" t="s">
        <v>27137</v>
      </c>
      <c r="F11630" t="s">
        <v>29372</v>
      </c>
      <c r="G11630" t="s">
        <v>29380</v>
      </c>
      <c r="H11630" t="s">
        <v>29389</v>
      </c>
      <c r="I11630" t="s">
        <v>10408</v>
      </c>
      <c r="J11630" t="s">
        <v>36868</v>
      </c>
      <c r="K11630" t="s">
        <v>38522</v>
      </c>
      <c r="M11630" t="s">
        <v>39082</v>
      </c>
      <c r="N11630" t="s">
        <v>42669</v>
      </c>
      <c r="O11630" t="s">
        <v>42670</v>
      </c>
      <c r="P11630">
        <v>0</v>
      </c>
      <c r="Q11630">
        <v>0</v>
      </c>
      <c r="R11630" t="s">
        <v>42686</v>
      </c>
      <c r="S11630" t="s">
        <v>43397</v>
      </c>
      <c r="T11630" t="s">
        <v>44357</v>
      </c>
      <c r="U11630" t="s">
        <v>54317</v>
      </c>
      <c r="V11630" t="s">
        <v>57666</v>
      </c>
      <c r="W11630" t="s">
        <v>39082</v>
      </c>
      <c r="X11630" t="s">
        <v>42687</v>
      </c>
    </row>
    <row r="11631" spans="1:24">
      <c r="A11631">
        <f>HYPERLINK("https://www.philgeps.gov.ph/GEPSNONPILOT/Tender/SplashBidNoticeAbstractUI.aspx?menuIndex=3&amp;refID=7164621&amp;Result=3","7164621")</f>
        <v>0</v>
      </c>
      <c r="B11631" t="s">
        <v>3217</v>
      </c>
      <c r="C11631" t="s">
        <v>14651</v>
      </c>
      <c r="D11631" t="s">
        <v>17141</v>
      </c>
      <c r="E11631" t="s">
        <v>27138</v>
      </c>
      <c r="F11631" t="s">
        <v>29372</v>
      </c>
      <c r="G11631" t="s">
        <v>29380</v>
      </c>
      <c r="H11631" t="s">
        <v>11048</v>
      </c>
      <c r="I11631" t="s">
        <v>29409</v>
      </c>
      <c r="J11631" t="s">
        <v>36869</v>
      </c>
      <c r="K11631" t="s">
        <v>38485</v>
      </c>
      <c r="M11631" t="s">
        <v>42282</v>
      </c>
      <c r="N11631" t="s">
        <v>42669</v>
      </c>
      <c r="O11631" t="s">
        <v>42670</v>
      </c>
      <c r="P11631">
        <v>0</v>
      </c>
      <c r="Q11631">
        <v>19</v>
      </c>
      <c r="R11631" t="s">
        <v>42686</v>
      </c>
      <c r="S11631" t="s">
        <v>43397</v>
      </c>
      <c r="T11631" t="s">
        <v>44354</v>
      </c>
      <c r="U11631" t="s">
        <v>54318</v>
      </c>
      <c r="W11631" t="s">
        <v>42282</v>
      </c>
      <c r="X11631" t="s">
        <v>42688</v>
      </c>
    </row>
    <row r="11632" spans="1:24">
      <c r="A11632">
        <f>HYPERLINK("https://www.philgeps.gov.ph/GEPSNONPILOT/Tender/SplashBidNoticeAbstractUI.aspx?menuIndex=3&amp;refID=7164704&amp;Result=3","7164704")</f>
        <v>0</v>
      </c>
      <c r="B11632" t="s">
        <v>430</v>
      </c>
      <c r="C11632" t="s">
        <v>14652</v>
      </c>
      <c r="D11632" t="s">
        <v>17168</v>
      </c>
      <c r="E11632" t="s">
        <v>27139</v>
      </c>
      <c r="F11632" t="s">
        <v>29372</v>
      </c>
      <c r="G11632" t="s">
        <v>29380</v>
      </c>
      <c r="H11632" t="s">
        <v>11048</v>
      </c>
      <c r="I11632" t="s">
        <v>29417</v>
      </c>
      <c r="J11632" t="s">
        <v>36870</v>
      </c>
      <c r="K11632" t="s">
        <v>38485</v>
      </c>
      <c r="M11632" t="s">
        <v>40337</v>
      </c>
      <c r="N11632" t="s">
        <v>42669</v>
      </c>
      <c r="O11632" t="s">
        <v>42670</v>
      </c>
      <c r="P11632">
        <v>0</v>
      </c>
      <c r="Q11632">
        <v>2</v>
      </c>
      <c r="R11632" t="s">
        <v>42686</v>
      </c>
      <c r="S11632" t="s">
        <v>43397</v>
      </c>
      <c r="T11632" t="s">
        <v>44391</v>
      </c>
      <c r="U11632" t="s">
        <v>54319</v>
      </c>
      <c r="W11632" t="s">
        <v>40337</v>
      </c>
      <c r="X11632" t="s">
        <v>42687</v>
      </c>
    </row>
    <row r="11633" spans="1:24">
      <c r="A11633">
        <f>HYPERLINK("https://www.philgeps.gov.ph/GEPSNONPILOT/Tender/SplashBidNoticeAbstractUI.aspx?menuIndex=3&amp;refID=7164901&amp;Result=3","7164901")</f>
        <v>0</v>
      </c>
      <c r="B11633" t="s">
        <v>3218</v>
      </c>
      <c r="C11633" t="s">
        <v>14653</v>
      </c>
      <c r="D11633" t="s">
        <v>17207</v>
      </c>
      <c r="E11633" t="s">
        <v>27140</v>
      </c>
      <c r="F11633" t="s">
        <v>29372</v>
      </c>
      <c r="G11633" t="s">
        <v>29380</v>
      </c>
      <c r="H11633" t="s">
        <v>11048</v>
      </c>
      <c r="I11633" t="s">
        <v>29433</v>
      </c>
      <c r="J11633" t="s">
        <v>29549</v>
      </c>
      <c r="K11633" t="s">
        <v>38487</v>
      </c>
      <c r="M11633" t="s">
        <v>42283</v>
      </c>
      <c r="N11633" t="s">
        <v>42669</v>
      </c>
      <c r="O11633" t="s">
        <v>42670</v>
      </c>
      <c r="P11633">
        <v>0</v>
      </c>
      <c r="Q11633">
        <v>4</v>
      </c>
      <c r="R11633" t="s">
        <v>42686</v>
      </c>
      <c r="S11633" t="s">
        <v>43397</v>
      </c>
      <c r="T11633" t="s">
        <v>44366</v>
      </c>
      <c r="U11633" t="s">
        <v>54320</v>
      </c>
      <c r="V11633" t="s">
        <v>57667</v>
      </c>
      <c r="W11633" t="s">
        <v>42283</v>
      </c>
      <c r="X11633" t="s">
        <v>42687</v>
      </c>
    </row>
    <row r="11634" spans="1:24">
      <c r="A11634">
        <f>HYPERLINK("https://www.philgeps.gov.ph/GEPSNONPILOT/Tender/SplashBidNoticeAbstractUI.aspx?menuIndex=3&amp;refID=7164891&amp;Result=3","7164891")</f>
        <v>0</v>
      </c>
      <c r="B11634" t="s">
        <v>2098</v>
      </c>
      <c r="C11634" t="s">
        <v>14654</v>
      </c>
      <c r="D11634" t="s">
        <v>17160</v>
      </c>
      <c r="E11634" t="s">
        <v>27141</v>
      </c>
      <c r="F11634" t="s">
        <v>29372</v>
      </c>
      <c r="G11634" t="s">
        <v>29380</v>
      </c>
      <c r="H11634" t="s">
        <v>29389</v>
      </c>
      <c r="I11634" t="s">
        <v>10408</v>
      </c>
      <c r="J11634" t="s">
        <v>29543</v>
      </c>
      <c r="K11634" t="s">
        <v>38518</v>
      </c>
      <c r="M11634" t="s">
        <v>41001</v>
      </c>
      <c r="N11634" t="s">
        <v>42669</v>
      </c>
      <c r="O11634" t="s">
        <v>42670</v>
      </c>
      <c r="P11634">
        <v>0</v>
      </c>
      <c r="Q11634">
        <v>2</v>
      </c>
      <c r="R11634" t="s">
        <v>42686</v>
      </c>
      <c r="S11634" t="s">
        <v>43397</v>
      </c>
      <c r="T11634" t="s">
        <v>44386</v>
      </c>
      <c r="U11634" t="s">
        <v>54311</v>
      </c>
      <c r="W11634" t="s">
        <v>41001</v>
      </c>
      <c r="X11634" t="s">
        <v>42687</v>
      </c>
    </row>
    <row r="11635" spans="1:24">
      <c r="A11635">
        <f>HYPERLINK("https://www.philgeps.gov.ph/GEPSNONPILOT/Tender/SplashBidNoticeAbstractUI.aspx?menuIndex=3&amp;refID=7164939&amp;Result=3","7164939")</f>
        <v>0</v>
      </c>
      <c r="B11635" t="s">
        <v>3219</v>
      </c>
      <c r="C11635" t="s">
        <v>14655</v>
      </c>
      <c r="D11635" t="s">
        <v>17212</v>
      </c>
      <c r="E11635" t="s">
        <v>27142</v>
      </c>
      <c r="F11635" t="s">
        <v>29372</v>
      </c>
      <c r="G11635" t="s">
        <v>29380</v>
      </c>
      <c r="H11635" t="s">
        <v>11048</v>
      </c>
      <c r="I11635" t="s">
        <v>3839</v>
      </c>
      <c r="J11635" t="s">
        <v>30815</v>
      </c>
      <c r="K11635" t="s">
        <v>38487</v>
      </c>
      <c r="M11635" t="s">
        <v>42284</v>
      </c>
      <c r="N11635" t="s">
        <v>42669</v>
      </c>
      <c r="O11635" t="s">
        <v>42670</v>
      </c>
      <c r="P11635">
        <v>0</v>
      </c>
      <c r="Q11635">
        <v>6</v>
      </c>
      <c r="R11635" t="s">
        <v>42686</v>
      </c>
      <c r="S11635" t="s">
        <v>43397</v>
      </c>
      <c r="T11635" t="s">
        <v>44354</v>
      </c>
      <c r="U11635" t="s">
        <v>54321</v>
      </c>
      <c r="W11635" t="s">
        <v>42284</v>
      </c>
      <c r="X11635" t="s">
        <v>42687</v>
      </c>
    </row>
    <row r="11636" spans="1:24">
      <c r="A11636">
        <f>HYPERLINK("https://www.philgeps.gov.ph/GEPSNONPILOT/Tender/SplashBidNoticeAbstractUI.aspx?menuIndex=3&amp;refID=7164073&amp;Result=3","7164073")</f>
        <v>0</v>
      </c>
      <c r="B11636" t="s">
        <v>116</v>
      </c>
      <c r="C11636" t="s">
        <v>14656</v>
      </c>
      <c r="D11636" t="s">
        <v>17170</v>
      </c>
      <c r="E11636" t="s">
        <v>27143</v>
      </c>
      <c r="F11636" t="s">
        <v>29372</v>
      </c>
      <c r="G11636" t="s">
        <v>29380</v>
      </c>
      <c r="H11636" t="s">
        <v>29389</v>
      </c>
      <c r="I11636" t="s">
        <v>10408</v>
      </c>
      <c r="J11636" t="s">
        <v>29788</v>
      </c>
      <c r="K11636" t="s">
        <v>38514</v>
      </c>
      <c r="M11636" t="s">
        <v>38871</v>
      </c>
      <c r="N11636" t="s">
        <v>42669</v>
      </c>
      <c r="O11636" t="s">
        <v>42670</v>
      </c>
      <c r="Q11636">
        <v>1</v>
      </c>
      <c r="R11636" t="s">
        <v>42687</v>
      </c>
      <c r="S11636" t="s">
        <v>43430</v>
      </c>
      <c r="T11636" t="s">
        <v>44409</v>
      </c>
      <c r="U11636" t="s">
        <v>54322</v>
      </c>
      <c r="W11636" t="s">
        <v>38871</v>
      </c>
      <c r="X11636" t="s">
        <v>42689</v>
      </c>
    </row>
    <row r="11637" spans="1:24">
      <c r="A11637">
        <f>HYPERLINK("https://www.philgeps.gov.ph/GEPSNONPILOT/Tender/SplashBidNoticeAbstractUI.aspx?menuIndex=3&amp;refID=7164932&amp;Result=3","7164932")</f>
        <v>0</v>
      </c>
      <c r="B11637" t="s">
        <v>3220</v>
      </c>
      <c r="C11637" t="s">
        <v>14657</v>
      </c>
      <c r="D11637" t="s">
        <v>17201</v>
      </c>
      <c r="E11637" t="s">
        <v>27144</v>
      </c>
      <c r="F11637" t="s">
        <v>29372</v>
      </c>
      <c r="G11637" t="s">
        <v>29380</v>
      </c>
      <c r="H11637" t="s">
        <v>11048</v>
      </c>
      <c r="I11637" t="s">
        <v>29404</v>
      </c>
      <c r="J11637" t="s">
        <v>36871</v>
      </c>
      <c r="K11637" t="s">
        <v>38488</v>
      </c>
      <c r="M11637" t="s">
        <v>42285</v>
      </c>
      <c r="N11637" t="s">
        <v>42669</v>
      </c>
      <c r="O11637" t="s">
        <v>42670</v>
      </c>
      <c r="P11637">
        <v>0</v>
      </c>
      <c r="Q11637">
        <v>3</v>
      </c>
      <c r="R11637" t="s">
        <v>42686</v>
      </c>
      <c r="S11637" t="s">
        <v>43397</v>
      </c>
      <c r="T11637" t="s">
        <v>44430</v>
      </c>
      <c r="U11637" t="s">
        <v>54323</v>
      </c>
      <c r="W11637" t="s">
        <v>42285</v>
      </c>
      <c r="X11637" t="s">
        <v>42687</v>
      </c>
    </row>
    <row r="11638" spans="1:24">
      <c r="A11638">
        <f>HYPERLINK("https://www.philgeps.gov.ph/GEPSNONPILOT/Tender/SplashBidNoticeAbstractUI.aspx?menuIndex=3&amp;refID=7164923&amp;Result=3","7164923")</f>
        <v>0</v>
      </c>
      <c r="B11638" t="s">
        <v>3220</v>
      </c>
      <c r="C11638" t="s">
        <v>14658</v>
      </c>
      <c r="D11638" t="s">
        <v>17201</v>
      </c>
      <c r="E11638" t="s">
        <v>27145</v>
      </c>
      <c r="F11638" t="s">
        <v>29372</v>
      </c>
      <c r="G11638" t="s">
        <v>29380</v>
      </c>
      <c r="H11638" t="s">
        <v>11048</v>
      </c>
      <c r="I11638" t="s">
        <v>9469</v>
      </c>
      <c r="J11638" t="s">
        <v>30056</v>
      </c>
      <c r="K11638" t="s">
        <v>38485</v>
      </c>
      <c r="M11638" t="s">
        <v>42285</v>
      </c>
      <c r="N11638" t="s">
        <v>42669</v>
      </c>
      <c r="O11638" t="s">
        <v>42670</v>
      </c>
      <c r="P11638">
        <v>0</v>
      </c>
      <c r="Q11638">
        <v>3</v>
      </c>
      <c r="R11638" t="s">
        <v>42686</v>
      </c>
      <c r="S11638" t="s">
        <v>43397</v>
      </c>
      <c r="T11638" t="s">
        <v>44525</v>
      </c>
      <c r="U11638" t="s">
        <v>54324</v>
      </c>
      <c r="W11638" t="s">
        <v>42285</v>
      </c>
      <c r="X11638" t="s">
        <v>42687</v>
      </c>
    </row>
    <row r="11639" spans="1:24">
      <c r="A11639">
        <f>HYPERLINK("https://www.philgeps.gov.ph/GEPSNONPILOT/Tender/SplashBidNoticeAbstractUI.aspx?menuIndex=3&amp;refID=7164924&amp;Result=3","7164924")</f>
        <v>0</v>
      </c>
      <c r="B11639" t="s">
        <v>3219</v>
      </c>
      <c r="C11639" t="s">
        <v>14659</v>
      </c>
      <c r="D11639" t="s">
        <v>17212</v>
      </c>
      <c r="E11639" t="s">
        <v>27146</v>
      </c>
      <c r="F11639" t="s">
        <v>29372</v>
      </c>
      <c r="G11639" t="s">
        <v>29380</v>
      </c>
      <c r="H11639" t="s">
        <v>11048</v>
      </c>
      <c r="I11639" t="s">
        <v>3839</v>
      </c>
      <c r="J11639" t="s">
        <v>29774</v>
      </c>
      <c r="K11639" t="s">
        <v>38485</v>
      </c>
      <c r="M11639" t="s">
        <v>42284</v>
      </c>
      <c r="N11639" t="s">
        <v>42669</v>
      </c>
      <c r="O11639" t="s">
        <v>42670</v>
      </c>
      <c r="P11639">
        <v>0</v>
      </c>
      <c r="Q11639">
        <v>10</v>
      </c>
      <c r="R11639" t="s">
        <v>42686</v>
      </c>
      <c r="S11639" t="s">
        <v>43397</v>
      </c>
      <c r="T11639" t="s">
        <v>44354</v>
      </c>
      <c r="U11639" t="s">
        <v>54325</v>
      </c>
      <c r="W11639" t="s">
        <v>42284</v>
      </c>
      <c r="X11639" t="s">
        <v>42687</v>
      </c>
    </row>
    <row r="11640" spans="1:24">
      <c r="A11640">
        <f>HYPERLINK("https://www.philgeps.gov.ph/GEPSNONPILOT/Tender/SplashBidNoticeAbstractUI.aspx?menuIndex=3&amp;refID=7164894&amp;Result=3","7164894")</f>
        <v>0</v>
      </c>
      <c r="B11640" t="s">
        <v>2098</v>
      </c>
      <c r="C11640" t="s">
        <v>14660</v>
      </c>
      <c r="D11640" t="s">
        <v>17160</v>
      </c>
      <c r="E11640" t="s">
        <v>27147</v>
      </c>
      <c r="F11640" t="s">
        <v>29372</v>
      </c>
      <c r="G11640" t="s">
        <v>29380</v>
      </c>
      <c r="H11640" t="s">
        <v>11048</v>
      </c>
      <c r="I11640" t="s">
        <v>9469</v>
      </c>
      <c r="J11640" t="s">
        <v>36872</v>
      </c>
      <c r="K11640" t="s">
        <v>38488</v>
      </c>
      <c r="M11640" t="s">
        <v>41001</v>
      </c>
      <c r="N11640" t="s">
        <v>42669</v>
      </c>
      <c r="O11640" t="s">
        <v>42670</v>
      </c>
      <c r="Q11640">
        <v>4</v>
      </c>
      <c r="R11640" t="s">
        <v>42686</v>
      </c>
      <c r="S11640" t="s">
        <v>43431</v>
      </c>
      <c r="T11640" t="s">
        <v>44386</v>
      </c>
      <c r="U11640" t="s">
        <v>54311</v>
      </c>
      <c r="W11640" t="s">
        <v>41001</v>
      </c>
      <c r="X11640" t="s">
        <v>42687</v>
      </c>
    </row>
    <row r="11641" spans="1:24">
      <c r="A11641">
        <f>HYPERLINK("https://www.philgeps.gov.ph/GEPSNONPILOT/Tender/SplashBidNoticeAbstractUI.aspx?menuIndex=3&amp;refID=7164310&amp;Result=3","7164310")</f>
        <v>0</v>
      </c>
      <c r="B11641" t="s">
        <v>3221</v>
      </c>
      <c r="C11641" t="s">
        <v>10954</v>
      </c>
      <c r="D11641" t="s">
        <v>17164</v>
      </c>
      <c r="E11641" t="s">
        <v>17533</v>
      </c>
      <c r="F11641" t="s">
        <v>29372</v>
      </c>
      <c r="G11641" t="s">
        <v>29380</v>
      </c>
      <c r="H11641" t="s">
        <v>11048</v>
      </c>
      <c r="I11641" t="s">
        <v>29415</v>
      </c>
      <c r="J11641" t="s">
        <v>29680</v>
      </c>
      <c r="K11641" t="s">
        <v>38491</v>
      </c>
      <c r="M11641" t="s">
        <v>42286</v>
      </c>
      <c r="N11641" t="s">
        <v>42669</v>
      </c>
      <c r="O11641" t="s">
        <v>42670</v>
      </c>
      <c r="P11641">
        <v>0</v>
      </c>
      <c r="Q11641">
        <v>0</v>
      </c>
      <c r="R11641" t="s">
        <v>42687</v>
      </c>
      <c r="S11641" t="s">
        <v>43432</v>
      </c>
      <c r="T11641" t="s">
        <v>44813</v>
      </c>
      <c r="U11641" t="s">
        <v>54326</v>
      </c>
      <c r="W11641" t="s">
        <v>42286</v>
      </c>
      <c r="X11641" t="s">
        <v>42688</v>
      </c>
    </row>
    <row r="11642" spans="1:24">
      <c r="A11642">
        <f>HYPERLINK("https://www.philgeps.gov.ph/GEPSNONPILOT/Tender/SplashBidNoticeAbstractUI.aspx?menuIndex=3&amp;refID=7162128&amp;Result=3","7162128")</f>
        <v>0</v>
      </c>
      <c r="B11642" t="s">
        <v>1624</v>
      </c>
      <c r="C11642" t="s">
        <v>14661</v>
      </c>
      <c r="D11642" t="s">
        <v>17196</v>
      </c>
      <c r="E11642" t="s">
        <v>27148</v>
      </c>
      <c r="F11642" t="s">
        <v>29372</v>
      </c>
      <c r="G11642" t="s">
        <v>29380</v>
      </c>
      <c r="H11642" t="s">
        <v>29389</v>
      </c>
      <c r="I11642" t="s">
        <v>10408</v>
      </c>
      <c r="J11642" t="s">
        <v>30308</v>
      </c>
      <c r="K11642" t="s">
        <v>38522</v>
      </c>
      <c r="L11642" t="s">
        <v>1624</v>
      </c>
      <c r="M11642" t="s">
        <v>40478</v>
      </c>
      <c r="N11642" t="s">
        <v>42669</v>
      </c>
      <c r="O11642" t="s">
        <v>42670</v>
      </c>
      <c r="P11642">
        <v>0</v>
      </c>
      <c r="Q11642">
        <v>1</v>
      </c>
      <c r="R11642" t="s">
        <v>42687</v>
      </c>
      <c r="S11642" t="s">
        <v>43432</v>
      </c>
      <c r="T11642" t="s">
        <v>44357</v>
      </c>
      <c r="U11642" t="s">
        <v>48507</v>
      </c>
      <c r="V11642" t="s">
        <v>57291</v>
      </c>
      <c r="W11642" t="s">
        <v>40478</v>
      </c>
      <c r="X11642" t="s">
        <v>42689</v>
      </c>
    </row>
    <row r="11643" spans="1:24">
      <c r="A11643">
        <f>HYPERLINK("https://www.philgeps.gov.ph/GEPSNONPILOT/Tender/SplashBidNoticeAbstractUI.aspx?menuIndex=3&amp;refID=7164305&amp;Result=3","7164305")</f>
        <v>0</v>
      </c>
      <c r="B11643" t="s">
        <v>3221</v>
      </c>
      <c r="C11643" t="s">
        <v>14662</v>
      </c>
      <c r="D11643" t="s">
        <v>17164</v>
      </c>
      <c r="E11643" t="s">
        <v>17533</v>
      </c>
      <c r="F11643" t="s">
        <v>29372</v>
      </c>
      <c r="G11643" t="s">
        <v>29380</v>
      </c>
      <c r="H11643" t="s">
        <v>11048</v>
      </c>
      <c r="I11643" t="s">
        <v>29415</v>
      </c>
      <c r="J11643" t="s">
        <v>29658</v>
      </c>
      <c r="K11643" t="s">
        <v>38491</v>
      </c>
      <c r="M11643" t="s">
        <v>42286</v>
      </c>
      <c r="N11643" t="s">
        <v>42669</v>
      </c>
      <c r="O11643" t="s">
        <v>42670</v>
      </c>
      <c r="P11643">
        <v>0</v>
      </c>
      <c r="Q11643">
        <v>0</v>
      </c>
      <c r="R11643" t="s">
        <v>42687</v>
      </c>
      <c r="S11643" t="s">
        <v>43432</v>
      </c>
      <c r="T11643" t="s">
        <v>44389</v>
      </c>
      <c r="U11643" t="s">
        <v>54327</v>
      </c>
      <c r="W11643" t="s">
        <v>42286</v>
      </c>
      <c r="X11643" t="s">
        <v>42688</v>
      </c>
    </row>
    <row r="11644" spans="1:24">
      <c r="A11644">
        <f>HYPERLINK("https://www.philgeps.gov.ph/GEPSNONPILOT/Tender/SplashBidNoticeAbstractUI.aspx?menuIndex=3&amp;refID=7164293&amp;Result=3","7164293")</f>
        <v>0</v>
      </c>
      <c r="B11644" t="s">
        <v>3222</v>
      </c>
      <c r="C11644" t="s">
        <v>14663</v>
      </c>
      <c r="D11644" t="s">
        <v>17226</v>
      </c>
      <c r="E11644" t="s">
        <v>27149</v>
      </c>
      <c r="F11644" t="s">
        <v>29372</v>
      </c>
      <c r="G11644" t="s">
        <v>29380</v>
      </c>
      <c r="H11644" t="s">
        <v>11048</v>
      </c>
      <c r="I11644" t="s">
        <v>29403</v>
      </c>
      <c r="J11644" t="s">
        <v>30175</v>
      </c>
      <c r="K11644" t="s">
        <v>38510</v>
      </c>
      <c r="M11644" t="s">
        <v>42287</v>
      </c>
      <c r="N11644" t="s">
        <v>42669</v>
      </c>
      <c r="O11644" t="s">
        <v>42670</v>
      </c>
      <c r="P11644">
        <v>0</v>
      </c>
      <c r="Q11644">
        <v>0</v>
      </c>
      <c r="R11644" t="s">
        <v>42687</v>
      </c>
      <c r="S11644" t="s">
        <v>43432</v>
      </c>
      <c r="T11644" t="s">
        <v>44389</v>
      </c>
      <c r="U11644" t="s">
        <v>54328</v>
      </c>
      <c r="W11644" t="s">
        <v>42287</v>
      </c>
      <c r="X11644" t="s">
        <v>42688</v>
      </c>
    </row>
    <row r="11645" spans="1:24">
      <c r="A11645">
        <f>HYPERLINK("https://www.philgeps.gov.ph/GEPSNONPILOT/Tender/SplashBidNoticeAbstractUI.aspx?menuIndex=3&amp;refID=7164087&amp;Result=3","7164087")</f>
        <v>0</v>
      </c>
      <c r="B11645" t="s">
        <v>3223</v>
      </c>
      <c r="C11645" t="s">
        <v>14664</v>
      </c>
      <c r="D11645" t="s">
        <v>17168</v>
      </c>
      <c r="E11645" t="s">
        <v>27150</v>
      </c>
      <c r="F11645" t="s">
        <v>29373</v>
      </c>
      <c r="G11645" t="s">
        <v>29380</v>
      </c>
      <c r="H11645" t="s">
        <v>11048</v>
      </c>
      <c r="I11645" t="s">
        <v>4709</v>
      </c>
      <c r="J11645" t="s">
        <v>29619</v>
      </c>
      <c r="K11645" t="s">
        <v>38489</v>
      </c>
      <c r="M11645" t="s">
        <v>42288</v>
      </c>
      <c r="N11645" t="s">
        <v>42669</v>
      </c>
      <c r="O11645" t="s">
        <v>42670</v>
      </c>
      <c r="P11645">
        <v>0</v>
      </c>
      <c r="Q11645">
        <v>0</v>
      </c>
      <c r="R11645" t="s">
        <v>42687</v>
      </c>
      <c r="S11645" t="s">
        <v>43432</v>
      </c>
      <c r="T11645" t="s">
        <v>44432</v>
      </c>
      <c r="U11645" t="s">
        <v>54329</v>
      </c>
      <c r="W11645" t="s">
        <v>42288</v>
      </c>
      <c r="X11645" t="s">
        <v>42689</v>
      </c>
    </row>
    <row r="11646" spans="1:24">
      <c r="A11646">
        <f>HYPERLINK("https://www.philgeps.gov.ph/GEPSNONPILOT/Tender/SplashBidNoticeAbstractUI.aspx?menuIndex=3&amp;refID=7164288&amp;Result=3","7164288")</f>
        <v>0</v>
      </c>
      <c r="B11646" t="s">
        <v>3224</v>
      </c>
      <c r="C11646" t="s">
        <v>14665</v>
      </c>
      <c r="D11646" t="s">
        <v>17170</v>
      </c>
      <c r="E11646" t="s">
        <v>19716</v>
      </c>
      <c r="F11646" t="s">
        <v>29372</v>
      </c>
      <c r="G11646" t="s">
        <v>29380</v>
      </c>
      <c r="H11646" t="s">
        <v>29389</v>
      </c>
      <c r="I11646" t="s">
        <v>10408</v>
      </c>
      <c r="J11646" t="s">
        <v>29555</v>
      </c>
      <c r="K11646" t="s">
        <v>38496</v>
      </c>
      <c r="M11646" t="s">
        <v>42289</v>
      </c>
      <c r="N11646" t="s">
        <v>42669</v>
      </c>
      <c r="O11646" t="s">
        <v>42670</v>
      </c>
      <c r="P11646">
        <v>0</v>
      </c>
      <c r="Q11646">
        <v>0</v>
      </c>
      <c r="R11646" t="s">
        <v>42687</v>
      </c>
      <c r="S11646" t="s">
        <v>43432</v>
      </c>
      <c r="T11646" t="s">
        <v>44386</v>
      </c>
      <c r="U11646" t="s">
        <v>54330</v>
      </c>
      <c r="V11646" t="s">
        <v>57668</v>
      </c>
      <c r="W11646" t="s">
        <v>42289</v>
      </c>
      <c r="X11646" t="s">
        <v>42688</v>
      </c>
    </row>
    <row r="11647" spans="1:24">
      <c r="A11647">
        <f>HYPERLINK("https://www.philgeps.gov.ph/GEPSNONPILOT/Tender/SplashBidNoticeAbstractUI.aspx?menuIndex=3&amp;refID=7164284&amp;Result=3","7164284")</f>
        <v>0</v>
      </c>
      <c r="B11647" t="s">
        <v>3225</v>
      </c>
      <c r="C11647" t="s">
        <v>14666</v>
      </c>
      <c r="E11647" t="s">
        <v>27151</v>
      </c>
      <c r="F11647" t="s">
        <v>29372</v>
      </c>
      <c r="G11647" t="s">
        <v>29380</v>
      </c>
      <c r="H11647" t="s">
        <v>29390</v>
      </c>
      <c r="I11647" t="s">
        <v>29392</v>
      </c>
      <c r="J11647" t="s">
        <v>36873</v>
      </c>
      <c r="K11647" t="s">
        <v>38580</v>
      </c>
      <c r="M11647" t="s">
        <v>42290</v>
      </c>
      <c r="N11647" t="s">
        <v>42669</v>
      </c>
      <c r="O11647" t="s">
        <v>42670</v>
      </c>
      <c r="P11647">
        <v>0</v>
      </c>
      <c r="Q11647">
        <v>7</v>
      </c>
      <c r="R11647" t="s">
        <v>42687</v>
      </c>
      <c r="S11647" t="s">
        <v>43432</v>
      </c>
      <c r="T11647" t="s">
        <v>44355</v>
      </c>
      <c r="U11647" t="s">
        <v>54331</v>
      </c>
      <c r="W11647" t="s">
        <v>42290</v>
      </c>
      <c r="X11647" t="s">
        <v>42689</v>
      </c>
    </row>
    <row r="11648" spans="1:24">
      <c r="A11648">
        <f>HYPERLINK("https://www.philgeps.gov.ph/GEPSNONPILOT/Tender/SplashBidNoticeAbstractUI.aspx?menuIndex=3&amp;refID=7164304&amp;Result=3","7164304")</f>
        <v>0</v>
      </c>
      <c r="B11648" t="s">
        <v>3221</v>
      </c>
      <c r="C11648" t="s">
        <v>14667</v>
      </c>
      <c r="D11648" t="s">
        <v>17164</v>
      </c>
      <c r="E11648" t="s">
        <v>17533</v>
      </c>
      <c r="F11648" t="s">
        <v>29372</v>
      </c>
      <c r="G11648" t="s">
        <v>29380</v>
      </c>
      <c r="H11648" t="s">
        <v>11048</v>
      </c>
      <c r="I11648" t="s">
        <v>29415</v>
      </c>
      <c r="J11648" t="s">
        <v>29625</v>
      </c>
      <c r="K11648" t="s">
        <v>38491</v>
      </c>
      <c r="M11648" t="s">
        <v>42286</v>
      </c>
      <c r="N11648" t="s">
        <v>42669</v>
      </c>
      <c r="O11648" t="s">
        <v>42670</v>
      </c>
      <c r="P11648">
        <v>0</v>
      </c>
      <c r="Q11648">
        <v>2</v>
      </c>
      <c r="R11648" t="s">
        <v>42687</v>
      </c>
      <c r="S11648" t="s">
        <v>43432</v>
      </c>
      <c r="T11648" t="s">
        <v>44820</v>
      </c>
      <c r="U11648" t="s">
        <v>54332</v>
      </c>
      <c r="W11648" t="s">
        <v>42286</v>
      </c>
      <c r="X11648" t="s">
        <v>42688</v>
      </c>
    </row>
    <row r="11649" spans="1:24">
      <c r="A11649">
        <f>HYPERLINK("https://www.philgeps.gov.ph/GEPSNONPILOT/Tender/SplashBidNoticeAbstractUI.aspx?menuIndex=3&amp;refID=7164503&amp;Result=3","7164503")</f>
        <v>0</v>
      </c>
      <c r="B11649" t="s">
        <v>346</v>
      </c>
      <c r="C11649" t="s">
        <v>14668</v>
      </c>
      <c r="E11649" t="s">
        <v>27152</v>
      </c>
      <c r="F11649" t="s">
        <v>29372</v>
      </c>
      <c r="G11649" t="s">
        <v>29380</v>
      </c>
      <c r="H11649" t="s">
        <v>11048</v>
      </c>
      <c r="I11649" t="s">
        <v>29429</v>
      </c>
      <c r="J11649" t="s">
        <v>36874</v>
      </c>
      <c r="K11649" t="s">
        <v>38522</v>
      </c>
      <c r="M11649" t="s">
        <v>39105</v>
      </c>
      <c r="N11649" t="s">
        <v>42669</v>
      </c>
      <c r="O11649" t="s">
        <v>42670</v>
      </c>
      <c r="P11649">
        <v>0</v>
      </c>
      <c r="Q11649">
        <v>0</v>
      </c>
      <c r="R11649" t="s">
        <v>42687</v>
      </c>
      <c r="S11649" t="s">
        <v>43432</v>
      </c>
      <c r="T11649" t="s">
        <v>44357</v>
      </c>
      <c r="U11649" t="s">
        <v>54333</v>
      </c>
      <c r="W11649" t="s">
        <v>39105</v>
      </c>
      <c r="X11649" t="s">
        <v>42688</v>
      </c>
    </row>
    <row r="11650" spans="1:24">
      <c r="A11650">
        <f>HYPERLINK("https://www.philgeps.gov.ph/GEPSNONPILOT/Tender/SplashBidNoticeAbstractUI.aspx?menuIndex=3&amp;refID=7164292&amp;Result=3","7164292")</f>
        <v>0</v>
      </c>
      <c r="B11650" t="s">
        <v>3222</v>
      </c>
      <c r="C11650" t="s">
        <v>14669</v>
      </c>
      <c r="D11650" t="s">
        <v>17226</v>
      </c>
      <c r="E11650" t="s">
        <v>27153</v>
      </c>
      <c r="F11650" t="s">
        <v>29372</v>
      </c>
      <c r="G11650" t="s">
        <v>29380</v>
      </c>
      <c r="H11650" t="s">
        <v>29389</v>
      </c>
      <c r="I11650" t="s">
        <v>10408</v>
      </c>
      <c r="J11650" t="s">
        <v>36875</v>
      </c>
      <c r="K11650" t="s">
        <v>38639</v>
      </c>
      <c r="M11650" t="s">
        <v>42287</v>
      </c>
      <c r="N11650" t="s">
        <v>42669</v>
      </c>
      <c r="O11650" t="s">
        <v>42670</v>
      </c>
      <c r="P11650">
        <v>0</v>
      </c>
      <c r="Q11650">
        <v>1</v>
      </c>
      <c r="R11650" t="s">
        <v>42687</v>
      </c>
      <c r="S11650" t="s">
        <v>43432</v>
      </c>
      <c r="T11650" t="s">
        <v>44398</v>
      </c>
      <c r="U11650" t="s">
        <v>54334</v>
      </c>
      <c r="W11650" t="s">
        <v>42287</v>
      </c>
      <c r="X11650" t="s">
        <v>42688</v>
      </c>
    </row>
    <row r="11651" spans="1:24">
      <c r="A11651">
        <f>HYPERLINK("https://www.philgeps.gov.ph/GEPSNONPILOT/Tender/SplashBidNoticeAbstractUI.aspx?menuIndex=3&amp;refID=7164489&amp;Result=3","7164489")</f>
        <v>0</v>
      </c>
      <c r="B11651" t="s">
        <v>898</v>
      </c>
      <c r="C11651" t="s">
        <v>14670</v>
      </c>
      <c r="D11651" t="s">
        <v>17142</v>
      </c>
      <c r="E11651" t="s">
        <v>27154</v>
      </c>
      <c r="F11651" t="s">
        <v>29372</v>
      </c>
      <c r="G11651" t="s">
        <v>29380</v>
      </c>
      <c r="H11651" t="s">
        <v>29389</v>
      </c>
      <c r="I11651" t="s">
        <v>10408</v>
      </c>
      <c r="J11651" t="s">
        <v>36876</v>
      </c>
      <c r="K11651" t="s">
        <v>38490</v>
      </c>
      <c r="M11651" t="s">
        <v>42291</v>
      </c>
      <c r="N11651" t="s">
        <v>42669</v>
      </c>
      <c r="O11651" t="s">
        <v>42670</v>
      </c>
      <c r="Q11651">
        <v>1</v>
      </c>
      <c r="R11651" t="s">
        <v>42687</v>
      </c>
      <c r="S11651" t="s">
        <v>43433</v>
      </c>
      <c r="T11651" t="s">
        <v>44470</v>
      </c>
      <c r="U11651" t="s">
        <v>54335</v>
      </c>
      <c r="W11651" t="s">
        <v>42291</v>
      </c>
      <c r="X11651" t="s">
        <v>42688</v>
      </c>
    </row>
    <row r="11652" spans="1:24">
      <c r="A11652">
        <f>HYPERLINK("https://www.philgeps.gov.ph/GEPSNONPILOT/Tender/SplashBidNoticeAbstractUI.aspx?menuIndex=3&amp;refID=7164287&amp;Result=3","7164287")</f>
        <v>0</v>
      </c>
      <c r="B11652" t="s">
        <v>3224</v>
      </c>
      <c r="C11652" t="s">
        <v>14671</v>
      </c>
      <c r="D11652" t="s">
        <v>17170</v>
      </c>
      <c r="E11652" t="s">
        <v>20412</v>
      </c>
      <c r="F11652" t="s">
        <v>29372</v>
      </c>
      <c r="G11652" t="s">
        <v>29380</v>
      </c>
      <c r="H11652" t="s">
        <v>29389</v>
      </c>
      <c r="I11652" t="s">
        <v>10408</v>
      </c>
      <c r="J11652" t="s">
        <v>29587</v>
      </c>
      <c r="K11652" t="s">
        <v>38496</v>
      </c>
      <c r="M11652" t="s">
        <v>42289</v>
      </c>
      <c r="N11652" t="s">
        <v>42669</v>
      </c>
      <c r="O11652" t="s">
        <v>42670</v>
      </c>
      <c r="P11652">
        <v>0</v>
      </c>
      <c r="Q11652">
        <v>0</v>
      </c>
      <c r="R11652" t="s">
        <v>42687</v>
      </c>
      <c r="S11652" t="s">
        <v>43432</v>
      </c>
      <c r="T11652" t="s">
        <v>44386</v>
      </c>
      <c r="U11652" t="s">
        <v>54336</v>
      </c>
      <c r="V11652" t="s">
        <v>57668</v>
      </c>
      <c r="W11652" t="s">
        <v>42289</v>
      </c>
      <c r="X11652" t="s">
        <v>42688</v>
      </c>
    </row>
    <row r="11653" spans="1:24">
      <c r="A11653">
        <f>HYPERLINK("https://www.philgeps.gov.ph/GEPSNONPILOT/Tender/SplashBidNoticeAbstractUI.aspx?menuIndex=3&amp;refID=7164479&amp;Result=3","7164479")</f>
        <v>0</v>
      </c>
      <c r="B11653" t="s">
        <v>2966</v>
      </c>
      <c r="C11653" t="s">
        <v>14672</v>
      </c>
      <c r="D11653" t="s">
        <v>17163</v>
      </c>
      <c r="E11653" t="s">
        <v>27155</v>
      </c>
      <c r="F11653" t="s">
        <v>29372</v>
      </c>
      <c r="G11653" t="s">
        <v>29380</v>
      </c>
      <c r="H11653" t="s">
        <v>29389</v>
      </c>
      <c r="I11653" t="s">
        <v>10408</v>
      </c>
      <c r="J11653" t="s">
        <v>36877</v>
      </c>
      <c r="K11653" t="s">
        <v>38557</v>
      </c>
      <c r="M11653" t="s">
        <v>41977</v>
      </c>
      <c r="N11653" t="s">
        <v>42669</v>
      </c>
      <c r="O11653" t="s">
        <v>42670</v>
      </c>
      <c r="P11653">
        <v>0</v>
      </c>
      <c r="Q11653">
        <v>4</v>
      </c>
      <c r="R11653" t="s">
        <v>42687</v>
      </c>
      <c r="S11653" t="s">
        <v>43432</v>
      </c>
      <c r="T11653" t="s">
        <v>44357</v>
      </c>
      <c r="U11653" t="s">
        <v>54337</v>
      </c>
      <c r="V11653" t="s">
        <v>57517</v>
      </c>
      <c r="W11653" t="s">
        <v>41977</v>
      </c>
      <c r="X11653" t="s">
        <v>42688</v>
      </c>
    </row>
    <row r="11654" spans="1:24">
      <c r="A11654">
        <f>HYPERLINK("https://www.philgeps.gov.ph/GEPSNONPILOT/Tender/SplashBidNoticeAbstractUI.aspx?menuIndex=3&amp;refID=7164902&amp;Result=3","7164902")</f>
        <v>0</v>
      </c>
      <c r="B11654" t="s">
        <v>290</v>
      </c>
      <c r="C11654" t="s">
        <v>14673</v>
      </c>
      <c r="D11654" t="s">
        <v>17189</v>
      </c>
      <c r="E11654" t="s">
        <v>27156</v>
      </c>
      <c r="F11654" t="s">
        <v>29372</v>
      </c>
      <c r="G11654" t="s">
        <v>29380</v>
      </c>
      <c r="H11654" t="s">
        <v>29389</v>
      </c>
      <c r="I11654" t="s">
        <v>10408</v>
      </c>
      <c r="J11654" t="s">
        <v>36878</v>
      </c>
      <c r="K11654" t="s">
        <v>38520</v>
      </c>
      <c r="M11654" t="s">
        <v>39049</v>
      </c>
      <c r="N11654" t="s">
        <v>42669</v>
      </c>
      <c r="O11654" t="s">
        <v>42670</v>
      </c>
      <c r="Q11654">
        <v>2</v>
      </c>
      <c r="R11654" t="s">
        <v>42686</v>
      </c>
      <c r="S11654" t="s">
        <v>43434</v>
      </c>
      <c r="T11654" t="s">
        <v>44389</v>
      </c>
      <c r="U11654" t="s">
        <v>54338</v>
      </c>
      <c r="W11654" t="s">
        <v>39049</v>
      </c>
      <c r="X11654" t="s">
        <v>42687</v>
      </c>
    </row>
    <row r="11655" spans="1:24">
      <c r="A11655">
        <f>HYPERLINK("https://www.philgeps.gov.ph/GEPSNONPILOT/Tender/SplashBidNoticeAbstractUI.aspx?menuIndex=3&amp;refID=7164450&amp;Result=3","7164450")</f>
        <v>0</v>
      </c>
      <c r="B11655" t="s">
        <v>3050</v>
      </c>
      <c r="C11655" t="s">
        <v>14674</v>
      </c>
      <c r="D11655" t="s">
        <v>17198</v>
      </c>
      <c r="E11655" t="s">
        <v>27157</v>
      </c>
      <c r="F11655" t="s">
        <v>29372</v>
      </c>
      <c r="G11655" t="s">
        <v>29380</v>
      </c>
      <c r="H11655" t="s">
        <v>11048</v>
      </c>
      <c r="I11655" t="s">
        <v>29433</v>
      </c>
      <c r="J11655" t="s">
        <v>35005</v>
      </c>
      <c r="K11655" t="s">
        <v>38488</v>
      </c>
      <c r="M11655" t="s">
        <v>42075</v>
      </c>
      <c r="N11655" t="s">
        <v>42669</v>
      </c>
      <c r="O11655" t="s">
        <v>42670</v>
      </c>
      <c r="P11655">
        <v>0</v>
      </c>
      <c r="Q11655">
        <v>23</v>
      </c>
      <c r="R11655" t="s">
        <v>42687</v>
      </c>
      <c r="S11655" t="s">
        <v>43432</v>
      </c>
      <c r="T11655" t="s">
        <v>44375</v>
      </c>
      <c r="U11655" t="s">
        <v>54339</v>
      </c>
      <c r="W11655" t="s">
        <v>42075</v>
      </c>
      <c r="X11655" t="s">
        <v>42688</v>
      </c>
    </row>
    <row r="11656" spans="1:24">
      <c r="A11656">
        <f>HYPERLINK("https://www.philgeps.gov.ph/GEPSNONPILOT/Tender/SplashBidNoticeAbstractUI.aspx?menuIndex=3&amp;refID=7164554&amp;Result=3","7164554")</f>
        <v>0</v>
      </c>
      <c r="B11656" t="s">
        <v>1087</v>
      </c>
      <c r="C11656" t="s">
        <v>14675</v>
      </c>
      <c r="E11656" t="s">
        <v>27158</v>
      </c>
      <c r="F11656" t="s">
        <v>29372</v>
      </c>
      <c r="G11656" t="s">
        <v>29380</v>
      </c>
      <c r="H11656" t="s">
        <v>11048</v>
      </c>
      <c r="I11656" t="s">
        <v>29428</v>
      </c>
      <c r="J11656" t="s">
        <v>36879</v>
      </c>
      <c r="K11656" t="s">
        <v>38485</v>
      </c>
      <c r="M11656" t="s">
        <v>41625</v>
      </c>
      <c r="N11656" t="s">
        <v>42669</v>
      </c>
      <c r="O11656" t="s">
        <v>42670</v>
      </c>
      <c r="Q11656">
        <v>2</v>
      </c>
      <c r="R11656" t="s">
        <v>42687</v>
      </c>
      <c r="S11656" t="s">
        <v>43435</v>
      </c>
      <c r="T11656" t="s">
        <v>44375</v>
      </c>
      <c r="U11656" t="s">
        <v>54340</v>
      </c>
      <c r="V11656" t="s">
        <v>57329</v>
      </c>
      <c r="W11656" t="s">
        <v>41625</v>
      </c>
      <c r="X11656" t="s">
        <v>42688</v>
      </c>
    </row>
    <row r="11657" spans="1:24">
      <c r="A11657">
        <f>HYPERLINK("https://www.philgeps.gov.ph/GEPSNONPILOT/Tender/SplashBidNoticeAbstractUI.aspx?menuIndex=3&amp;refID=7164342&amp;Result=3","7164342")</f>
        <v>0</v>
      </c>
      <c r="B11657" t="s">
        <v>430</v>
      </c>
      <c r="C11657" t="s">
        <v>14676</v>
      </c>
      <c r="D11657" t="s">
        <v>17168</v>
      </c>
      <c r="E11657" t="s">
        <v>27159</v>
      </c>
      <c r="F11657" t="s">
        <v>29372</v>
      </c>
      <c r="G11657" t="s">
        <v>29380</v>
      </c>
      <c r="H11657" t="s">
        <v>29389</v>
      </c>
      <c r="I11657" t="s">
        <v>29408</v>
      </c>
      <c r="J11657" t="s">
        <v>31893</v>
      </c>
      <c r="K11657" t="s">
        <v>38485</v>
      </c>
      <c r="M11657" t="s">
        <v>40337</v>
      </c>
      <c r="N11657" t="s">
        <v>42669</v>
      </c>
      <c r="O11657" t="s">
        <v>42670</v>
      </c>
      <c r="P11657">
        <v>0</v>
      </c>
      <c r="Q11657">
        <v>5</v>
      </c>
      <c r="R11657" t="s">
        <v>42687</v>
      </c>
      <c r="S11657" t="s">
        <v>43432</v>
      </c>
      <c r="T11657" t="s">
        <v>44391</v>
      </c>
      <c r="U11657" t="s">
        <v>54341</v>
      </c>
      <c r="W11657" t="s">
        <v>40337</v>
      </c>
      <c r="X11657" t="s">
        <v>42688</v>
      </c>
    </row>
    <row r="11658" spans="1:24">
      <c r="A11658">
        <f>HYPERLINK("https://www.philgeps.gov.ph/GEPSNONPILOT/Tender/SplashBidNoticeAbstractUI.aspx?menuIndex=3&amp;refID=7162204&amp;Result=3","7162204")</f>
        <v>0</v>
      </c>
      <c r="B11658" t="s">
        <v>1624</v>
      </c>
      <c r="C11658" t="s">
        <v>14677</v>
      </c>
      <c r="D11658" t="s">
        <v>17196</v>
      </c>
      <c r="E11658" t="s">
        <v>27160</v>
      </c>
      <c r="F11658" t="s">
        <v>29372</v>
      </c>
      <c r="G11658" t="s">
        <v>29380</v>
      </c>
      <c r="H11658" t="s">
        <v>11048</v>
      </c>
      <c r="I11658" t="s">
        <v>29412</v>
      </c>
      <c r="J11658" t="s">
        <v>36880</v>
      </c>
      <c r="K11658" t="s">
        <v>38485</v>
      </c>
      <c r="L11658" t="s">
        <v>1624</v>
      </c>
      <c r="M11658" t="s">
        <v>40478</v>
      </c>
      <c r="N11658" t="s">
        <v>42669</v>
      </c>
      <c r="O11658" t="s">
        <v>42670</v>
      </c>
      <c r="P11658">
        <v>0</v>
      </c>
      <c r="Q11658">
        <v>11</v>
      </c>
      <c r="R11658" t="s">
        <v>42687</v>
      </c>
      <c r="S11658" t="s">
        <v>43432</v>
      </c>
      <c r="T11658" t="s">
        <v>44357</v>
      </c>
      <c r="U11658" t="s">
        <v>48507</v>
      </c>
      <c r="V11658" t="s">
        <v>56853</v>
      </c>
      <c r="W11658" t="s">
        <v>40478</v>
      </c>
      <c r="X11658" t="s">
        <v>42689</v>
      </c>
    </row>
    <row r="11659" spans="1:24">
      <c r="A11659">
        <f>HYPERLINK("https://www.philgeps.gov.ph/GEPSNONPILOT/Tender/SplashBidNoticeAbstractUI.aspx?menuIndex=3&amp;refID=7164538&amp;Result=3","7164538")</f>
        <v>0</v>
      </c>
      <c r="B11659" t="s">
        <v>1087</v>
      </c>
      <c r="C11659" t="s">
        <v>14678</v>
      </c>
      <c r="E11659" t="s">
        <v>27161</v>
      </c>
      <c r="F11659" t="s">
        <v>29372</v>
      </c>
      <c r="G11659" t="s">
        <v>29380</v>
      </c>
      <c r="H11659" t="s">
        <v>11048</v>
      </c>
      <c r="I11659" t="s">
        <v>29428</v>
      </c>
      <c r="J11659" t="s">
        <v>36881</v>
      </c>
      <c r="K11659" t="s">
        <v>38485</v>
      </c>
      <c r="M11659" t="s">
        <v>41625</v>
      </c>
      <c r="N11659" t="s">
        <v>42669</v>
      </c>
      <c r="O11659" t="s">
        <v>42670</v>
      </c>
      <c r="Q11659">
        <v>2</v>
      </c>
      <c r="R11659" t="s">
        <v>42687</v>
      </c>
      <c r="S11659" t="s">
        <v>43436</v>
      </c>
      <c r="T11659" t="s">
        <v>44375</v>
      </c>
      <c r="U11659" t="s">
        <v>54342</v>
      </c>
      <c r="V11659" t="s">
        <v>57329</v>
      </c>
      <c r="W11659" t="s">
        <v>41625</v>
      </c>
      <c r="X11659" t="s">
        <v>42688</v>
      </c>
    </row>
    <row r="11660" spans="1:24">
      <c r="A11660">
        <f>HYPERLINK("https://www.philgeps.gov.ph/GEPSNONPILOT/Tender/SplashBidNoticeAbstractUI.aspx?menuIndex=3&amp;refID=7164513&amp;Result=3","7164513")</f>
        <v>0</v>
      </c>
      <c r="B11660" t="s">
        <v>898</v>
      </c>
      <c r="C11660" t="s">
        <v>14679</v>
      </c>
      <c r="D11660" t="s">
        <v>17142</v>
      </c>
      <c r="E11660" t="s">
        <v>27162</v>
      </c>
      <c r="F11660" t="s">
        <v>29372</v>
      </c>
      <c r="G11660" t="s">
        <v>29380</v>
      </c>
      <c r="H11660" t="s">
        <v>29389</v>
      </c>
      <c r="I11660" t="s">
        <v>10408</v>
      </c>
      <c r="J11660" t="s">
        <v>36882</v>
      </c>
      <c r="K11660" t="s">
        <v>38490</v>
      </c>
      <c r="M11660" t="s">
        <v>42291</v>
      </c>
      <c r="N11660" t="s">
        <v>42669</v>
      </c>
      <c r="O11660" t="s">
        <v>42670</v>
      </c>
      <c r="Q11660">
        <v>0</v>
      </c>
      <c r="R11660" t="s">
        <v>42687</v>
      </c>
      <c r="S11660" t="s">
        <v>43437</v>
      </c>
      <c r="T11660" t="s">
        <v>44470</v>
      </c>
      <c r="U11660" t="s">
        <v>54343</v>
      </c>
      <c r="W11660" t="s">
        <v>42291</v>
      </c>
      <c r="X11660" t="s">
        <v>42688</v>
      </c>
    </row>
    <row r="11661" spans="1:24">
      <c r="A11661">
        <f>HYPERLINK("https://www.philgeps.gov.ph/GEPSNONPILOT/Tender/SplashBidNoticeAbstractUI.aspx?menuIndex=3&amp;refID=7164511&amp;Result=3","7164511")</f>
        <v>0</v>
      </c>
      <c r="B11661" t="s">
        <v>346</v>
      </c>
      <c r="C11661" t="s">
        <v>14680</v>
      </c>
      <c r="E11661" t="s">
        <v>27163</v>
      </c>
      <c r="F11661" t="s">
        <v>29372</v>
      </c>
      <c r="G11661" t="s">
        <v>29380</v>
      </c>
      <c r="H11661" t="s">
        <v>11048</v>
      </c>
      <c r="I11661" t="s">
        <v>5383</v>
      </c>
      <c r="J11661" t="s">
        <v>36883</v>
      </c>
      <c r="K11661" t="s">
        <v>38485</v>
      </c>
      <c r="M11661" t="s">
        <v>39105</v>
      </c>
      <c r="N11661" t="s">
        <v>42669</v>
      </c>
      <c r="O11661" t="s">
        <v>42670</v>
      </c>
      <c r="P11661">
        <v>0</v>
      </c>
      <c r="Q11661">
        <v>6</v>
      </c>
      <c r="R11661" t="s">
        <v>42687</v>
      </c>
      <c r="S11661" t="s">
        <v>43432</v>
      </c>
      <c r="T11661" t="s">
        <v>44357</v>
      </c>
      <c r="U11661" t="s">
        <v>54344</v>
      </c>
      <c r="W11661" t="s">
        <v>39105</v>
      </c>
      <c r="X11661" t="s">
        <v>42688</v>
      </c>
    </row>
    <row r="11662" spans="1:24">
      <c r="A11662">
        <f>HYPERLINK("https://www.philgeps.gov.ph/GEPSNONPILOT/Tender/SplashBidNoticeAbstractUI.aspx?menuIndex=3&amp;refID=7164434&amp;Result=3","7164434")</f>
        <v>0</v>
      </c>
      <c r="B11662" t="s">
        <v>1723</v>
      </c>
      <c r="C11662" t="s">
        <v>14681</v>
      </c>
      <c r="D11662" t="s">
        <v>17194</v>
      </c>
      <c r="E11662" t="s">
        <v>27164</v>
      </c>
      <c r="F11662" t="s">
        <v>29372</v>
      </c>
      <c r="G11662" t="s">
        <v>29380</v>
      </c>
      <c r="H11662" t="s">
        <v>11048</v>
      </c>
      <c r="I11662" t="s">
        <v>29404</v>
      </c>
      <c r="J11662" t="s">
        <v>30412</v>
      </c>
      <c r="K11662" t="s">
        <v>38518</v>
      </c>
      <c r="M11662" t="s">
        <v>40587</v>
      </c>
      <c r="N11662" t="s">
        <v>42669</v>
      </c>
      <c r="O11662" t="s">
        <v>42670</v>
      </c>
      <c r="Q11662">
        <v>0</v>
      </c>
      <c r="R11662" t="s">
        <v>42687</v>
      </c>
      <c r="S11662" t="s">
        <v>43330</v>
      </c>
      <c r="T11662" t="s">
        <v>44432</v>
      </c>
      <c r="U11662" t="s">
        <v>54345</v>
      </c>
      <c r="V11662" t="s">
        <v>57669</v>
      </c>
      <c r="W11662" t="s">
        <v>40587</v>
      </c>
      <c r="X11662" t="s">
        <v>42688</v>
      </c>
    </row>
    <row r="11663" spans="1:24">
      <c r="A11663">
        <f>HYPERLINK("https://www.philgeps.gov.ph/GEPSNONPILOT/Tender/SplashBidNoticeAbstractUI.aspx?menuIndex=3&amp;refID=7164430&amp;Result=3","7164430")</f>
        <v>0</v>
      </c>
      <c r="B11663" t="s">
        <v>1723</v>
      </c>
      <c r="C11663" t="s">
        <v>14682</v>
      </c>
      <c r="D11663" t="s">
        <v>17194</v>
      </c>
      <c r="E11663" t="s">
        <v>27165</v>
      </c>
      <c r="F11663" t="s">
        <v>29372</v>
      </c>
      <c r="G11663" t="s">
        <v>29380</v>
      </c>
      <c r="H11663" t="s">
        <v>11048</v>
      </c>
      <c r="I11663" t="s">
        <v>3670</v>
      </c>
      <c r="J11663" t="s">
        <v>30258</v>
      </c>
      <c r="K11663" t="s">
        <v>38518</v>
      </c>
      <c r="M11663" t="s">
        <v>40587</v>
      </c>
      <c r="N11663" t="s">
        <v>42669</v>
      </c>
      <c r="O11663" t="s">
        <v>42670</v>
      </c>
      <c r="Q11663">
        <v>0</v>
      </c>
      <c r="R11663" t="s">
        <v>42687</v>
      </c>
      <c r="S11663" t="s">
        <v>43438</v>
      </c>
      <c r="T11663" t="s">
        <v>44432</v>
      </c>
      <c r="U11663" t="s">
        <v>54346</v>
      </c>
      <c r="V11663" t="s">
        <v>57669</v>
      </c>
      <c r="W11663" t="s">
        <v>40587</v>
      </c>
      <c r="X11663" t="s">
        <v>42688</v>
      </c>
    </row>
    <row r="11664" spans="1:24">
      <c r="A11664">
        <f>HYPERLINK("https://www.philgeps.gov.ph/GEPSNONPILOT/Tender/SplashBidNoticeAbstractUI.aspx?menuIndex=3&amp;refID=7164411&amp;Result=3","7164411")</f>
        <v>0</v>
      </c>
      <c r="B11664" t="s">
        <v>3050</v>
      </c>
      <c r="C11664" t="s">
        <v>14683</v>
      </c>
      <c r="D11664" t="s">
        <v>17198</v>
      </c>
      <c r="E11664" t="s">
        <v>27166</v>
      </c>
      <c r="F11664" t="s">
        <v>29372</v>
      </c>
      <c r="G11664" t="s">
        <v>29380</v>
      </c>
      <c r="H11664" t="s">
        <v>11048</v>
      </c>
      <c r="I11664" t="s">
        <v>29414</v>
      </c>
      <c r="J11664" t="s">
        <v>30901</v>
      </c>
      <c r="K11664" t="s">
        <v>38488</v>
      </c>
      <c r="M11664" t="s">
        <v>42075</v>
      </c>
      <c r="N11664" t="s">
        <v>42669</v>
      </c>
      <c r="O11664" t="s">
        <v>42670</v>
      </c>
      <c r="P11664">
        <v>0</v>
      </c>
      <c r="Q11664">
        <v>22</v>
      </c>
      <c r="R11664" t="s">
        <v>42687</v>
      </c>
      <c r="S11664" t="s">
        <v>43432</v>
      </c>
      <c r="T11664" t="s">
        <v>44375</v>
      </c>
      <c r="U11664" t="s">
        <v>54347</v>
      </c>
      <c r="W11664" t="s">
        <v>42075</v>
      </c>
      <c r="X11664" t="s">
        <v>42688</v>
      </c>
    </row>
    <row r="11665" spans="1:24">
      <c r="A11665">
        <f>HYPERLINK("https://www.philgeps.gov.ph/GEPSNONPILOT/Tender/SplashBidNoticeAbstractUI.aspx?menuIndex=3&amp;refID=7164365&amp;Result=3","7164365")</f>
        <v>0</v>
      </c>
      <c r="B11665" t="s">
        <v>3226</v>
      </c>
      <c r="C11665" t="s">
        <v>14684</v>
      </c>
      <c r="D11665" t="s">
        <v>17188</v>
      </c>
      <c r="E11665" t="s">
        <v>27167</v>
      </c>
      <c r="F11665" t="s">
        <v>29372</v>
      </c>
      <c r="G11665" t="s">
        <v>29380</v>
      </c>
      <c r="H11665" t="s">
        <v>29389</v>
      </c>
      <c r="I11665" t="s">
        <v>10408</v>
      </c>
      <c r="J11665" t="s">
        <v>29526</v>
      </c>
      <c r="K11665" t="s">
        <v>38485</v>
      </c>
      <c r="M11665" t="s">
        <v>42292</v>
      </c>
      <c r="N11665" t="s">
        <v>42669</v>
      </c>
      <c r="O11665" t="s">
        <v>42670</v>
      </c>
      <c r="P11665">
        <v>0</v>
      </c>
      <c r="Q11665">
        <v>0</v>
      </c>
      <c r="R11665" t="s">
        <v>42687</v>
      </c>
      <c r="S11665" t="s">
        <v>43432</v>
      </c>
      <c r="T11665" t="s">
        <v>44375</v>
      </c>
      <c r="U11665" t="s">
        <v>54348</v>
      </c>
      <c r="V11665" t="s">
        <v>57670</v>
      </c>
      <c r="W11665" t="s">
        <v>42292</v>
      </c>
      <c r="X11665" t="s">
        <v>42688</v>
      </c>
    </row>
    <row r="11666" spans="1:24">
      <c r="A11666">
        <f>HYPERLINK("https://www.philgeps.gov.ph/GEPSNONPILOT/Tender/SplashBidNoticeAbstractUI.aspx?menuIndex=3&amp;refID=7164512&amp;Result=3","7164512")</f>
        <v>0</v>
      </c>
      <c r="B11666" t="s">
        <v>346</v>
      </c>
      <c r="C11666" t="s">
        <v>14685</v>
      </c>
      <c r="E11666" t="s">
        <v>27168</v>
      </c>
      <c r="F11666" t="s">
        <v>29372</v>
      </c>
      <c r="G11666" t="s">
        <v>29380</v>
      </c>
      <c r="H11666" t="s">
        <v>11048</v>
      </c>
      <c r="I11666" t="s">
        <v>4486</v>
      </c>
      <c r="J11666" t="s">
        <v>36884</v>
      </c>
      <c r="K11666" t="s">
        <v>38485</v>
      </c>
      <c r="M11666" t="s">
        <v>39105</v>
      </c>
      <c r="N11666" t="s">
        <v>42669</v>
      </c>
      <c r="O11666" t="s">
        <v>42670</v>
      </c>
      <c r="P11666">
        <v>0</v>
      </c>
      <c r="Q11666">
        <v>3</v>
      </c>
      <c r="R11666" t="s">
        <v>42687</v>
      </c>
      <c r="S11666" t="s">
        <v>43432</v>
      </c>
      <c r="T11666" t="s">
        <v>44357</v>
      </c>
      <c r="U11666" t="s">
        <v>54349</v>
      </c>
      <c r="W11666" t="s">
        <v>39105</v>
      </c>
      <c r="X11666" t="s">
        <v>42688</v>
      </c>
    </row>
    <row r="11667" spans="1:24">
      <c r="A11667">
        <f>HYPERLINK("https://www.philgeps.gov.ph/GEPSNONPILOT/Tender/SplashBidNoticeAbstractUI.aspx?menuIndex=3&amp;refID=7164351&amp;Result=3","7164351")</f>
        <v>0</v>
      </c>
      <c r="B11667" t="s">
        <v>1488</v>
      </c>
      <c r="C11667" t="s">
        <v>14686</v>
      </c>
      <c r="D11667" t="s">
        <v>17205</v>
      </c>
      <c r="E11667" t="s">
        <v>27169</v>
      </c>
      <c r="F11667" t="s">
        <v>29372</v>
      </c>
      <c r="G11667" t="s">
        <v>29380</v>
      </c>
      <c r="H11667" t="s">
        <v>11048</v>
      </c>
      <c r="I11667" t="s">
        <v>4709</v>
      </c>
      <c r="J11667" t="s">
        <v>36885</v>
      </c>
      <c r="K11667" t="s">
        <v>38491</v>
      </c>
      <c r="M11667" t="s">
        <v>40331</v>
      </c>
      <c r="N11667" t="s">
        <v>42669</v>
      </c>
      <c r="O11667" t="s">
        <v>42670</v>
      </c>
      <c r="P11667">
        <v>0</v>
      </c>
      <c r="Q11667">
        <v>5</v>
      </c>
      <c r="R11667" t="s">
        <v>42687</v>
      </c>
      <c r="S11667" t="s">
        <v>43432</v>
      </c>
      <c r="T11667" t="s">
        <v>44371</v>
      </c>
      <c r="U11667" t="s">
        <v>54350</v>
      </c>
      <c r="V11667" t="s">
        <v>56777</v>
      </c>
      <c r="W11667" t="s">
        <v>40331</v>
      </c>
      <c r="X11667" t="s">
        <v>42688</v>
      </c>
    </row>
    <row r="11668" spans="1:24">
      <c r="A11668">
        <f>HYPERLINK("https://www.philgeps.gov.ph/GEPSNONPILOT/Tender/SplashBidNoticeAbstractUI.aspx?menuIndex=3&amp;refID=7163801&amp;Result=3","7163801")</f>
        <v>0</v>
      </c>
      <c r="B11668" t="s">
        <v>2133</v>
      </c>
      <c r="C11668" t="s">
        <v>14687</v>
      </c>
      <c r="D11668" t="s">
        <v>17183</v>
      </c>
      <c r="E11668" t="s">
        <v>27170</v>
      </c>
      <c r="F11668" t="s">
        <v>29372</v>
      </c>
      <c r="G11668" t="s">
        <v>29380</v>
      </c>
      <c r="H11668" t="s">
        <v>11048</v>
      </c>
      <c r="I11668" t="s">
        <v>4487</v>
      </c>
      <c r="J11668" t="s">
        <v>36886</v>
      </c>
      <c r="K11668" t="s">
        <v>38488</v>
      </c>
      <c r="L11668" t="s">
        <v>2133</v>
      </c>
      <c r="M11668" t="s">
        <v>41038</v>
      </c>
      <c r="N11668" t="s">
        <v>42669</v>
      </c>
      <c r="O11668" t="s">
        <v>42670</v>
      </c>
      <c r="Q11668">
        <v>2</v>
      </c>
      <c r="R11668" t="s">
        <v>42687</v>
      </c>
      <c r="S11668" t="s">
        <v>43439</v>
      </c>
      <c r="T11668" t="s">
        <v>44412</v>
      </c>
      <c r="U11668" t="s">
        <v>54351</v>
      </c>
      <c r="W11668" t="s">
        <v>41038</v>
      </c>
      <c r="X11668" t="s">
        <v>42689</v>
      </c>
    </row>
    <row r="11669" spans="1:24">
      <c r="A11669">
        <f>HYPERLINK("https://www.philgeps.gov.ph/GEPSNONPILOT/Tender/SplashBidNoticeAbstractUI.aspx?menuIndex=3&amp;refID=7164347&amp;Result=3","7164347")</f>
        <v>0</v>
      </c>
      <c r="B11669" t="s">
        <v>1488</v>
      </c>
      <c r="C11669" t="s">
        <v>14688</v>
      </c>
      <c r="D11669" t="s">
        <v>17205</v>
      </c>
      <c r="E11669" t="s">
        <v>27171</v>
      </c>
      <c r="F11669" t="s">
        <v>29372</v>
      </c>
      <c r="G11669" t="s">
        <v>29380</v>
      </c>
      <c r="H11669" t="s">
        <v>29389</v>
      </c>
      <c r="I11669" t="s">
        <v>10408</v>
      </c>
      <c r="J11669" t="s">
        <v>36887</v>
      </c>
      <c r="K11669" t="s">
        <v>38509</v>
      </c>
      <c r="M11669" t="s">
        <v>40331</v>
      </c>
      <c r="N11669" t="s">
        <v>42669</v>
      </c>
      <c r="O11669" t="s">
        <v>42670</v>
      </c>
      <c r="Q11669">
        <v>12</v>
      </c>
      <c r="R11669" t="s">
        <v>42687</v>
      </c>
      <c r="S11669" t="s">
        <v>43440</v>
      </c>
      <c r="T11669" t="s">
        <v>44371</v>
      </c>
      <c r="U11669" t="s">
        <v>54352</v>
      </c>
      <c r="V11669" t="s">
        <v>56777</v>
      </c>
      <c r="W11669" t="s">
        <v>40331</v>
      </c>
      <c r="X11669" t="s">
        <v>42688</v>
      </c>
    </row>
    <row r="11670" spans="1:24">
      <c r="A11670">
        <f>HYPERLINK("https://www.philgeps.gov.ph/GEPSNONPILOT/Tender/SplashBidNoticeAbstractUI.aspx?menuIndex=3&amp;refID=7161850&amp;Result=3","7161850")</f>
        <v>0</v>
      </c>
      <c r="B11670" t="s">
        <v>3227</v>
      </c>
      <c r="C11670" t="s">
        <v>14689</v>
      </c>
      <c r="E11670" t="s">
        <v>27172</v>
      </c>
      <c r="F11670" t="s">
        <v>29372</v>
      </c>
      <c r="G11670" t="s">
        <v>29380</v>
      </c>
      <c r="H11670" t="s">
        <v>11048</v>
      </c>
      <c r="I11670" t="s">
        <v>9469</v>
      </c>
      <c r="J11670" t="s">
        <v>29543</v>
      </c>
      <c r="K11670" t="s">
        <v>38488</v>
      </c>
      <c r="M11670" t="s">
        <v>42293</v>
      </c>
      <c r="N11670" t="s">
        <v>42669</v>
      </c>
      <c r="O11670" t="s">
        <v>42670</v>
      </c>
      <c r="P11670">
        <v>0</v>
      </c>
      <c r="Q11670">
        <v>3</v>
      </c>
      <c r="R11670" t="s">
        <v>42688</v>
      </c>
      <c r="S11670" t="s">
        <v>43441</v>
      </c>
      <c r="T11670" t="s">
        <v>44399</v>
      </c>
      <c r="U11670" t="s">
        <v>54353</v>
      </c>
      <c r="W11670" t="s">
        <v>42293</v>
      </c>
      <c r="X11670" t="s">
        <v>42689</v>
      </c>
    </row>
    <row r="11671" spans="1:24">
      <c r="A11671">
        <f>HYPERLINK("https://www.philgeps.gov.ph/GEPSNONPILOT/Tender/SplashBidNoticeAbstractUI.aspx?menuIndex=3&amp;refID=7161839&amp;Result=3","7161839")</f>
        <v>0</v>
      </c>
      <c r="B11671" t="s">
        <v>2996</v>
      </c>
      <c r="C11671" t="s">
        <v>14690</v>
      </c>
      <c r="D11671" t="s">
        <v>17216</v>
      </c>
      <c r="E11671" t="s">
        <v>27173</v>
      </c>
      <c r="F11671" t="s">
        <v>29372</v>
      </c>
      <c r="G11671" t="s">
        <v>29380</v>
      </c>
      <c r="H11671" t="s">
        <v>11048</v>
      </c>
      <c r="I11671" t="s">
        <v>29455</v>
      </c>
      <c r="J11671" t="s">
        <v>29543</v>
      </c>
      <c r="K11671" t="s">
        <v>38485</v>
      </c>
      <c r="M11671" t="s">
        <v>42015</v>
      </c>
      <c r="N11671" t="s">
        <v>42669</v>
      </c>
      <c r="O11671" t="s">
        <v>42670</v>
      </c>
      <c r="P11671">
        <v>0</v>
      </c>
      <c r="Q11671">
        <v>3</v>
      </c>
      <c r="R11671" t="s">
        <v>42688</v>
      </c>
      <c r="S11671" t="s">
        <v>43441</v>
      </c>
      <c r="T11671" t="s">
        <v>44489</v>
      </c>
      <c r="U11671" t="s">
        <v>54354</v>
      </c>
      <c r="W11671" t="s">
        <v>42015</v>
      </c>
      <c r="X11671" t="s">
        <v>42689</v>
      </c>
    </row>
    <row r="11672" spans="1:24">
      <c r="A11672">
        <f>HYPERLINK("https://www.philgeps.gov.ph/GEPSNONPILOT/Tender/SplashBidNoticeAbstractUI.aspx?menuIndex=3&amp;refID=7161792&amp;Result=3","7161792")</f>
        <v>0</v>
      </c>
      <c r="B11672" t="s">
        <v>3228</v>
      </c>
      <c r="C11672" t="s">
        <v>14691</v>
      </c>
      <c r="D11672" t="s">
        <v>17177</v>
      </c>
      <c r="E11672" t="s">
        <v>27174</v>
      </c>
      <c r="F11672" t="s">
        <v>29372</v>
      </c>
      <c r="G11672" t="s">
        <v>29380</v>
      </c>
      <c r="H11672" t="s">
        <v>29391</v>
      </c>
      <c r="I11672" t="s">
        <v>29462</v>
      </c>
      <c r="J11672" t="s">
        <v>29555</v>
      </c>
      <c r="K11672" t="s">
        <v>38485</v>
      </c>
      <c r="M11672" t="s">
        <v>42294</v>
      </c>
      <c r="N11672" t="s">
        <v>42669</v>
      </c>
      <c r="O11672" t="s">
        <v>42670</v>
      </c>
      <c r="P11672">
        <v>0</v>
      </c>
      <c r="Q11672">
        <v>1</v>
      </c>
      <c r="R11672" t="s">
        <v>42688</v>
      </c>
      <c r="S11672" t="s">
        <v>43441</v>
      </c>
      <c r="T11672" t="s">
        <v>44470</v>
      </c>
      <c r="U11672" t="s">
        <v>54355</v>
      </c>
      <c r="W11672" t="s">
        <v>42294</v>
      </c>
      <c r="X11672" t="s">
        <v>42689</v>
      </c>
    </row>
    <row r="11673" spans="1:24">
      <c r="A11673">
        <f>HYPERLINK("https://www.philgeps.gov.ph/GEPSNONPILOT/Tender/SplashBidNoticeAbstractUI.aspx?menuIndex=3&amp;refID=7164371&amp;Result=3","7164371")</f>
        <v>0</v>
      </c>
      <c r="B11673" t="s">
        <v>3229</v>
      </c>
      <c r="C11673" t="s">
        <v>14692</v>
      </c>
      <c r="D11673" t="s">
        <v>17188</v>
      </c>
      <c r="E11673" t="s">
        <v>27175</v>
      </c>
      <c r="F11673" t="s">
        <v>29372</v>
      </c>
      <c r="G11673" t="s">
        <v>29380</v>
      </c>
      <c r="H11673" t="s">
        <v>11048</v>
      </c>
      <c r="I11673" t="s">
        <v>9469</v>
      </c>
      <c r="J11673" t="s">
        <v>30752</v>
      </c>
      <c r="K11673" t="s">
        <v>38485</v>
      </c>
      <c r="M11673" t="s">
        <v>42295</v>
      </c>
      <c r="N11673" t="s">
        <v>42669</v>
      </c>
      <c r="O11673" t="s">
        <v>42670</v>
      </c>
      <c r="P11673">
        <v>0</v>
      </c>
      <c r="Q11673">
        <v>1</v>
      </c>
      <c r="R11673" t="s">
        <v>42687</v>
      </c>
      <c r="S11673" t="s">
        <v>43432</v>
      </c>
      <c r="T11673" t="s">
        <v>44375</v>
      </c>
      <c r="U11673" t="s">
        <v>54356</v>
      </c>
      <c r="V11673" t="s">
        <v>57670</v>
      </c>
      <c r="W11673" t="s">
        <v>42295</v>
      </c>
      <c r="X11673" t="s">
        <v>42688</v>
      </c>
    </row>
    <row r="11674" spans="1:24">
      <c r="A11674">
        <f>HYPERLINK("https://www.philgeps.gov.ph/GEPSNONPILOT/Tender/SplashBidNoticeAbstractUI.aspx?menuIndex=3&amp;refID=7161761&amp;Result=3","7161761")</f>
        <v>0</v>
      </c>
      <c r="B11674" t="s">
        <v>3228</v>
      </c>
      <c r="C11674" t="s">
        <v>14693</v>
      </c>
      <c r="D11674" t="s">
        <v>17177</v>
      </c>
      <c r="E11674" t="s">
        <v>27176</v>
      </c>
      <c r="F11674" t="s">
        <v>29372</v>
      </c>
      <c r="G11674" t="s">
        <v>29380</v>
      </c>
      <c r="H11674" t="s">
        <v>11048</v>
      </c>
      <c r="I11674" t="s">
        <v>6417</v>
      </c>
      <c r="J11674" t="s">
        <v>29526</v>
      </c>
      <c r="K11674" t="s">
        <v>38518</v>
      </c>
      <c r="M11674" t="s">
        <v>42294</v>
      </c>
      <c r="N11674" t="s">
        <v>42669</v>
      </c>
      <c r="O11674" t="s">
        <v>42670</v>
      </c>
      <c r="P11674">
        <v>0</v>
      </c>
      <c r="Q11674">
        <v>1</v>
      </c>
      <c r="R11674" t="s">
        <v>42688</v>
      </c>
      <c r="S11674" t="s">
        <v>43441</v>
      </c>
      <c r="T11674" t="s">
        <v>44470</v>
      </c>
      <c r="U11674" t="s">
        <v>54357</v>
      </c>
      <c r="W11674" t="s">
        <v>42294</v>
      </c>
      <c r="X11674" t="s">
        <v>42690</v>
      </c>
    </row>
    <row r="11675" spans="1:24">
      <c r="A11675">
        <f>HYPERLINK("https://www.philgeps.gov.ph/GEPSNONPILOT/Tender/SplashBidNoticeAbstractUI.aspx?menuIndex=3&amp;refID=7164514&amp;Result=3","7164514")</f>
        <v>0</v>
      </c>
      <c r="B11675" t="s">
        <v>898</v>
      </c>
      <c r="C11675" t="s">
        <v>14694</v>
      </c>
      <c r="D11675" t="s">
        <v>17142</v>
      </c>
      <c r="E11675" t="s">
        <v>27177</v>
      </c>
      <c r="F11675" t="s">
        <v>29372</v>
      </c>
      <c r="G11675" t="s">
        <v>29380</v>
      </c>
      <c r="H11675" t="s">
        <v>29389</v>
      </c>
      <c r="I11675" t="s">
        <v>10408</v>
      </c>
      <c r="J11675" t="s">
        <v>36888</v>
      </c>
      <c r="K11675" t="s">
        <v>38490</v>
      </c>
      <c r="M11675" t="s">
        <v>42291</v>
      </c>
      <c r="N11675" t="s">
        <v>42669</v>
      </c>
      <c r="O11675" t="s">
        <v>42670</v>
      </c>
      <c r="Q11675">
        <v>0</v>
      </c>
      <c r="R11675" t="s">
        <v>42687</v>
      </c>
      <c r="S11675" t="s">
        <v>43442</v>
      </c>
      <c r="T11675" t="s">
        <v>44470</v>
      </c>
      <c r="U11675" t="s">
        <v>54358</v>
      </c>
      <c r="W11675" t="s">
        <v>42291</v>
      </c>
      <c r="X11675" t="s">
        <v>42688</v>
      </c>
    </row>
    <row r="11676" spans="1:24">
      <c r="A11676">
        <f>HYPERLINK("https://www.philgeps.gov.ph/GEPSNONPILOT/Tender/SplashBidNoticeAbstractUI.aspx?menuIndex=3&amp;refID=7161088&amp;Result=3","7161088")</f>
        <v>0</v>
      </c>
      <c r="B11676" t="s">
        <v>3230</v>
      </c>
      <c r="C11676" t="s">
        <v>14695</v>
      </c>
      <c r="D11676" t="s">
        <v>17171</v>
      </c>
      <c r="E11676" t="s">
        <v>27178</v>
      </c>
      <c r="F11676" t="s">
        <v>29372</v>
      </c>
      <c r="G11676" t="s">
        <v>29380</v>
      </c>
      <c r="H11676" t="s">
        <v>11048</v>
      </c>
      <c r="I11676" t="s">
        <v>4709</v>
      </c>
      <c r="J11676" t="s">
        <v>36889</v>
      </c>
      <c r="K11676" t="s">
        <v>38490</v>
      </c>
      <c r="M11676" t="s">
        <v>42296</v>
      </c>
      <c r="N11676" t="s">
        <v>42669</v>
      </c>
      <c r="O11676" t="s">
        <v>42670</v>
      </c>
      <c r="P11676">
        <v>0</v>
      </c>
      <c r="Q11676">
        <v>1</v>
      </c>
      <c r="R11676" t="s">
        <v>42688</v>
      </c>
      <c r="S11676" t="s">
        <v>43441</v>
      </c>
      <c r="T11676" t="s">
        <v>44480</v>
      </c>
      <c r="U11676" t="s">
        <v>54359</v>
      </c>
      <c r="V11676" t="s">
        <v>57671</v>
      </c>
      <c r="W11676" t="s">
        <v>42296</v>
      </c>
      <c r="X11676" t="s">
        <v>42690</v>
      </c>
    </row>
    <row r="11677" spans="1:24">
      <c r="A11677">
        <f>HYPERLINK("https://www.philgeps.gov.ph/GEPSNONPILOT/Tender/SplashBidNoticeAbstractUI.aspx?menuIndex=3&amp;refID=7161138&amp;Result=3","7161138")</f>
        <v>0</v>
      </c>
      <c r="B11677" t="s">
        <v>3230</v>
      </c>
      <c r="C11677" t="s">
        <v>14696</v>
      </c>
      <c r="D11677" t="s">
        <v>17171</v>
      </c>
      <c r="E11677" t="s">
        <v>27179</v>
      </c>
      <c r="F11677" t="s">
        <v>29372</v>
      </c>
      <c r="G11677" t="s">
        <v>29380</v>
      </c>
      <c r="H11677" t="s">
        <v>29389</v>
      </c>
      <c r="I11677" t="s">
        <v>10408</v>
      </c>
      <c r="J11677" t="s">
        <v>36890</v>
      </c>
      <c r="K11677" t="s">
        <v>38490</v>
      </c>
      <c r="M11677" t="s">
        <v>42296</v>
      </c>
      <c r="N11677" t="s">
        <v>42669</v>
      </c>
      <c r="O11677" t="s">
        <v>42670</v>
      </c>
      <c r="P11677">
        <v>0</v>
      </c>
      <c r="Q11677">
        <v>2</v>
      </c>
      <c r="R11677" t="s">
        <v>42688</v>
      </c>
      <c r="S11677" t="s">
        <v>43441</v>
      </c>
      <c r="T11677" t="s">
        <v>44480</v>
      </c>
      <c r="U11677" t="s">
        <v>54360</v>
      </c>
      <c r="V11677" t="s">
        <v>57671</v>
      </c>
      <c r="W11677" t="s">
        <v>42296</v>
      </c>
      <c r="X11677" t="s">
        <v>42690</v>
      </c>
    </row>
    <row r="11678" spans="1:24">
      <c r="A11678">
        <f>HYPERLINK("https://www.philgeps.gov.ph/GEPSNONPILOT/Tender/SplashBidNoticeAbstractUI.aspx?menuIndex=3&amp;refID=7161700&amp;Result=3","7161700")</f>
        <v>0</v>
      </c>
      <c r="B11678" t="s">
        <v>2242</v>
      </c>
      <c r="C11678" t="s">
        <v>14697</v>
      </c>
      <c r="D11678" t="s">
        <v>17141</v>
      </c>
      <c r="E11678" t="s">
        <v>27180</v>
      </c>
      <c r="F11678" t="s">
        <v>29372</v>
      </c>
      <c r="G11678" t="s">
        <v>29380</v>
      </c>
      <c r="H11678" t="s">
        <v>11048</v>
      </c>
      <c r="I11678" t="s">
        <v>29396</v>
      </c>
      <c r="J11678" t="s">
        <v>29965</v>
      </c>
      <c r="K11678" t="s">
        <v>38488</v>
      </c>
      <c r="M11678" t="s">
        <v>41160</v>
      </c>
      <c r="N11678" t="s">
        <v>42669</v>
      </c>
      <c r="O11678" t="s">
        <v>42670</v>
      </c>
      <c r="Q11678">
        <v>1</v>
      </c>
      <c r="R11678" t="s">
        <v>42688</v>
      </c>
      <c r="S11678" t="s">
        <v>43443</v>
      </c>
      <c r="T11678" t="s">
        <v>44664</v>
      </c>
      <c r="U11678" t="s">
        <v>54361</v>
      </c>
      <c r="W11678" t="s">
        <v>41160</v>
      </c>
      <c r="X11678" t="s">
        <v>42690</v>
      </c>
    </row>
    <row r="11679" spans="1:24">
      <c r="A11679">
        <f>HYPERLINK("https://www.philgeps.gov.ph/GEPSNONPILOT/Tender/SplashBidNoticeAbstractUI.aspx?menuIndex=3&amp;refID=7161059&amp;Result=3","7161059")</f>
        <v>0</v>
      </c>
      <c r="B11679" t="s">
        <v>3230</v>
      </c>
      <c r="C11679" t="s">
        <v>14698</v>
      </c>
      <c r="D11679" t="s">
        <v>17171</v>
      </c>
      <c r="E11679" t="s">
        <v>27181</v>
      </c>
      <c r="F11679" t="s">
        <v>29372</v>
      </c>
      <c r="G11679" t="s">
        <v>29380</v>
      </c>
      <c r="H11679" t="s">
        <v>11048</v>
      </c>
      <c r="I11679" t="s">
        <v>4709</v>
      </c>
      <c r="J11679" t="s">
        <v>36891</v>
      </c>
      <c r="K11679" t="s">
        <v>38490</v>
      </c>
      <c r="M11679" t="s">
        <v>42296</v>
      </c>
      <c r="N11679" t="s">
        <v>42669</v>
      </c>
      <c r="O11679" t="s">
        <v>42670</v>
      </c>
      <c r="P11679">
        <v>0</v>
      </c>
      <c r="Q11679">
        <v>2</v>
      </c>
      <c r="R11679" t="s">
        <v>42688</v>
      </c>
      <c r="S11679" t="s">
        <v>43441</v>
      </c>
      <c r="T11679" t="s">
        <v>44480</v>
      </c>
      <c r="U11679" t="s">
        <v>54362</v>
      </c>
      <c r="V11679" t="s">
        <v>57671</v>
      </c>
      <c r="W11679" t="s">
        <v>42296</v>
      </c>
      <c r="X11679" t="s">
        <v>42690</v>
      </c>
    </row>
    <row r="11680" spans="1:24">
      <c r="A11680">
        <f>HYPERLINK("https://www.philgeps.gov.ph/GEPSNONPILOT/Tender/SplashBidNoticeAbstractUI.aspx?menuIndex=3&amp;refID=7161115&amp;Result=3","7161115")</f>
        <v>0</v>
      </c>
      <c r="B11680" t="s">
        <v>3230</v>
      </c>
      <c r="C11680" t="s">
        <v>14699</v>
      </c>
      <c r="D11680" t="s">
        <v>17171</v>
      </c>
      <c r="E11680" t="s">
        <v>27182</v>
      </c>
      <c r="F11680" t="s">
        <v>29372</v>
      </c>
      <c r="G11680" t="s">
        <v>29380</v>
      </c>
      <c r="H11680" t="s">
        <v>29389</v>
      </c>
      <c r="I11680" t="s">
        <v>10408</v>
      </c>
      <c r="J11680" t="s">
        <v>36892</v>
      </c>
      <c r="K11680" t="s">
        <v>38490</v>
      </c>
      <c r="M11680" t="s">
        <v>42296</v>
      </c>
      <c r="N11680" t="s">
        <v>42669</v>
      </c>
      <c r="O11680" t="s">
        <v>42670</v>
      </c>
      <c r="P11680">
        <v>0</v>
      </c>
      <c r="Q11680">
        <v>2</v>
      </c>
      <c r="R11680" t="s">
        <v>42688</v>
      </c>
      <c r="S11680" t="s">
        <v>43441</v>
      </c>
      <c r="T11680" t="s">
        <v>44430</v>
      </c>
      <c r="U11680" t="s">
        <v>54363</v>
      </c>
      <c r="V11680" t="s">
        <v>57671</v>
      </c>
      <c r="W11680" t="s">
        <v>42296</v>
      </c>
      <c r="X11680" t="s">
        <v>42690</v>
      </c>
    </row>
    <row r="11681" spans="1:24">
      <c r="A11681">
        <f>HYPERLINK("https://www.philgeps.gov.ph/GEPSNONPILOT/Tender/SplashBidNoticeAbstractUI.aspx?menuIndex=3&amp;refID=7160613&amp;Result=3","7160613")</f>
        <v>0</v>
      </c>
      <c r="B11681" t="s">
        <v>3050</v>
      </c>
      <c r="C11681" t="s">
        <v>14700</v>
      </c>
      <c r="D11681" t="s">
        <v>17198</v>
      </c>
      <c r="E11681" t="s">
        <v>27183</v>
      </c>
      <c r="F11681" t="s">
        <v>29372</v>
      </c>
      <c r="G11681" t="s">
        <v>29380</v>
      </c>
      <c r="H11681" t="s">
        <v>29389</v>
      </c>
      <c r="I11681" t="s">
        <v>10408</v>
      </c>
      <c r="J11681" t="s">
        <v>36893</v>
      </c>
      <c r="K11681" t="s">
        <v>38574</v>
      </c>
      <c r="M11681" t="s">
        <v>42075</v>
      </c>
      <c r="N11681" t="s">
        <v>42669</v>
      </c>
      <c r="O11681" t="s">
        <v>42670</v>
      </c>
      <c r="P11681">
        <v>0</v>
      </c>
      <c r="Q11681">
        <v>0</v>
      </c>
      <c r="R11681" t="s">
        <v>42688</v>
      </c>
      <c r="S11681" t="s">
        <v>43441</v>
      </c>
      <c r="T11681" t="s">
        <v>44821</v>
      </c>
      <c r="U11681" t="s">
        <v>54364</v>
      </c>
      <c r="W11681" t="s">
        <v>42075</v>
      </c>
      <c r="X11681" t="s">
        <v>42690</v>
      </c>
    </row>
    <row r="11682" spans="1:24">
      <c r="A11682">
        <f>HYPERLINK("https://www.philgeps.gov.ph/GEPSNONPILOT/Tender/SplashBidNoticeAbstractUI.aspx?menuIndex=3&amp;refID=7160429&amp;Result=3","7160429")</f>
        <v>0</v>
      </c>
      <c r="B11682" t="s">
        <v>3050</v>
      </c>
      <c r="C11682" t="s">
        <v>14701</v>
      </c>
      <c r="D11682" t="s">
        <v>17198</v>
      </c>
      <c r="E11682" t="s">
        <v>14701</v>
      </c>
      <c r="F11682" t="s">
        <v>29372</v>
      </c>
      <c r="G11682" t="s">
        <v>29380</v>
      </c>
      <c r="H11682" t="s">
        <v>29389</v>
      </c>
      <c r="I11682" t="s">
        <v>10408</v>
      </c>
      <c r="J11682" t="s">
        <v>36894</v>
      </c>
      <c r="K11682" t="s">
        <v>38552</v>
      </c>
      <c r="M11682" t="s">
        <v>42075</v>
      </c>
      <c r="N11682" t="s">
        <v>42669</v>
      </c>
      <c r="O11682" t="s">
        <v>42670</v>
      </c>
      <c r="P11682">
        <v>0</v>
      </c>
      <c r="Q11682">
        <v>0</v>
      </c>
      <c r="R11682" t="s">
        <v>42688</v>
      </c>
      <c r="S11682" t="s">
        <v>43441</v>
      </c>
      <c r="T11682" t="s">
        <v>44444</v>
      </c>
      <c r="U11682" t="s">
        <v>54365</v>
      </c>
      <c r="W11682" t="s">
        <v>42075</v>
      </c>
      <c r="X11682" t="s">
        <v>42690</v>
      </c>
    </row>
    <row r="11683" spans="1:24">
      <c r="A11683">
        <f>HYPERLINK("https://www.philgeps.gov.ph/GEPSNONPILOT/Tender/SplashBidNoticeAbstractUI.aspx?menuIndex=3&amp;refID=7164516&amp;Result=3","7164516")</f>
        <v>0</v>
      </c>
      <c r="B11683" t="s">
        <v>346</v>
      </c>
      <c r="C11683" t="s">
        <v>14702</v>
      </c>
      <c r="E11683" t="s">
        <v>27184</v>
      </c>
      <c r="F11683" t="s">
        <v>29372</v>
      </c>
      <c r="G11683" t="s">
        <v>29380</v>
      </c>
      <c r="H11683" t="s">
        <v>11048</v>
      </c>
      <c r="I11683" t="s">
        <v>29476</v>
      </c>
      <c r="J11683" t="s">
        <v>36799</v>
      </c>
      <c r="K11683" t="s">
        <v>38485</v>
      </c>
      <c r="M11683" t="s">
        <v>39105</v>
      </c>
      <c r="N11683" t="s">
        <v>42669</v>
      </c>
      <c r="O11683" t="s">
        <v>42670</v>
      </c>
      <c r="P11683">
        <v>0</v>
      </c>
      <c r="Q11683">
        <v>18</v>
      </c>
      <c r="R11683" t="s">
        <v>42687</v>
      </c>
      <c r="S11683" t="s">
        <v>43432</v>
      </c>
      <c r="T11683" t="s">
        <v>44357</v>
      </c>
      <c r="U11683" t="s">
        <v>54366</v>
      </c>
      <c r="W11683" t="s">
        <v>39105</v>
      </c>
      <c r="X11683" t="s">
        <v>42688</v>
      </c>
    </row>
    <row r="11684" spans="1:24">
      <c r="A11684">
        <f>HYPERLINK("https://www.philgeps.gov.ph/GEPSNONPILOT/Tender/SplashBidNoticeAbstractUI.aspx?menuIndex=3&amp;refID=7161162&amp;Result=3","7161162")</f>
        <v>0</v>
      </c>
      <c r="B11684" t="s">
        <v>3230</v>
      </c>
      <c r="C11684" t="s">
        <v>14703</v>
      </c>
      <c r="D11684" t="s">
        <v>17171</v>
      </c>
      <c r="E11684" t="s">
        <v>27185</v>
      </c>
      <c r="F11684" t="s">
        <v>29372</v>
      </c>
      <c r="G11684" t="s">
        <v>29380</v>
      </c>
      <c r="H11684" t="s">
        <v>29389</v>
      </c>
      <c r="I11684" t="s">
        <v>10408</v>
      </c>
      <c r="J11684" t="s">
        <v>36895</v>
      </c>
      <c r="K11684" t="s">
        <v>38490</v>
      </c>
      <c r="M11684" t="s">
        <v>42296</v>
      </c>
      <c r="N11684" t="s">
        <v>42669</v>
      </c>
      <c r="O11684" t="s">
        <v>42670</v>
      </c>
      <c r="P11684">
        <v>0</v>
      </c>
      <c r="Q11684">
        <v>3</v>
      </c>
      <c r="R11684" t="s">
        <v>42688</v>
      </c>
      <c r="S11684" t="s">
        <v>43441</v>
      </c>
      <c r="T11684" t="s">
        <v>44480</v>
      </c>
      <c r="U11684" t="s">
        <v>54367</v>
      </c>
      <c r="V11684" t="s">
        <v>57671</v>
      </c>
      <c r="W11684" t="s">
        <v>42296</v>
      </c>
      <c r="X11684" t="s">
        <v>42690</v>
      </c>
    </row>
    <row r="11685" spans="1:24">
      <c r="A11685">
        <f>HYPERLINK("https://www.philgeps.gov.ph/GEPSNONPILOT/Tender/SplashBidNoticeAbstractUI.aspx?menuIndex=3&amp;refID=7160574&amp;Result=3","7160574")</f>
        <v>0</v>
      </c>
      <c r="B11685" t="s">
        <v>3050</v>
      </c>
      <c r="C11685" t="s">
        <v>14701</v>
      </c>
      <c r="D11685" t="s">
        <v>17198</v>
      </c>
      <c r="E11685" t="s">
        <v>27186</v>
      </c>
      <c r="F11685" t="s">
        <v>29372</v>
      </c>
      <c r="G11685" t="s">
        <v>29380</v>
      </c>
      <c r="H11685" t="s">
        <v>29389</v>
      </c>
      <c r="I11685" t="s">
        <v>10408</v>
      </c>
      <c r="J11685" t="s">
        <v>36894</v>
      </c>
      <c r="K11685" t="s">
        <v>38552</v>
      </c>
      <c r="M11685" t="s">
        <v>42075</v>
      </c>
      <c r="N11685" t="s">
        <v>42669</v>
      </c>
      <c r="O11685" t="s">
        <v>42670</v>
      </c>
      <c r="P11685">
        <v>0</v>
      </c>
      <c r="Q11685">
        <v>0</v>
      </c>
      <c r="R11685" t="s">
        <v>42688</v>
      </c>
      <c r="S11685" t="s">
        <v>43441</v>
      </c>
      <c r="T11685" t="s">
        <v>44444</v>
      </c>
      <c r="U11685" t="s">
        <v>54368</v>
      </c>
      <c r="W11685" t="s">
        <v>42075</v>
      </c>
      <c r="X11685" t="s">
        <v>42690</v>
      </c>
    </row>
    <row r="11686" spans="1:24">
      <c r="A11686">
        <f>HYPERLINK("https://www.philgeps.gov.ph/GEPSNONPILOT/Tender/SplashBidNoticeAbstractUI.aspx?menuIndex=3&amp;refID=7160477&amp;Result=3","7160477")</f>
        <v>0</v>
      </c>
      <c r="B11686" t="s">
        <v>3050</v>
      </c>
      <c r="C11686" t="s">
        <v>14701</v>
      </c>
      <c r="D11686" t="s">
        <v>17198</v>
      </c>
      <c r="E11686" t="s">
        <v>27187</v>
      </c>
      <c r="F11686" t="s">
        <v>29372</v>
      </c>
      <c r="G11686" t="s">
        <v>29380</v>
      </c>
      <c r="H11686" t="s">
        <v>29389</v>
      </c>
      <c r="I11686" t="s">
        <v>10408</v>
      </c>
      <c r="J11686" t="s">
        <v>36896</v>
      </c>
      <c r="K11686" t="s">
        <v>38552</v>
      </c>
      <c r="M11686" t="s">
        <v>42075</v>
      </c>
      <c r="N11686" t="s">
        <v>42669</v>
      </c>
      <c r="O11686" t="s">
        <v>42670</v>
      </c>
      <c r="P11686">
        <v>0</v>
      </c>
      <c r="Q11686">
        <v>0</v>
      </c>
      <c r="R11686" t="s">
        <v>42688</v>
      </c>
      <c r="S11686" t="s">
        <v>43441</v>
      </c>
      <c r="T11686" t="s">
        <v>44444</v>
      </c>
      <c r="U11686" t="s">
        <v>54369</v>
      </c>
      <c r="W11686" t="s">
        <v>42075</v>
      </c>
      <c r="X11686" t="s">
        <v>42690</v>
      </c>
    </row>
    <row r="11687" spans="1:24">
      <c r="A11687">
        <f>HYPERLINK("https://www.philgeps.gov.ph/GEPSNONPILOT/Tender/SplashBidNoticeAbstractUI.aspx?menuIndex=3&amp;refID=7160406&amp;Result=3","7160406")</f>
        <v>0</v>
      </c>
      <c r="B11687" t="s">
        <v>3050</v>
      </c>
      <c r="C11687" t="s">
        <v>14701</v>
      </c>
      <c r="D11687" t="s">
        <v>17198</v>
      </c>
      <c r="E11687" t="s">
        <v>14701</v>
      </c>
      <c r="F11687" t="s">
        <v>29372</v>
      </c>
      <c r="G11687" t="s">
        <v>29380</v>
      </c>
      <c r="H11687" t="s">
        <v>29389</v>
      </c>
      <c r="I11687" t="s">
        <v>10408</v>
      </c>
      <c r="J11687" t="s">
        <v>36896</v>
      </c>
      <c r="K11687" t="s">
        <v>38552</v>
      </c>
      <c r="M11687" t="s">
        <v>42075</v>
      </c>
      <c r="N11687" t="s">
        <v>42669</v>
      </c>
      <c r="O11687" t="s">
        <v>42670</v>
      </c>
      <c r="P11687">
        <v>0</v>
      </c>
      <c r="Q11687">
        <v>0</v>
      </c>
      <c r="R11687" t="s">
        <v>42688</v>
      </c>
      <c r="S11687" t="s">
        <v>43441</v>
      </c>
      <c r="T11687" t="s">
        <v>44444</v>
      </c>
      <c r="U11687" t="s">
        <v>54370</v>
      </c>
      <c r="W11687" t="s">
        <v>42075</v>
      </c>
      <c r="X11687" t="s">
        <v>42690</v>
      </c>
    </row>
    <row r="11688" spans="1:24">
      <c r="A11688">
        <f>HYPERLINK("https://www.philgeps.gov.ph/GEPSNONPILOT/Tender/SplashBidNoticeAbstractUI.aspx?menuIndex=3&amp;refID=7160291&amp;Result=3","7160291")</f>
        <v>0</v>
      </c>
      <c r="B11688" t="s">
        <v>3050</v>
      </c>
      <c r="C11688" t="s">
        <v>14701</v>
      </c>
      <c r="D11688" t="s">
        <v>17198</v>
      </c>
      <c r="E11688" t="s">
        <v>27188</v>
      </c>
      <c r="F11688" t="s">
        <v>29372</v>
      </c>
      <c r="G11688" t="s">
        <v>29380</v>
      </c>
      <c r="H11688" t="s">
        <v>29389</v>
      </c>
      <c r="I11688" t="s">
        <v>10408</v>
      </c>
      <c r="J11688" t="s">
        <v>36896</v>
      </c>
      <c r="K11688" t="s">
        <v>38552</v>
      </c>
      <c r="M11688" t="s">
        <v>42075</v>
      </c>
      <c r="N11688" t="s">
        <v>42669</v>
      </c>
      <c r="O11688" t="s">
        <v>42670</v>
      </c>
      <c r="P11688">
        <v>0</v>
      </c>
      <c r="Q11688">
        <v>0</v>
      </c>
      <c r="R11688" t="s">
        <v>42688</v>
      </c>
      <c r="S11688" t="s">
        <v>43441</v>
      </c>
      <c r="T11688" t="s">
        <v>44444</v>
      </c>
      <c r="U11688" t="s">
        <v>54371</v>
      </c>
      <c r="W11688" t="s">
        <v>42075</v>
      </c>
      <c r="X11688" t="s">
        <v>42690</v>
      </c>
    </row>
    <row r="11689" spans="1:24">
      <c r="A11689">
        <f>HYPERLINK("https://www.philgeps.gov.ph/GEPSNONPILOT/Tender/SplashBidNoticeAbstractUI.aspx?menuIndex=3&amp;refID=7162293&amp;Result=3","7162293")</f>
        <v>0</v>
      </c>
      <c r="B11689" t="s">
        <v>375</v>
      </c>
      <c r="C11689" t="s">
        <v>14704</v>
      </c>
      <c r="D11689" t="s">
        <v>17141</v>
      </c>
      <c r="E11689" t="s">
        <v>27189</v>
      </c>
      <c r="F11689" t="s">
        <v>29372</v>
      </c>
      <c r="G11689" t="s">
        <v>29380</v>
      </c>
      <c r="H11689" t="s">
        <v>29389</v>
      </c>
      <c r="I11689" t="s">
        <v>10408</v>
      </c>
      <c r="J11689" t="s">
        <v>32807</v>
      </c>
      <c r="K11689" t="s">
        <v>38522</v>
      </c>
      <c r="M11689" t="s">
        <v>39136</v>
      </c>
      <c r="N11689" t="s">
        <v>42669</v>
      </c>
      <c r="O11689" t="s">
        <v>42670</v>
      </c>
      <c r="P11689">
        <v>0</v>
      </c>
      <c r="Q11689">
        <v>26</v>
      </c>
      <c r="R11689" t="s">
        <v>42688</v>
      </c>
      <c r="S11689" t="s">
        <v>43441</v>
      </c>
      <c r="T11689" t="s">
        <v>44401</v>
      </c>
      <c r="U11689" t="s">
        <v>54372</v>
      </c>
      <c r="W11689" t="s">
        <v>58011</v>
      </c>
      <c r="X11689" t="s">
        <v>42689</v>
      </c>
    </row>
    <row r="11690" spans="1:24">
      <c r="A11690">
        <f>HYPERLINK("https://www.philgeps.gov.ph/GEPSNONPILOT/Tender/SplashBidNoticeAbstractUI.aspx?menuIndex=3&amp;refID=7162365&amp;Result=3","7162365")</f>
        <v>0</v>
      </c>
      <c r="B11690" t="s">
        <v>2117</v>
      </c>
      <c r="C11690" t="s">
        <v>14705</v>
      </c>
      <c r="D11690" t="s">
        <v>17202</v>
      </c>
      <c r="E11690" t="s">
        <v>27190</v>
      </c>
      <c r="F11690" t="s">
        <v>29372</v>
      </c>
      <c r="G11690" t="s">
        <v>29380</v>
      </c>
      <c r="H11690" t="s">
        <v>29389</v>
      </c>
      <c r="I11690" t="s">
        <v>4709</v>
      </c>
      <c r="J11690" t="s">
        <v>29609</v>
      </c>
      <c r="K11690" t="s">
        <v>38525</v>
      </c>
      <c r="M11690" t="s">
        <v>41021</v>
      </c>
      <c r="N11690" t="s">
        <v>42669</v>
      </c>
      <c r="O11690" t="s">
        <v>42670</v>
      </c>
      <c r="P11690">
        <v>0</v>
      </c>
      <c r="Q11690">
        <v>0</v>
      </c>
      <c r="R11690" t="s">
        <v>42688</v>
      </c>
      <c r="S11690" t="s">
        <v>43441</v>
      </c>
      <c r="T11690" t="s">
        <v>44448</v>
      </c>
      <c r="U11690" t="s">
        <v>54373</v>
      </c>
      <c r="V11690" t="s">
        <v>57042</v>
      </c>
      <c r="W11690" t="s">
        <v>41021</v>
      </c>
      <c r="X11690" t="s">
        <v>42689</v>
      </c>
    </row>
    <row r="11691" spans="1:24">
      <c r="A11691">
        <f>HYPERLINK("https://www.philgeps.gov.ph/GEPSNONPILOT/Tender/SplashBidNoticeAbstractUI.aspx?menuIndex=3&amp;refID=7162191&amp;Result=3","7162191")</f>
        <v>0</v>
      </c>
      <c r="B11691" t="s">
        <v>1727</v>
      </c>
      <c r="C11691" t="s">
        <v>14706</v>
      </c>
      <c r="D11691" t="s">
        <v>17193</v>
      </c>
      <c r="E11691" t="s">
        <v>27191</v>
      </c>
      <c r="F11691" t="s">
        <v>29372</v>
      </c>
      <c r="G11691" t="s">
        <v>29380</v>
      </c>
      <c r="H11691" t="s">
        <v>29389</v>
      </c>
      <c r="I11691" t="s">
        <v>10408</v>
      </c>
      <c r="J11691" t="s">
        <v>36897</v>
      </c>
      <c r="K11691" t="s">
        <v>38490</v>
      </c>
      <c r="M11691" t="s">
        <v>40591</v>
      </c>
      <c r="N11691" t="s">
        <v>42669</v>
      </c>
      <c r="O11691" t="s">
        <v>42670</v>
      </c>
      <c r="Q11691">
        <v>1</v>
      </c>
      <c r="R11691" t="s">
        <v>42688</v>
      </c>
      <c r="S11691" t="s">
        <v>43444</v>
      </c>
      <c r="T11691" t="s">
        <v>44457</v>
      </c>
      <c r="U11691" t="s">
        <v>54374</v>
      </c>
      <c r="W11691" t="s">
        <v>40591</v>
      </c>
      <c r="X11691" t="s">
        <v>42689</v>
      </c>
    </row>
    <row r="11692" spans="1:24">
      <c r="A11692">
        <f>HYPERLINK("https://www.philgeps.gov.ph/GEPSNONPILOT/Tender/SplashBidNoticeAbstractUI.aspx?menuIndex=3&amp;refID=7162253&amp;Result=3","7162253")</f>
        <v>0</v>
      </c>
      <c r="B11692" t="s">
        <v>375</v>
      </c>
      <c r="C11692" t="s">
        <v>14707</v>
      </c>
      <c r="D11692" t="s">
        <v>17141</v>
      </c>
      <c r="E11692" t="s">
        <v>27192</v>
      </c>
      <c r="F11692" t="s">
        <v>29372</v>
      </c>
      <c r="G11692" t="s">
        <v>29380</v>
      </c>
      <c r="H11692" t="s">
        <v>29389</v>
      </c>
      <c r="I11692" t="s">
        <v>10408</v>
      </c>
      <c r="J11692" t="s">
        <v>33376</v>
      </c>
      <c r="K11692" t="s">
        <v>38526</v>
      </c>
      <c r="M11692" t="s">
        <v>39136</v>
      </c>
      <c r="N11692" t="s">
        <v>42669</v>
      </c>
      <c r="O11692" t="s">
        <v>42670</v>
      </c>
      <c r="P11692">
        <v>0</v>
      </c>
      <c r="Q11692">
        <v>15</v>
      </c>
      <c r="R11692" t="s">
        <v>42688</v>
      </c>
      <c r="S11692" t="s">
        <v>43441</v>
      </c>
      <c r="T11692" t="s">
        <v>44401</v>
      </c>
      <c r="U11692" t="s">
        <v>54375</v>
      </c>
      <c r="W11692" t="s">
        <v>58011</v>
      </c>
      <c r="X11692" t="s">
        <v>42689</v>
      </c>
    </row>
    <row r="11693" spans="1:24">
      <c r="A11693">
        <f>HYPERLINK("https://www.philgeps.gov.ph/GEPSNONPILOT/Tender/SplashBidNoticeAbstractUI.aspx?menuIndex=3&amp;refID=7162247&amp;Result=3","7162247")</f>
        <v>0</v>
      </c>
      <c r="B11693" t="s">
        <v>2942</v>
      </c>
      <c r="C11693" t="s">
        <v>14708</v>
      </c>
      <c r="D11693" t="s">
        <v>17212</v>
      </c>
      <c r="E11693" t="s">
        <v>27193</v>
      </c>
      <c r="F11693" t="s">
        <v>29372</v>
      </c>
      <c r="G11693" t="s">
        <v>29380</v>
      </c>
      <c r="H11693" t="s">
        <v>29389</v>
      </c>
      <c r="I11693" t="s">
        <v>10408</v>
      </c>
      <c r="J11693" t="s">
        <v>36898</v>
      </c>
      <c r="K11693" t="s">
        <v>38590</v>
      </c>
      <c r="M11693" t="s">
        <v>41944</v>
      </c>
      <c r="N11693" t="s">
        <v>42669</v>
      </c>
      <c r="O11693" t="s">
        <v>42670</v>
      </c>
      <c r="P11693">
        <v>0</v>
      </c>
      <c r="Q11693">
        <v>0</v>
      </c>
      <c r="R11693" t="s">
        <v>42688</v>
      </c>
      <c r="S11693" t="s">
        <v>43441</v>
      </c>
      <c r="T11693" t="s">
        <v>44456</v>
      </c>
      <c r="U11693" t="s">
        <v>54376</v>
      </c>
      <c r="W11693" t="s">
        <v>41944</v>
      </c>
      <c r="X11693" t="s">
        <v>42689</v>
      </c>
    </row>
    <row r="11694" spans="1:24">
      <c r="A11694">
        <f>HYPERLINK("https://www.philgeps.gov.ph/GEPSNONPILOT/Tender/SplashBidNoticeAbstractUI.aspx?menuIndex=3&amp;refID=7162222&amp;Result=3","7162222")</f>
        <v>0</v>
      </c>
      <c r="B11694" t="s">
        <v>375</v>
      </c>
      <c r="C11694" t="s">
        <v>14709</v>
      </c>
      <c r="E11694" t="s">
        <v>27194</v>
      </c>
      <c r="F11694" t="s">
        <v>29372</v>
      </c>
      <c r="G11694" t="s">
        <v>29380</v>
      </c>
      <c r="H11694" t="s">
        <v>11048</v>
      </c>
      <c r="I11694" t="s">
        <v>29501</v>
      </c>
      <c r="J11694" t="s">
        <v>36899</v>
      </c>
      <c r="K11694" t="s">
        <v>38487</v>
      </c>
      <c r="M11694" t="s">
        <v>39136</v>
      </c>
      <c r="N11694" t="s">
        <v>42669</v>
      </c>
      <c r="O11694" t="s">
        <v>42670</v>
      </c>
      <c r="P11694">
        <v>0</v>
      </c>
      <c r="Q11694">
        <v>3</v>
      </c>
      <c r="R11694" t="s">
        <v>42688</v>
      </c>
      <c r="S11694" t="s">
        <v>43441</v>
      </c>
      <c r="T11694" t="s">
        <v>44401</v>
      </c>
      <c r="U11694" t="s">
        <v>54377</v>
      </c>
      <c r="W11694" t="s">
        <v>58011</v>
      </c>
      <c r="X11694" t="s">
        <v>42689</v>
      </c>
    </row>
    <row r="11695" spans="1:24">
      <c r="A11695">
        <f>HYPERLINK("https://www.philgeps.gov.ph/GEPSNONPILOT/Tender/SplashBidNoticeAbstractUI.aspx?menuIndex=3&amp;refID=7162169&amp;Result=3","7162169")</f>
        <v>0</v>
      </c>
      <c r="B11695" t="s">
        <v>1727</v>
      </c>
      <c r="C11695" t="s">
        <v>14710</v>
      </c>
      <c r="D11695" t="s">
        <v>17193</v>
      </c>
      <c r="E11695" t="s">
        <v>27195</v>
      </c>
      <c r="F11695" t="s">
        <v>29372</v>
      </c>
      <c r="G11695" t="s">
        <v>29380</v>
      </c>
      <c r="H11695" t="s">
        <v>29389</v>
      </c>
      <c r="I11695" t="s">
        <v>10408</v>
      </c>
      <c r="J11695" t="s">
        <v>36900</v>
      </c>
      <c r="K11695" t="s">
        <v>38490</v>
      </c>
      <c r="M11695" t="s">
        <v>40591</v>
      </c>
      <c r="N11695" t="s">
        <v>42669</v>
      </c>
      <c r="O11695" t="s">
        <v>42670</v>
      </c>
      <c r="P11695">
        <v>0</v>
      </c>
      <c r="Q11695">
        <v>0</v>
      </c>
      <c r="R11695" t="s">
        <v>42688</v>
      </c>
      <c r="S11695" t="s">
        <v>43441</v>
      </c>
      <c r="T11695" t="s">
        <v>44457</v>
      </c>
      <c r="U11695" t="s">
        <v>54378</v>
      </c>
      <c r="W11695" t="s">
        <v>40591</v>
      </c>
      <c r="X11695" t="s">
        <v>42689</v>
      </c>
    </row>
    <row r="11696" spans="1:24">
      <c r="A11696">
        <f>HYPERLINK("https://www.philgeps.gov.ph/GEPSNONPILOT/Tender/SplashBidNoticeAbstractUI.aspx?menuIndex=3&amp;refID=7162158&amp;Result=3","7162158")</f>
        <v>0</v>
      </c>
      <c r="B11696" t="s">
        <v>3231</v>
      </c>
      <c r="C11696" t="s">
        <v>14711</v>
      </c>
      <c r="D11696" t="s">
        <v>17179</v>
      </c>
      <c r="E11696" t="s">
        <v>27196</v>
      </c>
      <c r="F11696" t="s">
        <v>29372</v>
      </c>
      <c r="G11696" t="s">
        <v>29380</v>
      </c>
      <c r="H11696" t="s">
        <v>11048</v>
      </c>
      <c r="I11696" t="s">
        <v>29436</v>
      </c>
      <c r="J11696" t="s">
        <v>34431</v>
      </c>
      <c r="K11696" t="s">
        <v>38564</v>
      </c>
      <c r="M11696" t="s">
        <v>42297</v>
      </c>
      <c r="N11696" t="s">
        <v>42669</v>
      </c>
      <c r="O11696" t="s">
        <v>42670</v>
      </c>
      <c r="P11696">
        <v>0</v>
      </c>
      <c r="Q11696">
        <v>18</v>
      </c>
      <c r="R11696" t="s">
        <v>42688</v>
      </c>
      <c r="S11696" t="s">
        <v>43441</v>
      </c>
      <c r="T11696" t="s">
        <v>44822</v>
      </c>
      <c r="U11696" t="s">
        <v>54379</v>
      </c>
      <c r="W11696" t="s">
        <v>42297</v>
      </c>
      <c r="X11696" t="s">
        <v>42689</v>
      </c>
    </row>
    <row r="11697" spans="1:24">
      <c r="A11697">
        <f>HYPERLINK("https://www.philgeps.gov.ph/GEPSNONPILOT/Tender/SplashBidNoticeAbstractUI.aspx?menuIndex=3&amp;refID=7162357&amp;Result=3","7162357")</f>
        <v>0</v>
      </c>
      <c r="B11697" t="s">
        <v>2952</v>
      </c>
      <c r="C11697" t="s">
        <v>14712</v>
      </c>
      <c r="D11697" t="s">
        <v>17144</v>
      </c>
      <c r="E11697" t="s">
        <v>27197</v>
      </c>
      <c r="F11697" t="s">
        <v>29372</v>
      </c>
      <c r="G11697" t="s">
        <v>29380</v>
      </c>
      <c r="H11697" t="s">
        <v>11048</v>
      </c>
      <c r="I11697" t="s">
        <v>4709</v>
      </c>
      <c r="J11697" t="s">
        <v>36901</v>
      </c>
      <c r="K11697" t="s">
        <v>38538</v>
      </c>
      <c r="M11697" t="s">
        <v>41958</v>
      </c>
      <c r="N11697" t="s">
        <v>42669</v>
      </c>
      <c r="O11697" t="s">
        <v>42670</v>
      </c>
      <c r="P11697">
        <v>0</v>
      </c>
      <c r="Q11697">
        <v>1</v>
      </c>
      <c r="R11697" t="s">
        <v>42688</v>
      </c>
      <c r="S11697" t="s">
        <v>43441</v>
      </c>
      <c r="T11697" t="s">
        <v>44387</v>
      </c>
      <c r="U11697" t="s">
        <v>54380</v>
      </c>
      <c r="V11697" t="s">
        <v>57497</v>
      </c>
      <c r="W11697" t="s">
        <v>41958</v>
      </c>
      <c r="X11697" t="s">
        <v>42689</v>
      </c>
    </row>
    <row r="11698" spans="1:24">
      <c r="A11698">
        <f>HYPERLINK("https://www.philgeps.gov.ph/GEPSNONPILOT/Tender/SplashBidNoticeAbstractUI.aspx?menuIndex=3&amp;refID=7162138&amp;Result=3","7162138")</f>
        <v>0</v>
      </c>
      <c r="B11698" t="s">
        <v>3232</v>
      </c>
      <c r="C11698" t="s">
        <v>14713</v>
      </c>
      <c r="D11698" t="s">
        <v>17160</v>
      </c>
      <c r="E11698" t="s">
        <v>27198</v>
      </c>
      <c r="F11698" t="s">
        <v>29372</v>
      </c>
      <c r="G11698" t="s">
        <v>29380</v>
      </c>
      <c r="H11698" t="s">
        <v>29389</v>
      </c>
      <c r="I11698" t="s">
        <v>10408</v>
      </c>
      <c r="J11698" t="s">
        <v>36902</v>
      </c>
      <c r="K11698" t="s">
        <v>38564</v>
      </c>
      <c r="M11698" t="s">
        <v>42298</v>
      </c>
      <c r="N11698" t="s">
        <v>42669</v>
      </c>
      <c r="O11698" t="s">
        <v>42670</v>
      </c>
      <c r="Q11698">
        <v>7</v>
      </c>
      <c r="R11698" t="s">
        <v>42688</v>
      </c>
      <c r="S11698" t="s">
        <v>42877</v>
      </c>
      <c r="T11698" t="s">
        <v>44474</v>
      </c>
      <c r="U11698" t="s">
        <v>54381</v>
      </c>
      <c r="W11698" t="s">
        <v>42298</v>
      </c>
      <c r="X11698" t="s">
        <v>42689</v>
      </c>
    </row>
    <row r="11699" spans="1:24">
      <c r="A11699">
        <f>HYPERLINK("https://www.philgeps.gov.ph/GEPSNONPILOT/Tender/SplashBidNoticeAbstractUI.aspx?menuIndex=3&amp;refID=7162119&amp;Result=3","7162119")</f>
        <v>0</v>
      </c>
      <c r="B11699" t="s">
        <v>3231</v>
      </c>
      <c r="C11699" t="s">
        <v>14714</v>
      </c>
      <c r="D11699" t="s">
        <v>17179</v>
      </c>
      <c r="E11699" t="s">
        <v>27199</v>
      </c>
      <c r="F11699" t="s">
        <v>29372</v>
      </c>
      <c r="G11699" t="s">
        <v>29380</v>
      </c>
      <c r="H11699" t="s">
        <v>11048</v>
      </c>
      <c r="I11699" t="s">
        <v>29440</v>
      </c>
      <c r="J11699" t="s">
        <v>29937</v>
      </c>
      <c r="K11699" t="s">
        <v>38586</v>
      </c>
      <c r="M11699" t="s">
        <v>42297</v>
      </c>
      <c r="N11699" t="s">
        <v>42669</v>
      </c>
      <c r="O11699" t="s">
        <v>42670</v>
      </c>
      <c r="P11699">
        <v>0</v>
      </c>
      <c r="Q11699">
        <v>1</v>
      </c>
      <c r="R11699" t="s">
        <v>42688</v>
      </c>
      <c r="S11699" t="s">
        <v>43441</v>
      </c>
      <c r="T11699" t="s">
        <v>44361</v>
      </c>
      <c r="U11699" t="s">
        <v>54382</v>
      </c>
      <c r="W11699" t="s">
        <v>42297</v>
      </c>
      <c r="X11699" t="s">
        <v>42689</v>
      </c>
    </row>
    <row r="11700" spans="1:24">
      <c r="A11700">
        <f>HYPERLINK("https://www.philgeps.gov.ph/GEPSNONPILOT/Tender/SplashBidNoticeAbstractUI.aspx?menuIndex=3&amp;refID=7162091&amp;Result=3","7162091")</f>
        <v>0</v>
      </c>
      <c r="B11700" t="s">
        <v>3233</v>
      </c>
      <c r="C11700" t="s">
        <v>14715</v>
      </c>
      <c r="D11700" t="s">
        <v>17161</v>
      </c>
      <c r="E11700" t="s">
        <v>18290</v>
      </c>
      <c r="F11700" t="s">
        <v>29372</v>
      </c>
      <c r="G11700" t="s">
        <v>29380</v>
      </c>
      <c r="H11700" t="s">
        <v>29390</v>
      </c>
      <c r="I11700" t="s">
        <v>3952</v>
      </c>
      <c r="J11700" t="s">
        <v>29937</v>
      </c>
      <c r="K11700" t="s">
        <v>38485</v>
      </c>
      <c r="M11700" t="s">
        <v>42299</v>
      </c>
      <c r="N11700" t="s">
        <v>42669</v>
      </c>
      <c r="O11700" t="s">
        <v>42670</v>
      </c>
      <c r="P11700">
        <v>0</v>
      </c>
      <c r="Q11700">
        <v>6</v>
      </c>
      <c r="R11700" t="s">
        <v>42688</v>
      </c>
      <c r="S11700" t="s">
        <v>43441</v>
      </c>
      <c r="T11700" t="s">
        <v>44381</v>
      </c>
      <c r="U11700" t="s">
        <v>54383</v>
      </c>
      <c r="W11700" t="s">
        <v>42299</v>
      </c>
      <c r="X11700" t="s">
        <v>42689</v>
      </c>
    </row>
    <row r="11701" spans="1:24">
      <c r="A11701">
        <f>HYPERLINK("https://www.philgeps.gov.ph/GEPSNONPILOT/Tender/SplashBidNoticeAbstractUI.aspx?menuIndex=3&amp;refID=7162371&amp;Result=3","7162371")</f>
        <v>0</v>
      </c>
      <c r="B11701" t="s">
        <v>2910</v>
      </c>
      <c r="C11701" t="s">
        <v>14716</v>
      </c>
      <c r="D11701" t="s">
        <v>17213</v>
      </c>
      <c r="E11701" t="s">
        <v>27200</v>
      </c>
      <c r="F11701" t="s">
        <v>29372</v>
      </c>
      <c r="G11701" t="s">
        <v>29380</v>
      </c>
      <c r="H11701" t="s">
        <v>29389</v>
      </c>
      <c r="I11701" t="s">
        <v>10408</v>
      </c>
      <c r="J11701" t="s">
        <v>29590</v>
      </c>
      <c r="K11701" t="s">
        <v>38490</v>
      </c>
      <c r="M11701" t="s">
        <v>41910</v>
      </c>
      <c r="N11701" t="s">
        <v>42669</v>
      </c>
      <c r="O11701" t="s">
        <v>42670</v>
      </c>
      <c r="P11701">
        <v>0</v>
      </c>
      <c r="Q11701">
        <v>0</v>
      </c>
      <c r="R11701" t="s">
        <v>42688</v>
      </c>
      <c r="S11701" t="s">
        <v>43441</v>
      </c>
      <c r="T11701" t="s">
        <v>44412</v>
      </c>
      <c r="U11701" t="s">
        <v>54384</v>
      </c>
      <c r="V11701" t="s">
        <v>57672</v>
      </c>
      <c r="W11701" t="s">
        <v>41910</v>
      </c>
      <c r="X11701" t="s">
        <v>42689</v>
      </c>
    </row>
    <row r="11702" spans="1:24">
      <c r="A11702">
        <f>HYPERLINK("https://www.philgeps.gov.ph/GEPSNONPILOT/Tender/SplashBidNoticeAbstractUI.aspx?menuIndex=3&amp;refID=7162074&amp;Result=3","7162074")</f>
        <v>0</v>
      </c>
      <c r="B11702" t="s">
        <v>3234</v>
      </c>
      <c r="C11702" t="s">
        <v>14717</v>
      </c>
      <c r="D11702" t="s">
        <v>17151</v>
      </c>
      <c r="E11702" t="s">
        <v>27201</v>
      </c>
      <c r="F11702" t="s">
        <v>29372</v>
      </c>
      <c r="G11702" t="s">
        <v>29380</v>
      </c>
      <c r="H11702" t="s">
        <v>11048</v>
      </c>
      <c r="I11702" t="s">
        <v>10408</v>
      </c>
      <c r="J11702" t="s">
        <v>36903</v>
      </c>
      <c r="K11702" t="s">
        <v>38515</v>
      </c>
      <c r="M11702" t="s">
        <v>42300</v>
      </c>
      <c r="N11702" t="s">
        <v>42669</v>
      </c>
      <c r="O11702" t="s">
        <v>42670</v>
      </c>
      <c r="P11702">
        <v>0</v>
      </c>
      <c r="Q11702">
        <v>1</v>
      </c>
      <c r="R11702" t="s">
        <v>42688</v>
      </c>
      <c r="S11702" t="s">
        <v>43441</v>
      </c>
      <c r="T11702" t="s">
        <v>44418</v>
      </c>
      <c r="U11702" t="s">
        <v>54385</v>
      </c>
      <c r="W11702" t="s">
        <v>42300</v>
      </c>
      <c r="X11702" t="s">
        <v>42689</v>
      </c>
    </row>
    <row r="11703" spans="1:24">
      <c r="A11703">
        <f>HYPERLINK("https://www.philgeps.gov.ph/GEPSNONPILOT/Tender/SplashBidNoticeAbstractUI.aspx?menuIndex=3&amp;refID=7162230&amp;Result=3","7162230")</f>
        <v>0</v>
      </c>
      <c r="B11703" t="s">
        <v>3235</v>
      </c>
      <c r="C11703" t="s">
        <v>14718</v>
      </c>
      <c r="D11703" t="s">
        <v>17172</v>
      </c>
      <c r="E11703" t="s">
        <v>27202</v>
      </c>
      <c r="F11703" t="s">
        <v>29372</v>
      </c>
      <c r="G11703" t="s">
        <v>29380</v>
      </c>
      <c r="H11703" t="s">
        <v>11048</v>
      </c>
      <c r="I11703" t="s">
        <v>29461</v>
      </c>
      <c r="J11703" t="s">
        <v>30161</v>
      </c>
      <c r="K11703" t="s">
        <v>38485</v>
      </c>
      <c r="M11703" t="s">
        <v>42301</v>
      </c>
      <c r="N11703" t="s">
        <v>42669</v>
      </c>
      <c r="O11703" t="s">
        <v>42670</v>
      </c>
      <c r="P11703">
        <v>0</v>
      </c>
      <c r="Q11703">
        <v>3</v>
      </c>
      <c r="R11703" t="s">
        <v>42688</v>
      </c>
      <c r="S11703" t="s">
        <v>43441</v>
      </c>
      <c r="T11703" t="s">
        <v>44427</v>
      </c>
      <c r="U11703" t="s">
        <v>54386</v>
      </c>
      <c r="V11703" t="s">
        <v>57673</v>
      </c>
      <c r="W11703" t="s">
        <v>42301</v>
      </c>
      <c r="X11703" t="s">
        <v>42689</v>
      </c>
    </row>
    <row r="11704" spans="1:24">
      <c r="A11704">
        <f>HYPERLINK("https://www.philgeps.gov.ph/GEPSNONPILOT/Tender/SplashBidNoticeAbstractUI.aspx?menuIndex=3&amp;refID=7162639&amp;Result=3","7162639")</f>
        <v>0</v>
      </c>
      <c r="B11704" t="s">
        <v>2435</v>
      </c>
      <c r="C11704" t="s">
        <v>14719</v>
      </c>
      <c r="D11704" t="s">
        <v>17170</v>
      </c>
      <c r="E11704" t="s">
        <v>19039</v>
      </c>
      <c r="F11704" t="s">
        <v>29372</v>
      </c>
      <c r="G11704" t="s">
        <v>29380</v>
      </c>
      <c r="H11704" t="s">
        <v>29389</v>
      </c>
      <c r="I11704" t="s">
        <v>29450</v>
      </c>
      <c r="J11704" t="s">
        <v>36904</v>
      </c>
      <c r="K11704" t="s">
        <v>38495</v>
      </c>
      <c r="M11704" t="s">
        <v>41383</v>
      </c>
      <c r="N11704" t="s">
        <v>42669</v>
      </c>
      <c r="O11704" t="s">
        <v>42670</v>
      </c>
      <c r="P11704">
        <v>0</v>
      </c>
      <c r="Q11704">
        <v>0</v>
      </c>
      <c r="R11704" t="s">
        <v>42688</v>
      </c>
      <c r="S11704" t="s">
        <v>43441</v>
      </c>
      <c r="T11704" t="s">
        <v>44491</v>
      </c>
      <c r="U11704" t="s">
        <v>54387</v>
      </c>
      <c r="V11704" t="s">
        <v>57674</v>
      </c>
      <c r="W11704" t="s">
        <v>41383</v>
      </c>
      <c r="X11704" t="s">
        <v>42689</v>
      </c>
    </row>
    <row r="11705" spans="1:24">
      <c r="A11705">
        <f>HYPERLINK("https://www.philgeps.gov.ph/GEPSNONPILOT/Tender/SplashBidNoticeAbstractUI.aspx?menuIndex=3&amp;refID=7164484&amp;Result=3","7164484")</f>
        <v>0</v>
      </c>
      <c r="B11705" t="s">
        <v>2966</v>
      </c>
      <c r="C11705" t="s">
        <v>14720</v>
      </c>
      <c r="D11705" t="s">
        <v>17163</v>
      </c>
      <c r="E11705" t="s">
        <v>27203</v>
      </c>
      <c r="F11705" t="s">
        <v>29372</v>
      </c>
      <c r="G11705" t="s">
        <v>29380</v>
      </c>
      <c r="H11705" t="s">
        <v>29389</v>
      </c>
      <c r="I11705" t="s">
        <v>10408</v>
      </c>
      <c r="J11705" t="s">
        <v>36905</v>
      </c>
      <c r="K11705" t="s">
        <v>38495</v>
      </c>
      <c r="M11705" t="s">
        <v>41977</v>
      </c>
      <c r="N11705" t="s">
        <v>42669</v>
      </c>
      <c r="O11705" t="s">
        <v>42670</v>
      </c>
      <c r="P11705">
        <v>0</v>
      </c>
      <c r="Q11705">
        <v>8</v>
      </c>
      <c r="R11705" t="s">
        <v>42687</v>
      </c>
      <c r="S11705" t="s">
        <v>43432</v>
      </c>
      <c r="T11705" t="s">
        <v>44412</v>
      </c>
      <c r="U11705" t="s">
        <v>54388</v>
      </c>
      <c r="V11705" t="s">
        <v>57517</v>
      </c>
      <c r="W11705" t="s">
        <v>41977</v>
      </c>
      <c r="X11705" t="s">
        <v>42688</v>
      </c>
    </row>
    <row r="11706" spans="1:24">
      <c r="A11706">
        <f>HYPERLINK("https://www.philgeps.gov.ph/GEPSNONPILOT/Tender/SplashBidNoticeAbstractUI.aspx?menuIndex=3&amp;refID=7162617&amp;Result=3","7162617")</f>
        <v>0</v>
      </c>
      <c r="B11706" t="s">
        <v>2351</v>
      </c>
      <c r="C11706" t="s">
        <v>14721</v>
      </c>
      <c r="D11706" t="s">
        <v>17145</v>
      </c>
      <c r="E11706" t="s">
        <v>21505</v>
      </c>
      <c r="F11706" t="s">
        <v>29372</v>
      </c>
      <c r="G11706" t="s">
        <v>29380</v>
      </c>
      <c r="H11706" t="s">
        <v>29389</v>
      </c>
      <c r="I11706" t="s">
        <v>10408</v>
      </c>
      <c r="J11706" t="s">
        <v>30161</v>
      </c>
      <c r="K11706" t="s">
        <v>38677</v>
      </c>
      <c r="M11706" t="s">
        <v>41285</v>
      </c>
      <c r="N11706" t="s">
        <v>42669</v>
      </c>
      <c r="O11706" t="s">
        <v>42670</v>
      </c>
      <c r="P11706">
        <v>0</v>
      </c>
      <c r="Q11706">
        <v>0</v>
      </c>
      <c r="R11706" t="s">
        <v>42688</v>
      </c>
      <c r="S11706" t="s">
        <v>43441</v>
      </c>
      <c r="T11706" t="s">
        <v>44354</v>
      </c>
      <c r="U11706" t="s">
        <v>54389</v>
      </c>
      <c r="W11706" t="s">
        <v>41285</v>
      </c>
      <c r="X11706" t="s">
        <v>42689</v>
      </c>
    </row>
    <row r="11707" spans="1:24">
      <c r="A11707">
        <f>HYPERLINK("https://www.philgeps.gov.ph/GEPSNONPILOT/Tender/SplashBidNoticeAbstractUI.aspx?menuIndex=3&amp;refID=7161038&amp;Result=3","7161038")</f>
        <v>0</v>
      </c>
      <c r="B11707" t="s">
        <v>3230</v>
      </c>
      <c r="C11707" t="s">
        <v>14722</v>
      </c>
      <c r="D11707" t="s">
        <v>17171</v>
      </c>
      <c r="E11707" t="s">
        <v>27204</v>
      </c>
      <c r="F11707" t="s">
        <v>29372</v>
      </c>
      <c r="G11707" t="s">
        <v>29380</v>
      </c>
      <c r="H11707" t="s">
        <v>11048</v>
      </c>
      <c r="I11707" t="s">
        <v>9469</v>
      </c>
      <c r="J11707" t="s">
        <v>29924</v>
      </c>
      <c r="K11707" t="s">
        <v>38490</v>
      </c>
      <c r="M11707" t="s">
        <v>42296</v>
      </c>
      <c r="N11707" t="s">
        <v>42669</v>
      </c>
      <c r="O11707" t="s">
        <v>42670</v>
      </c>
      <c r="P11707">
        <v>0</v>
      </c>
      <c r="Q11707">
        <v>6</v>
      </c>
      <c r="R11707" t="s">
        <v>42688</v>
      </c>
      <c r="S11707" t="s">
        <v>43441</v>
      </c>
      <c r="T11707" t="s">
        <v>44480</v>
      </c>
      <c r="U11707" t="s">
        <v>54390</v>
      </c>
      <c r="V11707" t="s">
        <v>57671</v>
      </c>
      <c r="W11707" t="s">
        <v>42296</v>
      </c>
      <c r="X11707" t="s">
        <v>42690</v>
      </c>
    </row>
    <row r="11708" spans="1:24">
      <c r="A11708">
        <f>HYPERLINK("https://www.philgeps.gov.ph/GEPSNONPILOT/Tender/SplashBidNoticeAbstractUI.aspx?menuIndex=3&amp;refID=7162594&amp;Result=3","7162594")</f>
        <v>0</v>
      </c>
      <c r="B11708" t="s">
        <v>3236</v>
      </c>
      <c r="C11708" t="s">
        <v>14723</v>
      </c>
      <c r="D11708" t="s">
        <v>17211</v>
      </c>
      <c r="E11708" t="s">
        <v>27205</v>
      </c>
      <c r="F11708" t="s">
        <v>29372</v>
      </c>
      <c r="G11708" t="s">
        <v>29380</v>
      </c>
      <c r="H11708" t="s">
        <v>11048</v>
      </c>
      <c r="I11708" t="s">
        <v>4709</v>
      </c>
      <c r="J11708" t="s">
        <v>36906</v>
      </c>
      <c r="K11708" t="s">
        <v>38496</v>
      </c>
      <c r="M11708" t="s">
        <v>42302</v>
      </c>
      <c r="N11708" t="s">
        <v>42669</v>
      </c>
      <c r="O11708" t="s">
        <v>42670</v>
      </c>
      <c r="P11708">
        <v>0</v>
      </c>
      <c r="Q11708">
        <v>0</v>
      </c>
      <c r="R11708" t="s">
        <v>42688</v>
      </c>
      <c r="S11708" t="s">
        <v>43441</v>
      </c>
      <c r="T11708" t="s">
        <v>44557</v>
      </c>
      <c r="U11708" t="s">
        <v>54391</v>
      </c>
      <c r="V11708" t="s">
        <v>57675</v>
      </c>
      <c r="W11708" t="s">
        <v>42302</v>
      </c>
      <c r="X11708" t="s">
        <v>42689</v>
      </c>
    </row>
    <row r="11709" spans="1:24">
      <c r="A11709">
        <f>HYPERLINK("https://www.philgeps.gov.ph/GEPSNONPILOT/Tender/SplashBidNoticeAbstractUI.aspx?menuIndex=3&amp;refID=7162572&amp;Result=3","7162572")</f>
        <v>0</v>
      </c>
      <c r="B11709" t="s">
        <v>3237</v>
      </c>
      <c r="C11709" t="s">
        <v>14724</v>
      </c>
      <c r="D11709" t="s">
        <v>17171</v>
      </c>
      <c r="E11709" t="s">
        <v>23843</v>
      </c>
      <c r="F11709" t="s">
        <v>29372</v>
      </c>
      <c r="G11709" t="s">
        <v>29380</v>
      </c>
      <c r="H11709" t="s">
        <v>11048</v>
      </c>
      <c r="I11709" t="s">
        <v>5383</v>
      </c>
      <c r="J11709" t="s">
        <v>36907</v>
      </c>
      <c r="K11709" t="s">
        <v>38488</v>
      </c>
      <c r="M11709" t="s">
        <v>42303</v>
      </c>
      <c r="N11709" t="s">
        <v>42669</v>
      </c>
      <c r="O11709" t="s">
        <v>42670</v>
      </c>
      <c r="P11709">
        <v>0</v>
      </c>
      <c r="Q11709">
        <v>7</v>
      </c>
      <c r="R11709" t="s">
        <v>42688</v>
      </c>
      <c r="S11709" t="s">
        <v>43441</v>
      </c>
      <c r="T11709" t="s">
        <v>44469</v>
      </c>
      <c r="U11709" t="s">
        <v>54392</v>
      </c>
      <c r="V11709" t="s">
        <v>57676</v>
      </c>
      <c r="W11709" t="s">
        <v>42303</v>
      </c>
      <c r="X11709" t="s">
        <v>42689</v>
      </c>
    </row>
    <row r="11710" spans="1:24">
      <c r="A11710">
        <f>HYPERLINK("https://www.philgeps.gov.ph/GEPSNONPILOT/Tender/SplashBidNoticeAbstractUI.aspx?menuIndex=3&amp;refID=7162569&amp;Result=3","7162569")</f>
        <v>0</v>
      </c>
      <c r="B11710" t="s">
        <v>3238</v>
      </c>
      <c r="C11710" t="s">
        <v>14725</v>
      </c>
      <c r="D11710" t="s">
        <v>17204</v>
      </c>
      <c r="E11710" t="s">
        <v>27206</v>
      </c>
      <c r="F11710" t="s">
        <v>29372</v>
      </c>
      <c r="G11710" t="s">
        <v>29380</v>
      </c>
      <c r="H11710" t="s">
        <v>11048</v>
      </c>
      <c r="I11710" t="s">
        <v>3839</v>
      </c>
      <c r="J11710" t="s">
        <v>36908</v>
      </c>
      <c r="K11710" t="s">
        <v>38491</v>
      </c>
      <c r="M11710" t="s">
        <v>42304</v>
      </c>
      <c r="N11710" t="s">
        <v>42669</v>
      </c>
      <c r="O11710" t="s">
        <v>42670</v>
      </c>
      <c r="P11710">
        <v>0</v>
      </c>
      <c r="Q11710">
        <v>8</v>
      </c>
      <c r="R11710" t="s">
        <v>42688</v>
      </c>
      <c r="S11710" t="s">
        <v>43441</v>
      </c>
      <c r="T11710" t="s">
        <v>44429</v>
      </c>
      <c r="U11710" t="s">
        <v>54393</v>
      </c>
      <c r="W11710" t="s">
        <v>42304</v>
      </c>
      <c r="X11710" t="s">
        <v>42689</v>
      </c>
    </row>
    <row r="11711" spans="1:24">
      <c r="A11711">
        <f>HYPERLINK("https://www.philgeps.gov.ph/GEPSNONPILOT/Tender/SplashBidNoticeAbstractUI.aspx?menuIndex=3&amp;refID=7162545&amp;Result=3","7162545")</f>
        <v>0</v>
      </c>
      <c r="B11711" t="s">
        <v>3239</v>
      </c>
      <c r="C11711" t="s">
        <v>14726</v>
      </c>
      <c r="D11711" t="s">
        <v>17201</v>
      </c>
      <c r="E11711" t="s">
        <v>17794</v>
      </c>
      <c r="F11711" t="s">
        <v>29372</v>
      </c>
      <c r="G11711" t="s">
        <v>29380</v>
      </c>
      <c r="H11711" t="s">
        <v>11048</v>
      </c>
      <c r="I11711" t="s">
        <v>29424</v>
      </c>
      <c r="J11711" t="s">
        <v>29708</v>
      </c>
      <c r="K11711" t="s">
        <v>38485</v>
      </c>
      <c r="M11711" t="s">
        <v>42305</v>
      </c>
      <c r="N11711" t="s">
        <v>42669</v>
      </c>
      <c r="O11711" t="s">
        <v>42670</v>
      </c>
      <c r="P11711">
        <v>0</v>
      </c>
      <c r="Q11711">
        <v>5</v>
      </c>
      <c r="R11711" t="s">
        <v>42688</v>
      </c>
      <c r="S11711" t="s">
        <v>43441</v>
      </c>
      <c r="T11711" t="s">
        <v>44481</v>
      </c>
      <c r="U11711" t="s">
        <v>54394</v>
      </c>
      <c r="W11711" t="s">
        <v>42305</v>
      </c>
      <c r="X11711" t="s">
        <v>42689</v>
      </c>
    </row>
    <row r="11712" spans="1:24">
      <c r="A11712">
        <f>HYPERLINK("https://www.philgeps.gov.ph/GEPSNONPILOT/Tender/SplashBidNoticeAbstractUI.aspx?menuIndex=3&amp;refID=7162526&amp;Result=3","7162526")</f>
        <v>0</v>
      </c>
      <c r="B11712" t="s">
        <v>3238</v>
      </c>
      <c r="C11712" t="s">
        <v>14727</v>
      </c>
      <c r="D11712" t="s">
        <v>17204</v>
      </c>
      <c r="E11712" t="s">
        <v>27207</v>
      </c>
      <c r="F11712" t="s">
        <v>29372</v>
      </c>
      <c r="G11712" t="s">
        <v>29380</v>
      </c>
      <c r="H11712" t="s">
        <v>11048</v>
      </c>
      <c r="I11712" t="s">
        <v>4709</v>
      </c>
      <c r="J11712" t="s">
        <v>36909</v>
      </c>
      <c r="K11712" t="s">
        <v>38491</v>
      </c>
      <c r="M11712" t="s">
        <v>42304</v>
      </c>
      <c r="N11712" t="s">
        <v>42669</v>
      </c>
      <c r="O11712" t="s">
        <v>42670</v>
      </c>
      <c r="P11712">
        <v>0</v>
      </c>
      <c r="Q11712">
        <v>3</v>
      </c>
      <c r="R11712" t="s">
        <v>42688</v>
      </c>
      <c r="S11712" t="s">
        <v>43441</v>
      </c>
      <c r="T11712" t="s">
        <v>44429</v>
      </c>
      <c r="U11712" t="s">
        <v>54395</v>
      </c>
      <c r="W11712" t="s">
        <v>42304</v>
      </c>
      <c r="X11712" t="s">
        <v>42689</v>
      </c>
    </row>
    <row r="11713" spans="1:24">
      <c r="A11713">
        <f>HYPERLINK("https://www.philgeps.gov.ph/GEPSNONPILOT/Tender/SplashBidNoticeAbstractUI.aspx?menuIndex=3&amp;refID=7162510&amp;Result=3","7162510")</f>
        <v>0</v>
      </c>
      <c r="B11713" t="s">
        <v>3154</v>
      </c>
      <c r="C11713" t="s">
        <v>14728</v>
      </c>
      <c r="D11713" t="s">
        <v>17145</v>
      </c>
      <c r="E11713" t="s">
        <v>27208</v>
      </c>
      <c r="F11713" t="s">
        <v>29372</v>
      </c>
      <c r="G11713" t="s">
        <v>29380</v>
      </c>
      <c r="H11713" t="s">
        <v>29389</v>
      </c>
      <c r="I11713" t="s">
        <v>10408</v>
      </c>
      <c r="J11713" t="s">
        <v>29590</v>
      </c>
      <c r="K11713" t="s">
        <v>38487</v>
      </c>
      <c r="M11713" t="s">
        <v>42202</v>
      </c>
      <c r="N11713" t="s">
        <v>42669</v>
      </c>
      <c r="O11713" t="s">
        <v>42670</v>
      </c>
      <c r="P11713">
        <v>0</v>
      </c>
      <c r="Q11713">
        <v>0</v>
      </c>
      <c r="R11713" t="s">
        <v>42688</v>
      </c>
      <c r="S11713" t="s">
        <v>43441</v>
      </c>
      <c r="T11713" t="s">
        <v>44532</v>
      </c>
      <c r="U11713" t="s">
        <v>54022</v>
      </c>
      <c r="W11713" t="s">
        <v>42202</v>
      </c>
      <c r="X11713" t="s">
        <v>42689</v>
      </c>
    </row>
    <row r="11714" spans="1:24">
      <c r="A11714">
        <f>HYPERLINK("https://www.philgeps.gov.ph/GEPSNONPILOT/Tender/SplashBidNoticeAbstractUI.aspx?menuIndex=3&amp;refID=7162507&amp;Result=3","7162507")</f>
        <v>0</v>
      </c>
      <c r="B11714" t="s">
        <v>674</v>
      </c>
      <c r="C11714" t="s">
        <v>14729</v>
      </c>
      <c r="D11714" t="s">
        <v>17164</v>
      </c>
      <c r="E11714" t="s">
        <v>27209</v>
      </c>
      <c r="F11714" t="s">
        <v>29372</v>
      </c>
      <c r="G11714" t="s">
        <v>29380</v>
      </c>
      <c r="H11714" t="s">
        <v>29389</v>
      </c>
      <c r="I11714" t="s">
        <v>10408</v>
      </c>
      <c r="J11714" t="s">
        <v>36910</v>
      </c>
      <c r="K11714" t="s">
        <v>38548</v>
      </c>
      <c r="M11714" t="s">
        <v>39450</v>
      </c>
      <c r="N11714" t="s">
        <v>42669</v>
      </c>
      <c r="O11714" t="s">
        <v>42670</v>
      </c>
      <c r="P11714">
        <v>0</v>
      </c>
      <c r="Q11714">
        <v>2</v>
      </c>
      <c r="R11714" t="s">
        <v>42688</v>
      </c>
      <c r="S11714" t="s">
        <v>43441</v>
      </c>
      <c r="T11714" t="s">
        <v>44568</v>
      </c>
      <c r="U11714" t="s">
        <v>54396</v>
      </c>
      <c r="W11714" t="s">
        <v>39450</v>
      </c>
      <c r="X11714" t="s">
        <v>42689</v>
      </c>
    </row>
    <row r="11715" spans="1:24">
      <c r="A11715">
        <f>HYPERLINK("https://www.philgeps.gov.ph/GEPSNONPILOT/Tender/SplashBidNoticeAbstractUI.aspx?menuIndex=3&amp;refID=7162554&amp;Result=3","7162554")</f>
        <v>0</v>
      </c>
      <c r="B11715" t="s">
        <v>1654</v>
      </c>
      <c r="C11715" t="s">
        <v>14730</v>
      </c>
      <c r="D11715" t="s">
        <v>17153</v>
      </c>
      <c r="E11715" t="s">
        <v>27210</v>
      </c>
      <c r="F11715" t="s">
        <v>29373</v>
      </c>
      <c r="G11715" t="s">
        <v>29380</v>
      </c>
      <c r="H11715" t="s">
        <v>29389</v>
      </c>
      <c r="I11715" t="s">
        <v>10408</v>
      </c>
      <c r="J11715" t="s">
        <v>30012</v>
      </c>
      <c r="K11715" t="s">
        <v>38533</v>
      </c>
      <c r="M11715" t="s">
        <v>40511</v>
      </c>
      <c r="N11715" t="s">
        <v>42669</v>
      </c>
      <c r="O11715" t="s">
        <v>42670</v>
      </c>
      <c r="P11715">
        <v>0</v>
      </c>
      <c r="Q11715">
        <v>13</v>
      </c>
      <c r="R11715" t="s">
        <v>42688</v>
      </c>
      <c r="S11715" t="s">
        <v>43441</v>
      </c>
      <c r="T11715" t="s">
        <v>44386</v>
      </c>
      <c r="U11715" t="s">
        <v>54397</v>
      </c>
      <c r="V11715" t="s">
        <v>57677</v>
      </c>
      <c r="W11715" t="s">
        <v>40511</v>
      </c>
      <c r="X11715" t="s">
        <v>42689</v>
      </c>
    </row>
    <row r="11716" spans="1:24">
      <c r="A11716">
        <f>HYPERLINK("https://www.philgeps.gov.ph/GEPSNONPILOT/Tender/SplashBidNoticeAbstractUI.aspx?menuIndex=3&amp;refID=7162629&amp;Result=3","7162629")</f>
        <v>0</v>
      </c>
      <c r="B11716" t="s">
        <v>1415</v>
      </c>
      <c r="C11716" t="s">
        <v>14731</v>
      </c>
      <c r="D11716" t="s">
        <v>17147</v>
      </c>
      <c r="E11716" t="s">
        <v>27211</v>
      </c>
      <c r="F11716" t="s">
        <v>29372</v>
      </c>
      <c r="G11716" t="s">
        <v>29380</v>
      </c>
      <c r="H11716" t="s">
        <v>29389</v>
      </c>
      <c r="I11716" t="s">
        <v>10408</v>
      </c>
      <c r="J11716" t="s">
        <v>36911</v>
      </c>
      <c r="K11716" t="s">
        <v>38592</v>
      </c>
      <c r="M11716" t="s">
        <v>40254</v>
      </c>
      <c r="N11716" t="s">
        <v>42669</v>
      </c>
      <c r="O11716" t="s">
        <v>42670</v>
      </c>
      <c r="P11716">
        <v>0</v>
      </c>
      <c r="Q11716">
        <v>0</v>
      </c>
      <c r="R11716" t="s">
        <v>42688</v>
      </c>
      <c r="S11716" t="s">
        <v>43441</v>
      </c>
      <c r="T11716" t="s">
        <v>44387</v>
      </c>
      <c r="U11716" t="s">
        <v>54398</v>
      </c>
      <c r="W11716" t="s">
        <v>40254</v>
      </c>
      <c r="X11716" t="s">
        <v>42689</v>
      </c>
    </row>
    <row r="11717" spans="1:24">
      <c r="A11717">
        <f>HYPERLINK("https://www.philgeps.gov.ph/GEPSNONPILOT/Tender/SplashBidNoticeAbstractUI.aspx?menuIndex=3&amp;refID=7162499&amp;Result=3","7162499")</f>
        <v>0</v>
      </c>
      <c r="B11717" t="s">
        <v>3238</v>
      </c>
      <c r="C11717" t="s">
        <v>14732</v>
      </c>
      <c r="D11717" t="s">
        <v>17204</v>
      </c>
      <c r="E11717" t="s">
        <v>27212</v>
      </c>
      <c r="F11717" t="s">
        <v>29372</v>
      </c>
      <c r="G11717" t="s">
        <v>29380</v>
      </c>
      <c r="H11717" t="s">
        <v>11048</v>
      </c>
      <c r="I11717" t="s">
        <v>4709</v>
      </c>
      <c r="J11717" t="s">
        <v>29934</v>
      </c>
      <c r="K11717" t="s">
        <v>38491</v>
      </c>
      <c r="M11717" t="s">
        <v>42304</v>
      </c>
      <c r="N11717" t="s">
        <v>42669</v>
      </c>
      <c r="O11717" t="s">
        <v>42670</v>
      </c>
      <c r="P11717">
        <v>0</v>
      </c>
      <c r="Q11717">
        <v>2</v>
      </c>
      <c r="R11717" t="s">
        <v>42688</v>
      </c>
      <c r="S11717" t="s">
        <v>43441</v>
      </c>
      <c r="T11717" t="s">
        <v>44429</v>
      </c>
      <c r="U11717" t="s">
        <v>54395</v>
      </c>
      <c r="W11717" t="s">
        <v>42304</v>
      </c>
      <c r="X11717" t="s">
        <v>42689</v>
      </c>
    </row>
    <row r="11718" spans="1:24">
      <c r="A11718">
        <f>HYPERLINK("https://www.philgeps.gov.ph/GEPSNONPILOT/Tender/SplashBidNoticeAbstractUI.aspx?menuIndex=3&amp;refID=7162458&amp;Result=3","7162458")</f>
        <v>0</v>
      </c>
      <c r="B11718" t="s">
        <v>375</v>
      </c>
      <c r="C11718" t="s">
        <v>14733</v>
      </c>
      <c r="D11718" t="s">
        <v>17141</v>
      </c>
      <c r="E11718" t="s">
        <v>27213</v>
      </c>
      <c r="F11718" t="s">
        <v>29372</v>
      </c>
      <c r="G11718" t="s">
        <v>29380</v>
      </c>
      <c r="H11718" t="s">
        <v>29389</v>
      </c>
      <c r="I11718" t="s">
        <v>10408</v>
      </c>
      <c r="J11718" t="s">
        <v>36912</v>
      </c>
      <c r="K11718" t="s">
        <v>38495</v>
      </c>
      <c r="M11718" t="s">
        <v>39136</v>
      </c>
      <c r="N11718" t="s">
        <v>42669</v>
      </c>
      <c r="O11718" t="s">
        <v>42670</v>
      </c>
      <c r="P11718">
        <v>0</v>
      </c>
      <c r="Q11718">
        <v>16</v>
      </c>
      <c r="R11718" t="s">
        <v>42688</v>
      </c>
      <c r="S11718" t="s">
        <v>43441</v>
      </c>
      <c r="T11718" t="s">
        <v>44401</v>
      </c>
      <c r="U11718" t="s">
        <v>54399</v>
      </c>
      <c r="W11718" t="s">
        <v>58011</v>
      </c>
      <c r="X11718" t="s">
        <v>42689</v>
      </c>
    </row>
    <row r="11719" spans="1:24">
      <c r="A11719">
        <f>HYPERLINK("https://www.philgeps.gov.ph/GEPSNONPILOT/Tender/SplashBidNoticeAbstractUI.aspx?menuIndex=3&amp;refID=7162470&amp;Result=3","7162470")</f>
        <v>0</v>
      </c>
      <c r="B11719" t="s">
        <v>3238</v>
      </c>
      <c r="C11719" t="s">
        <v>14734</v>
      </c>
      <c r="D11719" t="s">
        <v>17204</v>
      </c>
      <c r="E11719" t="s">
        <v>27214</v>
      </c>
      <c r="F11719" t="s">
        <v>29372</v>
      </c>
      <c r="G11719" t="s">
        <v>29380</v>
      </c>
      <c r="H11719" t="s">
        <v>11048</v>
      </c>
      <c r="I11719" t="s">
        <v>4709</v>
      </c>
      <c r="J11719" t="s">
        <v>36913</v>
      </c>
      <c r="K11719" t="s">
        <v>38491</v>
      </c>
      <c r="M11719" t="s">
        <v>42304</v>
      </c>
      <c r="N11719" t="s">
        <v>42669</v>
      </c>
      <c r="O11719" t="s">
        <v>42670</v>
      </c>
      <c r="P11719">
        <v>0</v>
      </c>
      <c r="Q11719">
        <v>3</v>
      </c>
      <c r="R11719" t="s">
        <v>42688</v>
      </c>
      <c r="S11719" t="s">
        <v>43441</v>
      </c>
      <c r="T11719" t="s">
        <v>44429</v>
      </c>
      <c r="U11719" t="s">
        <v>54395</v>
      </c>
      <c r="W11719" t="s">
        <v>42304</v>
      </c>
      <c r="X11719" t="s">
        <v>42689</v>
      </c>
    </row>
    <row r="11720" spans="1:24">
      <c r="A11720">
        <f>HYPERLINK("https://www.philgeps.gov.ph/GEPSNONPILOT/Tender/SplashBidNoticeAbstractUI.aspx?menuIndex=3&amp;refID=7162150&amp;Result=3","7162150")</f>
        <v>0</v>
      </c>
      <c r="B11720" t="s">
        <v>3240</v>
      </c>
      <c r="C11720" t="s">
        <v>14735</v>
      </c>
      <c r="D11720" t="s">
        <v>17169</v>
      </c>
      <c r="E11720" t="s">
        <v>27215</v>
      </c>
      <c r="F11720" t="s">
        <v>29372</v>
      </c>
      <c r="G11720" t="s">
        <v>29380</v>
      </c>
      <c r="H11720" t="s">
        <v>11048</v>
      </c>
      <c r="I11720" t="s">
        <v>3839</v>
      </c>
      <c r="J11720" t="s">
        <v>36105</v>
      </c>
      <c r="K11720" t="s">
        <v>38489</v>
      </c>
      <c r="M11720" t="s">
        <v>42306</v>
      </c>
      <c r="N11720" t="s">
        <v>42669</v>
      </c>
      <c r="O11720" t="s">
        <v>42670</v>
      </c>
      <c r="P11720">
        <v>0</v>
      </c>
      <c r="Q11720">
        <v>7</v>
      </c>
      <c r="R11720" t="s">
        <v>42688</v>
      </c>
      <c r="S11720" t="s">
        <v>43441</v>
      </c>
      <c r="T11720" t="s">
        <v>44349</v>
      </c>
      <c r="U11720" t="s">
        <v>54400</v>
      </c>
      <c r="W11720" t="s">
        <v>42306</v>
      </c>
      <c r="X11720" t="s">
        <v>42689</v>
      </c>
    </row>
    <row r="11721" spans="1:24">
      <c r="A11721">
        <f>HYPERLINK("https://www.philgeps.gov.ph/GEPSNONPILOT/Tender/SplashBidNoticeAbstractUI.aspx?menuIndex=3&amp;refID=7162838&amp;Result=3","7162838")</f>
        <v>0</v>
      </c>
      <c r="B11721" t="s">
        <v>495</v>
      </c>
      <c r="C11721" t="s">
        <v>14736</v>
      </c>
      <c r="D11721" t="s">
        <v>17181</v>
      </c>
      <c r="E11721" t="s">
        <v>27216</v>
      </c>
      <c r="F11721" t="s">
        <v>29372</v>
      </c>
      <c r="G11721" t="s">
        <v>29380</v>
      </c>
      <c r="H11721" t="s">
        <v>11048</v>
      </c>
      <c r="I11721" t="s">
        <v>8614</v>
      </c>
      <c r="J11721" t="s">
        <v>30706</v>
      </c>
      <c r="K11721" t="s">
        <v>38485</v>
      </c>
      <c r="M11721" t="s">
        <v>39260</v>
      </c>
      <c r="N11721" t="s">
        <v>42669</v>
      </c>
      <c r="O11721" t="s">
        <v>42670</v>
      </c>
      <c r="P11721">
        <v>0</v>
      </c>
      <c r="Q11721">
        <v>3</v>
      </c>
      <c r="R11721" t="s">
        <v>42688</v>
      </c>
      <c r="S11721" t="s">
        <v>43441</v>
      </c>
      <c r="T11721" t="s">
        <v>44412</v>
      </c>
      <c r="U11721" t="s">
        <v>54401</v>
      </c>
      <c r="W11721" t="s">
        <v>39260</v>
      </c>
      <c r="X11721" t="s">
        <v>42689</v>
      </c>
    </row>
    <row r="11722" spans="1:24">
      <c r="A11722">
        <f>HYPERLINK("https://www.philgeps.gov.ph/GEPSNONPILOT/Tender/SplashBidNoticeAbstractUI.aspx?menuIndex=3&amp;refID=7162474&amp;Result=3","7162474")</f>
        <v>0</v>
      </c>
      <c r="B11722" t="s">
        <v>238</v>
      </c>
      <c r="C11722" t="s">
        <v>14737</v>
      </c>
      <c r="D11722" t="s">
        <v>17187</v>
      </c>
      <c r="E11722" t="s">
        <v>27217</v>
      </c>
      <c r="F11722" t="s">
        <v>29372</v>
      </c>
      <c r="G11722" t="s">
        <v>29380</v>
      </c>
      <c r="H11722" t="s">
        <v>29390</v>
      </c>
      <c r="I11722" t="s">
        <v>29434</v>
      </c>
      <c r="J11722" t="s">
        <v>36914</v>
      </c>
      <c r="K11722" t="s">
        <v>38485</v>
      </c>
      <c r="M11722" t="s">
        <v>42307</v>
      </c>
      <c r="N11722" t="s">
        <v>42669</v>
      </c>
      <c r="O11722" t="s">
        <v>42670</v>
      </c>
      <c r="P11722">
        <v>0</v>
      </c>
      <c r="Q11722">
        <v>7</v>
      </c>
      <c r="R11722" t="s">
        <v>42688</v>
      </c>
      <c r="S11722" t="s">
        <v>43441</v>
      </c>
      <c r="T11722" t="s">
        <v>44375</v>
      </c>
      <c r="U11722" t="s">
        <v>54402</v>
      </c>
      <c r="W11722" t="s">
        <v>38997</v>
      </c>
      <c r="X11722" t="s">
        <v>42689</v>
      </c>
    </row>
    <row r="11723" spans="1:24">
      <c r="A11723">
        <f>HYPERLINK("https://www.philgeps.gov.ph/GEPSNONPILOT/Tender/SplashBidNoticeAbstractUI.aspx?menuIndex=3&amp;refID=7162417&amp;Result=3","7162417")</f>
        <v>0</v>
      </c>
      <c r="B11723" t="s">
        <v>375</v>
      </c>
      <c r="C11723" t="s">
        <v>14738</v>
      </c>
      <c r="D11723" t="s">
        <v>17141</v>
      </c>
      <c r="E11723" t="s">
        <v>27218</v>
      </c>
      <c r="F11723" t="s">
        <v>29372</v>
      </c>
      <c r="G11723" t="s">
        <v>29380</v>
      </c>
      <c r="H11723" t="s">
        <v>29389</v>
      </c>
      <c r="I11723" t="s">
        <v>10408</v>
      </c>
      <c r="J11723" t="s">
        <v>31870</v>
      </c>
      <c r="K11723" t="s">
        <v>38564</v>
      </c>
      <c r="M11723" t="s">
        <v>39136</v>
      </c>
      <c r="N11723" t="s">
        <v>42669</v>
      </c>
      <c r="O11723" t="s">
        <v>42670</v>
      </c>
      <c r="P11723">
        <v>0</v>
      </c>
      <c r="Q11723">
        <v>22</v>
      </c>
      <c r="R11723" t="s">
        <v>42688</v>
      </c>
      <c r="S11723" t="s">
        <v>43441</v>
      </c>
      <c r="T11723" t="s">
        <v>44401</v>
      </c>
      <c r="U11723" t="s">
        <v>54372</v>
      </c>
      <c r="W11723" t="s">
        <v>58011</v>
      </c>
      <c r="X11723" t="s">
        <v>42689</v>
      </c>
    </row>
    <row r="11724" spans="1:24">
      <c r="A11724">
        <f>HYPERLINK("https://www.philgeps.gov.ph/GEPSNONPILOT/Tender/SplashBidNoticeAbstractUI.aspx?menuIndex=3&amp;refID=7162841&amp;Result=3","7162841")</f>
        <v>0</v>
      </c>
      <c r="B11724" t="s">
        <v>2435</v>
      </c>
      <c r="C11724" t="s">
        <v>14739</v>
      </c>
      <c r="E11724" t="s">
        <v>20564</v>
      </c>
      <c r="F11724" t="s">
        <v>29372</v>
      </c>
      <c r="G11724" t="s">
        <v>29379</v>
      </c>
      <c r="H11724" t="s">
        <v>29389</v>
      </c>
      <c r="I11724" t="s">
        <v>29450</v>
      </c>
      <c r="J11724" t="s">
        <v>36915</v>
      </c>
      <c r="K11724" t="s">
        <v>38485</v>
      </c>
      <c r="M11724" t="s">
        <v>41383</v>
      </c>
      <c r="N11724" t="s">
        <v>42669</v>
      </c>
      <c r="O11724" t="s">
        <v>42670</v>
      </c>
      <c r="P11724">
        <v>0</v>
      </c>
      <c r="Q11724">
        <v>0</v>
      </c>
      <c r="R11724" t="s">
        <v>42688</v>
      </c>
      <c r="S11724" t="s">
        <v>43441</v>
      </c>
      <c r="T11724" t="s">
        <v>44491</v>
      </c>
      <c r="U11724" t="s">
        <v>54403</v>
      </c>
      <c r="V11724" t="s">
        <v>57678</v>
      </c>
      <c r="W11724" t="s">
        <v>41383</v>
      </c>
      <c r="X11724" t="s">
        <v>42689</v>
      </c>
    </row>
    <row r="11725" spans="1:24">
      <c r="A11725">
        <f>HYPERLINK("https://www.philgeps.gov.ph/GEPSNONPILOT/Tender/SplashBidNoticeAbstractUI.aspx?menuIndex=3&amp;refID=7162851&amp;Result=3","7162851")</f>
        <v>0</v>
      </c>
      <c r="B11725" t="s">
        <v>1965</v>
      </c>
      <c r="C11725" t="s">
        <v>14740</v>
      </c>
      <c r="D11725" t="s">
        <v>17141</v>
      </c>
      <c r="E11725" t="s">
        <v>27219</v>
      </c>
      <c r="F11725" t="s">
        <v>29372</v>
      </c>
      <c r="G11725" t="s">
        <v>29380</v>
      </c>
      <c r="H11725" t="s">
        <v>11048</v>
      </c>
      <c r="I11725" t="s">
        <v>8614</v>
      </c>
      <c r="J11725" t="s">
        <v>36916</v>
      </c>
      <c r="K11725" t="s">
        <v>38490</v>
      </c>
      <c r="M11725" t="s">
        <v>42308</v>
      </c>
      <c r="N11725" t="s">
        <v>42669</v>
      </c>
      <c r="O11725" t="s">
        <v>42670</v>
      </c>
      <c r="P11725">
        <v>0</v>
      </c>
      <c r="Q11725">
        <v>7</v>
      </c>
      <c r="R11725" t="s">
        <v>42688</v>
      </c>
      <c r="S11725" t="s">
        <v>43441</v>
      </c>
      <c r="T11725" t="s">
        <v>44457</v>
      </c>
      <c r="U11725" t="s">
        <v>54404</v>
      </c>
      <c r="W11725" t="s">
        <v>42308</v>
      </c>
      <c r="X11725" t="s">
        <v>42689</v>
      </c>
    </row>
    <row r="11726" spans="1:24">
      <c r="A11726">
        <f>HYPERLINK("https://www.philgeps.gov.ph/GEPSNONPILOT/Tender/SplashBidNoticeAbstractUI.aspx?menuIndex=3&amp;refID=7162868&amp;Result=3","7162868")</f>
        <v>0</v>
      </c>
      <c r="B11726" t="s">
        <v>2898</v>
      </c>
      <c r="C11726" t="s">
        <v>14741</v>
      </c>
      <c r="D11726" t="s">
        <v>17186</v>
      </c>
      <c r="E11726" t="s">
        <v>27220</v>
      </c>
      <c r="F11726" t="s">
        <v>29372</v>
      </c>
      <c r="G11726" t="s">
        <v>29380</v>
      </c>
      <c r="H11726" t="s">
        <v>11048</v>
      </c>
      <c r="I11726" t="s">
        <v>3839</v>
      </c>
      <c r="J11726" t="s">
        <v>29721</v>
      </c>
      <c r="K11726" t="s">
        <v>38538</v>
      </c>
      <c r="M11726" t="s">
        <v>41896</v>
      </c>
      <c r="N11726" t="s">
        <v>42669</v>
      </c>
      <c r="O11726" t="s">
        <v>42670</v>
      </c>
      <c r="P11726">
        <v>0</v>
      </c>
      <c r="Q11726">
        <v>3</v>
      </c>
      <c r="R11726" t="s">
        <v>42688</v>
      </c>
      <c r="S11726" t="s">
        <v>43441</v>
      </c>
      <c r="T11726" t="s">
        <v>44364</v>
      </c>
      <c r="U11726" t="s">
        <v>54405</v>
      </c>
      <c r="W11726" t="s">
        <v>58102</v>
      </c>
      <c r="X11726" t="s">
        <v>42689</v>
      </c>
    </row>
    <row r="11727" spans="1:24">
      <c r="A11727">
        <f>HYPERLINK("https://www.philgeps.gov.ph/GEPSNONPILOT/Tender/SplashBidNoticeAbstractUI.aspx?menuIndex=3&amp;refID=7162794&amp;Result=3","7162794")</f>
        <v>0</v>
      </c>
      <c r="B11727" t="s">
        <v>967</v>
      </c>
      <c r="C11727" t="s">
        <v>14742</v>
      </c>
      <c r="D11727" t="s">
        <v>17141</v>
      </c>
      <c r="E11727" t="s">
        <v>27221</v>
      </c>
      <c r="F11727" t="s">
        <v>29372</v>
      </c>
      <c r="G11727" t="s">
        <v>29380</v>
      </c>
      <c r="H11727" t="s">
        <v>11048</v>
      </c>
      <c r="I11727" t="s">
        <v>29413</v>
      </c>
      <c r="J11727" t="s">
        <v>36917</v>
      </c>
      <c r="K11727" t="s">
        <v>38522</v>
      </c>
      <c r="M11727" t="s">
        <v>39763</v>
      </c>
      <c r="N11727" t="s">
        <v>42669</v>
      </c>
      <c r="O11727" t="s">
        <v>42670</v>
      </c>
      <c r="Q11727">
        <v>19</v>
      </c>
      <c r="R11727" t="s">
        <v>42688</v>
      </c>
      <c r="S11727" t="s">
        <v>43445</v>
      </c>
      <c r="T11727" t="s">
        <v>44373</v>
      </c>
      <c r="U11727" t="s">
        <v>46842</v>
      </c>
      <c r="W11727" t="s">
        <v>39763</v>
      </c>
      <c r="X11727" t="s">
        <v>42689</v>
      </c>
    </row>
    <row r="11728" spans="1:24">
      <c r="A11728">
        <f>HYPERLINK("https://www.philgeps.gov.ph/GEPSNONPILOT/Tender/SplashBidNoticeAbstractUI.aspx?menuIndex=3&amp;refID=7162881&amp;Result=3","7162881")</f>
        <v>0</v>
      </c>
      <c r="B11728" t="s">
        <v>1488</v>
      </c>
      <c r="C11728" t="s">
        <v>14743</v>
      </c>
      <c r="D11728" t="s">
        <v>17205</v>
      </c>
      <c r="E11728" t="s">
        <v>19088</v>
      </c>
      <c r="F11728" t="s">
        <v>29372</v>
      </c>
      <c r="G11728" t="s">
        <v>29380</v>
      </c>
      <c r="H11728" t="s">
        <v>11048</v>
      </c>
      <c r="I11728" t="s">
        <v>3839</v>
      </c>
      <c r="J11728" t="s">
        <v>30302</v>
      </c>
      <c r="K11728" t="s">
        <v>38528</v>
      </c>
      <c r="M11728" t="s">
        <v>40331</v>
      </c>
      <c r="N11728" t="s">
        <v>42669</v>
      </c>
      <c r="O11728" t="s">
        <v>42670</v>
      </c>
      <c r="P11728">
        <v>0</v>
      </c>
      <c r="Q11728">
        <v>4</v>
      </c>
      <c r="R11728" t="s">
        <v>42688</v>
      </c>
      <c r="S11728" t="s">
        <v>43441</v>
      </c>
      <c r="T11728" t="s">
        <v>44401</v>
      </c>
      <c r="U11728" t="s">
        <v>54406</v>
      </c>
      <c r="V11728" t="s">
        <v>57679</v>
      </c>
      <c r="W11728" t="s">
        <v>40331</v>
      </c>
      <c r="X11728" t="s">
        <v>42689</v>
      </c>
    </row>
    <row r="11729" spans="1:24">
      <c r="A11729">
        <f>HYPERLINK("https://www.philgeps.gov.ph/GEPSNONPILOT/Tender/SplashBidNoticeAbstractUI.aspx?menuIndex=3&amp;refID=7162393&amp;Result=3","7162393")</f>
        <v>0</v>
      </c>
      <c r="B11729" t="s">
        <v>674</v>
      </c>
      <c r="C11729" t="s">
        <v>14744</v>
      </c>
      <c r="D11729" t="s">
        <v>17164</v>
      </c>
      <c r="E11729" t="s">
        <v>27222</v>
      </c>
      <c r="F11729" t="s">
        <v>29372</v>
      </c>
      <c r="G11729" t="s">
        <v>29380</v>
      </c>
      <c r="H11729" t="s">
        <v>11048</v>
      </c>
      <c r="I11729" t="s">
        <v>9469</v>
      </c>
      <c r="J11729" t="s">
        <v>29541</v>
      </c>
      <c r="K11729" t="s">
        <v>38496</v>
      </c>
      <c r="M11729" t="s">
        <v>39450</v>
      </c>
      <c r="N11729" t="s">
        <v>42669</v>
      </c>
      <c r="O11729" t="s">
        <v>42670</v>
      </c>
      <c r="P11729">
        <v>0</v>
      </c>
      <c r="Q11729">
        <v>3</v>
      </c>
      <c r="R11729" t="s">
        <v>42688</v>
      </c>
      <c r="S11729" t="s">
        <v>43441</v>
      </c>
      <c r="T11729" t="s">
        <v>44568</v>
      </c>
      <c r="U11729" t="s">
        <v>54407</v>
      </c>
      <c r="W11729" t="s">
        <v>39450</v>
      </c>
      <c r="X11729" t="s">
        <v>42689</v>
      </c>
    </row>
    <row r="11730" spans="1:24">
      <c r="A11730">
        <f>HYPERLINK("https://www.philgeps.gov.ph/GEPSNONPILOT/Tender/SplashBidNoticeAbstractUI.aspx?menuIndex=3&amp;refID=7162787&amp;Result=3","7162787")</f>
        <v>0</v>
      </c>
      <c r="B11730" t="s">
        <v>3241</v>
      </c>
      <c r="C11730" t="s">
        <v>14745</v>
      </c>
      <c r="D11730" t="s">
        <v>17158</v>
      </c>
      <c r="E11730" t="s">
        <v>27223</v>
      </c>
      <c r="F11730" t="s">
        <v>29372</v>
      </c>
      <c r="G11730" t="s">
        <v>29380</v>
      </c>
      <c r="H11730" t="s">
        <v>11048</v>
      </c>
      <c r="I11730" t="s">
        <v>9469</v>
      </c>
      <c r="J11730" t="s">
        <v>30787</v>
      </c>
      <c r="K11730" t="s">
        <v>38491</v>
      </c>
      <c r="M11730" t="s">
        <v>42309</v>
      </c>
      <c r="N11730" t="s">
        <v>42669</v>
      </c>
      <c r="O11730" t="s">
        <v>42670</v>
      </c>
      <c r="P11730">
        <v>0</v>
      </c>
      <c r="Q11730">
        <v>5</v>
      </c>
      <c r="R11730" t="s">
        <v>42688</v>
      </c>
      <c r="S11730" t="s">
        <v>43441</v>
      </c>
      <c r="T11730" t="s">
        <v>44357</v>
      </c>
      <c r="U11730" t="s">
        <v>54408</v>
      </c>
      <c r="W11730" t="s">
        <v>42309</v>
      </c>
      <c r="X11730" t="s">
        <v>42689</v>
      </c>
    </row>
    <row r="11731" spans="1:24">
      <c r="A11731">
        <f>HYPERLINK("https://www.philgeps.gov.ph/GEPSNONPILOT/Tender/SplashBidNoticeAbstractUI.aspx?menuIndex=3&amp;refID=7162781&amp;Result=3","7162781")</f>
        <v>0</v>
      </c>
      <c r="B11731" t="s">
        <v>453</v>
      </c>
      <c r="C11731" t="s">
        <v>14746</v>
      </c>
      <c r="D11731" t="s">
        <v>17173</v>
      </c>
      <c r="E11731" t="s">
        <v>27224</v>
      </c>
      <c r="F11731" t="s">
        <v>29372</v>
      </c>
      <c r="G11731" t="s">
        <v>29380</v>
      </c>
      <c r="H11731" t="s">
        <v>11048</v>
      </c>
      <c r="I11731" t="s">
        <v>5383</v>
      </c>
      <c r="J11731" t="s">
        <v>36918</v>
      </c>
      <c r="K11731" t="s">
        <v>38485</v>
      </c>
      <c r="M11731" t="s">
        <v>39217</v>
      </c>
      <c r="N11731" t="s">
        <v>42669</v>
      </c>
      <c r="O11731" t="s">
        <v>42670</v>
      </c>
      <c r="P11731">
        <v>0</v>
      </c>
      <c r="Q11731">
        <v>2</v>
      </c>
      <c r="R11731" t="s">
        <v>42688</v>
      </c>
      <c r="S11731" t="s">
        <v>43441</v>
      </c>
      <c r="T11731" t="s">
        <v>44373</v>
      </c>
      <c r="U11731" t="s">
        <v>54409</v>
      </c>
      <c r="W11731" t="s">
        <v>39217</v>
      </c>
      <c r="X11731" t="s">
        <v>42689</v>
      </c>
    </row>
    <row r="11732" spans="1:24">
      <c r="A11732">
        <f>HYPERLINK("https://www.philgeps.gov.ph/GEPSNONPILOT/Tender/SplashBidNoticeAbstractUI.aspx?menuIndex=3&amp;refID=7162744&amp;Result=3","7162744")</f>
        <v>0</v>
      </c>
      <c r="B11732" t="s">
        <v>3242</v>
      </c>
      <c r="C11732" t="s">
        <v>14747</v>
      </c>
      <c r="D11732" t="s">
        <v>17176</v>
      </c>
      <c r="E11732" t="s">
        <v>21491</v>
      </c>
      <c r="F11732" t="s">
        <v>29372</v>
      </c>
      <c r="G11732" t="s">
        <v>29380</v>
      </c>
      <c r="H11732" t="s">
        <v>29389</v>
      </c>
      <c r="I11732" t="s">
        <v>10408</v>
      </c>
      <c r="J11732" t="s">
        <v>29829</v>
      </c>
      <c r="K11732" t="s">
        <v>38522</v>
      </c>
      <c r="M11732" t="s">
        <v>42310</v>
      </c>
      <c r="N11732" t="s">
        <v>42669</v>
      </c>
      <c r="O11732" t="s">
        <v>42670</v>
      </c>
      <c r="P11732">
        <v>0</v>
      </c>
      <c r="Q11732">
        <v>0</v>
      </c>
      <c r="R11732" t="s">
        <v>42688</v>
      </c>
      <c r="S11732" t="s">
        <v>43441</v>
      </c>
      <c r="T11732" t="s">
        <v>44427</v>
      </c>
      <c r="U11732" t="s">
        <v>54410</v>
      </c>
      <c r="V11732" t="s">
        <v>57680</v>
      </c>
      <c r="W11732" t="s">
        <v>42310</v>
      </c>
      <c r="X11732" t="s">
        <v>42689</v>
      </c>
    </row>
    <row r="11733" spans="1:24">
      <c r="A11733">
        <f>HYPERLINK("https://www.philgeps.gov.ph/GEPSNONPILOT/Tender/SplashBidNoticeAbstractUI.aspx?menuIndex=3&amp;refID=7162739&amp;Result=3","7162739")</f>
        <v>0</v>
      </c>
      <c r="B11733" t="s">
        <v>3001</v>
      </c>
      <c r="C11733" t="s">
        <v>14748</v>
      </c>
      <c r="D11733" t="s">
        <v>17163</v>
      </c>
      <c r="E11733" t="s">
        <v>27225</v>
      </c>
      <c r="F11733" t="s">
        <v>29372</v>
      </c>
      <c r="G11733" t="s">
        <v>29380</v>
      </c>
      <c r="H11733" t="s">
        <v>29389</v>
      </c>
      <c r="I11733" t="s">
        <v>10408</v>
      </c>
      <c r="J11733" t="s">
        <v>29543</v>
      </c>
      <c r="K11733" t="s">
        <v>38522</v>
      </c>
      <c r="M11733" t="s">
        <v>42020</v>
      </c>
      <c r="N11733" t="s">
        <v>42669</v>
      </c>
      <c r="O11733" t="s">
        <v>42670</v>
      </c>
      <c r="Q11733">
        <v>18</v>
      </c>
      <c r="R11733" t="s">
        <v>42688</v>
      </c>
      <c r="S11733" t="s">
        <v>42848</v>
      </c>
      <c r="T11733" t="s">
        <v>44357</v>
      </c>
      <c r="U11733" t="s">
        <v>54411</v>
      </c>
      <c r="V11733" t="s">
        <v>57681</v>
      </c>
      <c r="W11733" t="s">
        <v>42020</v>
      </c>
      <c r="X11733" t="s">
        <v>42689</v>
      </c>
    </row>
    <row r="11734" spans="1:24">
      <c r="A11734">
        <f>HYPERLINK("https://www.philgeps.gov.ph/GEPSNONPILOT/Tender/SplashBidNoticeAbstractUI.aspx?menuIndex=3&amp;refID=7162497&amp;Result=3","7162497")</f>
        <v>0</v>
      </c>
      <c r="B11734" t="s">
        <v>2536</v>
      </c>
      <c r="C11734" t="s">
        <v>14749</v>
      </c>
      <c r="D11734" t="s">
        <v>17187</v>
      </c>
      <c r="E11734" t="s">
        <v>27226</v>
      </c>
      <c r="F11734" t="s">
        <v>29372</v>
      </c>
      <c r="G11734" t="s">
        <v>29384</v>
      </c>
      <c r="H11734" t="s">
        <v>29389</v>
      </c>
      <c r="I11734" t="s">
        <v>10408</v>
      </c>
      <c r="J11734" t="s">
        <v>36919</v>
      </c>
      <c r="K11734" t="s">
        <v>38564</v>
      </c>
      <c r="M11734" t="s">
        <v>41498</v>
      </c>
      <c r="N11734" t="s">
        <v>42669</v>
      </c>
      <c r="O11734" t="s">
        <v>42670</v>
      </c>
      <c r="P11734">
        <v>0</v>
      </c>
      <c r="Q11734">
        <v>26</v>
      </c>
      <c r="R11734" t="s">
        <v>42688</v>
      </c>
      <c r="S11734" t="s">
        <v>43441</v>
      </c>
      <c r="T11734" t="s">
        <v>44470</v>
      </c>
      <c r="U11734" t="s">
        <v>54412</v>
      </c>
      <c r="V11734" t="s">
        <v>57682</v>
      </c>
      <c r="W11734" t="s">
        <v>41498</v>
      </c>
      <c r="X11734" t="s">
        <v>42689</v>
      </c>
    </row>
    <row r="11735" spans="1:24">
      <c r="A11735">
        <f>HYPERLINK("https://www.philgeps.gov.ph/GEPSNONPILOT/Tender/SplashBidNoticeAbstractUI.aspx?menuIndex=3&amp;refID=7163209&amp;Result=3","7163209")</f>
        <v>0</v>
      </c>
      <c r="B11735" t="s">
        <v>3243</v>
      </c>
      <c r="C11735" t="s">
        <v>14750</v>
      </c>
      <c r="D11735" t="s">
        <v>17226</v>
      </c>
      <c r="E11735" t="s">
        <v>27227</v>
      </c>
      <c r="F11735" t="s">
        <v>29372</v>
      </c>
      <c r="G11735" t="s">
        <v>29380</v>
      </c>
      <c r="H11735" t="s">
        <v>11048</v>
      </c>
      <c r="I11735" t="s">
        <v>29477</v>
      </c>
      <c r="J11735" t="s">
        <v>29526</v>
      </c>
      <c r="K11735" t="s">
        <v>38485</v>
      </c>
      <c r="M11735" t="s">
        <v>42311</v>
      </c>
      <c r="N11735" t="s">
        <v>42669</v>
      </c>
      <c r="O11735" t="s">
        <v>42670</v>
      </c>
      <c r="P11735">
        <v>0</v>
      </c>
      <c r="Q11735">
        <v>2</v>
      </c>
      <c r="R11735" t="s">
        <v>42688</v>
      </c>
      <c r="S11735" t="s">
        <v>43441</v>
      </c>
      <c r="T11735" t="s">
        <v>44387</v>
      </c>
      <c r="U11735" t="s">
        <v>54413</v>
      </c>
      <c r="V11735" t="s">
        <v>57683</v>
      </c>
      <c r="W11735" t="s">
        <v>42311</v>
      </c>
      <c r="X11735" t="s">
        <v>42689</v>
      </c>
    </row>
    <row r="11736" spans="1:24">
      <c r="A11736">
        <f>HYPERLINK("https://www.philgeps.gov.ph/GEPSNONPILOT/Tender/SplashBidNoticeAbstractUI.aspx?menuIndex=3&amp;refID=7164927&amp;Result=3","7164927")</f>
        <v>0</v>
      </c>
      <c r="B11736" t="s">
        <v>3220</v>
      </c>
      <c r="C11736" t="s">
        <v>14751</v>
      </c>
      <c r="D11736" t="s">
        <v>17201</v>
      </c>
      <c r="E11736" t="s">
        <v>26932</v>
      </c>
      <c r="F11736" t="s">
        <v>29372</v>
      </c>
      <c r="G11736" t="s">
        <v>29380</v>
      </c>
      <c r="H11736" t="s">
        <v>11048</v>
      </c>
      <c r="I11736" t="s">
        <v>3839</v>
      </c>
      <c r="J11736" t="s">
        <v>29658</v>
      </c>
      <c r="K11736" t="s">
        <v>38488</v>
      </c>
      <c r="M11736" t="s">
        <v>42285</v>
      </c>
      <c r="N11736" t="s">
        <v>42669</v>
      </c>
      <c r="O11736" t="s">
        <v>42670</v>
      </c>
      <c r="P11736">
        <v>0</v>
      </c>
      <c r="Q11736">
        <v>8</v>
      </c>
      <c r="R11736" t="s">
        <v>42686</v>
      </c>
      <c r="S11736" t="s">
        <v>43397</v>
      </c>
      <c r="T11736" t="s">
        <v>44525</v>
      </c>
      <c r="U11736" t="s">
        <v>54414</v>
      </c>
      <c r="W11736" t="s">
        <v>42285</v>
      </c>
      <c r="X11736" t="s">
        <v>42687</v>
      </c>
    </row>
    <row r="11737" spans="1:24">
      <c r="A11737">
        <f>HYPERLINK("https://www.philgeps.gov.ph/GEPSNONPILOT/Tender/SplashBidNoticeAbstractUI.aspx?menuIndex=3&amp;refID=7163212&amp;Result=3","7163212")</f>
        <v>0</v>
      </c>
      <c r="B11737" t="s">
        <v>3244</v>
      </c>
      <c r="C11737" t="s">
        <v>14752</v>
      </c>
      <c r="D11737" t="s">
        <v>17169</v>
      </c>
      <c r="E11737" t="s">
        <v>27228</v>
      </c>
      <c r="F11737" t="s">
        <v>29372</v>
      </c>
      <c r="G11737" t="s">
        <v>29380</v>
      </c>
      <c r="H11737" t="s">
        <v>29389</v>
      </c>
      <c r="I11737" t="s">
        <v>10408</v>
      </c>
      <c r="J11737" t="s">
        <v>36920</v>
      </c>
      <c r="K11737" t="s">
        <v>38485</v>
      </c>
      <c r="M11737" t="s">
        <v>42312</v>
      </c>
      <c r="N11737" t="s">
        <v>42669</v>
      </c>
      <c r="O11737" t="s">
        <v>42670</v>
      </c>
      <c r="P11737">
        <v>0</v>
      </c>
      <c r="Q11737">
        <v>0</v>
      </c>
      <c r="R11737" t="s">
        <v>42688</v>
      </c>
      <c r="S11737" t="s">
        <v>43441</v>
      </c>
      <c r="T11737" t="s">
        <v>44409</v>
      </c>
      <c r="U11737" t="s">
        <v>54415</v>
      </c>
      <c r="W11737" t="s">
        <v>58116</v>
      </c>
      <c r="X11737" t="s">
        <v>42689</v>
      </c>
    </row>
    <row r="11738" spans="1:24">
      <c r="A11738">
        <f>HYPERLINK("https://www.philgeps.gov.ph/GEPSNONPILOT/Tender/SplashBidNoticeAbstractUI.aspx?menuIndex=3&amp;refID=7162774&amp;Result=3","7162774")</f>
        <v>0</v>
      </c>
      <c r="B11738" t="s">
        <v>453</v>
      </c>
      <c r="C11738" t="s">
        <v>14753</v>
      </c>
      <c r="D11738" t="s">
        <v>17173</v>
      </c>
      <c r="E11738" t="s">
        <v>27229</v>
      </c>
      <c r="F11738" t="s">
        <v>29372</v>
      </c>
      <c r="G11738" t="s">
        <v>29380</v>
      </c>
      <c r="H11738" t="s">
        <v>11048</v>
      </c>
      <c r="I11738" t="s">
        <v>5383</v>
      </c>
      <c r="J11738" t="s">
        <v>36921</v>
      </c>
      <c r="K11738" t="s">
        <v>38485</v>
      </c>
      <c r="M11738" t="s">
        <v>39217</v>
      </c>
      <c r="N11738" t="s">
        <v>42669</v>
      </c>
      <c r="O11738" t="s">
        <v>42670</v>
      </c>
      <c r="P11738">
        <v>0</v>
      </c>
      <c r="Q11738">
        <v>1</v>
      </c>
      <c r="R11738" t="s">
        <v>42688</v>
      </c>
      <c r="S11738" t="s">
        <v>43441</v>
      </c>
      <c r="T11738" t="s">
        <v>44373</v>
      </c>
      <c r="U11738" t="s">
        <v>54416</v>
      </c>
      <c r="W11738" t="s">
        <v>39217</v>
      </c>
      <c r="X11738" t="s">
        <v>42689</v>
      </c>
    </row>
    <row r="11739" spans="1:24">
      <c r="A11739">
        <f>HYPERLINK("https://www.philgeps.gov.ph/GEPSNONPILOT/Tender/SplashBidNoticeAbstractUI.aspx?menuIndex=3&amp;refID=7163194&amp;Result=3","7163194")</f>
        <v>0</v>
      </c>
      <c r="B11739" t="s">
        <v>2803</v>
      </c>
      <c r="C11739" t="s">
        <v>14754</v>
      </c>
      <c r="D11739" t="s">
        <v>17197</v>
      </c>
      <c r="E11739" t="s">
        <v>27230</v>
      </c>
      <c r="F11739" t="s">
        <v>29372</v>
      </c>
      <c r="G11739" t="s">
        <v>29380</v>
      </c>
      <c r="H11739" t="s">
        <v>29389</v>
      </c>
      <c r="I11739" t="s">
        <v>10408</v>
      </c>
      <c r="J11739" t="s">
        <v>30302</v>
      </c>
      <c r="K11739" t="s">
        <v>38496</v>
      </c>
      <c r="M11739" t="s">
        <v>41792</v>
      </c>
      <c r="N11739" t="s">
        <v>42669</v>
      </c>
      <c r="O11739" t="s">
        <v>42670</v>
      </c>
      <c r="P11739">
        <v>0</v>
      </c>
      <c r="Q11739">
        <v>0</v>
      </c>
      <c r="R11739" t="s">
        <v>42688</v>
      </c>
      <c r="S11739" t="s">
        <v>43441</v>
      </c>
      <c r="T11739" t="s">
        <v>44434</v>
      </c>
      <c r="U11739" t="s">
        <v>54417</v>
      </c>
      <c r="V11739" t="s">
        <v>57684</v>
      </c>
      <c r="W11739" t="s">
        <v>41792</v>
      </c>
      <c r="X11739" t="s">
        <v>42689</v>
      </c>
    </row>
    <row r="11740" spans="1:24">
      <c r="A11740">
        <f>HYPERLINK("https://www.philgeps.gov.ph/GEPSNONPILOT/Tender/SplashBidNoticeAbstractUI.aspx?menuIndex=3&amp;refID=7163169&amp;Result=3","7163169")</f>
        <v>0</v>
      </c>
      <c r="B11740" t="s">
        <v>3244</v>
      </c>
      <c r="C11740" t="s">
        <v>14755</v>
      </c>
      <c r="D11740" t="s">
        <v>17169</v>
      </c>
      <c r="E11740" t="s">
        <v>27231</v>
      </c>
      <c r="F11740" t="s">
        <v>29372</v>
      </c>
      <c r="G11740" t="s">
        <v>29380</v>
      </c>
      <c r="H11740" t="s">
        <v>29389</v>
      </c>
      <c r="I11740" t="s">
        <v>10408</v>
      </c>
      <c r="J11740" t="s">
        <v>36922</v>
      </c>
      <c r="K11740" t="s">
        <v>38522</v>
      </c>
      <c r="M11740" t="s">
        <v>42312</v>
      </c>
      <c r="N11740" t="s">
        <v>42669</v>
      </c>
      <c r="O11740" t="s">
        <v>42670</v>
      </c>
      <c r="P11740">
        <v>0</v>
      </c>
      <c r="Q11740">
        <v>0</v>
      </c>
      <c r="R11740" t="s">
        <v>42688</v>
      </c>
      <c r="S11740" t="s">
        <v>43441</v>
      </c>
      <c r="T11740" t="s">
        <v>44409</v>
      </c>
      <c r="U11740" t="s">
        <v>54418</v>
      </c>
      <c r="W11740" t="s">
        <v>58116</v>
      </c>
      <c r="X11740" t="s">
        <v>42689</v>
      </c>
    </row>
    <row r="11741" spans="1:24">
      <c r="A11741">
        <f>HYPERLINK("https://www.philgeps.gov.ph/GEPSNONPILOT/Tender/SplashBidNoticeAbstractUI.aspx?menuIndex=3&amp;refID=7163193&amp;Result=3","7163193")</f>
        <v>0</v>
      </c>
      <c r="B11741" t="s">
        <v>3244</v>
      </c>
      <c r="C11741" t="s">
        <v>14756</v>
      </c>
      <c r="D11741" t="s">
        <v>17169</v>
      </c>
      <c r="E11741" t="s">
        <v>27232</v>
      </c>
      <c r="F11741" t="s">
        <v>29372</v>
      </c>
      <c r="G11741" t="s">
        <v>29380</v>
      </c>
      <c r="H11741" t="s">
        <v>29389</v>
      </c>
      <c r="I11741" t="s">
        <v>10408</v>
      </c>
      <c r="J11741" t="s">
        <v>30161</v>
      </c>
      <c r="K11741" t="s">
        <v>38495</v>
      </c>
      <c r="M11741" t="s">
        <v>42312</v>
      </c>
      <c r="N11741" t="s">
        <v>42669</v>
      </c>
      <c r="O11741" t="s">
        <v>42670</v>
      </c>
      <c r="P11741">
        <v>0</v>
      </c>
      <c r="Q11741">
        <v>1</v>
      </c>
      <c r="R11741" t="s">
        <v>42688</v>
      </c>
      <c r="S11741" t="s">
        <v>43441</v>
      </c>
      <c r="T11741" t="s">
        <v>44409</v>
      </c>
      <c r="U11741" t="s">
        <v>54419</v>
      </c>
      <c r="W11741" t="s">
        <v>58116</v>
      </c>
      <c r="X11741" t="s">
        <v>42689</v>
      </c>
    </row>
    <row r="11742" spans="1:24">
      <c r="A11742">
        <f>HYPERLINK("https://www.philgeps.gov.ph/GEPSNONPILOT/Tender/SplashBidNoticeAbstractUI.aspx?menuIndex=3&amp;refID=7162756&amp;Result=3","7162756")</f>
        <v>0</v>
      </c>
      <c r="B11742" t="s">
        <v>707</v>
      </c>
      <c r="C11742" t="s">
        <v>14757</v>
      </c>
      <c r="E11742" t="s">
        <v>27233</v>
      </c>
      <c r="F11742" t="s">
        <v>29372</v>
      </c>
      <c r="G11742" t="s">
        <v>29379</v>
      </c>
      <c r="H11742" t="s">
        <v>29390</v>
      </c>
      <c r="I11742" t="s">
        <v>29440</v>
      </c>
      <c r="J11742" t="s">
        <v>30427</v>
      </c>
      <c r="K11742" t="s">
        <v>38485</v>
      </c>
      <c r="M11742" t="s">
        <v>39486</v>
      </c>
      <c r="N11742" t="s">
        <v>42669</v>
      </c>
      <c r="O11742" t="s">
        <v>42670</v>
      </c>
      <c r="P11742">
        <v>0</v>
      </c>
      <c r="Q11742">
        <v>1</v>
      </c>
      <c r="R11742" t="s">
        <v>42688</v>
      </c>
      <c r="S11742" t="s">
        <v>43441</v>
      </c>
      <c r="T11742" t="s">
        <v>44530</v>
      </c>
      <c r="U11742" t="s">
        <v>54420</v>
      </c>
      <c r="W11742" t="s">
        <v>39486</v>
      </c>
      <c r="X11742" t="s">
        <v>42689</v>
      </c>
    </row>
    <row r="11743" spans="1:24">
      <c r="A11743">
        <f>HYPERLINK("https://www.philgeps.gov.ph/GEPSNONPILOT/Tender/SplashBidNoticeAbstractUI.aspx?menuIndex=3&amp;refID=7163148&amp;Result=3","7163148")</f>
        <v>0</v>
      </c>
      <c r="B11743" t="s">
        <v>3245</v>
      </c>
      <c r="C11743" t="s">
        <v>14758</v>
      </c>
      <c r="D11743" t="s">
        <v>17148</v>
      </c>
      <c r="E11743" t="s">
        <v>17269</v>
      </c>
      <c r="F11743" t="s">
        <v>29372</v>
      </c>
      <c r="G11743" t="s">
        <v>29380</v>
      </c>
      <c r="H11743" t="s">
        <v>11048</v>
      </c>
      <c r="I11743" t="s">
        <v>9642</v>
      </c>
      <c r="J11743" t="s">
        <v>36923</v>
      </c>
      <c r="K11743" t="s">
        <v>38485</v>
      </c>
      <c r="M11743" t="s">
        <v>42313</v>
      </c>
      <c r="N11743" t="s">
        <v>42669</v>
      </c>
      <c r="O11743" t="s">
        <v>42670</v>
      </c>
      <c r="Q11743">
        <v>16</v>
      </c>
      <c r="R11743" t="s">
        <v>42688</v>
      </c>
      <c r="S11743" t="s">
        <v>43303</v>
      </c>
      <c r="T11743" t="s">
        <v>44419</v>
      </c>
      <c r="U11743" t="s">
        <v>54421</v>
      </c>
      <c r="W11743" t="s">
        <v>42313</v>
      </c>
      <c r="X11743" t="s">
        <v>42689</v>
      </c>
    </row>
    <row r="11744" spans="1:24">
      <c r="A11744">
        <f>HYPERLINK("https://www.philgeps.gov.ph/GEPSNONPILOT/Tender/SplashBidNoticeAbstractUI.aspx?menuIndex=3&amp;refID=7162915&amp;Result=3","7162915")</f>
        <v>0</v>
      </c>
      <c r="B11744" t="s">
        <v>1926</v>
      </c>
      <c r="C11744" t="s">
        <v>14759</v>
      </c>
      <c r="D11744" t="s">
        <v>17193</v>
      </c>
      <c r="E11744" t="s">
        <v>27234</v>
      </c>
      <c r="F11744" t="s">
        <v>29372</v>
      </c>
      <c r="G11744" t="s">
        <v>29380</v>
      </c>
      <c r="H11744" t="s">
        <v>29389</v>
      </c>
      <c r="I11744" t="s">
        <v>10408</v>
      </c>
      <c r="J11744" t="s">
        <v>36924</v>
      </c>
      <c r="K11744" t="s">
        <v>38598</v>
      </c>
      <c r="M11744" t="s">
        <v>42314</v>
      </c>
      <c r="N11744" t="s">
        <v>42669</v>
      </c>
      <c r="O11744" t="s">
        <v>42670</v>
      </c>
      <c r="Q11744">
        <v>1</v>
      </c>
      <c r="R11744" t="s">
        <v>42688</v>
      </c>
      <c r="S11744" t="s">
        <v>43446</v>
      </c>
      <c r="T11744" t="s">
        <v>44371</v>
      </c>
      <c r="U11744" t="s">
        <v>54422</v>
      </c>
      <c r="V11744" t="s">
        <v>57685</v>
      </c>
      <c r="W11744" t="s">
        <v>42314</v>
      </c>
      <c r="X11744" t="s">
        <v>42689</v>
      </c>
    </row>
    <row r="11745" spans="1:24">
      <c r="A11745">
        <f>HYPERLINK("https://www.philgeps.gov.ph/GEPSNONPILOT/Tender/SplashBidNoticeAbstractUI.aspx?menuIndex=3&amp;refID=7163122&amp;Result=3","7163122")</f>
        <v>0</v>
      </c>
      <c r="B11745" t="s">
        <v>3246</v>
      </c>
      <c r="C11745" t="s">
        <v>14760</v>
      </c>
      <c r="D11745" t="s">
        <v>17177</v>
      </c>
      <c r="E11745" t="s">
        <v>17294</v>
      </c>
      <c r="F11745" t="s">
        <v>29372</v>
      </c>
      <c r="G11745" t="s">
        <v>29380</v>
      </c>
      <c r="H11745" t="s">
        <v>29389</v>
      </c>
      <c r="I11745" t="s">
        <v>10408</v>
      </c>
      <c r="J11745" t="s">
        <v>36925</v>
      </c>
      <c r="K11745" t="s">
        <v>38656</v>
      </c>
      <c r="M11745" t="s">
        <v>42315</v>
      </c>
      <c r="N11745" t="s">
        <v>42669</v>
      </c>
      <c r="O11745" t="s">
        <v>42670</v>
      </c>
      <c r="P11745">
        <v>0</v>
      </c>
      <c r="Q11745">
        <v>0</v>
      </c>
      <c r="R11745" t="s">
        <v>42688</v>
      </c>
      <c r="S11745" t="s">
        <v>43441</v>
      </c>
      <c r="T11745" t="s">
        <v>44387</v>
      </c>
      <c r="U11745" t="s">
        <v>54423</v>
      </c>
      <c r="W11745" t="s">
        <v>42315</v>
      </c>
      <c r="X11745" t="s">
        <v>42689</v>
      </c>
    </row>
    <row r="11746" spans="1:24">
      <c r="A11746">
        <f>HYPERLINK("https://www.philgeps.gov.ph/GEPSNONPILOT/Tender/SplashBidNoticeAbstractUI.aspx?menuIndex=3&amp;refID=7163190&amp;Result=3","7163190")</f>
        <v>0</v>
      </c>
      <c r="B11746" t="s">
        <v>3235</v>
      </c>
      <c r="C11746" t="s">
        <v>14761</v>
      </c>
      <c r="D11746" t="s">
        <v>17172</v>
      </c>
      <c r="E11746" t="s">
        <v>27235</v>
      </c>
      <c r="F11746" t="s">
        <v>29372</v>
      </c>
      <c r="G11746" t="s">
        <v>29380</v>
      </c>
      <c r="H11746" t="s">
        <v>11048</v>
      </c>
      <c r="I11746" t="s">
        <v>3670</v>
      </c>
      <c r="J11746" t="s">
        <v>36926</v>
      </c>
      <c r="K11746" t="s">
        <v>38510</v>
      </c>
      <c r="M11746" t="s">
        <v>42301</v>
      </c>
      <c r="N11746" t="s">
        <v>42669</v>
      </c>
      <c r="O11746" t="s">
        <v>42670</v>
      </c>
      <c r="P11746">
        <v>0</v>
      </c>
      <c r="Q11746">
        <v>4</v>
      </c>
      <c r="R11746" t="s">
        <v>42688</v>
      </c>
      <c r="S11746" t="s">
        <v>43441</v>
      </c>
      <c r="T11746" t="s">
        <v>44560</v>
      </c>
      <c r="U11746" t="s">
        <v>54424</v>
      </c>
      <c r="V11746" t="s">
        <v>57673</v>
      </c>
      <c r="W11746" t="s">
        <v>42301</v>
      </c>
      <c r="X11746" t="s">
        <v>42689</v>
      </c>
    </row>
    <row r="11747" spans="1:24">
      <c r="A11747">
        <f>HYPERLINK("https://www.philgeps.gov.ph/GEPSNONPILOT/Tender/SplashBidNoticeAbstractUI.aspx?menuIndex=3&amp;refID=7163120&amp;Result=3","7163120")</f>
        <v>0</v>
      </c>
      <c r="B11747" t="s">
        <v>2442</v>
      </c>
      <c r="C11747" t="s">
        <v>14762</v>
      </c>
      <c r="D11747" t="s">
        <v>17170</v>
      </c>
      <c r="E11747" t="s">
        <v>22330</v>
      </c>
      <c r="F11747" t="s">
        <v>29373</v>
      </c>
      <c r="G11747" t="s">
        <v>29380</v>
      </c>
      <c r="H11747" t="s">
        <v>11048</v>
      </c>
      <c r="I11747" t="s">
        <v>3670</v>
      </c>
      <c r="J11747" t="s">
        <v>35460</v>
      </c>
      <c r="K11747" t="s">
        <v>38490</v>
      </c>
      <c r="M11747" t="s">
        <v>41390</v>
      </c>
      <c r="N11747" t="s">
        <v>42669</v>
      </c>
      <c r="O11747" t="s">
        <v>42670</v>
      </c>
      <c r="P11747">
        <v>0</v>
      </c>
      <c r="Q11747">
        <v>0</v>
      </c>
      <c r="R11747" t="s">
        <v>42688</v>
      </c>
      <c r="S11747" t="s">
        <v>43441</v>
      </c>
      <c r="T11747" t="s">
        <v>44373</v>
      </c>
      <c r="U11747" t="s">
        <v>54425</v>
      </c>
      <c r="W11747" t="s">
        <v>41390</v>
      </c>
      <c r="X11747" t="s">
        <v>42689</v>
      </c>
    </row>
    <row r="11748" spans="1:24">
      <c r="A11748">
        <f>HYPERLINK("https://www.philgeps.gov.ph/GEPSNONPILOT/Tender/SplashBidNoticeAbstractUI.aspx?menuIndex=3&amp;refID=7163043&amp;Result=3","7163043")</f>
        <v>0</v>
      </c>
      <c r="B11748" t="s">
        <v>2803</v>
      </c>
      <c r="C11748" t="s">
        <v>14763</v>
      </c>
      <c r="D11748" t="s">
        <v>17197</v>
      </c>
      <c r="E11748" t="s">
        <v>27236</v>
      </c>
      <c r="F11748" t="s">
        <v>29372</v>
      </c>
      <c r="G11748" t="s">
        <v>29380</v>
      </c>
      <c r="H11748" t="s">
        <v>29389</v>
      </c>
      <c r="I11748" t="s">
        <v>10408</v>
      </c>
      <c r="J11748" t="s">
        <v>29788</v>
      </c>
      <c r="K11748" t="s">
        <v>38564</v>
      </c>
      <c r="M11748" t="s">
        <v>41792</v>
      </c>
      <c r="N11748" t="s">
        <v>42669</v>
      </c>
      <c r="O11748" t="s">
        <v>42670</v>
      </c>
      <c r="P11748">
        <v>0</v>
      </c>
      <c r="Q11748">
        <v>0</v>
      </c>
      <c r="R11748" t="s">
        <v>42688</v>
      </c>
      <c r="S11748" t="s">
        <v>43441</v>
      </c>
      <c r="T11748" t="s">
        <v>44371</v>
      </c>
      <c r="U11748" t="s">
        <v>54426</v>
      </c>
      <c r="V11748" t="s">
        <v>57686</v>
      </c>
      <c r="W11748" t="s">
        <v>41792</v>
      </c>
      <c r="X11748" t="s">
        <v>42689</v>
      </c>
    </row>
    <row r="11749" spans="1:24">
      <c r="A11749">
        <f>HYPERLINK("https://www.philgeps.gov.ph/GEPSNONPILOT/Tender/SplashBidNoticeAbstractUI.aspx?menuIndex=3&amp;refID=7163464&amp;Result=3","7163464")</f>
        <v>0</v>
      </c>
      <c r="B11749" t="s">
        <v>278</v>
      </c>
      <c r="C11749" t="s">
        <v>14764</v>
      </c>
      <c r="D11749" t="s">
        <v>17206</v>
      </c>
      <c r="E11749" t="s">
        <v>27237</v>
      </c>
      <c r="F11749" t="s">
        <v>29372</v>
      </c>
      <c r="G11749" t="s">
        <v>29382</v>
      </c>
      <c r="H11749" t="s">
        <v>11048</v>
      </c>
      <c r="I11749" t="s">
        <v>3670</v>
      </c>
      <c r="J11749" t="s">
        <v>31046</v>
      </c>
      <c r="K11749" t="s">
        <v>38485</v>
      </c>
      <c r="M11749" t="s">
        <v>41697</v>
      </c>
      <c r="N11749" t="s">
        <v>42669</v>
      </c>
      <c r="O11749" t="s">
        <v>42670</v>
      </c>
      <c r="Q11749">
        <v>2</v>
      </c>
      <c r="R11749" t="s">
        <v>42688</v>
      </c>
      <c r="S11749" t="s">
        <v>43447</v>
      </c>
      <c r="T11749" t="s">
        <v>44427</v>
      </c>
      <c r="U11749" t="s">
        <v>54427</v>
      </c>
      <c r="W11749" t="s">
        <v>41697</v>
      </c>
      <c r="X11749" t="s">
        <v>42689</v>
      </c>
    </row>
    <row r="11750" spans="1:24">
      <c r="A11750">
        <f>HYPERLINK("https://www.philgeps.gov.ph/GEPSNONPILOT/Tender/SplashBidNoticeAbstractUI.aspx?menuIndex=3&amp;refID=7162174&amp;Result=3","7162174")</f>
        <v>0</v>
      </c>
      <c r="B11750" t="s">
        <v>702</v>
      </c>
      <c r="C11750" t="s">
        <v>14765</v>
      </c>
      <c r="D11750" t="s">
        <v>17221</v>
      </c>
      <c r="E11750" t="s">
        <v>27238</v>
      </c>
      <c r="F11750" t="s">
        <v>29372</v>
      </c>
      <c r="G11750" t="s">
        <v>29380</v>
      </c>
      <c r="H11750" t="s">
        <v>11048</v>
      </c>
      <c r="I11750" t="s">
        <v>3860</v>
      </c>
      <c r="J11750" t="s">
        <v>36927</v>
      </c>
      <c r="K11750" t="s">
        <v>38491</v>
      </c>
      <c r="M11750" t="s">
        <v>39480</v>
      </c>
      <c r="N11750" t="s">
        <v>42669</v>
      </c>
      <c r="O11750" t="s">
        <v>42670</v>
      </c>
      <c r="Q11750">
        <v>2</v>
      </c>
      <c r="R11750" t="s">
        <v>42688</v>
      </c>
      <c r="S11750" t="s">
        <v>43448</v>
      </c>
      <c r="T11750" t="s">
        <v>44391</v>
      </c>
      <c r="U11750" t="s">
        <v>54428</v>
      </c>
      <c r="V11750" t="s">
        <v>57687</v>
      </c>
      <c r="W11750" t="s">
        <v>39480</v>
      </c>
      <c r="X11750" t="s">
        <v>42689</v>
      </c>
    </row>
    <row r="11751" spans="1:24">
      <c r="A11751">
        <f>HYPERLINK("https://www.philgeps.gov.ph/GEPSNONPILOT/Tender/SplashBidNoticeAbstractUI.aspx?menuIndex=3&amp;refID=7163179&amp;Result=3","7163179")</f>
        <v>0</v>
      </c>
      <c r="B11751" t="s">
        <v>3247</v>
      </c>
      <c r="C11751" t="s">
        <v>14766</v>
      </c>
      <c r="D11751" t="s">
        <v>17210</v>
      </c>
      <c r="E11751" t="s">
        <v>27239</v>
      </c>
      <c r="F11751" t="s">
        <v>29372</v>
      </c>
      <c r="G11751" t="s">
        <v>29380</v>
      </c>
      <c r="H11751" t="s">
        <v>29389</v>
      </c>
      <c r="I11751" t="s">
        <v>10408</v>
      </c>
      <c r="J11751" t="s">
        <v>36928</v>
      </c>
      <c r="K11751" t="s">
        <v>38493</v>
      </c>
      <c r="M11751" t="s">
        <v>42316</v>
      </c>
      <c r="N11751" t="s">
        <v>42669</v>
      </c>
      <c r="O11751" t="s">
        <v>42670</v>
      </c>
      <c r="P11751">
        <v>0</v>
      </c>
      <c r="Q11751">
        <v>0</v>
      </c>
      <c r="R11751" t="s">
        <v>42688</v>
      </c>
      <c r="S11751" t="s">
        <v>43441</v>
      </c>
      <c r="T11751" t="s">
        <v>44823</v>
      </c>
      <c r="U11751" t="s">
        <v>54429</v>
      </c>
      <c r="W11751" t="s">
        <v>42316</v>
      </c>
      <c r="X11751" t="s">
        <v>42689</v>
      </c>
    </row>
    <row r="11752" spans="1:24">
      <c r="A11752">
        <f>HYPERLINK("https://www.philgeps.gov.ph/GEPSNONPILOT/Tender/SplashBidNoticeAbstractUI.aspx?menuIndex=3&amp;refID=7163555&amp;Result=3","7163555")</f>
        <v>0</v>
      </c>
      <c r="B11752" t="s">
        <v>394</v>
      </c>
      <c r="C11752" t="s">
        <v>14767</v>
      </c>
      <c r="D11752" t="s">
        <v>17170</v>
      </c>
      <c r="E11752" t="s">
        <v>27240</v>
      </c>
      <c r="F11752" t="s">
        <v>29372</v>
      </c>
      <c r="G11752" t="s">
        <v>29380</v>
      </c>
      <c r="H11752" t="s">
        <v>11048</v>
      </c>
      <c r="I11752" t="s">
        <v>3952</v>
      </c>
      <c r="J11752" t="s">
        <v>36929</v>
      </c>
      <c r="K11752" t="s">
        <v>38495</v>
      </c>
      <c r="M11752" t="s">
        <v>39157</v>
      </c>
      <c r="N11752" t="s">
        <v>42669</v>
      </c>
      <c r="O11752" t="s">
        <v>42670</v>
      </c>
      <c r="P11752">
        <v>0</v>
      </c>
      <c r="Q11752">
        <v>5</v>
      </c>
      <c r="R11752" t="s">
        <v>42688</v>
      </c>
      <c r="S11752" t="s">
        <v>43441</v>
      </c>
      <c r="T11752" t="s">
        <v>44366</v>
      </c>
      <c r="U11752" t="s">
        <v>54430</v>
      </c>
      <c r="W11752" t="s">
        <v>39157</v>
      </c>
      <c r="X11752" t="s">
        <v>42689</v>
      </c>
    </row>
    <row r="11753" spans="1:24">
      <c r="A11753">
        <f>HYPERLINK("https://www.philgeps.gov.ph/GEPSNONPILOT/Tender/SplashBidNoticeAbstractUI.aspx?menuIndex=3&amp;refID=7163130&amp;Result=3","7163130")</f>
        <v>0</v>
      </c>
      <c r="B11753" t="s">
        <v>3248</v>
      </c>
      <c r="C11753" t="s">
        <v>14768</v>
      </c>
      <c r="D11753" t="s">
        <v>17141</v>
      </c>
      <c r="E11753" t="s">
        <v>19714</v>
      </c>
      <c r="F11753" t="s">
        <v>29372</v>
      </c>
      <c r="G11753" t="s">
        <v>29380</v>
      </c>
      <c r="H11753" t="s">
        <v>11048</v>
      </c>
      <c r="I11753" t="s">
        <v>3670</v>
      </c>
      <c r="J11753" t="s">
        <v>36930</v>
      </c>
      <c r="K11753" t="s">
        <v>38489</v>
      </c>
      <c r="M11753" t="s">
        <v>42317</v>
      </c>
      <c r="N11753" t="s">
        <v>42669</v>
      </c>
      <c r="O11753" t="s">
        <v>42670</v>
      </c>
      <c r="P11753">
        <v>0</v>
      </c>
      <c r="Q11753">
        <v>3</v>
      </c>
      <c r="R11753" t="s">
        <v>42688</v>
      </c>
      <c r="S11753" t="s">
        <v>43441</v>
      </c>
      <c r="T11753" t="s">
        <v>44488</v>
      </c>
      <c r="U11753" t="s">
        <v>54431</v>
      </c>
      <c r="W11753" t="s">
        <v>42317</v>
      </c>
      <c r="X11753" t="s">
        <v>42689</v>
      </c>
    </row>
    <row r="11754" spans="1:24">
      <c r="A11754">
        <f>HYPERLINK("https://www.philgeps.gov.ph/GEPSNONPILOT/Tender/SplashBidNoticeAbstractUI.aspx?menuIndex=3&amp;refID=7163088&amp;Result=3","7163088")</f>
        <v>0</v>
      </c>
      <c r="B11754" t="s">
        <v>2489</v>
      </c>
      <c r="C11754" t="s">
        <v>14769</v>
      </c>
      <c r="D11754" t="s">
        <v>17203</v>
      </c>
      <c r="E11754" t="s">
        <v>27241</v>
      </c>
      <c r="F11754" t="s">
        <v>29372</v>
      </c>
      <c r="G11754" t="s">
        <v>29380</v>
      </c>
      <c r="H11754" t="s">
        <v>29389</v>
      </c>
      <c r="I11754" t="s">
        <v>10408</v>
      </c>
      <c r="J11754" t="s">
        <v>36931</v>
      </c>
      <c r="K11754" t="s">
        <v>38564</v>
      </c>
      <c r="M11754" t="s">
        <v>41440</v>
      </c>
      <c r="N11754" t="s">
        <v>42669</v>
      </c>
      <c r="O11754" t="s">
        <v>42670</v>
      </c>
      <c r="P11754">
        <v>0</v>
      </c>
      <c r="Q11754">
        <v>0</v>
      </c>
      <c r="R11754" t="s">
        <v>42688</v>
      </c>
      <c r="S11754" t="s">
        <v>43441</v>
      </c>
      <c r="T11754" t="s">
        <v>44448</v>
      </c>
      <c r="U11754" t="s">
        <v>54432</v>
      </c>
      <c r="V11754" t="s">
        <v>57222</v>
      </c>
      <c r="W11754" t="s">
        <v>41440</v>
      </c>
      <c r="X11754" t="s">
        <v>42689</v>
      </c>
    </row>
    <row r="11755" spans="1:24">
      <c r="A11755">
        <f>HYPERLINK("https://www.philgeps.gov.ph/GEPSNONPILOT/Tender/SplashBidNoticeAbstractUI.aspx?menuIndex=3&amp;refID=7163553&amp;Result=3","7163553")</f>
        <v>0</v>
      </c>
      <c r="B11755" t="s">
        <v>3249</v>
      </c>
      <c r="C11755" t="s">
        <v>14770</v>
      </c>
      <c r="D11755" t="s">
        <v>17197</v>
      </c>
      <c r="E11755" t="s">
        <v>27242</v>
      </c>
      <c r="F11755" t="s">
        <v>29372</v>
      </c>
      <c r="G11755" t="s">
        <v>29380</v>
      </c>
      <c r="H11755" t="s">
        <v>29389</v>
      </c>
      <c r="I11755" t="s">
        <v>29408</v>
      </c>
      <c r="J11755" t="s">
        <v>29724</v>
      </c>
      <c r="K11755" t="s">
        <v>38522</v>
      </c>
      <c r="M11755" t="s">
        <v>42318</v>
      </c>
      <c r="N11755" t="s">
        <v>42669</v>
      </c>
      <c r="O11755" t="s">
        <v>42670</v>
      </c>
      <c r="P11755">
        <v>0</v>
      </c>
      <c r="Q11755">
        <v>2</v>
      </c>
      <c r="R11755" t="s">
        <v>42688</v>
      </c>
      <c r="S11755" t="s">
        <v>43441</v>
      </c>
      <c r="T11755" t="s">
        <v>44480</v>
      </c>
      <c r="U11755" t="s">
        <v>54433</v>
      </c>
      <c r="W11755" t="s">
        <v>42318</v>
      </c>
      <c r="X11755" t="s">
        <v>42689</v>
      </c>
    </row>
    <row r="11756" spans="1:24">
      <c r="A11756">
        <f>HYPERLINK("https://www.philgeps.gov.ph/GEPSNONPILOT/Tender/SplashBidNoticeAbstractUI.aspx?menuIndex=3&amp;refID=7163509&amp;Result=3","7163509")</f>
        <v>0</v>
      </c>
      <c r="B11756" t="s">
        <v>1572</v>
      </c>
      <c r="C11756" t="s">
        <v>14771</v>
      </c>
      <c r="D11756" t="s">
        <v>17205</v>
      </c>
      <c r="E11756" t="s">
        <v>27243</v>
      </c>
      <c r="F11756" t="s">
        <v>29372</v>
      </c>
      <c r="G11756" t="s">
        <v>29380</v>
      </c>
      <c r="H11756" t="s">
        <v>29389</v>
      </c>
      <c r="I11756" t="s">
        <v>29395</v>
      </c>
      <c r="J11756" t="s">
        <v>36932</v>
      </c>
      <c r="K11756" t="s">
        <v>38496</v>
      </c>
      <c r="M11756" t="s">
        <v>40422</v>
      </c>
      <c r="N11756" t="s">
        <v>42669</v>
      </c>
      <c r="O11756" t="s">
        <v>42670</v>
      </c>
      <c r="P11756">
        <v>0</v>
      </c>
      <c r="Q11756">
        <v>5</v>
      </c>
      <c r="R11756" t="s">
        <v>42688</v>
      </c>
      <c r="S11756" t="s">
        <v>43441</v>
      </c>
      <c r="T11756" t="s">
        <v>44554</v>
      </c>
      <c r="U11756" t="s">
        <v>48394</v>
      </c>
      <c r="W11756" t="s">
        <v>40422</v>
      </c>
      <c r="X11756" t="s">
        <v>42689</v>
      </c>
    </row>
    <row r="11757" spans="1:24">
      <c r="A11757">
        <f>HYPERLINK("https://www.philgeps.gov.ph/GEPSNONPILOT/Tender/SplashBidNoticeAbstractUI.aspx?menuIndex=3&amp;refID=7163546&amp;Result=3","7163546")</f>
        <v>0</v>
      </c>
      <c r="B11757" t="s">
        <v>3250</v>
      </c>
      <c r="C11757" t="s">
        <v>14772</v>
      </c>
      <c r="D11757" t="s">
        <v>17206</v>
      </c>
      <c r="E11757" t="s">
        <v>22563</v>
      </c>
      <c r="F11757" t="s">
        <v>29372</v>
      </c>
      <c r="G11757" t="s">
        <v>29380</v>
      </c>
      <c r="H11757" t="s">
        <v>11048</v>
      </c>
      <c r="I11757" t="s">
        <v>4487</v>
      </c>
      <c r="J11757" t="s">
        <v>36933</v>
      </c>
      <c r="K11757" t="s">
        <v>38491</v>
      </c>
      <c r="L11757" t="s">
        <v>3250</v>
      </c>
      <c r="M11757" t="s">
        <v>42319</v>
      </c>
      <c r="N11757" t="s">
        <v>42669</v>
      </c>
      <c r="O11757" t="s">
        <v>42670</v>
      </c>
      <c r="P11757">
        <v>0</v>
      </c>
      <c r="Q11757">
        <v>1</v>
      </c>
      <c r="R11757" t="s">
        <v>42688</v>
      </c>
      <c r="S11757" t="s">
        <v>43441</v>
      </c>
      <c r="T11757" t="s">
        <v>44525</v>
      </c>
      <c r="U11757" t="s">
        <v>54434</v>
      </c>
      <c r="V11757" t="s">
        <v>57688</v>
      </c>
      <c r="W11757" t="s">
        <v>42319</v>
      </c>
      <c r="X11757" t="s">
        <v>42689</v>
      </c>
    </row>
    <row r="11758" spans="1:24">
      <c r="A11758">
        <f>HYPERLINK("https://www.philgeps.gov.ph/GEPSNONPILOT/Tender/SplashBidNoticeAbstractUI.aspx?menuIndex=3&amp;refID=7163009&amp;Result=3","7163009")</f>
        <v>0</v>
      </c>
      <c r="B11758" t="s">
        <v>3251</v>
      </c>
      <c r="C11758" t="s">
        <v>14773</v>
      </c>
      <c r="D11758" t="s">
        <v>17170</v>
      </c>
      <c r="E11758" t="s">
        <v>27244</v>
      </c>
      <c r="F11758" t="s">
        <v>29372</v>
      </c>
      <c r="G11758" t="s">
        <v>29380</v>
      </c>
      <c r="H11758" t="s">
        <v>29389</v>
      </c>
      <c r="I11758" t="s">
        <v>10408</v>
      </c>
      <c r="J11758" t="s">
        <v>36934</v>
      </c>
      <c r="K11758" t="s">
        <v>38615</v>
      </c>
      <c r="L11758" t="s">
        <v>3251</v>
      </c>
      <c r="M11758" t="s">
        <v>42320</v>
      </c>
      <c r="N11758" t="s">
        <v>42669</v>
      </c>
      <c r="O11758" t="s">
        <v>42670</v>
      </c>
      <c r="Q11758">
        <v>4</v>
      </c>
      <c r="R11758" t="s">
        <v>42688</v>
      </c>
      <c r="S11758" t="s">
        <v>43449</v>
      </c>
      <c r="T11758" t="s">
        <v>44357</v>
      </c>
      <c r="U11758" t="s">
        <v>54435</v>
      </c>
      <c r="W11758" t="s">
        <v>42320</v>
      </c>
      <c r="X11758" t="s">
        <v>42689</v>
      </c>
    </row>
    <row r="11759" spans="1:24">
      <c r="A11759">
        <f>HYPERLINK("https://www.philgeps.gov.ph/GEPSNONPILOT/Tender/SplashBidNoticeAbstractUI.aspx?menuIndex=3&amp;refID=7163455&amp;Result=3","7163455")</f>
        <v>0</v>
      </c>
      <c r="B11759" t="s">
        <v>3251</v>
      </c>
      <c r="C11759" t="s">
        <v>14774</v>
      </c>
      <c r="D11759" t="s">
        <v>17170</v>
      </c>
      <c r="E11759" t="s">
        <v>27245</v>
      </c>
      <c r="F11759" t="s">
        <v>29372</v>
      </c>
      <c r="G11759" t="s">
        <v>29380</v>
      </c>
      <c r="H11759" t="s">
        <v>11048</v>
      </c>
      <c r="I11759" t="s">
        <v>29470</v>
      </c>
      <c r="J11759" t="s">
        <v>36935</v>
      </c>
      <c r="K11759" t="s">
        <v>38496</v>
      </c>
      <c r="L11759" t="s">
        <v>3251</v>
      </c>
      <c r="M11759" t="s">
        <v>42320</v>
      </c>
      <c r="N11759" t="s">
        <v>42669</v>
      </c>
      <c r="O11759" t="s">
        <v>42670</v>
      </c>
      <c r="Q11759">
        <v>1</v>
      </c>
      <c r="R11759" t="s">
        <v>42688</v>
      </c>
      <c r="S11759" t="s">
        <v>43450</v>
      </c>
      <c r="T11759" t="s">
        <v>44357</v>
      </c>
      <c r="U11759" t="s">
        <v>54436</v>
      </c>
      <c r="W11759" t="s">
        <v>42320</v>
      </c>
      <c r="X11759" t="s">
        <v>42689</v>
      </c>
    </row>
    <row r="11760" spans="1:24">
      <c r="A11760">
        <f>HYPERLINK("https://www.philgeps.gov.ph/GEPSNONPILOT/Tender/SplashBidNoticeAbstractUI.aspx?menuIndex=3&amp;refID=7163394&amp;Result=3","7163394")</f>
        <v>0</v>
      </c>
      <c r="B11760" t="s">
        <v>394</v>
      </c>
      <c r="C11760" t="s">
        <v>14775</v>
      </c>
      <c r="D11760" t="s">
        <v>17170</v>
      </c>
      <c r="E11760" t="s">
        <v>27246</v>
      </c>
      <c r="F11760" t="s">
        <v>29372</v>
      </c>
      <c r="G11760" t="s">
        <v>29380</v>
      </c>
      <c r="H11760" t="s">
        <v>11048</v>
      </c>
      <c r="I11760" t="s">
        <v>3952</v>
      </c>
      <c r="J11760" t="s">
        <v>36936</v>
      </c>
      <c r="K11760" t="s">
        <v>38495</v>
      </c>
      <c r="M11760" t="s">
        <v>39157</v>
      </c>
      <c r="N11760" t="s">
        <v>42669</v>
      </c>
      <c r="O11760" t="s">
        <v>42670</v>
      </c>
      <c r="P11760">
        <v>0</v>
      </c>
      <c r="Q11760">
        <v>5</v>
      </c>
      <c r="R11760" t="s">
        <v>42688</v>
      </c>
      <c r="S11760" t="s">
        <v>43441</v>
      </c>
      <c r="T11760" t="s">
        <v>44366</v>
      </c>
      <c r="U11760" t="s">
        <v>54437</v>
      </c>
      <c r="W11760" t="s">
        <v>39157</v>
      </c>
      <c r="X11760" t="s">
        <v>42689</v>
      </c>
    </row>
    <row r="11761" spans="1:24">
      <c r="A11761">
        <f>HYPERLINK("https://www.philgeps.gov.ph/GEPSNONPILOT/Tender/SplashBidNoticeAbstractUI.aspx?menuIndex=3&amp;refID=7163375&amp;Result=3","7163375")</f>
        <v>0</v>
      </c>
      <c r="B11761" t="s">
        <v>278</v>
      </c>
      <c r="C11761" t="s">
        <v>14776</v>
      </c>
      <c r="D11761" t="s">
        <v>17206</v>
      </c>
      <c r="E11761" t="s">
        <v>27247</v>
      </c>
      <c r="F11761" t="s">
        <v>29372</v>
      </c>
      <c r="G11761" t="s">
        <v>29382</v>
      </c>
      <c r="H11761" t="s">
        <v>11048</v>
      </c>
      <c r="I11761" t="s">
        <v>8614</v>
      </c>
      <c r="J11761" t="s">
        <v>29526</v>
      </c>
      <c r="K11761" t="s">
        <v>38485</v>
      </c>
      <c r="M11761" t="s">
        <v>41697</v>
      </c>
      <c r="N11761" t="s">
        <v>42669</v>
      </c>
      <c r="O11761" t="s">
        <v>42670</v>
      </c>
      <c r="Q11761">
        <v>3</v>
      </c>
      <c r="R11761" t="s">
        <v>42688</v>
      </c>
      <c r="S11761" t="s">
        <v>43451</v>
      </c>
      <c r="T11761" t="s">
        <v>44427</v>
      </c>
      <c r="U11761" t="s">
        <v>54438</v>
      </c>
      <c r="W11761" t="s">
        <v>41697</v>
      </c>
      <c r="X11761" t="s">
        <v>42689</v>
      </c>
    </row>
    <row r="11762" spans="1:24">
      <c r="A11762">
        <f>HYPERLINK("https://www.philgeps.gov.ph/GEPSNONPILOT/Tender/SplashBidNoticeAbstractUI.aspx?menuIndex=3&amp;refID=7163360&amp;Result=3","7163360")</f>
        <v>0</v>
      </c>
      <c r="B11762" t="s">
        <v>278</v>
      </c>
      <c r="C11762" t="s">
        <v>14777</v>
      </c>
      <c r="D11762" t="s">
        <v>17206</v>
      </c>
      <c r="E11762" t="s">
        <v>27248</v>
      </c>
      <c r="F11762" t="s">
        <v>29372</v>
      </c>
      <c r="G11762" t="s">
        <v>29382</v>
      </c>
      <c r="H11762" t="s">
        <v>11048</v>
      </c>
      <c r="I11762" t="s">
        <v>29458</v>
      </c>
      <c r="J11762" t="s">
        <v>36937</v>
      </c>
      <c r="K11762" t="s">
        <v>38485</v>
      </c>
      <c r="M11762" t="s">
        <v>41697</v>
      </c>
      <c r="N11762" t="s">
        <v>42669</v>
      </c>
      <c r="O11762" t="s">
        <v>42670</v>
      </c>
      <c r="Q11762">
        <v>2</v>
      </c>
      <c r="R11762" t="s">
        <v>42688</v>
      </c>
      <c r="S11762" t="s">
        <v>43451</v>
      </c>
      <c r="T11762" t="s">
        <v>44427</v>
      </c>
      <c r="U11762" t="s">
        <v>54439</v>
      </c>
      <c r="W11762" t="s">
        <v>41697</v>
      </c>
      <c r="X11762" t="s">
        <v>42689</v>
      </c>
    </row>
    <row r="11763" spans="1:24">
      <c r="A11763">
        <f>HYPERLINK("https://www.philgeps.gov.ph/GEPSNONPILOT/Tender/SplashBidNoticeAbstractUI.aspx?menuIndex=3&amp;refID=7163343&amp;Result=3","7163343")</f>
        <v>0</v>
      </c>
      <c r="B11763" t="s">
        <v>793</v>
      </c>
      <c r="C11763" t="s">
        <v>14778</v>
      </c>
      <c r="D11763" t="s">
        <v>17174</v>
      </c>
      <c r="E11763" t="s">
        <v>27249</v>
      </c>
      <c r="F11763" t="s">
        <v>29372</v>
      </c>
      <c r="G11763" t="s">
        <v>29380</v>
      </c>
      <c r="H11763" t="s">
        <v>29389</v>
      </c>
      <c r="I11763" t="s">
        <v>10408</v>
      </c>
      <c r="J11763" t="s">
        <v>36938</v>
      </c>
      <c r="K11763" t="s">
        <v>38622</v>
      </c>
      <c r="M11763" t="s">
        <v>39577</v>
      </c>
      <c r="N11763" t="s">
        <v>42669</v>
      </c>
      <c r="O11763" t="s">
        <v>42670</v>
      </c>
      <c r="Q11763">
        <v>2</v>
      </c>
      <c r="R11763" t="s">
        <v>42688</v>
      </c>
      <c r="S11763" t="s">
        <v>43452</v>
      </c>
      <c r="T11763" t="s">
        <v>44481</v>
      </c>
      <c r="U11763" t="s">
        <v>46478</v>
      </c>
      <c r="W11763" t="s">
        <v>39577</v>
      </c>
      <c r="X11763" t="s">
        <v>42689</v>
      </c>
    </row>
    <row r="11764" spans="1:24">
      <c r="A11764">
        <f>HYPERLINK("https://www.philgeps.gov.ph/GEPSNONPILOT/Tender/SplashBidNoticeAbstractUI.aspx?menuIndex=3&amp;refID=7163311&amp;Result=3","7163311")</f>
        <v>0</v>
      </c>
      <c r="B11764" t="s">
        <v>3235</v>
      </c>
      <c r="C11764" t="s">
        <v>14779</v>
      </c>
      <c r="D11764" t="s">
        <v>17172</v>
      </c>
      <c r="E11764" t="s">
        <v>27250</v>
      </c>
      <c r="F11764" t="s">
        <v>29372</v>
      </c>
      <c r="G11764" t="s">
        <v>29380</v>
      </c>
      <c r="H11764" t="s">
        <v>11048</v>
      </c>
      <c r="I11764" t="s">
        <v>4709</v>
      </c>
      <c r="J11764" t="s">
        <v>29730</v>
      </c>
      <c r="K11764" t="s">
        <v>38518</v>
      </c>
      <c r="M11764" t="s">
        <v>42301</v>
      </c>
      <c r="N11764" t="s">
        <v>42669</v>
      </c>
      <c r="O11764" t="s">
        <v>42670</v>
      </c>
      <c r="P11764">
        <v>0</v>
      </c>
      <c r="Q11764">
        <v>0</v>
      </c>
      <c r="R11764" t="s">
        <v>42688</v>
      </c>
      <c r="S11764" t="s">
        <v>43441</v>
      </c>
      <c r="T11764" t="s">
        <v>44549</v>
      </c>
      <c r="U11764" t="s">
        <v>54440</v>
      </c>
      <c r="V11764" t="s">
        <v>57673</v>
      </c>
      <c r="W11764" t="s">
        <v>42301</v>
      </c>
      <c r="X11764" t="s">
        <v>42689</v>
      </c>
    </row>
    <row r="11765" spans="1:24">
      <c r="A11765">
        <f>HYPERLINK("https://www.philgeps.gov.ph/GEPSNONPILOT/Tender/SplashBidNoticeAbstractUI.aspx?menuIndex=3&amp;refID=7162812&amp;Result=3","7162812")</f>
        <v>0</v>
      </c>
      <c r="B11765" t="s">
        <v>2435</v>
      </c>
      <c r="C11765" t="s">
        <v>14780</v>
      </c>
      <c r="D11765" t="s">
        <v>17170</v>
      </c>
      <c r="E11765" t="s">
        <v>27251</v>
      </c>
      <c r="F11765" t="s">
        <v>29372</v>
      </c>
      <c r="G11765" t="s">
        <v>29380</v>
      </c>
      <c r="H11765" t="s">
        <v>29389</v>
      </c>
      <c r="I11765" t="s">
        <v>29450</v>
      </c>
      <c r="J11765" t="s">
        <v>36939</v>
      </c>
      <c r="K11765" t="s">
        <v>38487</v>
      </c>
      <c r="M11765" t="s">
        <v>41383</v>
      </c>
      <c r="N11765" t="s">
        <v>42669</v>
      </c>
      <c r="O11765" t="s">
        <v>42670</v>
      </c>
      <c r="P11765">
        <v>0</v>
      </c>
      <c r="Q11765">
        <v>0</v>
      </c>
      <c r="R11765" t="s">
        <v>42688</v>
      </c>
      <c r="S11765" t="s">
        <v>43441</v>
      </c>
      <c r="T11765" t="s">
        <v>44491</v>
      </c>
      <c r="U11765" t="s">
        <v>54441</v>
      </c>
      <c r="V11765" t="s">
        <v>57678</v>
      </c>
      <c r="W11765" t="s">
        <v>41383</v>
      </c>
      <c r="X11765" t="s">
        <v>42689</v>
      </c>
    </row>
    <row r="11766" spans="1:24">
      <c r="A11766">
        <f>HYPERLINK("https://www.philgeps.gov.ph/GEPSNONPILOT/Tender/SplashBidNoticeAbstractUI.aspx?menuIndex=3&amp;refID=7163465&amp;Result=3","7163465")</f>
        <v>0</v>
      </c>
      <c r="B11766" t="s">
        <v>3252</v>
      </c>
      <c r="C11766" t="s">
        <v>14781</v>
      </c>
      <c r="D11766" t="s">
        <v>17191</v>
      </c>
      <c r="E11766" t="s">
        <v>18886</v>
      </c>
      <c r="F11766" t="s">
        <v>29372</v>
      </c>
      <c r="G11766" t="s">
        <v>29380</v>
      </c>
      <c r="H11766" t="s">
        <v>11048</v>
      </c>
      <c r="I11766" t="s">
        <v>4709</v>
      </c>
      <c r="J11766" t="s">
        <v>36940</v>
      </c>
      <c r="K11766" t="s">
        <v>38485</v>
      </c>
      <c r="M11766" t="s">
        <v>42321</v>
      </c>
      <c r="N11766" t="s">
        <v>42669</v>
      </c>
      <c r="O11766" t="s">
        <v>42670</v>
      </c>
      <c r="P11766">
        <v>0</v>
      </c>
      <c r="Q11766">
        <v>1</v>
      </c>
      <c r="R11766" t="s">
        <v>42688</v>
      </c>
      <c r="S11766" t="s">
        <v>43441</v>
      </c>
      <c r="T11766" t="s">
        <v>44470</v>
      </c>
      <c r="U11766" t="s">
        <v>54442</v>
      </c>
      <c r="W11766" t="s">
        <v>42321</v>
      </c>
      <c r="X11766" t="s">
        <v>42689</v>
      </c>
    </row>
    <row r="11767" spans="1:24">
      <c r="A11767">
        <f>HYPERLINK("https://www.philgeps.gov.ph/GEPSNONPILOT/Tender/SplashBidNoticeAbstractUI.aspx?menuIndex=3&amp;refID=7163557&amp;Result=3","7163557")</f>
        <v>0</v>
      </c>
      <c r="B11767" t="s">
        <v>394</v>
      </c>
      <c r="C11767" t="s">
        <v>14782</v>
      </c>
      <c r="D11767" t="s">
        <v>17170</v>
      </c>
      <c r="E11767" t="s">
        <v>27252</v>
      </c>
      <c r="F11767" t="s">
        <v>29372</v>
      </c>
      <c r="G11767" t="s">
        <v>29380</v>
      </c>
      <c r="H11767" t="s">
        <v>11048</v>
      </c>
      <c r="I11767" t="s">
        <v>29425</v>
      </c>
      <c r="J11767" t="s">
        <v>36941</v>
      </c>
      <c r="K11767" t="s">
        <v>38495</v>
      </c>
      <c r="M11767" t="s">
        <v>39650</v>
      </c>
      <c r="N11767" t="s">
        <v>42669</v>
      </c>
      <c r="O11767" t="s">
        <v>42670</v>
      </c>
      <c r="Q11767">
        <v>5</v>
      </c>
      <c r="R11767" t="s">
        <v>42688</v>
      </c>
      <c r="S11767" t="s">
        <v>42891</v>
      </c>
      <c r="T11767" t="s">
        <v>44366</v>
      </c>
      <c r="U11767" t="s">
        <v>54013</v>
      </c>
      <c r="W11767" t="s">
        <v>39650</v>
      </c>
      <c r="X11767" t="s">
        <v>42689</v>
      </c>
    </row>
    <row r="11768" spans="1:24">
      <c r="A11768">
        <f>HYPERLINK("https://www.philgeps.gov.ph/GEPSNONPILOT/Tender/SplashBidNoticeAbstractUI.aspx?menuIndex=3&amp;refID=7163670&amp;Result=3","7163670")</f>
        <v>0</v>
      </c>
      <c r="B11768" t="s">
        <v>3253</v>
      </c>
      <c r="C11768" t="s">
        <v>14783</v>
      </c>
      <c r="D11768" t="s">
        <v>17164</v>
      </c>
      <c r="E11768" t="s">
        <v>27253</v>
      </c>
      <c r="F11768" t="s">
        <v>29372</v>
      </c>
      <c r="G11768" t="s">
        <v>29380</v>
      </c>
      <c r="H11768" t="s">
        <v>11048</v>
      </c>
      <c r="I11768" t="s">
        <v>29452</v>
      </c>
      <c r="J11768" t="s">
        <v>36942</v>
      </c>
      <c r="K11768" t="s">
        <v>38495</v>
      </c>
      <c r="M11768" t="s">
        <v>42322</v>
      </c>
      <c r="N11768" t="s">
        <v>42669</v>
      </c>
      <c r="O11768" t="s">
        <v>42670</v>
      </c>
      <c r="P11768">
        <v>0</v>
      </c>
      <c r="Q11768">
        <v>10</v>
      </c>
      <c r="R11768" t="s">
        <v>42688</v>
      </c>
      <c r="S11768" t="s">
        <v>43441</v>
      </c>
      <c r="T11768" t="s">
        <v>44374</v>
      </c>
      <c r="U11768" t="s">
        <v>54443</v>
      </c>
      <c r="W11768" t="s">
        <v>42322</v>
      </c>
      <c r="X11768" t="s">
        <v>42689</v>
      </c>
    </row>
    <row r="11769" spans="1:24">
      <c r="A11769">
        <f>HYPERLINK("https://www.philgeps.gov.ph/GEPSNONPILOT/Tender/SplashBidNoticeAbstractUI.aspx?menuIndex=3&amp;refID=7163380&amp;Result=3","7163380")</f>
        <v>0</v>
      </c>
      <c r="B11769" t="s">
        <v>936</v>
      </c>
      <c r="C11769" t="s">
        <v>14784</v>
      </c>
      <c r="D11769" t="s">
        <v>17186</v>
      </c>
      <c r="E11769" t="s">
        <v>26836</v>
      </c>
      <c r="F11769" t="s">
        <v>29372</v>
      </c>
      <c r="G11769" t="s">
        <v>29380</v>
      </c>
      <c r="H11769" t="s">
        <v>29389</v>
      </c>
      <c r="I11769" t="s">
        <v>10408</v>
      </c>
      <c r="J11769" t="s">
        <v>36943</v>
      </c>
      <c r="K11769" t="s">
        <v>38522</v>
      </c>
      <c r="M11769" t="s">
        <v>39731</v>
      </c>
      <c r="N11769" t="s">
        <v>42669</v>
      </c>
      <c r="O11769" t="s">
        <v>42670</v>
      </c>
      <c r="P11769">
        <v>0</v>
      </c>
      <c r="Q11769">
        <v>0</v>
      </c>
      <c r="R11769" t="s">
        <v>42688</v>
      </c>
      <c r="S11769" t="s">
        <v>43441</v>
      </c>
      <c r="T11769" t="s">
        <v>44470</v>
      </c>
      <c r="U11769" t="s">
        <v>54444</v>
      </c>
      <c r="W11769" t="s">
        <v>39731</v>
      </c>
      <c r="X11769" t="s">
        <v>42689</v>
      </c>
    </row>
    <row r="11770" spans="1:24">
      <c r="A11770">
        <f>HYPERLINK("https://www.philgeps.gov.ph/GEPSNONPILOT/Tender/SplashBidNoticeAbstractUI.aspx?menuIndex=3&amp;refID=7163105&amp;Result=3","7163105")</f>
        <v>0</v>
      </c>
      <c r="B11770" t="s">
        <v>2803</v>
      </c>
      <c r="C11770" t="s">
        <v>14785</v>
      </c>
      <c r="D11770" t="s">
        <v>17197</v>
      </c>
      <c r="E11770" t="s">
        <v>27254</v>
      </c>
      <c r="F11770" t="s">
        <v>29372</v>
      </c>
      <c r="G11770" t="s">
        <v>29380</v>
      </c>
      <c r="H11770" t="s">
        <v>29389</v>
      </c>
      <c r="I11770" t="s">
        <v>10408</v>
      </c>
      <c r="J11770" t="s">
        <v>29937</v>
      </c>
      <c r="K11770" t="s">
        <v>38522</v>
      </c>
      <c r="M11770" t="s">
        <v>41792</v>
      </c>
      <c r="N11770" t="s">
        <v>42669</v>
      </c>
      <c r="O11770" t="s">
        <v>42670</v>
      </c>
      <c r="P11770">
        <v>0</v>
      </c>
      <c r="Q11770">
        <v>0</v>
      </c>
      <c r="R11770" t="s">
        <v>42688</v>
      </c>
      <c r="S11770" t="s">
        <v>43441</v>
      </c>
      <c r="T11770" t="s">
        <v>44824</v>
      </c>
      <c r="U11770" t="s">
        <v>54426</v>
      </c>
      <c r="V11770" t="s">
        <v>57689</v>
      </c>
      <c r="W11770" t="s">
        <v>41792</v>
      </c>
      <c r="X11770" t="s">
        <v>42689</v>
      </c>
    </row>
    <row r="11771" spans="1:24">
      <c r="A11771">
        <f>HYPERLINK("https://www.philgeps.gov.ph/GEPSNONPILOT/Tender/SplashBidNoticeAbstractUI.aspx?menuIndex=3&amp;refID=7163711&amp;Result=3","7163711")</f>
        <v>0</v>
      </c>
      <c r="B11771" t="s">
        <v>3254</v>
      </c>
      <c r="C11771" t="s">
        <v>14786</v>
      </c>
      <c r="D11771" t="s">
        <v>17206</v>
      </c>
      <c r="E11771" t="s">
        <v>27255</v>
      </c>
      <c r="F11771" t="s">
        <v>29372</v>
      </c>
      <c r="G11771" t="s">
        <v>29380</v>
      </c>
      <c r="H11771" t="s">
        <v>11048</v>
      </c>
      <c r="I11771" t="s">
        <v>9469</v>
      </c>
      <c r="J11771" t="s">
        <v>30161</v>
      </c>
      <c r="K11771" t="s">
        <v>38485</v>
      </c>
      <c r="M11771" t="s">
        <v>42323</v>
      </c>
      <c r="N11771" t="s">
        <v>42669</v>
      </c>
      <c r="O11771" t="s">
        <v>42670</v>
      </c>
      <c r="P11771">
        <v>0</v>
      </c>
      <c r="Q11771">
        <v>5</v>
      </c>
      <c r="R11771" t="s">
        <v>42688</v>
      </c>
      <c r="S11771" t="s">
        <v>43441</v>
      </c>
      <c r="T11771" t="s">
        <v>44419</v>
      </c>
      <c r="U11771" t="s">
        <v>54445</v>
      </c>
      <c r="W11771" t="s">
        <v>42323</v>
      </c>
      <c r="X11771" t="s">
        <v>42689</v>
      </c>
    </row>
    <row r="11772" spans="1:24">
      <c r="A11772">
        <f>HYPERLINK("https://www.philgeps.gov.ph/GEPSNONPILOT/Tender/SplashBidNoticeAbstractUI.aspx?menuIndex=3&amp;refID=7163701&amp;Result=3","7163701")</f>
        <v>0</v>
      </c>
      <c r="B11772" t="s">
        <v>3255</v>
      </c>
      <c r="C11772" t="s">
        <v>14787</v>
      </c>
      <c r="D11772" t="s">
        <v>17151</v>
      </c>
      <c r="E11772" t="s">
        <v>27256</v>
      </c>
      <c r="F11772" t="s">
        <v>29372</v>
      </c>
      <c r="G11772" t="s">
        <v>29379</v>
      </c>
      <c r="H11772" t="s">
        <v>11048</v>
      </c>
      <c r="I11772" t="s">
        <v>3670</v>
      </c>
      <c r="J11772" t="s">
        <v>36944</v>
      </c>
      <c r="K11772" t="s">
        <v>38485</v>
      </c>
      <c r="M11772" t="s">
        <v>42324</v>
      </c>
      <c r="N11772" t="s">
        <v>42669</v>
      </c>
      <c r="O11772" t="s">
        <v>42670</v>
      </c>
      <c r="Q11772">
        <v>5</v>
      </c>
      <c r="R11772" t="s">
        <v>42688</v>
      </c>
      <c r="S11772" t="s">
        <v>43453</v>
      </c>
      <c r="T11772" t="s">
        <v>44470</v>
      </c>
      <c r="U11772" t="s">
        <v>54446</v>
      </c>
      <c r="V11772" t="s">
        <v>57690</v>
      </c>
      <c r="W11772" t="s">
        <v>42324</v>
      </c>
      <c r="X11772" t="s">
        <v>42689</v>
      </c>
    </row>
    <row r="11773" spans="1:24">
      <c r="A11773">
        <f>HYPERLINK("https://www.philgeps.gov.ph/GEPSNONPILOT/Tender/SplashBidNoticeAbstractUI.aspx?menuIndex=3&amp;refID=7163675&amp;Result=3","7163675")</f>
        <v>0</v>
      </c>
      <c r="B11773" t="s">
        <v>3254</v>
      </c>
      <c r="C11773" t="s">
        <v>14788</v>
      </c>
      <c r="D11773" t="s">
        <v>17206</v>
      </c>
      <c r="E11773" t="s">
        <v>27257</v>
      </c>
      <c r="F11773" t="s">
        <v>29372</v>
      </c>
      <c r="G11773" t="s">
        <v>29380</v>
      </c>
      <c r="H11773" t="s">
        <v>11048</v>
      </c>
      <c r="I11773" t="s">
        <v>3695</v>
      </c>
      <c r="J11773" t="s">
        <v>35005</v>
      </c>
      <c r="K11773" t="s">
        <v>38518</v>
      </c>
      <c r="M11773" t="s">
        <v>42323</v>
      </c>
      <c r="N11773" t="s">
        <v>42669</v>
      </c>
      <c r="O11773" t="s">
        <v>42670</v>
      </c>
      <c r="P11773">
        <v>0</v>
      </c>
      <c r="Q11773">
        <v>3</v>
      </c>
      <c r="R11773" t="s">
        <v>42688</v>
      </c>
      <c r="S11773" t="s">
        <v>43441</v>
      </c>
      <c r="T11773" t="s">
        <v>44419</v>
      </c>
      <c r="U11773" t="s">
        <v>54445</v>
      </c>
      <c r="W11773" t="s">
        <v>42323</v>
      </c>
      <c r="X11773" t="s">
        <v>42689</v>
      </c>
    </row>
    <row r="11774" spans="1:24">
      <c r="A11774">
        <f>HYPERLINK("https://www.philgeps.gov.ph/GEPSNONPILOT/Tender/SplashBidNoticeAbstractUI.aspx?menuIndex=3&amp;refID=7163709&amp;Result=3","7163709")</f>
        <v>0</v>
      </c>
      <c r="B11774" t="s">
        <v>2982</v>
      </c>
      <c r="C11774" t="s">
        <v>14789</v>
      </c>
      <c r="D11774" t="s">
        <v>17177</v>
      </c>
      <c r="E11774" t="s">
        <v>27258</v>
      </c>
      <c r="F11774" t="s">
        <v>29372</v>
      </c>
      <c r="G11774" t="s">
        <v>29380</v>
      </c>
      <c r="H11774" t="s">
        <v>29389</v>
      </c>
      <c r="I11774" t="s">
        <v>10408</v>
      </c>
      <c r="J11774" t="s">
        <v>36945</v>
      </c>
      <c r="K11774" t="s">
        <v>38531</v>
      </c>
      <c r="M11774" t="s">
        <v>41997</v>
      </c>
      <c r="N11774" t="s">
        <v>42669</v>
      </c>
      <c r="O11774" t="s">
        <v>42670</v>
      </c>
      <c r="P11774">
        <v>0</v>
      </c>
      <c r="Q11774">
        <v>0</v>
      </c>
      <c r="R11774" t="s">
        <v>42688</v>
      </c>
      <c r="S11774" t="s">
        <v>43441</v>
      </c>
      <c r="T11774" t="s">
        <v>44371</v>
      </c>
      <c r="U11774" t="s">
        <v>54447</v>
      </c>
      <c r="V11774" t="s">
        <v>57691</v>
      </c>
      <c r="W11774" t="s">
        <v>58105</v>
      </c>
      <c r="X11774" t="s">
        <v>42689</v>
      </c>
    </row>
    <row r="11775" spans="1:24">
      <c r="A11775">
        <f>HYPERLINK("https://www.philgeps.gov.ph/GEPSNONPILOT/Tender/SplashBidNoticeAbstractUI.aspx?menuIndex=3&amp;refID=7163636&amp;Result=3","7163636")</f>
        <v>0</v>
      </c>
      <c r="B11775" t="s">
        <v>3256</v>
      </c>
      <c r="C11775" t="s">
        <v>14790</v>
      </c>
      <c r="D11775" t="s">
        <v>17204</v>
      </c>
      <c r="E11775" t="s">
        <v>27259</v>
      </c>
      <c r="F11775" t="s">
        <v>29372</v>
      </c>
      <c r="G11775" t="s">
        <v>29380</v>
      </c>
      <c r="H11775" t="s">
        <v>29389</v>
      </c>
      <c r="I11775" t="s">
        <v>10408</v>
      </c>
      <c r="J11775" t="s">
        <v>36946</v>
      </c>
      <c r="K11775" t="s">
        <v>38487</v>
      </c>
      <c r="M11775" t="s">
        <v>42325</v>
      </c>
      <c r="N11775" t="s">
        <v>42669</v>
      </c>
      <c r="O11775" t="s">
        <v>42670</v>
      </c>
      <c r="P11775">
        <v>0</v>
      </c>
      <c r="Q11775">
        <v>4</v>
      </c>
      <c r="R11775" t="s">
        <v>42688</v>
      </c>
      <c r="S11775" t="s">
        <v>43441</v>
      </c>
      <c r="T11775" t="s">
        <v>44385</v>
      </c>
      <c r="U11775" t="s">
        <v>54448</v>
      </c>
      <c r="W11775" t="s">
        <v>58117</v>
      </c>
      <c r="X11775" t="s">
        <v>42689</v>
      </c>
    </row>
    <row r="11776" spans="1:24">
      <c r="A11776">
        <f>HYPERLINK("https://www.philgeps.gov.ph/GEPSNONPILOT/Tender/SplashBidNoticeAbstractUI.aspx?menuIndex=3&amp;refID=7163631&amp;Result=3","7163631")</f>
        <v>0</v>
      </c>
      <c r="B11776" t="s">
        <v>3257</v>
      </c>
      <c r="C11776" t="s">
        <v>3982</v>
      </c>
      <c r="D11776" t="s">
        <v>17192</v>
      </c>
      <c r="E11776" t="s">
        <v>27260</v>
      </c>
      <c r="F11776" t="s">
        <v>29372</v>
      </c>
      <c r="G11776" t="s">
        <v>29380</v>
      </c>
      <c r="H11776" t="s">
        <v>11048</v>
      </c>
      <c r="I11776" t="s">
        <v>5383</v>
      </c>
      <c r="J11776" t="s">
        <v>36947</v>
      </c>
      <c r="K11776" t="s">
        <v>38538</v>
      </c>
      <c r="M11776" t="s">
        <v>42326</v>
      </c>
      <c r="N11776" t="s">
        <v>42669</v>
      </c>
      <c r="O11776" t="s">
        <v>42670</v>
      </c>
      <c r="P11776">
        <v>0</v>
      </c>
      <c r="Q11776">
        <v>2</v>
      </c>
      <c r="R11776" t="s">
        <v>42688</v>
      </c>
      <c r="S11776" t="s">
        <v>43441</v>
      </c>
      <c r="T11776" t="s">
        <v>44480</v>
      </c>
      <c r="U11776" t="s">
        <v>54449</v>
      </c>
      <c r="W11776" t="s">
        <v>42326</v>
      </c>
      <c r="X11776" t="s">
        <v>42689</v>
      </c>
    </row>
    <row r="11777" spans="1:24">
      <c r="A11777">
        <f>HYPERLINK("https://www.philgeps.gov.ph/GEPSNONPILOT/Tender/SplashBidNoticeAbstractUI.aspx?menuIndex=3&amp;refID=7163414&amp;Result=3","7163414")</f>
        <v>0</v>
      </c>
      <c r="B11777" t="s">
        <v>3255</v>
      </c>
      <c r="C11777" t="s">
        <v>14791</v>
      </c>
      <c r="D11777" t="s">
        <v>17151</v>
      </c>
      <c r="E11777" t="s">
        <v>27261</v>
      </c>
      <c r="F11777" t="s">
        <v>29372</v>
      </c>
      <c r="G11777" t="s">
        <v>29383</v>
      </c>
      <c r="H11777" t="s">
        <v>11048</v>
      </c>
      <c r="I11777" t="s">
        <v>29395</v>
      </c>
      <c r="J11777" t="s">
        <v>36948</v>
      </c>
      <c r="K11777" t="s">
        <v>38485</v>
      </c>
      <c r="M11777" t="s">
        <v>42324</v>
      </c>
      <c r="N11777" t="s">
        <v>42669</v>
      </c>
      <c r="O11777" t="s">
        <v>42670</v>
      </c>
      <c r="Q11777">
        <v>9</v>
      </c>
      <c r="R11777" t="s">
        <v>42688</v>
      </c>
      <c r="S11777" t="s">
        <v>42801</v>
      </c>
      <c r="T11777" t="s">
        <v>44470</v>
      </c>
      <c r="U11777" t="s">
        <v>54450</v>
      </c>
      <c r="V11777" t="s">
        <v>57690</v>
      </c>
      <c r="W11777" t="s">
        <v>42324</v>
      </c>
      <c r="X11777" t="s">
        <v>42689</v>
      </c>
    </row>
    <row r="11778" spans="1:24">
      <c r="A11778">
        <f>HYPERLINK("https://www.philgeps.gov.ph/GEPSNONPILOT/Tender/SplashBidNoticeAbstractUI.aspx?menuIndex=3&amp;refID=7163684&amp;Result=3","7163684")</f>
        <v>0</v>
      </c>
      <c r="B11778" t="s">
        <v>394</v>
      </c>
      <c r="C11778" t="s">
        <v>14792</v>
      </c>
      <c r="D11778" t="s">
        <v>17170</v>
      </c>
      <c r="E11778" t="s">
        <v>27262</v>
      </c>
      <c r="F11778" t="s">
        <v>29372</v>
      </c>
      <c r="G11778" t="s">
        <v>29380</v>
      </c>
      <c r="H11778" t="s">
        <v>11048</v>
      </c>
      <c r="I11778" t="s">
        <v>29425</v>
      </c>
      <c r="J11778" t="s">
        <v>36949</v>
      </c>
      <c r="K11778" t="s">
        <v>38495</v>
      </c>
      <c r="M11778" t="s">
        <v>39157</v>
      </c>
      <c r="N11778" t="s">
        <v>42669</v>
      </c>
      <c r="O11778" t="s">
        <v>42670</v>
      </c>
      <c r="P11778">
        <v>0</v>
      </c>
      <c r="Q11778">
        <v>5</v>
      </c>
      <c r="R11778" t="s">
        <v>42688</v>
      </c>
      <c r="S11778" t="s">
        <v>43441</v>
      </c>
      <c r="T11778" t="s">
        <v>44366</v>
      </c>
      <c r="U11778" t="s">
        <v>54437</v>
      </c>
      <c r="W11778" t="s">
        <v>39157</v>
      </c>
      <c r="X11778" t="s">
        <v>42689</v>
      </c>
    </row>
    <row r="11779" spans="1:24">
      <c r="A11779">
        <f>HYPERLINK("https://www.philgeps.gov.ph/GEPSNONPILOT/Tender/SplashBidNoticeAbstractUI.aspx?menuIndex=3&amp;refID=7163643&amp;Result=3","7163643")</f>
        <v>0</v>
      </c>
      <c r="B11779" t="s">
        <v>3257</v>
      </c>
      <c r="C11779" t="s">
        <v>14793</v>
      </c>
      <c r="D11779" t="s">
        <v>17192</v>
      </c>
      <c r="E11779" t="s">
        <v>27263</v>
      </c>
      <c r="F11779" t="s">
        <v>29372</v>
      </c>
      <c r="G11779" t="s">
        <v>29380</v>
      </c>
      <c r="H11779" t="s">
        <v>11048</v>
      </c>
      <c r="I11779" t="s">
        <v>4487</v>
      </c>
      <c r="J11779" t="s">
        <v>36950</v>
      </c>
      <c r="K11779" t="s">
        <v>38538</v>
      </c>
      <c r="M11779" t="s">
        <v>42326</v>
      </c>
      <c r="N11779" t="s">
        <v>42669</v>
      </c>
      <c r="O11779" t="s">
        <v>42670</v>
      </c>
      <c r="P11779">
        <v>0</v>
      </c>
      <c r="Q11779">
        <v>1</v>
      </c>
      <c r="R11779" t="s">
        <v>42688</v>
      </c>
      <c r="S11779" t="s">
        <v>43441</v>
      </c>
      <c r="T11779" t="s">
        <v>44480</v>
      </c>
      <c r="U11779" t="s">
        <v>54451</v>
      </c>
      <c r="W11779" t="s">
        <v>42326</v>
      </c>
      <c r="X11779" t="s">
        <v>42689</v>
      </c>
    </row>
    <row r="11780" spans="1:24">
      <c r="A11780">
        <f>HYPERLINK("https://www.philgeps.gov.ph/GEPSNONPILOT/Tender/SplashBidNoticeAbstractUI.aspx?menuIndex=3&amp;refID=7163605&amp;Result=3","7163605")</f>
        <v>0</v>
      </c>
      <c r="B11780" t="s">
        <v>394</v>
      </c>
      <c r="C11780" t="s">
        <v>14794</v>
      </c>
      <c r="D11780" t="s">
        <v>17170</v>
      </c>
      <c r="E11780" t="s">
        <v>27264</v>
      </c>
      <c r="F11780" t="s">
        <v>29372</v>
      </c>
      <c r="G11780" t="s">
        <v>29380</v>
      </c>
      <c r="H11780" t="s">
        <v>11048</v>
      </c>
      <c r="I11780" t="s">
        <v>29425</v>
      </c>
      <c r="J11780" t="s">
        <v>36951</v>
      </c>
      <c r="K11780" t="s">
        <v>38495</v>
      </c>
      <c r="M11780" t="s">
        <v>39157</v>
      </c>
      <c r="N11780" t="s">
        <v>42669</v>
      </c>
      <c r="O11780" t="s">
        <v>42670</v>
      </c>
      <c r="P11780">
        <v>0</v>
      </c>
      <c r="Q11780">
        <v>5</v>
      </c>
      <c r="R11780" t="s">
        <v>42688</v>
      </c>
      <c r="S11780" t="s">
        <v>43441</v>
      </c>
      <c r="T11780" t="s">
        <v>44366</v>
      </c>
      <c r="U11780" t="s">
        <v>54437</v>
      </c>
      <c r="W11780" t="s">
        <v>39157</v>
      </c>
      <c r="X11780" t="s">
        <v>42689</v>
      </c>
    </row>
    <row r="11781" spans="1:24">
      <c r="A11781">
        <f>HYPERLINK("https://www.philgeps.gov.ph/GEPSNONPILOT/Tender/SplashBidNoticeAbstractUI.aspx?menuIndex=3&amp;refID=7163724&amp;Result=3","7163724")</f>
        <v>0</v>
      </c>
      <c r="B11781" t="s">
        <v>394</v>
      </c>
      <c r="C11781" t="s">
        <v>14795</v>
      </c>
      <c r="D11781" t="s">
        <v>17170</v>
      </c>
      <c r="E11781" t="s">
        <v>27265</v>
      </c>
      <c r="F11781" t="s">
        <v>29372</v>
      </c>
      <c r="G11781" t="s">
        <v>29380</v>
      </c>
      <c r="H11781" t="s">
        <v>11048</v>
      </c>
      <c r="I11781" t="s">
        <v>3952</v>
      </c>
      <c r="J11781" t="s">
        <v>36952</v>
      </c>
      <c r="K11781" t="s">
        <v>38495</v>
      </c>
      <c r="M11781" t="s">
        <v>39157</v>
      </c>
      <c r="N11781" t="s">
        <v>42669</v>
      </c>
      <c r="O11781" t="s">
        <v>42670</v>
      </c>
      <c r="P11781">
        <v>0</v>
      </c>
      <c r="Q11781">
        <v>6</v>
      </c>
      <c r="R11781" t="s">
        <v>42688</v>
      </c>
      <c r="S11781" t="s">
        <v>43441</v>
      </c>
      <c r="T11781" t="s">
        <v>44366</v>
      </c>
      <c r="U11781" t="s">
        <v>54437</v>
      </c>
      <c r="W11781" t="s">
        <v>39157</v>
      </c>
      <c r="X11781" t="s">
        <v>42689</v>
      </c>
    </row>
    <row r="11782" spans="1:24">
      <c r="A11782">
        <f>HYPERLINK("https://www.philgeps.gov.ph/GEPSNONPILOT/Tender/SplashBidNoticeAbstractUI.aspx?menuIndex=3&amp;refID=7163593&amp;Result=3","7163593")</f>
        <v>0</v>
      </c>
      <c r="B11782" t="s">
        <v>1805</v>
      </c>
      <c r="C11782" t="s">
        <v>14796</v>
      </c>
      <c r="D11782" t="s">
        <v>17194</v>
      </c>
      <c r="E11782" t="s">
        <v>25303</v>
      </c>
      <c r="F11782" t="s">
        <v>29372</v>
      </c>
      <c r="G11782" t="s">
        <v>29380</v>
      </c>
      <c r="H11782" t="s">
        <v>11048</v>
      </c>
      <c r="I11782" t="s">
        <v>29393</v>
      </c>
      <c r="J11782" t="s">
        <v>36953</v>
      </c>
      <c r="K11782" t="s">
        <v>38510</v>
      </c>
      <c r="M11782" t="s">
        <v>40676</v>
      </c>
      <c r="N11782" t="s">
        <v>42669</v>
      </c>
      <c r="O11782" t="s">
        <v>42670</v>
      </c>
      <c r="P11782">
        <v>0</v>
      </c>
      <c r="Q11782">
        <v>0</v>
      </c>
      <c r="R11782" t="s">
        <v>42688</v>
      </c>
      <c r="S11782" t="s">
        <v>43441</v>
      </c>
      <c r="T11782" t="s">
        <v>44470</v>
      </c>
      <c r="U11782" t="s">
        <v>48990</v>
      </c>
      <c r="W11782" t="s">
        <v>40676</v>
      </c>
      <c r="X11782" t="s">
        <v>42689</v>
      </c>
    </row>
    <row r="11783" spans="1:24">
      <c r="A11783">
        <f>HYPERLINK("https://www.philgeps.gov.ph/GEPSNONPILOT/Tender/SplashBidNoticeAbstractUI.aspx?menuIndex=3&amp;refID=7163297&amp;Result=3","7163297")</f>
        <v>0</v>
      </c>
      <c r="B11783" t="s">
        <v>2229</v>
      </c>
      <c r="C11783" t="s">
        <v>14797</v>
      </c>
      <c r="D11783" t="s">
        <v>17178</v>
      </c>
      <c r="E11783" t="s">
        <v>27266</v>
      </c>
      <c r="F11783" t="s">
        <v>29372</v>
      </c>
      <c r="G11783" t="s">
        <v>29380</v>
      </c>
      <c r="H11783" t="s">
        <v>11048</v>
      </c>
      <c r="I11783" t="s">
        <v>29424</v>
      </c>
      <c r="J11783" t="s">
        <v>36954</v>
      </c>
      <c r="K11783" t="s">
        <v>38510</v>
      </c>
      <c r="M11783" t="s">
        <v>41147</v>
      </c>
      <c r="N11783" t="s">
        <v>42669</v>
      </c>
      <c r="O11783" t="s">
        <v>42670</v>
      </c>
      <c r="Q11783">
        <v>7</v>
      </c>
      <c r="R11783" t="s">
        <v>42688</v>
      </c>
      <c r="S11783" t="s">
        <v>43415</v>
      </c>
      <c r="T11783" t="s">
        <v>44412</v>
      </c>
      <c r="U11783" t="s">
        <v>54452</v>
      </c>
      <c r="W11783" t="s">
        <v>58074</v>
      </c>
      <c r="X11783" t="s">
        <v>42689</v>
      </c>
    </row>
    <row r="11784" spans="1:24">
      <c r="A11784">
        <f>HYPERLINK("https://www.philgeps.gov.ph/GEPSNONPILOT/Tender/SplashBidNoticeAbstractUI.aspx?menuIndex=3&amp;refID=7163623&amp;Result=3","7163623")</f>
        <v>0</v>
      </c>
      <c r="B11784" t="s">
        <v>3255</v>
      </c>
      <c r="C11784" t="s">
        <v>14798</v>
      </c>
      <c r="D11784" t="s">
        <v>17151</v>
      </c>
      <c r="E11784" t="s">
        <v>27267</v>
      </c>
      <c r="F11784" t="s">
        <v>29372</v>
      </c>
      <c r="G11784" t="s">
        <v>29383</v>
      </c>
      <c r="H11784" t="s">
        <v>11048</v>
      </c>
      <c r="I11784" t="s">
        <v>29395</v>
      </c>
      <c r="J11784" t="s">
        <v>31103</v>
      </c>
      <c r="K11784" t="s">
        <v>38485</v>
      </c>
      <c r="M11784" t="s">
        <v>42324</v>
      </c>
      <c r="N11784" t="s">
        <v>42669</v>
      </c>
      <c r="O11784" t="s">
        <v>42670</v>
      </c>
      <c r="Q11784">
        <v>6</v>
      </c>
      <c r="R11784" t="s">
        <v>42688</v>
      </c>
      <c r="S11784" t="s">
        <v>42792</v>
      </c>
      <c r="T11784" t="s">
        <v>44470</v>
      </c>
      <c r="U11784" t="s">
        <v>54453</v>
      </c>
      <c r="V11784" t="s">
        <v>57690</v>
      </c>
      <c r="W11784" t="s">
        <v>42324</v>
      </c>
      <c r="X11784" t="s">
        <v>42689</v>
      </c>
    </row>
    <row r="11785" spans="1:24">
      <c r="A11785">
        <f>HYPERLINK("https://www.philgeps.gov.ph/GEPSNONPILOT/Tender/SplashBidNoticeAbstractUI.aspx?menuIndex=3&amp;refID=7163886&amp;Result=3","7163886")</f>
        <v>0</v>
      </c>
      <c r="B11785" t="s">
        <v>1805</v>
      </c>
      <c r="C11785" t="s">
        <v>14799</v>
      </c>
      <c r="D11785" t="s">
        <v>17194</v>
      </c>
      <c r="E11785" t="s">
        <v>21053</v>
      </c>
      <c r="F11785" t="s">
        <v>29372</v>
      </c>
      <c r="G11785" t="s">
        <v>29380</v>
      </c>
      <c r="H11785" t="s">
        <v>29389</v>
      </c>
      <c r="I11785" t="s">
        <v>10408</v>
      </c>
      <c r="J11785" t="s">
        <v>36955</v>
      </c>
      <c r="K11785" t="s">
        <v>38502</v>
      </c>
      <c r="M11785" t="s">
        <v>40676</v>
      </c>
      <c r="N11785" t="s">
        <v>42669</v>
      </c>
      <c r="O11785" t="s">
        <v>42670</v>
      </c>
      <c r="P11785">
        <v>0</v>
      </c>
      <c r="Q11785">
        <v>0</v>
      </c>
      <c r="R11785" t="s">
        <v>42688</v>
      </c>
      <c r="S11785" t="s">
        <v>43441</v>
      </c>
      <c r="T11785" t="s">
        <v>44470</v>
      </c>
      <c r="U11785" t="s">
        <v>54454</v>
      </c>
      <c r="W11785" t="s">
        <v>40676</v>
      </c>
      <c r="X11785" t="s">
        <v>42689</v>
      </c>
    </row>
    <row r="11786" spans="1:24">
      <c r="A11786">
        <f>HYPERLINK("https://www.philgeps.gov.ph/GEPSNONPILOT/Tender/SplashBidNoticeAbstractUI.aspx?menuIndex=3&amp;refID=7163881&amp;Result=3","7163881")</f>
        <v>0</v>
      </c>
      <c r="B11786" t="s">
        <v>3258</v>
      </c>
      <c r="C11786" t="s">
        <v>14800</v>
      </c>
      <c r="D11786" t="s">
        <v>17152</v>
      </c>
      <c r="E11786" t="s">
        <v>27268</v>
      </c>
      <c r="F11786" t="s">
        <v>29372</v>
      </c>
      <c r="G11786" t="s">
        <v>29380</v>
      </c>
      <c r="H11786" t="s">
        <v>11048</v>
      </c>
      <c r="I11786" t="s">
        <v>29417</v>
      </c>
      <c r="J11786" t="s">
        <v>36956</v>
      </c>
      <c r="K11786" t="s">
        <v>38490</v>
      </c>
      <c r="M11786" t="s">
        <v>42327</v>
      </c>
      <c r="N11786" t="s">
        <v>42669</v>
      </c>
      <c r="O11786" t="s">
        <v>42670</v>
      </c>
      <c r="P11786">
        <v>0</v>
      </c>
      <c r="Q11786">
        <v>3</v>
      </c>
      <c r="R11786" t="s">
        <v>42688</v>
      </c>
      <c r="S11786" t="s">
        <v>43441</v>
      </c>
      <c r="T11786" t="s">
        <v>44398</v>
      </c>
      <c r="U11786" t="s">
        <v>54455</v>
      </c>
      <c r="W11786" t="s">
        <v>42327</v>
      </c>
      <c r="X11786" t="s">
        <v>42689</v>
      </c>
    </row>
    <row r="11787" spans="1:24">
      <c r="A11787">
        <f>HYPERLINK("https://www.philgeps.gov.ph/GEPSNONPILOT/Tender/SplashBidNoticeAbstractUI.aspx?menuIndex=3&amp;refID=7163878&amp;Result=3","7163878")</f>
        <v>0</v>
      </c>
      <c r="B11787" t="s">
        <v>3259</v>
      </c>
      <c r="C11787" t="s">
        <v>14801</v>
      </c>
      <c r="D11787" t="s">
        <v>17216</v>
      </c>
      <c r="E11787" t="s">
        <v>27269</v>
      </c>
      <c r="F11787" t="s">
        <v>29372</v>
      </c>
      <c r="G11787" t="s">
        <v>29384</v>
      </c>
      <c r="H11787" t="s">
        <v>11048</v>
      </c>
      <c r="I11787" t="s">
        <v>4709</v>
      </c>
      <c r="J11787" t="s">
        <v>36957</v>
      </c>
      <c r="K11787" t="s">
        <v>38485</v>
      </c>
      <c r="M11787" t="s">
        <v>42328</v>
      </c>
      <c r="N11787" t="s">
        <v>42669</v>
      </c>
      <c r="O11787" t="s">
        <v>42670</v>
      </c>
      <c r="P11787">
        <v>0</v>
      </c>
      <c r="Q11787">
        <v>2</v>
      </c>
      <c r="R11787" t="s">
        <v>42688</v>
      </c>
      <c r="S11787" t="s">
        <v>43441</v>
      </c>
      <c r="T11787" t="s">
        <v>44387</v>
      </c>
      <c r="U11787" t="s">
        <v>54456</v>
      </c>
      <c r="W11787" t="s">
        <v>42328</v>
      </c>
      <c r="X11787" t="s">
        <v>42689</v>
      </c>
    </row>
    <row r="11788" spans="1:24">
      <c r="A11788">
        <f>HYPERLINK("https://www.philgeps.gov.ph/GEPSNONPILOT/Tender/SplashBidNoticeAbstractUI.aspx?menuIndex=3&amp;refID=7163840&amp;Result=3","7163840")</f>
        <v>0</v>
      </c>
      <c r="B11788" t="s">
        <v>2113</v>
      </c>
      <c r="C11788" t="s">
        <v>14802</v>
      </c>
      <c r="D11788" t="s">
        <v>17161</v>
      </c>
      <c r="E11788" t="s">
        <v>27270</v>
      </c>
      <c r="F11788" t="s">
        <v>29372</v>
      </c>
      <c r="G11788" t="s">
        <v>29380</v>
      </c>
      <c r="H11788" t="s">
        <v>29389</v>
      </c>
      <c r="I11788" t="s">
        <v>10408</v>
      </c>
      <c r="J11788" t="s">
        <v>36958</v>
      </c>
      <c r="K11788" t="s">
        <v>38604</v>
      </c>
      <c r="M11788" t="s">
        <v>41016</v>
      </c>
      <c r="N11788" t="s">
        <v>42669</v>
      </c>
      <c r="O11788" t="s">
        <v>42670</v>
      </c>
      <c r="P11788">
        <v>0</v>
      </c>
      <c r="Q11788">
        <v>0</v>
      </c>
      <c r="R11788" t="s">
        <v>42688</v>
      </c>
      <c r="S11788" t="s">
        <v>43441</v>
      </c>
      <c r="T11788" t="s">
        <v>44651</v>
      </c>
      <c r="U11788" t="s">
        <v>54457</v>
      </c>
      <c r="W11788" t="s">
        <v>41016</v>
      </c>
      <c r="X11788" t="s">
        <v>42689</v>
      </c>
    </row>
    <row r="11789" spans="1:24">
      <c r="A11789">
        <f>HYPERLINK("https://www.philgeps.gov.ph/GEPSNONPILOT/Tender/SplashBidNoticeAbstractUI.aspx?menuIndex=3&amp;refID=7163865&amp;Result=3","7163865")</f>
        <v>0</v>
      </c>
      <c r="B11789" t="s">
        <v>2113</v>
      </c>
      <c r="C11789" t="s">
        <v>14803</v>
      </c>
      <c r="D11789" t="s">
        <v>17161</v>
      </c>
      <c r="E11789" t="s">
        <v>27271</v>
      </c>
      <c r="F11789" t="s">
        <v>29372</v>
      </c>
      <c r="G11789" t="s">
        <v>29380</v>
      </c>
      <c r="H11789" t="s">
        <v>29389</v>
      </c>
      <c r="I11789" t="s">
        <v>10408</v>
      </c>
      <c r="J11789" t="s">
        <v>36959</v>
      </c>
      <c r="K11789" t="s">
        <v>38604</v>
      </c>
      <c r="M11789" t="s">
        <v>41016</v>
      </c>
      <c r="N11789" t="s">
        <v>42669</v>
      </c>
      <c r="O11789" t="s">
        <v>42670</v>
      </c>
      <c r="P11789">
        <v>0</v>
      </c>
      <c r="Q11789">
        <v>0</v>
      </c>
      <c r="R11789" t="s">
        <v>42688</v>
      </c>
      <c r="S11789" t="s">
        <v>43441</v>
      </c>
      <c r="T11789" t="s">
        <v>44651</v>
      </c>
      <c r="U11789" t="s">
        <v>54458</v>
      </c>
      <c r="W11789" t="s">
        <v>41016</v>
      </c>
      <c r="X11789" t="s">
        <v>42689</v>
      </c>
    </row>
    <row r="11790" spans="1:24">
      <c r="A11790">
        <f>HYPERLINK("https://www.philgeps.gov.ph/GEPSNONPILOT/Tender/SplashBidNoticeAbstractUI.aspx?menuIndex=3&amp;refID=7163821&amp;Result=3","7163821")</f>
        <v>0</v>
      </c>
      <c r="B11790" t="s">
        <v>394</v>
      </c>
      <c r="C11790" t="s">
        <v>14804</v>
      </c>
      <c r="D11790" t="s">
        <v>17170</v>
      </c>
      <c r="E11790" t="s">
        <v>27272</v>
      </c>
      <c r="F11790" t="s">
        <v>29372</v>
      </c>
      <c r="G11790" t="s">
        <v>29380</v>
      </c>
      <c r="H11790" t="s">
        <v>11048</v>
      </c>
      <c r="I11790" t="s">
        <v>29425</v>
      </c>
      <c r="J11790" t="s">
        <v>36960</v>
      </c>
      <c r="K11790" t="s">
        <v>38495</v>
      </c>
      <c r="M11790" t="s">
        <v>39650</v>
      </c>
      <c r="N11790" t="s">
        <v>42669</v>
      </c>
      <c r="O11790" t="s">
        <v>42670</v>
      </c>
      <c r="P11790">
        <v>0</v>
      </c>
      <c r="Q11790">
        <v>5</v>
      </c>
      <c r="R11790" t="s">
        <v>42688</v>
      </c>
      <c r="S11790" t="s">
        <v>43441</v>
      </c>
      <c r="T11790" t="s">
        <v>44366</v>
      </c>
      <c r="U11790" t="s">
        <v>54013</v>
      </c>
      <c r="W11790" t="s">
        <v>39650</v>
      </c>
      <c r="X11790" t="s">
        <v>42689</v>
      </c>
    </row>
    <row r="11791" spans="1:24">
      <c r="A11791">
        <f>HYPERLINK("https://www.philgeps.gov.ph/GEPSNONPILOT/Tender/SplashBidNoticeAbstractUI.aspx?menuIndex=3&amp;refID=7163598&amp;Result=3","7163598")</f>
        <v>0</v>
      </c>
      <c r="B11791" t="s">
        <v>3255</v>
      </c>
      <c r="C11791" t="s">
        <v>14805</v>
      </c>
      <c r="D11791" t="s">
        <v>17151</v>
      </c>
      <c r="E11791" t="s">
        <v>27273</v>
      </c>
      <c r="F11791" t="s">
        <v>29372</v>
      </c>
      <c r="G11791" t="s">
        <v>29383</v>
      </c>
      <c r="H11791" t="s">
        <v>11048</v>
      </c>
      <c r="I11791" t="s">
        <v>29395</v>
      </c>
      <c r="J11791" t="s">
        <v>36961</v>
      </c>
      <c r="K11791" t="s">
        <v>38485</v>
      </c>
      <c r="M11791" t="s">
        <v>42324</v>
      </c>
      <c r="N11791" t="s">
        <v>42669</v>
      </c>
      <c r="O11791" t="s">
        <v>42670</v>
      </c>
      <c r="Q11791">
        <v>9</v>
      </c>
      <c r="R11791" t="s">
        <v>42688</v>
      </c>
      <c r="S11791" t="s">
        <v>43454</v>
      </c>
      <c r="T11791" t="s">
        <v>44470</v>
      </c>
      <c r="U11791" t="s">
        <v>54459</v>
      </c>
      <c r="V11791" t="s">
        <v>57690</v>
      </c>
      <c r="W11791" t="s">
        <v>42324</v>
      </c>
      <c r="X11791" t="s">
        <v>42689</v>
      </c>
    </row>
    <row r="11792" spans="1:24">
      <c r="A11792">
        <f>HYPERLINK("https://www.philgeps.gov.ph/GEPSNONPILOT/Tender/SplashBidNoticeAbstractUI.aspx?menuIndex=3&amp;refID=7163813&amp;Result=3","7163813")</f>
        <v>0</v>
      </c>
      <c r="B11792" t="s">
        <v>3260</v>
      </c>
      <c r="C11792" t="s">
        <v>14806</v>
      </c>
      <c r="D11792" t="s">
        <v>17161</v>
      </c>
      <c r="E11792" t="s">
        <v>27274</v>
      </c>
      <c r="F11792" t="s">
        <v>29372</v>
      </c>
      <c r="G11792" t="s">
        <v>29380</v>
      </c>
      <c r="H11792" t="s">
        <v>29389</v>
      </c>
      <c r="I11792" t="s">
        <v>10408</v>
      </c>
      <c r="J11792" t="s">
        <v>36962</v>
      </c>
      <c r="K11792" t="s">
        <v>38533</v>
      </c>
      <c r="M11792" t="s">
        <v>42329</v>
      </c>
      <c r="N11792" t="s">
        <v>42669</v>
      </c>
      <c r="O11792" t="s">
        <v>42670</v>
      </c>
      <c r="P11792">
        <v>0</v>
      </c>
      <c r="Q11792">
        <v>2</v>
      </c>
      <c r="R11792" t="s">
        <v>42688</v>
      </c>
      <c r="S11792" t="s">
        <v>43441</v>
      </c>
      <c r="T11792" t="s">
        <v>44418</v>
      </c>
      <c r="U11792" t="s">
        <v>54460</v>
      </c>
      <c r="V11792" t="s">
        <v>57692</v>
      </c>
      <c r="W11792" t="s">
        <v>42329</v>
      </c>
      <c r="X11792" t="s">
        <v>42689</v>
      </c>
    </row>
    <row r="11793" spans="1:24">
      <c r="A11793">
        <f>HYPERLINK("https://www.philgeps.gov.ph/GEPSNONPILOT/Tender/SplashBidNoticeAbstractUI.aspx?menuIndex=3&amp;refID=7163790&amp;Result=3","7163790")</f>
        <v>0</v>
      </c>
      <c r="B11793" t="s">
        <v>1805</v>
      </c>
      <c r="C11793" t="s">
        <v>14807</v>
      </c>
      <c r="D11793" t="s">
        <v>17194</v>
      </c>
      <c r="E11793" t="s">
        <v>21024</v>
      </c>
      <c r="F11793" t="s">
        <v>29372</v>
      </c>
      <c r="G11793" t="s">
        <v>29380</v>
      </c>
      <c r="H11793" t="s">
        <v>11048</v>
      </c>
      <c r="I11793" t="s">
        <v>29396</v>
      </c>
      <c r="J11793" t="s">
        <v>29526</v>
      </c>
      <c r="K11793" t="s">
        <v>38510</v>
      </c>
      <c r="M11793" t="s">
        <v>40676</v>
      </c>
      <c r="N11793" t="s">
        <v>42669</v>
      </c>
      <c r="O11793" t="s">
        <v>42670</v>
      </c>
      <c r="P11793">
        <v>0</v>
      </c>
      <c r="Q11793">
        <v>0</v>
      </c>
      <c r="R11793" t="s">
        <v>42688</v>
      </c>
      <c r="S11793" t="s">
        <v>43441</v>
      </c>
      <c r="T11793" t="s">
        <v>44470</v>
      </c>
      <c r="U11793" t="s">
        <v>48990</v>
      </c>
      <c r="W11793" t="s">
        <v>40676</v>
      </c>
      <c r="X11793" t="s">
        <v>42689</v>
      </c>
    </row>
    <row r="11794" spans="1:24">
      <c r="A11794">
        <f>HYPERLINK("https://www.philgeps.gov.ph/GEPSNONPILOT/Tender/SplashBidNoticeAbstractUI.aspx?menuIndex=3&amp;refID=7163810&amp;Result=3","7163810")</f>
        <v>0</v>
      </c>
      <c r="B11794" t="s">
        <v>1088</v>
      </c>
      <c r="C11794" t="s">
        <v>14808</v>
      </c>
      <c r="D11794" t="s">
        <v>17141</v>
      </c>
      <c r="E11794" t="s">
        <v>27275</v>
      </c>
      <c r="F11794" t="s">
        <v>29372</v>
      </c>
      <c r="G11794" t="s">
        <v>29380</v>
      </c>
      <c r="H11794" t="s">
        <v>11048</v>
      </c>
      <c r="I11794" t="s">
        <v>29416</v>
      </c>
      <c r="J11794" t="s">
        <v>36963</v>
      </c>
      <c r="K11794" t="s">
        <v>38496</v>
      </c>
      <c r="M11794" t="s">
        <v>39895</v>
      </c>
      <c r="N11794" t="s">
        <v>42669</v>
      </c>
      <c r="O11794" t="s">
        <v>42670</v>
      </c>
      <c r="P11794">
        <v>0</v>
      </c>
      <c r="Q11794">
        <v>7</v>
      </c>
      <c r="R11794" t="s">
        <v>42688</v>
      </c>
      <c r="S11794" t="s">
        <v>43441</v>
      </c>
      <c r="T11794" t="s">
        <v>44445</v>
      </c>
      <c r="U11794" t="s">
        <v>54461</v>
      </c>
      <c r="W11794" t="s">
        <v>39895</v>
      </c>
      <c r="X11794" t="s">
        <v>42689</v>
      </c>
    </row>
    <row r="11795" spans="1:24">
      <c r="A11795">
        <f>HYPERLINK("https://www.philgeps.gov.ph/GEPSNONPILOT/Tender/SplashBidNoticeAbstractUI.aspx?menuIndex=3&amp;refID=7163490&amp;Result=3","7163490")</f>
        <v>0</v>
      </c>
      <c r="B11795" t="s">
        <v>3255</v>
      </c>
      <c r="C11795" t="s">
        <v>14809</v>
      </c>
      <c r="D11795" t="s">
        <v>17151</v>
      </c>
      <c r="E11795" t="s">
        <v>27276</v>
      </c>
      <c r="F11795" t="s">
        <v>29372</v>
      </c>
      <c r="G11795" t="s">
        <v>29383</v>
      </c>
      <c r="H11795" t="s">
        <v>11048</v>
      </c>
      <c r="I11795" t="s">
        <v>3670</v>
      </c>
      <c r="J11795" t="s">
        <v>36964</v>
      </c>
      <c r="K11795" t="s">
        <v>38485</v>
      </c>
      <c r="M11795" t="s">
        <v>42324</v>
      </c>
      <c r="N11795" t="s">
        <v>42669</v>
      </c>
      <c r="O11795" t="s">
        <v>42670</v>
      </c>
      <c r="Q11795">
        <v>6</v>
      </c>
      <c r="R11795" t="s">
        <v>42688</v>
      </c>
      <c r="S11795" t="s">
        <v>43455</v>
      </c>
      <c r="T11795" t="s">
        <v>44470</v>
      </c>
      <c r="U11795" t="s">
        <v>54462</v>
      </c>
      <c r="V11795" t="s">
        <v>57693</v>
      </c>
      <c r="W11795" t="s">
        <v>42324</v>
      </c>
      <c r="X11795" t="s">
        <v>42689</v>
      </c>
    </row>
    <row r="11796" spans="1:24">
      <c r="A11796">
        <f>HYPERLINK("https://www.philgeps.gov.ph/GEPSNONPILOT/Tender/SplashBidNoticeAbstractUI.aspx?menuIndex=3&amp;refID=7163769&amp;Result=3","7163769")</f>
        <v>0</v>
      </c>
      <c r="B11796" t="s">
        <v>1861</v>
      </c>
      <c r="C11796" t="s">
        <v>14810</v>
      </c>
      <c r="D11796" t="s">
        <v>17141</v>
      </c>
      <c r="E11796" t="s">
        <v>27277</v>
      </c>
      <c r="F11796" t="s">
        <v>29372</v>
      </c>
      <c r="G11796" t="s">
        <v>29380</v>
      </c>
      <c r="H11796" t="s">
        <v>29389</v>
      </c>
      <c r="I11796" t="s">
        <v>10408</v>
      </c>
      <c r="J11796" t="s">
        <v>36965</v>
      </c>
      <c r="K11796" t="s">
        <v>38533</v>
      </c>
      <c r="M11796" t="s">
        <v>42330</v>
      </c>
      <c r="N11796" t="s">
        <v>42669</v>
      </c>
      <c r="O11796" t="s">
        <v>42670</v>
      </c>
      <c r="P11796">
        <v>0</v>
      </c>
      <c r="Q11796">
        <v>2</v>
      </c>
      <c r="R11796" t="s">
        <v>42688</v>
      </c>
      <c r="S11796" t="s">
        <v>43441</v>
      </c>
      <c r="T11796" t="s">
        <v>44364</v>
      </c>
      <c r="U11796" t="s">
        <v>54463</v>
      </c>
      <c r="W11796" t="s">
        <v>58118</v>
      </c>
      <c r="X11796" t="s">
        <v>42689</v>
      </c>
    </row>
    <row r="11797" spans="1:24">
      <c r="A11797">
        <f>HYPERLINK("https://www.philgeps.gov.ph/GEPSNONPILOT/Tender/SplashBidNoticeAbstractUI.aspx?menuIndex=3&amp;refID=7163887&amp;Result=3","7163887")</f>
        <v>0</v>
      </c>
      <c r="B11797" t="s">
        <v>2098</v>
      </c>
      <c r="C11797" t="s">
        <v>14811</v>
      </c>
      <c r="D11797" t="s">
        <v>17160</v>
      </c>
      <c r="E11797" t="s">
        <v>27278</v>
      </c>
      <c r="F11797" t="s">
        <v>29372</v>
      </c>
      <c r="G11797" t="s">
        <v>29380</v>
      </c>
      <c r="H11797" t="s">
        <v>29389</v>
      </c>
      <c r="I11797" t="s">
        <v>10408</v>
      </c>
      <c r="J11797" t="s">
        <v>29724</v>
      </c>
      <c r="K11797" t="s">
        <v>38528</v>
      </c>
      <c r="M11797" t="s">
        <v>41001</v>
      </c>
      <c r="N11797" t="s">
        <v>42669</v>
      </c>
      <c r="O11797" t="s">
        <v>42670</v>
      </c>
      <c r="P11797">
        <v>0</v>
      </c>
      <c r="Q11797">
        <v>0</v>
      </c>
      <c r="R11797" t="s">
        <v>42688</v>
      </c>
      <c r="S11797" t="s">
        <v>43441</v>
      </c>
      <c r="T11797" t="s">
        <v>44386</v>
      </c>
      <c r="U11797" t="s">
        <v>54464</v>
      </c>
      <c r="W11797" t="s">
        <v>41001</v>
      </c>
      <c r="X11797" t="s">
        <v>42689</v>
      </c>
    </row>
    <row r="11798" spans="1:24">
      <c r="A11798">
        <f>HYPERLINK("https://www.philgeps.gov.ph/GEPSNONPILOT/Tender/SplashBidNoticeAbstractUI.aspx?menuIndex=3&amp;refID=7163814&amp;Result=3","7163814")</f>
        <v>0</v>
      </c>
      <c r="B11798" t="s">
        <v>1599</v>
      </c>
      <c r="C11798" t="s">
        <v>14812</v>
      </c>
      <c r="D11798" t="s">
        <v>17158</v>
      </c>
      <c r="E11798" t="s">
        <v>27279</v>
      </c>
      <c r="F11798" t="s">
        <v>29372</v>
      </c>
      <c r="G11798" t="s">
        <v>29380</v>
      </c>
      <c r="H11798" t="s">
        <v>11048</v>
      </c>
      <c r="I11798" t="s">
        <v>3629</v>
      </c>
      <c r="J11798" t="s">
        <v>36966</v>
      </c>
      <c r="K11798" t="s">
        <v>38485</v>
      </c>
      <c r="M11798" t="s">
        <v>41000</v>
      </c>
      <c r="N11798" t="s">
        <v>42669</v>
      </c>
      <c r="O11798" t="s">
        <v>42670</v>
      </c>
      <c r="P11798">
        <v>0</v>
      </c>
      <c r="Q11798">
        <v>2</v>
      </c>
      <c r="R11798" t="s">
        <v>42688</v>
      </c>
      <c r="S11798" t="s">
        <v>43441</v>
      </c>
      <c r="T11798" t="s">
        <v>44488</v>
      </c>
      <c r="U11798" t="s">
        <v>54465</v>
      </c>
      <c r="V11798" t="s">
        <v>57694</v>
      </c>
      <c r="W11798" t="s">
        <v>41000</v>
      </c>
      <c r="X11798" t="s">
        <v>42689</v>
      </c>
    </row>
    <row r="11799" spans="1:24">
      <c r="A11799">
        <f>HYPERLINK("https://www.philgeps.gov.ph/GEPSNONPILOT/Tender/SplashBidNoticeAbstractUI.aspx?menuIndex=3&amp;refID=7163760&amp;Result=3","7163760")</f>
        <v>0</v>
      </c>
      <c r="B11799" t="s">
        <v>3256</v>
      </c>
      <c r="C11799" t="s">
        <v>14813</v>
      </c>
      <c r="D11799" t="s">
        <v>17204</v>
      </c>
      <c r="E11799" t="s">
        <v>27280</v>
      </c>
      <c r="F11799" t="s">
        <v>29372</v>
      </c>
      <c r="G11799" t="s">
        <v>29380</v>
      </c>
      <c r="H11799" t="s">
        <v>11048</v>
      </c>
      <c r="I11799" t="s">
        <v>9469</v>
      </c>
      <c r="J11799" t="s">
        <v>36967</v>
      </c>
      <c r="K11799" t="s">
        <v>38496</v>
      </c>
      <c r="M11799" t="s">
        <v>42325</v>
      </c>
      <c r="N11799" t="s">
        <v>42669</v>
      </c>
      <c r="O11799" t="s">
        <v>42670</v>
      </c>
      <c r="P11799">
        <v>0</v>
      </c>
      <c r="Q11799">
        <v>4</v>
      </c>
      <c r="R11799" t="s">
        <v>42688</v>
      </c>
      <c r="S11799" t="s">
        <v>43441</v>
      </c>
      <c r="T11799" t="s">
        <v>44481</v>
      </c>
      <c r="U11799" t="s">
        <v>54466</v>
      </c>
      <c r="W11799" t="s">
        <v>58117</v>
      </c>
      <c r="X11799" t="s">
        <v>42689</v>
      </c>
    </row>
    <row r="11800" spans="1:24">
      <c r="A11800">
        <f>HYPERLINK("https://www.philgeps.gov.ph/GEPSNONPILOT/Tender/SplashBidNoticeAbstractUI.aspx?menuIndex=3&amp;refID=7163787&amp;Result=3","7163787")</f>
        <v>0</v>
      </c>
      <c r="B11800" t="s">
        <v>394</v>
      </c>
      <c r="C11800" t="s">
        <v>14814</v>
      </c>
      <c r="D11800" t="s">
        <v>17170</v>
      </c>
      <c r="E11800" t="s">
        <v>27281</v>
      </c>
      <c r="F11800" t="s">
        <v>29372</v>
      </c>
      <c r="G11800" t="s">
        <v>29380</v>
      </c>
      <c r="H11800" t="s">
        <v>11048</v>
      </c>
      <c r="I11800" t="s">
        <v>29425</v>
      </c>
      <c r="J11800" t="s">
        <v>36968</v>
      </c>
      <c r="K11800" t="s">
        <v>38495</v>
      </c>
      <c r="M11800" t="s">
        <v>39650</v>
      </c>
      <c r="N11800" t="s">
        <v>42669</v>
      </c>
      <c r="O11800" t="s">
        <v>42670</v>
      </c>
      <c r="P11800">
        <v>0</v>
      </c>
      <c r="Q11800">
        <v>5</v>
      </c>
      <c r="R11800" t="s">
        <v>42688</v>
      </c>
      <c r="S11800" t="s">
        <v>43441</v>
      </c>
      <c r="T11800" t="s">
        <v>44366</v>
      </c>
      <c r="U11800" t="s">
        <v>54013</v>
      </c>
      <c r="W11800" t="s">
        <v>39650</v>
      </c>
      <c r="X11800" t="s">
        <v>42689</v>
      </c>
    </row>
    <row r="11801" spans="1:24">
      <c r="A11801">
        <f>HYPERLINK("https://www.philgeps.gov.ph/GEPSNONPILOT/Tender/SplashBidNoticeAbstractUI.aspx?menuIndex=3&amp;refID=7163635&amp;Result=3","7163635")</f>
        <v>0</v>
      </c>
      <c r="B11801" t="s">
        <v>394</v>
      </c>
      <c r="C11801" t="s">
        <v>14815</v>
      </c>
      <c r="D11801" t="s">
        <v>17170</v>
      </c>
      <c r="E11801" t="s">
        <v>27282</v>
      </c>
      <c r="F11801" t="s">
        <v>29372</v>
      </c>
      <c r="G11801" t="s">
        <v>29380</v>
      </c>
      <c r="H11801" t="s">
        <v>11048</v>
      </c>
      <c r="I11801" t="s">
        <v>29425</v>
      </c>
      <c r="J11801" t="s">
        <v>36969</v>
      </c>
      <c r="K11801" t="s">
        <v>38495</v>
      </c>
      <c r="M11801" t="s">
        <v>39650</v>
      </c>
      <c r="N11801" t="s">
        <v>42669</v>
      </c>
      <c r="O11801" t="s">
        <v>42670</v>
      </c>
      <c r="P11801">
        <v>0</v>
      </c>
      <c r="Q11801">
        <v>4</v>
      </c>
      <c r="R11801" t="s">
        <v>42688</v>
      </c>
      <c r="S11801" t="s">
        <v>43441</v>
      </c>
      <c r="T11801" t="s">
        <v>44366</v>
      </c>
      <c r="U11801" t="s">
        <v>54013</v>
      </c>
      <c r="W11801" t="s">
        <v>39650</v>
      </c>
      <c r="X11801" t="s">
        <v>42689</v>
      </c>
    </row>
    <row r="11802" spans="1:24">
      <c r="A11802">
        <f>HYPERLINK("https://www.philgeps.gov.ph/GEPSNONPILOT/Tender/SplashBidNoticeAbstractUI.aspx?menuIndex=3&amp;refID=7163758&amp;Result=3","7163758")</f>
        <v>0</v>
      </c>
      <c r="B11802" t="s">
        <v>394</v>
      </c>
      <c r="C11802" t="s">
        <v>14816</v>
      </c>
      <c r="D11802" t="s">
        <v>17170</v>
      </c>
      <c r="E11802" t="s">
        <v>27283</v>
      </c>
      <c r="F11802" t="s">
        <v>29372</v>
      </c>
      <c r="G11802" t="s">
        <v>29380</v>
      </c>
      <c r="H11802" t="s">
        <v>11048</v>
      </c>
      <c r="I11802" t="s">
        <v>29425</v>
      </c>
      <c r="J11802" t="s">
        <v>36970</v>
      </c>
      <c r="K11802" t="s">
        <v>38495</v>
      </c>
      <c r="M11802" t="s">
        <v>39650</v>
      </c>
      <c r="N11802" t="s">
        <v>42669</v>
      </c>
      <c r="O11802" t="s">
        <v>42670</v>
      </c>
      <c r="P11802">
        <v>0</v>
      </c>
      <c r="Q11802">
        <v>5</v>
      </c>
      <c r="R11802" t="s">
        <v>42688</v>
      </c>
      <c r="S11802" t="s">
        <v>43441</v>
      </c>
      <c r="T11802" t="s">
        <v>44366</v>
      </c>
      <c r="U11802" t="s">
        <v>54013</v>
      </c>
      <c r="W11802" t="s">
        <v>39650</v>
      </c>
      <c r="X11802" t="s">
        <v>42689</v>
      </c>
    </row>
    <row r="11803" spans="1:24">
      <c r="A11803">
        <f>HYPERLINK("https://www.philgeps.gov.ph/GEPSNONPILOT/Tender/SplashBidNoticeAbstractUI.aspx?menuIndex=3&amp;refID=7163755&amp;Result=3","7163755")</f>
        <v>0</v>
      </c>
      <c r="B11803" t="s">
        <v>3255</v>
      </c>
      <c r="C11803" t="s">
        <v>14817</v>
      </c>
      <c r="D11803" t="s">
        <v>17151</v>
      </c>
      <c r="E11803" t="s">
        <v>27284</v>
      </c>
      <c r="F11803" t="s">
        <v>29372</v>
      </c>
      <c r="G11803" t="s">
        <v>29383</v>
      </c>
      <c r="H11803" t="s">
        <v>11048</v>
      </c>
      <c r="I11803" t="s">
        <v>29395</v>
      </c>
      <c r="J11803" t="s">
        <v>36971</v>
      </c>
      <c r="K11803" t="s">
        <v>38485</v>
      </c>
      <c r="M11803" t="s">
        <v>42324</v>
      </c>
      <c r="N11803" t="s">
        <v>42669</v>
      </c>
      <c r="O11803" t="s">
        <v>42670</v>
      </c>
      <c r="Q11803">
        <v>6</v>
      </c>
      <c r="R11803" t="s">
        <v>42688</v>
      </c>
      <c r="S11803" t="s">
        <v>42793</v>
      </c>
      <c r="T11803" t="s">
        <v>44470</v>
      </c>
      <c r="U11803" t="s">
        <v>54467</v>
      </c>
      <c r="V11803" t="s">
        <v>57690</v>
      </c>
      <c r="W11803" t="s">
        <v>42324</v>
      </c>
      <c r="X11803" t="s">
        <v>42689</v>
      </c>
    </row>
    <row r="11804" spans="1:24">
      <c r="A11804">
        <f>HYPERLINK("https://www.philgeps.gov.ph/GEPSNONPILOT/Tender/SplashBidNoticeAbstractUI.aspx?menuIndex=3&amp;refID=7163591&amp;Result=3","7163591")</f>
        <v>0</v>
      </c>
      <c r="B11804" t="s">
        <v>394</v>
      </c>
      <c r="C11804" t="s">
        <v>14818</v>
      </c>
      <c r="D11804" t="s">
        <v>17170</v>
      </c>
      <c r="E11804" t="s">
        <v>27285</v>
      </c>
      <c r="F11804" t="s">
        <v>29372</v>
      </c>
      <c r="G11804" t="s">
        <v>29380</v>
      </c>
      <c r="H11804" t="s">
        <v>11048</v>
      </c>
      <c r="I11804" t="s">
        <v>29425</v>
      </c>
      <c r="J11804" t="s">
        <v>36972</v>
      </c>
      <c r="K11804" t="s">
        <v>38495</v>
      </c>
      <c r="M11804" t="s">
        <v>39650</v>
      </c>
      <c r="N11804" t="s">
        <v>42669</v>
      </c>
      <c r="O11804" t="s">
        <v>42670</v>
      </c>
      <c r="P11804">
        <v>0</v>
      </c>
      <c r="Q11804">
        <v>5</v>
      </c>
      <c r="R11804" t="s">
        <v>42688</v>
      </c>
      <c r="S11804" t="s">
        <v>43441</v>
      </c>
      <c r="T11804" t="s">
        <v>44366</v>
      </c>
      <c r="U11804" t="s">
        <v>54013</v>
      </c>
      <c r="W11804" t="s">
        <v>39650</v>
      </c>
      <c r="X11804" t="s">
        <v>42689</v>
      </c>
    </row>
    <row r="11805" spans="1:24">
      <c r="A11805">
        <f>HYPERLINK("https://www.philgeps.gov.ph/GEPSNONPILOT/Tender/SplashBidNoticeAbstractUI.aspx?menuIndex=3&amp;refID=7163742&amp;Result=3","7163742")</f>
        <v>0</v>
      </c>
      <c r="B11805" t="s">
        <v>781</v>
      </c>
      <c r="C11805" t="s">
        <v>14819</v>
      </c>
      <c r="D11805" t="s">
        <v>17163</v>
      </c>
      <c r="E11805" t="s">
        <v>27286</v>
      </c>
      <c r="F11805" t="s">
        <v>29372</v>
      </c>
      <c r="G11805" t="s">
        <v>29380</v>
      </c>
      <c r="H11805" t="s">
        <v>11048</v>
      </c>
      <c r="I11805" t="s">
        <v>3597</v>
      </c>
      <c r="J11805" t="s">
        <v>36973</v>
      </c>
      <c r="K11805" t="s">
        <v>38485</v>
      </c>
      <c r="M11805" t="s">
        <v>41736</v>
      </c>
      <c r="N11805" t="s">
        <v>42669</v>
      </c>
      <c r="O11805" t="s">
        <v>42670</v>
      </c>
      <c r="P11805">
        <v>0</v>
      </c>
      <c r="Q11805">
        <v>12</v>
      </c>
      <c r="R11805" t="s">
        <v>42688</v>
      </c>
      <c r="S11805" t="s">
        <v>43441</v>
      </c>
      <c r="T11805" t="s">
        <v>44373</v>
      </c>
      <c r="U11805" t="s">
        <v>46453</v>
      </c>
      <c r="V11805" t="s">
        <v>57370</v>
      </c>
      <c r="W11805" t="s">
        <v>58096</v>
      </c>
      <c r="X11805" t="s">
        <v>42689</v>
      </c>
    </row>
    <row r="11806" spans="1:24">
      <c r="A11806">
        <f>HYPERLINK("https://www.philgeps.gov.ph/GEPSNONPILOT/Tender/SplashBidNoticeAbstractUI.aspx?menuIndex=3&amp;refID=7164051&amp;Result=3","7164051")</f>
        <v>0</v>
      </c>
      <c r="B11806" t="s">
        <v>3083</v>
      </c>
      <c r="C11806" t="s">
        <v>14820</v>
      </c>
      <c r="D11806" t="s">
        <v>17142</v>
      </c>
      <c r="E11806" t="s">
        <v>27287</v>
      </c>
      <c r="F11806" t="s">
        <v>29372</v>
      </c>
      <c r="G11806" t="s">
        <v>29380</v>
      </c>
      <c r="H11806" t="s">
        <v>29389</v>
      </c>
      <c r="I11806" t="s">
        <v>10408</v>
      </c>
      <c r="J11806" t="s">
        <v>36974</v>
      </c>
      <c r="K11806" t="s">
        <v>38736</v>
      </c>
      <c r="M11806" t="s">
        <v>42331</v>
      </c>
      <c r="N11806" t="s">
        <v>42669</v>
      </c>
      <c r="O11806" t="s">
        <v>42670</v>
      </c>
      <c r="P11806">
        <v>0</v>
      </c>
      <c r="Q11806">
        <v>20</v>
      </c>
      <c r="R11806" t="s">
        <v>42688</v>
      </c>
      <c r="S11806" t="s">
        <v>43441</v>
      </c>
      <c r="T11806" t="s">
        <v>44470</v>
      </c>
      <c r="U11806" t="s">
        <v>54468</v>
      </c>
      <c r="V11806" t="s">
        <v>57145</v>
      </c>
      <c r="W11806" t="s">
        <v>42331</v>
      </c>
      <c r="X11806" t="s">
        <v>42689</v>
      </c>
    </row>
    <row r="11807" spans="1:24">
      <c r="A11807">
        <f>HYPERLINK("https://www.philgeps.gov.ph/GEPSNONPILOT/Tender/SplashBidNoticeAbstractUI.aspx?menuIndex=3&amp;refID=7163788&amp;Result=3","7163788")</f>
        <v>0</v>
      </c>
      <c r="B11807" t="s">
        <v>2113</v>
      </c>
      <c r="C11807" t="s">
        <v>14821</v>
      </c>
      <c r="D11807" t="s">
        <v>17161</v>
      </c>
      <c r="E11807" t="s">
        <v>27288</v>
      </c>
      <c r="F11807" t="s">
        <v>29372</v>
      </c>
      <c r="G11807" t="s">
        <v>29380</v>
      </c>
      <c r="H11807" t="s">
        <v>29389</v>
      </c>
      <c r="I11807" t="s">
        <v>10408</v>
      </c>
      <c r="J11807" t="s">
        <v>36975</v>
      </c>
      <c r="K11807" t="s">
        <v>38548</v>
      </c>
      <c r="M11807" t="s">
        <v>41016</v>
      </c>
      <c r="N11807" t="s">
        <v>42669</v>
      </c>
      <c r="O11807" t="s">
        <v>42670</v>
      </c>
      <c r="P11807">
        <v>0</v>
      </c>
      <c r="Q11807">
        <v>0</v>
      </c>
      <c r="R11807" t="s">
        <v>42688</v>
      </c>
      <c r="S11807" t="s">
        <v>43441</v>
      </c>
      <c r="T11807" t="s">
        <v>44651</v>
      </c>
      <c r="U11807" t="s">
        <v>54469</v>
      </c>
      <c r="W11807" t="s">
        <v>41016</v>
      </c>
      <c r="X11807" t="s">
        <v>42689</v>
      </c>
    </row>
    <row r="11808" spans="1:24">
      <c r="A11808">
        <f>HYPERLINK("https://www.philgeps.gov.ph/GEPSNONPILOT/Tender/SplashBidNoticeAbstractUI.aspx?menuIndex=3&amp;refID=7164049&amp;Result=3","7164049")</f>
        <v>0</v>
      </c>
      <c r="B11808" t="s">
        <v>3261</v>
      </c>
      <c r="C11808" t="s">
        <v>14822</v>
      </c>
      <c r="D11808" t="s">
        <v>17170</v>
      </c>
      <c r="E11808" t="s">
        <v>27289</v>
      </c>
      <c r="F11808" t="s">
        <v>29372</v>
      </c>
      <c r="G11808" t="s">
        <v>29380</v>
      </c>
      <c r="H11808" t="s">
        <v>29389</v>
      </c>
      <c r="I11808" t="s">
        <v>10408</v>
      </c>
      <c r="J11808" t="s">
        <v>36976</v>
      </c>
      <c r="K11808" t="s">
        <v>38670</v>
      </c>
      <c r="M11808" t="s">
        <v>42332</v>
      </c>
      <c r="N11808" t="s">
        <v>42669</v>
      </c>
      <c r="O11808" t="s">
        <v>42670</v>
      </c>
      <c r="P11808">
        <v>0</v>
      </c>
      <c r="Q11808">
        <v>4</v>
      </c>
      <c r="R11808" t="s">
        <v>42688</v>
      </c>
      <c r="S11808" t="s">
        <v>43441</v>
      </c>
      <c r="T11808" t="s">
        <v>44417</v>
      </c>
      <c r="U11808" t="s">
        <v>54470</v>
      </c>
      <c r="W11808" t="s">
        <v>42332</v>
      </c>
      <c r="X11808" t="s">
        <v>42689</v>
      </c>
    </row>
    <row r="11809" spans="1:24">
      <c r="A11809">
        <f>HYPERLINK("https://www.philgeps.gov.ph/GEPSNONPILOT/Tender/SplashBidNoticeAbstractUI.aspx?menuIndex=3&amp;refID=7164048&amp;Result=3","7164048")</f>
        <v>0</v>
      </c>
      <c r="B11809" t="s">
        <v>3255</v>
      </c>
      <c r="C11809" t="s">
        <v>14823</v>
      </c>
      <c r="D11809" t="s">
        <v>17151</v>
      </c>
      <c r="E11809" t="s">
        <v>27290</v>
      </c>
      <c r="F11809" t="s">
        <v>29372</v>
      </c>
      <c r="G11809" t="s">
        <v>29383</v>
      </c>
      <c r="H11809" t="s">
        <v>11048</v>
      </c>
      <c r="I11809" t="s">
        <v>3670</v>
      </c>
      <c r="J11809" t="s">
        <v>36977</v>
      </c>
      <c r="K11809" t="s">
        <v>38485</v>
      </c>
      <c r="M11809" t="s">
        <v>42324</v>
      </c>
      <c r="N11809" t="s">
        <v>42669</v>
      </c>
      <c r="O11809" t="s">
        <v>42670</v>
      </c>
      <c r="Q11809">
        <v>8</v>
      </c>
      <c r="R11809" t="s">
        <v>42688</v>
      </c>
      <c r="S11809" t="s">
        <v>43383</v>
      </c>
      <c r="T11809" t="s">
        <v>44470</v>
      </c>
      <c r="U11809" t="s">
        <v>54471</v>
      </c>
      <c r="V11809" t="s">
        <v>57690</v>
      </c>
      <c r="W11809" t="s">
        <v>42324</v>
      </c>
      <c r="X11809" t="s">
        <v>42689</v>
      </c>
    </row>
    <row r="11810" spans="1:24">
      <c r="A11810">
        <f>HYPERLINK("https://www.philgeps.gov.ph/GEPSNONPILOT/Tender/SplashBidNoticeAbstractUI.aspx?menuIndex=3&amp;refID=7164038&amp;Result=3","7164038")</f>
        <v>0</v>
      </c>
      <c r="B11810" t="s">
        <v>3255</v>
      </c>
      <c r="C11810" t="s">
        <v>14824</v>
      </c>
      <c r="D11810" t="s">
        <v>17151</v>
      </c>
      <c r="E11810" t="s">
        <v>27291</v>
      </c>
      <c r="F11810" t="s">
        <v>29372</v>
      </c>
      <c r="G11810" t="s">
        <v>29383</v>
      </c>
      <c r="H11810" t="s">
        <v>11048</v>
      </c>
      <c r="I11810" t="s">
        <v>3670</v>
      </c>
      <c r="J11810" t="s">
        <v>36978</v>
      </c>
      <c r="K11810" t="s">
        <v>38485</v>
      </c>
      <c r="M11810" t="s">
        <v>42324</v>
      </c>
      <c r="N11810" t="s">
        <v>42669</v>
      </c>
      <c r="O11810" t="s">
        <v>42670</v>
      </c>
      <c r="Q11810">
        <v>7</v>
      </c>
      <c r="R11810" t="s">
        <v>42688</v>
      </c>
      <c r="S11810" t="s">
        <v>43456</v>
      </c>
      <c r="T11810" t="s">
        <v>44470</v>
      </c>
      <c r="U11810" t="s">
        <v>54472</v>
      </c>
      <c r="V11810" t="s">
        <v>57690</v>
      </c>
      <c r="W11810" t="s">
        <v>42324</v>
      </c>
      <c r="X11810" t="s">
        <v>42689</v>
      </c>
    </row>
    <row r="11811" spans="1:24">
      <c r="A11811">
        <f>HYPERLINK("https://www.philgeps.gov.ph/GEPSNONPILOT/Tender/SplashBidNoticeAbstractUI.aspx?menuIndex=3&amp;refID=7163740&amp;Result=3","7163740")</f>
        <v>0</v>
      </c>
      <c r="B11811" t="s">
        <v>3254</v>
      </c>
      <c r="C11811" t="s">
        <v>14825</v>
      </c>
      <c r="D11811" t="s">
        <v>17206</v>
      </c>
      <c r="E11811" t="s">
        <v>27292</v>
      </c>
      <c r="F11811" t="s">
        <v>29372</v>
      </c>
      <c r="G11811" t="s">
        <v>29380</v>
      </c>
      <c r="H11811" t="s">
        <v>11048</v>
      </c>
      <c r="I11811" t="s">
        <v>9469</v>
      </c>
      <c r="J11811" t="s">
        <v>29724</v>
      </c>
      <c r="K11811" t="s">
        <v>38485</v>
      </c>
      <c r="M11811" t="s">
        <v>42323</v>
      </c>
      <c r="N11811" t="s">
        <v>42669</v>
      </c>
      <c r="O11811" t="s">
        <v>42670</v>
      </c>
      <c r="P11811">
        <v>0</v>
      </c>
      <c r="Q11811">
        <v>6</v>
      </c>
      <c r="R11811" t="s">
        <v>42688</v>
      </c>
      <c r="S11811" t="s">
        <v>43441</v>
      </c>
      <c r="T11811" t="s">
        <v>44419</v>
      </c>
      <c r="U11811" t="s">
        <v>54445</v>
      </c>
      <c r="W11811" t="s">
        <v>42323</v>
      </c>
      <c r="X11811" t="s">
        <v>42689</v>
      </c>
    </row>
    <row r="11812" spans="1:24">
      <c r="A11812">
        <f>HYPERLINK("https://www.philgeps.gov.ph/GEPSNONPILOT/Tender/SplashBidNoticeAbstractUI.aspx?menuIndex=3&amp;refID=7163726&amp;Result=3","7163726")</f>
        <v>0</v>
      </c>
      <c r="B11812" t="s">
        <v>3260</v>
      </c>
      <c r="C11812" t="s">
        <v>14826</v>
      </c>
      <c r="D11812" t="s">
        <v>17161</v>
      </c>
      <c r="E11812" t="s">
        <v>27293</v>
      </c>
      <c r="F11812" t="s">
        <v>29372</v>
      </c>
      <c r="G11812" t="s">
        <v>29380</v>
      </c>
      <c r="H11812" t="s">
        <v>29389</v>
      </c>
      <c r="I11812" t="s">
        <v>10408</v>
      </c>
      <c r="J11812" t="s">
        <v>36979</v>
      </c>
      <c r="K11812" t="s">
        <v>38564</v>
      </c>
      <c r="M11812" t="s">
        <v>42329</v>
      </c>
      <c r="N11812" t="s">
        <v>42669</v>
      </c>
      <c r="O11812" t="s">
        <v>42670</v>
      </c>
      <c r="P11812">
        <v>0</v>
      </c>
      <c r="Q11812">
        <v>1</v>
      </c>
      <c r="R11812" t="s">
        <v>42688</v>
      </c>
      <c r="S11812" t="s">
        <v>43441</v>
      </c>
      <c r="T11812" t="s">
        <v>44418</v>
      </c>
      <c r="U11812" t="s">
        <v>54473</v>
      </c>
      <c r="V11812" t="s">
        <v>57695</v>
      </c>
      <c r="W11812" t="s">
        <v>42329</v>
      </c>
      <c r="X11812" t="s">
        <v>42689</v>
      </c>
    </row>
    <row r="11813" spans="1:24">
      <c r="A11813">
        <f>HYPERLINK("https://www.philgeps.gov.ph/GEPSNONPILOT/Tender/SplashBidNoticeAbstractUI.aspx?menuIndex=3&amp;refID=7164018&amp;Result=3","7164018")</f>
        <v>0</v>
      </c>
      <c r="B11813" t="s">
        <v>3262</v>
      </c>
      <c r="C11813" t="s">
        <v>4919</v>
      </c>
      <c r="D11813" t="s">
        <v>17172</v>
      </c>
      <c r="E11813" t="s">
        <v>23843</v>
      </c>
      <c r="F11813" t="s">
        <v>29372</v>
      </c>
      <c r="G11813" t="s">
        <v>29380</v>
      </c>
      <c r="H11813" t="s">
        <v>11048</v>
      </c>
      <c r="I11813" t="s">
        <v>4709</v>
      </c>
      <c r="J11813" t="s">
        <v>36980</v>
      </c>
      <c r="K11813" t="s">
        <v>38510</v>
      </c>
      <c r="M11813" t="s">
        <v>42333</v>
      </c>
      <c r="N11813" t="s">
        <v>42669</v>
      </c>
      <c r="O11813" t="s">
        <v>42670</v>
      </c>
      <c r="P11813">
        <v>0</v>
      </c>
      <c r="Q11813">
        <v>0</v>
      </c>
      <c r="R11813" t="s">
        <v>42688</v>
      </c>
      <c r="S11813" t="s">
        <v>43441</v>
      </c>
      <c r="T11813" t="s">
        <v>44371</v>
      </c>
      <c r="U11813" t="s">
        <v>54474</v>
      </c>
      <c r="W11813" t="s">
        <v>42333</v>
      </c>
      <c r="X11813" t="s">
        <v>42689</v>
      </c>
    </row>
    <row r="11814" spans="1:24">
      <c r="A11814">
        <f>HYPERLINK("https://www.philgeps.gov.ph/GEPSNONPILOT/Tender/SplashBidNoticeAbstractUI.aspx?menuIndex=3&amp;refID=7164076&amp;Result=3","7164076")</f>
        <v>0</v>
      </c>
      <c r="B11814" t="s">
        <v>2113</v>
      </c>
      <c r="C11814" t="s">
        <v>14827</v>
      </c>
      <c r="D11814" t="s">
        <v>17161</v>
      </c>
      <c r="E11814" t="s">
        <v>17951</v>
      </c>
      <c r="F11814" t="s">
        <v>29372</v>
      </c>
      <c r="G11814" t="s">
        <v>29380</v>
      </c>
      <c r="H11814" t="s">
        <v>11048</v>
      </c>
      <c r="I11814" t="s">
        <v>29393</v>
      </c>
      <c r="J11814" t="s">
        <v>36981</v>
      </c>
      <c r="K11814" t="s">
        <v>38490</v>
      </c>
      <c r="M11814" t="s">
        <v>41016</v>
      </c>
      <c r="N11814" t="s">
        <v>42669</v>
      </c>
      <c r="O11814" t="s">
        <v>42670</v>
      </c>
      <c r="P11814">
        <v>0</v>
      </c>
      <c r="Q11814">
        <v>1</v>
      </c>
      <c r="R11814" t="s">
        <v>42688</v>
      </c>
      <c r="S11814" t="s">
        <v>43441</v>
      </c>
      <c r="T11814" t="s">
        <v>44401</v>
      </c>
      <c r="U11814" t="s">
        <v>54475</v>
      </c>
      <c r="W11814" t="s">
        <v>41016</v>
      </c>
      <c r="X11814" t="s">
        <v>42689</v>
      </c>
    </row>
    <row r="11815" spans="1:24">
      <c r="A11815">
        <f>HYPERLINK("https://www.philgeps.gov.ph/GEPSNONPILOT/Tender/SplashBidNoticeAbstractUI.aspx?menuIndex=3&amp;refID=7164015&amp;Result=3","7164015")</f>
        <v>0</v>
      </c>
      <c r="B11815" t="s">
        <v>3083</v>
      </c>
      <c r="C11815" t="s">
        <v>14828</v>
      </c>
      <c r="D11815" t="s">
        <v>17142</v>
      </c>
      <c r="E11815" t="s">
        <v>27294</v>
      </c>
      <c r="F11815" t="s">
        <v>29372</v>
      </c>
      <c r="G11815" t="s">
        <v>29380</v>
      </c>
      <c r="H11815" t="s">
        <v>29389</v>
      </c>
      <c r="I11815" t="s">
        <v>10408</v>
      </c>
      <c r="J11815" t="s">
        <v>36982</v>
      </c>
      <c r="K11815" t="s">
        <v>38522</v>
      </c>
      <c r="M11815" t="s">
        <v>42331</v>
      </c>
      <c r="N11815" t="s">
        <v>42669</v>
      </c>
      <c r="O11815" t="s">
        <v>42670</v>
      </c>
      <c r="P11815">
        <v>0</v>
      </c>
      <c r="Q11815">
        <v>30</v>
      </c>
      <c r="R11815" t="s">
        <v>42688</v>
      </c>
      <c r="S11815" t="s">
        <v>43441</v>
      </c>
      <c r="T11815" t="s">
        <v>44470</v>
      </c>
      <c r="U11815" t="s">
        <v>54476</v>
      </c>
      <c r="V11815" t="s">
        <v>57696</v>
      </c>
      <c r="W11815" t="s">
        <v>42331</v>
      </c>
      <c r="X11815" t="s">
        <v>42689</v>
      </c>
    </row>
    <row r="11816" spans="1:24">
      <c r="A11816">
        <f>HYPERLINK("https://www.philgeps.gov.ph/GEPSNONPILOT/Tender/SplashBidNoticeAbstractUI.aspx?menuIndex=3&amp;refID=7163977&amp;Result=3","7163977")</f>
        <v>0</v>
      </c>
      <c r="B11816" t="s">
        <v>3263</v>
      </c>
      <c r="C11816" t="s">
        <v>14829</v>
      </c>
      <c r="D11816" t="s">
        <v>17145</v>
      </c>
      <c r="E11816" t="s">
        <v>19315</v>
      </c>
      <c r="F11816" t="s">
        <v>29372</v>
      </c>
      <c r="G11816" t="s">
        <v>29380</v>
      </c>
      <c r="H11816" t="s">
        <v>11048</v>
      </c>
      <c r="I11816" t="s">
        <v>4487</v>
      </c>
      <c r="J11816" t="s">
        <v>36983</v>
      </c>
      <c r="K11816" t="s">
        <v>38488</v>
      </c>
      <c r="M11816" t="s">
        <v>42334</v>
      </c>
      <c r="N11816" t="s">
        <v>42669</v>
      </c>
      <c r="O11816" t="s">
        <v>42670</v>
      </c>
      <c r="P11816">
        <v>0</v>
      </c>
      <c r="Q11816">
        <v>11</v>
      </c>
      <c r="R11816" t="s">
        <v>42688</v>
      </c>
      <c r="S11816" t="s">
        <v>43441</v>
      </c>
      <c r="T11816" t="s">
        <v>44457</v>
      </c>
      <c r="U11816" t="s">
        <v>54477</v>
      </c>
      <c r="V11816" t="s">
        <v>56571</v>
      </c>
      <c r="W11816" t="s">
        <v>42334</v>
      </c>
      <c r="X11816" t="s">
        <v>42689</v>
      </c>
    </row>
    <row r="11817" spans="1:24">
      <c r="A11817">
        <f>HYPERLINK("https://www.philgeps.gov.ph/GEPSNONPILOT/Tender/SplashBidNoticeAbstractUI.aspx?menuIndex=3&amp;refID=7164033&amp;Result=3","7164033")</f>
        <v>0</v>
      </c>
      <c r="B11817" t="s">
        <v>3083</v>
      </c>
      <c r="C11817" t="s">
        <v>14830</v>
      </c>
      <c r="D11817" t="s">
        <v>17142</v>
      </c>
      <c r="E11817" t="s">
        <v>27295</v>
      </c>
      <c r="F11817" t="s">
        <v>29372</v>
      </c>
      <c r="G11817" t="s">
        <v>29380</v>
      </c>
      <c r="H11817" t="s">
        <v>29389</v>
      </c>
      <c r="I11817" t="s">
        <v>10408</v>
      </c>
      <c r="J11817" t="s">
        <v>36984</v>
      </c>
      <c r="K11817" t="s">
        <v>38522</v>
      </c>
      <c r="M11817" t="s">
        <v>42331</v>
      </c>
      <c r="N11817" t="s">
        <v>42669</v>
      </c>
      <c r="O11817" t="s">
        <v>42670</v>
      </c>
      <c r="P11817">
        <v>0</v>
      </c>
      <c r="Q11817">
        <v>22</v>
      </c>
      <c r="R11817" t="s">
        <v>42688</v>
      </c>
      <c r="S11817" t="s">
        <v>43441</v>
      </c>
      <c r="T11817" t="s">
        <v>44470</v>
      </c>
      <c r="U11817" t="s">
        <v>54478</v>
      </c>
      <c r="V11817" t="s">
        <v>57145</v>
      </c>
      <c r="W11817" t="s">
        <v>42331</v>
      </c>
      <c r="X11817" t="s">
        <v>42689</v>
      </c>
    </row>
    <row r="11818" spans="1:24">
      <c r="A11818">
        <f>HYPERLINK("https://www.philgeps.gov.ph/GEPSNONPILOT/Tender/SplashBidNoticeAbstractUI.aspx?menuIndex=3&amp;refID=7164063&amp;Result=3","7164063")</f>
        <v>0</v>
      </c>
      <c r="B11818" t="s">
        <v>3264</v>
      </c>
      <c r="C11818" t="s">
        <v>14831</v>
      </c>
      <c r="D11818" t="s">
        <v>17172</v>
      </c>
      <c r="E11818" t="s">
        <v>17533</v>
      </c>
      <c r="F11818" t="s">
        <v>29372</v>
      </c>
      <c r="G11818" t="s">
        <v>29380</v>
      </c>
      <c r="H11818" t="s">
        <v>11048</v>
      </c>
      <c r="I11818" t="s">
        <v>29409</v>
      </c>
      <c r="J11818" t="s">
        <v>36985</v>
      </c>
      <c r="K11818" t="s">
        <v>38510</v>
      </c>
      <c r="M11818" t="s">
        <v>42335</v>
      </c>
      <c r="N11818" t="s">
        <v>42669</v>
      </c>
      <c r="O11818" t="s">
        <v>42670</v>
      </c>
      <c r="P11818">
        <v>0</v>
      </c>
      <c r="Q11818">
        <v>2</v>
      </c>
      <c r="R11818" t="s">
        <v>42688</v>
      </c>
      <c r="S11818" t="s">
        <v>43441</v>
      </c>
      <c r="T11818" t="s">
        <v>44389</v>
      </c>
      <c r="U11818" t="s">
        <v>54479</v>
      </c>
      <c r="W11818" t="s">
        <v>42335</v>
      </c>
      <c r="X11818" t="s">
        <v>42689</v>
      </c>
    </row>
    <row r="11819" spans="1:24">
      <c r="A11819">
        <f>HYPERLINK("https://www.philgeps.gov.ph/GEPSNONPILOT/Tender/SplashBidNoticeAbstractUI.aspx?menuIndex=3&amp;refID=7163934&amp;Result=3","7163934")</f>
        <v>0</v>
      </c>
      <c r="B11819" t="s">
        <v>3258</v>
      </c>
      <c r="C11819" t="s">
        <v>14832</v>
      </c>
      <c r="D11819" t="s">
        <v>17152</v>
      </c>
      <c r="E11819" t="s">
        <v>27296</v>
      </c>
      <c r="F11819" t="s">
        <v>29372</v>
      </c>
      <c r="G11819" t="s">
        <v>29380</v>
      </c>
      <c r="H11819" t="s">
        <v>11048</v>
      </c>
      <c r="I11819" t="s">
        <v>3839</v>
      </c>
      <c r="J11819" t="s">
        <v>29811</v>
      </c>
      <c r="K11819" t="s">
        <v>38490</v>
      </c>
      <c r="M11819" t="s">
        <v>42327</v>
      </c>
      <c r="N11819" t="s">
        <v>42669</v>
      </c>
      <c r="O11819" t="s">
        <v>42670</v>
      </c>
      <c r="P11819">
        <v>0</v>
      </c>
      <c r="Q11819">
        <v>6</v>
      </c>
      <c r="R11819" t="s">
        <v>42688</v>
      </c>
      <c r="S11819" t="s">
        <v>43441</v>
      </c>
      <c r="T11819" t="s">
        <v>44398</v>
      </c>
      <c r="U11819" t="s">
        <v>54480</v>
      </c>
      <c r="W11819" t="s">
        <v>42327</v>
      </c>
      <c r="X11819" t="s">
        <v>42689</v>
      </c>
    </row>
    <row r="11820" spans="1:24">
      <c r="A11820">
        <f>HYPERLINK("https://www.philgeps.gov.ph/GEPSNONPILOT/Tender/SplashBidNoticeAbstractUI.aspx?menuIndex=3&amp;refID=7163914&amp;Result=3","7163914")</f>
        <v>0</v>
      </c>
      <c r="B11820" t="s">
        <v>633</v>
      </c>
      <c r="C11820" t="s">
        <v>14833</v>
      </c>
      <c r="D11820" t="s">
        <v>17189</v>
      </c>
      <c r="E11820" t="s">
        <v>27297</v>
      </c>
      <c r="F11820" t="s">
        <v>29372</v>
      </c>
      <c r="G11820" t="s">
        <v>29380</v>
      </c>
      <c r="H11820" t="s">
        <v>11048</v>
      </c>
      <c r="I11820" t="s">
        <v>29440</v>
      </c>
      <c r="J11820" t="s">
        <v>36986</v>
      </c>
      <c r="K11820" t="s">
        <v>38487</v>
      </c>
      <c r="M11820" t="s">
        <v>42230</v>
      </c>
      <c r="N11820" t="s">
        <v>42669</v>
      </c>
      <c r="O11820" t="s">
        <v>42670</v>
      </c>
      <c r="Q11820">
        <v>4</v>
      </c>
      <c r="R11820" t="s">
        <v>42688</v>
      </c>
      <c r="S11820" t="s">
        <v>43457</v>
      </c>
      <c r="T11820" t="s">
        <v>44391</v>
      </c>
      <c r="U11820" t="s">
        <v>54481</v>
      </c>
      <c r="V11820" t="s">
        <v>57697</v>
      </c>
      <c r="W11820" t="s">
        <v>42230</v>
      </c>
      <c r="X11820" t="s">
        <v>42689</v>
      </c>
    </row>
    <row r="11821" spans="1:24">
      <c r="A11821">
        <f>HYPERLINK("https://www.philgeps.gov.ph/GEPSNONPILOT/Tender/SplashBidNoticeAbstractUI.aspx?menuIndex=3&amp;refID=7164041&amp;Result=3","7164041")</f>
        <v>0</v>
      </c>
      <c r="B11821" t="s">
        <v>3082</v>
      </c>
      <c r="C11821" t="s">
        <v>14834</v>
      </c>
      <c r="D11821" t="s">
        <v>17187</v>
      </c>
      <c r="E11821" t="s">
        <v>27298</v>
      </c>
      <c r="F11821" t="s">
        <v>29372</v>
      </c>
      <c r="G11821" t="s">
        <v>29380</v>
      </c>
      <c r="H11821" t="s">
        <v>11048</v>
      </c>
      <c r="I11821" t="s">
        <v>29459</v>
      </c>
      <c r="J11821" t="s">
        <v>36987</v>
      </c>
      <c r="K11821" t="s">
        <v>38490</v>
      </c>
      <c r="M11821" t="s">
        <v>42111</v>
      </c>
      <c r="N11821" t="s">
        <v>42669</v>
      </c>
      <c r="O11821" t="s">
        <v>42670</v>
      </c>
      <c r="Q11821">
        <v>11</v>
      </c>
      <c r="R11821" t="s">
        <v>42688</v>
      </c>
      <c r="S11821" t="s">
        <v>43458</v>
      </c>
      <c r="T11821" t="s">
        <v>44397</v>
      </c>
      <c r="U11821" t="s">
        <v>54482</v>
      </c>
      <c r="W11821" t="s">
        <v>42111</v>
      </c>
      <c r="X11821" t="s">
        <v>42689</v>
      </c>
    </row>
    <row r="11822" spans="1:24">
      <c r="A11822">
        <f>HYPERLINK("https://www.philgeps.gov.ph/GEPSNONPILOT/Tender/SplashBidNoticeAbstractUI.aspx?menuIndex=3&amp;refID=7163896&amp;Result=3","7163896")</f>
        <v>0</v>
      </c>
      <c r="B11822" t="s">
        <v>2113</v>
      </c>
      <c r="C11822" t="s">
        <v>14835</v>
      </c>
      <c r="D11822" t="s">
        <v>17161</v>
      </c>
      <c r="E11822" t="s">
        <v>27299</v>
      </c>
      <c r="F11822" t="s">
        <v>29372</v>
      </c>
      <c r="G11822" t="s">
        <v>29380</v>
      </c>
      <c r="H11822" t="s">
        <v>29389</v>
      </c>
      <c r="I11822" t="s">
        <v>10408</v>
      </c>
      <c r="J11822" t="s">
        <v>36988</v>
      </c>
      <c r="K11822" t="s">
        <v>38546</v>
      </c>
      <c r="M11822" t="s">
        <v>41016</v>
      </c>
      <c r="N11822" t="s">
        <v>42669</v>
      </c>
      <c r="O11822" t="s">
        <v>42670</v>
      </c>
      <c r="P11822">
        <v>0</v>
      </c>
      <c r="Q11822">
        <v>0</v>
      </c>
      <c r="R11822" t="s">
        <v>42688</v>
      </c>
      <c r="S11822" t="s">
        <v>43441</v>
      </c>
      <c r="T11822" t="s">
        <v>44651</v>
      </c>
      <c r="U11822" t="s">
        <v>54483</v>
      </c>
      <c r="W11822" t="s">
        <v>41016</v>
      </c>
      <c r="X11822" t="s">
        <v>42689</v>
      </c>
    </row>
    <row r="11823" spans="1:24">
      <c r="A11823">
        <f>HYPERLINK("https://www.philgeps.gov.ph/GEPSNONPILOT/Tender/SplashBidNoticeAbstractUI.aspx?menuIndex=3&amp;refID=7163929&amp;Result=3","7163929")</f>
        <v>0</v>
      </c>
      <c r="B11823" t="s">
        <v>2113</v>
      </c>
      <c r="C11823" t="s">
        <v>14836</v>
      </c>
      <c r="D11823" t="s">
        <v>17161</v>
      </c>
      <c r="E11823" t="s">
        <v>27300</v>
      </c>
      <c r="F11823" t="s">
        <v>29372</v>
      </c>
      <c r="G11823" t="s">
        <v>29380</v>
      </c>
      <c r="H11823" t="s">
        <v>29389</v>
      </c>
      <c r="I11823" t="s">
        <v>10408</v>
      </c>
      <c r="J11823" t="s">
        <v>36989</v>
      </c>
      <c r="K11823" t="s">
        <v>38668</v>
      </c>
      <c r="M11823" t="s">
        <v>41016</v>
      </c>
      <c r="N11823" t="s">
        <v>42669</v>
      </c>
      <c r="O11823" t="s">
        <v>42670</v>
      </c>
      <c r="P11823">
        <v>0</v>
      </c>
      <c r="Q11823">
        <v>2</v>
      </c>
      <c r="R11823" t="s">
        <v>42688</v>
      </c>
      <c r="S11823" t="s">
        <v>43441</v>
      </c>
      <c r="T11823" t="s">
        <v>44651</v>
      </c>
      <c r="U11823" t="s">
        <v>54484</v>
      </c>
      <c r="W11823" t="s">
        <v>41016</v>
      </c>
      <c r="X11823" t="s">
        <v>42689</v>
      </c>
    </row>
    <row r="11824" spans="1:24">
      <c r="A11824">
        <f>HYPERLINK("https://www.philgeps.gov.ph/GEPSNONPILOT/Tender/SplashBidNoticeAbstractUI.aspx?menuIndex=3&amp;refID=7163584&amp;Result=3","7163584")</f>
        <v>0</v>
      </c>
      <c r="B11824" t="s">
        <v>3257</v>
      </c>
      <c r="C11824" t="s">
        <v>14837</v>
      </c>
      <c r="D11824" t="s">
        <v>17192</v>
      </c>
      <c r="E11824" t="s">
        <v>27301</v>
      </c>
      <c r="F11824" t="s">
        <v>29372</v>
      </c>
      <c r="G11824" t="s">
        <v>29380</v>
      </c>
      <c r="H11824" t="s">
        <v>11048</v>
      </c>
      <c r="I11824" t="s">
        <v>7828</v>
      </c>
      <c r="J11824" t="s">
        <v>36990</v>
      </c>
      <c r="K11824" t="s">
        <v>38491</v>
      </c>
      <c r="M11824" t="s">
        <v>42326</v>
      </c>
      <c r="N11824" t="s">
        <v>42669</v>
      </c>
      <c r="O11824" t="s">
        <v>42670</v>
      </c>
      <c r="P11824">
        <v>0</v>
      </c>
      <c r="Q11824">
        <v>3</v>
      </c>
      <c r="R11824" t="s">
        <v>42688</v>
      </c>
      <c r="S11824" t="s">
        <v>43441</v>
      </c>
      <c r="T11824" t="s">
        <v>44480</v>
      </c>
      <c r="U11824" t="s">
        <v>54485</v>
      </c>
      <c r="W11824" t="s">
        <v>42326</v>
      </c>
      <c r="X11824" t="s">
        <v>42689</v>
      </c>
    </row>
    <row r="11825" spans="1:24">
      <c r="A11825">
        <f>HYPERLINK("https://www.philgeps.gov.ph/GEPSNONPILOT/Tender/SplashBidNoticeAbstractUI.aspx?menuIndex=3&amp;refID=7163570&amp;Result=3","7163570")</f>
        <v>0</v>
      </c>
      <c r="B11825" t="s">
        <v>3254</v>
      </c>
      <c r="C11825" t="s">
        <v>14838</v>
      </c>
      <c r="D11825" t="s">
        <v>17206</v>
      </c>
      <c r="E11825" t="s">
        <v>27302</v>
      </c>
      <c r="F11825" t="s">
        <v>29372</v>
      </c>
      <c r="G11825" t="s">
        <v>29380</v>
      </c>
      <c r="H11825" t="s">
        <v>11048</v>
      </c>
      <c r="I11825" t="s">
        <v>8208</v>
      </c>
      <c r="J11825" t="s">
        <v>29724</v>
      </c>
      <c r="K11825" t="s">
        <v>38559</v>
      </c>
      <c r="M11825" t="s">
        <v>42323</v>
      </c>
      <c r="N11825" t="s">
        <v>42669</v>
      </c>
      <c r="O11825" t="s">
        <v>42670</v>
      </c>
      <c r="P11825">
        <v>0</v>
      </c>
      <c r="Q11825">
        <v>0</v>
      </c>
      <c r="R11825" t="s">
        <v>42688</v>
      </c>
      <c r="S11825" t="s">
        <v>43441</v>
      </c>
      <c r="T11825" t="s">
        <v>44419</v>
      </c>
      <c r="U11825" t="s">
        <v>54445</v>
      </c>
      <c r="W11825" t="s">
        <v>42323</v>
      </c>
      <c r="X11825" t="s">
        <v>42689</v>
      </c>
    </row>
    <row r="11826" spans="1:24">
      <c r="A11826">
        <f>HYPERLINK("https://www.philgeps.gov.ph/GEPSNONPILOT/Tender/SplashBidNoticeAbstractUI.aspx?menuIndex=3&amp;refID=7163561&amp;Result=3","7163561")</f>
        <v>0</v>
      </c>
      <c r="B11826" t="s">
        <v>495</v>
      </c>
      <c r="C11826" t="s">
        <v>14839</v>
      </c>
      <c r="D11826" t="s">
        <v>17181</v>
      </c>
      <c r="E11826" t="s">
        <v>27303</v>
      </c>
      <c r="F11826" t="s">
        <v>29372</v>
      </c>
      <c r="G11826" t="s">
        <v>29380</v>
      </c>
      <c r="H11826" t="s">
        <v>29389</v>
      </c>
      <c r="I11826" t="s">
        <v>10408</v>
      </c>
      <c r="J11826" t="s">
        <v>36991</v>
      </c>
      <c r="K11826" t="s">
        <v>38711</v>
      </c>
      <c r="M11826" t="s">
        <v>39260</v>
      </c>
      <c r="N11826" t="s">
        <v>42669</v>
      </c>
      <c r="O11826" t="s">
        <v>42670</v>
      </c>
      <c r="P11826">
        <v>0</v>
      </c>
      <c r="Q11826">
        <v>0</v>
      </c>
      <c r="R11826" t="s">
        <v>42688</v>
      </c>
      <c r="S11826" t="s">
        <v>43441</v>
      </c>
      <c r="T11826" t="s">
        <v>44412</v>
      </c>
      <c r="U11826" t="s">
        <v>54486</v>
      </c>
      <c r="W11826" t="s">
        <v>39260</v>
      </c>
      <c r="X11826" t="s">
        <v>42689</v>
      </c>
    </row>
    <row r="11827" spans="1:24">
      <c r="A11827">
        <f>HYPERLINK("https://www.philgeps.gov.ph/GEPSNONPILOT/Tender/SplashBidNoticeAbstractUI.aspx?menuIndex=3&amp;refID=7163257&amp;Result=3","7163257")</f>
        <v>0</v>
      </c>
      <c r="B11827" t="s">
        <v>3265</v>
      </c>
      <c r="C11827" t="s">
        <v>14840</v>
      </c>
      <c r="D11827" t="s">
        <v>17151</v>
      </c>
      <c r="E11827" t="s">
        <v>27304</v>
      </c>
      <c r="F11827" t="s">
        <v>29372</v>
      </c>
      <c r="G11827" t="s">
        <v>29380</v>
      </c>
      <c r="H11827" t="s">
        <v>11048</v>
      </c>
      <c r="I11827" t="s">
        <v>29407</v>
      </c>
      <c r="J11827" t="s">
        <v>36992</v>
      </c>
      <c r="K11827" t="s">
        <v>38485</v>
      </c>
      <c r="M11827" t="s">
        <v>42336</v>
      </c>
      <c r="N11827" t="s">
        <v>42669</v>
      </c>
      <c r="O11827" t="s">
        <v>42670</v>
      </c>
      <c r="Q11827">
        <v>24</v>
      </c>
      <c r="R11827" t="s">
        <v>42688</v>
      </c>
      <c r="S11827" t="s">
        <v>43459</v>
      </c>
      <c r="T11827" t="s">
        <v>44357</v>
      </c>
      <c r="U11827" t="s">
        <v>54487</v>
      </c>
      <c r="V11827" t="s">
        <v>57698</v>
      </c>
      <c r="W11827" t="s">
        <v>42336</v>
      </c>
      <c r="X11827" t="s">
        <v>42689</v>
      </c>
    </row>
    <row r="11828" spans="1:24">
      <c r="A11828">
        <f>HYPERLINK("https://www.philgeps.gov.ph/GEPSNONPILOT/Tender/SplashBidNoticeAbstractUI.aspx?menuIndex=3&amp;refID=7163909&amp;Result=3","7163909")</f>
        <v>0</v>
      </c>
      <c r="B11828" t="s">
        <v>1088</v>
      </c>
      <c r="C11828" t="s">
        <v>14841</v>
      </c>
      <c r="D11828" t="s">
        <v>17141</v>
      </c>
      <c r="E11828" t="s">
        <v>27305</v>
      </c>
      <c r="F11828" t="s">
        <v>29372</v>
      </c>
      <c r="G11828" t="s">
        <v>29380</v>
      </c>
      <c r="H11828" t="s">
        <v>11048</v>
      </c>
      <c r="I11828" t="s">
        <v>29467</v>
      </c>
      <c r="J11828" t="s">
        <v>36993</v>
      </c>
      <c r="K11828" t="s">
        <v>38737</v>
      </c>
      <c r="M11828" t="s">
        <v>39895</v>
      </c>
      <c r="N11828" t="s">
        <v>42669</v>
      </c>
      <c r="O11828" t="s">
        <v>42670</v>
      </c>
      <c r="P11828">
        <v>0</v>
      </c>
      <c r="Q11828">
        <v>14</v>
      </c>
      <c r="R11828" t="s">
        <v>42688</v>
      </c>
      <c r="S11828" t="s">
        <v>43441</v>
      </c>
      <c r="T11828" t="s">
        <v>44368</v>
      </c>
      <c r="U11828" t="s">
        <v>54488</v>
      </c>
      <c r="W11828" t="s">
        <v>39895</v>
      </c>
      <c r="X11828" t="s">
        <v>42689</v>
      </c>
    </row>
    <row r="11829" spans="1:24">
      <c r="A11829">
        <f>HYPERLINK("https://www.philgeps.gov.ph/GEPSNONPILOT/Tender/SplashBidNoticeAbstractUI.aspx?menuIndex=3&amp;refID=7163233&amp;Result=3","7163233")</f>
        <v>0</v>
      </c>
      <c r="B11829" t="s">
        <v>413</v>
      </c>
      <c r="C11829" t="s">
        <v>14842</v>
      </c>
      <c r="D11829" t="s">
        <v>17168</v>
      </c>
      <c r="E11829" t="s">
        <v>27306</v>
      </c>
      <c r="F11829" t="s">
        <v>29372</v>
      </c>
      <c r="G11829" t="s">
        <v>29380</v>
      </c>
      <c r="H11829" t="s">
        <v>11048</v>
      </c>
      <c r="I11829" t="s">
        <v>29425</v>
      </c>
      <c r="J11829" t="s">
        <v>36994</v>
      </c>
      <c r="K11829" t="s">
        <v>38638</v>
      </c>
      <c r="M11829" t="s">
        <v>39177</v>
      </c>
      <c r="N11829" t="s">
        <v>42669</v>
      </c>
      <c r="O11829" t="s">
        <v>42670</v>
      </c>
      <c r="Q11829">
        <v>11</v>
      </c>
      <c r="R11829" t="s">
        <v>42688</v>
      </c>
      <c r="S11829" t="s">
        <v>43460</v>
      </c>
      <c r="T11829" t="s">
        <v>44366</v>
      </c>
      <c r="U11829" t="s">
        <v>54489</v>
      </c>
      <c r="V11829" t="s">
        <v>57699</v>
      </c>
      <c r="W11829" t="s">
        <v>39177</v>
      </c>
      <c r="X11829" t="s">
        <v>42689</v>
      </c>
    </row>
    <row r="11830" spans="1:24">
      <c r="A11830">
        <f>HYPERLINK("https://www.philgeps.gov.ph/GEPSNONPILOT/Tender/SplashBidNoticeAbstractUI.aspx?menuIndex=3&amp;refID=7163953&amp;Result=3","7163953")</f>
        <v>0</v>
      </c>
      <c r="B11830" t="s">
        <v>3258</v>
      </c>
      <c r="C11830" t="s">
        <v>14843</v>
      </c>
      <c r="D11830" t="s">
        <v>17152</v>
      </c>
      <c r="E11830" t="s">
        <v>27307</v>
      </c>
      <c r="F11830" t="s">
        <v>29372</v>
      </c>
      <c r="G11830" t="s">
        <v>29380</v>
      </c>
      <c r="H11830" t="s">
        <v>11048</v>
      </c>
      <c r="I11830" t="s">
        <v>3839</v>
      </c>
      <c r="J11830" t="s">
        <v>34094</v>
      </c>
      <c r="K11830" t="s">
        <v>38490</v>
      </c>
      <c r="M11830" t="s">
        <v>42327</v>
      </c>
      <c r="N11830" t="s">
        <v>42669</v>
      </c>
      <c r="O11830" t="s">
        <v>42670</v>
      </c>
      <c r="P11830">
        <v>0</v>
      </c>
      <c r="Q11830">
        <v>11</v>
      </c>
      <c r="R11830" t="s">
        <v>42688</v>
      </c>
      <c r="S11830" t="s">
        <v>43441</v>
      </c>
      <c r="T11830" t="s">
        <v>44398</v>
      </c>
      <c r="U11830" t="s">
        <v>54490</v>
      </c>
      <c r="W11830" t="s">
        <v>42327</v>
      </c>
      <c r="X11830" t="s">
        <v>42689</v>
      </c>
    </row>
    <row r="11831" spans="1:24">
      <c r="A11831">
        <f>HYPERLINK("https://www.philgeps.gov.ph/GEPSNONPILOT/Tender/SplashBidNoticeAbstractUI.aspx?menuIndex=3&amp;refID=7111188&amp;Result=3","7111188")</f>
        <v>0</v>
      </c>
      <c r="B11831" t="s">
        <v>3266</v>
      </c>
      <c r="C11831" t="s">
        <v>14844</v>
      </c>
      <c r="D11831" t="s">
        <v>17171</v>
      </c>
      <c r="E11831" t="s">
        <v>17534</v>
      </c>
      <c r="F11831" t="s">
        <v>29372</v>
      </c>
      <c r="G11831" t="s">
        <v>29380</v>
      </c>
      <c r="H11831" t="s">
        <v>11048</v>
      </c>
      <c r="I11831" t="s">
        <v>4487</v>
      </c>
      <c r="J11831" t="s">
        <v>36995</v>
      </c>
      <c r="K11831" t="s">
        <v>38490</v>
      </c>
      <c r="M11831" t="s">
        <v>42337</v>
      </c>
      <c r="N11831" t="s">
        <v>42669</v>
      </c>
      <c r="O11831" t="s">
        <v>42670</v>
      </c>
      <c r="P11831">
        <v>0</v>
      </c>
      <c r="Q11831">
        <v>3</v>
      </c>
      <c r="R11831" t="s">
        <v>42689</v>
      </c>
      <c r="S11831" t="s">
        <v>43461</v>
      </c>
      <c r="T11831" t="s">
        <v>44480</v>
      </c>
      <c r="U11831" t="s">
        <v>54491</v>
      </c>
      <c r="W11831" t="s">
        <v>42337</v>
      </c>
      <c r="X11831" t="s">
        <v>42714</v>
      </c>
    </row>
    <row r="11832" spans="1:24">
      <c r="A11832">
        <f>HYPERLINK("https://www.philgeps.gov.ph/GEPSNONPILOT/Tender/SplashBidNoticeAbstractUI.aspx?menuIndex=3&amp;refID=7135241&amp;Result=3","7135241")</f>
        <v>0</v>
      </c>
      <c r="B11832" t="s">
        <v>44</v>
      </c>
      <c r="C11832" t="s">
        <v>14845</v>
      </c>
      <c r="D11832" t="s">
        <v>17155</v>
      </c>
      <c r="E11832" t="s">
        <v>27308</v>
      </c>
      <c r="F11832" t="s">
        <v>29372</v>
      </c>
      <c r="G11832" t="s">
        <v>29380</v>
      </c>
      <c r="H11832" t="s">
        <v>11048</v>
      </c>
      <c r="I11832" t="s">
        <v>3695</v>
      </c>
      <c r="J11832" t="s">
        <v>36996</v>
      </c>
      <c r="K11832" t="s">
        <v>38485</v>
      </c>
      <c r="M11832" t="s">
        <v>38797</v>
      </c>
      <c r="N11832" t="s">
        <v>42669</v>
      </c>
      <c r="O11832" t="s">
        <v>42670</v>
      </c>
      <c r="P11832">
        <v>0</v>
      </c>
      <c r="Q11832">
        <v>4</v>
      </c>
      <c r="R11832" t="s">
        <v>42689</v>
      </c>
      <c r="S11832" t="s">
        <v>43461</v>
      </c>
      <c r="T11832" t="s">
        <v>44457</v>
      </c>
      <c r="U11832" t="s">
        <v>54492</v>
      </c>
      <c r="V11832" t="s">
        <v>57700</v>
      </c>
      <c r="W11832" t="s">
        <v>38797</v>
      </c>
      <c r="X11832" t="s">
        <v>42702</v>
      </c>
    </row>
    <row r="11833" spans="1:24">
      <c r="A11833">
        <f>HYPERLINK("https://www.philgeps.gov.ph/GEPSNONPILOT/Tender/SplashBidNoticeAbstractUI.aspx?menuIndex=3&amp;refID=7163290&amp;Result=3","7163290")</f>
        <v>0</v>
      </c>
      <c r="B11833" t="s">
        <v>394</v>
      </c>
      <c r="C11833" t="s">
        <v>14846</v>
      </c>
      <c r="D11833" t="s">
        <v>17170</v>
      </c>
      <c r="E11833" t="s">
        <v>27309</v>
      </c>
      <c r="F11833" t="s">
        <v>29372</v>
      </c>
      <c r="G11833" t="s">
        <v>29380</v>
      </c>
      <c r="H11833" t="s">
        <v>11048</v>
      </c>
      <c r="I11833" t="s">
        <v>3952</v>
      </c>
      <c r="J11833" t="s">
        <v>36997</v>
      </c>
      <c r="K11833" t="s">
        <v>38495</v>
      </c>
      <c r="M11833" t="s">
        <v>39157</v>
      </c>
      <c r="N11833" t="s">
        <v>42669</v>
      </c>
      <c r="O11833" t="s">
        <v>42670</v>
      </c>
      <c r="P11833">
        <v>0</v>
      </c>
      <c r="Q11833">
        <v>6</v>
      </c>
      <c r="R11833" t="s">
        <v>42688</v>
      </c>
      <c r="S11833" t="s">
        <v>43441</v>
      </c>
      <c r="T11833" t="s">
        <v>44366</v>
      </c>
      <c r="U11833" t="s">
        <v>54437</v>
      </c>
      <c r="W11833" t="s">
        <v>39157</v>
      </c>
      <c r="X11833" t="s">
        <v>42689</v>
      </c>
    </row>
    <row r="11834" spans="1:24">
      <c r="A11834">
        <f>HYPERLINK("https://www.philgeps.gov.ph/GEPSNONPILOT/Tender/SplashBidNoticeAbstractUI.aspx?menuIndex=3&amp;refID=7164030&amp;Result=3","7164030")</f>
        <v>0</v>
      </c>
      <c r="B11834" t="s">
        <v>3261</v>
      </c>
      <c r="C11834" t="s">
        <v>14847</v>
      </c>
      <c r="D11834" t="s">
        <v>17170</v>
      </c>
      <c r="E11834" t="s">
        <v>27310</v>
      </c>
      <c r="F11834" t="s">
        <v>29372</v>
      </c>
      <c r="G11834" t="s">
        <v>29380</v>
      </c>
      <c r="H11834" t="s">
        <v>29389</v>
      </c>
      <c r="I11834" t="s">
        <v>10408</v>
      </c>
      <c r="J11834" t="s">
        <v>30845</v>
      </c>
      <c r="K11834" t="s">
        <v>38533</v>
      </c>
      <c r="M11834" t="s">
        <v>42332</v>
      </c>
      <c r="N11834" t="s">
        <v>42669</v>
      </c>
      <c r="O11834" t="s">
        <v>42670</v>
      </c>
      <c r="P11834">
        <v>0</v>
      </c>
      <c r="Q11834">
        <v>6</v>
      </c>
      <c r="R11834" t="s">
        <v>42688</v>
      </c>
      <c r="S11834" t="s">
        <v>43441</v>
      </c>
      <c r="T11834" t="s">
        <v>44417</v>
      </c>
      <c r="U11834" t="s">
        <v>54470</v>
      </c>
      <c r="W11834" t="s">
        <v>42332</v>
      </c>
      <c r="X11834" t="s">
        <v>42689</v>
      </c>
    </row>
    <row r="11835" spans="1:24">
      <c r="A11835">
        <f>HYPERLINK("https://www.philgeps.gov.ph/GEPSNONPILOT/Tender/SplashBidNoticeAbstractUI.aspx?menuIndex=3&amp;refID=7135284&amp;Result=3","7135284")</f>
        <v>0</v>
      </c>
      <c r="B11835" t="s">
        <v>44</v>
      </c>
      <c r="C11835" t="s">
        <v>14848</v>
      </c>
      <c r="D11835" t="s">
        <v>17155</v>
      </c>
      <c r="E11835" t="s">
        <v>27311</v>
      </c>
      <c r="F11835" t="s">
        <v>29372</v>
      </c>
      <c r="G11835" t="s">
        <v>29381</v>
      </c>
      <c r="H11835" t="s">
        <v>11048</v>
      </c>
      <c r="I11835" t="s">
        <v>4486</v>
      </c>
      <c r="J11835" t="s">
        <v>29708</v>
      </c>
      <c r="K11835" t="s">
        <v>38490</v>
      </c>
      <c r="M11835" t="s">
        <v>38797</v>
      </c>
      <c r="N11835" t="s">
        <v>42669</v>
      </c>
      <c r="O11835" t="s">
        <v>42670</v>
      </c>
      <c r="P11835">
        <v>0</v>
      </c>
      <c r="Q11835">
        <v>1</v>
      </c>
      <c r="R11835" t="s">
        <v>42689</v>
      </c>
      <c r="S11835" t="s">
        <v>43461</v>
      </c>
      <c r="T11835" t="s">
        <v>44457</v>
      </c>
      <c r="U11835" t="s">
        <v>54493</v>
      </c>
      <c r="V11835" t="s">
        <v>57701</v>
      </c>
      <c r="W11835" t="s">
        <v>38797</v>
      </c>
      <c r="X11835" t="s">
        <v>42702</v>
      </c>
    </row>
    <row r="11836" spans="1:24">
      <c r="A11836">
        <f>HYPERLINK("https://www.philgeps.gov.ph/GEPSNONPILOT/Tender/SplashBidNoticeAbstractUI.aspx?menuIndex=3&amp;refID=7164045&amp;Result=3","7164045")</f>
        <v>0</v>
      </c>
      <c r="B11836" t="s">
        <v>433</v>
      </c>
      <c r="C11836" t="s">
        <v>14849</v>
      </c>
      <c r="D11836" t="s">
        <v>17188</v>
      </c>
      <c r="E11836" t="s">
        <v>27312</v>
      </c>
      <c r="F11836" t="s">
        <v>29372</v>
      </c>
      <c r="G11836" t="s">
        <v>29380</v>
      </c>
      <c r="H11836" t="s">
        <v>11048</v>
      </c>
      <c r="I11836" t="s">
        <v>29398</v>
      </c>
      <c r="J11836" t="s">
        <v>30056</v>
      </c>
      <c r="K11836" t="s">
        <v>38485</v>
      </c>
      <c r="M11836" t="s">
        <v>40058</v>
      </c>
      <c r="N11836" t="s">
        <v>42669</v>
      </c>
      <c r="O11836" t="s">
        <v>42670</v>
      </c>
      <c r="P11836">
        <v>0</v>
      </c>
      <c r="Q11836">
        <v>10</v>
      </c>
      <c r="R11836" t="s">
        <v>42688</v>
      </c>
      <c r="S11836" t="s">
        <v>43441</v>
      </c>
      <c r="T11836" t="s">
        <v>44397</v>
      </c>
      <c r="U11836" t="s">
        <v>54494</v>
      </c>
      <c r="W11836" t="s">
        <v>40058</v>
      </c>
      <c r="X11836" t="s">
        <v>42689</v>
      </c>
    </row>
    <row r="11837" spans="1:24">
      <c r="A11837">
        <f>HYPERLINK("https://www.philgeps.gov.ph/GEPSNONPILOT/Tender/SplashBidNoticeAbstractUI.aspx?menuIndex=3&amp;refID=7135218&amp;Result=3","7135218")</f>
        <v>0</v>
      </c>
      <c r="B11837" t="s">
        <v>44</v>
      </c>
      <c r="C11837" t="s">
        <v>14850</v>
      </c>
      <c r="D11837" t="s">
        <v>17155</v>
      </c>
      <c r="E11837" t="s">
        <v>27313</v>
      </c>
      <c r="F11837" t="s">
        <v>29372</v>
      </c>
      <c r="G11837" t="s">
        <v>29380</v>
      </c>
      <c r="H11837" t="s">
        <v>11048</v>
      </c>
      <c r="I11837" t="s">
        <v>3695</v>
      </c>
      <c r="J11837" t="s">
        <v>36998</v>
      </c>
      <c r="K11837" t="s">
        <v>38490</v>
      </c>
      <c r="M11837" t="s">
        <v>38797</v>
      </c>
      <c r="N11837" t="s">
        <v>42669</v>
      </c>
      <c r="O11837" t="s">
        <v>42670</v>
      </c>
      <c r="P11837">
        <v>0</v>
      </c>
      <c r="Q11837">
        <v>4</v>
      </c>
      <c r="R11837" t="s">
        <v>42689</v>
      </c>
      <c r="S11837" t="s">
        <v>43461</v>
      </c>
      <c r="T11837" t="s">
        <v>44457</v>
      </c>
      <c r="U11837" t="s">
        <v>54495</v>
      </c>
      <c r="V11837" t="s">
        <v>57702</v>
      </c>
      <c r="W11837" t="s">
        <v>38797</v>
      </c>
      <c r="X11837" t="s">
        <v>42702</v>
      </c>
    </row>
    <row r="11838" spans="1:24">
      <c r="A11838">
        <f>HYPERLINK("https://www.philgeps.gov.ph/GEPSNONPILOT/Tender/SplashBidNoticeAbstractUI.aspx?menuIndex=3&amp;refID=7108814&amp;Result=3","7108814")</f>
        <v>0</v>
      </c>
      <c r="B11838" t="s">
        <v>3267</v>
      </c>
      <c r="C11838" t="s">
        <v>14851</v>
      </c>
      <c r="D11838" t="s">
        <v>17165</v>
      </c>
      <c r="E11838" t="s">
        <v>21965</v>
      </c>
      <c r="F11838" t="s">
        <v>29372</v>
      </c>
      <c r="G11838" t="s">
        <v>29380</v>
      </c>
      <c r="H11838" t="s">
        <v>11048</v>
      </c>
      <c r="I11838" t="s">
        <v>4709</v>
      </c>
      <c r="J11838" t="s">
        <v>36999</v>
      </c>
      <c r="K11838" t="s">
        <v>38485</v>
      </c>
      <c r="M11838" t="s">
        <v>42338</v>
      </c>
      <c r="N11838" t="s">
        <v>42669</v>
      </c>
      <c r="O11838" t="s">
        <v>42670</v>
      </c>
      <c r="P11838">
        <v>0</v>
      </c>
      <c r="Q11838">
        <v>2</v>
      </c>
      <c r="R11838" t="s">
        <v>42689</v>
      </c>
      <c r="S11838" t="s">
        <v>43461</v>
      </c>
      <c r="T11838" t="s">
        <v>44371</v>
      </c>
      <c r="U11838" t="s">
        <v>54496</v>
      </c>
      <c r="W11838" t="s">
        <v>58119</v>
      </c>
      <c r="X11838" t="s">
        <v>42711</v>
      </c>
    </row>
    <row r="11839" spans="1:24">
      <c r="A11839">
        <f>HYPERLINK("https://www.philgeps.gov.ph/GEPSNONPILOT/Tender/SplashBidNoticeAbstractUI.aspx?menuIndex=3&amp;refID=7114858&amp;Result=3","7114858")</f>
        <v>0</v>
      </c>
      <c r="B11839" t="s">
        <v>44</v>
      </c>
      <c r="C11839" t="s">
        <v>14852</v>
      </c>
      <c r="D11839" t="s">
        <v>17155</v>
      </c>
      <c r="E11839" t="s">
        <v>27314</v>
      </c>
      <c r="F11839" t="s">
        <v>29372</v>
      </c>
      <c r="G11839" t="s">
        <v>29380</v>
      </c>
      <c r="H11839" t="s">
        <v>11048</v>
      </c>
      <c r="I11839" t="s">
        <v>4487</v>
      </c>
      <c r="J11839" t="s">
        <v>37000</v>
      </c>
      <c r="K11839" t="s">
        <v>38485</v>
      </c>
      <c r="M11839" t="s">
        <v>38797</v>
      </c>
      <c r="N11839" t="s">
        <v>42669</v>
      </c>
      <c r="O11839" t="s">
        <v>42670</v>
      </c>
      <c r="P11839">
        <v>0</v>
      </c>
      <c r="Q11839">
        <v>2</v>
      </c>
      <c r="R11839" t="s">
        <v>42689</v>
      </c>
      <c r="S11839" t="s">
        <v>43461</v>
      </c>
      <c r="T11839" t="s">
        <v>44457</v>
      </c>
      <c r="U11839" t="s">
        <v>54497</v>
      </c>
      <c r="V11839" t="s">
        <v>57701</v>
      </c>
      <c r="W11839" t="s">
        <v>38797</v>
      </c>
      <c r="X11839" t="s">
        <v>42715</v>
      </c>
    </row>
    <row r="11840" spans="1:24">
      <c r="A11840">
        <f>HYPERLINK("https://www.philgeps.gov.ph/GEPSNONPILOT/Tender/SplashBidNoticeAbstractUI.aspx?menuIndex=3&amp;refID=7112476&amp;Result=3","7112476")</f>
        <v>0</v>
      </c>
      <c r="B11840" t="s">
        <v>44</v>
      </c>
      <c r="C11840" t="s">
        <v>14853</v>
      </c>
      <c r="D11840" t="s">
        <v>17155</v>
      </c>
      <c r="E11840" t="s">
        <v>27315</v>
      </c>
      <c r="F11840" t="s">
        <v>29372</v>
      </c>
      <c r="G11840" t="s">
        <v>29380</v>
      </c>
      <c r="H11840" t="s">
        <v>29389</v>
      </c>
      <c r="I11840" t="s">
        <v>10408</v>
      </c>
      <c r="J11840" t="s">
        <v>30161</v>
      </c>
      <c r="K11840" t="s">
        <v>38579</v>
      </c>
      <c r="M11840" t="s">
        <v>38797</v>
      </c>
      <c r="N11840" t="s">
        <v>42669</v>
      </c>
      <c r="O11840" t="s">
        <v>42670</v>
      </c>
      <c r="P11840">
        <v>0</v>
      </c>
      <c r="Q11840">
        <v>2</v>
      </c>
      <c r="R11840" t="s">
        <v>42689</v>
      </c>
      <c r="S11840" t="s">
        <v>43461</v>
      </c>
      <c r="T11840" t="s">
        <v>44457</v>
      </c>
      <c r="U11840" t="s">
        <v>54498</v>
      </c>
      <c r="V11840" t="s">
        <v>57703</v>
      </c>
      <c r="W11840" t="s">
        <v>38797</v>
      </c>
      <c r="X11840" t="s">
        <v>42714</v>
      </c>
    </row>
    <row r="11841" spans="1:24">
      <c r="A11841">
        <f>HYPERLINK("https://www.philgeps.gov.ph/GEPSNONPILOT/Tender/SplashBidNoticeAbstractUI.aspx?menuIndex=3&amp;refID=7164226&amp;Result=3","7164226")</f>
        <v>0</v>
      </c>
      <c r="B11841" t="s">
        <v>2275</v>
      </c>
      <c r="C11841" t="s">
        <v>14854</v>
      </c>
      <c r="D11841" t="s">
        <v>17185</v>
      </c>
      <c r="E11841" t="s">
        <v>27316</v>
      </c>
      <c r="F11841" t="s">
        <v>29372</v>
      </c>
      <c r="G11841" t="s">
        <v>29380</v>
      </c>
      <c r="H11841" t="s">
        <v>11048</v>
      </c>
      <c r="I11841" t="s">
        <v>4487</v>
      </c>
      <c r="J11841" t="s">
        <v>37001</v>
      </c>
      <c r="K11841" t="s">
        <v>38488</v>
      </c>
      <c r="M11841" t="s">
        <v>41198</v>
      </c>
      <c r="N11841" t="s">
        <v>42669</v>
      </c>
      <c r="O11841" t="s">
        <v>42670</v>
      </c>
      <c r="P11841">
        <v>0</v>
      </c>
      <c r="Q11841">
        <v>9</v>
      </c>
      <c r="R11841" t="s">
        <v>42688</v>
      </c>
      <c r="S11841" t="s">
        <v>43441</v>
      </c>
      <c r="T11841" t="s">
        <v>44466</v>
      </c>
      <c r="U11841" t="s">
        <v>54499</v>
      </c>
      <c r="V11841" t="s">
        <v>57704</v>
      </c>
      <c r="W11841" t="s">
        <v>41198</v>
      </c>
      <c r="X11841" t="s">
        <v>42689</v>
      </c>
    </row>
    <row r="11842" spans="1:24">
      <c r="A11842">
        <f>HYPERLINK("https://www.philgeps.gov.ph/GEPSNONPILOT/Tender/SplashBidNoticeAbstractUI.aspx?menuIndex=3&amp;refID=6985683&amp;Result=3","6985683")</f>
        <v>0</v>
      </c>
      <c r="B11842" t="s">
        <v>97</v>
      </c>
      <c r="C11842" t="s">
        <v>14855</v>
      </c>
      <c r="D11842" t="s">
        <v>17154</v>
      </c>
      <c r="E11842" t="s">
        <v>27317</v>
      </c>
      <c r="F11842" t="s">
        <v>29372</v>
      </c>
      <c r="G11842" t="s">
        <v>29380</v>
      </c>
      <c r="H11842" t="s">
        <v>11048</v>
      </c>
      <c r="I11842" t="s">
        <v>29407</v>
      </c>
      <c r="J11842" t="s">
        <v>37002</v>
      </c>
      <c r="K11842" t="s">
        <v>38488</v>
      </c>
      <c r="M11842" t="s">
        <v>38851</v>
      </c>
      <c r="N11842" t="s">
        <v>42669</v>
      </c>
      <c r="O11842" t="s">
        <v>42670</v>
      </c>
      <c r="P11842">
        <v>0</v>
      </c>
      <c r="Q11842">
        <v>16</v>
      </c>
      <c r="R11842" t="s">
        <v>42689</v>
      </c>
      <c r="S11842" t="s">
        <v>43461</v>
      </c>
      <c r="T11842" t="s">
        <v>44481</v>
      </c>
      <c r="U11842" t="s">
        <v>54500</v>
      </c>
      <c r="V11842" t="s">
        <v>57636</v>
      </c>
      <c r="W11842" t="s">
        <v>38851</v>
      </c>
      <c r="X11842" t="s">
        <v>58148</v>
      </c>
    </row>
    <row r="11843" spans="1:24">
      <c r="A11843">
        <f>HYPERLINK("https://www.philgeps.gov.ph/GEPSNONPILOT/Tender/SplashBidNoticeAbstractUI.aspx?menuIndex=3&amp;refID=7164208&amp;Result=3","7164208")</f>
        <v>0</v>
      </c>
      <c r="B11843" t="s">
        <v>1311</v>
      </c>
      <c r="C11843" t="s">
        <v>14856</v>
      </c>
      <c r="D11843" t="s">
        <v>17141</v>
      </c>
      <c r="E11843" t="s">
        <v>27318</v>
      </c>
      <c r="F11843" t="s">
        <v>29372</v>
      </c>
      <c r="G11843" t="s">
        <v>29380</v>
      </c>
      <c r="H11843" t="s">
        <v>11048</v>
      </c>
      <c r="I11843" t="s">
        <v>8614</v>
      </c>
      <c r="J11843" t="s">
        <v>37003</v>
      </c>
      <c r="K11843" t="s">
        <v>38496</v>
      </c>
      <c r="M11843" t="s">
        <v>40143</v>
      </c>
      <c r="N11843" t="s">
        <v>42669</v>
      </c>
      <c r="O11843" t="s">
        <v>42670</v>
      </c>
      <c r="P11843">
        <v>0</v>
      </c>
      <c r="Q11843">
        <v>18</v>
      </c>
      <c r="R11843" t="s">
        <v>42688</v>
      </c>
      <c r="S11843" t="s">
        <v>43441</v>
      </c>
      <c r="T11843" t="s">
        <v>44358</v>
      </c>
      <c r="U11843" t="s">
        <v>47781</v>
      </c>
      <c r="W11843" t="s">
        <v>40143</v>
      </c>
      <c r="X11843" t="s">
        <v>42689</v>
      </c>
    </row>
    <row r="11844" spans="1:24">
      <c r="A11844">
        <f>HYPERLINK("https://www.philgeps.gov.ph/GEPSNONPILOT/Tender/SplashBidNoticeAbstractUI.aspx?menuIndex=3&amp;refID=7163277&amp;Result=3","7163277")</f>
        <v>0</v>
      </c>
      <c r="B11844" t="s">
        <v>3235</v>
      </c>
      <c r="C11844" t="s">
        <v>14857</v>
      </c>
      <c r="D11844" t="s">
        <v>17172</v>
      </c>
      <c r="E11844" t="s">
        <v>23777</v>
      </c>
      <c r="F11844" t="s">
        <v>29372</v>
      </c>
      <c r="G11844" t="s">
        <v>29380</v>
      </c>
      <c r="H11844" t="s">
        <v>11048</v>
      </c>
      <c r="I11844" t="s">
        <v>3670</v>
      </c>
      <c r="J11844" t="s">
        <v>37004</v>
      </c>
      <c r="K11844" t="s">
        <v>38510</v>
      </c>
      <c r="M11844" t="s">
        <v>42301</v>
      </c>
      <c r="N11844" t="s">
        <v>42669</v>
      </c>
      <c r="O11844" t="s">
        <v>42670</v>
      </c>
      <c r="P11844">
        <v>0</v>
      </c>
      <c r="Q11844">
        <v>1</v>
      </c>
      <c r="R11844" t="s">
        <v>42688</v>
      </c>
      <c r="S11844" t="s">
        <v>43441</v>
      </c>
      <c r="T11844" t="s">
        <v>44481</v>
      </c>
      <c r="U11844" t="s">
        <v>54501</v>
      </c>
      <c r="V11844" t="s">
        <v>57673</v>
      </c>
      <c r="W11844" t="s">
        <v>42301</v>
      </c>
      <c r="X11844" t="s">
        <v>42689</v>
      </c>
    </row>
    <row r="11845" spans="1:24">
      <c r="A11845">
        <f>HYPERLINK("https://www.philgeps.gov.ph/GEPSNONPILOT/Tender/SplashBidNoticeAbstractUI.aspx?menuIndex=3&amp;refID=7154199&amp;Result=3","7154199")</f>
        <v>0</v>
      </c>
      <c r="B11845" t="s">
        <v>2777</v>
      </c>
      <c r="C11845" t="s">
        <v>14858</v>
      </c>
      <c r="D11845" t="s">
        <v>17151</v>
      </c>
      <c r="E11845" t="s">
        <v>27319</v>
      </c>
      <c r="F11845" t="s">
        <v>29372</v>
      </c>
      <c r="G11845" t="s">
        <v>29380</v>
      </c>
      <c r="H11845" t="s">
        <v>11048</v>
      </c>
      <c r="I11845" t="s">
        <v>14920</v>
      </c>
      <c r="J11845" t="s">
        <v>37005</v>
      </c>
      <c r="K11845" t="s">
        <v>38488</v>
      </c>
      <c r="M11845" t="s">
        <v>41762</v>
      </c>
      <c r="N11845" t="s">
        <v>42669</v>
      </c>
      <c r="O11845" t="s">
        <v>42670</v>
      </c>
      <c r="P11845">
        <v>0</v>
      </c>
      <c r="Q11845">
        <v>3</v>
      </c>
      <c r="R11845" t="s">
        <v>42689</v>
      </c>
      <c r="S11845" t="s">
        <v>43461</v>
      </c>
      <c r="T11845" t="s">
        <v>44441</v>
      </c>
      <c r="U11845" t="s">
        <v>54502</v>
      </c>
      <c r="V11845" t="s">
        <v>57388</v>
      </c>
      <c r="W11845" t="s">
        <v>41762</v>
      </c>
      <c r="X11845" t="s">
        <v>42692</v>
      </c>
    </row>
    <row r="11846" spans="1:24">
      <c r="A11846">
        <f>HYPERLINK("https://www.philgeps.gov.ph/GEPSNONPILOT/Tender/SplashBidNoticeAbstractUI.aspx?menuIndex=3&amp;refID=7163926&amp;Result=3","7163926")</f>
        <v>0</v>
      </c>
      <c r="B11846" t="s">
        <v>3268</v>
      </c>
      <c r="C11846" t="s">
        <v>14859</v>
      </c>
      <c r="D11846" t="s">
        <v>17170</v>
      </c>
      <c r="E11846" t="s">
        <v>27320</v>
      </c>
      <c r="F11846" t="s">
        <v>29372</v>
      </c>
      <c r="G11846" t="s">
        <v>29380</v>
      </c>
      <c r="H11846" t="s">
        <v>11048</v>
      </c>
      <c r="I11846" t="s">
        <v>29409</v>
      </c>
      <c r="J11846" t="s">
        <v>37006</v>
      </c>
      <c r="K11846" t="s">
        <v>38485</v>
      </c>
      <c r="M11846" t="s">
        <v>42339</v>
      </c>
      <c r="N11846" t="s">
        <v>42669</v>
      </c>
      <c r="O11846" t="s">
        <v>42670</v>
      </c>
      <c r="Q11846">
        <v>14</v>
      </c>
      <c r="R11846" t="s">
        <v>42688</v>
      </c>
      <c r="S11846" t="s">
        <v>43462</v>
      </c>
      <c r="T11846" t="s">
        <v>44375</v>
      </c>
      <c r="U11846" t="s">
        <v>54503</v>
      </c>
      <c r="W11846" t="s">
        <v>58120</v>
      </c>
      <c r="X11846" t="s">
        <v>42689</v>
      </c>
    </row>
    <row r="11847" spans="1:24">
      <c r="A11847">
        <f>HYPERLINK("https://www.philgeps.gov.ph/GEPSNONPILOT/Tender/SplashBidNoticeAbstractUI.aspx?menuIndex=3&amp;refID=6843481&amp;Result=3","6843481")</f>
        <v>0</v>
      </c>
      <c r="B11847" t="s">
        <v>3269</v>
      </c>
      <c r="C11847" t="s">
        <v>14860</v>
      </c>
      <c r="D11847" t="s">
        <v>17142</v>
      </c>
      <c r="E11847" t="s">
        <v>27321</v>
      </c>
      <c r="F11847" t="s">
        <v>29372</v>
      </c>
      <c r="G11847" t="s">
        <v>29380</v>
      </c>
      <c r="H11847" t="s">
        <v>11048</v>
      </c>
      <c r="I11847" t="s">
        <v>9469</v>
      </c>
      <c r="J11847" t="s">
        <v>37007</v>
      </c>
      <c r="K11847" t="s">
        <v>38495</v>
      </c>
      <c r="M11847" t="s">
        <v>42340</v>
      </c>
      <c r="N11847" t="s">
        <v>42669</v>
      </c>
      <c r="O11847" t="s">
        <v>42670</v>
      </c>
      <c r="P11847">
        <v>0</v>
      </c>
      <c r="Q11847">
        <v>10</v>
      </c>
      <c r="R11847" t="s">
        <v>42689</v>
      </c>
      <c r="S11847" t="s">
        <v>43461</v>
      </c>
      <c r="T11847" t="s">
        <v>44401</v>
      </c>
      <c r="U11847" t="s">
        <v>54504</v>
      </c>
      <c r="V11847" t="s">
        <v>57705</v>
      </c>
      <c r="W11847" t="s">
        <v>42340</v>
      </c>
      <c r="X11847" t="s">
        <v>42761</v>
      </c>
    </row>
    <row r="11848" spans="1:24">
      <c r="A11848">
        <f>HYPERLINK("https://www.philgeps.gov.ph/GEPSNONPILOT/Tender/SplashBidNoticeAbstractUI.aspx?menuIndex=3&amp;refID=7111731&amp;Result=3","7111731")</f>
        <v>0</v>
      </c>
      <c r="B11848" t="s">
        <v>44</v>
      </c>
      <c r="C11848" t="s">
        <v>14861</v>
      </c>
      <c r="D11848" t="s">
        <v>17155</v>
      </c>
      <c r="E11848" t="s">
        <v>27322</v>
      </c>
      <c r="F11848" t="s">
        <v>29372</v>
      </c>
      <c r="G11848" t="s">
        <v>29380</v>
      </c>
      <c r="H11848" t="s">
        <v>29389</v>
      </c>
      <c r="I11848" t="s">
        <v>10408</v>
      </c>
      <c r="J11848" t="s">
        <v>30056</v>
      </c>
      <c r="K11848" t="s">
        <v>38485</v>
      </c>
      <c r="M11848" t="s">
        <v>38797</v>
      </c>
      <c r="N11848" t="s">
        <v>42669</v>
      </c>
      <c r="O11848" t="s">
        <v>42670</v>
      </c>
      <c r="P11848">
        <v>0</v>
      </c>
      <c r="Q11848">
        <v>1</v>
      </c>
      <c r="R11848" t="s">
        <v>42689</v>
      </c>
      <c r="S11848" t="s">
        <v>43461</v>
      </c>
      <c r="T11848" t="s">
        <v>44457</v>
      </c>
      <c r="U11848" t="s">
        <v>54505</v>
      </c>
      <c r="V11848" t="s">
        <v>57706</v>
      </c>
      <c r="W11848" t="s">
        <v>38797</v>
      </c>
      <c r="X11848" t="s">
        <v>42714</v>
      </c>
    </row>
    <row r="11849" spans="1:24">
      <c r="A11849">
        <f>HYPERLINK("https://www.philgeps.gov.ph/GEPSNONPILOT/Tender/SplashBidNoticeAbstractUI.aspx?menuIndex=3&amp;refID=7153403&amp;Result=3","7153403")</f>
        <v>0</v>
      </c>
      <c r="B11849" t="s">
        <v>1115</v>
      </c>
      <c r="C11849" t="s">
        <v>14862</v>
      </c>
      <c r="D11849" t="s">
        <v>17167</v>
      </c>
      <c r="E11849" t="s">
        <v>27323</v>
      </c>
      <c r="F11849" t="s">
        <v>29372</v>
      </c>
      <c r="G11849" t="s">
        <v>29380</v>
      </c>
      <c r="H11849" t="s">
        <v>29389</v>
      </c>
      <c r="I11849" t="s">
        <v>10408</v>
      </c>
      <c r="J11849" t="s">
        <v>37008</v>
      </c>
      <c r="K11849" t="s">
        <v>38738</v>
      </c>
      <c r="M11849" t="s">
        <v>42341</v>
      </c>
      <c r="N11849" t="s">
        <v>42669</v>
      </c>
      <c r="O11849" t="s">
        <v>42670</v>
      </c>
      <c r="P11849">
        <v>0</v>
      </c>
      <c r="Q11849">
        <v>0</v>
      </c>
      <c r="R11849" t="s">
        <v>42689</v>
      </c>
      <c r="S11849" t="s">
        <v>43461</v>
      </c>
      <c r="T11849" t="s">
        <v>44524</v>
      </c>
      <c r="U11849" t="s">
        <v>54506</v>
      </c>
      <c r="W11849" t="s">
        <v>42341</v>
      </c>
      <c r="X11849" t="s">
        <v>42692</v>
      </c>
    </row>
    <row r="11850" spans="1:24">
      <c r="A11850">
        <f>HYPERLINK("https://www.philgeps.gov.ph/GEPSNONPILOT/Tender/SplashBidNoticeAbstractUI.aspx?menuIndex=3&amp;refID=7164188&amp;Result=3","7164188")</f>
        <v>0</v>
      </c>
      <c r="B11850" t="s">
        <v>513</v>
      </c>
      <c r="C11850" t="s">
        <v>14863</v>
      </c>
      <c r="D11850" t="s">
        <v>17191</v>
      </c>
      <c r="E11850" t="s">
        <v>27324</v>
      </c>
      <c r="F11850" t="s">
        <v>29372</v>
      </c>
      <c r="G11850" t="s">
        <v>29380</v>
      </c>
      <c r="H11850" t="s">
        <v>29389</v>
      </c>
      <c r="I11850" t="s">
        <v>10408</v>
      </c>
      <c r="J11850" t="s">
        <v>37009</v>
      </c>
      <c r="K11850" t="s">
        <v>38542</v>
      </c>
      <c r="L11850" t="s">
        <v>513</v>
      </c>
      <c r="M11850" t="s">
        <v>39280</v>
      </c>
      <c r="N11850" t="s">
        <v>42669</v>
      </c>
      <c r="O11850" t="s">
        <v>42670</v>
      </c>
      <c r="Q11850">
        <v>2</v>
      </c>
      <c r="R11850" t="s">
        <v>42688</v>
      </c>
      <c r="S11850" t="s">
        <v>43463</v>
      </c>
      <c r="T11850" t="s">
        <v>44387</v>
      </c>
      <c r="U11850" t="s">
        <v>54507</v>
      </c>
      <c r="W11850" t="s">
        <v>39280</v>
      </c>
      <c r="X11850" t="s">
        <v>42689</v>
      </c>
    </row>
    <row r="11851" spans="1:24">
      <c r="A11851">
        <f>HYPERLINK("https://www.philgeps.gov.ph/GEPSNONPILOT/Tender/SplashBidNoticeAbstractUI.aspx?menuIndex=3&amp;refID=7154173&amp;Result=3","7154173")</f>
        <v>0</v>
      </c>
      <c r="B11851" t="s">
        <v>2777</v>
      </c>
      <c r="C11851" t="s">
        <v>14864</v>
      </c>
      <c r="D11851" t="s">
        <v>17151</v>
      </c>
      <c r="E11851" t="s">
        <v>27325</v>
      </c>
      <c r="F11851" t="s">
        <v>29372</v>
      </c>
      <c r="G11851" t="s">
        <v>29380</v>
      </c>
      <c r="H11851" t="s">
        <v>11048</v>
      </c>
      <c r="I11851" t="s">
        <v>29393</v>
      </c>
      <c r="J11851" t="s">
        <v>37010</v>
      </c>
      <c r="K11851" t="s">
        <v>38488</v>
      </c>
      <c r="M11851" t="s">
        <v>41762</v>
      </c>
      <c r="N11851" t="s">
        <v>42669</v>
      </c>
      <c r="O11851" t="s">
        <v>42670</v>
      </c>
      <c r="P11851">
        <v>0</v>
      </c>
      <c r="Q11851">
        <v>1</v>
      </c>
      <c r="R11851" t="s">
        <v>42689</v>
      </c>
      <c r="S11851" t="s">
        <v>43461</v>
      </c>
      <c r="T11851" t="s">
        <v>44441</v>
      </c>
      <c r="U11851" t="s">
        <v>54508</v>
      </c>
      <c r="V11851" t="s">
        <v>57388</v>
      </c>
      <c r="W11851" t="s">
        <v>41762</v>
      </c>
      <c r="X11851" t="s">
        <v>42692</v>
      </c>
    </row>
    <row r="11852" spans="1:24">
      <c r="A11852">
        <f>HYPERLINK("https://www.philgeps.gov.ph/GEPSNONPILOT/Tender/SplashBidNoticeAbstractUI.aspx?menuIndex=3&amp;refID=7153340&amp;Result=3","7153340")</f>
        <v>0</v>
      </c>
      <c r="B11852" t="s">
        <v>3269</v>
      </c>
      <c r="C11852" t="s">
        <v>14865</v>
      </c>
      <c r="D11852" t="s">
        <v>17142</v>
      </c>
      <c r="E11852" t="s">
        <v>27326</v>
      </c>
      <c r="F11852" t="s">
        <v>29372</v>
      </c>
      <c r="G11852" t="s">
        <v>29380</v>
      </c>
      <c r="H11852" t="s">
        <v>11048</v>
      </c>
      <c r="I11852" t="s">
        <v>3695</v>
      </c>
      <c r="J11852" t="s">
        <v>37011</v>
      </c>
      <c r="K11852" t="s">
        <v>38485</v>
      </c>
      <c r="M11852" t="s">
        <v>42340</v>
      </c>
      <c r="N11852" t="s">
        <v>42669</v>
      </c>
      <c r="O11852" t="s">
        <v>42670</v>
      </c>
      <c r="Q11852">
        <v>9</v>
      </c>
      <c r="R11852" t="s">
        <v>42689</v>
      </c>
      <c r="S11852" t="s">
        <v>43464</v>
      </c>
      <c r="T11852" t="s">
        <v>44401</v>
      </c>
      <c r="U11852" t="s">
        <v>54509</v>
      </c>
      <c r="V11852" t="s">
        <v>57707</v>
      </c>
      <c r="W11852" t="s">
        <v>42340</v>
      </c>
      <c r="X11852" t="s">
        <v>42692</v>
      </c>
    </row>
    <row r="11853" spans="1:24">
      <c r="A11853">
        <f>HYPERLINK("https://www.philgeps.gov.ph/GEPSNONPILOT/Tender/SplashBidNoticeAbstractUI.aspx?menuIndex=3&amp;refID=7153178&amp;Result=3","7153178")</f>
        <v>0</v>
      </c>
      <c r="B11853" t="s">
        <v>3269</v>
      </c>
      <c r="C11853" t="s">
        <v>14866</v>
      </c>
      <c r="D11853" t="s">
        <v>17142</v>
      </c>
      <c r="E11853" t="s">
        <v>27327</v>
      </c>
      <c r="F11853" t="s">
        <v>29372</v>
      </c>
      <c r="G11853" t="s">
        <v>29380</v>
      </c>
      <c r="H11853" t="s">
        <v>11048</v>
      </c>
      <c r="I11853" t="s">
        <v>9469</v>
      </c>
      <c r="J11853" t="s">
        <v>35478</v>
      </c>
      <c r="K11853" t="s">
        <v>38485</v>
      </c>
      <c r="M11853" t="s">
        <v>42340</v>
      </c>
      <c r="N11853" t="s">
        <v>42669</v>
      </c>
      <c r="O11853" t="s">
        <v>42670</v>
      </c>
      <c r="P11853">
        <v>0</v>
      </c>
      <c r="Q11853">
        <v>4</v>
      </c>
      <c r="R11853" t="s">
        <v>42689</v>
      </c>
      <c r="S11853" t="s">
        <v>43461</v>
      </c>
      <c r="T11853" t="s">
        <v>44401</v>
      </c>
      <c r="U11853" t="s">
        <v>54510</v>
      </c>
      <c r="V11853" t="s">
        <v>57708</v>
      </c>
      <c r="W11853" t="s">
        <v>42340</v>
      </c>
      <c r="X11853" t="s">
        <v>42692</v>
      </c>
    </row>
    <row r="11854" spans="1:24">
      <c r="A11854">
        <f>HYPERLINK("https://www.philgeps.gov.ph/GEPSNONPILOT/Tender/SplashBidNoticeAbstractUI.aspx?menuIndex=3&amp;refID=7153041&amp;Result=3","7153041")</f>
        <v>0</v>
      </c>
      <c r="B11854" t="s">
        <v>1115</v>
      </c>
      <c r="C11854" t="s">
        <v>14867</v>
      </c>
      <c r="D11854" t="s">
        <v>17167</v>
      </c>
      <c r="E11854" t="s">
        <v>27328</v>
      </c>
      <c r="F11854" t="s">
        <v>29372</v>
      </c>
      <c r="G11854" t="s">
        <v>29380</v>
      </c>
      <c r="H11854" t="s">
        <v>29389</v>
      </c>
      <c r="I11854" t="s">
        <v>10408</v>
      </c>
      <c r="J11854" t="s">
        <v>37012</v>
      </c>
      <c r="K11854" t="s">
        <v>38595</v>
      </c>
      <c r="M11854" t="s">
        <v>42341</v>
      </c>
      <c r="N11854" t="s">
        <v>42669</v>
      </c>
      <c r="O11854" t="s">
        <v>42670</v>
      </c>
      <c r="P11854">
        <v>0</v>
      </c>
      <c r="Q11854">
        <v>0</v>
      </c>
      <c r="R11854" t="s">
        <v>42689</v>
      </c>
      <c r="S11854" t="s">
        <v>43461</v>
      </c>
      <c r="T11854" t="s">
        <v>44524</v>
      </c>
      <c r="U11854" t="s">
        <v>54511</v>
      </c>
      <c r="W11854" t="s">
        <v>42341</v>
      </c>
      <c r="X11854" t="s">
        <v>42692</v>
      </c>
    </row>
    <row r="11855" spans="1:24">
      <c r="A11855">
        <f>HYPERLINK("https://www.philgeps.gov.ph/GEPSNONPILOT/Tender/SplashBidNoticeAbstractUI.aspx?menuIndex=3&amp;refID=7153310&amp;Result=3","7153310")</f>
        <v>0</v>
      </c>
      <c r="B11855" t="s">
        <v>1115</v>
      </c>
      <c r="C11855" t="s">
        <v>14868</v>
      </c>
      <c r="D11855" t="s">
        <v>17167</v>
      </c>
      <c r="E11855" t="s">
        <v>27329</v>
      </c>
      <c r="F11855" t="s">
        <v>29372</v>
      </c>
      <c r="G11855" t="s">
        <v>29380</v>
      </c>
      <c r="H11855" t="s">
        <v>29389</v>
      </c>
      <c r="I11855" t="s">
        <v>10408</v>
      </c>
      <c r="J11855" t="s">
        <v>37013</v>
      </c>
      <c r="K11855" t="s">
        <v>38539</v>
      </c>
      <c r="M11855" t="s">
        <v>42341</v>
      </c>
      <c r="N11855" t="s">
        <v>42669</v>
      </c>
      <c r="O11855" t="s">
        <v>42670</v>
      </c>
      <c r="P11855">
        <v>0</v>
      </c>
      <c r="Q11855">
        <v>0</v>
      </c>
      <c r="R11855" t="s">
        <v>42689</v>
      </c>
      <c r="S11855" t="s">
        <v>43461</v>
      </c>
      <c r="T11855" t="s">
        <v>44524</v>
      </c>
      <c r="U11855" t="s">
        <v>54512</v>
      </c>
      <c r="W11855" t="s">
        <v>42341</v>
      </c>
      <c r="X11855" t="s">
        <v>42692</v>
      </c>
    </row>
    <row r="11856" spans="1:24">
      <c r="A11856">
        <f>HYPERLINK("https://www.philgeps.gov.ph/GEPSNONPILOT/Tender/SplashBidNoticeAbstractUI.aspx?menuIndex=3&amp;refID=7153358&amp;Result=3","7153358")</f>
        <v>0</v>
      </c>
      <c r="B11856" t="s">
        <v>1115</v>
      </c>
      <c r="C11856" t="s">
        <v>14869</v>
      </c>
      <c r="D11856" t="s">
        <v>17167</v>
      </c>
      <c r="E11856" t="s">
        <v>27330</v>
      </c>
      <c r="F11856" t="s">
        <v>29372</v>
      </c>
      <c r="G11856" t="s">
        <v>29380</v>
      </c>
      <c r="H11856" t="s">
        <v>29389</v>
      </c>
      <c r="I11856" t="s">
        <v>10408</v>
      </c>
      <c r="J11856" t="s">
        <v>37014</v>
      </c>
      <c r="K11856" t="s">
        <v>38668</v>
      </c>
      <c r="M11856" t="s">
        <v>42341</v>
      </c>
      <c r="N11856" t="s">
        <v>42669</v>
      </c>
      <c r="O11856" t="s">
        <v>42670</v>
      </c>
      <c r="P11856">
        <v>0</v>
      </c>
      <c r="Q11856">
        <v>0</v>
      </c>
      <c r="R11856" t="s">
        <v>42689</v>
      </c>
      <c r="S11856" t="s">
        <v>43461</v>
      </c>
      <c r="T11856" t="s">
        <v>44524</v>
      </c>
      <c r="U11856" t="s">
        <v>54513</v>
      </c>
      <c r="W11856" t="s">
        <v>42341</v>
      </c>
      <c r="X11856" t="s">
        <v>42692</v>
      </c>
    </row>
    <row r="11857" spans="1:24">
      <c r="A11857">
        <f>HYPERLINK("https://www.philgeps.gov.ph/GEPSNONPILOT/Tender/SplashBidNoticeAbstractUI.aspx?menuIndex=3&amp;refID=7153139&amp;Result=3","7153139")</f>
        <v>0</v>
      </c>
      <c r="B11857" t="s">
        <v>1115</v>
      </c>
      <c r="C11857" t="s">
        <v>14870</v>
      </c>
      <c r="D11857" t="s">
        <v>17167</v>
      </c>
      <c r="E11857" t="s">
        <v>27331</v>
      </c>
      <c r="F11857" t="s">
        <v>29372</v>
      </c>
      <c r="G11857" t="s">
        <v>29380</v>
      </c>
      <c r="H11857" t="s">
        <v>29389</v>
      </c>
      <c r="I11857" t="s">
        <v>10408</v>
      </c>
      <c r="J11857" t="s">
        <v>37015</v>
      </c>
      <c r="K11857" t="s">
        <v>38582</v>
      </c>
      <c r="M11857" t="s">
        <v>42341</v>
      </c>
      <c r="N11857" t="s">
        <v>42669</v>
      </c>
      <c r="O11857" t="s">
        <v>42670</v>
      </c>
      <c r="P11857">
        <v>0</v>
      </c>
      <c r="Q11857">
        <v>0</v>
      </c>
      <c r="R11857" t="s">
        <v>42689</v>
      </c>
      <c r="S11857" t="s">
        <v>43461</v>
      </c>
      <c r="T11857" t="s">
        <v>44524</v>
      </c>
      <c r="U11857" t="s">
        <v>54514</v>
      </c>
      <c r="W11857" t="s">
        <v>42341</v>
      </c>
      <c r="X11857" t="s">
        <v>42692</v>
      </c>
    </row>
    <row r="11858" spans="1:24">
      <c r="A11858">
        <f>HYPERLINK("https://www.philgeps.gov.ph/GEPSNONPILOT/Tender/SplashBidNoticeAbstractUI.aspx?menuIndex=3&amp;refID=7151962&amp;Result=3","7151962")</f>
        <v>0</v>
      </c>
      <c r="B11858" t="s">
        <v>3140</v>
      </c>
      <c r="C11858" t="s">
        <v>14871</v>
      </c>
      <c r="D11858" t="s">
        <v>17158</v>
      </c>
      <c r="E11858" t="s">
        <v>27332</v>
      </c>
      <c r="F11858" t="s">
        <v>29372</v>
      </c>
      <c r="G11858" t="s">
        <v>29380</v>
      </c>
      <c r="H11858" t="s">
        <v>29389</v>
      </c>
      <c r="I11858" t="s">
        <v>10408</v>
      </c>
      <c r="J11858" t="s">
        <v>37016</v>
      </c>
      <c r="K11858" t="s">
        <v>38495</v>
      </c>
      <c r="M11858" t="s">
        <v>42186</v>
      </c>
      <c r="N11858" t="s">
        <v>42669</v>
      </c>
      <c r="O11858" t="s">
        <v>42670</v>
      </c>
      <c r="P11858">
        <v>0</v>
      </c>
      <c r="Q11858">
        <v>0</v>
      </c>
      <c r="R11858" t="s">
        <v>42689</v>
      </c>
      <c r="S11858" t="s">
        <v>43461</v>
      </c>
      <c r="T11858" t="s">
        <v>44470</v>
      </c>
      <c r="U11858" t="s">
        <v>54515</v>
      </c>
      <c r="W11858" t="s">
        <v>42186</v>
      </c>
      <c r="X11858" t="s">
        <v>42693</v>
      </c>
    </row>
    <row r="11859" spans="1:24">
      <c r="A11859">
        <f>HYPERLINK("https://www.philgeps.gov.ph/GEPSNONPILOT/Tender/SplashBidNoticeAbstractUI.aspx?menuIndex=3&amp;refID=7154138&amp;Result=3","7154138")</f>
        <v>0</v>
      </c>
      <c r="B11859" t="s">
        <v>2777</v>
      </c>
      <c r="C11859" t="s">
        <v>14872</v>
      </c>
      <c r="D11859" t="s">
        <v>17151</v>
      </c>
      <c r="E11859" t="s">
        <v>27333</v>
      </c>
      <c r="F11859" t="s">
        <v>29372</v>
      </c>
      <c r="G11859" t="s">
        <v>29380</v>
      </c>
      <c r="H11859" t="s">
        <v>11048</v>
      </c>
      <c r="I11859" t="s">
        <v>29393</v>
      </c>
      <c r="J11859" t="s">
        <v>37017</v>
      </c>
      <c r="K11859" t="s">
        <v>38488</v>
      </c>
      <c r="M11859" t="s">
        <v>41762</v>
      </c>
      <c r="N11859" t="s">
        <v>42669</v>
      </c>
      <c r="O11859" t="s">
        <v>42670</v>
      </c>
      <c r="P11859">
        <v>0</v>
      </c>
      <c r="Q11859">
        <v>0</v>
      </c>
      <c r="R11859" t="s">
        <v>42689</v>
      </c>
      <c r="S11859" t="s">
        <v>43461</v>
      </c>
      <c r="T11859" t="s">
        <v>44441</v>
      </c>
      <c r="U11859" t="s">
        <v>54508</v>
      </c>
      <c r="V11859" t="s">
        <v>57388</v>
      </c>
      <c r="W11859" t="s">
        <v>41762</v>
      </c>
      <c r="X11859" t="s">
        <v>42692</v>
      </c>
    </row>
    <row r="11860" spans="1:24">
      <c r="A11860">
        <f>HYPERLINK("https://www.philgeps.gov.ph/GEPSNONPILOT/Tender/SplashBidNoticeAbstractUI.aspx?menuIndex=3&amp;refID=7150609&amp;Result=3","7150609")</f>
        <v>0</v>
      </c>
      <c r="B11860" t="s">
        <v>2002</v>
      </c>
      <c r="C11860" t="s">
        <v>14873</v>
      </c>
      <c r="D11860" t="s">
        <v>17153</v>
      </c>
      <c r="E11860" t="s">
        <v>27334</v>
      </c>
      <c r="F11860" t="s">
        <v>29372</v>
      </c>
      <c r="G11860" t="s">
        <v>29380</v>
      </c>
      <c r="H11860" t="s">
        <v>29389</v>
      </c>
      <c r="I11860" t="s">
        <v>10408</v>
      </c>
      <c r="J11860" t="s">
        <v>29619</v>
      </c>
      <c r="K11860" t="s">
        <v>38489</v>
      </c>
      <c r="M11860" t="s">
        <v>40892</v>
      </c>
      <c r="N11860" t="s">
        <v>42669</v>
      </c>
      <c r="O11860" t="s">
        <v>42670</v>
      </c>
      <c r="P11860">
        <v>0</v>
      </c>
      <c r="Q11860">
        <v>0</v>
      </c>
      <c r="R11860" t="s">
        <v>42689</v>
      </c>
      <c r="S11860" t="s">
        <v>43461</v>
      </c>
      <c r="T11860" t="s">
        <v>44481</v>
      </c>
      <c r="U11860" t="s">
        <v>54516</v>
      </c>
      <c r="W11860" t="s">
        <v>40892</v>
      </c>
      <c r="X11860" t="s">
        <v>42693</v>
      </c>
    </row>
    <row r="11861" spans="1:24">
      <c r="A11861">
        <f>HYPERLINK("https://www.philgeps.gov.ph/GEPSNONPILOT/Tender/SplashBidNoticeAbstractUI.aspx?menuIndex=3&amp;refID=7151972&amp;Result=3","7151972")</f>
        <v>0</v>
      </c>
      <c r="B11861" t="s">
        <v>3140</v>
      </c>
      <c r="C11861" t="s">
        <v>14874</v>
      </c>
      <c r="D11861" t="s">
        <v>17158</v>
      </c>
      <c r="E11861" t="s">
        <v>27335</v>
      </c>
      <c r="F11861" t="s">
        <v>29372</v>
      </c>
      <c r="G11861" t="s">
        <v>29380</v>
      </c>
      <c r="H11861" t="s">
        <v>29389</v>
      </c>
      <c r="I11861" t="s">
        <v>10408</v>
      </c>
      <c r="J11861" t="s">
        <v>37018</v>
      </c>
      <c r="K11861" t="s">
        <v>38496</v>
      </c>
      <c r="M11861" t="s">
        <v>42186</v>
      </c>
      <c r="N11861" t="s">
        <v>42669</v>
      </c>
      <c r="O11861" t="s">
        <v>42670</v>
      </c>
      <c r="P11861">
        <v>0</v>
      </c>
      <c r="Q11861">
        <v>0</v>
      </c>
      <c r="R11861" t="s">
        <v>42689</v>
      </c>
      <c r="S11861" t="s">
        <v>43461</v>
      </c>
      <c r="T11861" t="s">
        <v>44470</v>
      </c>
      <c r="U11861" t="s">
        <v>54517</v>
      </c>
      <c r="W11861" t="s">
        <v>42186</v>
      </c>
      <c r="X11861" t="s">
        <v>42693</v>
      </c>
    </row>
    <row r="11862" spans="1:24">
      <c r="A11862">
        <f>HYPERLINK("https://www.philgeps.gov.ph/GEPSNONPILOT/Tender/SplashBidNoticeAbstractUI.aspx?menuIndex=3&amp;refID=7152916&amp;Result=3","7152916")</f>
        <v>0</v>
      </c>
      <c r="B11862" t="s">
        <v>1115</v>
      </c>
      <c r="C11862" t="s">
        <v>14875</v>
      </c>
      <c r="D11862" t="s">
        <v>17167</v>
      </c>
      <c r="E11862" t="s">
        <v>27336</v>
      </c>
      <c r="F11862" t="s">
        <v>29372</v>
      </c>
      <c r="G11862" t="s">
        <v>29380</v>
      </c>
      <c r="H11862" t="s">
        <v>29389</v>
      </c>
      <c r="I11862" t="s">
        <v>10408</v>
      </c>
      <c r="J11862" t="s">
        <v>37019</v>
      </c>
      <c r="K11862" t="s">
        <v>38571</v>
      </c>
      <c r="M11862" t="s">
        <v>42341</v>
      </c>
      <c r="N11862" t="s">
        <v>42669</v>
      </c>
      <c r="O11862" t="s">
        <v>42670</v>
      </c>
      <c r="P11862">
        <v>0</v>
      </c>
      <c r="Q11862">
        <v>0</v>
      </c>
      <c r="R11862" t="s">
        <v>42689</v>
      </c>
      <c r="S11862" t="s">
        <v>43461</v>
      </c>
      <c r="T11862" t="s">
        <v>44524</v>
      </c>
      <c r="U11862" t="s">
        <v>54518</v>
      </c>
      <c r="W11862" t="s">
        <v>42341</v>
      </c>
      <c r="X11862" t="s">
        <v>42692</v>
      </c>
    </row>
    <row r="11863" spans="1:24">
      <c r="A11863">
        <f>HYPERLINK("https://www.philgeps.gov.ph/GEPSNONPILOT/Tender/SplashBidNoticeAbstractUI.aspx?menuIndex=3&amp;refID=7151980&amp;Result=3","7151980")</f>
        <v>0</v>
      </c>
      <c r="B11863" t="s">
        <v>3140</v>
      </c>
      <c r="C11863" t="s">
        <v>14876</v>
      </c>
      <c r="D11863" t="s">
        <v>17158</v>
      </c>
      <c r="E11863" t="s">
        <v>27337</v>
      </c>
      <c r="F11863" t="s">
        <v>29372</v>
      </c>
      <c r="G11863" t="s">
        <v>29380</v>
      </c>
      <c r="H11863" t="s">
        <v>29389</v>
      </c>
      <c r="I11863" t="s">
        <v>10408</v>
      </c>
      <c r="J11863" t="s">
        <v>37018</v>
      </c>
      <c r="K11863" t="s">
        <v>38496</v>
      </c>
      <c r="M11863" t="s">
        <v>42186</v>
      </c>
      <c r="N11863" t="s">
        <v>42669</v>
      </c>
      <c r="O11863" t="s">
        <v>42670</v>
      </c>
      <c r="P11863">
        <v>0</v>
      </c>
      <c r="Q11863">
        <v>0</v>
      </c>
      <c r="R11863" t="s">
        <v>42689</v>
      </c>
      <c r="S11863" t="s">
        <v>43461</v>
      </c>
      <c r="T11863" t="s">
        <v>44470</v>
      </c>
      <c r="U11863" t="s">
        <v>54519</v>
      </c>
      <c r="W11863" t="s">
        <v>42186</v>
      </c>
      <c r="X11863" t="s">
        <v>42693</v>
      </c>
    </row>
    <row r="11864" spans="1:24">
      <c r="A11864">
        <f>HYPERLINK("https://www.philgeps.gov.ph/GEPSNONPILOT/Tender/SplashBidNoticeAbstractUI.aspx?menuIndex=3&amp;refID=7156300&amp;Result=3","7156300")</f>
        <v>0</v>
      </c>
      <c r="B11864" t="s">
        <v>3270</v>
      </c>
      <c r="C11864" t="s">
        <v>14877</v>
      </c>
      <c r="D11864" t="s">
        <v>17177</v>
      </c>
      <c r="E11864" t="s">
        <v>27338</v>
      </c>
      <c r="F11864" t="s">
        <v>29372</v>
      </c>
      <c r="G11864" t="s">
        <v>29380</v>
      </c>
      <c r="H11864" t="s">
        <v>11048</v>
      </c>
      <c r="I11864" t="s">
        <v>29407</v>
      </c>
      <c r="J11864" t="s">
        <v>37020</v>
      </c>
      <c r="K11864" t="s">
        <v>38485</v>
      </c>
      <c r="M11864" t="s">
        <v>42342</v>
      </c>
      <c r="N11864" t="s">
        <v>42669</v>
      </c>
      <c r="O11864" t="s">
        <v>42670</v>
      </c>
      <c r="P11864">
        <v>0</v>
      </c>
      <c r="Q11864">
        <v>5</v>
      </c>
      <c r="R11864" t="s">
        <v>42689</v>
      </c>
      <c r="S11864" t="s">
        <v>43461</v>
      </c>
      <c r="T11864" t="s">
        <v>44401</v>
      </c>
      <c r="U11864" t="s">
        <v>54520</v>
      </c>
      <c r="W11864" t="s">
        <v>42342</v>
      </c>
      <c r="X11864" t="s">
        <v>42691</v>
      </c>
    </row>
    <row r="11865" spans="1:24">
      <c r="A11865">
        <f>HYPERLINK("https://www.philgeps.gov.ph/GEPSNONPILOT/Tender/SplashBidNoticeAbstractUI.aspx?menuIndex=3&amp;refID=7156073&amp;Result=3","7156073")</f>
        <v>0</v>
      </c>
      <c r="B11865" t="s">
        <v>572</v>
      </c>
      <c r="C11865" t="s">
        <v>14878</v>
      </c>
      <c r="D11865" t="s">
        <v>17165</v>
      </c>
      <c r="E11865" t="s">
        <v>27339</v>
      </c>
      <c r="F11865" t="s">
        <v>29372</v>
      </c>
      <c r="G11865" t="s">
        <v>29380</v>
      </c>
      <c r="H11865" t="s">
        <v>29389</v>
      </c>
      <c r="I11865" t="s">
        <v>10408</v>
      </c>
      <c r="J11865" t="s">
        <v>37021</v>
      </c>
      <c r="K11865" t="s">
        <v>38525</v>
      </c>
      <c r="M11865" t="s">
        <v>39341</v>
      </c>
      <c r="N11865" t="s">
        <v>42669</v>
      </c>
      <c r="O11865" t="s">
        <v>42670</v>
      </c>
      <c r="P11865">
        <v>0</v>
      </c>
      <c r="Q11865">
        <v>0</v>
      </c>
      <c r="R11865" t="s">
        <v>42689</v>
      </c>
      <c r="S11865" t="s">
        <v>43461</v>
      </c>
      <c r="T11865" t="s">
        <v>44387</v>
      </c>
      <c r="U11865" t="s">
        <v>54203</v>
      </c>
      <c r="W11865" t="s">
        <v>39341</v>
      </c>
      <c r="X11865" t="s">
        <v>42691</v>
      </c>
    </row>
    <row r="11866" spans="1:24">
      <c r="A11866">
        <f>HYPERLINK("https://www.philgeps.gov.ph/GEPSNONPILOT/Tender/SplashBidNoticeAbstractUI.aspx?menuIndex=3&amp;refID=7153330&amp;Result=3","7153330")</f>
        <v>0</v>
      </c>
      <c r="B11866" t="s">
        <v>1115</v>
      </c>
      <c r="C11866" t="s">
        <v>14879</v>
      </c>
      <c r="D11866" t="s">
        <v>17167</v>
      </c>
      <c r="E11866" t="s">
        <v>27340</v>
      </c>
      <c r="F11866" t="s">
        <v>29372</v>
      </c>
      <c r="G11866" t="s">
        <v>29380</v>
      </c>
      <c r="H11866" t="s">
        <v>29389</v>
      </c>
      <c r="I11866" t="s">
        <v>10408</v>
      </c>
      <c r="J11866" t="s">
        <v>37022</v>
      </c>
      <c r="K11866" t="s">
        <v>38681</v>
      </c>
      <c r="M11866" t="s">
        <v>42341</v>
      </c>
      <c r="N11866" t="s">
        <v>42669</v>
      </c>
      <c r="O11866" t="s">
        <v>42670</v>
      </c>
      <c r="P11866">
        <v>0</v>
      </c>
      <c r="Q11866">
        <v>0</v>
      </c>
      <c r="R11866" t="s">
        <v>42689</v>
      </c>
      <c r="S11866" t="s">
        <v>43461</v>
      </c>
      <c r="T11866" t="s">
        <v>44524</v>
      </c>
      <c r="U11866" t="s">
        <v>54521</v>
      </c>
      <c r="W11866" t="s">
        <v>42341</v>
      </c>
      <c r="X11866" t="s">
        <v>42692</v>
      </c>
    </row>
    <row r="11867" spans="1:24">
      <c r="A11867">
        <f>HYPERLINK("https://www.philgeps.gov.ph/GEPSNONPILOT/Tender/SplashBidNoticeAbstractUI.aspx?menuIndex=3&amp;refID=7156935&amp;Result=3","7156935")</f>
        <v>0</v>
      </c>
      <c r="B11867" t="s">
        <v>278</v>
      </c>
      <c r="C11867" t="s">
        <v>14880</v>
      </c>
      <c r="D11867" t="s">
        <v>17206</v>
      </c>
      <c r="E11867" t="s">
        <v>27341</v>
      </c>
      <c r="F11867" t="s">
        <v>29372</v>
      </c>
      <c r="G11867" t="s">
        <v>29380</v>
      </c>
      <c r="H11867" t="s">
        <v>11048</v>
      </c>
      <c r="I11867" t="s">
        <v>29417</v>
      </c>
      <c r="J11867" t="s">
        <v>29728</v>
      </c>
      <c r="K11867" t="s">
        <v>38496</v>
      </c>
      <c r="M11867" t="s">
        <v>39138</v>
      </c>
      <c r="N11867" t="s">
        <v>42669</v>
      </c>
      <c r="O11867" t="s">
        <v>42670</v>
      </c>
      <c r="Q11867">
        <v>5</v>
      </c>
      <c r="R11867" t="s">
        <v>42689</v>
      </c>
      <c r="S11867" t="s">
        <v>43121</v>
      </c>
      <c r="T11867" t="s">
        <v>44631</v>
      </c>
      <c r="U11867" t="s">
        <v>54522</v>
      </c>
      <c r="W11867" t="s">
        <v>39138</v>
      </c>
      <c r="X11867" t="s">
        <v>42691</v>
      </c>
    </row>
    <row r="11868" spans="1:24">
      <c r="A11868">
        <f>HYPERLINK("https://www.philgeps.gov.ph/GEPSNONPILOT/Tender/SplashBidNoticeAbstractUI.aspx?menuIndex=3&amp;refID=7156249&amp;Result=3","7156249")</f>
        <v>0</v>
      </c>
      <c r="B11868" t="s">
        <v>3147</v>
      </c>
      <c r="C11868" t="s">
        <v>14881</v>
      </c>
      <c r="D11868" t="s">
        <v>17198</v>
      </c>
      <c r="E11868" t="s">
        <v>27342</v>
      </c>
      <c r="F11868" t="s">
        <v>29372</v>
      </c>
      <c r="G11868" t="s">
        <v>29380</v>
      </c>
      <c r="H11868" t="s">
        <v>11048</v>
      </c>
      <c r="I11868" t="s">
        <v>4709</v>
      </c>
      <c r="J11868" t="s">
        <v>37023</v>
      </c>
      <c r="K11868" t="s">
        <v>38488</v>
      </c>
      <c r="M11868" t="s">
        <v>42194</v>
      </c>
      <c r="N11868" t="s">
        <v>42669</v>
      </c>
      <c r="O11868" t="s">
        <v>42670</v>
      </c>
      <c r="P11868">
        <v>0</v>
      </c>
      <c r="Q11868">
        <v>1</v>
      </c>
      <c r="R11868" t="s">
        <v>42689</v>
      </c>
      <c r="S11868" t="s">
        <v>43461</v>
      </c>
      <c r="T11868" t="s">
        <v>44470</v>
      </c>
      <c r="U11868" t="s">
        <v>46058</v>
      </c>
      <c r="W11868" t="s">
        <v>42194</v>
      </c>
      <c r="X11868" t="s">
        <v>42691</v>
      </c>
    </row>
    <row r="11869" spans="1:24">
      <c r="A11869">
        <f>HYPERLINK("https://www.philgeps.gov.ph/GEPSNONPILOT/Tender/SplashBidNoticeAbstractUI.aspx?menuIndex=3&amp;refID=7155905&amp;Result=3","7155905")</f>
        <v>0</v>
      </c>
      <c r="B11869" t="s">
        <v>572</v>
      </c>
      <c r="C11869" t="s">
        <v>14882</v>
      </c>
      <c r="D11869" t="s">
        <v>17165</v>
      </c>
      <c r="E11869" t="s">
        <v>27343</v>
      </c>
      <c r="F11869" t="s">
        <v>29372</v>
      </c>
      <c r="G11869" t="s">
        <v>29380</v>
      </c>
      <c r="H11869" t="s">
        <v>29389</v>
      </c>
      <c r="I11869" t="s">
        <v>10408</v>
      </c>
      <c r="J11869" t="s">
        <v>37024</v>
      </c>
      <c r="K11869" t="s">
        <v>38503</v>
      </c>
      <c r="M11869" t="s">
        <v>39341</v>
      </c>
      <c r="N11869" t="s">
        <v>42669</v>
      </c>
      <c r="O11869" t="s">
        <v>42670</v>
      </c>
      <c r="P11869">
        <v>0</v>
      </c>
      <c r="Q11869">
        <v>0</v>
      </c>
      <c r="R11869" t="s">
        <v>42689</v>
      </c>
      <c r="S11869" t="s">
        <v>43461</v>
      </c>
      <c r="T11869" t="s">
        <v>44387</v>
      </c>
      <c r="U11869" t="s">
        <v>54203</v>
      </c>
      <c r="W11869" t="s">
        <v>39341</v>
      </c>
      <c r="X11869" t="s">
        <v>42691</v>
      </c>
    </row>
    <row r="11870" spans="1:24">
      <c r="A11870">
        <f>HYPERLINK("https://www.philgeps.gov.ph/GEPSNONPILOT/Tender/SplashBidNoticeAbstractUI.aspx?menuIndex=3&amp;refID=7155577&amp;Result=3","7155577")</f>
        <v>0</v>
      </c>
      <c r="B11870" t="s">
        <v>3260</v>
      </c>
      <c r="C11870" t="s">
        <v>14883</v>
      </c>
      <c r="D11870" t="s">
        <v>17161</v>
      </c>
      <c r="E11870" t="s">
        <v>27344</v>
      </c>
      <c r="F11870" t="s">
        <v>29372</v>
      </c>
      <c r="G11870" t="s">
        <v>29380</v>
      </c>
      <c r="H11870" t="s">
        <v>29389</v>
      </c>
      <c r="I11870" t="s">
        <v>10408</v>
      </c>
      <c r="J11870" t="s">
        <v>29683</v>
      </c>
      <c r="K11870" t="s">
        <v>38739</v>
      </c>
      <c r="M11870" t="s">
        <v>42329</v>
      </c>
      <c r="N11870" t="s">
        <v>42669</v>
      </c>
      <c r="O11870" t="s">
        <v>42670</v>
      </c>
      <c r="P11870">
        <v>0</v>
      </c>
      <c r="Q11870">
        <v>0</v>
      </c>
      <c r="R11870" t="s">
        <v>42689</v>
      </c>
      <c r="S11870" t="s">
        <v>43461</v>
      </c>
      <c r="T11870" t="s">
        <v>44629</v>
      </c>
      <c r="U11870" t="s">
        <v>54523</v>
      </c>
      <c r="V11870" t="s">
        <v>57709</v>
      </c>
      <c r="W11870" t="s">
        <v>42329</v>
      </c>
      <c r="X11870" t="s">
        <v>42691</v>
      </c>
    </row>
    <row r="11871" spans="1:24">
      <c r="A11871">
        <f>HYPERLINK("https://www.philgeps.gov.ph/GEPSNONPILOT/Tender/SplashBidNoticeAbstractUI.aspx?menuIndex=3&amp;refID=7164240&amp;Result=3","7164240")</f>
        <v>0</v>
      </c>
      <c r="B11871" t="s">
        <v>246</v>
      </c>
      <c r="C11871" t="s">
        <v>14884</v>
      </c>
      <c r="E11871" t="s">
        <v>27345</v>
      </c>
      <c r="F11871" t="s">
        <v>29372</v>
      </c>
      <c r="G11871" t="s">
        <v>29379</v>
      </c>
      <c r="H11871" t="s">
        <v>11048</v>
      </c>
      <c r="I11871" t="s">
        <v>8614</v>
      </c>
      <c r="J11871" t="s">
        <v>37025</v>
      </c>
      <c r="K11871" t="s">
        <v>38490</v>
      </c>
      <c r="M11871" t="s">
        <v>39005</v>
      </c>
      <c r="N11871" t="s">
        <v>42669</v>
      </c>
      <c r="O11871" t="s">
        <v>42670</v>
      </c>
      <c r="Q11871">
        <v>11</v>
      </c>
      <c r="R11871" t="s">
        <v>42688</v>
      </c>
      <c r="S11871" t="s">
        <v>43465</v>
      </c>
      <c r="T11871" t="s">
        <v>44470</v>
      </c>
      <c r="U11871" t="s">
        <v>54524</v>
      </c>
      <c r="W11871" t="s">
        <v>39005</v>
      </c>
      <c r="X11871" t="s">
        <v>42689</v>
      </c>
    </row>
    <row r="11872" spans="1:24">
      <c r="A11872">
        <f>HYPERLINK("https://www.philgeps.gov.ph/GEPSNONPILOT/Tender/SplashBidNoticeAbstractUI.aspx?menuIndex=3&amp;refID=7155448&amp;Result=3","7155448")</f>
        <v>0</v>
      </c>
      <c r="B11872" t="s">
        <v>589</v>
      </c>
      <c r="C11872" t="s">
        <v>14885</v>
      </c>
      <c r="D11872" t="s">
        <v>17168</v>
      </c>
      <c r="E11872" t="s">
        <v>27346</v>
      </c>
      <c r="F11872" t="s">
        <v>29372</v>
      </c>
      <c r="G11872" t="s">
        <v>29380</v>
      </c>
      <c r="H11872" t="s">
        <v>11048</v>
      </c>
      <c r="I11872" t="s">
        <v>29414</v>
      </c>
      <c r="J11872" t="s">
        <v>29734</v>
      </c>
      <c r="K11872" t="s">
        <v>38538</v>
      </c>
      <c r="M11872" t="s">
        <v>40450</v>
      </c>
      <c r="N11872" t="s">
        <v>42669</v>
      </c>
      <c r="O11872" t="s">
        <v>42670</v>
      </c>
      <c r="Q11872">
        <v>8</v>
      </c>
      <c r="R11872" t="s">
        <v>42689</v>
      </c>
      <c r="S11872" t="s">
        <v>43422</v>
      </c>
      <c r="T11872" t="s">
        <v>44480</v>
      </c>
      <c r="U11872" t="s">
        <v>54525</v>
      </c>
      <c r="V11872" t="s">
        <v>56701</v>
      </c>
      <c r="W11872" t="s">
        <v>40450</v>
      </c>
      <c r="X11872" t="s">
        <v>42691</v>
      </c>
    </row>
    <row r="11873" spans="1:24">
      <c r="A11873">
        <f>HYPERLINK("https://www.philgeps.gov.ph/GEPSNONPILOT/Tender/SplashBidNoticeAbstractUI.aspx?menuIndex=3&amp;refID=7155776&amp;Result=3","7155776")</f>
        <v>0</v>
      </c>
      <c r="B11873" t="s">
        <v>28</v>
      </c>
      <c r="C11873" t="s">
        <v>14886</v>
      </c>
      <c r="D11873" t="s">
        <v>17144</v>
      </c>
      <c r="E11873" t="s">
        <v>27347</v>
      </c>
      <c r="F11873" t="s">
        <v>29372</v>
      </c>
      <c r="G11873" t="s">
        <v>29380</v>
      </c>
      <c r="H11873" t="s">
        <v>29389</v>
      </c>
      <c r="I11873" t="s">
        <v>10408</v>
      </c>
      <c r="J11873" t="s">
        <v>37026</v>
      </c>
      <c r="K11873" t="s">
        <v>38669</v>
      </c>
      <c r="M11873" t="s">
        <v>38781</v>
      </c>
      <c r="N11873" t="s">
        <v>42669</v>
      </c>
      <c r="O11873" t="s">
        <v>42670</v>
      </c>
      <c r="P11873">
        <v>0</v>
      </c>
      <c r="Q11873">
        <v>5</v>
      </c>
      <c r="R11873" t="s">
        <v>42689</v>
      </c>
      <c r="S11873" t="s">
        <v>43461</v>
      </c>
      <c r="T11873" t="s">
        <v>44427</v>
      </c>
      <c r="U11873" t="s">
        <v>54526</v>
      </c>
      <c r="W11873" t="s">
        <v>38781</v>
      </c>
      <c r="X11873" t="s">
        <v>42691</v>
      </c>
    </row>
    <row r="11874" spans="1:24">
      <c r="A11874">
        <f>HYPERLINK("https://www.philgeps.gov.ph/GEPSNONPILOT/Tender/SplashBidNoticeAbstractUI.aspx?menuIndex=3&amp;refID=7155409&amp;Result=3","7155409")</f>
        <v>0</v>
      </c>
      <c r="B11874" t="s">
        <v>675</v>
      </c>
      <c r="C11874" t="s">
        <v>14887</v>
      </c>
      <c r="D11874" t="s">
        <v>17188</v>
      </c>
      <c r="E11874" t="s">
        <v>27348</v>
      </c>
      <c r="F11874" t="s">
        <v>29372</v>
      </c>
      <c r="G11874" t="s">
        <v>29380</v>
      </c>
      <c r="H11874" t="s">
        <v>29389</v>
      </c>
      <c r="I11874" t="s">
        <v>10408</v>
      </c>
      <c r="J11874" t="s">
        <v>37027</v>
      </c>
      <c r="K11874" t="s">
        <v>38740</v>
      </c>
      <c r="M11874" t="s">
        <v>39451</v>
      </c>
      <c r="N11874" t="s">
        <v>42669</v>
      </c>
      <c r="O11874" t="s">
        <v>42670</v>
      </c>
      <c r="P11874">
        <v>0</v>
      </c>
      <c r="Q11874">
        <v>0</v>
      </c>
      <c r="R11874" t="s">
        <v>42689</v>
      </c>
      <c r="S11874" t="s">
        <v>43461</v>
      </c>
      <c r="T11874" t="s">
        <v>44427</v>
      </c>
      <c r="U11874" t="s">
        <v>54527</v>
      </c>
      <c r="W11874" t="s">
        <v>39451</v>
      </c>
      <c r="X11874" t="s">
        <v>42691</v>
      </c>
    </row>
    <row r="11875" spans="1:24">
      <c r="A11875">
        <f>HYPERLINK("https://www.philgeps.gov.ph/GEPSNONPILOT/Tender/SplashBidNoticeAbstractUI.aspx?menuIndex=3&amp;refID=7155689&amp;Result=3","7155689")</f>
        <v>0</v>
      </c>
      <c r="B11875" t="s">
        <v>28</v>
      </c>
      <c r="C11875" t="s">
        <v>14888</v>
      </c>
      <c r="D11875" t="s">
        <v>17144</v>
      </c>
      <c r="E11875" t="s">
        <v>27349</v>
      </c>
      <c r="F11875" t="s">
        <v>29372</v>
      </c>
      <c r="G11875" t="s">
        <v>29380</v>
      </c>
      <c r="H11875" t="s">
        <v>29389</v>
      </c>
      <c r="I11875" t="s">
        <v>10408</v>
      </c>
      <c r="J11875" t="s">
        <v>37028</v>
      </c>
      <c r="K11875" t="s">
        <v>38555</v>
      </c>
      <c r="M11875" t="s">
        <v>38781</v>
      </c>
      <c r="N11875" t="s">
        <v>42669</v>
      </c>
      <c r="O11875" t="s">
        <v>42670</v>
      </c>
      <c r="P11875">
        <v>0</v>
      </c>
      <c r="Q11875">
        <v>4</v>
      </c>
      <c r="R11875" t="s">
        <v>42689</v>
      </c>
      <c r="S11875" t="s">
        <v>43461</v>
      </c>
      <c r="T11875" t="s">
        <v>44427</v>
      </c>
      <c r="U11875" t="s">
        <v>54528</v>
      </c>
      <c r="W11875" t="s">
        <v>38781</v>
      </c>
      <c r="X11875" t="s">
        <v>42691</v>
      </c>
    </row>
    <row r="11876" spans="1:24">
      <c r="A11876">
        <f>HYPERLINK("https://www.philgeps.gov.ph/GEPSNONPILOT/Tender/SplashBidNoticeAbstractUI.aspx?menuIndex=3&amp;refID=7155483&amp;Result=3","7155483")</f>
        <v>0</v>
      </c>
      <c r="B11876" t="s">
        <v>589</v>
      </c>
      <c r="C11876" t="s">
        <v>14889</v>
      </c>
      <c r="D11876" t="s">
        <v>17168</v>
      </c>
      <c r="E11876" t="s">
        <v>27350</v>
      </c>
      <c r="F11876" t="s">
        <v>29372</v>
      </c>
      <c r="G11876" t="s">
        <v>29380</v>
      </c>
      <c r="H11876" t="s">
        <v>11048</v>
      </c>
      <c r="I11876" t="s">
        <v>29414</v>
      </c>
      <c r="J11876" t="s">
        <v>30056</v>
      </c>
      <c r="K11876" t="s">
        <v>38538</v>
      </c>
      <c r="M11876" t="s">
        <v>40450</v>
      </c>
      <c r="N11876" t="s">
        <v>42669</v>
      </c>
      <c r="O11876" t="s">
        <v>42670</v>
      </c>
      <c r="Q11876">
        <v>6</v>
      </c>
      <c r="R11876" t="s">
        <v>42689</v>
      </c>
      <c r="S11876" t="s">
        <v>43466</v>
      </c>
      <c r="T11876" t="s">
        <v>44480</v>
      </c>
      <c r="U11876" t="s">
        <v>54529</v>
      </c>
      <c r="V11876" t="s">
        <v>56701</v>
      </c>
      <c r="W11876" t="s">
        <v>40450</v>
      </c>
      <c r="X11876" t="s">
        <v>42691</v>
      </c>
    </row>
    <row r="11877" spans="1:24">
      <c r="A11877">
        <f>HYPERLINK("https://www.philgeps.gov.ph/GEPSNONPILOT/Tender/SplashBidNoticeAbstractUI.aspx?menuIndex=3&amp;refID=7155443&amp;Result=3","7155443")</f>
        <v>0</v>
      </c>
      <c r="B11877" t="s">
        <v>675</v>
      </c>
      <c r="C11877" t="s">
        <v>14890</v>
      </c>
      <c r="D11877" t="s">
        <v>17188</v>
      </c>
      <c r="E11877" t="s">
        <v>27351</v>
      </c>
      <c r="F11877" t="s">
        <v>29372</v>
      </c>
      <c r="G11877" t="s">
        <v>29380</v>
      </c>
      <c r="H11877" t="s">
        <v>29389</v>
      </c>
      <c r="I11877" t="s">
        <v>10408</v>
      </c>
      <c r="J11877" t="s">
        <v>37029</v>
      </c>
      <c r="K11877" t="s">
        <v>38741</v>
      </c>
      <c r="M11877" t="s">
        <v>39451</v>
      </c>
      <c r="N11877" t="s">
        <v>42669</v>
      </c>
      <c r="O11877" t="s">
        <v>42670</v>
      </c>
      <c r="P11877">
        <v>0</v>
      </c>
      <c r="Q11877">
        <v>0</v>
      </c>
      <c r="R11877" t="s">
        <v>42689</v>
      </c>
      <c r="S11877" t="s">
        <v>43461</v>
      </c>
      <c r="T11877" t="s">
        <v>44427</v>
      </c>
      <c r="U11877" t="s">
        <v>54530</v>
      </c>
      <c r="W11877" t="s">
        <v>39451</v>
      </c>
      <c r="X11877" t="s">
        <v>42691</v>
      </c>
    </row>
    <row r="11878" spans="1:24">
      <c r="A11878">
        <f>HYPERLINK("https://www.philgeps.gov.ph/GEPSNONPILOT/Tender/SplashBidNoticeAbstractUI.aspx?menuIndex=3&amp;refID=7157893&amp;Result=3","7157893")</f>
        <v>0</v>
      </c>
      <c r="B11878" t="s">
        <v>3271</v>
      </c>
      <c r="C11878" t="s">
        <v>14891</v>
      </c>
      <c r="D11878" t="s">
        <v>17141</v>
      </c>
      <c r="E11878" t="s">
        <v>27352</v>
      </c>
      <c r="F11878" t="s">
        <v>29372</v>
      </c>
      <c r="G11878" t="s">
        <v>29380</v>
      </c>
      <c r="H11878" t="s">
        <v>11048</v>
      </c>
      <c r="I11878" t="s">
        <v>14920</v>
      </c>
      <c r="J11878" t="s">
        <v>37030</v>
      </c>
      <c r="K11878" t="s">
        <v>38490</v>
      </c>
      <c r="M11878" t="s">
        <v>42343</v>
      </c>
      <c r="N11878" t="s">
        <v>42669</v>
      </c>
      <c r="O11878" t="s">
        <v>42670</v>
      </c>
      <c r="Q11878">
        <v>17</v>
      </c>
      <c r="R11878" t="s">
        <v>42689</v>
      </c>
      <c r="S11878" t="s">
        <v>43467</v>
      </c>
      <c r="T11878" t="s">
        <v>44371</v>
      </c>
      <c r="U11878" t="s">
        <v>54531</v>
      </c>
      <c r="W11878" t="s">
        <v>42343</v>
      </c>
      <c r="X11878" t="s">
        <v>42691</v>
      </c>
    </row>
    <row r="11879" spans="1:24">
      <c r="A11879">
        <f>HYPERLINK("https://www.philgeps.gov.ph/GEPSNONPILOT/Tender/SplashBidNoticeAbstractUI.aspx?menuIndex=3&amp;refID=7155629&amp;Result=3","7155629")</f>
        <v>0</v>
      </c>
      <c r="B11879" t="s">
        <v>589</v>
      </c>
      <c r="C11879" t="s">
        <v>14892</v>
      </c>
      <c r="D11879" t="s">
        <v>17168</v>
      </c>
      <c r="E11879" t="s">
        <v>27353</v>
      </c>
      <c r="F11879" t="s">
        <v>29372</v>
      </c>
      <c r="G11879" t="s">
        <v>29380</v>
      </c>
      <c r="H11879" t="s">
        <v>11048</v>
      </c>
      <c r="I11879" t="s">
        <v>3839</v>
      </c>
      <c r="J11879" t="s">
        <v>29929</v>
      </c>
      <c r="K11879" t="s">
        <v>38538</v>
      </c>
      <c r="M11879" t="s">
        <v>40450</v>
      </c>
      <c r="N11879" t="s">
        <v>42669</v>
      </c>
      <c r="O11879" t="s">
        <v>42670</v>
      </c>
      <c r="Q11879">
        <v>0</v>
      </c>
      <c r="R11879" t="s">
        <v>42689</v>
      </c>
      <c r="S11879" t="s">
        <v>43468</v>
      </c>
      <c r="T11879" t="s">
        <v>44480</v>
      </c>
      <c r="U11879" t="s">
        <v>54532</v>
      </c>
      <c r="V11879" t="s">
        <v>56701</v>
      </c>
      <c r="W11879" t="s">
        <v>40450</v>
      </c>
      <c r="X11879" t="s">
        <v>42691</v>
      </c>
    </row>
    <row r="11880" spans="1:24">
      <c r="A11880">
        <f>HYPERLINK("https://www.philgeps.gov.ph/GEPSNONPILOT/Tender/SplashBidNoticeAbstractUI.aspx?menuIndex=3&amp;refID=7157809&amp;Result=3","7157809")</f>
        <v>0</v>
      </c>
      <c r="B11880" t="s">
        <v>2789</v>
      </c>
      <c r="C11880" t="s">
        <v>14893</v>
      </c>
      <c r="D11880" t="s">
        <v>17161</v>
      </c>
      <c r="E11880" t="s">
        <v>27354</v>
      </c>
      <c r="F11880" t="s">
        <v>29372</v>
      </c>
      <c r="G11880" t="s">
        <v>29380</v>
      </c>
      <c r="H11880" t="s">
        <v>29389</v>
      </c>
      <c r="I11880" t="s">
        <v>10408</v>
      </c>
      <c r="J11880" t="s">
        <v>37031</v>
      </c>
      <c r="K11880" t="s">
        <v>38502</v>
      </c>
      <c r="M11880" t="s">
        <v>41776</v>
      </c>
      <c r="N11880" t="s">
        <v>42669</v>
      </c>
      <c r="O11880" t="s">
        <v>42670</v>
      </c>
      <c r="P11880">
        <v>0</v>
      </c>
      <c r="Q11880">
        <v>0</v>
      </c>
      <c r="R11880" t="s">
        <v>42689</v>
      </c>
      <c r="S11880" t="s">
        <v>43461</v>
      </c>
      <c r="T11880" t="s">
        <v>44412</v>
      </c>
      <c r="U11880" t="s">
        <v>54533</v>
      </c>
      <c r="W11880" t="s">
        <v>41776</v>
      </c>
      <c r="X11880" t="s">
        <v>42691</v>
      </c>
    </row>
    <row r="11881" spans="1:24">
      <c r="A11881">
        <f>HYPERLINK("https://www.philgeps.gov.ph/GEPSNONPILOT/Tender/SplashBidNoticeAbstractUI.aspx?menuIndex=3&amp;refID=7158130&amp;Result=3","7158130")</f>
        <v>0</v>
      </c>
      <c r="B11881" t="s">
        <v>143</v>
      </c>
      <c r="C11881" t="s">
        <v>14894</v>
      </c>
      <c r="D11881" t="s">
        <v>17182</v>
      </c>
      <c r="E11881" t="s">
        <v>27355</v>
      </c>
      <c r="F11881" t="s">
        <v>29372</v>
      </c>
      <c r="G11881" t="s">
        <v>29380</v>
      </c>
      <c r="H11881" t="s">
        <v>11048</v>
      </c>
      <c r="I11881" t="s">
        <v>29406</v>
      </c>
      <c r="J11881" t="s">
        <v>29549</v>
      </c>
      <c r="K11881" t="s">
        <v>38488</v>
      </c>
      <c r="M11881" t="s">
        <v>38898</v>
      </c>
      <c r="N11881" t="s">
        <v>42669</v>
      </c>
      <c r="O11881" t="s">
        <v>42670</v>
      </c>
      <c r="Q11881">
        <v>13</v>
      </c>
      <c r="R11881" t="s">
        <v>42689</v>
      </c>
      <c r="S11881" t="s">
        <v>43469</v>
      </c>
      <c r="T11881" t="s">
        <v>44585</v>
      </c>
      <c r="U11881" t="s">
        <v>54534</v>
      </c>
      <c r="W11881" t="s">
        <v>38898</v>
      </c>
      <c r="X11881" t="s">
        <v>42691</v>
      </c>
    </row>
    <row r="11882" spans="1:24">
      <c r="A11882">
        <f>HYPERLINK("https://www.philgeps.gov.ph/GEPSNONPILOT/Tender/SplashBidNoticeAbstractUI.aspx?menuIndex=3&amp;refID=7155992&amp;Result=3","7155992")</f>
        <v>0</v>
      </c>
      <c r="B11882" t="s">
        <v>572</v>
      </c>
      <c r="C11882" t="s">
        <v>14895</v>
      </c>
      <c r="D11882" t="s">
        <v>17165</v>
      </c>
      <c r="E11882" t="s">
        <v>27356</v>
      </c>
      <c r="F11882" t="s">
        <v>29372</v>
      </c>
      <c r="G11882" t="s">
        <v>29380</v>
      </c>
      <c r="H11882" t="s">
        <v>29389</v>
      </c>
      <c r="I11882" t="s">
        <v>10408</v>
      </c>
      <c r="J11882" t="s">
        <v>31110</v>
      </c>
      <c r="K11882" t="s">
        <v>38509</v>
      </c>
      <c r="M11882" t="s">
        <v>39341</v>
      </c>
      <c r="N11882" t="s">
        <v>42669</v>
      </c>
      <c r="O11882" t="s">
        <v>42670</v>
      </c>
      <c r="P11882">
        <v>0</v>
      </c>
      <c r="Q11882">
        <v>0</v>
      </c>
      <c r="R11882" t="s">
        <v>42689</v>
      </c>
      <c r="S11882" t="s">
        <v>43461</v>
      </c>
      <c r="T11882" t="s">
        <v>44387</v>
      </c>
      <c r="U11882" t="s">
        <v>54203</v>
      </c>
      <c r="W11882" t="s">
        <v>39341</v>
      </c>
      <c r="X11882" t="s">
        <v>42691</v>
      </c>
    </row>
    <row r="11883" spans="1:24">
      <c r="A11883">
        <f>HYPERLINK("https://www.philgeps.gov.ph/GEPSNONPILOT/Tender/SplashBidNoticeAbstractUI.aspx?menuIndex=3&amp;refID=7157802&amp;Result=3","7157802")</f>
        <v>0</v>
      </c>
      <c r="B11883" t="s">
        <v>693</v>
      </c>
      <c r="C11883" t="s">
        <v>14896</v>
      </c>
      <c r="D11883" t="s">
        <v>17161</v>
      </c>
      <c r="E11883" t="s">
        <v>27357</v>
      </c>
      <c r="F11883" t="s">
        <v>29372</v>
      </c>
      <c r="G11883" t="s">
        <v>29380</v>
      </c>
      <c r="H11883" t="s">
        <v>29389</v>
      </c>
      <c r="I11883" t="s">
        <v>10408</v>
      </c>
      <c r="J11883" t="s">
        <v>37032</v>
      </c>
      <c r="K11883" t="s">
        <v>38522</v>
      </c>
      <c r="M11883" t="s">
        <v>39469</v>
      </c>
      <c r="N11883" t="s">
        <v>42669</v>
      </c>
      <c r="O11883" t="s">
        <v>42670</v>
      </c>
      <c r="P11883">
        <v>0</v>
      </c>
      <c r="Q11883">
        <v>0</v>
      </c>
      <c r="R11883" t="s">
        <v>42689</v>
      </c>
      <c r="S11883" t="s">
        <v>43461</v>
      </c>
      <c r="T11883" t="s">
        <v>44401</v>
      </c>
      <c r="U11883" t="s">
        <v>54535</v>
      </c>
      <c r="V11883" t="s">
        <v>57710</v>
      </c>
      <c r="W11883" t="s">
        <v>39469</v>
      </c>
      <c r="X11883" t="s">
        <v>42691</v>
      </c>
    </row>
    <row r="11884" spans="1:24">
      <c r="A11884">
        <f>HYPERLINK("https://www.philgeps.gov.ph/GEPSNONPILOT/Tender/SplashBidNoticeAbstractUI.aspx?menuIndex=3&amp;refID=7157915&amp;Result=3","7157915")</f>
        <v>0</v>
      </c>
      <c r="B11884" t="s">
        <v>3272</v>
      </c>
      <c r="C11884" t="s">
        <v>14897</v>
      </c>
      <c r="D11884" t="s">
        <v>17197</v>
      </c>
      <c r="E11884" t="s">
        <v>25906</v>
      </c>
      <c r="F11884" t="s">
        <v>29372</v>
      </c>
      <c r="G11884" t="s">
        <v>29380</v>
      </c>
      <c r="H11884" t="s">
        <v>29389</v>
      </c>
      <c r="I11884" t="s">
        <v>10408</v>
      </c>
      <c r="J11884" t="s">
        <v>34935</v>
      </c>
      <c r="K11884" t="s">
        <v>38495</v>
      </c>
      <c r="M11884" t="s">
        <v>42344</v>
      </c>
      <c r="N11884" t="s">
        <v>42669</v>
      </c>
      <c r="O11884" t="s">
        <v>42670</v>
      </c>
      <c r="P11884">
        <v>0</v>
      </c>
      <c r="Q11884">
        <v>0</v>
      </c>
      <c r="R11884" t="s">
        <v>42689</v>
      </c>
      <c r="S11884" t="s">
        <v>43461</v>
      </c>
      <c r="T11884" t="s">
        <v>44480</v>
      </c>
      <c r="U11884" t="s">
        <v>54536</v>
      </c>
      <c r="V11884" t="s">
        <v>57711</v>
      </c>
      <c r="W11884" t="s">
        <v>42344</v>
      </c>
      <c r="X11884" t="s">
        <v>42691</v>
      </c>
    </row>
    <row r="11885" spans="1:24">
      <c r="A11885">
        <f>HYPERLINK("https://www.philgeps.gov.ph/GEPSNONPILOT/Tender/SplashBidNoticeAbstractUI.aspx?menuIndex=3&amp;refID=7157606&amp;Result=3","7157606")</f>
        <v>0</v>
      </c>
      <c r="B11885" t="s">
        <v>2064</v>
      </c>
      <c r="C11885" t="s">
        <v>9302</v>
      </c>
      <c r="D11885" t="s">
        <v>17207</v>
      </c>
      <c r="E11885" t="s">
        <v>27358</v>
      </c>
      <c r="F11885" t="s">
        <v>29372</v>
      </c>
      <c r="G11885" t="s">
        <v>29380</v>
      </c>
      <c r="H11885" t="s">
        <v>29389</v>
      </c>
      <c r="I11885" t="s">
        <v>10408</v>
      </c>
      <c r="J11885" t="s">
        <v>30334</v>
      </c>
      <c r="K11885" t="s">
        <v>38518</v>
      </c>
      <c r="M11885" t="s">
        <v>40962</v>
      </c>
      <c r="N11885" t="s">
        <v>42669</v>
      </c>
      <c r="O11885" t="s">
        <v>42670</v>
      </c>
      <c r="P11885">
        <v>0</v>
      </c>
      <c r="Q11885">
        <v>0</v>
      </c>
      <c r="R11885" t="s">
        <v>42689</v>
      </c>
      <c r="S11885" t="s">
        <v>43461</v>
      </c>
      <c r="T11885" t="s">
        <v>44825</v>
      </c>
      <c r="U11885" t="s">
        <v>54202</v>
      </c>
      <c r="W11885" t="s">
        <v>40962</v>
      </c>
      <c r="X11885" t="s">
        <v>42691</v>
      </c>
    </row>
    <row r="11886" spans="1:24">
      <c r="A11886">
        <f>HYPERLINK("https://www.philgeps.gov.ph/GEPSNONPILOT/Tender/SplashBidNoticeAbstractUI.aspx?menuIndex=3&amp;refID=7157590&amp;Result=3","7157590")</f>
        <v>0</v>
      </c>
      <c r="B11886" t="s">
        <v>278</v>
      </c>
      <c r="C11886" t="s">
        <v>14898</v>
      </c>
      <c r="D11886" t="s">
        <v>17206</v>
      </c>
      <c r="E11886" t="s">
        <v>27359</v>
      </c>
      <c r="F11886" t="s">
        <v>29372</v>
      </c>
      <c r="G11886" t="s">
        <v>29380</v>
      </c>
      <c r="H11886" t="s">
        <v>11048</v>
      </c>
      <c r="I11886" t="s">
        <v>29423</v>
      </c>
      <c r="J11886" t="s">
        <v>32852</v>
      </c>
      <c r="K11886" t="s">
        <v>38496</v>
      </c>
      <c r="M11886" t="s">
        <v>39138</v>
      </c>
      <c r="N11886" t="s">
        <v>42669</v>
      </c>
      <c r="O11886" t="s">
        <v>42670</v>
      </c>
      <c r="Q11886">
        <v>6</v>
      </c>
      <c r="R11886" t="s">
        <v>42689</v>
      </c>
      <c r="S11886" t="s">
        <v>43411</v>
      </c>
      <c r="T11886" t="s">
        <v>44631</v>
      </c>
      <c r="U11886" t="s">
        <v>54537</v>
      </c>
      <c r="W11886" t="s">
        <v>39138</v>
      </c>
      <c r="X11886" t="s">
        <v>42691</v>
      </c>
    </row>
    <row r="11887" spans="1:24">
      <c r="A11887">
        <f>HYPERLINK("https://www.philgeps.gov.ph/GEPSNONPILOT/Tender/SplashBidNoticeAbstractUI.aspx?menuIndex=3&amp;refID=7158143&amp;Result=3","7158143")</f>
        <v>0</v>
      </c>
      <c r="B11887" t="s">
        <v>3273</v>
      </c>
      <c r="C11887" t="s">
        <v>14899</v>
      </c>
      <c r="D11887" t="s">
        <v>17195</v>
      </c>
      <c r="E11887" t="s">
        <v>27360</v>
      </c>
      <c r="F11887" t="s">
        <v>29372</v>
      </c>
      <c r="G11887" t="s">
        <v>29380</v>
      </c>
      <c r="H11887" t="s">
        <v>29389</v>
      </c>
      <c r="I11887" t="s">
        <v>10408</v>
      </c>
      <c r="J11887" t="s">
        <v>37033</v>
      </c>
      <c r="K11887" t="s">
        <v>38485</v>
      </c>
      <c r="M11887" t="s">
        <v>42345</v>
      </c>
      <c r="N11887" t="s">
        <v>42669</v>
      </c>
      <c r="O11887" t="s">
        <v>42670</v>
      </c>
      <c r="P11887">
        <v>0</v>
      </c>
      <c r="Q11887">
        <v>4</v>
      </c>
      <c r="R11887" t="s">
        <v>42689</v>
      </c>
      <c r="S11887" t="s">
        <v>43461</v>
      </c>
      <c r="T11887" t="s">
        <v>44409</v>
      </c>
      <c r="U11887" t="s">
        <v>54538</v>
      </c>
      <c r="W11887" t="s">
        <v>58121</v>
      </c>
      <c r="X11887" t="s">
        <v>42691</v>
      </c>
    </row>
    <row r="11888" spans="1:24">
      <c r="A11888">
        <f>HYPERLINK("https://www.philgeps.gov.ph/GEPSNONPILOT/Tender/SplashBidNoticeAbstractUI.aspx?menuIndex=3&amp;refID=7157850&amp;Result=3","7157850")</f>
        <v>0</v>
      </c>
      <c r="B11888" t="s">
        <v>2789</v>
      </c>
      <c r="C11888" t="s">
        <v>14900</v>
      </c>
      <c r="D11888" t="s">
        <v>17161</v>
      </c>
      <c r="E11888" t="s">
        <v>27361</v>
      </c>
      <c r="F11888" t="s">
        <v>29372</v>
      </c>
      <c r="G11888" t="s">
        <v>29380</v>
      </c>
      <c r="H11888" t="s">
        <v>29389</v>
      </c>
      <c r="I11888" t="s">
        <v>29398</v>
      </c>
      <c r="J11888" t="s">
        <v>37034</v>
      </c>
      <c r="K11888" t="s">
        <v>38533</v>
      </c>
      <c r="M11888" t="s">
        <v>41776</v>
      </c>
      <c r="N11888" t="s">
        <v>42669</v>
      </c>
      <c r="O11888" t="s">
        <v>42670</v>
      </c>
      <c r="P11888">
        <v>0</v>
      </c>
      <c r="Q11888">
        <v>3</v>
      </c>
      <c r="R11888" t="s">
        <v>42689</v>
      </c>
      <c r="S11888" t="s">
        <v>43461</v>
      </c>
      <c r="T11888" t="s">
        <v>44412</v>
      </c>
      <c r="U11888" t="s">
        <v>54539</v>
      </c>
      <c r="W11888" t="s">
        <v>41776</v>
      </c>
      <c r="X11888" t="s">
        <v>42691</v>
      </c>
    </row>
    <row r="11889" spans="1:24">
      <c r="A11889">
        <f>HYPERLINK("https://www.philgeps.gov.ph/GEPSNONPILOT/Tender/SplashBidNoticeAbstractUI.aspx?menuIndex=3&amp;refID=7157566&amp;Result=3","7157566")</f>
        <v>0</v>
      </c>
      <c r="B11889" t="s">
        <v>419</v>
      </c>
      <c r="C11889" t="s">
        <v>14901</v>
      </c>
      <c r="D11889" t="s">
        <v>17153</v>
      </c>
      <c r="E11889" t="s">
        <v>27362</v>
      </c>
      <c r="F11889" t="s">
        <v>29372</v>
      </c>
      <c r="G11889" t="s">
        <v>29380</v>
      </c>
      <c r="H11889" t="s">
        <v>11048</v>
      </c>
      <c r="I11889" t="s">
        <v>4487</v>
      </c>
      <c r="J11889" t="s">
        <v>37035</v>
      </c>
      <c r="K11889" t="s">
        <v>38488</v>
      </c>
      <c r="M11889" t="s">
        <v>39183</v>
      </c>
      <c r="N11889" t="s">
        <v>42669</v>
      </c>
      <c r="O11889" t="s">
        <v>42670</v>
      </c>
      <c r="Q11889">
        <v>3</v>
      </c>
      <c r="R11889" t="s">
        <v>42689</v>
      </c>
      <c r="S11889" t="s">
        <v>43470</v>
      </c>
      <c r="T11889" t="s">
        <v>44355</v>
      </c>
      <c r="U11889" t="s">
        <v>54540</v>
      </c>
      <c r="V11889" t="s">
        <v>57712</v>
      </c>
      <c r="W11889" t="s">
        <v>39183</v>
      </c>
      <c r="X11889" t="s">
        <v>42691</v>
      </c>
    </row>
    <row r="11890" spans="1:24">
      <c r="A11890">
        <f>HYPERLINK("https://www.philgeps.gov.ph/GEPSNONPILOT/Tender/SplashBidNoticeAbstractUI.aspx?menuIndex=3&amp;refID=7157548&amp;Result=3","7157548")</f>
        <v>0</v>
      </c>
      <c r="B11890" t="s">
        <v>2064</v>
      </c>
      <c r="C11890" t="s">
        <v>9302</v>
      </c>
      <c r="D11890" t="s">
        <v>17207</v>
      </c>
      <c r="E11890" t="s">
        <v>27363</v>
      </c>
      <c r="F11890" t="s">
        <v>29372</v>
      </c>
      <c r="G11890" t="s">
        <v>29380</v>
      </c>
      <c r="H11890" t="s">
        <v>29389</v>
      </c>
      <c r="I11890" t="s">
        <v>10408</v>
      </c>
      <c r="J11890" t="s">
        <v>33676</v>
      </c>
      <c r="K11890" t="s">
        <v>38485</v>
      </c>
      <c r="M11890" t="s">
        <v>40962</v>
      </c>
      <c r="N11890" t="s">
        <v>42669</v>
      </c>
      <c r="O11890" t="s">
        <v>42670</v>
      </c>
      <c r="P11890">
        <v>0</v>
      </c>
      <c r="Q11890">
        <v>0</v>
      </c>
      <c r="R11890" t="s">
        <v>42689</v>
      </c>
      <c r="S11890" t="s">
        <v>43461</v>
      </c>
      <c r="T11890" t="s">
        <v>44368</v>
      </c>
      <c r="U11890" t="s">
        <v>54202</v>
      </c>
      <c r="W11890" t="s">
        <v>40962</v>
      </c>
      <c r="X11890" t="s">
        <v>42691</v>
      </c>
    </row>
    <row r="11891" spans="1:24">
      <c r="A11891">
        <f>HYPERLINK("https://www.philgeps.gov.ph/GEPSNONPILOT/Tender/SplashBidNoticeAbstractUI.aspx?menuIndex=3&amp;refID=7157301&amp;Result=3","7157301")</f>
        <v>0</v>
      </c>
      <c r="B11891" t="s">
        <v>278</v>
      </c>
      <c r="C11891" t="s">
        <v>14902</v>
      </c>
      <c r="D11891" t="s">
        <v>17206</v>
      </c>
      <c r="E11891" t="s">
        <v>27364</v>
      </c>
      <c r="F11891" t="s">
        <v>29372</v>
      </c>
      <c r="G11891" t="s">
        <v>29380</v>
      </c>
      <c r="H11891" t="s">
        <v>11048</v>
      </c>
      <c r="I11891" t="s">
        <v>29423</v>
      </c>
      <c r="J11891" t="s">
        <v>34978</v>
      </c>
      <c r="K11891" t="s">
        <v>38496</v>
      </c>
      <c r="M11891" t="s">
        <v>39138</v>
      </c>
      <c r="N11891" t="s">
        <v>42669</v>
      </c>
      <c r="O11891" t="s">
        <v>42670</v>
      </c>
      <c r="Q11891">
        <v>7</v>
      </c>
      <c r="R11891" t="s">
        <v>42689</v>
      </c>
      <c r="S11891" t="s">
        <v>43471</v>
      </c>
      <c r="T11891" t="s">
        <v>44631</v>
      </c>
      <c r="U11891" t="s">
        <v>54541</v>
      </c>
      <c r="W11891" t="s">
        <v>39138</v>
      </c>
      <c r="X11891" t="s">
        <v>42691</v>
      </c>
    </row>
    <row r="11892" spans="1:24">
      <c r="A11892">
        <f>HYPERLINK("https://www.philgeps.gov.ph/GEPSNONPILOT/Tender/SplashBidNoticeAbstractUI.aspx?menuIndex=3&amp;refID=7157195&amp;Result=3","7157195")</f>
        <v>0</v>
      </c>
      <c r="B11892" t="s">
        <v>278</v>
      </c>
      <c r="C11892" t="s">
        <v>14903</v>
      </c>
      <c r="D11892" t="s">
        <v>17208</v>
      </c>
      <c r="E11892" t="s">
        <v>27365</v>
      </c>
      <c r="F11892" t="s">
        <v>29372</v>
      </c>
      <c r="G11892" t="s">
        <v>29380</v>
      </c>
      <c r="H11892" t="s">
        <v>11048</v>
      </c>
      <c r="I11892" t="s">
        <v>29423</v>
      </c>
      <c r="J11892" t="s">
        <v>37036</v>
      </c>
      <c r="K11892" t="s">
        <v>38496</v>
      </c>
      <c r="M11892" t="s">
        <v>39138</v>
      </c>
      <c r="N11892" t="s">
        <v>42669</v>
      </c>
      <c r="O11892" t="s">
        <v>42670</v>
      </c>
      <c r="Q11892">
        <v>6</v>
      </c>
      <c r="R11892" t="s">
        <v>42689</v>
      </c>
      <c r="S11892" t="s">
        <v>43472</v>
      </c>
      <c r="T11892" t="s">
        <v>44631</v>
      </c>
      <c r="U11892" t="s">
        <v>54542</v>
      </c>
      <c r="W11892" t="s">
        <v>39138</v>
      </c>
      <c r="X11892" t="s">
        <v>42691</v>
      </c>
    </row>
    <row r="11893" spans="1:24">
      <c r="A11893">
        <f>HYPERLINK("https://www.philgeps.gov.ph/GEPSNONPILOT/Tender/SplashBidNoticeAbstractUI.aspx?menuIndex=3&amp;refID=7164213&amp;Result=3","7164213")</f>
        <v>0</v>
      </c>
      <c r="B11893" t="s">
        <v>1311</v>
      </c>
      <c r="C11893" t="s">
        <v>14904</v>
      </c>
      <c r="D11893" t="s">
        <v>17141</v>
      </c>
      <c r="E11893" t="s">
        <v>27366</v>
      </c>
      <c r="F11893" t="s">
        <v>29372</v>
      </c>
      <c r="G11893" t="s">
        <v>29380</v>
      </c>
      <c r="H11893" t="s">
        <v>11048</v>
      </c>
      <c r="I11893" t="s">
        <v>8614</v>
      </c>
      <c r="J11893" t="s">
        <v>37037</v>
      </c>
      <c r="K11893" t="s">
        <v>38496</v>
      </c>
      <c r="M11893" t="s">
        <v>40143</v>
      </c>
      <c r="N11893" t="s">
        <v>42669</v>
      </c>
      <c r="O11893" t="s">
        <v>42670</v>
      </c>
      <c r="P11893">
        <v>0</v>
      </c>
      <c r="Q11893">
        <v>12</v>
      </c>
      <c r="R11893" t="s">
        <v>42688</v>
      </c>
      <c r="S11893" t="s">
        <v>43441</v>
      </c>
      <c r="T11893" t="s">
        <v>44407</v>
      </c>
      <c r="U11893" t="s">
        <v>47781</v>
      </c>
      <c r="W11893" t="s">
        <v>40143</v>
      </c>
      <c r="X11893" t="s">
        <v>42689</v>
      </c>
    </row>
    <row r="11894" spans="1:24">
      <c r="A11894">
        <f>HYPERLINK("https://www.philgeps.gov.ph/GEPSNONPILOT/Tender/SplashBidNoticeAbstractUI.aspx?menuIndex=3&amp;refID=7157071&amp;Result=3","7157071")</f>
        <v>0</v>
      </c>
      <c r="B11894" t="s">
        <v>278</v>
      </c>
      <c r="C11894" t="s">
        <v>14905</v>
      </c>
      <c r="D11894" t="s">
        <v>17208</v>
      </c>
      <c r="E11894" t="s">
        <v>27367</v>
      </c>
      <c r="F11894" t="s">
        <v>29372</v>
      </c>
      <c r="G11894" t="s">
        <v>29380</v>
      </c>
      <c r="H11894" t="s">
        <v>11048</v>
      </c>
      <c r="I11894" t="s">
        <v>29423</v>
      </c>
      <c r="J11894" t="s">
        <v>30056</v>
      </c>
      <c r="K11894" t="s">
        <v>38496</v>
      </c>
      <c r="M11894" t="s">
        <v>39138</v>
      </c>
      <c r="N11894" t="s">
        <v>42669</v>
      </c>
      <c r="O11894" t="s">
        <v>42670</v>
      </c>
      <c r="Q11894">
        <v>8</v>
      </c>
      <c r="R11894" t="s">
        <v>42689</v>
      </c>
      <c r="S11894" t="s">
        <v>43473</v>
      </c>
      <c r="T11894" t="s">
        <v>44631</v>
      </c>
      <c r="U11894" t="s">
        <v>54543</v>
      </c>
      <c r="W11894" t="s">
        <v>39138</v>
      </c>
      <c r="X11894" t="s">
        <v>42691</v>
      </c>
    </row>
    <row r="11895" spans="1:24">
      <c r="A11895">
        <f>HYPERLINK("https://www.philgeps.gov.ph/GEPSNONPILOT/Tender/SplashBidNoticeAbstractUI.aspx?menuIndex=3&amp;refID=7155357&amp;Result=3","7155357")</f>
        <v>0</v>
      </c>
      <c r="B11895" t="s">
        <v>776</v>
      </c>
      <c r="C11895" t="s">
        <v>14906</v>
      </c>
      <c r="D11895" t="s">
        <v>17169</v>
      </c>
      <c r="E11895" t="s">
        <v>27368</v>
      </c>
      <c r="F11895" t="s">
        <v>29372</v>
      </c>
      <c r="G11895" t="s">
        <v>29380</v>
      </c>
      <c r="H11895" t="s">
        <v>29389</v>
      </c>
      <c r="I11895" t="s">
        <v>10408</v>
      </c>
      <c r="J11895" t="s">
        <v>32123</v>
      </c>
      <c r="K11895" t="s">
        <v>38564</v>
      </c>
      <c r="L11895" t="s">
        <v>776</v>
      </c>
      <c r="M11895" t="s">
        <v>39560</v>
      </c>
      <c r="N11895" t="s">
        <v>42669</v>
      </c>
      <c r="O11895" t="s">
        <v>42670</v>
      </c>
      <c r="P11895">
        <v>0</v>
      </c>
      <c r="Q11895">
        <v>4</v>
      </c>
      <c r="R11895" t="s">
        <v>42689</v>
      </c>
      <c r="S11895" t="s">
        <v>43461</v>
      </c>
      <c r="T11895" t="s">
        <v>44401</v>
      </c>
      <c r="U11895" t="s">
        <v>54544</v>
      </c>
      <c r="W11895" t="s">
        <v>39560</v>
      </c>
      <c r="X11895" t="s">
        <v>42691</v>
      </c>
    </row>
    <row r="11896" spans="1:24">
      <c r="A11896">
        <f>HYPERLINK("https://www.philgeps.gov.ph/GEPSNONPILOT/Tender/SplashBidNoticeAbstractUI.aspx?menuIndex=3&amp;refID=7157743&amp;Result=3","7157743")</f>
        <v>0</v>
      </c>
      <c r="B11896" t="s">
        <v>693</v>
      </c>
      <c r="C11896" t="s">
        <v>14907</v>
      </c>
      <c r="D11896" t="s">
        <v>17161</v>
      </c>
      <c r="E11896" t="s">
        <v>27369</v>
      </c>
      <c r="F11896" t="s">
        <v>29372</v>
      </c>
      <c r="G11896" t="s">
        <v>29380</v>
      </c>
      <c r="H11896" t="s">
        <v>29389</v>
      </c>
      <c r="I11896" t="s">
        <v>10408</v>
      </c>
      <c r="J11896" t="s">
        <v>37038</v>
      </c>
      <c r="K11896" t="s">
        <v>38564</v>
      </c>
      <c r="M11896" t="s">
        <v>39469</v>
      </c>
      <c r="N11896" t="s">
        <v>42669</v>
      </c>
      <c r="O11896" t="s">
        <v>42670</v>
      </c>
      <c r="P11896">
        <v>0</v>
      </c>
      <c r="Q11896">
        <v>0</v>
      </c>
      <c r="R11896" t="s">
        <v>42689</v>
      </c>
      <c r="S11896" t="s">
        <v>43461</v>
      </c>
      <c r="T11896" t="s">
        <v>44401</v>
      </c>
      <c r="U11896" t="s">
        <v>54535</v>
      </c>
      <c r="V11896" t="s">
        <v>57713</v>
      </c>
      <c r="W11896" t="s">
        <v>39469</v>
      </c>
      <c r="X11896" t="s">
        <v>42691</v>
      </c>
    </row>
    <row r="11897" spans="1:24">
      <c r="A11897">
        <f>HYPERLINK("https://www.philgeps.gov.ph/GEPSNONPILOT/Tender/SplashBidNoticeAbstractUI.aspx?menuIndex=3&amp;refID=7157476&amp;Result=3","7157476")</f>
        <v>0</v>
      </c>
      <c r="B11897" t="s">
        <v>2064</v>
      </c>
      <c r="C11897" t="s">
        <v>14908</v>
      </c>
      <c r="D11897" t="s">
        <v>17207</v>
      </c>
      <c r="E11897" t="s">
        <v>27370</v>
      </c>
      <c r="F11897" t="s">
        <v>29372</v>
      </c>
      <c r="G11897" t="s">
        <v>29380</v>
      </c>
      <c r="H11897" t="s">
        <v>29389</v>
      </c>
      <c r="I11897" t="s">
        <v>10408</v>
      </c>
      <c r="J11897" t="s">
        <v>29801</v>
      </c>
      <c r="K11897" t="s">
        <v>38503</v>
      </c>
      <c r="M11897" t="s">
        <v>40962</v>
      </c>
      <c r="N11897" t="s">
        <v>42669</v>
      </c>
      <c r="O11897" t="s">
        <v>42670</v>
      </c>
      <c r="P11897">
        <v>0</v>
      </c>
      <c r="Q11897">
        <v>0</v>
      </c>
      <c r="R11897" t="s">
        <v>42689</v>
      </c>
      <c r="S11897" t="s">
        <v>43461</v>
      </c>
      <c r="T11897" t="s">
        <v>44826</v>
      </c>
      <c r="U11897" t="s">
        <v>54545</v>
      </c>
      <c r="W11897" t="s">
        <v>40962</v>
      </c>
      <c r="X11897" t="s">
        <v>42691</v>
      </c>
    </row>
    <row r="11898" spans="1:24">
      <c r="A11898">
        <f>HYPERLINK("https://www.philgeps.gov.ph/GEPSNONPILOT/Tender/SplashBidNoticeAbstractUI.aspx?menuIndex=3&amp;refID=7154508&amp;Result=3","7154508")</f>
        <v>0</v>
      </c>
      <c r="B11898" t="s">
        <v>2777</v>
      </c>
      <c r="C11898" t="s">
        <v>14909</v>
      </c>
      <c r="D11898" t="s">
        <v>17151</v>
      </c>
      <c r="E11898" t="s">
        <v>27371</v>
      </c>
      <c r="F11898" t="s">
        <v>29372</v>
      </c>
      <c r="G11898" t="s">
        <v>29380</v>
      </c>
      <c r="H11898" t="s">
        <v>11048</v>
      </c>
      <c r="I11898" t="s">
        <v>3695</v>
      </c>
      <c r="J11898" t="s">
        <v>37039</v>
      </c>
      <c r="K11898" t="s">
        <v>38488</v>
      </c>
      <c r="M11898" t="s">
        <v>41762</v>
      </c>
      <c r="N11898" t="s">
        <v>42669</v>
      </c>
      <c r="O11898" t="s">
        <v>42670</v>
      </c>
      <c r="P11898">
        <v>0</v>
      </c>
      <c r="Q11898">
        <v>1</v>
      </c>
      <c r="R11898" t="s">
        <v>42689</v>
      </c>
      <c r="S11898" t="s">
        <v>43461</v>
      </c>
      <c r="T11898" t="s">
        <v>44441</v>
      </c>
      <c r="U11898" t="s">
        <v>54546</v>
      </c>
      <c r="V11898" t="s">
        <v>57388</v>
      </c>
      <c r="W11898" t="s">
        <v>41762</v>
      </c>
      <c r="X11898" t="s">
        <v>42692</v>
      </c>
    </row>
    <row r="11899" spans="1:24">
      <c r="A11899">
        <f>HYPERLINK("https://www.philgeps.gov.ph/GEPSNONPILOT/Tender/SplashBidNoticeAbstractUI.aspx?menuIndex=3&amp;refID=7154432&amp;Result=3","7154432")</f>
        <v>0</v>
      </c>
      <c r="B11899" t="s">
        <v>2777</v>
      </c>
      <c r="C11899" t="s">
        <v>14864</v>
      </c>
      <c r="D11899" t="s">
        <v>17151</v>
      </c>
      <c r="E11899" t="s">
        <v>27372</v>
      </c>
      <c r="F11899" t="s">
        <v>29372</v>
      </c>
      <c r="G11899" t="s">
        <v>29380</v>
      </c>
      <c r="H11899" t="s">
        <v>11048</v>
      </c>
      <c r="I11899" t="s">
        <v>29393</v>
      </c>
      <c r="J11899" t="s">
        <v>37040</v>
      </c>
      <c r="K11899" t="s">
        <v>38488</v>
      </c>
      <c r="M11899" t="s">
        <v>41762</v>
      </c>
      <c r="N11899" t="s">
        <v>42669</v>
      </c>
      <c r="O11899" t="s">
        <v>42670</v>
      </c>
      <c r="P11899">
        <v>0</v>
      </c>
      <c r="Q11899">
        <v>0</v>
      </c>
      <c r="R11899" t="s">
        <v>42689</v>
      </c>
      <c r="S11899" t="s">
        <v>43461</v>
      </c>
      <c r="T11899" t="s">
        <v>44441</v>
      </c>
      <c r="U11899" t="s">
        <v>54508</v>
      </c>
      <c r="V11899" t="s">
        <v>57388</v>
      </c>
      <c r="W11899" t="s">
        <v>41762</v>
      </c>
      <c r="X11899" t="s">
        <v>42692</v>
      </c>
    </row>
    <row r="11900" spans="1:24">
      <c r="A11900">
        <f>HYPERLINK("https://www.philgeps.gov.ph/GEPSNONPILOT/Tender/SplashBidNoticeAbstractUI.aspx?menuIndex=3&amp;refID=7158708&amp;Result=3","7158708")</f>
        <v>0</v>
      </c>
      <c r="B11900" t="s">
        <v>2085</v>
      </c>
      <c r="C11900" t="s">
        <v>14910</v>
      </c>
      <c r="D11900" t="s">
        <v>17181</v>
      </c>
      <c r="E11900" t="s">
        <v>27373</v>
      </c>
      <c r="F11900" t="s">
        <v>29372</v>
      </c>
      <c r="G11900" t="s">
        <v>29380</v>
      </c>
      <c r="H11900" t="s">
        <v>11048</v>
      </c>
      <c r="I11900" t="s">
        <v>3839</v>
      </c>
      <c r="J11900" t="s">
        <v>37041</v>
      </c>
      <c r="K11900" t="s">
        <v>38485</v>
      </c>
      <c r="M11900" t="s">
        <v>40985</v>
      </c>
      <c r="N11900" t="s">
        <v>42669</v>
      </c>
      <c r="O11900" t="s">
        <v>42670</v>
      </c>
      <c r="Q11900">
        <v>8</v>
      </c>
      <c r="R11900" t="s">
        <v>42689</v>
      </c>
      <c r="S11900" t="s">
        <v>43474</v>
      </c>
      <c r="T11900" t="s">
        <v>44393</v>
      </c>
      <c r="U11900" t="s">
        <v>54547</v>
      </c>
      <c r="W11900" t="s">
        <v>40985</v>
      </c>
      <c r="X11900" t="s">
        <v>42690</v>
      </c>
    </row>
    <row r="11901" spans="1:24">
      <c r="A11901">
        <f>HYPERLINK("https://www.philgeps.gov.ph/GEPSNONPILOT/Tender/SplashBidNoticeAbstractUI.aspx?menuIndex=3&amp;refID=7157093&amp;Result=3","7157093")</f>
        <v>0</v>
      </c>
      <c r="B11901" t="s">
        <v>264</v>
      </c>
      <c r="C11901" t="s">
        <v>14911</v>
      </c>
      <c r="E11901" t="s">
        <v>27374</v>
      </c>
      <c r="F11901" t="s">
        <v>29372</v>
      </c>
      <c r="G11901" t="s">
        <v>29380</v>
      </c>
      <c r="H11901" t="s">
        <v>11048</v>
      </c>
      <c r="I11901" t="s">
        <v>29433</v>
      </c>
      <c r="J11901" t="s">
        <v>37042</v>
      </c>
      <c r="K11901" t="s">
        <v>38490</v>
      </c>
      <c r="M11901" t="s">
        <v>42346</v>
      </c>
      <c r="N11901" t="s">
        <v>42669</v>
      </c>
      <c r="O11901" t="s">
        <v>42670</v>
      </c>
      <c r="P11901">
        <v>0</v>
      </c>
      <c r="Q11901">
        <v>40</v>
      </c>
      <c r="R11901" t="s">
        <v>42689</v>
      </c>
      <c r="S11901" t="s">
        <v>43461</v>
      </c>
      <c r="T11901" t="s">
        <v>44481</v>
      </c>
      <c r="U11901" t="s">
        <v>54548</v>
      </c>
      <c r="W11901" t="s">
        <v>42346</v>
      </c>
      <c r="X11901" t="s">
        <v>42691</v>
      </c>
    </row>
    <row r="11902" spans="1:24">
      <c r="A11902">
        <f>HYPERLINK("https://www.philgeps.gov.ph/GEPSNONPILOT/Tender/SplashBidNoticeAbstractUI.aspx?menuIndex=3&amp;refID=7158709&amp;Result=3","7158709")</f>
        <v>0</v>
      </c>
      <c r="B11902" t="s">
        <v>3274</v>
      </c>
      <c r="C11902" t="s">
        <v>8436</v>
      </c>
      <c r="D11902" t="s">
        <v>17153</v>
      </c>
      <c r="E11902" t="s">
        <v>27375</v>
      </c>
      <c r="F11902" t="s">
        <v>29372</v>
      </c>
      <c r="G11902" t="s">
        <v>29380</v>
      </c>
      <c r="H11902" t="s">
        <v>11048</v>
      </c>
      <c r="I11902" t="s">
        <v>9469</v>
      </c>
      <c r="J11902" t="s">
        <v>34813</v>
      </c>
      <c r="K11902" t="s">
        <v>38510</v>
      </c>
      <c r="M11902" t="s">
        <v>42347</v>
      </c>
      <c r="N11902" t="s">
        <v>42669</v>
      </c>
      <c r="O11902" t="s">
        <v>42670</v>
      </c>
      <c r="Q11902">
        <v>2</v>
      </c>
      <c r="R11902" t="s">
        <v>42689</v>
      </c>
      <c r="S11902" t="s">
        <v>43475</v>
      </c>
      <c r="T11902" t="s">
        <v>44470</v>
      </c>
      <c r="U11902" t="s">
        <v>54549</v>
      </c>
      <c r="W11902" t="s">
        <v>42347</v>
      </c>
      <c r="X11902" t="s">
        <v>42690</v>
      </c>
    </row>
    <row r="11903" spans="1:24">
      <c r="A11903">
        <f>HYPERLINK("https://www.philgeps.gov.ph/GEPSNONPILOT/Tender/SplashBidNoticeAbstractUI.aspx?menuIndex=3&amp;refID=7155379&amp;Result=3","7155379")</f>
        <v>0</v>
      </c>
      <c r="B11903" t="s">
        <v>776</v>
      </c>
      <c r="C11903" t="s">
        <v>14912</v>
      </c>
      <c r="D11903" t="s">
        <v>17169</v>
      </c>
      <c r="E11903" t="s">
        <v>27376</v>
      </c>
      <c r="F11903" t="s">
        <v>29372</v>
      </c>
      <c r="G11903" t="s">
        <v>29380</v>
      </c>
      <c r="H11903" t="s">
        <v>29389</v>
      </c>
      <c r="I11903" t="s">
        <v>10408</v>
      </c>
      <c r="J11903" t="s">
        <v>30845</v>
      </c>
      <c r="K11903" t="s">
        <v>38564</v>
      </c>
      <c r="L11903" t="s">
        <v>776</v>
      </c>
      <c r="M11903" t="s">
        <v>39560</v>
      </c>
      <c r="N11903" t="s">
        <v>42669</v>
      </c>
      <c r="O11903" t="s">
        <v>42670</v>
      </c>
      <c r="P11903">
        <v>0</v>
      </c>
      <c r="Q11903">
        <v>4</v>
      </c>
      <c r="R11903" t="s">
        <v>42689</v>
      </c>
      <c r="S11903" t="s">
        <v>43461</v>
      </c>
      <c r="T11903" t="s">
        <v>44401</v>
      </c>
      <c r="U11903" t="s">
        <v>54544</v>
      </c>
      <c r="W11903" t="s">
        <v>39560</v>
      </c>
      <c r="X11903" t="s">
        <v>42691</v>
      </c>
    </row>
    <row r="11904" spans="1:24">
      <c r="A11904">
        <f>HYPERLINK("https://www.philgeps.gov.ph/GEPSNONPILOT/Tender/SplashBidNoticeAbstractUI.aspx?menuIndex=3&amp;refID=7158670&amp;Result=3","7158670")</f>
        <v>0</v>
      </c>
      <c r="B11904" t="s">
        <v>3274</v>
      </c>
      <c r="C11904" t="s">
        <v>3839</v>
      </c>
      <c r="D11904" t="s">
        <v>17153</v>
      </c>
      <c r="E11904" t="s">
        <v>27377</v>
      </c>
      <c r="F11904" t="s">
        <v>29372</v>
      </c>
      <c r="G11904" t="s">
        <v>29380</v>
      </c>
      <c r="H11904" t="s">
        <v>11048</v>
      </c>
      <c r="I11904" t="s">
        <v>3839</v>
      </c>
      <c r="J11904" t="s">
        <v>37043</v>
      </c>
      <c r="K11904" t="s">
        <v>38510</v>
      </c>
      <c r="M11904" t="s">
        <v>42347</v>
      </c>
      <c r="N11904" t="s">
        <v>42669</v>
      </c>
      <c r="O11904" t="s">
        <v>42670</v>
      </c>
      <c r="P11904">
        <v>0</v>
      </c>
      <c r="Q11904">
        <v>0</v>
      </c>
      <c r="R11904" t="s">
        <v>42689</v>
      </c>
      <c r="S11904" t="s">
        <v>43461</v>
      </c>
      <c r="T11904" t="s">
        <v>44470</v>
      </c>
      <c r="U11904" t="s">
        <v>54550</v>
      </c>
      <c r="W11904" t="s">
        <v>42347</v>
      </c>
      <c r="X11904" t="s">
        <v>42690</v>
      </c>
    </row>
    <row r="11905" spans="1:24">
      <c r="A11905">
        <f>HYPERLINK("https://www.philgeps.gov.ph/GEPSNONPILOT/Tender/SplashBidNoticeAbstractUI.aspx?menuIndex=3&amp;refID=7157424&amp;Result=3","7157424")</f>
        <v>0</v>
      </c>
      <c r="B11905" t="s">
        <v>278</v>
      </c>
      <c r="C11905" t="s">
        <v>14913</v>
      </c>
      <c r="D11905" t="s">
        <v>17206</v>
      </c>
      <c r="E11905" t="s">
        <v>27378</v>
      </c>
      <c r="F11905" t="s">
        <v>29372</v>
      </c>
      <c r="G11905" t="s">
        <v>29380</v>
      </c>
      <c r="H11905" t="s">
        <v>11048</v>
      </c>
      <c r="I11905" t="s">
        <v>29459</v>
      </c>
      <c r="J11905" t="s">
        <v>29937</v>
      </c>
      <c r="K11905" t="s">
        <v>38496</v>
      </c>
      <c r="M11905" t="s">
        <v>39138</v>
      </c>
      <c r="N11905" t="s">
        <v>42669</v>
      </c>
      <c r="O11905" t="s">
        <v>42670</v>
      </c>
      <c r="Q11905">
        <v>11</v>
      </c>
      <c r="R11905" t="s">
        <v>42689</v>
      </c>
      <c r="S11905" t="s">
        <v>43476</v>
      </c>
      <c r="T11905" t="s">
        <v>44631</v>
      </c>
      <c r="U11905" t="s">
        <v>54551</v>
      </c>
      <c r="W11905" t="s">
        <v>39138</v>
      </c>
      <c r="X11905" t="s">
        <v>42691</v>
      </c>
    </row>
    <row r="11906" spans="1:24">
      <c r="A11906">
        <f>HYPERLINK("https://www.philgeps.gov.ph/GEPSNONPILOT/Tender/SplashBidNoticeAbstractUI.aspx?menuIndex=3&amp;refID=7158650&amp;Result=3","7158650")</f>
        <v>0</v>
      </c>
      <c r="B11906" t="s">
        <v>1721</v>
      </c>
      <c r="C11906" t="s">
        <v>14914</v>
      </c>
      <c r="D11906" t="s">
        <v>17194</v>
      </c>
      <c r="E11906" t="s">
        <v>27379</v>
      </c>
      <c r="F11906" t="s">
        <v>29375</v>
      </c>
      <c r="G11906" t="s">
        <v>29380</v>
      </c>
      <c r="H11906" t="s">
        <v>11048</v>
      </c>
      <c r="I11906" t="s">
        <v>29395</v>
      </c>
      <c r="J11906" t="s">
        <v>37044</v>
      </c>
      <c r="K11906" t="s">
        <v>38488</v>
      </c>
      <c r="M11906" t="s">
        <v>40584</v>
      </c>
      <c r="N11906" t="s">
        <v>42669</v>
      </c>
      <c r="O11906" t="s">
        <v>42670</v>
      </c>
      <c r="P11906">
        <v>0</v>
      </c>
      <c r="Q11906">
        <v>0</v>
      </c>
      <c r="R11906" t="s">
        <v>42689</v>
      </c>
      <c r="S11906" t="s">
        <v>43461</v>
      </c>
      <c r="T11906" t="s">
        <v>44393</v>
      </c>
      <c r="U11906" t="s">
        <v>54552</v>
      </c>
      <c r="W11906" t="s">
        <v>58052</v>
      </c>
      <c r="X11906" t="s">
        <v>42690</v>
      </c>
    </row>
    <row r="11907" spans="1:24">
      <c r="A11907">
        <f>HYPERLINK("https://www.philgeps.gov.ph/GEPSNONPILOT/Tender/SplashBidNoticeAbstractUI.aspx?menuIndex=3&amp;refID=7154342&amp;Result=3","7154342")</f>
        <v>0</v>
      </c>
      <c r="B11907" t="s">
        <v>2777</v>
      </c>
      <c r="C11907" t="s">
        <v>14915</v>
      </c>
      <c r="D11907" t="s">
        <v>17151</v>
      </c>
      <c r="E11907" t="s">
        <v>27380</v>
      </c>
      <c r="F11907" t="s">
        <v>29372</v>
      </c>
      <c r="G11907" t="s">
        <v>29380</v>
      </c>
      <c r="H11907" t="s">
        <v>11048</v>
      </c>
      <c r="I11907" t="s">
        <v>8208</v>
      </c>
      <c r="J11907" t="s">
        <v>37045</v>
      </c>
      <c r="K11907" t="s">
        <v>38488</v>
      </c>
      <c r="M11907" t="s">
        <v>41762</v>
      </c>
      <c r="N11907" t="s">
        <v>42669</v>
      </c>
      <c r="O11907" t="s">
        <v>42670</v>
      </c>
      <c r="P11907">
        <v>0</v>
      </c>
      <c r="Q11907">
        <v>0</v>
      </c>
      <c r="R11907" t="s">
        <v>42689</v>
      </c>
      <c r="S11907" t="s">
        <v>43461</v>
      </c>
      <c r="T11907" t="s">
        <v>44441</v>
      </c>
      <c r="U11907" t="s">
        <v>54553</v>
      </c>
      <c r="V11907" t="s">
        <v>57388</v>
      </c>
      <c r="W11907" t="s">
        <v>41762</v>
      </c>
      <c r="X11907" t="s">
        <v>42692</v>
      </c>
    </row>
    <row r="11908" spans="1:24">
      <c r="A11908">
        <f>HYPERLINK("https://www.philgeps.gov.ph/GEPSNONPILOT/Tender/SplashBidNoticeAbstractUI.aspx?menuIndex=3&amp;refID=7158646&amp;Result=3","7158646")</f>
        <v>0</v>
      </c>
      <c r="B11908" t="s">
        <v>3275</v>
      </c>
      <c r="C11908" t="s">
        <v>14916</v>
      </c>
      <c r="D11908" t="s">
        <v>17158</v>
      </c>
      <c r="E11908" t="s">
        <v>17252</v>
      </c>
      <c r="F11908" t="s">
        <v>29372</v>
      </c>
      <c r="G11908" t="s">
        <v>29380</v>
      </c>
      <c r="H11908" t="s">
        <v>29389</v>
      </c>
      <c r="I11908" t="s">
        <v>10408</v>
      </c>
      <c r="J11908" t="s">
        <v>29708</v>
      </c>
      <c r="K11908" t="s">
        <v>38496</v>
      </c>
      <c r="M11908" t="s">
        <v>42348</v>
      </c>
      <c r="N11908" t="s">
        <v>42669</v>
      </c>
      <c r="O11908" t="s">
        <v>42670</v>
      </c>
      <c r="Q11908">
        <v>1</v>
      </c>
      <c r="R11908" t="s">
        <v>42689</v>
      </c>
      <c r="S11908" t="s">
        <v>43477</v>
      </c>
      <c r="T11908" t="s">
        <v>44525</v>
      </c>
      <c r="U11908" t="s">
        <v>54554</v>
      </c>
      <c r="W11908" t="s">
        <v>42348</v>
      </c>
      <c r="X11908" t="s">
        <v>42690</v>
      </c>
    </row>
    <row r="11909" spans="1:24">
      <c r="A11909">
        <f>HYPERLINK("https://www.philgeps.gov.ph/GEPSNONPILOT/Tender/SplashBidNoticeAbstractUI.aspx?menuIndex=3&amp;refID=7158636&amp;Result=3","7158636")</f>
        <v>0</v>
      </c>
      <c r="B11909" t="s">
        <v>2724</v>
      </c>
      <c r="C11909" t="s">
        <v>14917</v>
      </c>
      <c r="D11909" t="s">
        <v>17177</v>
      </c>
      <c r="E11909" t="s">
        <v>27381</v>
      </c>
      <c r="F11909" t="s">
        <v>29372</v>
      </c>
      <c r="G11909" t="s">
        <v>29380</v>
      </c>
      <c r="H11909" t="s">
        <v>29389</v>
      </c>
      <c r="I11909" t="s">
        <v>10408</v>
      </c>
      <c r="J11909" t="s">
        <v>29728</v>
      </c>
      <c r="K11909" t="s">
        <v>38496</v>
      </c>
      <c r="M11909" t="s">
        <v>41707</v>
      </c>
      <c r="N11909" t="s">
        <v>42669</v>
      </c>
      <c r="O11909" t="s">
        <v>42670</v>
      </c>
      <c r="P11909">
        <v>0</v>
      </c>
      <c r="Q11909">
        <v>5</v>
      </c>
      <c r="R11909" t="s">
        <v>42689</v>
      </c>
      <c r="S11909" t="s">
        <v>43461</v>
      </c>
      <c r="T11909" t="s">
        <v>44401</v>
      </c>
      <c r="U11909" t="s">
        <v>54555</v>
      </c>
      <c r="V11909" t="s">
        <v>57366</v>
      </c>
      <c r="W11909" t="s">
        <v>41707</v>
      </c>
      <c r="X11909" t="s">
        <v>42690</v>
      </c>
    </row>
    <row r="11910" spans="1:24">
      <c r="A11910">
        <f>HYPERLINK("https://www.philgeps.gov.ph/GEPSNONPILOT/Tender/SplashBidNoticeAbstractUI.aspx?menuIndex=3&amp;refID=7158685&amp;Result=3","7158685")</f>
        <v>0</v>
      </c>
      <c r="B11910" t="s">
        <v>2789</v>
      </c>
      <c r="C11910" t="s">
        <v>14918</v>
      </c>
      <c r="D11910" t="s">
        <v>17161</v>
      </c>
      <c r="E11910" t="s">
        <v>27382</v>
      </c>
      <c r="F11910" t="s">
        <v>29372</v>
      </c>
      <c r="G11910" t="s">
        <v>29380</v>
      </c>
      <c r="H11910" t="s">
        <v>11048</v>
      </c>
      <c r="I11910" t="s">
        <v>4709</v>
      </c>
      <c r="J11910" t="s">
        <v>37046</v>
      </c>
      <c r="K11910" t="s">
        <v>38485</v>
      </c>
      <c r="M11910" t="s">
        <v>41776</v>
      </c>
      <c r="N11910" t="s">
        <v>42669</v>
      </c>
      <c r="O11910" t="s">
        <v>42670</v>
      </c>
      <c r="P11910">
        <v>0</v>
      </c>
      <c r="Q11910">
        <v>0</v>
      </c>
      <c r="R11910" t="s">
        <v>42689</v>
      </c>
      <c r="S11910" t="s">
        <v>43461</v>
      </c>
      <c r="T11910" t="s">
        <v>44412</v>
      </c>
      <c r="U11910" t="s">
        <v>54556</v>
      </c>
      <c r="W11910" t="s">
        <v>41776</v>
      </c>
      <c r="X11910" t="s">
        <v>42690</v>
      </c>
    </row>
    <row r="11911" spans="1:24">
      <c r="A11911">
        <f>HYPERLINK("https://www.philgeps.gov.ph/GEPSNONPILOT/Tender/SplashBidNoticeAbstractUI.aspx?menuIndex=3&amp;refID=7158659&amp;Result=3","7158659")</f>
        <v>0</v>
      </c>
      <c r="B11911" t="s">
        <v>3275</v>
      </c>
      <c r="C11911" t="s">
        <v>6355</v>
      </c>
      <c r="D11911" t="s">
        <v>17158</v>
      </c>
      <c r="E11911" t="s">
        <v>27383</v>
      </c>
      <c r="F11911" t="s">
        <v>29372</v>
      </c>
      <c r="G11911" t="s">
        <v>29380</v>
      </c>
      <c r="H11911" t="s">
        <v>29389</v>
      </c>
      <c r="I11911" t="s">
        <v>10408</v>
      </c>
      <c r="J11911" t="s">
        <v>37047</v>
      </c>
      <c r="K11911" t="s">
        <v>38496</v>
      </c>
      <c r="M11911" t="s">
        <v>42348</v>
      </c>
      <c r="N11911" t="s">
        <v>42669</v>
      </c>
      <c r="O11911" t="s">
        <v>42670</v>
      </c>
      <c r="Q11911">
        <v>1</v>
      </c>
      <c r="R11911" t="s">
        <v>42689</v>
      </c>
      <c r="S11911" t="s">
        <v>43478</v>
      </c>
      <c r="T11911" t="s">
        <v>44525</v>
      </c>
      <c r="U11911" t="s">
        <v>54557</v>
      </c>
      <c r="W11911" t="s">
        <v>42348</v>
      </c>
      <c r="X11911" t="s">
        <v>42690</v>
      </c>
    </row>
    <row r="11912" spans="1:24">
      <c r="A11912">
        <f>HYPERLINK("https://www.philgeps.gov.ph/GEPSNONPILOT/Tender/SplashBidNoticeAbstractUI.aspx?menuIndex=3&amp;refID=7158580&amp;Result=3","7158580")</f>
        <v>0</v>
      </c>
      <c r="B11912" t="s">
        <v>3276</v>
      </c>
      <c r="C11912" t="s">
        <v>14919</v>
      </c>
      <c r="D11912" t="s">
        <v>17212</v>
      </c>
      <c r="E11912" t="s">
        <v>27384</v>
      </c>
      <c r="F11912" t="s">
        <v>29372</v>
      </c>
      <c r="G11912" t="s">
        <v>29380</v>
      </c>
      <c r="H11912" t="s">
        <v>29389</v>
      </c>
      <c r="I11912" t="s">
        <v>10408</v>
      </c>
      <c r="J11912" t="s">
        <v>29708</v>
      </c>
      <c r="K11912" t="s">
        <v>38510</v>
      </c>
      <c r="M11912" t="s">
        <v>42349</v>
      </c>
      <c r="N11912" t="s">
        <v>42669</v>
      </c>
      <c r="O11912" t="s">
        <v>42670</v>
      </c>
      <c r="P11912">
        <v>0</v>
      </c>
      <c r="Q11912">
        <v>0</v>
      </c>
      <c r="R11912" t="s">
        <v>42689</v>
      </c>
      <c r="S11912" t="s">
        <v>43461</v>
      </c>
      <c r="T11912" t="s">
        <v>44481</v>
      </c>
      <c r="U11912" t="s">
        <v>54558</v>
      </c>
      <c r="W11912" t="s">
        <v>42349</v>
      </c>
      <c r="X11912" t="s">
        <v>42690</v>
      </c>
    </row>
    <row r="11913" spans="1:24">
      <c r="A11913">
        <f>HYPERLINK("https://www.philgeps.gov.ph/GEPSNONPILOT/Tender/SplashBidNoticeAbstractUI.aspx?menuIndex=3&amp;refID=7158654&amp;Result=3","7158654")</f>
        <v>0</v>
      </c>
      <c r="B11913" t="s">
        <v>3274</v>
      </c>
      <c r="C11913" t="s">
        <v>14920</v>
      </c>
      <c r="D11913" t="s">
        <v>17153</v>
      </c>
      <c r="E11913" t="s">
        <v>27385</v>
      </c>
      <c r="F11913" t="s">
        <v>29372</v>
      </c>
      <c r="G11913" t="s">
        <v>29380</v>
      </c>
      <c r="H11913" t="s">
        <v>11048</v>
      </c>
      <c r="I11913" t="s">
        <v>14920</v>
      </c>
      <c r="J11913" t="s">
        <v>29822</v>
      </c>
      <c r="K11913" t="s">
        <v>38510</v>
      </c>
      <c r="M11913" t="s">
        <v>42347</v>
      </c>
      <c r="N11913" t="s">
        <v>42669</v>
      </c>
      <c r="O11913" t="s">
        <v>42670</v>
      </c>
      <c r="P11913">
        <v>0</v>
      </c>
      <c r="Q11913">
        <v>0</v>
      </c>
      <c r="R11913" t="s">
        <v>42689</v>
      </c>
      <c r="S11913" t="s">
        <v>43461</v>
      </c>
      <c r="T11913" t="s">
        <v>44430</v>
      </c>
      <c r="U11913" t="s">
        <v>54559</v>
      </c>
      <c r="W11913" t="s">
        <v>42347</v>
      </c>
      <c r="X11913" t="s">
        <v>42690</v>
      </c>
    </row>
    <row r="11914" spans="1:24">
      <c r="A11914">
        <f>HYPERLINK("https://www.philgeps.gov.ph/GEPSNONPILOT/Tender/SplashBidNoticeAbstractUI.aspx?menuIndex=3&amp;refID=7158576&amp;Result=3","7158576")</f>
        <v>0</v>
      </c>
      <c r="B11914" t="s">
        <v>3277</v>
      </c>
      <c r="C11914" t="s">
        <v>14921</v>
      </c>
      <c r="D11914" t="s">
        <v>17200</v>
      </c>
      <c r="E11914" t="s">
        <v>27386</v>
      </c>
      <c r="F11914" t="s">
        <v>29372</v>
      </c>
      <c r="G11914" t="s">
        <v>29380</v>
      </c>
      <c r="H11914" t="s">
        <v>11048</v>
      </c>
      <c r="I11914" t="s">
        <v>29393</v>
      </c>
      <c r="J11914" t="s">
        <v>29555</v>
      </c>
      <c r="K11914" t="s">
        <v>38488</v>
      </c>
      <c r="M11914" t="s">
        <v>42350</v>
      </c>
      <c r="N11914" t="s">
        <v>42669</v>
      </c>
      <c r="O11914" t="s">
        <v>42670</v>
      </c>
      <c r="P11914">
        <v>0</v>
      </c>
      <c r="Q11914">
        <v>0</v>
      </c>
      <c r="R11914" t="s">
        <v>42689</v>
      </c>
      <c r="S11914" t="s">
        <v>43461</v>
      </c>
      <c r="T11914" t="s">
        <v>44480</v>
      </c>
      <c r="U11914" t="s">
        <v>54560</v>
      </c>
      <c r="W11914" t="s">
        <v>42350</v>
      </c>
      <c r="X11914" t="s">
        <v>42690</v>
      </c>
    </row>
    <row r="11915" spans="1:24">
      <c r="A11915">
        <f>HYPERLINK("https://www.philgeps.gov.ph/GEPSNONPILOT/Tender/SplashBidNoticeAbstractUI.aspx?menuIndex=3&amp;refID=7158633&amp;Result=3","7158633")</f>
        <v>0</v>
      </c>
      <c r="B11915" t="s">
        <v>3274</v>
      </c>
      <c r="C11915" t="s">
        <v>3839</v>
      </c>
      <c r="D11915" t="s">
        <v>17153</v>
      </c>
      <c r="E11915" t="s">
        <v>27387</v>
      </c>
      <c r="F11915" t="s">
        <v>29372</v>
      </c>
      <c r="G11915" t="s">
        <v>29380</v>
      </c>
      <c r="H11915" t="s">
        <v>11048</v>
      </c>
      <c r="I11915" t="s">
        <v>3839</v>
      </c>
      <c r="J11915" t="s">
        <v>29708</v>
      </c>
      <c r="K11915" t="s">
        <v>38510</v>
      </c>
      <c r="M11915" t="s">
        <v>42347</v>
      </c>
      <c r="N11915" t="s">
        <v>42669</v>
      </c>
      <c r="O11915" t="s">
        <v>42670</v>
      </c>
      <c r="P11915">
        <v>0</v>
      </c>
      <c r="Q11915">
        <v>0</v>
      </c>
      <c r="R11915" t="s">
        <v>42689</v>
      </c>
      <c r="S11915" t="s">
        <v>43461</v>
      </c>
      <c r="T11915" t="s">
        <v>44470</v>
      </c>
      <c r="U11915" t="s">
        <v>54561</v>
      </c>
      <c r="W11915" t="s">
        <v>42347</v>
      </c>
      <c r="X11915" t="s">
        <v>42690</v>
      </c>
    </row>
    <row r="11916" spans="1:24">
      <c r="A11916">
        <f>HYPERLINK("https://www.philgeps.gov.ph/GEPSNONPILOT/Tender/SplashBidNoticeAbstractUI.aspx?menuIndex=3&amp;refID=7158564&amp;Result=3","7158564")</f>
        <v>0</v>
      </c>
      <c r="B11916" t="s">
        <v>3278</v>
      </c>
      <c r="C11916" t="s">
        <v>14922</v>
      </c>
      <c r="D11916" t="s">
        <v>17164</v>
      </c>
      <c r="E11916" t="s">
        <v>17434</v>
      </c>
      <c r="F11916" t="s">
        <v>29372</v>
      </c>
      <c r="G11916" t="s">
        <v>29380</v>
      </c>
      <c r="H11916" t="s">
        <v>29389</v>
      </c>
      <c r="I11916" t="s">
        <v>4709</v>
      </c>
      <c r="J11916" t="s">
        <v>37048</v>
      </c>
      <c r="K11916" t="s">
        <v>38491</v>
      </c>
      <c r="M11916" t="s">
        <v>42351</v>
      </c>
      <c r="N11916" t="s">
        <v>42669</v>
      </c>
      <c r="O11916" t="s">
        <v>42670</v>
      </c>
      <c r="P11916">
        <v>0</v>
      </c>
      <c r="Q11916">
        <v>0</v>
      </c>
      <c r="R11916" t="s">
        <v>42689</v>
      </c>
      <c r="S11916" t="s">
        <v>43461</v>
      </c>
      <c r="T11916" t="s">
        <v>44702</v>
      </c>
      <c r="U11916" t="s">
        <v>54562</v>
      </c>
      <c r="W11916" t="s">
        <v>42351</v>
      </c>
      <c r="X11916" t="s">
        <v>42690</v>
      </c>
    </row>
    <row r="11917" spans="1:24">
      <c r="A11917">
        <f>HYPERLINK("https://www.philgeps.gov.ph/GEPSNONPILOT/Tender/SplashBidNoticeAbstractUI.aspx?menuIndex=3&amp;refID=7158390&amp;Result=3","7158390")</f>
        <v>0</v>
      </c>
      <c r="B11917" t="s">
        <v>3279</v>
      </c>
      <c r="C11917" t="s">
        <v>14923</v>
      </c>
      <c r="D11917" t="s">
        <v>17160</v>
      </c>
      <c r="E11917" t="s">
        <v>27388</v>
      </c>
      <c r="F11917" t="s">
        <v>29372</v>
      </c>
      <c r="G11917" t="s">
        <v>29380</v>
      </c>
      <c r="H11917" t="s">
        <v>11048</v>
      </c>
      <c r="I11917" t="s">
        <v>29461</v>
      </c>
      <c r="J11917" t="s">
        <v>29609</v>
      </c>
      <c r="K11917" t="s">
        <v>38496</v>
      </c>
      <c r="M11917" t="s">
        <v>42352</v>
      </c>
      <c r="N11917" t="s">
        <v>42669</v>
      </c>
      <c r="O11917" t="s">
        <v>42670</v>
      </c>
      <c r="P11917">
        <v>0</v>
      </c>
      <c r="Q11917">
        <v>2</v>
      </c>
      <c r="R11917" t="s">
        <v>42689</v>
      </c>
      <c r="S11917" t="s">
        <v>43461</v>
      </c>
      <c r="T11917" t="s">
        <v>44488</v>
      </c>
      <c r="U11917" t="s">
        <v>54563</v>
      </c>
      <c r="V11917" t="s">
        <v>57714</v>
      </c>
      <c r="W11917" t="s">
        <v>42352</v>
      </c>
      <c r="X11917" t="s">
        <v>42691</v>
      </c>
    </row>
    <row r="11918" spans="1:24">
      <c r="A11918">
        <f>HYPERLINK("https://www.philgeps.gov.ph/GEPSNONPILOT/Tender/SplashBidNoticeAbstractUI.aspx?menuIndex=3&amp;refID=7158545&amp;Result=3","7158545")</f>
        <v>0</v>
      </c>
      <c r="B11918" t="s">
        <v>1966</v>
      </c>
      <c r="C11918" t="s">
        <v>14924</v>
      </c>
      <c r="D11918" t="s">
        <v>17169</v>
      </c>
      <c r="E11918" t="s">
        <v>27389</v>
      </c>
      <c r="F11918" t="s">
        <v>29372</v>
      </c>
      <c r="G11918" t="s">
        <v>29380</v>
      </c>
      <c r="H11918" t="s">
        <v>11048</v>
      </c>
      <c r="I11918" t="s">
        <v>4486</v>
      </c>
      <c r="J11918" t="s">
        <v>37049</v>
      </c>
      <c r="K11918" t="s">
        <v>38487</v>
      </c>
      <c r="M11918" t="s">
        <v>40851</v>
      </c>
      <c r="N11918" t="s">
        <v>42669</v>
      </c>
      <c r="O11918" t="s">
        <v>42670</v>
      </c>
      <c r="Q11918">
        <v>25</v>
      </c>
      <c r="R11918" t="s">
        <v>42689</v>
      </c>
      <c r="S11918" t="s">
        <v>43479</v>
      </c>
      <c r="T11918" t="s">
        <v>44373</v>
      </c>
      <c r="U11918" t="s">
        <v>54564</v>
      </c>
      <c r="W11918" t="s">
        <v>40851</v>
      </c>
      <c r="X11918" t="s">
        <v>42691</v>
      </c>
    </row>
    <row r="11919" spans="1:24">
      <c r="A11919">
        <f>HYPERLINK("https://www.philgeps.gov.ph/GEPSNONPILOT/Tender/SplashBidNoticeAbstractUI.aspx?menuIndex=3&amp;refID=7158361&amp;Result=3","7158361")</f>
        <v>0</v>
      </c>
      <c r="B11919" t="s">
        <v>3280</v>
      </c>
      <c r="C11919" t="s">
        <v>14925</v>
      </c>
      <c r="D11919" t="s">
        <v>17146</v>
      </c>
      <c r="E11919" t="s">
        <v>27390</v>
      </c>
      <c r="F11919" t="s">
        <v>29372</v>
      </c>
      <c r="G11919" t="s">
        <v>29380</v>
      </c>
      <c r="H11919" t="s">
        <v>29389</v>
      </c>
      <c r="I11919" t="s">
        <v>10408</v>
      </c>
      <c r="J11919" t="s">
        <v>37050</v>
      </c>
      <c r="K11919" t="s">
        <v>38594</v>
      </c>
      <c r="M11919" t="s">
        <v>42353</v>
      </c>
      <c r="N11919" t="s">
        <v>42669</v>
      </c>
      <c r="O11919" t="s">
        <v>42670</v>
      </c>
      <c r="P11919">
        <v>0</v>
      </c>
      <c r="Q11919">
        <v>1</v>
      </c>
      <c r="R11919" t="s">
        <v>42689</v>
      </c>
      <c r="S11919" t="s">
        <v>43461</v>
      </c>
      <c r="T11919" t="s">
        <v>44481</v>
      </c>
      <c r="U11919" t="s">
        <v>54565</v>
      </c>
      <c r="V11919" t="s">
        <v>56791</v>
      </c>
      <c r="W11919" t="s">
        <v>42353</v>
      </c>
      <c r="X11919" t="s">
        <v>42691</v>
      </c>
    </row>
    <row r="11920" spans="1:24">
      <c r="A11920">
        <f>HYPERLINK("https://www.philgeps.gov.ph/GEPSNONPILOT/Tender/SplashBidNoticeAbstractUI.aspx?menuIndex=3&amp;refID=7158160&amp;Result=3","7158160")</f>
        <v>0</v>
      </c>
      <c r="B11920" t="s">
        <v>143</v>
      </c>
      <c r="C11920" t="s">
        <v>14926</v>
      </c>
      <c r="D11920" t="s">
        <v>17182</v>
      </c>
      <c r="E11920" t="s">
        <v>27391</v>
      </c>
      <c r="F11920" t="s">
        <v>29372</v>
      </c>
      <c r="G11920" t="s">
        <v>29380</v>
      </c>
      <c r="H11920" t="s">
        <v>11048</v>
      </c>
      <c r="I11920" t="s">
        <v>29444</v>
      </c>
      <c r="J11920" t="s">
        <v>37051</v>
      </c>
      <c r="K11920" t="s">
        <v>38488</v>
      </c>
      <c r="M11920" t="s">
        <v>38898</v>
      </c>
      <c r="N11920" t="s">
        <v>42669</v>
      </c>
      <c r="O11920" t="s">
        <v>42670</v>
      </c>
      <c r="Q11920">
        <v>6</v>
      </c>
      <c r="R11920" t="s">
        <v>42689</v>
      </c>
      <c r="S11920" t="s">
        <v>43480</v>
      </c>
      <c r="T11920" t="s">
        <v>44585</v>
      </c>
      <c r="U11920" t="s">
        <v>54566</v>
      </c>
      <c r="W11920" t="s">
        <v>38898</v>
      </c>
      <c r="X11920" t="s">
        <v>42691</v>
      </c>
    </row>
    <row r="11921" spans="1:24">
      <c r="A11921">
        <f>HYPERLINK("https://www.philgeps.gov.ph/GEPSNONPILOT/Tender/SplashBidNoticeAbstractUI.aspx?menuIndex=3&amp;refID=7154237&amp;Result=3","7154237")</f>
        <v>0</v>
      </c>
      <c r="B11921" t="s">
        <v>2777</v>
      </c>
      <c r="C11921" t="s">
        <v>14927</v>
      </c>
      <c r="D11921" t="s">
        <v>17151</v>
      </c>
      <c r="E11921" t="s">
        <v>27392</v>
      </c>
      <c r="F11921" t="s">
        <v>29372</v>
      </c>
      <c r="G11921" t="s">
        <v>29380</v>
      </c>
      <c r="H11921" t="s">
        <v>11048</v>
      </c>
      <c r="I11921" t="s">
        <v>3629</v>
      </c>
      <c r="J11921" t="s">
        <v>37052</v>
      </c>
      <c r="K11921" t="s">
        <v>38488</v>
      </c>
      <c r="M11921" t="s">
        <v>41762</v>
      </c>
      <c r="N11921" t="s">
        <v>42669</v>
      </c>
      <c r="O11921" t="s">
        <v>42670</v>
      </c>
      <c r="P11921">
        <v>0</v>
      </c>
      <c r="Q11921">
        <v>3</v>
      </c>
      <c r="R11921" t="s">
        <v>42689</v>
      </c>
      <c r="S11921" t="s">
        <v>43461</v>
      </c>
      <c r="T11921" t="s">
        <v>44441</v>
      </c>
      <c r="U11921" t="s">
        <v>54567</v>
      </c>
      <c r="V11921" t="s">
        <v>57388</v>
      </c>
      <c r="W11921" t="s">
        <v>41762</v>
      </c>
      <c r="X11921" t="s">
        <v>42692</v>
      </c>
    </row>
    <row r="11922" spans="1:24">
      <c r="A11922">
        <f>HYPERLINK("https://www.philgeps.gov.ph/GEPSNONPILOT/Tender/SplashBidNoticeAbstractUI.aspx?menuIndex=3&amp;refID=7144559&amp;Result=3","7144559")</f>
        <v>0</v>
      </c>
      <c r="B11922" t="s">
        <v>3272</v>
      </c>
      <c r="C11922" t="s">
        <v>14928</v>
      </c>
      <c r="D11922" t="s">
        <v>17197</v>
      </c>
      <c r="E11922" t="s">
        <v>27393</v>
      </c>
      <c r="F11922" t="s">
        <v>29372</v>
      </c>
      <c r="G11922" t="s">
        <v>29380</v>
      </c>
      <c r="H11922" t="s">
        <v>11048</v>
      </c>
      <c r="I11922" t="s">
        <v>29394</v>
      </c>
      <c r="J11922" t="s">
        <v>37053</v>
      </c>
      <c r="K11922" t="s">
        <v>38485</v>
      </c>
      <c r="M11922" t="s">
        <v>42344</v>
      </c>
      <c r="N11922" t="s">
        <v>42669</v>
      </c>
      <c r="O11922" t="s">
        <v>42670</v>
      </c>
      <c r="P11922">
        <v>0</v>
      </c>
      <c r="Q11922">
        <v>6</v>
      </c>
      <c r="R11922" t="s">
        <v>42689</v>
      </c>
      <c r="S11922" t="s">
        <v>43461</v>
      </c>
      <c r="T11922" t="s">
        <v>44480</v>
      </c>
      <c r="U11922" t="s">
        <v>54568</v>
      </c>
      <c r="V11922" t="s">
        <v>57715</v>
      </c>
      <c r="W11922" t="s">
        <v>42344</v>
      </c>
      <c r="X11922" t="s">
        <v>42698</v>
      </c>
    </row>
    <row r="11923" spans="1:24">
      <c r="A11923">
        <f>HYPERLINK("https://www.philgeps.gov.ph/GEPSNONPILOT/Tender/SplashBidNoticeAbstractUI.aspx?menuIndex=3&amp;refID=7135488&amp;Result=3","7135488")</f>
        <v>0</v>
      </c>
      <c r="B11923" t="s">
        <v>44</v>
      </c>
      <c r="C11923" t="s">
        <v>14929</v>
      </c>
      <c r="D11923" t="s">
        <v>17155</v>
      </c>
      <c r="E11923" t="s">
        <v>27394</v>
      </c>
      <c r="F11923" t="s">
        <v>29372</v>
      </c>
      <c r="G11923" t="s">
        <v>29380</v>
      </c>
      <c r="H11923" t="s">
        <v>11048</v>
      </c>
      <c r="I11923" t="s">
        <v>29397</v>
      </c>
      <c r="J11923" t="s">
        <v>29740</v>
      </c>
      <c r="K11923" t="s">
        <v>38485</v>
      </c>
      <c r="M11923" t="s">
        <v>38797</v>
      </c>
      <c r="N11923" t="s">
        <v>42669</v>
      </c>
      <c r="O11923" t="s">
        <v>42670</v>
      </c>
      <c r="P11923">
        <v>0</v>
      </c>
      <c r="Q11923">
        <v>5</v>
      </c>
      <c r="R11923" t="s">
        <v>42689</v>
      </c>
      <c r="S11923" t="s">
        <v>43461</v>
      </c>
      <c r="T11923" t="s">
        <v>44457</v>
      </c>
      <c r="U11923" t="s">
        <v>54569</v>
      </c>
      <c r="V11923" t="s">
        <v>57701</v>
      </c>
      <c r="W11923" t="s">
        <v>38797</v>
      </c>
      <c r="X11923" t="s">
        <v>42701</v>
      </c>
    </row>
    <row r="11924" spans="1:24">
      <c r="A11924">
        <f>HYPERLINK("https://www.philgeps.gov.ph/GEPSNONPILOT/Tender/SplashBidNoticeAbstractUI.aspx?menuIndex=3&amp;refID=7157431&amp;Result=3","7157431")</f>
        <v>0</v>
      </c>
      <c r="B11924" t="s">
        <v>2064</v>
      </c>
      <c r="C11924" t="s">
        <v>9302</v>
      </c>
      <c r="D11924" t="s">
        <v>17207</v>
      </c>
      <c r="E11924" t="s">
        <v>27395</v>
      </c>
      <c r="F11924" t="s">
        <v>29372</v>
      </c>
      <c r="G11924" t="s">
        <v>29380</v>
      </c>
      <c r="H11924" t="s">
        <v>29389</v>
      </c>
      <c r="I11924" t="s">
        <v>10408</v>
      </c>
      <c r="J11924" t="s">
        <v>29543</v>
      </c>
      <c r="K11924" t="s">
        <v>38496</v>
      </c>
      <c r="M11924" t="s">
        <v>40962</v>
      </c>
      <c r="N11924" t="s">
        <v>42669</v>
      </c>
      <c r="O11924" t="s">
        <v>42670</v>
      </c>
      <c r="P11924">
        <v>0</v>
      </c>
      <c r="Q11924">
        <v>0</v>
      </c>
      <c r="R11924" t="s">
        <v>42689</v>
      </c>
      <c r="S11924" t="s">
        <v>43461</v>
      </c>
      <c r="T11924" t="s">
        <v>44771</v>
      </c>
      <c r="U11924" t="s">
        <v>54570</v>
      </c>
      <c r="W11924" t="s">
        <v>40962</v>
      </c>
      <c r="X11924" t="s">
        <v>42691</v>
      </c>
    </row>
    <row r="11925" spans="1:24">
      <c r="A11925">
        <f>HYPERLINK("https://www.philgeps.gov.ph/GEPSNONPILOT/Tender/SplashBidNoticeAbstractUI.aspx?menuIndex=3&amp;refID=7158597&amp;Result=3","7158597")</f>
        <v>0</v>
      </c>
      <c r="B11925" t="s">
        <v>264</v>
      </c>
      <c r="C11925" t="s">
        <v>14930</v>
      </c>
      <c r="D11925" t="s">
        <v>17141</v>
      </c>
      <c r="E11925" t="s">
        <v>27396</v>
      </c>
      <c r="F11925" t="s">
        <v>29372</v>
      </c>
      <c r="G11925" t="s">
        <v>29380</v>
      </c>
      <c r="H11925" t="s">
        <v>11048</v>
      </c>
      <c r="I11925" t="s">
        <v>29459</v>
      </c>
      <c r="J11925" t="s">
        <v>37054</v>
      </c>
      <c r="K11925" t="s">
        <v>38522</v>
      </c>
      <c r="M11925" t="s">
        <v>39023</v>
      </c>
      <c r="N11925" t="s">
        <v>42669</v>
      </c>
      <c r="O11925" t="s">
        <v>42670</v>
      </c>
      <c r="Q11925">
        <v>7</v>
      </c>
      <c r="R11925" t="s">
        <v>42689</v>
      </c>
      <c r="S11925" t="s">
        <v>43481</v>
      </c>
      <c r="T11925" t="s">
        <v>44480</v>
      </c>
      <c r="U11925" t="s">
        <v>54571</v>
      </c>
      <c r="W11925" t="s">
        <v>39023</v>
      </c>
      <c r="X11925" t="s">
        <v>42690</v>
      </c>
    </row>
    <row r="11926" spans="1:24">
      <c r="A11926">
        <f>HYPERLINK("https://www.philgeps.gov.ph/GEPSNONPILOT/Tender/SplashBidNoticeAbstractUI.aspx?menuIndex=3&amp;refID=7164159&amp;Result=3","7164159")</f>
        <v>0</v>
      </c>
      <c r="B11926" t="s">
        <v>141</v>
      </c>
      <c r="C11926" t="s">
        <v>14931</v>
      </c>
      <c r="D11926" t="s">
        <v>17170</v>
      </c>
      <c r="E11926" t="s">
        <v>27397</v>
      </c>
      <c r="F11926" t="s">
        <v>29372</v>
      </c>
      <c r="G11926" t="s">
        <v>29380</v>
      </c>
      <c r="H11926" t="s">
        <v>11048</v>
      </c>
      <c r="I11926" t="s">
        <v>29393</v>
      </c>
      <c r="J11926" t="s">
        <v>37055</v>
      </c>
      <c r="K11926" t="s">
        <v>38491</v>
      </c>
      <c r="M11926" t="s">
        <v>38896</v>
      </c>
      <c r="N11926" t="s">
        <v>42669</v>
      </c>
      <c r="O11926" t="s">
        <v>42670</v>
      </c>
      <c r="P11926">
        <v>0</v>
      </c>
      <c r="Q11926">
        <v>0</v>
      </c>
      <c r="R11926" t="s">
        <v>42688</v>
      </c>
      <c r="S11926" t="s">
        <v>43441</v>
      </c>
      <c r="T11926" t="s">
        <v>44373</v>
      </c>
      <c r="U11926" t="s">
        <v>54572</v>
      </c>
      <c r="W11926" t="s">
        <v>38896</v>
      </c>
      <c r="X11926" t="s">
        <v>42689</v>
      </c>
    </row>
    <row r="11927" spans="1:24">
      <c r="A11927">
        <f>HYPERLINK("https://www.philgeps.gov.ph/GEPSNONPILOT/Tender/SplashBidNoticeAbstractUI.aspx?menuIndex=3&amp;refID=7158385&amp;Result=3","7158385")</f>
        <v>0</v>
      </c>
      <c r="B11927" t="s">
        <v>3280</v>
      </c>
      <c r="C11927" t="s">
        <v>14932</v>
      </c>
      <c r="D11927" t="s">
        <v>17146</v>
      </c>
      <c r="E11927" t="s">
        <v>27398</v>
      </c>
      <c r="F11927" t="s">
        <v>29372</v>
      </c>
      <c r="G11927" t="s">
        <v>29380</v>
      </c>
      <c r="H11927" t="s">
        <v>29389</v>
      </c>
      <c r="I11927" t="s">
        <v>10408</v>
      </c>
      <c r="J11927" t="s">
        <v>37056</v>
      </c>
      <c r="K11927" t="s">
        <v>38495</v>
      </c>
      <c r="M11927" t="s">
        <v>42353</v>
      </c>
      <c r="N11927" t="s">
        <v>42669</v>
      </c>
      <c r="O11927" t="s">
        <v>42670</v>
      </c>
      <c r="P11927">
        <v>0</v>
      </c>
      <c r="Q11927">
        <v>1</v>
      </c>
      <c r="R11927" t="s">
        <v>42689</v>
      </c>
      <c r="S11927" t="s">
        <v>43461</v>
      </c>
      <c r="T11927" t="s">
        <v>44481</v>
      </c>
      <c r="U11927" t="s">
        <v>54573</v>
      </c>
      <c r="V11927" t="s">
        <v>56791</v>
      </c>
      <c r="W11927" t="s">
        <v>42353</v>
      </c>
      <c r="X11927" t="s">
        <v>42691</v>
      </c>
    </row>
    <row r="11928" spans="1:24">
      <c r="A11928">
        <f>HYPERLINK("https://www.philgeps.gov.ph/GEPSNONPILOT/Tender/SplashBidNoticeAbstractUI.aspx?menuIndex=3&amp;refID=7164127&amp;Result=3","7164127")</f>
        <v>0</v>
      </c>
      <c r="B11928" t="s">
        <v>1088</v>
      </c>
      <c r="C11928" t="s">
        <v>14933</v>
      </c>
      <c r="D11928" t="s">
        <v>17141</v>
      </c>
      <c r="E11928" t="s">
        <v>27399</v>
      </c>
      <c r="F11928" t="s">
        <v>29372</v>
      </c>
      <c r="G11928" t="s">
        <v>29380</v>
      </c>
      <c r="H11928" t="s">
        <v>11048</v>
      </c>
      <c r="I11928" t="s">
        <v>29467</v>
      </c>
      <c r="J11928" t="s">
        <v>37057</v>
      </c>
      <c r="K11928" t="s">
        <v>38564</v>
      </c>
      <c r="M11928" t="s">
        <v>39895</v>
      </c>
      <c r="N11928" t="s">
        <v>42669</v>
      </c>
      <c r="O11928" t="s">
        <v>42670</v>
      </c>
      <c r="Q11928">
        <v>12</v>
      </c>
      <c r="R11928" t="s">
        <v>42688</v>
      </c>
      <c r="S11928" t="s">
        <v>43482</v>
      </c>
      <c r="T11928" t="s">
        <v>44497</v>
      </c>
      <c r="U11928" t="s">
        <v>54574</v>
      </c>
      <c r="W11928" t="s">
        <v>39895</v>
      </c>
      <c r="X11928" t="s">
        <v>42689</v>
      </c>
    </row>
    <row r="11929" spans="1:24">
      <c r="A11929">
        <f>HYPERLINK("https://www.philgeps.gov.ph/GEPSNONPILOT/Tender/SplashBidNoticeAbstractUI.aspx?menuIndex=3&amp;refID=7158832&amp;Result=3","7158832")</f>
        <v>0</v>
      </c>
      <c r="B11929" t="s">
        <v>985</v>
      </c>
      <c r="C11929" t="s">
        <v>14934</v>
      </c>
      <c r="D11929" t="s">
        <v>17158</v>
      </c>
      <c r="E11929" t="s">
        <v>27400</v>
      </c>
      <c r="F11929" t="s">
        <v>29372</v>
      </c>
      <c r="G11929" t="s">
        <v>29380</v>
      </c>
      <c r="H11929" t="s">
        <v>11048</v>
      </c>
      <c r="I11929" t="s">
        <v>8614</v>
      </c>
      <c r="J11929" t="s">
        <v>37058</v>
      </c>
      <c r="K11929" t="s">
        <v>38485</v>
      </c>
      <c r="M11929" t="s">
        <v>39783</v>
      </c>
      <c r="N11929" t="s">
        <v>42669</v>
      </c>
      <c r="O11929" t="s">
        <v>42670</v>
      </c>
      <c r="Q11929">
        <v>2</v>
      </c>
      <c r="R11929" t="s">
        <v>42689</v>
      </c>
      <c r="S11929" t="s">
        <v>42929</v>
      </c>
      <c r="T11929" t="s">
        <v>44412</v>
      </c>
      <c r="U11929" t="s">
        <v>54575</v>
      </c>
      <c r="W11929" t="s">
        <v>39783</v>
      </c>
      <c r="X11929" t="s">
        <v>42690</v>
      </c>
    </row>
    <row r="11930" spans="1:24">
      <c r="A11930">
        <f>HYPERLINK("https://www.philgeps.gov.ph/GEPSNONPILOT/Tender/SplashBidNoticeAbstractUI.aspx?menuIndex=3&amp;refID=7139320-2&amp;Result=3","7139320-2")</f>
        <v>0</v>
      </c>
      <c r="B11930" t="s">
        <v>1062</v>
      </c>
      <c r="C11930" t="s">
        <v>14935</v>
      </c>
      <c r="D11930" t="s">
        <v>17188</v>
      </c>
      <c r="E11930" t="s">
        <v>27401</v>
      </c>
      <c r="F11930" t="s">
        <v>29372</v>
      </c>
      <c r="G11930" t="s">
        <v>29380</v>
      </c>
      <c r="H11930" t="s">
        <v>29391</v>
      </c>
      <c r="I11930" t="s">
        <v>29391</v>
      </c>
      <c r="J11930" t="s">
        <v>37059</v>
      </c>
      <c r="K11930" t="s">
        <v>38564</v>
      </c>
      <c r="M11930" t="s">
        <v>39869</v>
      </c>
      <c r="N11930" t="s">
        <v>42669</v>
      </c>
      <c r="O11930" t="s">
        <v>42670</v>
      </c>
      <c r="P11930">
        <v>0</v>
      </c>
      <c r="Q11930">
        <v>2</v>
      </c>
      <c r="R11930" t="s">
        <v>42689</v>
      </c>
      <c r="S11930" t="s">
        <v>43461</v>
      </c>
      <c r="T11930" t="s">
        <v>44488</v>
      </c>
      <c r="U11930" t="s">
        <v>54576</v>
      </c>
      <c r="V11930" t="s">
        <v>57716</v>
      </c>
      <c r="W11930" t="s">
        <v>39869</v>
      </c>
      <c r="X11930" t="s">
        <v>42690</v>
      </c>
    </row>
    <row r="11931" spans="1:24">
      <c r="A11931">
        <f>HYPERLINK("https://www.philgeps.gov.ph/GEPSNONPILOT/Tender/SplashBidNoticeAbstractUI.aspx?menuIndex=3&amp;refID=7158871&amp;Result=3","7158871")</f>
        <v>0</v>
      </c>
      <c r="B11931" t="s">
        <v>3281</v>
      </c>
      <c r="C11931" t="s">
        <v>14936</v>
      </c>
      <c r="D11931" t="s">
        <v>17143</v>
      </c>
      <c r="E11931" t="s">
        <v>27402</v>
      </c>
      <c r="F11931" t="s">
        <v>29375</v>
      </c>
      <c r="G11931" t="s">
        <v>29380</v>
      </c>
      <c r="H11931" t="s">
        <v>11048</v>
      </c>
      <c r="I11931" t="s">
        <v>3839</v>
      </c>
      <c r="J11931" t="s">
        <v>29525</v>
      </c>
      <c r="K11931" t="s">
        <v>38485</v>
      </c>
      <c r="M11931" t="s">
        <v>42354</v>
      </c>
      <c r="N11931" t="s">
        <v>42669</v>
      </c>
      <c r="O11931" t="s">
        <v>42670</v>
      </c>
      <c r="P11931">
        <v>0</v>
      </c>
      <c r="Q11931">
        <v>8</v>
      </c>
      <c r="R11931" t="s">
        <v>42689</v>
      </c>
      <c r="S11931" t="s">
        <v>43461</v>
      </c>
      <c r="T11931" t="s">
        <v>44827</v>
      </c>
      <c r="U11931" t="s">
        <v>54577</v>
      </c>
      <c r="W11931" t="s">
        <v>42354</v>
      </c>
      <c r="X11931" t="s">
        <v>42690</v>
      </c>
    </row>
    <row r="11932" spans="1:24">
      <c r="A11932">
        <f>HYPERLINK("https://www.philgeps.gov.ph/GEPSNONPILOT/Tender/SplashBidNoticeAbstractUI.aspx?menuIndex=3&amp;refID=7164183&amp;Result=3","7164183")</f>
        <v>0</v>
      </c>
      <c r="B11932" t="s">
        <v>513</v>
      </c>
      <c r="C11932" t="s">
        <v>14937</v>
      </c>
      <c r="D11932" t="s">
        <v>17191</v>
      </c>
      <c r="E11932" t="s">
        <v>27403</v>
      </c>
      <c r="F11932" t="s">
        <v>29372</v>
      </c>
      <c r="G11932" t="s">
        <v>29380</v>
      </c>
      <c r="H11932" t="s">
        <v>29389</v>
      </c>
      <c r="I11932" t="s">
        <v>10408</v>
      </c>
      <c r="J11932" t="s">
        <v>37060</v>
      </c>
      <c r="K11932" t="s">
        <v>38542</v>
      </c>
      <c r="L11932" t="s">
        <v>513</v>
      </c>
      <c r="M11932" t="s">
        <v>39280</v>
      </c>
      <c r="N11932" t="s">
        <v>42669</v>
      </c>
      <c r="O11932" t="s">
        <v>42670</v>
      </c>
      <c r="Q11932">
        <v>2</v>
      </c>
      <c r="R11932" t="s">
        <v>42688</v>
      </c>
      <c r="S11932" t="s">
        <v>43483</v>
      </c>
      <c r="T11932" t="s">
        <v>44387</v>
      </c>
      <c r="U11932" t="s">
        <v>54578</v>
      </c>
      <c r="W11932" t="s">
        <v>39280</v>
      </c>
      <c r="X11932" t="s">
        <v>42689</v>
      </c>
    </row>
    <row r="11933" spans="1:24">
      <c r="A11933">
        <f>HYPERLINK("https://www.philgeps.gov.ph/GEPSNONPILOT/Tender/SplashBidNoticeAbstractUI.aspx?menuIndex=3&amp;refID=7158870&amp;Result=3","7158870")</f>
        <v>0</v>
      </c>
      <c r="B11933" t="s">
        <v>1100</v>
      </c>
      <c r="C11933" t="s">
        <v>14938</v>
      </c>
      <c r="D11933" t="s">
        <v>17171</v>
      </c>
      <c r="E11933" t="s">
        <v>27404</v>
      </c>
      <c r="F11933" t="s">
        <v>29372</v>
      </c>
      <c r="G11933" t="s">
        <v>29380</v>
      </c>
      <c r="H11933" t="s">
        <v>11048</v>
      </c>
      <c r="I11933" t="s">
        <v>29398</v>
      </c>
      <c r="J11933" t="s">
        <v>30683</v>
      </c>
      <c r="K11933" t="s">
        <v>38510</v>
      </c>
      <c r="M11933" t="s">
        <v>39907</v>
      </c>
      <c r="N11933" t="s">
        <v>42669</v>
      </c>
      <c r="O11933" t="s">
        <v>42670</v>
      </c>
      <c r="P11933">
        <v>0</v>
      </c>
      <c r="Q11933">
        <v>0</v>
      </c>
      <c r="R11933" t="s">
        <v>42689</v>
      </c>
      <c r="S11933" t="s">
        <v>43461</v>
      </c>
      <c r="T11933" t="s">
        <v>44437</v>
      </c>
      <c r="U11933" t="s">
        <v>54579</v>
      </c>
      <c r="W11933" t="s">
        <v>39907</v>
      </c>
      <c r="X11933" t="s">
        <v>42690</v>
      </c>
    </row>
    <row r="11934" spans="1:24">
      <c r="A11934">
        <f>HYPERLINK("https://www.philgeps.gov.ph/GEPSNONPILOT/Tender/SplashBidNoticeAbstractUI.aspx?menuIndex=3&amp;refID=7158852&amp;Result=3","7158852")</f>
        <v>0</v>
      </c>
      <c r="B11934" t="s">
        <v>3280</v>
      </c>
      <c r="C11934" t="s">
        <v>14939</v>
      </c>
      <c r="D11934" t="s">
        <v>17146</v>
      </c>
      <c r="E11934" t="s">
        <v>27405</v>
      </c>
      <c r="F11934" t="s">
        <v>29372</v>
      </c>
      <c r="G11934" t="s">
        <v>29380</v>
      </c>
      <c r="H11934" t="s">
        <v>29389</v>
      </c>
      <c r="I11934" t="s">
        <v>10408</v>
      </c>
      <c r="J11934" t="s">
        <v>37061</v>
      </c>
      <c r="K11934" t="s">
        <v>38579</v>
      </c>
      <c r="M11934" t="s">
        <v>42353</v>
      </c>
      <c r="N11934" t="s">
        <v>42669</v>
      </c>
      <c r="O11934" t="s">
        <v>42670</v>
      </c>
      <c r="P11934">
        <v>0</v>
      </c>
      <c r="Q11934">
        <v>1</v>
      </c>
      <c r="R11934" t="s">
        <v>42689</v>
      </c>
      <c r="S11934" t="s">
        <v>43461</v>
      </c>
      <c r="T11934" t="s">
        <v>44481</v>
      </c>
      <c r="U11934" t="s">
        <v>54580</v>
      </c>
      <c r="V11934" t="s">
        <v>56791</v>
      </c>
      <c r="W11934" t="s">
        <v>42353</v>
      </c>
      <c r="X11934" t="s">
        <v>42690</v>
      </c>
    </row>
    <row r="11935" spans="1:24">
      <c r="A11935">
        <f>HYPERLINK("https://www.philgeps.gov.ph/GEPSNONPILOT/Tender/SplashBidNoticeAbstractUI.aspx?menuIndex=3&amp;refID=7157681&amp;Result=3","7157681")</f>
        <v>0</v>
      </c>
      <c r="B11935" t="s">
        <v>693</v>
      </c>
      <c r="C11935" t="s">
        <v>14940</v>
      </c>
      <c r="D11935" t="s">
        <v>17161</v>
      </c>
      <c r="E11935" t="s">
        <v>27406</v>
      </c>
      <c r="F11935" t="s">
        <v>29372</v>
      </c>
      <c r="G11935" t="s">
        <v>29380</v>
      </c>
      <c r="H11935" t="s">
        <v>29389</v>
      </c>
      <c r="I11935" t="s">
        <v>10408</v>
      </c>
      <c r="J11935" t="s">
        <v>37062</v>
      </c>
      <c r="K11935" t="s">
        <v>38533</v>
      </c>
      <c r="M11935" t="s">
        <v>39469</v>
      </c>
      <c r="N11935" t="s">
        <v>42669</v>
      </c>
      <c r="O11935" t="s">
        <v>42670</v>
      </c>
      <c r="Q11935">
        <v>0</v>
      </c>
      <c r="R11935" t="s">
        <v>42689</v>
      </c>
      <c r="S11935" t="s">
        <v>43484</v>
      </c>
      <c r="T11935" t="s">
        <v>44401</v>
      </c>
      <c r="U11935" t="s">
        <v>54535</v>
      </c>
      <c r="V11935" t="s">
        <v>57717</v>
      </c>
      <c r="W11935" t="s">
        <v>39469</v>
      </c>
      <c r="X11935" t="s">
        <v>42691</v>
      </c>
    </row>
    <row r="11936" spans="1:24">
      <c r="A11936">
        <f>HYPERLINK("https://www.philgeps.gov.ph/GEPSNONPILOT/Tender/SplashBidNoticeAbstractUI.aspx?menuIndex=3&amp;refID=7158830&amp;Result=3","7158830")</f>
        <v>0</v>
      </c>
      <c r="B11936" t="s">
        <v>2656</v>
      </c>
      <c r="C11936" t="s">
        <v>14941</v>
      </c>
      <c r="D11936" t="s">
        <v>17147</v>
      </c>
      <c r="E11936" t="s">
        <v>27407</v>
      </c>
      <c r="F11936" t="s">
        <v>29372</v>
      </c>
      <c r="G11936" t="s">
        <v>29380</v>
      </c>
      <c r="H11936" t="s">
        <v>29389</v>
      </c>
      <c r="I11936" t="s">
        <v>10408</v>
      </c>
      <c r="J11936" t="s">
        <v>35911</v>
      </c>
      <c r="K11936" t="s">
        <v>38502</v>
      </c>
      <c r="M11936" t="s">
        <v>41632</v>
      </c>
      <c r="N11936" t="s">
        <v>42669</v>
      </c>
      <c r="O11936" t="s">
        <v>42670</v>
      </c>
      <c r="P11936">
        <v>0</v>
      </c>
      <c r="Q11936">
        <v>0</v>
      </c>
      <c r="R11936" t="s">
        <v>42689</v>
      </c>
      <c r="S11936" t="s">
        <v>43461</v>
      </c>
      <c r="T11936" t="s">
        <v>44401</v>
      </c>
      <c r="U11936" t="s">
        <v>54581</v>
      </c>
      <c r="W11936" t="s">
        <v>41632</v>
      </c>
      <c r="X11936" t="s">
        <v>42690</v>
      </c>
    </row>
    <row r="11937" spans="1:24">
      <c r="A11937">
        <f>HYPERLINK("https://www.philgeps.gov.ph/GEPSNONPILOT/Tender/SplashBidNoticeAbstractUI.aspx?menuIndex=3&amp;refID=7158814&amp;Result=3","7158814")</f>
        <v>0</v>
      </c>
      <c r="B11937" t="s">
        <v>3282</v>
      </c>
      <c r="C11937" t="s">
        <v>14942</v>
      </c>
      <c r="D11937" t="s">
        <v>17182</v>
      </c>
      <c r="E11937" t="s">
        <v>27408</v>
      </c>
      <c r="F11937" t="s">
        <v>29372</v>
      </c>
      <c r="G11937" t="s">
        <v>29380</v>
      </c>
      <c r="H11937" t="s">
        <v>29390</v>
      </c>
      <c r="I11937" t="s">
        <v>29466</v>
      </c>
      <c r="J11937" t="s">
        <v>37063</v>
      </c>
      <c r="K11937" t="s">
        <v>38580</v>
      </c>
      <c r="M11937" t="s">
        <v>42355</v>
      </c>
      <c r="N11937" t="s">
        <v>42669</v>
      </c>
      <c r="O11937" t="s">
        <v>42670</v>
      </c>
      <c r="P11937">
        <v>0</v>
      </c>
      <c r="Q11937">
        <v>1</v>
      </c>
      <c r="R11937" t="s">
        <v>42689</v>
      </c>
      <c r="S11937" t="s">
        <v>43461</v>
      </c>
      <c r="T11937" t="s">
        <v>44481</v>
      </c>
      <c r="U11937" t="s">
        <v>54582</v>
      </c>
      <c r="V11937" t="s">
        <v>57718</v>
      </c>
      <c r="W11937" t="s">
        <v>42355</v>
      </c>
      <c r="X11937" t="s">
        <v>42690</v>
      </c>
    </row>
    <row r="11938" spans="1:24">
      <c r="A11938">
        <f>HYPERLINK("https://www.philgeps.gov.ph/GEPSNONPILOT/Tender/SplashBidNoticeAbstractUI.aspx?menuIndex=3&amp;refID=7158805&amp;Result=3","7158805")</f>
        <v>0</v>
      </c>
      <c r="B11938" t="s">
        <v>2810</v>
      </c>
      <c r="C11938" t="s">
        <v>14943</v>
      </c>
      <c r="D11938" t="s">
        <v>17221</v>
      </c>
      <c r="E11938" t="s">
        <v>27409</v>
      </c>
      <c r="F11938" t="s">
        <v>29372</v>
      </c>
      <c r="G11938" t="s">
        <v>29380</v>
      </c>
      <c r="H11938" t="s">
        <v>11048</v>
      </c>
      <c r="I11938" t="s">
        <v>4709</v>
      </c>
      <c r="J11938" t="s">
        <v>37064</v>
      </c>
      <c r="K11938" t="s">
        <v>38491</v>
      </c>
      <c r="M11938" t="s">
        <v>41799</v>
      </c>
      <c r="N11938" t="s">
        <v>42669</v>
      </c>
      <c r="O11938" t="s">
        <v>42670</v>
      </c>
      <c r="P11938">
        <v>0</v>
      </c>
      <c r="Q11938">
        <v>1</v>
      </c>
      <c r="R11938" t="s">
        <v>42689</v>
      </c>
      <c r="S11938" t="s">
        <v>43461</v>
      </c>
      <c r="T11938" t="s">
        <v>44488</v>
      </c>
      <c r="U11938" t="s">
        <v>54583</v>
      </c>
      <c r="W11938" t="s">
        <v>41799</v>
      </c>
      <c r="X11938" t="s">
        <v>42690</v>
      </c>
    </row>
    <row r="11939" spans="1:24">
      <c r="A11939">
        <f>HYPERLINK("https://www.philgeps.gov.ph/GEPSNONPILOT/Tender/SplashBidNoticeAbstractUI.aspx?menuIndex=3&amp;refID=7158869&amp;Result=3","7158869")</f>
        <v>0</v>
      </c>
      <c r="B11939" t="s">
        <v>2977</v>
      </c>
      <c r="C11939" t="s">
        <v>14944</v>
      </c>
      <c r="D11939" t="s">
        <v>17188</v>
      </c>
      <c r="E11939" t="s">
        <v>27410</v>
      </c>
      <c r="F11939" t="s">
        <v>29372</v>
      </c>
      <c r="G11939" t="s">
        <v>29380</v>
      </c>
      <c r="H11939" t="s">
        <v>11048</v>
      </c>
      <c r="I11939" t="s">
        <v>9469</v>
      </c>
      <c r="J11939" t="s">
        <v>32405</v>
      </c>
      <c r="K11939" t="s">
        <v>38488</v>
      </c>
      <c r="M11939" t="s">
        <v>41991</v>
      </c>
      <c r="N11939" t="s">
        <v>42669</v>
      </c>
      <c r="O11939" t="s">
        <v>42670</v>
      </c>
      <c r="P11939">
        <v>0</v>
      </c>
      <c r="Q11939">
        <v>4</v>
      </c>
      <c r="R11939" t="s">
        <v>42689</v>
      </c>
      <c r="S11939" t="s">
        <v>43461</v>
      </c>
      <c r="T11939" t="s">
        <v>44584</v>
      </c>
      <c r="U11939" t="s">
        <v>54584</v>
      </c>
      <c r="W11939" t="s">
        <v>41991</v>
      </c>
      <c r="X11939" t="s">
        <v>42690</v>
      </c>
    </row>
    <row r="11940" spans="1:24">
      <c r="A11940">
        <f>HYPERLINK("https://www.philgeps.gov.ph/GEPSNONPILOT/Tender/SplashBidNoticeAbstractUI.aspx?menuIndex=3&amp;refID=7158803&amp;Result=3","7158803")</f>
        <v>0</v>
      </c>
      <c r="B11940" t="s">
        <v>3283</v>
      </c>
      <c r="C11940" t="s">
        <v>14945</v>
      </c>
      <c r="D11940" t="s">
        <v>17222</v>
      </c>
      <c r="E11940" t="s">
        <v>27411</v>
      </c>
      <c r="F11940" t="s">
        <v>29372</v>
      </c>
      <c r="G11940" t="s">
        <v>29380</v>
      </c>
      <c r="H11940" t="s">
        <v>29389</v>
      </c>
      <c r="I11940" t="s">
        <v>29453</v>
      </c>
      <c r="J11940" t="s">
        <v>29590</v>
      </c>
      <c r="K11940" t="s">
        <v>38577</v>
      </c>
      <c r="M11940" t="s">
        <v>42356</v>
      </c>
      <c r="N11940" t="s">
        <v>42669</v>
      </c>
      <c r="O11940" t="s">
        <v>42670</v>
      </c>
      <c r="P11940">
        <v>0</v>
      </c>
      <c r="Q11940">
        <v>0</v>
      </c>
      <c r="R11940" t="s">
        <v>42689</v>
      </c>
      <c r="S11940" t="s">
        <v>43461</v>
      </c>
      <c r="T11940" t="s">
        <v>44394</v>
      </c>
      <c r="U11940" t="s">
        <v>54585</v>
      </c>
      <c r="W11940" t="s">
        <v>42356</v>
      </c>
      <c r="X11940" t="s">
        <v>42690</v>
      </c>
    </row>
    <row r="11941" spans="1:24">
      <c r="A11941">
        <f>HYPERLINK("https://www.philgeps.gov.ph/GEPSNONPILOT/Tender/SplashBidNoticeAbstractUI.aspx?menuIndex=3&amp;refID=7158840&amp;Result=3","7158840")</f>
        <v>0</v>
      </c>
      <c r="B11941" t="s">
        <v>1100</v>
      </c>
      <c r="C11941" t="s">
        <v>14946</v>
      </c>
      <c r="D11941" t="s">
        <v>17171</v>
      </c>
      <c r="E11941" t="s">
        <v>17266</v>
      </c>
      <c r="F11941" t="s">
        <v>29372</v>
      </c>
      <c r="G11941" t="s">
        <v>29380</v>
      </c>
      <c r="H11941" t="s">
        <v>11048</v>
      </c>
      <c r="I11941" t="s">
        <v>29395</v>
      </c>
      <c r="J11941" t="s">
        <v>30446</v>
      </c>
      <c r="K11941" t="s">
        <v>38510</v>
      </c>
      <c r="M11941" t="s">
        <v>39907</v>
      </c>
      <c r="N11941" t="s">
        <v>42669</v>
      </c>
      <c r="O11941" t="s">
        <v>42670</v>
      </c>
      <c r="P11941">
        <v>0</v>
      </c>
      <c r="Q11941">
        <v>0</v>
      </c>
      <c r="R11941" t="s">
        <v>42689</v>
      </c>
      <c r="S11941" t="s">
        <v>43461</v>
      </c>
      <c r="T11941" t="s">
        <v>44437</v>
      </c>
      <c r="U11941" t="s">
        <v>54586</v>
      </c>
      <c r="W11941" t="s">
        <v>39907</v>
      </c>
      <c r="X11941" t="s">
        <v>42690</v>
      </c>
    </row>
    <row r="11942" spans="1:24">
      <c r="A11942">
        <f>HYPERLINK("https://www.philgeps.gov.ph/GEPSNONPILOT/Tender/SplashBidNoticeAbstractUI.aspx?menuIndex=3&amp;refID=7158800&amp;Result=3","7158800")</f>
        <v>0</v>
      </c>
      <c r="B11942" t="s">
        <v>1100</v>
      </c>
      <c r="C11942" t="s">
        <v>14947</v>
      </c>
      <c r="D11942" t="s">
        <v>17171</v>
      </c>
      <c r="E11942" t="s">
        <v>17267</v>
      </c>
      <c r="F11942" t="s">
        <v>29372</v>
      </c>
      <c r="G11942" t="s">
        <v>29380</v>
      </c>
      <c r="H11942" t="s">
        <v>11048</v>
      </c>
      <c r="I11942" t="s">
        <v>5383</v>
      </c>
      <c r="J11942" t="s">
        <v>37065</v>
      </c>
      <c r="K11942" t="s">
        <v>38510</v>
      </c>
      <c r="M11942" t="s">
        <v>39907</v>
      </c>
      <c r="N11942" t="s">
        <v>42669</v>
      </c>
      <c r="O11942" t="s">
        <v>42670</v>
      </c>
      <c r="P11942">
        <v>0</v>
      </c>
      <c r="Q11942">
        <v>4</v>
      </c>
      <c r="R11942" t="s">
        <v>42689</v>
      </c>
      <c r="S11942" t="s">
        <v>43461</v>
      </c>
      <c r="T11942" t="s">
        <v>44437</v>
      </c>
      <c r="U11942" t="s">
        <v>54587</v>
      </c>
      <c r="W11942" t="s">
        <v>39907</v>
      </c>
      <c r="X11942" t="s">
        <v>42690</v>
      </c>
    </row>
    <row r="11943" spans="1:24">
      <c r="A11943">
        <f>HYPERLINK("https://www.philgeps.gov.ph/GEPSNONPILOT/Tender/SplashBidNoticeAbstractUI.aspx?menuIndex=3&amp;refID=7158780&amp;Result=3","7158780")</f>
        <v>0</v>
      </c>
      <c r="B11943" t="s">
        <v>2656</v>
      </c>
      <c r="C11943" t="s">
        <v>14948</v>
      </c>
      <c r="D11943" t="s">
        <v>17147</v>
      </c>
      <c r="E11943" t="s">
        <v>27412</v>
      </c>
      <c r="F11943" t="s">
        <v>29372</v>
      </c>
      <c r="G11943" t="s">
        <v>29380</v>
      </c>
      <c r="H11943" t="s">
        <v>29389</v>
      </c>
      <c r="I11943" t="s">
        <v>10408</v>
      </c>
      <c r="J11943" t="s">
        <v>33436</v>
      </c>
      <c r="K11943" t="s">
        <v>38546</v>
      </c>
      <c r="M11943" t="s">
        <v>41632</v>
      </c>
      <c r="N11943" t="s">
        <v>42669</v>
      </c>
      <c r="O11943" t="s">
        <v>42670</v>
      </c>
      <c r="P11943">
        <v>0</v>
      </c>
      <c r="Q11943">
        <v>0</v>
      </c>
      <c r="R11943" t="s">
        <v>42689</v>
      </c>
      <c r="S11943" t="s">
        <v>43461</v>
      </c>
      <c r="T11943" t="s">
        <v>44401</v>
      </c>
      <c r="U11943" t="s">
        <v>54588</v>
      </c>
      <c r="W11943" t="s">
        <v>41632</v>
      </c>
      <c r="X11943" t="s">
        <v>42690</v>
      </c>
    </row>
    <row r="11944" spans="1:24">
      <c r="A11944">
        <f>HYPERLINK("https://www.philgeps.gov.ph/GEPSNONPILOT/Tender/SplashBidNoticeAbstractUI.aspx?menuIndex=3&amp;refID=7158810&amp;Result=3","7158810")</f>
        <v>0</v>
      </c>
      <c r="B11944" t="s">
        <v>2656</v>
      </c>
      <c r="C11944" t="s">
        <v>14949</v>
      </c>
      <c r="D11944" t="s">
        <v>17147</v>
      </c>
      <c r="E11944" t="s">
        <v>27413</v>
      </c>
      <c r="F11944" t="s">
        <v>29372</v>
      </c>
      <c r="G11944" t="s">
        <v>29380</v>
      </c>
      <c r="H11944" t="s">
        <v>29389</v>
      </c>
      <c r="I11944" t="s">
        <v>10408</v>
      </c>
      <c r="J11944" t="s">
        <v>33632</v>
      </c>
      <c r="K11944" t="s">
        <v>38502</v>
      </c>
      <c r="M11944" t="s">
        <v>41632</v>
      </c>
      <c r="N11944" t="s">
        <v>42669</v>
      </c>
      <c r="O11944" t="s">
        <v>42670</v>
      </c>
      <c r="P11944">
        <v>0</v>
      </c>
      <c r="Q11944">
        <v>0</v>
      </c>
      <c r="R11944" t="s">
        <v>42689</v>
      </c>
      <c r="S11944" t="s">
        <v>43461</v>
      </c>
      <c r="T11944" t="s">
        <v>44401</v>
      </c>
      <c r="U11944" t="s">
        <v>54589</v>
      </c>
      <c r="W11944" t="s">
        <v>41632</v>
      </c>
      <c r="X11944" t="s">
        <v>42690</v>
      </c>
    </row>
    <row r="11945" spans="1:24">
      <c r="A11945">
        <f>HYPERLINK("https://www.philgeps.gov.ph/GEPSNONPILOT/Tender/SplashBidNoticeAbstractUI.aspx?menuIndex=3&amp;refID=7158920&amp;Result=3","7158920")</f>
        <v>0</v>
      </c>
      <c r="B11945" t="s">
        <v>693</v>
      </c>
      <c r="C11945" t="s">
        <v>14950</v>
      </c>
      <c r="D11945" t="s">
        <v>17161</v>
      </c>
      <c r="E11945" t="s">
        <v>27414</v>
      </c>
      <c r="F11945" t="s">
        <v>29372</v>
      </c>
      <c r="G11945" t="s">
        <v>29380</v>
      </c>
      <c r="H11945" t="s">
        <v>29389</v>
      </c>
      <c r="I11945" t="s">
        <v>10408</v>
      </c>
      <c r="J11945" t="s">
        <v>37066</v>
      </c>
      <c r="K11945" t="s">
        <v>38533</v>
      </c>
      <c r="M11945" t="s">
        <v>39469</v>
      </c>
      <c r="N11945" t="s">
        <v>42669</v>
      </c>
      <c r="O11945" t="s">
        <v>42670</v>
      </c>
      <c r="Q11945">
        <v>0</v>
      </c>
      <c r="R11945" t="s">
        <v>42689</v>
      </c>
      <c r="S11945" t="s">
        <v>43485</v>
      </c>
      <c r="T11945" t="s">
        <v>44371</v>
      </c>
      <c r="U11945" t="s">
        <v>54535</v>
      </c>
      <c r="V11945" t="s">
        <v>57719</v>
      </c>
      <c r="W11945" t="s">
        <v>39469</v>
      </c>
      <c r="X11945" t="s">
        <v>42690</v>
      </c>
    </row>
    <row r="11946" spans="1:24">
      <c r="A11946">
        <f>HYPERLINK("https://www.philgeps.gov.ph/GEPSNONPILOT/Tender/SplashBidNoticeAbstractUI.aspx?menuIndex=3&amp;refID=7159095&amp;Result=3","7159095")</f>
        <v>0</v>
      </c>
      <c r="B11946" t="s">
        <v>264</v>
      </c>
      <c r="C11946" t="s">
        <v>14951</v>
      </c>
      <c r="D11946" t="s">
        <v>17141</v>
      </c>
      <c r="E11946" t="s">
        <v>27415</v>
      </c>
      <c r="F11946" t="s">
        <v>29372</v>
      </c>
      <c r="G11946" t="s">
        <v>29380</v>
      </c>
      <c r="H11946" t="s">
        <v>29389</v>
      </c>
      <c r="I11946" t="s">
        <v>29417</v>
      </c>
      <c r="J11946" t="s">
        <v>37067</v>
      </c>
      <c r="K11946" t="s">
        <v>38522</v>
      </c>
      <c r="M11946" t="s">
        <v>39023</v>
      </c>
      <c r="N11946" t="s">
        <v>42669</v>
      </c>
      <c r="O11946" t="s">
        <v>42670</v>
      </c>
      <c r="Q11946">
        <v>7</v>
      </c>
      <c r="R11946" t="s">
        <v>42689</v>
      </c>
      <c r="S11946" t="s">
        <v>43486</v>
      </c>
      <c r="T11946" t="s">
        <v>44480</v>
      </c>
      <c r="U11946" t="s">
        <v>54590</v>
      </c>
      <c r="W11946" t="s">
        <v>39023</v>
      </c>
      <c r="X11946" t="s">
        <v>42690</v>
      </c>
    </row>
    <row r="11947" spans="1:24">
      <c r="A11947">
        <f>HYPERLINK("https://www.philgeps.gov.ph/GEPSNONPILOT/Tender/SplashBidNoticeAbstractUI.aspx?menuIndex=3&amp;refID=7158865&amp;Result=3","7158865")</f>
        <v>0</v>
      </c>
      <c r="B11947" t="s">
        <v>2717</v>
      </c>
      <c r="C11947" t="s">
        <v>14952</v>
      </c>
      <c r="D11947" t="s">
        <v>17141</v>
      </c>
      <c r="E11947" t="s">
        <v>27416</v>
      </c>
      <c r="F11947" t="s">
        <v>29372</v>
      </c>
      <c r="G11947" t="s">
        <v>29381</v>
      </c>
      <c r="H11947" t="s">
        <v>29389</v>
      </c>
      <c r="I11947" t="s">
        <v>10408</v>
      </c>
      <c r="J11947" t="s">
        <v>30335</v>
      </c>
      <c r="K11947" t="s">
        <v>38564</v>
      </c>
      <c r="M11947" t="s">
        <v>41698</v>
      </c>
      <c r="N11947" t="s">
        <v>42669</v>
      </c>
      <c r="O11947" t="s">
        <v>42670</v>
      </c>
      <c r="P11947">
        <v>0</v>
      </c>
      <c r="Q11947">
        <v>7</v>
      </c>
      <c r="R11947" t="s">
        <v>42689</v>
      </c>
      <c r="S11947" t="s">
        <v>43461</v>
      </c>
      <c r="T11947" t="s">
        <v>44375</v>
      </c>
      <c r="U11947" t="s">
        <v>54591</v>
      </c>
      <c r="W11947" t="s">
        <v>41698</v>
      </c>
      <c r="X11947" t="s">
        <v>42690</v>
      </c>
    </row>
    <row r="11948" spans="1:24">
      <c r="A11948">
        <f>HYPERLINK("https://www.philgeps.gov.ph/GEPSNONPILOT/Tender/SplashBidNoticeAbstractUI.aspx?menuIndex=3&amp;refID=7159057&amp;Result=3","7159057")</f>
        <v>0</v>
      </c>
      <c r="B11948" t="s">
        <v>577</v>
      </c>
      <c r="C11948" t="s">
        <v>14953</v>
      </c>
      <c r="D11948" t="s">
        <v>17164</v>
      </c>
      <c r="E11948" t="s">
        <v>27417</v>
      </c>
      <c r="F11948" t="s">
        <v>29372</v>
      </c>
      <c r="G11948" t="s">
        <v>29380</v>
      </c>
      <c r="H11948" t="s">
        <v>11048</v>
      </c>
      <c r="I11948" t="s">
        <v>4487</v>
      </c>
      <c r="J11948" t="s">
        <v>37068</v>
      </c>
      <c r="K11948" t="s">
        <v>38485</v>
      </c>
      <c r="L11948" t="s">
        <v>577</v>
      </c>
      <c r="M11948" t="s">
        <v>39346</v>
      </c>
      <c r="N11948" t="s">
        <v>42669</v>
      </c>
      <c r="O11948" t="s">
        <v>42670</v>
      </c>
      <c r="P11948">
        <v>0</v>
      </c>
      <c r="Q11948">
        <v>1</v>
      </c>
      <c r="R11948" t="s">
        <v>42689</v>
      </c>
      <c r="S11948" t="s">
        <v>43461</v>
      </c>
      <c r="T11948" t="s">
        <v>44427</v>
      </c>
      <c r="U11948" t="s">
        <v>54592</v>
      </c>
      <c r="V11948" t="s">
        <v>57720</v>
      </c>
      <c r="W11948" t="s">
        <v>39346</v>
      </c>
      <c r="X11948" t="s">
        <v>42690</v>
      </c>
    </row>
    <row r="11949" spans="1:24">
      <c r="A11949">
        <f>HYPERLINK("https://www.philgeps.gov.ph/GEPSNONPILOT/Tender/SplashBidNoticeAbstractUI.aspx?menuIndex=3&amp;refID=7159028&amp;Result=3","7159028")</f>
        <v>0</v>
      </c>
      <c r="B11949" t="s">
        <v>3280</v>
      </c>
      <c r="C11949" t="s">
        <v>14954</v>
      </c>
      <c r="D11949" t="s">
        <v>17146</v>
      </c>
      <c r="E11949" t="s">
        <v>27418</v>
      </c>
      <c r="F11949" t="s">
        <v>29372</v>
      </c>
      <c r="G11949" t="s">
        <v>29380</v>
      </c>
      <c r="H11949" t="s">
        <v>29389</v>
      </c>
      <c r="I11949" t="s">
        <v>10408</v>
      </c>
      <c r="J11949" t="s">
        <v>37069</v>
      </c>
      <c r="K11949" t="s">
        <v>38742</v>
      </c>
      <c r="M11949" t="s">
        <v>42353</v>
      </c>
      <c r="N11949" t="s">
        <v>42669</v>
      </c>
      <c r="O11949" t="s">
        <v>42670</v>
      </c>
      <c r="P11949">
        <v>0</v>
      </c>
      <c r="Q11949">
        <v>1</v>
      </c>
      <c r="R11949" t="s">
        <v>42689</v>
      </c>
      <c r="S11949" t="s">
        <v>43461</v>
      </c>
      <c r="T11949" t="s">
        <v>44481</v>
      </c>
      <c r="U11949" t="s">
        <v>54593</v>
      </c>
      <c r="V11949" t="s">
        <v>56791</v>
      </c>
      <c r="W11949" t="s">
        <v>42353</v>
      </c>
      <c r="X11949" t="s">
        <v>42690</v>
      </c>
    </row>
    <row r="11950" spans="1:24">
      <c r="A11950">
        <f>HYPERLINK("https://www.philgeps.gov.ph/GEPSNONPILOT/Tender/SplashBidNoticeAbstractUI.aspx?menuIndex=3&amp;refID=7158795&amp;Result=3","7158795")</f>
        <v>0</v>
      </c>
      <c r="B11950" t="s">
        <v>631</v>
      </c>
      <c r="C11950" t="s">
        <v>14955</v>
      </c>
      <c r="D11950" t="s">
        <v>17174</v>
      </c>
      <c r="E11950" t="s">
        <v>27419</v>
      </c>
      <c r="F11950" t="s">
        <v>29372</v>
      </c>
      <c r="G11950" t="s">
        <v>29380</v>
      </c>
      <c r="H11950" t="s">
        <v>29389</v>
      </c>
      <c r="I11950" t="s">
        <v>10408</v>
      </c>
      <c r="J11950" t="s">
        <v>29937</v>
      </c>
      <c r="K11950" t="s">
        <v>38490</v>
      </c>
      <c r="M11950" t="s">
        <v>39404</v>
      </c>
      <c r="N11950" t="s">
        <v>42669</v>
      </c>
      <c r="O11950" t="s">
        <v>42670</v>
      </c>
      <c r="P11950">
        <v>0</v>
      </c>
      <c r="Q11950">
        <v>0</v>
      </c>
      <c r="R11950" t="s">
        <v>42689</v>
      </c>
      <c r="S11950" t="s">
        <v>43461</v>
      </c>
      <c r="T11950" t="s">
        <v>44375</v>
      </c>
      <c r="U11950" t="s">
        <v>46262</v>
      </c>
      <c r="W11950" t="s">
        <v>39404</v>
      </c>
      <c r="X11950" t="s">
        <v>42690</v>
      </c>
    </row>
    <row r="11951" spans="1:24">
      <c r="A11951">
        <f>HYPERLINK("https://www.philgeps.gov.ph/GEPSNONPILOT/Tender/SplashBidNoticeAbstractUI.aspx?menuIndex=3&amp;refID=7159006&amp;Result=3","7159006")</f>
        <v>0</v>
      </c>
      <c r="B11951" t="s">
        <v>577</v>
      </c>
      <c r="C11951" t="s">
        <v>14956</v>
      </c>
      <c r="D11951" t="s">
        <v>17164</v>
      </c>
      <c r="E11951" t="s">
        <v>27420</v>
      </c>
      <c r="F11951" t="s">
        <v>29372</v>
      </c>
      <c r="G11951" t="s">
        <v>29380</v>
      </c>
      <c r="H11951" t="s">
        <v>29389</v>
      </c>
      <c r="I11951" t="s">
        <v>10408</v>
      </c>
      <c r="J11951" t="s">
        <v>37070</v>
      </c>
      <c r="K11951" t="s">
        <v>38685</v>
      </c>
      <c r="L11951" t="s">
        <v>577</v>
      </c>
      <c r="M11951" t="s">
        <v>39346</v>
      </c>
      <c r="N11951" t="s">
        <v>42669</v>
      </c>
      <c r="O11951" t="s">
        <v>42670</v>
      </c>
      <c r="P11951">
        <v>0</v>
      </c>
      <c r="Q11951">
        <v>2</v>
      </c>
      <c r="R11951" t="s">
        <v>42689</v>
      </c>
      <c r="S11951" t="s">
        <v>43461</v>
      </c>
      <c r="T11951" t="s">
        <v>44427</v>
      </c>
      <c r="U11951" t="s">
        <v>54594</v>
      </c>
      <c r="V11951" t="s">
        <v>56502</v>
      </c>
      <c r="W11951" t="s">
        <v>39346</v>
      </c>
      <c r="X11951" t="s">
        <v>42690</v>
      </c>
    </row>
    <row r="11952" spans="1:24">
      <c r="A11952">
        <f>HYPERLINK("https://www.philgeps.gov.ph/GEPSNONPILOT/Tender/SplashBidNoticeAbstractUI.aspx?menuIndex=3&amp;refID=7158583&amp;Result=3","7158583")</f>
        <v>0</v>
      </c>
      <c r="B11952" t="s">
        <v>2470</v>
      </c>
      <c r="C11952" t="s">
        <v>14957</v>
      </c>
      <c r="D11952" t="s">
        <v>17199</v>
      </c>
      <c r="E11952" t="s">
        <v>27421</v>
      </c>
      <c r="F11952" t="s">
        <v>29372</v>
      </c>
      <c r="G11952" t="s">
        <v>29380</v>
      </c>
      <c r="H11952" t="s">
        <v>29389</v>
      </c>
      <c r="I11952" t="s">
        <v>10408</v>
      </c>
      <c r="J11952" t="s">
        <v>29624</v>
      </c>
      <c r="K11952" t="s">
        <v>38623</v>
      </c>
      <c r="M11952" t="s">
        <v>42357</v>
      </c>
      <c r="N11952" t="s">
        <v>42669</v>
      </c>
      <c r="O11952" t="s">
        <v>42670</v>
      </c>
      <c r="P11952">
        <v>0</v>
      </c>
      <c r="Q11952">
        <v>3</v>
      </c>
      <c r="R11952" t="s">
        <v>42689</v>
      </c>
      <c r="S11952" t="s">
        <v>43461</v>
      </c>
      <c r="T11952" t="s">
        <v>44640</v>
      </c>
      <c r="U11952" t="s">
        <v>54595</v>
      </c>
      <c r="V11952" t="s">
        <v>57721</v>
      </c>
      <c r="W11952" t="s">
        <v>58122</v>
      </c>
      <c r="X11952" t="s">
        <v>42690</v>
      </c>
    </row>
    <row r="11953" spans="1:24">
      <c r="A11953">
        <f>HYPERLINK("https://www.philgeps.gov.ph/GEPSNONPILOT/Tender/SplashBidNoticeAbstractUI.aspx?menuIndex=3&amp;refID=7159034&amp;Result=3","7159034")</f>
        <v>0</v>
      </c>
      <c r="B11953" t="s">
        <v>577</v>
      </c>
      <c r="C11953" t="s">
        <v>14958</v>
      </c>
      <c r="D11953" t="s">
        <v>17164</v>
      </c>
      <c r="E11953" t="s">
        <v>27422</v>
      </c>
      <c r="F11953" t="s">
        <v>29372</v>
      </c>
      <c r="G11953" t="s">
        <v>29380</v>
      </c>
      <c r="H11953" t="s">
        <v>29389</v>
      </c>
      <c r="I11953" t="s">
        <v>10408</v>
      </c>
      <c r="J11953" t="s">
        <v>37071</v>
      </c>
      <c r="K11953" t="s">
        <v>38743</v>
      </c>
      <c r="L11953" t="s">
        <v>577</v>
      </c>
      <c r="M11953" t="s">
        <v>39346</v>
      </c>
      <c r="N11953" t="s">
        <v>42669</v>
      </c>
      <c r="O11953" t="s">
        <v>42670</v>
      </c>
      <c r="P11953">
        <v>0</v>
      </c>
      <c r="Q11953">
        <v>1</v>
      </c>
      <c r="R11953" t="s">
        <v>42689</v>
      </c>
      <c r="S11953" t="s">
        <v>43461</v>
      </c>
      <c r="T11953" t="s">
        <v>44427</v>
      </c>
      <c r="U11953" t="s">
        <v>54596</v>
      </c>
      <c r="V11953" t="s">
        <v>56502</v>
      </c>
      <c r="W11953" t="s">
        <v>39346</v>
      </c>
      <c r="X11953" t="s">
        <v>42690</v>
      </c>
    </row>
    <row r="11954" spans="1:24">
      <c r="A11954">
        <f>HYPERLINK("https://www.philgeps.gov.ph/GEPSNONPILOT/Tender/SplashBidNoticeAbstractUI.aspx?menuIndex=3&amp;refID=7158986&amp;Result=3","7158986")</f>
        <v>0</v>
      </c>
      <c r="B11954" t="s">
        <v>3283</v>
      </c>
      <c r="C11954" t="s">
        <v>14959</v>
      </c>
      <c r="D11954" t="s">
        <v>17222</v>
      </c>
      <c r="E11954" t="s">
        <v>27423</v>
      </c>
      <c r="F11954" t="s">
        <v>29372</v>
      </c>
      <c r="G11954" t="s">
        <v>29380</v>
      </c>
      <c r="H11954" t="s">
        <v>29389</v>
      </c>
      <c r="I11954" t="s">
        <v>29453</v>
      </c>
      <c r="J11954" t="s">
        <v>37072</v>
      </c>
      <c r="K11954" t="s">
        <v>38577</v>
      </c>
      <c r="M11954" t="s">
        <v>42356</v>
      </c>
      <c r="N11954" t="s">
        <v>42669</v>
      </c>
      <c r="O11954" t="s">
        <v>42670</v>
      </c>
      <c r="P11954">
        <v>0</v>
      </c>
      <c r="Q11954">
        <v>0</v>
      </c>
      <c r="R11954" t="s">
        <v>42689</v>
      </c>
      <c r="S11954" t="s">
        <v>43461</v>
      </c>
      <c r="T11954" t="s">
        <v>44394</v>
      </c>
      <c r="U11954" t="s">
        <v>54597</v>
      </c>
      <c r="W11954" t="s">
        <v>42356</v>
      </c>
      <c r="X11954" t="s">
        <v>42690</v>
      </c>
    </row>
    <row r="11955" spans="1:24">
      <c r="A11955">
        <f>HYPERLINK("https://www.philgeps.gov.ph/GEPSNONPILOT/Tender/SplashBidNoticeAbstractUI.aspx?menuIndex=3&amp;refID=7158720&amp;Result=3","7158720")</f>
        <v>0</v>
      </c>
      <c r="B11955" t="s">
        <v>3284</v>
      </c>
      <c r="C11955" t="s">
        <v>14960</v>
      </c>
      <c r="D11955" t="s">
        <v>17183</v>
      </c>
      <c r="E11955" t="s">
        <v>23619</v>
      </c>
      <c r="F11955" t="s">
        <v>29372</v>
      </c>
      <c r="G11955" t="s">
        <v>29380</v>
      </c>
      <c r="H11955" t="s">
        <v>11048</v>
      </c>
      <c r="I11955" t="s">
        <v>8614</v>
      </c>
      <c r="J11955" t="s">
        <v>30874</v>
      </c>
      <c r="K11955" t="s">
        <v>38491</v>
      </c>
      <c r="M11955" t="s">
        <v>42358</v>
      </c>
      <c r="N11955" t="s">
        <v>42669</v>
      </c>
      <c r="O11955" t="s">
        <v>42670</v>
      </c>
      <c r="P11955">
        <v>0</v>
      </c>
      <c r="Q11955">
        <v>5</v>
      </c>
      <c r="R11955" t="s">
        <v>42689</v>
      </c>
      <c r="S11955" t="s">
        <v>43461</v>
      </c>
      <c r="T11955" t="s">
        <v>44496</v>
      </c>
      <c r="U11955" t="s">
        <v>54598</v>
      </c>
      <c r="V11955" t="s">
        <v>57722</v>
      </c>
      <c r="W11955" t="s">
        <v>42358</v>
      </c>
      <c r="X11955" t="s">
        <v>42690</v>
      </c>
    </row>
    <row r="11956" spans="1:24">
      <c r="A11956">
        <f>HYPERLINK("https://www.philgeps.gov.ph/GEPSNONPILOT/Tender/SplashBidNoticeAbstractUI.aspx?menuIndex=3&amp;refID=7158922&amp;Result=3","7158922")</f>
        <v>0</v>
      </c>
      <c r="B11956" t="s">
        <v>3280</v>
      </c>
      <c r="C11956" t="s">
        <v>14961</v>
      </c>
      <c r="D11956" t="s">
        <v>17146</v>
      </c>
      <c r="E11956" t="s">
        <v>27424</v>
      </c>
      <c r="F11956" t="s">
        <v>29372</v>
      </c>
      <c r="G11956" t="s">
        <v>29380</v>
      </c>
      <c r="H11956" t="s">
        <v>29389</v>
      </c>
      <c r="I11956" t="s">
        <v>10408</v>
      </c>
      <c r="J11956" t="s">
        <v>37073</v>
      </c>
      <c r="K11956" t="s">
        <v>38622</v>
      </c>
      <c r="M11956" t="s">
        <v>42353</v>
      </c>
      <c r="N11956" t="s">
        <v>42669</v>
      </c>
      <c r="O11956" t="s">
        <v>42670</v>
      </c>
      <c r="P11956">
        <v>0</v>
      </c>
      <c r="Q11956">
        <v>0</v>
      </c>
      <c r="R11956" t="s">
        <v>42689</v>
      </c>
      <c r="S11956" t="s">
        <v>43461</v>
      </c>
      <c r="T11956" t="s">
        <v>44481</v>
      </c>
      <c r="U11956" t="s">
        <v>54599</v>
      </c>
      <c r="V11956" t="s">
        <v>56791</v>
      </c>
      <c r="W11956" t="s">
        <v>42353</v>
      </c>
      <c r="X11956" t="s">
        <v>42690</v>
      </c>
    </row>
    <row r="11957" spans="1:24">
      <c r="A11957">
        <f>HYPERLINK("https://www.philgeps.gov.ph/GEPSNONPILOT/Tender/SplashBidNoticeAbstractUI.aspx?menuIndex=3&amp;refID=7135303&amp;Result=3","7135303")</f>
        <v>0</v>
      </c>
      <c r="B11957" t="s">
        <v>44</v>
      </c>
      <c r="C11957" t="s">
        <v>14929</v>
      </c>
      <c r="D11957" t="s">
        <v>17155</v>
      </c>
      <c r="E11957" t="s">
        <v>27425</v>
      </c>
      <c r="F11957" t="s">
        <v>29372</v>
      </c>
      <c r="G11957" t="s">
        <v>29380</v>
      </c>
      <c r="H11957" t="s">
        <v>11048</v>
      </c>
      <c r="I11957" t="s">
        <v>29397</v>
      </c>
      <c r="J11957" t="s">
        <v>37074</v>
      </c>
      <c r="K11957" t="s">
        <v>38485</v>
      </c>
      <c r="M11957" t="s">
        <v>38797</v>
      </c>
      <c r="N11957" t="s">
        <v>42669</v>
      </c>
      <c r="O11957" t="s">
        <v>42670</v>
      </c>
      <c r="P11957">
        <v>0</v>
      </c>
      <c r="Q11957">
        <v>4</v>
      </c>
      <c r="R11957" t="s">
        <v>42689</v>
      </c>
      <c r="S11957" t="s">
        <v>43461</v>
      </c>
      <c r="T11957" t="s">
        <v>44457</v>
      </c>
      <c r="U11957" t="s">
        <v>54600</v>
      </c>
      <c r="V11957" t="s">
        <v>57723</v>
      </c>
      <c r="W11957" t="s">
        <v>38797</v>
      </c>
      <c r="X11957" t="s">
        <v>42702</v>
      </c>
    </row>
    <row r="11958" spans="1:24">
      <c r="A11958">
        <f>HYPERLINK("https://www.philgeps.gov.ph/GEPSNONPILOT/Tender/SplashBidNoticeAbstractUI.aspx?menuIndex=3&amp;refID=7158978&amp;Result=3","7158978")</f>
        <v>0</v>
      </c>
      <c r="B11958" t="s">
        <v>577</v>
      </c>
      <c r="C11958" t="s">
        <v>14962</v>
      </c>
      <c r="D11958" t="s">
        <v>17164</v>
      </c>
      <c r="E11958" t="s">
        <v>27426</v>
      </c>
      <c r="F11958" t="s">
        <v>29372</v>
      </c>
      <c r="G11958" t="s">
        <v>29380</v>
      </c>
      <c r="H11958" t="s">
        <v>29389</v>
      </c>
      <c r="I11958" t="s">
        <v>10408</v>
      </c>
      <c r="J11958" t="s">
        <v>37075</v>
      </c>
      <c r="K11958" t="s">
        <v>38626</v>
      </c>
      <c r="L11958" t="s">
        <v>577</v>
      </c>
      <c r="M11958" t="s">
        <v>39346</v>
      </c>
      <c r="N11958" t="s">
        <v>42669</v>
      </c>
      <c r="O11958" t="s">
        <v>42670</v>
      </c>
      <c r="P11958">
        <v>0</v>
      </c>
      <c r="Q11958">
        <v>1</v>
      </c>
      <c r="R11958" t="s">
        <v>42689</v>
      </c>
      <c r="S11958" t="s">
        <v>43461</v>
      </c>
      <c r="T11958" t="s">
        <v>44427</v>
      </c>
      <c r="U11958" t="s">
        <v>54601</v>
      </c>
      <c r="V11958" t="s">
        <v>56502</v>
      </c>
      <c r="W11958" t="s">
        <v>39346</v>
      </c>
      <c r="X11958" t="s">
        <v>42690</v>
      </c>
    </row>
    <row r="11959" spans="1:24">
      <c r="A11959">
        <f>HYPERLINK("https://www.philgeps.gov.ph/GEPSNONPILOT/Tender/SplashBidNoticeAbstractUI.aspx?menuIndex=3&amp;refID=7158943&amp;Result=3","7158943")</f>
        <v>0</v>
      </c>
      <c r="B11959" t="s">
        <v>3285</v>
      </c>
      <c r="C11959" t="s">
        <v>14963</v>
      </c>
      <c r="D11959" t="s">
        <v>17152</v>
      </c>
      <c r="E11959" t="s">
        <v>27427</v>
      </c>
      <c r="F11959" t="s">
        <v>29372</v>
      </c>
      <c r="G11959" t="s">
        <v>29380</v>
      </c>
      <c r="H11959" t="s">
        <v>29389</v>
      </c>
      <c r="I11959" t="s">
        <v>10408</v>
      </c>
      <c r="J11959" t="s">
        <v>33026</v>
      </c>
      <c r="K11959" t="s">
        <v>38744</v>
      </c>
      <c r="M11959" t="s">
        <v>42359</v>
      </c>
      <c r="N11959" t="s">
        <v>42669</v>
      </c>
      <c r="O11959" t="s">
        <v>42670</v>
      </c>
      <c r="P11959">
        <v>0</v>
      </c>
      <c r="Q11959">
        <v>3</v>
      </c>
      <c r="R11959" t="s">
        <v>42689</v>
      </c>
      <c r="S11959" t="s">
        <v>43461</v>
      </c>
      <c r="T11959" t="s">
        <v>44386</v>
      </c>
      <c r="U11959" t="s">
        <v>54602</v>
      </c>
      <c r="W11959" t="s">
        <v>42359</v>
      </c>
      <c r="X11959" t="s">
        <v>42690</v>
      </c>
    </row>
    <row r="11960" spans="1:24">
      <c r="A11960">
        <f>HYPERLINK("https://www.philgeps.gov.ph/GEPSNONPILOT/Tender/SplashBidNoticeAbstractUI.aspx?menuIndex=3&amp;refID=7158889&amp;Result=3","7158889")</f>
        <v>0</v>
      </c>
      <c r="B11960" t="s">
        <v>3286</v>
      </c>
      <c r="C11960" t="s">
        <v>14964</v>
      </c>
      <c r="D11960" t="s">
        <v>17197</v>
      </c>
      <c r="E11960" t="s">
        <v>27428</v>
      </c>
      <c r="F11960" t="s">
        <v>29372</v>
      </c>
      <c r="G11960" t="s">
        <v>29380</v>
      </c>
      <c r="H11960" t="s">
        <v>11048</v>
      </c>
      <c r="I11960" t="s">
        <v>3839</v>
      </c>
      <c r="J11960" t="s">
        <v>29780</v>
      </c>
      <c r="K11960" t="s">
        <v>38518</v>
      </c>
      <c r="M11960" t="s">
        <v>42360</v>
      </c>
      <c r="N11960" t="s">
        <v>42669</v>
      </c>
      <c r="O11960" t="s">
        <v>42670</v>
      </c>
      <c r="P11960">
        <v>0</v>
      </c>
      <c r="Q11960">
        <v>7</v>
      </c>
      <c r="R11960" t="s">
        <v>42689</v>
      </c>
      <c r="S11960" t="s">
        <v>43461</v>
      </c>
      <c r="T11960" t="s">
        <v>44631</v>
      </c>
      <c r="U11960" t="s">
        <v>54603</v>
      </c>
      <c r="W11960" t="s">
        <v>42360</v>
      </c>
      <c r="X11960" t="s">
        <v>42690</v>
      </c>
    </row>
    <row r="11961" spans="1:24">
      <c r="A11961">
        <f>HYPERLINK("https://www.philgeps.gov.ph/GEPSNONPILOT/Tender/SplashBidNoticeAbstractUI.aspx?menuIndex=3&amp;refID=7158918&amp;Result=3","7158918")</f>
        <v>0</v>
      </c>
      <c r="B11961" t="s">
        <v>617</v>
      </c>
      <c r="C11961" t="s">
        <v>14965</v>
      </c>
      <c r="D11961" t="s">
        <v>17215</v>
      </c>
      <c r="E11961" t="s">
        <v>27429</v>
      </c>
      <c r="F11961" t="s">
        <v>29372</v>
      </c>
      <c r="G11961" t="s">
        <v>29380</v>
      </c>
      <c r="H11961" t="s">
        <v>29389</v>
      </c>
      <c r="I11961" t="s">
        <v>29396</v>
      </c>
      <c r="J11961" t="s">
        <v>29543</v>
      </c>
      <c r="K11961" t="s">
        <v>38551</v>
      </c>
      <c r="M11961" t="s">
        <v>39388</v>
      </c>
      <c r="N11961" t="s">
        <v>42669</v>
      </c>
      <c r="O11961" t="s">
        <v>42670</v>
      </c>
      <c r="P11961">
        <v>0</v>
      </c>
      <c r="Q11961">
        <v>1</v>
      </c>
      <c r="R11961" t="s">
        <v>42689</v>
      </c>
      <c r="S11961" t="s">
        <v>43461</v>
      </c>
      <c r="T11961" t="s">
        <v>44399</v>
      </c>
      <c r="U11961" t="s">
        <v>54604</v>
      </c>
      <c r="V11961" t="s">
        <v>56513</v>
      </c>
      <c r="W11961" t="s">
        <v>39388</v>
      </c>
      <c r="X11961" t="s">
        <v>42690</v>
      </c>
    </row>
    <row r="11962" spans="1:24">
      <c r="A11962">
        <f>HYPERLINK("https://www.philgeps.gov.ph/GEPSNONPILOT/Tender/SplashBidNoticeAbstractUI.aspx?menuIndex=3&amp;refID=7158940&amp;Result=3","7158940")</f>
        <v>0</v>
      </c>
      <c r="B11962" t="s">
        <v>577</v>
      </c>
      <c r="C11962" t="s">
        <v>14966</v>
      </c>
      <c r="D11962" t="s">
        <v>17164</v>
      </c>
      <c r="E11962" t="s">
        <v>27430</v>
      </c>
      <c r="F11962" t="s">
        <v>29372</v>
      </c>
      <c r="G11962" t="s">
        <v>29380</v>
      </c>
      <c r="H11962" t="s">
        <v>29389</v>
      </c>
      <c r="I11962" t="s">
        <v>10408</v>
      </c>
      <c r="J11962" t="s">
        <v>37076</v>
      </c>
      <c r="K11962" t="s">
        <v>38533</v>
      </c>
      <c r="L11962" t="s">
        <v>577</v>
      </c>
      <c r="M11962" t="s">
        <v>39346</v>
      </c>
      <c r="N11962" t="s">
        <v>42669</v>
      </c>
      <c r="O11962" t="s">
        <v>42670</v>
      </c>
      <c r="P11962">
        <v>0</v>
      </c>
      <c r="Q11962">
        <v>1</v>
      </c>
      <c r="R11962" t="s">
        <v>42689</v>
      </c>
      <c r="S11962" t="s">
        <v>43461</v>
      </c>
      <c r="T11962" t="s">
        <v>44427</v>
      </c>
      <c r="U11962" t="s">
        <v>54605</v>
      </c>
      <c r="V11962" t="s">
        <v>56502</v>
      </c>
      <c r="W11962" t="s">
        <v>39346</v>
      </c>
      <c r="X11962" t="s">
        <v>42690</v>
      </c>
    </row>
    <row r="11963" spans="1:24">
      <c r="A11963">
        <f>HYPERLINK("https://www.philgeps.gov.ph/GEPSNONPILOT/Tender/SplashBidNoticeAbstractUI.aspx?menuIndex=3&amp;refID=7158880&amp;Result=3","7158880")</f>
        <v>0</v>
      </c>
      <c r="B11963" t="s">
        <v>3272</v>
      </c>
      <c r="C11963" t="s">
        <v>14967</v>
      </c>
      <c r="D11963" t="s">
        <v>17197</v>
      </c>
      <c r="E11963" t="s">
        <v>27431</v>
      </c>
      <c r="F11963" t="s">
        <v>29372</v>
      </c>
      <c r="G11963" t="s">
        <v>29380</v>
      </c>
      <c r="H11963" t="s">
        <v>11048</v>
      </c>
      <c r="I11963" t="s">
        <v>29424</v>
      </c>
      <c r="J11963" t="s">
        <v>37077</v>
      </c>
      <c r="K11963" t="s">
        <v>38485</v>
      </c>
      <c r="M11963" t="s">
        <v>42344</v>
      </c>
      <c r="N11963" t="s">
        <v>42669</v>
      </c>
      <c r="O11963" t="s">
        <v>42670</v>
      </c>
      <c r="Q11963">
        <v>9</v>
      </c>
      <c r="R11963" t="s">
        <v>42689</v>
      </c>
      <c r="S11963" t="s">
        <v>43487</v>
      </c>
      <c r="T11963" t="s">
        <v>44480</v>
      </c>
      <c r="U11963" t="s">
        <v>54606</v>
      </c>
      <c r="V11963" t="s">
        <v>57711</v>
      </c>
      <c r="W11963" t="s">
        <v>42344</v>
      </c>
      <c r="X11963" t="s">
        <v>42690</v>
      </c>
    </row>
    <row r="11964" spans="1:24">
      <c r="A11964">
        <f>HYPERLINK("https://www.philgeps.gov.ph/GEPSNONPILOT/Tender/SplashBidNoticeAbstractUI.aspx?menuIndex=3&amp;refID=7158878&amp;Result=3","7158878")</f>
        <v>0</v>
      </c>
      <c r="B11964" t="s">
        <v>985</v>
      </c>
      <c r="C11964" t="s">
        <v>14968</v>
      </c>
      <c r="D11964" t="s">
        <v>17158</v>
      </c>
      <c r="E11964" t="s">
        <v>27432</v>
      </c>
      <c r="F11964" t="s">
        <v>29372</v>
      </c>
      <c r="G11964" t="s">
        <v>29380</v>
      </c>
      <c r="H11964" t="s">
        <v>11048</v>
      </c>
      <c r="I11964" t="s">
        <v>29415</v>
      </c>
      <c r="J11964" t="s">
        <v>29724</v>
      </c>
      <c r="K11964" t="s">
        <v>38485</v>
      </c>
      <c r="M11964" t="s">
        <v>39783</v>
      </c>
      <c r="N11964" t="s">
        <v>42669</v>
      </c>
      <c r="O11964" t="s">
        <v>42670</v>
      </c>
      <c r="P11964">
        <v>0</v>
      </c>
      <c r="Q11964">
        <v>4</v>
      </c>
      <c r="R11964" t="s">
        <v>42689</v>
      </c>
      <c r="S11964" t="s">
        <v>43461</v>
      </c>
      <c r="T11964" t="s">
        <v>44412</v>
      </c>
      <c r="U11964" t="s">
        <v>54607</v>
      </c>
      <c r="W11964" t="s">
        <v>39783</v>
      </c>
      <c r="X11964" t="s">
        <v>42690</v>
      </c>
    </row>
    <row r="11965" spans="1:24">
      <c r="A11965">
        <f>HYPERLINK("https://www.philgeps.gov.ph/GEPSNONPILOT/Tender/SplashBidNoticeAbstractUI.aspx?menuIndex=3&amp;refID=7159231&amp;Result=3","7159231")</f>
        <v>0</v>
      </c>
      <c r="B11965" t="s">
        <v>3283</v>
      </c>
      <c r="C11965" t="s">
        <v>14969</v>
      </c>
      <c r="D11965" t="s">
        <v>17222</v>
      </c>
      <c r="E11965" t="s">
        <v>27433</v>
      </c>
      <c r="F11965" t="s">
        <v>29372</v>
      </c>
      <c r="G11965" t="s">
        <v>29380</v>
      </c>
      <c r="H11965" t="s">
        <v>29389</v>
      </c>
      <c r="I11965" t="s">
        <v>29453</v>
      </c>
      <c r="J11965" t="s">
        <v>29587</v>
      </c>
      <c r="K11965" t="s">
        <v>38503</v>
      </c>
      <c r="M11965" t="s">
        <v>42356</v>
      </c>
      <c r="N11965" t="s">
        <v>42669</v>
      </c>
      <c r="O11965" t="s">
        <v>42670</v>
      </c>
      <c r="P11965">
        <v>0</v>
      </c>
      <c r="Q11965">
        <v>0</v>
      </c>
      <c r="R11965" t="s">
        <v>42689</v>
      </c>
      <c r="S11965" t="s">
        <v>43461</v>
      </c>
      <c r="T11965" t="s">
        <v>44394</v>
      </c>
      <c r="U11965" t="s">
        <v>54608</v>
      </c>
      <c r="W11965" t="s">
        <v>42356</v>
      </c>
      <c r="X11965" t="s">
        <v>42690</v>
      </c>
    </row>
    <row r="11966" spans="1:24">
      <c r="A11966">
        <f>HYPERLINK("https://www.philgeps.gov.ph/GEPSNONPILOT/Tender/SplashBidNoticeAbstractUI.aspx?menuIndex=3&amp;refID=7159198&amp;Result=3","7159198")</f>
        <v>0</v>
      </c>
      <c r="B11966" t="s">
        <v>1100</v>
      </c>
      <c r="C11966" t="s">
        <v>14970</v>
      </c>
      <c r="D11966" t="s">
        <v>17171</v>
      </c>
      <c r="E11966" t="s">
        <v>27434</v>
      </c>
      <c r="F11966" t="s">
        <v>29372</v>
      </c>
      <c r="G11966" t="s">
        <v>29379</v>
      </c>
      <c r="H11966" t="s">
        <v>11048</v>
      </c>
      <c r="I11966" t="s">
        <v>29429</v>
      </c>
      <c r="J11966" t="s">
        <v>32722</v>
      </c>
      <c r="K11966" t="s">
        <v>38510</v>
      </c>
      <c r="M11966" t="s">
        <v>39907</v>
      </c>
      <c r="N11966" t="s">
        <v>42669</v>
      </c>
      <c r="O11966" t="s">
        <v>42670</v>
      </c>
      <c r="P11966">
        <v>0</v>
      </c>
      <c r="Q11966">
        <v>0</v>
      </c>
      <c r="R11966" t="s">
        <v>42689</v>
      </c>
      <c r="S11966" t="s">
        <v>43461</v>
      </c>
      <c r="T11966" t="s">
        <v>44437</v>
      </c>
      <c r="U11966" t="s">
        <v>54609</v>
      </c>
      <c r="W11966" t="s">
        <v>39907</v>
      </c>
      <c r="X11966" t="s">
        <v>42690</v>
      </c>
    </row>
    <row r="11967" spans="1:24">
      <c r="A11967">
        <f>HYPERLINK("https://www.philgeps.gov.ph/GEPSNONPILOT/Tender/SplashBidNoticeAbstractUI.aspx?menuIndex=3&amp;refID=7159227&amp;Result=3","7159227")</f>
        <v>0</v>
      </c>
      <c r="B11967" t="s">
        <v>3287</v>
      </c>
      <c r="C11967" t="s">
        <v>14971</v>
      </c>
      <c r="D11967" t="s">
        <v>17179</v>
      </c>
      <c r="E11967" t="s">
        <v>27435</v>
      </c>
      <c r="F11967" t="s">
        <v>29372</v>
      </c>
      <c r="G11967" t="s">
        <v>29380</v>
      </c>
      <c r="H11967" t="s">
        <v>11048</v>
      </c>
      <c r="I11967" t="s">
        <v>29397</v>
      </c>
      <c r="J11967" t="s">
        <v>32708</v>
      </c>
      <c r="K11967" t="s">
        <v>38510</v>
      </c>
      <c r="M11967" t="s">
        <v>42361</v>
      </c>
      <c r="N11967" t="s">
        <v>42669</v>
      </c>
      <c r="O11967" t="s">
        <v>42670</v>
      </c>
      <c r="P11967">
        <v>0</v>
      </c>
      <c r="Q11967">
        <v>6</v>
      </c>
      <c r="R11967" t="s">
        <v>42689</v>
      </c>
      <c r="S11967" t="s">
        <v>43461</v>
      </c>
      <c r="T11967" t="s">
        <v>44488</v>
      </c>
      <c r="U11967" t="s">
        <v>54610</v>
      </c>
      <c r="V11967" t="s">
        <v>57724</v>
      </c>
      <c r="W11967" t="s">
        <v>42361</v>
      </c>
      <c r="X11967" t="s">
        <v>42690</v>
      </c>
    </row>
    <row r="11968" spans="1:24">
      <c r="A11968">
        <f>HYPERLINK("https://www.philgeps.gov.ph/GEPSNONPILOT/Tender/SplashBidNoticeAbstractUI.aspx?menuIndex=3&amp;refID=7158901&amp;Result=3","7158901")</f>
        <v>0</v>
      </c>
      <c r="B11968" t="s">
        <v>577</v>
      </c>
      <c r="C11968" t="s">
        <v>14972</v>
      </c>
      <c r="D11968" t="s">
        <v>17164</v>
      </c>
      <c r="E11968" t="s">
        <v>27436</v>
      </c>
      <c r="F11968" t="s">
        <v>29372</v>
      </c>
      <c r="G11968" t="s">
        <v>29380</v>
      </c>
      <c r="H11968" t="s">
        <v>29389</v>
      </c>
      <c r="I11968" t="s">
        <v>10408</v>
      </c>
      <c r="J11968" t="s">
        <v>37078</v>
      </c>
      <c r="K11968" t="s">
        <v>38512</v>
      </c>
      <c r="L11968" t="s">
        <v>577</v>
      </c>
      <c r="M11968" t="s">
        <v>39346</v>
      </c>
      <c r="N11968" t="s">
        <v>42669</v>
      </c>
      <c r="O11968" t="s">
        <v>42670</v>
      </c>
      <c r="P11968">
        <v>0</v>
      </c>
      <c r="Q11968">
        <v>1</v>
      </c>
      <c r="R11968" t="s">
        <v>42689</v>
      </c>
      <c r="S11968" t="s">
        <v>43461</v>
      </c>
      <c r="T11968" t="s">
        <v>44427</v>
      </c>
      <c r="U11968" t="s">
        <v>54611</v>
      </c>
      <c r="V11968" t="s">
        <v>56502</v>
      </c>
      <c r="W11968" t="s">
        <v>39346</v>
      </c>
      <c r="X11968" t="s">
        <v>42690</v>
      </c>
    </row>
    <row r="11969" spans="1:24">
      <c r="A11969">
        <f>HYPERLINK("https://www.philgeps.gov.ph/GEPSNONPILOT/Tender/SplashBidNoticeAbstractUI.aspx?menuIndex=3&amp;refID=7159191&amp;Result=3","7159191")</f>
        <v>0</v>
      </c>
      <c r="B11969" t="s">
        <v>3288</v>
      </c>
      <c r="C11969" t="s">
        <v>14973</v>
      </c>
      <c r="D11969" t="s">
        <v>17171</v>
      </c>
      <c r="E11969" t="s">
        <v>17579</v>
      </c>
      <c r="F11969" t="s">
        <v>29372</v>
      </c>
      <c r="G11969" t="s">
        <v>29380</v>
      </c>
      <c r="H11969" t="s">
        <v>11048</v>
      </c>
      <c r="I11969" t="s">
        <v>5383</v>
      </c>
      <c r="J11969" t="s">
        <v>37079</v>
      </c>
      <c r="K11969" t="s">
        <v>38644</v>
      </c>
      <c r="M11969" t="s">
        <v>42362</v>
      </c>
      <c r="N11969" t="s">
        <v>42669</v>
      </c>
      <c r="O11969" t="s">
        <v>42670</v>
      </c>
      <c r="P11969">
        <v>0</v>
      </c>
      <c r="Q11969">
        <v>2</v>
      </c>
      <c r="R11969" t="s">
        <v>42689</v>
      </c>
      <c r="S11969" t="s">
        <v>43461</v>
      </c>
      <c r="T11969" t="s">
        <v>44652</v>
      </c>
      <c r="U11969" t="s">
        <v>54612</v>
      </c>
      <c r="W11969" t="s">
        <v>42362</v>
      </c>
      <c r="X11969" t="s">
        <v>42690</v>
      </c>
    </row>
    <row r="11970" spans="1:24">
      <c r="A11970">
        <f>HYPERLINK("https://www.philgeps.gov.ph/GEPSNONPILOT/Tender/SplashBidNoticeAbstractUI.aspx?menuIndex=3&amp;refID=7159182&amp;Result=3","7159182")</f>
        <v>0</v>
      </c>
      <c r="B11970" t="s">
        <v>587</v>
      </c>
      <c r="C11970" t="s">
        <v>14974</v>
      </c>
      <c r="D11970" t="s">
        <v>17161</v>
      </c>
      <c r="E11970" t="s">
        <v>27437</v>
      </c>
      <c r="F11970" t="s">
        <v>29372</v>
      </c>
      <c r="G11970" t="s">
        <v>29380</v>
      </c>
      <c r="H11970" t="s">
        <v>11048</v>
      </c>
      <c r="I11970" t="s">
        <v>3629</v>
      </c>
      <c r="J11970" t="s">
        <v>37080</v>
      </c>
      <c r="K11970" t="s">
        <v>38488</v>
      </c>
      <c r="M11970" t="s">
        <v>42363</v>
      </c>
      <c r="N11970" t="s">
        <v>42669</v>
      </c>
      <c r="O11970" t="s">
        <v>42670</v>
      </c>
      <c r="P11970">
        <v>0</v>
      </c>
      <c r="Q11970">
        <v>1</v>
      </c>
      <c r="R11970" t="s">
        <v>42689</v>
      </c>
      <c r="S11970" t="s">
        <v>43461</v>
      </c>
      <c r="T11970" t="s">
        <v>44488</v>
      </c>
      <c r="U11970" t="s">
        <v>54613</v>
      </c>
      <c r="W11970" t="s">
        <v>42363</v>
      </c>
      <c r="X11970" t="s">
        <v>42690</v>
      </c>
    </row>
    <row r="11971" spans="1:24">
      <c r="A11971">
        <f>HYPERLINK("https://www.philgeps.gov.ph/GEPSNONPILOT/Tender/SplashBidNoticeAbstractUI.aspx?menuIndex=3&amp;refID=7158885&amp;Result=3","7158885")</f>
        <v>0</v>
      </c>
      <c r="B11971" t="s">
        <v>3289</v>
      </c>
      <c r="C11971" t="s">
        <v>14975</v>
      </c>
      <c r="D11971" t="s">
        <v>17147</v>
      </c>
      <c r="E11971" t="s">
        <v>27438</v>
      </c>
      <c r="F11971" t="s">
        <v>29372</v>
      </c>
      <c r="G11971" t="s">
        <v>29380</v>
      </c>
      <c r="H11971" t="s">
        <v>29389</v>
      </c>
      <c r="I11971" t="s">
        <v>10408</v>
      </c>
      <c r="J11971" t="s">
        <v>33016</v>
      </c>
      <c r="K11971" t="s">
        <v>38485</v>
      </c>
      <c r="M11971" t="s">
        <v>42364</v>
      </c>
      <c r="N11971" t="s">
        <v>42669</v>
      </c>
      <c r="O11971" t="s">
        <v>42670</v>
      </c>
      <c r="P11971">
        <v>0</v>
      </c>
      <c r="Q11971">
        <v>0</v>
      </c>
      <c r="R11971" t="s">
        <v>42689</v>
      </c>
      <c r="S11971" t="s">
        <v>43461</v>
      </c>
      <c r="T11971" t="s">
        <v>44382</v>
      </c>
      <c r="U11971" t="s">
        <v>54614</v>
      </c>
      <c r="V11971" t="s">
        <v>57725</v>
      </c>
      <c r="W11971" t="s">
        <v>42364</v>
      </c>
      <c r="X11971" t="s">
        <v>42690</v>
      </c>
    </row>
    <row r="11972" spans="1:24">
      <c r="A11972">
        <f>HYPERLINK("https://www.philgeps.gov.ph/GEPSNONPILOT/Tender/SplashBidNoticeAbstractUI.aspx?menuIndex=3&amp;refID=7159183&amp;Result=3","7159183")</f>
        <v>0</v>
      </c>
      <c r="B11972" t="s">
        <v>3006</v>
      </c>
      <c r="C11972" t="s">
        <v>14976</v>
      </c>
      <c r="D11972" t="s">
        <v>17159</v>
      </c>
      <c r="E11972" t="s">
        <v>27439</v>
      </c>
      <c r="F11972" t="s">
        <v>29372</v>
      </c>
      <c r="G11972" t="s">
        <v>29380</v>
      </c>
      <c r="H11972" t="s">
        <v>11048</v>
      </c>
      <c r="I11972" t="s">
        <v>4709</v>
      </c>
      <c r="J11972" t="s">
        <v>37081</v>
      </c>
      <c r="K11972" t="s">
        <v>38485</v>
      </c>
      <c r="M11972" t="s">
        <v>42025</v>
      </c>
      <c r="N11972" t="s">
        <v>42669</v>
      </c>
      <c r="O11972" t="s">
        <v>42670</v>
      </c>
      <c r="P11972">
        <v>0</v>
      </c>
      <c r="Q11972">
        <v>6</v>
      </c>
      <c r="R11972" t="s">
        <v>42689</v>
      </c>
      <c r="S11972" t="s">
        <v>43461</v>
      </c>
      <c r="T11972" t="s">
        <v>44371</v>
      </c>
      <c r="U11972" t="s">
        <v>54615</v>
      </c>
      <c r="W11972" t="s">
        <v>42025</v>
      </c>
      <c r="X11972" t="s">
        <v>42690</v>
      </c>
    </row>
    <row r="11973" spans="1:24">
      <c r="A11973">
        <f>HYPERLINK("https://www.philgeps.gov.ph/GEPSNONPILOT/Tender/SplashBidNoticeAbstractUI.aspx?menuIndex=3&amp;refID=7159173&amp;Result=3","7159173")</f>
        <v>0</v>
      </c>
      <c r="B11973" t="s">
        <v>587</v>
      </c>
      <c r="C11973" t="s">
        <v>14977</v>
      </c>
      <c r="D11973" t="s">
        <v>17161</v>
      </c>
      <c r="E11973" t="s">
        <v>27440</v>
      </c>
      <c r="F11973" t="s">
        <v>29372</v>
      </c>
      <c r="G11973" t="s">
        <v>29380</v>
      </c>
      <c r="H11973" t="s">
        <v>11048</v>
      </c>
      <c r="I11973" t="s">
        <v>29423</v>
      </c>
      <c r="J11973" t="s">
        <v>37082</v>
      </c>
      <c r="K11973" t="s">
        <v>38485</v>
      </c>
      <c r="M11973" t="s">
        <v>42363</v>
      </c>
      <c r="N11973" t="s">
        <v>42669</v>
      </c>
      <c r="O11973" t="s">
        <v>42670</v>
      </c>
      <c r="P11973">
        <v>0</v>
      </c>
      <c r="Q11973">
        <v>4</v>
      </c>
      <c r="R11973" t="s">
        <v>42689</v>
      </c>
      <c r="S11973" t="s">
        <v>43461</v>
      </c>
      <c r="T11973" t="s">
        <v>44488</v>
      </c>
      <c r="U11973" t="s">
        <v>54616</v>
      </c>
      <c r="W11973" t="s">
        <v>42363</v>
      </c>
      <c r="X11973" t="s">
        <v>42690</v>
      </c>
    </row>
    <row r="11974" spans="1:24">
      <c r="A11974">
        <f>HYPERLINK("https://www.philgeps.gov.ph/GEPSNONPILOT/Tender/SplashBidNoticeAbstractUI.aspx?menuIndex=3&amp;refID=7159165&amp;Result=3","7159165")</f>
        <v>0</v>
      </c>
      <c r="B11974" t="s">
        <v>3140</v>
      </c>
      <c r="C11974" t="s">
        <v>14978</v>
      </c>
      <c r="D11974" t="s">
        <v>17158</v>
      </c>
      <c r="E11974" t="s">
        <v>27441</v>
      </c>
      <c r="F11974" t="s">
        <v>29372</v>
      </c>
      <c r="G11974" t="s">
        <v>29380</v>
      </c>
      <c r="H11974" t="s">
        <v>11048</v>
      </c>
      <c r="I11974" t="s">
        <v>29394</v>
      </c>
      <c r="J11974" t="s">
        <v>37083</v>
      </c>
      <c r="K11974" t="s">
        <v>38485</v>
      </c>
      <c r="M11974" t="s">
        <v>42186</v>
      </c>
      <c r="N11974" t="s">
        <v>42669</v>
      </c>
      <c r="O11974" t="s">
        <v>42670</v>
      </c>
      <c r="P11974">
        <v>0</v>
      </c>
      <c r="Q11974">
        <v>8</v>
      </c>
      <c r="R11974" t="s">
        <v>42689</v>
      </c>
      <c r="S11974" t="s">
        <v>43461</v>
      </c>
      <c r="T11974" t="s">
        <v>44470</v>
      </c>
      <c r="U11974" t="s">
        <v>54617</v>
      </c>
      <c r="W11974" t="s">
        <v>42186</v>
      </c>
      <c r="X11974" t="s">
        <v>42690</v>
      </c>
    </row>
    <row r="11975" spans="1:24">
      <c r="A11975">
        <f>HYPERLINK("https://www.philgeps.gov.ph/GEPSNONPILOT/Tender/SplashBidNoticeAbstractUI.aspx?menuIndex=3&amp;refID=7158875&amp;Result=3","7158875")</f>
        <v>0</v>
      </c>
      <c r="B11975" t="s">
        <v>577</v>
      </c>
      <c r="C11975" t="s">
        <v>14979</v>
      </c>
      <c r="D11975" t="s">
        <v>17164</v>
      </c>
      <c r="E11975" t="s">
        <v>27442</v>
      </c>
      <c r="F11975" t="s">
        <v>29372</v>
      </c>
      <c r="G11975" t="s">
        <v>29380</v>
      </c>
      <c r="H11975" t="s">
        <v>29389</v>
      </c>
      <c r="I11975" t="s">
        <v>10408</v>
      </c>
      <c r="J11975" t="s">
        <v>37084</v>
      </c>
      <c r="K11975" t="s">
        <v>38660</v>
      </c>
      <c r="L11975" t="s">
        <v>577</v>
      </c>
      <c r="M11975" t="s">
        <v>39346</v>
      </c>
      <c r="N11975" t="s">
        <v>42669</v>
      </c>
      <c r="O11975" t="s">
        <v>42670</v>
      </c>
      <c r="P11975">
        <v>0</v>
      </c>
      <c r="Q11975">
        <v>1</v>
      </c>
      <c r="R11975" t="s">
        <v>42689</v>
      </c>
      <c r="S11975" t="s">
        <v>43461</v>
      </c>
      <c r="T11975" t="s">
        <v>44427</v>
      </c>
      <c r="U11975" t="s">
        <v>54618</v>
      </c>
      <c r="V11975" t="s">
        <v>56502</v>
      </c>
      <c r="W11975" t="s">
        <v>39346</v>
      </c>
      <c r="X11975" t="s">
        <v>42690</v>
      </c>
    </row>
    <row r="11976" spans="1:24">
      <c r="A11976">
        <f>HYPERLINK("https://www.philgeps.gov.ph/GEPSNONPILOT/Tender/SplashBidNoticeAbstractUI.aspx?menuIndex=3&amp;refID=7159433&amp;Result=3","7159433")</f>
        <v>0</v>
      </c>
      <c r="B11976" t="s">
        <v>3290</v>
      </c>
      <c r="C11976" t="s">
        <v>14980</v>
      </c>
      <c r="D11976" t="s">
        <v>17168</v>
      </c>
      <c r="E11976" t="s">
        <v>17947</v>
      </c>
      <c r="F11976" t="s">
        <v>29372</v>
      </c>
      <c r="G11976" t="s">
        <v>29380</v>
      </c>
      <c r="H11976" t="s">
        <v>11048</v>
      </c>
      <c r="I11976" t="s">
        <v>4709</v>
      </c>
      <c r="J11976" t="s">
        <v>29752</v>
      </c>
      <c r="K11976" t="s">
        <v>38488</v>
      </c>
      <c r="M11976" t="s">
        <v>42365</v>
      </c>
      <c r="N11976" t="s">
        <v>42669</v>
      </c>
      <c r="O11976" t="s">
        <v>42670</v>
      </c>
      <c r="P11976">
        <v>0</v>
      </c>
      <c r="Q11976">
        <v>0</v>
      </c>
      <c r="R11976" t="s">
        <v>42689</v>
      </c>
      <c r="S11976" t="s">
        <v>43461</v>
      </c>
      <c r="T11976" t="s">
        <v>44488</v>
      </c>
      <c r="U11976" t="s">
        <v>54619</v>
      </c>
      <c r="W11976" t="s">
        <v>42365</v>
      </c>
      <c r="X11976" t="s">
        <v>42690</v>
      </c>
    </row>
    <row r="11977" spans="1:24">
      <c r="A11977">
        <f>HYPERLINK("https://www.philgeps.gov.ph/GEPSNONPILOT/Tender/SplashBidNoticeAbstractUI.aspx?menuIndex=3&amp;refID=7159397&amp;Result=3","7159397")</f>
        <v>0</v>
      </c>
      <c r="B11977" t="s">
        <v>1796</v>
      </c>
      <c r="C11977" t="s">
        <v>14981</v>
      </c>
      <c r="D11977" t="s">
        <v>17174</v>
      </c>
      <c r="E11977" t="s">
        <v>27443</v>
      </c>
      <c r="F11977" t="s">
        <v>29372</v>
      </c>
      <c r="G11977" t="s">
        <v>29380</v>
      </c>
      <c r="H11977" t="s">
        <v>11048</v>
      </c>
      <c r="I11977" t="s">
        <v>29398</v>
      </c>
      <c r="J11977" t="s">
        <v>37085</v>
      </c>
      <c r="K11977" t="s">
        <v>38510</v>
      </c>
      <c r="M11977" t="s">
        <v>40986</v>
      </c>
      <c r="N11977" t="s">
        <v>42669</v>
      </c>
      <c r="O11977" t="s">
        <v>42670</v>
      </c>
      <c r="P11977">
        <v>0</v>
      </c>
      <c r="Q11977">
        <v>8</v>
      </c>
      <c r="R11977" t="s">
        <v>42689</v>
      </c>
      <c r="S11977" t="s">
        <v>43461</v>
      </c>
      <c r="T11977" t="s">
        <v>44554</v>
      </c>
      <c r="U11977" t="s">
        <v>54620</v>
      </c>
      <c r="W11977" t="s">
        <v>40986</v>
      </c>
      <c r="X11977" t="s">
        <v>42690</v>
      </c>
    </row>
    <row r="11978" spans="1:24">
      <c r="A11978">
        <f>HYPERLINK("https://www.philgeps.gov.ph/GEPSNONPILOT/Tender/SplashBidNoticeAbstractUI.aspx?menuIndex=3&amp;refID=7159411&amp;Result=3","7159411")</f>
        <v>0</v>
      </c>
      <c r="B11978" t="s">
        <v>3140</v>
      </c>
      <c r="C11978" t="s">
        <v>14982</v>
      </c>
      <c r="D11978" t="s">
        <v>17158</v>
      </c>
      <c r="E11978" t="s">
        <v>27441</v>
      </c>
      <c r="F11978" t="s">
        <v>29372</v>
      </c>
      <c r="G11978" t="s">
        <v>29380</v>
      </c>
      <c r="H11978" t="s">
        <v>11048</v>
      </c>
      <c r="I11978" t="s">
        <v>29428</v>
      </c>
      <c r="J11978" t="s">
        <v>37086</v>
      </c>
      <c r="K11978" t="s">
        <v>38495</v>
      </c>
      <c r="M11978" t="s">
        <v>42186</v>
      </c>
      <c r="N11978" t="s">
        <v>42669</v>
      </c>
      <c r="O11978" t="s">
        <v>42670</v>
      </c>
      <c r="Q11978">
        <v>1</v>
      </c>
      <c r="R11978" t="s">
        <v>42689</v>
      </c>
      <c r="S11978" t="s">
        <v>43488</v>
      </c>
      <c r="T11978" t="s">
        <v>44470</v>
      </c>
      <c r="U11978" t="s">
        <v>54617</v>
      </c>
      <c r="W11978" t="s">
        <v>42186</v>
      </c>
      <c r="X11978" t="s">
        <v>42690</v>
      </c>
    </row>
    <row r="11979" spans="1:24">
      <c r="A11979">
        <f>HYPERLINK("https://www.philgeps.gov.ph/GEPSNONPILOT/Tender/SplashBidNoticeAbstractUI.aspx?menuIndex=3&amp;refID=7159399&amp;Result=3","7159399")</f>
        <v>0</v>
      </c>
      <c r="B11979" t="s">
        <v>2708</v>
      </c>
      <c r="C11979" t="s">
        <v>14983</v>
      </c>
      <c r="D11979" t="s">
        <v>17161</v>
      </c>
      <c r="E11979" t="s">
        <v>24151</v>
      </c>
      <c r="F11979" t="s">
        <v>29372</v>
      </c>
      <c r="G11979" t="s">
        <v>29380</v>
      </c>
      <c r="H11979" t="s">
        <v>11048</v>
      </c>
      <c r="I11979" t="s">
        <v>4709</v>
      </c>
      <c r="J11979" t="s">
        <v>37087</v>
      </c>
      <c r="K11979" t="s">
        <v>38488</v>
      </c>
      <c r="M11979" t="s">
        <v>41688</v>
      </c>
      <c r="N11979" t="s">
        <v>42669</v>
      </c>
      <c r="O11979" t="s">
        <v>42670</v>
      </c>
      <c r="P11979">
        <v>0</v>
      </c>
      <c r="Q11979">
        <v>1</v>
      </c>
      <c r="R11979" t="s">
        <v>42689</v>
      </c>
      <c r="S11979" t="s">
        <v>43461</v>
      </c>
      <c r="T11979" t="s">
        <v>44481</v>
      </c>
      <c r="U11979" t="s">
        <v>52092</v>
      </c>
      <c r="V11979" t="s">
        <v>57726</v>
      </c>
      <c r="W11979" t="s">
        <v>41688</v>
      </c>
      <c r="X11979" t="s">
        <v>42690</v>
      </c>
    </row>
    <row r="11980" spans="1:24">
      <c r="A11980">
        <f>HYPERLINK("https://www.philgeps.gov.ph/GEPSNONPILOT/Tender/SplashBidNoticeAbstractUI.aspx?menuIndex=3&amp;refID=7159384&amp;Result=3","7159384")</f>
        <v>0</v>
      </c>
      <c r="B11980" t="s">
        <v>1334</v>
      </c>
      <c r="C11980" t="s">
        <v>14984</v>
      </c>
      <c r="D11980" t="s">
        <v>17182</v>
      </c>
      <c r="E11980" t="s">
        <v>27444</v>
      </c>
      <c r="F11980" t="s">
        <v>29372</v>
      </c>
      <c r="G11980" t="s">
        <v>29380</v>
      </c>
      <c r="H11980" t="s">
        <v>11048</v>
      </c>
      <c r="I11980" t="s">
        <v>29414</v>
      </c>
      <c r="J11980" t="s">
        <v>29937</v>
      </c>
      <c r="K11980" t="s">
        <v>38489</v>
      </c>
      <c r="M11980" t="s">
        <v>41811</v>
      </c>
      <c r="N11980" t="s">
        <v>42669</v>
      </c>
      <c r="O11980" t="s">
        <v>42670</v>
      </c>
      <c r="P11980">
        <v>0</v>
      </c>
      <c r="Q11980">
        <v>16</v>
      </c>
      <c r="R11980" t="s">
        <v>42689</v>
      </c>
      <c r="S11980" t="s">
        <v>43461</v>
      </c>
      <c r="T11980" t="s">
        <v>44630</v>
      </c>
      <c r="U11980" t="s">
        <v>54621</v>
      </c>
      <c r="W11980" t="s">
        <v>41811</v>
      </c>
      <c r="X11980" t="s">
        <v>42690</v>
      </c>
    </row>
    <row r="11981" spans="1:24">
      <c r="A11981">
        <f>HYPERLINK("https://www.philgeps.gov.ph/GEPSNONPILOT/Tender/SplashBidNoticeAbstractUI.aspx?menuIndex=3&amp;refID=7159363&amp;Result=3","7159363")</f>
        <v>0</v>
      </c>
      <c r="B11981" t="s">
        <v>2165</v>
      </c>
      <c r="C11981" t="s">
        <v>14985</v>
      </c>
      <c r="D11981" t="s">
        <v>17197</v>
      </c>
      <c r="E11981" t="s">
        <v>23879</v>
      </c>
      <c r="F11981" t="s">
        <v>29372</v>
      </c>
      <c r="G11981" t="s">
        <v>29380</v>
      </c>
      <c r="H11981" t="s">
        <v>11048</v>
      </c>
      <c r="I11981" t="s">
        <v>29466</v>
      </c>
      <c r="J11981" t="s">
        <v>30308</v>
      </c>
      <c r="K11981" t="s">
        <v>38485</v>
      </c>
      <c r="M11981" t="s">
        <v>41076</v>
      </c>
      <c r="N11981" t="s">
        <v>42669</v>
      </c>
      <c r="O11981" t="s">
        <v>42670</v>
      </c>
      <c r="P11981">
        <v>0</v>
      </c>
      <c r="Q11981">
        <v>3</v>
      </c>
      <c r="R11981" t="s">
        <v>42689</v>
      </c>
      <c r="S11981" t="s">
        <v>43461</v>
      </c>
      <c r="T11981" t="s">
        <v>44399</v>
      </c>
      <c r="U11981" t="s">
        <v>54622</v>
      </c>
      <c r="W11981" t="s">
        <v>41076</v>
      </c>
      <c r="X11981" t="s">
        <v>42690</v>
      </c>
    </row>
    <row r="11982" spans="1:24">
      <c r="A11982">
        <f>HYPERLINK("https://www.philgeps.gov.ph/GEPSNONPILOT/Tender/SplashBidNoticeAbstractUI.aspx?menuIndex=3&amp;refID=7158927&amp;Result=3","7158927")</f>
        <v>0</v>
      </c>
      <c r="B11982" t="s">
        <v>702</v>
      </c>
      <c r="C11982" t="s">
        <v>14986</v>
      </c>
      <c r="D11982" t="s">
        <v>17221</v>
      </c>
      <c r="E11982" t="s">
        <v>27445</v>
      </c>
      <c r="F11982" t="s">
        <v>29372</v>
      </c>
      <c r="G11982" t="s">
        <v>29384</v>
      </c>
      <c r="H11982" t="s">
        <v>29389</v>
      </c>
      <c r="I11982" t="s">
        <v>10408</v>
      </c>
      <c r="J11982" t="s">
        <v>37088</v>
      </c>
      <c r="K11982" t="s">
        <v>38745</v>
      </c>
      <c r="M11982" t="s">
        <v>39480</v>
      </c>
      <c r="N11982" t="s">
        <v>42669</v>
      </c>
      <c r="O11982" t="s">
        <v>42670</v>
      </c>
      <c r="Q11982">
        <v>1</v>
      </c>
      <c r="R11982" t="s">
        <v>42689</v>
      </c>
      <c r="S11982" t="s">
        <v>43383</v>
      </c>
      <c r="T11982" t="s">
        <v>44391</v>
      </c>
      <c r="U11982" t="s">
        <v>54623</v>
      </c>
      <c r="W11982" t="s">
        <v>39480</v>
      </c>
      <c r="X11982" t="s">
        <v>42690</v>
      </c>
    </row>
    <row r="11983" spans="1:24">
      <c r="A11983">
        <f>HYPERLINK("https://www.philgeps.gov.ph/GEPSNONPILOT/Tender/SplashBidNoticeAbstractUI.aspx?menuIndex=3&amp;refID=7159358&amp;Result=3","7159358")</f>
        <v>0</v>
      </c>
      <c r="B11983" t="s">
        <v>119</v>
      </c>
      <c r="C11983" t="s">
        <v>14987</v>
      </c>
      <c r="D11983" t="s">
        <v>17141</v>
      </c>
      <c r="E11983" t="s">
        <v>27446</v>
      </c>
      <c r="F11983" t="s">
        <v>29372</v>
      </c>
      <c r="G11983" t="s">
        <v>29380</v>
      </c>
      <c r="H11983" t="s">
        <v>11048</v>
      </c>
      <c r="I11983" t="s">
        <v>29473</v>
      </c>
      <c r="J11983" t="s">
        <v>37089</v>
      </c>
      <c r="K11983" t="s">
        <v>38524</v>
      </c>
      <c r="M11983" t="s">
        <v>42366</v>
      </c>
      <c r="N11983" t="s">
        <v>42669</v>
      </c>
      <c r="O11983" t="s">
        <v>42670</v>
      </c>
      <c r="Q11983">
        <v>18</v>
      </c>
      <c r="R11983" t="s">
        <v>42689</v>
      </c>
      <c r="S11983" t="s">
        <v>43489</v>
      </c>
      <c r="T11983" t="s">
        <v>44422</v>
      </c>
      <c r="U11983" t="s">
        <v>54624</v>
      </c>
      <c r="W11983" t="s">
        <v>42366</v>
      </c>
      <c r="X11983" t="s">
        <v>42690</v>
      </c>
    </row>
    <row r="11984" spans="1:24">
      <c r="A11984">
        <f>HYPERLINK("https://www.philgeps.gov.ph/GEPSNONPILOT/Tender/SplashBidNoticeAbstractUI.aspx?menuIndex=3&amp;refID=7159330&amp;Result=3","7159330")</f>
        <v>0</v>
      </c>
      <c r="B11984" t="s">
        <v>3291</v>
      </c>
      <c r="C11984" t="s">
        <v>14988</v>
      </c>
      <c r="E11984" t="s">
        <v>27447</v>
      </c>
      <c r="F11984" t="s">
        <v>29376</v>
      </c>
      <c r="G11984" t="s">
        <v>29383</v>
      </c>
      <c r="H11984" t="s">
        <v>11048</v>
      </c>
      <c r="I11984" t="s">
        <v>29407</v>
      </c>
      <c r="J11984" t="s">
        <v>37090</v>
      </c>
      <c r="K11984" t="s">
        <v>38490</v>
      </c>
      <c r="M11984" t="s">
        <v>42367</v>
      </c>
      <c r="N11984" t="s">
        <v>42669</v>
      </c>
      <c r="O11984" t="s">
        <v>42670</v>
      </c>
      <c r="Q11984">
        <v>6</v>
      </c>
      <c r="R11984" t="s">
        <v>42689</v>
      </c>
      <c r="S11984" t="s">
        <v>43210</v>
      </c>
      <c r="T11984" t="s">
        <v>44386</v>
      </c>
      <c r="U11984" t="s">
        <v>54625</v>
      </c>
      <c r="W11984" t="s">
        <v>42367</v>
      </c>
      <c r="X11984" t="s">
        <v>42690</v>
      </c>
    </row>
    <row r="11985" spans="1:24">
      <c r="A11985">
        <f>HYPERLINK("https://www.philgeps.gov.ph/GEPSNONPILOT/Tender/SplashBidNoticeAbstractUI.aspx?menuIndex=3&amp;refID=7159342&amp;Result=3","7159342")</f>
        <v>0</v>
      </c>
      <c r="B11985" t="s">
        <v>3283</v>
      </c>
      <c r="C11985" t="s">
        <v>7200</v>
      </c>
      <c r="D11985" t="s">
        <v>17222</v>
      </c>
      <c r="E11985" t="s">
        <v>27448</v>
      </c>
      <c r="F11985" t="s">
        <v>29372</v>
      </c>
      <c r="G11985" t="s">
        <v>29380</v>
      </c>
      <c r="H11985" t="s">
        <v>29389</v>
      </c>
      <c r="I11985" t="s">
        <v>29453</v>
      </c>
      <c r="J11985" t="s">
        <v>29604</v>
      </c>
      <c r="K11985" t="s">
        <v>38487</v>
      </c>
      <c r="M11985" t="s">
        <v>42356</v>
      </c>
      <c r="N11985" t="s">
        <v>42669</v>
      </c>
      <c r="O11985" t="s">
        <v>42670</v>
      </c>
      <c r="P11985">
        <v>0</v>
      </c>
      <c r="Q11985">
        <v>0</v>
      </c>
      <c r="R11985" t="s">
        <v>42689</v>
      </c>
      <c r="S11985" t="s">
        <v>43461</v>
      </c>
      <c r="T11985" t="s">
        <v>44394</v>
      </c>
      <c r="U11985" t="s">
        <v>54626</v>
      </c>
      <c r="W11985" t="s">
        <v>42356</v>
      </c>
      <c r="X11985" t="s">
        <v>42690</v>
      </c>
    </row>
    <row r="11986" spans="1:24">
      <c r="A11986">
        <f>HYPERLINK("https://www.philgeps.gov.ph/GEPSNONPILOT/Tender/SplashBidNoticeAbstractUI.aspx?menuIndex=3&amp;refID=7159186&amp;Result=3","7159186")</f>
        <v>0</v>
      </c>
      <c r="B11986" t="s">
        <v>2708</v>
      </c>
      <c r="C11986" t="s">
        <v>14989</v>
      </c>
      <c r="D11986" t="s">
        <v>17161</v>
      </c>
      <c r="E11986" t="s">
        <v>27449</v>
      </c>
      <c r="F11986" t="s">
        <v>29372</v>
      </c>
      <c r="G11986" t="s">
        <v>29380</v>
      </c>
      <c r="H11986" t="s">
        <v>11048</v>
      </c>
      <c r="I11986" t="s">
        <v>4709</v>
      </c>
      <c r="J11986" t="s">
        <v>37091</v>
      </c>
      <c r="K11986" t="s">
        <v>38488</v>
      </c>
      <c r="M11986" t="s">
        <v>41688</v>
      </c>
      <c r="N11986" t="s">
        <v>42669</v>
      </c>
      <c r="O11986" t="s">
        <v>42670</v>
      </c>
      <c r="P11986">
        <v>0</v>
      </c>
      <c r="Q11986">
        <v>1</v>
      </c>
      <c r="R11986" t="s">
        <v>42689</v>
      </c>
      <c r="S11986" t="s">
        <v>43461</v>
      </c>
      <c r="T11986" t="s">
        <v>44481</v>
      </c>
      <c r="U11986" t="s">
        <v>52092</v>
      </c>
      <c r="V11986" t="s">
        <v>57727</v>
      </c>
      <c r="W11986" t="s">
        <v>41688</v>
      </c>
      <c r="X11986" t="s">
        <v>42690</v>
      </c>
    </row>
    <row r="11987" spans="1:24">
      <c r="A11987">
        <f>HYPERLINK("https://www.philgeps.gov.ph/GEPSNONPILOT/Tender/SplashBidNoticeAbstractUI.aspx?menuIndex=3&amp;refID=7159087&amp;Result=3","7159087")</f>
        <v>0</v>
      </c>
      <c r="B11987" t="s">
        <v>560</v>
      </c>
      <c r="C11987" t="s">
        <v>14990</v>
      </c>
      <c r="D11987" t="s">
        <v>17180</v>
      </c>
      <c r="E11987" t="s">
        <v>27450</v>
      </c>
      <c r="F11987" t="s">
        <v>29372</v>
      </c>
      <c r="G11987" t="s">
        <v>29380</v>
      </c>
      <c r="H11987" t="s">
        <v>11048</v>
      </c>
      <c r="I11987" t="s">
        <v>4709</v>
      </c>
      <c r="J11987" t="s">
        <v>37092</v>
      </c>
      <c r="K11987" t="s">
        <v>38485</v>
      </c>
      <c r="M11987" t="s">
        <v>39329</v>
      </c>
      <c r="N11987" t="s">
        <v>42669</v>
      </c>
      <c r="O11987" t="s">
        <v>42670</v>
      </c>
      <c r="P11987">
        <v>0</v>
      </c>
      <c r="Q11987">
        <v>23</v>
      </c>
      <c r="R11987" t="s">
        <v>42689</v>
      </c>
      <c r="S11987" t="s">
        <v>43461</v>
      </c>
      <c r="T11987" t="s">
        <v>44401</v>
      </c>
      <c r="U11987" t="s">
        <v>54627</v>
      </c>
      <c r="V11987" t="s">
        <v>56611</v>
      </c>
      <c r="W11987" t="s">
        <v>39329</v>
      </c>
      <c r="X11987" t="s">
        <v>42690</v>
      </c>
    </row>
    <row r="11988" spans="1:24">
      <c r="A11988">
        <f>HYPERLINK("https://www.philgeps.gov.ph/GEPSNONPILOT/Tender/SplashBidNoticeAbstractUI.aspx?menuIndex=3&amp;refID=7159379&amp;Result=3","7159379")</f>
        <v>0</v>
      </c>
      <c r="B11988" t="s">
        <v>3292</v>
      </c>
      <c r="C11988" t="s">
        <v>14991</v>
      </c>
      <c r="D11988" t="s">
        <v>17212</v>
      </c>
      <c r="E11988" t="s">
        <v>17347</v>
      </c>
      <c r="F11988" t="s">
        <v>29372</v>
      </c>
      <c r="G11988" t="s">
        <v>29380</v>
      </c>
      <c r="H11988" t="s">
        <v>29389</v>
      </c>
      <c r="I11988" t="s">
        <v>10408</v>
      </c>
      <c r="J11988" t="s">
        <v>29555</v>
      </c>
      <c r="K11988" t="s">
        <v>38488</v>
      </c>
      <c r="M11988" t="s">
        <v>42368</v>
      </c>
      <c r="N11988" t="s">
        <v>42669</v>
      </c>
      <c r="O11988" t="s">
        <v>42670</v>
      </c>
      <c r="P11988">
        <v>0</v>
      </c>
      <c r="Q11988">
        <v>0</v>
      </c>
      <c r="R11988" t="s">
        <v>42689</v>
      </c>
      <c r="S11988" t="s">
        <v>43461</v>
      </c>
      <c r="T11988" t="s">
        <v>44454</v>
      </c>
      <c r="U11988" t="s">
        <v>54628</v>
      </c>
      <c r="W11988" t="s">
        <v>42368</v>
      </c>
      <c r="X11988" t="s">
        <v>42690</v>
      </c>
    </row>
    <row r="11989" spans="1:24">
      <c r="A11989">
        <f>HYPERLINK("https://www.philgeps.gov.ph/GEPSNONPILOT/Tender/SplashBidNoticeAbstractUI.aspx?menuIndex=3&amp;refID=7159351&amp;Result=3","7159351")</f>
        <v>0</v>
      </c>
      <c r="B11989" t="s">
        <v>1796</v>
      </c>
      <c r="C11989" t="s">
        <v>14992</v>
      </c>
      <c r="D11989" t="s">
        <v>17174</v>
      </c>
      <c r="E11989" t="s">
        <v>27451</v>
      </c>
      <c r="F11989" t="s">
        <v>29372</v>
      </c>
      <c r="G11989" t="s">
        <v>29380</v>
      </c>
      <c r="H11989" t="s">
        <v>11048</v>
      </c>
      <c r="I11989" t="s">
        <v>29513</v>
      </c>
      <c r="J11989" t="s">
        <v>37093</v>
      </c>
      <c r="K11989" t="s">
        <v>38510</v>
      </c>
      <c r="M11989" t="s">
        <v>40986</v>
      </c>
      <c r="N11989" t="s">
        <v>42669</v>
      </c>
      <c r="O11989" t="s">
        <v>42670</v>
      </c>
      <c r="P11989">
        <v>0</v>
      </c>
      <c r="Q11989">
        <v>0</v>
      </c>
      <c r="R11989" t="s">
        <v>42689</v>
      </c>
      <c r="S11989" t="s">
        <v>43461</v>
      </c>
      <c r="T11989" t="s">
        <v>44554</v>
      </c>
      <c r="U11989" t="s">
        <v>54629</v>
      </c>
      <c r="W11989" t="s">
        <v>40986</v>
      </c>
      <c r="X11989" t="s">
        <v>42690</v>
      </c>
    </row>
    <row r="11990" spans="1:24">
      <c r="A11990">
        <f>HYPERLINK("https://www.philgeps.gov.ph/GEPSNONPILOT/Tender/SplashBidNoticeAbstractUI.aspx?menuIndex=3&amp;refID=7159574&amp;Result=3","7159574")</f>
        <v>0</v>
      </c>
      <c r="B11990" t="s">
        <v>3287</v>
      </c>
      <c r="C11990" t="s">
        <v>14993</v>
      </c>
      <c r="D11990" t="s">
        <v>17179</v>
      </c>
      <c r="E11990" t="s">
        <v>27452</v>
      </c>
      <c r="F11990" t="s">
        <v>29372</v>
      </c>
      <c r="G11990" t="s">
        <v>29380</v>
      </c>
      <c r="H11990" t="s">
        <v>11048</v>
      </c>
      <c r="I11990" t="s">
        <v>4709</v>
      </c>
      <c r="J11990" t="s">
        <v>33604</v>
      </c>
      <c r="K11990" t="s">
        <v>38510</v>
      </c>
      <c r="M11990" t="s">
        <v>42361</v>
      </c>
      <c r="N11990" t="s">
        <v>42669</v>
      </c>
      <c r="O11990" t="s">
        <v>42670</v>
      </c>
      <c r="P11990">
        <v>0</v>
      </c>
      <c r="Q11990">
        <v>2</v>
      </c>
      <c r="R11990" t="s">
        <v>42689</v>
      </c>
      <c r="S11990" t="s">
        <v>43461</v>
      </c>
      <c r="T11990" t="s">
        <v>44488</v>
      </c>
      <c r="U11990" t="s">
        <v>54630</v>
      </c>
      <c r="V11990" t="s">
        <v>57724</v>
      </c>
      <c r="W11990" t="s">
        <v>42361</v>
      </c>
      <c r="X11990" t="s">
        <v>42690</v>
      </c>
    </row>
    <row r="11991" spans="1:24">
      <c r="A11991">
        <f>HYPERLINK("https://www.philgeps.gov.ph/GEPSNONPILOT/Tender/SplashBidNoticeAbstractUI.aspx?menuIndex=3&amp;refID=7159554&amp;Result=3","7159554")</f>
        <v>0</v>
      </c>
      <c r="B11991" t="s">
        <v>955</v>
      </c>
      <c r="C11991" t="s">
        <v>14994</v>
      </c>
      <c r="E11991" t="s">
        <v>27453</v>
      </c>
      <c r="F11991" t="s">
        <v>29372</v>
      </c>
      <c r="G11991" t="s">
        <v>29380</v>
      </c>
      <c r="H11991" t="s">
        <v>11048</v>
      </c>
      <c r="I11991" t="s">
        <v>29433</v>
      </c>
      <c r="J11991" t="s">
        <v>37094</v>
      </c>
      <c r="K11991" t="s">
        <v>38490</v>
      </c>
      <c r="M11991" t="s">
        <v>42369</v>
      </c>
      <c r="N11991" t="s">
        <v>42669</v>
      </c>
      <c r="O11991" t="s">
        <v>42670</v>
      </c>
      <c r="P11991">
        <v>0</v>
      </c>
      <c r="Q11991">
        <v>23</v>
      </c>
      <c r="R11991" t="s">
        <v>42689</v>
      </c>
      <c r="S11991" t="s">
        <v>43461</v>
      </c>
      <c r="T11991" t="s">
        <v>44427</v>
      </c>
      <c r="U11991" t="s">
        <v>54631</v>
      </c>
      <c r="W11991" t="s">
        <v>42369</v>
      </c>
      <c r="X11991" t="s">
        <v>42690</v>
      </c>
    </row>
    <row r="11992" spans="1:24">
      <c r="A11992">
        <f>HYPERLINK("https://www.philgeps.gov.ph/GEPSNONPILOT/Tender/SplashBidNoticeAbstractUI.aspx?menuIndex=3&amp;refID=7159194&amp;Result=3","7159194")</f>
        <v>0</v>
      </c>
      <c r="B11992" t="s">
        <v>1796</v>
      </c>
      <c r="C11992" t="s">
        <v>14995</v>
      </c>
      <c r="D11992" t="s">
        <v>17174</v>
      </c>
      <c r="E11992" t="s">
        <v>27454</v>
      </c>
      <c r="F11992" t="s">
        <v>29372</v>
      </c>
      <c r="G11992" t="s">
        <v>29380</v>
      </c>
      <c r="H11992" t="s">
        <v>11048</v>
      </c>
      <c r="I11992" t="s">
        <v>4487</v>
      </c>
      <c r="J11992" t="s">
        <v>37095</v>
      </c>
      <c r="K11992" t="s">
        <v>38510</v>
      </c>
      <c r="M11992" t="s">
        <v>40986</v>
      </c>
      <c r="N11992" t="s">
        <v>42669</v>
      </c>
      <c r="O11992" t="s">
        <v>42670</v>
      </c>
      <c r="P11992">
        <v>0</v>
      </c>
      <c r="Q11992">
        <v>1</v>
      </c>
      <c r="R11992" t="s">
        <v>42689</v>
      </c>
      <c r="S11992" t="s">
        <v>43461</v>
      </c>
      <c r="T11992" t="s">
        <v>44554</v>
      </c>
      <c r="U11992" t="s">
        <v>54632</v>
      </c>
      <c r="W11992" t="s">
        <v>40986</v>
      </c>
      <c r="X11992" t="s">
        <v>42690</v>
      </c>
    </row>
    <row r="11993" spans="1:24">
      <c r="A11993">
        <f>HYPERLINK("https://www.philgeps.gov.ph/GEPSNONPILOT/Tender/SplashBidNoticeAbstractUI.aspx?menuIndex=3&amp;refID=7159539&amp;Result=3","7159539")</f>
        <v>0</v>
      </c>
      <c r="B11993" t="s">
        <v>988</v>
      </c>
      <c r="C11993" t="s">
        <v>14996</v>
      </c>
      <c r="D11993" t="s">
        <v>17160</v>
      </c>
      <c r="E11993" t="s">
        <v>27455</v>
      </c>
      <c r="F11993" t="s">
        <v>29372</v>
      </c>
      <c r="G11993" t="s">
        <v>29380</v>
      </c>
      <c r="H11993" t="s">
        <v>11048</v>
      </c>
      <c r="I11993" t="s">
        <v>29417</v>
      </c>
      <c r="J11993" t="s">
        <v>29774</v>
      </c>
      <c r="K11993" t="s">
        <v>38485</v>
      </c>
      <c r="M11993" t="s">
        <v>39786</v>
      </c>
      <c r="N11993" t="s">
        <v>42669</v>
      </c>
      <c r="O11993" t="s">
        <v>42670</v>
      </c>
      <c r="P11993">
        <v>0</v>
      </c>
      <c r="Q11993">
        <v>4</v>
      </c>
      <c r="R11993" t="s">
        <v>42689</v>
      </c>
      <c r="S11993" t="s">
        <v>43461</v>
      </c>
      <c r="T11993" t="s">
        <v>44354</v>
      </c>
      <c r="U11993" t="s">
        <v>54633</v>
      </c>
      <c r="W11993" t="s">
        <v>39786</v>
      </c>
      <c r="X11993" t="s">
        <v>42690</v>
      </c>
    </row>
    <row r="11994" spans="1:24">
      <c r="A11994">
        <f>HYPERLINK("https://www.philgeps.gov.ph/GEPSNONPILOT/Tender/SplashBidNoticeAbstractUI.aspx?menuIndex=3&amp;refID=7159548&amp;Result=3","7159548")</f>
        <v>0</v>
      </c>
      <c r="B11994" t="s">
        <v>955</v>
      </c>
      <c r="C11994" t="s">
        <v>14997</v>
      </c>
      <c r="E11994" t="s">
        <v>27456</v>
      </c>
      <c r="F11994" t="s">
        <v>29372</v>
      </c>
      <c r="G11994" t="s">
        <v>29380</v>
      </c>
      <c r="H11994" t="s">
        <v>11048</v>
      </c>
      <c r="I11994" t="s">
        <v>29414</v>
      </c>
      <c r="J11994" t="s">
        <v>32390</v>
      </c>
      <c r="K11994" t="s">
        <v>38490</v>
      </c>
      <c r="M11994" t="s">
        <v>42369</v>
      </c>
      <c r="N11994" t="s">
        <v>42669</v>
      </c>
      <c r="O11994" t="s">
        <v>42670</v>
      </c>
      <c r="P11994">
        <v>0</v>
      </c>
      <c r="Q11994">
        <v>12</v>
      </c>
      <c r="R11994" t="s">
        <v>42689</v>
      </c>
      <c r="S11994" t="s">
        <v>43461</v>
      </c>
      <c r="T11994" t="s">
        <v>44427</v>
      </c>
      <c r="U11994" t="s">
        <v>54634</v>
      </c>
      <c r="W11994" t="s">
        <v>42369</v>
      </c>
      <c r="X11994" t="s">
        <v>42690</v>
      </c>
    </row>
    <row r="11995" spans="1:24">
      <c r="A11995">
        <f>HYPERLINK("https://www.philgeps.gov.ph/GEPSNONPILOT/Tender/SplashBidNoticeAbstractUI.aspx?menuIndex=3&amp;refID=7159523&amp;Result=3","7159523")</f>
        <v>0</v>
      </c>
      <c r="B11995" t="s">
        <v>1796</v>
      </c>
      <c r="C11995" t="s">
        <v>14998</v>
      </c>
      <c r="D11995" t="s">
        <v>17174</v>
      </c>
      <c r="E11995" t="s">
        <v>27457</v>
      </c>
      <c r="F11995" t="s">
        <v>29372</v>
      </c>
      <c r="G11995" t="s">
        <v>29380</v>
      </c>
      <c r="H11995" t="s">
        <v>11048</v>
      </c>
      <c r="I11995" t="s">
        <v>3695</v>
      </c>
      <c r="J11995" t="s">
        <v>37096</v>
      </c>
      <c r="K11995" t="s">
        <v>38510</v>
      </c>
      <c r="M11995" t="s">
        <v>40986</v>
      </c>
      <c r="N11995" t="s">
        <v>42669</v>
      </c>
      <c r="O11995" t="s">
        <v>42670</v>
      </c>
      <c r="P11995">
        <v>0</v>
      </c>
      <c r="Q11995">
        <v>1</v>
      </c>
      <c r="R11995" t="s">
        <v>42689</v>
      </c>
      <c r="S11995" t="s">
        <v>43461</v>
      </c>
      <c r="T11995" t="s">
        <v>44554</v>
      </c>
      <c r="U11995" t="s">
        <v>54635</v>
      </c>
      <c r="W11995" t="s">
        <v>40986</v>
      </c>
      <c r="X11995" t="s">
        <v>42690</v>
      </c>
    </row>
    <row r="11996" spans="1:24">
      <c r="A11996">
        <f>HYPERLINK("https://www.philgeps.gov.ph/GEPSNONPILOT/Tender/SplashBidNoticeAbstractUI.aspx?menuIndex=3&amp;refID=7159160&amp;Result=3","7159160")</f>
        <v>0</v>
      </c>
      <c r="B11996" t="s">
        <v>2568</v>
      </c>
      <c r="C11996" t="s">
        <v>14999</v>
      </c>
      <c r="D11996" t="s">
        <v>17165</v>
      </c>
      <c r="E11996" t="s">
        <v>27458</v>
      </c>
      <c r="F11996" t="s">
        <v>29372</v>
      </c>
      <c r="G11996" t="s">
        <v>29380</v>
      </c>
      <c r="H11996" t="s">
        <v>11048</v>
      </c>
      <c r="I11996" t="s">
        <v>29415</v>
      </c>
      <c r="J11996" t="s">
        <v>29543</v>
      </c>
      <c r="K11996" t="s">
        <v>38530</v>
      </c>
      <c r="M11996" t="s">
        <v>41535</v>
      </c>
      <c r="N11996" t="s">
        <v>42669</v>
      </c>
      <c r="O11996" t="s">
        <v>42670</v>
      </c>
      <c r="P11996">
        <v>0</v>
      </c>
      <c r="Q11996">
        <v>8</v>
      </c>
      <c r="R11996" t="s">
        <v>42689</v>
      </c>
      <c r="S11996" t="s">
        <v>43461</v>
      </c>
      <c r="T11996" t="s">
        <v>44409</v>
      </c>
      <c r="U11996" t="s">
        <v>54636</v>
      </c>
      <c r="V11996" t="s">
        <v>57280</v>
      </c>
      <c r="W11996" t="s">
        <v>41535</v>
      </c>
      <c r="X11996" t="s">
        <v>42690</v>
      </c>
    </row>
    <row r="11997" spans="1:24">
      <c r="A11997">
        <f>HYPERLINK("https://www.philgeps.gov.ph/GEPSNONPILOT/Tender/SplashBidNoticeAbstractUI.aspx?menuIndex=3&amp;refID=7159521&amp;Result=3","7159521")</f>
        <v>0</v>
      </c>
      <c r="B11997" t="s">
        <v>955</v>
      </c>
      <c r="C11997" t="s">
        <v>15000</v>
      </c>
      <c r="E11997" t="s">
        <v>27459</v>
      </c>
      <c r="F11997" t="s">
        <v>29372</v>
      </c>
      <c r="G11997" t="s">
        <v>29380</v>
      </c>
      <c r="H11997" t="s">
        <v>11048</v>
      </c>
      <c r="I11997" t="s">
        <v>8614</v>
      </c>
      <c r="J11997" t="s">
        <v>29573</v>
      </c>
      <c r="K11997" t="s">
        <v>38490</v>
      </c>
      <c r="M11997" t="s">
        <v>42369</v>
      </c>
      <c r="N11997" t="s">
        <v>42669</v>
      </c>
      <c r="O11997" t="s">
        <v>42670</v>
      </c>
      <c r="P11997">
        <v>0</v>
      </c>
      <c r="Q11997">
        <v>22</v>
      </c>
      <c r="R11997" t="s">
        <v>42689</v>
      </c>
      <c r="S11997" t="s">
        <v>43461</v>
      </c>
      <c r="T11997" t="s">
        <v>44427</v>
      </c>
      <c r="U11997" t="s">
        <v>54637</v>
      </c>
      <c r="W11997" t="s">
        <v>42369</v>
      </c>
      <c r="X11997" t="s">
        <v>42690</v>
      </c>
    </row>
    <row r="11998" spans="1:24">
      <c r="A11998">
        <f>HYPERLINK("https://www.philgeps.gov.ph/GEPSNONPILOT/Tender/SplashBidNoticeAbstractUI.aspx?menuIndex=3&amp;refID=7159327&amp;Result=3","7159327")</f>
        <v>0</v>
      </c>
      <c r="B11998" t="s">
        <v>2735</v>
      </c>
      <c r="C11998" t="s">
        <v>15001</v>
      </c>
      <c r="D11998" t="s">
        <v>17161</v>
      </c>
      <c r="E11998" t="s">
        <v>27460</v>
      </c>
      <c r="F11998" t="s">
        <v>29372</v>
      </c>
      <c r="G11998" t="s">
        <v>29380</v>
      </c>
      <c r="H11998" t="s">
        <v>11048</v>
      </c>
      <c r="I11998" t="s">
        <v>29398</v>
      </c>
      <c r="J11998" t="s">
        <v>33244</v>
      </c>
      <c r="K11998" t="s">
        <v>38485</v>
      </c>
      <c r="M11998" t="s">
        <v>41718</v>
      </c>
      <c r="N11998" t="s">
        <v>42669</v>
      </c>
      <c r="O11998" t="s">
        <v>42670</v>
      </c>
      <c r="P11998">
        <v>0</v>
      </c>
      <c r="Q11998">
        <v>0</v>
      </c>
      <c r="R11998" t="s">
        <v>42689</v>
      </c>
      <c r="S11998" t="s">
        <v>43461</v>
      </c>
      <c r="T11998" t="s">
        <v>44488</v>
      </c>
      <c r="U11998" t="s">
        <v>54638</v>
      </c>
      <c r="W11998" t="s">
        <v>41718</v>
      </c>
      <c r="X11998" t="s">
        <v>42690</v>
      </c>
    </row>
    <row r="11999" spans="1:24">
      <c r="A11999">
        <f>HYPERLINK("https://www.philgeps.gov.ph/GEPSNONPILOT/Tender/SplashBidNoticeAbstractUI.aspx?menuIndex=3&amp;refID=7159531&amp;Result=3","7159531")</f>
        <v>0</v>
      </c>
      <c r="B11999" t="s">
        <v>974</v>
      </c>
      <c r="C11999" t="s">
        <v>15002</v>
      </c>
      <c r="D11999" t="s">
        <v>17172</v>
      </c>
      <c r="E11999" t="s">
        <v>22818</v>
      </c>
      <c r="F11999" t="s">
        <v>29372</v>
      </c>
      <c r="G11999" t="s">
        <v>29380</v>
      </c>
      <c r="H11999" t="s">
        <v>11048</v>
      </c>
      <c r="I11999" t="s">
        <v>3670</v>
      </c>
      <c r="J11999" t="s">
        <v>37097</v>
      </c>
      <c r="K11999" t="s">
        <v>38488</v>
      </c>
      <c r="M11999" t="s">
        <v>39771</v>
      </c>
      <c r="N11999" t="s">
        <v>42669</v>
      </c>
      <c r="O11999" t="s">
        <v>42670</v>
      </c>
      <c r="P11999">
        <v>0</v>
      </c>
      <c r="Q11999">
        <v>4</v>
      </c>
      <c r="R11999" t="s">
        <v>42689</v>
      </c>
      <c r="S11999" t="s">
        <v>43461</v>
      </c>
      <c r="T11999" t="s">
        <v>44724</v>
      </c>
      <c r="U11999" t="s">
        <v>54639</v>
      </c>
      <c r="W11999" t="s">
        <v>39771</v>
      </c>
      <c r="X11999" t="s">
        <v>42690</v>
      </c>
    </row>
    <row r="12000" spans="1:24">
      <c r="A12000">
        <f>HYPERLINK("https://www.philgeps.gov.ph/GEPSNONPILOT/Tender/SplashBidNoticeAbstractUI.aspx?menuIndex=3&amp;refID=7159526&amp;Result=3","7159526")</f>
        <v>0</v>
      </c>
      <c r="B12000" t="s">
        <v>3293</v>
      </c>
      <c r="C12000" t="s">
        <v>15003</v>
      </c>
      <c r="D12000" t="s">
        <v>17151</v>
      </c>
      <c r="E12000" t="s">
        <v>22973</v>
      </c>
      <c r="F12000" t="s">
        <v>29372</v>
      </c>
      <c r="G12000" t="s">
        <v>29380</v>
      </c>
      <c r="H12000" t="s">
        <v>11048</v>
      </c>
      <c r="I12000" t="s">
        <v>29393</v>
      </c>
      <c r="J12000" t="s">
        <v>37098</v>
      </c>
      <c r="K12000" t="s">
        <v>38564</v>
      </c>
      <c r="M12000" t="s">
        <v>42370</v>
      </c>
      <c r="N12000" t="s">
        <v>42669</v>
      </c>
      <c r="O12000" t="s">
        <v>42670</v>
      </c>
      <c r="P12000">
        <v>0</v>
      </c>
      <c r="Q12000">
        <v>1</v>
      </c>
      <c r="R12000" t="s">
        <v>42689</v>
      </c>
      <c r="S12000" t="s">
        <v>43461</v>
      </c>
      <c r="T12000" t="s">
        <v>44364</v>
      </c>
      <c r="U12000" t="s">
        <v>54640</v>
      </c>
      <c r="V12000" t="s">
        <v>57728</v>
      </c>
      <c r="W12000" t="s">
        <v>42370</v>
      </c>
      <c r="X12000" t="s">
        <v>42690</v>
      </c>
    </row>
    <row r="12001" spans="1:24">
      <c r="A12001">
        <f>HYPERLINK("https://www.philgeps.gov.ph/GEPSNONPILOT/Tender/SplashBidNoticeAbstractUI.aspx?menuIndex=3&amp;refID=7159472&amp;Result=3","7159472")</f>
        <v>0</v>
      </c>
      <c r="B12001" t="s">
        <v>3294</v>
      </c>
      <c r="C12001" t="s">
        <v>15004</v>
      </c>
      <c r="D12001" t="s">
        <v>17171</v>
      </c>
      <c r="E12001" t="s">
        <v>17579</v>
      </c>
      <c r="F12001" t="s">
        <v>29372</v>
      </c>
      <c r="G12001" t="s">
        <v>29380</v>
      </c>
      <c r="H12001" t="s">
        <v>11048</v>
      </c>
      <c r="I12001" t="s">
        <v>5383</v>
      </c>
      <c r="J12001" t="s">
        <v>30123</v>
      </c>
      <c r="K12001" t="s">
        <v>38534</v>
      </c>
      <c r="M12001" t="s">
        <v>42371</v>
      </c>
      <c r="N12001" t="s">
        <v>42669</v>
      </c>
      <c r="O12001" t="s">
        <v>42670</v>
      </c>
      <c r="P12001">
        <v>0</v>
      </c>
      <c r="Q12001">
        <v>3</v>
      </c>
      <c r="R12001" t="s">
        <v>42689</v>
      </c>
      <c r="S12001" t="s">
        <v>43461</v>
      </c>
      <c r="T12001" t="s">
        <v>44401</v>
      </c>
      <c r="U12001" t="s">
        <v>54641</v>
      </c>
      <c r="W12001" t="s">
        <v>42371</v>
      </c>
      <c r="X12001" t="s">
        <v>42690</v>
      </c>
    </row>
    <row r="12002" spans="1:24">
      <c r="A12002">
        <f>HYPERLINK("https://www.philgeps.gov.ph/GEPSNONPILOT/Tender/SplashBidNoticeAbstractUI.aspx?menuIndex=3&amp;refID=7159522&amp;Result=3","7159522")</f>
        <v>0</v>
      </c>
      <c r="B12002" t="s">
        <v>3140</v>
      </c>
      <c r="C12002" t="s">
        <v>15005</v>
      </c>
      <c r="D12002" t="s">
        <v>17158</v>
      </c>
      <c r="E12002" t="s">
        <v>27461</v>
      </c>
      <c r="F12002" t="s">
        <v>29372</v>
      </c>
      <c r="G12002" t="s">
        <v>29380</v>
      </c>
      <c r="H12002" t="s">
        <v>11048</v>
      </c>
      <c r="I12002" t="s">
        <v>29428</v>
      </c>
      <c r="J12002" t="s">
        <v>37099</v>
      </c>
      <c r="K12002" t="s">
        <v>38485</v>
      </c>
      <c r="M12002" t="s">
        <v>42186</v>
      </c>
      <c r="N12002" t="s">
        <v>42669</v>
      </c>
      <c r="O12002" t="s">
        <v>42670</v>
      </c>
      <c r="P12002">
        <v>0</v>
      </c>
      <c r="Q12002">
        <v>0</v>
      </c>
      <c r="R12002" t="s">
        <v>42689</v>
      </c>
      <c r="S12002" t="s">
        <v>43461</v>
      </c>
      <c r="T12002" t="s">
        <v>44470</v>
      </c>
      <c r="U12002" t="s">
        <v>54642</v>
      </c>
      <c r="W12002" t="s">
        <v>42186</v>
      </c>
      <c r="X12002" t="s">
        <v>42690</v>
      </c>
    </row>
    <row r="12003" spans="1:24">
      <c r="A12003">
        <f>HYPERLINK("https://www.philgeps.gov.ph/GEPSNONPILOT/Tender/SplashBidNoticeAbstractUI.aspx?menuIndex=3&amp;refID=7159670&amp;Result=3","7159670")</f>
        <v>0</v>
      </c>
      <c r="B12003" t="s">
        <v>3254</v>
      </c>
      <c r="C12003" t="s">
        <v>15006</v>
      </c>
      <c r="D12003" t="s">
        <v>17206</v>
      </c>
      <c r="E12003" t="s">
        <v>27462</v>
      </c>
      <c r="F12003" t="s">
        <v>29372</v>
      </c>
      <c r="G12003" t="s">
        <v>29380</v>
      </c>
      <c r="H12003" t="s">
        <v>29389</v>
      </c>
      <c r="I12003" t="s">
        <v>10408</v>
      </c>
      <c r="J12003" t="s">
        <v>32431</v>
      </c>
      <c r="K12003" t="s">
        <v>38546</v>
      </c>
      <c r="M12003" t="s">
        <v>42323</v>
      </c>
      <c r="N12003" t="s">
        <v>42669</v>
      </c>
      <c r="O12003" t="s">
        <v>42670</v>
      </c>
      <c r="P12003">
        <v>0</v>
      </c>
      <c r="Q12003">
        <v>3</v>
      </c>
      <c r="R12003" t="s">
        <v>42689</v>
      </c>
      <c r="S12003" t="s">
        <v>43461</v>
      </c>
      <c r="T12003" t="s">
        <v>44419</v>
      </c>
      <c r="U12003" t="s">
        <v>54643</v>
      </c>
      <c r="W12003" t="s">
        <v>42323</v>
      </c>
      <c r="X12003" t="s">
        <v>42690</v>
      </c>
    </row>
    <row r="12004" spans="1:24">
      <c r="A12004">
        <f>HYPERLINK("https://www.philgeps.gov.ph/GEPSNONPILOT/Tender/SplashBidNoticeAbstractUI.aspx?menuIndex=3&amp;refID=7159506&amp;Result=3","7159506")</f>
        <v>0</v>
      </c>
      <c r="B12004" t="s">
        <v>974</v>
      </c>
      <c r="C12004" t="s">
        <v>15007</v>
      </c>
      <c r="D12004" t="s">
        <v>17172</v>
      </c>
      <c r="E12004" t="s">
        <v>24955</v>
      </c>
      <c r="F12004" t="s">
        <v>29372</v>
      </c>
      <c r="G12004" t="s">
        <v>29380</v>
      </c>
      <c r="H12004" t="s">
        <v>11048</v>
      </c>
      <c r="I12004" t="s">
        <v>9469</v>
      </c>
      <c r="J12004" t="s">
        <v>29526</v>
      </c>
      <c r="K12004" t="s">
        <v>38488</v>
      </c>
      <c r="M12004" t="s">
        <v>39771</v>
      </c>
      <c r="N12004" t="s">
        <v>42669</v>
      </c>
      <c r="O12004" t="s">
        <v>42670</v>
      </c>
      <c r="P12004">
        <v>0</v>
      </c>
      <c r="Q12004">
        <v>0</v>
      </c>
      <c r="R12004" t="s">
        <v>42689</v>
      </c>
      <c r="S12004" t="s">
        <v>43461</v>
      </c>
      <c r="T12004" t="s">
        <v>44724</v>
      </c>
      <c r="U12004" t="s">
        <v>54644</v>
      </c>
      <c r="W12004" t="s">
        <v>39771</v>
      </c>
      <c r="X12004" t="s">
        <v>42690</v>
      </c>
    </row>
    <row r="12005" spans="1:24">
      <c r="A12005">
        <f>HYPERLINK("https://www.philgeps.gov.ph/GEPSNONPILOT/Tender/SplashBidNoticeAbstractUI.aspx?menuIndex=3&amp;refID=7159677&amp;Result=3","7159677")</f>
        <v>0</v>
      </c>
      <c r="B12005" t="s">
        <v>1062</v>
      </c>
      <c r="C12005" t="s">
        <v>15008</v>
      </c>
      <c r="D12005" t="s">
        <v>17188</v>
      </c>
      <c r="E12005" t="s">
        <v>27463</v>
      </c>
      <c r="F12005" t="s">
        <v>29372</v>
      </c>
      <c r="G12005" t="s">
        <v>29380</v>
      </c>
      <c r="H12005" t="s">
        <v>29389</v>
      </c>
      <c r="I12005" t="s">
        <v>10408</v>
      </c>
      <c r="J12005" t="s">
        <v>37100</v>
      </c>
      <c r="K12005" t="s">
        <v>38564</v>
      </c>
      <c r="M12005" t="s">
        <v>39869</v>
      </c>
      <c r="N12005" t="s">
        <v>42669</v>
      </c>
      <c r="O12005" t="s">
        <v>42670</v>
      </c>
      <c r="Q12005">
        <v>2</v>
      </c>
      <c r="R12005" t="s">
        <v>42689</v>
      </c>
      <c r="S12005" t="s">
        <v>43073</v>
      </c>
      <c r="T12005" t="s">
        <v>44387</v>
      </c>
      <c r="U12005" t="s">
        <v>54645</v>
      </c>
      <c r="W12005" t="s">
        <v>39869</v>
      </c>
      <c r="X12005" t="s">
        <v>42690</v>
      </c>
    </row>
    <row r="12006" spans="1:24">
      <c r="A12006">
        <f>HYPERLINK("https://www.philgeps.gov.ph/GEPSNONPILOT/Tender/SplashBidNoticeAbstractUI.aspx?menuIndex=3&amp;refID=7159528&amp;Result=3","7159528")</f>
        <v>0</v>
      </c>
      <c r="B12006" t="s">
        <v>3287</v>
      </c>
      <c r="C12006" t="s">
        <v>15009</v>
      </c>
      <c r="D12006" t="s">
        <v>17179</v>
      </c>
      <c r="E12006" t="s">
        <v>27464</v>
      </c>
      <c r="F12006" t="s">
        <v>29372</v>
      </c>
      <c r="G12006" t="s">
        <v>29380</v>
      </c>
      <c r="H12006" t="s">
        <v>29389</v>
      </c>
      <c r="I12006" t="s">
        <v>10408</v>
      </c>
      <c r="J12006" t="s">
        <v>30300</v>
      </c>
      <c r="K12006" t="s">
        <v>38510</v>
      </c>
      <c r="M12006" t="s">
        <v>42361</v>
      </c>
      <c r="N12006" t="s">
        <v>42669</v>
      </c>
      <c r="O12006" t="s">
        <v>42670</v>
      </c>
      <c r="P12006">
        <v>0</v>
      </c>
      <c r="Q12006">
        <v>6</v>
      </c>
      <c r="R12006" t="s">
        <v>42689</v>
      </c>
      <c r="S12006" t="s">
        <v>43461</v>
      </c>
      <c r="T12006" t="s">
        <v>44488</v>
      </c>
      <c r="U12006" t="s">
        <v>54646</v>
      </c>
      <c r="V12006" t="s">
        <v>57724</v>
      </c>
      <c r="W12006" t="s">
        <v>42361</v>
      </c>
      <c r="X12006" t="s">
        <v>42690</v>
      </c>
    </row>
    <row r="12007" spans="1:24">
      <c r="A12007">
        <f>HYPERLINK("https://www.philgeps.gov.ph/GEPSNONPILOT/Tender/SplashBidNoticeAbstractUI.aspx?menuIndex=3&amp;refID=7159672&amp;Result=3","7159672")</f>
        <v>0</v>
      </c>
      <c r="B12007" t="s">
        <v>3295</v>
      </c>
      <c r="C12007" t="s">
        <v>15010</v>
      </c>
      <c r="D12007" t="s">
        <v>17188</v>
      </c>
      <c r="E12007" t="s">
        <v>17972</v>
      </c>
      <c r="F12007" t="s">
        <v>29372</v>
      </c>
      <c r="G12007" t="s">
        <v>29380</v>
      </c>
      <c r="H12007" t="s">
        <v>29389</v>
      </c>
      <c r="I12007" t="s">
        <v>3952</v>
      </c>
      <c r="J12007" t="s">
        <v>29587</v>
      </c>
      <c r="K12007" t="s">
        <v>38485</v>
      </c>
      <c r="M12007" t="s">
        <v>42372</v>
      </c>
      <c r="N12007" t="s">
        <v>42669</v>
      </c>
      <c r="O12007" t="s">
        <v>42670</v>
      </c>
      <c r="P12007">
        <v>0</v>
      </c>
      <c r="Q12007">
        <v>1</v>
      </c>
      <c r="R12007" t="s">
        <v>42689</v>
      </c>
      <c r="S12007" t="s">
        <v>43461</v>
      </c>
      <c r="T12007" t="s">
        <v>44358</v>
      </c>
      <c r="U12007" t="s">
        <v>54647</v>
      </c>
      <c r="W12007" t="s">
        <v>42372</v>
      </c>
      <c r="X12007" t="s">
        <v>42690</v>
      </c>
    </row>
    <row r="12008" spans="1:24">
      <c r="A12008">
        <f>HYPERLINK("https://www.philgeps.gov.ph/GEPSNONPILOT/Tender/SplashBidNoticeAbstractUI.aspx?menuIndex=3&amp;refID=7159649&amp;Result=3","7159649")</f>
        <v>0</v>
      </c>
      <c r="B12008" t="s">
        <v>1334</v>
      </c>
      <c r="C12008" t="s">
        <v>14984</v>
      </c>
      <c r="D12008" t="s">
        <v>17182</v>
      </c>
      <c r="E12008" t="s">
        <v>27465</v>
      </c>
      <c r="F12008" t="s">
        <v>29372</v>
      </c>
      <c r="G12008" t="s">
        <v>29380</v>
      </c>
      <c r="H12008" t="s">
        <v>11048</v>
      </c>
      <c r="I12008" t="s">
        <v>29414</v>
      </c>
      <c r="J12008" t="s">
        <v>37101</v>
      </c>
      <c r="K12008" t="s">
        <v>38510</v>
      </c>
      <c r="M12008" t="s">
        <v>41811</v>
      </c>
      <c r="N12008" t="s">
        <v>42669</v>
      </c>
      <c r="O12008" t="s">
        <v>42670</v>
      </c>
      <c r="P12008">
        <v>0</v>
      </c>
      <c r="Q12008">
        <v>12</v>
      </c>
      <c r="R12008" t="s">
        <v>42689</v>
      </c>
      <c r="S12008" t="s">
        <v>43461</v>
      </c>
      <c r="T12008" t="s">
        <v>44630</v>
      </c>
      <c r="U12008" t="s">
        <v>54621</v>
      </c>
      <c r="W12008" t="s">
        <v>41811</v>
      </c>
      <c r="X12008" t="s">
        <v>42690</v>
      </c>
    </row>
    <row r="12009" spans="1:24">
      <c r="A12009">
        <f>HYPERLINK("https://www.philgeps.gov.ph/GEPSNONPILOT/Tender/SplashBidNoticeAbstractUI.aspx?menuIndex=3&amp;refID=7159638&amp;Result=3","7159638")</f>
        <v>0</v>
      </c>
      <c r="B12009" t="s">
        <v>3296</v>
      </c>
      <c r="C12009" t="s">
        <v>15011</v>
      </c>
      <c r="D12009" t="s">
        <v>17200</v>
      </c>
      <c r="E12009" t="s">
        <v>27466</v>
      </c>
      <c r="F12009" t="s">
        <v>29372</v>
      </c>
      <c r="G12009" t="s">
        <v>29380</v>
      </c>
      <c r="H12009" t="s">
        <v>29389</v>
      </c>
      <c r="I12009" t="s">
        <v>10408</v>
      </c>
      <c r="J12009" t="s">
        <v>37102</v>
      </c>
      <c r="K12009" t="s">
        <v>38689</v>
      </c>
      <c r="M12009" t="s">
        <v>42373</v>
      </c>
      <c r="N12009" t="s">
        <v>42669</v>
      </c>
      <c r="O12009" t="s">
        <v>42670</v>
      </c>
      <c r="P12009">
        <v>0</v>
      </c>
      <c r="Q12009">
        <v>0</v>
      </c>
      <c r="R12009" t="s">
        <v>42689</v>
      </c>
      <c r="S12009" t="s">
        <v>43461</v>
      </c>
      <c r="T12009" t="s">
        <v>44488</v>
      </c>
      <c r="U12009" t="s">
        <v>54648</v>
      </c>
      <c r="W12009" t="s">
        <v>42373</v>
      </c>
      <c r="X12009" t="s">
        <v>42690</v>
      </c>
    </row>
    <row r="12010" spans="1:24">
      <c r="A12010">
        <f>HYPERLINK("https://www.philgeps.gov.ph/GEPSNONPILOT/Tender/SplashBidNoticeAbstractUI.aspx?menuIndex=3&amp;refID=7159646&amp;Result=3","7159646")</f>
        <v>0</v>
      </c>
      <c r="B12010" t="s">
        <v>1743</v>
      </c>
      <c r="C12010" t="s">
        <v>15012</v>
      </c>
      <c r="D12010" t="s">
        <v>17156</v>
      </c>
      <c r="E12010" t="s">
        <v>27467</v>
      </c>
      <c r="F12010" t="s">
        <v>29372</v>
      </c>
      <c r="G12010" t="s">
        <v>29380</v>
      </c>
      <c r="H12010" t="s">
        <v>11048</v>
      </c>
      <c r="I12010" t="s">
        <v>3860</v>
      </c>
      <c r="J12010" t="s">
        <v>37103</v>
      </c>
      <c r="K12010" t="s">
        <v>38518</v>
      </c>
      <c r="M12010" t="s">
        <v>40608</v>
      </c>
      <c r="N12010" t="s">
        <v>42669</v>
      </c>
      <c r="O12010" t="s">
        <v>42670</v>
      </c>
      <c r="P12010">
        <v>0</v>
      </c>
      <c r="Q12010">
        <v>4</v>
      </c>
      <c r="R12010" t="s">
        <v>42689</v>
      </c>
      <c r="S12010" t="s">
        <v>43461</v>
      </c>
      <c r="T12010" t="s">
        <v>44371</v>
      </c>
      <c r="U12010" t="s">
        <v>54649</v>
      </c>
      <c r="W12010" t="s">
        <v>40608</v>
      </c>
      <c r="X12010" t="s">
        <v>42690</v>
      </c>
    </row>
    <row r="12011" spans="1:24">
      <c r="A12011">
        <f>HYPERLINK("https://www.philgeps.gov.ph/GEPSNONPILOT/Tender/SplashBidNoticeAbstractUI.aspx?menuIndex=3&amp;refID=7159493&amp;Result=3","7159493")</f>
        <v>0</v>
      </c>
      <c r="B12011" t="s">
        <v>3140</v>
      </c>
      <c r="C12011" t="s">
        <v>15013</v>
      </c>
      <c r="D12011" t="s">
        <v>17158</v>
      </c>
      <c r="E12011" t="s">
        <v>27461</v>
      </c>
      <c r="F12011" t="s">
        <v>29372</v>
      </c>
      <c r="G12011" t="s">
        <v>29380</v>
      </c>
      <c r="H12011" t="s">
        <v>11048</v>
      </c>
      <c r="I12011" t="s">
        <v>29394</v>
      </c>
      <c r="J12011" t="s">
        <v>37104</v>
      </c>
      <c r="K12011" t="s">
        <v>38485</v>
      </c>
      <c r="M12011" t="s">
        <v>42186</v>
      </c>
      <c r="N12011" t="s">
        <v>42669</v>
      </c>
      <c r="O12011" t="s">
        <v>42670</v>
      </c>
      <c r="P12011">
        <v>0</v>
      </c>
      <c r="Q12011">
        <v>2</v>
      </c>
      <c r="R12011" t="s">
        <v>42689</v>
      </c>
      <c r="S12011" t="s">
        <v>43461</v>
      </c>
      <c r="T12011" t="s">
        <v>44470</v>
      </c>
      <c r="U12011" t="s">
        <v>54642</v>
      </c>
      <c r="W12011" t="s">
        <v>42186</v>
      </c>
      <c r="X12011" t="s">
        <v>42690</v>
      </c>
    </row>
    <row r="12012" spans="1:24">
      <c r="A12012">
        <f>HYPERLINK("https://www.philgeps.gov.ph/GEPSNONPILOT/Tender/SplashBidNoticeAbstractUI.aspx?menuIndex=3&amp;refID=7159637&amp;Result=3","7159637")</f>
        <v>0</v>
      </c>
      <c r="B12012" t="s">
        <v>795</v>
      </c>
      <c r="C12012" t="s">
        <v>15014</v>
      </c>
      <c r="D12012" t="s">
        <v>17167</v>
      </c>
      <c r="E12012" t="s">
        <v>27468</v>
      </c>
      <c r="F12012" t="s">
        <v>29372</v>
      </c>
      <c r="G12012" t="s">
        <v>29380</v>
      </c>
      <c r="H12012" t="s">
        <v>29389</v>
      </c>
      <c r="I12012" t="s">
        <v>10408</v>
      </c>
      <c r="J12012" t="s">
        <v>37105</v>
      </c>
      <c r="K12012" t="s">
        <v>38746</v>
      </c>
      <c r="M12012" t="s">
        <v>39579</v>
      </c>
      <c r="N12012" t="s">
        <v>42669</v>
      </c>
      <c r="O12012" t="s">
        <v>42670</v>
      </c>
      <c r="Q12012">
        <v>2</v>
      </c>
      <c r="R12012" t="s">
        <v>42689</v>
      </c>
      <c r="S12012" t="s">
        <v>43490</v>
      </c>
      <c r="T12012" t="s">
        <v>44425</v>
      </c>
      <c r="U12012" t="s">
        <v>54650</v>
      </c>
      <c r="W12012" t="s">
        <v>39579</v>
      </c>
      <c r="X12012" t="s">
        <v>42690</v>
      </c>
    </row>
    <row r="12013" spans="1:24">
      <c r="A12013">
        <f>HYPERLINK("https://www.philgeps.gov.ph/GEPSNONPILOT/Tender/SplashBidNoticeAbstractUI.aspx?menuIndex=3&amp;refID=7159629&amp;Result=3","7159629")</f>
        <v>0</v>
      </c>
      <c r="B12013" t="s">
        <v>1334</v>
      </c>
      <c r="C12013" t="s">
        <v>14984</v>
      </c>
      <c r="D12013" t="s">
        <v>17182</v>
      </c>
      <c r="E12013" t="s">
        <v>27469</v>
      </c>
      <c r="F12013" t="s">
        <v>29372</v>
      </c>
      <c r="G12013" t="s">
        <v>29380</v>
      </c>
      <c r="H12013" t="s">
        <v>11048</v>
      </c>
      <c r="I12013" t="s">
        <v>29414</v>
      </c>
      <c r="J12013" t="s">
        <v>29740</v>
      </c>
      <c r="K12013" t="s">
        <v>38488</v>
      </c>
      <c r="M12013" t="s">
        <v>41811</v>
      </c>
      <c r="N12013" t="s">
        <v>42669</v>
      </c>
      <c r="O12013" t="s">
        <v>42670</v>
      </c>
      <c r="P12013">
        <v>0</v>
      </c>
      <c r="Q12013">
        <v>10</v>
      </c>
      <c r="R12013" t="s">
        <v>42689</v>
      </c>
      <c r="S12013" t="s">
        <v>43461</v>
      </c>
      <c r="T12013" t="s">
        <v>44630</v>
      </c>
      <c r="U12013" t="s">
        <v>54621</v>
      </c>
      <c r="W12013" t="s">
        <v>41811</v>
      </c>
      <c r="X12013" t="s">
        <v>42690</v>
      </c>
    </row>
    <row r="12014" spans="1:24">
      <c r="A12014">
        <f>HYPERLINK("https://www.philgeps.gov.ph/GEPSNONPILOT/Tender/SplashBidNoticeAbstractUI.aspx?menuIndex=3&amp;refID=7159623&amp;Result=3","7159623")</f>
        <v>0</v>
      </c>
      <c r="B12014" t="s">
        <v>955</v>
      </c>
      <c r="C12014" t="s">
        <v>15015</v>
      </c>
      <c r="E12014" t="s">
        <v>27470</v>
      </c>
      <c r="F12014" t="s">
        <v>29372</v>
      </c>
      <c r="G12014" t="s">
        <v>29380</v>
      </c>
      <c r="H12014" t="s">
        <v>11048</v>
      </c>
      <c r="I12014" t="s">
        <v>29436</v>
      </c>
      <c r="J12014" t="s">
        <v>37106</v>
      </c>
      <c r="K12014" t="s">
        <v>38490</v>
      </c>
      <c r="M12014" t="s">
        <v>42369</v>
      </c>
      <c r="N12014" t="s">
        <v>42669</v>
      </c>
      <c r="O12014" t="s">
        <v>42670</v>
      </c>
      <c r="P12014">
        <v>0</v>
      </c>
      <c r="Q12014">
        <v>11</v>
      </c>
      <c r="R12014" t="s">
        <v>42689</v>
      </c>
      <c r="S12014" t="s">
        <v>43461</v>
      </c>
      <c r="T12014" t="s">
        <v>44427</v>
      </c>
      <c r="U12014" t="s">
        <v>54651</v>
      </c>
      <c r="W12014" t="s">
        <v>42369</v>
      </c>
      <c r="X12014" t="s">
        <v>42690</v>
      </c>
    </row>
    <row r="12015" spans="1:24">
      <c r="A12015">
        <f>HYPERLINK("https://www.philgeps.gov.ph/GEPSNONPILOT/Tender/SplashBidNoticeAbstractUI.aspx?menuIndex=3&amp;refID=7159615&amp;Result=3","7159615")</f>
        <v>0</v>
      </c>
      <c r="B12015" t="s">
        <v>3296</v>
      </c>
      <c r="C12015" t="s">
        <v>15016</v>
      </c>
      <c r="D12015" t="s">
        <v>17200</v>
      </c>
      <c r="E12015" t="s">
        <v>27471</v>
      </c>
      <c r="F12015" t="s">
        <v>29372</v>
      </c>
      <c r="G12015" t="s">
        <v>29380</v>
      </c>
      <c r="H12015" t="s">
        <v>29389</v>
      </c>
      <c r="I12015" t="s">
        <v>10408</v>
      </c>
      <c r="J12015" t="s">
        <v>37107</v>
      </c>
      <c r="K12015" t="s">
        <v>38516</v>
      </c>
      <c r="M12015" t="s">
        <v>42373</v>
      </c>
      <c r="N12015" t="s">
        <v>42669</v>
      </c>
      <c r="O12015" t="s">
        <v>42670</v>
      </c>
      <c r="P12015">
        <v>0</v>
      </c>
      <c r="Q12015">
        <v>1</v>
      </c>
      <c r="R12015" t="s">
        <v>42689</v>
      </c>
      <c r="S12015" t="s">
        <v>43461</v>
      </c>
      <c r="T12015" t="s">
        <v>44488</v>
      </c>
      <c r="U12015" t="s">
        <v>54648</v>
      </c>
      <c r="W12015" t="s">
        <v>42373</v>
      </c>
      <c r="X12015" t="s">
        <v>42690</v>
      </c>
    </row>
    <row r="12016" spans="1:24">
      <c r="A12016">
        <f>HYPERLINK("https://www.philgeps.gov.ph/GEPSNONPILOT/Tender/SplashBidNoticeAbstractUI.aspx?menuIndex=3&amp;refID=7159460&amp;Result=3","7159460")</f>
        <v>0</v>
      </c>
      <c r="B12016" t="s">
        <v>3297</v>
      </c>
      <c r="C12016" t="s">
        <v>15017</v>
      </c>
      <c r="E12016" t="s">
        <v>27472</v>
      </c>
      <c r="F12016" t="s">
        <v>29372</v>
      </c>
      <c r="G12016" t="s">
        <v>29380</v>
      </c>
      <c r="H12016" t="s">
        <v>29389</v>
      </c>
      <c r="I12016" t="s">
        <v>10408</v>
      </c>
      <c r="J12016" t="s">
        <v>29683</v>
      </c>
      <c r="K12016" t="s">
        <v>38490</v>
      </c>
      <c r="M12016" t="s">
        <v>42374</v>
      </c>
      <c r="N12016" t="s">
        <v>42669</v>
      </c>
      <c r="O12016" t="s">
        <v>42670</v>
      </c>
      <c r="P12016">
        <v>0</v>
      </c>
      <c r="Q12016">
        <v>14</v>
      </c>
      <c r="R12016" t="s">
        <v>42689</v>
      </c>
      <c r="S12016" t="s">
        <v>43461</v>
      </c>
      <c r="T12016" t="s">
        <v>44401</v>
      </c>
      <c r="U12016" t="s">
        <v>54652</v>
      </c>
      <c r="W12016" t="s">
        <v>42374</v>
      </c>
      <c r="X12016" t="s">
        <v>42690</v>
      </c>
    </row>
    <row r="12017" spans="1:24">
      <c r="A12017">
        <f>HYPERLINK("https://www.philgeps.gov.ph/GEPSNONPILOT/Tender/SplashBidNoticeAbstractUI.aspx?menuIndex=3&amp;refID=7159599&amp;Result=3","7159599")</f>
        <v>0</v>
      </c>
      <c r="B12017" t="s">
        <v>3140</v>
      </c>
      <c r="C12017" t="s">
        <v>15018</v>
      </c>
      <c r="D12017" t="s">
        <v>17158</v>
      </c>
      <c r="E12017" t="s">
        <v>27473</v>
      </c>
      <c r="F12017" t="s">
        <v>29372</v>
      </c>
      <c r="G12017" t="s">
        <v>29380</v>
      </c>
      <c r="H12017" t="s">
        <v>11048</v>
      </c>
      <c r="I12017" t="s">
        <v>29428</v>
      </c>
      <c r="J12017" t="s">
        <v>37108</v>
      </c>
      <c r="K12017" t="s">
        <v>38485</v>
      </c>
      <c r="M12017" t="s">
        <v>42186</v>
      </c>
      <c r="N12017" t="s">
        <v>42669</v>
      </c>
      <c r="O12017" t="s">
        <v>42670</v>
      </c>
      <c r="Q12017">
        <v>1</v>
      </c>
      <c r="R12017" t="s">
        <v>42689</v>
      </c>
      <c r="S12017" t="s">
        <v>43491</v>
      </c>
      <c r="T12017" t="s">
        <v>44470</v>
      </c>
      <c r="U12017" t="s">
        <v>54653</v>
      </c>
      <c r="W12017" t="s">
        <v>42186</v>
      </c>
      <c r="X12017" t="s">
        <v>42690</v>
      </c>
    </row>
    <row r="12018" spans="1:24">
      <c r="A12018">
        <f>HYPERLINK("https://www.philgeps.gov.ph/GEPSNONPILOT/Tender/SplashBidNoticeAbstractUI.aspx?menuIndex=3&amp;refID=7159598&amp;Result=3","7159598")</f>
        <v>0</v>
      </c>
      <c r="B12018" t="s">
        <v>955</v>
      </c>
      <c r="C12018" t="s">
        <v>15019</v>
      </c>
      <c r="E12018" t="s">
        <v>27474</v>
      </c>
      <c r="F12018" t="s">
        <v>29372</v>
      </c>
      <c r="G12018" t="s">
        <v>29380</v>
      </c>
      <c r="H12018" t="s">
        <v>11048</v>
      </c>
      <c r="I12018" t="s">
        <v>9642</v>
      </c>
      <c r="J12018" t="s">
        <v>37109</v>
      </c>
      <c r="K12018" t="s">
        <v>38490</v>
      </c>
      <c r="M12018" t="s">
        <v>42369</v>
      </c>
      <c r="N12018" t="s">
        <v>42669</v>
      </c>
      <c r="O12018" t="s">
        <v>42670</v>
      </c>
      <c r="P12018">
        <v>0</v>
      </c>
      <c r="Q12018">
        <v>8</v>
      </c>
      <c r="R12018" t="s">
        <v>42689</v>
      </c>
      <c r="S12018" t="s">
        <v>43461</v>
      </c>
      <c r="T12018" t="s">
        <v>44427</v>
      </c>
      <c r="U12018" t="s">
        <v>54654</v>
      </c>
      <c r="W12018" t="s">
        <v>42369</v>
      </c>
      <c r="X12018" t="s">
        <v>42690</v>
      </c>
    </row>
    <row r="12019" spans="1:24">
      <c r="A12019">
        <f>HYPERLINK("https://www.philgeps.gov.ph/GEPSNONPILOT/Tender/SplashBidNoticeAbstractUI.aspx?menuIndex=3&amp;refID=7159625&amp;Result=3","7159625")</f>
        <v>0</v>
      </c>
      <c r="B12019" t="s">
        <v>1547</v>
      </c>
      <c r="C12019" t="s">
        <v>15020</v>
      </c>
      <c r="D12019" t="s">
        <v>17164</v>
      </c>
      <c r="E12019" t="s">
        <v>27475</v>
      </c>
      <c r="F12019" t="s">
        <v>29372</v>
      </c>
      <c r="G12019" t="s">
        <v>29380</v>
      </c>
      <c r="H12019" t="s">
        <v>11048</v>
      </c>
      <c r="I12019" t="s">
        <v>8794</v>
      </c>
      <c r="J12019" t="s">
        <v>37110</v>
      </c>
      <c r="K12019" t="s">
        <v>38485</v>
      </c>
      <c r="M12019" t="s">
        <v>40397</v>
      </c>
      <c r="N12019" t="s">
        <v>42669</v>
      </c>
      <c r="O12019" t="s">
        <v>42670</v>
      </c>
      <c r="P12019">
        <v>0</v>
      </c>
      <c r="Q12019">
        <v>0</v>
      </c>
      <c r="R12019" t="s">
        <v>42689</v>
      </c>
      <c r="S12019" t="s">
        <v>43461</v>
      </c>
      <c r="T12019" t="s">
        <v>44414</v>
      </c>
      <c r="U12019" t="s">
        <v>54655</v>
      </c>
      <c r="V12019" t="s">
        <v>57729</v>
      </c>
      <c r="W12019" t="s">
        <v>40397</v>
      </c>
      <c r="X12019" t="s">
        <v>42690</v>
      </c>
    </row>
    <row r="12020" spans="1:24">
      <c r="A12020">
        <f>HYPERLINK("https://www.philgeps.gov.ph/GEPSNONPILOT/Tender/SplashBidNoticeAbstractUI.aspx?menuIndex=3&amp;refID=7159593&amp;Result=3","7159593")</f>
        <v>0</v>
      </c>
      <c r="B12020" t="s">
        <v>1334</v>
      </c>
      <c r="C12020" t="s">
        <v>14984</v>
      </c>
      <c r="D12020" t="s">
        <v>17182</v>
      </c>
      <c r="E12020" t="s">
        <v>27476</v>
      </c>
      <c r="F12020" t="s">
        <v>29372</v>
      </c>
      <c r="G12020" t="s">
        <v>29380</v>
      </c>
      <c r="H12020" t="s">
        <v>11048</v>
      </c>
      <c r="I12020" t="s">
        <v>29414</v>
      </c>
      <c r="J12020" t="s">
        <v>37111</v>
      </c>
      <c r="K12020" t="s">
        <v>38485</v>
      </c>
      <c r="M12020" t="s">
        <v>41811</v>
      </c>
      <c r="N12020" t="s">
        <v>42669</v>
      </c>
      <c r="O12020" t="s">
        <v>42670</v>
      </c>
      <c r="P12020">
        <v>0</v>
      </c>
      <c r="Q12020">
        <v>15</v>
      </c>
      <c r="R12020" t="s">
        <v>42689</v>
      </c>
      <c r="S12020" t="s">
        <v>43461</v>
      </c>
      <c r="T12020" t="s">
        <v>44630</v>
      </c>
      <c r="U12020" t="s">
        <v>54621</v>
      </c>
      <c r="W12020" t="s">
        <v>41811</v>
      </c>
      <c r="X12020" t="s">
        <v>42690</v>
      </c>
    </row>
    <row r="12021" spans="1:24">
      <c r="A12021">
        <f>HYPERLINK("https://www.philgeps.gov.ph/GEPSNONPILOT/Tender/SplashBidNoticeAbstractUI.aspx?menuIndex=3&amp;refID=7159580&amp;Result=3","7159580")</f>
        <v>0</v>
      </c>
      <c r="B12021" t="s">
        <v>3140</v>
      </c>
      <c r="C12021" t="s">
        <v>15021</v>
      </c>
      <c r="D12021" t="s">
        <v>17158</v>
      </c>
      <c r="E12021" t="s">
        <v>27461</v>
      </c>
      <c r="F12021" t="s">
        <v>29372</v>
      </c>
      <c r="G12021" t="s">
        <v>29380</v>
      </c>
      <c r="H12021" t="s">
        <v>11048</v>
      </c>
      <c r="I12021" t="s">
        <v>3670</v>
      </c>
      <c r="J12021" t="s">
        <v>37112</v>
      </c>
      <c r="K12021" t="s">
        <v>38485</v>
      </c>
      <c r="M12021" t="s">
        <v>42186</v>
      </c>
      <c r="N12021" t="s">
        <v>42669</v>
      </c>
      <c r="O12021" t="s">
        <v>42670</v>
      </c>
      <c r="P12021">
        <v>0</v>
      </c>
      <c r="Q12021">
        <v>0</v>
      </c>
      <c r="R12021" t="s">
        <v>42689</v>
      </c>
      <c r="S12021" t="s">
        <v>43461</v>
      </c>
      <c r="T12021" t="s">
        <v>44470</v>
      </c>
      <c r="U12021" t="s">
        <v>54642</v>
      </c>
      <c r="W12021" t="s">
        <v>42186</v>
      </c>
      <c r="X12021" t="s">
        <v>42690</v>
      </c>
    </row>
    <row r="12022" spans="1:24">
      <c r="A12022">
        <f>HYPERLINK("https://www.philgeps.gov.ph/GEPSNONPILOT/Tender/SplashBidNoticeAbstractUI.aspx?menuIndex=3&amp;refID=7159614&amp;Result=3","7159614")</f>
        <v>0</v>
      </c>
      <c r="B12022" t="s">
        <v>2230</v>
      </c>
      <c r="C12022" t="s">
        <v>15022</v>
      </c>
      <c r="D12022" t="s">
        <v>17176</v>
      </c>
      <c r="E12022" t="s">
        <v>27477</v>
      </c>
      <c r="F12022" t="s">
        <v>29372</v>
      </c>
      <c r="G12022" t="s">
        <v>29380</v>
      </c>
      <c r="H12022" t="s">
        <v>11048</v>
      </c>
      <c r="I12022" t="s">
        <v>9469</v>
      </c>
      <c r="J12022" t="s">
        <v>31074</v>
      </c>
      <c r="K12022" t="s">
        <v>38518</v>
      </c>
      <c r="M12022" t="s">
        <v>41148</v>
      </c>
      <c r="N12022" t="s">
        <v>42669</v>
      </c>
      <c r="O12022" t="s">
        <v>42670</v>
      </c>
      <c r="P12022">
        <v>0</v>
      </c>
      <c r="Q12022">
        <v>3</v>
      </c>
      <c r="R12022" t="s">
        <v>42689</v>
      </c>
      <c r="S12022" t="s">
        <v>43461</v>
      </c>
      <c r="T12022" t="s">
        <v>44828</v>
      </c>
      <c r="U12022" t="s">
        <v>54656</v>
      </c>
      <c r="V12022" t="s">
        <v>57730</v>
      </c>
      <c r="W12022" t="s">
        <v>41148</v>
      </c>
      <c r="X12022" t="s">
        <v>42690</v>
      </c>
    </row>
    <row r="12023" spans="1:24">
      <c r="A12023">
        <f>HYPERLINK("https://www.philgeps.gov.ph/GEPSNONPILOT/Tender/SplashBidNoticeAbstractUI.aspx?menuIndex=3&amp;refID=7159479&amp;Result=3","7159479")</f>
        <v>0</v>
      </c>
      <c r="B12023" t="s">
        <v>2439</v>
      </c>
      <c r="C12023" t="s">
        <v>15023</v>
      </c>
      <c r="D12023" t="s">
        <v>17163</v>
      </c>
      <c r="E12023" t="s">
        <v>27478</v>
      </c>
      <c r="F12023" t="s">
        <v>29372</v>
      </c>
      <c r="G12023" t="s">
        <v>29383</v>
      </c>
      <c r="H12023" t="s">
        <v>11048</v>
      </c>
      <c r="I12023" t="s">
        <v>8614</v>
      </c>
      <c r="J12023" t="s">
        <v>37113</v>
      </c>
      <c r="K12023" t="s">
        <v>38517</v>
      </c>
      <c r="M12023" t="s">
        <v>41387</v>
      </c>
      <c r="N12023" t="s">
        <v>42669</v>
      </c>
      <c r="O12023" t="s">
        <v>42670</v>
      </c>
      <c r="Q12023">
        <v>5</v>
      </c>
      <c r="R12023" t="s">
        <v>42689</v>
      </c>
      <c r="S12023" t="s">
        <v>43481</v>
      </c>
      <c r="T12023" t="s">
        <v>44371</v>
      </c>
      <c r="U12023" t="s">
        <v>54657</v>
      </c>
      <c r="W12023" t="s">
        <v>41387</v>
      </c>
      <c r="X12023" t="s">
        <v>42690</v>
      </c>
    </row>
    <row r="12024" spans="1:24">
      <c r="A12024">
        <f>HYPERLINK("https://www.philgeps.gov.ph/GEPSNONPILOT/Tender/SplashBidNoticeAbstractUI.aspx?menuIndex=3&amp;refID=7159575&amp;Result=3","7159575")</f>
        <v>0</v>
      </c>
      <c r="B12024" t="s">
        <v>795</v>
      </c>
      <c r="C12024" t="s">
        <v>15024</v>
      </c>
      <c r="D12024" t="s">
        <v>17173</v>
      </c>
      <c r="E12024" t="s">
        <v>27479</v>
      </c>
      <c r="F12024" t="s">
        <v>29372</v>
      </c>
      <c r="G12024" t="s">
        <v>29380</v>
      </c>
      <c r="H12024" t="s">
        <v>29389</v>
      </c>
      <c r="I12024" t="s">
        <v>10408</v>
      </c>
      <c r="J12024" t="s">
        <v>37114</v>
      </c>
      <c r="K12024" t="s">
        <v>38521</v>
      </c>
      <c r="M12024" t="s">
        <v>39579</v>
      </c>
      <c r="N12024" t="s">
        <v>42669</v>
      </c>
      <c r="O12024" t="s">
        <v>42670</v>
      </c>
      <c r="Q12024">
        <v>1</v>
      </c>
      <c r="R12024" t="s">
        <v>42689</v>
      </c>
      <c r="S12024" t="s">
        <v>43492</v>
      </c>
      <c r="T12024" t="s">
        <v>44425</v>
      </c>
      <c r="U12024" t="s">
        <v>54658</v>
      </c>
      <c r="W12024" t="s">
        <v>39579</v>
      </c>
      <c r="X12024" t="s">
        <v>42690</v>
      </c>
    </row>
    <row r="12025" spans="1:24">
      <c r="A12025">
        <f>HYPERLINK("https://www.philgeps.gov.ph/GEPSNONPILOT/Tender/SplashBidNoticeAbstractUI.aspx?menuIndex=3&amp;refID=7159444&amp;Result=3","7159444")</f>
        <v>0</v>
      </c>
      <c r="B12025" t="s">
        <v>2113</v>
      </c>
      <c r="C12025" t="s">
        <v>15025</v>
      </c>
      <c r="D12025" t="s">
        <v>17161</v>
      </c>
      <c r="E12025" t="s">
        <v>27480</v>
      </c>
      <c r="F12025" t="s">
        <v>29372</v>
      </c>
      <c r="G12025" t="s">
        <v>29380</v>
      </c>
      <c r="H12025" t="s">
        <v>29391</v>
      </c>
      <c r="I12025" t="s">
        <v>29391</v>
      </c>
      <c r="J12025" t="s">
        <v>37115</v>
      </c>
      <c r="K12025" t="s">
        <v>38487</v>
      </c>
      <c r="M12025" t="s">
        <v>41016</v>
      </c>
      <c r="N12025" t="s">
        <v>42669</v>
      </c>
      <c r="O12025" t="s">
        <v>42670</v>
      </c>
      <c r="P12025">
        <v>0</v>
      </c>
      <c r="Q12025">
        <v>4</v>
      </c>
      <c r="R12025" t="s">
        <v>42689</v>
      </c>
      <c r="S12025" t="s">
        <v>43461</v>
      </c>
      <c r="T12025" t="s">
        <v>44829</v>
      </c>
      <c r="U12025" t="s">
        <v>54659</v>
      </c>
      <c r="W12025" t="s">
        <v>41016</v>
      </c>
      <c r="X12025" t="s">
        <v>42690</v>
      </c>
    </row>
    <row r="12026" spans="1:24">
      <c r="A12026">
        <f>HYPERLINK("https://www.philgeps.gov.ph/GEPSNONPILOT/Tender/SplashBidNoticeAbstractUI.aspx?menuIndex=3&amp;refID=7159543&amp;Result=3","7159543")</f>
        <v>0</v>
      </c>
      <c r="B12026" t="s">
        <v>955</v>
      </c>
      <c r="C12026" t="s">
        <v>15026</v>
      </c>
      <c r="E12026" t="s">
        <v>27481</v>
      </c>
      <c r="F12026" t="s">
        <v>29372</v>
      </c>
      <c r="G12026" t="s">
        <v>29380</v>
      </c>
      <c r="H12026" t="s">
        <v>11048</v>
      </c>
      <c r="I12026" t="s">
        <v>29414</v>
      </c>
      <c r="J12026" t="s">
        <v>29829</v>
      </c>
      <c r="K12026" t="s">
        <v>38490</v>
      </c>
      <c r="M12026" t="s">
        <v>42369</v>
      </c>
      <c r="N12026" t="s">
        <v>42669</v>
      </c>
      <c r="O12026" t="s">
        <v>42670</v>
      </c>
      <c r="P12026">
        <v>0</v>
      </c>
      <c r="Q12026">
        <v>19</v>
      </c>
      <c r="R12026" t="s">
        <v>42689</v>
      </c>
      <c r="S12026" t="s">
        <v>43461</v>
      </c>
      <c r="T12026" t="s">
        <v>44427</v>
      </c>
      <c r="U12026" t="s">
        <v>54660</v>
      </c>
      <c r="W12026" t="s">
        <v>42369</v>
      </c>
      <c r="X12026" t="s">
        <v>42690</v>
      </c>
    </row>
    <row r="12027" spans="1:24">
      <c r="A12027">
        <f>HYPERLINK("https://www.philgeps.gov.ph/GEPSNONPILOT/Tender/SplashBidNoticeAbstractUI.aspx?menuIndex=3&amp;refID=7159592&amp;Result=3","7159592")</f>
        <v>0</v>
      </c>
      <c r="B12027" t="s">
        <v>3293</v>
      </c>
      <c r="C12027" t="s">
        <v>15027</v>
      </c>
      <c r="D12027" t="s">
        <v>17151</v>
      </c>
      <c r="E12027" t="s">
        <v>27482</v>
      </c>
      <c r="F12027" t="s">
        <v>29372</v>
      </c>
      <c r="G12027" t="s">
        <v>29380</v>
      </c>
      <c r="H12027" t="s">
        <v>11048</v>
      </c>
      <c r="I12027" t="s">
        <v>4709</v>
      </c>
      <c r="J12027" t="s">
        <v>37116</v>
      </c>
      <c r="K12027" t="s">
        <v>38564</v>
      </c>
      <c r="M12027" t="s">
        <v>42370</v>
      </c>
      <c r="N12027" t="s">
        <v>42669</v>
      </c>
      <c r="O12027" t="s">
        <v>42670</v>
      </c>
      <c r="P12027">
        <v>0</v>
      </c>
      <c r="Q12027">
        <v>1</v>
      </c>
      <c r="R12027" t="s">
        <v>42689</v>
      </c>
      <c r="S12027" t="s">
        <v>43461</v>
      </c>
      <c r="T12027" t="s">
        <v>44364</v>
      </c>
      <c r="U12027" t="s">
        <v>54661</v>
      </c>
      <c r="V12027" t="s">
        <v>57728</v>
      </c>
      <c r="W12027" t="s">
        <v>42370</v>
      </c>
      <c r="X12027" t="s">
        <v>42690</v>
      </c>
    </row>
    <row r="12028" spans="1:24">
      <c r="A12028">
        <f>HYPERLINK("https://www.philgeps.gov.ph/GEPSNONPILOT/Tender/SplashBidNoticeAbstractUI.aspx?menuIndex=3&amp;refID=7159441&amp;Result=3","7159441")</f>
        <v>0</v>
      </c>
      <c r="B12028" t="s">
        <v>3140</v>
      </c>
      <c r="C12028" t="s">
        <v>15028</v>
      </c>
      <c r="D12028" t="s">
        <v>17158</v>
      </c>
      <c r="E12028" t="s">
        <v>27441</v>
      </c>
      <c r="F12028" t="s">
        <v>29372</v>
      </c>
      <c r="G12028" t="s">
        <v>29380</v>
      </c>
      <c r="H12028" t="s">
        <v>11048</v>
      </c>
      <c r="I12028" t="s">
        <v>29468</v>
      </c>
      <c r="J12028" t="s">
        <v>37117</v>
      </c>
      <c r="K12028" t="s">
        <v>38495</v>
      </c>
      <c r="M12028" t="s">
        <v>42186</v>
      </c>
      <c r="N12028" t="s">
        <v>42669</v>
      </c>
      <c r="O12028" t="s">
        <v>42670</v>
      </c>
      <c r="Q12028">
        <v>0</v>
      </c>
      <c r="R12028" t="s">
        <v>42689</v>
      </c>
      <c r="S12028" t="s">
        <v>43493</v>
      </c>
      <c r="T12028" t="s">
        <v>44470</v>
      </c>
      <c r="U12028" t="s">
        <v>54617</v>
      </c>
      <c r="W12028" t="s">
        <v>42186</v>
      </c>
      <c r="X12028" t="s">
        <v>42690</v>
      </c>
    </row>
    <row r="12029" spans="1:24">
      <c r="A12029">
        <f>HYPERLINK("https://www.philgeps.gov.ph/GEPSNONPILOT/Tender/SplashBidNoticeAbstractUI.aspx?menuIndex=3&amp;refID=7159586&amp;Result=3","7159586")</f>
        <v>0</v>
      </c>
      <c r="B12029" t="s">
        <v>955</v>
      </c>
      <c r="C12029" t="s">
        <v>15029</v>
      </c>
      <c r="E12029" t="s">
        <v>27483</v>
      </c>
      <c r="F12029" t="s">
        <v>29372</v>
      </c>
      <c r="G12029" t="s">
        <v>29380</v>
      </c>
      <c r="H12029" t="s">
        <v>11048</v>
      </c>
      <c r="I12029" t="s">
        <v>29444</v>
      </c>
      <c r="J12029" t="s">
        <v>37118</v>
      </c>
      <c r="K12029" t="s">
        <v>38490</v>
      </c>
      <c r="M12029" t="s">
        <v>42369</v>
      </c>
      <c r="N12029" t="s">
        <v>42669</v>
      </c>
      <c r="O12029" t="s">
        <v>42670</v>
      </c>
      <c r="P12029">
        <v>0</v>
      </c>
      <c r="Q12029">
        <v>4</v>
      </c>
      <c r="R12029" t="s">
        <v>42689</v>
      </c>
      <c r="S12029" t="s">
        <v>43461</v>
      </c>
      <c r="T12029" t="s">
        <v>44427</v>
      </c>
      <c r="U12029" t="s">
        <v>54662</v>
      </c>
      <c r="W12029" t="s">
        <v>42369</v>
      </c>
      <c r="X12029" t="s">
        <v>42690</v>
      </c>
    </row>
    <row r="12030" spans="1:24">
      <c r="A12030">
        <f>HYPERLINK("https://www.philgeps.gov.ph/GEPSNONPILOT/Tender/SplashBidNoticeAbstractUI.aspx?menuIndex=3&amp;refID=7159291&amp;Result=3","7159291")</f>
        <v>0</v>
      </c>
      <c r="B12030" t="s">
        <v>1085</v>
      </c>
      <c r="C12030" t="s">
        <v>15030</v>
      </c>
      <c r="E12030" t="s">
        <v>27484</v>
      </c>
      <c r="F12030" t="s">
        <v>29372</v>
      </c>
      <c r="G12030" t="s">
        <v>29379</v>
      </c>
      <c r="H12030" t="s">
        <v>11048</v>
      </c>
      <c r="I12030" t="s">
        <v>4487</v>
      </c>
      <c r="J12030" t="s">
        <v>37119</v>
      </c>
      <c r="K12030" t="s">
        <v>38491</v>
      </c>
      <c r="M12030" t="s">
        <v>39892</v>
      </c>
      <c r="N12030" t="s">
        <v>42669</v>
      </c>
      <c r="O12030" t="s">
        <v>42670</v>
      </c>
      <c r="Q12030">
        <v>11</v>
      </c>
      <c r="R12030" t="s">
        <v>42689</v>
      </c>
      <c r="S12030" t="s">
        <v>43494</v>
      </c>
      <c r="T12030" t="s">
        <v>44371</v>
      </c>
      <c r="U12030" t="s">
        <v>54663</v>
      </c>
      <c r="W12030" t="s">
        <v>39892</v>
      </c>
      <c r="X12030" t="s">
        <v>42690</v>
      </c>
    </row>
    <row r="12031" spans="1:24">
      <c r="A12031">
        <f>HYPERLINK("https://www.philgeps.gov.ph/GEPSNONPILOT/Tender/SplashBidNoticeAbstractUI.aspx?menuIndex=3&amp;refID=7159288&amp;Result=3","7159288")</f>
        <v>0</v>
      </c>
      <c r="B12031" t="s">
        <v>974</v>
      </c>
      <c r="C12031" t="s">
        <v>15031</v>
      </c>
      <c r="D12031" t="s">
        <v>17172</v>
      </c>
      <c r="E12031" t="s">
        <v>22872</v>
      </c>
      <c r="F12031" t="s">
        <v>29372</v>
      </c>
      <c r="G12031" t="s">
        <v>29380</v>
      </c>
      <c r="H12031" t="s">
        <v>11048</v>
      </c>
      <c r="I12031" t="s">
        <v>3695</v>
      </c>
      <c r="J12031" t="s">
        <v>37120</v>
      </c>
      <c r="K12031" t="s">
        <v>38518</v>
      </c>
      <c r="M12031" t="s">
        <v>39771</v>
      </c>
      <c r="N12031" t="s">
        <v>42669</v>
      </c>
      <c r="O12031" t="s">
        <v>42670</v>
      </c>
      <c r="P12031">
        <v>0</v>
      </c>
      <c r="Q12031">
        <v>1</v>
      </c>
      <c r="R12031" t="s">
        <v>42689</v>
      </c>
      <c r="S12031" t="s">
        <v>43461</v>
      </c>
      <c r="T12031" t="s">
        <v>44429</v>
      </c>
      <c r="U12031" t="s">
        <v>54664</v>
      </c>
      <c r="W12031" t="s">
        <v>39771</v>
      </c>
      <c r="X12031" t="s">
        <v>42690</v>
      </c>
    </row>
    <row r="12032" spans="1:24">
      <c r="A12032">
        <f>HYPERLINK("https://www.philgeps.gov.ph/GEPSNONPILOT/Tender/SplashBidNoticeAbstractUI.aspx?menuIndex=3&amp;refID=7159253&amp;Result=3","7159253")</f>
        <v>0</v>
      </c>
      <c r="B12032" t="s">
        <v>2708</v>
      </c>
      <c r="C12032" t="s">
        <v>15032</v>
      </c>
      <c r="D12032" t="s">
        <v>17161</v>
      </c>
      <c r="E12032" t="s">
        <v>27485</v>
      </c>
      <c r="F12032" t="s">
        <v>29372</v>
      </c>
      <c r="G12032" t="s">
        <v>29380</v>
      </c>
      <c r="H12032" t="s">
        <v>11048</v>
      </c>
      <c r="I12032" t="s">
        <v>3695</v>
      </c>
      <c r="J12032" t="s">
        <v>30056</v>
      </c>
      <c r="K12032" t="s">
        <v>38488</v>
      </c>
      <c r="M12032" t="s">
        <v>41688</v>
      </c>
      <c r="N12032" t="s">
        <v>42669</v>
      </c>
      <c r="O12032" t="s">
        <v>42670</v>
      </c>
      <c r="P12032">
        <v>0</v>
      </c>
      <c r="Q12032">
        <v>6</v>
      </c>
      <c r="R12032" t="s">
        <v>42689</v>
      </c>
      <c r="S12032" t="s">
        <v>43461</v>
      </c>
      <c r="T12032" t="s">
        <v>44481</v>
      </c>
      <c r="U12032" t="s">
        <v>52092</v>
      </c>
      <c r="V12032" t="s">
        <v>57726</v>
      </c>
      <c r="W12032" t="s">
        <v>41688</v>
      </c>
      <c r="X12032" t="s">
        <v>42690</v>
      </c>
    </row>
    <row r="12033" spans="1:24">
      <c r="A12033">
        <f>HYPERLINK("https://www.philgeps.gov.ph/GEPSNONPILOT/Tender/SplashBidNoticeAbstractUI.aspx?menuIndex=3&amp;refID=7159237&amp;Result=3","7159237")</f>
        <v>0</v>
      </c>
      <c r="B12033" t="s">
        <v>3286</v>
      </c>
      <c r="C12033" t="s">
        <v>15033</v>
      </c>
      <c r="D12033" t="s">
        <v>17197</v>
      </c>
      <c r="E12033" t="s">
        <v>27486</v>
      </c>
      <c r="F12033" t="s">
        <v>29372</v>
      </c>
      <c r="G12033" t="s">
        <v>29380</v>
      </c>
      <c r="H12033" t="s">
        <v>11048</v>
      </c>
      <c r="I12033" t="s">
        <v>29426</v>
      </c>
      <c r="J12033" t="s">
        <v>30014</v>
      </c>
      <c r="K12033" t="s">
        <v>38518</v>
      </c>
      <c r="M12033" t="s">
        <v>42360</v>
      </c>
      <c r="N12033" t="s">
        <v>42669</v>
      </c>
      <c r="O12033" t="s">
        <v>42670</v>
      </c>
      <c r="P12033">
        <v>0</v>
      </c>
      <c r="Q12033">
        <v>3</v>
      </c>
      <c r="R12033" t="s">
        <v>42689</v>
      </c>
      <c r="S12033" t="s">
        <v>43461</v>
      </c>
      <c r="T12033" t="s">
        <v>44830</v>
      </c>
      <c r="U12033" t="s">
        <v>54665</v>
      </c>
      <c r="W12033" t="s">
        <v>42360</v>
      </c>
      <c r="X12033" t="s">
        <v>42690</v>
      </c>
    </row>
    <row r="12034" spans="1:24">
      <c r="A12034">
        <f>HYPERLINK("https://www.philgeps.gov.ph/GEPSNONPILOT/Tender/SplashBidNoticeAbstractUI.aspx?menuIndex=3&amp;refID=7159604&amp;Result=3","7159604")</f>
        <v>0</v>
      </c>
      <c r="B12034" t="s">
        <v>955</v>
      </c>
      <c r="C12034" t="s">
        <v>15034</v>
      </c>
      <c r="E12034" t="s">
        <v>27487</v>
      </c>
      <c r="F12034" t="s">
        <v>29372</v>
      </c>
      <c r="G12034" t="s">
        <v>29380</v>
      </c>
      <c r="H12034" t="s">
        <v>11048</v>
      </c>
      <c r="I12034" t="s">
        <v>29426</v>
      </c>
      <c r="J12034" t="s">
        <v>37121</v>
      </c>
      <c r="K12034" t="s">
        <v>38490</v>
      </c>
      <c r="M12034" t="s">
        <v>42369</v>
      </c>
      <c r="N12034" t="s">
        <v>42669</v>
      </c>
      <c r="O12034" t="s">
        <v>42670</v>
      </c>
      <c r="P12034">
        <v>0</v>
      </c>
      <c r="Q12034">
        <v>2</v>
      </c>
      <c r="R12034" t="s">
        <v>42689</v>
      </c>
      <c r="S12034" t="s">
        <v>43461</v>
      </c>
      <c r="T12034" t="s">
        <v>44427</v>
      </c>
      <c r="U12034" t="s">
        <v>54666</v>
      </c>
      <c r="W12034" t="s">
        <v>42369</v>
      </c>
      <c r="X12034" t="s">
        <v>42690</v>
      </c>
    </row>
    <row r="12035" spans="1:24">
      <c r="A12035">
        <f>HYPERLINK("https://www.philgeps.gov.ph/GEPSNONPILOT/Tender/SplashBidNoticeAbstractUI.aspx?menuIndex=3&amp;refID=7159445&amp;Result=3","7159445")</f>
        <v>0</v>
      </c>
      <c r="B12035" t="s">
        <v>174</v>
      </c>
      <c r="C12035" t="s">
        <v>15035</v>
      </c>
      <c r="D12035" t="s">
        <v>17162</v>
      </c>
      <c r="E12035" t="s">
        <v>27488</v>
      </c>
      <c r="F12035" t="s">
        <v>29372</v>
      </c>
      <c r="G12035" t="s">
        <v>29380</v>
      </c>
      <c r="H12035" t="s">
        <v>29389</v>
      </c>
      <c r="I12035" t="s">
        <v>10408</v>
      </c>
      <c r="J12035" t="s">
        <v>37122</v>
      </c>
      <c r="K12035" t="s">
        <v>38564</v>
      </c>
      <c r="L12035" t="s">
        <v>174</v>
      </c>
      <c r="M12035" t="s">
        <v>38931</v>
      </c>
      <c r="N12035" t="s">
        <v>42669</v>
      </c>
      <c r="O12035" t="s">
        <v>42670</v>
      </c>
      <c r="P12035">
        <v>0</v>
      </c>
      <c r="Q12035">
        <v>15</v>
      </c>
      <c r="R12035" t="s">
        <v>42689</v>
      </c>
      <c r="S12035" t="s">
        <v>43461</v>
      </c>
      <c r="T12035" t="s">
        <v>44412</v>
      </c>
      <c r="U12035" t="s">
        <v>45254</v>
      </c>
      <c r="V12035" t="s">
        <v>57731</v>
      </c>
      <c r="W12035" t="s">
        <v>38931</v>
      </c>
      <c r="X12035" t="s">
        <v>42690</v>
      </c>
    </row>
    <row r="12036" spans="1:24">
      <c r="A12036">
        <f>HYPERLINK("https://www.philgeps.gov.ph/GEPSNONPILOT/Tender/SplashBidNoticeAbstractUI.aspx?menuIndex=3&amp;refID=7159153&amp;Result=3","7159153")</f>
        <v>0</v>
      </c>
      <c r="B12036" t="s">
        <v>587</v>
      </c>
      <c r="C12036" t="s">
        <v>15036</v>
      </c>
      <c r="D12036" t="s">
        <v>17161</v>
      </c>
      <c r="E12036" t="s">
        <v>27489</v>
      </c>
      <c r="F12036" t="s">
        <v>29372</v>
      </c>
      <c r="G12036" t="s">
        <v>29380</v>
      </c>
      <c r="H12036" t="s">
        <v>11048</v>
      </c>
      <c r="I12036" t="s">
        <v>29428</v>
      </c>
      <c r="J12036" t="s">
        <v>37123</v>
      </c>
      <c r="K12036" t="s">
        <v>38485</v>
      </c>
      <c r="M12036" t="s">
        <v>42363</v>
      </c>
      <c r="N12036" t="s">
        <v>42669</v>
      </c>
      <c r="O12036" t="s">
        <v>42670</v>
      </c>
      <c r="P12036">
        <v>0</v>
      </c>
      <c r="Q12036">
        <v>0</v>
      </c>
      <c r="R12036" t="s">
        <v>42689</v>
      </c>
      <c r="S12036" t="s">
        <v>43461</v>
      </c>
      <c r="T12036" t="s">
        <v>44488</v>
      </c>
      <c r="U12036" t="s">
        <v>54667</v>
      </c>
      <c r="W12036" t="s">
        <v>42363</v>
      </c>
      <c r="X12036" t="s">
        <v>42690</v>
      </c>
    </row>
    <row r="12037" spans="1:24">
      <c r="A12037">
        <f>HYPERLINK("https://www.philgeps.gov.ph/GEPSNONPILOT/Tender/SplashBidNoticeAbstractUI.aspx?menuIndex=3&amp;refID=7159459&amp;Result=3","7159459")</f>
        <v>0</v>
      </c>
      <c r="B12037" t="s">
        <v>3140</v>
      </c>
      <c r="C12037" t="s">
        <v>15037</v>
      </c>
      <c r="D12037" t="s">
        <v>17158</v>
      </c>
      <c r="E12037" t="s">
        <v>27441</v>
      </c>
      <c r="F12037" t="s">
        <v>29372</v>
      </c>
      <c r="G12037" t="s">
        <v>29380</v>
      </c>
      <c r="H12037" t="s">
        <v>11048</v>
      </c>
      <c r="I12037" t="s">
        <v>3670</v>
      </c>
      <c r="J12037" t="s">
        <v>37124</v>
      </c>
      <c r="K12037" t="s">
        <v>38495</v>
      </c>
      <c r="M12037" t="s">
        <v>42186</v>
      </c>
      <c r="N12037" t="s">
        <v>42669</v>
      </c>
      <c r="O12037" t="s">
        <v>42670</v>
      </c>
      <c r="Q12037">
        <v>0</v>
      </c>
      <c r="R12037" t="s">
        <v>42689</v>
      </c>
      <c r="S12037" t="s">
        <v>43495</v>
      </c>
      <c r="T12037" t="s">
        <v>44470</v>
      </c>
      <c r="U12037" t="s">
        <v>54617</v>
      </c>
      <c r="W12037" t="s">
        <v>42186</v>
      </c>
      <c r="X12037" t="s">
        <v>42690</v>
      </c>
    </row>
    <row r="12038" spans="1:24">
      <c r="A12038">
        <f>HYPERLINK("https://www.philgeps.gov.ph/GEPSNONPILOT/Tender/SplashBidNoticeAbstractUI.aspx?menuIndex=3&amp;refID=7159250&amp;Result=3","7159250")</f>
        <v>0</v>
      </c>
      <c r="B12038" t="s">
        <v>1376</v>
      </c>
      <c r="C12038" t="s">
        <v>15038</v>
      </c>
      <c r="D12038" t="s">
        <v>17161</v>
      </c>
      <c r="E12038" t="s">
        <v>27490</v>
      </c>
      <c r="F12038" t="s">
        <v>29372</v>
      </c>
      <c r="G12038" t="s">
        <v>29380</v>
      </c>
      <c r="H12038" t="s">
        <v>11048</v>
      </c>
      <c r="I12038" t="s">
        <v>29397</v>
      </c>
      <c r="J12038" t="s">
        <v>30161</v>
      </c>
      <c r="K12038" t="s">
        <v>38485</v>
      </c>
      <c r="M12038" t="s">
        <v>40213</v>
      </c>
      <c r="N12038" t="s">
        <v>42669</v>
      </c>
      <c r="O12038" t="s">
        <v>42670</v>
      </c>
      <c r="P12038">
        <v>0</v>
      </c>
      <c r="Q12038">
        <v>1</v>
      </c>
      <c r="R12038" t="s">
        <v>42689</v>
      </c>
      <c r="S12038" t="s">
        <v>43461</v>
      </c>
      <c r="T12038" t="s">
        <v>44481</v>
      </c>
      <c r="U12038" t="s">
        <v>54668</v>
      </c>
      <c r="V12038" t="s">
        <v>56711</v>
      </c>
      <c r="W12038" t="s">
        <v>40213</v>
      </c>
      <c r="X12038" t="s">
        <v>42690</v>
      </c>
    </row>
    <row r="12039" spans="1:24">
      <c r="A12039">
        <f>HYPERLINK("https://www.philgeps.gov.ph/GEPSNONPILOT/Tender/SplashBidNoticeAbstractUI.aspx?menuIndex=3&amp;refID=7159146&amp;Result=3","7159146")</f>
        <v>0</v>
      </c>
      <c r="B12039" t="s">
        <v>3283</v>
      </c>
      <c r="C12039" t="s">
        <v>15039</v>
      </c>
      <c r="D12039" t="s">
        <v>17222</v>
      </c>
      <c r="E12039" t="s">
        <v>27491</v>
      </c>
      <c r="F12039" t="s">
        <v>29372</v>
      </c>
      <c r="G12039" t="s">
        <v>29380</v>
      </c>
      <c r="H12039" t="s">
        <v>29389</v>
      </c>
      <c r="I12039" t="s">
        <v>29453</v>
      </c>
      <c r="J12039" t="s">
        <v>37125</v>
      </c>
      <c r="K12039" t="s">
        <v>38487</v>
      </c>
      <c r="M12039" t="s">
        <v>42356</v>
      </c>
      <c r="N12039" t="s">
        <v>42669</v>
      </c>
      <c r="O12039" t="s">
        <v>42670</v>
      </c>
      <c r="P12039">
        <v>0</v>
      </c>
      <c r="Q12039">
        <v>0</v>
      </c>
      <c r="R12039" t="s">
        <v>42689</v>
      </c>
      <c r="S12039" t="s">
        <v>43461</v>
      </c>
      <c r="T12039" t="s">
        <v>44394</v>
      </c>
      <c r="U12039" t="s">
        <v>54669</v>
      </c>
      <c r="W12039" t="s">
        <v>42356</v>
      </c>
      <c r="X12039" t="s">
        <v>42690</v>
      </c>
    </row>
    <row r="12040" spans="1:24">
      <c r="A12040">
        <f>HYPERLINK("https://www.philgeps.gov.ph/GEPSNONPILOT/Tender/SplashBidNoticeAbstractUI.aspx?menuIndex=3&amp;refID=7159135&amp;Result=3","7159135")</f>
        <v>0</v>
      </c>
      <c r="B12040" t="s">
        <v>3130</v>
      </c>
      <c r="C12040" t="s">
        <v>15040</v>
      </c>
      <c r="D12040" t="s">
        <v>17171</v>
      </c>
      <c r="E12040" t="s">
        <v>27492</v>
      </c>
      <c r="F12040" t="s">
        <v>29372</v>
      </c>
      <c r="G12040" t="s">
        <v>29380</v>
      </c>
      <c r="H12040" t="s">
        <v>29389</v>
      </c>
      <c r="I12040" t="s">
        <v>10408</v>
      </c>
      <c r="J12040" t="s">
        <v>30244</v>
      </c>
      <c r="K12040" t="s">
        <v>38496</v>
      </c>
      <c r="M12040" t="s">
        <v>42174</v>
      </c>
      <c r="N12040" t="s">
        <v>42669</v>
      </c>
      <c r="O12040" t="s">
        <v>42670</v>
      </c>
      <c r="Q12040">
        <v>20</v>
      </c>
      <c r="R12040" t="s">
        <v>42689</v>
      </c>
      <c r="S12040" t="s">
        <v>43496</v>
      </c>
      <c r="T12040" t="s">
        <v>44481</v>
      </c>
      <c r="U12040" t="s">
        <v>54670</v>
      </c>
      <c r="W12040" t="s">
        <v>58123</v>
      </c>
      <c r="X12040" t="s">
        <v>42690</v>
      </c>
    </row>
    <row r="12041" spans="1:24">
      <c r="A12041">
        <f>HYPERLINK("https://www.philgeps.gov.ph/GEPSNONPILOT/Tender/SplashBidNoticeAbstractUI.aspx?menuIndex=3&amp;refID=7159155&amp;Result=3","7159155")</f>
        <v>0</v>
      </c>
      <c r="B12041" t="s">
        <v>3298</v>
      </c>
      <c r="C12041" t="s">
        <v>15041</v>
      </c>
      <c r="D12041" t="s">
        <v>17204</v>
      </c>
      <c r="E12041" t="s">
        <v>27493</v>
      </c>
      <c r="F12041" t="s">
        <v>29372</v>
      </c>
      <c r="G12041" t="s">
        <v>29380</v>
      </c>
      <c r="H12041" t="s">
        <v>29389</v>
      </c>
      <c r="I12041" t="s">
        <v>10408</v>
      </c>
      <c r="J12041" t="s">
        <v>37126</v>
      </c>
      <c r="K12041" t="s">
        <v>38496</v>
      </c>
      <c r="M12041" t="s">
        <v>42375</v>
      </c>
      <c r="N12041" t="s">
        <v>42669</v>
      </c>
      <c r="O12041" t="s">
        <v>42670</v>
      </c>
      <c r="P12041">
        <v>0</v>
      </c>
      <c r="Q12041">
        <v>2</v>
      </c>
      <c r="R12041" t="s">
        <v>42689</v>
      </c>
      <c r="S12041" t="s">
        <v>43461</v>
      </c>
      <c r="T12041" t="s">
        <v>44419</v>
      </c>
      <c r="U12041" t="s">
        <v>46525</v>
      </c>
      <c r="W12041" t="s">
        <v>42375</v>
      </c>
      <c r="X12041" t="s">
        <v>42690</v>
      </c>
    </row>
    <row r="12042" spans="1:24">
      <c r="A12042">
        <f>HYPERLINK("https://www.philgeps.gov.ph/GEPSNONPILOT/Tender/SplashBidNoticeAbstractUI.aspx?menuIndex=3&amp;refID=7159307&amp;Result=3","7159307")</f>
        <v>0</v>
      </c>
      <c r="B12042" t="s">
        <v>3140</v>
      </c>
      <c r="C12042" t="s">
        <v>15042</v>
      </c>
      <c r="D12042" t="s">
        <v>17158</v>
      </c>
      <c r="E12042" t="s">
        <v>27441</v>
      </c>
      <c r="F12042" t="s">
        <v>29372</v>
      </c>
      <c r="G12042" t="s">
        <v>29380</v>
      </c>
      <c r="H12042" t="s">
        <v>11048</v>
      </c>
      <c r="I12042" t="s">
        <v>29394</v>
      </c>
      <c r="J12042" t="s">
        <v>30308</v>
      </c>
      <c r="K12042" t="s">
        <v>38495</v>
      </c>
      <c r="M12042" t="s">
        <v>42186</v>
      </c>
      <c r="N12042" t="s">
        <v>42669</v>
      </c>
      <c r="O12042" t="s">
        <v>42670</v>
      </c>
      <c r="Q12042">
        <v>6</v>
      </c>
      <c r="R12042" t="s">
        <v>42689</v>
      </c>
      <c r="S12042" t="s">
        <v>43497</v>
      </c>
      <c r="T12042" t="s">
        <v>44470</v>
      </c>
      <c r="U12042" t="s">
        <v>54617</v>
      </c>
      <c r="W12042" t="s">
        <v>42186</v>
      </c>
      <c r="X12042" t="s">
        <v>42690</v>
      </c>
    </row>
    <row r="12043" spans="1:24">
      <c r="A12043">
        <f>HYPERLINK("https://www.philgeps.gov.ph/GEPSNONPILOT/Tender/SplashBidNoticeAbstractUI.aspx?menuIndex=3&amp;refID=7159109&amp;Result=3","7159109")</f>
        <v>0</v>
      </c>
      <c r="B12043" t="s">
        <v>3298</v>
      </c>
      <c r="C12043" t="s">
        <v>15043</v>
      </c>
      <c r="D12043" t="s">
        <v>17204</v>
      </c>
      <c r="E12043" t="s">
        <v>27494</v>
      </c>
      <c r="F12043" t="s">
        <v>29372</v>
      </c>
      <c r="G12043" t="s">
        <v>29380</v>
      </c>
      <c r="H12043" t="s">
        <v>11048</v>
      </c>
      <c r="I12043" t="s">
        <v>3952</v>
      </c>
      <c r="J12043" t="s">
        <v>29590</v>
      </c>
      <c r="K12043" t="s">
        <v>38485</v>
      </c>
      <c r="M12043" t="s">
        <v>42375</v>
      </c>
      <c r="N12043" t="s">
        <v>42669</v>
      </c>
      <c r="O12043" t="s">
        <v>42670</v>
      </c>
      <c r="P12043">
        <v>0</v>
      </c>
      <c r="Q12043">
        <v>3</v>
      </c>
      <c r="R12043" t="s">
        <v>42689</v>
      </c>
      <c r="S12043" t="s">
        <v>43461</v>
      </c>
      <c r="T12043" t="s">
        <v>44419</v>
      </c>
      <c r="U12043" t="s">
        <v>54671</v>
      </c>
      <c r="W12043" t="s">
        <v>42375</v>
      </c>
      <c r="X12043" t="s">
        <v>42690</v>
      </c>
    </row>
    <row r="12044" spans="1:24">
      <c r="A12044">
        <f>HYPERLINK("https://www.philgeps.gov.ph/GEPSNONPILOT/Tender/SplashBidNoticeAbstractUI.aspx?menuIndex=3&amp;refID=7159260&amp;Result=3","7159260")</f>
        <v>0</v>
      </c>
      <c r="B12044" t="s">
        <v>3299</v>
      </c>
      <c r="C12044" t="s">
        <v>15044</v>
      </c>
      <c r="E12044" t="s">
        <v>27495</v>
      </c>
      <c r="F12044" t="s">
        <v>29372</v>
      </c>
      <c r="G12044" t="s">
        <v>29380</v>
      </c>
      <c r="H12044" t="s">
        <v>11048</v>
      </c>
      <c r="I12044" t="s">
        <v>4487</v>
      </c>
      <c r="J12044" t="s">
        <v>37127</v>
      </c>
      <c r="K12044" t="s">
        <v>38490</v>
      </c>
      <c r="M12044" t="s">
        <v>42376</v>
      </c>
      <c r="N12044" t="s">
        <v>42669</v>
      </c>
      <c r="O12044" t="s">
        <v>42670</v>
      </c>
      <c r="P12044">
        <v>0</v>
      </c>
      <c r="Q12044">
        <v>3</v>
      </c>
      <c r="R12044" t="s">
        <v>42689</v>
      </c>
      <c r="S12044" t="s">
        <v>43461</v>
      </c>
      <c r="T12044" t="s">
        <v>44378</v>
      </c>
      <c r="U12044" t="s">
        <v>54672</v>
      </c>
      <c r="V12044" t="s">
        <v>57732</v>
      </c>
      <c r="W12044" t="s">
        <v>42376</v>
      </c>
      <c r="X12044" t="s">
        <v>42690</v>
      </c>
    </row>
    <row r="12045" spans="1:24">
      <c r="A12045">
        <f>HYPERLINK("https://www.philgeps.gov.ph/GEPSNONPILOT/Tender/SplashBidNoticeAbstractUI.aspx?menuIndex=3&amp;refID=7159108&amp;Result=3","7159108")</f>
        <v>0</v>
      </c>
      <c r="B12045" t="s">
        <v>3140</v>
      </c>
      <c r="C12045" t="s">
        <v>15045</v>
      </c>
      <c r="D12045" t="s">
        <v>17158</v>
      </c>
      <c r="E12045" t="s">
        <v>27496</v>
      </c>
      <c r="F12045" t="s">
        <v>29372</v>
      </c>
      <c r="G12045" t="s">
        <v>29380</v>
      </c>
      <c r="H12045" t="s">
        <v>11048</v>
      </c>
      <c r="I12045" t="s">
        <v>29404</v>
      </c>
      <c r="J12045" t="s">
        <v>37128</v>
      </c>
      <c r="K12045" t="s">
        <v>38495</v>
      </c>
      <c r="M12045" t="s">
        <v>42186</v>
      </c>
      <c r="N12045" t="s">
        <v>42669</v>
      </c>
      <c r="O12045" t="s">
        <v>42670</v>
      </c>
      <c r="Q12045">
        <v>1</v>
      </c>
      <c r="R12045" t="s">
        <v>42689</v>
      </c>
      <c r="S12045" t="s">
        <v>43498</v>
      </c>
      <c r="T12045" t="s">
        <v>44470</v>
      </c>
      <c r="U12045" t="s">
        <v>54673</v>
      </c>
      <c r="W12045" t="s">
        <v>42186</v>
      </c>
      <c r="X12045" t="s">
        <v>42690</v>
      </c>
    </row>
    <row r="12046" spans="1:24">
      <c r="A12046">
        <f>HYPERLINK("https://www.philgeps.gov.ph/GEPSNONPILOT/Tender/SplashBidNoticeAbstractUI.aspx?menuIndex=3&amp;refID=7158764&amp;Result=3","7158764")</f>
        <v>0</v>
      </c>
      <c r="B12046" t="s">
        <v>3284</v>
      </c>
      <c r="C12046" t="s">
        <v>15046</v>
      </c>
      <c r="D12046" t="s">
        <v>17183</v>
      </c>
      <c r="E12046" t="s">
        <v>22330</v>
      </c>
      <c r="F12046" t="s">
        <v>29372</v>
      </c>
      <c r="G12046" t="s">
        <v>29380</v>
      </c>
      <c r="H12046" t="s">
        <v>11048</v>
      </c>
      <c r="I12046" t="s">
        <v>3860</v>
      </c>
      <c r="J12046" t="s">
        <v>33574</v>
      </c>
      <c r="K12046" t="s">
        <v>38491</v>
      </c>
      <c r="M12046" t="s">
        <v>42358</v>
      </c>
      <c r="N12046" t="s">
        <v>42669</v>
      </c>
      <c r="O12046" t="s">
        <v>42670</v>
      </c>
      <c r="P12046">
        <v>0</v>
      </c>
      <c r="Q12046">
        <v>2</v>
      </c>
      <c r="R12046" t="s">
        <v>42689</v>
      </c>
      <c r="S12046" t="s">
        <v>43461</v>
      </c>
      <c r="T12046" t="s">
        <v>44496</v>
      </c>
      <c r="U12046" t="s">
        <v>54674</v>
      </c>
      <c r="V12046" t="s">
        <v>57722</v>
      </c>
      <c r="W12046" t="s">
        <v>42358</v>
      </c>
      <c r="X12046" t="s">
        <v>42690</v>
      </c>
    </row>
    <row r="12047" spans="1:24">
      <c r="A12047">
        <f>HYPERLINK("https://www.philgeps.gov.ph/GEPSNONPILOT/Tender/SplashBidNoticeAbstractUI.aspx?menuIndex=3&amp;refID=7159143&amp;Result=3","7159143")</f>
        <v>0</v>
      </c>
      <c r="B12047" t="s">
        <v>3140</v>
      </c>
      <c r="C12047" t="s">
        <v>15047</v>
      </c>
      <c r="D12047" t="s">
        <v>17158</v>
      </c>
      <c r="E12047" t="s">
        <v>27496</v>
      </c>
      <c r="F12047" t="s">
        <v>29372</v>
      </c>
      <c r="G12047" t="s">
        <v>29380</v>
      </c>
      <c r="H12047" t="s">
        <v>11048</v>
      </c>
      <c r="I12047" t="s">
        <v>8794</v>
      </c>
      <c r="J12047" t="s">
        <v>37129</v>
      </c>
      <c r="K12047" t="s">
        <v>38495</v>
      </c>
      <c r="M12047" t="s">
        <v>42186</v>
      </c>
      <c r="N12047" t="s">
        <v>42669</v>
      </c>
      <c r="O12047" t="s">
        <v>42670</v>
      </c>
      <c r="Q12047">
        <v>3</v>
      </c>
      <c r="R12047" t="s">
        <v>42689</v>
      </c>
      <c r="S12047" t="s">
        <v>43499</v>
      </c>
      <c r="T12047" t="s">
        <v>44470</v>
      </c>
      <c r="U12047" t="s">
        <v>54673</v>
      </c>
      <c r="W12047" t="s">
        <v>42186</v>
      </c>
      <c r="X12047" t="s">
        <v>42690</v>
      </c>
    </row>
    <row r="12048" spans="1:24">
      <c r="A12048">
        <f>HYPERLINK("https://www.philgeps.gov.ph/GEPSNONPILOT/Tender/SplashBidNoticeAbstractUI.aspx?menuIndex=3&amp;refID=7158754&amp;Result=3","7158754")</f>
        <v>0</v>
      </c>
      <c r="B12048" t="s">
        <v>2656</v>
      </c>
      <c r="C12048" t="s">
        <v>15048</v>
      </c>
      <c r="D12048" t="s">
        <v>17147</v>
      </c>
      <c r="E12048" t="s">
        <v>27497</v>
      </c>
      <c r="F12048" t="s">
        <v>29372</v>
      </c>
      <c r="G12048" t="s">
        <v>29380</v>
      </c>
      <c r="H12048" t="s">
        <v>29389</v>
      </c>
      <c r="I12048" t="s">
        <v>10408</v>
      </c>
      <c r="J12048" t="s">
        <v>33632</v>
      </c>
      <c r="K12048" t="s">
        <v>38502</v>
      </c>
      <c r="M12048" t="s">
        <v>41632</v>
      </c>
      <c r="N12048" t="s">
        <v>42669</v>
      </c>
      <c r="O12048" t="s">
        <v>42670</v>
      </c>
      <c r="P12048">
        <v>0</v>
      </c>
      <c r="Q12048">
        <v>0</v>
      </c>
      <c r="R12048" t="s">
        <v>42689</v>
      </c>
      <c r="S12048" t="s">
        <v>43461</v>
      </c>
      <c r="T12048" t="s">
        <v>44401</v>
      </c>
      <c r="U12048" t="s">
        <v>54675</v>
      </c>
      <c r="W12048" t="s">
        <v>41632</v>
      </c>
      <c r="X12048" t="s">
        <v>42690</v>
      </c>
    </row>
    <row r="12049" spans="1:24">
      <c r="A12049">
        <f>HYPERLINK("https://www.philgeps.gov.ph/GEPSNONPILOT/Tender/SplashBidNoticeAbstractUI.aspx?menuIndex=3&amp;refID=7159118&amp;Result=3","7159118")</f>
        <v>0</v>
      </c>
      <c r="B12049" t="s">
        <v>3280</v>
      </c>
      <c r="C12049" t="s">
        <v>15049</v>
      </c>
      <c r="D12049" t="s">
        <v>17146</v>
      </c>
      <c r="E12049" t="s">
        <v>27498</v>
      </c>
      <c r="F12049" t="s">
        <v>29372</v>
      </c>
      <c r="G12049" t="s">
        <v>29380</v>
      </c>
      <c r="H12049" t="s">
        <v>29389</v>
      </c>
      <c r="I12049" t="s">
        <v>10408</v>
      </c>
      <c r="J12049" t="s">
        <v>37130</v>
      </c>
      <c r="K12049" t="s">
        <v>38564</v>
      </c>
      <c r="M12049" t="s">
        <v>42353</v>
      </c>
      <c r="N12049" t="s">
        <v>42669</v>
      </c>
      <c r="O12049" t="s">
        <v>42670</v>
      </c>
      <c r="P12049">
        <v>0</v>
      </c>
      <c r="Q12049">
        <v>4</v>
      </c>
      <c r="R12049" t="s">
        <v>42689</v>
      </c>
      <c r="S12049" t="s">
        <v>43461</v>
      </c>
      <c r="T12049" t="s">
        <v>44481</v>
      </c>
      <c r="U12049" t="s">
        <v>54676</v>
      </c>
      <c r="V12049" t="s">
        <v>56791</v>
      </c>
      <c r="W12049" t="s">
        <v>42353</v>
      </c>
      <c r="X12049" t="s">
        <v>42690</v>
      </c>
    </row>
    <row r="12050" spans="1:24">
      <c r="A12050">
        <f>HYPERLINK("https://www.philgeps.gov.ph/GEPSNONPILOT/Tender/SplashBidNoticeAbstractUI.aspx?menuIndex=3&amp;refID=7164123&amp;Result=3","7164123")</f>
        <v>0</v>
      </c>
      <c r="B12050" t="s">
        <v>1091</v>
      </c>
      <c r="C12050" t="s">
        <v>15050</v>
      </c>
      <c r="D12050" t="s">
        <v>17141</v>
      </c>
      <c r="E12050" t="s">
        <v>27499</v>
      </c>
      <c r="F12050" t="s">
        <v>29372</v>
      </c>
      <c r="G12050" t="s">
        <v>29380</v>
      </c>
      <c r="H12050" t="s">
        <v>11048</v>
      </c>
      <c r="I12050" t="s">
        <v>29433</v>
      </c>
      <c r="J12050" t="s">
        <v>29543</v>
      </c>
      <c r="K12050" t="s">
        <v>38490</v>
      </c>
      <c r="M12050" t="s">
        <v>42377</v>
      </c>
      <c r="N12050" t="s">
        <v>42669</v>
      </c>
      <c r="O12050" t="s">
        <v>42670</v>
      </c>
      <c r="P12050">
        <v>0</v>
      </c>
      <c r="Q12050">
        <v>16</v>
      </c>
      <c r="R12050" t="s">
        <v>42688</v>
      </c>
      <c r="S12050" t="s">
        <v>43441</v>
      </c>
      <c r="T12050" t="s">
        <v>44410</v>
      </c>
      <c r="U12050" t="s">
        <v>54677</v>
      </c>
      <c r="W12050" t="s">
        <v>42377</v>
      </c>
      <c r="X12050" t="s">
        <v>42689</v>
      </c>
    </row>
    <row r="12051" spans="1:24">
      <c r="A12051">
        <f>HYPERLINK("https://www.philgeps.gov.ph/GEPSNONPILOT/Tender/SplashBidNoticeAbstractUI.aspx?menuIndex=3&amp;refID=7164117&amp;Result=3","7164117")</f>
        <v>0</v>
      </c>
      <c r="B12051" t="s">
        <v>3300</v>
      </c>
      <c r="C12051" t="s">
        <v>15051</v>
      </c>
      <c r="D12051" t="s">
        <v>17141</v>
      </c>
      <c r="E12051" t="s">
        <v>27500</v>
      </c>
      <c r="F12051" t="s">
        <v>29372</v>
      </c>
      <c r="G12051" t="s">
        <v>29380</v>
      </c>
      <c r="H12051" t="s">
        <v>11048</v>
      </c>
      <c r="I12051" t="s">
        <v>29515</v>
      </c>
      <c r="J12051" t="s">
        <v>37131</v>
      </c>
      <c r="K12051" t="s">
        <v>38485</v>
      </c>
      <c r="M12051" t="s">
        <v>42378</v>
      </c>
      <c r="N12051" t="s">
        <v>42669</v>
      </c>
      <c r="O12051" t="s">
        <v>42670</v>
      </c>
      <c r="P12051">
        <v>0</v>
      </c>
      <c r="Q12051">
        <v>5</v>
      </c>
      <c r="R12051" t="s">
        <v>42688</v>
      </c>
      <c r="S12051" t="s">
        <v>43441</v>
      </c>
      <c r="T12051" t="s">
        <v>44391</v>
      </c>
      <c r="U12051" t="s">
        <v>54678</v>
      </c>
      <c r="W12051" t="s">
        <v>42378</v>
      </c>
      <c r="X12051" t="s">
        <v>42689</v>
      </c>
    </row>
    <row r="12052" spans="1:24">
      <c r="A12052">
        <f>HYPERLINK("https://www.philgeps.gov.ph/GEPSNONPILOT/Tender/SplashBidNoticeAbstractUI.aspx?menuIndex=3&amp;refID=7162994&amp;Result=3","7162994")</f>
        <v>0</v>
      </c>
      <c r="B12052" t="s">
        <v>2489</v>
      </c>
      <c r="C12052" t="s">
        <v>15052</v>
      </c>
      <c r="D12052" t="s">
        <v>17203</v>
      </c>
      <c r="E12052" t="s">
        <v>27501</v>
      </c>
      <c r="F12052" t="s">
        <v>29372</v>
      </c>
      <c r="G12052" t="s">
        <v>29380</v>
      </c>
      <c r="H12052" t="s">
        <v>11048</v>
      </c>
      <c r="I12052" t="s">
        <v>4709</v>
      </c>
      <c r="J12052" t="s">
        <v>37132</v>
      </c>
      <c r="K12052" t="s">
        <v>38488</v>
      </c>
      <c r="M12052" t="s">
        <v>41440</v>
      </c>
      <c r="N12052" t="s">
        <v>42669</v>
      </c>
      <c r="O12052" t="s">
        <v>42670</v>
      </c>
      <c r="P12052">
        <v>0</v>
      </c>
      <c r="Q12052">
        <v>1</v>
      </c>
      <c r="R12052" t="s">
        <v>42688</v>
      </c>
      <c r="S12052" t="s">
        <v>43441</v>
      </c>
      <c r="T12052" t="s">
        <v>44448</v>
      </c>
      <c r="U12052" t="s">
        <v>54679</v>
      </c>
      <c r="V12052" t="s">
        <v>57222</v>
      </c>
      <c r="W12052" t="s">
        <v>41440</v>
      </c>
      <c r="X12052" t="s">
        <v>42689</v>
      </c>
    </row>
    <row r="12053" spans="1:24">
      <c r="A12053">
        <f>HYPERLINK("https://www.philgeps.gov.ph/GEPSNONPILOT/Tender/SplashBidNoticeAbstractUI.aspx?menuIndex=3&amp;refID=7158767&amp;Result=3","7158767")</f>
        <v>0</v>
      </c>
      <c r="B12053" t="s">
        <v>1111</v>
      </c>
      <c r="C12053" t="s">
        <v>15053</v>
      </c>
      <c r="D12053" t="s">
        <v>17177</v>
      </c>
      <c r="E12053" t="s">
        <v>27502</v>
      </c>
      <c r="F12053" t="s">
        <v>29372</v>
      </c>
      <c r="G12053" t="s">
        <v>29380</v>
      </c>
      <c r="H12053" t="s">
        <v>11048</v>
      </c>
      <c r="I12053" t="s">
        <v>8794</v>
      </c>
      <c r="J12053" t="s">
        <v>37133</v>
      </c>
      <c r="K12053" t="s">
        <v>38485</v>
      </c>
      <c r="M12053" t="s">
        <v>39920</v>
      </c>
      <c r="N12053" t="s">
        <v>42669</v>
      </c>
      <c r="O12053" t="s">
        <v>42670</v>
      </c>
      <c r="P12053">
        <v>0</v>
      </c>
      <c r="Q12053">
        <v>2</v>
      </c>
      <c r="R12053" t="s">
        <v>42689</v>
      </c>
      <c r="S12053" t="s">
        <v>43461</v>
      </c>
      <c r="T12053" t="s">
        <v>44387</v>
      </c>
      <c r="U12053" t="s">
        <v>54680</v>
      </c>
      <c r="W12053" t="s">
        <v>39920</v>
      </c>
      <c r="X12053" t="s">
        <v>42690</v>
      </c>
    </row>
    <row r="12054" spans="1:24">
      <c r="A12054">
        <f>HYPERLINK("https://www.philgeps.gov.ph/GEPSNONPILOT/Tender/SplashBidNoticeAbstractUI.aspx?menuIndex=3&amp;refID=7162937&amp;Result=3","7162937")</f>
        <v>0</v>
      </c>
      <c r="B12054" t="s">
        <v>495</v>
      </c>
      <c r="C12054" t="s">
        <v>15054</v>
      </c>
      <c r="D12054" t="s">
        <v>17181</v>
      </c>
      <c r="E12054" t="s">
        <v>27503</v>
      </c>
      <c r="F12054" t="s">
        <v>29372</v>
      </c>
      <c r="G12054" t="s">
        <v>29380</v>
      </c>
      <c r="H12054" t="s">
        <v>11048</v>
      </c>
      <c r="I12054" t="s">
        <v>5383</v>
      </c>
      <c r="J12054" t="s">
        <v>37134</v>
      </c>
      <c r="K12054" t="s">
        <v>38488</v>
      </c>
      <c r="M12054" t="s">
        <v>39260</v>
      </c>
      <c r="N12054" t="s">
        <v>42669</v>
      </c>
      <c r="O12054" t="s">
        <v>42670</v>
      </c>
      <c r="P12054">
        <v>0</v>
      </c>
      <c r="Q12054">
        <v>3</v>
      </c>
      <c r="R12054" t="s">
        <v>42688</v>
      </c>
      <c r="S12054" t="s">
        <v>43441</v>
      </c>
      <c r="T12054" t="s">
        <v>44412</v>
      </c>
      <c r="U12054" t="s">
        <v>54681</v>
      </c>
      <c r="W12054" t="s">
        <v>39260</v>
      </c>
      <c r="X12054" t="s">
        <v>42689</v>
      </c>
    </row>
    <row r="12055" spans="1:24">
      <c r="A12055">
        <f>HYPERLINK("https://www.philgeps.gov.ph/GEPSNONPILOT/Tender/SplashBidNoticeAbstractUI.aspx?menuIndex=3&amp;refID=7158765&amp;Result=3","7158765")</f>
        <v>0</v>
      </c>
      <c r="B12055" t="s">
        <v>3280</v>
      </c>
      <c r="C12055" t="s">
        <v>15055</v>
      </c>
      <c r="D12055" t="s">
        <v>17146</v>
      </c>
      <c r="E12055" t="s">
        <v>27504</v>
      </c>
      <c r="F12055" t="s">
        <v>29372</v>
      </c>
      <c r="G12055" t="s">
        <v>29380</v>
      </c>
      <c r="H12055" t="s">
        <v>29389</v>
      </c>
      <c r="I12055" t="s">
        <v>10408</v>
      </c>
      <c r="J12055" t="s">
        <v>37135</v>
      </c>
      <c r="K12055" t="s">
        <v>38495</v>
      </c>
      <c r="M12055" t="s">
        <v>42353</v>
      </c>
      <c r="N12055" t="s">
        <v>42669</v>
      </c>
      <c r="O12055" t="s">
        <v>42670</v>
      </c>
      <c r="P12055">
        <v>0</v>
      </c>
      <c r="Q12055">
        <v>1</v>
      </c>
      <c r="R12055" t="s">
        <v>42689</v>
      </c>
      <c r="S12055" t="s">
        <v>43461</v>
      </c>
      <c r="T12055" t="s">
        <v>44481</v>
      </c>
      <c r="U12055" t="s">
        <v>54682</v>
      </c>
      <c r="V12055" t="s">
        <v>56791</v>
      </c>
      <c r="W12055" t="s">
        <v>42353</v>
      </c>
      <c r="X12055" t="s">
        <v>42690</v>
      </c>
    </row>
    <row r="12056" spans="1:24">
      <c r="A12056">
        <f>HYPERLINK("https://www.philgeps.gov.ph/GEPSNONPILOT/Tender/SplashBidNoticeAbstractUI.aspx?menuIndex=3&amp;refID=7162719&amp;Result=3","7162719")</f>
        <v>0</v>
      </c>
      <c r="B12056" t="s">
        <v>2203</v>
      </c>
      <c r="C12056" t="s">
        <v>15056</v>
      </c>
      <c r="D12056" t="s">
        <v>17204</v>
      </c>
      <c r="E12056" t="s">
        <v>27505</v>
      </c>
      <c r="F12056" t="s">
        <v>29372</v>
      </c>
      <c r="G12056" t="s">
        <v>29379</v>
      </c>
      <c r="H12056" t="s">
        <v>29390</v>
      </c>
      <c r="I12056" t="s">
        <v>29396</v>
      </c>
      <c r="J12056" t="s">
        <v>29555</v>
      </c>
      <c r="K12056" t="s">
        <v>38485</v>
      </c>
      <c r="M12056" t="s">
        <v>41118</v>
      </c>
      <c r="N12056" t="s">
        <v>42669</v>
      </c>
      <c r="O12056" t="s">
        <v>42670</v>
      </c>
      <c r="Q12056">
        <v>11</v>
      </c>
      <c r="R12056" t="s">
        <v>42688</v>
      </c>
      <c r="S12056" t="s">
        <v>43500</v>
      </c>
      <c r="T12056" t="s">
        <v>44470</v>
      </c>
      <c r="U12056" t="s">
        <v>54683</v>
      </c>
      <c r="W12056" t="s">
        <v>41118</v>
      </c>
      <c r="X12056" t="s">
        <v>42689</v>
      </c>
    </row>
    <row r="12057" spans="1:24">
      <c r="A12057">
        <f>HYPERLINK("https://www.philgeps.gov.ph/GEPSNONPILOT/Tender/SplashBidNoticeAbstractUI.aspx?menuIndex=3&amp;refID=7159103&amp;Result=3","7159103")</f>
        <v>0</v>
      </c>
      <c r="B12057" t="s">
        <v>3130</v>
      </c>
      <c r="C12057" t="s">
        <v>15057</v>
      </c>
      <c r="D12057" t="s">
        <v>17190</v>
      </c>
      <c r="E12057" t="s">
        <v>27506</v>
      </c>
      <c r="F12057" t="s">
        <v>29372</v>
      </c>
      <c r="G12057" t="s">
        <v>29380</v>
      </c>
      <c r="H12057" t="s">
        <v>29389</v>
      </c>
      <c r="I12057" t="s">
        <v>10408</v>
      </c>
      <c r="J12057" t="s">
        <v>37136</v>
      </c>
      <c r="K12057" t="s">
        <v>38523</v>
      </c>
      <c r="M12057" t="s">
        <v>42174</v>
      </c>
      <c r="N12057" t="s">
        <v>42669</v>
      </c>
      <c r="O12057" t="s">
        <v>42670</v>
      </c>
      <c r="Q12057">
        <v>21</v>
      </c>
      <c r="R12057" t="s">
        <v>42689</v>
      </c>
      <c r="S12057" t="s">
        <v>43501</v>
      </c>
      <c r="T12057" t="s">
        <v>44481</v>
      </c>
      <c r="U12057" t="s">
        <v>54684</v>
      </c>
      <c r="W12057" t="s">
        <v>58123</v>
      </c>
      <c r="X12057" t="s">
        <v>42690</v>
      </c>
    </row>
    <row r="12058" spans="1:24">
      <c r="A12058">
        <f>HYPERLINK("https://www.philgeps.gov.ph/GEPSNONPILOT/Tender/SplashBidNoticeAbstractUI.aspx?menuIndex=3&amp;refID=7159235&amp;Result=3","7159235")</f>
        <v>0</v>
      </c>
      <c r="B12058" t="s">
        <v>3298</v>
      </c>
      <c r="C12058" t="s">
        <v>15058</v>
      </c>
      <c r="D12058" t="s">
        <v>17204</v>
      </c>
      <c r="E12058" t="s">
        <v>27507</v>
      </c>
      <c r="F12058" t="s">
        <v>29372</v>
      </c>
      <c r="G12058" t="s">
        <v>29380</v>
      </c>
      <c r="H12058" t="s">
        <v>11048</v>
      </c>
      <c r="I12058" t="s">
        <v>29469</v>
      </c>
      <c r="J12058" t="s">
        <v>29590</v>
      </c>
      <c r="K12058" t="s">
        <v>38485</v>
      </c>
      <c r="M12058" t="s">
        <v>42375</v>
      </c>
      <c r="N12058" t="s">
        <v>42669</v>
      </c>
      <c r="O12058" t="s">
        <v>42670</v>
      </c>
      <c r="Q12058">
        <v>4</v>
      </c>
      <c r="R12058" t="s">
        <v>42689</v>
      </c>
      <c r="S12058" t="s">
        <v>43502</v>
      </c>
      <c r="T12058" t="s">
        <v>44419</v>
      </c>
      <c r="U12058" t="s">
        <v>54685</v>
      </c>
      <c r="W12058" t="s">
        <v>42375</v>
      </c>
      <c r="X12058" t="s">
        <v>42690</v>
      </c>
    </row>
    <row r="12059" spans="1:24">
      <c r="A12059">
        <f>HYPERLINK("https://www.philgeps.gov.ph/GEPSNONPILOT/Tender/SplashBidNoticeAbstractUI.aspx?menuIndex=3&amp;refID=7162716&amp;Result=3","7162716")</f>
        <v>0</v>
      </c>
      <c r="B12059" t="s">
        <v>967</v>
      </c>
      <c r="C12059" t="s">
        <v>15059</v>
      </c>
      <c r="D12059" t="s">
        <v>17141</v>
      </c>
      <c r="E12059" t="s">
        <v>27508</v>
      </c>
      <c r="F12059" t="s">
        <v>29372</v>
      </c>
      <c r="G12059" t="s">
        <v>29380</v>
      </c>
      <c r="H12059" t="s">
        <v>11048</v>
      </c>
      <c r="I12059" t="s">
        <v>29396</v>
      </c>
      <c r="J12059" t="s">
        <v>30117</v>
      </c>
      <c r="K12059" t="s">
        <v>38533</v>
      </c>
      <c r="M12059" t="s">
        <v>39763</v>
      </c>
      <c r="N12059" t="s">
        <v>42669</v>
      </c>
      <c r="O12059" t="s">
        <v>42670</v>
      </c>
      <c r="Q12059">
        <v>6</v>
      </c>
      <c r="R12059" t="s">
        <v>42688</v>
      </c>
      <c r="S12059" t="s">
        <v>43205</v>
      </c>
      <c r="T12059" t="s">
        <v>44375</v>
      </c>
      <c r="U12059" t="s">
        <v>46842</v>
      </c>
      <c r="W12059" t="s">
        <v>39763</v>
      </c>
      <c r="X12059" t="s">
        <v>42689</v>
      </c>
    </row>
    <row r="12060" spans="1:24">
      <c r="A12060">
        <f>HYPERLINK("https://www.philgeps.gov.ph/GEPSNONPILOT/Tender/SplashBidNoticeAbstractUI.aspx?menuIndex=3&amp;refID=7162982&amp;Result=3","7162982")</f>
        <v>0</v>
      </c>
      <c r="B12060" t="s">
        <v>2803</v>
      </c>
      <c r="C12060" t="s">
        <v>15060</v>
      </c>
      <c r="D12060" t="s">
        <v>17197</v>
      </c>
      <c r="E12060" t="s">
        <v>27509</v>
      </c>
      <c r="F12060" t="s">
        <v>29372</v>
      </c>
      <c r="G12060" t="s">
        <v>29380</v>
      </c>
      <c r="H12060" t="s">
        <v>29389</v>
      </c>
      <c r="I12060" t="s">
        <v>10408</v>
      </c>
      <c r="J12060" t="s">
        <v>30056</v>
      </c>
      <c r="K12060" t="s">
        <v>38522</v>
      </c>
      <c r="M12060" t="s">
        <v>41792</v>
      </c>
      <c r="N12060" t="s">
        <v>42669</v>
      </c>
      <c r="O12060" t="s">
        <v>42670</v>
      </c>
      <c r="P12060">
        <v>0</v>
      </c>
      <c r="Q12060">
        <v>0</v>
      </c>
      <c r="R12060" t="s">
        <v>42688</v>
      </c>
      <c r="S12060" t="s">
        <v>43441</v>
      </c>
      <c r="T12060" t="s">
        <v>44631</v>
      </c>
      <c r="U12060" t="s">
        <v>54426</v>
      </c>
      <c r="V12060" t="s">
        <v>57733</v>
      </c>
      <c r="W12060" t="s">
        <v>41792</v>
      </c>
      <c r="X12060" t="s">
        <v>42689</v>
      </c>
    </row>
    <row r="12061" spans="1:24">
      <c r="A12061">
        <f>HYPERLINK("https://www.philgeps.gov.ph/GEPSNONPILOT/Tender/SplashBidNoticeAbstractUI.aspx?menuIndex=3&amp;refID=7162715&amp;Result=3","7162715")</f>
        <v>0</v>
      </c>
      <c r="B12061" t="s">
        <v>2740</v>
      </c>
      <c r="C12061" t="s">
        <v>15061</v>
      </c>
      <c r="D12061" t="s">
        <v>17176</v>
      </c>
      <c r="E12061" t="s">
        <v>27510</v>
      </c>
      <c r="F12061" t="s">
        <v>29372</v>
      </c>
      <c r="G12061" t="s">
        <v>29380</v>
      </c>
      <c r="H12061" t="s">
        <v>11048</v>
      </c>
      <c r="I12061" t="s">
        <v>4486</v>
      </c>
      <c r="J12061" t="s">
        <v>37137</v>
      </c>
      <c r="K12061" t="s">
        <v>38495</v>
      </c>
      <c r="M12061" t="s">
        <v>41723</v>
      </c>
      <c r="N12061" t="s">
        <v>42669</v>
      </c>
      <c r="O12061" t="s">
        <v>42670</v>
      </c>
      <c r="Q12061">
        <v>7</v>
      </c>
      <c r="R12061" t="s">
        <v>42688</v>
      </c>
      <c r="S12061" t="s">
        <v>43503</v>
      </c>
      <c r="T12061" t="s">
        <v>44401</v>
      </c>
      <c r="U12061" t="s">
        <v>54686</v>
      </c>
      <c r="W12061" t="s">
        <v>41723</v>
      </c>
      <c r="X12061" t="s">
        <v>42689</v>
      </c>
    </row>
    <row r="12062" spans="1:24">
      <c r="A12062">
        <f>HYPERLINK("https://www.philgeps.gov.ph/GEPSNONPILOT/Tender/SplashBidNoticeAbstractUI.aspx?menuIndex=3&amp;refID=7162388&amp;Result=3","7162388")</f>
        <v>0</v>
      </c>
      <c r="B12062" t="s">
        <v>375</v>
      </c>
      <c r="C12062" t="s">
        <v>15062</v>
      </c>
      <c r="D12062" t="s">
        <v>17141</v>
      </c>
      <c r="E12062" t="s">
        <v>27511</v>
      </c>
      <c r="F12062" t="s">
        <v>29372</v>
      </c>
      <c r="G12062" t="s">
        <v>29380</v>
      </c>
      <c r="H12062" t="s">
        <v>29389</v>
      </c>
      <c r="I12062" t="s">
        <v>10408</v>
      </c>
      <c r="J12062" t="s">
        <v>37138</v>
      </c>
      <c r="K12062" t="s">
        <v>38533</v>
      </c>
      <c r="M12062" t="s">
        <v>39136</v>
      </c>
      <c r="N12062" t="s">
        <v>42669</v>
      </c>
      <c r="O12062" t="s">
        <v>42670</v>
      </c>
      <c r="P12062">
        <v>0</v>
      </c>
      <c r="Q12062">
        <v>13</v>
      </c>
      <c r="R12062" t="s">
        <v>42688</v>
      </c>
      <c r="S12062" t="s">
        <v>43441</v>
      </c>
      <c r="T12062" t="s">
        <v>44401</v>
      </c>
      <c r="U12062" t="s">
        <v>45288</v>
      </c>
      <c r="W12062" t="s">
        <v>58011</v>
      </c>
      <c r="X12062" t="s">
        <v>42689</v>
      </c>
    </row>
    <row r="12063" spans="1:24">
      <c r="A12063">
        <f>HYPERLINK("https://www.philgeps.gov.ph/GEPSNONPILOT/Tender/SplashBidNoticeAbstractUI.aspx?menuIndex=3&amp;refID=7162065&amp;Result=3","7162065")</f>
        <v>0</v>
      </c>
      <c r="B12063" t="s">
        <v>3301</v>
      </c>
      <c r="C12063" t="s">
        <v>15063</v>
      </c>
      <c r="D12063" t="s">
        <v>17153</v>
      </c>
      <c r="E12063" t="s">
        <v>27512</v>
      </c>
      <c r="F12063" t="s">
        <v>29372</v>
      </c>
      <c r="G12063" t="s">
        <v>29380</v>
      </c>
      <c r="H12063" t="s">
        <v>29389</v>
      </c>
      <c r="I12063" t="s">
        <v>10408</v>
      </c>
      <c r="J12063" t="s">
        <v>37139</v>
      </c>
      <c r="K12063" t="s">
        <v>38495</v>
      </c>
      <c r="M12063" t="s">
        <v>42379</v>
      </c>
      <c r="N12063" t="s">
        <v>42669</v>
      </c>
      <c r="O12063" t="s">
        <v>42670</v>
      </c>
      <c r="P12063">
        <v>0</v>
      </c>
      <c r="Q12063">
        <v>9</v>
      </c>
      <c r="R12063" t="s">
        <v>42688</v>
      </c>
      <c r="S12063" t="s">
        <v>43441</v>
      </c>
      <c r="T12063" t="s">
        <v>44452</v>
      </c>
      <c r="U12063" t="s">
        <v>54687</v>
      </c>
      <c r="W12063" t="s">
        <v>42379</v>
      </c>
      <c r="X12063" t="s">
        <v>42689</v>
      </c>
    </row>
    <row r="12064" spans="1:24">
      <c r="A12064">
        <f>HYPERLINK("https://www.philgeps.gov.ph/GEPSNONPILOT/Tender/SplashBidNoticeAbstractUI.aspx?menuIndex=3&amp;refID=7162724&amp;Result=3","7162724")</f>
        <v>0</v>
      </c>
      <c r="B12064" t="s">
        <v>2711</v>
      </c>
      <c r="C12064" t="s">
        <v>15064</v>
      </c>
      <c r="D12064" t="s">
        <v>17141</v>
      </c>
      <c r="E12064" t="s">
        <v>27513</v>
      </c>
      <c r="F12064" t="s">
        <v>29372</v>
      </c>
      <c r="G12064" t="s">
        <v>29380</v>
      </c>
      <c r="H12064" t="s">
        <v>29389</v>
      </c>
      <c r="I12064" t="s">
        <v>10408</v>
      </c>
      <c r="J12064" t="s">
        <v>37140</v>
      </c>
      <c r="K12064" t="s">
        <v>38526</v>
      </c>
      <c r="M12064" t="s">
        <v>42380</v>
      </c>
      <c r="N12064" t="s">
        <v>42669</v>
      </c>
      <c r="O12064" t="s">
        <v>42670</v>
      </c>
      <c r="Q12064">
        <v>32</v>
      </c>
      <c r="R12064" t="s">
        <v>42688</v>
      </c>
      <c r="S12064" t="s">
        <v>43504</v>
      </c>
      <c r="T12064" t="s">
        <v>44371</v>
      </c>
      <c r="U12064" t="s">
        <v>54688</v>
      </c>
      <c r="W12064" t="s">
        <v>42380</v>
      </c>
      <c r="X12064" t="s">
        <v>42689</v>
      </c>
    </row>
    <row r="12065" spans="1:24">
      <c r="A12065">
        <f>HYPERLINK("https://www.philgeps.gov.ph/GEPSNONPILOT/Tender/SplashBidNoticeAbstractUI.aspx?menuIndex=3&amp;refID=7162707&amp;Result=3","7162707")</f>
        <v>0</v>
      </c>
      <c r="B12065" t="s">
        <v>3016</v>
      </c>
      <c r="C12065" t="s">
        <v>15065</v>
      </c>
      <c r="D12065" t="s">
        <v>17141</v>
      </c>
      <c r="E12065" t="s">
        <v>27514</v>
      </c>
      <c r="F12065" t="s">
        <v>29372</v>
      </c>
      <c r="G12065" t="s">
        <v>29380</v>
      </c>
      <c r="H12065" t="s">
        <v>11048</v>
      </c>
      <c r="I12065" t="s">
        <v>29433</v>
      </c>
      <c r="J12065" t="s">
        <v>37141</v>
      </c>
      <c r="K12065" t="s">
        <v>38490</v>
      </c>
      <c r="M12065" t="s">
        <v>42381</v>
      </c>
      <c r="N12065" t="s">
        <v>42669</v>
      </c>
      <c r="O12065" t="s">
        <v>42670</v>
      </c>
      <c r="P12065">
        <v>0</v>
      </c>
      <c r="Q12065">
        <v>8</v>
      </c>
      <c r="R12065" t="s">
        <v>42688</v>
      </c>
      <c r="S12065" t="s">
        <v>43441</v>
      </c>
      <c r="T12065" t="s">
        <v>44831</v>
      </c>
      <c r="U12065" t="s">
        <v>54689</v>
      </c>
      <c r="W12065" t="s">
        <v>42381</v>
      </c>
      <c r="X12065" t="s">
        <v>42689</v>
      </c>
    </row>
    <row r="12066" spans="1:24">
      <c r="A12066">
        <f>HYPERLINK("https://www.philgeps.gov.ph/GEPSNONPILOT/Tender/SplashBidNoticeAbstractUI.aspx?menuIndex=3&amp;refID=7161965&amp;Result=3","7161965")</f>
        <v>0</v>
      </c>
      <c r="B12066" t="s">
        <v>990</v>
      </c>
      <c r="C12066" t="s">
        <v>15066</v>
      </c>
      <c r="D12066" t="s">
        <v>17186</v>
      </c>
      <c r="E12066" t="s">
        <v>27515</v>
      </c>
      <c r="F12066" t="s">
        <v>29372</v>
      </c>
      <c r="G12066" t="s">
        <v>29380</v>
      </c>
      <c r="H12066" t="s">
        <v>11048</v>
      </c>
      <c r="I12066" t="s">
        <v>5383</v>
      </c>
      <c r="J12066" t="s">
        <v>37142</v>
      </c>
      <c r="K12066" t="s">
        <v>38510</v>
      </c>
      <c r="M12066" t="s">
        <v>39789</v>
      </c>
      <c r="N12066" t="s">
        <v>42669</v>
      </c>
      <c r="O12066" t="s">
        <v>42670</v>
      </c>
      <c r="P12066">
        <v>0</v>
      </c>
      <c r="Q12066">
        <v>0</v>
      </c>
      <c r="R12066" t="s">
        <v>42688</v>
      </c>
      <c r="S12066" t="s">
        <v>43441</v>
      </c>
      <c r="T12066" t="s">
        <v>44417</v>
      </c>
      <c r="U12066" t="s">
        <v>45661</v>
      </c>
      <c r="V12066" t="s">
        <v>56607</v>
      </c>
      <c r="W12066" t="s">
        <v>39789</v>
      </c>
      <c r="X12066" t="s">
        <v>42689</v>
      </c>
    </row>
    <row r="12067" spans="1:24">
      <c r="A12067">
        <f>HYPERLINK("https://www.philgeps.gov.ph/GEPSNONPILOT/Tender/SplashBidNoticeAbstractUI.aspx?menuIndex=3&amp;refID=7161948&amp;Result=3","7161948")</f>
        <v>0</v>
      </c>
      <c r="B12067" t="s">
        <v>1926</v>
      </c>
      <c r="C12067" t="s">
        <v>15067</v>
      </c>
      <c r="D12067" t="s">
        <v>17193</v>
      </c>
      <c r="E12067" t="s">
        <v>27516</v>
      </c>
      <c r="F12067" t="s">
        <v>29372</v>
      </c>
      <c r="G12067" t="s">
        <v>29380</v>
      </c>
      <c r="H12067" t="s">
        <v>29389</v>
      </c>
      <c r="I12067" t="s">
        <v>10408</v>
      </c>
      <c r="J12067" t="s">
        <v>37143</v>
      </c>
      <c r="K12067" t="s">
        <v>38743</v>
      </c>
      <c r="M12067" t="s">
        <v>42314</v>
      </c>
      <c r="N12067" t="s">
        <v>42669</v>
      </c>
      <c r="O12067" t="s">
        <v>42670</v>
      </c>
      <c r="P12067">
        <v>0</v>
      </c>
      <c r="Q12067">
        <v>2</v>
      </c>
      <c r="R12067" t="s">
        <v>42688</v>
      </c>
      <c r="S12067" t="s">
        <v>43441</v>
      </c>
      <c r="T12067" t="s">
        <v>44371</v>
      </c>
      <c r="U12067" t="s">
        <v>54422</v>
      </c>
      <c r="V12067" t="s">
        <v>57734</v>
      </c>
      <c r="W12067" t="s">
        <v>42314</v>
      </c>
      <c r="X12067" t="s">
        <v>42689</v>
      </c>
    </row>
    <row r="12068" spans="1:24">
      <c r="A12068">
        <f>HYPERLINK("https://www.philgeps.gov.ph/GEPSNONPILOT/Tender/SplashBidNoticeAbstractUI.aspx?menuIndex=3&amp;refID=7162705&amp;Result=3","7162705")</f>
        <v>0</v>
      </c>
      <c r="B12068" t="s">
        <v>2711</v>
      </c>
      <c r="C12068" t="s">
        <v>15068</v>
      </c>
      <c r="D12068" t="s">
        <v>17141</v>
      </c>
      <c r="E12068" t="s">
        <v>27517</v>
      </c>
      <c r="F12068" t="s">
        <v>29372</v>
      </c>
      <c r="G12068" t="s">
        <v>29380</v>
      </c>
      <c r="H12068" t="s">
        <v>29389</v>
      </c>
      <c r="I12068" t="s">
        <v>10408</v>
      </c>
      <c r="J12068" t="s">
        <v>37144</v>
      </c>
      <c r="K12068" t="s">
        <v>38495</v>
      </c>
      <c r="M12068" t="s">
        <v>42380</v>
      </c>
      <c r="N12068" t="s">
        <v>42669</v>
      </c>
      <c r="O12068" t="s">
        <v>42670</v>
      </c>
      <c r="Q12068">
        <v>22</v>
      </c>
      <c r="R12068" t="s">
        <v>42688</v>
      </c>
      <c r="S12068" t="s">
        <v>43505</v>
      </c>
      <c r="T12068" t="s">
        <v>44371</v>
      </c>
      <c r="U12068" t="s">
        <v>54688</v>
      </c>
      <c r="W12068" t="s">
        <v>42380</v>
      </c>
      <c r="X12068" t="s">
        <v>42689</v>
      </c>
    </row>
    <row r="12069" spans="1:24">
      <c r="A12069">
        <f>HYPERLINK("https://www.philgeps.gov.ph/GEPSNONPILOT/Tender/SplashBidNoticeAbstractUI.aspx?menuIndex=3&amp;refID=7161953&amp;Result=3","7161953")</f>
        <v>0</v>
      </c>
      <c r="B12069" t="s">
        <v>1337</v>
      </c>
      <c r="C12069" t="s">
        <v>15069</v>
      </c>
      <c r="D12069" t="s">
        <v>17148</v>
      </c>
      <c r="E12069" t="s">
        <v>27518</v>
      </c>
      <c r="F12069" t="s">
        <v>29372</v>
      </c>
      <c r="G12069" t="s">
        <v>29380</v>
      </c>
      <c r="H12069" t="s">
        <v>11048</v>
      </c>
      <c r="I12069" t="s">
        <v>5383</v>
      </c>
      <c r="J12069" t="s">
        <v>37145</v>
      </c>
      <c r="K12069" t="s">
        <v>38485</v>
      </c>
      <c r="L12069" t="s">
        <v>1337</v>
      </c>
      <c r="M12069" t="s">
        <v>40173</v>
      </c>
      <c r="N12069" t="s">
        <v>42669</v>
      </c>
      <c r="O12069" t="s">
        <v>42670</v>
      </c>
      <c r="P12069">
        <v>0</v>
      </c>
      <c r="Q12069">
        <v>10</v>
      </c>
      <c r="R12069" t="s">
        <v>42688</v>
      </c>
      <c r="S12069" t="s">
        <v>43441</v>
      </c>
      <c r="T12069" t="s">
        <v>44371</v>
      </c>
      <c r="U12069" t="s">
        <v>54690</v>
      </c>
      <c r="W12069" t="s">
        <v>40173</v>
      </c>
      <c r="X12069" t="s">
        <v>42689</v>
      </c>
    </row>
    <row r="12070" spans="1:24">
      <c r="A12070">
        <f>HYPERLINK("https://www.philgeps.gov.ph/GEPSNONPILOT/Tender/SplashBidNoticeAbstractUI.aspx?menuIndex=3&amp;refID=7159785&amp;Result=3","7159785")</f>
        <v>0</v>
      </c>
      <c r="B12070" t="s">
        <v>764</v>
      </c>
      <c r="C12070" t="s">
        <v>15070</v>
      </c>
      <c r="D12070" t="s">
        <v>17177</v>
      </c>
      <c r="E12070" t="s">
        <v>27519</v>
      </c>
      <c r="F12070" t="s">
        <v>29372</v>
      </c>
      <c r="G12070" t="s">
        <v>29380</v>
      </c>
      <c r="H12070" t="s">
        <v>11048</v>
      </c>
      <c r="I12070" t="s">
        <v>29433</v>
      </c>
      <c r="J12070" t="s">
        <v>37146</v>
      </c>
      <c r="K12070" t="s">
        <v>38488</v>
      </c>
      <c r="M12070" t="s">
        <v>39547</v>
      </c>
      <c r="N12070" t="s">
        <v>42669</v>
      </c>
      <c r="O12070" t="s">
        <v>42670</v>
      </c>
      <c r="P12070">
        <v>0</v>
      </c>
      <c r="Q12070">
        <v>32</v>
      </c>
      <c r="R12070" t="s">
        <v>42688</v>
      </c>
      <c r="S12070" t="s">
        <v>43441</v>
      </c>
      <c r="T12070" t="s">
        <v>44357</v>
      </c>
      <c r="U12070" t="s">
        <v>54691</v>
      </c>
      <c r="W12070" t="s">
        <v>39547</v>
      </c>
      <c r="X12070" t="s">
        <v>42690</v>
      </c>
    </row>
    <row r="12071" spans="1:24">
      <c r="A12071">
        <f>HYPERLINK("https://www.philgeps.gov.ph/GEPSNONPILOT/Tender/SplashBidNoticeAbstractUI.aspx?menuIndex=3&amp;refID=7164613&amp;Result=3","7164613")</f>
        <v>0</v>
      </c>
      <c r="B12071" t="s">
        <v>338</v>
      </c>
      <c r="C12071" t="s">
        <v>15071</v>
      </c>
      <c r="D12071" t="s">
        <v>17141</v>
      </c>
      <c r="E12071" t="s">
        <v>27520</v>
      </c>
      <c r="F12071" t="s">
        <v>29372</v>
      </c>
      <c r="G12071" t="s">
        <v>29379</v>
      </c>
      <c r="H12071" t="s">
        <v>11048</v>
      </c>
      <c r="I12071" t="s">
        <v>29433</v>
      </c>
      <c r="J12071" t="s">
        <v>37147</v>
      </c>
      <c r="K12071" t="s">
        <v>38485</v>
      </c>
      <c r="M12071" t="s">
        <v>42382</v>
      </c>
      <c r="N12071" t="s">
        <v>42669</v>
      </c>
      <c r="O12071" t="s">
        <v>42670</v>
      </c>
      <c r="Q12071">
        <v>7</v>
      </c>
      <c r="R12071" t="s">
        <v>42687</v>
      </c>
      <c r="S12071" t="s">
        <v>43506</v>
      </c>
      <c r="T12071" t="s">
        <v>44427</v>
      </c>
      <c r="U12071" t="s">
        <v>54692</v>
      </c>
      <c r="W12071" t="s">
        <v>42382</v>
      </c>
      <c r="X12071" t="s">
        <v>42688</v>
      </c>
    </row>
    <row r="12072" spans="1:24">
      <c r="A12072">
        <f>HYPERLINK("https://www.philgeps.gov.ph/GEPSNONPILOT/Tender/SplashBidNoticeAbstractUI.aspx?menuIndex=3&amp;refID=7162676&amp;Result=3","7162676")</f>
        <v>0</v>
      </c>
      <c r="B12072" t="s">
        <v>2711</v>
      </c>
      <c r="C12072" t="s">
        <v>15072</v>
      </c>
      <c r="D12072" t="s">
        <v>17141</v>
      </c>
      <c r="E12072" t="s">
        <v>27521</v>
      </c>
      <c r="F12072" t="s">
        <v>29372</v>
      </c>
      <c r="G12072" t="s">
        <v>29380</v>
      </c>
      <c r="H12072" t="s">
        <v>29389</v>
      </c>
      <c r="I12072" t="s">
        <v>10408</v>
      </c>
      <c r="J12072" t="s">
        <v>37148</v>
      </c>
      <c r="K12072" t="s">
        <v>38598</v>
      </c>
      <c r="M12072" t="s">
        <v>42380</v>
      </c>
      <c r="N12072" t="s">
        <v>42669</v>
      </c>
      <c r="O12072" t="s">
        <v>42670</v>
      </c>
      <c r="Q12072">
        <v>22</v>
      </c>
      <c r="R12072" t="s">
        <v>42688</v>
      </c>
      <c r="S12072" t="s">
        <v>43436</v>
      </c>
      <c r="T12072" t="s">
        <v>44371</v>
      </c>
      <c r="U12072" t="s">
        <v>54688</v>
      </c>
      <c r="W12072" t="s">
        <v>42380</v>
      </c>
      <c r="X12072" t="s">
        <v>42689</v>
      </c>
    </row>
    <row r="12073" spans="1:24">
      <c r="A12073">
        <f>HYPERLINK("https://www.philgeps.gov.ph/GEPSNONPILOT/Tender/SplashBidNoticeAbstractUI.aspx?menuIndex=3&amp;refID=7159847&amp;Result=3","7159847")</f>
        <v>0</v>
      </c>
      <c r="B12073" t="s">
        <v>3296</v>
      </c>
      <c r="C12073" t="s">
        <v>15073</v>
      </c>
      <c r="D12073" t="s">
        <v>17200</v>
      </c>
      <c r="E12073" t="s">
        <v>27522</v>
      </c>
      <c r="F12073" t="s">
        <v>29372</v>
      </c>
      <c r="G12073" t="s">
        <v>29380</v>
      </c>
      <c r="H12073" t="s">
        <v>29389</v>
      </c>
      <c r="I12073" t="s">
        <v>10408</v>
      </c>
      <c r="J12073" t="s">
        <v>37149</v>
      </c>
      <c r="K12073" t="s">
        <v>38689</v>
      </c>
      <c r="M12073" t="s">
        <v>42373</v>
      </c>
      <c r="N12073" t="s">
        <v>42669</v>
      </c>
      <c r="O12073" t="s">
        <v>42670</v>
      </c>
      <c r="P12073">
        <v>0</v>
      </c>
      <c r="Q12073">
        <v>0</v>
      </c>
      <c r="R12073" t="s">
        <v>42689</v>
      </c>
      <c r="S12073" t="s">
        <v>43461</v>
      </c>
      <c r="T12073" t="s">
        <v>44488</v>
      </c>
      <c r="U12073" t="s">
        <v>54648</v>
      </c>
      <c r="W12073" t="s">
        <v>42373</v>
      </c>
      <c r="X12073" t="s">
        <v>42690</v>
      </c>
    </row>
    <row r="12074" spans="1:24">
      <c r="A12074">
        <f>HYPERLINK("https://www.philgeps.gov.ph/GEPSNONPILOT/Tender/SplashBidNoticeAbstractUI.aspx?menuIndex=3&amp;refID=7159811&amp;Result=3","7159811")</f>
        <v>0</v>
      </c>
      <c r="B12074" t="s">
        <v>3140</v>
      </c>
      <c r="C12074" t="s">
        <v>15074</v>
      </c>
      <c r="D12074" t="s">
        <v>17158</v>
      </c>
      <c r="E12074" t="s">
        <v>27523</v>
      </c>
      <c r="F12074" t="s">
        <v>29372</v>
      </c>
      <c r="G12074" t="s">
        <v>29380</v>
      </c>
      <c r="H12074" t="s">
        <v>11048</v>
      </c>
      <c r="I12074" t="s">
        <v>4709</v>
      </c>
      <c r="J12074" t="s">
        <v>37150</v>
      </c>
      <c r="K12074" t="s">
        <v>38485</v>
      </c>
      <c r="M12074" t="s">
        <v>42186</v>
      </c>
      <c r="N12074" t="s">
        <v>42669</v>
      </c>
      <c r="O12074" t="s">
        <v>42670</v>
      </c>
      <c r="P12074">
        <v>0</v>
      </c>
      <c r="Q12074">
        <v>1</v>
      </c>
      <c r="R12074" t="s">
        <v>42689</v>
      </c>
      <c r="S12074" t="s">
        <v>43461</v>
      </c>
      <c r="T12074" t="s">
        <v>44470</v>
      </c>
      <c r="U12074" t="s">
        <v>54693</v>
      </c>
      <c r="W12074" t="s">
        <v>42186</v>
      </c>
      <c r="X12074" t="s">
        <v>42690</v>
      </c>
    </row>
    <row r="12075" spans="1:24">
      <c r="A12075">
        <f>HYPERLINK("https://www.philgeps.gov.ph/GEPSNONPILOT/Tender/SplashBidNoticeAbstractUI.aspx?menuIndex=3&amp;refID=7159687&amp;Result=3","7159687")</f>
        <v>0</v>
      </c>
      <c r="B12075" t="s">
        <v>1062</v>
      </c>
      <c r="C12075" t="s">
        <v>15075</v>
      </c>
      <c r="D12075" t="s">
        <v>17188</v>
      </c>
      <c r="E12075" t="s">
        <v>27524</v>
      </c>
      <c r="F12075" t="s">
        <v>29372</v>
      </c>
      <c r="G12075" t="s">
        <v>29380</v>
      </c>
      <c r="H12075" t="s">
        <v>29389</v>
      </c>
      <c r="I12075" t="s">
        <v>10408</v>
      </c>
      <c r="J12075" t="s">
        <v>37151</v>
      </c>
      <c r="K12075" t="s">
        <v>38546</v>
      </c>
      <c r="M12075" t="s">
        <v>39869</v>
      </c>
      <c r="N12075" t="s">
        <v>42669</v>
      </c>
      <c r="O12075" t="s">
        <v>42670</v>
      </c>
      <c r="P12075">
        <v>0</v>
      </c>
      <c r="Q12075">
        <v>1</v>
      </c>
      <c r="R12075" t="s">
        <v>42689</v>
      </c>
      <c r="S12075" t="s">
        <v>43461</v>
      </c>
      <c r="T12075" t="s">
        <v>44387</v>
      </c>
      <c r="U12075" t="s">
        <v>54694</v>
      </c>
      <c r="W12075" t="s">
        <v>39869</v>
      </c>
      <c r="X12075" t="s">
        <v>42690</v>
      </c>
    </row>
    <row r="12076" spans="1:24">
      <c r="A12076">
        <f>HYPERLINK("https://www.philgeps.gov.ph/GEPSNONPILOT/Tender/SplashBidNoticeAbstractUI.aspx?menuIndex=3&amp;refID=7159792&amp;Result=3","7159792")</f>
        <v>0</v>
      </c>
      <c r="B12076" t="s">
        <v>795</v>
      </c>
      <c r="C12076" t="s">
        <v>15076</v>
      </c>
      <c r="D12076" t="s">
        <v>17167</v>
      </c>
      <c r="E12076" t="s">
        <v>27525</v>
      </c>
      <c r="F12076" t="s">
        <v>29372</v>
      </c>
      <c r="G12076" t="s">
        <v>29380</v>
      </c>
      <c r="H12076" t="s">
        <v>29389</v>
      </c>
      <c r="I12076" t="s">
        <v>10408</v>
      </c>
      <c r="J12076" t="s">
        <v>37152</v>
      </c>
      <c r="K12076" t="s">
        <v>38596</v>
      </c>
      <c r="M12076" t="s">
        <v>39579</v>
      </c>
      <c r="N12076" t="s">
        <v>42669</v>
      </c>
      <c r="O12076" t="s">
        <v>42670</v>
      </c>
      <c r="Q12076">
        <v>2</v>
      </c>
      <c r="R12076" t="s">
        <v>42689</v>
      </c>
      <c r="S12076" t="s">
        <v>43507</v>
      </c>
      <c r="T12076" t="s">
        <v>44425</v>
      </c>
      <c r="U12076" t="s">
        <v>54695</v>
      </c>
      <c r="W12076" t="s">
        <v>39579</v>
      </c>
      <c r="X12076" t="s">
        <v>42690</v>
      </c>
    </row>
    <row r="12077" spans="1:24">
      <c r="A12077">
        <f>HYPERLINK("https://www.philgeps.gov.ph/GEPSNONPILOT/Tender/SplashBidNoticeAbstractUI.aspx?menuIndex=3&amp;refID=7159818&amp;Result=3","7159818")</f>
        <v>0</v>
      </c>
      <c r="B12077" t="s">
        <v>955</v>
      </c>
      <c r="C12077" t="s">
        <v>15077</v>
      </c>
      <c r="E12077" t="s">
        <v>27526</v>
      </c>
      <c r="F12077" t="s">
        <v>29372</v>
      </c>
      <c r="G12077" t="s">
        <v>29380</v>
      </c>
      <c r="H12077" t="s">
        <v>11048</v>
      </c>
      <c r="I12077" t="s">
        <v>3839</v>
      </c>
      <c r="J12077" t="s">
        <v>37153</v>
      </c>
      <c r="K12077" t="s">
        <v>38490</v>
      </c>
      <c r="M12077" t="s">
        <v>42369</v>
      </c>
      <c r="N12077" t="s">
        <v>42669</v>
      </c>
      <c r="O12077" t="s">
        <v>42670</v>
      </c>
      <c r="P12077">
        <v>0</v>
      </c>
      <c r="Q12077">
        <v>6</v>
      </c>
      <c r="R12077" t="s">
        <v>42689</v>
      </c>
      <c r="S12077" t="s">
        <v>43461</v>
      </c>
      <c r="T12077" t="s">
        <v>44427</v>
      </c>
      <c r="U12077" t="s">
        <v>54696</v>
      </c>
      <c r="W12077" t="s">
        <v>42369</v>
      </c>
      <c r="X12077" t="s">
        <v>42690</v>
      </c>
    </row>
    <row r="12078" spans="1:24">
      <c r="A12078">
        <f>HYPERLINK("https://www.philgeps.gov.ph/GEPSNONPILOT/Tender/SplashBidNoticeAbstractUI.aspx?menuIndex=3&amp;refID=7159769&amp;Result=3","7159769")</f>
        <v>0</v>
      </c>
      <c r="B12078" t="s">
        <v>3254</v>
      </c>
      <c r="C12078" t="s">
        <v>15078</v>
      </c>
      <c r="D12078" t="s">
        <v>17206</v>
      </c>
      <c r="E12078" t="s">
        <v>27527</v>
      </c>
      <c r="F12078" t="s">
        <v>29372</v>
      </c>
      <c r="G12078" t="s">
        <v>29380</v>
      </c>
      <c r="H12078" t="s">
        <v>29389</v>
      </c>
      <c r="I12078" t="s">
        <v>10408</v>
      </c>
      <c r="J12078" t="s">
        <v>37154</v>
      </c>
      <c r="K12078" t="s">
        <v>38610</v>
      </c>
      <c r="M12078" t="s">
        <v>42323</v>
      </c>
      <c r="N12078" t="s">
        <v>42669</v>
      </c>
      <c r="O12078" t="s">
        <v>42670</v>
      </c>
      <c r="P12078">
        <v>0</v>
      </c>
      <c r="Q12078">
        <v>1</v>
      </c>
      <c r="R12078" t="s">
        <v>42689</v>
      </c>
      <c r="S12078" t="s">
        <v>43461</v>
      </c>
      <c r="T12078" t="s">
        <v>44419</v>
      </c>
      <c r="U12078" t="s">
        <v>54697</v>
      </c>
      <c r="W12078" t="s">
        <v>42323</v>
      </c>
      <c r="X12078" t="s">
        <v>42690</v>
      </c>
    </row>
    <row r="12079" spans="1:24">
      <c r="A12079">
        <f>HYPERLINK("https://www.philgeps.gov.ph/GEPSNONPILOT/Tender/SplashBidNoticeAbstractUI.aspx?menuIndex=3&amp;refID=7159767&amp;Result=3","7159767")</f>
        <v>0</v>
      </c>
      <c r="B12079" t="s">
        <v>3296</v>
      </c>
      <c r="C12079" t="s">
        <v>15079</v>
      </c>
      <c r="D12079" t="s">
        <v>17200</v>
      </c>
      <c r="E12079" t="s">
        <v>27528</v>
      </c>
      <c r="F12079" t="s">
        <v>29372</v>
      </c>
      <c r="G12079" t="s">
        <v>29380</v>
      </c>
      <c r="H12079" t="s">
        <v>29389</v>
      </c>
      <c r="I12079" t="s">
        <v>10408</v>
      </c>
      <c r="J12079" t="s">
        <v>37155</v>
      </c>
      <c r="K12079" t="s">
        <v>38516</v>
      </c>
      <c r="M12079" t="s">
        <v>42373</v>
      </c>
      <c r="N12079" t="s">
        <v>42669</v>
      </c>
      <c r="O12079" t="s">
        <v>42670</v>
      </c>
      <c r="P12079">
        <v>0</v>
      </c>
      <c r="Q12079">
        <v>0</v>
      </c>
      <c r="R12079" t="s">
        <v>42689</v>
      </c>
      <c r="S12079" t="s">
        <v>43461</v>
      </c>
      <c r="T12079" t="s">
        <v>44488</v>
      </c>
      <c r="U12079" t="s">
        <v>54648</v>
      </c>
      <c r="W12079" t="s">
        <v>42373</v>
      </c>
      <c r="X12079" t="s">
        <v>42690</v>
      </c>
    </row>
    <row r="12080" spans="1:24">
      <c r="A12080">
        <f>HYPERLINK("https://www.philgeps.gov.ph/GEPSNONPILOT/Tender/SplashBidNoticeAbstractUI.aspx?menuIndex=3&amp;refID=7159762&amp;Result=3","7159762")</f>
        <v>0</v>
      </c>
      <c r="B12080" t="s">
        <v>3140</v>
      </c>
      <c r="C12080" t="s">
        <v>15080</v>
      </c>
      <c r="D12080" t="s">
        <v>17158</v>
      </c>
      <c r="E12080" t="s">
        <v>27523</v>
      </c>
      <c r="F12080" t="s">
        <v>29372</v>
      </c>
      <c r="G12080" t="s">
        <v>29380</v>
      </c>
      <c r="H12080" t="s">
        <v>11048</v>
      </c>
      <c r="I12080" t="s">
        <v>8614</v>
      </c>
      <c r="J12080" t="s">
        <v>37156</v>
      </c>
      <c r="K12080" t="s">
        <v>38485</v>
      </c>
      <c r="M12080" t="s">
        <v>42186</v>
      </c>
      <c r="N12080" t="s">
        <v>42669</v>
      </c>
      <c r="O12080" t="s">
        <v>42670</v>
      </c>
      <c r="Q12080">
        <v>8</v>
      </c>
      <c r="R12080" t="s">
        <v>42689</v>
      </c>
      <c r="S12080" t="s">
        <v>43508</v>
      </c>
      <c r="T12080" t="s">
        <v>44470</v>
      </c>
      <c r="U12080" t="s">
        <v>54693</v>
      </c>
      <c r="W12080" t="s">
        <v>42186</v>
      </c>
      <c r="X12080" t="s">
        <v>42690</v>
      </c>
    </row>
    <row r="12081" spans="1:24">
      <c r="A12081">
        <f>HYPERLINK("https://www.philgeps.gov.ph/GEPSNONPILOT/Tender/SplashBidNoticeAbstractUI.aspx?menuIndex=3&amp;refID=7159793&amp;Result=3","7159793")</f>
        <v>0</v>
      </c>
      <c r="B12081" t="s">
        <v>3296</v>
      </c>
      <c r="C12081" t="s">
        <v>15081</v>
      </c>
      <c r="D12081" t="s">
        <v>17200</v>
      </c>
      <c r="E12081" t="s">
        <v>27529</v>
      </c>
      <c r="F12081" t="s">
        <v>29372</v>
      </c>
      <c r="G12081" t="s">
        <v>29380</v>
      </c>
      <c r="H12081" t="s">
        <v>29389</v>
      </c>
      <c r="I12081" t="s">
        <v>10408</v>
      </c>
      <c r="J12081" t="s">
        <v>37157</v>
      </c>
      <c r="K12081" t="s">
        <v>38689</v>
      </c>
      <c r="M12081" t="s">
        <v>42373</v>
      </c>
      <c r="N12081" t="s">
        <v>42669</v>
      </c>
      <c r="O12081" t="s">
        <v>42670</v>
      </c>
      <c r="P12081">
        <v>0</v>
      </c>
      <c r="Q12081">
        <v>2</v>
      </c>
      <c r="R12081" t="s">
        <v>42689</v>
      </c>
      <c r="S12081" t="s">
        <v>43461</v>
      </c>
      <c r="T12081" t="s">
        <v>44488</v>
      </c>
      <c r="U12081" t="s">
        <v>54648</v>
      </c>
      <c r="W12081" t="s">
        <v>42373</v>
      </c>
      <c r="X12081" t="s">
        <v>42690</v>
      </c>
    </row>
    <row r="12082" spans="1:24">
      <c r="A12082">
        <f>HYPERLINK("https://www.philgeps.gov.ph/GEPSNONPILOT/Tender/SplashBidNoticeAbstractUI.aspx?menuIndex=3&amp;refID=7159760&amp;Result=3","7159760")</f>
        <v>0</v>
      </c>
      <c r="B12082" t="s">
        <v>2124</v>
      </c>
      <c r="C12082" t="s">
        <v>9479</v>
      </c>
      <c r="D12082" t="s">
        <v>17141</v>
      </c>
      <c r="E12082" t="s">
        <v>27530</v>
      </c>
      <c r="F12082" t="s">
        <v>29372</v>
      </c>
      <c r="G12082" t="s">
        <v>29380</v>
      </c>
      <c r="H12082" t="s">
        <v>11048</v>
      </c>
      <c r="I12082" t="s">
        <v>29407</v>
      </c>
      <c r="J12082" t="s">
        <v>37158</v>
      </c>
      <c r="K12082" t="s">
        <v>38488</v>
      </c>
      <c r="M12082" t="s">
        <v>41029</v>
      </c>
      <c r="N12082" t="s">
        <v>42669</v>
      </c>
      <c r="O12082" t="s">
        <v>42670</v>
      </c>
      <c r="P12082">
        <v>0</v>
      </c>
      <c r="Q12082">
        <v>7</v>
      </c>
      <c r="R12082" t="s">
        <v>42689</v>
      </c>
      <c r="S12082" t="s">
        <v>43461</v>
      </c>
      <c r="T12082" t="s">
        <v>44481</v>
      </c>
      <c r="U12082" t="s">
        <v>54698</v>
      </c>
      <c r="W12082" t="s">
        <v>41029</v>
      </c>
      <c r="X12082" t="s">
        <v>42690</v>
      </c>
    </row>
    <row r="12083" spans="1:24">
      <c r="A12083">
        <f>HYPERLINK("https://www.philgeps.gov.ph/GEPSNONPILOT/Tender/SplashBidNoticeAbstractUI.aspx?menuIndex=3&amp;refID=7159791&amp;Result=3","7159791")</f>
        <v>0</v>
      </c>
      <c r="B12083" t="s">
        <v>1719</v>
      </c>
      <c r="C12083" t="s">
        <v>15082</v>
      </c>
      <c r="D12083" t="s">
        <v>17177</v>
      </c>
      <c r="E12083" t="s">
        <v>19954</v>
      </c>
      <c r="F12083" t="s">
        <v>29372</v>
      </c>
      <c r="G12083" t="s">
        <v>29380</v>
      </c>
      <c r="H12083" t="s">
        <v>11048</v>
      </c>
      <c r="I12083" t="s">
        <v>14920</v>
      </c>
      <c r="J12083" t="s">
        <v>37159</v>
      </c>
      <c r="K12083" t="s">
        <v>38567</v>
      </c>
      <c r="M12083" t="s">
        <v>42383</v>
      </c>
      <c r="N12083" t="s">
        <v>42669</v>
      </c>
      <c r="O12083" t="s">
        <v>42670</v>
      </c>
      <c r="P12083">
        <v>0</v>
      </c>
      <c r="Q12083">
        <v>12</v>
      </c>
      <c r="R12083" t="s">
        <v>42689</v>
      </c>
      <c r="S12083" t="s">
        <v>43461</v>
      </c>
      <c r="T12083" t="s">
        <v>44555</v>
      </c>
      <c r="U12083" t="s">
        <v>54699</v>
      </c>
      <c r="W12083" t="s">
        <v>42383</v>
      </c>
      <c r="X12083" t="s">
        <v>42690</v>
      </c>
    </row>
    <row r="12084" spans="1:24">
      <c r="A12084">
        <f>HYPERLINK("https://www.philgeps.gov.ph/GEPSNONPILOT/Tender/SplashBidNoticeAbstractUI.aspx?menuIndex=3&amp;refID=7159891&amp;Result=3","7159891")</f>
        <v>0</v>
      </c>
      <c r="B12084" t="s">
        <v>3050</v>
      </c>
      <c r="C12084" t="s">
        <v>15083</v>
      </c>
      <c r="D12084" t="s">
        <v>17198</v>
      </c>
      <c r="E12084" t="s">
        <v>27531</v>
      </c>
      <c r="F12084" t="s">
        <v>29372</v>
      </c>
      <c r="G12084" t="s">
        <v>29380</v>
      </c>
      <c r="H12084" t="s">
        <v>29389</v>
      </c>
      <c r="I12084" t="s">
        <v>10408</v>
      </c>
      <c r="J12084" t="s">
        <v>37160</v>
      </c>
      <c r="K12084" t="s">
        <v>38496</v>
      </c>
      <c r="M12084" t="s">
        <v>42075</v>
      </c>
      <c r="N12084" t="s">
        <v>42669</v>
      </c>
      <c r="O12084" t="s">
        <v>42670</v>
      </c>
      <c r="P12084">
        <v>0</v>
      </c>
      <c r="Q12084">
        <v>0</v>
      </c>
      <c r="R12084" t="s">
        <v>42689</v>
      </c>
      <c r="S12084" t="s">
        <v>43461</v>
      </c>
      <c r="T12084" t="s">
        <v>44412</v>
      </c>
      <c r="U12084" t="s">
        <v>54700</v>
      </c>
      <c r="W12084" t="s">
        <v>42075</v>
      </c>
      <c r="X12084" t="s">
        <v>42690</v>
      </c>
    </row>
    <row r="12085" spans="1:24">
      <c r="A12085">
        <f>HYPERLINK("https://www.philgeps.gov.ph/GEPSNONPILOT/Tender/SplashBidNoticeAbstractUI.aspx?menuIndex=3&amp;refID=7159743&amp;Result=3","7159743")</f>
        <v>0</v>
      </c>
      <c r="B12085" t="s">
        <v>2124</v>
      </c>
      <c r="C12085" t="s">
        <v>9479</v>
      </c>
      <c r="D12085" t="s">
        <v>17141</v>
      </c>
      <c r="E12085" t="s">
        <v>27532</v>
      </c>
      <c r="F12085" t="s">
        <v>29372</v>
      </c>
      <c r="G12085" t="s">
        <v>29380</v>
      </c>
      <c r="H12085" t="s">
        <v>11048</v>
      </c>
      <c r="I12085" t="s">
        <v>29407</v>
      </c>
      <c r="J12085" t="s">
        <v>29721</v>
      </c>
      <c r="K12085" t="s">
        <v>38488</v>
      </c>
      <c r="M12085" t="s">
        <v>41029</v>
      </c>
      <c r="N12085" t="s">
        <v>42669</v>
      </c>
      <c r="O12085" t="s">
        <v>42670</v>
      </c>
      <c r="P12085">
        <v>0</v>
      </c>
      <c r="Q12085">
        <v>1</v>
      </c>
      <c r="R12085" t="s">
        <v>42689</v>
      </c>
      <c r="S12085" t="s">
        <v>43461</v>
      </c>
      <c r="T12085" t="s">
        <v>44481</v>
      </c>
      <c r="U12085" t="s">
        <v>49946</v>
      </c>
      <c r="W12085" t="s">
        <v>41029</v>
      </c>
      <c r="X12085" t="s">
        <v>42690</v>
      </c>
    </row>
    <row r="12086" spans="1:24">
      <c r="A12086">
        <f>HYPERLINK("https://www.philgeps.gov.ph/GEPSNONPILOT/Tender/SplashBidNoticeAbstractUI.aspx?menuIndex=3&amp;refID=7159766&amp;Result=3","7159766")</f>
        <v>0</v>
      </c>
      <c r="B12086" t="s">
        <v>981</v>
      </c>
      <c r="C12086" t="s">
        <v>10408</v>
      </c>
      <c r="D12086" t="s">
        <v>17152</v>
      </c>
      <c r="E12086" t="s">
        <v>27533</v>
      </c>
      <c r="F12086" t="s">
        <v>29372</v>
      </c>
      <c r="G12086" t="s">
        <v>29380</v>
      </c>
      <c r="H12086" t="s">
        <v>29389</v>
      </c>
      <c r="I12086" t="s">
        <v>10408</v>
      </c>
      <c r="J12086" t="s">
        <v>37161</v>
      </c>
      <c r="K12086" t="s">
        <v>38490</v>
      </c>
      <c r="M12086" t="s">
        <v>39778</v>
      </c>
      <c r="N12086" t="s">
        <v>42669</v>
      </c>
      <c r="O12086" t="s">
        <v>42670</v>
      </c>
      <c r="P12086">
        <v>0</v>
      </c>
      <c r="Q12086">
        <v>1</v>
      </c>
      <c r="R12086" t="s">
        <v>42689</v>
      </c>
      <c r="S12086" t="s">
        <v>43461</v>
      </c>
      <c r="T12086" t="s">
        <v>44468</v>
      </c>
      <c r="U12086" t="s">
        <v>54701</v>
      </c>
      <c r="W12086" t="s">
        <v>39778</v>
      </c>
      <c r="X12086" t="s">
        <v>42690</v>
      </c>
    </row>
    <row r="12087" spans="1:24">
      <c r="A12087">
        <f>HYPERLINK("https://www.philgeps.gov.ph/GEPSNONPILOT/Tender/SplashBidNoticeAbstractUI.aspx?menuIndex=3&amp;refID=7159823&amp;Result=3","7159823")</f>
        <v>0</v>
      </c>
      <c r="B12087" t="s">
        <v>414</v>
      </c>
      <c r="C12087" t="s">
        <v>15084</v>
      </c>
      <c r="D12087" t="s">
        <v>17172</v>
      </c>
      <c r="E12087" t="s">
        <v>27534</v>
      </c>
      <c r="F12087" t="s">
        <v>29373</v>
      </c>
      <c r="G12087" t="s">
        <v>29380</v>
      </c>
      <c r="H12087" t="s">
        <v>29389</v>
      </c>
      <c r="I12087" t="s">
        <v>10408</v>
      </c>
      <c r="J12087" t="s">
        <v>35030</v>
      </c>
      <c r="K12087" t="s">
        <v>38533</v>
      </c>
      <c r="M12087" t="s">
        <v>39178</v>
      </c>
      <c r="N12087" t="s">
        <v>42669</v>
      </c>
      <c r="O12087" t="s">
        <v>42670</v>
      </c>
      <c r="P12087">
        <v>0</v>
      </c>
      <c r="Q12087">
        <v>6</v>
      </c>
      <c r="R12087" t="s">
        <v>42689</v>
      </c>
      <c r="S12087" t="s">
        <v>43461</v>
      </c>
      <c r="T12087" t="s">
        <v>44432</v>
      </c>
      <c r="U12087" t="s">
        <v>45780</v>
      </c>
      <c r="V12087" t="s">
        <v>57735</v>
      </c>
      <c r="W12087" t="s">
        <v>39178</v>
      </c>
      <c r="X12087" t="s">
        <v>42690</v>
      </c>
    </row>
    <row r="12088" spans="1:24">
      <c r="A12088">
        <f>HYPERLINK("https://www.philgeps.gov.ph/GEPSNONPILOT/Tender/SplashBidNoticeAbstractUI.aspx?menuIndex=3&amp;refID=7159821&amp;Result=3","7159821")</f>
        <v>0</v>
      </c>
      <c r="B12088" t="s">
        <v>3296</v>
      </c>
      <c r="C12088" t="s">
        <v>15085</v>
      </c>
      <c r="D12088" t="s">
        <v>17200</v>
      </c>
      <c r="E12088" t="s">
        <v>27535</v>
      </c>
      <c r="F12088" t="s">
        <v>29372</v>
      </c>
      <c r="G12088" t="s">
        <v>29380</v>
      </c>
      <c r="H12088" t="s">
        <v>29389</v>
      </c>
      <c r="I12088" t="s">
        <v>10408</v>
      </c>
      <c r="J12088" t="s">
        <v>37162</v>
      </c>
      <c r="K12088" t="s">
        <v>38689</v>
      </c>
      <c r="M12088" t="s">
        <v>42373</v>
      </c>
      <c r="N12088" t="s">
        <v>42669</v>
      </c>
      <c r="O12088" t="s">
        <v>42670</v>
      </c>
      <c r="P12088">
        <v>0</v>
      </c>
      <c r="Q12088">
        <v>0</v>
      </c>
      <c r="R12088" t="s">
        <v>42689</v>
      </c>
      <c r="S12088" t="s">
        <v>43461</v>
      </c>
      <c r="T12088" t="s">
        <v>44488</v>
      </c>
      <c r="U12088" t="s">
        <v>54648</v>
      </c>
      <c r="W12088" t="s">
        <v>42373</v>
      </c>
      <c r="X12088" t="s">
        <v>42690</v>
      </c>
    </row>
    <row r="12089" spans="1:24">
      <c r="A12089">
        <f>HYPERLINK("https://www.philgeps.gov.ph/GEPSNONPILOT/Tender/SplashBidNoticeAbstractUI.aspx?menuIndex=3&amp;refID=7144930-2&amp;Result=3","7144930-2")</f>
        <v>0</v>
      </c>
      <c r="B12089" t="s">
        <v>2151</v>
      </c>
      <c r="C12089" t="s">
        <v>15086</v>
      </c>
      <c r="E12089" t="s">
        <v>27536</v>
      </c>
      <c r="F12089" t="s">
        <v>29372</v>
      </c>
      <c r="G12089" t="s">
        <v>29380</v>
      </c>
      <c r="H12089" t="s">
        <v>29391</v>
      </c>
      <c r="I12089" t="s">
        <v>29391</v>
      </c>
      <c r="J12089" t="s">
        <v>37163</v>
      </c>
      <c r="K12089" t="s">
        <v>38490</v>
      </c>
      <c r="M12089" t="s">
        <v>41059</v>
      </c>
      <c r="N12089" t="s">
        <v>42669</v>
      </c>
      <c r="O12089" t="s">
        <v>42670</v>
      </c>
      <c r="P12089">
        <v>0</v>
      </c>
      <c r="Q12089">
        <v>2</v>
      </c>
      <c r="R12089" t="s">
        <v>42688</v>
      </c>
      <c r="S12089" t="s">
        <v>43441</v>
      </c>
      <c r="T12089" t="s">
        <v>44488</v>
      </c>
      <c r="U12089" t="s">
        <v>54702</v>
      </c>
      <c r="V12089" t="s">
        <v>57736</v>
      </c>
      <c r="W12089" t="s">
        <v>41059</v>
      </c>
      <c r="X12089" t="s">
        <v>42689</v>
      </c>
    </row>
    <row r="12090" spans="1:24">
      <c r="A12090">
        <f>HYPERLINK("https://www.philgeps.gov.ph/GEPSNONPILOT/Tender/SplashBidNoticeAbstractUI.aspx?menuIndex=3&amp;refID=7159896&amp;Result=3","7159896")</f>
        <v>0</v>
      </c>
      <c r="B12090" t="s">
        <v>3302</v>
      </c>
      <c r="C12090" t="s">
        <v>15087</v>
      </c>
      <c r="D12090" t="s">
        <v>17168</v>
      </c>
      <c r="E12090" t="s">
        <v>19197</v>
      </c>
      <c r="F12090" t="s">
        <v>29372</v>
      </c>
      <c r="G12090" t="s">
        <v>29380</v>
      </c>
      <c r="H12090" t="s">
        <v>11048</v>
      </c>
      <c r="I12090" t="s">
        <v>29404</v>
      </c>
      <c r="J12090" t="s">
        <v>37164</v>
      </c>
      <c r="K12090" t="s">
        <v>38488</v>
      </c>
      <c r="M12090" t="s">
        <v>42384</v>
      </c>
      <c r="N12090" t="s">
        <v>42669</v>
      </c>
      <c r="O12090" t="s">
        <v>42670</v>
      </c>
      <c r="P12090">
        <v>0</v>
      </c>
      <c r="Q12090">
        <v>0</v>
      </c>
      <c r="R12090" t="s">
        <v>42689</v>
      </c>
      <c r="S12090" t="s">
        <v>43461</v>
      </c>
      <c r="T12090" t="s">
        <v>44371</v>
      </c>
      <c r="U12090" t="s">
        <v>54703</v>
      </c>
      <c r="V12090" t="s">
        <v>57737</v>
      </c>
      <c r="W12090" t="s">
        <v>42384</v>
      </c>
      <c r="X12090" t="s">
        <v>42690</v>
      </c>
    </row>
    <row r="12091" spans="1:24">
      <c r="A12091">
        <f>HYPERLINK("https://www.philgeps.gov.ph/GEPSNONPILOT/Tender/SplashBidNoticeAbstractUI.aspx?menuIndex=3&amp;refID=7159910&amp;Result=3","7159910")</f>
        <v>0</v>
      </c>
      <c r="B12091" t="s">
        <v>1447</v>
      </c>
      <c r="C12091" t="s">
        <v>15088</v>
      </c>
      <c r="D12091" t="s">
        <v>17182</v>
      </c>
      <c r="E12091" t="s">
        <v>27537</v>
      </c>
      <c r="F12091" t="s">
        <v>29372</v>
      </c>
      <c r="G12091" t="s">
        <v>29380</v>
      </c>
      <c r="H12091" t="s">
        <v>11048</v>
      </c>
      <c r="I12091" t="s">
        <v>3695</v>
      </c>
      <c r="J12091" t="s">
        <v>37165</v>
      </c>
      <c r="K12091" t="s">
        <v>38485</v>
      </c>
      <c r="M12091" t="s">
        <v>40288</v>
      </c>
      <c r="N12091" t="s">
        <v>42669</v>
      </c>
      <c r="O12091" t="s">
        <v>42670</v>
      </c>
      <c r="P12091">
        <v>0</v>
      </c>
      <c r="Q12091">
        <v>7</v>
      </c>
      <c r="R12091" t="s">
        <v>42689</v>
      </c>
      <c r="S12091" t="s">
        <v>43461</v>
      </c>
      <c r="T12091" t="s">
        <v>44399</v>
      </c>
      <c r="U12091" t="s">
        <v>54704</v>
      </c>
      <c r="V12091" t="s">
        <v>57738</v>
      </c>
      <c r="W12091" t="s">
        <v>40288</v>
      </c>
      <c r="X12091" t="s">
        <v>42690</v>
      </c>
    </row>
    <row r="12092" spans="1:24">
      <c r="A12092">
        <f>HYPERLINK("https://www.philgeps.gov.ph/GEPSNONPILOT/Tender/SplashBidNoticeAbstractUI.aspx?menuIndex=3&amp;refID=7159895&amp;Result=3","7159895")</f>
        <v>0</v>
      </c>
      <c r="B12092" t="s">
        <v>272</v>
      </c>
      <c r="C12092" t="s">
        <v>15089</v>
      </c>
      <c r="E12092" t="s">
        <v>27538</v>
      </c>
      <c r="F12092" t="s">
        <v>29372</v>
      </c>
      <c r="G12092" t="s">
        <v>29380</v>
      </c>
      <c r="H12092" t="s">
        <v>29389</v>
      </c>
      <c r="I12092" t="s">
        <v>10408</v>
      </c>
      <c r="J12092" t="s">
        <v>31498</v>
      </c>
      <c r="K12092" t="s">
        <v>38622</v>
      </c>
      <c r="M12092" t="s">
        <v>42385</v>
      </c>
      <c r="N12092" t="s">
        <v>42669</v>
      </c>
      <c r="O12092" t="s">
        <v>42670</v>
      </c>
      <c r="P12092">
        <v>0</v>
      </c>
      <c r="Q12092">
        <v>1</v>
      </c>
      <c r="R12092" t="s">
        <v>42689</v>
      </c>
      <c r="S12092" t="s">
        <v>43461</v>
      </c>
      <c r="T12092" t="s">
        <v>44524</v>
      </c>
      <c r="U12092" t="s">
        <v>54705</v>
      </c>
      <c r="V12092" t="s">
        <v>57739</v>
      </c>
      <c r="W12092" t="s">
        <v>42385</v>
      </c>
      <c r="X12092" t="s">
        <v>42690</v>
      </c>
    </row>
    <row r="12093" spans="1:24">
      <c r="A12093">
        <f>HYPERLINK("https://www.philgeps.gov.ph/GEPSNONPILOT/Tender/SplashBidNoticeAbstractUI.aspx?menuIndex=3&amp;refID=7159888&amp;Result=3","7159888")</f>
        <v>0</v>
      </c>
      <c r="B12093" t="s">
        <v>183</v>
      </c>
      <c r="C12093" t="s">
        <v>15090</v>
      </c>
      <c r="D12093" t="s">
        <v>17168</v>
      </c>
      <c r="E12093" t="s">
        <v>27539</v>
      </c>
      <c r="F12093" t="s">
        <v>29372</v>
      </c>
      <c r="G12093" t="s">
        <v>29380</v>
      </c>
      <c r="H12093" t="s">
        <v>11048</v>
      </c>
      <c r="I12093" t="s">
        <v>29433</v>
      </c>
      <c r="J12093" t="s">
        <v>31429</v>
      </c>
      <c r="K12093" t="s">
        <v>38518</v>
      </c>
      <c r="M12093" t="s">
        <v>42386</v>
      </c>
      <c r="N12093" t="s">
        <v>42669</v>
      </c>
      <c r="O12093" t="s">
        <v>42670</v>
      </c>
      <c r="P12093">
        <v>0</v>
      </c>
      <c r="Q12093">
        <v>5</v>
      </c>
      <c r="R12093" t="s">
        <v>42689</v>
      </c>
      <c r="S12093" t="s">
        <v>43461</v>
      </c>
      <c r="T12093" t="s">
        <v>44387</v>
      </c>
      <c r="U12093" t="s">
        <v>54706</v>
      </c>
      <c r="V12093" t="s">
        <v>57740</v>
      </c>
      <c r="W12093" t="s">
        <v>42386</v>
      </c>
      <c r="X12093" t="s">
        <v>42690</v>
      </c>
    </row>
    <row r="12094" spans="1:24">
      <c r="A12094">
        <f>HYPERLINK("https://www.philgeps.gov.ph/GEPSNONPILOT/Tender/SplashBidNoticeAbstractUI.aspx?menuIndex=3&amp;refID=7159889&amp;Result=3","7159889")</f>
        <v>0</v>
      </c>
      <c r="B12094" t="s">
        <v>1447</v>
      </c>
      <c r="C12094" t="s">
        <v>15091</v>
      </c>
      <c r="D12094" t="s">
        <v>17182</v>
      </c>
      <c r="E12094" t="s">
        <v>27540</v>
      </c>
      <c r="F12094" t="s">
        <v>29374</v>
      </c>
      <c r="G12094" t="s">
        <v>29380</v>
      </c>
      <c r="H12094" t="s">
        <v>11048</v>
      </c>
      <c r="I12094" t="s">
        <v>3695</v>
      </c>
      <c r="J12094" t="s">
        <v>37166</v>
      </c>
      <c r="K12094" t="s">
        <v>38485</v>
      </c>
      <c r="M12094" t="s">
        <v>40288</v>
      </c>
      <c r="N12094" t="s">
        <v>42669</v>
      </c>
      <c r="O12094" t="s">
        <v>42670</v>
      </c>
      <c r="P12094">
        <v>0</v>
      </c>
      <c r="Q12094">
        <v>7</v>
      </c>
      <c r="R12094" t="s">
        <v>42689</v>
      </c>
      <c r="S12094" t="s">
        <v>43461</v>
      </c>
      <c r="T12094" t="s">
        <v>44399</v>
      </c>
      <c r="U12094" t="s">
        <v>54704</v>
      </c>
      <c r="V12094" t="s">
        <v>57741</v>
      </c>
      <c r="W12094" t="s">
        <v>40288</v>
      </c>
      <c r="X12094" t="s">
        <v>42690</v>
      </c>
    </row>
    <row r="12095" spans="1:24">
      <c r="A12095">
        <f>HYPERLINK("https://www.philgeps.gov.ph/GEPSNONPILOT/Tender/SplashBidNoticeAbstractUI.aspx?menuIndex=3&amp;refID=7159879&amp;Result=3","7159879")</f>
        <v>0</v>
      </c>
      <c r="B12095" t="s">
        <v>683</v>
      </c>
      <c r="C12095" t="s">
        <v>15092</v>
      </c>
      <c r="D12095" t="s">
        <v>17197</v>
      </c>
      <c r="E12095" t="s">
        <v>27541</v>
      </c>
      <c r="F12095" t="s">
        <v>29372</v>
      </c>
      <c r="G12095" t="s">
        <v>29380</v>
      </c>
      <c r="H12095" t="s">
        <v>11048</v>
      </c>
      <c r="I12095" t="s">
        <v>4709</v>
      </c>
      <c r="J12095" t="s">
        <v>37167</v>
      </c>
      <c r="K12095" t="s">
        <v>38487</v>
      </c>
      <c r="M12095" t="s">
        <v>39459</v>
      </c>
      <c r="N12095" t="s">
        <v>42669</v>
      </c>
      <c r="O12095" t="s">
        <v>42670</v>
      </c>
      <c r="P12095">
        <v>0</v>
      </c>
      <c r="Q12095">
        <v>2</v>
      </c>
      <c r="R12095" t="s">
        <v>42689</v>
      </c>
      <c r="S12095" t="s">
        <v>43461</v>
      </c>
      <c r="T12095" t="s">
        <v>44467</v>
      </c>
      <c r="U12095" t="s">
        <v>54707</v>
      </c>
      <c r="W12095" t="s">
        <v>39459</v>
      </c>
      <c r="X12095" t="s">
        <v>42690</v>
      </c>
    </row>
    <row r="12096" spans="1:24">
      <c r="A12096">
        <f>HYPERLINK("https://www.philgeps.gov.ph/GEPSNONPILOT/Tender/SplashBidNoticeAbstractUI.aspx?menuIndex=3&amp;refID=7159871&amp;Result=3","7159871")</f>
        <v>0</v>
      </c>
      <c r="B12096" t="s">
        <v>955</v>
      </c>
      <c r="C12096" t="s">
        <v>15093</v>
      </c>
      <c r="E12096" t="s">
        <v>27542</v>
      </c>
      <c r="F12096" t="s">
        <v>29372</v>
      </c>
      <c r="G12096" t="s">
        <v>29380</v>
      </c>
      <c r="H12096" t="s">
        <v>11048</v>
      </c>
      <c r="I12096" t="s">
        <v>29407</v>
      </c>
      <c r="J12096" t="s">
        <v>37168</v>
      </c>
      <c r="K12096" t="s">
        <v>38490</v>
      </c>
      <c r="M12096" t="s">
        <v>42369</v>
      </c>
      <c r="N12096" t="s">
        <v>42669</v>
      </c>
      <c r="O12096" t="s">
        <v>42670</v>
      </c>
      <c r="P12096">
        <v>0</v>
      </c>
      <c r="Q12096">
        <v>3</v>
      </c>
      <c r="R12096" t="s">
        <v>42689</v>
      </c>
      <c r="S12096" t="s">
        <v>43461</v>
      </c>
      <c r="T12096" t="s">
        <v>44427</v>
      </c>
      <c r="U12096" t="s">
        <v>54708</v>
      </c>
      <c r="W12096" t="s">
        <v>42369</v>
      </c>
      <c r="X12096" t="s">
        <v>42690</v>
      </c>
    </row>
    <row r="12097" spans="1:24">
      <c r="A12097">
        <f>HYPERLINK("https://www.philgeps.gov.ph/GEPSNONPILOT/Tender/SplashBidNoticeAbstractUI.aspx?menuIndex=3&amp;refID=7159909&amp;Result=3","7159909")</f>
        <v>0</v>
      </c>
      <c r="B12097" t="s">
        <v>1671</v>
      </c>
      <c r="C12097" t="s">
        <v>15094</v>
      </c>
      <c r="E12097" t="s">
        <v>27543</v>
      </c>
      <c r="F12097" t="s">
        <v>29372</v>
      </c>
      <c r="G12097" t="s">
        <v>29380</v>
      </c>
      <c r="H12097" t="s">
        <v>11048</v>
      </c>
      <c r="I12097" t="s">
        <v>3839</v>
      </c>
      <c r="J12097" t="s">
        <v>30161</v>
      </c>
      <c r="K12097" t="s">
        <v>38487</v>
      </c>
      <c r="M12097" t="s">
        <v>40530</v>
      </c>
      <c r="N12097" t="s">
        <v>42669</v>
      </c>
      <c r="O12097" t="s">
        <v>42670</v>
      </c>
      <c r="Q12097">
        <v>4</v>
      </c>
      <c r="R12097" t="s">
        <v>42689</v>
      </c>
      <c r="S12097" t="s">
        <v>43509</v>
      </c>
      <c r="T12097" t="s">
        <v>44357</v>
      </c>
      <c r="U12097" t="s">
        <v>54709</v>
      </c>
      <c r="W12097" t="s">
        <v>40530</v>
      </c>
      <c r="X12097" t="s">
        <v>42690</v>
      </c>
    </row>
    <row r="12098" spans="1:24">
      <c r="A12098">
        <f>HYPERLINK("https://www.philgeps.gov.ph/GEPSNONPILOT/Tender/SplashBidNoticeAbstractUI.aspx?menuIndex=3&amp;refID=7162909&amp;Result=3","7162909")</f>
        <v>0</v>
      </c>
      <c r="B12098" t="s">
        <v>2803</v>
      </c>
      <c r="C12098" t="s">
        <v>15095</v>
      </c>
      <c r="D12098" t="s">
        <v>17197</v>
      </c>
      <c r="E12098" t="s">
        <v>27544</v>
      </c>
      <c r="F12098" t="s">
        <v>29372</v>
      </c>
      <c r="G12098" t="s">
        <v>29380</v>
      </c>
      <c r="H12098" t="s">
        <v>29389</v>
      </c>
      <c r="I12098" t="s">
        <v>10408</v>
      </c>
      <c r="J12098" t="s">
        <v>29619</v>
      </c>
      <c r="K12098" t="s">
        <v>38485</v>
      </c>
      <c r="M12098" t="s">
        <v>41792</v>
      </c>
      <c r="N12098" t="s">
        <v>42669</v>
      </c>
      <c r="O12098" t="s">
        <v>42670</v>
      </c>
      <c r="P12098">
        <v>0</v>
      </c>
      <c r="Q12098">
        <v>0</v>
      </c>
      <c r="R12098" t="s">
        <v>42688</v>
      </c>
      <c r="S12098" t="s">
        <v>43441</v>
      </c>
      <c r="T12098" t="s">
        <v>44387</v>
      </c>
      <c r="U12098" t="s">
        <v>54417</v>
      </c>
      <c r="V12098" t="s">
        <v>57742</v>
      </c>
      <c r="W12098" t="s">
        <v>41792</v>
      </c>
      <c r="X12098" t="s">
        <v>42689</v>
      </c>
    </row>
    <row r="12099" spans="1:24">
      <c r="A12099">
        <f>HYPERLINK("https://www.philgeps.gov.ph/GEPSNONPILOT/Tender/SplashBidNoticeAbstractUI.aspx?menuIndex=3&amp;refID=7159869&amp;Result=3","7159869")</f>
        <v>0</v>
      </c>
      <c r="B12099" t="s">
        <v>3296</v>
      </c>
      <c r="C12099" t="s">
        <v>15096</v>
      </c>
      <c r="D12099" t="s">
        <v>17200</v>
      </c>
      <c r="E12099" t="s">
        <v>27545</v>
      </c>
      <c r="F12099" t="s">
        <v>29372</v>
      </c>
      <c r="G12099" t="s">
        <v>29380</v>
      </c>
      <c r="H12099" t="s">
        <v>29389</v>
      </c>
      <c r="I12099" t="s">
        <v>10408</v>
      </c>
      <c r="J12099" t="s">
        <v>37169</v>
      </c>
      <c r="K12099" t="s">
        <v>38516</v>
      </c>
      <c r="M12099" t="s">
        <v>42373</v>
      </c>
      <c r="N12099" t="s">
        <v>42669</v>
      </c>
      <c r="O12099" t="s">
        <v>42670</v>
      </c>
      <c r="P12099">
        <v>0</v>
      </c>
      <c r="Q12099">
        <v>2</v>
      </c>
      <c r="R12099" t="s">
        <v>42689</v>
      </c>
      <c r="S12099" t="s">
        <v>43461</v>
      </c>
      <c r="T12099" t="s">
        <v>44488</v>
      </c>
      <c r="U12099" t="s">
        <v>54648</v>
      </c>
      <c r="W12099" t="s">
        <v>42373</v>
      </c>
      <c r="X12099" t="s">
        <v>42690</v>
      </c>
    </row>
    <row r="12100" spans="1:24">
      <c r="A12100">
        <f>HYPERLINK("https://www.philgeps.gov.ph/GEPSNONPILOT/Tender/SplashBidNoticeAbstractUI.aspx?menuIndex=3&amp;refID=7159932&amp;Result=3","7159932")</f>
        <v>0</v>
      </c>
      <c r="B12100" t="s">
        <v>1447</v>
      </c>
      <c r="C12100" t="s">
        <v>15097</v>
      </c>
      <c r="D12100" t="s">
        <v>17182</v>
      </c>
      <c r="E12100" t="s">
        <v>27546</v>
      </c>
      <c r="F12100" t="s">
        <v>29372</v>
      </c>
      <c r="G12100" t="s">
        <v>29380</v>
      </c>
      <c r="H12100" t="s">
        <v>11048</v>
      </c>
      <c r="I12100" t="s">
        <v>3695</v>
      </c>
      <c r="J12100" t="s">
        <v>37170</v>
      </c>
      <c r="K12100" t="s">
        <v>38485</v>
      </c>
      <c r="M12100" t="s">
        <v>40288</v>
      </c>
      <c r="N12100" t="s">
        <v>42669</v>
      </c>
      <c r="O12100" t="s">
        <v>42670</v>
      </c>
      <c r="P12100">
        <v>0</v>
      </c>
      <c r="Q12100">
        <v>8</v>
      </c>
      <c r="R12100" t="s">
        <v>42689</v>
      </c>
      <c r="S12100" t="s">
        <v>43461</v>
      </c>
      <c r="T12100" t="s">
        <v>44399</v>
      </c>
      <c r="U12100" t="s">
        <v>54704</v>
      </c>
      <c r="V12100" t="s">
        <v>57743</v>
      </c>
      <c r="W12100" t="s">
        <v>40288</v>
      </c>
      <c r="X12100" t="s">
        <v>42690</v>
      </c>
    </row>
    <row r="12101" spans="1:24">
      <c r="A12101">
        <f>HYPERLINK("https://www.philgeps.gov.ph/GEPSNONPILOT/Tender/SplashBidNoticeAbstractUI.aspx?menuIndex=3&amp;refID=7159998&amp;Result=3","7159998")</f>
        <v>0</v>
      </c>
      <c r="B12101" t="s">
        <v>985</v>
      </c>
      <c r="C12101" t="s">
        <v>15098</v>
      </c>
      <c r="D12101" t="s">
        <v>17158</v>
      </c>
      <c r="E12101" t="s">
        <v>27547</v>
      </c>
      <c r="F12101" t="s">
        <v>29372</v>
      </c>
      <c r="G12101" t="s">
        <v>29380</v>
      </c>
      <c r="H12101" t="s">
        <v>11048</v>
      </c>
      <c r="I12101" t="s">
        <v>8208</v>
      </c>
      <c r="J12101" t="s">
        <v>31854</v>
      </c>
      <c r="K12101" t="s">
        <v>38485</v>
      </c>
      <c r="M12101" t="s">
        <v>39783</v>
      </c>
      <c r="N12101" t="s">
        <v>42669</v>
      </c>
      <c r="O12101" t="s">
        <v>42670</v>
      </c>
      <c r="Q12101">
        <v>0</v>
      </c>
      <c r="R12101" t="s">
        <v>42689</v>
      </c>
      <c r="S12101" t="s">
        <v>43510</v>
      </c>
      <c r="T12101" t="s">
        <v>44412</v>
      </c>
      <c r="U12101" t="s">
        <v>54710</v>
      </c>
      <c r="W12101" t="s">
        <v>39783</v>
      </c>
      <c r="X12101" t="s">
        <v>42690</v>
      </c>
    </row>
    <row r="12102" spans="1:24">
      <c r="A12102">
        <f>HYPERLINK("https://www.philgeps.gov.ph/GEPSNONPILOT/Tender/SplashBidNoticeAbstractUI.aspx?menuIndex=3&amp;refID=7159877&amp;Result=3","7159877")</f>
        <v>0</v>
      </c>
      <c r="B12102" t="s">
        <v>3299</v>
      </c>
      <c r="C12102" t="s">
        <v>15099</v>
      </c>
      <c r="E12102" t="s">
        <v>27548</v>
      </c>
      <c r="F12102" t="s">
        <v>29372</v>
      </c>
      <c r="G12102" t="s">
        <v>29380</v>
      </c>
      <c r="H12102" t="s">
        <v>29389</v>
      </c>
      <c r="I12102" t="s">
        <v>10408</v>
      </c>
      <c r="J12102" t="s">
        <v>37171</v>
      </c>
      <c r="K12102" t="s">
        <v>38490</v>
      </c>
      <c r="M12102" t="s">
        <v>42376</v>
      </c>
      <c r="N12102" t="s">
        <v>42669</v>
      </c>
      <c r="O12102" t="s">
        <v>42670</v>
      </c>
      <c r="P12102">
        <v>0</v>
      </c>
      <c r="Q12102">
        <v>31</v>
      </c>
      <c r="R12102" t="s">
        <v>42689</v>
      </c>
      <c r="S12102" t="s">
        <v>43461</v>
      </c>
      <c r="T12102" t="s">
        <v>44378</v>
      </c>
      <c r="U12102" t="s">
        <v>54711</v>
      </c>
      <c r="V12102" t="s">
        <v>57732</v>
      </c>
      <c r="W12102" t="s">
        <v>42376</v>
      </c>
      <c r="X12102" t="s">
        <v>42690</v>
      </c>
    </row>
    <row r="12103" spans="1:24">
      <c r="A12103">
        <f>HYPERLINK("https://www.philgeps.gov.ph/GEPSNONPILOT/Tender/SplashBidNoticeAbstractUI.aspx?menuIndex=3&amp;refID=7160012&amp;Result=3","7160012")</f>
        <v>0</v>
      </c>
      <c r="B12103" t="s">
        <v>1170</v>
      </c>
      <c r="C12103" t="s">
        <v>15100</v>
      </c>
      <c r="D12103" t="s">
        <v>17169</v>
      </c>
      <c r="E12103" t="s">
        <v>27549</v>
      </c>
      <c r="F12103" t="s">
        <v>29372</v>
      </c>
      <c r="G12103" t="s">
        <v>29380</v>
      </c>
      <c r="H12103" t="s">
        <v>11048</v>
      </c>
      <c r="I12103" t="s">
        <v>29425</v>
      </c>
      <c r="J12103" t="s">
        <v>33508</v>
      </c>
      <c r="K12103" t="s">
        <v>38485</v>
      </c>
      <c r="M12103" t="s">
        <v>42070</v>
      </c>
      <c r="N12103" t="s">
        <v>42669</v>
      </c>
      <c r="O12103" t="s">
        <v>42670</v>
      </c>
      <c r="P12103">
        <v>0</v>
      </c>
      <c r="Q12103">
        <v>12</v>
      </c>
      <c r="R12103" t="s">
        <v>42689</v>
      </c>
      <c r="S12103" t="s">
        <v>43461</v>
      </c>
      <c r="T12103" t="s">
        <v>44434</v>
      </c>
      <c r="U12103" t="s">
        <v>54712</v>
      </c>
      <c r="W12103" t="s">
        <v>42070</v>
      </c>
      <c r="X12103" t="s">
        <v>42690</v>
      </c>
    </row>
    <row r="12104" spans="1:24">
      <c r="A12104">
        <f>HYPERLINK("https://www.philgeps.gov.ph/GEPSNONPILOT/Tender/SplashBidNoticeAbstractUI.aspx?menuIndex=3&amp;refID=7159875&amp;Result=3","7159875")</f>
        <v>0</v>
      </c>
      <c r="B12104" t="s">
        <v>3286</v>
      </c>
      <c r="C12104" t="s">
        <v>15101</v>
      </c>
      <c r="D12104" t="s">
        <v>17197</v>
      </c>
      <c r="E12104" t="s">
        <v>27550</v>
      </c>
      <c r="F12104" t="s">
        <v>29372</v>
      </c>
      <c r="G12104" t="s">
        <v>29380</v>
      </c>
      <c r="H12104" t="s">
        <v>29389</v>
      </c>
      <c r="I12104" t="s">
        <v>10408</v>
      </c>
      <c r="J12104" t="s">
        <v>37172</v>
      </c>
      <c r="K12104" t="s">
        <v>38564</v>
      </c>
      <c r="M12104" t="s">
        <v>42360</v>
      </c>
      <c r="N12104" t="s">
        <v>42669</v>
      </c>
      <c r="O12104" t="s">
        <v>42670</v>
      </c>
      <c r="P12104">
        <v>0</v>
      </c>
      <c r="Q12104">
        <v>1</v>
      </c>
      <c r="R12104" t="s">
        <v>42689</v>
      </c>
      <c r="S12104" t="s">
        <v>43461</v>
      </c>
      <c r="T12104" t="s">
        <v>44434</v>
      </c>
      <c r="U12104" t="s">
        <v>54713</v>
      </c>
      <c r="W12104" t="s">
        <v>42360</v>
      </c>
      <c r="X12104" t="s">
        <v>42690</v>
      </c>
    </row>
    <row r="12105" spans="1:24">
      <c r="A12105">
        <f>HYPERLINK("https://www.philgeps.gov.ph/GEPSNONPILOT/Tender/SplashBidNoticeAbstractUI.aspx?menuIndex=3&amp;refID=7160007&amp;Result=3","7160007")</f>
        <v>0</v>
      </c>
      <c r="B12105" t="s">
        <v>183</v>
      </c>
      <c r="C12105" t="s">
        <v>15102</v>
      </c>
      <c r="D12105" t="s">
        <v>17168</v>
      </c>
      <c r="E12105" t="s">
        <v>27551</v>
      </c>
      <c r="F12105" t="s">
        <v>29372</v>
      </c>
      <c r="G12105" t="s">
        <v>29380</v>
      </c>
      <c r="H12105" t="s">
        <v>11048</v>
      </c>
      <c r="I12105" t="s">
        <v>29407</v>
      </c>
      <c r="J12105" t="s">
        <v>37173</v>
      </c>
      <c r="K12105" t="s">
        <v>38485</v>
      </c>
      <c r="M12105" t="s">
        <v>42386</v>
      </c>
      <c r="N12105" t="s">
        <v>42669</v>
      </c>
      <c r="O12105" t="s">
        <v>42670</v>
      </c>
      <c r="Q12105">
        <v>9</v>
      </c>
      <c r="R12105" t="s">
        <v>42689</v>
      </c>
      <c r="S12105" t="s">
        <v>43511</v>
      </c>
      <c r="T12105" t="s">
        <v>44387</v>
      </c>
      <c r="U12105" t="s">
        <v>54714</v>
      </c>
      <c r="V12105" t="s">
        <v>57744</v>
      </c>
      <c r="W12105" t="s">
        <v>42386</v>
      </c>
      <c r="X12105" t="s">
        <v>42690</v>
      </c>
    </row>
    <row r="12106" spans="1:24">
      <c r="A12106">
        <f>HYPERLINK("https://www.philgeps.gov.ph/GEPSNONPILOT/Tender/SplashBidNoticeAbstractUI.aspx?menuIndex=3&amp;refID=7160002&amp;Result=3","7160002")</f>
        <v>0</v>
      </c>
      <c r="B12106" t="s">
        <v>1919</v>
      </c>
      <c r="C12106" t="s">
        <v>15103</v>
      </c>
      <c r="D12106" t="s">
        <v>17194</v>
      </c>
      <c r="E12106" t="s">
        <v>27552</v>
      </c>
      <c r="F12106" t="s">
        <v>29372</v>
      </c>
      <c r="G12106" t="s">
        <v>29380</v>
      </c>
      <c r="H12106" t="s">
        <v>29389</v>
      </c>
      <c r="I12106" t="s">
        <v>10408</v>
      </c>
      <c r="J12106" t="s">
        <v>37174</v>
      </c>
      <c r="K12106" t="s">
        <v>38747</v>
      </c>
      <c r="M12106" t="s">
        <v>40820</v>
      </c>
      <c r="N12106" t="s">
        <v>42669</v>
      </c>
      <c r="O12106" t="s">
        <v>42670</v>
      </c>
      <c r="Q12106">
        <v>16</v>
      </c>
      <c r="R12106" t="s">
        <v>42689</v>
      </c>
      <c r="S12106" t="s">
        <v>43512</v>
      </c>
      <c r="T12106" t="s">
        <v>44432</v>
      </c>
      <c r="U12106" t="s">
        <v>53308</v>
      </c>
      <c r="V12106" t="s">
        <v>56972</v>
      </c>
      <c r="W12106" t="s">
        <v>40820</v>
      </c>
      <c r="X12106" t="s">
        <v>42690</v>
      </c>
    </row>
    <row r="12107" spans="1:24">
      <c r="A12107">
        <f>HYPERLINK("https://www.philgeps.gov.ph/GEPSNONPILOT/Tender/SplashBidNoticeAbstractUI.aspx?menuIndex=3&amp;refID=7160010&amp;Result=3","7160010")</f>
        <v>0</v>
      </c>
      <c r="B12107" t="s">
        <v>3303</v>
      </c>
      <c r="C12107" t="s">
        <v>15104</v>
      </c>
      <c r="E12107" t="s">
        <v>27553</v>
      </c>
      <c r="F12107" t="s">
        <v>29372</v>
      </c>
      <c r="G12107" t="s">
        <v>29381</v>
      </c>
      <c r="H12107" t="s">
        <v>29391</v>
      </c>
      <c r="I12107" t="s">
        <v>29391</v>
      </c>
      <c r="J12107" t="s">
        <v>37175</v>
      </c>
      <c r="K12107" t="s">
        <v>38490</v>
      </c>
      <c r="M12107" t="s">
        <v>42387</v>
      </c>
      <c r="N12107" t="s">
        <v>42669</v>
      </c>
      <c r="O12107" t="s">
        <v>42670</v>
      </c>
      <c r="Q12107">
        <v>7</v>
      </c>
      <c r="R12107" t="s">
        <v>42689</v>
      </c>
      <c r="S12107" t="s">
        <v>43513</v>
      </c>
      <c r="T12107" t="s">
        <v>44508</v>
      </c>
      <c r="U12107" t="s">
        <v>54715</v>
      </c>
      <c r="W12107" t="s">
        <v>42387</v>
      </c>
      <c r="X12107" t="s">
        <v>42690</v>
      </c>
    </row>
    <row r="12108" spans="1:24">
      <c r="A12108">
        <f>HYPERLINK("https://www.philgeps.gov.ph/GEPSNONPILOT/Tender/SplashBidNoticeAbstractUI.aspx?menuIndex=3&amp;refID=7160000&amp;Result=3","7160000")</f>
        <v>0</v>
      </c>
      <c r="B12108" t="s">
        <v>278</v>
      </c>
      <c r="C12108" t="s">
        <v>15105</v>
      </c>
      <c r="D12108" t="s">
        <v>17206</v>
      </c>
      <c r="E12108" t="s">
        <v>27554</v>
      </c>
      <c r="F12108" t="s">
        <v>29372</v>
      </c>
      <c r="G12108" t="s">
        <v>29383</v>
      </c>
      <c r="H12108" t="s">
        <v>11048</v>
      </c>
      <c r="I12108" t="s">
        <v>4487</v>
      </c>
      <c r="J12108" t="s">
        <v>37176</v>
      </c>
      <c r="K12108" t="s">
        <v>38485</v>
      </c>
      <c r="M12108" t="s">
        <v>40113</v>
      </c>
      <c r="N12108" t="s">
        <v>42669</v>
      </c>
      <c r="O12108" t="s">
        <v>42670</v>
      </c>
      <c r="Q12108">
        <v>4</v>
      </c>
      <c r="R12108" t="s">
        <v>42689</v>
      </c>
      <c r="S12108" t="s">
        <v>43514</v>
      </c>
      <c r="T12108" t="s">
        <v>44631</v>
      </c>
      <c r="U12108" t="s">
        <v>54716</v>
      </c>
      <c r="W12108" t="s">
        <v>40113</v>
      </c>
      <c r="X12108" t="s">
        <v>42690</v>
      </c>
    </row>
    <row r="12109" spans="1:24">
      <c r="A12109">
        <f>HYPERLINK("https://www.philgeps.gov.ph/GEPSNONPILOT/Tender/SplashBidNoticeAbstractUI.aspx?menuIndex=3&amp;refID=7159987&amp;Result=3","7159987")</f>
        <v>0</v>
      </c>
      <c r="B12109" t="s">
        <v>772</v>
      </c>
      <c r="C12109" t="s">
        <v>15106</v>
      </c>
      <c r="D12109" t="s">
        <v>17187</v>
      </c>
      <c r="E12109" t="s">
        <v>27555</v>
      </c>
      <c r="F12109" t="s">
        <v>29372</v>
      </c>
      <c r="G12109" t="s">
        <v>29380</v>
      </c>
      <c r="H12109" t="s">
        <v>11048</v>
      </c>
      <c r="I12109" t="s">
        <v>29407</v>
      </c>
      <c r="J12109" t="s">
        <v>35575</v>
      </c>
      <c r="K12109" t="s">
        <v>38491</v>
      </c>
      <c r="M12109" t="s">
        <v>39556</v>
      </c>
      <c r="N12109" t="s">
        <v>42669</v>
      </c>
      <c r="O12109" t="s">
        <v>42670</v>
      </c>
      <c r="P12109">
        <v>0</v>
      </c>
      <c r="Q12109">
        <v>20</v>
      </c>
      <c r="R12109" t="s">
        <v>42689</v>
      </c>
      <c r="S12109" t="s">
        <v>43461</v>
      </c>
      <c r="T12109" t="s">
        <v>44401</v>
      </c>
      <c r="U12109" t="s">
        <v>46442</v>
      </c>
      <c r="W12109" t="s">
        <v>39556</v>
      </c>
      <c r="X12109" t="s">
        <v>42690</v>
      </c>
    </row>
    <row r="12110" spans="1:24">
      <c r="A12110">
        <f>HYPERLINK("https://www.philgeps.gov.ph/GEPSNONPILOT/Tender/SplashBidNoticeAbstractUI.aspx?menuIndex=3&amp;refID=7159880&amp;Result=3","7159880")</f>
        <v>0</v>
      </c>
      <c r="B12110" t="s">
        <v>1408</v>
      </c>
      <c r="C12110" t="s">
        <v>15107</v>
      </c>
      <c r="D12110" t="s">
        <v>17213</v>
      </c>
      <c r="E12110" t="s">
        <v>27556</v>
      </c>
      <c r="F12110" t="s">
        <v>29372</v>
      </c>
      <c r="G12110" t="s">
        <v>29380</v>
      </c>
      <c r="H12110" t="s">
        <v>29389</v>
      </c>
      <c r="I12110" t="s">
        <v>10408</v>
      </c>
      <c r="J12110" t="s">
        <v>30845</v>
      </c>
      <c r="K12110" t="s">
        <v>38619</v>
      </c>
      <c r="M12110" t="s">
        <v>42388</v>
      </c>
      <c r="N12110" t="s">
        <v>42669</v>
      </c>
      <c r="O12110" t="s">
        <v>42670</v>
      </c>
      <c r="Q12110">
        <v>0</v>
      </c>
      <c r="R12110" t="s">
        <v>42689</v>
      </c>
      <c r="S12110" t="s">
        <v>43515</v>
      </c>
      <c r="T12110" t="s">
        <v>44481</v>
      </c>
      <c r="U12110" t="s">
        <v>54717</v>
      </c>
      <c r="V12110" t="s">
        <v>49976</v>
      </c>
      <c r="W12110" t="s">
        <v>42388</v>
      </c>
      <c r="X12110" t="s">
        <v>42690</v>
      </c>
    </row>
    <row r="12111" spans="1:24">
      <c r="A12111">
        <f>HYPERLINK("https://www.philgeps.gov.ph/GEPSNONPILOT/Tender/SplashBidNoticeAbstractUI.aspx?menuIndex=3&amp;refID=7160009&amp;Result=3","7160009")</f>
        <v>0</v>
      </c>
      <c r="B12111" t="s">
        <v>278</v>
      </c>
      <c r="C12111" t="s">
        <v>15108</v>
      </c>
      <c r="D12111" t="s">
        <v>17206</v>
      </c>
      <c r="E12111" t="s">
        <v>15108</v>
      </c>
      <c r="F12111" t="s">
        <v>29372</v>
      </c>
      <c r="G12111" t="s">
        <v>29383</v>
      </c>
      <c r="H12111" t="s">
        <v>11048</v>
      </c>
      <c r="I12111" t="s">
        <v>4487</v>
      </c>
      <c r="J12111" t="s">
        <v>37177</v>
      </c>
      <c r="K12111" t="s">
        <v>38485</v>
      </c>
      <c r="M12111" t="s">
        <v>40113</v>
      </c>
      <c r="N12111" t="s">
        <v>42669</v>
      </c>
      <c r="O12111" t="s">
        <v>42670</v>
      </c>
      <c r="Q12111">
        <v>0</v>
      </c>
      <c r="R12111" t="s">
        <v>42689</v>
      </c>
      <c r="S12111" t="s">
        <v>43516</v>
      </c>
      <c r="T12111" t="s">
        <v>44631</v>
      </c>
      <c r="U12111" t="s">
        <v>54718</v>
      </c>
      <c r="W12111" t="s">
        <v>40113</v>
      </c>
      <c r="X12111" t="s">
        <v>42690</v>
      </c>
    </row>
    <row r="12112" spans="1:24">
      <c r="A12112">
        <f>HYPERLINK("https://www.philgeps.gov.ph/GEPSNONPILOT/Tender/SplashBidNoticeAbstractUI.aspx?menuIndex=3&amp;refID=7159983&amp;Result=3","7159983")</f>
        <v>0</v>
      </c>
      <c r="B12112" t="s">
        <v>3050</v>
      </c>
      <c r="C12112" t="s">
        <v>15109</v>
      </c>
      <c r="D12112" t="s">
        <v>17198</v>
      </c>
      <c r="E12112" t="s">
        <v>15109</v>
      </c>
      <c r="F12112" t="s">
        <v>29372</v>
      </c>
      <c r="G12112" t="s">
        <v>29380</v>
      </c>
      <c r="H12112" t="s">
        <v>29389</v>
      </c>
      <c r="I12112" t="s">
        <v>10408</v>
      </c>
      <c r="J12112" t="s">
        <v>37178</v>
      </c>
      <c r="K12112" t="s">
        <v>38533</v>
      </c>
      <c r="M12112" t="s">
        <v>42075</v>
      </c>
      <c r="N12112" t="s">
        <v>42669</v>
      </c>
      <c r="O12112" t="s">
        <v>42670</v>
      </c>
      <c r="P12112">
        <v>0</v>
      </c>
      <c r="Q12112">
        <v>0</v>
      </c>
      <c r="R12112" t="s">
        <v>42689</v>
      </c>
      <c r="S12112" t="s">
        <v>43461</v>
      </c>
      <c r="T12112" t="s">
        <v>44412</v>
      </c>
      <c r="U12112" t="s">
        <v>54719</v>
      </c>
      <c r="W12112" t="s">
        <v>42075</v>
      </c>
      <c r="X12112" t="s">
        <v>42690</v>
      </c>
    </row>
    <row r="12113" spans="1:24">
      <c r="A12113">
        <f>HYPERLINK("https://www.philgeps.gov.ph/GEPSNONPILOT/Tender/SplashBidNoticeAbstractUI.aspx?menuIndex=3&amp;refID=7159980&amp;Result=3","7159980")</f>
        <v>0</v>
      </c>
      <c r="B12113" t="s">
        <v>795</v>
      </c>
      <c r="C12113" t="s">
        <v>15110</v>
      </c>
      <c r="D12113" t="s">
        <v>17167</v>
      </c>
      <c r="E12113" t="s">
        <v>27557</v>
      </c>
      <c r="F12113" t="s">
        <v>29372</v>
      </c>
      <c r="G12113" t="s">
        <v>29380</v>
      </c>
      <c r="H12113" t="s">
        <v>29389</v>
      </c>
      <c r="I12113" t="s">
        <v>10408</v>
      </c>
      <c r="J12113" t="s">
        <v>37179</v>
      </c>
      <c r="K12113" t="s">
        <v>38657</v>
      </c>
      <c r="M12113" t="s">
        <v>39579</v>
      </c>
      <c r="N12113" t="s">
        <v>42669</v>
      </c>
      <c r="O12113" t="s">
        <v>42670</v>
      </c>
      <c r="Q12113">
        <v>1</v>
      </c>
      <c r="R12113" t="s">
        <v>42689</v>
      </c>
      <c r="S12113" t="s">
        <v>43517</v>
      </c>
      <c r="T12113" t="s">
        <v>44425</v>
      </c>
      <c r="U12113" t="s">
        <v>54720</v>
      </c>
      <c r="W12113" t="s">
        <v>39579</v>
      </c>
      <c r="X12113" t="s">
        <v>42690</v>
      </c>
    </row>
    <row r="12114" spans="1:24">
      <c r="A12114">
        <f>HYPERLINK("https://www.philgeps.gov.ph/GEPSNONPILOT/Tender/SplashBidNoticeAbstractUI.aspx?menuIndex=3&amp;refID=7159921&amp;Result=3","7159921")</f>
        <v>0</v>
      </c>
      <c r="B12114" t="s">
        <v>1447</v>
      </c>
      <c r="C12114" t="s">
        <v>15111</v>
      </c>
      <c r="D12114" t="s">
        <v>17182</v>
      </c>
      <c r="E12114" t="s">
        <v>27558</v>
      </c>
      <c r="F12114" t="s">
        <v>29372</v>
      </c>
      <c r="G12114" t="s">
        <v>29380</v>
      </c>
      <c r="H12114" t="s">
        <v>11048</v>
      </c>
      <c r="I12114" t="s">
        <v>3695</v>
      </c>
      <c r="J12114" t="s">
        <v>37180</v>
      </c>
      <c r="K12114" t="s">
        <v>38485</v>
      </c>
      <c r="M12114" t="s">
        <v>40288</v>
      </c>
      <c r="N12114" t="s">
        <v>42669</v>
      </c>
      <c r="O12114" t="s">
        <v>42670</v>
      </c>
      <c r="Q12114">
        <v>9</v>
      </c>
      <c r="R12114" t="s">
        <v>42689</v>
      </c>
      <c r="S12114" t="s">
        <v>43518</v>
      </c>
      <c r="T12114" t="s">
        <v>44399</v>
      </c>
      <c r="U12114" t="s">
        <v>54704</v>
      </c>
      <c r="V12114" t="s">
        <v>57745</v>
      </c>
      <c r="W12114" t="s">
        <v>40288</v>
      </c>
      <c r="X12114" t="s">
        <v>42690</v>
      </c>
    </row>
    <row r="12115" spans="1:24">
      <c r="A12115">
        <f>HYPERLINK("https://www.philgeps.gov.ph/GEPSNONPILOT/Tender/SplashBidNoticeAbstractUI.aspx?menuIndex=3&amp;refID=7159966&amp;Result=3","7159966")</f>
        <v>0</v>
      </c>
      <c r="B12115" t="s">
        <v>278</v>
      </c>
      <c r="C12115" t="s">
        <v>15112</v>
      </c>
      <c r="D12115" t="s">
        <v>17206</v>
      </c>
      <c r="E12115" t="s">
        <v>15112</v>
      </c>
      <c r="F12115" t="s">
        <v>29372</v>
      </c>
      <c r="G12115" t="s">
        <v>29383</v>
      </c>
      <c r="H12115" t="s">
        <v>11048</v>
      </c>
      <c r="I12115" t="s">
        <v>4487</v>
      </c>
      <c r="J12115" t="s">
        <v>29799</v>
      </c>
      <c r="K12115" t="s">
        <v>38485</v>
      </c>
      <c r="M12115" t="s">
        <v>40113</v>
      </c>
      <c r="N12115" t="s">
        <v>42669</v>
      </c>
      <c r="O12115" t="s">
        <v>42670</v>
      </c>
      <c r="Q12115">
        <v>2</v>
      </c>
      <c r="R12115" t="s">
        <v>42689</v>
      </c>
      <c r="S12115" t="s">
        <v>43519</v>
      </c>
      <c r="T12115" t="s">
        <v>44631</v>
      </c>
      <c r="U12115" t="s">
        <v>54721</v>
      </c>
      <c r="W12115" t="s">
        <v>40113</v>
      </c>
      <c r="X12115" t="s">
        <v>42690</v>
      </c>
    </row>
    <row r="12116" spans="1:24">
      <c r="A12116">
        <f>HYPERLINK("https://www.philgeps.gov.ph/GEPSNONPILOT/Tender/SplashBidNoticeAbstractUI.aspx?menuIndex=3&amp;refID=7160084&amp;Result=3","7160084")</f>
        <v>0</v>
      </c>
      <c r="B12116" t="s">
        <v>278</v>
      </c>
      <c r="C12116" t="s">
        <v>15113</v>
      </c>
      <c r="D12116" t="s">
        <v>17206</v>
      </c>
      <c r="E12116" t="s">
        <v>15113</v>
      </c>
      <c r="F12116" t="s">
        <v>29372</v>
      </c>
      <c r="G12116" t="s">
        <v>29383</v>
      </c>
      <c r="H12116" t="s">
        <v>11048</v>
      </c>
      <c r="I12116" t="s">
        <v>4487</v>
      </c>
      <c r="J12116" t="s">
        <v>37181</v>
      </c>
      <c r="K12116" t="s">
        <v>38485</v>
      </c>
      <c r="M12116" t="s">
        <v>40113</v>
      </c>
      <c r="N12116" t="s">
        <v>42669</v>
      </c>
      <c r="O12116" t="s">
        <v>42670</v>
      </c>
      <c r="Q12116">
        <v>4</v>
      </c>
      <c r="R12116" t="s">
        <v>42689</v>
      </c>
      <c r="S12116" t="s">
        <v>43516</v>
      </c>
      <c r="T12116" t="s">
        <v>44631</v>
      </c>
      <c r="U12116" t="s">
        <v>54722</v>
      </c>
      <c r="W12116" t="s">
        <v>40113</v>
      </c>
      <c r="X12116" t="s">
        <v>42690</v>
      </c>
    </row>
    <row r="12117" spans="1:24">
      <c r="A12117">
        <f>HYPERLINK("https://www.philgeps.gov.ph/GEPSNONPILOT/Tender/SplashBidNoticeAbstractUI.aspx?menuIndex=3&amp;refID=7159981&amp;Result=3","7159981")</f>
        <v>0</v>
      </c>
      <c r="B12117" t="s">
        <v>940</v>
      </c>
      <c r="C12117" t="s">
        <v>15114</v>
      </c>
      <c r="E12117" t="s">
        <v>27559</v>
      </c>
      <c r="F12117" t="s">
        <v>29372</v>
      </c>
      <c r="G12117" t="s">
        <v>29380</v>
      </c>
      <c r="H12117" t="s">
        <v>29389</v>
      </c>
      <c r="I12117" t="s">
        <v>10408</v>
      </c>
      <c r="J12117" t="s">
        <v>30056</v>
      </c>
      <c r="K12117" t="s">
        <v>38496</v>
      </c>
      <c r="M12117" t="s">
        <v>39735</v>
      </c>
      <c r="N12117" t="s">
        <v>42669</v>
      </c>
      <c r="O12117" t="s">
        <v>42670</v>
      </c>
      <c r="P12117">
        <v>0</v>
      </c>
      <c r="Q12117">
        <v>0</v>
      </c>
      <c r="R12117" t="s">
        <v>42689</v>
      </c>
      <c r="S12117" t="s">
        <v>43461</v>
      </c>
      <c r="T12117" t="s">
        <v>44371</v>
      </c>
      <c r="U12117" t="s">
        <v>54723</v>
      </c>
      <c r="W12117" t="s">
        <v>39735</v>
      </c>
      <c r="X12117" t="s">
        <v>42690</v>
      </c>
    </row>
    <row r="12118" spans="1:24">
      <c r="A12118">
        <f>HYPERLINK("https://www.philgeps.gov.ph/GEPSNONPILOT/Tender/SplashBidNoticeAbstractUI.aspx?menuIndex=3&amp;refID=7160143&amp;Result=3","7160143")</f>
        <v>0</v>
      </c>
      <c r="B12118" t="s">
        <v>2165</v>
      </c>
      <c r="C12118" t="s">
        <v>15115</v>
      </c>
      <c r="D12118" t="s">
        <v>17197</v>
      </c>
      <c r="E12118" t="s">
        <v>22842</v>
      </c>
      <c r="F12118" t="s">
        <v>29372</v>
      </c>
      <c r="G12118" t="s">
        <v>29380</v>
      </c>
      <c r="H12118" t="s">
        <v>29389</v>
      </c>
      <c r="I12118" t="s">
        <v>10408</v>
      </c>
      <c r="J12118" t="s">
        <v>35208</v>
      </c>
      <c r="K12118" t="s">
        <v>38579</v>
      </c>
      <c r="M12118" t="s">
        <v>41076</v>
      </c>
      <c r="N12118" t="s">
        <v>42669</v>
      </c>
      <c r="O12118" t="s">
        <v>42670</v>
      </c>
      <c r="P12118">
        <v>0</v>
      </c>
      <c r="Q12118">
        <v>0</v>
      </c>
      <c r="R12118" t="s">
        <v>42689</v>
      </c>
      <c r="S12118" t="s">
        <v>43461</v>
      </c>
      <c r="T12118" t="s">
        <v>44736</v>
      </c>
      <c r="U12118" t="s">
        <v>54724</v>
      </c>
      <c r="W12118" t="s">
        <v>41076</v>
      </c>
      <c r="X12118" t="s">
        <v>42690</v>
      </c>
    </row>
    <row r="12119" spans="1:24">
      <c r="A12119">
        <f>HYPERLINK("https://www.philgeps.gov.ph/GEPSNONPILOT/Tender/SplashBidNoticeAbstractUI.aspx?menuIndex=3&amp;refID=7159870&amp;Result=3","7159870")</f>
        <v>0</v>
      </c>
      <c r="B12119" t="s">
        <v>726</v>
      </c>
      <c r="C12119" t="s">
        <v>15116</v>
      </c>
      <c r="D12119" t="s">
        <v>17203</v>
      </c>
      <c r="E12119" t="s">
        <v>27560</v>
      </c>
      <c r="F12119" t="s">
        <v>29372</v>
      </c>
      <c r="G12119" t="s">
        <v>29380</v>
      </c>
      <c r="H12119" t="s">
        <v>29389</v>
      </c>
      <c r="I12119" t="s">
        <v>10408</v>
      </c>
      <c r="J12119" t="s">
        <v>37182</v>
      </c>
      <c r="K12119" t="s">
        <v>38622</v>
      </c>
      <c r="M12119" t="s">
        <v>39506</v>
      </c>
      <c r="N12119" t="s">
        <v>42669</v>
      </c>
      <c r="O12119" t="s">
        <v>42670</v>
      </c>
      <c r="P12119">
        <v>0</v>
      </c>
      <c r="Q12119">
        <v>0</v>
      </c>
      <c r="R12119" t="s">
        <v>42689</v>
      </c>
      <c r="S12119" t="s">
        <v>43461</v>
      </c>
      <c r="T12119" t="s">
        <v>44371</v>
      </c>
      <c r="U12119" t="s">
        <v>54725</v>
      </c>
      <c r="V12119" t="s">
        <v>57746</v>
      </c>
      <c r="W12119" t="s">
        <v>39506</v>
      </c>
      <c r="X12119" t="s">
        <v>42690</v>
      </c>
    </row>
    <row r="12120" spans="1:24">
      <c r="A12120">
        <f>HYPERLINK("https://www.philgeps.gov.ph/GEPSNONPILOT/Tender/SplashBidNoticeAbstractUI.aspx?menuIndex=3&amp;refID=7159970&amp;Result=3","7159970")</f>
        <v>0</v>
      </c>
      <c r="B12120" t="s">
        <v>3304</v>
      </c>
      <c r="C12120" t="s">
        <v>15117</v>
      </c>
      <c r="D12120" t="s">
        <v>17168</v>
      </c>
      <c r="E12120" t="s">
        <v>17376</v>
      </c>
      <c r="F12120" t="s">
        <v>29372</v>
      </c>
      <c r="G12120" t="s">
        <v>29380</v>
      </c>
      <c r="H12120" t="s">
        <v>29389</v>
      </c>
      <c r="I12120" t="s">
        <v>10408</v>
      </c>
      <c r="J12120" t="s">
        <v>37183</v>
      </c>
      <c r="K12120" t="s">
        <v>38523</v>
      </c>
      <c r="M12120" t="s">
        <v>42389</v>
      </c>
      <c r="N12120" t="s">
        <v>42669</v>
      </c>
      <c r="O12120" t="s">
        <v>42670</v>
      </c>
      <c r="P12120">
        <v>0</v>
      </c>
      <c r="Q12120">
        <v>9</v>
      </c>
      <c r="R12120" t="s">
        <v>42689</v>
      </c>
      <c r="S12120" t="s">
        <v>43461</v>
      </c>
      <c r="T12120" t="s">
        <v>44382</v>
      </c>
      <c r="U12120" t="s">
        <v>54726</v>
      </c>
      <c r="V12120" t="s">
        <v>57747</v>
      </c>
      <c r="W12120" t="s">
        <v>42389</v>
      </c>
      <c r="X12120" t="s">
        <v>42690</v>
      </c>
    </row>
    <row r="12121" spans="1:24">
      <c r="A12121">
        <f>HYPERLINK("https://www.philgeps.gov.ph/GEPSNONPILOT/Tender/SplashBidNoticeAbstractUI.aspx?menuIndex=3&amp;refID=7160115&amp;Result=3","7160115")</f>
        <v>0</v>
      </c>
      <c r="B12121" t="s">
        <v>1712</v>
      </c>
      <c r="C12121" t="s">
        <v>15118</v>
      </c>
      <c r="D12121" t="s">
        <v>17177</v>
      </c>
      <c r="E12121" t="s">
        <v>27561</v>
      </c>
      <c r="F12121" t="s">
        <v>29372</v>
      </c>
      <c r="G12121" t="s">
        <v>29380</v>
      </c>
      <c r="H12121" t="s">
        <v>11048</v>
      </c>
      <c r="I12121" t="s">
        <v>3839</v>
      </c>
      <c r="J12121" t="s">
        <v>29929</v>
      </c>
      <c r="K12121" t="s">
        <v>38485</v>
      </c>
      <c r="M12121" t="s">
        <v>40575</v>
      </c>
      <c r="N12121" t="s">
        <v>42669</v>
      </c>
      <c r="O12121" t="s">
        <v>42670</v>
      </c>
      <c r="P12121">
        <v>0</v>
      </c>
      <c r="Q12121">
        <v>9</v>
      </c>
      <c r="R12121" t="s">
        <v>42689</v>
      </c>
      <c r="S12121" t="s">
        <v>43461</v>
      </c>
      <c r="T12121" t="s">
        <v>44412</v>
      </c>
      <c r="U12121" t="s">
        <v>54727</v>
      </c>
      <c r="W12121" t="s">
        <v>40575</v>
      </c>
      <c r="X12121" t="s">
        <v>42690</v>
      </c>
    </row>
    <row r="12122" spans="1:24">
      <c r="A12122">
        <f>HYPERLINK("https://www.philgeps.gov.ph/GEPSNONPILOT/Tender/SplashBidNoticeAbstractUI.aspx?menuIndex=3&amp;refID=7160102&amp;Result=3","7160102")</f>
        <v>0</v>
      </c>
      <c r="B12122" t="s">
        <v>272</v>
      </c>
      <c r="C12122" t="s">
        <v>15119</v>
      </c>
      <c r="D12122" t="s">
        <v>17206</v>
      </c>
      <c r="E12122" t="s">
        <v>27562</v>
      </c>
      <c r="F12122" t="s">
        <v>29372</v>
      </c>
      <c r="G12122" t="s">
        <v>29380</v>
      </c>
      <c r="H12122" t="s">
        <v>29389</v>
      </c>
      <c r="I12122" t="s">
        <v>10408</v>
      </c>
      <c r="J12122" t="s">
        <v>37184</v>
      </c>
      <c r="K12122" t="s">
        <v>38522</v>
      </c>
      <c r="M12122" t="s">
        <v>42385</v>
      </c>
      <c r="N12122" t="s">
        <v>42669</v>
      </c>
      <c r="O12122" t="s">
        <v>42670</v>
      </c>
      <c r="P12122">
        <v>0</v>
      </c>
      <c r="Q12122">
        <v>3</v>
      </c>
      <c r="R12122" t="s">
        <v>42689</v>
      </c>
      <c r="S12122" t="s">
        <v>43461</v>
      </c>
      <c r="T12122" t="s">
        <v>44524</v>
      </c>
      <c r="U12122" t="s">
        <v>54728</v>
      </c>
      <c r="V12122" t="s">
        <v>57739</v>
      </c>
      <c r="W12122" t="s">
        <v>42385</v>
      </c>
      <c r="X12122" t="s">
        <v>42690</v>
      </c>
    </row>
    <row r="12123" spans="1:24">
      <c r="A12123">
        <f>HYPERLINK("https://www.philgeps.gov.ph/GEPSNONPILOT/Tender/SplashBidNoticeAbstractUI.aspx?menuIndex=3&amp;refID=7159918&amp;Result=3","7159918")</f>
        <v>0</v>
      </c>
      <c r="B12123" t="s">
        <v>985</v>
      </c>
      <c r="C12123" t="s">
        <v>15120</v>
      </c>
      <c r="D12123" t="s">
        <v>17158</v>
      </c>
      <c r="E12123" t="s">
        <v>27563</v>
      </c>
      <c r="F12123" t="s">
        <v>29372</v>
      </c>
      <c r="G12123" t="s">
        <v>29380</v>
      </c>
      <c r="H12123" t="s">
        <v>11048</v>
      </c>
      <c r="I12123" t="s">
        <v>29412</v>
      </c>
      <c r="J12123" t="s">
        <v>37185</v>
      </c>
      <c r="K12123" t="s">
        <v>38485</v>
      </c>
      <c r="M12123" t="s">
        <v>39783</v>
      </c>
      <c r="N12123" t="s">
        <v>42669</v>
      </c>
      <c r="O12123" t="s">
        <v>42670</v>
      </c>
      <c r="Q12123">
        <v>0</v>
      </c>
      <c r="R12123" t="s">
        <v>42689</v>
      </c>
      <c r="S12123" t="s">
        <v>43520</v>
      </c>
      <c r="T12123" t="s">
        <v>44412</v>
      </c>
      <c r="U12123" t="s">
        <v>54729</v>
      </c>
      <c r="W12123" t="s">
        <v>39783</v>
      </c>
      <c r="X12123" t="s">
        <v>42690</v>
      </c>
    </row>
    <row r="12124" spans="1:24">
      <c r="A12124">
        <f>HYPERLINK("https://www.philgeps.gov.ph/GEPSNONPILOT/Tender/SplashBidNoticeAbstractUI.aspx?menuIndex=3&amp;refID=7160097&amp;Result=3","7160097")</f>
        <v>0</v>
      </c>
      <c r="B12124" t="s">
        <v>3305</v>
      </c>
      <c r="C12124" t="s">
        <v>15121</v>
      </c>
      <c r="D12124" t="s">
        <v>17205</v>
      </c>
      <c r="E12124" t="s">
        <v>27564</v>
      </c>
      <c r="F12124" t="s">
        <v>29372</v>
      </c>
      <c r="G12124" t="s">
        <v>29380</v>
      </c>
      <c r="H12124" t="s">
        <v>29389</v>
      </c>
      <c r="I12124" t="s">
        <v>10408</v>
      </c>
      <c r="J12124" t="s">
        <v>37186</v>
      </c>
      <c r="K12124" t="s">
        <v>38496</v>
      </c>
      <c r="L12124" t="s">
        <v>3305</v>
      </c>
      <c r="M12124" t="s">
        <v>42390</v>
      </c>
      <c r="N12124" t="s">
        <v>42669</v>
      </c>
      <c r="O12124" t="s">
        <v>42670</v>
      </c>
      <c r="Q12124">
        <v>39</v>
      </c>
      <c r="R12124" t="s">
        <v>42689</v>
      </c>
      <c r="S12124" t="s">
        <v>43521</v>
      </c>
      <c r="T12124" t="s">
        <v>44653</v>
      </c>
      <c r="U12124" t="s">
        <v>54730</v>
      </c>
      <c r="W12124" t="s">
        <v>42390</v>
      </c>
      <c r="X12124" t="s">
        <v>42690</v>
      </c>
    </row>
    <row r="12125" spans="1:24">
      <c r="A12125">
        <f>HYPERLINK("https://www.philgeps.gov.ph/GEPSNONPILOT/Tender/SplashBidNoticeAbstractUI.aspx?menuIndex=3&amp;refID=7160083&amp;Result=3","7160083")</f>
        <v>0</v>
      </c>
      <c r="B12125" t="s">
        <v>3306</v>
      </c>
      <c r="C12125" t="s">
        <v>15122</v>
      </c>
      <c r="D12125" t="s">
        <v>17203</v>
      </c>
      <c r="E12125" t="s">
        <v>27565</v>
      </c>
      <c r="F12125" t="s">
        <v>29372</v>
      </c>
      <c r="G12125" t="s">
        <v>29380</v>
      </c>
      <c r="H12125" t="s">
        <v>29389</v>
      </c>
      <c r="I12125" t="s">
        <v>10408</v>
      </c>
      <c r="J12125" t="s">
        <v>30506</v>
      </c>
      <c r="K12125" t="s">
        <v>38522</v>
      </c>
      <c r="M12125" t="s">
        <v>42391</v>
      </c>
      <c r="N12125" t="s">
        <v>42669</v>
      </c>
      <c r="O12125" t="s">
        <v>42670</v>
      </c>
      <c r="Q12125">
        <v>0</v>
      </c>
      <c r="R12125" t="s">
        <v>42689</v>
      </c>
      <c r="S12125" t="s">
        <v>43522</v>
      </c>
      <c r="T12125" t="s">
        <v>44491</v>
      </c>
      <c r="U12125" t="s">
        <v>54731</v>
      </c>
      <c r="W12125" t="s">
        <v>42391</v>
      </c>
      <c r="X12125" t="s">
        <v>42690</v>
      </c>
    </row>
    <row r="12126" spans="1:24">
      <c r="A12126">
        <f>HYPERLINK("https://www.philgeps.gov.ph/GEPSNONPILOT/Tender/SplashBidNoticeAbstractUI.aspx?menuIndex=3&amp;refID=7160075&amp;Result=3","7160075")</f>
        <v>0</v>
      </c>
      <c r="B12126" t="s">
        <v>3215</v>
      </c>
      <c r="C12126" t="s">
        <v>15123</v>
      </c>
      <c r="E12126" t="s">
        <v>27566</v>
      </c>
      <c r="F12126" t="s">
        <v>29372</v>
      </c>
      <c r="G12126" t="s">
        <v>29380</v>
      </c>
      <c r="H12126" t="s">
        <v>29389</v>
      </c>
      <c r="I12126" t="s">
        <v>10408</v>
      </c>
      <c r="J12126" t="s">
        <v>37187</v>
      </c>
      <c r="K12126" t="s">
        <v>38490</v>
      </c>
      <c r="M12126" t="s">
        <v>42392</v>
      </c>
      <c r="N12126" t="s">
        <v>42669</v>
      </c>
      <c r="O12126" t="s">
        <v>42670</v>
      </c>
      <c r="Q12126">
        <v>40</v>
      </c>
      <c r="R12126" t="s">
        <v>42689</v>
      </c>
      <c r="S12126" t="s">
        <v>43279</v>
      </c>
      <c r="T12126" t="s">
        <v>44363</v>
      </c>
      <c r="U12126" t="s">
        <v>54732</v>
      </c>
      <c r="V12126" t="s">
        <v>57748</v>
      </c>
      <c r="W12126" t="s">
        <v>42392</v>
      </c>
      <c r="X12126" t="s">
        <v>42690</v>
      </c>
    </row>
    <row r="12127" spans="1:24">
      <c r="A12127">
        <f>HYPERLINK("https://www.philgeps.gov.ph/GEPSNONPILOT/Tender/SplashBidNoticeAbstractUI.aspx?menuIndex=3&amp;refID=7159971&amp;Result=3","7159971")</f>
        <v>0</v>
      </c>
      <c r="B12127" t="s">
        <v>2577</v>
      </c>
      <c r="C12127" t="s">
        <v>15124</v>
      </c>
      <c r="D12127" t="s">
        <v>17193</v>
      </c>
      <c r="E12127" t="s">
        <v>27567</v>
      </c>
      <c r="F12127" t="s">
        <v>29372</v>
      </c>
      <c r="G12127" t="s">
        <v>29380</v>
      </c>
      <c r="H12127" t="s">
        <v>11048</v>
      </c>
      <c r="I12127" t="s">
        <v>29466</v>
      </c>
      <c r="J12127" t="s">
        <v>30056</v>
      </c>
      <c r="K12127" t="s">
        <v>38491</v>
      </c>
      <c r="M12127" t="s">
        <v>41544</v>
      </c>
      <c r="N12127" t="s">
        <v>42669</v>
      </c>
      <c r="O12127" t="s">
        <v>42670</v>
      </c>
      <c r="P12127">
        <v>0</v>
      </c>
      <c r="Q12127">
        <v>0</v>
      </c>
      <c r="R12127" t="s">
        <v>42689</v>
      </c>
      <c r="S12127" t="s">
        <v>43461</v>
      </c>
      <c r="T12127" t="s">
        <v>44457</v>
      </c>
      <c r="U12127" t="s">
        <v>54733</v>
      </c>
      <c r="W12127" t="s">
        <v>41544</v>
      </c>
      <c r="X12127" t="s">
        <v>42690</v>
      </c>
    </row>
    <row r="12128" spans="1:24">
      <c r="A12128">
        <f>HYPERLINK("https://www.philgeps.gov.ph/GEPSNONPILOT/Tender/SplashBidNoticeAbstractUI.aspx?menuIndex=3&amp;refID=7160104&amp;Result=3","7160104")</f>
        <v>0</v>
      </c>
      <c r="B12128" t="s">
        <v>2799</v>
      </c>
      <c r="C12128" t="s">
        <v>15125</v>
      </c>
      <c r="D12128" t="s">
        <v>17174</v>
      </c>
      <c r="E12128" t="s">
        <v>27568</v>
      </c>
      <c r="F12128" t="s">
        <v>29372</v>
      </c>
      <c r="G12128" t="s">
        <v>29380</v>
      </c>
      <c r="H12128" t="s">
        <v>29389</v>
      </c>
      <c r="I12128" t="s">
        <v>10408</v>
      </c>
      <c r="J12128" t="s">
        <v>30056</v>
      </c>
      <c r="K12128" t="s">
        <v>38496</v>
      </c>
      <c r="M12128" t="s">
        <v>41787</v>
      </c>
      <c r="N12128" t="s">
        <v>42669</v>
      </c>
      <c r="O12128" t="s">
        <v>42670</v>
      </c>
      <c r="P12128">
        <v>0</v>
      </c>
      <c r="Q12128">
        <v>0</v>
      </c>
      <c r="R12128" t="s">
        <v>42689</v>
      </c>
      <c r="S12128" t="s">
        <v>43461</v>
      </c>
      <c r="T12128" t="s">
        <v>44401</v>
      </c>
      <c r="U12128" t="s">
        <v>54734</v>
      </c>
      <c r="W12128" t="s">
        <v>41787</v>
      </c>
      <c r="X12128" t="s">
        <v>42690</v>
      </c>
    </row>
    <row r="12129" spans="1:24">
      <c r="A12129">
        <f>HYPERLINK("https://www.philgeps.gov.ph/GEPSNONPILOT/Tender/SplashBidNoticeAbstractUI.aspx?menuIndex=3&amp;refID=7160124&amp;Result=3","7160124")</f>
        <v>0</v>
      </c>
      <c r="B12129" t="s">
        <v>183</v>
      </c>
      <c r="C12129" t="s">
        <v>15126</v>
      </c>
      <c r="D12129" t="s">
        <v>17168</v>
      </c>
      <c r="E12129" t="s">
        <v>27569</v>
      </c>
      <c r="F12129" t="s">
        <v>29372</v>
      </c>
      <c r="G12129" t="s">
        <v>29380</v>
      </c>
      <c r="H12129" t="s">
        <v>11048</v>
      </c>
      <c r="I12129" t="s">
        <v>3695</v>
      </c>
      <c r="J12129" t="s">
        <v>37188</v>
      </c>
      <c r="K12129" t="s">
        <v>38485</v>
      </c>
      <c r="M12129" t="s">
        <v>42386</v>
      </c>
      <c r="N12129" t="s">
        <v>42669</v>
      </c>
      <c r="O12129" t="s">
        <v>42670</v>
      </c>
      <c r="P12129">
        <v>0</v>
      </c>
      <c r="Q12129">
        <v>5</v>
      </c>
      <c r="R12129" t="s">
        <v>42689</v>
      </c>
      <c r="S12129" t="s">
        <v>43461</v>
      </c>
      <c r="T12129" t="s">
        <v>44387</v>
      </c>
      <c r="U12129" t="s">
        <v>54735</v>
      </c>
      <c r="V12129" t="s">
        <v>57749</v>
      </c>
      <c r="W12129" t="s">
        <v>42386</v>
      </c>
      <c r="X12129" t="s">
        <v>42690</v>
      </c>
    </row>
    <row r="12130" spans="1:24">
      <c r="A12130">
        <f>HYPERLINK("https://www.philgeps.gov.ph/GEPSNONPILOT/Tender/SplashBidNoticeAbstractUI.aspx?menuIndex=3&amp;refID=7160067&amp;Result=3","7160067")</f>
        <v>0</v>
      </c>
      <c r="B12130" t="s">
        <v>183</v>
      </c>
      <c r="C12130" t="s">
        <v>15127</v>
      </c>
      <c r="D12130" t="s">
        <v>17168</v>
      </c>
      <c r="E12130" t="s">
        <v>27570</v>
      </c>
      <c r="F12130" t="s">
        <v>29372</v>
      </c>
      <c r="G12130" t="s">
        <v>29380</v>
      </c>
      <c r="H12130" t="s">
        <v>11048</v>
      </c>
      <c r="I12130" t="s">
        <v>3695</v>
      </c>
      <c r="J12130" t="s">
        <v>37189</v>
      </c>
      <c r="K12130" t="s">
        <v>38485</v>
      </c>
      <c r="M12130" t="s">
        <v>42386</v>
      </c>
      <c r="N12130" t="s">
        <v>42669</v>
      </c>
      <c r="O12130" t="s">
        <v>42670</v>
      </c>
      <c r="Q12130">
        <v>9</v>
      </c>
      <c r="R12130" t="s">
        <v>42689</v>
      </c>
      <c r="S12130" t="s">
        <v>43014</v>
      </c>
      <c r="T12130" t="s">
        <v>44387</v>
      </c>
      <c r="U12130" t="s">
        <v>54736</v>
      </c>
      <c r="V12130" t="s">
        <v>57750</v>
      </c>
      <c r="W12130" t="s">
        <v>42386</v>
      </c>
      <c r="X12130" t="s">
        <v>42690</v>
      </c>
    </row>
    <row r="12131" spans="1:24">
      <c r="A12131">
        <f>HYPERLINK("https://www.philgeps.gov.ph/GEPSNONPILOT/Tender/SplashBidNoticeAbstractUI.aspx?menuIndex=3&amp;refID=7160092&amp;Result=3","7160092")</f>
        <v>0</v>
      </c>
      <c r="B12131" t="s">
        <v>278</v>
      </c>
      <c r="C12131" t="s">
        <v>15128</v>
      </c>
      <c r="D12131" t="s">
        <v>17206</v>
      </c>
      <c r="E12131" t="s">
        <v>15128</v>
      </c>
      <c r="F12131" t="s">
        <v>29372</v>
      </c>
      <c r="G12131" t="s">
        <v>29383</v>
      </c>
      <c r="H12131" t="s">
        <v>11048</v>
      </c>
      <c r="I12131" t="s">
        <v>4487</v>
      </c>
      <c r="J12131" t="s">
        <v>30386</v>
      </c>
      <c r="K12131" t="s">
        <v>38485</v>
      </c>
      <c r="M12131" t="s">
        <v>40113</v>
      </c>
      <c r="N12131" t="s">
        <v>42669</v>
      </c>
      <c r="O12131" t="s">
        <v>42670</v>
      </c>
      <c r="Q12131">
        <v>3</v>
      </c>
      <c r="R12131" t="s">
        <v>42689</v>
      </c>
      <c r="S12131" t="s">
        <v>43219</v>
      </c>
      <c r="T12131" t="s">
        <v>44631</v>
      </c>
      <c r="U12131" t="s">
        <v>54737</v>
      </c>
      <c r="W12131" t="s">
        <v>40113</v>
      </c>
      <c r="X12131" t="s">
        <v>42690</v>
      </c>
    </row>
    <row r="12132" spans="1:24">
      <c r="A12132">
        <f>HYPERLINK("https://www.philgeps.gov.ph/GEPSNONPILOT/Tender/SplashBidNoticeAbstractUI.aspx?menuIndex=3&amp;refID=7160062&amp;Result=3","7160062")</f>
        <v>0</v>
      </c>
      <c r="B12132" t="s">
        <v>795</v>
      </c>
      <c r="C12132" t="s">
        <v>15129</v>
      </c>
      <c r="D12132" t="s">
        <v>17167</v>
      </c>
      <c r="E12132" t="s">
        <v>27571</v>
      </c>
      <c r="F12132" t="s">
        <v>29372</v>
      </c>
      <c r="G12132" t="s">
        <v>29380</v>
      </c>
      <c r="H12132" t="s">
        <v>11048</v>
      </c>
      <c r="I12132" t="s">
        <v>10408</v>
      </c>
      <c r="J12132" t="s">
        <v>37190</v>
      </c>
      <c r="K12132" t="s">
        <v>38485</v>
      </c>
      <c r="M12132" t="s">
        <v>39579</v>
      </c>
      <c r="N12132" t="s">
        <v>42669</v>
      </c>
      <c r="O12132" t="s">
        <v>42670</v>
      </c>
      <c r="Q12132">
        <v>1</v>
      </c>
      <c r="R12132" t="s">
        <v>42689</v>
      </c>
      <c r="S12132" t="s">
        <v>43523</v>
      </c>
      <c r="T12132" t="s">
        <v>44425</v>
      </c>
      <c r="U12132" t="s">
        <v>54738</v>
      </c>
      <c r="W12132" t="s">
        <v>39579</v>
      </c>
      <c r="X12132" t="s">
        <v>42690</v>
      </c>
    </row>
    <row r="12133" spans="1:24">
      <c r="A12133">
        <f>HYPERLINK("https://www.philgeps.gov.ph/GEPSNONPILOT/Tender/SplashBidNoticeAbstractUI.aspx?menuIndex=3&amp;refID=7160051&amp;Result=3","7160051")</f>
        <v>0</v>
      </c>
      <c r="B12133" t="s">
        <v>762</v>
      </c>
      <c r="C12133" t="s">
        <v>15130</v>
      </c>
      <c r="D12133" t="s">
        <v>17180</v>
      </c>
      <c r="E12133" t="s">
        <v>23150</v>
      </c>
      <c r="F12133" t="s">
        <v>29372</v>
      </c>
      <c r="G12133" t="s">
        <v>29379</v>
      </c>
      <c r="H12133" t="s">
        <v>11048</v>
      </c>
      <c r="I12133" t="s">
        <v>8614</v>
      </c>
      <c r="J12133" t="s">
        <v>37191</v>
      </c>
      <c r="K12133" t="s">
        <v>38485</v>
      </c>
      <c r="M12133" t="s">
        <v>39545</v>
      </c>
      <c r="N12133" t="s">
        <v>42669</v>
      </c>
      <c r="O12133" t="s">
        <v>42670</v>
      </c>
      <c r="Q12133">
        <v>3</v>
      </c>
      <c r="R12133" t="s">
        <v>42689</v>
      </c>
      <c r="S12133" t="s">
        <v>43524</v>
      </c>
      <c r="T12133" t="s">
        <v>44382</v>
      </c>
      <c r="U12133" t="s">
        <v>47743</v>
      </c>
      <c r="W12133" t="s">
        <v>39545</v>
      </c>
      <c r="X12133" t="s">
        <v>42690</v>
      </c>
    </row>
    <row r="12134" spans="1:24">
      <c r="A12134">
        <f>HYPERLINK("https://www.philgeps.gov.ph/GEPSNONPILOT/Tender/SplashBidNoticeAbstractUI.aspx?menuIndex=3&amp;refID=7160043&amp;Result=3","7160043")</f>
        <v>0</v>
      </c>
      <c r="B12134" t="s">
        <v>940</v>
      </c>
      <c r="C12134" t="s">
        <v>15131</v>
      </c>
      <c r="E12134" t="s">
        <v>27572</v>
      </c>
      <c r="F12134" t="s">
        <v>29372</v>
      </c>
      <c r="G12134" t="s">
        <v>29380</v>
      </c>
      <c r="H12134" t="s">
        <v>11048</v>
      </c>
      <c r="I12134" t="s">
        <v>29407</v>
      </c>
      <c r="J12134" t="s">
        <v>37192</v>
      </c>
      <c r="K12134" t="s">
        <v>38496</v>
      </c>
      <c r="M12134" t="s">
        <v>39735</v>
      </c>
      <c r="N12134" t="s">
        <v>42669</v>
      </c>
      <c r="O12134" t="s">
        <v>42670</v>
      </c>
      <c r="P12134">
        <v>0</v>
      </c>
      <c r="Q12134">
        <v>10</v>
      </c>
      <c r="R12134" t="s">
        <v>42689</v>
      </c>
      <c r="S12134" t="s">
        <v>43461</v>
      </c>
      <c r="T12134" t="s">
        <v>44371</v>
      </c>
      <c r="U12134" t="s">
        <v>54739</v>
      </c>
      <c r="W12134" t="s">
        <v>39735</v>
      </c>
      <c r="X12134" t="s">
        <v>42690</v>
      </c>
    </row>
    <row r="12135" spans="1:24">
      <c r="A12135">
        <f>HYPERLINK("https://www.philgeps.gov.ph/GEPSNONPILOT/Tender/SplashBidNoticeAbstractUI.aspx?menuIndex=3&amp;refID=7160018&amp;Result=3","7160018")</f>
        <v>0</v>
      </c>
      <c r="B12135" t="s">
        <v>3050</v>
      </c>
      <c r="C12135" t="s">
        <v>15132</v>
      </c>
      <c r="D12135" t="s">
        <v>17198</v>
      </c>
      <c r="E12135" t="s">
        <v>27573</v>
      </c>
      <c r="F12135" t="s">
        <v>29372</v>
      </c>
      <c r="G12135" t="s">
        <v>29380</v>
      </c>
      <c r="H12135" t="s">
        <v>29389</v>
      </c>
      <c r="I12135" t="s">
        <v>10408</v>
      </c>
      <c r="J12135" t="s">
        <v>37193</v>
      </c>
      <c r="K12135" t="s">
        <v>38515</v>
      </c>
      <c r="M12135" t="s">
        <v>42075</v>
      </c>
      <c r="N12135" t="s">
        <v>42669</v>
      </c>
      <c r="O12135" t="s">
        <v>42670</v>
      </c>
      <c r="P12135">
        <v>0</v>
      </c>
      <c r="Q12135">
        <v>1</v>
      </c>
      <c r="R12135" t="s">
        <v>42689</v>
      </c>
      <c r="S12135" t="s">
        <v>43461</v>
      </c>
      <c r="T12135" t="s">
        <v>44412</v>
      </c>
      <c r="U12135" t="s">
        <v>54740</v>
      </c>
      <c r="W12135" t="s">
        <v>42075</v>
      </c>
      <c r="X12135" t="s">
        <v>42690</v>
      </c>
    </row>
    <row r="12136" spans="1:24">
      <c r="A12136">
        <f>HYPERLINK("https://www.philgeps.gov.ph/GEPSNONPILOT/Tender/SplashBidNoticeAbstractUI.aspx?menuIndex=3&amp;refID=7160063&amp;Result=3","7160063")</f>
        <v>0</v>
      </c>
      <c r="B12136" t="s">
        <v>3050</v>
      </c>
      <c r="C12136" t="s">
        <v>15133</v>
      </c>
      <c r="D12136" t="s">
        <v>17198</v>
      </c>
      <c r="E12136" t="s">
        <v>27574</v>
      </c>
      <c r="F12136" t="s">
        <v>29372</v>
      </c>
      <c r="G12136" t="s">
        <v>29380</v>
      </c>
      <c r="H12136" t="s">
        <v>29389</v>
      </c>
      <c r="I12136" t="s">
        <v>10408</v>
      </c>
      <c r="J12136" t="s">
        <v>37194</v>
      </c>
      <c r="K12136" t="s">
        <v>38617</v>
      </c>
      <c r="M12136" t="s">
        <v>42075</v>
      </c>
      <c r="N12136" t="s">
        <v>42669</v>
      </c>
      <c r="O12136" t="s">
        <v>42670</v>
      </c>
      <c r="P12136">
        <v>0</v>
      </c>
      <c r="Q12136">
        <v>2</v>
      </c>
      <c r="R12136" t="s">
        <v>42689</v>
      </c>
      <c r="S12136" t="s">
        <v>43461</v>
      </c>
      <c r="T12136" t="s">
        <v>44412</v>
      </c>
      <c r="U12136" t="s">
        <v>54741</v>
      </c>
      <c r="W12136" t="s">
        <v>42075</v>
      </c>
      <c r="X12136" t="s">
        <v>42690</v>
      </c>
    </row>
    <row r="12137" spans="1:24">
      <c r="A12137">
        <f>HYPERLINK("https://www.philgeps.gov.ph/GEPSNONPILOT/Tender/SplashBidNoticeAbstractUI.aspx?menuIndex=3&amp;refID=7160056&amp;Result=3","7160056")</f>
        <v>0</v>
      </c>
      <c r="B12137" t="s">
        <v>3283</v>
      </c>
      <c r="C12137" t="s">
        <v>15134</v>
      </c>
      <c r="D12137" t="s">
        <v>17222</v>
      </c>
      <c r="E12137" t="s">
        <v>27575</v>
      </c>
      <c r="F12137" t="s">
        <v>29372</v>
      </c>
      <c r="G12137" t="s">
        <v>29380</v>
      </c>
      <c r="H12137" t="s">
        <v>11048</v>
      </c>
      <c r="I12137" t="s">
        <v>29453</v>
      </c>
      <c r="J12137" t="s">
        <v>37195</v>
      </c>
      <c r="K12137" t="s">
        <v>38485</v>
      </c>
      <c r="M12137" t="s">
        <v>42356</v>
      </c>
      <c r="N12137" t="s">
        <v>42669</v>
      </c>
      <c r="O12137" t="s">
        <v>42670</v>
      </c>
      <c r="P12137">
        <v>0</v>
      </c>
      <c r="Q12137">
        <v>0</v>
      </c>
      <c r="R12137" t="s">
        <v>42689</v>
      </c>
      <c r="S12137" t="s">
        <v>43461</v>
      </c>
      <c r="T12137" t="s">
        <v>44394</v>
      </c>
      <c r="U12137" t="s">
        <v>54742</v>
      </c>
      <c r="W12137" t="s">
        <v>42356</v>
      </c>
      <c r="X12137" t="s">
        <v>42690</v>
      </c>
    </row>
    <row r="12138" spans="1:24">
      <c r="A12138">
        <f>HYPERLINK("https://www.philgeps.gov.ph/GEPSNONPILOT/Tender/SplashBidNoticeAbstractUI.aspx?menuIndex=3&amp;refID=7160033&amp;Result=3","7160033")</f>
        <v>0</v>
      </c>
      <c r="B12138" t="s">
        <v>2336</v>
      </c>
      <c r="C12138" t="s">
        <v>15135</v>
      </c>
      <c r="D12138" t="s">
        <v>17197</v>
      </c>
      <c r="E12138" t="s">
        <v>27576</v>
      </c>
      <c r="F12138" t="s">
        <v>29372</v>
      </c>
      <c r="G12138" t="s">
        <v>29380</v>
      </c>
      <c r="H12138" t="s">
        <v>29389</v>
      </c>
      <c r="I12138" t="s">
        <v>10408</v>
      </c>
      <c r="J12138" t="s">
        <v>37196</v>
      </c>
      <c r="K12138" t="s">
        <v>38642</v>
      </c>
      <c r="M12138" t="s">
        <v>41269</v>
      </c>
      <c r="N12138" t="s">
        <v>42669</v>
      </c>
      <c r="O12138" t="s">
        <v>42670</v>
      </c>
      <c r="P12138">
        <v>0</v>
      </c>
      <c r="Q12138">
        <v>2</v>
      </c>
      <c r="R12138" t="s">
        <v>42689</v>
      </c>
      <c r="S12138" t="s">
        <v>43461</v>
      </c>
      <c r="T12138" t="s">
        <v>44371</v>
      </c>
      <c r="U12138" t="s">
        <v>50689</v>
      </c>
      <c r="V12138" t="s">
        <v>57159</v>
      </c>
      <c r="W12138" t="s">
        <v>41269</v>
      </c>
      <c r="X12138" t="s">
        <v>42690</v>
      </c>
    </row>
    <row r="12139" spans="1:24">
      <c r="A12139">
        <f>HYPERLINK("https://www.philgeps.gov.ph/GEPSNONPILOT/Tender/SplashBidNoticeAbstractUI.aspx?menuIndex=3&amp;refID=7159950&amp;Result=3","7159950")</f>
        <v>0</v>
      </c>
      <c r="B12139" t="s">
        <v>940</v>
      </c>
      <c r="C12139" t="s">
        <v>15136</v>
      </c>
      <c r="E12139" t="s">
        <v>27577</v>
      </c>
      <c r="F12139" t="s">
        <v>29372</v>
      </c>
      <c r="G12139" t="s">
        <v>29380</v>
      </c>
      <c r="H12139" t="s">
        <v>29389</v>
      </c>
      <c r="I12139" t="s">
        <v>10408</v>
      </c>
      <c r="J12139" t="s">
        <v>30161</v>
      </c>
      <c r="K12139" t="s">
        <v>38509</v>
      </c>
      <c r="M12139" t="s">
        <v>39735</v>
      </c>
      <c r="N12139" t="s">
        <v>42669</v>
      </c>
      <c r="O12139" t="s">
        <v>42670</v>
      </c>
      <c r="P12139">
        <v>0</v>
      </c>
      <c r="Q12139">
        <v>0</v>
      </c>
      <c r="R12139" t="s">
        <v>42689</v>
      </c>
      <c r="S12139" t="s">
        <v>43461</v>
      </c>
      <c r="T12139" t="s">
        <v>44371</v>
      </c>
      <c r="U12139" t="s">
        <v>54743</v>
      </c>
      <c r="W12139" t="s">
        <v>39735</v>
      </c>
      <c r="X12139" t="s">
        <v>42690</v>
      </c>
    </row>
    <row r="12140" spans="1:24">
      <c r="A12140">
        <f>HYPERLINK("https://www.philgeps.gov.ph/GEPSNONPILOT/Tender/SplashBidNoticeAbstractUI.aspx?menuIndex=3&amp;refID=7159940&amp;Result=3","7159940")</f>
        <v>0</v>
      </c>
      <c r="B12140" t="s">
        <v>3050</v>
      </c>
      <c r="C12140" t="s">
        <v>15137</v>
      </c>
      <c r="D12140" t="s">
        <v>17198</v>
      </c>
      <c r="E12140" t="s">
        <v>27578</v>
      </c>
      <c r="F12140" t="s">
        <v>29372</v>
      </c>
      <c r="G12140" t="s">
        <v>29380</v>
      </c>
      <c r="H12140" t="s">
        <v>29389</v>
      </c>
      <c r="I12140" t="s">
        <v>10408</v>
      </c>
      <c r="J12140" t="s">
        <v>37197</v>
      </c>
      <c r="K12140" t="s">
        <v>38502</v>
      </c>
      <c r="M12140" t="s">
        <v>42075</v>
      </c>
      <c r="N12140" t="s">
        <v>42669</v>
      </c>
      <c r="O12140" t="s">
        <v>42670</v>
      </c>
      <c r="P12140">
        <v>0</v>
      </c>
      <c r="Q12140">
        <v>0</v>
      </c>
      <c r="R12140" t="s">
        <v>42689</v>
      </c>
      <c r="S12140" t="s">
        <v>43461</v>
      </c>
      <c r="T12140" t="s">
        <v>44412</v>
      </c>
      <c r="U12140" t="s">
        <v>54744</v>
      </c>
      <c r="W12140" t="s">
        <v>42075</v>
      </c>
      <c r="X12140" t="s">
        <v>42690</v>
      </c>
    </row>
    <row r="12141" spans="1:24">
      <c r="A12141">
        <f>HYPERLINK("https://www.philgeps.gov.ph/GEPSNONPILOT/Tender/SplashBidNoticeAbstractUI.aspx?menuIndex=3&amp;refID=7159864&amp;Result=3","7159864")</f>
        <v>0</v>
      </c>
      <c r="B12141" t="s">
        <v>2376</v>
      </c>
      <c r="C12141" t="s">
        <v>15138</v>
      </c>
      <c r="D12141" t="s">
        <v>17164</v>
      </c>
      <c r="E12141" t="s">
        <v>15138</v>
      </c>
      <c r="F12141" t="s">
        <v>29372</v>
      </c>
      <c r="G12141" t="s">
        <v>29380</v>
      </c>
      <c r="H12141" t="s">
        <v>29389</v>
      </c>
      <c r="I12141" t="s">
        <v>10408</v>
      </c>
      <c r="J12141" t="s">
        <v>37198</v>
      </c>
      <c r="K12141" t="s">
        <v>38563</v>
      </c>
      <c r="M12141" t="s">
        <v>41318</v>
      </c>
      <c r="N12141" t="s">
        <v>42669</v>
      </c>
      <c r="O12141" t="s">
        <v>42670</v>
      </c>
      <c r="Q12141">
        <v>2</v>
      </c>
      <c r="R12141" t="s">
        <v>42689</v>
      </c>
      <c r="S12141" t="s">
        <v>43525</v>
      </c>
      <c r="T12141" t="s">
        <v>44357</v>
      </c>
      <c r="U12141" t="s">
        <v>54745</v>
      </c>
      <c r="W12141" t="s">
        <v>41318</v>
      </c>
      <c r="X12141" t="s">
        <v>42690</v>
      </c>
    </row>
    <row r="12142" spans="1:24">
      <c r="A12142">
        <f>HYPERLINK("https://www.philgeps.gov.ph/GEPSNONPILOT/Tender/SplashBidNoticeAbstractUI.aspx?menuIndex=3&amp;refID=7160052&amp;Result=3","7160052")</f>
        <v>0</v>
      </c>
      <c r="B12142" t="s">
        <v>1712</v>
      </c>
      <c r="C12142" t="s">
        <v>15139</v>
      </c>
      <c r="D12142" t="s">
        <v>17177</v>
      </c>
      <c r="E12142" t="s">
        <v>27579</v>
      </c>
      <c r="F12142" t="s">
        <v>29372</v>
      </c>
      <c r="G12142" t="s">
        <v>29380</v>
      </c>
      <c r="H12142" t="s">
        <v>11048</v>
      </c>
      <c r="I12142" t="s">
        <v>7828</v>
      </c>
      <c r="J12142" t="s">
        <v>37199</v>
      </c>
      <c r="K12142" t="s">
        <v>38485</v>
      </c>
      <c r="M12142" t="s">
        <v>40575</v>
      </c>
      <c r="N12142" t="s">
        <v>42669</v>
      </c>
      <c r="O12142" t="s">
        <v>42670</v>
      </c>
      <c r="P12142">
        <v>0</v>
      </c>
      <c r="Q12142">
        <v>4</v>
      </c>
      <c r="R12142" t="s">
        <v>42689</v>
      </c>
      <c r="S12142" t="s">
        <v>43461</v>
      </c>
      <c r="T12142" t="s">
        <v>44412</v>
      </c>
      <c r="U12142" t="s">
        <v>54746</v>
      </c>
      <c r="W12142" t="s">
        <v>40575</v>
      </c>
      <c r="X12142" t="s">
        <v>42690</v>
      </c>
    </row>
    <row r="12143" spans="1:24">
      <c r="A12143">
        <f>HYPERLINK("https://www.philgeps.gov.ph/GEPSNONPILOT/Tender/SplashBidNoticeAbstractUI.aspx?menuIndex=3&amp;refID=7159860&amp;Result=3","7159860")</f>
        <v>0</v>
      </c>
      <c r="B12143" t="s">
        <v>955</v>
      </c>
      <c r="C12143" t="s">
        <v>15140</v>
      </c>
      <c r="E12143" t="s">
        <v>27580</v>
      </c>
      <c r="F12143" t="s">
        <v>29372</v>
      </c>
      <c r="G12143" t="s">
        <v>29380</v>
      </c>
      <c r="H12143" t="s">
        <v>11048</v>
      </c>
      <c r="I12143" t="s">
        <v>29407</v>
      </c>
      <c r="J12143" t="s">
        <v>37200</v>
      </c>
      <c r="K12143" t="s">
        <v>38490</v>
      </c>
      <c r="M12143" t="s">
        <v>42369</v>
      </c>
      <c r="N12143" t="s">
        <v>42669</v>
      </c>
      <c r="O12143" t="s">
        <v>42670</v>
      </c>
      <c r="P12143">
        <v>0</v>
      </c>
      <c r="Q12143">
        <v>3</v>
      </c>
      <c r="R12143" t="s">
        <v>42689</v>
      </c>
      <c r="S12143" t="s">
        <v>43461</v>
      </c>
      <c r="T12143" t="s">
        <v>44427</v>
      </c>
      <c r="U12143" t="s">
        <v>54747</v>
      </c>
      <c r="W12143" t="s">
        <v>42369</v>
      </c>
      <c r="X12143" t="s">
        <v>42690</v>
      </c>
    </row>
    <row r="12144" spans="1:24">
      <c r="A12144">
        <f>HYPERLINK("https://www.philgeps.gov.ph/GEPSNONPILOT/Tender/SplashBidNoticeAbstractUI.aspx?menuIndex=3&amp;refID=7159853&amp;Result=3","7159853")</f>
        <v>0</v>
      </c>
      <c r="B12144" t="s">
        <v>3307</v>
      </c>
      <c r="C12144" t="s">
        <v>15141</v>
      </c>
      <c r="D12144" t="s">
        <v>17182</v>
      </c>
      <c r="E12144" t="s">
        <v>27581</v>
      </c>
      <c r="F12144" t="s">
        <v>29372</v>
      </c>
      <c r="G12144" t="s">
        <v>29380</v>
      </c>
      <c r="H12144" t="s">
        <v>11048</v>
      </c>
      <c r="I12144" t="s">
        <v>9469</v>
      </c>
      <c r="J12144" t="s">
        <v>31074</v>
      </c>
      <c r="K12144" t="s">
        <v>38485</v>
      </c>
      <c r="M12144" t="s">
        <v>42393</v>
      </c>
      <c r="N12144" t="s">
        <v>42669</v>
      </c>
      <c r="O12144" t="s">
        <v>42670</v>
      </c>
      <c r="P12144">
        <v>0</v>
      </c>
      <c r="Q12144">
        <v>4</v>
      </c>
      <c r="R12144" t="s">
        <v>42689</v>
      </c>
      <c r="S12144" t="s">
        <v>43461</v>
      </c>
      <c r="T12144" t="s">
        <v>44398</v>
      </c>
      <c r="U12144" t="s">
        <v>54748</v>
      </c>
      <c r="W12144" t="s">
        <v>58124</v>
      </c>
      <c r="X12144" t="s">
        <v>42690</v>
      </c>
    </row>
    <row r="12145" spans="1:24">
      <c r="A12145">
        <f>HYPERLINK("https://www.philgeps.gov.ph/GEPSNONPILOT/Tender/SplashBidNoticeAbstractUI.aspx?menuIndex=3&amp;refID=7159848&amp;Result=3","7159848")</f>
        <v>0</v>
      </c>
      <c r="B12145" t="s">
        <v>3299</v>
      </c>
      <c r="C12145" t="s">
        <v>15142</v>
      </c>
      <c r="E12145" t="s">
        <v>27582</v>
      </c>
      <c r="F12145" t="s">
        <v>29372</v>
      </c>
      <c r="G12145" t="s">
        <v>29380</v>
      </c>
      <c r="H12145" t="s">
        <v>29389</v>
      </c>
      <c r="I12145" t="s">
        <v>10408</v>
      </c>
      <c r="J12145" t="s">
        <v>37201</v>
      </c>
      <c r="K12145" t="s">
        <v>38490</v>
      </c>
      <c r="M12145" t="s">
        <v>42376</v>
      </c>
      <c r="N12145" t="s">
        <v>42669</v>
      </c>
      <c r="O12145" t="s">
        <v>42670</v>
      </c>
      <c r="P12145">
        <v>0</v>
      </c>
      <c r="Q12145">
        <v>30</v>
      </c>
      <c r="R12145" t="s">
        <v>42689</v>
      </c>
      <c r="S12145" t="s">
        <v>43461</v>
      </c>
      <c r="T12145" t="s">
        <v>44378</v>
      </c>
      <c r="U12145" t="s">
        <v>44902</v>
      </c>
      <c r="V12145" t="s">
        <v>57732</v>
      </c>
      <c r="W12145" t="s">
        <v>42376</v>
      </c>
      <c r="X12145" t="s">
        <v>42690</v>
      </c>
    </row>
    <row r="12146" spans="1:24">
      <c r="A12146">
        <f>HYPERLINK("https://www.philgeps.gov.ph/GEPSNONPILOT/Tender/SplashBidNoticeAbstractUI.aspx?menuIndex=3&amp;refID=7159725&amp;Result=3","7159725")</f>
        <v>0</v>
      </c>
      <c r="B12146" t="s">
        <v>3308</v>
      </c>
      <c r="C12146" t="s">
        <v>4297</v>
      </c>
      <c r="D12146" t="s">
        <v>17171</v>
      </c>
      <c r="E12146" t="s">
        <v>27583</v>
      </c>
      <c r="F12146" t="s">
        <v>29375</v>
      </c>
      <c r="G12146" t="s">
        <v>29380</v>
      </c>
      <c r="H12146" t="s">
        <v>11048</v>
      </c>
      <c r="I12146" t="s">
        <v>29412</v>
      </c>
      <c r="J12146" t="s">
        <v>37202</v>
      </c>
      <c r="K12146" t="s">
        <v>38490</v>
      </c>
      <c r="M12146" t="s">
        <v>42394</v>
      </c>
      <c r="N12146" t="s">
        <v>42669</v>
      </c>
      <c r="O12146" t="s">
        <v>42670</v>
      </c>
      <c r="P12146">
        <v>0</v>
      </c>
      <c r="Q12146">
        <v>3</v>
      </c>
      <c r="R12146" t="s">
        <v>42689</v>
      </c>
      <c r="S12146" t="s">
        <v>43461</v>
      </c>
      <c r="T12146" t="s">
        <v>44496</v>
      </c>
      <c r="U12146" t="s">
        <v>46276</v>
      </c>
      <c r="W12146" t="s">
        <v>42394</v>
      </c>
      <c r="X12146" t="s">
        <v>42690</v>
      </c>
    </row>
    <row r="12147" spans="1:24">
      <c r="A12147">
        <f>HYPERLINK("https://www.philgeps.gov.ph/GEPSNONPILOT/Tender/SplashBidNoticeAbstractUI.aspx?menuIndex=3&amp;refID=7159695&amp;Result=3","7159695")</f>
        <v>0</v>
      </c>
      <c r="B12147" t="s">
        <v>3254</v>
      </c>
      <c r="C12147" t="s">
        <v>15143</v>
      </c>
      <c r="D12147" t="s">
        <v>17206</v>
      </c>
      <c r="E12147" t="s">
        <v>27584</v>
      </c>
      <c r="F12147" t="s">
        <v>29372</v>
      </c>
      <c r="G12147" t="s">
        <v>29380</v>
      </c>
      <c r="H12147" t="s">
        <v>29389</v>
      </c>
      <c r="I12147" t="s">
        <v>10408</v>
      </c>
      <c r="J12147" t="s">
        <v>37203</v>
      </c>
      <c r="K12147" t="s">
        <v>38715</v>
      </c>
      <c r="M12147" t="s">
        <v>42323</v>
      </c>
      <c r="N12147" t="s">
        <v>42669</v>
      </c>
      <c r="O12147" t="s">
        <v>42670</v>
      </c>
      <c r="P12147">
        <v>0</v>
      </c>
      <c r="Q12147">
        <v>1</v>
      </c>
      <c r="R12147" t="s">
        <v>42689</v>
      </c>
      <c r="S12147" t="s">
        <v>43461</v>
      </c>
      <c r="T12147" t="s">
        <v>44419</v>
      </c>
      <c r="U12147" t="s">
        <v>54749</v>
      </c>
      <c r="W12147" t="s">
        <v>42323</v>
      </c>
      <c r="X12147" t="s">
        <v>42690</v>
      </c>
    </row>
    <row r="12148" spans="1:24">
      <c r="A12148">
        <f>HYPERLINK("https://www.philgeps.gov.ph/GEPSNONPILOT/Tender/SplashBidNoticeAbstractUI.aspx?menuIndex=3&amp;refID=7159717&amp;Result=3","7159717")</f>
        <v>0</v>
      </c>
      <c r="B12148" t="s">
        <v>2124</v>
      </c>
      <c r="C12148" t="s">
        <v>9479</v>
      </c>
      <c r="D12148" t="s">
        <v>17141</v>
      </c>
      <c r="E12148" t="s">
        <v>27585</v>
      </c>
      <c r="F12148" t="s">
        <v>29372</v>
      </c>
      <c r="G12148" t="s">
        <v>29380</v>
      </c>
      <c r="H12148" t="s">
        <v>11048</v>
      </c>
      <c r="I12148" t="s">
        <v>29407</v>
      </c>
      <c r="J12148" t="s">
        <v>37204</v>
      </c>
      <c r="K12148" t="s">
        <v>38488</v>
      </c>
      <c r="M12148" t="s">
        <v>41029</v>
      </c>
      <c r="N12148" t="s">
        <v>42669</v>
      </c>
      <c r="O12148" t="s">
        <v>42670</v>
      </c>
      <c r="P12148">
        <v>0</v>
      </c>
      <c r="Q12148">
        <v>2</v>
      </c>
      <c r="R12148" t="s">
        <v>42689</v>
      </c>
      <c r="S12148" t="s">
        <v>43461</v>
      </c>
      <c r="T12148" t="s">
        <v>44481</v>
      </c>
      <c r="U12148" t="s">
        <v>54750</v>
      </c>
      <c r="W12148" t="s">
        <v>41029</v>
      </c>
      <c r="X12148" t="s">
        <v>42690</v>
      </c>
    </row>
    <row r="12149" spans="1:24">
      <c r="A12149">
        <f>HYPERLINK("https://www.philgeps.gov.ph/GEPSNONPILOT/Tender/SplashBidNoticeAbstractUI.aspx?menuIndex=3&amp;refID=7160080&amp;Result=3","7160080")</f>
        <v>0</v>
      </c>
      <c r="B12149" t="s">
        <v>2371</v>
      </c>
      <c r="C12149" t="s">
        <v>15144</v>
      </c>
      <c r="D12149" t="s">
        <v>17215</v>
      </c>
      <c r="E12149" t="s">
        <v>27586</v>
      </c>
      <c r="F12149" t="s">
        <v>29372</v>
      </c>
      <c r="G12149" t="s">
        <v>29380</v>
      </c>
      <c r="H12149" t="s">
        <v>11048</v>
      </c>
      <c r="I12149" t="s">
        <v>14920</v>
      </c>
      <c r="J12149" t="s">
        <v>37205</v>
      </c>
      <c r="K12149" t="s">
        <v>38485</v>
      </c>
      <c r="M12149" t="s">
        <v>41312</v>
      </c>
      <c r="N12149" t="s">
        <v>42669</v>
      </c>
      <c r="O12149" t="s">
        <v>42670</v>
      </c>
      <c r="Q12149">
        <v>2</v>
      </c>
      <c r="R12149" t="s">
        <v>42689</v>
      </c>
      <c r="S12149" t="s">
        <v>43526</v>
      </c>
      <c r="T12149" t="s">
        <v>44527</v>
      </c>
      <c r="U12149" t="s">
        <v>54751</v>
      </c>
      <c r="W12149" t="s">
        <v>41312</v>
      </c>
      <c r="X12149" t="s">
        <v>42690</v>
      </c>
    </row>
    <row r="12150" spans="1:24">
      <c r="A12150">
        <f>HYPERLINK("https://www.philgeps.gov.ph/GEPSNONPILOT/Tender/SplashBidNoticeAbstractUI.aspx?menuIndex=3&amp;refID=7159954&amp;Result=3","7159954")</f>
        <v>0</v>
      </c>
      <c r="B12150" t="s">
        <v>1443</v>
      </c>
      <c r="C12150" t="s">
        <v>15145</v>
      </c>
      <c r="D12150" t="s">
        <v>17207</v>
      </c>
      <c r="E12150" t="s">
        <v>20669</v>
      </c>
      <c r="F12150" t="s">
        <v>29372</v>
      </c>
      <c r="G12150" t="s">
        <v>29380</v>
      </c>
      <c r="H12150" t="s">
        <v>11048</v>
      </c>
      <c r="I12150" t="s">
        <v>5383</v>
      </c>
      <c r="J12150" t="s">
        <v>37206</v>
      </c>
      <c r="K12150" t="s">
        <v>38532</v>
      </c>
      <c r="M12150" t="s">
        <v>40284</v>
      </c>
      <c r="N12150" t="s">
        <v>42669</v>
      </c>
      <c r="O12150" t="s">
        <v>42670</v>
      </c>
      <c r="P12150">
        <v>0</v>
      </c>
      <c r="Q12150">
        <v>0</v>
      </c>
      <c r="R12150" t="s">
        <v>42689</v>
      </c>
      <c r="S12150" t="s">
        <v>43461</v>
      </c>
      <c r="T12150" t="s">
        <v>44832</v>
      </c>
      <c r="U12150" t="s">
        <v>44959</v>
      </c>
      <c r="V12150" t="s">
        <v>57751</v>
      </c>
      <c r="W12150" t="s">
        <v>40284</v>
      </c>
      <c r="X12150" t="s">
        <v>42690</v>
      </c>
    </row>
    <row r="12151" spans="1:24">
      <c r="A12151">
        <f>HYPERLINK("https://www.philgeps.gov.ph/GEPSNONPILOT/Tender/SplashBidNoticeAbstractUI.aspx?menuIndex=3&amp;refID=7159961&amp;Result=3","7159961")</f>
        <v>0</v>
      </c>
      <c r="B12151" t="s">
        <v>183</v>
      </c>
      <c r="C12151" t="s">
        <v>15146</v>
      </c>
      <c r="D12151" t="s">
        <v>17168</v>
      </c>
      <c r="E12151" t="s">
        <v>27587</v>
      </c>
      <c r="F12151" t="s">
        <v>29372</v>
      </c>
      <c r="G12151" t="s">
        <v>29380</v>
      </c>
      <c r="H12151" t="s">
        <v>11048</v>
      </c>
      <c r="I12151" t="s">
        <v>29407</v>
      </c>
      <c r="J12151" t="s">
        <v>29641</v>
      </c>
      <c r="K12151" t="s">
        <v>38496</v>
      </c>
      <c r="M12151" t="s">
        <v>42386</v>
      </c>
      <c r="N12151" t="s">
        <v>42669</v>
      </c>
      <c r="O12151" t="s">
        <v>42670</v>
      </c>
      <c r="Q12151">
        <v>9</v>
      </c>
      <c r="R12151" t="s">
        <v>42689</v>
      </c>
      <c r="S12151" t="s">
        <v>42994</v>
      </c>
      <c r="T12151" t="s">
        <v>44387</v>
      </c>
      <c r="U12151" t="s">
        <v>54752</v>
      </c>
      <c r="V12151" t="s">
        <v>57752</v>
      </c>
      <c r="W12151" t="s">
        <v>42386</v>
      </c>
      <c r="X12151" t="s">
        <v>42690</v>
      </c>
    </row>
    <row r="12152" spans="1:24">
      <c r="A12152">
        <f>HYPERLINK("https://www.philgeps.gov.ph/GEPSNONPILOT/Tender/SplashBidNoticeAbstractUI.aspx?menuIndex=3&amp;refID=7159978&amp;Result=3","7159978")</f>
        <v>0</v>
      </c>
      <c r="B12152" t="s">
        <v>1834</v>
      </c>
      <c r="C12152" t="s">
        <v>15147</v>
      </c>
      <c r="D12152" t="s">
        <v>17151</v>
      </c>
      <c r="E12152" t="s">
        <v>27588</v>
      </c>
      <c r="F12152" t="s">
        <v>29372</v>
      </c>
      <c r="G12152" t="s">
        <v>29380</v>
      </c>
      <c r="H12152" t="s">
        <v>29389</v>
      </c>
      <c r="I12152" t="s">
        <v>10408</v>
      </c>
      <c r="J12152" t="s">
        <v>29788</v>
      </c>
      <c r="K12152" t="s">
        <v>38533</v>
      </c>
      <c r="M12152" t="s">
        <v>40705</v>
      </c>
      <c r="N12152" t="s">
        <v>42669</v>
      </c>
      <c r="O12152" t="s">
        <v>42670</v>
      </c>
      <c r="P12152">
        <v>0</v>
      </c>
      <c r="Q12152">
        <v>1</v>
      </c>
      <c r="R12152" t="s">
        <v>42689</v>
      </c>
      <c r="S12152" t="s">
        <v>43461</v>
      </c>
      <c r="T12152" t="s">
        <v>44386</v>
      </c>
      <c r="U12152" t="s">
        <v>54753</v>
      </c>
      <c r="W12152" t="s">
        <v>40705</v>
      </c>
      <c r="X12152" t="s">
        <v>42690</v>
      </c>
    </row>
    <row r="12153" spans="1:24">
      <c r="A12153">
        <f>HYPERLINK("https://www.philgeps.gov.ph/GEPSNONPILOT/Tender/SplashBidNoticeAbstractUI.aspx?menuIndex=3&amp;refID=7160147&amp;Result=3","7160147")</f>
        <v>0</v>
      </c>
      <c r="B12153" t="s">
        <v>3255</v>
      </c>
      <c r="C12153" t="s">
        <v>15148</v>
      </c>
      <c r="D12153" t="s">
        <v>17151</v>
      </c>
      <c r="E12153" t="s">
        <v>27589</v>
      </c>
      <c r="F12153" t="s">
        <v>29372</v>
      </c>
      <c r="G12153" t="s">
        <v>29383</v>
      </c>
      <c r="H12153" t="s">
        <v>11048</v>
      </c>
      <c r="I12153" t="s">
        <v>29410</v>
      </c>
      <c r="J12153" t="s">
        <v>37207</v>
      </c>
      <c r="K12153" t="s">
        <v>38485</v>
      </c>
      <c r="M12153" t="s">
        <v>42324</v>
      </c>
      <c r="N12153" t="s">
        <v>42669</v>
      </c>
      <c r="O12153" t="s">
        <v>42670</v>
      </c>
      <c r="Q12153">
        <v>6</v>
      </c>
      <c r="R12153" t="s">
        <v>42689</v>
      </c>
      <c r="S12153" t="s">
        <v>43527</v>
      </c>
      <c r="T12153" t="s">
        <v>44470</v>
      </c>
      <c r="U12153" t="s">
        <v>54754</v>
      </c>
      <c r="V12153" t="s">
        <v>57690</v>
      </c>
      <c r="W12153" t="s">
        <v>42324</v>
      </c>
      <c r="X12153" t="s">
        <v>42690</v>
      </c>
    </row>
    <row r="12154" spans="1:24">
      <c r="A12154">
        <f>HYPERLINK("https://www.philgeps.gov.ph/GEPSNONPILOT/Tender/SplashBidNoticeAbstractUI.aspx?menuIndex=3&amp;refID=7159693&amp;Result=3","7159693")</f>
        <v>0</v>
      </c>
      <c r="B12154" t="s">
        <v>703</v>
      </c>
      <c r="C12154" t="s">
        <v>15149</v>
      </c>
      <c r="D12154" t="s">
        <v>17161</v>
      </c>
      <c r="E12154" t="s">
        <v>27590</v>
      </c>
      <c r="F12154" t="s">
        <v>29372</v>
      </c>
      <c r="G12154" t="s">
        <v>29380</v>
      </c>
      <c r="H12154" t="s">
        <v>11048</v>
      </c>
      <c r="I12154" t="s">
        <v>9469</v>
      </c>
      <c r="J12154" t="s">
        <v>30412</v>
      </c>
      <c r="K12154" t="s">
        <v>38491</v>
      </c>
      <c r="M12154" t="s">
        <v>39481</v>
      </c>
      <c r="N12154" t="s">
        <v>42669</v>
      </c>
      <c r="O12154" t="s">
        <v>42670</v>
      </c>
      <c r="P12154">
        <v>0</v>
      </c>
      <c r="Q12154">
        <v>1</v>
      </c>
      <c r="R12154" t="s">
        <v>42689</v>
      </c>
      <c r="S12154" t="s">
        <v>43461</v>
      </c>
      <c r="T12154" t="s">
        <v>44354</v>
      </c>
      <c r="U12154" t="s">
        <v>54755</v>
      </c>
      <c r="W12154" t="s">
        <v>39481</v>
      </c>
      <c r="X12154" t="s">
        <v>42690</v>
      </c>
    </row>
    <row r="12155" spans="1:24">
      <c r="A12155">
        <f>HYPERLINK("https://www.philgeps.gov.ph/GEPSNONPILOT/Tender/SplashBidNoticeAbstractUI.aspx?menuIndex=3&amp;refID=7160233&amp;Result=3","7160233")</f>
        <v>0</v>
      </c>
      <c r="B12155" t="s">
        <v>2420</v>
      </c>
      <c r="C12155" t="s">
        <v>15150</v>
      </c>
      <c r="D12155" t="s">
        <v>17172</v>
      </c>
      <c r="E12155" t="s">
        <v>21491</v>
      </c>
      <c r="F12155" t="s">
        <v>29372</v>
      </c>
      <c r="G12155" t="s">
        <v>29380</v>
      </c>
      <c r="H12155" t="s">
        <v>29389</v>
      </c>
      <c r="I12155" t="s">
        <v>10408</v>
      </c>
      <c r="J12155" t="s">
        <v>30161</v>
      </c>
      <c r="K12155" t="s">
        <v>38496</v>
      </c>
      <c r="M12155" t="s">
        <v>41367</v>
      </c>
      <c r="N12155" t="s">
        <v>42669</v>
      </c>
      <c r="O12155" t="s">
        <v>42670</v>
      </c>
      <c r="P12155">
        <v>0</v>
      </c>
      <c r="Q12155">
        <v>2</v>
      </c>
      <c r="R12155" t="s">
        <v>42689</v>
      </c>
      <c r="S12155" t="s">
        <v>43461</v>
      </c>
      <c r="T12155" t="s">
        <v>44444</v>
      </c>
      <c r="U12155" t="s">
        <v>54756</v>
      </c>
      <c r="W12155" t="s">
        <v>41367</v>
      </c>
      <c r="X12155" t="s">
        <v>42690</v>
      </c>
    </row>
    <row r="12156" spans="1:24">
      <c r="A12156">
        <f>HYPERLINK("https://www.philgeps.gov.ph/GEPSNONPILOT/Tender/SplashBidNoticeAbstractUI.aspx?menuIndex=3&amp;refID=7160211&amp;Result=3","7160211")</f>
        <v>0</v>
      </c>
      <c r="B12156" t="s">
        <v>795</v>
      </c>
      <c r="C12156" t="s">
        <v>15151</v>
      </c>
      <c r="D12156" t="s">
        <v>17167</v>
      </c>
      <c r="E12156" t="s">
        <v>27591</v>
      </c>
      <c r="F12156" t="s">
        <v>29372</v>
      </c>
      <c r="G12156" t="s">
        <v>29380</v>
      </c>
      <c r="H12156" t="s">
        <v>11048</v>
      </c>
      <c r="I12156" t="s">
        <v>5383</v>
      </c>
      <c r="J12156" t="s">
        <v>37208</v>
      </c>
      <c r="K12156" t="s">
        <v>38485</v>
      </c>
      <c r="M12156" t="s">
        <v>39579</v>
      </c>
      <c r="N12156" t="s">
        <v>42669</v>
      </c>
      <c r="O12156" t="s">
        <v>42670</v>
      </c>
      <c r="Q12156">
        <v>4</v>
      </c>
      <c r="R12156" t="s">
        <v>42689</v>
      </c>
      <c r="S12156" t="s">
        <v>43528</v>
      </c>
      <c r="T12156" t="s">
        <v>44425</v>
      </c>
      <c r="U12156" t="s">
        <v>54757</v>
      </c>
      <c r="W12156" t="s">
        <v>39579</v>
      </c>
      <c r="X12156" t="s">
        <v>42690</v>
      </c>
    </row>
    <row r="12157" spans="1:24">
      <c r="A12157">
        <f>HYPERLINK("https://www.philgeps.gov.ph/GEPSNONPILOT/Tender/SplashBidNoticeAbstractUI.aspx?menuIndex=3&amp;refID=7160213&amp;Result=3","7160213")</f>
        <v>0</v>
      </c>
      <c r="B12157" t="s">
        <v>183</v>
      </c>
      <c r="C12157" t="s">
        <v>15152</v>
      </c>
      <c r="D12157" t="s">
        <v>17168</v>
      </c>
      <c r="E12157" t="s">
        <v>27592</v>
      </c>
      <c r="F12157" t="s">
        <v>29372</v>
      </c>
      <c r="G12157" t="s">
        <v>29380</v>
      </c>
      <c r="H12157" t="s">
        <v>11048</v>
      </c>
      <c r="I12157" t="s">
        <v>29414</v>
      </c>
      <c r="J12157" t="s">
        <v>37209</v>
      </c>
      <c r="K12157" t="s">
        <v>38485</v>
      </c>
      <c r="M12157" t="s">
        <v>42386</v>
      </c>
      <c r="N12157" t="s">
        <v>42669</v>
      </c>
      <c r="O12157" t="s">
        <v>42670</v>
      </c>
      <c r="Q12157">
        <v>39</v>
      </c>
      <c r="R12157" t="s">
        <v>42689</v>
      </c>
      <c r="S12157" t="s">
        <v>43529</v>
      </c>
      <c r="T12157" t="s">
        <v>44387</v>
      </c>
      <c r="U12157" t="s">
        <v>54758</v>
      </c>
      <c r="V12157" t="s">
        <v>57753</v>
      </c>
      <c r="W12157" t="s">
        <v>42386</v>
      </c>
      <c r="X12157" t="s">
        <v>42690</v>
      </c>
    </row>
    <row r="12158" spans="1:24">
      <c r="A12158">
        <f>HYPERLINK("https://www.philgeps.gov.ph/GEPSNONPILOT/Tender/SplashBidNoticeAbstractUI.aspx?menuIndex=3&amp;refID=7160201&amp;Result=3","7160201")</f>
        <v>0</v>
      </c>
      <c r="B12158" t="s">
        <v>631</v>
      </c>
      <c r="C12158" t="s">
        <v>15153</v>
      </c>
      <c r="D12158" t="s">
        <v>17174</v>
      </c>
      <c r="E12158" t="s">
        <v>27593</v>
      </c>
      <c r="F12158" t="s">
        <v>29372</v>
      </c>
      <c r="G12158" t="s">
        <v>29380</v>
      </c>
      <c r="H12158" t="s">
        <v>29389</v>
      </c>
      <c r="I12158" t="s">
        <v>10408</v>
      </c>
      <c r="J12158" t="s">
        <v>29728</v>
      </c>
      <c r="K12158" t="s">
        <v>38490</v>
      </c>
      <c r="M12158" t="s">
        <v>39404</v>
      </c>
      <c r="N12158" t="s">
        <v>42669</v>
      </c>
      <c r="O12158" t="s">
        <v>42670</v>
      </c>
      <c r="P12158">
        <v>0</v>
      </c>
      <c r="Q12158">
        <v>0</v>
      </c>
      <c r="R12158" t="s">
        <v>42689</v>
      </c>
      <c r="S12158" t="s">
        <v>43461</v>
      </c>
      <c r="T12158" t="s">
        <v>44375</v>
      </c>
      <c r="U12158" t="s">
        <v>46262</v>
      </c>
      <c r="W12158" t="s">
        <v>39404</v>
      </c>
      <c r="X12158" t="s">
        <v>42690</v>
      </c>
    </row>
    <row r="12159" spans="1:24">
      <c r="A12159">
        <f>HYPERLINK("https://www.philgeps.gov.ph/GEPSNONPILOT/Tender/SplashBidNoticeAbstractUI.aspx?menuIndex=3&amp;refID=7160179&amp;Result=3","7160179")</f>
        <v>0</v>
      </c>
      <c r="B12159" t="s">
        <v>2942</v>
      </c>
      <c r="C12159" t="s">
        <v>15154</v>
      </c>
      <c r="D12159" t="s">
        <v>17212</v>
      </c>
      <c r="E12159" t="s">
        <v>27594</v>
      </c>
      <c r="F12159" t="s">
        <v>29372</v>
      </c>
      <c r="G12159" t="s">
        <v>29380</v>
      </c>
      <c r="H12159" t="s">
        <v>29389</v>
      </c>
      <c r="I12159" t="s">
        <v>10408</v>
      </c>
      <c r="J12159" t="s">
        <v>29587</v>
      </c>
      <c r="K12159" t="s">
        <v>38521</v>
      </c>
      <c r="M12159" t="s">
        <v>41944</v>
      </c>
      <c r="N12159" t="s">
        <v>42669</v>
      </c>
      <c r="O12159" t="s">
        <v>42670</v>
      </c>
      <c r="P12159">
        <v>0</v>
      </c>
      <c r="Q12159">
        <v>0</v>
      </c>
      <c r="R12159" t="s">
        <v>42689</v>
      </c>
      <c r="S12159" t="s">
        <v>43461</v>
      </c>
      <c r="T12159" t="s">
        <v>44378</v>
      </c>
      <c r="U12159" t="s">
        <v>54759</v>
      </c>
      <c r="W12159" t="s">
        <v>41944</v>
      </c>
      <c r="X12159" t="s">
        <v>42690</v>
      </c>
    </row>
    <row r="12160" spans="1:24">
      <c r="A12160">
        <f>HYPERLINK("https://www.philgeps.gov.ph/GEPSNONPILOT/Tender/SplashBidNoticeAbstractUI.aspx?menuIndex=3&amp;refID=7160174&amp;Result=3","7160174")</f>
        <v>0</v>
      </c>
      <c r="B12160" t="s">
        <v>2799</v>
      </c>
      <c r="C12160" t="s">
        <v>15155</v>
      </c>
      <c r="E12160" t="s">
        <v>27595</v>
      </c>
      <c r="F12160" t="s">
        <v>29372</v>
      </c>
      <c r="G12160" t="s">
        <v>29380</v>
      </c>
      <c r="H12160" t="s">
        <v>29389</v>
      </c>
      <c r="I12160" t="s">
        <v>10408</v>
      </c>
      <c r="J12160" t="s">
        <v>37210</v>
      </c>
      <c r="K12160" t="s">
        <v>38522</v>
      </c>
      <c r="M12160" t="s">
        <v>41787</v>
      </c>
      <c r="N12160" t="s">
        <v>42669</v>
      </c>
      <c r="O12160" t="s">
        <v>42670</v>
      </c>
      <c r="P12160">
        <v>0</v>
      </c>
      <c r="Q12160">
        <v>0</v>
      </c>
      <c r="R12160" t="s">
        <v>42689</v>
      </c>
      <c r="S12160" t="s">
        <v>43461</v>
      </c>
      <c r="T12160" t="s">
        <v>44401</v>
      </c>
      <c r="U12160" t="s">
        <v>49416</v>
      </c>
      <c r="W12160" t="s">
        <v>41787</v>
      </c>
      <c r="X12160" t="s">
        <v>42690</v>
      </c>
    </row>
    <row r="12161" spans="1:24">
      <c r="A12161">
        <f>HYPERLINK("https://www.philgeps.gov.ph/GEPSNONPILOT/Tender/SplashBidNoticeAbstractUI.aspx?menuIndex=3&amp;refID=7160156&amp;Result=3","7160156")</f>
        <v>0</v>
      </c>
      <c r="B12161" t="s">
        <v>3306</v>
      </c>
      <c r="C12161" t="s">
        <v>15156</v>
      </c>
      <c r="D12161" t="s">
        <v>17203</v>
      </c>
      <c r="E12161" t="s">
        <v>27596</v>
      </c>
      <c r="F12161" t="s">
        <v>29372</v>
      </c>
      <c r="G12161" t="s">
        <v>29380</v>
      </c>
      <c r="H12161" t="s">
        <v>29389</v>
      </c>
      <c r="I12161" t="s">
        <v>10408</v>
      </c>
      <c r="J12161" t="s">
        <v>32461</v>
      </c>
      <c r="K12161" t="s">
        <v>38564</v>
      </c>
      <c r="M12161" t="s">
        <v>42391</v>
      </c>
      <c r="N12161" t="s">
        <v>42669</v>
      </c>
      <c r="O12161" t="s">
        <v>42670</v>
      </c>
      <c r="Q12161">
        <v>0</v>
      </c>
      <c r="R12161" t="s">
        <v>42689</v>
      </c>
      <c r="S12161" t="s">
        <v>43530</v>
      </c>
      <c r="T12161" t="s">
        <v>44491</v>
      </c>
      <c r="U12161" t="s">
        <v>54760</v>
      </c>
      <c r="W12161" t="s">
        <v>42391</v>
      </c>
      <c r="X12161" t="s">
        <v>42690</v>
      </c>
    </row>
    <row r="12162" spans="1:24">
      <c r="A12162">
        <f>HYPERLINK("https://www.philgeps.gov.ph/GEPSNONPILOT/Tender/SplashBidNoticeAbstractUI.aspx?menuIndex=3&amp;refID=7160149&amp;Result=3","7160149")</f>
        <v>0</v>
      </c>
      <c r="B12162" t="s">
        <v>3309</v>
      </c>
      <c r="C12162" t="s">
        <v>15157</v>
      </c>
      <c r="D12162" t="s">
        <v>17206</v>
      </c>
      <c r="E12162" t="s">
        <v>18800</v>
      </c>
      <c r="F12162" t="s">
        <v>29372</v>
      </c>
      <c r="G12162" t="s">
        <v>29380</v>
      </c>
      <c r="H12162" t="s">
        <v>11048</v>
      </c>
      <c r="I12162" t="s">
        <v>29407</v>
      </c>
      <c r="J12162" t="s">
        <v>37211</v>
      </c>
      <c r="K12162" t="s">
        <v>38485</v>
      </c>
      <c r="M12162" t="s">
        <v>42395</v>
      </c>
      <c r="N12162" t="s">
        <v>42669</v>
      </c>
      <c r="O12162" t="s">
        <v>42670</v>
      </c>
      <c r="P12162">
        <v>0</v>
      </c>
      <c r="Q12162">
        <v>3</v>
      </c>
      <c r="R12162" t="s">
        <v>42689</v>
      </c>
      <c r="S12162" t="s">
        <v>43461</v>
      </c>
      <c r="T12162" t="s">
        <v>44480</v>
      </c>
      <c r="U12162" t="s">
        <v>54761</v>
      </c>
      <c r="W12162" t="s">
        <v>42395</v>
      </c>
      <c r="X12162" t="s">
        <v>42690</v>
      </c>
    </row>
    <row r="12163" spans="1:24">
      <c r="A12163">
        <f>HYPERLINK("https://www.philgeps.gov.ph/GEPSNONPILOT/Tender/SplashBidNoticeAbstractUI.aspx?menuIndex=3&amp;refID=7160266&amp;Result=3","7160266")</f>
        <v>0</v>
      </c>
      <c r="B12163" t="s">
        <v>3304</v>
      </c>
      <c r="C12163" t="s">
        <v>15158</v>
      </c>
      <c r="D12163" t="s">
        <v>17168</v>
      </c>
      <c r="E12163" t="s">
        <v>17376</v>
      </c>
      <c r="F12163" t="s">
        <v>29372</v>
      </c>
      <c r="G12163" t="s">
        <v>29380</v>
      </c>
      <c r="H12163" t="s">
        <v>29389</v>
      </c>
      <c r="I12163" t="s">
        <v>10408</v>
      </c>
      <c r="J12163" t="s">
        <v>37212</v>
      </c>
      <c r="K12163" t="s">
        <v>38522</v>
      </c>
      <c r="M12163" t="s">
        <v>42389</v>
      </c>
      <c r="N12163" t="s">
        <v>42669</v>
      </c>
      <c r="O12163" t="s">
        <v>42670</v>
      </c>
      <c r="P12163">
        <v>0</v>
      </c>
      <c r="Q12163">
        <v>9</v>
      </c>
      <c r="R12163" t="s">
        <v>42689</v>
      </c>
      <c r="S12163" t="s">
        <v>43461</v>
      </c>
      <c r="T12163" t="s">
        <v>44382</v>
      </c>
      <c r="U12163" t="s">
        <v>54762</v>
      </c>
      <c r="V12163" t="s">
        <v>57754</v>
      </c>
      <c r="W12163" t="s">
        <v>42389</v>
      </c>
      <c r="X12163" t="s">
        <v>42690</v>
      </c>
    </row>
    <row r="12164" spans="1:24">
      <c r="A12164">
        <f>HYPERLINK("https://www.philgeps.gov.ph/GEPSNONPILOT/Tender/SplashBidNoticeAbstractUI.aspx?menuIndex=3&amp;refID=7160263&amp;Result=3","7160263")</f>
        <v>0</v>
      </c>
      <c r="B12164" t="s">
        <v>3214</v>
      </c>
      <c r="C12164" t="s">
        <v>15159</v>
      </c>
      <c r="D12164" t="s">
        <v>17151</v>
      </c>
      <c r="E12164" t="s">
        <v>27597</v>
      </c>
      <c r="F12164" t="s">
        <v>29372</v>
      </c>
      <c r="G12164" t="s">
        <v>29380</v>
      </c>
      <c r="H12164" t="s">
        <v>11048</v>
      </c>
      <c r="I12164" t="s">
        <v>9469</v>
      </c>
      <c r="J12164" t="s">
        <v>30815</v>
      </c>
      <c r="K12164" t="s">
        <v>38496</v>
      </c>
      <c r="M12164" t="s">
        <v>42277</v>
      </c>
      <c r="N12164" t="s">
        <v>42669</v>
      </c>
      <c r="O12164" t="s">
        <v>42670</v>
      </c>
      <c r="Q12164">
        <v>4</v>
      </c>
      <c r="R12164" t="s">
        <v>42689</v>
      </c>
      <c r="S12164" t="s">
        <v>43531</v>
      </c>
      <c r="T12164" t="s">
        <v>44833</v>
      </c>
      <c r="U12164" t="s">
        <v>54763</v>
      </c>
      <c r="V12164" t="s">
        <v>57755</v>
      </c>
      <c r="W12164" t="s">
        <v>42277</v>
      </c>
      <c r="X12164" t="s">
        <v>42690</v>
      </c>
    </row>
    <row r="12165" spans="1:24">
      <c r="A12165">
        <f>HYPERLINK("https://www.philgeps.gov.ph/GEPSNONPILOT/Tender/SplashBidNoticeAbstractUI.aspx?menuIndex=3&amp;refID=7160162&amp;Result=3","7160162")</f>
        <v>0</v>
      </c>
      <c r="B12165" t="s">
        <v>589</v>
      </c>
      <c r="C12165" t="s">
        <v>15160</v>
      </c>
      <c r="D12165" t="s">
        <v>17168</v>
      </c>
      <c r="E12165" t="s">
        <v>15160</v>
      </c>
      <c r="F12165" t="s">
        <v>29372</v>
      </c>
      <c r="G12165" t="s">
        <v>29380</v>
      </c>
      <c r="H12165" t="s">
        <v>11048</v>
      </c>
      <c r="I12165" t="s">
        <v>6417</v>
      </c>
      <c r="J12165" t="s">
        <v>29642</v>
      </c>
      <c r="K12165" t="s">
        <v>38538</v>
      </c>
      <c r="M12165" t="s">
        <v>39358</v>
      </c>
      <c r="N12165" t="s">
        <v>42669</v>
      </c>
      <c r="O12165" t="s">
        <v>42670</v>
      </c>
      <c r="Q12165">
        <v>0</v>
      </c>
      <c r="R12165" t="s">
        <v>42689</v>
      </c>
      <c r="S12165" t="s">
        <v>43532</v>
      </c>
      <c r="T12165" t="s">
        <v>44480</v>
      </c>
      <c r="U12165" t="s">
        <v>54764</v>
      </c>
      <c r="W12165" t="s">
        <v>39358</v>
      </c>
      <c r="X12165" t="s">
        <v>42690</v>
      </c>
    </row>
    <row r="12166" spans="1:24">
      <c r="A12166">
        <f>HYPERLINK("https://www.philgeps.gov.ph/GEPSNONPILOT/Tender/SplashBidNoticeAbstractUI.aspx?menuIndex=3&amp;refID=7160246&amp;Result=3","7160246")</f>
        <v>0</v>
      </c>
      <c r="B12166" t="s">
        <v>2942</v>
      </c>
      <c r="C12166" t="s">
        <v>15161</v>
      </c>
      <c r="D12166" t="s">
        <v>17212</v>
      </c>
      <c r="E12166" t="s">
        <v>27598</v>
      </c>
      <c r="F12166" t="s">
        <v>29372</v>
      </c>
      <c r="G12166" t="s">
        <v>29380</v>
      </c>
      <c r="H12166" t="s">
        <v>29389</v>
      </c>
      <c r="I12166" t="s">
        <v>10408</v>
      </c>
      <c r="J12166" t="s">
        <v>29526</v>
      </c>
      <c r="K12166" t="s">
        <v>38488</v>
      </c>
      <c r="M12166" t="s">
        <v>41944</v>
      </c>
      <c r="N12166" t="s">
        <v>42669</v>
      </c>
      <c r="O12166" t="s">
        <v>42670</v>
      </c>
      <c r="P12166">
        <v>0</v>
      </c>
      <c r="Q12166">
        <v>0</v>
      </c>
      <c r="R12166" t="s">
        <v>42689</v>
      </c>
      <c r="S12166" t="s">
        <v>43461</v>
      </c>
      <c r="T12166" t="s">
        <v>44378</v>
      </c>
      <c r="U12166" t="s">
        <v>54765</v>
      </c>
      <c r="W12166" t="s">
        <v>41944</v>
      </c>
      <c r="X12166" t="s">
        <v>42690</v>
      </c>
    </row>
    <row r="12167" spans="1:24">
      <c r="A12167">
        <f>HYPERLINK("https://www.philgeps.gov.ph/GEPSNONPILOT/Tender/SplashBidNoticeAbstractUI.aspx?menuIndex=3&amp;refID=7160235&amp;Result=3","7160235")</f>
        <v>0</v>
      </c>
      <c r="B12167" t="s">
        <v>1712</v>
      </c>
      <c r="C12167" t="s">
        <v>15162</v>
      </c>
      <c r="D12167" t="s">
        <v>17177</v>
      </c>
      <c r="E12167" t="s">
        <v>27599</v>
      </c>
      <c r="F12167" t="s">
        <v>29372</v>
      </c>
      <c r="G12167" t="s">
        <v>29380</v>
      </c>
      <c r="H12167" t="s">
        <v>11048</v>
      </c>
      <c r="I12167" t="s">
        <v>3839</v>
      </c>
      <c r="J12167" t="s">
        <v>30024</v>
      </c>
      <c r="K12167" t="s">
        <v>38485</v>
      </c>
      <c r="M12167" t="s">
        <v>40575</v>
      </c>
      <c r="N12167" t="s">
        <v>42669</v>
      </c>
      <c r="O12167" t="s">
        <v>42670</v>
      </c>
      <c r="P12167">
        <v>0</v>
      </c>
      <c r="Q12167">
        <v>1</v>
      </c>
      <c r="R12167" t="s">
        <v>42689</v>
      </c>
      <c r="S12167" t="s">
        <v>43461</v>
      </c>
      <c r="T12167" t="s">
        <v>44412</v>
      </c>
      <c r="U12167" t="s">
        <v>54766</v>
      </c>
      <c r="W12167" t="s">
        <v>40575</v>
      </c>
      <c r="X12167" t="s">
        <v>42690</v>
      </c>
    </row>
    <row r="12168" spans="1:24">
      <c r="A12168">
        <f>HYPERLINK("https://www.philgeps.gov.ph/GEPSNONPILOT/Tender/SplashBidNoticeAbstractUI.aspx?menuIndex=3&amp;refID=7160152&amp;Result=3","7160152")</f>
        <v>0</v>
      </c>
      <c r="B12168" t="s">
        <v>130</v>
      </c>
      <c r="C12168" t="s">
        <v>15163</v>
      </c>
      <c r="D12168" t="s">
        <v>17185</v>
      </c>
      <c r="E12168" t="s">
        <v>27600</v>
      </c>
      <c r="F12168" t="s">
        <v>29372</v>
      </c>
      <c r="G12168" t="s">
        <v>29380</v>
      </c>
      <c r="H12168" t="s">
        <v>29389</v>
      </c>
      <c r="I12168" t="s">
        <v>10408</v>
      </c>
      <c r="J12168" t="s">
        <v>37213</v>
      </c>
      <c r="K12168" t="s">
        <v>38490</v>
      </c>
      <c r="M12168" t="s">
        <v>38885</v>
      </c>
      <c r="N12168" t="s">
        <v>42669</v>
      </c>
      <c r="O12168" t="s">
        <v>42670</v>
      </c>
      <c r="P12168">
        <v>0</v>
      </c>
      <c r="Q12168">
        <v>0</v>
      </c>
      <c r="R12168" t="s">
        <v>42689</v>
      </c>
      <c r="S12168" t="s">
        <v>43461</v>
      </c>
      <c r="T12168" t="s">
        <v>44399</v>
      </c>
      <c r="U12168" t="s">
        <v>54767</v>
      </c>
      <c r="W12168" t="s">
        <v>38885</v>
      </c>
      <c r="X12168" t="s">
        <v>42690</v>
      </c>
    </row>
    <row r="12169" spans="1:24">
      <c r="A12169">
        <f>HYPERLINK("https://www.philgeps.gov.ph/GEPSNONPILOT/Tender/SplashBidNoticeAbstractUI.aspx?menuIndex=3&amp;refID=7160342&amp;Result=3","7160342")</f>
        <v>0</v>
      </c>
      <c r="B12169" t="s">
        <v>589</v>
      </c>
      <c r="C12169" t="s">
        <v>15164</v>
      </c>
      <c r="D12169" t="s">
        <v>17168</v>
      </c>
      <c r="E12169" t="s">
        <v>15164</v>
      </c>
      <c r="F12169" t="s">
        <v>29372</v>
      </c>
      <c r="G12169" t="s">
        <v>29380</v>
      </c>
      <c r="H12169" t="s">
        <v>11048</v>
      </c>
      <c r="I12169" t="s">
        <v>3839</v>
      </c>
      <c r="J12169" t="s">
        <v>37214</v>
      </c>
      <c r="K12169" t="s">
        <v>38538</v>
      </c>
      <c r="M12169" t="s">
        <v>39358</v>
      </c>
      <c r="N12169" t="s">
        <v>42669</v>
      </c>
      <c r="O12169" t="s">
        <v>42670</v>
      </c>
      <c r="Q12169">
        <v>0</v>
      </c>
      <c r="R12169" t="s">
        <v>42689</v>
      </c>
      <c r="S12169" t="s">
        <v>43533</v>
      </c>
      <c r="T12169" t="s">
        <v>44480</v>
      </c>
      <c r="U12169" t="s">
        <v>54768</v>
      </c>
      <c r="W12169" t="s">
        <v>39358</v>
      </c>
      <c r="X12169" t="s">
        <v>42690</v>
      </c>
    </row>
    <row r="12170" spans="1:24">
      <c r="A12170">
        <f>HYPERLINK("https://www.philgeps.gov.ph/GEPSNONPILOT/Tender/SplashBidNoticeAbstractUI.aspx?menuIndex=3&amp;refID=7160176&amp;Result=3","7160176")</f>
        <v>0</v>
      </c>
      <c r="B12170" t="s">
        <v>693</v>
      </c>
      <c r="C12170" t="s">
        <v>15165</v>
      </c>
      <c r="D12170" t="s">
        <v>17161</v>
      </c>
      <c r="E12170" t="s">
        <v>27601</v>
      </c>
      <c r="F12170" t="s">
        <v>29372</v>
      </c>
      <c r="G12170" t="s">
        <v>29380</v>
      </c>
      <c r="H12170" t="s">
        <v>29389</v>
      </c>
      <c r="I12170" t="s">
        <v>10408</v>
      </c>
      <c r="J12170" t="s">
        <v>37215</v>
      </c>
      <c r="K12170" t="s">
        <v>38533</v>
      </c>
      <c r="M12170" t="s">
        <v>39469</v>
      </c>
      <c r="N12170" t="s">
        <v>42669</v>
      </c>
      <c r="O12170" t="s">
        <v>42670</v>
      </c>
      <c r="Q12170">
        <v>0</v>
      </c>
      <c r="R12170" t="s">
        <v>42689</v>
      </c>
      <c r="S12170" t="s">
        <v>43534</v>
      </c>
      <c r="T12170" t="s">
        <v>44401</v>
      </c>
      <c r="U12170" t="s">
        <v>54535</v>
      </c>
      <c r="V12170" t="s">
        <v>57756</v>
      </c>
      <c r="W12170" t="s">
        <v>39469</v>
      </c>
      <c r="X12170" t="s">
        <v>42690</v>
      </c>
    </row>
    <row r="12171" spans="1:24">
      <c r="A12171">
        <f>HYPERLINK("https://www.philgeps.gov.ph/GEPSNONPILOT/Tender/SplashBidNoticeAbstractUI.aspx?menuIndex=3&amp;refID=7160338&amp;Result=3","7160338")</f>
        <v>0</v>
      </c>
      <c r="B12171" t="s">
        <v>2349</v>
      </c>
      <c r="C12171" t="s">
        <v>15166</v>
      </c>
      <c r="D12171" t="s">
        <v>17187</v>
      </c>
      <c r="E12171" t="s">
        <v>27602</v>
      </c>
      <c r="F12171" t="s">
        <v>29372</v>
      </c>
      <c r="G12171" t="s">
        <v>29380</v>
      </c>
      <c r="H12171" t="s">
        <v>11048</v>
      </c>
      <c r="I12171" t="s">
        <v>4487</v>
      </c>
      <c r="J12171" t="s">
        <v>37216</v>
      </c>
      <c r="K12171" t="s">
        <v>38580</v>
      </c>
      <c r="M12171" t="s">
        <v>41282</v>
      </c>
      <c r="N12171" t="s">
        <v>42669</v>
      </c>
      <c r="O12171" t="s">
        <v>42670</v>
      </c>
      <c r="P12171">
        <v>0</v>
      </c>
      <c r="Q12171">
        <v>3</v>
      </c>
      <c r="R12171" t="s">
        <v>42689</v>
      </c>
      <c r="S12171" t="s">
        <v>43461</v>
      </c>
      <c r="T12171" t="s">
        <v>44427</v>
      </c>
      <c r="U12171" t="s">
        <v>54769</v>
      </c>
      <c r="W12171" t="s">
        <v>41282</v>
      </c>
      <c r="X12171" t="s">
        <v>42690</v>
      </c>
    </row>
    <row r="12172" spans="1:24">
      <c r="A12172">
        <f>HYPERLINK("https://www.philgeps.gov.ph/GEPSNONPILOT/Tender/SplashBidNoticeAbstractUI.aspx?menuIndex=3&amp;refID=7159741&amp;Result=3","7159741")</f>
        <v>0</v>
      </c>
      <c r="B12172" t="s">
        <v>3296</v>
      </c>
      <c r="C12172" t="s">
        <v>15167</v>
      </c>
      <c r="D12172" t="s">
        <v>17200</v>
      </c>
      <c r="E12172" t="s">
        <v>27603</v>
      </c>
      <c r="F12172" t="s">
        <v>29372</v>
      </c>
      <c r="G12172" t="s">
        <v>29380</v>
      </c>
      <c r="H12172" t="s">
        <v>29389</v>
      </c>
      <c r="I12172" t="s">
        <v>10408</v>
      </c>
      <c r="J12172" t="s">
        <v>37217</v>
      </c>
      <c r="K12172" t="s">
        <v>38516</v>
      </c>
      <c r="M12172" t="s">
        <v>42373</v>
      </c>
      <c r="N12172" t="s">
        <v>42669</v>
      </c>
      <c r="O12172" t="s">
        <v>42670</v>
      </c>
      <c r="P12172">
        <v>0</v>
      </c>
      <c r="Q12172">
        <v>0</v>
      </c>
      <c r="R12172" t="s">
        <v>42689</v>
      </c>
      <c r="S12172" t="s">
        <v>43461</v>
      </c>
      <c r="T12172" t="s">
        <v>44488</v>
      </c>
      <c r="U12172" t="s">
        <v>54648</v>
      </c>
      <c r="W12172" t="s">
        <v>42373</v>
      </c>
      <c r="X12172" t="s">
        <v>42690</v>
      </c>
    </row>
    <row r="12173" spans="1:24">
      <c r="A12173">
        <f>HYPERLINK("https://www.philgeps.gov.ph/GEPSNONPILOT/Tender/SplashBidNoticeAbstractUI.aspx?menuIndex=3&amp;refID=7160317&amp;Result=3","7160317")</f>
        <v>0</v>
      </c>
      <c r="B12173" t="s">
        <v>2942</v>
      </c>
      <c r="C12173" t="s">
        <v>15168</v>
      </c>
      <c r="E12173" t="s">
        <v>27604</v>
      </c>
      <c r="F12173" t="s">
        <v>29372</v>
      </c>
      <c r="G12173" t="s">
        <v>29380</v>
      </c>
      <c r="H12173" t="s">
        <v>29389</v>
      </c>
      <c r="I12173" t="s">
        <v>10408</v>
      </c>
      <c r="J12173" t="s">
        <v>33760</v>
      </c>
      <c r="K12173" t="s">
        <v>38558</v>
      </c>
      <c r="M12173" t="s">
        <v>41944</v>
      </c>
      <c r="N12173" t="s">
        <v>42669</v>
      </c>
      <c r="O12173" t="s">
        <v>42670</v>
      </c>
      <c r="P12173">
        <v>0</v>
      </c>
      <c r="Q12173">
        <v>0</v>
      </c>
      <c r="R12173" t="s">
        <v>42689</v>
      </c>
      <c r="S12173" t="s">
        <v>43461</v>
      </c>
      <c r="T12173" t="s">
        <v>44394</v>
      </c>
      <c r="U12173" t="s">
        <v>54376</v>
      </c>
      <c r="W12173" t="s">
        <v>41944</v>
      </c>
      <c r="X12173" t="s">
        <v>42690</v>
      </c>
    </row>
    <row r="12174" spans="1:24">
      <c r="A12174">
        <f>HYPERLINK("https://www.philgeps.gov.ph/GEPSNONPILOT/Tender/SplashBidNoticeAbstractUI.aspx?menuIndex=3&amp;refID=7160245&amp;Result=3","7160245")</f>
        <v>0</v>
      </c>
      <c r="B12174" t="s">
        <v>772</v>
      </c>
      <c r="C12174" t="s">
        <v>15169</v>
      </c>
      <c r="D12174" t="s">
        <v>17187</v>
      </c>
      <c r="E12174" t="s">
        <v>27605</v>
      </c>
      <c r="F12174" t="s">
        <v>29372</v>
      </c>
      <c r="G12174" t="s">
        <v>29380</v>
      </c>
      <c r="H12174" t="s">
        <v>11048</v>
      </c>
      <c r="I12174" t="s">
        <v>29415</v>
      </c>
      <c r="J12174" t="s">
        <v>37218</v>
      </c>
      <c r="K12174" t="s">
        <v>38491</v>
      </c>
      <c r="M12174" t="s">
        <v>39556</v>
      </c>
      <c r="N12174" t="s">
        <v>42669</v>
      </c>
      <c r="O12174" t="s">
        <v>42670</v>
      </c>
      <c r="P12174">
        <v>0</v>
      </c>
      <c r="Q12174">
        <v>5</v>
      </c>
      <c r="R12174" t="s">
        <v>42689</v>
      </c>
      <c r="S12174" t="s">
        <v>43461</v>
      </c>
      <c r="T12174" t="s">
        <v>44401</v>
      </c>
      <c r="U12174" t="s">
        <v>54770</v>
      </c>
      <c r="W12174" t="s">
        <v>39556</v>
      </c>
      <c r="X12174" t="s">
        <v>42690</v>
      </c>
    </row>
    <row r="12175" spans="1:24">
      <c r="A12175">
        <f>HYPERLINK("https://www.philgeps.gov.ph/GEPSNONPILOT/Tender/SplashBidNoticeAbstractUI.aspx?menuIndex=3&amp;refID=7160306&amp;Result=3","7160306")</f>
        <v>0</v>
      </c>
      <c r="B12175" t="s">
        <v>2349</v>
      </c>
      <c r="C12175" t="s">
        <v>15170</v>
      </c>
      <c r="D12175" t="s">
        <v>17187</v>
      </c>
      <c r="E12175" t="s">
        <v>27606</v>
      </c>
      <c r="F12175" t="s">
        <v>29372</v>
      </c>
      <c r="G12175" t="s">
        <v>29380</v>
      </c>
      <c r="H12175" t="s">
        <v>11048</v>
      </c>
      <c r="I12175" t="s">
        <v>4709</v>
      </c>
      <c r="J12175" t="s">
        <v>37219</v>
      </c>
      <c r="K12175" t="s">
        <v>38580</v>
      </c>
      <c r="M12175" t="s">
        <v>41282</v>
      </c>
      <c r="N12175" t="s">
        <v>42669</v>
      </c>
      <c r="O12175" t="s">
        <v>42670</v>
      </c>
      <c r="P12175">
        <v>0</v>
      </c>
      <c r="Q12175">
        <v>0</v>
      </c>
      <c r="R12175" t="s">
        <v>42689</v>
      </c>
      <c r="S12175" t="s">
        <v>43461</v>
      </c>
      <c r="T12175" t="s">
        <v>44427</v>
      </c>
      <c r="U12175" t="s">
        <v>54769</v>
      </c>
      <c r="W12175" t="s">
        <v>41282</v>
      </c>
      <c r="X12175" t="s">
        <v>42690</v>
      </c>
    </row>
    <row r="12176" spans="1:24">
      <c r="A12176">
        <f>HYPERLINK("https://www.philgeps.gov.ph/GEPSNONPILOT/Tender/SplashBidNoticeAbstractUI.aspx?menuIndex=3&amp;refID=7160238&amp;Result=3","7160238")</f>
        <v>0</v>
      </c>
      <c r="B12176" t="s">
        <v>3309</v>
      </c>
      <c r="C12176" t="s">
        <v>15171</v>
      </c>
      <c r="D12176" t="s">
        <v>17206</v>
      </c>
      <c r="E12176" t="s">
        <v>20412</v>
      </c>
      <c r="F12176" t="s">
        <v>29372</v>
      </c>
      <c r="G12176" t="s">
        <v>29380</v>
      </c>
      <c r="H12176" t="s">
        <v>29389</v>
      </c>
      <c r="I12176" t="s">
        <v>10408</v>
      </c>
      <c r="J12176" t="s">
        <v>30161</v>
      </c>
      <c r="K12176" t="s">
        <v>38502</v>
      </c>
      <c r="M12176" t="s">
        <v>42395</v>
      </c>
      <c r="N12176" t="s">
        <v>42669</v>
      </c>
      <c r="O12176" t="s">
        <v>42670</v>
      </c>
      <c r="P12176">
        <v>0</v>
      </c>
      <c r="Q12176">
        <v>1</v>
      </c>
      <c r="R12176" t="s">
        <v>42689</v>
      </c>
      <c r="S12176" t="s">
        <v>43461</v>
      </c>
      <c r="T12176" t="s">
        <v>44834</v>
      </c>
      <c r="U12176" t="s">
        <v>54771</v>
      </c>
      <c r="W12176" t="s">
        <v>42395</v>
      </c>
      <c r="X12176" t="s">
        <v>42690</v>
      </c>
    </row>
    <row r="12177" spans="1:24">
      <c r="A12177">
        <f>HYPERLINK("https://www.philgeps.gov.ph/GEPSNONPILOT/Tender/SplashBidNoticeAbstractUI.aspx?menuIndex=3&amp;refID=7160215&amp;Result=3","7160215")</f>
        <v>0</v>
      </c>
      <c r="B12177" t="s">
        <v>2942</v>
      </c>
      <c r="C12177" t="s">
        <v>15172</v>
      </c>
      <c r="D12177" t="s">
        <v>17212</v>
      </c>
      <c r="E12177" t="s">
        <v>27607</v>
      </c>
      <c r="F12177" t="s">
        <v>29372</v>
      </c>
      <c r="G12177" t="s">
        <v>29380</v>
      </c>
      <c r="H12177" t="s">
        <v>29389</v>
      </c>
      <c r="I12177" t="s">
        <v>10408</v>
      </c>
      <c r="J12177" t="s">
        <v>37220</v>
      </c>
      <c r="K12177" t="s">
        <v>38513</v>
      </c>
      <c r="M12177" t="s">
        <v>41944</v>
      </c>
      <c r="N12177" t="s">
        <v>42669</v>
      </c>
      <c r="O12177" t="s">
        <v>42670</v>
      </c>
      <c r="P12177">
        <v>0</v>
      </c>
      <c r="Q12177">
        <v>0</v>
      </c>
      <c r="R12177" t="s">
        <v>42689</v>
      </c>
      <c r="S12177" t="s">
        <v>43461</v>
      </c>
      <c r="T12177" t="s">
        <v>44378</v>
      </c>
      <c r="U12177" t="s">
        <v>54772</v>
      </c>
      <c r="W12177" t="s">
        <v>41944</v>
      </c>
      <c r="X12177" t="s">
        <v>42690</v>
      </c>
    </row>
    <row r="12178" spans="1:24">
      <c r="A12178">
        <f>HYPERLINK("https://www.philgeps.gov.ph/GEPSNONPILOT/Tender/SplashBidNoticeAbstractUI.aspx?menuIndex=3&amp;refID=7160373&amp;Result=3","7160373")</f>
        <v>0</v>
      </c>
      <c r="B12178" t="s">
        <v>2775</v>
      </c>
      <c r="C12178" t="s">
        <v>15173</v>
      </c>
      <c r="D12178" t="s">
        <v>17187</v>
      </c>
      <c r="E12178" t="s">
        <v>27608</v>
      </c>
      <c r="F12178" t="s">
        <v>29372</v>
      </c>
      <c r="G12178" t="s">
        <v>29380</v>
      </c>
      <c r="H12178" t="s">
        <v>11048</v>
      </c>
      <c r="I12178" t="s">
        <v>8614</v>
      </c>
      <c r="J12178" t="s">
        <v>37221</v>
      </c>
      <c r="K12178" t="s">
        <v>38485</v>
      </c>
      <c r="M12178" t="s">
        <v>41760</v>
      </c>
      <c r="N12178" t="s">
        <v>42669</v>
      </c>
      <c r="O12178" t="s">
        <v>42670</v>
      </c>
      <c r="P12178">
        <v>0</v>
      </c>
      <c r="Q12178">
        <v>11</v>
      </c>
      <c r="R12178" t="s">
        <v>42689</v>
      </c>
      <c r="S12178" t="s">
        <v>43461</v>
      </c>
      <c r="T12178" t="s">
        <v>44399</v>
      </c>
      <c r="U12178" t="s">
        <v>54773</v>
      </c>
      <c r="V12178" t="s">
        <v>57386</v>
      </c>
      <c r="W12178" t="s">
        <v>41760</v>
      </c>
      <c r="X12178" t="s">
        <v>42690</v>
      </c>
    </row>
    <row r="12179" spans="1:24">
      <c r="A12179">
        <f>HYPERLINK("https://www.philgeps.gov.ph/GEPSNONPILOT/Tender/SplashBidNoticeAbstractUI.aspx?menuIndex=3&amp;refID=7160300&amp;Result=3","7160300")</f>
        <v>0</v>
      </c>
      <c r="B12179" t="s">
        <v>1115</v>
      </c>
      <c r="C12179" t="s">
        <v>15174</v>
      </c>
      <c r="D12179" t="s">
        <v>17167</v>
      </c>
      <c r="E12179" t="s">
        <v>27609</v>
      </c>
      <c r="F12179" t="s">
        <v>29372</v>
      </c>
      <c r="G12179" t="s">
        <v>29380</v>
      </c>
      <c r="H12179" t="s">
        <v>11048</v>
      </c>
      <c r="I12179" t="s">
        <v>29414</v>
      </c>
      <c r="J12179" t="s">
        <v>37222</v>
      </c>
      <c r="K12179" t="s">
        <v>38491</v>
      </c>
      <c r="M12179" t="s">
        <v>42031</v>
      </c>
      <c r="N12179" t="s">
        <v>42669</v>
      </c>
      <c r="O12179" t="s">
        <v>42670</v>
      </c>
      <c r="P12179">
        <v>0</v>
      </c>
      <c r="Q12179">
        <v>10</v>
      </c>
      <c r="R12179" t="s">
        <v>42689</v>
      </c>
      <c r="S12179" t="s">
        <v>43461</v>
      </c>
      <c r="T12179" t="s">
        <v>44631</v>
      </c>
      <c r="U12179" t="s">
        <v>54774</v>
      </c>
      <c r="W12179" t="s">
        <v>42031</v>
      </c>
      <c r="X12179" t="s">
        <v>42690</v>
      </c>
    </row>
    <row r="12180" spans="1:24">
      <c r="A12180">
        <f>HYPERLINK("https://www.philgeps.gov.ph/GEPSNONPILOT/Tender/SplashBidNoticeAbstractUI.aspx?menuIndex=3&amp;refID=7160371&amp;Result=3","7160371")</f>
        <v>0</v>
      </c>
      <c r="B12180" t="s">
        <v>1115</v>
      </c>
      <c r="C12180" t="s">
        <v>13489</v>
      </c>
      <c r="D12180" t="s">
        <v>17167</v>
      </c>
      <c r="E12180" t="s">
        <v>27610</v>
      </c>
      <c r="F12180" t="s">
        <v>29372</v>
      </c>
      <c r="G12180" t="s">
        <v>29380</v>
      </c>
      <c r="H12180" t="s">
        <v>11048</v>
      </c>
      <c r="I12180" t="s">
        <v>29458</v>
      </c>
      <c r="J12180" t="s">
        <v>37223</v>
      </c>
      <c r="K12180" t="s">
        <v>38491</v>
      </c>
      <c r="M12180" t="s">
        <v>42031</v>
      </c>
      <c r="N12180" t="s">
        <v>42669</v>
      </c>
      <c r="O12180" t="s">
        <v>42670</v>
      </c>
      <c r="P12180">
        <v>0</v>
      </c>
      <c r="Q12180">
        <v>1</v>
      </c>
      <c r="R12180" t="s">
        <v>42689</v>
      </c>
      <c r="S12180" t="s">
        <v>43461</v>
      </c>
      <c r="T12180" t="s">
        <v>44631</v>
      </c>
      <c r="U12180" t="s">
        <v>54775</v>
      </c>
      <c r="W12180" t="s">
        <v>42031</v>
      </c>
      <c r="X12180" t="s">
        <v>42690</v>
      </c>
    </row>
    <row r="12181" spans="1:24">
      <c r="A12181">
        <f>HYPERLINK("https://www.philgeps.gov.ph/GEPSNONPILOT/Tender/SplashBidNoticeAbstractUI.aspx?menuIndex=3&amp;refID=7160348&amp;Result=3","7160348")</f>
        <v>0</v>
      </c>
      <c r="B12181" t="s">
        <v>2942</v>
      </c>
      <c r="C12181" t="s">
        <v>15175</v>
      </c>
      <c r="D12181" t="s">
        <v>17212</v>
      </c>
      <c r="E12181" t="s">
        <v>27611</v>
      </c>
      <c r="F12181" t="s">
        <v>29372</v>
      </c>
      <c r="G12181" t="s">
        <v>29380</v>
      </c>
      <c r="H12181" t="s">
        <v>29389</v>
      </c>
      <c r="I12181" t="s">
        <v>10408</v>
      </c>
      <c r="J12181" t="s">
        <v>29896</v>
      </c>
      <c r="K12181" t="s">
        <v>38488</v>
      </c>
      <c r="M12181" t="s">
        <v>41944</v>
      </c>
      <c r="N12181" t="s">
        <v>42669</v>
      </c>
      <c r="O12181" t="s">
        <v>42670</v>
      </c>
      <c r="P12181">
        <v>0</v>
      </c>
      <c r="Q12181">
        <v>0</v>
      </c>
      <c r="R12181" t="s">
        <v>42689</v>
      </c>
      <c r="S12181" t="s">
        <v>43461</v>
      </c>
      <c r="T12181" t="s">
        <v>44378</v>
      </c>
      <c r="U12181" t="s">
        <v>54376</v>
      </c>
      <c r="W12181" t="s">
        <v>41944</v>
      </c>
      <c r="X12181" t="s">
        <v>42690</v>
      </c>
    </row>
    <row r="12182" spans="1:24">
      <c r="A12182">
        <f>HYPERLINK("https://www.philgeps.gov.ph/GEPSNONPILOT/Tender/SplashBidNoticeAbstractUI.aspx?menuIndex=3&amp;refID=7160296&amp;Result=3","7160296")</f>
        <v>0</v>
      </c>
      <c r="B12182" t="s">
        <v>3310</v>
      </c>
      <c r="C12182" t="s">
        <v>15176</v>
      </c>
      <c r="E12182" t="s">
        <v>27612</v>
      </c>
      <c r="F12182" t="s">
        <v>29372</v>
      </c>
      <c r="G12182" t="s">
        <v>29380</v>
      </c>
      <c r="H12182" t="s">
        <v>11048</v>
      </c>
      <c r="I12182" t="s">
        <v>3597</v>
      </c>
      <c r="J12182" t="s">
        <v>37205</v>
      </c>
      <c r="K12182" t="s">
        <v>38518</v>
      </c>
      <c r="M12182" t="s">
        <v>42396</v>
      </c>
      <c r="N12182" t="s">
        <v>42669</v>
      </c>
      <c r="O12182" t="s">
        <v>42670</v>
      </c>
      <c r="P12182">
        <v>0</v>
      </c>
      <c r="Q12182">
        <v>9</v>
      </c>
      <c r="R12182" t="s">
        <v>42689</v>
      </c>
      <c r="S12182" t="s">
        <v>43461</v>
      </c>
      <c r="T12182" t="s">
        <v>44401</v>
      </c>
      <c r="U12182" t="s">
        <v>54776</v>
      </c>
      <c r="W12182" t="s">
        <v>42396</v>
      </c>
      <c r="X12182" t="s">
        <v>42690</v>
      </c>
    </row>
    <row r="12183" spans="1:24">
      <c r="A12183">
        <f>HYPERLINK("https://www.philgeps.gov.ph/GEPSNONPILOT/Tender/SplashBidNoticeAbstractUI.aspx?menuIndex=3&amp;refID=7160347&amp;Result=3","7160347")</f>
        <v>0</v>
      </c>
      <c r="B12183" t="s">
        <v>2002</v>
      </c>
      <c r="C12183" t="s">
        <v>15177</v>
      </c>
      <c r="D12183" t="s">
        <v>17153</v>
      </c>
      <c r="E12183" t="s">
        <v>27613</v>
      </c>
      <c r="F12183" t="s">
        <v>29372</v>
      </c>
      <c r="G12183" t="s">
        <v>29380</v>
      </c>
      <c r="H12183" t="s">
        <v>29389</v>
      </c>
      <c r="I12183" t="s">
        <v>10408</v>
      </c>
      <c r="J12183" t="s">
        <v>29604</v>
      </c>
      <c r="K12183" t="s">
        <v>38644</v>
      </c>
      <c r="M12183" t="s">
        <v>40892</v>
      </c>
      <c r="N12183" t="s">
        <v>42669</v>
      </c>
      <c r="O12183" t="s">
        <v>42670</v>
      </c>
      <c r="P12183">
        <v>0</v>
      </c>
      <c r="Q12183">
        <v>0</v>
      </c>
      <c r="R12183" t="s">
        <v>42689</v>
      </c>
      <c r="S12183" t="s">
        <v>43461</v>
      </c>
      <c r="T12183" t="s">
        <v>44481</v>
      </c>
      <c r="U12183" t="s">
        <v>54777</v>
      </c>
      <c r="W12183" t="s">
        <v>40892</v>
      </c>
      <c r="X12183" t="s">
        <v>42690</v>
      </c>
    </row>
    <row r="12184" spans="1:24">
      <c r="A12184">
        <f>HYPERLINK("https://www.philgeps.gov.ph/GEPSNONPILOT/Tender/SplashBidNoticeAbstractUI.aspx?menuIndex=3&amp;refID=7160370&amp;Result=3","7160370")</f>
        <v>0</v>
      </c>
      <c r="B12184" t="s">
        <v>2799</v>
      </c>
      <c r="C12184" t="s">
        <v>15178</v>
      </c>
      <c r="D12184" t="s">
        <v>17174</v>
      </c>
      <c r="E12184" t="s">
        <v>27614</v>
      </c>
      <c r="F12184" t="s">
        <v>29372</v>
      </c>
      <c r="G12184" t="s">
        <v>29380</v>
      </c>
      <c r="H12184" t="s">
        <v>29389</v>
      </c>
      <c r="I12184" t="s">
        <v>10408</v>
      </c>
      <c r="J12184" t="s">
        <v>30634</v>
      </c>
      <c r="K12184" t="s">
        <v>38487</v>
      </c>
      <c r="M12184" t="s">
        <v>41787</v>
      </c>
      <c r="N12184" t="s">
        <v>42669</v>
      </c>
      <c r="O12184" t="s">
        <v>42670</v>
      </c>
      <c r="P12184">
        <v>0</v>
      </c>
      <c r="Q12184">
        <v>0</v>
      </c>
      <c r="R12184" t="s">
        <v>42689</v>
      </c>
      <c r="S12184" t="s">
        <v>43461</v>
      </c>
      <c r="T12184" t="s">
        <v>44401</v>
      </c>
      <c r="U12184" t="s">
        <v>52440</v>
      </c>
      <c r="W12184" t="s">
        <v>41787</v>
      </c>
      <c r="X12184" t="s">
        <v>42690</v>
      </c>
    </row>
    <row r="12185" spans="1:24">
      <c r="A12185">
        <f>HYPERLINK("https://www.philgeps.gov.ph/GEPSNONPILOT/Tender/SplashBidNoticeAbstractUI.aspx?menuIndex=3&amp;refID=7160273&amp;Result=3","7160273")</f>
        <v>0</v>
      </c>
      <c r="B12185" t="s">
        <v>3166</v>
      </c>
      <c r="C12185" t="s">
        <v>15179</v>
      </c>
      <c r="D12185" t="s">
        <v>17141</v>
      </c>
      <c r="E12185" t="s">
        <v>27615</v>
      </c>
      <c r="F12185" t="s">
        <v>29372</v>
      </c>
      <c r="G12185" t="s">
        <v>29380</v>
      </c>
      <c r="H12185" t="s">
        <v>29390</v>
      </c>
      <c r="I12185" t="s">
        <v>29471</v>
      </c>
      <c r="J12185" t="s">
        <v>31498</v>
      </c>
      <c r="K12185" t="s">
        <v>38588</v>
      </c>
      <c r="M12185" t="s">
        <v>42216</v>
      </c>
      <c r="N12185" t="s">
        <v>42669</v>
      </c>
      <c r="O12185" t="s">
        <v>42670</v>
      </c>
      <c r="P12185">
        <v>0</v>
      </c>
      <c r="Q12185">
        <v>11</v>
      </c>
      <c r="R12185" t="s">
        <v>42689</v>
      </c>
      <c r="S12185" t="s">
        <v>43461</v>
      </c>
      <c r="T12185" t="s">
        <v>44380</v>
      </c>
      <c r="U12185" t="s">
        <v>54778</v>
      </c>
      <c r="W12185" t="s">
        <v>42216</v>
      </c>
      <c r="X12185" t="s">
        <v>42690</v>
      </c>
    </row>
    <row r="12186" spans="1:24">
      <c r="A12186">
        <f>HYPERLINK("https://www.philgeps.gov.ph/GEPSNONPILOT/Tender/SplashBidNoticeAbstractUI.aspx?menuIndex=3&amp;refID=7160353&amp;Result=3","7160353")</f>
        <v>0</v>
      </c>
      <c r="B12186" t="s">
        <v>1115</v>
      </c>
      <c r="C12186" t="s">
        <v>15180</v>
      </c>
      <c r="D12186" t="s">
        <v>17167</v>
      </c>
      <c r="E12186" t="s">
        <v>27616</v>
      </c>
      <c r="F12186" t="s">
        <v>29372</v>
      </c>
      <c r="G12186" t="s">
        <v>29380</v>
      </c>
      <c r="H12186" t="s">
        <v>11048</v>
      </c>
      <c r="I12186" t="s">
        <v>29458</v>
      </c>
      <c r="J12186" t="s">
        <v>37224</v>
      </c>
      <c r="K12186" t="s">
        <v>38491</v>
      </c>
      <c r="M12186" t="s">
        <v>42031</v>
      </c>
      <c r="N12186" t="s">
        <v>42669</v>
      </c>
      <c r="O12186" t="s">
        <v>42670</v>
      </c>
      <c r="P12186">
        <v>0</v>
      </c>
      <c r="Q12186">
        <v>1</v>
      </c>
      <c r="R12186" t="s">
        <v>42689</v>
      </c>
      <c r="S12186" t="s">
        <v>43461</v>
      </c>
      <c r="T12186" t="s">
        <v>44631</v>
      </c>
      <c r="U12186" t="s">
        <v>54779</v>
      </c>
      <c r="W12186" t="s">
        <v>42031</v>
      </c>
      <c r="X12186" t="s">
        <v>42690</v>
      </c>
    </row>
    <row r="12187" spans="1:24">
      <c r="A12187">
        <f>HYPERLINK("https://www.philgeps.gov.ph/GEPSNONPILOT/Tender/SplashBidNoticeAbstractUI.aspx?menuIndex=3&amp;refID=7160281&amp;Result=3","7160281")</f>
        <v>0</v>
      </c>
      <c r="B12187" t="s">
        <v>2799</v>
      </c>
      <c r="C12187" t="s">
        <v>15181</v>
      </c>
      <c r="D12187" t="s">
        <v>17174</v>
      </c>
      <c r="E12187" t="s">
        <v>27617</v>
      </c>
      <c r="F12187" t="s">
        <v>29372</v>
      </c>
      <c r="G12187" t="s">
        <v>29380</v>
      </c>
      <c r="H12187" t="s">
        <v>29389</v>
      </c>
      <c r="I12187" t="s">
        <v>10408</v>
      </c>
      <c r="J12187" t="s">
        <v>31317</v>
      </c>
      <c r="K12187" t="s">
        <v>38487</v>
      </c>
      <c r="M12187" t="s">
        <v>41787</v>
      </c>
      <c r="N12187" t="s">
        <v>42669</v>
      </c>
      <c r="O12187" t="s">
        <v>42670</v>
      </c>
      <c r="P12187">
        <v>0</v>
      </c>
      <c r="Q12187">
        <v>0</v>
      </c>
      <c r="R12187" t="s">
        <v>42689</v>
      </c>
      <c r="S12187" t="s">
        <v>43461</v>
      </c>
      <c r="T12187" t="s">
        <v>44401</v>
      </c>
      <c r="U12187" t="s">
        <v>52440</v>
      </c>
      <c r="W12187" t="s">
        <v>41787</v>
      </c>
      <c r="X12187" t="s">
        <v>42690</v>
      </c>
    </row>
    <row r="12188" spans="1:24">
      <c r="A12188">
        <f>HYPERLINK("https://www.philgeps.gov.ph/GEPSNONPILOT/Tender/SplashBidNoticeAbstractUI.aspx?menuIndex=3&amp;refID=7160344&amp;Result=3","7160344")</f>
        <v>0</v>
      </c>
      <c r="B12188" t="s">
        <v>2577</v>
      </c>
      <c r="C12188" t="s">
        <v>15182</v>
      </c>
      <c r="D12188" t="s">
        <v>17193</v>
      </c>
      <c r="E12188" t="s">
        <v>27618</v>
      </c>
      <c r="F12188" t="s">
        <v>29372</v>
      </c>
      <c r="G12188" t="s">
        <v>29380</v>
      </c>
      <c r="H12188" t="s">
        <v>11048</v>
      </c>
      <c r="I12188" t="s">
        <v>29406</v>
      </c>
      <c r="J12188" t="s">
        <v>37225</v>
      </c>
      <c r="K12188" t="s">
        <v>38491</v>
      </c>
      <c r="M12188" t="s">
        <v>41544</v>
      </c>
      <c r="N12188" t="s">
        <v>42669</v>
      </c>
      <c r="O12188" t="s">
        <v>42670</v>
      </c>
      <c r="P12188">
        <v>0</v>
      </c>
      <c r="Q12188">
        <v>12</v>
      </c>
      <c r="R12188" t="s">
        <v>42689</v>
      </c>
      <c r="S12188" t="s">
        <v>43461</v>
      </c>
      <c r="T12188" t="s">
        <v>44457</v>
      </c>
      <c r="U12188" t="s">
        <v>54780</v>
      </c>
      <c r="W12188" t="s">
        <v>41544</v>
      </c>
      <c r="X12188" t="s">
        <v>42690</v>
      </c>
    </row>
    <row r="12189" spans="1:24">
      <c r="A12189">
        <f>HYPERLINK("https://www.philgeps.gov.ph/GEPSNONPILOT/Tender/SplashBidNoticeAbstractUI.aspx?menuIndex=3&amp;refID=7160285&amp;Result=3","7160285")</f>
        <v>0</v>
      </c>
      <c r="B12189" t="s">
        <v>3309</v>
      </c>
      <c r="C12189" t="s">
        <v>15183</v>
      </c>
      <c r="D12189" t="s">
        <v>17206</v>
      </c>
      <c r="E12189" t="s">
        <v>18689</v>
      </c>
      <c r="F12189" t="s">
        <v>29372</v>
      </c>
      <c r="G12189" t="s">
        <v>29380</v>
      </c>
      <c r="H12189" t="s">
        <v>11048</v>
      </c>
      <c r="I12189" t="s">
        <v>5383</v>
      </c>
      <c r="J12189" t="s">
        <v>37226</v>
      </c>
      <c r="K12189" t="s">
        <v>38485</v>
      </c>
      <c r="M12189" t="s">
        <v>42395</v>
      </c>
      <c r="N12189" t="s">
        <v>42669</v>
      </c>
      <c r="O12189" t="s">
        <v>42670</v>
      </c>
      <c r="Q12189">
        <v>2</v>
      </c>
      <c r="R12189" t="s">
        <v>42689</v>
      </c>
      <c r="S12189" t="s">
        <v>43535</v>
      </c>
      <c r="T12189" t="s">
        <v>44480</v>
      </c>
      <c r="U12189" t="s">
        <v>54781</v>
      </c>
      <c r="W12189" t="s">
        <v>42395</v>
      </c>
      <c r="X12189" t="s">
        <v>42690</v>
      </c>
    </row>
    <row r="12190" spans="1:24">
      <c r="A12190">
        <f>HYPERLINK("https://www.philgeps.gov.ph/GEPSNONPILOT/Tender/SplashBidNoticeAbstractUI.aspx?menuIndex=3&amp;refID=7160319&amp;Result=3","7160319")</f>
        <v>0</v>
      </c>
      <c r="B12190" t="s">
        <v>1115</v>
      </c>
      <c r="C12190" t="s">
        <v>15180</v>
      </c>
      <c r="D12190" t="s">
        <v>17167</v>
      </c>
      <c r="E12190" t="s">
        <v>27619</v>
      </c>
      <c r="F12190" t="s">
        <v>29372</v>
      </c>
      <c r="G12190" t="s">
        <v>29380</v>
      </c>
      <c r="H12190" t="s">
        <v>11048</v>
      </c>
      <c r="I12190" t="s">
        <v>29458</v>
      </c>
      <c r="J12190" t="s">
        <v>37227</v>
      </c>
      <c r="K12190" t="s">
        <v>38491</v>
      </c>
      <c r="M12190" t="s">
        <v>42031</v>
      </c>
      <c r="N12190" t="s">
        <v>42669</v>
      </c>
      <c r="O12190" t="s">
        <v>42670</v>
      </c>
      <c r="P12190">
        <v>0</v>
      </c>
      <c r="Q12190">
        <v>2</v>
      </c>
      <c r="R12190" t="s">
        <v>42689</v>
      </c>
      <c r="S12190" t="s">
        <v>43461</v>
      </c>
      <c r="T12190" t="s">
        <v>44631</v>
      </c>
      <c r="U12190" t="s">
        <v>54782</v>
      </c>
      <c r="W12190" t="s">
        <v>42031</v>
      </c>
      <c r="X12190" t="s">
        <v>42690</v>
      </c>
    </row>
    <row r="12191" spans="1:24">
      <c r="A12191">
        <f>HYPERLINK("https://www.philgeps.gov.ph/GEPSNONPILOT/Tender/SplashBidNoticeAbstractUI.aspx?menuIndex=3&amp;refID=7160595&amp;Result=3","7160595")</f>
        <v>0</v>
      </c>
      <c r="B12191" t="s">
        <v>3311</v>
      </c>
      <c r="C12191" t="s">
        <v>15184</v>
      </c>
      <c r="D12191" t="s">
        <v>17186</v>
      </c>
      <c r="E12191" t="s">
        <v>18734</v>
      </c>
      <c r="F12191" t="s">
        <v>29372</v>
      </c>
      <c r="G12191" t="s">
        <v>29380</v>
      </c>
      <c r="H12191" t="s">
        <v>11048</v>
      </c>
      <c r="I12191" t="s">
        <v>29395</v>
      </c>
      <c r="J12191" t="s">
        <v>37228</v>
      </c>
      <c r="K12191" t="s">
        <v>38490</v>
      </c>
      <c r="M12191" t="s">
        <v>42397</v>
      </c>
      <c r="N12191" t="s">
        <v>42669</v>
      </c>
      <c r="O12191" t="s">
        <v>42670</v>
      </c>
      <c r="P12191">
        <v>0</v>
      </c>
      <c r="Q12191">
        <v>2</v>
      </c>
      <c r="R12191" t="s">
        <v>42689</v>
      </c>
      <c r="S12191" t="s">
        <v>43461</v>
      </c>
      <c r="T12191" t="s">
        <v>44371</v>
      </c>
      <c r="U12191" t="s">
        <v>54783</v>
      </c>
      <c r="W12191" t="s">
        <v>42397</v>
      </c>
      <c r="X12191" t="s">
        <v>42690</v>
      </c>
    </row>
    <row r="12192" spans="1:24">
      <c r="A12192">
        <f>HYPERLINK("https://www.philgeps.gov.ph/GEPSNONPILOT/Tender/SplashBidNoticeAbstractUI.aspx?menuIndex=3&amp;refID=7160470&amp;Result=3","7160470")</f>
        <v>0</v>
      </c>
      <c r="B12192" t="s">
        <v>1797</v>
      </c>
      <c r="C12192" t="s">
        <v>15185</v>
      </c>
      <c r="D12192" t="s">
        <v>17201</v>
      </c>
      <c r="E12192" t="s">
        <v>27620</v>
      </c>
      <c r="F12192" t="s">
        <v>29372</v>
      </c>
      <c r="G12192" t="s">
        <v>29380</v>
      </c>
      <c r="H12192" t="s">
        <v>29389</v>
      </c>
      <c r="I12192" t="s">
        <v>10408</v>
      </c>
      <c r="J12192" t="s">
        <v>37229</v>
      </c>
      <c r="K12192" t="s">
        <v>38485</v>
      </c>
      <c r="M12192" t="s">
        <v>40668</v>
      </c>
      <c r="N12192" t="s">
        <v>42669</v>
      </c>
      <c r="O12192" t="s">
        <v>42670</v>
      </c>
      <c r="P12192">
        <v>0</v>
      </c>
      <c r="Q12192">
        <v>0</v>
      </c>
      <c r="R12192" t="s">
        <v>42689</v>
      </c>
      <c r="S12192" t="s">
        <v>43461</v>
      </c>
      <c r="T12192" t="s">
        <v>44427</v>
      </c>
      <c r="U12192" t="s">
        <v>48973</v>
      </c>
      <c r="V12192" t="s">
        <v>57757</v>
      </c>
      <c r="W12192" t="s">
        <v>40668</v>
      </c>
      <c r="X12192" t="s">
        <v>42690</v>
      </c>
    </row>
    <row r="12193" spans="1:24">
      <c r="A12193">
        <f>HYPERLINK("https://www.philgeps.gov.ph/GEPSNONPILOT/Tender/SplashBidNoticeAbstractUI.aspx?menuIndex=3&amp;refID=7160582&amp;Result=3","7160582")</f>
        <v>0</v>
      </c>
      <c r="B12193" t="s">
        <v>149</v>
      </c>
      <c r="C12193" t="s">
        <v>15186</v>
      </c>
      <c r="D12193" t="s">
        <v>17190</v>
      </c>
      <c r="E12193" t="s">
        <v>17541</v>
      </c>
      <c r="F12193" t="s">
        <v>29372</v>
      </c>
      <c r="G12193" t="s">
        <v>29380</v>
      </c>
      <c r="H12193" t="s">
        <v>29389</v>
      </c>
      <c r="I12193" t="s">
        <v>10408</v>
      </c>
      <c r="J12193" t="s">
        <v>29549</v>
      </c>
      <c r="K12193" t="s">
        <v>38490</v>
      </c>
      <c r="M12193" t="s">
        <v>38904</v>
      </c>
      <c r="N12193" t="s">
        <v>42669</v>
      </c>
      <c r="O12193" t="s">
        <v>42670</v>
      </c>
      <c r="P12193">
        <v>0</v>
      </c>
      <c r="Q12193">
        <v>0</v>
      </c>
      <c r="R12193" t="s">
        <v>42689</v>
      </c>
      <c r="S12193" t="s">
        <v>43461</v>
      </c>
      <c r="T12193" t="s">
        <v>44371</v>
      </c>
      <c r="U12193" t="s">
        <v>54784</v>
      </c>
      <c r="V12193" t="s">
        <v>57758</v>
      </c>
      <c r="W12193" t="s">
        <v>38904</v>
      </c>
      <c r="X12193" t="s">
        <v>42690</v>
      </c>
    </row>
    <row r="12194" spans="1:24">
      <c r="A12194">
        <f>HYPERLINK("https://www.philgeps.gov.ph/GEPSNONPILOT/Tender/SplashBidNoticeAbstractUI.aspx?menuIndex=3&amp;refID=7160564&amp;Result=3","7160564")</f>
        <v>0</v>
      </c>
      <c r="B12194" t="s">
        <v>693</v>
      </c>
      <c r="C12194" t="s">
        <v>15187</v>
      </c>
      <c r="D12194" t="s">
        <v>17161</v>
      </c>
      <c r="E12194" t="s">
        <v>27621</v>
      </c>
      <c r="F12194" t="s">
        <v>29372</v>
      </c>
      <c r="G12194" t="s">
        <v>29380</v>
      </c>
      <c r="H12194" t="s">
        <v>29389</v>
      </c>
      <c r="I12194" t="s">
        <v>10408</v>
      </c>
      <c r="J12194" t="s">
        <v>37230</v>
      </c>
      <c r="K12194" t="s">
        <v>38505</v>
      </c>
      <c r="M12194" t="s">
        <v>39469</v>
      </c>
      <c r="N12194" t="s">
        <v>42669</v>
      </c>
      <c r="O12194" t="s">
        <v>42670</v>
      </c>
      <c r="Q12194">
        <v>0</v>
      </c>
      <c r="R12194" t="s">
        <v>42689</v>
      </c>
      <c r="S12194" t="s">
        <v>43536</v>
      </c>
      <c r="T12194" t="s">
        <v>44401</v>
      </c>
      <c r="U12194" t="s">
        <v>54535</v>
      </c>
      <c r="V12194" t="s">
        <v>57759</v>
      </c>
      <c r="W12194" t="s">
        <v>39469</v>
      </c>
      <c r="X12194" t="s">
        <v>42690</v>
      </c>
    </row>
    <row r="12195" spans="1:24">
      <c r="A12195">
        <f>HYPERLINK("https://www.philgeps.gov.ph/GEPSNONPILOT/Tender/SplashBidNoticeAbstractUI.aspx?menuIndex=3&amp;refID=7160516&amp;Result=3","7160516")</f>
        <v>0</v>
      </c>
      <c r="B12195" t="s">
        <v>149</v>
      </c>
      <c r="C12195" t="s">
        <v>15188</v>
      </c>
      <c r="D12195" t="s">
        <v>17190</v>
      </c>
      <c r="E12195" t="s">
        <v>17541</v>
      </c>
      <c r="F12195" t="s">
        <v>29372</v>
      </c>
      <c r="G12195" t="s">
        <v>29380</v>
      </c>
      <c r="H12195" t="s">
        <v>29389</v>
      </c>
      <c r="I12195" t="s">
        <v>10408</v>
      </c>
      <c r="J12195" t="s">
        <v>30355</v>
      </c>
      <c r="K12195" t="s">
        <v>38490</v>
      </c>
      <c r="M12195" t="s">
        <v>38904</v>
      </c>
      <c r="N12195" t="s">
        <v>42669</v>
      </c>
      <c r="O12195" t="s">
        <v>42670</v>
      </c>
      <c r="P12195">
        <v>0</v>
      </c>
      <c r="Q12195">
        <v>0</v>
      </c>
      <c r="R12195" t="s">
        <v>42689</v>
      </c>
      <c r="S12195" t="s">
        <v>43461</v>
      </c>
      <c r="T12195" t="s">
        <v>44371</v>
      </c>
      <c r="U12195" t="s">
        <v>54785</v>
      </c>
      <c r="V12195" t="s">
        <v>57758</v>
      </c>
      <c r="W12195" t="s">
        <v>38904</v>
      </c>
      <c r="X12195" t="s">
        <v>42690</v>
      </c>
    </row>
    <row r="12196" spans="1:24">
      <c r="A12196">
        <f>HYPERLINK("https://www.philgeps.gov.ph/GEPSNONPILOT/Tender/SplashBidNoticeAbstractUI.aspx?menuIndex=3&amp;refID=7160288&amp;Result=3","7160288")</f>
        <v>0</v>
      </c>
      <c r="B12196" t="s">
        <v>2942</v>
      </c>
      <c r="C12196" t="s">
        <v>15189</v>
      </c>
      <c r="D12196" t="s">
        <v>17212</v>
      </c>
      <c r="E12196" t="s">
        <v>27622</v>
      </c>
      <c r="F12196" t="s">
        <v>29372</v>
      </c>
      <c r="G12196" t="s">
        <v>29380</v>
      </c>
      <c r="H12196" t="s">
        <v>29389</v>
      </c>
      <c r="I12196" t="s">
        <v>10408</v>
      </c>
      <c r="J12196" t="s">
        <v>29708</v>
      </c>
      <c r="K12196" t="s">
        <v>38572</v>
      </c>
      <c r="M12196" t="s">
        <v>41944</v>
      </c>
      <c r="N12196" t="s">
        <v>42669</v>
      </c>
      <c r="O12196" t="s">
        <v>42670</v>
      </c>
      <c r="P12196">
        <v>0</v>
      </c>
      <c r="Q12196">
        <v>0</v>
      </c>
      <c r="R12196" t="s">
        <v>42689</v>
      </c>
      <c r="S12196" t="s">
        <v>43461</v>
      </c>
      <c r="T12196" t="s">
        <v>44378</v>
      </c>
      <c r="U12196" t="s">
        <v>54376</v>
      </c>
      <c r="W12196" t="s">
        <v>41944</v>
      </c>
      <c r="X12196" t="s">
        <v>42690</v>
      </c>
    </row>
    <row r="12197" spans="1:24">
      <c r="A12197">
        <f>HYPERLINK("https://www.philgeps.gov.ph/GEPSNONPILOT/Tender/SplashBidNoticeAbstractUI.aspx?menuIndex=3&amp;refID=7160508&amp;Result=3","7160508")</f>
        <v>0</v>
      </c>
      <c r="B12197" t="s">
        <v>1797</v>
      </c>
      <c r="C12197" t="s">
        <v>15190</v>
      </c>
      <c r="D12197" t="s">
        <v>17201</v>
      </c>
      <c r="E12197" t="s">
        <v>27623</v>
      </c>
      <c r="F12197" t="s">
        <v>29372</v>
      </c>
      <c r="G12197" t="s">
        <v>29380</v>
      </c>
      <c r="H12197" t="s">
        <v>29389</v>
      </c>
      <c r="I12197" t="s">
        <v>10408</v>
      </c>
      <c r="J12197" t="s">
        <v>37231</v>
      </c>
      <c r="K12197" t="s">
        <v>38526</v>
      </c>
      <c r="M12197" t="s">
        <v>40668</v>
      </c>
      <c r="N12197" t="s">
        <v>42669</v>
      </c>
      <c r="O12197" t="s">
        <v>42670</v>
      </c>
      <c r="P12197">
        <v>0</v>
      </c>
      <c r="Q12197">
        <v>1</v>
      </c>
      <c r="R12197" t="s">
        <v>42689</v>
      </c>
      <c r="S12197" t="s">
        <v>43461</v>
      </c>
      <c r="T12197" t="s">
        <v>44427</v>
      </c>
      <c r="U12197" t="s">
        <v>48973</v>
      </c>
      <c r="V12197" t="s">
        <v>57760</v>
      </c>
      <c r="W12197" t="s">
        <v>40668</v>
      </c>
      <c r="X12197" t="s">
        <v>42690</v>
      </c>
    </row>
    <row r="12198" spans="1:24">
      <c r="A12198">
        <f>HYPERLINK("https://www.philgeps.gov.ph/GEPSNONPILOT/Tender/SplashBidNoticeAbstractUI.aspx?menuIndex=3&amp;refID=7160497&amp;Result=3","7160497")</f>
        <v>0</v>
      </c>
      <c r="B12198" t="s">
        <v>3312</v>
      </c>
      <c r="C12198" t="s">
        <v>15191</v>
      </c>
      <c r="D12198" t="s">
        <v>17202</v>
      </c>
      <c r="E12198" t="s">
        <v>27624</v>
      </c>
      <c r="F12198" t="s">
        <v>29372</v>
      </c>
      <c r="G12198" t="s">
        <v>29380</v>
      </c>
      <c r="H12198" t="s">
        <v>11048</v>
      </c>
      <c r="I12198" t="s">
        <v>4487</v>
      </c>
      <c r="J12198" t="s">
        <v>37232</v>
      </c>
      <c r="K12198" t="s">
        <v>38485</v>
      </c>
      <c r="M12198" t="s">
        <v>42398</v>
      </c>
      <c r="N12198" t="s">
        <v>42669</v>
      </c>
      <c r="O12198" t="s">
        <v>42670</v>
      </c>
      <c r="P12198">
        <v>0</v>
      </c>
      <c r="Q12198">
        <v>6</v>
      </c>
      <c r="R12198" t="s">
        <v>42689</v>
      </c>
      <c r="S12198" t="s">
        <v>43461</v>
      </c>
      <c r="T12198" t="s">
        <v>44427</v>
      </c>
      <c r="U12198" t="s">
        <v>54786</v>
      </c>
      <c r="W12198" t="s">
        <v>42398</v>
      </c>
      <c r="X12198" t="s">
        <v>42690</v>
      </c>
    </row>
    <row r="12199" spans="1:24">
      <c r="A12199">
        <f>HYPERLINK("https://www.philgeps.gov.ph/GEPSNONPILOT/Tender/SplashBidNoticeAbstractUI.aspx?menuIndex=3&amp;refID=7160480&amp;Result=3","7160480")</f>
        <v>0</v>
      </c>
      <c r="B12199" t="s">
        <v>3313</v>
      </c>
      <c r="C12199" t="s">
        <v>15192</v>
      </c>
      <c r="D12199" t="s">
        <v>17204</v>
      </c>
      <c r="E12199" t="s">
        <v>27625</v>
      </c>
      <c r="F12199" t="s">
        <v>29372</v>
      </c>
      <c r="G12199" t="s">
        <v>29380</v>
      </c>
      <c r="H12199" t="s">
        <v>11048</v>
      </c>
      <c r="I12199" t="s">
        <v>29419</v>
      </c>
      <c r="J12199" t="s">
        <v>29543</v>
      </c>
      <c r="K12199" t="s">
        <v>38485</v>
      </c>
      <c r="M12199" t="s">
        <v>42399</v>
      </c>
      <c r="N12199" t="s">
        <v>42669</v>
      </c>
      <c r="O12199" t="s">
        <v>42670</v>
      </c>
      <c r="P12199">
        <v>0</v>
      </c>
      <c r="Q12199">
        <v>2</v>
      </c>
      <c r="R12199" t="s">
        <v>42689</v>
      </c>
      <c r="S12199" t="s">
        <v>43461</v>
      </c>
      <c r="T12199" t="s">
        <v>44469</v>
      </c>
      <c r="U12199" t="s">
        <v>54787</v>
      </c>
      <c r="W12199" t="s">
        <v>42399</v>
      </c>
      <c r="X12199" t="s">
        <v>42690</v>
      </c>
    </row>
    <row r="12200" spans="1:24">
      <c r="A12200">
        <f>HYPERLINK("https://www.philgeps.gov.ph/GEPSNONPILOT/Tender/SplashBidNoticeAbstractUI.aspx?menuIndex=3&amp;refID=7160376&amp;Result=3","7160376")</f>
        <v>0</v>
      </c>
      <c r="B12200" t="s">
        <v>3314</v>
      </c>
      <c r="C12200" t="s">
        <v>15193</v>
      </c>
      <c r="D12200" t="s">
        <v>17153</v>
      </c>
      <c r="E12200" t="s">
        <v>27626</v>
      </c>
      <c r="F12200" t="s">
        <v>29372</v>
      </c>
      <c r="G12200" t="s">
        <v>29380</v>
      </c>
      <c r="H12200" t="s">
        <v>29389</v>
      </c>
      <c r="I12200" t="s">
        <v>10408</v>
      </c>
      <c r="J12200" t="s">
        <v>37233</v>
      </c>
      <c r="K12200" t="s">
        <v>38623</v>
      </c>
      <c r="M12200" t="s">
        <v>42400</v>
      </c>
      <c r="N12200" t="s">
        <v>42669</v>
      </c>
      <c r="O12200" t="s">
        <v>42670</v>
      </c>
      <c r="P12200">
        <v>0</v>
      </c>
      <c r="Q12200">
        <v>5</v>
      </c>
      <c r="R12200" t="s">
        <v>42689</v>
      </c>
      <c r="S12200" t="s">
        <v>43461</v>
      </c>
      <c r="T12200" t="s">
        <v>44401</v>
      </c>
      <c r="U12200" t="s">
        <v>54788</v>
      </c>
      <c r="W12200" t="s">
        <v>42400</v>
      </c>
      <c r="X12200" t="s">
        <v>42690</v>
      </c>
    </row>
    <row r="12201" spans="1:24">
      <c r="A12201">
        <f>HYPERLINK("https://www.philgeps.gov.ph/GEPSNONPILOT/Tender/SplashBidNoticeAbstractUI.aspx?menuIndex=3&amp;refID=7160448&amp;Result=3","7160448")</f>
        <v>0</v>
      </c>
      <c r="B12201" t="s">
        <v>1152</v>
      </c>
      <c r="C12201" t="s">
        <v>15194</v>
      </c>
      <c r="D12201" t="s">
        <v>17204</v>
      </c>
      <c r="E12201" t="s">
        <v>27627</v>
      </c>
      <c r="F12201" t="s">
        <v>29372</v>
      </c>
      <c r="G12201" t="s">
        <v>29380</v>
      </c>
      <c r="H12201" t="s">
        <v>11048</v>
      </c>
      <c r="I12201" t="s">
        <v>29419</v>
      </c>
      <c r="J12201" t="s">
        <v>37234</v>
      </c>
      <c r="K12201" t="s">
        <v>38510</v>
      </c>
      <c r="M12201" t="s">
        <v>39966</v>
      </c>
      <c r="N12201" t="s">
        <v>42669</v>
      </c>
      <c r="O12201" t="s">
        <v>42670</v>
      </c>
      <c r="P12201">
        <v>0</v>
      </c>
      <c r="Q12201">
        <v>5</v>
      </c>
      <c r="R12201" t="s">
        <v>42689</v>
      </c>
      <c r="S12201" t="s">
        <v>43461</v>
      </c>
      <c r="T12201" t="s">
        <v>44371</v>
      </c>
      <c r="U12201" t="s">
        <v>54789</v>
      </c>
      <c r="V12201" t="s">
        <v>57761</v>
      </c>
      <c r="W12201" t="s">
        <v>39966</v>
      </c>
      <c r="X12201" t="s">
        <v>42690</v>
      </c>
    </row>
    <row r="12202" spans="1:24">
      <c r="A12202">
        <f>HYPERLINK("https://www.philgeps.gov.ph/GEPSNONPILOT/Tender/SplashBidNoticeAbstractUI.aspx?menuIndex=3&amp;refID=7160438&amp;Result=3","7160438")</f>
        <v>0</v>
      </c>
      <c r="B12202" t="s">
        <v>3315</v>
      </c>
      <c r="C12202" t="s">
        <v>15195</v>
      </c>
      <c r="D12202" t="s">
        <v>17171</v>
      </c>
      <c r="E12202" t="s">
        <v>17794</v>
      </c>
      <c r="F12202" t="s">
        <v>29372</v>
      </c>
      <c r="G12202" t="s">
        <v>29380</v>
      </c>
      <c r="H12202" t="s">
        <v>29389</v>
      </c>
      <c r="I12202" t="s">
        <v>10408</v>
      </c>
      <c r="J12202" t="s">
        <v>37235</v>
      </c>
      <c r="K12202" t="s">
        <v>38495</v>
      </c>
      <c r="M12202" t="s">
        <v>42401</v>
      </c>
      <c r="N12202" t="s">
        <v>42669</v>
      </c>
      <c r="O12202" t="s">
        <v>42670</v>
      </c>
      <c r="P12202">
        <v>0</v>
      </c>
      <c r="Q12202">
        <v>5</v>
      </c>
      <c r="R12202" t="s">
        <v>42689</v>
      </c>
      <c r="S12202" t="s">
        <v>43461</v>
      </c>
      <c r="T12202" t="s">
        <v>44375</v>
      </c>
      <c r="U12202" t="s">
        <v>54790</v>
      </c>
      <c r="W12202" t="s">
        <v>42401</v>
      </c>
      <c r="X12202" t="s">
        <v>42690</v>
      </c>
    </row>
    <row r="12203" spans="1:24">
      <c r="A12203">
        <f>HYPERLINK("https://www.philgeps.gov.ph/GEPSNONPILOT/Tender/SplashBidNoticeAbstractUI.aspx?menuIndex=3&amp;refID=7160584&amp;Result=3","7160584")</f>
        <v>0</v>
      </c>
      <c r="B12203" t="s">
        <v>2349</v>
      </c>
      <c r="C12203" t="s">
        <v>15196</v>
      </c>
      <c r="D12203" t="s">
        <v>17187</v>
      </c>
      <c r="E12203" t="s">
        <v>27628</v>
      </c>
      <c r="F12203" t="s">
        <v>29372</v>
      </c>
      <c r="G12203" t="s">
        <v>29380</v>
      </c>
      <c r="H12203" t="s">
        <v>11048</v>
      </c>
      <c r="I12203" t="s">
        <v>29426</v>
      </c>
      <c r="J12203" t="s">
        <v>37236</v>
      </c>
      <c r="K12203" t="s">
        <v>38510</v>
      </c>
      <c r="M12203" t="s">
        <v>41282</v>
      </c>
      <c r="N12203" t="s">
        <v>42669</v>
      </c>
      <c r="O12203" t="s">
        <v>42670</v>
      </c>
      <c r="P12203">
        <v>0</v>
      </c>
      <c r="Q12203">
        <v>6</v>
      </c>
      <c r="R12203" t="s">
        <v>42689</v>
      </c>
      <c r="S12203" t="s">
        <v>43461</v>
      </c>
      <c r="T12203" t="s">
        <v>44427</v>
      </c>
      <c r="U12203" t="s">
        <v>54769</v>
      </c>
      <c r="W12203" t="s">
        <v>41282</v>
      </c>
      <c r="X12203" t="s">
        <v>42690</v>
      </c>
    </row>
    <row r="12204" spans="1:24">
      <c r="A12204">
        <f>HYPERLINK("https://www.philgeps.gov.ph/GEPSNONPILOT/Tender/SplashBidNoticeAbstractUI.aspx?menuIndex=3&amp;refID=7160482&amp;Result=3","7160482")</f>
        <v>0</v>
      </c>
      <c r="B12204" t="s">
        <v>235</v>
      </c>
      <c r="C12204" t="s">
        <v>15197</v>
      </c>
      <c r="D12204" t="s">
        <v>17185</v>
      </c>
      <c r="E12204" t="s">
        <v>27629</v>
      </c>
      <c r="F12204" t="s">
        <v>29372</v>
      </c>
      <c r="G12204" t="s">
        <v>29380</v>
      </c>
      <c r="H12204" t="s">
        <v>11048</v>
      </c>
      <c r="I12204" t="s">
        <v>29407</v>
      </c>
      <c r="J12204" t="s">
        <v>37237</v>
      </c>
      <c r="K12204" t="s">
        <v>38510</v>
      </c>
      <c r="M12204" t="s">
        <v>41769</v>
      </c>
      <c r="N12204" t="s">
        <v>42669</v>
      </c>
      <c r="O12204" t="s">
        <v>42670</v>
      </c>
      <c r="P12204">
        <v>0</v>
      </c>
      <c r="Q12204">
        <v>9</v>
      </c>
      <c r="R12204" t="s">
        <v>42689</v>
      </c>
      <c r="S12204" t="s">
        <v>43461</v>
      </c>
      <c r="T12204" t="s">
        <v>44527</v>
      </c>
      <c r="U12204" t="s">
        <v>54791</v>
      </c>
      <c r="V12204" t="s">
        <v>57389</v>
      </c>
      <c r="W12204" t="s">
        <v>58098</v>
      </c>
      <c r="X12204" t="s">
        <v>42690</v>
      </c>
    </row>
    <row r="12205" spans="1:24">
      <c r="A12205">
        <f>HYPERLINK("https://www.philgeps.gov.ph/GEPSNONPILOT/Tender/SplashBidNoticeAbstractUI.aspx?menuIndex=3&amp;refID=7160232&amp;Result=3","7160232")</f>
        <v>0</v>
      </c>
      <c r="B12205" t="s">
        <v>3050</v>
      </c>
      <c r="C12205" t="s">
        <v>15198</v>
      </c>
      <c r="D12205" t="s">
        <v>17198</v>
      </c>
      <c r="E12205" t="s">
        <v>27630</v>
      </c>
      <c r="F12205" t="s">
        <v>29372</v>
      </c>
      <c r="G12205" t="s">
        <v>29380</v>
      </c>
      <c r="H12205" t="s">
        <v>29389</v>
      </c>
      <c r="I12205" t="s">
        <v>10408</v>
      </c>
      <c r="J12205" t="s">
        <v>37238</v>
      </c>
      <c r="K12205" t="s">
        <v>38572</v>
      </c>
      <c r="M12205" t="s">
        <v>42075</v>
      </c>
      <c r="N12205" t="s">
        <v>42669</v>
      </c>
      <c r="O12205" t="s">
        <v>42670</v>
      </c>
      <c r="P12205">
        <v>0</v>
      </c>
      <c r="Q12205">
        <v>0</v>
      </c>
      <c r="R12205" t="s">
        <v>42689</v>
      </c>
      <c r="S12205" t="s">
        <v>43461</v>
      </c>
      <c r="T12205" t="s">
        <v>44412</v>
      </c>
      <c r="U12205" t="s">
        <v>54792</v>
      </c>
      <c r="W12205" t="s">
        <v>42075</v>
      </c>
      <c r="X12205" t="s">
        <v>42690</v>
      </c>
    </row>
    <row r="12206" spans="1:24">
      <c r="A12206">
        <f>HYPERLINK("https://www.philgeps.gov.ph/GEPSNONPILOT/Tender/SplashBidNoticeAbstractUI.aspx?menuIndex=3&amp;refID=7160444&amp;Result=3","7160444")</f>
        <v>0</v>
      </c>
      <c r="B12206" t="s">
        <v>1115</v>
      </c>
      <c r="C12206" t="s">
        <v>15199</v>
      </c>
      <c r="D12206" t="s">
        <v>17167</v>
      </c>
      <c r="E12206" t="s">
        <v>27631</v>
      </c>
      <c r="F12206" t="s">
        <v>29372</v>
      </c>
      <c r="G12206" t="s">
        <v>29380</v>
      </c>
      <c r="H12206" t="s">
        <v>11048</v>
      </c>
      <c r="I12206" t="s">
        <v>4486</v>
      </c>
      <c r="J12206" t="s">
        <v>36563</v>
      </c>
      <c r="K12206" t="s">
        <v>38491</v>
      </c>
      <c r="M12206" t="s">
        <v>42031</v>
      </c>
      <c r="N12206" t="s">
        <v>42669</v>
      </c>
      <c r="O12206" t="s">
        <v>42670</v>
      </c>
      <c r="P12206">
        <v>0</v>
      </c>
      <c r="Q12206">
        <v>6</v>
      </c>
      <c r="R12206" t="s">
        <v>42689</v>
      </c>
      <c r="S12206" t="s">
        <v>43461</v>
      </c>
      <c r="T12206" t="s">
        <v>44631</v>
      </c>
      <c r="U12206" t="s">
        <v>54793</v>
      </c>
      <c r="W12206" t="s">
        <v>42031</v>
      </c>
      <c r="X12206" t="s">
        <v>42690</v>
      </c>
    </row>
    <row r="12207" spans="1:24">
      <c r="A12207">
        <f>HYPERLINK("https://www.philgeps.gov.ph/GEPSNONPILOT/Tender/SplashBidNoticeAbstractUI.aspx?menuIndex=3&amp;refID=7160395&amp;Result=3","7160395")</f>
        <v>0</v>
      </c>
      <c r="B12207" t="s">
        <v>2959</v>
      </c>
      <c r="C12207" t="s">
        <v>15200</v>
      </c>
      <c r="D12207" t="s">
        <v>17163</v>
      </c>
      <c r="E12207" t="s">
        <v>27632</v>
      </c>
      <c r="F12207" t="s">
        <v>29372</v>
      </c>
      <c r="G12207" t="s">
        <v>29380</v>
      </c>
      <c r="H12207" t="s">
        <v>29389</v>
      </c>
      <c r="I12207" t="s">
        <v>10408</v>
      </c>
      <c r="J12207" t="s">
        <v>37239</v>
      </c>
      <c r="K12207" t="s">
        <v>38566</v>
      </c>
      <c r="M12207" t="s">
        <v>41968</v>
      </c>
      <c r="N12207" t="s">
        <v>42669</v>
      </c>
      <c r="O12207" t="s">
        <v>42670</v>
      </c>
      <c r="Q12207">
        <v>13</v>
      </c>
      <c r="R12207" t="s">
        <v>42689</v>
      </c>
      <c r="S12207" t="s">
        <v>43458</v>
      </c>
      <c r="T12207" t="s">
        <v>44371</v>
      </c>
      <c r="U12207" t="s">
        <v>54794</v>
      </c>
      <c r="W12207" t="s">
        <v>58104</v>
      </c>
      <c r="X12207" t="s">
        <v>42690</v>
      </c>
    </row>
    <row r="12208" spans="1:24">
      <c r="A12208">
        <f>HYPERLINK("https://www.philgeps.gov.ph/GEPSNONPILOT/Tender/SplashBidNoticeAbstractUI.aspx?menuIndex=3&amp;refID=7160379&amp;Result=3","7160379")</f>
        <v>0</v>
      </c>
      <c r="B12208" t="s">
        <v>772</v>
      </c>
      <c r="C12208" t="s">
        <v>15201</v>
      </c>
      <c r="D12208" t="s">
        <v>17187</v>
      </c>
      <c r="E12208" t="s">
        <v>27633</v>
      </c>
      <c r="F12208" t="s">
        <v>29372</v>
      </c>
      <c r="G12208" t="s">
        <v>29380</v>
      </c>
      <c r="H12208" t="s">
        <v>11048</v>
      </c>
      <c r="I12208" t="s">
        <v>29428</v>
      </c>
      <c r="J12208" t="s">
        <v>37240</v>
      </c>
      <c r="K12208" t="s">
        <v>38491</v>
      </c>
      <c r="M12208" t="s">
        <v>39556</v>
      </c>
      <c r="N12208" t="s">
        <v>42669</v>
      </c>
      <c r="O12208" t="s">
        <v>42670</v>
      </c>
      <c r="P12208">
        <v>0</v>
      </c>
      <c r="Q12208">
        <v>3</v>
      </c>
      <c r="R12208" t="s">
        <v>42689</v>
      </c>
      <c r="S12208" t="s">
        <v>43461</v>
      </c>
      <c r="T12208" t="s">
        <v>44401</v>
      </c>
      <c r="U12208" t="s">
        <v>46442</v>
      </c>
      <c r="W12208" t="s">
        <v>39556</v>
      </c>
      <c r="X12208" t="s">
        <v>42690</v>
      </c>
    </row>
    <row r="12209" spans="1:24">
      <c r="A12209">
        <f>HYPERLINK("https://www.philgeps.gov.ph/GEPSNONPILOT/Tender/SplashBidNoticeAbstractUI.aspx?menuIndex=3&amp;refID=7160394&amp;Result=3","7160394")</f>
        <v>0</v>
      </c>
      <c r="B12209" t="s">
        <v>1115</v>
      </c>
      <c r="C12209" t="s">
        <v>15202</v>
      </c>
      <c r="D12209" t="s">
        <v>17167</v>
      </c>
      <c r="E12209" t="s">
        <v>27634</v>
      </c>
      <c r="F12209" t="s">
        <v>29372</v>
      </c>
      <c r="G12209" t="s">
        <v>29380</v>
      </c>
      <c r="H12209" t="s">
        <v>11048</v>
      </c>
      <c r="I12209" t="s">
        <v>4709</v>
      </c>
      <c r="J12209" t="s">
        <v>37241</v>
      </c>
      <c r="K12209" t="s">
        <v>38491</v>
      </c>
      <c r="M12209" t="s">
        <v>42031</v>
      </c>
      <c r="N12209" t="s">
        <v>42669</v>
      </c>
      <c r="O12209" t="s">
        <v>42670</v>
      </c>
      <c r="P12209">
        <v>0</v>
      </c>
      <c r="Q12209">
        <v>0</v>
      </c>
      <c r="R12209" t="s">
        <v>42689</v>
      </c>
      <c r="S12209" t="s">
        <v>43461</v>
      </c>
      <c r="T12209" t="s">
        <v>44631</v>
      </c>
      <c r="U12209" t="s">
        <v>54795</v>
      </c>
      <c r="W12209" t="s">
        <v>42031</v>
      </c>
      <c r="X12209" t="s">
        <v>42690</v>
      </c>
    </row>
    <row r="12210" spans="1:24">
      <c r="A12210">
        <f>HYPERLINK("https://www.philgeps.gov.ph/GEPSNONPILOT/Tender/SplashBidNoticeAbstractUI.aspx?menuIndex=3&amp;refID=7160425&amp;Result=3","7160425")</f>
        <v>0</v>
      </c>
      <c r="B12210" t="s">
        <v>1115</v>
      </c>
      <c r="C12210" t="s">
        <v>15203</v>
      </c>
      <c r="D12210" t="s">
        <v>17167</v>
      </c>
      <c r="E12210" t="s">
        <v>27635</v>
      </c>
      <c r="F12210" t="s">
        <v>29372</v>
      </c>
      <c r="G12210" t="s">
        <v>29380</v>
      </c>
      <c r="H12210" t="s">
        <v>11048</v>
      </c>
      <c r="I12210" t="s">
        <v>4709</v>
      </c>
      <c r="J12210" t="s">
        <v>37242</v>
      </c>
      <c r="K12210" t="s">
        <v>38491</v>
      </c>
      <c r="M12210" t="s">
        <v>42031</v>
      </c>
      <c r="N12210" t="s">
        <v>42669</v>
      </c>
      <c r="O12210" t="s">
        <v>42670</v>
      </c>
      <c r="P12210">
        <v>0</v>
      </c>
      <c r="Q12210">
        <v>1</v>
      </c>
      <c r="R12210" t="s">
        <v>42689</v>
      </c>
      <c r="S12210" t="s">
        <v>43461</v>
      </c>
      <c r="T12210" t="s">
        <v>44631</v>
      </c>
      <c r="U12210" t="s">
        <v>54796</v>
      </c>
      <c r="W12210" t="s">
        <v>42031</v>
      </c>
      <c r="X12210" t="s">
        <v>42690</v>
      </c>
    </row>
    <row r="12211" spans="1:24">
      <c r="A12211">
        <f>HYPERLINK("https://www.philgeps.gov.ph/GEPSNONPILOT/Tender/SplashBidNoticeAbstractUI.aspx?menuIndex=3&amp;refID=7160419&amp;Result=3","7160419")</f>
        <v>0</v>
      </c>
      <c r="B12211" t="s">
        <v>1797</v>
      </c>
      <c r="C12211" t="s">
        <v>15204</v>
      </c>
      <c r="D12211" t="s">
        <v>17201</v>
      </c>
      <c r="E12211" t="s">
        <v>27636</v>
      </c>
      <c r="F12211" t="s">
        <v>29372</v>
      </c>
      <c r="G12211" t="s">
        <v>29380</v>
      </c>
      <c r="H12211" t="s">
        <v>29389</v>
      </c>
      <c r="I12211" t="s">
        <v>10408</v>
      </c>
      <c r="J12211" t="s">
        <v>37243</v>
      </c>
      <c r="K12211" t="s">
        <v>38485</v>
      </c>
      <c r="M12211" t="s">
        <v>40668</v>
      </c>
      <c r="N12211" t="s">
        <v>42669</v>
      </c>
      <c r="O12211" t="s">
        <v>42670</v>
      </c>
      <c r="P12211">
        <v>0</v>
      </c>
      <c r="Q12211">
        <v>0</v>
      </c>
      <c r="R12211" t="s">
        <v>42689</v>
      </c>
      <c r="S12211" t="s">
        <v>43461</v>
      </c>
      <c r="T12211" t="s">
        <v>44427</v>
      </c>
      <c r="U12211" t="s">
        <v>48973</v>
      </c>
      <c r="V12211" t="s">
        <v>57762</v>
      </c>
      <c r="W12211" t="s">
        <v>40668</v>
      </c>
      <c r="X12211" t="s">
        <v>42690</v>
      </c>
    </row>
    <row r="12212" spans="1:24">
      <c r="A12212">
        <f>HYPERLINK("https://www.philgeps.gov.ph/GEPSNONPILOT/Tender/SplashBidNoticeAbstractUI.aspx?menuIndex=3&amp;refID=7160513&amp;Result=3","7160513")</f>
        <v>0</v>
      </c>
      <c r="B12212" t="s">
        <v>3306</v>
      </c>
      <c r="C12212" t="s">
        <v>15205</v>
      </c>
      <c r="D12212" t="s">
        <v>17203</v>
      </c>
      <c r="E12212" t="s">
        <v>27637</v>
      </c>
      <c r="F12212" t="s">
        <v>29372</v>
      </c>
      <c r="G12212" t="s">
        <v>29380</v>
      </c>
      <c r="H12212" t="s">
        <v>29389</v>
      </c>
      <c r="I12212" t="s">
        <v>29398</v>
      </c>
      <c r="J12212" t="s">
        <v>36069</v>
      </c>
      <c r="K12212" t="s">
        <v>38522</v>
      </c>
      <c r="M12212" t="s">
        <v>42391</v>
      </c>
      <c r="N12212" t="s">
        <v>42669</v>
      </c>
      <c r="O12212" t="s">
        <v>42670</v>
      </c>
      <c r="Q12212">
        <v>4</v>
      </c>
      <c r="R12212" t="s">
        <v>42689</v>
      </c>
      <c r="S12212" t="s">
        <v>43537</v>
      </c>
      <c r="T12212" t="s">
        <v>44491</v>
      </c>
      <c r="U12212" t="s">
        <v>54797</v>
      </c>
      <c r="W12212" t="s">
        <v>42391</v>
      </c>
      <c r="X12212" t="s">
        <v>42690</v>
      </c>
    </row>
    <row r="12213" spans="1:24">
      <c r="A12213">
        <f>HYPERLINK("https://www.philgeps.gov.ph/GEPSNONPILOT/Tender/SplashBidNoticeAbstractUI.aspx?menuIndex=3&amp;refID=7160385&amp;Result=3","7160385")</f>
        <v>0</v>
      </c>
      <c r="B12213" t="s">
        <v>272</v>
      </c>
      <c r="C12213" t="s">
        <v>15206</v>
      </c>
      <c r="D12213" t="s">
        <v>17206</v>
      </c>
      <c r="E12213" t="s">
        <v>27638</v>
      </c>
      <c r="F12213" t="s">
        <v>29372</v>
      </c>
      <c r="G12213" t="s">
        <v>29380</v>
      </c>
      <c r="H12213" t="s">
        <v>29389</v>
      </c>
      <c r="I12213" t="s">
        <v>10408</v>
      </c>
      <c r="J12213" t="s">
        <v>37244</v>
      </c>
      <c r="K12213" t="s">
        <v>38589</v>
      </c>
      <c r="M12213" t="s">
        <v>42385</v>
      </c>
      <c r="N12213" t="s">
        <v>42669</v>
      </c>
      <c r="O12213" t="s">
        <v>42670</v>
      </c>
      <c r="P12213">
        <v>0</v>
      </c>
      <c r="Q12213">
        <v>1</v>
      </c>
      <c r="R12213" t="s">
        <v>42689</v>
      </c>
      <c r="S12213" t="s">
        <v>43461</v>
      </c>
      <c r="T12213" t="s">
        <v>44524</v>
      </c>
      <c r="U12213" t="s">
        <v>54798</v>
      </c>
      <c r="V12213" t="s">
        <v>57739</v>
      </c>
      <c r="W12213" t="s">
        <v>42385</v>
      </c>
      <c r="X12213" t="s">
        <v>42690</v>
      </c>
    </row>
    <row r="12214" spans="1:24">
      <c r="A12214">
        <f>HYPERLINK("https://www.philgeps.gov.ph/GEPSNONPILOT/Tender/SplashBidNoticeAbstractUI.aspx?menuIndex=3&amp;refID=7160279&amp;Result=3","7160279")</f>
        <v>0</v>
      </c>
      <c r="B12214" t="s">
        <v>3316</v>
      </c>
      <c r="C12214" t="s">
        <v>15207</v>
      </c>
      <c r="E12214" t="s">
        <v>27639</v>
      </c>
      <c r="F12214" t="s">
        <v>29372</v>
      </c>
      <c r="G12214" t="s">
        <v>29380</v>
      </c>
      <c r="H12214" t="s">
        <v>29389</v>
      </c>
      <c r="I12214" t="s">
        <v>10408</v>
      </c>
      <c r="J12214" t="s">
        <v>37245</v>
      </c>
      <c r="K12214" t="s">
        <v>38490</v>
      </c>
      <c r="M12214" t="s">
        <v>42402</v>
      </c>
      <c r="N12214" t="s">
        <v>42669</v>
      </c>
      <c r="O12214" t="s">
        <v>42670</v>
      </c>
      <c r="P12214">
        <v>0</v>
      </c>
      <c r="Q12214">
        <v>8</v>
      </c>
      <c r="R12214" t="s">
        <v>42689</v>
      </c>
      <c r="S12214" t="s">
        <v>43461</v>
      </c>
      <c r="T12214" t="s">
        <v>44400</v>
      </c>
      <c r="U12214" t="s">
        <v>54799</v>
      </c>
      <c r="V12214" t="s">
        <v>57763</v>
      </c>
      <c r="W12214" t="s">
        <v>42402</v>
      </c>
      <c r="X12214" t="s">
        <v>42690</v>
      </c>
    </row>
    <row r="12215" spans="1:24">
      <c r="A12215">
        <f>HYPERLINK("https://www.philgeps.gov.ph/GEPSNONPILOT/Tender/SplashBidNoticeAbstractUI.aspx?menuIndex=3&amp;refID=7160639&amp;Result=3","7160639")</f>
        <v>0</v>
      </c>
      <c r="B12215" t="s">
        <v>2349</v>
      </c>
      <c r="C12215" t="s">
        <v>15208</v>
      </c>
      <c r="D12215" t="s">
        <v>17187</v>
      </c>
      <c r="E12215" t="s">
        <v>27640</v>
      </c>
      <c r="F12215" t="s">
        <v>29372</v>
      </c>
      <c r="G12215" t="s">
        <v>29380</v>
      </c>
      <c r="H12215" t="s">
        <v>11048</v>
      </c>
      <c r="I12215" t="s">
        <v>29413</v>
      </c>
      <c r="J12215" t="s">
        <v>37246</v>
      </c>
      <c r="K12215" t="s">
        <v>38510</v>
      </c>
      <c r="M12215" t="s">
        <v>41282</v>
      </c>
      <c r="N12215" t="s">
        <v>42669</v>
      </c>
      <c r="O12215" t="s">
        <v>42670</v>
      </c>
      <c r="P12215">
        <v>0</v>
      </c>
      <c r="Q12215">
        <v>15</v>
      </c>
      <c r="R12215" t="s">
        <v>42689</v>
      </c>
      <c r="S12215" t="s">
        <v>43461</v>
      </c>
      <c r="T12215" t="s">
        <v>44427</v>
      </c>
      <c r="U12215" t="s">
        <v>54769</v>
      </c>
      <c r="W12215" t="s">
        <v>41282</v>
      </c>
      <c r="X12215" t="s">
        <v>42690</v>
      </c>
    </row>
    <row r="12216" spans="1:24">
      <c r="A12216">
        <f>HYPERLINK("https://www.philgeps.gov.ph/GEPSNONPILOT/Tender/SplashBidNoticeAbstractUI.aspx?menuIndex=3&amp;refID=7160599&amp;Result=3","7160599")</f>
        <v>0</v>
      </c>
      <c r="B12216" t="s">
        <v>235</v>
      </c>
      <c r="C12216" t="s">
        <v>15209</v>
      </c>
      <c r="D12216" t="s">
        <v>17185</v>
      </c>
      <c r="E12216" t="s">
        <v>27641</v>
      </c>
      <c r="F12216" t="s">
        <v>29372</v>
      </c>
      <c r="G12216" t="s">
        <v>29380</v>
      </c>
      <c r="H12216" t="s">
        <v>11048</v>
      </c>
      <c r="I12216" t="s">
        <v>9469</v>
      </c>
      <c r="J12216" t="s">
        <v>37247</v>
      </c>
      <c r="K12216" t="s">
        <v>38510</v>
      </c>
      <c r="M12216" t="s">
        <v>41769</v>
      </c>
      <c r="N12216" t="s">
        <v>42669</v>
      </c>
      <c r="O12216" t="s">
        <v>42670</v>
      </c>
      <c r="P12216">
        <v>0</v>
      </c>
      <c r="Q12216">
        <v>1</v>
      </c>
      <c r="R12216" t="s">
        <v>42689</v>
      </c>
      <c r="S12216" t="s">
        <v>43461</v>
      </c>
      <c r="T12216" t="s">
        <v>44527</v>
      </c>
      <c r="U12216" t="s">
        <v>54791</v>
      </c>
      <c r="V12216" t="s">
        <v>57389</v>
      </c>
      <c r="W12216" t="s">
        <v>58098</v>
      </c>
      <c r="X12216" t="s">
        <v>42690</v>
      </c>
    </row>
    <row r="12217" spans="1:24">
      <c r="A12217">
        <f>HYPERLINK("https://www.philgeps.gov.ph/GEPSNONPILOT/Tender/SplashBidNoticeAbstractUI.aspx?menuIndex=3&amp;refID=7160627&amp;Result=3","7160627")</f>
        <v>0</v>
      </c>
      <c r="B12217" t="s">
        <v>235</v>
      </c>
      <c r="C12217" t="s">
        <v>15210</v>
      </c>
      <c r="D12217" t="s">
        <v>17185</v>
      </c>
      <c r="E12217" t="s">
        <v>27642</v>
      </c>
      <c r="F12217" t="s">
        <v>29372</v>
      </c>
      <c r="G12217" t="s">
        <v>29380</v>
      </c>
      <c r="H12217" t="s">
        <v>11048</v>
      </c>
      <c r="I12217" t="s">
        <v>3695</v>
      </c>
      <c r="J12217" t="s">
        <v>37248</v>
      </c>
      <c r="K12217" t="s">
        <v>38510</v>
      </c>
      <c r="M12217" t="s">
        <v>41769</v>
      </c>
      <c r="N12217" t="s">
        <v>42669</v>
      </c>
      <c r="O12217" t="s">
        <v>42670</v>
      </c>
      <c r="P12217">
        <v>0</v>
      </c>
      <c r="Q12217">
        <v>4</v>
      </c>
      <c r="R12217" t="s">
        <v>42689</v>
      </c>
      <c r="S12217" t="s">
        <v>43461</v>
      </c>
      <c r="T12217" t="s">
        <v>44527</v>
      </c>
      <c r="U12217" t="s">
        <v>54791</v>
      </c>
      <c r="V12217" t="s">
        <v>57389</v>
      </c>
      <c r="W12217" t="s">
        <v>58098</v>
      </c>
      <c r="X12217" t="s">
        <v>42690</v>
      </c>
    </row>
    <row r="12218" spans="1:24">
      <c r="A12218">
        <f>HYPERLINK("https://www.philgeps.gov.ph/GEPSNONPILOT/Tender/SplashBidNoticeAbstractUI.aspx?menuIndex=3&amp;refID=7160617&amp;Result=3","7160617")</f>
        <v>0</v>
      </c>
      <c r="B12218" t="s">
        <v>3096</v>
      </c>
      <c r="C12218" t="s">
        <v>15211</v>
      </c>
      <c r="D12218" t="s">
        <v>17180</v>
      </c>
      <c r="E12218" t="s">
        <v>17709</v>
      </c>
      <c r="F12218" t="s">
        <v>29372</v>
      </c>
      <c r="G12218" t="s">
        <v>29380</v>
      </c>
      <c r="H12218" t="s">
        <v>11048</v>
      </c>
      <c r="I12218" t="s">
        <v>8614</v>
      </c>
      <c r="J12218" t="s">
        <v>30308</v>
      </c>
      <c r="K12218" t="s">
        <v>38606</v>
      </c>
      <c r="M12218" t="s">
        <v>42133</v>
      </c>
      <c r="N12218" t="s">
        <v>42669</v>
      </c>
      <c r="O12218" t="s">
        <v>42670</v>
      </c>
      <c r="Q12218">
        <v>10</v>
      </c>
      <c r="R12218" t="s">
        <v>42689</v>
      </c>
      <c r="S12218" t="s">
        <v>43538</v>
      </c>
      <c r="T12218" t="s">
        <v>44387</v>
      </c>
      <c r="U12218" t="s">
        <v>54800</v>
      </c>
      <c r="W12218" t="s">
        <v>42133</v>
      </c>
      <c r="X12218" t="s">
        <v>42690</v>
      </c>
    </row>
    <row r="12219" spans="1:24">
      <c r="A12219">
        <f>HYPERLINK("https://www.philgeps.gov.ph/GEPSNONPILOT/Tender/SplashBidNoticeAbstractUI.aspx?menuIndex=3&amp;refID=7160611&amp;Result=3","7160611")</f>
        <v>0</v>
      </c>
      <c r="B12219" t="s">
        <v>3317</v>
      </c>
      <c r="C12219" t="s">
        <v>15212</v>
      </c>
      <c r="D12219" t="s">
        <v>17141</v>
      </c>
      <c r="E12219" t="s">
        <v>27643</v>
      </c>
      <c r="F12219" t="s">
        <v>29372</v>
      </c>
      <c r="G12219" t="s">
        <v>29380</v>
      </c>
      <c r="H12219" t="s">
        <v>11048</v>
      </c>
      <c r="I12219" t="s">
        <v>3839</v>
      </c>
      <c r="J12219" t="s">
        <v>37249</v>
      </c>
      <c r="K12219" t="s">
        <v>38487</v>
      </c>
      <c r="M12219" t="s">
        <v>42403</v>
      </c>
      <c r="N12219" t="s">
        <v>42669</v>
      </c>
      <c r="O12219" t="s">
        <v>42670</v>
      </c>
      <c r="P12219">
        <v>0</v>
      </c>
      <c r="Q12219">
        <v>10</v>
      </c>
      <c r="R12219" t="s">
        <v>42689</v>
      </c>
      <c r="S12219" t="s">
        <v>43461</v>
      </c>
      <c r="T12219" t="s">
        <v>44385</v>
      </c>
      <c r="U12219" t="s">
        <v>54801</v>
      </c>
      <c r="W12219" t="s">
        <v>42403</v>
      </c>
      <c r="X12219" t="s">
        <v>42690</v>
      </c>
    </row>
    <row r="12220" spans="1:24">
      <c r="A12220">
        <f>HYPERLINK("https://www.philgeps.gov.ph/GEPSNONPILOT/Tender/SplashBidNoticeAbstractUI.aspx?menuIndex=3&amp;refID=7160663&amp;Result=3","7160663")</f>
        <v>0</v>
      </c>
      <c r="B12220" t="s">
        <v>97</v>
      </c>
      <c r="C12220" t="s">
        <v>15213</v>
      </c>
      <c r="D12220" t="s">
        <v>17154</v>
      </c>
      <c r="E12220" t="s">
        <v>27644</v>
      </c>
      <c r="F12220" t="s">
        <v>29372</v>
      </c>
      <c r="G12220" t="s">
        <v>29380</v>
      </c>
      <c r="H12220" t="s">
        <v>29389</v>
      </c>
      <c r="I12220" t="s">
        <v>10408</v>
      </c>
      <c r="J12220" t="s">
        <v>37250</v>
      </c>
      <c r="K12220" t="s">
        <v>38564</v>
      </c>
      <c r="M12220" t="s">
        <v>42116</v>
      </c>
      <c r="N12220" t="s">
        <v>42669</v>
      </c>
      <c r="O12220" t="s">
        <v>42670</v>
      </c>
      <c r="P12220">
        <v>0</v>
      </c>
      <c r="Q12220">
        <v>1</v>
      </c>
      <c r="R12220" t="s">
        <v>42689</v>
      </c>
      <c r="S12220" t="s">
        <v>43461</v>
      </c>
      <c r="T12220" t="s">
        <v>44434</v>
      </c>
      <c r="U12220" t="s">
        <v>54802</v>
      </c>
      <c r="W12220" t="s">
        <v>42116</v>
      </c>
      <c r="X12220" t="s">
        <v>42690</v>
      </c>
    </row>
    <row r="12221" spans="1:24">
      <c r="A12221">
        <f>HYPERLINK("https://www.philgeps.gov.ph/GEPSNONPILOT/Tender/SplashBidNoticeAbstractUI.aspx?menuIndex=3&amp;refID=7160722&amp;Result=3","7160722")</f>
        <v>0</v>
      </c>
      <c r="B12221" t="s">
        <v>1733</v>
      </c>
      <c r="C12221" t="s">
        <v>15214</v>
      </c>
      <c r="D12221" t="s">
        <v>17174</v>
      </c>
      <c r="E12221" t="s">
        <v>27645</v>
      </c>
      <c r="F12221" t="s">
        <v>29372</v>
      </c>
      <c r="G12221" t="s">
        <v>29380</v>
      </c>
      <c r="H12221" t="s">
        <v>29389</v>
      </c>
      <c r="I12221" t="s">
        <v>10408</v>
      </c>
      <c r="J12221" t="s">
        <v>37251</v>
      </c>
      <c r="K12221" t="s">
        <v>38598</v>
      </c>
      <c r="M12221" t="s">
        <v>40598</v>
      </c>
      <c r="N12221" t="s">
        <v>42669</v>
      </c>
      <c r="O12221" t="s">
        <v>42670</v>
      </c>
      <c r="Q12221">
        <v>7</v>
      </c>
      <c r="R12221" t="s">
        <v>42689</v>
      </c>
      <c r="S12221" t="s">
        <v>43539</v>
      </c>
      <c r="T12221" t="s">
        <v>44425</v>
      </c>
      <c r="U12221" t="s">
        <v>54803</v>
      </c>
      <c r="W12221" t="s">
        <v>40598</v>
      </c>
      <c r="X12221" t="s">
        <v>42690</v>
      </c>
    </row>
    <row r="12222" spans="1:24">
      <c r="A12222">
        <f>HYPERLINK("https://www.philgeps.gov.ph/GEPSNONPILOT/Tender/SplashBidNoticeAbstractUI.aspx?menuIndex=3&amp;refID=7160618&amp;Result=3","7160618")</f>
        <v>0</v>
      </c>
      <c r="B12222" t="s">
        <v>2349</v>
      </c>
      <c r="C12222" t="s">
        <v>15215</v>
      </c>
      <c r="D12222" t="s">
        <v>17187</v>
      </c>
      <c r="E12222" t="s">
        <v>27646</v>
      </c>
      <c r="F12222" t="s">
        <v>29372</v>
      </c>
      <c r="G12222" t="s">
        <v>29380</v>
      </c>
      <c r="H12222" t="s">
        <v>11048</v>
      </c>
      <c r="I12222" t="s">
        <v>29396</v>
      </c>
      <c r="J12222" t="s">
        <v>37252</v>
      </c>
      <c r="K12222" t="s">
        <v>38486</v>
      </c>
      <c r="M12222" t="s">
        <v>41282</v>
      </c>
      <c r="N12222" t="s">
        <v>42669</v>
      </c>
      <c r="O12222" t="s">
        <v>42670</v>
      </c>
      <c r="P12222">
        <v>0</v>
      </c>
      <c r="Q12222">
        <v>0</v>
      </c>
      <c r="R12222" t="s">
        <v>42689</v>
      </c>
      <c r="S12222" t="s">
        <v>43461</v>
      </c>
      <c r="T12222" t="s">
        <v>44427</v>
      </c>
      <c r="U12222" t="s">
        <v>54769</v>
      </c>
      <c r="W12222" t="s">
        <v>41282</v>
      </c>
      <c r="X12222" t="s">
        <v>42690</v>
      </c>
    </row>
    <row r="12223" spans="1:24">
      <c r="A12223">
        <f>HYPERLINK("https://www.philgeps.gov.ph/GEPSNONPILOT/Tender/SplashBidNoticeAbstractUI.aspx?menuIndex=3&amp;refID=7160698&amp;Result=3","7160698")</f>
        <v>0</v>
      </c>
      <c r="B12223" t="s">
        <v>97</v>
      </c>
      <c r="C12223" t="s">
        <v>15216</v>
      </c>
      <c r="D12223" t="s">
        <v>17154</v>
      </c>
      <c r="E12223" t="s">
        <v>27647</v>
      </c>
      <c r="F12223" t="s">
        <v>29372</v>
      </c>
      <c r="G12223" t="s">
        <v>29380</v>
      </c>
      <c r="H12223" t="s">
        <v>29389</v>
      </c>
      <c r="I12223" t="s">
        <v>10408</v>
      </c>
      <c r="J12223" t="s">
        <v>31485</v>
      </c>
      <c r="K12223" t="s">
        <v>38564</v>
      </c>
      <c r="M12223" t="s">
        <v>42116</v>
      </c>
      <c r="N12223" t="s">
        <v>42669</v>
      </c>
      <c r="O12223" t="s">
        <v>42670</v>
      </c>
      <c r="P12223">
        <v>0</v>
      </c>
      <c r="Q12223">
        <v>0</v>
      </c>
      <c r="R12223" t="s">
        <v>42689</v>
      </c>
      <c r="S12223" t="s">
        <v>43461</v>
      </c>
      <c r="T12223" t="s">
        <v>44434</v>
      </c>
      <c r="U12223" t="s">
        <v>54804</v>
      </c>
      <c r="W12223" t="s">
        <v>42116</v>
      </c>
      <c r="X12223" t="s">
        <v>42690</v>
      </c>
    </row>
    <row r="12224" spans="1:24">
      <c r="A12224">
        <f>HYPERLINK("https://www.philgeps.gov.ph/GEPSNONPILOT/Tender/SplashBidNoticeAbstractUI.aspx?menuIndex=3&amp;refID=7160633&amp;Result=3","7160633")</f>
        <v>0</v>
      </c>
      <c r="B12224" t="s">
        <v>3243</v>
      </c>
      <c r="C12224" t="s">
        <v>15217</v>
      </c>
      <c r="D12224" t="s">
        <v>17226</v>
      </c>
      <c r="E12224" t="s">
        <v>27648</v>
      </c>
      <c r="F12224" t="s">
        <v>29372</v>
      </c>
      <c r="G12224" t="s">
        <v>29381</v>
      </c>
      <c r="H12224" t="s">
        <v>11048</v>
      </c>
      <c r="I12224" t="s">
        <v>9642</v>
      </c>
      <c r="J12224" t="s">
        <v>30145</v>
      </c>
      <c r="K12224" t="s">
        <v>38485</v>
      </c>
      <c r="M12224" t="s">
        <v>42311</v>
      </c>
      <c r="N12224" t="s">
        <v>42669</v>
      </c>
      <c r="O12224" t="s">
        <v>42670</v>
      </c>
      <c r="P12224">
        <v>0</v>
      </c>
      <c r="Q12224">
        <v>2</v>
      </c>
      <c r="R12224" t="s">
        <v>42689</v>
      </c>
      <c r="S12224" t="s">
        <v>43461</v>
      </c>
      <c r="T12224" t="s">
        <v>44387</v>
      </c>
      <c r="U12224" t="s">
        <v>54805</v>
      </c>
      <c r="V12224" t="s">
        <v>57764</v>
      </c>
      <c r="W12224" t="s">
        <v>42311</v>
      </c>
      <c r="X12224" t="s">
        <v>42690</v>
      </c>
    </row>
    <row r="12225" spans="1:24">
      <c r="A12225">
        <f>HYPERLINK("https://www.philgeps.gov.ph/GEPSNONPILOT/Tender/SplashBidNoticeAbstractUI.aspx?menuIndex=3&amp;refID=7160719&amp;Result=3","7160719")</f>
        <v>0</v>
      </c>
      <c r="B12225" t="s">
        <v>97</v>
      </c>
      <c r="C12225" t="s">
        <v>15218</v>
      </c>
      <c r="D12225" t="s">
        <v>17154</v>
      </c>
      <c r="E12225" t="s">
        <v>27649</v>
      </c>
      <c r="F12225" t="s">
        <v>29372</v>
      </c>
      <c r="G12225" t="s">
        <v>29380</v>
      </c>
      <c r="H12225" t="s">
        <v>29389</v>
      </c>
      <c r="I12225" t="s">
        <v>10408</v>
      </c>
      <c r="J12225" t="s">
        <v>29573</v>
      </c>
      <c r="K12225" t="s">
        <v>38564</v>
      </c>
      <c r="M12225" t="s">
        <v>42116</v>
      </c>
      <c r="N12225" t="s">
        <v>42669</v>
      </c>
      <c r="O12225" t="s">
        <v>42670</v>
      </c>
      <c r="P12225">
        <v>0</v>
      </c>
      <c r="Q12225">
        <v>2</v>
      </c>
      <c r="R12225" t="s">
        <v>42689</v>
      </c>
      <c r="S12225" t="s">
        <v>43461</v>
      </c>
      <c r="T12225" t="s">
        <v>44434</v>
      </c>
      <c r="U12225" t="s">
        <v>54806</v>
      </c>
      <c r="W12225" t="s">
        <v>42116</v>
      </c>
      <c r="X12225" t="s">
        <v>42690</v>
      </c>
    </row>
    <row r="12226" spans="1:24">
      <c r="A12226">
        <f>HYPERLINK("https://www.philgeps.gov.ph/GEPSNONPILOT/Tender/SplashBidNoticeAbstractUI.aspx?menuIndex=3&amp;refID=7160708&amp;Result=3","7160708")</f>
        <v>0</v>
      </c>
      <c r="B12226" t="s">
        <v>3318</v>
      </c>
      <c r="C12226" t="s">
        <v>15219</v>
      </c>
      <c r="D12226" t="s">
        <v>17150</v>
      </c>
      <c r="E12226" t="s">
        <v>27650</v>
      </c>
      <c r="F12226" t="s">
        <v>29372</v>
      </c>
      <c r="G12226" t="s">
        <v>29380</v>
      </c>
      <c r="H12226" t="s">
        <v>11048</v>
      </c>
      <c r="I12226" t="s">
        <v>4487</v>
      </c>
      <c r="J12226" t="s">
        <v>37253</v>
      </c>
      <c r="K12226" t="s">
        <v>38510</v>
      </c>
      <c r="M12226" t="s">
        <v>42404</v>
      </c>
      <c r="N12226" t="s">
        <v>42669</v>
      </c>
      <c r="O12226" t="s">
        <v>42670</v>
      </c>
      <c r="P12226">
        <v>0</v>
      </c>
      <c r="Q12226">
        <v>7</v>
      </c>
      <c r="R12226" t="s">
        <v>42689</v>
      </c>
      <c r="S12226" t="s">
        <v>43461</v>
      </c>
      <c r="T12226" t="s">
        <v>44394</v>
      </c>
      <c r="U12226" t="s">
        <v>54807</v>
      </c>
      <c r="W12226" t="s">
        <v>42404</v>
      </c>
      <c r="X12226" t="s">
        <v>42690</v>
      </c>
    </row>
    <row r="12227" spans="1:24">
      <c r="A12227">
        <f>HYPERLINK("https://www.philgeps.gov.ph/GEPSNONPILOT/Tender/SplashBidNoticeAbstractUI.aspx?menuIndex=3&amp;refID=7160683&amp;Result=3","7160683")</f>
        <v>0</v>
      </c>
      <c r="B12227" t="s">
        <v>97</v>
      </c>
      <c r="C12227" t="s">
        <v>15220</v>
      </c>
      <c r="D12227" t="s">
        <v>17154</v>
      </c>
      <c r="E12227" t="s">
        <v>27651</v>
      </c>
      <c r="F12227" t="s">
        <v>29372</v>
      </c>
      <c r="G12227" t="s">
        <v>29380</v>
      </c>
      <c r="H12227" t="s">
        <v>29389</v>
      </c>
      <c r="I12227" t="s">
        <v>10408</v>
      </c>
      <c r="J12227" t="s">
        <v>31485</v>
      </c>
      <c r="K12227" t="s">
        <v>38564</v>
      </c>
      <c r="M12227" t="s">
        <v>42116</v>
      </c>
      <c r="N12227" t="s">
        <v>42669</v>
      </c>
      <c r="O12227" t="s">
        <v>42670</v>
      </c>
      <c r="P12227">
        <v>0</v>
      </c>
      <c r="Q12227">
        <v>1</v>
      </c>
      <c r="R12227" t="s">
        <v>42689</v>
      </c>
      <c r="S12227" t="s">
        <v>43461</v>
      </c>
      <c r="T12227" t="s">
        <v>44434</v>
      </c>
      <c r="U12227" t="s">
        <v>54808</v>
      </c>
      <c r="W12227" t="s">
        <v>42116</v>
      </c>
      <c r="X12227" t="s">
        <v>42690</v>
      </c>
    </row>
    <row r="12228" spans="1:24">
      <c r="A12228">
        <f>HYPERLINK("https://www.philgeps.gov.ph/GEPSNONPILOT/Tender/SplashBidNoticeAbstractUI.aspx?menuIndex=3&amp;refID=7160668&amp;Result=3","7160668")</f>
        <v>0</v>
      </c>
      <c r="B12228" t="s">
        <v>3319</v>
      </c>
      <c r="C12228" t="s">
        <v>15221</v>
      </c>
      <c r="D12228" t="s">
        <v>17186</v>
      </c>
      <c r="E12228" t="s">
        <v>27652</v>
      </c>
      <c r="F12228" t="s">
        <v>29372</v>
      </c>
      <c r="G12228" t="s">
        <v>29380</v>
      </c>
      <c r="H12228" t="s">
        <v>29389</v>
      </c>
      <c r="I12228" t="s">
        <v>10408</v>
      </c>
      <c r="J12228" t="s">
        <v>30907</v>
      </c>
      <c r="K12228" t="s">
        <v>38496</v>
      </c>
      <c r="M12228" t="s">
        <v>42405</v>
      </c>
      <c r="N12228" t="s">
        <v>42669</v>
      </c>
      <c r="O12228" t="s">
        <v>42670</v>
      </c>
      <c r="P12228">
        <v>0</v>
      </c>
      <c r="Q12228">
        <v>0</v>
      </c>
      <c r="R12228" t="s">
        <v>42689</v>
      </c>
      <c r="S12228" t="s">
        <v>43461</v>
      </c>
      <c r="T12228" t="s">
        <v>44566</v>
      </c>
      <c r="U12228" t="s">
        <v>54809</v>
      </c>
      <c r="W12228" t="s">
        <v>42405</v>
      </c>
      <c r="X12228" t="s">
        <v>42690</v>
      </c>
    </row>
    <row r="12229" spans="1:24">
      <c r="A12229">
        <f>HYPERLINK("https://www.philgeps.gov.ph/GEPSNONPILOT/Tender/SplashBidNoticeAbstractUI.aspx?menuIndex=3&amp;refID=7160729&amp;Result=3","7160729")</f>
        <v>0</v>
      </c>
      <c r="B12229" t="s">
        <v>130</v>
      </c>
      <c r="C12229" t="s">
        <v>15222</v>
      </c>
      <c r="D12229" t="s">
        <v>17185</v>
      </c>
      <c r="E12229" t="s">
        <v>25254</v>
      </c>
      <c r="F12229" t="s">
        <v>29372</v>
      </c>
      <c r="G12229" t="s">
        <v>29380</v>
      </c>
      <c r="H12229" t="s">
        <v>11048</v>
      </c>
      <c r="I12229" t="s">
        <v>29430</v>
      </c>
      <c r="J12229" t="s">
        <v>29801</v>
      </c>
      <c r="K12229" t="s">
        <v>38490</v>
      </c>
      <c r="M12229" t="s">
        <v>38885</v>
      </c>
      <c r="N12229" t="s">
        <v>42669</v>
      </c>
      <c r="O12229" t="s">
        <v>42670</v>
      </c>
      <c r="P12229">
        <v>0</v>
      </c>
      <c r="Q12229">
        <v>11</v>
      </c>
      <c r="R12229" t="s">
        <v>42689</v>
      </c>
      <c r="S12229" t="s">
        <v>43461</v>
      </c>
      <c r="T12229" t="s">
        <v>44399</v>
      </c>
      <c r="U12229" t="s">
        <v>54810</v>
      </c>
      <c r="W12229" t="s">
        <v>38885</v>
      </c>
      <c r="X12229" t="s">
        <v>42690</v>
      </c>
    </row>
    <row r="12230" spans="1:24">
      <c r="A12230">
        <f>HYPERLINK("https://www.philgeps.gov.ph/GEPSNONPILOT/Tender/SplashBidNoticeAbstractUI.aspx?menuIndex=3&amp;refID=7160696&amp;Result=3","7160696")</f>
        <v>0</v>
      </c>
      <c r="B12230" t="s">
        <v>235</v>
      </c>
      <c r="C12230" t="s">
        <v>15223</v>
      </c>
      <c r="D12230" t="s">
        <v>17185</v>
      </c>
      <c r="E12230" t="s">
        <v>27653</v>
      </c>
      <c r="F12230" t="s">
        <v>29372</v>
      </c>
      <c r="G12230" t="s">
        <v>29380</v>
      </c>
      <c r="H12230" t="s">
        <v>11048</v>
      </c>
      <c r="I12230" t="s">
        <v>29485</v>
      </c>
      <c r="J12230" t="s">
        <v>37254</v>
      </c>
      <c r="K12230" t="s">
        <v>38510</v>
      </c>
      <c r="M12230" t="s">
        <v>41769</v>
      </c>
      <c r="N12230" t="s">
        <v>42669</v>
      </c>
      <c r="O12230" t="s">
        <v>42670</v>
      </c>
      <c r="P12230">
        <v>0</v>
      </c>
      <c r="Q12230">
        <v>3</v>
      </c>
      <c r="R12230" t="s">
        <v>42689</v>
      </c>
      <c r="S12230" t="s">
        <v>43461</v>
      </c>
      <c r="T12230" t="s">
        <v>44527</v>
      </c>
      <c r="U12230" t="s">
        <v>54791</v>
      </c>
      <c r="V12230" t="s">
        <v>57389</v>
      </c>
      <c r="W12230" t="s">
        <v>58098</v>
      </c>
      <c r="X12230" t="s">
        <v>42690</v>
      </c>
    </row>
    <row r="12231" spans="1:24">
      <c r="A12231">
        <f>HYPERLINK("https://www.philgeps.gov.ph/GEPSNONPILOT/Tender/SplashBidNoticeAbstractUI.aspx?menuIndex=3&amp;refID=7160809&amp;Result=3","7160809")</f>
        <v>0</v>
      </c>
      <c r="B12231" t="s">
        <v>282</v>
      </c>
      <c r="C12231" t="s">
        <v>15224</v>
      </c>
      <c r="D12231" t="s">
        <v>17209</v>
      </c>
      <c r="E12231" t="s">
        <v>27654</v>
      </c>
      <c r="F12231" t="s">
        <v>29372</v>
      </c>
      <c r="G12231" t="s">
        <v>29380</v>
      </c>
      <c r="H12231" t="s">
        <v>11048</v>
      </c>
      <c r="I12231" t="s">
        <v>14920</v>
      </c>
      <c r="J12231" t="s">
        <v>37255</v>
      </c>
      <c r="K12231" t="s">
        <v>38659</v>
      </c>
      <c r="L12231" t="s">
        <v>282</v>
      </c>
      <c r="M12231" t="s">
        <v>39041</v>
      </c>
      <c r="N12231" t="s">
        <v>42669</v>
      </c>
      <c r="O12231" t="s">
        <v>42670</v>
      </c>
      <c r="Q12231">
        <v>1</v>
      </c>
      <c r="R12231" t="s">
        <v>42689</v>
      </c>
      <c r="S12231" t="s">
        <v>43540</v>
      </c>
      <c r="T12231" t="s">
        <v>44482</v>
      </c>
      <c r="U12231" t="s">
        <v>54811</v>
      </c>
      <c r="W12231" t="s">
        <v>39041</v>
      </c>
      <c r="X12231" t="s">
        <v>42690</v>
      </c>
    </row>
    <row r="12232" spans="1:24">
      <c r="A12232">
        <f>HYPERLINK("https://www.philgeps.gov.ph/GEPSNONPILOT/Tender/SplashBidNoticeAbstractUI.aspx?menuIndex=3&amp;refID=7160681&amp;Result=3","7160681")</f>
        <v>0</v>
      </c>
      <c r="B12232" t="s">
        <v>130</v>
      </c>
      <c r="C12232" t="s">
        <v>15225</v>
      </c>
      <c r="D12232" t="s">
        <v>17185</v>
      </c>
      <c r="E12232" t="s">
        <v>25255</v>
      </c>
      <c r="F12232" t="s">
        <v>29372</v>
      </c>
      <c r="G12232" t="s">
        <v>29380</v>
      </c>
      <c r="H12232" t="s">
        <v>11048</v>
      </c>
      <c r="I12232" t="s">
        <v>4486</v>
      </c>
      <c r="J12232" t="s">
        <v>29728</v>
      </c>
      <c r="K12232" t="s">
        <v>38490</v>
      </c>
      <c r="M12232" t="s">
        <v>38885</v>
      </c>
      <c r="N12232" t="s">
        <v>42669</v>
      </c>
      <c r="O12232" t="s">
        <v>42670</v>
      </c>
      <c r="P12232">
        <v>0</v>
      </c>
      <c r="Q12232">
        <v>16</v>
      </c>
      <c r="R12232" t="s">
        <v>42689</v>
      </c>
      <c r="S12232" t="s">
        <v>43461</v>
      </c>
      <c r="T12232" t="s">
        <v>44399</v>
      </c>
      <c r="U12232" t="s">
        <v>54812</v>
      </c>
      <c r="W12232" t="s">
        <v>38885</v>
      </c>
      <c r="X12232" t="s">
        <v>42690</v>
      </c>
    </row>
    <row r="12233" spans="1:24">
      <c r="A12233">
        <f>HYPERLINK("https://www.philgeps.gov.ph/GEPSNONPILOT/Tender/SplashBidNoticeAbstractUI.aspx?menuIndex=3&amp;refID=7160791&amp;Result=3","7160791")</f>
        <v>0</v>
      </c>
      <c r="B12233" t="s">
        <v>1733</v>
      </c>
      <c r="C12233" t="s">
        <v>15226</v>
      </c>
      <c r="D12233" t="s">
        <v>17174</v>
      </c>
      <c r="E12233" t="s">
        <v>27655</v>
      </c>
      <c r="F12233" t="s">
        <v>29372</v>
      </c>
      <c r="G12233" t="s">
        <v>29380</v>
      </c>
      <c r="H12233" t="s">
        <v>29389</v>
      </c>
      <c r="I12233" t="s">
        <v>10408</v>
      </c>
      <c r="J12233" t="s">
        <v>30845</v>
      </c>
      <c r="K12233" t="s">
        <v>38748</v>
      </c>
      <c r="M12233" t="s">
        <v>40598</v>
      </c>
      <c r="N12233" t="s">
        <v>42669</v>
      </c>
      <c r="O12233" t="s">
        <v>42670</v>
      </c>
      <c r="Q12233">
        <v>2</v>
      </c>
      <c r="R12233" t="s">
        <v>42689</v>
      </c>
      <c r="S12233" t="s">
        <v>43541</v>
      </c>
      <c r="T12233" t="s">
        <v>44425</v>
      </c>
      <c r="U12233" t="s">
        <v>54813</v>
      </c>
      <c r="W12233" t="s">
        <v>40598</v>
      </c>
      <c r="X12233" t="s">
        <v>42690</v>
      </c>
    </row>
    <row r="12234" spans="1:24">
      <c r="A12234">
        <f>HYPERLINK("https://www.philgeps.gov.ph/GEPSNONPILOT/Tender/SplashBidNoticeAbstractUI.aspx?menuIndex=3&amp;refID=7160819&amp;Result=3","7160819")</f>
        <v>0</v>
      </c>
      <c r="B12234" t="s">
        <v>1428</v>
      </c>
      <c r="C12234" t="s">
        <v>15227</v>
      </c>
      <c r="D12234" t="s">
        <v>17171</v>
      </c>
      <c r="E12234" t="s">
        <v>27656</v>
      </c>
      <c r="F12234" t="s">
        <v>29372</v>
      </c>
      <c r="G12234" t="s">
        <v>29380</v>
      </c>
      <c r="H12234" t="s">
        <v>29389</v>
      </c>
      <c r="I12234" t="s">
        <v>10408</v>
      </c>
      <c r="J12234" t="s">
        <v>33477</v>
      </c>
      <c r="K12234" t="s">
        <v>38503</v>
      </c>
      <c r="M12234" t="s">
        <v>40268</v>
      </c>
      <c r="N12234" t="s">
        <v>42669</v>
      </c>
      <c r="O12234" t="s">
        <v>42670</v>
      </c>
      <c r="P12234">
        <v>0</v>
      </c>
      <c r="Q12234">
        <v>13</v>
      </c>
      <c r="R12234" t="s">
        <v>42689</v>
      </c>
      <c r="S12234" t="s">
        <v>43461</v>
      </c>
      <c r="T12234" t="s">
        <v>44631</v>
      </c>
      <c r="U12234" t="s">
        <v>54814</v>
      </c>
      <c r="W12234" t="s">
        <v>40268</v>
      </c>
      <c r="X12234" t="s">
        <v>42690</v>
      </c>
    </row>
    <row r="12235" spans="1:24">
      <c r="A12235">
        <f>HYPERLINK("https://www.philgeps.gov.ph/GEPSNONPILOT/Tender/SplashBidNoticeAbstractUI.aspx?menuIndex=3&amp;refID=7160862&amp;Result=3","7160862")</f>
        <v>0</v>
      </c>
      <c r="B12235" t="s">
        <v>3320</v>
      </c>
      <c r="C12235" t="s">
        <v>15228</v>
      </c>
      <c r="D12235" t="s">
        <v>17166</v>
      </c>
      <c r="E12235" t="s">
        <v>27657</v>
      </c>
      <c r="F12235" t="s">
        <v>29372</v>
      </c>
      <c r="G12235" t="s">
        <v>29384</v>
      </c>
      <c r="H12235" t="s">
        <v>29389</v>
      </c>
      <c r="I12235" t="s">
        <v>10408</v>
      </c>
      <c r="J12235" t="s">
        <v>33676</v>
      </c>
      <c r="K12235" t="s">
        <v>38503</v>
      </c>
      <c r="M12235" t="s">
        <v>42406</v>
      </c>
      <c r="N12235" t="s">
        <v>42669</v>
      </c>
      <c r="O12235" t="s">
        <v>42670</v>
      </c>
      <c r="P12235">
        <v>0</v>
      </c>
      <c r="Q12235">
        <v>1</v>
      </c>
      <c r="R12235" t="s">
        <v>42689</v>
      </c>
      <c r="S12235" t="s">
        <v>43461</v>
      </c>
      <c r="T12235" t="s">
        <v>44399</v>
      </c>
      <c r="U12235" t="s">
        <v>48122</v>
      </c>
      <c r="W12235" t="s">
        <v>42406</v>
      </c>
      <c r="X12235" t="s">
        <v>42690</v>
      </c>
    </row>
    <row r="12236" spans="1:24">
      <c r="A12236">
        <f>HYPERLINK("https://www.philgeps.gov.ph/GEPSNONPILOT/Tender/SplashBidNoticeAbstractUI.aspx?menuIndex=3&amp;refID=7160851&amp;Result=3","7160851")</f>
        <v>0</v>
      </c>
      <c r="B12236" t="s">
        <v>3313</v>
      </c>
      <c r="C12236" t="s">
        <v>15229</v>
      </c>
      <c r="D12236" t="s">
        <v>17204</v>
      </c>
      <c r="E12236" t="s">
        <v>27658</v>
      </c>
      <c r="F12236" t="s">
        <v>29372</v>
      </c>
      <c r="G12236" t="s">
        <v>29380</v>
      </c>
      <c r="H12236" t="s">
        <v>11048</v>
      </c>
      <c r="I12236" t="s">
        <v>29419</v>
      </c>
      <c r="J12236" t="s">
        <v>29543</v>
      </c>
      <c r="K12236" t="s">
        <v>38485</v>
      </c>
      <c r="M12236" t="s">
        <v>42399</v>
      </c>
      <c r="N12236" t="s">
        <v>42669</v>
      </c>
      <c r="O12236" t="s">
        <v>42670</v>
      </c>
      <c r="P12236">
        <v>0</v>
      </c>
      <c r="Q12236">
        <v>3</v>
      </c>
      <c r="R12236" t="s">
        <v>42689</v>
      </c>
      <c r="S12236" t="s">
        <v>43461</v>
      </c>
      <c r="T12236" t="s">
        <v>44427</v>
      </c>
      <c r="U12236" t="s">
        <v>54787</v>
      </c>
      <c r="W12236" t="s">
        <v>42399</v>
      </c>
      <c r="X12236" t="s">
        <v>42690</v>
      </c>
    </row>
    <row r="12237" spans="1:24">
      <c r="A12237">
        <f>HYPERLINK("https://www.philgeps.gov.ph/GEPSNONPILOT/Tender/SplashBidNoticeAbstractUI.aspx?menuIndex=3&amp;refID=7160651&amp;Result=3","7160651")</f>
        <v>0</v>
      </c>
      <c r="B12237" t="s">
        <v>235</v>
      </c>
      <c r="C12237" t="s">
        <v>15230</v>
      </c>
      <c r="D12237" t="s">
        <v>17185</v>
      </c>
      <c r="E12237" t="s">
        <v>27659</v>
      </c>
      <c r="F12237" t="s">
        <v>29372</v>
      </c>
      <c r="G12237" t="s">
        <v>29380</v>
      </c>
      <c r="H12237" t="s">
        <v>11048</v>
      </c>
      <c r="I12237" t="s">
        <v>8614</v>
      </c>
      <c r="J12237" t="s">
        <v>29730</v>
      </c>
      <c r="K12237" t="s">
        <v>38510</v>
      </c>
      <c r="M12237" t="s">
        <v>41769</v>
      </c>
      <c r="N12237" t="s">
        <v>42669</v>
      </c>
      <c r="O12237" t="s">
        <v>42670</v>
      </c>
      <c r="P12237">
        <v>0</v>
      </c>
      <c r="Q12237">
        <v>6</v>
      </c>
      <c r="R12237" t="s">
        <v>42689</v>
      </c>
      <c r="S12237" t="s">
        <v>43461</v>
      </c>
      <c r="T12237" t="s">
        <v>44527</v>
      </c>
      <c r="U12237" t="s">
        <v>54791</v>
      </c>
      <c r="V12237" t="s">
        <v>57389</v>
      </c>
      <c r="W12237" t="s">
        <v>58098</v>
      </c>
      <c r="X12237" t="s">
        <v>42690</v>
      </c>
    </row>
    <row r="12238" spans="1:24">
      <c r="A12238">
        <f>HYPERLINK("https://www.philgeps.gov.ph/GEPSNONPILOT/Tender/SplashBidNoticeAbstractUI.aspx?menuIndex=3&amp;refID=7160845&amp;Result=3","7160845")</f>
        <v>0</v>
      </c>
      <c r="B12238" t="s">
        <v>149</v>
      </c>
      <c r="C12238" t="s">
        <v>15231</v>
      </c>
      <c r="D12238" t="s">
        <v>17190</v>
      </c>
      <c r="E12238" t="s">
        <v>17541</v>
      </c>
      <c r="F12238" t="s">
        <v>29372</v>
      </c>
      <c r="G12238" t="s">
        <v>29380</v>
      </c>
      <c r="H12238" t="s">
        <v>29389</v>
      </c>
      <c r="I12238" t="s">
        <v>10408</v>
      </c>
      <c r="J12238" t="s">
        <v>29619</v>
      </c>
      <c r="K12238" t="s">
        <v>38490</v>
      </c>
      <c r="M12238" t="s">
        <v>38904</v>
      </c>
      <c r="N12238" t="s">
        <v>42669</v>
      </c>
      <c r="O12238" t="s">
        <v>42670</v>
      </c>
      <c r="P12238">
        <v>0</v>
      </c>
      <c r="Q12238">
        <v>0</v>
      </c>
      <c r="R12238" t="s">
        <v>42689</v>
      </c>
      <c r="S12238" t="s">
        <v>43461</v>
      </c>
      <c r="T12238" t="s">
        <v>44371</v>
      </c>
      <c r="U12238" t="s">
        <v>54815</v>
      </c>
      <c r="V12238" t="s">
        <v>57765</v>
      </c>
      <c r="W12238" t="s">
        <v>38904</v>
      </c>
      <c r="X12238" t="s">
        <v>42690</v>
      </c>
    </row>
    <row r="12239" spans="1:24">
      <c r="A12239">
        <f>HYPERLINK("https://www.philgeps.gov.ph/GEPSNONPILOT/Tender/SplashBidNoticeAbstractUI.aspx?menuIndex=3&amp;refID=7160822&amp;Result=3","7160822")</f>
        <v>0</v>
      </c>
      <c r="B12239" t="s">
        <v>1543</v>
      </c>
      <c r="C12239" t="s">
        <v>15232</v>
      </c>
      <c r="E12239" t="s">
        <v>27660</v>
      </c>
      <c r="F12239" t="s">
        <v>29372</v>
      </c>
      <c r="G12239" t="s">
        <v>29380</v>
      </c>
      <c r="H12239" t="s">
        <v>11048</v>
      </c>
      <c r="I12239" t="s">
        <v>29409</v>
      </c>
      <c r="J12239" t="s">
        <v>37256</v>
      </c>
      <c r="K12239" t="s">
        <v>38490</v>
      </c>
      <c r="M12239" t="s">
        <v>40392</v>
      </c>
      <c r="N12239" t="s">
        <v>42669</v>
      </c>
      <c r="O12239" t="s">
        <v>42670</v>
      </c>
      <c r="Q12239">
        <v>20</v>
      </c>
      <c r="R12239" t="s">
        <v>42689</v>
      </c>
      <c r="S12239" t="s">
        <v>43542</v>
      </c>
      <c r="T12239" t="s">
        <v>44470</v>
      </c>
      <c r="U12239" t="s">
        <v>54816</v>
      </c>
      <c r="W12239" t="s">
        <v>40392</v>
      </c>
      <c r="X12239" t="s">
        <v>42690</v>
      </c>
    </row>
    <row r="12240" spans="1:24">
      <c r="A12240">
        <f>HYPERLINK("https://www.philgeps.gov.ph/GEPSNONPILOT/Tender/SplashBidNoticeAbstractUI.aspx?menuIndex=3&amp;refID=7160821&amp;Result=3","7160821")</f>
        <v>0</v>
      </c>
      <c r="B12240" t="s">
        <v>3321</v>
      </c>
      <c r="C12240" t="s">
        <v>7104</v>
      </c>
      <c r="D12240" t="s">
        <v>17169</v>
      </c>
      <c r="E12240" t="s">
        <v>27661</v>
      </c>
      <c r="F12240" t="s">
        <v>29372</v>
      </c>
      <c r="G12240" t="s">
        <v>29380</v>
      </c>
      <c r="H12240" t="s">
        <v>11048</v>
      </c>
      <c r="I12240" t="s">
        <v>5383</v>
      </c>
      <c r="J12240" t="s">
        <v>37257</v>
      </c>
      <c r="K12240" t="s">
        <v>38490</v>
      </c>
      <c r="M12240" t="s">
        <v>42407</v>
      </c>
      <c r="N12240" t="s">
        <v>42669</v>
      </c>
      <c r="O12240" t="s">
        <v>42670</v>
      </c>
      <c r="P12240">
        <v>0</v>
      </c>
      <c r="Q12240">
        <v>5</v>
      </c>
      <c r="R12240" t="s">
        <v>42689</v>
      </c>
      <c r="S12240" t="s">
        <v>43461</v>
      </c>
      <c r="T12240" t="s">
        <v>44434</v>
      </c>
      <c r="U12240" t="s">
        <v>54817</v>
      </c>
      <c r="V12240" t="s">
        <v>57766</v>
      </c>
      <c r="W12240" t="s">
        <v>42407</v>
      </c>
      <c r="X12240" t="s">
        <v>42690</v>
      </c>
    </row>
    <row r="12241" spans="1:24">
      <c r="A12241">
        <f>HYPERLINK("https://www.philgeps.gov.ph/GEPSNONPILOT/Tender/SplashBidNoticeAbstractUI.aspx?menuIndex=3&amp;refID=7160837&amp;Result=3","7160837")</f>
        <v>0</v>
      </c>
      <c r="B12241" t="s">
        <v>1797</v>
      </c>
      <c r="C12241" t="s">
        <v>15233</v>
      </c>
      <c r="D12241" t="s">
        <v>17201</v>
      </c>
      <c r="E12241" t="s">
        <v>27662</v>
      </c>
      <c r="F12241" t="s">
        <v>29372</v>
      </c>
      <c r="G12241" t="s">
        <v>29380</v>
      </c>
      <c r="H12241" t="s">
        <v>29389</v>
      </c>
      <c r="I12241" t="s">
        <v>10408</v>
      </c>
      <c r="J12241" t="s">
        <v>37258</v>
      </c>
      <c r="K12241" t="s">
        <v>38522</v>
      </c>
      <c r="M12241" t="s">
        <v>40668</v>
      </c>
      <c r="N12241" t="s">
        <v>42669</v>
      </c>
      <c r="O12241" t="s">
        <v>42670</v>
      </c>
      <c r="P12241">
        <v>0</v>
      </c>
      <c r="Q12241">
        <v>1</v>
      </c>
      <c r="R12241" t="s">
        <v>42689</v>
      </c>
      <c r="S12241" t="s">
        <v>43461</v>
      </c>
      <c r="T12241" t="s">
        <v>44427</v>
      </c>
      <c r="U12241" t="s">
        <v>48973</v>
      </c>
      <c r="V12241" t="s">
        <v>57767</v>
      </c>
      <c r="W12241" t="s">
        <v>40668</v>
      </c>
      <c r="X12241" t="s">
        <v>42690</v>
      </c>
    </row>
    <row r="12242" spans="1:24">
      <c r="A12242">
        <f>HYPERLINK("https://www.philgeps.gov.ph/GEPSNONPILOT/Tender/SplashBidNoticeAbstractUI.aspx?menuIndex=3&amp;refID=7160771&amp;Result=3","7160771")</f>
        <v>0</v>
      </c>
      <c r="B12242" t="s">
        <v>1428</v>
      </c>
      <c r="C12242" t="s">
        <v>15234</v>
      </c>
      <c r="D12242" t="s">
        <v>17171</v>
      </c>
      <c r="E12242" t="s">
        <v>27663</v>
      </c>
      <c r="F12242" t="s">
        <v>29372</v>
      </c>
      <c r="G12242" t="s">
        <v>29380</v>
      </c>
      <c r="H12242" t="s">
        <v>29389</v>
      </c>
      <c r="I12242" t="s">
        <v>10408</v>
      </c>
      <c r="J12242" t="s">
        <v>33477</v>
      </c>
      <c r="K12242" t="s">
        <v>38503</v>
      </c>
      <c r="M12242" t="s">
        <v>40268</v>
      </c>
      <c r="N12242" t="s">
        <v>42669</v>
      </c>
      <c r="O12242" t="s">
        <v>42670</v>
      </c>
      <c r="P12242">
        <v>0</v>
      </c>
      <c r="Q12242">
        <v>11</v>
      </c>
      <c r="R12242" t="s">
        <v>42689</v>
      </c>
      <c r="S12242" t="s">
        <v>43461</v>
      </c>
      <c r="T12242" t="s">
        <v>44631</v>
      </c>
      <c r="U12242" t="s">
        <v>54818</v>
      </c>
      <c r="W12242" t="s">
        <v>40268</v>
      </c>
      <c r="X12242" t="s">
        <v>42690</v>
      </c>
    </row>
    <row r="12243" spans="1:24">
      <c r="A12243">
        <f>HYPERLINK("https://www.philgeps.gov.ph/GEPSNONPILOT/Tender/SplashBidNoticeAbstractUI.aspx?menuIndex=3&amp;refID=7160814&amp;Result=3","7160814")</f>
        <v>0</v>
      </c>
      <c r="B12243" t="s">
        <v>170</v>
      </c>
      <c r="C12243" t="s">
        <v>15235</v>
      </c>
      <c r="D12243" t="s">
        <v>17165</v>
      </c>
      <c r="E12243" t="s">
        <v>27664</v>
      </c>
      <c r="F12243" t="s">
        <v>29372</v>
      </c>
      <c r="G12243" t="s">
        <v>29379</v>
      </c>
      <c r="H12243" t="s">
        <v>11048</v>
      </c>
      <c r="I12243" t="s">
        <v>29400</v>
      </c>
      <c r="J12243" t="s">
        <v>37259</v>
      </c>
      <c r="K12243" t="s">
        <v>38495</v>
      </c>
      <c r="M12243" t="s">
        <v>38927</v>
      </c>
      <c r="N12243" t="s">
        <v>42669</v>
      </c>
      <c r="O12243" t="s">
        <v>42670</v>
      </c>
      <c r="P12243">
        <v>0</v>
      </c>
      <c r="Q12243">
        <v>2</v>
      </c>
      <c r="R12243" t="s">
        <v>42689</v>
      </c>
      <c r="S12243" t="s">
        <v>43461</v>
      </c>
      <c r="T12243" t="s">
        <v>44401</v>
      </c>
      <c r="U12243" t="s">
        <v>47920</v>
      </c>
      <c r="W12243" t="s">
        <v>38927</v>
      </c>
      <c r="X12243" t="s">
        <v>42690</v>
      </c>
    </row>
    <row r="12244" spans="1:24">
      <c r="A12244">
        <f>HYPERLINK("https://www.philgeps.gov.ph/GEPSNONPILOT/Tender/SplashBidNoticeAbstractUI.aspx?menuIndex=3&amp;refID=7160820&amp;Result=3","7160820")</f>
        <v>0</v>
      </c>
      <c r="B12244" t="s">
        <v>1733</v>
      </c>
      <c r="C12244" t="s">
        <v>15236</v>
      </c>
      <c r="D12244" t="s">
        <v>17174</v>
      </c>
      <c r="E12244" t="s">
        <v>27665</v>
      </c>
      <c r="F12244" t="s">
        <v>29372</v>
      </c>
      <c r="G12244" t="s">
        <v>29380</v>
      </c>
      <c r="H12244" t="s">
        <v>29389</v>
      </c>
      <c r="I12244" t="s">
        <v>10408</v>
      </c>
      <c r="J12244" t="s">
        <v>31645</v>
      </c>
      <c r="K12244" t="s">
        <v>38504</v>
      </c>
      <c r="M12244" t="s">
        <v>40598</v>
      </c>
      <c r="N12244" t="s">
        <v>42669</v>
      </c>
      <c r="O12244" t="s">
        <v>42670</v>
      </c>
      <c r="Q12244">
        <v>3</v>
      </c>
      <c r="R12244" t="s">
        <v>42689</v>
      </c>
      <c r="S12244" t="s">
        <v>43543</v>
      </c>
      <c r="T12244" t="s">
        <v>44401</v>
      </c>
      <c r="U12244" t="s">
        <v>54819</v>
      </c>
      <c r="W12244" t="s">
        <v>40598</v>
      </c>
      <c r="X12244" t="s">
        <v>42690</v>
      </c>
    </row>
    <row r="12245" spans="1:24">
      <c r="A12245">
        <f>HYPERLINK("https://www.philgeps.gov.ph/GEPSNONPILOT/Tender/SplashBidNoticeAbstractUI.aspx?menuIndex=3&amp;refID=7160739&amp;Result=3","7160739")</f>
        <v>0</v>
      </c>
      <c r="B12245" t="s">
        <v>3320</v>
      </c>
      <c r="C12245" t="s">
        <v>15237</v>
      </c>
      <c r="D12245" t="s">
        <v>17166</v>
      </c>
      <c r="E12245" t="s">
        <v>27666</v>
      </c>
      <c r="F12245" t="s">
        <v>29372</v>
      </c>
      <c r="G12245" t="s">
        <v>29380</v>
      </c>
      <c r="H12245" t="s">
        <v>29389</v>
      </c>
      <c r="I12245" t="s">
        <v>10408</v>
      </c>
      <c r="J12245" t="s">
        <v>35473</v>
      </c>
      <c r="K12245" t="s">
        <v>38503</v>
      </c>
      <c r="M12245" t="s">
        <v>42406</v>
      </c>
      <c r="N12245" t="s">
        <v>42669</v>
      </c>
      <c r="O12245" t="s">
        <v>42670</v>
      </c>
      <c r="P12245">
        <v>0</v>
      </c>
      <c r="Q12245">
        <v>1</v>
      </c>
      <c r="R12245" t="s">
        <v>42689</v>
      </c>
      <c r="S12245" t="s">
        <v>43461</v>
      </c>
      <c r="T12245" t="s">
        <v>44399</v>
      </c>
      <c r="U12245" t="s">
        <v>48122</v>
      </c>
      <c r="W12245" t="s">
        <v>42406</v>
      </c>
      <c r="X12245" t="s">
        <v>42690</v>
      </c>
    </row>
    <row r="12246" spans="1:24">
      <c r="A12246">
        <f>HYPERLINK("https://www.philgeps.gov.ph/GEPSNONPILOT/Tender/SplashBidNoticeAbstractUI.aspx?menuIndex=3&amp;refID=7160732&amp;Result=3","7160732")</f>
        <v>0</v>
      </c>
      <c r="B12246" t="s">
        <v>97</v>
      </c>
      <c r="C12246" t="s">
        <v>15238</v>
      </c>
      <c r="D12246" t="s">
        <v>17154</v>
      </c>
      <c r="E12246" t="s">
        <v>27667</v>
      </c>
      <c r="F12246" t="s">
        <v>29372</v>
      </c>
      <c r="G12246" t="s">
        <v>29380</v>
      </c>
      <c r="H12246" t="s">
        <v>29389</v>
      </c>
      <c r="I12246" t="s">
        <v>10408</v>
      </c>
      <c r="J12246" t="s">
        <v>37108</v>
      </c>
      <c r="K12246" t="s">
        <v>38564</v>
      </c>
      <c r="M12246" t="s">
        <v>42116</v>
      </c>
      <c r="N12246" t="s">
        <v>42669</v>
      </c>
      <c r="O12246" t="s">
        <v>42670</v>
      </c>
      <c r="P12246">
        <v>0</v>
      </c>
      <c r="Q12246">
        <v>0</v>
      </c>
      <c r="R12246" t="s">
        <v>42689</v>
      </c>
      <c r="S12246" t="s">
        <v>43461</v>
      </c>
      <c r="T12246" t="s">
        <v>44434</v>
      </c>
      <c r="U12246" t="s">
        <v>54820</v>
      </c>
      <c r="W12246" t="s">
        <v>42116</v>
      </c>
      <c r="X12246" t="s">
        <v>42690</v>
      </c>
    </row>
    <row r="12247" spans="1:24">
      <c r="A12247">
        <f>HYPERLINK("https://www.philgeps.gov.ph/GEPSNONPILOT/Tender/SplashBidNoticeAbstractUI.aspx?menuIndex=3&amp;refID=7160758&amp;Result=3","7160758")</f>
        <v>0</v>
      </c>
      <c r="B12247" t="s">
        <v>3312</v>
      </c>
      <c r="C12247" t="s">
        <v>15239</v>
      </c>
      <c r="D12247" t="s">
        <v>17202</v>
      </c>
      <c r="E12247" t="s">
        <v>27668</v>
      </c>
      <c r="F12247" t="s">
        <v>29372</v>
      </c>
      <c r="G12247" t="s">
        <v>29380</v>
      </c>
      <c r="H12247" t="s">
        <v>11048</v>
      </c>
      <c r="I12247" t="s">
        <v>5383</v>
      </c>
      <c r="J12247" t="s">
        <v>37260</v>
      </c>
      <c r="K12247" t="s">
        <v>38488</v>
      </c>
      <c r="M12247" t="s">
        <v>42398</v>
      </c>
      <c r="N12247" t="s">
        <v>42669</v>
      </c>
      <c r="O12247" t="s">
        <v>42670</v>
      </c>
      <c r="P12247">
        <v>0</v>
      </c>
      <c r="Q12247">
        <v>3</v>
      </c>
      <c r="R12247" t="s">
        <v>42689</v>
      </c>
      <c r="S12247" t="s">
        <v>43461</v>
      </c>
      <c r="T12247" t="s">
        <v>44427</v>
      </c>
      <c r="U12247" t="s">
        <v>54821</v>
      </c>
      <c r="W12247" t="s">
        <v>42398</v>
      </c>
      <c r="X12247" t="s">
        <v>42690</v>
      </c>
    </row>
    <row r="12248" spans="1:24">
      <c r="A12248">
        <f>HYPERLINK("https://www.philgeps.gov.ph/GEPSNONPILOT/Tender/SplashBidNoticeAbstractUI.aspx?menuIndex=3&amp;refID=7160730&amp;Result=3","7160730")</f>
        <v>0</v>
      </c>
      <c r="B12248" t="s">
        <v>235</v>
      </c>
      <c r="C12248" t="s">
        <v>15240</v>
      </c>
      <c r="D12248" t="s">
        <v>17185</v>
      </c>
      <c r="E12248" t="s">
        <v>27669</v>
      </c>
      <c r="F12248" t="s">
        <v>29372</v>
      </c>
      <c r="G12248" t="s">
        <v>29380</v>
      </c>
      <c r="H12248" t="s">
        <v>11048</v>
      </c>
      <c r="I12248" t="s">
        <v>29395</v>
      </c>
      <c r="J12248" t="s">
        <v>37261</v>
      </c>
      <c r="K12248" t="s">
        <v>38510</v>
      </c>
      <c r="M12248" t="s">
        <v>41769</v>
      </c>
      <c r="N12248" t="s">
        <v>42669</v>
      </c>
      <c r="O12248" t="s">
        <v>42670</v>
      </c>
      <c r="P12248">
        <v>0</v>
      </c>
      <c r="Q12248">
        <v>1</v>
      </c>
      <c r="R12248" t="s">
        <v>42689</v>
      </c>
      <c r="S12248" t="s">
        <v>43461</v>
      </c>
      <c r="T12248" t="s">
        <v>44527</v>
      </c>
      <c r="U12248" t="s">
        <v>54791</v>
      </c>
      <c r="V12248" t="s">
        <v>57389</v>
      </c>
      <c r="W12248" t="s">
        <v>58098</v>
      </c>
      <c r="X12248" t="s">
        <v>42690</v>
      </c>
    </row>
    <row r="12249" spans="1:24">
      <c r="A12249">
        <f>HYPERLINK("https://www.philgeps.gov.ph/GEPSNONPILOT/Tender/SplashBidNoticeAbstractUI.aspx?menuIndex=3&amp;refID=7160868&amp;Result=3","7160868")</f>
        <v>0</v>
      </c>
      <c r="B12249" t="s">
        <v>1797</v>
      </c>
      <c r="C12249" t="s">
        <v>15241</v>
      </c>
      <c r="D12249" t="s">
        <v>17201</v>
      </c>
      <c r="E12249" t="s">
        <v>27670</v>
      </c>
      <c r="F12249" t="s">
        <v>29372</v>
      </c>
      <c r="G12249" t="s">
        <v>29380</v>
      </c>
      <c r="H12249" t="s">
        <v>29389</v>
      </c>
      <c r="I12249" t="s">
        <v>10408</v>
      </c>
      <c r="J12249" t="s">
        <v>37262</v>
      </c>
      <c r="K12249" t="s">
        <v>38546</v>
      </c>
      <c r="M12249" t="s">
        <v>40668</v>
      </c>
      <c r="N12249" t="s">
        <v>42669</v>
      </c>
      <c r="O12249" t="s">
        <v>42670</v>
      </c>
      <c r="P12249">
        <v>0</v>
      </c>
      <c r="Q12249">
        <v>0</v>
      </c>
      <c r="R12249" t="s">
        <v>42689</v>
      </c>
      <c r="S12249" t="s">
        <v>43461</v>
      </c>
      <c r="T12249" t="s">
        <v>44427</v>
      </c>
      <c r="U12249" t="s">
        <v>48973</v>
      </c>
      <c r="V12249" t="s">
        <v>57768</v>
      </c>
      <c r="W12249" t="s">
        <v>40668</v>
      </c>
      <c r="X12249" t="s">
        <v>42690</v>
      </c>
    </row>
    <row r="12250" spans="1:24">
      <c r="A12250">
        <f>HYPERLINK("https://www.philgeps.gov.ph/GEPSNONPILOT/Tender/SplashBidNoticeAbstractUI.aspx?menuIndex=3&amp;refID=7160973&amp;Result=3","7160973")</f>
        <v>0</v>
      </c>
      <c r="B12250" t="s">
        <v>3313</v>
      </c>
      <c r="C12250" t="s">
        <v>15242</v>
      </c>
      <c r="D12250" t="s">
        <v>17204</v>
      </c>
      <c r="E12250" t="s">
        <v>27671</v>
      </c>
      <c r="F12250" t="s">
        <v>29372</v>
      </c>
      <c r="G12250" t="s">
        <v>29380</v>
      </c>
      <c r="H12250" t="s">
        <v>11048</v>
      </c>
      <c r="I12250" t="s">
        <v>29419</v>
      </c>
      <c r="J12250" t="s">
        <v>29587</v>
      </c>
      <c r="K12250" t="s">
        <v>38485</v>
      </c>
      <c r="M12250" t="s">
        <v>42399</v>
      </c>
      <c r="N12250" t="s">
        <v>42669</v>
      </c>
      <c r="O12250" t="s">
        <v>42670</v>
      </c>
      <c r="P12250">
        <v>0</v>
      </c>
      <c r="Q12250">
        <v>4</v>
      </c>
      <c r="R12250" t="s">
        <v>42689</v>
      </c>
      <c r="S12250" t="s">
        <v>43461</v>
      </c>
      <c r="T12250" t="s">
        <v>44427</v>
      </c>
      <c r="U12250" t="s">
        <v>54787</v>
      </c>
      <c r="W12250" t="s">
        <v>42399</v>
      </c>
      <c r="X12250" t="s">
        <v>42690</v>
      </c>
    </row>
    <row r="12251" spans="1:24">
      <c r="A12251">
        <f>HYPERLINK("https://www.philgeps.gov.ph/GEPSNONPILOT/Tender/SplashBidNoticeAbstractUI.aspx?menuIndex=3&amp;refID=7160957&amp;Result=3","7160957")</f>
        <v>0</v>
      </c>
      <c r="B12251" t="s">
        <v>3312</v>
      </c>
      <c r="C12251" t="s">
        <v>15243</v>
      </c>
      <c r="D12251" t="s">
        <v>17202</v>
      </c>
      <c r="E12251" t="s">
        <v>27672</v>
      </c>
      <c r="F12251" t="s">
        <v>29372</v>
      </c>
      <c r="G12251" t="s">
        <v>29380</v>
      </c>
      <c r="H12251" t="s">
        <v>11048</v>
      </c>
      <c r="I12251" t="s">
        <v>4487</v>
      </c>
      <c r="J12251" t="s">
        <v>37263</v>
      </c>
      <c r="K12251" t="s">
        <v>38488</v>
      </c>
      <c r="M12251" t="s">
        <v>42398</v>
      </c>
      <c r="N12251" t="s">
        <v>42669</v>
      </c>
      <c r="O12251" t="s">
        <v>42670</v>
      </c>
      <c r="P12251">
        <v>0</v>
      </c>
      <c r="Q12251">
        <v>3</v>
      </c>
      <c r="R12251" t="s">
        <v>42689</v>
      </c>
      <c r="S12251" t="s">
        <v>43461</v>
      </c>
      <c r="T12251" t="s">
        <v>44427</v>
      </c>
      <c r="U12251" t="s">
        <v>54822</v>
      </c>
      <c r="W12251" t="s">
        <v>42398</v>
      </c>
      <c r="X12251" t="s">
        <v>42690</v>
      </c>
    </row>
    <row r="12252" spans="1:24">
      <c r="A12252">
        <f>HYPERLINK("https://www.philgeps.gov.ph/GEPSNONPILOT/Tender/SplashBidNoticeAbstractUI.aspx?menuIndex=3&amp;refID=7160782&amp;Result=3","7160782")</f>
        <v>0</v>
      </c>
      <c r="B12252" t="s">
        <v>3284</v>
      </c>
      <c r="C12252" t="s">
        <v>15244</v>
      </c>
      <c r="D12252" t="s">
        <v>17183</v>
      </c>
      <c r="E12252" t="s">
        <v>25257</v>
      </c>
      <c r="F12252" t="s">
        <v>29372</v>
      </c>
      <c r="G12252" t="s">
        <v>29380</v>
      </c>
      <c r="H12252" t="s">
        <v>11048</v>
      </c>
      <c r="I12252" t="s">
        <v>8614</v>
      </c>
      <c r="J12252" t="s">
        <v>31276</v>
      </c>
      <c r="K12252" t="s">
        <v>38491</v>
      </c>
      <c r="M12252" t="s">
        <v>42358</v>
      </c>
      <c r="N12252" t="s">
        <v>42669</v>
      </c>
      <c r="O12252" t="s">
        <v>42670</v>
      </c>
      <c r="P12252">
        <v>0</v>
      </c>
      <c r="Q12252">
        <v>4</v>
      </c>
      <c r="R12252" t="s">
        <v>42689</v>
      </c>
      <c r="S12252" t="s">
        <v>43461</v>
      </c>
      <c r="T12252" t="s">
        <v>44496</v>
      </c>
      <c r="U12252" t="s">
        <v>54823</v>
      </c>
      <c r="V12252" t="s">
        <v>57722</v>
      </c>
      <c r="W12252" t="s">
        <v>42358</v>
      </c>
      <c r="X12252" t="s">
        <v>42690</v>
      </c>
    </row>
    <row r="12253" spans="1:24">
      <c r="A12253">
        <f>HYPERLINK("https://www.philgeps.gov.ph/GEPSNONPILOT/Tender/SplashBidNoticeAbstractUI.aspx?menuIndex=3&amp;refID=7160954&amp;Result=3","7160954")</f>
        <v>0</v>
      </c>
      <c r="B12253" t="s">
        <v>2759</v>
      </c>
      <c r="C12253" t="s">
        <v>15245</v>
      </c>
      <c r="D12253" t="s">
        <v>17170</v>
      </c>
      <c r="E12253" t="s">
        <v>27673</v>
      </c>
      <c r="F12253" t="s">
        <v>29372</v>
      </c>
      <c r="G12253" t="s">
        <v>29380</v>
      </c>
      <c r="H12253" t="s">
        <v>11048</v>
      </c>
      <c r="I12253" t="s">
        <v>29438</v>
      </c>
      <c r="J12253" t="s">
        <v>37264</v>
      </c>
      <c r="K12253" t="s">
        <v>38522</v>
      </c>
      <c r="M12253" t="s">
        <v>41744</v>
      </c>
      <c r="N12253" t="s">
        <v>42669</v>
      </c>
      <c r="O12253" t="s">
        <v>42670</v>
      </c>
      <c r="P12253">
        <v>0</v>
      </c>
      <c r="Q12253">
        <v>1</v>
      </c>
      <c r="R12253" t="s">
        <v>42689</v>
      </c>
      <c r="S12253" t="s">
        <v>43461</v>
      </c>
      <c r="T12253" t="s">
        <v>44393</v>
      </c>
      <c r="U12253" t="s">
        <v>54824</v>
      </c>
      <c r="W12253" t="s">
        <v>41744</v>
      </c>
      <c r="X12253" t="s">
        <v>42690</v>
      </c>
    </row>
    <row r="12254" spans="1:24">
      <c r="A12254">
        <f>HYPERLINK("https://www.philgeps.gov.ph/GEPSNONPILOT/Tender/SplashBidNoticeAbstractUI.aspx?menuIndex=3&amp;refID=7160949&amp;Result=3","7160949")</f>
        <v>0</v>
      </c>
      <c r="B12254" t="s">
        <v>1562</v>
      </c>
      <c r="C12254" t="s">
        <v>15246</v>
      </c>
      <c r="D12254" t="s">
        <v>17167</v>
      </c>
      <c r="E12254" t="s">
        <v>23760</v>
      </c>
      <c r="F12254" t="s">
        <v>29372</v>
      </c>
      <c r="G12254" t="s">
        <v>29380</v>
      </c>
      <c r="H12254" t="s">
        <v>29389</v>
      </c>
      <c r="I12254" t="s">
        <v>10408</v>
      </c>
      <c r="J12254" t="s">
        <v>29590</v>
      </c>
      <c r="K12254" t="s">
        <v>38565</v>
      </c>
      <c r="M12254" t="s">
        <v>40412</v>
      </c>
      <c r="N12254" t="s">
        <v>42669</v>
      </c>
      <c r="O12254" t="s">
        <v>42670</v>
      </c>
      <c r="P12254">
        <v>0</v>
      </c>
      <c r="Q12254">
        <v>0</v>
      </c>
      <c r="R12254" t="s">
        <v>42689</v>
      </c>
      <c r="S12254" t="s">
        <v>43461</v>
      </c>
      <c r="T12254" t="s">
        <v>44525</v>
      </c>
      <c r="U12254" t="s">
        <v>54825</v>
      </c>
      <c r="V12254" t="s">
        <v>57769</v>
      </c>
      <c r="W12254" t="s">
        <v>40412</v>
      </c>
      <c r="X12254" t="s">
        <v>42690</v>
      </c>
    </row>
    <row r="12255" spans="1:24">
      <c r="A12255">
        <f>HYPERLINK("https://www.philgeps.gov.ph/GEPSNONPILOT/Tender/SplashBidNoticeAbstractUI.aspx?menuIndex=3&amp;refID=7160747&amp;Result=3","7160747")</f>
        <v>0</v>
      </c>
      <c r="B12255" t="s">
        <v>97</v>
      </c>
      <c r="C12255" t="s">
        <v>15247</v>
      </c>
      <c r="D12255" t="s">
        <v>17154</v>
      </c>
      <c r="E12255" t="s">
        <v>27674</v>
      </c>
      <c r="F12255" t="s">
        <v>29372</v>
      </c>
      <c r="G12255" t="s">
        <v>29380</v>
      </c>
      <c r="H12255" t="s">
        <v>29389</v>
      </c>
      <c r="I12255" t="s">
        <v>10408</v>
      </c>
      <c r="J12255" t="s">
        <v>31498</v>
      </c>
      <c r="K12255" t="s">
        <v>38564</v>
      </c>
      <c r="M12255" t="s">
        <v>42116</v>
      </c>
      <c r="N12255" t="s">
        <v>42669</v>
      </c>
      <c r="O12255" t="s">
        <v>42670</v>
      </c>
      <c r="P12255">
        <v>0</v>
      </c>
      <c r="Q12255">
        <v>1</v>
      </c>
      <c r="R12255" t="s">
        <v>42689</v>
      </c>
      <c r="S12255" t="s">
        <v>43461</v>
      </c>
      <c r="T12255" t="s">
        <v>44434</v>
      </c>
      <c r="U12255" t="s">
        <v>54826</v>
      </c>
      <c r="W12255" t="s">
        <v>42116</v>
      </c>
      <c r="X12255" t="s">
        <v>42690</v>
      </c>
    </row>
    <row r="12256" spans="1:24">
      <c r="A12256">
        <f>HYPERLINK("https://www.philgeps.gov.ph/GEPSNONPILOT/Tender/SplashBidNoticeAbstractUI.aspx?menuIndex=3&amp;refID=7160960&amp;Result=3","7160960")</f>
        <v>0</v>
      </c>
      <c r="B12256" t="s">
        <v>582</v>
      </c>
      <c r="C12256" t="s">
        <v>15248</v>
      </c>
      <c r="D12256" t="s">
        <v>17145</v>
      </c>
      <c r="E12256" t="s">
        <v>27675</v>
      </c>
      <c r="F12256" t="s">
        <v>29372</v>
      </c>
      <c r="G12256" t="s">
        <v>29380</v>
      </c>
      <c r="H12256" t="s">
        <v>11048</v>
      </c>
      <c r="I12256" t="s">
        <v>3839</v>
      </c>
      <c r="J12256" t="s">
        <v>31535</v>
      </c>
      <c r="K12256" t="s">
        <v>38495</v>
      </c>
      <c r="M12256" t="s">
        <v>39351</v>
      </c>
      <c r="N12256" t="s">
        <v>42669</v>
      </c>
      <c r="O12256" t="s">
        <v>42670</v>
      </c>
      <c r="Q12256">
        <v>6</v>
      </c>
      <c r="R12256" t="s">
        <v>42689</v>
      </c>
      <c r="S12256" t="s">
        <v>43544</v>
      </c>
      <c r="T12256" t="s">
        <v>44387</v>
      </c>
      <c r="U12256" t="s">
        <v>46095</v>
      </c>
      <c r="W12256" t="s">
        <v>39351</v>
      </c>
      <c r="X12256" t="s">
        <v>42690</v>
      </c>
    </row>
    <row r="12257" spans="1:24">
      <c r="A12257">
        <f>HYPERLINK("https://www.philgeps.gov.ph/GEPSNONPILOT/Tender/SplashBidNoticeAbstractUI.aspx?menuIndex=3&amp;refID=7161003&amp;Result=3","7161003")</f>
        <v>0</v>
      </c>
      <c r="B12257" t="s">
        <v>3322</v>
      </c>
      <c r="C12257" t="s">
        <v>15249</v>
      </c>
      <c r="D12257" t="s">
        <v>17205</v>
      </c>
      <c r="E12257" t="s">
        <v>17482</v>
      </c>
      <c r="F12257" t="s">
        <v>29372</v>
      </c>
      <c r="G12257" t="s">
        <v>29380</v>
      </c>
      <c r="H12257" t="s">
        <v>11048</v>
      </c>
      <c r="I12257" t="s">
        <v>3952</v>
      </c>
      <c r="J12257" t="s">
        <v>37265</v>
      </c>
      <c r="K12257" t="s">
        <v>38485</v>
      </c>
      <c r="M12257" t="s">
        <v>42408</v>
      </c>
      <c r="N12257" t="s">
        <v>42669</v>
      </c>
      <c r="O12257" t="s">
        <v>42670</v>
      </c>
      <c r="P12257">
        <v>0</v>
      </c>
      <c r="Q12257">
        <v>10</v>
      </c>
      <c r="R12257" t="s">
        <v>42689</v>
      </c>
      <c r="S12257" t="s">
        <v>43461</v>
      </c>
      <c r="T12257" t="s">
        <v>44380</v>
      </c>
      <c r="U12257" t="s">
        <v>54827</v>
      </c>
      <c r="W12257" t="s">
        <v>42408</v>
      </c>
      <c r="X12257" t="s">
        <v>42690</v>
      </c>
    </row>
    <row r="12258" spans="1:24">
      <c r="A12258">
        <f>HYPERLINK("https://www.philgeps.gov.ph/GEPSNONPILOT/Tender/SplashBidNoticeAbstractUI.aspx?menuIndex=3&amp;refID=7160988&amp;Result=3","7160988")</f>
        <v>0</v>
      </c>
      <c r="B12258" t="s">
        <v>3323</v>
      </c>
      <c r="C12258" t="s">
        <v>15250</v>
      </c>
      <c r="E12258" t="s">
        <v>27051</v>
      </c>
      <c r="F12258" t="s">
        <v>29375</v>
      </c>
      <c r="G12258" t="s">
        <v>29380</v>
      </c>
      <c r="H12258" t="s">
        <v>11048</v>
      </c>
      <c r="I12258" t="s">
        <v>4709</v>
      </c>
      <c r="J12258" t="s">
        <v>29664</v>
      </c>
      <c r="K12258" t="s">
        <v>38490</v>
      </c>
      <c r="M12258" t="s">
        <v>42409</v>
      </c>
      <c r="N12258" t="s">
        <v>42669</v>
      </c>
      <c r="O12258" t="s">
        <v>42670</v>
      </c>
      <c r="P12258">
        <v>0</v>
      </c>
      <c r="Q12258">
        <v>0</v>
      </c>
      <c r="R12258" t="s">
        <v>42689</v>
      </c>
      <c r="S12258" t="s">
        <v>43461</v>
      </c>
      <c r="T12258" t="s">
        <v>44491</v>
      </c>
      <c r="U12258" t="s">
        <v>54219</v>
      </c>
      <c r="W12258" t="s">
        <v>42409</v>
      </c>
      <c r="X12258" t="s">
        <v>42690</v>
      </c>
    </row>
    <row r="12259" spans="1:24">
      <c r="A12259">
        <f>HYPERLINK("https://www.philgeps.gov.ph/GEPSNONPILOT/Tender/SplashBidNoticeAbstractUI.aspx?menuIndex=3&amp;refID=7160981&amp;Result=3","7160981")</f>
        <v>0</v>
      </c>
      <c r="B12259" t="s">
        <v>3324</v>
      </c>
      <c r="C12259" t="s">
        <v>15251</v>
      </c>
      <c r="D12259" t="s">
        <v>17153</v>
      </c>
      <c r="E12259" t="s">
        <v>19316</v>
      </c>
      <c r="F12259" t="s">
        <v>29372</v>
      </c>
      <c r="G12259" t="s">
        <v>29380</v>
      </c>
      <c r="H12259" t="s">
        <v>29389</v>
      </c>
      <c r="I12259" t="s">
        <v>10408</v>
      </c>
      <c r="J12259" t="s">
        <v>37266</v>
      </c>
      <c r="K12259" t="s">
        <v>38496</v>
      </c>
      <c r="M12259" t="s">
        <v>42410</v>
      </c>
      <c r="N12259" t="s">
        <v>42669</v>
      </c>
      <c r="O12259" t="s">
        <v>42670</v>
      </c>
      <c r="P12259">
        <v>0</v>
      </c>
      <c r="Q12259">
        <v>39</v>
      </c>
      <c r="R12259" t="s">
        <v>42689</v>
      </c>
      <c r="S12259" t="s">
        <v>43461</v>
      </c>
      <c r="T12259" t="s">
        <v>44357</v>
      </c>
      <c r="U12259" t="s">
        <v>54828</v>
      </c>
      <c r="W12259" t="s">
        <v>42410</v>
      </c>
      <c r="X12259" t="s">
        <v>42690</v>
      </c>
    </row>
    <row r="12260" spans="1:24">
      <c r="A12260">
        <f>HYPERLINK("https://www.philgeps.gov.ph/GEPSNONPILOT/Tender/SplashBidNoticeAbstractUI.aspx?menuIndex=3&amp;refID=7160979&amp;Result=3","7160979")</f>
        <v>0</v>
      </c>
      <c r="B12260" t="s">
        <v>52</v>
      </c>
      <c r="C12260" t="s">
        <v>15252</v>
      </c>
      <c r="D12260" t="s">
        <v>17192</v>
      </c>
      <c r="E12260" t="s">
        <v>27676</v>
      </c>
      <c r="F12260" t="s">
        <v>29372</v>
      </c>
      <c r="G12260" t="s">
        <v>29382</v>
      </c>
      <c r="H12260" t="s">
        <v>11048</v>
      </c>
      <c r="I12260" t="s">
        <v>4486</v>
      </c>
      <c r="J12260" t="s">
        <v>31968</v>
      </c>
      <c r="K12260" t="s">
        <v>38530</v>
      </c>
      <c r="L12260" t="s">
        <v>52</v>
      </c>
      <c r="M12260" t="s">
        <v>38921</v>
      </c>
      <c r="N12260" t="s">
        <v>42669</v>
      </c>
      <c r="O12260" t="s">
        <v>42670</v>
      </c>
      <c r="Q12260">
        <v>3</v>
      </c>
      <c r="R12260" t="s">
        <v>42689</v>
      </c>
      <c r="S12260" t="s">
        <v>43545</v>
      </c>
      <c r="T12260" t="s">
        <v>44489</v>
      </c>
      <c r="U12260" t="s">
        <v>45160</v>
      </c>
      <c r="W12260" t="s">
        <v>38921</v>
      </c>
      <c r="X12260" t="s">
        <v>42690</v>
      </c>
    </row>
    <row r="12261" spans="1:24">
      <c r="A12261">
        <f>HYPERLINK("https://www.philgeps.gov.ph/GEPSNONPILOT/Tender/SplashBidNoticeAbstractUI.aspx?menuIndex=3&amp;refID=7160990&amp;Result=3","7160990")</f>
        <v>0</v>
      </c>
      <c r="B12261" t="s">
        <v>3304</v>
      </c>
      <c r="C12261" t="s">
        <v>15253</v>
      </c>
      <c r="D12261" t="s">
        <v>17168</v>
      </c>
      <c r="E12261" t="s">
        <v>27677</v>
      </c>
      <c r="F12261" t="s">
        <v>29372</v>
      </c>
      <c r="G12261" t="s">
        <v>29380</v>
      </c>
      <c r="H12261" t="s">
        <v>11048</v>
      </c>
      <c r="I12261" t="s">
        <v>5383</v>
      </c>
      <c r="J12261" t="s">
        <v>37267</v>
      </c>
      <c r="K12261" t="s">
        <v>38510</v>
      </c>
      <c r="M12261" t="s">
        <v>42389</v>
      </c>
      <c r="N12261" t="s">
        <v>42669</v>
      </c>
      <c r="O12261" t="s">
        <v>42670</v>
      </c>
      <c r="P12261">
        <v>0</v>
      </c>
      <c r="Q12261">
        <v>3</v>
      </c>
      <c r="R12261" t="s">
        <v>42689</v>
      </c>
      <c r="S12261" t="s">
        <v>43461</v>
      </c>
      <c r="T12261" t="s">
        <v>44382</v>
      </c>
      <c r="U12261" t="s">
        <v>54829</v>
      </c>
      <c r="V12261" t="s">
        <v>57770</v>
      </c>
      <c r="W12261" t="s">
        <v>42389</v>
      </c>
      <c r="X12261" t="s">
        <v>42690</v>
      </c>
    </row>
    <row r="12262" spans="1:24">
      <c r="A12262">
        <f>HYPERLINK("https://www.philgeps.gov.ph/GEPSNONPILOT/Tender/SplashBidNoticeAbstractUI.aspx?menuIndex=3&amp;refID=7160918&amp;Result=3","7160918")</f>
        <v>0</v>
      </c>
      <c r="B12262" t="s">
        <v>3325</v>
      </c>
      <c r="C12262" t="s">
        <v>11345</v>
      </c>
      <c r="E12262" t="s">
        <v>27051</v>
      </c>
      <c r="F12262" t="s">
        <v>29375</v>
      </c>
      <c r="G12262" t="s">
        <v>29380</v>
      </c>
      <c r="H12262" t="s">
        <v>11048</v>
      </c>
      <c r="I12262" t="s">
        <v>4709</v>
      </c>
      <c r="J12262" t="s">
        <v>37268</v>
      </c>
      <c r="K12262" t="s">
        <v>38490</v>
      </c>
      <c r="M12262" t="s">
        <v>42411</v>
      </c>
      <c r="N12262" t="s">
        <v>42669</v>
      </c>
      <c r="O12262" t="s">
        <v>42670</v>
      </c>
      <c r="P12262">
        <v>0</v>
      </c>
      <c r="Q12262">
        <v>0</v>
      </c>
      <c r="R12262" t="s">
        <v>42689</v>
      </c>
      <c r="S12262" t="s">
        <v>43461</v>
      </c>
      <c r="T12262" t="s">
        <v>44512</v>
      </c>
      <c r="U12262" t="s">
        <v>54219</v>
      </c>
      <c r="W12262" t="s">
        <v>42411</v>
      </c>
      <c r="X12262" t="s">
        <v>42690</v>
      </c>
    </row>
    <row r="12263" spans="1:24">
      <c r="A12263">
        <f>HYPERLINK("https://www.philgeps.gov.ph/GEPSNONPILOT/Tender/SplashBidNoticeAbstractUI.aspx?menuIndex=3&amp;refID=7160917&amp;Result=3","7160917")</f>
        <v>0</v>
      </c>
      <c r="B12263" t="s">
        <v>52</v>
      </c>
      <c r="C12263" t="s">
        <v>15254</v>
      </c>
      <c r="D12263" t="s">
        <v>17192</v>
      </c>
      <c r="E12263" t="s">
        <v>27678</v>
      </c>
      <c r="F12263" t="s">
        <v>29372</v>
      </c>
      <c r="G12263" t="s">
        <v>29383</v>
      </c>
      <c r="H12263" t="s">
        <v>11048</v>
      </c>
      <c r="I12263" t="s">
        <v>4486</v>
      </c>
      <c r="J12263" t="s">
        <v>30046</v>
      </c>
      <c r="K12263" t="s">
        <v>38530</v>
      </c>
      <c r="L12263" t="s">
        <v>52</v>
      </c>
      <c r="M12263" t="s">
        <v>38921</v>
      </c>
      <c r="N12263" t="s">
        <v>42669</v>
      </c>
      <c r="O12263" t="s">
        <v>42670</v>
      </c>
      <c r="Q12263">
        <v>8</v>
      </c>
      <c r="R12263" t="s">
        <v>42689</v>
      </c>
      <c r="S12263" t="s">
        <v>43546</v>
      </c>
      <c r="T12263" t="s">
        <v>44489</v>
      </c>
      <c r="U12263" t="s">
        <v>45160</v>
      </c>
      <c r="W12263" t="s">
        <v>38921</v>
      </c>
      <c r="X12263" t="s">
        <v>42690</v>
      </c>
    </row>
    <row r="12264" spans="1:24">
      <c r="A12264">
        <f>HYPERLINK("https://www.philgeps.gov.ph/GEPSNONPILOT/Tender/SplashBidNoticeAbstractUI.aspx?menuIndex=3&amp;refID=7160906&amp;Result=3","7160906")</f>
        <v>0</v>
      </c>
      <c r="B12264" t="s">
        <v>3326</v>
      </c>
      <c r="C12264" t="s">
        <v>15255</v>
      </c>
      <c r="D12264" t="s">
        <v>17188</v>
      </c>
      <c r="E12264" t="s">
        <v>27679</v>
      </c>
      <c r="F12264" t="s">
        <v>29372</v>
      </c>
      <c r="G12264" t="s">
        <v>29380</v>
      </c>
      <c r="H12264" t="s">
        <v>11048</v>
      </c>
      <c r="I12264" t="s">
        <v>29402</v>
      </c>
      <c r="J12264" t="s">
        <v>37269</v>
      </c>
      <c r="K12264" t="s">
        <v>38491</v>
      </c>
      <c r="M12264" t="s">
        <v>42412</v>
      </c>
      <c r="N12264" t="s">
        <v>42669</v>
      </c>
      <c r="O12264" t="s">
        <v>42670</v>
      </c>
      <c r="P12264">
        <v>0</v>
      </c>
      <c r="Q12264">
        <v>0</v>
      </c>
      <c r="R12264" t="s">
        <v>42689</v>
      </c>
      <c r="S12264" t="s">
        <v>43461</v>
      </c>
      <c r="T12264" t="s">
        <v>44387</v>
      </c>
      <c r="U12264" t="s">
        <v>54830</v>
      </c>
      <c r="W12264" t="s">
        <v>42412</v>
      </c>
      <c r="X12264" t="s">
        <v>42690</v>
      </c>
    </row>
    <row r="12265" spans="1:24">
      <c r="A12265">
        <f>HYPERLINK("https://www.philgeps.gov.ph/GEPSNONPILOT/Tender/SplashBidNoticeAbstractUI.aspx?menuIndex=3&amp;refID=7160764&amp;Result=3","7160764")</f>
        <v>0</v>
      </c>
      <c r="B12265" t="s">
        <v>1733</v>
      </c>
      <c r="C12265" t="s">
        <v>15256</v>
      </c>
      <c r="D12265" t="s">
        <v>17174</v>
      </c>
      <c r="E12265" t="s">
        <v>27680</v>
      </c>
      <c r="F12265" t="s">
        <v>29372</v>
      </c>
      <c r="G12265" t="s">
        <v>29380</v>
      </c>
      <c r="H12265" t="s">
        <v>29389</v>
      </c>
      <c r="I12265" t="s">
        <v>10408</v>
      </c>
      <c r="J12265" t="s">
        <v>37270</v>
      </c>
      <c r="K12265" t="s">
        <v>38749</v>
      </c>
      <c r="M12265" t="s">
        <v>40598</v>
      </c>
      <c r="N12265" t="s">
        <v>42669</v>
      </c>
      <c r="O12265" t="s">
        <v>42670</v>
      </c>
      <c r="Q12265">
        <v>5</v>
      </c>
      <c r="R12265" t="s">
        <v>42689</v>
      </c>
      <c r="S12265" t="s">
        <v>43547</v>
      </c>
      <c r="T12265" t="s">
        <v>44425</v>
      </c>
      <c r="U12265" t="s">
        <v>54831</v>
      </c>
      <c r="W12265" t="s">
        <v>40598</v>
      </c>
      <c r="X12265" t="s">
        <v>42690</v>
      </c>
    </row>
    <row r="12266" spans="1:24">
      <c r="A12266">
        <f>HYPERLINK("https://www.philgeps.gov.ph/GEPSNONPILOT/Tender/SplashBidNoticeAbstractUI.aspx?menuIndex=3&amp;refID=7160882&amp;Result=3","7160882")</f>
        <v>0</v>
      </c>
      <c r="B12266" t="s">
        <v>3327</v>
      </c>
      <c r="C12266" t="s">
        <v>15257</v>
      </c>
      <c r="E12266" t="s">
        <v>27051</v>
      </c>
      <c r="F12266" t="s">
        <v>29375</v>
      </c>
      <c r="G12266" t="s">
        <v>29380</v>
      </c>
      <c r="H12266" t="s">
        <v>11048</v>
      </c>
      <c r="I12266" t="s">
        <v>4709</v>
      </c>
      <c r="J12266" t="s">
        <v>37271</v>
      </c>
      <c r="K12266" t="s">
        <v>38490</v>
      </c>
      <c r="M12266" t="s">
        <v>42413</v>
      </c>
      <c r="N12266" t="s">
        <v>42669</v>
      </c>
      <c r="O12266" t="s">
        <v>42670</v>
      </c>
      <c r="P12266">
        <v>0</v>
      </c>
      <c r="Q12266">
        <v>0</v>
      </c>
      <c r="R12266" t="s">
        <v>42689</v>
      </c>
      <c r="S12266" t="s">
        <v>43461</v>
      </c>
      <c r="T12266" t="s">
        <v>44417</v>
      </c>
      <c r="U12266" t="s">
        <v>54219</v>
      </c>
      <c r="W12266" t="s">
        <v>42413</v>
      </c>
      <c r="X12266" t="s">
        <v>42690</v>
      </c>
    </row>
    <row r="12267" spans="1:24">
      <c r="A12267">
        <f>HYPERLINK("https://www.philgeps.gov.ph/GEPSNONPILOT/Tender/SplashBidNoticeAbstractUI.aspx?menuIndex=3&amp;refID=7160951&amp;Result=3","7160951")</f>
        <v>0</v>
      </c>
      <c r="B12267" t="s">
        <v>1462</v>
      </c>
      <c r="C12267" t="s">
        <v>15258</v>
      </c>
      <c r="E12267" t="s">
        <v>27681</v>
      </c>
      <c r="F12267" t="s">
        <v>29372</v>
      </c>
      <c r="G12267" t="s">
        <v>29380</v>
      </c>
      <c r="H12267" t="s">
        <v>11048</v>
      </c>
      <c r="I12267" t="s">
        <v>9469</v>
      </c>
      <c r="J12267" t="s">
        <v>30244</v>
      </c>
      <c r="K12267" t="s">
        <v>38496</v>
      </c>
      <c r="M12267" t="s">
        <v>42414</v>
      </c>
      <c r="N12267" t="s">
        <v>42669</v>
      </c>
      <c r="O12267" t="s">
        <v>42670</v>
      </c>
      <c r="Q12267">
        <v>9</v>
      </c>
      <c r="R12267" t="s">
        <v>42689</v>
      </c>
      <c r="S12267" t="s">
        <v>43548</v>
      </c>
      <c r="T12267" t="s">
        <v>44648</v>
      </c>
      <c r="U12267" t="s">
        <v>54832</v>
      </c>
      <c r="W12267" t="s">
        <v>42414</v>
      </c>
      <c r="X12267" t="s">
        <v>42690</v>
      </c>
    </row>
    <row r="12268" spans="1:24">
      <c r="A12268">
        <f>HYPERLINK("https://www.philgeps.gov.ph/GEPSNONPILOT/Tender/SplashBidNoticeAbstractUI.aspx?menuIndex=3&amp;refID=7161119&amp;Result=3","7161119")</f>
        <v>0</v>
      </c>
      <c r="B12268" t="s">
        <v>1543</v>
      </c>
      <c r="C12268" t="s">
        <v>15259</v>
      </c>
      <c r="E12268" t="s">
        <v>27682</v>
      </c>
      <c r="F12268" t="s">
        <v>29372</v>
      </c>
      <c r="G12268" t="s">
        <v>29380</v>
      </c>
      <c r="H12268" t="s">
        <v>11048</v>
      </c>
      <c r="I12268" t="s">
        <v>8614</v>
      </c>
      <c r="J12268" t="s">
        <v>37272</v>
      </c>
      <c r="K12268" t="s">
        <v>38490</v>
      </c>
      <c r="M12268" t="s">
        <v>40392</v>
      </c>
      <c r="N12268" t="s">
        <v>42669</v>
      </c>
      <c r="O12268" t="s">
        <v>42670</v>
      </c>
      <c r="Q12268">
        <v>17</v>
      </c>
      <c r="R12268" t="s">
        <v>42689</v>
      </c>
      <c r="S12268" t="s">
        <v>43549</v>
      </c>
      <c r="T12268" t="s">
        <v>44470</v>
      </c>
      <c r="U12268" t="s">
        <v>54833</v>
      </c>
      <c r="W12268" t="s">
        <v>40392</v>
      </c>
      <c r="X12268" t="s">
        <v>42690</v>
      </c>
    </row>
    <row r="12269" spans="1:24">
      <c r="A12269">
        <f>HYPERLINK("https://www.philgeps.gov.ph/GEPSNONPILOT/Tender/SplashBidNoticeAbstractUI.aspx?menuIndex=3&amp;refID=7161190&amp;Result=3","7161190")</f>
        <v>0</v>
      </c>
      <c r="B12269" t="s">
        <v>2964</v>
      </c>
      <c r="C12269" t="s">
        <v>15260</v>
      </c>
      <c r="D12269" t="s">
        <v>17144</v>
      </c>
      <c r="E12269" t="s">
        <v>27683</v>
      </c>
      <c r="F12269" t="s">
        <v>29372</v>
      </c>
      <c r="G12269" t="s">
        <v>29380</v>
      </c>
      <c r="H12269" t="s">
        <v>11048</v>
      </c>
      <c r="I12269" t="s">
        <v>29407</v>
      </c>
      <c r="J12269" t="s">
        <v>37273</v>
      </c>
      <c r="K12269" t="s">
        <v>38551</v>
      </c>
      <c r="M12269" t="s">
        <v>41974</v>
      </c>
      <c r="N12269" t="s">
        <v>42669</v>
      </c>
      <c r="O12269" t="s">
        <v>42670</v>
      </c>
      <c r="P12269">
        <v>0</v>
      </c>
      <c r="Q12269">
        <v>4</v>
      </c>
      <c r="R12269" t="s">
        <v>42689</v>
      </c>
      <c r="S12269" t="s">
        <v>43461</v>
      </c>
      <c r="T12269" t="s">
        <v>44491</v>
      </c>
      <c r="U12269" t="s">
        <v>54834</v>
      </c>
      <c r="W12269" t="s">
        <v>41974</v>
      </c>
      <c r="X12269" t="s">
        <v>42690</v>
      </c>
    </row>
    <row r="12270" spans="1:24">
      <c r="A12270">
        <f>HYPERLINK("https://www.philgeps.gov.ph/GEPSNONPILOT/Tender/SplashBidNoticeAbstractUI.aspx?menuIndex=3&amp;refID=7160983&amp;Result=3","7160983")</f>
        <v>0</v>
      </c>
      <c r="B12270" t="s">
        <v>3328</v>
      </c>
      <c r="C12270" t="s">
        <v>15261</v>
      </c>
      <c r="D12270" t="s">
        <v>17171</v>
      </c>
      <c r="E12270" t="s">
        <v>20850</v>
      </c>
      <c r="F12270" t="s">
        <v>29372</v>
      </c>
      <c r="G12270" t="s">
        <v>29380</v>
      </c>
      <c r="H12270" t="s">
        <v>11048</v>
      </c>
      <c r="I12270" t="s">
        <v>29409</v>
      </c>
      <c r="J12270" t="s">
        <v>37274</v>
      </c>
      <c r="K12270" t="s">
        <v>38510</v>
      </c>
      <c r="M12270" t="s">
        <v>42415</v>
      </c>
      <c r="N12270" t="s">
        <v>42669</v>
      </c>
      <c r="O12270" t="s">
        <v>42670</v>
      </c>
      <c r="P12270">
        <v>0</v>
      </c>
      <c r="Q12270">
        <v>1</v>
      </c>
      <c r="R12270" t="s">
        <v>42689</v>
      </c>
      <c r="S12270" t="s">
        <v>43461</v>
      </c>
      <c r="T12270" t="s">
        <v>44378</v>
      </c>
      <c r="U12270" t="s">
        <v>54835</v>
      </c>
      <c r="W12270" t="s">
        <v>42415</v>
      </c>
      <c r="X12270" t="s">
        <v>42690</v>
      </c>
    </row>
    <row r="12271" spans="1:24">
      <c r="A12271">
        <f>HYPERLINK("https://www.philgeps.gov.ph/GEPSNONPILOT/Tender/SplashBidNoticeAbstractUI.aspx?menuIndex=3&amp;refID=7160903&amp;Result=3","7160903")</f>
        <v>0</v>
      </c>
      <c r="B12271" t="s">
        <v>97</v>
      </c>
      <c r="C12271" t="s">
        <v>15262</v>
      </c>
      <c r="D12271" t="s">
        <v>17154</v>
      </c>
      <c r="E12271" t="s">
        <v>27684</v>
      </c>
      <c r="F12271" t="s">
        <v>29372</v>
      </c>
      <c r="G12271" t="s">
        <v>29380</v>
      </c>
      <c r="H12271" t="s">
        <v>11048</v>
      </c>
      <c r="I12271" t="s">
        <v>29433</v>
      </c>
      <c r="J12271" t="s">
        <v>37275</v>
      </c>
      <c r="K12271" t="s">
        <v>38490</v>
      </c>
      <c r="M12271" t="s">
        <v>38851</v>
      </c>
      <c r="N12271" t="s">
        <v>42669</v>
      </c>
      <c r="O12271" t="s">
        <v>42670</v>
      </c>
      <c r="P12271">
        <v>0</v>
      </c>
      <c r="Q12271">
        <v>11</v>
      </c>
      <c r="R12271" t="s">
        <v>42689</v>
      </c>
      <c r="S12271" t="s">
        <v>43461</v>
      </c>
      <c r="T12271" t="s">
        <v>44481</v>
      </c>
      <c r="U12271" t="s">
        <v>54836</v>
      </c>
      <c r="V12271" t="s">
        <v>57771</v>
      </c>
      <c r="W12271" t="s">
        <v>38851</v>
      </c>
      <c r="X12271" t="s">
        <v>42690</v>
      </c>
    </row>
    <row r="12272" spans="1:24">
      <c r="A12272">
        <f>HYPERLINK("https://www.philgeps.gov.ph/GEPSNONPILOT/Tender/SplashBidNoticeAbstractUI.aspx?menuIndex=3&amp;refID=7161167&amp;Result=3","7161167")</f>
        <v>0</v>
      </c>
      <c r="B12272" t="s">
        <v>1287</v>
      </c>
      <c r="C12272" t="s">
        <v>15263</v>
      </c>
      <c r="D12272" t="s">
        <v>17153</v>
      </c>
      <c r="E12272" t="s">
        <v>27685</v>
      </c>
      <c r="F12272" t="s">
        <v>29372</v>
      </c>
      <c r="G12272" t="s">
        <v>29380</v>
      </c>
      <c r="H12272" t="s">
        <v>11048</v>
      </c>
      <c r="I12272" t="s">
        <v>29428</v>
      </c>
      <c r="J12272" t="s">
        <v>37276</v>
      </c>
      <c r="K12272" t="s">
        <v>38487</v>
      </c>
      <c r="M12272" t="s">
        <v>40724</v>
      </c>
      <c r="N12272" t="s">
        <v>42669</v>
      </c>
      <c r="O12272" t="s">
        <v>42670</v>
      </c>
      <c r="P12272">
        <v>0</v>
      </c>
      <c r="Q12272">
        <v>4</v>
      </c>
      <c r="R12272" t="s">
        <v>42689</v>
      </c>
      <c r="S12272" t="s">
        <v>43461</v>
      </c>
      <c r="T12272" t="s">
        <v>44631</v>
      </c>
      <c r="U12272" t="s">
        <v>54837</v>
      </c>
      <c r="W12272" t="s">
        <v>40724</v>
      </c>
      <c r="X12272" t="s">
        <v>42690</v>
      </c>
    </row>
    <row r="12273" spans="1:24">
      <c r="A12273">
        <f>HYPERLINK("https://www.philgeps.gov.ph/GEPSNONPILOT/Tender/SplashBidNoticeAbstractUI.aspx?menuIndex=3&amp;refID=7161152&amp;Result=3","7161152")</f>
        <v>0</v>
      </c>
      <c r="B12273" t="s">
        <v>1543</v>
      </c>
      <c r="C12273" t="s">
        <v>15264</v>
      </c>
      <c r="E12273" t="s">
        <v>27686</v>
      </c>
      <c r="F12273" t="s">
        <v>29372</v>
      </c>
      <c r="G12273" t="s">
        <v>29380</v>
      </c>
      <c r="H12273" t="s">
        <v>11048</v>
      </c>
      <c r="I12273" t="s">
        <v>8614</v>
      </c>
      <c r="J12273" t="s">
        <v>37277</v>
      </c>
      <c r="K12273" t="s">
        <v>38490</v>
      </c>
      <c r="M12273" t="s">
        <v>40392</v>
      </c>
      <c r="N12273" t="s">
        <v>42669</v>
      </c>
      <c r="O12273" t="s">
        <v>42670</v>
      </c>
      <c r="Q12273">
        <v>17</v>
      </c>
      <c r="R12273" t="s">
        <v>42689</v>
      </c>
      <c r="S12273" t="s">
        <v>43550</v>
      </c>
      <c r="T12273" t="s">
        <v>44470</v>
      </c>
      <c r="U12273" t="s">
        <v>54838</v>
      </c>
      <c r="W12273" t="s">
        <v>40392</v>
      </c>
      <c r="X12273" t="s">
        <v>42690</v>
      </c>
    </row>
    <row r="12274" spans="1:24">
      <c r="A12274">
        <f>HYPERLINK("https://www.philgeps.gov.ph/GEPSNONPILOT/Tender/SplashBidNoticeAbstractUI.aspx?menuIndex=3&amp;refID=7160641&amp;Result=3","7160641")</f>
        <v>0</v>
      </c>
      <c r="B12274" t="s">
        <v>97</v>
      </c>
      <c r="C12274" t="s">
        <v>15265</v>
      </c>
      <c r="D12274" t="s">
        <v>17154</v>
      </c>
      <c r="E12274" t="s">
        <v>27687</v>
      </c>
      <c r="F12274" t="s">
        <v>29372</v>
      </c>
      <c r="G12274" t="s">
        <v>29380</v>
      </c>
      <c r="H12274" t="s">
        <v>29389</v>
      </c>
      <c r="I12274" t="s">
        <v>10408</v>
      </c>
      <c r="J12274" t="s">
        <v>37278</v>
      </c>
      <c r="K12274" t="s">
        <v>38564</v>
      </c>
      <c r="M12274" t="s">
        <v>42116</v>
      </c>
      <c r="N12274" t="s">
        <v>42669</v>
      </c>
      <c r="O12274" t="s">
        <v>42670</v>
      </c>
      <c r="P12274">
        <v>0</v>
      </c>
      <c r="Q12274">
        <v>1</v>
      </c>
      <c r="R12274" t="s">
        <v>42689</v>
      </c>
      <c r="S12274" t="s">
        <v>43461</v>
      </c>
      <c r="T12274" t="s">
        <v>44434</v>
      </c>
      <c r="U12274" t="s">
        <v>54839</v>
      </c>
      <c r="W12274" t="s">
        <v>42116</v>
      </c>
      <c r="X12274" t="s">
        <v>42690</v>
      </c>
    </row>
    <row r="12275" spans="1:24">
      <c r="A12275">
        <f>HYPERLINK("https://www.philgeps.gov.ph/GEPSNONPILOT/Tender/SplashBidNoticeAbstractUI.aspx?menuIndex=3&amp;refID=7161142&amp;Result=3","7161142")</f>
        <v>0</v>
      </c>
      <c r="B12275" t="s">
        <v>3329</v>
      </c>
      <c r="C12275" t="s">
        <v>15266</v>
      </c>
      <c r="D12275" t="s">
        <v>17213</v>
      </c>
      <c r="E12275" t="s">
        <v>27688</v>
      </c>
      <c r="F12275" t="s">
        <v>29372</v>
      </c>
      <c r="G12275" t="s">
        <v>29380</v>
      </c>
      <c r="H12275" t="s">
        <v>11048</v>
      </c>
      <c r="I12275" t="s">
        <v>4709</v>
      </c>
      <c r="J12275" t="s">
        <v>37279</v>
      </c>
      <c r="K12275" t="s">
        <v>38488</v>
      </c>
      <c r="M12275" t="s">
        <v>42416</v>
      </c>
      <c r="N12275" t="s">
        <v>42669</v>
      </c>
      <c r="O12275" t="s">
        <v>42670</v>
      </c>
      <c r="P12275">
        <v>0</v>
      </c>
      <c r="Q12275">
        <v>0</v>
      </c>
      <c r="R12275" t="s">
        <v>42689</v>
      </c>
      <c r="S12275" t="s">
        <v>43461</v>
      </c>
      <c r="T12275" t="s">
        <v>44425</v>
      </c>
      <c r="U12275" t="s">
        <v>54840</v>
      </c>
      <c r="W12275" t="s">
        <v>42416</v>
      </c>
      <c r="X12275" t="s">
        <v>42690</v>
      </c>
    </row>
    <row r="12276" spans="1:24">
      <c r="A12276">
        <f>HYPERLINK("https://www.philgeps.gov.ph/GEPSNONPILOT/Tender/SplashBidNoticeAbstractUI.aspx?menuIndex=3&amp;refID=7161123&amp;Result=3","7161123")</f>
        <v>0</v>
      </c>
      <c r="B12276" t="s">
        <v>3243</v>
      </c>
      <c r="C12276" t="s">
        <v>15267</v>
      </c>
      <c r="D12276" t="s">
        <v>17226</v>
      </c>
      <c r="E12276" t="s">
        <v>27689</v>
      </c>
      <c r="F12276" t="s">
        <v>29372</v>
      </c>
      <c r="G12276" t="s">
        <v>29380</v>
      </c>
      <c r="H12276" t="s">
        <v>11048</v>
      </c>
      <c r="I12276" t="s">
        <v>5383</v>
      </c>
      <c r="J12276" t="s">
        <v>37280</v>
      </c>
      <c r="K12276" t="s">
        <v>38485</v>
      </c>
      <c r="M12276" t="s">
        <v>42311</v>
      </c>
      <c r="N12276" t="s">
        <v>42669</v>
      </c>
      <c r="O12276" t="s">
        <v>42670</v>
      </c>
      <c r="P12276">
        <v>0</v>
      </c>
      <c r="Q12276">
        <v>2</v>
      </c>
      <c r="R12276" t="s">
        <v>42689</v>
      </c>
      <c r="S12276" t="s">
        <v>43461</v>
      </c>
      <c r="T12276" t="s">
        <v>44387</v>
      </c>
      <c r="U12276" t="s">
        <v>54841</v>
      </c>
      <c r="V12276" t="s">
        <v>57683</v>
      </c>
      <c r="W12276" t="s">
        <v>42311</v>
      </c>
      <c r="X12276" t="s">
        <v>42690</v>
      </c>
    </row>
    <row r="12277" spans="1:24">
      <c r="A12277">
        <f>HYPERLINK("https://www.philgeps.gov.ph/GEPSNONPILOT/Tender/SplashBidNoticeAbstractUI.aspx?menuIndex=3&amp;refID=7161182&amp;Result=3","7161182")</f>
        <v>0</v>
      </c>
      <c r="B12277" t="s">
        <v>3330</v>
      </c>
      <c r="C12277" t="s">
        <v>15268</v>
      </c>
      <c r="D12277" t="s">
        <v>17188</v>
      </c>
      <c r="E12277" t="s">
        <v>21491</v>
      </c>
      <c r="F12277" t="s">
        <v>29372</v>
      </c>
      <c r="G12277" t="s">
        <v>29380</v>
      </c>
      <c r="H12277" t="s">
        <v>11048</v>
      </c>
      <c r="I12277" t="s">
        <v>9469</v>
      </c>
      <c r="J12277" t="s">
        <v>37281</v>
      </c>
      <c r="K12277" t="s">
        <v>38496</v>
      </c>
      <c r="M12277" t="s">
        <v>42417</v>
      </c>
      <c r="N12277" t="s">
        <v>42669</v>
      </c>
      <c r="O12277" t="s">
        <v>42670</v>
      </c>
      <c r="P12277">
        <v>0</v>
      </c>
      <c r="Q12277">
        <v>3</v>
      </c>
      <c r="R12277" t="s">
        <v>42689</v>
      </c>
      <c r="S12277" t="s">
        <v>43461</v>
      </c>
      <c r="T12277" t="s">
        <v>44371</v>
      </c>
      <c r="U12277" t="s">
        <v>54842</v>
      </c>
      <c r="V12277" t="s">
        <v>57772</v>
      </c>
      <c r="W12277" t="s">
        <v>42417</v>
      </c>
      <c r="X12277" t="s">
        <v>42690</v>
      </c>
    </row>
    <row r="12278" spans="1:24">
      <c r="A12278">
        <f>HYPERLINK("https://www.philgeps.gov.ph/GEPSNONPILOT/Tender/SplashBidNoticeAbstractUI.aspx?menuIndex=3&amp;refID=7161076&amp;Result=3","7161076")</f>
        <v>0</v>
      </c>
      <c r="B12278" t="s">
        <v>52</v>
      </c>
      <c r="C12278" t="s">
        <v>15269</v>
      </c>
      <c r="D12278" t="s">
        <v>17192</v>
      </c>
      <c r="E12278" t="s">
        <v>27690</v>
      </c>
      <c r="F12278" t="s">
        <v>29372</v>
      </c>
      <c r="G12278" t="s">
        <v>29379</v>
      </c>
      <c r="H12278" t="s">
        <v>11048</v>
      </c>
      <c r="I12278" t="s">
        <v>4486</v>
      </c>
      <c r="J12278" t="s">
        <v>37282</v>
      </c>
      <c r="K12278" t="s">
        <v>38530</v>
      </c>
      <c r="L12278" t="s">
        <v>52</v>
      </c>
      <c r="M12278" t="s">
        <v>38921</v>
      </c>
      <c r="N12278" t="s">
        <v>42669</v>
      </c>
      <c r="O12278" t="s">
        <v>42670</v>
      </c>
      <c r="Q12278">
        <v>3</v>
      </c>
      <c r="R12278" t="s">
        <v>42689</v>
      </c>
      <c r="S12278" t="s">
        <v>43551</v>
      </c>
      <c r="T12278" t="s">
        <v>44489</v>
      </c>
      <c r="U12278" t="s">
        <v>45160</v>
      </c>
      <c r="W12278" t="s">
        <v>38921</v>
      </c>
      <c r="X12278" t="s">
        <v>42690</v>
      </c>
    </row>
    <row r="12279" spans="1:24">
      <c r="A12279">
        <f>HYPERLINK("https://www.philgeps.gov.ph/GEPSNONPILOT/Tender/SplashBidNoticeAbstractUI.aspx?menuIndex=3&amp;refID=7161073&amp;Result=3","7161073")</f>
        <v>0</v>
      </c>
      <c r="B12279" t="s">
        <v>3243</v>
      </c>
      <c r="C12279" t="s">
        <v>15270</v>
      </c>
      <c r="D12279" t="s">
        <v>17226</v>
      </c>
      <c r="E12279" t="s">
        <v>27691</v>
      </c>
      <c r="F12279" t="s">
        <v>29372</v>
      </c>
      <c r="G12279" t="s">
        <v>29381</v>
      </c>
      <c r="H12279" t="s">
        <v>11048</v>
      </c>
      <c r="I12279" t="s">
        <v>29444</v>
      </c>
      <c r="J12279" t="s">
        <v>29526</v>
      </c>
      <c r="K12279" t="s">
        <v>38485</v>
      </c>
      <c r="M12279" t="s">
        <v>42311</v>
      </c>
      <c r="N12279" t="s">
        <v>42669</v>
      </c>
      <c r="O12279" t="s">
        <v>42670</v>
      </c>
      <c r="P12279">
        <v>0</v>
      </c>
      <c r="Q12279">
        <v>2</v>
      </c>
      <c r="R12279" t="s">
        <v>42689</v>
      </c>
      <c r="S12279" t="s">
        <v>43461</v>
      </c>
      <c r="T12279" t="s">
        <v>44387</v>
      </c>
      <c r="U12279" t="s">
        <v>54843</v>
      </c>
      <c r="V12279" t="s">
        <v>57773</v>
      </c>
      <c r="W12279" t="s">
        <v>42311</v>
      </c>
      <c r="X12279" t="s">
        <v>42690</v>
      </c>
    </row>
    <row r="12280" spans="1:24">
      <c r="A12280">
        <f>HYPERLINK("https://www.philgeps.gov.ph/GEPSNONPILOT/Tender/SplashBidNoticeAbstractUI.aspx?menuIndex=3&amp;refID=7161063&amp;Result=3","7161063")</f>
        <v>0</v>
      </c>
      <c r="B12280" t="s">
        <v>3331</v>
      </c>
      <c r="C12280" t="s">
        <v>15271</v>
      </c>
      <c r="E12280" t="s">
        <v>27051</v>
      </c>
      <c r="F12280" t="s">
        <v>29375</v>
      </c>
      <c r="G12280" t="s">
        <v>29380</v>
      </c>
      <c r="H12280" t="s">
        <v>11048</v>
      </c>
      <c r="I12280" t="s">
        <v>4709</v>
      </c>
      <c r="J12280" t="s">
        <v>33302</v>
      </c>
      <c r="K12280" t="s">
        <v>38490</v>
      </c>
      <c r="M12280" t="s">
        <v>42418</v>
      </c>
      <c r="N12280" t="s">
        <v>42669</v>
      </c>
      <c r="O12280" t="s">
        <v>42670</v>
      </c>
      <c r="P12280">
        <v>0</v>
      </c>
      <c r="Q12280">
        <v>0</v>
      </c>
      <c r="R12280" t="s">
        <v>42689</v>
      </c>
      <c r="S12280" t="s">
        <v>43461</v>
      </c>
      <c r="T12280" t="s">
        <v>44512</v>
      </c>
      <c r="U12280" t="s">
        <v>54219</v>
      </c>
      <c r="W12280" t="s">
        <v>42418</v>
      </c>
      <c r="X12280" t="s">
        <v>42690</v>
      </c>
    </row>
    <row r="12281" spans="1:24">
      <c r="A12281">
        <f>HYPERLINK("https://www.philgeps.gov.ph/GEPSNONPILOT/Tender/SplashBidNoticeAbstractUI.aspx?menuIndex=3&amp;refID=7161094&amp;Result=3","7161094")</f>
        <v>0</v>
      </c>
      <c r="B12281" t="s">
        <v>3313</v>
      </c>
      <c r="C12281" t="s">
        <v>15272</v>
      </c>
      <c r="D12281" t="s">
        <v>17204</v>
      </c>
      <c r="E12281" t="s">
        <v>27692</v>
      </c>
      <c r="F12281" t="s">
        <v>29372</v>
      </c>
      <c r="G12281" t="s">
        <v>29380</v>
      </c>
      <c r="H12281" t="s">
        <v>11048</v>
      </c>
      <c r="I12281" t="s">
        <v>29423</v>
      </c>
      <c r="J12281" t="s">
        <v>31110</v>
      </c>
      <c r="K12281" t="s">
        <v>38614</v>
      </c>
      <c r="M12281" t="s">
        <v>42399</v>
      </c>
      <c r="N12281" t="s">
        <v>42669</v>
      </c>
      <c r="O12281" t="s">
        <v>42670</v>
      </c>
      <c r="P12281">
        <v>0</v>
      </c>
      <c r="Q12281">
        <v>4</v>
      </c>
      <c r="R12281" t="s">
        <v>42689</v>
      </c>
      <c r="S12281" t="s">
        <v>43461</v>
      </c>
      <c r="T12281" t="s">
        <v>44427</v>
      </c>
      <c r="U12281" t="s">
        <v>54787</v>
      </c>
      <c r="W12281" t="s">
        <v>42399</v>
      </c>
      <c r="X12281" t="s">
        <v>42690</v>
      </c>
    </row>
    <row r="12282" spans="1:24">
      <c r="A12282">
        <f>HYPERLINK("https://www.philgeps.gov.ph/GEPSNONPILOT/Tender/SplashBidNoticeAbstractUI.aspx?menuIndex=3&amp;refID=7160642&amp;Result=3","7160642")</f>
        <v>0</v>
      </c>
      <c r="B12282" t="s">
        <v>3304</v>
      </c>
      <c r="C12282" t="s">
        <v>15273</v>
      </c>
      <c r="D12282" t="s">
        <v>17168</v>
      </c>
      <c r="E12282" t="s">
        <v>27693</v>
      </c>
      <c r="F12282" t="s">
        <v>29372</v>
      </c>
      <c r="G12282" t="s">
        <v>29380</v>
      </c>
      <c r="H12282" t="s">
        <v>11048</v>
      </c>
      <c r="I12282" t="s">
        <v>3695</v>
      </c>
      <c r="J12282" t="s">
        <v>37283</v>
      </c>
      <c r="K12282" t="s">
        <v>38510</v>
      </c>
      <c r="M12282" t="s">
        <v>42389</v>
      </c>
      <c r="N12282" t="s">
        <v>42669</v>
      </c>
      <c r="O12282" t="s">
        <v>42670</v>
      </c>
      <c r="P12282">
        <v>0</v>
      </c>
      <c r="Q12282">
        <v>8</v>
      </c>
      <c r="R12282" t="s">
        <v>42689</v>
      </c>
      <c r="S12282" t="s">
        <v>43461</v>
      </c>
      <c r="T12282" t="s">
        <v>44382</v>
      </c>
      <c r="U12282" t="s">
        <v>54844</v>
      </c>
      <c r="V12282" t="s">
        <v>57774</v>
      </c>
      <c r="W12282" t="s">
        <v>42389</v>
      </c>
      <c r="X12282" t="s">
        <v>42690</v>
      </c>
    </row>
    <row r="12283" spans="1:24">
      <c r="A12283">
        <f>HYPERLINK("https://www.philgeps.gov.ph/GEPSNONPILOT/Tender/SplashBidNoticeAbstractUI.aspx?menuIndex=3&amp;refID=7160875&amp;Result=3","7160875")</f>
        <v>0</v>
      </c>
      <c r="B12283" t="s">
        <v>1428</v>
      </c>
      <c r="C12283" t="s">
        <v>15274</v>
      </c>
      <c r="D12283" t="s">
        <v>17171</v>
      </c>
      <c r="E12283" t="s">
        <v>27694</v>
      </c>
      <c r="F12283" t="s">
        <v>29372</v>
      </c>
      <c r="G12283" t="s">
        <v>29380</v>
      </c>
      <c r="H12283" t="s">
        <v>29389</v>
      </c>
      <c r="I12283" t="s">
        <v>10408</v>
      </c>
      <c r="J12283" t="s">
        <v>33477</v>
      </c>
      <c r="K12283" t="s">
        <v>38503</v>
      </c>
      <c r="M12283" t="s">
        <v>40268</v>
      </c>
      <c r="N12283" t="s">
        <v>42669</v>
      </c>
      <c r="O12283" t="s">
        <v>42670</v>
      </c>
      <c r="P12283">
        <v>0</v>
      </c>
      <c r="Q12283">
        <v>10</v>
      </c>
      <c r="R12283" t="s">
        <v>42689</v>
      </c>
      <c r="S12283" t="s">
        <v>43461</v>
      </c>
      <c r="T12283" t="s">
        <v>44631</v>
      </c>
      <c r="U12283" t="s">
        <v>54845</v>
      </c>
      <c r="W12283" t="s">
        <v>40268</v>
      </c>
      <c r="X12283" t="s">
        <v>42690</v>
      </c>
    </row>
    <row r="12284" spans="1:24">
      <c r="A12284">
        <f>HYPERLINK("https://www.philgeps.gov.ph/GEPSNONPILOT/Tender/SplashBidNoticeAbstractUI.aspx?menuIndex=3&amp;refID=7161166&amp;Result=3","7161166")</f>
        <v>0</v>
      </c>
      <c r="B12284" t="s">
        <v>3332</v>
      </c>
      <c r="C12284" t="s">
        <v>15275</v>
      </c>
      <c r="D12284" t="s">
        <v>17187</v>
      </c>
      <c r="E12284" t="s">
        <v>27695</v>
      </c>
      <c r="F12284" t="s">
        <v>29372</v>
      </c>
      <c r="G12284" t="s">
        <v>29380</v>
      </c>
      <c r="H12284" t="s">
        <v>29390</v>
      </c>
      <c r="I12284" t="s">
        <v>29392</v>
      </c>
      <c r="J12284" t="s">
        <v>29937</v>
      </c>
      <c r="K12284" t="s">
        <v>38485</v>
      </c>
      <c r="M12284" t="s">
        <v>42419</v>
      </c>
      <c r="N12284" t="s">
        <v>42669</v>
      </c>
      <c r="O12284" t="s">
        <v>42670</v>
      </c>
      <c r="P12284">
        <v>0</v>
      </c>
      <c r="Q12284">
        <v>4</v>
      </c>
      <c r="R12284" t="s">
        <v>42689</v>
      </c>
      <c r="S12284" t="s">
        <v>43461</v>
      </c>
      <c r="T12284" t="s">
        <v>44510</v>
      </c>
      <c r="U12284" t="s">
        <v>54846</v>
      </c>
      <c r="W12284" t="s">
        <v>42419</v>
      </c>
      <c r="X12284" t="s">
        <v>42690</v>
      </c>
    </row>
    <row r="12285" spans="1:24">
      <c r="A12285">
        <f>HYPERLINK("https://www.philgeps.gov.ph/GEPSNONPILOT/Tender/SplashBidNoticeAbstractUI.aspx?menuIndex=3&amp;refID=7160665&amp;Result=3","7160665")</f>
        <v>0</v>
      </c>
      <c r="B12285" t="s">
        <v>2349</v>
      </c>
      <c r="C12285" t="s">
        <v>15276</v>
      </c>
      <c r="D12285" t="s">
        <v>17187</v>
      </c>
      <c r="E12285" t="s">
        <v>27696</v>
      </c>
      <c r="F12285" t="s">
        <v>29372</v>
      </c>
      <c r="G12285" t="s">
        <v>29380</v>
      </c>
      <c r="H12285" t="s">
        <v>11048</v>
      </c>
      <c r="I12285" t="s">
        <v>29414</v>
      </c>
      <c r="J12285" t="s">
        <v>37284</v>
      </c>
      <c r="K12285" t="s">
        <v>38518</v>
      </c>
      <c r="M12285" t="s">
        <v>41282</v>
      </c>
      <c r="N12285" t="s">
        <v>42669</v>
      </c>
      <c r="O12285" t="s">
        <v>42670</v>
      </c>
      <c r="P12285">
        <v>0</v>
      </c>
      <c r="Q12285">
        <v>26</v>
      </c>
      <c r="R12285" t="s">
        <v>42689</v>
      </c>
      <c r="S12285" t="s">
        <v>43461</v>
      </c>
      <c r="T12285" t="s">
        <v>44427</v>
      </c>
      <c r="U12285" t="s">
        <v>54769</v>
      </c>
      <c r="W12285" t="s">
        <v>41282</v>
      </c>
      <c r="X12285" t="s">
        <v>42690</v>
      </c>
    </row>
    <row r="12286" spans="1:24">
      <c r="A12286">
        <f>HYPERLINK("https://www.philgeps.gov.ph/GEPSNONPILOT/Tender/SplashBidNoticeAbstractUI.aspx?menuIndex=3&amp;refID=7161372&amp;Result=3","7161372")</f>
        <v>0</v>
      </c>
      <c r="B12286" t="s">
        <v>170</v>
      </c>
      <c r="C12286" t="s">
        <v>15277</v>
      </c>
      <c r="D12286" t="s">
        <v>17195</v>
      </c>
      <c r="E12286" t="s">
        <v>27697</v>
      </c>
      <c r="F12286" t="s">
        <v>29372</v>
      </c>
      <c r="G12286" t="s">
        <v>29379</v>
      </c>
      <c r="H12286" t="s">
        <v>11048</v>
      </c>
      <c r="I12286" t="s">
        <v>29400</v>
      </c>
      <c r="J12286" t="s">
        <v>37285</v>
      </c>
      <c r="K12286" t="s">
        <v>38495</v>
      </c>
      <c r="M12286" t="s">
        <v>38927</v>
      </c>
      <c r="N12286" t="s">
        <v>42669</v>
      </c>
      <c r="O12286" t="s">
        <v>42670</v>
      </c>
      <c r="P12286">
        <v>0</v>
      </c>
      <c r="Q12286">
        <v>0</v>
      </c>
      <c r="R12286" t="s">
        <v>42689</v>
      </c>
      <c r="S12286" t="s">
        <v>43461</v>
      </c>
      <c r="T12286" t="s">
        <v>44401</v>
      </c>
      <c r="U12286" t="s">
        <v>47920</v>
      </c>
      <c r="W12286" t="s">
        <v>38927</v>
      </c>
      <c r="X12286" t="s">
        <v>42690</v>
      </c>
    </row>
    <row r="12287" spans="1:24">
      <c r="A12287">
        <f>HYPERLINK("https://www.philgeps.gov.ph/GEPSNONPILOT/Tender/SplashBidNoticeAbstractUI.aspx?menuIndex=3&amp;refID=7161330&amp;Result=3","7161330")</f>
        <v>0</v>
      </c>
      <c r="B12287" t="s">
        <v>1046</v>
      </c>
      <c r="C12287" t="s">
        <v>15278</v>
      </c>
      <c r="D12287" t="s">
        <v>17178</v>
      </c>
      <c r="E12287" t="s">
        <v>27698</v>
      </c>
      <c r="F12287" t="s">
        <v>29372</v>
      </c>
      <c r="G12287" t="s">
        <v>29380</v>
      </c>
      <c r="H12287" t="s">
        <v>11048</v>
      </c>
      <c r="I12287" t="s">
        <v>4709</v>
      </c>
      <c r="J12287" t="s">
        <v>37286</v>
      </c>
      <c r="K12287" t="s">
        <v>38496</v>
      </c>
      <c r="M12287" t="s">
        <v>39851</v>
      </c>
      <c r="N12287" t="s">
        <v>42669</v>
      </c>
      <c r="O12287" t="s">
        <v>42670</v>
      </c>
      <c r="P12287">
        <v>0</v>
      </c>
      <c r="Q12287">
        <v>3</v>
      </c>
      <c r="R12287" t="s">
        <v>42689</v>
      </c>
      <c r="S12287" t="s">
        <v>43461</v>
      </c>
      <c r="T12287" t="s">
        <v>44488</v>
      </c>
      <c r="U12287" t="s">
        <v>54847</v>
      </c>
      <c r="W12287" t="s">
        <v>39851</v>
      </c>
      <c r="X12287" t="s">
        <v>42690</v>
      </c>
    </row>
    <row r="12288" spans="1:24">
      <c r="A12288">
        <f>HYPERLINK("https://www.philgeps.gov.ph/GEPSNONPILOT/Tender/SplashBidNoticeAbstractUI.aspx?menuIndex=3&amp;refID=7161066&amp;Result=3","7161066")</f>
        <v>0</v>
      </c>
      <c r="B12288" t="s">
        <v>1782</v>
      </c>
      <c r="C12288" t="s">
        <v>15279</v>
      </c>
      <c r="D12288" t="s">
        <v>17177</v>
      </c>
      <c r="E12288" t="s">
        <v>27699</v>
      </c>
      <c r="F12288" t="s">
        <v>29372</v>
      </c>
      <c r="G12288" t="s">
        <v>29380</v>
      </c>
      <c r="H12288" t="s">
        <v>11048</v>
      </c>
      <c r="I12288" t="s">
        <v>29433</v>
      </c>
      <c r="J12288" t="s">
        <v>37287</v>
      </c>
      <c r="K12288" t="s">
        <v>38495</v>
      </c>
      <c r="M12288" t="s">
        <v>40651</v>
      </c>
      <c r="N12288" t="s">
        <v>42669</v>
      </c>
      <c r="O12288" t="s">
        <v>42670</v>
      </c>
      <c r="Q12288">
        <v>45</v>
      </c>
      <c r="R12288" t="s">
        <v>42689</v>
      </c>
      <c r="S12288" t="s">
        <v>43552</v>
      </c>
      <c r="T12288" t="s">
        <v>44387</v>
      </c>
      <c r="U12288" t="s">
        <v>48917</v>
      </c>
      <c r="W12288" t="s">
        <v>40651</v>
      </c>
      <c r="X12288" t="s">
        <v>42690</v>
      </c>
    </row>
    <row r="12289" spans="1:24">
      <c r="A12289">
        <f>HYPERLINK("https://www.philgeps.gov.ph/GEPSNONPILOT/Tender/SplashBidNoticeAbstractUI.aspx?menuIndex=3&amp;refID=7161355&amp;Result=3","7161355")</f>
        <v>0</v>
      </c>
      <c r="B12289" t="s">
        <v>1046</v>
      </c>
      <c r="C12289" t="s">
        <v>15280</v>
      </c>
      <c r="D12289" t="s">
        <v>17178</v>
      </c>
      <c r="E12289" t="s">
        <v>27700</v>
      </c>
      <c r="F12289" t="s">
        <v>29372</v>
      </c>
      <c r="G12289" t="s">
        <v>29380</v>
      </c>
      <c r="H12289" t="s">
        <v>11048</v>
      </c>
      <c r="I12289" t="s">
        <v>5383</v>
      </c>
      <c r="J12289" t="s">
        <v>37288</v>
      </c>
      <c r="K12289" t="s">
        <v>38485</v>
      </c>
      <c r="M12289" t="s">
        <v>39851</v>
      </c>
      <c r="N12289" t="s">
        <v>42669</v>
      </c>
      <c r="O12289" t="s">
        <v>42670</v>
      </c>
      <c r="P12289">
        <v>0</v>
      </c>
      <c r="Q12289">
        <v>2</v>
      </c>
      <c r="R12289" t="s">
        <v>42689</v>
      </c>
      <c r="S12289" t="s">
        <v>43461</v>
      </c>
      <c r="T12289" t="s">
        <v>44488</v>
      </c>
      <c r="U12289" t="s">
        <v>54847</v>
      </c>
      <c r="W12289" t="s">
        <v>39851</v>
      </c>
      <c r="X12289" t="s">
        <v>42690</v>
      </c>
    </row>
    <row r="12290" spans="1:24">
      <c r="A12290">
        <f>HYPERLINK("https://www.philgeps.gov.ph/GEPSNONPILOT/Tender/SplashBidNoticeAbstractUI.aspx?menuIndex=3&amp;refID=7161317&amp;Result=3","7161317")</f>
        <v>0</v>
      </c>
      <c r="B12290" t="s">
        <v>832</v>
      </c>
      <c r="C12290" t="s">
        <v>15281</v>
      </c>
      <c r="E12290" t="s">
        <v>27701</v>
      </c>
      <c r="F12290" t="s">
        <v>29372</v>
      </c>
      <c r="G12290" t="s">
        <v>29379</v>
      </c>
      <c r="H12290" t="s">
        <v>11048</v>
      </c>
      <c r="I12290" t="s">
        <v>29485</v>
      </c>
      <c r="J12290" t="s">
        <v>33869</v>
      </c>
      <c r="K12290" t="s">
        <v>38490</v>
      </c>
      <c r="M12290" t="s">
        <v>39621</v>
      </c>
      <c r="N12290" t="s">
        <v>42669</v>
      </c>
      <c r="O12290" t="s">
        <v>42670</v>
      </c>
      <c r="Q12290">
        <v>14</v>
      </c>
      <c r="R12290" t="s">
        <v>42689</v>
      </c>
      <c r="S12290" t="s">
        <v>43553</v>
      </c>
      <c r="T12290" t="s">
        <v>44481</v>
      </c>
      <c r="U12290" t="s">
        <v>54238</v>
      </c>
      <c r="W12290" t="s">
        <v>39621</v>
      </c>
      <c r="X12290" t="s">
        <v>42690</v>
      </c>
    </row>
    <row r="12291" spans="1:24">
      <c r="A12291">
        <f>HYPERLINK("https://www.philgeps.gov.ph/GEPSNONPILOT/Tender/SplashBidNoticeAbstractUI.aspx?menuIndex=3&amp;refID=7161311&amp;Result=3","7161311")</f>
        <v>0</v>
      </c>
      <c r="B12291" t="s">
        <v>170</v>
      </c>
      <c r="C12291" t="s">
        <v>15282</v>
      </c>
      <c r="D12291" t="s">
        <v>17195</v>
      </c>
      <c r="E12291" t="s">
        <v>27702</v>
      </c>
      <c r="F12291" t="s">
        <v>29372</v>
      </c>
      <c r="G12291" t="s">
        <v>29379</v>
      </c>
      <c r="H12291" t="s">
        <v>11048</v>
      </c>
      <c r="I12291" t="s">
        <v>5383</v>
      </c>
      <c r="J12291" t="s">
        <v>37289</v>
      </c>
      <c r="K12291" t="s">
        <v>38495</v>
      </c>
      <c r="M12291" t="s">
        <v>38927</v>
      </c>
      <c r="N12291" t="s">
        <v>42669</v>
      </c>
      <c r="O12291" t="s">
        <v>42670</v>
      </c>
      <c r="P12291">
        <v>0</v>
      </c>
      <c r="Q12291">
        <v>0</v>
      </c>
      <c r="R12291" t="s">
        <v>42689</v>
      </c>
      <c r="S12291" t="s">
        <v>43461</v>
      </c>
      <c r="T12291" t="s">
        <v>44401</v>
      </c>
      <c r="U12291" t="s">
        <v>47920</v>
      </c>
      <c r="W12291" t="s">
        <v>38927</v>
      </c>
      <c r="X12291" t="s">
        <v>42690</v>
      </c>
    </row>
    <row r="12292" spans="1:24">
      <c r="A12292">
        <f>HYPERLINK("https://www.philgeps.gov.ph/GEPSNONPILOT/Tender/SplashBidNoticeAbstractUI.aspx?menuIndex=3&amp;refID=7161099&amp;Result=3","7161099")</f>
        <v>0</v>
      </c>
      <c r="B12292" t="s">
        <v>3273</v>
      </c>
      <c r="C12292" t="s">
        <v>15283</v>
      </c>
      <c r="D12292" t="s">
        <v>17195</v>
      </c>
      <c r="E12292" t="s">
        <v>27703</v>
      </c>
      <c r="F12292" t="s">
        <v>29372</v>
      </c>
      <c r="G12292" t="s">
        <v>29380</v>
      </c>
      <c r="H12292" t="s">
        <v>29389</v>
      </c>
      <c r="I12292" t="s">
        <v>10408</v>
      </c>
      <c r="J12292" t="s">
        <v>37290</v>
      </c>
      <c r="K12292" t="s">
        <v>38551</v>
      </c>
      <c r="M12292" t="s">
        <v>42345</v>
      </c>
      <c r="N12292" t="s">
        <v>42669</v>
      </c>
      <c r="O12292" t="s">
        <v>42670</v>
      </c>
      <c r="P12292">
        <v>0</v>
      </c>
      <c r="Q12292">
        <v>4</v>
      </c>
      <c r="R12292" t="s">
        <v>42689</v>
      </c>
      <c r="S12292" t="s">
        <v>43461</v>
      </c>
      <c r="T12292" t="s">
        <v>44409</v>
      </c>
      <c r="U12292" t="s">
        <v>54848</v>
      </c>
      <c r="W12292" t="s">
        <v>58121</v>
      </c>
      <c r="X12292" t="s">
        <v>42690</v>
      </c>
    </row>
    <row r="12293" spans="1:24">
      <c r="A12293">
        <f>HYPERLINK("https://www.philgeps.gov.ph/GEPSNONPILOT/Tender/SplashBidNoticeAbstractUI.aspx?menuIndex=3&amp;refID=7161283&amp;Result=3","7161283")</f>
        <v>0</v>
      </c>
      <c r="B12293" t="s">
        <v>126</v>
      </c>
      <c r="C12293" t="s">
        <v>15284</v>
      </c>
      <c r="D12293" t="s">
        <v>17177</v>
      </c>
      <c r="E12293" t="s">
        <v>27704</v>
      </c>
      <c r="F12293" t="s">
        <v>29372</v>
      </c>
      <c r="G12293" t="s">
        <v>29380</v>
      </c>
      <c r="H12293" t="s">
        <v>29389</v>
      </c>
      <c r="I12293" t="s">
        <v>10408</v>
      </c>
      <c r="J12293" t="s">
        <v>32431</v>
      </c>
      <c r="K12293" t="s">
        <v>38533</v>
      </c>
      <c r="M12293" t="s">
        <v>39314</v>
      </c>
      <c r="N12293" t="s">
        <v>42669</v>
      </c>
      <c r="O12293" t="s">
        <v>42670</v>
      </c>
      <c r="P12293">
        <v>0</v>
      </c>
      <c r="Q12293">
        <v>2</v>
      </c>
      <c r="R12293" t="s">
        <v>42689</v>
      </c>
      <c r="S12293" t="s">
        <v>43461</v>
      </c>
      <c r="T12293" t="s">
        <v>44369</v>
      </c>
      <c r="U12293" t="s">
        <v>46038</v>
      </c>
      <c r="V12293" t="s">
        <v>57775</v>
      </c>
      <c r="W12293" t="s">
        <v>39314</v>
      </c>
      <c r="X12293" t="s">
        <v>42690</v>
      </c>
    </row>
    <row r="12294" spans="1:24">
      <c r="A12294">
        <f>HYPERLINK("https://www.philgeps.gov.ph/GEPSNONPILOT/Tender/SplashBidNoticeAbstractUI.aspx?menuIndex=3&amp;refID=7161240&amp;Result=3","7161240")</f>
        <v>0</v>
      </c>
      <c r="B12294" t="s">
        <v>3333</v>
      </c>
      <c r="C12294" t="s">
        <v>15285</v>
      </c>
      <c r="D12294" t="s">
        <v>17200</v>
      </c>
      <c r="E12294" t="s">
        <v>27705</v>
      </c>
      <c r="F12294" t="s">
        <v>29372</v>
      </c>
      <c r="G12294" t="s">
        <v>29380</v>
      </c>
      <c r="H12294" t="s">
        <v>11048</v>
      </c>
      <c r="I12294" t="s">
        <v>9642</v>
      </c>
      <c r="J12294" t="s">
        <v>37291</v>
      </c>
      <c r="K12294" t="s">
        <v>38530</v>
      </c>
      <c r="M12294" t="s">
        <v>42420</v>
      </c>
      <c r="N12294" t="s">
        <v>42669</v>
      </c>
      <c r="O12294" t="s">
        <v>42670</v>
      </c>
      <c r="Q12294">
        <v>16</v>
      </c>
      <c r="R12294" t="s">
        <v>42689</v>
      </c>
      <c r="S12294" t="s">
        <v>43554</v>
      </c>
      <c r="T12294" t="s">
        <v>44366</v>
      </c>
      <c r="U12294" t="s">
        <v>54849</v>
      </c>
      <c r="W12294" t="s">
        <v>58125</v>
      </c>
      <c r="X12294" t="s">
        <v>42690</v>
      </c>
    </row>
    <row r="12295" spans="1:24">
      <c r="A12295">
        <f>HYPERLINK("https://www.philgeps.gov.ph/GEPSNONPILOT/Tender/SplashBidNoticeAbstractUI.aspx?menuIndex=3&amp;refID=7161363&amp;Result=3","7161363")</f>
        <v>0</v>
      </c>
      <c r="B12295" t="s">
        <v>1046</v>
      </c>
      <c r="C12295" t="s">
        <v>15286</v>
      </c>
      <c r="D12295" t="s">
        <v>17178</v>
      </c>
      <c r="E12295" t="s">
        <v>27706</v>
      </c>
      <c r="F12295" t="s">
        <v>29372</v>
      </c>
      <c r="G12295" t="s">
        <v>29380</v>
      </c>
      <c r="H12295" t="s">
        <v>11048</v>
      </c>
      <c r="I12295" t="s">
        <v>3629</v>
      </c>
      <c r="J12295" t="s">
        <v>37292</v>
      </c>
      <c r="K12295" t="s">
        <v>38488</v>
      </c>
      <c r="M12295" t="s">
        <v>39851</v>
      </c>
      <c r="N12295" t="s">
        <v>42669</v>
      </c>
      <c r="O12295" t="s">
        <v>42670</v>
      </c>
      <c r="P12295">
        <v>0</v>
      </c>
      <c r="Q12295">
        <v>1</v>
      </c>
      <c r="R12295" t="s">
        <v>42689</v>
      </c>
      <c r="S12295" t="s">
        <v>43461</v>
      </c>
      <c r="T12295" t="s">
        <v>44488</v>
      </c>
      <c r="U12295" t="s">
        <v>54847</v>
      </c>
      <c r="W12295" t="s">
        <v>39851</v>
      </c>
      <c r="X12295" t="s">
        <v>42690</v>
      </c>
    </row>
    <row r="12296" spans="1:24">
      <c r="A12296">
        <f>HYPERLINK("https://www.philgeps.gov.ph/GEPSNONPILOT/Tender/SplashBidNoticeAbstractUI.aspx?menuIndex=3&amp;refID=7161329&amp;Result=3","7161329")</f>
        <v>0</v>
      </c>
      <c r="B12296" t="s">
        <v>1797</v>
      </c>
      <c r="C12296" t="s">
        <v>15287</v>
      </c>
      <c r="D12296" t="s">
        <v>17201</v>
      </c>
      <c r="E12296" t="s">
        <v>27707</v>
      </c>
      <c r="F12296" t="s">
        <v>29372</v>
      </c>
      <c r="G12296" t="s">
        <v>29380</v>
      </c>
      <c r="H12296" t="s">
        <v>11048</v>
      </c>
      <c r="I12296" t="s">
        <v>3839</v>
      </c>
      <c r="J12296" t="s">
        <v>37293</v>
      </c>
      <c r="K12296" t="s">
        <v>38488</v>
      </c>
      <c r="M12296" t="s">
        <v>40668</v>
      </c>
      <c r="N12296" t="s">
        <v>42669</v>
      </c>
      <c r="O12296" t="s">
        <v>42670</v>
      </c>
      <c r="Q12296">
        <v>11</v>
      </c>
      <c r="R12296" t="s">
        <v>42689</v>
      </c>
      <c r="S12296" t="s">
        <v>43555</v>
      </c>
      <c r="T12296" t="s">
        <v>44427</v>
      </c>
      <c r="U12296" t="s">
        <v>54850</v>
      </c>
      <c r="W12296" t="s">
        <v>40668</v>
      </c>
      <c r="X12296" t="s">
        <v>42690</v>
      </c>
    </row>
    <row r="12297" spans="1:24">
      <c r="A12297">
        <f>HYPERLINK("https://www.philgeps.gov.ph/GEPSNONPILOT/Tender/SplashBidNoticeAbstractUI.aspx?menuIndex=3&amp;refID=7161334&amp;Result=3","7161334")</f>
        <v>0</v>
      </c>
      <c r="B12297" t="s">
        <v>1810</v>
      </c>
      <c r="C12297" t="s">
        <v>15288</v>
      </c>
      <c r="D12297" t="s">
        <v>17168</v>
      </c>
      <c r="E12297" t="s">
        <v>27708</v>
      </c>
      <c r="F12297" t="s">
        <v>29372</v>
      </c>
      <c r="G12297" t="s">
        <v>29380</v>
      </c>
      <c r="H12297" t="s">
        <v>29389</v>
      </c>
      <c r="I12297" t="s">
        <v>10408</v>
      </c>
      <c r="J12297" t="s">
        <v>34754</v>
      </c>
      <c r="K12297" t="s">
        <v>38722</v>
      </c>
      <c r="M12297" t="s">
        <v>40681</v>
      </c>
      <c r="N12297" t="s">
        <v>42669</v>
      </c>
      <c r="O12297" t="s">
        <v>42670</v>
      </c>
      <c r="Q12297">
        <v>0</v>
      </c>
      <c r="R12297" t="s">
        <v>42689</v>
      </c>
      <c r="S12297" t="s">
        <v>43556</v>
      </c>
      <c r="T12297" t="s">
        <v>44427</v>
      </c>
      <c r="U12297" t="s">
        <v>54851</v>
      </c>
      <c r="W12297" t="s">
        <v>40681</v>
      </c>
      <c r="X12297" t="s">
        <v>42690</v>
      </c>
    </row>
    <row r="12298" spans="1:24">
      <c r="A12298">
        <f>HYPERLINK("https://www.philgeps.gov.ph/GEPSNONPILOT/Tender/SplashBidNoticeAbstractUI.aspx?menuIndex=3&amp;refID=7161415&amp;Result=3","7161415")</f>
        <v>0</v>
      </c>
      <c r="B12298" t="s">
        <v>501</v>
      </c>
      <c r="C12298" t="s">
        <v>15289</v>
      </c>
      <c r="D12298" t="s">
        <v>17206</v>
      </c>
      <c r="E12298" t="s">
        <v>18255</v>
      </c>
      <c r="F12298" t="s">
        <v>29372</v>
      </c>
      <c r="G12298" t="s">
        <v>29380</v>
      </c>
      <c r="H12298" t="s">
        <v>29389</v>
      </c>
      <c r="I12298" t="s">
        <v>10408</v>
      </c>
      <c r="J12298" t="s">
        <v>37294</v>
      </c>
      <c r="K12298" t="s">
        <v>38487</v>
      </c>
      <c r="M12298" t="s">
        <v>39266</v>
      </c>
      <c r="N12298" t="s">
        <v>42669</v>
      </c>
      <c r="O12298" t="s">
        <v>42670</v>
      </c>
      <c r="P12298">
        <v>0</v>
      </c>
      <c r="Q12298">
        <v>4</v>
      </c>
      <c r="R12298" t="s">
        <v>42689</v>
      </c>
      <c r="S12298" t="s">
        <v>43461</v>
      </c>
      <c r="T12298" t="s">
        <v>44401</v>
      </c>
      <c r="U12298" t="s">
        <v>54852</v>
      </c>
      <c r="V12298" t="s">
        <v>57776</v>
      </c>
      <c r="W12298" t="s">
        <v>39266</v>
      </c>
      <c r="X12298" t="s">
        <v>42690</v>
      </c>
    </row>
    <row r="12299" spans="1:24">
      <c r="A12299">
        <f>HYPERLINK("https://www.philgeps.gov.ph/GEPSNONPILOT/Tender/SplashBidNoticeAbstractUI.aspx?menuIndex=3&amp;refID=7161314&amp;Result=3","7161314")</f>
        <v>0</v>
      </c>
      <c r="B12299" t="s">
        <v>1088</v>
      </c>
      <c r="C12299" t="s">
        <v>15290</v>
      </c>
      <c r="D12299" t="s">
        <v>17186</v>
      </c>
      <c r="E12299" t="s">
        <v>27709</v>
      </c>
      <c r="F12299" t="s">
        <v>29372</v>
      </c>
      <c r="G12299" t="s">
        <v>29380</v>
      </c>
      <c r="H12299" t="s">
        <v>11048</v>
      </c>
      <c r="I12299" t="s">
        <v>29481</v>
      </c>
      <c r="J12299" t="s">
        <v>37295</v>
      </c>
      <c r="K12299" t="s">
        <v>38533</v>
      </c>
      <c r="M12299" t="s">
        <v>39895</v>
      </c>
      <c r="N12299" t="s">
        <v>42669</v>
      </c>
      <c r="O12299" t="s">
        <v>42670</v>
      </c>
      <c r="P12299">
        <v>0</v>
      </c>
      <c r="Q12299">
        <v>12</v>
      </c>
      <c r="R12299" t="s">
        <v>42689</v>
      </c>
      <c r="S12299" t="s">
        <v>43461</v>
      </c>
      <c r="T12299" t="s">
        <v>44355</v>
      </c>
      <c r="U12299" t="s">
        <v>54853</v>
      </c>
      <c r="W12299" t="s">
        <v>39895</v>
      </c>
      <c r="X12299" t="s">
        <v>42690</v>
      </c>
    </row>
    <row r="12300" spans="1:24">
      <c r="A12300">
        <f>HYPERLINK("https://www.philgeps.gov.ph/GEPSNONPILOT/Tender/SplashBidNoticeAbstractUI.aspx?menuIndex=3&amp;refID=7161282&amp;Result=3","7161282")</f>
        <v>0</v>
      </c>
      <c r="B12300" t="s">
        <v>52</v>
      </c>
      <c r="C12300" t="s">
        <v>15291</v>
      </c>
      <c r="D12300" t="s">
        <v>17192</v>
      </c>
      <c r="E12300" t="s">
        <v>27710</v>
      </c>
      <c r="F12300" t="s">
        <v>29372</v>
      </c>
      <c r="G12300" t="s">
        <v>29379</v>
      </c>
      <c r="H12300" t="s">
        <v>11048</v>
      </c>
      <c r="I12300" t="s">
        <v>4486</v>
      </c>
      <c r="J12300" t="s">
        <v>37296</v>
      </c>
      <c r="K12300" t="s">
        <v>38530</v>
      </c>
      <c r="L12300" t="s">
        <v>52</v>
      </c>
      <c r="M12300" t="s">
        <v>38921</v>
      </c>
      <c r="N12300" t="s">
        <v>42669</v>
      </c>
      <c r="O12300" t="s">
        <v>42670</v>
      </c>
      <c r="Q12300">
        <v>4</v>
      </c>
      <c r="R12300" t="s">
        <v>42689</v>
      </c>
      <c r="S12300" t="s">
        <v>42998</v>
      </c>
      <c r="T12300" t="s">
        <v>44489</v>
      </c>
      <c r="U12300" t="s">
        <v>45160</v>
      </c>
      <c r="W12300" t="s">
        <v>38921</v>
      </c>
      <c r="X12300" t="s">
        <v>42690</v>
      </c>
    </row>
    <row r="12301" spans="1:24">
      <c r="A12301">
        <f>HYPERLINK("https://www.philgeps.gov.ph/GEPSNONPILOT/Tender/SplashBidNoticeAbstractUI.aspx?menuIndex=3&amp;refID=7161436&amp;Result=3","7161436")</f>
        <v>0</v>
      </c>
      <c r="B12301" t="s">
        <v>3140</v>
      </c>
      <c r="C12301" t="s">
        <v>15292</v>
      </c>
      <c r="D12301" t="s">
        <v>17158</v>
      </c>
      <c r="E12301" t="s">
        <v>27711</v>
      </c>
      <c r="F12301" t="s">
        <v>29372</v>
      </c>
      <c r="G12301" t="s">
        <v>29380</v>
      </c>
      <c r="H12301" t="s">
        <v>11048</v>
      </c>
      <c r="I12301" t="s">
        <v>29426</v>
      </c>
      <c r="J12301" t="s">
        <v>36105</v>
      </c>
      <c r="K12301" t="s">
        <v>38485</v>
      </c>
      <c r="M12301" t="s">
        <v>42186</v>
      </c>
      <c r="N12301" t="s">
        <v>42669</v>
      </c>
      <c r="O12301" t="s">
        <v>42670</v>
      </c>
      <c r="P12301">
        <v>0</v>
      </c>
      <c r="Q12301">
        <v>4</v>
      </c>
      <c r="R12301" t="s">
        <v>42689</v>
      </c>
      <c r="S12301" t="s">
        <v>43461</v>
      </c>
      <c r="T12301" t="s">
        <v>44470</v>
      </c>
      <c r="U12301" t="s">
        <v>54854</v>
      </c>
      <c r="W12301" t="s">
        <v>42186</v>
      </c>
      <c r="X12301" t="s">
        <v>42690</v>
      </c>
    </row>
    <row r="12302" spans="1:24">
      <c r="A12302">
        <f>HYPERLINK("https://www.philgeps.gov.ph/GEPSNONPILOT/Tender/SplashBidNoticeAbstractUI.aspx?menuIndex=3&amp;refID=7161441&amp;Result=3","7161441")</f>
        <v>0</v>
      </c>
      <c r="B12302" t="s">
        <v>1046</v>
      </c>
      <c r="C12302" t="s">
        <v>15293</v>
      </c>
      <c r="D12302" t="s">
        <v>17178</v>
      </c>
      <c r="E12302" t="s">
        <v>27712</v>
      </c>
      <c r="F12302" t="s">
        <v>29372</v>
      </c>
      <c r="G12302" t="s">
        <v>29380</v>
      </c>
      <c r="H12302" t="s">
        <v>11048</v>
      </c>
      <c r="I12302" t="s">
        <v>4709</v>
      </c>
      <c r="J12302" t="s">
        <v>37297</v>
      </c>
      <c r="K12302" t="s">
        <v>38485</v>
      </c>
      <c r="M12302" t="s">
        <v>39851</v>
      </c>
      <c r="N12302" t="s">
        <v>42669</v>
      </c>
      <c r="O12302" t="s">
        <v>42670</v>
      </c>
      <c r="P12302">
        <v>0</v>
      </c>
      <c r="Q12302">
        <v>8</v>
      </c>
      <c r="R12302" t="s">
        <v>42689</v>
      </c>
      <c r="S12302" t="s">
        <v>43461</v>
      </c>
      <c r="T12302" t="s">
        <v>44357</v>
      </c>
      <c r="U12302" t="s">
        <v>54855</v>
      </c>
      <c r="W12302" t="s">
        <v>39851</v>
      </c>
      <c r="X12302" t="s">
        <v>42690</v>
      </c>
    </row>
    <row r="12303" spans="1:24">
      <c r="A12303">
        <f>HYPERLINK("https://www.philgeps.gov.ph/GEPSNONPILOT/Tender/SplashBidNoticeAbstractUI.aspx?menuIndex=3&amp;refID=7161257&amp;Result=3","7161257")</f>
        <v>0</v>
      </c>
      <c r="B12303" t="s">
        <v>1543</v>
      </c>
      <c r="C12303" t="s">
        <v>15294</v>
      </c>
      <c r="E12303" t="s">
        <v>27713</v>
      </c>
      <c r="F12303" t="s">
        <v>29372</v>
      </c>
      <c r="G12303" t="s">
        <v>29380</v>
      </c>
      <c r="H12303" t="s">
        <v>11048</v>
      </c>
      <c r="I12303" t="s">
        <v>8614</v>
      </c>
      <c r="J12303" t="s">
        <v>37298</v>
      </c>
      <c r="K12303" t="s">
        <v>38490</v>
      </c>
      <c r="M12303" t="s">
        <v>40392</v>
      </c>
      <c r="N12303" t="s">
        <v>42669</v>
      </c>
      <c r="O12303" t="s">
        <v>42670</v>
      </c>
      <c r="Q12303">
        <v>4</v>
      </c>
      <c r="R12303" t="s">
        <v>42689</v>
      </c>
      <c r="S12303" t="s">
        <v>43557</v>
      </c>
      <c r="T12303" t="s">
        <v>44470</v>
      </c>
      <c r="U12303" t="s">
        <v>54856</v>
      </c>
      <c r="W12303" t="s">
        <v>40392</v>
      </c>
      <c r="X12303" t="s">
        <v>42690</v>
      </c>
    </row>
    <row r="12304" spans="1:24">
      <c r="A12304">
        <f>HYPERLINK("https://www.philgeps.gov.ph/GEPSNONPILOT/Tender/SplashBidNoticeAbstractUI.aspx?menuIndex=3&amp;refID=7161278&amp;Result=3","7161278")</f>
        <v>0</v>
      </c>
      <c r="B12304" t="s">
        <v>170</v>
      </c>
      <c r="C12304" t="s">
        <v>15295</v>
      </c>
      <c r="D12304" t="s">
        <v>17195</v>
      </c>
      <c r="E12304" t="s">
        <v>27714</v>
      </c>
      <c r="F12304" t="s">
        <v>29372</v>
      </c>
      <c r="G12304" t="s">
        <v>29379</v>
      </c>
      <c r="H12304" t="s">
        <v>11048</v>
      </c>
      <c r="I12304" t="s">
        <v>8208</v>
      </c>
      <c r="J12304" t="s">
        <v>37299</v>
      </c>
      <c r="K12304" t="s">
        <v>38495</v>
      </c>
      <c r="M12304" t="s">
        <v>38927</v>
      </c>
      <c r="N12304" t="s">
        <v>42669</v>
      </c>
      <c r="O12304" t="s">
        <v>42670</v>
      </c>
      <c r="P12304">
        <v>0</v>
      </c>
      <c r="Q12304">
        <v>0</v>
      </c>
      <c r="R12304" t="s">
        <v>42689</v>
      </c>
      <c r="S12304" t="s">
        <v>43461</v>
      </c>
      <c r="T12304" t="s">
        <v>44401</v>
      </c>
      <c r="U12304" t="s">
        <v>47920</v>
      </c>
      <c r="W12304" t="s">
        <v>38927</v>
      </c>
      <c r="X12304" t="s">
        <v>42690</v>
      </c>
    </row>
    <row r="12305" spans="1:24">
      <c r="A12305">
        <f>HYPERLINK("https://www.philgeps.gov.ph/GEPSNONPILOT/Tender/SplashBidNoticeAbstractUI.aspx?menuIndex=3&amp;refID=7161434&amp;Result=3","7161434")</f>
        <v>0</v>
      </c>
      <c r="B12305" t="s">
        <v>3334</v>
      </c>
      <c r="C12305" t="s">
        <v>15296</v>
      </c>
      <c r="D12305" t="s">
        <v>17196</v>
      </c>
      <c r="E12305" t="s">
        <v>17738</v>
      </c>
      <c r="F12305" t="s">
        <v>29372</v>
      </c>
      <c r="G12305" t="s">
        <v>29380</v>
      </c>
      <c r="H12305" t="s">
        <v>29389</v>
      </c>
      <c r="I12305" t="s">
        <v>10408</v>
      </c>
      <c r="J12305" t="s">
        <v>29724</v>
      </c>
      <c r="K12305" t="s">
        <v>38522</v>
      </c>
      <c r="M12305" t="s">
        <v>42421</v>
      </c>
      <c r="N12305" t="s">
        <v>42669</v>
      </c>
      <c r="O12305" t="s">
        <v>42670</v>
      </c>
      <c r="P12305">
        <v>0</v>
      </c>
      <c r="Q12305">
        <v>1</v>
      </c>
      <c r="R12305" t="s">
        <v>42689</v>
      </c>
      <c r="S12305" t="s">
        <v>43461</v>
      </c>
      <c r="T12305" t="s">
        <v>44387</v>
      </c>
      <c r="U12305" t="s">
        <v>54857</v>
      </c>
      <c r="W12305" t="s">
        <v>58126</v>
      </c>
      <c r="X12305" t="s">
        <v>42690</v>
      </c>
    </row>
    <row r="12306" spans="1:24">
      <c r="A12306">
        <f>HYPERLINK("https://www.philgeps.gov.ph/GEPSNONPILOT/Tender/SplashBidNoticeAbstractUI.aspx?menuIndex=3&amp;refID=7161233&amp;Result=3","7161233")</f>
        <v>0</v>
      </c>
      <c r="B12306" t="s">
        <v>413</v>
      </c>
      <c r="C12306" t="s">
        <v>15297</v>
      </c>
      <c r="D12306" t="s">
        <v>17187</v>
      </c>
      <c r="E12306" t="s">
        <v>27715</v>
      </c>
      <c r="F12306" t="s">
        <v>29372</v>
      </c>
      <c r="G12306" t="s">
        <v>29380</v>
      </c>
      <c r="H12306" t="s">
        <v>29389</v>
      </c>
      <c r="I12306" t="s">
        <v>10408</v>
      </c>
      <c r="J12306" t="s">
        <v>37300</v>
      </c>
      <c r="K12306" t="s">
        <v>38533</v>
      </c>
      <c r="M12306" t="s">
        <v>39177</v>
      </c>
      <c r="N12306" t="s">
        <v>42669</v>
      </c>
      <c r="O12306" t="s">
        <v>42670</v>
      </c>
      <c r="Q12306">
        <v>5</v>
      </c>
      <c r="R12306" t="s">
        <v>42689</v>
      </c>
      <c r="S12306" t="s">
        <v>43558</v>
      </c>
      <c r="T12306" t="s">
        <v>44554</v>
      </c>
      <c r="U12306" t="s">
        <v>54858</v>
      </c>
      <c r="V12306" t="s">
        <v>57777</v>
      </c>
      <c r="W12306" t="s">
        <v>39177</v>
      </c>
      <c r="X12306" t="s">
        <v>42690</v>
      </c>
    </row>
    <row r="12307" spans="1:24">
      <c r="A12307">
        <f>HYPERLINK("https://www.philgeps.gov.ph/GEPSNONPILOT/Tender/SplashBidNoticeAbstractUI.aspx?menuIndex=3&amp;refID=7161406&amp;Result=3","7161406")</f>
        <v>0</v>
      </c>
      <c r="B12307" t="s">
        <v>2758</v>
      </c>
      <c r="C12307" t="s">
        <v>15298</v>
      </c>
      <c r="D12307" t="s">
        <v>17144</v>
      </c>
      <c r="E12307" t="s">
        <v>27716</v>
      </c>
      <c r="F12307" t="s">
        <v>29372</v>
      </c>
      <c r="G12307" t="s">
        <v>29380</v>
      </c>
      <c r="H12307" t="s">
        <v>11048</v>
      </c>
      <c r="I12307" t="s">
        <v>5383</v>
      </c>
      <c r="J12307" t="s">
        <v>37301</v>
      </c>
      <c r="K12307" t="s">
        <v>38510</v>
      </c>
      <c r="M12307" t="s">
        <v>41743</v>
      </c>
      <c r="N12307" t="s">
        <v>42669</v>
      </c>
      <c r="O12307" t="s">
        <v>42670</v>
      </c>
      <c r="Q12307">
        <v>4</v>
      </c>
      <c r="R12307" t="s">
        <v>42689</v>
      </c>
      <c r="S12307" t="s">
        <v>43559</v>
      </c>
      <c r="T12307" t="s">
        <v>44375</v>
      </c>
      <c r="U12307" t="s">
        <v>54859</v>
      </c>
      <c r="V12307" t="s">
        <v>57778</v>
      </c>
      <c r="W12307" t="s">
        <v>41743</v>
      </c>
      <c r="X12307" t="s">
        <v>42690</v>
      </c>
    </row>
    <row r="12308" spans="1:24">
      <c r="A12308">
        <f>HYPERLINK("https://www.philgeps.gov.ph/GEPSNONPILOT/Tender/SplashBidNoticeAbstractUI.aspx?menuIndex=3&amp;refID=7161421&amp;Result=3","7161421")</f>
        <v>0</v>
      </c>
      <c r="B12308" t="s">
        <v>170</v>
      </c>
      <c r="C12308" t="s">
        <v>15299</v>
      </c>
      <c r="D12308" t="s">
        <v>17195</v>
      </c>
      <c r="E12308" t="s">
        <v>27717</v>
      </c>
      <c r="F12308" t="s">
        <v>29372</v>
      </c>
      <c r="G12308" t="s">
        <v>29379</v>
      </c>
      <c r="H12308" t="s">
        <v>11048</v>
      </c>
      <c r="I12308" t="s">
        <v>29393</v>
      </c>
      <c r="J12308" t="s">
        <v>37302</v>
      </c>
      <c r="K12308" t="s">
        <v>38495</v>
      </c>
      <c r="M12308" t="s">
        <v>38927</v>
      </c>
      <c r="N12308" t="s">
        <v>42669</v>
      </c>
      <c r="O12308" t="s">
        <v>42670</v>
      </c>
      <c r="P12308">
        <v>0</v>
      </c>
      <c r="Q12308">
        <v>0</v>
      </c>
      <c r="R12308" t="s">
        <v>42689</v>
      </c>
      <c r="S12308" t="s">
        <v>43461</v>
      </c>
      <c r="T12308" t="s">
        <v>44401</v>
      </c>
      <c r="U12308" t="s">
        <v>47920</v>
      </c>
      <c r="W12308" t="s">
        <v>38927</v>
      </c>
      <c r="X12308" t="s">
        <v>42690</v>
      </c>
    </row>
    <row r="12309" spans="1:24">
      <c r="A12309">
        <f>HYPERLINK("https://www.philgeps.gov.ph/GEPSNONPILOT/Tender/SplashBidNoticeAbstractUI.aspx?menuIndex=3&amp;refID=7161405&amp;Result=3","7161405")</f>
        <v>0</v>
      </c>
      <c r="B12309" t="s">
        <v>1046</v>
      </c>
      <c r="C12309" t="s">
        <v>15300</v>
      </c>
      <c r="D12309" t="s">
        <v>17178</v>
      </c>
      <c r="E12309" t="s">
        <v>27718</v>
      </c>
      <c r="F12309" t="s">
        <v>29372</v>
      </c>
      <c r="G12309" t="s">
        <v>29380</v>
      </c>
      <c r="H12309" t="s">
        <v>11048</v>
      </c>
      <c r="I12309" t="s">
        <v>4709</v>
      </c>
      <c r="J12309" t="s">
        <v>37303</v>
      </c>
      <c r="K12309" t="s">
        <v>38485</v>
      </c>
      <c r="M12309" t="s">
        <v>39851</v>
      </c>
      <c r="N12309" t="s">
        <v>42669</v>
      </c>
      <c r="O12309" t="s">
        <v>42670</v>
      </c>
      <c r="P12309">
        <v>0</v>
      </c>
      <c r="Q12309">
        <v>2</v>
      </c>
      <c r="R12309" t="s">
        <v>42689</v>
      </c>
      <c r="S12309" t="s">
        <v>43461</v>
      </c>
      <c r="T12309" t="s">
        <v>44357</v>
      </c>
      <c r="U12309" t="s">
        <v>54855</v>
      </c>
      <c r="W12309" t="s">
        <v>39851</v>
      </c>
      <c r="X12309" t="s">
        <v>42690</v>
      </c>
    </row>
    <row r="12310" spans="1:24">
      <c r="A12310">
        <f>HYPERLINK("https://www.philgeps.gov.ph/GEPSNONPILOT/Tender/SplashBidNoticeAbstractUI.aspx?menuIndex=3&amp;refID=7161403&amp;Result=3","7161403")</f>
        <v>0</v>
      </c>
      <c r="B12310" t="s">
        <v>1046</v>
      </c>
      <c r="C12310" t="s">
        <v>15301</v>
      </c>
      <c r="D12310" t="s">
        <v>17178</v>
      </c>
      <c r="E12310" t="s">
        <v>27719</v>
      </c>
      <c r="F12310" t="s">
        <v>29372</v>
      </c>
      <c r="G12310" t="s">
        <v>29380</v>
      </c>
      <c r="H12310" t="s">
        <v>11048</v>
      </c>
      <c r="I12310" t="s">
        <v>4709</v>
      </c>
      <c r="J12310" t="s">
        <v>37304</v>
      </c>
      <c r="K12310" t="s">
        <v>38485</v>
      </c>
      <c r="M12310" t="s">
        <v>39851</v>
      </c>
      <c r="N12310" t="s">
        <v>42669</v>
      </c>
      <c r="O12310" t="s">
        <v>42670</v>
      </c>
      <c r="P12310">
        <v>0</v>
      </c>
      <c r="Q12310">
        <v>1</v>
      </c>
      <c r="R12310" t="s">
        <v>42689</v>
      </c>
      <c r="S12310" t="s">
        <v>43461</v>
      </c>
      <c r="T12310" t="s">
        <v>44357</v>
      </c>
      <c r="U12310" t="s">
        <v>54855</v>
      </c>
      <c r="W12310" t="s">
        <v>39851</v>
      </c>
      <c r="X12310" t="s">
        <v>42690</v>
      </c>
    </row>
    <row r="12311" spans="1:24">
      <c r="A12311">
        <f>HYPERLINK("https://www.philgeps.gov.ph/GEPSNONPILOT/Tender/SplashBidNoticeAbstractUI.aspx?menuIndex=3&amp;refID=7161413&amp;Result=3","7161413")</f>
        <v>0</v>
      </c>
      <c r="B12311" t="s">
        <v>3334</v>
      </c>
      <c r="C12311" t="s">
        <v>15302</v>
      </c>
      <c r="D12311" t="s">
        <v>17196</v>
      </c>
      <c r="E12311" t="s">
        <v>17740</v>
      </c>
      <c r="F12311" t="s">
        <v>29372</v>
      </c>
      <c r="G12311" t="s">
        <v>29380</v>
      </c>
      <c r="H12311" t="s">
        <v>29389</v>
      </c>
      <c r="I12311" t="s">
        <v>10408</v>
      </c>
      <c r="J12311" t="s">
        <v>29615</v>
      </c>
      <c r="K12311" t="s">
        <v>38522</v>
      </c>
      <c r="M12311" t="s">
        <v>42421</v>
      </c>
      <c r="N12311" t="s">
        <v>42669</v>
      </c>
      <c r="O12311" t="s">
        <v>42670</v>
      </c>
      <c r="P12311">
        <v>0</v>
      </c>
      <c r="Q12311">
        <v>1</v>
      </c>
      <c r="R12311" t="s">
        <v>42689</v>
      </c>
      <c r="S12311" t="s">
        <v>43461</v>
      </c>
      <c r="T12311" t="s">
        <v>44387</v>
      </c>
      <c r="U12311" t="s">
        <v>54860</v>
      </c>
      <c r="W12311" t="s">
        <v>58126</v>
      </c>
      <c r="X12311" t="s">
        <v>42690</v>
      </c>
    </row>
    <row r="12312" spans="1:24">
      <c r="A12312">
        <f>HYPERLINK("https://www.philgeps.gov.ph/GEPSNONPILOT/Tender/SplashBidNoticeAbstractUI.aspx?menuIndex=3&amp;refID=7161390&amp;Result=3","7161390")</f>
        <v>0</v>
      </c>
      <c r="B12312" t="s">
        <v>170</v>
      </c>
      <c r="C12312" t="s">
        <v>15303</v>
      </c>
      <c r="D12312" t="s">
        <v>17195</v>
      </c>
      <c r="E12312" t="s">
        <v>27720</v>
      </c>
      <c r="F12312" t="s">
        <v>29372</v>
      </c>
      <c r="G12312" t="s">
        <v>29379</v>
      </c>
      <c r="H12312" t="s">
        <v>11048</v>
      </c>
      <c r="I12312" t="s">
        <v>14920</v>
      </c>
      <c r="J12312" t="s">
        <v>37305</v>
      </c>
      <c r="K12312" t="s">
        <v>38495</v>
      </c>
      <c r="M12312" t="s">
        <v>38927</v>
      </c>
      <c r="N12312" t="s">
        <v>42669</v>
      </c>
      <c r="O12312" t="s">
        <v>42670</v>
      </c>
      <c r="P12312">
        <v>0</v>
      </c>
      <c r="Q12312">
        <v>0</v>
      </c>
      <c r="R12312" t="s">
        <v>42689</v>
      </c>
      <c r="S12312" t="s">
        <v>43461</v>
      </c>
      <c r="T12312" t="s">
        <v>44401</v>
      </c>
      <c r="U12312" t="s">
        <v>47920</v>
      </c>
      <c r="W12312" t="s">
        <v>38927</v>
      </c>
      <c r="X12312" t="s">
        <v>42690</v>
      </c>
    </row>
    <row r="12313" spans="1:24">
      <c r="A12313">
        <f>HYPERLINK("https://www.philgeps.gov.ph/GEPSNONPILOT/Tender/SplashBidNoticeAbstractUI.aspx?menuIndex=3&amp;refID=7161419&amp;Result=3","7161419")</f>
        <v>0</v>
      </c>
      <c r="B12313" t="s">
        <v>3334</v>
      </c>
      <c r="C12313" t="s">
        <v>15304</v>
      </c>
      <c r="D12313" t="s">
        <v>17196</v>
      </c>
      <c r="E12313" t="s">
        <v>17768</v>
      </c>
      <c r="F12313" t="s">
        <v>29372</v>
      </c>
      <c r="G12313" t="s">
        <v>29380</v>
      </c>
      <c r="H12313" t="s">
        <v>29389</v>
      </c>
      <c r="I12313" t="s">
        <v>10408</v>
      </c>
      <c r="J12313" t="s">
        <v>30012</v>
      </c>
      <c r="K12313" t="s">
        <v>38533</v>
      </c>
      <c r="M12313" t="s">
        <v>42421</v>
      </c>
      <c r="N12313" t="s">
        <v>42669</v>
      </c>
      <c r="O12313" t="s">
        <v>42670</v>
      </c>
      <c r="P12313">
        <v>0</v>
      </c>
      <c r="Q12313">
        <v>2</v>
      </c>
      <c r="R12313" t="s">
        <v>42689</v>
      </c>
      <c r="S12313" t="s">
        <v>43461</v>
      </c>
      <c r="T12313" t="s">
        <v>44387</v>
      </c>
      <c r="U12313" t="s">
        <v>54861</v>
      </c>
      <c r="W12313" t="s">
        <v>58126</v>
      </c>
      <c r="X12313" t="s">
        <v>42690</v>
      </c>
    </row>
    <row r="12314" spans="1:24">
      <c r="A12314">
        <f>HYPERLINK("https://www.philgeps.gov.ph/GEPSNONPILOT/Tender/SplashBidNoticeAbstractUI.aspx?menuIndex=3&amp;refID=7161411&amp;Result=3","7161411")</f>
        <v>0</v>
      </c>
      <c r="B12314" t="s">
        <v>1046</v>
      </c>
      <c r="C12314" t="s">
        <v>15305</v>
      </c>
      <c r="D12314" t="s">
        <v>17178</v>
      </c>
      <c r="E12314" t="s">
        <v>27721</v>
      </c>
      <c r="F12314" t="s">
        <v>29372</v>
      </c>
      <c r="G12314" t="s">
        <v>29380</v>
      </c>
      <c r="H12314" t="s">
        <v>11048</v>
      </c>
      <c r="I12314" t="s">
        <v>4709</v>
      </c>
      <c r="J12314" t="s">
        <v>37306</v>
      </c>
      <c r="K12314" t="s">
        <v>38485</v>
      </c>
      <c r="M12314" t="s">
        <v>39851</v>
      </c>
      <c r="N12314" t="s">
        <v>42669</v>
      </c>
      <c r="O12314" t="s">
        <v>42670</v>
      </c>
      <c r="P12314">
        <v>0</v>
      </c>
      <c r="Q12314">
        <v>5</v>
      </c>
      <c r="R12314" t="s">
        <v>42689</v>
      </c>
      <c r="S12314" t="s">
        <v>43461</v>
      </c>
      <c r="T12314" t="s">
        <v>44357</v>
      </c>
      <c r="U12314" t="s">
        <v>54855</v>
      </c>
      <c r="W12314" t="s">
        <v>39851</v>
      </c>
      <c r="X12314" t="s">
        <v>42690</v>
      </c>
    </row>
    <row r="12315" spans="1:24">
      <c r="A12315">
        <f>HYPERLINK("https://www.philgeps.gov.ph/GEPSNONPILOT/Tender/SplashBidNoticeAbstractUI.aspx?menuIndex=3&amp;refID=7161389&amp;Result=3","7161389")</f>
        <v>0</v>
      </c>
      <c r="B12315" t="s">
        <v>1046</v>
      </c>
      <c r="C12315" t="s">
        <v>15306</v>
      </c>
      <c r="D12315" t="s">
        <v>17178</v>
      </c>
      <c r="E12315" t="s">
        <v>27722</v>
      </c>
      <c r="F12315" t="s">
        <v>29372</v>
      </c>
      <c r="G12315" t="s">
        <v>29380</v>
      </c>
      <c r="H12315" t="s">
        <v>11048</v>
      </c>
      <c r="I12315" t="s">
        <v>3629</v>
      </c>
      <c r="J12315" t="s">
        <v>37307</v>
      </c>
      <c r="K12315" t="s">
        <v>38488</v>
      </c>
      <c r="M12315" t="s">
        <v>39851</v>
      </c>
      <c r="N12315" t="s">
        <v>42669</v>
      </c>
      <c r="O12315" t="s">
        <v>42670</v>
      </c>
      <c r="P12315">
        <v>0</v>
      </c>
      <c r="Q12315">
        <v>4</v>
      </c>
      <c r="R12315" t="s">
        <v>42689</v>
      </c>
      <c r="S12315" t="s">
        <v>43461</v>
      </c>
      <c r="T12315" t="s">
        <v>44488</v>
      </c>
      <c r="U12315" t="s">
        <v>54847</v>
      </c>
      <c r="W12315" t="s">
        <v>39851</v>
      </c>
      <c r="X12315" t="s">
        <v>42690</v>
      </c>
    </row>
    <row r="12316" spans="1:24">
      <c r="A12316">
        <f>HYPERLINK("https://www.philgeps.gov.ph/GEPSNONPILOT/Tender/SplashBidNoticeAbstractUI.aspx?menuIndex=3&amp;refID=7161491&amp;Result=3","7161491")</f>
        <v>0</v>
      </c>
      <c r="B12316" t="s">
        <v>338</v>
      </c>
      <c r="C12316" t="s">
        <v>15307</v>
      </c>
      <c r="D12316" t="s">
        <v>17214</v>
      </c>
      <c r="E12316" t="s">
        <v>27723</v>
      </c>
      <c r="F12316" t="s">
        <v>29372</v>
      </c>
      <c r="G12316" t="s">
        <v>29380</v>
      </c>
      <c r="H12316" t="s">
        <v>29390</v>
      </c>
      <c r="I12316" t="s">
        <v>29396</v>
      </c>
      <c r="J12316" t="s">
        <v>32469</v>
      </c>
      <c r="K12316" t="s">
        <v>38567</v>
      </c>
      <c r="M12316" t="s">
        <v>42422</v>
      </c>
      <c r="N12316" t="s">
        <v>42669</v>
      </c>
      <c r="O12316" t="s">
        <v>42670</v>
      </c>
      <c r="Q12316">
        <v>4</v>
      </c>
      <c r="R12316" t="s">
        <v>42689</v>
      </c>
      <c r="S12316" t="s">
        <v>43560</v>
      </c>
      <c r="T12316" t="s">
        <v>44427</v>
      </c>
      <c r="U12316" t="s">
        <v>54862</v>
      </c>
      <c r="W12316" t="s">
        <v>42422</v>
      </c>
      <c r="X12316" t="s">
        <v>42690</v>
      </c>
    </row>
    <row r="12317" spans="1:24">
      <c r="A12317">
        <f>HYPERLINK("https://www.philgeps.gov.ph/GEPSNONPILOT/Tender/SplashBidNoticeAbstractUI.aspx?menuIndex=3&amp;refID=7161401&amp;Result=3","7161401")</f>
        <v>0</v>
      </c>
      <c r="B12317" t="s">
        <v>291</v>
      </c>
      <c r="C12317" t="s">
        <v>15308</v>
      </c>
      <c r="D12317" t="s">
        <v>17197</v>
      </c>
      <c r="E12317" t="s">
        <v>27724</v>
      </c>
      <c r="F12317" t="s">
        <v>29372</v>
      </c>
      <c r="G12317" t="s">
        <v>29380</v>
      </c>
      <c r="H12317" t="s">
        <v>11048</v>
      </c>
      <c r="I12317" t="s">
        <v>4709</v>
      </c>
      <c r="J12317" t="s">
        <v>37308</v>
      </c>
      <c r="K12317" t="s">
        <v>38495</v>
      </c>
      <c r="M12317" t="s">
        <v>39050</v>
      </c>
      <c r="N12317" t="s">
        <v>42669</v>
      </c>
      <c r="O12317" t="s">
        <v>42670</v>
      </c>
      <c r="P12317">
        <v>0</v>
      </c>
      <c r="Q12317">
        <v>2</v>
      </c>
      <c r="R12317" t="s">
        <v>42689</v>
      </c>
      <c r="S12317" t="s">
        <v>43461</v>
      </c>
      <c r="T12317" t="s">
        <v>44653</v>
      </c>
      <c r="U12317" t="s">
        <v>45494</v>
      </c>
      <c r="W12317" t="s">
        <v>39050</v>
      </c>
      <c r="X12317" t="s">
        <v>42690</v>
      </c>
    </row>
    <row r="12318" spans="1:24">
      <c r="A12318">
        <f>HYPERLINK("https://www.philgeps.gov.ph/GEPSNONPILOT/Tender/SplashBidNoticeAbstractUI.aspx?menuIndex=3&amp;refID=7161490&amp;Result=3","7161490")</f>
        <v>0</v>
      </c>
      <c r="B12318" t="s">
        <v>3335</v>
      </c>
      <c r="C12318" t="s">
        <v>15309</v>
      </c>
      <c r="D12318" t="s">
        <v>17188</v>
      </c>
      <c r="E12318" t="s">
        <v>22620</v>
      </c>
      <c r="F12318" t="s">
        <v>29372</v>
      </c>
      <c r="G12318" t="s">
        <v>29380</v>
      </c>
      <c r="H12318" t="s">
        <v>11048</v>
      </c>
      <c r="I12318" t="s">
        <v>9469</v>
      </c>
      <c r="J12318" t="s">
        <v>29937</v>
      </c>
      <c r="K12318" t="s">
        <v>38487</v>
      </c>
      <c r="M12318" t="s">
        <v>42423</v>
      </c>
      <c r="N12318" t="s">
        <v>42669</v>
      </c>
      <c r="O12318" t="s">
        <v>42670</v>
      </c>
      <c r="Q12318">
        <v>3</v>
      </c>
      <c r="R12318" t="s">
        <v>42689</v>
      </c>
      <c r="S12318" t="s">
        <v>43561</v>
      </c>
      <c r="T12318" t="s">
        <v>44427</v>
      </c>
      <c r="U12318" t="s">
        <v>54863</v>
      </c>
      <c r="W12318" t="s">
        <v>42423</v>
      </c>
      <c r="X12318" t="s">
        <v>42690</v>
      </c>
    </row>
    <row r="12319" spans="1:24">
      <c r="A12319">
        <f>HYPERLINK("https://www.philgeps.gov.ph/GEPSNONPILOT/Tender/SplashBidNoticeAbstractUI.aspx?menuIndex=3&amp;refID=7161397&amp;Result=3","7161397")</f>
        <v>0</v>
      </c>
      <c r="B12319" t="s">
        <v>3334</v>
      </c>
      <c r="C12319" t="s">
        <v>15310</v>
      </c>
      <c r="D12319" t="s">
        <v>17196</v>
      </c>
      <c r="E12319" t="s">
        <v>17747</v>
      </c>
      <c r="F12319" t="s">
        <v>29372</v>
      </c>
      <c r="G12319" t="s">
        <v>29380</v>
      </c>
      <c r="H12319" t="s">
        <v>29389</v>
      </c>
      <c r="I12319" t="s">
        <v>10408</v>
      </c>
      <c r="J12319" t="s">
        <v>29724</v>
      </c>
      <c r="K12319" t="s">
        <v>38522</v>
      </c>
      <c r="M12319" t="s">
        <v>42421</v>
      </c>
      <c r="N12319" t="s">
        <v>42669</v>
      </c>
      <c r="O12319" t="s">
        <v>42670</v>
      </c>
      <c r="P12319">
        <v>0</v>
      </c>
      <c r="Q12319">
        <v>3</v>
      </c>
      <c r="R12319" t="s">
        <v>42689</v>
      </c>
      <c r="S12319" t="s">
        <v>43461</v>
      </c>
      <c r="T12319" t="s">
        <v>44387</v>
      </c>
      <c r="U12319" t="s">
        <v>54864</v>
      </c>
      <c r="W12319" t="s">
        <v>58126</v>
      </c>
      <c r="X12319" t="s">
        <v>42690</v>
      </c>
    </row>
    <row r="12320" spans="1:24">
      <c r="A12320">
        <f>HYPERLINK("https://www.philgeps.gov.ph/GEPSNONPILOT/Tender/SplashBidNoticeAbstractUI.aspx?menuIndex=3&amp;refID=7161483&amp;Result=3","7161483")</f>
        <v>0</v>
      </c>
      <c r="B12320" t="s">
        <v>3334</v>
      </c>
      <c r="C12320" t="s">
        <v>15311</v>
      </c>
      <c r="D12320" t="s">
        <v>17196</v>
      </c>
      <c r="E12320" t="s">
        <v>17729</v>
      </c>
      <c r="F12320" t="s">
        <v>29372</v>
      </c>
      <c r="G12320" t="s">
        <v>29380</v>
      </c>
      <c r="H12320" t="s">
        <v>11048</v>
      </c>
      <c r="I12320" t="s">
        <v>9469</v>
      </c>
      <c r="J12320" t="s">
        <v>29734</v>
      </c>
      <c r="K12320" t="s">
        <v>38487</v>
      </c>
      <c r="M12320" t="s">
        <v>42421</v>
      </c>
      <c r="N12320" t="s">
        <v>42669</v>
      </c>
      <c r="O12320" t="s">
        <v>42670</v>
      </c>
      <c r="Q12320">
        <v>4</v>
      </c>
      <c r="R12320" t="s">
        <v>42689</v>
      </c>
      <c r="S12320" t="s">
        <v>43562</v>
      </c>
      <c r="T12320" t="s">
        <v>44387</v>
      </c>
      <c r="U12320" t="s">
        <v>54865</v>
      </c>
      <c r="W12320" t="s">
        <v>58126</v>
      </c>
      <c r="X12320" t="s">
        <v>42690</v>
      </c>
    </row>
    <row r="12321" spans="1:24">
      <c r="A12321">
        <f>HYPERLINK("https://www.philgeps.gov.ph/GEPSNONPILOT/Tender/SplashBidNoticeAbstractUI.aspx?menuIndex=3&amp;refID=7161478&amp;Result=3","7161478")</f>
        <v>0</v>
      </c>
      <c r="B12321" t="s">
        <v>3336</v>
      </c>
      <c r="C12321" t="s">
        <v>15312</v>
      </c>
      <c r="D12321" t="s">
        <v>17186</v>
      </c>
      <c r="E12321" t="s">
        <v>27725</v>
      </c>
      <c r="F12321" t="s">
        <v>29372</v>
      </c>
      <c r="G12321" t="s">
        <v>29380</v>
      </c>
      <c r="H12321" t="s">
        <v>11048</v>
      </c>
      <c r="I12321" t="s">
        <v>3629</v>
      </c>
      <c r="J12321" t="s">
        <v>30012</v>
      </c>
      <c r="K12321" t="s">
        <v>38522</v>
      </c>
      <c r="M12321" t="s">
        <v>42424</v>
      </c>
      <c r="N12321" t="s">
        <v>42669</v>
      </c>
      <c r="O12321" t="s">
        <v>42670</v>
      </c>
      <c r="P12321">
        <v>0</v>
      </c>
      <c r="Q12321">
        <v>7</v>
      </c>
      <c r="R12321" t="s">
        <v>42689</v>
      </c>
      <c r="S12321" t="s">
        <v>43461</v>
      </c>
      <c r="T12321" t="s">
        <v>44480</v>
      </c>
      <c r="U12321" t="s">
        <v>54866</v>
      </c>
      <c r="V12321" t="s">
        <v>57779</v>
      </c>
      <c r="W12321" t="s">
        <v>42424</v>
      </c>
      <c r="X12321" t="s">
        <v>42690</v>
      </c>
    </row>
    <row r="12322" spans="1:24">
      <c r="A12322">
        <f>HYPERLINK("https://www.philgeps.gov.ph/GEPSNONPILOT/Tender/SplashBidNoticeAbstractUI.aspx?menuIndex=3&amp;refID=7161485&amp;Result=3","7161485")</f>
        <v>0</v>
      </c>
      <c r="B12322" t="s">
        <v>3335</v>
      </c>
      <c r="C12322" t="s">
        <v>15313</v>
      </c>
      <c r="D12322" t="s">
        <v>17188</v>
      </c>
      <c r="E12322" t="s">
        <v>18903</v>
      </c>
      <c r="F12322" t="s">
        <v>29372</v>
      </c>
      <c r="G12322" t="s">
        <v>29380</v>
      </c>
      <c r="H12322" t="s">
        <v>11048</v>
      </c>
      <c r="I12322" t="s">
        <v>29425</v>
      </c>
      <c r="J12322" t="s">
        <v>30302</v>
      </c>
      <c r="K12322" t="s">
        <v>38487</v>
      </c>
      <c r="M12322" t="s">
        <v>42423</v>
      </c>
      <c r="N12322" t="s">
        <v>42669</v>
      </c>
      <c r="O12322" t="s">
        <v>42670</v>
      </c>
      <c r="Q12322">
        <v>8</v>
      </c>
      <c r="R12322" t="s">
        <v>42689</v>
      </c>
      <c r="S12322" t="s">
        <v>43563</v>
      </c>
      <c r="T12322" t="s">
        <v>44427</v>
      </c>
      <c r="U12322" t="s">
        <v>54867</v>
      </c>
      <c r="W12322" t="s">
        <v>42423</v>
      </c>
      <c r="X12322" t="s">
        <v>42690</v>
      </c>
    </row>
    <row r="12323" spans="1:24">
      <c r="A12323">
        <f>HYPERLINK("https://www.philgeps.gov.ph/GEPSNONPILOT/Tender/SplashBidNoticeAbstractUI.aspx?menuIndex=3&amp;refID=7161494&amp;Result=3","7161494")</f>
        <v>0</v>
      </c>
      <c r="B12323" t="s">
        <v>3334</v>
      </c>
      <c r="C12323" t="s">
        <v>15314</v>
      </c>
      <c r="D12323" t="s">
        <v>17196</v>
      </c>
      <c r="E12323" t="s">
        <v>17726</v>
      </c>
      <c r="F12323" t="s">
        <v>29372</v>
      </c>
      <c r="G12323" t="s">
        <v>29380</v>
      </c>
      <c r="H12323" t="s">
        <v>11048</v>
      </c>
      <c r="I12323" t="s">
        <v>29417</v>
      </c>
      <c r="J12323" t="s">
        <v>30412</v>
      </c>
      <c r="K12323" t="s">
        <v>38487</v>
      </c>
      <c r="M12323" t="s">
        <v>42421</v>
      </c>
      <c r="N12323" t="s">
        <v>42669</v>
      </c>
      <c r="O12323" t="s">
        <v>42670</v>
      </c>
      <c r="P12323">
        <v>0</v>
      </c>
      <c r="Q12323">
        <v>6</v>
      </c>
      <c r="R12323" t="s">
        <v>42689</v>
      </c>
      <c r="S12323" t="s">
        <v>43461</v>
      </c>
      <c r="T12323" t="s">
        <v>44387</v>
      </c>
      <c r="U12323" t="s">
        <v>54868</v>
      </c>
      <c r="W12323" t="s">
        <v>58126</v>
      </c>
      <c r="X12323" t="s">
        <v>42690</v>
      </c>
    </row>
    <row r="12324" spans="1:24">
      <c r="A12324">
        <f>HYPERLINK("https://www.philgeps.gov.ph/GEPSNONPILOT/Tender/SplashBidNoticeAbstractUI.aspx?menuIndex=3&amp;refID=7161474&amp;Result=3","7161474")</f>
        <v>0</v>
      </c>
      <c r="B12324" t="s">
        <v>3335</v>
      </c>
      <c r="C12324" t="s">
        <v>15315</v>
      </c>
      <c r="D12324" t="s">
        <v>17188</v>
      </c>
      <c r="E12324" t="s">
        <v>19197</v>
      </c>
      <c r="F12324" t="s">
        <v>29372</v>
      </c>
      <c r="G12324" t="s">
        <v>29380</v>
      </c>
      <c r="H12324" t="s">
        <v>29389</v>
      </c>
      <c r="I12324" t="s">
        <v>10408</v>
      </c>
      <c r="J12324" t="s">
        <v>29965</v>
      </c>
      <c r="K12324" t="s">
        <v>38522</v>
      </c>
      <c r="M12324" t="s">
        <v>42423</v>
      </c>
      <c r="N12324" t="s">
        <v>42669</v>
      </c>
      <c r="O12324" t="s">
        <v>42670</v>
      </c>
      <c r="Q12324">
        <v>0</v>
      </c>
      <c r="R12324" t="s">
        <v>42689</v>
      </c>
      <c r="S12324" t="s">
        <v>43564</v>
      </c>
      <c r="T12324" t="s">
        <v>44427</v>
      </c>
      <c r="U12324" t="s">
        <v>54869</v>
      </c>
      <c r="W12324" t="s">
        <v>42423</v>
      </c>
      <c r="X12324" t="s">
        <v>42690</v>
      </c>
    </row>
    <row r="12325" spans="1:24">
      <c r="A12325">
        <f>HYPERLINK("https://www.philgeps.gov.ph/GEPSNONPILOT/Tender/SplashBidNoticeAbstractUI.aspx?menuIndex=3&amp;refID=7161480&amp;Result=3","7161480")</f>
        <v>0</v>
      </c>
      <c r="B12325" t="s">
        <v>3335</v>
      </c>
      <c r="C12325" t="s">
        <v>15316</v>
      </c>
      <c r="D12325" t="s">
        <v>17188</v>
      </c>
      <c r="E12325" t="s">
        <v>18886</v>
      </c>
      <c r="F12325" t="s">
        <v>29372</v>
      </c>
      <c r="G12325" t="s">
        <v>29380</v>
      </c>
      <c r="H12325" t="s">
        <v>11048</v>
      </c>
      <c r="I12325" t="s">
        <v>29425</v>
      </c>
      <c r="J12325" t="s">
        <v>29615</v>
      </c>
      <c r="K12325" t="s">
        <v>38487</v>
      </c>
      <c r="M12325" t="s">
        <v>42423</v>
      </c>
      <c r="N12325" t="s">
        <v>42669</v>
      </c>
      <c r="O12325" t="s">
        <v>42670</v>
      </c>
      <c r="Q12325">
        <v>13</v>
      </c>
      <c r="R12325" t="s">
        <v>42689</v>
      </c>
      <c r="S12325" t="s">
        <v>43272</v>
      </c>
      <c r="T12325" t="s">
        <v>44427</v>
      </c>
      <c r="U12325" t="s">
        <v>54870</v>
      </c>
      <c r="W12325" t="s">
        <v>42423</v>
      </c>
      <c r="X12325" t="s">
        <v>42690</v>
      </c>
    </row>
    <row r="12326" spans="1:24">
      <c r="A12326">
        <f>HYPERLINK("https://www.philgeps.gov.ph/GEPSNONPILOT/Tender/SplashBidNoticeAbstractUI.aspx?menuIndex=3&amp;refID=7161475&amp;Result=3","7161475")</f>
        <v>0</v>
      </c>
      <c r="B12326" t="s">
        <v>3334</v>
      </c>
      <c r="C12326" t="s">
        <v>15317</v>
      </c>
      <c r="D12326" t="s">
        <v>17196</v>
      </c>
      <c r="E12326" t="s">
        <v>17737</v>
      </c>
      <c r="F12326" t="s">
        <v>29372</v>
      </c>
      <c r="G12326" t="s">
        <v>29380</v>
      </c>
      <c r="H12326" t="s">
        <v>11048</v>
      </c>
      <c r="I12326" t="s">
        <v>9469</v>
      </c>
      <c r="J12326" t="s">
        <v>29788</v>
      </c>
      <c r="K12326" t="s">
        <v>38487</v>
      </c>
      <c r="M12326" t="s">
        <v>42421</v>
      </c>
      <c r="N12326" t="s">
        <v>42669</v>
      </c>
      <c r="O12326" t="s">
        <v>42670</v>
      </c>
      <c r="P12326">
        <v>0</v>
      </c>
      <c r="Q12326">
        <v>6</v>
      </c>
      <c r="R12326" t="s">
        <v>42689</v>
      </c>
      <c r="S12326" t="s">
        <v>43461</v>
      </c>
      <c r="T12326" t="s">
        <v>44387</v>
      </c>
      <c r="U12326" t="s">
        <v>54871</v>
      </c>
      <c r="W12326" t="s">
        <v>58126</v>
      </c>
      <c r="X12326" t="s">
        <v>42690</v>
      </c>
    </row>
    <row r="12327" spans="1:24">
      <c r="A12327">
        <f>HYPERLINK("https://www.philgeps.gov.ph/GEPSNONPILOT/Tender/SplashBidNoticeAbstractUI.aspx?menuIndex=3&amp;refID=7161462&amp;Result=3","7161462")</f>
        <v>0</v>
      </c>
      <c r="B12327" t="s">
        <v>3334</v>
      </c>
      <c r="C12327" t="s">
        <v>15318</v>
      </c>
      <c r="D12327" t="s">
        <v>17196</v>
      </c>
      <c r="E12327" t="s">
        <v>17732</v>
      </c>
      <c r="F12327" t="s">
        <v>29372</v>
      </c>
      <c r="G12327" t="s">
        <v>29380</v>
      </c>
      <c r="H12327" t="s">
        <v>29389</v>
      </c>
      <c r="I12327" t="s">
        <v>10408</v>
      </c>
      <c r="J12327" t="s">
        <v>37309</v>
      </c>
      <c r="K12327" t="s">
        <v>38495</v>
      </c>
      <c r="M12327" t="s">
        <v>42421</v>
      </c>
      <c r="N12327" t="s">
        <v>42669</v>
      </c>
      <c r="O12327" t="s">
        <v>42670</v>
      </c>
      <c r="P12327">
        <v>0</v>
      </c>
      <c r="Q12327">
        <v>2</v>
      </c>
      <c r="R12327" t="s">
        <v>42689</v>
      </c>
      <c r="S12327" t="s">
        <v>43461</v>
      </c>
      <c r="T12327" t="s">
        <v>44387</v>
      </c>
      <c r="U12327" t="s">
        <v>54872</v>
      </c>
      <c r="W12327" t="s">
        <v>58126</v>
      </c>
      <c r="X12327" t="s">
        <v>42690</v>
      </c>
    </row>
    <row r="12328" spans="1:24">
      <c r="A12328">
        <f>HYPERLINK("https://www.philgeps.gov.ph/GEPSNONPILOT/Tender/SplashBidNoticeAbstractUI.aspx?menuIndex=3&amp;refID=7161456&amp;Result=3","7161456")</f>
        <v>0</v>
      </c>
      <c r="B12328" t="s">
        <v>1046</v>
      </c>
      <c r="C12328" t="s">
        <v>15319</v>
      </c>
      <c r="D12328" t="s">
        <v>17178</v>
      </c>
      <c r="E12328" t="s">
        <v>27726</v>
      </c>
      <c r="F12328" t="s">
        <v>29372</v>
      </c>
      <c r="G12328" t="s">
        <v>29380</v>
      </c>
      <c r="H12328" t="s">
        <v>11048</v>
      </c>
      <c r="I12328" t="s">
        <v>3839</v>
      </c>
      <c r="J12328" t="s">
        <v>37310</v>
      </c>
      <c r="K12328" t="s">
        <v>38485</v>
      </c>
      <c r="M12328" t="s">
        <v>39851</v>
      </c>
      <c r="N12328" t="s">
        <v>42669</v>
      </c>
      <c r="O12328" t="s">
        <v>42670</v>
      </c>
      <c r="P12328">
        <v>0</v>
      </c>
      <c r="Q12328">
        <v>5</v>
      </c>
      <c r="R12328" t="s">
        <v>42689</v>
      </c>
      <c r="S12328" t="s">
        <v>43461</v>
      </c>
      <c r="T12328" t="s">
        <v>44357</v>
      </c>
      <c r="U12328" t="s">
        <v>54855</v>
      </c>
      <c r="W12328" t="s">
        <v>39851</v>
      </c>
      <c r="X12328" t="s">
        <v>42690</v>
      </c>
    </row>
    <row r="12329" spans="1:24">
      <c r="A12329">
        <f>HYPERLINK("https://www.philgeps.gov.ph/GEPSNONPILOT/Tender/SplashBidNoticeAbstractUI.aspx?menuIndex=3&amp;refID=7161393&amp;Result=3","7161393")</f>
        <v>0</v>
      </c>
      <c r="B12329" t="s">
        <v>3317</v>
      </c>
      <c r="C12329" t="s">
        <v>15320</v>
      </c>
      <c r="D12329" t="s">
        <v>17141</v>
      </c>
      <c r="E12329" t="s">
        <v>27727</v>
      </c>
      <c r="F12329" t="s">
        <v>29372</v>
      </c>
      <c r="G12329" t="s">
        <v>29380</v>
      </c>
      <c r="H12329" t="s">
        <v>11048</v>
      </c>
      <c r="I12329" t="s">
        <v>8614</v>
      </c>
      <c r="J12329" t="s">
        <v>37311</v>
      </c>
      <c r="K12329" t="s">
        <v>38487</v>
      </c>
      <c r="M12329" t="s">
        <v>42403</v>
      </c>
      <c r="N12329" t="s">
        <v>42669</v>
      </c>
      <c r="O12329" t="s">
        <v>42670</v>
      </c>
      <c r="Q12329">
        <v>13</v>
      </c>
      <c r="R12329" t="s">
        <v>42689</v>
      </c>
      <c r="S12329" t="s">
        <v>43188</v>
      </c>
      <c r="T12329" t="s">
        <v>44409</v>
      </c>
      <c r="U12329" t="s">
        <v>54873</v>
      </c>
      <c r="W12329" t="s">
        <v>42403</v>
      </c>
      <c r="X12329" t="s">
        <v>42690</v>
      </c>
    </row>
    <row r="12330" spans="1:24">
      <c r="A12330">
        <f>HYPERLINK("https://www.philgeps.gov.ph/GEPSNONPILOT/Tender/SplashBidNoticeAbstractUI.aspx?menuIndex=3&amp;refID=7161464&amp;Result=3","7161464")</f>
        <v>0</v>
      </c>
      <c r="B12330" t="s">
        <v>3335</v>
      </c>
      <c r="C12330" t="s">
        <v>15321</v>
      </c>
      <c r="D12330" t="s">
        <v>17188</v>
      </c>
      <c r="E12330" t="s">
        <v>17428</v>
      </c>
      <c r="F12330" t="s">
        <v>29372</v>
      </c>
      <c r="G12330" t="s">
        <v>29380</v>
      </c>
      <c r="H12330" t="s">
        <v>29389</v>
      </c>
      <c r="I12330" t="s">
        <v>10408</v>
      </c>
      <c r="J12330" t="s">
        <v>31427</v>
      </c>
      <c r="K12330" t="s">
        <v>38522</v>
      </c>
      <c r="M12330" t="s">
        <v>42423</v>
      </c>
      <c r="N12330" t="s">
        <v>42669</v>
      </c>
      <c r="O12330" t="s">
        <v>42670</v>
      </c>
      <c r="Q12330">
        <v>0</v>
      </c>
      <c r="R12330" t="s">
        <v>42689</v>
      </c>
      <c r="S12330" t="s">
        <v>43565</v>
      </c>
      <c r="T12330" t="s">
        <v>44427</v>
      </c>
      <c r="U12330" t="s">
        <v>54874</v>
      </c>
      <c r="W12330" t="s">
        <v>42423</v>
      </c>
      <c r="X12330" t="s">
        <v>42690</v>
      </c>
    </row>
    <row r="12331" spans="1:24">
      <c r="A12331">
        <f>HYPERLINK("https://www.philgeps.gov.ph/GEPSNONPILOT/Tender/SplashBidNoticeAbstractUI.aspx?menuIndex=3&amp;refID=7161455&amp;Result=3","7161455")</f>
        <v>0</v>
      </c>
      <c r="B12331" t="s">
        <v>3045</v>
      </c>
      <c r="C12331" t="s">
        <v>15322</v>
      </c>
      <c r="D12331" t="s">
        <v>17141</v>
      </c>
      <c r="E12331" t="s">
        <v>27728</v>
      </c>
      <c r="F12331" t="s">
        <v>29372</v>
      </c>
      <c r="G12331" t="s">
        <v>29380</v>
      </c>
      <c r="H12331" t="s">
        <v>29389</v>
      </c>
      <c r="I12331" t="s">
        <v>10408</v>
      </c>
      <c r="J12331" t="s">
        <v>37312</v>
      </c>
      <c r="K12331" t="s">
        <v>38496</v>
      </c>
      <c r="M12331" t="s">
        <v>42067</v>
      </c>
      <c r="N12331" t="s">
        <v>42669</v>
      </c>
      <c r="O12331" t="s">
        <v>42670</v>
      </c>
      <c r="P12331">
        <v>0</v>
      </c>
      <c r="Q12331">
        <v>4</v>
      </c>
      <c r="R12331" t="s">
        <v>42689</v>
      </c>
      <c r="S12331" t="s">
        <v>43461</v>
      </c>
      <c r="T12331" t="s">
        <v>44507</v>
      </c>
      <c r="U12331" t="s">
        <v>54875</v>
      </c>
      <c r="W12331" t="s">
        <v>42067</v>
      </c>
      <c r="X12331" t="s">
        <v>42690</v>
      </c>
    </row>
    <row r="12332" spans="1:24">
      <c r="A12332">
        <f>HYPERLINK("https://www.philgeps.gov.ph/GEPSNONPILOT/Tender/SplashBidNoticeAbstractUI.aspx?menuIndex=3&amp;refID=7161454&amp;Result=3","7161454")</f>
        <v>0</v>
      </c>
      <c r="B12332" t="s">
        <v>3334</v>
      </c>
      <c r="C12332" t="s">
        <v>15323</v>
      </c>
      <c r="D12332" t="s">
        <v>17196</v>
      </c>
      <c r="E12332" t="s">
        <v>17739</v>
      </c>
      <c r="F12332" t="s">
        <v>29372</v>
      </c>
      <c r="G12332" t="s">
        <v>29380</v>
      </c>
      <c r="H12332" t="s">
        <v>29389</v>
      </c>
      <c r="I12332" t="s">
        <v>10408</v>
      </c>
      <c r="J12332" t="s">
        <v>31924</v>
      </c>
      <c r="K12332" t="s">
        <v>38525</v>
      </c>
      <c r="M12332" t="s">
        <v>42421</v>
      </c>
      <c r="N12332" t="s">
        <v>42669</v>
      </c>
      <c r="O12332" t="s">
        <v>42670</v>
      </c>
      <c r="P12332">
        <v>0</v>
      </c>
      <c r="Q12332">
        <v>1</v>
      </c>
      <c r="R12332" t="s">
        <v>42689</v>
      </c>
      <c r="S12332" t="s">
        <v>43461</v>
      </c>
      <c r="T12332" t="s">
        <v>44387</v>
      </c>
      <c r="U12332" t="s">
        <v>54876</v>
      </c>
      <c r="W12332" t="s">
        <v>58126</v>
      </c>
      <c r="X12332" t="s">
        <v>42690</v>
      </c>
    </row>
    <row r="12333" spans="1:24">
      <c r="A12333">
        <f>HYPERLINK("https://www.philgeps.gov.ph/GEPSNONPILOT/Tender/SplashBidNoticeAbstractUI.aspx?menuIndex=3&amp;refID=7161452&amp;Result=3","7161452")</f>
        <v>0</v>
      </c>
      <c r="B12333" t="s">
        <v>1046</v>
      </c>
      <c r="C12333" t="s">
        <v>15324</v>
      </c>
      <c r="D12333" t="s">
        <v>17178</v>
      </c>
      <c r="E12333" t="s">
        <v>27729</v>
      </c>
      <c r="F12333" t="s">
        <v>29372</v>
      </c>
      <c r="G12333" t="s">
        <v>29380</v>
      </c>
      <c r="H12333" t="s">
        <v>11048</v>
      </c>
      <c r="I12333" t="s">
        <v>4709</v>
      </c>
      <c r="J12333" t="s">
        <v>37313</v>
      </c>
      <c r="K12333" t="s">
        <v>38485</v>
      </c>
      <c r="M12333" t="s">
        <v>39851</v>
      </c>
      <c r="N12333" t="s">
        <v>42669</v>
      </c>
      <c r="O12333" t="s">
        <v>42670</v>
      </c>
      <c r="P12333">
        <v>0</v>
      </c>
      <c r="Q12333">
        <v>8</v>
      </c>
      <c r="R12333" t="s">
        <v>42689</v>
      </c>
      <c r="S12333" t="s">
        <v>43461</v>
      </c>
      <c r="T12333" t="s">
        <v>44357</v>
      </c>
      <c r="U12333" t="s">
        <v>54855</v>
      </c>
      <c r="W12333" t="s">
        <v>39851</v>
      </c>
      <c r="X12333" t="s">
        <v>42690</v>
      </c>
    </row>
    <row r="12334" spans="1:24">
      <c r="A12334">
        <f>HYPERLINK("https://www.philgeps.gov.ph/GEPSNONPILOT/Tender/SplashBidNoticeAbstractUI.aspx?menuIndex=3&amp;refID=7161448&amp;Result=3","7161448")</f>
        <v>0</v>
      </c>
      <c r="B12334" t="s">
        <v>2257</v>
      </c>
      <c r="C12334" t="s">
        <v>15325</v>
      </c>
      <c r="D12334" t="s">
        <v>17205</v>
      </c>
      <c r="E12334" t="s">
        <v>27730</v>
      </c>
      <c r="F12334" t="s">
        <v>29372</v>
      </c>
      <c r="G12334" t="s">
        <v>29384</v>
      </c>
      <c r="H12334" t="s">
        <v>11048</v>
      </c>
      <c r="I12334" t="s">
        <v>4709</v>
      </c>
      <c r="J12334" t="s">
        <v>37314</v>
      </c>
      <c r="K12334" t="s">
        <v>38488</v>
      </c>
      <c r="M12334" t="s">
        <v>41881</v>
      </c>
      <c r="N12334" t="s">
        <v>42669</v>
      </c>
      <c r="O12334" t="s">
        <v>42670</v>
      </c>
      <c r="P12334">
        <v>0</v>
      </c>
      <c r="Q12334">
        <v>6</v>
      </c>
      <c r="R12334" t="s">
        <v>42689</v>
      </c>
      <c r="S12334" t="s">
        <v>43461</v>
      </c>
      <c r="T12334" t="s">
        <v>44653</v>
      </c>
      <c r="U12334" t="s">
        <v>54877</v>
      </c>
      <c r="V12334" t="s">
        <v>57444</v>
      </c>
      <c r="W12334" t="s">
        <v>41881</v>
      </c>
      <c r="X12334" t="s">
        <v>42690</v>
      </c>
    </row>
    <row r="12335" spans="1:24">
      <c r="A12335">
        <f>HYPERLINK("https://www.philgeps.gov.ph/GEPSNONPILOT/Tender/SplashBidNoticeAbstractUI.aspx?menuIndex=3&amp;refID=7161461&amp;Result=3","7161461")</f>
        <v>0</v>
      </c>
      <c r="B12335" t="s">
        <v>170</v>
      </c>
      <c r="C12335" t="s">
        <v>15326</v>
      </c>
      <c r="D12335" t="s">
        <v>17195</v>
      </c>
      <c r="E12335" t="s">
        <v>27731</v>
      </c>
      <c r="F12335" t="s">
        <v>29372</v>
      </c>
      <c r="G12335" t="s">
        <v>29379</v>
      </c>
      <c r="H12335" t="s">
        <v>11048</v>
      </c>
      <c r="I12335" t="s">
        <v>8208</v>
      </c>
      <c r="J12335" t="s">
        <v>37315</v>
      </c>
      <c r="K12335" t="s">
        <v>38495</v>
      </c>
      <c r="M12335" t="s">
        <v>38927</v>
      </c>
      <c r="N12335" t="s">
        <v>42669</v>
      </c>
      <c r="O12335" t="s">
        <v>42670</v>
      </c>
      <c r="P12335">
        <v>0</v>
      </c>
      <c r="Q12335">
        <v>0</v>
      </c>
      <c r="R12335" t="s">
        <v>42689</v>
      </c>
      <c r="S12335" t="s">
        <v>43461</v>
      </c>
      <c r="T12335" t="s">
        <v>44401</v>
      </c>
      <c r="U12335" t="s">
        <v>47920</v>
      </c>
      <c r="W12335" t="s">
        <v>38927</v>
      </c>
      <c r="X12335" t="s">
        <v>42690</v>
      </c>
    </row>
    <row r="12336" spans="1:24">
      <c r="A12336">
        <f>HYPERLINK("https://www.philgeps.gov.ph/GEPSNONPILOT/Tender/SplashBidNoticeAbstractUI.aspx?menuIndex=3&amp;refID=7161222&amp;Result=3","7161222")</f>
        <v>0</v>
      </c>
      <c r="B12336" t="s">
        <v>413</v>
      </c>
      <c r="C12336" t="s">
        <v>15327</v>
      </c>
      <c r="D12336" t="s">
        <v>17214</v>
      </c>
      <c r="E12336" t="s">
        <v>27732</v>
      </c>
      <c r="F12336" t="s">
        <v>29372</v>
      </c>
      <c r="G12336" t="s">
        <v>29380</v>
      </c>
      <c r="H12336" t="s">
        <v>11048</v>
      </c>
      <c r="I12336" t="s">
        <v>29425</v>
      </c>
      <c r="J12336" t="s">
        <v>37316</v>
      </c>
      <c r="K12336" t="s">
        <v>38496</v>
      </c>
      <c r="M12336" t="s">
        <v>39177</v>
      </c>
      <c r="N12336" t="s">
        <v>42669</v>
      </c>
      <c r="O12336" t="s">
        <v>42670</v>
      </c>
      <c r="Q12336">
        <v>8</v>
      </c>
      <c r="R12336" t="s">
        <v>42689</v>
      </c>
      <c r="S12336" t="s">
        <v>43566</v>
      </c>
      <c r="T12336" t="s">
        <v>44554</v>
      </c>
      <c r="U12336" t="s">
        <v>54858</v>
      </c>
      <c r="V12336" t="s">
        <v>57780</v>
      </c>
      <c r="W12336" t="s">
        <v>39177</v>
      </c>
      <c r="X12336" t="s">
        <v>42690</v>
      </c>
    </row>
    <row r="12337" spans="1:24">
      <c r="A12337">
        <f>HYPERLINK("https://www.philgeps.gov.ph/GEPSNONPILOT/Tender/SplashBidNoticeAbstractUI.aspx?menuIndex=3&amp;refID=7161373&amp;Result=3","7161373")</f>
        <v>0</v>
      </c>
      <c r="B12337" t="s">
        <v>3317</v>
      </c>
      <c r="C12337" t="s">
        <v>15328</v>
      </c>
      <c r="D12337" t="s">
        <v>17141</v>
      </c>
      <c r="E12337" t="s">
        <v>27733</v>
      </c>
      <c r="F12337" t="s">
        <v>29372</v>
      </c>
      <c r="G12337" t="s">
        <v>29380</v>
      </c>
      <c r="H12337" t="s">
        <v>11048</v>
      </c>
      <c r="I12337" t="s">
        <v>8614</v>
      </c>
      <c r="J12337" t="s">
        <v>37317</v>
      </c>
      <c r="K12337" t="s">
        <v>38487</v>
      </c>
      <c r="M12337" t="s">
        <v>42403</v>
      </c>
      <c r="N12337" t="s">
        <v>42669</v>
      </c>
      <c r="O12337" t="s">
        <v>42670</v>
      </c>
      <c r="Q12337">
        <v>26</v>
      </c>
      <c r="R12337" t="s">
        <v>42689</v>
      </c>
      <c r="S12337" t="s">
        <v>43567</v>
      </c>
      <c r="T12337" t="s">
        <v>44481</v>
      </c>
      <c r="U12337" t="s">
        <v>54878</v>
      </c>
      <c r="W12337" t="s">
        <v>42403</v>
      </c>
      <c r="X12337" t="s">
        <v>42690</v>
      </c>
    </row>
    <row r="12338" spans="1:24">
      <c r="A12338">
        <f>HYPERLINK("https://www.philgeps.gov.ph/GEPSNONPILOT/Tender/SplashBidNoticeAbstractUI.aspx?menuIndex=3&amp;refID=7161626&amp;Result=3","7161626")</f>
        <v>0</v>
      </c>
      <c r="B12338" t="s">
        <v>532</v>
      </c>
      <c r="C12338" t="s">
        <v>15329</v>
      </c>
      <c r="D12338" t="s">
        <v>17141</v>
      </c>
      <c r="E12338" t="s">
        <v>27734</v>
      </c>
      <c r="F12338" t="s">
        <v>29372</v>
      </c>
      <c r="G12338" t="s">
        <v>29380</v>
      </c>
      <c r="H12338" t="s">
        <v>29389</v>
      </c>
      <c r="I12338" t="s">
        <v>10408</v>
      </c>
      <c r="J12338" t="s">
        <v>37318</v>
      </c>
      <c r="K12338" t="s">
        <v>38496</v>
      </c>
      <c r="M12338" t="s">
        <v>39299</v>
      </c>
      <c r="N12338" t="s">
        <v>42669</v>
      </c>
      <c r="O12338" t="s">
        <v>42670</v>
      </c>
      <c r="Q12338">
        <v>34</v>
      </c>
      <c r="R12338" t="s">
        <v>42689</v>
      </c>
      <c r="S12338" t="s">
        <v>43568</v>
      </c>
      <c r="T12338" t="s">
        <v>44387</v>
      </c>
      <c r="U12338" t="s">
        <v>54879</v>
      </c>
      <c r="W12338" t="s">
        <v>39299</v>
      </c>
      <c r="X12338" t="s">
        <v>42690</v>
      </c>
    </row>
    <row r="12339" spans="1:24">
      <c r="A12339">
        <f>HYPERLINK("https://www.philgeps.gov.ph/GEPSNONPILOT/Tender/SplashBidNoticeAbstractUI.aspx?menuIndex=3&amp;refID=7161445&amp;Result=3","7161445")</f>
        <v>0</v>
      </c>
      <c r="B12339" t="s">
        <v>3335</v>
      </c>
      <c r="C12339" t="s">
        <v>15330</v>
      </c>
      <c r="D12339" t="s">
        <v>17188</v>
      </c>
      <c r="E12339" t="s">
        <v>18734</v>
      </c>
      <c r="F12339" t="s">
        <v>29372</v>
      </c>
      <c r="G12339" t="s">
        <v>29380</v>
      </c>
      <c r="H12339" t="s">
        <v>29389</v>
      </c>
      <c r="I12339" t="s">
        <v>10408</v>
      </c>
      <c r="J12339" t="s">
        <v>37319</v>
      </c>
      <c r="K12339" t="s">
        <v>38487</v>
      </c>
      <c r="M12339" t="s">
        <v>42423</v>
      </c>
      <c r="N12339" t="s">
        <v>42669</v>
      </c>
      <c r="O12339" t="s">
        <v>42670</v>
      </c>
      <c r="Q12339">
        <v>0</v>
      </c>
      <c r="R12339" t="s">
        <v>42689</v>
      </c>
      <c r="S12339" t="s">
        <v>43206</v>
      </c>
      <c r="T12339" t="s">
        <v>44427</v>
      </c>
      <c r="U12339" t="s">
        <v>54880</v>
      </c>
      <c r="W12339" t="s">
        <v>42423</v>
      </c>
      <c r="X12339" t="s">
        <v>42690</v>
      </c>
    </row>
    <row r="12340" spans="1:24">
      <c r="A12340">
        <f>HYPERLINK("https://www.philgeps.gov.ph/GEPSNONPILOT/Tender/SplashBidNoticeAbstractUI.aspx?menuIndex=3&amp;refID=7161625&amp;Result=3","7161625")</f>
        <v>0</v>
      </c>
      <c r="B12340" t="s">
        <v>1142</v>
      </c>
      <c r="C12340" t="s">
        <v>15331</v>
      </c>
      <c r="D12340" t="s">
        <v>17171</v>
      </c>
      <c r="E12340" t="s">
        <v>17282</v>
      </c>
      <c r="F12340" t="s">
        <v>29372</v>
      </c>
      <c r="G12340" t="s">
        <v>29380</v>
      </c>
      <c r="H12340" t="s">
        <v>11048</v>
      </c>
      <c r="I12340" t="s">
        <v>4487</v>
      </c>
      <c r="J12340" t="s">
        <v>37320</v>
      </c>
      <c r="K12340" t="s">
        <v>38534</v>
      </c>
      <c r="M12340" t="s">
        <v>39955</v>
      </c>
      <c r="N12340" t="s">
        <v>42669</v>
      </c>
      <c r="O12340" t="s">
        <v>42670</v>
      </c>
      <c r="P12340">
        <v>0</v>
      </c>
      <c r="Q12340">
        <v>1</v>
      </c>
      <c r="R12340" t="s">
        <v>42689</v>
      </c>
      <c r="S12340" t="s">
        <v>43461</v>
      </c>
      <c r="T12340" t="s">
        <v>44429</v>
      </c>
      <c r="U12340" t="s">
        <v>54881</v>
      </c>
      <c r="W12340" t="s">
        <v>39955</v>
      </c>
      <c r="X12340" t="s">
        <v>42690</v>
      </c>
    </row>
    <row r="12341" spans="1:24">
      <c r="A12341">
        <f>HYPERLINK("https://www.philgeps.gov.ph/GEPSNONPILOT/Tender/SplashBidNoticeAbstractUI.aspx?menuIndex=3&amp;refID=7161622&amp;Result=3","7161622")</f>
        <v>0</v>
      </c>
      <c r="B12341" t="s">
        <v>3301</v>
      </c>
      <c r="C12341" t="s">
        <v>15332</v>
      </c>
      <c r="D12341" t="s">
        <v>17153</v>
      </c>
      <c r="E12341" t="s">
        <v>27735</v>
      </c>
      <c r="F12341" t="s">
        <v>29372</v>
      </c>
      <c r="G12341" t="s">
        <v>29380</v>
      </c>
      <c r="H12341" t="s">
        <v>29389</v>
      </c>
      <c r="I12341" t="s">
        <v>10408</v>
      </c>
      <c r="J12341" t="s">
        <v>37321</v>
      </c>
      <c r="K12341" t="s">
        <v>38525</v>
      </c>
      <c r="M12341" t="s">
        <v>42379</v>
      </c>
      <c r="N12341" t="s">
        <v>42669</v>
      </c>
      <c r="O12341" t="s">
        <v>42670</v>
      </c>
      <c r="P12341">
        <v>0</v>
      </c>
      <c r="Q12341">
        <v>8</v>
      </c>
      <c r="R12341" t="s">
        <v>42689</v>
      </c>
      <c r="S12341" t="s">
        <v>43461</v>
      </c>
      <c r="T12341" t="s">
        <v>44490</v>
      </c>
      <c r="U12341" t="s">
        <v>54882</v>
      </c>
      <c r="V12341" t="s">
        <v>57781</v>
      </c>
      <c r="W12341" t="s">
        <v>42379</v>
      </c>
      <c r="X12341" t="s">
        <v>42690</v>
      </c>
    </row>
    <row r="12342" spans="1:24">
      <c r="A12342">
        <f>HYPERLINK("https://www.philgeps.gov.ph/GEPSNONPILOT/Tender/SplashBidNoticeAbstractUI.aspx?menuIndex=3&amp;refID=7161621&amp;Result=3","7161621")</f>
        <v>0</v>
      </c>
      <c r="B12342" t="s">
        <v>532</v>
      </c>
      <c r="C12342" t="s">
        <v>15333</v>
      </c>
      <c r="D12342" t="s">
        <v>17141</v>
      </c>
      <c r="E12342" t="s">
        <v>27736</v>
      </c>
      <c r="F12342" t="s">
        <v>29372</v>
      </c>
      <c r="G12342" t="s">
        <v>29380</v>
      </c>
      <c r="H12342" t="s">
        <v>29389</v>
      </c>
      <c r="I12342" t="s">
        <v>10408</v>
      </c>
      <c r="J12342" t="s">
        <v>37322</v>
      </c>
      <c r="K12342" t="s">
        <v>38510</v>
      </c>
      <c r="M12342" t="s">
        <v>39299</v>
      </c>
      <c r="N12342" t="s">
        <v>42669</v>
      </c>
      <c r="O12342" t="s">
        <v>42670</v>
      </c>
      <c r="Q12342">
        <v>13</v>
      </c>
      <c r="R12342" t="s">
        <v>42689</v>
      </c>
      <c r="S12342" t="s">
        <v>43569</v>
      </c>
      <c r="T12342" t="s">
        <v>44387</v>
      </c>
      <c r="U12342" t="s">
        <v>54883</v>
      </c>
      <c r="W12342" t="s">
        <v>39299</v>
      </c>
      <c r="X12342" t="s">
        <v>42690</v>
      </c>
    </row>
    <row r="12343" spans="1:24">
      <c r="A12343">
        <f>HYPERLINK("https://www.philgeps.gov.ph/GEPSNONPILOT/Tender/SplashBidNoticeAbstractUI.aspx?menuIndex=3&amp;refID=7161599&amp;Result=3","7161599")</f>
        <v>0</v>
      </c>
      <c r="B12343" t="s">
        <v>2495</v>
      </c>
      <c r="C12343" t="s">
        <v>15334</v>
      </c>
      <c r="D12343" t="s">
        <v>17149</v>
      </c>
      <c r="E12343" t="s">
        <v>27737</v>
      </c>
      <c r="F12343" t="s">
        <v>29372</v>
      </c>
      <c r="G12343" t="s">
        <v>29380</v>
      </c>
      <c r="H12343" t="s">
        <v>11048</v>
      </c>
      <c r="I12343" t="s">
        <v>29403</v>
      </c>
      <c r="J12343" t="s">
        <v>37323</v>
      </c>
      <c r="K12343" t="s">
        <v>38488</v>
      </c>
      <c r="M12343" t="s">
        <v>41446</v>
      </c>
      <c r="N12343" t="s">
        <v>42669</v>
      </c>
      <c r="O12343" t="s">
        <v>42670</v>
      </c>
      <c r="P12343">
        <v>0</v>
      </c>
      <c r="Q12343">
        <v>0</v>
      </c>
      <c r="R12343" t="s">
        <v>42689</v>
      </c>
      <c r="S12343" t="s">
        <v>43461</v>
      </c>
      <c r="T12343" t="s">
        <v>44470</v>
      </c>
      <c r="U12343" t="s">
        <v>54884</v>
      </c>
      <c r="W12343" t="s">
        <v>41446</v>
      </c>
      <c r="X12343" t="s">
        <v>42690</v>
      </c>
    </row>
    <row r="12344" spans="1:24">
      <c r="A12344">
        <f>HYPERLINK("https://www.philgeps.gov.ph/GEPSNONPILOT/Tender/SplashBidNoticeAbstractUI.aspx?menuIndex=3&amp;refID=7161466&amp;Result=3","7161466")</f>
        <v>0</v>
      </c>
      <c r="B12344" t="s">
        <v>170</v>
      </c>
      <c r="C12344" t="s">
        <v>15335</v>
      </c>
      <c r="D12344" t="s">
        <v>17195</v>
      </c>
      <c r="E12344" t="s">
        <v>27738</v>
      </c>
      <c r="F12344" t="s">
        <v>29372</v>
      </c>
      <c r="G12344" t="s">
        <v>29379</v>
      </c>
      <c r="H12344" t="s">
        <v>11048</v>
      </c>
      <c r="I12344" t="s">
        <v>3860</v>
      </c>
      <c r="J12344" t="s">
        <v>37324</v>
      </c>
      <c r="K12344" t="s">
        <v>38495</v>
      </c>
      <c r="M12344" t="s">
        <v>38927</v>
      </c>
      <c r="N12344" t="s">
        <v>42669</v>
      </c>
      <c r="O12344" t="s">
        <v>42670</v>
      </c>
      <c r="P12344">
        <v>0</v>
      </c>
      <c r="Q12344">
        <v>0</v>
      </c>
      <c r="R12344" t="s">
        <v>42689</v>
      </c>
      <c r="S12344" t="s">
        <v>43461</v>
      </c>
      <c r="T12344" t="s">
        <v>44401</v>
      </c>
      <c r="U12344" t="s">
        <v>47920</v>
      </c>
      <c r="W12344" t="s">
        <v>38927</v>
      </c>
      <c r="X12344" t="s">
        <v>42690</v>
      </c>
    </row>
    <row r="12345" spans="1:24">
      <c r="A12345">
        <f>HYPERLINK("https://www.philgeps.gov.ph/GEPSNONPILOT/Tender/SplashBidNoticeAbstractUI.aspx?menuIndex=3&amp;refID=7161593&amp;Result=3","7161593")</f>
        <v>0</v>
      </c>
      <c r="B12345" t="s">
        <v>2495</v>
      </c>
      <c r="C12345" t="s">
        <v>15336</v>
      </c>
      <c r="D12345" t="s">
        <v>17149</v>
      </c>
      <c r="E12345" t="s">
        <v>27739</v>
      </c>
      <c r="F12345" t="s">
        <v>29372</v>
      </c>
      <c r="G12345" t="s">
        <v>29380</v>
      </c>
      <c r="H12345" t="s">
        <v>11048</v>
      </c>
      <c r="I12345" t="s">
        <v>29417</v>
      </c>
      <c r="J12345" t="s">
        <v>29973</v>
      </c>
      <c r="K12345" t="s">
        <v>38488</v>
      </c>
      <c r="M12345" t="s">
        <v>41446</v>
      </c>
      <c r="N12345" t="s">
        <v>42669</v>
      </c>
      <c r="O12345" t="s">
        <v>42670</v>
      </c>
      <c r="P12345">
        <v>0</v>
      </c>
      <c r="Q12345">
        <v>1</v>
      </c>
      <c r="R12345" t="s">
        <v>42689</v>
      </c>
      <c r="S12345" t="s">
        <v>43461</v>
      </c>
      <c r="T12345" t="s">
        <v>44470</v>
      </c>
      <c r="U12345" t="s">
        <v>54885</v>
      </c>
      <c r="W12345" t="s">
        <v>41446</v>
      </c>
      <c r="X12345" t="s">
        <v>42690</v>
      </c>
    </row>
    <row r="12346" spans="1:24">
      <c r="A12346">
        <f>HYPERLINK("https://www.philgeps.gov.ph/GEPSNONPILOT/Tender/SplashBidNoticeAbstractUI.aspx?menuIndex=3&amp;refID=7161594&amp;Result=3","7161594")</f>
        <v>0</v>
      </c>
      <c r="B12346" t="s">
        <v>2495</v>
      </c>
      <c r="C12346" t="s">
        <v>15337</v>
      </c>
      <c r="D12346" t="s">
        <v>17149</v>
      </c>
      <c r="E12346" t="s">
        <v>27740</v>
      </c>
      <c r="F12346" t="s">
        <v>29372</v>
      </c>
      <c r="G12346" t="s">
        <v>29380</v>
      </c>
      <c r="H12346" t="s">
        <v>11048</v>
      </c>
      <c r="I12346" t="s">
        <v>4487</v>
      </c>
      <c r="J12346" t="s">
        <v>37325</v>
      </c>
      <c r="K12346" t="s">
        <v>38488</v>
      </c>
      <c r="M12346" t="s">
        <v>41446</v>
      </c>
      <c r="N12346" t="s">
        <v>42669</v>
      </c>
      <c r="O12346" t="s">
        <v>42670</v>
      </c>
      <c r="P12346">
        <v>0</v>
      </c>
      <c r="Q12346">
        <v>0</v>
      </c>
      <c r="R12346" t="s">
        <v>42689</v>
      </c>
      <c r="S12346" t="s">
        <v>43461</v>
      </c>
      <c r="T12346" t="s">
        <v>44470</v>
      </c>
      <c r="U12346" t="s">
        <v>54884</v>
      </c>
      <c r="W12346" t="s">
        <v>41446</v>
      </c>
      <c r="X12346" t="s">
        <v>42690</v>
      </c>
    </row>
    <row r="12347" spans="1:24">
      <c r="A12347">
        <f>HYPERLINK("https://www.philgeps.gov.ph/GEPSNONPILOT/Tender/SplashBidNoticeAbstractUI.aspx?menuIndex=3&amp;refID=7161582&amp;Result=3","7161582")</f>
        <v>0</v>
      </c>
      <c r="B12347" t="s">
        <v>511</v>
      </c>
      <c r="C12347" t="s">
        <v>15338</v>
      </c>
      <c r="D12347" t="s">
        <v>17163</v>
      </c>
      <c r="E12347" t="s">
        <v>27741</v>
      </c>
      <c r="F12347" t="s">
        <v>29372</v>
      </c>
      <c r="G12347" t="s">
        <v>29380</v>
      </c>
      <c r="H12347" t="s">
        <v>11048</v>
      </c>
      <c r="I12347" t="s">
        <v>8614</v>
      </c>
      <c r="J12347" t="s">
        <v>37326</v>
      </c>
      <c r="K12347" t="s">
        <v>38496</v>
      </c>
      <c r="M12347" t="s">
        <v>39278</v>
      </c>
      <c r="N12347" t="s">
        <v>42669</v>
      </c>
      <c r="O12347" t="s">
        <v>42670</v>
      </c>
      <c r="Q12347">
        <v>10</v>
      </c>
      <c r="R12347" t="s">
        <v>42689</v>
      </c>
      <c r="S12347" t="s">
        <v>43570</v>
      </c>
      <c r="T12347" t="s">
        <v>44427</v>
      </c>
      <c r="U12347" t="s">
        <v>54886</v>
      </c>
      <c r="V12347" t="s">
        <v>57782</v>
      </c>
      <c r="W12347" t="s">
        <v>39278</v>
      </c>
      <c r="X12347" t="s">
        <v>42690</v>
      </c>
    </row>
    <row r="12348" spans="1:24">
      <c r="A12348">
        <f>HYPERLINK("https://www.philgeps.gov.ph/GEPSNONPILOT/Tender/SplashBidNoticeAbstractUI.aspx?menuIndex=3&amp;refID=7161614&amp;Result=3","7161614")</f>
        <v>0</v>
      </c>
      <c r="B12348" t="s">
        <v>1286</v>
      </c>
      <c r="C12348" t="s">
        <v>15339</v>
      </c>
      <c r="E12348" t="s">
        <v>27742</v>
      </c>
      <c r="F12348" t="s">
        <v>29372</v>
      </c>
      <c r="G12348" t="s">
        <v>29380</v>
      </c>
      <c r="H12348" t="s">
        <v>11048</v>
      </c>
      <c r="I12348" t="s">
        <v>10408</v>
      </c>
      <c r="J12348" t="s">
        <v>29590</v>
      </c>
      <c r="K12348" t="s">
        <v>38496</v>
      </c>
      <c r="M12348" t="s">
        <v>40115</v>
      </c>
      <c r="N12348" t="s">
        <v>42669</v>
      </c>
      <c r="O12348" t="s">
        <v>42670</v>
      </c>
      <c r="P12348">
        <v>0</v>
      </c>
      <c r="Q12348">
        <v>0</v>
      </c>
      <c r="R12348" t="s">
        <v>42689</v>
      </c>
      <c r="S12348" t="s">
        <v>43461</v>
      </c>
      <c r="T12348" t="s">
        <v>44488</v>
      </c>
      <c r="U12348" t="s">
        <v>54887</v>
      </c>
      <c r="W12348" t="s">
        <v>40115</v>
      </c>
      <c r="X12348" t="s">
        <v>42690</v>
      </c>
    </row>
    <row r="12349" spans="1:24">
      <c r="A12349">
        <f>HYPERLINK("https://www.philgeps.gov.ph/GEPSNONPILOT/Tender/SplashBidNoticeAbstractUI.aspx?menuIndex=3&amp;refID=7161558&amp;Result=3","7161558")</f>
        <v>0</v>
      </c>
      <c r="B12349" t="s">
        <v>3337</v>
      </c>
      <c r="C12349" t="s">
        <v>15340</v>
      </c>
      <c r="D12349" t="s">
        <v>17205</v>
      </c>
      <c r="E12349" t="s">
        <v>27743</v>
      </c>
      <c r="F12349" t="s">
        <v>29372</v>
      </c>
      <c r="G12349" t="s">
        <v>29380</v>
      </c>
      <c r="H12349" t="s">
        <v>29389</v>
      </c>
      <c r="I12349" t="s">
        <v>29417</v>
      </c>
      <c r="J12349" t="s">
        <v>37327</v>
      </c>
      <c r="K12349" t="s">
        <v>38522</v>
      </c>
      <c r="M12349" t="s">
        <v>42425</v>
      </c>
      <c r="N12349" t="s">
        <v>42669</v>
      </c>
      <c r="O12349" t="s">
        <v>42670</v>
      </c>
      <c r="P12349">
        <v>0</v>
      </c>
      <c r="Q12349">
        <v>6</v>
      </c>
      <c r="R12349" t="s">
        <v>42689</v>
      </c>
      <c r="S12349" t="s">
        <v>43461</v>
      </c>
      <c r="T12349" t="s">
        <v>44453</v>
      </c>
      <c r="U12349" t="s">
        <v>54888</v>
      </c>
      <c r="W12349" t="s">
        <v>42425</v>
      </c>
      <c r="X12349" t="s">
        <v>42690</v>
      </c>
    </row>
    <row r="12350" spans="1:24">
      <c r="A12350">
        <f>HYPERLINK("https://www.philgeps.gov.ph/GEPSNONPILOT/Tender/SplashBidNoticeAbstractUI.aspx?menuIndex=3&amp;refID=7161548&amp;Result=3","7161548")</f>
        <v>0</v>
      </c>
      <c r="B12350" t="s">
        <v>3338</v>
      </c>
      <c r="C12350" t="s">
        <v>15341</v>
      </c>
      <c r="D12350" t="s">
        <v>17169</v>
      </c>
      <c r="E12350" t="s">
        <v>27744</v>
      </c>
      <c r="F12350" t="s">
        <v>29372</v>
      </c>
      <c r="G12350" t="s">
        <v>29380</v>
      </c>
      <c r="H12350" t="s">
        <v>29389</v>
      </c>
      <c r="I12350" t="s">
        <v>10408</v>
      </c>
      <c r="J12350" t="s">
        <v>29543</v>
      </c>
      <c r="K12350" t="s">
        <v>38496</v>
      </c>
      <c r="M12350" t="s">
        <v>42426</v>
      </c>
      <c r="N12350" t="s">
        <v>42669</v>
      </c>
      <c r="O12350" t="s">
        <v>42670</v>
      </c>
      <c r="P12350">
        <v>0</v>
      </c>
      <c r="Q12350">
        <v>1</v>
      </c>
      <c r="R12350" t="s">
        <v>42689</v>
      </c>
      <c r="S12350" t="s">
        <v>43461</v>
      </c>
      <c r="T12350" t="s">
        <v>44496</v>
      </c>
      <c r="U12350" t="s">
        <v>54889</v>
      </c>
      <c r="W12350" t="s">
        <v>42426</v>
      </c>
      <c r="X12350" t="s">
        <v>42690</v>
      </c>
    </row>
    <row r="12351" spans="1:24">
      <c r="A12351">
        <f>HYPERLINK("https://www.philgeps.gov.ph/GEPSNONPILOT/Tender/SplashBidNoticeAbstractUI.aspx?menuIndex=3&amp;refID=7161543&amp;Result=3","7161543")</f>
        <v>0</v>
      </c>
      <c r="B12351" t="s">
        <v>382</v>
      </c>
      <c r="C12351" t="s">
        <v>7104</v>
      </c>
      <c r="D12351" t="s">
        <v>17192</v>
      </c>
      <c r="E12351" t="s">
        <v>27745</v>
      </c>
      <c r="F12351" t="s">
        <v>29372</v>
      </c>
      <c r="G12351" t="s">
        <v>29380</v>
      </c>
      <c r="H12351" t="s">
        <v>11048</v>
      </c>
      <c r="I12351" t="s">
        <v>5383</v>
      </c>
      <c r="J12351" t="s">
        <v>37328</v>
      </c>
      <c r="K12351" t="s">
        <v>38490</v>
      </c>
      <c r="M12351" t="s">
        <v>41304</v>
      </c>
      <c r="N12351" t="s">
        <v>42669</v>
      </c>
      <c r="O12351" t="s">
        <v>42670</v>
      </c>
      <c r="P12351">
        <v>0</v>
      </c>
      <c r="Q12351">
        <v>3</v>
      </c>
      <c r="R12351" t="s">
        <v>42689</v>
      </c>
      <c r="S12351" t="s">
        <v>43461</v>
      </c>
      <c r="T12351" t="s">
        <v>44371</v>
      </c>
      <c r="U12351" t="s">
        <v>54890</v>
      </c>
      <c r="W12351" t="s">
        <v>41304</v>
      </c>
      <c r="X12351" t="s">
        <v>42690</v>
      </c>
    </row>
    <row r="12352" spans="1:24">
      <c r="A12352">
        <f>HYPERLINK("https://www.philgeps.gov.ph/GEPSNONPILOT/Tender/SplashBidNoticeAbstractUI.aspx?menuIndex=3&amp;refID=7161523&amp;Result=3","7161523")</f>
        <v>0</v>
      </c>
      <c r="B12352" t="s">
        <v>3334</v>
      </c>
      <c r="C12352" t="s">
        <v>15342</v>
      </c>
      <c r="D12352" t="s">
        <v>17196</v>
      </c>
      <c r="E12352" t="s">
        <v>17771</v>
      </c>
      <c r="F12352" t="s">
        <v>29372</v>
      </c>
      <c r="G12352" t="s">
        <v>29380</v>
      </c>
      <c r="H12352" t="s">
        <v>11048</v>
      </c>
      <c r="I12352" t="s">
        <v>29407</v>
      </c>
      <c r="J12352" t="s">
        <v>30728</v>
      </c>
      <c r="K12352" t="s">
        <v>38487</v>
      </c>
      <c r="M12352" t="s">
        <v>42421</v>
      </c>
      <c r="N12352" t="s">
        <v>42669</v>
      </c>
      <c r="O12352" t="s">
        <v>42670</v>
      </c>
      <c r="P12352">
        <v>0</v>
      </c>
      <c r="Q12352">
        <v>8</v>
      </c>
      <c r="R12352" t="s">
        <v>42689</v>
      </c>
      <c r="S12352" t="s">
        <v>43461</v>
      </c>
      <c r="T12352" t="s">
        <v>44387</v>
      </c>
      <c r="U12352" t="s">
        <v>54891</v>
      </c>
      <c r="W12352" t="s">
        <v>58126</v>
      </c>
      <c r="X12352" t="s">
        <v>42690</v>
      </c>
    </row>
    <row r="12353" spans="1:24">
      <c r="A12353">
        <f>HYPERLINK("https://www.philgeps.gov.ph/GEPSNONPILOT/Tender/SplashBidNoticeAbstractUI.aspx?menuIndex=3&amp;refID=7161584&amp;Result=3","7161584")</f>
        <v>0</v>
      </c>
      <c r="B12353" t="s">
        <v>1075</v>
      </c>
      <c r="C12353" t="s">
        <v>15343</v>
      </c>
      <c r="E12353" t="s">
        <v>27746</v>
      </c>
      <c r="F12353" t="s">
        <v>29372</v>
      </c>
      <c r="G12353" t="s">
        <v>29380</v>
      </c>
      <c r="H12353" t="s">
        <v>29390</v>
      </c>
      <c r="I12353" t="s">
        <v>29516</v>
      </c>
      <c r="J12353" t="s">
        <v>37329</v>
      </c>
      <c r="K12353" t="s">
        <v>38629</v>
      </c>
      <c r="M12353" t="s">
        <v>39882</v>
      </c>
      <c r="N12353" t="s">
        <v>42669</v>
      </c>
      <c r="O12353" t="s">
        <v>42670</v>
      </c>
      <c r="Q12353">
        <v>5</v>
      </c>
      <c r="R12353" t="s">
        <v>42689</v>
      </c>
      <c r="S12353" t="s">
        <v>43571</v>
      </c>
      <c r="T12353" t="s">
        <v>44386</v>
      </c>
      <c r="U12353" t="s">
        <v>54892</v>
      </c>
      <c r="V12353" t="s">
        <v>57783</v>
      </c>
      <c r="W12353" t="s">
        <v>39882</v>
      </c>
      <c r="X12353" t="s">
        <v>42690</v>
      </c>
    </row>
    <row r="12354" spans="1:24">
      <c r="A12354">
        <f>HYPERLINK("https://www.philgeps.gov.ph/GEPSNONPILOT/Tender/SplashBidNoticeAbstractUI.aspx?menuIndex=3&amp;refID=7161563&amp;Result=3","7161563")</f>
        <v>0</v>
      </c>
      <c r="B12354" t="s">
        <v>1075</v>
      </c>
      <c r="C12354" t="s">
        <v>15344</v>
      </c>
      <c r="E12354" t="s">
        <v>27747</v>
      </c>
      <c r="F12354" t="s">
        <v>29372</v>
      </c>
      <c r="G12354" t="s">
        <v>29380</v>
      </c>
      <c r="H12354" t="s">
        <v>29390</v>
      </c>
      <c r="I12354" t="s">
        <v>29516</v>
      </c>
      <c r="J12354" t="s">
        <v>37330</v>
      </c>
      <c r="K12354" t="s">
        <v>38629</v>
      </c>
      <c r="M12354" t="s">
        <v>39882</v>
      </c>
      <c r="N12354" t="s">
        <v>42669</v>
      </c>
      <c r="O12354" t="s">
        <v>42670</v>
      </c>
      <c r="Q12354">
        <v>5</v>
      </c>
      <c r="R12354" t="s">
        <v>42689</v>
      </c>
      <c r="S12354" t="s">
        <v>43572</v>
      </c>
      <c r="T12354" t="s">
        <v>44371</v>
      </c>
      <c r="U12354" t="s">
        <v>54893</v>
      </c>
      <c r="V12354" t="s">
        <v>57784</v>
      </c>
      <c r="W12354" t="s">
        <v>39882</v>
      </c>
      <c r="X12354" t="s">
        <v>42690</v>
      </c>
    </row>
    <row r="12355" spans="1:24">
      <c r="A12355">
        <f>HYPERLINK("https://www.philgeps.gov.ph/GEPSNONPILOT/Tender/SplashBidNoticeAbstractUI.aspx?menuIndex=3&amp;refID=7161516&amp;Result=3","7161516")</f>
        <v>0</v>
      </c>
      <c r="B12355" t="s">
        <v>3334</v>
      </c>
      <c r="C12355" t="s">
        <v>15345</v>
      </c>
      <c r="D12355" t="s">
        <v>17196</v>
      </c>
      <c r="E12355" t="s">
        <v>17733</v>
      </c>
      <c r="F12355" t="s">
        <v>29372</v>
      </c>
      <c r="G12355" t="s">
        <v>29380</v>
      </c>
      <c r="H12355" t="s">
        <v>11048</v>
      </c>
      <c r="I12355" t="s">
        <v>3695</v>
      </c>
      <c r="J12355" t="s">
        <v>29590</v>
      </c>
      <c r="K12355" t="s">
        <v>38487</v>
      </c>
      <c r="M12355" t="s">
        <v>42421</v>
      </c>
      <c r="N12355" t="s">
        <v>42669</v>
      </c>
      <c r="O12355" t="s">
        <v>42670</v>
      </c>
      <c r="P12355">
        <v>0</v>
      </c>
      <c r="Q12355">
        <v>7</v>
      </c>
      <c r="R12355" t="s">
        <v>42689</v>
      </c>
      <c r="S12355" t="s">
        <v>43461</v>
      </c>
      <c r="T12355" t="s">
        <v>44387</v>
      </c>
      <c r="U12355" t="s">
        <v>54894</v>
      </c>
      <c r="W12355" t="s">
        <v>58126</v>
      </c>
      <c r="X12355" t="s">
        <v>42690</v>
      </c>
    </row>
    <row r="12356" spans="1:24">
      <c r="A12356">
        <f>HYPERLINK("https://www.philgeps.gov.ph/GEPSNONPILOT/Tender/SplashBidNoticeAbstractUI.aspx?menuIndex=3&amp;refID=7161703&amp;Result=3","7161703")</f>
        <v>0</v>
      </c>
      <c r="B12356" t="s">
        <v>3130</v>
      </c>
      <c r="C12356" t="s">
        <v>15346</v>
      </c>
      <c r="D12356" t="s">
        <v>17171</v>
      </c>
      <c r="E12356" t="s">
        <v>27748</v>
      </c>
      <c r="F12356" t="s">
        <v>29372</v>
      </c>
      <c r="G12356" t="s">
        <v>29380</v>
      </c>
      <c r="H12356" t="s">
        <v>29389</v>
      </c>
      <c r="I12356" t="s">
        <v>29417</v>
      </c>
      <c r="J12356" t="s">
        <v>30308</v>
      </c>
      <c r="K12356" t="s">
        <v>38522</v>
      </c>
      <c r="M12356" t="s">
        <v>42174</v>
      </c>
      <c r="N12356" t="s">
        <v>42669</v>
      </c>
      <c r="O12356" t="s">
        <v>42670</v>
      </c>
      <c r="Q12356">
        <v>16</v>
      </c>
      <c r="R12356" t="s">
        <v>42689</v>
      </c>
      <c r="S12356" t="s">
        <v>43573</v>
      </c>
      <c r="T12356" t="s">
        <v>44391</v>
      </c>
      <c r="U12356" t="s">
        <v>54895</v>
      </c>
      <c r="W12356" t="s">
        <v>58123</v>
      </c>
      <c r="X12356" t="s">
        <v>42690</v>
      </c>
    </row>
    <row r="12357" spans="1:24">
      <c r="A12357">
        <f>HYPERLINK("https://www.philgeps.gov.ph/GEPSNONPILOT/Tender/SplashBidNoticeAbstractUI.aspx?menuIndex=3&amp;refID=7110874&amp;Result=3","7110874")</f>
        <v>0</v>
      </c>
      <c r="B12357" t="s">
        <v>3266</v>
      </c>
      <c r="C12357" t="s">
        <v>15347</v>
      </c>
      <c r="D12357" t="s">
        <v>17171</v>
      </c>
      <c r="E12357" t="s">
        <v>17714</v>
      </c>
      <c r="F12357" t="s">
        <v>29372</v>
      </c>
      <c r="G12357" t="s">
        <v>29380</v>
      </c>
      <c r="H12357" t="s">
        <v>11048</v>
      </c>
      <c r="I12357" t="s">
        <v>4709</v>
      </c>
      <c r="J12357" t="s">
        <v>37331</v>
      </c>
      <c r="K12357" t="s">
        <v>38490</v>
      </c>
      <c r="M12357" t="s">
        <v>42337</v>
      </c>
      <c r="N12357" t="s">
        <v>42669</v>
      </c>
      <c r="O12357" t="s">
        <v>42670</v>
      </c>
      <c r="P12357">
        <v>0</v>
      </c>
      <c r="Q12357">
        <v>1</v>
      </c>
      <c r="R12357" t="s">
        <v>42690</v>
      </c>
      <c r="S12357" t="s">
        <v>43574</v>
      </c>
      <c r="T12357" t="s">
        <v>44387</v>
      </c>
      <c r="U12357" t="s">
        <v>54896</v>
      </c>
      <c r="W12357" t="s">
        <v>42337</v>
      </c>
      <c r="X12357" t="s">
        <v>42714</v>
      </c>
    </row>
    <row r="12358" spans="1:24">
      <c r="A12358">
        <f>HYPERLINK("https://www.philgeps.gov.ph/GEPSNONPILOT/Tender/SplashBidNoticeAbstractUI.aspx?menuIndex=3&amp;refID=7161375&amp;Result=3","7161375")</f>
        <v>0</v>
      </c>
      <c r="B12358" t="s">
        <v>1046</v>
      </c>
      <c r="C12358" t="s">
        <v>15348</v>
      </c>
      <c r="D12358" t="s">
        <v>17178</v>
      </c>
      <c r="E12358" t="s">
        <v>27749</v>
      </c>
      <c r="F12358" t="s">
        <v>29372</v>
      </c>
      <c r="G12358" t="s">
        <v>29380</v>
      </c>
      <c r="H12358" t="s">
        <v>11048</v>
      </c>
      <c r="I12358" t="s">
        <v>29393</v>
      </c>
      <c r="J12358" t="s">
        <v>37332</v>
      </c>
      <c r="K12358" t="s">
        <v>38488</v>
      </c>
      <c r="M12358" t="s">
        <v>39851</v>
      </c>
      <c r="N12358" t="s">
        <v>42669</v>
      </c>
      <c r="O12358" t="s">
        <v>42670</v>
      </c>
      <c r="P12358">
        <v>0</v>
      </c>
      <c r="Q12358">
        <v>1</v>
      </c>
      <c r="R12358" t="s">
        <v>42689</v>
      </c>
      <c r="S12358" t="s">
        <v>43461</v>
      </c>
      <c r="T12358" t="s">
        <v>44488</v>
      </c>
      <c r="U12358" t="s">
        <v>54847</v>
      </c>
      <c r="W12358" t="s">
        <v>39851</v>
      </c>
      <c r="X12358" t="s">
        <v>42690</v>
      </c>
    </row>
    <row r="12359" spans="1:24">
      <c r="A12359">
        <f>HYPERLINK("https://www.philgeps.gov.ph/GEPSNONPILOT/Tender/SplashBidNoticeAbstractUI.aspx?menuIndex=3&amp;refID=7161743&amp;Result=3","7161743")</f>
        <v>0</v>
      </c>
      <c r="B12359" t="s">
        <v>498</v>
      </c>
      <c r="C12359" t="s">
        <v>15349</v>
      </c>
      <c r="D12359" t="s">
        <v>17141</v>
      </c>
      <c r="E12359" t="s">
        <v>18463</v>
      </c>
      <c r="F12359" t="s">
        <v>29372</v>
      </c>
      <c r="G12359" t="s">
        <v>29380</v>
      </c>
      <c r="H12359" t="s">
        <v>29390</v>
      </c>
      <c r="I12359" t="s">
        <v>29399</v>
      </c>
      <c r="J12359" t="s">
        <v>29728</v>
      </c>
      <c r="K12359" t="s">
        <v>38485</v>
      </c>
      <c r="M12359" t="s">
        <v>39263</v>
      </c>
      <c r="N12359" t="s">
        <v>42669</v>
      </c>
      <c r="O12359" t="s">
        <v>42670</v>
      </c>
      <c r="Q12359">
        <v>10</v>
      </c>
      <c r="R12359" t="s">
        <v>42689</v>
      </c>
      <c r="S12359" t="s">
        <v>43575</v>
      </c>
      <c r="T12359" t="s">
        <v>44387</v>
      </c>
      <c r="U12359" t="s">
        <v>54897</v>
      </c>
      <c r="W12359" t="s">
        <v>39263</v>
      </c>
      <c r="X12359" t="s">
        <v>42690</v>
      </c>
    </row>
    <row r="12360" spans="1:24">
      <c r="A12360">
        <f>HYPERLINK("https://www.philgeps.gov.ph/GEPSNONPILOT/Tender/SplashBidNoticeAbstractUI.aspx?menuIndex=3&amp;refID=7161547&amp;Result=3","7161547")</f>
        <v>0</v>
      </c>
      <c r="B12360" t="s">
        <v>382</v>
      </c>
      <c r="C12360" t="s">
        <v>15350</v>
      </c>
      <c r="D12360" t="s">
        <v>17192</v>
      </c>
      <c r="E12360" t="s">
        <v>27750</v>
      </c>
      <c r="F12360" t="s">
        <v>29372</v>
      </c>
      <c r="G12360" t="s">
        <v>29380</v>
      </c>
      <c r="H12360" t="s">
        <v>29390</v>
      </c>
      <c r="I12360" t="s">
        <v>8208</v>
      </c>
      <c r="J12360" t="s">
        <v>37333</v>
      </c>
      <c r="K12360" t="s">
        <v>38491</v>
      </c>
      <c r="M12360" t="s">
        <v>41304</v>
      </c>
      <c r="N12360" t="s">
        <v>42669</v>
      </c>
      <c r="O12360" t="s">
        <v>42670</v>
      </c>
      <c r="P12360">
        <v>0</v>
      </c>
      <c r="Q12360">
        <v>1</v>
      </c>
      <c r="R12360" t="s">
        <v>42689</v>
      </c>
      <c r="S12360" t="s">
        <v>43461</v>
      </c>
      <c r="T12360" t="s">
        <v>44371</v>
      </c>
      <c r="U12360" t="s">
        <v>54898</v>
      </c>
      <c r="W12360" t="s">
        <v>41304</v>
      </c>
      <c r="X12360" t="s">
        <v>42690</v>
      </c>
    </row>
    <row r="12361" spans="1:24">
      <c r="A12361">
        <f>HYPERLINK("https://www.philgeps.gov.ph/GEPSNONPILOT/Tender/SplashBidNoticeAbstractUI.aspx?menuIndex=3&amp;refID=7161694&amp;Result=3","7161694")</f>
        <v>0</v>
      </c>
      <c r="B12361" t="s">
        <v>3130</v>
      </c>
      <c r="C12361" t="s">
        <v>15351</v>
      </c>
      <c r="D12361" t="s">
        <v>17171</v>
      </c>
      <c r="E12361" t="s">
        <v>27751</v>
      </c>
      <c r="F12361" t="s">
        <v>29372</v>
      </c>
      <c r="G12361" t="s">
        <v>29380</v>
      </c>
      <c r="H12361" t="s">
        <v>29389</v>
      </c>
      <c r="I12361" t="s">
        <v>10408</v>
      </c>
      <c r="J12361" t="s">
        <v>37334</v>
      </c>
      <c r="K12361" t="s">
        <v>38564</v>
      </c>
      <c r="M12361" t="s">
        <v>42174</v>
      </c>
      <c r="N12361" t="s">
        <v>42669</v>
      </c>
      <c r="O12361" t="s">
        <v>42670</v>
      </c>
      <c r="Q12361">
        <v>17</v>
      </c>
      <c r="R12361" t="s">
        <v>42689</v>
      </c>
      <c r="S12361" t="s">
        <v>43576</v>
      </c>
      <c r="T12361" t="s">
        <v>44391</v>
      </c>
      <c r="U12361" t="s">
        <v>54899</v>
      </c>
      <c r="W12361" t="s">
        <v>58123</v>
      </c>
      <c r="X12361" t="s">
        <v>42690</v>
      </c>
    </row>
    <row r="12362" spans="1:24">
      <c r="A12362">
        <f>HYPERLINK("https://www.philgeps.gov.ph/GEPSNONPILOT/Tender/SplashBidNoticeAbstractUI.aspx?menuIndex=3&amp;refID=7161709&amp;Result=3","7161709")</f>
        <v>0</v>
      </c>
      <c r="B12362" t="s">
        <v>998</v>
      </c>
      <c r="C12362" t="s">
        <v>15352</v>
      </c>
      <c r="D12362" t="s">
        <v>17141</v>
      </c>
      <c r="E12362" t="s">
        <v>27752</v>
      </c>
      <c r="F12362" t="s">
        <v>29372</v>
      </c>
      <c r="G12362" t="s">
        <v>29380</v>
      </c>
      <c r="H12362" t="s">
        <v>11048</v>
      </c>
      <c r="I12362" t="s">
        <v>8614</v>
      </c>
      <c r="J12362" t="s">
        <v>37335</v>
      </c>
      <c r="K12362" t="s">
        <v>38598</v>
      </c>
      <c r="M12362" t="s">
        <v>42427</v>
      </c>
      <c r="N12362" t="s">
        <v>42669</v>
      </c>
      <c r="O12362" t="s">
        <v>42670</v>
      </c>
      <c r="Q12362">
        <v>25</v>
      </c>
      <c r="R12362" t="s">
        <v>42689</v>
      </c>
      <c r="S12362" t="s">
        <v>43577</v>
      </c>
      <c r="T12362" t="s">
        <v>44517</v>
      </c>
      <c r="U12362" t="s">
        <v>54900</v>
      </c>
      <c r="V12362" t="s">
        <v>57785</v>
      </c>
      <c r="W12362" t="s">
        <v>42427</v>
      </c>
      <c r="X12362" t="s">
        <v>42690</v>
      </c>
    </row>
    <row r="12363" spans="1:24">
      <c r="A12363">
        <f>HYPERLINK("https://www.philgeps.gov.ph/GEPSNONPILOT/Tender/SplashBidNoticeAbstractUI.aspx?menuIndex=3&amp;refID=7161718&amp;Result=3","7161718")</f>
        <v>0</v>
      </c>
      <c r="B12363" t="s">
        <v>338</v>
      </c>
      <c r="C12363" t="s">
        <v>15353</v>
      </c>
      <c r="E12363" t="s">
        <v>27753</v>
      </c>
      <c r="F12363" t="s">
        <v>29372</v>
      </c>
      <c r="G12363" t="s">
        <v>29380</v>
      </c>
      <c r="H12363" t="s">
        <v>11048</v>
      </c>
      <c r="I12363" t="s">
        <v>8614</v>
      </c>
      <c r="J12363" t="s">
        <v>31498</v>
      </c>
      <c r="K12363" t="s">
        <v>38569</v>
      </c>
      <c r="M12363" t="s">
        <v>42428</v>
      </c>
      <c r="N12363" t="s">
        <v>42669</v>
      </c>
      <c r="O12363" t="s">
        <v>42670</v>
      </c>
      <c r="Q12363">
        <v>17</v>
      </c>
      <c r="R12363" t="s">
        <v>42689</v>
      </c>
      <c r="S12363" t="s">
        <v>43578</v>
      </c>
      <c r="T12363" t="s">
        <v>44427</v>
      </c>
      <c r="U12363" t="s">
        <v>54901</v>
      </c>
      <c r="W12363" t="s">
        <v>42428</v>
      </c>
      <c r="X12363" t="s">
        <v>42690</v>
      </c>
    </row>
    <row r="12364" spans="1:24">
      <c r="A12364">
        <f>HYPERLINK("https://www.philgeps.gov.ph/GEPSNONPILOT/Tender/SplashBidNoticeAbstractUI.aspx?menuIndex=3&amp;refID=7161683&amp;Result=3","7161683")</f>
        <v>0</v>
      </c>
      <c r="B12364" t="s">
        <v>413</v>
      </c>
      <c r="C12364" t="s">
        <v>15354</v>
      </c>
      <c r="D12364" t="s">
        <v>17214</v>
      </c>
      <c r="E12364" t="s">
        <v>27754</v>
      </c>
      <c r="F12364" t="s">
        <v>29372</v>
      </c>
      <c r="G12364" t="s">
        <v>29380</v>
      </c>
      <c r="H12364" t="s">
        <v>11048</v>
      </c>
      <c r="I12364" t="s">
        <v>29425</v>
      </c>
      <c r="J12364" t="s">
        <v>29801</v>
      </c>
      <c r="K12364" t="s">
        <v>38495</v>
      </c>
      <c r="M12364" t="s">
        <v>39177</v>
      </c>
      <c r="N12364" t="s">
        <v>42669</v>
      </c>
      <c r="O12364" t="s">
        <v>42670</v>
      </c>
      <c r="P12364">
        <v>0</v>
      </c>
      <c r="Q12364">
        <v>10</v>
      </c>
      <c r="R12364" t="s">
        <v>42689</v>
      </c>
      <c r="S12364" t="s">
        <v>43461</v>
      </c>
      <c r="T12364" t="s">
        <v>44631</v>
      </c>
      <c r="U12364" t="s">
        <v>54902</v>
      </c>
      <c r="V12364" t="s">
        <v>57786</v>
      </c>
      <c r="W12364" t="s">
        <v>39177</v>
      </c>
      <c r="X12364" t="s">
        <v>42690</v>
      </c>
    </row>
    <row r="12365" spans="1:24">
      <c r="A12365">
        <f>HYPERLINK("https://www.philgeps.gov.ph/GEPSNONPILOT/Tender/SplashBidNoticeAbstractUI.aspx?menuIndex=3&amp;refID=7161382&amp;Result=3","7161382")</f>
        <v>0</v>
      </c>
      <c r="B12365" t="s">
        <v>1046</v>
      </c>
      <c r="C12365" t="s">
        <v>15355</v>
      </c>
      <c r="D12365" t="s">
        <v>17178</v>
      </c>
      <c r="E12365" t="s">
        <v>27755</v>
      </c>
      <c r="F12365" t="s">
        <v>29372</v>
      </c>
      <c r="G12365" t="s">
        <v>29380</v>
      </c>
      <c r="H12365" t="s">
        <v>11048</v>
      </c>
      <c r="I12365" t="s">
        <v>4709</v>
      </c>
      <c r="J12365" t="s">
        <v>37336</v>
      </c>
      <c r="K12365" t="s">
        <v>38485</v>
      </c>
      <c r="M12365" t="s">
        <v>39851</v>
      </c>
      <c r="N12365" t="s">
        <v>42669</v>
      </c>
      <c r="O12365" t="s">
        <v>42670</v>
      </c>
      <c r="P12365">
        <v>0</v>
      </c>
      <c r="Q12365">
        <v>4</v>
      </c>
      <c r="R12365" t="s">
        <v>42689</v>
      </c>
      <c r="S12365" t="s">
        <v>43461</v>
      </c>
      <c r="T12365" t="s">
        <v>44488</v>
      </c>
      <c r="U12365" t="s">
        <v>54847</v>
      </c>
      <c r="W12365" t="s">
        <v>39851</v>
      </c>
      <c r="X12365" t="s">
        <v>42690</v>
      </c>
    </row>
    <row r="12366" spans="1:24">
      <c r="A12366">
        <f>HYPERLINK("https://www.philgeps.gov.ph/GEPSNONPILOT/Tender/SplashBidNoticeAbstractUI.aspx?menuIndex=3&amp;refID=7161677&amp;Result=3","7161677")</f>
        <v>0</v>
      </c>
      <c r="B12366" t="s">
        <v>3130</v>
      </c>
      <c r="C12366" t="s">
        <v>15356</v>
      </c>
      <c r="D12366" t="s">
        <v>17171</v>
      </c>
      <c r="E12366" t="s">
        <v>27756</v>
      </c>
      <c r="F12366" t="s">
        <v>29372</v>
      </c>
      <c r="G12366" t="s">
        <v>29380</v>
      </c>
      <c r="H12366" t="s">
        <v>29389</v>
      </c>
      <c r="I12366" t="s">
        <v>10408</v>
      </c>
      <c r="J12366" t="s">
        <v>37337</v>
      </c>
      <c r="K12366" t="s">
        <v>38522</v>
      </c>
      <c r="M12366" t="s">
        <v>42174</v>
      </c>
      <c r="N12366" t="s">
        <v>42669</v>
      </c>
      <c r="O12366" t="s">
        <v>42670</v>
      </c>
      <c r="Q12366">
        <v>17</v>
      </c>
      <c r="R12366" t="s">
        <v>42689</v>
      </c>
      <c r="S12366" t="s">
        <v>43579</v>
      </c>
      <c r="T12366" t="s">
        <v>44391</v>
      </c>
      <c r="U12366" t="s">
        <v>54903</v>
      </c>
      <c r="W12366" t="s">
        <v>58123</v>
      </c>
      <c r="X12366" t="s">
        <v>42690</v>
      </c>
    </row>
    <row r="12367" spans="1:24">
      <c r="A12367">
        <f>HYPERLINK("https://www.philgeps.gov.ph/GEPSNONPILOT/Tender/SplashBidNoticeAbstractUI.aspx?menuIndex=3&amp;refID=7161674&amp;Result=3","7161674")</f>
        <v>0</v>
      </c>
      <c r="B12367" t="s">
        <v>1575</v>
      </c>
      <c r="C12367" t="s">
        <v>15357</v>
      </c>
      <c r="D12367" t="s">
        <v>17170</v>
      </c>
      <c r="E12367" t="s">
        <v>27757</v>
      </c>
      <c r="F12367" t="s">
        <v>29372</v>
      </c>
      <c r="G12367" t="s">
        <v>29380</v>
      </c>
      <c r="H12367" t="s">
        <v>11048</v>
      </c>
      <c r="I12367" t="s">
        <v>9469</v>
      </c>
      <c r="J12367" t="s">
        <v>29937</v>
      </c>
      <c r="K12367" t="s">
        <v>38485</v>
      </c>
      <c r="M12367" t="s">
        <v>40425</v>
      </c>
      <c r="N12367" t="s">
        <v>42669</v>
      </c>
      <c r="O12367" t="s">
        <v>42670</v>
      </c>
      <c r="P12367">
        <v>0</v>
      </c>
      <c r="Q12367">
        <v>1</v>
      </c>
      <c r="R12367" t="s">
        <v>42689</v>
      </c>
      <c r="S12367" t="s">
        <v>43461</v>
      </c>
      <c r="T12367" t="s">
        <v>44397</v>
      </c>
      <c r="U12367" t="s">
        <v>54904</v>
      </c>
      <c r="W12367" t="s">
        <v>40425</v>
      </c>
      <c r="X12367" t="s">
        <v>42690</v>
      </c>
    </row>
    <row r="12368" spans="1:24">
      <c r="A12368">
        <f>HYPERLINK("https://www.philgeps.gov.ph/GEPSNONPILOT/Tender/SplashBidNoticeAbstractUI.aspx?menuIndex=3&amp;refID=7161672&amp;Result=3","7161672")</f>
        <v>0</v>
      </c>
      <c r="B12368" t="s">
        <v>413</v>
      </c>
      <c r="C12368" t="s">
        <v>15358</v>
      </c>
      <c r="D12368" t="s">
        <v>17214</v>
      </c>
      <c r="E12368" t="s">
        <v>27758</v>
      </c>
      <c r="F12368" t="s">
        <v>29372</v>
      </c>
      <c r="G12368" t="s">
        <v>29380</v>
      </c>
      <c r="H12368" t="s">
        <v>11048</v>
      </c>
      <c r="I12368" t="s">
        <v>29425</v>
      </c>
      <c r="J12368" t="s">
        <v>37338</v>
      </c>
      <c r="K12368" t="s">
        <v>38522</v>
      </c>
      <c r="M12368" t="s">
        <v>39177</v>
      </c>
      <c r="N12368" t="s">
        <v>42669</v>
      </c>
      <c r="O12368" t="s">
        <v>42670</v>
      </c>
      <c r="Q12368">
        <v>7</v>
      </c>
      <c r="R12368" t="s">
        <v>42689</v>
      </c>
      <c r="S12368" t="s">
        <v>43580</v>
      </c>
      <c r="T12368" t="s">
        <v>44558</v>
      </c>
      <c r="U12368" t="s">
        <v>54902</v>
      </c>
      <c r="V12368" t="s">
        <v>56550</v>
      </c>
      <c r="W12368" t="s">
        <v>39177</v>
      </c>
      <c r="X12368" t="s">
        <v>42690</v>
      </c>
    </row>
    <row r="12369" spans="1:24">
      <c r="A12369">
        <f>HYPERLINK("https://www.philgeps.gov.ph/GEPSNONPILOT/Tender/SplashBidNoticeAbstractUI.aspx?menuIndex=3&amp;refID=7161671&amp;Result=3","7161671")</f>
        <v>0</v>
      </c>
      <c r="B12369" t="s">
        <v>3017</v>
      </c>
      <c r="C12369" t="s">
        <v>15359</v>
      </c>
      <c r="D12369" t="s">
        <v>17182</v>
      </c>
      <c r="E12369" t="s">
        <v>27759</v>
      </c>
      <c r="F12369" t="s">
        <v>29372</v>
      </c>
      <c r="G12369" t="s">
        <v>29380</v>
      </c>
      <c r="H12369" t="s">
        <v>11048</v>
      </c>
      <c r="I12369" t="s">
        <v>29466</v>
      </c>
      <c r="J12369" t="s">
        <v>30244</v>
      </c>
      <c r="K12369" t="s">
        <v>38487</v>
      </c>
      <c r="M12369" t="s">
        <v>42037</v>
      </c>
      <c r="N12369" t="s">
        <v>42669</v>
      </c>
      <c r="O12369" t="s">
        <v>42670</v>
      </c>
      <c r="P12369">
        <v>0</v>
      </c>
      <c r="Q12369">
        <v>1</v>
      </c>
      <c r="R12369" t="s">
        <v>42689</v>
      </c>
      <c r="S12369" t="s">
        <v>43461</v>
      </c>
      <c r="T12369" t="s">
        <v>44488</v>
      </c>
      <c r="U12369" t="s">
        <v>54905</v>
      </c>
      <c r="V12369" t="s">
        <v>57787</v>
      </c>
      <c r="W12369" t="s">
        <v>42037</v>
      </c>
      <c r="X12369" t="s">
        <v>42690</v>
      </c>
    </row>
    <row r="12370" spans="1:24">
      <c r="A12370">
        <f>HYPERLINK("https://www.philgeps.gov.ph/GEPSNONPILOT/Tender/SplashBidNoticeAbstractUI.aspx?menuIndex=3&amp;refID=7161471&amp;Result=3","7161471")</f>
        <v>0</v>
      </c>
      <c r="B12370" t="s">
        <v>3334</v>
      </c>
      <c r="C12370" t="s">
        <v>15360</v>
      </c>
      <c r="D12370" t="s">
        <v>17196</v>
      </c>
      <c r="E12370" t="s">
        <v>17731</v>
      </c>
      <c r="F12370" t="s">
        <v>29372</v>
      </c>
      <c r="G12370" t="s">
        <v>29380</v>
      </c>
      <c r="H12370" t="s">
        <v>11048</v>
      </c>
      <c r="I12370" t="s">
        <v>29415</v>
      </c>
      <c r="J12370" t="s">
        <v>29549</v>
      </c>
      <c r="K12370" t="s">
        <v>38487</v>
      </c>
      <c r="M12370" t="s">
        <v>42421</v>
      </c>
      <c r="N12370" t="s">
        <v>42669</v>
      </c>
      <c r="O12370" t="s">
        <v>42670</v>
      </c>
      <c r="P12370">
        <v>0</v>
      </c>
      <c r="Q12370">
        <v>5</v>
      </c>
      <c r="R12370" t="s">
        <v>42689</v>
      </c>
      <c r="S12370" t="s">
        <v>43461</v>
      </c>
      <c r="T12370" t="s">
        <v>44387</v>
      </c>
      <c r="U12370" t="s">
        <v>54906</v>
      </c>
      <c r="W12370" t="s">
        <v>58126</v>
      </c>
      <c r="X12370" t="s">
        <v>42690</v>
      </c>
    </row>
    <row r="12371" spans="1:24">
      <c r="A12371">
        <f>HYPERLINK("https://www.philgeps.gov.ph/GEPSNONPILOT/Tender/SplashBidNoticeAbstractUI.aspx?menuIndex=3&amp;refID=7161664&amp;Result=3","7161664")</f>
        <v>0</v>
      </c>
      <c r="B12371" t="s">
        <v>2272</v>
      </c>
      <c r="C12371" t="s">
        <v>15361</v>
      </c>
      <c r="D12371" t="s">
        <v>17171</v>
      </c>
      <c r="E12371" t="s">
        <v>19807</v>
      </c>
      <c r="F12371" t="s">
        <v>29372</v>
      </c>
      <c r="G12371" t="s">
        <v>29379</v>
      </c>
      <c r="H12371" t="s">
        <v>11048</v>
      </c>
      <c r="I12371" t="s">
        <v>29452</v>
      </c>
      <c r="J12371" t="s">
        <v>30149</v>
      </c>
      <c r="K12371" t="s">
        <v>38534</v>
      </c>
      <c r="M12371" t="s">
        <v>41194</v>
      </c>
      <c r="N12371" t="s">
        <v>42669</v>
      </c>
      <c r="O12371" t="s">
        <v>42670</v>
      </c>
      <c r="P12371">
        <v>0</v>
      </c>
      <c r="Q12371">
        <v>1</v>
      </c>
      <c r="R12371" t="s">
        <v>42689</v>
      </c>
      <c r="S12371" t="s">
        <v>43461</v>
      </c>
      <c r="T12371" t="s">
        <v>44502</v>
      </c>
      <c r="U12371" t="s">
        <v>54907</v>
      </c>
      <c r="W12371" t="s">
        <v>41194</v>
      </c>
      <c r="X12371" t="s">
        <v>42690</v>
      </c>
    </row>
    <row r="12372" spans="1:24">
      <c r="A12372">
        <f>HYPERLINK("https://www.philgeps.gov.ph/GEPSNONPILOT/Tender/SplashBidNoticeAbstractUI.aspx?menuIndex=3&amp;refID=7149527&amp;Result=3","7149527")</f>
        <v>0</v>
      </c>
      <c r="B12372" t="s">
        <v>3028</v>
      </c>
      <c r="C12372" t="s">
        <v>15362</v>
      </c>
      <c r="D12372" t="s">
        <v>17144</v>
      </c>
      <c r="E12372" t="s">
        <v>27760</v>
      </c>
      <c r="F12372" t="s">
        <v>29372</v>
      </c>
      <c r="G12372" t="s">
        <v>29385</v>
      </c>
      <c r="H12372" t="s">
        <v>11048</v>
      </c>
      <c r="I12372" t="s">
        <v>4709</v>
      </c>
      <c r="J12372" t="s">
        <v>37339</v>
      </c>
      <c r="K12372" t="s">
        <v>38485</v>
      </c>
      <c r="M12372" t="s">
        <v>42050</v>
      </c>
      <c r="N12372" t="s">
        <v>42669</v>
      </c>
      <c r="O12372" t="s">
        <v>42670</v>
      </c>
      <c r="P12372">
        <v>0</v>
      </c>
      <c r="Q12372">
        <v>1</v>
      </c>
      <c r="R12372" t="s">
        <v>42690</v>
      </c>
      <c r="S12372" t="s">
        <v>43574</v>
      </c>
      <c r="T12372" t="s">
        <v>44456</v>
      </c>
      <c r="U12372" t="s">
        <v>54908</v>
      </c>
      <c r="W12372" t="s">
        <v>42050</v>
      </c>
      <c r="X12372" t="s">
        <v>42693</v>
      </c>
    </row>
    <row r="12373" spans="1:24">
      <c r="A12373">
        <f>HYPERLINK("https://www.philgeps.gov.ph/GEPSNONPILOT/Tender/SplashBidNoticeAbstractUI.aspx?menuIndex=3&amp;refID=7161738&amp;Result=3","7161738")</f>
        <v>0</v>
      </c>
      <c r="B12373" t="s">
        <v>372</v>
      </c>
      <c r="C12373" t="s">
        <v>15363</v>
      </c>
      <c r="D12373" t="s">
        <v>17180</v>
      </c>
      <c r="E12373" t="s">
        <v>24429</v>
      </c>
      <c r="F12373" t="s">
        <v>29372</v>
      </c>
      <c r="G12373" t="s">
        <v>29380</v>
      </c>
      <c r="H12373" t="s">
        <v>29390</v>
      </c>
      <c r="I12373" t="s">
        <v>29396</v>
      </c>
      <c r="J12373" t="s">
        <v>31839</v>
      </c>
      <c r="K12373" t="s">
        <v>38575</v>
      </c>
      <c r="M12373" t="s">
        <v>39133</v>
      </c>
      <c r="N12373" t="s">
        <v>42669</v>
      </c>
      <c r="O12373" t="s">
        <v>42670</v>
      </c>
      <c r="Q12373">
        <v>5</v>
      </c>
      <c r="R12373" t="s">
        <v>42689</v>
      </c>
      <c r="S12373" t="s">
        <v>43581</v>
      </c>
      <c r="T12373" t="s">
        <v>44835</v>
      </c>
      <c r="U12373" t="s">
        <v>54909</v>
      </c>
      <c r="W12373" t="s">
        <v>39133</v>
      </c>
      <c r="X12373" t="s">
        <v>42690</v>
      </c>
    </row>
    <row r="12374" spans="1:24">
      <c r="A12374">
        <f>HYPERLINK("https://www.philgeps.gov.ph/GEPSNONPILOT/Tender/SplashBidNoticeAbstractUI.aspx?menuIndex=3&amp;refID=7161723&amp;Result=3","7161723")</f>
        <v>0</v>
      </c>
      <c r="B12374" t="s">
        <v>3130</v>
      </c>
      <c r="C12374" t="s">
        <v>15364</v>
      </c>
      <c r="D12374" t="s">
        <v>17171</v>
      </c>
      <c r="E12374" t="s">
        <v>27761</v>
      </c>
      <c r="F12374" t="s">
        <v>29372</v>
      </c>
      <c r="G12374" t="s">
        <v>29380</v>
      </c>
      <c r="H12374" t="s">
        <v>29389</v>
      </c>
      <c r="I12374" t="s">
        <v>10408</v>
      </c>
      <c r="J12374" t="s">
        <v>30012</v>
      </c>
      <c r="K12374" t="s">
        <v>38564</v>
      </c>
      <c r="M12374" t="s">
        <v>42174</v>
      </c>
      <c r="N12374" t="s">
        <v>42669</v>
      </c>
      <c r="O12374" t="s">
        <v>42670</v>
      </c>
      <c r="Q12374">
        <v>19</v>
      </c>
      <c r="R12374" t="s">
        <v>42689</v>
      </c>
      <c r="S12374" t="s">
        <v>43582</v>
      </c>
      <c r="T12374" t="s">
        <v>44391</v>
      </c>
      <c r="U12374" t="s">
        <v>54910</v>
      </c>
      <c r="W12374" t="s">
        <v>58123</v>
      </c>
      <c r="X12374" t="s">
        <v>42690</v>
      </c>
    </row>
    <row r="12375" spans="1:24">
      <c r="A12375">
        <f>HYPERLINK("https://www.philgeps.gov.ph/GEPSNONPILOT/Tender/SplashBidNoticeAbstractUI.aspx?menuIndex=3&amp;refID=7149471&amp;Result=3","7149471")</f>
        <v>0</v>
      </c>
      <c r="B12375" t="s">
        <v>3339</v>
      </c>
      <c r="C12375" t="s">
        <v>15365</v>
      </c>
      <c r="D12375" t="s">
        <v>17172</v>
      </c>
      <c r="E12375" t="s">
        <v>27762</v>
      </c>
      <c r="F12375" t="s">
        <v>29372</v>
      </c>
      <c r="G12375" t="s">
        <v>29380</v>
      </c>
      <c r="H12375" t="s">
        <v>29389</v>
      </c>
      <c r="I12375" t="s">
        <v>10408</v>
      </c>
      <c r="J12375" t="s">
        <v>29788</v>
      </c>
      <c r="K12375" t="s">
        <v>38651</v>
      </c>
      <c r="M12375" t="s">
        <v>42429</v>
      </c>
      <c r="N12375" t="s">
        <v>42669</v>
      </c>
      <c r="O12375" t="s">
        <v>42670</v>
      </c>
      <c r="P12375">
        <v>0</v>
      </c>
      <c r="Q12375">
        <v>2</v>
      </c>
      <c r="R12375" t="s">
        <v>42690</v>
      </c>
      <c r="S12375" t="s">
        <v>43574</v>
      </c>
      <c r="T12375" t="s">
        <v>44788</v>
      </c>
      <c r="U12375" t="s">
        <v>54911</v>
      </c>
      <c r="W12375" t="s">
        <v>42429</v>
      </c>
      <c r="X12375" t="s">
        <v>42693</v>
      </c>
    </row>
    <row r="12376" spans="1:24">
      <c r="A12376">
        <f>HYPERLINK("https://www.philgeps.gov.ph/GEPSNONPILOT/Tender/SplashBidNoticeAbstractUI.aspx?menuIndex=3&amp;refID=7149378&amp;Result=3","7149378")</f>
        <v>0</v>
      </c>
      <c r="B12376" t="s">
        <v>3339</v>
      </c>
      <c r="C12376" t="s">
        <v>15366</v>
      </c>
      <c r="D12376" t="s">
        <v>17172</v>
      </c>
      <c r="E12376" t="s">
        <v>27763</v>
      </c>
      <c r="F12376" t="s">
        <v>29372</v>
      </c>
      <c r="G12376" t="s">
        <v>29380</v>
      </c>
      <c r="H12376" t="s">
        <v>29389</v>
      </c>
      <c r="I12376" t="s">
        <v>10408</v>
      </c>
      <c r="J12376" t="s">
        <v>30161</v>
      </c>
      <c r="K12376" t="s">
        <v>38525</v>
      </c>
      <c r="M12376" t="s">
        <v>42429</v>
      </c>
      <c r="N12376" t="s">
        <v>42669</v>
      </c>
      <c r="O12376" t="s">
        <v>42670</v>
      </c>
      <c r="P12376">
        <v>0</v>
      </c>
      <c r="Q12376">
        <v>2</v>
      </c>
      <c r="R12376" t="s">
        <v>42690</v>
      </c>
      <c r="S12376" t="s">
        <v>43574</v>
      </c>
      <c r="T12376" t="s">
        <v>44788</v>
      </c>
      <c r="U12376" t="s">
        <v>54912</v>
      </c>
      <c r="W12376" t="s">
        <v>42429</v>
      </c>
      <c r="X12376" t="s">
        <v>42693</v>
      </c>
    </row>
    <row r="12377" spans="1:24">
      <c r="A12377">
        <f>HYPERLINK("https://www.philgeps.gov.ph/GEPSNONPILOT/Tender/SplashBidNoticeAbstractUI.aspx?menuIndex=3&amp;refID=7161426&amp;Result=3","7161426")</f>
        <v>0</v>
      </c>
      <c r="B12377" t="s">
        <v>3336</v>
      </c>
      <c r="C12377" t="s">
        <v>15367</v>
      </c>
      <c r="D12377" t="s">
        <v>17186</v>
      </c>
      <c r="E12377" t="s">
        <v>27764</v>
      </c>
      <c r="F12377" t="s">
        <v>29372</v>
      </c>
      <c r="G12377" t="s">
        <v>29380</v>
      </c>
      <c r="H12377" t="s">
        <v>11048</v>
      </c>
      <c r="I12377" t="s">
        <v>3629</v>
      </c>
      <c r="J12377" t="s">
        <v>37340</v>
      </c>
      <c r="K12377" t="s">
        <v>38522</v>
      </c>
      <c r="M12377" t="s">
        <v>42424</v>
      </c>
      <c r="N12377" t="s">
        <v>42669</v>
      </c>
      <c r="O12377" t="s">
        <v>42670</v>
      </c>
      <c r="P12377">
        <v>0</v>
      </c>
      <c r="Q12377">
        <v>6</v>
      </c>
      <c r="R12377" t="s">
        <v>42689</v>
      </c>
      <c r="S12377" t="s">
        <v>43461</v>
      </c>
      <c r="T12377" t="s">
        <v>44480</v>
      </c>
      <c r="U12377" t="s">
        <v>54913</v>
      </c>
      <c r="V12377" t="s">
        <v>57788</v>
      </c>
      <c r="W12377" t="s">
        <v>42424</v>
      </c>
      <c r="X12377" t="s">
        <v>42690</v>
      </c>
    </row>
    <row r="12378" spans="1:24">
      <c r="A12378">
        <f>HYPERLINK("https://www.philgeps.gov.ph/GEPSNONPILOT/Tender/SplashBidNoticeAbstractUI.aspx?menuIndex=3&amp;refID=7148726&amp;Result=3","7148726")</f>
        <v>0</v>
      </c>
      <c r="B12378" t="s">
        <v>3340</v>
      </c>
      <c r="C12378" t="s">
        <v>15368</v>
      </c>
      <c r="D12378" t="s">
        <v>17188</v>
      </c>
      <c r="E12378" t="s">
        <v>27765</v>
      </c>
      <c r="F12378" t="s">
        <v>29372</v>
      </c>
      <c r="G12378" t="s">
        <v>29380</v>
      </c>
      <c r="H12378" t="s">
        <v>11048</v>
      </c>
      <c r="I12378" t="s">
        <v>9469</v>
      </c>
      <c r="J12378" t="s">
        <v>30412</v>
      </c>
      <c r="K12378" t="s">
        <v>38488</v>
      </c>
      <c r="M12378" t="s">
        <v>42430</v>
      </c>
      <c r="N12378" t="s">
        <v>42669</v>
      </c>
      <c r="O12378" t="s">
        <v>42670</v>
      </c>
      <c r="P12378">
        <v>0</v>
      </c>
      <c r="Q12378">
        <v>3</v>
      </c>
      <c r="R12378" t="s">
        <v>42690</v>
      </c>
      <c r="S12378" t="s">
        <v>43574</v>
      </c>
      <c r="T12378" t="s">
        <v>44427</v>
      </c>
      <c r="U12378" t="s">
        <v>54914</v>
      </c>
      <c r="W12378" t="s">
        <v>42430</v>
      </c>
      <c r="X12378" t="s">
        <v>42695</v>
      </c>
    </row>
    <row r="12379" spans="1:24">
      <c r="A12379">
        <f>HYPERLINK("https://www.philgeps.gov.ph/GEPSNONPILOT/Tender/SplashBidNoticeAbstractUI.aspx?menuIndex=3&amp;refID=7161681&amp;Result=3","7161681")</f>
        <v>0</v>
      </c>
      <c r="B12379" t="s">
        <v>2272</v>
      </c>
      <c r="C12379" t="s">
        <v>15369</v>
      </c>
      <c r="D12379" t="s">
        <v>17171</v>
      </c>
      <c r="E12379" t="s">
        <v>20986</v>
      </c>
      <c r="F12379" t="s">
        <v>29372</v>
      </c>
      <c r="G12379" t="s">
        <v>29379</v>
      </c>
      <c r="H12379" t="s">
        <v>29389</v>
      </c>
      <c r="I12379" t="s">
        <v>4709</v>
      </c>
      <c r="J12379" t="s">
        <v>30026</v>
      </c>
      <c r="K12379" t="s">
        <v>38534</v>
      </c>
      <c r="M12379" t="s">
        <v>41194</v>
      </c>
      <c r="N12379" t="s">
        <v>42669</v>
      </c>
      <c r="O12379" t="s">
        <v>42670</v>
      </c>
      <c r="P12379">
        <v>0</v>
      </c>
      <c r="Q12379">
        <v>0</v>
      </c>
      <c r="R12379" t="s">
        <v>42689</v>
      </c>
      <c r="S12379" t="s">
        <v>43461</v>
      </c>
      <c r="T12379" t="s">
        <v>44438</v>
      </c>
      <c r="U12379" t="s">
        <v>54915</v>
      </c>
      <c r="W12379" t="s">
        <v>41194</v>
      </c>
      <c r="X12379" t="s">
        <v>42690</v>
      </c>
    </row>
    <row r="12380" spans="1:24">
      <c r="A12380">
        <f>HYPERLINK("https://www.philgeps.gov.ph/GEPSNONPILOT/Tender/SplashBidNoticeAbstractUI.aspx?menuIndex=3&amp;refID=7149232&amp;Result=3","7149232")</f>
        <v>0</v>
      </c>
      <c r="B12380" t="s">
        <v>1677</v>
      </c>
      <c r="C12380" t="s">
        <v>7896</v>
      </c>
      <c r="D12380" t="s">
        <v>17153</v>
      </c>
      <c r="E12380" t="s">
        <v>27766</v>
      </c>
      <c r="F12380" t="s">
        <v>29372</v>
      </c>
      <c r="G12380" t="s">
        <v>29380</v>
      </c>
      <c r="H12380" t="s">
        <v>11048</v>
      </c>
      <c r="I12380" t="s">
        <v>3695</v>
      </c>
      <c r="J12380" t="s">
        <v>37341</v>
      </c>
      <c r="K12380" t="s">
        <v>38485</v>
      </c>
      <c r="M12380" t="s">
        <v>41170</v>
      </c>
      <c r="N12380" t="s">
        <v>42669</v>
      </c>
      <c r="O12380" t="s">
        <v>42670</v>
      </c>
      <c r="P12380">
        <v>0</v>
      </c>
      <c r="Q12380">
        <v>20</v>
      </c>
      <c r="R12380" t="s">
        <v>42690</v>
      </c>
      <c r="S12380" t="s">
        <v>43574</v>
      </c>
      <c r="T12380" t="s">
        <v>44401</v>
      </c>
      <c r="U12380" t="s">
        <v>54916</v>
      </c>
      <c r="W12380" t="s">
        <v>41170</v>
      </c>
      <c r="X12380" t="s">
        <v>42693</v>
      </c>
    </row>
    <row r="12381" spans="1:24">
      <c r="A12381">
        <f>HYPERLINK("https://www.philgeps.gov.ph/GEPSNONPILOT/Tender/SplashBidNoticeAbstractUI.aspx?menuIndex=3&amp;refID=7148647&amp;Result=3","7148647")</f>
        <v>0</v>
      </c>
      <c r="B12381" t="s">
        <v>3341</v>
      </c>
      <c r="C12381" t="s">
        <v>15370</v>
      </c>
      <c r="D12381" t="s">
        <v>17188</v>
      </c>
      <c r="E12381" t="s">
        <v>27767</v>
      </c>
      <c r="F12381" t="s">
        <v>29372</v>
      </c>
      <c r="G12381" t="s">
        <v>29380</v>
      </c>
      <c r="H12381" t="s">
        <v>11048</v>
      </c>
      <c r="I12381" t="s">
        <v>29395</v>
      </c>
      <c r="J12381" t="s">
        <v>37342</v>
      </c>
      <c r="K12381" t="s">
        <v>38488</v>
      </c>
      <c r="M12381" t="s">
        <v>42431</v>
      </c>
      <c r="N12381" t="s">
        <v>42669</v>
      </c>
      <c r="O12381" t="s">
        <v>42670</v>
      </c>
      <c r="P12381">
        <v>0</v>
      </c>
      <c r="Q12381">
        <v>1</v>
      </c>
      <c r="R12381" t="s">
        <v>42690</v>
      </c>
      <c r="S12381" t="s">
        <v>43574</v>
      </c>
      <c r="T12381" t="s">
        <v>44427</v>
      </c>
      <c r="U12381" t="s">
        <v>54917</v>
      </c>
      <c r="W12381" t="s">
        <v>42431</v>
      </c>
      <c r="X12381" t="s">
        <v>42695</v>
      </c>
    </row>
    <row r="12382" spans="1:24">
      <c r="A12382">
        <f>HYPERLINK("https://www.philgeps.gov.ph/GEPSNONPILOT/Tender/SplashBidNoticeAbstractUI.aspx?menuIndex=3&amp;refID=7149395&amp;Result=3","7149395")</f>
        <v>0</v>
      </c>
      <c r="B12382" t="s">
        <v>3028</v>
      </c>
      <c r="C12382" t="s">
        <v>15371</v>
      </c>
      <c r="D12382" t="s">
        <v>17144</v>
      </c>
      <c r="E12382" t="s">
        <v>27768</v>
      </c>
      <c r="F12382" t="s">
        <v>29372</v>
      </c>
      <c r="G12382" t="s">
        <v>29380</v>
      </c>
      <c r="H12382" t="s">
        <v>29389</v>
      </c>
      <c r="I12382" t="s">
        <v>10408</v>
      </c>
      <c r="J12382" t="s">
        <v>29829</v>
      </c>
      <c r="K12382" t="s">
        <v>38665</v>
      </c>
      <c r="M12382" t="s">
        <v>42050</v>
      </c>
      <c r="N12382" t="s">
        <v>42669</v>
      </c>
      <c r="O12382" t="s">
        <v>42670</v>
      </c>
      <c r="P12382">
        <v>0</v>
      </c>
      <c r="Q12382">
        <v>3</v>
      </c>
      <c r="R12382" t="s">
        <v>42690</v>
      </c>
      <c r="S12382" t="s">
        <v>43574</v>
      </c>
      <c r="T12382" t="s">
        <v>44480</v>
      </c>
      <c r="U12382" t="s">
        <v>54918</v>
      </c>
      <c r="W12382" t="s">
        <v>42050</v>
      </c>
      <c r="X12382" t="s">
        <v>42693</v>
      </c>
    </row>
    <row r="12383" spans="1:24">
      <c r="A12383">
        <f>HYPERLINK("https://www.philgeps.gov.ph/GEPSNONPILOT/Tender/SplashBidNoticeAbstractUI.aspx?menuIndex=3&amp;refID=7146658&amp;Result=3","7146658")</f>
        <v>0</v>
      </c>
      <c r="B12383" t="s">
        <v>675</v>
      </c>
      <c r="C12383" t="s">
        <v>15372</v>
      </c>
      <c r="D12383" t="s">
        <v>17188</v>
      </c>
      <c r="E12383" t="s">
        <v>27769</v>
      </c>
      <c r="F12383" t="s">
        <v>29372</v>
      </c>
      <c r="G12383" t="s">
        <v>29380</v>
      </c>
      <c r="H12383" t="s">
        <v>29389</v>
      </c>
      <c r="I12383" t="s">
        <v>10408</v>
      </c>
      <c r="J12383" t="s">
        <v>37343</v>
      </c>
      <c r="K12383" t="s">
        <v>38487</v>
      </c>
      <c r="M12383" t="s">
        <v>39451</v>
      </c>
      <c r="N12383" t="s">
        <v>42669</v>
      </c>
      <c r="O12383" t="s">
        <v>42670</v>
      </c>
      <c r="P12383">
        <v>0</v>
      </c>
      <c r="Q12383">
        <v>0</v>
      </c>
      <c r="R12383" t="s">
        <v>42690</v>
      </c>
      <c r="S12383" t="s">
        <v>43574</v>
      </c>
      <c r="T12383" t="s">
        <v>44432</v>
      </c>
      <c r="U12383" t="s">
        <v>54919</v>
      </c>
      <c r="W12383" t="s">
        <v>39451</v>
      </c>
      <c r="X12383" t="s">
        <v>42697</v>
      </c>
    </row>
    <row r="12384" spans="1:24">
      <c r="A12384">
        <f>HYPERLINK("https://www.philgeps.gov.ph/GEPSNONPILOT/Tender/SplashBidNoticeAbstractUI.aspx?menuIndex=3&amp;refID=7146609&amp;Result=3","7146609")</f>
        <v>0</v>
      </c>
      <c r="B12384" t="s">
        <v>675</v>
      </c>
      <c r="C12384" t="s">
        <v>15373</v>
      </c>
      <c r="D12384" t="s">
        <v>17188</v>
      </c>
      <c r="E12384" t="s">
        <v>27770</v>
      </c>
      <c r="F12384" t="s">
        <v>29372</v>
      </c>
      <c r="G12384" t="s">
        <v>29380</v>
      </c>
      <c r="H12384" t="s">
        <v>29389</v>
      </c>
      <c r="I12384" t="s">
        <v>10408</v>
      </c>
      <c r="J12384" t="s">
        <v>37344</v>
      </c>
      <c r="K12384" t="s">
        <v>38487</v>
      </c>
      <c r="M12384" t="s">
        <v>39451</v>
      </c>
      <c r="N12384" t="s">
        <v>42669</v>
      </c>
      <c r="O12384" t="s">
        <v>42670</v>
      </c>
      <c r="P12384">
        <v>0</v>
      </c>
      <c r="Q12384">
        <v>0</v>
      </c>
      <c r="R12384" t="s">
        <v>42690</v>
      </c>
      <c r="S12384" t="s">
        <v>43574</v>
      </c>
      <c r="T12384" t="s">
        <v>44432</v>
      </c>
      <c r="U12384" t="s">
        <v>54920</v>
      </c>
      <c r="W12384" t="s">
        <v>39451</v>
      </c>
      <c r="X12384" t="s">
        <v>42697</v>
      </c>
    </row>
    <row r="12385" spans="1:24">
      <c r="A12385">
        <f>HYPERLINK("https://www.philgeps.gov.ph/GEPSNONPILOT/Tender/SplashBidNoticeAbstractUI.aspx?menuIndex=3&amp;refID=7153421&amp;Result=3","7153421")</f>
        <v>0</v>
      </c>
      <c r="B12385" t="s">
        <v>86</v>
      </c>
      <c r="C12385" t="s">
        <v>15374</v>
      </c>
      <c r="E12385" t="s">
        <v>27771</v>
      </c>
      <c r="F12385" t="s">
        <v>29372</v>
      </c>
      <c r="G12385" t="s">
        <v>29380</v>
      </c>
      <c r="H12385" t="s">
        <v>29389</v>
      </c>
      <c r="I12385" t="s">
        <v>10408</v>
      </c>
      <c r="J12385" t="s">
        <v>37345</v>
      </c>
      <c r="K12385" t="s">
        <v>38495</v>
      </c>
      <c r="M12385" t="s">
        <v>40155</v>
      </c>
      <c r="N12385" t="s">
        <v>42669</v>
      </c>
      <c r="O12385" t="s">
        <v>42670</v>
      </c>
      <c r="P12385">
        <v>0</v>
      </c>
      <c r="Q12385">
        <v>1</v>
      </c>
      <c r="R12385" t="s">
        <v>42690</v>
      </c>
      <c r="S12385" t="s">
        <v>43574</v>
      </c>
      <c r="T12385" t="s">
        <v>44481</v>
      </c>
      <c r="U12385" t="s">
        <v>54921</v>
      </c>
      <c r="W12385" t="s">
        <v>40155</v>
      </c>
      <c r="X12385" t="s">
        <v>42692</v>
      </c>
    </row>
    <row r="12386" spans="1:24">
      <c r="A12386">
        <f>HYPERLINK("https://www.philgeps.gov.ph/GEPSNONPILOT/Tender/SplashBidNoticeAbstractUI.aspx?menuIndex=3&amp;refID=7148727&amp;Result=3","7148727")</f>
        <v>0</v>
      </c>
      <c r="B12386" t="s">
        <v>3342</v>
      </c>
      <c r="C12386" t="s">
        <v>15375</v>
      </c>
      <c r="D12386" t="s">
        <v>17188</v>
      </c>
      <c r="E12386" t="s">
        <v>27772</v>
      </c>
      <c r="F12386" t="s">
        <v>29372</v>
      </c>
      <c r="G12386" t="s">
        <v>29380</v>
      </c>
      <c r="H12386" t="s">
        <v>11048</v>
      </c>
      <c r="I12386" t="s">
        <v>29395</v>
      </c>
      <c r="J12386" t="s">
        <v>37346</v>
      </c>
      <c r="K12386" t="s">
        <v>38488</v>
      </c>
      <c r="M12386" t="s">
        <v>42432</v>
      </c>
      <c r="N12386" t="s">
        <v>42669</v>
      </c>
      <c r="O12386" t="s">
        <v>42670</v>
      </c>
      <c r="P12386">
        <v>0</v>
      </c>
      <c r="Q12386">
        <v>1</v>
      </c>
      <c r="R12386" t="s">
        <v>42690</v>
      </c>
      <c r="S12386" t="s">
        <v>43574</v>
      </c>
      <c r="T12386" t="s">
        <v>44427</v>
      </c>
      <c r="U12386" t="s">
        <v>54922</v>
      </c>
      <c r="W12386" t="s">
        <v>42432</v>
      </c>
      <c r="X12386" t="s">
        <v>42695</v>
      </c>
    </row>
    <row r="12387" spans="1:24">
      <c r="A12387">
        <f>HYPERLINK("https://www.philgeps.gov.ph/GEPSNONPILOT/Tender/SplashBidNoticeAbstractUI.aspx?menuIndex=3&amp;refID=7153408&amp;Result=3","7153408")</f>
        <v>0</v>
      </c>
      <c r="B12387" t="s">
        <v>3343</v>
      </c>
      <c r="C12387" t="s">
        <v>15376</v>
      </c>
      <c r="D12387" t="s">
        <v>17198</v>
      </c>
      <c r="E12387" t="s">
        <v>27773</v>
      </c>
      <c r="F12387" t="s">
        <v>29372</v>
      </c>
      <c r="G12387" t="s">
        <v>29380</v>
      </c>
      <c r="H12387" t="s">
        <v>29389</v>
      </c>
      <c r="I12387" t="s">
        <v>10408</v>
      </c>
      <c r="J12387" t="s">
        <v>37347</v>
      </c>
      <c r="K12387" t="s">
        <v>38531</v>
      </c>
      <c r="M12387" t="s">
        <v>42433</v>
      </c>
      <c r="N12387" t="s">
        <v>42669</v>
      </c>
      <c r="O12387" t="s">
        <v>42670</v>
      </c>
      <c r="P12387">
        <v>0</v>
      </c>
      <c r="Q12387">
        <v>0</v>
      </c>
      <c r="R12387" t="s">
        <v>42690</v>
      </c>
      <c r="S12387" t="s">
        <v>43574</v>
      </c>
      <c r="T12387" t="s">
        <v>44371</v>
      </c>
      <c r="U12387" t="s">
        <v>46039</v>
      </c>
      <c r="W12387" t="s">
        <v>42433</v>
      </c>
      <c r="X12387" t="s">
        <v>42692</v>
      </c>
    </row>
    <row r="12388" spans="1:24">
      <c r="A12388">
        <f>HYPERLINK("https://www.philgeps.gov.ph/GEPSNONPILOT/Tender/SplashBidNoticeAbstractUI.aspx?menuIndex=3&amp;refID=7149445&amp;Result=3","7149445")</f>
        <v>0</v>
      </c>
      <c r="B12388" t="s">
        <v>3028</v>
      </c>
      <c r="C12388" t="s">
        <v>15377</v>
      </c>
      <c r="D12388" t="s">
        <v>17144</v>
      </c>
      <c r="E12388" t="s">
        <v>27774</v>
      </c>
      <c r="F12388" t="s">
        <v>29372</v>
      </c>
      <c r="G12388" t="s">
        <v>29380</v>
      </c>
      <c r="H12388" t="s">
        <v>11048</v>
      </c>
      <c r="I12388" t="s">
        <v>29412</v>
      </c>
      <c r="J12388" t="s">
        <v>30100</v>
      </c>
      <c r="K12388" t="s">
        <v>38485</v>
      </c>
      <c r="M12388" t="s">
        <v>42050</v>
      </c>
      <c r="N12388" t="s">
        <v>42669</v>
      </c>
      <c r="O12388" t="s">
        <v>42670</v>
      </c>
      <c r="P12388">
        <v>0</v>
      </c>
      <c r="Q12388">
        <v>7</v>
      </c>
      <c r="R12388" t="s">
        <v>42690</v>
      </c>
      <c r="S12388" t="s">
        <v>43574</v>
      </c>
      <c r="T12388" t="s">
        <v>44565</v>
      </c>
      <c r="U12388" t="s">
        <v>54923</v>
      </c>
      <c r="W12388" t="s">
        <v>42050</v>
      </c>
      <c r="X12388" t="s">
        <v>42693</v>
      </c>
    </row>
    <row r="12389" spans="1:24">
      <c r="A12389">
        <f>HYPERLINK("https://www.philgeps.gov.ph/GEPSNONPILOT/Tender/SplashBidNoticeAbstractUI.aspx?menuIndex=3&amp;refID=7161688&amp;Result=3","7161688")</f>
        <v>0</v>
      </c>
      <c r="B12389" t="s">
        <v>44</v>
      </c>
      <c r="C12389" t="s">
        <v>15378</v>
      </c>
      <c r="D12389" t="s">
        <v>17155</v>
      </c>
      <c r="E12389" t="s">
        <v>27775</v>
      </c>
      <c r="F12389" t="s">
        <v>29372</v>
      </c>
      <c r="G12389" t="s">
        <v>29380</v>
      </c>
      <c r="H12389" t="s">
        <v>29389</v>
      </c>
      <c r="I12389" t="s">
        <v>10408</v>
      </c>
      <c r="J12389" t="s">
        <v>29708</v>
      </c>
      <c r="K12389" t="s">
        <v>38488</v>
      </c>
      <c r="M12389" t="s">
        <v>38797</v>
      </c>
      <c r="N12389" t="s">
        <v>42669</v>
      </c>
      <c r="O12389" t="s">
        <v>42670</v>
      </c>
      <c r="Q12389">
        <v>1</v>
      </c>
      <c r="R12389" t="s">
        <v>42689</v>
      </c>
      <c r="S12389" t="s">
        <v>43583</v>
      </c>
      <c r="T12389" t="s">
        <v>44457</v>
      </c>
      <c r="U12389" t="s">
        <v>54924</v>
      </c>
      <c r="V12389" t="s">
        <v>57789</v>
      </c>
      <c r="W12389" t="s">
        <v>38797</v>
      </c>
      <c r="X12389" t="s">
        <v>42690</v>
      </c>
    </row>
    <row r="12390" spans="1:24">
      <c r="A12390">
        <f>HYPERLINK("https://www.philgeps.gov.ph/GEPSNONPILOT/Tender/SplashBidNoticeAbstractUI.aspx?menuIndex=3&amp;refID=7153379&amp;Result=3","7153379")</f>
        <v>0</v>
      </c>
      <c r="B12390" t="s">
        <v>86</v>
      </c>
      <c r="C12390" t="s">
        <v>15379</v>
      </c>
      <c r="E12390" t="s">
        <v>27776</v>
      </c>
      <c r="F12390" t="s">
        <v>29372</v>
      </c>
      <c r="G12390" t="s">
        <v>29380</v>
      </c>
      <c r="H12390" t="s">
        <v>29389</v>
      </c>
      <c r="I12390" t="s">
        <v>10408</v>
      </c>
      <c r="J12390" t="s">
        <v>37348</v>
      </c>
      <c r="K12390" t="s">
        <v>38577</v>
      </c>
      <c r="M12390" t="s">
        <v>40155</v>
      </c>
      <c r="N12390" t="s">
        <v>42669</v>
      </c>
      <c r="O12390" t="s">
        <v>42670</v>
      </c>
      <c r="P12390">
        <v>0</v>
      </c>
      <c r="Q12390">
        <v>2</v>
      </c>
      <c r="R12390" t="s">
        <v>42690</v>
      </c>
      <c r="S12390" t="s">
        <v>43574</v>
      </c>
      <c r="T12390" t="s">
        <v>44481</v>
      </c>
      <c r="U12390" t="s">
        <v>54925</v>
      </c>
      <c r="W12390" t="s">
        <v>40155</v>
      </c>
      <c r="X12390" t="s">
        <v>42692</v>
      </c>
    </row>
    <row r="12391" spans="1:24">
      <c r="A12391">
        <f>HYPERLINK("https://www.philgeps.gov.ph/GEPSNONPILOT/Tender/SplashBidNoticeAbstractUI.aspx?menuIndex=3&amp;refID=7120778-2&amp;Result=3","7120778-2")</f>
        <v>0</v>
      </c>
      <c r="B12391" t="s">
        <v>2241</v>
      </c>
      <c r="C12391" t="s">
        <v>15380</v>
      </c>
      <c r="D12391" t="s">
        <v>17176</v>
      </c>
      <c r="E12391" t="s">
        <v>27777</v>
      </c>
      <c r="F12391" t="s">
        <v>29372</v>
      </c>
      <c r="G12391" t="s">
        <v>29384</v>
      </c>
      <c r="H12391" t="s">
        <v>29391</v>
      </c>
      <c r="I12391" t="s">
        <v>29391</v>
      </c>
      <c r="J12391" t="s">
        <v>37349</v>
      </c>
      <c r="K12391" t="s">
        <v>38496</v>
      </c>
      <c r="M12391" t="s">
        <v>42434</v>
      </c>
      <c r="N12391" t="s">
        <v>42669</v>
      </c>
      <c r="O12391" t="s">
        <v>42670</v>
      </c>
      <c r="P12391">
        <v>0</v>
      </c>
      <c r="Q12391">
        <v>1</v>
      </c>
      <c r="R12391" t="s">
        <v>42690</v>
      </c>
      <c r="S12391" t="s">
        <v>43574</v>
      </c>
      <c r="T12391" t="s">
        <v>44429</v>
      </c>
      <c r="U12391" t="s">
        <v>54926</v>
      </c>
      <c r="W12391" t="s">
        <v>42434</v>
      </c>
      <c r="X12391" t="s">
        <v>42692</v>
      </c>
    </row>
    <row r="12392" spans="1:24">
      <c r="A12392">
        <f>HYPERLINK("https://www.philgeps.gov.ph/GEPSNONPILOT/Tender/SplashBidNoticeAbstractUI.aspx?menuIndex=3&amp;refID=7153086&amp;Result=3","7153086")</f>
        <v>0</v>
      </c>
      <c r="B12392" t="s">
        <v>1331</v>
      </c>
      <c r="C12392" t="s">
        <v>15381</v>
      </c>
      <c r="D12392" t="s">
        <v>17168</v>
      </c>
      <c r="E12392" t="s">
        <v>27778</v>
      </c>
      <c r="F12392" t="s">
        <v>29372</v>
      </c>
      <c r="G12392" t="s">
        <v>29380</v>
      </c>
      <c r="H12392" t="s">
        <v>11048</v>
      </c>
      <c r="I12392" t="s">
        <v>29400</v>
      </c>
      <c r="J12392" t="s">
        <v>37350</v>
      </c>
      <c r="K12392" t="s">
        <v>38510</v>
      </c>
      <c r="M12392" t="s">
        <v>40167</v>
      </c>
      <c r="N12392" t="s">
        <v>42669</v>
      </c>
      <c r="O12392" t="s">
        <v>42670</v>
      </c>
      <c r="P12392">
        <v>0</v>
      </c>
      <c r="Q12392">
        <v>12</v>
      </c>
      <c r="R12392" t="s">
        <v>42690</v>
      </c>
      <c r="S12392" t="s">
        <v>43574</v>
      </c>
      <c r="T12392" t="s">
        <v>44387</v>
      </c>
      <c r="U12392" t="s">
        <v>54927</v>
      </c>
      <c r="W12392" t="s">
        <v>40167</v>
      </c>
      <c r="X12392" t="s">
        <v>42692</v>
      </c>
    </row>
    <row r="12393" spans="1:24">
      <c r="A12393">
        <f>HYPERLINK("https://www.philgeps.gov.ph/GEPSNONPILOT/Tender/SplashBidNoticeAbstractUI.aspx?menuIndex=3&amp;refID=7153172&amp;Result=3","7153172")</f>
        <v>0</v>
      </c>
      <c r="B12393" t="s">
        <v>3343</v>
      </c>
      <c r="C12393" t="s">
        <v>15382</v>
      </c>
      <c r="E12393" t="s">
        <v>27779</v>
      </c>
      <c r="F12393" t="s">
        <v>29372</v>
      </c>
      <c r="G12393" t="s">
        <v>29380</v>
      </c>
      <c r="H12393" t="s">
        <v>29389</v>
      </c>
      <c r="I12393" t="s">
        <v>29417</v>
      </c>
      <c r="J12393" t="s">
        <v>37351</v>
      </c>
      <c r="K12393" t="s">
        <v>38531</v>
      </c>
      <c r="M12393" t="s">
        <v>42433</v>
      </c>
      <c r="N12393" t="s">
        <v>42669</v>
      </c>
      <c r="O12393" t="s">
        <v>42670</v>
      </c>
      <c r="P12393">
        <v>0</v>
      </c>
      <c r="Q12393">
        <v>0</v>
      </c>
      <c r="R12393" t="s">
        <v>42690</v>
      </c>
      <c r="S12393" t="s">
        <v>43574</v>
      </c>
      <c r="T12393" t="s">
        <v>44394</v>
      </c>
      <c r="U12393" t="s">
        <v>46039</v>
      </c>
      <c r="W12393" t="s">
        <v>42433</v>
      </c>
      <c r="X12393" t="s">
        <v>42692</v>
      </c>
    </row>
    <row r="12394" spans="1:24">
      <c r="A12394">
        <f>HYPERLINK("https://www.philgeps.gov.ph/GEPSNONPILOT/Tender/SplashBidNoticeAbstractUI.aspx?menuIndex=3&amp;refID=7152796&amp;Result=3","7152796")</f>
        <v>0</v>
      </c>
      <c r="B12394" t="s">
        <v>2468</v>
      </c>
      <c r="C12394" t="s">
        <v>15383</v>
      </c>
      <c r="E12394" t="s">
        <v>27780</v>
      </c>
      <c r="F12394" t="s">
        <v>29372</v>
      </c>
      <c r="G12394" t="s">
        <v>29380</v>
      </c>
      <c r="H12394" t="s">
        <v>29389</v>
      </c>
      <c r="I12394" t="s">
        <v>10408</v>
      </c>
      <c r="J12394" t="s">
        <v>37352</v>
      </c>
      <c r="K12394" t="s">
        <v>38490</v>
      </c>
      <c r="M12394" t="s">
        <v>41417</v>
      </c>
      <c r="N12394" t="s">
        <v>42669</v>
      </c>
      <c r="O12394" t="s">
        <v>42670</v>
      </c>
      <c r="P12394">
        <v>0</v>
      </c>
      <c r="Q12394">
        <v>5</v>
      </c>
      <c r="R12394" t="s">
        <v>42690</v>
      </c>
      <c r="S12394" t="s">
        <v>43574</v>
      </c>
      <c r="T12394" t="s">
        <v>44554</v>
      </c>
      <c r="U12394" t="s">
        <v>54928</v>
      </c>
      <c r="V12394" t="s">
        <v>57790</v>
      </c>
      <c r="W12394" t="s">
        <v>41417</v>
      </c>
      <c r="X12394" t="s">
        <v>42692</v>
      </c>
    </row>
    <row r="12395" spans="1:24">
      <c r="A12395">
        <f>HYPERLINK("https://www.philgeps.gov.ph/GEPSNONPILOT/Tender/SplashBidNoticeAbstractUI.aspx?menuIndex=3&amp;refID=7152750&amp;Result=3","7152750")</f>
        <v>0</v>
      </c>
      <c r="B12395" t="s">
        <v>2468</v>
      </c>
      <c r="C12395" t="s">
        <v>15384</v>
      </c>
      <c r="E12395" t="s">
        <v>27781</v>
      </c>
      <c r="F12395" t="s">
        <v>29372</v>
      </c>
      <c r="G12395" t="s">
        <v>29380</v>
      </c>
      <c r="H12395" t="s">
        <v>29389</v>
      </c>
      <c r="I12395" t="s">
        <v>10408</v>
      </c>
      <c r="J12395" t="s">
        <v>37353</v>
      </c>
      <c r="K12395" t="s">
        <v>38490</v>
      </c>
      <c r="M12395" t="s">
        <v>41417</v>
      </c>
      <c r="N12395" t="s">
        <v>42669</v>
      </c>
      <c r="O12395" t="s">
        <v>42670</v>
      </c>
      <c r="P12395">
        <v>0</v>
      </c>
      <c r="Q12395">
        <v>8</v>
      </c>
      <c r="R12395" t="s">
        <v>42690</v>
      </c>
      <c r="S12395" t="s">
        <v>43574</v>
      </c>
      <c r="T12395" t="s">
        <v>44554</v>
      </c>
      <c r="U12395" t="s">
        <v>54929</v>
      </c>
      <c r="V12395" t="s">
        <v>57790</v>
      </c>
      <c r="W12395" t="s">
        <v>41417</v>
      </c>
      <c r="X12395" t="s">
        <v>42692</v>
      </c>
    </row>
    <row r="12396" spans="1:24">
      <c r="A12396">
        <f>HYPERLINK("https://www.philgeps.gov.ph/GEPSNONPILOT/Tender/SplashBidNoticeAbstractUI.aspx?menuIndex=3&amp;refID=7153394&amp;Result=3","7153394")</f>
        <v>0</v>
      </c>
      <c r="B12396" t="s">
        <v>86</v>
      </c>
      <c r="C12396" t="s">
        <v>15385</v>
      </c>
      <c r="E12396" t="s">
        <v>27782</v>
      </c>
      <c r="F12396" t="s">
        <v>29372</v>
      </c>
      <c r="G12396" t="s">
        <v>29380</v>
      </c>
      <c r="H12396" t="s">
        <v>29389</v>
      </c>
      <c r="I12396" t="s">
        <v>10408</v>
      </c>
      <c r="J12396" t="s">
        <v>37354</v>
      </c>
      <c r="K12396" t="s">
        <v>38601</v>
      </c>
      <c r="M12396" t="s">
        <v>40155</v>
      </c>
      <c r="N12396" t="s">
        <v>42669</v>
      </c>
      <c r="O12396" t="s">
        <v>42670</v>
      </c>
      <c r="P12396">
        <v>0</v>
      </c>
      <c r="Q12396">
        <v>2</v>
      </c>
      <c r="R12396" t="s">
        <v>42690</v>
      </c>
      <c r="S12396" t="s">
        <v>43574</v>
      </c>
      <c r="T12396" t="s">
        <v>44481</v>
      </c>
      <c r="U12396" t="s">
        <v>54930</v>
      </c>
      <c r="W12396" t="s">
        <v>40155</v>
      </c>
      <c r="X12396" t="s">
        <v>42692</v>
      </c>
    </row>
    <row r="12397" spans="1:24">
      <c r="A12397">
        <f>HYPERLINK("https://www.philgeps.gov.ph/GEPSNONPILOT/Tender/SplashBidNoticeAbstractUI.aspx?menuIndex=3&amp;refID=7152739&amp;Result=3","7152739")</f>
        <v>0</v>
      </c>
      <c r="B12397" t="s">
        <v>2038</v>
      </c>
      <c r="C12397" t="s">
        <v>15386</v>
      </c>
      <c r="D12397" t="s">
        <v>17156</v>
      </c>
      <c r="E12397" t="s">
        <v>27783</v>
      </c>
      <c r="F12397" t="s">
        <v>29372</v>
      </c>
      <c r="G12397" t="s">
        <v>29380</v>
      </c>
      <c r="H12397" t="s">
        <v>11048</v>
      </c>
      <c r="I12397" t="s">
        <v>29429</v>
      </c>
      <c r="J12397" t="s">
        <v>37355</v>
      </c>
      <c r="K12397" t="s">
        <v>38700</v>
      </c>
      <c r="M12397" t="s">
        <v>40935</v>
      </c>
      <c r="N12397" t="s">
        <v>42669</v>
      </c>
      <c r="O12397" t="s">
        <v>42670</v>
      </c>
      <c r="P12397">
        <v>0</v>
      </c>
      <c r="Q12397">
        <v>1</v>
      </c>
      <c r="R12397" t="s">
        <v>42690</v>
      </c>
      <c r="S12397" t="s">
        <v>43574</v>
      </c>
      <c r="T12397" t="s">
        <v>44651</v>
      </c>
      <c r="U12397" t="s">
        <v>53230</v>
      </c>
      <c r="W12397" t="s">
        <v>40935</v>
      </c>
      <c r="X12397" t="s">
        <v>42692</v>
      </c>
    </row>
    <row r="12398" spans="1:24">
      <c r="A12398">
        <f>HYPERLINK("https://www.philgeps.gov.ph/GEPSNONPILOT/Tender/SplashBidNoticeAbstractUI.aspx?menuIndex=3&amp;refID=7153150&amp;Result=3","7153150")</f>
        <v>0</v>
      </c>
      <c r="B12398" t="s">
        <v>1331</v>
      </c>
      <c r="C12398" t="s">
        <v>15387</v>
      </c>
      <c r="D12398" t="s">
        <v>17168</v>
      </c>
      <c r="E12398" t="s">
        <v>27784</v>
      </c>
      <c r="F12398" t="s">
        <v>29372</v>
      </c>
      <c r="G12398" t="s">
        <v>29380</v>
      </c>
      <c r="H12398" t="s">
        <v>11048</v>
      </c>
      <c r="I12398" t="s">
        <v>3839</v>
      </c>
      <c r="J12398" t="s">
        <v>37356</v>
      </c>
      <c r="K12398" t="s">
        <v>38510</v>
      </c>
      <c r="M12398" t="s">
        <v>40167</v>
      </c>
      <c r="N12398" t="s">
        <v>42669</v>
      </c>
      <c r="O12398" t="s">
        <v>42670</v>
      </c>
      <c r="P12398">
        <v>0</v>
      </c>
      <c r="Q12398">
        <v>4</v>
      </c>
      <c r="R12398" t="s">
        <v>42690</v>
      </c>
      <c r="S12398" t="s">
        <v>43574</v>
      </c>
      <c r="T12398" t="s">
        <v>44387</v>
      </c>
      <c r="U12398" t="s">
        <v>54931</v>
      </c>
      <c r="W12398" t="s">
        <v>40167</v>
      </c>
      <c r="X12398" t="s">
        <v>42692</v>
      </c>
    </row>
    <row r="12399" spans="1:24">
      <c r="A12399">
        <f>HYPERLINK("https://www.philgeps.gov.ph/GEPSNONPILOT/Tender/SplashBidNoticeAbstractUI.aspx?menuIndex=3&amp;refID=7153354&amp;Result=3","7153354")</f>
        <v>0</v>
      </c>
      <c r="B12399" t="s">
        <v>48</v>
      </c>
      <c r="C12399" t="s">
        <v>15388</v>
      </c>
      <c r="D12399" t="s">
        <v>17158</v>
      </c>
      <c r="E12399" t="s">
        <v>27785</v>
      </c>
      <c r="F12399" t="s">
        <v>29372</v>
      </c>
      <c r="G12399" t="s">
        <v>29380</v>
      </c>
      <c r="H12399" t="s">
        <v>11048</v>
      </c>
      <c r="I12399" t="s">
        <v>29407</v>
      </c>
      <c r="J12399" t="s">
        <v>37357</v>
      </c>
      <c r="K12399" t="s">
        <v>38490</v>
      </c>
      <c r="M12399" t="s">
        <v>38801</v>
      </c>
      <c r="N12399" t="s">
        <v>42669</v>
      </c>
      <c r="O12399" t="s">
        <v>42670</v>
      </c>
      <c r="P12399">
        <v>0</v>
      </c>
      <c r="Q12399">
        <v>3</v>
      </c>
      <c r="R12399" t="s">
        <v>42690</v>
      </c>
      <c r="S12399" t="s">
        <v>43574</v>
      </c>
      <c r="T12399" t="s">
        <v>44429</v>
      </c>
      <c r="U12399" t="s">
        <v>54932</v>
      </c>
      <c r="W12399" t="s">
        <v>38801</v>
      </c>
      <c r="X12399" t="s">
        <v>42692</v>
      </c>
    </row>
    <row r="12400" spans="1:24">
      <c r="A12400">
        <f>HYPERLINK("https://www.philgeps.gov.ph/GEPSNONPILOT/Tender/SplashBidNoticeAbstractUI.aspx?menuIndex=3&amp;refID=7153043&amp;Result=3","7153043")</f>
        <v>0</v>
      </c>
      <c r="B12400" t="s">
        <v>1085</v>
      </c>
      <c r="C12400" t="s">
        <v>15389</v>
      </c>
      <c r="E12400" t="s">
        <v>27786</v>
      </c>
      <c r="F12400" t="s">
        <v>29372</v>
      </c>
      <c r="G12400" t="s">
        <v>29380</v>
      </c>
      <c r="H12400" t="s">
        <v>11048</v>
      </c>
      <c r="I12400" t="s">
        <v>8614</v>
      </c>
      <c r="J12400" t="s">
        <v>37358</v>
      </c>
      <c r="K12400" t="s">
        <v>38490</v>
      </c>
      <c r="M12400" t="s">
        <v>40157</v>
      </c>
      <c r="N12400" t="s">
        <v>42669</v>
      </c>
      <c r="O12400" t="s">
        <v>42670</v>
      </c>
      <c r="Q12400">
        <v>30</v>
      </c>
      <c r="R12400" t="s">
        <v>42690</v>
      </c>
      <c r="S12400" t="s">
        <v>43584</v>
      </c>
      <c r="T12400" t="s">
        <v>44414</v>
      </c>
      <c r="U12400" t="s">
        <v>45387</v>
      </c>
      <c r="W12400" t="s">
        <v>40157</v>
      </c>
      <c r="X12400" t="s">
        <v>42692</v>
      </c>
    </row>
    <row r="12401" spans="1:24">
      <c r="A12401">
        <f>HYPERLINK("https://www.philgeps.gov.ph/GEPSNONPILOT/Tender/SplashBidNoticeAbstractUI.aspx?menuIndex=3&amp;refID=7153848&amp;Result=3","7153848")</f>
        <v>0</v>
      </c>
      <c r="B12401" t="s">
        <v>3344</v>
      </c>
      <c r="C12401" t="s">
        <v>15390</v>
      </c>
      <c r="D12401" t="s">
        <v>17177</v>
      </c>
      <c r="E12401" t="s">
        <v>27787</v>
      </c>
      <c r="F12401" t="s">
        <v>29372</v>
      </c>
      <c r="G12401" t="s">
        <v>29380</v>
      </c>
      <c r="H12401" t="s">
        <v>29389</v>
      </c>
      <c r="I12401" t="s">
        <v>10408</v>
      </c>
      <c r="J12401" t="s">
        <v>29708</v>
      </c>
      <c r="K12401" t="s">
        <v>38485</v>
      </c>
      <c r="M12401" t="s">
        <v>42435</v>
      </c>
      <c r="N12401" t="s">
        <v>42669</v>
      </c>
      <c r="O12401" t="s">
        <v>42670</v>
      </c>
      <c r="P12401">
        <v>0</v>
      </c>
      <c r="Q12401">
        <v>1</v>
      </c>
      <c r="R12401" t="s">
        <v>42690</v>
      </c>
      <c r="S12401" t="s">
        <v>43574</v>
      </c>
      <c r="T12401" t="s">
        <v>44836</v>
      </c>
      <c r="U12401" t="s">
        <v>54933</v>
      </c>
      <c r="W12401" t="s">
        <v>42435</v>
      </c>
      <c r="X12401" t="s">
        <v>42692</v>
      </c>
    </row>
    <row r="12402" spans="1:24">
      <c r="A12402">
        <f>HYPERLINK("https://www.philgeps.gov.ph/GEPSNONPILOT/Tender/SplashBidNoticeAbstractUI.aspx?menuIndex=3&amp;refID=7154201&amp;Result=3","7154201")</f>
        <v>0</v>
      </c>
      <c r="B12402" t="s">
        <v>1085</v>
      </c>
      <c r="C12402" t="s">
        <v>15391</v>
      </c>
      <c r="E12402" t="s">
        <v>27788</v>
      </c>
      <c r="F12402" t="s">
        <v>29372</v>
      </c>
      <c r="G12402" t="s">
        <v>29380</v>
      </c>
      <c r="H12402" t="s">
        <v>11048</v>
      </c>
      <c r="I12402" t="s">
        <v>8614</v>
      </c>
      <c r="J12402" t="s">
        <v>29734</v>
      </c>
      <c r="K12402" t="s">
        <v>38490</v>
      </c>
      <c r="M12402" t="s">
        <v>40157</v>
      </c>
      <c r="N12402" t="s">
        <v>42669</v>
      </c>
      <c r="O12402" t="s">
        <v>42670</v>
      </c>
      <c r="Q12402">
        <v>31</v>
      </c>
      <c r="R12402" t="s">
        <v>42690</v>
      </c>
      <c r="S12402" t="s">
        <v>43585</v>
      </c>
      <c r="T12402" t="s">
        <v>44414</v>
      </c>
      <c r="U12402" t="s">
        <v>45387</v>
      </c>
      <c r="W12402" t="s">
        <v>40157</v>
      </c>
      <c r="X12402" t="s">
        <v>42692</v>
      </c>
    </row>
    <row r="12403" spans="1:24">
      <c r="A12403">
        <f>HYPERLINK("https://www.philgeps.gov.ph/GEPSNONPILOT/Tender/SplashBidNoticeAbstractUI.aspx?menuIndex=3&amp;refID=7154172&amp;Result=3","7154172")</f>
        <v>0</v>
      </c>
      <c r="B12403" t="s">
        <v>1079</v>
      </c>
      <c r="C12403" t="s">
        <v>15392</v>
      </c>
      <c r="D12403" t="s">
        <v>17181</v>
      </c>
      <c r="E12403" t="s">
        <v>27789</v>
      </c>
      <c r="F12403" t="s">
        <v>29373</v>
      </c>
      <c r="G12403" t="s">
        <v>29380</v>
      </c>
      <c r="H12403" t="s">
        <v>11048</v>
      </c>
      <c r="I12403" t="s">
        <v>9469</v>
      </c>
      <c r="J12403" t="s">
        <v>37359</v>
      </c>
      <c r="K12403" t="s">
        <v>38488</v>
      </c>
      <c r="L12403" t="s">
        <v>1079</v>
      </c>
      <c r="M12403" t="s">
        <v>39886</v>
      </c>
      <c r="N12403" t="s">
        <v>42669</v>
      </c>
      <c r="O12403" t="s">
        <v>42670</v>
      </c>
      <c r="Q12403">
        <v>4</v>
      </c>
      <c r="R12403" t="s">
        <v>42690</v>
      </c>
      <c r="S12403" t="s">
        <v>43586</v>
      </c>
      <c r="T12403" t="s">
        <v>44491</v>
      </c>
      <c r="U12403" t="s">
        <v>54934</v>
      </c>
      <c r="W12403" t="s">
        <v>39886</v>
      </c>
      <c r="X12403" t="s">
        <v>42692</v>
      </c>
    </row>
    <row r="12404" spans="1:24">
      <c r="A12404">
        <f>HYPERLINK("https://www.philgeps.gov.ph/GEPSNONPILOT/Tender/SplashBidNoticeAbstractUI.aspx?menuIndex=3&amp;refID=7154105&amp;Result=3","7154105")</f>
        <v>0</v>
      </c>
      <c r="B12404" t="s">
        <v>3345</v>
      </c>
      <c r="C12404" t="s">
        <v>15393</v>
      </c>
      <c r="D12404" t="s">
        <v>17183</v>
      </c>
      <c r="E12404" t="s">
        <v>27790</v>
      </c>
      <c r="F12404" t="s">
        <v>29372</v>
      </c>
      <c r="G12404" t="s">
        <v>29380</v>
      </c>
      <c r="H12404" t="s">
        <v>11048</v>
      </c>
      <c r="I12404" t="s">
        <v>4486</v>
      </c>
      <c r="J12404" t="s">
        <v>37360</v>
      </c>
      <c r="K12404" t="s">
        <v>38490</v>
      </c>
      <c r="M12404" t="s">
        <v>42436</v>
      </c>
      <c r="N12404" t="s">
        <v>42669</v>
      </c>
      <c r="O12404" t="s">
        <v>42670</v>
      </c>
      <c r="P12404">
        <v>0</v>
      </c>
      <c r="Q12404">
        <v>8</v>
      </c>
      <c r="R12404" t="s">
        <v>42690</v>
      </c>
      <c r="S12404" t="s">
        <v>43574</v>
      </c>
      <c r="T12404" t="s">
        <v>44491</v>
      </c>
      <c r="U12404" t="s">
        <v>54935</v>
      </c>
      <c r="V12404" t="s">
        <v>57791</v>
      </c>
      <c r="W12404" t="s">
        <v>42436</v>
      </c>
      <c r="X12404" t="s">
        <v>42692</v>
      </c>
    </row>
    <row r="12405" spans="1:24">
      <c r="A12405">
        <f>HYPERLINK("https://www.philgeps.gov.ph/GEPSNONPILOT/Tender/SplashBidNoticeAbstractUI.aspx?menuIndex=3&amp;refID=7154097&amp;Result=3","7154097")</f>
        <v>0</v>
      </c>
      <c r="B12405" t="s">
        <v>2117</v>
      </c>
      <c r="C12405" t="s">
        <v>15394</v>
      </c>
      <c r="D12405" t="s">
        <v>17202</v>
      </c>
      <c r="E12405" t="s">
        <v>27791</v>
      </c>
      <c r="F12405" t="s">
        <v>29372</v>
      </c>
      <c r="G12405" t="s">
        <v>29380</v>
      </c>
      <c r="H12405" t="s">
        <v>29389</v>
      </c>
      <c r="I12405" t="s">
        <v>4709</v>
      </c>
      <c r="J12405" t="s">
        <v>30302</v>
      </c>
      <c r="K12405" t="s">
        <v>38496</v>
      </c>
      <c r="M12405" t="s">
        <v>41021</v>
      </c>
      <c r="N12405" t="s">
        <v>42669</v>
      </c>
      <c r="O12405" t="s">
        <v>42670</v>
      </c>
      <c r="P12405">
        <v>0</v>
      </c>
      <c r="Q12405">
        <v>0</v>
      </c>
      <c r="R12405" t="s">
        <v>42690</v>
      </c>
      <c r="S12405" t="s">
        <v>43574</v>
      </c>
      <c r="T12405" t="s">
        <v>44430</v>
      </c>
      <c r="U12405" t="s">
        <v>54936</v>
      </c>
      <c r="V12405" t="s">
        <v>57042</v>
      </c>
      <c r="W12405" t="s">
        <v>41021</v>
      </c>
      <c r="X12405" t="s">
        <v>42692</v>
      </c>
    </row>
    <row r="12406" spans="1:24">
      <c r="A12406">
        <f>HYPERLINK("https://www.philgeps.gov.ph/GEPSNONPILOT/Tender/SplashBidNoticeAbstractUI.aspx?menuIndex=3&amp;refID=7153915&amp;Result=3","7153915")</f>
        <v>0</v>
      </c>
      <c r="B12406" t="s">
        <v>1331</v>
      </c>
      <c r="C12406" t="s">
        <v>15395</v>
      </c>
      <c r="D12406" t="s">
        <v>17168</v>
      </c>
      <c r="E12406" t="s">
        <v>27792</v>
      </c>
      <c r="F12406" t="s">
        <v>29372</v>
      </c>
      <c r="G12406" t="s">
        <v>29380</v>
      </c>
      <c r="H12406" t="s">
        <v>29389</v>
      </c>
      <c r="I12406" t="s">
        <v>10408</v>
      </c>
      <c r="J12406" t="s">
        <v>29785</v>
      </c>
      <c r="K12406" t="s">
        <v>38522</v>
      </c>
      <c r="M12406" t="s">
        <v>40167</v>
      </c>
      <c r="N12406" t="s">
        <v>42669</v>
      </c>
      <c r="O12406" t="s">
        <v>42670</v>
      </c>
      <c r="P12406">
        <v>0</v>
      </c>
      <c r="Q12406">
        <v>0</v>
      </c>
      <c r="R12406" t="s">
        <v>42690</v>
      </c>
      <c r="S12406" t="s">
        <v>43574</v>
      </c>
      <c r="T12406" t="s">
        <v>44387</v>
      </c>
      <c r="U12406" t="s">
        <v>54937</v>
      </c>
      <c r="W12406" t="s">
        <v>40167</v>
      </c>
      <c r="X12406" t="s">
        <v>42692</v>
      </c>
    </row>
    <row r="12407" spans="1:24">
      <c r="A12407">
        <f>HYPERLINK("https://www.philgeps.gov.ph/GEPSNONPILOT/Tender/SplashBidNoticeAbstractUI.aspx?menuIndex=3&amp;refID=7153855&amp;Result=3","7153855")</f>
        <v>0</v>
      </c>
      <c r="B12407" t="s">
        <v>1331</v>
      </c>
      <c r="C12407" t="s">
        <v>15396</v>
      </c>
      <c r="D12407" t="s">
        <v>17168</v>
      </c>
      <c r="E12407" t="s">
        <v>27793</v>
      </c>
      <c r="F12407" t="s">
        <v>29372</v>
      </c>
      <c r="G12407" t="s">
        <v>29380</v>
      </c>
      <c r="H12407" t="s">
        <v>29389</v>
      </c>
      <c r="I12407" t="s">
        <v>10408</v>
      </c>
      <c r="J12407" t="s">
        <v>37361</v>
      </c>
      <c r="K12407" t="s">
        <v>38600</v>
      </c>
      <c r="M12407" t="s">
        <v>40167</v>
      </c>
      <c r="N12407" t="s">
        <v>42669</v>
      </c>
      <c r="O12407" t="s">
        <v>42670</v>
      </c>
      <c r="P12407">
        <v>0</v>
      </c>
      <c r="Q12407">
        <v>0</v>
      </c>
      <c r="R12407" t="s">
        <v>42690</v>
      </c>
      <c r="S12407" t="s">
        <v>43574</v>
      </c>
      <c r="T12407" t="s">
        <v>44387</v>
      </c>
      <c r="U12407" t="s">
        <v>54938</v>
      </c>
      <c r="W12407" t="s">
        <v>40167</v>
      </c>
      <c r="X12407" t="s">
        <v>42692</v>
      </c>
    </row>
    <row r="12408" spans="1:24">
      <c r="A12408">
        <f>HYPERLINK("https://www.philgeps.gov.ph/GEPSNONPILOT/Tender/SplashBidNoticeAbstractUI.aspx?menuIndex=3&amp;refID=7153739&amp;Result=3","7153739")</f>
        <v>0</v>
      </c>
      <c r="B12408" t="s">
        <v>86</v>
      </c>
      <c r="C12408" t="s">
        <v>15397</v>
      </c>
      <c r="E12408" t="s">
        <v>27794</v>
      </c>
      <c r="F12408" t="s">
        <v>29372</v>
      </c>
      <c r="G12408" t="s">
        <v>29380</v>
      </c>
      <c r="H12408" t="s">
        <v>29389</v>
      </c>
      <c r="I12408" t="s">
        <v>10408</v>
      </c>
      <c r="J12408" t="s">
        <v>37362</v>
      </c>
      <c r="K12408" t="s">
        <v>38714</v>
      </c>
      <c r="M12408" t="s">
        <v>40155</v>
      </c>
      <c r="N12408" t="s">
        <v>42669</v>
      </c>
      <c r="O12408" t="s">
        <v>42670</v>
      </c>
      <c r="P12408">
        <v>0</v>
      </c>
      <c r="Q12408">
        <v>0</v>
      </c>
      <c r="R12408" t="s">
        <v>42690</v>
      </c>
      <c r="S12408" t="s">
        <v>43574</v>
      </c>
      <c r="T12408" t="s">
        <v>44481</v>
      </c>
      <c r="U12408" t="s">
        <v>54939</v>
      </c>
      <c r="W12408" t="s">
        <v>40155</v>
      </c>
      <c r="X12408" t="s">
        <v>42692</v>
      </c>
    </row>
    <row r="12409" spans="1:24">
      <c r="A12409">
        <f>HYPERLINK("https://www.philgeps.gov.ph/GEPSNONPILOT/Tender/SplashBidNoticeAbstractUI.aspx?menuIndex=3&amp;refID=7153711&amp;Result=3","7153711")</f>
        <v>0</v>
      </c>
      <c r="B12409" t="s">
        <v>1331</v>
      </c>
      <c r="C12409" t="s">
        <v>15398</v>
      </c>
      <c r="D12409" t="s">
        <v>17168</v>
      </c>
      <c r="E12409" t="s">
        <v>27795</v>
      </c>
      <c r="F12409" t="s">
        <v>29372</v>
      </c>
      <c r="G12409" t="s">
        <v>29380</v>
      </c>
      <c r="H12409" t="s">
        <v>29389</v>
      </c>
      <c r="I12409" t="s">
        <v>10408</v>
      </c>
      <c r="J12409" t="s">
        <v>34195</v>
      </c>
      <c r="K12409" t="s">
        <v>38527</v>
      </c>
      <c r="M12409" t="s">
        <v>40167</v>
      </c>
      <c r="N12409" t="s">
        <v>42669</v>
      </c>
      <c r="O12409" t="s">
        <v>42670</v>
      </c>
      <c r="P12409">
        <v>0</v>
      </c>
      <c r="Q12409">
        <v>0</v>
      </c>
      <c r="R12409" t="s">
        <v>42690</v>
      </c>
      <c r="S12409" t="s">
        <v>43574</v>
      </c>
      <c r="T12409" t="s">
        <v>44387</v>
      </c>
      <c r="U12409" t="s">
        <v>54940</v>
      </c>
      <c r="W12409" t="s">
        <v>40167</v>
      </c>
      <c r="X12409" t="s">
        <v>42692</v>
      </c>
    </row>
    <row r="12410" spans="1:24">
      <c r="A12410">
        <f>HYPERLINK("https://www.philgeps.gov.ph/GEPSNONPILOT/Tender/SplashBidNoticeAbstractUI.aspx?menuIndex=3&amp;refID=7153632&amp;Result=3","7153632")</f>
        <v>0</v>
      </c>
      <c r="B12410" t="s">
        <v>3346</v>
      </c>
      <c r="C12410" t="s">
        <v>15399</v>
      </c>
      <c r="D12410" t="s">
        <v>17177</v>
      </c>
      <c r="E12410" t="s">
        <v>27796</v>
      </c>
      <c r="F12410" t="s">
        <v>29372</v>
      </c>
      <c r="G12410" t="s">
        <v>29380</v>
      </c>
      <c r="H12410" t="s">
        <v>29389</v>
      </c>
      <c r="I12410" t="s">
        <v>10408</v>
      </c>
      <c r="J12410" t="s">
        <v>29590</v>
      </c>
      <c r="K12410" t="s">
        <v>38496</v>
      </c>
      <c r="M12410" t="s">
        <v>42437</v>
      </c>
      <c r="N12410" t="s">
        <v>42669</v>
      </c>
      <c r="O12410" t="s">
        <v>42670</v>
      </c>
      <c r="P12410">
        <v>0</v>
      </c>
      <c r="Q12410">
        <v>0</v>
      </c>
      <c r="R12410" t="s">
        <v>42690</v>
      </c>
      <c r="S12410" t="s">
        <v>43574</v>
      </c>
      <c r="T12410" t="s">
        <v>44560</v>
      </c>
      <c r="U12410" t="s">
        <v>54941</v>
      </c>
      <c r="W12410" t="s">
        <v>42437</v>
      </c>
      <c r="X12410" t="s">
        <v>42692</v>
      </c>
    </row>
    <row r="12411" spans="1:24">
      <c r="A12411">
        <f>HYPERLINK("https://www.philgeps.gov.ph/GEPSNONPILOT/Tender/SplashBidNoticeAbstractUI.aspx?menuIndex=3&amp;refID=7153571&amp;Result=3","7153571")</f>
        <v>0</v>
      </c>
      <c r="B12411" t="s">
        <v>1331</v>
      </c>
      <c r="C12411" t="s">
        <v>15400</v>
      </c>
      <c r="D12411" t="s">
        <v>17168</v>
      </c>
      <c r="E12411" t="s">
        <v>24223</v>
      </c>
      <c r="F12411" t="s">
        <v>29372</v>
      </c>
      <c r="G12411" t="s">
        <v>29380</v>
      </c>
      <c r="H12411" t="s">
        <v>29389</v>
      </c>
      <c r="I12411" t="s">
        <v>10408</v>
      </c>
      <c r="J12411" t="s">
        <v>29829</v>
      </c>
      <c r="K12411" t="s">
        <v>38505</v>
      </c>
      <c r="M12411" t="s">
        <v>40167</v>
      </c>
      <c r="N12411" t="s">
        <v>42669</v>
      </c>
      <c r="O12411" t="s">
        <v>42670</v>
      </c>
      <c r="P12411">
        <v>0</v>
      </c>
      <c r="Q12411">
        <v>0</v>
      </c>
      <c r="R12411" t="s">
        <v>42690</v>
      </c>
      <c r="S12411" t="s">
        <v>43574</v>
      </c>
      <c r="T12411" t="s">
        <v>44387</v>
      </c>
      <c r="U12411" t="s">
        <v>54942</v>
      </c>
      <c r="W12411" t="s">
        <v>40167</v>
      </c>
      <c r="X12411" t="s">
        <v>42692</v>
      </c>
    </row>
    <row r="12412" spans="1:24">
      <c r="A12412">
        <f>HYPERLINK("https://www.philgeps.gov.ph/GEPSNONPILOT/Tender/SplashBidNoticeAbstractUI.aspx?menuIndex=3&amp;refID=7152777&amp;Result=3","7152777")</f>
        <v>0</v>
      </c>
      <c r="B12412" t="s">
        <v>2468</v>
      </c>
      <c r="C12412" t="s">
        <v>15401</v>
      </c>
      <c r="E12412" t="s">
        <v>27797</v>
      </c>
      <c r="F12412" t="s">
        <v>29372</v>
      </c>
      <c r="G12412" t="s">
        <v>29380</v>
      </c>
      <c r="H12412" t="s">
        <v>29389</v>
      </c>
      <c r="I12412" t="s">
        <v>10408</v>
      </c>
      <c r="J12412" t="s">
        <v>37363</v>
      </c>
      <c r="K12412" t="s">
        <v>38490</v>
      </c>
      <c r="M12412" t="s">
        <v>41417</v>
      </c>
      <c r="N12412" t="s">
        <v>42669</v>
      </c>
      <c r="O12412" t="s">
        <v>42670</v>
      </c>
      <c r="P12412">
        <v>0</v>
      </c>
      <c r="Q12412">
        <v>8</v>
      </c>
      <c r="R12412" t="s">
        <v>42690</v>
      </c>
      <c r="S12412" t="s">
        <v>43574</v>
      </c>
      <c r="T12412" t="s">
        <v>44554</v>
      </c>
      <c r="U12412" t="s">
        <v>54928</v>
      </c>
      <c r="V12412" t="s">
        <v>57790</v>
      </c>
      <c r="W12412" t="s">
        <v>41417</v>
      </c>
      <c r="X12412" t="s">
        <v>42692</v>
      </c>
    </row>
    <row r="12413" spans="1:24">
      <c r="A12413">
        <f>HYPERLINK("https://www.philgeps.gov.ph/GEPSNONPILOT/Tender/SplashBidNoticeAbstractUI.aspx?menuIndex=3&amp;refID=7153586&amp;Result=3","7153586")</f>
        <v>0</v>
      </c>
      <c r="B12413" t="s">
        <v>86</v>
      </c>
      <c r="C12413" t="s">
        <v>15402</v>
      </c>
      <c r="E12413" t="s">
        <v>27798</v>
      </c>
      <c r="F12413" t="s">
        <v>29372</v>
      </c>
      <c r="G12413" t="s">
        <v>29380</v>
      </c>
      <c r="H12413" t="s">
        <v>29389</v>
      </c>
      <c r="I12413" t="s">
        <v>10408</v>
      </c>
      <c r="J12413" t="s">
        <v>37364</v>
      </c>
      <c r="K12413" t="s">
        <v>38559</v>
      </c>
      <c r="M12413" t="s">
        <v>40155</v>
      </c>
      <c r="N12413" t="s">
        <v>42669</v>
      </c>
      <c r="O12413" t="s">
        <v>42670</v>
      </c>
      <c r="P12413">
        <v>0</v>
      </c>
      <c r="Q12413">
        <v>0</v>
      </c>
      <c r="R12413" t="s">
        <v>42690</v>
      </c>
      <c r="S12413" t="s">
        <v>43574</v>
      </c>
      <c r="T12413" t="s">
        <v>44481</v>
      </c>
      <c r="U12413" t="s">
        <v>54943</v>
      </c>
      <c r="W12413" t="s">
        <v>40155</v>
      </c>
      <c r="X12413" t="s">
        <v>42692</v>
      </c>
    </row>
    <row r="12414" spans="1:24">
      <c r="A12414">
        <f>HYPERLINK("https://www.philgeps.gov.ph/GEPSNONPILOT/Tender/SplashBidNoticeAbstractUI.aspx?menuIndex=3&amp;refID=7153528&amp;Result=3","7153528")</f>
        <v>0</v>
      </c>
      <c r="B12414" t="s">
        <v>1331</v>
      </c>
      <c r="C12414" t="s">
        <v>15403</v>
      </c>
      <c r="D12414" t="s">
        <v>17168</v>
      </c>
      <c r="E12414" t="s">
        <v>27799</v>
      </c>
      <c r="F12414" t="s">
        <v>29372</v>
      </c>
      <c r="G12414" t="s">
        <v>29380</v>
      </c>
      <c r="H12414" t="s">
        <v>29389</v>
      </c>
      <c r="I12414" t="s">
        <v>10408</v>
      </c>
      <c r="J12414" t="s">
        <v>31307</v>
      </c>
      <c r="K12414" t="s">
        <v>38526</v>
      </c>
      <c r="M12414" t="s">
        <v>40167</v>
      </c>
      <c r="N12414" t="s">
        <v>42669</v>
      </c>
      <c r="O12414" t="s">
        <v>42670</v>
      </c>
      <c r="P12414">
        <v>0</v>
      </c>
      <c r="Q12414">
        <v>0</v>
      </c>
      <c r="R12414" t="s">
        <v>42690</v>
      </c>
      <c r="S12414" t="s">
        <v>43574</v>
      </c>
      <c r="T12414" t="s">
        <v>44387</v>
      </c>
      <c r="U12414" t="s">
        <v>54944</v>
      </c>
      <c r="W12414" t="s">
        <v>40167</v>
      </c>
      <c r="X12414" t="s">
        <v>42692</v>
      </c>
    </row>
    <row r="12415" spans="1:24">
      <c r="A12415">
        <f>HYPERLINK("https://www.philgeps.gov.ph/GEPSNONPILOT/Tender/SplashBidNoticeAbstractUI.aspx?menuIndex=3&amp;refID=7153557&amp;Result=3","7153557")</f>
        <v>0</v>
      </c>
      <c r="B12415" t="s">
        <v>86</v>
      </c>
      <c r="C12415" t="s">
        <v>15404</v>
      </c>
      <c r="E12415" t="s">
        <v>27800</v>
      </c>
      <c r="F12415" t="s">
        <v>29372</v>
      </c>
      <c r="G12415" t="s">
        <v>29380</v>
      </c>
      <c r="H12415" t="s">
        <v>29389</v>
      </c>
      <c r="I12415" t="s">
        <v>10408</v>
      </c>
      <c r="J12415" t="s">
        <v>37365</v>
      </c>
      <c r="K12415" t="s">
        <v>38604</v>
      </c>
      <c r="M12415" t="s">
        <v>40155</v>
      </c>
      <c r="N12415" t="s">
        <v>42669</v>
      </c>
      <c r="O12415" t="s">
        <v>42670</v>
      </c>
      <c r="P12415">
        <v>0</v>
      </c>
      <c r="Q12415">
        <v>0</v>
      </c>
      <c r="R12415" t="s">
        <v>42690</v>
      </c>
      <c r="S12415" t="s">
        <v>43574</v>
      </c>
      <c r="T12415" t="s">
        <v>44481</v>
      </c>
      <c r="U12415" t="s">
        <v>54945</v>
      </c>
      <c r="W12415" t="s">
        <v>40155</v>
      </c>
      <c r="X12415" t="s">
        <v>42692</v>
      </c>
    </row>
    <row r="12416" spans="1:24">
      <c r="A12416">
        <f>HYPERLINK("https://www.philgeps.gov.ph/GEPSNONPILOT/Tender/SplashBidNoticeAbstractUI.aspx?menuIndex=3&amp;refID=7153493&amp;Result=3","7153493")</f>
        <v>0</v>
      </c>
      <c r="B12416" t="s">
        <v>86</v>
      </c>
      <c r="C12416" t="s">
        <v>15405</v>
      </c>
      <c r="E12416" t="s">
        <v>27801</v>
      </c>
      <c r="F12416" t="s">
        <v>29372</v>
      </c>
      <c r="G12416" t="s">
        <v>29380</v>
      </c>
      <c r="H12416" t="s">
        <v>29389</v>
      </c>
      <c r="I12416" t="s">
        <v>10408</v>
      </c>
      <c r="J12416" t="s">
        <v>37366</v>
      </c>
      <c r="K12416" t="s">
        <v>38502</v>
      </c>
      <c r="M12416" t="s">
        <v>40155</v>
      </c>
      <c r="N12416" t="s">
        <v>42669</v>
      </c>
      <c r="O12416" t="s">
        <v>42670</v>
      </c>
      <c r="P12416">
        <v>0</v>
      </c>
      <c r="Q12416">
        <v>1</v>
      </c>
      <c r="R12416" t="s">
        <v>42690</v>
      </c>
      <c r="S12416" t="s">
        <v>43574</v>
      </c>
      <c r="T12416" t="s">
        <v>44481</v>
      </c>
      <c r="U12416" t="s">
        <v>54946</v>
      </c>
      <c r="W12416" t="s">
        <v>40155</v>
      </c>
      <c r="X12416" t="s">
        <v>42692</v>
      </c>
    </row>
    <row r="12417" spans="1:24">
      <c r="A12417">
        <f>HYPERLINK("https://www.philgeps.gov.ph/GEPSNONPILOT/Tender/SplashBidNoticeAbstractUI.aspx?menuIndex=3&amp;refID=7153460&amp;Result=3","7153460")</f>
        <v>0</v>
      </c>
      <c r="B12417" t="s">
        <v>86</v>
      </c>
      <c r="C12417" t="s">
        <v>15406</v>
      </c>
      <c r="E12417" t="s">
        <v>27802</v>
      </c>
      <c r="F12417" t="s">
        <v>29372</v>
      </c>
      <c r="G12417" t="s">
        <v>29380</v>
      </c>
      <c r="H12417" t="s">
        <v>29389</v>
      </c>
      <c r="I12417" t="s">
        <v>10408</v>
      </c>
      <c r="J12417" t="s">
        <v>37367</v>
      </c>
      <c r="K12417" t="s">
        <v>38711</v>
      </c>
      <c r="M12417" t="s">
        <v>40155</v>
      </c>
      <c r="N12417" t="s">
        <v>42669</v>
      </c>
      <c r="O12417" t="s">
        <v>42670</v>
      </c>
      <c r="P12417">
        <v>0</v>
      </c>
      <c r="Q12417">
        <v>1</v>
      </c>
      <c r="R12417" t="s">
        <v>42690</v>
      </c>
      <c r="S12417" t="s">
        <v>43574</v>
      </c>
      <c r="T12417" t="s">
        <v>44481</v>
      </c>
      <c r="U12417" t="s">
        <v>54947</v>
      </c>
      <c r="W12417" t="s">
        <v>40155</v>
      </c>
      <c r="X12417" t="s">
        <v>42692</v>
      </c>
    </row>
    <row r="12418" spans="1:24">
      <c r="A12418">
        <f>HYPERLINK("https://www.philgeps.gov.ph/GEPSNONPILOT/Tender/SplashBidNoticeAbstractUI.aspx?menuIndex=3&amp;refID=7152485&amp;Result=3","7152485")</f>
        <v>0</v>
      </c>
      <c r="B12418" t="s">
        <v>1911</v>
      </c>
      <c r="C12418" t="s">
        <v>15407</v>
      </c>
      <c r="D12418" t="s">
        <v>17180</v>
      </c>
      <c r="E12418" t="s">
        <v>27803</v>
      </c>
      <c r="F12418" t="s">
        <v>29372</v>
      </c>
      <c r="G12418" t="s">
        <v>29380</v>
      </c>
      <c r="H12418" t="s">
        <v>29389</v>
      </c>
      <c r="I12418" t="s">
        <v>10408</v>
      </c>
      <c r="J12418" t="s">
        <v>37368</v>
      </c>
      <c r="K12418" t="s">
        <v>38564</v>
      </c>
      <c r="M12418" t="s">
        <v>40786</v>
      </c>
      <c r="N12418" t="s">
        <v>42669</v>
      </c>
      <c r="O12418" t="s">
        <v>42670</v>
      </c>
      <c r="P12418">
        <v>0</v>
      </c>
      <c r="Q12418">
        <v>22</v>
      </c>
      <c r="R12418" t="s">
        <v>42690</v>
      </c>
      <c r="S12418" t="s">
        <v>43574</v>
      </c>
      <c r="T12418" t="s">
        <v>44488</v>
      </c>
      <c r="U12418" t="s">
        <v>54948</v>
      </c>
      <c r="V12418" t="s">
        <v>53837</v>
      </c>
      <c r="W12418" t="s">
        <v>40786</v>
      </c>
      <c r="X12418" t="s">
        <v>42692</v>
      </c>
    </row>
    <row r="12419" spans="1:24">
      <c r="A12419">
        <f>HYPERLINK("https://www.philgeps.gov.ph/GEPSNONPILOT/Tender/SplashBidNoticeAbstractUI.aspx?menuIndex=3&amp;refID=7153462&amp;Result=3","7153462")</f>
        <v>0</v>
      </c>
      <c r="B12419" t="s">
        <v>1331</v>
      </c>
      <c r="C12419" t="s">
        <v>15408</v>
      </c>
      <c r="D12419" t="s">
        <v>17168</v>
      </c>
      <c r="E12419" t="s">
        <v>27804</v>
      </c>
      <c r="F12419" t="s">
        <v>29372</v>
      </c>
      <c r="G12419" t="s">
        <v>29380</v>
      </c>
      <c r="H12419" t="s">
        <v>29389</v>
      </c>
      <c r="I12419" t="s">
        <v>10408</v>
      </c>
      <c r="J12419" t="s">
        <v>36190</v>
      </c>
      <c r="K12419" t="s">
        <v>38526</v>
      </c>
      <c r="M12419" t="s">
        <v>40167</v>
      </c>
      <c r="N12419" t="s">
        <v>42669</v>
      </c>
      <c r="O12419" t="s">
        <v>42670</v>
      </c>
      <c r="P12419">
        <v>0</v>
      </c>
      <c r="Q12419">
        <v>2</v>
      </c>
      <c r="R12419" t="s">
        <v>42690</v>
      </c>
      <c r="S12419" t="s">
        <v>43574</v>
      </c>
      <c r="T12419" t="s">
        <v>44387</v>
      </c>
      <c r="U12419" t="s">
        <v>54949</v>
      </c>
      <c r="W12419" t="s">
        <v>40167</v>
      </c>
      <c r="X12419" t="s">
        <v>42692</v>
      </c>
    </row>
    <row r="12420" spans="1:24">
      <c r="A12420">
        <f>HYPERLINK("https://www.philgeps.gov.ph/GEPSNONPILOT/Tender/SplashBidNoticeAbstractUI.aspx?menuIndex=3&amp;refID=7151624&amp;Result=3","7151624")</f>
        <v>0</v>
      </c>
      <c r="B12420" t="s">
        <v>216</v>
      </c>
      <c r="C12420" t="s">
        <v>15409</v>
      </c>
      <c r="D12420" t="s">
        <v>17183</v>
      </c>
      <c r="E12420" t="s">
        <v>19635</v>
      </c>
      <c r="F12420" t="s">
        <v>29372</v>
      </c>
      <c r="G12420" t="s">
        <v>29380</v>
      </c>
      <c r="H12420" t="s">
        <v>11048</v>
      </c>
      <c r="I12420" t="s">
        <v>3670</v>
      </c>
      <c r="J12420" t="s">
        <v>37369</v>
      </c>
      <c r="K12420" t="s">
        <v>38485</v>
      </c>
      <c r="M12420" t="s">
        <v>38974</v>
      </c>
      <c r="N12420" t="s">
        <v>42669</v>
      </c>
      <c r="O12420" t="s">
        <v>42670</v>
      </c>
      <c r="P12420">
        <v>0</v>
      </c>
      <c r="Q12420">
        <v>2</v>
      </c>
      <c r="R12420" t="s">
        <v>42690</v>
      </c>
      <c r="S12420" t="s">
        <v>43574</v>
      </c>
      <c r="T12420" t="s">
        <v>44394</v>
      </c>
      <c r="U12420" t="s">
        <v>54950</v>
      </c>
      <c r="W12420" t="s">
        <v>38974</v>
      </c>
      <c r="X12420" t="s">
        <v>42693</v>
      </c>
    </row>
    <row r="12421" spans="1:24">
      <c r="A12421">
        <f>HYPERLINK("https://www.philgeps.gov.ph/GEPSNONPILOT/Tender/SplashBidNoticeAbstractUI.aspx?menuIndex=3&amp;refID=7150850&amp;Result=3","7150850")</f>
        <v>0</v>
      </c>
      <c r="B12421" t="s">
        <v>3347</v>
      </c>
      <c r="C12421" t="s">
        <v>15410</v>
      </c>
      <c r="D12421" t="s">
        <v>17198</v>
      </c>
      <c r="E12421" t="s">
        <v>27805</v>
      </c>
      <c r="F12421" t="s">
        <v>29372</v>
      </c>
      <c r="G12421" t="s">
        <v>29380</v>
      </c>
      <c r="H12421" t="s">
        <v>29389</v>
      </c>
      <c r="I12421" t="s">
        <v>10408</v>
      </c>
      <c r="J12421" t="s">
        <v>37370</v>
      </c>
      <c r="K12421" t="s">
        <v>38510</v>
      </c>
      <c r="M12421" t="s">
        <v>42438</v>
      </c>
      <c r="N12421" t="s">
        <v>42669</v>
      </c>
      <c r="O12421" t="s">
        <v>42670</v>
      </c>
      <c r="P12421">
        <v>0</v>
      </c>
      <c r="Q12421">
        <v>0</v>
      </c>
      <c r="R12421" t="s">
        <v>42690</v>
      </c>
      <c r="S12421" t="s">
        <v>43574</v>
      </c>
      <c r="T12421" t="s">
        <v>44371</v>
      </c>
      <c r="U12421" t="s">
        <v>46039</v>
      </c>
      <c r="W12421" t="s">
        <v>42438</v>
      </c>
      <c r="X12421" t="s">
        <v>42693</v>
      </c>
    </row>
    <row r="12422" spans="1:24">
      <c r="A12422">
        <f>HYPERLINK("https://www.philgeps.gov.ph/GEPSNONPILOT/Tender/SplashBidNoticeAbstractUI.aspx?menuIndex=3&amp;refID=7153452&amp;Result=3","7153452")</f>
        <v>0</v>
      </c>
      <c r="B12422" t="s">
        <v>3343</v>
      </c>
      <c r="C12422" t="s">
        <v>15411</v>
      </c>
      <c r="D12422" t="s">
        <v>17198</v>
      </c>
      <c r="E12422" t="s">
        <v>27806</v>
      </c>
      <c r="F12422" t="s">
        <v>29372</v>
      </c>
      <c r="G12422" t="s">
        <v>29380</v>
      </c>
      <c r="H12422" t="s">
        <v>29389</v>
      </c>
      <c r="I12422" t="s">
        <v>10408</v>
      </c>
      <c r="J12422" t="s">
        <v>37371</v>
      </c>
      <c r="K12422" t="s">
        <v>38487</v>
      </c>
      <c r="M12422" t="s">
        <v>42433</v>
      </c>
      <c r="N12422" t="s">
        <v>42669</v>
      </c>
      <c r="O12422" t="s">
        <v>42670</v>
      </c>
      <c r="P12422">
        <v>0</v>
      </c>
      <c r="Q12422">
        <v>0</v>
      </c>
      <c r="R12422" t="s">
        <v>42690</v>
      </c>
      <c r="S12422" t="s">
        <v>43574</v>
      </c>
      <c r="T12422" t="s">
        <v>44371</v>
      </c>
      <c r="U12422" t="s">
        <v>46039</v>
      </c>
      <c r="W12422" t="s">
        <v>42433</v>
      </c>
      <c r="X12422" t="s">
        <v>42692</v>
      </c>
    </row>
    <row r="12423" spans="1:24">
      <c r="A12423">
        <f>HYPERLINK("https://www.philgeps.gov.ph/GEPSNONPILOT/Tender/SplashBidNoticeAbstractUI.aspx?menuIndex=3&amp;refID=7150493&amp;Result=3","7150493")</f>
        <v>0</v>
      </c>
      <c r="B12423" t="s">
        <v>3348</v>
      </c>
      <c r="C12423" t="s">
        <v>15412</v>
      </c>
      <c r="D12423" t="s">
        <v>17198</v>
      </c>
      <c r="E12423" t="s">
        <v>27807</v>
      </c>
      <c r="F12423" t="s">
        <v>29372</v>
      </c>
      <c r="G12423" t="s">
        <v>29380</v>
      </c>
      <c r="H12423" t="s">
        <v>29389</v>
      </c>
      <c r="I12423" t="s">
        <v>10408</v>
      </c>
      <c r="J12423" t="s">
        <v>37372</v>
      </c>
      <c r="K12423" t="s">
        <v>38510</v>
      </c>
      <c r="M12423" t="s">
        <v>42439</v>
      </c>
      <c r="N12423" t="s">
        <v>42669</v>
      </c>
      <c r="O12423" t="s">
        <v>42670</v>
      </c>
      <c r="P12423">
        <v>0</v>
      </c>
      <c r="Q12423">
        <v>0</v>
      </c>
      <c r="R12423" t="s">
        <v>42690</v>
      </c>
      <c r="S12423" t="s">
        <v>43574</v>
      </c>
      <c r="T12423" t="s">
        <v>44371</v>
      </c>
      <c r="U12423" t="s">
        <v>46039</v>
      </c>
      <c r="W12423" t="s">
        <v>42439</v>
      </c>
      <c r="X12423" t="s">
        <v>42693</v>
      </c>
    </row>
    <row r="12424" spans="1:24">
      <c r="A12424">
        <f>HYPERLINK("https://www.philgeps.gov.ph/GEPSNONPILOT/Tender/SplashBidNoticeAbstractUI.aspx?menuIndex=3&amp;refID=7146489&amp;Result=3","7146489")</f>
        <v>0</v>
      </c>
      <c r="B12424" t="s">
        <v>2599</v>
      </c>
      <c r="C12424" t="s">
        <v>15413</v>
      </c>
      <c r="D12424" t="s">
        <v>17222</v>
      </c>
      <c r="E12424" t="s">
        <v>27808</v>
      </c>
      <c r="F12424" t="s">
        <v>29372</v>
      </c>
      <c r="G12424" t="s">
        <v>29380</v>
      </c>
      <c r="H12424" t="s">
        <v>11048</v>
      </c>
      <c r="I12424" t="s">
        <v>3839</v>
      </c>
      <c r="J12424" t="s">
        <v>29587</v>
      </c>
      <c r="K12424" t="s">
        <v>38485</v>
      </c>
      <c r="M12424" t="s">
        <v>41566</v>
      </c>
      <c r="N12424" t="s">
        <v>42669</v>
      </c>
      <c r="O12424" t="s">
        <v>42670</v>
      </c>
      <c r="P12424">
        <v>0</v>
      </c>
      <c r="Q12424">
        <v>3</v>
      </c>
      <c r="R12424" t="s">
        <v>42690</v>
      </c>
      <c r="S12424" t="s">
        <v>43574</v>
      </c>
      <c r="T12424" t="s">
        <v>44417</v>
      </c>
      <c r="U12424" t="s">
        <v>54951</v>
      </c>
      <c r="W12424" t="s">
        <v>41566</v>
      </c>
      <c r="X12424" t="s">
        <v>42697</v>
      </c>
    </row>
    <row r="12425" spans="1:24">
      <c r="A12425">
        <f>HYPERLINK("https://www.philgeps.gov.ph/GEPSNONPILOT/Tender/SplashBidNoticeAbstractUI.aspx?menuIndex=3&amp;refID=7150916&amp;Result=3","7150916")</f>
        <v>0</v>
      </c>
      <c r="B12425" t="s">
        <v>3347</v>
      </c>
      <c r="C12425" t="s">
        <v>15414</v>
      </c>
      <c r="D12425" t="s">
        <v>17198</v>
      </c>
      <c r="E12425" t="s">
        <v>27809</v>
      </c>
      <c r="F12425" t="s">
        <v>29372</v>
      </c>
      <c r="G12425" t="s">
        <v>29380</v>
      </c>
      <c r="H12425" t="s">
        <v>29389</v>
      </c>
      <c r="I12425" t="s">
        <v>10408</v>
      </c>
      <c r="J12425" t="s">
        <v>37373</v>
      </c>
      <c r="K12425" t="s">
        <v>38518</v>
      </c>
      <c r="M12425" t="s">
        <v>42438</v>
      </c>
      <c r="N12425" t="s">
        <v>42669</v>
      </c>
      <c r="O12425" t="s">
        <v>42670</v>
      </c>
      <c r="P12425">
        <v>0</v>
      </c>
      <c r="Q12425">
        <v>0</v>
      </c>
      <c r="R12425" t="s">
        <v>42690</v>
      </c>
      <c r="S12425" t="s">
        <v>43574</v>
      </c>
      <c r="T12425" t="s">
        <v>44371</v>
      </c>
      <c r="U12425" t="s">
        <v>46039</v>
      </c>
      <c r="W12425" t="s">
        <v>42438</v>
      </c>
      <c r="X12425" t="s">
        <v>42693</v>
      </c>
    </row>
    <row r="12426" spans="1:24">
      <c r="A12426">
        <f>HYPERLINK("https://www.philgeps.gov.ph/GEPSNONPILOT/Tender/SplashBidNoticeAbstractUI.aspx?menuIndex=3&amp;refID=7141075&amp;Result=3","7141075")</f>
        <v>0</v>
      </c>
      <c r="B12426" t="s">
        <v>3349</v>
      </c>
      <c r="C12426" t="s">
        <v>15415</v>
      </c>
      <c r="D12426" t="s">
        <v>17174</v>
      </c>
      <c r="E12426" t="s">
        <v>27810</v>
      </c>
      <c r="F12426" t="s">
        <v>29372</v>
      </c>
      <c r="G12426" t="s">
        <v>29380</v>
      </c>
      <c r="H12426" t="s">
        <v>29389</v>
      </c>
      <c r="I12426" t="s">
        <v>10408</v>
      </c>
      <c r="J12426" t="s">
        <v>37374</v>
      </c>
      <c r="K12426" t="s">
        <v>38496</v>
      </c>
      <c r="M12426" t="s">
        <v>42440</v>
      </c>
      <c r="N12426" t="s">
        <v>42669</v>
      </c>
      <c r="O12426" t="s">
        <v>42670</v>
      </c>
      <c r="P12426">
        <v>0</v>
      </c>
      <c r="Q12426">
        <v>0</v>
      </c>
      <c r="R12426" t="s">
        <v>42690</v>
      </c>
      <c r="S12426" t="s">
        <v>43574</v>
      </c>
      <c r="T12426" t="s">
        <v>44524</v>
      </c>
      <c r="U12426" t="s">
        <v>54952</v>
      </c>
      <c r="W12426" t="s">
        <v>42440</v>
      </c>
      <c r="X12426" t="s">
        <v>42699</v>
      </c>
    </row>
    <row r="12427" spans="1:24">
      <c r="A12427">
        <f>HYPERLINK("https://www.philgeps.gov.ph/GEPSNONPILOT/Tender/SplashBidNoticeAbstractUI.aspx?menuIndex=3&amp;refID=7152731&amp;Result=3","7152731")</f>
        <v>0</v>
      </c>
      <c r="B12427" t="s">
        <v>2468</v>
      </c>
      <c r="C12427" t="s">
        <v>15416</v>
      </c>
      <c r="E12427" t="s">
        <v>27811</v>
      </c>
      <c r="F12427" t="s">
        <v>29372</v>
      </c>
      <c r="G12427" t="s">
        <v>29380</v>
      </c>
      <c r="H12427" t="s">
        <v>29389</v>
      </c>
      <c r="I12427" t="s">
        <v>10408</v>
      </c>
      <c r="J12427" t="s">
        <v>37375</v>
      </c>
      <c r="K12427" t="s">
        <v>38490</v>
      </c>
      <c r="M12427" t="s">
        <v>41417</v>
      </c>
      <c r="N12427" t="s">
        <v>42669</v>
      </c>
      <c r="O12427" t="s">
        <v>42670</v>
      </c>
      <c r="P12427">
        <v>0</v>
      </c>
      <c r="Q12427">
        <v>9</v>
      </c>
      <c r="R12427" t="s">
        <v>42690</v>
      </c>
      <c r="S12427" t="s">
        <v>43574</v>
      </c>
      <c r="T12427" t="s">
        <v>44554</v>
      </c>
      <c r="U12427" t="s">
        <v>54929</v>
      </c>
      <c r="V12427" t="s">
        <v>57790</v>
      </c>
      <c r="W12427" t="s">
        <v>41417</v>
      </c>
      <c r="X12427" t="s">
        <v>42692</v>
      </c>
    </row>
    <row r="12428" spans="1:24">
      <c r="A12428">
        <f>HYPERLINK("https://www.philgeps.gov.ph/GEPSNONPILOT/Tender/SplashBidNoticeAbstractUI.aspx?menuIndex=3&amp;refID=7141032&amp;Result=3","7141032")</f>
        <v>0</v>
      </c>
      <c r="B12428" t="s">
        <v>3349</v>
      </c>
      <c r="C12428" t="s">
        <v>15417</v>
      </c>
      <c r="D12428" t="s">
        <v>17174</v>
      </c>
      <c r="E12428" t="s">
        <v>27812</v>
      </c>
      <c r="F12428" t="s">
        <v>29372</v>
      </c>
      <c r="G12428" t="s">
        <v>29380</v>
      </c>
      <c r="H12428" t="s">
        <v>29389</v>
      </c>
      <c r="I12428" t="s">
        <v>10408</v>
      </c>
      <c r="J12428" t="s">
        <v>37376</v>
      </c>
      <c r="K12428" t="s">
        <v>38525</v>
      </c>
      <c r="M12428" t="s">
        <v>42440</v>
      </c>
      <c r="N12428" t="s">
        <v>42669</v>
      </c>
      <c r="O12428" t="s">
        <v>42670</v>
      </c>
      <c r="P12428">
        <v>0</v>
      </c>
      <c r="Q12428">
        <v>0</v>
      </c>
      <c r="R12428" t="s">
        <v>42690</v>
      </c>
      <c r="S12428" t="s">
        <v>43574</v>
      </c>
      <c r="T12428" t="s">
        <v>44524</v>
      </c>
      <c r="U12428" t="s">
        <v>54953</v>
      </c>
      <c r="W12428" t="s">
        <v>42440</v>
      </c>
      <c r="X12428" t="s">
        <v>42699</v>
      </c>
    </row>
    <row r="12429" spans="1:24">
      <c r="A12429">
        <f>HYPERLINK("https://www.philgeps.gov.ph/GEPSNONPILOT/Tender/SplashBidNoticeAbstractUI.aspx?menuIndex=3&amp;refID=7155288&amp;Result=3","7155288")</f>
        <v>0</v>
      </c>
      <c r="B12429" t="s">
        <v>3350</v>
      </c>
      <c r="C12429" t="s">
        <v>15418</v>
      </c>
      <c r="D12429" t="s">
        <v>17197</v>
      </c>
      <c r="E12429" t="s">
        <v>27813</v>
      </c>
      <c r="F12429" t="s">
        <v>29372</v>
      </c>
      <c r="G12429" t="s">
        <v>29380</v>
      </c>
      <c r="H12429" t="s">
        <v>29389</v>
      </c>
      <c r="I12429" t="s">
        <v>29464</v>
      </c>
      <c r="J12429" t="s">
        <v>37377</v>
      </c>
      <c r="K12429" t="s">
        <v>38666</v>
      </c>
      <c r="M12429" t="s">
        <v>42441</v>
      </c>
      <c r="N12429" t="s">
        <v>42669</v>
      </c>
      <c r="O12429" t="s">
        <v>42670</v>
      </c>
      <c r="P12429">
        <v>0</v>
      </c>
      <c r="Q12429">
        <v>3</v>
      </c>
      <c r="R12429" t="s">
        <v>42690</v>
      </c>
      <c r="S12429" t="s">
        <v>43574</v>
      </c>
      <c r="T12429" t="s">
        <v>44401</v>
      </c>
      <c r="U12429" t="s">
        <v>54954</v>
      </c>
      <c r="W12429" t="s">
        <v>42441</v>
      </c>
      <c r="X12429" t="s">
        <v>42691</v>
      </c>
    </row>
    <row r="12430" spans="1:24">
      <c r="A12430">
        <f>HYPERLINK("https://www.philgeps.gov.ph/GEPSNONPILOT/Tender/SplashBidNoticeAbstractUI.aspx?menuIndex=3&amp;refID=7145603&amp;Result=3","7145603")</f>
        <v>0</v>
      </c>
      <c r="B12430" t="s">
        <v>3351</v>
      </c>
      <c r="C12430" t="s">
        <v>15419</v>
      </c>
      <c r="D12430" t="s">
        <v>17161</v>
      </c>
      <c r="E12430" t="s">
        <v>18634</v>
      </c>
      <c r="F12430" t="s">
        <v>29375</v>
      </c>
      <c r="G12430" t="s">
        <v>29380</v>
      </c>
      <c r="H12430" t="s">
        <v>11048</v>
      </c>
      <c r="I12430" t="s">
        <v>9469</v>
      </c>
      <c r="J12430" t="s">
        <v>37378</v>
      </c>
      <c r="K12430" t="s">
        <v>38510</v>
      </c>
      <c r="M12430" t="s">
        <v>42442</v>
      </c>
      <c r="N12430" t="s">
        <v>42669</v>
      </c>
      <c r="O12430" t="s">
        <v>42670</v>
      </c>
      <c r="P12430">
        <v>0</v>
      </c>
      <c r="Q12430">
        <v>2</v>
      </c>
      <c r="R12430" t="s">
        <v>42690</v>
      </c>
      <c r="S12430" t="s">
        <v>43574</v>
      </c>
      <c r="T12430" t="s">
        <v>44468</v>
      </c>
      <c r="U12430" t="s">
        <v>54955</v>
      </c>
      <c r="V12430" t="s">
        <v>57792</v>
      </c>
      <c r="W12430" t="s">
        <v>42442</v>
      </c>
      <c r="X12430" t="s">
        <v>42697</v>
      </c>
    </row>
    <row r="12431" spans="1:24">
      <c r="A12431">
        <f>HYPERLINK("https://www.philgeps.gov.ph/GEPSNONPILOT/Tender/SplashBidNoticeAbstractUI.aspx?menuIndex=3&amp;refID=7155279&amp;Result=3","7155279")</f>
        <v>0</v>
      </c>
      <c r="B12431" t="s">
        <v>2108</v>
      </c>
      <c r="C12431" t="s">
        <v>15420</v>
      </c>
      <c r="D12431" t="s">
        <v>17170</v>
      </c>
      <c r="E12431" t="s">
        <v>27814</v>
      </c>
      <c r="F12431" t="s">
        <v>29372</v>
      </c>
      <c r="G12431" t="s">
        <v>29380</v>
      </c>
      <c r="H12431" t="s">
        <v>29389</v>
      </c>
      <c r="I12431" t="s">
        <v>10408</v>
      </c>
      <c r="J12431" t="s">
        <v>37379</v>
      </c>
      <c r="K12431" t="s">
        <v>38707</v>
      </c>
      <c r="M12431" t="s">
        <v>42443</v>
      </c>
      <c r="N12431" t="s">
        <v>42669</v>
      </c>
      <c r="O12431" t="s">
        <v>42670</v>
      </c>
      <c r="P12431">
        <v>0</v>
      </c>
      <c r="Q12431">
        <v>4</v>
      </c>
      <c r="R12431" t="s">
        <v>42690</v>
      </c>
      <c r="S12431" t="s">
        <v>43574</v>
      </c>
      <c r="T12431" t="s">
        <v>44488</v>
      </c>
      <c r="U12431" t="s">
        <v>54956</v>
      </c>
      <c r="W12431" t="s">
        <v>42443</v>
      </c>
      <c r="X12431" t="s">
        <v>42691</v>
      </c>
    </row>
    <row r="12432" spans="1:24">
      <c r="A12432">
        <f>HYPERLINK("https://www.philgeps.gov.ph/GEPSNONPILOT/Tender/SplashBidNoticeAbstractUI.aspx?menuIndex=3&amp;refID=7155266&amp;Result=3","7155266")</f>
        <v>0</v>
      </c>
      <c r="B12432" t="s">
        <v>3352</v>
      </c>
      <c r="C12432" t="s">
        <v>3841</v>
      </c>
      <c r="D12432" t="s">
        <v>17177</v>
      </c>
      <c r="E12432" t="s">
        <v>19019</v>
      </c>
      <c r="F12432" t="s">
        <v>29372</v>
      </c>
      <c r="G12432" t="s">
        <v>29380</v>
      </c>
      <c r="H12432" t="s">
        <v>29389</v>
      </c>
      <c r="I12432" t="s">
        <v>29417</v>
      </c>
      <c r="J12432" t="s">
        <v>37380</v>
      </c>
      <c r="K12432" t="s">
        <v>38490</v>
      </c>
      <c r="M12432" t="s">
        <v>42444</v>
      </c>
      <c r="N12432" t="s">
        <v>42669</v>
      </c>
      <c r="O12432" t="s">
        <v>42670</v>
      </c>
      <c r="P12432">
        <v>0</v>
      </c>
      <c r="Q12432">
        <v>2</v>
      </c>
      <c r="R12432" t="s">
        <v>42690</v>
      </c>
      <c r="S12432" t="s">
        <v>43574</v>
      </c>
      <c r="T12432" t="s">
        <v>44429</v>
      </c>
      <c r="U12432" t="s">
        <v>54957</v>
      </c>
      <c r="W12432" t="s">
        <v>42444</v>
      </c>
      <c r="X12432" t="s">
        <v>42691</v>
      </c>
    </row>
    <row r="12433" spans="1:24">
      <c r="A12433">
        <f>HYPERLINK("https://www.philgeps.gov.ph/GEPSNONPILOT/Tender/SplashBidNoticeAbstractUI.aspx?menuIndex=3&amp;refID=7155243&amp;Result=3","7155243")</f>
        <v>0</v>
      </c>
      <c r="B12433" t="s">
        <v>1966</v>
      </c>
      <c r="C12433" t="s">
        <v>15421</v>
      </c>
      <c r="D12433" t="s">
        <v>17169</v>
      </c>
      <c r="E12433" t="s">
        <v>27815</v>
      </c>
      <c r="F12433" t="s">
        <v>29372</v>
      </c>
      <c r="G12433" t="s">
        <v>29380</v>
      </c>
      <c r="H12433" t="s">
        <v>11048</v>
      </c>
      <c r="I12433" t="s">
        <v>9469</v>
      </c>
      <c r="J12433" t="s">
        <v>30056</v>
      </c>
      <c r="K12433" t="s">
        <v>38485</v>
      </c>
      <c r="M12433" t="s">
        <v>40851</v>
      </c>
      <c r="N12433" t="s">
        <v>42669</v>
      </c>
      <c r="O12433" t="s">
        <v>42670</v>
      </c>
      <c r="P12433">
        <v>0</v>
      </c>
      <c r="Q12433">
        <v>7</v>
      </c>
      <c r="R12433" t="s">
        <v>42690</v>
      </c>
      <c r="S12433" t="s">
        <v>43574</v>
      </c>
      <c r="T12433" t="s">
        <v>44373</v>
      </c>
      <c r="U12433" t="s">
        <v>54958</v>
      </c>
      <c r="W12433" t="s">
        <v>40851</v>
      </c>
      <c r="X12433" t="s">
        <v>42692</v>
      </c>
    </row>
    <row r="12434" spans="1:24">
      <c r="A12434">
        <f>HYPERLINK("https://www.philgeps.gov.ph/GEPSNONPILOT/Tender/SplashBidNoticeAbstractUI.aspx?menuIndex=3&amp;refID=7155037&amp;Result=3","7155037")</f>
        <v>0</v>
      </c>
      <c r="B12434" t="s">
        <v>3353</v>
      </c>
      <c r="C12434" t="s">
        <v>15422</v>
      </c>
      <c r="D12434" t="s">
        <v>17159</v>
      </c>
      <c r="E12434" t="s">
        <v>27816</v>
      </c>
      <c r="F12434" t="s">
        <v>29372</v>
      </c>
      <c r="G12434" t="s">
        <v>29380</v>
      </c>
      <c r="H12434" t="s">
        <v>29389</v>
      </c>
      <c r="I12434" t="s">
        <v>10408</v>
      </c>
      <c r="J12434" t="s">
        <v>29780</v>
      </c>
      <c r="K12434" t="s">
        <v>38490</v>
      </c>
      <c r="M12434" t="s">
        <v>42445</v>
      </c>
      <c r="N12434" t="s">
        <v>42669</v>
      </c>
      <c r="O12434" t="s">
        <v>42670</v>
      </c>
      <c r="P12434">
        <v>0</v>
      </c>
      <c r="Q12434">
        <v>0</v>
      </c>
      <c r="R12434" t="s">
        <v>42690</v>
      </c>
      <c r="S12434" t="s">
        <v>43574</v>
      </c>
      <c r="T12434" t="s">
        <v>44401</v>
      </c>
      <c r="U12434" t="s">
        <v>54959</v>
      </c>
      <c r="W12434" t="s">
        <v>42445</v>
      </c>
      <c r="X12434" t="s">
        <v>42692</v>
      </c>
    </row>
    <row r="12435" spans="1:24">
      <c r="A12435">
        <f>HYPERLINK("https://www.philgeps.gov.ph/GEPSNONPILOT/Tender/SplashBidNoticeAbstractUI.aspx?menuIndex=3&amp;refID=7155294&amp;Result=3","7155294")</f>
        <v>0</v>
      </c>
      <c r="B12435" t="s">
        <v>985</v>
      </c>
      <c r="C12435" t="s">
        <v>15423</v>
      </c>
      <c r="D12435" t="s">
        <v>17158</v>
      </c>
      <c r="E12435" t="s">
        <v>27817</v>
      </c>
      <c r="F12435" t="s">
        <v>29372</v>
      </c>
      <c r="G12435" t="s">
        <v>29380</v>
      </c>
      <c r="H12435" t="s">
        <v>29389</v>
      </c>
      <c r="I12435" t="s">
        <v>10408</v>
      </c>
      <c r="J12435" t="s">
        <v>37381</v>
      </c>
      <c r="K12435" t="s">
        <v>38627</v>
      </c>
      <c r="M12435" t="s">
        <v>39783</v>
      </c>
      <c r="N12435" t="s">
        <v>42669</v>
      </c>
      <c r="O12435" t="s">
        <v>42670</v>
      </c>
      <c r="P12435">
        <v>0</v>
      </c>
      <c r="Q12435">
        <v>5</v>
      </c>
      <c r="R12435" t="s">
        <v>42690</v>
      </c>
      <c r="S12435" t="s">
        <v>43574</v>
      </c>
      <c r="T12435" t="s">
        <v>44481</v>
      </c>
      <c r="U12435" t="s">
        <v>54960</v>
      </c>
      <c r="V12435" t="s">
        <v>57793</v>
      </c>
      <c r="W12435" t="s">
        <v>39783</v>
      </c>
      <c r="X12435" t="s">
        <v>42691</v>
      </c>
    </row>
    <row r="12436" spans="1:24">
      <c r="A12436">
        <f>HYPERLINK("https://www.philgeps.gov.ph/GEPSNONPILOT/Tender/SplashBidNoticeAbstractUI.aspx?menuIndex=3&amp;refID=7155299&amp;Result=3","7155299")</f>
        <v>0</v>
      </c>
      <c r="B12436" t="s">
        <v>985</v>
      </c>
      <c r="C12436" t="s">
        <v>15424</v>
      </c>
      <c r="D12436" t="s">
        <v>17158</v>
      </c>
      <c r="E12436" t="s">
        <v>27818</v>
      </c>
      <c r="F12436" t="s">
        <v>29372</v>
      </c>
      <c r="G12436" t="s">
        <v>29380</v>
      </c>
      <c r="H12436" t="s">
        <v>29389</v>
      </c>
      <c r="I12436" t="s">
        <v>10408</v>
      </c>
      <c r="J12436" t="s">
        <v>37382</v>
      </c>
      <c r="K12436" t="s">
        <v>38495</v>
      </c>
      <c r="M12436" t="s">
        <v>39783</v>
      </c>
      <c r="N12436" t="s">
        <v>42669</v>
      </c>
      <c r="O12436" t="s">
        <v>42670</v>
      </c>
      <c r="P12436">
        <v>0</v>
      </c>
      <c r="Q12436">
        <v>4</v>
      </c>
      <c r="R12436" t="s">
        <v>42690</v>
      </c>
      <c r="S12436" t="s">
        <v>43574</v>
      </c>
      <c r="T12436" t="s">
        <v>44481</v>
      </c>
      <c r="U12436" t="s">
        <v>54960</v>
      </c>
      <c r="V12436" t="s">
        <v>57794</v>
      </c>
      <c r="W12436" t="s">
        <v>39783</v>
      </c>
      <c r="X12436" t="s">
        <v>42691</v>
      </c>
    </row>
    <row r="12437" spans="1:24">
      <c r="A12437">
        <f>HYPERLINK("https://www.philgeps.gov.ph/GEPSNONPILOT/Tender/SplashBidNoticeAbstractUI.aspx?menuIndex=3&amp;refID=7155009&amp;Result=3","7155009")</f>
        <v>0</v>
      </c>
      <c r="B12437" t="s">
        <v>983</v>
      </c>
      <c r="C12437" t="s">
        <v>15425</v>
      </c>
      <c r="D12437" t="s">
        <v>17189</v>
      </c>
      <c r="E12437" t="s">
        <v>27819</v>
      </c>
      <c r="F12437" t="s">
        <v>29372</v>
      </c>
      <c r="G12437" t="s">
        <v>29380</v>
      </c>
      <c r="H12437" t="s">
        <v>11048</v>
      </c>
      <c r="I12437" t="s">
        <v>29417</v>
      </c>
      <c r="J12437" t="s">
        <v>34195</v>
      </c>
      <c r="K12437" t="s">
        <v>38487</v>
      </c>
      <c r="M12437" t="s">
        <v>39781</v>
      </c>
      <c r="N12437" t="s">
        <v>42669</v>
      </c>
      <c r="O12437" t="s">
        <v>42670</v>
      </c>
      <c r="P12437">
        <v>0</v>
      </c>
      <c r="Q12437">
        <v>6</v>
      </c>
      <c r="R12437" t="s">
        <v>42690</v>
      </c>
      <c r="S12437" t="s">
        <v>43574</v>
      </c>
      <c r="T12437" t="s">
        <v>44744</v>
      </c>
      <c r="U12437" t="s">
        <v>54961</v>
      </c>
      <c r="V12437" t="s">
        <v>57152</v>
      </c>
      <c r="W12437" t="s">
        <v>39781</v>
      </c>
      <c r="X12437" t="s">
        <v>42692</v>
      </c>
    </row>
    <row r="12438" spans="1:24">
      <c r="A12438">
        <f>HYPERLINK("https://www.philgeps.gov.ph/GEPSNONPILOT/Tender/SplashBidNoticeAbstractUI.aspx?menuIndex=3&amp;refID=7154851&amp;Result=3","7154851")</f>
        <v>0</v>
      </c>
      <c r="B12438" t="s">
        <v>1085</v>
      </c>
      <c r="C12438" t="s">
        <v>15426</v>
      </c>
      <c r="E12438" t="s">
        <v>27820</v>
      </c>
      <c r="F12438" t="s">
        <v>29372</v>
      </c>
      <c r="G12438" t="s">
        <v>29380</v>
      </c>
      <c r="H12438" t="s">
        <v>11048</v>
      </c>
      <c r="I12438" t="s">
        <v>8614</v>
      </c>
      <c r="J12438" t="s">
        <v>35030</v>
      </c>
      <c r="K12438" t="s">
        <v>38490</v>
      </c>
      <c r="M12438" t="s">
        <v>40157</v>
      </c>
      <c r="N12438" t="s">
        <v>42669</v>
      </c>
      <c r="O12438" t="s">
        <v>42670</v>
      </c>
      <c r="Q12438">
        <v>21</v>
      </c>
      <c r="R12438" t="s">
        <v>42690</v>
      </c>
      <c r="S12438" t="s">
        <v>43587</v>
      </c>
      <c r="T12438" t="s">
        <v>44414</v>
      </c>
      <c r="U12438" t="s">
        <v>45387</v>
      </c>
      <c r="W12438" t="s">
        <v>40157</v>
      </c>
      <c r="X12438" t="s">
        <v>42692</v>
      </c>
    </row>
    <row r="12439" spans="1:24">
      <c r="A12439">
        <f>HYPERLINK("https://www.philgeps.gov.ph/GEPSNONPILOT/Tender/SplashBidNoticeAbstractUI.aspx?menuIndex=3&amp;refID=7153440&amp;Result=3","7153440")</f>
        <v>0</v>
      </c>
      <c r="B12439" t="s">
        <v>86</v>
      </c>
      <c r="C12439" t="s">
        <v>15427</v>
      </c>
      <c r="E12439" t="s">
        <v>27821</v>
      </c>
      <c r="F12439" t="s">
        <v>29372</v>
      </c>
      <c r="G12439" t="s">
        <v>29380</v>
      </c>
      <c r="H12439" t="s">
        <v>29389</v>
      </c>
      <c r="I12439" t="s">
        <v>10408</v>
      </c>
      <c r="J12439" t="s">
        <v>37383</v>
      </c>
      <c r="K12439" t="s">
        <v>38509</v>
      </c>
      <c r="M12439" t="s">
        <v>40155</v>
      </c>
      <c r="N12439" t="s">
        <v>42669</v>
      </c>
      <c r="O12439" t="s">
        <v>42670</v>
      </c>
      <c r="P12439">
        <v>0</v>
      </c>
      <c r="Q12439">
        <v>1</v>
      </c>
      <c r="R12439" t="s">
        <v>42690</v>
      </c>
      <c r="S12439" t="s">
        <v>43574</v>
      </c>
      <c r="T12439" t="s">
        <v>44481</v>
      </c>
      <c r="U12439" t="s">
        <v>54962</v>
      </c>
      <c r="W12439" t="s">
        <v>40155</v>
      </c>
      <c r="X12439" t="s">
        <v>42692</v>
      </c>
    </row>
    <row r="12440" spans="1:24">
      <c r="A12440">
        <f>HYPERLINK("https://www.philgeps.gov.ph/GEPSNONPILOT/Tender/SplashBidNoticeAbstractUI.aspx?menuIndex=3&amp;refID=7155209&amp;Result=3","7155209")</f>
        <v>0</v>
      </c>
      <c r="B12440" t="s">
        <v>3354</v>
      </c>
      <c r="C12440" t="s">
        <v>15428</v>
      </c>
      <c r="D12440" t="s">
        <v>17167</v>
      </c>
      <c r="E12440" t="s">
        <v>17347</v>
      </c>
      <c r="F12440" t="s">
        <v>29372</v>
      </c>
      <c r="G12440" t="s">
        <v>29380</v>
      </c>
      <c r="H12440" t="s">
        <v>11048</v>
      </c>
      <c r="I12440" t="s">
        <v>3952</v>
      </c>
      <c r="J12440" t="s">
        <v>37384</v>
      </c>
      <c r="K12440" t="s">
        <v>38485</v>
      </c>
      <c r="M12440" t="s">
        <v>42446</v>
      </c>
      <c r="N12440" t="s">
        <v>42669</v>
      </c>
      <c r="O12440" t="s">
        <v>42670</v>
      </c>
      <c r="P12440">
        <v>0</v>
      </c>
      <c r="Q12440">
        <v>3</v>
      </c>
      <c r="R12440" t="s">
        <v>42690</v>
      </c>
      <c r="S12440" t="s">
        <v>43574</v>
      </c>
      <c r="T12440" t="s">
        <v>44401</v>
      </c>
      <c r="U12440" t="s">
        <v>54963</v>
      </c>
      <c r="W12440" t="s">
        <v>42446</v>
      </c>
      <c r="X12440" t="s">
        <v>42692</v>
      </c>
    </row>
    <row r="12441" spans="1:24">
      <c r="A12441">
        <f>HYPERLINK("https://www.philgeps.gov.ph/GEPSNONPILOT/Tender/SplashBidNoticeAbstractUI.aspx?menuIndex=3&amp;refID=7155449&amp;Result=3","7155449")</f>
        <v>0</v>
      </c>
      <c r="B12441" t="s">
        <v>985</v>
      </c>
      <c r="C12441" t="s">
        <v>15429</v>
      </c>
      <c r="D12441" t="s">
        <v>17158</v>
      </c>
      <c r="E12441" t="s">
        <v>27822</v>
      </c>
      <c r="F12441" t="s">
        <v>29372</v>
      </c>
      <c r="G12441" t="s">
        <v>29380</v>
      </c>
      <c r="H12441" t="s">
        <v>29389</v>
      </c>
      <c r="I12441" t="s">
        <v>10408</v>
      </c>
      <c r="J12441" t="s">
        <v>37385</v>
      </c>
      <c r="K12441" t="s">
        <v>38522</v>
      </c>
      <c r="M12441" t="s">
        <v>39783</v>
      </c>
      <c r="N12441" t="s">
        <v>42669</v>
      </c>
      <c r="O12441" t="s">
        <v>42670</v>
      </c>
      <c r="P12441">
        <v>0</v>
      </c>
      <c r="Q12441">
        <v>4</v>
      </c>
      <c r="R12441" t="s">
        <v>42690</v>
      </c>
      <c r="S12441" t="s">
        <v>43574</v>
      </c>
      <c r="T12441" t="s">
        <v>44481</v>
      </c>
      <c r="U12441" t="s">
        <v>54964</v>
      </c>
      <c r="V12441" t="s">
        <v>57795</v>
      </c>
      <c r="W12441" t="s">
        <v>39783</v>
      </c>
      <c r="X12441" t="s">
        <v>42691</v>
      </c>
    </row>
    <row r="12442" spans="1:24">
      <c r="A12442">
        <f>HYPERLINK("https://www.philgeps.gov.ph/GEPSNONPILOT/Tender/SplashBidNoticeAbstractUI.aspx?menuIndex=3&amp;refID=7155446&amp;Result=3","7155446")</f>
        <v>0</v>
      </c>
      <c r="B12442" t="s">
        <v>3355</v>
      </c>
      <c r="C12442" t="s">
        <v>15430</v>
      </c>
      <c r="D12442" t="s">
        <v>17216</v>
      </c>
      <c r="E12442" t="s">
        <v>19270</v>
      </c>
      <c r="F12442" t="s">
        <v>29372</v>
      </c>
      <c r="G12442" t="s">
        <v>29380</v>
      </c>
      <c r="H12442" t="s">
        <v>29389</v>
      </c>
      <c r="I12442" t="s">
        <v>10408</v>
      </c>
      <c r="J12442" t="s">
        <v>30161</v>
      </c>
      <c r="K12442" t="s">
        <v>38495</v>
      </c>
      <c r="M12442" t="s">
        <v>42447</v>
      </c>
      <c r="N12442" t="s">
        <v>42669</v>
      </c>
      <c r="O12442" t="s">
        <v>42670</v>
      </c>
      <c r="P12442">
        <v>0</v>
      </c>
      <c r="Q12442">
        <v>0</v>
      </c>
      <c r="R12442" t="s">
        <v>42690</v>
      </c>
      <c r="S12442" t="s">
        <v>43574</v>
      </c>
      <c r="T12442" t="s">
        <v>44401</v>
      </c>
      <c r="U12442" t="s">
        <v>54965</v>
      </c>
      <c r="W12442" t="s">
        <v>42447</v>
      </c>
      <c r="X12442" t="s">
        <v>42691</v>
      </c>
    </row>
    <row r="12443" spans="1:24">
      <c r="A12443">
        <f>HYPERLINK("https://www.philgeps.gov.ph/GEPSNONPILOT/Tender/SplashBidNoticeAbstractUI.aspx?menuIndex=3&amp;refID=7155432&amp;Result=3","7155432")</f>
        <v>0</v>
      </c>
      <c r="B12443" t="s">
        <v>2371</v>
      </c>
      <c r="C12443" t="s">
        <v>15431</v>
      </c>
      <c r="D12443" t="s">
        <v>17215</v>
      </c>
      <c r="E12443" t="s">
        <v>27823</v>
      </c>
      <c r="F12443" t="s">
        <v>29372</v>
      </c>
      <c r="G12443" t="s">
        <v>29380</v>
      </c>
      <c r="H12443" t="s">
        <v>11048</v>
      </c>
      <c r="I12443" t="s">
        <v>29410</v>
      </c>
      <c r="J12443" t="s">
        <v>37386</v>
      </c>
      <c r="K12443" t="s">
        <v>38485</v>
      </c>
      <c r="M12443" t="s">
        <v>41312</v>
      </c>
      <c r="N12443" t="s">
        <v>42669</v>
      </c>
      <c r="O12443" t="s">
        <v>42670</v>
      </c>
      <c r="Q12443">
        <v>6</v>
      </c>
      <c r="R12443" t="s">
        <v>42690</v>
      </c>
      <c r="S12443" t="s">
        <v>43588</v>
      </c>
      <c r="T12443" t="s">
        <v>44650</v>
      </c>
      <c r="U12443" t="s">
        <v>54966</v>
      </c>
      <c r="W12443" t="s">
        <v>41312</v>
      </c>
      <c r="X12443" t="s">
        <v>42691</v>
      </c>
    </row>
    <row r="12444" spans="1:24">
      <c r="A12444">
        <f>HYPERLINK("https://www.philgeps.gov.ph/GEPSNONPILOT/Tender/SplashBidNoticeAbstractUI.aspx?menuIndex=3&amp;refID=7155426&amp;Result=3","7155426")</f>
        <v>0</v>
      </c>
      <c r="B12444" t="s">
        <v>985</v>
      </c>
      <c r="C12444" t="s">
        <v>14561</v>
      </c>
      <c r="D12444" t="s">
        <v>17158</v>
      </c>
      <c r="E12444" t="s">
        <v>27824</v>
      </c>
      <c r="F12444" t="s">
        <v>29372</v>
      </c>
      <c r="G12444" t="s">
        <v>29380</v>
      </c>
      <c r="H12444" t="s">
        <v>29389</v>
      </c>
      <c r="I12444" t="s">
        <v>10408</v>
      </c>
      <c r="J12444" t="s">
        <v>37387</v>
      </c>
      <c r="K12444" t="s">
        <v>38496</v>
      </c>
      <c r="M12444" t="s">
        <v>39783</v>
      </c>
      <c r="N12444" t="s">
        <v>42669</v>
      </c>
      <c r="O12444" t="s">
        <v>42670</v>
      </c>
      <c r="P12444">
        <v>0</v>
      </c>
      <c r="Q12444">
        <v>4</v>
      </c>
      <c r="R12444" t="s">
        <v>42690</v>
      </c>
      <c r="S12444" t="s">
        <v>43574</v>
      </c>
      <c r="T12444" t="s">
        <v>44481</v>
      </c>
      <c r="U12444" t="s">
        <v>54967</v>
      </c>
      <c r="V12444" t="s">
        <v>57796</v>
      </c>
      <c r="W12444" t="s">
        <v>39783</v>
      </c>
      <c r="X12444" t="s">
        <v>42691</v>
      </c>
    </row>
    <row r="12445" spans="1:24">
      <c r="A12445">
        <f>HYPERLINK("https://www.philgeps.gov.ph/GEPSNONPILOT/Tender/SplashBidNoticeAbstractUI.aspx?menuIndex=3&amp;refID=7155414&amp;Result=3","7155414")</f>
        <v>0</v>
      </c>
      <c r="B12445" t="s">
        <v>776</v>
      </c>
      <c r="C12445" t="s">
        <v>15432</v>
      </c>
      <c r="D12445" t="s">
        <v>17169</v>
      </c>
      <c r="E12445" t="s">
        <v>27825</v>
      </c>
      <c r="F12445" t="s">
        <v>29372</v>
      </c>
      <c r="G12445" t="s">
        <v>29380</v>
      </c>
      <c r="H12445" t="s">
        <v>11048</v>
      </c>
      <c r="I12445" t="s">
        <v>4709</v>
      </c>
      <c r="J12445" t="s">
        <v>37388</v>
      </c>
      <c r="K12445" t="s">
        <v>38518</v>
      </c>
      <c r="L12445" t="s">
        <v>776</v>
      </c>
      <c r="M12445" t="s">
        <v>40190</v>
      </c>
      <c r="N12445" t="s">
        <v>42669</v>
      </c>
      <c r="O12445" t="s">
        <v>42670</v>
      </c>
      <c r="P12445">
        <v>0</v>
      </c>
      <c r="Q12445">
        <v>2</v>
      </c>
      <c r="R12445" t="s">
        <v>42690</v>
      </c>
      <c r="S12445" t="s">
        <v>43574</v>
      </c>
      <c r="T12445" t="s">
        <v>44488</v>
      </c>
      <c r="U12445" t="s">
        <v>54968</v>
      </c>
      <c r="W12445" t="s">
        <v>40190</v>
      </c>
      <c r="X12445" t="s">
        <v>42691</v>
      </c>
    </row>
    <row r="12446" spans="1:24">
      <c r="A12446">
        <f>HYPERLINK("https://www.philgeps.gov.ph/GEPSNONPILOT/Tender/SplashBidNoticeAbstractUI.aspx?menuIndex=3&amp;refID=7155396&amp;Result=3","7155396")</f>
        <v>0</v>
      </c>
      <c r="B12446" t="s">
        <v>3355</v>
      </c>
      <c r="C12446" t="s">
        <v>15433</v>
      </c>
      <c r="D12446" t="s">
        <v>17216</v>
      </c>
      <c r="E12446" t="s">
        <v>19228</v>
      </c>
      <c r="F12446" t="s">
        <v>29372</v>
      </c>
      <c r="G12446" t="s">
        <v>29380</v>
      </c>
      <c r="H12446" t="s">
        <v>29389</v>
      </c>
      <c r="I12446" t="s">
        <v>10408</v>
      </c>
      <c r="J12446" t="s">
        <v>30244</v>
      </c>
      <c r="K12446" t="s">
        <v>38533</v>
      </c>
      <c r="M12446" t="s">
        <v>42447</v>
      </c>
      <c r="N12446" t="s">
        <v>42669</v>
      </c>
      <c r="O12446" t="s">
        <v>42670</v>
      </c>
      <c r="P12446">
        <v>0</v>
      </c>
      <c r="Q12446">
        <v>0</v>
      </c>
      <c r="R12446" t="s">
        <v>42690</v>
      </c>
      <c r="S12446" t="s">
        <v>43574</v>
      </c>
      <c r="T12446" t="s">
        <v>44401</v>
      </c>
      <c r="U12446" t="s">
        <v>54969</v>
      </c>
      <c r="W12446" t="s">
        <v>42447</v>
      </c>
      <c r="X12446" t="s">
        <v>42691</v>
      </c>
    </row>
    <row r="12447" spans="1:24">
      <c r="A12447">
        <f>HYPERLINK("https://www.philgeps.gov.ph/GEPSNONPILOT/Tender/SplashBidNoticeAbstractUI.aspx?menuIndex=3&amp;refID=7155472&amp;Result=3","7155472")</f>
        <v>0</v>
      </c>
      <c r="B12447" t="s">
        <v>3198</v>
      </c>
      <c r="C12447" t="s">
        <v>15434</v>
      </c>
      <c r="D12447" t="s">
        <v>17177</v>
      </c>
      <c r="E12447" t="s">
        <v>27826</v>
      </c>
      <c r="F12447" t="s">
        <v>29372</v>
      </c>
      <c r="G12447" t="s">
        <v>29380</v>
      </c>
      <c r="H12447" t="s">
        <v>11048</v>
      </c>
      <c r="I12447" t="s">
        <v>5383</v>
      </c>
      <c r="J12447" t="s">
        <v>37389</v>
      </c>
      <c r="K12447" t="s">
        <v>38488</v>
      </c>
      <c r="L12447" t="s">
        <v>3198</v>
      </c>
      <c r="M12447" t="s">
        <v>42258</v>
      </c>
      <c r="N12447" t="s">
        <v>42669</v>
      </c>
      <c r="O12447" t="s">
        <v>42670</v>
      </c>
      <c r="P12447">
        <v>0</v>
      </c>
      <c r="Q12447">
        <v>4</v>
      </c>
      <c r="R12447" t="s">
        <v>42690</v>
      </c>
      <c r="S12447" t="s">
        <v>43574</v>
      </c>
      <c r="T12447" t="s">
        <v>44488</v>
      </c>
      <c r="U12447" t="s">
        <v>54970</v>
      </c>
      <c r="W12447" t="s">
        <v>42258</v>
      </c>
      <c r="X12447" t="s">
        <v>42691</v>
      </c>
    </row>
    <row r="12448" spans="1:24">
      <c r="A12448">
        <f>HYPERLINK("https://www.philgeps.gov.ph/GEPSNONPILOT/Tender/SplashBidNoticeAbstractUI.aspx?menuIndex=3&amp;refID=7153520&amp;Result=3","7153520")</f>
        <v>0</v>
      </c>
      <c r="B12448" t="s">
        <v>86</v>
      </c>
      <c r="C12448" t="s">
        <v>15435</v>
      </c>
      <c r="E12448" t="s">
        <v>27827</v>
      </c>
      <c r="F12448" t="s">
        <v>29372</v>
      </c>
      <c r="G12448" t="s">
        <v>29380</v>
      </c>
      <c r="H12448" t="s">
        <v>29389</v>
      </c>
      <c r="I12448" t="s">
        <v>10408</v>
      </c>
      <c r="J12448" t="s">
        <v>37390</v>
      </c>
      <c r="K12448" t="s">
        <v>38579</v>
      </c>
      <c r="M12448" t="s">
        <v>40155</v>
      </c>
      <c r="N12448" t="s">
        <v>42669</v>
      </c>
      <c r="O12448" t="s">
        <v>42670</v>
      </c>
      <c r="P12448">
        <v>0</v>
      </c>
      <c r="Q12448">
        <v>0</v>
      </c>
      <c r="R12448" t="s">
        <v>42690</v>
      </c>
      <c r="S12448" t="s">
        <v>43574</v>
      </c>
      <c r="T12448" t="s">
        <v>44481</v>
      </c>
      <c r="U12448" t="s">
        <v>54971</v>
      </c>
      <c r="W12448" t="s">
        <v>40155</v>
      </c>
      <c r="X12448" t="s">
        <v>42692</v>
      </c>
    </row>
    <row r="12449" spans="1:24">
      <c r="A12449">
        <f>HYPERLINK("https://www.philgeps.gov.ph/GEPSNONPILOT/Tender/SplashBidNoticeAbstractUI.aspx?menuIndex=3&amp;refID=7155378&amp;Result=3","7155378")</f>
        <v>0</v>
      </c>
      <c r="B12449" t="s">
        <v>1712</v>
      </c>
      <c r="C12449" t="s">
        <v>15436</v>
      </c>
      <c r="D12449" t="s">
        <v>17177</v>
      </c>
      <c r="E12449" t="s">
        <v>27828</v>
      </c>
      <c r="F12449" t="s">
        <v>29372</v>
      </c>
      <c r="G12449" t="s">
        <v>29380</v>
      </c>
      <c r="H12449" t="s">
        <v>11048</v>
      </c>
      <c r="I12449" t="s">
        <v>9642</v>
      </c>
      <c r="J12449" t="s">
        <v>29692</v>
      </c>
      <c r="K12449" t="s">
        <v>38488</v>
      </c>
      <c r="M12449" t="s">
        <v>40575</v>
      </c>
      <c r="N12449" t="s">
        <v>42669</v>
      </c>
      <c r="O12449" t="s">
        <v>42670</v>
      </c>
      <c r="P12449">
        <v>0</v>
      </c>
      <c r="Q12449">
        <v>2</v>
      </c>
      <c r="R12449" t="s">
        <v>42690</v>
      </c>
      <c r="S12449" t="s">
        <v>43574</v>
      </c>
      <c r="T12449" t="s">
        <v>44481</v>
      </c>
      <c r="U12449" t="s">
        <v>54972</v>
      </c>
      <c r="W12449" t="s">
        <v>40575</v>
      </c>
      <c r="X12449" t="s">
        <v>42691</v>
      </c>
    </row>
    <row r="12450" spans="1:24">
      <c r="A12450">
        <f>HYPERLINK("https://www.philgeps.gov.ph/GEPSNONPILOT/Tender/SplashBidNoticeAbstractUI.aspx?menuIndex=3&amp;refID=7155411&amp;Result=3","7155411")</f>
        <v>0</v>
      </c>
      <c r="B12450" t="s">
        <v>1712</v>
      </c>
      <c r="C12450" t="s">
        <v>6414</v>
      </c>
      <c r="D12450" t="s">
        <v>17177</v>
      </c>
      <c r="E12450" t="s">
        <v>27829</v>
      </c>
      <c r="F12450" t="s">
        <v>29372</v>
      </c>
      <c r="G12450" t="s">
        <v>29380</v>
      </c>
      <c r="H12450" t="s">
        <v>11048</v>
      </c>
      <c r="I12450" t="s">
        <v>5383</v>
      </c>
      <c r="J12450" t="s">
        <v>29675</v>
      </c>
      <c r="K12450" t="s">
        <v>38510</v>
      </c>
      <c r="M12450" t="s">
        <v>40575</v>
      </c>
      <c r="N12450" t="s">
        <v>42669</v>
      </c>
      <c r="O12450" t="s">
        <v>42670</v>
      </c>
      <c r="P12450">
        <v>0</v>
      </c>
      <c r="Q12450">
        <v>1</v>
      </c>
      <c r="R12450" t="s">
        <v>42690</v>
      </c>
      <c r="S12450" t="s">
        <v>43574</v>
      </c>
      <c r="T12450" t="s">
        <v>44481</v>
      </c>
      <c r="U12450" t="s">
        <v>54973</v>
      </c>
      <c r="W12450" t="s">
        <v>40575</v>
      </c>
      <c r="X12450" t="s">
        <v>42691</v>
      </c>
    </row>
    <row r="12451" spans="1:24">
      <c r="A12451">
        <f>HYPERLINK("https://www.philgeps.gov.ph/GEPSNONPILOT/Tender/SplashBidNoticeAbstractUI.aspx?menuIndex=3&amp;refID=7155356&amp;Result=3","7155356")</f>
        <v>0</v>
      </c>
      <c r="B12451" t="s">
        <v>1712</v>
      </c>
      <c r="C12451" t="s">
        <v>15437</v>
      </c>
      <c r="D12451" t="s">
        <v>17177</v>
      </c>
      <c r="E12451" t="s">
        <v>27830</v>
      </c>
      <c r="F12451" t="s">
        <v>29372</v>
      </c>
      <c r="G12451" t="s">
        <v>29380</v>
      </c>
      <c r="H12451" t="s">
        <v>11048</v>
      </c>
      <c r="I12451" t="s">
        <v>3839</v>
      </c>
      <c r="J12451" t="s">
        <v>29929</v>
      </c>
      <c r="K12451" t="s">
        <v>38518</v>
      </c>
      <c r="M12451" t="s">
        <v>40575</v>
      </c>
      <c r="N12451" t="s">
        <v>42669</v>
      </c>
      <c r="O12451" t="s">
        <v>42670</v>
      </c>
      <c r="P12451">
        <v>0</v>
      </c>
      <c r="Q12451">
        <v>2</v>
      </c>
      <c r="R12451" t="s">
        <v>42690</v>
      </c>
      <c r="S12451" t="s">
        <v>43574</v>
      </c>
      <c r="T12451" t="s">
        <v>44481</v>
      </c>
      <c r="U12451" t="s">
        <v>54974</v>
      </c>
      <c r="W12451" t="s">
        <v>40575</v>
      </c>
      <c r="X12451" t="s">
        <v>42691</v>
      </c>
    </row>
    <row r="12452" spans="1:24">
      <c r="A12452">
        <f>HYPERLINK("https://www.philgeps.gov.ph/GEPSNONPILOT/Tender/SplashBidNoticeAbstractUI.aspx?menuIndex=3&amp;refID=7155391&amp;Result=3","7155391")</f>
        <v>0</v>
      </c>
      <c r="B12452" t="s">
        <v>985</v>
      </c>
      <c r="C12452" t="s">
        <v>15438</v>
      </c>
      <c r="D12452" t="s">
        <v>17158</v>
      </c>
      <c r="E12452" t="s">
        <v>27831</v>
      </c>
      <c r="F12452" t="s">
        <v>29372</v>
      </c>
      <c r="G12452" t="s">
        <v>29380</v>
      </c>
      <c r="H12452" t="s">
        <v>29389</v>
      </c>
      <c r="I12452" t="s">
        <v>10408</v>
      </c>
      <c r="J12452" t="s">
        <v>37391</v>
      </c>
      <c r="K12452" t="s">
        <v>38495</v>
      </c>
      <c r="M12452" t="s">
        <v>39783</v>
      </c>
      <c r="N12452" t="s">
        <v>42669</v>
      </c>
      <c r="O12452" t="s">
        <v>42670</v>
      </c>
      <c r="P12452">
        <v>0</v>
      </c>
      <c r="Q12452">
        <v>4</v>
      </c>
      <c r="R12452" t="s">
        <v>42690</v>
      </c>
      <c r="S12452" t="s">
        <v>43574</v>
      </c>
      <c r="T12452" t="s">
        <v>44481</v>
      </c>
      <c r="U12452" t="s">
        <v>54975</v>
      </c>
      <c r="V12452" t="s">
        <v>57797</v>
      </c>
      <c r="W12452" t="s">
        <v>39783</v>
      </c>
      <c r="X12452" t="s">
        <v>42691</v>
      </c>
    </row>
    <row r="12453" spans="1:24">
      <c r="A12453">
        <f>HYPERLINK("https://www.philgeps.gov.ph/GEPSNONPILOT/Tender/SplashBidNoticeAbstractUI.aspx?menuIndex=3&amp;refID=7155394&amp;Result=3","7155394")</f>
        <v>0</v>
      </c>
      <c r="B12453" t="s">
        <v>3356</v>
      </c>
      <c r="C12453" t="s">
        <v>15439</v>
      </c>
      <c r="D12453" t="s">
        <v>17193</v>
      </c>
      <c r="E12453" t="s">
        <v>27832</v>
      </c>
      <c r="F12453" t="s">
        <v>29372</v>
      </c>
      <c r="G12453" t="s">
        <v>29380</v>
      </c>
      <c r="H12453" t="s">
        <v>29389</v>
      </c>
      <c r="I12453" t="s">
        <v>10408</v>
      </c>
      <c r="J12453" t="s">
        <v>37392</v>
      </c>
      <c r="K12453" t="s">
        <v>38495</v>
      </c>
      <c r="M12453" t="s">
        <v>42448</v>
      </c>
      <c r="N12453" t="s">
        <v>42669</v>
      </c>
      <c r="O12453" t="s">
        <v>42670</v>
      </c>
      <c r="P12453">
        <v>0</v>
      </c>
      <c r="Q12453">
        <v>0</v>
      </c>
      <c r="R12453" t="s">
        <v>42690</v>
      </c>
      <c r="S12453" t="s">
        <v>43574</v>
      </c>
      <c r="T12453" t="s">
        <v>44488</v>
      </c>
      <c r="U12453" t="s">
        <v>54976</v>
      </c>
      <c r="W12453" t="s">
        <v>42448</v>
      </c>
      <c r="X12453" t="s">
        <v>42691</v>
      </c>
    </row>
    <row r="12454" spans="1:24">
      <c r="A12454">
        <f>HYPERLINK("https://www.philgeps.gov.ph/GEPSNONPILOT/Tender/SplashBidNoticeAbstractUI.aspx?menuIndex=3&amp;refID=7155355&amp;Result=3","7155355")</f>
        <v>0</v>
      </c>
      <c r="B12454" t="s">
        <v>985</v>
      </c>
      <c r="C12454" t="s">
        <v>15438</v>
      </c>
      <c r="D12454" t="s">
        <v>17158</v>
      </c>
      <c r="E12454" t="s">
        <v>27833</v>
      </c>
      <c r="F12454" t="s">
        <v>29372</v>
      </c>
      <c r="G12454" t="s">
        <v>29380</v>
      </c>
      <c r="H12454" t="s">
        <v>29389</v>
      </c>
      <c r="I12454" t="s">
        <v>10408</v>
      </c>
      <c r="J12454" t="s">
        <v>37393</v>
      </c>
      <c r="K12454" t="s">
        <v>38522</v>
      </c>
      <c r="M12454" t="s">
        <v>39783</v>
      </c>
      <c r="N12454" t="s">
        <v>42669</v>
      </c>
      <c r="O12454" t="s">
        <v>42670</v>
      </c>
      <c r="P12454">
        <v>0</v>
      </c>
      <c r="Q12454">
        <v>4</v>
      </c>
      <c r="R12454" t="s">
        <v>42690</v>
      </c>
      <c r="S12454" t="s">
        <v>43574</v>
      </c>
      <c r="T12454" t="s">
        <v>44481</v>
      </c>
      <c r="U12454" t="s">
        <v>54977</v>
      </c>
      <c r="V12454" t="s">
        <v>57798</v>
      </c>
      <c r="W12454" t="s">
        <v>39783</v>
      </c>
      <c r="X12454" t="s">
        <v>42691</v>
      </c>
    </row>
    <row r="12455" spans="1:24">
      <c r="A12455">
        <f>HYPERLINK("https://www.philgeps.gov.ph/GEPSNONPILOT/Tender/SplashBidNoticeAbstractUI.aspx?menuIndex=3&amp;refID=7155338&amp;Result=3","7155338")</f>
        <v>0</v>
      </c>
      <c r="B12455" t="s">
        <v>3356</v>
      </c>
      <c r="C12455" t="s">
        <v>15440</v>
      </c>
      <c r="D12455" t="s">
        <v>17193</v>
      </c>
      <c r="E12455" t="s">
        <v>27834</v>
      </c>
      <c r="F12455" t="s">
        <v>29372</v>
      </c>
      <c r="G12455" t="s">
        <v>29380</v>
      </c>
      <c r="H12455" t="s">
        <v>29389</v>
      </c>
      <c r="I12455" t="s">
        <v>10408</v>
      </c>
      <c r="J12455" t="s">
        <v>33643</v>
      </c>
      <c r="K12455" t="s">
        <v>38495</v>
      </c>
      <c r="M12455" t="s">
        <v>42448</v>
      </c>
      <c r="N12455" t="s">
        <v>42669</v>
      </c>
      <c r="O12455" t="s">
        <v>42670</v>
      </c>
      <c r="P12455">
        <v>0</v>
      </c>
      <c r="Q12455">
        <v>0</v>
      </c>
      <c r="R12455" t="s">
        <v>42690</v>
      </c>
      <c r="S12455" t="s">
        <v>43574</v>
      </c>
      <c r="T12455" t="s">
        <v>44488</v>
      </c>
      <c r="U12455" t="s">
        <v>54978</v>
      </c>
      <c r="W12455" t="s">
        <v>42448</v>
      </c>
      <c r="X12455" t="s">
        <v>42691</v>
      </c>
    </row>
    <row r="12456" spans="1:24">
      <c r="A12456">
        <f>HYPERLINK("https://www.philgeps.gov.ph/GEPSNONPILOT/Tender/SplashBidNoticeAbstractUI.aspx?menuIndex=3&amp;refID=7153410&amp;Result=3","7153410")</f>
        <v>0</v>
      </c>
      <c r="B12456" t="s">
        <v>3346</v>
      </c>
      <c r="C12456" t="s">
        <v>15441</v>
      </c>
      <c r="D12456" t="s">
        <v>17177</v>
      </c>
      <c r="E12456" t="s">
        <v>27835</v>
      </c>
      <c r="F12456" t="s">
        <v>29372</v>
      </c>
      <c r="G12456" t="s">
        <v>29380</v>
      </c>
      <c r="H12456" t="s">
        <v>29389</v>
      </c>
      <c r="I12456" t="s">
        <v>10408</v>
      </c>
      <c r="J12456" t="s">
        <v>29825</v>
      </c>
      <c r="K12456" t="s">
        <v>38522</v>
      </c>
      <c r="M12456" t="s">
        <v>42437</v>
      </c>
      <c r="N12456" t="s">
        <v>42669</v>
      </c>
      <c r="O12456" t="s">
        <v>42670</v>
      </c>
      <c r="P12456">
        <v>0</v>
      </c>
      <c r="Q12456">
        <v>1</v>
      </c>
      <c r="R12456" t="s">
        <v>42690</v>
      </c>
      <c r="S12456" t="s">
        <v>43574</v>
      </c>
      <c r="T12456" t="s">
        <v>44401</v>
      </c>
      <c r="U12456" t="s">
        <v>54979</v>
      </c>
      <c r="W12456" t="s">
        <v>42437</v>
      </c>
      <c r="X12456" t="s">
        <v>42692</v>
      </c>
    </row>
    <row r="12457" spans="1:24">
      <c r="A12457">
        <f>HYPERLINK("https://www.philgeps.gov.ph/GEPSNONPILOT/Tender/SplashBidNoticeAbstractUI.aspx?menuIndex=3&amp;refID=7155354&amp;Result=3","7155354")</f>
        <v>0</v>
      </c>
      <c r="B12457" t="s">
        <v>3356</v>
      </c>
      <c r="C12457" t="s">
        <v>15442</v>
      </c>
      <c r="D12457" t="s">
        <v>17193</v>
      </c>
      <c r="E12457" t="s">
        <v>27836</v>
      </c>
      <c r="F12457" t="s">
        <v>29372</v>
      </c>
      <c r="G12457" t="s">
        <v>29380</v>
      </c>
      <c r="H12457" t="s">
        <v>29389</v>
      </c>
      <c r="I12457" t="s">
        <v>10408</v>
      </c>
      <c r="J12457" t="s">
        <v>29774</v>
      </c>
      <c r="K12457" t="s">
        <v>38495</v>
      </c>
      <c r="M12457" t="s">
        <v>42448</v>
      </c>
      <c r="N12457" t="s">
        <v>42669</v>
      </c>
      <c r="O12457" t="s">
        <v>42670</v>
      </c>
      <c r="P12457">
        <v>0</v>
      </c>
      <c r="Q12457">
        <v>0</v>
      </c>
      <c r="R12457" t="s">
        <v>42690</v>
      </c>
      <c r="S12457" t="s">
        <v>43574</v>
      </c>
      <c r="T12457" t="s">
        <v>44488</v>
      </c>
      <c r="U12457" t="s">
        <v>54980</v>
      </c>
      <c r="W12457" t="s">
        <v>42448</v>
      </c>
      <c r="X12457" t="s">
        <v>42691</v>
      </c>
    </row>
    <row r="12458" spans="1:24">
      <c r="A12458">
        <f>HYPERLINK("https://www.philgeps.gov.ph/GEPSNONPILOT/Tender/SplashBidNoticeAbstractUI.aspx?menuIndex=3&amp;refID=7155333&amp;Result=3","7155333")</f>
        <v>0</v>
      </c>
      <c r="B12458" t="s">
        <v>1712</v>
      </c>
      <c r="C12458" t="s">
        <v>15443</v>
      </c>
      <c r="D12458" t="s">
        <v>17177</v>
      </c>
      <c r="E12458" t="s">
        <v>27837</v>
      </c>
      <c r="F12458" t="s">
        <v>29372</v>
      </c>
      <c r="G12458" t="s">
        <v>29380</v>
      </c>
      <c r="H12458" t="s">
        <v>11048</v>
      </c>
      <c r="I12458" t="s">
        <v>29404</v>
      </c>
      <c r="J12458" t="s">
        <v>29543</v>
      </c>
      <c r="K12458" t="s">
        <v>38485</v>
      </c>
      <c r="M12458" t="s">
        <v>40575</v>
      </c>
      <c r="N12458" t="s">
        <v>42669</v>
      </c>
      <c r="O12458" t="s">
        <v>42670</v>
      </c>
      <c r="P12458">
        <v>0</v>
      </c>
      <c r="Q12458">
        <v>1</v>
      </c>
      <c r="R12458" t="s">
        <v>42690</v>
      </c>
      <c r="S12458" t="s">
        <v>43574</v>
      </c>
      <c r="T12458" t="s">
        <v>44481</v>
      </c>
      <c r="U12458" t="s">
        <v>54981</v>
      </c>
      <c r="W12458" t="s">
        <v>40575</v>
      </c>
      <c r="X12458" t="s">
        <v>42691</v>
      </c>
    </row>
    <row r="12459" spans="1:24">
      <c r="A12459">
        <f>HYPERLINK("https://www.philgeps.gov.ph/GEPSNONPILOT/Tender/SplashBidNoticeAbstractUI.aspx?menuIndex=3&amp;refID=7154796&amp;Result=3","7154796")</f>
        <v>0</v>
      </c>
      <c r="B12459" t="s">
        <v>1911</v>
      </c>
      <c r="C12459" t="s">
        <v>15444</v>
      </c>
      <c r="D12459" t="s">
        <v>17180</v>
      </c>
      <c r="E12459" t="s">
        <v>27838</v>
      </c>
      <c r="F12459" t="s">
        <v>29372</v>
      </c>
      <c r="G12459" t="s">
        <v>29384</v>
      </c>
      <c r="H12459" t="s">
        <v>11048</v>
      </c>
      <c r="I12459" t="s">
        <v>3839</v>
      </c>
      <c r="J12459" t="s">
        <v>37394</v>
      </c>
      <c r="K12459" t="s">
        <v>38485</v>
      </c>
      <c r="M12459" t="s">
        <v>40806</v>
      </c>
      <c r="N12459" t="s">
        <v>42669</v>
      </c>
      <c r="O12459" t="s">
        <v>42670</v>
      </c>
      <c r="P12459">
        <v>0</v>
      </c>
      <c r="Q12459">
        <v>8</v>
      </c>
      <c r="R12459" t="s">
        <v>42690</v>
      </c>
      <c r="S12459" t="s">
        <v>43574</v>
      </c>
      <c r="T12459" t="s">
        <v>44488</v>
      </c>
      <c r="U12459" t="s">
        <v>54982</v>
      </c>
      <c r="V12459" t="s">
        <v>56976</v>
      </c>
      <c r="W12459" t="s">
        <v>40806</v>
      </c>
      <c r="X12459" t="s">
        <v>42692</v>
      </c>
    </row>
    <row r="12460" spans="1:24">
      <c r="A12460">
        <f>HYPERLINK("https://www.philgeps.gov.ph/GEPSNONPILOT/Tender/SplashBidNoticeAbstractUI.aspx?menuIndex=3&amp;refID=7155366&amp;Result=3","7155366")</f>
        <v>0</v>
      </c>
      <c r="B12460" t="s">
        <v>985</v>
      </c>
      <c r="C12460" t="s">
        <v>15438</v>
      </c>
      <c r="D12460" t="s">
        <v>17158</v>
      </c>
      <c r="E12460" t="s">
        <v>27839</v>
      </c>
      <c r="F12460" t="s">
        <v>29372</v>
      </c>
      <c r="G12460" t="s">
        <v>29380</v>
      </c>
      <c r="H12460" t="s">
        <v>29389</v>
      </c>
      <c r="I12460" t="s">
        <v>10408</v>
      </c>
      <c r="J12460" t="s">
        <v>37395</v>
      </c>
      <c r="K12460" t="s">
        <v>38522</v>
      </c>
      <c r="M12460" t="s">
        <v>39783</v>
      </c>
      <c r="N12460" t="s">
        <v>42669</v>
      </c>
      <c r="O12460" t="s">
        <v>42670</v>
      </c>
      <c r="P12460">
        <v>0</v>
      </c>
      <c r="Q12460">
        <v>4</v>
      </c>
      <c r="R12460" t="s">
        <v>42690</v>
      </c>
      <c r="S12460" t="s">
        <v>43574</v>
      </c>
      <c r="T12460" t="s">
        <v>44481</v>
      </c>
      <c r="U12460" t="s">
        <v>54983</v>
      </c>
      <c r="V12460" t="s">
        <v>57799</v>
      </c>
      <c r="W12460" t="s">
        <v>39783</v>
      </c>
      <c r="X12460" t="s">
        <v>42691</v>
      </c>
    </row>
    <row r="12461" spans="1:24">
      <c r="A12461">
        <f>HYPERLINK("https://www.philgeps.gov.ph/GEPSNONPILOT/Tender/SplashBidNoticeAbstractUI.aspx?menuIndex=3&amp;refID=7155364&amp;Result=3","7155364")</f>
        <v>0</v>
      </c>
      <c r="B12461" t="s">
        <v>3356</v>
      </c>
      <c r="C12461" t="s">
        <v>15445</v>
      </c>
      <c r="D12461" t="s">
        <v>17193</v>
      </c>
      <c r="E12461" t="s">
        <v>27840</v>
      </c>
      <c r="F12461" t="s">
        <v>29372</v>
      </c>
      <c r="G12461" t="s">
        <v>29380</v>
      </c>
      <c r="H12461" t="s">
        <v>29389</v>
      </c>
      <c r="I12461" t="s">
        <v>10408</v>
      </c>
      <c r="J12461" t="s">
        <v>37396</v>
      </c>
      <c r="K12461" t="s">
        <v>38495</v>
      </c>
      <c r="M12461" t="s">
        <v>42448</v>
      </c>
      <c r="N12461" t="s">
        <v>42669</v>
      </c>
      <c r="O12461" t="s">
        <v>42670</v>
      </c>
      <c r="P12461">
        <v>0</v>
      </c>
      <c r="Q12461">
        <v>0</v>
      </c>
      <c r="R12461" t="s">
        <v>42690</v>
      </c>
      <c r="S12461" t="s">
        <v>43574</v>
      </c>
      <c r="T12461" t="s">
        <v>44488</v>
      </c>
      <c r="U12461" t="s">
        <v>54984</v>
      </c>
      <c r="W12461" t="s">
        <v>42448</v>
      </c>
      <c r="X12461" t="s">
        <v>42691</v>
      </c>
    </row>
    <row r="12462" spans="1:24">
      <c r="A12462">
        <f>HYPERLINK("https://www.philgeps.gov.ph/GEPSNONPILOT/Tender/SplashBidNoticeAbstractUI.aspx?menuIndex=3&amp;refID=7148717&amp;Result=3","7148717")</f>
        <v>0</v>
      </c>
      <c r="B12462" t="s">
        <v>3357</v>
      </c>
      <c r="C12462" t="s">
        <v>15446</v>
      </c>
      <c r="D12462" t="s">
        <v>17188</v>
      </c>
      <c r="E12462" t="s">
        <v>27841</v>
      </c>
      <c r="F12462" t="s">
        <v>29372</v>
      </c>
      <c r="G12462" t="s">
        <v>29380</v>
      </c>
      <c r="H12462" t="s">
        <v>11048</v>
      </c>
      <c r="I12462" t="s">
        <v>9469</v>
      </c>
      <c r="J12462" t="s">
        <v>29590</v>
      </c>
      <c r="K12462" t="s">
        <v>38488</v>
      </c>
      <c r="M12462" t="s">
        <v>42449</v>
      </c>
      <c r="N12462" t="s">
        <v>42669</v>
      </c>
      <c r="O12462" t="s">
        <v>42670</v>
      </c>
      <c r="P12462">
        <v>0</v>
      </c>
      <c r="Q12462">
        <v>3</v>
      </c>
      <c r="R12462" t="s">
        <v>42690</v>
      </c>
      <c r="S12462" t="s">
        <v>43574</v>
      </c>
      <c r="T12462" t="s">
        <v>44427</v>
      </c>
      <c r="U12462" t="s">
        <v>54985</v>
      </c>
      <c r="W12462" t="s">
        <v>42449</v>
      </c>
      <c r="X12462" t="s">
        <v>42695</v>
      </c>
    </row>
    <row r="12463" spans="1:24">
      <c r="A12463">
        <f>HYPERLINK("https://www.philgeps.gov.ph/GEPSNONPILOT/Tender/SplashBidNoticeAbstractUI.aspx?menuIndex=3&amp;refID=7155329&amp;Result=3","7155329")</f>
        <v>0</v>
      </c>
      <c r="B12463" t="s">
        <v>985</v>
      </c>
      <c r="C12463" t="s">
        <v>15438</v>
      </c>
      <c r="D12463" t="s">
        <v>17158</v>
      </c>
      <c r="E12463" t="s">
        <v>27842</v>
      </c>
      <c r="F12463" t="s">
        <v>29372</v>
      </c>
      <c r="G12463" t="s">
        <v>29380</v>
      </c>
      <c r="H12463" t="s">
        <v>29389</v>
      </c>
      <c r="I12463" t="s">
        <v>10408</v>
      </c>
      <c r="J12463" t="s">
        <v>37397</v>
      </c>
      <c r="K12463" t="s">
        <v>38522</v>
      </c>
      <c r="M12463" t="s">
        <v>39783</v>
      </c>
      <c r="N12463" t="s">
        <v>42669</v>
      </c>
      <c r="O12463" t="s">
        <v>42670</v>
      </c>
      <c r="P12463">
        <v>0</v>
      </c>
      <c r="Q12463">
        <v>4</v>
      </c>
      <c r="R12463" t="s">
        <v>42690</v>
      </c>
      <c r="S12463" t="s">
        <v>43574</v>
      </c>
      <c r="T12463" t="s">
        <v>44481</v>
      </c>
      <c r="U12463" t="s">
        <v>54986</v>
      </c>
      <c r="V12463" t="s">
        <v>57800</v>
      </c>
      <c r="W12463" t="s">
        <v>39783</v>
      </c>
      <c r="X12463" t="s">
        <v>42691</v>
      </c>
    </row>
    <row r="12464" spans="1:24">
      <c r="A12464">
        <f>HYPERLINK("https://www.philgeps.gov.ph/GEPSNONPILOT/Tender/SplashBidNoticeAbstractUI.aspx?menuIndex=3&amp;refID=7155661&amp;Result=3","7155661")</f>
        <v>0</v>
      </c>
      <c r="B12464" t="s">
        <v>3358</v>
      </c>
      <c r="C12464" t="s">
        <v>15447</v>
      </c>
      <c r="D12464" t="s">
        <v>17188</v>
      </c>
      <c r="E12464" t="s">
        <v>18800</v>
      </c>
      <c r="F12464" t="s">
        <v>29372</v>
      </c>
      <c r="G12464" t="s">
        <v>29380</v>
      </c>
      <c r="H12464" t="s">
        <v>11048</v>
      </c>
      <c r="I12464" t="s">
        <v>4709</v>
      </c>
      <c r="J12464" t="s">
        <v>29657</v>
      </c>
      <c r="K12464" t="s">
        <v>38485</v>
      </c>
      <c r="M12464" t="s">
        <v>42450</v>
      </c>
      <c r="N12464" t="s">
        <v>42669</v>
      </c>
      <c r="O12464" t="s">
        <v>42670</v>
      </c>
      <c r="P12464">
        <v>0</v>
      </c>
      <c r="Q12464">
        <v>0</v>
      </c>
      <c r="R12464" t="s">
        <v>42690</v>
      </c>
      <c r="S12464" t="s">
        <v>43574</v>
      </c>
      <c r="T12464" t="s">
        <v>44503</v>
      </c>
      <c r="U12464" t="s">
        <v>47425</v>
      </c>
      <c r="W12464" t="s">
        <v>42450</v>
      </c>
      <c r="X12464" t="s">
        <v>42691</v>
      </c>
    </row>
    <row r="12465" spans="1:24">
      <c r="A12465">
        <f>HYPERLINK("https://www.philgeps.gov.ph/GEPSNONPILOT/Tender/SplashBidNoticeAbstractUI.aspx?menuIndex=3&amp;refID=7154897&amp;Result=3","7154897")</f>
        <v>0</v>
      </c>
      <c r="B12465" t="s">
        <v>983</v>
      </c>
      <c r="C12465" t="s">
        <v>15448</v>
      </c>
      <c r="D12465" t="s">
        <v>17189</v>
      </c>
      <c r="E12465" t="s">
        <v>27843</v>
      </c>
      <c r="F12465" t="s">
        <v>29372</v>
      </c>
      <c r="G12465" t="s">
        <v>29380</v>
      </c>
      <c r="H12465" t="s">
        <v>11048</v>
      </c>
      <c r="I12465" t="s">
        <v>29417</v>
      </c>
      <c r="J12465" t="s">
        <v>37398</v>
      </c>
      <c r="K12465" t="s">
        <v>38487</v>
      </c>
      <c r="M12465" t="s">
        <v>39781</v>
      </c>
      <c r="N12465" t="s">
        <v>42669</v>
      </c>
      <c r="O12465" t="s">
        <v>42670</v>
      </c>
      <c r="P12465">
        <v>0</v>
      </c>
      <c r="Q12465">
        <v>5</v>
      </c>
      <c r="R12465" t="s">
        <v>42690</v>
      </c>
      <c r="S12465" t="s">
        <v>43574</v>
      </c>
      <c r="T12465" t="s">
        <v>44744</v>
      </c>
      <c r="U12465" t="s">
        <v>54987</v>
      </c>
      <c r="V12465" t="s">
        <v>57152</v>
      </c>
      <c r="W12465" t="s">
        <v>39781</v>
      </c>
      <c r="X12465" t="s">
        <v>42692</v>
      </c>
    </row>
    <row r="12466" spans="1:24">
      <c r="A12466">
        <f>HYPERLINK("https://www.philgeps.gov.ph/GEPSNONPILOT/Tender/SplashBidNoticeAbstractUI.aspx?menuIndex=3&amp;refID=7155611&amp;Result=3","7155611")</f>
        <v>0</v>
      </c>
      <c r="B12466" t="s">
        <v>776</v>
      </c>
      <c r="C12466" t="s">
        <v>15449</v>
      </c>
      <c r="D12466" t="s">
        <v>17169</v>
      </c>
      <c r="E12466" t="s">
        <v>27844</v>
      </c>
      <c r="F12466" t="s">
        <v>29372</v>
      </c>
      <c r="G12466" t="s">
        <v>29383</v>
      </c>
      <c r="H12466" t="s">
        <v>11048</v>
      </c>
      <c r="I12466" t="s">
        <v>5383</v>
      </c>
      <c r="J12466" t="s">
        <v>30000</v>
      </c>
      <c r="K12466" t="s">
        <v>38530</v>
      </c>
      <c r="L12466" t="s">
        <v>776</v>
      </c>
      <c r="M12466" t="s">
        <v>40190</v>
      </c>
      <c r="N12466" t="s">
        <v>42669</v>
      </c>
      <c r="O12466" t="s">
        <v>42670</v>
      </c>
      <c r="P12466">
        <v>0</v>
      </c>
      <c r="Q12466">
        <v>4</v>
      </c>
      <c r="R12466" t="s">
        <v>42690</v>
      </c>
      <c r="S12466" t="s">
        <v>43574</v>
      </c>
      <c r="T12466" t="s">
        <v>44488</v>
      </c>
      <c r="U12466" t="s">
        <v>54988</v>
      </c>
      <c r="W12466" t="s">
        <v>40190</v>
      </c>
      <c r="X12466" t="s">
        <v>42691</v>
      </c>
    </row>
    <row r="12467" spans="1:24">
      <c r="A12467">
        <f>HYPERLINK("https://www.philgeps.gov.ph/GEPSNONPILOT/Tender/SplashBidNoticeAbstractUI.aspx?menuIndex=3&amp;refID=7155663&amp;Result=3","7155663")</f>
        <v>0</v>
      </c>
      <c r="B12467" t="s">
        <v>3359</v>
      </c>
      <c r="C12467" t="s">
        <v>15450</v>
      </c>
      <c r="E12467" t="s">
        <v>19150</v>
      </c>
      <c r="F12467" t="s">
        <v>29372</v>
      </c>
      <c r="G12467" t="s">
        <v>29380</v>
      </c>
      <c r="H12467" t="s">
        <v>11048</v>
      </c>
      <c r="I12467" t="s">
        <v>14920</v>
      </c>
      <c r="J12467" t="s">
        <v>37399</v>
      </c>
      <c r="K12467" t="s">
        <v>38490</v>
      </c>
      <c r="M12467" t="s">
        <v>42451</v>
      </c>
      <c r="N12467" t="s">
        <v>42669</v>
      </c>
      <c r="O12467" t="s">
        <v>42670</v>
      </c>
      <c r="P12467">
        <v>0</v>
      </c>
      <c r="Q12467">
        <v>15</v>
      </c>
      <c r="R12467" t="s">
        <v>42690</v>
      </c>
      <c r="S12467" t="s">
        <v>43574</v>
      </c>
      <c r="T12467" t="s">
        <v>44427</v>
      </c>
      <c r="U12467" t="s">
        <v>54989</v>
      </c>
      <c r="W12467" t="s">
        <v>58127</v>
      </c>
      <c r="X12467" t="s">
        <v>42691</v>
      </c>
    </row>
    <row r="12468" spans="1:24">
      <c r="A12468">
        <f>HYPERLINK("https://www.philgeps.gov.ph/GEPSNONPILOT/Tender/SplashBidNoticeAbstractUI.aspx?menuIndex=3&amp;refID=7155603&amp;Result=3","7155603")</f>
        <v>0</v>
      </c>
      <c r="B12468" t="s">
        <v>740</v>
      </c>
      <c r="C12468" t="s">
        <v>15451</v>
      </c>
      <c r="D12468" t="s">
        <v>17181</v>
      </c>
      <c r="E12468" t="s">
        <v>27845</v>
      </c>
      <c r="F12468" t="s">
        <v>29372</v>
      </c>
      <c r="G12468" t="s">
        <v>29380</v>
      </c>
      <c r="H12468" t="s">
        <v>29391</v>
      </c>
      <c r="I12468" t="s">
        <v>29391</v>
      </c>
      <c r="J12468" t="s">
        <v>37400</v>
      </c>
      <c r="K12468" t="s">
        <v>38629</v>
      </c>
      <c r="M12468" t="s">
        <v>39521</v>
      </c>
      <c r="N12468" t="s">
        <v>42669</v>
      </c>
      <c r="O12468" t="s">
        <v>42670</v>
      </c>
      <c r="P12468">
        <v>0</v>
      </c>
      <c r="Q12468">
        <v>8</v>
      </c>
      <c r="R12468" t="s">
        <v>42690</v>
      </c>
      <c r="S12468" t="s">
        <v>43574</v>
      </c>
      <c r="T12468" t="s">
        <v>44357</v>
      </c>
      <c r="U12468" t="s">
        <v>54990</v>
      </c>
      <c r="W12468" t="s">
        <v>39521</v>
      </c>
      <c r="X12468" t="s">
        <v>42691</v>
      </c>
    </row>
    <row r="12469" spans="1:24">
      <c r="A12469">
        <f>HYPERLINK("https://www.philgeps.gov.ph/GEPSNONPILOT/Tender/SplashBidNoticeAbstractUI.aspx?menuIndex=3&amp;refID=7155312&amp;Result=3","7155312")</f>
        <v>0</v>
      </c>
      <c r="B12469" t="s">
        <v>985</v>
      </c>
      <c r="C12469" t="s">
        <v>15452</v>
      </c>
      <c r="D12469" t="s">
        <v>17158</v>
      </c>
      <c r="E12469" t="s">
        <v>27846</v>
      </c>
      <c r="F12469" t="s">
        <v>29372</v>
      </c>
      <c r="G12469" t="s">
        <v>29380</v>
      </c>
      <c r="H12469" t="s">
        <v>29389</v>
      </c>
      <c r="I12469" t="s">
        <v>10408</v>
      </c>
      <c r="J12469" t="s">
        <v>37382</v>
      </c>
      <c r="K12469" t="s">
        <v>38495</v>
      </c>
      <c r="M12469" t="s">
        <v>39783</v>
      </c>
      <c r="N12469" t="s">
        <v>42669</v>
      </c>
      <c r="O12469" t="s">
        <v>42670</v>
      </c>
      <c r="P12469">
        <v>0</v>
      </c>
      <c r="Q12469">
        <v>4</v>
      </c>
      <c r="R12469" t="s">
        <v>42690</v>
      </c>
      <c r="S12469" t="s">
        <v>43574</v>
      </c>
      <c r="T12469" t="s">
        <v>44481</v>
      </c>
      <c r="U12469" t="s">
        <v>54960</v>
      </c>
      <c r="V12469" t="s">
        <v>57794</v>
      </c>
      <c r="W12469" t="s">
        <v>39783</v>
      </c>
      <c r="X12469" t="s">
        <v>42691</v>
      </c>
    </row>
    <row r="12470" spans="1:24">
      <c r="A12470">
        <f>HYPERLINK("https://www.philgeps.gov.ph/GEPSNONPILOT/Tender/SplashBidNoticeAbstractUI.aspx?menuIndex=3&amp;refID=7155599&amp;Result=3","7155599")</f>
        <v>0</v>
      </c>
      <c r="B12470" t="s">
        <v>3360</v>
      </c>
      <c r="C12470" t="s">
        <v>15453</v>
      </c>
      <c r="D12470" t="s">
        <v>17204</v>
      </c>
      <c r="E12470" t="s">
        <v>19402</v>
      </c>
      <c r="F12470" t="s">
        <v>29372</v>
      </c>
      <c r="G12470" t="s">
        <v>29380</v>
      </c>
      <c r="H12470" t="s">
        <v>11048</v>
      </c>
      <c r="I12470" t="s">
        <v>29393</v>
      </c>
      <c r="J12470" t="s">
        <v>30161</v>
      </c>
      <c r="K12470" t="s">
        <v>38487</v>
      </c>
      <c r="M12470" t="s">
        <v>42452</v>
      </c>
      <c r="N12470" t="s">
        <v>42669</v>
      </c>
      <c r="O12470" t="s">
        <v>42670</v>
      </c>
      <c r="P12470">
        <v>0</v>
      </c>
      <c r="Q12470">
        <v>0</v>
      </c>
      <c r="R12470" t="s">
        <v>42690</v>
      </c>
      <c r="S12470" t="s">
        <v>43574</v>
      </c>
      <c r="T12470" t="s">
        <v>44452</v>
      </c>
      <c r="U12470" t="s">
        <v>54991</v>
      </c>
      <c r="V12470" t="s">
        <v>57801</v>
      </c>
      <c r="W12470" t="s">
        <v>42452</v>
      </c>
      <c r="X12470" t="s">
        <v>42691</v>
      </c>
    </row>
    <row r="12471" spans="1:24">
      <c r="A12471">
        <f>HYPERLINK("https://www.philgeps.gov.ph/GEPSNONPILOT/Tender/SplashBidNoticeAbstractUI.aspx?menuIndex=3&amp;refID=7155545&amp;Result=3","7155545")</f>
        <v>0</v>
      </c>
      <c r="B12471" t="s">
        <v>2020</v>
      </c>
      <c r="C12471" t="s">
        <v>15454</v>
      </c>
      <c r="D12471" t="s">
        <v>17177</v>
      </c>
      <c r="E12471" t="s">
        <v>27847</v>
      </c>
      <c r="F12471" t="s">
        <v>29372</v>
      </c>
      <c r="G12471" t="s">
        <v>29380</v>
      </c>
      <c r="H12471" t="s">
        <v>29389</v>
      </c>
      <c r="I12471" t="s">
        <v>29417</v>
      </c>
      <c r="J12471" t="s">
        <v>37401</v>
      </c>
      <c r="K12471" t="s">
        <v>38577</v>
      </c>
      <c r="M12471" t="s">
        <v>41241</v>
      </c>
      <c r="N12471" t="s">
        <v>42669</v>
      </c>
      <c r="O12471" t="s">
        <v>42670</v>
      </c>
      <c r="P12471">
        <v>0</v>
      </c>
      <c r="Q12471">
        <v>3</v>
      </c>
      <c r="R12471" t="s">
        <v>42690</v>
      </c>
      <c r="S12471" t="s">
        <v>43574</v>
      </c>
      <c r="T12471" t="s">
        <v>44371</v>
      </c>
      <c r="U12471" t="s">
        <v>54992</v>
      </c>
      <c r="V12471" t="s">
        <v>57146</v>
      </c>
      <c r="W12471" t="s">
        <v>41241</v>
      </c>
      <c r="X12471" t="s">
        <v>42691</v>
      </c>
    </row>
    <row r="12472" spans="1:24">
      <c r="A12472">
        <f>HYPERLINK("https://www.philgeps.gov.ph/GEPSNONPILOT/Tender/SplashBidNoticeAbstractUI.aspx?menuIndex=3&amp;refID=7155624&amp;Result=3","7155624")</f>
        <v>0</v>
      </c>
      <c r="B12472" t="s">
        <v>771</v>
      </c>
      <c r="C12472" t="s">
        <v>15455</v>
      </c>
      <c r="D12472" t="s">
        <v>17141</v>
      </c>
      <c r="E12472" t="s">
        <v>27848</v>
      </c>
      <c r="F12472" t="s">
        <v>29372</v>
      </c>
      <c r="G12472" t="s">
        <v>29384</v>
      </c>
      <c r="H12472" t="s">
        <v>11048</v>
      </c>
      <c r="I12472" t="s">
        <v>8614</v>
      </c>
      <c r="J12472" t="s">
        <v>37402</v>
      </c>
      <c r="K12472" t="s">
        <v>38496</v>
      </c>
      <c r="M12472" t="s">
        <v>42453</v>
      </c>
      <c r="N12472" t="s">
        <v>42669</v>
      </c>
      <c r="O12472" t="s">
        <v>42670</v>
      </c>
      <c r="P12472">
        <v>0</v>
      </c>
      <c r="Q12472">
        <v>32</v>
      </c>
      <c r="R12472" t="s">
        <v>42690</v>
      </c>
      <c r="S12472" t="s">
        <v>43574</v>
      </c>
      <c r="T12472" t="s">
        <v>44357</v>
      </c>
      <c r="U12472" t="s">
        <v>54993</v>
      </c>
      <c r="W12472" t="s">
        <v>42453</v>
      </c>
      <c r="X12472" t="s">
        <v>42691</v>
      </c>
    </row>
    <row r="12473" spans="1:24">
      <c r="A12473">
        <f>HYPERLINK("https://www.philgeps.gov.ph/GEPSNONPILOT/Tender/SplashBidNoticeAbstractUI.aspx?menuIndex=3&amp;refID=7155530&amp;Result=3","7155530")</f>
        <v>0</v>
      </c>
      <c r="B12473" t="s">
        <v>2020</v>
      </c>
      <c r="C12473" t="s">
        <v>15456</v>
      </c>
      <c r="D12473" t="s">
        <v>17177</v>
      </c>
      <c r="E12473" t="s">
        <v>27849</v>
      </c>
      <c r="F12473" t="s">
        <v>29372</v>
      </c>
      <c r="G12473" t="s">
        <v>29380</v>
      </c>
      <c r="H12473" t="s">
        <v>29389</v>
      </c>
      <c r="I12473" t="s">
        <v>10408</v>
      </c>
      <c r="J12473" t="s">
        <v>37403</v>
      </c>
      <c r="K12473" t="s">
        <v>38496</v>
      </c>
      <c r="M12473" t="s">
        <v>41241</v>
      </c>
      <c r="N12473" t="s">
        <v>42669</v>
      </c>
      <c r="O12473" t="s">
        <v>42670</v>
      </c>
      <c r="P12473">
        <v>0</v>
      </c>
      <c r="Q12473">
        <v>0</v>
      </c>
      <c r="R12473" t="s">
        <v>42690</v>
      </c>
      <c r="S12473" t="s">
        <v>43574</v>
      </c>
      <c r="T12473" t="s">
        <v>44371</v>
      </c>
      <c r="U12473" t="s">
        <v>54992</v>
      </c>
      <c r="V12473" t="s">
        <v>57146</v>
      </c>
      <c r="W12473" t="s">
        <v>41241</v>
      </c>
      <c r="X12473" t="s">
        <v>42691</v>
      </c>
    </row>
    <row r="12474" spans="1:24">
      <c r="A12474">
        <f>HYPERLINK("https://www.philgeps.gov.ph/GEPSNONPILOT/Tender/SplashBidNoticeAbstractUI.aspx?menuIndex=3&amp;refID=7155619&amp;Result=3","7155619")</f>
        <v>0</v>
      </c>
      <c r="B12474" t="s">
        <v>86</v>
      </c>
      <c r="C12474" t="s">
        <v>15457</v>
      </c>
      <c r="E12474" t="s">
        <v>27850</v>
      </c>
      <c r="F12474" t="s">
        <v>29372</v>
      </c>
      <c r="G12474" t="s">
        <v>29380</v>
      </c>
      <c r="H12474" t="s">
        <v>11048</v>
      </c>
      <c r="I12474" t="s">
        <v>29400</v>
      </c>
      <c r="J12474" t="s">
        <v>37404</v>
      </c>
      <c r="K12474" t="s">
        <v>38485</v>
      </c>
      <c r="M12474" t="s">
        <v>40155</v>
      </c>
      <c r="N12474" t="s">
        <v>42669</v>
      </c>
      <c r="O12474" t="s">
        <v>42670</v>
      </c>
      <c r="P12474">
        <v>0</v>
      </c>
      <c r="Q12474">
        <v>14</v>
      </c>
      <c r="R12474" t="s">
        <v>42690</v>
      </c>
      <c r="S12474" t="s">
        <v>43574</v>
      </c>
      <c r="T12474" t="s">
        <v>44481</v>
      </c>
      <c r="U12474" t="s">
        <v>54994</v>
      </c>
      <c r="W12474" t="s">
        <v>40155</v>
      </c>
      <c r="X12474" t="s">
        <v>42691</v>
      </c>
    </row>
    <row r="12475" spans="1:24">
      <c r="A12475">
        <f>HYPERLINK("https://www.philgeps.gov.ph/GEPSNONPILOT/Tender/SplashBidNoticeAbstractUI.aspx?menuIndex=3&amp;refID=7155511&amp;Result=3","7155511")</f>
        <v>0</v>
      </c>
      <c r="B12475" t="s">
        <v>2020</v>
      </c>
      <c r="C12475" t="s">
        <v>15458</v>
      </c>
      <c r="D12475" t="s">
        <v>17177</v>
      </c>
      <c r="E12475" t="s">
        <v>27851</v>
      </c>
      <c r="F12475" t="s">
        <v>29372</v>
      </c>
      <c r="G12475" t="s">
        <v>29380</v>
      </c>
      <c r="H12475" t="s">
        <v>29389</v>
      </c>
      <c r="I12475" t="s">
        <v>10408</v>
      </c>
      <c r="J12475" t="s">
        <v>37405</v>
      </c>
      <c r="K12475" t="s">
        <v>38485</v>
      </c>
      <c r="M12475" t="s">
        <v>41241</v>
      </c>
      <c r="N12475" t="s">
        <v>42669</v>
      </c>
      <c r="O12475" t="s">
        <v>42670</v>
      </c>
      <c r="P12475">
        <v>0</v>
      </c>
      <c r="Q12475">
        <v>0</v>
      </c>
      <c r="R12475" t="s">
        <v>42690</v>
      </c>
      <c r="S12475" t="s">
        <v>43574</v>
      </c>
      <c r="T12475" t="s">
        <v>44371</v>
      </c>
      <c r="U12475" t="s">
        <v>54992</v>
      </c>
      <c r="V12475" t="s">
        <v>57146</v>
      </c>
      <c r="W12475" t="s">
        <v>41241</v>
      </c>
      <c r="X12475" t="s">
        <v>42691</v>
      </c>
    </row>
    <row r="12476" spans="1:24">
      <c r="A12476">
        <f>HYPERLINK("https://www.philgeps.gov.ph/GEPSNONPILOT/Tender/SplashBidNoticeAbstractUI.aspx?menuIndex=3&amp;refID=7155499&amp;Result=3","7155499")</f>
        <v>0</v>
      </c>
      <c r="B12476" t="s">
        <v>776</v>
      </c>
      <c r="C12476" t="s">
        <v>15459</v>
      </c>
      <c r="D12476" t="s">
        <v>17169</v>
      </c>
      <c r="E12476" t="s">
        <v>27852</v>
      </c>
      <c r="F12476" t="s">
        <v>29372</v>
      </c>
      <c r="G12476" t="s">
        <v>29379</v>
      </c>
      <c r="H12476" t="s">
        <v>11048</v>
      </c>
      <c r="I12476" t="s">
        <v>29399</v>
      </c>
      <c r="J12476" t="s">
        <v>37406</v>
      </c>
      <c r="K12476" t="s">
        <v>38496</v>
      </c>
      <c r="L12476" t="s">
        <v>776</v>
      </c>
      <c r="M12476" t="s">
        <v>40190</v>
      </c>
      <c r="N12476" t="s">
        <v>42669</v>
      </c>
      <c r="O12476" t="s">
        <v>42670</v>
      </c>
      <c r="P12476">
        <v>0</v>
      </c>
      <c r="Q12476">
        <v>15</v>
      </c>
      <c r="R12476" t="s">
        <v>42690</v>
      </c>
      <c r="S12476" t="s">
        <v>43574</v>
      </c>
      <c r="T12476" t="s">
        <v>44488</v>
      </c>
      <c r="U12476" t="s">
        <v>54995</v>
      </c>
      <c r="W12476" t="s">
        <v>40190</v>
      </c>
      <c r="X12476" t="s">
        <v>42691</v>
      </c>
    </row>
    <row r="12477" spans="1:24">
      <c r="A12477">
        <f>HYPERLINK("https://www.philgeps.gov.ph/GEPSNONPILOT/Tender/SplashBidNoticeAbstractUI.aspx?menuIndex=3&amp;refID=7155572&amp;Result=3","7155572")</f>
        <v>0</v>
      </c>
      <c r="B12477" t="s">
        <v>2020</v>
      </c>
      <c r="C12477" t="s">
        <v>15460</v>
      </c>
      <c r="D12477" t="s">
        <v>17177</v>
      </c>
      <c r="E12477" t="s">
        <v>27853</v>
      </c>
      <c r="F12477" t="s">
        <v>29372</v>
      </c>
      <c r="G12477" t="s">
        <v>29380</v>
      </c>
      <c r="H12477" t="s">
        <v>29389</v>
      </c>
      <c r="I12477" t="s">
        <v>10408</v>
      </c>
      <c r="J12477" t="s">
        <v>30161</v>
      </c>
      <c r="K12477" t="s">
        <v>38496</v>
      </c>
      <c r="M12477" t="s">
        <v>41241</v>
      </c>
      <c r="N12477" t="s">
        <v>42669</v>
      </c>
      <c r="O12477" t="s">
        <v>42670</v>
      </c>
      <c r="P12477">
        <v>0</v>
      </c>
      <c r="Q12477">
        <v>2</v>
      </c>
      <c r="R12477" t="s">
        <v>42690</v>
      </c>
      <c r="S12477" t="s">
        <v>43574</v>
      </c>
      <c r="T12477" t="s">
        <v>44371</v>
      </c>
      <c r="U12477" t="s">
        <v>54992</v>
      </c>
      <c r="V12477" t="s">
        <v>57146</v>
      </c>
      <c r="W12477" t="s">
        <v>41241</v>
      </c>
      <c r="X12477" t="s">
        <v>42691</v>
      </c>
    </row>
    <row r="12478" spans="1:24">
      <c r="A12478">
        <f>HYPERLINK("https://www.philgeps.gov.ph/GEPSNONPILOT/Tender/SplashBidNoticeAbstractUI.aspx?menuIndex=3&amp;refID=7155495&amp;Result=3","7155495")</f>
        <v>0</v>
      </c>
      <c r="B12478" t="s">
        <v>3361</v>
      </c>
      <c r="C12478" t="s">
        <v>15461</v>
      </c>
      <c r="D12478" t="s">
        <v>17177</v>
      </c>
      <c r="E12478" t="s">
        <v>21096</v>
      </c>
      <c r="F12478" t="s">
        <v>29372</v>
      </c>
      <c r="G12478" t="s">
        <v>29380</v>
      </c>
      <c r="H12478" t="s">
        <v>29389</v>
      </c>
      <c r="I12478" t="s">
        <v>10408</v>
      </c>
      <c r="J12478" t="s">
        <v>31210</v>
      </c>
      <c r="K12478" t="s">
        <v>38510</v>
      </c>
      <c r="M12478" t="s">
        <v>42454</v>
      </c>
      <c r="N12478" t="s">
        <v>42669</v>
      </c>
      <c r="O12478" t="s">
        <v>42670</v>
      </c>
      <c r="P12478">
        <v>0</v>
      </c>
      <c r="Q12478">
        <v>0</v>
      </c>
      <c r="R12478" t="s">
        <v>42690</v>
      </c>
      <c r="S12478" t="s">
        <v>43574</v>
      </c>
      <c r="T12478" t="s">
        <v>44399</v>
      </c>
      <c r="U12478" t="s">
        <v>54996</v>
      </c>
      <c r="V12478" t="s">
        <v>57802</v>
      </c>
      <c r="W12478" t="s">
        <v>42454</v>
      </c>
      <c r="X12478" t="s">
        <v>42691</v>
      </c>
    </row>
    <row r="12479" spans="1:24">
      <c r="A12479">
        <f>HYPERLINK("https://www.philgeps.gov.ph/GEPSNONPILOT/Tender/SplashBidNoticeAbstractUI.aspx?menuIndex=3&amp;refID=7155478&amp;Result=3","7155478")</f>
        <v>0</v>
      </c>
      <c r="B12479" t="s">
        <v>3355</v>
      </c>
      <c r="C12479" t="s">
        <v>15462</v>
      </c>
      <c r="D12479" t="s">
        <v>17216</v>
      </c>
      <c r="E12479" t="s">
        <v>20907</v>
      </c>
      <c r="F12479" t="s">
        <v>29372</v>
      </c>
      <c r="G12479" t="s">
        <v>29380</v>
      </c>
      <c r="H12479" t="s">
        <v>29389</v>
      </c>
      <c r="I12479" t="s">
        <v>10408</v>
      </c>
      <c r="J12479" t="s">
        <v>31893</v>
      </c>
      <c r="K12479" t="s">
        <v>38522</v>
      </c>
      <c r="M12479" t="s">
        <v>42447</v>
      </c>
      <c r="N12479" t="s">
        <v>42669</v>
      </c>
      <c r="O12479" t="s">
        <v>42670</v>
      </c>
      <c r="P12479">
        <v>0</v>
      </c>
      <c r="Q12479">
        <v>0</v>
      </c>
      <c r="R12479" t="s">
        <v>42690</v>
      </c>
      <c r="S12479" t="s">
        <v>43574</v>
      </c>
      <c r="T12479" t="s">
        <v>44401</v>
      </c>
      <c r="U12479" t="s">
        <v>54997</v>
      </c>
      <c r="W12479" t="s">
        <v>42447</v>
      </c>
      <c r="X12479" t="s">
        <v>42691</v>
      </c>
    </row>
    <row r="12480" spans="1:24">
      <c r="A12480">
        <f>HYPERLINK("https://www.philgeps.gov.ph/GEPSNONPILOT/Tender/SplashBidNoticeAbstractUI.aspx?menuIndex=3&amp;refID=7155523&amp;Result=3","7155523")</f>
        <v>0</v>
      </c>
      <c r="B12480" t="s">
        <v>1547</v>
      </c>
      <c r="C12480" t="s">
        <v>15463</v>
      </c>
      <c r="D12480" t="s">
        <v>17164</v>
      </c>
      <c r="E12480" t="s">
        <v>27854</v>
      </c>
      <c r="F12480" t="s">
        <v>29372</v>
      </c>
      <c r="G12480" t="s">
        <v>29380</v>
      </c>
      <c r="H12480" t="s">
        <v>29389</v>
      </c>
      <c r="I12480" t="s">
        <v>10408</v>
      </c>
      <c r="J12480" t="s">
        <v>37407</v>
      </c>
      <c r="K12480" t="s">
        <v>38522</v>
      </c>
      <c r="M12480" t="s">
        <v>40397</v>
      </c>
      <c r="N12480" t="s">
        <v>42669</v>
      </c>
      <c r="O12480" t="s">
        <v>42670</v>
      </c>
      <c r="P12480">
        <v>0</v>
      </c>
      <c r="Q12480">
        <v>0</v>
      </c>
      <c r="R12480" t="s">
        <v>42690</v>
      </c>
      <c r="S12480" t="s">
        <v>43574</v>
      </c>
      <c r="T12480" t="s">
        <v>44399</v>
      </c>
      <c r="U12480" t="s">
        <v>54998</v>
      </c>
      <c r="V12480" t="s">
        <v>57803</v>
      </c>
      <c r="W12480" t="s">
        <v>40397</v>
      </c>
      <c r="X12480" t="s">
        <v>42691</v>
      </c>
    </row>
    <row r="12481" spans="1:24">
      <c r="A12481">
        <f>HYPERLINK("https://www.philgeps.gov.ph/GEPSNONPILOT/Tender/SplashBidNoticeAbstractUI.aspx?menuIndex=3&amp;refID=7155500&amp;Result=3","7155500")</f>
        <v>0</v>
      </c>
      <c r="B12481" t="s">
        <v>2020</v>
      </c>
      <c r="C12481" t="s">
        <v>15464</v>
      </c>
      <c r="D12481" t="s">
        <v>17177</v>
      </c>
      <c r="E12481" t="s">
        <v>27855</v>
      </c>
      <c r="F12481" t="s">
        <v>29372</v>
      </c>
      <c r="G12481" t="s">
        <v>29380</v>
      </c>
      <c r="H12481" t="s">
        <v>29389</v>
      </c>
      <c r="I12481" t="s">
        <v>10408</v>
      </c>
      <c r="J12481" t="s">
        <v>37408</v>
      </c>
      <c r="K12481" t="s">
        <v>38496</v>
      </c>
      <c r="M12481" t="s">
        <v>41241</v>
      </c>
      <c r="N12481" t="s">
        <v>42669</v>
      </c>
      <c r="O12481" t="s">
        <v>42670</v>
      </c>
      <c r="P12481">
        <v>0</v>
      </c>
      <c r="Q12481">
        <v>0</v>
      </c>
      <c r="R12481" t="s">
        <v>42690</v>
      </c>
      <c r="S12481" t="s">
        <v>43574</v>
      </c>
      <c r="T12481" t="s">
        <v>44371</v>
      </c>
      <c r="U12481" t="s">
        <v>54992</v>
      </c>
      <c r="V12481" t="s">
        <v>57146</v>
      </c>
      <c r="W12481" t="s">
        <v>41241</v>
      </c>
      <c r="X12481" t="s">
        <v>42691</v>
      </c>
    </row>
    <row r="12482" spans="1:24">
      <c r="A12482">
        <f>HYPERLINK("https://www.philgeps.gov.ph/GEPSNONPILOT/Tender/SplashBidNoticeAbstractUI.aspx?menuIndex=3&amp;refID=7154758&amp;Result=3","7154758")</f>
        <v>0</v>
      </c>
      <c r="B12482" t="s">
        <v>1336</v>
      </c>
      <c r="C12482" t="s">
        <v>15465</v>
      </c>
      <c r="D12482" t="s">
        <v>17226</v>
      </c>
      <c r="E12482" t="s">
        <v>27856</v>
      </c>
      <c r="F12482" t="s">
        <v>29372</v>
      </c>
      <c r="G12482" t="s">
        <v>29380</v>
      </c>
      <c r="H12482" t="s">
        <v>11048</v>
      </c>
      <c r="I12482" t="s">
        <v>3695</v>
      </c>
      <c r="J12482" t="s">
        <v>37409</v>
      </c>
      <c r="K12482" t="s">
        <v>38485</v>
      </c>
      <c r="M12482" t="s">
        <v>40172</v>
      </c>
      <c r="N12482" t="s">
        <v>42669</v>
      </c>
      <c r="O12482" t="s">
        <v>42670</v>
      </c>
      <c r="Q12482">
        <v>5</v>
      </c>
      <c r="R12482" t="s">
        <v>42690</v>
      </c>
      <c r="S12482" t="s">
        <v>43589</v>
      </c>
      <c r="T12482" t="s">
        <v>44527</v>
      </c>
      <c r="U12482" t="s">
        <v>54999</v>
      </c>
      <c r="W12482" t="s">
        <v>40172</v>
      </c>
      <c r="X12482" t="s">
        <v>42692</v>
      </c>
    </row>
    <row r="12483" spans="1:24">
      <c r="A12483">
        <f>HYPERLINK("https://www.philgeps.gov.ph/GEPSNONPILOT/Tender/SplashBidNoticeAbstractUI.aspx?menuIndex=3&amp;refID=7154687&amp;Result=3","7154687")</f>
        <v>0</v>
      </c>
      <c r="B12483" t="s">
        <v>1336</v>
      </c>
      <c r="C12483" t="s">
        <v>15466</v>
      </c>
      <c r="D12483" t="s">
        <v>17226</v>
      </c>
      <c r="E12483" t="s">
        <v>27857</v>
      </c>
      <c r="F12483" t="s">
        <v>29372</v>
      </c>
      <c r="G12483" t="s">
        <v>29380</v>
      </c>
      <c r="H12483" t="s">
        <v>11048</v>
      </c>
      <c r="I12483" t="s">
        <v>29407</v>
      </c>
      <c r="J12483" t="s">
        <v>37410</v>
      </c>
      <c r="K12483" t="s">
        <v>38485</v>
      </c>
      <c r="M12483" t="s">
        <v>40172</v>
      </c>
      <c r="N12483" t="s">
        <v>42669</v>
      </c>
      <c r="O12483" t="s">
        <v>42670</v>
      </c>
      <c r="Q12483">
        <v>9</v>
      </c>
      <c r="R12483" t="s">
        <v>42690</v>
      </c>
      <c r="S12483" t="s">
        <v>43438</v>
      </c>
      <c r="T12483" t="s">
        <v>44527</v>
      </c>
      <c r="U12483" t="s">
        <v>55000</v>
      </c>
      <c r="W12483" t="s">
        <v>40172</v>
      </c>
      <c r="X12483" t="s">
        <v>42692</v>
      </c>
    </row>
    <row r="12484" spans="1:24">
      <c r="A12484">
        <f>HYPERLINK("https://www.philgeps.gov.ph/GEPSNONPILOT/Tender/SplashBidNoticeAbstractUI.aspx?menuIndex=3&amp;refID=7154636&amp;Result=3","7154636")</f>
        <v>0</v>
      </c>
      <c r="B12484" t="s">
        <v>1866</v>
      </c>
      <c r="C12484" t="s">
        <v>15467</v>
      </c>
      <c r="D12484" t="s">
        <v>17141</v>
      </c>
      <c r="E12484" t="s">
        <v>27858</v>
      </c>
      <c r="F12484" t="s">
        <v>29372</v>
      </c>
      <c r="G12484" t="s">
        <v>29380</v>
      </c>
      <c r="H12484" t="s">
        <v>11048</v>
      </c>
      <c r="I12484" t="s">
        <v>4486</v>
      </c>
      <c r="J12484" t="s">
        <v>37411</v>
      </c>
      <c r="K12484" t="s">
        <v>38485</v>
      </c>
      <c r="M12484" t="s">
        <v>40739</v>
      </c>
      <c r="N12484" t="s">
        <v>42669</v>
      </c>
      <c r="O12484" t="s">
        <v>42670</v>
      </c>
      <c r="Q12484">
        <v>15</v>
      </c>
      <c r="R12484" t="s">
        <v>42690</v>
      </c>
      <c r="S12484" t="s">
        <v>43590</v>
      </c>
      <c r="T12484" t="s">
        <v>44387</v>
      </c>
      <c r="U12484" t="s">
        <v>49180</v>
      </c>
      <c r="V12484" t="s">
        <v>57804</v>
      </c>
      <c r="W12484" t="s">
        <v>40739</v>
      </c>
      <c r="X12484" t="s">
        <v>42692</v>
      </c>
    </row>
    <row r="12485" spans="1:24">
      <c r="A12485">
        <f>HYPERLINK("https://www.philgeps.gov.ph/GEPSNONPILOT/Tender/SplashBidNoticeAbstractUI.aspx?menuIndex=3&amp;refID=7155479&amp;Result=3","7155479")</f>
        <v>0</v>
      </c>
      <c r="B12485" t="s">
        <v>2020</v>
      </c>
      <c r="C12485" t="s">
        <v>15468</v>
      </c>
      <c r="D12485" t="s">
        <v>17177</v>
      </c>
      <c r="E12485" t="s">
        <v>27859</v>
      </c>
      <c r="F12485" t="s">
        <v>29372</v>
      </c>
      <c r="G12485" t="s">
        <v>29380</v>
      </c>
      <c r="H12485" t="s">
        <v>29389</v>
      </c>
      <c r="I12485" t="s">
        <v>29398</v>
      </c>
      <c r="J12485" t="s">
        <v>37412</v>
      </c>
      <c r="K12485" t="s">
        <v>38496</v>
      </c>
      <c r="M12485" t="s">
        <v>41241</v>
      </c>
      <c r="N12485" t="s">
        <v>42669</v>
      </c>
      <c r="O12485" t="s">
        <v>42670</v>
      </c>
      <c r="P12485">
        <v>0</v>
      </c>
      <c r="Q12485">
        <v>2</v>
      </c>
      <c r="R12485" t="s">
        <v>42690</v>
      </c>
      <c r="S12485" t="s">
        <v>43574</v>
      </c>
      <c r="T12485" t="s">
        <v>44371</v>
      </c>
      <c r="U12485" t="s">
        <v>54992</v>
      </c>
      <c r="V12485" t="s">
        <v>57146</v>
      </c>
      <c r="W12485" t="s">
        <v>41241</v>
      </c>
      <c r="X12485" t="s">
        <v>42691</v>
      </c>
    </row>
    <row r="12486" spans="1:24">
      <c r="A12486">
        <f>HYPERLINK("https://www.philgeps.gov.ph/GEPSNONPILOT/Tender/SplashBidNoticeAbstractUI.aspx?menuIndex=3&amp;refID=7154398&amp;Result=3","7154398")</f>
        <v>0</v>
      </c>
      <c r="B12486" t="s">
        <v>2964</v>
      </c>
      <c r="C12486" t="s">
        <v>15469</v>
      </c>
      <c r="D12486" t="s">
        <v>17144</v>
      </c>
      <c r="E12486" t="s">
        <v>27860</v>
      </c>
      <c r="F12486" t="s">
        <v>29372</v>
      </c>
      <c r="G12486" t="s">
        <v>29380</v>
      </c>
      <c r="H12486" t="s">
        <v>11048</v>
      </c>
      <c r="I12486" t="s">
        <v>4487</v>
      </c>
      <c r="J12486" t="s">
        <v>37413</v>
      </c>
      <c r="K12486" t="s">
        <v>38551</v>
      </c>
      <c r="M12486" t="s">
        <v>41974</v>
      </c>
      <c r="N12486" t="s">
        <v>42669</v>
      </c>
      <c r="O12486" t="s">
        <v>42670</v>
      </c>
      <c r="P12486">
        <v>0</v>
      </c>
      <c r="Q12486">
        <v>11</v>
      </c>
      <c r="R12486" t="s">
        <v>42690</v>
      </c>
      <c r="S12486" t="s">
        <v>43574</v>
      </c>
      <c r="T12486" t="s">
        <v>44491</v>
      </c>
      <c r="U12486" t="s">
        <v>55001</v>
      </c>
      <c r="W12486" t="s">
        <v>41974</v>
      </c>
      <c r="X12486" t="s">
        <v>42692</v>
      </c>
    </row>
    <row r="12487" spans="1:24">
      <c r="A12487">
        <f>HYPERLINK("https://www.philgeps.gov.ph/GEPSNONPILOT/Tender/SplashBidNoticeAbstractUI.aspx?menuIndex=3&amp;refID=7154725&amp;Result=3","7154725")</f>
        <v>0</v>
      </c>
      <c r="B12487" t="s">
        <v>1336</v>
      </c>
      <c r="C12487" t="s">
        <v>15470</v>
      </c>
      <c r="D12487" t="s">
        <v>17226</v>
      </c>
      <c r="E12487" t="s">
        <v>27861</v>
      </c>
      <c r="F12487" t="s">
        <v>29372</v>
      </c>
      <c r="G12487" t="s">
        <v>29380</v>
      </c>
      <c r="H12487" t="s">
        <v>11048</v>
      </c>
      <c r="I12487" t="s">
        <v>3695</v>
      </c>
      <c r="J12487" t="s">
        <v>37414</v>
      </c>
      <c r="K12487" t="s">
        <v>38485</v>
      </c>
      <c r="M12487" t="s">
        <v>40172</v>
      </c>
      <c r="N12487" t="s">
        <v>42669</v>
      </c>
      <c r="O12487" t="s">
        <v>42670</v>
      </c>
      <c r="Q12487">
        <v>4</v>
      </c>
      <c r="R12487" t="s">
        <v>42690</v>
      </c>
      <c r="S12487" t="s">
        <v>43591</v>
      </c>
      <c r="T12487" t="s">
        <v>44527</v>
      </c>
      <c r="U12487" t="s">
        <v>55002</v>
      </c>
      <c r="W12487" t="s">
        <v>40172</v>
      </c>
      <c r="X12487" t="s">
        <v>42692</v>
      </c>
    </row>
    <row r="12488" spans="1:24">
      <c r="A12488">
        <f>HYPERLINK("https://www.philgeps.gov.ph/GEPSNONPILOT/Tender/SplashBidNoticeAbstractUI.aspx?menuIndex=3&amp;refID=7155562&amp;Result=3","7155562")</f>
        <v>0</v>
      </c>
      <c r="B12488" t="s">
        <v>740</v>
      </c>
      <c r="C12488" t="s">
        <v>15471</v>
      </c>
      <c r="D12488" t="s">
        <v>17181</v>
      </c>
      <c r="E12488" t="s">
        <v>27862</v>
      </c>
      <c r="F12488" t="s">
        <v>29372</v>
      </c>
      <c r="G12488" t="s">
        <v>29380</v>
      </c>
      <c r="H12488" t="s">
        <v>29391</v>
      </c>
      <c r="I12488" t="s">
        <v>29391</v>
      </c>
      <c r="J12488" t="s">
        <v>36323</v>
      </c>
      <c r="K12488" t="s">
        <v>38629</v>
      </c>
      <c r="M12488" t="s">
        <v>39521</v>
      </c>
      <c r="N12488" t="s">
        <v>42669</v>
      </c>
      <c r="O12488" t="s">
        <v>42670</v>
      </c>
      <c r="P12488">
        <v>0</v>
      </c>
      <c r="Q12488">
        <v>11</v>
      </c>
      <c r="R12488" t="s">
        <v>42690</v>
      </c>
      <c r="S12488" t="s">
        <v>43574</v>
      </c>
      <c r="T12488" t="s">
        <v>44357</v>
      </c>
      <c r="U12488" t="s">
        <v>54990</v>
      </c>
      <c r="W12488" t="s">
        <v>39521</v>
      </c>
      <c r="X12488" t="s">
        <v>42691</v>
      </c>
    </row>
    <row r="12489" spans="1:24">
      <c r="A12489">
        <f>HYPERLINK("https://www.philgeps.gov.ph/GEPSNONPILOT/Tender/SplashBidNoticeAbstractUI.aspx?menuIndex=3&amp;refID=7138415&amp;Result=3","7138415")</f>
        <v>0</v>
      </c>
      <c r="B12489" t="s">
        <v>3362</v>
      </c>
      <c r="C12489" t="s">
        <v>15472</v>
      </c>
      <c r="D12489" t="s">
        <v>17165</v>
      </c>
      <c r="E12489" t="s">
        <v>19716</v>
      </c>
      <c r="F12489" t="s">
        <v>29372</v>
      </c>
      <c r="G12489" t="s">
        <v>29380</v>
      </c>
      <c r="H12489" t="s">
        <v>29389</v>
      </c>
      <c r="I12489" t="s">
        <v>10408</v>
      </c>
      <c r="J12489" t="s">
        <v>37415</v>
      </c>
      <c r="K12489" t="s">
        <v>38526</v>
      </c>
      <c r="M12489" t="s">
        <v>42455</v>
      </c>
      <c r="N12489" t="s">
        <v>42669</v>
      </c>
      <c r="O12489" t="s">
        <v>42670</v>
      </c>
      <c r="P12489">
        <v>0</v>
      </c>
      <c r="Q12489">
        <v>1</v>
      </c>
      <c r="R12489" t="s">
        <v>42690</v>
      </c>
      <c r="S12489" t="s">
        <v>43574</v>
      </c>
      <c r="T12489" t="s">
        <v>44491</v>
      </c>
      <c r="U12489" t="s">
        <v>55003</v>
      </c>
      <c r="W12489" t="s">
        <v>42455</v>
      </c>
      <c r="X12489" t="s">
        <v>42700</v>
      </c>
    </row>
    <row r="12490" spans="1:24">
      <c r="A12490">
        <f>HYPERLINK("https://www.philgeps.gov.ph/GEPSNONPILOT/Tender/SplashBidNoticeAbstractUI.aspx?menuIndex=3&amp;refID=7137525&amp;Result=3","7137525")</f>
        <v>0</v>
      </c>
      <c r="B12490" t="s">
        <v>1912</v>
      </c>
      <c r="C12490" t="s">
        <v>15473</v>
      </c>
      <c r="D12490" t="s">
        <v>17194</v>
      </c>
      <c r="E12490" t="s">
        <v>27863</v>
      </c>
      <c r="F12490" t="s">
        <v>29372</v>
      </c>
      <c r="G12490" t="s">
        <v>29380</v>
      </c>
      <c r="H12490" t="s">
        <v>11048</v>
      </c>
      <c r="I12490" t="s">
        <v>3839</v>
      </c>
      <c r="J12490" t="s">
        <v>37416</v>
      </c>
      <c r="K12490" t="s">
        <v>38495</v>
      </c>
      <c r="M12490" t="s">
        <v>40787</v>
      </c>
      <c r="N12490" t="s">
        <v>42669</v>
      </c>
      <c r="O12490" t="s">
        <v>42670</v>
      </c>
      <c r="P12490">
        <v>0</v>
      </c>
      <c r="Q12490">
        <v>2</v>
      </c>
      <c r="R12490" t="s">
        <v>42690</v>
      </c>
      <c r="S12490" t="s">
        <v>43574</v>
      </c>
      <c r="T12490" t="s">
        <v>44491</v>
      </c>
      <c r="U12490" t="s">
        <v>55004</v>
      </c>
      <c r="W12490" t="s">
        <v>40787</v>
      </c>
      <c r="X12490" t="s">
        <v>42700</v>
      </c>
    </row>
    <row r="12491" spans="1:24">
      <c r="A12491">
        <f>HYPERLINK("https://www.philgeps.gov.ph/GEPSNONPILOT/Tender/SplashBidNoticeAbstractUI.aspx?menuIndex=3&amp;refID=7140997&amp;Result=3","7140997")</f>
        <v>0</v>
      </c>
      <c r="B12491" t="s">
        <v>3349</v>
      </c>
      <c r="C12491" t="s">
        <v>15474</v>
      </c>
      <c r="D12491" t="s">
        <v>17174</v>
      </c>
      <c r="E12491" t="s">
        <v>27864</v>
      </c>
      <c r="F12491" t="s">
        <v>29372</v>
      </c>
      <c r="G12491" t="s">
        <v>29380</v>
      </c>
      <c r="H12491" t="s">
        <v>29389</v>
      </c>
      <c r="I12491" t="s">
        <v>10408</v>
      </c>
      <c r="J12491" t="s">
        <v>29829</v>
      </c>
      <c r="K12491" t="s">
        <v>38564</v>
      </c>
      <c r="M12491" t="s">
        <v>42440</v>
      </c>
      <c r="N12491" t="s">
        <v>42669</v>
      </c>
      <c r="O12491" t="s">
        <v>42670</v>
      </c>
      <c r="P12491">
        <v>0</v>
      </c>
      <c r="Q12491">
        <v>1</v>
      </c>
      <c r="R12491" t="s">
        <v>42690</v>
      </c>
      <c r="S12491" t="s">
        <v>43574</v>
      </c>
      <c r="T12491" t="s">
        <v>44524</v>
      </c>
      <c r="U12491" t="s">
        <v>55005</v>
      </c>
      <c r="W12491" t="s">
        <v>42440</v>
      </c>
      <c r="X12491" t="s">
        <v>42699</v>
      </c>
    </row>
    <row r="12492" spans="1:24">
      <c r="A12492">
        <f>HYPERLINK("https://www.philgeps.gov.ph/GEPSNONPILOT/Tender/SplashBidNoticeAbstractUI.aspx?menuIndex=3&amp;refID=7161662&amp;Result=3","7161662")</f>
        <v>0</v>
      </c>
      <c r="B12492" t="s">
        <v>513</v>
      </c>
      <c r="C12492" t="s">
        <v>15475</v>
      </c>
      <c r="D12492" t="s">
        <v>17191</v>
      </c>
      <c r="E12492" t="s">
        <v>27865</v>
      </c>
      <c r="F12492" t="s">
        <v>29372</v>
      </c>
      <c r="G12492" t="s">
        <v>29380</v>
      </c>
      <c r="H12492" t="s">
        <v>29389</v>
      </c>
      <c r="I12492" t="s">
        <v>10408</v>
      </c>
      <c r="J12492" t="s">
        <v>29724</v>
      </c>
      <c r="K12492" t="s">
        <v>38516</v>
      </c>
      <c r="L12492" t="s">
        <v>513</v>
      </c>
      <c r="M12492" t="s">
        <v>39280</v>
      </c>
      <c r="N12492" t="s">
        <v>42669</v>
      </c>
      <c r="O12492" t="s">
        <v>42670</v>
      </c>
      <c r="Q12492">
        <v>3</v>
      </c>
      <c r="R12492" t="s">
        <v>42689</v>
      </c>
      <c r="S12492" t="s">
        <v>43592</v>
      </c>
      <c r="T12492" t="s">
        <v>44387</v>
      </c>
      <c r="U12492" t="s">
        <v>55006</v>
      </c>
      <c r="W12492" t="s">
        <v>39280</v>
      </c>
      <c r="X12492" t="s">
        <v>42690</v>
      </c>
    </row>
    <row r="12493" spans="1:24">
      <c r="A12493">
        <f>HYPERLINK("https://www.philgeps.gov.ph/GEPSNONPILOT/Tender/SplashBidNoticeAbstractUI.aspx?menuIndex=3&amp;refID=7161640&amp;Result=3","7161640")</f>
        <v>0</v>
      </c>
      <c r="B12493" t="s">
        <v>532</v>
      </c>
      <c r="C12493" t="s">
        <v>15476</v>
      </c>
      <c r="D12493" t="s">
        <v>17141</v>
      </c>
      <c r="E12493" t="s">
        <v>27866</v>
      </c>
      <c r="F12493" t="s">
        <v>29372</v>
      </c>
      <c r="G12493" t="s">
        <v>29380</v>
      </c>
      <c r="H12493" t="s">
        <v>29389</v>
      </c>
      <c r="I12493" t="s">
        <v>10408</v>
      </c>
      <c r="J12493" t="s">
        <v>37417</v>
      </c>
      <c r="K12493" t="s">
        <v>38533</v>
      </c>
      <c r="M12493" t="s">
        <v>39299</v>
      </c>
      <c r="N12493" t="s">
        <v>42669</v>
      </c>
      <c r="O12493" t="s">
        <v>42670</v>
      </c>
      <c r="Q12493">
        <v>23</v>
      </c>
      <c r="R12493" t="s">
        <v>42689</v>
      </c>
      <c r="S12493" t="s">
        <v>43593</v>
      </c>
      <c r="T12493" t="s">
        <v>44460</v>
      </c>
      <c r="U12493" t="s">
        <v>55007</v>
      </c>
      <c r="W12493" t="s">
        <v>39299</v>
      </c>
      <c r="X12493" t="s">
        <v>42690</v>
      </c>
    </row>
    <row r="12494" spans="1:24">
      <c r="A12494">
        <f>HYPERLINK("https://www.philgeps.gov.ph/GEPSNONPILOT/Tender/SplashBidNoticeAbstractUI.aspx?menuIndex=3&amp;refID=7161637&amp;Result=3","7161637")</f>
        <v>0</v>
      </c>
      <c r="B12494" t="s">
        <v>532</v>
      </c>
      <c r="C12494" t="s">
        <v>15477</v>
      </c>
      <c r="D12494" t="s">
        <v>17141</v>
      </c>
      <c r="E12494" t="s">
        <v>27867</v>
      </c>
      <c r="F12494" t="s">
        <v>29372</v>
      </c>
      <c r="G12494" t="s">
        <v>29380</v>
      </c>
      <c r="H12494" t="s">
        <v>29389</v>
      </c>
      <c r="I12494" t="s">
        <v>10408</v>
      </c>
      <c r="J12494" t="s">
        <v>37418</v>
      </c>
      <c r="K12494" t="s">
        <v>38523</v>
      </c>
      <c r="M12494" t="s">
        <v>39299</v>
      </c>
      <c r="N12494" t="s">
        <v>42669</v>
      </c>
      <c r="O12494" t="s">
        <v>42670</v>
      </c>
      <c r="Q12494">
        <v>26</v>
      </c>
      <c r="R12494" t="s">
        <v>42689</v>
      </c>
      <c r="S12494" t="s">
        <v>43594</v>
      </c>
      <c r="T12494" t="s">
        <v>44460</v>
      </c>
      <c r="U12494" t="s">
        <v>55008</v>
      </c>
      <c r="W12494" t="s">
        <v>39299</v>
      </c>
      <c r="X12494" t="s">
        <v>42690</v>
      </c>
    </row>
    <row r="12495" spans="1:24">
      <c r="A12495">
        <f>HYPERLINK("https://www.philgeps.gov.ph/GEPSNONPILOT/Tender/SplashBidNoticeAbstractUI.aspx?menuIndex=3&amp;refID=7155684&amp;Result=3","7155684")</f>
        <v>0</v>
      </c>
      <c r="B12495" t="s">
        <v>86</v>
      </c>
      <c r="C12495" t="s">
        <v>15478</v>
      </c>
      <c r="E12495" t="s">
        <v>27868</v>
      </c>
      <c r="F12495" t="s">
        <v>29372</v>
      </c>
      <c r="G12495" t="s">
        <v>29380</v>
      </c>
      <c r="H12495" t="s">
        <v>11048</v>
      </c>
      <c r="I12495" t="s">
        <v>9469</v>
      </c>
      <c r="J12495" t="s">
        <v>32469</v>
      </c>
      <c r="K12495" t="s">
        <v>38495</v>
      </c>
      <c r="M12495" t="s">
        <v>40155</v>
      </c>
      <c r="N12495" t="s">
        <v>42669</v>
      </c>
      <c r="O12495" t="s">
        <v>42670</v>
      </c>
      <c r="P12495">
        <v>0</v>
      </c>
      <c r="Q12495">
        <v>18</v>
      </c>
      <c r="R12495" t="s">
        <v>42690</v>
      </c>
      <c r="S12495" t="s">
        <v>43574</v>
      </c>
      <c r="T12495" t="s">
        <v>44481</v>
      </c>
      <c r="U12495" t="s">
        <v>55009</v>
      </c>
      <c r="W12495" t="s">
        <v>40155</v>
      </c>
      <c r="X12495" t="s">
        <v>42691</v>
      </c>
    </row>
    <row r="12496" spans="1:24">
      <c r="A12496">
        <f>HYPERLINK("https://www.philgeps.gov.ph/GEPSNONPILOT/Tender/SplashBidNoticeAbstractUI.aspx?menuIndex=3&amp;refID=7161503&amp;Result=3","7161503")</f>
        <v>0</v>
      </c>
      <c r="B12496" t="s">
        <v>3334</v>
      </c>
      <c r="C12496" t="s">
        <v>15479</v>
      </c>
      <c r="D12496" t="s">
        <v>17196</v>
      </c>
      <c r="E12496" t="s">
        <v>17756</v>
      </c>
      <c r="F12496" t="s">
        <v>29372</v>
      </c>
      <c r="G12496" t="s">
        <v>29380</v>
      </c>
      <c r="H12496" t="s">
        <v>11048</v>
      </c>
      <c r="I12496" t="s">
        <v>3695</v>
      </c>
      <c r="J12496" t="s">
        <v>30136</v>
      </c>
      <c r="K12496" t="s">
        <v>38487</v>
      </c>
      <c r="M12496" t="s">
        <v>42421</v>
      </c>
      <c r="N12496" t="s">
        <v>42669</v>
      </c>
      <c r="O12496" t="s">
        <v>42670</v>
      </c>
      <c r="P12496">
        <v>0</v>
      </c>
      <c r="Q12496">
        <v>9</v>
      </c>
      <c r="R12496" t="s">
        <v>42689</v>
      </c>
      <c r="S12496" t="s">
        <v>43461</v>
      </c>
      <c r="T12496" t="s">
        <v>44387</v>
      </c>
      <c r="U12496" t="s">
        <v>55010</v>
      </c>
      <c r="W12496" t="s">
        <v>58126</v>
      </c>
      <c r="X12496" t="s">
        <v>42690</v>
      </c>
    </row>
    <row r="12497" spans="1:24">
      <c r="A12497">
        <f>HYPERLINK("https://www.philgeps.gov.ph/GEPSNONPILOT/Tender/SplashBidNoticeAbstractUI.aspx?menuIndex=3&amp;refID=7161208&amp;Result=3","7161208")</f>
        <v>0</v>
      </c>
      <c r="B12497" t="s">
        <v>413</v>
      </c>
      <c r="C12497" t="s">
        <v>15480</v>
      </c>
      <c r="D12497" t="s">
        <v>17214</v>
      </c>
      <c r="E12497" t="s">
        <v>27869</v>
      </c>
      <c r="F12497" t="s">
        <v>29372</v>
      </c>
      <c r="G12497" t="s">
        <v>29380</v>
      </c>
      <c r="H12497" t="s">
        <v>11048</v>
      </c>
      <c r="I12497" t="s">
        <v>29425</v>
      </c>
      <c r="J12497" t="s">
        <v>37419</v>
      </c>
      <c r="K12497" t="s">
        <v>38496</v>
      </c>
      <c r="M12497" t="s">
        <v>39177</v>
      </c>
      <c r="N12497" t="s">
        <v>42669</v>
      </c>
      <c r="O12497" t="s">
        <v>42670</v>
      </c>
      <c r="Q12497">
        <v>7</v>
      </c>
      <c r="R12497" t="s">
        <v>42689</v>
      </c>
      <c r="S12497" t="s">
        <v>43595</v>
      </c>
      <c r="T12497" t="s">
        <v>44554</v>
      </c>
      <c r="U12497" t="s">
        <v>54858</v>
      </c>
      <c r="V12497" t="s">
        <v>56550</v>
      </c>
      <c r="W12497" t="s">
        <v>39177</v>
      </c>
      <c r="X12497" t="s">
        <v>42690</v>
      </c>
    </row>
    <row r="12498" spans="1:24">
      <c r="A12498">
        <f>HYPERLINK("https://www.philgeps.gov.ph/GEPSNONPILOT/Tender/SplashBidNoticeAbstractUI.aspx?menuIndex=3&amp;refID=7161501&amp;Result=3","7161501")</f>
        <v>0</v>
      </c>
      <c r="B12498" t="s">
        <v>338</v>
      </c>
      <c r="C12498" t="s">
        <v>15481</v>
      </c>
      <c r="D12498" t="s">
        <v>17214</v>
      </c>
      <c r="E12498" t="s">
        <v>27870</v>
      </c>
      <c r="F12498" t="s">
        <v>29372</v>
      </c>
      <c r="G12498" t="s">
        <v>29380</v>
      </c>
      <c r="H12498" t="s">
        <v>29390</v>
      </c>
      <c r="I12498" t="s">
        <v>29478</v>
      </c>
      <c r="J12498" t="s">
        <v>33066</v>
      </c>
      <c r="K12498" t="s">
        <v>38567</v>
      </c>
      <c r="M12498" t="s">
        <v>42422</v>
      </c>
      <c r="N12498" t="s">
        <v>42669</v>
      </c>
      <c r="O12498" t="s">
        <v>42670</v>
      </c>
      <c r="Q12498">
        <v>10</v>
      </c>
      <c r="R12498" t="s">
        <v>42689</v>
      </c>
      <c r="S12498" t="s">
        <v>43596</v>
      </c>
      <c r="T12498" t="s">
        <v>44427</v>
      </c>
      <c r="U12498" t="s">
        <v>55011</v>
      </c>
      <c r="W12498" t="s">
        <v>42422</v>
      </c>
      <c r="X12498" t="s">
        <v>42690</v>
      </c>
    </row>
    <row r="12499" spans="1:24">
      <c r="A12499">
        <f>HYPERLINK("https://www.philgeps.gov.ph/GEPSNONPILOT/Tender/SplashBidNoticeAbstractUI.aspx?menuIndex=3&amp;refID=7154375&amp;Result=3","7154375")</f>
        <v>0</v>
      </c>
      <c r="B12499" t="s">
        <v>1085</v>
      </c>
      <c r="C12499" t="s">
        <v>15482</v>
      </c>
      <c r="E12499" t="s">
        <v>27871</v>
      </c>
      <c r="F12499" t="s">
        <v>29372</v>
      </c>
      <c r="G12499" t="s">
        <v>29380</v>
      </c>
      <c r="H12499" t="s">
        <v>11048</v>
      </c>
      <c r="I12499" t="s">
        <v>8614</v>
      </c>
      <c r="J12499" t="s">
        <v>29543</v>
      </c>
      <c r="K12499" t="s">
        <v>38490</v>
      </c>
      <c r="M12499" t="s">
        <v>40157</v>
      </c>
      <c r="N12499" t="s">
        <v>42669</v>
      </c>
      <c r="O12499" t="s">
        <v>42670</v>
      </c>
      <c r="Q12499">
        <v>13</v>
      </c>
      <c r="R12499" t="s">
        <v>42690</v>
      </c>
      <c r="S12499" t="s">
        <v>43597</v>
      </c>
      <c r="T12499" t="s">
        <v>44414</v>
      </c>
      <c r="U12499" t="s">
        <v>45387</v>
      </c>
      <c r="W12499" t="s">
        <v>40157</v>
      </c>
      <c r="X12499" t="s">
        <v>42692</v>
      </c>
    </row>
    <row r="12500" spans="1:24">
      <c r="A12500">
        <f>HYPERLINK("https://www.philgeps.gov.ph/GEPSNONPILOT/Tender/SplashBidNoticeAbstractUI.aspx?menuIndex=3&amp;refID=7155691&amp;Result=3","7155691")</f>
        <v>0</v>
      </c>
      <c r="B12500" t="s">
        <v>2851</v>
      </c>
      <c r="C12500" t="s">
        <v>6520</v>
      </c>
      <c r="D12500" t="s">
        <v>17186</v>
      </c>
      <c r="E12500" t="s">
        <v>27872</v>
      </c>
      <c r="F12500" t="s">
        <v>29372</v>
      </c>
      <c r="G12500" t="s">
        <v>29380</v>
      </c>
      <c r="H12500" t="s">
        <v>11048</v>
      </c>
      <c r="I12500" t="s">
        <v>3695</v>
      </c>
      <c r="J12500" t="s">
        <v>37420</v>
      </c>
      <c r="K12500" t="s">
        <v>38491</v>
      </c>
      <c r="M12500" t="s">
        <v>41844</v>
      </c>
      <c r="N12500" t="s">
        <v>42669</v>
      </c>
      <c r="O12500" t="s">
        <v>42670</v>
      </c>
      <c r="P12500">
        <v>0</v>
      </c>
      <c r="Q12500">
        <v>10</v>
      </c>
      <c r="R12500" t="s">
        <v>42690</v>
      </c>
      <c r="S12500" t="s">
        <v>43574</v>
      </c>
      <c r="T12500" t="s">
        <v>44481</v>
      </c>
      <c r="U12500" t="s">
        <v>55012</v>
      </c>
      <c r="W12500" t="s">
        <v>58101</v>
      </c>
      <c r="X12500" t="s">
        <v>42691</v>
      </c>
    </row>
    <row r="12501" spans="1:24">
      <c r="A12501">
        <f>HYPERLINK("https://www.philgeps.gov.ph/GEPSNONPILOT/Tender/SplashBidNoticeAbstractUI.aspx?menuIndex=3&amp;refID=7154633&amp;Result=3","7154633")</f>
        <v>0</v>
      </c>
      <c r="B12501" t="s">
        <v>2975</v>
      </c>
      <c r="C12501" t="s">
        <v>15483</v>
      </c>
      <c r="D12501" t="s">
        <v>17188</v>
      </c>
      <c r="E12501" t="s">
        <v>26389</v>
      </c>
      <c r="F12501" t="s">
        <v>29372</v>
      </c>
      <c r="G12501" t="s">
        <v>29380</v>
      </c>
      <c r="H12501" t="s">
        <v>29389</v>
      </c>
      <c r="I12501" t="s">
        <v>10408</v>
      </c>
      <c r="J12501" t="s">
        <v>29590</v>
      </c>
      <c r="K12501" t="s">
        <v>38495</v>
      </c>
      <c r="M12501" t="s">
        <v>41989</v>
      </c>
      <c r="N12501" t="s">
        <v>42669</v>
      </c>
      <c r="O12501" t="s">
        <v>42670</v>
      </c>
      <c r="P12501">
        <v>0</v>
      </c>
      <c r="Q12501">
        <v>3</v>
      </c>
      <c r="R12501" t="s">
        <v>42690</v>
      </c>
      <c r="S12501" t="s">
        <v>43574</v>
      </c>
      <c r="T12501" t="s">
        <v>44512</v>
      </c>
      <c r="U12501" t="s">
        <v>55013</v>
      </c>
      <c r="W12501" t="s">
        <v>41989</v>
      </c>
      <c r="X12501" t="s">
        <v>42692</v>
      </c>
    </row>
    <row r="12502" spans="1:24">
      <c r="A12502">
        <f>HYPERLINK("https://www.philgeps.gov.ph/GEPSNONPILOT/Tender/SplashBidNoticeAbstractUI.aspx?menuIndex=3&amp;refID=7161505&amp;Result=3","7161505")</f>
        <v>0</v>
      </c>
      <c r="B12502" t="s">
        <v>3333</v>
      </c>
      <c r="C12502" t="s">
        <v>15484</v>
      </c>
      <c r="D12502" t="s">
        <v>17200</v>
      </c>
      <c r="E12502" t="s">
        <v>27873</v>
      </c>
      <c r="F12502" t="s">
        <v>29372</v>
      </c>
      <c r="G12502" t="s">
        <v>29380</v>
      </c>
      <c r="H12502" t="s">
        <v>11048</v>
      </c>
      <c r="I12502" t="s">
        <v>8614</v>
      </c>
      <c r="J12502" t="s">
        <v>37421</v>
      </c>
      <c r="K12502" t="s">
        <v>38530</v>
      </c>
      <c r="M12502" t="s">
        <v>42420</v>
      </c>
      <c r="N12502" t="s">
        <v>42669</v>
      </c>
      <c r="O12502" t="s">
        <v>42670</v>
      </c>
      <c r="Q12502">
        <v>4</v>
      </c>
      <c r="R12502" t="s">
        <v>42689</v>
      </c>
      <c r="S12502" t="s">
        <v>43598</v>
      </c>
      <c r="T12502" t="s">
        <v>44810</v>
      </c>
      <c r="U12502" t="s">
        <v>55014</v>
      </c>
      <c r="W12502" t="s">
        <v>58125</v>
      </c>
      <c r="X12502" t="s">
        <v>42690</v>
      </c>
    </row>
    <row r="12503" spans="1:24">
      <c r="A12503">
        <f>HYPERLINK("https://www.philgeps.gov.ph/GEPSNONPILOT/Tender/SplashBidNoticeAbstractUI.aspx?menuIndex=3&amp;refID=7155869&amp;Result=3","7155869")</f>
        <v>0</v>
      </c>
      <c r="B12503" t="s">
        <v>2852</v>
      </c>
      <c r="C12503" t="s">
        <v>15485</v>
      </c>
      <c r="D12503" t="s">
        <v>17204</v>
      </c>
      <c r="E12503" t="s">
        <v>27874</v>
      </c>
      <c r="F12503" t="s">
        <v>29372</v>
      </c>
      <c r="G12503" t="s">
        <v>29380</v>
      </c>
      <c r="H12503" t="s">
        <v>29389</v>
      </c>
      <c r="I12503" t="s">
        <v>10408</v>
      </c>
      <c r="J12503" t="s">
        <v>29728</v>
      </c>
      <c r="K12503" t="s">
        <v>38510</v>
      </c>
      <c r="M12503" t="s">
        <v>41845</v>
      </c>
      <c r="N12503" t="s">
        <v>42669</v>
      </c>
      <c r="O12503" t="s">
        <v>42670</v>
      </c>
      <c r="P12503">
        <v>0</v>
      </c>
      <c r="Q12503">
        <v>2</v>
      </c>
      <c r="R12503" t="s">
        <v>42690</v>
      </c>
      <c r="S12503" t="s">
        <v>43574</v>
      </c>
      <c r="T12503" t="s">
        <v>44488</v>
      </c>
      <c r="U12503" t="s">
        <v>55015</v>
      </c>
      <c r="W12503" t="s">
        <v>41845</v>
      </c>
      <c r="X12503" t="s">
        <v>42691</v>
      </c>
    </row>
    <row r="12504" spans="1:24">
      <c r="A12504">
        <f>HYPERLINK("https://www.philgeps.gov.ph/GEPSNONPILOT/Tender/SplashBidNoticeAbstractUI.aspx?menuIndex=3&amp;refID=7155865&amp;Result=3","7155865")</f>
        <v>0</v>
      </c>
      <c r="B12504" t="s">
        <v>3363</v>
      </c>
      <c r="C12504" t="s">
        <v>15486</v>
      </c>
      <c r="E12504" t="s">
        <v>17870</v>
      </c>
      <c r="F12504" t="s">
        <v>29372</v>
      </c>
      <c r="G12504" t="s">
        <v>29380</v>
      </c>
      <c r="H12504" t="s">
        <v>11048</v>
      </c>
      <c r="I12504" t="s">
        <v>4709</v>
      </c>
      <c r="J12504" t="s">
        <v>29587</v>
      </c>
      <c r="K12504" t="s">
        <v>38485</v>
      </c>
      <c r="M12504" t="s">
        <v>42456</v>
      </c>
      <c r="N12504" t="s">
        <v>42669</v>
      </c>
      <c r="O12504" t="s">
        <v>42670</v>
      </c>
      <c r="P12504">
        <v>0</v>
      </c>
      <c r="Q12504">
        <v>0</v>
      </c>
      <c r="R12504" t="s">
        <v>42690</v>
      </c>
      <c r="S12504" t="s">
        <v>43574</v>
      </c>
      <c r="T12504" t="s">
        <v>44563</v>
      </c>
      <c r="U12504" t="s">
        <v>47425</v>
      </c>
      <c r="W12504" t="s">
        <v>42456</v>
      </c>
      <c r="X12504" t="s">
        <v>42691</v>
      </c>
    </row>
    <row r="12505" spans="1:24">
      <c r="A12505">
        <f>HYPERLINK("https://www.philgeps.gov.ph/GEPSNONPILOT/Tender/SplashBidNoticeAbstractUI.aspx?menuIndex=3&amp;refID=7155704&amp;Result=3","7155704")</f>
        <v>0</v>
      </c>
      <c r="B12505" t="s">
        <v>3314</v>
      </c>
      <c r="C12505" t="s">
        <v>15487</v>
      </c>
      <c r="D12505" t="s">
        <v>17153</v>
      </c>
      <c r="E12505" t="s">
        <v>27875</v>
      </c>
      <c r="F12505" t="s">
        <v>29372</v>
      </c>
      <c r="G12505" t="s">
        <v>29380</v>
      </c>
      <c r="H12505" t="s">
        <v>29389</v>
      </c>
      <c r="I12505" t="s">
        <v>10408</v>
      </c>
      <c r="J12505" t="s">
        <v>33376</v>
      </c>
      <c r="K12505" t="s">
        <v>38522</v>
      </c>
      <c r="M12505" t="s">
        <v>42400</v>
      </c>
      <c r="N12505" t="s">
        <v>42669</v>
      </c>
      <c r="O12505" t="s">
        <v>42670</v>
      </c>
      <c r="P12505">
        <v>0</v>
      </c>
      <c r="Q12505">
        <v>12</v>
      </c>
      <c r="R12505" t="s">
        <v>42690</v>
      </c>
      <c r="S12505" t="s">
        <v>43574</v>
      </c>
      <c r="T12505" t="s">
        <v>44488</v>
      </c>
      <c r="U12505" t="s">
        <v>55016</v>
      </c>
      <c r="W12505" t="s">
        <v>42400</v>
      </c>
      <c r="X12505" t="s">
        <v>42691</v>
      </c>
    </row>
    <row r="12506" spans="1:24">
      <c r="A12506">
        <f>HYPERLINK("https://www.philgeps.gov.ph/GEPSNONPILOT/Tender/SplashBidNoticeAbstractUI.aspx?menuIndex=3&amp;refID=7155883&amp;Result=3","7155883")</f>
        <v>0</v>
      </c>
      <c r="B12506" t="s">
        <v>2020</v>
      </c>
      <c r="C12506" t="s">
        <v>15488</v>
      </c>
      <c r="D12506" t="s">
        <v>17177</v>
      </c>
      <c r="E12506" t="s">
        <v>27876</v>
      </c>
      <c r="F12506" t="s">
        <v>29372</v>
      </c>
      <c r="G12506" t="s">
        <v>29380</v>
      </c>
      <c r="H12506" t="s">
        <v>29389</v>
      </c>
      <c r="I12506" t="s">
        <v>10408</v>
      </c>
      <c r="J12506" t="s">
        <v>37422</v>
      </c>
      <c r="K12506" t="s">
        <v>38496</v>
      </c>
      <c r="M12506" t="s">
        <v>41241</v>
      </c>
      <c r="N12506" t="s">
        <v>42669</v>
      </c>
      <c r="O12506" t="s">
        <v>42670</v>
      </c>
      <c r="P12506">
        <v>0</v>
      </c>
      <c r="Q12506">
        <v>0</v>
      </c>
      <c r="R12506" t="s">
        <v>42690</v>
      </c>
      <c r="S12506" t="s">
        <v>43574</v>
      </c>
      <c r="T12506" t="s">
        <v>44371</v>
      </c>
      <c r="U12506" t="s">
        <v>55017</v>
      </c>
      <c r="V12506" t="s">
        <v>57146</v>
      </c>
      <c r="W12506" t="s">
        <v>41241</v>
      </c>
      <c r="X12506" t="s">
        <v>42691</v>
      </c>
    </row>
    <row r="12507" spans="1:24">
      <c r="A12507">
        <f>HYPERLINK("https://www.philgeps.gov.ph/GEPSNONPILOT/Tender/SplashBidNoticeAbstractUI.aspx?menuIndex=3&amp;refID=7154214&amp;Result=3","7154214")</f>
        <v>0</v>
      </c>
      <c r="B12507" t="s">
        <v>3359</v>
      </c>
      <c r="C12507" t="s">
        <v>15489</v>
      </c>
      <c r="E12507" t="s">
        <v>20499</v>
      </c>
      <c r="F12507" t="s">
        <v>29372</v>
      </c>
      <c r="G12507" t="s">
        <v>29380</v>
      </c>
      <c r="H12507" t="s">
        <v>11048</v>
      </c>
      <c r="I12507" t="s">
        <v>29501</v>
      </c>
      <c r="J12507" t="s">
        <v>37423</v>
      </c>
      <c r="K12507" t="s">
        <v>38490</v>
      </c>
      <c r="M12507" t="s">
        <v>42451</v>
      </c>
      <c r="N12507" t="s">
        <v>42669</v>
      </c>
      <c r="O12507" t="s">
        <v>42670</v>
      </c>
      <c r="Q12507">
        <v>9</v>
      </c>
      <c r="R12507" t="s">
        <v>42690</v>
      </c>
      <c r="S12507" t="s">
        <v>43599</v>
      </c>
      <c r="T12507" t="s">
        <v>44427</v>
      </c>
      <c r="U12507" t="s">
        <v>55018</v>
      </c>
      <c r="W12507" t="s">
        <v>58127</v>
      </c>
      <c r="X12507" t="s">
        <v>42692</v>
      </c>
    </row>
    <row r="12508" spans="1:24">
      <c r="A12508">
        <f>HYPERLINK("https://www.philgeps.gov.ph/GEPSNONPILOT/Tender/SplashBidNoticeAbstractUI.aspx?menuIndex=3&amp;refID=7155827&amp;Result=3","7155827")</f>
        <v>0</v>
      </c>
      <c r="B12508" t="s">
        <v>2852</v>
      </c>
      <c r="C12508" t="s">
        <v>15490</v>
      </c>
      <c r="D12508" t="s">
        <v>17204</v>
      </c>
      <c r="E12508" t="s">
        <v>27877</v>
      </c>
      <c r="F12508" t="s">
        <v>29372</v>
      </c>
      <c r="G12508" t="s">
        <v>29380</v>
      </c>
      <c r="H12508" t="s">
        <v>11048</v>
      </c>
      <c r="I12508" t="s">
        <v>9469</v>
      </c>
      <c r="J12508" t="s">
        <v>37424</v>
      </c>
      <c r="K12508" t="s">
        <v>38510</v>
      </c>
      <c r="M12508" t="s">
        <v>41845</v>
      </c>
      <c r="N12508" t="s">
        <v>42669</v>
      </c>
      <c r="O12508" t="s">
        <v>42670</v>
      </c>
      <c r="P12508">
        <v>0</v>
      </c>
      <c r="Q12508">
        <v>3</v>
      </c>
      <c r="R12508" t="s">
        <v>42690</v>
      </c>
      <c r="S12508" t="s">
        <v>43574</v>
      </c>
      <c r="T12508" t="s">
        <v>44488</v>
      </c>
      <c r="U12508" t="s">
        <v>55019</v>
      </c>
      <c r="W12508" t="s">
        <v>41845</v>
      </c>
      <c r="X12508" t="s">
        <v>42691</v>
      </c>
    </row>
    <row r="12509" spans="1:24">
      <c r="A12509">
        <f>HYPERLINK("https://www.philgeps.gov.ph/GEPSNONPILOT/Tender/SplashBidNoticeAbstractUI.aspx?menuIndex=3&amp;refID=7161632&amp;Result=3","7161632")</f>
        <v>0</v>
      </c>
      <c r="B12509" t="s">
        <v>532</v>
      </c>
      <c r="C12509" t="s">
        <v>15491</v>
      </c>
      <c r="D12509" t="s">
        <v>17141</v>
      </c>
      <c r="E12509" t="s">
        <v>27878</v>
      </c>
      <c r="F12509" t="s">
        <v>29372</v>
      </c>
      <c r="G12509" t="s">
        <v>29380</v>
      </c>
      <c r="H12509" t="s">
        <v>29389</v>
      </c>
      <c r="I12509" t="s">
        <v>10408</v>
      </c>
      <c r="J12509" t="s">
        <v>37425</v>
      </c>
      <c r="K12509" t="s">
        <v>38522</v>
      </c>
      <c r="M12509" t="s">
        <v>39299</v>
      </c>
      <c r="N12509" t="s">
        <v>42669</v>
      </c>
      <c r="O12509" t="s">
        <v>42670</v>
      </c>
      <c r="Q12509">
        <v>31</v>
      </c>
      <c r="R12509" t="s">
        <v>42689</v>
      </c>
      <c r="S12509" t="s">
        <v>43600</v>
      </c>
      <c r="T12509" t="s">
        <v>44460</v>
      </c>
      <c r="U12509" t="s">
        <v>55020</v>
      </c>
      <c r="W12509" t="s">
        <v>39299</v>
      </c>
      <c r="X12509" t="s">
        <v>42690</v>
      </c>
    </row>
    <row r="12510" spans="1:24">
      <c r="A12510">
        <f>HYPERLINK("https://www.philgeps.gov.ph/GEPSNONPILOT/Tender/SplashBidNoticeAbstractUI.aspx?menuIndex=3&amp;refID=7155823&amp;Result=3","7155823")</f>
        <v>0</v>
      </c>
      <c r="B12510" t="s">
        <v>2336</v>
      </c>
      <c r="C12510" t="s">
        <v>15492</v>
      </c>
      <c r="D12510" t="s">
        <v>17188</v>
      </c>
      <c r="E12510" t="s">
        <v>27879</v>
      </c>
      <c r="F12510" t="s">
        <v>29372</v>
      </c>
      <c r="G12510" t="s">
        <v>29380</v>
      </c>
      <c r="H12510" t="s">
        <v>11048</v>
      </c>
      <c r="I12510" t="s">
        <v>8614</v>
      </c>
      <c r="J12510" t="s">
        <v>37426</v>
      </c>
      <c r="K12510" t="s">
        <v>38485</v>
      </c>
      <c r="M12510" t="s">
        <v>41269</v>
      </c>
      <c r="N12510" t="s">
        <v>42669</v>
      </c>
      <c r="O12510" t="s">
        <v>42670</v>
      </c>
      <c r="P12510">
        <v>0</v>
      </c>
      <c r="Q12510">
        <v>12</v>
      </c>
      <c r="R12510" t="s">
        <v>42690</v>
      </c>
      <c r="S12510" t="s">
        <v>43574</v>
      </c>
      <c r="T12510" t="s">
        <v>44401</v>
      </c>
      <c r="U12510" t="s">
        <v>53593</v>
      </c>
      <c r="W12510" t="s">
        <v>41269</v>
      </c>
      <c r="X12510" t="s">
        <v>42691</v>
      </c>
    </row>
    <row r="12511" spans="1:24">
      <c r="A12511">
        <f>HYPERLINK("https://www.philgeps.gov.ph/GEPSNONPILOT/Tender/SplashBidNoticeAbstractUI.aspx?menuIndex=3&amp;refID=7155780&amp;Result=3","7155780")</f>
        <v>0</v>
      </c>
      <c r="B12511" t="s">
        <v>3364</v>
      </c>
      <c r="C12511" t="s">
        <v>15493</v>
      </c>
      <c r="D12511" t="s">
        <v>17177</v>
      </c>
      <c r="E12511" t="s">
        <v>27880</v>
      </c>
      <c r="F12511" t="s">
        <v>29372</v>
      </c>
      <c r="G12511" t="s">
        <v>29380</v>
      </c>
      <c r="H12511" t="s">
        <v>11048</v>
      </c>
      <c r="I12511" t="s">
        <v>29395</v>
      </c>
      <c r="J12511" t="s">
        <v>33760</v>
      </c>
      <c r="K12511" t="s">
        <v>38496</v>
      </c>
      <c r="M12511" t="s">
        <v>42457</v>
      </c>
      <c r="N12511" t="s">
        <v>42669</v>
      </c>
      <c r="O12511" t="s">
        <v>42670</v>
      </c>
      <c r="P12511">
        <v>0</v>
      </c>
      <c r="Q12511">
        <v>3</v>
      </c>
      <c r="R12511" t="s">
        <v>42690</v>
      </c>
      <c r="S12511" t="s">
        <v>43574</v>
      </c>
      <c r="T12511" t="s">
        <v>44827</v>
      </c>
      <c r="U12511" t="s">
        <v>55021</v>
      </c>
      <c r="V12511" t="s">
        <v>57420</v>
      </c>
      <c r="W12511" t="s">
        <v>42457</v>
      </c>
      <c r="X12511" t="s">
        <v>42691</v>
      </c>
    </row>
    <row r="12512" spans="1:24">
      <c r="A12512">
        <f>HYPERLINK("https://www.philgeps.gov.ph/GEPSNONPILOT/Tender/SplashBidNoticeAbstractUI.aspx?menuIndex=3&amp;refID=7155840&amp;Result=3","7155840")</f>
        <v>0</v>
      </c>
      <c r="B12512" t="s">
        <v>1515</v>
      </c>
      <c r="C12512" t="s">
        <v>15494</v>
      </c>
      <c r="D12512" t="s">
        <v>17174</v>
      </c>
      <c r="E12512" t="s">
        <v>27881</v>
      </c>
      <c r="F12512" t="s">
        <v>29372</v>
      </c>
      <c r="G12512" t="s">
        <v>29380</v>
      </c>
      <c r="H12512" t="s">
        <v>29389</v>
      </c>
      <c r="I12512" t="s">
        <v>10408</v>
      </c>
      <c r="J12512" t="s">
        <v>37427</v>
      </c>
      <c r="K12512" t="s">
        <v>38522</v>
      </c>
      <c r="M12512" t="s">
        <v>40360</v>
      </c>
      <c r="N12512" t="s">
        <v>42669</v>
      </c>
      <c r="O12512" t="s">
        <v>42670</v>
      </c>
      <c r="P12512">
        <v>0</v>
      </c>
      <c r="Q12512">
        <v>0</v>
      </c>
      <c r="R12512" t="s">
        <v>42690</v>
      </c>
      <c r="S12512" t="s">
        <v>43574</v>
      </c>
      <c r="T12512" t="s">
        <v>44554</v>
      </c>
      <c r="U12512" t="s">
        <v>55022</v>
      </c>
      <c r="W12512" t="s">
        <v>40360</v>
      </c>
      <c r="X12512" t="s">
        <v>42691</v>
      </c>
    </row>
    <row r="12513" spans="1:24">
      <c r="A12513">
        <f>HYPERLINK("https://www.philgeps.gov.ph/GEPSNONPILOT/Tender/SplashBidNoticeAbstractUI.aspx?menuIndex=3&amp;refID=7156003&amp;Result=3","7156003")</f>
        <v>0</v>
      </c>
      <c r="B12513" t="s">
        <v>2020</v>
      </c>
      <c r="C12513" t="s">
        <v>15495</v>
      </c>
      <c r="D12513" t="s">
        <v>17177</v>
      </c>
      <c r="E12513" t="s">
        <v>27882</v>
      </c>
      <c r="F12513" t="s">
        <v>29372</v>
      </c>
      <c r="G12513" t="s">
        <v>29380</v>
      </c>
      <c r="H12513" t="s">
        <v>29389</v>
      </c>
      <c r="I12513" t="s">
        <v>10408</v>
      </c>
      <c r="J12513" t="s">
        <v>37428</v>
      </c>
      <c r="K12513" t="s">
        <v>38496</v>
      </c>
      <c r="M12513" t="s">
        <v>41241</v>
      </c>
      <c r="N12513" t="s">
        <v>42669</v>
      </c>
      <c r="O12513" t="s">
        <v>42670</v>
      </c>
      <c r="P12513">
        <v>0</v>
      </c>
      <c r="Q12513">
        <v>1</v>
      </c>
      <c r="R12513" t="s">
        <v>42690</v>
      </c>
      <c r="S12513" t="s">
        <v>43574</v>
      </c>
      <c r="T12513" t="s">
        <v>44470</v>
      </c>
      <c r="U12513" t="s">
        <v>55017</v>
      </c>
      <c r="V12513" t="s">
        <v>57146</v>
      </c>
      <c r="W12513" t="s">
        <v>41241</v>
      </c>
      <c r="X12513" t="s">
        <v>42691</v>
      </c>
    </row>
    <row r="12514" spans="1:24">
      <c r="A12514">
        <f>HYPERLINK("https://www.philgeps.gov.ph/GEPSNONPILOT/Tender/SplashBidNoticeAbstractUI.aspx?menuIndex=3&amp;refID=7155999&amp;Result=3","7155999")</f>
        <v>0</v>
      </c>
      <c r="B12514" t="s">
        <v>1805</v>
      </c>
      <c r="C12514" t="s">
        <v>15496</v>
      </c>
      <c r="D12514" t="s">
        <v>17194</v>
      </c>
      <c r="E12514" t="s">
        <v>22452</v>
      </c>
      <c r="F12514" t="s">
        <v>29372</v>
      </c>
      <c r="G12514" t="s">
        <v>29380</v>
      </c>
      <c r="H12514" t="s">
        <v>29389</v>
      </c>
      <c r="I12514" t="s">
        <v>10408</v>
      </c>
      <c r="J12514" t="s">
        <v>37429</v>
      </c>
      <c r="K12514" t="s">
        <v>38505</v>
      </c>
      <c r="M12514" t="s">
        <v>40676</v>
      </c>
      <c r="N12514" t="s">
        <v>42669</v>
      </c>
      <c r="O12514" t="s">
        <v>42670</v>
      </c>
      <c r="P12514">
        <v>0</v>
      </c>
      <c r="Q12514">
        <v>4</v>
      </c>
      <c r="R12514" t="s">
        <v>42690</v>
      </c>
      <c r="S12514" t="s">
        <v>43574</v>
      </c>
      <c r="T12514" t="s">
        <v>44401</v>
      </c>
      <c r="U12514" t="s">
        <v>54454</v>
      </c>
      <c r="W12514" t="s">
        <v>40676</v>
      </c>
      <c r="X12514" t="s">
        <v>42691</v>
      </c>
    </row>
    <row r="12515" spans="1:24">
      <c r="A12515">
        <f>HYPERLINK("https://www.philgeps.gov.ph/GEPSNONPILOT/Tender/SplashBidNoticeAbstractUI.aspx?menuIndex=3&amp;refID=7155894&amp;Result=3","7155894")</f>
        <v>0</v>
      </c>
      <c r="B12515" t="s">
        <v>2345</v>
      </c>
      <c r="C12515" t="s">
        <v>15497</v>
      </c>
      <c r="D12515" t="s">
        <v>17168</v>
      </c>
      <c r="E12515" t="s">
        <v>27883</v>
      </c>
      <c r="F12515" t="s">
        <v>29372</v>
      </c>
      <c r="G12515" t="s">
        <v>29380</v>
      </c>
      <c r="H12515" t="s">
        <v>29389</v>
      </c>
      <c r="I12515" t="s">
        <v>4709</v>
      </c>
      <c r="J12515" t="s">
        <v>37430</v>
      </c>
      <c r="K12515" t="s">
        <v>38495</v>
      </c>
      <c r="M12515" t="s">
        <v>41278</v>
      </c>
      <c r="N12515" t="s">
        <v>42669</v>
      </c>
      <c r="O12515" t="s">
        <v>42670</v>
      </c>
      <c r="P12515">
        <v>0</v>
      </c>
      <c r="Q12515">
        <v>4</v>
      </c>
      <c r="R12515" t="s">
        <v>42690</v>
      </c>
      <c r="S12515" t="s">
        <v>43574</v>
      </c>
      <c r="T12515" t="s">
        <v>44512</v>
      </c>
      <c r="U12515" t="s">
        <v>55023</v>
      </c>
      <c r="W12515" t="s">
        <v>41278</v>
      </c>
      <c r="X12515" t="s">
        <v>42691</v>
      </c>
    </row>
    <row r="12516" spans="1:24">
      <c r="A12516">
        <f>HYPERLINK("https://www.philgeps.gov.ph/GEPSNONPILOT/Tender/SplashBidNoticeAbstractUI.aspx?menuIndex=3&amp;refID=7155989&amp;Result=3","7155989")</f>
        <v>0</v>
      </c>
      <c r="B12516" t="s">
        <v>455</v>
      </c>
      <c r="C12516" t="s">
        <v>15498</v>
      </c>
      <c r="D12516" t="s">
        <v>17157</v>
      </c>
      <c r="E12516" t="s">
        <v>27884</v>
      </c>
      <c r="F12516" t="s">
        <v>29372</v>
      </c>
      <c r="G12516" t="s">
        <v>29380</v>
      </c>
      <c r="H12516" t="s">
        <v>29389</v>
      </c>
      <c r="I12516" t="s">
        <v>10408</v>
      </c>
      <c r="J12516" t="s">
        <v>29543</v>
      </c>
      <c r="K12516" t="s">
        <v>38495</v>
      </c>
      <c r="M12516" t="s">
        <v>39219</v>
      </c>
      <c r="N12516" t="s">
        <v>42669</v>
      </c>
      <c r="O12516" t="s">
        <v>42670</v>
      </c>
      <c r="P12516">
        <v>0</v>
      </c>
      <c r="Q12516">
        <v>0</v>
      </c>
      <c r="R12516" t="s">
        <v>42690</v>
      </c>
      <c r="S12516" t="s">
        <v>43574</v>
      </c>
      <c r="T12516" t="s">
        <v>44427</v>
      </c>
      <c r="U12516" t="s">
        <v>53571</v>
      </c>
      <c r="V12516" t="s">
        <v>57805</v>
      </c>
      <c r="W12516" t="s">
        <v>39219</v>
      </c>
      <c r="X12516" t="s">
        <v>42691</v>
      </c>
    </row>
    <row r="12517" spans="1:24">
      <c r="A12517">
        <f>HYPERLINK("https://www.philgeps.gov.ph/GEPSNONPILOT/Tender/SplashBidNoticeAbstractUI.aspx?menuIndex=3&amp;refID=7155985&amp;Result=3","7155985")</f>
        <v>0</v>
      </c>
      <c r="B12517" t="s">
        <v>3365</v>
      </c>
      <c r="C12517" t="s">
        <v>15499</v>
      </c>
      <c r="D12517" t="s">
        <v>17177</v>
      </c>
      <c r="E12517" t="s">
        <v>17648</v>
      </c>
      <c r="F12517" t="s">
        <v>29372</v>
      </c>
      <c r="G12517" t="s">
        <v>29380</v>
      </c>
      <c r="H12517" t="s">
        <v>29389</v>
      </c>
      <c r="I12517" t="s">
        <v>10408</v>
      </c>
      <c r="J12517" t="s">
        <v>34236</v>
      </c>
      <c r="K12517" t="s">
        <v>38489</v>
      </c>
      <c r="M12517" t="s">
        <v>42458</v>
      </c>
      <c r="N12517" t="s">
        <v>42669</v>
      </c>
      <c r="O12517" t="s">
        <v>42670</v>
      </c>
      <c r="P12517">
        <v>0</v>
      </c>
      <c r="Q12517">
        <v>1</v>
      </c>
      <c r="R12517" t="s">
        <v>42690</v>
      </c>
      <c r="S12517" t="s">
        <v>43574</v>
      </c>
      <c r="T12517" t="s">
        <v>44393</v>
      </c>
      <c r="U12517" t="s">
        <v>55024</v>
      </c>
      <c r="W12517" t="s">
        <v>42458</v>
      </c>
      <c r="X12517" t="s">
        <v>42691</v>
      </c>
    </row>
    <row r="12518" spans="1:24">
      <c r="A12518">
        <f>HYPERLINK("https://www.philgeps.gov.ph/GEPSNONPILOT/Tender/SplashBidNoticeAbstractUI.aspx?menuIndex=3&amp;refID=7155861&amp;Result=3","7155861")</f>
        <v>0</v>
      </c>
      <c r="B12518" t="s">
        <v>455</v>
      </c>
      <c r="C12518" t="s">
        <v>15500</v>
      </c>
      <c r="D12518" t="s">
        <v>17157</v>
      </c>
      <c r="E12518" t="s">
        <v>27885</v>
      </c>
      <c r="F12518" t="s">
        <v>29372</v>
      </c>
      <c r="G12518" t="s">
        <v>29380</v>
      </c>
      <c r="H12518" t="s">
        <v>29389</v>
      </c>
      <c r="I12518" t="s">
        <v>10408</v>
      </c>
      <c r="J12518" t="s">
        <v>29829</v>
      </c>
      <c r="K12518" t="s">
        <v>38522</v>
      </c>
      <c r="M12518" t="s">
        <v>39219</v>
      </c>
      <c r="N12518" t="s">
        <v>42669</v>
      </c>
      <c r="O12518" t="s">
        <v>42670</v>
      </c>
      <c r="P12518">
        <v>0</v>
      </c>
      <c r="Q12518">
        <v>0</v>
      </c>
      <c r="R12518" t="s">
        <v>42690</v>
      </c>
      <c r="S12518" t="s">
        <v>43574</v>
      </c>
      <c r="T12518" t="s">
        <v>44427</v>
      </c>
      <c r="U12518" t="s">
        <v>53571</v>
      </c>
      <c r="V12518" t="s">
        <v>57806</v>
      </c>
      <c r="W12518" t="s">
        <v>39219</v>
      </c>
      <c r="X12518" t="s">
        <v>42691</v>
      </c>
    </row>
    <row r="12519" spans="1:24">
      <c r="A12519">
        <f>HYPERLINK("https://www.philgeps.gov.ph/GEPSNONPILOT/Tender/SplashBidNoticeAbstractUI.aspx?menuIndex=3&amp;refID=7155984&amp;Result=3","7155984")</f>
        <v>0</v>
      </c>
      <c r="B12519" t="s">
        <v>2071</v>
      </c>
      <c r="C12519" t="s">
        <v>15501</v>
      </c>
      <c r="D12519" t="s">
        <v>17210</v>
      </c>
      <c r="E12519" t="s">
        <v>27886</v>
      </c>
      <c r="F12519" t="s">
        <v>29372</v>
      </c>
      <c r="G12519" t="s">
        <v>29380</v>
      </c>
      <c r="H12519" t="s">
        <v>11048</v>
      </c>
      <c r="I12519" t="s">
        <v>9469</v>
      </c>
      <c r="J12519" t="s">
        <v>29789</v>
      </c>
      <c r="K12519" t="s">
        <v>38490</v>
      </c>
      <c r="M12519" t="s">
        <v>40969</v>
      </c>
      <c r="N12519" t="s">
        <v>42669</v>
      </c>
      <c r="O12519" t="s">
        <v>42670</v>
      </c>
      <c r="P12519">
        <v>0</v>
      </c>
      <c r="Q12519">
        <v>3</v>
      </c>
      <c r="R12519" t="s">
        <v>42690</v>
      </c>
      <c r="S12519" t="s">
        <v>43574</v>
      </c>
      <c r="T12519" t="s">
        <v>44387</v>
      </c>
      <c r="U12519" t="s">
        <v>55025</v>
      </c>
      <c r="W12519" t="s">
        <v>40969</v>
      </c>
      <c r="X12519" t="s">
        <v>42691</v>
      </c>
    </row>
    <row r="12520" spans="1:24">
      <c r="A12520">
        <f>HYPERLINK("https://www.philgeps.gov.ph/GEPSNONPILOT/Tender/SplashBidNoticeAbstractUI.aspx?menuIndex=3&amp;refID=7155979&amp;Result=3","7155979")</f>
        <v>0</v>
      </c>
      <c r="B12520" t="s">
        <v>455</v>
      </c>
      <c r="C12520" t="s">
        <v>15502</v>
      </c>
      <c r="D12520" t="s">
        <v>17157</v>
      </c>
      <c r="E12520" t="s">
        <v>27887</v>
      </c>
      <c r="F12520" t="s">
        <v>29372</v>
      </c>
      <c r="G12520" t="s">
        <v>29380</v>
      </c>
      <c r="H12520" t="s">
        <v>29389</v>
      </c>
      <c r="I12520" t="s">
        <v>10408</v>
      </c>
      <c r="J12520" t="s">
        <v>30308</v>
      </c>
      <c r="K12520" t="s">
        <v>38495</v>
      </c>
      <c r="M12520" t="s">
        <v>39219</v>
      </c>
      <c r="N12520" t="s">
        <v>42669</v>
      </c>
      <c r="O12520" t="s">
        <v>42670</v>
      </c>
      <c r="P12520">
        <v>0</v>
      </c>
      <c r="Q12520">
        <v>0</v>
      </c>
      <c r="R12520" t="s">
        <v>42690</v>
      </c>
      <c r="S12520" t="s">
        <v>43574</v>
      </c>
      <c r="T12520" t="s">
        <v>44427</v>
      </c>
      <c r="U12520" t="s">
        <v>53571</v>
      </c>
      <c r="V12520" t="s">
        <v>57807</v>
      </c>
      <c r="W12520" t="s">
        <v>39219</v>
      </c>
      <c r="X12520" t="s">
        <v>42691</v>
      </c>
    </row>
    <row r="12521" spans="1:24">
      <c r="A12521">
        <f>HYPERLINK("https://www.philgeps.gov.ph/GEPSNONPILOT/Tender/SplashBidNoticeAbstractUI.aspx?menuIndex=3&amp;refID=7155970&amp;Result=3","7155970")</f>
        <v>0</v>
      </c>
      <c r="B12521" t="s">
        <v>1201</v>
      </c>
      <c r="C12521" t="s">
        <v>15503</v>
      </c>
      <c r="D12521" t="s">
        <v>17170</v>
      </c>
      <c r="E12521" t="s">
        <v>19402</v>
      </c>
      <c r="F12521" t="s">
        <v>29372</v>
      </c>
      <c r="G12521" t="s">
        <v>29380</v>
      </c>
      <c r="H12521" t="s">
        <v>11048</v>
      </c>
      <c r="I12521" t="s">
        <v>9469</v>
      </c>
      <c r="J12521" t="s">
        <v>29728</v>
      </c>
      <c r="K12521" t="s">
        <v>38485</v>
      </c>
      <c r="M12521" t="s">
        <v>40018</v>
      </c>
      <c r="N12521" t="s">
        <v>42669</v>
      </c>
      <c r="O12521" t="s">
        <v>42670</v>
      </c>
      <c r="Q12521">
        <v>3</v>
      </c>
      <c r="R12521" t="s">
        <v>42690</v>
      </c>
      <c r="S12521" t="s">
        <v>43037</v>
      </c>
      <c r="T12521" t="s">
        <v>44374</v>
      </c>
      <c r="U12521" t="s">
        <v>55026</v>
      </c>
      <c r="W12521" t="s">
        <v>40018</v>
      </c>
      <c r="X12521" t="s">
        <v>42691</v>
      </c>
    </row>
    <row r="12522" spans="1:24">
      <c r="A12522">
        <f>HYPERLINK("https://www.philgeps.gov.ph/GEPSNONPILOT/Tender/SplashBidNoticeAbstractUI.aspx?menuIndex=3&amp;refID=7155783&amp;Result=3","7155783")</f>
        <v>0</v>
      </c>
      <c r="B12522" t="s">
        <v>3363</v>
      </c>
      <c r="C12522" t="s">
        <v>15504</v>
      </c>
      <c r="D12522" t="s">
        <v>17188</v>
      </c>
      <c r="E12522" t="s">
        <v>17347</v>
      </c>
      <c r="F12522" t="s">
        <v>29372</v>
      </c>
      <c r="G12522" t="s">
        <v>29380</v>
      </c>
      <c r="H12522" t="s">
        <v>11048</v>
      </c>
      <c r="I12522" t="s">
        <v>4709</v>
      </c>
      <c r="J12522" t="s">
        <v>29590</v>
      </c>
      <c r="K12522" t="s">
        <v>38485</v>
      </c>
      <c r="M12522" t="s">
        <v>42456</v>
      </c>
      <c r="N12522" t="s">
        <v>42669</v>
      </c>
      <c r="O12522" t="s">
        <v>42670</v>
      </c>
      <c r="P12522">
        <v>0</v>
      </c>
      <c r="Q12522">
        <v>0</v>
      </c>
      <c r="R12522" t="s">
        <v>42690</v>
      </c>
      <c r="S12522" t="s">
        <v>43574</v>
      </c>
      <c r="T12522" t="s">
        <v>44503</v>
      </c>
      <c r="U12522" t="s">
        <v>47425</v>
      </c>
      <c r="W12522" t="s">
        <v>42456</v>
      </c>
      <c r="X12522" t="s">
        <v>42691</v>
      </c>
    </row>
    <row r="12523" spans="1:24">
      <c r="A12523">
        <f>HYPERLINK("https://www.philgeps.gov.ph/GEPSNONPILOT/Tender/SplashBidNoticeAbstractUI.aspx?menuIndex=3&amp;refID=7155965&amp;Result=3","7155965")</f>
        <v>0</v>
      </c>
      <c r="B12523" t="s">
        <v>1334</v>
      </c>
      <c r="C12523" t="s">
        <v>15505</v>
      </c>
      <c r="D12523" t="s">
        <v>17182</v>
      </c>
      <c r="E12523" t="s">
        <v>27888</v>
      </c>
      <c r="F12523" t="s">
        <v>29372</v>
      </c>
      <c r="G12523" t="s">
        <v>29380</v>
      </c>
      <c r="H12523" t="s">
        <v>11048</v>
      </c>
      <c r="I12523" t="s">
        <v>29451</v>
      </c>
      <c r="J12523" t="s">
        <v>37431</v>
      </c>
      <c r="K12523" t="s">
        <v>38510</v>
      </c>
      <c r="M12523" t="s">
        <v>42459</v>
      </c>
      <c r="N12523" t="s">
        <v>42669</v>
      </c>
      <c r="O12523" t="s">
        <v>42670</v>
      </c>
      <c r="P12523">
        <v>0</v>
      </c>
      <c r="Q12523">
        <v>7</v>
      </c>
      <c r="R12523" t="s">
        <v>42690</v>
      </c>
      <c r="S12523" t="s">
        <v>43574</v>
      </c>
      <c r="T12523" t="s">
        <v>44361</v>
      </c>
      <c r="U12523" t="s">
        <v>55027</v>
      </c>
      <c r="W12523" t="s">
        <v>42459</v>
      </c>
      <c r="X12523" t="s">
        <v>42691</v>
      </c>
    </row>
    <row r="12524" spans="1:24">
      <c r="A12524">
        <f>HYPERLINK("https://www.philgeps.gov.ph/GEPSNONPILOT/Tender/SplashBidNoticeAbstractUI.aspx?menuIndex=3&amp;refID=7155968&amp;Result=3","7155968")</f>
        <v>0</v>
      </c>
      <c r="B12524" t="s">
        <v>2345</v>
      </c>
      <c r="C12524" t="s">
        <v>15506</v>
      </c>
      <c r="D12524" t="s">
        <v>17168</v>
      </c>
      <c r="E12524" t="s">
        <v>27889</v>
      </c>
      <c r="F12524" t="s">
        <v>29372</v>
      </c>
      <c r="G12524" t="s">
        <v>29380</v>
      </c>
      <c r="H12524" t="s">
        <v>29389</v>
      </c>
      <c r="I12524" t="s">
        <v>10408</v>
      </c>
      <c r="J12524" t="s">
        <v>29543</v>
      </c>
      <c r="K12524" t="s">
        <v>38495</v>
      </c>
      <c r="M12524" t="s">
        <v>41278</v>
      </c>
      <c r="N12524" t="s">
        <v>42669</v>
      </c>
      <c r="O12524" t="s">
        <v>42670</v>
      </c>
      <c r="P12524">
        <v>0</v>
      </c>
      <c r="Q12524">
        <v>3</v>
      </c>
      <c r="R12524" t="s">
        <v>42690</v>
      </c>
      <c r="S12524" t="s">
        <v>43574</v>
      </c>
      <c r="T12524" t="s">
        <v>44512</v>
      </c>
      <c r="U12524" t="s">
        <v>55028</v>
      </c>
      <c r="W12524" t="s">
        <v>41278</v>
      </c>
      <c r="X12524" t="s">
        <v>42691</v>
      </c>
    </row>
    <row r="12525" spans="1:24">
      <c r="A12525">
        <f>HYPERLINK("https://www.philgeps.gov.ph/GEPSNONPILOT/Tender/SplashBidNoticeAbstractUI.aspx?menuIndex=3&amp;refID=7155860&amp;Result=3","7155860")</f>
        <v>0</v>
      </c>
      <c r="B12525" t="s">
        <v>808</v>
      </c>
      <c r="C12525" t="s">
        <v>15507</v>
      </c>
      <c r="D12525" t="s">
        <v>17173</v>
      </c>
      <c r="E12525" t="s">
        <v>27890</v>
      </c>
      <c r="F12525" t="s">
        <v>29372</v>
      </c>
      <c r="G12525" t="s">
        <v>29379</v>
      </c>
      <c r="H12525" t="s">
        <v>29389</v>
      </c>
      <c r="I12525" t="s">
        <v>10408</v>
      </c>
      <c r="J12525" t="s">
        <v>37432</v>
      </c>
      <c r="K12525" t="s">
        <v>38485</v>
      </c>
      <c r="M12525" t="s">
        <v>39594</v>
      </c>
      <c r="N12525" t="s">
        <v>42669</v>
      </c>
      <c r="O12525" t="s">
        <v>42670</v>
      </c>
      <c r="Q12525">
        <v>2</v>
      </c>
      <c r="R12525" t="s">
        <v>42690</v>
      </c>
      <c r="S12525" t="s">
        <v>43601</v>
      </c>
      <c r="T12525" t="s">
        <v>44488</v>
      </c>
      <c r="U12525" t="s">
        <v>55029</v>
      </c>
      <c r="W12525" t="s">
        <v>39594</v>
      </c>
      <c r="X12525" t="s">
        <v>42691</v>
      </c>
    </row>
    <row r="12526" spans="1:24">
      <c r="A12526">
        <f>HYPERLINK("https://www.philgeps.gov.ph/GEPSNONPILOT/Tender/SplashBidNoticeAbstractUI.aspx?menuIndex=3&amp;refID=7155963&amp;Result=3","7155963")</f>
        <v>0</v>
      </c>
      <c r="B12526" t="s">
        <v>455</v>
      </c>
      <c r="C12526" t="s">
        <v>15508</v>
      </c>
      <c r="D12526" t="s">
        <v>17157</v>
      </c>
      <c r="E12526" t="s">
        <v>27891</v>
      </c>
      <c r="F12526" t="s">
        <v>29372</v>
      </c>
      <c r="G12526" t="s">
        <v>29380</v>
      </c>
      <c r="H12526" t="s">
        <v>29389</v>
      </c>
      <c r="I12526" t="s">
        <v>10408</v>
      </c>
      <c r="J12526" t="s">
        <v>29543</v>
      </c>
      <c r="K12526" t="s">
        <v>38487</v>
      </c>
      <c r="M12526" t="s">
        <v>39219</v>
      </c>
      <c r="N12526" t="s">
        <v>42669</v>
      </c>
      <c r="O12526" t="s">
        <v>42670</v>
      </c>
      <c r="P12526">
        <v>0</v>
      </c>
      <c r="Q12526">
        <v>0</v>
      </c>
      <c r="R12526" t="s">
        <v>42690</v>
      </c>
      <c r="S12526" t="s">
        <v>43574</v>
      </c>
      <c r="T12526" t="s">
        <v>44427</v>
      </c>
      <c r="U12526" t="s">
        <v>53571</v>
      </c>
      <c r="V12526" t="s">
        <v>57805</v>
      </c>
      <c r="W12526" t="s">
        <v>39219</v>
      </c>
      <c r="X12526" t="s">
        <v>42691</v>
      </c>
    </row>
    <row r="12527" spans="1:24">
      <c r="A12527">
        <f>HYPERLINK("https://www.philgeps.gov.ph/GEPSNONPILOT/Tender/SplashBidNoticeAbstractUI.aspx?menuIndex=3&amp;refID=7155953&amp;Result=3","7155953")</f>
        <v>0</v>
      </c>
      <c r="B12527" t="s">
        <v>2852</v>
      </c>
      <c r="C12527" t="s">
        <v>15509</v>
      </c>
      <c r="D12527" t="s">
        <v>17204</v>
      </c>
      <c r="E12527" t="s">
        <v>27892</v>
      </c>
      <c r="F12527" t="s">
        <v>29372</v>
      </c>
      <c r="G12527" t="s">
        <v>29380</v>
      </c>
      <c r="H12527" t="s">
        <v>29389</v>
      </c>
      <c r="I12527" t="s">
        <v>10408</v>
      </c>
      <c r="J12527" t="s">
        <v>37433</v>
      </c>
      <c r="K12527" t="s">
        <v>38510</v>
      </c>
      <c r="M12527" t="s">
        <v>41845</v>
      </c>
      <c r="N12527" t="s">
        <v>42669</v>
      </c>
      <c r="O12527" t="s">
        <v>42670</v>
      </c>
      <c r="Q12527">
        <v>2</v>
      </c>
      <c r="R12527" t="s">
        <v>42690</v>
      </c>
      <c r="S12527" t="s">
        <v>43602</v>
      </c>
      <c r="T12527" t="s">
        <v>44401</v>
      </c>
      <c r="U12527" t="s">
        <v>55030</v>
      </c>
      <c r="W12527" t="s">
        <v>41845</v>
      </c>
      <c r="X12527" t="s">
        <v>42691</v>
      </c>
    </row>
    <row r="12528" spans="1:24">
      <c r="A12528">
        <f>HYPERLINK("https://www.philgeps.gov.ph/GEPSNONPILOT/Tender/SplashBidNoticeAbstractUI.aspx?menuIndex=3&amp;refID=7155935&amp;Result=3","7155935")</f>
        <v>0</v>
      </c>
      <c r="B12528" t="s">
        <v>2020</v>
      </c>
      <c r="C12528" t="s">
        <v>15510</v>
      </c>
      <c r="D12528" t="s">
        <v>17177</v>
      </c>
      <c r="E12528" t="s">
        <v>27893</v>
      </c>
      <c r="F12528" t="s">
        <v>29372</v>
      </c>
      <c r="G12528" t="s">
        <v>29380</v>
      </c>
      <c r="H12528" t="s">
        <v>29389</v>
      </c>
      <c r="I12528" t="s">
        <v>10408</v>
      </c>
      <c r="J12528" t="s">
        <v>37434</v>
      </c>
      <c r="K12528" t="s">
        <v>38496</v>
      </c>
      <c r="M12528" t="s">
        <v>41241</v>
      </c>
      <c r="N12528" t="s">
        <v>42669</v>
      </c>
      <c r="O12528" t="s">
        <v>42670</v>
      </c>
      <c r="P12528">
        <v>0</v>
      </c>
      <c r="Q12528">
        <v>1</v>
      </c>
      <c r="R12528" t="s">
        <v>42690</v>
      </c>
      <c r="S12528" t="s">
        <v>43574</v>
      </c>
      <c r="T12528" t="s">
        <v>44470</v>
      </c>
      <c r="U12528" t="s">
        <v>55017</v>
      </c>
      <c r="V12528" t="s">
        <v>57146</v>
      </c>
      <c r="W12528" t="s">
        <v>41241</v>
      </c>
      <c r="X12528" t="s">
        <v>42691</v>
      </c>
    </row>
    <row r="12529" spans="1:24">
      <c r="A12529">
        <f>HYPERLINK("https://www.philgeps.gov.ph/GEPSNONPILOT/Tender/SplashBidNoticeAbstractUI.aspx?menuIndex=3&amp;refID=7155978&amp;Result=3","7155978")</f>
        <v>0</v>
      </c>
      <c r="B12529" t="s">
        <v>3366</v>
      </c>
      <c r="C12529" t="s">
        <v>15511</v>
      </c>
      <c r="D12529" t="s">
        <v>17164</v>
      </c>
      <c r="E12529" t="s">
        <v>27894</v>
      </c>
      <c r="F12529" t="s">
        <v>29372</v>
      </c>
      <c r="G12529" t="s">
        <v>29380</v>
      </c>
      <c r="H12529" t="s">
        <v>11048</v>
      </c>
      <c r="I12529" t="s">
        <v>9469</v>
      </c>
      <c r="J12529" t="s">
        <v>31893</v>
      </c>
      <c r="K12529" t="s">
        <v>38487</v>
      </c>
      <c r="M12529" t="s">
        <v>42460</v>
      </c>
      <c r="N12529" t="s">
        <v>42669</v>
      </c>
      <c r="O12529" t="s">
        <v>42670</v>
      </c>
      <c r="P12529">
        <v>0</v>
      </c>
      <c r="Q12529">
        <v>9</v>
      </c>
      <c r="R12529" t="s">
        <v>42690</v>
      </c>
      <c r="S12529" t="s">
        <v>43574</v>
      </c>
      <c r="T12529" t="s">
        <v>44744</v>
      </c>
      <c r="U12529" t="s">
        <v>55031</v>
      </c>
      <c r="W12529" t="s">
        <v>42460</v>
      </c>
      <c r="X12529" t="s">
        <v>42691</v>
      </c>
    </row>
    <row r="12530" spans="1:24">
      <c r="A12530">
        <f>HYPERLINK("https://www.philgeps.gov.ph/GEPSNONPILOT/Tender/SplashBidNoticeAbstractUI.aspx?menuIndex=3&amp;refID=7155821&amp;Result=3","7155821")</f>
        <v>0</v>
      </c>
      <c r="B12530" t="s">
        <v>43</v>
      </c>
      <c r="C12530" t="s">
        <v>15512</v>
      </c>
      <c r="D12530" t="s">
        <v>17143</v>
      </c>
      <c r="E12530" t="s">
        <v>27895</v>
      </c>
      <c r="F12530" t="s">
        <v>29372</v>
      </c>
      <c r="G12530" t="s">
        <v>29380</v>
      </c>
      <c r="H12530" t="s">
        <v>11048</v>
      </c>
      <c r="I12530" t="s">
        <v>29412</v>
      </c>
      <c r="J12530" t="s">
        <v>30056</v>
      </c>
      <c r="K12530" t="s">
        <v>38485</v>
      </c>
      <c r="M12530" t="s">
        <v>38796</v>
      </c>
      <c r="N12530" t="s">
        <v>42669</v>
      </c>
      <c r="O12530" t="s">
        <v>42670</v>
      </c>
      <c r="P12530">
        <v>0</v>
      </c>
      <c r="Q12530">
        <v>4</v>
      </c>
      <c r="R12530" t="s">
        <v>42690</v>
      </c>
      <c r="S12530" t="s">
        <v>43574</v>
      </c>
      <c r="T12530" t="s">
        <v>44560</v>
      </c>
      <c r="U12530" t="s">
        <v>55032</v>
      </c>
      <c r="W12530" t="s">
        <v>38796</v>
      </c>
      <c r="X12530" t="s">
        <v>42691</v>
      </c>
    </row>
    <row r="12531" spans="1:24">
      <c r="A12531">
        <f>HYPERLINK("https://www.philgeps.gov.ph/GEPSNONPILOT/Tender/SplashBidNoticeAbstractUI.aspx?menuIndex=3&amp;refID=7156007&amp;Result=3","7156007")</f>
        <v>0</v>
      </c>
      <c r="B12531" t="s">
        <v>455</v>
      </c>
      <c r="C12531" t="s">
        <v>15513</v>
      </c>
      <c r="D12531" t="s">
        <v>17157</v>
      </c>
      <c r="E12531" t="s">
        <v>27896</v>
      </c>
      <c r="F12531" t="s">
        <v>29372</v>
      </c>
      <c r="G12531" t="s">
        <v>29380</v>
      </c>
      <c r="H12531" t="s">
        <v>29389</v>
      </c>
      <c r="I12531" t="s">
        <v>10408</v>
      </c>
      <c r="J12531" t="s">
        <v>29543</v>
      </c>
      <c r="K12531" t="s">
        <v>38485</v>
      </c>
      <c r="M12531" t="s">
        <v>39219</v>
      </c>
      <c r="N12531" t="s">
        <v>42669</v>
      </c>
      <c r="O12531" t="s">
        <v>42670</v>
      </c>
      <c r="P12531">
        <v>0</v>
      </c>
      <c r="Q12531">
        <v>1</v>
      </c>
      <c r="R12531" t="s">
        <v>42690</v>
      </c>
      <c r="S12531" t="s">
        <v>43574</v>
      </c>
      <c r="T12531" t="s">
        <v>44427</v>
      </c>
      <c r="U12531" t="s">
        <v>53571</v>
      </c>
      <c r="V12531" t="s">
        <v>57805</v>
      </c>
      <c r="W12531" t="s">
        <v>39219</v>
      </c>
      <c r="X12531" t="s">
        <v>42691</v>
      </c>
    </row>
    <row r="12532" spans="1:24">
      <c r="A12532">
        <f>HYPERLINK("https://www.philgeps.gov.ph/GEPSNONPILOT/Tender/SplashBidNoticeAbstractUI.aspx?menuIndex=3&amp;refID=7156047&amp;Result=3","7156047")</f>
        <v>0</v>
      </c>
      <c r="B12532" t="s">
        <v>3367</v>
      </c>
      <c r="C12532" t="s">
        <v>15514</v>
      </c>
      <c r="D12532" t="s">
        <v>17188</v>
      </c>
      <c r="E12532" t="s">
        <v>17755</v>
      </c>
      <c r="F12532" t="s">
        <v>29372</v>
      </c>
      <c r="G12532" t="s">
        <v>29380</v>
      </c>
      <c r="H12532" t="s">
        <v>11048</v>
      </c>
      <c r="I12532" t="s">
        <v>4709</v>
      </c>
      <c r="J12532" t="s">
        <v>29820</v>
      </c>
      <c r="K12532" t="s">
        <v>38485</v>
      </c>
      <c r="M12532" t="s">
        <v>42461</v>
      </c>
      <c r="N12532" t="s">
        <v>42669</v>
      </c>
      <c r="O12532" t="s">
        <v>42670</v>
      </c>
      <c r="P12532">
        <v>0</v>
      </c>
      <c r="Q12532">
        <v>0</v>
      </c>
      <c r="R12532" t="s">
        <v>42690</v>
      </c>
      <c r="S12532" t="s">
        <v>43574</v>
      </c>
      <c r="T12532" t="s">
        <v>44503</v>
      </c>
      <c r="U12532" t="s">
        <v>47425</v>
      </c>
      <c r="W12532" t="s">
        <v>42461</v>
      </c>
      <c r="X12532" t="s">
        <v>42691</v>
      </c>
    </row>
    <row r="12533" spans="1:24">
      <c r="A12533">
        <f>HYPERLINK("https://www.philgeps.gov.ph/GEPSNONPILOT/Tender/SplashBidNoticeAbstractUI.aspx?menuIndex=3&amp;refID=7156097&amp;Result=3","7156097")</f>
        <v>0</v>
      </c>
      <c r="B12533" t="s">
        <v>646</v>
      </c>
      <c r="C12533" t="s">
        <v>9467</v>
      </c>
      <c r="D12533" t="s">
        <v>17164</v>
      </c>
      <c r="E12533" t="s">
        <v>27897</v>
      </c>
      <c r="F12533" t="s">
        <v>29372</v>
      </c>
      <c r="G12533" t="s">
        <v>29380</v>
      </c>
      <c r="H12533" t="s">
        <v>11048</v>
      </c>
      <c r="I12533" t="s">
        <v>3695</v>
      </c>
      <c r="J12533" t="s">
        <v>37435</v>
      </c>
      <c r="K12533" t="s">
        <v>38491</v>
      </c>
      <c r="M12533" t="s">
        <v>39419</v>
      </c>
      <c r="N12533" t="s">
        <v>42669</v>
      </c>
      <c r="O12533" t="s">
        <v>42670</v>
      </c>
      <c r="Q12533">
        <v>9</v>
      </c>
      <c r="R12533" t="s">
        <v>42690</v>
      </c>
      <c r="S12533" t="s">
        <v>43603</v>
      </c>
      <c r="T12533" t="s">
        <v>44394</v>
      </c>
      <c r="U12533" t="s">
        <v>55033</v>
      </c>
      <c r="W12533" t="s">
        <v>39419</v>
      </c>
      <c r="X12533" t="s">
        <v>42691</v>
      </c>
    </row>
    <row r="12534" spans="1:24">
      <c r="A12534">
        <f>HYPERLINK("https://www.philgeps.gov.ph/GEPSNONPILOT/Tender/SplashBidNoticeAbstractUI.aspx?menuIndex=3&amp;refID=7155957&amp;Result=3","7155957")</f>
        <v>0</v>
      </c>
      <c r="B12534" t="s">
        <v>717</v>
      </c>
      <c r="C12534" t="s">
        <v>15515</v>
      </c>
      <c r="D12534" t="s">
        <v>17171</v>
      </c>
      <c r="E12534" t="s">
        <v>27898</v>
      </c>
      <c r="F12534" t="s">
        <v>29372</v>
      </c>
      <c r="G12534" t="s">
        <v>29380</v>
      </c>
      <c r="H12534" t="s">
        <v>11048</v>
      </c>
      <c r="I12534" t="s">
        <v>3839</v>
      </c>
      <c r="J12534" t="s">
        <v>32295</v>
      </c>
      <c r="K12534" t="s">
        <v>38490</v>
      </c>
      <c r="M12534" t="s">
        <v>39496</v>
      </c>
      <c r="N12534" t="s">
        <v>42669</v>
      </c>
      <c r="O12534" t="s">
        <v>42670</v>
      </c>
      <c r="P12534">
        <v>0</v>
      </c>
      <c r="Q12534">
        <v>3</v>
      </c>
      <c r="R12534" t="s">
        <v>42690</v>
      </c>
      <c r="S12534" t="s">
        <v>43574</v>
      </c>
      <c r="T12534" t="s">
        <v>44425</v>
      </c>
      <c r="U12534" t="s">
        <v>55034</v>
      </c>
      <c r="W12534" t="s">
        <v>39496</v>
      </c>
      <c r="X12534" t="s">
        <v>42691</v>
      </c>
    </row>
    <row r="12535" spans="1:24">
      <c r="A12535">
        <f>HYPERLINK("https://www.philgeps.gov.ph/GEPSNONPILOT/Tender/SplashBidNoticeAbstractUI.aspx?menuIndex=3&amp;refID=7161205&amp;Result=3","7161205")</f>
        <v>0</v>
      </c>
      <c r="B12535" t="s">
        <v>3273</v>
      </c>
      <c r="C12535" t="s">
        <v>15516</v>
      </c>
      <c r="D12535" t="s">
        <v>17195</v>
      </c>
      <c r="E12535" t="s">
        <v>27899</v>
      </c>
      <c r="F12535" t="s">
        <v>29372</v>
      </c>
      <c r="G12535" t="s">
        <v>29380</v>
      </c>
      <c r="H12535" t="s">
        <v>11048</v>
      </c>
      <c r="I12535" t="s">
        <v>4709</v>
      </c>
      <c r="J12535" t="s">
        <v>37436</v>
      </c>
      <c r="K12535" t="s">
        <v>38488</v>
      </c>
      <c r="M12535" t="s">
        <v>42345</v>
      </c>
      <c r="N12535" t="s">
        <v>42669</v>
      </c>
      <c r="O12535" t="s">
        <v>42670</v>
      </c>
      <c r="P12535">
        <v>0</v>
      </c>
      <c r="Q12535">
        <v>1</v>
      </c>
      <c r="R12535" t="s">
        <v>42689</v>
      </c>
      <c r="S12535" t="s">
        <v>43461</v>
      </c>
      <c r="T12535" t="s">
        <v>44409</v>
      </c>
      <c r="U12535" t="s">
        <v>55035</v>
      </c>
      <c r="W12535" t="s">
        <v>58121</v>
      </c>
      <c r="X12535" t="s">
        <v>42690</v>
      </c>
    </row>
    <row r="12536" spans="1:24">
      <c r="A12536">
        <f>HYPERLINK("https://www.philgeps.gov.ph/GEPSNONPILOT/Tender/SplashBidNoticeAbstractUI.aspx?menuIndex=3&amp;refID=7156069&amp;Result=3","7156069")</f>
        <v>0</v>
      </c>
      <c r="B12536" t="s">
        <v>3368</v>
      </c>
      <c r="C12536" t="s">
        <v>15517</v>
      </c>
      <c r="D12536" t="s">
        <v>17144</v>
      </c>
      <c r="E12536" t="s">
        <v>27900</v>
      </c>
      <c r="F12536" t="s">
        <v>29372</v>
      </c>
      <c r="G12536" t="s">
        <v>29380</v>
      </c>
      <c r="H12536" t="s">
        <v>11048</v>
      </c>
      <c r="I12536" t="s">
        <v>29454</v>
      </c>
      <c r="J12536" t="s">
        <v>37437</v>
      </c>
      <c r="K12536" t="s">
        <v>38490</v>
      </c>
      <c r="L12536" t="s">
        <v>3368</v>
      </c>
      <c r="M12536" t="s">
        <v>42462</v>
      </c>
      <c r="N12536" t="s">
        <v>42669</v>
      </c>
      <c r="O12536" t="s">
        <v>42670</v>
      </c>
      <c r="P12536">
        <v>0</v>
      </c>
      <c r="Q12536">
        <v>2</v>
      </c>
      <c r="R12536" t="s">
        <v>42690</v>
      </c>
      <c r="S12536" t="s">
        <v>43574</v>
      </c>
      <c r="T12536" t="s">
        <v>44432</v>
      </c>
      <c r="U12536" t="s">
        <v>55036</v>
      </c>
      <c r="W12536" t="s">
        <v>42462</v>
      </c>
      <c r="X12536" t="s">
        <v>42691</v>
      </c>
    </row>
    <row r="12537" spans="1:24">
      <c r="A12537">
        <f>HYPERLINK("https://www.philgeps.gov.ph/GEPSNONPILOT/Tender/SplashBidNoticeAbstractUI.aspx?menuIndex=3&amp;refID=7155931&amp;Result=3","7155931")</f>
        <v>0</v>
      </c>
      <c r="B12537" t="s">
        <v>3253</v>
      </c>
      <c r="C12537" t="s">
        <v>15518</v>
      </c>
      <c r="D12537" t="s">
        <v>17164</v>
      </c>
      <c r="E12537" t="s">
        <v>27901</v>
      </c>
      <c r="F12537" t="s">
        <v>29372</v>
      </c>
      <c r="G12537" t="s">
        <v>29380</v>
      </c>
      <c r="H12537" t="s">
        <v>11048</v>
      </c>
      <c r="I12537" t="s">
        <v>4709</v>
      </c>
      <c r="J12537" t="s">
        <v>37438</v>
      </c>
      <c r="K12537" t="s">
        <v>38518</v>
      </c>
      <c r="M12537" t="s">
        <v>42322</v>
      </c>
      <c r="N12537" t="s">
        <v>42669</v>
      </c>
      <c r="O12537" t="s">
        <v>42670</v>
      </c>
      <c r="P12537">
        <v>0</v>
      </c>
      <c r="Q12537">
        <v>1</v>
      </c>
      <c r="R12537" t="s">
        <v>42690</v>
      </c>
      <c r="S12537" t="s">
        <v>43574</v>
      </c>
      <c r="T12537" t="s">
        <v>44374</v>
      </c>
      <c r="U12537" t="s">
        <v>55037</v>
      </c>
      <c r="W12537" t="s">
        <v>42322</v>
      </c>
      <c r="X12537" t="s">
        <v>42691</v>
      </c>
    </row>
    <row r="12538" spans="1:24">
      <c r="A12538">
        <f>HYPERLINK("https://www.philgeps.gov.ph/GEPSNONPILOT/Tender/SplashBidNoticeAbstractUI.aspx?menuIndex=3&amp;refID=7156092&amp;Result=3","7156092")</f>
        <v>0</v>
      </c>
      <c r="B12538" t="s">
        <v>808</v>
      </c>
      <c r="C12538" t="s">
        <v>15519</v>
      </c>
      <c r="D12538" t="s">
        <v>17173</v>
      </c>
      <c r="E12538" t="s">
        <v>27902</v>
      </c>
      <c r="F12538" t="s">
        <v>29372</v>
      </c>
      <c r="G12538" t="s">
        <v>29379</v>
      </c>
      <c r="H12538" t="s">
        <v>29389</v>
      </c>
      <c r="I12538" t="s">
        <v>10408</v>
      </c>
      <c r="J12538" t="s">
        <v>31317</v>
      </c>
      <c r="K12538" t="s">
        <v>38496</v>
      </c>
      <c r="M12538" t="s">
        <v>39594</v>
      </c>
      <c r="N12538" t="s">
        <v>42669</v>
      </c>
      <c r="O12538" t="s">
        <v>42670</v>
      </c>
      <c r="Q12538">
        <v>2</v>
      </c>
      <c r="R12538" t="s">
        <v>42690</v>
      </c>
      <c r="S12538" t="s">
        <v>43471</v>
      </c>
      <c r="T12538" t="s">
        <v>44488</v>
      </c>
      <c r="U12538" t="s">
        <v>55038</v>
      </c>
      <c r="W12538" t="s">
        <v>39594</v>
      </c>
      <c r="X12538" t="s">
        <v>42691</v>
      </c>
    </row>
    <row r="12539" spans="1:24">
      <c r="A12539">
        <f>HYPERLINK("https://www.philgeps.gov.ph/GEPSNONPILOT/Tender/SplashBidNoticeAbstractUI.aspx?menuIndex=3&amp;refID=7156060&amp;Result=3","7156060")</f>
        <v>0</v>
      </c>
      <c r="B12539" t="s">
        <v>455</v>
      </c>
      <c r="C12539" t="s">
        <v>15520</v>
      </c>
      <c r="D12539" t="s">
        <v>17157</v>
      </c>
      <c r="E12539" t="s">
        <v>27903</v>
      </c>
      <c r="F12539" t="s">
        <v>29372</v>
      </c>
      <c r="G12539" t="s">
        <v>29380</v>
      </c>
      <c r="H12539" t="s">
        <v>29389</v>
      </c>
      <c r="I12539" t="s">
        <v>10408</v>
      </c>
      <c r="J12539" t="s">
        <v>29543</v>
      </c>
      <c r="K12539" t="s">
        <v>38487</v>
      </c>
      <c r="M12539" t="s">
        <v>39219</v>
      </c>
      <c r="N12539" t="s">
        <v>42669</v>
      </c>
      <c r="O12539" t="s">
        <v>42670</v>
      </c>
      <c r="P12539">
        <v>0</v>
      </c>
      <c r="Q12539">
        <v>0</v>
      </c>
      <c r="R12539" t="s">
        <v>42690</v>
      </c>
      <c r="S12539" t="s">
        <v>43574</v>
      </c>
      <c r="T12539" t="s">
        <v>44427</v>
      </c>
      <c r="U12539" t="s">
        <v>53571</v>
      </c>
      <c r="V12539" t="s">
        <v>57805</v>
      </c>
      <c r="W12539" t="s">
        <v>39219</v>
      </c>
      <c r="X12539" t="s">
        <v>42691</v>
      </c>
    </row>
    <row r="12540" spans="1:24">
      <c r="A12540">
        <f>HYPERLINK("https://www.philgeps.gov.ph/GEPSNONPILOT/Tender/SplashBidNoticeAbstractUI.aspx?menuIndex=3&amp;refID=7156052&amp;Result=3","7156052")</f>
        <v>0</v>
      </c>
      <c r="B12540" t="s">
        <v>455</v>
      </c>
      <c r="C12540" t="s">
        <v>15521</v>
      </c>
      <c r="D12540" t="s">
        <v>17157</v>
      </c>
      <c r="E12540" t="s">
        <v>27904</v>
      </c>
      <c r="F12540" t="s">
        <v>29372</v>
      </c>
      <c r="G12540" t="s">
        <v>29380</v>
      </c>
      <c r="H12540" t="s">
        <v>29389</v>
      </c>
      <c r="I12540" t="s">
        <v>10408</v>
      </c>
      <c r="J12540" t="s">
        <v>30161</v>
      </c>
      <c r="K12540" t="s">
        <v>38525</v>
      </c>
      <c r="M12540" t="s">
        <v>39219</v>
      </c>
      <c r="N12540" t="s">
        <v>42669</v>
      </c>
      <c r="O12540" t="s">
        <v>42670</v>
      </c>
      <c r="P12540">
        <v>0</v>
      </c>
      <c r="Q12540">
        <v>0</v>
      </c>
      <c r="R12540" t="s">
        <v>42690</v>
      </c>
      <c r="S12540" t="s">
        <v>43574</v>
      </c>
      <c r="T12540" t="s">
        <v>44427</v>
      </c>
      <c r="U12540" t="s">
        <v>53571</v>
      </c>
      <c r="V12540" t="s">
        <v>57807</v>
      </c>
      <c r="W12540" t="s">
        <v>39219</v>
      </c>
      <c r="X12540" t="s">
        <v>42691</v>
      </c>
    </row>
    <row r="12541" spans="1:24">
      <c r="A12541">
        <f>HYPERLINK("https://www.philgeps.gov.ph/GEPSNONPILOT/Tender/SplashBidNoticeAbstractUI.aspx?menuIndex=3&amp;refID=7156086&amp;Result=3","7156086")</f>
        <v>0</v>
      </c>
      <c r="B12541" t="s">
        <v>2020</v>
      </c>
      <c r="C12541" t="s">
        <v>15522</v>
      </c>
      <c r="D12541" t="s">
        <v>17177</v>
      </c>
      <c r="E12541" t="s">
        <v>27905</v>
      </c>
      <c r="F12541" t="s">
        <v>29372</v>
      </c>
      <c r="G12541" t="s">
        <v>29380</v>
      </c>
      <c r="H12541" t="s">
        <v>29389</v>
      </c>
      <c r="I12541" t="s">
        <v>10408</v>
      </c>
      <c r="J12541" t="s">
        <v>37439</v>
      </c>
      <c r="K12541" t="s">
        <v>38515</v>
      </c>
      <c r="M12541" t="s">
        <v>41241</v>
      </c>
      <c r="N12541" t="s">
        <v>42669</v>
      </c>
      <c r="O12541" t="s">
        <v>42670</v>
      </c>
      <c r="P12541">
        <v>0</v>
      </c>
      <c r="Q12541">
        <v>0</v>
      </c>
      <c r="R12541" t="s">
        <v>42690</v>
      </c>
      <c r="S12541" t="s">
        <v>43574</v>
      </c>
      <c r="T12541" t="s">
        <v>44470</v>
      </c>
      <c r="U12541" t="s">
        <v>55017</v>
      </c>
      <c r="V12541" t="s">
        <v>57146</v>
      </c>
      <c r="W12541" t="s">
        <v>41241</v>
      </c>
      <c r="X12541" t="s">
        <v>42691</v>
      </c>
    </row>
    <row r="12542" spans="1:24">
      <c r="A12542">
        <f>HYPERLINK("https://www.philgeps.gov.ph/GEPSNONPILOT/Tender/SplashBidNoticeAbstractUI.aspx?menuIndex=3&amp;refID=7156051&amp;Result=3","7156051")</f>
        <v>0</v>
      </c>
      <c r="B12542" t="s">
        <v>3366</v>
      </c>
      <c r="C12542" t="s">
        <v>15523</v>
      </c>
      <c r="D12542" t="s">
        <v>17164</v>
      </c>
      <c r="E12542" t="s">
        <v>27906</v>
      </c>
      <c r="F12542" t="s">
        <v>29372</v>
      </c>
      <c r="G12542" t="s">
        <v>29380</v>
      </c>
      <c r="H12542" t="s">
        <v>11048</v>
      </c>
      <c r="I12542" t="s">
        <v>3952</v>
      </c>
      <c r="J12542" t="s">
        <v>33607</v>
      </c>
      <c r="K12542" t="s">
        <v>38557</v>
      </c>
      <c r="M12542" t="s">
        <v>42460</v>
      </c>
      <c r="N12542" t="s">
        <v>42669</v>
      </c>
      <c r="O12542" t="s">
        <v>42670</v>
      </c>
      <c r="P12542">
        <v>0</v>
      </c>
      <c r="Q12542">
        <v>5</v>
      </c>
      <c r="R12542" t="s">
        <v>42690</v>
      </c>
      <c r="S12542" t="s">
        <v>43574</v>
      </c>
      <c r="T12542" t="s">
        <v>44744</v>
      </c>
      <c r="U12542" t="s">
        <v>55039</v>
      </c>
      <c r="W12542" t="s">
        <v>42460</v>
      </c>
      <c r="X12542" t="s">
        <v>42691</v>
      </c>
    </row>
    <row r="12543" spans="1:24">
      <c r="A12543">
        <f>HYPERLINK("https://www.philgeps.gov.ph/GEPSNONPILOT/Tender/SplashBidNoticeAbstractUI.aspx?menuIndex=3&amp;refID=7156061&amp;Result=3","7156061")</f>
        <v>0</v>
      </c>
      <c r="B12543" t="s">
        <v>2020</v>
      </c>
      <c r="C12543" t="s">
        <v>15524</v>
      </c>
      <c r="D12543" t="s">
        <v>17177</v>
      </c>
      <c r="E12543" t="s">
        <v>27907</v>
      </c>
      <c r="F12543" t="s">
        <v>29372</v>
      </c>
      <c r="G12543" t="s">
        <v>29380</v>
      </c>
      <c r="H12543" t="s">
        <v>29389</v>
      </c>
      <c r="I12543" t="s">
        <v>29417</v>
      </c>
      <c r="J12543" t="s">
        <v>37440</v>
      </c>
      <c r="K12543" t="s">
        <v>38496</v>
      </c>
      <c r="M12543" t="s">
        <v>41241</v>
      </c>
      <c r="N12543" t="s">
        <v>42669</v>
      </c>
      <c r="O12543" t="s">
        <v>42670</v>
      </c>
      <c r="P12543">
        <v>0</v>
      </c>
      <c r="Q12543">
        <v>4</v>
      </c>
      <c r="R12543" t="s">
        <v>42690</v>
      </c>
      <c r="S12543" t="s">
        <v>43574</v>
      </c>
      <c r="T12543" t="s">
        <v>44470</v>
      </c>
      <c r="U12543" t="s">
        <v>55017</v>
      </c>
      <c r="V12543" t="s">
        <v>57146</v>
      </c>
      <c r="W12543" t="s">
        <v>41241</v>
      </c>
      <c r="X12543" t="s">
        <v>42691</v>
      </c>
    </row>
    <row r="12544" spans="1:24">
      <c r="A12544">
        <f>HYPERLINK("https://www.philgeps.gov.ph/GEPSNONPILOT/Tender/SplashBidNoticeAbstractUI.aspx?menuIndex=3&amp;refID=7155949&amp;Result=3","7155949")</f>
        <v>0</v>
      </c>
      <c r="B12544" t="s">
        <v>455</v>
      </c>
      <c r="C12544" t="s">
        <v>15525</v>
      </c>
      <c r="D12544" t="s">
        <v>17157</v>
      </c>
      <c r="E12544" t="s">
        <v>27908</v>
      </c>
      <c r="F12544" t="s">
        <v>29372</v>
      </c>
      <c r="G12544" t="s">
        <v>29380</v>
      </c>
      <c r="H12544" t="s">
        <v>29389</v>
      </c>
      <c r="I12544" t="s">
        <v>10408</v>
      </c>
      <c r="J12544" t="s">
        <v>29543</v>
      </c>
      <c r="K12544" t="s">
        <v>38622</v>
      </c>
      <c r="M12544" t="s">
        <v>39219</v>
      </c>
      <c r="N12544" t="s">
        <v>42669</v>
      </c>
      <c r="O12544" t="s">
        <v>42670</v>
      </c>
      <c r="P12544">
        <v>0</v>
      </c>
      <c r="Q12544">
        <v>0</v>
      </c>
      <c r="R12544" t="s">
        <v>42690</v>
      </c>
      <c r="S12544" t="s">
        <v>43574</v>
      </c>
      <c r="T12544" t="s">
        <v>44427</v>
      </c>
      <c r="U12544" t="s">
        <v>53571</v>
      </c>
      <c r="V12544" t="s">
        <v>57805</v>
      </c>
      <c r="W12544" t="s">
        <v>39219</v>
      </c>
      <c r="X12544" t="s">
        <v>42691</v>
      </c>
    </row>
    <row r="12545" spans="1:24">
      <c r="A12545">
        <f>HYPERLINK("https://www.philgeps.gov.ph/GEPSNONPILOT/Tender/SplashBidNoticeAbstractUI.aspx?menuIndex=3&amp;refID=7155917&amp;Result=3","7155917")</f>
        <v>0</v>
      </c>
      <c r="B12545" t="s">
        <v>3363</v>
      </c>
      <c r="C12545" t="s">
        <v>15526</v>
      </c>
      <c r="D12545" t="s">
        <v>17188</v>
      </c>
      <c r="E12545" t="s">
        <v>17972</v>
      </c>
      <c r="F12545" t="s">
        <v>29372</v>
      </c>
      <c r="G12545" t="s">
        <v>29380</v>
      </c>
      <c r="H12545" t="s">
        <v>11048</v>
      </c>
      <c r="I12545" t="s">
        <v>4709</v>
      </c>
      <c r="J12545" t="s">
        <v>31086</v>
      </c>
      <c r="K12545" t="s">
        <v>38485</v>
      </c>
      <c r="M12545" t="s">
        <v>42456</v>
      </c>
      <c r="N12545" t="s">
        <v>42669</v>
      </c>
      <c r="O12545" t="s">
        <v>42670</v>
      </c>
      <c r="P12545">
        <v>0</v>
      </c>
      <c r="Q12545">
        <v>0</v>
      </c>
      <c r="R12545" t="s">
        <v>42690</v>
      </c>
      <c r="S12545" t="s">
        <v>43574</v>
      </c>
      <c r="T12545" t="s">
        <v>44503</v>
      </c>
      <c r="U12545" t="s">
        <v>47425</v>
      </c>
      <c r="W12545" t="s">
        <v>42456</v>
      </c>
      <c r="X12545" t="s">
        <v>42691</v>
      </c>
    </row>
    <row r="12546" spans="1:24">
      <c r="A12546">
        <f>HYPERLINK("https://www.philgeps.gov.ph/GEPSNONPILOT/Tender/SplashBidNoticeAbstractUI.aspx?menuIndex=3&amp;refID=7156030&amp;Result=3","7156030")</f>
        <v>0</v>
      </c>
      <c r="B12546" t="s">
        <v>2727</v>
      </c>
      <c r="C12546" t="s">
        <v>15527</v>
      </c>
      <c r="D12546" t="s">
        <v>17197</v>
      </c>
      <c r="E12546" t="s">
        <v>17669</v>
      </c>
      <c r="F12546" t="s">
        <v>29372</v>
      </c>
      <c r="G12546" t="s">
        <v>29380</v>
      </c>
      <c r="H12546" t="s">
        <v>11048</v>
      </c>
      <c r="I12546" t="s">
        <v>4709</v>
      </c>
      <c r="J12546" t="s">
        <v>37441</v>
      </c>
      <c r="K12546" t="s">
        <v>38485</v>
      </c>
      <c r="M12546" t="s">
        <v>41710</v>
      </c>
      <c r="N12546" t="s">
        <v>42669</v>
      </c>
      <c r="O12546" t="s">
        <v>42670</v>
      </c>
      <c r="P12546">
        <v>0</v>
      </c>
      <c r="Q12546">
        <v>0</v>
      </c>
      <c r="R12546" t="s">
        <v>42690</v>
      </c>
      <c r="S12546" t="s">
        <v>43574</v>
      </c>
      <c r="T12546" t="s">
        <v>44469</v>
      </c>
      <c r="U12546" t="s">
        <v>55040</v>
      </c>
      <c r="W12546" t="s">
        <v>41710</v>
      </c>
      <c r="X12546" t="s">
        <v>42691</v>
      </c>
    </row>
    <row r="12547" spans="1:24">
      <c r="A12547">
        <f>HYPERLINK("https://www.philgeps.gov.ph/GEPSNONPILOT/Tender/SplashBidNoticeAbstractUI.aspx?menuIndex=3&amp;refID=7156281&amp;Result=3","7156281")</f>
        <v>0</v>
      </c>
      <c r="B12547" t="s">
        <v>2047</v>
      </c>
      <c r="C12547" t="s">
        <v>15528</v>
      </c>
      <c r="D12547" t="s">
        <v>17189</v>
      </c>
      <c r="E12547" t="s">
        <v>27909</v>
      </c>
      <c r="F12547" t="s">
        <v>29372</v>
      </c>
      <c r="G12547" t="s">
        <v>29380</v>
      </c>
      <c r="H12547" t="s">
        <v>29389</v>
      </c>
      <c r="I12547" t="s">
        <v>10408</v>
      </c>
      <c r="J12547" t="s">
        <v>37442</v>
      </c>
      <c r="K12547" t="s">
        <v>38750</v>
      </c>
      <c r="M12547" t="s">
        <v>42004</v>
      </c>
      <c r="N12547" t="s">
        <v>42669</v>
      </c>
      <c r="O12547" t="s">
        <v>42670</v>
      </c>
      <c r="P12547">
        <v>0</v>
      </c>
      <c r="Q12547">
        <v>1</v>
      </c>
      <c r="R12547" t="s">
        <v>42690</v>
      </c>
      <c r="S12547" t="s">
        <v>43574</v>
      </c>
      <c r="T12547" t="s">
        <v>44548</v>
      </c>
      <c r="U12547" t="s">
        <v>53227</v>
      </c>
      <c r="W12547" t="s">
        <v>42004</v>
      </c>
      <c r="X12547" t="s">
        <v>42691</v>
      </c>
    </row>
    <row r="12548" spans="1:24">
      <c r="A12548">
        <f>HYPERLINK("https://www.philgeps.gov.ph/GEPSNONPILOT/Tender/SplashBidNoticeAbstractUI.aspx?menuIndex=3&amp;refID=7156041&amp;Result=3","7156041")</f>
        <v>0</v>
      </c>
      <c r="B12548" t="s">
        <v>455</v>
      </c>
      <c r="C12548" t="s">
        <v>15529</v>
      </c>
      <c r="D12548" t="s">
        <v>17157</v>
      </c>
      <c r="E12548" t="s">
        <v>27910</v>
      </c>
      <c r="F12548" t="s">
        <v>29372</v>
      </c>
      <c r="G12548" t="s">
        <v>29380</v>
      </c>
      <c r="H12548" t="s">
        <v>29389</v>
      </c>
      <c r="I12548" t="s">
        <v>10408</v>
      </c>
      <c r="J12548" t="s">
        <v>29543</v>
      </c>
      <c r="K12548" t="s">
        <v>38496</v>
      </c>
      <c r="M12548" t="s">
        <v>39219</v>
      </c>
      <c r="N12548" t="s">
        <v>42669</v>
      </c>
      <c r="O12548" t="s">
        <v>42670</v>
      </c>
      <c r="P12548">
        <v>0</v>
      </c>
      <c r="Q12548">
        <v>0</v>
      </c>
      <c r="R12548" t="s">
        <v>42690</v>
      </c>
      <c r="S12548" t="s">
        <v>43574</v>
      </c>
      <c r="T12548" t="s">
        <v>44427</v>
      </c>
      <c r="U12548" t="s">
        <v>53571</v>
      </c>
      <c r="V12548" t="s">
        <v>57805</v>
      </c>
      <c r="W12548" t="s">
        <v>39219</v>
      </c>
      <c r="X12548" t="s">
        <v>42691</v>
      </c>
    </row>
    <row r="12549" spans="1:24">
      <c r="A12549">
        <f>HYPERLINK("https://www.philgeps.gov.ph/GEPSNONPILOT/Tender/SplashBidNoticeAbstractUI.aspx?menuIndex=3&amp;refID=7155929&amp;Result=3","7155929")</f>
        <v>0</v>
      </c>
      <c r="B12549" t="s">
        <v>455</v>
      </c>
      <c r="C12549" t="s">
        <v>15530</v>
      </c>
      <c r="D12549" t="s">
        <v>17157</v>
      </c>
      <c r="E12549" t="s">
        <v>27911</v>
      </c>
      <c r="F12549" t="s">
        <v>29372</v>
      </c>
      <c r="G12549" t="s">
        <v>29380</v>
      </c>
      <c r="H12549" t="s">
        <v>29389</v>
      </c>
      <c r="I12549" t="s">
        <v>10408</v>
      </c>
      <c r="J12549" t="s">
        <v>29543</v>
      </c>
      <c r="K12549" t="s">
        <v>38495</v>
      </c>
      <c r="M12549" t="s">
        <v>39219</v>
      </c>
      <c r="N12549" t="s">
        <v>42669</v>
      </c>
      <c r="O12549" t="s">
        <v>42670</v>
      </c>
      <c r="P12549">
        <v>0</v>
      </c>
      <c r="Q12549">
        <v>0</v>
      </c>
      <c r="R12549" t="s">
        <v>42690</v>
      </c>
      <c r="S12549" t="s">
        <v>43574</v>
      </c>
      <c r="T12549" t="s">
        <v>44427</v>
      </c>
      <c r="U12549" t="s">
        <v>53571</v>
      </c>
      <c r="V12549" t="s">
        <v>57805</v>
      </c>
      <c r="W12549" t="s">
        <v>39219</v>
      </c>
      <c r="X12549" t="s">
        <v>42691</v>
      </c>
    </row>
    <row r="12550" spans="1:24">
      <c r="A12550">
        <f>HYPERLINK("https://www.philgeps.gov.ph/GEPSNONPILOT/Tender/SplashBidNoticeAbstractUI.aspx?menuIndex=3&amp;refID=7156238&amp;Result=3","7156238")</f>
        <v>0</v>
      </c>
      <c r="B12550" t="s">
        <v>2414</v>
      </c>
      <c r="C12550" t="s">
        <v>15531</v>
      </c>
      <c r="D12550" t="s">
        <v>17211</v>
      </c>
      <c r="E12550" t="s">
        <v>27912</v>
      </c>
      <c r="F12550" t="s">
        <v>29372</v>
      </c>
      <c r="G12550" t="s">
        <v>29380</v>
      </c>
      <c r="H12550" t="s">
        <v>11048</v>
      </c>
      <c r="I12550" t="s">
        <v>3629</v>
      </c>
      <c r="J12550" t="s">
        <v>37443</v>
      </c>
      <c r="K12550" t="s">
        <v>38487</v>
      </c>
      <c r="M12550" t="s">
        <v>41361</v>
      </c>
      <c r="N12550" t="s">
        <v>42669</v>
      </c>
      <c r="O12550" t="s">
        <v>42670</v>
      </c>
      <c r="P12550">
        <v>0</v>
      </c>
      <c r="Q12550">
        <v>0</v>
      </c>
      <c r="R12550" t="s">
        <v>42690</v>
      </c>
      <c r="S12550" t="s">
        <v>43574</v>
      </c>
      <c r="T12550" t="s">
        <v>44527</v>
      </c>
      <c r="U12550" t="s">
        <v>55041</v>
      </c>
      <c r="V12550" t="s">
        <v>57808</v>
      </c>
      <c r="W12550" t="s">
        <v>41361</v>
      </c>
      <c r="X12550" t="s">
        <v>42691</v>
      </c>
    </row>
    <row r="12551" spans="1:24">
      <c r="A12551">
        <f>HYPERLINK("https://www.philgeps.gov.ph/GEPSNONPILOT/Tender/SplashBidNoticeAbstractUI.aspx?menuIndex=3&amp;refID=7156101&amp;Result=3","7156101")</f>
        <v>0</v>
      </c>
      <c r="B12551" t="s">
        <v>262</v>
      </c>
      <c r="C12551" t="s">
        <v>15532</v>
      </c>
      <c r="D12551" t="s">
        <v>17153</v>
      </c>
      <c r="E12551" t="s">
        <v>27913</v>
      </c>
      <c r="F12551" t="s">
        <v>29372</v>
      </c>
      <c r="G12551" t="s">
        <v>29380</v>
      </c>
      <c r="H12551" t="s">
        <v>29389</v>
      </c>
      <c r="I12551" t="s">
        <v>10408</v>
      </c>
      <c r="J12551" t="s">
        <v>29526</v>
      </c>
      <c r="K12551" t="s">
        <v>38495</v>
      </c>
      <c r="M12551" t="s">
        <v>39021</v>
      </c>
      <c r="N12551" t="s">
        <v>42669</v>
      </c>
      <c r="O12551" t="s">
        <v>42670</v>
      </c>
      <c r="P12551">
        <v>0</v>
      </c>
      <c r="Q12551">
        <v>0</v>
      </c>
      <c r="R12551" t="s">
        <v>42690</v>
      </c>
      <c r="S12551" t="s">
        <v>43574</v>
      </c>
      <c r="T12551" t="s">
        <v>44469</v>
      </c>
      <c r="U12551" t="s">
        <v>45424</v>
      </c>
      <c r="V12551" t="s">
        <v>57809</v>
      </c>
      <c r="W12551" t="s">
        <v>39021</v>
      </c>
      <c r="X12551" t="s">
        <v>42691</v>
      </c>
    </row>
    <row r="12552" spans="1:24">
      <c r="A12552">
        <f>HYPERLINK("https://www.philgeps.gov.ph/GEPSNONPILOT/Tender/SplashBidNoticeAbstractUI.aspx?menuIndex=3&amp;refID=7156240&amp;Result=3","7156240")</f>
        <v>0</v>
      </c>
      <c r="B12552" t="s">
        <v>3369</v>
      </c>
      <c r="C12552" t="s">
        <v>15533</v>
      </c>
      <c r="D12552" t="s">
        <v>17212</v>
      </c>
      <c r="E12552" t="s">
        <v>27914</v>
      </c>
      <c r="F12552" t="s">
        <v>29372</v>
      </c>
      <c r="G12552" t="s">
        <v>29380</v>
      </c>
      <c r="H12552" t="s">
        <v>29389</v>
      </c>
      <c r="I12552" t="s">
        <v>29417</v>
      </c>
      <c r="J12552" t="s">
        <v>37444</v>
      </c>
      <c r="K12552" t="s">
        <v>38496</v>
      </c>
      <c r="M12552" t="s">
        <v>42463</v>
      </c>
      <c r="N12552" t="s">
        <v>42669</v>
      </c>
      <c r="O12552" t="s">
        <v>42670</v>
      </c>
      <c r="Q12552">
        <v>17</v>
      </c>
      <c r="R12552" t="s">
        <v>42690</v>
      </c>
      <c r="S12552" t="s">
        <v>43604</v>
      </c>
      <c r="T12552" t="s">
        <v>44401</v>
      </c>
      <c r="U12552" t="s">
        <v>55042</v>
      </c>
      <c r="W12552" t="s">
        <v>42463</v>
      </c>
      <c r="X12552" t="s">
        <v>42691</v>
      </c>
    </row>
    <row r="12553" spans="1:24">
      <c r="A12553">
        <f>HYPERLINK("https://www.philgeps.gov.ph/GEPSNONPILOT/Tender/SplashBidNoticeAbstractUI.aspx?menuIndex=3&amp;refID=7156043&amp;Result=3","7156043")</f>
        <v>0</v>
      </c>
      <c r="B12553" t="s">
        <v>2020</v>
      </c>
      <c r="C12553" t="s">
        <v>15534</v>
      </c>
      <c r="D12553" t="s">
        <v>17177</v>
      </c>
      <c r="E12553" t="s">
        <v>27915</v>
      </c>
      <c r="F12553" t="s">
        <v>29372</v>
      </c>
      <c r="G12553" t="s">
        <v>29380</v>
      </c>
      <c r="H12553" t="s">
        <v>29389</v>
      </c>
      <c r="I12553" t="s">
        <v>10408</v>
      </c>
      <c r="J12553" t="s">
        <v>37445</v>
      </c>
      <c r="K12553" t="s">
        <v>38496</v>
      </c>
      <c r="M12553" t="s">
        <v>41241</v>
      </c>
      <c r="N12553" t="s">
        <v>42669</v>
      </c>
      <c r="O12553" t="s">
        <v>42670</v>
      </c>
      <c r="P12553">
        <v>0</v>
      </c>
      <c r="Q12553">
        <v>0</v>
      </c>
      <c r="R12553" t="s">
        <v>42690</v>
      </c>
      <c r="S12553" t="s">
        <v>43574</v>
      </c>
      <c r="T12553" t="s">
        <v>44470</v>
      </c>
      <c r="U12553" t="s">
        <v>55017</v>
      </c>
      <c r="V12553" t="s">
        <v>57146</v>
      </c>
      <c r="W12553" t="s">
        <v>41241</v>
      </c>
      <c r="X12553" t="s">
        <v>42691</v>
      </c>
    </row>
    <row r="12554" spans="1:24">
      <c r="A12554">
        <f>HYPERLINK("https://www.philgeps.gov.ph/GEPSNONPILOT/Tender/SplashBidNoticeAbstractUI.aspx?menuIndex=3&amp;refID=7156209&amp;Result=3","7156209")</f>
        <v>0</v>
      </c>
      <c r="B12554" t="s">
        <v>2020</v>
      </c>
      <c r="C12554" t="s">
        <v>15535</v>
      </c>
      <c r="D12554" t="s">
        <v>17177</v>
      </c>
      <c r="E12554" t="s">
        <v>27916</v>
      </c>
      <c r="F12554" t="s">
        <v>29372</v>
      </c>
      <c r="G12554" t="s">
        <v>29380</v>
      </c>
      <c r="H12554" t="s">
        <v>29389</v>
      </c>
      <c r="I12554" t="s">
        <v>10408</v>
      </c>
      <c r="J12554" t="s">
        <v>37446</v>
      </c>
      <c r="K12554" t="s">
        <v>38496</v>
      </c>
      <c r="M12554" t="s">
        <v>41241</v>
      </c>
      <c r="N12554" t="s">
        <v>42669</v>
      </c>
      <c r="O12554" t="s">
        <v>42670</v>
      </c>
      <c r="P12554">
        <v>0</v>
      </c>
      <c r="Q12554">
        <v>0</v>
      </c>
      <c r="R12554" t="s">
        <v>42690</v>
      </c>
      <c r="S12554" t="s">
        <v>43574</v>
      </c>
      <c r="T12554" t="s">
        <v>44470</v>
      </c>
      <c r="U12554" t="s">
        <v>55043</v>
      </c>
      <c r="V12554" t="s">
        <v>57146</v>
      </c>
      <c r="W12554" t="s">
        <v>41241</v>
      </c>
      <c r="X12554" t="s">
        <v>42691</v>
      </c>
    </row>
    <row r="12555" spans="1:24">
      <c r="A12555">
        <f>HYPERLINK("https://www.philgeps.gov.ph/GEPSNONPILOT/Tender/SplashBidNoticeAbstractUI.aspx?menuIndex=3&amp;refID=7156172&amp;Result=3","7156172")</f>
        <v>0</v>
      </c>
      <c r="B12555" t="s">
        <v>738</v>
      </c>
      <c r="C12555" t="s">
        <v>15536</v>
      </c>
      <c r="E12555" t="s">
        <v>27917</v>
      </c>
      <c r="F12555" t="s">
        <v>29372</v>
      </c>
      <c r="G12555" t="s">
        <v>29380</v>
      </c>
      <c r="H12555" t="s">
        <v>11048</v>
      </c>
      <c r="I12555" t="s">
        <v>29465</v>
      </c>
      <c r="J12555" t="s">
        <v>37447</v>
      </c>
      <c r="K12555" t="s">
        <v>38490</v>
      </c>
      <c r="M12555" t="s">
        <v>39519</v>
      </c>
      <c r="N12555" t="s">
        <v>42669</v>
      </c>
      <c r="O12555" t="s">
        <v>42670</v>
      </c>
      <c r="Q12555">
        <v>2</v>
      </c>
      <c r="R12555" t="s">
        <v>42690</v>
      </c>
      <c r="S12555" t="s">
        <v>43605</v>
      </c>
      <c r="T12555" t="s">
        <v>44444</v>
      </c>
      <c r="U12555" t="s">
        <v>55044</v>
      </c>
      <c r="W12555" t="s">
        <v>39519</v>
      </c>
      <c r="X12555" t="s">
        <v>42691</v>
      </c>
    </row>
    <row r="12556" spans="1:24">
      <c r="A12556">
        <f>HYPERLINK("https://www.philgeps.gov.ph/GEPSNONPILOT/Tender/SplashBidNoticeAbstractUI.aspx?menuIndex=3&amp;refID=7156167&amp;Result=3","7156167")</f>
        <v>0</v>
      </c>
      <c r="B12556" t="s">
        <v>2020</v>
      </c>
      <c r="C12556" t="s">
        <v>15537</v>
      </c>
      <c r="D12556" t="s">
        <v>17177</v>
      </c>
      <c r="E12556" t="s">
        <v>27918</v>
      </c>
      <c r="F12556" t="s">
        <v>29372</v>
      </c>
      <c r="G12556" t="s">
        <v>29380</v>
      </c>
      <c r="H12556" t="s">
        <v>29389</v>
      </c>
      <c r="I12556" t="s">
        <v>10408</v>
      </c>
      <c r="J12556" t="s">
        <v>37448</v>
      </c>
      <c r="K12556" t="s">
        <v>38571</v>
      </c>
      <c r="M12556" t="s">
        <v>41241</v>
      </c>
      <c r="N12556" t="s">
        <v>42669</v>
      </c>
      <c r="O12556" t="s">
        <v>42670</v>
      </c>
      <c r="P12556">
        <v>0</v>
      </c>
      <c r="Q12556">
        <v>1</v>
      </c>
      <c r="R12556" t="s">
        <v>42690</v>
      </c>
      <c r="S12556" t="s">
        <v>43574</v>
      </c>
      <c r="T12556" t="s">
        <v>44470</v>
      </c>
      <c r="U12556" t="s">
        <v>55043</v>
      </c>
      <c r="V12556" t="s">
        <v>57146</v>
      </c>
      <c r="W12556" t="s">
        <v>41241</v>
      </c>
      <c r="X12556" t="s">
        <v>42691</v>
      </c>
    </row>
    <row r="12557" spans="1:24">
      <c r="A12557">
        <f>HYPERLINK("https://www.philgeps.gov.ph/GEPSNONPILOT/Tender/SplashBidNoticeAbstractUI.aspx?menuIndex=3&amp;refID=7156163&amp;Result=3","7156163")</f>
        <v>0</v>
      </c>
      <c r="B12557" t="s">
        <v>231</v>
      </c>
      <c r="C12557" t="s">
        <v>15538</v>
      </c>
      <c r="D12557" t="s">
        <v>17166</v>
      </c>
      <c r="E12557" t="s">
        <v>27919</v>
      </c>
      <c r="F12557" t="s">
        <v>29372</v>
      </c>
      <c r="G12557" t="s">
        <v>29380</v>
      </c>
      <c r="H12557" t="s">
        <v>11048</v>
      </c>
      <c r="I12557" t="s">
        <v>29433</v>
      </c>
      <c r="J12557" t="s">
        <v>29724</v>
      </c>
      <c r="K12557" t="s">
        <v>38490</v>
      </c>
      <c r="M12557" t="s">
        <v>40655</v>
      </c>
      <c r="N12557" t="s">
        <v>42669</v>
      </c>
      <c r="O12557" t="s">
        <v>42670</v>
      </c>
      <c r="Q12557">
        <v>35</v>
      </c>
      <c r="R12557" t="s">
        <v>42690</v>
      </c>
      <c r="S12557" t="s">
        <v>43606</v>
      </c>
      <c r="T12557" t="s">
        <v>44837</v>
      </c>
      <c r="U12557" t="s">
        <v>55045</v>
      </c>
      <c r="V12557" t="s">
        <v>57810</v>
      </c>
      <c r="W12557" t="s">
        <v>40655</v>
      </c>
      <c r="X12557" t="s">
        <v>42691</v>
      </c>
    </row>
    <row r="12558" spans="1:24">
      <c r="A12558">
        <f>HYPERLINK("https://www.philgeps.gov.ph/GEPSNONPILOT/Tender/SplashBidNoticeAbstractUI.aspx?menuIndex=3&amp;refID=7156038&amp;Result=3","7156038")</f>
        <v>0</v>
      </c>
      <c r="B12558" t="s">
        <v>3253</v>
      </c>
      <c r="C12558" t="s">
        <v>15539</v>
      </c>
      <c r="D12558" t="s">
        <v>17164</v>
      </c>
      <c r="E12558" t="s">
        <v>27920</v>
      </c>
      <c r="F12558" t="s">
        <v>29372</v>
      </c>
      <c r="G12558" t="s">
        <v>29380</v>
      </c>
      <c r="H12558" t="s">
        <v>11048</v>
      </c>
      <c r="I12558" t="s">
        <v>9469</v>
      </c>
      <c r="J12558" t="s">
        <v>30056</v>
      </c>
      <c r="K12558" t="s">
        <v>38495</v>
      </c>
      <c r="M12558" t="s">
        <v>42322</v>
      </c>
      <c r="N12558" t="s">
        <v>42669</v>
      </c>
      <c r="O12558" t="s">
        <v>42670</v>
      </c>
      <c r="P12558">
        <v>0</v>
      </c>
      <c r="Q12558">
        <v>10</v>
      </c>
      <c r="R12558" t="s">
        <v>42690</v>
      </c>
      <c r="S12558" t="s">
        <v>43574</v>
      </c>
      <c r="T12558" t="s">
        <v>44374</v>
      </c>
      <c r="U12558" t="s">
        <v>55037</v>
      </c>
      <c r="W12558" t="s">
        <v>42322</v>
      </c>
      <c r="X12558" t="s">
        <v>42691</v>
      </c>
    </row>
    <row r="12559" spans="1:24">
      <c r="A12559">
        <f>HYPERLINK("https://www.philgeps.gov.ph/GEPSNONPILOT/Tender/SplashBidNoticeAbstractUI.aspx?menuIndex=3&amp;refID=7156031&amp;Result=3","7156031")</f>
        <v>0</v>
      </c>
      <c r="B12559" t="s">
        <v>3370</v>
      </c>
      <c r="C12559" t="s">
        <v>15540</v>
      </c>
      <c r="D12559" t="s">
        <v>17177</v>
      </c>
      <c r="E12559" t="s">
        <v>27921</v>
      </c>
      <c r="F12559" t="s">
        <v>29372</v>
      </c>
      <c r="G12559" t="s">
        <v>29380</v>
      </c>
      <c r="H12559" t="s">
        <v>29389</v>
      </c>
      <c r="I12559" t="s">
        <v>10408</v>
      </c>
      <c r="J12559" t="s">
        <v>37449</v>
      </c>
      <c r="K12559" t="s">
        <v>38505</v>
      </c>
      <c r="M12559" t="s">
        <v>42464</v>
      </c>
      <c r="N12559" t="s">
        <v>42669</v>
      </c>
      <c r="O12559" t="s">
        <v>42670</v>
      </c>
      <c r="P12559">
        <v>0</v>
      </c>
      <c r="Q12559">
        <v>3</v>
      </c>
      <c r="R12559" t="s">
        <v>42690</v>
      </c>
      <c r="S12559" t="s">
        <v>43574</v>
      </c>
      <c r="T12559" t="s">
        <v>44401</v>
      </c>
      <c r="U12559" t="s">
        <v>55046</v>
      </c>
      <c r="W12559" t="s">
        <v>42464</v>
      </c>
      <c r="X12559" t="s">
        <v>42691</v>
      </c>
    </row>
    <row r="12560" spans="1:24">
      <c r="A12560">
        <f>HYPERLINK("https://www.philgeps.gov.ph/GEPSNONPILOT/Tender/SplashBidNoticeAbstractUI.aspx?menuIndex=3&amp;refID=7156168&amp;Result=3","7156168")</f>
        <v>0</v>
      </c>
      <c r="B12560" t="s">
        <v>262</v>
      </c>
      <c r="C12560" t="s">
        <v>15541</v>
      </c>
      <c r="D12560" t="s">
        <v>17153</v>
      </c>
      <c r="E12560" t="s">
        <v>27922</v>
      </c>
      <c r="F12560" t="s">
        <v>29372</v>
      </c>
      <c r="G12560" t="s">
        <v>29380</v>
      </c>
      <c r="H12560" t="s">
        <v>29389</v>
      </c>
      <c r="I12560" t="s">
        <v>10408</v>
      </c>
      <c r="J12560" t="s">
        <v>29590</v>
      </c>
      <c r="K12560" t="s">
        <v>38502</v>
      </c>
      <c r="M12560" t="s">
        <v>39021</v>
      </c>
      <c r="N12560" t="s">
        <v>42669</v>
      </c>
      <c r="O12560" t="s">
        <v>42670</v>
      </c>
      <c r="P12560">
        <v>0</v>
      </c>
      <c r="Q12560">
        <v>1</v>
      </c>
      <c r="R12560" t="s">
        <v>42690</v>
      </c>
      <c r="S12560" t="s">
        <v>43574</v>
      </c>
      <c r="T12560" t="s">
        <v>44469</v>
      </c>
      <c r="U12560" t="s">
        <v>45424</v>
      </c>
      <c r="V12560" t="s">
        <v>57809</v>
      </c>
      <c r="W12560" t="s">
        <v>39021</v>
      </c>
      <c r="X12560" t="s">
        <v>42691</v>
      </c>
    </row>
    <row r="12561" spans="1:24">
      <c r="A12561">
        <f>HYPERLINK("https://www.philgeps.gov.ph/GEPSNONPILOT/Tender/SplashBidNoticeAbstractUI.aspx?menuIndex=3&amp;refID=7156134&amp;Result=3","7156134")</f>
        <v>0</v>
      </c>
      <c r="B12561" t="s">
        <v>33</v>
      </c>
      <c r="C12561" t="s">
        <v>15542</v>
      </c>
      <c r="D12561" t="s">
        <v>17147</v>
      </c>
      <c r="E12561" t="s">
        <v>17291</v>
      </c>
      <c r="F12561" t="s">
        <v>29372</v>
      </c>
      <c r="G12561" t="s">
        <v>29380</v>
      </c>
      <c r="H12561" t="s">
        <v>29389</v>
      </c>
      <c r="I12561" t="s">
        <v>10408</v>
      </c>
      <c r="J12561" t="s">
        <v>37450</v>
      </c>
      <c r="K12561" t="s">
        <v>38520</v>
      </c>
      <c r="M12561" t="s">
        <v>38786</v>
      </c>
      <c r="N12561" t="s">
        <v>42669</v>
      </c>
      <c r="O12561" t="s">
        <v>42670</v>
      </c>
      <c r="Q12561">
        <v>1</v>
      </c>
      <c r="R12561" t="s">
        <v>42690</v>
      </c>
      <c r="S12561" t="s">
        <v>43607</v>
      </c>
      <c r="T12561" t="s">
        <v>44488</v>
      </c>
      <c r="U12561" t="s">
        <v>55047</v>
      </c>
      <c r="W12561" t="s">
        <v>38786</v>
      </c>
      <c r="X12561" t="s">
        <v>42691</v>
      </c>
    </row>
    <row r="12562" spans="1:24">
      <c r="A12562">
        <f>HYPERLINK("https://www.philgeps.gov.ph/GEPSNONPILOT/Tender/SplashBidNoticeAbstractUI.aspx?menuIndex=3&amp;refID=7156131&amp;Result=3","7156131")</f>
        <v>0</v>
      </c>
      <c r="B12562" t="s">
        <v>2020</v>
      </c>
      <c r="C12562" t="s">
        <v>15543</v>
      </c>
      <c r="D12562" t="s">
        <v>17177</v>
      </c>
      <c r="E12562" t="s">
        <v>27923</v>
      </c>
      <c r="F12562" t="s">
        <v>29372</v>
      </c>
      <c r="G12562" t="s">
        <v>29380</v>
      </c>
      <c r="H12562" t="s">
        <v>29389</v>
      </c>
      <c r="I12562" t="s">
        <v>10408</v>
      </c>
      <c r="J12562" t="s">
        <v>37451</v>
      </c>
      <c r="K12562" t="s">
        <v>38485</v>
      </c>
      <c r="M12562" t="s">
        <v>41241</v>
      </c>
      <c r="N12562" t="s">
        <v>42669</v>
      </c>
      <c r="O12562" t="s">
        <v>42670</v>
      </c>
      <c r="P12562">
        <v>0</v>
      </c>
      <c r="Q12562">
        <v>1</v>
      </c>
      <c r="R12562" t="s">
        <v>42690</v>
      </c>
      <c r="S12562" t="s">
        <v>43574</v>
      </c>
      <c r="T12562" t="s">
        <v>44470</v>
      </c>
      <c r="U12562" t="s">
        <v>55043</v>
      </c>
      <c r="V12562" t="s">
        <v>57146</v>
      </c>
      <c r="W12562" t="s">
        <v>41241</v>
      </c>
      <c r="X12562" t="s">
        <v>42691</v>
      </c>
    </row>
    <row r="12563" spans="1:24">
      <c r="A12563">
        <f>HYPERLINK("https://www.philgeps.gov.ph/GEPSNONPILOT/Tender/SplashBidNoticeAbstractUI.aspx?menuIndex=3&amp;refID=7156121&amp;Result=3","7156121")</f>
        <v>0</v>
      </c>
      <c r="B12563" t="s">
        <v>738</v>
      </c>
      <c r="C12563" t="s">
        <v>15544</v>
      </c>
      <c r="E12563" t="s">
        <v>27924</v>
      </c>
      <c r="F12563" t="s">
        <v>29372</v>
      </c>
      <c r="G12563" t="s">
        <v>29380</v>
      </c>
      <c r="H12563" t="s">
        <v>29389</v>
      </c>
      <c r="I12563" t="s">
        <v>10408</v>
      </c>
      <c r="J12563" t="s">
        <v>37452</v>
      </c>
      <c r="K12563" t="s">
        <v>38490</v>
      </c>
      <c r="M12563" t="s">
        <v>39519</v>
      </c>
      <c r="N12563" t="s">
        <v>42669</v>
      </c>
      <c r="O12563" t="s">
        <v>42670</v>
      </c>
      <c r="Q12563">
        <v>7</v>
      </c>
      <c r="R12563" t="s">
        <v>42690</v>
      </c>
      <c r="S12563" t="s">
        <v>43608</v>
      </c>
      <c r="T12563" t="s">
        <v>44444</v>
      </c>
      <c r="U12563" t="s">
        <v>55048</v>
      </c>
      <c r="W12563" t="s">
        <v>39519</v>
      </c>
      <c r="X12563" t="s">
        <v>42691</v>
      </c>
    </row>
    <row r="12564" spans="1:24">
      <c r="A12564">
        <f>HYPERLINK("https://www.philgeps.gov.ph/GEPSNONPILOT/Tender/SplashBidNoticeAbstractUI.aspx?menuIndex=3&amp;refID=7156108&amp;Result=3","7156108")</f>
        <v>0</v>
      </c>
      <c r="B12564" t="s">
        <v>1785</v>
      </c>
      <c r="C12564" t="s">
        <v>15545</v>
      </c>
      <c r="D12564" t="s">
        <v>17188</v>
      </c>
      <c r="E12564" t="s">
        <v>27925</v>
      </c>
      <c r="F12564" t="s">
        <v>29372</v>
      </c>
      <c r="G12564" t="s">
        <v>29380</v>
      </c>
      <c r="H12564" t="s">
        <v>11048</v>
      </c>
      <c r="I12564" t="s">
        <v>29430</v>
      </c>
      <c r="J12564" t="s">
        <v>29729</v>
      </c>
      <c r="K12564" t="s">
        <v>38488</v>
      </c>
      <c r="M12564" t="s">
        <v>40654</v>
      </c>
      <c r="N12564" t="s">
        <v>42669</v>
      </c>
      <c r="O12564" t="s">
        <v>42670</v>
      </c>
      <c r="P12564">
        <v>0</v>
      </c>
      <c r="Q12564">
        <v>7</v>
      </c>
      <c r="R12564" t="s">
        <v>42690</v>
      </c>
      <c r="S12564" t="s">
        <v>43574</v>
      </c>
      <c r="T12564" t="s">
        <v>44432</v>
      </c>
      <c r="U12564" t="s">
        <v>55049</v>
      </c>
      <c r="W12564" t="s">
        <v>40654</v>
      </c>
      <c r="X12564" t="s">
        <v>42691</v>
      </c>
    </row>
    <row r="12565" spans="1:24">
      <c r="A12565">
        <f>HYPERLINK("https://www.philgeps.gov.ph/GEPSNONPILOT/Tender/SplashBidNoticeAbstractUI.aspx?menuIndex=3&amp;refID=7156107&amp;Result=3","7156107")</f>
        <v>0</v>
      </c>
      <c r="B12565" t="s">
        <v>2020</v>
      </c>
      <c r="C12565" t="s">
        <v>15546</v>
      </c>
      <c r="D12565" t="s">
        <v>17177</v>
      </c>
      <c r="E12565" t="s">
        <v>27926</v>
      </c>
      <c r="F12565" t="s">
        <v>29372</v>
      </c>
      <c r="G12565" t="s">
        <v>29380</v>
      </c>
      <c r="H12565" t="s">
        <v>29389</v>
      </c>
      <c r="I12565" t="s">
        <v>10408</v>
      </c>
      <c r="J12565" t="s">
        <v>37453</v>
      </c>
      <c r="K12565" t="s">
        <v>38487</v>
      </c>
      <c r="M12565" t="s">
        <v>41241</v>
      </c>
      <c r="N12565" t="s">
        <v>42669</v>
      </c>
      <c r="O12565" t="s">
        <v>42670</v>
      </c>
      <c r="P12565">
        <v>0</v>
      </c>
      <c r="Q12565">
        <v>0</v>
      </c>
      <c r="R12565" t="s">
        <v>42690</v>
      </c>
      <c r="S12565" t="s">
        <v>43574</v>
      </c>
      <c r="T12565" t="s">
        <v>44470</v>
      </c>
      <c r="U12565" t="s">
        <v>55043</v>
      </c>
      <c r="V12565" t="s">
        <v>57146</v>
      </c>
      <c r="W12565" t="s">
        <v>41241</v>
      </c>
      <c r="X12565" t="s">
        <v>42691</v>
      </c>
    </row>
    <row r="12566" spans="1:24">
      <c r="A12566">
        <f>HYPERLINK("https://www.philgeps.gov.ph/GEPSNONPILOT/Tender/SplashBidNoticeAbstractUI.aspx?menuIndex=3&amp;refID=7156022&amp;Result=3","7156022")</f>
        <v>0</v>
      </c>
      <c r="B12566" t="s">
        <v>2020</v>
      </c>
      <c r="C12566" t="s">
        <v>15547</v>
      </c>
      <c r="D12566" t="s">
        <v>17177</v>
      </c>
      <c r="E12566" t="s">
        <v>27927</v>
      </c>
      <c r="F12566" t="s">
        <v>29372</v>
      </c>
      <c r="G12566" t="s">
        <v>29380</v>
      </c>
      <c r="H12566" t="s">
        <v>29389</v>
      </c>
      <c r="I12566" t="s">
        <v>10408</v>
      </c>
      <c r="J12566" t="s">
        <v>34250</v>
      </c>
      <c r="K12566" t="s">
        <v>38577</v>
      </c>
      <c r="M12566" t="s">
        <v>41241</v>
      </c>
      <c r="N12566" t="s">
        <v>42669</v>
      </c>
      <c r="O12566" t="s">
        <v>42670</v>
      </c>
      <c r="P12566">
        <v>0</v>
      </c>
      <c r="Q12566">
        <v>1</v>
      </c>
      <c r="R12566" t="s">
        <v>42690</v>
      </c>
      <c r="S12566" t="s">
        <v>43574</v>
      </c>
      <c r="T12566" t="s">
        <v>44470</v>
      </c>
      <c r="U12566" t="s">
        <v>55017</v>
      </c>
      <c r="V12566" t="s">
        <v>57146</v>
      </c>
      <c r="W12566" t="s">
        <v>41241</v>
      </c>
      <c r="X12566" t="s">
        <v>42691</v>
      </c>
    </row>
    <row r="12567" spans="1:24">
      <c r="A12567">
        <f>HYPERLINK("https://www.philgeps.gov.ph/GEPSNONPILOT/Tender/SplashBidNoticeAbstractUI.aspx?menuIndex=3&amp;refID=7156222&amp;Result=3","7156222")</f>
        <v>0</v>
      </c>
      <c r="B12567" t="s">
        <v>3369</v>
      </c>
      <c r="C12567" t="s">
        <v>15548</v>
      </c>
      <c r="D12567" t="s">
        <v>17212</v>
      </c>
      <c r="E12567" t="s">
        <v>27928</v>
      </c>
      <c r="F12567" t="s">
        <v>29372</v>
      </c>
      <c r="G12567" t="s">
        <v>29380</v>
      </c>
      <c r="H12567" t="s">
        <v>29389</v>
      </c>
      <c r="I12567" t="s">
        <v>29417</v>
      </c>
      <c r="J12567" t="s">
        <v>37454</v>
      </c>
      <c r="K12567" t="s">
        <v>38496</v>
      </c>
      <c r="M12567" t="s">
        <v>42463</v>
      </c>
      <c r="N12567" t="s">
        <v>42669</v>
      </c>
      <c r="O12567" t="s">
        <v>42670</v>
      </c>
      <c r="Q12567">
        <v>18</v>
      </c>
      <c r="R12567" t="s">
        <v>42690</v>
      </c>
      <c r="S12567" t="s">
        <v>43609</v>
      </c>
      <c r="T12567" t="s">
        <v>44401</v>
      </c>
      <c r="U12567" t="s">
        <v>55050</v>
      </c>
      <c r="W12567" t="s">
        <v>42463</v>
      </c>
      <c r="X12567" t="s">
        <v>42691</v>
      </c>
    </row>
    <row r="12568" spans="1:24">
      <c r="A12568">
        <f>HYPERLINK("https://www.philgeps.gov.ph/GEPSNONPILOT/Tender/SplashBidNoticeAbstractUI.aspx?menuIndex=3&amp;refID=7156013&amp;Result=3","7156013")</f>
        <v>0</v>
      </c>
      <c r="B12568" t="s">
        <v>3366</v>
      </c>
      <c r="C12568" t="s">
        <v>15549</v>
      </c>
      <c r="D12568" t="s">
        <v>17164</v>
      </c>
      <c r="E12568" t="s">
        <v>27929</v>
      </c>
      <c r="F12568" t="s">
        <v>29372</v>
      </c>
      <c r="G12568" t="s">
        <v>29380</v>
      </c>
      <c r="H12568" t="s">
        <v>11048</v>
      </c>
      <c r="I12568" t="s">
        <v>29399</v>
      </c>
      <c r="J12568" t="s">
        <v>37455</v>
      </c>
      <c r="K12568" t="s">
        <v>38557</v>
      </c>
      <c r="M12568" t="s">
        <v>42460</v>
      </c>
      <c r="N12568" t="s">
        <v>42669</v>
      </c>
      <c r="O12568" t="s">
        <v>42670</v>
      </c>
      <c r="P12568">
        <v>0</v>
      </c>
      <c r="Q12568">
        <v>8</v>
      </c>
      <c r="R12568" t="s">
        <v>42690</v>
      </c>
      <c r="S12568" t="s">
        <v>43574</v>
      </c>
      <c r="T12568" t="s">
        <v>44744</v>
      </c>
      <c r="U12568" t="s">
        <v>55051</v>
      </c>
      <c r="W12568" t="s">
        <v>42460</v>
      </c>
      <c r="X12568" t="s">
        <v>42691</v>
      </c>
    </row>
    <row r="12569" spans="1:24">
      <c r="A12569">
        <f>HYPERLINK("https://www.philgeps.gov.ph/GEPSNONPILOT/Tender/SplashBidNoticeAbstractUI.aspx?menuIndex=3&amp;refID=7156488&amp;Result=3","7156488")</f>
        <v>0</v>
      </c>
      <c r="B12569" t="s">
        <v>1580</v>
      </c>
      <c r="C12569" t="s">
        <v>15550</v>
      </c>
      <c r="D12569" t="s">
        <v>17197</v>
      </c>
      <c r="E12569" t="s">
        <v>27930</v>
      </c>
      <c r="F12569" t="s">
        <v>29372</v>
      </c>
      <c r="G12569" t="s">
        <v>29380</v>
      </c>
      <c r="H12569" t="s">
        <v>11048</v>
      </c>
      <c r="I12569" t="s">
        <v>4486</v>
      </c>
      <c r="J12569" t="s">
        <v>37456</v>
      </c>
      <c r="K12569" t="s">
        <v>38485</v>
      </c>
      <c r="M12569" t="s">
        <v>40430</v>
      </c>
      <c r="N12569" t="s">
        <v>42669</v>
      </c>
      <c r="O12569" t="s">
        <v>42670</v>
      </c>
      <c r="P12569">
        <v>0</v>
      </c>
      <c r="Q12569">
        <v>5</v>
      </c>
      <c r="R12569" t="s">
        <v>42690</v>
      </c>
      <c r="S12569" t="s">
        <v>43574</v>
      </c>
      <c r="T12569" t="s">
        <v>44432</v>
      </c>
      <c r="U12569" t="s">
        <v>55052</v>
      </c>
      <c r="W12569" t="s">
        <v>40430</v>
      </c>
      <c r="X12569" t="s">
        <v>42691</v>
      </c>
    </row>
    <row r="12570" spans="1:24">
      <c r="A12570">
        <f>HYPERLINK("https://www.philgeps.gov.ph/GEPSNONPILOT/Tender/SplashBidNoticeAbstractUI.aspx?menuIndex=3&amp;refID=7156483&amp;Result=3","7156483")</f>
        <v>0</v>
      </c>
      <c r="B12570" t="s">
        <v>662</v>
      </c>
      <c r="C12570" t="s">
        <v>15551</v>
      </c>
      <c r="D12570" t="s">
        <v>17211</v>
      </c>
      <c r="E12570" t="s">
        <v>27931</v>
      </c>
      <c r="F12570" t="s">
        <v>29372</v>
      </c>
      <c r="G12570" t="s">
        <v>29380</v>
      </c>
      <c r="H12570" t="s">
        <v>11048</v>
      </c>
      <c r="I12570" t="s">
        <v>4709</v>
      </c>
      <c r="J12570" t="s">
        <v>37457</v>
      </c>
      <c r="K12570" t="s">
        <v>38487</v>
      </c>
      <c r="M12570" t="s">
        <v>39438</v>
      </c>
      <c r="N12570" t="s">
        <v>42669</v>
      </c>
      <c r="O12570" t="s">
        <v>42670</v>
      </c>
      <c r="P12570">
        <v>0</v>
      </c>
      <c r="Q12570">
        <v>1</v>
      </c>
      <c r="R12570" t="s">
        <v>42690</v>
      </c>
      <c r="S12570" t="s">
        <v>43574</v>
      </c>
      <c r="T12570" t="s">
        <v>44401</v>
      </c>
      <c r="U12570" t="s">
        <v>55053</v>
      </c>
      <c r="W12570" t="s">
        <v>39438</v>
      </c>
      <c r="X12570" t="s">
        <v>42691</v>
      </c>
    </row>
    <row r="12571" spans="1:24">
      <c r="A12571">
        <f>HYPERLINK("https://www.philgeps.gov.ph/GEPSNONPILOT/Tender/SplashBidNoticeAbstractUI.aspx?menuIndex=3&amp;refID=7156145&amp;Result=3","7156145")</f>
        <v>0</v>
      </c>
      <c r="B12571" t="s">
        <v>3366</v>
      </c>
      <c r="C12571" t="s">
        <v>15552</v>
      </c>
      <c r="D12571" t="s">
        <v>17164</v>
      </c>
      <c r="E12571" t="s">
        <v>27932</v>
      </c>
      <c r="F12571" t="s">
        <v>29372</v>
      </c>
      <c r="G12571" t="s">
        <v>29380</v>
      </c>
      <c r="H12571" t="s">
        <v>29389</v>
      </c>
      <c r="I12571" t="s">
        <v>10408</v>
      </c>
      <c r="J12571" t="s">
        <v>37458</v>
      </c>
      <c r="K12571" t="s">
        <v>38528</v>
      </c>
      <c r="M12571" t="s">
        <v>42460</v>
      </c>
      <c r="N12571" t="s">
        <v>42669</v>
      </c>
      <c r="O12571" t="s">
        <v>42670</v>
      </c>
      <c r="P12571">
        <v>0</v>
      </c>
      <c r="Q12571">
        <v>0</v>
      </c>
      <c r="R12571" t="s">
        <v>42690</v>
      </c>
      <c r="S12571" t="s">
        <v>43574</v>
      </c>
      <c r="T12571" t="s">
        <v>44744</v>
      </c>
      <c r="U12571" t="s">
        <v>55054</v>
      </c>
      <c r="W12571" t="s">
        <v>42460</v>
      </c>
      <c r="X12571" t="s">
        <v>42691</v>
      </c>
    </row>
    <row r="12572" spans="1:24">
      <c r="A12572">
        <f>HYPERLINK("https://www.philgeps.gov.ph/GEPSNONPILOT/Tender/SplashBidNoticeAbstractUI.aspx?menuIndex=3&amp;refID=7156477&amp;Result=3","7156477")</f>
        <v>0</v>
      </c>
      <c r="B12572" t="s">
        <v>83</v>
      </c>
      <c r="C12572" t="s">
        <v>15553</v>
      </c>
      <c r="D12572" t="s">
        <v>17160</v>
      </c>
      <c r="E12572" t="s">
        <v>27933</v>
      </c>
      <c r="F12572" t="s">
        <v>29372</v>
      </c>
      <c r="G12572" t="s">
        <v>29380</v>
      </c>
      <c r="H12572" t="s">
        <v>29389</v>
      </c>
      <c r="I12572" t="s">
        <v>10408</v>
      </c>
      <c r="J12572" t="s">
        <v>29543</v>
      </c>
      <c r="K12572" t="s">
        <v>38485</v>
      </c>
      <c r="M12572" t="s">
        <v>38837</v>
      </c>
      <c r="N12572" t="s">
        <v>42669</v>
      </c>
      <c r="O12572" t="s">
        <v>42670</v>
      </c>
      <c r="P12572">
        <v>0</v>
      </c>
      <c r="Q12572">
        <v>2</v>
      </c>
      <c r="R12572" t="s">
        <v>42690</v>
      </c>
      <c r="S12572" t="s">
        <v>43574</v>
      </c>
      <c r="T12572" t="s">
        <v>44491</v>
      </c>
      <c r="U12572" t="s">
        <v>49385</v>
      </c>
      <c r="W12572" t="s">
        <v>38837</v>
      </c>
      <c r="X12572" t="s">
        <v>42691</v>
      </c>
    </row>
    <row r="12573" spans="1:24">
      <c r="A12573">
        <f>HYPERLINK("https://www.philgeps.gov.ph/GEPSNONPILOT/Tender/SplashBidNoticeAbstractUI.aspx?menuIndex=3&amp;refID=7156025&amp;Result=3","7156025")</f>
        <v>0</v>
      </c>
      <c r="B12573" t="s">
        <v>455</v>
      </c>
      <c r="C12573" t="s">
        <v>15554</v>
      </c>
      <c r="D12573" t="s">
        <v>17157</v>
      </c>
      <c r="E12573" t="s">
        <v>27934</v>
      </c>
      <c r="F12573" t="s">
        <v>29372</v>
      </c>
      <c r="G12573" t="s">
        <v>29380</v>
      </c>
      <c r="H12573" t="s">
        <v>29389</v>
      </c>
      <c r="I12573" t="s">
        <v>10408</v>
      </c>
      <c r="J12573" t="s">
        <v>29543</v>
      </c>
      <c r="K12573" t="s">
        <v>38495</v>
      </c>
      <c r="M12573" t="s">
        <v>39219</v>
      </c>
      <c r="N12573" t="s">
        <v>42669</v>
      </c>
      <c r="O12573" t="s">
        <v>42670</v>
      </c>
      <c r="P12573">
        <v>0</v>
      </c>
      <c r="Q12573">
        <v>0</v>
      </c>
      <c r="R12573" t="s">
        <v>42690</v>
      </c>
      <c r="S12573" t="s">
        <v>43574</v>
      </c>
      <c r="T12573" t="s">
        <v>44427</v>
      </c>
      <c r="U12573" t="s">
        <v>53571</v>
      </c>
      <c r="V12573" t="s">
        <v>57805</v>
      </c>
      <c r="W12573" t="s">
        <v>39219</v>
      </c>
      <c r="X12573" t="s">
        <v>42691</v>
      </c>
    </row>
    <row r="12574" spans="1:24">
      <c r="A12574">
        <f>HYPERLINK("https://www.philgeps.gov.ph/GEPSNONPILOT/Tender/SplashBidNoticeAbstractUI.aspx?menuIndex=3&amp;refID=7156453&amp;Result=3","7156453")</f>
        <v>0</v>
      </c>
      <c r="B12574" t="s">
        <v>1188</v>
      </c>
      <c r="C12574" t="s">
        <v>15555</v>
      </c>
      <c r="D12574" t="s">
        <v>17162</v>
      </c>
      <c r="E12574" t="s">
        <v>27935</v>
      </c>
      <c r="F12574" t="s">
        <v>29372</v>
      </c>
      <c r="G12574" t="s">
        <v>29380</v>
      </c>
      <c r="H12574" t="s">
        <v>11048</v>
      </c>
      <c r="I12574" t="s">
        <v>9469</v>
      </c>
      <c r="J12574" t="s">
        <v>30300</v>
      </c>
      <c r="K12574" t="s">
        <v>38490</v>
      </c>
      <c r="M12574" t="s">
        <v>40004</v>
      </c>
      <c r="N12574" t="s">
        <v>42669</v>
      </c>
      <c r="O12574" t="s">
        <v>42670</v>
      </c>
      <c r="P12574">
        <v>0</v>
      </c>
      <c r="Q12574">
        <v>8</v>
      </c>
      <c r="R12574" t="s">
        <v>42690</v>
      </c>
      <c r="S12574" t="s">
        <v>43574</v>
      </c>
      <c r="T12574" t="s">
        <v>44488</v>
      </c>
      <c r="U12574" t="s">
        <v>55055</v>
      </c>
      <c r="W12574" t="s">
        <v>58038</v>
      </c>
      <c r="X12574" t="s">
        <v>42691</v>
      </c>
    </row>
    <row r="12575" spans="1:24">
      <c r="A12575">
        <f>HYPERLINK("https://www.philgeps.gov.ph/GEPSNONPILOT/Tender/SplashBidNoticeAbstractUI.aspx?menuIndex=3&amp;refID=7156432&amp;Result=3","7156432")</f>
        <v>0</v>
      </c>
      <c r="B12575" t="s">
        <v>898</v>
      </c>
      <c r="C12575" t="s">
        <v>15556</v>
      </c>
      <c r="D12575" t="s">
        <v>17142</v>
      </c>
      <c r="E12575" t="s">
        <v>27936</v>
      </c>
      <c r="F12575" t="s">
        <v>29372</v>
      </c>
      <c r="G12575" t="s">
        <v>29380</v>
      </c>
      <c r="H12575" t="s">
        <v>11048</v>
      </c>
      <c r="I12575" t="s">
        <v>29444</v>
      </c>
      <c r="J12575" t="s">
        <v>37459</v>
      </c>
      <c r="K12575" t="s">
        <v>38490</v>
      </c>
      <c r="M12575" t="s">
        <v>42465</v>
      </c>
      <c r="N12575" t="s">
        <v>42669</v>
      </c>
      <c r="O12575" t="s">
        <v>42670</v>
      </c>
      <c r="Q12575">
        <v>5</v>
      </c>
      <c r="R12575" t="s">
        <v>42690</v>
      </c>
      <c r="S12575" t="s">
        <v>43610</v>
      </c>
      <c r="T12575" t="s">
        <v>44354</v>
      </c>
      <c r="U12575" t="s">
        <v>55056</v>
      </c>
      <c r="V12575" t="s">
        <v>57116</v>
      </c>
      <c r="W12575" t="s">
        <v>42465</v>
      </c>
      <c r="X12575" t="s">
        <v>42691</v>
      </c>
    </row>
    <row r="12576" spans="1:24">
      <c r="A12576">
        <f>HYPERLINK("https://www.philgeps.gov.ph/GEPSNONPILOT/Tender/SplashBidNoticeAbstractUI.aspx?menuIndex=3&amp;refID=7156416&amp;Result=3","7156416")</f>
        <v>0</v>
      </c>
      <c r="B12576" t="s">
        <v>898</v>
      </c>
      <c r="C12576" t="s">
        <v>15557</v>
      </c>
      <c r="D12576" t="s">
        <v>17142</v>
      </c>
      <c r="E12576" t="s">
        <v>27937</v>
      </c>
      <c r="F12576" t="s">
        <v>29372</v>
      </c>
      <c r="G12576" t="s">
        <v>29380</v>
      </c>
      <c r="H12576" t="s">
        <v>11048</v>
      </c>
      <c r="I12576" t="s">
        <v>29394</v>
      </c>
      <c r="J12576" t="s">
        <v>37460</v>
      </c>
      <c r="K12576" t="s">
        <v>38490</v>
      </c>
      <c r="M12576" t="s">
        <v>42465</v>
      </c>
      <c r="N12576" t="s">
        <v>42669</v>
      </c>
      <c r="O12576" t="s">
        <v>42670</v>
      </c>
      <c r="Q12576">
        <v>5</v>
      </c>
      <c r="R12576" t="s">
        <v>42690</v>
      </c>
      <c r="S12576" t="s">
        <v>43611</v>
      </c>
      <c r="T12576" t="s">
        <v>44354</v>
      </c>
      <c r="U12576" t="s">
        <v>55057</v>
      </c>
      <c r="V12576" t="s">
        <v>57116</v>
      </c>
      <c r="W12576" t="s">
        <v>42465</v>
      </c>
      <c r="X12576" t="s">
        <v>42691</v>
      </c>
    </row>
    <row r="12577" spans="1:24">
      <c r="A12577">
        <f>HYPERLINK("https://www.philgeps.gov.ph/GEPSNONPILOT/Tender/SplashBidNoticeAbstractUI.aspx?menuIndex=3&amp;refID=7156419&amp;Result=3","7156419")</f>
        <v>0</v>
      </c>
      <c r="B12577" t="s">
        <v>3371</v>
      </c>
      <c r="C12577" t="s">
        <v>15558</v>
      </c>
      <c r="D12577" t="s">
        <v>17188</v>
      </c>
      <c r="E12577" t="s">
        <v>17870</v>
      </c>
      <c r="F12577" t="s">
        <v>29372</v>
      </c>
      <c r="G12577" t="s">
        <v>29380</v>
      </c>
      <c r="H12577" t="s">
        <v>11048</v>
      </c>
      <c r="I12577" t="s">
        <v>4709</v>
      </c>
      <c r="J12577" t="s">
        <v>31545</v>
      </c>
      <c r="K12577" t="s">
        <v>38485</v>
      </c>
      <c r="M12577" t="s">
        <v>42466</v>
      </c>
      <c r="N12577" t="s">
        <v>42669</v>
      </c>
      <c r="O12577" t="s">
        <v>42670</v>
      </c>
      <c r="P12577">
        <v>0</v>
      </c>
      <c r="Q12577">
        <v>0</v>
      </c>
      <c r="R12577" t="s">
        <v>42690</v>
      </c>
      <c r="S12577" t="s">
        <v>43574</v>
      </c>
      <c r="T12577" t="s">
        <v>44357</v>
      </c>
      <c r="U12577" t="s">
        <v>46036</v>
      </c>
      <c r="W12577" t="s">
        <v>42466</v>
      </c>
      <c r="X12577" t="s">
        <v>42691</v>
      </c>
    </row>
    <row r="12578" spans="1:24">
      <c r="A12578">
        <f>HYPERLINK("https://www.philgeps.gov.ph/GEPSNONPILOT/Tender/SplashBidNoticeAbstractUI.aspx?menuIndex=3&amp;refID=7156408&amp;Result=3","7156408")</f>
        <v>0</v>
      </c>
      <c r="B12578" t="s">
        <v>3372</v>
      </c>
      <c r="C12578" t="s">
        <v>3991</v>
      </c>
      <c r="D12578" t="s">
        <v>17166</v>
      </c>
      <c r="E12578" t="s">
        <v>18038</v>
      </c>
      <c r="F12578" t="s">
        <v>29372</v>
      </c>
      <c r="G12578" t="s">
        <v>29380</v>
      </c>
      <c r="H12578" t="s">
        <v>29389</v>
      </c>
      <c r="I12578" t="s">
        <v>29417</v>
      </c>
      <c r="J12578" t="s">
        <v>37461</v>
      </c>
      <c r="K12578" t="s">
        <v>38485</v>
      </c>
      <c r="M12578" t="s">
        <v>42467</v>
      </c>
      <c r="N12578" t="s">
        <v>42669</v>
      </c>
      <c r="O12578" t="s">
        <v>42670</v>
      </c>
      <c r="P12578">
        <v>0</v>
      </c>
      <c r="Q12578">
        <v>2</v>
      </c>
      <c r="R12578" t="s">
        <v>42690</v>
      </c>
      <c r="S12578" t="s">
        <v>43574</v>
      </c>
      <c r="T12578" t="s">
        <v>44385</v>
      </c>
      <c r="U12578" t="s">
        <v>55058</v>
      </c>
      <c r="W12578" t="s">
        <v>42467</v>
      </c>
      <c r="X12578" t="s">
        <v>42691</v>
      </c>
    </row>
    <row r="12579" spans="1:24">
      <c r="A12579">
        <f>HYPERLINK("https://www.philgeps.gov.ph/GEPSNONPILOT/Tender/SplashBidNoticeAbstractUI.aspx?menuIndex=3&amp;refID=7156234&amp;Result=3","7156234")</f>
        <v>0</v>
      </c>
      <c r="B12579" t="s">
        <v>3198</v>
      </c>
      <c r="C12579" t="s">
        <v>15559</v>
      </c>
      <c r="D12579" t="s">
        <v>17177</v>
      </c>
      <c r="E12579" t="s">
        <v>23866</v>
      </c>
      <c r="F12579" t="s">
        <v>29372</v>
      </c>
      <c r="G12579" t="s">
        <v>29380</v>
      </c>
      <c r="H12579" t="s">
        <v>29389</v>
      </c>
      <c r="I12579" t="s">
        <v>10408</v>
      </c>
      <c r="J12579" t="s">
        <v>37462</v>
      </c>
      <c r="K12579" t="s">
        <v>38554</v>
      </c>
      <c r="L12579" t="s">
        <v>3198</v>
      </c>
      <c r="M12579" t="s">
        <v>42258</v>
      </c>
      <c r="N12579" t="s">
        <v>42669</v>
      </c>
      <c r="O12579" t="s">
        <v>42670</v>
      </c>
      <c r="P12579">
        <v>0</v>
      </c>
      <c r="Q12579">
        <v>6</v>
      </c>
      <c r="R12579" t="s">
        <v>42690</v>
      </c>
      <c r="S12579" t="s">
        <v>43574</v>
      </c>
      <c r="T12579" t="s">
        <v>44488</v>
      </c>
      <c r="U12579" t="s">
        <v>55059</v>
      </c>
      <c r="W12579" t="s">
        <v>42258</v>
      </c>
      <c r="X12579" t="s">
        <v>42691</v>
      </c>
    </row>
    <row r="12580" spans="1:24">
      <c r="A12580">
        <f>HYPERLINK("https://www.philgeps.gov.ph/GEPSNONPILOT/Tender/SplashBidNoticeAbstractUI.aspx?menuIndex=3&amp;refID=7156406&amp;Result=3","7156406")</f>
        <v>0</v>
      </c>
      <c r="B12580" t="s">
        <v>1115</v>
      </c>
      <c r="C12580" t="s">
        <v>15560</v>
      </c>
      <c r="D12580" t="s">
        <v>17167</v>
      </c>
      <c r="E12580" t="s">
        <v>27938</v>
      </c>
      <c r="F12580" t="s">
        <v>29372</v>
      </c>
      <c r="G12580" t="s">
        <v>29380</v>
      </c>
      <c r="H12580" t="s">
        <v>11048</v>
      </c>
      <c r="I12580" t="s">
        <v>5383</v>
      </c>
      <c r="J12580" t="s">
        <v>37463</v>
      </c>
      <c r="K12580" t="s">
        <v>38491</v>
      </c>
      <c r="M12580" t="s">
        <v>42031</v>
      </c>
      <c r="N12580" t="s">
        <v>42669</v>
      </c>
      <c r="O12580" t="s">
        <v>42670</v>
      </c>
      <c r="P12580">
        <v>0</v>
      </c>
      <c r="Q12580">
        <v>2</v>
      </c>
      <c r="R12580" t="s">
        <v>42690</v>
      </c>
      <c r="S12580" t="s">
        <v>43574</v>
      </c>
      <c r="T12580" t="s">
        <v>44548</v>
      </c>
      <c r="U12580" t="s">
        <v>55060</v>
      </c>
      <c r="W12580" t="s">
        <v>42031</v>
      </c>
      <c r="X12580" t="s">
        <v>42691</v>
      </c>
    </row>
    <row r="12581" spans="1:24">
      <c r="A12581">
        <f>HYPERLINK("https://www.philgeps.gov.ph/GEPSNONPILOT/Tender/SplashBidNoticeAbstractUI.aspx?menuIndex=3&amp;refID=7156376&amp;Result=3","7156376")</f>
        <v>0</v>
      </c>
      <c r="B12581" t="s">
        <v>3373</v>
      </c>
      <c r="C12581" t="s">
        <v>15561</v>
      </c>
      <c r="D12581" t="s">
        <v>17168</v>
      </c>
      <c r="E12581" t="s">
        <v>27939</v>
      </c>
      <c r="F12581" t="s">
        <v>29372</v>
      </c>
      <c r="G12581" t="s">
        <v>29380</v>
      </c>
      <c r="H12581" t="s">
        <v>29389</v>
      </c>
      <c r="I12581" t="s">
        <v>10408</v>
      </c>
      <c r="J12581" t="s">
        <v>37464</v>
      </c>
      <c r="K12581" t="s">
        <v>38495</v>
      </c>
      <c r="M12581" t="s">
        <v>42468</v>
      </c>
      <c r="N12581" t="s">
        <v>42669</v>
      </c>
      <c r="O12581" t="s">
        <v>42670</v>
      </c>
      <c r="P12581">
        <v>0</v>
      </c>
      <c r="Q12581">
        <v>6</v>
      </c>
      <c r="R12581" t="s">
        <v>42690</v>
      </c>
      <c r="S12581" t="s">
        <v>43574</v>
      </c>
      <c r="T12581" t="s">
        <v>44466</v>
      </c>
      <c r="U12581" t="s">
        <v>55061</v>
      </c>
      <c r="W12581" t="s">
        <v>58128</v>
      </c>
      <c r="X12581" t="s">
        <v>42691</v>
      </c>
    </row>
    <row r="12582" spans="1:24">
      <c r="A12582">
        <f>HYPERLINK("https://www.philgeps.gov.ph/GEPSNONPILOT/Tender/SplashBidNoticeAbstractUI.aspx?menuIndex=3&amp;refID=7156153&amp;Result=3","7156153")</f>
        <v>0</v>
      </c>
      <c r="B12582" t="s">
        <v>2020</v>
      </c>
      <c r="C12582" t="s">
        <v>15562</v>
      </c>
      <c r="D12582" t="s">
        <v>17177</v>
      </c>
      <c r="E12582" t="s">
        <v>27940</v>
      </c>
      <c r="F12582" t="s">
        <v>29372</v>
      </c>
      <c r="G12582" t="s">
        <v>29380</v>
      </c>
      <c r="H12582" t="s">
        <v>29389</v>
      </c>
      <c r="I12582" t="s">
        <v>10408</v>
      </c>
      <c r="J12582" t="s">
        <v>37465</v>
      </c>
      <c r="K12582" t="s">
        <v>38496</v>
      </c>
      <c r="M12582" t="s">
        <v>41241</v>
      </c>
      <c r="N12582" t="s">
        <v>42669</v>
      </c>
      <c r="O12582" t="s">
        <v>42670</v>
      </c>
      <c r="P12582">
        <v>0</v>
      </c>
      <c r="Q12582">
        <v>0</v>
      </c>
      <c r="R12582" t="s">
        <v>42690</v>
      </c>
      <c r="S12582" t="s">
        <v>43574</v>
      </c>
      <c r="T12582" t="s">
        <v>44470</v>
      </c>
      <c r="U12582" t="s">
        <v>55043</v>
      </c>
      <c r="V12582" t="s">
        <v>57146</v>
      </c>
      <c r="W12582" t="s">
        <v>41241</v>
      </c>
      <c r="X12582" t="s">
        <v>42691</v>
      </c>
    </row>
    <row r="12583" spans="1:24">
      <c r="A12583">
        <f>HYPERLINK("https://www.philgeps.gov.ph/GEPSNONPILOT/Tender/SplashBidNoticeAbstractUI.aspx?menuIndex=3&amp;refID=7156262&amp;Result=3","7156262")</f>
        <v>0</v>
      </c>
      <c r="B12583" t="s">
        <v>3374</v>
      </c>
      <c r="C12583" t="s">
        <v>15563</v>
      </c>
      <c r="D12583" t="s">
        <v>17159</v>
      </c>
      <c r="E12583" t="s">
        <v>27941</v>
      </c>
      <c r="F12583" t="s">
        <v>29372</v>
      </c>
      <c r="G12583" t="s">
        <v>29380</v>
      </c>
      <c r="H12583" t="s">
        <v>11048</v>
      </c>
      <c r="I12583" t="s">
        <v>5383</v>
      </c>
      <c r="J12583" t="s">
        <v>37466</v>
      </c>
      <c r="K12583" t="s">
        <v>38485</v>
      </c>
      <c r="M12583" t="s">
        <v>42469</v>
      </c>
      <c r="N12583" t="s">
        <v>42669</v>
      </c>
      <c r="O12583" t="s">
        <v>42670</v>
      </c>
      <c r="Q12583">
        <v>4</v>
      </c>
      <c r="R12583" t="s">
        <v>42690</v>
      </c>
      <c r="S12583" t="s">
        <v>43612</v>
      </c>
      <c r="T12583" t="s">
        <v>44427</v>
      </c>
      <c r="U12583" t="s">
        <v>55062</v>
      </c>
      <c r="W12583" t="s">
        <v>42469</v>
      </c>
      <c r="X12583" t="s">
        <v>42691</v>
      </c>
    </row>
    <row r="12584" spans="1:24">
      <c r="A12584">
        <f>HYPERLINK("https://www.philgeps.gov.ph/GEPSNONPILOT/Tender/SplashBidNoticeAbstractUI.aspx?menuIndex=3&amp;refID=7156467&amp;Result=3","7156467")</f>
        <v>0</v>
      </c>
      <c r="B12584" t="s">
        <v>3374</v>
      </c>
      <c r="C12584" t="s">
        <v>15564</v>
      </c>
      <c r="D12584" t="s">
        <v>17159</v>
      </c>
      <c r="E12584" t="s">
        <v>27942</v>
      </c>
      <c r="F12584" t="s">
        <v>29372</v>
      </c>
      <c r="G12584" t="s">
        <v>29380</v>
      </c>
      <c r="H12584" t="s">
        <v>11048</v>
      </c>
      <c r="I12584" t="s">
        <v>5383</v>
      </c>
      <c r="J12584" t="s">
        <v>37467</v>
      </c>
      <c r="K12584" t="s">
        <v>38485</v>
      </c>
      <c r="M12584" t="s">
        <v>42469</v>
      </c>
      <c r="N12584" t="s">
        <v>42669</v>
      </c>
      <c r="O12584" t="s">
        <v>42670</v>
      </c>
      <c r="Q12584">
        <v>4</v>
      </c>
      <c r="R12584" t="s">
        <v>42690</v>
      </c>
      <c r="S12584" t="s">
        <v>43613</v>
      </c>
      <c r="T12584" t="s">
        <v>44427</v>
      </c>
      <c r="U12584" t="s">
        <v>55062</v>
      </c>
      <c r="W12584" t="s">
        <v>42469</v>
      </c>
      <c r="X12584" t="s">
        <v>42691</v>
      </c>
    </row>
    <row r="12585" spans="1:24">
      <c r="A12585">
        <f>HYPERLINK("https://www.philgeps.gov.ph/GEPSNONPILOT/Tender/SplashBidNoticeAbstractUI.aspx?menuIndex=3&amp;refID=7156356&amp;Result=3","7156356")</f>
        <v>0</v>
      </c>
      <c r="B12585" t="s">
        <v>983</v>
      </c>
      <c r="C12585" t="s">
        <v>15565</v>
      </c>
      <c r="D12585" t="s">
        <v>17189</v>
      </c>
      <c r="E12585" t="s">
        <v>27943</v>
      </c>
      <c r="F12585" t="s">
        <v>29372</v>
      </c>
      <c r="G12585" t="s">
        <v>29380</v>
      </c>
      <c r="H12585" t="s">
        <v>11048</v>
      </c>
      <c r="I12585" t="s">
        <v>9469</v>
      </c>
      <c r="J12585" t="s">
        <v>33011</v>
      </c>
      <c r="K12585" t="s">
        <v>38485</v>
      </c>
      <c r="M12585" t="s">
        <v>39781</v>
      </c>
      <c r="N12585" t="s">
        <v>42669</v>
      </c>
      <c r="O12585" t="s">
        <v>42670</v>
      </c>
      <c r="P12585">
        <v>0</v>
      </c>
      <c r="Q12585">
        <v>0</v>
      </c>
      <c r="R12585" t="s">
        <v>42690</v>
      </c>
      <c r="S12585" t="s">
        <v>43574</v>
      </c>
      <c r="T12585" t="s">
        <v>44744</v>
      </c>
      <c r="U12585" t="s">
        <v>55063</v>
      </c>
      <c r="V12585" t="s">
        <v>57152</v>
      </c>
      <c r="W12585" t="s">
        <v>39781</v>
      </c>
      <c r="X12585" t="s">
        <v>42691</v>
      </c>
    </row>
    <row r="12586" spans="1:24">
      <c r="A12586">
        <f>HYPERLINK("https://www.philgeps.gov.ph/GEPSNONPILOT/Tender/SplashBidNoticeAbstractUI.aspx?menuIndex=3&amp;refID=7156325&amp;Result=3","7156325")</f>
        <v>0</v>
      </c>
      <c r="B12586" t="s">
        <v>3374</v>
      </c>
      <c r="C12586" t="s">
        <v>15566</v>
      </c>
      <c r="D12586" t="s">
        <v>17159</v>
      </c>
      <c r="E12586" t="s">
        <v>27944</v>
      </c>
      <c r="F12586" t="s">
        <v>29372</v>
      </c>
      <c r="G12586" t="s">
        <v>29380</v>
      </c>
      <c r="H12586" t="s">
        <v>11048</v>
      </c>
      <c r="I12586" t="s">
        <v>5383</v>
      </c>
      <c r="J12586" t="s">
        <v>37468</v>
      </c>
      <c r="K12586" t="s">
        <v>38485</v>
      </c>
      <c r="M12586" t="s">
        <v>42469</v>
      </c>
      <c r="N12586" t="s">
        <v>42669</v>
      </c>
      <c r="O12586" t="s">
        <v>42670</v>
      </c>
      <c r="Q12586">
        <v>3</v>
      </c>
      <c r="R12586" t="s">
        <v>42690</v>
      </c>
      <c r="S12586" t="s">
        <v>43614</v>
      </c>
      <c r="T12586" t="s">
        <v>44427</v>
      </c>
      <c r="U12586" t="s">
        <v>55062</v>
      </c>
      <c r="W12586" t="s">
        <v>42469</v>
      </c>
      <c r="X12586" t="s">
        <v>42691</v>
      </c>
    </row>
    <row r="12587" spans="1:24">
      <c r="A12587">
        <f>HYPERLINK("https://www.philgeps.gov.ph/GEPSNONPILOT/Tender/SplashBidNoticeAbstractUI.aspx?menuIndex=3&amp;refID=7156397&amp;Result=3","7156397")</f>
        <v>0</v>
      </c>
      <c r="B12587" t="s">
        <v>2414</v>
      </c>
      <c r="C12587" t="s">
        <v>15567</v>
      </c>
      <c r="D12587" t="s">
        <v>17211</v>
      </c>
      <c r="E12587" t="s">
        <v>27945</v>
      </c>
      <c r="F12587" t="s">
        <v>29372</v>
      </c>
      <c r="G12587" t="s">
        <v>29380</v>
      </c>
      <c r="H12587" t="s">
        <v>29389</v>
      </c>
      <c r="I12587" t="s">
        <v>10408</v>
      </c>
      <c r="J12587" t="s">
        <v>37469</v>
      </c>
      <c r="K12587" t="s">
        <v>38495</v>
      </c>
      <c r="M12587" t="s">
        <v>41361</v>
      </c>
      <c r="N12587" t="s">
        <v>42669</v>
      </c>
      <c r="O12587" t="s">
        <v>42670</v>
      </c>
      <c r="P12587">
        <v>0</v>
      </c>
      <c r="Q12587">
        <v>1</v>
      </c>
      <c r="R12587" t="s">
        <v>42690</v>
      </c>
      <c r="S12587" t="s">
        <v>43574</v>
      </c>
      <c r="T12587" t="s">
        <v>44527</v>
      </c>
      <c r="U12587" t="s">
        <v>55064</v>
      </c>
      <c r="V12587" t="s">
        <v>57811</v>
      </c>
      <c r="W12587" t="s">
        <v>41361</v>
      </c>
      <c r="X12587" t="s">
        <v>42691</v>
      </c>
    </row>
    <row r="12588" spans="1:24">
      <c r="A12588">
        <f>HYPERLINK("https://www.philgeps.gov.ph/GEPSNONPILOT/Tender/SplashBidNoticeAbstractUI.aspx?menuIndex=3&amp;refID=7156596&amp;Result=3","7156596")</f>
        <v>0</v>
      </c>
      <c r="B12588" t="s">
        <v>1513</v>
      </c>
      <c r="C12588" t="s">
        <v>15568</v>
      </c>
      <c r="D12588" t="s">
        <v>17171</v>
      </c>
      <c r="E12588" t="s">
        <v>27946</v>
      </c>
      <c r="F12588" t="s">
        <v>29372</v>
      </c>
      <c r="G12588" t="s">
        <v>29380</v>
      </c>
      <c r="H12588" t="s">
        <v>29389</v>
      </c>
      <c r="I12588" t="s">
        <v>10408</v>
      </c>
      <c r="J12588" t="s">
        <v>31485</v>
      </c>
      <c r="K12588" t="s">
        <v>38490</v>
      </c>
      <c r="M12588" t="s">
        <v>40357</v>
      </c>
      <c r="N12588" t="s">
        <v>42669</v>
      </c>
      <c r="O12588" t="s">
        <v>42670</v>
      </c>
      <c r="P12588">
        <v>0</v>
      </c>
      <c r="Q12588">
        <v>3</v>
      </c>
      <c r="R12588" t="s">
        <v>42690</v>
      </c>
      <c r="S12588" t="s">
        <v>43574</v>
      </c>
      <c r="T12588" t="s">
        <v>44570</v>
      </c>
      <c r="U12588" t="s">
        <v>55065</v>
      </c>
      <c r="V12588" t="s">
        <v>57480</v>
      </c>
      <c r="W12588" t="s">
        <v>40357</v>
      </c>
      <c r="X12588" t="s">
        <v>42691</v>
      </c>
    </row>
    <row r="12589" spans="1:24">
      <c r="A12589">
        <f>HYPERLINK("https://www.philgeps.gov.ph/GEPSNONPILOT/Tender/SplashBidNoticeAbstractUI.aspx?menuIndex=3&amp;refID=7156586&amp;Result=3","7156586")</f>
        <v>0</v>
      </c>
      <c r="B12589" t="s">
        <v>3375</v>
      </c>
      <c r="C12589" t="s">
        <v>15569</v>
      </c>
      <c r="D12589" t="s">
        <v>17215</v>
      </c>
      <c r="E12589" t="s">
        <v>27947</v>
      </c>
      <c r="F12589" t="s">
        <v>29372</v>
      </c>
      <c r="G12589" t="s">
        <v>29380</v>
      </c>
      <c r="H12589" t="s">
        <v>29389</v>
      </c>
      <c r="I12589" t="s">
        <v>10408</v>
      </c>
      <c r="J12589" t="s">
        <v>37470</v>
      </c>
      <c r="K12589" t="s">
        <v>38592</v>
      </c>
      <c r="M12589" t="s">
        <v>42470</v>
      </c>
      <c r="N12589" t="s">
        <v>42669</v>
      </c>
      <c r="O12589" t="s">
        <v>42670</v>
      </c>
      <c r="P12589">
        <v>0</v>
      </c>
      <c r="Q12589">
        <v>15</v>
      </c>
      <c r="R12589" t="s">
        <v>42690</v>
      </c>
      <c r="S12589" t="s">
        <v>43574</v>
      </c>
      <c r="T12589" t="s">
        <v>44481</v>
      </c>
      <c r="U12589" t="s">
        <v>55066</v>
      </c>
      <c r="W12589" t="s">
        <v>42470</v>
      </c>
      <c r="X12589" t="s">
        <v>42691</v>
      </c>
    </row>
    <row r="12590" spans="1:24">
      <c r="A12590">
        <f>HYPERLINK("https://www.philgeps.gov.ph/GEPSNONPILOT/Tender/SplashBidNoticeAbstractUI.aspx?menuIndex=3&amp;refID=7156640&amp;Result=3","7156640")</f>
        <v>0</v>
      </c>
      <c r="B12590" t="s">
        <v>49</v>
      </c>
      <c r="C12590" t="s">
        <v>15570</v>
      </c>
      <c r="D12590" t="s">
        <v>17156</v>
      </c>
      <c r="E12590" t="s">
        <v>27948</v>
      </c>
      <c r="F12590" t="s">
        <v>29372</v>
      </c>
      <c r="G12590" t="s">
        <v>29380</v>
      </c>
      <c r="H12590" t="s">
        <v>29389</v>
      </c>
      <c r="I12590" t="s">
        <v>10408</v>
      </c>
      <c r="J12590" t="s">
        <v>37471</v>
      </c>
      <c r="K12590" t="s">
        <v>38522</v>
      </c>
      <c r="M12590" t="s">
        <v>41966</v>
      </c>
      <c r="N12590" t="s">
        <v>42669</v>
      </c>
      <c r="O12590" t="s">
        <v>42670</v>
      </c>
      <c r="P12590">
        <v>0</v>
      </c>
      <c r="Q12590">
        <v>3</v>
      </c>
      <c r="R12590" t="s">
        <v>42690</v>
      </c>
      <c r="S12590" t="s">
        <v>43574</v>
      </c>
      <c r="T12590" t="s">
        <v>44414</v>
      </c>
      <c r="U12590" t="s">
        <v>55067</v>
      </c>
      <c r="W12590" t="s">
        <v>41966</v>
      </c>
      <c r="X12590" t="s">
        <v>42691</v>
      </c>
    </row>
    <row r="12591" spans="1:24">
      <c r="A12591">
        <f>HYPERLINK("https://www.philgeps.gov.ph/GEPSNONPILOT/Tender/SplashBidNoticeAbstractUI.aspx?menuIndex=3&amp;refID=7156631&amp;Result=3","7156631")</f>
        <v>0</v>
      </c>
      <c r="B12591" t="s">
        <v>2444</v>
      </c>
      <c r="C12591" t="s">
        <v>15571</v>
      </c>
      <c r="D12591" t="s">
        <v>17205</v>
      </c>
      <c r="E12591" t="s">
        <v>27949</v>
      </c>
      <c r="F12591" t="s">
        <v>29372</v>
      </c>
      <c r="G12591" t="s">
        <v>29380</v>
      </c>
      <c r="H12591" t="s">
        <v>11048</v>
      </c>
      <c r="I12591" t="s">
        <v>29426</v>
      </c>
      <c r="J12591" t="s">
        <v>37472</v>
      </c>
      <c r="K12591" t="s">
        <v>38488</v>
      </c>
      <c r="M12591" t="s">
        <v>41392</v>
      </c>
      <c r="N12591" t="s">
        <v>42669</v>
      </c>
      <c r="O12591" t="s">
        <v>42670</v>
      </c>
      <c r="P12591">
        <v>0</v>
      </c>
      <c r="Q12591">
        <v>8</v>
      </c>
      <c r="R12591" t="s">
        <v>42690</v>
      </c>
      <c r="S12591" t="s">
        <v>43574</v>
      </c>
      <c r="T12591" t="s">
        <v>44427</v>
      </c>
      <c r="U12591" t="s">
        <v>55068</v>
      </c>
      <c r="V12591" t="s">
        <v>57812</v>
      </c>
      <c r="W12591" t="s">
        <v>41392</v>
      </c>
      <c r="X12591" t="s">
        <v>42691</v>
      </c>
    </row>
    <row r="12592" spans="1:24">
      <c r="A12592">
        <f>HYPERLINK("https://www.philgeps.gov.ph/GEPSNONPILOT/Tender/SplashBidNoticeAbstractUI.aspx?menuIndex=3&amp;refID=7156348&amp;Result=3","7156348")</f>
        <v>0</v>
      </c>
      <c r="B12592" t="s">
        <v>27</v>
      </c>
      <c r="C12592" t="s">
        <v>15572</v>
      </c>
      <c r="D12592" t="s">
        <v>17141</v>
      </c>
      <c r="E12592" t="s">
        <v>27950</v>
      </c>
      <c r="F12592" t="s">
        <v>29372</v>
      </c>
      <c r="G12592" t="s">
        <v>29380</v>
      </c>
      <c r="H12592" t="s">
        <v>11048</v>
      </c>
      <c r="I12592" t="s">
        <v>29412</v>
      </c>
      <c r="J12592" t="s">
        <v>37473</v>
      </c>
      <c r="K12592" t="s">
        <v>38496</v>
      </c>
      <c r="M12592" t="s">
        <v>38780</v>
      </c>
      <c r="N12592" t="s">
        <v>42669</v>
      </c>
      <c r="O12592" t="s">
        <v>42670</v>
      </c>
      <c r="Q12592">
        <v>11</v>
      </c>
      <c r="R12592" t="s">
        <v>42690</v>
      </c>
      <c r="S12592" t="s">
        <v>43615</v>
      </c>
      <c r="T12592" t="s">
        <v>44548</v>
      </c>
      <c r="U12592" t="s">
        <v>55069</v>
      </c>
      <c r="W12592" t="s">
        <v>38780</v>
      </c>
      <c r="X12592" t="s">
        <v>42691</v>
      </c>
    </row>
    <row r="12593" spans="1:24">
      <c r="A12593">
        <f>HYPERLINK("https://www.philgeps.gov.ph/GEPSNONPILOT/Tender/SplashBidNoticeAbstractUI.aspx?menuIndex=3&amp;refID=7156624&amp;Result=3","7156624")</f>
        <v>0</v>
      </c>
      <c r="B12593" t="s">
        <v>1625</v>
      </c>
      <c r="C12593" t="s">
        <v>15573</v>
      </c>
      <c r="D12593" t="s">
        <v>17199</v>
      </c>
      <c r="E12593" t="s">
        <v>20958</v>
      </c>
      <c r="F12593" t="s">
        <v>29372</v>
      </c>
      <c r="G12593" t="s">
        <v>29380</v>
      </c>
      <c r="H12593" t="s">
        <v>11048</v>
      </c>
      <c r="I12593" t="s">
        <v>9469</v>
      </c>
      <c r="J12593" t="s">
        <v>31839</v>
      </c>
      <c r="K12593" t="s">
        <v>38490</v>
      </c>
      <c r="M12593" t="s">
        <v>40479</v>
      </c>
      <c r="N12593" t="s">
        <v>42669</v>
      </c>
      <c r="O12593" t="s">
        <v>42670</v>
      </c>
      <c r="P12593">
        <v>0</v>
      </c>
      <c r="Q12593">
        <v>7</v>
      </c>
      <c r="R12593" t="s">
        <v>42690</v>
      </c>
      <c r="S12593" t="s">
        <v>43574</v>
      </c>
      <c r="T12593" t="s">
        <v>44631</v>
      </c>
      <c r="U12593" t="s">
        <v>55070</v>
      </c>
      <c r="W12593" t="s">
        <v>40479</v>
      </c>
      <c r="X12593" t="s">
        <v>42691</v>
      </c>
    </row>
    <row r="12594" spans="1:24">
      <c r="A12594">
        <f>HYPERLINK("https://www.philgeps.gov.ph/GEPSNONPILOT/Tender/SplashBidNoticeAbstractUI.aspx?menuIndex=3&amp;refID=7156403&amp;Result=3","7156403")</f>
        <v>0</v>
      </c>
      <c r="B12594" t="s">
        <v>1188</v>
      </c>
      <c r="C12594" t="s">
        <v>15574</v>
      </c>
      <c r="D12594" t="s">
        <v>17162</v>
      </c>
      <c r="E12594" t="s">
        <v>27951</v>
      </c>
      <c r="F12594" t="s">
        <v>29372</v>
      </c>
      <c r="G12594" t="s">
        <v>29380</v>
      </c>
      <c r="H12594" t="s">
        <v>11048</v>
      </c>
      <c r="I12594" t="s">
        <v>9469</v>
      </c>
      <c r="J12594" t="s">
        <v>30815</v>
      </c>
      <c r="K12594" t="s">
        <v>38490</v>
      </c>
      <c r="M12594" t="s">
        <v>40004</v>
      </c>
      <c r="N12594" t="s">
        <v>42669</v>
      </c>
      <c r="O12594" t="s">
        <v>42670</v>
      </c>
      <c r="P12594">
        <v>0</v>
      </c>
      <c r="Q12594">
        <v>7</v>
      </c>
      <c r="R12594" t="s">
        <v>42690</v>
      </c>
      <c r="S12594" t="s">
        <v>43574</v>
      </c>
      <c r="T12594" t="s">
        <v>44488</v>
      </c>
      <c r="U12594" t="s">
        <v>55071</v>
      </c>
      <c r="W12594" t="s">
        <v>58038</v>
      </c>
      <c r="X12594" t="s">
        <v>42691</v>
      </c>
    </row>
    <row r="12595" spans="1:24">
      <c r="A12595">
        <f>HYPERLINK("https://www.philgeps.gov.ph/GEPSNONPILOT/Tender/SplashBidNoticeAbstractUI.aspx?menuIndex=3&amp;refID=7156615&amp;Result=3","7156615")</f>
        <v>0</v>
      </c>
      <c r="B12595" t="s">
        <v>459</v>
      </c>
      <c r="C12595" t="s">
        <v>15575</v>
      </c>
      <c r="D12595" t="s">
        <v>17193</v>
      </c>
      <c r="E12595" t="s">
        <v>27952</v>
      </c>
      <c r="F12595" t="s">
        <v>29372</v>
      </c>
      <c r="G12595" t="s">
        <v>29380</v>
      </c>
      <c r="H12595" t="s">
        <v>11048</v>
      </c>
      <c r="I12595" t="s">
        <v>29395</v>
      </c>
      <c r="J12595" t="s">
        <v>36383</v>
      </c>
      <c r="K12595" t="s">
        <v>38510</v>
      </c>
      <c r="M12595" t="s">
        <v>40623</v>
      </c>
      <c r="N12595" t="s">
        <v>42669</v>
      </c>
      <c r="O12595" t="s">
        <v>42670</v>
      </c>
      <c r="P12595">
        <v>0</v>
      </c>
      <c r="Q12595">
        <v>7</v>
      </c>
      <c r="R12595" t="s">
        <v>42690</v>
      </c>
      <c r="S12595" t="s">
        <v>43574</v>
      </c>
      <c r="T12595" t="s">
        <v>44480</v>
      </c>
      <c r="U12595" t="s">
        <v>55072</v>
      </c>
      <c r="W12595" t="s">
        <v>40623</v>
      </c>
      <c r="X12595" t="s">
        <v>42691</v>
      </c>
    </row>
    <row r="12596" spans="1:24">
      <c r="A12596">
        <f>HYPERLINK("https://www.philgeps.gov.ph/GEPSNONPILOT/Tender/SplashBidNoticeAbstractUI.aspx?menuIndex=3&amp;refID=7156620&amp;Result=3","7156620")</f>
        <v>0</v>
      </c>
      <c r="B12596" t="s">
        <v>3376</v>
      </c>
      <c r="C12596" t="s">
        <v>15576</v>
      </c>
      <c r="D12596" t="s">
        <v>17204</v>
      </c>
      <c r="E12596" t="s">
        <v>27953</v>
      </c>
      <c r="F12596" t="s">
        <v>29372</v>
      </c>
      <c r="G12596" t="s">
        <v>29380</v>
      </c>
      <c r="H12596" t="s">
        <v>11048</v>
      </c>
      <c r="I12596" t="s">
        <v>29423</v>
      </c>
      <c r="J12596" t="s">
        <v>37474</v>
      </c>
      <c r="K12596" t="s">
        <v>38485</v>
      </c>
      <c r="M12596" t="s">
        <v>42471</v>
      </c>
      <c r="N12596" t="s">
        <v>42669</v>
      </c>
      <c r="O12596" t="s">
        <v>42670</v>
      </c>
      <c r="Q12596">
        <v>8</v>
      </c>
      <c r="R12596" t="s">
        <v>42690</v>
      </c>
      <c r="S12596" t="s">
        <v>43616</v>
      </c>
      <c r="T12596" t="s">
        <v>44496</v>
      </c>
      <c r="U12596" t="s">
        <v>55073</v>
      </c>
      <c r="W12596" t="s">
        <v>42471</v>
      </c>
      <c r="X12596" t="s">
        <v>42691</v>
      </c>
    </row>
    <row r="12597" spans="1:24">
      <c r="A12597">
        <f>HYPERLINK("https://www.philgeps.gov.ph/GEPSNONPILOT/Tender/SplashBidNoticeAbstractUI.aspx?menuIndex=3&amp;refID=7156369&amp;Result=3","7156369")</f>
        <v>0</v>
      </c>
      <c r="B12597" t="s">
        <v>613</v>
      </c>
      <c r="C12597" t="s">
        <v>15577</v>
      </c>
      <c r="D12597" t="s">
        <v>17205</v>
      </c>
      <c r="E12597" t="s">
        <v>27954</v>
      </c>
      <c r="F12597" t="s">
        <v>29372</v>
      </c>
      <c r="G12597" t="s">
        <v>29380</v>
      </c>
      <c r="H12597" t="s">
        <v>11048</v>
      </c>
      <c r="I12597" t="s">
        <v>29414</v>
      </c>
      <c r="J12597" t="s">
        <v>37475</v>
      </c>
      <c r="K12597" t="s">
        <v>38490</v>
      </c>
      <c r="M12597" t="s">
        <v>39384</v>
      </c>
      <c r="N12597" t="s">
        <v>42669</v>
      </c>
      <c r="O12597" t="s">
        <v>42670</v>
      </c>
      <c r="Q12597">
        <v>24</v>
      </c>
      <c r="R12597" t="s">
        <v>42690</v>
      </c>
      <c r="S12597" t="s">
        <v>43617</v>
      </c>
      <c r="T12597" t="s">
        <v>44401</v>
      </c>
      <c r="U12597" t="s">
        <v>55074</v>
      </c>
      <c r="V12597" t="s">
        <v>56968</v>
      </c>
      <c r="W12597" t="s">
        <v>39384</v>
      </c>
      <c r="X12597" t="s">
        <v>42691</v>
      </c>
    </row>
    <row r="12598" spans="1:24">
      <c r="A12598">
        <f>HYPERLINK("https://www.philgeps.gov.ph/GEPSNONPILOT/Tender/SplashBidNoticeAbstractUI.aspx?menuIndex=3&amp;refID=7156562&amp;Result=3","7156562")</f>
        <v>0</v>
      </c>
      <c r="B12598" t="s">
        <v>1513</v>
      </c>
      <c r="C12598" t="s">
        <v>15578</v>
      </c>
      <c r="D12598" t="s">
        <v>17171</v>
      </c>
      <c r="E12598" t="s">
        <v>27955</v>
      </c>
      <c r="F12598" t="s">
        <v>29372</v>
      </c>
      <c r="G12598" t="s">
        <v>29380</v>
      </c>
      <c r="H12598" t="s">
        <v>11048</v>
      </c>
      <c r="I12598" t="s">
        <v>29452</v>
      </c>
      <c r="J12598" t="s">
        <v>37476</v>
      </c>
      <c r="K12598" t="s">
        <v>38490</v>
      </c>
      <c r="M12598" t="s">
        <v>40357</v>
      </c>
      <c r="N12598" t="s">
        <v>42669</v>
      </c>
      <c r="O12598" t="s">
        <v>42670</v>
      </c>
      <c r="Q12598">
        <v>3</v>
      </c>
      <c r="R12598" t="s">
        <v>42690</v>
      </c>
      <c r="S12598" t="s">
        <v>43618</v>
      </c>
      <c r="T12598" t="s">
        <v>44570</v>
      </c>
      <c r="U12598" t="s">
        <v>55075</v>
      </c>
      <c r="V12598" t="s">
        <v>57480</v>
      </c>
      <c r="W12598" t="s">
        <v>40357</v>
      </c>
      <c r="X12598" t="s">
        <v>42691</v>
      </c>
    </row>
    <row r="12599" spans="1:24">
      <c r="A12599">
        <f>HYPERLINK("https://www.philgeps.gov.ph/GEPSNONPILOT/Tender/SplashBidNoticeAbstractUI.aspx?menuIndex=3&amp;refID=7156538&amp;Result=3","7156538")</f>
        <v>0</v>
      </c>
      <c r="B12599" t="s">
        <v>3377</v>
      </c>
      <c r="C12599" t="s">
        <v>15579</v>
      </c>
      <c r="D12599" t="s">
        <v>17142</v>
      </c>
      <c r="E12599" t="s">
        <v>27956</v>
      </c>
      <c r="F12599" t="s">
        <v>29372</v>
      </c>
      <c r="G12599" t="s">
        <v>29380</v>
      </c>
      <c r="H12599" t="s">
        <v>29390</v>
      </c>
      <c r="I12599" t="s">
        <v>29419</v>
      </c>
      <c r="J12599" t="s">
        <v>37477</v>
      </c>
      <c r="K12599" t="s">
        <v>38522</v>
      </c>
      <c r="M12599" t="s">
        <v>42472</v>
      </c>
      <c r="N12599" t="s">
        <v>42669</v>
      </c>
      <c r="O12599" t="s">
        <v>42670</v>
      </c>
      <c r="Q12599">
        <v>4</v>
      </c>
      <c r="R12599" t="s">
        <v>42690</v>
      </c>
      <c r="S12599" t="s">
        <v>42945</v>
      </c>
      <c r="T12599" t="s">
        <v>44612</v>
      </c>
      <c r="U12599" t="s">
        <v>55076</v>
      </c>
      <c r="V12599" t="s">
        <v>57813</v>
      </c>
      <c r="W12599" t="s">
        <v>42472</v>
      </c>
      <c r="X12599" t="s">
        <v>42691</v>
      </c>
    </row>
    <row r="12600" spans="1:24">
      <c r="A12600">
        <f>HYPERLINK("https://www.philgeps.gov.ph/GEPSNONPILOT/Tender/SplashBidNoticeAbstractUI.aspx?menuIndex=3&amp;refID=7156636&amp;Result=3","7156636")</f>
        <v>0</v>
      </c>
      <c r="B12600" t="s">
        <v>3377</v>
      </c>
      <c r="C12600" t="s">
        <v>15580</v>
      </c>
      <c r="D12600" t="s">
        <v>17142</v>
      </c>
      <c r="E12600" t="s">
        <v>27957</v>
      </c>
      <c r="F12600" t="s">
        <v>29372</v>
      </c>
      <c r="G12600" t="s">
        <v>29380</v>
      </c>
      <c r="H12600" t="s">
        <v>29390</v>
      </c>
      <c r="I12600" t="s">
        <v>29419</v>
      </c>
      <c r="J12600" t="s">
        <v>37478</v>
      </c>
      <c r="K12600" t="s">
        <v>38522</v>
      </c>
      <c r="M12600" t="s">
        <v>42472</v>
      </c>
      <c r="N12600" t="s">
        <v>42669</v>
      </c>
      <c r="O12600" t="s">
        <v>42670</v>
      </c>
      <c r="Q12600">
        <v>4</v>
      </c>
      <c r="R12600" t="s">
        <v>42690</v>
      </c>
      <c r="S12600" t="s">
        <v>43619</v>
      </c>
      <c r="T12600" t="s">
        <v>44612</v>
      </c>
      <c r="U12600" t="s">
        <v>55076</v>
      </c>
      <c r="V12600" t="s">
        <v>57814</v>
      </c>
      <c r="W12600" t="s">
        <v>42472</v>
      </c>
      <c r="X12600" t="s">
        <v>42691</v>
      </c>
    </row>
    <row r="12601" spans="1:24">
      <c r="A12601">
        <f>HYPERLINK("https://www.philgeps.gov.ph/GEPSNONPILOT/Tender/SplashBidNoticeAbstractUI.aspx?menuIndex=3&amp;refID=7156529&amp;Result=3","7156529")</f>
        <v>0</v>
      </c>
      <c r="B12601" t="s">
        <v>1513</v>
      </c>
      <c r="C12601" t="s">
        <v>15581</v>
      </c>
      <c r="D12601" t="s">
        <v>17171</v>
      </c>
      <c r="E12601" t="s">
        <v>27958</v>
      </c>
      <c r="F12601" t="s">
        <v>29372</v>
      </c>
      <c r="G12601" t="s">
        <v>29380</v>
      </c>
      <c r="H12601" t="s">
        <v>11048</v>
      </c>
      <c r="I12601" t="s">
        <v>9469</v>
      </c>
      <c r="J12601" t="s">
        <v>37479</v>
      </c>
      <c r="K12601" t="s">
        <v>38490</v>
      </c>
      <c r="M12601" t="s">
        <v>40357</v>
      </c>
      <c r="N12601" t="s">
        <v>42669</v>
      </c>
      <c r="O12601" t="s">
        <v>42670</v>
      </c>
      <c r="Q12601">
        <v>4</v>
      </c>
      <c r="R12601" t="s">
        <v>42690</v>
      </c>
      <c r="S12601" t="s">
        <v>43620</v>
      </c>
      <c r="T12601" t="s">
        <v>44570</v>
      </c>
      <c r="U12601" t="s">
        <v>55077</v>
      </c>
      <c r="V12601" t="s">
        <v>57480</v>
      </c>
      <c r="W12601" t="s">
        <v>40357</v>
      </c>
      <c r="X12601" t="s">
        <v>42691</v>
      </c>
    </row>
    <row r="12602" spans="1:24">
      <c r="A12602">
        <f>HYPERLINK("https://www.philgeps.gov.ph/GEPSNONPILOT/Tender/SplashBidNoticeAbstractUI.aspx?menuIndex=3&amp;refID=7156507&amp;Result=3","7156507")</f>
        <v>0</v>
      </c>
      <c r="B12602" t="s">
        <v>3374</v>
      </c>
      <c r="C12602" t="s">
        <v>15582</v>
      </c>
      <c r="D12602" t="s">
        <v>17159</v>
      </c>
      <c r="E12602" t="s">
        <v>27959</v>
      </c>
      <c r="F12602" t="s">
        <v>29372</v>
      </c>
      <c r="G12602" t="s">
        <v>29380</v>
      </c>
      <c r="H12602" t="s">
        <v>11048</v>
      </c>
      <c r="I12602" t="s">
        <v>5383</v>
      </c>
      <c r="J12602" t="s">
        <v>37480</v>
      </c>
      <c r="K12602" t="s">
        <v>38485</v>
      </c>
      <c r="M12602" t="s">
        <v>42469</v>
      </c>
      <c r="N12602" t="s">
        <v>42669</v>
      </c>
      <c r="O12602" t="s">
        <v>42670</v>
      </c>
      <c r="Q12602">
        <v>4</v>
      </c>
      <c r="R12602" t="s">
        <v>42690</v>
      </c>
      <c r="S12602" t="s">
        <v>43621</v>
      </c>
      <c r="T12602" t="s">
        <v>44427</v>
      </c>
      <c r="U12602" t="s">
        <v>55062</v>
      </c>
      <c r="W12602" t="s">
        <v>42469</v>
      </c>
      <c r="X12602" t="s">
        <v>42691</v>
      </c>
    </row>
    <row r="12603" spans="1:24">
      <c r="A12603">
        <f>HYPERLINK("https://www.philgeps.gov.ph/GEPSNONPILOT/Tender/SplashBidNoticeAbstractUI.aspx?menuIndex=3&amp;refID=7156606&amp;Result=3","7156606")</f>
        <v>0</v>
      </c>
      <c r="B12603" t="s">
        <v>669</v>
      </c>
      <c r="C12603" t="s">
        <v>15583</v>
      </c>
      <c r="D12603" t="s">
        <v>17147</v>
      </c>
      <c r="E12603" t="s">
        <v>27960</v>
      </c>
      <c r="F12603" t="s">
        <v>29372</v>
      </c>
      <c r="G12603" t="s">
        <v>29379</v>
      </c>
      <c r="H12603" t="s">
        <v>11048</v>
      </c>
      <c r="I12603" t="s">
        <v>8208</v>
      </c>
      <c r="J12603" t="s">
        <v>31623</v>
      </c>
      <c r="K12603" t="s">
        <v>38490</v>
      </c>
      <c r="M12603" t="s">
        <v>39445</v>
      </c>
      <c r="N12603" t="s">
        <v>42669</v>
      </c>
      <c r="O12603" t="s">
        <v>42670</v>
      </c>
      <c r="Q12603">
        <v>0</v>
      </c>
      <c r="R12603" t="s">
        <v>42690</v>
      </c>
      <c r="S12603" t="s">
        <v>43622</v>
      </c>
      <c r="T12603" t="s">
        <v>44432</v>
      </c>
      <c r="U12603" t="s">
        <v>55078</v>
      </c>
      <c r="V12603" t="s">
        <v>56460</v>
      </c>
      <c r="W12603" t="s">
        <v>39445</v>
      </c>
      <c r="X12603" t="s">
        <v>42691</v>
      </c>
    </row>
    <row r="12604" spans="1:24">
      <c r="A12604">
        <f>HYPERLINK("https://www.philgeps.gov.ph/GEPSNONPILOT/Tender/SplashBidNoticeAbstractUI.aspx?menuIndex=3&amp;refID=7156500&amp;Result=3","7156500")</f>
        <v>0</v>
      </c>
      <c r="B12604" t="s">
        <v>1513</v>
      </c>
      <c r="C12604" t="s">
        <v>15584</v>
      </c>
      <c r="D12604" t="s">
        <v>17171</v>
      </c>
      <c r="E12604" t="s">
        <v>27961</v>
      </c>
      <c r="F12604" t="s">
        <v>29372</v>
      </c>
      <c r="G12604" t="s">
        <v>29380</v>
      </c>
      <c r="H12604" t="s">
        <v>11048</v>
      </c>
      <c r="I12604" t="s">
        <v>9469</v>
      </c>
      <c r="J12604" t="s">
        <v>37481</v>
      </c>
      <c r="K12604" t="s">
        <v>38490</v>
      </c>
      <c r="M12604" t="s">
        <v>40357</v>
      </c>
      <c r="N12604" t="s">
        <v>42669</v>
      </c>
      <c r="O12604" t="s">
        <v>42670</v>
      </c>
      <c r="Q12604">
        <v>3</v>
      </c>
      <c r="R12604" t="s">
        <v>42690</v>
      </c>
      <c r="S12604" t="s">
        <v>43281</v>
      </c>
      <c r="T12604" t="s">
        <v>44570</v>
      </c>
      <c r="U12604" t="s">
        <v>55079</v>
      </c>
      <c r="V12604" t="s">
        <v>57480</v>
      </c>
      <c r="W12604" t="s">
        <v>40357</v>
      </c>
      <c r="X12604" t="s">
        <v>42691</v>
      </c>
    </row>
    <row r="12605" spans="1:24">
      <c r="A12605">
        <f>HYPERLINK("https://www.philgeps.gov.ph/GEPSNONPILOT/Tender/SplashBidNoticeAbstractUI.aspx?menuIndex=3&amp;refID=7156494&amp;Result=3","7156494")</f>
        <v>0</v>
      </c>
      <c r="B12605" t="s">
        <v>1188</v>
      </c>
      <c r="C12605" t="s">
        <v>15585</v>
      </c>
      <c r="D12605" t="s">
        <v>17162</v>
      </c>
      <c r="E12605" t="s">
        <v>27962</v>
      </c>
      <c r="F12605" t="s">
        <v>29372</v>
      </c>
      <c r="G12605" t="s">
        <v>29380</v>
      </c>
      <c r="H12605" t="s">
        <v>11048</v>
      </c>
      <c r="I12605" t="s">
        <v>29414</v>
      </c>
      <c r="J12605" t="s">
        <v>37482</v>
      </c>
      <c r="K12605" t="s">
        <v>38490</v>
      </c>
      <c r="M12605" t="s">
        <v>40004</v>
      </c>
      <c r="N12605" t="s">
        <v>42669</v>
      </c>
      <c r="O12605" t="s">
        <v>42670</v>
      </c>
      <c r="P12605">
        <v>0</v>
      </c>
      <c r="Q12605">
        <v>9</v>
      </c>
      <c r="R12605" t="s">
        <v>42690</v>
      </c>
      <c r="S12605" t="s">
        <v>43574</v>
      </c>
      <c r="T12605" t="s">
        <v>44488</v>
      </c>
      <c r="U12605" t="s">
        <v>55080</v>
      </c>
      <c r="W12605" t="s">
        <v>58038</v>
      </c>
      <c r="X12605" t="s">
        <v>42691</v>
      </c>
    </row>
    <row r="12606" spans="1:24">
      <c r="A12606">
        <f>HYPERLINK("https://www.philgeps.gov.ph/GEPSNONPILOT/Tender/SplashBidNoticeAbstractUI.aspx?menuIndex=3&amp;refID=7156560&amp;Result=3","7156560")</f>
        <v>0</v>
      </c>
      <c r="B12606" t="s">
        <v>459</v>
      </c>
      <c r="C12606" t="s">
        <v>15586</v>
      </c>
      <c r="D12606" t="s">
        <v>17193</v>
      </c>
      <c r="E12606" t="s">
        <v>27963</v>
      </c>
      <c r="F12606" t="s">
        <v>29372</v>
      </c>
      <c r="G12606" t="s">
        <v>29380</v>
      </c>
      <c r="H12606" t="s">
        <v>11048</v>
      </c>
      <c r="I12606" t="s">
        <v>8614</v>
      </c>
      <c r="J12606" t="s">
        <v>29789</v>
      </c>
      <c r="K12606" t="s">
        <v>38485</v>
      </c>
      <c r="M12606" t="s">
        <v>40623</v>
      </c>
      <c r="N12606" t="s">
        <v>42669</v>
      </c>
      <c r="O12606" t="s">
        <v>42670</v>
      </c>
      <c r="P12606">
        <v>0</v>
      </c>
      <c r="Q12606">
        <v>10</v>
      </c>
      <c r="R12606" t="s">
        <v>42690</v>
      </c>
      <c r="S12606" t="s">
        <v>43574</v>
      </c>
      <c r="T12606" t="s">
        <v>44480</v>
      </c>
      <c r="U12606" t="s">
        <v>55081</v>
      </c>
      <c r="W12606" t="s">
        <v>40623</v>
      </c>
      <c r="X12606" t="s">
        <v>42691</v>
      </c>
    </row>
    <row r="12607" spans="1:24">
      <c r="A12607">
        <f>HYPERLINK("https://www.philgeps.gov.ph/GEPSNONPILOT/Tender/SplashBidNoticeAbstractUI.aspx?menuIndex=3&amp;refID=7156558&amp;Result=3","7156558")</f>
        <v>0</v>
      </c>
      <c r="B12607" t="s">
        <v>3378</v>
      </c>
      <c r="C12607" t="s">
        <v>15587</v>
      </c>
      <c r="D12607" t="s">
        <v>17148</v>
      </c>
      <c r="E12607" t="s">
        <v>27964</v>
      </c>
      <c r="F12607" t="s">
        <v>29372</v>
      </c>
      <c r="G12607" t="s">
        <v>29380</v>
      </c>
      <c r="H12607" t="s">
        <v>29389</v>
      </c>
      <c r="I12607" t="s">
        <v>10408</v>
      </c>
      <c r="J12607" t="s">
        <v>37483</v>
      </c>
      <c r="K12607" t="s">
        <v>38526</v>
      </c>
      <c r="M12607" t="s">
        <v>42473</v>
      </c>
      <c r="N12607" t="s">
        <v>42669</v>
      </c>
      <c r="O12607" t="s">
        <v>42670</v>
      </c>
      <c r="P12607">
        <v>0</v>
      </c>
      <c r="Q12607">
        <v>8</v>
      </c>
      <c r="R12607" t="s">
        <v>42690</v>
      </c>
      <c r="S12607" t="s">
        <v>43574</v>
      </c>
      <c r="T12607" t="s">
        <v>44512</v>
      </c>
      <c r="U12607" t="s">
        <v>55082</v>
      </c>
      <c r="V12607" t="s">
        <v>57815</v>
      </c>
      <c r="W12607" t="s">
        <v>42473</v>
      </c>
      <c r="X12607" t="s">
        <v>42691</v>
      </c>
    </row>
    <row r="12608" spans="1:24">
      <c r="A12608">
        <f>HYPERLINK("https://www.philgeps.gov.ph/GEPSNONPILOT/Tender/SplashBidNoticeAbstractUI.aspx?menuIndex=3&amp;refID=7156491&amp;Result=3","7156491")</f>
        <v>0</v>
      </c>
      <c r="B12608" t="s">
        <v>1488</v>
      </c>
      <c r="C12608" t="s">
        <v>15588</v>
      </c>
      <c r="D12608" t="s">
        <v>17205</v>
      </c>
      <c r="E12608" t="s">
        <v>27965</v>
      </c>
      <c r="F12608" t="s">
        <v>29372</v>
      </c>
      <c r="G12608" t="s">
        <v>29380</v>
      </c>
      <c r="H12608" t="s">
        <v>29389</v>
      </c>
      <c r="I12608" t="s">
        <v>10408</v>
      </c>
      <c r="J12608" t="s">
        <v>37484</v>
      </c>
      <c r="K12608" t="s">
        <v>38509</v>
      </c>
      <c r="M12608" t="s">
        <v>40331</v>
      </c>
      <c r="N12608" t="s">
        <v>42669</v>
      </c>
      <c r="O12608" t="s">
        <v>42670</v>
      </c>
      <c r="Q12608">
        <v>15</v>
      </c>
      <c r="R12608" t="s">
        <v>42690</v>
      </c>
      <c r="S12608" t="s">
        <v>43623</v>
      </c>
      <c r="T12608" t="s">
        <v>44488</v>
      </c>
      <c r="U12608" t="s">
        <v>55083</v>
      </c>
      <c r="V12608" t="s">
        <v>56777</v>
      </c>
      <c r="W12608" t="s">
        <v>40331</v>
      </c>
      <c r="X12608" t="s">
        <v>42691</v>
      </c>
    </row>
    <row r="12609" spans="1:24">
      <c r="A12609">
        <f>HYPERLINK("https://www.philgeps.gov.ph/GEPSNONPILOT/Tender/SplashBidNoticeAbstractUI.aspx?menuIndex=3&amp;refID=7156323&amp;Result=3","7156323")</f>
        <v>0</v>
      </c>
      <c r="B12609" t="s">
        <v>1115</v>
      </c>
      <c r="C12609" t="s">
        <v>15589</v>
      </c>
      <c r="D12609" t="s">
        <v>17167</v>
      </c>
      <c r="E12609" t="s">
        <v>27966</v>
      </c>
      <c r="F12609" t="s">
        <v>29372</v>
      </c>
      <c r="G12609" t="s">
        <v>29380</v>
      </c>
      <c r="H12609" t="s">
        <v>11048</v>
      </c>
      <c r="I12609" t="s">
        <v>8614</v>
      </c>
      <c r="J12609" t="s">
        <v>37485</v>
      </c>
      <c r="K12609" t="s">
        <v>38491</v>
      </c>
      <c r="M12609" t="s">
        <v>42031</v>
      </c>
      <c r="N12609" t="s">
        <v>42669</v>
      </c>
      <c r="O12609" t="s">
        <v>42670</v>
      </c>
      <c r="P12609">
        <v>0</v>
      </c>
      <c r="Q12609">
        <v>9</v>
      </c>
      <c r="R12609" t="s">
        <v>42690</v>
      </c>
      <c r="S12609" t="s">
        <v>43574</v>
      </c>
      <c r="T12609" t="s">
        <v>44548</v>
      </c>
      <c r="U12609" t="s">
        <v>55084</v>
      </c>
      <c r="W12609" t="s">
        <v>42031</v>
      </c>
      <c r="X12609" t="s">
        <v>42691</v>
      </c>
    </row>
    <row r="12610" spans="1:24">
      <c r="A12610">
        <f>HYPERLINK("https://www.philgeps.gov.ph/GEPSNONPILOT/Tender/SplashBidNoticeAbstractUI.aspx?menuIndex=3&amp;refID=7156011&amp;Result=3","7156011")</f>
        <v>0</v>
      </c>
      <c r="B12610" t="s">
        <v>262</v>
      </c>
      <c r="C12610" t="s">
        <v>15590</v>
      </c>
      <c r="D12610" t="s">
        <v>17153</v>
      </c>
      <c r="E12610" t="s">
        <v>27967</v>
      </c>
      <c r="F12610" t="s">
        <v>29372</v>
      </c>
      <c r="G12610" t="s">
        <v>29380</v>
      </c>
      <c r="H12610" t="s">
        <v>29389</v>
      </c>
      <c r="I12610" t="s">
        <v>10408</v>
      </c>
      <c r="J12610" t="s">
        <v>29708</v>
      </c>
      <c r="K12610" t="s">
        <v>38495</v>
      </c>
      <c r="M12610" t="s">
        <v>39021</v>
      </c>
      <c r="N12610" t="s">
        <v>42669</v>
      </c>
      <c r="O12610" t="s">
        <v>42670</v>
      </c>
      <c r="P12610">
        <v>0</v>
      </c>
      <c r="Q12610">
        <v>0</v>
      </c>
      <c r="R12610" t="s">
        <v>42690</v>
      </c>
      <c r="S12610" t="s">
        <v>43574</v>
      </c>
      <c r="T12610" t="s">
        <v>44469</v>
      </c>
      <c r="U12610" t="s">
        <v>45424</v>
      </c>
      <c r="V12610" t="s">
        <v>57809</v>
      </c>
      <c r="W12610" t="s">
        <v>39021</v>
      </c>
      <c r="X12610" t="s">
        <v>42691</v>
      </c>
    </row>
    <row r="12611" spans="1:24">
      <c r="A12611">
        <f>HYPERLINK("https://www.philgeps.gov.ph/GEPSNONPILOT/Tender/SplashBidNoticeAbstractUI.aspx?menuIndex=3&amp;refID=7156010&amp;Result=3","7156010")</f>
        <v>0</v>
      </c>
      <c r="B12611" t="s">
        <v>3379</v>
      </c>
      <c r="C12611" t="s">
        <v>15591</v>
      </c>
      <c r="D12611" t="s">
        <v>17194</v>
      </c>
      <c r="E12611" t="s">
        <v>27968</v>
      </c>
      <c r="F12611" t="s">
        <v>29373</v>
      </c>
      <c r="G12611" t="s">
        <v>29383</v>
      </c>
      <c r="H12611" t="s">
        <v>11048</v>
      </c>
      <c r="I12611" t="s">
        <v>8614</v>
      </c>
      <c r="J12611" t="s">
        <v>30302</v>
      </c>
      <c r="K12611" t="s">
        <v>38485</v>
      </c>
      <c r="M12611" t="s">
        <v>42474</v>
      </c>
      <c r="N12611" t="s">
        <v>42669</v>
      </c>
      <c r="O12611" t="s">
        <v>42670</v>
      </c>
      <c r="P12611">
        <v>0</v>
      </c>
      <c r="Q12611">
        <v>4</v>
      </c>
      <c r="R12611" t="s">
        <v>42690</v>
      </c>
      <c r="S12611" t="s">
        <v>43574</v>
      </c>
      <c r="T12611" t="s">
        <v>44470</v>
      </c>
      <c r="U12611" t="s">
        <v>55085</v>
      </c>
      <c r="W12611" t="s">
        <v>42474</v>
      </c>
      <c r="X12611" t="s">
        <v>42691</v>
      </c>
    </row>
    <row r="12612" spans="1:24">
      <c r="A12612">
        <f>HYPERLINK("https://www.philgeps.gov.ph/GEPSNONPILOT/Tender/SplashBidNoticeAbstractUI.aspx?menuIndex=3&amp;refID=7155913&amp;Result=3","7155913")</f>
        <v>0</v>
      </c>
      <c r="B12612" t="s">
        <v>2020</v>
      </c>
      <c r="C12612" t="s">
        <v>15592</v>
      </c>
      <c r="D12612" t="s">
        <v>17177</v>
      </c>
      <c r="E12612" t="s">
        <v>27969</v>
      </c>
      <c r="F12612" t="s">
        <v>29372</v>
      </c>
      <c r="G12612" t="s">
        <v>29380</v>
      </c>
      <c r="H12612" t="s">
        <v>29389</v>
      </c>
      <c r="I12612" t="s">
        <v>10408</v>
      </c>
      <c r="J12612" t="s">
        <v>37486</v>
      </c>
      <c r="K12612" t="s">
        <v>38496</v>
      </c>
      <c r="M12612" t="s">
        <v>41241</v>
      </c>
      <c r="N12612" t="s">
        <v>42669</v>
      </c>
      <c r="O12612" t="s">
        <v>42670</v>
      </c>
      <c r="P12612">
        <v>0</v>
      </c>
      <c r="Q12612">
        <v>0</v>
      </c>
      <c r="R12612" t="s">
        <v>42690</v>
      </c>
      <c r="S12612" t="s">
        <v>43574</v>
      </c>
      <c r="T12612" t="s">
        <v>44470</v>
      </c>
      <c r="U12612" t="s">
        <v>55017</v>
      </c>
      <c r="V12612" t="s">
        <v>57146</v>
      </c>
      <c r="W12612" t="s">
        <v>41241</v>
      </c>
      <c r="X12612" t="s">
        <v>42691</v>
      </c>
    </row>
    <row r="12613" spans="1:24">
      <c r="A12613">
        <f>HYPERLINK("https://www.philgeps.gov.ph/GEPSNONPILOT/Tender/SplashBidNoticeAbstractUI.aspx?menuIndex=3&amp;refID=7156162&amp;Result=3","7156162")</f>
        <v>0</v>
      </c>
      <c r="B12613" t="s">
        <v>2796</v>
      </c>
      <c r="C12613" t="s">
        <v>15593</v>
      </c>
      <c r="D12613" t="s">
        <v>17151</v>
      </c>
      <c r="E12613" t="s">
        <v>27970</v>
      </c>
      <c r="F12613" t="s">
        <v>29372</v>
      </c>
      <c r="G12613" t="s">
        <v>29380</v>
      </c>
      <c r="H12613" t="s">
        <v>11048</v>
      </c>
      <c r="I12613" t="s">
        <v>3695</v>
      </c>
      <c r="J12613" t="s">
        <v>29587</v>
      </c>
      <c r="K12613" t="s">
        <v>38488</v>
      </c>
      <c r="M12613" t="s">
        <v>41784</v>
      </c>
      <c r="N12613" t="s">
        <v>42669</v>
      </c>
      <c r="O12613" t="s">
        <v>42670</v>
      </c>
      <c r="Q12613">
        <v>3</v>
      </c>
      <c r="R12613" t="s">
        <v>42690</v>
      </c>
      <c r="S12613" t="s">
        <v>43624</v>
      </c>
      <c r="T12613" t="s">
        <v>44491</v>
      </c>
      <c r="U12613" t="s">
        <v>55086</v>
      </c>
      <c r="W12613" t="s">
        <v>41784</v>
      </c>
      <c r="X12613" t="s">
        <v>42691</v>
      </c>
    </row>
    <row r="12614" spans="1:24">
      <c r="A12614">
        <f>HYPERLINK("https://www.philgeps.gov.ph/GEPSNONPILOT/Tender/SplashBidNoticeAbstractUI.aspx?menuIndex=3&amp;refID=7156518&amp;Result=3","7156518")</f>
        <v>0</v>
      </c>
      <c r="B12614" t="s">
        <v>3380</v>
      </c>
      <c r="C12614" t="s">
        <v>15594</v>
      </c>
      <c r="E12614" t="s">
        <v>27971</v>
      </c>
      <c r="F12614" t="s">
        <v>29372</v>
      </c>
      <c r="G12614" t="s">
        <v>29380</v>
      </c>
      <c r="H12614" t="s">
        <v>11048</v>
      </c>
      <c r="I12614" t="s">
        <v>3670</v>
      </c>
      <c r="J12614" t="s">
        <v>37487</v>
      </c>
      <c r="K12614" t="s">
        <v>38495</v>
      </c>
      <c r="M12614" t="s">
        <v>42475</v>
      </c>
      <c r="N12614" t="s">
        <v>42669</v>
      </c>
      <c r="O12614" t="s">
        <v>42670</v>
      </c>
      <c r="Q12614">
        <v>6</v>
      </c>
      <c r="R12614" t="s">
        <v>42690</v>
      </c>
      <c r="S12614" t="s">
        <v>43625</v>
      </c>
      <c r="T12614" t="s">
        <v>44363</v>
      </c>
      <c r="U12614" t="s">
        <v>55087</v>
      </c>
      <c r="W12614" t="s">
        <v>42475</v>
      </c>
      <c r="X12614" t="s">
        <v>42691</v>
      </c>
    </row>
    <row r="12615" spans="1:24">
      <c r="A12615">
        <f>HYPERLINK("https://www.philgeps.gov.ph/GEPSNONPILOT/Tender/SplashBidNoticeAbstractUI.aspx?menuIndex=3&amp;refID=7155728&amp;Result=3","7155728")</f>
        <v>0</v>
      </c>
      <c r="B12615" t="s">
        <v>1747</v>
      </c>
      <c r="C12615" t="s">
        <v>15595</v>
      </c>
      <c r="D12615" t="s">
        <v>17148</v>
      </c>
      <c r="E12615" t="s">
        <v>27972</v>
      </c>
      <c r="F12615" t="s">
        <v>29372</v>
      </c>
      <c r="G12615" t="s">
        <v>29380</v>
      </c>
      <c r="H12615" t="s">
        <v>29389</v>
      </c>
      <c r="I12615" t="s">
        <v>10408</v>
      </c>
      <c r="J12615" t="s">
        <v>37488</v>
      </c>
      <c r="K12615" t="s">
        <v>38495</v>
      </c>
      <c r="M12615" t="s">
        <v>40612</v>
      </c>
      <c r="N12615" t="s">
        <v>42669</v>
      </c>
      <c r="O12615" t="s">
        <v>42670</v>
      </c>
      <c r="P12615">
        <v>0</v>
      </c>
      <c r="Q12615">
        <v>89</v>
      </c>
      <c r="R12615" t="s">
        <v>42690</v>
      </c>
      <c r="S12615" t="s">
        <v>43574</v>
      </c>
      <c r="T12615" t="s">
        <v>44530</v>
      </c>
      <c r="U12615" t="s">
        <v>55088</v>
      </c>
      <c r="W12615" t="s">
        <v>40612</v>
      </c>
      <c r="X12615" t="s">
        <v>42691</v>
      </c>
    </row>
    <row r="12616" spans="1:24">
      <c r="A12616">
        <f>HYPERLINK("https://www.philgeps.gov.ph/GEPSNONPILOT/Tender/SplashBidNoticeAbstractUI.aspx?menuIndex=3&amp;refID=7155901&amp;Result=3","7155901")</f>
        <v>0</v>
      </c>
      <c r="B12616" t="s">
        <v>3381</v>
      </c>
      <c r="C12616" t="s">
        <v>15596</v>
      </c>
      <c r="D12616" t="s">
        <v>17181</v>
      </c>
      <c r="E12616" t="s">
        <v>27973</v>
      </c>
      <c r="F12616" t="s">
        <v>29372</v>
      </c>
      <c r="G12616" t="s">
        <v>29380</v>
      </c>
      <c r="H12616" t="s">
        <v>29389</v>
      </c>
      <c r="I12616" t="s">
        <v>10408</v>
      </c>
      <c r="J12616" t="s">
        <v>29694</v>
      </c>
      <c r="K12616" t="s">
        <v>38492</v>
      </c>
      <c r="M12616" t="s">
        <v>42476</v>
      </c>
      <c r="N12616" t="s">
        <v>42669</v>
      </c>
      <c r="O12616" t="s">
        <v>42670</v>
      </c>
      <c r="P12616">
        <v>0</v>
      </c>
      <c r="Q12616">
        <v>0</v>
      </c>
      <c r="R12616" t="s">
        <v>42690</v>
      </c>
      <c r="S12616" t="s">
        <v>43574</v>
      </c>
      <c r="T12616" t="s">
        <v>44371</v>
      </c>
      <c r="U12616" t="s">
        <v>55089</v>
      </c>
      <c r="W12616" t="s">
        <v>42476</v>
      </c>
      <c r="X12616" t="s">
        <v>42691</v>
      </c>
    </row>
    <row r="12617" spans="1:24">
      <c r="A12617">
        <f>HYPERLINK("https://www.philgeps.gov.ph/GEPSNONPILOT/Tender/SplashBidNoticeAbstractUI.aspx?menuIndex=3&amp;refID=7155773&amp;Result=3","7155773")</f>
        <v>0</v>
      </c>
      <c r="B12617" t="s">
        <v>2345</v>
      </c>
      <c r="C12617" t="s">
        <v>15597</v>
      </c>
      <c r="D12617" t="s">
        <v>17168</v>
      </c>
      <c r="E12617" t="s">
        <v>27974</v>
      </c>
      <c r="F12617" t="s">
        <v>29372</v>
      </c>
      <c r="G12617" t="s">
        <v>29380</v>
      </c>
      <c r="H12617" t="s">
        <v>29389</v>
      </c>
      <c r="I12617" t="s">
        <v>4709</v>
      </c>
      <c r="J12617" t="s">
        <v>37489</v>
      </c>
      <c r="K12617" t="s">
        <v>38495</v>
      </c>
      <c r="M12617" t="s">
        <v>41278</v>
      </c>
      <c r="N12617" t="s">
        <v>42669</v>
      </c>
      <c r="O12617" t="s">
        <v>42670</v>
      </c>
      <c r="P12617">
        <v>0</v>
      </c>
      <c r="Q12617">
        <v>8</v>
      </c>
      <c r="R12617" t="s">
        <v>42690</v>
      </c>
      <c r="S12617" t="s">
        <v>43574</v>
      </c>
      <c r="T12617" t="s">
        <v>44512</v>
      </c>
      <c r="U12617" t="s">
        <v>55090</v>
      </c>
      <c r="W12617" t="s">
        <v>41278</v>
      </c>
      <c r="X12617" t="s">
        <v>42691</v>
      </c>
    </row>
    <row r="12618" spans="1:24">
      <c r="A12618">
        <f>HYPERLINK("https://www.philgeps.gov.ph/GEPSNONPILOT/Tender/SplashBidNoticeAbstractUI.aspx?menuIndex=3&amp;refID=7155715&amp;Result=3","7155715")</f>
        <v>0</v>
      </c>
      <c r="B12618" t="s">
        <v>56</v>
      </c>
      <c r="C12618" t="s">
        <v>15598</v>
      </c>
      <c r="D12618" t="s">
        <v>17164</v>
      </c>
      <c r="E12618" t="s">
        <v>27975</v>
      </c>
      <c r="F12618" t="s">
        <v>29372</v>
      </c>
      <c r="G12618" t="s">
        <v>29380</v>
      </c>
      <c r="H12618" t="s">
        <v>29389</v>
      </c>
      <c r="I12618" t="s">
        <v>10408</v>
      </c>
      <c r="J12618" t="s">
        <v>37490</v>
      </c>
      <c r="K12618" t="s">
        <v>38616</v>
      </c>
      <c r="M12618" t="s">
        <v>38809</v>
      </c>
      <c r="N12618" t="s">
        <v>42669</v>
      </c>
      <c r="O12618" t="s">
        <v>42670</v>
      </c>
      <c r="P12618">
        <v>0</v>
      </c>
      <c r="Q12618">
        <v>1</v>
      </c>
      <c r="R12618" t="s">
        <v>42690</v>
      </c>
      <c r="S12618" t="s">
        <v>43574</v>
      </c>
      <c r="T12618" t="s">
        <v>44488</v>
      </c>
      <c r="U12618" t="s">
        <v>55091</v>
      </c>
      <c r="W12618" t="s">
        <v>38809</v>
      </c>
      <c r="X12618" t="s">
        <v>42691</v>
      </c>
    </row>
    <row r="12619" spans="1:24">
      <c r="A12619">
        <f>HYPERLINK("https://www.philgeps.gov.ph/GEPSNONPILOT/Tender/SplashBidNoticeAbstractUI.aspx?menuIndex=3&amp;refID=7155710&amp;Result=3","7155710")</f>
        <v>0</v>
      </c>
      <c r="B12619" t="s">
        <v>1443</v>
      </c>
      <c r="C12619" t="s">
        <v>15599</v>
      </c>
      <c r="D12619" t="s">
        <v>17207</v>
      </c>
      <c r="E12619" t="s">
        <v>21578</v>
      </c>
      <c r="F12619" t="s">
        <v>29372</v>
      </c>
      <c r="G12619" t="s">
        <v>29380</v>
      </c>
      <c r="H12619" t="s">
        <v>11048</v>
      </c>
      <c r="I12619" t="s">
        <v>29405</v>
      </c>
      <c r="J12619" t="s">
        <v>29619</v>
      </c>
      <c r="K12619" t="s">
        <v>38491</v>
      </c>
      <c r="M12619" t="s">
        <v>40284</v>
      </c>
      <c r="N12619" t="s">
        <v>42669</v>
      </c>
      <c r="O12619" t="s">
        <v>42670</v>
      </c>
      <c r="P12619">
        <v>0</v>
      </c>
      <c r="Q12619">
        <v>2</v>
      </c>
      <c r="R12619" t="s">
        <v>42690</v>
      </c>
      <c r="S12619" t="s">
        <v>43574</v>
      </c>
      <c r="T12619" t="s">
        <v>44838</v>
      </c>
      <c r="U12619" t="s">
        <v>55092</v>
      </c>
      <c r="V12619" t="s">
        <v>57816</v>
      </c>
      <c r="W12619" t="s">
        <v>40284</v>
      </c>
      <c r="X12619" t="s">
        <v>42691</v>
      </c>
    </row>
    <row r="12620" spans="1:24">
      <c r="A12620">
        <f>HYPERLINK("https://www.philgeps.gov.ph/GEPSNONPILOT/Tender/SplashBidNoticeAbstractUI.aspx?menuIndex=3&amp;refID=7161198&amp;Result=3","7161198")</f>
        <v>0</v>
      </c>
      <c r="B12620" t="s">
        <v>413</v>
      </c>
      <c r="C12620" t="s">
        <v>15600</v>
      </c>
      <c r="D12620" t="s">
        <v>17214</v>
      </c>
      <c r="E12620" t="s">
        <v>27976</v>
      </c>
      <c r="F12620" t="s">
        <v>29372</v>
      </c>
      <c r="G12620" t="s">
        <v>29380</v>
      </c>
      <c r="H12620" t="s">
        <v>11048</v>
      </c>
      <c r="I12620" t="s">
        <v>29425</v>
      </c>
      <c r="J12620" t="s">
        <v>31371</v>
      </c>
      <c r="K12620" t="s">
        <v>38496</v>
      </c>
      <c r="M12620" t="s">
        <v>39177</v>
      </c>
      <c r="N12620" t="s">
        <v>42669</v>
      </c>
      <c r="O12620" t="s">
        <v>42670</v>
      </c>
      <c r="Q12620">
        <v>6</v>
      </c>
      <c r="R12620" t="s">
        <v>42689</v>
      </c>
      <c r="S12620" t="s">
        <v>43626</v>
      </c>
      <c r="T12620" t="s">
        <v>44554</v>
      </c>
      <c r="U12620" t="s">
        <v>54858</v>
      </c>
      <c r="V12620" t="s">
        <v>56550</v>
      </c>
      <c r="W12620" t="s">
        <v>39177</v>
      </c>
      <c r="X12620" t="s">
        <v>42690</v>
      </c>
    </row>
    <row r="12621" spans="1:24">
      <c r="A12621">
        <f>HYPERLINK("https://www.philgeps.gov.ph/GEPSNONPILOT/Tender/SplashBidNoticeAbstractUI.aspx?menuIndex=3&amp;refID=7161197&amp;Result=3","7161197")</f>
        <v>0</v>
      </c>
      <c r="B12621" t="s">
        <v>170</v>
      </c>
      <c r="C12621" t="s">
        <v>15601</v>
      </c>
      <c r="D12621" t="s">
        <v>17195</v>
      </c>
      <c r="E12621" t="s">
        <v>27977</v>
      </c>
      <c r="F12621" t="s">
        <v>29372</v>
      </c>
      <c r="G12621" t="s">
        <v>29379</v>
      </c>
      <c r="H12621" t="s">
        <v>11048</v>
      </c>
      <c r="I12621" t="s">
        <v>3860</v>
      </c>
      <c r="J12621" t="s">
        <v>29675</v>
      </c>
      <c r="K12621" t="s">
        <v>38495</v>
      </c>
      <c r="M12621" t="s">
        <v>38927</v>
      </c>
      <c r="N12621" t="s">
        <v>42669</v>
      </c>
      <c r="O12621" t="s">
        <v>42670</v>
      </c>
      <c r="P12621">
        <v>0</v>
      </c>
      <c r="Q12621">
        <v>0</v>
      </c>
      <c r="R12621" t="s">
        <v>42689</v>
      </c>
      <c r="S12621" t="s">
        <v>43461</v>
      </c>
      <c r="T12621" t="s">
        <v>44401</v>
      </c>
      <c r="U12621" t="s">
        <v>47920</v>
      </c>
      <c r="W12621" t="s">
        <v>38927</v>
      </c>
      <c r="X12621" t="s">
        <v>42690</v>
      </c>
    </row>
    <row r="12622" spans="1:24">
      <c r="A12622">
        <f>HYPERLINK("https://www.philgeps.gov.ph/GEPSNONPILOT/Tender/SplashBidNoticeAbstractUI.aspx?menuIndex=3&amp;refID=7161055&amp;Result=3","7161055")</f>
        <v>0</v>
      </c>
      <c r="B12622" t="s">
        <v>52</v>
      </c>
      <c r="C12622" t="s">
        <v>15602</v>
      </c>
      <c r="D12622" t="s">
        <v>17192</v>
      </c>
      <c r="E12622" t="s">
        <v>27978</v>
      </c>
      <c r="F12622" t="s">
        <v>29372</v>
      </c>
      <c r="G12622" t="s">
        <v>29379</v>
      </c>
      <c r="H12622" t="s">
        <v>11048</v>
      </c>
      <c r="I12622" t="s">
        <v>4486</v>
      </c>
      <c r="J12622" t="s">
        <v>37491</v>
      </c>
      <c r="K12622" t="s">
        <v>38530</v>
      </c>
      <c r="L12622" t="s">
        <v>52</v>
      </c>
      <c r="M12622" t="s">
        <v>38921</v>
      </c>
      <c r="N12622" t="s">
        <v>42669</v>
      </c>
      <c r="O12622" t="s">
        <v>42670</v>
      </c>
      <c r="Q12622">
        <v>3</v>
      </c>
      <c r="R12622" t="s">
        <v>42689</v>
      </c>
      <c r="S12622" t="s">
        <v>43627</v>
      </c>
      <c r="T12622" t="s">
        <v>44489</v>
      </c>
      <c r="U12622" t="s">
        <v>45160</v>
      </c>
      <c r="W12622" t="s">
        <v>38921</v>
      </c>
      <c r="X12622" t="s">
        <v>42690</v>
      </c>
    </row>
    <row r="12623" spans="1:24">
      <c r="A12623">
        <f>HYPERLINK("https://www.philgeps.gov.ph/GEPSNONPILOT/Tender/SplashBidNoticeAbstractUI.aspx?menuIndex=3&amp;refID=7161047&amp;Result=3","7161047")</f>
        <v>0</v>
      </c>
      <c r="B12623" t="s">
        <v>3322</v>
      </c>
      <c r="C12623" t="s">
        <v>15603</v>
      </c>
      <c r="D12623" t="s">
        <v>17205</v>
      </c>
      <c r="E12623" t="s">
        <v>17529</v>
      </c>
      <c r="F12623" t="s">
        <v>29372</v>
      </c>
      <c r="G12623" t="s">
        <v>29380</v>
      </c>
      <c r="H12623" t="s">
        <v>11048</v>
      </c>
      <c r="I12623" t="s">
        <v>3695</v>
      </c>
      <c r="J12623" t="s">
        <v>37492</v>
      </c>
      <c r="K12623" t="s">
        <v>38485</v>
      </c>
      <c r="M12623" t="s">
        <v>42408</v>
      </c>
      <c r="N12623" t="s">
        <v>42669</v>
      </c>
      <c r="O12623" t="s">
        <v>42670</v>
      </c>
      <c r="P12623">
        <v>0</v>
      </c>
      <c r="Q12623">
        <v>12</v>
      </c>
      <c r="R12623" t="s">
        <v>42689</v>
      </c>
      <c r="S12623" t="s">
        <v>43461</v>
      </c>
      <c r="T12623" t="s">
        <v>44380</v>
      </c>
      <c r="U12623" t="s">
        <v>55093</v>
      </c>
      <c r="W12623" t="s">
        <v>42408</v>
      </c>
      <c r="X12623" t="s">
        <v>42690</v>
      </c>
    </row>
    <row r="12624" spans="1:24">
      <c r="A12624">
        <f>HYPERLINK("https://www.philgeps.gov.ph/GEPSNONPILOT/Tender/SplashBidNoticeAbstractUI.aspx?menuIndex=3&amp;refID=7161045&amp;Result=3","7161045")</f>
        <v>0</v>
      </c>
      <c r="B12624" t="s">
        <v>3382</v>
      </c>
      <c r="C12624" t="s">
        <v>15604</v>
      </c>
      <c r="D12624" t="s">
        <v>17167</v>
      </c>
      <c r="E12624" t="s">
        <v>17428</v>
      </c>
      <c r="F12624" t="s">
        <v>29372</v>
      </c>
      <c r="G12624" t="s">
        <v>29380</v>
      </c>
      <c r="H12624" t="s">
        <v>11048</v>
      </c>
      <c r="I12624" t="s">
        <v>29405</v>
      </c>
      <c r="J12624" t="s">
        <v>32182</v>
      </c>
      <c r="K12624" t="s">
        <v>38490</v>
      </c>
      <c r="M12624" t="s">
        <v>42477</v>
      </c>
      <c r="N12624" t="s">
        <v>42669</v>
      </c>
      <c r="O12624" t="s">
        <v>42670</v>
      </c>
      <c r="P12624">
        <v>0</v>
      </c>
      <c r="Q12624">
        <v>10</v>
      </c>
      <c r="R12624" t="s">
        <v>42689</v>
      </c>
      <c r="S12624" t="s">
        <v>43461</v>
      </c>
      <c r="T12624" t="s">
        <v>44580</v>
      </c>
      <c r="U12624" t="s">
        <v>55094</v>
      </c>
      <c r="W12624" t="s">
        <v>42477</v>
      </c>
      <c r="X12624" t="s">
        <v>42690</v>
      </c>
    </row>
    <row r="12625" spans="1:24">
      <c r="A12625">
        <f>HYPERLINK("https://www.philgeps.gov.ph/GEPSNONPILOT/Tender/SplashBidNoticeAbstractUI.aspx?menuIndex=3&amp;refID=7161032&amp;Result=3","7161032")</f>
        <v>0</v>
      </c>
      <c r="B12625" t="s">
        <v>52</v>
      </c>
      <c r="C12625" t="s">
        <v>15605</v>
      </c>
      <c r="D12625" t="s">
        <v>17192</v>
      </c>
      <c r="E12625" t="s">
        <v>27979</v>
      </c>
      <c r="F12625" t="s">
        <v>29372</v>
      </c>
      <c r="G12625" t="s">
        <v>29379</v>
      </c>
      <c r="H12625" t="s">
        <v>11048</v>
      </c>
      <c r="I12625" t="s">
        <v>4486</v>
      </c>
      <c r="J12625" t="s">
        <v>37493</v>
      </c>
      <c r="K12625" t="s">
        <v>38530</v>
      </c>
      <c r="L12625" t="s">
        <v>52</v>
      </c>
      <c r="M12625" t="s">
        <v>38921</v>
      </c>
      <c r="N12625" t="s">
        <v>42669</v>
      </c>
      <c r="O12625" t="s">
        <v>42670</v>
      </c>
      <c r="Q12625">
        <v>3</v>
      </c>
      <c r="R12625" t="s">
        <v>42689</v>
      </c>
      <c r="S12625" t="s">
        <v>43628</v>
      </c>
      <c r="T12625" t="s">
        <v>44489</v>
      </c>
      <c r="U12625" t="s">
        <v>45160</v>
      </c>
      <c r="W12625" t="s">
        <v>38921</v>
      </c>
      <c r="X12625" t="s">
        <v>42690</v>
      </c>
    </row>
    <row r="12626" spans="1:24">
      <c r="A12626">
        <f>HYPERLINK("https://www.philgeps.gov.ph/GEPSNONPILOT/Tender/SplashBidNoticeAbstractUI.aspx?menuIndex=3&amp;refID=7155702&amp;Result=3","7155702")</f>
        <v>0</v>
      </c>
      <c r="B12626" t="s">
        <v>56</v>
      </c>
      <c r="C12626" t="s">
        <v>15606</v>
      </c>
      <c r="D12626" t="s">
        <v>17164</v>
      </c>
      <c r="E12626" t="s">
        <v>27980</v>
      </c>
      <c r="F12626" t="s">
        <v>29372</v>
      </c>
      <c r="G12626" t="s">
        <v>29380</v>
      </c>
      <c r="H12626" t="s">
        <v>11048</v>
      </c>
      <c r="I12626" t="s">
        <v>9469</v>
      </c>
      <c r="J12626" t="s">
        <v>29543</v>
      </c>
      <c r="K12626" t="s">
        <v>38517</v>
      </c>
      <c r="M12626" t="s">
        <v>38809</v>
      </c>
      <c r="N12626" t="s">
        <v>42669</v>
      </c>
      <c r="O12626" t="s">
        <v>42670</v>
      </c>
      <c r="P12626">
        <v>0</v>
      </c>
      <c r="Q12626">
        <v>4</v>
      </c>
      <c r="R12626" t="s">
        <v>42690</v>
      </c>
      <c r="S12626" t="s">
        <v>43574</v>
      </c>
      <c r="T12626" t="s">
        <v>44488</v>
      </c>
      <c r="U12626" t="s">
        <v>55095</v>
      </c>
      <c r="W12626" t="s">
        <v>38809</v>
      </c>
      <c r="X12626" t="s">
        <v>42691</v>
      </c>
    </row>
    <row r="12627" spans="1:24">
      <c r="A12627">
        <f>HYPERLINK("https://www.philgeps.gov.ph/GEPSNONPILOT/Tender/SplashBidNoticeAbstractUI.aspx?menuIndex=3&amp;refID=7156308&amp;Result=3","7156308")</f>
        <v>0</v>
      </c>
      <c r="B12627" t="s">
        <v>1115</v>
      </c>
      <c r="C12627" t="s">
        <v>15607</v>
      </c>
      <c r="D12627" t="s">
        <v>17167</v>
      </c>
      <c r="E12627" t="s">
        <v>27981</v>
      </c>
      <c r="F12627" t="s">
        <v>29372</v>
      </c>
      <c r="G12627" t="s">
        <v>29380</v>
      </c>
      <c r="H12627" t="s">
        <v>11048</v>
      </c>
      <c r="I12627" t="s">
        <v>8614</v>
      </c>
      <c r="J12627" t="s">
        <v>37494</v>
      </c>
      <c r="K12627" t="s">
        <v>38491</v>
      </c>
      <c r="M12627" t="s">
        <v>42031</v>
      </c>
      <c r="N12627" t="s">
        <v>42669</v>
      </c>
      <c r="O12627" t="s">
        <v>42670</v>
      </c>
      <c r="P12627">
        <v>0</v>
      </c>
      <c r="Q12627">
        <v>8</v>
      </c>
      <c r="R12627" t="s">
        <v>42690</v>
      </c>
      <c r="S12627" t="s">
        <v>43574</v>
      </c>
      <c r="T12627" t="s">
        <v>44548</v>
      </c>
      <c r="U12627" t="s">
        <v>55096</v>
      </c>
      <c r="W12627" t="s">
        <v>42031</v>
      </c>
      <c r="X12627" t="s">
        <v>42691</v>
      </c>
    </row>
    <row r="12628" spans="1:24">
      <c r="A12628">
        <f>HYPERLINK("https://www.philgeps.gov.ph/GEPSNONPILOT/Tender/SplashBidNoticeAbstractUI.aspx?menuIndex=3&amp;refID=7156830&amp;Result=3","7156830")</f>
        <v>0</v>
      </c>
      <c r="B12628" t="s">
        <v>3377</v>
      </c>
      <c r="C12628" t="s">
        <v>15608</v>
      </c>
      <c r="D12628" t="s">
        <v>17142</v>
      </c>
      <c r="E12628" t="s">
        <v>27957</v>
      </c>
      <c r="F12628" t="s">
        <v>29372</v>
      </c>
      <c r="G12628" t="s">
        <v>29380</v>
      </c>
      <c r="H12628" t="s">
        <v>29390</v>
      </c>
      <c r="I12628" t="s">
        <v>29419</v>
      </c>
      <c r="J12628" t="s">
        <v>34093</v>
      </c>
      <c r="K12628" t="s">
        <v>38522</v>
      </c>
      <c r="M12628" t="s">
        <v>42472</v>
      </c>
      <c r="N12628" t="s">
        <v>42669</v>
      </c>
      <c r="O12628" t="s">
        <v>42670</v>
      </c>
      <c r="Q12628">
        <v>2</v>
      </c>
      <c r="R12628" t="s">
        <v>42690</v>
      </c>
      <c r="S12628" t="s">
        <v>43629</v>
      </c>
      <c r="T12628" t="s">
        <v>44612</v>
      </c>
      <c r="U12628" t="s">
        <v>55076</v>
      </c>
      <c r="V12628" t="s">
        <v>57817</v>
      </c>
      <c r="W12628" t="s">
        <v>42472</v>
      </c>
      <c r="X12628" t="s">
        <v>42691</v>
      </c>
    </row>
    <row r="12629" spans="1:24">
      <c r="A12629">
        <f>HYPERLINK("https://www.philgeps.gov.ph/GEPSNONPILOT/Tender/SplashBidNoticeAbstractUI.aspx?menuIndex=3&amp;refID=7156851&amp;Result=3","7156851")</f>
        <v>0</v>
      </c>
      <c r="B12629" t="s">
        <v>662</v>
      </c>
      <c r="C12629" t="s">
        <v>15609</v>
      </c>
      <c r="D12629" t="s">
        <v>17211</v>
      </c>
      <c r="E12629" t="s">
        <v>27982</v>
      </c>
      <c r="F12629" t="s">
        <v>29372</v>
      </c>
      <c r="G12629" t="s">
        <v>29380</v>
      </c>
      <c r="H12629" t="s">
        <v>11048</v>
      </c>
      <c r="I12629" t="s">
        <v>9469</v>
      </c>
      <c r="J12629" t="s">
        <v>37495</v>
      </c>
      <c r="K12629" t="s">
        <v>38495</v>
      </c>
      <c r="M12629" t="s">
        <v>39438</v>
      </c>
      <c r="N12629" t="s">
        <v>42669</v>
      </c>
      <c r="O12629" t="s">
        <v>42670</v>
      </c>
      <c r="P12629">
        <v>0</v>
      </c>
      <c r="Q12629">
        <v>9</v>
      </c>
      <c r="R12629" t="s">
        <v>42690</v>
      </c>
      <c r="S12629" t="s">
        <v>43574</v>
      </c>
      <c r="T12629" t="s">
        <v>44401</v>
      </c>
      <c r="U12629" t="s">
        <v>55097</v>
      </c>
      <c r="W12629" t="s">
        <v>39438</v>
      </c>
      <c r="X12629" t="s">
        <v>42691</v>
      </c>
    </row>
    <row r="12630" spans="1:24">
      <c r="A12630">
        <f>HYPERLINK("https://www.philgeps.gov.ph/GEPSNONPILOT/Tender/SplashBidNoticeAbstractUI.aspx?menuIndex=3&amp;refID=7156815&amp;Result=3","7156815")</f>
        <v>0</v>
      </c>
      <c r="B12630" t="s">
        <v>924</v>
      </c>
      <c r="C12630" t="s">
        <v>15610</v>
      </c>
      <c r="D12630" t="s">
        <v>17170</v>
      </c>
      <c r="E12630" t="s">
        <v>27983</v>
      </c>
      <c r="F12630" t="s">
        <v>29372</v>
      </c>
      <c r="G12630" t="s">
        <v>29380</v>
      </c>
      <c r="H12630" t="s">
        <v>29389</v>
      </c>
      <c r="I12630" t="s">
        <v>10408</v>
      </c>
      <c r="J12630" t="s">
        <v>37496</v>
      </c>
      <c r="K12630" t="s">
        <v>38509</v>
      </c>
      <c r="M12630" t="s">
        <v>39719</v>
      </c>
      <c r="N12630" t="s">
        <v>42669</v>
      </c>
      <c r="O12630" t="s">
        <v>42670</v>
      </c>
      <c r="Q12630">
        <v>4</v>
      </c>
      <c r="R12630" t="s">
        <v>42690</v>
      </c>
      <c r="S12630" t="s">
        <v>43630</v>
      </c>
      <c r="T12630" t="s">
        <v>44488</v>
      </c>
      <c r="U12630" t="s">
        <v>55098</v>
      </c>
      <c r="W12630" t="s">
        <v>39719</v>
      </c>
      <c r="X12630" t="s">
        <v>42691</v>
      </c>
    </row>
    <row r="12631" spans="1:24">
      <c r="A12631">
        <f>HYPERLINK("https://www.philgeps.gov.ph/GEPSNONPILOT/Tender/SplashBidNoticeAbstractUI.aspx?menuIndex=3&amp;refID=7156839&amp;Result=3","7156839")</f>
        <v>0</v>
      </c>
      <c r="B12631" t="s">
        <v>105</v>
      </c>
      <c r="C12631" t="s">
        <v>15611</v>
      </c>
      <c r="D12631" t="s">
        <v>17181</v>
      </c>
      <c r="E12631" t="s">
        <v>27984</v>
      </c>
      <c r="F12631" t="s">
        <v>29372</v>
      </c>
      <c r="G12631" t="s">
        <v>29380</v>
      </c>
      <c r="H12631" t="s">
        <v>29389</v>
      </c>
      <c r="I12631" t="s">
        <v>10408</v>
      </c>
      <c r="J12631" t="s">
        <v>37497</v>
      </c>
      <c r="K12631" t="s">
        <v>38751</v>
      </c>
      <c r="M12631" t="s">
        <v>38860</v>
      </c>
      <c r="N12631" t="s">
        <v>42669</v>
      </c>
      <c r="O12631" t="s">
        <v>42670</v>
      </c>
      <c r="Q12631">
        <v>0</v>
      </c>
      <c r="R12631" t="s">
        <v>42690</v>
      </c>
      <c r="S12631" t="s">
        <v>43631</v>
      </c>
      <c r="T12631" t="s">
        <v>44394</v>
      </c>
      <c r="U12631" t="s">
        <v>55099</v>
      </c>
      <c r="V12631" t="s">
        <v>57818</v>
      </c>
      <c r="W12631" t="s">
        <v>38860</v>
      </c>
      <c r="X12631" t="s">
        <v>42691</v>
      </c>
    </row>
    <row r="12632" spans="1:24">
      <c r="A12632">
        <f>HYPERLINK("https://www.philgeps.gov.ph/GEPSNONPILOT/Tender/SplashBidNoticeAbstractUI.aspx?menuIndex=3&amp;refID=7155719&amp;Result=3","7155719")</f>
        <v>0</v>
      </c>
      <c r="B12632" t="s">
        <v>2851</v>
      </c>
      <c r="C12632" t="s">
        <v>15612</v>
      </c>
      <c r="D12632" t="s">
        <v>17186</v>
      </c>
      <c r="E12632" t="s">
        <v>27985</v>
      </c>
      <c r="F12632" t="s">
        <v>29372</v>
      </c>
      <c r="G12632" t="s">
        <v>29380</v>
      </c>
      <c r="H12632" t="s">
        <v>29389</v>
      </c>
      <c r="I12632" t="s">
        <v>10408</v>
      </c>
      <c r="J12632" t="s">
        <v>30107</v>
      </c>
      <c r="K12632" t="s">
        <v>38496</v>
      </c>
      <c r="M12632" t="s">
        <v>41844</v>
      </c>
      <c r="N12632" t="s">
        <v>42669</v>
      </c>
      <c r="O12632" t="s">
        <v>42670</v>
      </c>
      <c r="P12632">
        <v>0</v>
      </c>
      <c r="Q12632">
        <v>0</v>
      </c>
      <c r="R12632" t="s">
        <v>42690</v>
      </c>
      <c r="S12632" t="s">
        <v>43574</v>
      </c>
      <c r="T12632" t="s">
        <v>44481</v>
      </c>
      <c r="U12632" t="s">
        <v>55100</v>
      </c>
      <c r="W12632" t="s">
        <v>58101</v>
      </c>
      <c r="X12632" t="s">
        <v>42691</v>
      </c>
    </row>
    <row r="12633" spans="1:24">
      <c r="A12633">
        <f>HYPERLINK("https://www.philgeps.gov.ph/GEPSNONPILOT/Tender/SplashBidNoticeAbstractUI.aspx?menuIndex=3&amp;refID=7156810&amp;Result=3","7156810")</f>
        <v>0</v>
      </c>
      <c r="B12633" t="s">
        <v>3189</v>
      </c>
      <c r="C12633" t="s">
        <v>15613</v>
      </c>
      <c r="D12633" t="s">
        <v>17141</v>
      </c>
      <c r="E12633" t="s">
        <v>27986</v>
      </c>
      <c r="F12633" t="s">
        <v>29372</v>
      </c>
      <c r="G12633" t="s">
        <v>29380</v>
      </c>
      <c r="H12633" t="s">
        <v>11048</v>
      </c>
      <c r="I12633" t="s">
        <v>9469</v>
      </c>
      <c r="J12633" t="s">
        <v>37498</v>
      </c>
      <c r="K12633" t="s">
        <v>38533</v>
      </c>
      <c r="M12633" t="s">
        <v>42249</v>
      </c>
      <c r="N12633" t="s">
        <v>42669</v>
      </c>
      <c r="O12633" t="s">
        <v>42670</v>
      </c>
      <c r="Q12633">
        <v>15</v>
      </c>
      <c r="R12633" t="s">
        <v>42690</v>
      </c>
      <c r="S12633" t="s">
        <v>43632</v>
      </c>
      <c r="T12633" t="s">
        <v>44357</v>
      </c>
      <c r="U12633" t="s">
        <v>55101</v>
      </c>
      <c r="W12633" t="s">
        <v>42249</v>
      </c>
      <c r="X12633" t="s">
        <v>42691</v>
      </c>
    </row>
    <row r="12634" spans="1:24">
      <c r="A12634">
        <f>HYPERLINK("https://www.philgeps.gov.ph/GEPSNONPILOT/Tender/SplashBidNoticeAbstractUI.aspx?menuIndex=3&amp;refID=7156290&amp;Result=3","7156290")</f>
        <v>0</v>
      </c>
      <c r="B12634" t="s">
        <v>3369</v>
      </c>
      <c r="C12634" t="s">
        <v>15614</v>
      </c>
      <c r="D12634" t="s">
        <v>17212</v>
      </c>
      <c r="E12634" t="s">
        <v>27987</v>
      </c>
      <c r="F12634" t="s">
        <v>29372</v>
      </c>
      <c r="G12634" t="s">
        <v>29380</v>
      </c>
      <c r="H12634" t="s">
        <v>11048</v>
      </c>
      <c r="I12634" t="s">
        <v>29417</v>
      </c>
      <c r="J12634" t="s">
        <v>37499</v>
      </c>
      <c r="K12634" t="s">
        <v>38496</v>
      </c>
      <c r="M12634" t="s">
        <v>42463</v>
      </c>
      <c r="N12634" t="s">
        <v>42669</v>
      </c>
      <c r="O12634" t="s">
        <v>42670</v>
      </c>
      <c r="Q12634">
        <v>17</v>
      </c>
      <c r="R12634" t="s">
        <v>42690</v>
      </c>
      <c r="S12634" t="s">
        <v>43633</v>
      </c>
      <c r="T12634" t="s">
        <v>44401</v>
      </c>
      <c r="U12634" t="s">
        <v>55102</v>
      </c>
      <c r="W12634" t="s">
        <v>42463</v>
      </c>
      <c r="X12634" t="s">
        <v>42691</v>
      </c>
    </row>
    <row r="12635" spans="1:24">
      <c r="A12635">
        <f>HYPERLINK("https://www.philgeps.gov.ph/GEPSNONPILOT/Tender/SplashBidNoticeAbstractUI.aspx?menuIndex=3&amp;refID=7155763&amp;Result=3","7155763")</f>
        <v>0</v>
      </c>
      <c r="B12635" t="s">
        <v>1747</v>
      </c>
      <c r="C12635" t="s">
        <v>15615</v>
      </c>
      <c r="D12635" t="s">
        <v>17148</v>
      </c>
      <c r="E12635" t="s">
        <v>27988</v>
      </c>
      <c r="F12635" t="s">
        <v>29372</v>
      </c>
      <c r="G12635" t="s">
        <v>29380</v>
      </c>
      <c r="H12635" t="s">
        <v>29389</v>
      </c>
      <c r="I12635" t="s">
        <v>10408</v>
      </c>
      <c r="J12635" t="s">
        <v>29573</v>
      </c>
      <c r="K12635" t="s">
        <v>38533</v>
      </c>
      <c r="M12635" t="s">
        <v>40612</v>
      </c>
      <c r="N12635" t="s">
        <v>42669</v>
      </c>
      <c r="O12635" t="s">
        <v>42670</v>
      </c>
      <c r="P12635">
        <v>0</v>
      </c>
      <c r="Q12635">
        <v>96</v>
      </c>
      <c r="R12635" t="s">
        <v>42690</v>
      </c>
      <c r="S12635" t="s">
        <v>43574</v>
      </c>
      <c r="T12635" t="s">
        <v>44530</v>
      </c>
      <c r="U12635" t="s">
        <v>55103</v>
      </c>
      <c r="W12635" t="s">
        <v>40612</v>
      </c>
      <c r="X12635" t="s">
        <v>42691</v>
      </c>
    </row>
    <row r="12636" spans="1:24">
      <c r="A12636">
        <f>HYPERLINK("https://www.philgeps.gov.ph/GEPSNONPILOT/Tender/SplashBidNoticeAbstractUI.aspx?menuIndex=3&amp;refID=7156823&amp;Result=3","7156823")</f>
        <v>0</v>
      </c>
      <c r="B12636" t="s">
        <v>2047</v>
      </c>
      <c r="C12636" t="s">
        <v>15616</v>
      </c>
      <c r="D12636" t="s">
        <v>17189</v>
      </c>
      <c r="E12636" t="s">
        <v>27989</v>
      </c>
      <c r="F12636" t="s">
        <v>29372</v>
      </c>
      <c r="G12636" t="s">
        <v>29380</v>
      </c>
      <c r="H12636" t="s">
        <v>29389</v>
      </c>
      <c r="I12636" t="s">
        <v>10408</v>
      </c>
      <c r="J12636" t="s">
        <v>35170</v>
      </c>
      <c r="K12636" t="s">
        <v>38526</v>
      </c>
      <c r="M12636" t="s">
        <v>42004</v>
      </c>
      <c r="N12636" t="s">
        <v>42669</v>
      </c>
      <c r="O12636" t="s">
        <v>42670</v>
      </c>
      <c r="P12636">
        <v>0</v>
      </c>
      <c r="Q12636">
        <v>3</v>
      </c>
      <c r="R12636" t="s">
        <v>42690</v>
      </c>
      <c r="S12636" t="s">
        <v>43574</v>
      </c>
      <c r="T12636" t="s">
        <v>44548</v>
      </c>
      <c r="U12636" t="s">
        <v>53227</v>
      </c>
      <c r="W12636" t="s">
        <v>42004</v>
      </c>
      <c r="X12636" t="s">
        <v>42691</v>
      </c>
    </row>
    <row r="12637" spans="1:24">
      <c r="A12637">
        <f>HYPERLINK("https://www.philgeps.gov.ph/GEPSNONPILOT/Tender/SplashBidNoticeAbstractUI.aspx?menuIndex=3&amp;refID=7156628&amp;Result=3","7156628")</f>
        <v>0</v>
      </c>
      <c r="B12637" t="s">
        <v>3375</v>
      </c>
      <c r="C12637" t="s">
        <v>15617</v>
      </c>
      <c r="D12637" t="s">
        <v>17215</v>
      </c>
      <c r="E12637" t="s">
        <v>27990</v>
      </c>
      <c r="F12637" t="s">
        <v>29372</v>
      </c>
      <c r="G12637" t="s">
        <v>29380</v>
      </c>
      <c r="H12637" t="s">
        <v>29389</v>
      </c>
      <c r="I12637" t="s">
        <v>10408</v>
      </c>
      <c r="J12637" t="s">
        <v>31498</v>
      </c>
      <c r="K12637" t="s">
        <v>38726</v>
      </c>
      <c r="M12637" t="s">
        <v>42470</v>
      </c>
      <c r="N12637" t="s">
        <v>42669</v>
      </c>
      <c r="O12637" t="s">
        <v>42670</v>
      </c>
      <c r="P12637">
        <v>0</v>
      </c>
      <c r="Q12637">
        <v>15</v>
      </c>
      <c r="R12637" t="s">
        <v>42690</v>
      </c>
      <c r="S12637" t="s">
        <v>43574</v>
      </c>
      <c r="T12637" t="s">
        <v>44481</v>
      </c>
      <c r="U12637" t="s">
        <v>55104</v>
      </c>
      <c r="W12637" t="s">
        <v>42470</v>
      </c>
      <c r="X12637" t="s">
        <v>42691</v>
      </c>
    </row>
    <row r="12638" spans="1:24">
      <c r="A12638">
        <f>HYPERLINK("https://www.philgeps.gov.ph/GEPSNONPILOT/Tender/SplashBidNoticeAbstractUI.aspx?menuIndex=3&amp;refID=7156754&amp;Result=3","7156754")</f>
        <v>0</v>
      </c>
      <c r="B12638" t="s">
        <v>1470</v>
      </c>
      <c r="C12638" t="s">
        <v>15618</v>
      </c>
      <c r="D12638" t="s">
        <v>17153</v>
      </c>
      <c r="E12638" t="s">
        <v>27169</v>
      </c>
      <c r="F12638" t="s">
        <v>29372</v>
      </c>
      <c r="G12638" t="s">
        <v>29380</v>
      </c>
      <c r="H12638" t="s">
        <v>11048</v>
      </c>
      <c r="I12638" t="s">
        <v>4709</v>
      </c>
      <c r="J12638" t="s">
        <v>37500</v>
      </c>
      <c r="K12638" t="s">
        <v>38485</v>
      </c>
      <c r="M12638" t="s">
        <v>40313</v>
      </c>
      <c r="N12638" t="s">
        <v>42669</v>
      </c>
      <c r="O12638" t="s">
        <v>42670</v>
      </c>
      <c r="P12638">
        <v>0</v>
      </c>
      <c r="Q12638">
        <v>0</v>
      </c>
      <c r="R12638" t="s">
        <v>42690</v>
      </c>
      <c r="S12638" t="s">
        <v>43574</v>
      </c>
      <c r="T12638" t="s">
        <v>44560</v>
      </c>
      <c r="U12638" t="s">
        <v>48146</v>
      </c>
      <c r="V12638" t="s">
        <v>57819</v>
      </c>
      <c r="W12638" t="s">
        <v>40313</v>
      </c>
      <c r="X12638" t="s">
        <v>42691</v>
      </c>
    </row>
    <row r="12639" spans="1:24">
      <c r="A12639">
        <f>HYPERLINK("https://www.philgeps.gov.ph/GEPSNONPILOT/Tender/SplashBidNoticeAbstractUI.aspx?menuIndex=3&amp;refID=7156759&amp;Result=3","7156759")</f>
        <v>0</v>
      </c>
      <c r="B12639" t="s">
        <v>3383</v>
      </c>
      <c r="C12639" t="s">
        <v>15619</v>
      </c>
      <c r="D12639" t="s">
        <v>17192</v>
      </c>
      <c r="E12639" t="s">
        <v>27991</v>
      </c>
      <c r="F12639" t="s">
        <v>29372</v>
      </c>
      <c r="G12639" t="s">
        <v>29380</v>
      </c>
      <c r="H12639" t="s">
        <v>11048</v>
      </c>
      <c r="I12639" t="s">
        <v>29407</v>
      </c>
      <c r="J12639" t="s">
        <v>37501</v>
      </c>
      <c r="K12639" t="s">
        <v>38485</v>
      </c>
      <c r="M12639" t="s">
        <v>42478</v>
      </c>
      <c r="N12639" t="s">
        <v>42669</v>
      </c>
      <c r="O12639" t="s">
        <v>42670</v>
      </c>
      <c r="P12639">
        <v>0</v>
      </c>
      <c r="Q12639">
        <v>4</v>
      </c>
      <c r="R12639" t="s">
        <v>42690</v>
      </c>
      <c r="S12639" t="s">
        <v>43574</v>
      </c>
      <c r="T12639" t="s">
        <v>44488</v>
      </c>
      <c r="U12639" t="s">
        <v>55105</v>
      </c>
      <c r="W12639" t="s">
        <v>42478</v>
      </c>
      <c r="X12639" t="s">
        <v>42691</v>
      </c>
    </row>
    <row r="12640" spans="1:24">
      <c r="A12640">
        <f>HYPERLINK("https://www.philgeps.gov.ph/GEPSNONPILOT/Tender/SplashBidNoticeAbstractUI.aspx?menuIndex=3&amp;refID=7156947&amp;Result=3","7156947")</f>
        <v>0</v>
      </c>
      <c r="B12640" t="s">
        <v>869</v>
      </c>
      <c r="C12640" t="s">
        <v>15620</v>
      </c>
      <c r="D12640" t="s">
        <v>17142</v>
      </c>
      <c r="E12640" t="s">
        <v>27992</v>
      </c>
      <c r="F12640" t="s">
        <v>29372</v>
      </c>
      <c r="G12640" t="s">
        <v>29380</v>
      </c>
      <c r="H12640" t="s">
        <v>11048</v>
      </c>
      <c r="I12640" t="s">
        <v>29396</v>
      </c>
      <c r="J12640" t="s">
        <v>37502</v>
      </c>
      <c r="K12640" t="s">
        <v>38619</v>
      </c>
      <c r="M12640" t="s">
        <v>40568</v>
      </c>
      <c r="N12640" t="s">
        <v>42669</v>
      </c>
      <c r="O12640" t="s">
        <v>42670</v>
      </c>
      <c r="P12640">
        <v>0</v>
      </c>
      <c r="Q12640">
        <v>3</v>
      </c>
      <c r="R12640" t="s">
        <v>42690</v>
      </c>
      <c r="S12640" t="s">
        <v>43574</v>
      </c>
      <c r="T12640" t="s">
        <v>44414</v>
      </c>
      <c r="U12640" t="s">
        <v>55106</v>
      </c>
      <c r="W12640" t="s">
        <v>40568</v>
      </c>
      <c r="X12640" t="s">
        <v>42691</v>
      </c>
    </row>
    <row r="12641" spans="1:24">
      <c r="A12641">
        <f>HYPERLINK("https://www.philgeps.gov.ph/GEPSNONPILOT/Tender/SplashBidNoticeAbstractUI.aspx?menuIndex=3&amp;refID=7156934&amp;Result=3","7156934")</f>
        <v>0</v>
      </c>
      <c r="B12641" t="s">
        <v>3377</v>
      </c>
      <c r="C12641" t="s">
        <v>15621</v>
      </c>
      <c r="D12641" t="s">
        <v>17142</v>
      </c>
      <c r="E12641" t="s">
        <v>27993</v>
      </c>
      <c r="F12641" t="s">
        <v>29372</v>
      </c>
      <c r="G12641" t="s">
        <v>29380</v>
      </c>
      <c r="H12641" t="s">
        <v>29390</v>
      </c>
      <c r="I12641" t="s">
        <v>29419</v>
      </c>
      <c r="J12641" t="s">
        <v>37503</v>
      </c>
      <c r="K12641" t="s">
        <v>38526</v>
      </c>
      <c r="M12641" t="s">
        <v>42472</v>
      </c>
      <c r="N12641" t="s">
        <v>42669</v>
      </c>
      <c r="O12641" t="s">
        <v>42670</v>
      </c>
      <c r="Q12641">
        <v>2</v>
      </c>
      <c r="R12641" t="s">
        <v>42690</v>
      </c>
      <c r="S12641" t="s">
        <v>43634</v>
      </c>
      <c r="T12641" t="s">
        <v>44612</v>
      </c>
      <c r="U12641" t="s">
        <v>55076</v>
      </c>
      <c r="V12641" t="s">
        <v>57820</v>
      </c>
      <c r="W12641" t="s">
        <v>42472</v>
      </c>
      <c r="X12641" t="s">
        <v>42691</v>
      </c>
    </row>
    <row r="12642" spans="1:24">
      <c r="A12642">
        <f>HYPERLINK("https://www.philgeps.gov.ph/GEPSNONPILOT/Tender/SplashBidNoticeAbstractUI.aspx?menuIndex=3&amp;refID=7156915&amp;Result=3","7156915")</f>
        <v>0</v>
      </c>
      <c r="B12642" t="s">
        <v>781</v>
      </c>
      <c r="C12642" t="s">
        <v>15622</v>
      </c>
      <c r="D12642" t="s">
        <v>17163</v>
      </c>
      <c r="E12642" t="s">
        <v>27994</v>
      </c>
      <c r="F12642" t="s">
        <v>29372</v>
      </c>
      <c r="G12642" t="s">
        <v>29380</v>
      </c>
      <c r="H12642" t="s">
        <v>11048</v>
      </c>
      <c r="I12642" t="s">
        <v>8614</v>
      </c>
      <c r="J12642" t="s">
        <v>37504</v>
      </c>
      <c r="K12642" t="s">
        <v>38485</v>
      </c>
      <c r="M12642" t="s">
        <v>41917</v>
      </c>
      <c r="N12642" t="s">
        <v>42669</v>
      </c>
      <c r="O12642" t="s">
        <v>42670</v>
      </c>
      <c r="Q12642">
        <v>9</v>
      </c>
      <c r="R12642" t="s">
        <v>42690</v>
      </c>
      <c r="S12642" t="s">
        <v>43635</v>
      </c>
      <c r="T12642" t="s">
        <v>44493</v>
      </c>
      <c r="U12642" t="s">
        <v>46453</v>
      </c>
      <c r="V12642" t="s">
        <v>57821</v>
      </c>
      <c r="W12642" t="s">
        <v>41971</v>
      </c>
      <c r="X12642" t="s">
        <v>42691</v>
      </c>
    </row>
    <row r="12643" spans="1:24">
      <c r="A12643">
        <f>HYPERLINK("https://www.philgeps.gov.ph/GEPSNONPILOT/Tender/SplashBidNoticeAbstractUI.aspx?menuIndex=3&amp;refID=7156920&amp;Result=3","7156920")</f>
        <v>0</v>
      </c>
      <c r="B12643" t="s">
        <v>869</v>
      </c>
      <c r="C12643" t="s">
        <v>15623</v>
      </c>
      <c r="D12643" t="s">
        <v>17142</v>
      </c>
      <c r="E12643" t="s">
        <v>27995</v>
      </c>
      <c r="F12643" t="s">
        <v>29372</v>
      </c>
      <c r="G12643" t="s">
        <v>29380</v>
      </c>
      <c r="H12643" t="s">
        <v>29389</v>
      </c>
      <c r="I12643" t="s">
        <v>10408</v>
      </c>
      <c r="J12643" t="s">
        <v>32079</v>
      </c>
      <c r="K12643" t="s">
        <v>38496</v>
      </c>
      <c r="M12643" t="s">
        <v>41950</v>
      </c>
      <c r="N12643" t="s">
        <v>42669</v>
      </c>
      <c r="O12643" t="s">
        <v>42670</v>
      </c>
      <c r="P12643">
        <v>0</v>
      </c>
      <c r="Q12643">
        <v>8</v>
      </c>
      <c r="R12643" t="s">
        <v>42690</v>
      </c>
      <c r="S12643" t="s">
        <v>43574</v>
      </c>
      <c r="T12643" t="s">
        <v>44414</v>
      </c>
      <c r="U12643" t="s">
        <v>55107</v>
      </c>
      <c r="W12643" t="s">
        <v>41950</v>
      </c>
      <c r="X12643" t="s">
        <v>42691</v>
      </c>
    </row>
    <row r="12644" spans="1:24">
      <c r="A12644">
        <f>HYPERLINK("https://www.philgeps.gov.ph/GEPSNONPILOT/Tender/SplashBidNoticeAbstractUI.aspx?menuIndex=3&amp;refID=7156949&amp;Result=3","7156949")</f>
        <v>0</v>
      </c>
      <c r="B12644" t="s">
        <v>3285</v>
      </c>
      <c r="C12644" t="s">
        <v>15624</v>
      </c>
      <c r="D12644" t="s">
        <v>17152</v>
      </c>
      <c r="E12644" t="s">
        <v>27996</v>
      </c>
      <c r="F12644" t="s">
        <v>29372</v>
      </c>
      <c r="G12644" t="s">
        <v>29380</v>
      </c>
      <c r="H12644" t="s">
        <v>11048</v>
      </c>
      <c r="I12644" t="s">
        <v>5383</v>
      </c>
      <c r="J12644" t="s">
        <v>37505</v>
      </c>
      <c r="K12644" t="s">
        <v>38490</v>
      </c>
      <c r="M12644" t="s">
        <v>42359</v>
      </c>
      <c r="N12644" t="s">
        <v>42669</v>
      </c>
      <c r="O12644" t="s">
        <v>42670</v>
      </c>
      <c r="P12644">
        <v>0</v>
      </c>
      <c r="Q12644">
        <v>1</v>
      </c>
      <c r="R12644" t="s">
        <v>42690</v>
      </c>
      <c r="S12644" t="s">
        <v>43574</v>
      </c>
      <c r="T12644" t="s">
        <v>44425</v>
      </c>
      <c r="U12644" t="s">
        <v>55108</v>
      </c>
      <c r="W12644" t="s">
        <v>42359</v>
      </c>
      <c r="X12644" t="s">
        <v>42691</v>
      </c>
    </row>
    <row r="12645" spans="1:24">
      <c r="A12645">
        <f>HYPERLINK("https://www.philgeps.gov.ph/GEPSNONPILOT/Tender/SplashBidNoticeAbstractUI.aspx?menuIndex=3&amp;refID=7156905&amp;Result=3","7156905")</f>
        <v>0</v>
      </c>
      <c r="B12645" t="s">
        <v>2671</v>
      </c>
      <c r="C12645" t="s">
        <v>15625</v>
      </c>
      <c r="D12645" t="s">
        <v>17145</v>
      </c>
      <c r="E12645" t="s">
        <v>25645</v>
      </c>
      <c r="F12645" t="s">
        <v>29372</v>
      </c>
      <c r="G12645" t="s">
        <v>29380</v>
      </c>
      <c r="H12645" t="s">
        <v>29389</v>
      </c>
      <c r="I12645" t="s">
        <v>10408</v>
      </c>
      <c r="J12645" t="s">
        <v>37506</v>
      </c>
      <c r="K12645" t="s">
        <v>38703</v>
      </c>
      <c r="M12645" t="s">
        <v>41650</v>
      </c>
      <c r="N12645" t="s">
        <v>42669</v>
      </c>
      <c r="O12645" t="s">
        <v>42670</v>
      </c>
      <c r="P12645">
        <v>0</v>
      </c>
      <c r="Q12645">
        <v>7</v>
      </c>
      <c r="R12645" t="s">
        <v>42690</v>
      </c>
      <c r="S12645" t="s">
        <v>43574</v>
      </c>
      <c r="T12645" t="s">
        <v>44401</v>
      </c>
      <c r="U12645" t="s">
        <v>55109</v>
      </c>
      <c r="W12645" t="s">
        <v>41650</v>
      </c>
      <c r="X12645" t="s">
        <v>42691</v>
      </c>
    </row>
    <row r="12646" spans="1:24">
      <c r="A12646">
        <f>HYPERLINK("https://www.philgeps.gov.ph/GEPSNONPILOT/Tender/SplashBidNoticeAbstractUI.aspx?menuIndex=3&amp;refID=7156902&amp;Result=3","7156902")</f>
        <v>0</v>
      </c>
      <c r="B12646" t="s">
        <v>337</v>
      </c>
      <c r="C12646" t="s">
        <v>15626</v>
      </c>
      <c r="D12646" t="s">
        <v>17171</v>
      </c>
      <c r="E12646" t="s">
        <v>27997</v>
      </c>
      <c r="F12646" t="s">
        <v>29372</v>
      </c>
      <c r="G12646" t="s">
        <v>29380</v>
      </c>
      <c r="H12646" t="s">
        <v>11048</v>
      </c>
      <c r="I12646" t="s">
        <v>29415</v>
      </c>
      <c r="J12646" t="s">
        <v>31307</v>
      </c>
      <c r="K12646" t="s">
        <v>38496</v>
      </c>
      <c r="M12646" t="s">
        <v>39096</v>
      </c>
      <c r="N12646" t="s">
        <v>42669</v>
      </c>
      <c r="O12646" t="s">
        <v>42670</v>
      </c>
      <c r="Q12646">
        <v>14</v>
      </c>
      <c r="R12646" t="s">
        <v>42690</v>
      </c>
      <c r="S12646" t="s">
        <v>43636</v>
      </c>
      <c r="T12646" t="s">
        <v>44429</v>
      </c>
      <c r="U12646" t="s">
        <v>55110</v>
      </c>
      <c r="W12646" t="s">
        <v>39096</v>
      </c>
      <c r="X12646" t="s">
        <v>42691</v>
      </c>
    </row>
    <row r="12647" spans="1:24">
      <c r="A12647">
        <f>HYPERLINK("https://www.philgeps.gov.ph/GEPSNONPILOT/Tender/SplashBidNoticeAbstractUI.aspx?menuIndex=3&amp;refID=7156889&amp;Result=3","7156889")</f>
        <v>0</v>
      </c>
      <c r="B12647" t="s">
        <v>1529</v>
      </c>
      <c r="C12647" t="s">
        <v>15627</v>
      </c>
      <c r="D12647" t="s">
        <v>17162</v>
      </c>
      <c r="E12647" t="s">
        <v>27998</v>
      </c>
      <c r="F12647" t="s">
        <v>29372</v>
      </c>
      <c r="G12647" t="s">
        <v>29380</v>
      </c>
      <c r="H12647" t="s">
        <v>29389</v>
      </c>
      <c r="I12647" t="s">
        <v>10408</v>
      </c>
      <c r="J12647" t="s">
        <v>37507</v>
      </c>
      <c r="K12647" t="s">
        <v>38526</v>
      </c>
      <c r="M12647" t="s">
        <v>40378</v>
      </c>
      <c r="N12647" t="s">
        <v>42669</v>
      </c>
      <c r="O12647" t="s">
        <v>42670</v>
      </c>
      <c r="Q12647">
        <v>8</v>
      </c>
      <c r="R12647" t="s">
        <v>42690</v>
      </c>
      <c r="S12647" t="s">
        <v>43637</v>
      </c>
      <c r="T12647" t="s">
        <v>44399</v>
      </c>
      <c r="U12647" t="s">
        <v>55111</v>
      </c>
      <c r="V12647" t="s">
        <v>57822</v>
      </c>
      <c r="W12647" t="s">
        <v>40378</v>
      </c>
      <c r="X12647" t="s">
        <v>42691</v>
      </c>
    </row>
    <row r="12648" spans="1:24">
      <c r="A12648">
        <f>HYPERLINK("https://www.philgeps.gov.ph/GEPSNONPILOT/Tender/SplashBidNoticeAbstractUI.aspx?menuIndex=3&amp;refID=7156930&amp;Result=3","7156930")</f>
        <v>0</v>
      </c>
      <c r="B12648" t="s">
        <v>2836</v>
      </c>
      <c r="C12648" t="s">
        <v>15628</v>
      </c>
      <c r="D12648" t="s">
        <v>17198</v>
      </c>
      <c r="E12648" t="s">
        <v>27999</v>
      </c>
      <c r="F12648" t="s">
        <v>29372</v>
      </c>
      <c r="G12648" t="s">
        <v>29380</v>
      </c>
      <c r="H12648" t="s">
        <v>29389</v>
      </c>
      <c r="I12648" t="s">
        <v>10408</v>
      </c>
      <c r="J12648" t="s">
        <v>37508</v>
      </c>
      <c r="K12648" t="s">
        <v>38485</v>
      </c>
      <c r="M12648" t="s">
        <v>41828</v>
      </c>
      <c r="N12648" t="s">
        <v>42669</v>
      </c>
      <c r="O12648" t="s">
        <v>42670</v>
      </c>
      <c r="P12648">
        <v>0</v>
      </c>
      <c r="Q12648">
        <v>1</v>
      </c>
      <c r="R12648" t="s">
        <v>42690</v>
      </c>
      <c r="S12648" t="s">
        <v>43574</v>
      </c>
      <c r="T12648" t="s">
        <v>44425</v>
      </c>
      <c r="U12648" t="s">
        <v>55112</v>
      </c>
      <c r="W12648" t="s">
        <v>41828</v>
      </c>
      <c r="X12648" t="s">
        <v>42691</v>
      </c>
    </row>
    <row r="12649" spans="1:24">
      <c r="A12649">
        <f>HYPERLINK("https://www.philgeps.gov.ph/GEPSNONPILOT/Tender/SplashBidNoticeAbstractUI.aspx?menuIndex=3&amp;refID=7156878&amp;Result=3","7156878")</f>
        <v>0</v>
      </c>
      <c r="B12649" t="s">
        <v>3137</v>
      </c>
      <c r="C12649" t="s">
        <v>15629</v>
      </c>
      <c r="D12649" t="s">
        <v>17211</v>
      </c>
      <c r="E12649" t="s">
        <v>28000</v>
      </c>
      <c r="F12649" t="s">
        <v>29372</v>
      </c>
      <c r="G12649" t="s">
        <v>29380</v>
      </c>
      <c r="H12649" t="s">
        <v>29389</v>
      </c>
      <c r="I12649" t="s">
        <v>10408</v>
      </c>
      <c r="J12649" t="s">
        <v>31650</v>
      </c>
      <c r="K12649" t="s">
        <v>38496</v>
      </c>
      <c r="M12649" t="s">
        <v>42182</v>
      </c>
      <c r="N12649" t="s">
        <v>42669</v>
      </c>
      <c r="O12649" t="s">
        <v>42670</v>
      </c>
      <c r="P12649">
        <v>0</v>
      </c>
      <c r="Q12649">
        <v>0</v>
      </c>
      <c r="R12649" t="s">
        <v>42690</v>
      </c>
      <c r="S12649" t="s">
        <v>43574</v>
      </c>
      <c r="T12649" t="s">
        <v>44354</v>
      </c>
      <c r="U12649" t="s">
        <v>55113</v>
      </c>
      <c r="V12649" t="s">
        <v>57621</v>
      </c>
      <c r="W12649" t="s">
        <v>42182</v>
      </c>
      <c r="X12649" t="s">
        <v>42691</v>
      </c>
    </row>
    <row r="12650" spans="1:24">
      <c r="A12650">
        <f>HYPERLINK("https://www.philgeps.gov.ph/GEPSNONPILOT/Tender/SplashBidNoticeAbstractUI.aspx?menuIndex=3&amp;refID=7156975&amp;Result=3","7156975")</f>
        <v>0</v>
      </c>
      <c r="B12650" t="s">
        <v>110</v>
      </c>
      <c r="C12650" t="s">
        <v>15630</v>
      </c>
      <c r="D12650" t="s">
        <v>17165</v>
      </c>
      <c r="E12650" t="s">
        <v>28001</v>
      </c>
      <c r="F12650" t="s">
        <v>29372</v>
      </c>
      <c r="G12650" t="s">
        <v>29380</v>
      </c>
      <c r="H12650" t="s">
        <v>29389</v>
      </c>
      <c r="I12650" t="s">
        <v>10408</v>
      </c>
      <c r="J12650" t="s">
        <v>37509</v>
      </c>
      <c r="K12650" t="s">
        <v>38669</v>
      </c>
      <c r="L12650" t="s">
        <v>110</v>
      </c>
      <c r="M12650" t="s">
        <v>38865</v>
      </c>
      <c r="N12650" t="s">
        <v>42669</v>
      </c>
      <c r="O12650" t="s">
        <v>42670</v>
      </c>
      <c r="P12650">
        <v>0</v>
      </c>
      <c r="Q12650">
        <v>0</v>
      </c>
      <c r="R12650" t="s">
        <v>42690</v>
      </c>
      <c r="S12650" t="s">
        <v>43574</v>
      </c>
      <c r="T12650" t="s">
        <v>44387</v>
      </c>
      <c r="U12650" t="s">
        <v>55114</v>
      </c>
      <c r="V12650" t="s">
        <v>56354</v>
      </c>
      <c r="W12650" t="s">
        <v>38865</v>
      </c>
      <c r="X12650" t="s">
        <v>42691</v>
      </c>
    </row>
    <row r="12651" spans="1:24">
      <c r="A12651">
        <f>HYPERLINK("https://www.philgeps.gov.ph/GEPSNONPILOT/Tender/SplashBidNoticeAbstractUI.aspx?menuIndex=3&amp;refID=7156907&amp;Result=3","7156907")</f>
        <v>0</v>
      </c>
      <c r="B12651" t="s">
        <v>3313</v>
      </c>
      <c r="C12651" t="s">
        <v>15631</v>
      </c>
      <c r="D12651" t="s">
        <v>17204</v>
      </c>
      <c r="E12651" t="s">
        <v>28002</v>
      </c>
      <c r="F12651" t="s">
        <v>29372</v>
      </c>
      <c r="G12651" t="s">
        <v>29380</v>
      </c>
      <c r="H12651" t="s">
        <v>29389</v>
      </c>
      <c r="I12651" t="s">
        <v>10408</v>
      </c>
      <c r="J12651" t="s">
        <v>37510</v>
      </c>
      <c r="K12651" t="s">
        <v>38496</v>
      </c>
      <c r="M12651" t="s">
        <v>42479</v>
      </c>
      <c r="N12651" t="s">
        <v>42669</v>
      </c>
      <c r="O12651" t="s">
        <v>42670</v>
      </c>
      <c r="P12651">
        <v>0</v>
      </c>
      <c r="Q12651">
        <v>8</v>
      </c>
      <c r="R12651" t="s">
        <v>42690</v>
      </c>
      <c r="S12651" t="s">
        <v>43574</v>
      </c>
      <c r="T12651" t="s">
        <v>44496</v>
      </c>
      <c r="U12651" t="s">
        <v>55115</v>
      </c>
      <c r="V12651" t="s">
        <v>57823</v>
      </c>
      <c r="W12651" t="s">
        <v>42479</v>
      </c>
      <c r="X12651" t="s">
        <v>42691</v>
      </c>
    </row>
    <row r="12652" spans="1:24">
      <c r="A12652">
        <f>HYPERLINK("https://www.philgeps.gov.ph/GEPSNONPILOT/Tender/SplashBidNoticeAbstractUI.aspx?menuIndex=3&amp;refID=7157104&amp;Result=3","7157104")</f>
        <v>0</v>
      </c>
      <c r="B12652" t="s">
        <v>2796</v>
      </c>
      <c r="C12652" t="s">
        <v>15632</v>
      </c>
      <c r="D12652" t="s">
        <v>17151</v>
      </c>
      <c r="E12652" t="s">
        <v>28003</v>
      </c>
      <c r="F12652" t="s">
        <v>29372</v>
      </c>
      <c r="G12652" t="s">
        <v>29380</v>
      </c>
      <c r="H12652" t="s">
        <v>29389</v>
      </c>
      <c r="I12652" t="s">
        <v>10408</v>
      </c>
      <c r="J12652" t="s">
        <v>37511</v>
      </c>
      <c r="K12652" t="s">
        <v>38522</v>
      </c>
      <c r="M12652" t="s">
        <v>41784</v>
      </c>
      <c r="N12652" t="s">
        <v>42669</v>
      </c>
      <c r="O12652" t="s">
        <v>42670</v>
      </c>
      <c r="Q12652">
        <v>2</v>
      </c>
      <c r="R12652" t="s">
        <v>42690</v>
      </c>
      <c r="S12652" t="s">
        <v>43638</v>
      </c>
      <c r="T12652" t="s">
        <v>44491</v>
      </c>
      <c r="U12652" t="s">
        <v>55116</v>
      </c>
      <c r="W12652" t="s">
        <v>41784</v>
      </c>
      <c r="X12652" t="s">
        <v>42691</v>
      </c>
    </row>
    <row r="12653" spans="1:24">
      <c r="A12653">
        <f>HYPERLINK("https://www.philgeps.gov.ph/GEPSNONPILOT/Tender/SplashBidNoticeAbstractUI.aspx?menuIndex=3&amp;refID=7156891&amp;Result=3","7156891")</f>
        <v>0</v>
      </c>
      <c r="B12653" t="s">
        <v>924</v>
      </c>
      <c r="C12653" t="s">
        <v>15633</v>
      </c>
      <c r="D12653" t="s">
        <v>17170</v>
      </c>
      <c r="E12653" t="s">
        <v>28004</v>
      </c>
      <c r="F12653" t="s">
        <v>29372</v>
      </c>
      <c r="G12653" t="s">
        <v>29380</v>
      </c>
      <c r="H12653" t="s">
        <v>29389</v>
      </c>
      <c r="I12653" t="s">
        <v>10408</v>
      </c>
      <c r="J12653" t="s">
        <v>37512</v>
      </c>
      <c r="K12653" t="s">
        <v>38487</v>
      </c>
      <c r="M12653" t="s">
        <v>39719</v>
      </c>
      <c r="N12653" t="s">
        <v>42669</v>
      </c>
      <c r="O12653" t="s">
        <v>42670</v>
      </c>
      <c r="Q12653">
        <v>1</v>
      </c>
      <c r="R12653" t="s">
        <v>42690</v>
      </c>
      <c r="S12653" t="s">
        <v>42823</v>
      </c>
      <c r="T12653" t="s">
        <v>44488</v>
      </c>
      <c r="U12653" t="s">
        <v>55117</v>
      </c>
      <c r="W12653" t="s">
        <v>39719</v>
      </c>
      <c r="X12653" t="s">
        <v>42691</v>
      </c>
    </row>
    <row r="12654" spans="1:24">
      <c r="A12654">
        <f>HYPERLINK("https://www.philgeps.gov.ph/GEPSNONPILOT/Tender/SplashBidNoticeAbstractUI.aspx?menuIndex=3&amp;refID=7156803&amp;Result=3","7156803")</f>
        <v>0</v>
      </c>
      <c r="B12654" t="s">
        <v>3384</v>
      </c>
      <c r="C12654" t="s">
        <v>15634</v>
      </c>
      <c r="D12654" t="s">
        <v>17171</v>
      </c>
      <c r="E12654" t="s">
        <v>28005</v>
      </c>
      <c r="F12654" t="s">
        <v>29372</v>
      </c>
      <c r="G12654" t="s">
        <v>29380</v>
      </c>
      <c r="H12654" t="s">
        <v>29389</v>
      </c>
      <c r="I12654" t="s">
        <v>10408</v>
      </c>
      <c r="J12654" t="s">
        <v>37513</v>
      </c>
      <c r="K12654" t="s">
        <v>38490</v>
      </c>
      <c r="M12654" t="s">
        <v>42480</v>
      </c>
      <c r="N12654" t="s">
        <v>42669</v>
      </c>
      <c r="O12654" t="s">
        <v>42670</v>
      </c>
      <c r="P12654">
        <v>0</v>
      </c>
      <c r="Q12654">
        <v>3</v>
      </c>
      <c r="R12654" t="s">
        <v>42690</v>
      </c>
      <c r="S12654" t="s">
        <v>43574</v>
      </c>
      <c r="T12654" t="s">
        <v>44401</v>
      </c>
      <c r="U12654" t="s">
        <v>55118</v>
      </c>
      <c r="W12654" t="s">
        <v>42480</v>
      </c>
      <c r="X12654" t="s">
        <v>42691</v>
      </c>
    </row>
    <row r="12655" spans="1:24">
      <c r="A12655">
        <f>HYPERLINK("https://www.philgeps.gov.ph/GEPSNONPILOT/Tender/SplashBidNoticeAbstractUI.aspx?menuIndex=3&amp;refID=7157079&amp;Result=3","7157079")</f>
        <v>0</v>
      </c>
      <c r="B12655" t="s">
        <v>2796</v>
      </c>
      <c r="C12655" t="s">
        <v>15635</v>
      </c>
      <c r="D12655" t="s">
        <v>17151</v>
      </c>
      <c r="E12655" t="s">
        <v>28006</v>
      </c>
      <c r="F12655" t="s">
        <v>29372</v>
      </c>
      <c r="G12655" t="s">
        <v>29380</v>
      </c>
      <c r="H12655" t="s">
        <v>29389</v>
      </c>
      <c r="I12655" t="s">
        <v>10408</v>
      </c>
      <c r="J12655" t="s">
        <v>37514</v>
      </c>
      <c r="K12655" t="s">
        <v>38522</v>
      </c>
      <c r="M12655" t="s">
        <v>41784</v>
      </c>
      <c r="N12655" t="s">
        <v>42669</v>
      </c>
      <c r="O12655" t="s">
        <v>42670</v>
      </c>
      <c r="Q12655">
        <v>2</v>
      </c>
      <c r="R12655" t="s">
        <v>42690</v>
      </c>
      <c r="S12655" t="s">
        <v>43639</v>
      </c>
      <c r="T12655" t="s">
        <v>44491</v>
      </c>
      <c r="U12655" t="s">
        <v>55119</v>
      </c>
      <c r="W12655" t="s">
        <v>41784</v>
      </c>
      <c r="X12655" t="s">
        <v>42691</v>
      </c>
    </row>
    <row r="12656" spans="1:24">
      <c r="A12656">
        <f>HYPERLINK("https://www.philgeps.gov.ph/GEPSNONPILOT/Tender/SplashBidNoticeAbstractUI.aspx?menuIndex=3&amp;refID=7156877&amp;Result=3","7156877")</f>
        <v>0</v>
      </c>
      <c r="B12656" t="s">
        <v>3385</v>
      </c>
      <c r="C12656" t="s">
        <v>15636</v>
      </c>
      <c r="D12656" t="s">
        <v>17222</v>
      </c>
      <c r="E12656" t="s">
        <v>19225</v>
      </c>
      <c r="F12656" t="s">
        <v>29372</v>
      </c>
      <c r="G12656" t="s">
        <v>29380</v>
      </c>
      <c r="H12656" t="s">
        <v>11048</v>
      </c>
      <c r="I12656" t="s">
        <v>29417</v>
      </c>
      <c r="J12656" t="s">
        <v>30032</v>
      </c>
      <c r="K12656" t="s">
        <v>38518</v>
      </c>
      <c r="M12656" t="s">
        <v>42481</v>
      </c>
      <c r="N12656" t="s">
        <v>42669</v>
      </c>
      <c r="O12656" t="s">
        <v>42670</v>
      </c>
      <c r="P12656">
        <v>0</v>
      </c>
      <c r="Q12656">
        <v>0</v>
      </c>
      <c r="R12656" t="s">
        <v>42690</v>
      </c>
      <c r="S12656" t="s">
        <v>43574</v>
      </c>
      <c r="T12656" t="s">
        <v>44432</v>
      </c>
      <c r="U12656" t="s">
        <v>55120</v>
      </c>
      <c r="W12656" t="s">
        <v>42481</v>
      </c>
      <c r="X12656" t="s">
        <v>42691</v>
      </c>
    </row>
    <row r="12657" spans="1:24">
      <c r="A12657">
        <f>HYPERLINK("https://www.philgeps.gov.ph/GEPSNONPILOT/Tender/SplashBidNoticeAbstractUI.aspx?menuIndex=3&amp;refID=7157072&amp;Result=3","7157072")</f>
        <v>0</v>
      </c>
      <c r="B12657" t="s">
        <v>613</v>
      </c>
      <c r="C12657" t="s">
        <v>15637</v>
      </c>
      <c r="D12657" t="s">
        <v>17205</v>
      </c>
      <c r="E12657" t="s">
        <v>28007</v>
      </c>
      <c r="F12657" t="s">
        <v>29372</v>
      </c>
      <c r="G12657" t="s">
        <v>29379</v>
      </c>
      <c r="H12657" t="s">
        <v>11048</v>
      </c>
      <c r="I12657" t="s">
        <v>3695</v>
      </c>
      <c r="J12657" t="s">
        <v>37515</v>
      </c>
      <c r="K12657" t="s">
        <v>38490</v>
      </c>
      <c r="M12657" t="s">
        <v>39384</v>
      </c>
      <c r="N12657" t="s">
        <v>42669</v>
      </c>
      <c r="O12657" t="s">
        <v>42670</v>
      </c>
      <c r="Q12657">
        <v>0</v>
      </c>
      <c r="R12657" t="s">
        <v>42690</v>
      </c>
      <c r="S12657" t="s">
        <v>43640</v>
      </c>
      <c r="T12657" t="s">
        <v>44417</v>
      </c>
      <c r="U12657" t="s">
        <v>46511</v>
      </c>
      <c r="V12657" t="s">
        <v>56514</v>
      </c>
      <c r="W12657" t="s">
        <v>39384</v>
      </c>
      <c r="X12657" t="s">
        <v>42691</v>
      </c>
    </row>
    <row r="12658" spans="1:24">
      <c r="A12658">
        <f>HYPERLINK("https://www.philgeps.gov.ph/GEPSNONPILOT/Tender/SplashBidNoticeAbstractUI.aspx?menuIndex=3&amp;refID=7157029&amp;Result=3","7157029")</f>
        <v>0</v>
      </c>
      <c r="B12658" t="s">
        <v>583</v>
      </c>
      <c r="C12658" t="s">
        <v>15638</v>
      </c>
      <c r="D12658" t="s">
        <v>17205</v>
      </c>
      <c r="E12658" t="s">
        <v>28008</v>
      </c>
      <c r="F12658" t="s">
        <v>29372</v>
      </c>
      <c r="G12658" t="s">
        <v>29380</v>
      </c>
      <c r="H12658" t="s">
        <v>11048</v>
      </c>
      <c r="I12658" t="s">
        <v>29415</v>
      </c>
      <c r="J12658" t="s">
        <v>37516</v>
      </c>
      <c r="K12658" t="s">
        <v>38485</v>
      </c>
      <c r="M12658" t="s">
        <v>41965</v>
      </c>
      <c r="N12658" t="s">
        <v>42669</v>
      </c>
      <c r="O12658" t="s">
        <v>42670</v>
      </c>
      <c r="Q12658">
        <v>4</v>
      </c>
      <c r="R12658" t="s">
        <v>42690</v>
      </c>
      <c r="S12658" t="s">
        <v>43641</v>
      </c>
      <c r="T12658" t="s">
        <v>44375</v>
      </c>
      <c r="U12658" t="s">
        <v>55121</v>
      </c>
      <c r="W12658" t="s">
        <v>41965</v>
      </c>
      <c r="X12658" t="s">
        <v>42691</v>
      </c>
    </row>
    <row r="12659" spans="1:24">
      <c r="A12659">
        <f>HYPERLINK("https://www.philgeps.gov.ph/GEPSNONPILOT/Tender/SplashBidNoticeAbstractUI.aspx?menuIndex=3&amp;refID=7157027&amp;Result=3","7157027")</f>
        <v>0</v>
      </c>
      <c r="B12659" t="s">
        <v>413</v>
      </c>
      <c r="C12659" t="s">
        <v>15639</v>
      </c>
      <c r="D12659" t="s">
        <v>17214</v>
      </c>
      <c r="E12659" t="s">
        <v>28009</v>
      </c>
      <c r="F12659" t="s">
        <v>29372</v>
      </c>
      <c r="G12659" t="s">
        <v>29380</v>
      </c>
      <c r="H12659" t="s">
        <v>11048</v>
      </c>
      <c r="I12659" t="s">
        <v>29425</v>
      </c>
      <c r="J12659" t="s">
        <v>37517</v>
      </c>
      <c r="K12659" t="s">
        <v>38490</v>
      </c>
      <c r="M12659" t="s">
        <v>39177</v>
      </c>
      <c r="N12659" t="s">
        <v>42669</v>
      </c>
      <c r="O12659" t="s">
        <v>42670</v>
      </c>
      <c r="Q12659">
        <v>4</v>
      </c>
      <c r="R12659" t="s">
        <v>42690</v>
      </c>
      <c r="S12659" t="s">
        <v>43642</v>
      </c>
      <c r="T12659" t="s">
        <v>44554</v>
      </c>
      <c r="U12659" t="s">
        <v>55122</v>
      </c>
      <c r="V12659" t="s">
        <v>57320</v>
      </c>
      <c r="W12659" t="s">
        <v>39177</v>
      </c>
      <c r="X12659" t="s">
        <v>42691</v>
      </c>
    </row>
    <row r="12660" spans="1:24">
      <c r="A12660">
        <f>HYPERLINK("https://www.philgeps.gov.ph/GEPSNONPILOT/Tender/SplashBidNoticeAbstractUI.aspx?menuIndex=3&amp;refID=7157067&amp;Result=3","7157067")</f>
        <v>0</v>
      </c>
      <c r="B12660" t="s">
        <v>231</v>
      </c>
      <c r="C12660" t="s">
        <v>15640</v>
      </c>
      <c r="D12660" t="s">
        <v>17166</v>
      </c>
      <c r="E12660" t="s">
        <v>28010</v>
      </c>
      <c r="F12660" t="s">
        <v>29372</v>
      </c>
      <c r="G12660" t="s">
        <v>29380</v>
      </c>
      <c r="H12660" t="s">
        <v>11048</v>
      </c>
      <c r="I12660" t="s">
        <v>29433</v>
      </c>
      <c r="J12660" t="s">
        <v>37518</v>
      </c>
      <c r="K12660" t="s">
        <v>38490</v>
      </c>
      <c r="M12660" t="s">
        <v>40655</v>
      </c>
      <c r="N12660" t="s">
        <v>42669</v>
      </c>
      <c r="O12660" t="s">
        <v>42670</v>
      </c>
      <c r="Q12660">
        <v>39</v>
      </c>
      <c r="R12660" t="s">
        <v>42690</v>
      </c>
      <c r="S12660" t="s">
        <v>43643</v>
      </c>
      <c r="T12660" t="s">
        <v>44839</v>
      </c>
      <c r="U12660" t="s">
        <v>55123</v>
      </c>
      <c r="V12660" t="s">
        <v>57824</v>
      </c>
      <c r="W12660" t="s">
        <v>40655</v>
      </c>
      <c r="X12660" t="s">
        <v>42691</v>
      </c>
    </row>
    <row r="12661" spans="1:24">
      <c r="A12661">
        <f>HYPERLINK("https://www.philgeps.gov.ph/GEPSNONPILOT/Tender/SplashBidNoticeAbstractUI.aspx?menuIndex=3&amp;refID=7157017&amp;Result=3","7157017")</f>
        <v>0</v>
      </c>
      <c r="B12661" t="s">
        <v>110</v>
      </c>
      <c r="C12661" t="s">
        <v>15641</v>
      </c>
      <c r="D12661" t="s">
        <v>17165</v>
      </c>
      <c r="E12661" t="s">
        <v>28011</v>
      </c>
      <c r="F12661" t="s">
        <v>29372</v>
      </c>
      <c r="G12661" t="s">
        <v>29380</v>
      </c>
      <c r="H12661" t="s">
        <v>29389</v>
      </c>
      <c r="I12661" t="s">
        <v>10408</v>
      </c>
      <c r="J12661" t="s">
        <v>37519</v>
      </c>
      <c r="K12661" t="s">
        <v>38752</v>
      </c>
      <c r="L12661" t="s">
        <v>110</v>
      </c>
      <c r="M12661" t="s">
        <v>38865</v>
      </c>
      <c r="N12661" t="s">
        <v>42669</v>
      </c>
      <c r="O12661" t="s">
        <v>42670</v>
      </c>
      <c r="P12661">
        <v>0</v>
      </c>
      <c r="Q12661">
        <v>1</v>
      </c>
      <c r="R12661" t="s">
        <v>42690</v>
      </c>
      <c r="S12661" t="s">
        <v>43574</v>
      </c>
      <c r="T12661" t="s">
        <v>44387</v>
      </c>
      <c r="U12661" t="s">
        <v>55124</v>
      </c>
      <c r="V12661" t="s">
        <v>56354</v>
      </c>
      <c r="W12661" t="s">
        <v>38865</v>
      </c>
      <c r="X12661" t="s">
        <v>42691</v>
      </c>
    </row>
    <row r="12662" spans="1:24">
      <c r="A12662">
        <f>HYPERLINK("https://www.philgeps.gov.ph/GEPSNONPILOT/Tender/SplashBidNoticeAbstractUI.aspx?menuIndex=3&amp;refID=7156778&amp;Result=3","7156778")</f>
        <v>0</v>
      </c>
      <c r="B12662" t="s">
        <v>2796</v>
      </c>
      <c r="C12662" t="s">
        <v>15642</v>
      </c>
      <c r="D12662" t="s">
        <v>17151</v>
      </c>
      <c r="E12662" t="s">
        <v>28012</v>
      </c>
      <c r="F12662" t="s">
        <v>29372</v>
      </c>
      <c r="G12662" t="s">
        <v>29380</v>
      </c>
      <c r="H12662" t="s">
        <v>11048</v>
      </c>
      <c r="I12662" t="s">
        <v>29458</v>
      </c>
      <c r="J12662" t="s">
        <v>29571</v>
      </c>
      <c r="K12662" t="s">
        <v>38491</v>
      </c>
      <c r="M12662" t="s">
        <v>41784</v>
      </c>
      <c r="N12662" t="s">
        <v>42669</v>
      </c>
      <c r="O12662" t="s">
        <v>42670</v>
      </c>
      <c r="Q12662">
        <v>0</v>
      </c>
      <c r="R12662" t="s">
        <v>42690</v>
      </c>
      <c r="S12662" t="s">
        <v>43644</v>
      </c>
      <c r="T12662" t="s">
        <v>44491</v>
      </c>
      <c r="U12662" t="s">
        <v>55125</v>
      </c>
      <c r="W12662" t="s">
        <v>41784</v>
      </c>
      <c r="X12662" t="s">
        <v>42691</v>
      </c>
    </row>
    <row r="12663" spans="1:24">
      <c r="A12663">
        <f>HYPERLINK("https://www.philgeps.gov.ph/GEPSNONPILOT/Tender/SplashBidNoticeAbstractUI.aspx?menuIndex=3&amp;refID=7157012&amp;Result=3","7157012")</f>
        <v>0</v>
      </c>
      <c r="B12663" t="s">
        <v>264</v>
      </c>
      <c r="C12663" t="s">
        <v>15643</v>
      </c>
      <c r="E12663" t="s">
        <v>28013</v>
      </c>
      <c r="F12663" t="s">
        <v>29372</v>
      </c>
      <c r="G12663" t="s">
        <v>29380</v>
      </c>
      <c r="H12663" t="s">
        <v>11048</v>
      </c>
      <c r="I12663" t="s">
        <v>29433</v>
      </c>
      <c r="J12663" t="s">
        <v>37520</v>
      </c>
      <c r="K12663" t="s">
        <v>38490</v>
      </c>
      <c r="M12663" t="s">
        <v>42346</v>
      </c>
      <c r="N12663" t="s">
        <v>42669</v>
      </c>
      <c r="O12663" t="s">
        <v>42670</v>
      </c>
      <c r="P12663">
        <v>0</v>
      </c>
      <c r="Q12663">
        <v>30</v>
      </c>
      <c r="R12663" t="s">
        <v>42690</v>
      </c>
      <c r="S12663" t="s">
        <v>43574</v>
      </c>
      <c r="T12663" t="s">
        <v>44491</v>
      </c>
      <c r="U12663" t="s">
        <v>55126</v>
      </c>
      <c r="W12663" t="s">
        <v>42346</v>
      </c>
      <c r="X12663" t="s">
        <v>42691</v>
      </c>
    </row>
    <row r="12664" spans="1:24">
      <c r="A12664">
        <f>HYPERLINK("https://www.philgeps.gov.ph/GEPSNONPILOT/Tender/SplashBidNoticeAbstractUI.aspx?menuIndex=3&amp;refID=7157052&amp;Result=3","7157052")</f>
        <v>0</v>
      </c>
      <c r="B12664" t="s">
        <v>2796</v>
      </c>
      <c r="C12664" t="s">
        <v>15644</v>
      </c>
      <c r="D12664" t="s">
        <v>17151</v>
      </c>
      <c r="E12664" t="s">
        <v>28014</v>
      </c>
      <c r="F12664" t="s">
        <v>29372</v>
      </c>
      <c r="G12664" t="s">
        <v>29380</v>
      </c>
      <c r="H12664" t="s">
        <v>29389</v>
      </c>
      <c r="I12664" t="s">
        <v>10408</v>
      </c>
      <c r="J12664" t="s">
        <v>37521</v>
      </c>
      <c r="K12664" t="s">
        <v>38522</v>
      </c>
      <c r="M12664" t="s">
        <v>41784</v>
      </c>
      <c r="N12664" t="s">
        <v>42669</v>
      </c>
      <c r="O12664" t="s">
        <v>42670</v>
      </c>
      <c r="Q12664">
        <v>1</v>
      </c>
      <c r="R12664" t="s">
        <v>42690</v>
      </c>
      <c r="S12664" t="s">
        <v>43292</v>
      </c>
      <c r="T12664" t="s">
        <v>44491</v>
      </c>
      <c r="U12664" t="s">
        <v>55127</v>
      </c>
      <c r="W12664" t="s">
        <v>41784</v>
      </c>
      <c r="X12664" t="s">
        <v>42691</v>
      </c>
    </row>
    <row r="12665" spans="1:24">
      <c r="A12665">
        <f>HYPERLINK("https://www.philgeps.gov.ph/GEPSNONPILOT/Tender/SplashBidNoticeAbstractUI.aspx?menuIndex=3&amp;refID=7157304&amp;Result=3","7157304")</f>
        <v>0</v>
      </c>
      <c r="B12665" t="s">
        <v>2796</v>
      </c>
      <c r="C12665" t="s">
        <v>15645</v>
      </c>
      <c r="D12665" t="s">
        <v>17151</v>
      </c>
      <c r="E12665" t="s">
        <v>28015</v>
      </c>
      <c r="F12665" t="s">
        <v>29372</v>
      </c>
      <c r="G12665" t="s">
        <v>29380</v>
      </c>
      <c r="H12665" t="s">
        <v>11048</v>
      </c>
      <c r="I12665" t="s">
        <v>29394</v>
      </c>
      <c r="J12665" t="s">
        <v>29767</v>
      </c>
      <c r="K12665" t="s">
        <v>38491</v>
      </c>
      <c r="M12665" t="s">
        <v>41784</v>
      </c>
      <c r="N12665" t="s">
        <v>42669</v>
      </c>
      <c r="O12665" t="s">
        <v>42670</v>
      </c>
      <c r="Q12665">
        <v>2</v>
      </c>
      <c r="R12665" t="s">
        <v>42690</v>
      </c>
      <c r="S12665" t="s">
        <v>43645</v>
      </c>
      <c r="T12665" t="s">
        <v>44491</v>
      </c>
      <c r="U12665" t="s">
        <v>55128</v>
      </c>
      <c r="W12665" t="s">
        <v>41784</v>
      </c>
      <c r="X12665" t="s">
        <v>42691</v>
      </c>
    </row>
    <row r="12666" spans="1:24">
      <c r="A12666">
        <f>HYPERLINK("https://www.philgeps.gov.ph/GEPSNONPILOT/Tender/SplashBidNoticeAbstractUI.aspx?menuIndex=3&amp;refID=7157289&amp;Result=3","7157289")</f>
        <v>0</v>
      </c>
      <c r="B12666" t="s">
        <v>2151</v>
      </c>
      <c r="C12666" t="s">
        <v>15646</v>
      </c>
      <c r="E12666" t="s">
        <v>28016</v>
      </c>
      <c r="F12666" t="s">
        <v>29372</v>
      </c>
      <c r="G12666" t="s">
        <v>29380</v>
      </c>
      <c r="H12666" t="s">
        <v>29389</v>
      </c>
      <c r="I12666" t="s">
        <v>10408</v>
      </c>
      <c r="J12666" t="s">
        <v>37522</v>
      </c>
      <c r="K12666" t="s">
        <v>38490</v>
      </c>
      <c r="M12666" t="s">
        <v>41059</v>
      </c>
      <c r="N12666" t="s">
        <v>42669</v>
      </c>
      <c r="O12666" t="s">
        <v>42670</v>
      </c>
      <c r="P12666">
        <v>0</v>
      </c>
      <c r="Q12666">
        <v>3</v>
      </c>
      <c r="R12666" t="s">
        <v>42690</v>
      </c>
      <c r="S12666" t="s">
        <v>43574</v>
      </c>
      <c r="T12666" t="s">
        <v>44401</v>
      </c>
      <c r="U12666" t="s">
        <v>55129</v>
      </c>
      <c r="V12666" t="s">
        <v>57825</v>
      </c>
      <c r="W12666" t="s">
        <v>41059</v>
      </c>
      <c r="X12666" t="s">
        <v>42691</v>
      </c>
    </row>
    <row r="12667" spans="1:24">
      <c r="A12667">
        <f>HYPERLINK("https://www.philgeps.gov.ph/GEPSNONPILOT/Tender/SplashBidNoticeAbstractUI.aspx?menuIndex=3&amp;refID=7157018&amp;Result=3","7157018")</f>
        <v>0</v>
      </c>
      <c r="B12667" t="s">
        <v>2796</v>
      </c>
      <c r="C12667" t="s">
        <v>15647</v>
      </c>
      <c r="D12667" t="s">
        <v>17151</v>
      </c>
      <c r="E12667" t="s">
        <v>28017</v>
      </c>
      <c r="F12667" t="s">
        <v>29372</v>
      </c>
      <c r="G12667" t="s">
        <v>29380</v>
      </c>
      <c r="H12667" t="s">
        <v>29389</v>
      </c>
      <c r="I12667" t="s">
        <v>10408</v>
      </c>
      <c r="J12667" t="s">
        <v>37523</v>
      </c>
      <c r="K12667" t="s">
        <v>38522</v>
      </c>
      <c r="M12667" t="s">
        <v>41784</v>
      </c>
      <c r="N12667" t="s">
        <v>42669</v>
      </c>
      <c r="O12667" t="s">
        <v>42670</v>
      </c>
      <c r="Q12667">
        <v>1</v>
      </c>
      <c r="R12667" t="s">
        <v>42690</v>
      </c>
      <c r="S12667" t="s">
        <v>43228</v>
      </c>
      <c r="T12667" t="s">
        <v>44491</v>
      </c>
      <c r="U12667" t="s">
        <v>55130</v>
      </c>
      <c r="W12667" t="s">
        <v>41784</v>
      </c>
      <c r="X12667" t="s">
        <v>42691</v>
      </c>
    </row>
    <row r="12668" spans="1:24">
      <c r="A12668">
        <f>HYPERLINK("https://www.philgeps.gov.ph/GEPSNONPILOT/Tender/SplashBidNoticeAbstractUI.aspx?menuIndex=3&amp;refID=7157284&amp;Result=3","7157284")</f>
        <v>0</v>
      </c>
      <c r="B12668" t="s">
        <v>3081</v>
      </c>
      <c r="C12668" t="s">
        <v>15648</v>
      </c>
      <c r="D12668" t="s">
        <v>17143</v>
      </c>
      <c r="E12668" t="s">
        <v>28018</v>
      </c>
      <c r="F12668" t="s">
        <v>29372</v>
      </c>
      <c r="G12668" t="s">
        <v>29380</v>
      </c>
      <c r="H12668" t="s">
        <v>29389</v>
      </c>
      <c r="I12668" t="s">
        <v>10408</v>
      </c>
      <c r="J12668" t="s">
        <v>37524</v>
      </c>
      <c r="K12668" t="s">
        <v>38495</v>
      </c>
      <c r="M12668" t="s">
        <v>42110</v>
      </c>
      <c r="N12668" t="s">
        <v>42669</v>
      </c>
      <c r="O12668" t="s">
        <v>42670</v>
      </c>
      <c r="P12668">
        <v>0</v>
      </c>
      <c r="Q12668">
        <v>1</v>
      </c>
      <c r="R12668" t="s">
        <v>42690</v>
      </c>
      <c r="S12668" t="s">
        <v>43574</v>
      </c>
      <c r="T12668" t="s">
        <v>44488</v>
      </c>
      <c r="U12668" t="s">
        <v>55131</v>
      </c>
      <c r="W12668" t="s">
        <v>42110</v>
      </c>
      <c r="X12668" t="s">
        <v>42691</v>
      </c>
    </row>
    <row r="12669" spans="1:24">
      <c r="A12669">
        <f>HYPERLINK("https://www.philgeps.gov.ph/GEPSNONPILOT/Tender/SplashBidNoticeAbstractUI.aspx?menuIndex=3&amp;refID=7157261&amp;Result=3","7157261")</f>
        <v>0</v>
      </c>
      <c r="B12669" t="s">
        <v>781</v>
      </c>
      <c r="C12669" t="s">
        <v>15649</v>
      </c>
      <c r="D12669" t="s">
        <v>17163</v>
      </c>
      <c r="E12669" t="s">
        <v>28019</v>
      </c>
      <c r="F12669" t="s">
        <v>29372</v>
      </c>
      <c r="G12669" t="s">
        <v>29380</v>
      </c>
      <c r="H12669" t="s">
        <v>11048</v>
      </c>
      <c r="I12669" t="s">
        <v>29396</v>
      </c>
      <c r="J12669" t="s">
        <v>37525</v>
      </c>
      <c r="K12669" t="s">
        <v>38485</v>
      </c>
      <c r="M12669" t="s">
        <v>41917</v>
      </c>
      <c r="N12669" t="s">
        <v>42669</v>
      </c>
      <c r="O12669" t="s">
        <v>42670</v>
      </c>
      <c r="Q12669">
        <v>8</v>
      </c>
      <c r="R12669" t="s">
        <v>42690</v>
      </c>
      <c r="S12669" t="s">
        <v>43646</v>
      </c>
      <c r="T12669" t="s">
        <v>44493</v>
      </c>
      <c r="U12669" t="s">
        <v>46453</v>
      </c>
      <c r="V12669" t="s">
        <v>57826</v>
      </c>
      <c r="W12669" t="s">
        <v>41971</v>
      </c>
      <c r="X12669" t="s">
        <v>42691</v>
      </c>
    </row>
    <row r="12670" spans="1:24">
      <c r="A12670">
        <f>HYPERLINK("https://www.philgeps.gov.ph/GEPSNONPILOT/Tender/SplashBidNoticeAbstractUI.aspx?menuIndex=3&amp;refID=7157015&amp;Result=3","7157015")</f>
        <v>0</v>
      </c>
      <c r="B12670" t="s">
        <v>3377</v>
      </c>
      <c r="C12670" t="s">
        <v>15650</v>
      </c>
      <c r="D12670" t="s">
        <v>17142</v>
      </c>
      <c r="E12670" t="s">
        <v>28020</v>
      </c>
      <c r="F12670" t="s">
        <v>29372</v>
      </c>
      <c r="G12670" t="s">
        <v>29380</v>
      </c>
      <c r="H12670" t="s">
        <v>29390</v>
      </c>
      <c r="I12670" t="s">
        <v>29460</v>
      </c>
      <c r="J12670" t="s">
        <v>37526</v>
      </c>
      <c r="K12670" t="s">
        <v>38533</v>
      </c>
      <c r="M12670" t="s">
        <v>42472</v>
      </c>
      <c r="N12670" t="s">
        <v>42669</v>
      </c>
      <c r="O12670" t="s">
        <v>42670</v>
      </c>
      <c r="Q12670">
        <v>6</v>
      </c>
      <c r="R12670" t="s">
        <v>42690</v>
      </c>
      <c r="S12670" t="s">
        <v>43647</v>
      </c>
      <c r="T12670" t="s">
        <v>44612</v>
      </c>
      <c r="U12670" t="s">
        <v>55076</v>
      </c>
      <c r="V12670" t="s">
        <v>57820</v>
      </c>
      <c r="W12670" t="s">
        <v>42472</v>
      </c>
      <c r="X12670" t="s">
        <v>42691</v>
      </c>
    </row>
    <row r="12671" spans="1:24">
      <c r="A12671">
        <f>HYPERLINK("https://www.philgeps.gov.ph/GEPSNONPILOT/Tender/SplashBidNoticeAbstractUI.aspx?menuIndex=3&amp;refID=7157247&amp;Result=3","7157247")</f>
        <v>0</v>
      </c>
      <c r="B12671" t="s">
        <v>1852</v>
      </c>
      <c r="C12671" t="s">
        <v>15651</v>
      </c>
      <c r="D12671" t="s">
        <v>17206</v>
      </c>
      <c r="E12671" t="s">
        <v>19204</v>
      </c>
      <c r="F12671" t="s">
        <v>29372</v>
      </c>
      <c r="G12671" t="s">
        <v>29380</v>
      </c>
      <c r="H12671" t="s">
        <v>11048</v>
      </c>
      <c r="I12671" t="s">
        <v>5383</v>
      </c>
      <c r="J12671" t="s">
        <v>30039</v>
      </c>
      <c r="K12671" t="s">
        <v>38485</v>
      </c>
      <c r="M12671" t="s">
        <v>40725</v>
      </c>
      <c r="N12671" t="s">
        <v>42669</v>
      </c>
      <c r="O12671" t="s">
        <v>42670</v>
      </c>
      <c r="P12671">
        <v>0</v>
      </c>
      <c r="Q12671">
        <v>4</v>
      </c>
      <c r="R12671" t="s">
        <v>42690</v>
      </c>
      <c r="S12671" t="s">
        <v>43574</v>
      </c>
      <c r="T12671" t="s">
        <v>44427</v>
      </c>
      <c r="U12671" t="s">
        <v>55132</v>
      </c>
      <c r="W12671" t="s">
        <v>40725</v>
      </c>
      <c r="X12671" t="s">
        <v>42691</v>
      </c>
    </row>
    <row r="12672" spans="1:24">
      <c r="A12672">
        <f>HYPERLINK("https://www.philgeps.gov.ph/GEPSNONPILOT/Tender/SplashBidNoticeAbstractUI.aspx?menuIndex=3&amp;refID=7156806&amp;Result=3","7156806")</f>
        <v>0</v>
      </c>
      <c r="B12672" t="s">
        <v>781</v>
      </c>
      <c r="C12672" t="s">
        <v>15652</v>
      </c>
      <c r="D12672" t="s">
        <v>17163</v>
      </c>
      <c r="E12672" t="s">
        <v>28021</v>
      </c>
      <c r="F12672" t="s">
        <v>29372</v>
      </c>
      <c r="G12672" t="s">
        <v>29380</v>
      </c>
      <c r="H12672" t="s">
        <v>11048</v>
      </c>
      <c r="I12672" t="s">
        <v>3839</v>
      </c>
      <c r="J12672" t="s">
        <v>31307</v>
      </c>
      <c r="K12672" t="s">
        <v>38485</v>
      </c>
      <c r="M12672" t="s">
        <v>41971</v>
      </c>
      <c r="N12672" t="s">
        <v>42669</v>
      </c>
      <c r="O12672" t="s">
        <v>42670</v>
      </c>
      <c r="Q12672">
        <v>12</v>
      </c>
      <c r="R12672" t="s">
        <v>42690</v>
      </c>
      <c r="S12672" t="s">
        <v>43648</v>
      </c>
      <c r="T12672" t="s">
        <v>44493</v>
      </c>
      <c r="U12672" t="s">
        <v>46453</v>
      </c>
      <c r="V12672" t="s">
        <v>57826</v>
      </c>
      <c r="W12672" t="s">
        <v>41971</v>
      </c>
      <c r="X12672" t="s">
        <v>42691</v>
      </c>
    </row>
    <row r="12673" spans="1:24">
      <c r="A12673">
        <f>HYPERLINK("https://www.philgeps.gov.ph/GEPSNONPILOT/Tender/SplashBidNoticeAbstractUI.aspx?menuIndex=3&amp;refID=7157245&amp;Result=3","7157245")</f>
        <v>0</v>
      </c>
      <c r="B12673" t="s">
        <v>3386</v>
      </c>
      <c r="C12673" t="s">
        <v>15653</v>
      </c>
      <c r="D12673" t="s">
        <v>17174</v>
      </c>
      <c r="E12673" t="s">
        <v>28022</v>
      </c>
      <c r="F12673" t="s">
        <v>29372</v>
      </c>
      <c r="G12673" t="s">
        <v>29380</v>
      </c>
      <c r="H12673" t="s">
        <v>11048</v>
      </c>
      <c r="I12673" t="s">
        <v>3952</v>
      </c>
      <c r="J12673" t="s">
        <v>37527</v>
      </c>
      <c r="K12673" t="s">
        <v>38510</v>
      </c>
      <c r="M12673" t="s">
        <v>42482</v>
      </c>
      <c r="N12673" t="s">
        <v>42669</v>
      </c>
      <c r="O12673" t="s">
        <v>42670</v>
      </c>
      <c r="P12673">
        <v>0</v>
      </c>
      <c r="Q12673">
        <v>4</v>
      </c>
      <c r="R12673" t="s">
        <v>42690</v>
      </c>
      <c r="S12673" t="s">
        <v>43574</v>
      </c>
      <c r="T12673" t="s">
        <v>44401</v>
      </c>
      <c r="U12673" t="s">
        <v>55133</v>
      </c>
      <c r="V12673" t="s">
        <v>57827</v>
      </c>
      <c r="W12673" t="s">
        <v>58129</v>
      </c>
      <c r="X12673" t="s">
        <v>42691</v>
      </c>
    </row>
    <row r="12674" spans="1:24">
      <c r="A12674">
        <f>HYPERLINK("https://www.philgeps.gov.ph/GEPSNONPILOT/Tender/SplashBidNoticeAbstractUI.aspx?menuIndex=3&amp;refID=7157232&amp;Result=3","7157232")</f>
        <v>0</v>
      </c>
      <c r="B12674" t="s">
        <v>692</v>
      </c>
      <c r="C12674" t="s">
        <v>15654</v>
      </c>
      <c r="D12674" t="s">
        <v>17160</v>
      </c>
      <c r="E12674" t="s">
        <v>22419</v>
      </c>
      <c r="F12674" t="s">
        <v>29372</v>
      </c>
      <c r="G12674" t="s">
        <v>29380</v>
      </c>
      <c r="H12674" t="s">
        <v>11048</v>
      </c>
      <c r="I12674" t="s">
        <v>3839</v>
      </c>
      <c r="J12674" t="s">
        <v>37528</v>
      </c>
      <c r="K12674" t="s">
        <v>38490</v>
      </c>
      <c r="M12674" t="s">
        <v>39468</v>
      </c>
      <c r="N12674" t="s">
        <v>42669</v>
      </c>
      <c r="O12674" t="s">
        <v>42670</v>
      </c>
      <c r="P12674">
        <v>0</v>
      </c>
      <c r="Q12674">
        <v>0</v>
      </c>
      <c r="R12674" t="s">
        <v>42690</v>
      </c>
      <c r="S12674" t="s">
        <v>43574</v>
      </c>
      <c r="T12674" t="s">
        <v>44371</v>
      </c>
      <c r="U12674" t="s">
        <v>55134</v>
      </c>
      <c r="W12674" t="s">
        <v>39468</v>
      </c>
      <c r="X12674" t="s">
        <v>42691</v>
      </c>
    </row>
    <row r="12675" spans="1:24">
      <c r="A12675">
        <f>HYPERLINK("https://www.philgeps.gov.ph/GEPSNONPILOT/Tender/SplashBidNoticeAbstractUI.aspx?menuIndex=3&amp;refID=7157302&amp;Result=3","7157302")</f>
        <v>0</v>
      </c>
      <c r="B12675" t="s">
        <v>2064</v>
      </c>
      <c r="C12675" t="s">
        <v>14082</v>
      </c>
      <c r="D12675" t="s">
        <v>17207</v>
      </c>
      <c r="E12675" t="s">
        <v>28023</v>
      </c>
      <c r="F12675" t="s">
        <v>29372</v>
      </c>
      <c r="G12675" t="s">
        <v>29380</v>
      </c>
      <c r="H12675" t="s">
        <v>29389</v>
      </c>
      <c r="I12675" t="s">
        <v>10408</v>
      </c>
      <c r="J12675" t="s">
        <v>32856</v>
      </c>
      <c r="K12675" t="s">
        <v>38496</v>
      </c>
      <c r="M12675" t="s">
        <v>40962</v>
      </c>
      <c r="N12675" t="s">
        <v>42669</v>
      </c>
      <c r="O12675" t="s">
        <v>42670</v>
      </c>
      <c r="P12675">
        <v>0</v>
      </c>
      <c r="Q12675">
        <v>1</v>
      </c>
      <c r="R12675" t="s">
        <v>42690</v>
      </c>
      <c r="S12675" t="s">
        <v>43574</v>
      </c>
      <c r="T12675" t="s">
        <v>44840</v>
      </c>
      <c r="U12675" t="s">
        <v>55135</v>
      </c>
      <c r="W12675" t="s">
        <v>40962</v>
      </c>
      <c r="X12675" t="s">
        <v>42691</v>
      </c>
    </row>
    <row r="12676" spans="1:24">
      <c r="A12676">
        <f>HYPERLINK("https://www.philgeps.gov.ph/GEPSNONPILOT/Tender/SplashBidNoticeAbstractUI.aspx?menuIndex=3&amp;refID=7157224&amp;Result=3","7157224")</f>
        <v>0</v>
      </c>
      <c r="B12676" t="s">
        <v>2064</v>
      </c>
      <c r="C12676" t="s">
        <v>9302</v>
      </c>
      <c r="D12676" t="s">
        <v>17207</v>
      </c>
      <c r="E12676" t="s">
        <v>28024</v>
      </c>
      <c r="F12676" t="s">
        <v>29372</v>
      </c>
      <c r="G12676" t="s">
        <v>29380</v>
      </c>
      <c r="H12676" t="s">
        <v>29389</v>
      </c>
      <c r="I12676" t="s">
        <v>10408</v>
      </c>
      <c r="J12676" t="s">
        <v>29730</v>
      </c>
      <c r="K12676" t="s">
        <v>38485</v>
      </c>
      <c r="M12676" t="s">
        <v>40962</v>
      </c>
      <c r="N12676" t="s">
        <v>42669</v>
      </c>
      <c r="O12676" t="s">
        <v>42670</v>
      </c>
      <c r="P12676">
        <v>0</v>
      </c>
      <c r="Q12676">
        <v>0</v>
      </c>
      <c r="R12676" t="s">
        <v>42690</v>
      </c>
      <c r="S12676" t="s">
        <v>43574</v>
      </c>
      <c r="T12676" t="s">
        <v>44841</v>
      </c>
      <c r="U12676" t="s">
        <v>55136</v>
      </c>
      <c r="W12676" t="s">
        <v>40962</v>
      </c>
      <c r="X12676" t="s">
        <v>42691</v>
      </c>
    </row>
    <row r="12677" spans="1:24">
      <c r="A12677">
        <f>HYPERLINK("https://www.philgeps.gov.ph/GEPSNONPILOT/Tender/SplashBidNoticeAbstractUI.aspx?menuIndex=3&amp;refID=7157174&amp;Result=3","7157174")</f>
        <v>0</v>
      </c>
      <c r="B12677" t="s">
        <v>3387</v>
      </c>
      <c r="C12677" t="s">
        <v>15655</v>
      </c>
      <c r="D12677" t="s">
        <v>17207</v>
      </c>
      <c r="E12677" t="s">
        <v>28025</v>
      </c>
      <c r="F12677" t="s">
        <v>29372</v>
      </c>
      <c r="G12677" t="s">
        <v>29380</v>
      </c>
      <c r="H12677" t="s">
        <v>11048</v>
      </c>
      <c r="I12677" t="s">
        <v>5383</v>
      </c>
      <c r="J12677" t="s">
        <v>37529</v>
      </c>
      <c r="K12677" t="s">
        <v>38485</v>
      </c>
      <c r="M12677" t="s">
        <v>42483</v>
      </c>
      <c r="N12677" t="s">
        <v>42669</v>
      </c>
      <c r="O12677" t="s">
        <v>42670</v>
      </c>
      <c r="Q12677">
        <v>8</v>
      </c>
      <c r="R12677" t="s">
        <v>42690</v>
      </c>
      <c r="S12677" t="s">
        <v>43649</v>
      </c>
      <c r="T12677" t="s">
        <v>44429</v>
      </c>
      <c r="U12677" t="s">
        <v>55137</v>
      </c>
      <c r="W12677" t="s">
        <v>42483</v>
      </c>
      <c r="X12677" t="s">
        <v>42691</v>
      </c>
    </row>
    <row r="12678" spans="1:24">
      <c r="A12678">
        <f>HYPERLINK("https://www.philgeps.gov.ph/GEPSNONPILOT/Tender/SplashBidNoticeAbstractUI.aspx?menuIndex=3&amp;refID=7157161&amp;Result=3","7157161")</f>
        <v>0</v>
      </c>
      <c r="B12678" t="s">
        <v>2796</v>
      </c>
      <c r="C12678" t="s">
        <v>15656</v>
      </c>
      <c r="D12678" t="s">
        <v>17151</v>
      </c>
      <c r="E12678" t="s">
        <v>28026</v>
      </c>
      <c r="F12678" t="s">
        <v>29372</v>
      </c>
      <c r="G12678" t="s">
        <v>29380</v>
      </c>
      <c r="H12678" t="s">
        <v>29389</v>
      </c>
      <c r="I12678" t="s">
        <v>10408</v>
      </c>
      <c r="J12678" t="s">
        <v>37530</v>
      </c>
      <c r="K12678" t="s">
        <v>38522</v>
      </c>
      <c r="M12678" t="s">
        <v>41784</v>
      </c>
      <c r="N12678" t="s">
        <v>42669</v>
      </c>
      <c r="O12678" t="s">
        <v>42670</v>
      </c>
      <c r="Q12678">
        <v>2</v>
      </c>
      <c r="R12678" t="s">
        <v>42690</v>
      </c>
      <c r="S12678" t="s">
        <v>43650</v>
      </c>
      <c r="T12678" t="s">
        <v>44491</v>
      </c>
      <c r="U12678" t="s">
        <v>55116</v>
      </c>
      <c r="W12678" t="s">
        <v>41784</v>
      </c>
      <c r="X12678" t="s">
        <v>42691</v>
      </c>
    </row>
    <row r="12679" spans="1:24">
      <c r="A12679">
        <f>HYPERLINK("https://www.philgeps.gov.ph/GEPSNONPILOT/Tender/SplashBidNoticeAbstractUI.aspx?menuIndex=3&amp;refID=7157189&amp;Result=3","7157189")</f>
        <v>0</v>
      </c>
      <c r="B12679" t="s">
        <v>3137</v>
      </c>
      <c r="C12679" t="s">
        <v>3728</v>
      </c>
      <c r="D12679" t="s">
        <v>17211</v>
      </c>
      <c r="E12679" t="s">
        <v>18983</v>
      </c>
      <c r="F12679" t="s">
        <v>29372</v>
      </c>
      <c r="G12679" t="s">
        <v>29380</v>
      </c>
      <c r="H12679" t="s">
        <v>29389</v>
      </c>
      <c r="I12679" t="s">
        <v>10408</v>
      </c>
      <c r="J12679" t="s">
        <v>29555</v>
      </c>
      <c r="K12679" t="s">
        <v>38518</v>
      </c>
      <c r="M12679" t="s">
        <v>42182</v>
      </c>
      <c r="N12679" t="s">
        <v>42669</v>
      </c>
      <c r="O12679" t="s">
        <v>42670</v>
      </c>
      <c r="P12679">
        <v>0</v>
      </c>
      <c r="Q12679">
        <v>0</v>
      </c>
      <c r="R12679" t="s">
        <v>42690</v>
      </c>
      <c r="S12679" t="s">
        <v>43574</v>
      </c>
      <c r="T12679" t="s">
        <v>44354</v>
      </c>
      <c r="U12679" t="s">
        <v>55138</v>
      </c>
      <c r="V12679" t="s">
        <v>57621</v>
      </c>
      <c r="W12679" t="s">
        <v>42182</v>
      </c>
      <c r="X12679" t="s">
        <v>42691</v>
      </c>
    </row>
    <row r="12680" spans="1:24">
      <c r="A12680">
        <f>HYPERLINK("https://www.philgeps.gov.ph/GEPSNONPILOT/Tender/SplashBidNoticeAbstractUI.aspx?menuIndex=3&amp;refID=7157250&amp;Result=3","7157250")</f>
        <v>0</v>
      </c>
      <c r="B12680" t="s">
        <v>582</v>
      </c>
      <c r="C12680" t="s">
        <v>15657</v>
      </c>
      <c r="D12680" t="s">
        <v>17145</v>
      </c>
      <c r="E12680" t="s">
        <v>28027</v>
      </c>
      <c r="F12680" t="s">
        <v>29372</v>
      </c>
      <c r="G12680" t="s">
        <v>29380</v>
      </c>
      <c r="H12680" t="s">
        <v>11048</v>
      </c>
      <c r="I12680" t="s">
        <v>29393</v>
      </c>
      <c r="J12680" t="s">
        <v>37531</v>
      </c>
      <c r="K12680" t="s">
        <v>38488</v>
      </c>
      <c r="M12680" t="s">
        <v>39351</v>
      </c>
      <c r="N12680" t="s">
        <v>42669</v>
      </c>
      <c r="O12680" t="s">
        <v>42670</v>
      </c>
      <c r="P12680">
        <v>0</v>
      </c>
      <c r="Q12680">
        <v>1</v>
      </c>
      <c r="R12680" t="s">
        <v>42690</v>
      </c>
      <c r="S12680" t="s">
        <v>43574</v>
      </c>
      <c r="T12680" t="s">
        <v>44387</v>
      </c>
      <c r="U12680" t="s">
        <v>46095</v>
      </c>
      <c r="W12680" t="s">
        <v>39351</v>
      </c>
      <c r="X12680" t="s">
        <v>42691</v>
      </c>
    </row>
    <row r="12681" spans="1:24">
      <c r="A12681">
        <f>HYPERLINK("https://www.philgeps.gov.ph/GEPSNONPILOT/Tender/SplashBidNoticeAbstractUI.aspx?menuIndex=3&amp;refID=7157125&amp;Result=3","7157125")</f>
        <v>0</v>
      </c>
      <c r="B12681" t="s">
        <v>337</v>
      </c>
      <c r="C12681" t="s">
        <v>15658</v>
      </c>
      <c r="D12681" t="s">
        <v>17246</v>
      </c>
      <c r="E12681" t="s">
        <v>28028</v>
      </c>
      <c r="F12681" t="s">
        <v>29372</v>
      </c>
      <c r="G12681" t="s">
        <v>29380</v>
      </c>
      <c r="H12681" t="s">
        <v>11048</v>
      </c>
      <c r="I12681" t="s">
        <v>3839</v>
      </c>
      <c r="J12681" t="s">
        <v>37532</v>
      </c>
      <c r="K12681" t="s">
        <v>38485</v>
      </c>
      <c r="M12681" t="s">
        <v>39096</v>
      </c>
      <c r="N12681" t="s">
        <v>42669</v>
      </c>
      <c r="O12681" t="s">
        <v>42670</v>
      </c>
      <c r="Q12681">
        <v>7</v>
      </c>
      <c r="R12681" t="s">
        <v>42690</v>
      </c>
      <c r="S12681" t="s">
        <v>43651</v>
      </c>
      <c r="T12681" t="s">
        <v>44429</v>
      </c>
      <c r="U12681" t="s">
        <v>55139</v>
      </c>
      <c r="W12681" t="s">
        <v>39096</v>
      </c>
      <c r="X12681" t="s">
        <v>42691</v>
      </c>
    </row>
    <row r="12682" spans="1:24">
      <c r="A12682">
        <f>HYPERLINK("https://www.philgeps.gov.ph/GEPSNONPILOT/Tender/SplashBidNoticeAbstractUI.aspx?menuIndex=3&amp;refID=7157131&amp;Result=3","7157131")</f>
        <v>0</v>
      </c>
      <c r="B12682" t="s">
        <v>2796</v>
      </c>
      <c r="C12682" t="s">
        <v>15659</v>
      </c>
      <c r="D12682" t="s">
        <v>17151</v>
      </c>
      <c r="E12682" t="s">
        <v>28029</v>
      </c>
      <c r="F12682" t="s">
        <v>29372</v>
      </c>
      <c r="G12682" t="s">
        <v>29380</v>
      </c>
      <c r="H12682" t="s">
        <v>29389</v>
      </c>
      <c r="I12682" t="s">
        <v>10408</v>
      </c>
      <c r="J12682" t="s">
        <v>37511</v>
      </c>
      <c r="K12682" t="s">
        <v>38522</v>
      </c>
      <c r="M12682" t="s">
        <v>41784</v>
      </c>
      <c r="N12682" t="s">
        <v>42669</v>
      </c>
      <c r="O12682" t="s">
        <v>42670</v>
      </c>
      <c r="Q12682">
        <v>2</v>
      </c>
      <c r="R12682" t="s">
        <v>42690</v>
      </c>
      <c r="S12682" t="s">
        <v>43233</v>
      </c>
      <c r="T12682" t="s">
        <v>44491</v>
      </c>
      <c r="U12682" t="s">
        <v>55116</v>
      </c>
      <c r="W12682" t="s">
        <v>41784</v>
      </c>
      <c r="X12682" t="s">
        <v>42691</v>
      </c>
    </row>
    <row r="12683" spans="1:24">
      <c r="A12683">
        <f>HYPERLINK("https://www.philgeps.gov.ph/GEPSNONPILOT/Tender/SplashBidNoticeAbstractUI.aspx?menuIndex=3&amp;refID=7157121&amp;Result=3","7157121")</f>
        <v>0</v>
      </c>
      <c r="B12683" t="s">
        <v>2064</v>
      </c>
      <c r="C12683" t="s">
        <v>15660</v>
      </c>
      <c r="D12683" t="s">
        <v>17207</v>
      </c>
      <c r="E12683" t="s">
        <v>28030</v>
      </c>
      <c r="F12683" t="s">
        <v>29372</v>
      </c>
      <c r="G12683" t="s">
        <v>29380</v>
      </c>
      <c r="H12683" t="s">
        <v>29389</v>
      </c>
      <c r="I12683" t="s">
        <v>10408</v>
      </c>
      <c r="J12683" t="s">
        <v>29549</v>
      </c>
      <c r="K12683" t="s">
        <v>38485</v>
      </c>
      <c r="M12683" t="s">
        <v>40962</v>
      </c>
      <c r="N12683" t="s">
        <v>42669</v>
      </c>
      <c r="O12683" t="s">
        <v>42670</v>
      </c>
      <c r="P12683">
        <v>0</v>
      </c>
      <c r="Q12683">
        <v>0</v>
      </c>
      <c r="R12683" t="s">
        <v>42690</v>
      </c>
      <c r="S12683" t="s">
        <v>43574</v>
      </c>
      <c r="T12683" t="s">
        <v>44842</v>
      </c>
      <c r="U12683" t="s">
        <v>55140</v>
      </c>
      <c r="W12683" t="s">
        <v>40962</v>
      </c>
      <c r="X12683" t="s">
        <v>42691</v>
      </c>
    </row>
    <row r="12684" spans="1:24">
      <c r="A12684">
        <f>HYPERLINK("https://www.philgeps.gov.ph/GEPSNONPILOT/Tender/SplashBidNoticeAbstractUI.aspx?menuIndex=3&amp;refID=7157111&amp;Result=3","7157111")</f>
        <v>0</v>
      </c>
      <c r="B12684" t="s">
        <v>413</v>
      </c>
      <c r="C12684" t="s">
        <v>15661</v>
      </c>
      <c r="D12684" t="s">
        <v>17214</v>
      </c>
      <c r="E12684" t="s">
        <v>28031</v>
      </c>
      <c r="F12684" t="s">
        <v>29372</v>
      </c>
      <c r="G12684" t="s">
        <v>29380</v>
      </c>
      <c r="H12684" t="s">
        <v>11048</v>
      </c>
      <c r="I12684" t="s">
        <v>29425</v>
      </c>
      <c r="J12684" t="s">
        <v>37533</v>
      </c>
      <c r="K12684" t="s">
        <v>38490</v>
      </c>
      <c r="M12684" t="s">
        <v>39177</v>
      </c>
      <c r="N12684" t="s">
        <v>42669</v>
      </c>
      <c r="O12684" t="s">
        <v>42670</v>
      </c>
      <c r="Q12684">
        <v>4</v>
      </c>
      <c r="R12684" t="s">
        <v>42690</v>
      </c>
      <c r="S12684" t="s">
        <v>43652</v>
      </c>
      <c r="T12684" t="s">
        <v>44554</v>
      </c>
      <c r="U12684" t="s">
        <v>55122</v>
      </c>
      <c r="V12684" t="s">
        <v>57320</v>
      </c>
      <c r="W12684" t="s">
        <v>39177</v>
      </c>
      <c r="X12684" t="s">
        <v>42691</v>
      </c>
    </row>
    <row r="12685" spans="1:24">
      <c r="A12685">
        <f>HYPERLINK("https://www.philgeps.gov.ph/GEPSNONPILOT/Tender/SplashBidNoticeAbstractUI.aspx?menuIndex=3&amp;refID=7157005&amp;Result=3","7157005")</f>
        <v>0</v>
      </c>
      <c r="B12685" t="s">
        <v>2869</v>
      </c>
      <c r="C12685" t="s">
        <v>15662</v>
      </c>
      <c r="D12685" t="s">
        <v>17177</v>
      </c>
      <c r="E12685" t="s">
        <v>28032</v>
      </c>
      <c r="F12685" t="s">
        <v>29372</v>
      </c>
      <c r="G12685" t="s">
        <v>29380</v>
      </c>
      <c r="H12685" t="s">
        <v>29389</v>
      </c>
      <c r="I12685" t="s">
        <v>10408</v>
      </c>
      <c r="J12685" t="s">
        <v>30056</v>
      </c>
      <c r="K12685" t="s">
        <v>38496</v>
      </c>
      <c r="L12685" t="s">
        <v>2869</v>
      </c>
      <c r="M12685" t="s">
        <v>41864</v>
      </c>
      <c r="N12685" t="s">
        <v>42669</v>
      </c>
      <c r="O12685" t="s">
        <v>42670</v>
      </c>
      <c r="P12685">
        <v>0</v>
      </c>
      <c r="Q12685">
        <v>3</v>
      </c>
      <c r="R12685" t="s">
        <v>42690</v>
      </c>
      <c r="S12685" t="s">
        <v>43574</v>
      </c>
      <c r="T12685" t="s">
        <v>44432</v>
      </c>
      <c r="U12685" t="s">
        <v>55141</v>
      </c>
      <c r="W12685" t="s">
        <v>41864</v>
      </c>
      <c r="X12685" t="s">
        <v>42691</v>
      </c>
    </row>
    <row r="12686" spans="1:24">
      <c r="A12686">
        <f>HYPERLINK("https://www.philgeps.gov.ph/GEPSNONPILOT/Tender/SplashBidNoticeAbstractUI.aspx?menuIndex=3&amp;refID=7157000&amp;Result=3","7157000")</f>
        <v>0</v>
      </c>
      <c r="B12686" t="s">
        <v>110</v>
      </c>
      <c r="C12686" t="s">
        <v>15663</v>
      </c>
      <c r="D12686" t="s">
        <v>17165</v>
      </c>
      <c r="E12686" t="s">
        <v>28033</v>
      </c>
      <c r="F12686" t="s">
        <v>29372</v>
      </c>
      <c r="G12686" t="s">
        <v>29380</v>
      </c>
      <c r="H12686" t="s">
        <v>29389</v>
      </c>
      <c r="I12686" t="s">
        <v>10408</v>
      </c>
      <c r="J12686" t="s">
        <v>37534</v>
      </c>
      <c r="K12686" t="s">
        <v>38693</v>
      </c>
      <c r="L12686" t="s">
        <v>110</v>
      </c>
      <c r="M12686" t="s">
        <v>38865</v>
      </c>
      <c r="N12686" t="s">
        <v>42669</v>
      </c>
      <c r="O12686" t="s">
        <v>42670</v>
      </c>
      <c r="P12686">
        <v>0</v>
      </c>
      <c r="Q12686">
        <v>1</v>
      </c>
      <c r="R12686" t="s">
        <v>42690</v>
      </c>
      <c r="S12686" t="s">
        <v>43574</v>
      </c>
      <c r="T12686" t="s">
        <v>44387</v>
      </c>
      <c r="U12686" t="s">
        <v>55142</v>
      </c>
      <c r="V12686" t="s">
        <v>56354</v>
      </c>
      <c r="W12686" t="s">
        <v>38865</v>
      </c>
      <c r="X12686" t="s">
        <v>42691</v>
      </c>
    </row>
    <row r="12687" spans="1:24">
      <c r="A12687">
        <f>HYPERLINK("https://www.philgeps.gov.ph/GEPSNONPILOT/Tender/SplashBidNoticeAbstractUI.aspx?menuIndex=3&amp;refID=7156998&amp;Result=3","7156998")</f>
        <v>0</v>
      </c>
      <c r="B12687" t="s">
        <v>413</v>
      </c>
      <c r="C12687" t="s">
        <v>15664</v>
      </c>
      <c r="D12687" t="s">
        <v>17214</v>
      </c>
      <c r="E12687" t="s">
        <v>28034</v>
      </c>
      <c r="F12687" t="s">
        <v>29372</v>
      </c>
      <c r="G12687" t="s">
        <v>29380</v>
      </c>
      <c r="H12687" t="s">
        <v>11048</v>
      </c>
      <c r="I12687" t="s">
        <v>29425</v>
      </c>
      <c r="J12687" t="s">
        <v>37535</v>
      </c>
      <c r="K12687" t="s">
        <v>38496</v>
      </c>
      <c r="M12687" t="s">
        <v>39177</v>
      </c>
      <c r="N12687" t="s">
        <v>42669</v>
      </c>
      <c r="O12687" t="s">
        <v>42670</v>
      </c>
      <c r="Q12687">
        <v>5</v>
      </c>
      <c r="R12687" t="s">
        <v>42690</v>
      </c>
      <c r="S12687" t="s">
        <v>43653</v>
      </c>
      <c r="T12687" t="s">
        <v>44554</v>
      </c>
      <c r="U12687" t="s">
        <v>55122</v>
      </c>
      <c r="V12687" t="s">
        <v>56550</v>
      </c>
      <c r="W12687" t="s">
        <v>39177</v>
      </c>
      <c r="X12687" t="s">
        <v>42691</v>
      </c>
    </row>
    <row r="12688" spans="1:24">
      <c r="A12688">
        <f>HYPERLINK("https://www.philgeps.gov.ph/GEPSNONPILOT/Tender/SplashBidNoticeAbstractUI.aspx?menuIndex=3&amp;refID=7157119&amp;Result=3","7157119")</f>
        <v>0</v>
      </c>
      <c r="B12688" t="s">
        <v>3137</v>
      </c>
      <c r="C12688" t="s">
        <v>15665</v>
      </c>
      <c r="D12688" t="s">
        <v>17211</v>
      </c>
      <c r="E12688" t="s">
        <v>28035</v>
      </c>
      <c r="F12688" t="s">
        <v>29372</v>
      </c>
      <c r="G12688" t="s">
        <v>29380</v>
      </c>
      <c r="H12688" t="s">
        <v>29389</v>
      </c>
      <c r="I12688" t="s">
        <v>10408</v>
      </c>
      <c r="J12688" t="s">
        <v>37536</v>
      </c>
      <c r="K12688" t="s">
        <v>38495</v>
      </c>
      <c r="M12688" t="s">
        <v>42182</v>
      </c>
      <c r="N12688" t="s">
        <v>42669</v>
      </c>
      <c r="O12688" t="s">
        <v>42670</v>
      </c>
      <c r="P12688">
        <v>0</v>
      </c>
      <c r="Q12688">
        <v>1</v>
      </c>
      <c r="R12688" t="s">
        <v>42690</v>
      </c>
      <c r="S12688" t="s">
        <v>43574</v>
      </c>
      <c r="T12688" t="s">
        <v>44354</v>
      </c>
      <c r="U12688" t="s">
        <v>55143</v>
      </c>
      <c r="V12688" t="s">
        <v>57621</v>
      </c>
      <c r="W12688" t="s">
        <v>42182</v>
      </c>
      <c r="X12688" t="s">
        <v>42691</v>
      </c>
    </row>
    <row r="12689" spans="1:24">
      <c r="A12689">
        <f>HYPERLINK("https://www.philgeps.gov.ph/GEPSNONPILOT/Tender/SplashBidNoticeAbstractUI.aspx?menuIndex=3&amp;refID=7157143&amp;Result=3","7157143")</f>
        <v>0</v>
      </c>
      <c r="B12689" t="s">
        <v>3377</v>
      </c>
      <c r="C12689" t="s">
        <v>15666</v>
      </c>
      <c r="D12689" t="s">
        <v>17142</v>
      </c>
      <c r="E12689" t="s">
        <v>28036</v>
      </c>
      <c r="F12689" t="s">
        <v>29372</v>
      </c>
      <c r="G12689" t="s">
        <v>29380</v>
      </c>
      <c r="H12689" t="s">
        <v>29390</v>
      </c>
      <c r="I12689" t="s">
        <v>29460</v>
      </c>
      <c r="J12689" t="s">
        <v>37537</v>
      </c>
      <c r="K12689" t="s">
        <v>38564</v>
      </c>
      <c r="M12689" t="s">
        <v>42472</v>
      </c>
      <c r="N12689" t="s">
        <v>42669</v>
      </c>
      <c r="O12689" t="s">
        <v>42670</v>
      </c>
      <c r="Q12689">
        <v>3</v>
      </c>
      <c r="R12689" t="s">
        <v>42690</v>
      </c>
      <c r="S12689" t="s">
        <v>43654</v>
      </c>
      <c r="T12689" t="s">
        <v>44612</v>
      </c>
      <c r="U12689" t="s">
        <v>55076</v>
      </c>
      <c r="V12689" t="s">
        <v>57820</v>
      </c>
      <c r="W12689" t="s">
        <v>42472</v>
      </c>
      <c r="X12689" t="s">
        <v>42691</v>
      </c>
    </row>
    <row r="12690" spans="1:24">
      <c r="A12690">
        <f>HYPERLINK("https://www.philgeps.gov.ph/GEPSNONPILOT/Tender/SplashBidNoticeAbstractUI.aspx?menuIndex=3&amp;refID=7157227&amp;Result=3","7157227")</f>
        <v>0</v>
      </c>
      <c r="B12690" t="s">
        <v>717</v>
      </c>
      <c r="C12690" t="s">
        <v>15667</v>
      </c>
      <c r="D12690" t="s">
        <v>17171</v>
      </c>
      <c r="E12690" t="s">
        <v>28037</v>
      </c>
      <c r="F12690" t="s">
        <v>29372</v>
      </c>
      <c r="G12690" t="s">
        <v>29380</v>
      </c>
      <c r="H12690" t="s">
        <v>11048</v>
      </c>
      <c r="I12690" t="s">
        <v>9469</v>
      </c>
      <c r="J12690" t="s">
        <v>34978</v>
      </c>
      <c r="K12690" t="s">
        <v>38490</v>
      </c>
      <c r="M12690" t="s">
        <v>39496</v>
      </c>
      <c r="N12690" t="s">
        <v>42669</v>
      </c>
      <c r="O12690" t="s">
        <v>42670</v>
      </c>
      <c r="P12690">
        <v>0</v>
      </c>
      <c r="Q12690">
        <v>6</v>
      </c>
      <c r="R12690" t="s">
        <v>42690</v>
      </c>
      <c r="S12690" t="s">
        <v>43574</v>
      </c>
      <c r="T12690" t="s">
        <v>44371</v>
      </c>
      <c r="U12690" t="s">
        <v>55034</v>
      </c>
      <c r="W12690" t="s">
        <v>39496</v>
      </c>
      <c r="X12690" t="s">
        <v>42691</v>
      </c>
    </row>
    <row r="12691" spans="1:24">
      <c r="A12691">
        <f>HYPERLINK("https://www.philgeps.gov.ph/GEPSNONPILOT/Tender/SplashBidNoticeAbstractUI.aspx?menuIndex=3&amp;refID=7156957&amp;Result=3","7156957")</f>
        <v>0</v>
      </c>
      <c r="B12691" t="s">
        <v>3071</v>
      </c>
      <c r="C12691" t="s">
        <v>15668</v>
      </c>
      <c r="D12691" t="s">
        <v>17165</v>
      </c>
      <c r="E12691" t="s">
        <v>28038</v>
      </c>
      <c r="F12691" t="s">
        <v>29373</v>
      </c>
      <c r="G12691" t="s">
        <v>29380</v>
      </c>
      <c r="H12691" t="s">
        <v>29389</v>
      </c>
      <c r="I12691" t="s">
        <v>10408</v>
      </c>
      <c r="J12691" t="s">
        <v>37538</v>
      </c>
      <c r="K12691" t="s">
        <v>38566</v>
      </c>
      <c r="M12691" t="s">
        <v>42099</v>
      </c>
      <c r="N12691" t="s">
        <v>42669</v>
      </c>
      <c r="O12691" t="s">
        <v>42670</v>
      </c>
      <c r="P12691">
        <v>0</v>
      </c>
      <c r="Q12691">
        <v>2</v>
      </c>
      <c r="R12691" t="s">
        <v>42690</v>
      </c>
      <c r="S12691" t="s">
        <v>43574</v>
      </c>
      <c r="T12691" t="s">
        <v>44401</v>
      </c>
      <c r="U12691" t="s">
        <v>55144</v>
      </c>
      <c r="W12691" t="s">
        <v>42099</v>
      </c>
      <c r="X12691" t="s">
        <v>42691</v>
      </c>
    </row>
    <row r="12692" spans="1:24">
      <c r="A12692">
        <f>HYPERLINK("https://www.philgeps.gov.ph/GEPSNONPILOT/Tender/SplashBidNoticeAbstractUI.aspx?menuIndex=3&amp;refID=7156954&amp;Result=3","7156954")</f>
        <v>0</v>
      </c>
      <c r="B12692" t="s">
        <v>110</v>
      </c>
      <c r="C12692" t="s">
        <v>15669</v>
      </c>
      <c r="D12692" t="s">
        <v>17165</v>
      </c>
      <c r="E12692" t="s">
        <v>28039</v>
      </c>
      <c r="F12692" t="s">
        <v>29372</v>
      </c>
      <c r="G12692" t="s">
        <v>29380</v>
      </c>
      <c r="H12692" t="s">
        <v>29389</v>
      </c>
      <c r="I12692" t="s">
        <v>10408</v>
      </c>
      <c r="J12692" t="s">
        <v>30056</v>
      </c>
      <c r="K12692" t="s">
        <v>38496</v>
      </c>
      <c r="L12692" t="s">
        <v>110</v>
      </c>
      <c r="M12692" t="s">
        <v>38865</v>
      </c>
      <c r="N12692" t="s">
        <v>42669</v>
      </c>
      <c r="O12692" t="s">
        <v>42670</v>
      </c>
      <c r="P12692">
        <v>0</v>
      </c>
      <c r="Q12692">
        <v>1</v>
      </c>
      <c r="R12692" t="s">
        <v>42690</v>
      </c>
      <c r="S12692" t="s">
        <v>43574</v>
      </c>
      <c r="T12692" t="s">
        <v>44387</v>
      </c>
      <c r="U12692" t="s">
        <v>55145</v>
      </c>
      <c r="V12692" t="s">
        <v>56354</v>
      </c>
      <c r="W12692" t="s">
        <v>38865</v>
      </c>
      <c r="X12692" t="s">
        <v>42691</v>
      </c>
    </row>
    <row r="12693" spans="1:24">
      <c r="A12693">
        <f>HYPERLINK("https://www.philgeps.gov.ph/GEPSNONPILOT/Tender/SplashBidNoticeAbstractUI.aspx?menuIndex=3&amp;refID=7157410&amp;Result=3","7157410")</f>
        <v>0</v>
      </c>
      <c r="B12693" t="s">
        <v>1852</v>
      </c>
      <c r="C12693" t="s">
        <v>15670</v>
      </c>
      <c r="D12693" t="s">
        <v>17206</v>
      </c>
      <c r="E12693" t="s">
        <v>25754</v>
      </c>
      <c r="F12693" t="s">
        <v>29372</v>
      </c>
      <c r="G12693" t="s">
        <v>29380</v>
      </c>
      <c r="H12693" t="s">
        <v>11048</v>
      </c>
      <c r="I12693" t="s">
        <v>29447</v>
      </c>
      <c r="J12693" t="s">
        <v>37539</v>
      </c>
      <c r="K12693" t="s">
        <v>38485</v>
      </c>
      <c r="M12693" t="s">
        <v>40725</v>
      </c>
      <c r="N12693" t="s">
        <v>42669</v>
      </c>
      <c r="O12693" t="s">
        <v>42670</v>
      </c>
      <c r="P12693">
        <v>0</v>
      </c>
      <c r="Q12693">
        <v>5</v>
      </c>
      <c r="R12693" t="s">
        <v>42690</v>
      </c>
      <c r="S12693" t="s">
        <v>43574</v>
      </c>
      <c r="T12693" t="s">
        <v>44427</v>
      </c>
      <c r="U12693" t="s">
        <v>55132</v>
      </c>
      <c r="W12693" t="s">
        <v>40725</v>
      </c>
      <c r="X12693" t="s">
        <v>42691</v>
      </c>
    </row>
    <row r="12694" spans="1:24">
      <c r="A12694">
        <f>HYPERLINK("https://www.philgeps.gov.ph/GEPSNONPILOT/Tender/SplashBidNoticeAbstractUI.aspx?menuIndex=3&amp;refID=7157381&amp;Result=3","7157381")</f>
        <v>0</v>
      </c>
      <c r="B12694" t="s">
        <v>2151</v>
      </c>
      <c r="C12694" t="s">
        <v>15671</v>
      </c>
      <c r="E12694" t="s">
        <v>28040</v>
      </c>
      <c r="F12694" t="s">
        <v>29372</v>
      </c>
      <c r="G12694" t="s">
        <v>29380</v>
      </c>
      <c r="H12694" t="s">
        <v>29389</v>
      </c>
      <c r="I12694" t="s">
        <v>10408</v>
      </c>
      <c r="J12694" t="s">
        <v>37540</v>
      </c>
      <c r="K12694" t="s">
        <v>38490</v>
      </c>
      <c r="M12694" t="s">
        <v>41059</v>
      </c>
      <c r="N12694" t="s">
        <v>42669</v>
      </c>
      <c r="O12694" t="s">
        <v>42670</v>
      </c>
      <c r="P12694">
        <v>0</v>
      </c>
      <c r="Q12694">
        <v>3</v>
      </c>
      <c r="R12694" t="s">
        <v>42690</v>
      </c>
      <c r="S12694" t="s">
        <v>43574</v>
      </c>
      <c r="T12694" t="s">
        <v>44371</v>
      </c>
      <c r="U12694" t="s">
        <v>55146</v>
      </c>
      <c r="V12694" t="s">
        <v>57828</v>
      </c>
      <c r="W12694" t="s">
        <v>41059</v>
      </c>
      <c r="X12694" t="s">
        <v>42691</v>
      </c>
    </row>
    <row r="12695" spans="1:24">
      <c r="A12695">
        <f>HYPERLINK("https://www.philgeps.gov.ph/GEPSNONPILOT/Tender/SplashBidNoticeAbstractUI.aspx?menuIndex=3&amp;refID=7157377&amp;Result=3","7157377")</f>
        <v>0</v>
      </c>
      <c r="B12695" t="s">
        <v>3388</v>
      </c>
      <c r="C12695" t="s">
        <v>5143</v>
      </c>
      <c r="D12695" t="s">
        <v>17180</v>
      </c>
      <c r="E12695" t="s">
        <v>18739</v>
      </c>
      <c r="F12695" t="s">
        <v>29372</v>
      </c>
      <c r="G12695" t="s">
        <v>29380</v>
      </c>
      <c r="H12695" t="s">
        <v>29389</v>
      </c>
      <c r="I12695" t="s">
        <v>10408</v>
      </c>
      <c r="J12695" t="s">
        <v>37541</v>
      </c>
      <c r="K12695" t="s">
        <v>38496</v>
      </c>
      <c r="M12695" t="s">
        <v>42484</v>
      </c>
      <c r="N12695" t="s">
        <v>42669</v>
      </c>
      <c r="O12695" t="s">
        <v>42670</v>
      </c>
      <c r="P12695">
        <v>0</v>
      </c>
      <c r="Q12695">
        <v>9</v>
      </c>
      <c r="R12695" t="s">
        <v>42690</v>
      </c>
      <c r="S12695" t="s">
        <v>43574</v>
      </c>
      <c r="T12695" t="s">
        <v>44491</v>
      </c>
      <c r="U12695" t="s">
        <v>55147</v>
      </c>
      <c r="W12695" t="s">
        <v>42484</v>
      </c>
      <c r="X12695" t="s">
        <v>42691</v>
      </c>
    </row>
    <row r="12696" spans="1:24">
      <c r="A12696">
        <f>HYPERLINK("https://www.philgeps.gov.ph/GEPSNONPILOT/Tender/SplashBidNoticeAbstractUI.aspx?menuIndex=3&amp;refID=7157376&amp;Result=3","7157376")</f>
        <v>0</v>
      </c>
      <c r="B12696" t="s">
        <v>2064</v>
      </c>
      <c r="C12696" t="s">
        <v>14908</v>
      </c>
      <c r="D12696" t="s">
        <v>17207</v>
      </c>
      <c r="E12696" t="s">
        <v>28041</v>
      </c>
      <c r="F12696" t="s">
        <v>29372</v>
      </c>
      <c r="G12696" t="s">
        <v>29380</v>
      </c>
      <c r="H12696" t="s">
        <v>29389</v>
      </c>
      <c r="I12696" t="s">
        <v>10408</v>
      </c>
      <c r="J12696" t="s">
        <v>29543</v>
      </c>
      <c r="K12696" t="s">
        <v>38485</v>
      </c>
      <c r="M12696" t="s">
        <v>40962</v>
      </c>
      <c r="N12696" t="s">
        <v>42669</v>
      </c>
      <c r="O12696" t="s">
        <v>42670</v>
      </c>
      <c r="P12696">
        <v>0</v>
      </c>
      <c r="Q12696">
        <v>0</v>
      </c>
      <c r="R12696" t="s">
        <v>42690</v>
      </c>
      <c r="S12696" t="s">
        <v>43574</v>
      </c>
      <c r="T12696" t="s">
        <v>44843</v>
      </c>
      <c r="U12696" t="s">
        <v>55148</v>
      </c>
      <c r="W12696" t="s">
        <v>40962</v>
      </c>
      <c r="X12696" t="s">
        <v>42691</v>
      </c>
    </row>
    <row r="12697" spans="1:24">
      <c r="A12697">
        <f>HYPERLINK("https://www.philgeps.gov.ph/GEPSNONPILOT/Tender/SplashBidNoticeAbstractUI.aspx?menuIndex=3&amp;refID=7157372&amp;Result=3","7157372")</f>
        <v>0</v>
      </c>
      <c r="B12697" t="s">
        <v>808</v>
      </c>
      <c r="C12697" t="s">
        <v>15672</v>
      </c>
      <c r="D12697" t="s">
        <v>17173</v>
      </c>
      <c r="E12697" t="s">
        <v>28042</v>
      </c>
      <c r="F12697" t="s">
        <v>29372</v>
      </c>
      <c r="G12697" t="s">
        <v>29384</v>
      </c>
      <c r="H12697" t="s">
        <v>11048</v>
      </c>
      <c r="I12697" t="s">
        <v>29404</v>
      </c>
      <c r="J12697" t="s">
        <v>37542</v>
      </c>
      <c r="K12697" t="s">
        <v>38485</v>
      </c>
      <c r="M12697" t="s">
        <v>39594</v>
      </c>
      <c r="N12697" t="s">
        <v>42669</v>
      </c>
      <c r="O12697" t="s">
        <v>42670</v>
      </c>
      <c r="P12697">
        <v>0</v>
      </c>
      <c r="Q12697">
        <v>2</v>
      </c>
      <c r="R12697" t="s">
        <v>42690</v>
      </c>
      <c r="S12697" t="s">
        <v>43574</v>
      </c>
      <c r="T12697" t="s">
        <v>44401</v>
      </c>
      <c r="U12697" t="s">
        <v>55149</v>
      </c>
      <c r="V12697" t="s">
        <v>56976</v>
      </c>
      <c r="W12697" t="s">
        <v>39594</v>
      </c>
      <c r="X12697" t="s">
        <v>42691</v>
      </c>
    </row>
    <row r="12698" spans="1:24">
      <c r="A12698">
        <f>HYPERLINK("https://www.philgeps.gov.ph/GEPSNONPILOT/Tender/SplashBidNoticeAbstractUI.aspx?menuIndex=3&amp;refID=7157384&amp;Result=3","7157384")</f>
        <v>0</v>
      </c>
      <c r="B12698" t="s">
        <v>3389</v>
      </c>
      <c r="C12698" t="s">
        <v>15673</v>
      </c>
      <c r="D12698" t="s">
        <v>17171</v>
      </c>
      <c r="E12698" t="s">
        <v>28043</v>
      </c>
      <c r="F12698" t="s">
        <v>29372</v>
      </c>
      <c r="G12698" t="s">
        <v>29380</v>
      </c>
      <c r="H12698" t="s">
        <v>29389</v>
      </c>
      <c r="I12698" t="s">
        <v>10408</v>
      </c>
      <c r="J12698" t="s">
        <v>37543</v>
      </c>
      <c r="K12698" t="s">
        <v>38496</v>
      </c>
      <c r="M12698" t="s">
        <v>42485</v>
      </c>
      <c r="N12698" t="s">
        <v>42669</v>
      </c>
      <c r="O12698" t="s">
        <v>42670</v>
      </c>
      <c r="P12698">
        <v>0</v>
      </c>
      <c r="Q12698">
        <v>3</v>
      </c>
      <c r="R12698" t="s">
        <v>42690</v>
      </c>
      <c r="S12698" t="s">
        <v>43574</v>
      </c>
      <c r="T12698" t="s">
        <v>44387</v>
      </c>
      <c r="U12698" t="s">
        <v>55150</v>
      </c>
      <c r="W12698" t="s">
        <v>58130</v>
      </c>
      <c r="X12698" t="s">
        <v>42691</v>
      </c>
    </row>
    <row r="12699" spans="1:24">
      <c r="A12699">
        <f>HYPERLINK("https://www.philgeps.gov.ph/GEPSNONPILOT/Tender/SplashBidNoticeAbstractUI.aspx?menuIndex=3&amp;refID=7157360&amp;Result=3","7157360")</f>
        <v>0</v>
      </c>
      <c r="B12699" t="s">
        <v>2796</v>
      </c>
      <c r="C12699" t="s">
        <v>15674</v>
      </c>
      <c r="D12699" t="s">
        <v>17151</v>
      </c>
      <c r="E12699" t="s">
        <v>28044</v>
      </c>
      <c r="F12699" t="s">
        <v>29372</v>
      </c>
      <c r="G12699" t="s">
        <v>29380</v>
      </c>
      <c r="H12699" t="s">
        <v>11048</v>
      </c>
      <c r="I12699" t="s">
        <v>29397</v>
      </c>
      <c r="J12699" t="s">
        <v>30801</v>
      </c>
      <c r="K12699" t="s">
        <v>38488</v>
      </c>
      <c r="M12699" t="s">
        <v>41784</v>
      </c>
      <c r="N12699" t="s">
        <v>42669</v>
      </c>
      <c r="O12699" t="s">
        <v>42670</v>
      </c>
      <c r="Q12699">
        <v>3</v>
      </c>
      <c r="R12699" t="s">
        <v>42690</v>
      </c>
      <c r="S12699" t="s">
        <v>43655</v>
      </c>
      <c r="T12699" t="s">
        <v>44491</v>
      </c>
      <c r="U12699" t="s">
        <v>55151</v>
      </c>
      <c r="W12699" t="s">
        <v>41784</v>
      </c>
      <c r="X12699" t="s">
        <v>42691</v>
      </c>
    </row>
    <row r="12700" spans="1:24">
      <c r="A12700">
        <f>HYPERLINK("https://www.philgeps.gov.ph/GEPSNONPILOT/Tender/SplashBidNoticeAbstractUI.aspx?menuIndex=3&amp;refID=7157084&amp;Result=3","7157084")</f>
        <v>0</v>
      </c>
      <c r="B12700" t="s">
        <v>3071</v>
      </c>
      <c r="C12700" t="s">
        <v>15675</v>
      </c>
      <c r="D12700" t="s">
        <v>17165</v>
      </c>
      <c r="E12700" t="s">
        <v>28045</v>
      </c>
      <c r="F12700" t="s">
        <v>29373</v>
      </c>
      <c r="G12700" t="s">
        <v>29380</v>
      </c>
      <c r="H12700" t="s">
        <v>29389</v>
      </c>
      <c r="I12700" t="s">
        <v>10408</v>
      </c>
      <c r="J12700" t="s">
        <v>37544</v>
      </c>
      <c r="K12700" t="s">
        <v>38515</v>
      </c>
      <c r="M12700" t="s">
        <v>42099</v>
      </c>
      <c r="N12700" t="s">
        <v>42669</v>
      </c>
      <c r="O12700" t="s">
        <v>42670</v>
      </c>
      <c r="P12700">
        <v>0</v>
      </c>
      <c r="Q12700">
        <v>0</v>
      </c>
      <c r="R12700" t="s">
        <v>42690</v>
      </c>
      <c r="S12700" t="s">
        <v>43574</v>
      </c>
      <c r="T12700" t="s">
        <v>44401</v>
      </c>
      <c r="U12700" t="s">
        <v>55152</v>
      </c>
      <c r="W12700" t="s">
        <v>42099</v>
      </c>
      <c r="X12700" t="s">
        <v>42691</v>
      </c>
    </row>
    <row r="12701" spans="1:24">
      <c r="A12701">
        <f>HYPERLINK("https://www.philgeps.gov.ph/GEPSNONPILOT/Tender/SplashBidNoticeAbstractUI.aspx?menuIndex=3&amp;refID=7157350&amp;Result=3","7157350")</f>
        <v>0</v>
      </c>
      <c r="B12701" t="s">
        <v>2151</v>
      </c>
      <c r="C12701" t="s">
        <v>15676</v>
      </c>
      <c r="E12701" t="s">
        <v>28046</v>
      </c>
      <c r="F12701" t="s">
        <v>29372</v>
      </c>
      <c r="G12701" t="s">
        <v>29380</v>
      </c>
      <c r="H12701" t="s">
        <v>29389</v>
      </c>
      <c r="I12701" t="s">
        <v>10408</v>
      </c>
      <c r="J12701" t="s">
        <v>37545</v>
      </c>
      <c r="K12701" t="s">
        <v>38490</v>
      </c>
      <c r="M12701" t="s">
        <v>41059</v>
      </c>
      <c r="N12701" t="s">
        <v>42669</v>
      </c>
      <c r="O12701" t="s">
        <v>42670</v>
      </c>
      <c r="P12701">
        <v>0</v>
      </c>
      <c r="Q12701">
        <v>3</v>
      </c>
      <c r="R12701" t="s">
        <v>42690</v>
      </c>
      <c r="S12701" t="s">
        <v>43574</v>
      </c>
      <c r="T12701" t="s">
        <v>44371</v>
      </c>
      <c r="U12701" t="s">
        <v>55153</v>
      </c>
      <c r="V12701" t="s">
        <v>57829</v>
      </c>
      <c r="W12701" t="s">
        <v>41059</v>
      </c>
      <c r="X12701" t="s">
        <v>42691</v>
      </c>
    </row>
    <row r="12702" spans="1:24">
      <c r="A12702">
        <f>HYPERLINK("https://www.philgeps.gov.ph/GEPSNONPILOT/Tender/SplashBidNoticeAbstractUI.aspx?menuIndex=3&amp;refID=7157371&amp;Result=3","7157371")</f>
        <v>0</v>
      </c>
      <c r="B12702" t="s">
        <v>616</v>
      </c>
      <c r="C12702" t="s">
        <v>15677</v>
      </c>
      <c r="D12702" t="s">
        <v>17204</v>
      </c>
      <c r="E12702" t="s">
        <v>28047</v>
      </c>
      <c r="F12702" t="s">
        <v>29372</v>
      </c>
      <c r="G12702" t="s">
        <v>29380</v>
      </c>
      <c r="H12702" t="s">
        <v>11048</v>
      </c>
      <c r="I12702" t="s">
        <v>29433</v>
      </c>
      <c r="J12702" t="s">
        <v>29937</v>
      </c>
      <c r="K12702" t="s">
        <v>38496</v>
      </c>
      <c r="M12702" t="s">
        <v>42486</v>
      </c>
      <c r="N12702" t="s">
        <v>42669</v>
      </c>
      <c r="O12702" t="s">
        <v>42670</v>
      </c>
      <c r="Q12702">
        <v>12</v>
      </c>
      <c r="R12702" t="s">
        <v>42690</v>
      </c>
      <c r="S12702" t="s">
        <v>43656</v>
      </c>
      <c r="T12702" t="s">
        <v>44469</v>
      </c>
      <c r="U12702" t="s">
        <v>55154</v>
      </c>
      <c r="V12702" t="s">
        <v>57830</v>
      </c>
      <c r="W12702" t="s">
        <v>42486</v>
      </c>
      <c r="X12702" t="s">
        <v>42691</v>
      </c>
    </row>
    <row r="12703" spans="1:24">
      <c r="A12703">
        <f>HYPERLINK("https://www.philgeps.gov.ph/GEPSNONPILOT/Tender/SplashBidNoticeAbstractUI.aspx?menuIndex=3&amp;refID=7157407&amp;Result=3","7157407")</f>
        <v>0</v>
      </c>
      <c r="B12703" t="s">
        <v>2569</v>
      </c>
      <c r="C12703" t="s">
        <v>15678</v>
      </c>
      <c r="D12703" t="s">
        <v>17164</v>
      </c>
      <c r="E12703" t="s">
        <v>28048</v>
      </c>
      <c r="F12703" t="s">
        <v>29372</v>
      </c>
      <c r="G12703" t="s">
        <v>29380</v>
      </c>
      <c r="H12703" t="s">
        <v>11048</v>
      </c>
      <c r="I12703" t="s">
        <v>29423</v>
      </c>
      <c r="J12703" t="s">
        <v>30161</v>
      </c>
      <c r="K12703" t="s">
        <v>38485</v>
      </c>
      <c r="M12703" t="s">
        <v>41536</v>
      </c>
      <c r="N12703" t="s">
        <v>42669</v>
      </c>
      <c r="O12703" t="s">
        <v>42670</v>
      </c>
      <c r="P12703">
        <v>0</v>
      </c>
      <c r="Q12703">
        <v>2</v>
      </c>
      <c r="R12703" t="s">
        <v>42690</v>
      </c>
      <c r="S12703" t="s">
        <v>43574</v>
      </c>
      <c r="T12703" t="s">
        <v>44399</v>
      </c>
      <c r="U12703" t="s">
        <v>55155</v>
      </c>
      <c r="W12703" t="s">
        <v>41536</v>
      </c>
      <c r="X12703" t="s">
        <v>42691</v>
      </c>
    </row>
    <row r="12704" spans="1:24">
      <c r="A12704">
        <f>HYPERLINK("https://www.philgeps.gov.ph/GEPSNONPILOT/Tender/SplashBidNoticeAbstractUI.aspx?menuIndex=3&amp;refID=7157343&amp;Result=3","7157343")</f>
        <v>0</v>
      </c>
      <c r="B12704" t="s">
        <v>1852</v>
      </c>
      <c r="C12704" t="s">
        <v>15679</v>
      </c>
      <c r="D12704" t="s">
        <v>17206</v>
      </c>
      <c r="E12704" t="s">
        <v>25296</v>
      </c>
      <c r="F12704" t="s">
        <v>29372</v>
      </c>
      <c r="G12704" t="s">
        <v>29380</v>
      </c>
      <c r="H12704" t="s">
        <v>11048</v>
      </c>
      <c r="I12704" t="s">
        <v>3839</v>
      </c>
      <c r="J12704" t="s">
        <v>29587</v>
      </c>
      <c r="K12704" t="s">
        <v>38485</v>
      </c>
      <c r="M12704" t="s">
        <v>40725</v>
      </c>
      <c r="N12704" t="s">
        <v>42669</v>
      </c>
      <c r="O12704" t="s">
        <v>42670</v>
      </c>
      <c r="P12704">
        <v>0</v>
      </c>
      <c r="Q12704">
        <v>5</v>
      </c>
      <c r="R12704" t="s">
        <v>42690</v>
      </c>
      <c r="S12704" t="s">
        <v>43574</v>
      </c>
      <c r="T12704" t="s">
        <v>44427</v>
      </c>
      <c r="U12704" t="s">
        <v>55132</v>
      </c>
      <c r="W12704" t="s">
        <v>40725</v>
      </c>
      <c r="X12704" t="s">
        <v>42691</v>
      </c>
    </row>
    <row r="12705" spans="1:24">
      <c r="A12705">
        <f>HYPERLINK("https://www.philgeps.gov.ph/GEPSNONPILOT/Tender/SplashBidNoticeAbstractUI.aspx?menuIndex=3&amp;refID=7156842&amp;Result=3","7156842")</f>
        <v>0</v>
      </c>
      <c r="B12705" t="s">
        <v>3288</v>
      </c>
      <c r="C12705" t="s">
        <v>15680</v>
      </c>
      <c r="D12705" t="s">
        <v>17171</v>
      </c>
      <c r="E12705" t="s">
        <v>22419</v>
      </c>
      <c r="F12705" t="s">
        <v>29372</v>
      </c>
      <c r="G12705" t="s">
        <v>29380</v>
      </c>
      <c r="H12705" t="s">
        <v>11048</v>
      </c>
      <c r="I12705" t="s">
        <v>5383</v>
      </c>
      <c r="J12705" t="s">
        <v>37546</v>
      </c>
      <c r="K12705" t="s">
        <v>38644</v>
      </c>
      <c r="M12705" t="s">
        <v>42362</v>
      </c>
      <c r="N12705" t="s">
        <v>42669</v>
      </c>
      <c r="O12705" t="s">
        <v>42670</v>
      </c>
      <c r="P12705">
        <v>0</v>
      </c>
      <c r="Q12705">
        <v>6</v>
      </c>
      <c r="R12705" t="s">
        <v>42690</v>
      </c>
      <c r="S12705" t="s">
        <v>43574</v>
      </c>
      <c r="T12705" t="s">
        <v>44652</v>
      </c>
      <c r="U12705" t="s">
        <v>55156</v>
      </c>
      <c r="W12705" t="s">
        <v>42362</v>
      </c>
      <c r="X12705" t="s">
        <v>42691</v>
      </c>
    </row>
    <row r="12706" spans="1:24">
      <c r="A12706">
        <f>HYPERLINK("https://www.philgeps.gov.ph/GEPSNONPILOT/Tender/SplashBidNoticeAbstractUI.aspx?menuIndex=3&amp;refID=7157335&amp;Result=3","7157335")</f>
        <v>0</v>
      </c>
      <c r="B12706" t="s">
        <v>3081</v>
      </c>
      <c r="C12706" t="s">
        <v>15681</v>
      </c>
      <c r="D12706" t="s">
        <v>17143</v>
      </c>
      <c r="E12706" t="s">
        <v>28049</v>
      </c>
      <c r="F12706" t="s">
        <v>29372</v>
      </c>
      <c r="G12706" t="s">
        <v>29380</v>
      </c>
      <c r="H12706" t="s">
        <v>11048</v>
      </c>
      <c r="I12706" t="s">
        <v>29415</v>
      </c>
      <c r="J12706" t="s">
        <v>29811</v>
      </c>
      <c r="K12706" t="s">
        <v>38485</v>
      </c>
      <c r="M12706" t="s">
        <v>42110</v>
      </c>
      <c r="N12706" t="s">
        <v>42669</v>
      </c>
      <c r="O12706" t="s">
        <v>42670</v>
      </c>
      <c r="Q12706">
        <v>7</v>
      </c>
      <c r="R12706" t="s">
        <v>42690</v>
      </c>
      <c r="S12706" t="s">
        <v>43657</v>
      </c>
      <c r="T12706" t="s">
        <v>44488</v>
      </c>
      <c r="U12706" t="s">
        <v>55157</v>
      </c>
      <c r="W12706" t="s">
        <v>42110</v>
      </c>
      <c r="X12706" t="s">
        <v>42691</v>
      </c>
    </row>
    <row r="12707" spans="1:24">
      <c r="A12707">
        <f>HYPERLINK("https://www.philgeps.gov.ph/GEPSNONPILOT/Tender/SplashBidNoticeAbstractUI.aspx?menuIndex=3&amp;refID=7157334&amp;Result=3","7157334")</f>
        <v>0</v>
      </c>
      <c r="B12707" t="s">
        <v>3377</v>
      </c>
      <c r="C12707" t="s">
        <v>15682</v>
      </c>
      <c r="D12707" t="s">
        <v>17142</v>
      </c>
      <c r="E12707" t="s">
        <v>28050</v>
      </c>
      <c r="F12707" t="s">
        <v>29372</v>
      </c>
      <c r="G12707" t="s">
        <v>29380</v>
      </c>
      <c r="H12707" t="s">
        <v>29390</v>
      </c>
      <c r="I12707" t="s">
        <v>29416</v>
      </c>
      <c r="J12707" t="s">
        <v>37547</v>
      </c>
      <c r="K12707" t="s">
        <v>38495</v>
      </c>
      <c r="M12707" t="s">
        <v>42472</v>
      </c>
      <c r="N12707" t="s">
        <v>42669</v>
      </c>
      <c r="O12707" t="s">
        <v>42670</v>
      </c>
      <c r="Q12707">
        <v>5</v>
      </c>
      <c r="R12707" t="s">
        <v>42690</v>
      </c>
      <c r="S12707" t="s">
        <v>43658</v>
      </c>
      <c r="T12707" t="s">
        <v>44597</v>
      </c>
      <c r="U12707" t="s">
        <v>55076</v>
      </c>
      <c r="V12707" t="s">
        <v>57831</v>
      </c>
      <c r="W12707" t="s">
        <v>42472</v>
      </c>
      <c r="X12707" t="s">
        <v>42691</v>
      </c>
    </row>
    <row r="12708" spans="1:24">
      <c r="A12708">
        <f>HYPERLINK("https://www.philgeps.gov.ph/GEPSNONPILOT/Tender/SplashBidNoticeAbstractUI.aspx?menuIndex=3&amp;refID=7157332&amp;Result=3","7157332")</f>
        <v>0</v>
      </c>
      <c r="B12708" t="s">
        <v>2151</v>
      </c>
      <c r="C12708" t="s">
        <v>15683</v>
      </c>
      <c r="E12708" t="s">
        <v>28051</v>
      </c>
      <c r="F12708" t="s">
        <v>29372</v>
      </c>
      <c r="G12708" t="s">
        <v>29380</v>
      </c>
      <c r="H12708" t="s">
        <v>29389</v>
      </c>
      <c r="I12708" t="s">
        <v>10408</v>
      </c>
      <c r="J12708" t="s">
        <v>37522</v>
      </c>
      <c r="K12708" t="s">
        <v>38490</v>
      </c>
      <c r="M12708" t="s">
        <v>41059</v>
      </c>
      <c r="N12708" t="s">
        <v>42669</v>
      </c>
      <c r="O12708" t="s">
        <v>42670</v>
      </c>
      <c r="P12708">
        <v>0</v>
      </c>
      <c r="Q12708">
        <v>3</v>
      </c>
      <c r="R12708" t="s">
        <v>42690</v>
      </c>
      <c r="S12708" t="s">
        <v>43574</v>
      </c>
      <c r="T12708" t="s">
        <v>44401</v>
      </c>
      <c r="U12708" t="s">
        <v>55158</v>
      </c>
      <c r="V12708" t="s">
        <v>57832</v>
      </c>
      <c r="W12708" t="s">
        <v>41059</v>
      </c>
      <c r="X12708" t="s">
        <v>42691</v>
      </c>
    </row>
    <row r="12709" spans="1:24">
      <c r="A12709">
        <f>HYPERLINK("https://www.philgeps.gov.ph/GEPSNONPILOT/Tender/SplashBidNoticeAbstractUI.aspx?menuIndex=3&amp;refID=7157347&amp;Result=3","7157347")</f>
        <v>0</v>
      </c>
      <c r="B12709" t="s">
        <v>773</v>
      </c>
      <c r="C12709" t="s">
        <v>15684</v>
      </c>
      <c r="D12709" t="s">
        <v>17205</v>
      </c>
      <c r="E12709" t="s">
        <v>17294</v>
      </c>
      <c r="F12709" t="s">
        <v>29372</v>
      </c>
      <c r="G12709" t="s">
        <v>29380</v>
      </c>
      <c r="H12709" t="s">
        <v>11048</v>
      </c>
      <c r="I12709" t="s">
        <v>29395</v>
      </c>
      <c r="J12709" t="s">
        <v>37548</v>
      </c>
      <c r="K12709" t="s">
        <v>38485</v>
      </c>
      <c r="M12709" t="s">
        <v>39557</v>
      </c>
      <c r="N12709" t="s">
        <v>42669</v>
      </c>
      <c r="O12709" t="s">
        <v>42670</v>
      </c>
      <c r="P12709">
        <v>0</v>
      </c>
      <c r="Q12709">
        <v>4</v>
      </c>
      <c r="R12709" t="s">
        <v>42690</v>
      </c>
      <c r="S12709" t="s">
        <v>43574</v>
      </c>
      <c r="T12709" t="s">
        <v>44417</v>
      </c>
      <c r="U12709" t="s">
        <v>55159</v>
      </c>
      <c r="V12709" t="s">
        <v>57833</v>
      </c>
      <c r="W12709" t="s">
        <v>39557</v>
      </c>
      <c r="X12709" t="s">
        <v>42691</v>
      </c>
    </row>
    <row r="12710" spans="1:24">
      <c r="A12710">
        <f>HYPERLINK("https://www.philgeps.gov.ph/GEPSNONPILOT/Tender/SplashBidNoticeAbstractUI.aspx?menuIndex=3&amp;refID=7157322&amp;Result=3","7157322")</f>
        <v>0</v>
      </c>
      <c r="B12710" t="s">
        <v>808</v>
      </c>
      <c r="C12710" t="s">
        <v>15685</v>
      </c>
      <c r="E12710" t="s">
        <v>28052</v>
      </c>
      <c r="F12710" t="s">
        <v>29372</v>
      </c>
      <c r="G12710" t="s">
        <v>29384</v>
      </c>
      <c r="H12710" t="s">
        <v>11048</v>
      </c>
      <c r="I12710" t="s">
        <v>29415</v>
      </c>
      <c r="J12710" t="s">
        <v>30943</v>
      </c>
      <c r="K12710" t="s">
        <v>38485</v>
      </c>
      <c r="M12710" t="s">
        <v>39594</v>
      </c>
      <c r="N12710" t="s">
        <v>42669</v>
      </c>
      <c r="O12710" t="s">
        <v>42670</v>
      </c>
      <c r="P12710">
        <v>0</v>
      </c>
      <c r="Q12710">
        <v>5</v>
      </c>
      <c r="R12710" t="s">
        <v>42690</v>
      </c>
      <c r="S12710" t="s">
        <v>43574</v>
      </c>
      <c r="T12710" t="s">
        <v>44401</v>
      </c>
      <c r="U12710" t="s">
        <v>55160</v>
      </c>
      <c r="V12710" t="s">
        <v>57834</v>
      </c>
      <c r="W12710" t="s">
        <v>39594</v>
      </c>
      <c r="X12710" t="s">
        <v>42691</v>
      </c>
    </row>
    <row r="12711" spans="1:24">
      <c r="A12711">
        <f>HYPERLINK("https://www.philgeps.gov.ph/GEPSNONPILOT/Tender/SplashBidNoticeAbstractUI.aspx?menuIndex=3&amp;refID=7157313&amp;Result=3","7157313")</f>
        <v>0</v>
      </c>
      <c r="B12711" t="s">
        <v>2151</v>
      </c>
      <c r="C12711" t="s">
        <v>15686</v>
      </c>
      <c r="E12711" t="s">
        <v>28053</v>
      </c>
      <c r="F12711" t="s">
        <v>29372</v>
      </c>
      <c r="G12711" t="s">
        <v>29380</v>
      </c>
      <c r="H12711" t="s">
        <v>29389</v>
      </c>
      <c r="I12711" t="s">
        <v>10408</v>
      </c>
      <c r="J12711" t="s">
        <v>37549</v>
      </c>
      <c r="K12711" t="s">
        <v>38490</v>
      </c>
      <c r="M12711" t="s">
        <v>41059</v>
      </c>
      <c r="N12711" t="s">
        <v>42669</v>
      </c>
      <c r="O12711" t="s">
        <v>42670</v>
      </c>
      <c r="Q12711">
        <v>2</v>
      </c>
      <c r="R12711" t="s">
        <v>42690</v>
      </c>
      <c r="S12711" t="s">
        <v>43659</v>
      </c>
      <c r="T12711" t="s">
        <v>44401</v>
      </c>
      <c r="U12711" t="s">
        <v>55161</v>
      </c>
      <c r="V12711" t="s">
        <v>57835</v>
      </c>
      <c r="W12711" t="s">
        <v>41059</v>
      </c>
      <c r="X12711" t="s">
        <v>42691</v>
      </c>
    </row>
    <row r="12712" spans="1:24">
      <c r="A12712">
        <f>HYPERLINK("https://www.philgeps.gov.ph/GEPSNONPILOT/Tender/SplashBidNoticeAbstractUI.aspx?menuIndex=3&amp;refID=7157345&amp;Result=3","7157345")</f>
        <v>0</v>
      </c>
      <c r="B12712" t="s">
        <v>920</v>
      </c>
      <c r="C12712" t="s">
        <v>15687</v>
      </c>
      <c r="D12712" t="s">
        <v>17145</v>
      </c>
      <c r="E12712" t="s">
        <v>28054</v>
      </c>
      <c r="F12712" t="s">
        <v>29372</v>
      </c>
      <c r="G12712" t="s">
        <v>29380</v>
      </c>
      <c r="H12712" t="s">
        <v>29389</v>
      </c>
      <c r="I12712" t="s">
        <v>10408</v>
      </c>
      <c r="J12712" t="s">
        <v>29615</v>
      </c>
      <c r="K12712" t="s">
        <v>38496</v>
      </c>
      <c r="M12712" t="s">
        <v>39715</v>
      </c>
      <c r="N12712" t="s">
        <v>42669</v>
      </c>
      <c r="O12712" t="s">
        <v>42670</v>
      </c>
      <c r="P12712">
        <v>0</v>
      </c>
      <c r="Q12712">
        <v>7</v>
      </c>
      <c r="R12712" t="s">
        <v>42690</v>
      </c>
      <c r="S12712" t="s">
        <v>43574</v>
      </c>
      <c r="T12712" t="s">
        <v>44481</v>
      </c>
      <c r="U12712" t="s">
        <v>55162</v>
      </c>
      <c r="V12712" t="s">
        <v>57836</v>
      </c>
      <c r="W12712" t="s">
        <v>39715</v>
      </c>
      <c r="X12712" t="s">
        <v>42691</v>
      </c>
    </row>
    <row r="12713" spans="1:24">
      <c r="A12713">
        <f>HYPERLINK("https://www.philgeps.gov.ph/GEPSNONPILOT/Tender/SplashBidNoticeAbstractUI.aspx?menuIndex=3&amp;refID=7156875&amp;Result=3","7156875")</f>
        <v>0</v>
      </c>
      <c r="B12713" t="s">
        <v>1696</v>
      </c>
      <c r="C12713" t="s">
        <v>15688</v>
      </c>
      <c r="D12713" t="s">
        <v>17205</v>
      </c>
      <c r="E12713" t="s">
        <v>28055</v>
      </c>
      <c r="F12713" t="s">
        <v>29372</v>
      </c>
      <c r="G12713" t="s">
        <v>29380</v>
      </c>
      <c r="H12713" t="s">
        <v>29389</v>
      </c>
      <c r="I12713" t="s">
        <v>10408</v>
      </c>
      <c r="J12713" t="s">
        <v>37550</v>
      </c>
      <c r="K12713" t="s">
        <v>38525</v>
      </c>
      <c r="M12713" t="s">
        <v>40558</v>
      </c>
      <c r="N12713" t="s">
        <v>42669</v>
      </c>
      <c r="O12713" t="s">
        <v>42670</v>
      </c>
      <c r="P12713">
        <v>0</v>
      </c>
      <c r="Q12713">
        <v>68</v>
      </c>
      <c r="R12713" t="s">
        <v>42690</v>
      </c>
      <c r="S12713" t="s">
        <v>43574</v>
      </c>
      <c r="T12713" t="s">
        <v>44364</v>
      </c>
      <c r="U12713" t="s">
        <v>55163</v>
      </c>
      <c r="V12713" t="s">
        <v>57837</v>
      </c>
      <c r="W12713" t="s">
        <v>40558</v>
      </c>
      <c r="X12713" t="s">
        <v>42691</v>
      </c>
    </row>
    <row r="12714" spans="1:24">
      <c r="A12714">
        <f>HYPERLINK("https://www.philgeps.gov.ph/GEPSNONPILOT/Tender/SplashBidNoticeAbstractUI.aspx?menuIndex=3&amp;refID=7156873&amp;Result=3","7156873")</f>
        <v>0</v>
      </c>
      <c r="B12714" t="s">
        <v>1691</v>
      </c>
      <c r="C12714" t="s">
        <v>15689</v>
      </c>
      <c r="D12714" t="s">
        <v>17175</v>
      </c>
      <c r="E12714" t="s">
        <v>28056</v>
      </c>
      <c r="F12714" t="s">
        <v>29372</v>
      </c>
      <c r="G12714" t="s">
        <v>29380</v>
      </c>
      <c r="H12714" t="s">
        <v>11048</v>
      </c>
      <c r="I12714" t="s">
        <v>29395</v>
      </c>
      <c r="J12714" t="s">
        <v>37551</v>
      </c>
      <c r="K12714" t="s">
        <v>38518</v>
      </c>
      <c r="M12714" t="s">
        <v>40553</v>
      </c>
      <c r="N12714" t="s">
        <v>42669</v>
      </c>
      <c r="O12714" t="s">
        <v>42670</v>
      </c>
      <c r="P12714">
        <v>0</v>
      </c>
      <c r="Q12714">
        <v>1</v>
      </c>
      <c r="R12714" t="s">
        <v>42690</v>
      </c>
      <c r="S12714" t="s">
        <v>43574</v>
      </c>
      <c r="T12714" t="s">
        <v>44427</v>
      </c>
      <c r="U12714" t="s">
        <v>55164</v>
      </c>
      <c r="V12714" t="s">
        <v>56888</v>
      </c>
      <c r="W12714" t="s">
        <v>40553</v>
      </c>
      <c r="X12714" t="s">
        <v>42691</v>
      </c>
    </row>
    <row r="12715" spans="1:24">
      <c r="A12715">
        <f>HYPERLINK("https://www.philgeps.gov.ph/GEPSNONPILOT/Tender/SplashBidNoticeAbstractUI.aspx?menuIndex=3&amp;refID=7156868&amp;Result=3","7156868")</f>
        <v>0</v>
      </c>
      <c r="B12715" t="s">
        <v>3390</v>
      </c>
      <c r="C12715" t="s">
        <v>15690</v>
      </c>
      <c r="D12715" t="s">
        <v>17143</v>
      </c>
      <c r="E12715" t="s">
        <v>28057</v>
      </c>
      <c r="F12715" t="s">
        <v>29372</v>
      </c>
      <c r="G12715" t="s">
        <v>29380</v>
      </c>
      <c r="H12715" t="s">
        <v>29389</v>
      </c>
      <c r="I12715" t="s">
        <v>10408</v>
      </c>
      <c r="J12715" t="s">
        <v>29724</v>
      </c>
      <c r="K12715" t="s">
        <v>38533</v>
      </c>
      <c r="M12715" t="s">
        <v>42487</v>
      </c>
      <c r="N12715" t="s">
        <v>42669</v>
      </c>
      <c r="O12715" t="s">
        <v>42670</v>
      </c>
      <c r="P12715">
        <v>0</v>
      </c>
      <c r="Q12715">
        <v>0</v>
      </c>
      <c r="R12715" t="s">
        <v>42690</v>
      </c>
      <c r="S12715" t="s">
        <v>43574</v>
      </c>
      <c r="T12715" t="s">
        <v>44401</v>
      </c>
      <c r="U12715" t="s">
        <v>55165</v>
      </c>
      <c r="W12715" t="s">
        <v>58131</v>
      </c>
      <c r="X12715" t="s">
        <v>42691</v>
      </c>
    </row>
    <row r="12716" spans="1:24">
      <c r="A12716">
        <f>HYPERLINK("https://www.philgeps.gov.ph/GEPSNONPILOT/Tender/SplashBidNoticeAbstractUI.aspx?menuIndex=3&amp;refID=7156869&amp;Result=3","7156869")</f>
        <v>0</v>
      </c>
      <c r="B12716" t="s">
        <v>1990</v>
      </c>
      <c r="C12716" t="s">
        <v>15691</v>
      </c>
      <c r="D12716" t="s">
        <v>17200</v>
      </c>
      <c r="E12716" t="s">
        <v>28058</v>
      </c>
      <c r="F12716" t="s">
        <v>29372</v>
      </c>
      <c r="G12716" t="s">
        <v>29380</v>
      </c>
      <c r="H12716" t="s">
        <v>11048</v>
      </c>
      <c r="I12716" t="s">
        <v>4709</v>
      </c>
      <c r="J12716" t="s">
        <v>37552</v>
      </c>
      <c r="K12716" t="s">
        <v>38485</v>
      </c>
      <c r="M12716" t="s">
        <v>40878</v>
      </c>
      <c r="N12716" t="s">
        <v>42669</v>
      </c>
      <c r="O12716" t="s">
        <v>42670</v>
      </c>
      <c r="P12716">
        <v>0</v>
      </c>
      <c r="Q12716">
        <v>1</v>
      </c>
      <c r="R12716" t="s">
        <v>42690</v>
      </c>
      <c r="S12716" t="s">
        <v>43574</v>
      </c>
      <c r="T12716" t="s">
        <v>44570</v>
      </c>
      <c r="U12716" t="s">
        <v>55166</v>
      </c>
      <c r="W12716" t="s">
        <v>40878</v>
      </c>
      <c r="X12716" t="s">
        <v>42691</v>
      </c>
    </row>
    <row r="12717" spans="1:24">
      <c r="A12717">
        <f>HYPERLINK("https://www.philgeps.gov.ph/GEPSNONPILOT/Tender/SplashBidNoticeAbstractUI.aspx?menuIndex=3&amp;refID=7156861&amp;Result=3","7156861")</f>
        <v>0</v>
      </c>
      <c r="B12717" t="s">
        <v>3391</v>
      </c>
      <c r="C12717" t="s">
        <v>15692</v>
      </c>
      <c r="D12717" t="s">
        <v>17177</v>
      </c>
      <c r="E12717" t="s">
        <v>28059</v>
      </c>
      <c r="F12717" t="s">
        <v>29372</v>
      </c>
      <c r="G12717" t="s">
        <v>29380</v>
      </c>
      <c r="H12717" t="s">
        <v>11048</v>
      </c>
      <c r="I12717" t="s">
        <v>3839</v>
      </c>
      <c r="J12717" t="s">
        <v>29922</v>
      </c>
      <c r="K12717" t="s">
        <v>38510</v>
      </c>
      <c r="M12717" t="s">
        <v>42488</v>
      </c>
      <c r="N12717" t="s">
        <v>42669</v>
      </c>
      <c r="O12717" t="s">
        <v>42670</v>
      </c>
      <c r="P12717">
        <v>0</v>
      </c>
      <c r="Q12717">
        <v>0</v>
      </c>
      <c r="R12717" t="s">
        <v>42690</v>
      </c>
      <c r="S12717" t="s">
        <v>43574</v>
      </c>
      <c r="T12717" t="s">
        <v>44436</v>
      </c>
      <c r="U12717" t="s">
        <v>55167</v>
      </c>
      <c r="W12717" t="s">
        <v>42488</v>
      </c>
      <c r="X12717" t="s">
        <v>42691</v>
      </c>
    </row>
    <row r="12718" spans="1:24">
      <c r="A12718">
        <f>HYPERLINK("https://www.philgeps.gov.ph/GEPSNONPILOT/Tender/SplashBidNoticeAbstractUI.aspx?menuIndex=3&amp;refID=7157325&amp;Result=3","7157325")</f>
        <v>0</v>
      </c>
      <c r="B12718" t="s">
        <v>2975</v>
      </c>
      <c r="C12718" t="s">
        <v>15693</v>
      </c>
      <c r="D12718" t="s">
        <v>17188</v>
      </c>
      <c r="E12718" t="s">
        <v>26903</v>
      </c>
      <c r="F12718" t="s">
        <v>29372</v>
      </c>
      <c r="G12718" t="s">
        <v>29380</v>
      </c>
      <c r="H12718" t="s">
        <v>29389</v>
      </c>
      <c r="I12718" t="s">
        <v>10408</v>
      </c>
      <c r="J12718" t="s">
        <v>29590</v>
      </c>
      <c r="K12718" t="s">
        <v>38495</v>
      </c>
      <c r="M12718" t="s">
        <v>41989</v>
      </c>
      <c r="N12718" t="s">
        <v>42669</v>
      </c>
      <c r="O12718" t="s">
        <v>42670</v>
      </c>
      <c r="P12718">
        <v>0</v>
      </c>
      <c r="Q12718">
        <v>2</v>
      </c>
      <c r="R12718" t="s">
        <v>42690</v>
      </c>
      <c r="S12718" t="s">
        <v>43574</v>
      </c>
      <c r="T12718" t="s">
        <v>44512</v>
      </c>
      <c r="U12718" t="s">
        <v>55013</v>
      </c>
      <c r="W12718" t="s">
        <v>41989</v>
      </c>
      <c r="X12718" t="s">
        <v>42691</v>
      </c>
    </row>
    <row r="12719" spans="1:24">
      <c r="A12719">
        <f>HYPERLINK("https://www.philgeps.gov.ph/GEPSNONPILOT/Tender/SplashBidNoticeAbstractUI.aspx?menuIndex=3&amp;refID=7157357&amp;Result=3","7157357")</f>
        <v>0</v>
      </c>
      <c r="B12719" t="s">
        <v>3386</v>
      </c>
      <c r="C12719" t="s">
        <v>7104</v>
      </c>
      <c r="D12719" t="s">
        <v>17174</v>
      </c>
      <c r="E12719" t="s">
        <v>28060</v>
      </c>
      <c r="F12719" t="s">
        <v>29372</v>
      </c>
      <c r="G12719" t="s">
        <v>29380</v>
      </c>
      <c r="H12719" t="s">
        <v>11048</v>
      </c>
      <c r="I12719" t="s">
        <v>5383</v>
      </c>
      <c r="J12719" t="s">
        <v>37553</v>
      </c>
      <c r="K12719" t="s">
        <v>38488</v>
      </c>
      <c r="M12719" t="s">
        <v>42482</v>
      </c>
      <c r="N12719" t="s">
        <v>42669</v>
      </c>
      <c r="O12719" t="s">
        <v>42670</v>
      </c>
      <c r="P12719">
        <v>0</v>
      </c>
      <c r="Q12719">
        <v>0</v>
      </c>
      <c r="R12719" t="s">
        <v>42690</v>
      </c>
      <c r="S12719" t="s">
        <v>43574</v>
      </c>
      <c r="T12719" t="s">
        <v>44401</v>
      </c>
      <c r="U12719" t="s">
        <v>55168</v>
      </c>
      <c r="V12719" t="s">
        <v>57838</v>
      </c>
      <c r="W12719" t="s">
        <v>58129</v>
      </c>
      <c r="X12719" t="s">
        <v>42691</v>
      </c>
    </row>
    <row r="12720" spans="1:24">
      <c r="A12720">
        <f>HYPERLINK("https://www.philgeps.gov.ph/GEPSNONPILOT/Tender/SplashBidNoticeAbstractUI.aspx?menuIndex=3&amp;refID=7156722&amp;Result=3","7156722")</f>
        <v>0</v>
      </c>
      <c r="B12720" t="s">
        <v>83</v>
      </c>
      <c r="C12720" t="s">
        <v>15694</v>
      </c>
      <c r="D12720" t="s">
        <v>17160</v>
      </c>
      <c r="E12720" t="s">
        <v>28061</v>
      </c>
      <c r="F12720" t="s">
        <v>29372</v>
      </c>
      <c r="G12720" t="s">
        <v>29380</v>
      </c>
      <c r="H12720" t="s">
        <v>29389</v>
      </c>
      <c r="I12720" t="s">
        <v>10408</v>
      </c>
      <c r="J12720" t="s">
        <v>30056</v>
      </c>
      <c r="K12720" t="s">
        <v>38487</v>
      </c>
      <c r="M12720" t="s">
        <v>38837</v>
      </c>
      <c r="N12720" t="s">
        <v>42669</v>
      </c>
      <c r="O12720" t="s">
        <v>42670</v>
      </c>
      <c r="P12720">
        <v>0</v>
      </c>
      <c r="Q12720">
        <v>1</v>
      </c>
      <c r="R12720" t="s">
        <v>42690</v>
      </c>
      <c r="S12720" t="s">
        <v>43574</v>
      </c>
      <c r="T12720" t="s">
        <v>44788</v>
      </c>
      <c r="U12720" t="s">
        <v>49385</v>
      </c>
      <c r="W12720" t="s">
        <v>38837</v>
      </c>
      <c r="X12720" t="s">
        <v>42691</v>
      </c>
    </row>
    <row r="12721" spans="1:24">
      <c r="A12721">
        <f>HYPERLINK("https://www.philgeps.gov.ph/GEPSNONPILOT/Tender/SplashBidNoticeAbstractUI.aspx?menuIndex=3&amp;refID=7156753&amp;Result=3","7156753")</f>
        <v>0</v>
      </c>
      <c r="B12721" t="s">
        <v>2247</v>
      </c>
      <c r="C12721" t="s">
        <v>15695</v>
      </c>
      <c r="D12721" t="s">
        <v>17210</v>
      </c>
      <c r="E12721" t="s">
        <v>28062</v>
      </c>
      <c r="F12721" t="s">
        <v>29372</v>
      </c>
      <c r="G12721" t="s">
        <v>29380</v>
      </c>
      <c r="H12721" t="s">
        <v>29389</v>
      </c>
      <c r="I12721" t="s">
        <v>10408</v>
      </c>
      <c r="J12721" t="s">
        <v>37554</v>
      </c>
      <c r="K12721" t="s">
        <v>38621</v>
      </c>
      <c r="M12721" t="s">
        <v>41165</v>
      </c>
      <c r="N12721" t="s">
        <v>42669</v>
      </c>
      <c r="O12721" t="s">
        <v>42670</v>
      </c>
      <c r="P12721">
        <v>0</v>
      </c>
      <c r="Q12721">
        <v>0</v>
      </c>
      <c r="R12721" t="s">
        <v>42690</v>
      </c>
      <c r="S12721" t="s">
        <v>43574</v>
      </c>
      <c r="T12721" t="s">
        <v>44488</v>
      </c>
      <c r="U12721" t="s">
        <v>55169</v>
      </c>
      <c r="V12721" t="s">
        <v>57839</v>
      </c>
      <c r="W12721" t="s">
        <v>41165</v>
      </c>
      <c r="X12721" t="s">
        <v>42691</v>
      </c>
    </row>
    <row r="12722" spans="1:24">
      <c r="A12722">
        <f>HYPERLINK("https://www.philgeps.gov.ph/GEPSNONPILOT/Tender/SplashBidNoticeAbstractUI.aspx?menuIndex=3&amp;refID=7156716&amp;Result=3","7156716")</f>
        <v>0</v>
      </c>
      <c r="B12722" t="s">
        <v>924</v>
      </c>
      <c r="C12722" t="s">
        <v>15696</v>
      </c>
      <c r="D12722" t="s">
        <v>17170</v>
      </c>
      <c r="E12722" t="s">
        <v>28063</v>
      </c>
      <c r="F12722" t="s">
        <v>29372</v>
      </c>
      <c r="G12722" t="s">
        <v>29380</v>
      </c>
      <c r="H12722" t="s">
        <v>29389</v>
      </c>
      <c r="I12722" t="s">
        <v>10408</v>
      </c>
      <c r="J12722" t="s">
        <v>37555</v>
      </c>
      <c r="K12722" t="s">
        <v>38660</v>
      </c>
      <c r="M12722" t="s">
        <v>39719</v>
      </c>
      <c r="N12722" t="s">
        <v>42669</v>
      </c>
      <c r="O12722" t="s">
        <v>42670</v>
      </c>
      <c r="Q12722">
        <v>2</v>
      </c>
      <c r="R12722" t="s">
        <v>42690</v>
      </c>
      <c r="S12722" t="s">
        <v>43660</v>
      </c>
      <c r="T12722" t="s">
        <v>44488</v>
      </c>
      <c r="U12722" t="s">
        <v>55170</v>
      </c>
      <c r="W12722" t="s">
        <v>39719</v>
      </c>
      <c r="X12722" t="s">
        <v>42691</v>
      </c>
    </row>
    <row r="12723" spans="1:24">
      <c r="A12723">
        <f>HYPERLINK("https://www.philgeps.gov.ph/GEPSNONPILOT/Tender/SplashBidNoticeAbstractUI.aspx?menuIndex=3&amp;refID=7156676&amp;Result=3","7156676")</f>
        <v>0</v>
      </c>
      <c r="B12723" t="s">
        <v>38</v>
      </c>
      <c r="C12723" t="s">
        <v>15697</v>
      </c>
      <c r="D12723" t="s">
        <v>17151</v>
      </c>
      <c r="E12723" t="s">
        <v>28064</v>
      </c>
      <c r="F12723" t="s">
        <v>29372</v>
      </c>
      <c r="G12723" t="s">
        <v>29380</v>
      </c>
      <c r="H12723" t="s">
        <v>29389</v>
      </c>
      <c r="I12723" t="s">
        <v>10408</v>
      </c>
      <c r="J12723" t="s">
        <v>37556</v>
      </c>
      <c r="K12723" t="s">
        <v>38597</v>
      </c>
      <c r="M12723" t="s">
        <v>38791</v>
      </c>
      <c r="N12723" t="s">
        <v>42669</v>
      </c>
      <c r="O12723" t="s">
        <v>42670</v>
      </c>
      <c r="P12723">
        <v>0</v>
      </c>
      <c r="Q12723">
        <v>2</v>
      </c>
      <c r="R12723" t="s">
        <v>42690</v>
      </c>
      <c r="S12723" t="s">
        <v>43574</v>
      </c>
      <c r="T12723" t="s">
        <v>44488</v>
      </c>
      <c r="U12723" t="s">
        <v>55171</v>
      </c>
      <c r="V12723" t="s">
        <v>56460</v>
      </c>
      <c r="W12723" t="s">
        <v>38791</v>
      </c>
      <c r="X12723" t="s">
        <v>42691</v>
      </c>
    </row>
    <row r="12724" spans="1:24">
      <c r="A12724">
        <f>HYPERLINK("https://www.philgeps.gov.ph/GEPSNONPILOT/Tender/SplashBidNoticeAbstractUI.aspx?menuIndex=3&amp;refID=7156966&amp;Result=3","7156966")</f>
        <v>0</v>
      </c>
      <c r="B12724" t="s">
        <v>898</v>
      </c>
      <c r="C12724" t="s">
        <v>15698</v>
      </c>
      <c r="D12724" t="s">
        <v>17142</v>
      </c>
      <c r="E12724" t="s">
        <v>28065</v>
      </c>
      <c r="F12724" t="s">
        <v>29372</v>
      </c>
      <c r="G12724" t="s">
        <v>29380</v>
      </c>
      <c r="H12724" t="s">
        <v>11048</v>
      </c>
      <c r="I12724" t="s">
        <v>8614</v>
      </c>
      <c r="J12724" t="s">
        <v>37557</v>
      </c>
      <c r="K12724" t="s">
        <v>38490</v>
      </c>
      <c r="M12724" t="s">
        <v>42465</v>
      </c>
      <c r="N12724" t="s">
        <v>42669</v>
      </c>
      <c r="O12724" t="s">
        <v>42670</v>
      </c>
      <c r="Q12724">
        <v>8</v>
      </c>
      <c r="R12724" t="s">
        <v>42690</v>
      </c>
      <c r="S12724" t="s">
        <v>43661</v>
      </c>
      <c r="T12724" t="s">
        <v>44354</v>
      </c>
      <c r="U12724" t="s">
        <v>55172</v>
      </c>
      <c r="V12724" t="s">
        <v>57116</v>
      </c>
      <c r="W12724" t="s">
        <v>42465</v>
      </c>
      <c r="X12724" t="s">
        <v>42691</v>
      </c>
    </row>
    <row r="12725" spans="1:24">
      <c r="A12725">
        <f>HYPERLINK("https://www.philgeps.gov.ph/GEPSNONPILOT/Tender/SplashBidNoticeAbstractUI.aspx?menuIndex=3&amp;refID=7156662&amp;Result=3","7156662")</f>
        <v>0</v>
      </c>
      <c r="B12725" t="s">
        <v>459</v>
      </c>
      <c r="C12725" t="s">
        <v>15699</v>
      </c>
      <c r="D12725" t="s">
        <v>17193</v>
      </c>
      <c r="E12725" t="s">
        <v>28066</v>
      </c>
      <c r="F12725" t="s">
        <v>29372</v>
      </c>
      <c r="G12725" t="s">
        <v>29380</v>
      </c>
      <c r="H12725" t="s">
        <v>11048</v>
      </c>
      <c r="I12725" t="s">
        <v>29405</v>
      </c>
      <c r="J12725" t="s">
        <v>37558</v>
      </c>
      <c r="K12725" t="s">
        <v>38485</v>
      </c>
      <c r="M12725" t="s">
        <v>40623</v>
      </c>
      <c r="N12725" t="s">
        <v>42669</v>
      </c>
      <c r="O12725" t="s">
        <v>42670</v>
      </c>
      <c r="P12725">
        <v>0</v>
      </c>
      <c r="Q12725">
        <v>7</v>
      </c>
      <c r="R12725" t="s">
        <v>42690</v>
      </c>
      <c r="S12725" t="s">
        <v>43574</v>
      </c>
      <c r="T12725" t="s">
        <v>44480</v>
      </c>
      <c r="U12725" t="s">
        <v>55173</v>
      </c>
      <c r="W12725" t="s">
        <v>40623</v>
      </c>
      <c r="X12725" t="s">
        <v>42691</v>
      </c>
    </row>
    <row r="12726" spans="1:24">
      <c r="A12726">
        <f>HYPERLINK("https://www.philgeps.gov.ph/GEPSNONPILOT/Tender/SplashBidNoticeAbstractUI.aspx?menuIndex=3&amp;refID=7161029&amp;Result=3","7161029")</f>
        <v>0</v>
      </c>
      <c r="B12726" t="s">
        <v>3392</v>
      </c>
      <c r="C12726" t="s">
        <v>15700</v>
      </c>
      <c r="E12726" t="s">
        <v>27051</v>
      </c>
      <c r="F12726" t="s">
        <v>29375</v>
      </c>
      <c r="G12726" t="s">
        <v>29380</v>
      </c>
      <c r="H12726" t="s">
        <v>11048</v>
      </c>
      <c r="I12726" t="s">
        <v>4709</v>
      </c>
      <c r="J12726" t="s">
        <v>37559</v>
      </c>
      <c r="K12726" t="s">
        <v>38490</v>
      </c>
      <c r="M12726" t="s">
        <v>42489</v>
      </c>
      <c r="N12726" t="s">
        <v>42669</v>
      </c>
      <c r="O12726" t="s">
        <v>42670</v>
      </c>
      <c r="P12726">
        <v>0</v>
      </c>
      <c r="Q12726">
        <v>0</v>
      </c>
      <c r="R12726" t="s">
        <v>42689</v>
      </c>
      <c r="S12726" t="s">
        <v>43461</v>
      </c>
      <c r="T12726" t="s">
        <v>44512</v>
      </c>
      <c r="U12726" t="s">
        <v>54219</v>
      </c>
      <c r="W12726" t="s">
        <v>42489</v>
      </c>
      <c r="X12726" t="s">
        <v>42690</v>
      </c>
    </row>
    <row r="12727" spans="1:24">
      <c r="A12727">
        <f>HYPERLINK("https://www.philgeps.gov.ph/GEPSNONPILOT/Tender/SplashBidNoticeAbstractUI.aspx?menuIndex=3&amp;refID=7161017&amp;Result=3","7161017")</f>
        <v>0</v>
      </c>
      <c r="B12727" t="s">
        <v>1742</v>
      </c>
      <c r="C12727" t="s">
        <v>15701</v>
      </c>
      <c r="D12727" t="s">
        <v>17197</v>
      </c>
      <c r="E12727" t="s">
        <v>28067</v>
      </c>
      <c r="F12727" t="s">
        <v>29372</v>
      </c>
      <c r="G12727" t="s">
        <v>29380</v>
      </c>
      <c r="H12727" t="s">
        <v>11048</v>
      </c>
      <c r="I12727" t="s">
        <v>29400</v>
      </c>
      <c r="J12727" t="s">
        <v>29708</v>
      </c>
      <c r="K12727" t="s">
        <v>38488</v>
      </c>
      <c r="M12727" t="s">
        <v>40607</v>
      </c>
      <c r="N12727" t="s">
        <v>42669</v>
      </c>
      <c r="O12727" t="s">
        <v>42670</v>
      </c>
      <c r="P12727">
        <v>0</v>
      </c>
      <c r="Q12727">
        <v>5</v>
      </c>
      <c r="R12727" t="s">
        <v>42689</v>
      </c>
      <c r="S12727" t="s">
        <v>43461</v>
      </c>
      <c r="T12727" t="s">
        <v>44629</v>
      </c>
      <c r="U12727" t="s">
        <v>55174</v>
      </c>
      <c r="W12727" t="s">
        <v>40607</v>
      </c>
      <c r="X12727" t="s">
        <v>42690</v>
      </c>
    </row>
    <row r="12728" spans="1:24">
      <c r="A12728">
        <f>HYPERLINK("https://www.philgeps.gov.ph/GEPSNONPILOT/Tender/SplashBidNoticeAbstractUI.aspx?menuIndex=3&amp;refID=7160874&amp;Result=3","7160874")</f>
        <v>0</v>
      </c>
      <c r="B12728" t="s">
        <v>170</v>
      </c>
      <c r="C12728" t="s">
        <v>15702</v>
      </c>
      <c r="D12728" t="s">
        <v>17195</v>
      </c>
      <c r="E12728" t="s">
        <v>28068</v>
      </c>
      <c r="F12728" t="s">
        <v>29372</v>
      </c>
      <c r="G12728" t="s">
        <v>29379</v>
      </c>
      <c r="H12728" t="s">
        <v>11048</v>
      </c>
      <c r="I12728" t="s">
        <v>3695</v>
      </c>
      <c r="J12728" t="s">
        <v>37560</v>
      </c>
      <c r="K12728" t="s">
        <v>38495</v>
      </c>
      <c r="M12728" t="s">
        <v>38927</v>
      </c>
      <c r="N12728" t="s">
        <v>42669</v>
      </c>
      <c r="O12728" t="s">
        <v>42670</v>
      </c>
      <c r="P12728">
        <v>0</v>
      </c>
      <c r="Q12728">
        <v>2</v>
      </c>
      <c r="R12728" t="s">
        <v>42689</v>
      </c>
      <c r="S12728" t="s">
        <v>43461</v>
      </c>
      <c r="T12728" t="s">
        <v>44401</v>
      </c>
      <c r="U12728" t="s">
        <v>47920</v>
      </c>
      <c r="W12728" t="s">
        <v>38927</v>
      </c>
      <c r="X12728" t="s">
        <v>42690</v>
      </c>
    </row>
    <row r="12729" spans="1:24">
      <c r="A12729">
        <f>HYPERLINK("https://www.philgeps.gov.ph/GEPSNONPILOT/Tender/SplashBidNoticeAbstractUI.aspx?menuIndex=3&amp;refID=7157426&amp;Result=3","7157426")</f>
        <v>0</v>
      </c>
      <c r="B12729" t="s">
        <v>38</v>
      </c>
      <c r="C12729" t="s">
        <v>15703</v>
      </c>
      <c r="E12729" t="s">
        <v>28069</v>
      </c>
      <c r="F12729" t="s">
        <v>29372</v>
      </c>
      <c r="G12729" t="s">
        <v>29380</v>
      </c>
      <c r="H12729" t="s">
        <v>29389</v>
      </c>
      <c r="I12729" t="s">
        <v>10408</v>
      </c>
      <c r="J12729" t="s">
        <v>37561</v>
      </c>
      <c r="K12729" t="s">
        <v>38564</v>
      </c>
      <c r="M12729" t="s">
        <v>38791</v>
      </c>
      <c r="N12729" t="s">
        <v>42669</v>
      </c>
      <c r="O12729" t="s">
        <v>42670</v>
      </c>
      <c r="P12729">
        <v>0</v>
      </c>
      <c r="Q12729">
        <v>2</v>
      </c>
      <c r="R12729" t="s">
        <v>42690</v>
      </c>
      <c r="S12729" t="s">
        <v>43574</v>
      </c>
      <c r="T12729" t="s">
        <v>44488</v>
      </c>
      <c r="U12729" t="s">
        <v>55175</v>
      </c>
      <c r="V12729" t="s">
        <v>56460</v>
      </c>
      <c r="W12729" t="s">
        <v>38791</v>
      </c>
      <c r="X12729" t="s">
        <v>42691</v>
      </c>
    </row>
    <row r="12730" spans="1:24">
      <c r="A12730">
        <f>HYPERLINK("https://www.philgeps.gov.ph/GEPSNONPILOT/Tender/SplashBidNoticeAbstractUI.aspx?menuIndex=3&amp;refID=7156740&amp;Result=3","7156740")</f>
        <v>0</v>
      </c>
      <c r="B12730" t="s">
        <v>3377</v>
      </c>
      <c r="C12730" t="s">
        <v>15704</v>
      </c>
      <c r="D12730" t="s">
        <v>17142</v>
      </c>
      <c r="E12730" t="s">
        <v>27957</v>
      </c>
      <c r="F12730" t="s">
        <v>29372</v>
      </c>
      <c r="G12730" t="s">
        <v>29380</v>
      </c>
      <c r="H12730" t="s">
        <v>29390</v>
      </c>
      <c r="I12730" t="s">
        <v>29419</v>
      </c>
      <c r="J12730" t="s">
        <v>37562</v>
      </c>
      <c r="K12730" t="s">
        <v>38522</v>
      </c>
      <c r="M12730" t="s">
        <v>42472</v>
      </c>
      <c r="N12730" t="s">
        <v>42669</v>
      </c>
      <c r="O12730" t="s">
        <v>42670</v>
      </c>
      <c r="Q12730">
        <v>4</v>
      </c>
      <c r="R12730" t="s">
        <v>42690</v>
      </c>
      <c r="S12730" t="s">
        <v>43662</v>
      </c>
      <c r="T12730" t="s">
        <v>44612</v>
      </c>
      <c r="U12730" t="s">
        <v>55076</v>
      </c>
      <c r="V12730" t="s">
        <v>57820</v>
      </c>
      <c r="W12730" t="s">
        <v>42472</v>
      </c>
      <c r="X12730" t="s">
        <v>42691</v>
      </c>
    </row>
    <row r="12731" spans="1:24">
      <c r="A12731">
        <f>HYPERLINK("https://www.philgeps.gov.ph/GEPSNONPILOT/Tender/SplashBidNoticeAbstractUI.aspx?menuIndex=3&amp;refID=7156674&amp;Result=3","7156674")</f>
        <v>0</v>
      </c>
      <c r="B12731" t="s">
        <v>708</v>
      </c>
      <c r="C12731" t="s">
        <v>15705</v>
      </c>
      <c r="D12731" t="s">
        <v>17160</v>
      </c>
      <c r="E12731" t="s">
        <v>28070</v>
      </c>
      <c r="F12731" t="s">
        <v>29372</v>
      </c>
      <c r="G12731" t="s">
        <v>29380</v>
      </c>
      <c r="H12731" t="s">
        <v>29389</v>
      </c>
      <c r="I12731" t="s">
        <v>10408</v>
      </c>
      <c r="J12731" t="s">
        <v>29525</v>
      </c>
      <c r="K12731" t="s">
        <v>38485</v>
      </c>
      <c r="M12731" t="s">
        <v>39487</v>
      </c>
      <c r="N12731" t="s">
        <v>42669</v>
      </c>
      <c r="O12731" t="s">
        <v>42670</v>
      </c>
      <c r="P12731">
        <v>0</v>
      </c>
      <c r="Q12731">
        <v>0</v>
      </c>
      <c r="R12731" t="s">
        <v>42690</v>
      </c>
      <c r="S12731" t="s">
        <v>43574</v>
      </c>
      <c r="T12731" t="s">
        <v>44488</v>
      </c>
      <c r="U12731" t="s">
        <v>55176</v>
      </c>
      <c r="W12731" t="s">
        <v>39487</v>
      </c>
      <c r="X12731" t="s">
        <v>42691</v>
      </c>
    </row>
    <row r="12732" spans="1:24">
      <c r="A12732">
        <f>HYPERLINK("https://www.philgeps.gov.ph/GEPSNONPILOT/Tender/SplashBidNoticeAbstractUI.aspx?menuIndex=3&amp;refID=7156655&amp;Result=3","7156655")</f>
        <v>0</v>
      </c>
      <c r="B12732" t="s">
        <v>337</v>
      </c>
      <c r="C12732" t="s">
        <v>15706</v>
      </c>
      <c r="D12732" t="s">
        <v>17171</v>
      </c>
      <c r="E12732" t="s">
        <v>27997</v>
      </c>
      <c r="F12732" t="s">
        <v>29372</v>
      </c>
      <c r="G12732" t="s">
        <v>29380</v>
      </c>
      <c r="H12732" t="s">
        <v>11048</v>
      </c>
      <c r="I12732" t="s">
        <v>29415</v>
      </c>
      <c r="J12732" t="s">
        <v>29829</v>
      </c>
      <c r="K12732" t="s">
        <v>38485</v>
      </c>
      <c r="M12732" t="s">
        <v>39096</v>
      </c>
      <c r="N12732" t="s">
        <v>42669</v>
      </c>
      <c r="O12732" t="s">
        <v>42670</v>
      </c>
      <c r="Q12732">
        <v>5</v>
      </c>
      <c r="R12732" t="s">
        <v>42690</v>
      </c>
      <c r="S12732" t="s">
        <v>43663</v>
      </c>
      <c r="T12732" t="s">
        <v>44429</v>
      </c>
      <c r="U12732" t="s">
        <v>55177</v>
      </c>
      <c r="W12732" t="s">
        <v>39096</v>
      </c>
      <c r="X12732" t="s">
        <v>42691</v>
      </c>
    </row>
    <row r="12733" spans="1:24">
      <c r="A12733">
        <f>HYPERLINK("https://www.philgeps.gov.ph/GEPSNONPILOT/Tender/SplashBidNoticeAbstractUI.aspx?menuIndex=3&amp;refID=7157520&amp;Result=3","7157520")</f>
        <v>0</v>
      </c>
      <c r="B12733" t="s">
        <v>1091</v>
      </c>
      <c r="C12733" t="s">
        <v>15707</v>
      </c>
      <c r="D12733" t="s">
        <v>17177</v>
      </c>
      <c r="E12733" t="s">
        <v>28071</v>
      </c>
      <c r="F12733" t="s">
        <v>29372</v>
      </c>
      <c r="G12733" t="s">
        <v>29380</v>
      </c>
      <c r="H12733" t="s">
        <v>29390</v>
      </c>
      <c r="I12733" t="s">
        <v>29396</v>
      </c>
      <c r="J12733" t="s">
        <v>37563</v>
      </c>
      <c r="K12733" t="s">
        <v>38580</v>
      </c>
      <c r="M12733" t="s">
        <v>42377</v>
      </c>
      <c r="N12733" t="s">
        <v>42669</v>
      </c>
      <c r="O12733" t="s">
        <v>42670</v>
      </c>
      <c r="P12733">
        <v>0</v>
      </c>
      <c r="Q12733">
        <v>1</v>
      </c>
      <c r="R12733" t="s">
        <v>42690</v>
      </c>
      <c r="S12733" t="s">
        <v>43574</v>
      </c>
      <c r="T12733" t="s">
        <v>44371</v>
      </c>
      <c r="U12733" t="s">
        <v>55178</v>
      </c>
      <c r="V12733" t="s">
        <v>57840</v>
      </c>
      <c r="W12733" t="s">
        <v>42377</v>
      </c>
      <c r="X12733" t="s">
        <v>42691</v>
      </c>
    </row>
    <row r="12734" spans="1:24">
      <c r="A12734">
        <f>HYPERLINK("https://www.philgeps.gov.ph/GEPSNONPILOT/Tender/SplashBidNoticeAbstractUI.aspx?menuIndex=3&amp;refID=7157504&amp;Result=3","7157504")</f>
        <v>0</v>
      </c>
      <c r="B12734" t="s">
        <v>1225</v>
      </c>
      <c r="C12734" t="s">
        <v>15708</v>
      </c>
      <c r="D12734" t="s">
        <v>17177</v>
      </c>
      <c r="E12734" t="s">
        <v>28072</v>
      </c>
      <c r="F12734" t="s">
        <v>29372</v>
      </c>
      <c r="G12734" t="s">
        <v>29380</v>
      </c>
      <c r="H12734" t="s">
        <v>11048</v>
      </c>
      <c r="I12734" t="s">
        <v>5383</v>
      </c>
      <c r="J12734" t="s">
        <v>37564</v>
      </c>
      <c r="K12734" t="s">
        <v>38525</v>
      </c>
      <c r="M12734" t="s">
        <v>40045</v>
      </c>
      <c r="N12734" t="s">
        <v>42669</v>
      </c>
      <c r="O12734" t="s">
        <v>42670</v>
      </c>
      <c r="Q12734">
        <v>8</v>
      </c>
      <c r="R12734" t="s">
        <v>42690</v>
      </c>
      <c r="S12734" t="s">
        <v>43664</v>
      </c>
      <c r="T12734" t="s">
        <v>44401</v>
      </c>
      <c r="U12734" t="s">
        <v>55179</v>
      </c>
      <c r="W12734" t="s">
        <v>40045</v>
      </c>
      <c r="X12734" t="s">
        <v>42691</v>
      </c>
    </row>
    <row r="12735" spans="1:24">
      <c r="A12735">
        <f>HYPERLINK("https://www.philgeps.gov.ph/GEPSNONPILOT/Tender/SplashBidNoticeAbstractUI.aspx?menuIndex=3&amp;refID=7157495&amp;Result=3","7157495")</f>
        <v>0</v>
      </c>
      <c r="B12735" t="s">
        <v>1291</v>
      </c>
      <c r="C12735" t="s">
        <v>15709</v>
      </c>
      <c r="D12735" t="s">
        <v>17144</v>
      </c>
      <c r="E12735" t="s">
        <v>28073</v>
      </c>
      <c r="F12735" t="s">
        <v>29372</v>
      </c>
      <c r="G12735" t="s">
        <v>29380</v>
      </c>
      <c r="H12735" t="s">
        <v>29389</v>
      </c>
      <c r="I12735" t="s">
        <v>10408</v>
      </c>
      <c r="J12735" t="s">
        <v>37565</v>
      </c>
      <c r="K12735" t="s">
        <v>38714</v>
      </c>
      <c r="M12735" t="s">
        <v>40120</v>
      </c>
      <c r="N12735" t="s">
        <v>42669</v>
      </c>
      <c r="O12735" t="s">
        <v>42670</v>
      </c>
      <c r="Q12735">
        <v>4</v>
      </c>
      <c r="R12735" t="s">
        <v>42690</v>
      </c>
      <c r="S12735" t="s">
        <v>43665</v>
      </c>
      <c r="T12735" t="s">
        <v>44493</v>
      </c>
      <c r="U12735" t="s">
        <v>53967</v>
      </c>
      <c r="W12735" t="s">
        <v>40120</v>
      </c>
      <c r="X12735" t="s">
        <v>42691</v>
      </c>
    </row>
    <row r="12736" spans="1:24">
      <c r="A12736">
        <f>HYPERLINK("https://www.philgeps.gov.ph/GEPSNONPILOT/Tender/SplashBidNoticeAbstractUI.aspx?menuIndex=3&amp;refID=7157492&amp;Result=3","7157492")</f>
        <v>0</v>
      </c>
      <c r="B12736" t="s">
        <v>1087</v>
      </c>
      <c r="C12736" t="s">
        <v>15710</v>
      </c>
      <c r="E12736" t="s">
        <v>28074</v>
      </c>
      <c r="F12736" t="s">
        <v>29372</v>
      </c>
      <c r="G12736" t="s">
        <v>29380</v>
      </c>
      <c r="H12736" t="s">
        <v>11048</v>
      </c>
      <c r="I12736" t="s">
        <v>29468</v>
      </c>
      <c r="J12736" t="s">
        <v>33045</v>
      </c>
      <c r="K12736" t="s">
        <v>38490</v>
      </c>
      <c r="M12736" t="s">
        <v>41625</v>
      </c>
      <c r="N12736" t="s">
        <v>42669</v>
      </c>
      <c r="O12736" t="s">
        <v>42670</v>
      </c>
      <c r="Q12736">
        <v>1</v>
      </c>
      <c r="R12736" t="s">
        <v>42690</v>
      </c>
      <c r="S12736" t="s">
        <v>43666</v>
      </c>
      <c r="T12736" t="s">
        <v>44375</v>
      </c>
      <c r="U12736" t="s">
        <v>55180</v>
      </c>
      <c r="V12736" t="s">
        <v>57329</v>
      </c>
      <c r="W12736" t="s">
        <v>41625</v>
      </c>
      <c r="X12736" t="s">
        <v>42691</v>
      </c>
    </row>
    <row r="12737" spans="1:24">
      <c r="A12737">
        <f>HYPERLINK("https://www.philgeps.gov.ph/GEPSNONPILOT/Tender/SplashBidNoticeAbstractUI.aspx?menuIndex=3&amp;refID=7157515&amp;Result=3","7157515")</f>
        <v>0</v>
      </c>
      <c r="B12737" t="s">
        <v>2540</v>
      </c>
      <c r="C12737" t="s">
        <v>15711</v>
      </c>
      <c r="D12737" t="s">
        <v>17141</v>
      </c>
      <c r="E12737" t="s">
        <v>28075</v>
      </c>
      <c r="F12737" t="s">
        <v>29372</v>
      </c>
      <c r="G12737" t="s">
        <v>29380</v>
      </c>
      <c r="H12737" t="s">
        <v>29389</v>
      </c>
      <c r="I12737" t="s">
        <v>29452</v>
      </c>
      <c r="J12737" t="s">
        <v>33026</v>
      </c>
      <c r="K12737" t="s">
        <v>38564</v>
      </c>
      <c r="M12737" t="s">
        <v>41502</v>
      </c>
      <c r="N12737" t="s">
        <v>42669</v>
      </c>
      <c r="O12737" t="s">
        <v>42670</v>
      </c>
      <c r="Q12737">
        <v>10</v>
      </c>
      <c r="R12737" t="s">
        <v>42690</v>
      </c>
      <c r="S12737" t="s">
        <v>43667</v>
      </c>
      <c r="T12737" t="s">
        <v>44446</v>
      </c>
      <c r="U12737" t="s">
        <v>51474</v>
      </c>
      <c r="W12737" t="s">
        <v>41502</v>
      </c>
      <c r="X12737" t="s">
        <v>42691</v>
      </c>
    </row>
    <row r="12738" spans="1:24">
      <c r="A12738">
        <f>HYPERLINK("https://www.philgeps.gov.ph/GEPSNONPILOT/Tender/SplashBidNoticeAbstractUI.aspx?menuIndex=3&amp;refID=7157487&amp;Result=3","7157487")</f>
        <v>0</v>
      </c>
      <c r="B12738" t="s">
        <v>3386</v>
      </c>
      <c r="C12738" t="s">
        <v>15712</v>
      </c>
      <c r="D12738" t="s">
        <v>17174</v>
      </c>
      <c r="E12738" t="s">
        <v>28076</v>
      </c>
      <c r="F12738" t="s">
        <v>29372</v>
      </c>
      <c r="G12738" t="s">
        <v>29380</v>
      </c>
      <c r="H12738" t="s">
        <v>11048</v>
      </c>
      <c r="I12738" t="s">
        <v>29433</v>
      </c>
      <c r="J12738" t="s">
        <v>29824</v>
      </c>
      <c r="K12738" t="s">
        <v>38488</v>
      </c>
      <c r="M12738" t="s">
        <v>42482</v>
      </c>
      <c r="N12738" t="s">
        <v>42669</v>
      </c>
      <c r="O12738" t="s">
        <v>42670</v>
      </c>
      <c r="P12738">
        <v>0</v>
      </c>
      <c r="Q12738">
        <v>9</v>
      </c>
      <c r="R12738" t="s">
        <v>42690</v>
      </c>
      <c r="S12738" t="s">
        <v>43574</v>
      </c>
      <c r="T12738" t="s">
        <v>44401</v>
      </c>
      <c r="U12738" t="s">
        <v>55181</v>
      </c>
      <c r="V12738" t="s">
        <v>57838</v>
      </c>
      <c r="W12738" t="s">
        <v>58129</v>
      </c>
      <c r="X12738" t="s">
        <v>42691</v>
      </c>
    </row>
    <row r="12739" spans="1:24">
      <c r="A12739">
        <f>HYPERLINK("https://www.philgeps.gov.ph/GEPSNONPILOT/Tender/SplashBidNoticeAbstractUI.aspx?menuIndex=3&amp;refID=7157471&amp;Result=3","7157471")</f>
        <v>0</v>
      </c>
      <c r="B12739" t="s">
        <v>2452</v>
      </c>
      <c r="C12739" t="s">
        <v>15713</v>
      </c>
      <c r="D12739" t="s">
        <v>17168</v>
      </c>
      <c r="E12739" t="s">
        <v>28077</v>
      </c>
      <c r="F12739" t="s">
        <v>29372</v>
      </c>
      <c r="G12739" t="s">
        <v>29380</v>
      </c>
      <c r="H12739" t="s">
        <v>11048</v>
      </c>
      <c r="I12739" t="s">
        <v>5383</v>
      </c>
      <c r="J12739" t="s">
        <v>37566</v>
      </c>
      <c r="K12739" t="s">
        <v>38485</v>
      </c>
      <c r="M12739" t="s">
        <v>41400</v>
      </c>
      <c r="N12739" t="s">
        <v>42669</v>
      </c>
      <c r="O12739" t="s">
        <v>42670</v>
      </c>
      <c r="P12739">
        <v>0</v>
      </c>
      <c r="Q12739">
        <v>6</v>
      </c>
      <c r="R12739" t="s">
        <v>42690</v>
      </c>
      <c r="S12739" t="s">
        <v>43574</v>
      </c>
      <c r="T12739" t="s">
        <v>44401</v>
      </c>
      <c r="U12739" t="s">
        <v>55182</v>
      </c>
      <c r="W12739" t="s">
        <v>41400</v>
      </c>
      <c r="X12739" t="s">
        <v>42691</v>
      </c>
    </row>
    <row r="12740" spans="1:24">
      <c r="A12740">
        <f>HYPERLINK("https://www.philgeps.gov.ph/GEPSNONPILOT/Tender/SplashBidNoticeAbstractUI.aspx?menuIndex=3&amp;refID=7156855&amp;Result=3","7156855")</f>
        <v>0</v>
      </c>
      <c r="B12740" t="s">
        <v>1418</v>
      </c>
      <c r="C12740" t="s">
        <v>15714</v>
      </c>
      <c r="D12740" t="s">
        <v>17144</v>
      </c>
      <c r="E12740" t="s">
        <v>28078</v>
      </c>
      <c r="F12740" t="s">
        <v>29372</v>
      </c>
      <c r="G12740" t="s">
        <v>29380</v>
      </c>
      <c r="H12740" t="s">
        <v>11048</v>
      </c>
      <c r="I12740" t="s">
        <v>9469</v>
      </c>
      <c r="J12740" t="s">
        <v>29728</v>
      </c>
      <c r="K12740" t="s">
        <v>38487</v>
      </c>
      <c r="M12740" t="s">
        <v>40257</v>
      </c>
      <c r="N12740" t="s">
        <v>42669</v>
      </c>
      <c r="O12740" t="s">
        <v>42670</v>
      </c>
      <c r="P12740">
        <v>0</v>
      </c>
      <c r="Q12740">
        <v>2</v>
      </c>
      <c r="R12740" t="s">
        <v>42690</v>
      </c>
      <c r="S12740" t="s">
        <v>43574</v>
      </c>
      <c r="T12740" t="s">
        <v>44387</v>
      </c>
      <c r="U12740" t="s">
        <v>55183</v>
      </c>
      <c r="W12740" t="s">
        <v>40257</v>
      </c>
      <c r="X12740" t="s">
        <v>42691</v>
      </c>
    </row>
    <row r="12741" spans="1:24">
      <c r="A12741">
        <f>HYPERLINK("https://www.philgeps.gov.ph/GEPSNONPILOT/Tender/SplashBidNoticeAbstractUI.aspx?menuIndex=3&amp;refID=7157462&amp;Result=3","7157462")</f>
        <v>0</v>
      </c>
      <c r="B12741" t="s">
        <v>2975</v>
      </c>
      <c r="C12741" t="s">
        <v>15715</v>
      </c>
      <c r="D12741" t="s">
        <v>17188</v>
      </c>
      <c r="E12741" t="s">
        <v>28079</v>
      </c>
      <c r="F12741" t="s">
        <v>29372</v>
      </c>
      <c r="G12741" t="s">
        <v>29380</v>
      </c>
      <c r="H12741" t="s">
        <v>11048</v>
      </c>
      <c r="I12741" t="s">
        <v>3670</v>
      </c>
      <c r="J12741" t="s">
        <v>29543</v>
      </c>
      <c r="K12741" t="s">
        <v>38485</v>
      </c>
      <c r="M12741" t="s">
        <v>41989</v>
      </c>
      <c r="N12741" t="s">
        <v>42669</v>
      </c>
      <c r="O12741" t="s">
        <v>42670</v>
      </c>
      <c r="P12741">
        <v>0</v>
      </c>
      <c r="Q12741">
        <v>2</v>
      </c>
      <c r="R12741" t="s">
        <v>42690</v>
      </c>
      <c r="S12741" t="s">
        <v>43574</v>
      </c>
      <c r="T12741" t="s">
        <v>44512</v>
      </c>
      <c r="U12741" t="s">
        <v>55184</v>
      </c>
      <c r="W12741" t="s">
        <v>41989</v>
      </c>
      <c r="X12741" t="s">
        <v>42691</v>
      </c>
    </row>
    <row r="12742" spans="1:24">
      <c r="A12742">
        <f>HYPERLINK("https://www.philgeps.gov.ph/GEPSNONPILOT/Tender/SplashBidNoticeAbstractUI.aspx?menuIndex=3&amp;refID=7157461&amp;Result=3","7157461")</f>
        <v>0</v>
      </c>
      <c r="B12742" t="s">
        <v>339</v>
      </c>
      <c r="C12742" t="s">
        <v>15716</v>
      </c>
      <c r="D12742" t="s">
        <v>17156</v>
      </c>
      <c r="E12742" t="s">
        <v>28080</v>
      </c>
      <c r="F12742" t="s">
        <v>29372</v>
      </c>
      <c r="G12742" t="s">
        <v>29380</v>
      </c>
      <c r="H12742" t="s">
        <v>11048</v>
      </c>
      <c r="I12742" t="s">
        <v>3629</v>
      </c>
      <c r="J12742" t="s">
        <v>37567</v>
      </c>
      <c r="K12742" t="s">
        <v>38485</v>
      </c>
      <c r="M12742" t="s">
        <v>39651</v>
      </c>
      <c r="N12742" t="s">
        <v>42669</v>
      </c>
      <c r="O12742" t="s">
        <v>42670</v>
      </c>
      <c r="P12742">
        <v>0</v>
      </c>
      <c r="Q12742">
        <v>0</v>
      </c>
      <c r="R12742" t="s">
        <v>42690</v>
      </c>
      <c r="S12742" t="s">
        <v>43574</v>
      </c>
      <c r="T12742" t="s">
        <v>44441</v>
      </c>
      <c r="U12742" t="s">
        <v>55185</v>
      </c>
      <c r="W12742" t="s">
        <v>39651</v>
      </c>
      <c r="X12742" t="s">
        <v>42691</v>
      </c>
    </row>
    <row r="12743" spans="1:24">
      <c r="A12743">
        <f>HYPERLINK("https://www.philgeps.gov.ph/GEPSNONPILOT/Tender/SplashBidNoticeAbstractUI.aspx?menuIndex=3&amp;refID=7157480&amp;Result=3","7157480")</f>
        <v>0</v>
      </c>
      <c r="B12743" t="s">
        <v>3393</v>
      </c>
      <c r="C12743" t="s">
        <v>15717</v>
      </c>
      <c r="D12743" t="s">
        <v>17174</v>
      </c>
      <c r="E12743" t="s">
        <v>22449</v>
      </c>
      <c r="F12743" t="s">
        <v>29372</v>
      </c>
      <c r="G12743" t="s">
        <v>29380</v>
      </c>
      <c r="H12743" t="s">
        <v>11048</v>
      </c>
      <c r="I12743" t="s">
        <v>3670</v>
      </c>
      <c r="J12743" t="s">
        <v>37568</v>
      </c>
      <c r="K12743" t="s">
        <v>38485</v>
      </c>
      <c r="M12743" t="s">
        <v>42490</v>
      </c>
      <c r="N12743" t="s">
        <v>42669</v>
      </c>
      <c r="O12743" t="s">
        <v>42670</v>
      </c>
      <c r="P12743">
        <v>0</v>
      </c>
      <c r="Q12743">
        <v>0</v>
      </c>
      <c r="R12743" t="s">
        <v>42690</v>
      </c>
      <c r="S12743" t="s">
        <v>43574</v>
      </c>
      <c r="T12743" t="s">
        <v>44525</v>
      </c>
      <c r="U12743" t="s">
        <v>55186</v>
      </c>
      <c r="W12743" t="s">
        <v>42490</v>
      </c>
      <c r="X12743" t="s">
        <v>42691</v>
      </c>
    </row>
    <row r="12744" spans="1:24">
      <c r="A12744">
        <f>HYPERLINK("https://www.philgeps.gov.ph/GEPSNONPILOT/Tender/SplashBidNoticeAbstractUI.aspx?menuIndex=3&amp;refID=7156951&amp;Result=3","7156951")</f>
        <v>0</v>
      </c>
      <c r="B12744" t="s">
        <v>264</v>
      </c>
      <c r="C12744" t="s">
        <v>15718</v>
      </c>
      <c r="E12744" t="s">
        <v>28081</v>
      </c>
      <c r="F12744" t="s">
        <v>29372</v>
      </c>
      <c r="G12744" t="s">
        <v>29380</v>
      </c>
      <c r="H12744" t="s">
        <v>11048</v>
      </c>
      <c r="I12744" t="s">
        <v>29433</v>
      </c>
      <c r="J12744" t="s">
        <v>37569</v>
      </c>
      <c r="K12744" t="s">
        <v>38490</v>
      </c>
      <c r="M12744" t="s">
        <v>42346</v>
      </c>
      <c r="N12744" t="s">
        <v>42669</v>
      </c>
      <c r="O12744" t="s">
        <v>42670</v>
      </c>
      <c r="P12744">
        <v>0</v>
      </c>
      <c r="Q12744">
        <v>16</v>
      </c>
      <c r="R12744" t="s">
        <v>42690</v>
      </c>
      <c r="S12744" t="s">
        <v>43574</v>
      </c>
      <c r="T12744" t="s">
        <v>44491</v>
      </c>
      <c r="U12744" t="s">
        <v>55187</v>
      </c>
      <c r="W12744" t="s">
        <v>42346</v>
      </c>
      <c r="X12744" t="s">
        <v>42691</v>
      </c>
    </row>
    <row r="12745" spans="1:24">
      <c r="A12745">
        <f>HYPERLINK("https://www.philgeps.gov.ph/GEPSNONPILOT/Tender/SplashBidNoticeAbstractUI.aspx?menuIndex=3&amp;refID=7157500&amp;Result=3","7157500")</f>
        <v>0</v>
      </c>
      <c r="B12745" t="s">
        <v>3394</v>
      </c>
      <c r="C12745" t="s">
        <v>15719</v>
      </c>
      <c r="D12745" t="s">
        <v>17144</v>
      </c>
      <c r="E12745" t="s">
        <v>28082</v>
      </c>
      <c r="F12745" t="s">
        <v>29372</v>
      </c>
      <c r="G12745" t="s">
        <v>29380</v>
      </c>
      <c r="H12745" t="s">
        <v>11048</v>
      </c>
      <c r="I12745" t="s">
        <v>29424</v>
      </c>
      <c r="J12745" t="s">
        <v>30751</v>
      </c>
      <c r="K12745" t="s">
        <v>38496</v>
      </c>
      <c r="M12745" t="s">
        <v>42491</v>
      </c>
      <c r="N12745" t="s">
        <v>42669</v>
      </c>
      <c r="O12745" t="s">
        <v>42670</v>
      </c>
      <c r="Q12745">
        <v>9</v>
      </c>
      <c r="R12745" t="s">
        <v>42690</v>
      </c>
      <c r="S12745" t="s">
        <v>43668</v>
      </c>
      <c r="T12745" t="s">
        <v>44493</v>
      </c>
      <c r="U12745" t="s">
        <v>55188</v>
      </c>
      <c r="V12745" t="s">
        <v>56791</v>
      </c>
      <c r="W12745" t="s">
        <v>42491</v>
      </c>
      <c r="X12745" t="s">
        <v>42691</v>
      </c>
    </row>
    <row r="12746" spans="1:24">
      <c r="A12746">
        <f>HYPERLINK("https://www.philgeps.gov.ph/GEPSNONPILOT/Tender/SplashBidNoticeAbstractUI.aspx?menuIndex=3&amp;refID=7157655&amp;Result=3","7157655")</f>
        <v>0</v>
      </c>
      <c r="B12746" t="s">
        <v>3377</v>
      </c>
      <c r="C12746" t="s">
        <v>15720</v>
      </c>
      <c r="D12746" t="s">
        <v>17142</v>
      </c>
      <c r="E12746" t="s">
        <v>28083</v>
      </c>
      <c r="F12746" t="s">
        <v>29372</v>
      </c>
      <c r="G12746" t="s">
        <v>29380</v>
      </c>
      <c r="H12746" t="s">
        <v>29390</v>
      </c>
      <c r="I12746" t="s">
        <v>29416</v>
      </c>
      <c r="J12746" t="s">
        <v>37570</v>
      </c>
      <c r="K12746" t="s">
        <v>38485</v>
      </c>
      <c r="M12746" t="s">
        <v>42472</v>
      </c>
      <c r="N12746" t="s">
        <v>42669</v>
      </c>
      <c r="O12746" t="s">
        <v>42670</v>
      </c>
      <c r="Q12746">
        <v>4</v>
      </c>
      <c r="R12746" t="s">
        <v>42690</v>
      </c>
      <c r="S12746" t="s">
        <v>43669</v>
      </c>
      <c r="T12746" t="s">
        <v>44597</v>
      </c>
      <c r="U12746" t="s">
        <v>55076</v>
      </c>
      <c r="V12746" t="s">
        <v>57817</v>
      </c>
      <c r="W12746" t="s">
        <v>42472</v>
      </c>
      <c r="X12746" t="s">
        <v>42691</v>
      </c>
    </row>
    <row r="12747" spans="1:24">
      <c r="A12747">
        <f>HYPERLINK("https://www.philgeps.gov.ph/GEPSNONPILOT/Tender/SplashBidNoticeAbstractUI.aspx?menuIndex=3&amp;refID=7157445&amp;Result=3","7157445")</f>
        <v>0</v>
      </c>
      <c r="B12747" t="s">
        <v>773</v>
      </c>
      <c r="C12747" t="s">
        <v>15721</v>
      </c>
      <c r="D12747" t="s">
        <v>17205</v>
      </c>
      <c r="E12747" t="s">
        <v>20137</v>
      </c>
      <c r="F12747" t="s">
        <v>29372</v>
      </c>
      <c r="G12747" t="s">
        <v>29380</v>
      </c>
      <c r="H12747" t="s">
        <v>11048</v>
      </c>
      <c r="I12747" t="s">
        <v>14920</v>
      </c>
      <c r="J12747" t="s">
        <v>37571</v>
      </c>
      <c r="K12747" t="s">
        <v>38485</v>
      </c>
      <c r="M12747" t="s">
        <v>39557</v>
      </c>
      <c r="N12747" t="s">
        <v>42669</v>
      </c>
      <c r="O12747" t="s">
        <v>42670</v>
      </c>
      <c r="P12747">
        <v>0</v>
      </c>
      <c r="Q12747">
        <v>2</v>
      </c>
      <c r="R12747" t="s">
        <v>42690</v>
      </c>
      <c r="S12747" t="s">
        <v>43574</v>
      </c>
      <c r="T12747" t="s">
        <v>44417</v>
      </c>
      <c r="U12747" t="s">
        <v>55189</v>
      </c>
      <c r="V12747" t="s">
        <v>57841</v>
      </c>
      <c r="W12747" t="s">
        <v>39557</v>
      </c>
      <c r="X12747" t="s">
        <v>42691</v>
      </c>
    </row>
    <row r="12748" spans="1:24">
      <c r="A12748">
        <f>HYPERLINK("https://www.philgeps.gov.ph/GEPSNONPILOT/Tender/SplashBidNoticeAbstractUI.aspx?menuIndex=3&amp;refID=7157650&amp;Result=3","7157650")</f>
        <v>0</v>
      </c>
      <c r="B12748" t="s">
        <v>808</v>
      </c>
      <c r="C12748" t="s">
        <v>15722</v>
      </c>
      <c r="E12748" t="s">
        <v>28084</v>
      </c>
      <c r="F12748" t="s">
        <v>29372</v>
      </c>
      <c r="G12748" t="s">
        <v>29384</v>
      </c>
      <c r="H12748" t="s">
        <v>11048</v>
      </c>
      <c r="I12748" t="s">
        <v>29493</v>
      </c>
      <c r="J12748" t="s">
        <v>37572</v>
      </c>
      <c r="K12748" t="s">
        <v>38485</v>
      </c>
      <c r="M12748" t="s">
        <v>39594</v>
      </c>
      <c r="N12748" t="s">
        <v>42669</v>
      </c>
      <c r="O12748" t="s">
        <v>42670</v>
      </c>
      <c r="Q12748">
        <v>10</v>
      </c>
      <c r="R12748" t="s">
        <v>42690</v>
      </c>
      <c r="S12748" t="s">
        <v>43670</v>
      </c>
      <c r="T12748" t="s">
        <v>44401</v>
      </c>
      <c r="U12748" t="s">
        <v>55190</v>
      </c>
      <c r="V12748" t="s">
        <v>45838</v>
      </c>
      <c r="W12748" t="s">
        <v>39594</v>
      </c>
      <c r="X12748" t="s">
        <v>42691</v>
      </c>
    </row>
    <row r="12749" spans="1:24">
      <c r="A12749">
        <f>HYPERLINK("https://www.philgeps.gov.ph/GEPSNONPILOT/Tender/SplashBidNoticeAbstractUI.aspx?menuIndex=3&amp;refID=7157684&amp;Result=3","7157684")</f>
        <v>0</v>
      </c>
      <c r="B12749" t="s">
        <v>1225</v>
      </c>
      <c r="C12749" t="s">
        <v>15723</v>
      </c>
      <c r="D12749" t="s">
        <v>17177</v>
      </c>
      <c r="E12749" t="s">
        <v>28085</v>
      </c>
      <c r="F12749" t="s">
        <v>29372</v>
      </c>
      <c r="G12749" t="s">
        <v>29380</v>
      </c>
      <c r="H12749" t="s">
        <v>11048</v>
      </c>
      <c r="I12749" t="s">
        <v>29441</v>
      </c>
      <c r="J12749" t="s">
        <v>37573</v>
      </c>
      <c r="K12749" t="s">
        <v>38526</v>
      </c>
      <c r="M12749" t="s">
        <v>40045</v>
      </c>
      <c r="N12749" t="s">
        <v>42669</v>
      </c>
      <c r="O12749" t="s">
        <v>42670</v>
      </c>
      <c r="Q12749">
        <v>2</v>
      </c>
      <c r="R12749" t="s">
        <v>42690</v>
      </c>
      <c r="S12749" t="s">
        <v>43671</v>
      </c>
      <c r="T12749" t="s">
        <v>44401</v>
      </c>
      <c r="U12749" t="s">
        <v>55191</v>
      </c>
      <c r="W12749" t="s">
        <v>40045</v>
      </c>
      <c r="X12749" t="s">
        <v>42691</v>
      </c>
    </row>
    <row r="12750" spans="1:24">
      <c r="A12750">
        <f>HYPERLINK("https://www.philgeps.gov.ph/GEPSNONPILOT/Tender/SplashBidNoticeAbstractUI.aspx?menuIndex=3&amp;refID=7156856&amp;Result=3","7156856")</f>
        <v>0</v>
      </c>
      <c r="B12750" t="s">
        <v>924</v>
      </c>
      <c r="C12750" t="s">
        <v>15724</v>
      </c>
      <c r="D12750" t="s">
        <v>17170</v>
      </c>
      <c r="E12750" t="s">
        <v>28086</v>
      </c>
      <c r="F12750" t="s">
        <v>29372</v>
      </c>
      <c r="G12750" t="s">
        <v>29380</v>
      </c>
      <c r="H12750" t="s">
        <v>29389</v>
      </c>
      <c r="I12750" t="s">
        <v>10408</v>
      </c>
      <c r="J12750" t="s">
        <v>30845</v>
      </c>
      <c r="K12750" t="s">
        <v>38579</v>
      </c>
      <c r="M12750" t="s">
        <v>39719</v>
      </c>
      <c r="N12750" t="s">
        <v>42669</v>
      </c>
      <c r="O12750" t="s">
        <v>42670</v>
      </c>
      <c r="Q12750">
        <v>5</v>
      </c>
      <c r="R12750" t="s">
        <v>42690</v>
      </c>
      <c r="S12750" t="s">
        <v>43443</v>
      </c>
      <c r="T12750" t="s">
        <v>44488</v>
      </c>
      <c r="U12750" t="s">
        <v>55192</v>
      </c>
      <c r="W12750" t="s">
        <v>39719</v>
      </c>
      <c r="X12750" t="s">
        <v>42691</v>
      </c>
    </row>
    <row r="12751" spans="1:24">
      <c r="A12751">
        <f>HYPERLINK("https://www.philgeps.gov.ph/GEPSNONPILOT/Tender/SplashBidNoticeAbstractUI.aspx?menuIndex=3&amp;refID=7157632&amp;Result=3","7157632")</f>
        <v>0</v>
      </c>
      <c r="B12751" t="s">
        <v>3395</v>
      </c>
      <c r="C12751" t="s">
        <v>15725</v>
      </c>
      <c r="D12751" t="s">
        <v>17221</v>
      </c>
      <c r="E12751" t="s">
        <v>28087</v>
      </c>
      <c r="F12751" t="s">
        <v>29372</v>
      </c>
      <c r="G12751" t="s">
        <v>29380</v>
      </c>
      <c r="H12751" t="s">
        <v>29389</v>
      </c>
      <c r="I12751" t="s">
        <v>29408</v>
      </c>
      <c r="J12751" t="s">
        <v>29708</v>
      </c>
      <c r="K12751" t="s">
        <v>38496</v>
      </c>
      <c r="M12751" t="s">
        <v>42492</v>
      </c>
      <c r="N12751" t="s">
        <v>42669</v>
      </c>
      <c r="O12751" t="s">
        <v>42670</v>
      </c>
      <c r="P12751">
        <v>0</v>
      </c>
      <c r="Q12751">
        <v>0</v>
      </c>
      <c r="R12751" t="s">
        <v>42690</v>
      </c>
      <c r="S12751" t="s">
        <v>43574</v>
      </c>
      <c r="T12751" t="s">
        <v>44512</v>
      </c>
      <c r="U12751" t="s">
        <v>55193</v>
      </c>
      <c r="W12751" t="s">
        <v>42492</v>
      </c>
      <c r="X12751" t="s">
        <v>42691</v>
      </c>
    </row>
    <row r="12752" spans="1:24">
      <c r="A12752">
        <f>HYPERLINK("https://www.philgeps.gov.ph/GEPSNONPILOT/Tender/SplashBidNoticeAbstractUI.aspx?menuIndex=3&amp;refID=7157616&amp;Result=3","7157616")</f>
        <v>0</v>
      </c>
      <c r="B12752" t="s">
        <v>763</v>
      </c>
      <c r="C12752" t="s">
        <v>15726</v>
      </c>
      <c r="D12752" t="s">
        <v>17165</v>
      </c>
      <c r="E12752" t="s">
        <v>28088</v>
      </c>
      <c r="F12752" t="s">
        <v>29372</v>
      </c>
      <c r="G12752" t="s">
        <v>29380</v>
      </c>
      <c r="H12752" t="s">
        <v>11048</v>
      </c>
      <c r="I12752" t="s">
        <v>5383</v>
      </c>
      <c r="J12752" t="s">
        <v>29708</v>
      </c>
      <c r="K12752" t="s">
        <v>38485</v>
      </c>
      <c r="M12752" t="s">
        <v>39546</v>
      </c>
      <c r="N12752" t="s">
        <v>42669</v>
      </c>
      <c r="O12752" t="s">
        <v>42670</v>
      </c>
      <c r="P12752">
        <v>0</v>
      </c>
      <c r="Q12752">
        <v>2</v>
      </c>
      <c r="R12752" t="s">
        <v>42690</v>
      </c>
      <c r="S12752" t="s">
        <v>43574</v>
      </c>
      <c r="T12752" t="s">
        <v>44570</v>
      </c>
      <c r="U12752" t="s">
        <v>46424</v>
      </c>
      <c r="W12752" t="s">
        <v>39546</v>
      </c>
      <c r="X12752" t="s">
        <v>42691</v>
      </c>
    </row>
    <row r="12753" spans="1:24">
      <c r="A12753">
        <f>HYPERLINK("https://www.philgeps.gov.ph/GEPSNONPILOT/Tender/SplashBidNoticeAbstractUI.aspx?menuIndex=3&amp;refID=7157494&amp;Result=3","7157494")</f>
        <v>0</v>
      </c>
      <c r="B12753" t="s">
        <v>339</v>
      </c>
      <c r="C12753" t="s">
        <v>15727</v>
      </c>
      <c r="D12753" t="s">
        <v>17156</v>
      </c>
      <c r="E12753" t="s">
        <v>28089</v>
      </c>
      <c r="F12753" t="s">
        <v>29372</v>
      </c>
      <c r="G12753" t="s">
        <v>29380</v>
      </c>
      <c r="H12753" t="s">
        <v>11048</v>
      </c>
      <c r="I12753" t="s">
        <v>9469</v>
      </c>
      <c r="J12753" t="s">
        <v>37574</v>
      </c>
      <c r="K12753" t="s">
        <v>38495</v>
      </c>
      <c r="M12753" t="s">
        <v>39651</v>
      </c>
      <c r="N12753" t="s">
        <v>42669</v>
      </c>
      <c r="O12753" t="s">
        <v>42670</v>
      </c>
      <c r="Q12753">
        <v>18</v>
      </c>
      <c r="R12753" t="s">
        <v>42690</v>
      </c>
      <c r="S12753" t="s">
        <v>43672</v>
      </c>
      <c r="T12753" t="s">
        <v>44432</v>
      </c>
      <c r="U12753" t="s">
        <v>55194</v>
      </c>
      <c r="W12753" t="s">
        <v>39651</v>
      </c>
      <c r="X12753" t="s">
        <v>42691</v>
      </c>
    </row>
    <row r="12754" spans="1:24">
      <c r="A12754">
        <f>HYPERLINK("https://www.philgeps.gov.ph/GEPSNONPILOT/Tender/SplashBidNoticeAbstractUI.aspx?menuIndex=3&amp;refID=7157442&amp;Result=3","7157442")</f>
        <v>0</v>
      </c>
      <c r="B12754" t="s">
        <v>3389</v>
      </c>
      <c r="C12754" t="s">
        <v>15728</v>
      </c>
      <c r="D12754" t="s">
        <v>17171</v>
      </c>
      <c r="E12754" t="s">
        <v>28090</v>
      </c>
      <c r="F12754" t="s">
        <v>29372</v>
      </c>
      <c r="G12754" t="s">
        <v>29380</v>
      </c>
      <c r="H12754" t="s">
        <v>29389</v>
      </c>
      <c r="I12754" t="s">
        <v>10408</v>
      </c>
      <c r="J12754" t="s">
        <v>29615</v>
      </c>
      <c r="K12754" t="s">
        <v>38523</v>
      </c>
      <c r="M12754" t="s">
        <v>42485</v>
      </c>
      <c r="N12754" t="s">
        <v>42669</v>
      </c>
      <c r="O12754" t="s">
        <v>42670</v>
      </c>
      <c r="P12754">
        <v>0</v>
      </c>
      <c r="Q12754">
        <v>4</v>
      </c>
      <c r="R12754" t="s">
        <v>42690</v>
      </c>
      <c r="S12754" t="s">
        <v>43574</v>
      </c>
      <c r="T12754" t="s">
        <v>44371</v>
      </c>
      <c r="U12754" t="s">
        <v>55195</v>
      </c>
      <c r="W12754" t="s">
        <v>58130</v>
      </c>
      <c r="X12754" t="s">
        <v>42691</v>
      </c>
    </row>
    <row r="12755" spans="1:24">
      <c r="A12755">
        <f>HYPERLINK("https://www.philgeps.gov.ph/GEPSNONPILOT/Tender/SplashBidNoticeAbstractUI.aspx?menuIndex=3&amp;refID=7157615&amp;Result=3","7157615")</f>
        <v>0</v>
      </c>
      <c r="B12755" t="s">
        <v>3386</v>
      </c>
      <c r="C12755" t="s">
        <v>15729</v>
      </c>
      <c r="D12755" t="s">
        <v>17174</v>
      </c>
      <c r="E12755" t="s">
        <v>28091</v>
      </c>
      <c r="F12755" t="s">
        <v>29372</v>
      </c>
      <c r="G12755" t="s">
        <v>29380</v>
      </c>
      <c r="H12755" t="s">
        <v>11048</v>
      </c>
      <c r="I12755" t="s">
        <v>29496</v>
      </c>
      <c r="J12755" t="s">
        <v>37575</v>
      </c>
      <c r="K12755" t="s">
        <v>38488</v>
      </c>
      <c r="M12755" t="s">
        <v>42482</v>
      </c>
      <c r="N12755" t="s">
        <v>42669</v>
      </c>
      <c r="O12755" t="s">
        <v>42670</v>
      </c>
      <c r="P12755">
        <v>0</v>
      </c>
      <c r="Q12755">
        <v>0</v>
      </c>
      <c r="R12755" t="s">
        <v>42690</v>
      </c>
      <c r="S12755" t="s">
        <v>43574</v>
      </c>
      <c r="T12755" t="s">
        <v>44401</v>
      </c>
      <c r="U12755" t="s">
        <v>55196</v>
      </c>
      <c r="V12755" t="s">
        <v>57838</v>
      </c>
      <c r="W12755" t="s">
        <v>58129</v>
      </c>
      <c r="X12755" t="s">
        <v>42691</v>
      </c>
    </row>
    <row r="12756" spans="1:24">
      <c r="A12756">
        <f>HYPERLINK("https://www.philgeps.gov.ph/GEPSNONPILOT/Tender/SplashBidNoticeAbstractUI.aspx?menuIndex=3&amp;refID=7157576&amp;Result=3","7157576")</f>
        <v>0</v>
      </c>
      <c r="B12756" t="s">
        <v>110</v>
      </c>
      <c r="C12756" t="s">
        <v>15730</v>
      </c>
      <c r="D12756" t="s">
        <v>17165</v>
      </c>
      <c r="E12756" t="s">
        <v>28092</v>
      </c>
      <c r="F12756" t="s">
        <v>29372</v>
      </c>
      <c r="G12756" t="s">
        <v>29380</v>
      </c>
      <c r="H12756" t="s">
        <v>11048</v>
      </c>
      <c r="I12756" t="s">
        <v>29414</v>
      </c>
      <c r="J12756" t="s">
        <v>29774</v>
      </c>
      <c r="K12756" t="s">
        <v>38518</v>
      </c>
      <c r="L12756" t="s">
        <v>110</v>
      </c>
      <c r="M12756" t="s">
        <v>38865</v>
      </c>
      <c r="N12756" t="s">
        <v>42669</v>
      </c>
      <c r="O12756" t="s">
        <v>42670</v>
      </c>
      <c r="Q12756">
        <v>19</v>
      </c>
      <c r="R12756" t="s">
        <v>42690</v>
      </c>
      <c r="S12756" t="s">
        <v>43673</v>
      </c>
      <c r="T12756" t="s">
        <v>44387</v>
      </c>
      <c r="U12756" t="s">
        <v>45036</v>
      </c>
      <c r="V12756" t="s">
        <v>56354</v>
      </c>
      <c r="W12756" t="s">
        <v>38865</v>
      </c>
      <c r="X12756" t="s">
        <v>42691</v>
      </c>
    </row>
    <row r="12757" spans="1:24">
      <c r="A12757">
        <f>HYPERLINK("https://www.philgeps.gov.ph/GEPSNONPILOT/Tender/SplashBidNoticeAbstractUI.aspx?menuIndex=3&amp;refID=7157610&amp;Result=3","7157610")</f>
        <v>0</v>
      </c>
      <c r="B12757" t="s">
        <v>1291</v>
      </c>
      <c r="C12757" t="s">
        <v>15731</v>
      </c>
      <c r="D12757" t="s">
        <v>17144</v>
      </c>
      <c r="E12757" t="s">
        <v>28093</v>
      </c>
      <c r="F12757" t="s">
        <v>29372</v>
      </c>
      <c r="G12757" t="s">
        <v>29380</v>
      </c>
      <c r="H12757" t="s">
        <v>29389</v>
      </c>
      <c r="I12757" t="s">
        <v>10408</v>
      </c>
      <c r="J12757" t="s">
        <v>37576</v>
      </c>
      <c r="K12757" t="s">
        <v>38679</v>
      </c>
      <c r="M12757" t="s">
        <v>40120</v>
      </c>
      <c r="N12757" t="s">
        <v>42669</v>
      </c>
      <c r="O12757" t="s">
        <v>42670</v>
      </c>
      <c r="Q12757">
        <v>3</v>
      </c>
      <c r="R12757" t="s">
        <v>42690</v>
      </c>
      <c r="S12757" t="s">
        <v>43674</v>
      </c>
      <c r="T12757" t="s">
        <v>44493</v>
      </c>
      <c r="U12757" t="s">
        <v>53967</v>
      </c>
      <c r="W12757" t="s">
        <v>40120</v>
      </c>
      <c r="X12757" t="s">
        <v>42691</v>
      </c>
    </row>
    <row r="12758" spans="1:24">
      <c r="A12758">
        <f>HYPERLINK("https://www.philgeps.gov.ph/GEPSNONPILOT/Tender/SplashBidNoticeAbstractUI.aspx?menuIndex=3&amp;refID=7157572&amp;Result=3","7157572")</f>
        <v>0</v>
      </c>
      <c r="B12758" t="s">
        <v>338</v>
      </c>
      <c r="C12758" t="s">
        <v>15732</v>
      </c>
      <c r="E12758" t="s">
        <v>28094</v>
      </c>
      <c r="F12758" t="s">
        <v>29372</v>
      </c>
      <c r="G12758" t="s">
        <v>29379</v>
      </c>
      <c r="H12758" t="s">
        <v>11048</v>
      </c>
      <c r="I12758" t="s">
        <v>4486</v>
      </c>
      <c r="J12758" t="s">
        <v>37577</v>
      </c>
      <c r="K12758" t="s">
        <v>38518</v>
      </c>
      <c r="M12758" t="s">
        <v>39097</v>
      </c>
      <c r="N12758" t="s">
        <v>42669</v>
      </c>
      <c r="O12758" t="s">
        <v>42670</v>
      </c>
      <c r="Q12758">
        <v>10</v>
      </c>
      <c r="R12758" t="s">
        <v>42690</v>
      </c>
      <c r="S12758" t="s">
        <v>43675</v>
      </c>
      <c r="T12758" t="s">
        <v>44427</v>
      </c>
      <c r="U12758" t="s">
        <v>55197</v>
      </c>
      <c r="W12758" t="s">
        <v>39097</v>
      </c>
      <c r="X12758" t="s">
        <v>42691</v>
      </c>
    </row>
    <row r="12759" spans="1:24">
      <c r="A12759">
        <f>HYPERLINK("https://www.philgeps.gov.ph/GEPSNONPILOT/Tender/SplashBidNoticeAbstractUI.aspx?menuIndex=3&amp;refID=7157604&amp;Result=3","7157604")</f>
        <v>0</v>
      </c>
      <c r="B12759" t="s">
        <v>413</v>
      </c>
      <c r="C12759" t="s">
        <v>15733</v>
      </c>
      <c r="D12759" t="s">
        <v>17214</v>
      </c>
      <c r="E12759" t="s">
        <v>28095</v>
      </c>
      <c r="F12759" t="s">
        <v>29372</v>
      </c>
      <c r="G12759" t="s">
        <v>29380</v>
      </c>
      <c r="H12759" t="s">
        <v>11048</v>
      </c>
      <c r="I12759" t="s">
        <v>29425</v>
      </c>
      <c r="J12759" t="s">
        <v>37578</v>
      </c>
      <c r="K12759" t="s">
        <v>38496</v>
      </c>
      <c r="M12759" t="s">
        <v>39177</v>
      </c>
      <c r="N12759" t="s">
        <v>42669</v>
      </c>
      <c r="O12759" t="s">
        <v>42670</v>
      </c>
      <c r="Q12759">
        <v>2</v>
      </c>
      <c r="R12759" t="s">
        <v>42690</v>
      </c>
      <c r="S12759" t="s">
        <v>43676</v>
      </c>
      <c r="T12759" t="s">
        <v>44554</v>
      </c>
      <c r="U12759" t="s">
        <v>55122</v>
      </c>
      <c r="V12759" t="s">
        <v>57842</v>
      </c>
      <c r="W12759" t="s">
        <v>39177</v>
      </c>
      <c r="X12759" t="s">
        <v>42691</v>
      </c>
    </row>
    <row r="12760" spans="1:24">
      <c r="A12760">
        <f>HYPERLINK("https://www.philgeps.gov.ph/GEPSNONPILOT/Tender/SplashBidNoticeAbstractUI.aspx?menuIndex=3&amp;refID=7157564&amp;Result=3","7157564")</f>
        <v>0</v>
      </c>
      <c r="B12760" t="s">
        <v>668</v>
      </c>
      <c r="C12760" t="s">
        <v>15734</v>
      </c>
      <c r="D12760" t="s">
        <v>17172</v>
      </c>
      <c r="E12760" t="s">
        <v>28096</v>
      </c>
      <c r="F12760" t="s">
        <v>29372</v>
      </c>
      <c r="G12760" t="s">
        <v>29380</v>
      </c>
      <c r="H12760" t="s">
        <v>11048</v>
      </c>
      <c r="I12760" t="s">
        <v>3670</v>
      </c>
      <c r="J12760" t="s">
        <v>37579</v>
      </c>
      <c r="K12760" t="s">
        <v>38485</v>
      </c>
      <c r="M12760" t="s">
        <v>39444</v>
      </c>
      <c r="N12760" t="s">
        <v>42669</v>
      </c>
      <c r="O12760" t="s">
        <v>42670</v>
      </c>
      <c r="P12760">
        <v>0</v>
      </c>
      <c r="Q12760">
        <v>10</v>
      </c>
      <c r="R12760" t="s">
        <v>42690</v>
      </c>
      <c r="S12760" t="s">
        <v>43574</v>
      </c>
      <c r="T12760" t="s">
        <v>44548</v>
      </c>
      <c r="U12760" t="s">
        <v>55198</v>
      </c>
      <c r="W12760" t="s">
        <v>39444</v>
      </c>
      <c r="X12760" t="s">
        <v>42691</v>
      </c>
    </row>
    <row r="12761" spans="1:24">
      <c r="A12761">
        <f>HYPERLINK("https://www.philgeps.gov.ph/GEPSNONPILOT/Tender/SplashBidNoticeAbstractUI.aspx?menuIndex=3&amp;refID=7157605&amp;Result=3","7157605")</f>
        <v>0</v>
      </c>
      <c r="B12761" t="s">
        <v>1858</v>
      </c>
      <c r="C12761" t="s">
        <v>15735</v>
      </c>
      <c r="E12761" t="s">
        <v>28097</v>
      </c>
      <c r="F12761" t="s">
        <v>29372</v>
      </c>
      <c r="G12761" t="s">
        <v>29380</v>
      </c>
      <c r="H12761" t="s">
        <v>11048</v>
      </c>
      <c r="I12761" t="s">
        <v>29403</v>
      </c>
      <c r="J12761" t="s">
        <v>37580</v>
      </c>
      <c r="K12761" t="s">
        <v>38490</v>
      </c>
      <c r="M12761" t="s">
        <v>40731</v>
      </c>
      <c r="N12761" t="s">
        <v>42669</v>
      </c>
      <c r="O12761" t="s">
        <v>42670</v>
      </c>
      <c r="P12761">
        <v>0</v>
      </c>
      <c r="Q12761">
        <v>0</v>
      </c>
      <c r="R12761" t="s">
        <v>42690</v>
      </c>
      <c r="S12761" t="s">
        <v>43574</v>
      </c>
      <c r="T12761" t="s">
        <v>44399</v>
      </c>
      <c r="U12761" t="s">
        <v>55199</v>
      </c>
      <c r="W12761" t="s">
        <v>40731</v>
      </c>
      <c r="X12761" t="s">
        <v>42691</v>
      </c>
    </row>
    <row r="12762" spans="1:24">
      <c r="A12762">
        <f>HYPERLINK("https://www.philgeps.gov.ph/GEPSNONPILOT/Tender/SplashBidNoticeAbstractUI.aspx?menuIndex=3&amp;refID=7157638&amp;Result=3","7157638")</f>
        <v>0</v>
      </c>
      <c r="B12762" t="s">
        <v>1415</v>
      </c>
      <c r="C12762" t="s">
        <v>15736</v>
      </c>
      <c r="D12762" t="s">
        <v>17147</v>
      </c>
      <c r="E12762" t="s">
        <v>28098</v>
      </c>
      <c r="F12762" t="s">
        <v>29372</v>
      </c>
      <c r="G12762" t="s">
        <v>29380</v>
      </c>
      <c r="H12762" t="s">
        <v>11048</v>
      </c>
      <c r="I12762" t="s">
        <v>4709</v>
      </c>
      <c r="J12762" t="s">
        <v>37581</v>
      </c>
      <c r="K12762" t="s">
        <v>38521</v>
      </c>
      <c r="M12762" t="s">
        <v>40254</v>
      </c>
      <c r="N12762" t="s">
        <v>42669</v>
      </c>
      <c r="O12762" t="s">
        <v>42670</v>
      </c>
      <c r="P12762">
        <v>0</v>
      </c>
      <c r="Q12762">
        <v>0</v>
      </c>
      <c r="R12762" t="s">
        <v>42690</v>
      </c>
      <c r="S12762" t="s">
        <v>43574</v>
      </c>
      <c r="T12762" t="s">
        <v>44387</v>
      </c>
      <c r="U12762" t="s">
        <v>55200</v>
      </c>
      <c r="W12762" t="s">
        <v>40254</v>
      </c>
      <c r="X12762" t="s">
        <v>42691</v>
      </c>
    </row>
    <row r="12763" spans="1:24">
      <c r="A12763">
        <f>HYPERLINK("https://www.philgeps.gov.ph/GEPSNONPILOT/Tender/SplashBidNoticeAbstractUI.aspx?menuIndex=3&amp;refID=7157574&amp;Result=3","7157574")</f>
        <v>0</v>
      </c>
      <c r="B12763" t="s">
        <v>1415</v>
      </c>
      <c r="C12763" t="s">
        <v>15737</v>
      </c>
      <c r="D12763" t="s">
        <v>17147</v>
      </c>
      <c r="E12763" t="s">
        <v>28099</v>
      </c>
      <c r="F12763" t="s">
        <v>29372</v>
      </c>
      <c r="G12763" t="s">
        <v>29380</v>
      </c>
      <c r="H12763" t="s">
        <v>29389</v>
      </c>
      <c r="I12763" t="s">
        <v>10408</v>
      </c>
      <c r="J12763" t="s">
        <v>37582</v>
      </c>
      <c r="K12763" t="s">
        <v>38689</v>
      </c>
      <c r="M12763" t="s">
        <v>40254</v>
      </c>
      <c r="N12763" t="s">
        <v>42669</v>
      </c>
      <c r="O12763" t="s">
        <v>42670</v>
      </c>
      <c r="P12763">
        <v>0</v>
      </c>
      <c r="Q12763">
        <v>0</v>
      </c>
      <c r="R12763" t="s">
        <v>42690</v>
      </c>
      <c r="S12763" t="s">
        <v>43574</v>
      </c>
      <c r="T12763" t="s">
        <v>44387</v>
      </c>
      <c r="U12763" t="s">
        <v>55201</v>
      </c>
      <c r="W12763" t="s">
        <v>40254</v>
      </c>
      <c r="X12763" t="s">
        <v>42691</v>
      </c>
    </row>
    <row r="12764" spans="1:24">
      <c r="A12764">
        <f>HYPERLINK("https://www.philgeps.gov.ph/GEPSNONPILOT/Tender/SplashBidNoticeAbstractUI.aspx?menuIndex=3&amp;refID=7157527&amp;Result=3","7157527")</f>
        <v>0</v>
      </c>
      <c r="B12764" t="s">
        <v>808</v>
      </c>
      <c r="C12764" t="s">
        <v>15738</v>
      </c>
      <c r="E12764" t="s">
        <v>28100</v>
      </c>
      <c r="F12764" t="s">
        <v>29372</v>
      </c>
      <c r="G12764" t="s">
        <v>29384</v>
      </c>
      <c r="H12764" t="s">
        <v>11048</v>
      </c>
      <c r="I12764" t="s">
        <v>29404</v>
      </c>
      <c r="J12764" t="s">
        <v>37583</v>
      </c>
      <c r="K12764" t="s">
        <v>38485</v>
      </c>
      <c r="M12764" t="s">
        <v>39594</v>
      </c>
      <c r="N12764" t="s">
        <v>42669</v>
      </c>
      <c r="O12764" t="s">
        <v>42670</v>
      </c>
      <c r="P12764">
        <v>0</v>
      </c>
      <c r="Q12764">
        <v>0</v>
      </c>
      <c r="R12764" t="s">
        <v>42690</v>
      </c>
      <c r="S12764" t="s">
        <v>43574</v>
      </c>
      <c r="T12764" t="s">
        <v>44401</v>
      </c>
      <c r="U12764" t="s">
        <v>55202</v>
      </c>
      <c r="V12764" t="s">
        <v>56976</v>
      </c>
      <c r="W12764" t="s">
        <v>39594</v>
      </c>
      <c r="X12764" t="s">
        <v>42691</v>
      </c>
    </row>
    <row r="12765" spans="1:24">
      <c r="A12765">
        <f>HYPERLINK("https://www.philgeps.gov.ph/GEPSNONPILOT/Tender/SplashBidNoticeAbstractUI.aspx?menuIndex=3&amp;refID=7157559&amp;Result=3","7157559")</f>
        <v>0</v>
      </c>
      <c r="B12765" t="s">
        <v>3396</v>
      </c>
      <c r="C12765" t="s">
        <v>15739</v>
      </c>
      <c r="D12765" t="s">
        <v>17171</v>
      </c>
      <c r="E12765" t="s">
        <v>28101</v>
      </c>
      <c r="F12765" t="s">
        <v>29372</v>
      </c>
      <c r="G12765" t="s">
        <v>29380</v>
      </c>
      <c r="H12765" t="s">
        <v>11048</v>
      </c>
      <c r="I12765" t="s">
        <v>9469</v>
      </c>
      <c r="J12765" t="s">
        <v>29734</v>
      </c>
      <c r="K12765" t="s">
        <v>38496</v>
      </c>
      <c r="M12765" t="s">
        <v>42493</v>
      </c>
      <c r="N12765" t="s">
        <v>42669</v>
      </c>
      <c r="O12765" t="s">
        <v>42670</v>
      </c>
      <c r="P12765">
        <v>0</v>
      </c>
      <c r="Q12765">
        <v>2</v>
      </c>
      <c r="R12765" t="s">
        <v>42690</v>
      </c>
      <c r="S12765" t="s">
        <v>43574</v>
      </c>
      <c r="T12765" t="s">
        <v>44429</v>
      </c>
      <c r="U12765" t="s">
        <v>55203</v>
      </c>
      <c r="W12765" t="s">
        <v>42493</v>
      </c>
      <c r="X12765" t="s">
        <v>42691</v>
      </c>
    </row>
    <row r="12766" spans="1:24">
      <c r="A12766">
        <f>HYPERLINK("https://www.philgeps.gov.ph/GEPSNONPILOT/Tender/SplashBidNoticeAbstractUI.aspx?menuIndex=3&amp;refID=7157438&amp;Result=3","7157438")</f>
        <v>0</v>
      </c>
      <c r="B12766" t="s">
        <v>3377</v>
      </c>
      <c r="C12766" t="s">
        <v>15740</v>
      </c>
      <c r="D12766" t="s">
        <v>17142</v>
      </c>
      <c r="E12766" t="s">
        <v>28102</v>
      </c>
      <c r="F12766" t="s">
        <v>29372</v>
      </c>
      <c r="G12766" t="s">
        <v>29380</v>
      </c>
      <c r="H12766" t="s">
        <v>29390</v>
      </c>
      <c r="I12766" t="s">
        <v>29416</v>
      </c>
      <c r="J12766" t="s">
        <v>37584</v>
      </c>
      <c r="K12766" t="s">
        <v>38522</v>
      </c>
      <c r="M12766" t="s">
        <v>42472</v>
      </c>
      <c r="N12766" t="s">
        <v>42669</v>
      </c>
      <c r="O12766" t="s">
        <v>42670</v>
      </c>
      <c r="Q12766">
        <v>4</v>
      </c>
      <c r="R12766" t="s">
        <v>42690</v>
      </c>
      <c r="S12766" t="s">
        <v>43677</v>
      </c>
      <c r="T12766" t="s">
        <v>44597</v>
      </c>
      <c r="U12766" t="s">
        <v>55076</v>
      </c>
      <c r="V12766" t="s">
        <v>57817</v>
      </c>
      <c r="W12766" t="s">
        <v>42472</v>
      </c>
      <c r="X12766" t="s">
        <v>42691</v>
      </c>
    </row>
    <row r="12767" spans="1:24">
      <c r="A12767">
        <f>HYPERLINK("https://www.philgeps.gov.ph/GEPSNONPILOT/Tender/SplashBidNoticeAbstractUI.aspx?menuIndex=3&amp;refID=7157847&amp;Result=3","7157847")</f>
        <v>0</v>
      </c>
      <c r="B12767" t="s">
        <v>3397</v>
      </c>
      <c r="C12767" t="s">
        <v>15741</v>
      </c>
      <c r="D12767" t="s">
        <v>17193</v>
      </c>
      <c r="E12767" t="s">
        <v>28103</v>
      </c>
      <c r="F12767" t="s">
        <v>29372</v>
      </c>
      <c r="G12767" t="s">
        <v>29380</v>
      </c>
      <c r="H12767" t="s">
        <v>11048</v>
      </c>
      <c r="I12767" t="s">
        <v>29467</v>
      </c>
      <c r="J12767" t="s">
        <v>37585</v>
      </c>
      <c r="K12767" t="s">
        <v>38487</v>
      </c>
      <c r="M12767" t="s">
        <v>42494</v>
      </c>
      <c r="N12767" t="s">
        <v>42669</v>
      </c>
      <c r="O12767" t="s">
        <v>42670</v>
      </c>
      <c r="Q12767">
        <v>2</v>
      </c>
      <c r="R12767" t="s">
        <v>42690</v>
      </c>
      <c r="S12767" t="s">
        <v>43678</v>
      </c>
      <c r="T12767" t="s">
        <v>44653</v>
      </c>
      <c r="U12767" t="s">
        <v>55204</v>
      </c>
      <c r="V12767" t="s">
        <v>57843</v>
      </c>
      <c r="W12767" t="s">
        <v>42494</v>
      </c>
      <c r="X12767" t="s">
        <v>42691</v>
      </c>
    </row>
    <row r="12768" spans="1:24">
      <c r="A12768">
        <f>HYPERLINK("https://www.philgeps.gov.ph/GEPSNONPILOT/Tender/SplashBidNoticeAbstractUI.aspx?menuIndex=3&amp;refID=7157884&amp;Result=3","7157884")</f>
        <v>0</v>
      </c>
      <c r="B12768" t="s">
        <v>3398</v>
      </c>
      <c r="C12768" t="s">
        <v>15742</v>
      </c>
      <c r="D12768" t="s">
        <v>17168</v>
      </c>
      <c r="E12768" t="s">
        <v>28104</v>
      </c>
      <c r="F12768" t="s">
        <v>29372</v>
      </c>
      <c r="G12768" t="s">
        <v>29380</v>
      </c>
      <c r="H12768" t="s">
        <v>11048</v>
      </c>
      <c r="I12768" t="s">
        <v>9469</v>
      </c>
      <c r="J12768" t="s">
        <v>31110</v>
      </c>
      <c r="K12768" t="s">
        <v>38485</v>
      </c>
      <c r="M12768" t="s">
        <v>42495</v>
      </c>
      <c r="N12768" t="s">
        <v>42669</v>
      </c>
      <c r="O12768" t="s">
        <v>42670</v>
      </c>
      <c r="P12768">
        <v>0</v>
      </c>
      <c r="Q12768">
        <v>2</v>
      </c>
      <c r="R12768" t="s">
        <v>42690</v>
      </c>
      <c r="S12768" t="s">
        <v>43574</v>
      </c>
      <c r="T12768" t="s">
        <v>44385</v>
      </c>
      <c r="U12768" t="s">
        <v>55205</v>
      </c>
      <c r="W12768" t="s">
        <v>42495</v>
      </c>
      <c r="X12768" t="s">
        <v>42691</v>
      </c>
    </row>
    <row r="12769" spans="1:24">
      <c r="A12769">
        <f>HYPERLINK("https://www.philgeps.gov.ph/GEPSNONPILOT/Tender/SplashBidNoticeAbstractUI.aspx?menuIndex=3&amp;refID=7157439&amp;Result=3","7157439")</f>
        <v>0</v>
      </c>
      <c r="B12769" t="s">
        <v>1291</v>
      </c>
      <c r="C12769" t="s">
        <v>15743</v>
      </c>
      <c r="D12769" t="s">
        <v>17144</v>
      </c>
      <c r="E12769" t="s">
        <v>28105</v>
      </c>
      <c r="F12769" t="s">
        <v>29372</v>
      </c>
      <c r="G12769" t="s">
        <v>29380</v>
      </c>
      <c r="H12769" t="s">
        <v>29389</v>
      </c>
      <c r="I12769" t="s">
        <v>10408</v>
      </c>
      <c r="J12769" t="s">
        <v>37586</v>
      </c>
      <c r="K12769" t="s">
        <v>38622</v>
      </c>
      <c r="M12769" t="s">
        <v>40120</v>
      </c>
      <c r="N12769" t="s">
        <v>42669</v>
      </c>
      <c r="O12769" t="s">
        <v>42670</v>
      </c>
      <c r="Q12769">
        <v>6</v>
      </c>
      <c r="R12769" t="s">
        <v>42690</v>
      </c>
      <c r="S12769" t="s">
        <v>43462</v>
      </c>
      <c r="T12769" t="s">
        <v>44493</v>
      </c>
      <c r="U12769" t="s">
        <v>53967</v>
      </c>
      <c r="W12769" t="s">
        <v>40120</v>
      </c>
      <c r="X12769" t="s">
        <v>42691</v>
      </c>
    </row>
    <row r="12770" spans="1:24">
      <c r="A12770">
        <f>HYPERLINK("https://www.philgeps.gov.ph/GEPSNONPILOT/Tender/SplashBidNoticeAbstractUI.aspx?menuIndex=3&amp;refID=7157883&amp;Result=3","7157883")</f>
        <v>0</v>
      </c>
      <c r="B12770" t="s">
        <v>3399</v>
      </c>
      <c r="C12770" t="s">
        <v>15744</v>
      </c>
      <c r="D12770" t="s">
        <v>17173</v>
      </c>
      <c r="E12770" t="s">
        <v>28106</v>
      </c>
      <c r="F12770" t="s">
        <v>29372</v>
      </c>
      <c r="G12770" t="s">
        <v>29380</v>
      </c>
      <c r="H12770" t="s">
        <v>11048</v>
      </c>
      <c r="I12770" t="s">
        <v>29466</v>
      </c>
      <c r="J12770" t="s">
        <v>30308</v>
      </c>
      <c r="K12770" t="s">
        <v>38488</v>
      </c>
      <c r="M12770" t="s">
        <v>42496</v>
      </c>
      <c r="N12770" t="s">
        <v>42669</v>
      </c>
      <c r="O12770" t="s">
        <v>42670</v>
      </c>
      <c r="P12770">
        <v>0</v>
      </c>
      <c r="Q12770">
        <v>5</v>
      </c>
      <c r="R12770" t="s">
        <v>42690</v>
      </c>
      <c r="S12770" t="s">
        <v>43574</v>
      </c>
      <c r="T12770" t="s">
        <v>44427</v>
      </c>
      <c r="U12770" t="s">
        <v>55206</v>
      </c>
      <c r="W12770" t="s">
        <v>42496</v>
      </c>
      <c r="X12770" t="s">
        <v>42691</v>
      </c>
    </row>
    <row r="12771" spans="1:24">
      <c r="A12771">
        <f>HYPERLINK("https://www.philgeps.gov.ph/GEPSNONPILOT/Tender/SplashBidNoticeAbstractUI.aspx?menuIndex=3&amp;refID=7157649&amp;Result=3","7157649")</f>
        <v>0</v>
      </c>
      <c r="B12771" t="s">
        <v>3397</v>
      </c>
      <c r="C12771" t="s">
        <v>15745</v>
      </c>
      <c r="D12771" t="s">
        <v>17193</v>
      </c>
      <c r="E12771" t="s">
        <v>28107</v>
      </c>
      <c r="F12771" t="s">
        <v>29372</v>
      </c>
      <c r="G12771" t="s">
        <v>29380</v>
      </c>
      <c r="H12771" t="s">
        <v>11048</v>
      </c>
      <c r="I12771" t="s">
        <v>29467</v>
      </c>
      <c r="J12771" t="s">
        <v>29615</v>
      </c>
      <c r="K12771" t="s">
        <v>38487</v>
      </c>
      <c r="M12771" t="s">
        <v>42494</v>
      </c>
      <c r="N12771" t="s">
        <v>42669</v>
      </c>
      <c r="O12771" t="s">
        <v>42670</v>
      </c>
      <c r="Q12771">
        <v>4</v>
      </c>
      <c r="R12771" t="s">
        <v>42690</v>
      </c>
      <c r="S12771" t="s">
        <v>43679</v>
      </c>
      <c r="T12771" t="s">
        <v>44554</v>
      </c>
      <c r="U12771" t="s">
        <v>55207</v>
      </c>
      <c r="V12771" t="s">
        <v>57843</v>
      </c>
      <c r="W12771" t="s">
        <v>42494</v>
      </c>
      <c r="X12771" t="s">
        <v>42691</v>
      </c>
    </row>
    <row r="12772" spans="1:24">
      <c r="A12772">
        <f>HYPERLINK("https://www.philgeps.gov.ph/GEPSNONPILOT/Tender/SplashBidNoticeAbstractUI.aspx?menuIndex=3&amp;refID=7157619&amp;Result=3","7157619")</f>
        <v>0</v>
      </c>
      <c r="B12772" t="s">
        <v>808</v>
      </c>
      <c r="C12772" t="s">
        <v>15746</v>
      </c>
      <c r="E12772" t="s">
        <v>28108</v>
      </c>
      <c r="F12772" t="s">
        <v>29372</v>
      </c>
      <c r="G12772" t="s">
        <v>29384</v>
      </c>
      <c r="H12772" t="s">
        <v>11048</v>
      </c>
      <c r="I12772" t="s">
        <v>8794</v>
      </c>
      <c r="J12772" t="s">
        <v>37587</v>
      </c>
      <c r="K12772" t="s">
        <v>38485</v>
      </c>
      <c r="M12772" t="s">
        <v>39594</v>
      </c>
      <c r="N12772" t="s">
        <v>42669</v>
      </c>
      <c r="O12772" t="s">
        <v>42670</v>
      </c>
      <c r="P12772">
        <v>0</v>
      </c>
      <c r="Q12772">
        <v>0</v>
      </c>
      <c r="R12772" t="s">
        <v>42690</v>
      </c>
      <c r="S12772" t="s">
        <v>43574</v>
      </c>
      <c r="T12772" t="s">
        <v>44401</v>
      </c>
      <c r="U12772" t="s">
        <v>55208</v>
      </c>
      <c r="V12772" t="s">
        <v>45838</v>
      </c>
      <c r="W12772" t="s">
        <v>39594</v>
      </c>
      <c r="X12772" t="s">
        <v>42691</v>
      </c>
    </row>
    <row r="12773" spans="1:24">
      <c r="A12773">
        <f>HYPERLINK("https://www.philgeps.gov.ph/GEPSNONPILOT/Tender/SplashBidNoticeAbstractUI.aspx?menuIndex=3&amp;refID=7157828&amp;Result=3","7157828")</f>
        <v>0</v>
      </c>
      <c r="B12773" t="s">
        <v>2463</v>
      </c>
      <c r="C12773" t="s">
        <v>15747</v>
      </c>
      <c r="D12773" t="s">
        <v>17141</v>
      </c>
      <c r="E12773" t="s">
        <v>28109</v>
      </c>
      <c r="F12773" t="s">
        <v>29372</v>
      </c>
      <c r="G12773" t="s">
        <v>29380</v>
      </c>
      <c r="H12773" t="s">
        <v>11048</v>
      </c>
      <c r="I12773" t="s">
        <v>9469</v>
      </c>
      <c r="J12773" t="s">
        <v>37588</v>
      </c>
      <c r="K12773" t="s">
        <v>38490</v>
      </c>
      <c r="M12773" t="s">
        <v>41411</v>
      </c>
      <c r="N12773" t="s">
        <v>42669</v>
      </c>
      <c r="O12773" t="s">
        <v>42670</v>
      </c>
      <c r="P12773">
        <v>0</v>
      </c>
      <c r="Q12773">
        <v>5</v>
      </c>
      <c r="R12773" t="s">
        <v>42690</v>
      </c>
      <c r="S12773" t="s">
        <v>43574</v>
      </c>
      <c r="T12773" t="s">
        <v>44512</v>
      </c>
      <c r="U12773" t="s">
        <v>55209</v>
      </c>
      <c r="W12773" t="s">
        <v>41411</v>
      </c>
      <c r="X12773" t="s">
        <v>42691</v>
      </c>
    </row>
    <row r="12774" spans="1:24">
      <c r="A12774">
        <f>HYPERLINK("https://www.philgeps.gov.ph/GEPSNONPILOT/Tender/SplashBidNoticeAbstractUI.aspx?menuIndex=3&amp;refID=7157524&amp;Result=3","7157524")</f>
        <v>0</v>
      </c>
      <c r="B12774" t="s">
        <v>1415</v>
      </c>
      <c r="C12774" t="s">
        <v>15748</v>
      </c>
      <c r="D12774" t="s">
        <v>17147</v>
      </c>
      <c r="E12774" t="s">
        <v>28110</v>
      </c>
      <c r="F12774" t="s">
        <v>29372</v>
      </c>
      <c r="G12774" t="s">
        <v>29380</v>
      </c>
      <c r="H12774" t="s">
        <v>29389</v>
      </c>
      <c r="I12774" t="s">
        <v>10408</v>
      </c>
      <c r="J12774" t="s">
        <v>37589</v>
      </c>
      <c r="K12774" t="s">
        <v>38503</v>
      </c>
      <c r="M12774" t="s">
        <v>40254</v>
      </c>
      <c r="N12774" t="s">
        <v>42669</v>
      </c>
      <c r="O12774" t="s">
        <v>42670</v>
      </c>
      <c r="P12774">
        <v>0</v>
      </c>
      <c r="Q12774">
        <v>0</v>
      </c>
      <c r="R12774" t="s">
        <v>42690</v>
      </c>
      <c r="S12774" t="s">
        <v>43574</v>
      </c>
      <c r="T12774" t="s">
        <v>44387</v>
      </c>
      <c r="U12774" t="s">
        <v>55210</v>
      </c>
      <c r="W12774" t="s">
        <v>40254</v>
      </c>
      <c r="X12774" t="s">
        <v>42691</v>
      </c>
    </row>
    <row r="12775" spans="1:24">
      <c r="A12775">
        <f>HYPERLINK("https://www.philgeps.gov.ph/GEPSNONPILOT/Tender/SplashBidNoticeAbstractUI.aspx?menuIndex=3&amp;refID=7157882&amp;Result=3","7157882")</f>
        <v>0</v>
      </c>
      <c r="B12775" t="s">
        <v>1479</v>
      </c>
      <c r="C12775" t="s">
        <v>15749</v>
      </c>
      <c r="D12775" t="s">
        <v>17156</v>
      </c>
      <c r="E12775" t="s">
        <v>28111</v>
      </c>
      <c r="F12775" t="s">
        <v>29372</v>
      </c>
      <c r="G12775" t="s">
        <v>29380</v>
      </c>
      <c r="H12775" t="s">
        <v>11048</v>
      </c>
      <c r="I12775" t="s">
        <v>9469</v>
      </c>
      <c r="J12775" t="s">
        <v>30012</v>
      </c>
      <c r="K12775" t="s">
        <v>38487</v>
      </c>
      <c r="M12775" t="s">
        <v>40322</v>
      </c>
      <c r="N12775" t="s">
        <v>42669</v>
      </c>
      <c r="O12775" t="s">
        <v>42670</v>
      </c>
      <c r="P12775">
        <v>0</v>
      </c>
      <c r="Q12775">
        <v>7</v>
      </c>
      <c r="R12775" t="s">
        <v>42690</v>
      </c>
      <c r="S12775" t="s">
        <v>43574</v>
      </c>
      <c r="T12775" t="s">
        <v>44441</v>
      </c>
      <c r="U12775" t="s">
        <v>55211</v>
      </c>
      <c r="V12775" t="s">
        <v>56771</v>
      </c>
      <c r="W12775" t="s">
        <v>40322</v>
      </c>
      <c r="X12775" t="s">
        <v>42691</v>
      </c>
    </row>
    <row r="12776" spans="1:24">
      <c r="A12776">
        <f>HYPERLINK("https://www.philgeps.gov.ph/GEPSNONPILOT/Tender/SplashBidNoticeAbstractUI.aspx?menuIndex=3&amp;refID=7157867&amp;Result=3","7157867")</f>
        <v>0</v>
      </c>
      <c r="B12776" t="s">
        <v>51</v>
      </c>
      <c r="C12776" t="s">
        <v>15750</v>
      </c>
      <c r="D12776" t="s">
        <v>17151</v>
      </c>
      <c r="E12776" t="s">
        <v>28112</v>
      </c>
      <c r="F12776" t="s">
        <v>29372</v>
      </c>
      <c r="G12776" t="s">
        <v>29380</v>
      </c>
      <c r="H12776" t="s">
        <v>11048</v>
      </c>
      <c r="I12776" t="s">
        <v>3670</v>
      </c>
      <c r="J12776" t="s">
        <v>37590</v>
      </c>
      <c r="K12776" t="s">
        <v>38496</v>
      </c>
      <c r="M12776" t="s">
        <v>38804</v>
      </c>
      <c r="N12776" t="s">
        <v>42669</v>
      </c>
      <c r="O12776" t="s">
        <v>42670</v>
      </c>
      <c r="P12776">
        <v>0</v>
      </c>
      <c r="Q12776">
        <v>8</v>
      </c>
      <c r="R12776" t="s">
        <v>42690</v>
      </c>
      <c r="S12776" t="s">
        <v>43574</v>
      </c>
      <c r="T12776" t="s">
        <v>44429</v>
      </c>
      <c r="U12776" t="s">
        <v>55212</v>
      </c>
      <c r="W12776" t="s">
        <v>38804</v>
      </c>
      <c r="X12776" t="s">
        <v>42691</v>
      </c>
    </row>
    <row r="12777" spans="1:24">
      <c r="A12777">
        <f>HYPERLINK("https://www.philgeps.gov.ph/GEPSNONPILOT/Tender/SplashBidNoticeAbstractUI.aspx?menuIndex=3&amp;refID=7157863&amp;Result=3","7157863")</f>
        <v>0</v>
      </c>
      <c r="B12777" t="s">
        <v>2463</v>
      </c>
      <c r="C12777" t="s">
        <v>15751</v>
      </c>
      <c r="D12777" t="s">
        <v>17141</v>
      </c>
      <c r="E12777" t="s">
        <v>28113</v>
      </c>
      <c r="F12777" t="s">
        <v>29372</v>
      </c>
      <c r="G12777" t="s">
        <v>29380</v>
      </c>
      <c r="H12777" t="s">
        <v>29389</v>
      </c>
      <c r="I12777" t="s">
        <v>10408</v>
      </c>
      <c r="J12777" t="s">
        <v>37591</v>
      </c>
      <c r="K12777" t="s">
        <v>38490</v>
      </c>
      <c r="M12777" t="s">
        <v>41411</v>
      </c>
      <c r="N12777" t="s">
        <v>42669</v>
      </c>
      <c r="O12777" t="s">
        <v>42670</v>
      </c>
      <c r="P12777">
        <v>0</v>
      </c>
      <c r="Q12777">
        <v>5</v>
      </c>
      <c r="R12777" t="s">
        <v>42690</v>
      </c>
      <c r="S12777" t="s">
        <v>43574</v>
      </c>
      <c r="T12777" t="s">
        <v>44512</v>
      </c>
      <c r="U12777" t="s">
        <v>55213</v>
      </c>
      <c r="W12777" t="s">
        <v>41411</v>
      </c>
      <c r="X12777" t="s">
        <v>42691</v>
      </c>
    </row>
    <row r="12778" spans="1:24">
      <c r="A12778">
        <f>HYPERLINK("https://www.philgeps.gov.ph/GEPSNONPILOT/Tender/SplashBidNoticeAbstractUI.aspx?menuIndex=3&amp;refID=7157808&amp;Result=3","7157808")</f>
        <v>0</v>
      </c>
      <c r="B12778" t="s">
        <v>582</v>
      </c>
      <c r="C12778" t="s">
        <v>15752</v>
      </c>
      <c r="D12778" t="s">
        <v>17145</v>
      </c>
      <c r="E12778" t="s">
        <v>28114</v>
      </c>
      <c r="F12778" t="s">
        <v>29372</v>
      </c>
      <c r="G12778" t="s">
        <v>29380</v>
      </c>
      <c r="H12778" t="s">
        <v>11048</v>
      </c>
      <c r="I12778" t="s">
        <v>4709</v>
      </c>
      <c r="J12778" t="s">
        <v>29543</v>
      </c>
      <c r="K12778" t="s">
        <v>38488</v>
      </c>
      <c r="M12778" t="s">
        <v>39351</v>
      </c>
      <c r="N12778" t="s">
        <v>42669</v>
      </c>
      <c r="O12778" t="s">
        <v>42670</v>
      </c>
      <c r="Q12778">
        <v>3</v>
      </c>
      <c r="R12778" t="s">
        <v>42690</v>
      </c>
      <c r="S12778" t="s">
        <v>43680</v>
      </c>
      <c r="T12778" t="s">
        <v>44387</v>
      </c>
      <c r="U12778" t="s">
        <v>46095</v>
      </c>
      <c r="W12778" t="s">
        <v>39351</v>
      </c>
      <c r="X12778" t="s">
        <v>42691</v>
      </c>
    </row>
    <row r="12779" spans="1:24">
      <c r="A12779">
        <f>HYPERLINK("https://www.philgeps.gov.ph/GEPSNONPILOT/Tender/SplashBidNoticeAbstractUI.aspx?menuIndex=3&amp;refID=7157795&amp;Result=3","7157795")</f>
        <v>0</v>
      </c>
      <c r="B12779" t="s">
        <v>3377</v>
      </c>
      <c r="C12779" t="s">
        <v>15753</v>
      </c>
      <c r="D12779" t="s">
        <v>17142</v>
      </c>
      <c r="E12779" t="s">
        <v>28115</v>
      </c>
      <c r="F12779" t="s">
        <v>29372</v>
      </c>
      <c r="G12779" t="s">
        <v>29380</v>
      </c>
      <c r="H12779" t="s">
        <v>29390</v>
      </c>
      <c r="I12779" t="s">
        <v>29416</v>
      </c>
      <c r="J12779" t="s">
        <v>37592</v>
      </c>
      <c r="K12779" t="s">
        <v>38526</v>
      </c>
      <c r="M12779" t="s">
        <v>42472</v>
      </c>
      <c r="N12779" t="s">
        <v>42669</v>
      </c>
      <c r="O12779" t="s">
        <v>42670</v>
      </c>
      <c r="Q12779">
        <v>4</v>
      </c>
      <c r="R12779" t="s">
        <v>42690</v>
      </c>
      <c r="S12779" t="s">
        <v>43681</v>
      </c>
      <c r="T12779" t="s">
        <v>44597</v>
      </c>
      <c r="U12779" t="s">
        <v>55076</v>
      </c>
      <c r="V12779" t="s">
        <v>57814</v>
      </c>
      <c r="W12779" t="s">
        <v>42472</v>
      </c>
      <c r="X12779" t="s">
        <v>42691</v>
      </c>
    </row>
    <row r="12780" spans="1:24">
      <c r="A12780">
        <f>HYPERLINK("https://www.philgeps.gov.ph/GEPSNONPILOT/Tender/SplashBidNoticeAbstractUI.aspx?menuIndex=3&amp;refID=7157774&amp;Result=3","7157774")</f>
        <v>0</v>
      </c>
      <c r="B12780" t="s">
        <v>582</v>
      </c>
      <c r="C12780" t="s">
        <v>15754</v>
      </c>
      <c r="D12780" t="s">
        <v>17145</v>
      </c>
      <c r="E12780" t="s">
        <v>28116</v>
      </c>
      <c r="F12780" t="s">
        <v>29372</v>
      </c>
      <c r="G12780" t="s">
        <v>29380</v>
      </c>
      <c r="H12780" t="s">
        <v>11048</v>
      </c>
      <c r="I12780" t="s">
        <v>4709</v>
      </c>
      <c r="J12780" t="s">
        <v>35375</v>
      </c>
      <c r="K12780" t="s">
        <v>38488</v>
      </c>
      <c r="M12780" t="s">
        <v>39351</v>
      </c>
      <c r="N12780" t="s">
        <v>42669</v>
      </c>
      <c r="O12780" t="s">
        <v>42670</v>
      </c>
      <c r="P12780">
        <v>0</v>
      </c>
      <c r="Q12780">
        <v>2</v>
      </c>
      <c r="R12780" t="s">
        <v>42690</v>
      </c>
      <c r="S12780" t="s">
        <v>43574</v>
      </c>
      <c r="T12780" t="s">
        <v>44387</v>
      </c>
      <c r="U12780" t="s">
        <v>46095</v>
      </c>
      <c r="W12780" t="s">
        <v>39351</v>
      </c>
      <c r="X12780" t="s">
        <v>42691</v>
      </c>
    </row>
    <row r="12781" spans="1:24">
      <c r="A12781">
        <f>HYPERLINK("https://www.philgeps.gov.ph/GEPSNONPILOT/Tender/SplashBidNoticeAbstractUI.aspx?menuIndex=3&amp;refID=7157745&amp;Result=3","7157745")</f>
        <v>0</v>
      </c>
      <c r="B12781" t="s">
        <v>2968</v>
      </c>
      <c r="C12781" t="s">
        <v>15755</v>
      </c>
      <c r="D12781" t="s">
        <v>17176</v>
      </c>
      <c r="E12781" t="s">
        <v>28117</v>
      </c>
      <c r="F12781" t="s">
        <v>29372</v>
      </c>
      <c r="G12781" t="s">
        <v>29380</v>
      </c>
      <c r="H12781" t="s">
        <v>29389</v>
      </c>
      <c r="I12781" t="s">
        <v>10408</v>
      </c>
      <c r="J12781" t="s">
        <v>30056</v>
      </c>
      <c r="K12781" t="s">
        <v>38533</v>
      </c>
      <c r="M12781" t="s">
        <v>41979</v>
      </c>
      <c r="N12781" t="s">
        <v>42669</v>
      </c>
      <c r="O12781" t="s">
        <v>42670</v>
      </c>
      <c r="Q12781">
        <v>0</v>
      </c>
      <c r="R12781" t="s">
        <v>42690</v>
      </c>
      <c r="S12781" t="s">
        <v>43682</v>
      </c>
      <c r="T12781" t="s">
        <v>44481</v>
      </c>
      <c r="U12781" t="s">
        <v>55214</v>
      </c>
      <c r="W12781" t="s">
        <v>41979</v>
      </c>
      <c r="X12781" t="s">
        <v>42691</v>
      </c>
    </row>
    <row r="12782" spans="1:24">
      <c r="A12782">
        <f>HYPERLINK("https://www.philgeps.gov.ph/GEPSNONPILOT/Tender/SplashBidNoticeAbstractUI.aspx?menuIndex=3&amp;refID=7157727&amp;Result=3","7157727")</f>
        <v>0</v>
      </c>
      <c r="B12782" t="s">
        <v>1415</v>
      </c>
      <c r="C12782" t="s">
        <v>15756</v>
      </c>
      <c r="D12782" t="s">
        <v>17147</v>
      </c>
      <c r="E12782" t="s">
        <v>28118</v>
      </c>
      <c r="F12782" t="s">
        <v>29372</v>
      </c>
      <c r="G12782" t="s">
        <v>29380</v>
      </c>
      <c r="H12782" t="s">
        <v>11048</v>
      </c>
      <c r="I12782" t="s">
        <v>29448</v>
      </c>
      <c r="J12782" t="s">
        <v>29822</v>
      </c>
      <c r="K12782" t="s">
        <v>38521</v>
      </c>
      <c r="M12782" t="s">
        <v>40254</v>
      </c>
      <c r="N12782" t="s">
        <v>42669</v>
      </c>
      <c r="O12782" t="s">
        <v>42670</v>
      </c>
      <c r="P12782">
        <v>0</v>
      </c>
      <c r="Q12782">
        <v>3</v>
      </c>
      <c r="R12782" t="s">
        <v>42690</v>
      </c>
      <c r="S12782" t="s">
        <v>43574</v>
      </c>
      <c r="T12782" t="s">
        <v>44387</v>
      </c>
      <c r="U12782" t="s">
        <v>55215</v>
      </c>
      <c r="W12782" t="s">
        <v>40254</v>
      </c>
      <c r="X12782" t="s">
        <v>42691</v>
      </c>
    </row>
    <row r="12783" spans="1:24">
      <c r="A12783">
        <f>HYPERLINK("https://www.philgeps.gov.ph/GEPSNONPILOT/Tender/SplashBidNoticeAbstractUI.aspx?menuIndex=3&amp;refID=7157885&amp;Result=3","7157885")</f>
        <v>0</v>
      </c>
      <c r="B12783" t="s">
        <v>3377</v>
      </c>
      <c r="C12783" t="s">
        <v>15757</v>
      </c>
      <c r="D12783" t="s">
        <v>17142</v>
      </c>
      <c r="E12783" t="s">
        <v>28119</v>
      </c>
      <c r="F12783" t="s">
        <v>29372</v>
      </c>
      <c r="G12783" t="s">
        <v>29380</v>
      </c>
      <c r="H12783" t="s">
        <v>29390</v>
      </c>
      <c r="I12783" t="s">
        <v>29416</v>
      </c>
      <c r="J12783" t="s">
        <v>37593</v>
      </c>
      <c r="K12783" t="s">
        <v>38496</v>
      </c>
      <c r="M12783" t="s">
        <v>42472</v>
      </c>
      <c r="N12783" t="s">
        <v>42669</v>
      </c>
      <c r="O12783" t="s">
        <v>42670</v>
      </c>
      <c r="Q12783">
        <v>6</v>
      </c>
      <c r="R12783" t="s">
        <v>42690</v>
      </c>
      <c r="S12783" t="s">
        <v>43683</v>
      </c>
      <c r="T12783" t="s">
        <v>44597</v>
      </c>
      <c r="U12783" t="s">
        <v>55076</v>
      </c>
      <c r="V12783" t="s">
        <v>57820</v>
      </c>
      <c r="W12783" t="s">
        <v>42472</v>
      </c>
      <c r="X12783" t="s">
        <v>42691</v>
      </c>
    </row>
    <row r="12784" spans="1:24">
      <c r="A12784">
        <f>HYPERLINK("https://www.philgeps.gov.ph/GEPSNONPILOT/Tender/SplashBidNoticeAbstractUI.aspx?menuIndex=3&amp;refID=7157716&amp;Result=3","7157716")</f>
        <v>0</v>
      </c>
      <c r="B12784" t="s">
        <v>2463</v>
      </c>
      <c r="C12784" t="s">
        <v>15758</v>
      </c>
      <c r="D12784" t="s">
        <v>17141</v>
      </c>
      <c r="E12784" t="s">
        <v>28120</v>
      </c>
      <c r="F12784" t="s">
        <v>29372</v>
      </c>
      <c r="G12784" t="s">
        <v>29380</v>
      </c>
      <c r="H12784" t="s">
        <v>11048</v>
      </c>
      <c r="I12784" t="s">
        <v>3695</v>
      </c>
      <c r="J12784" t="s">
        <v>37594</v>
      </c>
      <c r="K12784" t="s">
        <v>38490</v>
      </c>
      <c r="M12784" t="s">
        <v>41411</v>
      </c>
      <c r="N12784" t="s">
        <v>42669</v>
      </c>
      <c r="O12784" t="s">
        <v>42670</v>
      </c>
      <c r="P12784">
        <v>0</v>
      </c>
      <c r="Q12784">
        <v>4</v>
      </c>
      <c r="R12784" t="s">
        <v>42690</v>
      </c>
      <c r="S12784" t="s">
        <v>43574</v>
      </c>
      <c r="T12784" t="s">
        <v>44512</v>
      </c>
      <c r="U12784" t="s">
        <v>55216</v>
      </c>
      <c r="W12784" t="s">
        <v>41411</v>
      </c>
      <c r="X12784" t="s">
        <v>42691</v>
      </c>
    </row>
    <row r="12785" spans="1:24">
      <c r="A12785">
        <f>HYPERLINK("https://www.philgeps.gov.ph/GEPSNONPILOT/Tender/SplashBidNoticeAbstractUI.aspx?menuIndex=3&amp;refID=7157798&amp;Result=3","7157798")</f>
        <v>0</v>
      </c>
      <c r="B12785" t="s">
        <v>3398</v>
      </c>
      <c r="C12785" t="s">
        <v>15759</v>
      </c>
      <c r="D12785" t="s">
        <v>17168</v>
      </c>
      <c r="E12785" t="s">
        <v>28121</v>
      </c>
      <c r="F12785" t="s">
        <v>29372</v>
      </c>
      <c r="G12785" t="s">
        <v>29380</v>
      </c>
      <c r="H12785" t="s">
        <v>11048</v>
      </c>
      <c r="I12785" t="s">
        <v>29461</v>
      </c>
      <c r="J12785" t="s">
        <v>30244</v>
      </c>
      <c r="K12785" t="s">
        <v>38603</v>
      </c>
      <c r="M12785" t="s">
        <v>42495</v>
      </c>
      <c r="N12785" t="s">
        <v>42669</v>
      </c>
      <c r="O12785" t="s">
        <v>42670</v>
      </c>
      <c r="P12785">
        <v>0</v>
      </c>
      <c r="Q12785">
        <v>2</v>
      </c>
      <c r="R12785" t="s">
        <v>42690</v>
      </c>
      <c r="S12785" t="s">
        <v>43574</v>
      </c>
      <c r="T12785" t="s">
        <v>44629</v>
      </c>
      <c r="U12785" t="s">
        <v>55217</v>
      </c>
      <c r="W12785" t="s">
        <v>42495</v>
      </c>
      <c r="X12785" t="s">
        <v>42691</v>
      </c>
    </row>
    <row r="12786" spans="1:24">
      <c r="A12786">
        <f>HYPERLINK("https://www.philgeps.gov.ph/GEPSNONPILOT/Tender/SplashBidNoticeAbstractUI.aspx?menuIndex=3&amp;refID=7157434&amp;Result=3","7157434")</f>
        <v>0</v>
      </c>
      <c r="B12786" t="s">
        <v>1529</v>
      </c>
      <c r="C12786" t="s">
        <v>15760</v>
      </c>
      <c r="D12786" t="s">
        <v>17162</v>
      </c>
      <c r="E12786" t="s">
        <v>28122</v>
      </c>
      <c r="F12786" t="s">
        <v>29372</v>
      </c>
      <c r="G12786" t="s">
        <v>29380</v>
      </c>
      <c r="H12786" t="s">
        <v>11048</v>
      </c>
      <c r="I12786" t="s">
        <v>4709</v>
      </c>
      <c r="J12786" t="s">
        <v>37595</v>
      </c>
      <c r="K12786" t="s">
        <v>38490</v>
      </c>
      <c r="M12786" t="s">
        <v>40378</v>
      </c>
      <c r="N12786" t="s">
        <v>42669</v>
      </c>
      <c r="O12786" t="s">
        <v>42670</v>
      </c>
      <c r="P12786">
        <v>0</v>
      </c>
      <c r="Q12786">
        <v>7</v>
      </c>
      <c r="R12786" t="s">
        <v>42690</v>
      </c>
      <c r="S12786" t="s">
        <v>43574</v>
      </c>
      <c r="T12786" t="s">
        <v>44481</v>
      </c>
      <c r="U12786" t="s">
        <v>46442</v>
      </c>
      <c r="W12786" t="s">
        <v>40378</v>
      </c>
      <c r="X12786" t="s">
        <v>42691</v>
      </c>
    </row>
    <row r="12787" spans="1:24">
      <c r="A12787">
        <f>HYPERLINK("https://www.philgeps.gov.ph/GEPSNONPILOT/Tender/SplashBidNoticeAbstractUI.aspx?menuIndex=3&amp;refID=7157824&amp;Result=3","7157824")</f>
        <v>0</v>
      </c>
      <c r="B12787" t="s">
        <v>413</v>
      </c>
      <c r="C12787" t="s">
        <v>15761</v>
      </c>
      <c r="D12787" t="s">
        <v>17214</v>
      </c>
      <c r="E12787" t="s">
        <v>28123</v>
      </c>
      <c r="F12787" t="s">
        <v>29372</v>
      </c>
      <c r="G12787" t="s">
        <v>29380</v>
      </c>
      <c r="H12787" t="s">
        <v>11048</v>
      </c>
      <c r="I12787" t="s">
        <v>29425</v>
      </c>
      <c r="J12787" t="s">
        <v>37596</v>
      </c>
      <c r="K12787" t="s">
        <v>38496</v>
      </c>
      <c r="M12787" t="s">
        <v>39177</v>
      </c>
      <c r="N12787" t="s">
        <v>42669</v>
      </c>
      <c r="O12787" t="s">
        <v>42670</v>
      </c>
      <c r="Q12787">
        <v>5</v>
      </c>
      <c r="R12787" t="s">
        <v>42690</v>
      </c>
      <c r="S12787" t="s">
        <v>43684</v>
      </c>
      <c r="T12787" t="s">
        <v>44554</v>
      </c>
      <c r="U12787" t="s">
        <v>55122</v>
      </c>
      <c r="V12787" t="s">
        <v>57844</v>
      </c>
      <c r="W12787" t="s">
        <v>39177</v>
      </c>
      <c r="X12787" t="s">
        <v>42691</v>
      </c>
    </row>
    <row r="12788" spans="1:24">
      <c r="A12788">
        <f>HYPERLINK("https://www.philgeps.gov.ph/GEPSNONPILOT/Tender/SplashBidNoticeAbstractUI.aspx?menuIndex=3&amp;refID=7157419&amp;Result=3","7157419")</f>
        <v>0</v>
      </c>
      <c r="B12788" t="s">
        <v>2796</v>
      </c>
      <c r="C12788" t="s">
        <v>15762</v>
      </c>
      <c r="D12788" t="s">
        <v>17151</v>
      </c>
      <c r="E12788" t="s">
        <v>28124</v>
      </c>
      <c r="F12788" t="s">
        <v>29372</v>
      </c>
      <c r="G12788" t="s">
        <v>29380</v>
      </c>
      <c r="H12788" t="s">
        <v>11048</v>
      </c>
      <c r="I12788" t="s">
        <v>29397</v>
      </c>
      <c r="J12788" t="s">
        <v>37597</v>
      </c>
      <c r="K12788" t="s">
        <v>38488</v>
      </c>
      <c r="M12788" t="s">
        <v>41784</v>
      </c>
      <c r="N12788" t="s">
        <v>42669</v>
      </c>
      <c r="O12788" t="s">
        <v>42670</v>
      </c>
      <c r="Q12788">
        <v>4</v>
      </c>
      <c r="R12788" t="s">
        <v>42690</v>
      </c>
      <c r="S12788" t="s">
        <v>43685</v>
      </c>
      <c r="T12788" t="s">
        <v>44491</v>
      </c>
      <c r="U12788" t="s">
        <v>55218</v>
      </c>
      <c r="W12788" t="s">
        <v>41784</v>
      </c>
      <c r="X12788" t="s">
        <v>42691</v>
      </c>
    </row>
    <row r="12789" spans="1:24">
      <c r="A12789">
        <f>HYPERLINK("https://www.philgeps.gov.ph/GEPSNONPILOT/Tender/SplashBidNoticeAbstractUI.aspx?menuIndex=3&amp;refID=7157773&amp;Result=3","7157773")</f>
        <v>0</v>
      </c>
      <c r="B12789" t="s">
        <v>413</v>
      </c>
      <c r="C12789" t="s">
        <v>15763</v>
      </c>
      <c r="D12789" t="s">
        <v>17214</v>
      </c>
      <c r="E12789" t="s">
        <v>28125</v>
      </c>
      <c r="F12789" t="s">
        <v>29372</v>
      </c>
      <c r="G12789" t="s">
        <v>29380</v>
      </c>
      <c r="H12789" t="s">
        <v>11048</v>
      </c>
      <c r="I12789" t="s">
        <v>29425</v>
      </c>
      <c r="J12789" t="s">
        <v>37598</v>
      </c>
      <c r="K12789" t="s">
        <v>38495</v>
      </c>
      <c r="M12789" t="s">
        <v>39177</v>
      </c>
      <c r="N12789" t="s">
        <v>42669</v>
      </c>
      <c r="O12789" t="s">
        <v>42670</v>
      </c>
      <c r="Q12789">
        <v>5</v>
      </c>
      <c r="R12789" t="s">
        <v>42690</v>
      </c>
      <c r="S12789" t="s">
        <v>43686</v>
      </c>
      <c r="T12789" t="s">
        <v>44554</v>
      </c>
      <c r="U12789" t="s">
        <v>55122</v>
      </c>
      <c r="V12789" t="s">
        <v>56550</v>
      </c>
      <c r="W12789" t="s">
        <v>39177</v>
      </c>
      <c r="X12789" t="s">
        <v>42691</v>
      </c>
    </row>
    <row r="12790" spans="1:24">
      <c r="A12790">
        <f>HYPERLINK("https://www.philgeps.gov.ph/GEPSNONPILOT/Tender/SplashBidNoticeAbstractUI.aspx?menuIndex=3&amp;refID=7157892&amp;Result=3","7157892")</f>
        <v>0</v>
      </c>
      <c r="B12790" t="s">
        <v>453</v>
      </c>
      <c r="C12790" t="s">
        <v>15764</v>
      </c>
      <c r="D12790" t="s">
        <v>17173</v>
      </c>
      <c r="E12790" t="s">
        <v>28126</v>
      </c>
      <c r="F12790" t="s">
        <v>29372</v>
      </c>
      <c r="G12790" t="s">
        <v>29380</v>
      </c>
      <c r="H12790" t="s">
        <v>11048</v>
      </c>
      <c r="I12790" t="s">
        <v>9469</v>
      </c>
      <c r="J12790" t="s">
        <v>29789</v>
      </c>
      <c r="K12790" t="s">
        <v>38485</v>
      </c>
      <c r="M12790" t="s">
        <v>39217</v>
      </c>
      <c r="N12790" t="s">
        <v>42669</v>
      </c>
      <c r="O12790" t="s">
        <v>42670</v>
      </c>
      <c r="P12790">
        <v>0</v>
      </c>
      <c r="Q12790">
        <v>6</v>
      </c>
      <c r="R12790" t="s">
        <v>42690</v>
      </c>
      <c r="S12790" t="s">
        <v>43574</v>
      </c>
      <c r="T12790" t="s">
        <v>44425</v>
      </c>
      <c r="U12790" t="s">
        <v>55219</v>
      </c>
      <c r="W12790" t="s">
        <v>39217</v>
      </c>
      <c r="X12790" t="s">
        <v>42691</v>
      </c>
    </row>
    <row r="12791" spans="1:24">
      <c r="A12791">
        <f>HYPERLINK("https://www.philgeps.gov.ph/GEPSNONPILOT/Tender/SplashBidNoticeAbstractUI.aspx?menuIndex=3&amp;refID=7157707&amp;Result=3","7157707")</f>
        <v>0</v>
      </c>
      <c r="B12791" t="s">
        <v>2626</v>
      </c>
      <c r="C12791" t="s">
        <v>15765</v>
      </c>
      <c r="D12791" t="s">
        <v>17202</v>
      </c>
      <c r="E12791" t="s">
        <v>28127</v>
      </c>
      <c r="F12791" t="s">
        <v>29372</v>
      </c>
      <c r="G12791" t="s">
        <v>29380</v>
      </c>
      <c r="H12791" t="s">
        <v>11048</v>
      </c>
      <c r="I12791" t="s">
        <v>29436</v>
      </c>
      <c r="J12791" t="s">
        <v>30335</v>
      </c>
      <c r="K12791" t="s">
        <v>38496</v>
      </c>
      <c r="M12791" t="s">
        <v>41598</v>
      </c>
      <c r="N12791" t="s">
        <v>42669</v>
      </c>
      <c r="O12791" t="s">
        <v>42670</v>
      </c>
      <c r="P12791">
        <v>0</v>
      </c>
      <c r="Q12791">
        <v>19</v>
      </c>
      <c r="R12791" t="s">
        <v>42690</v>
      </c>
      <c r="S12791" t="s">
        <v>43574</v>
      </c>
      <c r="T12791" t="s">
        <v>44560</v>
      </c>
      <c r="U12791" t="s">
        <v>55220</v>
      </c>
      <c r="V12791" t="s">
        <v>57318</v>
      </c>
      <c r="W12791" t="s">
        <v>41598</v>
      </c>
      <c r="X12791" t="s">
        <v>42691</v>
      </c>
    </row>
    <row r="12792" spans="1:24">
      <c r="A12792">
        <f>HYPERLINK("https://www.philgeps.gov.ph/GEPSNONPILOT/Tender/SplashBidNoticeAbstractUI.aspx?menuIndex=3&amp;refID=7158033&amp;Result=3","7158033")</f>
        <v>0</v>
      </c>
      <c r="B12792" t="s">
        <v>2540</v>
      </c>
      <c r="C12792" t="s">
        <v>15766</v>
      </c>
      <c r="D12792" t="s">
        <v>17141</v>
      </c>
      <c r="E12792" t="s">
        <v>28128</v>
      </c>
      <c r="F12792" t="s">
        <v>29372</v>
      </c>
      <c r="G12792" t="s">
        <v>29380</v>
      </c>
      <c r="H12792" t="s">
        <v>29389</v>
      </c>
      <c r="I12792" t="s">
        <v>29452</v>
      </c>
      <c r="J12792" t="s">
        <v>32469</v>
      </c>
      <c r="K12792" t="s">
        <v>38564</v>
      </c>
      <c r="M12792" t="s">
        <v>41502</v>
      </c>
      <c r="N12792" t="s">
        <v>42669</v>
      </c>
      <c r="O12792" t="s">
        <v>42670</v>
      </c>
      <c r="Q12792">
        <v>9</v>
      </c>
      <c r="R12792" t="s">
        <v>42690</v>
      </c>
      <c r="S12792" t="s">
        <v>43687</v>
      </c>
      <c r="T12792" t="s">
        <v>44446</v>
      </c>
      <c r="U12792" t="s">
        <v>51474</v>
      </c>
      <c r="W12792" t="s">
        <v>41502</v>
      </c>
      <c r="X12792" t="s">
        <v>42691</v>
      </c>
    </row>
    <row r="12793" spans="1:24">
      <c r="A12793">
        <f>HYPERLINK("https://www.philgeps.gov.ph/GEPSNONPILOT/Tender/SplashBidNoticeAbstractUI.aspx?menuIndex=3&amp;refID=7157810&amp;Result=3","7157810")</f>
        <v>0</v>
      </c>
      <c r="B12793" t="s">
        <v>2444</v>
      </c>
      <c r="C12793" t="s">
        <v>15767</v>
      </c>
      <c r="D12793" t="s">
        <v>17205</v>
      </c>
      <c r="E12793" t="s">
        <v>28129</v>
      </c>
      <c r="F12793" t="s">
        <v>29372</v>
      </c>
      <c r="G12793" t="s">
        <v>29380</v>
      </c>
      <c r="H12793" t="s">
        <v>11048</v>
      </c>
      <c r="I12793" t="s">
        <v>29409</v>
      </c>
      <c r="J12793" t="s">
        <v>37599</v>
      </c>
      <c r="K12793" t="s">
        <v>38491</v>
      </c>
      <c r="M12793" t="s">
        <v>41392</v>
      </c>
      <c r="N12793" t="s">
        <v>42669</v>
      </c>
      <c r="O12793" t="s">
        <v>42670</v>
      </c>
      <c r="Q12793">
        <v>12</v>
      </c>
      <c r="R12793" t="s">
        <v>42690</v>
      </c>
      <c r="S12793" t="s">
        <v>43688</v>
      </c>
      <c r="T12793" t="s">
        <v>44401</v>
      </c>
      <c r="U12793" t="s">
        <v>55221</v>
      </c>
      <c r="V12793" t="s">
        <v>57845</v>
      </c>
      <c r="W12793" t="s">
        <v>41392</v>
      </c>
      <c r="X12793" t="s">
        <v>42691</v>
      </c>
    </row>
    <row r="12794" spans="1:24">
      <c r="A12794">
        <f>HYPERLINK("https://www.philgeps.gov.ph/GEPSNONPILOT/Tender/SplashBidNoticeAbstractUI.aspx?menuIndex=3&amp;refID=7157428&amp;Result=3","7157428")</f>
        <v>0</v>
      </c>
      <c r="B12794" t="s">
        <v>3386</v>
      </c>
      <c r="C12794" t="s">
        <v>8714</v>
      </c>
      <c r="D12794" t="s">
        <v>17174</v>
      </c>
      <c r="E12794" t="s">
        <v>28130</v>
      </c>
      <c r="F12794" t="s">
        <v>29372</v>
      </c>
      <c r="G12794" t="s">
        <v>29380</v>
      </c>
      <c r="H12794" t="s">
        <v>11048</v>
      </c>
      <c r="I12794" t="s">
        <v>8614</v>
      </c>
      <c r="J12794" t="s">
        <v>29998</v>
      </c>
      <c r="K12794" t="s">
        <v>38488</v>
      </c>
      <c r="M12794" t="s">
        <v>42482</v>
      </c>
      <c r="N12794" t="s">
        <v>42669</v>
      </c>
      <c r="O12794" t="s">
        <v>42670</v>
      </c>
      <c r="Q12794">
        <v>5</v>
      </c>
      <c r="R12794" t="s">
        <v>42690</v>
      </c>
      <c r="S12794" t="s">
        <v>43689</v>
      </c>
      <c r="T12794" t="s">
        <v>44401</v>
      </c>
      <c r="U12794" t="s">
        <v>55222</v>
      </c>
      <c r="V12794" t="s">
        <v>57838</v>
      </c>
      <c r="W12794" t="s">
        <v>58129</v>
      </c>
      <c r="X12794" t="s">
        <v>42691</v>
      </c>
    </row>
    <row r="12795" spans="1:24">
      <c r="A12795">
        <f>HYPERLINK("https://www.philgeps.gov.ph/GEPSNONPILOT/Tender/SplashBidNoticeAbstractUI.aspx?menuIndex=3&amp;refID=7158031&amp;Result=3","7158031")</f>
        <v>0</v>
      </c>
      <c r="B12795" t="s">
        <v>1472</v>
      </c>
      <c r="C12795" t="s">
        <v>15768</v>
      </c>
      <c r="D12795" t="s">
        <v>17170</v>
      </c>
      <c r="E12795" t="s">
        <v>28131</v>
      </c>
      <c r="F12795" t="s">
        <v>29372</v>
      </c>
      <c r="G12795" t="s">
        <v>29380</v>
      </c>
      <c r="H12795" t="s">
        <v>29389</v>
      </c>
      <c r="I12795" t="s">
        <v>10408</v>
      </c>
      <c r="J12795" t="s">
        <v>29555</v>
      </c>
      <c r="K12795" t="s">
        <v>38518</v>
      </c>
      <c r="M12795" t="s">
        <v>40315</v>
      </c>
      <c r="N12795" t="s">
        <v>42669</v>
      </c>
      <c r="O12795" t="s">
        <v>42670</v>
      </c>
      <c r="P12795">
        <v>0</v>
      </c>
      <c r="Q12795">
        <v>0</v>
      </c>
      <c r="R12795" t="s">
        <v>42690</v>
      </c>
      <c r="S12795" t="s">
        <v>43574</v>
      </c>
      <c r="T12795" t="s">
        <v>44446</v>
      </c>
      <c r="U12795" t="s">
        <v>55223</v>
      </c>
      <c r="W12795" t="s">
        <v>40315</v>
      </c>
      <c r="X12795" t="s">
        <v>42691</v>
      </c>
    </row>
    <row r="12796" spans="1:24">
      <c r="A12796">
        <f>HYPERLINK("https://www.philgeps.gov.ph/GEPSNONPILOT/Tender/SplashBidNoticeAbstractUI.aspx?menuIndex=3&amp;refID=7157980&amp;Result=3","7157980")</f>
        <v>0</v>
      </c>
      <c r="B12796" t="s">
        <v>3400</v>
      </c>
      <c r="C12796" t="s">
        <v>15769</v>
      </c>
      <c r="D12796" t="s">
        <v>17187</v>
      </c>
      <c r="E12796" t="s">
        <v>28132</v>
      </c>
      <c r="F12796" t="s">
        <v>29372</v>
      </c>
      <c r="G12796" t="s">
        <v>29380</v>
      </c>
      <c r="H12796" t="s">
        <v>11048</v>
      </c>
      <c r="I12796" t="s">
        <v>4486</v>
      </c>
      <c r="J12796" t="s">
        <v>37600</v>
      </c>
      <c r="K12796" t="s">
        <v>38495</v>
      </c>
      <c r="M12796" t="s">
        <v>42497</v>
      </c>
      <c r="N12796" t="s">
        <v>42669</v>
      </c>
      <c r="O12796" t="s">
        <v>42670</v>
      </c>
      <c r="Q12796">
        <v>10</v>
      </c>
      <c r="R12796" t="s">
        <v>42690</v>
      </c>
      <c r="S12796" t="s">
        <v>43690</v>
      </c>
      <c r="T12796" t="s">
        <v>44488</v>
      </c>
      <c r="U12796" t="s">
        <v>55224</v>
      </c>
      <c r="W12796" t="s">
        <v>42497</v>
      </c>
      <c r="X12796" t="s">
        <v>42691</v>
      </c>
    </row>
    <row r="12797" spans="1:24">
      <c r="A12797">
        <f>HYPERLINK("https://www.philgeps.gov.ph/GEPSNONPILOT/Tender/SplashBidNoticeAbstractUI.aspx?menuIndex=3&amp;refID=7157721&amp;Result=3","7157721")</f>
        <v>0</v>
      </c>
      <c r="B12797" t="s">
        <v>3377</v>
      </c>
      <c r="C12797" t="s">
        <v>15770</v>
      </c>
      <c r="D12797" t="s">
        <v>17142</v>
      </c>
      <c r="E12797" t="s">
        <v>28133</v>
      </c>
      <c r="F12797" t="s">
        <v>29372</v>
      </c>
      <c r="G12797" t="s">
        <v>29380</v>
      </c>
      <c r="H12797" t="s">
        <v>29390</v>
      </c>
      <c r="I12797" t="s">
        <v>29416</v>
      </c>
      <c r="J12797" t="s">
        <v>37601</v>
      </c>
      <c r="K12797" t="s">
        <v>38487</v>
      </c>
      <c r="M12797" t="s">
        <v>42472</v>
      </c>
      <c r="N12797" t="s">
        <v>42669</v>
      </c>
      <c r="O12797" t="s">
        <v>42670</v>
      </c>
      <c r="Q12797">
        <v>4</v>
      </c>
      <c r="R12797" t="s">
        <v>42690</v>
      </c>
      <c r="S12797" t="s">
        <v>43691</v>
      </c>
      <c r="T12797" t="s">
        <v>44597</v>
      </c>
      <c r="U12797" t="s">
        <v>55076</v>
      </c>
      <c r="V12797" t="s">
        <v>57831</v>
      </c>
      <c r="W12797" t="s">
        <v>42472</v>
      </c>
      <c r="X12797" t="s">
        <v>42691</v>
      </c>
    </row>
    <row r="12798" spans="1:24">
      <c r="A12798">
        <f>HYPERLINK("https://www.philgeps.gov.ph/GEPSNONPILOT/Tender/SplashBidNoticeAbstractUI.aspx?menuIndex=3&amp;refID=7158068&amp;Result=3","7158068")</f>
        <v>0</v>
      </c>
      <c r="B12798" t="s">
        <v>3400</v>
      </c>
      <c r="C12798" t="s">
        <v>15771</v>
      </c>
      <c r="D12798" t="s">
        <v>17187</v>
      </c>
      <c r="E12798" t="s">
        <v>28134</v>
      </c>
      <c r="F12798" t="s">
        <v>29372</v>
      </c>
      <c r="G12798" t="s">
        <v>29380</v>
      </c>
      <c r="H12798" t="s">
        <v>11048</v>
      </c>
      <c r="I12798" t="s">
        <v>3839</v>
      </c>
      <c r="J12798" t="s">
        <v>37602</v>
      </c>
      <c r="K12798" t="s">
        <v>38495</v>
      </c>
      <c r="M12798" t="s">
        <v>42497</v>
      </c>
      <c r="N12798" t="s">
        <v>42669</v>
      </c>
      <c r="O12798" t="s">
        <v>42670</v>
      </c>
      <c r="Q12798">
        <v>9</v>
      </c>
      <c r="R12798" t="s">
        <v>42690</v>
      </c>
      <c r="S12798" t="s">
        <v>43692</v>
      </c>
      <c r="T12798" t="s">
        <v>44844</v>
      </c>
      <c r="U12798" t="s">
        <v>55225</v>
      </c>
      <c r="W12798" t="s">
        <v>42497</v>
      </c>
      <c r="X12798" t="s">
        <v>42691</v>
      </c>
    </row>
    <row r="12799" spans="1:24">
      <c r="A12799">
        <f>HYPERLINK("https://www.philgeps.gov.ph/GEPSNONPILOT/Tender/SplashBidNoticeAbstractUI.aspx?menuIndex=3&amp;refID=7157995&amp;Result=3","7157995")</f>
        <v>0</v>
      </c>
      <c r="B12799" t="s">
        <v>2962</v>
      </c>
      <c r="C12799" t="s">
        <v>15772</v>
      </c>
      <c r="D12799" t="s">
        <v>17177</v>
      </c>
      <c r="E12799" t="s">
        <v>28135</v>
      </c>
      <c r="F12799" t="s">
        <v>29372</v>
      </c>
      <c r="G12799" t="s">
        <v>29380</v>
      </c>
      <c r="H12799" t="s">
        <v>29389</v>
      </c>
      <c r="I12799" t="s">
        <v>10408</v>
      </c>
      <c r="J12799" t="s">
        <v>29619</v>
      </c>
      <c r="K12799" t="s">
        <v>38485</v>
      </c>
      <c r="M12799" t="s">
        <v>41972</v>
      </c>
      <c r="N12799" t="s">
        <v>42669</v>
      </c>
      <c r="O12799" t="s">
        <v>42670</v>
      </c>
      <c r="P12799">
        <v>0</v>
      </c>
      <c r="Q12799">
        <v>0</v>
      </c>
      <c r="R12799" t="s">
        <v>42690</v>
      </c>
      <c r="S12799" t="s">
        <v>43574</v>
      </c>
      <c r="T12799" t="s">
        <v>44425</v>
      </c>
      <c r="U12799" t="s">
        <v>55226</v>
      </c>
      <c r="W12799" t="s">
        <v>41972</v>
      </c>
      <c r="X12799" t="s">
        <v>42691</v>
      </c>
    </row>
    <row r="12800" spans="1:24">
      <c r="A12800">
        <f>HYPERLINK("https://www.philgeps.gov.ph/GEPSNONPILOT/Tender/SplashBidNoticeAbstractUI.aspx?menuIndex=3&amp;refID=7158006&amp;Result=3","7158006")</f>
        <v>0</v>
      </c>
      <c r="B12800" t="s">
        <v>1151</v>
      </c>
      <c r="C12800" t="s">
        <v>15773</v>
      </c>
      <c r="D12800" t="s">
        <v>17185</v>
      </c>
      <c r="E12800" t="s">
        <v>28136</v>
      </c>
      <c r="F12800" t="s">
        <v>29372</v>
      </c>
      <c r="G12800" t="s">
        <v>29380</v>
      </c>
      <c r="H12800" t="s">
        <v>29389</v>
      </c>
      <c r="I12800" t="s">
        <v>10408</v>
      </c>
      <c r="J12800" t="s">
        <v>37603</v>
      </c>
      <c r="K12800" t="s">
        <v>38495</v>
      </c>
      <c r="M12800" t="s">
        <v>39965</v>
      </c>
      <c r="N12800" t="s">
        <v>42669</v>
      </c>
      <c r="O12800" t="s">
        <v>42670</v>
      </c>
      <c r="P12800">
        <v>0</v>
      </c>
      <c r="Q12800">
        <v>1</v>
      </c>
      <c r="R12800" t="s">
        <v>42690</v>
      </c>
      <c r="S12800" t="s">
        <v>43574</v>
      </c>
      <c r="T12800" t="s">
        <v>44427</v>
      </c>
      <c r="U12800" t="s">
        <v>55227</v>
      </c>
      <c r="W12800" t="s">
        <v>39965</v>
      </c>
      <c r="X12800" t="s">
        <v>42691</v>
      </c>
    </row>
    <row r="12801" spans="1:24">
      <c r="A12801">
        <f>HYPERLINK("https://www.philgeps.gov.ph/GEPSNONPILOT/Tender/SplashBidNoticeAbstractUI.aspx?menuIndex=3&amp;refID=7158013&amp;Result=3","7158013")</f>
        <v>0</v>
      </c>
      <c r="B12801" t="s">
        <v>2962</v>
      </c>
      <c r="C12801" t="s">
        <v>15774</v>
      </c>
      <c r="D12801" t="s">
        <v>17177</v>
      </c>
      <c r="E12801" t="s">
        <v>28137</v>
      </c>
      <c r="F12801" t="s">
        <v>29372</v>
      </c>
      <c r="G12801" t="s">
        <v>29380</v>
      </c>
      <c r="H12801" t="s">
        <v>29389</v>
      </c>
      <c r="I12801" t="s">
        <v>10408</v>
      </c>
      <c r="J12801" t="s">
        <v>29619</v>
      </c>
      <c r="K12801" t="s">
        <v>38485</v>
      </c>
      <c r="M12801" t="s">
        <v>41972</v>
      </c>
      <c r="N12801" t="s">
        <v>42669</v>
      </c>
      <c r="O12801" t="s">
        <v>42670</v>
      </c>
      <c r="P12801">
        <v>0</v>
      </c>
      <c r="Q12801">
        <v>2</v>
      </c>
      <c r="R12801" t="s">
        <v>42690</v>
      </c>
      <c r="S12801" t="s">
        <v>43574</v>
      </c>
      <c r="T12801" t="s">
        <v>44425</v>
      </c>
      <c r="U12801" t="s">
        <v>55228</v>
      </c>
      <c r="W12801" t="s">
        <v>41972</v>
      </c>
      <c r="X12801" t="s">
        <v>42691</v>
      </c>
    </row>
    <row r="12802" spans="1:24">
      <c r="A12802">
        <f>HYPERLINK("https://www.philgeps.gov.ph/GEPSNONPILOT/Tender/SplashBidNoticeAbstractUI.aspx?menuIndex=3&amp;refID=7157989&amp;Result=3","7157989")</f>
        <v>0</v>
      </c>
      <c r="B12802" t="s">
        <v>855</v>
      </c>
      <c r="C12802" t="s">
        <v>15775</v>
      </c>
      <c r="D12802" t="s">
        <v>17170</v>
      </c>
      <c r="E12802" t="s">
        <v>28138</v>
      </c>
      <c r="F12802" t="s">
        <v>29372</v>
      </c>
      <c r="G12802" t="s">
        <v>29380</v>
      </c>
      <c r="H12802" t="s">
        <v>29389</v>
      </c>
      <c r="I12802" t="s">
        <v>10408</v>
      </c>
      <c r="J12802" t="s">
        <v>37604</v>
      </c>
      <c r="K12802" t="s">
        <v>38564</v>
      </c>
      <c r="M12802" t="s">
        <v>39645</v>
      </c>
      <c r="N12802" t="s">
        <v>42669</v>
      </c>
      <c r="O12802" t="s">
        <v>42670</v>
      </c>
      <c r="P12802">
        <v>0</v>
      </c>
      <c r="Q12802">
        <v>0</v>
      </c>
      <c r="R12802" t="s">
        <v>42690</v>
      </c>
      <c r="S12802" t="s">
        <v>43574</v>
      </c>
      <c r="T12802" t="s">
        <v>44491</v>
      </c>
      <c r="U12802" t="s">
        <v>55229</v>
      </c>
      <c r="W12802" t="s">
        <v>39645</v>
      </c>
      <c r="X12802" t="s">
        <v>42691</v>
      </c>
    </row>
    <row r="12803" spans="1:24">
      <c r="A12803">
        <f>HYPERLINK("https://www.philgeps.gov.ph/GEPSNONPILOT/Tender/SplashBidNoticeAbstractUI.aspx?menuIndex=3&amp;refID=7157964&amp;Result=3","7157964")</f>
        <v>0</v>
      </c>
      <c r="B12803" t="s">
        <v>1178</v>
      </c>
      <c r="C12803" t="s">
        <v>15776</v>
      </c>
      <c r="D12803" t="s">
        <v>17192</v>
      </c>
      <c r="E12803" t="s">
        <v>28139</v>
      </c>
      <c r="F12803" t="s">
        <v>29372</v>
      </c>
      <c r="G12803" t="s">
        <v>29380</v>
      </c>
      <c r="H12803" t="s">
        <v>29389</v>
      </c>
      <c r="I12803" t="s">
        <v>10408</v>
      </c>
      <c r="J12803" t="s">
        <v>37605</v>
      </c>
      <c r="K12803" t="s">
        <v>38564</v>
      </c>
      <c r="M12803" t="s">
        <v>39993</v>
      </c>
      <c r="N12803" t="s">
        <v>42669</v>
      </c>
      <c r="O12803" t="s">
        <v>42670</v>
      </c>
      <c r="P12803">
        <v>0</v>
      </c>
      <c r="Q12803">
        <v>2</v>
      </c>
      <c r="R12803" t="s">
        <v>42690</v>
      </c>
      <c r="S12803" t="s">
        <v>43574</v>
      </c>
      <c r="T12803" t="s">
        <v>44401</v>
      </c>
      <c r="U12803" t="s">
        <v>55230</v>
      </c>
      <c r="V12803" t="s">
        <v>57846</v>
      </c>
      <c r="W12803" t="s">
        <v>39993</v>
      </c>
      <c r="X12803" t="s">
        <v>42691</v>
      </c>
    </row>
    <row r="12804" spans="1:24">
      <c r="A12804">
        <f>HYPERLINK("https://www.philgeps.gov.ph/GEPSNONPILOT/Tender/SplashBidNoticeAbstractUI.aspx?menuIndex=3&amp;refID=7157959&amp;Result=3","7157959")</f>
        <v>0</v>
      </c>
      <c r="B12804" t="s">
        <v>2962</v>
      </c>
      <c r="C12804" t="s">
        <v>15777</v>
      </c>
      <c r="D12804" t="s">
        <v>17177</v>
      </c>
      <c r="E12804" t="s">
        <v>28140</v>
      </c>
      <c r="F12804" t="s">
        <v>29372</v>
      </c>
      <c r="G12804" t="s">
        <v>29380</v>
      </c>
      <c r="H12804" t="s">
        <v>29389</v>
      </c>
      <c r="I12804" t="s">
        <v>10408</v>
      </c>
      <c r="J12804" t="s">
        <v>29526</v>
      </c>
      <c r="K12804" t="s">
        <v>38485</v>
      </c>
      <c r="M12804" t="s">
        <v>41972</v>
      </c>
      <c r="N12804" t="s">
        <v>42669</v>
      </c>
      <c r="O12804" t="s">
        <v>42670</v>
      </c>
      <c r="P12804">
        <v>0</v>
      </c>
      <c r="Q12804">
        <v>0</v>
      </c>
      <c r="R12804" t="s">
        <v>42690</v>
      </c>
      <c r="S12804" t="s">
        <v>43574</v>
      </c>
      <c r="T12804" t="s">
        <v>44425</v>
      </c>
      <c r="U12804" t="s">
        <v>55231</v>
      </c>
      <c r="W12804" t="s">
        <v>41972</v>
      </c>
      <c r="X12804" t="s">
        <v>42691</v>
      </c>
    </row>
    <row r="12805" spans="1:24">
      <c r="A12805">
        <f>HYPERLINK("https://www.philgeps.gov.ph/GEPSNONPILOT/Tender/SplashBidNoticeAbstractUI.aspx?menuIndex=3&amp;refID=7157946&amp;Result=3","7157946")</f>
        <v>0</v>
      </c>
      <c r="B12805" t="s">
        <v>855</v>
      </c>
      <c r="C12805" t="s">
        <v>15778</v>
      </c>
      <c r="D12805" t="s">
        <v>17170</v>
      </c>
      <c r="E12805" t="s">
        <v>28141</v>
      </c>
      <c r="F12805" t="s">
        <v>29372</v>
      </c>
      <c r="G12805" t="s">
        <v>29380</v>
      </c>
      <c r="H12805" t="s">
        <v>29389</v>
      </c>
      <c r="I12805" t="s">
        <v>10408</v>
      </c>
      <c r="J12805" t="s">
        <v>37606</v>
      </c>
      <c r="K12805" t="s">
        <v>38520</v>
      </c>
      <c r="M12805" t="s">
        <v>39645</v>
      </c>
      <c r="N12805" t="s">
        <v>42669</v>
      </c>
      <c r="O12805" t="s">
        <v>42670</v>
      </c>
      <c r="P12805">
        <v>0</v>
      </c>
      <c r="Q12805">
        <v>0</v>
      </c>
      <c r="R12805" t="s">
        <v>42690</v>
      </c>
      <c r="S12805" t="s">
        <v>43574</v>
      </c>
      <c r="T12805" t="s">
        <v>44491</v>
      </c>
      <c r="U12805" t="s">
        <v>55232</v>
      </c>
      <c r="W12805" t="s">
        <v>39645</v>
      </c>
      <c r="X12805" t="s">
        <v>42691</v>
      </c>
    </row>
    <row r="12806" spans="1:24">
      <c r="A12806">
        <f>HYPERLINK("https://www.philgeps.gov.ph/GEPSNONPILOT/Tender/SplashBidNoticeAbstractUI.aspx?menuIndex=3&amp;refID=7157943&amp;Result=3","7157943")</f>
        <v>0</v>
      </c>
      <c r="B12806" t="s">
        <v>3279</v>
      </c>
      <c r="C12806" t="s">
        <v>15779</v>
      </c>
      <c r="D12806" t="s">
        <v>17160</v>
      </c>
      <c r="E12806" t="s">
        <v>28142</v>
      </c>
      <c r="F12806" t="s">
        <v>29372</v>
      </c>
      <c r="G12806" t="s">
        <v>29380</v>
      </c>
      <c r="H12806" t="s">
        <v>11048</v>
      </c>
      <c r="I12806" t="s">
        <v>6417</v>
      </c>
      <c r="J12806" t="s">
        <v>37607</v>
      </c>
      <c r="K12806" t="s">
        <v>38488</v>
      </c>
      <c r="M12806" t="s">
        <v>42352</v>
      </c>
      <c r="N12806" t="s">
        <v>42669</v>
      </c>
      <c r="O12806" t="s">
        <v>42670</v>
      </c>
      <c r="P12806">
        <v>0</v>
      </c>
      <c r="Q12806">
        <v>3</v>
      </c>
      <c r="R12806" t="s">
        <v>42690</v>
      </c>
      <c r="S12806" t="s">
        <v>43574</v>
      </c>
      <c r="T12806" t="s">
        <v>44488</v>
      </c>
      <c r="U12806" t="s">
        <v>55233</v>
      </c>
      <c r="V12806" t="s">
        <v>57714</v>
      </c>
      <c r="W12806" t="s">
        <v>42352</v>
      </c>
      <c r="X12806" t="s">
        <v>42691</v>
      </c>
    </row>
    <row r="12807" spans="1:24">
      <c r="A12807">
        <f>HYPERLINK("https://www.philgeps.gov.ph/GEPSNONPILOT/Tender/SplashBidNoticeAbstractUI.aspx?menuIndex=3&amp;refID=7157924&amp;Result=3","7157924")</f>
        <v>0</v>
      </c>
      <c r="B12807" t="s">
        <v>855</v>
      </c>
      <c r="C12807" t="s">
        <v>15780</v>
      </c>
      <c r="D12807" t="s">
        <v>17170</v>
      </c>
      <c r="E12807" t="s">
        <v>21858</v>
      </c>
      <c r="F12807" t="s">
        <v>29372</v>
      </c>
      <c r="G12807" t="s">
        <v>29380</v>
      </c>
      <c r="H12807" t="s">
        <v>29389</v>
      </c>
      <c r="I12807" t="s">
        <v>10408</v>
      </c>
      <c r="J12807" t="s">
        <v>37606</v>
      </c>
      <c r="K12807" t="s">
        <v>38520</v>
      </c>
      <c r="M12807" t="s">
        <v>39645</v>
      </c>
      <c r="N12807" t="s">
        <v>42669</v>
      </c>
      <c r="O12807" t="s">
        <v>42670</v>
      </c>
      <c r="P12807">
        <v>0</v>
      </c>
      <c r="Q12807">
        <v>0</v>
      </c>
      <c r="R12807" t="s">
        <v>42690</v>
      </c>
      <c r="S12807" t="s">
        <v>43574</v>
      </c>
      <c r="T12807" t="s">
        <v>44491</v>
      </c>
      <c r="U12807" t="s">
        <v>55234</v>
      </c>
      <c r="W12807" t="s">
        <v>39645</v>
      </c>
      <c r="X12807" t="s">
        <v>42691</v>
      </c>
    </row>
    <row r="12808" spans="1:24">
      <c r="A12808">
        <f>HYPERLINK("https://www.philgeps.gov.ph/GEPSNONPILOT/Tender/SplashBidNoticeAbstractUI.aspx?menuIndex=3&amp;refID=7157991&amp;Result=3","7157991")</f>
        <v>0</v>
      </c>
      <c r="B12808" t="s">
        <v>3401</v>
      </c>
      <c r="C12808" t="s">
        <v>15781</v>
      </c>
      <c r="D12808" t="s">
        <v>17197</v>
      </c>
      <c r="E12808" t="s">
        <v>28143</v>
      </c>
      <c r="F12808" t="s">
        <v>29372</v>
      </c>
      <c r="G12808" t="s">
        <v>29380</v>
      </c>
      <c r="H12808" t="s">
        <v>11048</v>
      </c>
      <c r="I12808" t="s">
        <v>8208</v>
      </c>
      <c r="J12808" t="s">
        <v>37608</v>
      </c>
      <c r="K12808" t="s">
        <v>38489</v>
      </c>
      <c r="M12808" t="s">
        <v>42498</v>
      </c>
      <c r="N12808" t="s">
        <v>42669</v>
      </c>
      <c r="O12808" t="s">
        <v>42670</v>
      </c>
      <c r="P12808">
        <v>0</v>
      </c>
      <c r="Q12808">
        <v>2</v>
      </c>
      <c r="R12808" t="s">
        <v>42690</v>
      </c>
      <c r="S12808" t="s">
        <v>43574</v>
      </c>
      <c r="T12808" t="s">
        <v>44653</v>
      </c>
      <c r="U12808" t="s">
        <v>55235</v>
      </c>
      <c r="W12808" t="s">
        <v>42498</v>
      </c>
      <c r="X12808" t="s">
        <v>42691</v>
      </c>
    </row>
    <row r="12809" spans="1:24">
      <c r="A12809">
        <f>HYPERLINK("https://www.philgeps.gov.ph/GEPSNONPILOT/Tender/SplashBidNoticeAbstractUI.aspx?menuIndex=3&amp;refID=7157967&amp;Result=3","7157967")</f>
        <v>0</v>
      </c>
      <c r="B12809" t="s">
        <v>855</v>
      </c>
      <c r="C12809" t="s">
        <v>15782</v>
      </c>
      <c r="D12809" t="s">
        <v>17170</v>
      </c>
      <c r="E12809" t="s">
        <v>21933</v>
      </c>
      <c r="F12809" t="s">
        <v>29372</v>
      </c>
      <c r="G12809" t="s">
        <v>29380</v>
      </c>
      <c r="H12809" t="s">
        <v>29389</v>
      </c>
      <c r="I12809" t="s">
        <v>10408</v>
      </c>
      <c r="J12809" t="s">
        <v>37604</v>
      </c>
      <c r="K12809" t="s">
        <v>38564</v>
      </c>
      <c r="M12809" t="s">
        <v>39645</v>
      </c>
      <c r="N12809" t="s">
        <v>42669</v>
      </c>
      <c r="O12809" t="s">
        <v>42670</v>
      </c>
      <c r="P12809">
        <v>0</v>
      </c>
      <c r="Q12809">
        <v>0</v>
      </c>
      <c r="R12809" t="s">
        <v>42690</v>
      </c>
      <c r="S12809" t="s">
        <v>43574</v>
      </c>
      <c r="T12809" t="s">
        <v>44491</v>
      </c>
      <c r="U12809" t="s">
        <v>55236</v>
      </c>
      <c r="W12809" t="s">
        <v>39645</v>
      </c>
      <c r="X12809" t="s">
        <v>42691</v>
      </c>
    </row>
    <row r="12810" spans="1:24">
      <c r="A12810">
        <f>HYPERLINK("https://www.philgeps.gov.ph/GEPSNONPILOT/Tender/SplashBidNoticeAbstractUI.aspx?menuIndex=3&amp;refID=7158073&amp;Result=3","7158073")</f>
        <v>0</v>
      </c>
      <c r="B12810" t="s">
        <v>3273</v>
      </c>
      <c r="C12810" t="s">
        <v>15783</v>
      </c>
      <c r="D12810" t="s">
        <v>17195</v>
      </c>
      <c r="E12810" t="s">
        <v>23103</v>
      </c>
      <c r="F12810" t="s">
        <v>29372</v>
      </c>
      <c r="G12810" t="s">
        <v>29380</v>
      </c>
      <c r="H12810" t="s">
        <v>11048</v>
      </c>
      <c r="I12810" t="s">
        <v>29506</v>
      </c>
      <c r="J12810" t="s">
        <v>29708</v>
      </c>
      <c r="K12810" t="s">
        <v>38488</v>
      </c>
      <c r="M12810" t="s">
        <v>42499</v>
      </c>
      <c r="N12810" t="s">
        <v>42669</v>
      </c>
      <c r="O12810" t="s">
        <v>42670</v>
      </c>
      <c r="Q12810">
        <v>1</v>
      </c>
      <c r="R12810" t="s">
        <v>42690</v>
      </c>
      <c r="S12810" t="s">
        <v>43693</v>
      </c>
      <c r="T12810" t="s">
        <v>44357</v>
      </c>
      <c r="U12810" t="s">
        <v>55237</v>
      </c>
      <c r="W12810" t="s">
        <v>58121</v>
      </c>
      <c r="X12810" t="s">
        <v>42691</v>
      </c>
    </row>
    <row r="12811" spans="1:24">
      <c r="A12811">
        <f>HYPERLINK("https://www.philgeps.gov.ph/GEPSNONPILOT/Tender/SplashBidNoticeAbstractUI.aspx?menuIndex=3&amp;refID=7157952&amp;Result=3","7157952")</f>
        <v>0</v>
      </c>
      <c r="B12811" t="s">
        <v>2796</v>
      </c>
      <c r="C12811" t="s">
        <v>15784</v>
      </c>
      <c r="D12811" t="s">
        <v>17151</v>
      </c>
      <c r="E12811" t="s">
        <v>28144</v>
      </c>
      <c r="F12811" t="s">
        <v>29372</v>
      </c>
      <c r="G12811" t="s">
        <v>29380</v>
      </c>
      <c r="H12811" t="s">
        <v>11048</v>
      </c>
      <c r="I12811" t="s">
        <v>29398</v>
      </c>
      <c r="J12811" t="s">
        <v>37609</v>
      </c>
      <c r="K12811" t="s">
        <v>38488</v>
      </c>
      <c r="M12811" t="s">
        <v>41784</v>
      </c>
      <c r="N12811" t="s">
        <v>42669</v>
      </c>
      <c r="O12811" t="s">
        <v>42670</v>
      </c>
      <c r="Q12811">
        <v>0</v>
      </c>
      <c r="R12811" t="s">
        <v>42690</v>
      </c>
      <c r="S12811" t="s">
        <v>43694</v>
      </c>
      <c r="T12811" t="s">
        <v>44491</v>
      </c>
      <c r="U12811" t="s">
        <v>55238</v>
      </c>
      <c r="W12811" t="s">
        <v>41784</v>
      </c>
      <c r="X12811" t="s">
        <v>42691</v>
      </c>
    </row>
    <row r="12812" spans="1:24">
      <c r="A12812">
        <f>HYPERLINK("https://www.philgeps.gov.ph/GEPSNONPILOT/Tender/SplashBidNoticeAbstractUI.aspx?menuIndex=3&amp;refID=7157565&amp;Result=3","7157565")</f>
        <v>0</v>
      </c>
      <c r="B12812" t="s">
        <v>3377</v>
      </c>
      <c r="C12812" t="s">
        <v>15785</v>
      </c>
      <c r="D12812" t="s">
        <v>17142</v>
      </c>
      <c r="E12812" t="s">
        <v>28145</v>
      </c>
      <c r="F12812" t="s">
        <v>29372</v>
      </c>
      <c r="G12812" t="s">
        <v>29380</v>
      </c>
      <c r="H12812" t="s">
        <v>29390</v>
      </c>
      <c r="I12812" t="s">
        <v>29416</v>
      </c>
      <c r="J12812" t="s">
        <v>37610</v>
      </c>
      <c r="K12812" t="s">
        <v>38496</v>
      </c>
      <c r="M12812" t="s">
        <v>42472</v>
      </c>
      <c r="N12812" t="s">
        <v>42669</v>
      </c>
      <c r="O12812" t="s">
        <v>42670</v>
      </c>
      <c r="Q12812">
        <v>4</v>
      </c>
      <c r="R12812" t="s">
        <v>42690</v>
      </c>
      <c r="S12812" t="s">
        <v>43695</v>
      </c>
      <c r="T12812" t="s">
        <v>44597</v>
      </c>
      <c r="U12812" t="s">
        <v>55076</v>
      </c>
      <c r="V12812" t="s">
        <v>57820</v>
      </c>
      <c r="W12812" t="s">
        <v>42472</v>
      </c>
      <c r="X12812" t="s">
        <v>42691</v>
      </c>
    </row>
    <row r="12813" spans="1:24">
      <c r="A12813">
        <f>HYPERLINK("https://www.philgeps.gov.ph/GEPSNONPILOT/Tender/SplashBidNoticeAbstractUI.aspx?menuIndex=3&amp;refID=7157941&amp;Result=3","7157941")</f>
        <v>0</v>
      </c>
      <c r="B12813" t="s">
        <v>3402</v>
      </c>
      <c r="C12813" t="s">
        <v>15786</v>
      </c>
      <c r="D12813" t="s">
        <v>17159</v>
      </c>
      <c r="E12813" t="s">
        <v>28146</v>
      </c>
      <c r="F12813" t="s">
        <v>29372</v>
      </c>
      <c r="G12813" t="s">
        <v>29380</v>
      </c>
      <c r="H12813" t="s">
        <v>29389</v>
      </c>
      <c r="I12813" t="s">
        <v>10408</v>
      </c>
      <c r="J12813" t="s">
        <v>37611</v>
      </c>
      <c r="K12813" t="s">
        <v>38490</v>
      </c>
      <c r="M12813" t="s">
        <v>42500</v>
      </c>
      <c r="N12813" t="s">
        <v>42669</v>
      </c>
      <c r="O12813" t="s">
        <v>42670</v>
      </c>
      <c r="P12813">
        <v>0</v>
      </c>
      <c r="Q12813">
        <v>0</v>
      </c>
      <c r="R12813" t="s">
        <v>42690</v>
      </c>
      <c r="S12813" t="s">
        <v>43574</v>
      </c>
      <c r="T12813" t="s">
        <v>44427</v>
      </c>
      <c r="U12813" t="s">
        <v>55239</v>
      </c>
      <c r="W12813" t="s">
        <v>42500</v>
      </c>
      <c r="X12813" t="s">
        <v>42691</v>
      </c>
    </row>
    <row r="12814" spans="1:24">
      <c r="A12814">
        <f>HYPERLINK("https://www.philgeps.gov.ph/GEPSNONPILOT/Tender/SplashBidNoticeAbstractUI.aspx?menuIndex=3&amp;refID=7158012&amp;Result=3","7158012")</f>
        <v>0</v>
      </c>
      <c r="B12814" t="s">
        <v>855</v>
      </c>
      <c r="C12814" t="s">
        <v>15787</v>
      </c>
      <c r="D12814" t="s">
        <v>17170</v>
      </c>
      <c r="E12814" t="s">
        <v>28147</v>
      </c>
      <c r="F12814" t="s">
        <v>29372</v>
      </c>
      <c r="G12814" t="s">
        <v>29380</v>
      </c>
      <c r="H12814" t="s">
        <v>29389</v>
      </c>
      <c r="I12814" t="s">
        <v>10408</v>
      </c>
      <c r="J12814" t="s">
        <v>37612</v>
      </c>
      <c r="K12814" t="s">
        <v>38485</v>
      </c>
      <c r="M12814" t="s">
        <v>39645</v>
      </c>
      <c r="N12814" t="s">
        <v>42669</v>
      </c>
      <c r="O12814" t="s">
        <v>42670</v>
      </c>
      <c r="P12814">
        <v>0</v>
      </c>
      <c r="Q12814">
        <v>0</v>
      </c>
      <c r="R12814" t="s">
        <v>42690</v>
      </c>
      <c r="S12814" t="s">
        <v>43574</v>
      </c>
      <c r="T12814" t="s">
        <v>44491</v>
      </c>
      <c r="U12814" t="s">
        <v>55240</v>
      </c>
      <c r="W12814" t="s">
        <v>39645</v>
      </c>
      <c r="X12814" t="s">
        <v>42691</v>
      </c>
    </row>
    <row r="12815" spans="1:24">
      <c r="A12815">
        <f>HYPERLINK("https://www.philgeps.gov.ph/GEPSNONPILOT/Tender/SplashBidNoticeAbstractUI.aspx?menuIndex=3&amp;refID=7158162&amp;Result=3","7158162")</f>
        <v>0</v>
      </c>
      <c r="B12815" t="s">
        <v>2533</v>
      </c>
      <c r="C12815" t="s">
        <v>15788</v>
      </c>
      <c r="E12815" t="s">
        <v>28148</v>
      </c>
      <c r="F12815" t="s">
        <v>29372</v>
      </c>
      <c r="G12815" t="s">
        <v>29380</v>
      </c>
      <c r="H12815" t="s">
        <v>11048</v>
      </c>
      <c r="I12815" t="s">
        <v>29423</v>
      </c>
      <c r="J12815" t="s">
        <v>37613</v>
      </c>
      <c r="K12815" t="s">
        <v>38490</v>
      </c>
      <c r="M12815" t="s">
        <v>41495</v>
      </c>
      <c r="N12815" t="s">
        <v>42669</v>
      </c>
      <c r="O12815" t="s">
        <v>42670</v>
      </c>
      <c r="Q12815">
        <v>4</v>
      </c>
      <c r="R12815" t="s">
        <v>42690</v>
      </c>
      <c r="S12815" t="s">
        <v>43696</v>
      </c>
      <c r="T12815" t="s">
        <v>44498</v>
      </c>
      <c r="U12815" t="s">
        <v>51447</v>
      </c>
      <c r="W12815" t="s">
        <v>41495</v>
      </c>
      <c r="X12815" t="s">
        <v>42691</v>
      </c>
    </row>
    <row r="12816" spans="1:24">
      <c r="A12816">
        <f>HYPERLINK("https://www.philgeps.gov.ph/GEPSNONPILOT/Tender/SplashBidNoticeAbstractUI.aspx?menuIndex=3&amp;refID=7158175&amp;Result=3","7158175")</f>
        <v>0</v>
      </c>
      <c r="B12816" t="s">
        <v>51</v>
      </c>
      <c r="C12816" t="s">
        <v>15789</v>
      </c>
      <c r="D12816" t="s">
        <v>17151</v>
      </c>
      <c r="E12816" t="s">
        <v>28149</v>
      </c>
      <c r="F12816" t="s">
        <v>29372</v>
      </c>
      <c r="G12816" t="s">
        <v>29380</v>
      </c>
      <c r="H12816" t="s">
        <v>11048</v>
      </c>
      <c r="I12816" t="s">
        <v>4486</v>
      </c>
      <c r="J12816" t="s">
        <v>37614</v>
      </c>
      <c r="K12816" t="s">
        <v>38496</v>
      </c>
      <c r="M12816" t="s">
        <v>38804</v>
      </c>
      <c r="N12816" t="s">
        <v>42669</v>
      </c>
      <c r="O12816" t="s">
        <v>42670</v>
      </c>
      <c r="P12816">
        <v>0</v>
      </c>
      <c r="Q12816">
        <v>16</v>
      </c>
      <c r="R12816" t="s">
        <v>42690</v>
      </c>
      <c r="S12816" t="s">
        <v>43574</v>
      </c>
      <c r="T12816" t="s">
        <v>44429</v>
      </c>
      <c r="U12816" t="s">
        <v>55241</v>
      </c>
      <c r="W12816" t="s">
        <v>38804</v>
      </c>
      <c r="X12816" t="s">
        <v>42691</v>
      </c>
    </row>
    <row r="12817" spans="1:24">
      <c r="A12817">
        <f>HYPERLINK("https://www.philgeps.gov.ph/GEPSNONPILOT/Tender/SplashBidNoticeAbstractUI.aspx?menuIndex=3&amp;refID=7158125&amp;Result=3","7158125")</f>
        <v>0</v>
      </c>
      <c r="B12817" t="s">
        <v>808</v>
      </c>
      <c r="C12817" t="s">
        <v>15790</v>
      </c>
      <c r="D12817" t="s">
        <v>17167</v>
      </c>
      <c r="E12817" t="s">
        <v>28150</v>
      </c>
      <c r="F12817" t="s">
        <v>29372</v>
      </c>
      <c r="G12817" t="s">
        <v>29384</v>
      </c>
      <c r="H12817" t="s">
        <v>29389</v>
      </c>
      <c r="I12817" t="s">
        <v>10408</v>
      </c>
      <c r="J12817" t="s">
        <v>30244</v>
      </c>
      <c r="K12817" t="s">
        <v>38522</v>
      </c>
      <c r="M12817" t="s">
        <v>39594</v>
      </c>
      <c r="N12817" t="s">
        <v>42669</v>
      </c>
      <c r="O12817" t="s">
        <v>42670</v>
      </c>
      <c r="P12817">
        <v>0</v>
      </c>
      <c r="Q12817">
        <v>7</v>
      </c>
      <c r="R12817" t="s">
        <v>42690</v>
      </c>
      <c r="S12817" t="s">
        <v>43574</v>
      </c>
      <c r="T12817" t="s">
        <v>44401</v>
      </c>
      <c r="U12817" t="s">
        <v>55242</v>
      </c>
      <c r="V12817" t="s">
        <v>56976</v>
      </c>
      <c r="W12817" t="s">
        <v>39594</v>
      </c>
      <c r="X12817" t="s">
        <v>42691</v>
      </c>
    </row>
    <row r="12818" spans="1:24">
      <c r="A12818">
        <f>HYPERLINK("https://www.philgeps.gov.ph/GEPSNONPILOT/Tender/SplashBidNoticeAbstractUI.aspx?menuIndex=3&amp;refID=7158161&amp;Result=3","7158161")</f>
        <v>0</v>
      </c>
      <c r="B12818" t="s">
        <v>2962</v>
      </c>
      <c r="C12818" t="s">
        <v>15791</v>
      </c>
      <c r="D12818" t="s">
        <v>17177</v>
      </c>
      <c r="E12818" t="s">
        <v>28151</v>
      </c>
      <c r="F12818" t="s">
        <v>29372</v>
      </c>
      <c r="G12818" t="s">
        <v>29380</v>
      </c>
      <c r="H12818" t="s">
        <v>29389</v>
      </c>
      <c r="I12818" t="s">
        <v>10408</v>
      </c>
      <c r="J12818" t="s">
        <v>29774</v>
      </c>
      <c r="K12818" t="s">
        <v>38496</v>
      </c>
      <c r="M12818" t="s">
        <v>41972</v>
      </c>
      <c r="N12818" t="s">
        <v>42669</v>
      </c>
      <c r="O12818" t="s">
        <v>42670</v>
      </c>
      <c r="P12818">
        <v>0</v>
      </c>
      <c r="Q12818">
        <v>2</v>
      </c>
      <c r="R12818" t="s">
        <v>42690</v>
      </c>
      <c r="S12818" t="s">
        <v>43574</v>
      </c>
      <c r="T12818" t="s">
        <v>44425</v>
      </c>
      <c r="U12818" t="s">
        <v>55243</v>
      </c>
      <c r="W12818" t="s">
        <v>41972</v>
      </c>
      <c r="X12818" t="s">
        <v>42691</v>
      </c>
    </row>
    <row r="12819" spans="1:24">
      <c r="A12819">
        <f>HYPERLINK("https://www.philgeps.gov.ph/GEPSNONPILOT/Tender/SplashBidNoticeAbstractUI.aspx?menuIndex=3&amp;refID=7158174&amp;Result=3","7158174")</f>
        <v>0</v>
      </c>
      <c r="B12819" t="s">
        <v>1085</v>
      </c>
      <c r="C12819" t="s">
        <v>15792</v>
      </c>
      <c r="E12819" t="s">
        <v>28152</v>
      </c>
      <c r="F12819" t="s">
        <v>29372</v>
      </c>
      <c r="G12819" t="s">
        <v>29379</v>
      </c>
      <c r="H12819" t="s">
        <v>11048</v>
      </c>
      <c r="I12819" t="s">
        <v>29433</v>
      </c>
      <c r="J12819" t="s">
        <v>37615</v>
      </c>
      <c r="K12819" t="s">
        <v>38485</v>
      </c>
      <c r="M12819" t="s">
        <v>39892</v>
      </c>
      <c r="N12819" t="s">
        <v>42669</v>
      </c>
      <c r="O12819" t="s">
        <v>42670</v>
      </c>
      <c r="Q12819">
        <v>28</v>
      </c>
      <c r="R12819" t="s">
        <v>42690</v>
      </c>
      <c r="S12819" t="s">
        <v>43697</v>
      </c>
      <c r="T12819" t="s">
        <v>44654</v>
      </c>
      <c r="U12819" t="s">
        <v>55244</v>
      </c>
      <c r="W12819" t="s">
        <v>39892</v>
      </c>
      <c r="X12819" t="s">
        <v>42691</v>
      </c>
    </row>
    <row r="12820" spans="1:24">
      <c r="A12820">
        <f>HYPERLINK("https://www.philgeps.gov.ph/GEPSNONPILOT/Tender/SplashBidNoticeAbstractUI.aspx?menuIndex=3&amp;refID=7158156&amp;Result=3","7158156")</f>
        <v>0</v>
      </c>
      <c r="B12820" t="s">
        <v>2962</v>
      </c>
      <c r="C12820" t="s">
        <v>15793</v>
      </c>
      <c r="D12820" t="s">
        <v>17177</v>
      </c>
      <c r="E12820" t="s">
        <v>28153</v>
      </c>
      <c r="F12820" t="s">
        <v>29372</v>
      </c>
      <c r="G12820" t="s">
        <v>29380</v>
      </c>
      <c r="H12820" t="s">
        <v>29389</v>
      </c>
      <c r="I12820" t="s">
        <v>29398</v>
      </c>
      <c r="J12820" t="s">
        <v>37616</v>
      </c>
      <c r="K12820" t="s">
        <v>38496</v>
      </c>
      <c r="M12820" t="s">
        <v>41972</v>
      </c>
      <c r="N12820" t="s">
        <v>42669</v>
      </c>
      <c r="O12820" t="s">
        <v>42670</v>
      </c>
      <c r="P12820">
        <v>0</v>
      </c>
      <c r="Q12820">
        <v>3</v>
      </c>
      <c r="R12820" t="s">
        <v>42690</v>
      </c>
      <c r="S12820" t="s">
        <v>43574</v>
      </c>
      <c r="T12820" t="s">
        <v>44425</v>
      </c>
      <c r="U12820" t="s">
        <v>55245</v>
      </c>
      <c r="W12820" t="s">
        <v>41972</v>
      </c>
      <c r="X12820" t="s">
        <v>42691</v>
      </c>
    </row>
    <row r="12821" spans="1:24">
      <c r="A12821">
        <f>HYPERLINK("https://www.philgeps.gov.ph/GEPSNONPILOT/Tender/SplashBidNoticeAbstractUI.aspx?menuIndex=3&amp;refID=7158148&amp;Result=3","7158148")</f>
        <v>0</v>
      </c>
      <c r="B12821" t="s">
        <v>2533</v>
      </c>
      <c r="C12821" t="s">
        <v>15794</v>
      </c>
      <c r="E12821" t="s">
        <v>28154</v>
      </c>
      <c r="F12821" t="s">
        <v>29372</v>
      </c>
      <c r="G12821" t="s">
        <v>29380</v>
      </c>
      <c r="H12821" t="s">
        <v>11048</v>
      </c>
      <c r="I12821" t="s">
        <v>10408</v>
      </c>
      <c r="J12821" t="s">
        <v>37617</v>
      </c>
      <c r="K12821" t="s">
        <v>38490</v>
      </c>
      <c r="M12821" t="s">
        <v>41495</v>
      </c>
      <c r="N12821" t="s">
        <v>42669</v>
      </c>
      <c r="O12821" t="s">
        <v>42670</v>
      </c>
      <c r="Q12821">
        <v>5</v>
      </c>
      <c r="R12821" t="s">
        <v>42690</v>
      </c>
      <c r="S12821" t="s">
        <v>43698</v>
      </c>
      <c r="T12821" t="s">
        <v>44498</v>
      </c>
      <c r="U12821" t="s">
        <v>51447</v>
      </c>
      <c r="W12821" t="s">
        <v>41495</v>
      </c>
      <c r="X12821" t="s">
        <v>42691</v>
      </c>
    </row>
    <row r="12822" spans="1:24">
      <c r="A12822">
        <f>HYPERLINK("https://www.philgeps.gov.ph/GEPSNONPILOT/Tender/SplashBidNoticeAbstractUI.aspx?menuIndex=3&amp;refID=7158146&amp;Result=3","7158146")</f>
        <v>0</v>
      </c>
      <c r="B12822" t="s">
        <v>2962</v>
      </c>
      <c r="C12822" t="s">
        <v>15795</v>
      </c>
      <c r="D12822" t="s">
        <v>17177</v>
      </c>
      <c r="E12822" t="s">
        <v>28155</v>
      </c>
      <c r="F12822" t="s">
        <v>29372</v>
      </c>
      <c r="G12822" t="s">
        <v>29380</v>
      </c>
      <c r="H12822" t="s">
        <v>29389</v>
      </c>
      <c r="I12822" t="s">
        <v>10408</v>
      </c>
      <c r="J12822" t="s">
        <v>37618</v>
      </c>
      <c r="K12822" t="s">
        <v>38487</v>
      </c>
      <c r="M12822" t="s">
        <v>41972</v>
      </c>
      <c r="N12822" t="s">
        <v>42669</v>
      </c>
      <c r="O12822" t="s">
        <v>42670</v>
      </c>
      <c r="P12822">
        <v>0</v>
      </c>
      <c r="Q12822">
        <v>0</v>
      </c>
      <c r="R12822" t="s">
        <v>42690</v>
      </c>
      <c r="S12822" t="s">
        <v>43574</v>
      </c>
      <c r="T12822" t="s">
        <v>44425</v>
      </c>
      <c r="U12822" t="s">
        <v>55246</v>
      </c>
      <c r="W12822" t="s">
        <v>41972</v>
      </c>
      <c r="X12822" t="s">
        <v>42691</v>
      </c>
    </row>
    <row r="12823" spans="1:24">
      <c r="A12823">
        <f>HYPERLINK("https://www.philgeps.gov.ph/GEPSNONPILOT/Tender/SplashBidNoticeAbstractUI.aspx?menuIndex=3&amp;refID=7158111&amp;Result=3","7158111")</f>
        <v>0</v>
      </c>
      <c r="B12823" t="s">
        <v>2962</v>
      </c>
      <c r="C12823" t="s">
        <v>15796</v>
      </c>
      <c r="D12823" t="s">
        <v>17177</v>
      </c>
      <c r="E12823" t="s">
        <v>27618</v>
      </c>
      <c r="F12823" t="s">
        <v>29372</v>
      </c>
      <c r="G12823" t="s">
        <v>29380</v>
      </c>
      <c r="H12823" t="s">
        <v>11048</v>
      </c>
      <c r="I12823" t="s">
        <v>29494</v>
      </c>
      <c r="J12823" t="s">
        <v>37619</v>
      </c>
      <c r="K12823" t="s">
        <v>38485</v>
      </c>
      <c r="M12823" t="s">
        <v>41972</v>
      </c>
      <c r="N12823" t="s">
        <v>42669</v>
      </c>
      <c r="O12823" t="s">
        <v>42670</v>
      </c>
      <c r="P12823">
        <v>0</v>
      </c>
      <c r="Q12823">
        <v>0</v>
      </c>
      <c r="R12823" t="s">
        <v>42690</v>
      </c>
      <c r="S12823" t="s">
        <v>43574</v>
      </c>
      <c r="T12823" t="s">
        <v>44425</v>
      </c>
      <c r="U12823" t="s">
        <v>55247</v>
      </c>
      <c r="W12823" t="s">
        <v>41972</v>
      </c>
      <c r="X12823" t="s">
        <v>42691</v>
      </c>
    </row>
    <row r="12824" spans="1:24">
      <c r="A12824">
        <f>HYPERLINK("https://www.philgeps.gov.ph/GEPSNONPILOT/Tender/SplashBidNoticeAbstractUI.aspx?menuIndex=3&amp;refID=7158010&amp;Result=3","7158010")</f>
        <v>0</v>
      </c>
      <c r="B12824" t="s">
        <v>51</v>
      </c>
      <c r="C12824" t="s">
        <v>15797</v>
      </c>
      <c r="D12824" t="s">
        <v>17151</v>
      </c>
      <c r="E12824" t="s">
        <v>28156</v>
      </c>
      <c r="F12824" t="s">
        <v>29372</v>
      </c>
      <c r="G12824" t="s">
        <v>29380</v>
      </c>
      <c r="H12824" t="s">
        <v>11048</v>
      </c>
      <c r="I12824" t="s">
        <v>9642</v>
      </c>
      <c r="J12824" t="s">
        <v>37620</v>
      </c>
      <c r="K12824" t="s">
        <v>38496</v>
      </c>
      <c r="M12824" t="s">
        <v>38804</v>
      </c>
      <c r="N12824" t="s">
        <v>42669</v>
      </c>
      <c r="O12824" t="s">
        <v>42670</v>
      </c>
      <c r="P12824">
        <v>0</v>
      </c>
      <c r="Q12824">
        <v>17</v>
      </c>
      <c r="R12824" t="s">
        <v>42690</v>
      </c>
      <c r="S12824" t="s">
        <v>43574</v>
      </c>
      <c r="T12824" t="s">
        <v>44429</v>
      </c>
      <c r="U12824" t="s">
        <v>55248</v>
      </c>
      <c r="W12824" t="s">
        <v>38804</v>
      </c>
      <c r="X12824" t="s">
        <v>42691</v>
      </c>
    </row>
    <row r="12825" spans="1:24">
      <c r="A12825">
        <f>HYPERLINK("https://www.philgeps.gov.ph/GEPSNONPILOT/Tender/SplashBidNoticeAbstractUI.aspx?menuIndex=3&amp;refID=7158124&amp;Result=3","7158124")</f>
        <v>0</v>
      </c>
      <c r="B12825" t="s">
        <v>2962</v>
      </c>
      <c r="C12825" t="s">
        <v>15798</v>
      </c>
      <c r="D12825" t="s">
        <v>17177</v>
      </c>
      <c r="E12825" t="s">
        <v>28157</v>
      </c>
      <c r="F12825" t="s">
        <v>29372</v>
      </c>
      <c r="G12825" t="s">
        <v>29380</v>
      </c>
      <c r="H12825" t="s">
        <v>29389</v>
      </c>
      <c r="I12825" t="s">
        <v>10408</v>
      </c>
      <c r="J12825" t="s">
        <v>29543</v>
      </c>
      <c r="K12825" t="s">
        <v>38485</v>
      </c>
      <c r="M12825" t="s">
        <v>41972</v>
      </c>
      <c r="N12825" t="s">
        <v>42669</v>
      </c>
      <c r="O12825" t="s">
        <v>42670</v>
      </c>
      <c r="P12825">
        <v>0</v>
      </c>
      <c r="Q12825">
        <v>2</v>
      </c>
      <c r="R12825" t="s">
        <v>42690</v>
      </c>
      <c r="S12825" t="s">
        <v>43574</v>
      </c>
      <c r="T12825" t="s">
        <v>44425</v>
      </c>
      <c r="U12825" t="s">
        <v>55249</v>
      </c>
      <c r="W12825" t="s">
        <v>41972</v>
      </c>
      <c r="X12825" t="s">
        <v>42691</v>
      </c>
    </row>
    <row r="12826" spans="1:24">
      <c r="A12826">
        <f>HYPERLINK("https://www.philgeps.gov.ph/GEPSNONPILOT/Tender/SplashBidNoticeAbstractUI.aspx?menuIndex=3&amp;refID=7158155&amp;Result=3","7158155")</f>
        <v>0</v>
      </c>
      <c r="B12826" t="s">
        <v>974</v>
      </c>
      <c r="C12826" t="s">
        <v>15799</v>
      </c>
      <c r="D12826" t="s">
        <v>17172</v>
      </c>
      <c r="E12826" t="s">
        <v>18698</v>
      </c>
      <c r="F12826" t="s">
        <v>29372</v>
      </c>
      <c r="G12826" t="s">
        <v>29380</v>
      </c>
      <c r="H12826" t="s">
        <v>11048</v>
      </c>
      <c r="I12826" t="s">
        <v>8614</v>
      </c>
      <c r="J12826" t="s">
        <v>37413</v>
      </c>
      <c r="K12826" t="s">
        <v>38518</v>
      </c>
      <c r="M12826" t="s">
        <v>39771</v>
      </c>
      <c r="N12826" t="s">
        <v>42669</v>
      </c>
      <c r="O12826" t="s">
        <v>42670</v>
      </c>
      <c r="P12826">
        <v>0</v>
      </c>
      <c r="Q12826">
        <v>4</v>
      </c>
      <c r="R12826" t="s">
        <v>42690</v>
      </c>
      <c r="S12826" t="s">
        <v>43574</v>
      </c>
      <c r="T12826" t="s">
        <v>44724</v>
      </c>
      <c r="U12826" t="s">
        <v>55250</v>
      </c>
      <c r="W12826" t="s">
        <v>39771</v>
      </c>
      <c r="X12826" t="s">
        <v>42691</v>
      </c>
    </row>
    <row r="12827" spans="1:24">
      <c r="A12827">
        <f>HYPERLINK("https://www.philgeps.gov.ph/GEPSNONPILOT/Tender/SplashBidNoticeAbstractUI.aspx?menuIndex=3&amp;refID=7158325&amp;Result=3","7158325")</f>
        <v>0</v>
      </c>
      <c r="B12827" t="s">
        <v>1060</v>
      </c>
      <c r="C12827" t="s">
        <v>15800</v>
      </c>
      <c r="D12827" t="s">
        <v>17201</v>
      </c>
      <c r="E12827" t="s">
        <v>28158</v>
      </c>
      <c r="F12827" t="s">
        <v>29372</v>
      </c>
      <c r="G12827" t="s">
        <v>29380</v>
      </c>
      <c r="H12827" t="s">
        <v>11048</v>
      </c>
      <c r="I12827" t="s">
        <v>3670</v>
      </c>
      <c r="J12827" t="s">
        <v>37621</v>
      </c>
      <c r="K12827" t="s">
        <v>38488</v>
      </c>
      <c r="M12827" t="s">
        <v>39867</v>
      </c>
      <c r="N12827" t="s">
        <v>42669</v>
      </c>
      <c r="O12827" t="s">
        <v>42670</v>
      </c>
      <c r="P12827">
        <v>0</v>
      </c>
      <c r="Q12827">
        <v>1</v>
      </c>
      <c r="R12827" t="s">
        <v>42690</v>
      </c>
      <c r="S12827" t="s">
        <v>43574</v>
      </c>
      <c r="T12827" t="s">
        <v>44427</v>
      </c>
      <c r="U12827" t="s">
        <v>55251</v>
      </c>
      <c r="W12827" t="s">
        <v>39867</v>
      </c>
      <c r="X12827" t="s">
        <v>42691</v>
      </c>
    </row>
    <row r="12828" spans="1:24">
      <c r="A12828">
        <f>HYPERLINK("https://www.philgeps.gov.ph/GEPSNONPILOT/Tender/SplashBidNoticeAbstractUI.aspx?menuIndex=3&amp;refID=7158137&amp;Result=3","7158137")</f>
        <v>0</v>
      </c>
      <c r="B12828" t="s">
        <v>2540</v>
      </c>
      <c r="C12828" t="s">
        <v>15801</v>
      </c>
      <c r="E12828" t="s">
        <v>28159</v>
      </c>
      <c r="F12828" t="s">
        <v>29372</v>
      </c>
      <c r="G12828" t="s">
        <v>29380</v>
      </c>
      <c r="H12828" t="s">
        <v>29389</v>
      </c>
      <c r="I12828" t="s">
        <v>4709</v>
      </c>
      <c r="J12828" t="s">
        <v>37622</v>
      </c>
      <c r="K12828" t="s">
        <v>38496</v>
      </c>
      <c r="M12828" t="s">
        <v>41502</v>
      </c>
      <c r="N12828" t="s">
        <v>42669</v>
      </c>
      <c r="O12828" t="s">
        <v>42670</v>
      </c>
      <c r="Q12828">
        <v>1</v>
      </c>
      <c r="R12828" t="s">
        <v>42690</v>
      </c>
      <c r="S12828" t="s">
        <v>43699</v>
      </c>
      <c r="T12828" t="s">
        <v>44446</v>
      </c>
      <c r="U12828" t="s">
        <v>51474</v>
      </c>
      <c r="W12828" t="s">
        <v>41502</v>
      </c>
      <c r="X12828" t="s">
        <v>42691</v>
      </c>
    </row>
    <row r="12829" spans="1:24">
      <c r="A12829">
        <f>HYPERLINK("https://www.philgeps.gov.ph/GEPSNONPILOT/Tender/SplashBidNoticeAbstractUI.aspx?menuIndex=3&amp;refID=7158288&amp;Result=3","7158288")</f>
        <v>0</v>
      </c>
      <c r="B12829" t="s">
        <v>2257</v>
      </c>
      <c r="C12829" t="s">
        <v>15802</v>
      </c>
      <c r="D12829" t="s">
        <v>17205</v>
      </c>
      <c r="E12829" t="s">
        <v>28160</v>
      </c>
      <c r="F12829" t="s">
        <v>29372</v>
      </c>
      <c r="G12829" t="s">
        <v>29384</v>
      </c>
      <c r="H12829" t="s">
        <v>11048</v>
      </c>
      <c r="I12829" t="s">
        <v>4487</v>
      </c>
      <c r="J12829" t="s">
        <v>37623</v>
      </c>
      <c r="K12829" t="s">
        <v>38485</v>
      </c>
      <c r="M12829" t="s">
        <v>41178</v>
      </c>
      <c r="N12829" t="s">
        <v>42669</v>
      </c>
      <c r="O12829" t="s">
        <v>42670</v>
      </c>
      <c r="P12829">
        <v>0</v>
      </c>
      <c r="Q12829">
        <v>8</v>
      </c>
      <c r="R12829" t="s">
        <v>42690</v>
      </c>
      <c r="S12829" t="s">
        <v>43574</v>
      </c>
      <c r="T12829" t="s">
        <v>44401</v>
      </c>
      <c r="U12829" t="s">
        <v>55252</v>
      </c>
      <c r="W12829" t="s">
        <v>41178</v>
      </c>
      <c r="X12829" t="s">
        <v>42691</v>
      </c>
    </row>
    <row r="12830" spans="1:24">
      <c r="A12830">
        <f>HYPERLINK("https://www.philgeps.gov.ph/GEPSNONPILOT/Tender/SplashBidNoticeAbstractUI.aspx?menuIndex=3&amp;refID=7158176&amp;Result=3","7158176")</f>
        <v>0</v>
      </c>
      <c r="B12830" t="s">
        <v>2962</v>
      </c>
      <c r="C12830" t="s">
        <v>13291</v>
      </c>
      <c r="D12830" t="s">
        <v>17177</v>
      </c>
      <c r="E12830" t="s">
        <v>28161</v>
      </c>
      <c r="F12830" t="s">
        <v>29372</v>
      </c>
      <c r="G12830" t="s">
        <v>29380</v>
      </c>
      <c r="H12830" t="s">
        <v>29389</v>
      </c>
      <c r="I12830" t="s">
        <v>29417</v>
      </c>
      <c r="J12830" t="s">
        <v>37624</v>
      </c>
      <c r="K12830" t="s">
        <v>38515</v>
      </c>
      <c r="M12830" t="s">
        <v>41972</v>
      </c>
      <c r="N12830" t="s">
        <v>42669</v>
      </c>
      <c r="O12830" t="s">
        <v>42670</v>
      </c>
      <c r="P12830">
        <v>0</v>
      </c>
      <c r="Q12830">
        <v>4</v>
      </c>
      <c r="R12830" t="s">
        <v>42690</v>
      </c>
      <c r="S12830" t="s">
        <v>43574</v>
      </c>
      <c r="T12830" t="s">
        <v>44425</v>
      </c>
      <c r="U12830" t="s">
        <v>55253</v>
      </c>
      <c r="W12830" t="s">
        <v>41972</v>
      </c>
      <c r="X12830" t="s">
        <v>42691</v>
      </c>
    </row>
    <row r="12831" spans="1:24">
      <c r="A12831">
        <f>HYPERLINK("https://www.philgeps.gov.ph/GEPSNONPILOT/Tender/SplashBidNoticeAbstractUI.aspx?menuIndex=3&amp;refID=7158139&amp;Result=3","7158139")</f>
        <v>0</v>
      </c>
      <c r="B12831" t="s">
        <v>974</v>
      </c>
      <c r="C12831" t="s">
        <v>15803</v>
      </c>
      <c r="D12831" t="s">
        <v>17172</v>
      </c>
      <c r="E12831" t="s">
        <v>20958</v>
      </c>
      <c r="F12831" t="s">
        <v>29372</v>
      </c>
      <c r="G12831" t="s">
        <v>29380</v>
      </c>
      <c r="H12831" t="s">
        <v>29391</v>
      </c>
      <c r="I12831" t="s">
        <v>29391</v>
      </c>
      <c r="J12831" t="s">
        <v>37625</v>
      </c>
      <c r="K12831" t="s">
        <v>38522</v>
      </c>
      <c r="M12831" t="s">
        <v>39771</v>
      </c>
      <c r="N12831" t="s">
        <v>42669</v>
      </c>
      <c r="O12831" t="s">
        <v>42670</v>
      </c>
      <c r="Q12831">
        <v>3</v>
      </c>
      <c r="R12831" t="s">
        <v>42690</v>
      </c>
      <c r="S12831" t="s">
        <v>43700</v>
      </c>
      <c r="T12831" t="s">
        <v>44429</v>
      </c>
      <c r="U12831" t="s">
        <v>55254</v>
      </c>
      <c r="W12831" t="s">
        <v>39771</v>
      </c>
      <c r="X12831" t="s">
        <v>42691</v>
      </c>
    </row>
    <row r="12832" spans="1:24">
      <c r="A12832">
        <f>HYPERLINK("https://www.philgeps.gov.ph/GEPSNONPILOT/Tender/SplashBidNoticeAbstractUI.aspx?menuIndex=3&amp;refID=7158253&amp;Result=3","7158253")</f>
        <v>0</v>
      </c>
      <c r="B12832" t="s">
        <v>1060</v>
      </c>
      <c r="C12832" t="s">
        <v>15804</v>
      </c>
      <c r="D12832" t="s">
        <v>17201</v>
      </c>
      <c r="E12832" t="s">
        <v>28162</v>
      </c>
      <c r="F12832" t="s">
        <v>29372</v>
      </c>
      <c r="G12832" t="s">
        <v>29381</v>
      </c>
      <c r="H12832" t="s">
        <v>29389</v>
      </c>
      <c r="I12832" t="s">
        <v>29517</v>
      </c>
      <c r="J12832" t="s">
        <v>37626</v>
      </c>
      <c r="K12832" t="s">
        <v>38507</v>
      </c>
      <c r="M12832" t="s">
        <v>39867</v>
      </c>
      <c r="N12832" t="s">
        <v>42669</v>
      </c>
      <c r="O12832" t="s">
        <v>42670</v>
      </c>
      <c r="P12832">
        <v>0</v>
      </c>
      <c r="Q12832">
        <v>0</v>
      </c>
      <c r="R12832" t="s">
        <v>42690</v>
      </c>
      <c r="S12832" t="s">
        <v>43574</v>
      </c>
      <c r="T12832" t="s">
        <v>44427</v>
      </c>
      <c r="U12832" t="s">
        <v>55255</v>
      </c>
      <c r="W12832" t="s">
        <v>39867</v>
      </c>
      <c r="X12832" t="s">
        <v>42691</v>
      </c>
    </row>
    <row r="12833" spans="1:24">
      <c r="A12833">
        <f>HYPERLINK("https://www.philgeps.gov.ph/GEPSNONPILOT/Tender/SplashBidNoticeAbstractUI.aspx?menuIndex=3&amp;refID=7158228&amp;Result=3","7158228")</f>
        <v>0</v>
      </c>
      <c r="B12833" t="s">
        <v>2252</v>
      </c>
      <c r="C12833" t="s">
        <v>15805</v>
      </c>
      <c r="D12833" t="s">
        <v>17183</v>
      </c>
      <c r="E12833" t="s">
        <v>28163</v>
      </c>
      <c r="F12833" t="s">
        <v>29372</v>
      </c>
      <c r="G12833" t="s">
        <v>29380</v>
      </c>
      <c r="H12833" t="s">
        <v>11048</v>
      </c>
      <c r="I12833" t="s">
        <v>29415</v>
      </c>
      <c r="J12833" t="s">
        <v>29734</v>
      </c>
      <c r="K12833" t="s">
        <v>38496</v>
      </c>
      <c r="M12833" t="s">
        <v>41173</v>
      </c>
      <c r="N12833" t="s">
        <v>42669</v>
      </c>
      <c r="O12833" t="s">
        <v>42670</v>
      </c>
      <c r="P12833">
        <v>0</v>
      </c>
      <c r="Q12833">
        <v>7</v>
      </c>
      <c r="R12833" t="s">
        <v>42690</v>
      </c>
      <c r="S12833" t="s">
        <v>43574</v>
      </c>
      <c r="T12833" t="s">
        <v>44429</v>
      </c>
      <c r="U12833" t="s">
        <v>55256</v>
      </c>
      <c r="V12833" t="s">
        <v>56675</v>
      </c>
      <c r="W12833" t="s">
        <v>41173</v>
      </c>
      <c r="X12833" t="s">
        <v>42691</v>
      </c>
    </row>
    <row r="12834" spans="1:24">
      <c r="A12834">
        <f>HYPERLINK("https://www.philgeps.gov.ph/GEPSNONPILOT/Tender/SplashBidNoticeAbstractUI.aspx?menuIndex=3&amp;refID=7158216&amp;Result=3","7158216")</f>
        <v>0</v>
      </c>
      <c r="B12834" t="s">
        <v>992</v>
      </c>
      <c r="C12834" t="s">
        <v>15806</v>
      </c>
      <c r="D12834" t="s">
        <v>17180</v>
      </c>
      <c r="E12834" t="s">
        <v>28164</v>
      </c>
      <c r="F12834" t="s">
        <v>29372</v>
      </c>
      <c r="G12834" t="s">
        <v>29380</v>
      </c>
      <c r="H12834" t="s">
        <v>29389</v>
      </c>
      <c r="I12834" t="s">
        <v>10408</v>
      </c>
      <c r="J12834" t="s">
        <v>37627</v>
      </c>
      <c r="K12834" t="s">
        <v>38598</v>
      </c>
      <c r="M12834" t="s">
        <v>39792</v>
      </c>
      <c r="N12834" t="s">
        <v>42669</v>
      </c>
      <c r="O12834" t="s">
        <v>42670</v>
      </c>
      <c r="Q12834">
        <v>19</v>
      </c>
      <c r="R12834" t="s">
        <v>42690</v>
      </c>
      <c r="S12834" t="s">
        <v>43701</v>
      </c>
      <c r="T12834" t="s">
        <v>44488</v>
      </c>
      <c r="U12834" t="s">
        <v>55257</v>
      </c>
      <c r="V12834" t="s">
        <v>56684</v>
      </c>
      <c r="W12834" t="s">
        <v>39792</v>
      </c>
      <c r="X12834" t="s">
        <v>42691</v>
      </c>
    </row>
    <row r="12835" spans="1:24">
      <c r="A12835">
        <f>HYPERLINK("https://www.philgeps.gov.ph/GEPSNONPILOT/Tender/SplashBidNoticeAbstractUI.aspx?menuIndex=3&amp;refID=7158206&amp;Result=3","7158206")</f>
        <v>0</v>
      </c>
      <c r="B12835" t="s">
        <v>2252</v>
      </c>
      <c r="C12835" t="s">
        <v>15807</v>
      </c>
      <c r="D12835" t="s">
        <v>17183</v>
      </c>
      <c r="E12835" t="s">
        <v>28165</v>
      </c>
      <c r="F12835" t="s">
        <v>29372</v>
      </c>
      <c r="G12835" t="s">
        <v>29380</v>
      </c>
      <c r="H12835" t="s">
        <v>11048</v>
      </c>
      <c r="I12835" t="s">
        <v>29411</v>
      </c>
      <c r="J12835" t="s">
        <v>37628</v>
      </c>
      <c r="K12835" t="s">
        <v>38496</v>
      </c>
      <c r="M12835" t="s">
        <v>41173</v>
      </c>
      <c r="N12835" t="s">
        <v>42669</v>
      </c>
      <c r="O12835" t="s">
        <v>42670</v>
      </c>
      <c r="P12835">
        <v>0</v>
      </c>
      <c r="Q12835">
        <v>4</v>
      </c>
      <c r="R12835" t="s">
        <v>42690</v>
      </c>
      <c r="S12835" t="s">
        <v>43574</v>
      </c>
      <c r="T12835" t="s">
        <v>44425</v>
      </c>
      <c r="U12835" t="s">
        <v>55258</v>
      </c>
      <c r="V12835" t="s">
        <v>56675</v>
      </c>
      <c r="W12835" t="s">
        <v>41173</v>
      </c>
      <c r="X12835" t="s">
        <v>42691</v>
      </c>
    </row>
    <row r="12836" spans="1:24">
      <c r="A12836">
        <f>HYPERLINK("https://www.philgeps.gov.ph/GEPSNONPILOT/Tender/SplashBidNoticeAbstractUI.aspx?menuIndex=3&amp;refID=7158238&amp;Result=3","7158238")</f>
        <v>0</v>
      </c>
      <c r="B12836" t="s">
        <v>2546</v>
      </c>
      <c r="C12836" t="s">
        <v>15808</v>
      </c>
      <c r="D12836" t="s">
        <v>17215</v>
      </c>
      <c r="E12836" t="s">
        <v>28166</v>
      </c>
      <c r="F12836" t="s">
        <v>29372</v>
      </c>
      <c r="G12836" t="s">
        <v>29380</v>
      </c>
      <c r="H12836" t="s">
        <v>29389</v>
      </c>
      <c r="I12836" t="s">
        <v>10408</v>
      </c>
      <c r="J12836" t="s">
        <v>37629</v>
      </c>
      <c r="K12836" t="s">
        <v>38496</v>
      </c>
      <c r="M12836" t="s">
        <v>41509</v>
      </c>
      <c r="N12836" t="s">
        <v>42669</v>
      </c>
      <c r="O12836" t="s">
        <v>42670</v>
      </c>
      <c r="P12836">
        <v>0</v>
      </c>
      <c r="Q12836">
        <v>13</v>
      </c>
      <c r="R12836" t="s">
        <v>42690</v>
      </c>
      <c r="S12836" t="s">
        <v>43574</v>
      </c>
      <c r="T12836" t="s">
        <v>44491</v>
      </c>
      <c r="U12836" t="s">
        <v>55259</v>
      </c>
      <c r="W12836" t="s">
        <v>41509</v>
      </c>
      <c r="X12836" t="s">
        <v>42691</v>
      </c>
    </row>
    <row r="12837" spans="1:24">
      <c r="A12837">
        <f>HYPERLINK("https://www.philgeps.gov.ph/GEPSNONPILOT/Tender/SplashBidNoticeAbstractUI.aspx?menuIndex=3&amp;refID=7158165&amp;Result=3","7158165")</f>
        <v>0</v>
      </c>
      <c r="B12837" t="s">
        <v>974</v>
      </c>
      <c r="C12837" t="s">
        <v>15809</v>
      </c>
      <c r="D12837" t="s">
        <v>17172</v>
      </c>
      <c r="E12837" t="s">
        <v>18789</v>
      </c>
      <c r="F12837" t="s">
        <v>29372</v>
      </c>
      <c r="G12837" t="s">
        <v>29380</v>
      </c>
      <c r="H12837" t="s">
        <v>11048</v>
      </c>
      <c r="I12837" t="s">
        <v>3839</v>
      </c>
      <c r="J12837" t="s">
        <v>29708</v>
      </c>
      <c r="K12837" t="s">
        <v>38518</v>
      </c>
      <c r="M12837" t="s">
        <v>39771</v>
      </c>
      <c r="N12837" t="s">
        <v>42669</v>
      </c>
      <c r="O12837" t="s">
        <v>42670</v>
      </c>
      <c r="P12837">
        <v>0</v>
      </c>
      <c r="Q12837">
        <v>1</v>
      </c>
      <c r="R12837" t="s">
        <v>42690</v>
      </c>
      <c r="S12837" t="s">
        <v>43574</v>
      </c>
      <c r="T12837" t="s">
        <v>44724</v>
      </c>
      <c r="U12837" t="s">
        <v>55260</v>
      </c>
      <c r="W12837" t="s">
        <v>39771</v>
      </c>
      <c r="X12837" t="s">
        <v>42691</v>
      </c>
    </row>
    <row r="12838" spans="1:24">
      <c r="A12838">
        <f>HYPERLINK("https://www.philgeps.gov.ph/GEPSNONPILOT/Tender/SplashBidNoticeAbstractUI.aspx?menuIndex=3&amp;refID=7158203&amp;Result=3","7158203")</f>
        <v>0</v>
      </c>
      <c r="B12838" t="s">
        <v>51</v>
      </c>
      <c r="C12838" t="s">
        <v>15810</v>
      </c>
      <c r="D12838" t="s">
        <v>17151</v>
      </c>
      <c r="E12838" t="s">
        <v>28167</v>
      </c>
      <c r="F12838" t="s">
        <v>29372</v>
      </c>
      <c r="G12838" t="s">
        <v>29380</v>
      </c>
      <c r="H12838" t="s">
        <v>29389</v>
      </c>
      <c r="I12838" t="s">
        <v>10408</v>
      </c>
      <c r="J12838" t="s">
        <v>37630</v>
      </c>
      <c r="K12838" t="s">
        <v>38525</v>
      </c>
      <c r="M12838" t="s">
        <v>38804</v>
      </c>
      <c r="N12838" t="s">
        <v>42669</v>
      </c>
      <c r="O12838" t="s">
        <v>42670</v>
      </c>
      <c r="P12838">
        <v>0</v>
      </c>
      <c r="Q12838">
        <v>7</v>
      </c>
      <c r="R12838" t="s">
        <v>42690</v>
      </c>
      <c r="S12838" t="s">
        <v>43574</v>
      </c>
      <c r="T12838" t="s">
        <v>44429</v>
      </c>
      <c r="U12838" t="s">
        <v>55261</v>
      </c>
      <c r="W12838" t="s">
        <v>38804</v>
      </c>
      <c r="X12838" t="s">
        <v>42691</v>
      </c>
    </row>
    <row r="12839" spans="1:24">
      <c r="A12839">
        <f>HYPERLINK("https://www.philgeps.gov.ph/GEPSNONPILOT/Tender/SplashBidNoticeAbstractUI.aspx?menuIndex=3&amp;refID=7158201&amp;Result=3","7158201")</f>
        <v>0</v>
      </c>
      <c r="B12839" t="s">
        <v>3398</v>
      </c>
      <c r="C12839" t="s">
        <v>15811</v>
      </c>
      <c r="D12839" t="s">
        <v>17168</v>
      </c>
      <c r="E12839" t="s">
        <v>28168</v>
      </c>
      <c r="F12839" t="s">
        <v>29372</v>
      </c>
      <c r="G12839" t="s">
        <v>29380</v>
      </c>
      <c r="H12839" t="s">
        <v>11048</v>
      </c>
      <c r="I12839" t="s">
        <v>4487</v>
      </c>
      <c r="J12839" t="s">
        <v>37631</v>
      </c>
      <c r="K12839" t="s">
        <v>38485</v>
      </c>
      <c r="M12839" t="s">
        <v>42495</v>
      </c>
      <c r="N12839" t="s">
        <v>42669</v>
      </c>
      <c r="O12839" t="s">
        <v>42670</v>
      </c>
      <c r="P12839">
        <v>0</v>
      </c>
      <c r="Q12839">
        <v>6</v>
      </c>
      <c r="R12839" t="s">
        <v>42690</v>
      </c>
      <c r="S12839" t="s">
        <v>43574</v>
      </c>
      <c r="T12839" t="s">
        <v>44427</v>
      </c>
      <c r="U12839" t="s">
        <v>55262</v>
      </c>
      <c r="W12839" t="s">
        <v>42495</v>
      </c>
      <c r="X12839" t="s">
        <v>42691</v>
      </c>
    </row>
    <row r="12840" spans="1:24">
      <c r="A12840">
        <f>HYPERLINK("https://www.philgeps.gov.ph/GEPSNONPILOT/Tender/SplashBidNoticeAbstractUI.aspx?menuIndex=3&amp;refID=7158200&amp;Result=3","7158200")</f>
        <v>0</v>
      </c>
      <c r="B12840" t="s">
        <v>2533</v>
      </c>
      <c r="C12840" t="s">
        <v>15812</v>
      </c>
      <c r="E12840" t="s">
        <v>28169</v>
      </c>
      <c r="F12840" t="s">
        <v>29372</v>
      </c>
      <c r="G12840" t="s">
        <v>29380</v>
      </c>
      <c r="H12840" t="s">
        <v>11048</v>
      </c>
      <c r="I12840" t="s">
        <v>29460</v>
      </c>
      <c r="J12840" t="s">
        <v>34101</v>
      </c>
      <c r="K12840" t="s">
        <v>38490</v>
      </c>
      <c r="M12840" t="s">
        <v>41495</v>
      </c>
      <c r="N12840" t="s">
        <v>42669</v>
      </c>
      <c r="O12840" t="s">
        <v>42670</v>
      </c>
      <c r="Q12840">
        <v>13</v>
      </c>
      <c r="R12840" t="s">
        <v>42690</v>
      </c>
      <c r="S12840" t="s">
        <v>43702</v>
      </c>
      <c r="T12840" t="s">
        <v>44498</v>
      </c>
      <c r="U12840" t="s">
        <v>51447</v>
      </c>
      <c r="W12840" t="s">
        <v>41495</v>
      </c>
      <c r="X12840" t="s">
        <v>42691</v>
      </c>
    </row>
    <row r="12841" spans="1:24">
      <c r="A12841">
        <f>HYPERLINK("https://www.philgeps.gov.ph/GEPSNONPILOT/Tender/SplashBidNoticeAbstractUI.aspx?menuIndex=3&amp;refID=7158198&amp;Result=3","7158198")</f>
        <v>0</v>
      </c>
      <c r="B12841" t="s">
        <v>1060</v>
      </c>
      <c r="C12841" t="s">
        <v>15813</v>
      </c>
      <c r="D12841" t="s">
        <v>17201</v>
      </c>
      <c r="E12841" t="s">
        <v>28170</v>
      </c>
      <c r="F12841" t="s">
        <v>29372</v>
      </c>
      <c r="G12841" t="s">
        <v>29380</v>
      </c>
      <c r="H12841" t="s">
        <v>29389</v>
      </c>
      <c r="I12841" t="s">
        <v>10408</v>
      </c>
      <c r="J12841" t="s">
        <v>37632</v>
      </c>
      <c r="K12841" t="s">
        <v>38577</v>
      </c>
      <c r="M12841" t="s">
        <v>39867</v>
      </c>
      <c r="N12841" t="s">
        <v>42669</v>
      </c>
      <c r="O12841" t="s">
        <v>42670</v>
      </c>
      <c r="P12841">
        <v>0</v>
      </c>
      <c r="Q12841">
        <v>1</v>
      </c>
      <c r="R12841" t="s">
        <v>42690</v>
      </c>
      <c r="S12841" t="s">
        <v>43574</v>
      </c>
      <c r="T12841" t="s">
        <v>44427</v>
      </c>
      <c r="U12841" t="s">
        <v>55263</v>
      </c>
      <c r="W12841" t="s">
        <v>39867</v>
      </c>
      <c r="X12841" t="s">
        <v>42691</v>
      </c>
    </row>
    <row r="12842" spans="1:24">
      <c r="A12842">
        <f>HYPERLINK("https://www.philgeps.gov.ph/GEPSNONPILOT/Tender/SplashBidNoticeAbstractUI.aspx?menuIndex=3&amp;refID=7158192&amp;Result=3","7158192")</f>
        <v>0</v>
      </c>
      <c r="B12842" t="s">
        <v>1839</v>
      </c>
      <c r="C12842" t="s">
        <v>15814</v>
      </c>
      <c r="D12842" t="s">
        <v>17226</v>
      </c>
      <c r="E12842" t="s">
        <v>28171</v>
      </c>
      <c r="F12842" t="s">
        <v>29372</v>
      </c>
      <c r="G12842" t="s">
        <v>29380</v>
      </c>
      <c r="H12842" t="s">
        <v>29390</v>
      </c>
      <c r="I12842" t="s">
        <v>8208</v>
      </c>
      <c r="J12842" t="s">
        <v>37633</v>
      </c>
      <c r="K12842" t="s">
        <v>38586</v>
      </c>
      <c r="M12842" t="s">
        <v>40710</v>
      </c>
      <c r="N12842" t="s">
        <v>42669</v>
      </c>
      <c r="O12842" t="s">
        <v>42670</v>
      </c>
      <c r="P12842">
        <v>0</v>
      </c>
      <c r="Q12842">
        <v>1</v>
      </c>
      <c r="R12842" t="s">
        <v>42690</v>
      </c>
      <c r="S12842" t="s">
        <v>43574</v>
      </c>
      <c r="T12842" t="s">
        <v>44417</v>
      </c>
      <c r="U12842" t="s">
        <v>55264</v>
      </c>
      <c r="W12842" t="s">
        <v>40710</v>
      </c>
      <c r="X12842" t="s">
        <v>42691</v>
      </c>
    </row>
    <row r="12843" spans="1:24">
      <c r="A12843">
        <f>HYPERLINK("https://www.philgeps.gov.ph/GEPSNONPILOT/Tender/SplashBidNoticeAbstractUI.aspx?menuIndex=3&amp;refID=7158191&amp;Result=3","7158191")</f>
        <v>0</v>
      </c>
      <c r="B12843" t="s">
        <v>2533</v>
      </c>
      <c r="C12843" t="s">
        <v>15815</v>
      </c>
      <c r="E12843" t="s">
        <v>28172</v>
      </c>
      <c r="F12843" t="s">
        <v>29372</v>
      </c>
      <c r="G12843" t="s">
        <v>29380</v>
      </c>
      <c r="H12843" t="s">
        <v>11048</v>
      </c>
      <c r="I12843" t="s">
        <v>9469</v>
      </c>
      <c r="J12843" t="s">
        <v>29829</v>
      </c>
      <c r="K12843" t="s">
        <v>38490</v>
      </c>
      <c r="M12843" t="s">
        <v>41495</v>
      </c>
      <c r="N12843" t="s">
        <v>42669</v>
      </c>
      <c r="O12843" t="s">
        <v>42670</v>
      </c>
      <c r="Q12843">
        <v>14</v>
      </c>
      <c r="R12843" t="s">
        <v>42690</v>
      </c>
      <c r="S12843" t="s">
        <v>43703</v>
      </c>
      <c r="T12843" t="s">
        <v>44498</v>
      </c>
      <c r="U12843" t="s">
        <v>51447</v>
      </c>
      <c r="W12843" t="s">
        <v>41495</v>
      </c>
      <c r="X12843" t="s">
        <v>42691</v>
      </c>
    </row>
    <row r="12844" spans="1:24">
      <c r="A12844">
        <f>HYPERLINK("https://www.philgeps.gov.ph/GEPSNONPILOT/Tender/SplashBidNoticeAbstractUI.aspx?menuIndex=3&amp;refID=7158208&amp;Result=3","7158208")</f>
        <v>0</v>
      </c>
      <c r="B12844" t="s">
        <v>2533</v>
      </c>
      <c r="C12844" t="s">
        <v>15816</v>
      </c>
      <c r="E12844" t="s">
        <v>28173</v>
      </c>
      <c r="F12844" t="s">
        <v>29372</v>
      </c>
      <c r="G12844" t="s">
        <v>29380</v>
      </c>
      <c r="H12844" t="s">
        <v>11048</v>
      </c>
      <c r="I12844" t="s">
        <v>29460</v>
      </c>
      <c r="J12844" t="s">
        <v>37634</v>
      </c>
      <c r="K12844" t="s">
        <v>38490</v>
      </c>
      <c r="M12844" t="s">
        <v>41495</v>
      </c>
      <c r="N12844" t="s">
        <v>42669</v>
      </c>
      <c r="O12844" t="s">
        <v>42670</v>
      </c>
      <c r="Q12844">
        <v>15</v>
      </c>
      <c r="R12844" t="s">
        <v>42690</v>
      </c>
      <c r="S12844" t="s">
        <v>43704</v>
      </c>
      <c r="T12844" t="s">
        <v>44498</v>
      </c>
      <c r="U12844" t="s">
        <v>55265</v>
      </c>
      <c r="W12844" t="s">
        <v>41495</v>
      </c>
      <c r="X12844" t="s">
        <v>42691</v>
      </c>
    </row>
    <row r="12845" spans="1:24">
      <c r="A12845">
        <f>HYPERLINK("https://www.philgeps.gov.ph/GEPSNONPILOT/Tender/SplashBidNoticeAbstractUI.aspx?menuIndex=3&amp;refID=7158182&amp;Result=3","7158182")</f>
        <v>0</v>
      </c>
      <c r="B12845" t="s">
        <v>2962</v>
      </c>
      <c r="C12845" t="s">
        <v>15817</v>
      </c>
      <c r="D12845" t="s">
        <v>17177</v>
      </c>
      <c r="E12845" t="s">
        <v>28174</v>
      </c>
      <c r="F12845" t="s">
        <v>29372</v>
      </c>
      <c r="G12845" t="s">
        <v>29380</v>
      </c>
      <c r="H12845" t="s">
        <v>29389</v>
      </c>
      <c r="I12845" t="s">
        <v>10408</v>
      </c>
      <c r="J12845" t="s">
        <v>30056</v>
      </c>
      <c r="K12845" t="s">
        <v>38495</v>
      </c>
      <c r="M12845" t="s">
        <v>41972</v>
      </c>
      <c r="N12845" t="s">
        <v>42669</v>
      </c>
      <c r="O12845" t="s">
        <v>42670</v>
      </c>
      <c r="P12845">
        <v>0</v>
      </c>
      <c r="Q12845">
        <v>3</v>
      </c>
      <c r="R12845" t="s">
        <v>42690</v>
      </c>
      <c r="S12845" t="s">
        <v>43574</v>
      </c>
      <c r="T12845" t="s">
        <v>44425</v>
      </c>
      <c r="U12845" t="s">
        <v>55266</v>
      </c>
      <c r="W12845" t="s">
        <v>41972</v>
      </c>
      <c r="X12845" t="s">
        <v>42691</v>
      </c>
    </row>
    <row r="12846" spans="1:24">
      <c r="A12846">
        <f>HYPERLINK("https://www.philgeps.gov.ph/GEPSNONPILOT/Tender/SplashBidNoticeAbstractUI.aspx?menuIndex=3&amp;refID=7158113&amp;Result=3","7158113")</f>
        <v>0</v>
      </c>
      <c r="B12846" t="s">
        <v>240</v>
      </c>
      <c r="C12846" t="s">
        <v>15818</v>
      </c>
      <c r="D12846" t="s">
        <v>17185</v>
      </c>
      <c r="E12846" t="s">
        <v>24393</v>
      </c>
      <c r="F12846" t="s">
        <v>29372</v>
      </c>
      <c r="G12846" t="s">
        <v>29380</v>
      </c>
      <c r="H12846" t="s">
        <v>11048</v>
      </c>
      <c r="I12846" t="s">
        <v>29442</v>
      </c>
      <c r="J12846" t="s">
        <v>29728</v>
      </c>
      <c r="K12846" t="s">
        <v>38495</v>
      </c>
      <c r="M12846" t="s">
        <v>38999</v>
      </c>
      <c r="N12846" t="s">
        <v>42669</v>
      </c>
      <c r="O12846" t="s">
        <v>42670</v>
      </c>
      <c r="P12846">
        <v>0</v>
      </c>
      <c r="Q12846">
        <v>15</v>
      </c>
      <c r="R12846" t="s">
        <v>42690</v>
      </c>
      <c r="S12846" t="s">
        <v>43574</v>
      </c>
      <c r="T12846" t="s">
        <v>44401</v>
      </c>
      <c r="U12846" t="s">
        <v>55267</v>
      </c>
      <c r="W12846" t="s">
        <v>38999</v>
      </c>
      <c r="X12846" t="s">
        <v>42691</v>
      </c>
    </row>
    <row r="12847" spans="1:24">
      <c r="A12847">
        <f>HYPERLINK("https://www.philgeps.gov.ph/GEPSNONPILOT/Tender/SplashBidNoticeAbstractUI.aspx?menuIndex=3&amp;refID=7158108&amp;Result=3","7158108")</f>
        <v>0</v>
      </c>
      <c r="B12847" t="s">
        <v>2540</v>
      </c>
      <c r="C12847" t="s">
        <v>15819</v>
      </c>
      <c r="E12847" t="s">
        <v>28175</v>
      </c>
      <c r="F12847" t="s">
        <v>29372</v>
      </c>
      <c r="G12847" t="s">
        <v>29380</v>
      </c>
      <c r="H12847" t="s">
        <v>29389</v>
      </c>
      <c r="I12847" t="s">
        <v>4709</v>
      </c>
      <c r="J12847" t="s">
        <v>37635</v>
      </c>
      <c r="K12847" t="s">
        <v>38495</v>
      </c>
      <c r="M12847" t="s">
        <v>41502</v>
      </c>
      <c r="N12847" t="s">
        <v>42669</v>
      </c>
      <c r="O12847" t="s">
        <v>42670</v>
      </c>
      <c r="Q12847">
        <v>2</v>
      </c>
      <c r="R12847" t="s">
        <v>42690</v>
      </c>
      <c r="S12847" t="s">
        <v>43705</v>
      </c>
      <c r="T12847" t="s">
        <v>44446</v>
      </c>
      <c r="U12847" t="s">
        <v>51474</v>
      </c>
      <c r="W12847" t="s">
        <v>41502</v>
      </c>
      <c r="X12847" t="s">
        <v>42691</v>
      </c>
    </row>
    <row r="12848" spans="1:24">
      <c r="A12848">
        <f>HYPERLINK("https://www.philgeps.gov.ph/GEPSNONPILOT/Tender/SplashBidNoticeAbstractUI.aspx?menuIndex=3&amp;refID=7158087&amp;Result=3","7158087")</f>
        <v>0</v>
      </c>
      <c r="B12848" t="s">
        <v>2962</v>
      </c>
      <c r="C12848" t="s">
        <v>15820</v>
      </c>
      <c r="D12848" t="s">
        <v>17177</v>
      </c>
      <c r="E12848" t="s">
        <v>28176</v>
      </c>
      <c r="F12848" t="s">
        <v>29372</v>
      </c>
      <c r="G12848" t="s">
        <v>29380</v>
      </c>
      <c r="H12848" t="s">
        <v>29389</v>
      </c>
      <c r="I12848" t="s">
        <v>10408</v>
      </c>
      <c r="J12848" t="s">
        <v>29619</v>
      </c>
      <c r="K12848" t="s">
        <v>38485</v>
      </c>
      <c r="M12848" t="s">
        <v>41972</v>
      </c>
      <c r="N12848" t="s">
        <v>42669</v>
      </c>
      <c r="O12848" t="s">
        <v>42670</v>
      </c>
      <c r="P12848">
        <v>0</v>
      </c>
      <c r="Q12848">
        <v>2</v>
      </c>
      <c r="R12848" t="s">
        <v>42690</v>
      </c>
      <c r="S12848" t="s">
        <v>43574</v>
      </c>
      <c r="T12848" t="s">
        <v>44425</v>
      </c>
      <c r="U12848" t="s">
        <v>55268</v>
      </c>
      <c r="W12848" t="s">
        <v>41972</v>
      </c>
      <c r="X12848" t="s">
        <v>42691</v>
      </c>
    </row>
    <row r="12849" spans="1:24">
      <c r="A12849">
        <f>HYPERLINK("https://www.philgeps.gov.ph/GEPSNONPILOT/Tender/SplashBidNoticeAbstractUI.aspx?menuIndex=3&amp;refID=7158085&amp;Result=3","7158085")</f>
        <v>0</v>
      </c>
      <c r="B12849" t="s">
        <v>1324</v>
      </c>
      <c r="C12849" t="s">
        <v>15821</v>
      </c>
      <c r="D12849" t="s">
        <v>17173</v>
      </c>
      <c r="E12849" t="s">
        <v>28177</v>
      </c>
      <c r="F12849" t="s">
        <v>29372</v>
      </c>
      <c r="G12849" t="s">
        <v>29380</v>
      </c>
      <c r="H12849" t="s">
        <v>29389</v>
      </c>
      <c r="I12849" t="s">
        <v>10408</v>
      </c>
      <c r="J12849" t="s">
        <v>30244</v>
      </c>
      <c r="K12849" t="s">
        <v>38533</v>
      </c>
      <c r="M12849" t="s">
        <v>40160</v>
      </c>
      <c r="N12849" t="s">
        <v>42669</v>
      </c>
      <c r="O12849" t="s">
        <v>42670</v>
      </c>
      <c r="P12849">
        <v>0</v>
      </c>
      <c r="Q12849">
        <v>4</v>
      </c>
      <c r="R12849" t="s">
        <v>42690</v>
      </c>
      <c r="S12849" t="s">
        <v>43574</v>
      </c>
      <c r="T12849" t="s">
        <v>44714</v>
      </c>
      <c r="U12849" t="s">
        <v>55269</v>
      </c>
      <c r="W12849" t="s">
        <v>40160</v>
      </c>
      <c r="X12849" t="s">
        <v>42691</v>
      </c>
    </row>
    <row r="12850" spans="1:24">
      <c r="A12850">
        <f>HYPERLINK("https://www.philgeps.gov.ph/GEPSNONPILOT/Tender/SplashBidNoticeAbstractUI.aspx?menuIndex=3&amp;refID=7158194&amp;Result=3","7158194")</f>
        <v>0</v>
      </c>
      <c r="B12850" t="s">
        <v>119</v>
      </c>
      <c r="C12850" t="s">
        <v>15822</v>
      </c>
      <c r="D12850" t="s">
        <v>17141</v>
      </c>
      <c r="E12850" t="s">
        <v>28178</v>
      </c>
      <c r="F12850" t="s">
        <v>29372</v>
      </c>
      <c r="G12850" t="s">
        <v>29380</v>
      </c>
      <c r="H12850" t="s">
        <v>11048</v>
      </c>
      <c r="I12850" t="s">
        <v>8614</v>
      </c>
      <c r="J12850" t="s">
        <v>37636</v>
      </c>
      <c r="K12850" t="s">
        <v>38580</v>
      </c>
      <c r="M12850" t="s">
        <v>40842</v>
      </c>
      <c r="N12850" t="s">
        <v>42669</v>
      </c>
      <c r="O12850" t="s">
        <v>42670</v>
      </c>
      <c r="Q12850">
        <v>13</v>
      </c>
      <c r="R12850" t="s">
        <v>42690</v>
      </c>
      <c r="S12850" t="s">
        <v>43706</v>
      </c>
      <c r="T12850" t="s">
        <v>44532</v>
      </c>
      <c r="U12850" t="s">
        <v>49464</v>
      </c>
      <c r="V12850" t="s">
        <v>56990</v>
      </c>
      <c r="W12850" t="s">
        <v>40842</v>
      </c>
      <c r="X12850" t="s">
        <v>42691</v>
      </c>
    </row>
    <row r="12851" spans="1:24">
      <c r="A12851">
        <f>HYPERLINK("https://www.philgeps.gov.ph/GEPSNONPILOT/Tender/SplashBidNoticeAbstractUI.aspx?menuIndex=3&amp;refID=7158177&amp;Result=3","7158177")</f>
        <v>0</v>
      </c>
      <c r="B12851" t="s">
        <v>2533</v>
      </c>
      <c r="C12851" t="s">
        <v>15823</v>
      </c>
      <c r="E12851" t="s">
        <v>28179</v>
      </c>
      <c r="F12851" t="s">
        <v>29372</v>
      </c>
      <c r="G12851" t="s">
        <v>29380</v>
      </c>
      <c r="H12851" t="s">
        <v>11048</v>
      </c>
      <c r="I12851" t="s">
        <v>29467</v>
      </c>
      <c r="J12851" t="s">
        <v>30244</v>
      </c>
      <c r="K12851" t="s">
        <v>38490</v>
      </c>
      <c r="M12851" t="s">
        <v>41495</v>
      </c>
      <c r="N12851" t="s">
        <v>42669</v>
      </c>
      <c r="O12851" t="s">
        <v>42670</v>
      </c>
      <c r="Q12851">
        <v>6</v>
      </c>
      <c r="R12851" t="s">
        <v>42690</v>
      </c>
      <c r="S12851" t="s">
        <v>43707</v>
      </c>
      <c r="T12851" t="s">
        <v>44498</v>
      </c>
      <c r="U12851" t="s">
        <v>51447</v>
      </c>
      <c r="W12851" t="s">
        <v>41495</v>
      </c>
      <c r="X12851" t="s">
        <v>42691</v>
      </c>
    </row>
    <row r="12852" spans="1:24">
      <c r="A12852">
        <f>HYPERLINK("https://www.philgeps.gov.ph/GEPSNONPILOT/Tender/SplashBidNoticeAbstractUI.aspx?menuIndex=3&amp;refID=7158103&amp;Result=3","7158103")</f>
        <v>0</v>
      </c>
      <c r="B12852" t="s">
        <v>1178</v>
      </c>
      <c r="C12852" t="s">
        <v>15824</v>
      </c>
      <c r="D12852" t="s">
        <v>17192</v>
      </c>
      <c r="E12852" t="s">
        <v>28180</v>
      </c>
      <c r="F12852" t="s">
        <v>29372</v>
      </c>
      <c r="G12852" t="s">
        <v>29380</v>
      </c>
      <c r="H12852" t="s">
        <v>11048</v>
      </c>
      <c r="I12852" t="s">
        <v>29436</v>
      </c>
      <c r="J12852" t="s">
        <v>37637</v>
      </c>
      <c r="K12852" t="s">
        <v>38485</v>
      </c>
      <c r="M12852" t="s">
        <v>39993</v>
      </c>
      <c r="N12852" t="s">
        <v>42669</v>
      </c>
      <c r="O12852" t="s">
        <v>42670</v>
      </c>
      <c r="Q12852">
        <v>8</v>
      </c>
      <c r="R12852" t="s">
        <v>42690</v>
      </c>
      <c r="S12852" t="s">
        <v>43708</v>
      </c>
      <c r="T12852" t="s">
        <v>44845</v>
      </c>
      <c r="U12852" t="s">
        <v>55230</v>
      </c>
      <c r="W12852" t="s">
        <v>39993</v>
      </c>
      <c r="X12852" t="s">
        <v>42691</v>
      </c>
    </row>
    <row r="12853" spans="1:24">
      <c r="A12853">
        <f>HYPERLINK("https://www.philgeps.gov.ph/GEPSNONPILOT/Tender/SplashBidNoticeAbstractUI.aspx?menuIndex=3&amp;refID=7158258&amp;Result=3","7158258")</f>
        <v>0</v>
      </c>
      <c r="B12853" t="s">
        <v>3222</v>
      </c>
      <c r="C12853" t="s">
        <v>15825</v>
      </c>
      <c r="D12853" t="s">
        <v>17226</v>
      </c>
      <c r="E12853" t="s">
        <v>28181</v>
      </c>
      <c r="F12853" t="s">
        <v>29372</v>
      </c>
      <c r="G12853" t="s">
        <v>29380</v>
      </c>
      <c r="H12853" t="s">
        <v>11048</v>
      </c>
      <c r="I12853" t="s">
        <v>9469</v>
      </c>
      <c r="J12853" t="s">
        <v>32299</v>
      </c>
      <c r="K12853" t="s">
        <v>38510</v>
      </c>
      <c r="M12853" t="s">
        <v>42287</v>
      </c>
      <c r="N12853" t="s">
        <v>42669</v>
      </c>
      <c r="O12853" t="s">
        <v>42670</v>
      </c>
      <c r="P12853">
        <v>0</v>
      </c>
      <c r="Q12853">
        <v>0</v>
      </c>
      <c r="R12853" t="s">
        <v>42690</v>
      </c>
      <c r="S12853" t="s">
        <v>43574</v>
      </c>
      <c r="T12853" t="s">
        <v>44399</v>
      </c>
      <c r="U12853" t="s">
        <v>55270</v>
      </c>
      <c r="W12853" t="s">
        <v>42287</v>
      </c>
      <c r="X12853" t="s">
        <v>42691</v>
      </c>
    </row>
    <row r="12854" spans="1:24">
      <c r="A12854">
        <f>HYPERLINK("https://www.philgeps.gov.ph/GEPSNONPILOT/Tender/SplashBidNoticeAbstractUI.aspx?menuIndex=3&amp;refID=7158225&amp;Result=3","7158225")</f>
        <v>0</v>
      </c>
      <c r="B12854" t="s">
        <v>2533</v>
      </c>
      <c r="C12854" t="s">
        <v>15826</v>
      </c>
      <c r="E12854" t="s">
        <v>28182</v>
      </c>
      <c r="F12854" t="s">
        <v>29372</v>
      </c>
      <c r="G12854" t="s">
        <v>29380</v>
      </c>
      <c r="H12854" t="s">
        <v>11048</v>
      </c>
      <c r="I12854" t="s">
        <v>29460</v>
      </c>
      <c r="J12854" t="s">
        <v>37638</v>
      </c>
      <c r="K12854" t="s">
        <v>38490</v>
      </c>
      <c r="M12854" t="s">
        <v>41495</v>
      </c>
      <c r="N12854" t="s">
        <v>42669</v>
      </c>
      <c r="O12854" t="s">
        <v>42670</v>
      </c>
      <c r="Q12854">
        <v>16</v>
      </c>
      <c r="R12854" t="s">
        <v>42690</v>
      </c>
      <c r="S12854" t="s">
        <v>43709</v>
      </c>
      <c r="T12854" t="s">
        <v>44498</v>
      </c>
      <c r="U12854" t="s">
        <v>51447</v>
      </c>
      <c r="W12854" t="s">
        <v>41495</v>
      </c>
      <c r="X12854" t="s">
        <v>42691</v>
      </c>
    </row>
    <row r="12855" spans="1:24">
      <c r="A12855">
        <f>HYPERLINK("https://www.philgeps.gov.ph/GEPSNONPILOT/Tender/SplashBidNoticeAbstractUI.aspx?menuIndex=3&amp;refID=7158326&amp;Result=3","7158326")</f>
        <v>0</v>
      </c>
      <c r="B12855" t="s">
        <v>608</v>
      </c>
      <c r="C12855" t="s">
        <v>15827</v>
      </c>
      <c r="D12855" t="s">
        <v>17189</v>
      </c>
      <c r="E12855" t="s">
        <v>28183</v>
      </c>
      <c r="F12855" t="s">
        <v>29372</v>
      </c>
      <c r="G12855" t="s">
        <v>29380</v>
      </c>
      <c r="H12855" t="s">
        <v>29391</v>
      </c>
      <c r="I12855" t="s">
        <v>29391</v>
      </c>
      <c r="J12855" t="s">
        <v>37639</v>
      </c>
      <c r="K12855" t="s">
        <v>38488</v>
      </c>
      <c r="M12855" t="s">
        <v>41638</v>
      </c>
      <c r="N12855" t="s">
        <v>42669</v>
      </c>
      <c r="O12855" t="s">
        <v>42670</v>
      </c>
      <c r="P12855">
        <v>0</v>
      </c>
      <c r="Q12855">
        <v>6</v>
      </c>
      <c r="R12855" t="s">
        <v>42690</v>
      </c>
      <c r="S12855" t="s">
        <v>43574</v>
      </c>
      <c r="T12855" t="s">
        <v>44409</v>
      </c>
      <c r="U12855" t="s">
        <v>55271</v>
      </c>
      <c r="W12855" t="s">
        <v>41638</v>
      </c>
      <c r="X12855" t="s">
        <v>42691</v>
      </c>
    </row>
    <row r="12856" spans="1:24">
      <c r="A12856">
        <f>HYPERLINK("https://www.philgeps.gov.ph/GEPSNONPILOT/Tender/SplashBidNoticeAbstractUI.aspx?menuIndex=3&amp;refID=7158366&amp;Result=3","7158366")</f>
        <v>0</v>
      </c>
      <c r="B12856" t="s">
        <v>383</v>
      </c>
      <c r="C12856" t="s">
        <v>15828</v>
      </c>
      <c r="D12856" t="s">
        <v>17159</v>
      </c>
      <c r="E12856" t="s">
        <v>28184</v>
      </c>
      <c r="F12856" t="s">
        <v>29372</v>
      </c>
      <c r="G12856" t="s">
        <v>29384</v>
      </c>
      <c r="H12856" t="s">
        <v>29389</v>
      </c>
      <c r="I12856" t="s">
        <v>10408</v>
      </c>
      <c r="J12856" t="s">
        <v>37640</v>
      </c>
      <c r="K12856" t="s">
        <v>38525</v>
      </c>
      <c r="M12856" t="s">
        <v>39145</v>
      </c>
      <c r="N12856" t="s">
        <v>42669</v>
      </c>
      <c r="O12856" t="s">
        <v>42670</v>
      </c>
      <c r="P12856">
        <v>0</v>
      </c>
      <c r="Q12856">
        <v>3</v>
      </c>
      <c r="R12856" t="s">
        <v>42690</v>
      </c>
      <c r="S12856" t="s">
        <v>43574</v>
      </c>
      <c r="T12856" t="s">
        <v>44488</v>
      </c>
      <c r="U12856" t="s">
        <v>55272</v>
      </c>
      <c r="W12856" t="s">
        <v>39145</v>
      </c>
      <c r="X12856" t="s">
        <v>42691</v>
      </c>
    </row>
    <row r="12857" spans="1:24">
      <c r="A12857">
        <f>HYPERLINK("https://www.philgeps.gov.ph/GEPSNONPILOT/Tender/SplashBidNoticeAbstractUI.aspx?menuIndex=3&amp;refID=7158362&amp;Result=3","7158362")</f>
        <v>0</v>
      </c>
      <c r="B12857" t="s">
        <v>2222</v>
      </c>
      <c r="C12857" t="s">
        <v>15829</v>
      </c>
      <c r="E12857" t="s">
        <v>28185</v>
      </c>
      <c r="F12857" t="s">
        <v>29372</v>
      </c>
      <c r="G12857" t="s">
        <v>29380</v>
      </c>
      <c r="H12857" t="s">
        <v>11048</v>
      </c>
      <c r="I12857" t="s">
        <v>5383</v>
      </c>
      <c r="J12857" t="s">
        <v>37641</v>
      </c>
      <c r="K12857" t="s">
        <v>38490</v>
      </c>
      <c r="M12857" t="s">
        <v>41140</v>
      </c>
      <c r="N12857" t="s">
        <v>42669</v>
      </c>
      <c r="O12857" t="s">
        <v>42670</v>
      </c>
      <c r="Q12857">
        <v>6</v>
      </c>
      <c r="R12857" t="s">
        <v>42690</v>
      </c>
      <c r="S12857" t="s">
        <v>43710</v>
      </c>
      <c r="T12857" t="s">
        <v>44427</v>
      </c>
      <c r="U12857" t="s">
        <v>55273</v>
      </c>
      <c r="W12857" t="s">
        <v>41140</v>
      </c>
      <c r="X12857" t="s">
        <v>42691</v>
      </c>
    </row>
    <row r="12858" spans="1:24">
      <c r="A12858">
        <f>HYPERLINK("https://www.philgeps.gov.ph/GEPSNONPILOT/Tender/SplashBidNoticeAbstractUI.aspx?menuIndex=3&amp;refID=7158347&amp;Result=3","7158347")</f>
        <v>0</v>
      </c>
      <c r="B12858" t="s">
        <v>1740</v>
      </c>
      <c r="C12858" t="s">
        <v>15830</v>
      </c>
      <c r="D12858" t="s">
        <v>17196</v>
      </c>
      <c r="E12858" t="s">
        <v>28186</v>
      </c>
      <c r="F12858" t="s">
        <v>29372</v>
      </c>
      <c r="G12858" t="s">
        <v>29380</v>
      </c>
      <c r="H12858" t="s">
        <v>29389</v>
      </c>
      <c r="I12858" t="s">
        <v>10408</v>
      </c>
      <c r="J12858" t="s">
        <v>37642</v>
      </c>
      <c r="K12858" t="s">
        <v>38548</v>
      </c>
      <c r="M12858" t="s">
        <v>40605</v>
      </c>
      <c r="N12858" t="s">
        <v>42669</v>
      </c>
      <c r="O12858" t="s">
        <v>42670</v>
      </c>
      <c r="Q12858">
        <v>9</v>
      </c>
      <c r="R12858" t="s">
        <v>42690</v>
      </c>
      <c r="S12858" t="s">
        <v>43711</v>
      </c>
      <c r="T12858" t="s">
        <v>44488</v>
      </c>
      <c r="U12858" t="s">
        <v>55274</v>
      </c>
      <c r="V12858" t="s">
        <v>57847</v>
      </c>
      <c r="W12858" t="s">
        <v>58053</v>
      </c>
      <c r="X12858" t="s">
        <v>42691</v>
      </c>
    </row>
    <row r="12859" spans="1:24">
      <c r="A12859">
        <f>HYPERLINK("https://www.philgeps.gov.ph/GEPSNONPILOT/Tender/SplashBidNoticeAbstractUI.aspx?menuIndex=3&amp;refID=7158341&amp;Result=3","7158341")</f>
        <v>0</v>
      </c>
      <c r="B12859" t="s">
        <v>1740</v>
      </c>
      <c r="C12859" t="s">
        <v>15831</v>
      </c>
      <c r="D12859" t="s">
        <v>17196</v>
      </c>
      <c r="E12859" t="s">
        <v>28187</v>
      </c>
      <c r="F12859" t="s">
        <v>29372</v>
      </c>
      <c r="G12859" t="s">
        <v>29380</v>
      </c>
      <c r="H12859" t="s">
        <v>29389</v>
      </c>
      <c r="I12859" t="s">
        <v>10408</v>
      </c>
      <c r="J12859" t="s">
        <v>37643</v>
      </c>
      <c r="K12859" t="s">
        <v>38564</v>
      </c>
      <c r="M12859" t="s">
        <v>40605</v>
      </c>
      <c r="N12859" t="s">
        <v>42669</v>
      </c>
      <c r="O12859" t="s">
        <v>42670</v>
      </c>
      <c r="Q12859">
        <v>8</v>
      </c>
      <c r="R12859" t="s">
        <v>42690</v>
      </c>
      <c r="S12859" t="s">
        <v>43712</v>
      </c>
      <c r="T12859" t="s">
        <v>44488</v>
      </c>
      <c r="U12859" t="s">
        <v>55275</v>
      </c>
      <c r="V12859" t="s">
        <v>57848</v>
      </c>
      <c r="W12859" t="s">
        <v>58053</v>
      </c>
      <c r="X12859" t="s">
        <v>42691</v>
      </c>
    </row>
    <row r="12860" spans="1:24">
      <c r="A12860">
        <f>HYPERLINK("https://www.philgeps.gov.ph/GEPSNONPILOT/Tender/SplashBidNoticeAbstractUI.aspx?menuIndex=3&amp;refID=7158340&amp;Result=3","7158340")</f>
        <v>0</v>
      </c>
      <c r="B12860" t="s">
        <v>454</v>
      </c>
      <c r="C12860" t="s">
        <v>15832</v>
      </c>
      <c r="D12860" t="s">
        <v>17183</v>
      </c>
      <c r="E12860" t="s">
        <v>28188</v>
      </c>
      <c r="F12860" t="s">
        <v>29372</v>
      </c>
      <c r="G12860" t="s">
        <v>29380</v>
      </c>
      <c r="H12860" t="s">
        <v>11048</v>
      </c>
      <c r="I12860" t="s">
        <v>29409</v>
      </c>
      <c r="J12860" t="s">
        <v>37644</v>
      </c>
      <c r="K12860" t="s">
        <v>38488</v>
      </c>
      <c r="M12860" t="s">
        <v>39218</v>
      </c>
      <c r="N12860" t="s">
        <v>42669</v>
      </c>
      <c r="O12860" t="s">
        <v>42670</v>
      </c>
      <c r="Q12860">
        <v>13</v>
      </c>
      <c r="R12860" t="s">
        <v>42690</v>
      </c>
      <c r="S12860" t="s">
        <v>43713</v>
      </c>
      <c r="T12860" t="s">
        <v>44401</v>
      </c>
      <c r="U12860" t="s">
        <v>55276</v>
      </c>
      <c r="W12860" t="s">
        <v>39218</v>
      </c>
      <c r="X12860" t="s">
        <v>42691</v>
      </c>
    </row>
    <row r="12861" spans="1:24">
      <c r="A12861">
        <f>HYPERLINK("https://www.philgeps.gov.ph/GEPSNONPILOT/Tender/SplashBidNoticeAbstractUI.aspx?menuIndex=3&amp;refID=7158407&amp;Result=3","7158407")</f>
        <v>0</v>
      </c>
      <c r="B12861" t="s">
        <v>2093</v>
      </c>
      <c r="C12861" t="s">
        <v>15833</v>
      </c>
      <c r="D12861" t="s">
        <v>17141</v>
      </c>
      <c r="E12861" t="s">
        <v>17448</v>
      </c>
      <c r="F12861" t="s">
        <v>29372</v>
      </c>
      <c r="G12861" t="s">
        <v>29380</v>
      </c>
      <c r="H12861" t="s">
        <v>29391</v>
      </c>
      <c r="I12861" t="s">
        <v>29391</v>
      </c>
      <c r="J12861" t="s">
        <v>29724</v>
      </c>
      <c r="K12861" t="s">
        <v>38495</v>
      </c>
      <c r="M12861" t="s">
        <v>40995</v>
      </c>
      <c r="N12861" t="s">
        <v>42669</v>
      </c>
      <c r="O12861" t="s">
        <v>42670</v>
      </c>
      <c r="Q12861">
        <v>3</v>
      </c>
      <c r="R12861" t="s">
        <v>42690</v>
      </c>
      <c r="S12861" t="s">
        <v>43714</v>
      </c>
      <c r="T12861" t="s">
        <v>44846</v>
      </c>
      <c r="U12861" t="s">
        <v>55277</v>
      </c>
      <c r="V12861" t="s">
        <v>57035</v>
      </c>
      <c r="W12861" t="s">
        <v>40995</v>
      </c>
      <c r="X12861" t="s">
        <v>42691</v>
      </c>
    </row>
    <row r="12862" spans="1:24">
      <c r="A12862">
        <f>HYPERLINK("https://www.philgeps.gov.ph/GEPSNONPILOT/Tender/SplashBidNoticeAbstractUI.aspx?menuIndex=3&amp;refID=7158336&amp;Result=3","7158336")</f>
        <v>0</v>
      </c>
      <c r="B12862" t="s">
        <v>1740</v>
      </c>
      <c r="C12862" t="s">
        <v>15834</v>
      </c>
      <c r="D12862" t="s">
        <v>17196</v>
      </c>
      <c r="E12862" t="s">
        <v>28189</v>
      </c>
      <c r="F12862" t="s">
        <v>29372</v>
      </c>
      <c r="G12862" t="s">
        <v>29380</v>
      </c>
      <c r="H12862" t="s">
        <v>29389</v>
      </c>
      <c r="I12862" t="s">
        <v>10408</v>
      </c>
      <c r="J12862" t="s">
        <v>37645</v>
      </c>
      <c r="K12862" t="s">
        <v>38485</v>
      </c>
      <c r="M12862" t="s">
        <v>40605</v>
      </c>
      <c r="N12862" t="s">
        <v>42669</v>
      </c>
      <c r="O12862" t="s">
        <v>42670</v>
      </c>
      <c r="Q12862">
        <v>4</v>
      </c>
      <c r="R12862" t="s">
        <v>42690</v>
      </c>
      <c r="S12862" t="s">
        <v>43715</v>
      </c>
      <c r="T12862" t="s">
        <v>44488</v>
      </c>
      <c r="U12862" t="s">
        <v>55278</v>
      </c>
      <c r="V12862" t="s">
        <v>57849</v>
      </c>
      <c r="W12862" t="s">
        <v>58053</v>
      </c>
      <c r="X12862" t="s">
        <v>42691</v>
      </c>
    </row>
    <row r="12863" spans="1:24">
      <c r="A12863">
        <f>HYPERLINK("https://www.philgeps.gov.ph/GEPSNONPILOT/Tender/SplashBidNoticeAbstractUI.aspx?menuIndex=3&amp;refID=7158355&amp;Result=3","7158355")</f>
        <v>0</v>
      </c>
      <c r="B12863" t="s">
        <v>608</v>
      </c>
      <c r="C12863" t="s">
        <v>15835</v>
      </c>
      <c r="D12863" t="s">
        <v>17189</v>
      </c>
      <c r="E12863" t="s">
        <v>28190</v>
      </c>
      <c r="F12863" t="s">
        <v>29372</v>
      </c>
      <c r="G12863" t="s">
        <v>29380</v>
      </c>
      <c r="H12863" t="s">
        <v>29391</v>
      </c>
      <c r="I12863" t="s">
        <v>29391</v>
      </c>
      <c r="J12863" t="s">
        <v>37646</v>
      </c>
      <c r="K12863" t="s">
        <v>38510</v>
      </c>
      <c r="M12863" t="s">
        <v>41638</v>
      </c>
      <c r="N12863" t="s">
        <v>42669</v>
      </c>
      <c r="O12863" t="s">
        <v>42670</v>
      </c>
      <c r="P12863">
        <v>0</v>
      </c>
      <c r="Q12863">
        <v>6</v>
      </c>
      <c r="R12863" t="s">
        <v>42690</v>
      </c>
      <c r="S12863" t="s">
        <v>43574</v>
      </c>
      <c r="T12863" t="s">
        <v>44409</v>
      </c>
      <c r="U12863" t="s">
        <v>55279</v>
      </c>
      <c r="W12863" t="s">
        <v>41638</v>
      </c>
      <c r="X12863" t="s">
        <v>42691</v>
      </c>
    </row>
    <row r="12864" spans="1:24">
      <c r="A12864">
        <f>HYPERLINK("https://www.philgeps.gov.ph/GEPSNONPILOT/Tender/SplashBidNoticeAbstractUI.aspx?menuIndex=3&amp;refID=7158436&amp;Result=3","7158436")</f>
        <v>0</v>
      </c>
      <c r="B12864" t="s">
        <v>2533</v>
      </c>
      <c r="C12864" t="s">
        <v>15836</v>
      </c>
      <c r="E12864" t="s">
        <v>28191</v>
      </c>
      <c r="F12864" t="s">
        <v>29372</v>
      </c>
      <c r="G12864" t="s">
        <v>29380</v>
      </c>
      <c r="H12864" t="s">
        <v>11048</v>
      </c>
      <c r="I12864" t="s">
        <v>29518</v>
      </c>
      <c r="J12864" t="s">
        <v>37647</v>
      </c>
      <c r="K12864" t="s">
        <v>38490</v>
      </c>
      <c r="M12864" t="s">
        <v>41495</v>
      </c>
      <c r="N12864" t="s">
        <v>42669</v>
      </c>
      <c r="O12864" t="s">
        <v>42670</v>
      </c>
      <c r="Q12864">
        <v>11</v>
      </c>
      <c r="R12864" t="s">
        <v>42690</v>
      </c>
      <c r="S12864" t="s">
        <v>43716</v>
      </c>
      <c r="T12864" t="s">
        <v>44498</v>
      </c>
      <c r="U12864" t="s">
        <v>51447</v>
      </c>
      <c r="W12864" t="s">
        <v>41495</v>
      </c>
      <c r="X12864" t="s">
        <v>42691</v>
      </c>
    </row>
    <row r="12865" spans="1:24">
      <c r="A12865">
        <f>HYPERLINK("https://www.philgeps.gov.ph/GEPSNONPILOT/Tender/SplashBidNoticeAbstractUI.aspx?menuIndex=3&amp;refID=7158408&amp;Result=3","7158408")</f>
        <v>0</v>
      </c>
      <c r="B12865" t="s">
        <v>2533</v>
      </c>
      <c r="C12865" t="s">
        <v>15837</v>
      </c>
      <c r="E12865" t="s">
        <v>28192</v>
      </c>
      <c r="F12865" t="s">
        <v>29372</v>
      </c>
      <c r="G12865" t="s">
        <v>29380</v>
      </c>
      <c r="H12865" t="s">
        <v>11048</v>
      </c>
      <c r="I12865" t="s">
        <v>29518</v>
      </c>
      <c r="J12865" t="s">
        <v>37648</v>
      </c>
      <c r="K12865" t="s">
        <v>38490</v>
      </c>
      <c r="M12865" t="s">
        <v>41495</v>
      </c>
      <c r="N12865" t="s">
        <v>42669</v>
      </c>
      <c r="O12865" t="s">
        <v>42670</v>
      </c>
      <c r="Q12865">
        <v>9</v>
      </c>
      <c r="R12865" t="s">
        <v>42690</v>
      </c>
      <c r="S12865" t="s">
        <v>43717</v>
      </c>
      <c r="T12865" t="s">
        <v>44498</v>
      </c>
      <c r="U12865" t="s">
        <v>51447</v>
      </c>
      <c r="W12865" t="s">
        <v>41495</v>
      </c>
      <c r="X12865" t="s">
        <v>42691</v>
      </c>
    </row>
    <row r="12866" spans="1:24">
      <c r="A12866">
        <f>HYPERLINK("https://www.philgeps.gov.ph/GEPSNONPILOT/Tender/SplashBidNoticeAbstractUI.aspx?menuIndex=3&amp;refID=7158427&amp;Result=3","7158427")</f>
        <v>0</v>
      </c>
      <c r="B12866" t="s">
        <v>2533</v>
      </c>
      <c r="C12866" t="s">
        <v>15838</v>
      </c>
      <c r="E12866" t="s">
        <v>28193</v>
      </c>
      <c r="F12866" t="s">
        <v>29372</v>
      </c>
      <c r="G12866" t="s">
        <v>29380</v>
      </c>
      <c r="H12866" t="s">
        <v>11048</v>
      </c>
      <c r="I12866" t="s">
        <v>29518</v>
      </c>
      <c r="J12866" t="s">
        <v>37649</v>
      </c>
      <c r="K12866" t="s">
        <v>38490</v>
      </c>
      <c r="M12866" t="s">
        <v>41495</v>
      </c>
      <c r="N12866" t="s">
        <v>42669</v>
      </c>
      <c r="O12866" t="s">
        <v>42670</v>
      </c>
      <c r="Q12866">
        <v>9</v>
      </c>
      <c r="R12866" t="s">
        <v>42690</v>
      </c>
      <c r="S12866" t="s">
        <v>43718</v>
      </c>
      <c r="T12866" t="s">
        <v>44498</v>
      </c>
      <c r="U12866" t="s">
        <v>51447</v>
      </c>
      <c r="W12866" t="s">
        <v>41495</v>
      </c>
      <c r="X12866" t="s">
        <v>42691</v>
      </c>
    </row>
    <row r="12867" spans="1:24">
      <c r="A12867">
        <f>HYPERLINK("https://www.philgeps.gov.ph/GEPSNONPILOT/Tender/SplashBidNoticeAbstractUI.aspx?menuIndex=3&amp;refID=7158421&amp;Result=3","7158421")</f>
        <v>0</v>
      </c>
      <c r="B12867" t="s">
        <v>490</v>
      </c>
      <c r="C12867" t="s">
        <v>15839</v>
      </c>
      <c r="D12867" t="s">
        <v>17197</v>
      </c>
      <c r="E12867" t="s">
        <v>28194</v>
      </c>
      <c r="F12867" t="s">
        <v>29372</v>
      </c>
      <c r="G12867" t="s">
        <v>29380</v>
      </c>
      <c r="H12867" t="s">
        <v>11048</v>
      </c>
      <c r="I12867" t="s">
        <v>6417</v>
      </c>
      <c r="J12867" t="s">
        <v>37650</v>
      </c>
      <c r="K12867" t="s">
        <v>38487</v>
      </c>
      <c r="M12867" t="s">
        <v>39255</v>
      </c>
      <c r="N12867" t="s">
        <v>42669</v>
      </c>
      <c r="O12867" t="s">
        <v>42670</v>
      </c>
      <c r="P12867">
        <v>0</v>
      </c>
      <c r="Q12867">
        <v>4</v>
      </c>
      <c r="R12867" t="s">
        <v>42690</v>
      </c>
      <c r="S12867" t="s">
        <v>43574</v>
      </c>
      <c r="T12867" t="s">
        <v>44570</v>
      </c>
      <c r="U12867" t="s">
        <v>55280</v>
      </c>
      <c r="W12867" t="s">
        <v>39255</v>
      </c>
      <c r="X12867" t="s">
        <v>42691</v>
      </c>
    </row>
    <row r="12868" spans="1:24">
      <c r="A12868">
        <f>HYPERLINK("https://www.philgeps.gov.ph/GEPSNONPILOT/Tender/SplashBidNoticeAbstractUI.aspx?menuIndex=3&amp;refID=7158383&amp;Result=3","7158383")</f>
        <v>0</v>
      </c>
      <c r="B12868" t="s">
        <v>383</v>
      </c>
      <c r="C12868" t="s">
        <v>15840</v>
      </c>
      <c r="D12868" t="s">
        <v>17159</v>
      </c>
      <c r="E12868" t="s">
        <v>28195</v>
      </c>
      <c r="F12868" t="s">
        <v>29372</v>
      </c>
      <c r="G12868" t="s">
        <v>29384</v>
      </c>
      <c r="H12868" t="s">
        <v>29389</v>
      </c>
      <c r="I12868" t="s">
        <v>10408</v>
      </c>
      <c r="J12868" t="s">
        <v>37640</v>
      </c>
      <c r="K12868" t="s">
        <v>38525</v>
      </c>
      <c r="M12868" t="s">
        <v>39145</v>
      </c>
      <c r="N12868" t="s">
        <v>42669</v>
      </c>
      <c r="O12868" t="s">
        <v>42670</v>
      </c>
      <c r="P12868">
        <v>0</v>
      </c>
      <c r="Q12868">
        <v>3</v>
      </c>
      <c r="R12868" t="s">
        <v>42690</v>
      </c>
      <c r="S12868" t="s">
        <v>43574</v>
      </c>
      <c r="T12868" t="s">
        <v>44488</v>
      </c>
      <c r="U12868" t="s">
        <v>55281</v>
      </c>
      <c r="W12868" t="s">
        <v>39145</v>
      </c>
      <c r="X12868" t="s">
        <v>42691</v>
      </c>
    </row>
    <row r="12869" spans="1:24">
      <c r="A12869">
        <f>HYPERLINK("https://www.philgeps.gov.ph/GEPSNONPILOT/Tender/SplashBidNoticeAbstractUI.aspx?menuIndex=3&amp;refID=7158440&amp;Result=3","7158440")</f>
        <v>0</v>
      </c>
      <c r="B12869" t="s">
        <v>2533</v>
      </c>
      <c r="C12869" t="s">
        <v>15841</v>
      </c>
      <c r="E12869" t="s">
        <v>28196</v>
      </c>
      <c r="F12869" t="s">
        <v>29372</v>
      </c>
      <c r="G12869" t="s">
        <v>29380</v>
      </c>
      <c r="H12869" t="s">
        <v>11048</v>
      </c>
      <c r="I12869" t="s">
        <v>29518</v>
      </c>
      <c r="J12869" t="s">
        <v>37651</v>
      </c>
      <c r="K12869" t="s">
        <v>38490</v>
      </c>
      <c r="M12869" t="s">
        <v>41495</v>
      </c>
      <c r="N12869" t="s">
        <v>42669</v>
      </c>
      <c r="O12869" t="s">
        <v>42670</v>
      </c>
      <c r="Q12869">
        <v>7</v>
      </c>
      <c r="R12869" t="s">
        <v>42690</v>
      </c>
      <c r="S12869" t="s">
        <v>43719</v>
      </c>
      <c r="T12869" t="s">
        <v>44498</v>
      </c>
      <c r="U12869" t="s">
        <v>51447</v>
      </c>
      <c r="W12869" t="s">
        <v>41495</v>
      </c>
      <c r="X12869" t="s">
        <v>42691</v>
      </c>
    </row>
    <row r="12870" spans="1:24">
      <c r="A12870">
        <f>HYPERLINK("https://www.philgeps.gov.ph/GEPSNONPILOT/Tender/SplashBidNoticeAbstractUI.aspx?menuIndex=3&amp;refID=7158484&amp;Result=3","7158484")</f>
        <v>0</v>
      </c>
      <c r="B12870" t="s">
        <v>3403</v>
      </c>
      <c r="C12870" t="s">
        <v>5870</v>
      </c>
      <c r="D12870" t="s">
        <v>17169</v>
      </c>
      <c r="E12870" t="s">
        <v>17434</v>
      </c>
      <c r="F12870" t="s">
        <v>29372</v>
      </c>
      <c r="G12870" t="s">
        <v>29380</v>
      </c>
      <c r="H12870" t="s">
        <v>29389</v>
      </c>
      <c r="I12870" t="s">
        <v>10408</v>
      </c>
      <c r="J12870" t="s">
        <v>37652</v>
      </c>
      <c r="K12870" t="s">
        <v>38496</v>
      </c>
      <c r="M12870" t="s">
        <v>42501</v>
      </c>
      <c r="N12870" t="s">
        <v>42669</v>
      </c>
      <c r="O12870" t="s">
        <v>42670</v>
      </c>
      <c r="P12870">
        <v>0</v>
      </c>
      <c r="Q12870">
        <v>0</v>
      </c>
      <c r="R12870" t="s">
        <v>42690</v>
      </c>
      <c r="S12870" t="s">
        <v>43574</v>
      </c>
      <c r="T12870" t="s">
        <v>44493</v>
      </c>
      <c r="U12870" t="s">
        <v>55282</v>
      </c>
      <c r="V12870" t="s">
        <v>57850</v>
      </c>
      <c r="W12870" t="s">
        <v>42501</v>
      </c>
      <c r="X12870" t="s">
        <v>42691</v>
      </c>
    </row>
    <row r="12871" spans="1:24">
      <c r="A12871">
        <f>HYPERLINK("https://www.philgeps.gov.ph/GEPSNONPILOT/Tender/SplashBidNoticeAbstractUI.aspx?menuIndex=3&amp;refID=7158337&amp;Result=3","7158337")</f>
        <v>0</v>
      </c>
      <c r="B12871" t="s">
        <v>27</v>
      </c>
      <c r="C12871" t="s">
        <v>15842</v>
      </c>
      <c r="D12871" t="s">
        <v>17141</v>
      </c>
      <c r="E12871" t="s">
        <v>28197</v>
      </c>
      <c r="F12871" t="s">
        <v>29372</v>
      </c>
      <c r="G12871" t="s">
        <v>29380</v>
      </c>
      <c r="H12871" t="s">
        <v>11048</v>
      </c>
      <c r="I12871" t="s">
        <v>8614</v>
      </c>
      <c r="J12871" t="s">
        <v>36370</v>
      </c>
      <c r="K12871" t="s">
        <v>38496</v>
      </c>
      <c r="M12871" t="s">
        <v>38780</v>
      </c>
      <c r="N12871" t="s">
        <v>42669</v>
      </c>
      <c r="O12871" t="s">
        <v>42670</v>
      </c>
      <c r="Q12871">
        <v>15</v>
      </c>
      <c r="R12871" t="s">
        <v>42690</v>
      </c>
      <c r="S12871" t="s">
        <v>43720</v>
      </c>
      <c r="T12871" t="s">
        <v>44548</v>
      </c>
      <c r="U12871" t="s">
        <v>55283</v>
      </c>
      <c r="W12871" t="s">
        <v>38780</v>
      </c>
      <c r="X12871" t="s">
        <v>42691</v>
      </c>
    </row>
    <row r="12872" spans="1:24">
      <c r="A12872">
        <f>HYPERLINK("https://www.philgeps.gov.ph/GEPSNONPILOT/Tender/SplashBidNoticeAbstractUI.aspx?menuIndex=3&amp;refID=7158467&amp;Result=3","7158467")</f>
        <v>0</v>
      </c>
      <c r="B12872" t="s">
        <v>1079</v>
      </c>
      <c r="C12872" t="s">
        <v>15843</v>
      </c>
      <c r="D12872" t="s">
        <v>17181</v>
      </c>
      <c r="E12872" t="s">
        <v>28198</v>
      </c>
      <c r="F12872" t="s">
        <v>29373</v>
      </c>
      <c r="G12872" t="s">
        <v>29380</v>
      </c>
      <c r="H12872" t="s">
        <v>29389</v>
      </c>
      <c r="I12872" t="s">
        <v>29453</v>
      </c>
      <c r="J12872" t="s">
        <v>29708</v>
      </c>
      <c r="K12872" t="s">
        <v>38487</v>
      </c>
      <c r="L12872" t="s">
        <v>1079</v>
      </c>
      <c r="M12872" t="s">
        <v>39886</v>
      </c>
      <c r="N12872" t="s">
        <v>42669</v>
      </c>
      <c r="O12872" t="s">
        <v>42670</v>
      </c>
      <c r="P12872">
        <v>0</v>
      </c>
      <c r="Q12872">
        <v>0</v>
      </c>
      <c r="R12872" t="s">
        <v>42690</v>
      </c>
      <c r="S12872" t="s">
        <v>43574</v>
      </c>
      <c r="T12872" t="s">
        <v>44491</v>
      </c>
      <c r="U12872" t="s">
        <v>55284</v>
      </c>
      <c r="W12872" t="s">
        <v>39886</v>
      </c>
      <c r="X12872" t="s">
        <v>42691</v>
      </c>
    </row>
    <row r="12873" spans="1:24">
      <c r="A12873">
        <f>HYPERLINK("https://www.philgeps.gov.ph/GEPSNONPILOT/Tender/SplashBidNoticeAbstractUI.aspx?menuIndex=3&amp;refID=7158481&amp;Result=3","7158481")</f>
        <v>0</v>
      </c>
      <c r="B12873" t="s">
        <v>1882</v>
      </c>
      <c r="C12873" t="s">
        <v>15844</v>
      </c>
      <c r="D12873" t="s">
        <v>17197</v>
      </c>
      <c r="E12873" t="s">
        <v>28199</v>
      </c>
      <c r="F12873" t="s">
        <v>29372</v>
      </c>
      <c r="G12873" t="s">
        <v>29380</v>
      </c>
      <c r="H12873" t="s">
        <v>29389</v>
      </c>
      <c r="I12873" t="s">
        <v>10408</v>
      </c>
      <c r="J12873" t="s">
        <v>37653</v>
      </c>
      <c r="K12873" t="s">
        <v>38604</v>
      </c>
      <c r="M12873" t="s">
        <v>40755</v>
      </c>
      <c r="N12873" t="s">
        <v>42669</v>
      </c>
      <c r="O12873" t="s">
        <v>42670</v>
      </c>
      <c r="P12873">
        <v>0</v>
      </c>
      <c r="Q12873">
        <v>3</v>
      </c>
      <c r="R12873" t="s">
        <v>42690</v>
      </c>
      <c r="S12873" t="s">
        <v>43574</v>
      </c>
      <c r="T12873" t="s">
        <v>44488</v>
      </c>
      <c r="U12873" t="s">
        <v>49219</v>
      </c>
      <c r="W12873" t="s">
        <v>40755</v>
      </c>
      <c r="X12873" t="s">
        <v>42691</v>
      </c>
    </row>
    <row r="12874" spans="1:24">
      <c r="A12874">
        <f>HYPERLINK("https://www.philgeps.gov.ph/GEPSNONPILOT/Tender/SplashBidNoticeAbstractUI.aspx?menuIndex=3&amp;refID=7158396&amp;Result=3","7158396")</f>
        <v>0</v>
      </c>
      <c r="B12874" t="s">
        <v>383</v>
      </c>
      <c r="C12874" t="s">
        <v>15845</v>
      </c>
      <c r="D12874" t="s">
        <v>17159</v>
      </c>
      <c r="E12874" t="s">
        <v>28200</v>
      </c>
      <c r="F12874" t="s">
        <v>29372</v>
      </c>
      <c r="G12874" t="s">
        <v>29384</v>
      </c>
      <c r="H12874" t="s">
        <v>29389</v>
      </c>
      <c r="I12874" t="s">
        <v>10408</v>
      </c>
      <c r="J12874" t="s">
        <v>37640</v>
      </c>
      <c r="K12874" t="s">
        <v>38525</v>
      </c>
      <c r="M12874" t="s">
        <v>39145</v>
      </c>
      <c r="N12874" t="s">
        <v>42669</v>
      </c>
      <c r="O12874" t="s">
        <v>42670</v>
      </c>
      <c r="P12874">
        <v>0</v>
      </c>
      <c r="Q12874">
        <v>2</v>
      </c>
      <c r="R12874" t="s">
        <v>42690</v>
      </c>
      <c r="S12874" t="s">
        <v>43574</v>
      </c>
      <c r="T12874" t="s">
        <v>44488</v>
      </c>
      <c r="U12874" t="s">
        <v>55285</v>
      </c>
      <c r="W12874" t="s">
        <v>39145</v>
      </c>
      <c r="X12874" t="s">
        <v>42691</v>
      </c>
    </row>
    <row r="12875" spans="1:24">
      <c r="A12875">
        <f>HYPERLINK("https://www.philgeps.gov.ph/GEPSNONPILOT/Tender/SplashBidNoticeAbstractUI.aspx?menuIndex=3&amp;refID=7158417&amp;Result=3","7158417")</f>
        <v>0</v>
      </c>
      <c r="B12875" t="s">
        <v>2533</v>
      </c>
      <c r="C12875" t="s">
        <v>15846</v>
      </c>
      <c r="E12875" t="s">
        <v>28201</v>
      </c>
      <c r="F12875" t="s">
        <v>29372</v>
      </c>
      <c r="G12875" t="s">
        <v>29380</v>
      </c>
      <c r="H12875" t="s">
        <v>11048</v>
      </c>
      <c r="I12875" t="s">
        <v>29518</v>
      </c>
      <c r="J12875" t="s">
        <v>37654</v>
      </c>
      <c r="K12875" t="s">
        <v>38490</v>
      </c>
      <c r="M12875" t="s">
        <v>41495</v>
      </c>
      <c r="N12875" t="s">
        <v>42669</v>
      </c>
      <c r="O12875" t="s">
        <v>42670</v>
      </c>
      <c r="Q12875">
        <v>6</v>
      </c>
      <c r="R12875" t="s">
        <v>42690</v>
      </c>
      <c r="S12875" t="s">
        <v>43721</v>
      </c>
      <c r="T12875" t="s">
        <v>44498</v>
      </c>
      <c r="U12875" t="s">
        <v>51447</v>
      </c>
      <c r="W12875" t="s">
        <v>41495</v>
      </c>
      <c r="X12875" t="s">
        <v>42691</v>
      </c>
    </row>
    <row r="12876" spans="1:24">
      <c r="A12876">
        <f>HYPERLINK("https://www.philgeps.gov.ph/GEPSNONPILOT/Tender/SplashBidNoticeAbstractUI.aspx?menuIndex=3&amp;refID=7158456&amp;Result=3","7158456")</f>
        <v>0</v>
      </c>
      <c r="B12876" t="s">
        <v>3404</v>
      </c>
      <c r="C12876" t="s">
        <v>15847</v>
      </c>
      <c r="D12876" t="s">
        <v>17171</v>
      </c>
      <c r="E12876" t="s">
        <v>28202</v>
      </c>
      <c r="F12876" t="s">
        <v>29372</v>
      </c>
      <c r="G12876" t="s">
        <v>29380</v>
      </c>
      <c r="H12876" t="s">
        <v>11048</v>
      </c>
      <c r="I12876" t="s">
        <v>5383</v>
      </c>
      <c r="J12876" t="s">
        <v>37655</v>
      </c>
      <c r="K12876" t="s">
        <v>38534</v>
      </c>
      <c r="M12876" t="s">
        <v>42502</v>
      </c>
      <c r="N12876" t="s">
        <v>42669</v>
      </c>
      <c r="O12876" t="s">
        <v>42670</v>
      </c>
      <c r="P12876">
        <v>0</v>
      </c>
      <c r="Q12876">
        <v>1</v>
      </c>
      <c r="R12876" t="s">
        <v>42690</v>
      </c>
      <c r="S12876" t="s">
        <v>43574</v>
      </c>
      <c r="T12876" t="s">
        <v>44432</v>
      </c>
      <c r="U12876" t="s">
        <v>55286</v>
      </c>
      <c r="W12876" t="s">
        <v>42502</v>
      </c>
      <c r="X12876" t="s">
        <v>42691</v>
      </c>
    </row>
    <row r="12877" spans="1:24">
      <c r="A12877">
        <f>HYPERLINK("https://www.philgeps.gov.ph/GEPSNONPILOT/Tender/SplashBidNoticeAbstractUI.aspx?menuIndex=3&amp;refID=7158452&amp;Result=3","7158452")</f>
        <v>0</v>
      </c>
      <c r="B12877" t="s">
        <v>1079</v>
      </c>
      <c r="C12877" t="s">
        <v>15848</v>
      </c>
      <c r="D12877" t="s">
        <v>17181</v>
      </c>
      <c r="E12877" t="s">
        <v>28203</v>
      </c>
      <c r="F12877" t="s">
        <v>29373</v>
      </c>
      <c r="G12877" t="s">
        <v>29380</v>
      </c>
      <c r="H12877" t="s">
        <v>11048</v>
      </c>
      <c r="I12877" t="s">
        <v>4709</v>
      </c>
      <c r="J12877" t="s">
        <v>37656</v>
      </c>
      <c r="K12877" t="s">
        <v>38488</v>
      </c>
      <c r="L12877" t="s">
        <v>1079</v>
      </c>
      <c r="M12877" t="s">
        <v>39886</v>
      </c>
      <c r="N12877" t="s">
        <v>42669</v>
      </c>
      <c r="O12877" t="s">
        <v>42670</v>
      </c>
      <c r="P12877">
        <v>0</v>
      </c>
      <c r="Q12877">
        <v>2</v>
      </c>
      <c r="R12877" t="s">
        <v>42690</v>
      </c>
      <c r="S12877" t="s">
        <v>43574</v>
      </c>
      <c r="T12877" t="s">
        <v>44491</v>
      </c>
      <c r="U12877" t="s">
        <v>55287</v>
      </c>
      <c r="W12877" t="s">
        <v>39886</v>
      </c>
      <c r="X12877" t="s">
        <v>42691</v>
      </c>
    </row>
    <row r="12878" spans="1:24">
      <c r="A12878">
        <f>HYPERLINK("https://www.philgeps.gov.ph/GEPSNONPILOT/Tender/SplashBidNoticeAbstractUI.aspx?menuIndex=3&amp;refID=7158450&amp;Result=3","7158450")</f>
        <v>0</v>
      </c>
      <c r="B12878" t="s">
        <v>3405</v>
      </c>
      <c r="C12878" t="s">
        <v>4919</v>
      </c>
      <c r="D12878" t="s">
        <v>17167</v>
      </c>
      <c r="E12878" t="s">
        <v>17347</v>
      </c>
      <c r="F12878" t="s">
        <v>29372</v>
      </c>
      <c r="G12878" t="s">
        <v>29380</v>
      </c>
      <c r="H12878" t="s">
        <v>11048</v>
      </c>
      <c r="I12878" t="s">
        <v>4709</v>
      </c>
      <c r="J12878" t="s">
        <v>37657</v>
      </c>
      <c r="K12878" t="s">
        <v>38485</v>
      </c>
      <c r="M12878" t="s">
        <v>42503</v>
      </c>
      <c r="N12878" t="s">
        <v>42669</v>
      </c>
      <c r="O12878" t="s">
        <v>42670</v>
      </c>
      <c r="P12878">
        <v>0</v>
      </c>
      <c r="Q12878">
        <v>2</v>
      </c>
      <c r="R12878" t="s">
        <v>42690</v>
      </c>
      <c r="S12878" t="s">
        <v>43574</v>
      </c>
      <c r="T12878" t="s">
        <v>44427</v>
      </c>
      <c r="U12878" t="s">
        <v>55288</v>
      </c>
      <c r="W12878" t="s">
        <v>42503</v>
      </c>
      <c r="X12878" t="s">
        <v>42691</v>
      </c>
    </row>
    <row r="12879" spans="1:24">
      <c r="A12879">
        <f>HYPERLINK("https://www.philgeps.gov.ph/GEPSNONPILOT/Tender/SplashBidNoticeAbstractUI.aspx?menuIndex=3&amp;refID=7158470&amp;Result=3","7158470")</f>
        <v>0</v>
      </c>
      <c r="B12879" t="s">
        <v>668</v>
      </c>
      <c r="C12879" t="s">
        <v>7773</v>
      </c>
      <c r="D12879" t="s">
        <v>17172</v>
      </c>
      <c r="E12879" t="s">
        <v>28204</v>
      </c>
      <c r="F12879" t="s">
        <v>29372</v>
      </c>
      <c r="G12879" t="s">
        <v>29380</v>
      </c>
      <c r="H12879" t="s">
        <v>29389</v>
      </c>
      <c r="I12879" t="s">
        <v>10408</v>
      </c>
      <c r="J12879" t="s">
        <v>37658</v>
      </c>
      <c r="K12879" t="s">
        <v>38556</v>
      </c>
      <c r="M12879" t="s">
        <v>39444</v>
      </c>
      <c r="N12879" t="s">
        <v>42669</v>
      </c>
      <c r="O12879" t="s">
        <v>42670</v>
      </c>
      <c r="P12879">
        <v>0</v>
      </c>
      <c r="Q12879">
        <v>1</v>
      </c>
      <c r="R12879" t="s">
        <v>42690</v>
      </c>
      <c r="S12879" t="s">
        <v>43574</v>
      </c>
      <c r="T12879" t="s">
        <v>44488</v>
      </c>
      <c r="U12879" t="s">
        <v>55289</v>
      </c>
      <c r="W12879" t="s">
        <v>39444</v>
      </c>
      <c r="X12879" t="s">
        <v>42691</v>
      </c>
    </row>
    <row r="12880" spans="1:24">
      <c r="A12880">
        <f>HYPERLINK("https://www.philgeps.gov.ph/GEPSNONPILOT/Tender/SplashBidNoticeAbstractUI.aspx?menuIndex=3&amp;refID=7158504&amp;Result=3","7158504")</f>
        <v>0</v>
      </c>
      <c r="B12880" t="s">
        <v>3403</v>
      </c>
      <c r="C12880" t="s">
        <v>15849</v>
      </c>
      <c r="D12880" t="s">
        <v>17169</v>
      </c>
      <c r="E12880" t="s">
        <v>17730</v>
      </c>
      <c r="F12880" t="s">
        <v>29372</v>
      </c>
      <c r="G12880" t="s">
        <v>29380</v>
      </c>
      <c r="H12880" t="s">
        <v>29389</v>
      </c>
      <c r="I12880" t="s">
        <v>10408</v>
      </c>
      <c r="J12880" t="s">
        <v>37659</v>
      </c>
      <c r="K12880" t="s">
        <v>38485</v>
      </c>
      <c r="M12880" t="s">
        <v>42501</v>
      </c>
      <c r="N12880" t="s">
        <v>42669</v>
      </c>
      <c r="O12880" t="s">
        <v>42670</v>
      </c>
      <c r="P12880">
        <v>0</v>
      </c>
      <c r="Q12880">
        <v>0</v>
      </c>
      <c r="R12880" t="s">
        <v>42690</v>
      </c>
      <c r="S12880" t="s">
        <v>43574</v>
      </c>
      <c r="T12880" t="s">
        <v>44493</v>
      </c>
      <c r="U12880" t="s">
        <v>55290</v>
      </c>
      <c r="V12880" t="s">
        <v>57851</v>
      </c>
      <c r="W12880" t="s">
        <v>42501</v>
      </c>
      <c r="X12880" t="s">
        <v>42691</v>
      </c>
    </row>
    <row r="12881" spans="1:24">
      <c r="A12881">
        <f>HYPERLINK("https://www.philgeps.gov.ph/GEPSNONPILOT/Tender/SplashBidNoticeAbstractUI.aspx?menuIndex=3&amp;refID=7158505&amp;Result=3","7158505")</f>
        <v>0</v>
      </c>
      <c r="B12881" t="s">
        <v>1324</v>
      </c>
      <c r="C12881" t="s">
        <v>15850</v>
      </c>
      <c r="D12881" t="s">
        <v>17173</v>
      </c>
      <c r="E12881" t="s">
        <v>28205</v>
      </c>
      <c r="F12881" t="s">
        <v>29372</v>
      </c>
      <c r="G12881" t="s">
        <v>29380</v>
      </c>
      <c r="H12881" t="s">
        <v>29389</v>
      </c>
      <c r="I12881" t="s">
        <v>10408</v>
      </c>
      <c r="J12881" t="s">
        <v>29525</v>
      </c>
      <c r="K12881" t="s">
        <v>38502</v>
      </c>
      <c r="M12881" t="s">
        <v>40160</v>
      </c>
      <c r="N12881" t="s">
        <v>42669</v>
      </c>
      <c r="O12881" t="s">
        <v>42670</v>
      </c>
      <c r="Q12881">
        <v>3</v>
      </c>
      <c r="R12881" t="s">
        <v>42690</v>
      </c>
      <c r="S12881" t="s">
        <v>43722</v>
      </c>
      <c r="T12881" t="s">
        <v>44714</v>
      </c>
      <c r="U12881" t="s">
        <v>55291</v>
      </c>
      <c r="W12881" t="s">
        <v>40160</v>
      </c>
      <c r="X12881" t="s">
        <v>42691</v>
      </c>
    </row>
    <row r="12882" spans="1:24">
      <c r="A12882">
        <f>HYPERLINK("https://www.philgeps.gov.ph/GEPSNONPILOT/Tender/SplashBidNoticeAbstractUI.aspx?menuIndex=3&amp;refID=7158496&amp;Result=3","7158496")</f>
        <v>0</v>
      </c>
      <c r="B12882" t="s">
        <v>3403</v>
      </c>
      <c r="C12882" t="s">
        <v>5870</v>
      </c>
      <c r="D12882" t="s">
        <v>17169</v>
      </c>
      <c r="E12882" t="s">
        <v>17479</v>
      </c>
      <c r="F12882" t="s">
        <v>29372</v>
      </c>
      <c r="G12882" t="s">
        <v>29380</v>
      </c>
      <c r="H12882" t="s">
        <v>29389</v>
      </c>
      <c r="I12882" t="s">
        <v>10408</v>
      </c>
      <c r="J12882" t="s">
        <v>37660</v>
      </c>
      <c r="K12882" t="s">
        <v>38487</v>
      </c>
      <c r="M12882" t="s">
        <v>42501</v>
      </c>
      <c r="N12882" t="s">
        <v>42669</v>
      </c>
      <c r="O12882" t="s">
        <v>42670</v>
      </c>
      <c r="P12882">
        <v>0</v>
      </c>
      <c r="Q12882">
        <v>0</v>
      </c>
      <c r="R12882" t="s">
        <v>42690</v>
      </c>
      <c r="S12882" t="s">
        <v>43574</v>
      </c>
      <c r="T12882" t="s">
        <v>44493</v>
      </c>
      <c r="U12882" t="s">
        <v>55292</v>
      </c>
      <c r="V12882" t="s">
        <v>57852</v>
      </c>
      <c r="W12882" t="s">
        <v>42501</v>
      </c>
      <c r="X12882" t="s">
        <v>42691</v>
      </c>
    </row>
    <row r="12883" spans="1:24">
      <c r="A12883">
        <f>HYPERLINK("https://www.philgeps.gov.ph/GEPSNONPILOT/Tender/SplashBidNoticeAbstractUI.aspx?menuIndex=3&amp;refID=7158367&amp;Result=3","7158367")</f>
        <v>0</v>
      </c>
      <c r="B12883" t="s">
        <v>2222</v>
      </c>
      <c r="C12883" t="s">
        <v>15851</v>
      </c>
      <c r="E12883" t="s">
        <v>28206</v>
      </c>
      <c r="F12883" t="s">
        <v>29372</v>
      </c>
      <c r="G12883" t="s">
        <v>29380</v>
      </c>
      <c r="H12883" t="s">
        <v>11048</v>
      </c>
      <c r="I12883" t="s">
        <v>5383</v>
      </c>
      <c r="J12883" t="s">
        <v>37661</v>
      </c>
      <c r="K12883" t="s">
        <v>38490</v>
      </c>
      <c r="M12883" t="s">
        <v>41140</v>
      </c>
      <c r="N12883" t="s">
        <v>42669</v>
      </c>
      <c r="O12883" t="s">
        <v>42670</v>
      </c>
      <c r="Q12883">
        <v>8</v>
      </c>
      <c r="R12883" t="s">
        <v>42690</v>
      </c>
      <c r="S12883" t="s">
        <v>43723</v>
      </c>
      <c r="T12883" t="s">
        <v>44427</v>
      </c>
      <c r="U12883" t="s">
        <v>55293</v>
      </c>
      <c r="W12883" t="s">
        <v>41140</v>
      </c>
      <c r="X12883" t="s">
        <v>42691</v>
      </c>
    </row>
    <row r="12884" spans="1:24">
      <c r="A12884">
        <f>HYPERLINK("https://www.philgeps.gov.ph/GEPSNONPILOT/Tender/SplashBidNoticeAbstractUI.aspx?menuIndex=3&amp;refID=7158448&amp;Result=3","7158448")</f>
        <v>0</v>
      </c>
      <c r="B12884" t="s">
        <v>1079</v>
      </c>
      <c r="C12884" t="s">
        <v>15852</v>
      </c>
      <c r="D12884" t="s">
        <v>17181</v>
      </c>
      <c r="E12884" t="s">
        <v>28207</v>
      </c>
      <c r="F12884" t="s">
        <v>29373</v>
      </c>
      <c r="G12884" t="s">
        <v>29380</v>
      </c>
      <c r="H12884" t="s">
        <v>29390</v>
      </c>
      <c r="I12884" t="s">
        <v>29396</v>
      </c>
      <c r="J12884" t="s">
        <v>37662</v>
      </c>
      <c r="K12884" t="s">
        <v>38485</v>
      </c>
      <c r="L12884" t="s">
        <v>1079</v>
      </c>
      <c r="M12884" t="s">
        <v>39886</v>
      </c>
      <c r="N12884" t="s">
        <v>42669</v>
      </c>
      <c r="O12884" t="s">
        <v>42670</v>
      </c>
      <c r="P12884">
        <v>0</v>
      </c>
      <c r="Q12884">
        <v>0</v>
      </c>
      <c r="R12884" t="s">
        <v>42690</v>
      </c>
      <c r="S12884" t="s">
        <v>43574</v>
      </c>
      <c r="T12884" t="s">
        <v>44491</v>
      </c>
      <c r="U12884" t="s">
        <v>55294</v>
      </c>
      <c r="W12884" t="s">
        <v>39886</v>
      </c>
      <c r="X12884" t="s">
        <v>42691</v>
      </c>
    </row>
    <row r="12885" spans="1:24">
      <c r="A12885">
        <f>HYPERLINK("https://www.philgeps.gov.ph/GEPSNONPILOT/Tender/SplashBidNoticeAbstractUI.aspx?menuIndex=3&amp;refID=7158492&amp;Result=3","7158492")</f>
        <v>0</v>
      </c>
      <c r="B12885" t="s">
        <v>1882</v>
      </c>
      <c r="C12885" t="s">
        <v>15853</v>
      </c>
      <c r="D12885" t="s">
        <v>17197</v>
      </c>
      <c r="E12885" t="s">
        <v>28208</v>
      </c>
      <c r="F12885" t="s">
        <v>29372</v>
      </c>
      <c r="G12885" t="s">
        <v>29380</v>
      </c>
      <c r="H12885" t="s">
        <v>29389</v>
      </c>
      <c r="I12885" t="s">
        <v>10408</v>
      </c>
      <c r="J12885" t="s">
        <v>37663</v>
      </c>
      <c r="K12885" t="s">
        <v>38622</v>
      </c>
      <c r="M12885" t="s">
        <v>40755</v>
      </c>
      <c r="N12885" t="s">
        <v>42669</v>
      </c>
      <c r="O12885" t="s">
        <v>42670</v>
      </c>
      <c r="P12885">
        <v>0</v>
      </c>
      <c r="Q12885">
        <v>0</v>
      </c>
      <c r="R12885" t="s">
        <v>42690</v>
      </c>
      <c r="S12885" t="s">
        <v>43574</v>
      </c>
      <c r="T12885" t="s">
        <v>44488</v>
      </c>
      <c r="U12885" t="s">
        <v>49219</v>
      </c>
      <c r="W12885" t="s">
        <v>40755</v>
      </c>
      <c r="X12885" t="s">
        <v>42691</v>
      </c>
    </row>
    <row r="12886" spans="1:24">
      <c r="A12886">
        <f>HYPERLINK("https://www.philgeps.gov.ph/GEPSNONPILOT/Tender/SplashBidNoticeAbstractUI.aspx?menuIndex=3&amp;refID=7158444&amp;Result=3","7158444")</f>
        <v>0</v>
      </c>
      <c r="B12886" t="s">
        <v>3404</v>
      </c>
      <c r="C12886" t="s">
        <v>15854</v>
      </c>
      <c r="D12886" t="s">
        <v>17171</v>
      </c>
      <c r="E12886" t="s">
        <v>28209</v>
      </c>
      <c r="F12886" t="s">
        <v>29372</v>
      </c>
      <c r="G12886" t="s">
        <v>29380</v>
      </c>
      <c r="H12886" t="s">
        <v>11048</v>
      </c>
      <c r="I12886" t="s">
        <v>4486</v>
      </c>
      <c r="J12886" t="s">
        <v>30066</v>
      </c>
      <c r="K12886" t="s">
        <v>38534</v>
      </c>
      <c r="M12886" t="s">
        <v>42502</v>
      </c>
      <c r="N12886" t="s">
        <v>42669</v>
      </c>
      <c r="O12886" t="s">
        <v>42670</v>
      </c>
      <c r="P12886">
        <v>0</v>
      </c>
      <c r="Q12886">
        <v>0</v>
      </c>
      <c r="R12886" t="s">
        <v>42690</v>
      </c>
      <c r="S12886" t="s">
        <v>43574</v>
      </c>
      <c r="T12886" t="s">
        <v>44432</v>
      </c>
      <c r="U12886" t="s">
        <v>55295</v>
      </c>
      <c r="W12886" t="s">
        <v>42502</v>
      </c>
      <c r="X12886" t="s">
        <v>42691</v>
      </c>
    </row>
    <row r="12887" spans="1:24">
      <c r="A12887">
        <f>HYPERLINK("https://www.philgeps.gov.ph/GEPSNONPILOT/Tender/SplashBidNoticeAbstractUI.aspx?menuIndex=3&amp;refID=7158510&amp;Result=3","7158510")</f>
        <v>0</v>
      </c>
      <c r="B12887" t="s">
        <v>668</v>
      </c>
      <c r="C12887" t="s">
        <v>15855</v>
      </c>
      <c r="D12887" t="s">
        <v>17172</v>
      </c>
      <c r="E12887" t="s">
        <v>28210</v>
      </c>
      <c r="F12887" t="s">
        <v>29372</v>
      </c>
      <c r="G12887" t="s">
        <v>29380</v>
      </c>
      <c r="H12887" t="s">
        <v>29389</v>
      </c>
      <c r="I12887" t="s">
        <v>10408</v>
      </c>
      <c r="J12887" t="s">
        <v>37664</v>
      </c>
      <c r="K12887" t="s">
        <v>38493</v>
      </c>
      <c r="M12887" t="s">
        <v>39444</v>
      </c>
      <c r="N12887" t="s">
        <v>42669</v>
      </c>
      <c r="O12887" t="s">
        <v>42670</v>
      </c>
      <c r="P12887">
        <v>0</v>
      </c>
      <c r="Q12887">
        <v>2</v>
      </c>
      <c r="R12887" t="s">
        <v>42690</v>
      </c>
      <c r="S12887" t="s">
        <v>43574</v>
      </c>
      <c r="T12887" t="s">
        <v>44652</v>
      </c>
      <c r="U12887" t="s">
        <v>55296</v>
      </c>
      <c r="W12887" t="s">
        <v>39444</v>
      </c>
      <c r="X12887" t="s">
        <v>42691</v>
      </c>
    </row>
    <row r="12888" spans="1:24">
      <c r="A12888">
        <f>HYPERLINK("https://www.philgeps.gov.ph/GEPSNONPILOT/Tender/SplashBidNoticeAbstractUI.aspx?menuIndex=3&amp;refID=7158410&amp;Result=3","7158410")</f>
        <v>0</v>
      </c>
      <c r="B12888" t="s">
        <v>3406</v>
      </c>
      <c r="C12888" t="s">
        <v>15856</v>
      </c>
      <c r="D12888" t="s">
        <v>17188</v>
      </c>
      <c r="E12888" t="s">
        <v>22671</v>
      </c>
      <c r="F12888" t="s">
        <v>29372</v>
      </c>
      <c r="G12888" t="s">
        <v>29380</v>
      </c>
      <c r="H12888" t="s">
        <v>11048</v>
      </c>
      <c r="I12888" t="s">
        <v>3670</v>
      </c>
      <c r="J12888" t="s">
        <v>29924</v>
      </c>
      <c r="K12888" t="s">
        <v>38496</v>
      </c>
      <c r="M12888" t="s">
        <v>42504</v>
      </c>
      <c r="N12888" t="s">
        <v>42669</v>
      </c>
      <c r="O12888" t="s">
        <v>42670</v>
      </c>
      <c r="P12888">
        <v>0</v>
      </c>
      <c r="Q12888">
        <v>7</v>
      </c>
      <c r="R12888" t="s">
        <v>42690</v>
      </c>
      <c r="S12888" t="s">
        <v>43574</v>
      </c>
      <c r="T12888" t="s">
        <v>44560</v>
      </c>
      <c r="U12888" t="s">
        <v>55297</v>
      </c>
      <c r="W12888" t="s">
        <v>42504</v>
      </c>
      <c r="X12888" t="s">
        <v>42691</v>
      </c>
    </row>
    <row r="12889" spans="1:24">
      <c r="A12889">
        <f>HYPERLINK("https://www.philgeps.gov.ph/GEPSNONPILOT/Tender/SplashBidNoticeAbstractUI.aspx?menuIndex=3&amp;refID=7158517&amp;Result=3","7158517")</f>
        <v>0</v>
      </c>
      <c r="B12889" t="s">
        <v>1896</v>
      </c>
      <c r="C12889" t="s">
        <v>15857</v>
      </c>
      <c r="D12889" t="s">
        <v>17173</v>
      </c>
      <c r="E12889" t="s">
        <v>28211</v>
      </c>
      <c r="F12889" t="s">
        <v>29372</v>
      </c>
      <c r="G12889" t="s">
        <v>29380</v>
      </c>
      <c r="H12889" t="s">
        <v>11048</v>
      </c>
      <c r="I12889" t="s">
        <v>9469</v>
      </c>
      <c r="J12889" t="s">
        <v>29788</v>
      </c>
      <c r="K12889" t="s">
        <v>38485</v>
      </c>
      <c r="M12889" t="s">
        <v>40770</v>
      </c>
      <c r="N12889" t="s">
        <v>42669</v>
      </c>
      <c r="O12889" t="s">
        <v>42670</v>
      </c>
      <c r="P12889">
        <v>0</v>
      </c>
      <c r="Q12889">
        <v>7</v>
      </c>
      <c r="R12889" t="s">
        <v>42690</v>
      </c>
      <c r="S12889" t="s">
        <v>43574</v>
      </c>
      <c r="T12889" t="s">
        <v>44441</v>
      </c>
      <c r="U12889" t="s">
        <v>55298</v>
      </c>
      <c r="W12889" t="s">
        <v>40770</v>
      </c>
      <c r="X12889" t="s">
        <v>42691</v>
      </c>
    </row>
    <row r="12890" spans="1:24">
      <c r="A12890">
        <f>HYPERLINK("https://www.philgeps.gov.ph/GEPSNONPILOT/Tender/SplashBidNoticeAbstractUI.aspx?menuIndex=3&amp;refID=7158447&amp;Result=3","7158447")</f>
        <v>0</v>
      </c>
      <c r="B12890" t="s">
        <v>2533</v>
      </c>
      <c r="C12890" t="s">
        <v>15858</v>
      </c>
      <c r="E12890" t="s">
        <v>28212</v>
      </c>
      <c r="F12890" t="s">
        <v>29372</v>
      </c>
      <c r="G12890" t="s">
        <v>29380</v>
      </c>
      <c r="H12890" t="s">
        <v>11048</v>
      </c>
      <c r="I12890" t="s">
        <v>29518</v>
      </c>
      <c r="J12890" t="s">
        <v>37665</v>
      </c>
      <c r="K12890" t="s">
        <v>38490</v>
      </c>
      <c r="M12890" t="s">
        <v>41495</v>
      </c>
      <c r="N12890" t="s">
        <v>42669</v>
      </c>
      <c r="O12890" t="s">
        <v>42670</v>
      </c>
      <c r="Q12890">
        <v>7</v>
      </c>
      <c r="R12890" t="s">
        <v>42690</v>
      </c>
      <c r="S12890" t="s">
        <v>43724</v>
      </c>
      <c r="T12890" t="s">
        <v>44498</v>
      </c>
      <c r="U12890" t="s">
        <v>51447</v>
      </c>
      <c r="W12890" t="s">
        <v>41495</v>
      </c>
      <c r="X12890" t="s">
        <v>42691</v>
      </c>
    </row>
    <row r="12891" spans="1:24">
      <c r="A12891">
        <f>HYPERLINK("https://www.philgeps.gov.ph/GEPSNONPILOT/Tender/SplashBidNoticeAbstractUI.aspx?menuIndex=3&amp;refID=7158508&amp;Result=3","7158508")</f>
        <v>0</v>
      </c>
      <c r="B12891" t="s">
        <v>3407</v>
      </c>
      <c r="C12891" t="s">
        <v>15859</v>
      </c>
      <c r="D12891" t="s">
        <v>17215</v>
      </c>
      <c r="E12891" t="s">
        <v>28213</v>
      </c>
      <c r="F12891" t="s">
        <v>29372</v>
      </c>
      <c r="G12891" t="s">
        <v>29380</v>
      </c>
      <c r="H12891" t="s">
        <v>29389</v>
      </c>
      <c r="I12891" t="s">
        <v>10408</v>
      </c>
      <c r="J12891" t="s">
        <v>37666</v>
      </c>
      <c r="K12891" t="s">
        <v>38542</v>
      </c>
      <c r="M12891" t="s">
        <v>42505</v>
      </c>
      <c r="N12891" t="s">
        <v>42669</v>
      </c>
      <c r="O12891" t="s">
        <v>42670</v>
      </c>
      <c r="Q12891">
        <v>11</v>
      </c>
      <c r="R12891" t="s">
        <v>42690</v>
      </c>
      <c r="S12891" t="s">
        <v>43725</v>
      </c>
      <c r="T12891" t="s">
        <v>44401</v>
      </c>
      <c r="U12891" t="s">
        <v>55299</v>
      </c>
      <c r="W12891" t="s">
        <v>42505</v>
      </c>
      <c r="X12891" t="s">
        <v>42691</v>
      </c>
    </row>
    <row r="12892" spans="1:24">
      <c r="A12892">
        <f>HYPERLINK("https://www.philgeps.gov.ph/GEPSNONPILOT/Tender/SplashBidNoticeAbstractUI.aspx?menuIndex=3&amp;refID=7158490&amp;Result=3","7158490")</f>
        <v>0</v>
      </c>
      <c r="B12892" t="s">
        <v>1882</v>
      </c>
      <c r="C12892" t="s">
        <v>15860</v>
      </c>
      <c r="D12892" t="s">
        <v>17197</v>
      </c>
      <c r="E12892" t="s">
        <v>28214</v>
      </c>
      <c r="F12892" t="s">
        <v>29372</v>
      </c>
      <c r="G12892" t="s">
        <v>29380</v>
      </c>
      <c r="H12892" t="s">
        <v>29389</v>
      </c>
      <c r="I12892" t="s">
        <v>10408</v>
      </c>
      <c r="J12892" t="s">
        <v>37667</v>
      </c>
      <c r="K12892" t="s">
        <v>38514</v>
      </c>
      <c r="M12892" t="s">
        <v>40755</v>
      </c>
      <c r="N12892" t="s">
        <v>42669</v>
      </c>
      <c r="O12892" t="s">
        <v>42670</v>
      </c>
      <c r="P12892">
        <v>0</v>
      </c>
      <c r="Q12892">
        <v>1</v>
      </c>
      <c r="R12892" t="s">
        <v>42690</v>
      </c>
      <c r="S12892" t="s">
        <v>43574</v>
      </c>
      <c r="T12892" t="s">
        <v>44488</v>
      </c>
      <c r="U12892" t="s">
        <v>49219</v>
      </c>
      <c r="W12892" t="s">
        <v>40755</v>
      </c>
      <c r="X12892" t="s">
        <v>42691</v>
      </c>
    </row>
    <row r="12893" spans="1:24">
      <c r="A12893">
        <f>HYPERLINK("https://www.philgeps.gov.ph/GEPSNONPILOT/Tender/SplashBidNoticeAbstractUI.aspx?menuIndex=3&amp;refID=7158465&amp;Result=3","7158465")</f>
        <v>0</v>
      </c>
      <c r="B12893" t="s">
        <v>1079</v>
      </c>
      <c r="C12893" t="s">
        <v>15861</v>
      </c>
      <c r="D12893" t="s">
        <v>17181</v>
      </c>
      <c r="E12893" t="s">
        <v>28215</v>
      </c>
      <c r="F12893" t="s">
        <v>29373</v>
      </c>
      <c r="G12893" t="s">
        <v>29380</v>
      </c>
      <c r="H12893" t="s">
        <v>11048</v>
      </c>
      <c r="I12893" t="s">
        <v>29439</v>
      </c>
      <c r="J12893" t="s">
        <v>29543</v>
      </c>
      <c r="K12893" t="s">
        <v>38530</v>
      </c>
      <c r="L12893" t="s">
        <v>1079</v>
      </c>
      <c r="M12893" t="s">
        <v>39886</v>
      </c>
      <c r="N12893" t="s">
        <v>42669</v>
      </c>
      <c r="O12893" t="s">
        <v>42670</v>
      </c>
      <c r="P12893">
        <v>0</v>
      </c>
      <c r="Q12893">
        <v>6</v>
      </c>
      <c r="R12893" t="s">
        <v>42690</v>
      </c>
      <c r="S12893" t="s">
        <v>43574</v>
      </c>
      <c r="T12893" t="s">
        <v>44491</v>
      </c>
      <c r="U12893" t="s">
        <v>55300</v>
      </c>
      <c r="W12893" t="s">
        <v>39886</v>
      </c>
      <c r="X12893" t="s">
        <v>42691</v>
      </c>
    </row>
    <row r="12894" spans="1:24">
      <c r="A12894">
        <f>HYPERLINK("https://www.philgeps.gov.ph/GEPSNONPILOT/Tender/SplashBidNoticeAbstractUI.aspx?menuIndex=3&amp;refID=7147360&amp;Result=3","7147360")</f>
        <v>0</v>
      </c>
      <c r="B12894" t="s">
        <v>3408</v>
      </c>
      <c r="C12894" t="s">
        <v>15862</v>
      </c>
      <c r="D12894" t="s">
        <v>17188</v>
      </c>
      <c r="E12894" t="s">
        <v>28216</v>
      </c>
      <c r="F12894" t="s">
        <v>29372</v>
      </c>
      <c r="G12894" t="s">
        <v>29380</v>
      </c>
      <c r="H12894" t="s">
        <v>11048</v>
      </c>
      <c r="I12894" t="s">
        <v>29395</v>
      </c>
      <c r="J12894" t="s">
        <v>37668</v>
      </c>
      <c r="K12894" t="s">
        <v>38488</v>
      </c>
      <c r="M12894" t="s">
        <v>42506</v>
      </c>
      <c r="N12894" t="s">
        <v>42669</v>
      </c>
      <c r="O12894" t="s">
        <v>42670</v>
      </c>
      <c r="P12894">
        <v>0</v>
      </c>
      <c r="Q12894">
        <v>1</v>
      </c>
      <c r="R12894" t="s">
        <v>42691</v>
      </c>
      <c r="S12894" t="s">
        <v>43726</v>
      </c>
      <c r="T12894" t="s">
        <v>44432</v>
      </c>
      <c r="U12894" t="s">
        <v>55301</v>
      </c>
      <c r="W12894" t="s">
        <v>42506</v>
      </c>
      <c r="X12894" t="s">
        <v>42697</v>
      </c>
    </row>
    <row r="12895" spans="1:24">
      <c r="A12895">
        <f>HYPERLINK("https://www.philgeps.gov.ph/GEPSNONPILOT/Tender/SplashBidNoticeAbstractUI.aspx?menuIndex=3&amp;refID=7146655&amp;Result=3","7146655")</f>
        <v>0</v>
      </c>
      <c r="B12895" t="s">
        <v>2010</v>
      </c>
      <c r="C12895" t="s">
        <v>15863</v>
      </c>
      <c r="D12895" t="s">
        <v>17143</v>
      </c>
      <c r="E12895" t="s">
        <v>28217</v>
      </c>
      <c r="F12895" t="s">
        <v>29372</v>
      </c>
      <c r="G12895" t="s">
        <v>29380</v>
      </c>
      <c r="H12895" t="s">
        <v>29389</v>
      </c>
      <c r="I12895" t="s">
        <v>10408</v>
      </c>
      <c r="J12895" t="s">
        <v>37669</v>
      </c>
      <c r="K12895" t="s">
        <v>38563</v>
      </c>
      <c r="M12895" t="s">
        <v>41068</v>
      </c>
      <c r="N12895" t="s">
        <v>42669</v>
      </c>
      <c r="O12895" t="s">
        <v>42670</v>
      </c>
      <c r="P12895">
        <v>0</v>
      </c>
      <c r="Q12895">
        <v>2</v>
      </c>
      <c r="R12895" t="s">
        <v>42691</v>
      </c>
      <c r="S12895" t="s">
        <v>43726</v>
      </c>
      <c r="T12895" t="s">
        <v>44387</v>
      </c>
      <c r="U12895" t="s">
        <v>55302</v>
      </c>
      <c r="V12895" t="s">
        <v>57001</v>
      </c>
      <c r="W12895" t="s">
        <v>41068</v>
      </c>
      <c r="X12895" t="s">
        <v>42697</v>
      </c>
    </row>
    <row r="12896" spans="1:24">
      <c r="A12896">
        <f>HYPERLINK("https://www.philgeps.gov.ph/GEPSNONPILOT/Tender/SplashBidNoticeAbstractUI.aspx?menuIndex=3&amp;refID=7147131&amp;Result=3","7147131")</f>
        <v>0</v>
      </c>
      <c r="B12896" t="s">
        <v>3409</v>
      </c>
      <c r="C12896" t="s">
        <v>15864</v>
      </c>
      <c r="D12896" t="s">
        <v>17188</v>
      </c>
      <c r="E12896" t="s">
        <v>28218</v>
      </c>
      <c r="F12896" t="s">
        <v>29372</v>
      </c>
      <c r="G12896" t="s">
        <v>29380</v>
      </c>
      <c r="H12896" t="s">
        <v>11048</v>
      </c>
      <c r="I12896" t="s">
        <v>29395</v>
      </c>
      <c r="J12896" t="s">
        <v>37670</v>
      </c>
      <c r="K12896" t="s">
        <v>38488</v>
      </c>
      <c r="M12896" t="s">
        <v>42507</v>
      </c>
      <c r="N12896" t="s">
        <v>42669</v>
      </c>
      <c r="O12896" t="s">
        <v>42670</v>
      </c>
      <c r="P12896">
        <v>0</v>
      </c>
      <c r="Q12896">
        <v>1</v>
      </c>
      <c r="R12896" t="s">
        <v>42691</v>
      </c>
      <c r="S12896" t="s">
        <v>43726</v>
      </c>
      <c r="T12896" t="s">
        <v>44432</v>
      </c>
      <c r="U12896" t="s">
        <v>55303</v>
      </c>
      <c r="W12896" t="s">
        <v>42507</v>
      </c>
      <c r="X12896" t="s">
        <v>42697</v>
      </c>
    </row>
    <row r="12897" spans="1:24">
      <c r="A12897">
        <f>HYPERLINK("https://www.philgeps.gov.ph/GEPSNONPILOT/Tender/SplashBidNoticeAbstractUI.aspx?menuIndex=3&amp;refID=7145963&amp;Result=3","7145963")</f>
        <v>0</v>
      </c>
      <c r="B12897" t="s">
        <v>60</v>
      </c>
      <c r="C12897" t="s">
        <v>15865</v>
      </c>
      <c r="E12897" t="s">
        <v>28219</v>
      </c>
      <c r="F12897" t="s">
        <v>29372</v>
      </c>
      <c r="G12897" t="s">
        <v>29380</v>
      </c>
      <c r="H12897" t="s">
        <v>11048</v>
      </c>
      <c r="I12897" t="s">
        <v>29414</v>
      </c>
      <c r="J12897" t="s">
        <v>31768</v>
      </c>
      <c r="K12897" t="s">
        <v>38490</v>
      </c>
      <c r="M12897" t="s">
        <v>40105</v>
      </c>
      <c r="N12897" t="s">
        <v>42669</v>
      </c>
      <c r="O12897" t="s">
        <v>42670</v>
      </c>
      <c r="P12897">
        <v>0</v>
      </c>
      <c r="Q12897">
        <v>2</v>
      </c>
      <c r="R12897" t="s">
        <v>42691</v>
      </c>
      <c r="S12897" t="s">
        <v>43726</v>
      </c>
      <c r="T12897" t="s">
        <v>44432</v>
      </c>
      <c r="U12897" t="s">
        <v>55304</v>
      </c>
      <c r="W12897" t="s">
        <v>40105</v>
      </c>
      <c r="X12897" t="s">
        <v>42697</v>
      </c>
    </row>
    <row r="12898" spans="1:24">
      <c r="A12898">
        <f>HYPERLINK("https://www.philgeps.gov.ph/GEPSNONPILOT/Tender/SplashBidNoticeAbstractUI.aspx?menuIndex=3&amp;refID=7146869&amp;Result=3","7146869")</f>
        <v>0</v>
      </c>
      <c r="B12898" t="s">
        <v>3410</v>
      </c>
      <c r="C12898" t="s">
        <v>15866</v>
      </c>
      <c r="D12898" t="s">
        <v>17188</v>
      </c>
      <c r="E12898" t="s">
        <v>28220</v>
      </c>
      <c r="F12898" t="s">
        <v>29372</v>
      </c>
      <c r="G12898" t="s">
        <v>29380</v>
      </c>
      <c r="H12898" t="s">
        <v>11048</v>
      </c>
      <c r="I12898" t="s">
        <v>29395</v>
      </c>
      <c r="J12898" t="s">
        <v>37671</v>
      </c>
      <c r="K12898" t="s">
        <v>38488</v>
      </c>
      <c r="M12898" t="s">
        <v>42508</v>
      </c>
      <c r="N12898" t="s">
        <v>42669</v>
      </c>
      <c r="O12898" t="s">
        <v>42670</v>
      </c>
      <c r="P12898">
        <v>0</v>
      </c>
      <c r="Q12898">
        <v>1</v>
      </c>
      <c r="R12898" t="s">
        <v>42691</v>
      </c>
      <c r="S12898" t="s">
        <v>43726</v>
      </c>
      <c r="T12898" t="s">
        <v>44432</v>
      </c>
      <c r="U12898" t="s">
        <v>55305</v>
      </c>
      <c r="W12898" t="s">
        <v>42508</v>
      </c>
      <c r="X12898" t="s">
        <v>42697</v>
      </c>
    </row>
    <row r="12899" spans="1:24">
      <c r="A12899">
        <f>HYPERLINK("https://www.philgeps.gov.ph/GEPSNONPILOT/Tender/SplashBidNoticeAbstractUI.aspx?menuIndex=3&amp;refID=7146811&amp;Result=3","7146811")</f>
        <v>0</v>
      </c>
      <c r="B12899" t="s">
        <v>3410</v>
      </c>
      <c r="C12899" t="s">
        <v>15867</v>
      </c>
      <c r="D12899" t="s">
        <v>17188</v>
      </c>
      <c r="E12899" t="s">
        <v>28221</v>
      </c>
      <c r="F12899" t="s">
        <v>29372</v>
      </c>
      <c r="G12899" t="s">
        <v>29380</v>
      </c>
      <c r="H12899" t="s">
        <v>11048</v>
      </c>
      <c r="I12899" t="s">
        <v>29395</v>
      </c>
      <c r="J12899" t="s">
        <v>37672</v>
      </c>
      <c r="K12899" t="s">
        <v>38488</v>
      </c>
      <c r="M12899" t="s">
        <v>42508</v>
      </c>
      <c r="N12899" t="s">
        <v>42669</v>
      </c>
      <c r="O12899" t="s">
        <v>42670</v>
      </c>
      <c r="P12899">
        <v>0</v>
      </c>
      <c r="Q12899">
        <v>1</v>
      </c>
      <c r="R12899" t="s">
        <v>42691</v>
      </c>
      <c r="S12899" t="s">
        <v>43726</v>
      </c>
      <c r="T12899" t="s">
        <v>44432</v>
      </c>
      <c r="U12899" t="s">
        <v>55306</v>
      </c>
      <c r="W12899" t="s">
        <v>42508</v>
      </c>
      <c r="X12899" t="s">
        <v>42697</v>
      </c>
    </row>
    <row r="12900" spans="1:24">
      <c r="A12900">
        <f>HYPERLINK("https://www.philgeps.gov.ph/GEPSNONPILOT/Tender/SplashBidNoticeAbstractUI.aspx?menuIndex=3&amp;refID=7158430&amp;Result=3","7158430")</f>
        <v>0</v>
      </c>
      <c r="B12900" t="s">
        <v>2533</v>
      </c>
      <c r="C12900" t="s">
        <v>15868</v>
      </c>
      <c r="E12900" t="s">
        <v>28222</v>
      </c>
      <c r="F12900" t="s">
        <v>29372</v>
      </c>
      <c r="G12900" t="s">
        <v>29380</v>
      </c>
      <c r="H12900" t="s">
        <v>11048</v>
      </c>
      <c r="I12900" t="s">
        <v>29518</v>
      </c>
      <c r="J12900" t="s">
        <v>37673</v>
      </c>
      <c r="K12900" t="s">
        <v>38490</v>
      </c>
      <c r="M12900" t="s">
        <v>41495</v>
      </c>
      <c r="N12900" t="s">
        <v>42669</v>
      </c>
      <c r="O12900" t="s">
        <v>42670</v>
      </c>
      <c r="Q12900">
        <v>11</v>
      </c>
      <c r="R12900" t="s">
        <v>42690</v>
      </c>
      <c r="S12900" t="s">
        <v>43727</v>
      </c>
      <c r="T12900" t="s">
        <v>44498</v>
      </c>
      <c r="U12900" t="s">
        <v>51447</v>
      </c>
      <c r="W12900" t="s">
        <v>41495</v>
      </c>
      <c r="X12900" t="s">
        <v>42691</v>
      </c>
    </row>
    <row r="12901" spans="1:24">
      <c r="A12901">
        <f>HYPERLINK("https://www.philgeps.gov.ph/GEPSNONPILOT/Tender/SplashBidNoticeAbstractUI.aspx?menuIndex=3&amp;refID=7147465&amp;Result=3","7147465")</f>
        <v>0</v>
      </c>
      <c r="B12901" t="s">
        <v>48</v>
      </c>
      <c r="C12901" t="s">
        <v>15869</v>
      </c>
      <c r="D12901" t="s">
        <v>17158</v>
      </c>
      <c r="E12901" t="s">
        <v>28223</v>
      </c>
      <c r="F12901" t="s">
        <v>29372</v>
      </c>
      <c r="G12901" t="s">
        <v>29380</v>
      </c>
      <c r="H12901" t="s">
        <v>29389</v>
      </c>
      <c r="I12901" t="s">
        <v>10408</v>
      </c>
      <c r="J12901" t="s">
        <v>37674</v>
      </c>
      <c r="K12901" t="s">
        <v>38490</v>
      </c>
      <c r="M12901" t="s">
        <v>38801</v>
      </c>
      <c r="N12901" t="s">
        <v>42669</v>
      </c>
      <c r="O12901" t="s">
        <v>42670</v>
      </c>
      <c r="P12901">
        <v>0</v>
      </c>
      <c r="Q12901">
        <v>1</v>
      </c>
      <c r="R12901" t="s">
        <v>42691</v>
      </c>
      <c r="S12901" t="s">
        <v>43726</v>
      </c>
      <c r="T12901" t="s">
        <v>44488</v>
      </c>
      <c r="U12901" t="s">
        <v>55307</v>
      </c>
      <c r="W12901" t="s">
        <v>38801</v>
      </c>
      <c r="X12901" t="s">
        <v>42697</v>
      </c>
    </row>
    <row r="12902" spans="1:24">
      <c r="A12902">
        <f>HYPERLINK("https://www.philgeps.gov.ph/GEPSNONPILOT/Tender/SplashBidNoticeAbstractUI.aspx?menuIndex=3&amp;refID=7145458&amp;Result=3","7145458")</f>
        <v>0</v>
      </c>
      <c r="B12902" t="s">
        <v>60</v>
      </c>
      <c r="C12902" t="s">
        <v>15870</v>
      </c>
      <c r="E12902" t="s">
        <v>28224</v>
      </c>
      <c r="F12902" t="s">
        <v>29372</v>
      </c>
      <c r="G12902" t="s">
        <v>29380</v>
      </c>
      <c r="H12902" t="s">
        <v>11048</v>
      </c>
      <c r="I12902" t="s">
        <v>29414</v>
      </c>
      <c r="J12902" t="s">
        <v>29526</v>
      </c>
      <c r="K12902" t="s">
        <v>38490</v>
      </c>
      <c r="M12902" t="s">
        <v>40105</v>
      </c>
      <c r="N12902" t="s">
        <v>42669</v>
      </c>
      <c r="O12902" t="s">
        <v>42670</v>
      </c>
      <c r="P12902">
        <v>0</v>
      </c>
      <c r="Q12902">
        <v>6</v>
      </c>
      <c r="R12902" t="s">
        <v>42691</v>
      </c>
      <c r="S12902" t="s">
        <v>43726</v>
      </c>
      <c r="T12902" t="s">
        <v>44432</v>
      </c>
      <c r="U12902" t="s">
        <v>55308</v>
      </c>
      <c r="W12902" t="s">
        <v>40105</v>
      </c>
      <c r="X12902" t="s">
        <v>42697</v>
      </c>
    </row>
    <row r="12903" spans="1:24">
      <c r="A12903">
        <f>HYPERLINK("https://www.philgeps.gov.ph/GEPSNONPILOT/Tender/SplashBidNoticeAbstractUI.aspx?menuIndex=3&amp;refID=7145902&amp;Result=3","7145902")</f>
        <v>0</v>
      </c>
      <c r="B12903" t="s">
        <v>60</v>
      </c>
      <c r="C12903" t="s">
        <v>15871</v>
      </c>
      <c r="E12903" t="s">
        <v>28225</v>
      </c>
      <c r="F12903" t="s">
        <v>29372</v>
      </c>
      <c r="G12903" t="s">
        <v>29380</v>
      </c>
      <c r="H12903" t="s">
        <v>11048</v>
      </c>
      <c r="I12903" t="s">
        <v>29414</v>
      </c>
      <c r="J12903" t="s">
        <v>37675</v>
      </c>
      <c r="K12903" t="s">
        <v>38490</v>
      </c>
      <c r="M12903" t="s">
        <v>40105</v>
      </c>
      <c r="N12903" t="s">
        <v>42669</v>
      </c>
      <c r="O12903" t="s">
        <v>42670</v>
      </c>
      <c r="P12903">
        <v>0</v>
      </c>
      <c r="Q12903">
        <v>7</v>
      </c>
      <c r="R12903" t="s">
        <v>42691</v>
      </c>
      <c r="S12903" t="s">
        <v>43726</v>
      </c>
      <c r="T12903" t="s">
        <v>44432</v>
      </c>
      <c r="U12903" t="s">
        <v>55309</v>
      </c>
      <c r="W12903" t="s">
        <v>40105</v>
      </c>
      <c r="X12903" t="s">
        <v>42697</v>
      </c>
    </row>
    <row r="12904" spans="1:24">
      <c r="A12904">
        <f>HYPERLINK("https://www.philgeps.gov.ph/GEPSNONPILOT/Tender/SplashBidNoticeAbstractUI.aspx?menuIndex=3&amp;refID=7149738&amp;Result=3","7149738")</f>
        <v>0</v>
      </c>
      <c r="B12904" t="s">
        <v>2108</v>
      </c>
      <c r="C12904" t="s">
        <v>15872</v>
      </c>
      <c r="D12904" t="s">
        <v>17170</v>
      </c>
      <c r="E12904" t="s">
        <v>28226</v>
      </c>
      <c r="F12904" t="s">
        <v>29372</v>
      </c>
      <c r="G12904" t="s">
        <v>29380</v>
      </c>
      <c r="H12904" t="s">
        <v>29389</v>
      </c>
      <c r="I12904" t="s">
        <v>10408</v>
      </c>
      <c r="J12904" t="s">
        <v>31449</v>
      </c>
      <c r="K12904" t="s">
        <v>38487</v>
      </c>
      <c r="M12904" t="s">
        <v>42443</v>
      </c>
      <c r="N12904" t="s">
        <v>42669</v>
      </c>
      <c r="O12904" t="s">
        <v>42670</v>
      </c>
      <c r="P12904">
        <v>0</v>
      </c>
      <c r="Q12904">
        <v>1</v>
      </c>
      <c r="R12904" t="s">
        <v>42691</v>
      </c>
      <c r="S12904" t="s">
        <v>43726</v>
      </c>
      <c r="T12904" t="s">
        <v>44488</v>
      </c>
      <c r="U12904" t="s">
        <v>55310</v>
      </c>
      <c r="W12904" t="s">
        <v>42443</v>
      </c>
      <c r="X12904" t="s">
        <v>42693</v>
      </c>
    </row>
    <row r="12905" spans="1:24">
      <c r="A12905">
        <f>HYPERLINK("https://www.philgeps.gov.ph/GEPSNONPILOT/Tender/SplashBidNoticeAbstractUI.aspx?menuIndex=3&amp;refID=7149726&amp;Result=3","7149726")</f>
        <v>0</v>
      </c>
      <c r="B12905" t="s">
        <v>2108</v>
      </c>
      <c r="C12905" t="s">
        <v>15873</v>
      </c>
      <c r="D12905" t="s">
        <v>17170</v>
      </c>
      <c r="E12905" t="s">
        <v>28227</v>
      </c>
      <c r="F12905" t="s">
        <v>29372</v>
      </c>
      <c r="G12905" t="s">
        <v>29380</v>
      </c>
      <c r="H12905" t="s">
        <v>29389</v>
      </c>
      <c r="I12905" t="s">
        <v>10408</v>
      </c>
      <c r="J12905" t="s">
        <v>37676</v>
      </c>
      <c r="K12905" t="s">
        <v>38533</v>
      </c>
      <c r="M12905" t="s">
        <v>42443</v>
      </c>
      <c r="N12905" t="s">
        <v>42669</v>
      </c>
      <c r="O12905" t="s">
        <v>42670</v>
      </c>
      <c r="P12905">
        <v>0</v>
      </c>
      <c r="Q12905">
        <v>2</v>
      </c>
      <c r="R12905" t="s">
        <v>42691</v>
      </c>
      <c r="S12905" t="s">
        <v>43726</v>
      </c>
      <c r="T12905" t="s">
        <v>44488</v>
      </c>
      <c r="U12905" t="s">
        <v>55311</v>
      </c>
      <c r="W12905" t="s">
        <v>42443</v>
      </c>
      <c r="X12905" t="s">
        <v>42693</v>
      </c>
    </row>
    <row r="12906" spans="1:24">
      <c r="A12906">
        <f>HYPERLINK("https://www.philgeps.gov.ph/GEPSNONPILOT/Tender/SplashBidNoticeAbstractUI.aspx?menuIndex=3&amp;refID=7145842&amp;Result=3","7145842")</f>
        <v>0</v>
      </c>
      <c r="B12906" t="s">
        <v>60</v>
      </c>
      <c r="C12906" t="s">
        <v>15874</v>
      </c>
      <c r="E12906" t="s">
        <v>28228</v>
      </c>
      <c r="F12906" t="s">
        <v>29372</v>
      </c>
      <c r="G12906" t="s">
        <v>29380</v>
      </c>
      <c r="H12906" t="s">
        <v>11048</v>
      </c>
      <c r="I12906" t="s">
        <v>29414</v>
      </c>
      <c r="J12906" t="s">
        <v>31642</v>
      </c>
      <c r="K12906" t="s">
        <v>38490</v>
      </c>
      <c r="M12906" t="s">
        <v>40105</v>
      </c>
      <c r="N12906" t="s">
        <v>42669</v>
      </c>
      <c r="O12906" t="s">
        <v>42670</v>
      </c>
      <c r="P12906">
        <v>0</v>
      </c>
      <c r="Q12906">
        <v>2</v>
      </c>
      <c r="R12906" t="s">
        <v>42691</v>
      </c>
      <c r="S12906" t="s">
        <v>43726</v>
      </c>
      <c r="T12906" t="s">
        <v>44432</v>
      </c>
      <c r="U12906" t="s">
        <v>55312</v>
      </c>
      <c r="W12906" t="s">
        <v>40105</v>
      </c>
      <c r="X12906" t="s">
        <v>42697</v>
      </c>
    </row>
    <row r="12907" spans="1:24">
      <c r="A12907">
        <f>HYPERLINK("https://www.philgeps.gov.ph/GEPSNONPILOT/Tender/SplashBidNoticeAbstractUI.aspx?menuIndex=3&amp;refID=7149664&amp;Result=3","7149664")</f>
        <v>0</v>
      </c>
      <c r="B12907" t="s">
        <v>2537</v>
      </c>
      <c r="C12907" t="s">
        <v>15875</v>
      </c>
      <c r="D12907" t="s">
        <v>17164</v>
      </c>
      <c r="E12907" t="s">
        <v>28229</v>
      </c>
      <c r="F12907" t="s">
        <v>29372</v>
      </c>
      <c r="G12907" t="s">
        <v>29380</v>
      </c>
      <c r="H12907" t="s">
        <v>29389</v>
      </c>
      <c r="I12907" t="s">
        <v>10408</v>
      </c>
      <c r="J12907" t="s">
        <v>37677</v>
      </c>
      <c r="K12907" t="s">
        <v>38531</v>
      </c>
      <c r="M12907" t="s">
        <v>41499</v>
      </c>
      <c r="N12907" t="s">
        <v>42669</v>
      </c>
      <c r="O12907" t="s">
        <v>42670</v>
      </c>
      <c r="P12907">
        <v>0</v>
      </c>
      <c r="Q12907">
        <v>1</v>
      </c>
      <c r="R12907" t="s">
        <v>42691</v>
      </c>
      <c r="S12907" t="s">
        <v>43726</v>
      </c>
      <c r="T12907" t="s">
        <v>44432</v>
      </c>
      <c r="U12907" t="s">
        <v>55313</v>
      </c>
      <c r="W12907" t="s">
        <v>41499</v>
      </c>
      <c r="X12907" t="s">
        <v>42693</v>
      </c>
    </row>
    <row r="12908" spans="1:24">
      <c r="A12908">
        <f>HYPERLINK("https://www.philgeps.gov.ph/GEPSNONPILOT/Tender/SplashBidNoticeAbstractUI.aspx?menuIndex=3&amp;refID=7149626&amp;Result=3","7149626")</f>
        <v>0</v>
      </c>
      <c r="B12908" t="s">
        <v>2537</v>
      </c>
      <c r="C12908" t="s">
        <v>15876</v>
      </c>
      <c r="D12908" t="s">
        <v>17164</v>
      </c>
      <c r="E12908" t="s">
        <v>28230</v>
      </c>
      <c r="F12908" t="s">
        <v>29372</v>
      </c>
      <c r="G12908" t="s">
        <v>29380</v>
      </c>
      <c r="H12908" t="s">
        <v>29389</v>
      </c>
      <c r="I12908" t="s">
        <v>10408</v>
      </c>
      <c r="J12908" t="s">
        <v>37678</v>
      </c>
      <c r="K12908" t="s">
        <v>38581</v>
      </c>
      <c r="M12908" t="s">
        <v>41499</v>
      </c>
      <c r="N12908" t="s">
        <v>42669</v>
      </c>
      <c r="O12908" t="s">
        <v>42670</v>
      </c>
      <c r="P12908">
        <v>0</v>
      </c>
      <c r="Q12908">
        <v>1</v>
      </c>
      <c r="R12908" t="s">
        <v>42691</v>
      </c>
      <c r="S12908" t="s">
        <v>43726</v>
      </c>
      <c r="T12908" t="s">
        <v>44432</v>
      </c>
      <c r="U12908" t="s">
        <v>55314</v>
      </c>
      <c r="W12908" t="s">
        <v>41499</v>
      </c>
      <c r="X12908" t="s">
        <v>42693</v>
      </c>
    </row>
    <row r="12909" spans="1:24">
      <c r="A12909">
        <f>HYPERLINK("https://www.philgeps.gov.ph/GEPSNONPILOT/Tender/SplashBidNoticeAbstractUI.aspx?menuIndex=3&amp;refID=7149590&amp;Result=3","7149590")</f>
        <v>0</v>
      </c>
      <c r="B12909" t="s">
        <v>2537</v>
      </c>
      <c r="C12909" t="s">
        <v>15877</v>
      </c>
      <c r="D12909" t="s">
        <v>17164</v>
      </c>
      <c r="E12909" t="s">
        <v>28231</v>
      </c>
      <c r="F12909" t="s">
        <v>29372</v>
      </c>
      <c r="G12909" t="s">
        <v>29380</v>
      </c>
      <c r="H12909" t="s">
        <v>29389</v>
      </c>
      <c r="I12909" t="s">
        <v>10408</v>
      </c>
      <c r="J12909" t="s">
        <v>37679</v>
      </c>
      <c r="K12909" t="s">
        <v>38487</v>
      </c>
      <c r="M12909" t="s">
        <v>41499</v>
      </c>
      <c r="N12909" t="s">
        <v>42669</v>
      </c>
      <c r="O12909" t="s">
        <v>42670</v>
      </c>
      <c r="P12909">
        <v>0</v>
      </c>
      <c r="Q12909">
        <v>1</v>
      </c>
      <c r="R12909" t="s">
        <v>42691</v>
      </c>
      <c r="S12909" t="s">
        <v>43726</v>
      </c>
      <c r="T12909" t="s">
        <v>44432</v>
      </c>
      <c r="U12909" t="s">
        <v>55315</v>
      </c>
      <c r="W12909" t="s">
        <v>41499</v>
      </c>
      <c r="X12909" t="s">
        <v>42693</v>
      </c>
    </row>
    <row r="12910" spans="1:24">
      <c r="A12910">
        <f>HYPERLINK("https://www.philgeps.gov.ph/GEPSNONPILOT/Tender/SplashBidNoticeAbstractUI.aspx?menuIndex=3&amp;refID=7149542&amp;Result=3","7149542")</f>
        <v>0</v>
      </c>
      <c r="B12910" t="s">
        <v>2537</v>
      </c>
      <c r="C12910" t="s">
        <v>15878</v>
      </c>
      <c r="D12910" t="s">
        <v>17164</v>
      </c>
      <c r="E12910" t="s">
        <v>28232</v>
      </c>
      <c r="F12910" t="s">
        <v>29372</v>
      </c>
      <c r="G12910" t="s">
        <v>29380</v>
      </c>
      <c r="H12910" t="s">
        <v>29389</v>
      </c>
      <c r="I12910" t="s">
        <v>10408</v>
      </c>
      <c r="J12910" t="s">
        <v>37680</v>
      </c>
      <c r="K12910" t="s">
        <v>38605</v>
      </c>
      <c r="M12910" t="s">
        <v>41499</v>
      </c>
      <c r="N12910" t="s">
        <v>42669</v>
      </c>
      <c r="O12910" t="s">
        <v>42670</v>
      </c>
      <c r="P12910">
        <v>0</v>
      </c>
      <c r="Q12910">
        <v>1</v>
      </c>
      <c r="R12910" t="s">
        <v>42691</v>
      </c>
      <c r="S12910" t="s">
        <v>43726</v>
      </c>
      <c r="T12910" t="s">
        <v>44432</v>
      </c>
      <c r="U12910" t="s">
        <v>55316</v>
      </c>
      <c r="W12910" t="s">
        <v>41499</v>
      </c>
      <c r="X12910" t="s">
        <v>42693</v>
      </c>
    </row>
    <row r="12911" spans="1:24">
      <c r="A12911">
        <f>HYPERLINK("https://www.philgeps.gov.ph/GEPSNONPILOT/Tender/SplashBidNoticeAbstractUI.aspx?menuIndex=3&amp;refID=7149101&amp;Result=3","7149101")</f>
        <v>0</v>
      </c>
      <c r="B12911" t="s">
        <v>3411</v>
      </c>
      <c r="C12911" t="s">
        <v>15879</v>
      </c>
      <c r="D12911" t="s">
        <v>17153</v>
      </c>
      <c r="E12911" t="s">
        <v>28233</v>
      </c>
      <c r="F12911" t="s">
        <v>29372</v>
      </c>
      <c r="G12911" t="s">
        <v>29386</v>
      </c>
      <c r="H12911" t="s">
        <v>29391</v>
      </c>
      <c r="I12911" t="s">
        <v>29391</v>
      </c>
      <c r="J12911" t="s">
        <v>30127</v>
      </c>
      <c r="K12911" t="s">
        <v>38527</v>
      </c>
      <c r="M12911" t="s">
        <v>42509</v>
      </c>
      <c r="N12911" t="s">
        <v>42669</v>
      </c>
      <c r="O12911" t="s">
        <v>42670</v>
      </c>
      <c r="P12911">
        <v>0</v>
      </c>
      <c r="Q12911">
        <v>3</v>
      </c>
      <c r="R12911" t="s">
        <v>42691</v>
      </c>
      <c r="S12911" t="s">
        <v>43726</v>
      </c>
      <c r="T12911" t="s">
        <v>44426</v>
      </c>
      <c r="U12911" t="s">
        <v>55317</v>
      </c>
      <c r="W12911" t="s">
        <v>42509</v>
      </c>
      <c r="X12911" t="s">
        <v>42696</v>
      </c>
    </row>
    <row r="12912" spans="1:24">
      <c r="A12912">
        <f>HYPERLINK("https://www.philgeps.gov.ph/GEPSNONPILOT/Tender/SplashBidNoticeAbstractUI.aspx?menuIndex=3&amp;refID=7148734&amp;Result=3","7148734")</f>
        <v>0</v>
      </c>
      <c r="B12912" t="s">
        <v>589</v>
      </c>
      <c r="C12912" t="s">
        <v>15880</v>
      </c>
      <c r="D12912" t="s">
        <v>17168</v>
      </c>
      <c r="E12912" t="s">
        <v>28234</v>
      </c>
      <c r="F12912" t="s">
        <v>29372</v>
      </c>
      <c r="G12912" t="s">
        <v>29380</v>
      </c>
      <c r="H12912" t="s">
        <v>11048</v>
      </c>
      <c r="I12912" t="s">
        <v>3839</v>
      </c>
      <c r="J12912" t="s">
        <v>29532</v>
      </c>
      <c r="K12912" t="s">
        <v>38538</v>
      </c>
      <c r="M12912" t="s">
        <v>40450</v>
      </c>
      <c r="N12912" t="s">
        <v>42669</v>
      </c>
      <c r="O12912" t="s">
        <v>42670</v>
      </c>
      <c r="Q12912">
        <v>2</v>
      </c>
      <c r="R12912" t="s">
        <v>42691</v>
      </c>
      <c r="S12912" t="s">
        <v>43159</v>
      </c>
      <c r="T12912" t="s">
        <v>44427</v>
      </c>
      <c r="U12912" t="s">
        <v>55318</v>
      </c>
      <c r="V12912" t="s">
        <v>56973</v>
      </c>
      <c r="W12912" t="s">
        <v>40450</v>
      </c>
      <c r="X12912" t="s">
        <v>42695</v>
      </c>
    </row>
    <row r="12913" spans="1:24">
      <c r="A12913">
        <f>HYPERLINK("https://www.philgeps.gov.ph/GEPSNONPILOT/Tender/SplashBidNoticeAbstractUI.aspx?menuIndex=3&amp;refID=7148729&amp;Result=3","7148729")</f>
        <v>0</v>
      </c>
      <c r="B12913" t="s">
        <v>589</v>
      </c>
      <c r="C12913" t="s">
        <v>15881</v>
      </c>
      <c r="D12913" t="s">
        <v>17168</v>
      </c>
      <c r="E12913" t="s">
        <v>28235</v>
      </c>
      <c r="F12913" t="s">
        <v>29372</v>
      </c>
      <c r="G12913" t="s">
        <v>29380</v>
      </c>
      <c r="H12913" t="s">
        <v>11048</v>
      </c>
      <c r="I12913" t="s">
        <v>29400</v>
      </c>
      <c r="J12913" t="s">
        <v>30036</v>
      </c>
      <c r="K12913" t="s">
        <v>38538</v>
      </c>
      <c r="M12913" t="s">
        <v>40450</v>
      </c>
      <c r="N12913" t="s">
        <v>42669</v>
      </c>
      <c r="O12913" t="s">
        <v>42670</v>
      </c>
      <c r="Q12913">
        <v>3</v>
      </c>
      <c r="R12913" t="s">
        <v>42691</v>
      </c>
      <c r="S12913" t="s">
        <v>43728</v>
      </c>
      <c r="T12913" t="s">
        <v>44427</v>
      </c>
      <c r="U12913" t="s">
        <v>55319</v>
      </c>
      <c r="V12913" t="s">
        <v>56701</v>
      </c>
      <c r="W12913" t="s">
        <v>40450</v>
      </c>
      <c r="X12913" t="s">
        <v>42695</v>
      </c>
    </row>
    <row r="12914" spans="1:24">
      <c r="A12914">
        <f>HYPERLINK("https://www.philgeps.gov.ph/GEPSNONPILOT/Tender/SplashBidNoticeAbstractUI.aspx?menuIndex=3&amp;refID=7145999&amp;Result=3","7145999")</f>
        <v>0</v>
      </c>
      <c r="B12914" t="s">
        <v>60</v>
      </c>
      <c r="C12914" t="s">
        <v>15882</v>
      </c>
      <c r="E12914" t="s">
        <v>28236</v>
      </c>
      <c r="F12914" t="s">
        <v>29372</v>
      </c>
      <c r="G12914" t="s">
        <v>29380</v>
      </c>
      <c r="H12914" t="s">
        <v>11048</v>
      </c>
      <c r="I12914" t="s">
        <v>29414</v>
      </c>
      <c r="J12914" t="s">
        <v>30036</v>
      </c>
      <c r="K12914" t="s">
        <v>38490</v>
      </c>
      <c r="M12914" t="s">
        <v>40105</v>
      </c>
      <c r="N12914" t="s">
        <v>42669</v>
      </c>
      <c r="O12914" t="s">
        <v>42670</v>
      </c>
      <c r="P12914">
        <v>0</v>
      </c>
      <c r="Q12914">
        <v>3</v>
      </c>
      <c r="R12914" t="s">
        <v>42691</v>
      </c>
      <c r="S12914" t="s">
        <v>43726</v>
      </c>
      <c r="T12914" t="s">
        <v>44432</v>
      </c>
      <c r="U12914" t="s">
        <v>55320</v>
      </c>
      <c r="W12914" t="s">
        <v>40105</v>
      </c>
      <c r="X12914" t="s">
        <v>42697</v>
      </c>
    </row>
    <row r="12915" spans="1:24">
      <c r="A12915">
        <f>HYPERLINK("https://www.philgeps.gov.ph/GEPSNONPILOT/Tender/SplashBidNoticeAbstractUI.aspx?menuIndex=3&amp;refID=7148714&amp;Result=3","7148714")</f>
        <v>0</v>
      </c>
      <c r="B12915" t="s">
        <v>589</v>
      </c>
      <c r="C12915" t="s">
        <v>15883</v>
      </c>
      <c r="D12915" t="s">
        <v>17168</v>
      </c>
      <c r="E12915" t="s">
        <v>28237</v>
      </c>
      <c r="F12915" t="s">
        <v>29372</v>
      </c>
      <c r="G12915" t="s">
        <v>29380</v>
      </c>
      <c r="H12915" t="s">
        <v>11048</v>
      </c>
      <c r="I12915" t="s">
        <v>29400</v>
      </c>
      <c r="J12915" t="s">
        <v>30758</v>
      </c>
      <c r="K12915" t="s">
        <v>38538</v>
      </c>
      <c r="M12915" t="s">
        <v>40450</v>
      </c>
      <c r="N12915" t="s">
        <v>42669</v>
      </c>
      <c r="O12915" t="s">
        <v>42670</v>
      </c>
      <c r="P12915">
        <v>0</v>
      </c>
      <c r="Q12915">
        <v>3</v>
      </c>
      <c r="R12915" t="s">
        <v>42691</v>
      </c>
      <c r="S12915" t="s">
        <v>43726</v>
      </c>
      <c r="T12915" t="s">
        <v>44427</v>
      </c>
      <c r="U12915" t="s">
        <v>55321</v>
      </c>
      <c r="V12915" t="s">
        <v>56701</v>
      </c>
      <c r="W12915" t="s">
        <v>40450</v>
      </c>
      <c r="X12915" t="s">
        <v>42695</v>
      </c>
    </row>
    <row r="12916" spans="1:24">
      <c r="A12916">
        <f>HYPERLINK("https://www.philgeps.gov.ph/GEPSNONPILOT/Tender/SplashBidNoticeAbstractUI.aspx?menuIndex=3&amp;refID=6969461&amp;Result=3","6969461")</f>
        <v>0</v>
      </c>
      <c r="B12916" t="s">
        <v>3412</v>
      </c>
      <c r="C12916" t="s">
        <v>15884</v>
      </c>
      <c r="D12916" t="s">
        <v>17208</v>
      </c>
      <c r="E12916" t="s">
        <v>28238</v>
      </c>
      <c r="F12916" t="s">
        <v>29372</v>
      </c>
      <c r="G12916" t="s">
        <v>29380</v>
      </c>
      <c r="H12916" t="s">
        <v>29390</v>
      </c>
      <c r="I12916" t="s">
        <v>29488</v>
      </c>
      <c r="J12916" t="s">
        <v>37681</v>
      </c>
      <c r="K12916" t="s">
        <v>38488</v>
      </c>
      <c r="M12916" t="s">
        <v>42510</v>
      </c>
      <c r="N12916" t="s">
        <v>42669</v>
      </c>
      <c r="O12916" t="s">
        <v>42670</v>
      </c>
      <c r="P12916">
        <v>0</v>
      </c>
      <c r="Q12916">
        <v>0</v>
      </c>
      <c r="R12916" t="s">
        <v>42691</v>
      </c>
      <c r="S12916" t="s">
        <v>43726</v>
      </c>
      <c r="T12916" t="s">
        <v>44441</v>
      </c>
      <c r="U12916" t="s">
        <v>55322</v>
      </c>
      <c r="W12916" t="s">
        <v>42510</v>
      </c>
      <c r="X12916" t="s">
        <v>58149</v>
      </c>
    </row>
    <row r="12917" spans="1:24">
      <c r="A12917">
        <f>HYPERLINK("https://www.philgeps.gov.ph/GEPSNONPILOT/Tender/SplashBidNoticeAbstractUI.aspx?menuIndex=3&amp;refID=7149722&amp;Result=3","7149722")</f>
        <v>0</v>
      </c>
      <c r="B12917" t="s">
        <v>2537</v>
      </c>
      <c r="C12917" t="s">
        <v>15885</v>
      </c>
      <c r="D12917" t="s">
        <v>17164</v>
      </c>
      <c r="E12917" t="s">
        <v>28239</v>
      </c>
      <c r="F12917" t="s">
        <v>29372</v>
      </c>
      <c r="G12917" t="s">
        <v>29380</v>
      </c>
      <c r="H12917" t="s">
        <v>29389</v>
      </c>
      <c r="I12917" t="s">
        <v>10408</v>
      </c>
      <c r="J12917" t="s">
        <v>37682</v>
      </c>
      <c r="K12917" t="s">
        <v>38499</v>
      </c>
      <c r="M12917" t="s">
        <v>41499</v>
      </c>
      <c r="N12917" t="s">
        <v>42669</v>
      </c>
      <c r="O12917" t="s">
        <v>42670</v>
      </c>
      <c r="P12917">
        <v>0</v>
      </c>
      <c r="Q12917">
        <v>1</v>
      </c>
      <c r="R12917" t="s">
        <v>42691</v>
      </c>
      <c r="S12917" t="s">
        <v>43726</v>
      </c>
      <c r="T12917" t="s">
        <v>44432</v>
      </c>
      <c r="U12917" t="s">
        <v>55323</v>
      </c>
      <c r="W12917" t="s">
        <v>41499</v>
      </c>
      <c r="X12917" t="s">
        <v>42693</v>
      </c>
    </row>
    <row r="12918" spans="1:24">
      <c r="A12918">
        <f>HYPERLINK("https://www.philgeps.gov.ph/GEPSNONPILOT/Tender/SplashBidNoticeAbstractUI.aspx?menuIndex=3&amp;refID=7148702&amp;Result=3","7148702")</f>
        <v>0</v>
      </c>
      <c r="B12918" t="s">
        <v>589</v>
      </c>
      <c r="C12918" t="s">
        <v>15886</v>
      </c>
      <c r="D12918" t="s">
        <v>17168</v>
      </c>
      <c r="E12918" t="s">
        <v>28240</v>
      </c>
      <c r="F12918" t="s">
        <v>29372</v>
      </c>
      <c r="G12918" t="s">
        <v>29380</v>
      </c>
      <c r="H12918" t="s">
        <v>11048</v>
      </c>
      <c r="I12918" t="s">
        <v>3839</v>
      </c>
      <c r="J12918" t="s">
        <v>29644</v>
      </c>
      <c r="K12918" t="s">
        <v>38538</v>
      </c>
      <c r="M12918" t="s">
        <v>40450</v>
      </c>
      <c r="N12918" t="s">
        <v>42669</v>
      </c>
      <c r="O12918" t="s">
        <v>42670</v>
      </c>
      <c r="Q12918">
        <v>6</v>
      </c>
      <c r="R12918" t="s">
        <v>42691</v>
      </c>
      <c r="S12918" t="s">
        <v>43729</v>
      </c>
      <c r="T12918" t="s">
        <v>44427</v>
      </c>
      <c r="U12918" t="s">
        <v>55324</v>
      </c>
      <c r="V12918" t="s">
        <v>56701</v>
      </c>
      <c r="W12918" t="s">
        <v>40450</v>
      </c>
      <c r="X12918" t="s">
        <v>42695</v>
      </c>
    </row>
    <row r="12919" spans="1:24">
      <c r="A12919">
        <f>HYPERLINK("https://www.philgeps.gov.ph/GEPSNONPILOT/Tender/SplashBidNoticeAbstractUI.aspx?menuIndex=3&amp;refID=7148722&amp;Result=3","7148722")</f>
        <v>0</v>
      </c>
      <c r="B12919" t="s">
        <v>589</v>
      </c>
      <c r="C12919" t="s">
        <v>15887</v>
      </c>
      <c r="D12919" t="s">
        <v>17168</v>
      </c>
      <c r="E12919" t="s">
        <v>28241</v>
      </c>
      <c r="F12919" t="s">
        <v>29372</v>
      </c>
      <c r="G12919" t="s">
        <v>29380</v>
      </c>
      <c r="H12919" t="s">
        <v>11048</v>
      </c>
      <c r="I12919" t="s">
        <v>29400</v>
      </c>
      <c r="J12919" t="s">
        <v>33578</v>
      </c>
      <c r="K12919" t="s">
        <v>38538</v>
      </c>
      <c r="M12919" t="s">
        <v>40450</v>
      </c>
      <c r="N12919" t="s">
        <v>42669</v>
      </c>
      <c r="O12919" t="s">
        <v>42670</v>
      </c>
      <c r="Q12919">
        <v>1</v>
      </c>
      <c r="R12919" t="s">
        <v>42691</v>
      </c>
      <c r="S12919" t="s">
        <v>43730</v>
      </c>
      <c r="T12919" t="s">
        <v>44427</v>
      </c>
      <c r="U12919" t="s">
        <v>55325</v>
      </c>
      <c r="V12919" t="s">
        <v>56701</v>
      </c>
      <c r="W12919" t="s">
        <v>40450</v>
      </c>
      <c r="X12919" t="s">
        <v>42695</v>
      </c>
    </row>
    <row r="12920" spans="1:24">
      <c r="A12920">
        <f>HYPERLINK("https://www.philgeps.gov.ph/GEPSNONPILOT/Tender/SplashBidNoticeAbstractUI.aspx?menuIndex=3&amp;refID=7145941&amp;Result=3","7145941")</f>
        <v>0</v>
      </c>
      <c r="B12920" t="s">
        <v>60</v>
      </c>
      <c r="C12920" t="s">
        <v>15888</v>
      </c>
      <c r="E12920" t="s">
        <v>28242</v>
      </c>
      <c r="F12920" t="s">
        <v>29372</v>
      </c>
      <c r="G12920" t="s">
        <v>29380</v>
      </c>
      <c r="H12920" t="s">
        <v>11048</v>
      </c>
      <c r="I12920" t="s">
        <v>29414</v>
      </c>
      <c r="J12920" t="s">
        <v>37683</v>
      </c>
      <c r="K12920" t="s">
        <v>38490</v>
      </c>
      <c r="M12920" t="s">
        <v>40105</v>
      </c>
      <c r="N12920" t="s">
        <v>42669</v>
      </c>
      <c r="O12920" t="s">
        <v>42670</v>
      </c>
      <c r="P12920">
        <v>0</v>
      </c>
      <c r="Q12920">
        <v>4</v>
      </c>
      <c r="R12920" t="s">
        <v>42691</v>
      </c>
      <c r="S12920" t="s">
        <v>43726</v>
      </c>
      <c r="T12920" t="s">
        <v>44432</v>
      </c>
      <c r="U12920" t="s">
        <v>55326</v>
      </c>
      <c r="W12920" t="s">
        <v>40105</v>
      </c>
      <c r="X12920" t="s">
        <v>42697</v>
      </c>
    </row>
    <row r="12921" spans="1:24">
      <c r="A12921">
        <f>HYPERLINK("https://www.philgeps.gov.ph/GEPSNONPILOT/Tender/SplashBidNoticeAbstractUI.aspx?menuIndex=3&amp;refID=7147692&amp;Result=3","7147692")</f>
        <v>0</v>
      </c>
      <c r="B12921" t="s">
        <v>3413</v>
      </c>
      <c r="C12921" t="s">
        <v>15889</v>
      </c>
      <c r="D12921" t="s">
        <v>17188</v>
      </c>
      <c r="E12921" t="s">
        <v>28243</v>
      </c>
      <c r="F12921" t="s">
        <v>29372</v>
      </c>
      <c r="G12921" t="s">
        <v>29380</v>
      </c>
      <c r="H12921" t="s">
        <v>11048</v>
      </c>
      <c r="I12921" t="s">
        <v>29395</v>
      </c>
      <c r="J12921" t="s">
        <v>29526</v>
      </c>
      <c r="K12921" t="s">
        <v>38488</v>
      </c>
      <c r="M12921" t="s">
        <v>42511</v>
      </c>
      <c r="N12921" t="s">
        <v>42669</v>
      </c>
      <c r="O12921" t="s">
        <v>42670</v>
      </c>
      <c r="P12921">
        <v>0</v>
      </c>
      <c r="Q12921">
        <v>1</v>
      </c>
      <c r="R12921" t="s">
        <v>42691</v>
      </c>
      <c r="S12921" t="s">
        <v>43726</v>
      </c>
      <c r="T12921" t="s">
        <v>44432</v>
      </c>
      <c r="U12921" t="s">
        <v>55327</v>
      </c>
      <c r="W12921" t="s">
        <v>42511</v>
      </c>
      <c r="X12921" t="s">
        <v>42697</v>
      </c>
    </row>
    <row r="12922" spans="1:24">
      <c r="A12922">
        <f>HYPERLINK("https://www.philgeps.gov.ph/GEPSNONPILOT/Tender/SplashBidNoticeAbstractUI.aspx?menuIndex=3&amp;refID=7148710&amp;Result=3","7148710")</f>
        <v>0</v>
      </c>
      <c r="B12922" t="s">
        <v>589</v>
      </c>
      <c r="C12922" t="s">
        <v>15890</v>
      </c>
      <c r="D12922" t="s">
        <v>17168</v>
      </c>
      <c r="E12922" t="s">
        <v>28244</v>
      </c>
      <c r="F12922" t="s">
        <v>29372</v>
      </c>
      <c r="G12922" t="s">
        <v>29380</v>
      </c>
      <c r="H12922" t="s">
        <v>11048</v>
      </c>
      <c r="I12922" t="s">
        <v>29400</v>
      </c>
      <c r="J12922" t="s">
        <v>30149</v>
      </c>
      <c r="K12922" t="s">
        <v>38538</v>
      </c>
      <c r="M12922" t="s">
        <v>40450</v>
      </c>
      <c r="N12922" t="s">
        <v>42669</v>
      </c>
      <c r="O12922" t="s">
        <v>42670</v>
      </c>
      <c r="Q12922">
        <v>2</v>
      </c>
      <c r="R12922" t="s">
        <v>42691</v>
      </c>
      <c r="S12922" t="s">
        <v>43161</v>
      </c>
      <c r="T12922" t="s">
        <v>44427</v>
      </c>
      <c r="U12922" t="s">
        <v>55328</v>
      </c>
      <c r="V12922" t="s">
        <v>56701</v>
      </c>
      <c r="W12922" t="s">
        <v>40450</v>
      </c>
      <c r="X12922" t="s">
        <v>42695</v>
      </c>
    </row>
    <row r="12923" spans="1:24">
      <c r="A12923">
        <f>HYPERLINK("https://www.philgeps.gov.ph/GEPSNONPILOT/Tender/SplashBidNoticeAbstractUI.aspx?menuIndex=3&amp;refID=7151024&amp;Result=3","7151024")</f>
        <v>0</v>
      </c>
      <c r="B12923" t="s">
        <v>2608</v>
      </c>
      <c r="C12923" t="s">
        <v>15891</v>
      </c>
      <c r="D12923" t="s">
        <v>17192</v>
      </c>
      <c r="E12923" t="s">
        <v>28245</v>
      </c>
      <c r="F12923" t="s">
        <v>29372</v>
      </c>
      <c r="G12923" t="s">
        <v>29380</v>
      </c>
      <c r="H12923" t="s">
        <v>11048</v>
      </c>
      <c r="I12923" t="s">
        <v>3670</v>
      </c>
      <c r="J12923" t="s">
        <v>37684</v>
      </c>
      <c r="K12923" t="s">
        <v>38485</v>
      </c>
      <c r="M12923" t="s">
        <v>41577</v>
      </c>
      <c r="N12923" t="s">
        <v>42669</v>
      </c>
      <c r="O12923" t="s">
        <v>42670</v>
      </c>
      <c r="P12923">
        <v>0</v>
      </c>
      <c r="Q12923">
        <v>6</v>
      </c>
      <c r="R12923" t="s">
        <v>42691</v>
      </c>
      <c r="S12923" t="s">
        <v>43726</v>
      </c>
      <c r="T12923" t="s">
        <v>44566</v>
      </c>
      <c r="U12923" t="s">
        <v>55329</v>
      </c>
      <c r="W12923" t="s">
        <v>41577</v>
      </c>
      <c r="X12923" t="s">
        <v>42693</v>
      </c>
    </row>
    <row r="12924" spans="1:24">
      <c r="A12924">
        <f>HYPERLINK("https://www.philgeps.gov.ph/GEPSNONPILOT/Tender/SplashBidNoticeAbstractUI.aspx?menuIndex=3&amp;refID=7148624&amp;Result=3","7148624")</f>
        <v>0</v>
      </c>
      <c r="B12924" t="s">
        <v>739</v>
      </c>
      <c r="C12924" t="s">
        <v>6582</v>
      </c>
      <c r="D12924" t="s">
        <v>17158</v>
      </c>
      <c r="E12924" t="s">
        <v>28246</v>
      </c>
      <c r="F12924" t="s">
        <v>29372</v>
      </c>
      <c r="G12924" t="s">
        <v>29380</v>
      </c>
      <c r="H12924" t="s">
        <v>11048</v>
      </c>
      <c r="I12924" t="s">
        <v>29407</v>
      </c>
      <c r="J12924" t="s">
        <v>37685</v>
      </c>
      <c r="K12924" t="s">
        <v>38487</v>
      </c>
      <c r="M12924" t="s">
        <v>39520</v>
      </c>
      <c r="N12924" t="s">
        <v>42669</v>
      </c>
      <c r="O12924" t="s">
        <v>42670</v>
      </c>
      <c r="P12924">
        <v>0</v>
      </c>
      <c r="Q12924">
        <v>9</v>
      </c>
      <c r="R12924" t="s">
        <v>42691</v>
      </c>
      <c r="S12924" t="s">
        <v>43726</v>
      </c>
      <c r="T12924" t="s">
        <v>44491</v>
      </c>
      <c r="U12924" t="s">
        <v>55330</v>
      </c>
      <c r="W12924" t="s">
        <v>39520</v>
      </c>
      <c r="X12924" t="s">
        <v>42695</v>
      </c>
    </row>
    <row r="12925" spans="1:24">
      <c r="A12925">
        <f>HYPERLINK("https://www.philgeps.gov.ph/GEPSNONPILOT/Tender/SplashBidNoticeAbstractUI.aspx?menuIndex=3&amp;refID=7150388&amp;Result=3","7150388")</f>
        <v>0</v>
      </c>
      <c r="B12925" t="s">
        <v>1342</v>
      </c>
      <c r="C12925" t="s">
        <v>15892</v>
      </c>
      <c r="D12925" t="s">
        <v>17169</v>
      </c>
      <c r="E12925" t="s">
        <v>28247</v>
      </c>
      <c r="F12925" t="s">
        <v>29372</v>
      </c>
      <c r="G12925" t="s">
        <v>29380</v>
      </c>
      <c r="H12925" t="s">
        <v>29389</v>
      </c>
      <c r="I12925" t="s">
        <v>10408</v>
      </c>
      <c r="J12925" t="s">
        <v>37686</v>
      </c>
      <c r="K12925" t="s">
        <v>38496</v>
      </c>
      <c r="M12925" t="s">
        <v>40178</v>
      </c>
      <c r="N12925" t="s">
        <v>42669</v>
      </c>
      <c r="O12925" t="s">
        <v>42670</v>
      </c>
      <c r="P12925">
        <v>0</v>
      </c>
      <c r="Q12925">
        <v>0</v>
      </c>
      <c r="R12925" t="s">
        <v>42691</v>
      </c>
      <c r="S12925" t="s">
        <v>43726</v>
      </c>
      <c r="T12925" t="s">
        <v>44425</v>
      </c>
      <c r="U12925" t="s">
        <v>55331</v>
      </c>
      <c r="W12925" t="s">
        <v>40178</v>
      </c>
      <c r="X12925" t="s">
        <v>42693</v>
      </c>
    </row>
    <row r="12926" spans="1:24">
      <c r="A12926">
        <f>HYPERLINK("https://www.philgeps.gov.ph/GEPSNONPILOT/Tender/SplashBidNoticeAbstractUI.aspx?menuIndex=3&amp;refID=7150344&amp;Result=3","7150344")</f>
        <v>0</v>
      </c>
      <c r="B12926" t="s">
        <v>1342</v>
      </c>
      <c r="C12926" t="s">
        <v>15893</v>
      </c>
      <c r="D12926" t="s">
        <v>17169</v>
      </c>
      <c r="E12926" t="s">
        <v>28248</v>
      </c>
      <c r="F12926" t="s">
        <v>29372</v>
      </c>
      <c r="G12926" t="s">
        <v>29380</v>
      </c>
      <c r="H12926" t="s">
        <v>29389</v>
      </c>
      <c r="I12926" t="s">
        <v>10408</v>
      </c>
      <c r="J12926" t="s">
        <v>37687</v>
      </c>
      <c r="K12926" t="s">
        <v>38496</v>
      </c>
      <c r="M12926" t="s">
        <v>40178</v>
      </c>
      <c r="N12926" t="s">
        <v>42669</v>
      </c>
      <c r="O12926" t="s">
        <v>42670</v>
      </c>
      <c r="P12926">
        <v>0</v>
      </c>
      <c r="Q12926">
        <v>0</v>
      </c>
      <c r="R12926" t="s">
        <v>42691</v>
      </c>
      <c r="S12926" t="s">
        <v>43726</v>
      </c>
      <c r="T12926" t="s">
        <v>44425</v>
      </c>
      <c r="U12926" t="s">
        <v>55332</v>
      </c>
      <c r="W12926" t="s">
        <v>40178</v>
      </c>
      <c r="X12926" t="s">
        <v>42693</v>
      </c>
    </row>
    <row r="12927" spans="1:24">
      <c r="A12927">
        <f>HYPERLINK("https://www.philgeps.gov.ph/GEPSNONPILOT/Tender/SplashBidNoticeAbstractUI.aspx?menuIndex=3&amp;refID=7150360&amp;Result=3","7150360")</f>
        <v>0</v>
      </c>
      <c r="B12927" t="s">
        <v>1342</v>
      </c>
      <c r="C12927" t="s">
        <v>15894</v>
      </c>
      <c r="D12927" t="s">
        <v>17169</v>
      </c>
      <c r="E12927" t="s">
        <v>28249</v>
      </c>
      <c r="F12927" t="s">
        <v>29372</v>
      </c>
      <c r="G12927" t="s">
        <v>29380</v>
      </c>
      <c r="H12927" t="s">
        <v>29389</v>
      </c>
      <c r="I12927" t="s">
        <v>10408</v>
      </c>
      <c r="J12927" t="s">
        <v>37688</v>
      </c>
      <c r="K12927" t="s">
        <v>38496</v>
      </c>
      <c r="M12927" t="s">
        <v>40178</v>
      </c>
      <c r="N12927" t="s">
        <v>42669</v>
      </c>
      <c r="O12927" t="s">
        <v>42670</v>
      </c>
      <c r="P12927">
        <v>0</v>
      </c>
      <c r="Q12927">
        <v>0</v>
      </c>
      <c r="R12927" t="s">
        <v>42691</v>
      </c>
      <c r="S12927" t="s">
        <v>43726</v>
      </c>
      <c r="T12927" t="s">
        <v>44425</v>
      </c>
      <c r="U12927" t="s">
        <v>55333</v>
      </c>
      <c r="W12927" t="s">
        <v>40178</v>
      </c>
      <c r="X12927" t="s">
        <v>42693</v>
      </c>
    </row>
    <row r="12928" spans="1:24">
      <c r="A12928">
        <f>HYPERLINK("https://www.philgeps.gov.ph/GEPSNONPILOT/Tender/SplashBidNoticeAbstractUI.aspx?menuIndex=3&amp;refID=7150418&amp;Result=3","7150418")</f>
        <v>0</v>
      </c>
      <c r="B12928" t="s">
        <v>1342</v>
      </c>
      <c r="C12928" t="s">
        <v>15895</v>
      </c>
      <c r="D12928" t="s">
        <v>17169</v>
      </c>
      <c r="E12928" t="s">
        <v>28250</v>
      </c>
      <c r="F12928" t="s">
        <v>29372</v>
      </c>
      <c r="G12928" t="s">
        <v>29380</v>
      </c>
      <c r="H12928" t="s">
        <v>29389</v>
      </c>
      <c r="I12928" t="s">
        <v>10408</v>
      </c>
      <c r="J12928" t="s">
        <v>37689</v>
      </c>
      <c r="K12928" t="s">
        <v>38496</v>
      </c>
      <c r="M12928" t="s">
        <v>40178</v>
      </c>
      <c r="N12928" t="s">
        <v>42669</v>
      </c>
      <c r="O12928" t="s">
        <v>42670</v>
      </c>
      <c r="P12928">
        <v>0</v>
      </c>
      <c r="Q12928">
        <v>0</v>
      </c>
      <c r="R12928" t="s">
        <v>42691</v>
      </c>
      <c r="S12928" t="s">
        <v>43726</v>
      </c>
      <c r="T12928" t="s">
        <v>44425</v>
      </c>
      <c r="U12928" t="s">
        <v>55334</v>
      </c>
      <c r="W12928" t="s">
        <v>40178</v>
      </c>
      <c r="X12928" t="s">
        <v>42693</v>
      </c>
    </row>
    <row r="12929" spans="1:24">
      <c r="A12929">
        <f>HYPERLINK("https://www.philgeps.gov.ph/GEPSNONPILOT/Tender/SplashBidNoticeAbstractUI.aspx?menuIndex=3&amp;refID=7150243&amp;Result=3","7150243")</f>
        <v>0</v>
      </c>
      <c r="B12929" t="s">
        <v>1342</v>
      </c>
      <c r="C12929" t="s">
        <v>15896</v>
      </c>
      <c r="D12929" t="s">
        <v>17169</v>
      </c>
      <c r="E12929" t="s">
        <v>28251</v>
      </c>
      <c r="F12929" t="s">
        <v>29372</v>
      </c>
      <c r="G12929" t="s">
        <v>29380</v>
      </c>
      <c r="H12929" t="s">
        <v>29389</v>
      </c>
      <c r="I12929" t="s">
        <v>10408</v>
      </c>
      <c r="J12929" t="s">
        <v>37690</v>
      </c>
      <c r="K12929" t="s">
        <v>38496</v>
      </c>
      <c r="M12929" t="s">
        <v>40178</v>
      </c>
      <c r="N12929" t="s">
        <v>42669</v>
      </c>
      <c r="O12929" t="s">
        <v>42670</v>
      </c>
      <c r="P12929">
        <v>0</v>
      </c>
      <c r="Q12929">
        <v>1</v>
      </c>
      <c r="R12929" t="s">
        <v>42691</v>
      </c>
      <c r="S12929" t="s">
        <v>43726</v>
      </c>
      <c r="T12929" t="s">
        <v>44425</v>
      </c>
      <c r="U12929" t="s">
        <v>55335</v>
      </c>
      <c r="W12929" t="s">
        <v>40178</v>
      </c>
      <c r="X12929" t="s">
        <v>42693</v>
      </c>
    </row>
    <row r="12930" spans="1:24">
      <c r="A12930">
        <f>HYPERLINK("https://www.philgeps.gov.ph/GEPSNONPILOT/Tender/SplashBidNoticeAbstractUI.aspx?menuIndex=3&amp;refID=7148725&amp;Result=3","7148725")</f>
        <v>0</v>
      </c>
      <c r="B12930" t="s">
        <v>589</v>
      </c>
      <c r="C12930" t="s">
        <v>15897</v>
      </c>
      <c r="D12930" t="s">
        <v>17168</v>
      </c>
      <c r="E12930" t="s">
        <v>28252</v>
      </c>
      <c r="F12930" t="s">
        <v>29372</v>
      </c>
      <c r="G12930" t="s">
        <v>29380</v>
      </c>
      <c r="H12930" t="s">
        <v>11048</v>
      </c>
      <c r="I12930" t="s">
        <v>29400</v>
      </c>
      <c r="J12930" t="s">
        <v>29708</v>
      </c>
      <c r="K12930" t="s">
        <v>38538</v>
      </c>
      <c r="M12930" t="s">
        <v>40450</v>
      </c>
      <c r="N12930" t="s">
        <v>42669</v>
      </c>
      <c r="O12930" t="s">
        <v>42670</v>
      </c>
      <c r="P12930">
        <v>0</v>
      </c>
      <c r="Q12930">
        <v>6</v>
      </c>
      <c r="R12930" t="s">
        <v>42691</v>
      </c>
      <c r="S12930" t="s">
        <v>43726</v>
      </c>
      <c r="T12930" t="s">
        <v>44427</v>
      </c>
      <c r="U12930" t="s">
        <v>55336</v>
      </c>
      <c r="V12930" t="s">
        <v>56701</v>
      </c>
      <c r="W12930" t="s">
        <v>40450</v>
      </c>
      <c r="X12930" t="s">
        <v>42695</v>
      </c>
    </row>
    <row r="12931" spans="1:24">
      <c r="A12931">
        <f>HYPERLINK("https://www.philgeps.gov.ph/GEPSNONPILOT/Tender/SplashBidNoticeAbstractUI.aspx?menuIndex=3&amp;refID=7150323&amp;Result=3","7150323")</f>
        <v>0</v>
      </c>
      <c r="B12931" t="s">
        <v>1342</v>
      </c>
      <c r="C12931" t="s">
        <v>15898</v>
      </c>
      <c r="D12931" t="s">
        <v>17169</v>
      </c>
      <c r="E12931" t="s">
        <v>28253</v>
      </c>
      <c r="F12931" t="s">
        <v>29372</v>
      </c>
      <c r="G12931" t="s">
        <v>29380</v>
      </c>
      <c r="H12931" t="s">
        <v>29389</v>
      </c>
      <c r="I12931" t="s">
        <v>10408</v>
      </c>
      <c r="J12931" t="s">
        <v>37691</v>
      </c>
      <c r="K12931" t="s">
        <v>38496</v>
      </c>
      <c r="M12931" t="s">
        <v>40178</v>
      </c>
      <c r="N12931" t="s">
        <v>42669</v>
      </c>
      <c r="O12931" t="s">
        <v>42670</v>
      </c>
      <c r="P12931">
        <v>0</v>
      </c>
      <c r="Q12931">
        <v>0</v>
      </c>
      <c r="R12931" t="s">
        <v>42691</v>
      </c>
      <c r="S12931" t="s">
        <v>43726</v>
      </c>
      <c r="T12931" t="s">
        <v>44425</v>
      </c>
      <c r="U12931" t="s">
        <v>55337</v>
      </c>
      <c r="W12931" t="s">
        <v>40178</v>
      </c>
      <c r="X12931" t="s">
        <v>42693</v>
      </c>
    </row>
    <row r="12932" spans="1:24">
      <c r="A12932">
        <f>HYPERLINK("https://www.philgeps.gov.ph/GEPSNONPILOT/Tender/SplashBidNoticeAbstractUI.aspx?menuIndex=3&amp;refID=7149849&amp;Result=3","7149849")</f>
        <v>0</v>
      </c>
      <c r="B12932" t="s">
        <v>535</v>
      </c>
      <c r="C12932" t="s">
        <v>15899</v>
      </c>
      <c r="E12932" t="s">
        <v>28254</v>
      </c>
      <c r="F12932" t="s">
        <v>29372</v>
      </c>
      <c r="G12932" t="s">
        <v>29380</v>
      </c>
      <c r="H12932" t="s">
        <v>11048</v>
      </c>
      <c r="I12932" t="s">
        <v>9469</v>
      </c>
      <c r="J12932" t="s">
        <v>30056</v>
      </c>
      <c r="K12932" t="s">
        <v>38490</v>
      </c>
      <c r="M12932" t="s">
        <v>39303</v>
      </c>
      <c r="N12932" t="s">
        <v>42669</v>
      </c>
      <c r="O12932" t="s">
        <v>42670</v>
      </c>
      <c r="P12932">
        <v>0</v>
      </c>
      <c r="Q12932">
        <v>4</v>
      </c>
      <c r="R12932" t="s">
        <v>42691</v>
      </c>
      <c r="S12932" t="s">
        <v>43726</v>
      </c>
      <c r="T12932" t="s">
        <v>44401</v>
      </c>
      <c r="U12932" t="s">
        <v>55338</v>
      </c>
      <c r="W12932" t="s">
        <v>39303</v>
      </c>
      <c r="X12932" t="s">
        <v>42693</v>
      </c>
    </row>
    <row r="12933" spans="1:24">
      <c r="A12933">
        <f>HYPERLINK("https://www.philgeps.gov.ph/GEPSNONPILOT/Tender/SplashBidNoticeAbstractUI.aspx?menuIndex=3&amp;refID=7148519&amp;Result=3","7148519")</f>
        <v>0</v>
      </c>
      <c r="B12933" t="s">
        <v>739</v>
      </c>
      <c r="C12933" t="s">
        <v>5501</v>
      </c>
      <c r="D12933" t="s">
        <v>17158</v>
      </c>
      <c r="E12933" t="s">
        <v>28255</v>
      </c>
      <c r="F12933" t="s">
        <v>29372</v>
      </c>
      <c r="G12933" t="s">
        <v>29380</v>
      </c>
      <c r="H12933" t="s">
        <v>11048</v>
      </c>
      <c r="I12933" t="s">
        <v>3695</v>
      </c>
      <c r="J12933" t="s">
        <v>37692</v>
      </c>
      <c r="K12933" t="s">
        <v>38487</v>
      </c>
      <c r="M12933" t="s">
        <v>39520</v>
      </c>
      <c r="N12933" t="s">
        <v>42669</v>
      </c>
      <c r="O12933" t="s">
        <v>42670</v>
      </c>
      <c r="P12933">
        <v>0</v>
      </c>
      <c r="Q12933">
        <v>9</v>
      </c>
      <c r="R12933" t="s">
        <v>42691</v>
      </c>
      <c r="S12933" t="s">
        <v>43726</v>
      </c>
      <c r="T12933" t="s">
        <v>44491</v>
      </c>
      <c r="U12933" t="s">
        <v>55330</v>
      </c>
      <c r="W12933" t="s">
        <v>39520</v>
      </c>
      <c r="X12933" t="s">
        <v>42694</v>
      </c>
    </row>
    <row r="12934" spans="1:24">
      <c r="A12934">
        <f>HYPERLINK("https://www.philgeps.gov.ph/GEPSNONPILOT/Tender/SplashBidNoticeAbstractUI.aspx?menuIndex=3&amp;refID=7150215&amp;Result=3","7150215")</f>
        <v>0</v>
      </c>
      <c r="B12934" t="s">
        <v>1342</v>
      </c>
      <c r="C12934" t="s">
        <v>15900</v>
      </c>
      <c r="D12934" t="s">
        <v>17169</v>
      </c>
      <c r="E12934" t="s">
        <v>28256</v>
      </c>
      <c r="F12934" t="s">
        <v>29372</v>
      </c>
      <c r="G12934" t="s">
        <v>29380</v>
      </c>
      <c r="H12934" t="s">
        <v>11048</v>
      </c>
      <c r="I12934" t="s">
        <v>9469</v>
      </c>
      <c r="J12934" t="s">
        <v>32877</v>
      </c>
      <c r="K12934" t="s">
        <v>38496</v>
      </c>
      <c r="M12934" t="s">
        <v>40178</v>
      </c>
      <c r="N12934" t="s">
        <v>42669</v>
      </c>
      <c r="O12934" t="s">
        <v>42670</v>
      </c>
      <c r="P12934">
        <v>0</v>
      </c>
      <c r="Q12934">
        <v>4</v>
      </c>
      <c r="R12934" t="s">
        <v>42691</v>
      </c>
      <c r="S12934" t="s">
        <v>43726</v>
      </c>
      <c r="T12934" t="s">
        <v>44425</v>
      </c>
      <c r="U12934" t="s">
        <v>55339</v>
      </c>
      <c r="W12934" t="s">
        <v>40178</v>
      </c>
      <c r="X12934" t="s">
        <v>42693</v>
      </c>
    </row>
    <row r="12935" spans="1:24">
      <c r="A12935">
        <f>HYPERLINK("https://www.philgeps.gov.ph/GEPSNONPILOT/Tender/SplashBidNoticeAbstractUI.aspx?menuIndex=3&amp;refID=7148707&amp;Result=3","7148707")</f>
        <v>0</v>
      </c>
      <c r="B12935" t="s">
        <v>589</v>
      </c>
      <c r="C12935" t="s">
        <v>15901</v>
      </c>
      <c r="D12935" t="s">
        <v>17168</v>
      </c>
      <c r="E12935" t="s">
        <v>28257</v>
      </c>
      <c r="F12935" t="s">
        <v>29372</v>
      </c>
      <c r="G12935" t="s">
        <v>29380</v>
      </c>
      <c r="H12935" t="s">
        <v>11048</v>
      </c>
      <c r="I12935" t="s">
        <v>29400</v>
      </c>
      <c r="J12935" t="s">
        <v>30026</v>
      </c>
      <c r="K12935" t="s">
        <v>38538</v>
      </c>
      <c r="M12935" t="s">
        <v>40450</v>
      </c>
      <c r="N12935" t="s">
        <v>42669</v>
      </c>
      <c r="O12935" t="s">
        <v>42670</v>
      </c>
      <c r="Q12935">
        <v>1</v>
      </c>
      <c r="R12935" t="s">
        <v>42691</v>
      </c>
      <c r="S12935" t="s">
        <v>43731</v>
      </c>
      <c r="T12935" t="s">
        <v>44427</v>
      </c>
      <c r="U12935" t="s">
        <v>55340</v>
      </c>
      <c r="V12935" t="s">
        <v>56701</v>
      </c>
      <c r="W12935" t="s">
        <v>40450</v>
      </c>
      <c r="X12935" t="s">
        <v>42695</v>
      </c>
    </row>
    <row r="12936" spans="1:24">
      <c r="A12936">
        <f>HYPERLINK("https://www.philgeps.gov.ph/GEPSNONPILOT/Tender/SplashBidNoticeAbstractUI.aspx?menuIndex=3&amp;refID=7150291&amp;Result=3","7150291")</f>
        <v>0</v>
      </c>
      <c r="B12936" t="s">
        <v>1342</v>
      </c>
      <c r="C12936" t="s">
        <v>15902</v>
      </c>
      <c r="D12936" t="s">
        <v>17169</v>
      </c>
      <c r="E12936" t="s">
        <v>28258</v>
      </c>
      <c r="F12936" t="s">
        <v>29372</v>
      </c>
      <c r="G12936" t="s">
        <v>29380</v>
      </c>
      <c r="H12936" t="s">
        <v>29389</v>
      </c>
      <c r="I12936" t="s">
        <v>10408</v>
      </c>
      <c r="J12936" t="s">
        <v>37693</v>
      </c>
      <c r="K12936" t="s">
        <v>38496</v>
      </c>
      <c r="M12936" t="s">
        <v>40178</v>
      </c>
      <c r="N12936" t="s">
        <v>42669</v>
      </c>
      <c r="O12936" t="s">
        <v>42670</v>
      </c>
      <c r="P12936">
        <v>0</v>
      </c>
      <c r="Q12936">
        <v>0</v>
      </c>
      <c r="R12936" t="s">
        <v>42691</v>
      </c>
      <c r="S12936" t="s">
        <v>43726</v>
      </c>
      <c r="T12936" t="s">
        <v>44425</v>
      </c>
      <c r="U12936" t="s">
        <v>55341</v>
      </c>
      <c r="W12936" t="s">
        <v>40178</v>
      </c>
      <c r="X12936" t="s">
        <v>42693</v>
      </c>
    </row>
    <row r="12937" spans="1:24">
      <c r="A12937">
        <f>HYPERLINK("https://www.philgeps.gov.ph/GEPSNONPILOT/Tender/SplashBidNoticeAbstractUI.aspx?menuIndex=3&amp;refID=7152460&amp;Result=3","7152460")</f>
        <v>0</v>
      </c>
      <c r="B12937" t="s">
        <v>3081</v>
      </c>
      <c r="C12937" t="s">
        <v>15903</v>
      </c>
      <c r="D12937" t="s">
        <v>17143</v>
      </c>
      <c r="E12937" t="s">
        <v>28259</v>
      </c>
      <c r="F12937" t="s">
        <v>29372</v>
      </c>
      <c r="G12937" t="s">
        <v>29380</v>
      </c>
      <c r="H12937" t="s">
        <v>29389</v>
      </c>
      <c r="I12937" t="s">
        <v>10408</v>
      </c>
      <c r="J12937" t="s">
        <v>37694</v>
      </c>
      <c r="K12937" t="s">
        <v>38487</v>
      </c>
      <c r="M12937" t="s">
        <v>42110</v>
      </c>
      <c r="N12937" t="s">
        <v>42669</v>
      </c>
      <c r="O12937" t="s">
        <v>42670</v>
      </c>
      <c r="P12937">
        <v>0</v>
      </c>
      <c r="Q12937">
        <v>2</v>
      </c>
      <c r="R12937" t="s">
        <v>42691</v>
      </c>
      <c r="S12937" t="s">
        <v>43726</v>
      </c>
      <c r="T12937" t="s">
        <v>44488</v>
      </c>
      <c r="U12937" t="s">
        <v>55342</v>
      </c>
      <c r="W12937" t="s">
        <v>42110</v>
      </c>
      <c r="X12937" t="s">
        <v>42692</v>
      </c>
    </row>
    <row r="12938" spans="1:24">
      <c r="A12938">
        <f>HYPERLINK("https://www.philgeps.gov.ph/GEPSNONPILOT/Tender/SplashBidNoticeAbstractUI.aspx?menuIndex=3&amp;refID=7152459&amp;Result=3","7152459")</f>
        <v>0</v>
      </c>
      <c r="B12938" t="s">
        <v>3414</v>
      </c>
      <c r="C12938" t="s">
        <v>15904</v>
      </c>
      <c r="D12938" t="s">
        <v>17159</v>
      </c>
      <c r="E12938" t="s">
        <v>28260</v>
      </c>
      <c r="F12938" t="s">
        <v>29372</v>
      </c>
      <c r="G12938" t="s">
        <v>29380</v>
      </c>
      <c r="H12938" t="s">
        <v>11048</v>
      </c>
      <c r="I12938" t="s">
        <v>9469</v>
      </c>
      <c r="J12938" t="s">
        <v>29615</v>
      </c>
      <c r="K12938" t="s">
        <v>38496</v>
      </c>
      <c r="M12938" t="s">
        <v>42512</v>
      </c>
      <c r="N12938" t="s">
        <v>42669</v>
      </c>
      <c r="O12938" t="s">
        <v>42670</v>
      </c>
      <c r="P12938">
        <v>0</v>
      </c>
      <c r="Q12938">
        <v>6</v>
      </c>
      <c r="R12938" t="s">
        <v>42691</v>
      </c>
      <c r="S12938" t="s">
        <v>43726</v>
      </c>
      <c r="T12938" t="s">
        <v>44491</v>
      </c>
      <c r="U12938" t="s">
        <v>55343</v>
      </c>
      <c r="W12938" t="s">
        <v>42512</v>
      </c>
      <c r="X12938" t="s">
        <v>42692</v>
      </c>
    </row>
    <row r="12939" spans="1:24">
      <c r="A12939">
        <f>HYPERLINK("https://www.philgeps.gov.ph/GEPSNONPILOT/Tender/SplashBidNoticeAbstractUI.aspx?menuIndex=3&amp;refID=7152440&amp;Result=3","7152440")</f>
        <v>0</v>
      </c>
      <c r="B12939" t="s">
        <v>889</v>
      </c>
      <c r="C12939" t="s">
        <v>15905</v>
      </c>
      <c r="E12939" t="s">
        <v>28261</v>
      </c>
      <c r="F12939" t="s">
        <v>29372</v>
      </c>
      <c r="G12939" t="s">
        <v>29380</v>
      </c>
      <c r="H12939" t="s">
        <v>29389</v>
      </c>
      <c r="I12939" t="s">
        <v>10408</v>
      </c>
      <c r="J12939" t="s">
        <v>37695</v>
      </c>
      <c r="K12939" t="s">
        <v>38530</v>
      </c>
      <c r="M12939" t="s">
        <v>39681</v>
      </c>
      <c r="N12939" t="s">
        <v>42669</v>
      </c>
      <c r="O12939" t="s">
        <v>42670</v>
      </c>
      <c r="P12939">
        <v>0</v>
      </c>
      <c r="Q12939">
        <v>8</v>
      </c>
      <c r="R12939" t="s">
        <v>42691</v>
      </c>
      <c r="S12939" t="s">
        <v>43726</v>
      </c>
      <c r="T12939" t="s">
        <v>44491</v>
      </c>
      <c r="U12939" t="s">
        <v>55344</v>
      </c>
      <c r="W12939" t="s">
        <v>39681</v>
      </c>
      <c r="X12939" t="s">
        <v>42692</v>
      </c>
    </row>
    <row r="12940" spans="1:24">
      <c r="A12940">
        <f>HYPERLINK("https://www.philgeps.gov.ph/GEPSNONPILOT/Tender/SplashBidNoticeAbstractUI.aspx?menuIndex=3&amp;refID=7152413&amp;Result=3","7152413")</f>
        <v>0</v>
      </c>
      <c r="B12940" t="s">
        <v>2957</v>
      </c>
      <c r="C12940" t="s">
        <v>15906</v>
      </c>
      <c r="D12940" t="s">
        <v>17175</v>
      </c>
      <c r="E12940" t="s">
        <v>28262</v>
      </c>
      <c r="F12940" t="s">
        <v>29372</v>
      </c>
      <c r="G12940" t="s">
        <v>29380</v>
      </c>
      <c r="H12940" t="s">
        <v>29389</v>
      </c>
      <c r="I12940" t="s">
        <v>10408</v>
      </c>
      <c r="J12940" t="s">
        <v>37696</v>
      </c>
      <c r="K12940" t="s">
        <v>38522</v>
      </c>
      <c r="M12940" t="s">
        <v>42513</v>
      </c>
      <c r="N12940" t="s">
        <v>42669</v>
      </c>
      <c r="O12940" t="s">
        <v>42670</v>
      </c>
      <c r="P12940">
        <v>0</v>
      </c>
      <c r="Q12940">
        <v>1</v>
      </c>
      <c r="R12940" t="s">
        <v>42691</v>
      </c>
      <c r="S12940" t="s">
        <v>43726</v>
      </c>
      <c r="T12940" t="s">
        <v>44647</v>
      </c>
      <c r="U12940" t="s">
        <v>55345</v>
      </c>
      <c r="V12940" t="s">
        <v>57853</v>
      </c>
      <c r="W12940" t="s">
        <v>42513</v>
      </c>
      <c r="X12940" t="s">
        <v>42692</v>
      </c>
    </row>
    <row r="12941" spans="1:24">
      <c r="A12941">
        <f>HYPERLINK("https://www.philgeps.gov.ph/GEPSNONPILOT/Tender/SplashBidNoticeAbstractUI.aspx?menuIndex=3&amp;refID=7150001&amp;Result=3","7150001")</f>
        <v>0</v>
      </c>
      <c r="B12941" t="s">
        <v>692</v>
      </c>
      <c r="C12941" t="s">
        <v>15907</v>
      </c>
      <c r="D12941" t="s">
        <v>17160</v>
      </c>
      <c r="E12941" t="s">
        <v>17399</v>
      </c>
      <c r="F12941" t="s">
        <v>29372</v>
      </c>
      <c r="G12941" t="s">
        <v>29380</v>
      </c>
      <c r="H12941" t="s">
        <v>29389</v>
      </c>
      <c r="I12941" t="s">
        <v>10408</v>
      </c>
      <c r="J12941" t="s">
        <v>37697</v>
      </c>
      <c r="K12941" t="s">
        <v>38490</v>
      </c>
      <c r="M12941" t="s">
        <v>39468</v>
      </c>
      <c r="N12941" t="s">
        <v>42669</v>
      </c>
      <c r="O12941" t="s">
        <v>42670</v>
      </c>
      <c r="P12941">
        <v>0</v>
      </c>
      <c r="Q12941">
        <v>0</v>
      </c>
      <c r="R12941" t="s">
        <v>42691</v>
      </c>
      <c r="S12941" t="s">
        <v>43726</v>
      </c>
      <c r="T12941" t="s">
        <v>44488</v>
      </c>
      <c r="U12941" t="s">
        <v>55346</v>
      </c>
      <c r="W12941" t="s">
        <v>39468</v>
      </c>
      <c r="X12941" t="s">
        <v>42693</v>
      </c>
    </row>
    <row r="12942" spans="1:24">
      <c r="A12942">
        <f>HYPERLINK("https://www.philgeps.gov.ph/GEPSNONPILOT/Tender/SplashBidNoticeAbstractUI.aspx?menuIndex=3&amp;refID=7152394&amp;Result=3","7152394")</f>
        <v>0</v>
      </c>
      <c r="B12942" t="s">
        <v>2957</v>
      </c>
      <c r="C12942" t="s">
        <v>15908</v>
      </c>
      <c r="D12942" t="s">
        <v>17175</v>
      </c>
      <c r="E12942" t="s">
        <v>28263</v>
      </c>
      <c r="F12942" t="s">
        <v>29372</v>
      </c>
      <c r="G12942" t="s">
        <v>29380</v>
      </c>
      <c r="H12942" t="s">
        <v>29389</v>
      </c>
      <c r="I12942" t="s">
        <v>10408</v>
      </c>
      <c r="J12942" t="s">
        <v>37698</v>
      </c>
      <c r="K12942" t="s">
        <v>38622</v>
      </c>
      <c r="M12942" t="s">
        <v>42513</v>
      </c>
      <c r="N12942" t="s">
        <v>42669</v>
      </c>
      <c r="O12942" t="s">
        <v>42670</v>
      </c>
      <c r="P12942">
        <v>0</v>
      </c>
      <c r="Q12942">
        <v>1</v>
      </c>
      <c r="R12942" t="s">
        <v>42691</v>
      </c>
      <c r="S12942" t="s">
        <v>43726</v>
      </c>
      <c r="T12942" t="s">
        <v>44647</v>
      </c>
      <c r="U12942" t="s">
        <v>55347</v>
      </c>
      <c r="V12942" t="s">
        <v>57853</v>
      </c>
      <c r="W12942" t="s">
        <v>42513</v>
      </c>
      <c r="X12942" t="s">
        <v>42692</v>
      </c>
    </row>
    <row r="12943" spans="1:24">
      <c r="A12943">
        <f>HYPERLINK("https://www.philgeps.gov.ph/GEPSNONPILOT/Tender/SplashBidNoticeAbstractUI.aspx?menuIndex=3&amp;refID=7152386&amp;Result=3","7152386")</f>
        <v>0</v>
      </c>
      <c r="B12943" t="s">
        <v>2351</v>
      </c>
      <c r="C12943" t="s">
        <v>15909</v>
      </c>
      <c r="D12943" t="s">
        <v>17145</v>
      </c>
      <c r="E12943" t="s">
        <v>17515</v>
      </c>
      <c r="F12943" t="s">
        <v>29372</v>
      </c>
      <c r="G12943" t="s">
        <v>29380</v>
      </c>
      <c r="H12943" t="s">
        <v>29389</v>
      </c>
      <c r="I12943" t="s">
        <v>10408</v>
      </c>
      <c r="J12943" t="s">
        <v>37699</v>
      </c>
      <c r="K12943" t="s">
        <v>38677</v>
      </c>
      <c r="M12943" t="s">
        <v>41285</v>
      </c>
      <c r="N12943" t="s">
        <v>42669</v>
      </c>
      <c r="O12943" t="s">
        <v>42670</v>
      </c>
      <c r="P12943">
        <v>0</v>
      </c>
      <c r="Q12943">
        <v>6</v>
      </c>
      <c r="R12943" t="s">
        <v>42691</v>
      </c>
      <c r="S12943" t="s">
        <v>43726</v>
      </c>
      <c r="T12943" t="s">
        <v>44570</v>
      </c>
      <c r="U12943" t="s">
        <v>55348</v>
      </c>
      <c r="W12943" t="s">
        <v>41285</v>
      </c>
      <c r="X12943" t="s">
        <v>42692</v>
      </c>
    </row>
    <row r="12944" spans="1:24">
      <c r="A12944">
        <f>HYPERLINK("https://www.philgeps.gov.ph/GEPSNONPILOT/Tender/SplashBidNoticeAbstractUI.aspx?menuIndex=3&amp;refID=7152362&amp;Result=3","7152362")</f>
        <v>0</v>
      </c>
      <c r="B12944" t="s">
        <v>3415</v>
      </c>
      <c r="C12944" t="s">
        <v>15910</v>
      </c>
      <c r="D12944" t="s">
        <v>17177</v>
      </c>
      <c r="E12944" t="s">
        <v>27156</v>
      </c>
      <c r="F12944" t="s">
        <v>29372</v>
      </c>
      <c r="G12944" t="s">
        <v>29380</v>
      </c>
      <c r="H12944" t="s">
        <v>29389</v>
      </c>
      <c r="I12944" t="s">
        <v>10408</v>
      </c>
      <c r="J12944" t="s">
        <v>30412</v>
      </c>
      <c r="K12944" t="s">
        <v>38551</v>
      </c>
      <c r="M12944" t="s">
        <v>42514</v>
      </c>
      <c r="N12944" t="s">
        <v>42669</v>
      </c>
      <c r="O12944" t="s">
        <v>42670</v>
      </c>
      <c r="P12944">
        <v>0</v>
      </c>
      <c r="Q12944">
        <v>0</v>
      </c>
      <c r="R12944" t="s">
        <v>42691</v>
      </c>
      <c r="S12944" t="s">
        <v>43726</v>
      </c>
      <c r="T12944" t="s">
        <v>44432</v>
      </c>
      <c r="U12944" t="s">
        <v>55349</v>
      </c>
      <c r="W12944" t="s">
        <v>42514</v>
      </c>
      <c r="X12944" t="s">
        <v>42692</v>
      </c>
    </row>
    <row r="12945" spans="1:24">
      <c r="A12945">
        <f>HYPERLINK("https://www.philgeps.gov.ph/GEPSNONPILOT/Tender/SplashBidNoticeAbstractUI.aspx?menuIndex=3&amp;refID=7152395&amp;Result=3","7152395")</f>
        <v>0</v>
      </c>
      <c r="B12945" t="s">
        <v>221</v>
      </c>
      <c r="C12945" t="s">
        <v>15911</v>
      </c>
      <c r="D12945" t="s">
        <v>17202</v>
      </c>
      <c r="E12945" t="s">
        <v>28264</v>
      </c>
      <c r="F12945" t="s">
        <v>29372</v>
      </c>
      <c r="G12945" t="s">
        <v>29380</v>
      </c>
      <c r="H12945" t="s">
        <v>29389</v>
      </c>
      <c r="I12945" t="s">
        <v>10408</v>
      </c>
      <c r="J12945" t="s">
        <v>37700</v>
      </c>
      <c r="K12945" t="s">
        <v>38522</v>
      </c>
      <c r="M12945" t="s">
        <v>38980</v>
      </c>
      <c r="N12945" t="s">
        <v>42669</v>
      </c>
      <c r="O12945" t="s">
        <v>42670</v>
      </c>
      <c r="P12945">
        <v>0</v>
      </c>
      <c r="Q12945">
        <v>0</v>
      </c>
      <c r="R12945" t="s">
        <v>42691</v>
      </c>
      <c r="S12945" t="s">
        <v>43726</v>
      </c>
      <c r="T12945" t="s">
        <v>44488</v>
      </c>
      <c r="U12945" t="s">
        <v>55350</v>
      </c>
      <c r="W12945" t="s">
        <v>38980</v>
      </c>
      <c r="X12945" t="s">
        <v>42692</v>
      </c>
    </row>
    <row r="12946" spans="1:24">
      <c r="A12946">
        <f>HYPERLINK("https://www.philgeps.gov.ph/GEPSNONPILOT/Tender/SplashBidNoticeAbstractUI.aspx?menuIndex=3&amp;refID=7152344&amp;Result=3","7152344")</f>
        <v>0</v>
      </c>
      <c r="B12946" t="s">
        <v>3416</v>
      </c>
      <c r="C12946" t="s">
        <v>15912</v>
      </c>
      <c r="D12946" t="s">
        <v>17211</v>
      </c>
      <c r="E12946" t="s">
        <v>28265</v>
      </c>
      <c r="F12946" t="s">
        <v>29372</v>
      </c>
      <c r="G12946" t="s">
        <v>29380</v>
      </c>
      <c r="H12946" t="s">
        <v>11048</v>
      </c>
      <c r="I12946" t="s">
        <v>5383</v>
      </c>
      <c r="J12946" t="s">
        <v>37701</v>
      </c>
      <c r="K12946" t="s">
        <v>38485</v>
      </c>
      <c r="M12946" t="s">
        <v>42515</v>
      </c>
      <c r="N12946" t="s">
        <v>42669</v>
      </c>
      <c r="O12946" t="s">
        <v>42670</v>
      </c>
      <c r="P12946">
        <v>0</v>
      </c>
      <c r="Q12946">
        <v>7</v>
      </c>
      <c r="R12946" t="s">
        <v>42691</v>
      </c>
      <c r="S12946" t="s">
        <v>43726</v>
      </c>
      <c r="T12946" t="s">
        <v>44488</v>
      </c>
      <c r="U12946" t="s">
        <v>55351</v>
      </c>
      <c r="W12946" t="s">
        <v>42515</v>
      </c>
      <c r="X12946" t="s">
        <v>42692</v>
      </c>
    </row>
    <row r="12947" spans="1:24">
      <c r="A12947">
        <f>HYPERLINK("https://www.philgeps.gov.ph/GEPSNONPILOT/Tender/SplashBidNoticeAbstractUI.aspx?menuIndex=3&amp;refID=7152341&amp;Result=3","7152341")</f>
        <v>0</v>
      </c>
      <c r="B12947" t="s">
        <v>580</v>
      </c>
      <c r="C12947" t="s">
        <v>15913</v>
      </c>
      <c r="E12947" t="s">
        <v>28266</v>
      </c>
      <c r="F12947" t="s">
        <v>29372</v>
      </c>
      <c r="G12947" t="s">
        <v>29380</v>
      </c>
      <c r="H12947" t="s">
        <v>11048</v>
      </c>
      <c r="I12947" t="s">
        <v>8794</v>
      </c>
      <c r="J12947" t="s">
        <v>37702</v>
      </c>
      <c r="K12947" t="s">
        <v>38496</v>
      </c>
      <c r="M12947" t="s">
        <v>39349</v>
      </c>
      <c r="N12947" t="s">
        <v>42669</v>
      </c>
      <c r="O12947" t="s">
        <v>42670</v>
      </c>
      <c r="Q12947">
        <v>1</v>
      </c>
      <c r="R12947" t="s">
        <v>42691</v>
      </c>
      <c r="S12947" t="s">
        <v>43732</v>
      </c>
      <c r="T12947" t="s">
        <v>44355</v>
      </c>
      <c r="U12947" t="s">
        <v>55352</v>
      </c>
      <c r="W12947" t="s">
        <v>39349</v>
      </c>
      <c r="X12947" t="s">
        <v>42692</v>
      </c>
    </row>
    <row r="12948" spans="1:24">
      <c r="A12948">
        <f>HYPERLINK("https://www.philgeps.gov.ph/GEPSNONPILOT/Tender/SplashBidNoticeAbstractUI.aspx?menuIndex=3&amp;refID=7152335&amp;Result=3","7152335")</f>
        <v>0</v>
      </c>
      <c r="B12948" t="s">
        <v>3137</v>
      </c>
      <c r="C12948" t="s">
        <v>14664</v>
      </c>
      <c r="D12948" t="s">
        <v>17211</v>
      </c>
      <c r="E12948" t="s">
        <v>28267</v>
      </c>
      <c r="F12948" t="s">
        <v>29372</v>
      </c>
      <c r="G12948" t="s">
        <v>29380</v>
      </c>
      <c r="H12948" t="s">
        <v>29389</v>
      </c>
      <c r="I12948" t="s">
        <v>10408</v>
      </c>
      <c r="J12948" t="s">
        <v>29555</v>
      </c>
      <c r="K12948" t="s">
        <v>38518</v>
      </c>
      <c r="M12948" t="s">
        <v>42182</v>
      </c>
      <c r="N12948" t="s">
        <v>42669</v>
      </c>
      <c r="O12948" t="s">
        <v>42670</v>
      </c>
      <c r="P12948">
        <v>0</v>
      </c>
      <c r="Q12948">
        <v>1</v>
      </c>
      <c r="R12948" t="s">
        <v>42691</v>
      </c>
      <c r="S12948" t="s">
        <v>43726</v>
      </c>
      <c r="T12948" t="s">
        <v>44354</v>
      </c>
      <c r="U12948" t="s">
        <v>55353</v>
      </c>
      <c r="V12948" t="s">
        <v>57854</v>
      </c>
      <c r="W12948" t="s">
        <v>42182</v>
      </c>
      <c r="X12948" t="s">
        <v>42692</v>
      </c>
    </row>
    <row r="12949" spans="1:24">
      <c r="A12949">
        <f>HYPERLINK("https://www.philgeps.gov.ph/GEPSNONPILOT/Tender/SplashBidNoticeAbstractUI.aspx?menuIndex=3&amp;refID=7152316&amp;Result=3","7152316")</f>
        <v>0</v>
      </c>
      <c r="B12949" t="s">
        <v>622</v>
      </c>
      <c r="C12949" t="s">
        <v>15914</v>
      </c>
      <c r="D12949" t="s">
        <v>17147</v>
      </c>
      <c r="E12949" t="s">
        <v>28268</v>
      </c>
      <c r="F12949" t="s">
        <v>29372</v>
      </c>
      <c r="G12949" t="s">
        <v>29380</v>
      </c>
      <c r="H12949" t="s">
        <v>11048</v>
      </c>
      <c r="I12949" t="s">
        <v>9469</v>
      </c>
      <c r="J12949" t="s">
        <v>37703</v>
      </c>
      <c r="K12949" t="s">
        <v>38518</v>
      </c>
      <c r="M12949" t="s">
        <v>39393</v>
      </c>
      <c r="N12949" t="s">
        <v>42669</v>
      </c>
      <c r="O12949" t="s">
        <v>42670</v>
      </c>
      <c r="P12949">
        <v>0</v>
      </c>
      <c r="Q12949">
        <v>5</v>
      </c>
      <c r="R12949" t="s">
        <v>42691</v>
      </c>
      <c r="S12949" t="s">
        <v>43726</v>
      </c>
      <c r="T12949" t="s">
        <v>44493</v>
      </c>
      <c r="U12949" t="s">
        <v>55354</v>
      </c>
      <c r="V12949" t="s">
        <v>57855</v>
      </c>
      <c r="W12949" t="s">
        <v>39393</v>
      </c>
      <c r="X12949" t="s">
        <v>42692</v>
      </c>
    </row>
    <row r="12950" spans="1:24">
      <c r="A12950">
        <f>HYPERLINK("https://www.philgeps.gov.ph/GEPSNONPILOT/Tender/SplashBidNoticeAbstractUI.aspx?menuIndex=3&amp;refID=7152304&amp;Result=3","7152304")</f>
        <v>0</v>
      </c>
      <c r="B12950" t="s">
        <v>2389</v>
      </c>
      <c r="C12950" t="s">
        <v>15915</v>
      </c>
      <c r="D12950" t="s">
        <v>17177</v>
      </c>
      <c r="E12950" t="s">
        <v>28269</v>
      </c>
      <c r="F12950" t="s">
        <v>29372</v>
      </c>
      <c r="G12950" t="s">
        <v>29380</v>
      </c>
      <c r="H12950" t="s">
        <v>29389</v>
      </c>
      <c r="I12950" t="s">
        <v>10408</v>
      </c>
      <c r="J12950" t="s">
        <v>37704</v>
      </c>
      <c r="K12950" t="s">
        <v>38662</v>
      </c>
      <c r="M12950" t="s">
        <v>41334</v>
      </c>
      <c r="N12950" t="s">
        <v>42669</v>
      </c>
      <c r="O12950" t="s">
        <v>42670</v>
      </c>
      <c r="P12950">
        <v>0</v>
      </c>
      <c r="Q12950">
        <v>1</v>
      </c>
      <c r="R12950" t="s">
        <v>42691</v>
      </c>
      <c r="S12950" t="s">
        <v>43726</v>
      </c>
      <c r="T12950" t="s">
        <v>44432</v>
      </c>
      <c r="U12950" t="s">
        <v>55355</v>
      </c>
      <c r="V12950" t="s">
        <v>57283</v>
      </c>
      <c r="W12950" t="s">
        <v>41334</v>
      </c>
      <c r="X12950" t="s">
        <v>42692</v>
      </c>
    </row>
    <row r="12951" spans="1:24">
      <c r="A12951">
        <f>HYPERLINK("https://www.philgeps.gov.ph/GEPSNONPILOT/Tender/SplashBidNoticeAbstractUI.aspx?menuIndex=3&amp;refID=7152189&amp;Result=3","7152189")</f>
        <v>0</v>
      </c>
      <c r="B12951" t="s">
        <v>3417</v>
      </c>
      <c r="C12951" t="s">
        <v>15916</v>
      </c>
      <c r="E12951" t="s">
        <v>28270</v>
      </c>
      <c r="F12951" t="s">
        <v>29372</v>
      </c>
      <c r="G12951" t="s">
        <v>29380</v>
      </c>
      <c r="H12951" t="s">
        <v>11048</v>
      </c>
      <c r="I12951" t="s">
        <v>9469</v>
      </c>
      <c r="J12951" t="s">
        <v>30244</v>
      </c>
      <c r="K12951" t="s">
        <v>38495</v>
      </c>
      <c r="M12951" t="s">
        <v>42516</v>
      </c>
      <c r="N12951" t="s">
        <v>42669</v>
      </c>
      <c r="O12951" t="s">
        <v>42670</v>
      </c>
      <c r="Q12951">
        <v>9</v>
      </c>
      <c r="R12951" t="s">
        <v>42691</v>
      </c>
      <c r="S12951" t="s">
        <v>43733</v>
      </c>
      <c r="T12951" t="s">
        <v>44570</v>
      </c>
      <c r="U12951" t="s">
        <v>55356</v>
      </c>
      <c r="W12951" t="s">
        <v>42516</v>
      </c>
      <c r="X12951" t="s">
        <v>42693</v>
      </c>
    </row>
    <row r="12952" spans="1:24">
      <c r="A12952">
        <f>HYPERLINK("https://www.philgeps.gov.ph/GEPSNONPILOT/Tender/SplashBidNoticeAbstractUI.aspx?menuIndex=3&amp;refID=7151634&amp;Result=3","7151634")</f>
        <v>0</v>
      </c>
      <c r="B12952" t="s">
        <v>221</v>
      </c>
      <c r="C12952" t="s">
        <v>15917</v>
      </c>
      <c r="D12952" t="s">
        <v>17202</v>
      </c>
      <c r="E12952" t="s">
        <v>28271</v>
      </c>
      <c r="F12952" t="s">
        <v>29372</v>
      </c>
      <c r="G12952" t="s">
        <v>29380</v>
      </c>
      <c r="H12952" t="s">
        <v>11048</v>
      </c>
      <c r="I12952" t="s">
        <v>9469</v>
      </c>
      <c r="J12952" t="s">
        <v>29615</v>
      </c>
      <c r="K12952" t="s">
        <v>38488</v>
      </c>
      <c r="M12952" t="s">
        <v>38980</v>
      </c>
      <c r="N12952" t="s">
        <v>42669</v>
      </c>
      <c r="O12952" t="s">
        <v>42670</v>
      </c>
      <c r="P12952">
        <v>0</v>
      </c>
      <c r="Q12952">
        <v>6</v>
      </c>
      <c r="R12952" t="s">
        <v>42691</v>
      </c>
      <c r="S12952" t="s">
        <v>43726</v>
      </c>
      <c r="T12952" t="s">
        <v>44488</v>
      </c>
      <c r="U12952" t="s">
        <v>55357</v>
      </c>
      <c r="W12952" t="s">
        <v>38980</v>
      </c>
      <c r="X12952" t="s">
        <v>42693</v>
      </c>
    </row>
    <row r="12953" spans="1:24">
      <c r="A12953">
        <f>HYPERLINK("https://www.philgeps.gov.ph/GEPSNONPILOT/Tender/SplashBidNoticeAbstractUI.aspx?menuIndex=3&amp;refID=7152423&amp;Result=3","7152423")</f>
        <v>0</v>
      </c>
      <c r="B12953" t="s">
        <v>2957</v>
      </c>
      <c r="C12953" t="s">
        <v>15918</v>
      </c>
      <c r="D12953" t="s">
        <v>17175</v>
      </c>
      <c r="E12953" t="s">
        <v>28272</v>
      </c>
      <c r="F12953" t="s">
        <v>29372</v>
      </c>
      <c r="G12953" t="s">
        <v>29380</v>
      </c>
      <c r="H12953" t="s">
        <v>29389</v>
      </c>
      <c r="I12953" t="s">
        <v>10408</v>
      </c>
      <c r="J12953" t="s">
        <v>37705</v>
      </c>
      <c r="K12953" t="s">
        <v>38522</v>
      </c>
      <c r="M12953" t="s">
        <v>42513</v>
      </c>
      <c r="N12953" t="s">
        <v>42669</v>
      </c>
      <c r="O12953" t="s">
        <v>42670</v>
      </c>
      <c r="P12953">
        <v>0</v>
      </c>
      <c r="Q12953">
        <v>0</v>
      </c>
      <c r="R12953" t="s">
        <v>42691</v>
      </c>
      <c r="S12953" t="s">
        <v>43726</v>
      </c>
      <c r="T12953" t="s">
        <v>44647</v>
      </c>
      <c r="U12953" t="s">
        <v>55358</v>
      </c>
      <c r="V12953" t="s">
        <v>57853</v>
      </c>
      <c r="W12953" t="s">
        <v>42513</v>
      </c>
      <c r="X12953" t="s">
        <v>42692</v>
      </c>
    </row>
    <row r="12954" spans="1:24">
      <c r="A12954">
        <f>HYPERLINK("https://www.philgeps.gov.ph/GEPSNONPILOT/Tender/SplashBidNoticeAbstractUI.aspx?menuIndex=3&amp;refID=7149917&amp;Result=3","7149917")</f>
        <v>0</v>
      </c>
      <c r="B12954" t="s">
        <v>2537</v>
      </c>
      <c r="C12954" t="s">
        <v>5319</v>
      </c>
      <c r="D12954" t="s">
        <v>17164</v>
      </c>
      <c r="E12954" t="s">
        <v>28273</v>
      </c>
      <c r="F12954" t="s">
        <v>29372</v>
      </c>
      <c r="G12954" t="s">
        <v>29380</v>
      </c>
      <c r="H12954" t="s">
        <v>11048</v>
      </c>
      <c r="I12954" t="s">
        <v>3695</v>
      </c>
      <c r="J12954" t="s">
        <v>29543</v>
      </c>
      <c r="K12954" t="s">
        <v>38491</v>
      </c>
      <c r="M12954" t="s">
        <v>41499</v>
      </c>
      <c r="N12954" t="s">
        <v>42669</v>
      </c>
      <c r="O12954" t="s">
        <v>42670</v>
      </c>
      <c r="P12954">
        <v>0</v>
      </c>
      <c r="Q12954">
        <v>7</v>
      </c>
      <c r="R12954" t="s">
        <v>42691</v>
      </c>
      <c r="S12954" t="s">
        <v>43726</v>
      </c>
      <c r="T12954" t="s">
        <v>44432</v>
      </c>
      <c r="U12954" t="s">
        <v>55359</v>
      </c>
      <c r="W12954" t="s">
        <v>41499</v>
      </c>
      <c r="X12954" t="s">
        <v>42693</v>
      </c>
    </row>
    <row r="12955" spans="1:24">
      <c r="A12955">
        <f>HYPERLINK("https://www.philgeps.gov.ph/GEPSNONPILOT/Tender/SplashBidNoticeAbstractUI.aspx?menuIndex=3&amp;refID=7151414&amp;Result=3","7151414")</f>
        <v>0</v>
      </c>
      <c r="B12955" t="s">
        <v>2311</v>
      </c>
      <c r="C12955" t="s">
        <v>15919</v>
      </c>
      <c r="D12955" t="s">
        <v>17191</v>
      </c>
      <c r="E12955" t="s">
        <v>28274</v>
      </c>
      <c r="F12955" t="s">
        <v>29372</v>
      </c>
      <c r="G12955" t="s">
        <v>29380</v>
      </c>
      <c r="H12955" t="s">
        <v>11048</v>
      </c>
      <c r="I12955" t="s">
        <v>4709</v>
      </c>
      <c r="J12955" t="s">
        <v>37706</v>
      </c>
      <c r="K12955" t="s">
        <v>38485</v>
      </c>
      <c r="M12955" t="s">
        <v>41242</v>
      </c>
      <c r="N12955" t="s">
        <v>42669</v>
      </c>
      <c r="O12955" t="s">
        <v>42670</v>
      </c>
      <c r="Q12955">
        <v>1</v>
      </c>
      <c r="R12955" t="s">
        <v>42691</v>
      </c>
      <c r="S12955" t="s">
        <v>43734</v>
      </c>
      <c r="T12955" t="s">
        <v>44488</v>
      </c>
      <c r="U12955" t="s">
        <v>55360</v>
      </c>
      <c r="V12955" t="s">
        <v>57856</v>
      </c>
      <c r="W12955" t="s">
        <v>41242</v>
      </c>
      <c r="X12955" t="s">
        <v>42693</v>
      </c>
    </row>
    <row r="12956" spans="1:24">
      <c r="A12956">
        <f>HYPERLINK("https://www.philgeps.gov.ph/GEPSNONPILOT/Tender/SplashBidNoticeAbstractUI.aspx?menuIndex=3&amp;refID=7149812&amp;Result=3","7149812")</f>
        <v>0</v>
      </c>
      <c r="B12956" t="s">
        <v>2108</v>
      </c>
      <c r="C12956" t="s">
        <v>15920</v>
      </c>
      <c r="D12956" t="s">
        <v>17170</v>
      </c>
      <c r="E12956" t="s">
        <v>28275</v>
      </c>
      <c r="F12956" t="s">
        <v>29372</v>
      </c>
      <c r="G12956" t="s">
        <v>29380</v>
      </c>
      <c r="H12956" t="s">
        <v>29389</v>
      </c>
      <c r="I12956" t="s">
        <v>10408</v>
      </c>
      <c r="J12956" t="s">
        <v>37707</v>
      </c>
      <c r="K12956" t="s">
        <v>38727</v>
      </c>
      <c r="M12956" t="s">
        <v>42443</v>
      </c>
      <c r="N12956" t="s">
        <v>42669</v>
      </c>
      <c r="O12956" t="s">
        <v>42670</v>
      </c>
      <c r="P12956">
        <v>0</v>
      </c>
      <c r="Q12956">
        <v>4</v>
      </c>
      <c r="R12956" t="s">
        <v>42691</v>
      </c>
      <c r="S12956" t="s">
        <v>43726</v>
      </c>
      <c r="T12956" t="s">
        <v>44488</v>
      </c>
      <c r="U12956" t="s">
        <v>55361</v>
      </c>
      <c r="W12956" t="s">
        <v>42443</v>
      </c>
      <c r="X12956" t="s">
        <v>42693</v>
      </c>
    </row>
    <row r="12957" spans="1:24">
      <c r="A12957">
        <f>HYPERLINK("https://www.philgeps.gov.ph/GEPSNONPILOT/Tender/SplashBidNoticeAbstractUI.aspx?menuIndex=3&amp;refID=7149791&amp;Result=3","7149791")</f>
        <v>0</v>
      </c>
      <c r="B12957" t="s">
        <v>2108</v>
      </c>
      <c r="C12957" t="s">
        <v>15921</v>
      </c>
      <c r="D12957" t="s">
        <v>17170</v>
      </c>
      <c r="E12957" t="s">
        <v>28276</v>
      </c>
      <c r="F12957" t="s">
        <v>29372</v>
      </c>
      <c r="G12957" t="s">
        <v>29380</v>
      </c>
      <c r="H12957" t="s">
        <v>29389</v>
      </c>
      <c r="I12957" t="s">
        <v>10408</v>
      </c>
      <c r="J12957" t="s">
        <v>29615</v>
      </c>
      <c r="K12957" t="s">
        <v>38521</v>
      </c>
      <c r="M12957" t="s">
        <v>42443</v>
      </c>
      <c r="N12957" t="s">
        <v>42669</v>
      </c>
      <c r="O12957" t="s">
        <v>42670</v>
      </c>
      <c r="P12957">
        <v>0</v>
      </c>
      <c r="Q12957">
        <v>1</v>
      </c>
      <c r="R12957" t="s">
        <v>42691</v>
      </c>
      <c r="S12957" t="s">
        <v>43726</v>
      </c>
      <c r="T12957" t="s">
        <v>44488</v>
      </c>
      <c r="U12957" t="s">
        <v>55362</v>
      </c>
      <c r="W12957" t="s">
        <v>42443</v>
      </c>
      <c r="X12957" t="s">
        <v>42693</v>
      </c>
    </row>
    <row r="12958" spans="1:24">
      <c r="A12958">
        <f>HYPERLINK("https://www.philgeps.gov.ph/GEPSNONPILOT/Tender/SplashBidNoticeAbstractUI.aspx?menuIndex=3&amp;refID=7149781&amp;Result=3","7149781")</f>
        <v>0</v>
      </c>
      <c r="B12958" t="s">
        <v>2108</v>
      </c>
      <c r="C12958" t="s">
        <v>15922</v>
      </c>
      <c r="D12958" t="s">
        <v>17170</v>
      </c>
      <c r="E12958" t="s">
        <v>28277</v>
      </c>
      <c r="F12958" t="s">
        <v>29372</v>
      </c>
      <c r="G12958" t="s">
        <v>29380</v>
      </c>
      <c r="H12958" t="s">
        <v>29389</v>
      </c>
      <c r="I12958" t="s">
        <v>10408</v>
      </c>
      <c r="J12958" t="s">
        <v>30302</v>
      </c>
      <c r="K12958" t="s">
        <v>38531</v>
      </c>
      <c r="M12958" t="s">
        <v>42443</v>
      </c>
      <c r="N12958" t="s">
        <v>42669</v>
      </c>
      <c r="O12958" t="s">
        <v>42670</v>
      </c>
      <c r="P12958">
        <v>0</v>
      </c>
      <c r="Q12958">
        <v>1</v>
      </c>
      <c r="R12958" t="s">
        <v>42691</v>
      </c>
      <c r="S12958" t="s">
        <v>43726</v>
      </c>
      <c r="T12958" t="s">
        <v>44488</v>
      </c>
      <c r="U12958" t="s">
        <v>55363</v>
      </c>
      <c r="W12958" t="s">
        <v>42443</v>
      </c>
      <c r="X12958" t="s">
        <v>42693</v>
      </c>
    </row>
    <row r="12959" spans="1:24">
      <c r="A12959">
        <f>HYPERLINK("https://www.philgeps.gov.ph/GEPSNONPILOT/Tender/SplashBidNoticeAbstractUI.aspx?menuIndex=3&amp;refID=7149775&amp;Result=3","7149775")</f>
        <v>0</v>
      </c>
      <c r="B12959" t="s">
        <v>2108</v>
      </c>
      <c r="C12959" t="s">
        <v>15923</v>
      </c>
      <c r="D12959" t="s">
        <v>17170</v>
      </c>
      <c r="E12959" t="s">
        <v>28278</v>
      </c>
      <c r="F12959" t="s">
        <v>29372</v>
      </c>
      <c r="G12959" t="s">
        <v>29380</v>
      </c>
      <c r="H12959" t="s">
        <v>29389</v>
      </c>
      <c r="I12959" t="s">
        <v>10408</v>
      </c>
      <c r="J12959" t="s">
        <v>31301</v>
      </c>
      <c r="K12959" t="s">
        <v>38485</v>
      </c>
      <c r="M12959" t="s">
        <v>42443</v>
      </c>
      <c r="N12959" t="s">
        <v>42669</v>
      </c>
      <c r="O12959" t="s">
        <v>42670</v>
      </c>
      <c r="P12959">
        <v>0</v>
      </c>
      <c r="Q12959">
        <v>2</v>
      </c>
      <c r="R12959" t="s">
        <v>42691</v>
      </c>
      <c r="S12959" t="s">
        <v>43726</v>
      </c>
      <c r="T12959" t="s">
        <v>44488</v>
      </c>
      <c r="U12959" t="s">
        <v>55364</v>
      </c>
      <c r="W12959" t="s">
        <v>42443</v>
      </c>
      <c r="X12959" t="s">
        <v>42693</v>
      </c>
    </row>
    <row r="12960" spans="1:24">
      <c r="A12960">
        <f>HYPERLINK("https://www.philgeps.gov.ph/GEPSNONPILOT/Tender/SplashBidNoticeAbstractUI.aspx?menuIndex=3&amp;refID=7149745&amp;Result=3","7149745")</f>
        <v>0</v>
      </c>
      <c r="B12960" t="s">
        <v>2108</v>
      </c>
      <c r="C12960" t="s">
        <v>15924</v>
      </c>
      <c r="D12960" t="s">
        <v>17170</v>
      </c>
      <c r="E12960" t="s">
        <v>28279</v>
      </c>
      <c r="F12960" t="s">
        <v>29372</v>
      </c>
      <c r="G12960" t="s">
        <v>29380</v>
      </c>
      <c r="H12960" t="s">
        <v>29389</v>
      </c>
      <c r="I12960" t="s">
        <v>10408</v>
      </c>
      <c r="J12960" t="s">
        <v>37708</v>
      </c>
      <c r="K12960" t="s">
        <v>38548</v>
      </c>
      <c r="M12960" t="s">
        <v>42443</v>
      </c>
      <c r="N12960" t="s">
        <v>42669</v>
      </c>
      <c r="O12960" t="s">
        <v>42670</v>
      </c>
      <c r="P12960">
        <v>0</v>
      </c>
      <c r="Q12960">
        <v>1</v>
      </c>
      <c r="R12960" t="s">
        <v>42691</v>
      </c>
      <c r="S12960" t="s">
        <v>43726</v>
      </c>
      <c r="T12960" t="s">
        <v>44488</v>
      </c>
      <c r="U12960" t="s">
        <v>55365</v>
      </c>
      <c r="W12960" t="s">
        <v>42443</v>
      </c>
      <c r="X12960" t="s">
        <v>42693</v>
      </c>
    </row>
    <row r="12961" spans="1:24">
      <c r="A12961">
        <f>HYPERLINK("https://www.philgeps.gov.ph/GEPSNONPILOT/Tender/SplashBidNoticeAbstractUI.aspx?menuIndex=3&amp;refID=7149801&amp;Result=3","7149801")</f>
        <v>0</v>
      </c>
      <c r="B12961" t="s">
        <v>2108</v>
      </c>
      <c r="C12961" t="s">
        <v>15925</v>
      </c>
      <c r="D12961" t="s">
        <v>17170</v>
      </c>
      <c r="E12961" t="s">
        <v>28280</v>
      </c>
      <c r="F12961" t="s">
        <v>29372</v>
      </c>
      <c r="G12961" t="s">
        <v>29380</v>
      </c>
      <c r="H12961" t="s">
        <v>29389</v>
      </c>
      <c r="I12961" t="s">
        <v>10408</v>
      </c>
      <c r="J12961" t="s">
        <v>37709</v>
      </c>
      <c r="K12961" t="s">
        <v>38753</v>
      </c>
      <c r="M12961" t="s">
        <v>42443</v>
      </c>
      <c r="N12961" t="s">
        <v>42669</v>
      </c>
      <c r="O12961" t="s">
        <v>42670</v>
      </c>
      <c r="P12961">
        <v>0</v>
      </c>
      <c r="Q12961">
        <v>1</v>
      </c>
      <c r="R12961" t="s">
        <v>42691</v>
      </c>
      <c r="S12961" t="s">
        <v>43726</v>
      </c>
      <c r="T12961" t="s">
        <v>44488</v>
      </c>
      <c r="U12961" t="s">
        <v>55366</v>
      </c>
      <c r="W12961" t="s">
        <v>42443</v>
      </c>
      <c r="X12961" t="s">
        <v>42693</v>
      </c>
    </row>
    <row r="12962" spans="1:24">
      <c r="A12962">
        <f>HYPERLINK("https://www.philgeps.gov.ph/GEPSNONPILOT/Tender/SplashBidNoticeAbstractUI.aspx?menuIndex=3&amp;refID=7149766&amp;Result=3","7149766")</f>
        <v>0</v>
      </c>
      <c r="B12962" t="s">
        <v>2108</v>
      </c>
      <c r="C12962" t="s">
        <v>15926</v>
      </c>
      <c r="D12962" t="s">
        <v>17170</v>
      </c>
      <c r="E12962" t="s">
        <v>28281</v>
      </c>
      <c r="F12962" t="s">
        <v>29372</v>
      </c>
      <c r="G12962" t="s">
        <v>29380</v>
      </c>
      <c r="H12962" t="s">
        <v>29389</v>
      </c>
      <c r="I12962" t="s">
        <v>10408</v>
      </c>
      <c r="J12962" t="s">
        <v>30012</v>
      </c>
      <c r="K12962" t="s">
        <v>38595</v>
      </c>
      <c r="M12962" t="s">
        <v>42443</v>
      </c>
      <c r="N12962" t="s">
        <v>42669</v>
      </c>
      <c r="O12962" t="s">
        <v>42670</v>
      </c>
      <c r="P12962">
        <v>0</v>
      </c>
      <c r="Q12962">
        <v>3</v>
      </c>
      <c r="R12962" t="s">
        <v>42691</v>
      </c>
      <c r="S12962" t="s">
        <v>43726</v>
      </c>
      <c r="T12962" t="s">
        <v>44488</v>
      </c>
      <c r="U12962" t="s">
        <v>55367</v>
      </c>
      <c r="W12962" t="s">
        <v>42443</v>
      </c>
      <c r="X12962" t="s">
        <v>42693</v>
      </c>
    </row>
    <row r="12963" spans="1:24">
      <c r="A12963">
        <f>HYPERLINK("https://www.philgeps.gov.ph/GEPSNONPILOT/Tender/SplashBidNoticeAbstractUI.aspx?menuIndex=3&amp;refID=7151458&amp;Result=3","7151458")</f>
        <v>0</v>
      </c>
      <c r="B12963" t="s">
        <v>1339</v>
      </c>
      <c r="C12963" t="s">
        <v>15927</v>
      </c>
      <c r="D12963" t="s">
        <v>17183</v>
      </c>
      <c r="E12963" t="s">
        <v>28282</v>
      </c>
      <c r="F12963" t="s">
        <v>29372</v>
      </c>
      <c r="G12963" t="s">
        <v>29380</v>
      </c>
      <c r="H12963" t="s">
        <v>11048</v>
      </c>
      <c r="I12963" t="s">
        <v>29400</v>
      </c>
      <c r="J12963" t="s">
        <v>37710</v>
      </c>
      <c r="K12963" t="s">
        <v>38487</v>
      </c>
      <c r="M12963" t="s">
        <v>42517</v>
      </c>
      <c r="N12963" t="s">
        <v>42669</v>
      </c>
      <c r="O12963" t="s">
        <v>42670</v>
      </c>
      <c r="P12963">
        <v>0</v>
      </c>
      <c r="Q12963">
        <v>11</v>
      </c>
      <c r="R12963" t="s">
        <v>42691</v>
      </c>
      <c r="S12963" t="s">
        <v>43726</v>
      </c>
      <c r="T12963" t="s">
        <v>44652</v>
      </c>
      <c r="U12963" t="s">
        <v>55368</v>
      </c>
      <c r="V12963" t="s">
        <v>56697</v>
      </c>
      <c r="W12963" t="s">
        <v>42517</v>
      </c>
      <c r="X12963" t="s">
        <v>42693</v>
      </c>
    </row>
    <row r="12964" spans="1:24">
      <c r="A12964">
        <f>HYPERLINK("https://www.philgeps.gov.ph/GEPSNONPILOT/Tender/SplashBidNoticeAbstractUI.aspx?menuIndex=3&amp;refID=7152436&amp;Result=3","7152436")</f>
        <v>0</v>
      </c>
      <c r="B12964" t="s">
        <v>3081</v>
      </c>
      <c r="C12964" t="s">
        <v>15928</v>
      </c>
      <c r="D12964" t="s">
        <v>17143</v>
      </c>
      <c r="E12964" t="s">
        <v>28283</v>
      </c>
      <c r="F12964" t="s">
        <v>29372</v>
      </c>
      <c r="G12964" t="s">
        <v>29380</v>
      </c>
      <c r="H12964" t="s">
        <v>29389</v>
      </c>
      <c r="I12964" t="s">
        <v>10408</v>
      </c>
      <c r="J12964" t="s">
        <v>30056</v>
      </c>
      <c r="K12964" t="s">
        <v>38577</v>
      </c>
      <c r="M12964" t="s">
        <v>42110</v>
      </c>
      <c r="N12964" t="s">
        <v>42669</v>
      </c>
      <c r="O12964" t="s">
        <v>42670</v>
      </c>
      <c r="P12964">
        <v>0</v>
      </c>
      <c r="Q12964">
        <v>1</v>
      </c>
      <c r="R12964" t="s">
        <v>42691</v>
      </c>
      <c r="S12964" t="s">
        <v>43726</v>
      </c>
      <c r="T12964" t="s">
        <v>44488</v>
      </c>
      <c r="U12964" t="s">
        <v>55369</v>
      </c>
      <c r="W12964" t="s">
        <v>42110</v>
      </c>
      <c r="X12964" t="s">
        <v>42692</v>
      </c>
    </row>
    <row r="12965" spans="1:24">
      <c r="A12965">
        <f>HYPERLINK("https://www.philgeps.gov.ph/GEPSNONPILOT/Tender/SplashBidNoticeAbstractUI.aspx?menuIndex=3&amp;refID=7147609&amp;Result=3","7147609")</f>
        <v>0</v>
      </c>
      <c r="B12965" t="s">
        <v>3408</v>
      </c>
      <c r="C12965" t="s">
        <v>15929</v>
      </c>
      <c r="D12965" t="s">
        <v>17188</v>
      </c>
      <c r="E12965" t="s">
        <v>28284</v>
      </c>
      <c r="F12965" t="s">
        <v>29372</v>
      </c>
      <c r="G12965" t="s">
        <v>29380</v>
      </c>
      <c r="H12965" t="s">
        <v>11048</v>
      </c>
      <c r="I12965" t="s">
        <v>29395</v>
      </c>
      <c r="J12965" t="s">
        <v>37711</v>
      </c>
      <c r="K12965" t="s">
        <v>38488</v>
      </c>
      <c r="M12965" t="s">
        <v>42506</v>
      </c>
      <c r="N12965" t="s">
        <v>42669</v>
      </c>
      <c r="O12965" t="s">
        <v>42670</v>
      </c>
      <c r="P12965">
        <v>0</v>
      </c>
      <c r="Q12965">
        <v>1</v>
      </c>
      <c r="R12965" t="s">
        <v>42691</v>
      </c>
      <c r="S12965" t="s">
        <v>43726</v>
      </c>
      <c r="T12965" t="s">
        <v>44432</v>
      </c>
      <c r="U12965" t="s">
        <v>55370</v>
      </c>
      <c r="W12965" t="s">
        <v>42506</v>
      </c>
      <c r="X12965" t="s">
        <v>42697</v>
      </c>
    </row>
    <row r="12966" spans="1:24">
      <c r="A12966">
        <f>HYPERLINK("https://www.philgeps.gov.ph/GEPSNONPILOT/Tender/SplashBidNoticeAbstractUI.aspx?menuIndex=3&amp;refID=7145286&amp;Result=3","7145286")</f>
        <v>0</v>
      </c>
      <c r="B12966" t="s">
        <v>3418</v>
      </c>
      <c r="C12966" t="s">
        <v>15930</v>
      </c>
      <c r="D12966" t="s">
        <v>17167</v>
      </c>
      <c r="E12966" t="s">
        <v>28285</v>
      </c>
      <c r="F12966" t="s">
        <v>29372</v>
      </c>
      <c r="G12966" t="s">
        <v>29380</v>
      </c>
      <c r="H12966" t="s">
        <v>29389</v>
      </c>
      <c r="I12966" t="s">
        <v>10408</v>
      </c>
      <c r="J12966" t="s">
        <v>37712</v>
      </c>
      <c r="K12966" t="s">
        <v>38495</v>
      </c>
      <c r="M12966" t="s">
        <v>42518</v>
      </c>
      <c r="N12966" t="s">
        <v>42669</v>
      </c>
      <c r="O12966" t="s">
        <v>42670</v>
      </c>
      <c r="P12966">
        <v>0</v>
      </c>
      <c r="Q12966">
        <v>1</v>
      </c>
      <c r="R12966" t="s">
        <v>42691</v>
      </c>
      <c r="S12966" t="s">
        <v>43726</v>
      </c>
      <c r="T12966" t="s">
        <v>44441</v>
      </c>
      <c r="U12966" t="s">
        <v>55371</v>
      </c>
      <c r="V12966" t="s">
        <v>57857</v>
      </c>
      <c r="W12966" t="s">
        <v>42518</v>
      </c>
      <c r="X12966" t="s">
        <v>42697</v>
      </c>
    </row>
    <row r="12967" spans="1:24">
      <c r="A12967">
        <f>HYPERLINK("https://www.philgeps.gov.ph/GEPSNONPILOT/Tender/SplashBidNoticeAbstractUI.aspx?menuIndex=3&amp;refID=7143540&amp;Result=3","7143540")</f>
        <v>0</v>
      </c>
      <c r="B12967" t="s">
        <v>272</v>
      </c>
      <c r="C12967" t="s">
        <v>15931</v>
      </c>
      <c r="D12967" t="s">
        <v>17206</v>
      </c>
      <c r="E12967" t="s">
        <v>28286</v>
      </c>
      <c r="F12967" t="s">
        <v>29372</v>
      </c>
      <c r="G12967" t="s">
        <v>29380</v>
      </c>
      <c r="H12967" t="s">
        <v>11048</v>
      </c>
      <c r="I12967" t="s">
        <v>3629</v>
      </c>
      <c r="J12967" t="s">
        <v>37713</v>
      </c>
      <c r="K12967" t="s">
        <v>38510</v>
      </c>
      <c r="M12967" t="s">
        <v>41448</v>
      </c>
      <c r="N12967" t="s">
        <v>42669</v>
      </c>
      <c r="O12967" t="s">
        <v>42670</v>
      </c>
      <c r="P12967">
        <v>0</v>
      </c>
      <c r="Q12967">
        <v>1</v>
      </c>
      <c r="R12967" t="s">
        <v>42691</v>
      </c>
      <c r="S12967" t="s">
        <v>43726</v>
      </c>
      <c r="T12967" t="s">
        <v>44429</v>
      </c>
      <c r="U12967" t="s">
        <v>55372</v>
      </c>
      <c r="W12967" t="s">
        <v>41448</v>
      </c>
      <c r="X12967" t="s">
        <v>42698</v>
      </c>
    </row>
    <row r="12968" spans="1:24">
      <c r="A12968">
        <f>HYPERLINK("https://www.philgeps.gov.ph/GEPSNONPILOT/Tender/SplashBidNoticeAbstractUI.aspx?menuIndex=3&amp;refID=7149741&amp;Result=3","7149741")</f>
        <v>0</v>
      </c>
      <c r="B12968" t="s">
        <v>2537</v>
      </c>
      <c r="C12968" t="s">
        <v>15932</v>
      </c>
      <c r="D12968" t="s">
        <v>17164</v>
      </c>
      <c r="E12968" t="s">
        <v>28287</v>
      </c>
      <c r="F12968" t="s">
        <v>29372</v>
      </c>
      <c r="G12968" t="s">
        <v>29380</v>
      </c>
      <c r="H12968" t="s">
        <v>29389</v>
      </c>
      <c r="I12968" t="s">
        <v>10408</v>
      </c>
      <c r="J12968" t="s">
        <v>37714</v>
      </c>
      <c r="K12968" t="s">
        <v>38660</v>
      </c>
      <c r="M12968" t="s">
        <v>41499</v>
      </c>
      <c r="N12968" t="s">
        <v>42669</v>
      </c>
      <c r="O12968" t="s">
        <v>42670</v>
      </c>
      <c r="P12968">
        <v>0</v>
      </c>
      <c r="Q12968">
        <v>1</v>
      </c>
      <c r="R12968" t="s">
        <v>42691</v>
      </c>
      <c r="S12968" t="s">
        <v>43726</v>
      </c>
      <c r="T12968" t="s">
        <v>44432</v>
      </c>
      <c r="U12968" t="s">
        <v>55373</v>
      </c>
      <c r="W12968" t="s">
        <v>41499</v>
      </c>
      <c r="X12968" t="s">
        <v>42693</v>
      </c>
    </row>
    <row r="12969" spans="1:24">
      <c r="A12969">
        <f>HYPERLINK("https://www.philgeps.gov.ph/GEPSNONPILOT/Tender/SplashBidNoticeAbstractUI.aspx?menuIndex=3&amp;refID=7151493&amp;Result=3","7151493")</f>
        <v>0</v>
      </c>
      <c r="B12969" t="s">
        <v>2311</v>
      </c>
      <c r="C12969" t="s">
        <v>15933</v>
      </c>
      <c r="D12969" t="s">
        <v>17191</v>
      </c>
      <c r="E12969" t="s">
        <v>28288</v>
      </c>
      <c r="F12969" t="s">
        <v>29372</v>
      </c>
      <c r="G12969" t="s">
        <v>29380</v>
      </c>
      <c r="H12969" t="s">
        <v>11048</v>
      </c>
      <c r="I12969" t="s">
        <v>8614</v>
      </c>
      <c r="J12969" t="s">
        <v>37715</v>
      </c>
      <c r="K12969" t="s">
        <v>38485</v>
      </c>
      <c r="M12969" t="s">
        <v>41242</v>
      </c>
      <c r="N12969" t="s">
        <v>42669</v>
      </c>
      <c r="O12969" t="s">
        <v>42670</v>
      </c>
      <c r="Q12969">
        <v>8</v>
      </c>
      <c r="R12969" t="s">
        <v>42691</v>
      </c>
      <c r="S12969" t="s">
        <v>43735</v>
      </c>
      <c r="T12969" t="s">
        <v>44488</v>
      </c>
      <c r="U12969" t="s">
        <v>55374</v>
      </c>
      <c r="V12969" t="s">
        <v>57858</v>
      </c>
      <c r="W12969" t="s">
        <v>41242</v>
      </c>
      <c r="X12969" t="s">
        <v>42693</v>
      </c>
    </row>
    <row r="12970" spans="1:24">
      <c r="A12970">
        <f>HYPERLINK("https://www.philgeps.gov.ph/GEPSNONPILOT/Tender/SplashBidNoticeAbstractUI.aspx?menuIndex=3&amp;refID=7158443&amp;Result=3","7158443")</f>
        <v>0</v>
      </c>
      <c r="B12970" t="s">
        <v>1079</v>
      </c>
      <c r="C12970" t="s">
        <v>15934</v>
      </c>
      <c r="D12970" t="s">
        <v>17181</v>
      </c>
      <c r="E12970" t="s">
        <v>28289</v>
      </c>
      <c r="F12970" t="s">
        <v>29373</v>
      </c>
      <c r="G12970" t="s">
        <v>29380</v>
      </c>
      <c r="H12970" t="s">
        <v>11048</v>
      </c>
      <c r="I12970" t="s">
        <v>9469</v>
      </c>
      <c r="J12970" t="s">
        <v>29937</v>
      </c>
      <c r="K12970" t="s">
        <v>38488</v>
      </c>
      <c r="L12970" t="s">
        <v>1079</v>
      </c>
      <c r="M12970" t="s">
        <v>39886</v>
      </c>
      <c r="N12970" t="s">
        <v>42669</v>
      </c>
      <c r="O12970" t="s">
        <v>42670</v>
      </c>
      <c r="P12970">
        <v>0</v>
      </c>
      <c r="Q12970">
        <v>1</v>
      </c>
      <c r="R12970" t="s">
        <v>42690</v>
      </c>
      <c r="S12970" t="s">
        <v>43574</v>
      </c>
      <c r="T12970" t="s">
        <v>44491</v>
      </c>
      <c r="U12970" t="s">
        <v>55375</v>
      </c>
      <c r="W12970" t="s">
        <v>39886</v>
      </c>
      <c r="X12970" t="s">
        <v>42691</v>
      </c>
    </row>
    <row r="12971" spans="1:24">
      <c r="A12971">
        <f>HYPERLINK("https://www.philgeps.gov.ph/GEPSNONPILOT/Tender/SplashBidNoticeAbstractUI.aspx?menuIndex=3&amp;refID=7114011&amp;Result=3","7114011")</f>
        <v>0</v>
      </c>
      <c r="B12971" t="s">
        <v>3165</v>
      </c>
      <c r="C12971" t="s">
        <v>15935</v>
      </c>
      <c r="D12971" t="s">
        <v>17168</v>
      </c>
      <c r="E12971" t="s">
        <v>28290</v>
      </c>
      <c r="F12971" t="s">
        <v>29372</v>
      </c>
      <c r="G12971" t="s">
        <v>29380</v>
      </c>
      <c r="H12971" t="s">
        <v>11048</v>
      </c>
      <c r="I12971" t="s">
        <v>29414</v>
      </c>
      <c r="J12971" t="s">
        <v>37716</v>
      </c>
      <c r="K12971" t="s">
        <v>38496</v>
      </c>
      <c r="M12971" t="s">
        <v>42215</v>
      </c>
      <c r="N12971" t="s">
        <v>42669</v>
      </c>
      <c r="O12971" t="s">
        <v>42670</v>
      </c>
      <c r="Q12971">
        <v>24</v>
      </c>
      <c r="R12971" t="s">
        <v>42691</v>
      </c>
      <c r="S12971" t="s">
        <v>43471</v>
      </c>
      <c r="T12971" t="s">
        <v>44432</v>
      </c>
      <c r="U12971" t="s">
        <v>55376</v>
      </c>
      <c r="W12971" t="s">
        <v>42215</v>
      </c>
      <c r="X12971" t="s">
        <v>42715</v>
      </c>
    </row>
    <row r="12972" spans="1:24">
      <c r="A12972">
        <f>HYPERLINK("https://www.philgeps.gov.ph/GEPSNONPILOT/Tender/SplashBidNoticeAbstractUI.aspx?menuIndex=3&amp;refID=7140874&amp;Result=3","7140874")</f>
        <v>0</v>
      </c>
      <c r="B12972" t="s">
        <v>3419</v>
      </c>
      <c r="C12972" t="s">
        <v>15936</v>
      </c>
      <c r="D12972" t="s">
        <v>17191</v>
      </c>
      <c r="E12972" t="s">
        <v>28291</v>
      </c>
      <c r="F12972" t="s">
        <v>29372</v>
      </c>
      <c r="G12972" t="s">
        <v>29380</v>
      </c>
      <c r="H12972" t="s">
        <v>11048</v>
      </c>
      <c r="I12972" t="s">
        <v>29398</v>
      </c>
      <c r="J12972" t="s">
        <v>37717</v>
      </c>
      <c r="K12972" t="s">
        <v>38485</v>
      </c>
      <c r="M12972" t="s">
        <v>42519</v>
      </c>
      <c r="N12972" t="s">
        <v>42669</v>
      </c>
      <c r="O12972" t="s">
        <v>42670</v>
      </c>
      <c r="Q12972">
        <v>16</v>
      </c>
      <c r="R12972" t="s">
        <v>42691</v>
      </c>
      <c r="S12972" t="s">
        <v>43736</v>
      </c>
      <c r="T12972" t="s">
        <v>44453</v>
      </c>
      <c r="U12972" t="s">
        <v>55377</v>
      </c>
      <c r="W12972" t="s">
        <v>42519</v>
      </c>
      <c r="X12972" t="s">
        <v>42699</v>
      </c>
    </row>
    <row r="12973" spans="1:24">
      <c r="A12973">
        <f>HYPERLINK("https://www.philgeps.gov.ph/GEPSNONPILOT/Tender/SplashBidNoticeAbstractUI.aspx?menuIndex=3&amp;refID=7142380&amp;Result=3","7142380")</f>
        <v>0</v>
      </c>
      <c r="B12973" t="s">
        <v>1339</v>
      </c>
      <c r="C12973" t="s">
        <v>15937</v>
      </c>
      <c r="D12973" t="s">
        <v>17183</v>
      </c>
      <c r="E12973" t="s">
        <v>28292</v>
      </c>
      <c r="F12973" t="s">
        <v>29372</v>
      </c>
      <c r="G12973" t="s">
        <v>29380</v>
      </c>
      <c r="H12973" t="s">
        <v>11048</v>
      </c>
      <c r="I12973" t="s">
        <v>5383</v>
      </c>
      <c r="J12973" t="s">
        <v>37718</v>
      </c>
      <c r="K12973" t="s">
        <v>38488</v>
      </c>
      <c r="M12973" t="s">
        <v>42517</v>
      </c>
      <c r="N12973" t="s">
        <v>42669</v>
      </c>
      <c r="O12973" t="s">
        <v>42670</v>
      </c>
      <c r="P12973">
        <v>0</v>
      </c>
      <c r="Q12973">
        <v>5</v>
      </c>
      <c r="R12973" t="s">
        <v>42691</v>
      </c>
      <c r="S12973" t="s">
        <v>43726</v>
      </c>
      <c r="T12973" t="s">
        <v>44652</v>
      </c>
      <c r="U12973" t="s">
        <v>55378</v>
      </c>
      <c r="V12973" t="s">
        <v>56697</v>
      </c>
      <c r="W12973" t="s">
        <v>42517</v>
      </c>
      <c r="X12973" t="s">
        <v>42698</v>
      </c>
    </row>
    <row r="12974" spans="1:24">
      <c r="A12974">
        <f>HYPERLINK("https://www.philgeps.gov.ph/GEPSNONPILOT/Tender/SplashBidNoticeAbstractUI.aspx?menuIndex=3&amp;refID=7126224&amp;Result=3","7126224")</f>
        <v>0</v>
      </c>
      <c r="B12974" t="s">
        <v>949</v>
      </c>
      <c r="C12974" t="s">
        <v>15938</v>
      </c>
      <c r="D12974" t="s">
        <v>17186</v>
      </c>
      <c r="E12974" t="s">
        <v>28293</v>
      </c>
      <c r="F12974" t="s">
        <v>29372</v>
      </c>
      <c r="G12974" t="s">
        <v>29380</v>
      </c>
      <c r="H12974" t="s">
        <v>11048</v>
      </c>
      <c r="I12974" t="s">
        <v>8614</v>
      </c>
      <c r="J12974" t="s">
        <v>31645</v>
      </c>
      <c r="K12974" t="s">
        <v>38496</v>
      </c>
      <c r="M12974" t="s">
        <v>42152</v>
      </c>
      <c r="N12974" t="s">
        <v>42669</v>
      </c>
      <c r="O12974" t="s">
        <v>42670</v>
      </c>
      <c r="Q12974">
        <v>12</v>
      </c>
      <c r="R12974" t="s">
        <v>42691</v>
      </c>
      <c r="S12974" t="s">
        <v>43737</v>
      </c>
      <c r="T12974" t="s">
        <v>44481</v>
      </c>
      <c r="U12974" t="s">
        <v>55379</v>
      </c>
      <c r="V12974" t="s">
        <v>57859</v>
      </c>
      <c r="W12974" t="s">
        <v>42152</v>
      </c>
      <c r="X12974" t="s">
        <v>42705</v>
      </c>
    </row>
    <row r="12975" spans="1:24">
      <c r="A12975">
        <f>HYPERLINK("https://www.philgeps.gov.ph/GEPSNONPILOT/Tender/SplashBidNoticeAbstractUI.aspx?menuIndex=3&amp;refID=7152580&amp;Result=3","7152580")</f>
        <v>0</v>
      </c>
      <c r="B12975" t="s">
        <v>671</v>
      </c>
      <c r="C12975" t="s">
        <v>15939</v>
      </c>
      <c r="D12975" t="s">
        <v>17247</v>
      </c>
      <c r="E12975" t="s">
        <v>28294</v>
      </c>
      <c r="F12975" t="s">
        <v>29372</v>
      </c>
      <c r="G12975" t="s">
        <v>29380</v>
      </c>
      <c r="H12975" t="s">
        <v>11048</v>
      </c>
      <c r="I12975" t="s">
        <v>29415</v>
      </c>
      <c r="J12975" t="s">
        <v>37719</v>
      </c>
      <c r="K12975" t="s">
        <v>38485</v>
      </c>
      <c r="M12975" t="s">
        <v>39509</v>
      </c>
      <c r="N12975" t="s">
        <v>42669</v>
      </c>
      <c r="O12975" t="s">
        <v>42670</v>
      </c>
      <c r="P12975">
        <v>0</v>
      </c>
      <c r="Q12975">
        <v>6</v>
      </c>
      <c r="R12975" t="s">
        <v>42691</v>
      </c>
      <c r="S12975" t="s">
        <v>43726</v>
      </c>
      <c r="T12975" t="s">
        <v>44432</v>
      </c>
      <c r="U12975" t="s">
        <v>55380</v>
      </c>
      <c r="W12975" t="s">
        <v>39509</v>
      </c>
      <c r="X12975" t="s">
        <v>42692</v>
      </c>
    </row>
    <row r="12976" spans="1:24">
      <c r="A12976">
        <f>HYPERLINK("https://www.philgeps.gov.ph/GEPSNONPILOT/Tender/SplashBidNoticeAbstractUI.aspx?menuIndex=3&amp;refID=7152547&amp;Result=3","7152547")</f>
        <v>0</v>
      </c>
      <c r="B12976" t="s">
        <v>988</v>
      </c>
      <c r="C12976" t="s">
        <v>15940</v>
      </c>
      <c r="D12976" t="s">
        <v>17160</v>
      </c>
      <c r="E12976" t="s">
        <v>28295</v>
      </c>
      <c r="F12976" t="s">
        <v>29372</v>
      </c>
      <c r="G12976" t="s">
        <v>29380</v>
      </c>
      <c r="H12976" t="s">
        <v>29389</v>
      </c>
      <c r="I12976" t="s">
        <v>10408</v>
      </c>
      <c r="J12976" t="s">
        <v>37720</v>
      </c>
      <c r="K12976" t="s">
        <v>38689</v>
      </c>
      <c r="M12976" t="s">
        <v>39786</v>
      </c>
      <c r="N12976" t="s">
        <v>42669</v>
      </c>
      <c r="O12976" t="s">
        <v>42670</v>
      </c>
      <c r="P12976">
        <v>0</v>
      </c>
      <c r="Q12976">
        <v>3</v>
      </c>
      <c r="R12976" t="s">
        <v>42691</v>
      </c>
      <c r="S12976" t="s">
        <v>43726</v>
      </c>
      <c r="T12976" t="s">
        <v>44570</v>
      </c>
      <c r="U12976" t="s">
        <v>55381</v>
      </c>
      <c r="W12976" t="s">
        <v>39786</v>
      </c>
      <c r="X12976" t="s">
        <v>42692</v>
      </c>
    </row>
    <row r="12977" spans="1:24">
      <c r="A12977">
        <f>HYPERLINK("https://www.philgeps.gov.ph/GEPSNONPILOT/Tender/SplashBidNoticeAbstractUI.aspx?menuIndex=3&amp;refID=7152506&amp;Result=3","7152506")</f>
        <v>0</v>
      </c>
      <c r="B12977" t="s">
        <v>2010</v>
      </c>
      <c r="C12977" t="s">
        <v>15941</v>
      </c>
      <c r="D12977" t="s">
        <v>17143</v>
      </c>
      <c r="E12977" t="s">
        <v>28296</v>
      </c>
      <c r="F12977" t="s">
        <v>29372</v>
      </c>
      <c r="G12977" t="s">
        <v>29380</v>
      </c>
      <c r="H12977" t="s">
        <v>11048</v>
      </c>
      <c r="I12977" t="s">
        <v>3839</v>
      </c>
      <c r="J12977" t="s">
        <v>30161</v>
      </c>
      <c r="K12977" t="s">
        <v>38518</v>
      </c>
      <c r="M12977" t="s">
        <v>40979</v>
      </c>
      <c r="N12977" t="s">
        <v>42669</v>
      </c>
      <c r="O12977" t="s">
        <v>42670</v>
      </c>
      <c r="Q12977">
        <v>7</v>
      </c>
      <c r="R12977" t="s">
        <v>42691</v>
      </c>
      <c r="S12977" t="s">
        <v>43738</v>
      </c>
      <c r="T12977" t="s">
        <v>44387</v>
      </c>
      <c r="U12977" t="s">
        <v>55382</v>
      </c>
      <c r="V12977" t="s">
        <v>57001</v>
      </c>
      <c r="W12977" t="s">
        <v>40979</v>
      </c>
      <c r="X12977" t="s">
        <v>42692</v>
      </c>
    </row>
    <row r="12978" spans="1:24">
      <c r="A12978">
        <f>HYPERLINK("https://www.philgeps.gov.ph/GEPSNONPILOT/Tender/SplashBidNoticeAbstractUI.aspx?menuIndex=3&amp;refID=7152502&amp;Result=3","7152502")</f>
        <v>0</v>
      </c>
      <c r="B12978" t="s">
        <v>2774</v>
      </c>
      <c r="C12978" t="s">
        <v>15942</v>
      </c>
      <c r="E12978" t="s">
        <v>28297</v>
      </c>
      <c r="F12978" t="s">
        <v>29372</v>
      </c>
      <c r="G12978" t="s">
        <v>29380</v>
      </c>
      <c r="H12978" t="s">
        <v>29389</v>
      </c>
      <c r="I12978" t="s">
        <v>10408</v>
      </c>
      <c r="J12978" t="s">
        <v>37721</v>
      </c>
      <c r="K12978" t="s">
        <v>38496</v>
      </c>
      <c r="M12978" t="s">
        <v>42520</v>
      </c>
      <c r="N12978" t="s">
        <v>42669</v>
      </c>
      <c r="O12978" t="s">
        <v>42670</v>
      </c>
      <c r="P12978">
        <v>0</v>
      </c>
      <c r="Q12978">
        <v>77</v>
      </c>
      <c r="R12978" t="s">
        <v>42691</v>
      </c>
      <c r="S12978" t="s">
        <v>43726</v>
      </c>
      <c r="T12978" t="s">
        <v>44432</v>
      </c>
      <c r="U12978" t="s">
        <v>55383</v>
      </c>
      <c r="V12978" t="s">
        <v>57860</v>
      </c>
      <c r="W12978" t="s">
        <v>42520</v>
      </c>
      <c r="X12978" t="s">
        <v>42692</v>
      </c>
    </row>
    <row r="12979" spans="1:24">
      <c r="A12979">
        <f>HYPERLINK("https://www.philgeps.gov.ph/GEPSNONPILOT/Tender/SplashBidNoticeAbstractUI.aspx?menuIndex=3&amp;refID=7152464&amp;Result=3","7152464")</f>
        <v>0</v>
      </c>
      <c r="B12979" t="s">
        <v>221</v>
      </c>
      <c r="C12979" t="s">
        <v>15943</v>
      </c>
      <c r="D12979" t="s">
        <v>17202</v>
      </c>
      <c r="E12979" t="s">
        <v>28298</v>
      </c>
      <c r="F12979" t="s">
        <v>29372</v>
      </c>
      <c r="G12979" t="s">
        <v>29380</v>
      </c>
      <c r="H12979" t="s">
        <v>29389</v>
      </c>
      <c r="I12979" t="s">
        <v>10408</v>
      </c>
      <c r="J12979" t="s">
        <v>37722</v>
      </c>
      <c r="K12979" t="s">
        <v>38627</v>
      </c>
      <c r="M12979" t="s">
        <v>38980</v>
      </c>
      <c r="N12979" t="s">
        <v>42669</v>
      </c>
      <c r="O12979" t="s">
        <v>42670</v>
      </c>
      <c r="P12979">
        <v>0</v>
      </c>
      <c r="Q12979">
        <v>0</v>
      </c>
      <c r="R12979" t="s">
        <v>42691</v>
      </c>
      <c r="S12979" t="s">
        <v>43726</v>
      </c>
      <c r="T12979" t="s">
        <v>44488</v>
      </c>
      <c r="U12979" t="s">
        <v>55384</v>
      </c>
      <c r="W12979" t="s">
        <v>38980</v>
      </c>
      <c r="X12979" t="s">
        <v>42692</v>
      </c>
    </row>
    <row r="12980" spans="1:24">
      <c r="A12980">
        <f>HYPERLINK("https://www.philgeps.gov.ph/GEPSNONPILOT/Tender/SplashBidNoticeAbstractUI.aspx?menuIndex=3&amp;refID=7152494&amp;Result=3","7152494")</f>
        <v>0</v>
      </c>
      <c r="B12980" t="s">
        <v>2023</v>
      </c>
      <c r="C12980" t="s">
        <v>15944</v>
      </c>
      <c r="D12980" t="s">
        <v>17168</v>
      </c>
      <c r="E12980" t="s">
        <v>18032</v>
      </c>
      <c r="F12980" t="s">
        <v>29372</v>
      </c>
      <c r="G12980" t="s">
        <v>29380</v>
      </c>
      <c r="H12980" t="s">
        <v>11048</v>
      </c>
      <c r="I12980" t="s">
        <v>3839</v>
      </c>
      <c r="J12980" t="s">
        <v>37723</v>
      </c>
      <c r="K12980" t="s">
        <v>38487</v>
      </c>
      <c r="M12980" t="s">
        <v>40917</v>
      </c>
      <c r="N12980" t="s">
        <v>42669</v>
      </c>
      <c r="O12980" t="s">
        <v>42670</v>
      </c>
      <c r="P12980">
        <v>0</v>
      </c>
      <c r="Q12980">
        <v>9</v>
      </c>
      <c r="R12980" t="s">
        <v>42691</v>
      </c>
      <c r="S12980" t="s">
        <v>43726</v>
      </c>
      <c r="T12980" t="s">
        <v>44401</v>
      </c>
      <c r="U12980" t="s">
        <v>55385</v>
      </c>
      <c r="V12980" t="s">
        <v>57861</v>
      </c>
      <c r="W12980" t="s">
        <v>40917</v>
      </c>
      <c r="X12980" t="s">
        <v>42692</v>
      </c>
    </row>
    <row r="12981" spans="1:24">
      <c r="A12981">
        <f>HYPERLINK("https://www.philgeps.gov.ph/GEPSNONPILOT/Tender/SplashBidNoticeAbstractUI.aspx?menuIndex=3&amp;refID=7152475&amp;Result=3","7152475")</f>
        <v>0</v>
      </c>
      <c r="B12981" t="s">
        <v>889</v>
      </c>
      <c r="C12981" t="s">
        <v>15945</v>
      </c>
      <c r="E12981" t="s">
        <v>28299</v>
      </c>
      <c r="F12981" t="s">
        <v>29372</v>
      </c>
      <c r="G12981" t="s">
        <v>29380</v>
      </c>
      <c r="H12981" t="s">
        <v>29389</v>
      </c>
      <c r="I12981" t="s">
        <v>10408</v>
      </c>
      <c r="J12981" t="s">
        <v>37724</v>
      </c>
      <c r="K12981" t="s">
        <v>38521</v>
      </c>
      <c r="M12981" t="s">
        <v>39681</v>
      </c>
      <c r="N12981" t="s">
        <v>42669</v>
      </c>
      <c r="O12981" t="s">
        <v>42670</v>
      </c>
      <c r="P12981">
        <v>0</v>
      </c>
      <c r="Q12981">
        <v>8</v>
      </c>
      <c r="R12981" t="s">
        <v>42691</v>
      </c>
      <c r="S12981" t="s">
        <v>43726</v>
      </c>
      <c r="T12981" t="s">
        <v>44491</v>
      </c>
      <c r="U12981" t="s">
        <v>55344</v>
      </c>
      <c r="W12981" t="s">
        <v>39681</v>
      </c>
      <c r="X12981" t="s">
        <v>42692</v>
      </c>
    </row>
    <row r="12982" spans="1:24">
      <c r="A12982">
        <f>HYPERLINK("https://www.philgeps.gov.ph/GEPSNONPILOT/Tender/SplashBidNoticeAbstractUI.aspx?menuIndex=3&amp;refID=7152561&amp;Result=3","7152561")</f>
        <v>0</v>
      </c>
      <c r="B12982" t="s">
        <v>207</v>
      </c>
      <c r="C12982" t="s">
        <v>15946</v>
      </c>
      <c r="D12982" t="s">
        <v>17157</v>
      </c>
      <c r="E12982" t="s">
        <v>28300</v>
      </c>
      <c r="F12982" t="s">
        <v>29372</v>
      </c>
      <c r="G12982" t="s">
        <v>29380</v>
      </c>
      <c r="H12982" t="s">
        <v>29389</v>
      </c>
      <c r="I12982" t="s">
        <v>10408</v>
      </c>
      <c r="J12982" t="s">
        <v>37725</v>
      </c>
      <c r="K12982" t="s">
        <v>38496</v>
      </c>
      <c r="M12982" t="s">
        <v>40836</v>
      </c>
      <c r="N12982" t="s">
        <v>42669</v>
      </c>
      <c r="O12982" t="s">
        <v>42670</v>
      </c>
      <c r="P12982">
        <v>0</v>
      </c>
      <c r="Q12982">
        <v>0</v>
      </c>
      <c r="R12982" t="s">
        <v>42691</v>
      </c>
      <c r="S12982" t="s">
        <v>43726</v>
      </c>
      <c r="T12982" t="s">
        <v>44427</v>
      </c>
      <c r="U12982" t="s">
        <v>49450</v>
      </c>
      <c r="W12982" t="s">
        <v>40836</v>
      </c>
      <c r="X12982" t="s">
        <v>42692</v>
      </c>
    </row>
    <row r="12983" spans="1:24">
      <c r="A12983">
        <f>HYPERLINK("https://www.philgeps.gov.ph/GEPSNONPILOT/Tender/SplashBidNoticeAbstractUI.aspx?menuIndex=3&amp;refID=7152525&amp;Result=3","7152525")</f>
        <v>0</v>
      </c>
      <c r="B12983" t="s">
        <v>3420</v>
      </c>
      <c r="C12983" t="s">
        <v>15947</v>
      </c>
      <c r="D12983" t="s">
        <v>17144</v>
      </c>
      <c r="E12983" t="s">
        <v>28301</v>
      </c>
      <c r="F12983" t="s">
        <v>29372</v>
      </c>
      <c r="G12983" t="s">
        <v>29380</v>
      </c>
      <c r="H12983" t="s">
        <v>11048</v>
      </c>
      <c r="I12983" t="s">
        <v>9469</v>
      </c>
      <c r="J12983" t="s">
        <v>30232</v>
      </c>
      <c r="K12983" t="s">
        <v>38485</v>
      </c>
      <c r="M12983" t="s">
        <v>42521</v>
      </c>
      <c r="N12983" t="s">
        <v>42669</v>
      </c>
      <c r="O12983" t="s">
        <v>42670</v>
      </c>
      <c r="P12983">
        <v>0</v>
      </c>
      <c r="Q12983">
        <v>0</v>
      </c>
      <c r="R12983" t="s">
        <v>42691</v>
      </c>
      <c r="S12983" t="s">
        <v>43726</v>
      </c>
      <c r="T12983" t="s">
        <v>44556</v>
      </c>
      <c r="U12983" t="s">
        <v>55386</v>
      </c>
      <c r="V12983" t="s">
        <v>57862</v>
      </c>
      <c r="W12983" t="s">
        <v>42521</v>
      </c>
      <c r="X12983" t="s">
        <v>42692</v>
      </c>
    </row>
    <row r="12984" spans="1:24">
      <c r="A12984">
        <f>HYPERLINK("https://www.philgeps.gov.ph/GEPSNONPILOT/Tender/SplashBidNoticeAbstractUI.aspx?menuIndex=3&amp;refID=7152695&amp;Result=3","7152695")</f>
        <v>0</v>
      </c>
      <c r="B12984" t="s">
        <v>52</v>
      </c>
      <c r="C12984" t="s">
        <v>15948</v>
      </c>
      <c r="D12984" t="s">
        <v>17192</v>
      </c>
      <c r="E12984" t="s">
        <v>28302</v>
      </c>
      <c r="F12984" t="s">
        <v>29372</v>
      </c>
      <c r="G12984" t="s">
        <v>29379</v>
      </c>
      <c r="H12984" t="s">
        <v>11048</v>
      </c>
      <c r="I12984" t="s">
        <v>4487</v>
      </c>
      <c r="J12984" t="s">
        <v>37726</v>
      </c>
      <c r="K12984" t="s">
        <v>38530</v>
      </c>
      <c r="L12984" t="s">
        <v>52</v>
      </c>
      <c r="M12984" t="s">
        <v>38921</v>
      </c>
      <c r="N12984" t="s">
        <v>42669</v>
      </c>
      <c r="O12984" t="s">
        <v>42670</v>
      </c>
      <c r="Q12984">
        <v>8</v>
      </c>
      <c r="R12984" t="s">
        <v>42691</v>
      </c>
      <c r="S12984" t="s">
        <v>43739</v>
      </c>
      <c r="T12984" t="s">
        <v>44489</v>
      </c>
      <c r="U12984" t="s">
        <v>45160</v>
      </c>
      <c r="W12984" t="s">
        <v>38921</v>
      </c>
      <c r="X12984" t="s">
        <v>42692</v>
      </c>
    </row>
    <row r="12985" spans="1:24">
      <c r="A12985">
        <f>HYPERLINK("https://www.philgeps.gov.ph/GEPSNONPILOT/Tender/SplashBidNoticeAbstractUI.aspx?menuIndex=3&amp;refID=7152718&amp;Result=3","7152718")</f>
        <v>0</v>
      </c>
      <c r="B12985" t="s">
        <v>2922</v>
      </c>
      <c r="C12985" t="s">
        <v>15949</v>
      </c>
      <c r="D12985" t="s">
        <v>17149</v>
      </c>
      <c r="E12985" t="s">
        <v>21338</v>
      </c>
      <c r="F12985" t="s">
        <v>29372</v>
      </c>
      <c r="G12985" t="s">
        <v>29380</v>
      </c>
      <c r="H12985" t="s">
        <v>11048</v>
      </c>
      <c r="I12985" t="s">
        <v>29393</v>
      </c>
      <c r="J12985" t="s">
        <v>37727</v>
      </c>
      <c r="K12985" t="s">
        <v>38485</v>
      </c>
      <c r="M12985" t="s">
        <v>41923</v>
      </c>
      <c r="N12985" t="s">
        <v>42669</v>
      </c>
      <c r="O12985" t="s">
        <v>42670</v>
      </c>
      <c r="P12985">
        <v>0</v>
      </c>
      <c r="Q12985">
        <v>0</v>
      </c>
      <c r="R12985" t="s">
        <v>42691</v>
      </c>
      <c r="S12985" t="s">
        <v>43726</v>
      </c>
      <c r="T12985" t="s">
        <v>44548</v>
      </c>
      <c r="U12985" t="s">
        <v>55387</v>
      </c>
      <c r="V12985" t="s">
        <v>57863</v>
      </c>
      <c r="W12985" t="s">
        <v>41923</v>
      </c>
      <c r="X12985" t="s">
        <v>42692</v>
      </c>
    </row>
    <row r="12986" spans="1:24">
      <c r="A12986">
        <f>HYPERLINK("https://www.philgeps.gov.ph/GEPSNONPILOT/Tender/SplashBidNoticeAbstractUI.aspx?menuIndex=3&amp;refID=7152681&amp;Result=3","7152681")</f>
        <v>0</v>
      </c>
      <c r="B12986" t="s">
        <v>2922</v>
      </c>
      <c r="C12986" t="s">
        <v>15950</v>
      </c>
      <c r="D12986" t="s">
        <v>17149</v>
      </c>
      <c r="E12986" t="s">
        <v>25831</v>
      </c>
      <c r="F12986" t="s">
        <v>29372</v>
      </c>
      <c r="G12986" t="s">
        <v>29380</v>
      </c>
      <c r="H12986" t="s">
        <v>11048</v>
      </c>
      <c r="I12986" t="s">
        <v>9469</v>
      </c>
      <c r="J12986" t="s">
        <v>37728</v>
      </c>
      <c r="K12986" t="s">
        <v>38495</v>
      </c>
      <c r="M12986" t="s">
        <v>41923</v>
      </c>
      <c r="N12986" t="s">
        <v>42669</v>
      </c>
      <c r="O12986" t="s">
        <v>42670</v>
      </c>
      <c r="P12986">
        <v>0</v>
      </c>
      <c r="Q12986">
        <v>6</v>
      </c>
      <c r="R12986" t="s">
        <v>42691</v>
      </c>
      <c r="S12986" t="s">
        <v>43726</v>
      </c>
      <c r="T12986" t="s">
        <v>44548</v>
      </c>
      <c r="U12986" t="s">
        <v>55388</v>
      </c>
      <c r="V12986" t="s">
        <v>57864</v>
      </c>
      <c r="W12986" t="s">
        <v>41923</v>
      </c>
      <c r="X12986" t="s">
        <v>42692</v>
      </c>
    </row>
    <row r="12987" spans="1:24">
      <c r="A12987">
        <f>HYPERLINK("https://www.philgeps.gov.ph/GEPSNONPILOT/Tender/SplashBidNoticeAbstractUI.aspx?menuIndex=3&amp;refID=7152645&amp;Result=3","7152645")</f>
        <v>0</v>
      </c>
      <c r="B12987" t="s">
        <v>1638</v>
      </c>
      <c r="C12987" t="s">
        <v>15951</v>
      </c>
      <c r="D12987" t="s">
        <v>17213</v>
      </c>
      <c r="E12987" t="s">
        <v>28303</v>
      </c>
      <c r="F12987" t="s">
        <v>29372</v>
      </c>
      <c r="G12987" t="s">
        <v>29380</v>
      </c>
      <c r="H12987" t="s">
        <v>29389</v>
      </c>
      <c r="I12987" t="s">
        <v>10408</v>
      </c>
      <c r="J12987" t="s">
        <v>29615</v>
      </c>
      <c r="K12987" t="s">
        <v>38495</v>
      </c>
      <c r="M12987" t="s">
        <v>40494</v>
      </c>
      <c r="N12987" t="s">
        <v>42669</v>
      </c>
      <c r="O12987" t="s">
        <v>42670</v>
      </c>
      <c r="P12987">
        <v>0</v>
      </c>
      <c r="Q12987">
        <v>0</v>
      </c>
      <c r="R12987" t="s">
        <v>42691</v>
      </c>
      <c r="S12987" t="s">
        <v>43726</v>
      </c>
      <c r="T12987" t="s">
        <v>44401</v>
      </c>
      <c r="U12987" t="s">
        <v>55389</v>
      </c>
      <c r="W12987" t="s">
        <v>58050</v>
      </c>
      <c r="X12987" t="s">
        <v>42692</v>
      </c>
    </row>
    <row r="12988" spans="1:24">
      <c r="A12988">
        <f>HYPERLINK("https://www.philgeps.gov.ph/GEPSNONPILOT/Tender/SplashBidNoticeAbstractUI.aspx?menuIndex=3&amp;refID=7152620&amp;Result=3","7152620")</f>
        <v>0</v>
      </c>
      <c r="B12988" t="s">
        <v>3420</v>
      </c>
      <c r="C12988" t="s">
        <v>15952</v>
      </c>
      <c r="D12988" t="s">
        <v>17144</v>
      </c>
      <c r="E12988" t="s">
        <v>28304</v>
      </c>
      <c r="F12988" t="s">
        <v>29372</v>
      </c>
      <c r="G12988" t="s">
        <v>29380</v>
      </c>
      <c r="H12988" t="s">
        <v>11048</v>
      </c>
      <c r="I12988" t="s">
        <v>29398</v>
      </c>
      <c r="J12988" t="s">
        <v>37729</v>
      </c>
      <c r="K12988" t="s">
        <v>38485</v>
      </c>
      <c r="M12988" t="s">
        <v>42521</v>
      </c>
      <c r="N12988" t="s">
        <v>42669</v>
      </c>
      <c r="O12988" t="s">
        <v>42670</v>
      </c>
      <c r="P12988">
        <v>0</v>
      </c>
      <c r="Q12988">
        <v>4</v>
      </c>
      <c r="R12988" t="s">
        <v>42691</v>
      </c>
      <c r="S12988" t="s">
        <v>43726</v>
      </c>
      <c r="T12988" t="s">
        <v>44437</v>
      </c>
      <c r="U12988" t="s">
        <v>55386</v>
      </c>
      <c r="V12988" t="s">
        <v>57865</v>
      </c>
      <c r="W12988" t="s">
        <v>42521</v>
      </c>
      <c r="X12988" t="s">
        <v>42692</v>
      </c>
    </row>
    <row r="12989" spans="1:24">
      <c r="A12989">
        <f>HYPERLINK("https://www.philgeps.gov.ph/GEPSNONPILOT/Tender/SplashBidNoticeAbstractUI.aspx?menuIndex=3&amp;refID=7152737&amp;Result=3","7152737")</f>
        <v>0</v>
      </c>
      <c r="B12989" t="s">
        <v>3421</v>
      </c>
      <c r="C12989" t="s">
        <v>15953</v>
      </c>
      <c r="D12989" t="s">
        <v>17177</v>
      </c>
      <c r="E12989" t="s">
        <v>26515</v>
      </c>
      <c r="F12989" t="s">
        <v>29372</v>
      </c>
      <c r="G12989" t="s">
        <v>29380</v>
      </c>
      <c r="H12989" t="s">
        <v>29390</v>
      </c>
      <c r="I12989" t="s">
        <v>4486</v>
      </c>
      <c r="J12989" t="s">
        <v>36105</v>
      </c>
      <c r="K12989" t="s">
        <v>38488</v>
      </c>
      <c r="M12989" t="s">
        <v>42522</v>
      </c>
      <c r="N12989" t="s">
        <v>42669</v>
      </c>
      <c r="O12989" t="s">
        <v>42670</v>
      </c>
      <c r="P12989">
        <v>0</v>
      </c>
      <c r="Q12989">
        <v>5</v>
      </c>
      <c r="R12989" t="s">
        <v>42691</v>
      </c>
      <c r="S12989" t="s">
        <v>43726</v>
      </c>
      <c r="T12989" t="s">
        <v>44631</v>
      </c>
      <c r="U12989" t="s">
        <v>55390</v>
      </c>
      <c r="V12989" t="s">
        <v>57866</v>
      </c>
      <c r="W12989" t="s">
        <v>42522</v>
      </c>
      <c r="X12989" t="s">
        <v>42692</v>
      </c>
    </row>
    <row r="12990" spans="1:24">
      <c r="A12990">
        <f>HYPERLINK("https://www.philgeps.gov.ph/GEPSNONPILOT/Tender/SplashBidNoticeAbstractUI.aspx?menuIndex=3&amp;refID=7152486&amp;Result=3","7152486")</f>
        <v>0</v>
      </c>
      <c r="B12990" t="s">
        <v>3081</v>
      </c>
      <c r="C12990" t="s">
        <v>15954</v>
      </c>
      <c r="D12990" t="s">
        <v>17143</v>
      </c>
      <c r="E12990" t="s">
        <v>28305</v>
      </c>
      <c r="F12990" t="s">
        <v>29372</v>
      </c>
      <c r="G12990" t="s">
        <v>29380</v>
      </c>
      <c r="H12990" t="s">
        <v>11048</v>
      </c>
      <c r="I12990" t="s">
        <v>29444</v>
      </c>
      <c r="J12990" t="s">
        <v>37730</v>
      </c>
      <c r="K12990" t="s">
        <v>38485</v>
      </c>
      <c r="M12990" t="s">
        <v>42110</v>
      </c>
      <c r="N12990" t="s">
        <v>42669</v>
      </c>
      <c r="O12990" t="s">
        <v>42670</v>
      </c>
      <c r="Q12990">
        <v>3</v>
      </c>
      <c r="R12990" t="s">
        <v>42691</v>
      </c>
      <c r="S12990" t="s">
        <v>43740</v>
      </c>
      <c r="T12990" t="s">
        <v>44488</v>
      </c>
      <c r="U12990" t="s">
        <v>55391</v>
      </c>
      <c r="W12990" t="s">
        <v>42110</v>
      </c>
      <c r="X12990" t="s">
        <v>42692</v>
      </c>
    </row>
    <row r="12991" spans="1:24">
      <c r="A12991">
        <f>HYPERLINK("https://www.philgeps.gov.ph/GEPSNONPILOT/Tender/SplashBidNoticeAbstractUI.aspx?menuIndex=3&amp;refID=7152720&amp;Result=3","7152720")</f>
        <v>0</v>
      </c>
      <c r="B12991" t="s">
        <v>221</v>
      </c>
      <c r="C12991" t="s">
        <v>15955</v>
      </c>
      <c r="D12991" t="s">
        <v>17202</v>
      </c>
      <c r="E12991" t="s">
        <v>28306</v>
      </c>
      <c r="F12991" t="s">
        <v>29372</v>
      </c>
      <c r="G12991" t="s">
        <v>29380</v>
      </c>
      <c r="H12991" t="s">
        <v>29389</v>
      </c>
      <c r="I12991" t="s">
        <v>10408</v>
      </c>
      <c r="J12991" t="s">
        <v>37731</v>
      </c>
      <c r="K12991" t="s">
        <v>38495</v>
      </c>
      <c r="M12991" t="s">
        <v>38980</v>
      </c>
      <c r="N12991" t="s">
        <v>42669</v>
      </c>
      <c r="O12991" t="s">
        <v>42670</v>
      </c>
      <c r="P12991">
        <v>0</v>
      </c>
      <c r="Q12991">
        <v>0</v>
      </c>
      <c r="R12991" t="s">
        <v>42691</v>
      </c>
      <c r="S12991" t="s">
        <v>43726</v>
      </c>
      <c r="T12991" t="s">
        <v>44488</v>
      </c>
      <c r="U12991" t="s">
        <v>55392</v>
      </c>
      <c r="W12991" t="s">
        <v>38980</v>
      </c>
      <c r="X12991" t="s">
        <v>42692</v>
      </c>
    </row>
    <row r="12992" spans="1:24">
      <c r="A12992">
        <f>HYPERLINK("https://www.philgeps.gov.ph/GEPSNONPILOT/Tender/SplashBidNoticeAbstractUI.aspx?menuIndex=3&amp;refID=7152752&amp;Result=3","7152752")</f>
        <v>0</v>
      </c>
      <c r="B12992" t="s">
        <v>207</v>
      </c>
      <c r="C12992" t="s">
        <v>15956</v>
      </c>
      <c r="D12992" t="s">
        <v>17157</v>
      </c>
      <c r="E12992" t="s">
        <v>28307</v>
      </c>
      <c r="F12992" t="s">
        <v>29372</v>
      </c>
      <c r="G12992" t="s">
        <v>29380</v>
      </c>
      <c r="H12992" t="s">
        <v>29389</v>
      </c>
      <c r="I12992" t="s">
        <v>10408</v>
      </c>
      <c r="J12992" t="s">
        <v>37732</v>
      </c>
      <c r="K12992" t="s">
        <v>38530</v>
      </c>
      <c r="M12992" t="s">
        <v>40836</v>
      </c>
      <c r="N12992" t="s">
        <v>42669</v>
      </c>
      <c r="O12992" t="s">
        <v>42670</v>
      </c>
      <c r="P12992">
        <v>0</v>
      </c>
      <c r="Q12992">
        <v>2</v>
      </c>
      <c r="R12992" t="s">
        <v>42691</v>
      </c>
      <c r="S12992" t="s">
        <v>43726</v>
      </c>
      <c r="T12992" t="s">
        <v>44427</v>
      </c>
      <c r="U12992" t="s">
        <v>49450</v>
      </c>
      <c r="W12992" t="s">
        <v>40836</v>
      </c>
      <c r="X12992" t="s">
        <v>42692</v>
      </c>
    </row>
    <row r="12993" spans="1:24">
      <c r="A12993">
        <f>HYPERLINK("https://www.philgeps.gov.ph/GEPSNONPILOT/Tender/SplashBidNoticeAbstractUI.aspx?menuIndex=3&amp;refID=7152757&amp;Result=3","7152757")</f>
        <v>0</v>
      </c>
      <c r="B12993" t="s">
        <v>671</v>
      </c>
      <c r="C12993" t="s">
        <v>15957</v>
      </c>
      <c r="D12993" t="s">
        <v>17243</v>
      </c>
      <c r="E12993" t="s">
        <v>28308</v>
      </c>
      <c r="F12993" t="s">
        <v>29372</v>
      </c>
      <c r="G12993" t="s">
        <v>29380</v>
      </c>
      <c r="H12993" t="s">
        <v>11048</v>
      </c>
      <c r="I12993" t="s">
        <v>29404</v>
      </c>
      <c r="J12993" t="s">
        <v>37733</v>
      </c>
      <c r="K12993" t="s">
        <v>38490</v>
      </c>
      <c r="M12993" t="s">
        <v>39509</v>
      </c>
      <c r="N12993" t="s">
        <v>42669</v>
      </c>
      <c r="O12993" t="s">
        <v>42670</v>
      </c>
      <c r="P12993">
        <v>0</v>
      </c>
      <c r="Q12993">
        <v>0</v>
      </c>
      <c r="R12993" t="s">
        <v>42691</v>
      </c>
      <c r="S12993" t="s">
        <v>43726</v>
      </c>
      <c r="T12993" t="s">
        <v>44432</v>
      </c>
      <c r="U12993" t="s">
        <v>55393</v>
      </c>
      <c r="W12993" t="s">
        <v>39509</v>
      </c>
      <c r="X12993" t="s">
        <v>42692</v>
      </c>
    </row>
    <row r="12994" spans="1:24">
      <c r="A12994">
        <f>HYPERLINK("https://www.philgeps.gov.ph/GEPSNONPILOT/Tender/SplashBidNoticeAbstractUI.aspx?menuIndex=3&amp;refID=7152743&amp;Result=3","7152743")</f>
        <v>0</v>
      </c>
      <c r="B12994" t="s">
        <v>2922</v>
      </c>
      <c r="C12994" t="s">
        <v>15958</v>
      </c>
      <c r="D12994" t="s">
        <v>17149</v>
      </c>
      <c r="E12994" t="s">
        <v>28309</v>
      </c>
      <c r="F12994" t="s">
        <v>29372</v>
      </c>
      <c r="G12994" t="s">
        <v>29380</v>
      </c>
      <c r="H12994" t="s">
        <v>11048</v>
      </c>
      <c r="I12994" t="s">
        <v>4709</v>
      </c>
      <c r="J12994" t="s">
        <v>37734</v>
      </c>
      <c r="K12994" t="s">
        <v>38485</v>
      </c>
      <c r="M12994" t="s">
        <v>41923</v>
      </c>
      <c r="N12994" t="s">
        <v>42669</v>
      </c>
      <c r="O12994" t="s">
        <v>42670</v>
      </c>
      <c r="P12994">
        <v>0</v>
      </c>
      <c r="Q12994">
        <v>0</v>
      </c>
      <c r="R12994" t="s">
        <v>42691</v>
      </c>
      <c r="S12994" t="s">
        <v>43726</v>
      </c>
      <c r="T12994" t="s">
        <v>44548</v>
      </c>
      <c r="U12994" t="s">
        <v>55394</v>
      </c>
      <c r="V12994" t="s">
        <v>57867</v>
      </c>
      <c r="W12994" t="s">
        <v>41923</v>
      </c>
      <c r="X12994" t="s">
        <v>42692</v>
      </c>
    </row>
    <row r="12995" spans="1:24">
      <c r="A12995">
        <f>HYPERLINK("https://www.philgeps.gov.ph/GEPSNONPILOT/Tender/SplashBidNoticeAbstractUI.aspx?menuIndex=3&amp;refID=7152734&amp;Result=3","7152734")</f>
        <v>0</v>
      </c>
      <c r="B12995" t="s">
        <v>3420</v>
      </c>
      <c r="C12995" t="s">
        <v>15959</v>
      </c>
      <c r="D12995" t="s">
        <v>17144</v>
      </c>
      <c r="E12995" t="s">
        <v>28310</v>
      </c>
      <c r="F12995" t="s">
        <v>29372</v>
      </c>
      <c r="G12995" t="s">
        <v>29380</v>
      </c>
      <c r="H12995" t="s">
        <v>29389</v>
      </c>
      <c r="I12995" t="s">
        <v>29408</v>
      </c>
      <c r="J12995" t="s">
        <v>29590</v>
      </c>
      <c r="K12995" t="s">
        <v>38522</v>
      </c>
      <c r="M12995" t="s">
        <v>42521</v>
      </c>
      <c r="N12995" t="s">
        <v>42669</v>
      </c>
      <c r="O12995" t="s">
        <v>42670</v>
      </c>
      <c r="P12995">
        <v>0</v>
      </c>
      <c r="Q12995">
        <v>2</v>
      </c>
      <c r="R12995" t="s">
        <v>42691</v>
      </c>
      <c r="S12995" t="s">
        <v>43726</v>
      </c>
      <c r="T12995" t="s">
        <v>44772</v>
      </c>
      <c r="U12995" t="s">
        <v>55386</v>
      </c>
      <c r="V12995" t="s">
        <v>57865</v>
      </c>
      <c r="W12995" t="s">
        <v>42521</v>
      </c>
      <c r="X12995" t="s">
        <v>42692</v>
      </c>
    </row>
    <row r="12996" spans="1:24">
      <c r="A12996">
        <f>HYPERLINK("https://www.philgeps.gov.ph/GEPSNONPILOT/Tender/SplashBidNoticeAbstractUI.aspx?menuIndex=3&amp;refID=7152599&amp;Result=3","7152599")</f>
        <v>0</v>
      </c>
      <c r="B12996" t="s">
        <v>221</v>
      </c>
      <c r="C12996" t="s">
        <v>15960</v>
      </c>
      <c r="D12996" t="s">
        <v>17202</v>
      </c>
      <c r="E12996" t="s">
        <v>28311</v>
      </c>
      <c r="F12996" t="s">
        <v>29372</v>
      </c>
      <c r="G12996" t="s">
        <v>29380</v>
      </c>
      <c r="H12996" t="s">
        <v>11048</v>
      </c>
      <c r="I12996" t="s">
        <v>4709</v>
      </c>
      <c r="J12996" t="s">
        <v>37735</v>
      </c>
      <c r="K12996" t="s">
        <v>38488</v>
      </c>
      <c r="M12996" t="s">
        <v>38980</v>
      </c>
      <c r="N12996" t="s">
        <v>42669</v>
      </c>
      <c r="O12996" t="s">
        <v>42670</v>
      </c>
      <c r="P12996">
        <v>0</v>
      </c>
      <c r="Q12996">
        <v>0</v>
      </c>
      <c r="R12996" t="s">
        <v>42691</v>
      </c>
      <c r="S12996" t="s">
        <v>43726</v>
      </c>
      <c r="T12996" t="s">
        <v>44488</v>
      </c>
      <c r="U12996" t="s">
        <v>55395</v>
      </c>
      <c r="W12996" t="s">
        <v>38980</v>
      </c>
      <c r="X12996" t="s">
        <v>42692</v>
      </c>
    </row>
    <row r="12997" spans="1:24">
      <c r="A12997">
        <f>HYPERLINK("https://www.philgeps.gov.ph/GEPSNONPILOT/Tender/SplashBidNoticeAbstractUI.aspx?menuIndex=3&amp;refID=7152649&amp;Result=3","7152649")</f>
        <v>0</v>
      </c>
      <c r="B12997" t="s">
        <v>1716</v>
      </c>
      <c r="C12997" t="s">
        <v>15961</v>
      </c>
      <c r="D12997" t="s">
        <v>17174</v>
      </c>
      <c r="E12997" t="s">
        <v>28312</v>
      </c>
      <c r="F12997" t="s">
        <v>29372</v>
      </c>
      <c r="G12997" t="s">
        <v>29380</v>
      </c>
      <c r="H12997" t="s">
        <v>11048</v>
      </c>
      <c r="I12997" t="s">
        <v>4487</v>
      </c>
      <c r="J12997" t="s">
        <v>37736</v>
      </c>
      <c r="K12997" t="s">
        <v>38485</v>
      </c>
      <c r="L12997" t="s">
        <v>1716</v>
      </c>
      <c r="M12997" t="s">
        <v>40579</v>
      </c>
      <c r="N12997" t="s">
        <v>42669</v>
      </c>
      <c r="O12997" t="s">
        <v>42670</v>
      </c>
      <c r="Q12997">
        <v>2</v>
      </c>
      <c r="R12997" t="s">
        <v>42691</v>
      </c>
      <c r="S12997" t="s">
        <v>43741</v>
      </c>
      <c r="T12997" t="s">
        <v>44493</v>
      </c>
      <c r="U12997" t="s">
        <v>55396</v>
      </c>
      <c r="V12997" t="s">
        <v>47944</v>
      </c>
      <c r="W12997" t="s">
        <v>40579</v>
      </c>
      <c r="X12997" t="s">
        <v>42692</v>
      </c>
    </row>
    <row r="12998" spans="1:24">
      <c r="A12998">
        <f>HYPERLINK("https://www.philgeps.gov.ph/GEPSNONPILOT/Tender/SplashBidNoticeAbstractUI.aspx?menuIndex=3&amp;refID=7152471&amp;Result=3","7152471")</f>
        <v>0</v>
      </c>
      <c r="B12998" t="s">
        <v>3137</v>
      </c>
      <c r="C12998" t="s">
        <v>15962</v>
      </c>
      <c r="D12998" t="s">
        <v>17211</v>
      </c>
      <c r="E12998" t="s">
        <v>28313</v>
      </c>
      <c r="F12998" t="s">
        <v>29372</v>
      </c>
      <c r="G12998" t="s">
        <v>29380</v>
      </c>
      <c r="H12998" t="s">
        <v>29389</v>
      </c>
      <c r="I12998" t="s">
        <v>10408</v>
      </c>
      <c r="J12998" t="s">
        <v>30302</v>
      </c>
      <c r="K12998" t="s">
        <v>38503</v>
      </c>
      <c r="M12998" t="s">
        <v>42182</v>
      </c>
      <c r="N12998" t="s">
        <v>42669</v>
      </c>
      <c r="O12998" t="s">
        <v>42670</v>
      </c>
      <c r="P12998">
        <v>0</v>
      </c>
      <c r="Q12998">
        <v>0</v>
      </c>
      <c r="R12998" t="s">
        <v>42691</v>
      </c>
      <c r="S12998" t="s">
        <v>43726</v>
      </c>
      <c r="T12998" t="s">
        <v>44354</v>
      </c>
      <c r="U12998" t="s">
        <v>55397</v>
      </c>
      <c r="V12998" t="s">
        <v>57868</v>
      </c>
      <c r="W12998" t="s">
        <v>42182</v>
      </c>
      <c r="X12998" t="s">
        <v>42692</v>
      </c>
    </row>
    <row r="12999" spans="1:24">
      <c r="A12999">
        <f>HYPERLINK("https://www.philgeps.gov.ph/GEPSNONPILOT/Tender/SplashBidNoticeAbstractUI.aspx?menuIndex=3&amp;refID=7152741&amp;Result=3","7152741")</f>
        <v>0</v>
      </c>
      <c r="B12999" t="s">
        <v>3027</v>
      </c>
      <c r="C12999" t="s">
        <v>15963</v>
      </c>
      <c r="D12999" t="s">
        <v>17226</v>
      </c>
      <c r="E12999" t="s">
        <v>28314</v>
      </c>
      <c r="F12999" t="s">
        <v>29372</v>
      </c>
      <c r="G12999" t="s">
        <v>29380</v>
      </c>
      <c r="H12999" t="s">
        <v>11048</v>
      </c>
      <c r="I12999" t="s">
        <v>3839</v>
      </c>
      <c r="J12999" t="s">
        <v>30573</v>
      </c>
      <c r="K12999" t="s">
        <v>38488</v>
      </c>
      <c r="M12999" t="s">
        <v>42049</v>
      </c>
      <c r="N12999" t="s">
        <v>42669</v>
      </c>
      <c r="O12999" t="s">
        <v>42670</v>
      </c>
      <c r="P12999">
        <v>0</v>
      </c>
      <c r="Q12999">
        <v>0</v>
      </c>
      <c r="R12999" t="s">
        <v>42691</v>
      </c>
      <c r="S12999" t="s">
        <v>43726</v>
      </c>
      <c r="T12999" t="s">
        <v>44481</v>
      </c>
      <c r="U12999" t="s">
        <v>55398</v>
      </c>
      <c r="W12999" t="s">
        <v>42049</v>
      </c>
      <c r="X12999" t="s">
        <v>42692</v>
      </c>
    </row>
    <row r="13000" spans="1:24">
      <c r="A13000">
        <f>HYPERLINK("https://www.philgeps.gov.ph/GEPSNONPILOT/Tender/SplashBidNoticeAbstractUI.aspx?menuIndex=3&amp;refID=7152910&amp;Result=3","7152910")</f>
        <v>0</v>
      </c>
      <c r="B13000" t="s">
        <v>3412</v>
      </c>
      <c r="C13000" t="s">
        <v>15964</v>
      </c>
      <c r="D13000" t="s">
        <v>17208</v>
      </c>
      <c r="E13000" t="s">
        <v>28315</v>
      </c>
      <c r="F13000" t="s">
        <v>29372</v>
      </c>
      <c r="G13000" t="s">
        <v>29380</v>
      </c>
      <c r="H13000" t="s">
        <v>29390</v>
      </c>
      <c r="I13000" t="s">
        <v>29452</v>
      </c>
      <c r="J13000" t="s">
        <v>37737</v>
      </c>
      <c r="K13000" t="s">
        <v>38488</v>
      </c>
      <c r="M13000" t="s">
        <v>42510</v>
      </c>
      <c r="N13000" t="s">
        <v>42669</v>
      </c>
      <c r="O13000" t="s">
        <v>42670</v>
      </c>
      <c r="P13000">
        <v>0</v>
      </c>
      <c r="Q13000">
        <v>0</v>
      </c>
      <c r="R13000" t="s">
        <v>42691</v>
      </c>
      <c r="S13000" t="s">
        <v>43726</v>
      </c>
      <c r="T13000" t="s">
        <v>44441</v>
      </c>
      <c r="U13000" t="s">
        <v>55399</v>
      </c>
      <c r="W13000" t="s">
        <v>42510</v>
      </c>
      <c r="X13000" t="s">
        <v>42692</v>
      </c>
    </row>
    <row r="13001" spans="1:24">
      <c r="A13001">
        <f>HYPERLINK("https://www.philgeps.gov.ph/GEPSNONPILOT/Tender/SplashBidNoticeAbstractUI.aspx?menuIndex=3&amp;refID=7152873&amp;Result=3","7152873")</f>
        <v>0</v>
      </c>
      <c r="B13001" t="s">
        <v>2677</v>
      </c>
      <c r="C13001" t="s">
        <v>15965</v>
      </c>
      <c r="D13001" t="s">
        <v>17164</v>
      </c>
      <c r="E13001" t="s">
        <v>20677</v>
      </c>
      <c r="F13001" t="s">
        <v>29372</v>
      </c>
      <c r="G13001" t="s">
        <v>29380</v>
      </c>
      <c r="H13001" t="s">
        <v>29389</v>
      </c>
      <c r="I13001" t="s">
        <v>10408</v>
      </c>
      <c r="J13001" t="s">
        <v>29526</v>
      </c>
      <c r="K13001" t="s">
        <v>38538</v>
      </c>
      <c r="L13001" t="s">
        <v>2677</v>
      </c>
      <c r="M13001" t="s">
        <v>41657</v>
      </c>
      <c r="N13001" t="s">
        <v>42669</v>
      </c>
      <c r="O13001" t="s">
        <v>42670</v>
      </c>
      <c r="P13001">
        <v>0</v>
      </c>
      <c r="Q13001">
        <v>0</v>
      </c>
      <c r="R13001" t="s">
        <v>42691</v>
      </c>
      <c r="S13001" t="s">
        <v>43726</v>
      </c>
      <c r="T13001" t="s">
        <v>44570</v>
      </c>
      <c r="U13001" t="s">
        <v>55400</v>
      </c>
      <c r="W13001" t="s">
        <v>41657</v>
      </c>
      <c r="X13001" t="s">
        <v>42692</v>
      </c>
    </row>
    <row r="13002" spans="1:24">
      <c r="A13002">
        <f>HYPERLINK("https://www.philgeps.gov.ph/GEPSNONPILOT/Tender/SplashBidNoticeAbstractUI.aspx?menuIndex=3&amp;refID=7152888&amp;Result=3","7152888")</f>
        <v>0</v>
      </c>
      <c r="B13002" t="s">
        <v>3422</v>
      </c>
      <c r="C13002" t="s">
        <v>15966</v>
      </c>
      <c r="D13002" t="s">
        <v>17201</v>
      </c>
      <c r="E13002" t="s">
        <v>21491</v>
      </c>
      <c r="F13002" t="s">
        <v>29372</v>
      </c>
      <c r="G13002" t="s">
        <v>29380</v>
      </c>
      <c r="H13002" t="s">
        <v>11048</v>
      </c>
      <c r="I13002" t="s">
        <v>29413</v>
      </c>
      <c r="J13002" t="s">
        <v>29619</v>
      </c>
      <c r="K13002" t="s">
        <v>38488</v>
      </c>
      <c r="M13002" t="s">
        <v>42523</v>
      </c>
      <c r="N13002" t="s">
        <v>42669</v>
      </c>
      <c r="O13002" t="s">
        <v>42670</v>
      </c>
      <c r="P13002">
        <v>0</v>
      </c>
      <c r="Q13002">
        <v>4</v>
      </c>
      <c r="R13002" t="s">
        <v>42691</v>
      </c>
      <c r="S13002" t="s">
        <v>43726</v>
      </c>
      <c r="T13002" t="s">
        <v>44432</v>
      </c>
      <c r="U13002" t="s">
        <v>55401</v>
      </c>
      <c r="W13002" t="s">
        <v>42523</v>
      </c>
      <c r="X13002" t="s">
        <v>42692</v>
      </c>
    </row>
    <row r="13003" spans="1:24">
      <c r="A13003">
        <f>HYPERLINK("https://www.philgeps.gov.ph/GEPSNONPILOT/Tender/SplashBidNoticeAbstractUI.aspx?menuIndex=3&amp;refID=7152831&amp;Result=3","7152831")</f>
        <v>0</v>
      </c>
      <c r="B13003" t="s">
        <v>3423</v>
      </c>
      <c r="C13003" t="s">
        <v>15967</v>
      </c>
      <c r="D13003" t="s">
        <v>17177</v>
      </c>
      <c r="E13003" t="s">
        <v>19663</v>
      </c>
      <c r="F13003" t="s">
        <v>29372</v>
      </c>
      <c r="G13003" t="s">
        <v>29380</v>
      </c>
      <c r="H13003" t="s">
        <v>29389</v>
      </c>
      <c r="I13003" t="s">
        <v>10408</v>
      </c>
      <c r="J13003" t="s">
        <v>29543</v>
      </c>
      <c r="K13003" t="s">
        <v>38496</v>
      </c>
      <c r="M13003" t="s">
        <v>42524</v>
      </c>
      <c r="N13003" t="s">
        <v>42669</v>
      </c>
      <c r="O13003" t="s">
        <v>42670</v>
      </c>
      <c r="P13003">
        <v>0</v>
      </c>
      <c r="Q13003">
        <v>4</v>
      </c>
      <c r="R13003" t="s">
        <v>42691</v>
      </c>
      <c r="S13003" t="s">
        <v>43726</v>
      </c>
      <c r="T13003" t="s">
        <v>44417</v>
      </c>
      <c r="U13003" t="s">
        <v>55402</v>
      </c>
      <c r="W13003" t="s">
        <v>42524</v>
      </c>
      <c r="X13003" t="s">
        <v>42692</v>
      </c>
    </row>
    <row r="13004" spans="1:24">
      <c r="A13004">
        <f>HYPERLINK("https://www.philgeps.gov.ph/GEPSNONPILOT/Tender/SplashBidNoticeAbstractUI.aspx?menuIndex=3&amp;refID=7152871&amp;Result=3","7152871")</f>
        <v>0</v>
      </c>
      <c r="B13004" t="s">
        <v>1709</v>
      </c>
      <c r="C13004" t="s">
        <v>15968</v>
      </c>
      <c r="D13004" t="s">
        <v>17202</v>
      </c>
      <c r="E13004" t="s">
        <v>28316</v>
      </c>
      <c r="F13004" t="s">
        <v>29372</v>
      </c>
      <c r="G13004" t="s">
        <v>29380</v>
      </c>
      <c r="H13004" t="s">
        <v>29389</v>
      </c>
      <c r="I13004" t="s">
        <v>10408</v>
      </c>
      <c r="J13004" t="s">
        <v>29543</v>
      </c>
      <c r="K13004" t="s">
        <v>38522</v>
      </c>
      <c r="M13004" t="s">
        <v>40572</v>
      </c>
      <c r="N13004" t="s">
        <v>42669</v>
      </c>
      <c r="O13004" t="s">
        <v>42670</v>
      </c>
      <c r="P13004">
        <v>0</v>
      </c>
      <c r="Q13004">
        <v>0</v>
      </c>
      <c r="R13004" t="s">
        <v>42691</v>
      </c>
      <c r="S13004" t="s">
        <v>43726</v>
      </c>
      <c r="T13004" t="s">
        <v>44491</v>
      </c>
      <c r="U13004" t="s">
        <v>55403</v>
      </c>
      <c r="W13004" t="s">
        <v>40572</v>
      </c>
      <c r="X13004" t="s">
        <v>42692</v>
      </c>
    </row>
    <row r="13005" spans="1:24">
      <c r="A13005">
        <f>HYPERLINK("https://www.philgeps.gov.ph/GEPSNONPILOT/Tender/SplashBidNoticeAbstractUI.aspx?menuIndex=3&amp;refID=7152805&amp;Result=3","7152805")</f>
        <v>0</v>
      </c>
      <c r="B13005" t="s">
        <v>35</v>
      </c>
      <c r="C13005" t="s">
        <v>15969</v>
      </c>
      <c r="D13005" t="s">
        <v>17149</v>
      </c>
      <c r="E13005" t="s">
        <v>28317</v>
      </c>
      <c r="F13005" t="s">
        <v>29372</v>
      </c>
      <c r="G13005" t="s">
        <v>29380</v>
      </c>
      <c r="H13005" t="s">
        <v>29389</v>
      </c>
      <c r="I13005" t="s">
        <v>10408</v>
      </c>
      <c r="J13005" t="s">
        <v>37738</v>
      </c>
      <c r="K13005" t="s">
        <v>38522</v>
      </c>
      <c r="M13005" t="s">
        <v>38788</v>
      </c>
      <c r="N13005" t="s">
        <v>42669</v>
      </c>
      <c r="O13005" t="s">
        <v>42670</v>
      </c>
      <c r="P13005">
        <v>0</v>
      </c>
      <c r="Q13005">
        <v>1</v>
      </c>
      <c r="R13005" t="s">
        <v>42691</v>
      </c>
      <c r="S13005" t="s">
        <v>43726</v>
      </c>
      <c r="T13005" t="s">
        <v>44570</v>
      </c>
      <c r="U13005" t="s">
        <v>55404</v>
      </c>
      <c r="W13005" t="s">
        <v>38788</v>
      </c>
      <c r="X13005" t="s">
        <v>42692</v>
      </c>
    </row>
    <row r="13006" spans="1:24">
      <c r="A13006">
        <f>HYPERLINK("https://www.philgeps.gov.ph/GEPSNONPILOT/Tender/SplashBidNoticeAbstractUI.aspx?menuIndex=3&amp;refID=7152921&amp;Result=3","7152921")</f>
        <v>0</v>
      </c>
      <c r="B13006" t="s">
        <v>2805</v>
      </c>
      <c r="C13006" t="s">
        <v>3982</v>
      </c>
      <c r="D13006" t="s">
        <v>17183</v>
      </c>
      <c r="E13006" t="s">
        <v>28318</v>
      </c>
      <c r="F13006" t="s">
        <v>29372</v>
      </c>
      <c r="G13006" t="s">
        <v>29380</v>
      </c>
      <c r="H13006" t="s">
        <v>11048</v>
      </c>
      <c r="I13006" t="s">
        <v>4487</v>
      </c>
      <c r="J13006" t="s">
        <v>37739</v>
      </c>
      <c r="K13006" t="s">
        <v>38518</v>
      </c>
      <c r="M13006" t="s">
        <v>41794</v>
      </c>
      <c r="N13006" t="s">
        <v>42669</v>
      </c>
      <c r="O13006" t="s">
        <v>42670</v>
      </c>
      <c r="P13006">
        <v>0</v>
      </c>
      <c r="Q13006">
        <v>5</v>
      </c>
      <c r="R13006" t="s">
        <v>42691</v>
      </c>
      <c r="S13006" t="s">
        <v>43726</v>
      </c>
      <c r="T13006" t="s">
        <v>44394</v>
      </c>
      <c r="U13006" t="s">
        <v>55405</v>
      </c>
      <c r="W13006" t="s">
        <v>41794</v>
      </c>
      <c r="X13006" t="s">
        <v>42692</v>
      </c>
    </row>
    <row r="13007" spans="1:24">
      <c r="A13007">
        <f>HYPERLINK("https://www.philgeps.gov.ph/GEPSNONPILOT/Tender/SplashBidNoticeAbstractUI.aspx?menuIndex=3&amp;refID=7152772&amp;Result=3","7152772")</f>
        <v>0</v>
      </c>
      <c r="B13007" t="s">
        <v>1709</v>
      </c>
      <c r="C13007" t="s">
        <v>15970</v>
      </c>
      <c r="D13007" t="s">
        <v>17202</v>
      </c>
      <c r="E13007" t="s">
        <v>28319</v>
      </c>
      <c r="F13007" t="s">
        <v>29372</v>
      </c>
      <c r="G13007" t="s">
        <v>29380</v>
      </c>
      <c r="H13007" t="s">
        <v>29389</v>
      </c>
      <c r="I13007" t="s">
        <v>10408</v>
      </c>
      <c r="J13007" t="s">
        <v>30056</v>
      </c>
      <c r="K13007" t="s">
        <v>38522</v>
      </c>
      <c r="M13007" t="s">
        <v>40572</v>
      </c>
      <c r="N13007" t="s">
        <v>42669</v>
      </c>
      <c r="O13007" t="s">
        <v>42670</v>
      </c>
      <c r="P13007">
        <v>0</v>
      </c>
      <c r="Q13007">
        <v>0</v>
      </c>
      <c r="R13007" t="s">
        <v>42691</v>
      </c>
      <c r="S13007" t="s">
        <v>43726</v>
      </c>
      <c r="T13007" t="s">
        <v>44491</v>
      </c>
      <c r="U13007" t="s">
        <v>55403</v>
      </c>
      <c r="W13007" t="s">
        <v>40572</v>
      </c>
      <c r="X13007" t="s">
        <v>42692</v>
      </c>
    </row>
    <row r="13008" spans="1:24">
      <c r="A13008">
        <f>HYPERLINK("https://www.philgeps.gov.ph/GEPSNONPILOT/Tender/SplashBidNoticeAbstractUI.aspx?menuIndex=3&amp;refID=7152581&amp;Result=3","7152581")</f>
        <v>0</v>
      </c>
      <c r="B13008" t="s">
        <v>3424</v>
      </c>
      <c r="C13008" t="s">
        <v>15971</v>
      </c>
      <c r="D13008" t="s">
        <v>17186</v>
      </c>
      <c r="E13008" t="s">
        <v>20721</v>
      </c>
      <c r="F13008" t="s">
        <v>29372</v>
      </c>
      <c r="G13008" t="s">
        <v>29380</v>
      </c>
      <c r="H13008" t="s">
        <v>11048</v>
      </c>
      <c r="I13008" t="s">
        <v>29395</v>
      </c>
      <c r="J13008" t="s">
        <v>37740</v>
      </c>
      <c r="K13008" t="s">
        <v>38490</v>
      </c>
      <c r="M13008" t="s">
        <v>42525</v>
      </c>
      <c r="N13008" t="s">
        <v>42669</v>
      </c>
      <c r="O13008" t="s">
        <v>42670</v>
      </c>
      <c r="P13008">
        <v>0</v>
      </c>
      <c r="Q13008">
        <v>1</v>
      </c>
      <c r="R13008" t="s">
        <v>42691</v>
      </c>
      <c r="S13008" t="s">
        <v>43726</v>
      </c>
      <c r="T13008" t="s">
        <v>44432</v>
      </c>
      <c r="U13008" t="s">
        <v>55406</v>
      </c>
      <c r="W13008" t="s">
        <v>42525</v>
      </c>
      <c r="X13008" t="s">
        <v>42692</v>
      </c>
    </row>
    <row r="13009" spans="1:24">
      <c r="A13009">
        <f>HYPERLINK("https://www.philgeps.gov.ph/GEPSNONPILOT/Tender/SplashBidNoticeAbstractUI.aspx?menuIndex=3&amp;refID=7152841&amp;Result=3","7152841")</f>
        <v>0</v>
      </c>
      <c r="B13009" t="s">
        <v>1709</v>
      </c>
      <c r="C13009" t="s">
        <v>15972</v>
      </c>
      <c r="D13009" t="s">
        <v>17202</v>
      </c>
      <c r="E13009" t="s">
        <v>28320</v>
      </c>
      <c r="F13009" t="s">
        <v>29372</v>
      </c>
      <c r="G13009" t="s">
        <v>29380</v>
      </c>
      <c r="H13009" t="s">
        <v>29389</v>
      </c>
      <c r="I13009" t="s">
        <v>10408</v>
      </c>
      <c r="J13009" t="s">
        <v>32053</v>
      </c>
      <c r="K13009" t="s">
        <v>38522</v>
      </c>
      <c r="M13009" t="s">
        <v>40572</v>
      </c>
      <c r="N13009" t="s">
        <v>42669</v>
      </c>
      <c r="O13009" t="s">
        <v>42670</v>
      </c>
      <c r="P13009">
        <v>0</v>
      </c>
      <c r="Q13009">
        <v>0</v>
      </c>
      <c r="R13009" t="s">
        <v>42691</v>
      </c>
      <c r="S13009" t="s">
        <v>43726</v>
      </c>
      <c r="T13009" t="s">
        <v>44491</v>
      </c>
      <c r="U13009" t="s">
        <v>55403</v>
      </c>
      <c r="W13009" t="s">
        <v>40572</v>
      </c>
      <c r="X13009" t="s">
        <v>42692</v>
      </c>
    </row>
    <row r="13010" spans="1:24">
      <c r="A13010">
        <f>HYPERLINK("https://www.philgeps.gov.ph/GEPSNONPILOT/Tender/SplashBidNoticeAbstractUI.aspx?menuIndex=3&amp;refID=7152769&amp;Result=3","7152769")</f>
        <v>0</v>
      </c>
      <c r="B13010" t="s">
        <v>2922</v>
      </c>
      <c r="C13010" t="s">
        <v>15973</v>
      </c>
      <c r="D13010" t="s">
        <v>17149</v>
      </c>
      <c r="E13010" t="s">
        <v>24576</v>
      </c>
      <c r="F13010" t="s">
        <v>29372</v>
      </c>
      <c r="G13010" t="s">
        <v>29380</v>
      </c>
      <c r="H13010" t="s">
        <v>11048</v>
      </c>
      <c r="I13010" t="s">
        <v>4709</v>
      </c>
      <c r="J13010" t="s">
        <v>37741</v>
      </c>
      <c r="K13010" t="s">
        <v>38485</v>
      </c>
      <c r="M13010" t="s">
        <v>41923</v>
      </c>
      <c r="N13010" t="s">
        <v>42669</v>
      </c>
      <c r="O13010" t="s">
        <v>42670</v>
      </c>
      <c r="P13010">
        <v>0</v>
      </c>
      <c r="Q13010">
        <v>0</v>
      </c>
      <c r="R13010" t="s">
        <v>42691</v>
      </c>
      <c r="S13010" t="s">
        <v>43726</v>
      </c>
      <c r="T13010" t="s">
        <v>44548</v>
      </c>
      <c r="U13010" t="s">
        <v>55394</v>
      </c>
      <c r="V13010" t="s">
        <v>57869</v>
      </c>
      <c r="W13010" t="s">
        <v>41923</v>
      </c>
      <c r="X13010" t="s">
        <v>42692</v>
      </c>
    </row>
    <row r="13011" spans="1:24">
      <c r="A13011">
        <f>HYPERLINK("https://www.philgeps.gov.ph/GEPSNONPILOT/Tender/SplashBidNoticeAbstractUI.aspx?menuIndex=3&amp;refID=7152782&amp;Result=3","7152782")</f>
        <v>0</v>
      </c>
      <c r="B13011" t="s">
        <v>3412</v>
      </c>
      <c r="C13011" t="s">
        <v>15974</v>
      </c>
      <c r="D13011" t="s">
        <v>17208</v>
      </c>
      <c r="E13011" t="s">
        <v>28321</v>
      </c>
      <c r="F13011" t="s">
        <v>29372</v>
      </c>
      <c r="G13011" t="s">
        <v>29380</v>
      </c>
      <c r="H13011" t="s">
        <v>11048</v>
      </c>
      <c r="I13011" t="s">
        <v>4709</v>
      </c>
      <c r="J13011" t="s">
        <v>37742</v>
      </c>
      <c r="K13011" t="s">
        <v>38485</v>
      </c>
      <c r="M13011" t="s">
        <v>42510</v>
      </c>
      <c r="N13011" t="s">
        <v>42669</v>
      </c>
      <c r="O13011" t="s">
        <v>42670</v>
      </c>
      <c r="P13011">
        <v>0</v>
      </c>
      <c r="Q13011">
        <v>1</v>
      </c>
      <c r="R13011" t="s">
        <v>42691</v>
      </c>
      <c r="S13011" t="s">
        <v>43726</v>
      </c>
      <c r="T13011" t="s">
        <v>44441</v>
      </c>
      <c r="U13011" t="s">
        <v>55399</v>
      </c>
      <c r="W13011" t="s">
        <v>42510</v>
      </c>
      <c r="X13011" t="s">
        <v>42692</v>
      </c>
    </row>
    <row r="13012" spans="1:24">
      <c r="A13012">
        <f>HYPERLINK("https://www.philgeps.gov.ph/GEPSNONPILOT/Tender/SplashBidNoticeAbstractUI.aspx?menuIndex=3&amp;refID=7153076&amp;Result=3","7153076")</f>
        <v>0</v>
      </c>
      <c r="B13012" t="s">
        <v>858</v>
      </c>
      <c r="C13012" t="s">
        <v>15975</v>
      </c>
      <c r="D13012" t="s">
        <v>17199</v>
      </c>
      <c r="E13012" t="s">
        <v>28322</v>
      </c>
      <c r="F13012" t="s">
        <v>29372</v>
      </c>
      <c r="G13012" t="s">
        <v>29380</v>
      </c>
      <c r="H13012" t="s">
        <v>11048</v>
      </c>
      <c r="I13012" t="s">
        <v>4709</v>
      </c>
      <c r="J13012" t="s">
        <v>37743</v>
      </c>
      <c r="K13012" t="s">
        <v>38528</v>
      </c>
      <c r="M13012" t="s">
        <v>42526</v>
      </c>
      <c r="N13012" t="s">
        <v>42669</v>
      </c>
      <c r="O13012" t="s">
        <v>42670</v>
      </c>
      <c r="P13012">
        <v>0</v>
      </c>
      <c r="Q13012">
        <v>0</v>
      </c>
      <c r="R13012" t="s">
        <v>42691</v>
      </c>
      <c r="S13012" t="s">
        <v>43726</v>
      </c>
      <c r="T13012" t="s">
        <v>44386</v>
      </c>
      <c r="U13012" t="s">
        <v>55407</v>
      </c>
      <c r="W13012" t="s">
        <v>42526</v>
      </c>
      <c r="X13012" t="s">
        <v>42692</v>
      </c>
    </row>
    <row r="13013" spans="1:24">
      <c r="A13013">
        <f>HYPERLINK("https://www.philgeps.gov.ph/GEPSNONPILOT/Tender/SplashBidNoticeAbstractUI.aspx?menuIndex=3&amp;refID=7152562&amp;Result=3","7152562")</f>
        <v>0</v>
      </c>
      <c r="B13013" t="s">
        <v>1688</v>
      </c>
      <c r="C13013" t="s">
        <v>15976</v>
      </c>
      <c r="D13013" t="s">
        <v>17174</v>
      </c>
      <c r="E13013" t="s">
        <v>28323</v>
      </c>
      <c r="F13013" t="s">
        <v>29372</v>
      </c>
      <c r="G13013" t="s">
        <v>29380</v>
      </c>
      <c r="H13013" t="s">
        <v>11048</v>
      </c>
      <c r="I13013" t="s">
        <v>29433</v>
      </c>
      <c r="J13013" t="s">
        <v>31894</v>
      </c>
      <c r="K13013" t="s">
        <v>38485</v>
      </c>
      <c r="M13013" t="s">
        <v>40549</v>
      </c>
      <c r="N13013" t="s">
        <v>42669</v>
      </c>
      <c r="O13013" t="s">
        <v>42670</v>
      </c>
      <c r="Q13013">
        <v>15</v>
      </c>
      <c r="R13013" t="s">
        <v>42691</v>
      </c>
      <c r="S13013" t="s">
        <v>43742</v>
      </c>
      <c r="T13013" t="s">
        <v>44488</v>
      </c>
      <c r="U13013" t="s">
        <v>55408</v>
      </c>
      <c r="W13013" t="s">
        <v>40549</v>
      </c>
      <c r="X13013" t="s">
        <v>42692</v>
      </c>
    </row>
    <row r="13014" spans="1:24">
      <c r="A13014">
        <f>HYPERLINK("https://www.philgeps.gov.ph/GEPSNONPILOT/Tender/SplashBidNoticeAbstractUI.aspx?menuIndex=3&amp;refID=7153080&amp;Result=3","7153080")</f>
        <v>0</v>
      </c>
      <c r="B13014" t="s">
        <v>3050</v>
      </c>
      <c r="C13014" t="s">
        <v>15977</v>
      </c>
      <c r="D13014" t="s">
        <v>17198</v>
      </c>
      <c r="E13014" t="s">
        <v>28324</v>
      </c>
      <c r="F13014" t="s">
        <v>29372</v>
      </c>
      <c r="G13014" t="s">
        <v>29380</v>
      </c>
      <c r="H13014" t="s">
        <v>11048</v>
      </c>
      <c r="I13014" t="s">
        <v>29414</v>
      </c>
      <c r="J13014" t="s">
        <v>37744</v>
      </c>
      <c r="K13014" t="s">
        <v>38488</v>
      </c>
      <c r="M13014" t="s">
        <v>42075</v>
      </c>
      <c r="N13014" t="s">
        <v>42669</v>
      </c>
      <c r="O13014" t="s">
        <v>42670</v>
      </c>
      <c r="P13014">
        <v>0</v>
      </c>
      <c r="Q13014">
        <v>8</v>
      </c>
      <c r="R13014" t="s">
        <v>42691</v>
      </c>
      <c r="S13014" t="s">
        <v>43726</v>
      </c>
      <c r="T13014" t="s">
        <v>44491</v>
      </c>
      <c r="U13014" t="s">
        <v>55409</v>
      </c>
      <c r="W13014" t="s">
        <v>42075</v>
      </c>
      <c r="X13014" t="s">
        <v>42692</v>
      </c>
    </row>
    <row r="13015" spans="1:24">
      <c r="A13015">
        <f>HYPERLINK("https://www.philgeps.gov.ph/GEPSNONPILOT/Tender/SplashBidNoticeAbstractUI.aspx?menuIndex=3&amp;refID=7152815&amp;Result=3","7152815")</f>
        <v>0</v>
      </c>
      <c r="B13015" t="s">
        <v>841</v>
      </c>
      <c r="C13015" t="s">
        <v>15978</v>
      </c>
      <c r="D13015" t="s">
        <v>17142</v>
      </c>
      <c r="E13015" t="s">
        <v>28325</v>
      </c>
      <c r="F13015" t="s">
        <v>29372</v>
      </c>
      <c r="G13015" t="s">
        <v>29380</v>
      </c>
      <c r="H13015" t="s">
        <v>29389</v>
      </c>
      <c r="I13015" t="s">
        <v>10408</v>
      </c>
      <c r="J13015" t="s">
        <v>37745</v>
      </c>
      <c r="K13015" t="s">
        <v>38485</v>
      </c>
      <c r="M13015" t="s">
        <v>39631</v>
      </c>
      <c r="N13015" t="s">
        <v>42669</v>
      </c>
      <c r="O13015" t="s">
        <v>42670</v>
      </c>
      <c r="P13015">
        <v>0</v>
      </c>
      <c r="Q13015">
        <v>0</v>
      </c>
      <c r="R13015" t="s">
        <v>42691</v>
      </c>
      <c r="S13015" t="s">
        <v>43726</v>
      </c>
      <c r="T13015" t="s">
        <v>44491</v>
      </c>
      <c r="U13015" t="s">
        <v>53708</v>
      </c>
      <c r="W13015" t="s">
        <v>39631</v>
      </c>
      <c r="X13015" t="s">
        <v>42692</v>
      </c>
    </row>
    <row r="13016" spans="1:24">
      <c r="A13016">
        <f>HYPERLINK("https://www.philgeps.gov.ph/GEPSNONPILOT/Tender/SplashBidNoticeAbstractUI.aspx?menuIndex=3&amp;refID=7152927&amp;Result=3","7152927")</f>
        <v>0</v>
      </c>
      <c r="B13016" t="s">
        <v>1691</v>
      </c>
      <c r="C13016" t="s">
        <v>15979</v>
      </c>
      <c r="D13016" t="s">
        <v>17175</v>
      </c>
      <c r="E13016" t="s">
        <v>28326</v>
      </c>
      <c r="F13016" t="s">
        <v>29372</v>
      </c>
      <c r="G13016" t="s">
        <v>29380</v>
      </c>
      <c r="H13016" t="s">
        <v>11048</v>
      </c>
      <c r="I13016" t="s">
        <v>29395</v>
      </c>
      <c r="J13016" t="s">
        <v>37746</v>
      </c>
      <c r="K13016" t="s">
        <v>38518</v>
      </c>
      <c r="M13016" t="s">
        <v>40553</v>
      </c>
      <c r="N13016" t="s">
        <v>42669</v>
      </c>
      <c r="O13016" t="s">
        <v>42670</v>
      </c>
      <c r="Q13016">
        <v>0</v>
      </c>
      <c r="R13016" t="s">
        <v>42691</v>
      </c>
      <c r="S13016" t="s">
        <v>43139</v>
      </c>
      <c r="T13016" t="s">
        <v>44432</v>
      </c>
      <c r="U13016" t="s">
        <v>55410</v>
      </c>
      <c r="V13016" t="s">
        <v>56888</v>
      </c>
      <c r="W13016" t="s">
        <v>40553</v>
      </c>
      <c r="X13016" t="s">
        <v>42692</v>
      </c>
    </row>
    <row r="13017" spans="1:24">
      <c r="A13017">
        <f>HYPERLINK("https://www.philgeps.gov.ph/GEPSNONPILOT/Tender/SplashBidNoticeAbstractUI.aspx?menuIndex=3&amp;refID=7153136&amp;Result=3","7153136")</f>
        <v>0</v>
      </c>
      <c r="B13017" t="s">
        <v>231</v>
      </c>
      <c r="C13017" t="s">
        <v>15980</v>
      </c>
      <c r="E13017" t="s">
        <v>28327</v>
      </c>
      <c r="F13017" t="s">
        <v>29372</v>
      </c>
      <c r="G13017" t="s">
        <v>29380</v>
      </c>
      <c r="H13017" t="s">
        <v>11048</v>
      </c>
      <c r="I13017" t="s">
        <v>29447</v>
      </c>
      <c r="J13017" t="s">
        <v>37747</v>
      </c>
      <c r="K13017" t="s">
        <v>38490</v>
      </c>
      <c r="M13017" t="s">
        <v>39927</v>
      </c>
      <c r="N13017" t="s">
        <v>42669</v>
      </c>
      <c r="O13017" t="s">
        <v>42670</v>
      </c>
      <c r="Q13017">
        <v>7</v>
      </c>
      <c r="R13017" t="s">
        <v>42691</v>
      </c>
      <c r="S13017" t="s">
        <v>42827</v>
      </c>
      <c r="T13017" t="s">
        <v>44847</v>
      </c>
      <c r="U13017" t="s">
        <v>55411</v>
      </c>
      <c r="W13017" t="s">
        <v>39927</v>
      </c>
      <c r="X13017" t="s">
        <v>42692</v>
      </c>
    </row>
    <row r="13018" spans="1:24">
      <c r="A13018">
        <f>HYPERLINK("https://www.philgeps.gov.ph/GEPSNONPILOT/Tender/SplashBidNoticeAbstractUI.aspx?menuIndex=3&amp;refID=7153101&amp;Result=3","7153101")</f>
        <v>0</v>
      </c>
      <c r="B13018" t="s">
        <v>2714</v>
      </c>
      <c r="C13018" t="s">
        <v>15981</v>
      </c>
      <c r="D13018" t="s">
        <v>17167</v>
      </c>
      <c r="E13018" t="s">
        <v>28328</v>
      </c>
      <c r="F13018" t="s">
        <v>29372</v>
      </c>
      <c r="G13018" t="s">
        <v>29380</v>
      </c>
      <c r="H13018" t="s">
        <v>29389</v>
      </c>
      <c r="I13018" t="s">
        <v>10408</v>
      </c>
      <c r="J13018" t="s">
        <v>37748</v>
      </c>
      <c r="K13018" t="s">
        <v>38598</v>
      </c>
      <c r="M13018" t="s">
        <v>41694</v>
      </c>
      <c r="N13018" t="s">
        <v>42669</v>
      </c>
      <c r="O13018" t="s">
        <v>42670</v>
      </c>
      <c r="P13018">
        <v>0</v>
      </c>
      <c r="Q13018">
        <v>1</v>
      </c>
      <c r="R13018" t="s">
        <v>42691</v>
      </c>
      <c r="S13018" t="s">
        <v>43726</v>
      </c>
      <c r="T13018" t="s">
        <v>44425</v>
      </c>
      <c r="U13018" t="s">
        <v>55412</v>
      </c>
      <c r="W13018" t="s">
        <v>41694</v>
      </c>
      <c r="X13018" t="s">
        <v>42692</v>
      </c>
    </row>
    <row r="13019" spans="1:24">
      <c r="A13019">
        <f>HYPERLINK("https://www.philgeps.gov.ph/GEPSNONPILOT/Tender/SplashBidNoticeAbstractUI.aspx?menuIndex=3&amp;refID=7153145&amp;Result=3","7153145")</f>
        <v>0</v>
      </c>
      <c r="B13019" t="s">
        <v>3027</v>
      </c>
      <c r="C13019" t="s">
        <v>15982</v>
      </c>
      <c r="D13019" t="s">
        <v>17226</v>
      </c>
      <c r="E13019" t="s">
        <v>28329</v>
      </c>
      <c r="F13019" t="s">
        <v>29372</v>
      </c>
      <c r="G13019" t="s">
        <v>29380</v>
      </c>
      <c r="H13019" t="s">
        <v>11048</v>
      </c>
      <c r="I13019" t="s">
        <v>3839</v>
      </c>
      <c r="J13019" t="s">
        <v>29555</v>
      </c>
      <c r="K13019" t="s">
        <v>38488</v>
      </c>
      <c r="M13019" t="s">
        <v>42049</v>
      </c>
      <c r="N13019" t="s">
        <v>42669</v>
      </c>
      <c r="O13019" t="s">
        <v>42670</v>
      </c>
      <c r="P13019">
        <v>0</v>
      </c>
      <c r="Q13019">
        <v>0</v>
      </c>
      <c r="R13019" t="s">
        <v>42691</v>
      </c>
      <c r="S13019" t="s">
        <v>43726</v>
      </c>
      <c r="T13019" t="s">
        <v>44481</v>
      </c>
      <c r="U13019" t="s">
        <v>55413</v>
      </c>
      <c r="W13019" t="s">
        <v>42049</v>
      </c>
      <c r="X13019" t="s">
        <v>42692</v>
      </c>
    </row>
    <row r="13020" spans="1:24">
      <c r="A13020">
        <f>HYPERLINK("https://www.philgeps.gov.ph/GEPSNONPILOT/Tender/SplashBidNoticeAbstractUI.aspx?menuIndex=3&amp;refID=7153098&amp;Result=3","7153098")</f>
        <v>0</v>
      </c>
      <c r="B13020" t="s">
        <v>858</v>
      </c>
      <c r="C13020" t="s">
        <v>15983</v>
      </c>
      <c r="D13020" t="s">
        <v>17199</v>
      </c>
      <c r="E13020" t="s">
        <v>28330</v>
      </c>
      <c r="F13020" t="s">
        <v>29372</v>
      </c>
      <c r="G13020" t="s">
        <v>29380</v>
      </c>
      <c r="H13020" t="s">
        <v>11048</v>
      </c>
      <c r="I13020" t="s">
        <v>29506</v>
      </c>
      <c r="J13020" t="s">
        <v>29680</v>
      </c>
      <c r="K13020" t="s">
        <v>38528</v>
      </c>
      <c r="M13020" t="s">
        <v>42526</v>
      </c>
      <c r="N13020" t="s">
        <v>42669</v>
      </c>
      <c r="O13020" t="s">
        <v>42670</v>
      </c>
      <c r="P13020">
        <v>0</v>
      </c>
      <c r="Q13020">
        <v>0</v>
      </c>
      <c r="R13020" t="s">
        <v>42691</v>
      </c>
      <c r="S13020" t="s">
        <v>43726</v>
      </c>
      <c r="T13020" t="s">
        <v>44386</v>
      </c>
      <c r="U13020" t="s">
        <v>55414</v>
      </c>
      <c r="W13020" t="s">
        <v>42526</v>
      </c>
      <c r="X13020" t="s">
        <v>42692</v>
      </c>
    </row>
    <row r="13021" spans="1:24">
      <c r="A13021">
        <f>HYPERLINK("https://www.philgeps.gov.ph/GEPSNONPILOT/Tender/SplashBidNoticeAbstractUI.aspx?menuIndex=3&amp;refID=7153168&amp;Result=3","7153168")</f>
        <v>0</v>
      </c>
      <c r="B13021" t="s">
        <v>2020</v>
      </c>
      <c r="C13021" t="s">
        <v>15984</v>
      </c>
      <c r="D13021" t="s">
        <v>17177</v>
      </c>
      <c r="E13021" t="s">
        <v>28331</v>
      </c>
      <c r="F13021" t="s">
        <v>29372</v>
      </c>
      <c r="G13021" t="s">
        <v>29380</v>
      </c>
      <c r="H13021" t="s">
        <v>29389</v>
      </c>
      <c r="I13021" t="s">
        <v>10408</v>
      </c>
      <c r="J13021" t="s">
        <v>37749</v>
      </c>
      <c r="K13021" t="s">
        <v>38495</v>
      </c>
      <c r="M13021" t="s">
        <v>41241</v>
      </c>
      <c r="N13021" t="s">
        <v>42669</v>
      </c>
      <c r="O13021" t="s">
        <v>42670</v>
      </c>
      <c r="P13021">
        <v>0</v>
      </c>
      <c r="Q13021">
        <v>0</v>
      </c>
      <c r="R13021" t="s">
        <v>42691</v>
      </c>
      <c r="S13021" t="s">
        <v>43726</v>
      </c>
      <c r="T13021" t="s">
        <v>44401</v>
      </c>
      <c r="U13021" t="s">
        <v>55415</v>
      </c>
      <c r="V13021" t="s">
        <v>57146</v>
      </c>
      <c r="W13021" t="s">
        <v>41241</v>
      </c>
      <c r="X13021" t="s">
        <v>42692</v>
      </c>
    </row>
    <row r="13022" spans="1:24">
      <c r="A13022">
        <f>HYPERLINK("https://www.philgeps.gov.ph/GEPSNONPILOT/Tender/SplashBidNoticeAbstractUI.aspx?menuIndex=3&amp;refID=7153053&amp;Result=3","7153053")</f>
        <v>0</v>
      </c>
      <c r="B13022" t="s">
        <v>3050</v>
      </c>
      <c r="C13022" t="s">
        <v>15985</v>
      </c>
      <c r="D13022" t="s">
        <v>17198</v>
      </c>
      <c r="E13022" t="s">
        <v>28332</v>
      </c>
      <c r="F13022" t="s">
        <v>29372</v>
      </c>
      <c r="G13022" t="s">
        <v>29380</v>
      </c>
      <c r="H13022" t="s">
        <v>11048</v>
      </c>
      <c r="I13022" t="s">
        <v>29414</v>
      </c>
      <c r="J13022" t="s">
        <v>37750</v>
      </c>
      <c r="K13022" t="s">
        <v>38488</v>
      </c>
      <c r="M13022" t="s">
        <v>42075</v>
      </c>
      <c r="N13022" t="s">
        <v>42669</v>
      </c>
      <c r="O13022" t="s">
        <v>42670</v>
      </c>
      <c r="Q13022">
        <v>25</v>
      </c>
      <c r="R13022" t="s">
        <v>42691</v>
      </c>
      <c r="S13022" t="s">
        <v>43743</v>
      </c>
      <c r="T13022" t="s">
        <v>44491</v>
      </c>
      <c r="U13022" t="s">
        <v>55416</v>
      </c>
      <c r="W13022" t="s">
        <v>42075</v>
      </c>
      <c r="X13022" t="s">
        <v>42692</v>
      </c>
    </row>
    <row r="13023" spans="1:24">
      <c r="A13023">
        <f>HYPERLINK("https://www.philgeps.gov.ph/GEPSNONPILOT/Tender/SplashBidNoticeAbstractUI.aspx?menuIndex=3&amp;refID=7153042&amp;Result=3","7153042")</f>
        <v>0</v>
      </c>
      <c r="B13023" t="s">
        <v>1720</v>
      </c>
      <c r="C13023" t="s">
        <v>15986</v>
      </c>
      <c r="D13023" t="s">
        <v>17189</v>
      </c>
      <c r="E13023" t="s">
        <v>17448</v>
      </c>
      <c r="F13023" t="s">
        <v>29372</v>
      </c>
      <c r="G13023" t="s">
        <v>29380</v>
      </c>
      <c r="H13023" t="s">
        <v>29389</v>
      </c>
      <c r="I13023" t="s">
        <v>10408</v>
      </c>
      <c r="J13023" t="s">
        <v>37751</v>
      </c>
      <c r="K13023" t="s">
        <v>38495</v>
      </c>
      <c r="M13023" t="s">
        <v>40583</v>
      </c>
      <c r="N13023" t="s">
        <v>42669</v>
      </c>
      <c r="O13023" t="s">
        <v>42670</v>
      </c>
      <c r="Q13023">
        <v>2</v>
      </c>
      <c r="R13023" t="s">
        <v>42691</v>
      </c>
      <c r="S13023" t="s">
        <v>43274</v>
      </c>
      <c r="T13023" t="s">
        <v>44631</v>
      </c>
      <c r="U13023" t="s">
        <v>55417</v>
      </c>
      <c r="W13023" t="s">
        <v>40583</v>
      </c>
      <c r="X13023" t="s">
        <v>42692</v>
      </c>
    </row>
    <row r="13024" spans="1:24">
      <c r="A13024">
        <f>HYPERLINK("https://www.philgeps.gov.ph/GEPSNONPILOT/Tender/SplashBidNoticeAbstractUI.aspx?menuIndex=3&amp;refID=7153028&amp;Result=3","7153028")</f>
        <v>0</v>
      </c>
      <c r="B13024" t="s">
        <v>2043</v>
      </c>
      <c r="C13024" t="s">
        <v>15987</v>
      </c>
      <c r="D13024" t="s">
        <v>17170</v>
      </c>
      <c r="E13024" t="s">
        <v>28333</v>
      </c>
      <c r="F13024" t="s">
        <v>29372</v>
      </c>
      <c r="G13024" t="s">
        <v>29380</v>
      </c>
      <c r="H13024" t="s">
        <v>11048</v>
      </c>
      <c r="I13024" t="s">
        <v>3839</v>
      </c>
      <c r="J13024" t="s">
        <v>31260</v>
      </c>
      <c r="K13024" t="s">
        <v>38485</v>
      </c>
      <c r="M13024" t="s">
        <v>40940</v>
      </c>
      <c r="N13024" t="s">
        <v>42669</v>
      </c>
      <c r="O13024" t="s">
        <v>42670</v>
      </c>
      <c r="P13024">
        <v>0</v>
      </c>
      <c r="Q13024">
        <v>10</v>
      </c>
      <c r="R13024" t="s">
        <v>42691</v>
      </c>
      <c r="S13024" t="s">
        <v>43726</v>
      </c>
      <c r="T13024" t="s">
        <v>44425</v>
      </c>
      <c r="U13024" t="s">
        <v>55418</v>
      </c>
      <c r="W13024" t="s">
        <v>40940</v>
      </c>
      <c r="X13024" t="s">
        <v>42692</v>
      </c>
    </row>
    <row r="13025" spans="1:24">
      <c r="A13025">
        <f>HYPERLINK("https://www.philgeps.gov.ph/GEPSNONPILOT/Tender/SplashBidNoticeAbstractUI.aspx?menuIndex=3&amp;refID=7153014&amp;Result=3","7153014")</f>
        <v>0</v>
      </c>
      <c r="B13025" t="s">
        <v>858</v>
      </c>
      <c r="C13025" t="s">
        <v>15988</v>
      </c>
      <c r="D13025" t="s">
        <v>17199</v>
      </c>
      <c r="E13025" t="s">
        <v>28334</v>
      </c>
      <c r="F13025" t="s">
        <v>29372</v>
      </c>
      <c r="G13025" t="s">
        <v>29380</v>
      </c>
      <c r="H13025" t="s">
        <v>11048</v>
      </c>
      <c r="I13025" t="s">
        <v>4709</v>
      </c>
      <c r="J13025" t="s">
        <v>37752</v>
      </c>
      <c r="K13025" t="s">
        <v>38528</v>
      </c>
      <c r="M13025" t="s">
        <v>42527</v>
      </c>
      <c r="N13025" t="s">
        <v>42669</v>
      </c>
      <c r="O13025" t="s">
        <v>42670</v>
      </c>
      <c r="P13025">
        <v>0</v>
      </c>
      <c r="Q13025">
        <v>0</v>
      </c>
      <c r="R13025" t="s">
        <v>42691</v>
      </c>
      <c r="S13025" t="s">
        <v>43726</v>
      </c>
      <c r="T13025" t="s">
        <v>44386</v>
      </c>
      <c r="U13025" t="s">
        <v>55407</v>
      </c>
      <c r="W13025" t="s">
        <v>42527</v>
      </c>
      <c r="X13025" t="s">
        <v>42692</v>
      </c>
    </row>
    <row r="13026" spans="1:24">
      <c r="A13026">
        <f>HYPERLINK("https://www.philgeps.gov.ph/GEPSNONPILOT/Tender/SplashBidNoticeAbstractUI.aspx?menuIndex=3&amp;refID=7153164&amp;Result=3","7153164")</f>
        <v>0</v>
      </c>
      <c r="B13026" t="s">
        <v>2774</v>
      </c>
      <c r="C13026" t="s">
        <v>15989</v>
      </c>
      <c r="E13026" t="s">
        <v>28335</v>
      </c>
      <c r="F13026" t="s">
        <v>29372</v>
      </c>
      <c r="G13026" t="s">
        <v>29380</v>
      </c>
      <c r="H13026" t="s">
        <v>29389</v>
      </c>
      <c r="I13026" t="s">
        <v>10408</v>
      </c>
      <c r="J13026" t="s">
        <v>37753</v>
      </c>
      <c r="K13026" t="s">
        <v>38522</v>
      </c>
      <c r="M13026" t="s">
        <v>42520</v>
      </c>
      <c r="N13026" t="s">
        <v>42669</v>
      </c>
      <c r="O13026" t="s">
        <v>42670</v>
      </c>
      <c r="P13026">
        <v>0</v>
      </c>
      <c r="Q13026">
        <v>72</v>
      </c>
      <c r="R13026" t="s">
        <v>42691</v>
      </c>
      <c r="S13026" t="s">
        <v>43726</v>
      </c>
      <c r="T13026" t="s">
        <v>44432</v>
      </c>
      <c r="U13026" t="s">
        <v>55419</v>
      </c>
      <c r="V13026" t="s">
        <v>57860</v>
      </c>
      <c r="W13026" t="s">
        <v>42520</v>
      </c>
      <c r="X13026" t="s">
        <v>42692</v>
      </c>
    </row>
    <row r="13027" spans="1:24">
      <c r="A13027">
        <f>HYPERLINK("https://www.philgeps.gov.ph/GEPSNONPILOT/Tender/SplashBidNoticeAbstractUI.aspx?menuIndex=3&amp;refID=7153103&amp;Result=3","7153103")</f>
        <v>0</v>
      </c>
      <c r="B13027" t="s">
        <v>2418</v>
      </c>
      <c r="C13027" t="s">
        <v>15990</v>
      </c>
      <c r="D13027" t="s">
        <v>17172</v>
      </c>
      <c r="E13027" t="s">
        <v>28336</v>
      </c>
      <c r="F13027" t="s">
        <v>29373</v>
      </c>
      <c r="G13027" t="s">
        <v>29380</v>
      </c>
      <c r="H13027" t="s">
        <v>29389</v>
      </c>
      <c r="I13027" t="s">
        <v>10408</v>
      </c>
      <c r="J13027" t="s">
        <v>37754</v>
      </c>
      <c r="K13027" t="s">
        <v>38492</v>
      </c>
      <c r="L13027" t="s">
        <v>2418</v>
      </c>
      <c r="M13027" t="s">
        <v>41365</v>
      </c>
      <c r="N13027" t="s">
        <v>42669</v>
      </c>
      <c r="O13027" t="s">
        <v>42670</v>
      </c>
      <c r="P13027">
        <v>0</v>
      </c>
      <c r="Q13027">
        <v>0</v>
      </c>
      <c r="R13027" t="s">
        <v>42691</v>
      </c>
      <c r="S13027" t="s">
        <v>43726</v>
      </c>
      <c r="T13027" t="s">
        <v>44429</v>
      </c>
      <c r="U13027" t="s">
        <v>55420</v>
      </c>
      <c r="V13027" t="s">
        <v>57870</v>
      </c>
      <c r="W13027" t="s">
        <v>41365</v>
      </c>
      <c r="X13027" t="s">
        <v>42692</v>
      </c>
    </row>
    <row r="13028" spans="1:24">
      <c r="A13028">
        <f>HYPERLINK("https://www.philgeps.gov.ph/GEPSNONPILOT/Tender/SplashBidNoticeAbstractUI.aspx?menuIndex=3&amp;refID=7152961&amp;Result=3","7152961")</f>
        <v>0</v>
      </c>
      <c r="B13028" t="s">
        <v>2805</v>
      </c>
      <c r="C13028" t="s">
        <v>15991</v>
      </c>
      <c r="D13028" t="s">
        <v>17183</v>
      </c>
      <c r="E13028" t="s">
        <v>28337</v>
      </c>
      <c r="F13028" t="s">
        <v>29372</v>
      </c>
      <c r="G13028" t="s">
        <v>29380</v>
      </c>
      <c r="H13028" t="s">
        <v>11048</v>
      </c>
      <c r="I13028" t="s">
        <v>29403</v>
      </c>
      <c r="J13028" t="s">
        <v>37755</v>
      </c>
      <c r="K13028" t="s">
        <v>38518</v>
      </c>
      <c r="M13028" t="s">
        <v>41794</v>
      </c>
      <c r="N13028" t="s">
        <v>42669</v>
      </c>
      <c r="O13028" t="s">
        <v>42670</v>
      </c>
      <c r="P13028">
        <v>0</v>
      </c>
      <c r="Q13028">
        <v>0</v>
      </c>
      <c r="R13028" t="s">
        <v>42691</v>
      </c>
      <c r="S13028" t="s">
        <v>43726</v>
      </c>
      <c r="T13028" t="s">
        <v>44394</v>
      </c>
      <c r="U13028" t="s">
        <v>55405</v>
      </c>
      <c r="W13028" t="s">
        <v>41794</v>
      </c>
      <c r="X13028" t="s">
        <v>42692</v>
      </c>
    </row>
    <row r="13029" spans="1:24">
      <c r="A13029">
        <f>HYPERLINK("https://www.philgeps.gov.ph/GEPSNONPILOT/Tender/SplashBidNoticeAbstractUI.aspx?menuIndex=3&amp;refID=7153059&amp;Result=3","7153059")</f>
        <v>0</v>
      </c>
      <c r="B13029" t="s">
        <v>1161</v>
      </c>
      <c r="C13029" t="s">
        <v>15992</v>
      </c>
      <c r="D13029" t="s">
        <v>17144</v>
      </c>
      <c r="E13029" t="s">
        <v>28338</v>
      </c>
      <c r="F13029" t="s">
        <v>29372</v>
      </c>
      <c r="G13029" t="s">
        <v>29380</v>
      </c>
      <c r="H13029" t="s">
        <v>29389</v>
      </c>
      <c r="I13029" t="s">
        <v>10408</v>
      </c>
      <c r="J13029" t="s">
        <v>31976</v>
      </c>
      <c r="K13029" t="s">
        <v>38522</v>
      </c>
      <c r="M13029" t="s">
        <v>41323</v>
      </c>
      <c r="N13029" t="s">
        <v>42669</v>
      </c>
      <c r="O13029" t="s">
        <v>42670</v>
      </c>
      <c r="Q13029">
        <v>16</v>
      </c>
      <c r="R13029" t="s">
        <v>42691</v>
      </c>
      <c r="S13029" t="s">
        <v>43744</v>
      </c>
      <c r="T13029" t="s">
        <v>44491</v>
      </c>
      <c r="U13029" t="s">
        <v>55421</v>
      </c>
      <c r="W13029" t="s">
        <v>41323</v>
      </c>
      <c r="X13029" t="s">
        <v>42692</v>
      </c>
    </row>
    <row r="13030" spans="1:24">
      <c r="A13030">
        <f>HYPERLINK("https://www.philgeps.gov.ph/GEPSNONPILOT/Tender/SplashBidNoticeAbstractUI.aspx?menuIndex=3&amp;refID=7152820&amp;Result=3","7152820")</f>
        <v>0</v>
      </c>
      <c r="B13030" t="s">
        <v>1709</v>
      </c>
      <c r="C13030" t="s">
        <v>15993</v>
      </c>
      <c r="D13030" t="s">
        <v>17202</v>
      </c>
      <c r="E13030" t="s">
        <v>28339</v>
      </c>
      <c r="F13030" t="s">
        <v>29372</v>
      </c>
      <c r="G13030" t="s">
        <v>29380</v>
      </c>
      <c r="H13030" t="s">
        <v>29389</v>
      </c>
      <c r="I13030" t="s">
        <v>10408</v>
      </c>
      <c r="J13030" t="s">
        <v>30056</v>
      </c>
      <c r="K13030" t="s">
        <v>38522</v>
      </c>
      <c r="M13030" t="s">
        <v>40572</v>
      </c>
      <c r="N13030" t="s">
        <v>42669</v>
      </c>
      <c r="O13030" t="s">
        <v>42670</v>
      </c>
      <c r="P13030">
        <v>0</v>
      </c>
      <c r="Q13030">
        <v>0</v>
      </c>
      <c r="R13030" t="s">
        <v>42691</v>
      </c>
      <c r="S13030" t="s">
        <v>43726</v>
      </c>
      <c r="T13030" t="s">
        <v>44491</v>
      </c>
      <c r="U13030" t="s">
        <v>55403</v>
      </c>
      <c r="W13030" t="s">
        <v>40572</v>
      </c>
      <c r="X13030" t="s">
        <v>42692</v>
      </c>
    </row>
    <row r="13031" spans="1:24">
      <c r="A13031">
        <f>HYPERLINK("https://www.philgeps.gov.ph/GEPSNONPILOT/Tender/SplashBidNoticeAbstractUI.aspx?menuIndex=3&amp;refID=7153444&amp;Result=3","7153444")</f>
        <v>0</v>
      </c>
      <c r="B13031" t="s">
        <v>3137</v>
      </c>
      <c r="C13031" t="s">
        <v>15994</v>
      </c>
      <c r="D13031" t="s">
        <v>17211</v>
      </c>
      <c r="E13031" t="s">
        <v>28340</v>
      </c>
      <c r="F13031" t="s">
        <v>29372</v>
      </c>
      <c r="G13031" t="s">
        <v>29380</v>
      </c>
      <c r="H13031" t="s">
        <v>29389</v>
      </c>
      <c r="I13031" t="s">
        <v>10408</v>
      </c>
      <c r="J13031" t="s">
        <v>29587</v>
      </c>
      <c r="K13031" t="s">
        <v>38487</v>
      </c>
      <c r="M13031" t="s">
        <v>42182</v>
      </c>
      <c r="N13031" t="s">
        <v>42669</v>
      </c>
      <c r="O13031" t="s">
        <v>42670</v>
      </c>
      <c r="P13031">
        <v>0</v>
      </c>
      <c r="Q13031">
        <v>0</v>
      </c>
      <c r="R13031" t="s">
        <v>42691</v>
      </c>
      <c r="S13031" t="s">
        <v>43726</v>
      </c>
      <c r="T13031" t="s">
        <v>44354</v>
      </c>
      <c r="U13031" t="s">
        <v>55422</v>
      </c>
      <c r="V13031" t="s">
        <v>57621</v>
      </c>
      <c r="W13031" t="s">
        <v>42182</v>
      </c>
      <c r="X13031" t="s">
        <v>42692</v>
      </c>
    </row>
    <row r="13032" spans="1:24">
      <c r="A13032">
        <f>HYPERLINK("https://www.philgeps.gov.ph/GEPSNONPILOT/Tender/SplashBidNoticeAbstractUI.aspx?menuIndex=3&amp;refID=7153186&amp;Result=3","7153186")</f>
        <v>0</v>
      </c>
      <c r="B13032" t="s">
        <v>1343</v>
      </c>
      <c r="C13032" t="s">
        <v>15995</v>
      </c>
      <c r="D13032" t="s">
        <v>17141</v>
      </c>
      <c r="E13032" t="s">
        <v>28341</v>
      </c>
      <c r="F13032" t="s">
        <v>29372</v>
      </c>
      <c r="G13032" t="s">
        <v>29380</v>
      </c>
      <c r="H13032" t="s">
        <v>11048</v>
      </c>
      <c r="I13032" t="s">
        <v>29407</v>
      </c>
      <c r="J13032" t="s">
        <v>37756</v>
      </c>
      <c r="K13032" t="s">
        <v>38490</v>
      </c>
      <c r="M13032" t="s">
        <v>42279</v>
      </c>
      <c r="N13032" t="s">
        <v>42669</v>
      </c>
      <c r="O13032" t="s">
        <v>42670</v>
      </c>
      <c r="Q13032">
        <v>11</v>
      </c>
      <c r="R13032" t="s">
        <v>42691</v>
      </c>
      <c r="S13032" t="s">
        <v>43745</v>
      </c>
      <c r="T13032" t="s">
        <v>44401</v>
      </c>
      <c r="U13032" t="s">
        <v>55423</v>
      </c>
      <c r="W13032" t="s">
        <v>42279</v>
      </c>
      <c r="X13032" t="s">
        <v>42692</v>
      </c>
    </row>
    <row r="13033" spans="1:24">
      <c r="A13033">
        <f>HYPERLINK("https://www.philgeps.gov.ph/GEPSNONPILOT/Tender/SplashBidNoticeAbstractUI.aspx?menuIndex=3&amp;refID=7153030&amp;Result=3","7153030")</f>
        <v>0</v>
      </c>
      <c r="B13033" t="s">
        <v>35</v>
      </c>
      <c r="C13033" t="s">
        <v>15996</v>
      </c>
      <c r="D13033" t="s">
        <v>17149</v>
      </c>
      <c r="E13033" t="s">
        <v>28342</v>
      </c>
      <c r="F13033" t="s">
        <v>29372</v>
      </c>
      <c r="G13033" t="s">
        <v>29380</v>
      </c>
      <c r="H13033" t="s">
        <v>29389</v>
      </c>
      <c r="I13033" t="s">
        <v>10408</v>
      </c>
      <c r="J13033" t="s">
        <v>37757</v>
      </c>
      <c r="K13033" t="s">
        <v>38495</v>
      </c>
      <c r="M13033" t="s">
        <v>38788</v>
      </c>
      <c r="N13033" t="s">
        <v>42669</v>
      </c>
      <c r="O13033" t="s">
        <v>42670</v>
      </c>
      <c r="P13033">
        <v>0</v>
      </c>
      <c r="Q13033">
        <v>1</v>
      </c>
      <c r="R13033" t="s">
        <v>42691</v>
      </c>
      <c r="S13033" t="s">
        <v>43726</v>
      </c>
      <c r="T13033" t="s">
        <v>44570</v>
      </c>
      <c r="U13033" t="s">
        <v>55424</v>
      </c>
      <c r="W13033" t="s">
        <v>38788</v>
      </c>
      <c r="X13033" t="s">
        <v>42692</v>
      </c>
    </row>
    <row r="13034" spans="1:24">
      <c r="A13034">
        <f>HYPERLINK("https://www.philgeps.gov.ph/GEPSNONPILOT/Tender/SplashBidNoticeAbstractUI.aspx?menuIndex=3&amp;refID=7153396&amp;Result=3","7153396")</f>
        <v>0</v>
      </c>
      <c r="B13034" t="s">
        <v>1919</v>
      </c>
      <c r="C13034" t="s">
        <v>15997</v>
      </c>
      <c r="D13034" t="s">
        <v>17194</v>
      </c>
      <c r="E13034" t="s">
        <v>28343</v>
      </c>
      <c r="F13034" t="s">
        <v>29372</v>
      </c>
      <c r="G13034" t="s">
        <v>29380</v>
      </c>
      <c r="H13034" t="s">
        <v>11048</v>
      </c>
      <c r="I13034" t="s">
        <v>4709</v>
      </c>
      <c r="J13034" t="s">
        <v>37758</v>
      </c>
      <c r="K13034" t="s">
        <v>38485</v>
      </c>
      <c r="M13034" t="s">
        <v>40794</v>
      </c>
      <c r="N13034" t="s">
        <v>42669</v>
      </c>
      <c r="O13034" t="s">
        <v>42670</v>
      </c>
      <c r="Q13034">
        <v>4</v>
      </c>
      <c r="R13034" t="s">
        <v>42691</v>
      </c>
      <c r="S13034" t="s">
        <v>43746</v>
      </c>
      <c r="T13034" t="s">
        <v>44432</v>
      </c>
      <c r="U13034" t="s">
        <v>49323</v>
      </c>
      <c r="V13034" t="s">
        <v>56972</v>
      </c>
      <c r="W13034" t="s">
        <v>40794</v>
      </c>
      <c r="X13034" t="s">
        <v>42692</v>
      </c>
    </row>
    <row r="13035" spans="1:24">
      <c r="A13035">
        <f>HYPERLINK("https://www.philgeps.gov.ph/GEPSNONPILOT/Tender/SplashBidNoticeAbstractUI.aspx?menuIndex=3&amp;refID=7153359&amp;Result=3","7153359")</f>
        <v>0</v>
      </c>
      <c r="B13035" t="s">
        <v>1360</v>
      </c>
      <c r="C13035" t="s">
        <v>15998</v>
      </c>
      <c r="D13035" t="s">
        <v>17201</v>
      </c>
      <c r="E13035" t="s">
        <v>28344</v>
      </c>
      <c r="F13035" t="s">
        <v>29372</v>
      </c>
      <c r="G13035" t="s">
        <v>29380</v>
      </c>
      <c r="H13035" t="s">
        <v>11048</v>
      </c>
      <c r="I13035" t="s">
        <v>29407</v>
      </c>
      <c r="J13035" t="s">
        <v>37759</v>
      </c>
      <c r="K13035" t="s">
        <v>38496</v>
      </c>
      <c r="M13035" t="s">
        <v>40197</v>
      </c>
      <c r="N13035" t="s">
        <v>42669</v>
      </c>
      <c r="O13035" t="s">
        <v>42670</v>
      </c>
      <c r="P13035">
        <v>0</v>
      </c>
      <c r="Q13035">
        <v>12</v>
      </c>
      <c r="R13035" t="s">
        <v>42691</v>
      </c>
      <c r="S13035" t="s">
        <v>43726</v>
      </c>
      <c r="T13035" t="s">
        <v>44412</v>
      </c>
      <c r="U13035" t="s">
        <v>55425</v>
      </c>
      <c r="W13035" t="s">
        <v>40197</v>
      </c>
      <c r="X13035" t="s">
        <v>42692</v>
      </c>
    </row>
    <row r="13036" spans="1:24">
      <c r="A13036">
        <f>HYPERLINK("https://www.philgeps.gov.ph/GEPSNONPILOT/Tender/SplashBidNoticeAbstractUI.aspx?menuIndex=3&amp;refID=7152954&amp;Result=3","7152954")</f>
        <v>0</v>
      </c>
      <c r="B13036" t="s">
        <v>3422</v>
      </c>
      <c r="C13036" t="s">
        <v>15999</v>
      </c>
      <c r="D13036" t="s">
        <v>17201</v>
      </c>
      <c r="E13036" t="s">
        <v>17294</v>
      </c>
      <c r="F13036" t="s">
        <v>29372</v>
      </c>
      <c r="G13036" t="s">
        <v>29380</v>
      </c>
      <c r="H13036" t="s">
        <v>29389</v>
      </c>
      <c r="I13036" t="s">
        <v>29417</v>
      </c>
      <c r="J13036" t="s">
        <v>37760</v>
      </c>
      <c r="K13036" t="s">
        <v>38485</v>
      </c>
      <c r="M13036" t="s">
        <v>42523</v>
      </c>
      <c r="N13036" t="s">
        <v>42669</v>
      </c>
      <c r="O13036" t="s">
        <v>42670</v>
      </c>
      <c r="P13036">
        <v>0</v>
      </c>
      <c r="Q13036">
        <v>0</v>
      </c>
      <c r="R13036" t="s">
        <v>42691</v>
      </c>
      <c r="S13036" t="s">
        <v>43726</v>
      </c>
      <c r="T13036" t="s">
        <v>44432</v>
      </c>
      <c r="U13036" t="s">
        <v>55426</v>
      </c>
      <c r="W13036" t="s">
        <v>42523</v>
      </c>
      <c r="X13036" t="s">
        <v>42692</v>
      </c>
    </row>
    <row r="13037" spans="1:24">
      <c r="A13037">
        <f>HYPERLINK("https://www.philgeps.gov.ph/GEPSNONPILOT/Tender/SplashBidNoticeAbstractUI.aspx?menuIndex=3&amp;refID=7153237&amp;Result=3","7153237")</f>
        <v>0</v>
      </c>
      <c r="B13037" t="s">
        <v>2020</v>
      </c>
      <c r="C13037" t="s">
        <v>16000</v>
      </c>
      <c r="D13037" t="s">
        <v>17177</v>
      </c>
      <c r="E13037" t="s">
        <v>28345</v>
      </c>
      <c r="F13037" t="s">
        <v>29372</v>
      </c>
      <c r="G13037" t="s">
        <v>29380</v>
      </c>
      <c r="H13037" t="s">
        <v>29389</v>
      </c>
      <c r="I13037" t="s">
        <v>10408</v>
      </c>
      <c r="J13037" t="s">
        <v>37761</v>
      </c>
      <c r="K13037" t="s">
        <v>38495</v>
      </c>
      <c r="M13037" t="s">
        <v>41241</v>
      </c>
      <c r="N13037" t="s">
        <v>42669</v>
      </c>
      <c r="O13037" t="s">
        <v>42670</v>
      </c>
      <c r="P13037">
        <v>0</v>
      </c>
      <c r="Q13037">
        <v>1</v>
      </c>
      <c r="R13037" t="s">
        <v>42691</v>
      </c>
      <c r="S13037" t="s">
        <v>43726</v>
      </c>
      <c r="T13037" t="s">
        <v>44401</v>
      </c>
      <c r="U13037" t="s">
        <v>55427</v>
      </c>
      <c r="V13037" t="s">
        <v>57146</v>
      </c>
      <c r="W13037" t="s">
        <v>41241</v>
      </c>
      <c r="X13037" t="s">
        <v>42692</v>
      </c>
    </row>
    <row r="13038" spans="1:24">
      <c r="A13038">
        <f>HYPERLINK("https://www.philgeps.gov.ph/GEPSNONPILOT/Tender/SplashBidNoticeAbstractUI.aspx?menuIndex=3&amp;refID=7153266&amp;Result=3","7153266")</f>
        <v>0</v>
      </c>
      <c r="B13038" t="s">
        <v>613</v>
      </c>
      <c r="C13038" t="s">
        <v>16001</v>
      </c>
      <c r="D13038" t="s">
        <v>17205</v>
      </c>
      <c r="E13038" t="s">
        <v>28346</v>
      </c>
      <c r="F13038" t="s">
        <v>29372</v>
      </c>
      <c r="G13038" t="s">
        <v>29380</v>
      </c>
      <c r="H13038" t="s">
        <v>11048</v>
      </c>
      <c r="I13038" t="s">
        <v>29432</v>
      </c>
      <c r="J13038" t="s">
        <v>37762</v>
      </c>
      <c r="K13038" t="s">
        <v>38490</v>
      </c>
      <c r="M13038" t="s">
        <v>39384</v>
      </c>
      <c r="N13038" t="s">
        <v>42669</v>
      </c>
      <c r="O13038" t="s">
        <v>42670</v>
      </c>
      <c r="Q13038">
        <v>7</v>
      </c>
      <c r="R13038" t="s">
        <v>42691</v>
      </c>
      <c r="S13038" t="s">
        <v>43747</v>
      </c>
      <c r="T13038" t="s">
        <v>44548</v>
      </c>
      <c r="U13038" t="s">
        <v>55428</v>
      </c>
      <c r="V13038" t="s">
        <v>57871</v>
      </c>
      <c r="W13038" t="s">
        <v>39384</v>
      </c>
      <c r="X13038" t="s">
        <v>42692</v>
      </c>
    </row>
    <row r="13039" spans="1:24">
      <c r="A13039">
        <f>HYPERLINK("https://www.philgeps.gov.ph/GEPSNONPILOT/Tender/SplashBidNoticeAbstractUI.aspx?menuIndex=3&amp;refID=7153431&amp;Result=3","7153431")</f>
        <v>0</v>
      </c>
      <c r="B13039" t="s">
        <v>646</v>
      </c>
      <c r="C13039" t="s">
        <v>16002</v>
      </c>
      <c r="D13039" t="s">
        <v>17164</v>
      </c>
      <c r="E13039" t="s">
        <v>28347</v>
      </c>
      <c r="F13039" t="s">
        <v>29372</v>
      </c>
      <c r="G13039" t="s">
        <v>29380</v>
      </c>
      <c r="H13039" t="s">
        <v>29389</v>
      </c>
      <c r="I13039" t="s">
        <v>29429</v>
      </c>
      <c r="J13039" t="s">
        <v>37763</v>
      </c>
      <c r="K13039" t="s">
        <v>38499</v>
      </c>
      <c r="M13039" t="s">
        <v>39419</v>
      </c>
      <c r="N13039" t="s">
        <v>42669</v>
      </c>
      <c r="O13039" t="s">
        <v>42670</v>
      </c>
      <c r="P13039">
        <v>0</v>
      </c>
      <c r="Q13039">
        <v>1</v>
      </c>
      <c r="R13039" t="s">
        <v>42691</v>
      </c>
      <c r="S13039" t="s">
        <v>43726</v>
      </c>
      <c r="T13039" t="s">
        <v>44491</v>
      </c>
      <c r="U13039" t="s">
        <v>55429</v>
      </c>
      <c r="W13039" t="s">
        <v>39419</v>
      </c>
      <c r="X13039" t="s">
        <v>42692</v>
      </c>
    </row>
    <row r="13040" spans="1:24">
      <c r="A13040">
        <f>HYPERLINK("https://www.philgeps.gov.ph/GEPSNONPILOT/Tender/SplashBidNoticeAbstractUI.aspx?menuIndex=3&amp;refID=7153329&amp;Result=3","7153329")</f>
        <v>0</v>
      </c>
      <c r="B13040" t="s">
        <v>3137</v>
      </c>
      <c r="C13040" t="s">
        <v>7773</v>
      </c>
      <c r="D13040" t="s">
        <v>17211</v>
      </c>
      <c r="E13040" t="s">
        <v>28348</v>
      </c>
      <c r="F13040" t="s">
        <v>29372</v>
      </c>
      <c r="G13040" t="s">
        <v>29380</v>
      </c>
      <c r="H13040" t="s">
        <v>29389</v>
      </c>
      <c r="I13040" t="s">
        <v>10408</v>
      </c>
      <c r="J13040" t="s">
        <v>29555</v>
      </c>
      <c r="K13040" t="s">
        <v>38518</v>
      </c>
      <c r="M13040" t="s">
        <v>42182</v>
      </c>
      <c r="N13040" t="s">
        <v>42669</v>
      </c>
      <c r="O13040" t="s">
        <v>42670</v>
      </c>
      <c r="P13040">
        <v>0</v>
      </c>
      <c r="Q13040">
        <v>0</v>
      </c>
      <c r="R13040" t="s">
        <v>42691</v>
      </c>
      <c r="S13040" t="s">
        <v>43726</v>
      </c>
      <c r="T13040" t="s">
        <v>44354</v>
      </c>
      <c r="U13040" t="s">
        <v>55430</v>
      </c>
      <c r="V13040" t="s">
        <v>57621</v>
      </c>
      <c r="W13040" t="s">
        <v>42182</v>
      </c>
      <c r="X13040" t="s">
        <v>42692</v>
      </c>
    </row>
    <row r="13041" spans="1:24">
      <c r="A13041">
        <f>HYPERLINK("https://www.philgeps.gov.ph/GEPSNONPILOT/Tender/SplashBidNoticeAbstractUI.aspx?menuIndex=3&amp;refID=7153481&amp;Result=3","7153481")</f>
        <v>0</v>
      </c>
      <c r="B13041" t="s">
        <v>2442</v>
      </c>
      <c r="C13041" t="s">
        <v>16003</v>
      </c>
      <c r="D13041" t="s">
        <v>17170</v>
      </c>
      <c r="E13041" t="s">
        <v>17533</v>
      </c>
      <c r="F13041" t="s">
        <v>29373</v>
      </c>
      <c r="G13041" t="s">
        <v>29380</v>
      </c>
      <c r="H13041" t="s">
        <v>11048</v>
      </c>
      <c r="I13041" t="s">
        <v>3670</v>
      </c>
      <c r="J13041" t="s">
        <v>37764</v>
      </c>
      <c r="K13041" t="s">
        <v>38490</v>
      </c>
      <c r="M13041" t="s">
        <v>41390</v>
      </c>
      <c r="N13041" t="s">
        <v>42669</v>
      </c>
      <c r="O13041" t="s">
        <v>42670</v>
      </c>
      <c r="P13041">
        <v>0</v>
      </c>
      <c r="Q13041">
        <v>0</v>
      </c>
      <c r="R13041" t="s">
        <v>42691</v>
      </c>
      <c r="S13041" t="s">
        <v>43726</v>
      </c>
      <c r="T13041" t="s">
        <v>44493</v>
      </c>
      <c r="U13041" t="s">
        <v>55431</v>
      </c>
      <c r="V13041" t="s">
        <v>57872</v>
      </c>
      <c r="W13041" t="s">
        <v>41390</v>
      </c>
      <c r="X13041" t="s">
        <v>42692</v>
      </c>
    </row>
    <row r="13042" spans="1:24">
      <c r="A13042">
        <f>HYPERLINK("https://www.philgeps.gov.ph/GEPSNONPILOT/Tender/SplashBidNoticeAbstractUI.aspx?menuIndex=3&amp;refID=7152947&amp;Result=3","7152947")</f>
        <v>0</v>
      </c>
      <c r="B13042" t="s">
        <v>3050</v>
      </c>
      <c r="C13042" t="s">
        <v>16004</v>
      </c>
      <c r="D13042" t="s">
        <v>17198</v>
      </c>
      <c r="E13042" t="s">
        <v>28349</v>
      </c>
      <c r="F13042" t="s">
        <v>29372</v>
      </c>
      <c r="G13042" t="s">
        <v>29380</v>
      </c>
      <c r="H13042" t="s">
        <v>11048</v>
      </c>
      <c r="I13042" t="s">
        <v>29414</v>
      </c>
      <c r="J13042" t="s">
        <v>30815</v>
      </c>
      <c r="K13042" t="s">
        <v>38488</v>
      </c>
      <c r="M13042" t="s">
        <v>42075</v>
      </c>
      <c r="N13042" t="s">
        <v>42669</v>
      </c>
      <c r="O13042" t="s">
        <v>42670</v>
      </c>
      <c r="P13042">
        <v>0</v>
      </c>
      <c r="Q13042">
        <v>27</v>
      </c>
      <c r="R13042" t="s">
        <v>42691</v>
      </c>
      <c r="S13042" t="s">
        <v>43726</v>
      </c>
      <c r="T13042" t="s">
        <v>44491</v>
      </c>
      <c r="U13042" t="s">
        <v>55432</v>
      </c>
      <c r="W13042" t="s">
        <v>42075</v>
      </c>
      <c r="X13042" t="s">
        <v>42692</v>
      </c>
    </row>
    <row r="13043" spans="1:24">
      <c r="A13043">
        <f>HYPERLINK("https://www.philgeps.gov.ph/GEPSNONPILOT/Tender/SplashBidNoticeAbstractUI.aspx?menuIndex=3&amp;refID=7153228&amp;Result=3","7153228")</f>
        <v>0</v>
      </c>
      <c r="B13043" t="s">
        <v>2020</v>
      </c>
      <c r="C13043" t="s">
        <v>16005</v>
      </c>
      <c r="D13043" t="s">
        <v>17177</v>
      </c>
      <c r="E13043" t="s">
        <v>28350</v>
      </c>
      <c r="F13043" t="s">
        <v>29372</v>
      </c>
      <c r="G13043" t="s">
        <v>29380</v>
      </c>
      <c r="H13043" t="s">
        <v>29389</v>
      </c>
      <c r="I13043" t="s">
        <v>10408</v>
      </c>
      <c r="J13043" t="s">
        <v>37765</v>
      </c>
      <c r="K13043" t="s">
        <v>38496</v>
      </c>
      <c r="M13043" t="s">
        <v>41241</v>
      </c>
      <c r="N13043" t="s">
        <v>42669</v>
      </c>
      <c r="O13043" t="s">
        <v>42670</v>
      </c>
      <c r="P13043">
        <v>0</v>
      </c>
      <c r="Q13043">
        <v>1</v>
      </c>
      <c r="R13043" t="s">
        <v>42691</v>
      </c>
      <c r="S13043" t="s">
        <v>43726</v>
      </c>
      <c r="T13043" t="s">
        <v>44401</v>
      </c>
      <c r="U13043" t="s">
        <v>55427</v>
      </c>
      <c r="V13043" t="s">
        <v>57146</v>
      </c>
      <c r="W13043" t="s">
        <v>41241</v>
      </c>
      <c r="X13043" t="s">
        <v>42692</v>
      </c>
    </row>
    <row r="13044" spans="1:24">
      <c r="A13044">
        <f>HYPERLINK("https://www.philgeps.gov.ph/GEPSNONPILOT/Tender/SplashBidNoticeAbstractUI.aspx?menuIndex=3&amp;refID=7153454&amp;Result=3","7153454")</f>
        <v>0</v>
      </c>
      <c r="B13044" t="s">
        <v>646</v>
      </c>
      <c r="C13044" t="s">
        <v>16006</v>
      </c>
      <c r="D13044" t="s">
        <v>17164</v>
      </c>
      <c r="E13044" t="s">
        <v>20069</v>
      </c>
      <c r="F13044" t="s">
        <v>29372</v>
      </c>
      <c r="G13044" t="s">
        <v>29380</v>
      </c>
      <c r="H13044" t="s">
        <v>29389</v>
      </c>
      <c r="I13044" t="s">
        <v>29429</v>
      </c>
      <c r="J13044" t="s">
        <v>37766</v>
      </c>
      <c r="K13044" t="s">
        <v>38487</v>
      </c>
      <c r="M13044" t="s">
        <v>39419</v>
      </c>
      <c r="N13044" t="s">
        <v>42669</v>
      </c>
      <c r="O13044" t="s">
        <v>42670</v>
      </c>
      <c r="P13044">
        <v>0</v>
      </c>
      <c r="Q13044">
        <v>1</v>
      </c>
      <c r="R13044" t="s">
        <v>42691</v>
      </c>
      <c r="S13044" t="s">
        <v>43726</v>
      </c>
      <c r="T13044" t="s">
        <v>44491</v>
      </c>
      <c r="U13044" t="s">
        <v>55433</v>
      </c>
      <c r="W13044" t="s">
        <v>39419</v>
      </c>
      <c r="X13044" t="s">
        <v>42692</v>
      </c>
    </row>
    <row r="13045" spans="1:24">
      <c r="A13045">
        <f>HYPERLINK("https://www.philgeps.gov.ph/GEPSNONPILOT/Tender/SplashBidNoticeAbstractUI.aspx?menuIndex=3&amp;refID=7153180&amp;Result=3","7153180")</f>
        <v>0</v>
      </c>
      <c r="B13045" t="s">
        <v>2805</v>
      </c>
      <c r="C13045" t="s">
        <v>16007</v>
      </c>
      <c r="D13045" t="s">
        <v>17183</v>
      </c>
      <c r="E13045" t="s">
        <v>28351</v>
      </c>
      <c r="F13045" t="s">
        <v>29372</v>
      </c>
      <c r="G13045" t="s">
        <v>29380</v>
      </c>
      <c r="H13045" t="s">
        <v>11048</v>
      </c>
      <c r="I13045" t="s">
        <v>4709</v>
      </c>
      <c r="J13045" t="s">
        <v>37767</v>
      </c>
      <c r="K13045" t="s">
        <v>38518</v>
      </c>
      <c r="M13045" t="s">
        <v>41794</v>
      </c>
      <c r="N13045" t="s">
        <v>42669</v>
      </c>
      <c r="O13045" t="s">
        <v>42670</v>
      </c>
      <c r="P13045">
        <v>0</v>
      </c>
      <c r="Q13045">
        <v>1</v>
      </c>
      <c r="R13045" t="s">
        <v>42691</v>
      </c>
      <c r="S13045" t="s">
        <v>43726</v>
      </c>
      <c r="T13045" t="s">
        <v>44394</v>
      </c>
      <c r="U13045" t="s">
        <v>55434</v>
      </c>
      <c r="W13045" t="s">
        <v>41794</v>
      </c>
      <c r="X13045" t="s">
        <v>42692</v>
      </c>
    </row>
    <row r="13046" spans="1:24">
      <c r="A13046">
        <f>HYPERLINK("https://www.philgeps.gov.ph/GEPSNONPILOT/Tender/SplashBidNoticeAbstractUI.aspx?menuIndex=3&amp;refID=7153479&amp;Result=3","7153479")</f>
        <v>0</v>
      </c>
      <c r="B13046" t="s">
        <v>669</v>
      </c>
      <c r="C13046" t="s">
        <v>16008</v>
      </c>
      <c r="D13046" t="s">
        <v>17147</v>
      </c>
      <c r="E13046" t="s">
        <v>28352</v>
      </c>
      <c r="F13046" t="s">
        <v>29372</v>
      </c>
      <c r="G13046" t="s">
        <v>29380</v>
      </c>
      <c r="H13046" t="s">
        <v>11048</v>
      </c>
      <c r="I13046" t="s">
        <v>29466</v>
      </c>
      <c r="J13046" t="s">
        <v>29729</v>
      </c>
      <c r="K13046" t="s">
        <v>38488</v>
      </c>
      <c r="M13046" t="s">
        <v>39445</v>
      </c>
      <c r="N13046" t="s">
        <v>42669</v>
      </c>
      <c r="O13046" t="s">
        <v>42670</v>
      </c>
      <c r="P13046">
        <v>0</v>
      </c>
      <c r="Q13046">
        <v>5</v>
      </c>
      <c r="R13046" t="s">
        <v>42691</v>
      </c>
      <c r="S13046" t="s">
        <v>43726</v>
      </c>
      <c r="T13046" t="s">
        <v>44580</v>
      </c>
      <c r="U13046" t="s">
        <v>55435</v>
      </c>
      <c r="V13046" t="s">
        <v>57873</v>
      </c>
      <c r="W13046" t="s">
        <v>39445</v>
      </c>
      <c r="X13046" t="s">
        <v>42692</v>
      </c>
    </row>
    <row r="13047" spans="1:24">
      <c r="A13047">
        <f>HYPERLINK("https://www.philgeps.gov.ph/GEPSNONPILOT/Tender/SplashBidNoticeAbstractUI.aspx?menuIndex=3&amp;refID=7153216&amp;Result=3","7153216")</f>
        <v>0</v>
      </c>
      <c r="B13047" t="s">
        <v>2020</v>
      </c>
      <c r="C13047" t="s">
        <v>16009</v>
      </c>
      <c r="D13047" t="s">
        <v>17177</v>
      </c>
      <c r="E13047" t="s">
        <v>28353</v>
      </c>
      <c r="F13047" t="s">
        <v>29372</v>
      </c>
      <c r="G13047" t="s">
        <v>29380</v>
      </c>
      <c r="H13047" t="s">
        <v>29389</v>
      </c>
      <c r="I13047" t="s">
        <v>10408</v>
      </c>
      <c r="J13047" t="s">
        <v>37768</v>
      </c>
      <c r="K13047" t="s">
        <v>38496</v>
      </c>
      <c r="M13047" t="s">
        <v>41241</v>
      </c>
      <c r="N13047" t="s">
        <v>42669</v>
      </c>
      <c r="O13047" t="s">
        <v>42670</v>
      </c>
      <c r="P13047">
        <v>0</v>
      </c>
      <c r="Q13047">
        <v>0</v>
      </c>
      <c r="R13047" t="s">
        <v>42691</v>
      </c>
      <c r="S13047" t="s">
        <v>43726</v>
      </c>
      <c r="T13047" t="s">
        <v>44401</v>
      </c>
      <c r="U13047" t="s">
        <v>55436</v>
      </c>
      <c r="V13047" t="s">
        <v>57146</v>
      </c>
      <c r="W13047" t="s">
        <v>41241</v>
      </c>
      <c r="X13047" t="s">
        <v>42692</v>
      </c>
    </row>
    <row r="13048" spans="1:24">
      <c r="A13048">
        <f>HYPERLINK("https://www.philgeps.gov.ph/GEPSNONPILOT/Tender/SplashBidNoticeAbstractUI.aspx?menuIndex=3&amp;refID=7153189&amp;Result=3","7153189")</f>
        <v>0</v>
      </c>
      <c r="B13048" t="s">
        <v>2020</v>
      </c>
      <c r="C13048" t="s">
        <v>16010</v>
      </c>
      <c r="D13048" t="s">
        <v>17177</v>
      </c>
      <c r="E13048" t="s">
        <v>28354</v>
      </c>
      <c r="F13048" t="s">
        <v>29372</v>
      </c>
      <c r="G13048" t="s">
        <v>29380</v>
      </c>
      <c r="H13048" t="s">
        <v>29389</v>
      </c>
      <c r="I13048" t="s">
        <v>29398</v>
      </c>
      <c r="J13048" t="s">
        <v>37769</v>
      </c>
      <c r="K13048" t="s">
        <v>38495</v>
      </c>
      <c r="M13048" t="s">
        <v>41241</v>
      </c>
      <c r="N13048" t="s">
        <v>42669</v>
      </c>
      <c r="O13048" t="s">
        <v>42670</v>
      </c>
      <c r="P13048">
        <v>0</v>
      </c>
      <c r="Q13048">
        <v>0</v>
      </c>
      <c r="R13048" t="s">
        <v>42691</v>
      </c>
      <c r="S13048" t="s">
        <v>43726</v>
      </c>
      <c r="T13048" t="s">
        <v>44401</v>
      </c>
      <c r="U13048" t="s">
        <v>55437</v>
      </c>
      <c r="V13048" t="s">
        <v>57146</v>
      </c>
      <c r="W13048" t="s">
        <v>41241</v>
      </c>
      <c r="X13048" t="s">
        <v>42692</v>
      </c>
    </row>
    <row r="13049" spans="1:24">
      <c r="A13049">
        <f>HYPERLINK("https://www.philgeps.gov.ph/GEPSNONPILOT/Tender/SplashBidNoticeAbstractUI.aspx?menuIndex=3&amp;refID=7153504&amp;Result=3","7153504")</f>
        <v>0</v>
      </c>
      <c r="B13049" t="s">
        <v>669</v>
      </c>
      <c r="C13049" t="s">
        <v>16011</v>
      </c>
      <c r="D13049" t="s">
        <v>17147</v>
      </c>
      <c r="E13049" t="s">
        <v>28355</v>
      </c>
      <c r="F13049" t="s">
        <v>29372</v>
      </c>
      <c r="G13049" t="s">
        <v>29380</v>
      </c>
      <c r="H13049" t="s">
        <v>11048</v>
      </c>
      <c r="I13049" t="s">
        <v>3695</v>
      </c>
      <c r="J13049" t="s">
        <v>37770</v>
      </c>
      <c r="K13049" t="s">
        <v>38488</v>
      </c>
      <c r="M13049" t="s">
        <v>42069</v>
      </c>
      <c r="N13049" t="s">
        <v>42669</v>
      </c>
      <c r="O13049" t="s">
        <v>42670</v>
      </c>
      <c r="P13049">
        <v>0</v>
      </c>
      <c r="Q13049">
        <v>0</v>
      </c>
      <c r="R13049" t="s">
        <v>42691</v>
      </c>
      <c r="S13049" t="s">
        <v>43726</v>
      </c>
      <c r="T13049" t="s">
        <v>44580</v>
      </c>
      <c r="U13049" t="s">
        <v>55438</v>
      </c>
      <c r="V13049" t="s">
        <v>56460</v>
      </c>
      <c r="W13049" t="s">
        <v>42069</v>
      </c>
      <c r="X13049" t="s">
        <v>42692</v>
      </c>
    </row>
    <row r="13050" spans="1:24">
      <c r="A13050">
        <f>HYPERLINK("https://www.philgeps.gov.ph/GEPSNONPILOT/Tender/SplashBidNoticeAbstractUI.aspx?menuIndex=3&amp;refID=7153025&amp;Result=3","7153025")</f>
        <v>0</v>
      </c>
      <c r="B13050" t="s">
        <v>2418</v>
      </c>
      <c r="C13050" t="s">
        <v>16012</v>
      </c>
      <c r="D13050" t="s">
        <v>17172</v>
      </c>
      <c r="E13050" t="s">
        <v>28356</v>
      </c>
      <c r="F13050" t="s">
        <v>29373</v>
      </c>
      <c r="G13050" t="s">
        <v>29380</v>
      </c>
      <c r="H13050" t="s">
        <v>29389</v>
      </c>
      <c r="I13050" t="s">
        <v>10408</v>
      </c>
      <c r="J13050" t="s">
        <v>37771</v>
      </c>
      <c r="K13050" t="s">
        <v>38644</v>
      </c>
      <c r="L13050" t="s">
        <v>2418</v>
      </c>
      <c r="M13050" t="s">
        <v>41365</v>
      </c>
      <c r="N13050" t="s">
        <v>42669</v>
      </c>
      <c r="O13050" t="s">
        <v>42670</v>
      </c>
      <c r="P13050">
        <v>0</v>
      </c>
      <c r="Q13050">
        <v>0</v>
      </c>
      <c r="R13050" t="s">
        <v>42691</v>
      </c>
      <c r="S13050" t="s">
        <v>43726</v>
      </c>
      <c r="T13050" t="s">
        <v>44425</v>
      </c>
      <c r="U13050" t="s">
        <v>55439</v>
      </c>
      <c r="V13050" t="s">
        <v>57870</v>
      </c>
      <c r="W13050" t="s">
        <v>41365</v>
      </c>
      <c r="X13050" t="s">
        <v>42692</v>
      </c>
    </row>
    <row r="13051" spans="1:24">
      <c r="A13051">
        <f>HYPERLINK("https://www.philgeps.gov.ph/GEPSNONPILOT/Tender/SplashBidNoticeAbstractUI.aspx?menuIndex=3&amp;refID=7153464&amp;Result=3","7153464")</f>
        <v>0</v>
      </c>
      <c r="B13051" t="s">
        <v>3050</v>
      </c>
      <c r="C13051" t="s">
        <v>16013</v>
      </c>
      <c r="D13051" t="s">
        <v>17198</v>
      </c>
      <c r="E13051" t="s">
        <v>28357</v>
      </c>
      <c r="F13051" t="s">
        <v>29372</v>
      </c>
      <c r="G13051" t="s">
        <v>29380</v>
      </c>
      <c r="H13051" t="s">
        <v>11048</v>
      </c>
      <c r="I13051" t="s">
        <v>3695</v>
      </c>
      <c r="J13051" t="s">
        <v>37772</v>
      </c>
      <c r="K13051" t="s">
        <v>38488</v>
      </c>
      <c r="M13051" t="s">
        <v>42075</v>
      </c>
      <c r="N13051" t="s">
        <v>42669</v>
      </c>
      <c r="O13051" t="s">
        <v>42670</v>
      </c>
      <c r="Q13051">
        <v>5</v>
      </c>
      <c r="R13051" t="s">
        <v>42691</v>
      </c>
      <c r="S13051" t="s">
        <v>43748</v>
      </c>
      <c r="T13051" t="s">
        <v>44432</v>
      </c>
      <c r="U13051" t="s">
        <v>55440</v>
      </c>
      <c r="W13051" t="s">
        <v>42075</v>
      </c>
      <c r="X13051" t="s">
        <v>42692</v>
      </c>
    </row>
    <row r="13052" spans="1:24">
      <c r="A13052">
        <f>HYPERLINK("https://www.philgeps.gov.ph/GEPSNONPILOT/Tender/SplashBidNoticeAbstractUI.aspx?menuIndex=3&amp;refID=7153198&amp;Result=3","7153198")</f>
        <v>0</v>
      </c>
      <c r="B13052" t="s">
        <v>2774</v>
      </c>
      <c r="C13052" t="s">
        <v>16014</v>
      </c>
      <c r="E13052" t="s">
        <v>28358</v>
      </c>
      <c r="F13052" t="s">
        <v>29372</v>
      </c>
      <c r="G13052" t="s">
        <v>29380</v>
      </c>
      <c r="H13052" t="s">
        <v>29389</v>
      </c>
      <c r="I13052" t="s">
        <v>10408</v>
      </c>
      <c r="J13052" t="s">
        <v>37773</v>
      </c>
      <c r="K13052" t="s">
        <v>38523</v>
      </c>
      <c r="M13052" t="s">
        <v>42520</v>
      </c>
      <c r="N13052" t="s">
        <v>42669</v>
      </c>
      <c r="O13052" t="s">
        <v>42670</v>
      </c>
      <c r="Q13052">
        <v>81</v>
      </c>
      <c r="R13052" t="s">
        <v>42691</v>
      </c>
      <c r="S13052" t="s">
        <v>42991</v>
      </c>
      <c r="T13052" t="s">
        <v>44432</v>
      </c>
      <c r="U13052" t="s">
        <v>55441</v>
      </c>
      <c r="V13052" t="s">
        <v>57860</v>
      </c>
      <c r="W13052" t="s">
        <v>42520</v>
      </c>
      <c r="X13052" t="s">
        <v>42692</v>
      </c>
    </row>
    <row r="13053" spans="1:24">
      <c r="A13053">
        <f>HYPERLINK("https://www.philgeps.gov.ph/GEPSNONPILOT/Tender/SplashBidNoticeAbstractUI.aspx?menuIndex=3&amp;refID=7153213&amp;Result=3","7153213")</f>
        <v>0</v>
      </c>
      <c r="B13053" t="s">
        <v>2774</v>
      </c>
      <c r="C13053" t="s">
        <v>16015</v>
      </c>
      <c r="E13053" t="s">
        <v>28359</v>
      </c>
      <c r="F13053" t="s">
        <v>29372</v>
      </c>
      <c r="G13053" t="s">
        <v>29380</v>
      </c>
      <c r="H13053" t="s">
        <v>29389</v>
      </c>
      <c r="I13053" t="s">
        <v>10408</v>
      </c>
      <c r="J13053" t="s">
        <v>37774</v>
      </c>
      <c r="K13053" t="s">
        <v>38564</v>
      </c>
      <c r="M13053" t="s">
        <v>42520</v>
      </c>
      <c r="N13053" t="s">
        <v>42669</v>
      </c>
      <c r="O13053" t="s">
        <v>42670</v>
      </c>
      <c r="Q13053">
        <v>76</v>
      </c>
      <c r="R13053" t="s">
        <v>42691</v>
      </c>
      <c r="S13053" t="s">
        <v>43749</v>
      </c>
      <c r="T13053" t="s">
        <v>44432</v>
      </c>
      <c r="U13053" t="s">
        <v>45288</v>
      </c>
      <c r="V13053" t="s">
        <v>57860</v>
      </c>
      <c r="W13053" t="s">
        <v>42520</v>
      </c>
      <c r="X13053" t="s">
        <v>42692</v>
      </c>
    </row>
    <row r="13054" spans="1:24">
      <c r="A13054">
        <f>HYPERLINK("https://www.philgeps.gov.ph/GEPSNONPILOT/Tender/SplashBidNoticeAbstractUI.aspx?menuIndex=3&amp;refID=7153291&amp;Result=3","7153291")</f>
        <v>0</v>
      </c>
      <c r="B13054" t="s">
        <v>1404</v>
      </c>
      <c r="C13054" t="s">
        <v>16016</v>
      </c>
      <c r="D13054" t="s">
        <v>17189</v>
      </c>
      <c r="E13054" t="s">
        <v>17719</v>
      </c>
      <c r="F13054" t="s">
        <v>29372</v>
      </c>
      <c r="G13054" t="s">
        <v>29380</v>
      </c>
      <c r="H13054" t="s">
        <v>11048</v>
      </c>
      <c r="I13054" t="s">
        <v>4487</v>
      </c>
      <c r="J13054" t="s">
        <v>37775</v>
      </c>
      <c r="K13054" t="s">
        <v>38538</v>
      </c>
      <c r="M13054" t="s">
        <v>40243</v>
      </c>
      <c r="N13054" t="s">
        <v>42669</v>
      </c>
      <c r="O13054" t="s">
        <v>42670</v>
      </c>
      <c r="Q13054">
        <v>5</v>
      </c>
      <c r="R13054" t="s">
        <v>42691</v>
      </c>
      <c r="S13054" t="s">
        <v>43750</v>
      </c>
      <c r="T13054" t="s">
        <v>44481</v>
      </c>
      <c r="U13054" t="s">
        <v>55442</v>
      </c>
      <c r="W13054" t="s">
        <v>40243</v>
      </c>
      <c r="X13054" t="s">
        <v>42692</v>
      </c>
    </row>
    <row r="13055" spans="1:24">
      <c r="A13055">
        <f>HYPERLINK("https://www.philgeps.gov.ph/GEPSNONPILOT/Tender/SplashBidNoticeAbstractUI.aspx?menuIndex=3&amp;refID=7153533&amp;Result=3","7153533")</f>
        <v>0</v>
      </c>
      <c r="B13055" t="s">
        <v>669</v>
      </c>
      <c r="C13055" t="s">
        <v>16017</v>
      </c>
      <c r="D13055" t="s">
        <v>17147</v>
      </c>
      <c r="E13055" t="s">
        <v>28360</v>
      </c>
      <c r="F13055" t="s">
        <v>29372</v>
      </c>
      <c r="G13055" t="s">
        <v>29380</v>
      </c>
      <c r="H13055" t="s">
        <v>11048</v>
      </c>
      <c r="I13055" t="s">
        <v>29409</v>
      </c>
      <c r="J13055" t="s">
        <v>31232</v>
      </c>
      <c r="K13055" t="s">
        <v>38488</v>
      </c>
      <c r="M13055" t="s">
        <v>39445</v>
      </c>
      <c r="N13055" t="s">
        <v>42669</v>
      </c>
      <c r="O13055" t="s">
        <v>42670</v>
      </c>
      <c r="P13055">
        <v>0</v>
      </c>
      <c r="Q13055">
        <v>3</v>
      </c>
      <c r="R13055" t="s">
        <v>42691</v>
      </c>
      <c r="S13055" t="s">
        <v>43726</v>
      </c>
      <c r="T13055" t="s">
        <v>44580</v>
      </c>
      <c r="U13055" t="s">
        <v>55443</v>
      </c>
      <c r="V13055" t="s">
        <v>56460</v>
      </c>
      <c r="W13055" t="s">
        <v>39445</v>
      </c>
      <c r="X13055" t="s">
        <v>42692</v>
      </c>
    </row>
    <row r="13056" spans="1:24">
      <c r="A13056">
        <f>HYPERLINK("https://www.philgeps.gov.ph/GEPSNONPILOT/Tender/SplashBidNoticeAbstractUI.aspx?menuIndex=3&amp;refID=7153666&amp;Result=3","7153666")</f>
        <v>0</v>
      </c>
      <c r="B13056" t="s">
        <v>3425</v>
      </c>
      <c r="C13056" t="s">
        <v>16018</v>
      </c>
      <c r="D13056" t="s">
        <v>17185</v>
      </c>
      <c r="E13056" t="s">
        <v>16018</v>
      </c>
      <c r="F13056" t="s">
        <v>29372</v>
      </c>
      <c r="G13056" t="s">
        <v>29380</v>
      </c>
      <c r="H13056" t="s">
        <v>11048</v>
      </c>
      <c r="I13056" t="s">
        <v>29476</v>
      </c>
      <c r="J13056" t="s">
        <v>31893</v>
      </c>
      <c r="K13056" t="s">
        <v>38496</v>
      </c>
      <c r="M13056" t="s">
        <v>42528</v>
      </c>
      <c r="N13056" t="s">
        <v>42669</v>
      </c>
      <c r="O13056" t="s">
        <v>42670</v>
      </c>
      <c r="P13056">
        <v>0</v>
      </c>
      <c r="Q13056">
        <v>12</v>
      </c>
      <c r="R13056" t="s">
        <v>42691</v>
      </c>
      <c r="S13056" t="s">
        <v>43726</v>
      </c>
      <c r="T13056" t="s">
        <v>44432</v>
      </c>
      <c r="U13056" t="s">
        <v>55444</v>
      </c>
      <c r="W13056" t="s">
        <v>42528</v>
      </c>
      <c r="X13056" t="s">
        <v>42692</v>
      </c>
    </row>
    <row r="13057" spans="1:24">
      <c r="A13057">
        <f>HYPERLINK("https://www.philgeps.gov.ph/GEPSNONPILOT/Tender/SplashBidNoticeAbstractUI.aspx?menuIndex=3&amp;refID=7153621&amp;Result=3","7153621")</f>
        <v>0</v>
      </c>
      <c r="B13057" t="s">
        <v>669</v>
      </c>
      <c r="C13057" t="s">
        <v>16019</v>
      </c>
      <c r="D13057" t="s">
        <v>17147</v>
      </c>
      <c r="E13057" t="s">
        <v>28361</v>
      </c>
      <c r="F13057" t="s">
        <v>29372</v>
      </c>
      <c r="G13057" t="s">
        <v>29380</v>
      </c>
      <c r="H13057" t="s">
        <v>11048</v>
      </c>
      <c r="I13057" t="s">
        <v>29414</v>
      </c>
      <c r="J13057" t="s">
        <v>32405</v>
      </c>
      <c r="K13057" t="s">
        <v>38496</v>
      </c>
      <c r="M13057" t="s">
        <v>42069</v>
      </c>
      <c r="N13057" t="s">
        <v>42669</v>
      </c>
      <c r="O13057" t="s">
        <v>42670</v>
      </c>
      <c r="P13057">
        <v>0</v>
      </c>
      <c r="Q13057">
        <v>9</v>
      </c>
      <c r="R13057" t="s">
        <v>42691</v>
      </c>
      <c r="S13057" t="s">
        <v>43726</v>
      </c>
      <c r="T13057" t="s">
        <v>44580</v>
      </c>
      <c r="U13057" t="s">
        <v>55445</v>
      </c>
      <c r="V13057" t="s">
        <v>56460</v>
      </c>
      <c r="W13057" t="s">
        <v>42069</v>
      </c>
      <c r="X13057" t="s">
        <v>42692</v>
      </c>
    </row>
    <row r="13058" spans="1:24">
      <c r="A13058">
        <f>HYPERLINK("https://www.philgeps.gov.ph/GEPSNONPILOT/Tender/SplashBidNoticeAbstractUI.aspx?menuIndex=3&amp;refID=7153644&amp;Result=3","7153644")</f>
        <v>0</v>
      </c>
      <c r="B13058" t="s">
        <v>2126</v>
      </c>
      <c r="C13058" t="s">
        <v>16020</v>
      </c>
      <c r="D13058" t="s">
        <v>17150</v>
      </c>
      <c r="E13058" t="s">
        <v>28362</v>
      </c>
      <c r="F13058" t="s">
        <v>29372</v>
      </c>
      <c r="G13058" t="s">
        <v>29380</v>
      </c>
      <c r="H13058" t="s">
        <v>29389</v>
      </c>
      <c r="I13058" t="s">
        <v>10408</v>
      </c>
      <c r="J13058" t="s">
        <v>37776</v>
      </c>
      <c r="K13058" t="s">
        <v>38496</v>
      </c>
      <c r="M13058" t="s">
        <v>41031</v>
      </c>
      <c r="N13058" t="s">
        <v>42669</v>
      </c>
      <c r="O13058" t="s">
        <v>42670</v>
      </c>
      <c r="P13058">
        <v>0</v>
      </c>
      <c r="Q13058">
        <v>3</v>
      </c>
      <c r="R13058" t="s">
        <v>42691</v>
      </c>
      <c r="S13058" t="s">
        <v>43726</v>
      </c>
      <c r="T13058" t="s">
        <v>44488</v>
      </c>
      <c r="U13058" t="s">
        <v>55446</v>
      </c>
      <c r="W13058" t="s">
        <v>41031</v>
      </c>
      <c r="X13058" t="s">
        <v>42692</v>
      </c>
    </row>
    <row r="13059" spans="1:24">
      <c r="A13059">
        <f>HYPERLINK("https://www.philgeps.gov.ph/GEPSNONPILOT/Tender/SplashBidNoticeAbstractUI.aspx?menuIndex=3&amp;refID=7153599&amp;Result=3","7153599")</f>
        <v>0</v>
      </c>
      <c r="B13059" t="s">
        <v>2126</v>
      </c>
      <c r="C13059" t="s">
        <v>16021</v>
      </c>
      <c r="D13059" t="s">
        <v>17150</v>
      </c>
      <c r="E13059" t="s">
        <v>28363</v>
      </c>
      <c r="F13059" t="s">
        <v>29372</v>
      </c>
      <c r="G13059" t="s">
        <v>29380</v>
      </c>
      <c r="H13059" t="s">
        <v>29389</v>
      </c>
      <c r="I13059" t="s">
        <v>10408</v>
      </c>
      <c r="J13059" t="s">
        <v>37777</v>
      </c>
      <c r="K13059" t="s">
        <v>38754</v>
      </c>
      <c r="M13059" t="s">
        <v>41031</v>
      </c>
      <c r="N13059" t="s">
        <v>42669</v>
      </c>
      <c r="O13059" t="s">
        <v>42670</v>
      </c>
      <c r="P13059">
        <v>0</v>
      </c>
      <c r="Q13059">
        <v>10</v>
      </c>
      <c r="R13059" t="s">
        <v>42691</v>
      </c>
      <c r="S13059" t="s">
        <v>43726</v>
      </c>
      <c r="T13059" t="s">
        <v>44488</v>
      </c>
      <c r="U13059" t="s">
        <v>55447</v>
      </c>
      <c r="W13059" t="s">
        <v>41031</v>
      </c>
      <c r="X13059" t="s">
        <v>42692</v>
      </c>
    </row>
    <row r="13060" spans="1:24">
      <c r="A13060">
        <f>HYPERLINK("https://www.philgeps.gov.ph/GEPSNONPILOT/Tender/SplashBidNoticeAbstractUI.aspx?menuIndex=3&amp;refID=7153577&amp;Result=3","7153577")</f>
        <v>0</v>
      </c>
      <c r="B13060" t="s">
        <v>669</v>
      </c>
      <c r="C13060" t="s">
        <v>16022</v>
      </c>
      <c r="D13060" t="s">
        <v>17147</v>
      </c>
      <c r="E13060" t="s">
        <v>28364</v>
      </c>
      <c r="F13060" t="s">
        <v>29372</v>
      </c>
      <c r="G13060" t="s">
        <v>29380</v>
      </c>
      <c r="H13060" t="s">
        <v>11048</v>
      </c>
      <c r="I13060" t="s">
        <v>8614</v>
      </c>
      <c r="J13060" t="s">
        <v>30010</v>
      </c>
      <c r="K13060" t="s">
        <v>38488</v>
      </c>
      <c r="M13060" t="s">
        <v>39445</v>
      </c>
      <c r="N13060" t="s">
        <v>42669</v>
      </c>
      <c r="O13060" t="s">
        <v>42670</v>
      </c>
      <c r="P13060">
        <v>0</v>
      </c>
      <c r="Q13060">
        <v>0</v>
      </c>
      <c r="R13060" t="s">
        <v>42691</v>
      </c>
      <c r="S13060" t="s">
        <v>43726</v>
      </c>
      <c r="T13060" t="s">
        <v>44580</v>
      </c>
      <c r="U13060" t="s">
        <v>55448</v>
      </c>
      <c r="V13060" t="s">
        <v>56460</v>
      </c>
      <c r="W13060" t="s">
        <v>39445</v>
      </c>
      <c r="X13060" t="s">
        <v>42692</v>
      </c>
    </row>
    <row r="13061" spans="1:24">
      <c r="A13061">
        <f>HYPERLINK("https://www.philgeps.gov.ph/GEPSNONPILOT/Tender/SplashBidNoticeAbstractUI.aspx?menuIndex=3&amp;refID=7153601&amp;Result=3","7153601")</f>
        <v>0</v>
      </c>
      <c r="B13061" t="s">
        <v>221</v>
      </c>
      <c r="C13061" t="s">
        <v>16023</v>
      </c>
      <c r="D13061" t="s">
        <v>17202</v>
      </c>
      <c r="E13061" t="s">
        <v>28365</v>
      </c>
      <c r="F13061" t="s">
        <v>29372</v>
      </c>
      <c r="G13061" t="s">
        <v>29380</v>
      </c>
      <c r="H13061" t="s">
        <v>11048</v>
      </c>
      <c r="I13061" t="s">
        <v>4709</v>
      </c>
      <c r="J13061" t="s">
        <v>37778</v>
      </c>
      <c r="K13061" t="s">
        <v>38488</v>
      </c>
      <c r="M13061" t="s">
        <v>38980</v>
      </c>
      <c r="N13061" t="s">
        <v>42669</v>
      </c>
      <c r="O13061" t="s">
        <v>42670</v>
      </c>
      <c r="Q13061">
        <v>9</v>
      </c>
      <c r="R13061" t="s">
        <v>42691</v>
      </c>
      <c r="S13061" t="s">
        <v>43751</v>
      </c>
      <c r="T13061" t="s">
        <v>44488</v>
      </c>
      <c r="U13061" t="s">
        <v>55449</v>
      </c>
      <c r="W13061" t="s">
        <v>38980</v>
      </c>
      <c r="X13061" t="s">
        <v>42692</v>
      </c>
    </row>
    <row r="13062" spans="1:24">
      <c r="A13062">
        <f>HYPERLINK("https://www.philgeps.gov.ph/GEPSNONPILOT/Tender/SplashBidNoticeAbstractUI.aspx?menuIndex=3&amp;refID=7153625&amp;Result=3","7153625")</f>
        <v>0</v>
      </c>
      <c r="B13062" t="s">
        <v>3426</v>
      </c>
      <c r="C13062" t="s">
        <v>16024</v>
      </c>
      <c r="D13062" t="s">
        <v>17171</v>
      </c>
      <c r="E13062" t="s">
        <v>27007</v>
      </c>
      <c r="F13062" t="s">
        <v>29372</v>
      </c>
      <c r="G13062" t="s">
        <v>29380</v>
      </c>
      <c r="H13062" t="s">
        <v>11048</v>
      </c>
      <c r="I13062" t="s">
        <v>9469</v>
      </c>
      <c r="J13062" t="s">
        <v>29609</v>
      </c>
      <c r="K13062" t="s">
        <v>38485</v>
      </c>
      <c r="M13062" t="s">
        <v>42529</v>
      </c>
      <c r="N13062" t="s">
        <v>42669</v>
      </c>
      <c r="O13062" t="s">
        <v>42670</v>
      </c>
      <c r="P13062">
        <v>0</v>
      </c>
      <c r="Q13062">
        <v>2</v>
      </c>
      <c r="R13062" t="s">
        <v>42691</v>
      </c>
      <c r="S13062" t="s">
        <v>43726</v>
      </c>
      <c r="T13062" t="s">
        <v>44525</v>
      </c>
      <c r="U13062" t="s">
        <v>55450</v>
      </c>
      <c r="W13062" t="s">
        <v>42529</v>
      </c>
      <c r="X13062" t="s">
        <v>42692</v>
      </c>
    </row>
    <row r="13063" spans="1:24">
      <c r="A13063">
        <f>HYPERLINK("https://www.philgeps.gov.ph/GEPSNONPILOT/Tender/SplashBidNoticeAbstractUI.aspx?menuIndex=3&amp;refID=7153775&amp;Result=3","7153775")</f>
        <v>0</v>
      </c>
      <c r="B13063" t="s">
        <v>3427</v>
      </c>
      <c r="C13063" t="s">
        <v>16025</v>
      </c>
      <c r="D13063" t="s">
        <v>17177</v>
      </c>
      <c r="E13063" t="s">
        <v>28366</v>
      </c>
      <c r="F13063" t="s">
        <v>29372</v>
      </c>
      <c r="G13063" t="s">
        <v>29380</v>
      </c>
      <c r="H13063" t="s">
        <v>11048</v>
      </c>
      <c r="I13063" t="s">
        <v>29395</v>
      </c>
      <c r="J13063" t="s">
        <v>29571</v>
      </c>
      <c r="K13063" t="s">
        <v>38488</v>
      </c>
      <c r="M13063" t="s">
        <v>42530</v>
      </c>
      <c r="N13063" t="s">
        <v>42669</v>
      </c>
      <c r="O13063" t="s">
        <v>42670</v>
      </c>
      <c r="P13063">
        <v>0</v>
      </c>
      <c r="Q13063">
        <v>1</v>
      </c>
      <c r="R13063" t="s">
        <v>42691</v>
      </c>
      <c r="S13063" t="s">
        <v>43726</v>
      </c>
      <c r="T13063" t="s">
        <v>44512</v>
      </c>
      <c r="U13063" t="s">
        <v>55451</v>
      </c>
      <c r="V13063" t="s">
        <v>56803</v>
      </c>
      <c r="W13063" t="s">
        <v>42530</v>
      </c>
      <c r="X13063" t="s">
        <v>42692</v>
      </c>
    </row>
    <row r="13064" spans="1:24">
      <c r="A13064">
        <f>HYPERLINK("https://www.philgeps.gov.ph/GEPSNONPILOT/Tender/SplashBidNoticeAbstractUI.aspx?menuIndex=3&amp;refID=7153769&amp;Result=3","7153769")</f>
        <v>0</v>
      </c>
      <c r="B13064" t="s">
        <v>2117</v>
      </c>
      <c r="C13064" t="s">
        <v>16026</v>
      </c>
      <c r="D13064" t="s">
        <v>17202</v>
      </c>
      <c r="E13064" t="s">
        <v>28367</v>
      </c>
      <c r="F13064" t="s">
        <v>29372</v>
      </c>
      <c r="G13064" t="s">
        <v>29380</v>
      </c>
      <c r="H13064" t="s">
        <v>11048</v>
      </c>
      <c r="I13064" t="s">
        <v>9469</v>
      </c>
      <c r="J13064" t="s">
        <v>37779</v>
      </c>
      <c r="K13064" t="s">
        <v>38491</v>
      </c>
      <c r="M13064" t="s">
        <v>41021</v>
      </c>
      <c r="N13064" t="s">
        <v>42669</v>
      </c>
      <c r="O13064" t="s">
        <v>42670</v>
      </c>
      <c r="P13064">
        <v>0</v>
      </c>
      <c r="Q13064">
        <v>1</v>
      </c>
      <c r="R13064" t="s">
        <v>42691</v>
      </c>
      <c r="S13064" t="s">
        <v>43726</v>
      </c>
      <c r="T13064" t="s">
        <v>44448</v>
      </c>
      <c r="U13064" t="s">
        <v>55452</v>
      </c>
      <c r="V13064" t="s">
        <v>57042</v>
      </c>
      <c r="W13064" t="s">
        <v>41021</v>
      </c>
      <c r="X13064" t="s">
        <v>42692</v>
      </c>
    </row>
    <row r="13065" spans="1:24">
      <c r="A13065">
        <f>HYPERLINK("https://www.philgeps.gov.ph/GEPSNONPILOT/Tender/SplashBidNoticeAbstractUI.aspx?menuIndex=3&amp;refID=7153761&amp;Result=3","7153761")</f>
        <v>0</v>
      </c>
      <c r="B13065" t="s">
        <v>583</v>
      </c>
      <c r="C13065" t="s">
        <v>16027</v>
      </c>
      <c r="D13065" t="s">
        <v>17205</v>
      </c>
      <c r="E13065" t="s">
        <v>28368</v>
      </c>
      <c r="F13065" t="s">
        <v>29372</v>
      </c>
      <c r="G13065" t="s">
        <v>29380</v>
      </c>
      <c r="H13065" t="s">
        <v>11048</v>
      </c>
      <c r="I13065" t="s">
        <v>29394</v>
      </c>
      <c r="J13065" t="s">
        <v>37780</v>
      </c>
      <c r="K13065" t="s">
        <v>38485</v>
      </c>
      <c r="M13065" t="s">
        <v>42531</v>
      </c>
      <c r="N13065" t="s">
        <v>42669</v>
      </c>
      <c r="O13065" t="s">
        <v>42670</v>
      </c>
      <c r="Q13065">
        <v>3</v>
      </c>
      <c r="R13065" t="s">
        <v>42691</v>
      </c>
      <c r="S13065" t="s">
        <v>43752</v>
      </c>
      <c r="T13065" t="s">
        <v>44427</v>
      </c>
      <c r="U13065" t="s">
        <v>55453</v>
      </c>
      <c r="W13065" t="s">
        <v>42531</v>
      </c>
      <c r="X13065" t="s">
        <v>42692</v>
      </c>
    </row>
    <row r="13066" spans="1:24">
      <c r="A13066">
        <f>HYPERLINK("https://www.philgeps.gov.ph/GEPSNONPILOT/Tender/SplashBidNoticeAbstractUI.aspx?menuIndex=3&amp;refID=7153725&amp;Result=3","7153725")</f>
        <v>0</v>
      </c>
      <c r="B13066" t="s">
        <v>1638</v>
      </c>
      <c r="C13066" t="s">
        <v>16028</v>
      </c>
      <c r="D13066" t="s">
        <v>17213</v>
      </c>
      <c r="E13066" t="s">
        <v>28369</v>
      </c>
      <c r="F13066" t="s">
        <v>29372</v>
      </c>
      <c r="G13066" t="s">
        <v>29380</v>
      </c>
      <c r="H13066" t="s">
        <v>11048</v>
      </c>
      <c r="I13066" t="s">
        <v>8614</v>
      </c>
      <c r="J13066" t="s">
        <v>29924</v>
      </c>
      <c r="K13066" t="s">
        <v>38490</v>
      </c>
      <c r="M13066" t="s">
        <v>40494</v>
      </c>
      <c r="N13066" t="s">
        <v>42669</v>
      </c>
      <c r="O13066" t="s">
        <v>42670</v>
      </c>
      <c r="P13066">
        <v>0</v>
      </c>
      <c r="Q13066">
        <v>7</v>
      </c>
      <c r="R13066" t="s">
        <v>42691</v>
      </c>
      <c r="S13066" t="s">
        <v>43726</v>
      </c>
      <c r="T13066" t="s">
        <v>44401</v>
      </c>
      <c r="U13066" t="s">
        <v>55454</v>
      </c>
      <c r="W13066" t="s">
        <v>58050</v>
      </c>
      <c r="X13066" t="s">
        <v>42692</v>
      </c>
    </row>
    <row r="13067" spans="1:24">
      <c r="A13067">
        <f>HYPERLINK("https://www.philgeps.gov.ph/GEPSNONPILOT/Tender/SplashBidNoticeAbstractUI.aspx?menuIndex=3&amp;refID=7153539&amp;Result=3","7153539")</f>
        <v>0</v>
      </c>
      <c r="B13067" t="s">
        <v>3428</v>
      </c>
      <c r="C13067" t="s">
        <v>16029</v>
      </c>
      <c r="D13067" t="s">
        <v>17202</v>
      </c>
      <c r="E13067" t="s">
        <v>28370</v>
      </c>
      <c r="F13067" t="s">
        <v>29372</v>
      </c>
      <c r="G13067" t="s">
        <v>29380</v>
      </c>
      <c r="H13067" t="s">
        <v>29389</v>
      </c>
      <c r="I13067" t="s">
        <v>29453</v>
      </c>
      <c r="J13067" t="s">
        <v>37781</v>
      </c>
      <c r="K13067" t="s">
        <v>38564</v>
      </c>
      <c r="M13067" t="s">
        <v>42532</v>
      </c>
      <c r="N13067" t="s">
        <v>42669</v>
      </c>
      <c r="O13067" t="s">
        <v>42670</v>
      </c>
      <c r="P13067">
        <v>0</v>
      </c>
      <c r="Q13067">
        <v>0</v>
      </c>
      <c r="R13067" t="s">
        <v>42691</v>
      </c>
      <c r="S13067" t="s">
        <v>43726</v>
      </c>
      <c r="T13067" t="s">
        <v>44481</v>
      </c>
      <c r="U13067" t="s">
        <v>55455</v>
      </c>
      <c r="W13067" t="s">
        <v>42532</v>
      </c>
      <c r="X13067" t="s">
        <v>42692</v>
      </c>
    </row>
    <row r="13068" spans="1:24">
      <c r="A13068">
        <f>HYPERLINK("https://www.philgeps.gov.ph/GEPSNONPILOT/Tender/SplashBidNoticeAbstractUI.aspx?menuIndex=3&amp;refID=7153707&amp;Result=3","7153707")</f>
        <v>0</v>
      </c>
      <c r="B13068" t="s">
        <v>669</v>
      </c>
      <c r="C13068" t="s">
        <v>16030</v>
      </c>
      <c r="D13068" t="s">
        <v>17147</v>
      </c>
      <c r="E13068" t="s">
        <v>28371</v>
      </c>
      <c r="F13068" t="s">
        <v>29372</v>
      </c>
      <c r="G13068" t="s">
        <v>29380</v>
      </c>
      <c r="H13068" t="s">
        <v>11048</v>
      </c>
      <c r="I13068" t="s">
        <v>29414</v>
      </c>
      <c r="J13068" t="s">
        <v>29573</v>
      </c>
      <c r="K13068" t="s">
        <v>38496</v>
      </c>
      <c r="M13068" t="s">
        <v>42069</v>
      </c>
      <c r="N13068" t="s">
        <v>42669</v>
      </c>
      <c r="O13068" t="s">
        <v>42670</v>
      </c>
      <c r="Q13068">
        <v>25</v>
      </c>
      <c r="R13068" t="s">
        <v>42691</v>
      </c>
      <c r="S13068" t="s">
        <v>43753</v>
      </c>
      <c r="T13068" t="s">
        <v>44580</v>
      </c>
      <c r="U13068" t="s">
        <v>55456</v>
      </c>
      <c r="V13068" t="s">
        <v>56460</v>
      </c>
      <c r="W13068" t="s">
        <v>42069</v>
      </c>
      <c r="X13068" t="s">
        <v>42692</v>
      </c>
    </row>
    <row r="13069" spans="1:24">
      <c r="A13069">
        <f>HYPERLINK("https://www.philgeps.gov.ph/GEPSNONPILOT/Tender/SplashBidNoticeAbstractUI.aspx?menuIndex=3&amp;refID=7153661&amp;Result=3","7153661")</f>
        <v>0</v>
      </c>
      <c r="B13069" t="s">
        <v>2712</v>
      </c>
      <c r="C13069" t="s">
        <v>16031</v>
      </c>
      <c r="D13069" t="s">
        <v>17141</v>
      </c>
      <c r="E13069" t="s">
        <v>18254</v>
      </c>
      <c r="F13069" t="s">
        <v>29373</v>
      </c>
      <c r="G13069" t="s">
        <v>29380</v>
      </c>
      <c r="H13069" t="s">
        <v>29389</v>
      </c>
      <c r="I13069" t="s">
        <v>4709</v>
      </c>
      <c r="J13069" t="s">
        <v>31013</v>
      </c>
      <c r="K13069" t="s">
        <v>38490</v>
      </c>
      <c r="M13069" t="s">
        <v>41692</v>
      </c>
      <c r="N13069" t="s">
        <v>42669</v>
      </c>
      <c r="O13069" t="s">
        <v>42670</v>
      </c>
      <c r="P13069">
        <v>0</v>
      </c>
      <c r="Q13069">
        <v>2</v>
      </c>
      <c r="R13069" t="s">
        <v>42691</v>
      </c>
      <c r="S13069" t="s">
        <v>43726</v>
      </c>
      <c r="T13069" t="s">
        <v>44593</v>
      </c>
      <c r="U13069" t="s">
        <v>52104</v>
      </c>
      <c r="W13069" t="s">
        <v>41692</v>
      </c>
      <c r="X13069" t="s">
        <v>42692</v>
      </c>
    </row>
    <row r="13070" spans="1:24">
      <c r="A13070">
        <f>HYPERLINK("https://www.philgeps.gov.ph/GEPSNONPILOT/Tender/SplashBidNoticeAbstractUI.aspx?menuIndex=3&amp;refID=7153897&amp;Result=3","7153897")</f>
        <v>0</v>
      </c>
      <c r="B13070" t="s">
        <v>3256</v>
      </c>
      <c r="C13070" t="s">
        <v>16032</v>
      </c>
      <c r="D13070" t="s">
        <v>17204</v>
      </c>
      <c r="E13070" t="s">
        <v>28372</v>
      </c>
      <c r="F13070" t="s">
        <v>29372</v>
      </c>
      <c r="G13070" t="s">
        <v>29380</v>
      </c>
      <c r="H13070" t="s">
        <v>11048</v>
      </c>
      <c r="I13070" t="s">
        <v>29407</v>
      </c>
      <c r="J13070" t="s">
        <v>37782</v>
      </c>
      <c r="K13070" t="s">
        <v>38586</v>
      </c>
      <c r="M13070" t="s">
        <v>42533</v>
      </c>
      <c r="N13070" t="s">
        <v>42669</v>
      </c>
      <c r="O13070" t="s">
        <v>42670</v>
      </c>
      <c r="Q13070">
        <v>44</v>
      </c>
      <c r="R13070" t="s">
        <v>42691</v>
      </c>
      <c r="S13070" t="s">
        <v>43754</v>
      </c>
      <c r="T13070" t="s">
        <v>44432</v>
      </c>
      <c r="U13070" t="s">
        <v>55457</v>
      </c>
      <c r="W13070" t="s">
        <v>58117</v>
      </c>
      <c r="X13070" t="s">
        <v>42692</v>
      </c>
    </row>
    <row r="13071" spans="1:24">
      <c r="A13071">
        <f>HYPERLINK("https://www.philgeps.gov.ph/GEPSNONPILOT/Tender/SplashBidNoticeAbstractUI.aspx?menuIndex=3&amp;refID=7153781&amp;Result=3","7153781")</f>
        <v>0</v>
      </c>
      <c r="B13071" t="s">
        <v>3256</v>
      </c>
      <c r="C13071" t="s">
        <v>16033</v>
      </c>
      <c r="D13071" t="s">
        <v>17204</v>
      </c>
      <c r="E13071" t="s">
        <v>28373</v>
      </c>
      <c r="F13071" t="s">
        <v>29372</v>
      </c>
      <c r="G13071" t="s">
        <v>29380</v>
      </c>
      <c r="H13071" t="s">
        <v>11048</v>
      </c>
      <c r="I13071" t="s">
        <v>29407</v>
      </c>
      <c r="J13071" t="s">
        <v>37783</v>
      </c>
      <c r="K13071" t="s">
        <v>38586</v>
      </c>
      <c r="M13071" t="s">
        <v>42533</v>
      </c>
      <c r="N13071" t="s">
        <v>42669</v>
      </c>
      <c r="O13071" t="s">
        <v>42670</v>
      </c>
      <c r="Q13071">
        <v>50</v>
      </c>
      <c r="R13071" t="s">
        <v>42691</v>
      </c>
      <c r="S13071" t="s">
        <v>43755</v>
      </c>
      <c r="T13071" t="s">
        <v>44432</v>
      </c>
      <c r="U13071" t="s">
        <v>55457</v>
      </c>
      <c r="W13071" t="s">
        <v>58117</v>
      </c>
      <c r="X13071" t="s">
        <v>42692</v>
      </c>
    </row>
    <row r="13072" spans="1:24">
      <c r="A13072">
        <f>HYPERLINK("https://www.philgeps.gov.ph/GEPSNONPILOT/Tender/SplashBidNoticeAbstractUI.aspx?menuIndex=3&amp;refID=7153909&amp;Result=3","7153909")</f>
        <v>0</v>
      </c>
      <c r="B13072" t="s">
        <v>2356</v>
      </c>
      <c r="C13072" t="s">
        <v>16034</v>
      </c>
      <c r="D13072" t="s">
        <v>17191</v>
      </c>
      <c r="E13072" t="s">
        <v>28374</v>
      </c>
      <c r="F13072" t="s">
        <v>29372</v>
      </c>
      <c r="G13072" t="s">
        <v>29380</v>
      </c>
      <c r="H13072" t="s">
        <v>29389</v>
      </c>
      <c r="I13072" t="s">
        <v>29417</v>
      </c>
      <c r="J13072" t="s">
        <v>32431</v>
      </c>
      <c r="K13072" t="s">
        <v>38515</v>
      </c>
      <c r="M13072" t="s">
        <v>41291</v>
      </c>
      <c r="N13072" t="s">
        <v>42669</v>
      </c>
      <c r="O13072" t="s">
        <v>42670</v>
      </c>
      <c r="Q13072">
        <v>14</v>
      </c>
      <c r="R13072" t="s">
        <v>42691</v>
      </c>
      <c r="S13072" t="s">
        <v>43756</v>
      </c>
      <c r="T13072" t="s">
        <v>44488</v>
      </c>
      <c r="U13072" t="s">
        <v>55458</v>
      </c>
      <c r="V13072" t="s">
        <v>57874</v>
      </c>
      <c r="W13072" t="s">
        <v>41291</v>
      </c>
      <c r="X13072" t="s">
        <v>42692</v>
      </c>
    </row>
    <row r="13073" spans="1:24">
      <c r="A13073">
        <f>HYPERLINK("https://www.philgeps.gov.ph/GEPSNONPILOT/Tender/SplashBidNoticeAbstractUI.aspx?menuIndex=3&amp;refID=7153698&amp;Result=3","7153698")</f>
        <v>0</v>
      </c>
      <c r="B13073" t="s">
        <v>703</v>
      </c>
      <c r="C13073" t="s">
        <v>16035</v>
      </c>
      <c r="D13073" t="s">
        <v>17161</v>
      </c>
      <c r="E13073" t="s">
        <v>28375</v>
      </c>
      <c r="F13073" t="s">
        <v>29372</v>
      </c>
      <c r="G13073" t="s">
        <v>29380</v>
      </c>
      <c r="H13073" t="s">
        <v>29389</v>
      </c>
      <c r="I13073" t="s">
        <v>10408</v>
      </c>
      <c r="J13073" t="s">
        <v>37784</v>
      </c>
      <c r="K13073" t="s">
        <v>38564</v>
      </c>
      <c r="M13073" t="s">
        <v>39481</v>
      </c>
      <c r="N13073" t="s">
        <v>42669</v>
      </c>
      <c r="O13073" t="s">
        <v>42670</v>
      </c>
      <c r="P13073">
        <v>0</v>
      </c>
      <c r="Q13073">
        <v>1</v>
      </c>
      <c r="R13073" t="s">
        <v>42691</v>
      </c>
      <c r="S13073" t="s">
        <v>43726</v>
      </c>
      <c r="T13073" t="s">
        <v>44570</v>
      </c>
      <c r="U13073" t="s">
        <v>55459</v>
      </c>
      <c r="W13073" t="s">
        <v>39481</v>
      </c>
      <c r="X13073" t="s">
        <v>42692</v>
      </c>
    </row>
    <row r="13074" spans="1:24">
      <c r="A13074">
        <f>HYPERLINK("https://www.philgeps.gov.ph/GEPSNONPILOT/Tender/SplashBidNoticeAbstractUI.aspx?menuIndex=3&amp;refID=7153863&amp;Result=3","7153863")</f>
        <v>0</v>
      </c>
      <c r="B13074" t="s">
        <v>2020</v>
      </c>
      <c r="C13074" t="s">
        <v>16036</v>
      </c>
      <c r="D13074" t="s">
        <v>17177</v>
      </c>
      <c r="E13074" t="s">
        <v>28376</v>
      </c>
      <c r="F13074" t="s">
        <v>29372</v>
      </c>
      <c r="G13074" t="s">
        <v>29380</v>
      </c>
      <c r="H13074" t="s">
        <v>29389</v>
      </c>
      <c r="I13074" t="s">
        <v>10408</v>
      </c>
      <c r="J13074" t="s">
        <v>37785</v>
      </c>
      <c r="K13074" t="s">
        <v>38496</v>
      </c>
      <c r="M13074" t="s">
        <v>41241</v>
      </c>
      <c r="N13074" t="s">
        <v>42669</v>
      </c>
      <c r="O13074" t="s">
        <v>42670</v>
      </c>
      <c r="P13074">
        <v>0</v>
      </c>
      <c r="Q13074">
        <v>0</v>
      </c>
      <c r="R13074" t="s">
        <v>42691</v>
      </c>
      <c r="S13074" t="s">
        <v>43726</v>
      </c>
      <c r="T13074" t="s">
        <v>44401</v>
      </c>
      <c r="U13074" t="s">
        <v>55427</v>
      </c>
      <c r="V13074" t="s">
        <v>57146</v>
      </c>
      <c r="W13074" t="s">
        <v>41241</v>
      </c>
      <c r="X13074" t="s">
        <v>42692</v>
      </c>
    </row>
    <row r="13075" spans="1:24">
      <c r="A13075">
        <f>HYPERLINK("https://www.philgeps.gov.ph/GEPSNONPILOT/Tender/SplashBidNoticeAbstractUI.aspx?menuIndex=3&amp;refID=7153689&amp;Result=3","7153689")</f>
        <v>0</v>
      </c>
      <c r="B13075" t="s">
        <v>2924</v>
      </c>
      <c r="C13075" t="s">
        <v>16037</v>
      </c>
      <c r="E13075" t="s">
        <v>18589</v>
      </c>
      <c r="F13075" t="s">
        <v>29372</v>
      </c>
      <c r="G13075" t="s">
        <v>29380</v>
      </c>
      <c r="H13075" t="s">
        <v>29389</v>
      </c>
      <c r="I13075" t="s">
        <v>29466</v>
      </c>
      <c r="J13075" t="s">
        <v>37786</v>
      </c>
      <c r="K13075" t="s">
        <v>38490</v>
      </c>
      <c r="M13075" t="s">
        <v>41925</v>
      </c>
      <c r="N13075" t="s">
        <v>42669</v>
      </c>
      <c r="O13075" t="s">
        <v>42670</v>
      </c>
      <c r="P13075">
        <v>0</v>
      </c>
      <c r="Q13075">
        <v>5</v>
      </c>
      <c r="R13075" t="s">
        <v>42691</v>
      </c>
      <c r="S13075" t="s">
        <v>43726</v>
      </c>
      <c r="T13075" t="s">
        <v>44491</v>
      </c>
      <c r="U13075" t="s">
        <v>55460</v>
      </c>
      <c r="W13075" t="s">
        <v>41925</v>
      </c>
      <c r="X13075" t="s">
        <v>42692</v>
      </c>
    </row>
    <row r="13076" spans="1:24">
      <c r="A13076">
        <f>HYPERLINK("https://www.philgeps.gov.ph/GEPSNONPILOT/Tender/SplashBidNoticeAbstractUI.aspx?menuIndex=3&amp;refID=7153860&amp;Result=3","7153860")</f>
        <v>0</v>
      </c>
      <c r="B13076" t="s">
        <v>1919</v>
      </c>
      <c r="C13076" t="s">
        <v>16038</v>
      </c>
      <c r="D13076" t="s">
        <v>17194</v>
      </c>
      <c r="E13076" t="s">
        <v>28377</v>
      </c>
      <c r="F13076" t="s">
        <v>29372</v>
      </c>
      <c r="G13076" t="s">
        <v>29380</v>
      </c>
      <c r="H13076" t="s">
        <v>11048</v>
      </c>
      <c r="I13076" t="s">
        <v>4709</v>
      </c>
      <c r="J13076" t="s">
        <v>37787</v>
      </c>
      <c r="K13076" t="s">
        <v>38485</v>
      </c>
      <c r="M13076" t="s">
        <v>40820</v>
      </c>
      <c r="N13076" t="s">
        <v>42669</v>
      </c>
      <c r="O13076" t="s">
        <v>42670</v>
      </c>
      <c r="Q13076">
        <v>1</v>
      </c>
      <c r="R13076" t="s">
        <v>42691</v>
      </c>
      <c r="S13076" t="s">
        <v>43757</v>
      </c>
      <c r="T13076" t="s">
        <v>44432</v>
      </c>
      <c r="U13076" t="s">
        <v>49323</v>
      </c>
      <c r="V13076" t="s">
        <v>56972</v>
      </c>
      <c r="W13076" t="s">
        <v>40820</v>
      </c>
      <c r="X13076" t="s">
        <v>42692</v>
      </c>
    </row>
    <row r="13077" spans="1:24">
      <c r="A13077">
        <f>HYPERLINK("https://www.philgeps.gov.ph/GEPSNONPILOT/Tender/SplashBidNoticeAbstractUI.aspx?menuIndex=3&amp;refID=7153837&amp;Result=3","7153837")</f>
        <v>0</v>
      </c>
      <c r="B13077" t="s">
        <v>2452</v>
      </c>
      <c r="C13077" t="s">
        <v>16039</v>
      </c>
      <c r="D13077" t="s">
        <v>17168</v>
      </c>
      <c r="E13077" t="s">
        <v>28378</v>
      </c>
      <c r="F13077" t="s">
        <v>29372</v>
      </c>
      <c r="G13077" t="s">
        <v>29380</v>
      </c>
      <c r="H13077" t="s">
        <v>11048</v>
      </c>
      <c r="I13077" t="s">
        <v>5383</v>
      </c>
      <c r="J13077" t="s">
        <v>29562</v>
      </c>
      <c r="K13077" t="s">
        <v>38485</v>
      </c>
      <c r="M13077" t="s">
        <v>41400</v>
      </c>
      <c r="N13077" t="s">
        <v>42669</v>
      </c>
      <c r="O13077" t="s">
        <v>42670</v>
      </c>
      <c r="P13077">
        <v>0</v>
      </c>
      <c r="Q13077">
        <v>4</v>
      </c>
      <c r="R13077" t="s">
        <v>42691</v>
      </c>
      <c r="S13077" t="s">
        <v>43726</v>
      </c>
      <c r="T13077" t="s">
        <v>44401</v>
      </c>
      <c r="U13077" t="s">
        <v>55461</v>
      </c>
      <c r="W13077" t="s">
        <v>41400</v>
      </c>
      <c r="X13077" t="s">
        <v>42692</v>
      </c>
    </row>
    <row r="13078" spans="1:24">
      <c r="A13078">
        <f>HYPERLINK("https://www.philgeps.gov.ph/GEPSNONPILOT/Tender/SplashBidNoticeAbstractUI.aspx?menuIndex=3&amp;refID=7153594&amp;Result=3","7153594")</f>
        <v>0</v>
      </c>
      <c r="B13078" t="s">
        <v>3429</v>
      </c>
      <c r="C13078" t="s">
        <v>16040</v>
      </c>
      <c r="D13078" t="s">
        <v>17171</v>
      </c>
      <c r="E13078" t="s">
        <v>27007</v>
      </c>
      <c r="F13078" t="s">
        <v>29372</v>
      </c>
      <c r="G13078" t="s">
        <v>29380</v>
      </c>
      <c r="H13078" t="s">
        <v>11048</v>
      </c>
      <c r="I13078" t="s">
        <v>9469</v>
      </c>
      <c r="J13078" t="s">
        <v>29549</v>
      </c>
      <c r="K13078" t="s">
        <v>38485</v>
      </c>
      <c r="M13078" t="s">
        <v>42534</v>
      </c>
      <c r="N13078" t="s">
        <v>42669</v>
      </c>
      <c r="O13078" t="s">
        <v>42670</v>
      </c>
      <c r="P13078">
        <v>0</v>
      </c>
      <c r="Q13078">
        <v>2</v>
      </c>
      <c r="R13078" t="s">
        <v>42691</v>
      </c>
      <c r="S13078" t="s">
        <v>43726</v>
      </c>
      <c r="T13078" t="s">
        <v>44470</v>
      </c>
      <c r="U13078" t="s">
        <v>55462</v>
      </c>
      <c r="W13078" t="s">
        <v>42534</v>
      </c>
      <c r="X13078" t="s">
        <v>42692</v>
      </c>
    </row>
    <row r="13079" spans="1:24">
      <c r="A13079">
        <f>HYPERLINK("https://www.philgeps.gov.ph/GEPSNONPILOT/Tender/SplashBidNoticeAbstractUI.aspx?menuIndex=3&amp;refID=7153961&amp;Result=3","7153961")</f>
        <v>0</v>
      </c>
      <c r="B13079" t="s">
        <v>2020</v>
      </c>
      <c r="C13079" t="s">
        <v>16041</v>
      </c>
      <c r="D13079" t="s">
        <v>17177</v>
      </c>
      <c r="E13079" t="s">
        <v>28379</v>
      </c>
      <c r="F13079" t="s">
        <v>29372</v>
      </c>
      <c r="G13079" t="s">
        <v>29380</v>
      </c>
      <c r="H13079" t="s">
        <v>29389</v>
      </c>
      <c r="I13079" t="s">
        <v>29417</v>
      </c>
      <c r="J13079" t="s">
        <v>37788</v>
      </c>
      <c r="K13079" t="s">
        <v>38527</v>
      </c>
      <c r="M13079" t="s">
        <v>41241</v>
      </c>
      <c r="N13079" t="s">
        <v>42669</v>
      </c>
      <c r="O13079" t="s">
        <v>42670</v>
      </c>
      <c r="P13079">
        <v>0</v>
      </c>
      <c r="Q13079">
        <v>3</v>
      </c>
      <c r="R13079" t="s">
        <v>42691</v>
      </c>
      <c r="S13079" t="s">
        <v>43726</v>
      </c>
      <c r="T13079" t="s">
        <v>44401</v>
      </c>
      <c r="U13079" t="s">
        <v>55463</v>
      </c>
      <c r="V13079" t="s">
        <v>57146</v>
      </c>
      <c r="W13079" t="s">
        <v>41241</v>
      </c>
      <c r="X13079" t="s">
        <v>42692</v>
      </c>
    </row>
    <row r="13080" spans="1:24">
      <c r="A13080">
        <f>HYPERLINK("https://www.philgeps.gov.ph/GEPSNONPILOT/Tender/SplashBidNoticeAbstractUI.aspx?menuIndex=3&amp;refID=7153889&amp;Result=3","7153889")</f>
        <v>0</v>
      </c>
      <c r="B13080" t="s">
        <v>2020</v>
      </c>
      <c r="C13080" t="s">
        <v>16042</v>
      </c>
      <c r="D13080" t="s">
        <v>17177</v>
      </c>
      <c r="E13080" t="s">
        <v>28380</v>
      </c>
      <c r="F13080" t="s">
        <v>29372</v>
      </c>
      <c r="G13080" t="s">
        <v>29380</v>
      </c>
      <c r="H13080" t="s">
        <v>29389</v>
      </c>
      <c r="I13080" t="s">
        <v>29417</v>
      </c>
      <c r="J13080" t="s">
        <v>37789</v>
      </c>
      <c r="K13080" t="s">
        <v>38527</v>
      </c>
      <c r="M13080" t="s">
        <v>41241</v>
      </c>
      <c r="N13080" t="s">
        <v>42669</v>
      </c>
      <c r="O13080" t="s">
        <v>42670</v>
      </c>
      <c r="P13080">
        <v>0</v>
      </c>
      <c r="Q13080">
        <v>4</v>
      </c>
      <c r="R13080" t="s">
        <v>42691</v>
      </c>
      <c r="S13080" t="s">
        <v>43726</v>
      </c>
      <c r="T13080" t="s">
        <v>44401</v>
      </c>
      <c r="U13080" t="s">
        <v>55463</v>
      </c>
      <c r="V13080" t="s">
        <v>57146</v>
      </c>
      <c r="W13080" t="s">
        <v>41241</v>
      </c>
      <c r="X13080" t="s">
        <v>42692</v>
      </c>
    </row>
    <row r="13081" spans="1:24">
      <c r="A13081">
        <f>HYPERLINK("https://www.philgeps.gov.ph/GEPSNONPILOT/Tender/SplashBidNoticeAbstractUI.aspx?menuIndex=3&amp;refID=7153952&amp;Result=3","7153952")</f>
        <v>0</v>
      </c>
      <c r="B13081" t="s">
        <v>1248</v>
      </c>
      <c r="C13081" t="s">
        <v>16043</v>
      </c>
      <c r="D13081" t="s">
        <v>17201</v>
      </c>
      <c r="E13081" t="s">
        <v>28381</v>
      </c>
      <c r="F13081" t="s">
        <v>29372</v>
      </c>
      <c r="G13081" t="s">
        <v>29380</v>
      </c>
      <c r="H13081" t="s">
        <v>29389</v>
      </c>
      <c r="I13081" t="s">
        <v>10408</v>
      </c>
      <c r="J13081" t="s">
        <v>37790</v>
      </c>
      <c r="K13081" t="s">
        <v>38496</v>
      </c>
      <c r="M13081" t="s">
        <v>40073</v>
      </c>
      <c r="N13081" t="s">
        <v>42669</v>
      </c>
      <c r="O13081" t="s">
        <v>42670</v>
      </c>
      <c r="Q13081">
        <v>10</v>
      </c>
      <c r="R13081" t="s">
        <v>42691</v>
      </c>
      <c r="S13081" t="s">
        <v>43758</v>
      </c>
      <c r="T13081" t="s">
        <v>44488</v>
      </c>
      <c r="U13081" t="s">
        <v>55464</v>
      </c>
      <c r="W13081" t="s">
        <v>40073</v>
      </c>
      <c r="X13081" t="s">
        <v>42692</v>
      </c>
    </row>
    <row r="13082" spans="1:24">
      <c r="A13082">
        <f>HYPERLINK("https://www.philgeps.gov.ph/GEPSNONPILOT/Tender/SplashBidNoticeAbstractUI.aspx?menuIndex=3&amp;refID=7153920&amp;Result=3","7153920")</f>
        <v>0</v>
      </c>
      <c r="B13082" t="s">
        <v>76</v>
      </c>
      <c r="C13082" t="s">
        <v>16044</v>
      </c>
      <c r="D13082" t="s">
        <v>17168</v>
      </c>
      <c r="E13082" t="s">
        <v>28382</v>
      </c>
      <c r="F13082" t="s">
        <v>29372</v>
      </c>
      <c r="G13082" t="s">
        <v>29380</v>
      </c>
      <c r="H13082" t="s">
        <v>29389</v>
      </c>
      <c r="I13082" t="s">
        <v>10408</v>
      </c>
      <c r="J13082" t="s">
        <v>30943</v>
      </c>
      <c r="K13082" t="s">
        <v>38627</v>
      </c>
      <c r="M13082" t="s">
        <v>40879</v>
      </c>
      <c r="N13082" t="s">
        <v>42669</v>
      </c>
      <c r="O13082" t="s">
        <v>42670</v>
      </c>
      <c r="Q13082">
        <v>2</v>
      </c>
      <c r="R13082" t="s">
        <v>42691</v>
      </c>
      <c r="S13082" t="s">
        <v>43759</v>
      </c>
      <c r="T13082" t="s">
        <v>44373</v>
      </c>
      <c r="U13082" t="s">
        <v>55465</v>
      </c>
      <c r="W13082" t="s">
        <v>40879</v>
      </c>
      <c r="X13082" t="s">
        <v>42692</v>
      </c>
    </row>
    <row r="13083" spans="1:24">
      <c r="A13083">
        <f>HYPERLINK("https://www.philgeps.gov.ph/GEPSNONPILOT/Tender/SplashBidNoticeAbstractUI.aspx?menuIndex=3&amp;refID=7153916&amp;Result=3","7153916")</f>
        <v>0</v>
      </c>
      <c r="B13083" t="s">
        <v>2209</v>
      </c>
      <c r="C13083" t="s">
        <v>16045</v>
      </c>
      <c r="D13083" t="s">
        <v>17171</v>
      </c>
      <c r="E13083" t="s">
        <v>28383</v>
      </c>
      <c r="F13083" t="s">
        <v>29372</v>
      </c>
      <c r="G13083" t="s">
        <v>29380</v>
      </c>
      <c r="H13083" t="s">
        <v>11048</v>
      </c>
      <c r="I13083" t="s">
        <v>4709</v>
      </c>
      <c r="J13083" t="s">
        <v>37791</v>
      </c>
      <c r="K13083" t="s">
        <v>38490</v>
      </c>
      <c r="M13083" t="s">
        <v>41126</v>
      </c>
      <c r="N13083" t="s">
        <v>42669</v>
      </c>
      <c r="O13083" t="s">
        <v>42670</v>
      </c>
      <c r="P13083">
        <v>0</v>
      </c>
      <c r="Q13083">
        <v>4</v>
      </c>
      <c r="R13083" t="s">
        <v>42691</v>
      </c>
      <c r="S13083" t="s">
        <v>43726</v>
      </c>
      <c r="T13083" t="s">
        <v>44788</v>
      </c>
      <c r="U13083" t="s">
        <v>55466</v>
      </c>
      <c r="W13083" t="s">
        <v>41126</v>
      </c>
      <c r="X13083" t="s">
        <v>42692</v>
      </c>
    </row>
    <row r="13084" spans="1:24">
      <c r="A13084">
        <f>HYPERLINK("https://www.philgeps.gov.ph/GEPSNONPILOT/Tender/SplashBidNoticeAbstractUI.aspx?menuIndex=3&amp;refID=7153853&amp;Result=3","7153853")</f>
        <v>0</v>
      </c>
      <c r="B13084" t="s">
        <v>2209</v>
      </c>
      <c r="C13084" t="s">
        <v>16046</v>
      </c>
      <c r="D13084" t="s">
        <v>17171</v>
      </c>
      <c r="E13084" t="s">
        <v>28384</v>
      </c>
      <c r="F13084" t="s">
        <v>29372</v>
      </c>
      <c r="G13084" t="s">
        <v>29380</v>
      </c>
      <c r="H13084" t="s">
        <v>11048</v>
      </c>
      <c r="I13084" t="s">
        <v>4709</v>
      </c>
      <c r="J13084" t="s">
        <v>37792</v>
      </c>
      <c r="K13084" t="s">
        <v>38490</v>
      </c>
      <c r="M13084" t="s">
        <v>41126</v>
      </c>
      <c r="N13084" t="s">
        <v>42669</v>
      </c>
      <c r="O13084" t="s">
        <v>42670</v>
      </c>
      <c r="P13084">
        <v>0</v>
      </c>
      <c r="Q13084">
        <v>3</v>
      </c>
      <c r="R13084" t="s">
        <v>42691</v>
      </c>
      <c r="S13084" t="s">
        <v>43726</v>
      </c>
      <c r="T13084" t="s">
        <v>44788</v>
      </c>
      <c r="U13084" t="s">
        <v>55467</v>
      </c>
      <c r="W13084" t="s">
        <v>41126</v>
      </c>
      <c r="X13084" t="s">
        <v>42692</v>
      </c>
    </row>
    <row r="13085" spans="1:24">
      <c r="A13085">
        <f>HYPERLINK("https://www.philgeps.gov.ph/GEPSNONPILOT/Tender/SplashBidNoticeAbstractUI.aspx?menuIndex=3&amp;refID=7153829&amp;Result=3","7153829")</f>
        <v>0</v>
      </c>
      <c r="B13085" t="s">
        <v>3427</v>
      </c>
      <c r="C13085" t="s">
        <v>16047</v>
      </c>
      <c r="D13085" t="s">
        <v>17177</v>
      </c>
      <c r="E13085" t="s">
        <v>28366</v>
      </c>
      <c r="F13085" t="s">
        <v>29372</v>
      </c>
      <c r="G13085" t="s">
        <v>29380</v>
      </c>
      <c r="H13085" t="s">
        <v>11048</v>
      </c>
      <c r="I13085" t="s">
        <v>29395</v>
      </c>
      <c r="J13085" t="s">
        <v>29680</v>
      </c>
      <c r="K13085" t="s">
        <v>38488</v>
      </c>
      <c r="M13085" t="s">
        <v>42530</v>
      </c>
      <c r="N13085" t="s">
        <v>42669</v>
      </c>
      <c r="O13085" t="s">
        <v>42670</v>
      </c>
      <c r="P13085">
        <v>0</v>
      </c>
      <c r="Q13085">
        <v>1</v>
      </c>
      <c r="R13085" t="s">
        <v>42691</v>
      </c>
      <c r="S13085" t="s">
        <v>43726</v>
      </c>
      <c r="T13085" t="s">
        <v>44512</v>
      </c>
      <c r="U13085" t="s">
        <v>55468</v>
      </c>
      <c r="V13085" t="s">
        <v>57875</v>
      </c>
      <c r="W13085" t="s">
        <v>42530</v>
      </c>
      <c r="X13085" t="s">
        <v>42692</v>
      </c>
    </row>
    <row r="13086" spans="1:24">
      <c r="A13086">
        <f>HYPERLINK("https://www.philgeps.gov.ph/GEPSNONPILOT/Tender/SplashBidNoticeAbstractUI.aspx?menuIndex=3&amp;refID=7153575&amp;Result=3","7153575")</f>
        <v>0</v>
      </c>
      <c r="B13086" t="s">
        <v>3027</v>
      </c>
      <c r="C13086" t="s">
        <v>16048</v>
      </c>
      <c r="D13086" t="s">
        <v>17226</v>
      </c>
      <c r="E13086" t="s">
        <v>28385</v>
      </c>
      <c r="F13086" t="s">
        <v>29372</v>
      </c>
      <c r="G13086" t="s">
        <v>29380</v>
      </c>
      <c r="H13086" t="s">
        <v>11048</v>
      </c>
      <c r="I13086" t="s">
        <v>3839</v>
      </c>
      <c r="J13086" t="s">
        <v>29680</v>
      </c>
      <c r="K13086" t="s">
        <v>38488</v>
      </c>
      <c r="M13086" t="s">
        <v>42049</v>
      </c>
      <c r="N13086" t="s">
        <v>42669</v>
      </c>
      <c r="O13086" t="s">
        <v>42670</v>
      </c>
      <c r="P13086">
        <v>0</v>
      </c>
      <c r="Q13086">
        <v>0</v>
      </c>
      <c r="R13086" t="s">
        <v>42691</v>
      </c>
      <c r="S13086" t="s">
        <v>43726</v>
      </c>
      <c r="T13086" t="s">
        <v>44481</v>
      </c>
      <c r="U13086" t="s">
        <v>55469</v>
      </c>
      <c r="W13086" t="s">
        <v>42049</v>
      </c>
      <c r="X13086" t="s">
        <v>42692</v>
      </c>
    </row>
    <row r="13087" spans="1:24">
      <c r="A13087">
        <f>HYPERLINK("https://www.philgeps.gov.ph/GEPSNONPILOT/Tender/SplashBidNoticeAbstractUI.aspx?menuIndex=3&amp;refID=7153928&amp;Result=3","7153928")</f>
        <v>0</v>
      </c>
      <c r="B13087" t="s">
        <v>2020</v>
      </c>
      <c r="C13087" t="s">
        <v>16049</v>
      </c>
      <c r="D13087" t="s">
        <v>17177</v>
      </c>
      <c r="E13087" t="s">
        <v>28386</v>
      </c>
      <c r="F13087" t="s">
        <v>29372</v>
      </c>
      <c r="G13087" t="s">
        <v>29380</v>
      </c>
      <c r="H13087" t="s">
        <v>29389</v>
      </c>
      <c r="I13087" t="s">
        <v>10408</v>
      </c>
      <c r="J13087" t="s">
        <v>37793</v>
      </c>
      <c r="K13087" t="s">
        <v>38496</v>
      </c>
      <c r="M13087" t="s">
        <v>41241</v>
      </c>
      <c r="N13087" t="s">
        <v>42669</v>
      </c>
      <c r="O13087" t="s">
        <v>42670</v>
      </c>
      <c r="P13087">
        <v>0</v>
      </c>
      <c r="Q13087">
        <v>0</v>
      </c>
      <c r="R13087" t="s">
        <v>42691</v>
      </c>
      <c r="S13087" t="s">
        <v>43726</v>
      </c>
      <c r="T13087" t="s">
        <v>44401</v>
      </c>
      <c r="U13087" t="s">
        <v>55463</v>
      </c>
      <c r="V13087" t="s">
        <v>57146</v>
      </c>
      <c r="W13087" t="s">
        <v>41241</v>
      </c>
      <c r="X13087" t="s">
        <v>42692</v>
      </c>
    </row>
    <row r="13088" spans="1:24">
      <c r="A13088">
        <f>HYPERLINK("https://www.philgeps.gov.ph/GEPSNONPILOT/Tender/SplashBidNoticeAbstractUI.aspx?menuIndex=3&amp;refID=7153811&amp;Result=3","7153811")</f>
        <v>0</v>
      </c>
      <c r="B13088" t="s">
        <v>1638</v>
      </c>
      <c r="C13088" t="s">
        <v>16050</v>
      </c>
      <c r="D13088" t="s">
        <v>17213</v>
      </c>
      <c r="E13088" t="s">
        <v>28387</v>
      </c>
      <c r="F13088" t="s">
        <v>29372</v>
      </c>
      <c r="G13088" t="s">
        <v>29380</v>
      </c>
      <c r="H13088" t="s">
        <v>11048</v>
      </c>
      <c r="I13088" t="s">
        <v>9469</v>
      </c>
      <c r="J13088" t="s">
        <v>37794</v>
      </c>
      <c r="K13088" t="s">
        <v>38490</v>
      </c>
      <c r="M13088" t="s">
        <v>40494</v>
      </c>
      <c r="N13088" t="s">
        <v>42669</v>
      </c>
      <c r="O13088" t="s">
        <v>42670</v>
      </c>
      <c r="P13088">
        <v>0</v>
      </c>
      <c r="Q13088">
        <v>0</v>
      </c>
      <c r="R13088" t="s">
        <v>42691</v>
      </c>
      <c r="S13088" t="s">
        <v>43726</v>
      </c>
      <c r="T13088" t="s">
        <v>44401</v>
      </c>
      <c r="U13088" t="s">
        <v>55470</v>
      </c>
      <c r="W13088" t="s">
        <v>58050</v>
      </c>
      <c r="X13088" t="s">
        <v>42692</v>
      </c>
    </row>
    <row r="13089" spans="1:24">
      <c r="A13089">
        <f>HYPERLINK("https://www.philgeps.gov.ph/GEPSNONPILOT/Tender/SplashBidNoticeAbstractUI.aspx?menuIndex=3&amp;refID=7153796&amp;Result=3","7153796")</f>
        <v>0</v>
      </c>
      <c r="B13089" t="s">
        <v>2020</v>
      </c>
      <c r="C13089" t="s">
        <v>16051</v>
      </c>
      <c r="D13089" t="s">
        <v>17177</v>
      </c>
      <c r="E13089" t="s">
        <v>28388</v>
      </c>
      <c r="F13089" t="s">
        <v>29372</v>
      </c>
      <c r="G13089" t="s">
        <v>29380</v>
      </c>
      <c r="H13089" t="s">
        <v>29389</v>
      </c>
      <c r="I13089" t="s">
        <v>10408</v>
      </c>
      <c r="J13089" t="s">
        <v>37795</v>
      </c>
      <c r="K13089" t="s">
        <v>38496</v>
      </c>
      <c r="M13089" t="s">
        <v>41241</v>
      </c>
      <c r="N13089" t="s">
        <v>42669</v>
      </c>
      <c r="O13089" t="s">
        <v>42670</v>
      </c>
      <c r="P13089">
        <v>0</v>
      </c>
      <c r="Q13089">
        <v>0</v>
      </c>
      <c r="R13089" t="s">
        <v>42691</v>
      </c>
      <c r="S13089" t="s">
        <v>43726</v>
      </c>
      <c r="T13089" t="s">
        <v>44401</v>
      </c>
      <c r="U13089" t="s">
        <v>55427</v>
      </c>
      <c r="V13089" t="s">
        <v>57146</v>
      </c>
      <c r="W13089" t="s">
        <v>41241</v>
      </c>
      <c r="X13089" t="s">
        <v>42692</v>
      </c>
    </row>
    <row r="13090" spans="1:24">
      <c r="A13090">
        <f>HYPERLINK("https://www.philgeps.gov.ph/GEPSNONPILOT/Tender/SplashBidNoticeAbstractUI.aspx?menuIndex=3&amp;refID=7154035&amp;Result=3","7154035")</f>
        <v>0</v>
      </c>
      <c r="B13090" t="s">
        <v>2591</v>
      </c>
      <c r="C13090" t="s">
        <v>16052</v>
      </c>
      <c r="D13090" t="s">
        <v>17197</v>
      </c>
      <c r="E13090" t="s">
        <v>28389</v>
      </c>
      <c r="F13090" t="s">
        <v>29372</v>
      </c>
      <c r="G13090" t="s">
        <v>29380</v>
      </c>
      <c r="H13090" t="s">
        <v>29391</v>
      </c>
      <c r="I13090" t="s">
        <v>29391</v>
      </c>
      <c r="J13090" t="s">
        <v>30107</v>
      </c>
      <c r="K13090" t="s">
        <v>38485</v>
      </c>
      <c r="M13090" t="s">
        <v>41558</v>
      </c>
      <c r="N13090" t="s">
        <v>42669</v>
      </c>
      <c r="O13090" t="s">
        <v>42670</v>
      </c>
      <c r="P13090">
        <v>0</v>
      </c>
      <c r="Q13090">
        <v>3</v>
      </c>
      <c r="R13090" t="s">
        <v>42691</v>
      </c>
      <c r="S13090" t="s">
        <v>43726</v>
      </c>
      <c r="T13090" t="s">
        <v>44375</v>
      </c>
      <c r="U13090" t="s">
        <v>55471</v>
      </c>
      <c r="W13090" t="s">
        <v>41558</v>
      </c>
      <c r="X13090" t="s">
        <v>42692</v>
      </c>
    </row>
    <row r="13091" spans="1:24">
      <c r="A13091">
        <f>HYPERLINK("https://www.philgeps.gov.ph/GEPSNONPILOT/Tender/SplashBidNoticeAbstractUI.aspx?menuIndex=3&amp;refID=7154016&amp;Result=3","7154016")</f>
        <v>0</v>
      </c>
      <c r="B13091" t="s">
        <v>3430</v>
      </c>
      <c r="C13091" t="s">
        <v>16053</v>
      </c>
      <c r="D13091" t="s">
        <v>17248</v>
      </c>
      <c r="E13091" t="s">
        <v>28390</v>
      </c>
      <c r="F13091" t="s">
        <v>29372</v>
      </c>
      <c r="G13091" t="s">
        <v>29380</v>
      </c>
      <c r="H13091" t="s">
        <v>29390</v>
      </c>
      <c r="I13091" t="s">
        <v>29396</v>
      </c>
      <c r="J13091" t="s">
        <v>37796</v>
      </c>
      <c r="K13091" t="s">
        <v>38580</v>
      </c>
      <c r="M13091" t="s">
        <v>42535</v>
      </c>
      <c r="N13091" t="s">
        <v>42669</v>
      </c>
      <c r="O13091" t="s">
        <v>42670</v>
      </c>
      <c r="Q13091">
        <v>1</v>
      </c>
      <c r="R13091" t="s">
        <v>42691</v>
      </c>
      <c r="S13091" t="s">
        <v>43760</v>
      </c>
      <c r="T13091" t="s">
        <v>44375</v>
      </c>
      <c r="U13091" t="s">
        <v>55472</v>
      </c>
      <c r="V13091" t="s">
        <v>57876</v>
      </c>
      <c r="W13091" t="s">
        <v>58132</v>
      </c>
      <c r="X13091" t="s">
        <v>42692</v>
      </c>
    </row>
    <row r="13092" spans="1:24">
      <c r="A13092">
        <f>HYPERLINK("https://www.philgeps.gov.ph/GEPSNONPILOT/Tender/SplashBidNoticeAbstractUI.aspx?menuIndex=3&amp;refID=7154008&amp;Result=3","7154008")</f>
        <v>0</v>
      </c>
      <c r="B13092" t="s">
        <v>3053</v>
      </c>
      <c r="C13092" t="s">
        <v>16054</v>
      </c>
      <c r="D13092" t="s">
        <v>17170</v>
      </c>
      <c r="E13092" t="s">
        <v>28391</v>
      </c>
      <c r="F13092" t="s">
        <v>29372</v>
      </c>
      <c r="G13092" t="s">
        <v>29380</v>
      </c>
      <c r="H13092" t="s">
        <v>11048</v>
      </c>
      <c r="I13092" t="s">
        <v>4486</v>
      </c>
      <c r="J13092" t="s">
        <v>29729</v>
      </c>
      <c r="K13092" t="s">
        <v>38496</v>
      </c>
      <c r="M13092" t="s">
        <v>42078</v>
      </c>
      <c r="N13092" t="s">
        <v>42669</v>
      </c>
      <c r="O13092" t="s">
        <v>42670</v>
      </c>
      <c r="P13092">
        <v>0</v>
      </c>
      <c r="Q13092">
        <v>6</v>
      </c>
      <c r="R13092" t="s">
        <v>42691</v>
      </c>
      <c r="S13092" t="s">
        <v>43726</v>
      </c>
      <c r="T13092" t="s">
        <v>44432</v>
      </c>
      <c r="U13092" t="s">
        <v>55473</v>
      </c>
      <c r="W13092" t="s">
        <v>42078</v>
      </c>
      <c r="X13092" t="s">
        <v>42692</v>
      </c>
    </row>
    <row r="13093" spans="1:24">
      <c r="A13093">
        <f>HYPERLINK("https://www.philgeps.gov.ph/GEPSNONPILOT/Tender/SplashBidNoticeAbstractUI.aspx?menuIndex=3&amp;refID=7153815&amp;Result=3","7153815")</f>
        <v>0</v>
      </c>
      <c r="B13093" t="s">
        <v>2452</v>
      </c>
      <c r="C13093" t="s">
        <v>16055</v>
      </c>
      <c r="D13093" t="s">
        <v>17168</v>
      </c>
      <c r="E13093" t="s">
        <v>28392</v>
      </c>
      <c r="F13093" t="s">
        <v>29372</v>
      </c>
      <c r="G13093" t="s">
        <v>29380</v>
      </c>
      <c r="H13093" t="s">
        <v>11048</v>
      </c>
      <c r="I13093" t="s">
        <v>5383</v>
      </c>
      <c r="J13093" t="s">
        <v>37797</v>
      </c>
      <c r="K13093" t="s">
        <v>38485</v>
      </c>
      <c r="M13093" t="s">
        <v>41400</v>
      </c>
      <c r="N13093" t="s">
        <v>42669</v>
      </c>
      <c r="O13093" t="s">
        <v>42670</v>
      </c>
      <c r="P13093">
        <v>0</v>
      </c>
      <c r="Q13093">
        <v>2</v>
      </c>
      <c r="R13093" t="s">
        <v>42691</v>
      </c>
      <c r="S13093" t="s">
        <v>43726</v>
      </c>
      <c r="T13093" t="s">
        <v>44401</v>
      </c>
      <c r="U13093" t="s">
        <v>55474</v>
      </c>
      <c r="W13093" t="s">
        <v>41400</v>
      </c>
      <c r="X13093" t="s">
        <v>42692</v>
      </c>
    </row>
    <row r="13094" spans="1:24">
      <c r="A13094">
        <f>HYPERLINK("https://www.philgeps.gov.ph/GEPSNONPILOT/Tender/SplashBidNoticeAbstractUI.aspx?menuIndex=3&amp;refID=7153935&amp;Result=3","7153935")</f>
        <v>0</v>
      </c>
      <c r="B13094" t="s">
        <v>2117</v>
      </c>
      <c r="C13094" t="s">
        <v>16056</v>
      </c>
      <c r="D13094" t="s">
        <v>17202</v>
      </c>
      <c r="E13094" t="s">
        <v>28393</v>
      </c>
      <c r="F13094" t="s">
        <v>29372</v>
      </c>
      <c r="G13094" t="s">
        <v>29380</v>
      </c>
      <c r="H13094" t="s">
        <v>11048</v>
      </c>
      <c r="I13094" t="s">
        <v>9469</v>
      </c>
      <c r="J13094" t="s">
        <v>36563</v>
      </c>
      <c r="K13094" t="s">
        <v>38491</v>
      </c>
      <c r="M13094" t="s">
        <v>41021</v>
      </c>
      <c r="N13094" t="s">
        <v>42669</v>
      </c>
      <c r="O13094" t="s">
        <v>42670</v>
      </c>
      <c r="P13094">
        <v>0</v>
      </c>
      <c r="Q13094">
        <v>1</v>
      </c>
      <c r="R13094" t="s">
        <v>42691</v>
      </c>
      <c r="S13094" t="s">
        <v>43726</v>
      </c>
      <c r="T13094" t="s">
        <v>44448</v>
      </c>
      <c r="U13094" t="s">
        <v>55475</v>
      </c>
      <c r="V13094" t="s">
        <v>57877</v>
      </c>
      <c r="W13094" t="s">
        <v>41021</v>
      </c>
      <c r="X13094" t="s">
        <v>42692</v>
      </c>
    </row>
    <row r="13095" spans="1:24">
      <c r="A13095">
        <f>HYPERLINK("https://www.philgeps.gov.ph/GEPSNONPILOT/Tender/SplashBidNoticeAbstractUI.aspx?menuIndex=3&amp;refID=7154141&amp;Result=3","7154141")</f>
        <v>0</v>
      </c>
      <c r="B13095" t="s">
        <v>2020</v>
      </c>
      <c r="C13095" t="s">
        <v>16057</v>
      </c>
      <c r="D13095" t="s">
        <v>17177</v>
      </c>
      <c r="E13095" t="s">
        <v>28394</v>
      </c>
      <c r="F13095" t="s">
        <v>29372</v>
      </c>
      <c r="G13095" t="s">
        <v>29380</v>
      </c>
      <c r="H13095" t="s">
        <v>29389</v>
      </c>
      <c r="I13095" t="s">
        <v>10408</v>
      </c>
      <c r="J13095" t="s">
        <v>37798</v>
      </c>
      <c r="K13095" t="s">
        <v>38496</v>
      </c>
      <c r="M13095" t="s">
        <v>41241</v>
      </c>
      <c r="N13095" t="s">
        <v>42669</v>
      </c>
      <c r="O13095" t="s">
        <v>42670</v>
      </c>
      <c r="P13095">
        <v>0</v>
      </c>
      <c r="Q13095">
        <v>1</v>
      </c>
      <c r="R13095" t="s">
        <v>42691</v>
      </c>
      <c r="S13095" t="s">
        <v>43726</v>
      </c>
      <c r="T13095" t="s">
        <v>44371</v>
      </c>
      <c r="U13095" t="s">
        <v>55463</v>
      </c>
      <c r="V13095" t="s">
        <v>57146</v>
      </c>
      <c r="W13095" t="s">
        <v>41241</v>
      </c>
      <c r="X13095" t="s">
        <v>42692</v>
      </c>
    </row>
    <row r="13096" spans="1:24">
      <c r="A13096">
        <f>HYPERLINK("https://www.philgeps.gov.ph/GEPSNONPILOT/Tender/SplashBidNoticeAbstractUI.aspx?menuIndex=3&amp;refID=7154099&amp;Result=3","7154099")</f>
        <v>0</v>
      </c>
      <c r="B13096" t="s">
        <v>2591</v>
      </c>
      <c r="C13096" t="s">
        <v>16058</v>
      </c>
      <c r="D13096" t="s">
        <v>17197</v>
      </c>
      <c r="E13096" t="s">
        <v>28395</v>
      </c>
      <c r="F13096" t="s">
        <v>29372</v>
      </c>
      <c r="G13096" t="s">
        <v>29380</v>
      </c>
      <c r="H13096" t="s">
        <v>29391</v>
      </c>
      <c r="I13096" t="s">
        <v>29391</v>
      </c>
      <c r="J13096" t="s">
        <v>32005</v>
      </c>
      <c r="K13096" t="s">
        <v>38488</v>
      </c>
      <c r="M13096" t="s">
        <v>41558</v>
      </c>
      <c r="N13096" t="s">
        <v>42669</v>
      </c>
      <c r="O13096" t="s">
        <v>42670</v>
      </c>
      <c r="P13096">
        <v>0</v>
      </c>
      <c r="Q13096">
        <v>1</v>
      </c>
      <c r="R13096" t="s">
        <v>42691</v>
      </c>
      <c r="S13096" t="s">
        <v>43726</v>
      </c>
      <c r="T13096" t="s">
        <v>44357</v>
      </c>
      <c r="U13096" t="s">
        <v>55476</v>
      </c>
      <c r="W13096" t="s">
        <v>41558</v>
      </c>
      <c r="X13096" t="s">
        <v>42692</v>
      </c>
    </row>
    <row r="13097" spans="1:24">
      <c r="A13097">
        <f>HYPERLINK("https://www.philgeps.gov.ph/GEPSNONPILOT/Tender/SplashBidNoticeAbstractUI.aspx?menuIndex=3&amp;refID=7153685&amp;Result=3","7153685")</f>
        <v>0</v>
      </c>
      <c r="B13097" t="s">
        <v>231</v>
      </c>
      <c r="C13097" t="s">
        <v>16059</v>
      </c>
      <c r="E13097" t="s">
        <v>28396</v>
      </c>
      <c r="F13097" t="s">
        <v>29372</v>
      </c>
      <c r="G13097" t="s">
        <v>29380</v>
      </c>
      <c r="H13097" t="s">
        <v>11048</v>
      </c>
      <c r="I13097" t="s">
        <v>29396</v>
      </c>
      <c r="J13097" t="s">
        <v>32935</v>
      </c>
      <c r="K13097" t="s">
        <v>38490</v>
      </c>
      <c r="M13097" t="s">
        <v>39927</v>
      </c>
      <c r="N13097" t="s">
        <v>42669</v>
      </c>
      <c r="O13097" t="s">
        <v>42670</v>
      </c>
      <c r="Q13097">
        <v>2</v>
      </c>
      <c r="R13097" t="s">
        <v>42691</v>
      </c>
      <c r="S13097" t="s">
        <v>43761</v>
      </c>
      <c r="T13097" t="s">
        <v>44777</v>
      </c>
      <c r="U13097" t="s">
        <v>55477</v>
      </c>
      <c r="W13097" t="s">
        <v>39927</v>
      </c>
      <c r="X13097" t="s">
        <v>42692</v>
      </c>
    </row>
    <row r="13098" spans="1:24">
      <c r="A13098">
        <f>HYPERLINK("https://www.philgeps.gov.ph/GEPSNONPILOT/Tender/SplashBidNoticeAbstractUI.aspx?menuIndex=3&amp;refID=7153835&amp;Result=3","7153835")</f>
        <v>0</v>
      </c>
      <c r="B13098" t="s">
        <v>2020</v>
      </c>
      <c r="C13098" t="s">
        <v>16060</v>
      </c>
      <c r="D13098" t="s">
        <v>17177</v>
      </c>
      <c r="E13098" t="s">
        <v>28397</v>
      </c>
      <c r="F13098" t="s">
        <v>29372</v>
      </c>
      <c r="G13098" t="s">
        <v>29380</v>
      </c>
      <c r="H13098" t="s">
        <v>29389</v>
      </c>
      <c r="I13098" t="s">
        <v>10408</v>
      </c>
      <c r="J13098" t="s">
        <v>37799</v>
      </c>
      <c r="K13098" t="s">
        <v>38496</v>
      </c>
      <c r="M13098" t="s">
        <v>41241</v>
      </c>
      <c r="N13098" t="s">
        <v>42669</v>
      </c>
      <c r="O13098" t="s">
        <v>42670</v>
      </c>
      <c r="P13098">
        <v>0</v>
      </c>
      <c r="Q13098">
        <v>0</v>
      </c>
      <c r="R13098" t="s">
        <v>42691</v>
      </c>
      <c r="S13098" t="s">
        <v>43726</v>
      </c>
      <c r="T13098" t="s">
        <v>44401</v>
      </c>
      <c r="U13098" t="s">
        <v>55427</v>
      </c>
      <c r="V13098" t="s">
        <v>57146</v>
      </c>
      <c r="W13098" t="s">
        <v>41241</v>
      </c>
      <c r="X13098" t="s">
        <v>42692</v>
      </c>
    </row>
    <row r="13099" spans="1:24">
      <c r="A13099">
        <f>HYPERLINK("https://www.philgeps.gov.ph/GEPSNONPILOT/Tender/SplashBidNoticeAbstractUI.aspx?menuIndex=3&amp;refID=7154000&amp;Result=3","7154000")</f>
        <v>0</v>
      </c>
      <c r="B13099" t="s">
        <v>278</v>
      </c>
      <c r="C13099" t="s">
        <v>16061</v>
      </c>
      <c r="D13099" t="s">
        <v>17206</v>
      </c>
      <c r="E13099" t="s">
        <v>28398</v>
      </c>
      <c r="F13099" t="s">
        <v>29372</v>
      </c>
      <c r="G13099" t="s">
        <v>29380</v>
      </c>
      <c r="H13099" t="s">
        <v>11048</v>
      </c>
      <c r="I13099" t="s">
        <v>29423</v>
      </c>
      <c r="J13099" t="s">
        <v>29829</v>
      </c>
      <c r="K13099" t="s">
        <v>38496</v>
      </c>
      <c r="M13099" t="s">
        <v>39138</v>
      </c>
      <c r="N13099" t="s">
        <v>42669</v>
      </c>
      <c r="O13099" t="s">
        <v>42670</v>
      </c>
      <c r="Q13099">
        <v>5</v>
      </c>
      <c r="R13099" t="s">
        <v>42691</v>
      </c>
      <c r="S13099" t="s">
        <v>43274</v>
      </c>
      <c r="T13099" t="s">
        <v>44554</v>
      </c>
      <c r="U13099" t="s">
        <v>55478</v>
      </c>
      <c r="W13099" t="s">
        <v>39138</v>
      </c>
      <c r="X13099" t="s">
        <v>42692</v>
      </c>
    </row>
    <row r="13100" spans="1:24">
      <c r="A13100">
        <f>HYPERLINK("https://www.philgeps.gov.ph/GEPSNONPILOT/Tender/SplashBidNoticeAbstractUI.aspx?menuIndex=3&amp;refID=7154096&amp;Result=3","7154096")</f>
        <v>0</v>
      </c>
      <c r="B13100" t="s">
        <v>2217</v>
      </c>
      <c r="C13100" t="s">
        <v>16062</v>
      </c>
      <c r="D13100" t="s">
        <v>17240</v>
      </c>
      <c r="E13100" t="s">
        <v>28399</v>
      </c>
      <c r="F13100" t="s">
        <v>29372</v>
      </c>
      <c r="G13100" t="s">
        <v>29380</v>
      </c>
      <c r="H13100" t="s">
        <v>11048</v>
      </c>
      <c r="I13100" t="s">
        <v>29428</v>
      </c>
      <c r="J13100" t="s">
        <v>37800</v>
      </c>
      <c r="K13100" t="s">
        <v>38485</v>
      </c>
      <c r="M13100" t="s">
        <v>41587</v>
      </c>
      <c r="N13100" t="s">
        <v>42669</v>
      </c>
      <c r="O13100" t="s">
        <v>42670</v>
      </c>
      <c r="P13100">
        <v>0</v>
      </c>
      <c r="Q13100">
        <v>2</v>
      </c>
      <c r="R13100" t="s">
        <v>42691</v>
      </c>
      <c r="S13100" t="s">
        <v>43726</v>
      </c>
      <c r="T13100" t="s">
        <v>44425</v>
      </c>
      <c r="U13100" t="s">
        <v>55479</v>
      </c>
      <c r="W13100" t="s">
        <v>41587</v>
      </c>
      <c r="X13100" t="s">
        <v>42692</v>
      </c>
    </row>
    <row r="13101" spans="1:24">
      <c r="A13101">
        <f>HYPERLINK("https://www.philgeps.gov.ph/GEPSNONPILOT/Tender/SplashBidNoticeAbstractUI.aspx?menuIndex=3&amp;refID=7154068&amp;Result=3","7154068")</f>
        <v>0</v>
      </c>
      <c r="B13101" t="s">
        <v>2020</v>
      </c>
      <c r="C13101" t="s">
        <v>16063</v>
      </c>
      <c r="D13101" t="s">
        <v>17177</v>
      </c>
      <c r="E13101" t="s">
        <v>28400</v>
      </c>
      <c r="F13101" t="s">
        <v>29372</v>
      </c>
      <c r="G13101" t="s">
        <v>29380</v>
      </c>
      <c r="H13101" t="s">
        <v>29389</v>
      </c>
      <c r="I13101" t="s">
        <v>10408</v>
      </c>
      <c r="J13101" t="s">
        <v>37801</v>
      </c>
      <c r="K13101" t="s">
        <v>38496</v>
      </c>
      <c r="M13101" t="s">
        <v>41241</v>
      </c>
      <c r="N13101" t="s">
        <v>42669</v>
      </c>
      <c r="O13101" t="s">
        <v>42670</v>
      </c>
      <c r="P13101">
        <v>0</v>
      </c>
      <c r="Q13101">
        <v>1</v>
      </c>
      <c r="R13101" t="s">
        <v>42691</v>
      </c>
      <c r="S13101" t="s">
        <v>43726</v>
      </c>
      <c r="T13101" t="s">
        <v>44371</v>
      </c>
      <c r="U13101" t="s">
        <v>55463</v>
      </c>
      <c r="V13101" t="s">
        <v>57146</v>
      </c>
      <c r="W13101" t="s">
        <v>41241</v>
      </c>
      <c r="X13101" t="s">
        <v>42692</v>
      </c>
    </row>
    <row r="13102" spans="1:24">
      <c r="A13102">
        <f>HYPERLINK("https://www.philgeps.gov.ph/GEPSNONPILOT/Tender/SplashBidNoticeAbstractUI.aspx?menuIndex=3&amp;refID=7154081&amp;Result=3","7154081")</f>
        <v>0</v>
      </c>
      <c r="B13102" t="s">
        <v>1512</v>
      </c>
      <c r="C13102" t="s">
        <v>16064</v>
      </c>
      <c r="E13102" t="s">
        <v>28401</v>
      </c>
      <c r="F13102" t="s">
        <v>29372</v>
      </c>
      <c r="G13102" t="s">
        <v>29386</v>
      </c>
      <c r="H13102" t="s">
        <v>29391</v>
      </c>
      <c r="I13102" t="s">
        <v>29391</v>
      </c>
      <c r="J13102" t="s">
        <v>37802</v>
      </c>
      <c r="K13102" t="s">
        <v>38490</v>
      </c>
      <c r="M13102" t="s">
        <v>40356</v>
      </c>
      <c r="N13102" t="s">
        <v>42669</v>
      </c>
      <c r="O13102" t="s">
        <v>42670</v>
      </c>
      <c r="P13102">
        <v>0</v>
      </c>
      <c r="Q13102">
        <v>7</v>
      </c>
      <c r="R13102" t="s">
        <v>42691</v>
      </c>
      <c r="S13102" t="s">
        <v>43726</v>
      </c>
      <c r="T13102" t="s">
        <v>44848</v>
      </c>
      <c r="U13102" t="s">
        <v>55480</v>
      </c>
      <c r="W13102" t="s">
        <v>40356</v>
      </c>
      <c r="X13102" t="s">
        <v>42692</v>
      </c>
    </row>
    <row r="13103" spans="1:24">
      <c r="A13103">
        <f>HYPERLINK("https://www.philgeps.gov.ph/GEPSNONPILOT/Tender/SplashBidNoticeAbstractUI.aspx?menuIndex=3&amp;refID=7153964&amp;Result=3","7153964")</f>
        <v>0</v>
      </c>
      <c r="B13103" t="s">
        <v>2209</v>
      </c>
      <c r="C13103" t="s">
        <v>16065</v>
      </c>
      <c r="D13103" t="s">
        <v>17171</v>
      </c>
      <c r="E13103" t="s">
        <v>28402</v>
      </c>
      <c r="F13103" t="s">
        <v>29372</v>
      </c>
      <c r="G13103" t="s">
        <v>29380</v>
      </c>
      <c r="H13103" t="s">
        <v>11048</v>
      </c>
      <c r="I13103" t="s">
        <v>4709</v>
      </c>
      <c r="J13103" t="s">
        <v>37803</v>
      </c>
      <c r="K13103" t="s">
        <v>38490</v>
      </c>
      <c r="M13103" t="s">
        <v>41126</v>
      </c>
      <c r="N13103" t="s">
        <v>42669</v>
      </c>
      <c r="O13103" t="s">
        <v>42670</v>
      </c>
      <c r="P13103">
        <v>0</v>
      </c>
      <c r="Q13103">
        <v>4</v>
      </c>
      <c r="R13103" t="s">
        <v>42691</v>
      </c>
      <c r="S13103" t="s">
        <v>43726</v>
      </c>
      <c r="T13103" t="s">
        <v>44788</v>
      </c>
      <c r="U13103" t="s">
        <v>55481</v>
      </c>
      <c r="W13103" t="s">
        <v>41126</v>
      </c>
      <c r="X13103" t="s">
        <v>42692</v>
      </c>
    </row>
    <row r="13104" spans="1:24">
      <c r="A13104">
        <f>HYPERLINK("https://www.philgeps.gov.ph/GEPSNONPILOT/Tender/SplashBidNoticeAbstractUI.aspx?menuIndex=3&amp;refID=7154044&amp;Result=3","7154044")</f>
        <v>0</v>
      </c>
      <c r="B13104" t="s">
        <v>1665</v>
      </c>
      <c r="C13104" t="s">
        <v>16066</v>
      </c>
      <c r="D13104" t="s">
        <v>17147</v>
      </c>
      <c r="E13104" t="s">
        <v>28403</v>
      </c>
      <c r="F13104" t="s">
        <v>29372</v>
      </c>
      <c r="G13104" t="s">
        <v>29380</v>
      </c>
      <c r="H13104" t="s">
        <v>29389</v>
      </c>
      <c r="I13104" t="s">
        <v>29396</v>
      </c>
      <c r="J13104" t="s">
        <v>37804</v>
      </c>
      <c r="K13104" t="s">
        <v>38495</v>
      </c>
      <c r="M13104" t="s">
        <v>40524</v>
      </c>
      <c r="N13104" t="s">
        <v>42669</v>
      </c>
      <c r="O13104" t="s">
        <v>42670</v>
      </c>
      <c r="P13104">
        <v>0</v>
      </c>
      <c r="Q13104">
        <v>1</v>
      </c>
      <c r="R13104" t="s">
        <v>42691</v>
      </c>
      <c r="S13104" t="s">
        <v>43726</v>
      </c>
      <c r="T13104" t="s">
        <v>44432</v>
      </c>
      <c r="U13104" t="s">
        <v>55482</v>
      </c>
      <c r="V13104" t="s">
        <v>57878</v>
      </c>
      <c r="W13104" t="s">
        <v>40524</v>
      </c>
      <c r="X13104" t="s">
        <v>42692</v>
      </c>
    </row>
    <row r="13105" spans="1:24">
      <c r="A13105">
        <f>HYPERLINK("https://www.philgeps.gov.ph/GEPSNONPILOT/Tender/SplashBidNoticeAbstractUI.aspx?menuIndex=3&amp;refID=7154039&amp;Result=3","7154039")</f>
        <v>0</v>
      </c>
      <c r="B13105" t="s">
        <v>2865</v>
      </c>
      <c r="C13105" t="s">
        <v>16067</v>
      </c>
      <c r="D13105" t="s">
        <v>17231</v>
      </c>
      <c r="E13105" t="s">
        <v>28404</v>
      </c>
      <c r="F13105" t="s">
        <v>29372</v>
      </c>
      <c r="G13105" t="s">
        <v>29381</v>
      </c>
      <c r="H13105" t="s">
        <v>11048</v>
      </c>
      <c r="I13105" t="s">
        <v>29407</v>
      </c>
      <c r="J13105" t="s">
        <v>37805</v>
      </c>
      <c r="K13105" t="s">
        <v>38495</v>
      </c>
      <c r="M13105" t="s">
        <v>41860</v>
      </c>
      <c r="N13105" t="s">
        <v>42669</v>
      </c>
      <c r="O13105" t="s">
        <v>42670</v>
      </c>
      <c r="Q13105">
        <v>15</v>
      </c>
      <c r="R13105" t="s">
        <v>42691</v>
      </c>
      <c r="S13105" t="s">
        <v>43037</v>
      </c>
      <c r="T13105" t="s">
        <v>44489</v>
      </c>
      <c r="U13105" t="s">
        <v>55483</v>
      </c>
      <c r="W13105" t="s">
        <v>41860</v>
      </c>
      <c r="X13105" t="s">
        <v>42692</v>
      </c>
    </row>
    <row r="13106" spans="1:24">
      <c r="A13106">
        <f>HYPERLINK("https://www.philgeps.gov.ph/GEPSNONPILOT/Tender/SplashBidNoticeAbstractUI.aspx?menuIndex=3&amp;refID=7153998&amp;Result=3","7153998")</f>
        <v>0</v>
      </c>
      <c r="B13106" t="s">
        <v>2020</v>
      </c>
      <c r="C13106" t="s">
        <v>16068</v>
      </c>
      <c r="D13106" t="s">
        <v>17177</v>
      </c>
      <c r="E13106" t="s">
        <v>28405</v>
      </c>
      <c r="F13106" t="s">
        <v>29372</v>
      </c>
      <c r="G13106" t="s">
        <v>29380</v>
      </c>
      <c r="H13106" t="s">
        <v>29389</v>
      </c>
      <c r="I13106" t="s">
        <v>10408</v>
      </c>
      <c r="J13106" t="s">
        <v>37806</v>
      </c>
      <c r="K13106" t="s">
        <v>38496</v>
      </c>
      <c r="M13106" t="s">
        <v>41241</v>
      </c>
      <c r="N13106" t="s">
        <v>42669</v>
      </c>
      <c r="O13106" t="s">
        <v>42670</v>
      </c>
      <c r="P13106">
        <v>0</v>
      </c>
      <c r="Q13106">
        <v>0</v>
      </c>
      <c r="R13106" t="s">
        <v>42691</v>
      </c>
      <c r="S13106" t="s">
        <v>43726</v>
      </c>
      <c r="T13106" t="s">
        <v>44401</v>
      </c>
      <c r="U13106" t="s">
        <v>55463</v>
      </c>
      <c r="V13106" t="s">
        <v>57146</v>
      </c>
      <c r="W13106" t="s">
        <v>41241</v>
      </c>
      <c r="X13106" t="s">
        <v>42692</v>
      </c>
    </row>
    <row r="13107" spans="1:24">
      <c r="A13107">
        <f>HYPERLINK("https://www.philgeps.gov.ph/GEPSNONPILOT/Tender/SplashBidNoticeAbstractUI.aspx?menuIndex=3&amp;refID=7153978&amp;Result=3","7153978")</f>
        <v>0</v>
      </c>
      <c r="B13107" t="s">
        <v>3053</v>
      </c>
      <c r="C13107" t="s">
        <v>16069</v>
      </c>
      <c r="D13107" t="s">
        <v>17170</v>
      </c>
      <c r="E13107" t="s">
        <v>28406</v>
      </c>
      <c r="F13107" t="s">
        <v>29372</v>
      </c>
      <c r="G13107" t="s">
        <v>29380</v>
      </c>
      <c r="H13107" t="s">
        <v>11048</v>
      </c>
      <c r="I13107" t="s">
        <v>29398</v>
      </c>
      <c r="J13107" t="s">
        <v>37807</v>
      </c>
      <c r="K13107" t="s">
        <v>38485</v>
      </c>
      <c r="M13107" t="s">
        <v>42078</v>
      </c>
      <c r="N13107" t="s">
        <v>42669</v>
      </c>
      <c r="O13107" t="s">
        <v>42670</v>
      </c>
      <c r="P13107">
        <v>0</v>
      </c>
      <c r="Q13107">
        <v>5</v>
      </c>
      <c r="R13107" t="s">
        <v>42691</v>
      </c>
      <c r="S13107" t="s">
        <v>43726</v>
      </c>
      <c r="T13107" t="s">
        <v>44432</v>
      </c>
      <c r="U13107" t="s">
        <v>55484</v>
      </c>
      <c r="W13107" t="s">
        <v>42078</v>
      </c>
      <c r="X13107" t="s">
        <v>42692</v>
      </c>
    </row>
    <row r="13108" spans="1:24">
      <c r="A13108">
        <f>HYPERLINK("https://www.philgeps.gov.ph/GEPSNONPILOT/Tender/SplashBidNoticeAbstractUI.aspx?menuIndex=3&amp;refID=7153987&amp;Result=3","7153987")</f>
        <v>0</v>
      </c>
      <c r="B13108" t="s">
        <v>586</v>
      </c>
      <c r="C13108" t="s">
        <v>16070</v>
      </c>
      <c r="D13108" t="s">
        <v>17161</v>
      </c>
      <c r="E13108" t="s">
        <v>28407</v>
      </c>
      <c r="F13108" t="s">
        <v>29372</v>
      </c>
      <c r="G13108" t="s">
        <v>29380</v>
      </c>
      <c r="H13108" t="s">
        <v>11048</v>
      </c>
      <c r="I13108" t="s">
        <v>9469</v>
      </c>
      <c r="J13108" t="s">
        <v>30161</v>
      </c>
      <c r="K13108" t="s">
        <v>38490</v>
      </c>
      <c r="M13108" t="s">
        <v>39355</v>
      </c>
      <c r="N13108" t="s">
        <v>42669</v>
      </c>
      <c r="O13108" t="s">
        <v>42670</v>
      </c>
      <c r="P13108">
        <v>0</v>
      </c>
      <c r="Q13108">
        <v>1</v>
      </c>
      <c r="R13108" t="s">
        <v>42691</v>
      </c>
      <c r="S13108" t="s">
        <v>43726</v>
      </c>
      <c r="T13108" t="s">
        <v>44488</v>
      </c>
      <c r="U13108" t="s">
        <v>55485</v>
      </c>
      <c r="W13108" t="s">
        <v>39355</v>
      </c>
      <c r="X13108" t="s">
        <v>42692</v>
      </c>
    </row>
    <row r="13109" spans="1:24">
      <c r="A13109">
        <f>HYPERLINK("https://www.philgeps.gov.ph/GEPSNONPILOT/Tender/SplashBidNoticeAbstractUI.aspx?menuIndex=3&amp;refID=7154147&amp;Result=3","7154147")</f>
        <v>0</v>
      </c>
      <c r="B13109" t="s">
        <v>278</v>
      </c>
      <c r="C13109" t="s">
        <v>16071</v>
      </c>
      <c r="D13109" t="s">
        <v>17206</v>
      </c>
      <c r="E13109" t="s">
        <v>28408</v>
      </c>
      <c r="F13109" t="s">
        <v>29372</v>
      </c>
      <c r="G13109" t="s">
        <v>29380</v>
      </c>
      <c r="H13109" t="s">
        <v>11048</v>
      </c>
      <c r="I13109" t="s">
        <v>29423</v>
      </c>
      <c r="J13109" t="s">
        <v>29829</v>
      </c>
      <c r="K13109" t="s">
        <v>38496</v>
      </c>
      <c r="M13109" t="s">
        <v>39138</v>
      </c>
      <c r="N13109" t="s">
        <v>42669</v>
      </c>
      <c r="O13109" t="s">
        <v>42670</v>
      </c>
      <c r="Q13109">
        <v>10</v>
      </c>
      <c r="R13109" t="s">
        <v>42691</v>
      </c>
      <c r="S13109" t="s">
        <v>43762</v>
      </c>
      <c r="T13109" t="s">
        <v>44554</v>
      </c>
      <c r="U13109" t="s">
        <v>55486</v>
      </c>
      <c r="W13109" t="s">
        <v>39138</v>
      </c>
      <c r="X13109" t="s">
        <v>42692</v>
      </c>
    </row>
    <row r="13110" spans="1:24">
      <c r="A13110">
        <f>HYPERLINK("https://www.philgeps.gov.ph/GEPSNONPILOT/Tender/SplashBidNoticeAbstractUI.aspx?menuIndex=3&amp;refID=7154242&amp;Result=3","7154242")</f>
        <v>0</v>
      </c>
      <c r="B13110" t="s">
        <v>883</v>
      </c>
      <c r="C13110" t="s">
        <v>16072</v>
      </c>
      <c r="D13110" t="s">
        <v>17161</v>
      </c>
      <c r="E13110" t="s">
        <v>28409</v>
      </c>
      <c r="F13110" t="s">
        <v>29372</v>
      </c>
      <c r="G13110" t="s">
        <v>29380</v>
      </c>
      <c r="H13110" t="s">
        <v>11048</v>
      </c>
      <c r="I13110" t="s">
        <v>29398</v>
      </c>
      <c r="J13110" t="s">
        <v>37808</v>
      </c>
      <c r="K13110" t="s">
        <v>38538</v>
      </c>
      <c r="M13110" t="s">
        <v>39675</v>
      </c>
      <c r="N13110" t="s">
        <v>42669</v>
      </c>
      <c r="O13110" t="s">
        <v>42670</v>
      </c>
      <c r="P13110">
        <v>0</v>
      </c>
      <c r="Q13110">
        <v>1</v>
      </c>
      <c r="R13110" t="s">
        <v>42691</v>
      </c>
      <c r="S13110" t="s">
        <v>43726</v>
      </c>
      <c r="T13110" t="s">
        <v>44488</v>
      </c>
      <c r="U13110" t="s">
        <v>55487</v>
      </c>
      <c r="W13110" t="s">
        <v>39675</v>
      </c>
      <c r="X13110" t="s">
        <v>42692</v>
      </c>
    </row>
    <row r="13111" spans="1:24">
      <c r="A13111">
        <f>HYPERLINK("https://www.philgeps.gov.ph/GEPSNONPILOT/Tender/SplashBidNoticeAbstractUI.aspx?menuIndex=3&amp;refID=7154042&amp;Result=3","7154042")</f>
        <v>0</v>
      </c>
      <c r="B13111" t="s">
        <v>3256</v>
      </c>
      <c r="C13111" t="s">
        <v>16073</v>
      </c>
      <c r="D13111" t="s">
        <v>17204</v>
      </c>
      <c r="E13111" t="s">
        <v>28410</v>
      </c>
      <c r="F13111" t="s">
        <v>29372</v>
      </c>
      <c r="G13111" t="s">
        <v>29380</v>
      </c>
      <c r="H13111" t="s">
        <v>11048</v>
      </c>
      <c r="I13111" t="s">
        <v>29407</v>
      </c>
      <c r="J13111" t="s">
        <v>37809</v>
      </c>
      <c r="K13111" t="s">
        <v>38586</v>
      </c>
      <c r="M13111" t="s">
        <v>42533</v>
      </c>
      <c r="N13111" t="s">
        <v>42669</v>
      </c>
      <c r="O13111" t="s">
        <v>42670</v>
      </c>
      <c r="Q13111">
        <v>28</v>
      </c>
      <c r="R13111" t="s">
        <v>42691</v>
      </c>
      <c r="S13111" t="s">
        <v>43763</v>
      </c>
      <c r="T13111" t="s">
        <v>44432</v>
      </c>
      <c r="U13111" t="s">
        <v>55457</v>
      </c>
      <c r="W13111" t="s">
        <v>58117</v>
      </c>
      <c r="X13111" t="s">
        <v>42692</v>
      </c>
    </row>
    <row r="13112" spans="1:24">
      <c r="A13112">
        <f>HYPERLINK("https://www.philgeps.gov.ph/GEPSNONPILOT/Tender/SplashBidNoticeAbstractUI.aspx?menuIndex=3&amp;refID=7154048&amp;Result=3","7154048")</f>
        <v>0</v>
      </c>
      <c r="B13112" t="s">
        <v>1624</v>
      </c>
      <c r="C13112" t="s">
        <v>16074</v>
      </c>
      <c r="D13112" t="s">
        <v>17196</v>
      </c>
      <c r="E13112" t="s">
        <v>28411</v>
      </c>
      <c r="F13112" t="s">
        <v>29372</v>
      </c>
      <c r="G13112" t="s">
        <v>29380</v>
      </c>
      <c r="H13112" t="s">
        <v>11048</v>
      </c>
      <c r="I13112" t="s">
        <v>9469</v>
      </c>
      <c r="J13112" t="s">
        <v>37810</v>
      </c>
      <c r="K13112" t="s">
        <v>38485</v>
      </c>
      <c r="L13112" t="s">
        <v>1624</v>
      </c>
      <c r="M13112" t="s">
        <v>40478</v>
      </c>
      <c r="N13112" t="s">
        <v>42669</v>
      </c>
      <c r="O13112" t="s">
        <v>42670</v>
      </c>
      <c r="P13112">
        <v>0</v>
      </c>
      <c r="Q13112">
        <v>3</v>
      </c>
      <c r="R13112" t="s">
        <v>42691</v>
      </c>
      <c r="S13112" t="s">
        <v>43726</v>
      </c>
      <c r="T13112" t="s">
        <v>44488</v>
      </c>
      <c r="U13112" t="s">
        <v>48507</v>
      </c>
      <c r="V13112" t="s">
        <v>56853</v>
      </c>
      <c r="W13112" t="s">
        <v>40478</v>
      </c>
      <c r="X13112" t="s">
        <v>42692</v>
      </c>
    </row>
    <row r="13113" spans="1:24">
      <c r="A13113">
        <f>HYPERLINK("https://www.philgeps.gov.ph/GEPSNONPILOT/Tender/SplashBidNoticeAbstractUI.aspx?menuIndex=3&amp;refID=7154294&amp;Result=3","7154294")</f>
        <v>0</v>
      </c>
      <c r="B13113" t="s">
        <v>278</v>
      </c>
      <c r="C13113" t="s">
        <v>16075</v>
      </c>
      <c r="D13113" t="s">
        <v>17206</v>
      </c>
      <c r="E13113" t="s">
        <v>28412</v>
      </c>
      <c r="F13113" t="s">
        <v>29372</v>
      </c>
      <c r="G13113" t="s">
        <v>29380</v>
      </c>
      <c r="H13113" t="s">
        <v>11048</v>
      </c>
      <c r="I13113" t="s">
        <v>29423</v>
      </c>
      <c r="J13113" t="s">
        <v>30161</v>
      </c>
      <c r="K13113" t="s">
        <v>38496</v>
      </c>
      <c r="M13113" t="s">
        <v>39138</v>
      </c>
      <c r="N13113" t="s">
        <v>42669</v>
      </c>
      <c r="O13113" t="s">
        <v>42670</v>
      </c>
      <c r="Q13113">
        <v>8</v>
      </c>
      <c r="R13113" t="s">
        <v>42691</v>
      </c>
      <c r="S13113" t="s">
        <v>43764</v>
      </c>
      <c r="T13113" t="s">
        <v>44554</v>
      </c>
      <c r="U13113" t="s">
        <v>55488</v>
      </c>
      <c r="W13113" t="s">
        <v>39138</v>
      </c>
      <c r="X13113" t="s">
        <v>42692</v>
      </c>
    </row>
    <row r="13114" spans="1:24">
      <c r="A13114">
        <f>HYPERLINK("https://www.philgeps.gov.ph/GEPSNONPILOT/Tender/SplashBidNoticeAbstractUI.aspx?menuIndex=3&amp;refID=7154286&amp;Result=3","7154286")</f>
        <v>0</v>
      </c>
      <c r="B13114" t="s">
        <v>3081</v>
      </c>
      <c r="C13114" t="s">
        <v>16076</v>
      </c>
      <c r="D13114" t="s">
        <v>17143</v>
      </c>
      <c r="E13114" t="s">
        <v>28413</v>
      </c>
      <c r="F13114" t="s">
        <v>29372</v>
      </c>
      <c r="G13114" t="s">
        <v>29380</v>
      </c>
      <c r="H13114" t="s">
        <v>29389</v>
      </c>
      <c r="I13114" t="s">
        <v>10408</v>
      </c>
      <c r="J13114" t="s">
        <v>29543</v>
      </c>
      <c r="K13114" t="s">
        <v>38525</v>
      </c>
      <c r="M13114" t="s">
        <v>42110</v>
      </c>
      <c r="N13114" t="s">
        <v>42669</v>
      </c>
      <c r="O13114" t="s">
        <v>42670</v>
      </c>
      <c r="P13114">
        <v>0</v>
      </c>
      <c r="Q13114">
        <v>2</v>
      </c>
      <c r="R13114" t="s">
        <v>42691</v>
      </c>
      <c r="S13114" t="s">
        <v>43726</v>
      </c>
      <c r="T13114" t="s">
        <v>44488</v>
      </c>
      <c r="U13114" t="s">
        <v>55489</v>
      </c>
      <c r="W13114" t="s">
        <v>42110</v>
      </c>
      <c r="X13114" t="s">
        <v>42692</v>
      </c>
    </row>
    <row r="13115" spans="1:24">
      <c r="A13115">
        <f>HYPERLINK("https://www.philgeps.gov.ph/GEPSNONPILOT/Tender/SplashBidNoticeAbstractUI.aspx?menuIndex=3&amp;refID=7153994&amp;Result=3","7153994")</f>
        <v>0</v>
      </c>
      <c r="B13115" t="s">
        <v>3073</v>
      </c>
      <c r="C13115" t="s">
        <v>16077</v>
      </c>
      <c r="D13115" t="s">
        <v>17192</v>
      </c>
      <c r="E13115" t="s">
        <v>28414</v>
      </c>
      <c r="F13115" t="s">
        <v>29372</v>
      </c>
      <c r="G13115" t="s">
        <v>29380</v>
      </c>
      <c r="H13115" t="s">
        <v>11048</v>
      </c>
      <c r="I13115" t="s">
        <v>29400</v>
      </c>
      <c r="J13115" t="s">
        <v>36509</v>
      </c>
      <c r="K13115" t="s">
        <v>38490</v>
      </c>
      <c r="M13115" t="s">
        <v>42101</v>
      </c>
      <c r="N13115" t="s">
        <v>42669</v>
      </c>
      <c r="O13115" t="s">
        <v>42670</v>
      </c>
      <c r="P13115">
        <v>0</v>
      </c>
      <c r="Q13115">
        <v>14</v>
      </c>
      <c r="R13115" t="s">
        <v>42691</v>
      </c>
      <c r="S13115" t="s">
        <v>43726</v>
      </c>
      <c r="T13115" t="s">
        <v>44498</v>
      </c>
      <c r="U13115" t="s">
        <v>55490</v>
      </c>
      <c r="W13115" t="s">
        <v>42101</v>
      </c>
      <c r="X13115" t="s">
        <v>42692</v>
      </c>
    </row>
    <row r="13116" spans="1:24">
      <c r="A13116">
        <f>HYPERLINK("https://www.philgeps.gov.ph/GEPSNONPILOT/Tender/SplashBidNoticeAbstractUI.aspx?menuIndex=3&amp;refID=7154059&amp;Result=3","7154059")</f>
        <v>0</v>
      </c>
      <c r="B13116" t="s">
        <v>1529</v>
      </c>
      <c r="C13116" t="s">
        <v>16078</v>
      </c>
      <c r="D13116" t="s">
        <v>17162</v>
      </c>
      <c r="E13116" t="s">
        <v>28415</v>
      </c>
      <c r="F13116" t="s">
        <v>29372</v>
      </c>
      <c r="G13116" t="s">
        <v>29380</v>
      </c>
      <c r="H13116" t="s">
        <v>11048</v>
      </c>
      <c r="I13116" t="s">
        <v>29433</v>
      </c>
      <c r="J13116" t="s">
        <v>30056</v>
      </c>
      <c r="K13116" t="s">
        <v>38490</v>
      </c>
      <c r="M13116" t="s">
        <v>40378</v>
      </c>
      <c r="N13116" t="s">
        <v>42669</v>
      </c>
      <c r="O13116" t="s">
        <v>42670</v>
      </c>
      <c r="P13116">
        <v>0</v>
      </c>
      <c r="Q13116">
        <v>14</v>
      </c>
      <c r="R13116" t="s">
        <v>42691</v>
      </c>
      <c r="S13116" t="s">
        <v>43726</v>
      </c>
      <c r="T13116" t="s">
        <v>44491</v>
      </c>
      <c r="U13116" t="s">
        <v>55491</v>
      </c>
      <c r="W13116" t="s">
        <v>40378</v>
      </c>
      <c r="X13116" t="s">
        <v>42692</v>
      </c>
    </row>
    <row r="13117" spans="1:24">
      <c r="A13117">
        <f>HYPERLINK("https://www.philgeps.gov.ph/GEPSNONPILOT/Tender/SplashBidNoticeAbstractUI.aspx?menuIndex=3&amp;refID=7154246&amp;Result=3","7154246")</f>
        <v>0</v>
      </c>
      <c r="B13117" t="s">
        <v>863</v>
      </c>
      <c r="C13117" t="s">
        <v>16079</v>
      </c>
      <c r="D13117" t="s">
        <v>17193</v>
      </c>
      <c r="E13117" t="s">
        <v>28416</v>
      </c>
      <c r="F13117" t="s">
        <v>29372</v>
      </c>
      <c r="G13117" t="s">
        <v>29380</v>
      </c>
      <c r="H13117" t="s">
        <v>11048</v>
      </c>
      <c r="I13117" t="s">
        <v>9469</v>
      </c>
      <c r="J13117" t="s">
        <v>30787</v>
      </c>
      <c r="K13117" t="s">
        <v>38488</v>
      </c>
      <c r="M13117" t="s">
        <v>39655</v>
      </c>
      <c r="N13117" t="s">
        <v>42669</v>
      </c>
      <c r="O13117" t="s">
        <v>42670</v>
      </c>
      <c r="Q13117">
        <v>2</v>
      </c>
      <c r="R13117" t="s">
        <v>42691</v>
      </c>
      <c r="S13117" t="s">
        <v>43765</v>
      </c>
      <c r="T13117" t="s">
        <v>44585</v>
      </c>
      <c r="U13117" t="s">
        <v>55492</v>
      </c>
      <c r="W13117" t="s">
        <v>39655</v>
      </c>
      <c r="X13117" t="s">
        <v>42692</v>
      </c>
    </row>
    <row r="13118" spans="1:24">
      <c r="A13118">
        <f>HYPERLINK("https://www.philgeps.gov.ph/GEPSNONPILOT/Tender/SplashBidNoticeAbstractUI.aspx?menuIndex=3&amp;refID=7153970&amp;Result=3","7153970")</f>
        <v>0</v>
      </c>
      <c r="B13118" t="s">
        <v>1665</v>
      </c>
      <c r="C13118" t="s">
        <v>16080</v>
      </c>
      <c r="D13118" t="s">
        <v>17147</v>
      </c>
      <c r="E13118" t="s">
        <v>28417</v>
      </c>
      <c r="F13118" t="s">
        <v>29372</v>
      </c>
      <c r="G13118" t="s">
        <v>29380</v>
      </c>
      <c r="H13118" t="s">
        <v>11048</v>
      </c>
      <c r="I13118" t="s">
        <v>4709</v>
      </c>
      <c r="J13118" t="s">
        <v>37811</v>
      </c>
      <c r="K13118" t="s">
        <v>38485</v>
      </c>
      <c r="M13118" t="s">
        <v>40524</v>
      </c>
      <c r="N13118" t="s">
        <v>42669</v>
      </c>
      <c r="O13118" t="s">
        <v>42670</v>
      </c>
      <c r="P13118">
        <v>0</v>
      </c>
      <c r="Q13118">
        <v>0</v>
      </c>
      <c r="R13118" t="s">
        <v>42691</v>
      </c>
      <c r="S13118" t="s">
        <v>43726</v>
      </c>
      <c r="T13118" t="s">
        <v>44432</v>
      </c>
      <c r="U13118" t="s">
        <v>55493</v>
      </c>
      <c r="V13118" t="s">
        <v>57879</v>
      </c>
      <c r="W13118" t="s">
        <v>40524</v>
      </c>
      <c r="X13118" t="s">
        <v>42692</v>
      </c>
    </row>
    <row r="13119" spans="1:24">
      <c r="A13119">
        <f>HYPERLINK("https://www.philgeps.gov.ph/GEPSNONPILOT/Tender/SplashBidNoticeAbstractUI.aspx?menuIndex=3&amp;refID=7154240&amp;Result=3","7154240")</f>
        <v>0</v>
      </c>
      <c r="B13119" t="s">
        <v>2108</v>
      </c>
      <c r="C13119" t="s">
        <v>16081</v>
      </c>
      <c r="D13119" t="s">
        <v>17170</v>
      </c>
      <c r="E13119" t="s">
        <v>28418</v>
      </c>
      <c r="F13119" t="s">
        <v>29372</v>
      </c>
      <c r="G13119" t="s">
        <v>29380</v>
      </c>
      <c r="H13119" t="s">
        <v>29389</v>
      </c>
      <c r="I13119" t="s">
        <v>10408</v>
      </c>
      <c r="J13119" t="s">
        <v>37812</v>
      </c>
      <c r="K13119" t="s">
        <v>38529</v>
      </c>
      <c r="M13119" t="s">
        <v>42443</v>
      </c>
      <c r="N13119" t="s">
        <v>42669</v>
      </c>
      <c r="O13119" t="s">
        <v>42670</v>
      </c>
      <c r="P13119">
        <v>0</v>
      </c>
      <c r="Q13119">
        <v>4</v>
      </c>
      <c r="R13119" t="s">
        <v>42691</v>
      </c>
      <c r="S13119" t="s">
        <v>43726</v>
      </c>
      <c r="T13119" t="s">
        <v>44488</v>
      </c>
      <c r="U13119" t="s">
        <v>55494</v>
      </c>
      <c r="W13119" t="s">
        <v>42443</v>
      </c>
      <c r="X13119" t="s">
        <v>42692</v>
      </c>
    </row>
    <row r="13120" spans="1:24">
      <c r="A13120">
        <f>HYPERLINK("https://www.philgeps.gov.ph/GEPSNONPILOT/Tender/SplashBidNoticeAbstractUI.aspx?menuIndex=3&amp;refID=7154290&amp;Result=3","7154290")</f>
        <v>0</v>
      </c>
      <c r="B13120" t="s">
        <v>586</v>
      </c>
      <c r="C13120" t="s">
        <v>16082</v>
      </c>
      <c r="D13120" t="s">
        <v>17161</v>
      </c>
      <c r="E13120" t="s">
        <v>28419</v>
      </c>
      <c r="F13120" t="s">
        <v>29372</v>
      </c>
      <c r="G13120" t="s">
        <v>29380</v>
      </c>
      <c r="H13120" t="s">
        <v>11048</v>
      </c>
      <c r="I13120" t="s">
        <v>9469</v>
      </c>
      <c r="J13120" t="s">
        <v>29615</v>
      </c>
      <c r="K13120" t="s">
        <v>38490</v>
      </c>
      <c r="M13120" t="s">
        <v>39355</v>
      </c>
      <c r="N13120" t="s">
        <v>42669</v>
      </c>
      <c r="O13120" t="s">
        <v>42670</v>
      </c>
      <c r="P13120">
        <v>0</v>
      </c>
      <c r="Q13120">
        <v>4</v>
      </c>
      <c r="R13120" t="s">
        <v>42691</v>
      </c>
      <c r="S13120" t="s">
        <v>43726</v>
      </c>
      <c r="T13120" t="s">
        <v>44488</v>
      </c>
      <c r="U13120" t="s">
        <v>55495</v>
      </c>
      <c r="W13120" t="s">
        <v>39355</v>
      </c>
      <c r="X13120" t="s">
        <v>42692</v>
      </c>
    </row>
    <row r="13121" spans="1:24">
      <c r="A13121">
        <f>HYPERLINK("https://www.philgeps.gov.ph/GEPSNONPILOT/Tender/SplashBidNoticeAbstractUI.aspx?menuIndex=3&amp;refID=7154224&amp;Result=3","7154224")</f>
        <v>0</v>
      </c>
      <c r="B13121" t="s">
        <v>508</v>
      </c>
      <c r="C13121" t="s">
        <v>16083</v>
      </c>
      <c r="D13121" t="s">
        <v>17188</v>
      </c>
      <c r="E13121" t="s">
        <v>16083</v>
      </c>
      <c r="F13121" t="s">
        <v>29372</v>
      </c>
      <c r="G13121" t="s">
        <v>29380</v>
      </c>
      <c r="H13121" t="s">
        <v>11048</v>
      </c>
      <c r="I13121" t="s">
        <v>3695</v>
      </c>
      <c r="J13121" t="s">
        <v>37813</v>
      </c>
      <c r="K13121" t="s">
        <v>38490</v>
      </c>
      <c r="M13121" t="s">
        <v>41360</v>
      </c>
      <c r="N13121" t="s">
        <v>42669</v>
      </c>
      <c r="O13121" t="s">
        <v>42670</v>
      </c>
      <c r="Q13121">
        <v>8</v>
      </c>
      <c r="R13121" t="s">
        <v>42691</v>
      </c>
      <c r="S13121" t="s">
        <v>43766</v>
      </c>
      <c r="T13121" t="s">
        <v>44432</v>
      </c>
      <c r="U13121" t="s">
        <v>55496</v>
      </c>
      <c r="V13121" t="s">
        <v>57193</v>
      </c>
      <c r="W13121" t="s">
        <v>41360</v>
      </c>
      <c r="X13121" t="s">
        <v>42692</v>
      </c>
    </row>
    <row r="13122" spans="1:24">
      <c r="A13122">
        <f>HYPERLINK("https://www.philgeps.gov.ph/GEPSNONPILOT/Tender/SplashBidNoticeAbstractUI.aspx?menuIndex=3&amp;refID=7154233&amp;Result=3","7154233")</f>
        <v>0</v>
      </c>
      <c r="B13122" t="s">
        <v>142</v>
      </c>
      <c r="C13122" t="s">
        <v>16084</v>
      </c>
      <c r="D13122" t="s">
        <v>17167</v>
      </c>
      <c r="E13122" t="s">
        <v>23396</v>
      </c>
      <c r="F13122" t="s">
        <v>29372</v>
      </c>
      <c r="G13122" t="s">
        <v>29380</v>
      </c>
      <c r="H13122" t="s">
        <v>11048</v>
      </c>
      <c r="I13122" t="s">
        <v>29415</v>
      </c>
      <c r="J13122" t="s">
        <v>31498</v>
      </c>
      <c r="K13122" t="s">
        <v>38496</v>
      </c>
      <c r="L13122" t="s">
        <v>142</v>
      </c>
      <c r="M13122" t="s">
        <v>38897</v>
      </c>
      <c r="N13122" t="s">
        <v>42669</v>
      </c>
      <c r="O13122" t="s">
        <v>42670</v>
      </c>
      <c r="P13122">
        <v>0</v>
      </c>
      <c r="Q13122">
        <v>6</v>
      </c>
      <c r="R13122" t="s">
        <v>42691</v>
      </c>
      <c r="S13122" t="s">
        <v>43726</v>
      </c>
      <c r="T13122" t="s">
        <v>44570</v>
      </c>
      <c r="U13122" t="s">
        <v>55497</v>
      </c>
      <c r="V13122" t="s">
        <v>57880</v>
      </c>
      <c r="W13122" t="s">
        <v>38897</v>
      </c>
      <c r="X13122" t="s">
        <v>42692</v>
      </c>
    </row>
    <row r="13123" spans="1:24">
      <c r="A13123">
        <f>HYPERLINK("https://www.philgeps.gov.ph/GEPSNONPILOT/Tender/SplashBidNoticeAbstractUI.aspx?menuIndex=3&amp;refID=7154232&amp;Result=3","7154232")</f>
        <v>0</v>
      </c>
      <c r="B13123" t="s">
        <v>2020</v>
      </c>
      <c r="C13123" t="s">
        <v>16085</v>
      </c>
      <c r="D13123" t="s">
        <v>17177</v>
      </c>
      <c r="E13123" t="s">
        <v>28420</v>
      </c>
      <c r="F13123" t="s">
        <v>29372</v>
      </c>
      <c r="G13123" t="s">
        <v>29380</v>
      </c>
      <c r="H13123" t="s">
        <v>29389</v>
      </c>
      <c r="I13123" t="s">
        <v>10408</v>
      </c>
      <c r="J13123" t="s">
        <v>37814</v>
      </c>
      <c r="K13123" t="s">
        <v>38496</v>
      </c>
      <c r="M13123" t="s">
        <v>41241</v>
      </c>
      <c r="N13123" t="s">
        <v>42669</v>
      </c>
      <c r="O13123" t="s">
        <v>42670</v>
      </c>
      <c r="P13123">
        <v>0</v>
      </c>
      <c r="Q13123">
        <v>0</v>
      </c>
      <c r="R13123" t="s">
        <v>42691</v>
      </c>
      <c r="S13123" t="s">
        <v>43726</v>
      </c>
      <c r="T13123" t="s">
        <v>44371</v>
      </c>
      <c r="U13123" t="s">
        <v>55463</v>
      </c>
      <c r="V13123" t="s">
        <v>57146</v>
      </c>
      <c r="W13123" t="s">
        <v>41241</v>
      </c>
      <c r="X13123" t="s">
        <v>42692</v>
      </c>
    </row>
    <row r="13124" spans="1:24">
      <c r="A13124">
        <f>HYPERLINK("https://www.philgeps.gov.ph/GEPSNONPILOT/Tender/SplashBidNoticeAbstractUI.aspx?menuIndex=3&amp;refID=7154169&amp;Result=3","7154169")</f>
        <v>0</v>
      </c>
      <c r="B13124" t="s">
        <v>1665</v>
      </c>
      <c r="C13124" t="s">
        <v>16086</v>
      </c>
      <c r="D13124" t="s">
        <v>17147</v>
      </c>
      <c r="E13124" t="s">
        <v>28421</v>
      </c>
      <c r="F13124" t="s">
        <v>29372</v>
      </c>
      <c r="G13124" t="s">
        <v>29380</v>
      </c>
      <c r="H13124" t="s">
        <v>29389</v>
      </c>
      <c r="I13124" t="s">
        <v>10408</v>
      </c>
      <c r="J13124" t="s">
        <v>37815</v>
      </c>
      <c r="K13124" t="s">
        <v>38495</v>
      </c>
      <c r="M13124" t="s">
        <v>40524</v>
      </c>
      <c r="N13124" t="s">
        <v>42669</v>
      </c>
      <c r="O13124" t="s">
        <v>42670</v>
      </c>
      <c r="P13124">
        <v>0</v>
      </c>
      <c r="Q13124">
        <v>0</v>
      </c>
      <c r="R13124" t="s">
        <v>42691</v>
      </c>
      <c r="S13124" t="s">
        <v>43726</v>
      </c>
      <c r="T13124" t="s">
        <v>44432</v>
      </c>
      <c r="U13124" t="s">
        <v>55498</v>
      </c>
      <c r="V13124" t="s">
        <v>57881</v>
      </c>
      <c r="W13124" t="s">
        <v>40524</v>
      </c>
      <c r="X13124" t="s">
        <v>42692</v>
      </c>
    </row>
    <row r="13125" spans="1:24">
      <c r="A13125">
        <f>HYPERLINK("https://www.philgeps.gov.ph/GEPSNONPILOT/Tender/SplashBidNoticeAbstractUI.aspx?menuIndex=3&amp;refID=7154269&amp;Result=3","7154269")</f>
        <v>0</v>
      </c>
      <c r="B13125" t="s">
        <v>2108</v>
      </c>
      <c r="C13125" t="s">
        <v>16087</v>
      </c>
      <c r="D13125" t="s">
        <v>17170</v>
      </c>
      <c r="E13125" t="s">
        <v>28422</v>
      </c>
      <c r="F13125" t="s">
        <v>29372</v>
      </c>
      <c r="G13125" t="s">
        <v>29380</v>
      </c>
      <c r="H13125" t="s">
        <v>29389</v>
      </c>
      <c r="I13125" t="s">
        <v>10408</v>
      </c>
      <c r="J13125" t="s">
        <v>37816</v>
      </c>
      <c r="K13125" t="s">
        <v>38556</v>
      </c>
      <c r="M13125" t="s">
        <v>42443</v>
      </c>
      <c r="N13125" t="s">
        <v>42669</v>
      </c>
      <c r="O13125" t="s">
        <v>42670</v>
      </c>
      <c r="P13125">
        <v>0</v>
      </c>
      <c r="Q13125">
        <v>3</v>
      </c>
      <c r="R13125" t="s">
        <v>42691</v>
      </c>
      <c r="S13125" t="s">
        <v>43726</v>
      </c>
      <c r="T13125" t="s">
        <v>44488</v>
      </c>
      <c r="U13125" t="s">
        <v>55499</v>
      </c>
      <c r="W13125" t="s">
        <v>42443</v>
      </c>
      <c r="X13125" t="s">
        <v>42692</v>
      </c>
    </row>
    <row r="13126" spans="1:24">
      <c r="A13126">
        <f>HYPERLINK("https://www.philgeps.gov.ph/GEPSNONPILOT/Tender/SplashBidNoticeAbstractUI.aspx?menuIndex=3&amp;refID=7154159&amp;Result=3","7154159")</f>
        <v>0</v>
      </c>
      <c r="B13126" t="s">
        <v>1204</v>
      </c>
      <c r="C13126" t="s">
        <v>16088</v>
      </c>
      <c r="E13126" t="s">
        <v>28423</v>
      </c>
      <c r="F13126" t="s">
        <v>29372</v>
      </c>
      <c r="G13126" t="s">
        <v>29380</v>
      </c>
      <c r="H13126" t="s">
        <v>11048</v>
      </c>
      <c r="I13126" t="s">
        <v>3670</v>
      </c>
      <c r="J13126" t="s">
        <v>30087</v>
      </c>
      <c r="K13126" t="s">
        <v>38490</v>
      </c>
      <c r="M13126" t="s">
        <v>40021</v>
      </c>
      <c r="N13126" t="s">
        <v>42669</v>
      </c>
      <c r="O13126" t="s">
        <v>42670</v>
      </c>
      <c r="P13126">
        <v>0</v>
      </c>
      <c r="Q13126">
        <v>3</v>
      </c>
      <c r="R13126" t="s">
        <v>42691</v>
      </c>
      <c r="S13126" t="s">
        <v>43726</v>
      </c>
      <c r="T13126" t="s">
        <v>44629</v>
      </c>
      <c r="U13126" t="s">
        <v>55500</v>
      </c>
      <c r="W13126" t="s">
        <v>40021</v>
      </c>
      <c r="X13126" t="s">
        <v>42692</v>
      </c>
    </row>
    <row r="13127" spans="1:24">
      <c r="A13127">
        <f>HYPERLINK("https://www.philgeps.gov.ph/GEPSNONPILOT/Tender/SplashBidNoticeAbstractUI.aspx?menuIndex=3&amp;refID=7154153&amp;Result=3","7154153")</f>
        <v>0</v>
      </c>
      <c r="B13127" t="s">
        <v>3431</v>
      </c>
      <c r="C13127" t="s">
        <v>16089</v>
      </c>
      <c r="D13127" t="s">
        <v>17141</v>
      </c>
      <c r="E13127" t="s">
        <v>28424</v>
      </c>
      <c r="F13127" t="s">
        <v>29372</v>
      </c>
      <c r="G13127" t="s">
        <v>29380</v>
      </c>
      <c r="H13127" t="s">
        <v>11048</v>
      </c>
      <c r="I13127" t="s">
        <v>4486</v>
      </c>
      <c r="J13127" t="s">
        <v>37817</v>
      </c>
      <c r="K13127" t="s">
        <v>38496</v>
      </c>
      <c r="M13127" t="s">
        <v>42536</v>
      </c>
      <c r="N13127" t="s">
        <v>42669</v>
      </c>
      <c r="O13127" t="s">
        <v>42670</v>
      </c>
      <c r="Q13127">
        <v>27</v>
      </c>
      <c r="R13127" t="s">
        <v>42691</v>
      </c>
      <c r="S13127" t="s">
        <v>43430</v>
      </c>
      <c r="T13127" t="s">
        <v>44493</v>
      </c>
      <c r="U13127" t="s">
        <v>55501</v>
      </c>
      <c r="W13127" t="s">
        <v>42536</v>
      </c>
      <c r="X13127" t="s">
        <v>42692</v>
      </c>
    </row>
    <row r="13128" spans="1:24">
      <c r="A13128">
        <f>HYPERLINK("https://www.philgeps.gov.ph/GEPSNONPILOT/Tender/SplashBidNoticeAbstractUI.aspx?menuIndex=3&amp;refID=7153862&amp;Result=3","7153862")</f>
        <v>0</v>
      </c>
      <c r="B13128" t="s">
        <v>1677</v>
      </c>
      <c r="C13128" t="s">
        <v>16090</v>
      </c>
      <c r="E13128" t="s">
        <v>28425</v>
      </c>
      <c r="F13128" t="s">
        <v>29372</v>
      </c>
      <c r="G13128" t="s">
        <v>29380</v>
      </c>
      <c r="H13128" t="s">
        <v>11048</v>
      </c>
      <c r="I13128" t="s">
        <v>29407</v>
      </c>
      <c r="J13128" t="s">
        <v>37818</v>
      </c>
      <c r="K13128" t="s">
        <v>38485</v>
      </c>
      <c r="M13128" t="s">
        <v>41170</v>
      </c>
      <c r="N13128" t="s">
        <v>42669</v>
      </c>
      <c r="O13128" t="s">
        <v>42670</v>
      </c>
      <c r="P13128">
        <v>0</v>
      </c>
      <c r="Q13128">
        <v>2</v>
      </c>
      <c r="R13128" t="s">
        <v>42691</v>
      </c>
      <c r="S13128" t="s">
        <v>43726</v>
      </c>
      <c r="T13128" t="s">
        <v>44488</v>
      </c>
      <c r="U13128" t="s">
        <v>55502</v>
      </c>
      <c r="W13128" t="s">
        <v>41170</v>
      </c>
      <c r="X13128" t="s">
        <v>42692</v>
      </c>
    </row>
    <row r="13129" spans="1:24">
      <c r="A13129">
        <f>HYPERLINK("https://www.philgeps.gov.ph/GEPSNONPILOT/Tender/SplashBidNoticeAbstractUI.aspx?menuIndex=3&amp;refID=7154187&amp;Result=3","7154187")</f>
        <v>0</v>
      </c>
      <c r="B13129" t="s">
        <v>2020</v>
      </c>
      <c r="C13129" t="s">
        <v>16091</v>
      </c>
      <c r="D13129" t="s">
        <v>17177</v>
      </c>
      <c r="E13129" t="s">
        <v>28426</v>
      </c>
      <c r="F13129" t="s">
        <v>29372</v>
      </c>
      <c r="G13129" t="s">
        <v>29380</v>
      </c>
      <c r="H13129" t="s">
        <v>29389</v>
      </c>
      <c r="I13129" t="s">
        <v>10408</v>
      </c>
      <c r="J13129" t="s">
        <v>37819</v>
      </c>
      <c r="K13129" t="s">
        <v>38525</v>
      </c>
      <c r="M13129" t="s">
        <v>41241</v>
      </c>
      <c r="N13129" t="s">
        <v>42669</v>
      </c>
      <c r="O13129" t="s">
        <v>42670</v>
      </c>
      <c r="P13129">
        <v>0</v>
      </c>
      <c r="Q13129">
        <v>0</v>
      </c>
      <c r="R13129" t="s">
        <v>42691</v>
      </c>
      <c r="S13129" t="s">
        <v>43726</v>
      </c>
      <c r="T13129" t="s">
        <v>44371</v>
      </c>
      <c r="U13129" t="s">
        <v>55463</v>
      </c>
      <c r="V13129" t="s">
        <v>57146</v>
      </c>
      <c r="W13129" t="s">
        <v>41241</v>
      </c>
      <c r="X13129" t="s">
        <v>42692</v>
      </c>
    </row>
    <row r="13130" spans="1:24">
      <c r="A13130">
        <f>HYPERLINK("https://www.philgeps.gov.ph/GEPSNONPILOT/Tender/SplashBidNoticeAbstractUI.aspx?menuIndex=3&amp;refID=7154221&amp;Result=3","7154221")</f>
        <v>0</v>
      </c>
      <c r="B13130" t="s">
        <v>3431</v>
      </c>
      <c r="C13130" t="s">
        <v>16092</v>
      </c>
      <c r="D13130" t="s">
        <v>17141</v>
      </c>
      <c r="E13130" t="s">
        <v>28427</v>
      </c>
      <c r="F13130" t="s">
        <v>29372</v>
      </c>
      <c r="G13130" t="s">
        <v>29380</v>
      </c>
      <c r="H13130" t="s">
        <v>11048</v>
      </c>
      <c r="I13130" t="s">
        <v>4486</v>
      </c>
      <c r="J13130" t="s">
        <v>32053</v>
      </c>
      <c r="K13130" t="s">
        <v>38496</v>
      </c>
      <c r="M13130" t="s">
        <v>42536</v>
      </c>
      <c r="N13130" t="s">
        <v>42669</v>
      </c>
      <c r="O13130" t="s">
        <v>42670</v>
      </c>
      <c r="Q13130">
        <v>25</v>
      </c>
      <c r="R13130" t="s">
        <v>42691</v>
      </c>
      <c r="S13130" t="s">
        <v>43767</v>
      </c>
      <c r="T13130" t="s">
        <v>44493</v>
      </c>
      <c r="U13130" t="s">
        <v>55503</v>
      </c>
      <c r="W13130" t="s">
        <v>42536</v>
      </c>
      <c r="X13130" t="s">
        <v>42692</v>
      </c>
    </row>
    <row r="13131" spans="1:24">
      <c r="A13131">
        <f>HYPERLINK("https://www.philgeps.gov.ph/GEPSNONPILOT/Tender/SplashBidNoticeAbstractUI.aspx?menuIndex=3&amp;refID=7154307&amp;Result=3","7154307")</f>
        <v>0</v>
      </c>
      <c r="B13131" t="s">
        <v>3431</v>
      </c>
      <c r="C13131" t="s">
        <v>16093</v>
      </c>
      <c r="D13131" t="s">
        <v>17141</v>
      </c>
      <c r="E13131" t="s">
        <v>28428</v>
      </c>
      <c r="F13131" t="s">
        <v>29372</v>
      </c>
      <c r="G13131" t="s">
        <v>29380</v>
      </c>
      <c r="H13131" t="s">
        <v>11048</v>
      </c>
      <c r="I13131" t="s">
        <v>4486</v>
      </c>
      <c r="J13131" t="s">
        <v>29604</v>
      </c>
      <c r="K13131" t="s">
        <v>38487</v>
      </c>
      <c r="M13131" t="s">
        <v>42536</v>
      </c>
      <c r="N13131" t="s">
        <v>42669</v>
      </c>
      <c r="O13131" t="s">
        <v>42670</v>
      </c>
      <c r="Q13131">
        <v>23</v>
      </c>
      <c r="R13131" t="s">
        <v>42691</v>
      </c>
      <c r="S13131" t="s">
        <v>43768</v>
      </c>
      <c r="T13131" t="s">
        <v>44493</v>
      </c>
      <c r="U13131" t="s">
        <v>55504</v>
      </c>
      <c r="W13131" t="s">
        <v>42536</v>
      </c>
      <c r="X13131" t="s">
        <v>42692</v>
      </c>
    </row>
    <row r="13132" spans="1:24">
      <c r="A13132">
        <f>HYPERLINK("https://www.philgeps.gov.ph/GEPSNONPILOT/Tender/SplashBidNoticeAbstractUI.aspx?menuIndex=3&amp;refID=7154302&amp;Result=3","7154302")</f>
        <v>0</v>
      </c>
      <c r="B13132" t="s">
        <v>142</v>
      </c>
      <c r="C13132" t="s">
        <v>16094</v>
      </c>
      <c r="D13132" t="s">
        <v>17167</v>
      </c>
      <c r="E13132" t="s">
        <v>28429</v>
      </c>
      <c r="F13132" t="s">
        <v>29372</v>
      </c>
      <c r="G13132" t="s">
        <v>29380</v>
      </c>
      <c r="H13132" t="s">
        <v>11048</v>
      </c>
      <c r="I13132" t="s">
        <v>29415</v>
      </c>
      <c r="J13132" t="s">
        <v>30161</v>
      </c>
      <c r="K13132" t="s">
        <v>38496</v>
      </c>
      <c r="L13132" t="s">
        <v>142</v>
      </c>
      <c r="M13132" t="s">
        <v>38897</v>
      </c>
      <c r="N13132" t="s">
        <v>42669</v>
      </c>
      <c r="O13132" t="s">
        <v>42670</v>
      </c>
      <c r="P13132">
        <v>0</v>
      </c>
      <c r="Q13132">
        <v>2</v>
      </c>
      <c r="R13132" t="s">
        <v>42691</v>
      </c>
      <c r="S13132" t="s">
        <v>43726</v>
      </c>
      <c r="T13132" t="s">
        <v>44570</v>
      </c>
      <c r="U13132" t="s">
        <v>55505</v>
      </c>
      <c r="V13132" t="s">
        <v>57880</v>
      </c>
      <c r="W13132" t="s">
        <v>38897</v>
      </c>
      <c r="X13132" t="s">
        <v>42692</v>
      </c>
    </row>
    <row r="13133" spans="1:24">
      <c r="A13133">
        <f>HYPERLINK("https://www.philgeps.gov.ph/GEPSNONPILOT/Tender/SplashBidNoticeAbstractUI.aspx?menuIndex=3&amp;refID=7154433&amp;Result=3","7154433")</f>
        <v>0</v>
      </c>
      <c r="B13133" t="s">
        <v>1998</v>
      </c>
      <c r="C13133" t="s">
        <v>16095</v>
      </c>
      <c r="D13133" t="s">
        <v>17148</v>
      </c>
      <c r="E13133" t="s">
        <v>28430</v>
      </c>
      <c r="F13133" t="s">
        <v>29372</v>
      </c>
      <c r="G13133" t="s">
        <v>29380</v>
      </c>
      <c r="H13133" t="s">
        <v>29389</v>
      </c>
      <c r="I13133" t="s">
        <v>10408</v>
      </c>
      <c r="J13133" t="s">
        <v>30056</v>
      </c>
      <c r="K13133" t="s">
        <v>38564</v>
      </c>
      <c r="M13133" t="s">
        <v>42537</v>
      </c>
      <c r="N13133" t="s">
        <v>42669</v>
      </c>
      <c r="O13133" t="s">
        <v>42670</v>
      </c>
      <c r="P13133">
        <v>0</v>
      </c>
      <c r="Q13133">
        <v>107</v>
      </c>
      <c r="R13133" t="s">
        <v>42691</v>
      </c>
      <c r="S13133" t="s">
        <v>43726</v>
      </c>
      <c r="T13133" t="s">
        <v>44488</v>
      </c>
      <c r="U13133" t="s">
        <v>55506</v>
      </c>
      <c r="V13133" t="s">
        <v>57882</v>
      </c>
      <c r="W13133" t="s">
        <v>42543</v>
      </c>
      <c r="X13133" t="s">
        <v>42692</v>
      </c>
    </row>
    <row r="13134" spans="1:24">
      <c r="A13134">
        <f>HYPERLINK("https://www.philgeps.gov.ph/GEPSNONPILOT/Tender/SplashBidNoticeAbstractUI.aspx?menuIndex=3&amp;refID=7154299&amp;Result=3","7154299")</f>
        <v>0</v>
      </c>
      <c r="B13134" t="s">
        <v>3432</v>
      </c>
      <c r="C13134" t="s">
        <v>5753</v>
      </c>
      <c r="D13134" t="s">
        <v>17204</v>
      </c>
      <c r="E13134" t="s">
        <v>28431</v>
      </c>
      <c r="F13134" t="s">
        <v>29372</v>
      </c>
      <c r="G13134" t="s">
        <v>29380</v>
      </c>
      <c r="H13134" t="s">
        <v>11048</v>
      </c>
      <c r="I13134" t="s">
        <v>4709</v>
      </c>
      <c r="J13134" t="s">
        <v>37820</v>
      </c>
      <c r="K13134" t="s">
        <v>38538</v>
      </c>
      <c r="M13134" t="s">
        <v>42538</v>
      </c>
      <c r="N13134" t="s">
        <v>42669</v>
      </c>
      <c r="O13134" t="s">
        <v>42670</v>
      </c>
      <c r="P13134">
        <v>0</v>
      </c>
      <c r="Q13134">
        <v>2</v>
      </c>
      <c r="R13134" t="s">
        <v>42691</v>
      </c>
      <c r="S13134" t="s">
        <v>43726</v>
      </c>
      <c r="T13134" t="s">
        <v>44432</v>
      </c>
      <c r="U13134" t="s">
        <v>55507</v>
      </c>
      <c r="W13134" t="s">
        <v>42538</v>
      </c>
      <c r="X13134" t="s">
        <v>42692</v>
      </c>
    </row>
    <row r="13135" spans="1:24">
      <c r="A13135">
        <f>HYPERLINK("https://www.philgeps.gov.ph/GEPSNONPILOT/Tender/SplashBidNoticeAbstractUI.aspx?menuIndex=3&amp;refID=7154158&amp;Result=3","7154158")</f>
        <v>0</v>
      </c>
      <c r="B13135" t="s">
        <v>2217</v>
      </c>
      <c r="C13135" t="s">
        <v>16096</v>
      </c>
      <c r="D13135" t="s">
        <v>17249</v>
      </c>
      <c r="E13135" t="s">
        <v>28432</v>
      </c>
      <c r="F13135" t="s">
        <v>29372</v>
      </c>
      <c r="G13135" t="s">
        <v>29380</v>
      </c>
      <c r="H13135" t="s">
        <v>11048</v>
      </c>
      <c r="I13135" t="s">
        <v>29415</v>
      </c>
      <c r="J13135" t="s">
        <v>29789</v>
      </c>
      <c r="K13135" t="s">
        <v>38496</v>
      </c>
      <c r="M13135" t="s">
        <v>41587</v>
      </c>
      <c r="N13135" t="s">
        <v>42669</v>
      </c>
      <c r="O13135" t="s">
        <v>42670</v>
      </c>
      <c r="P13135">
        <v>0</v>
      </c>
      <c r="Q13135">
        <v>0</v>
      </c>
      <c r="R13135" t="s">
        <v>42691</v>
      </c>
      <c r="S13135" t="s">
        <v>43726</v>
      </c>
      <c r="T13135" t="s">
        <v>44425</v>
      </c>
      <c r="U13135" t="s">
        <v>55508</v>
      </c>
      <c r="W13135" t="s">
        <v>41587</v>
      </c>
      <c r="X13135" t="s">
        <v>42692</v>
      </c>
    </row>
    <row r="13136" spans="1:24">
      <c r="A13136">
        <f>HYPERLINK("https://www.philgeps.gov.ph/GEPSNONPILOT/Tender/SplashBidNoticeAbstractUI.aspx?menuIndex=3&amp;refID=7154208&amp;Result=3","7154208")</f>
        <v>0</v>
      </c>
      <c r="B13136" t="s">
        <v>2108</v>
      </c>
      <c r="C13136" t="s">
        <v>16097</v>
      </c>
      <c r="D13136" t="s">
        <v>17170</v>
      </c>
      <c r="E13136" t="s">
        <v>28433</v>
      </c>
      <c r="F13136" t="s">
        <v>29372</v>
      </c>
      <c r="G13136" t="s">
        <v>29380</v>
      </c>
      <c r="H13136" t="s">
        <v>29389</v>
      </c>
      <c r="I13136" t="s">
        <v>10408</v>
      </c>
      <c r="J13136" t="s">
        <v>37821</v>
      </c>
      <c r="K13136" t="s">
        <v>38571</v>
      </c>
      <c r="M13136" t="s">
        <v>42443</v>
      </c>
      <c r="N13136" t="s">
        <v>42669</v>
      </c>
      <c r="O13136" t="s">
        <v>42670</v>
      </c>
      <c r="P13136">
        <v>0</v>
      </c>
      <c r="Q13136">
        <v>4</v>
      </c>
      <c r="R13136" t="s">
        <v>42691</v>
      </c>
      <c r="S13136" t="s">
        <v>43726</v>
      </c>
      <c r="T13136" t="s">
        <v>44488</v>
      </c>
      <c r="U13136" t="s">
        <v>55509</v>
      </c>
      <c r="W13136" t="s">
        <v>42443</v>
      </c>
      <c r="X13136" t="s">
        <v>42692</v>
      </c>
    </row>
    <row r="13137" spans="1:24">
      <c r="A13137">
        <f>HYPERLINK("https://www.philgeps.gov.ph/GEPSNONPILOT/Tender/SplashBidNoticeAbstractUI.aspx?menuIndex=3&amp;refID=7154464&amp;Result=3","7154464")</f>
        <v>0</v>
      </c>
      <c r="B13137" t="s">
        <v>3256</v>
      </c>
      <c r="C13137" t="s">
        <v>16098</v>
      </c>
      <c r="D13137" t="s">
        <v>17204</v>
      </c>
      <c r="E13137" t="s">
        <v>28434</v>
      </c>
      <c r="F13137" t="s">
        <v>29372</v>
      </c>
      <c r="G13137" t="s">
        <v>29380</v>
      </c>
      <c r="H13137" t="s">
        <v>29389</v>
      </c>
      <c r="I13137" t="s">
        <v>10408</v>
      </c>
      <c r="J13137" t="s">
        <v>37822</v>
      </c>
      <c r="K13137" t="s">
        <v>38487</v>
      </c>
      <c r="M13137" t="s">
        <v>42325</v>
      </c>
      <c r="N13137" t="s">
        <v>42669</v>
      </c>
      <c r="O13137" t="s">
        <v>42670</v>
      </c>
      <c r="P13137">
        <v>0</v>
      </c>
      <c r="Q13137">
        <v>8</v>
      </c>
      <c r="R13137" t="s">
        <v>42691</v>
      </c>
      <c r="S13137" t="s">
        <v>43726</v>
      </c>
      <c r="T13137" t="s">
        <v>44491</v>
      </c>
      <c r="U13137" t="s">
        <v>55510</v>
      </c>
      <c r="W13137" t="s">
        <v>58117</v>
      </c>
      <c r="X13137" t="s">
        <v>42692</v>
      </c>
    </row>
    <row r="13138" spans="1:24">
      <c r="A13138">
        <f>HYPERLINK("https://www.philgeps.gov.ph/GEPSNONPILOT/Tender/SplashBidNoticeAbstractUI.aspx?menuIndex=3&amp;refID=7154473&amp;Result=3","7154473")</f>
        <v>0</v>
      </c>
      <c r="B13138" t="s">
        <v>3433</v>
      </c>
      <c r="C13138" t="s">
        <v>16099</v>
      </c>
      <c r="D13138" t="s">
        <v>17177</v>
      </c>
      <c r="E13138" t="s">
        <v>28435</v>
      </c>
      <c r="F13138" t="s">
        <v>29372</v>
      </c>
      <c r="G13138" t="s">
        <v>29380</v>
      </c>
      <c r="H13138" t="s">
        <v>29389</v>
      </c>
      <c r="I13138" t="s">
        <v>10408</v>
      </c>
      <c r="J13138" t="s">
        <v>29555</v>
      </c>
      <c r="K13138" t="s">
        <v>38507</v>
      </c>
      <c r="M13138" t="s">
        <v>42539</v>
      </c>
      <c r="N13138" t="s">
        <v>42669</v>
      </c>
      <c r="O13138" t="s">
        <v>42670</v>
      </c>
      <c r="P13138">
        <v>0</v>
      </c>
      <c r="Q13138">
        <v>0</v>
      </c>
      <c r="R13138" t="s">
        <v>42691</v>
      </c>
      <c r="S13138" t="s">
        <v>43726</v>
      </c>
      <c r="T13138" t="s">
        <v>44425</v>
      </c>
      <c r="U13138" t="s">
        <v>55511</v>
      </c>
      <c r="V13138" t="s">
        <v>57883</v>
      </c>
      <c r="W13138" t="s">
        <v>42539</v>
      </c>
      <c r="X13138" t="s">
        <v>42692</v>
      </c>
    </row>
    <row r="13139" spans="1:24">
      <c r="A13139">
        <f>HYPERLINK("https://www.philgeps.gov.ph/GEPSNONPILOT/Tender/SplashBidNoticeAbstractUI.aspx?menuIndex=3&amp;refID=7154424&amp;Result=3","7154424")</f>
        <v>0</v>
      </c>
      <c r="B13139" t="s">
        <v>3179</v>
      </c>
      <c r="C13139" t="s">
        <v>16100</v>
      </c>
      <c r="D13139" t="s">
        <v>17204</v>
      </c>
      <c r="E13139" t="s">
        <v>28436</v>
      </c>
      <c r="F13139" t="s">
        <v>29372</v>
      </c>
      <c r="G13139" t="s">
        <v>29380</v>
      </c>
      <c r="H13139" t="s">
        <v>11048</v>
      </c>
      <c r="I13139" t="s">
        <v>29418</v>
      </c>
      <c r="J13139" t="s">
        <v>29590</v>
      </c>
      <c r="K13139" t="s">
        <v>38485</v>
      </c>
      <c r="M13139" t="s">
        <v>42234</v>
      </c>
      <c r="N13139" t="s">
        <v>42669</v>
      </c>
      <c r="O13139" t="s">
        <v>42670</v>
      </c>
      <c r="P13139">
        <v>0</v>
      </c>
      <c r="Q13139">
        <v>6</v>
      </c>
      <c r="R13139" t="s">
        <v>42691</v>
      </c>
      <c r="S13139" t="s">
        <v>43726</v>
      </c>
      <c r="T13139" t="s">
        <v>44491</v>
      </c>
      <c r="U13139" t="s">
        <v>55512</v>
      </c>
      <c r="W13139" t="s">
        <v>42234</v>
      </c>
      <c r="X13139" t="s">
        <v>42692</v>
      </c>
    </row>
    <row r="13140" spans="1:24">
      <c r="A13140">
        <f>HYPERLINK("https://www.philgeps.gov.ph/GEPSNONPILOT/Tender/SplashBidNoticeAbstractUI.aspx?menuIndex=3&amp;refID=7154471&amp;Result=3","7154471")</f>
        <v>0</v>
      </c>
      <c r="B13140" t="s">
        <v>508</v>
      </c>
      <c r="C13140" t="s">
        <v>16101</v>
      </c>
      <c r="D13140" t="s">
        <v>17188</v>
      </c>
      <c r="E13140" t="s">
        <v>16101</v>
      </c>
      <c r="F13140" t="s">
        <v>29372</v>
      </c>
      <c r="G13140" t="s">
        <v>29380</v>
      </c>
      <c r="H13140" t="s">
        <v>11048</v>
      </c>
      <c r="I13140" t="s">
        <v>29400</v>
      </c>
      <c r="J13140" t="s">
        <v>34509</v>
      </c>
      <c r="K13140" t="s">
        <v>38490</v>
      </c>
      <c r="M13140" t="s">
        <v>41360</v>
      </c>
      <c r="N13140" t="s">
        <v>42669</v>
      </c>
      <c r="O13140" t="s">
        <v>42670</v>
      </c>
      <c r="Q13140">
        <v>7</v>
      </c>
      <c r="R13140" t="s">
        <v>42691</v>
      </c>
      <c r="S13140" t="s">
        <v>43769</v>
      </c>
      <c r="T13140" t="s">
        <v>44432</v>
      </c>
      <c r="U13140" t="s">
        <v>55496</v>
      </c>
      <c r="V13140" t="s">
        <v>57193</v>
      </c>
      <c r="W13140" t="s">
        <v>41360</v>
      </c>
      <c r="X13140" t="s">
        <v>42692</v>
      </c>
    </row>
    <row r="13141" spans="1:24">
      <c r="A13141">
        <f>HYPERLINK("https://www.philgeps.gov.ph/GEPSNONPILOT/Tender/SplashBidNoticeAbstractUI.aspx?menuIndex=3&amp;refID=7154446&amp;Result=3","7154446")</f>
        <v>0</v>
      </c>
      <c r="B13141" t="s">
        <v>2792</v>
      </c>
      <c r="C13141" t="s">
        <v>16102</v>
      </c>
      <c r="D13141" t="s">
        <v>17226</v>
      </c>
      <c r="E13141" t="s">
        <v>28437</v>
      </c>
      <c r="F13141" t="s">
        <v>29372</v>
      </c>
      <c r="G13141" t="s">
        <v>29380</v>
      </c>
      <c r="H13141" t="s">
        <v>11048</v>
      </c>
      <c r="I13141" t="s">
        <v>3839</v>
      </c>
      <c r="J13141" t="s">
        <v>37823</v>
      </c>
      <c r="K13141" t="s">
        <v>38510</v>
      </c>
      <c r="M13141" t="s">
        <v>41780</v>
      </c>
      <c r="N13141" t="s">
        <v>42669</v>
      </c>
      <c r="O13141" t="s">
        <v>42670</v>
      </c>
      <c r="P13141">
        <v>0</v>
      </c>
      <c r="Q13141">
        <v>5</v>
      </c>
      <c r="R13141" t="s">
        <v>42691</v>
      </c>
      <c r="S13141" t="s">
        <v>43726</v>
      </c>
      <c r="T13141" t="s">
        <v>44488</v>
      </c>
      <c r="U13141" t="s">
        <v>55513</v>
      </c>
      <c r="W13141" t="s">
        <v>41780</v>
      </c>
      <c r="X13141" t="s">
        <v>42692</v>
      </c>
    </row>
    <row r="13142" spans="1:24">
      <c r="A13142">
        <f>HYPERLINK("https://www.philgeps.gov.ph/GEPSNONPILOT/Tender/SplashBidNoticeAbstractUI.aspx?menuIndex=3&amp;refID=7154461&amp;Result=3","7154461")</f>
        <v>0</v>
      </c>
      <c r="B13142" t="s">
        <v>465</v>
      </c>
      <c r="C13142" t="s">
        <v>16103</v>
      </c>
      <c r="D13142" t="s">
        <v>17168</v>
      </c>
      <c r="E13142" t="s">
        <v>28438</v>
      </c>
      <c r="F13142" t="s">
        <v>29372</v>
      </c>
      <c r="G13142" t="s">
        <v>29380</v>
      </c>
      <c r="H13142" t="s">
        <v>11048</v>
      </c>
      <c r="I13142" t="s">
        <v>29407</v>
      </c>
      <c r="J13142" t="s">
        <v>37824</v>
      </c>
      <c r="K13142" t="s">
        <v>38490</v>
      </c>
      <c r="M13142" t="s">
        <v>39229</v>
      </c>
      <c r="N13142" t="s">
        <v>42669</v>
      </c>
      <c r="O13142" t="s">
        <v>42670</v>
      </c>
      <c r="Q13142">
        <v>38</v>
      </c>
      <c r="R13142" t="s">
        <v>42691</v>
      </c>
      <c r="S13142" t="s">
        <v>43770</v>
      </c>
      <c r="T13142" t="s">
        <v>44491</v>
      </c>
      <c r="U13142" t="s">
        <v>55514</v>
      </c>
      <c r="W13142" t="s">
        <v>39229</v>
      </c>
      <c r="X13142" t="s">
        <v>42692</v>
      </c>
    </row>
    <row r="13143" spans="1:24">
      <c r="A13143">
        <f>HYPERLINK("https://www.philgeps.gov.ph/GEPSNONPILOT/Tender/SplashBidNoticeAbstractUI.aspx?menuIndex=3&amp;refID=7154423&amp;Result=3","7154423")</f>
        <v>0</v>
      </c>
      <c r="B13143" t="s">
        <v>3431</v>
      </c>
      <c r="C13143" t="s">
        <v>16104</v>
      </c>
      <c r="D13143" t="s">
        <v>17141</v>
      </c>
      <c r="E13143" t="s">
        <v>28439</v>
      </c>
      <c r="F13143" t="s">
        <v>29372</v>
      </c>
      <c r="G13143" t="s">
        <v>29380</v>
      </c>
      <c r="H13143" t="s">
        <v>11048</v>
      </c>
      <c r="I13143" t="s">
        <v>4486</v>
      </c>
      <c r="J13143" t="s">
        <v>33416</v>
      </c>
      <c r="K13143" t="s">
        <v>38487</v>
      </c>
      <c r="M13143" t="s">
        <v>42536</v>
      </c>
      <c r="N13143" t="s">
        <v>42669</v>
      </c>
      <c r="O13143" t="s">
        <v>42670</v>
      </c>
      <c r="Q13143">
        <v>15</v>
      </c>
      <c r="R13143" t="s">
        <v>42691</v>
      </c>
      <c r="S13143" t="s">
        <v>43328</v>
      </c>
      <c r="T13143" t="s">
        <v>44493</v>
      </c>
      <c r="U13143" t="s">
        <v>55515</v>
      </c>
      <c r="W13143" t="s">
        <v>42536</v>
      </c>
      <c r="X13143" t="s">
        <v>42692</v>
      </c>
    </row>
    <row r="13144" spans="1:24">
      <c r="A13144">
        <f>HYPERLINK("https://www.philgeps.gov.ph/GEPSNONPILOT/Tender/SplashBidNoticeAbstractUI.aspx?menuIndex=3&amp;refID=7154407&amp;Result=3","7154407")</f>
        <v>0</v>
      </c>
      <c r="B13144" t="s">
        <v>3434</v>
      </c>
      <c r="C13144" t="s">
        <v>16105</v>
      </c>
      <c r="D13144" t="s">
        <v>17205</v>
      </c>
      <c r="E13144" t="s">
        <v>28440</v>
      </c>
      <c r="F13144" t="s">
        <v>29372</v>
      </c>
      <c r="G13144" t="s">
        <v>29380</v>
      </c>
      <c r="H13144" t="s">
        <v>11048</v>
      </c>
      <c r="I13144" t="s">
        <v>4235</v>
      </c>
      <c r="J13144" t="s">
        <v>37825</v>
      </c>
      <c r="K13144" t="s">
        <v>38485</v>
      </c>
      <c r="M13144" t="s">
        <v>42540</v>
      </c>
      <c r="N13144" t="s">
        <v>42669</v>
      </c>
      <c r="O13144" t="s">
        <v>42670</v>
      </c>
      <c r="Q13144">
        <v>4</v>
      </c>
      <c r="R13144" t="s">
        <v>42691</v>
      </c>
      <c r="S13144" t="s">
        <v>43771</v>
      </c>
      <c r="T13144" t="s">
        <v>44382</v>
      </c>
      <c r="U13144" t="s">
        <v>55516</v>
      </c>
      <c r="W13144" t="s">
        <v>42540</v>
      </c>
      <c r="X13144" t="s">
        <v>42692</v>
      </c>
    </row>
    <row r="13145" spans="1:24">
      <c r="A13145">
        <f>HYPERLINK("https://www.philgeps.gov.ph/GEPSNONPILOT/Tender/SplashBidNoticeAbstractUI.aspx?menuIndex=3&amp;refID=7154399&amp;Result=3","7154399")</f>
        <v>0</v>
      </c>
      <c r="B13145" t="s">
        <v>3179</v>
      </c>
      <c r="C13145" t="s">
        <v>16106</v>
      </c>
      <c r="D13145" t="s">
        <v>17204</v>
      </c>
      <c r="E13145" t="s">
        <v>28441</v>
      </c>
      <c r="F13145" t="s">
        <v>29372</v>
      </c>
      <c r="G13145" t="s">
        <v>29380</v>
      </c>
      <c r="H13145" t="s">
        <v>11048</v>
      </c>
      <c r="I13145" t="s">
        <v>9469</v>
      </c>
      <c r="J13145" t="s">
        <v>37826</v>
      </c>
      <c r="K13145" t="s">
        <v>38485</v>
      </c>
      <c r="M13145" t="s">
        <v>42234</v>
      </c>
      <c r="N13145" t="s">
        <v>42669</v>
      </c>
      <c r="O13145" t="s">
        <v>42670</v>
      </c>
      <c r="P13145">
        <v>0</v>
      </c>
      <c r="Q13145">
        <v>1</v>
      </c>
      <c r="R13145" t="s">
        <v>42691</v>
      </c>
      <c r="S13145" t="s">
        <v>43726</v>
      </c>
      <c r="T13145" t="s">
        <v>44491</v>
      </c>
      <c r="U13145" t="s">
        <v>55517</v>
      </c>
      <c r="W13145" t="s">
        <v>42234</v>
      </c>
      <c r="X13145" t="s">
        <v>42692</v>
      </c>
    </row>
    <row r="13146" spans="1:24">
      <c r="A13146">
        <f>HYPERLINK("https://www.philgeps.gov.ph/GEPSNONPILOT/Tender/SplashBidNoticeAbstractUI.aspx?menuIndex=3&amp;refID=7154316&amp;Result=3","7154316")</f>
        <v>0</v>
      </c>
      <c r="B13146" t="s">
        <v>2020</v>
      </c>
      <c r="C13146" t="s">
        <v>16107</v>
      </c>
      <c r="D13146" t="s">
        <v>17177</v>
      </c>
      <c r="E13146" t="s">
        <v>28442</v>
      </c>
      <c r="F13146" t="s">
        <v>29372</v>
      </c>
      <c r="G13146" t="s">
        <v>29380</v>
      </c>
      <c r="H13146" t="s">
        <v>29389</v>
      </c>
      <c r="I13146" t="s">
        <v>10408</v>
      </c>
      <c r="J13146" t="s">
        <v>37827</v>
      </c>
      <c r="K13146" t="s">
        <v>38496</v>
      </c>
      <c r="M13146" t="s">
        <v>41241</v>
      </c>
      <c r="N13146" t="s">
        <v>42669</v>
      </c>
      <c r="O13146" t="s">
        <v>42670</v>
      </c>
      <c r="P13146">
        <v>0</v>
      </c>
      <c r="Q13146">
        <v>0</v>
      </c>
      <c r="R13146" t="s">
        <v>42691</v>
      </c>
      <c r="S13146" t="s">
        <v>43726</v>
      </c>
      <c r="T13146" t="s">
        <v>44371</v>
      </c>
      <c r="U13146" t="s">
        <v>54992</v>
      </c>
      <c r="V13146" t="s">
        <v>57146</v>
      </c>
      <c r="W13146" t="s">
        <v>41241</v>
      </c>
      <c r="X13146" t="s">
        <v>42692</v>
      </c>
    </row>
    <row r="13147" spans="1:24">
      <c r="A13147">
        <f>HYPERLINK("https://www.philgeps.gov.ph/GEPSNONPILOT/Tender/SplashBidNoticeAbstractUI.aspx?menuIndex=3&amp;refID=7154474&amp;Result=3","7154474")</f>
        <v>0</v>
      </c>
      <c r="B13147" t="s">
        <v>863</v>
      </c>
      <c r="C13147" t="s">
        <v>16108</v>
      </c>
      <c r="D13147" t="s">
        <v>17193</v>
      </c>
      <c r="E13147" t="s">
        <v>28443</v>
      </c>
      <c r="F13147" t="s">
        <v>29372</v>
      </c>
      <c r="G13147" t="s">
        <v>29380</v>
      </c>
      <c r="H13147" t="s">
        <v>11048</v>
      </c>
      <c r="I13147" t="s">
        <v>8614</v>
      </c>
      <c r="J13147" t="s">
        <v>37828</v>
      </c>
      <c r="K13147" t="s">
        <v>38488</v>
      </c>
      <c r="M13147" t="s">
        <v>39655</v>
      </c>
      <c r="N13147" t="s">
        <v>42669</v>
      </c>
      <c r="O13147" t="s">
        <v>42670</v>
      </c>
      <c r="Q13147">
        <v>9</v>
      </c>
      <c r="R13147" t="s">
        <v>42691</v>
      </c>
      <c r="S13147" t="s">
        <v>43772</v>
      </c>
      <c r="T13147" t="s">
        <v>44585</v>
      </c>
      <c r="U13147" t="s">
        <v>55518</v>
      </c>
      <c r="W13147" t="s">
        <v>39655</v>
      </c>
      <c r="X13147" t="s">
        <v>42692</v>
      </c>
    </row>
    <row r="13148" spans="1:24">
      <c r="A13148">
        <f>HYPERLINK("https://www.philgeps.gov.ph/GEPSNONPILOT/Tender/SplashBidNoticeAbstractUI.aspx?menuIndex=3&amp;refID=7154312&amp;Result=3","7154312")</f>
        <v>0</v>
      </c>
      <c r="B13148" t="s">
        <v>1248</v>
      </c>
      <c r="C13148" t="s">
        <v>16109</v>
      </c>
      <c r="D13148" t="s">
        <v>17201</v>
      </c>
      <c r="E13148" t="s">
        <v>28444</v>
      </c>
      <c r="F13148" t="s">
        <v>29372</v>
      </c>
      <c r="G13148" t="s">
        <v>29380</v>
      </c>
      <c r="H13148" t="s">
        <v>29389</v>
      </c>
      <c r="I13148" t="s">
        <v>10408</v>
      </c>
      <c r="J13148" t="s">
        <v>37829</v>
      </c>
      <c r="K13148" t="s">
        <v>38496</v>
      </c>
      <c r="M13148" t="s">
        <v>40073</v>
      </c>
      <c r="N13148" t="s">
        <v>42669</v>
      </c>
      <c r="O13148" t="s">
        <v>42670</v>
      </c>
      <c r="Q13148">
        <v>10</v>
      </c>
      <c r="R13148" t="s">
        <v>42691</v>
      </c>
      <c r="S13148" t="s">
        <v>43773</v>
      </c>
      <c r="T13148" t="s">
        <v>44491</v>
      </c>
      <c r="U13148" t="s">
        <v>55519</v>
      </c>
      <c r="W13148" t="s">
        <v>40073</v>
      </c>
      <c r="X13148" t="s">
        <v>42692</v>
      </c>
    </row>
    <row r="13149" spans="1:24">
      <c r="A13149">
        <f>HYPERLINK("https://www.philgeps.gov.ph/GEPSNONPILOT/Tender/SplashBidNoticeAbstractUI.aspx?menuIndex=3&amp;refID=7154579&amp;Result=3","7154579")</f>
        <v>0</v>
      </c>
      <c r="B13149" t="s">
        <v>3025</v>
      </c>
      <c r="C13149" t="s">
        <v>16110</v>
      </c>
      <c r="D13149" t="s">
        <v>17164</v>
      </c>
      <c r="E13149" t="s">
        <v>28445</v>
      </c>
      <c r="F13149" t="s">
        <v>29372</v>
      </c>
      <c r="G13149" t="s">
        <v>29380</v>
      </c>
      <c r="H13149" t="s">
        <v>29389</v>
      </c>
      <c r="I13149" t="s">
        <v>10408</v>
      </c>
      <c r="J13149" t="s">
        <v>30161</v>
      </c>
      <c r="K13149" t="s">
        <v>38527</v>
      </c>
      <c r="M13149" t="s">
        <v>42047</v>
      </c>
      <c r="N13149" t="s">
        <v>42669</v>
      </c>
      <c r="O13149" t="s">
        <v>42670</v>
      </c>
      <c r="P13149">
        <v>0</v>
      </c>
      <c r="Q13149">
        <v>3</v>
      </c>
      <c r="R13149" t="s">
        <v>42691</v>
      </c>
      <c r="S13149" t="s">
        <v>43726</v>
      </c>
      <c r="T13149" t="s">
        <v>44488</v>
      </c>
      <c r="U13149" t="s">
        <v>55520</v>
      </c>
      <c r="V13149" t="s">
        <v>57884</v>
      </c>
      <c r="W13149" t="s">
        <v>42047</v>
      </c>
      <c r="X13149" t="s">
        <v>42692</v>
      </c>
    </row>
    <row r="13150" spans="1:24">
      <c r="A13150">
        <f>HYPERLINK("https://www.philgeps.gov.ph/GEPSNONPILOT/Tender/SplashBidNoticeAbstractUI.aspx?menuIndex=3&amp;refID=7154334&amp;Result=3","7154334")</f>
        <v>0</v>
      </c>
      <c r="B13150" t="s">
        <v>3081</v>
      </c>
      <c r="C13150" t="s">
        <v>16111</v>
      </c>
      <c r="D13150" t="s">
        <v>17143</v>
      </c>
      <c r="E13150" t="s">
        <v>28446</v>
      </c>
      <c r="F13150" t="s">
        <v>29372</v>
      </c>
      <c r="G13150" t="s">
        <v>29380</v>
      </c>
      <c r="H13150" t="s">
        <v>29389</v>
      </c>
      <c r="I13150" t="s">
        <v>10408</v>
      </c>
      <c r="J13150" t="s">
        <v>37830</v>
      </c>
      <c r="K13150" t="s">
        <v>38525</v>
      </c>
      <c r="M13150" t="s">
        <v>42110</v>
      </c>
      <c r="N13150" t="s">
        <v>42669</v>
      </c>
      <c r="O13150" t="s">
        <v>42670</v>
      </c>
      <c r="P13150">
        <v>0</v>
      </c>
      <c r="Q13150">
        <v>2</v>
      </c>
      <c r="R13150" t="s">
        <v>42691</v>
      </c>
      <c r="S13150" t="s">
        <v>43726</v>
      </c>
      <c r="T13150" t="s">
        <v>44488</v>
      </c>
      <c r="U13150" t="s">
        <v>55521</v>
      </c>
      <c r="W13150" t="s">
        <v>42110</v>
      </c>
      <c r="X13150" t="s">
        <v>42692</v>
      </c>
    </row>
    <row r="13151" spans="1:24">
      <c r="A13151">
        <f>HYPERLINK("https://www.philgeps.gov.ph/GEPSNONPILOT/Tender/SplashBidNoticeAbstractUI.aspx?menuIndex=3&amp;refID=7154364&amp;Result=3","7154364")</f>
        <v>0</v>
      </c>
      <c r="B13151" t="s">
        <v>1998</v>
      </c>
      <c r="C13151" t="s">
        <v>16112</v>
      </c>
      <c r="D13151" t="s">
        <v>17148</v>
      </c>
      <c r="E13151" t="s">
        <v>28447</v>
      </c>
      <c r="F13151" t="s">
        <v>29372</v>
      </c>
      <c r="G13151" t="s">
        <v>29380</v>
      </c>
      <c r="H13151" t="s">
        <v>29389</v>
      </c>
      <c r="I13151" t="s">
        <v>10408</v>
      </c>
      <c r="J13151" t="s">
        <v>37831</v>
      </c>
      <c r="K13151" t="s">
        <v>38523</v>
      </c>
      <c r="M13151" t="s">
        <v>42537</v>
      </c>
      <c r="N13151" t="s">
        <v>42669</v>
      </c>
      <c r="O13151" t="s">
        <v>42670</v>
      </c>
      <c r="P13151">
        <v>0</v>
      </c>
      <c r="Q13151">
        <v>112</v>
      </c>
      <c r="R13151" t="s">
        <v>42691</v>
      </c>
      <c r="S13151" t="s">
        <v>43726</v>
      </c>
      <c r="T13151" t="s">
        <v>44488</v>
      </c>
      <c r="U13151" t="s">
        <v>55506</v>
      </c>
      <c r="V13151" t="s">
        <v>57885</v>
      </c>
      <c r="W13151" t="s">
        <v>42543</v>
      </c>
      <c r="X13151" t="s">
        <v>42692</v>
      </c>
    </row>
    <row r="13152" spans="1:24">
      <c r="A13152">
        <f>HYPERLINK("https://www.philgeps.gov.ph/GEPSNONPILOT/Tender/SplashBidNoticeAbstractUI.aspx?menuIndex=3&amp;refID=7154574&amp;Result=3","7154574")</f>
        <v>0</v>
      </c>
      <c r="B13152" t="s">
        <v>142</v>
      </c>
      <c r="C13152" t="s">
        <v>16113</v>
      </c>
      <c r="D13152" t="s">
        <v>17167</v>
      </c>
      <c r="E13152" t="s">
        <v>28448</v>
      </c>
      <c r="F13152" t="s">
        <v>29372</v>
      </c>
      <c r="G13152" t="s">
        <v>29380</v>
      </c>
      <c r="H13152" t="s">
        <v>11048</v>
      </c>
      <c r="I13152" t="s">
        <v>4709</v>
      </c>
      <c r="J13152" t="s">
        <v>37832</v>
      </c>
      <c r="K13152" t="s">
        <v>38496</v>
      </c>
      <c r="L13152" t="s">
        <v>142</v>
      </c>
      <c r="M13152" t="s">
        <v>38897</v>
      </c>
      <c r="N13152" t="s">
        <v>42669</v>
      </c>
      <c r="O13152" t="s">
        <v>42670</v>
      </c>
      <c r="P13152">
        <v>0</v>
      </c>
      <c r="Q13152">
        <v>0</v>
      </c>
      <c r="R13152" t="s">
        <v>42691</v>
      </c>
      <c r="S13152" t="s">
        <v>43726</v>
      </c>
      <c r="T13152" t="s">
        <v>44570</v>
      </c>
      <c r="U13152" t="s">
        <v>55522</v>
      </c>
      <c r="V13152" t="s">
        <v>57880</v>
      </c>
      <c r="W13152" t="s">
        <v>38897</v>
      </c>
      <c r="X13152" t="s">
        <v>42692</v>
      </c>
    </row>
    <row r="13153" spans="1:24">
      <c r="A13153">
        <f>HYPERLINK("https://www.philgeps.gov.ph/GEPSNONPILOT/Tender/SplashBidNoticeAbstractUI.aspx?menuIndex=3&amp;refID=7154539&amp;Result=3","7154539")</f>
        <v>0</v>
      </c>
      <c r="B13153" t="s">
        <v>3025</v>
      </c>
      <c r="C13153" t="s">
        <v>16114</v>
      </c>
      <c r="D13153" t="s">
        <v>17164</v>
      </c>
      <c r="E13153" t="s">
        <v>28449</v>
      </c>
      <c r="F13153" t="s">
        <v>29372</v>
      </c>
      <c r="G13153" t="s">
        <v>29380</v>
      </c>
      <c r="H13153" t="s">
        <v>29389</v>
      </c>
      <c r="I13153" t="s">
        <v>10408</v>
      </c>
      <c r="J13153" t="s">
        <v>29615</v>
      </c>
      <c r="K13153" t="s">
        <v>38509</v>
      </c>
      <c r="M13153" t="s">
        <v>42047</v>
      </c>
      <c r="N13153" t="s">
        <v>42669</v>
      </c>
      <c r="O13153" t="s">
        <v>42670</v>
      </c>
      <c r="P13153">
        <v>0</v>
      </c>
      <c r="Q13153">
        <v>3</v>
      </c>
      <c r="R13153" t="s">
        <v>42691</v>
      </c>
      <c r="S13153" t="s">
        <v>43726</v>
      </c>
      <c r="T13153" t="s">
        <v>44488</v>
      </c>
      <c r="U13153" t="s">
        <v>55523</v>
      </c>
      <c r="V13153" t="s">
        <v>57884</v>
      </c>
      <c r="W13153" t="s">
        <v>42047</v>
      </c>
      <c r="X13153" t="s">
        <v>42692</v>
      </c>
    </row>
    <row r="13154" spans="1:24">
      <c r="A13154">
        <f>HYPERLINK("https://www.philgeps.gov.ph/GEPSNONPILOT/Tender/SplashBidNoticeAbstractUI.aspx?menuIndex=3&amp;refID=7154533&amp;Result=3","7154533")</f>
        <v>0</v>
      </c>
      <c r="B13154" t="s">
        <v>1998</v>
      </c>
      <c r="C13154" t="s">
        <v>16115</v>
      </c>
      <c r="D13154" t="s">
        <v>17148</v>
      </c>
      <c r="E13154" t="s">
        <v>28450</v>
      </c>
      <c r="F13154" t="s">
        <v>29372</v>
      </c>
      <c r="G13154" t="s">
        <v>29380</v>
      </c>
      <c r="H13154" t="s">
        <v>29389</v>
      </c>
      <c r="I13154" t="s">
        <v>10408</v>
      </c>
      <c r="J13154" t="s">
        <v>30056</v>
      </c>
      <c r="K13154" t="s">
        <v>38533</v>
      </c>
      <c r="M13154" t="s">
        <v>42537</v>
      </c>
      <c r="N13154" t="s">
        <v>42669</v>
      </c>
      <c r="O13154" t="s">
        <v>42670</v>
      </c>
      <c r="P13154">
        <v>0</v>
      </c>
      <c r="Q13154">
        <v>104</v>
      </c>
      <c r="R13154" t="s">
        <v>42691</v>
      </c>
      <c r="S13154" t="s">
        <v>43726</v>
      </c>
      <c r="T13154" t="s">
        <v>44488</v>
      </c>
      <c r="U13154" t="s">
        <v>55506</v>
      </c>
      <c r="V13154" t="s">
        <v>57882</v>
      </c>
      <c r="W13154" t="s">
        <v>42543</v>
      </c>
      <c r="X13154" t="s">
        <v>42692</v>
      </c>
    </row>
    <row r="13155" spans="1:24">
      <c r="A13155">
        <f>HYPERLINK("https://www.philgeps.gov.ph/GEPSNONPILOT/Tender/SplashBidNoticeAbstractUI.aspx?menuIndex=3&amp;refID=7154475&amp;Result=3","7154475")</f>
        <v>0</v>
      </c>
      <c r="B13155" t="s">
        <v>1998</v>
      </c>
      <c r="C13155" t="s">
        <v>16116</v>
      </c>
      <c r="D13155" t="s">
        <v>17148</v>
      </c>
      <c r="E13155" t="s">
        <v>28451</v>
      </c>
      <c r="F13155" t="s">
        <v>29372</v>
      </c>
      <c r="G13155" t="s">
        <v>29380</v>
      </c>
      <c r="H13155" t="s">
        <v>29389</v>
      </c>
      <c r="I13155" t="s">
        <v>10408</v>
      </c>
      <c r="J13155" t="s">
        <v>30161</v>
      </c>
      <c r="K13155" t="s">
        <v>38533</v>
      </c>
      <c r="M13155" t="s">
        <v>42537</v>
      </c>
      <c r="N13155" t="s">
        <v>42669</v>
      </c>
      <c r="O13155" t="s">
        <v>42670</v>
      </c>
      <c r="P13155">
        <v>0</v>
      </c>
      <c r="Q13155">
        <v>106</v>
      </c>
      <c r="R13155" t="s">
        <v>42691</v>
      </c>
      <c r="S13155" t="s">
        <v>43726</v>
      </c>
      <c r="T13155" t="s">
        <v>44488</v>
      </c>
      <c r="U13155" t="s">
        <v>55506</v>
      </c>
      <c r="V13155" t="s">
        <v>57886</v>
      </c>
      <c r="W13155" t="s">
        <v>42543</v>
      </c>
      <c r="X13155" t="s">
        <v>42692</v>
      </c>
    </row>
    <row r="13156" spans="1:24">
      <c r="A13156">
        <f>HYPERLINK("https://www.philgeps.gov.ph/GEPSNONPILOT/Tender/SplashBidNoticeAbstractUI.aspx?menuIndex=3&amp;refID=7154530&amp;Result=3","7154530")</f>
        <v>0</v>
      </c>
      <c r="B13156" t="s">
        <v>863</v>
      </c>
      <c r="C13156" t="s">
        <v>16117</v>
      </c>
      <c r="D13156" t="s">
        <v>17193</v>
      </c>
      <c r="E13156" t="s">
        <v>28452</v>
      </c>
      <c r="F13156" t="s">
        <v>29372</v>
      </c>
      <c r="G13156" t="s">
        <v>29380</v>
      </c>
      <c r="H13156" t="s">
        <v>11048</v>
      </c>
      <c r="I13156" t="s">
        <v>8614</v>
      </c>
      <c r="J13156" t="s">
        <v>32073</v>
      </c>
      <c r="K13156" t="s">
        <v>38488</v>
      </c>
      <c r="M13156" t="s">
        <v>39655</v>
      </c>
      <c r="N13156" t="s">
        <v>42669</v>
      </c>
      <c r="O13156" t="s">
        <v>42670</v>
      </c>
      <c r="P13156">
        <v>0</v>
      </c>
      <c r="Q13156">
        <v>8</v>
      </c>
      <c r="R13156" t="s">
        <v>42691</v>
      </c>
      <c r="S13156" t="s">
        <v>43726</v>
      </c>
      <c r="T13156" t="s">
        <v>44585</v>
      </c>
      <c r="U13156" t="s">
        <v>55524</v>
      </c>
      <c r="W13156" t="s">
        <v>39655</v>
      </c>
      <c r="X13156" t="s">
        <v>42692</v>
      </c>
    </row>
    <row r="13157" spans="1:24">
      <c r="A13157">
        <f>HYPERLINK("https://www.philgeps.gov.ph/GEPSNONPILOT/Tender/SplashBidNoticeAbstractUI.aspx?menuIndex=3&amp;refID=7154645&amp;Result=3","7154645")</f>
        <v>0</v>
      </c>
      <c r="B13157" t="s">
        <v>1930</v>
      </c>
      <c r="C13157" t="s">
        <v>16118</v>
      </c>
      <c r="D13157" t="s">
        <v>17185</v>
      </c>
      <c r="E13157" t="s">
        <v>28453</v>
      </c>
      <c r="F13157" t="s">
        <v>29372</v>
      </c>
      <c r="G13157" t="s">
        <v>29380</v>
      </c>
      <c r="H13157" t="s">
        <v>11048</v>
      </c>
      <c r="I13157" t="s">
        <v>3695</v>
      </c>
      <c r="J13157" t="s">
        <v>37833</v>
      </c>
      <c r="K13157" t="s">
        <v>38490</v>
      </c>
      <c r="M13157" t="s">
        <v>42102</v>
      </c>
      <c r="N13157" t="s">
        <v>42669</v>
      </c>
      <c r="O13157" t="s">
        <v>42670</v>
      </c>
      <c r="P13157">
        <v>0</v>
      </c>
      <c r="Q13157">
        <v>5</v>
      </c>
      <c r="R13157" t="s">
        <v>42691</v>
      </c>
      <c r="S13157" t="s">
        <v>43726</v>
      </c>
      <c r="T13157" t="s">
        <v>44548</v>
      </c>
      <c r="U13157" t="s">
        <v>55525</v>
      </c>
      <c r="W13157" t="s">
        <v>42102</v>
      </c>
      <c r="X13157" t="s">
        <v>42692</v>
      </c>
    </row>
    <row r="13158" spans="1:24">
      <c r="A13158">
        <f>HYPERLINK("https://www.philgeps.gov.ph/GEPSNONPILOT/Tender/SplashBidNoticeAbstractUI.aspx?menuIndex=3&amp;refID=7154662&amp;Result=3","7154662")</f>
        <v>0</v>
      </c>
      <c r="B13158" t="s">
        <v>142</v>
      </c>
      <c r="C13158" t="s">
        <v>16119</v>
      </c>
      <c r="D13158" t="s">
        <v>17167</v>
      </c>
      <c r="E13158" t="s">
        <v>28454</v>
      </c>
      <c r="F13158" t="s">
        <v>29372</v>
      </c>
      <c r="G13158" t="s">
        <v>29380</v>
      </c>
      <c r="H13158" t="s">
        <v>11048</v>
      </c>
      <c r="I13158" t="s">
        <v>4709</v>
      </c>
      <c r="J13158" t="s">
        <v>37834</v>
      </c>
      <c r="K13158" t="s">
        <v>38496</v>
      </c>
      <c r="L13158" t="s">
        <v>142</v>
      </c>
      <c r="M13158" t="s">
        <v>38897</v>
      </c>
      <c r="N13158" t="s">
        <v>42669</v>
      </c>
      <c r="O13158" t="s">
        <v>42670</v>
      </c>
      <c r="P13158">
        <v>0</v>
      </c>
      <c r="Q13158">
        <v>1</v>
      </c>
      <c r="R13158" t="s">
        <v>42691</v>
      </c>
      <c r="S13158" t="s">
        <v>43726</v>
      </c>
      <c r="T13158" t="s">
        <v>44570</v>
      </c>
      <c r="U13158" t="s">
        <v>55526</v>
      </c>
      <c r="V13158" t="s">
        <v>57880</v>
      </c>
      <c r="W13158" t="s">
        <v>38897</v>
      </c>
      <c r="X13158" t="s">
        <v>42692</v>
      </c>
    </row>
    <row r="13159" spans="1:24">
      <c r="A13159">
        <f>HYPERLINK("https://www.philgeps.gov.ph/GEPSNONPILOT/Tender/SplashBidNoticeAbstractUI.aspx?menuIndex=3&amp;refID=7154347&amp;Result=3","7154347")</f>
        <v>0</v>
      </c>
      <c r="B13159" t="s">
        <v>2010</v>
      </c>
      <c r="C13159" t="s">
        <v>16120</v>
      </c>
      <c r="D13159" t="s">
        <v>17143</v>
      </c>
      <c r="E13159" t="s">
        <v>28455</v>
      </c>
      <c r="F13159" t="s">
        <v>29372</v>
      </c>
      <c r="G13159" t="s">
        <v>29380</v>
      </c>
      <c r="H13159" t="s">
        <v>11048</v>
      </c>
      <c r="I13159" t="s">
        <v>29405</v>
      </c>
      <c r="J13159" t="s">
        <v>37835</v>
      </c>
      <c r="K13159" t="s">
        <v>38496</v>
      </c>
      <c r="M13159" t="s">
        <v>40979</v>
      </c>
      <c r="N13159" t="s">
        <v>42669</v>
      </c>
      <c r="O13159" t="s">
        <v>42670</v>
      </c>
      <c r="P13159">
        <v>0</v>
      </c>
      <c r="Q13159">
        <v>14</v>
      </c>
      <c r="R13159" t="s">
        <v>42691</v>
      </c>
      <c r="S13159" t="s">
        <v>43726</v>
      </c>
      <c r="T13159" t="s">
        <v>44387</v>
      </c>
      <c r="U13159" t="s">
        <v>55527</v>
      </c>
      <c r="V13159" t="s">
        <v>57001</v>
      </c>
      <c r="W13159" t="s">
        <v>40979</v>
      </c>
      <c r="X13159" t="s">
        <v>42692</v>
      </c>
    </row>
    <row r="13160" spans="1:24">
      <c r="A13160">
        <f>HYPERLINK("https://www.philgeps.gov.ph/GEPSNONPILOT/Tender/SplashBidNoticeAbstractUI.aspx?menuIndex=3&amp;refID=7154620&amp;Result=3","7154620")</f>
        <v>0</v>
      </c>
      <c r="B13160" t="s">
        <v>3025</v>
      </c>
      <c r="C13160" t="s">
        <v>16121</v>
      </c>
      <c r="D13160" t="s">
        <v>17164</v>
      </c>
      <c r="E13160" t="s">
        <v>28456</v>
      </c>
      <c r="F13160" t="s">
        <v>29372</v>
      </c>
      <c r="G13160" t="s">
        <v>29380</v>
      </c>
      <c r="H13160" t="s">
        <v>29389</v>
      </c>
      <c r="I13160" t="s">
        <v>10408</v>
      </c>
      <c r="J13160" t="s">
        <v>30161</v>
      </c>
      <c r="K13160" t="s">
        <v>38527</v>
      </c>
      <c r="M13160" t="s">
        <v>42047</v>
      </c>
      <c r="N13160" t="s">
        <v>42669</v>
      </c>
      <c r="O13160" t="s">
        <v>42670</v>
      </c>
      <c r="P13160">
        <v>0</v>
      </c>
      <c r="Q13160">
        <v>3</v>
      </c>
      <c r="R13160" t="s">
        <v>42691</v>
      </c>
      <c r="S13160" t="s">
        <v>43726</v>
      </c>
      <c r="T13160" t="s">
        <v>44488</v>
      </c>
      <c r="U13160" t="s">
        <v>55520</v>
      </c>
      <c r="V13160" t="s">
        <v>57884</v>
      </c>
      <c r="W13160" t="s">
        <v>42047</v>
      </c>
      <c r="X13160" t="s">
        <v>42692</v>
      </c>
    </row>
    <row r="13161" spans="1:24">
      <c r="A13161">
        <f>HYPERLINK("https://www.philgeps.gov.ph/GEPSNONPILOT/Tender/SplashBidNoticeAbstractUI.aspx?menuIndex=3&amp;refID=7154659&amp;Result=3","7154659")</f>
        <v>0</v>
      </c>
      <c r="B13161" t="s">
        <v>669</v>
      </c>
      <c r="C13161" t="s">
        <v>16122</v>
      </c>
      <c r="D13161" t="s">
        <v>17147</v>
      </c>
      <c r="E13161" t="s">
        <v>28457</v>
      </c>
      <c r="F13161" t="s">
        <v>29372</v>
      </c>
      <c r="G13161" t="s">
        <v>29380</v>
      </c>
      <c r="H13161" t="s">
        <v>11048</v>
      </c>
      <c r="I13161" t="s">
        <v>29394</v>
      </c>
      <c r="J13161" t="s">
        <v>37836</v>
      </c>
      <c r="K13161" t="s">
        <v>38488</v>
      </c>
      <c r="M13161" t="s">
        <v>40064</v>
      </c>
      <c r="N13161" t="s">
        <v>42669</v>
      </c>
      <c r="O13161" t="s">
        <v>42670</v>
      </c>
      <c r="P13161">
        <v>0</v>
      </c>
      <c r="Q13161">
        <v>8</v>
      </c>
      <c r="R13161" t="s">
        <v>42691</v>
      </c>
      <c r="S13161" t="s">
        <v>43726</v>
      </c>
      <c r="T13161" t="s">
        <v>44580</v>
      </c>
      <c r="U13161" t="s">
        <v>55528</v>
      </c>
      <c r="W13161" t="s">
        <v>40064</v>
      </c>
      <c r="X13161" t="s">
        <v>42692</v>
      </c>
    </row>
    <row r="13162" spans="1:24">
      <c r="A13162">
        <f>HYPERLINK("https://www.philgeps.gov.ph/GEPSNONPILOT/Tender/SplashBidNoticeAbstractUI.aspx?menuIndex=3&amp;refID=7154529&amp;Result=3","7154529")</f>
        <v>0</v>
      </c>
      <c r="B13162" t="s">
        <v>133</v>
      </c>
      <c r="C13162" t="s">
        <v>16123</v>
      </c>
      <c r="D13162" t="s">
        <v>17186</v>
      </c>
      <c r="E13162" t="s">
        <v>28458</v>
      </c>
      <c r="F13162" t="s">
        <v>29372</v>
      </c>
      <c r="G13162" t="s">
        <v>29380</v>
      </c>
      <c r="H13162" t="s">
        <v>11048</v>
      </c>
      <c r="I13162" t="s">
        <v>3670</v>
      </c>
      <c r="J13162" t="s">
        <v>33662</v>
      </c>
      <c r="K13162" t="s">
        <v>38488</v>
      </c>
      <c r="M13162" t="s">
        <v>38888</v>
      </c>
      <c r="N13162" t="s">
        <v>42669</v>
      </c>
      <c r="O13162" t="s">
        <v>42670</v>
      </c>
      <c r="P13162">
        <v>0</v>
      </c>
      <c r="Q13162">
        <v>7</v>
      </c>
      <c r="R13162" t="s">
        <v>42691</v>
      </c>
      <c r="S13162" t="s">
        <v>43726</v>
      </c>
      <c r="T13162" t="s">
        <v>44481</v>
      </c>
      <c r="U13162" t="s">
        <v>55529</v>
      </c>
      <c r="W13162" t="s">
        <v>38888</v>
      </c>
      <c r="X13162" t="s">
        <v>42692</v>
      </c>
    </row>
    <row r="13163" spans="1:24">
      <c r="A13163">
        <f>HYPERLINK("https://www.philgeps.gov.ph/GEPSNONPILOT/Tender/SplashBidNoticeAbstractUI.aspx?menuIndex=3&amp;refID=7154358&amp;Result=3","7154358")</f>
        <v>0</v>
      </c>
      <c r="B13163" t="s">
        <v>142</v>
      </c>
      <c r="C13163" t="s">
        <v>16124</v>
      </c>
      <c r="D13163" t="s">
        <v>17167</v>
      </c>
      <c r="E13163" t="s">
        <v>28459</v>
      </c>
      <c r="F13163" t="s">
        <v>29372</v>
      </c>
      <c r="G13163" t="s">
        <v>29380</v>
      </c>
      <c r="H13163" t="s">
        <v>29389</v>
      </c>
      <c r="I13163" t="s">
        <v>10408</v>
      </c>
      <c r="J13163" t="s">
        <v>37837</v>
      </c>
      <c r="K13163" t="s">
        <v>38578</v>
      </c>
      <c r="L13163" t="s">
        <v>142</v>
      </c>
      <c r="M13163" t="s">
        <v>38897</v>
      </c>
      <c r="N13163" t="s">
        <v>42669</v>
      </c>
      <c r="O13163" t="s">
        <v>42670</v>
      </c>
      <c r="P13163">
        <v>0</v>
      </c>
      <c r="Q13163">
        <v>0</v>
      </c>
      <c r="R13163" t="s">
        <v>42691</v>
      </c>
      <c r="S13163" t="s">
        <v>43726</v>
      </c>
      <c r="T13163" t="s">
        <v>44570</v>
      </c>
      <c r="U13163" t="s">
        <v>55530</v>
      </c>
      <c r="V13163" t="s">
        <v>57880</v>
      </c>
      <c r="W13163" t="s">
        <v>38897</v>
      </c>
      <c r="X13163" t="s">
        <v>42692</v>
      </c>
    </row>
    <row r="13164" spans="1:24">
      <c r="A13164">
        <f>HYPERLINK("https://www.philgeps.gov.ph/GEPSNONPILOT/Tender/SplashBidNoticeAbstractUI.aspx?menuIndex=3&amp;refID=7154519&amp;Result=3","7154519")</f>
        <v>0</v>
      </c>
      <c r="B13164" t="s">
        <v>142</v>
      </c>
      <c r="C13164" t="s">
        <v>16125</v>
      </c>
      <c r="D13164" t="s">
        <v>17167</v>
      </c>
      <c r="E13164" t="s">
        <v>28460</v>
      </c>
      <c r="F13164" t="s">
        <v>29372</v>
      </c>
      <c r="G13164" t="s">
        <v>29380</v>
      </c>
      <c r="H13164" t="s">
        <v>11048</v>
      </c>
      <c r="I13164" t="s">
        <v>29426</v>
      </c>
      <c r="J13164" t="s">
        <v>37838</v>
      </c>
      <c r="K13164" t="s">
        <v>38485</v>
      </c>
      <c r="L13164" t="s">
        <v>142</v>
      </c>
      <c r="M13164" t="s">
        <v>38897</v>
      </c>
      <c r="N13164" t="s">
        <v>42669</v>
      </c>
      <c r="O13164" t="s">
        <v>42670</v>
      </c>
      <c r="P13164">
        <v>0</v>
      </c>
      <c r="Q13164">
        <v>2</v>
      </c>
      <c r="R13164" t="s">
        <v>42691</v>
      </c>
      <c r="S13164" t="s">
        <v>43726</v>
      </c>
      <c r="T13164" t="s">
        <v>44570</v>
      </c>
      <c r="U13164" t="s">
        <v>55531</v>
      </c>
      <c r="V13164" t="s">
        <v>57880</v>
      </c>
      <c r="W13164" t="s">
        <v>38897</v>
      </c>
      <c r="X13164" t="s">
        <v>42692</v>
      </c>
    </row>
    <row r="13165" spans="1:24">
      <c r="A13165">
        <f>HYPERLINK("https://www.philgeps.gov.ph/GEPSNONPILOT/Tender/SplashBidNoticeAbstractUI.aspx?menuIndex=3&amp;refID=7154489&amp;Result=3","7154489")</f>
        <v>0</v>
      </c>
      <c r="B13165" t="s">
        <v>1398</v>
      </c>
      <c r="C13165" t="s">
        <v>16126</v>
      </c>
      <c r="D13165" t="s">
        <v>17212</v>
      </c>
      <c r="E13165" t="s">
        <v>28461</v>
      </c>
      <c r="F13165" t="s">
        <v>29372</v>
      </c>
      <c r="G13165" t="s">
        <v>29380</v>
      </c>
      <c r="H13165" t="s">
        <v>11048</v>
      </c>
      <c r="I13165" t="s">
        <v>3670</v>
      </c>
      <c r="J13165" t="s">
        <v>29543</v>
      </c>
      <c r="K13165" t="s">
        <v>38485</v>
      </c>
      <c r="M13165" t="s">
        <v>40237</v>
      </c>
      <c r="N13165" t="s">
        <v>42669</v>
      </c>
      <c r="O13165" t="s">
        <v>42670</v>
      </c>
      <c r="P13165">
        <v>0</v>
      </c>
      <c r="Q13165">
        <v>2</v>
      </c>
      <c r="R13165" t="s">
        <v>42691</v>
      </c>
      <c r="S13165" t="s">
        <v>43726</v>
      </c>
      <c r="T13165" t="s">
        <v>44481</v>
      </c>
      <c r="U13165" t="s">
        <v>55532</v>
      </c>
      <c r="W13165" t="s">
        <v>40237</v>
      </c>
      <c r="X13165" t="s">
        <v>42692</v>
      </c>
    </row>
    <row r="13166" spans="1:24">
      <c r="A13166">
        <f>HYPERLINK("https://www.philgeps.gov.ph/GEPSNONPILOT/Tender/SplashBidNoticeAbstractUI.aspx?menuIndex=3&amp;refID=7154621&amp;Result=3","7154621")</f>
        <v>0</v>
      </c>
      <c r="B13166" t="s">
        <v>669</v>
      </c>
      <c r="C13166" t="s">
        <v>16127</v>
      </c>
      <c r="D13166" t="s">
        <v>17147</v>
      </c>
      <c r="E13166" t="s">
        <v>28462</v>
      </c>
      <c r="F13166" t="s">
        <v>29372</v>
      </c>
      <c r="G13166" t="s">
        <v>29380</v>
      </c>
      <c r="H13166" t="s">
        <v>11048</v>
      </c>
      <c r="I13166" t="s">
        <v>29394</v>
      </c>
      <c r="J13166" t="s">
        <v>37839</v>
      </c>
      <c r="K13166" t="s">
        <v>38485</v>
      </c>
      <c r="M13166" t="s">
        <v>40064</v>
      </c>
      <c r="N13166" t="s">
        <v>42669</v>
      </c>
      <c r="O13166" t="s">
        <v>42670</v>
      </c>
      <c r="P13166">
        <v>0</v>
      </c>
      <c r="Q13166">
        <v>8</v>
      </c>
      <c r="R13166" t="s">
        <v>42691</v>
      </c>
      <c r="S13166" t="s">
        <v>43726</v>
      </c>
      <c r="T13166" t="s">
        <v>44580</v>
      </c>
      <c r="U13166" t="s">
        <v>55533</v>
      </c>
      <c r="W13166" t="s">
        <v>40064</v>
      </c>
      <c r="X13166" t="s">
        <v>42692</v>
      </c>
    </row>
    <row r="13167" spans="1:24">
      <c r="A13167">
        <f>HYPERLINK("https://www.philgeps.gov.ph/GEPSNONPILOT/Tender/SplashBidNoticeAbstractUI.aspx?menuIndex=3&amp;refID=7154630&amp;Result=3","7154630")</f>
        <v>0</v>
      </c>
      <c r="B13167" t="s">
        <v>2500</v>
      </c>
      <c r="C13167" t="s">
        <v>16128</v>
      </c>
      <c r="D13167" t="s">
        <v>17167</v>
      </c>
      <c r="E13167" t="s">
        <v>28463</v>
      </c>
      <c r="F13167" t="s">
        <v>29372</v>
      </c>
      <c r="G13167" t="s">
        <v>29380</v>
      </c>
      <c r="H13167" t="s">
        <v>29389</v>
      </c>
      <c r="I13167" t="s">
        <v>10408</v>
      </c>
      <c r="J13167" t="s">
        <v>32053</v>
      </c>
      <c r="K13167" t="s">
        <v>38515</v>
      </c>
      <c r="M13167" t="s">
        <v>41456</v>
      </c>
      <c r="N13167" t="s">
        <v>42669</v>
      </c>
      <c r="O13167" t="s">
        <v>42670</v>
      </c>
      <c r="P13167">
        <v>0</v>
      </c>
      <c r="Q13167">
        <v>0</v>
      </c>
      <c r="R13167" t="s">
        <v>42691</v>
      </c>
      <c r="S13167" t="s">
        <v>43726</v>
      </c>
      <c r="T13167" t="s">
        <v>44849</v>
      </c>
      <c r="U13167" t="s">
        <v>55534</v>
      </c>
      <c r="V13167" t="s">
        <v>57224</v>
      </c>
      <c r="W13167" t="s">
        <v>41456</v>
      </c>
      <c r="X13167" t="s">
        <v>42692</v>
      </c>
    </row>
    <row r="13168" spans="1:24">
      <c r="A13168">
        <f>HYPERLINK("https://www.philgeps.gov.ph/GEPSNONPILOT/Tender/SplashBidNoticeAbstractUI.aspx?menuIndex=3&amp;refID=7154448&amp;Result=3","7154448")</f>
        <v>0</v>
      </c>
      <c r="B13168" t="s">
        <v>142</v>
      </c>
      <c r="C13168" t="s">
        <v>16129</v>
      </c>
      <c r="D13168" t="s">
        <v>17167</v>
      </c>
      <c r="E13168" t="s">
        <v>28464</v>
      </c>
      <c r="F13168" t="s">
        <v>29372</v>
      </c>
      <c r="G13168" t="s">
        <v>29380</v>
      </c>
      <c r="H13168" t="s">
        <v>11048</v>
      </c>
      <c r="I13168" t="s">
        <v>8614</v>
      </c>
      <c r="J13168" t="s">
        <v>30412</v>
      </c>
      <c r="K13168" t="s">
        <v>38487</v>
      </c>
      <c r="L13168" t="s">
        <v>142</v>
      </c>
      <c r="M13168" t="s">
        <v>38897</v>
      </c>
      <c r="N13168" t="s">
        <v>42669</v>
      </c>
      <c r="O13168" t="s">
        <v>42670</v>
      </c>
      <c r="P13168">
        <v>0</v>
      </c>
      <c r="Q13168">
        <v>2</v>
      </c>
      <c r="R13168" t="s">
        <v>42691</v>
      </c>
      <c r="S13168" t="s">
        <v>43726</v>
      </c>
      <c r="T13168" t="s">
        <v>44570</v>
      </c>
      <c r="U13168" t="s">
        <v>55535</v>
      </c>
      <c r="V13168" t="s">
        <v>57880</v>
      </c>
      <c r="W13168" t="s">
        <v>38897</v>
      </c>
      <c r="X13168" t="s">
        <v>42692</v>
      </c>
    </row>
    <row r="13169" spans="1:24">
      <c r="A13169">
        <f>HYPERLINK("https://www.philgeps.gov.ph/GEPSNONPILOT/Tender/SplashBidNoticeAbstractUI.aspx?menuIndex=3&amp;refID=7154485&amp;Result=3","7154485")</f>
        <v>0</v>
      </c>
      <c r="B13169" t="s">
        <v>3081</v>
      </c>
      <c r="C13169" t="s">
        <v>16130</v>
      </c>
      <c r="D13169" t="s">
        <v>17143</v>
      </c>
      <c r="E13169" t="s">
        <v>28465</v>
      </c>
      <c r="F13169" t="s">
        <v>29372</v>
      </c>
      <c r="G13169" t="s">
        <v>29380</v>
      </c>
      <c r="H13169" t="s">
        <v>11048</v>
      </c>
      <c r="I13169" t="s">
        <v>4709</v>
      </c>
      <c r="J13169" t="s">
        <v>37840</v>
      </c>
      <c r="K13169" t="s">
        <v>38485</v>
      </c>
      <c r="M13169" t="s">
        <v>42110</v>
      </c>
      <c r="N13169" t="s">
        <v>42669</v>
      </c>
      <c r="O13169" t="s">
        <v>42670</v>
      </c>
      <c r="P13169">
        <v>0</v>
      </c>
      <c r="Q13169">
        <v>0</v>
      </c>
      <c r="R13169" t="s">
        <v>42691</v>
      </c>
      <c r="S13169" t="s">
        <v>43726</v>
      </c>
      <c r="T13169" t="s">
        <v>44488</v>
      </c>
      <c r="U13169" t="s">
        <v>55536</v>
      </c>
      <c r="W13169" t="s">
        <v>42110</v>
      </c>
      <c r="X13169" t="s">
        <v>42692</v>
      </c>
    </row>
    <row r="13170" spans="1:24">
      <c r="A13170">
        <f>HYPERLINK("https://www.philgeps.gov.ph/GEPSNONPILOT/Tender/SplashBidNoticeAbstractUI.aspx?menuIndex=3&amp;refID=7154597&amp;Result=3","7154597")</f>
        <v>0</v>
      </c>
      <c r="B13170" t="s">
        <v>2689</v>
      </c>
      <c r="C13170" t="s">
        <v>16131</v>
      </c>
      <c r="D13170" t="s">
        <v>17168</v>
      </c>
      <c r="E13170" t="s">
        <v>24614</v>
      </c>
      <c r="F13170" t="s">
        <v>29372</v>
      </c>
      <c r="G13170" t="s">
        <v>29380</v>
      </c>
      <c r="H13170" t="s">
        <v>11048</v>
      </c>
      <c r="I13170" t="s">
        <v>4709</v>
      </c>
      <c r="J13170" t="s">
        <v>37841</v>
      </c>
      <c r="K13170" t="s">
        <v>38495</v>
      </c>
      <c r="M13170" t="s">
        <v>41669</v>
      </c>
      <c r="N13170" t="s">
        <v>42669</v>
      </c>
      <c r="O13170" t="s">
        <v>42670</v>
      </c>
      <c r="P13170">
        <v>0</v>
      </c>
      <c r="Q13170">
        <v>1</v>
      </c>
      <c r="R13170" t="s">
        <v>42691</v>
      </c>
      <c r="S13170" t="s">
        <v>43726</v>
      </c>
      <c r="T13170" t="s">
        <v>44512</v>
      </c>
      <c r="U13170" t="s">
        <v>55537</v>
      </c>
      <c r="W13170" t="s">
        <v>41669</v>
      </c>
      <c r="X13170" t="s">
        <v>42692</v>
      </c>
    </row>
    <row r="13171" spans="1:24">
      <c r="A13171">
        <f>HYPERLINK("https://www.philgeps.gov.ph/GEPSNONPILOT/Tender/SplashBidNoticeAbstractUI.aspx?menuIndex=3&amp;refID=7154487&amp;Result=3","7154487")</f>
        <v>0</v>
      </c>
      <c r="B13171" t="s">
        <v>142</v>
      </c>
      <c r="C13171" t="s">
        <v>16132</v>
      </c>
      <c r="D13171" t="s">
        <v>17167</v>
      </c>
      <c r="E13171" t="s">
        <v>28466</v>
      </c>
      <c r="F13171" t="s">
        <v>29372</v>
      </c>
      <c r="G13171" t="s">
        <v>29380</v>
      </c>
      <c r="H13171" t="s">
        <v>11048</v>
      </c>
      <c r="I13171" t="s">
        <v>8614</v>
      </c>
      <c r="J13171" t="s">
        <v>37842</v>
      </c>
      <c r="K13171" t="s">
        <v>38487</v>
      </c>
      <c r="L13171" t="s">
        <v>142</v>
      </c>
      <c r="M13171" t="s">
        <v>38897</v>
      </c>
      <c r="N13171" t="s">
        <v>42669</v>
      </c>
      <c r="O13171" t="s">
        <v>42670</v>
      </c>
      <c r="P13171">
        <v>0</v>
      </c>
      <c r="Q13171">
        <v>4</v>
      </c>
      <c r="R13171" t="s">
        <v>42691</v>
      </c>
      <c r="S13171" t="s">
        <v>43726</v>
      </c>
      <c r="T13171" t="s">
        <v>44570</v>
      </c>
      <c r="U13171" t="s">
        <v>55538</v>
      </c>
      <c r="V13171" t="s">
        <v>57880</v>
      </c>
      <c r="W13171" t="s">
        <v>38897</v>
      </c>
      <c r="X13171" t="s">
        <v>42692</v>
      </c>
    </row>
    <row r="13172" spans="1:24">
      <c r="A13172">
        <f>HYPERLINK("https://www.philgeps.gov.ph/GEPSNONPILOT/Tender/SplashBidNoticeAbstractUI.aspx?menuIndex=3&amp;refID=7154781&amp;Result=3","7154781")</f>
        <v>0</v>
      </c>
      <c r="B13172" t="s">
        <v>3093</v>
      </c>
      <c r="C13172" t="s">
        <v>16133</v>
      </c>
      <c r="D13172" t="s">
        <v>17174</v>
      </c>
      <c r="E13172" t="s">
        <v>28467</v>
      </c>
      <c r="F13172" t="s">
        <v>29372</v>
      </c>
      <c r="G13172" t="s">
        <v>29380</v>
      </c>
      <c r="H13172" t="s">
        <v>11048</v>
      </c>
      <c r="I13172" t="s">
        <v>8614</v>
      </c>
      <c r="J13172" t="s">
        <v>31832</v>
      </c>
      <c r="K13172" t="s">
        <v>38485</v>
      </c>
      <c r="M13172" t="s">
        <v>42130</v>
      </c>
      <c r="N13172" t="s">
        <v>42669</v>
      </c>
      <c r="O13172" t="s">
        <v>42670</v>
      </c>
      <c r="Q13172">
        <v>1</v>
      </c>
      <c r="R13172" t="s">
        <v>42691</v>
      </c>
      <c r="S13172" t="s">
        <v>43774</v>
      </c>
      <c r="T13172" t="s">
        <v>44850</v>
      </c>
      <c r="U13172" t="s">
        <v>55539</v>
      </c>
      <c r="W13172" t="s">
        <v>42130</v>
      </c>
      <c r="X13172" t="s">
        <v>42692</v>
      </c>
    </row>
    <row r="13173" spans="1:24">
      <c r="A13173">
        <f>HYPERLINK("https://www.philgeps.gov.ph/GEPSNONPILOT/Tender/SplashBidNoticeAbstractUI.aspx?menuIndex=3&amp;refID=7154760&amp;Result=3","7154760")</f>
        <v>0</v>
      </c>
      <c r="B13173" t="s">
        <v>1998</v>
      </c>
      <c r="C13173" t="s">
        <v>16134</v>
      </c>
      <c r="D13173" t="s">
        <v>17148</v>
      </c>
      <c r="E13173" t="s">
        <v>28468</v>
      </c>
      <c r="F13173" t="s">
        <v>29372</v>
      </c>
      <c r="G13173" t="s">
        <v>29380</v>
      </c>
      <c r="H13173" t="s">
        <v>29389</v>
      </c>
      <c r="I13173" t="s">
        <v>10408</v>
      </c>
      <c r="J13173" t="s">
        <v>29543</v>
      </c>
      <c r="K13173" t="s">
        <v>38495</v>
      </c>
      <c r="M13173" t="s">
        <v>42537</v>
      </c>
      <c r="N13173" t="s">
        <v>42669</v>
      </c>
      <c r="O13173" t="s">
        <v>42670</v>
      </c>
      <c r="P13173">
        <v>0</v>
      </c>
      <c r="Q13173">
        <v>104</v>
      </c>
      <c r="R13173" t="s">
        <v>42691</v>
      </c>
      <c r="S13173" t="s">
        <v>43726</v>
      </c>
      <c r="T13173" t="s">
        <v>44488</v>
      </c>
      <c r="U13173" t="s">
        <v>55506</v>
      </c>
      <c r="V13173" t="s">
        <v>57887</v>
      </c>
      <c r="W13173" t="s">
        <v>42543</v>
      </c>
      <c r="X13173" t="s">
        <v>42692</v>
      </c>
    </row>
    <row r="13174" spans="1:24">
      <c r="A13174">
        <f>HYPERLINK("https://www.philgeps.gov.ph/GEPSNONPILOT/Tender/SplashBidNoticeAbstractUI.aspx?menuIndex=3&amp;refID=7154792&amp;Result=3","7154792")</f>
        <v>0</v>
      </c>
      <c r="B13174" t="s">
        <v>1965</v>
      </c>
      <c r="C13174" t="s">
        <v>16135</v>
      </c>
      <c r="D13174" t="s">
        <v>17141</v>
      </c>
      <c r="E13174" t="s">
        <v>28469</v>
      </c>
      <c r="F13174" t="s">
        <v>29372</v>
      </c>
      <c r="G13174" t="s">
        <v>29380</v>
      </c>
      <c r="H13174" t="s">
        <v>11048</v>
      </c>
      <c r="I13174" t="s">
        <v>9642</v>
      </c>
      <c r="J13174" t="s">
        <v>37843</v>
      </c>
      <c r="K13174" t="s">
        <v>38490</v>
      </c>
      <c r="M13174" t="s">
        <v>42541</v>
      </c>
      <c r="N13174" t="s">
        <v>42669</v>
      </c>
      <c r="O13174" t="s">
        <v>42670</v>
      </c>
      <c r="Q13174">
        <v>30</v>
      </c>
      <c r="R13174" t="s">
        <v>42691</v>
      </c>
      <c r="S13174" t="s">
        <v>43775</v>
      </c>
      <c r="T13174" t="s">
        <v>44427</v>
      </c>
      <c r="U13174" t="s">
        <v>55540</v>
      </c>
      <c r="V13174" t="s">
        <v>57648</v>
      </c>
      <c r="W13174" t="s">
        <v>42541</v>
      </c>
      <c r="X13174" t="s">
        <v>42692</v>
      </c>
    </row>
    <row r="13175" spans="1:24">
      <c r="A13175">
        <f>HYPERLINK("https://www.philgeps.gov.ph/GEPSNONPILOT/Tender/SplashBidNoticeAbstractUI.aspx?menuIndex=3&amp;refID=7154778&amp;Result=3","7154778")</f>
        <v>0</v>
      </c>
      <c r="B13175" t="s">
        <v>504</v>
      </c>
      <c r="C13175" t="s">
        <v>16136</v>
      </c>
      <c r="D13175" t="s">
        <v>17205</v>
      </c>
      <c r="E13175" t="s">
        <v>28470</v>
      </c>
      <c r="F13175" t="s">
        <v>29372</v>
      </c>
      <c r="G13175" t="s">
        <v>29380</v>
      </c>
      <c r="H13175" t="s">
        <v>29389</v>
      </c>
      <c r="I13175" t="s">
        <v>10408</v>
      </c>
      <c r="J13175" t="s">
        <v>37844</v>
      </c>
      <c r="K13175" t="s">
        <v>38489</v>
      </c>
      <c r="M13175" t="s">
        <v>39269</v>
      </c>
      <c r="N13175" t="s">
        <v>42669</v>
      </c>
      <c r="O13175" t="s">
        <v>42670</v>
      </c>
      <c r="P13175">
        <v>0</v>
      </c>
      <c r="Q13175">
        <v>22</v>
      </c>
      <c r="R13175" t="s">
        <v>42691</v>
      </c>
      <c r="S13175" t="s">
        <v>43726</v>
      </c>
      <c r="T13175" t="s">
        <v>44512</v>
      </c>
      <c r="U13175" t="s">
        <v>55541</v>
      </c>
      <c r="V13175" t="s">
        <v>56460</v>
      </c>
      <c r="W13175" t="s">
        <v>39269</v>
      </c>
      <c r="X13175" t="s">
        <v>42692</v>
      </c>
    </row>
    <row r="13176" spans="1:24">
      <c r="A13176">
        <f>HYPERLINK("https://www.philgeps.gov.ph/GEPSNONPILOT/Tender/SplashBidNoticeAbstractUI.aspx?menuIndex=3&amp;refID=7154742&amp;Result=3","7154742")</f>
        <v>0</v>
      </c>
      <c r="B13176" t="s">
        <v>142</v>
      </c>
      <c r="C13176" t="s">
        <v>16137</v>
      </c>
      <c r="D13176" t="s">
        <v>17167</v>
      </c>
      <c r="E13176" t="s">
        <v>28471</v>
      </c>
      <c r="F13176" t="s">
        <v>29372</v>
      </c>
      <c r="G13176" t="s">
        <v>29380</v>
      </c>
      <c r="H13176" t="s">
        <v>11048</v>
      </c>
      <c r="I13176" t="s">
        <v>7828</v>
      </c>
      <c r="J13176" t="s">
        <v>37845</v>
      </c>
      <c r="K13176" t="s">
        <v>38487</v>
      </c>
      <c r="L13176" t="s">
        <v>142</v>
      </c>
      <c r="M13176" t="s">
        <v>38897</v>
      </c>
      <c r="N13176" t="s">
        <v>42669</v>
      </c>
      <c r="O13176" t="s">
        <v>42670</v>
      </c>
      <c r="P13176">
        <v>0</v>
      </c>
      <c r="Q13176">
        <v>6</v>
      </c>
      <c r="R13176" t="s">
        <v>42691</v>
      </c>
      <c r="S13176" t="s">
        <v>43726</v>
      </c>
      <c r="T13176" t="s">
        <v>44570</v>
      </c>
      <c r="U13176" t="s">
        <v>55542</v>
      </c>
      <c r="V13176" t="s">
        <v>57880</v>
      </c>
      <c r="W13176" t="s">
        <v>38897</v>
      </c>
      <c r="X13176" t="s">
        <v>42692</v>
      </c>
    </row>
    <row r="13177" spans="1:24">
      <c r="A13177">
        <f>HYPERLINK("https://www.philgeps.gov.ph/GEPSNONPILOT/Tender/SplashBidNoticeAbstractUI.aspx?menuIndex=3&amp;refID=7154752&amp;Result=3","7154752")</f>
        <v>0</v>
      </c>
      <c r="B13177" t="s">
        <v>3435</v>
      </c>
      <c r="C13177" t="s">
        <v>16138</v>
      </c>
      <c r="D13177" t="s">
        <v>17212</v>
      </c>
      <c r="E13177" t="s">
        <v>28472</v>
      </c>
      <c r="F13177" t="s">
        <v>29372</v>
      </c>
      <c r="G13177" t="s">
        <v>29380</v>
      </c>
      <c r="H13177" t="s">
        <v>11048</v>
      </c>
      <c r="I13177" t="s">
        <v>29461</v>
      </c>
      <c r="J13177" t="s">
        <v>29587</v>
      </c>
      <c r="K13177" t="s">
        <v>38487</v>
      </c>
      <c r="M13177" t="s">
        <v>42542</v>
      </c>
      <c r="N13177" t="s">
        <v>42669</v>
      </c>
      <c r="O13177" t="s">
        <v>42670</v>
      </c>
      <c r="P13177">
        <v>0</v>
      </c>
      <c r="Q13177">
        <v>0</v>
      </c>
      <c r="R13177" t="s">
        <v>42691</v>
      </c>
      <c r="S13177" t="s">
        <v>43726</v>
      </c>
      <c r="T13177" t="s">
        <v>44491</v>
      </c>
      <c r="U13177" t="s">
        <v>55543</v>
      </c>
      <c r="W13177" t="s">
        <v>42542</v>
      </c>
      <c r="X13177" t="s">
        <v>42692</v>
      </c>
    </row>
    <row r="13178" spans="1:24">
      <c r="A13178">
        <f>HYPERLINK("https://www.philgeps.gov.ph/GEPSNONPILOT/Tender/SplashBidNoticeAbstractUI.aspx?menuIndex=3&amp;refID=7154735&amp;Result=3","7154735")</f>
        <v>0</v>
      </c>
      <c r="B13178" t="s">
        <v>1930</v>
      </c>
      <c r="C13178" t="s">
        <v>16139</v>
      </c>
      <c r="D13178" t="s">
        <v>17185</v>
      </c>
      <c r="E13178" t="s">
        <v>28473</v>
      </c>
      <c r="F13178" t="s">
        <v>29372</v>
      </c>
      <c r="G13178" t="s">
        <v>29380</v>
      </c>
      <c r="H13178" t="s">
        <v>11048</v>
      </c>
      <c r="I13178" t="s">
        <v>4709</v>
      </c>
      <c r="J13178" t="s">
        <v>37846</v>
      </c>
      <c r="K13178" t="s">
        <v>38490</v>
      </c>
      <c r="M13178" t="s">
        <v>42102</v>
      </c>
      <c r="N13178" t="s">
        <v>42669</v>
      </c>
      <c r="O13178" t="s">
        <v>42670</v>
      </c>
      <c r="P13178">
        <v>0</v>
      </c>
      <c r="Q13178">
        <v>3</v>
      </c>
      <c r="R13178" t="s">
        <v>42691</v>
      </c>
      <c r="S13178" t="s">
        <v>43726</v>
      </c>
      <c r="T13178" t="s">
        <v>44548</v>
      </c>
      <c r="U13178" t="s">
        <v>55544</v>
      </c>
      <c r="W13178" t="s">
        <v>42102</v>
      </c>
      <c r="X13178" t="s">
        <v>42692</v>
      </c>
    </row>
    <row r="13179" spans="1:24">
      <c r="A13179">
        <f>HYPERLINK("https://www.philgeps.gov.ph/GEPSNONPILOT/Tender/SplashBidNoticeAbstractUI.aspx?menuIndex=3&amp;refID=7154722&amp;Result=3","7154722")</f>
        <v>0</v>
      </c>
      <c r="B13179" t="s">
        <v>3025</v>
      </c>
      <c r="C13179" t="s">
        <v>16140</v>
      </c>
      <c r="D13179" t="s">
        <v>17164</v>
      </c>
      <c r="E13179" t="s">
        <v>28474</v>
      </c>
      <c r="F13179" t="s">
        <v>29372</v>
      </c>
      <c r="G13179" t="s">
        <v>29380</v>
      </c>
      <c r="H13179" t="s">
        <v>29389</v>
      </c>
      <c r="I13179" t="s">
        <v>10408</v>
      </c>
      <c r="J13179" t="s">
        <v>29590</v>
      </c>
      <c r="K13179" t="s">
        <v>38485</v>
      </c>
      <c r="M13179" t="s">
        <v>42047</v>
      </c>
      <c r="N13179" t="s">
        <v>42669</v>
      </c>
      <c r="O13179" t="s">
        <v>42670</v>
      </c>
      <c r="P13179">
        <v>0</v>
      </c>
      <c r="Q13179">
        <v>4</v>
      </c>
      <c r="R13179" t="s">
        <v>42691</v>
      </c>
      <c r="S13179" t="s">
        <v>43726</v>
      </c>
      <c r="T13179" t="s">
        <v>44488</v>
      </c>
      <c r="U13179" t="s">
        <v>49416</v>
      </c>
      <c r="V13179" t="s">
        <v>57884</v>
      </c>
      <c r="W13179" t="s">
        <v>42047</v>
      </c>
      <c r="X13179" t="s">
        <v>42692</v>
      </c>
    </row>
    <row r="13180" spans="1:24">
      <c r="A13180">
        <f>HYPERLINK("https://www.philgeps.gov.ph/GEPSNONPILOT/Tender/SplashBidNoticeAbstractUI.aspx?menuIndex=3&amp;refID=7154753&amp;Result=3","7154753")</f>
        <v>0</v>
      </c>
      <c r="B13180" t="s">
        <v>878</v>
      </c>
      <c r="C13180" t="s">
        <v>16141</v>
      </c>
      <c r="D13180" t="s">
        <v>17161</v>
      </c>
      <c r="E13180" t="s">
        <v>28475</v>
      </c>
      <c r="F13180" t="s">
        <v>29372</v>
      </c>
      <c r="G13180" t="s">
        <v>29380</v>
      </c>
      <c r="H13180" t="s">
        <v>29389</v>
      </c>
      <c r="I13180" t="s">
        <v>10408</v>
      </c>
      <c r="J13180" t="s">
        <v>30161</v>
      </c>
      <c r="K13180" t="s">
        <v>38522</v>
      </c>
      <c r="M13180" t="s">
        <v>39670</v>
      </c>
      <c r="N13180" t="s">
        <v>42669</v>
      </c>
      <c r="O13180" t="s">
        <v>42670</v>
      </c>
      <c r="P13180">
        <v>0</v>
      </c>
      <c r="Q13180">
        <v>0</v>
      </c>
      <c r="R13180" t="s">
        <v>42691</v>
      </c>
      <c r="S13180" t="s">
        <v>43726</v>
      </c>
      <c r="T13180" t="s">
        <v>44432</v>
      </c>
      <c r="U13180" t="s">
        <v>55545</v>
      </c>
      <c r="W13180" t="s">
        <v>39670</v>
      </c>
      <c r="X13180" t="s">
        <v>42692</v>
      </c>
    </row>
    <row r="13181" spans="1:24">
      <c r="A13181">
        <f>HYPERLINK("https://www.philgeps.gov.ph/GEPSNONPILOT/Tender/SplashBidNoticeAbstractUI.aspx?menuIndex=3&amp;refID=7154712&amp;Result=3","7154712")</f>
        <v>0</v>
      </c>
      <c r="B13181" t="s">
        <v>1998</v>
      </c>
      <c r="C13181" t="s">
        <v>16142</v>
      </c>
      <c r="D13181" t="s">
        <v>17148</v>
      </c>
      <c r="E13181" t="s">
        <v>28476</v>
      </c>
      <c r="F13181" t="s">
        <v>29372</v>
      </c>
      <c r="G13181" t="s">
        <v>29380</v>
      </c>
      <c r="H13181" t="s">
        <v>29389</v>
      </c>
      <c r="I13181" t="s">
        <v>10408</v>
      </c>
      <c r="J13181" t="s">
        <v>33662</v>
      </c>
      <c r="K13181" t="s">
        <v>38533</v>
      </c>
      <c r="M13181" t="s">
        <v>42537</v>
      </c>
      <c r="N13181" t="s">
        <v>42669</v>
      </c>
      <c r="O13181" t="s">
        <v>42670</v>
      </c>
      <c r="P13181">
        <v>0</v>
      </c>
      <c r="Q13181">
        <v>106</v>
      </c>
      <c r="R13181" t="s">
        <v>42691</v>
      </c>
      <c r="S13181" t="s">
        <v>43726</v>
      </c>
      <c r="T13181" t="s">
        <v>44488</v>
      </c>
      <c r="U13181" t="s">
        <v>55506</v>
      </c>
      <c r="V13181" t="s">
        <v>57888</v>
      </c>
      <c r="W13181" t="s">
        <v>42543</v>
      </c>
      <c r="X13181" t="s">
        <v>42692</v>
      </c>
    </row>
    <row r="13182" spans="1:24">
      <c r="A13182">
        <f>HYPERLINK("https://www.philgeps.gov.ph/GEPSNONPILOT/Tender/SplashBidNoticeAbstractUI.aspx?menuIndex=3&amp;refID=7154709&amp;Result=3","7154709")</f>
        <v>0</v>
      </c>
      <c r="B13182" t="s">
        <v>586</v>
      </c>
      <c r="C13182" t="s">
        <v>16143</v>
      </c>
      <c r="D13182" t="s">
        <v>17161</v>
      </c>
      <c r="E13182" t="s">
        <v>28477</v>
      </c>
      <c r="F13182" t="s">
        <v>29372</v>
      </c>
      <c r="G13182" t="s">
        <v>29380</v>
      </c>
      <c r="H13182" t="s">
        <v>11048</v>
      </c>
      <c r="I13182" t="s">
        <v>4709</v>
      </c>
      <c r="J13182" t="s">
        <v>37847</v>
      </c>
      <c r="K13182" t="s">
        <v>38490</v>
      </c>
      <c r="M13182" t="s">
        <v>39355</v>
      </c>
      <c r="N13182" t="s">
        <v>42669</v>
      </c>
      <c r="O13182" t="s">
        <v>42670</v>
      </c>
      <c r="P13182">
        <v>0</v>
      </c>
      <c r="Q13182">
        <v>1</v>
      </c>
      <c r="R13182" t="s">
        <v>42691</v>
      </c>
      <c r="S13182" t="s">
        <v>43726</v>
      </c>
      <c r="T13182" t="s">
        <v>44488</v>
      </c>
      <c r="U13182" t="s">
        <v>55546</v>
      </c>
      <c r="W13182" t="s">
        <v>39355</v>
      </c>
      <c r="X13182" t="s">
        <v>42692</v>
      </c>
    </row>
    <row r="13183" spans="1:24">
      <c r="A13183">
        <f>HYPERLINK("https://www.philgeps.gov.ph/GEPSNONPILOT/Tender/SplashBidNoticeAbstractUI.aspx?menuIndex=3&amp;refID=7154584&amp;Result=3","7154584")</f>
        <v>0</v>
      </c>
      <c r="B13183" t="s">
        <v>2165</v>
      </c>
      <c r="C13183" t="s">
        <v>16144</v>
      </c>
      <c r="D13183" t="s">
        <v>17197</v>
      </c>
      <c r="E13183" t="s">
        <v>18523</v>
      </c>
      <c r="F13183" t="s">
        <v>29372</v>
      </c>
      <c r="G13183" t="s">
        <v>29380</v>
      </c>
      <c r="H13183" t="s">
        <v>11048</v>
      </c>
      <c r="I13183" t="s">
        <v>3695</v>
      </c>
      <c r="J13183" t="s">
        <v>30056</v>
      </c>
      <c r="K13183" t="s">
        <v>38485</v>
      </c>
      <c r="M13183" t="s">
        <v>41076</v>
      </c>
      <c r="N13183" t="s">
        <v>42669</v>
      </c>
      <c r="O13183" t="s">
        <v>42670</v>
      </c>
      <c r="P13183">
        <v>0</v>
      </c>
      <c r="Q13183">
        <v>6</v>
      </c>
      <c r="R13183" t="s">
        <v>42691</v>
      </c>
      <c r="S13183" t="s">
        <v>43726</v>
      </c>
      <c r="T13183" t="s">
        <v>44491</v>
      </c>
      <c r="U13183" t="s">
        <v>55547</v>
      </c>
      <c r="W13183" t="s">
        <v>41076</v>
      </c>
      <c r="X13183" t="s">
        <v>42692</v>
      </c>
    </row>
    <row r="13184" spans="1:24">
      <c r="A13184">
        <f>HYPERLINK("https://www.philgeps.gov.ph/GEPSNONPILOT/Tender/SplashBidNoticeAbstractUI.aspx?menuIndex=3&amp;refID=7154703&amp;Result=3","7154703")</f>
        <v>0</v>
      </c>
      <c r="B13184" t="s">
        <v>3073</v>
      </c>
      <c r="C13184" t="s">
        <v>16145</v>
      </c>
      <c r="D13184" t="s">
        <v>17192</v>
      </c>
      <c r="E13184" t="s">
        <v>28478</v>
      </c>
      <c r="F13184" t="s">
        <v>29372</v>
      </c>
      <c r="G13184" t="s">
        <v>29380</v>
      </c>
      <c r="H13184" t="s">
        <v>11048</v>
      </c>
      <c r="I13184" t="s">
        <v>29400</v>
      </c>
      <c r="J13184" t="s">
        <v>33087</v>
      </c>
      <c r="K13184" t="s">
        <v>38490</v>
      </c>
      <c r="M13184" t="s">
        <v>42101</v>
      </c>
      <c r="N13184" t="s">
        <v>42669</v>
      </c>
      <c r="O13184" t="s">
        <v>42670</v>
      </c>
      <c r="Q13184">
        <v>28</v>
      </c>
      <c r="R13184" t="s">
        <v>42691</v>
      </c>
      <c r="S13184" t="s">
        <v>43776</v>
      </c>
      <c r="T13184" t="s">
        <v>44427</v>
      </c>
      <c r="U13184" t="s">
        <v>55548</v>
      </c>
      <c r="W13184" t="s">
        <v>42101</v>
      </c>
      <c r="X13184" t="s">
        <v>42692</v>
      </c>
    </row>
    <row r="13185" spans="1:24">
      <c r="A13185">
        <f>HYPERLINK("https://www.philgeps.gov.ph/GEPSNONPILOT/Tender/SplashBidNoticeAbstractUI.aspx?menuIndex=3&amp;refID=7154225&amp;Result=3","7154225")</f>
        <v>0</v>
      </c>
      <c r="B13185" t="s">
        <v>278</v>
      </c>
      <c r="C13185" t="s">
        <v>16146</v>
      </c>
      <c r="D13185" t="s">
        <v>17206</v>
      </c>
      <c r="E13185" t="s">
        <v>28479</v>
      </c>
      <c r="F13185" t="s">
        <v>29372</v>
      </c>
      <c r="G13185" t="s">
        <v>29380</v>
      </c>
      <c r="H13185" t="s">
        <v>11048</v>
      </c>
      <c r="I13185" t="s">
        <v>29423</v>
      </c>
      <c r="J13185" t="s">
        <v>30308</v>
      </c>
      <c r="K13185" t="s">
        <v>38496</v>
      </c>
      <c r="M13185" t="s">
        <v>39138</v>
      </c>
      <c r="N13185" t="s">
        <v>42669</v>
      </c>
      <c r="O13185" t="s">
        <v>42670</v>
      </c>
      <c r="Q13185">
        <v>16</v>
      </c>
      <c r="R13185" t="s">
        <v>42691</v>
      </c>
      <c r="S13185" t="s">
        <v>43777</v>
      </c>
      <c r="T13185" t="s">
        <v>44554</v>
      </c>
      <c r="U13185" t="s">
        <v>55549</v>
      </c>
      <c r="W13185" t="s">
        <v>39138</v>
      </c>
      <c r="X13185" t="s">
        <v>42692</v>
      </c>
    </row>
    <row r="13186" spans="1:24">
      <c r="A13186">
        <f>HYPERLINK("https://www.philgeps.gov.ph/GEPSNONPILOT/Tender/SplashBidNoticeAbstractUI.aspx?menuIndex=3&amp;refID=7154694&amp;Result=3","7154694")</f>
        <v>0</v>
      </c>
      <c r="B13186" t="s">
        <v>905</v>
      </c>
      <c r="C13186" t="s">
        <v>16147</v>
      </c>
      <c r="D13186" t="s">
        <v>17151</v>
      </c>
      <c r="E13186" t="s">
        <v>28480</v>
      </c>
      <c r="F13186" t="s">
        <v>29372</v>
      </c>
      <c r="G13186" t="s">
        <v>29380</v>
      </c>
      <c r="H13186" t="s">
        <v>29389</v>
      </c>
      <c r="I13186" t="s">
        <v>10408</v>
      </c>
      <c r="J13186" t="s">
        <v>30056</v>
      </c>
      <c r="K13186" t="s">
        <v>38568</v>
      </c>
      <c r="M13186" t="s">
        <v>39698</v>
      </c>
      <c r="N13186" t="s">
        <v>42669</v>
      </c>
      <c r="O13186" t="s">
        <v>42670</v>
      </c>
      <c r="P13186">
        <v>0</v>
      </c>
      <c r="Q13186">
        <v>4</v>
      </c>
      <c r="R13186" t="s">
        <v>42691</v>
      </c>
      <c r="S13186" t="s">
        <v>43726</v>
      </c>
      <c r="T13186" t="s">
        <v>44491</v>
      </c>
      <c r="U13186" t="s">
        <v>55550</v>
      </c>
      <c r="W13186" t="s">
        <v>39698</v>
      </c>
      <c r="X13186" t="s">
        <v>42692</v>
      </c>
    </row>
    <row r="13187" spans="1:24">
      <c r="A13187">
        <f>HYPERLINK("https://www.philgeps.gov.ph/GEPSNONPILOT/Tender/SplashBidNoticeAbstractUI.aspx?menuIndex=3&amp;refID=7154692&amp;Result=3","7154692")</f>
        <v>0</v>
      </c>
      <c r="B13187" t="s">
        <v>669</v>
      </c>
      <c r="C13187" t="s">
        <v>16148</v>
      </c>
      <c r="D13187" t="s">
        <v>17147</v>
      </c>
      <c r="E13187" t="s">
        <v>28481</v>
      </c>
      <c r="F13187" t="s">
        <v>29372</v>
      </c>
      <c r="G13187" t="s">
        <v>29380</v>
      </c>
      <c r="H13187" t="s">
        <v>11048</v>
      </c>
      <c r="I13187" t="s">
        <v>29394</v>
      </c>
      <c r="J13187" t="s">
        <v>31272</v>
      </c>
      <c r="K13187" t="s">
        <v>38488</v>
      </c>
      <c r="M13187" t="s">
        <v>40064</v>
      </c>
      <c r="N13187" t="s">
        <v>42669</v>
      </c>
      <c r="O13187" t="s">
        <v>42670</v>
      </c>
      <c r="P13187">
        <v>0</v>
      </c>
      <c r="Q13187">
        <v>5</v>
      </c>
      <c r="R13187" t="s">
        <v>42691</v>
      </c>
      <c r="S13187" t="s">
        <v>43726</v>
      </c>
      <c r="T13187" t="s">
        <v>44580</v>
      </c>
      <c r="U13187" t="s">
        <v>55551</v>
      </c>
      <c r="W13187" t="s">
        <v>40064</v>
      </c>
      <c r="X13187" t="s">
        <v>42692</v>
      </c>
    </row>
    <row r="13188" spans="1:24">
      <c r="A13188">
        <f>HYPERLINK("https://www.philgeps.gov.ph/GEPSNONPILOT/Tender/SplashBidNoticeAbstractUI.aspx?menuIndex=3&amp;refID=7154666&amp;Result=3","7154666")</f>
        <v>0</v>
      </c>
      <c r="B13188" t="s">
        <v>1998</v>
      </c>
      <c r="C13188" t="s">
        <v>16149</v>
      </c>
      <c r="D13188" t="s">
        <v>17148</v>
      </c>
      <c r="E13188" t="s">
        <v>28482</v>
      </c>
      <c r="F13188" t="s">
        <v>29372</v>
      </c>
      <c r="G13188" t="s">
        <v>29380</v>
      </c>
      <c r="H13188" t="s">
        <v>29389</v>
      </c>
      <c r="I13188" t="s">
        <v>10408</v>
      </c>
      <c r="J13188" t="s">
        <v>29615</v>
      </c>
      <c r="K13188" t="s">
        <v>38526</v>
      </c>
      <c r="M13188" t="s">
        <v>42543</v>
      </c>
      <c r="N13188" t="s">
        <v>42669</v>
      </c>
      <c r="O13188" t="s">
        <v>42670</v>
      </c>
      <c r="P13188">
        <v>0</v>
      </c>
      <c r="Q13188">
        <v>106</v>
      </c>
      <c r="R13188" t="s">
        <v>42691</v>
      </c>
      <c r="S13188" t="s">
        <v>43726</v>
      </c>
      <c r="T13188" t="s">
        <v>44488</v>
      </c>
      <c r="U13188" t="s">
        <v>55506</v>
      </c>
      <c r="V13188" t="s">
        <v>57889</v>
      </c>
      <c r="W13188" t="s">
        <v>42543</v>
      </c>
      <c r="X13188" t="s">
        <v>42692</v>
      </c>
    </row>
    <row r="13189" spans="1:24">
      <c r="A13189">
        <f>HYPERLINK("https://www.philgeps.gov.ph/GEPSNONPILOT/Tender/SplashBidNoticeAbstractUI.aspx?menuIndex=3&amp;refID=7154699&amp;Result=3","7154699")</f>
        <v>0</v>
      </c>
      <c r="B13189" t="s">
        <v>3025</v>
      </c>
      <c r="C13189" t="s">
        <v>16150</v>
      </c>
      <c r="D13189" t="s">
        <v>17164</v>
      </c>
      <c r="E13189" t="s">
        <v>28483</v>
      </c>
      <c r="F13189" t="s">
        <v>29372</v>
      </c>
      <c r="G13189" t="s">
        <v>29380</v>
      </c>
      <c r="H13189" t="s">
        <v>29389</v>
      </c>
      <c r="I13189" t="s">
        <v>10408</v>
      </c>
      <c r="J13189" t="s">
        <v>29543</v>
      </c>
      <c r="K13189" t="s">
        <v>38496</v>
      </c>
      <c r="M13189" t="s">
        <v>42047</v>
      </c>
      <c r="N13189" t="s">
        <v>42669</v>
      </c>
      <c r="O13189" t="s">
        <v>42670</v>
      </c>
      <c r="P13189">
        <v>0</v>
      </c>
      <c r="Q13189">
        <v>3</v>
      </c>
      <c r="R13189" t="s">
        <v>42691</v>
      </c>
      <c r="S13189" t="s">
        <v>43726</v>
      </c>
      <c r="T13189" t="s">
        <v>44488</v>
      </c>
      <c r="U13189" t="s">
        <v>49416</v>
      </c>
      <c r="V13189" t="s">
        <v>57884</v>
      </c>
      <c r="W13189" t="s">
        <v>42047</v>
      </c>
      <c r="X13189" t="s">
        <v>42692</v>
      </c>
    </row>
    <row r="13190" spans="1:24">
      <c r="A13190">
        <f>HYPERLINK("https://www.philgeps.gov.ph/GEPSNONPILOT/Tender/SplashBidNoticeAbstractUI.aspx?menuIndex=3&amp;refID=7154901&amp;Result=3","7154901")</f>
        <v>0</v>
      </c>
      <c r="B13190" t="s">
        <v>3436</v>
      </c>
      <c r="C13190" t="s">
        <v>16151</v>
      </c>
      <c r="D13190" t="s">
        <v>17158</v>
      </c>
      <c r="E13190" t="s">
        <v>28484</v>
      </c>
      <c r="F13190" t="s">
        <v>29372</v>
      </c>
      <c r="G13190" t="s">
        <v>29380</v>
      </c>
      <c r="H13190" t="s">
        <v>29389</v>
      </c>
      <c r="I13190" t="s">
        <v>10408</v>
      </c>
      <c r="J13190" t="s">
        <v>37848</v>
      </c>
      <c r="K13190" t="s">
        <v>38530</v>
      </c>
      <c r="M13190" t="s">
        <v>42544</v>
      </c>
      <c r="N13190" t="s">
        <v>42669</v>
      </c>
      <c r="O13190" t="s">
        <v>42670</v>
      </c>
      <c r="P13190">
        <v>0</v>
      </c>
      <c r="Q13190">
        <v>0</v>
      </c>
      <c r="R13190" t="s">
        <v>42691</v>
      </c>
      <c r="S13190" t="s">
        <v>43726</v>
      </c>
      <c r="T13190" t="s">
        <v>44427</v>
      </c>
      <c r="U13190" t="s">
        <v>55552</v>
      </c>
      <c r="W13190" t="s">
        <v>42544</v>
      </c>
      <c r="X13190" t="s">
        <v>42692</v>
      </c>
    </row>
    <row r="13191" spans="1:24">
      <c r="A13191">
        <f>HYPERLINK("https://www.philgeps.gov.ph/GEPSNONPILOT/Tender/SplashBidNoticeAbstractUI.aspx?menuIndex=3&amp;refID=7154499&amp;Result=3","7154499")</f>
        <v>0</v>
      </c>
      <c r="B13191" t="s">
        <v>3025</v>
      </c>
      <c r="C13191" t="s">
        <v>16121</v>
      </c>
      <c r="D13191" t="s">
        <v>17164</v>
      </c>
      <c r="E13191" t="s">
        <v>28485</v>
      </c>
      <c r="F13191" t="s">
        <v>29372</v>
      </c>
      <c r="G13191" t="s">
        <v>29380</v>
      </c>
      <c r="H13191" t="s">
        <v>29389</v>
      </c>
      <c r="I13191" t="s">
        <v>10408</v>
      </c>
      <c r="J13191" t="s">
        <v>30161</v>
      </c>
      <c r="K13191" t="s">
        <v>38527</v>
      </c>
      <c r="M13191" t="s">
        <v>42047</v>
      </c>
      <c r="N13191" t="s">
        <v>42669</v>
      </c>
      <c r="O13191" t="s">
        <v>42670</v>
      </c>
      <c r="P13191">
        <v>0</v>
      </c>
      <c r="Q13191">
        <v>3</v>
      </c>
      <c r="R13191" t="s">
        <v>42691</v>
      </c>
      <c r="S13191" t="s">
        <v>43726</v>
      </c>
      <c r="T13191" t="s">
        <v>44488</v>
      </c>
      <c r="U13191" t="s">
        <v>55523</v>
      </c>
      <c r="V13191" t="s">
        <v>57884</v>
      </c>
      <c r="W13191" t="s">
        <v>42047</v>
      </c>
      <c r="X13191" t="s">
        <v>42692</v>
      </c>
    </row>
    <row r="13192" spans="1:24">
      <c r="A13192">
        <f>HYPERLINK("https://www.philgeps.gov.ph/GEPSNONPILOT/Tender/SplashBidNoticeAbstractUI.aspx?menuIndex=3&amp;refID=7154884&amp;Result=3","7154884")</f>
        <v>0</v>
      </c>
      <c r="B13192" t="s">
        <v>2630</v>
      </c>
      <c r="C13192" t="s">
        <v>16152</v>
      </c>
      <c r="D13192" t="s">
        <v>17186</v>
      </c>
      <c r="E13192" t="s">
        <v>28486</v>
      </c>
      <c r="F13192" t="s">
        <v>29372</v>
      </c>
      <c r="G13192" t="s">
        <v>29380</v>
      </c>
      <c r="H13192" t="s">
        <v>29389</v>
      </c>
      <c r="I13192" t="s">
        <v>10408</v>
      </c>
      <c r="J13192" t="s">
        <v>37849</v>
      </c>
      <c r="K13192" t="s">
        <v>38498</v>
      </c>
      <c r="M13192" t="s">
        <v>41602</v>
      </c>
      <c r="N13192" t="s">
        <v>42669</v>
      </c>
      <c r="O13192" t="s">
        <v>42670</v>
      </c>
      <c r="P13192">
        <v>0</v>
      </c>
      <c r="Q13192">
        <v>2</v>
      </c>
      <c r="R13192" t="s">
        <v>42691</v>
      </c>
      <c r="S13192" t="s">
        <v>43726</v>
      </c>
      <c r="T13192" t="s">
        <v>44371</v>
      </c>
      <c r="U13192" t="s">
        <v>55553</v>
      </c>
      <c r="W13192" t="s">
        <v>41602</v>
      </c>
      <c r="X13192" t="s">
        <v>42692</v>
      </c>
    </row>
    <row r="13193" spans="1:24">
      <c r="A13193">
        <f>HYPERLINK("https://www.philgeps.gov.ph/GEPSNONPILOT/Tender/SplashBidNoticeAbstractUI.aspx?menuIndex=3&amp;refID=7154872&amp;Result=3","7154872")</f>
        <v>0</v>
      </c>
      <c r="B13193" t="s">
        <v>2630</v>
      </c>
      <c r="C13193" t="s">
        <v>16153</v>
      </c>
      <c r="D13193" t="s">
        <v>17186</v>
      </c>
      <c r="E13193" t="s">
        <v>28487</v>
      </c>
      <c r="F13193" t="s">
        <v>29372</v>
      </c>
      <c r="G13193" t="s">
        <v>29380</v>
      </c>
      <c r="H13193" t="s">
        <v>29389</v>
      </c>
      <c r="I13193" t="s">
        <v>10408</v>
      </c>
      <c r="J13193" t="s">
        <v>37850</v>
      </c>
      <c r="K13193" t="s">
        <v>38687</v>
      </c>
      <c r="M13193" t="s">
        <v>41602</v>
      </c>
      <c r="N13193" t="s">
        <v>42669</v>
      </c>
      <c r="O13193" t="s">
        <v>42670</v>
      </c>
      <c r="P13193">
        <v>0</v>
      </c>
      <c r="Q13193">
        <v>2</v>
      </c>
      <c r="R13193" t="s">
        <v>42691</v>
      </c>
      <c r="S13193" t="s">
        <v>43726</v>
      </c>
      <c r="T13193" t="s">
        <v>44371</v>
      </c>
      <c r="U13193" t="s">
        <v>55554</v>
      </c>
      <c r="W13193" t="s">
        <v>41602</v>
      </c>
      <c r="X13193" t="s">
        <v>42692</v>
      </c>
    </row>
    <row r="13194" spans="1:24">
      <c r="A13194">
        <f>HYPERLINK("https://www.philgeps.gov.ph/GEPSNONPILOT/Tender/SplashBidNoticeAbstractUI.aspx?menuIndex=3&amp;refID=7154889&amp;Result=3","7154889")</f>
        <v>0</v>
      </c>
      <c r="B13194" t="s">
        <v>971</v>
      </c>
      <c r="C13194" t="s">
        <v>16154</v>
      </c>
      <c r="D13194" t="s">
        <v>17199</v>
      </c>
      <c r="E13194" t="s">
        <v>28488</v>
      </c>
      <c r="F13194" t="s">
        <v>29372</v>
      </c>
      <c r="G13194" t="s">
        <v>29380</v>
      </c>
      <c r="H13194" t="s">
        <v>29389</v>
      </c>
      <c r="I13194" t="s">
        <v>10408</v>
      </c>
      <c r="J13194" t="s">
        <v>30161</v>
      </c>
      <c r="K13194" t="s">
        <v>38490</v>
      </c>
      <c r="L13194" t="s">
        <v>971</v>
      </c>
      <c r="M13194" t="s">
        <v>42545</v>
      </c>
      <c r="N13194" t="s">
        <v>42669</v>
      </c>
      <c r="O13194" t="s">
        <v>42670</v>
      </c>
      <c r="P13194">
        <v>0</v>
      </c>
      <c r="Q13194">
        <v>2</v>
      </c>
      <c r="R13194" t="s">
        <v>42691</v>
      </c>
      <c r="S13194" t="s">
        <v>43726</v>
      </c>
      <c r="T13194" t="s">
        <v>44488</v>
      </c>
      <c r="U13194" t="s">
        <v>55555</v>
      </c>
      <c r="V13194" t="s">
        <v>57890</v>
      </c>
      <c r="W13194" t="s">
        <v>42545</v>
      </c>
      <c r="X13194" t="s">
        <v>42692</v>
      </c>
    </row>
    <row r="13195" spans="1:24">
      <c r="A13195">
        <f>HYPERLINK("https://www.philgeps.gov.ph/GEPSNONPILOT/Tender/SplashBidNoticeAbstractUI.aspx?menuIndex=3&amp;refID=7154871&amp;Result=3","7154871")</f>
        <v>0</v>
      </c>
      <c r="B13195" t="s">
        <v>971</v>
      </c>
      <c r="C13195" t="s">
        <v>16155</v>
      </c>
      <c r="D13195" t="s">
        <v>17199</v>
      </c>
      <c r="E13195" t="s">
        <v>28489</v>
      </c>
      <c r="F13195" t="s">
        <v>29372</v>
      </c>
      <c r="G13195" t="s">
        <v>29380</v>
      </c>
      <c r="H13195" t="s">
        <v>29389</v>
      </c>
      <c r="I13195" t="s">
        <v>10408</v>
      </c>
      <c r="J13195" t="s">
        <v>30056</v>
      </c>
      <c r="K13195" t="s">
        <v>38490</v>
      </c>
      <c r="L13195" t="s">
        <v>971</v>
      </c>
      <c r="M13195" t="s">
        <v>42545</v>
      </c>
      <c r="N13195" t="s">
        <v>42669</v>
      </c>
      <c r="O13195" t="s">
        <v>42670</v>
      </c>
      <c r="P13195">
        <v>0</v>
      </c>
      <c r="Q13195">
        <v>0</v>
      </c>
      <c r="R13195" t="s">
        <v>42691</v>
      </c>
      <c r="S13195" t="s">
        <v>43726</v>
      </c>
      <c r="T13195" t="s">
        <v>44488</v>
      </c>
      <c r="U13195" t="s">
        <v>55555</v>
      </c>
      <c r="V13195" t="s">
        <v>57890</v>
      </c>
      <c r="W13195" t="s">
        <v>42545</v>
      </c>
      <c r="X13195" t="s">
        <v>42692</v>
      </c>
    </row>
    <row r="13196" spans="1:24">
      <c r="A13196">
        <f>HYPERLINK("https://www.philgeps.gov.ph/GEPSNONPILOT/Tender/SplashBidNoticeAbstractUI.aspx?menuIndex=3&amp;refID=7154866&amp;Result=3","7154866")</f>
        <v>0</v>
      </c>
      <c r="B13196" t="s">
        <v>971</v>
      </c>
      <c r="C13196" t="s">
        <v>16156</v>
      </c>
      <c r="D13196" t="s">
        <v>17199</v>
      </c>
      <c r="E13196" t="s">
        <v>28490</v>
      </c>
      <c r="F13196" t="s">
        <v>29372</v>
      </c>
      <c r="G13196" t="s">
        <v>29380</v>
      </c>
      <c r="H13196" t="s">
        <v>29389</v>
      </c>
      <c r="I13196" t="s">
        <v>10408</v>
      </c>
      <c r="J13196" t="s">
        <v>30161</v>
      </c>
      <c r="K13196" t="s">
        <v>38490</v>
      </c>
      <c r="L13196" t="s">
        <v>971</v>
      </c>
      <c r="M13196" t="s">
        <v>42545</v>
      </c>
      <c r="N13196" t="s">
        <v>42669</v>
      </c>
      <c r="O13196" t="s">
        <v>42670</v>
      </c>
      <c r="P13196">
        <v>0</v>
      </c>
      <c r="Q13196">
        <v>0</v>
      </c>
      <c r="R13196" t="s">
        <v>42691</v>
      </c>
      <c r="S13196" t="s">
        <v>43726</v>
      </c>
      <c r="T13196" t="s">
        <v>44488</v>
      </c>
      <c r="U13196" t="s">
        <v>55555</v>
      </c>
      <c r="V13196" t="s">
        <v>57890</v>
      </c>
      <c r="W13196" t="s">
        <v>42545</v>
      </c>
      <c r="X13196" t="s">
        <v>42692</v>
      </c>
    </row>
    <row r="13197" spans="1:24">
      <c r="A13197">
        <f>HYPERLINK("https://www.philgeps.gov.ph/GEPSNONPILOT/Tender/SplashBidNoticeAbstractUI.aspx?menuIndex=3&amp;refID=7154877&amp;Result=3","7154877")</f>
        <v>0</v>
      </c>
      <c r="B13197" t="s">
        <v>3436</v>
      </c>
      <c r="C13197" t="s">
        <v>16157</v>
      </c>
      <c r="D13197" t="s">
        <v>17158</v>
      </c>
      <c r="E13197" t="s">
        <v>28491</v>
      </c>
      <c r="F13197" t="s">
        <v>29372</v>
      </c>
      <c r="G13197" t="s">
        <v>29380</v>
      </c>
      <c r="H13197" t="s">
        <v>29389</v>
      </c>
      <c r="I13197" t="s">
        <v>10408</v>
      </c>
      <c r="J13197" t="s">
        <v>30886</v>
      </c>
      <c r="K13197" t="s">
        <v>38557</v>
      </c>
      <c r="M13197" t="s">
        <v>42544</v>
      </c>
      <c r="N13197" t="s">
        <v>42669</v>
      </c>
      <c r="O13197" t="s">
        <v>42670</v>
      </c>
      <c r="P13197">
        <v>0</v>
      </c>
      <c r="Q13197">
        <v>0</v>
      </c>
      <c r="R13197" t="s">
        <v>42691</v>
      </c>
      <c r="S13197" t="s">
        <v>43726</v>
      </c>
      <c r="T13197" t="s">
        <v>44427</v>
      </c>
      <c r="U13197" t="s">
        <v>55556</v>
      </c>
      <c r="W13197" t="s">
        <v>42544</v>
      </c>
      <c r="X13197" t="s">
        <v>42692</v>
      </c>
    </row>
    <row r="13198" spans="1:24">
      <c r="A13198">
        <f>HYPERLINK("https://www.philgeps.gov.ph/GEPSNONPILOT/Tender/SplashBidNoticeAbstractUI.aspx?menuIndex=3&amp;refID=7154848&amp;Result=3","7154848")</f>
        <v>0</v>
      </c>
      <c r="B13198" t="s">
        <v>221</v>
      </c>
      <c r="C13198" t="s">
        <v>16158</v>
      </c>
      <c r="D13198" t="s">
        <v>17202</v>
      </c>
      <c r="E13198" t="s">
        <v>28492</v>
      </c>
      <c r="F13198" t="s">
        <v>29372</v>
      </c>
      <c r="G13198" t="s">
        <v>29380</v>
      </c>
      <c r="H13198" t="s">
        <v>11048</v>
      </c>
      <c r="I13198" t="s">
        <v>29405</v>
      </c>
      <c r="J13198" t="s">
        <v>37851</v>
      </c>
      <c r="K13198" t="s">
        <v>38488</v>
      </c>
      <c r="M13198" t="s">
        <v>38980</v>
      </c>
      <c r="N13198" t="s">
        <v>42669</v>
      </c>
      <c r="O13198" t="s">
        <v>42670</v>
      </c>
      <c r="P13198">
        <v>0</v>
      </c>
      <c r="Q13198">
        <v>9</v>
      </c>
      <c r="R13198" t="s">
        <v>42691</v>
      </c>
      <c r="S13198" t="s">
        <v>43726</v>
      </c>
      <c r="T13198" t="s">
        <v>44488</v>
      </c>
      <c r="U13198" t="s">
        <v>55557</v>
      </c>
      <c r="W13198" t="s">
        <v>38980</v>
      </c>
      <c r="X13198" t="s">
        <v>42692</v>
      </c>
    </row>
    <row r="13199" spans="1:24">
      <c r="A13199">
        <f>HYPERLINK("https://www.philgeps.gov.ph/GEPSNONPILOT/Tender/SplashBidNoticeAbstractUI.aspx?menuIndex=3&amp;refID=7154845&amp;Result=3","7154845")</f>
        <v>0</v>
      </c>
      <c r="B13199" t="s">
        <v>3093</v>
      </c>
      <c r="C13199" t="s">
        <v>16159</v>
      </c>
      <c r="D13199" t="s">
        <v>17174</v>
      </c>
      <c r="E13199" t="s">
        <v>28493</v>
      </c>
      <c r="F13199" t="s">
        <v>29372</v>
      </c>
      <c r="G13199" t="s">
        <v>29380</v>
      </c>
      <c r="H13199" t="s">
        <v>11048</v>
      </c>
      <c r="I13199" t="s">
        <v>29411</v>
      </c>
      <c r="J13199" t="s">
        <v>29694</v>
      </c>
      <c r="K13199" t="s">
        <v>38485</v>
      </c>
      <c r="M13199" t="s">
        <v>42130</v>
      </c>
      <c r="N13199" t="s">
        <v>42669</v>
      </c>
      <c r="O13199" t="s">
        <v>42670</v>
      </c>
      <c r="P13199">
        <v>0</v>
      </c>
      <c r="Q13199">
        <v>2</v>
      </c>
      <c r="R13199" t="s">
        <v>42691</v>
      </c>
      <c r="S13199" t="s">
        <v>43726</v>
      </c>
      <c r="T13199" t="s">
        <v>44354</v>
      </c>
      <c r="U13199" t="s">
        <v>55558</v>
      </c>
      <c r="W13199" t="s">
        <v>42130</v>
      </c>
      <c r="X13199" t="s">
        <v>42692</v>
      </c>
    </row>
    <row r="13200" spans="1:24">
      <c r="A13200">
        <f>HYPERLINK("https://www.philgeps.gov.ph/GEPSNONPILOT/Tender/SplashBidNoticeAbstractUI.aspx?menuIndex=3&amp;refID=7154828&amp;Result=3","7154828")</f>
        <v>0</v>
      </c>
      <c r="B13200" t="s">
        <v>3093</v>
      </c>
      <c r="C13200" t="s">
        <v>16160</v>
      </c>
      <c r="D13200" t="s">
        <v>17174</v>
      </c>
      <c r="E13200" t="s">
        <v>28494</v>
      </c>
      <c r="F13200" t="s">
        <v>29372</v>
      </c>
      <c r="G13200" t="s">
        <v>29380</v>
      </c>
      <c r="H13200" t="s">
        <v>11048</v>
      </c>
      <c r="I13200" t="s">
        <v>8614</v>
      </c>
      <c r="J13200" t="s">
        <v>30435</v>
      </c>
      <c r="K13200" t="s">
        <v>38485</v>
      </c>
      <c r="M13200" t="s">
        <v>42130</v>
      </c>
      <c r="N13200" t="s">
        <v>42669</v>
      </c>
      <c r="O13200" t="s">
        <v>42670</v>
      </c>
      <c r="Q13200">
        <v>4</v>
      </c>
      <c r="R13200" t="s">
        <v>42691</v>
      </c>
      <c r="S13200" t="s">
        <v>43778</v>
      </c>
      <c r="T13200" t="s">
        <v>44373</v>
      </c>
      <c r="U13200" t="s">
        <v>55559</v>
      </c>
      <c r="W13200" t="s">
        <v>42130</v>
      </c>
      <c r="X13200" t="s">
        <v>42692</v>
      </c>
    </row>
    <row r="13201" spans="1:24">
      <c r="A13201">
        <f>HYPERLINK("https://www.philgeps.gov.ph/GEPSNONPILOT/Tender/SplashBidNoticeAbstractUI.aspx?menuIndex=3&amp;refID=7154825&amp;Result=3","7154825")</f>
        <v>0</v>
      </c>
      <c r="B13201" t="s">
        <v>668</v>
      </c>
      <c r="C13201" t="s">
        <v>16161</v>
      </c>
      <c r="D13201" t="s">
        <v>17172</v>
      </c>
      <c r="E13201" t="s">
        <v>28495</v>
      </c>
      <c r="F13201" t="s">
        <v>29372</v>
      </c>
      <c r="G13201" t="s">
        <v>29380</v>
      </c>
      <c r="H13201" t="s">
        <v>11048</v>
      </c>
      <c r="I13201" t="s">
        <v>4487</v>
      </c>
      <c r="J13201" t="s">
        <v>37852</v>
      </c>
      <c r="K13201" t="s">
        <v>38485</v>
      </c>
      <c r="M13201" t="s">
        <v>39444</v>
      </c>
      <c r="N13201" t="s">
        <v>42669</v>
      </c>
      <c r="O13201" t="s">
        <v>42670</v>
      </c>
      <c r="P13201">
        <v>0</v>
      </c>
      <c r="Q13201">
        <v>5</v>
      </c>
      <c r="R13201" t="s">
        <v>42691</v>
      </c>
      <c r="S13201" t="s">
        <v>43726</v>
      </c>
      <c r="T13201" t="s">
        <v>44432</v>
      </c>
      <c r="U13201" t="s">
        <v>55560</v>
      </c>
      <c r="W13201" t="s">
        <v>39444</v>
      </c>
      <c r="X13201" t="s">
        <v>42692</v>
      </c>
    </row>
    <row r="13202" spans="1:24">
      <c r="A13202">
        <f>HYPERLINK("https://www.philgeps.gov.ph/GEPSNONPILOT/Tender/SplashBidNoticeAbstractUI.aspx?menuIndex=3&amp;refID=7154711&amp;Result=3","7154711")</f>
        <v>0</v>
      </c>
      <c r="B13202" t="s">
        <v>1930</v>
      </c>
      <c r="C13202" t="s">
        <v>16162</v>
      </c>
      <c r="D13202" t="s">
        <v>17185</v>
      </c>
      <c r="E13202" t="s">
        <v>28496</v>
      </c>
      <c r="F13202" t="s">
        <v>29372</v>
      </c>
      <c r="G13202" t="s">
        <v>29380</v>
      </c>
      <c r="H13202" t="s">
        <v>11048</v>
      </c>
      <c r="I13202" t="s">
        <v>3670</v>
      </c>
      <c r="J13202" t="s">
        <v>29924</v>
      </c>
      <c r="K13202" t="s">
        <v>38490</v>
      </c>
      <c r="M13202" t="s">
        <v>42102</v>
      </c>
      <c r="N13202" t="s">
        <v>42669</v>
      </c>
      <c r="O13202" t="s">
        <v>42670</v>
      </c>
      <c r="P13202">
        <v>0</v>
      </c>
      <c r="Q13202">
        <v>1</v>
      </c>
      <c r="R13202" t="s">
        <v>42691</v>
      </c>
      <c r="S13202" t="s">
        <v>43726</v>
      </c>
      <c r="T13202" t="s">
        <v>44548</v>
      </c>
      <c r="U13202" t="s">
        <v>55561</v>
      </c>
      <c r="W13202" t="s">
        <v>42102</v>
      </c>
      <c r="X13202" t="s">
        <v>42692</v>
      </c>
    </row>
    <row r="13203" spans="1:24">
      <c r="A13203">
        <f>HYPERLINK("https://www.philgeps.gov.ph/GEPSNONPILOT/Tender/SplashBidNoticeAbstractUI.aspx?menuIndex=3&amp;refID=7154824&amp;Result=3","7154824")</f>
        <v>0</v>
      </c>
      <c r="B13203" t="s">
        <v>583</v>
      </c>
      <c r="C13203" t="s">
        <v>16163</v>
      </c>
      <c r="D13203" t="s">
        <v>17250</v>
      </c>
      <c r="E13203" t="s">
        <v>28497</v>
      </c>
      <c r="F13203" t="s">
        <v>29372</v>
      </c>
      <c r="G13203" t="s">
        <v>29380</v>
      </c>
      <c r="H13203" t="s">
        <v>11048</v>
      </c>
      <c r="I13203" t="s">
        <v>29428</v>
      </c>
      <c r="J13203" t="s">
        <v>37853</v>
      </c>
      <c r="K13203" t="s">
        <v>38487</v>
      </c>
      <c r="M13203" t="s">
        <v>42531</v>
      </c>
      <c r="N13203" t="s">
        <v>42669</v>
      </c>
      <c r="O13203" t="s">
        <v>42670</v>
      </c>
      <c r="Q13203">
        <v>6</v>
      </c>
      <c r="R13203" t="s">
        <v>42691</v>
      </c>
      <c r="S13203" t="s">
        <v>43779</v>
      </c>
      <c r="T13203" t="s">
        <v>44427</v>
      </c>
      <c r="U13203" t="s">
        <v>55562</v>
      </c>
      <c r="W13203" t="s">
        <v>42531</v>
      </c>
      <c r="X13203" t="s">
        <v>42692</v>
      </c>
    </row>
    <row r="13204" spans="1:24">
      <c r="A13204">
        <f>HYPERLINK("https://www.philgeps.gov.ph/GEPSNONPILOT/Tender/SplashBidNoticeAbstractUI.aspx?menuIndex=3&amp;refID=7154814&amp;Result=3","7154814")</f>
        <v>0</v>
      </c>
      <c r="B13204" t="s">
        <v>1254</v>
      </c>
      <c r="C13204" t="s">
        <v>16164</v>
      </c>
      <c r="D13204" t="s">
        <v>17213</v>
      </c>
      <c r="E13204" t="s">
        <v>28498</v>
      </c>
      <c r="F13204" t="s">
        <v>29373</v>
      </c>
      <c r="G13204" t="s">
        <v>29379</v>
      </c>
      <c r="H13204" t="s">
        <v>11048</v>
      </c>
      <c r="I13204" t="s">
        <v>29464</v>
      </c>
      <c r="J13204" t="s">
        <v>37854</v>
      </c>
      <c r="K13204" t="s">
        <v>38488</v>
      </c>
      <c r="M13204" t="s">
        <v>40080</v>
      </c>
      <c r="N13204" t="s">
        <v>42669</v>
      </c>
      <c r="O13204" t="s">
        <v>42670</v>
      </c>
      <c r="Q13204">
        <v>2</v>
      </c>
      <c r="R13204" t="s">
        <v>42691</v>
      </c>
      <c r="S13204" t="s">
        <v>43780</v>
      </c>
      <c r="T13204" t="s">
        <v>44466</v>
      </c>
      <c r="U13204" t="s">
        <v>47046</v>
      </c>
      <c r="W13204" t="s">
        <v>40080</v>
      </c>
      <c r="X13204" t="s">
        <v>42692</v>
      </c>
    </row>
    <row r="13205" spans="1:24">
      <c r="A13205">
        <f>HYPERLINK("https://www.philgeps.gov.ph/GEPSNONPILOT/Tender/SplashBidNoticeAbstractUI.aspx?menuIndex=3&amp;refID=7154838&amp;Result=3","7154838")</f>
        <v>0</v>
      </c>
      <c r="B13205" t="s">
        <v>221</v>
      </c>
      <c r="C13205" t="s">
        <v>16165</v>
      </c>
      <c r="D13205" t="s">
        <v>17202</v>
      </c>
      <c r="E13205" t="s">
        <v>28499</v>
      </c>
      <c r="F13205" t="s">
        <v>29372</v>
      </c>
      <c r="G13205" t="s">
        <v>29380</v>
      </c>
      <c r="H13205" t="s">
        <v>11048</v>
      </c>
      <c r="I13205" t="s">
        <v>29407</v>
      </c>
      <c r="J13205" t="s">
        <v>37855</v>
      </c>
      <c r="K13205" t="s">
        <v>38488</v>
      </c>
      <c r="M13205" t="s">
        <v>38980</v>
      </c>
      <c r="N13205" t="s">
        <v>42669</v>
      </c>
      <c r="O13205" t="s">
        <v>42670</v>
      </c>
      <c r="P13205">
        <v>0</v>
      </c>
      <c r="Q13205">
        <v>10</v>
      </c>
      <c r="R13205" t="s">
        <v>42691</v>
      </c>
      <c r="S13205" t="s">
        <v>43726</v>
      </c>
      <c r="T13205" t="s">
        <v>44488</v>
      </c>
      <c r="U13205" t="s">
        <v>55563</v>
      </c>
      <c r="W13205" t="s">
        <v>38980</v>
      </c>
      <c r="X13205" t="s">
        <v>42692</v>
      </c>
    </row>
    <row r="13206" spans="1:24">
      <c r="A13206">
        <f>HYPERLINK("https://www.philgeps.gov.ph/GEPSNONPILOT/Tender/SplashBidNoticeAbstractUI.aspx?menuIndex=3&amp;refID=7154856&amp;Result=3","7154856")</f>
        <v>0</v>
      </c>
      <c r="B13206" t="s">
        <v>3093</v>
      </c>
      <c r="C13206" t="s">
        <v>16166</v>
      </c>
      <c r="D13206" t="s">
        <v>17174</v>
      </c>
      <c r="E13206" t="s">
        <v>28500</v>
      </c>
      <c r="F13206" t="s">
        <v>29372</v>
      </c>
      <c r="G13206" t="s">
        <v>29380</v>
      </c>
      <c r="H13206" t="s">
        <v>11048</v>
      </c>
      <c r="I13206" t="s">
        <v>29447</v>
      </c>
      <c r="J13206" t="s">
        <v>37856</v>
      </c>
      <c r="K13206" t="s">
        <v>38485</v>
      </c>
      <c r="M13206" t="s">
        <v>42130</v>
      </c>
      <c r="N13206" t="s">
        <v>42669</v>
      </c>
      <c r="O13206" t="s">
        <v>42670</v>
      </c>
      <c r="P13206">
        <v>0</v>
      </c>
      <c r="Q13206">
        <v>3</v>
      </c>
      <c r="R13206" t="s">
        <v>42691</v>
      </c>
      <c r="S13206" t="s">
        <v>43726</v>
      </c>
      <c r="T13206" t="s">
        <v>44412</v>
      </c>
      <c r="U13206" t="s">
        <v>55564</v>
      </c>
      <c r="W13206" t="s">
        <v>42130</v>
      </c>
      <c r="X13206" t="s">
        <v>42692</v>
      </c>
    </row>
    <row r="13207" spans="1:24">
      <c r="A13207">
        <f>HYPERLINK("https://www.philgeps.gov.ph/GEPSNONPILOT/Tender/SplashBidNoticeAbstractUI.aspx?menuIndex=3&amp;refID=7154728&amp;Result=3","7154728")</f>
        <v>0</v>
      </c>
      <c r="B13207" t="s">
        <v>905</v>
      </c>
      <c r="C13207" t="s">
        <v>16167</v>
      </c>
      <c r="D13207" t="s">
        <v>17151</v>
      </c>
      <c r="E13207" t="s">
        <v>28501</v>
      </c>
      <c r="F13207" t="s">
        <v>29372</v>
      </c>
      <c r="G13207" t="s">
        <v>29380</v>
      </c>
      <c r="H13207" t="s">
        <v>29389</v>
      </c>
      <c r="I13207" t="s">
        <v>10408</v>
      </c>
      <c r="J13207" t="s">
        <v>29543</v>
      </c>
      <c r="K13207" t="s">
        <v>38584</v>
      </c>
      <c r="M13207" t="s">
        <v>39698</v>
      </c>
      <c r="N13207" t="s">
        <v>42669</v>
      </c>
      <c r="O13207" t="s">
        <v>42670</v>
      </c>
      <c r="P13207">
        <v>0</v>
      </c>
      <c r="Q13207">
        <v>1</v>
      </c>
      <c r="R13207" t="s">
        <v>42691</v>
      </c>
      <c r="S13207" t="s">
        <v>43726</v>
      </c>
      <c r="T13207" t="s">
        <v>44491</v>
      </c>
      <c r="U13207" t="s">
        <v>55565</v>
      </c>
      <c r="W13207" t="s">
        <v>39698</v>
      </c>
      <c r="X13207" t="s">
        <v>42692</v>
      </c>
    </row>
    <row r="13208" spans="1:24">
      <c r="A13208">
        <f>HYPERLINK("https://www.philgeps.gov.ph/GEPSNONPILOT/Tender/SplashBidNoticeAbstractUI.aspx?menuIndex=3&amp;refID=7154812&amp;Result=3","7154812")</f>
        <v>0</v>
      </c>
      <c r="B13208" t="s">
        <v>2341</v>
      </c>
      <c r="C13208" t="s">
        <v>16168</v>
      </c>
      <c r="D13208" t="s">
        <v>17141</v>
      </c>
      <c r="E13208" t="s">
        <v>28502</v>
      </c>
      <c r="F13208" t="s">
        <v>29372</v>
      </c>
      <c r="G13208" t="s">
        <v>29380</v>
      </c>
      <c r="H13208" t="s">
        <v>11048</v>
      </c>
      <c r="I13208" t="s">
        <v>29414</v>
      </c>
      <c r="J13208" t="s">
        <v>31429</v>
      </c>
      <c r="K13208" t="s">
        <v>38488</v>
      </c>
      <c r="M13208" t="s">
        <v>42123</v>
      </c>
      <c r="N13208" t="s">
        <v>42669</v>
      </c>
      <c r="O13208" t="s">
        <v>42670</v>
      </c>
      <c r="Q13208">
        <v>22</v>
      </c>
      <c r="R13208" t="s">
        <v>42691</v>
      </c>
      <c r="S13208" t="s">
        <v>43781</v>
      </c>
      <c r="T13208" t="s">
        <v>44491</v>
      </c>
      <c r="U13208" t="s">
        <v>55566</v>
      </c>
      <c r="W13208" t="s">
        <v>42123</v>
      </c>
      <c r="X13208" t="s">
        <v>42692</v>
      </c>
    </row>
    <row r="13209" spans="1:24">
      <c r="A13209">
        <f>HYPERLINK("https://www.philgeps.gov.ph/GEPSNONPILOT/Tender/SplashBidNoticeAbstractUI.aspx?menuIndex=3&amp;refID=7154805&amp;Result=3","7154805")</f>
        <v>0</v>
      </c>
      <c r="B13209" t="s">
        <v>221</v>
      </c>
      <c r="C13209" t="s">
        <v>16169</v>
      </c>
      <c r="D13209" t="s">
        <v>17202</v>
      </c>
      <c r="E13209" t="s">
        <v>28503</v>
      </c>
      <c r="F13209" t="s">
        <v>29372</v>
      </c>
      <c r="G13209" t="s">
        <v>29380</v>
      </c>
      <c r="H13209" t="s">
        <v>11048</v>
      </c>
      <c r="I13209" t="s">
        <v>3695</v>
      </c>
      <c r="J13209" t="s">
        <v>37857</v>
      </c>
      <c r="K13209" t="s">
        <v>38488</v>
      </c>
      <c r="M13209" t="s">
        <v>38980</v>
      </c>
      <c r="N13209" t="s">
        <v>42669</v>
      </c>
      <c r="O13209" t="s">
        <v>42670</v>
      </c>
      <c r="P13209">
        <v>0</v>
      </c>
      <c r="Q13209">
        <v>6</v>
      </c>
      <c r="R13209" t="s">
        <v>42691</v>
      </c>
      <c r="S13209" t="s">
        <v>43726</v>
      </c>
      <c r="T13209" t="s">
        <v>44488</v>
      </c>
      <c r="U13209" t="s">
        <v>55567</v>
      </c>
      <c r="W13209" t="s">
        <v>38980</v>
      </c>
      <c r="X13209" t="s">
        <v>42692</v>
      </c>
    </row>
    <row r="13210" spans="1:24">
      <c r="A13210">
        <f>HYPERLINK("https://www.philgeps.gov.ph/GEPSNONPILOT/Tender/SplashBidNoticeAbstractUI.aspx?menuIndex=3&amp;refID=7154793&amp;Result=3","7154793")</f>
        <v>0</v>
      </c>
      <c r="B13210" t="s">
        <v>1998</v>
      </c>
      <c r="C13210" t="s">
        <v>16170</v>
      </c>
      <c r="D13210" t="s">
        <v>17148</v>
      </c>
      <c r="E13210" t="s">
        <v>28504</v>
      </c>
      <c r="F13210" t="s">
        <v>29372</v>
      </c>
      <c r="G13210" t="s">
        <v>29380</v>
      </c>
      <c r="H13210" t="s">
        <v>29389</v>
      </c>
      <c r="I13210" t="s">
        <v>10408</v>
      </c>
      <c r="J13210" t="s">
        <v>30736</v>
      </c>
      <c r="K13210" t="s">
        <v>38495</v>
      </c>
      <c r="M13210" t="s">
        <v>42537</v>
      </c>
      <c r="N13210" t="s">
        <v>42669</v>
      </c>
      <c r="O13210" t="s">
        <v>42670</v>
      </c>
      <c r="P13210">
        <v>0</v>
      </c>
      <c r="Q13210">
        <v>95</v>
      </c>
      <c r="R13210" t="s">
        <v>42691</v>
      </c>
      <c r="S13210" t="s">
        <v>43726</v>
      </c>
      <c r="T13210" t="s">
        <v>44488</v>
      </c>
      <c r="U13210" t="s">
        <v>55506</v>
      </c>
      <c r="V13210" t="s">
        <v>57891</v>
      </c>
      <c r="W13210" t="s">
        <v>42543</v>
      </c>
      <c r="X13210" t="s">
        <v>42692</v>
      </c>
    </row>
    <row r="13211" spans="1:24">
      <c r="A13211">
        <f>HYPERLINK("https://www.philgeps.gov.ph/GEPSNONPILOT/Tender/SplashBidNoticeAbstractUI.aspx?menuIndex=3&amp;refID=7154908&amp;Result=3","7154908")</f>
        <v>0</v>
      </c>
      <c r="B13211" t="s">
        <v>971</v>
      </c>
      <c r="C13211" t="s">
        <v>16171</v>
      </c>
      <c r="D13211" t="s">
        <v>17199</v>
      </c>
      <c r="E13211" t="s">
        <v>28505</v>
      </c>
      <c r="F13211" t="s">
        <v>29372</v>
      </c>
      <c r="G13211" t="s">
        <v>29380</v>
      </c>
      <c r="H13211" t="s">
        <v>29389</v>
      </c>
      <c r="I13211" t="s">
        <v>10408</v>
      </c>
      <c r="J13211" t="s">
        <v>37858</v>
      </c>
      <c r="K13211" t="s">
        <v>38490</v>
      </c>
      <c r="L13211" t="s">
        <v>971</v>
      </c>
      <c r="M13211" t="s">
        <v>42545</v>
      </c>
      <c r="N13211" t="s">
        <v>42669</v>
      </c>
      <c r="O13211" t="s">
        <v>42670</v>
      </c>
      <c r="P13211">
        <v>0</v>
      </c>
      <c r="Q13211">
        <v>0</v>
      </c>
      <c r="R13211" t="s">
        <v>42691</v>
      </c>
      <c r="S13211" t="s">
        <v>43726</v>
      </c>
      <c r="T13211" t="s">
        <v>44488</v>
      </c>
      <c r="U13211" t="s">
        <v>55555</v>
      </c>
      <c r="V13211" t="s">
        <v>57890</v>
      </c>
      <c r="W13211" t="s">
        <v>42545</v>
      </c>
      <c r="X13211" t="s">
        <v>42692</v>
      </c>
    </row>
    <row r="13212" spans="1:24">
      <c r="A13212">
        <f>HYPERLINK("https://www.philgeps.gov.ph/GEPSNONPILOT/Tender/SplashBidNoticeAbstractUI.aspx?menuIndex=3&amp;refID=7154979&amp;Result=3","7154979")</f>
        <v>0</v>
      </c>
      <c r="B13212" t="s">
        <v>2959</v>
      </c>
      <c r="C13212" t="s">
        <v>16172</v>
      </c>
      <c r="D13212" t="s">
        <v>17163</v>
      </c>
      <c r="E13212" t="s">
        <v>28506</v>
      </c>
      <c r="F13212" t="s">
        <v>29372</v>
      </c>
      <c r="G13212" t="s">
        <v>29380</v>
      </c>
      <c r="H13212" t="s">
        <v>29389</v>
      </c>
      <c r="I13212" t="s">
        <v>10408</v>
      </c>
      <c r="J13212" t="s">
        <v>31157</v>
      </c>
      <c r="K13212" t="s">
        <v>38495</v>
      </c>
      <c r="M13212" t="s">
        <v>41968</v>
      </c>
      <c r="N13212" t="s">
        <v>42669</v>
      </c>
      <c r="O13212" t="s">
        <v>42670</v>
      </c>
      <c r="Q13212">
        <v>21</v>
      </c>
      <c r="R13212" t="s">
        <v>42691</v>
      </c>
      <c r="S13212" t="s">
        <v>43782</v>
      </c>
      <c r="T13212" t="s">
        <v>44488</v>
      </c>
      <c r="U13212" t="s">
        <v>55568</v>
      </c>
      <c r="W13212" t="s">
        <v>58104</v>
      </c>
      <c r="X13212" t="s">
        <v>42692</v>
      </c>
    </row>
    <row r="13213" spans="1:24">
      <c r="A13213">
        <f>HYPERLINK("https://www.philgeps.gov.ph/GEPSNONPILOT/Tender/SplashBidNoticeAbstractUI.aspx?menuIndex=3&amp;refID=7154729&amp;Result=3","7154729")</f>
        <v>0</v>
      </c>
      <c r="B13213" t="s">
        <v>2789</v>
      </c>
      <c r="C13213" t="s">
        <v>16173</v>
      </c>
      <c r="D13213" t="s">
        <v>17161</v>
      </c>
      <c r="E13213" t="s">
        <v>28507</v>
      </c>
      <c r="F13213" t="s">
        <v>29372</v>
      </c>
      <c r="G13213" t="s">
        <v>29380</v>
      </c>
      <c r="H13213" t="s">
        <v>11048</v>
      </c>
      <c r="I13213" t="s">
        <v>29398</v>
      </c>
      <c r="J13213" t="s">
        <v>37859</v>
      </c>
      <c r="K13213" t="s">
        <v>38485</v>
      </c>
      <c r="M13213" t="s">
        <v>41776</v>
      </c>
      <c r="N13213" t="s">
        <v>42669</v>
      </c>
      <c r="O13213" t="s">
        <v>42670</v>
      </c>
      <c r="Q13213">
        <v>1</v>
      </c>
      <c r="R13213" t="s">
        <v>42691</v>
      </c>
      <c r="S13213" t="s">
        <v>43783</v>
      </c>
      <c r="T13213" t="s">
        <v>44491</v>
      </c>
      <c r="U13213" t="s">
        <v>55569</v>
      </c>
      <c r="W13213" t="s">
        <v>41776</v>
      </c>
      <c r="X13213" t="s">
        <v>42692</v>
      </c>
    </row>
    <row r="13214" spans="1:24">
      <c r="A13214">
        <f>HYPERLINK("https://www.philgeps.gov.ph/GEPSNONPILOT/Tender/SplashBidNoticeAbstractUI.aspx?menuIndex=3&amp;refID=7154975&amp;Result=3","7154975")</f>
        <v>0</v>
      </c>
      <c r="B13214" t="s">
        <v>2959</v>
      </c>
      <c r="C13214" t="s">
        <v>16174</v>
      </c>
      <c r="D13214" t="s">
        <v>17163</v>
      </c>
      <c r="E13214" t="s">
        <v>28508</v>
      </c>
      <c r="F13214" t="s">
        <v>29372</v>
      </c>
      <c r="G13214" t="s">
        <v>29380</v>
      </c>
      <c r="H13214" t="s">
        <v>29389</v>
      </c>
      <c r="I13214" t="s">
        <v>10408</v>
      </c>
      <c r="J13214" t="s">
        <v>30899</v>
      </c>
      <c r="K13214" t="s">
        <v>38487</v>
      </c>
      <c r="M13214" t="s">
        <v>41968</v>
      </c>
      <c r="N13214" t="s">
        <v>42669</v>
      </c>
      <c r="O13214" t="s">
        <v>42670</v>
      </c>
      <c r="P13214">
        <v>0</v>
      </c>
      <c r="Q13214">
        <v>11</v>
      </c>
      <c r="R13214" t="s">
        <v>42691</v>
      </c>
      <c r="S13214" t="s">
        <v>43726</v>
      </c>
      <c r="T13214" t="s">
        <v>44488</v>
      </c>
      <c r="U13214" t="s">
        <v>55568</v>
      </c>
      <c r="W13214" t="s">
        <v>58104</v>
      </c>
      <c r="X13214" t="s">
        <v>42692</v>
      </c>
    </row>
    <row r="13215" spans="1:24">
      <c r="A13215">
        <f>HYPERLINK("https://www.philgeps.gov.ph/GEPSNONPILOT/Tender/SplashBidNoticeAbstractUI.aspx?menuIndex=3&amp;refID=7154967&amp;Result=3","7154967")</f>
        <v>0</v>
      </c>
      <c r="B13215" t="s">
        <v>433</v>
      </c>
      <c r="C13215" t="s">
        <v>16175</v>
      </c>
      <c r="D13215" t="s">
        <v>17188</v>
      </c>
      <c r="E13215" t="s">
        <v>28509</v>
      </c>
      <c r="F13215" t="s">
        <v>29372</v>
      </c>
      <c r="G13215" t="s">
        <v>29380</v>
      </c>
      <c r="H13215" t="s">
        <v>11048</v>
      </c>
      <c r="I13215" t="s">
        <v>29398</v>
      </c>
      <c r="J13215" t="s">
        <v>37860</v>
      </c>
      <c r="K13215" t="s">
        <v>38485</v>
      </c>
      <c r="M13215" t="s">
        <v>40058</v>
      </c>
      <c r="N13215" t="s">
        <v>42669</v>
      </c>
      <c r="O13215" t="s">
        <v>42670</v>
      </c>
      <c r="Q13215">
        <v>8</v>
      </c>
      <c r="R13215" t="s">
        <v>42691</v>
      </c>
      <c r="S13215" t="s">
        <v>43784</v>
      </c>
      <c r="T13215" t="s">
        <v>44580</v>
      </c>
      <c r="U13215" t="s">
        <v>55570</v>
      </c>
      <c r="W13215" t="s">
        <v>40058</v>
      </c>
      <c r="X13215" t="s">
        <v>42692</v>
      </c>
    </row>
    <row r="13216" spans="1:24">
      <c r="A13216">
        <f>HYPERLINK("https://www.philgeps.gov.ph/GEPSNONPILOT/Tender/SplashBidNoticeAbstractUI.aspx?menuIndex=3&amp;refID=7154818&amp;Result=3","7154818")</f>
        <v>0</v>
      </c>
      <c r="B13216" t="s">
        <v>221</v>
      </c>
      <c r="C13216" t="s">
        <v>16176</v>
      </c>
      <c r="D13216" t="s">
        <v>17202</v>
      </c>
      <c r="E13216" t="s">
        <v>28510</v>
      </c>
      <c r="F13216" t="s">
        <v>29372</v>
      </c>
      <c r="G13216" t="s">
        <v>29380</v>
      </c>
      <c r="H13216" t="s">
        <v>11048</v>
      </c>
      <c r="I13216" t="s">
        <v>29407</v>
      </c>
      <c r="J13216" t="s">
        <v>37861</v>
      </c>
      <c r="K13216" t="s">
        <v>38488</v>
      </c>
      <c r="M13216" t="s">
        <v>38980</v>
      </c>
      <c r="N13216" t="s">
        <v>42669</v>
      </c>
      <c r="O13216" t="s">
        <v>42670</v>
      </c>
      <c r="Q13216">
        <v>9</v>
      </c>
      <c r="R13216" t="s">
        <v>42691</v>
      </c>
      <c r="S13216" t="s">
        <v>43785</v>
      </c>
      <c r="T13216" t="s">
        <v>44488</v>
      </c>
      <c r="U13216" t="s">
        <v>55571</v>
      </c>
      <c r="W13216" t="s">
        <v>38980</v>
      </c>
      <c r="X13216" t="s">
        <v>42692</v>
      </c>
    </row>
    <row r="13217" spans="1:24">
      <c r="A13217">
        <f>HYPERLINK("https://www.philgeps.gov.ph/GEPSNONPILOT/Tender/SplashBidNoticeAbstractUI.aspx?menuIndex=3&amp;refID=7154906&amp;Result=3","7154906")</f>
        <v>0</v>
      </c>
      <c r="B13217" t="s">
        <v>2630</v>
      </c>
      <c r="C13217" t="s">
        <v>16177</v>
      </c>
      <c r="D13217" t="s">
        <v>17186</v>
      </c>
      <c r="E13217" t="s">
        <v>28511</v>
      </c>
      <c r="F13217" t="s">
        <v>29372</v>
      </c>
      <c r="G13217" t="s">
        <v>29380</v>
      </c>
      <c r="H13217" t="s">
        <v>29389</v>
      </c>
      <c r="I13217" t="s">
        <v>10408</v>
      </c>
      <c r="J13217" t="s">
        <v>37862</v>
      </c>
      <c r="K13217" t="s">
        <v>38669</v>
      </c>
      <c r="M13217" t="s">
        <v>41602</v>
      </c>
      <c r="N13217" t="s">
        <v>42669</v>
      </c>
      <c r="O13217" t="s">
        <v>42670</v>
      </c>
      <c r="P13217">
        <v>0</v>
      </c>
      <c r="Q13217">
        <v>0</v>
      </c>
      <c r="R13217" t="s">
        <v>42691</v>
      </c>
      <c r="S13217" t="s">
        <v>43726</v>
      </c>
      <c r="T13217" t="s">
        <v>44371</v>
      </c>
      <c r="U13217" t="s">
        <v>55572</v>
      </c>
      <c r="W13217" t="s">
        <v>41602</v>
      </c>
      <c r="X13217" t="s">
        <v>42692</v>
      </c>
    </row>
    <row r="13218" spans="1:24">
      <c r="A13218">
        <f>HYPERLINK("https://www.philgeps.gov.ph/GEPSNONPILOT/Tender/SplashBidNoticeAbstractUI.aspx?menuIndex=3&amp;refID=7154972&amp;Result=3","7154972")</f>
        <v>0</v>
      </c>
      <c r="B13218" t="s">
        <v>3437</v>
      </c>
      <c r="C13218" t="s">
        <v>16178</v>
      </c>
      <c r="D13218" t="s">
        <v>17141</v>
      </c>
      <c r="E13218" t="s">
        <v>17746</v>
      </c>
      <c r="F13218" t="s">
        <v>29372</v>
      </c>
      <c r="G13218" t="s">
        <v>29380</v>
      </c>
      <c r="H13218" t="s">
        <v>29391</v>
      </c>
      <c r="I13218" t="s">
        <v>29391</v>
      </c>
      <c r="J13218" t="s">
        <v>29615</v>
      </c>
      <c r="K13218" t="s">
        <v>38495</v>
      </c>
      <c r="M13218" t="s">
        <v>42546</v>
      </c>
      <c r="N13218" t="s">
        <v>42669</v>
      </c>
      <c r="O13218" t="s">
        <v>42670</v>
      </c>
      <c r="P13218">
        <v>0</v>
      </c>
      <c r="Q13218">
        <v>8</v>
      </c>
      <c r="R13218" t="s">
        <v>42691</v>
      </c>
      <c r="S13218" t="s">
        <v>43726</v>
      </c>
      <c r="T13218" t="s">
        <v>44375</v>
      </c>
      <c r="U13218" t="s">
        <v>55573</v>
      </c>
      <c r="W13218" t="s">
        <v>42546</v>
      </c>
      <c r="X13218" t="s">
        <v>42692</v>
      </c>
    </row>
    <row r="13219" spans="1:24">
      <c r="A13219">
        <f>HYPERLINK("https://www.philgeps.gov.ph/GEPSNONPILOT/Tender/SplashBidNoticeAbstractUI.aspx?menuIndex=3&amp;refID=7154961&amp;Result=3","7154961")</f>
        <v>0</v>
      </c>
      <c r="B13219" t="s">
        <v>1515</v>
      </c>
      <c r="C13219" t="s">
        <v>16179</v>
      </c>
      <c r="D13219" t="s">
        <v>17174</v>
      </c>
      <c r="E13219" t="s">
        <v>28512</v>
      </c>
      <c r="F13219" t="s">
        <v>29372</v>
      </c>
      <c r="G13219" t="s">
        <v>29380</v>
      </c>
      <c r="H13219" t="s">
        <v>11048</v>
      </c>
      <c r="I13219" t="s">
        <v>9642</v>
      </c>
      <c r="J13219" t="s">
        <v>33632</v>
      </c>
      <c r="K13219" t="s">
        <v>38485</v>
      </c>
      <c r="M13219" t="s">
        <v>40359</v>
      </c>
      <c r="N13219" t="s">
        <v>42669</v>
      </c>
      <c r="O13219" t="s">
        <v>42670</v>
      </c>
      <c r="P13219">
        <v>0</v>
      </c>
      <c r="Q13219">
        <v>2</v>
      </c>
      <c r="R13219" t="s">
        <v>42691</v>
      </c>
      <c r="S13219" t="s">
        <v>43726</v>
      </c>
      <c r="T13219" t="s">
        <v>44554</v>
      </c>
      <c r="U13219" t="s">
        <v>55574</v>
      </c>
      <c r="W13219" t="s">
        <v>40359</v>
      </c>
      <c r="X13219" t="s">
        <v>42692</v>
      </c>
    </row>
    <row r="13220" spans="1:24">
      <c r="A13220">
        <f>HYPERLINK("https://www.philgeps.gov.ph/GEPSNONPILOT/Tender/SplashBidNoticeAbstractUI.aspx?menuIndex=3&amp;refID=7154956&amp;Result=3","7154956")</f>
        <v>0</v>
      </c>
      <c r="B13220" t="s">
        <v>1515</v>
      </c>
      <c r="C13220" t="s">
        <v>16180</v>
      </c>
      <c r="D13220" t="s">
        <v>17174</v>
      </c>
      <c r="E13220" t="s">
        <v>28513</v>
      </c>
      <c r="F13220" t="s">
        <v>29372</v>
      </c>
      <c r="G13220" t="s">
        <v>29380</v>
      </c>
      <c r="H13220" t="s">
        <v>11048</v>
      </c>
      <c r="I13220" t="s">
        <v>4709</v>
      </c>
      <c r="J13220" t="s">
        <v>37863</v>
      </c>
      <c r="K13220" t="s">
        <v>38521</v>
      </c>
      <c r="M13220" t="s">
        <v>40359</v>
      </c>
      <c r="N13220" t="s">
        <v>42669</v>
      </c>
      <c r="O13220" t="s">
        <v>42670</v>
      </c>
      <c r="P13220">
        <v>0</v>
      </c>
      <c r="Q13220">
        <v>0</v>
      </c>
      <c r="R13220" t="s">
        <v>42691</v>
      </c>
      <c r="S13220" t="s">
        <v>43726</v>
      </c>
      <c r="T13220" t="s">
        <v>44554</v>
      </c>
      <c r="U13220" t="s">
        <v>55575</v>
      </c>
      <c r="W13220" t="s">
        <v>40359</v>
      </c>
      <c r="X13220" t="s">
        <v>42692</v>
      </c>
    </row>
    <row r="13221" spans="1:24">
      <c r="A13221">
        <f>HYPERLINK("https://www.philgeps.gov.ph/GEPSNONPILOT/Tender/SplashBidNoticeAbstractUI.aspx?menuIndex=3&amp;refID=7154980&amp;Result=3","7154980")</f>
        <v>0</v>
      </c>
      <c r="B13221" t="s">
        <v>2959</v>
      </c>
      <c r="C13221" t="s">
        <v>16181</v>
      </c>
      <c r="D13221" t="s">
        <v>17163</v>
      </c>
      <c r="E13221" t="s">
        <v>28514</v>
      </c>
      <c r="F13221" t="s">
        <v>29372</v>
      </c>
      <c r="G13221" t="s">
        <v>29380</v>
      </c>
      <c r="H13221" t="s">
        <v>29389</v>
      </c>
      <c r="I13221" t="s">
        <v>10408</v>
      </c>
      <c r="J13221" t="s">
        <v>34528</v>
      </c>
      <c r="K13221" t="s">
        <v>38564</v>
      </c>
      <c r="M13221" t="s">
        <v>41968</v>
      </c>
      <c r="N13221" t="s">
        <v>42669</v>
      </c>
      <c r="O13221" t="s">
        <v>42670</v>
      </c>
      <c r="Q13221">
        <v>27</v>
      </c>
      <c r="R13221" t="s">
        <v>42691</v>
      </c>
      <c r="S13221" t="s">
        <v>43786</v>
      </c>
      <c r="T13221" t="s">
        <v>44488</v>
      </c>
      <c r="U13221" t="s">
        <v>55568</v>
      </c>
      <c r="W13221" t="s">
        <v>58104</v>
      </c>
      <c r="X13221" t="s">
        <v>42692</v>
      </c>
    </row>
    <row r="13222" spans="1:24">
      <c r="A13222">
        <f>HYPERLINK("https://www.philgeps.gov.ph/GEPSNONPILOT/Tender/SplashBidNoticeAbstractUI.aspx?menuIndex=3&amp;refID=7154900&amp;Result=3","7154900")</f>
        <v>0</v>
      </c>
      <c r="B13222" t="s">
        <v>971</v>
      </c>
      <c r="C13222" t="s">
        <v>16182</v>
      </c>
      <c r="D13222" t="s">
        <v>17199</v>
      </c>
      <c r="E13222" t="s">
        <v>28515</v>
      </c>
      <c r="F13222" t="s">
        <v>29372</v>
      </c>
      <c r="G13222" t="s">
        <v>29380</v>
      </c>
      <c r="H13222" t="s">
        <v>29389</v>
      </c>
      <c r="I13222" t="s">
        <v>10408</v>
      </c>
      <c r="J13222" t="s">
        <v>37864</v>
      </c>
      <c r="K13222" t="s">
        <v>38490</v>
      </c>
      <c r="L13222" t="s">
        <v>971</v>
      </c>
      <c r="M13222" t="s">
        <v>42545</v>
      </c>
      <c r="N13222" t="s">
        <v>42669</v>
      </c>
      <c r="O13222" t="s">
        <v>42670</v>
      </c>
      <c r="P13222">
        <v>0</v>
      </c>
      <c r="Q13222">
        <v>0</v>
      </c>
      <c r="R13222" t="s">
        <v>42691</v>
      </c>
      <c r="S13222" t="s">
        <v>43726</v>
      </c>
      <c r="T13222" t="s">
        <v>44488</v>
      </c>
      <c r="U13222" t="s">
        <v>55555</v>
      </c>
      <c r="V13222" t="s">
        <v>57890</v>
      </c>
      <c r="W13222" t="s">
        <v>42545</v>
      </c>
      <c r="X13222" t="s">
        <v>42692</v>
      </c>
    </row>
    <row r="13223" spans="1:24">
      <c r="A13223">
        <f>HYPERLINK("https://www.philgeps.gov.ph/GEPSNONPILOT/Tender/SplashBidNoticeAbstractUI.aspx?menuIndex=3&amp;refID=7154978&amp;Result=3","7154978")</f>
        <v>0</v>
      </c>
      <c r="B13223" t="s">
        <v>2959</v>
      </c>
      <c r="C13223" t="s">
        <v>16183</v>
      </c>
      <c r="D13223" t="s">
        <v>17163</v>
      </c>
      <c r="E13223" t="s">
        <v>28516</v>
      </c>
      <c r="F13223" t="s">
        <v>29372</v>
      </c>
      <c r="G13223" t="s">
        <v>29380</v>
      </c>
      <c r="H13223" t="s">
        <v>29389</v>
      </c>
      <c r="I13223" t="s">
        <v>10408</v>
      </c>
      <c r="J13223" t="s">
        <v>31157</v>
      </c>
      <c r="K13223" t="s">
        <v>38522</v>
      </c>
      <c r="M13223" t="s">
        <v>41968</v>
      </c>
      <c r="N13223" t="s">
        <v>42669</v>
      </c>
      <c r="O13223" t="s">
        <v>42670</v>
      </c>
      <c r="P13223">
        <v>0</v>
      </c>
      <c r="Q13223">
        <v>21</v>
      </c>
      <c r="R13223" t="s">
        <v>42691</v>
      </c>
      <c r="S13223" t="s">
        <v>43726</v>
      </c>
      <c r="T13223" t="s">
        <v>44488</v>
      </c>
      <c r="U13223" t="s">
        <v>55568</v>
      </c>
      <c r="W13223" t="s">
        <v>58104</v>
      </c>
      <c r="X13223" t="s">
        <v>42692</v>
      </c>
    </row>
    <row r="13224" spans="1:24">
      <c r="A13224">
        <f>HYPERLINK("https://www.philgeps.gov.ph/GEPSNONPILOT/Tender/SplashBidNoticeAbstractUI.aspx?menuIndex=3&amp;refID=7154992&amp;Result=3","7154992")</f>
        <v>0</v>
      </c>
      <c r="B13224" t="s">
        <v>2959</v>
      </c>
      <c r="C13224" t="s">
        <v>16184</v>
      </c>
      <c r="D13224" t="s">
        <v>17163</v>
      </c>
      <c r="E13224" t="s">
        <v>28517</v>
      </c>
      <c r="F13224" t="s">
        <v>29372</v>
      </c>
      <c r="G13224" t="s">
        <v>29380</v>
      </c>
      <c r="H13224" t="s">
        <v>29389</v>
      </c>
      <c r="I13224" t="s">
        <v>10408</v>
      </c>
      <c r="J13224" t="s">
        <v>36515</v>
      </c>
      <c r="K13224" t="s">
        <v>38495</v>
      </c>
      <c r="M13224" t="s">
        <v>41968</v>
      </c>
      <c r="N13224" t="s">
        <v>42669</v>
      </c>
      <c r="O13224" t="s">
        <v>42670</v>
      </c>
      <c r="P13224">
        <v>0</v>
      </c>
      <c r="Q13224">
        <v>27</v>
      </c>
      <c r="R13224" t="s">
        <v>42691</v>
      </c>
      <c r="S13224" t="s">
        <v>43726</v>
      </c>
      <c r="T13224" t="s">
        <v>44488</v>
      </c>
      <c r="U13224" t="s">
        <v>55568</v>
      </c>
      <c r="W13224" t="s">
        <v>58104</v>
      </c>
      <c r="X13224" t="s">
        <v>42692</v>
      </c>
    </row>
    <row r="13225" spans="1:24">
      <c r="A13225">
        <f>HYPERLINK("https://www.philgeps.gov.ph/GEPSNONPILOT/Tender/SplashBidNoticeAbstractUI.aspx?menuIndex=3&amp;refID=7154990&amp;Result=3","7154990")</f>
        <v>0</v>
      </c>
      <c r="B13225" t="s">
        <v>2495</v>
      </c>
      <c r="C13225" t="s">
        <v>16185</v>
      </c>
      <c r="D13225" t="s">
        <v>17149</v>
      </c>
      <c r="E13225" t="s">
        <v>28518</v>
      </c>
      <c r="F13225" t="s">
        <v>29372</v>
      </c>
      <c r="G13225" t="s">
        <v>29380</v>
      </c>
      <c r="H13225" t="s">
        <v>29389</v>
      </c>
      <c r="I13225" t="s">
        <v>10408</v>
      </c>
      <c r="J13225" t="s">
        <v>32123</v>
      </c>
      <c r="K13225" t="s">
        <v>38671</v>
      </c>
      <c r="M13225" t="s">
        <v>41446</v>
      </c>
      <c r="N13225" t="s">
        <v>42669</v>
      </c>
      <c r="O13225" t="s">
        <v>42670</v>
      </c>
      <c r="P13225">
        <v>0</v>
      </c>
      <c r="Q13225">
        <v>2</v>
      </c>
      <c r="R13225" t="s">
        <v>42691</v>
      </c>
      <c r="S13225" t="s">
        <v>43726</v>
      </c>
      <c r="T13225" t="s">
        <v>44491</v>
      </c>
      <c r="U13225" t="s">
        <v>55576</v>
      </c>
      <c r="W13225" t="s">
        <v>41446</v>
      </c>
      <c r="X13225" t="s">
        <v>42692</v>
      </c>
    </row>
    <row r="13226" spans="1:24">
      <c r="A13226">
        <f>HYPERLINK("https://www.philgeps.gov.ph/GEPSNONPILOT/Tender/SplashBidNoticeAbstractUI.aspx?menuIndex=3&amp;refID=7154987&amp;Result=3","7154987")</f>
        <v>0</v>
      </c>
      <c r="B13226" t="s">
        <v>2959</v>
      </c>
      <c r="C13226" t="s">
        <v>16186</v>
      </c>
      <c r="D13226" t="s">
        <v>17163</v>
      </c>
      <c r="E13226" t="s">
        <v>28519</v>
      </c>
      <c r="F13226" t="s">
        <v>29372</v>
      </c>
      <c r="G13226" t="s">
        <v>29380</v>
      </c>
      <c r="H13226" t="s">
        <v>29389</v>
      </c>
      <c r="I13226" t="s">
        <v>10408</v>
      </c>
      <c r="J13226" t="s">
        <v>37865</v>
      </c>
      <c r="K13226" t="s">
        <v>38522</v>
      </c>
      <c r="M13226" t="s">
        <v>41968</v>
      </c>
      <c r="N13226" t="s">
        <v>42669</v>
      </c>
      <c r="O13226" t="s">
        <v>42670</v>
      </c>
      <c r="P13226">
        <v>0</v>
      </c>
      <c r="Q13226">
        <v>27</v>
      </c>
      <c r="R13226" t="s">
        <v>42691</v>
      </c>
      <c r="S13226" t="s">
        <v>43726</v>
      </c>
      <c r="T13226" t="s">
        <v>44488</v>
      </c>
      <c r="U13226" t="s">
        <v>55568</v>
      </c>
      <c r="W13226" t="s">
        <v>58104</v>
      </c>
      <c r="X13226" t="s">
        <v>42692</v>
      </c>
    </row>
    <row r="13227" spans="1:24">
      <c r="A13227">
        <f>HYPERLINK("https://www.philgeps.gov.ph/GEPSNONPILOT/Tender/SplashBidNoticeAbstractUI.aspx?menuIndex=3&amp;refID=7154947&amp;Result=3","7154947")</f>
        <v>0</v>
      </c>
      <c r="B13227" t="s">
        <v>1817</v>
      </c>
      <c r="C13227" t="s">
        <v>16187</v>
      </c>
      <c r="D13227" t="s">
        <v>17153</v>
      </c>
      <c r="E13227" t="s">
        <v>28520</v>
      </c>
      <c r="F13227" t="s">
        <v>29372</v>
      </c>
      <c r="G13227" t="s">
        <v>29380</v>
      </c>
      <c r="H13227" t="s">
        <v>11048</v>
      </c>
      <c r="I13227" t="s">
        <v>29447</v>
      </c>
      <c r="J13227" t="s">
        <v>37866</v>
      </c>
      <c r="K13227" t="s">
        <v>38518</v>
      </c>
      <c r="M13227" t="s">
        <v>40688</v>
      </c>
      <c r="N13227" t="s">
        <v>42669</v>
      </c>
      <c r="O13227" t="s">
        <v>42670</v>
      </c>
      <c r="Q13227">
        <v>6</v>
      </c>
      <c r="R13227" t="s">
        <v>42691</v>
      </c>
      <c r="S13227" t="s">
        <v>43787</v>
      </c>
      <c r="T13227" t="s">
        <v>44432</v>
      </c>
      <c r="U13227" t="s">
        <v>51296</v>
      </c>
      <c r="W13227" t="s">
        <v>40688</v>
      </c>
      <c r="X13227" t="s">
        <v>42692</v>
      </c>
    </row>
    <row r="13228" spans="1:24">
      <c r="A13228">
        <f>HYPERLINK("https://www.philgeps.gov.ph/GEPSNONPILOT/Tender/SplashBidNoticeAbstractUI.aspx?menuIndex=3&amp;refID=7154939&amp;Result=3","7154939")</f>
        <v>0</v>
      </c>
      <c r="B13228" t="s">
        <v>433</v>
      </c>
      <c r="C13228" t="s">
        <v>16188</v>
      </c>
      <c r="D13228" t="s">
        <v>17188</v>
      </c>
      <c r="E13228" t="s">
        <v>28521</v>
      </c>
      <c r="F13228" t="s">
        <v>29372</v>
      </c>
      <c r="G13228" t="s">
        <v>29380</v>
      </c>
      <c r="H13228" t="s">
        <v>11048</v>
      </c>
      <c r="I13228" t="s">
        <v>29459</v>
      </c>
      <c r="J13228" t="s">
        <v>33025</v>
      </c>
      <c r="K13228" t="s">
        <v>38496</v>
      </c>
      <c r="M13228" t="s">
        <v>40058</v>
      </c>
      <c r="N13228" t="s">
        <v>42669</v>
      </c>
      <c r="O13228" t="s">
        <v>42670</v>
      </c>
      <c r="Q13228">
        <v>5</v>
      </c>
      <c r="R13228" t="s">
        <v>42691</v>
      </c>
      <c r="S13228" t="s">
        <v>43788</v>
      </c>
      <c r="T13228" t="s">
        <v>44441</v>
      </c>
      <c r="U13228" t="s">
        <v>55577</v>
      </c>
      <c r="W13228" t="s">
        <v>40058</v>
      </c>
      <c r="X13228" t="s">
        <v>42692</v>
      </c>
    </row>
    <row r="13229" spans="1:24">
      <c r="A13229">
        <f>HYPERLINK("https://www.philgeps.gov.ph/GEPSNONPILOT/Tender/SplashBidNoticeAbstractUI.aspx?menuIndex=3&amp;refID=7154667&amp;Result=3","7154667")</f>
        <v>0</v>
      </c>
      <c r="B13229" t="s">
        <v>3025</v>
      </c>
      <c r="C13229" t="s">
        <v>16114</v>
      </c>
      <c r="D13229" t="s">
        <v>17164</v>
      </c>
      <c r="E13229" t="s">
        <v>28522</v>
      </c>
      <c r="F13229" t="s">
        <v>29372</v>
      </c>
      <c r="G13229" t="s">
        <v>29380</v>
      </c>
      <c r="H13229" t="s">
        <v>29389</v>
      </c>
      <c r="I13229" t="s">
        <v>10408</v>
      </c>
      <c r="J13229" t="s">
        <v>37867</v>
      </c>
      <c r="K13229" t="s">
        <v>38496</v>
      </c>
      <c r="M13229" t="s">
        <v>42047</v>
      </c>
      <c r="N13229" t="s">
        <v>42669</v>
      </c>
      <c r="O13229" t="s">
        <v>42670</v>
      </c>
      <c r="P13229">
        <v>0</v>
      </c>
      <c r="Q13229">
        <v>3</v>
      </c>
      <c r="R13229" t="s">
        <v>42691</v>
      </c>
      <c r="S13229" t="s">
        <v>43726</v>
      </c>
      <c r="T13229" t="s">
        <v>44488</v>
      </c>
      <c r="U13229" t="s">
        <v>55520</v>
      </c>
      <c r="V13229" t="s">
        <v>57884</v>
      </c>
      <c r="W13229" t="s">
        <v>42047</v>
      </c>
      <c r="X13229" t="s">
        <v>42692</v>
      </c>
    </row>
    <row r="13230" spans="1:24">
      <c r="A13230">
        <f>HYPERLINK("https://www.philgeps.gov.ph/GEPSNONPILOT/Tender/SplashBidNoticeAbstractUI.aspx?menuIndex=3&amp;refID=7154985&amp;Result=3","7154985")</f>
        <v>0</v>
      </c>
      <c r="B13230" t="s">
        <v>2959</v>
      </c>
      <c r="C13230" t="s">
        <v>16189</v>
      </c>
      <c r="D13230" t="s">
        <v>17163</v>
      </c>
      <c r="E13230" t="s">
        <v>28523</v>
      </c>
      <c r="F13230" t="s">
        <v>29372</v>
      </c>
      <c r="G13230" t="s">
        <v>29380</v>
      </c>
      <c r="H13230" t="s">
        <v>29389</v>
      </c>
      <c r="I13230" t="s">
        <v>10408</v>
      </c>
      <c r="J13230" t="s">
        <v>37865</v>
      </c>
      <c r="K13230" t="s">
        <v>38522</v>
      </c>
      <c r="M13230" t="s">
        <v>41968</v>
      </c>
      <c r="N13230" t="s">
        <v>42669</v>
      </c>
      <c r="O13230" t="s">
        <v>42670</v>
      </c>
      <c r="P13230">
        <v>0</v>
      </c>
      <c r="Q13230">
        <v>28</v>
      </c>
      <c r="R13230" t="s">
        <v>42691</v>
      </c>
      <c r="S13230" t="s">
        <v>43726</v>
      </c>
      <c r="T13230" t="s">
        <v>44488</v>
      </c>
      <c r="U13230" t="s">
        <v>55568</v>
      </c>
      <c r="W13230" t="s">
        <v>58104</v>
      </c>
      <c r="X13230" t="s">
        <v>42692</v>
      </c>
    </row>
    <row r="13231" spans="1:24">
      <c r="A13231">
        <f>HYPERLINK("https://www.philgeps.gov.ph/GEPSNONPILOT/Tender/SplashBidNoticeAbstractUI.aspx?menuIndex=3&amp;refID=7154983&amp;Result=3","7154983")</f>
        <v>0</v>
      </c>
      <c r="B13231" t="s">
        <v>2959</v>
      </c>
      <c r="C13231" t="s">
        <v>16190</v>
      </c>
      <c r="D13231" t="s">
        <v>17163</v>
      </c>
      <c r="E13231" t="s">
        <v>28524</v>
      </c>
      <c r="F13231" t="s">
        <v>29372</v>
      </c>
      <c r="G13231" t="s">
        <v>29380</v>
      </c>
      <c r="H13231" t="s">
        <v>29389</v>
      </c>
      <c r="I13231" t="s">
        <v>10408</v>
      </c>
      <c r="J13231" t="s">
        <v>37868</v>
      </c>
      <c r="K13231" t="s">
        <v>38522</v>
      </c>
      <c r="M13231" t="s">
        <v>41968</v>
      </c>
      <c r="N13231" t="s">
        <v>42669</v>
      </c>
      <c r="O13231" t="s">
        <v>42670</v>
      </c>
      <c r="P13231">
        <v>0</v>
      </c>
      <c r="Q13231">
        <v>26</v>
      </c>
      <c r="R13231" t="s">
        <v>42691</v>
      </c>
      <c r="S13231" t="s">
        <v>43726</v>
      </c>
      <c r="T13231" t="s">
        <v>44488</v>
      </c>
      <c r="U13231" t="s">
        <v>55568</v>
      </c>
      <c r="W13231" t="s">
        <v>58104</v>
      </c>
      <c r="X13231" t="s">
        <v>42692</v>
      </c>
    </row>
    <row r="13232" spans="1:24">
      <c r="A13232">
        <f>HYPERLINK("https://www.philgeps.gov.ph/GEPSNONPILOT/Tender/SplashBidNoticeAbstractUI.aspx?menuIndex=3&amp;refID=7154951&amp;Result=3","7154951")</f>
        <v>0</v>
      </c>
      <c r="B13232" t="s">
        <v>1515</v>
      </c>
      <c r="C13232" t="s">
        <v>16191</v>
      </c>
      <c r="D13232" t="s">
        <v>17174</v>
      </c>
      <c r="E13232" t="s">
        <v>28525</v>
      </c>
      <c r="F13232" t="s">
        <v>29372</v>
      </c>
      <c r="G13232" t="s">
        <v>29380</v>
      </c>
      <c r="H13232" t="s">
        <v>29389</v>
      </c>
      <c r="I13232" t="s">
        <v>10408</v>
      </c>
      <c r="J13232" t="s">
        <v>37869</v>
      </c>
      <c r="K13232" t="s">
        <v>38522</v>
      </c>
      <c r="M13232" t="s">
        <v>40359</v>
      </c>
      <c r="N13232" t="s">
        <v>42669</v>
      </c>
      <c r="O13232" t="s">
        <v>42670</v>
      </c>
      <c r="P13232">
        <v>0</v>
      </c>
      <c r="Q13232">
        <v>0</v>
      </c>
      <c r="R13232" t="s">
        <v>42691</v>
      </c>
      <c r="S13232" t="s">
        <v>43726</v>
      </c>
      <c r="T13232" t="s">
        <v>44554</v>
      </c>
      <c r="U13232" t="s">
        <v>55578</v>
      </c>
      <c r="W13232" t="s">
        <v>40359</v>
      </c>
      <c r="X13232" t="s">
        <v>42692</v>
      </c>
    </row>
    <row r="13233" spans="1:24">
      <c r="A13233">
        <f>HYPERLINK("https://www.philgeps.gov.ph/GEPSNONPILOT/Tender/SplashBidNoticeAbstractUI.aspx?menuIndex=3&amp;refID=7155108&amp;Result=3","7155108")</f>
        <v>0</v>
      </c>
      <c r="B13233" t="s">
        <v>365</v>
      </c>
      <c r="C13233" t="s">
        <v>16192</v>
      </c>
      <c r="D13233" t="s">
        <v>17143</v>
      </c>
      <c r="E13233" t="s">
        <v>28526</v>
      </c>
      <c r="F13233" t="s">
        <v>29372</v>
      </c>
      <c r="G13233" t="s">
        <v>29380</v>
      </c>
      <c r="H13233" t="s">
        <v>29389</v>
      </c>
      <c r="I13233" t="s">
        <v>10408</v>
      </c>
      <c r="J13233" t="s">
        <v>37870</v>
      </c>
      <c r="K13233" t="s">
        <v>38670</v>
      </c>
      <c r="M13233" t="s">
        <v>39125</v>
      </c>
      <c r="N13233" t="s">
        <v>42669</v>
      </c>
      <c r="O13233" t="s">
        <v>42670</v>
      </c>
      <c r="P13233">
        <v>0</v>
      </c>
      <c r="Q13233">
        <v>1</v>
      </c>
      <c r="R13233" t="s">
        <v>42691</v>
      </c>
      <c r="S13233" t="s">
        <v>43726</v>
      </c>
      <c r="T13233" t="s">
        <v>44425</v>
      </c>
      <c r="U13233" t="s">
        <v>55579</v>
      </c>
      <c r="W13233" t="s">
        <v>58092</v>
      </c>
      <c r="X13233" t="s">
        <v>42692</v>
      </c>
    </row>
    <row r="13234" spans="1:24">
      <c r="A13234">
        <f>HYPERLINK("https://www.philgeps.gov.ph/GEPSNONPILOT/Tender/SplashBidNoticeAbstractUI.aspx?menuIndex=3&amp;refID=7154998&amp;Result=3","7154998")</f>
        <v>0</v>
      </c>
      <c r="B13234" t="s">
        <v>3438</v>
      </c>
      <c r="C13234" t="s">
        <v>16193</v>
      </c>
      <c r="D13234" t="s">
        <v>17180</v>
      </c>
      <c r="E13234" t="s">
        <v>21228</v>
      </c>
      <c r="F13234" t="s">
        <v>29372</v>
      </c>
      <c r="G13234" t="s">
        <v>29380</v>
      </c>
      <c r="H13234" t="s">
        <v>29389</v>
      </c>
      <c r="I13234" t="s">
        <v>10408</v>
      </c>
      <c r="J13234" t="s">
        <v>37871</v>
      </c>
      <c r="K13234" t="s">
        <v>38520</v>
      </c>
      <c r="M13234" t="s">
        <v>42547</v>
      </c>
      <c r="N13234" t="s">
        <v>42669</v>
      </c>
      <c r="O13234" t="s">
        <v>42670</v>
      </c>
      <c r="P13234">
        <v>0</v>
      </c>
      <c r="Q13234">
        <v>108</v>
      </c>
      <c r="R13234" t="s">
        <v>42691</v>
      </c>
      <c r="S13234" t="s">
        <v>43726</v>
      </c>
      <c r="T13234" t="s">
        <v>44432</v>
      </c>
      <c r="U13234" t="s">
        <v>55580</v>
      </c>
      <c r="W13234" t="s">
        <v>42547</v>
      </c>
      <c r="X13234" t="s">
        <v>42692</v>
      </c>
    </row>
    <row r="13235" spans="1:24">
      <c r="A13235">
        <f>HYPERLINK("https://www.philgeps.gov.ph/GEPSNONPILOT/Tender/SplashBidNoticeAbstractUI.aspx?menuIndex=3&amp;refID=7155145&amp;Result=3","7155145")</f>
        <v>0</v>
      </c>
      <c r="B13235" t="s">
        <v>27</v>
      </c>
      <c r="C13235" t="s">
        <v>16194</v>
      </c>
      <c r="D13235" t="s">
        <v>17141</v>
      </c>
      <c r="E13235" t="s">
        <v>28527</v>
      </c>
      <c r="F13235" t="s">
        <v>29372</v>
      </c>
      <c r="G13235" t="s">
        <v>29380</v>
      </c>
      <c r="H13235" t="s">
        <v>11048</v>
      </c>
      <c r="I13235" t="s">
        <v>5383</v>
      </c>
      <c r="J13235" t="s">
        <v>37872</v>
      </c>
      <c r="K13235" t="s">
        <v>38496</v>
      </c>
      <c r="M13235" t="s">
        <v>38780</v>
      </c>
      <c r="N13235" t="s">
        <v>42669</v>
      </c>
      <c r="O13235" t="s">
        <v>42670</v>
      </c>
      <c r="P13235">
        <v>0</v>
      </c>
      <c r="Q13235">
        <v>4</v>
      </c>
      <c r="R13235" t="s">
        <v>42691</v>
      </c>
      <c r="S13235" t="s">
        <v>43726</v>
      </c>
      <c r="T13235" t="s">
        <v>44548</v>
      </c>
      <c r="U13235" t="s">
        <v>55581</v>
      </c>
      <c r="W13235" t="s">
        <v>38780</v>
      </c>
      <c r="X13235" t="s">
        <v>42692</v>
      </c>
    </row>
    <row r="13236" spans="1:24">
      <c r="A13236">
        <f>HYPERLINK("https://www.philgeps.gov.ph/GEPSNONPILOT/Tender/SplashBidNoticeAbstractUI.aspx?menuIndex=3&amp;refID=7155144&amp;Result=3","7155144")</f>
        <v>0</v>
      </c>
      <c r="B13236" t="s">
        <v>933</v>
      </c>
      <c r="C13236" t="s">
        <v>16195</v>
      </c>
      <c r="D13236" t="s">
        <v>17170</v>
      </c>
      <c r="E13236" t="s">
        <v>28528</v>
      </c>
      <c r="F13236" t="s">
        <v>29372</v>
      </c>
      <c r="G13236" t="s">
        <v>29380</v>
      </c>
      <c r="H13236" t="s">
        <v>11048</v>
      </c>
      <c r="I13236" t="s">
        <v>29466</v>
      </c>
      <c r="J13236" t="s">
        <v>37873</v>
      </c>
      <c r="K13236" t="s">
        <v>38490</v>
      </c>
      <c r="M13236" t="s">
        <v>41092</v>
      </c>
      <c r="N13236" t="s">
        <v>42669</v>
      </c>
      <c r="O13236" t="s">
        <v>42670</v>
      </c>
      <c r="Q13236">
        <v>4</v>
      </c>
      <c r="R13236" t="s">
        <v>42691</v>
      </c>
      <c r="S13236" t="s">
        <v>43789</v>
      </c>
      <c r="T13236" t="s">
        <v>44432</v>
      </c>
      <c r="U13236" t="s">
        <v>55582</v>
      </c>
      <c r="V13236" t="s">
        <v>57074</v>
      </c>
      <c r="W13236" t="s">
        <v>41092</v>
      </c>
      <c r="X13236" t="s">
        <v>42692</v>
      </c>
    </row>
    <row r="13237" spans="1:24">
      <c r="A13237">
        <f>HYPERLINK("https://www.philgeps.gov.ph/GEPSNONPILOT/Tender/SplashBidNoticeAbstractUI.aspx?menuIndex=3&amp;refID=7155137&amp;Result=3","7155137")</f>
        <v>0</v>
      </c>
      <c r="B13237" t="s">
        <v>27</v>
      </c>
      <c r="C13237" t="s">
        <v>16196</v>
      </c>
      <c r="D13237" t="s">
        <v>17141</v>
      </c>
      <c r="E13237" t="s">
        <v>28529</v>
      </c>
      <c r="F13237" t="s">
        <v>29372</v>
      </c>
      <c r="G13237" t="s">
        <v>29380</v>
      </c>
      <c r="H13237" t="s">
        <v>11048</v>
      </c>
      <c r="I13237" t="s">
        <v>3695</v>
      </c>
      <c r="J13237" t="s">
        <v>37874</v>
      </c>
      <c r="K13237" t="s">
        <v>38496</v>
      </c>
      <c r="M13237" t="s">
        <v>38780</v>
      </c>
      <c r="N13237" t="s">
        <v>42669</v>
      </c>
      <c r="O13237" t="s">
        <v>42670</v>
      </c>
      <c r="P13237">
        <v>0</v>
      </c>
      <c r="Q13237">
        <v>14</v>
      </c>
      <c r="R13237" t="s">
        <v>42691</v>
      </c>
      <c r="S13237" t="s">
        <v>43726</v>
      </c>
      <c r="T13237" t="s">
        <v>44548</v>
      </c>
      <c r="U13237" t="s">
        <v>55583</v>
      </c>
      <c r="W13237" t="s">
        <v>38780</v>
      </c>
      <c r="X13237" t="s">
        <v>42692</v>
      </c>
    </row>
    <row r="13238" spans="1:24">
      <c r="A13238">
        <f>HYPERLINK("https://www.philgeps.gov.ph/GEPSNONPILOT/Tender/SplashBidNoticeAbstractUI.aspx?menuIndex=3&amp;refID=7154948&amp;Result=3","7154948")</f>
        <v>0</v>
      </c>
      <c r="B13238" t="s">
        <v>1287</v>
      </c>
      <c r="C13238" t="s">
        <v>16197</v>
      </c>
      <c r="D13238" t="s">
        <v>17153</v>
      </c>
      <c r="E13238" t="s">
        <v>28530</v>
      </c>
      <c r="F13238" t="s">
        <v>29372</v>
      </c>
      <c r="G13238" t="s">
        <v>29380</v>
      </c>
      <c r="H13238" t="s">
        <v>11048</v>
      </c>
      <c r="I13238" t="s">
        <v>29394</v>
      </c>
      <c r="J13238" t="s">
        <v>37875</v>
      </c>
      <c r="K13238" t="s">
        <v>38487</v>
      </c>
      <c r="M13238" t="s">
        <v>40724</v>
      </c>
      <c r="N13238" t="s">
        <v>42669</v>
      </c>
      <c r="O13238" t="s">
        <v>42670</v>
      </c>
      <c r="Q13238">
        <v>3</v>
      </c>
      <c r="R13238" t="s">
        <v>42691</v>
      </c>
      <c r="S13238" t="s">
        <v>43790</v>
      </c>
      <c r="T13238" t="s">
        <v>44548</v>
      </c>
      <c r="U13238" t="s">
        <v>55584</v>
      </c>
      <c r="W13238" t="s">
        <v>40724</v>
      </c>
      <c r="X13238" t="s">
        <v>42692</v>
      </c>
    </row>
    <row r="13239" spans="1:24">
      <c r="A13239">
        <f>HYPERLINK("https://www.philgeps.gov.ph/GEPSNONPILOT/Tender/SplashBidNoticeAbstractUI.aspx?menuIndex=3&amp;refID=7155111&amp;Result=3","7155111")</f>
        <v>0</v>
      </c>
      <c r="B13239" t="s">
        <v>1884</v>
      </c>
      <c r="C13239" t="s">
        <v>16198</v>
      </c>
      <c r="D13239" t="s">
        <v>17143</v>
      </c>
      <c r="E13239" t="s">
        <v>28531</v>
      </c>
      <c r="F13239" t="s">
        <v>29372</v>
      </c>
      <c r="G13239" t="s">
        <v>29380</v>
      </c>
      <c r="H13239" t="s">
        <v>29389</v>
      </c>
      <c r="I13239" t="s">
        <v>10408</v>
      </c>
      <c r="J13239" t="s">
        <v>37876</v>
      </c>
      <c r="K13239" t="s">
        <v>38525</v>
      </c>
      <c r="L13239" t="s">
        <v>1884</v>
      </c>
      <c r="M13239" t="s">
        <v>40757</v>
      </c>
      <c r="N13239" t="s">
        <v>42669</v>
      </c>
      <c r="O13239" t="s">
        <v>42670</v>
      </c>
      <c r="P13239">
        <v>0</v>
      </c>
      <c r="Q13239">
        <v>2</v>
      </c>
      <c r="R13239" t="s">
        <v>42691</v>
      </c>
      <c r="S13239" t="s">
        <v>43726</v>
      </c>
      <c r="T13239" t="s">
        <v>44488</v>
      </c>
      <c r="U13239" t="s">
        <v>55585</v>
      </c>
      <c r="W13239" t="s">
        <v>40757</v>
      </c>
      <c r="X13239" t="s">
        <v>42692</v>
      </c>
    </row>
    <row r="13240" spans="1:24">
      <c r="A13240">
        <f>HYPERLINK("https://www.philgeps.gov.ph/GEPSNONPILOT/Tender/SplashBidNoticeAbstractUI.aspx?menuIndex=3&amp;refID=7155135&amp;Result=3","7155135")</f>
        <v>0</v>
      </c>
      <c r="B13240" t="s">
        <v>933</v>
      </c>
      <c r="C13240" t="s">
        <v>16199</v>
      </c>
      <c r="D13240" t="s">
        <v>17170</v>
      </c>
      <c r="E13240" t="s">
        <v>28532</v>
      </c>
      <c r="F13240" t="s">
        <v>29372</v>
      </c>
      <c r="G13240" t="s">
        <v>29380</v>
      </c>
      <c r="H13240" t="s">
        <v>11048</v>
      </c>
      <c r="I13240" t="s">
        <v>4487</v>
      </c>
      <c r="J13240" t="s">
        <v>37877</v>
      </c>
      <c r="K13240" t="s">
        <v>38490</v>
      </c>
      <c r="M13240" t="s">
        <v>41092</v>
      </c>
      <c r="N13240" t="s">
        <v>42669</v>
      </c>
      <c r="O13240" t="s">
        <v>42670</v>
      </c>
      <c r="P13240">
        <v>0</v>
      </c>
      <c r="Q13240">
        <v>4</v>
      </c>
      <c r="R13240" t="s">
        <v>42691</v>
      </c>
      <c r="S13240" t="s">
        <v>43726</v>
      </c>
      <c r="T13240" t="s">
        <v>44432</v>
      </c>
      <c r="U13240" t="s">
        <v>55586</v>
      </c>
      <c r="V13240" t="s">
        <v>57074</v>
      </c>
      <c r="W13240" t="s">
        <v>41092</v>
      </c>
      <c r="X13240" t="s">
        <v>42692</v>
      </c>
    </row>
    <row r="13241" spans="1:24">
      <c r="A13241">
        <f>HYPERLINK("https://www.philgeps.gov.ph/GEPSNONPILOT/Tender/SplashBidNoticeAbstractUI.aspx?menuIndex=3&amp;refID=7155102&amp;Result=3","7155102")</f>
        <v>0</v>
      </c>
      <c r="B13241" t="s">
        <v>3019</v>
      </c>
      <c r="C13241" t="s">
        <v>16200</v>
      </c>
      <c r="D13241" t="s">
        <v>17169</v>
      </c>
      <c r="E13241" t="s">
        <v>26207</v>
      </c>
      <c r="F13241" t="s">
        <v>29372</v>
      </c>
      <c r="G13241" t="s">
        <v>29380</v>
      </c>
      <c r="H13241" t="s">
        <v>29389</v>
      </c>
      <c r="I13241" t="s">
        <v>10408</v>
      </c>
      <c r="J13241" t="s">
        <v>37878</v>
      </c>
      <c r="K13241" t="s">
        <v>38485</v>
      </c>
      <c r="M13241" t="s">
        <v>42040</v>
      </c>
      <c r="N13241" t="s">
        <v>42669</v>
      </c>
      <c r="O13241" t="s">
        <v>42670</v>
      </c>
      <c r="P13241">
        <v>0</v>
      </c>
      <c r="Q13241">
        <v>0</v>
      </c>
      <c r="R13241" t="s">
        <v>42691</v>
      </c>
      <c r="S13241" t="s">
        <v>43726</v>
      </c>
      <c r="T13241" t="s">
        <v>44670</v>
      </c>
      <c r="U13241" t="s">
        <v>53373</v>
      </c>
      <c r="W13241" t="s">
        <v>42040</v>
      </c>
      <c r="X13241" t="s">
        <v>42692</v>
      </c>
    </row>
    <row r="13242" spans="1:24">
      <c r="A13242">
        <f>HYPERLINK("https://www.philgeps.gov.ph/GEPSNONPILOT/Tender/SplashBidNoticeAbstractUI.aspx?menuIndex=3&amp;refID=7155139&amp;Result=3","7155139")</f>
        <v>0</v>
      </c>
      <c r="B13242" t="s">
        <v>933</v>
      </c>
      <c r="C13242" t="s">
        <v>16201</v>
      </c>
      <c r="D13242" t="s">
        <v>17170</v>
      </c>
      <c r="E13242" t="s">
        <v>28533</v>
      </c>
      <c r="F13242" t="s">
        <v>29372</v>
      </c>
      <c r="G13242" t="s">
        <v>29380</v>
      </c>
      <c r="H13242" t="s">
        <v>11048</v>
      </c>
      <c r="I13242" t="s">
        <v>29407</v>
      </c>
      <c r="J13242" t="s">
        <v>37879</v>
      </c>
      <c r="K13242" t="s">
        <v>38490</v>
      </c>
      <c r="M13242" t="s">
        <v>41092</v>
      </c>
      <c r="N13242" t="s">
        <v>42669</v>
      </c>
      <c r="O13242" t="s">
        <v>42670</v>
      </c>
      <c r="P13242">
        <v>0</v>
      </c>
      <c r="Q13242">
        <v>7</v>
      </c>
      <c r="R13242" t="s">
        <v>42691</v>
      </c>
      <c r="S13242" t="s">
        <v>43726</v>
      </c>
      <c r="T13242" t="s">
        <v>44432</v>
      </c>
      <c r="U13242" t="s">
        <v>55587</v>
      </c>
      <c r="V13242" t="s">
        <v>57074</v>
      </c>
      <c r="W13242" t="s">
        <v>41092</v>
      </c>
      <c r="X13242" t="s">
        <v>42692</v>
      </c>
    </row>
    <row r="13243" spans="1:24">
      <c r="A13243">
        <f>HYPERLINK("https://www.philgeps.gov.ph/GEPSNONPILOT/Tender/SplashBidNoticeAbstractUI.aspx?menuIndex=3&amp;refID=7154916&amp;Result=3","7154916")</f>
        <v>0</v>
      </c>
      <c r="B13243" t="s">
        <v>2630</v>
      </c>
      <c r="C13243" t="s">
        <v>16202</v>
      </c>
      <c r="D13243" t="s">
        <v>17186</v>
      </c>
      <c r="E13243" t="s">
        <v>28534</v>
      </c>
      <c r="F13243" t="s">
        <v>29372</v>
      </c>
      <c r="G13243" t="s">
        <v>29380</v>
      </c>
      <c r="H13243" t="s">
        <v>29389</v>
      </c>
      <c r="I13243" t="s">
        <v>10408</v>
      </c>
      <c r="J13243" t="s">
        <v>37880</v>
      </c>
      <c r="K13243" t="s">
        <v>38522</v>
      </c>
      <c r="M13243" t="s">
        <v>41602</v>
      </c>
      <c r="N13243" t="s">
        <v>42669</v>
      </c>
      <c r="O13243" t="s">
        <v>42670</v>
      </c>
      <c r="P13243">
        <v>0</v>
      </c>
      <c r="Q13243">
        <v>0</v>
      </c>
      <c r="R13243" t="s">
        <v>42691</v>
      </c>
      <c r="S13243" t="s">
        <v>43726</v>
      </c>
      <c r="T13243" t="s">
        <v>44371</v>
      </c>
      <c r="U13243" t="s">
        <v>55588</v>
      </c>
      <c r="W13243" t="s">
        <v>41602</v>
      </c>
      <c r="X13243" t="s">
        <v>42692</v>
      </c>
    </row>
    <row r="13244" spans="1:24">
      <c r="A13244">
        <f>HYPERLINK("https://www.philgeps.gov.ph/GEPSNONPILOT/Tender/SplashBidNoticeAbstractUI.aspx?menuIndex=3&amp;refID=7155079&amp;Result=3","7155079")</f>
        <v>0</v>
      </c>
      <c r="B13244" t="s">
        <v>1286</v>
      </c>
      <c r="C13244" t="s">
        <v>16203</v>
      </c>
      <c r="E13244" t="s">
        <v>28535</v>
      </c>
      <c r="F13244" t="s">
        <v>29372</v>
      </c>
      <c r="G13244" t="s">
        <v>29380</v>
      </c>
      <c r="H13244" t="s">
        <v>29389</v>
      </c>
      <c r="I13244" t="s">
        <v>10408</v>
      </c>
      <c r="J13244" t="s">
        <v>30244</v>
      </c>
      <c r="K13244" t="s">
        <v>38533</v>
      </c>
      <c r="M13244" t="s">
        <v>40115</v>
      </c>
      <c r="N13244" t="s">
        <v>42669</v>
      </c>
      <c r="O13244" t="s">
        <v>42670</v>
      </c>
      <c r="P13244">
        <v>0</v>
      </c>
      <c r="Q13244">
        <v>2</v>
      </c>
      <c r="R13244" t="s">
        <v>42691</v>
      </c>
      <c r="S13244" t="s">
        <v>43726</v>
      </c>
      <c r="T13244" t="s">
        <v>44488</v>
      </c>
      <c r="U13244" t="s">
        <v>55589</v>
      </c>
      <c r="W13244" t="s">
        <v>40115</v>
      </c>
      <c r="X13244" t="s">
        <v>42692</v>
      </c>
    </row>
    <row r="13245" spans="1:24">
      <c r="A13245">
        <f>HYPERLINK("https://www.philgeps.gov.ph/GEPSNONPILOT/Tender/SplashBidNoticeAbstractUI.aspx?menuIndex=3&amp;refID=7155127&amp;Result=3","7155127")</f>
        <v>0</v>
      </c>
      <c r="B13245" t="s">
        <v>27</v>
      </c>
      <c r="C13245" t="s">
        <v>16204</v>
      </c>
      <c r="D13245" t="s">
        <v>17141</v>
      </c>
      <c r="E13245" t="s">
        <v>28536</v>
      </c>
      <c r="F13245" t="s">
        <v>29372</v>
      </c>
      <c r="G13245" t="s">
        <v>29380</v>
      </c>
      <c r="H13245" t="s">
        <v>11048</v>
      </c>
      <c r="I13245" t="s">
        <v>3695</v>
      </c>
      <c r="J13245" t="s">
        <v>37874</v>
      </c>
      <c r="K13245" t="s">
        <v>38496</v>
      </c>
      <c r="M13245" t="s">
        <v>38780</v>
      </c>
      <c r="N13245" t="s">
        <v>42669</v>
      </c>
      <c r="O13245" t="s">
        <v>42670</v>
      </c>
      <c r="P13245">
        <v>0</v>
      </c>
      <c r="Q13245">
        <v>13</v>
      </c>
      <c r="R13245" t="s">
        <v>42691</v>
      </c>
      <c r="S13245" t="s">
        <v>43726</v>
      </c>
      <c r="T13245" t="s">
        <v>44548</v>
      </c>
      <c r="U13245" t="s">
        <v>55590</v>
      </c>
      <c r="W13245" t="s">
        <v>38780</v>
      </c>
      <c r="X13245" t="s">
        <v>42692</v>
      </c>
    </row>
    <row r="13246" spans="1:24">
      <c r="A13246">
        <f>HYPERLINK("https://www.philgeps.gov.ph/GEPSNONPILOT/Tender/SplashBidNoticeAbstractUI.aspx?menuIndex=3&amp;refID=7155124&amp;Result=3","7155124")</f>
        <v>0</v>
      </c>
      <c r="B13246" t="s">
        <v>3439</v>
      </c>
      <c r="C13246" t="s">
        <v>16205</v>
      </c>
      <c r="D13246" t="s">
        <v>17169</v>
      </c>
      <c r="E13246" t="s">
        <v>26207</v>
      </c>
      <c r="F13246" t="s">
        <v>29372</v>
      </c>
      <c r="G13246" t="s">
        <v>29380</v>
      </c>
      <c r="H13246" t="s">
        <v>29389</v>
      </c>
      <c r="I13246" t="s">
        <v>10408</v>
      </c>
      <c r="J13246" t="s">
        <v>29532</v>
      </c>
      <c r="K13246" t="s">
        <v>38488</v>
      </c>
      <c r="M13246" t="s">
        <v>42548</v>
      </c>
      <c r="N13246" t="s">
        <v>42669</v>
      </c>
      <c r="O13246" t="s">
        <v>42670</v>
      </c>
      <c r="P13246">
        <v>0</v>
      </c>
      <c r="Q13246">
        <v>0</v>
      </c>
      <c r="R13246" t="s">
        <v>42691</v>
      </c>
      <c r="S13246" t="s">
        <v>43726</v>
      </c>
      <c r="T13246" t="s">
        <v>44399</v>
      </c>
      <c r="U13246" t="s">
        <v>55591</v>
      </c>
      <c r="W13246" t="s">
        <v>42548</v>
      </c>
      <c r="X13246" t="s">
        <v>42692</v>
      </c>
    </row>
    <row r="13247" spans="1:24">
      <c r="A13247">
        <f>HYPERLINK("https://www.philgeps.gov.ph/GEPSNONPILOT/Tender/SplashBidNoticeAbstractUI.aspx?menuIndex=3&amp;refID=7155086&amp;Result=3","7155086")</f>
        <v>0</v>
      </c>
      <c r="B13247" t="s">
        <v>1884</v>
      </c>
      <c r="C13247" t="s">
        <v>16206</v>
      </c>
      <c r="D13247" t="s">
        <v>17143</v>
      </c>
      <c r="E13247" t="s">
        <v>28537</v>
      </c>
      <c r="F13247" t="s">
        <v>29372</v>
      </c>
      <c r="G13247" t="s">
        <v>29380</v>
      </c>
      <c r="H13247" t="s">
        <v>29389</v>
      </c>
      <c r="I13247" t="s">
        <v>10408</v>
      </c>
      <c r="J13247" t="s">
        <v>30302</v>
      </c>
      <c r="K13247" t="s">
        <v>38485</v>
      </c>
      <c r="L13247" t="s">
        <v>1884</v>
      </c>
      <c r="M13247" t="s">
        <v>40757</v>
      </c>
      <c r="N13247" t="s">
        <v>42669</v>
      </c>
      <c r="O13247" t="s">
        <v>42670</v>
      </c>
      <c r="P13247">
        <v>0</v>
      </c>
      <c r="Q13247">
        <v>1</v>
      </c>
      <c r="R13247" t="s">
        <v>42691</v>
      </c>
      <c r="S13247" t="s">
        <v>43726</v>
      </c>
      <c r="T13247" t="s">
        <v>44488</v>
      </c>
      <c r="U13247" t="s">
        <v>55592</v>
      </c>
      <c r="W13247" t="s">
        <v>40757</v>
      </c>
      <c r="X13247" t="s">
        <v>42692</v>
      </c>
    </row>
    <row r="13248" spans="1:24">
      <c r="A13248">
        <f>HYPERLINK("https://www.philgeps.gov.ph/GEPSNONPILOT/Tender/SplashBidNoticeAbstractUI.aspx?menuIndex=3&amp;refID=7155024&amp;Result=3","7155024")</f>
        <v>0</v>
      </c>
      <c r="B13248" t="s">
        <v>2226</v>
      </c>
      <c r="C13248" t="s">
        <v>16207</v>
      </c>
      <c r="D13248" t="s">
        <v>17162</v>
      </c>
      <c r="E13248" t="s">
        <v>28538</v>
      </c>
      <c r="F13248" t="s">
        <v>29372</v>
      </c>
      <c r="G13248" t="s">
        <v>29380</v>
      </c>
      <c r="H13248" t="s">
        <v>29389</v>
      </c>
      <c r="I13248" t="s">
        <v>10408</v>
      </c>
      <c r="J13248" t="s">
        <v>37881</v>
      </c>
      <c r="K13248" t="s">
        <v>38622</v>
      </c>
      <c r="M13248" t="s">
        <v>41144</v>
      </c>
      <c r="N13248" t="s">
        <v>42669</v>
      </c>
      <c r="O13248" t="s">
        <v>42670</v>
      </c>
      <c r="Q13248">
        <v>3</v>
      </c>
      <c r="R13248" t="s">
        <v>42691</v>
      </c>
      <c r="S13248" t="s">
        <v>43791</v>
      </c>
      <c r="T13248" t="s">
        <v>44488</v>
      </c>
      <c r="U13248" t="s">
        <v>50468</v>
      </c>
      <c r="W13248" t="s">
        <v>41144</v>
      </c>
      <c r="X13248" t="s">
        <v>42692</v>
      </c>
    </row>
    <row r="13249" spans="1:24">
      <c r="A13249">
        <f>HYPERLINK("https://www.philgeps.gov.ph/GEPSNONPILOT/Tender/SplashBidNoticeAbstractUI.aspx?menuIndex=3&amp;refID=7155015&amp;Result=3","7155015")</f>
        <v>0</v>
      </c>
      <c r="B13249" t="s">
        <v>2226</v>
      </c>
      <c r="C13249" t="s">
        <v>16208</v>
      </c>
      <c r="D13249" t="s">
        <v>17162</v>
      </c>
      <c r="E13249" t="s">
        <v>28539</v>
      </c>
      <c r="F13249" t="s">
        <v>29372</v>
      </c>
      <c r="G13249" t="s">
        <v>29380</v>
      </c>
      <c r="H13249" t="s">
        <v>29389</v>
      </c>
      <c r="I13249" t="s">
        <v>10408</v>
      </c>
      <c r="J13249" t="s">
        <v>37881</v>
      </c>
      <c r="K13249" t="s">
        <v>38622</v>
      </c>
      <c r="M13249" t="s">
        <v>41144</v>
      </c>
      <c r="N13249" t="s">
        <v>42669</v>
      </c>
      <c r="O13249" t="s">
        <v>42670</v>
      </c>
      <c r="Q13249">
        <v>3</v>
      </c>
      <c r="R13249" t="s">
        <v>42691</v>
      </c>
      <c r="S13249" t="s">
        <v>43792</v>
      </c>
      <c r="T13249" t="s">
        <v>44488</v>
      </c>
      <c r="U13249" t="s">
        <v>50468</v>
      </c>
      <c r="W13249" t="s">
        <v>41144</v>
      </c>
      <c r="X13249" t="s">
        <v>42692</v>
      </c>
    </row>
    <row r="13250" spans="1:24">
      <c r="A13250">
        <f>HYPERLINK("https://www.philgeps.gov.ph/GEPSNONPILOT/Tender/SplashBidNoticeAbstractUI.aspx?menuIndex=3&amp;refID=7155060&amp;Result=3","7155060")</f>
        <v>0</v>
      </c>
      <c r="B13250" t="s">
        <v>1286</v>
      </c>
      <c r="C13250" t="s">
        <v>16209</v>
      </c>
      <c r="E13250" t="s">
        <v>27149</v>
      </c>
      <c r="F13250" t="s">
        <v>29372</v>
      </c>
      <c r="G13250" t="s">
        <v>29380</v>
      </c>
      <c r="H13250" t="s">
        <v>29389</v>
      </c>
      <c r="I13250" t="s">
        <v>10408</v>
      </c>
      <c r="J13250" t="s">
        <v>37882</v>
      </c>
      <c r="K13250" t="s">
        <v>38533</v>
      </c>
      <c r="M13250" t="s">
        <v>40115</v>
      </c>
      <c r="N13250" t="s">
        <v>42669</v>
      </c>
      <c r="O13250" t="s">
        <v>42670</v>
      </c>
      <c r="P13250">
        <v>0</v>
      </c>
      <c r="Q13250">
        <v>4</v>
      </c>
      <c r="R13250" t="s">
        <v>42691</v>
      </c>
      <c r="S13250" t="s">
        <v>43726</v>
      </c>
      <c r="T13250" t="s">
        <v>44488</v>
      </c>
      <c r="U13250" t="s">
        <v>55593</v>
      </c>
      <c r="W13250" t="s">
        <v>40115</v>
      </c>
      <c r="X13250" t="s">
        <v>42692</v>
      </c>
    </row>
    <row r="13251" spans="1:24">
      <c r="A13251">
        <f>HYPERLINK("https://www.philgeps.gov.ph/GEPSNONPILOT/Tender/SplashBidNoticeAbstractUI.aspx?menuIndex=3&amp;refID=7155035&amp;Result=3","7155035")</f>
        <v>0</v>
      </c>
      <c r="B13251" t="s">
        <v>1543</v>
      </c>
      <c r="C13251" t="s">
        <v>16210</v>
      </c>
      <c r="E13251" t="s">
        <v>28540</v>
      </c>
      <c r="F13251" t="s">
        <v>29372</v>
      </c>
      <c r="G13251" t="s">
        <v>29380</v>
      </c>
      <c r="H13251" t="s">
        <v>11048</v>
      </c>
      <c r="I13251" t="s">
        <v>29396</v>
      </c>
      <c r="J13251" t="s">
        <v>29728</v>
      </c>
      <c r="K13251" t="s">
        <v>38490</v>
      </c>
      <c r="M13251" t="s">
        <v>40392</v>
      </c>
      <c r="N13251" t="s">
        <v>42669</v>
      </c>
      <c r="O13251" t="s">
        <v>42670</v>
      </c>
      <c r="Q13251">
        <v>9</v>
      </c>
      <c r="R13251" t="s">
        <v>42691</v>
      </c>
      <c r="S13251" t="s">
        <v>43793</v>
      </c>
      <c r="T13251" t="s">
        <v>44401</v>
      </c>
      <c r="U13251" t="s">
        <v>55594</v>
      </c>
      <c r="W13251" t="s">
        <v>40392</v>
      </c>
      <c r="X13251" t="s">
        <v>42692</v>
      </c>
    </row>
    <row r="13252" spans="1:24">
      <c r="A13252">
        <f>HYPERLINK("https://www.philgeps.gov.ph/GEPSNONPILOT/Tender/SplashBidNoticeAbstractUI.aspx?menuIndex=3&amp;refID=7154999&amp;Result=3","7154999")</f>
        <v>0</v>
      </c>
      <c r="B13252" t="s">
        <v>272</v>
      </c>
      <c r="C13252" t="s">
        <v>16211</v>
      </c>
      <c r="D13252" t="s">
        <v>17206</v>
      </c>
      <c r="E13252" t="s">
        <v>28541</v>
      </c>
      <c r="F13252" t="s">
        <v>29372</v>
      </c>
      <c r="G13252" t="s">
        <v>29380</v>
      </c>
      <c r="H13252" t="s">
        <v>11048</v>
      </c>
      <c r="I13252" t="s">
        <v>29488</v>
      </c>
      <c r="J13252" t="s">
        <v>37883</v>
      </c>
      <c r="K13252" t="s">
        <v>38510</v>
      </c>
      <c r="M13252" t="s">
        <v>41448</v>
      </c>
      <c r="N13252" t="s">
        <v>42669</v>
      </c>
      <c r="O13252" t="s">
        <v>42670</v>
      </c>
      <c r="P13252">
        <v>0</v>
      </c>
      <c r="Q13252">
        <v>0</v>
      </c>
      <c r="R13252" t="s">
        <v>42691</v>
      </c>
      <c r="S13252" t="s">
        <v>43726</v>
      </c>
      <c r="T13252" t="s">
        <v>44427</v>
      </c>
      <c r="U13252" t="s">
        <v>55595</v>
      </c>
      <c r="W13252" t="s">
        <v>41448</v>
      </c>
      <c r="X13252" t="s">
        <v>42692</v>
      </c>
    </row>
    <row r="13253" spans="1:24">
      <c r="A13253">
        <f>HYPERLINK("https://www.philgeps.gov.ph/GEPSNONPILOT/Tender/SplashBidNoticeAbstractUI.aspx?menuIndex=3&amp;refID=7155097&amp;Result=3","7155097")</f>
        <v>0</v>
      </c>
      <c r="B13253" t="s">
        <v>365</v>
      </c>
      <c r="C13253" t="s">
        <v>16212</v>
      </c>
      <c r="D13253" t="s">
        <v>17143</v>
      </c>
      <c r="E13253" t="s">
        <v>28542</v>
      </c>
      <c r="F13253" t="s">
        <v>29372</v>
      </c>
      <c r="G13253" t="s">
        <v>29380</v>
      </c>
      <c r="H13253" t="s">
        <v>29389</v>
      </c>
      <c r="I13253" t="s">
        <v>10408</v>
      </c>
      <c r="J13253" t="s">
        <v>37884</v>
      </c>
      <c r="K13253" t="s">
        <v>38646</v>
      </c>
      <c r="M13253" t="s">
        <v>39125</v>
      </c>
      <c r="N13253" t="s">
        <v>42669</v>
      </c>
      <c r="O13253" t="s">
        <v>42670</v>
      </c>
      <c r="P13253">
        <v>0</v>
      </c>
      <c r="Q13253">
        <v>1</v>
      </c>
      <c r="R13253" t="s">
        <v>42691</v>
      </c>
      <c r="S13253" t="s">
        <v>43726</v>
      </c>
      <c r="T13253" t="s">
        <v>44425</v>
      </c>
      <c r="U13253" t="s">
        <v>55596</v>
      </c>
      <c r="W13253" t="s">
        <v>58092</v>
      </c>
      <c r="X13253" t="s">
        <v>42692</v>
      </c>
    </row>
    <row r="13254" spans="1:24">
      <c r="A13254">
        <f>HYPERLINK("https://www.philgeps.gov.ph/GEPSNONPILOT/Tender/SplashBidNoticeAbstractUI.aspx?menuIndex=3&amp;refID=7155146&amp;Result=3","7155146")</f>
        <v>0</v>
      </c>
      <c r="B13254" t="s">
        <v>1384</v>
      </c>
      <c r="C13254" t="s">
        <v>16213</v>
      </c>
      <c r="D13254" t="s">
        <v>17191</v>
      </c>
      <c r="E13254" t="s">
        <v>28543</v>
      </c>
      <c r="F13254" t="s">
        <v>29372</v>
      </c>
      <c r="G13254" t="s">
        <v>29380</v>
      </c>
      <c r="H13254" t="s">
        <v>11048</v>
      </c>
      <c r="I13254" t="s">
        <v>8614</v>
      </c>
      <c r="J13254" t="s">
        <v>29526</v>
      </c>
      <c r="K13254" t="s">
        <v>38485</v>
      </c>
      <c r="M13254" t="s">
        <v>40222</v>
      </c>
      <c r="N13254" t="s">
        <v>42669</v>
      </c>
      <c r="O13254" t="s">
        <v>42670</v>
      </c>
      <c r="Q13254">
        <v>1</v>
      </c>
      <c r="R13254" t="s">
        <v>42691</v>
      </c>
      <c r="S13254" t="s">
        <v>43794</v>
      </c>
      <c r="T13254" t="s">
        <v>44357</v>
      </c>
      <c r="U13254" t="s">
        <v>55597</v>
      </c>
      <c r="W13254" t="s">
        <v>40222</v>
      </c>
      <c r="X13254" t="s">
        <v>42692</v>
      </c>
    </row>
    <row r="13255" spans="1:24">
      <c r="A13255">
        <f>HYPERLINK("https://www.philgeps.gov.ph/GEPSNONPILOT/Tender/SplashBidNoticeAbstractUI.aspx?menuIndex=3&amp;refID=7155213&amp;Result=3","7155213")</f>
        <v>0</v>
      </c>
      <c r="B13255" t="s">
        <v>511</v>
      </c>
      <c r="C13255" t="s">
        <v>13011</v>
      </c>
      <c r="D13255" t="s">
        <v>17163</v>
      </c>
      <c r="E13255" t="s">
        <v>28544</v>
      </c>
      <c r="F13255" t="s">
        <v>29372</v>
      </c>
      <c r="G13255" t="s">
        <v>29380</v>
      </c>
      <c r="H13255" t="s">
        <v>11048</v>
      </c>
      <c r="I13255" t="s">
        <v>3695</v>
      </c>
      <c r="J13255" t="s">
        <v>37885</v>
      </c>
      <c r="K13255" t="s">
        <v>38490</v>
      </c>
      <c r="M13255" t="s">
        <v>39278</v>
      </c>
      <c r="N13255" t="s">
        <v>42669</v>
      </c>
      <c r="O13255" t="s">
        <v>42670</v>
      </c>
      <c r="Q13255">
        <v>46</v>
      </c>
      <c r="R13255" t="s">
        <v>42691</v>
      </c>
      <c r="S13255" t="s">
        <v>43795</v>
      </c>
      <c r="T13255" t="s">
        <v>44652</v>
      </c>
      <c r="U13255" t="s">
        <v>55598</v>
      </c>
      <c r="V13255" t="s">
        <v>57782</v>
      </c>
      <c r="W13255" t="s">
        <v>39278</v>
      </c>
      <c r="X13255" t="s">
        <v>42692</v>
      </c>
    </row>
    <row r="13256" spans="1:24">
      <c r="A13256">
        <f>HYPERLINK("https://www.philgeps.gov.ph/GEPSNONPILOT/Tender/SplashBidNoticeAbstractUI.aspx?menuIndex=3&amp;refID=7155237&amp;Result=3","7155237")</f>
        <v>0</v>
      </c>
      <c r="B13256" t="s">
        <v>378</v>
      </c>
      <c r="C13256" t="s">
        <v>16214</v>
      </c>
      <c r="D13256" t="s">
        <v>17151</v>
      </c>
      <c r="E13256" t="s">
        <v>28545</v>
      </c>
      <c r="F13256" t="s">
        <v>29372</v>
      </c>
      <c r="G13256" t="s">
        <v>29380</v>
      </c>
      <c r="H13256" t="s">
        <v>11048</v>
      </c>
      <c r="I13256" t="s">
        <v>9469</v>
      </c>
      <c r="J13256" t="s">
        <v>31498</v>
      </c>
      <c r="K13256" t="s">
        <v>38495</v>
      </c>
      <c r="M13256" t="s">
        <v>41214</v>
      </c>
      <c r="N13256" t="s">
        <v>42669</v>
      </c>
      <c r="O13256" t="s">
        <v>42670</v>
      </c>
      <c r="P13256">
        <v>0</v>
      </c>
      <c r="Q13256">
        <v>3</v>
      </c>
      <c r="R13256" t="s">
        <v>42691</v>
      </c>
      <c r="S13256" t="s">
        <v>43726</v>
      </c>
      <c r="T13256" t="s">
        <v>44493</v>
      </c>
      <c r="U13256" t="s">
        <v>55599</v>
      </c>
      <c r="W13256" t="s">
        <v>41215</v>
      </c>
      <c r="X13256" t="s">
        <v>42692</v>
      </c>
    </row>
    <row r="13257" spans="1:24">
      <c r="A13257">
        <f>HYPERLINK("https://www.philgeps.gov.ph/GEPSNONPILOT/Tender/SplashBidNoticeAbstractUI.aspx?menuIndex=3&amp;refID=7155198&amp;Result=3","7155198")</f>
        <v>0</v>
      </c>
      <c r="B13257" t="s">
        <v>1966</v>
      </c>
      <c r="C13257" t="s">
        <v>16215</v>
      </c>
      <c r="D13257" t="s">
        <v>17169</v>
      </c>
      <c r="E13257" t="s">
        <v>28546</v>
      </c>
      <c r="F13257" t="s">
        <v>29372</v>
      </c>
      <c r="G13257" t="s">
        <v>29380</v>
      </c>
      <c r="H13257" t="s">
        <v>11048</v>
      </c>
      <c r="I13257" t="s">
        <v>29423</v>
      </c>
      <c r="J13257" t="s">
        <v>29829</v>
      </c>
      <c r="K13257" t="s">
        <v>38487</v>
      </c>
      <c r="M13257" t="s">
        <v>40851</v>
      </c>
      <c r="N13257" t="s">
        <v>42669</v>
      </c>
      <c r="O13257" t="s">
        <v>42670</v>
      </c>
      <c r="Q13257">
        <v>15</v>
      </c>
      <c r="R13257" t="s">
        <v>42691</v>
      </c>
      <c r="S13257" t="s">
        <v>43796</v>
      </c>
      <c r="T13257" t="s">
        <v>44373</v>
      </c>
      <c r="U13257" t="s">
        <v>55600</v>
      </c>
      <c r="W13257" t="s">
        <v>40851</v>
      </c>
      <c r="X13257" t="s">
        <v>42692</v>
      </c>
    </row>
    <row r="13258" spans="1:24">
      <c r="A13258">
        <f>HYPERLINK("https://www.philgeps.gov.ph/GEPSNONPILOT/Tender/SplashBidNoticeAbstractUI.aspx?menuIndex=3&amp;refID=7155216&amp;Result=3","7155216")</f>
        <v>0</v>
      </c>
      <c r="B13258" t="s">
        <v>511</v>
      </c>
      <c r="C13258" t="s">
        <v>16216</v>
      </c>
      <c r="D13258" t="s">
        <v>17163</v>
      </c>
      <c r="E13258" t="s">
        <v>28547</v>
      </c>
      <c r="F13258" t="s">
        <v>29372</v>
      </c>
      <c r="G13258" t="s">
        <v>29380</v>
      </c>
      <c r="H13258" t="s">
        <v>11048</v>
      </c>
      <c r="I13258" t="s">
        <v>29414</v>
      </c>
      <c r="J13258" t="s">
        <v>37886</v>
      </c>
      <c r="K13258" t="s">
        <v>38490</v>
      </c>
      <c r="M13258" t="s">
        <v>39278</v>
      </c>
      <c r="N13258" t="s">
        <v>42669</v>
      </c>
      <c r="O13258" t="s">
        <v>42670</v>
      </c>
      <c r="Q13258">
        <v>95</v>
      </c>
      <c r="R13258" t="s">
        <v>42691</v>
      </c>
      <c r="S13258" t="s">
        <v>43797</v>
      </c>
      <c r="T13258" t="s">
        <v>44493</v>
      </c>
      <c r="U13258" t="s">
        <v>55601</v>
      </c>
      <c r="V13258" t="s">
        <v>57782</v>
      </c>
      <c r="W13258" t="s">
        <v>39278</v>
      </c>
      <c r="X13258" t="s">
        <v>42692</v>
      </c>
    </row>
    <row r="13259" spans="1:24">
      <c r="A13259">
        <f>HYPERLINK("https://www.philgeps.gov.ph/GEPSNONPILOT/Tender/SplashBidNoticeAbstractUI.aspx?menuIndex=3&amp;refID=7155117&amp;Result=3","7155117")</f>
        <v>0</v>
      </c>
      <c r="B13259" t="s">
        <v>3440</v>
      </c>
      <c r="C13259" t="s">
        <v>16217</v>
      </c>
      <c r="D13259" t="s">
        <v>17169</v>
      </c>
      <c r="E13259" t="s">
        <v>26207</v>
      </c>
      <c r="F13259" t="s">
        <v>29372</v>
      </c>
      <c r="G13259" t="s">
        <v>29380</v>
      </c>
      <c r="H13259" t="s">
        <v>29389</v>
      </c>
      <c r="I13259" t="s">
        <v>29439</v>
      </c>
      <c r="J13259" t="s">
        <v>29571</v>
      </c>
      <c r="K13259" t="s">
        <v>38510</v>
      </c>
      <c r="M13259" t="s">
        <v>42549</v>
      </c>
      <c r="N13259" t="s">
        <v>42669</v>
      </c>
      <c r="O13259" t="s">
        <v>42670</v>
      </c>
      <c r="P13259">
        <v>0</v>
      </c>
      <c r="Q13259">
        <v>0</v>
      </c>
      <c r="R13259" t="s">
        <v>42691</v>
      </c>
      <c r="S13259" t="s">
        <v>43726</v>
      </c>
      <c r="T13259" t="s">
        <v>44399</v>
      </c>
      <c r="U13259" t="s">
        <v>55602</v>
      </c>
      <c r="W13259" t="s">
        <v>42549</v>
      </c>
      <c r="X13259" t="s">
        <v>42692</v>
      </c>
    </row>
    <row r="13260" spans="1:24">
      <c r="A13260">
        <f>HYPERLINK("https://www.philgeps.gov.ph/GEPSNONPILOT/Tender/SplashBidNoticeAbstractUI.aspx?menuIndex=3&amp;refID=7155147&amp;Result=3","7155147")</f>
        <v>0</v>
      </c>
      <c r="B13260" t="s">
        <v>933</v>
      </c>
      <c r="C13260" t="s">
        <v>16218</v>
      </c>
      <c r="D13260" t="s">
        <v>17170</v>
      </c>
      <c r="E13260" t="s">
        <v>28548</v>
      </c>
      <c r="F13260" t="s">
        <v>29372</v>
      </c>
      <c r="G13260" t="s">
        <v>29380</v>
      </c>
      <c r="H13260" t="s">
        <v>11048</v>
      </c>
      <c r="I13260" t="s">
        <v>29466</v>
      </c>
      <c r="J13260" t="s">
        <v>37887</v>
      </c>
      <c r="K13260" t="s">
        <v>38490</v>
      </c>
      <c r="M13260" t="s">
        <v>41092</v>
      </c>
      <c r="N13260" t="s">
        <v>42669</v>
      </c>
      <c r="O13260" t="s">
        <v>42670</v>
      </c>
      <c r="P13260">
        <v>0</v>
      </c>
      <c r="Q13260">
        <v>1</v>
      </c>
      <c r="R13260" t="s">
        <v>42691</v>
      </c>
      <c r="S13260" t="s">
        <v>43726</v>
      </c>
      <c r="T13260" t="s">
        <v>44432</v>
      </c>
      <c r="U13260" t="s">
        <v>53715</v>
      </c>
      <c r="V13260" t="s">
        <v>57074</v>
      </c>
      <c r="W13260" t="s">
        <v>41092</v>
      </c>
      <c r="X13260" t="s">
        <v>42692</v>
      </c>
    </row>
    <row r="13261" spans="1:24">
      <c r="A13261">
        <f>HYPERLINK("https://www.philgeps.gov.ph/GEPSNONPILOT/Tender/SplashBidNoticeAbstractUI.aspx?menuIndex=3&amp;refID=7155230&amp;Result=3","7155230")</f>
        <v>0</v>
      </c>
      <c r="B13261" t="s">
        <v>378</v>
      </c>
      <c r="C13261" t="s">
        <v>16219</v>
      </c>
      <c r="D13261" t="s">
        <v>17151</v>
      </c>
      <c r="E13261" t="s">
        <v>28549</v>
      </c>
      <c r="F13261" t="s">
        <v>29372</v>
      </c>
      <c r="G13261" t="s">
        <v>29380</v>
      </c>
      <c r="H13261" t="s">
        <v>11048</v>
      </c>
      <c r="I13261" t="s">
        <v>4709</v>
      </c>
      <c r="J13261" t="s">
        <v>37888</v>
      </c>
      <c r="K13261" t="s">
        <v>38485</v>
      </c>
      <c r="M13261" t="s">
        <v>41214</v>
      </c>
      <c r="N13261" t="s">
        <v>42669</v>
      </c>
      <c r="O13261" t="s">
        <v>42670</v>
      </c>
      <c r="P13261">
        <v>0</v>
      </c>
      <c r="Q13261">
        <v>0</v>
      </c>
      <c r="R13261" t="s">
        <v>42691</v>
      </c>
      <c r="S13261" t="s">
        <v>43726</v>
      </c>
      <c r="T13261" t="s">
        <v>44493</v>
      </c>
      <c r="U13261" t="s">
        <v>55603</v>
      </c>
      <c r="W13261" t="s">
        <v>41215</v>
      </c>
      <c r="X13261" t="s">
        <v>42692</v>
      </c>
    </row>
    <row r="13262" spans="1:24">
      <c r="A13262">
        <f>HYPERLINK("https://www.philgeps.gov.ph/GEPSNONPILOT/Tender/SplashBidNoticeAbstractUI.aspx?menuIndex=3&amp;refID=7139616&amp;Result=3","7139616")</f>
        <v>0</v>
      </c>
      <c r="B13262" t="s">
        <v>3147</v>
      </c>
      <c r="C13262" t="s">
        <v>16220</v>
      </c>
      <c r="D13262" t="s">
        <v>17198</v>
      </c>
      <c r="E13262" t="s">
        <v>28550</v>
      </c>
      <c r="F13262" t="s">
        <v>29372</v>
      </c>
      <c r="G13262" t="s">
        <v>29380</v>
      </c>
      <c r="H13262" t="s">
        <v>29389</v>
      </c>
      <c r="I13262" t="s">
        <v>10408</v>
      </c>
      <c r="J13262" t="s">
        <v>34094</v>
      </c>
      <c r="K13262" t="s">
        <v>38485</v>
      </c>
      <c r="M13262" t="s">
        <v>42194</v>
      </c>
      <c r="N13262" t="s">
        <v>42669</v>
      </c>
      <c r="O13262" t="s">
        <v>42670</v>
      </c>
      <c r="P13262">
        <v>0</v>
      </c>
      <c r="Q13262">
        <v>0</v>
      </c>
      <c r="R13262" t="s">
        <v>42692</v>
      </c>
      <c r="S13262" t="s">
        <v>43798</v>
      </c>
      <c r="T13262" t="s">
        <v>44488</v>
      </c>
      <c r="U13262" t="s">
        <v>46039</v>
      </c>
      <c r="W13262" t="s">
        <v>42194</v>
      </c>
      <c r="X13262" t="s">
        <v>42699</v>
      </c>
    </row>
    <row r="13263" spans="1:24">
      <c r="A13263">
        <f>HYPERLINK("https://www.philgeps.gov.ph/GEPSNONPILOT/Tender/SplashBidNoticeAbstractUI.aspx?menuIndex=3&amp;refID=7139552&amp;Result=3","7139552")</f>
        <v>0</v>
      </c>
      <c r="B13263" t="s">
        <v>3147</v>
      </c>
      <c r="C13263" t="s">
        <v>16221</v>
      </c>
      <c r="D13263" t="s">
        <v>17198</v>
      </c>
      <c r="E13263" t="s">
        <v>28551</v>
      </c>
      <c r="F13263" t="s">
        <v>29372</v>
      </c>
      <c r="G13263" t="s">
        <v>29380</v>
      </c>
      <c r="H13263" t="s">
        <v>29389</v>
      </c>
      <c r="I13263" t="s">
        <v>10408</v>
      </c>
      <c r="J13263" t="s">
        <v>37889</v>
      </c>
      <c r="K13263" t="s">
        <v>38522</v>
      </c>
      <c r="M13263" t="s">
        <v>42194</v>
      </c>
      <c r="N13263" t="s">
        <v>42669</v>
      </c>
      <c r="O13263" t="s">
        <v>42670</v>
      </c>
      <c r="P13263">
        <v>0</v>
      </c>
      <c r="Q13263">
        <v>1</v>
      </c>
      <c r="R13263" t="s">
        <v>42692</v>
      </c>
      <c r="S13263" t="s">
        <v>43798</v>
      </c>
      <c r="T13263" t="s">
        <v>44488</v>
      </c>
      <c r="U13263" t="s">
        <v>46039</v>
      </c>
      <c r="W13263" t="s">
        <v>42194</v>
      </c>
      <c r="X13263" t="s">
        <v>42699</v>
      </c>
    </row>
    <row r="13264" spans="1:24">
      <c r="A13264">
        <f>HYPERLINK("https://www.philgeps.gov.ph/GEPSNONPILOT/Tender/SplashBidNoticeAbstractUI.aspx?menuIndex=3&amp;refID=7139416&amp;Result=3","7139416")</f>
        <v>0</v>
      </c>
      <c r="B13264" t="s">
        <v>3147</v>
      </c>
      <c r="C13264" t="s">
        <v>16222</v>
      </c>
      <c r="D13264" t="s">
        <v>17198</v>
      </c>
      <c r="E13264" t="s">
        <v>28552</v>
      </c>
      <c r="F13264" t="s">
        <v>29372</v>
      </c>
      <c r="G13264" t="s">
        <v>29380</v>
      </c>
      <c r="H13264" t="s">
        <v>29389</v>
      </c>
      <c r="I13264" t="s">
        <v>10408</v>
      </c>
      <c r="J13264" t="s">
        <v>31498</v>
      </c>
      <c r="K13264" t="s">
        <v>38522</v>
      </c>
      <c r="M13264" t="s">
        <v>42194</v>
      </c>
      <c r="N13264" t="s">
        <v>42669</v>
      </c>
      <c r="O13264" t="s">
        <v>42670</v>
      </c>
      <c r="P13264">
        <v>0</v>
      </c>
      <c r="Q13264">
        <v>1</v>
      </c>
      <c r="R13264" t="s">
        <v>42692</v>
      </c>
      <c r="S13264" t="s">
        <v>43798</v>
      </c>
      <c r="T13264" t="s">
        <v>44488</v>
      </c>
      <c r="U13264" t="s">
        <v>46039</v>
      </c>
      <c r="W13264" t="s">
        <v>42194</v>
      </c>
      <c r="X13264" t="s">
        <v>42699</v>
      </c>
    </row>
    <row r="13265" spans="1:24">
      <c r="A13265">
        <f>HYPERLINK("https://www.philgeps.gov.ph/GEPSNONPILOT/Tender/SplashBidNoticeAbstractUI.aspx?menuIndex=3&amp;refID=7136057&amp;Result=3","7136057")</f>
        <v>0</v>
      </c>
      <c r="B13265" t="s">
        <v>3441</v>
      </c>
      <c r="C13265" t="s">
        <v>16223</v>
      </c>
      <c r="D13265" t="s">
        <v>17207</v>
      </c>
      <c r="E13265" t="s">
        <v>28553</v>
      </c>
      <c r="F13265" t="s">
        <v>29372</v>
      </c>
      <c r="G13265" t="s">
        <v>29380</v>
      </c>
      <c r="H13265" t="s">
        <v>29389</v>
      </c>
      <c r="I13265" t="s">
        <v>10408</v>
      </c>
      <c r="J13265" t="s">
        <v>37890</v>
      </c>
      <c r="K13265" t="s">
        <v>38598</v>
      </c>
      <c r="M13265" t="s">
        <v>42550</v>
      </c>
      <c r="N13265" t="s">
        <v>42669</v>
      </c>
      <c r="O13265" t="s">
        <v>42670</v>
      </c>
      <c r="P13265">
        <v>0</v>
      </c>
      <c r="Q13265">
        <v>5</v>
      </c>
      <c r="R13265" t="s">
        <v>42692</v>
      </c>
      <c r="S13265" t="s">
        <v>43798</v>
      </c>
      <c r="T13265" t="s">
        <v>44432</v>
      </c>
      <c r="U13265" t="s">
        <v>55604</v>
      </c>
      <c r="W13265" t="s">
        <v>42550</v>
      </c>
      <c r="X13265" t="s">
        <v>42700</v>
      </c>
    </row>
    <row r="13266" spans="1:24">
      <c r="A13266">
        <f>HYPERLINK("https://www.philgeps.gov.ph/GEPSNONPILOT/Tender/SplashBidNoticeAbstractUI.aspx?menuIndex=3&amp;refID=7136056&amp;Result=3","7136056")</f>
        <v>0</v>
      </c>
      <c r="B13266" t="s">
        <v>3441</v>
      </c>
      <c r="C13266" t="s">
        <v>16224</v>
      </c>
      <c r="D13266" t="s">
        <v>17207</v>
      </c>
      <c r="E13266" t="s">
        <v>28554</v>
      </c>
      <c r="F13266" t="s">
        <v>29372</v>
      </c>
      <c r="G13266" t="s">
        <v>29380</v>
      </c>
      <c r="H13266" t="s">
        <v>29389</v>
      </c>
      <c r="I13266" t="s">
        <v>10408</v>
      </c>
      <c r="J13266" t="s">
        <v>37891</v>
      </c>
      <c r="K13266" t="s">
        <v>38520</v>
      </c>
      <c r="M13266" t="s">
        <v>42550</v>
      </c>
      <c r="N13266" t="s">
        <v>42669</v>
      </c>
      <c r="O13266" t="s">
        <v>42670</v>
      </c>
      <c r="P13266">
        <v>0</v>
      </c>
      <c r="Q13266">
        <v>3</v>
      </c>
      <c r="R13266" t="s">
        <v>42692</v>
      </c>
      <c r="S13266" t="s">
        <v>43798</v>
      </c>
      <c r="T13266" t="s">
        <v>44432</v>
      </c>
      <c r="U13266" t="s">
        <v>55605</v>
      </c>
      <c r="W13266" t="s">
        <v>42550</v>
      </c>
      <c r="X13266" t="s">
        <v>42700</v>
      </c>
    </row>
    <row r="13267" spans="1:24">
      <c r="A13267">
        <f>HYPERLINK("https://www.philgeps.gov.ph/GEPSNONPILOT/Tender/SplashBidNoticeAbstractUI.aspx?menuIndex=3&amp;refID=7133546&amp;Result=3","7133546")</f>
        <v>0</v>
      </c>
      <c r="B13267" t="s">
        <v>949</v>
      </c>
      <c r="C13267" t="s">
        <v>16225</v>
      </c>
      <c r="D13267" t="s">
        <v>17186</v>
      </c>
      <c r="E13267" t="s">
        <v>28555</v>
      </c>
      <c r="F13267" t="s">
        <v>29372</v>
      </c>
      <c r="G13267" t="s">
        <v>29380</v>
      </c>
      <c r="H13267" t="s">
        <v>11048</v>
      </c>
      <c r="I13267" t="s">
        <v>29436</v>
      </c>
      <c r="J13267" t="s">
        <v>30244</v>
      </c>
      <c r="K13267" t="s">
        <v>38522</v>
      </c>
      <c r="M13267" t="s">
        <v>42152</v>
      </c>
      <c r="N13267" t="s">
        <v>42669</v>
      </c>
      <c r="O13267" t="s">
        <v>42670</v>
      </c>
      <c r="P13267">
        <v>0</v>
      </c>
      <c r="Q13267">
        <v>15</v>
      </c>
      <c r="R13267" t="s">
        <v>42692</v>
      </c>
      <c r="S13267" t="s">
        <v>43798</v>
      </c>
      <c r="T13267" t="s">
        <v>44489</v>
      </c>
      <c r="U13267" t="s">
        <v>55606</v>
      </c>
      <c r="V13267" t="s">
        <v>57892</v>
      </c>
      <c r="W13267" t="s">
        <v>42152</v>
      </c>
      <c r="X13267" t="s">
        <v>42702</v>
      </c>
    </row>
    <row r="13268" spans="1:24">
      <c r="A13268">
        <f>HYPERLINK("https://www.philgeps.gov.ph/GEPSNONPILOT/Tender/SplashBidNoticeAbstractUI.aspx?menuIndex=3&amp;refID=7155223&amp;Result=3","7155223")</f>
        <v>0</v>
      </c>
      <c r="B13268" t="s">
        <v>1966</v>
      </c>
      <c r="C13268" t="s">
        <v>16226</v>
      </c>
      <c r="D13268" t="s">
        <v>17169</v>
      </c>
      <c r="E13268" t="s">
        <v>28556</v>
      </c>
      <c r="F13268" t="s">
        <v>29372</v>
      </c>
      <c r="G13268" t="s">
        <v>29380</v>
      </c>
      <c r="H13268" t="s">
        <v>11048</v>
      </c>
      <c r="I13268" t="s">
        <v>9469</v>
      </c>
      <c r="J13268" t="s">
        <v>37892</v>
      </c>
      <c r="K13268" t="s">
        <v>38485</v>
      </c>
      <c r="M13268" t="s">
        <v>40851</v>
      </c>
      <c r="N13268" t="s">
        <v>42669</v>
      </c>
      <c r="O13268" t="s">
        <v>42670</v>
      </c>
      <c r="P13268">
        <v>0</v>
      </c>
      <c r="Q13268">
        <v>5</v>
      </c>
      <c r="R13268" t="s">
        <v>42691</v>
      </c>
      <c r="S13268" t="s">
        <v>43726</v>
      </c>
      <c r="T13268" t="s">
        <v>44373</v>
      </c>
      <c r="U13268" t="s">
        <v>55607</v>
      </c>
      <c r="W13268" t="s">
        <v>40851</v>
      </c>
      <c r="X13268" t="s">
        <v>42692</v>
      </c>
    </row>
    <row r="13269" spans="1:24">
      <c r="A13269">
        <f>HYPERLINK("https://www.philgeps.gov.ph/GEPSNONPILOT/Tender/SplashBidNoticeAbstractUI.aspx?menuIndex=3&amp;refID=7133427&amp;Result=3","7133427")</f>
        <v>0</v>
      </c>
      <c r="B13269" t="s">
        <v>949</v>
      </c>
      <c r="C13269" t="s">
        <v>16227</v>
      </c>
      <c r="D13269" t="s">
        <v>17186</v>
      </c>
      <c r="E13269" t="s">
        <v>28557</v>
      </c>
      <c r="F13269" t="s">
        <v>29372</v>
      </c>
      <c r="G13269" t="s">
        <v>29380</v>
      </c>
      <c r="H13269" t="s">
        <v>11048</v>
      </c>
      <c r="I13269" t="s">
        <v>29436</v>
      </c>
      <c r="J13269" t="s">
        <v>29774</v>
      </c>
      <c r="K13269" t="s">
        <v>38496</v>
      </c>
      <c r="M13269" t="s">
        <v>42152</v>
      </c>
      <c r="N13269" t="s">
        <v>42669</v>
      </c>
      <c r="O13269" t="s">
        <v>42670</v>
      </c>
      <c r="P13269">
        <v>0</v>
      </c>
      <c r="Q13269">
        <v>14</v>
      </c>
      <c r="R13269" t="s">
        <v>42692</v>
      </c>
      <c r="S13269" t="s">
        <v>43798</v>
      </c>
      <c r="T13269" t="s">
        <v>44491</v>
      </c>
      <c r="U13269" t="s">
        <v>55608</v>
      </c>
      <c r="V13269" t="s">
        <v>57859</v>
      </c>
      <c r="W13269" t="s">
        <v>42152</v>
      </c>
      <c r="X13269" t="s">
        <v>42702</v>
      </c>
    </row>
    <row r="13270" spans="1:24">
      <c r="A13270">
        <f>HYPERLINK("https://www.philgeps.gov.ph/GEPSNONPILOT/Tender/SplashBidNoticeAbstractUI.aspx?menuIndex=3&amp;refID=7155196&amp;Result=3","7155196")</f>
        <v>0</v>
      </c>
      <c r="B13270" t="s">
        <v>2093</v>
      </c>
      <c r="C13270" t="s">
        <v>16228</v>
      </c>
      <c r="D13270" t="s">
        <v>17141</v>
      </c>
      <c r="E13270" t="s">
        <v>17401</v>
      </c>
      <c r="F13270" t="s">
        <v>29372</v>
      </c>
      <c r="G13270" t="s">
        <v>29380</v>
      </c>
      <c r="H13270" t="s">
        <v>11048</v>
      </c>
      <c r="I13270" t="s">
        <v>3670</v>
      </c>
      <c r="J13270" t="s">
        <v>37893</v>
      </c>
      <c r="K13270" t="s">
        <v>38486</v>
      </c>
      <c r="M13270" t="s">
        <v>40995</v>
      </c>
      <c r="N13270" t="s">
        <v>42669</v>
      </c>
      <c r="O13270" t="s">
        <v>42670</v>
      </c>
      <c r="P13270">
        <v>0</v>
      </c>
      <c r="Q13270">
        <v>3</v>
      </c>
      <c r="R13270" t="s">
        <v>42691</v>
      </c>
      <c r="S13270" t="s">
        <v>43726</v>
      </c>
      <c r="T13270" t="s">
        <v>44770</v>
      </c>
      <c r="U13270" t="s">
        <v>55609</v>
      </c>
      <c r="V13270" t="s">
        <v>56381</v>
      </c>
      <c r="W13270" t="s">
        <v>40995</v>
      </c>
      <c r="X13270" t="s">
        <v>42692</v>
      </c>
    </row>
    <row r="13271" spans="1:24">
      <c r="A13271">
        <f>HYPERLINK("https://www.philgeps.gov.ph/GEPSNONPILOT/Tender/SplashBidNoticeAbstractUI.aspx?menuIndex=3&amp;refID=7155232&amp;Result=3","7155232")</f>
        <v>0</v>
      </c>
      <c r="B13271" t="s">
        <v>378</v>
      </c>
      <c r="C13271" t="s">
        <v>16229</v>
      </c>
      <c r="D13271" t="s">
        <v>17151</v>
      </c>
      <c r="E13271" t="s">
        <v>28558</v>
      </c>
      <c r="F13271" t="s">
        <v>29372</v>
      </c>
      <c r="G13271" t="s">
        <v>29380</v>
      </c>
      <c r="H13271" t="s">
        <v>11048</v>
      </c>
      <c r="I13271" t="s">
        <v>29425</v>
      </c>
      <c r="J13271" t="s">
        <v>29541</v>
      </c>
      <c r="K13271" t="s">
        <v>38485</v>
      </c>
      <c r="M13271" t="s">
        <v>41214</v>
      </c>
      <c r="N13271" t="s">
        <v>42669</v>
      </c>
      <c r="O13271" t="s">
        <v>42670</v>
      </c>
      <c r="P13271">
        <v>0</v>
      </c>
      <c r="Q13271">
        <v>6</v>
      </c>
      <c r="R13271" t="s">
        <v>42691</v>
      </c>
      <c r="S13271" t="s">
        <v>43726</v>
      </c>
      <c r="T13271" t="s">
        <v>44493</v>
      </c>
      <c r="U13271" t="s">
        <v>55610</v>
      </c>
      <c r="W13271" t="s">
        <v>41215</v>
      </c>
      <c r="X13271" t="s">
        <v>42692</v>
      </c>
    </row>
    <row r="13272" spans="1:24">
      <c r="A13272">
        <f>HYPERLINK("https://www.philgeps.gov.ph/GEPSNONPILOT/Tender/SplashBidNoticeAbstractUI.aspx?menuIndex=3&amp;refID=7139698&amp;Result=3","7139698")</f>
        <v>0</v>
      </c>
      <c r="B13272" t="s">
        <v>3147</v>
      </c>
      <c r="C13272" t="s">
        <v>16230</v>
      </c>
      <c r="D13272" t="s">
        <v>17198</v>
      </c>
      <c r="E13272" t="s">
        <v>28559</v>
      </c>
      <c r="F13272" t="s">
        <v>29372</v>
      </c>
      <c r="G13272" t="s">
        <v>29380</v>
      </c>
      <c r="H13272" t="s">
        <v>29389</v>
      </c>
      <c r="I13272" t="s">
        <v>10408</v>
      </c>
      <c r="J13272" t="s">
        <v>37894</v>
      </c>
      <c r="K13272" t="s">
        <v>38556</v>
      </c>
      <c r="M13272" t="s">
        <v>42194</v>
      </c>
      <c r="N13272" t="s">
        <v>42669</v>
      </c>
      <c r="O13272" t="s">
        <v>42670</v>
      </c>
      <c r="P13272">
        <v>0</v>
      </c>
      <c r="Q13272">
        <v>1</v>
      </c>
      <c r="R13272" t="s">
        <v>42692</v>
      </c>
      <c r="S13272" t="s">
        <v>43798</v>
      </c>
      <c r="T13272" t="s">
        <v>44488</v>
      </c>
      <c r="U13272" t="s">
        <v>46039</v>
      </c>
      <c r="W13272" t="s">
        <v>42194</v>
      </c>
      <c r="X13272" t="s">
        <v>42699</v>
      </c>
    </row>
    <row r="13273" spans="1:24">
      <c r="A13273">
        <f>HYPERLINK("https://www.philgeps.gov.ph/GEPSNONPILOT/Tender/SplashBidNoticeAbstractUI.aspx?menuIndex=3&amp;refID=7155241&amp;Result=3","7155241")</f>
        <v>0</v>
      </c>
      <c r="B13273" t="s">
        <v>378</v>
      </c>
      <c r="C13273" t="s">
        <v>16231</v>
      </c>
      <c r="D13273" t="s">
        <v>17151</v>
      </c>
      <c r="E13273" t="s">
        <v>28560</v>
      </c>
      <c r="F13273" t="s">
        <v>29372</v>
      </c>
      <c r="G13273" t="s">
        <v>29380</v>
      </c>
      <c r="H13273" t="s">
        <v>11048</v>
      </c>
      <c r="I13273" t="s">
        <v>4709</v>
      </c>
      <c r="J13273" t="s">
        <v>31893</v>
      </c>
      <c r="K13273" t="s">
        <v>38495</v>
      </c>
      <c r="M13273" t="s">
        <v>41214</v>
      </c>
      <c r="N13273" t="s">
        <v>42669</v>
      </c>
      <c r="O13273" t="s">
        <v>42670</v>
      </c>
      <c r="P13273">
        <v>0</v>
      </c>
      <c r="Q13273">
        <v>1</v>
      </c>
      <c r="R13273" t="s">
        <v>42691</v>
      </c>
      <c r="S13273" t="s">
        <v>43726</v>
      </c>
      <c r="T13273" t="s">
        <v>44493</v>
      </c>
      <c r="U13273" t="s">
        <v>55611</v>
      </c>
      <c r="W13273" t="s">
        <v>41215</v>
      </c>
      <c r="X13273" t="s">
        <v>42692</v>
      </c>
    </row>
    <row r="13274" spans="1:24">
      <c r="A13274">
        <f>HYPERLINK("https://www.philgeps.gov.ph/GEPSNONPILOT/Tender/SplashBidNoticeAbstractUI.aspx?menuIndex=3&amp;refID=7155206&amp;Result=3","7155206")</f>
        <v>0</v>
      </c>
      <c r="B13274" t="s">
        <v>511</v>
      </c>
      <c r="C13274" t="s">
        <v>16232</v>
      </c>
      <c r="D13274" t="s">
        <v>17163</v>
      </c>
      <c r="E13274" t="s">
        <v>28561</v>
      </c>
      <c r="F13274" t="s">
        <v>29372</v>
      </c>
      <c r="G13274" t="s">
        <v>29380</v>
      </c>
      <c r="H13274" t="s">
        <v>11048</v>
      </c>
      <c r="I13274" t="s">
        <v>29433</v>
      </c>
      <c r="J13274" t="s">
        <v>37895</v>
      </c>
      <c r="K13274" t="s">
        <v>38490</v>
      </c>
      <c r="M13274" t="s">
        <v>39278</v>
      </c>
      <c r="N13274" t="s">
        <v>42669</v>
      </c>
      <c r="O13274" t="s">
        <v>42670</v>
      </c>
      <c r="Q13274">
        <v>44</v>
      </c>
      <c r="R13274" t="s">
        <v>42691</v>
      </c>
      <c r="S13274" t="s">
        <v>43799</v>
      </c>
      <c r="T13274" t="s">
        <v>44432</v>
      </c>
      <c r="U13274" t="s">
        <v>55612</v>
      </c>
      <c r="V13274" t="s">
        <v>57782</v>
      </c>
      <c r="W13274" t="s">
        <v>39278</v>
      </c>
      <c r="X13274" t="s">
        <v>42692</v>
      </c>
    </row>
    <row r="13275" spans="1:24">
      <c r="A13275">
        <f>HYPERLINK("https://www.philgeps.gov.ph/GEPSNONPILOT/Tender/SplashBidNoticeAbstractUI.aspx?menuIndex=3&amp;refID=7149270&amp;Result=3","7149270")</f>
        <v>0</v>
      </c>
      <c r="B13275" t="s">
        <v>219</v>
      </c>
      <c r="C13275" t="s">
        <v>16233</v>
      </c>
      <c r="D13275" t="s">
        <v>17176</v>
      </c>
      <c r="E13275" t="s">
        <v>28562</v>
      </c>
      <c r="F13275" t="s">
        <v>29372</v>
      </c>
      <c r="G13275" t="s">
        <v>29380</v>
      </c>
      <c r="H13275" t="s">
        <v>11048</v>
      </c>
      <c r="I13275" t="s">
        <v>4709</v>
      </c>
      <c r="J13275" t="s">
        <v>37896</v>
      </c>
      <c r="K13275" t="s">
        <v>38488</v>
      </c>
      <c r="M13275" t="s">
        <v>38978</v>
      </c>
      <c r="N13275" t="s">
        <v>42669</v>
      </c>
      <c r="O13275" t="s">
        <v>42670</v>
      </c>
      <c r="P13275">
        <v>0</v>
      </c>
      <c r="Q13275">
        <v>0</v>
      </c>
      <c r="R13275" t="s">
        <v>42692</v>
      </c>
      <c r="S13275" t="s">
        <v>43798</v>
      </c>
      <c r="T13275" t="s">
        <v>44382</v>
      </c>
      <c r="U13275" t="s">
        <v>55613</v>
      </c>
      <c r="W13275" t="s">
        <v>38978</v>
      </c>
      <c r="X13275" t="s">
        <v>42693</v>
      </c>
    </row>
    <row r="13276" spans="1:24">
      <c r="A13276">
        <f>HYPERLINK("https://www.philgeps.gov.ph/GEPSNONPILOT/Tender/SplashBidNoticeAbstractUI.aspx?menuIndex=3&amp;refID=7149252&amp;Result=3","7149252")</f>
        <v>0</v>
      </c>
      <c r="B13276" t="s">
        <v>278</v>
      </c>
      <c r="C13276" t="s">
        <v>16234</v>
      </c>
      <c r="D13276" t="s">
        <v>17206</v>
      </c>
      <c r="E13276" t="s">
        <v>28563</v>
      </c>
      <c r="F13276" t="s">
        <v>29372</v>
      </c>
      <c r="G13276" t="s">
        <v>29382</v>
      </c>
      <c r="H13276" t="s">
        <v>11048</v>
      </c>
      <c r="I13276" t="s">
        <v>3952</v>
      </c>
      <c r="J13276" t="s">
        <v>29694</v>
      </c>
      <c r="K13276" t="s">
        <v>38485</v>
      </c>
      <c r="M13276" t="s">
        <v>41697</v>
      </c>
      <c r="N13276" t="s">
        <v>42669</v>
      </c>
      <c r="O13276" t="s">
        <v>42670</v>
      </c>
      <c r="Q13276">
        <v>3</v>
      </c>
      <c r="R13276" t="s">
        <v>42692</v>
      </c>
      <c r="S13276" t="s">
        <v>43800</v>
      </c>
      <c r="T13276" t="s">
        <v>44427</v>
      </c>
      <c r="U13276" t="s">
        <v>55614</v>
      </c>
      <c r="W13276" t="s">
        <v>41697</v>
      </c>
      <c r="X13276" t="s">
        <v>42693</v>
      </c>
    </row>
    <row r="13277" spans="1:24">
      <c r="A13277">
        <f>HYPERLINK("https://www.philgeps.gov.ph/GEPSNONPILOT/Tender/SplashBidNoticeAbstractUI.aspx?menuIndex=3&amp;refID=7149251&amp;Result=3","7149251")</f>
        <v>0</v>
      </c>
      <c r="B13277" t="s">
        <v>278</v>
      </c>
      <c r="C13277" t="s">
        <v>16235</v>
      </c>
      <c r="D13277" t="s">
        <v>17206</v>
      </c>
      <c r="E13277" t="s">
        <v>28564</v>
      </c>
      <c r="F13277" t="s">
        <v>29372</v>
      </c>
      <c r="G13277" t="s">
        <v>29382</v>
      </c>
      <c r="H13277" t="s">
        <v>11048</v>
      </c>
      <c r="I13277" t="s">
        <v>3839</v>
      </c>
      <c r="J13277" t="s">
        <v>29604</v>
      </c>
      <c r="K13277" t="s">
        <v>38485</v>
      </c>
      <c r="M13277" t="s">
        <v>41697</v>
      </c>
      <c r="N13277" t="s">
        <v>42669</v>
      </c>
      <c r="O13277" t="s">
        <v>42670</v>
      </c>
      <c r="Q13277">
        <v>1</v>
      </c>
      <c r="R13277" t="s">
        <v>42692</v>
      </c>
      <c r="S13277" t="s">
        <v>43800</v>
      </c>
      <c r="T13277" t="s">
        <v>44427</v>
      </c>
      <c r="U13277" t="s">
        <v>55615</v>
      </c>
      <c r="W13277" t="s">
        <v>41697</v>
      </c>
      <c r="X13277" t="s">
        <v>42693</v>
      </c>
    </row>
    <row r="13278" spans="1:24">
      <c r="A13278">
        <f>HYPERLINK("https://www.philgeps.gov.ph/GEPSNONPILOT/Tender/SplashBidNoticeAbstractUI.aspx?menuIndex=3&amp;refID=7149214&amp;Result=3","7149214")</f>
        <v>0</v>
      </c>
      <c r="B13278" t="s">
        <v>40</v>
      </c>
      <c r="C13278" t="s">
        <v>16236</v>
      </c>
      <c r="D13278" t="s">
        <v>17151</v>
      </c>
      <c r="E13278" t="s">
        <v>28565</v>
      </c>
      <c r="F13278" t="s">
        <v>29372</v>
      </c>
      <c r="G13278" t="s">
        <v>29380</v>
      </c>
      <c r="H13278" t="s">
        <v>11048</v>
      </c>
      <c r="I13278" t="s">
        <v>29394</v>
      </c>
      <c r="J13278" t="s">
        <v>37897</v>
      </c>
      <c r="K13278" t="s">
        <v>38496</v>
      </c>
      <c r="M13278" t="s">
        <v>38793</v>
      </c>
      <c r="N13278" t="s">
        <v>42669</v>
      </c>
      <c r="O13278" t="s">
        <v>42670</v>
      </c>
      <c r="P13278">
        <v>0</v>
      </c>
      <c r="Q13278">
        <v>1</v>
      </c>
      <c r="R13278" t="s">
        <v>42692</v>
      </c>
      <c r="S13278" t="s">
        <v>43798</v>
      </c>
      <c r="T13278" t="s">
        <v>44631</v>
      </c>
      <c r="U13278" t="s">
        <v>55616</v>
      </c>
      <c r="V13278" t="s">
        <v>56328</v>
      </c>
      <c r="W13278" t="s">
        <v>38793</v>
      </c>
      <c r="X13278" t="s">
        <v>42693</v>
      </c>
    </row>
    <row r="13279" spans="1:24">
      <c r="A13279">
        <f>HYPERLINK("https://www.philgeps.gov.ph/GEPSNONPILOT/Tender/SplashBidNoticeAbstractUI.aspx?menuIndex=3&amp;refID=7149344&amp;Result=3","7149344")</f>
        <v>0</v>
      </c>
      <c r="B13279" t="s">
        <v>3442</v>
      </c>
      <c r="C13279" t="s">
        <v>16237</v>
      </c>
      <c r="D13279" t="s">
        <v>17186</v>
      </c>
      <c r="E13279" t="s">
        <v>28566</v>
      </c>
      <c r="F13279" t="s">
        <v>29372</v>
      </c>
      <c r="G13279" t="s">
        <v>29380</v>
      </c>
      <c r="H13279" t="s">
        <v>29389</v>
      </c>
      <c r="I13279" t="s">
        <v>29417</v>
      </c>
      <c r="J13279" t="s">
        <v>29526</v>
      </c>
      <c r="K13279" t="s">
        <v>38485</v>
      </c>
      <c r="M13279" t="s">
        <v>42551</v>
      </c>
      <c r="N13279" t="s">
        <v>42669</v>
      </c>
      <c r="O13279" t="s">
        <v>42670</v>
      </c>
      <c r="P13279">
        <v>0</v>
      </c>
      <c r="Q13279">
        <v>1</v>
      </c>
      <c r="R13279" t="s">
        <v>42692</v>
      </c>
      <c r="S13279" t="s">
        <v>43798</v>
      </c>
      <c r="T13279" t="s">
        <v>44488</v>
      </c>
      <c r="U13279" t="s">
        <v>55617</v>
      </c>
      <c r="V13279" t="s">
        <v>57893</v>
      </c>
      <c r="W13279" t="s">
        <v>42551</v>
      </c>
      <c r="X13279" t="s">
        <v>42693</v>
      </c>
    </row>
    <row r="13280" spans="1:24">
      <c r="A13280">
        <f>HYPERLINK("https://www.philgeps.gov.ph/GEPSNONPILOT/Tender/SplashBidNoticeAbstractUI.aspx?menuIndex=3&amp;refID=7143991&amp;Result=3","7143991")</f>
        <v>0</v>
      </c>
      <c r="B13280" t="s">
        <v>1334</v>
      </c>
      <c r="C13280" t="s">
        <v>16238</v>
      </c>
      <c r="D13280" t="s">
        <v>17182</v>
      </c>
      <c r="E13280" t="s">
        <v>28567</v>
      </c>
      <c r="F13280" t="s">
        <v>29372</v>
      </c>
      <c r="G13280" t="s">
        <v>29380</v>
      </c>
      <c r="H13280" t="s">
        <v>11048</v>
      </c>
      <c r="I13280" t="s">
        <v>5383</v>
      </c>
      <c r="J13280" t="s">
        <v>37898</v>
      </c>
      <c r="K13280" t="s">
        <v>38510</v>
      </c>
      <c r="M13280" t="s">
        <v>42552</v>
      </c>
      <c r="N13280" t="s">
        <v>42669</v>
      </c>
      <c r="O13280" t="s">
        <v>42670</v>
      </c>
      <c r="P13280">
        <v>0</v>
      </c>
      <c r="Q13280">
        <v>5</v>
      </c>
      <c r="R13280" t="s">
        <v>42692</v>
      </c>
      <c r="S13280" t="s">
        <v>43798</v>
      </c>
      <c r="T13280" t="s">
        <v>44651</v>
      </c>
      <c r="U13280" t="s">
        <v>55618</v>
      </c>
      <c r="W13280" t="s">
        <v>42552</v>
      </c>
      <c r="X13280" t="s">
        <v>42698</v>
      </c>
    </row>
    <row r="13281" spans="1:24">
      <c r="A13281">
        <f>HYPERLINK("https://www.philgeps.gov.ph/GEPSNONPILOT/Tender/SplashBidNoticeAbstractUI.aspx?menuIndex=3&amp;refID=7146546&amp;Result=3","7146546")</f>
        <v>0</v>
      </c>
      <c r="B13281" t="s">
        <v>3443</v>
      </c>
      <c r="C13281" t="s">
        <v>16239</v>
      </c>
      <c r="D13281" t="s">
        <v>17190</v>
      </c>
      <c r="E13281" t="s">
        <v>28568</v>
      </c>
      <c r="F13281" t="s">
        <v>29372</v>
      </c>
      <c r="G13281" t="s">
        <v>29380</v>
      </c>
      <c r="H13281" t="s">
        <v>29389</v>
      </c>
      <c r="I13281" t="s">
        <v>10408</v>
      </c>
      <c r="J13281" t="s">
        <v>37899</v>
      </c>
      <c r="K13281" t="s">
        <v>38496</v>
      </c>
      <c r="M13281" t="s">
        <v>42553</v>
      </c>
      <c r="N13281" t="s">
        <v>42669</v>
      </c>
      <c r="O13281" t="s">
        <v>42670</v>
      </c>
      <c r="P13281">
        <v>0</v>
      </c>
      <c r="Q13281">
        <v>0</v>
      </c>
      <c r="R13281" t="s">
        <v>42692</v>
      </c>
      <c r="S13281" t="s">
        <v>43798</v>
      </c>
      <c r="T13281" t="s">
        <v>44432</v>
      </c>
      <c r="U13281" t="s">
        <v>55619</v>
      </c>
      <c r="W13281" t="s">
        <v>42553</v>
      </c>
      <c r="X13281" t="s">
        <v>42697</v>
      </c>
    </row>
    <row r="13282" spans="1:24">
      <c r="A13282">
        <f>HYPERLINK("https://www.philgeps.gov.ph/GEPSNONPILOT/Tender/SplashBidNoticeAbstractUI.aspx?menuIndex=3&amp;refID=7146890&amp;Result=3","7146890")</f>
        <v>0</v>
      </c>
      <c r="B13282" t="s">
        <v>3443</v>
      </c>
      <c r="C13282" t="s">
        <v>16240</v>
      </c>
      <c r="D13282" t="s">
        <v>17190</v>
      </c>
      <c r="E13282" t="s">
        <v>28569</v>
      </c>
      <c r="F13282" t="s">
        <v>29372</v>
      </c>
      <c r="G13282" t="s">
        <v>29380</v>
      </c>
      <c r="H13282" t="s">
        <v>29389</v>
      </c>
      <c r="I13282" t="s">
        <v>10408</v>
      </c>
      <c r="J13282" t="s">
        <v>37900</v>
      </c>
      <c r="K13282" t="s">
        <v>38565</v>
      </c>
      <c r="M13282" t="s">
        <v>42553</v>
      </c>
      <c r="N13282" t="s">
        <v>42669</v>
      </c>
      <c r="O13282" t="s">
        <v>42670</v>
      </c>
      <c r="P13282">
        <v>0</v>
      </c>
      <c r="Q13282">
        <v>0</v>
      </c>
      <c r="R13282" t="s">
        <v>42692</v>
      </c>
      <c r="S13282" t="s">
        <v>43798</v>
      </c>
      <c r="T13282" t="s">
        <v>44432</v>
      </c>
      <c r="U13282" t="s">
        <v>55620</v>
      </c>
      <c r="W13282" t="s">
        <v>42553</v>
      </c>
      <c r="X13282" t="s">
        <v>42697</v>
      </c>
    </row>
    <row r="13283" spans="1:24">
      <c r="A13283">
        <f>HYPERLINK("https://www.philgeps.gov.ph/GEPSNONPILOT/Tender/SplashBidNoticeAbstractUI.aspx?menuIndex=3&amp;refID=7145622&amp;Result=3","7145622")</f>
        <v>0</v>
      </c>
      <c r="B13283" t="s">
        <v>278</v>
      </c>
      <c r="C13283" t="s">
        <v>16241</v>
      </c>
      <c r="D13283" t="s">
        <v>17206</v>
      </c>
      <c r="E13283" t="s">
        <v>28570</v>
      </c>
      <c r="F13283" t="s">
        <v>29372</v>
      </c>
      <c r="G13283" t="s">
        <v>29382</v>
      </c>
      <c r="H13283" t="s">
        <v>11048</v>
      </c>
      <c r="I13283" t="s">
        <v>3670</v>
      </c>
      <c r="J13283" t="s">
        <v>37901</v>
      </c>
      <c r="K13283" t="s">
        <v>38485</v>
      </c>
      <c r="M13283" t="s">
        <v>41697</v>
      </c>
      <c r="N13283" t="s">
        <v>42669</v>
      </c>
      <c r="O13283" t="s">
        <v>42670</v>
      </c>
      <c r="Q13283">
        <v>3</v>
      </c>
      <c r="R13283" t="s">
        <v>42692</v>
      </c>
      <c r="S13283" t="s">
        <v>43801</v>
      </c>
      <c r="T13283" t="s">
        <v>44427</v>
      </c>
      <c r="U13283" t="s">
        <v>55621</v>
      </c>
      <c r="W13283" t="s">
        <v>41697</v>
      </c>
      <c r="X13283" t="s">
        <v>42697</v>
      </c>
    </row>
    <row r="13284" spans="1:24">
      <c r="A13284">
        <f>HYPERLINK("https://www.philgeps.gov.ph/GEPSNONPILOT/Tender/SplashBidNoticeAbstractUI.aspx?menuIndex=3&amp;refID=7149588&amp;Result=3","7149588")</f>
        <v>0</v>
      </c>
      <c r="B13284" t="s">
        <v>544</v>
      </c>
      <c r="C13284" t="s">
        <v>16242</v>
      </c>
      <c r="D13284" t="s">
        <v>17219</v>
      </c>
      <c r="E13284" t="s">
        <v>28571</v>
      </c>
      <c r="F13284" t="s">
        <v>29372</v>
      </c>
      <c r="G13284" t="s">
        <v>29380</v>
      </c>
      <c r="H13284" t="s">
        <v>11048</v>
      </c>
      <c r="I13284" t="s">
        <v>14920</v>
      </c>
      <c r="J13284" t="s">
        <v>37902</v>
      </c>
      <c r="K13284" t="s">
        <v>38490</v>
      </c>
      <c r="M13284" t="s">
        <v>42554</v>
      </c>
      <c r="N13284" t="s">
        <v>42669</v>
      </c>
      <c r="O13284" t="s">
        <v>42670</v>
      </c>
      <c r="Q13284">
        <v>3</v>
      </c>
      <c r="R13284" t="s">
        <v>42692</v>
      </c>
      <c r="S13284" t="s">
        <v>43802</v>
      </c>
      <c r="T13284" t="s">
        <v>44427</v>
      </c>
      <c r="U13284" t="s">
        <v>55622</v>
      </c>
      <c r="W13284" t="s">
        <v>42554</v>
      </c>
      <c r="X13284" t="s">
        <v>42693</v>
      </c>
    </row>
    <row r="13285" spans="1:24">
      <c r="A13285">
        <f>HYPERLINK("https://www.philgeps.gov.ph/GEPSNONPILOT/Tender/SplashBidNoticeAbstractUI.aspx?menuIndex=3&amp;refID=7149540&amp;Result=3","7149540")</f>
        <v>0</v>
      </c>
      <c r="B13285" t="s">
        <v>1376</v>
      </c>
      <c r="C13285" t="s">
        <v>16243</v>
      </c>
      <c r="D13285" t="s">
        <v>17161</v>
      </c>
      <c r="E13285" t="s">
        <v>28572</v>
      </c>
      <c r="F13285" t="s">
        <v>29372</v>
      </c>
      <c r="G13285" t="s">
        <v>29380</v>
      </c>
      <c r="H13285" t="s">
        <v>29389</v>
      </c>
      <c r="I13285" t="s">
        <v>10408</v>
      </c>
      <c r="J13285" t="s">
        <v>29543</v>
      </c>
      <c r="K13285" t="s">
        <v>38496</v>
      </c>
      <c r="M13285" t="s">
        <v>40213</v>
      </c>
      <c r="N13285" t="s">
        <v>42669</v>
      </c>
      <c r="O13285" t="s">
        <v>42670</v>
      </c>
      <c r="Q13285">
        <v>0</v>
      </c>
      <c r="R13285" t="s">
        <v>42692</v>
      </c>
      <c r="S13285" t="s">
        <v>43803</v>
      </c>
      <c r="T13285" t="s">
        <v>44491</v>
      </c>
      <c r="U13285" t="s">
        <v>55623</v>
      </c>
      <c r="V13285" t="s">
        <v>56711</v>
      </c>
      <c r="W13285" t="s">
        <v>40213</v>
      </c>
      <c r="X13285" t="s">
        <v>42693</v>
      </c>
    </row>
    <row r="13286" spans="1:24">
      <c r="A13286">
        <f>HYPERLINK("https://www.philgeps.gov.ph/GEPSNONPILOT/Tender/SplashBidNoticeAbstractUI.aspx?menuIndex=3&amp;refID=7149517&amp;Result=3","7149517")</f>
        <v>0</v>
      </c>
      <c r="B13286" t="s">
        <v>544</v>
      </c>
      <c r="C13286" t="s">
        <v>16244</v>
      </c>
      <c r="D13286" t="s">
        <v>17184</v>
      </c>
      <c r="E13286" t="s">
        <v>27388</v>
      </c>
      <c r="F13286" t="s">
        <v>29372</v>
      </c>
      <c r="G13286" t="s">
        <v>29380</v>
      </c>
      <c r="H13286" t="s">
        <v>11048</v>
      </c>
      <c r="I13286" t="s">
        <v>14920</v>
      </c>
      <c r="J13286" t="s">
        <v>37903</v>
      </c>
      <c r="K13286" t="s">
        <v>38490</v>
      </c>
      <c r="M13286" t="s">
        <v>42554</v>
      </c>
      <c r="N13286" t="s">
        <v>42669</v>
      </c>
      <c r="O13286" t="s">
        <v>42670</v>
      </c>
      <c r="Q13286">
        <v>3</v>
      </c>
      <c r="R13286" t="s">
        <v>42692</v>
      </c>
      <c r="S13286" t="s">
        <v>43138</v>
      </c>
      <c r="T13286" t="s">
        <v>44427</v>
      </c>
      <c r="U13286" t="s">
        <v>55624</v>
      </c>
      <c r="W13286" t="s">
        <v>42554</v>
      </c>
      <c r="X13286" t="s">
        <v>42693</v>
      </c>
    </row>
    <row r="13287" spans="1:24">
      <c r="A13287">
        <f>HYPERLINK("https://www.philgeps.gov.ph/GEPSNONPILOT/Tender/SplashBidNoticeAbstractUI.aspx?menuIndex=3&amp;refID=7149331&amp;Result=3","7149331")</f>
        <v>0</v>
      </c>
      <c r="B13287" t="s">
        <v>63</v>
      </c>
      <c r="C13287" t="s">
        <v>16245</v>
      </c>
      <c r="D13287" t="s">
        <v>17161</v>
      </c>
      <c r="E13287" t="s">
        <v>28573</v>
      </c>
      <c r="F13287" t="s">
        <v>29372</v>
      </c>
      <c r="G13287" t="s">
        <v>29380</v>
      </c>
      <c r="H13287" t="s">
        <v>11048</v>
      </c>
      <c r="I13287" t="s">
        <v>3952</v>
      </c>
      <c r="J13287" t="s">
        <v>37904</v>
      </c>
      <c r="K13287" t="s">
        <v>38490</v>
      </c>
      <c r="M13287" t="s">
        <v>38817</v>
      </c>
      <c r="N13287" t="s">
        <v>42669</v>
      </c>
      <c r="O13287" t="s">
        <v>42670</v>
      </c>
      <c r="P13287">
        <v>0</v>
      </c>
      <c r="Q13287">
        <v>1</v>
      </c>
      <c r="R13287" t="s">
        <v>42692</v>
      </c>
      <c r="S13287" t="s">
        <v>43798</v>
      </c>
      <c r="T13287" t="s">
        <v>44570</v>
      </c>
      <c r="U13287" t="s">
        <v>55625</v>
      </c>
      <c r="W13287" t="s">
        <v>38817</v>
      </c>
      <c r="X13287" t="s">
        <v>42693</v>
      </c>
    </row>
    <row r="13288" spans="1:24">
      <c r="A13288">
        <f>HYPERLINK("https://www.philgeps.gov.ph/GEPSNONPILOT/Tender/SplashBidNoticeAbstractUI.aspx?menuIndex=3&amp;refID=7149511&amp;Result=3","7149511")</f>
        <v>0</v>
      </c>
      <c r="B13288" t="s">
        <v>3444</v>
      </c>
      <c r="C13288" t="s">
        <v>16246</v>
      </c>
      <c r="D13288" t="s">
        <v>17202</v>
      </c>
      <c r="E13288" t="s">
        <v>28574</v>
      </c>
      <c r="F13288" t="s">
        <v>29372</v>
      </c>
      <c r="G13288" t="s">
        <v>29380</v>
      </c>
      <c r="H13288" t="s">
        <v>11048</v>
      </c>
      <c r="I13288" t="s">
        <v>3839</v>
      </c>
      <c r="J13288" t="s">
        <v>37905</v>
      </c>
      <c r="K13288" t="s">
        <v>38485</v>
      </c>
      <c r="M13288" t="s">
        <v>42555</v>
      </c>
      <c r="N13288" t="s">
        <v>42669</v>
      </c>
      <c r="O13288" t="s">
        <v>42670</v>
      </c>
      <c r="P13288">
        <v>0</v>
      </c>
      <c r="Q13288">
        <v>4</v>
      </c>
      <c r="R13288" t="s">
        <v>42692</v>
      </c>
      <c r="S13288" t="s">
        <v>43798</v>
      </c>
      <c r="T13288" t="s">
        <v>44391</v>
      </c>
      <c r="U13288" t="s">
        <v>55626</v>
      </c>
      <c r="W13288" t="s">
        <v>42555</v>
      </c>
      <c r="X13288" t="s">
        <v>42693</v>
      </c>
    </row>
    <row r="13289" spans="1:24">
      <c r="A13289">
        <f>HYPERLINK("https://www.philgeps.gov.ph/GEPSNONPILOT/Tender/SplashBidNoticeAbstractUI.aspx?menuIndex=3&amp;refID=7145464&amp;Result=3","7145464")</f>
        <v>0</v>
      </c>
      <c r="B13289" t="s">
        <v>2313</v>
      </c>
      <c r="C13289" t="s">
        <v>16247</v>
      </c>
      <c r="D13289" t="s">
        <v>17171</v>
      </c>
      <c r="E13289" t="s">
        <v>28575</v>
      </c>
      <c r="F13289" t="s">
        <v>29372</v>
      </c>
      <c r="G13289" t="s">
        <v>29380</v>
      </c>
      <c r="H13289" t="s">
        <v>11048</v>
      </c>
      <c r="I13289" t="s">
        <v>29398</v>
      </c>
      <c r="J13289" t="s">
        <v>30161</v>
      </c>
      <c r="K13289" t="s">
        <v>38488</v>
      </c>
      <c r="M13289" t="s">
        <v>41244</v>
      </c>
      <c r="N13289" t="s">
        <v>42669</v>
      </c>
      <c r="O13289" t="s">
        <v>42670</v>
      </c>
      <c r="P13289">
        <v>0</v>
      </c>
      <c r="Q13289">
        <v>12</v>
      </c>
      <c r="R13289" t="s">
        <v>42692</v>
      </c>
      <c r="S13289" t="s">
        <v>43798</v>
      </c>
      <c r="T13289" t="s">
        <v>44488</v>
      </c>
      <c r="U13289" t="s">
        <v>55627</v>
      </c>
      <c r="V13289" t="s">
        <v>57894</v>
      </c>
      <c r="W13289" t="s">
        <v>41244</v>
      </c>
      <c r="X13289" t="s">
        <v>42697</v>
      </c>
    </row>
    <row r="13290" spans="1:24">
      <c r="A13290">
        <f>HYPERLINK("https://www.philgeps.gov.ph/GEPSNONPILOT/Tender/SplashBidNoticeAbstractUI.aspx?menuIndex=3&amp;refID=7146357&amp;Result=3","7146357")</f>
        <v>0</v>
      </c>
      <c r="B13290" t="s">
        <v>3443</v>
      </c>
      <c r="C13290" t="s">
        <v>16248</v>
      </c>
      <c r="D13290" t="s">
        <v>17190</v>
      </c>
      <c r="E13290" t="s">
        <v>28576</v>
      </c>
      <c r="F13290" t="s">
        <v>29372</v>
      </c>
      <c r="G13290" t="s">
        <v>29380</v>
      </c>
      <c r="H13290" t="s">
        <v>29389</v>
      </c>
      <c r="I13290" t="s">
        <v>10408</v>
      </c>
      <c r="J13290" t="s">
        <v>37906</v>
      </c>
      <c r="K13290" t="s">
        <v>38496</v>
      </c>
      <c r="M13290" t="s">
        <v>42553</v>
      </c>
      <c r="N13290" t="s">
        <v>42669</v>
      </c>
      <c r="O13290" t="s">
        <v>42670</v>
      </c>
      <c r="P13290">
        <v>0</v>
      </c>
      <c r="Q13290">
        <v>0</v>
      </c>
      <c r="R13290" t="s">
        <v>42692</v>
      </c>
      <c r="S13290" t="s">
        <v>43798</v>
      </c>
      <c r="T13290" t="s">
        <v>44432</v>
      </c>
      <c r="U13290" t="s">
        <v>55628</v>
      </c>
      <c r="W13290" t="s">
        <v>42553</v>
      </c>
      <c r="X13290" t="s">
        <v>42697</v>
      </c>
    </row>
    <row r="13291" spans="1:24">
      <c r="A13291">
        <f>HYPERLINK("https://www.philgeps.gov.ph/GEPSNONPILOT/Tender/SplashBidNoticeAbstractUI.aspx?menuIndex=3&amp;refID=7149599&amp;Result=3","7149599")</f>
        <v>0</v>
      </c>
      <c r="B13291" t="s">
        <v>3445</v>
      </c>
      <c r="C13291" t="s">
        <v>16249</v>
      </c>
      <c r="D13291" t="s">
        <v>17192</v>
      </c>
      <c r="E13291" t="s">
        <v>28577</v>
      </c>
      <c r="F13291" t="s">
        <v>29372</v>
      </c>
      <c r="G13291" t="s">
        <v>29380</v>
      </c>
      <c r="H13291" t="s">
        <v>11048</v>
      </c>
      <c r="I13291" t="s">
        <v>9469</v>
      </c>
      <c r="J13291" t="s">
        <v>30787</v>
      </c>
      <c r="K13291" t="s">
        <v>38490</v>
      </c>
      <c r="M13291" t="s">
        <v>42556</v>
      </c>
      <c r="N13291" t="s">
        <v>42669</v>
      </c>
      <c r="O13291" t="s">
        <v>42670</v>
      </c>
      <c r="P13291">
        <v>0</v>
      </c>
      <c r="Q13291">
        <v>4</v>
      </c>
      <c r="R13291" t="s">
        <v>42692</v>
      </c>
      <c r="S13291" t="s">
        <v>43798</v>
      </c>
      <c r="T13291" t="s">
        <v>44371</v>
      </c>
      <c r="U13291" t="s">
        <v>55629</v>
      </c>
      <c r="W13291" t="s">
        <v>42556</v>
      </c>
      <c r="X13291" t="s">
        <v>42693</v>
      </c>
    </row>
    <row r="13292" spans="1:24">
      <c r="A13292">
        <f>HYPERLINK("https://www.philgeps.gov.ph/GEPSNONPILOT/Tender/SplashBidNoticeAbstractUI.aspx?menuIndex=3&amp;refID=7148943&amp;Result=3","7148943")</f>
        <v>0</v>
      </c>
      <c r="B13292" t="s">
        <v>1693</v>
      </c>
      <c r="C13292" t="s">
        <v>16250</v>
      </c>
      <c r="D13292" t="s">
        <v>17226</v>
      </c>
      <c r="E13292" t="s">
        <v>17747</v>
      </c>
      <c r="F13292" t="s">
        <v>29372</v>
      </c>
      <c r="G13292" t="s">
        <v>29380</v>
      </c>
      <c r="H13292" t="s">
        <v>29389</v>
      </c>
      <c r="I13292" t="s">
        <v>10408</v>
      </c>
      <c r="J13292" t="s">
        <v>37907</v>
      </c>
      <c r="K13292" t="s">
        <v>38564</v>
      </c>
      <c r="L13292" t="s">
        <v>1693</v>
      </c>
      <c r="M13292" t="s">
        <v>42557</v>
      </c>
      <c r="N13292" t="s">
        <v>42669</v>
      </c>
      <c r="O13292" t="s">
        <v>42670</v>
      </c>
      <c r="P13292">
        <v>0</v>
      </c>
      <c r="Q13292">
        <v>1</v>
      </c>
      <c r="R13292" t="s">
        <v>42692</v>
      </c>
      <c r="S13292" t="s">
        <v>43798</v>
      </c>
      <c r="T13292" t="s">
        <v>44491</v>
      </c>
      <c r="U13292" t="s">
        <v>55630</v>
      </c>
      <c r="W13292" t="s">
        <v>42557</v>
      </c>
      <c r="X13292" t="s">
        <v>42696</v>
      </c>
    </row>
    <row r="13293" spans="1:24">
      <c r="A13293">
        <f>HYPERLINK("https://www.philgeps.gov.ph/GEPSNONPILOT/Tender/SplashBidNoticeAbstractUI.aspx?menuIndex=3&amp;refID=7149258&amp;Result=3","7149258")</f>
        <v>0</v>
      </c>
      <c r="B13293" t="s">
        <v>278</v>
      </c>
      <c r="C13293" t="s">
        <v>14156</v>
      </c>
      <c r="D13293" t="s">
        <v>17206</v>
      </c>
      <c r="E13293" t="s">
        <v>28578</v>
      </c>
      <c r="F13293" t="s">
        <v>29372</v>
      </c>
      <c r="G13293" t="s">
        <v>29382</v>
      </c>
      <c r="H13293" t="s">
        <v>11048</v>
      </c>
      <c r="I13293" t="s">
        <v>3952</v>
      </c>
      <c r="J13293" t="s">
        <v>30169</v>
      </c>
      <c r="K13293" t="s">
        <v>38485</v>
      </c>
      <c r="M13293" t="s">
        <v>41697</v>
      </c>
      <c r="N13293" t="s">
        <v>42669</v>
      </c>
      <c r="O13293" t="s">
        <v>42670</v>
      </c>
      <c r="Q13293">
        <v>10</v>
      </c>
      <c r="R13293" t="s">
        <v>42692</v>
      </c>
      <c r="S13293" t="s">
        <v>43589</v>
      </c>
      <c r="T13293" t="s">
        <v>44427</v>
      </c>
      <c r="U13293" t="s">
        <v>55631</v>
      </c>
      <c r="W13293" t="s">
        <v>41697</v>
      </c>
      <c r="X13293" t="s">
        <v>42693</v>
      </c>
    </row>
    <row r="13294" spans="1:24">
      <c r="A13294">
        <f>HYPERLINK("https://www.philgeps.gov.ph/GEPSNONPILOT/Tender/SplashBidNoticeAbstractUI.aspx?menuIndex=3&amp;refID=7149959&amp;Result=3","7149959")</f>
        <v>0</v>
      </c>
      <c r="B13294" t="s">
        <v>3446</v>
      </c>
      <c r="C13294" t="s">
        <v>16251</v>
      </c>
      <c r="D13294" t="s">
        <v>17169</v>
      </c>
      <c r="E13294" t="s">
        <v>28579</v>
      </c>
      <c r="F13294" t="s">
        <v>29372</v>
      </c>
      <c r="G13294" t="s">
        <v>29380</v>
      </c>
      <c r="H13294" t="s">
        <v>29389</v>
      </c>
      <c r="I13294" t="s">
        <v>10408</v>
      </c>
      <c r="J13294" t="s">
        <v>37908</v>
      </c>
      <c r="K13294" t="s">
        <v>38522</v>
      </c>
      <c r="M13294" t="s">
        <v>42558</v>
      </c>
      <c r="N13294" t="s">
        <v>42669</v>
      </c>
      <c r="O13294" t="s">
        <v>42670</v>
      </c>
      <c r="P13294">
        <v>0</v>
      </c>
      <c r="Q13294">
        <v>0</v>
      </c>
      <c r="R13294" t="s">
        <v>42692</v>
      </c>
      <c r="S13294" t="s">
        <v>43798</v>
      </c>
      <c r="T13294" t="s">
        <v>44371</v>
      </c>
      <c r="U13294" t="s">
        <v>55632</v>
      </c>
      <c r="W13294" t="s">
        <v>42558</v>
      </c>
      <c r="X13294" t="s">
        <v>42693</v>
      </c>
    </row>
    <row r="13295" spans="1:24">
      <c r="A13295">
        <f>HYPERLINK("https://www.philgeps.gov.ph/GEPSNONPILOT/Tender/SplashBidNoticeAbstractUI.aspx?menuIndex=3&amp;refID=7149904&amp;Result=3","7149904")</f>
        <v>0</v>
      </c>
      <c r="B13295" t="s">
        <v>3062</v>
      </c>
      <c r="C13295" t="s">
        <v>16252</v>
      </c>
      <c r="D13295" t="s">
        <v>17169</v>
      </c>
      <c r="E13295" t="s">
        <v>28580</v>
      </c>
      <c r="F13295" t="s">
        <v>29372</v>
      </c>
      <c r="G13295" t="s">
        <v>29380</v>
      </c>
      <c r="H13295" t="s">
        <v>29389</v>
      </c>
      <c r="I13295" t="s">
        <v>10408</v>
      </c>
      <c r="J13295" t="s">
        <v>29937</v>
      </c>
      <c r="K13295" t="s">
        <v>38525</v>
      </c>
      <c r="M13295" t="s">
        <v>42088</v>
      </c>
      <c r="N13295" t="s">
        <v>42669</v>
      </c>
      <c r="O13295" t="s">
        <v>42670</v>
      </c>
      <c r="P13295">
        <v>0</v>
      </c>
      <c r="Q13295">
        <v>1</v>
      </c>
      <c r="R13295" t="s">
        <v>42692</v>
      </c>
      <c r="S13295" t="s">
        <v>43798</v>
      </c>
      <c r="T13295" t="s">
        <v>44488</v>
      </c>
      <c r="U13295" t="s">
        <v>55633</v>
      </c>
      <c r="W13295" t="s">
        <v>42088</v>
      </c>
      <c r="X13295" t="s">
        <v>42693</v>
      </c>
    </row>
    <row r="13296" spans="1:24">
      <c r="A13296">
        <f>HYPERLINK("https://www.philgeps.gov.ph/GEPSNONPILOT/Tender/SplashBidNoticeAbstractUI.aspx?menuIndex=3&amp;refID=7149971&amp;Result=3","7149971")</f>
        <v>0</v>
      </c>
      <c r="B13296" t="s">
        <v>413</v>
      </c>
      <c r="C13296" t="s">
        <v>16253</v>
      </c>
      <c r="D13296" t="s">
        <v>17141</v>
      </c>
      <c r="E13296" t="s">
        <v>28581</v>
      </c>
      <c r="F13296" t="s">
        <v>29372</v>
      </c>
      <c r="G13296" t="s">
        <v>29382</v>
      </c>
      <c r="H13296" t="s">
        <v>11048</v>
      </c>
      <c r="I13296" t="s">
        <v>3629</v>
      </c>
      <c r="J13296" t="s">
        <v>32672</v>
      </c>
      <c r="K13296" t="s">
        <v>38488</v>
      </c>
      <c r="M13296" t="s">
        <v>39708</v>
      </c>
      <c r="N13296" t="s">
        <v>42669</v>
      </c>
      <c r="O13296" t="s">
        <v>42670</v>
      </c>
      <c r="Q13296">
        <v>6</v>
      </c>
      <c r="R13296" t="s">
        <v>42692</v>
      </c>
      <c r="S13296" t="s">
        <v>43804</v>
      </c>
      <c r="T13296" t="s">
        <v>44444</v>
      </c>
      <c r="U13296" t="s">
        <v>46704</v>
      </c>
      <c r="V13296" t="s">
        <v>57643</v>
      </c>
      <c r="W13296" t="s">
        <v>39708</v>
      </c>
      <c r="X13296" t="s">
        <v>42693</v>
      </c>
    </row>
    <row r="13297" spans="1:24">
      <c r="A13297">
        <f>HYPERLINK("https://www.philgeps.gov.ph/GEPSNONPILOT/Tender/SplashBidNoticeAbstractUI.aspx?menuIndex=3&amp;refID=7149933&amp;Result=3","7149933")</f>
        <v>0</v>
      </c>
      <c r="B13297" t="s">
        <v>3447</v>
      </c>
      <c r="C13297" t="s">
        <v>16254</v>
      </c>
      <c r="D13297" t="s">
        <v>17165</v>
      </c>
      <c r="E13297" t="s">
        <v>28582</v>
      </c>
      <c r="F13297" t="s">
        <v>29372</v>
      </c>
      <c r="G13297" t="s">
        <v>29380</v>
      </c>
      <c r="H13297" t="s">
        <v>11048</v>
      </c>
      <c r="I13297" t="s">
        <v>29434</v>
      </c>
      <c r="J13297" t="s">
        <v>29694</v>
      </c>
      <c r="K13297" t="s">
        <v>38536</v>
      </c>
      <c r="M13297" t="s">
        <v>42559</v>
      </c>
      <c r="N13297" t="s">
        <v>42669</v>
      </c>
      <c r="O13297" t="s">
        <v>42670</v>
      </c>
      <c r="P13297">
        <v>0</v>
      </c>
      <c r="Q13297">
        <v>4</v>
      </c>
      <c r="R13297" t="s">
        <v>42692</v>
      </c>
      <c r="S13297" t="s">
        <v>43798</v>
      </c>
      <c r="T13297" t="s">
        <v>44527</v>
      </c>
      <c r="U13297" t="s">
        <v>55634</v>
      </c>
      <c r="W13297" t="s">
        <v>42559</v>
      </c>
      <c r="X13297" t="s">
        <v>42693</v>
      </c>
    </row>
    <row r="13298" spans="1:24">
      <c r="A13298">
        <f>HYPERLINK("https://www.philgeps.gov.ph/GEPSNONPILOT/Tender/SplashBidNoticeAbstractUI.aspx?menuIndex=3&amp;refID=7149966&amp;Result=3","7149966")</f>
        <v>0</v>
      </c>
      <c r="B13298" t="s">
        <v>3444</v>
      </c>
      <c r="C13298" t="s">
        <v>16255</v>
      </c>
      <c r="D13298" t="s">
        <v>17202</v>
      </c>
      <c r="E13298" t="s">
        <v>28583</v>
      </c>
      <c r="F13298" t="s">
        <v>29372</v>
      </c>
      <c r="G13298" t="s">
        <v>29380</v>
      </c>
      <c r="H13298" t="s">
        <v>11048</v>
      </c>
      <c r="I13298" t="s">
        <v>8614</v>
      </c>
      <c r="J13298" t="s">
        <v>37909</v>
      </c>
      <c r="K13298" t="s">
        <v>38485</v>
      </c>
      <c r="M13298" t="s">
        <v>42555</v>
      </c>
      <c r="N13298" t="s">
        <v>42669</v>
      </c>
      <c r="O13298" t="s">
        <v>42670</v>
      </c>
      <c r="P13298">
        <v>0</v>
      </c>
      <c r="Q13298">
        <v>1</v>
      </c>
      <c r="R13298" t="s">
        <v>42692</v>
      </c>
      <c r="S13298" t="s">
        <v>43798</v>
      </c>
      <c r="T13298" t="s">
        <v>44391</v>
      </c>
      <c r="U13298" t="s">
        <v>55635</v>
      </c>
      <c r="W13298" t="s">
        <v>42555</v>
      </c>
      <c r="X13298" t="s">
        <v>42693</v>
      </c>
    </row>
    <row r="13299" spans="1:24">
      <c r="A13299">
        <f>HYPERLINK("https://www.philgeps.gov.ph/GEPSNONPILOT/Tender/SplashBidNoticeAbstractUI.aspx?menuIndex=3&amp;refID=7149932&amp;Result=3","7149932")</f>
        <v>0</v>
      </c>
      <c r="B13299" t="s">
        <v>131</v>
      </c>
      <c r="C13299" t="s">
        <v>16256</v>
      </c>
      <c r="D13299" t="s">
        <v>17178</v>
      </c>
      <c r="E13299" t="s">
        <v>28584</v>
      </c>
      <c r="F13299" t="s">
        <v>29372</v>
      </c>
      <c r="G13299" t="s">
        <v>29380</v>
      </c>
      <c r="H13299" t="s">
        <v>29389</v>
      </c>
      <c r="I13299" t="s">
        <v>10408</v>
      </c>
      <c r="J13299" t="s">
        <v>37910</v>
      </c>
      <c r="K13299" t="s">
        <v>38487</v>
      </c>
      <c r="M13299" t="s">
        <v>42560</v>
      </c>
      <c r="N13299" t="s">
        <v>42669</v>
      </c>
      <c r="O13299" t="s">
        <v>42670</v>
      </c>
      <c r="P13299">
        <v>0</v>
      </c>
      <c r="Q13299">
        <v>0</v>
      </c>
      <c r="R13299" t="s">
        <v>42692</v>
      </c>
      <c r="S13299" t="s">
        <v>43798</v>
      </c>
      <c r="T13299" t="s">
        <v>44491</v>
      </c>
      <c r="U13299" t="s">
        <v>55636</v>
      </c>
      <c r="W13299" t="s">
        <v>42560</v>
      </c>
      <c r="X13299" t="s">
        <v>42693</v>
      </c>
    </row>
    <row r="13300" spans="1:24">
      <c r="A13300">
        <f>HYPERLINK("https://www.philgeps.gov.ph/GEPSNONPILOT/Tender/SplashBidNoticeAbstractUI.aspx?menuIndex=3&amp;refID=7149255&amp;Result=3","7149255")</f>
        <v>0</v>
      </c>
      <c r="B13300" t="s">
        <v>278</v>
      </c>
      <c r="C13300" t="s">
        <v>16257</v>
      </c>
      <c r="D13300" t="s">
        <v>17206</v>
      </c>
      <c r="E13300" t="s">
        <v>28585</v>
      </c>
      <c r="F13300" t="s">
        <v>29372</v>
      </c>
      <c r="G13300" t="s">
        <v>29382</v>
      </c>
      <c r="H13300" t="s">
        <v>11048</v>
      </c>
      <c r="I13300" t="s">
        <v>29395</v>
      </c>
      <c r="J13300" t="s">
        <v>30802</v>
      </c>
      <c r="K13300" t="s">
        <v>38485</v>
      </c>
      <c r="M13300" t="s">
        <v>41697</v>
      </c>
      <c r="N13300" t="s">
        <v>42669</v>
      </c>
      <c r="O13300" t="s">
        <v>42670</v>
      </c>
      <c r="Q13300">
        <v>0</v>
      </c>
      <c r="R13300" t="s">
        <v>42692</v>
      </c>
      <c r="S13300" t="s">
        <v>43589</v>
      </c>
      <c r="T13300" t="s">
        <v>44427</v>
      </c>
      <c r="U13300" t="s">
        <v>55637</v>
      </c>
      <c r="W13300" t="s">
        <v>41697</v>
      </c>
      <c r="X13300" t="s">
        <v>42693</v>
      </c>
    </row>
    <row r="13301" spans="1:24">
      <c r="A13301">
        <f>HYPERLINK("https://www.philgeps.gov.ph/GEPSNONPILOT/Tender/SplashBidNoticeAbstractUI.aspx?menuIndex=3&amp;refID=7150185&amp;Result=3","7150185")</f>
        <v>0</v>
      </c>
      <c r="B13301" t="s">
        <v>3448</v>
      </c>
      <c r="C13301" t="s">
        <v>16258</v>
      </c>
      <c r="D13301" t="s">
        <v>17188</v>
      </c>
      <c r="E13301" t="s">
        <v>17537</v>
      </c>
      <c r="F13301" t="s">
        <v>29372</v>
      </c>
      <c r="G13301" t="s">
        <v>29380</v>
      </c>
      <c r="H13301" t="s">
        <v>11048</v>
      </c>
      <c r="I13301" t="s">
        <v>4709</v>
      </c>
      <c r="J13301" t="s">
        <v>29555</v>
      </c>
      <c r="K13301" t="s">
        <v>38485</v>
      </c>
      <c r="M13301" t="s">
        <v>42561</v>
      </c>
      <c r="N13301" t="s">
        <v>42669</v>
      </c>
      <c r="O13301" t="s">
        <v>42670</v>
      </c>
      <c r="P13301">
        <v>0</v>
      </c>
      <c r="Q13301">
        <v>0</v>
      </c>
      <c r="R13301" t="s">
        <v>42692</v>
      </c>
      <c r="S13301" t="s">
        <v>43798</v>
      </c>
      <c r="T13301" t="s">
        <v>44357</v>
      </c>
      <c r="U13301" t="s">
        <v>46036</v>
      </c>
      <c r="W13301" t="s">
        <v>42561</v>
      </c>
      <c r="X13301" t="s">
        <v>42693</v>
      </c>
    </row>
    <row r="13302" spans="1:24">
      <c r="A13302">
        <f>HYPERLINK("https://www.philgeps.gov.ph/GEPSNONPILOT/Tender/SplashBidNoticeAbstractUI.aspx?menuIndex=3&amp;refID=7150163&amp;Result=3","7150163")</f>
        <v>0</v>
      </c>
      <c r="B13302" t="s">
        <v>3448</v>
      </c>
      <c r="C13302" t="s">
        <v>16259</v>
      </c>
      <c r="D13302" t="s">
        <v>17188</v>
      </c>
      <c r="E13302" t="s">
        <v>18000</v>
      </c>
      <c r="F13302" t="s">
        <v>29372</v>
      </c>
      <c r="G13302" t="s">
        <v>29380</v>
      </c>
      <c r="H13302" t="s">
        <v>11048</v>
      </c>
      <c r="I13302" t="s">
        <v>6417</v>
      </c>
      <c r="J13302" t="s">
        <v>37911</v>
      </c>
      <c r="K13302" t="s">
        <v>38485</v>
      </c>
      <c r="M13302" t="s">
        <v>42561</v>
      </c>
      <c r="N13302" t="s">
        <v>42669</v>
      </c>
      <c r="O13302" t="s">
        <v>42670</v>
      </c>
      <c r="P13302">
        <v>0</v>
      </c>
      <c r="Q13302">
        <v>2</v>
      </c>
      <c r="R13302" t="s">
        <v>42692</v>
      </c>
      <c r="S13302" t="s">
        <v>43798</v>
      </c>
      <c r="T13302" t="s">
        <v>44357</v>
      </c>
      <c r="U13302" t="s">
        <v>47105</v>
      </c>
      <c r="W13302" t="s">
        <v>42561</v>
      </c>
      <c r="X13302" t="s">
        <v>42693</v>
      </c>
    </row>
    <row r="13303" spans="1:24">
      <c r="A13303">
        <f>HYPERLINK("https://www.philgeps.gov.ph/GEPSNONPILOT/Tender/SplashBidNoticeAbstractUI.aspx?menuIndex=3&amp;refID=7150103&amp;Result=3","7150103")</f>
        <v>0</v>
      </c>
      <c r="B13303" t="s">
        <v>2388</v>
      </c>
      <c r="C13303" t="s">
        <v>16260</v>
      </c>
      <c r="D13303" t="s">
        <v>17185</v>
      </c>
      <c r="E13303" t="s">
        <v>23704</v>
      </c>
      <c r="F13303" t="s">
        <v>29372</v>
      </c>
      <c r="G13303" t="s">
        <v>29380</v>
      </c>
      <c r="H13303" t="s">
        <v>11048</v>
      </c>
      <c r="I13303" t="s">
        <v>29519</v>
      </c>
      <c r="J13303" t="s">
        <v>37912</v>
      </c>
      <c r="K13303" t="s">
        <v>38485</v>
      </c>
      <c r="M13303" t="s">
        <v>41333</v>
      </c>
      <c r="N13303" t="s">
        <v>42669</v>
      </c>
      <c r="O13303" t="s">
        <v>42670</v>
      </c>
      <c r="Q13303">
        <v>5</v>
      </c>
      <c r="R13303" t="s">
        <v>42692</v>
      </c>
      <c r="S13303" t="s">
        <v>43805</v>
      </c>
      <c r="T13303" t="s">
        <v>44493</v>
      </c>
      <c r="U13303" t="s">
        <v>55638</v>
      </c>
      <c r="V13303" t="s">
        <v>57895</v>
      </c>
      <c r="W13303" t="s">
        <v>41333</v>
      </c>
      <c r="X13303" t="s">
        <v>42693</v>
      </c>
    </row>
    <row r="13304" spans="1:24">
      <c r="A13304">
        <f>HYPERLINK("https://www.philgeps.gov.ph/GEPSNONPILOT/Tender/SplashBidNoticeAbstractUI.aspx?menuIndex=3&amp;refID=7150038&amp;Result=3","7150038")</f>
        <v>0</v>
      </c>
      <c r="B13304" t="s">
        <v>1111</v>
      </c>
      <c r="C13304" t="s">
        <v>16261</v>
      </c>
      <c r="D13304" t="s">
        <v>17177</v>
      </c>
      <c r="E13304" t="s">
        <v>28586</v>
      </c>
      <c r="F13304" t="s">
        <v>29372</v>
      </c>
      <c r="G13304" t="s">
        <v>29380</v>
      </c>
      <c r="H13304" t="s">
        <v>11048</v>
      </c>
      <c r="I13304" t="s">
        <v>29406</v>
      </c>
      <c r="J13304" t="s">
        <v>37913</v>
      </c>
      <c r="K13304" t="s">
        <v>38487</v>
      </c>
      <c r="M13304" t="s">
        <v>39920</v>
      </c>
      <c r="N13304" t="s">
        <v>42669</v>
      </c>
      <c r="O13304" t="s">
        <v>42670</v>
      </c>
      <c r="P13304">
        <v>0</v>
      </c>
      <c r="Q13304">
        <v>1</v>
      </c>
      <c r="R13304" t="s">
        <v>42692</v>
      </c>
      <c r="S13304" t="s">
        <v>43798</v>
      </c>
      <c r="T13304" t="s">
        <v>44432</v>
      </c>
      <c r="U13304" t="s">
        <v>55639</v>
      </c>
      <c r="W13304" t="s">
        <v>39920</v>
      </c>
      <c r="X13304" t="s">
        <v>42693</v>
      </c>
    </row>
    <row r="13305" spans="1:24">
      <c r="A13305">
        <f>HYPERLINK("https://www.philgeps.gov.ph/GEPSNONPILOT/Tender/SplashBidNoticeAbstractUI.aspx?menuIndex=3&amp;refID=7140577&amp;Result=3","7140577")</f>
        <v>0</v>
      </c>
      <c r="B13305" t="s">
        <v>689</v>
      </c>
      <c r="C13305" t="s">
        <v>16262</v>
      </c>
      <c r="D13305" t="s">
        <v>17216</v>
      </c>
      <c r="E13305" t="s">
        <v>28587</v>
      </c>
      <c r="F13305" t="s">
        <v>29372</v>
      </c>
      <c r="G13305" t="s">
        <v>29380</v>
      </c>
      <c r="H13305" t="s">
        <v>11048</v>
      </c>
      <c r="I13305" t="s">
        <v>4709</v>
      </c>
      <c r="J13305" t="s">
        <v>29543</v>
      </c>
      <c r="K13305" t="s">
        <v>38485</v>
      </c>
      <c r="M13305" t="s">
        <v>39465</v>
      </c>
      <c r="N13305" t="s">
        <v>42669</v>
      </c>
      <c r="O13305" t="s">
        <v>42670</v>
      </c>
      <c r="P13305">
        <v>0</v>
      </c>
      <c r="Q13305">
        <v>0</v>
      </c>
      <c r="R13305" t="s">
        <v>42692</v>
      </c>
      <c r="S13305" t="s">
        <v>43798</v>
      </c>
      <c r="T13305" t="s">
        <v>44491</v>
      </c>
      <c r="U13305" t="s">
        <v>55640</v>
      </c>
      <c r="W13305" t="s">
        <v>39465</v>
      </c>
      <c r="X13305" t="s">
        <v>42699</v>
      </c>
    </row>
    <row r="13306" spans="1:24">
      <c r="A13306">
        <f>HYPERLINK("https://www.philgeps.gov.ph/GEPSNONPILOT/Tender/SplashBidNoticeAbstractUI.aspx?menuIndex=3&amp;refID=7149876&amp;Result=3","7149876")</f>
        <v>0</v>
      </c>
      <c r="B13306" t="s">
        <v>131</v>
      </c>
      <c r="C13306" t="s">
        <v>16263</v>
      </c>
      <c r="D13306" t="s">
        <v>17178</v>
      </c>
      <c r="E13306" t="s">
        <v>28588</v>
      </c>
      <c r="F13306" t="s">
        <v>29372</v>
      </c>
      <c r="G13306" t="s">
        <v>29380</v>
      </c>
      <c r="H13306" t="s">
        <v>29389</v>
      </c>
      <c r="I13306" t="s">
        <v>10408</v>
      </c>
      <c r="J13306" t="s">
        <v>37914</v>
      </c>
      <c r="K13306" t="s">
        <v>38495</v>
      </c>
      <c r="M13306" t="s">
        <v>42560</v>
      </c>
      <c r="N13306" t="s">
        <v>42669</v>
      </c>
      <c r="O13306" t="s">
        <v>42670</v>
      </c>
      <c r="P13306">
        <v>0</v>
      </c>
      <c r="Q13306">
        <v>1</v>
      </c>
      <c r="R13306" t="s">
        <v>42692</v>
      </c>
      <c r="S13306" t="s">
        <v>43798</v>
      </c>
      <c r="T13306" t="s">
        <v>44491</v>
      </c>
      <c r="U13306" t="s">
        <v>55641</v>
      </c>
      <c r="W13306" t="s">
        <v>42560</v>
      </c>
      <c r="X13306" t="s">
        <v>42693</v>
      </c>
    </row>
    <row r="13307" spans="1:24">
      <c r="A13307">
        <f>HYPERLINK("https://www.philgeps.gov.ph/GEPSNONPILOT/Tender/SplashBidNoticeAbstractUI.aspx?menuIndex=3&amp;refID=7150174&amp;Result=3","7150174")</f>
        <v>0</v>
      </c>
      <c r="B13307" t="s">
        <v>3448</v>
      </c>
      <c r="C13307" t="s">
        <v>16264</v>
      </c>
      <c r="D13307" t="s">
        <v>17188</v>
      </c>
      <c r="E13307" t="s">
        <v>22144</v>
      </c>
      <c r="F13307" t="s">
        <v>29372</v>
      </c>
      <c r="G13307" t="s">
        <v>29380</v>
      </c>
      <c r="H13307" t="s">
        <v>11048</v>
      </c>
      <c r="I13307" t="s">
        <v>29400</v>
      </c>
      <c r="J13307" t="s">
        <v>30386</v>
      </c>
      <c r="K13307" t="s">
        <v>38485</v>
      </c>
      <c r="M13307" t="s">
        <v>42561</v>
      </c>
      <c r="N13307" t="s">
        <v>42669</v>
      </c>
      <c r="O13307" t="s">
        <v>42670</v>
      </c>
      <c r="P13307">
        <v>0</v>
      </c>
      <c r="Q13307">
        <v>3</v>
      </c>
      <c r="R13307" t="s">
        <v>42692</v>
      </c>
      <c r="S13307" t="s">
        <v>43798</v>
      </c>
      <c r="T13307" t="s">
        <v>44357</v>
      </c>
      <c r="U13307" t="s">
        <v>55642</v>
      </c>
      <c r="W13307" t="s">
        <v>42561</v>
      </c>
      <c r="X13307" t="s">
        <v>42693</v>
      </c>
    </row>
    <row r="13308" spans="1:24">
      <c r="A13308">
        <f>HYPERLINK("https://www.philgeps.gov.ph/GEPSNONPILOT/Tender/SplashBidNoticeAbstractUI.aspx?menuIndex=3&amp;refID=7150027&amp;Result=3","7150027")</f>
        <v>0</v>
      </c>
      <c r="B13308" t="s">
        <v>413</v>
      </c>
      <c r="C13308" t="s">
        <v>16265</v>
      </c>
      <c r="D13308" t="s">
        <v>17193</v>
      </c>
      <c r="E13308" t="s">
        <v>28589</v>
      </c>
      <c r="F13308" t="s">
        <v>29372</v>
      </c>
      <c r="G13308" t="s">
        <v>29382</v>
      </c>
      <c r="H13308" t="s">
        <v>11048</v>
      </c>
      <c r="I13308" t="s">
        <v>4709</v>
      </c>
      <c r="J13308" t="s">
        <v>37915</v>
      </c>
      <c r="K13308" t="s">
        <v>38488</v>
      </c>
      <c r="M13308" t="s">
        <v>39708</v>
      </c>
      <c r="N13308" t="s">
        <v>42669</v>
      </c>
      <c r="O13308" t="s">
        <v>42670</v>
      </c>
      <c r="Q13308">
        <v>0</v>
      </c>
      <c r="R13308" t="s">
        <v>42692</v>
      </c>
      <c r="S13308" t="s">
        <v>43806</v>
      </c>
      <c r="T13308" t="s">
        <v>44444</v>
      </c>
      <c r="U13308" t="s">
        <v>46704</v>
      </c>
      <c r="V13308" t="s">
        <v>57643</v>
      </c>
      <c r="W13308" t="s">
        <v>39708</v>
      </c>
      <c r="X13308" t="s">
        <v>42693</v>
      </c>
    </row>
    <row r="13309" spans="1:24">
      <c r="A13309">
        <f>HYPERLINK("https://www.philgeps.gov.ph/GEPSNONPILOT/Tender/SplashBidNoticeAbstractUI.aspx?menuIndex=3&amp;refID=7150037&amp;Result=3","7150037")</f>
        <v>0</v>
      </c>
      <c r="B13309" t="s">
        <v>413</v>
      </c>
      <c r="C13309" t="s">
        <v>16266</v>
      </c>
      <c r="D13309" t="s">
        <v>17141</v>
      </c>
      <c r="E13309" t="s">
        <v>28590</v>
      </c>
      <c r="F13309" t="s">
        <v>29372</v>
      </c>
      <c r="G13309" t="s">
        <v>29382</v>
      </c>
      <c r="H13309" t="s">
        <v>11048</v>
      </c>
      <c r="I13309" t="s">
        <v>4487</v>
      </c>
      <c r="J13309" t="s">
        <v>37916</v>
      </c>
      <c r="K13309" t="s">
        <v>38488</v>
      </c>
      <c r="M13309" t="s">
        <v>39708</v>
      </c>
      <c r="N13309" t="s">
        <v>42669</v>
      </c>
      <c r="O13309" t="s">
        <v>42670</v>
      </c>
      <c r="Q13309">
        <v>14</v>
      </c>
      <c r="R13309" t="s">
        <v>42692</v>
      </c>
      <c r="S13309" t="s">
        <v>43807</v>
      </c>
      <c r="T13309" t="s">
        <v>44444</v>
      </c>
      <c r="U13309" t="s">
        <v>46704</v>
      </c>
      <c r="V13309" t="s">
        <v>57643</v>
      </c>
      <c r="W13309" t="s">
        <v>39708</v>
      </c>
      <c r="X13309" t="s">
        <v>42693</v>
      </c>
    </row>
    <row r="13310" spans="1:24">
      <c r="A13310">
        <f>HYPERLINK("https://www.philgeps.gov.ph/GEPSNONPILOT/Tender/SplashBidNoticeAbstractUI.aspx?menuIndex=3&amp;refID=7149902&amp;Result=3","7149902")</f>
        <v>0</v>
      </c>
      <c r="B13310" t="s">
        <v>131</v>
      </c>
      <c r="C13310" t="s">
        <v>16267</v>
      </c>
      <c r="D13310" t="s">
        <v>17178</v>
      </c>
      <c r="E13310" t="s">
        <v>28591</v>
      </c>
      <c r="F13310" t="s">
        <v>29372</v>
      </c>
      <c r="G13310" t="s">
        <v>29380</v>
      </c>
      <c r="H13310" t="s">
        <v>29389</v>
      </c>
      <c r="I13310" t="s">
        <v>10408</v>
      </c>
      <c r="J13310" t="s">
        <v>37917</v>
      </c>
      <c r="K13310" t="s">
        <v>38495</v>
      </c>
      <c r="M13310" t="s">
        <v>42560</v>
      </c>
      <c r="N13310" t="s">
        <v>42669</v>
      </c>
      <c r="O13310" t="s">
        <v>42670</v>
      </c>
      <c r="P13310">
        <v>0</v>
      </c>
      <c r="Q13310">
        <v>0</v>
      </c>
      <c r="R13310" t="s">
        <v>42692</v>
      </c>
      <c r="S13310" t="s">
        <v>43798</v>
      </c>
      <c r="T13310" t="s">
        <v>44491</v>
      </c>
      <c r="U13310" t="s">
        <v>55643</v>
      </c>
      <c r="W13310" t="s">
        <v>42560</v>
      </c>
      <c r="X13310" t="s">
        <v>42693</v>
      </c>
    </row>
    <row r="13311" spans="1:24">
      <c r="A13311">
        <f>HYPERLINK("https://www.philgeps.gov.ph/GEPSNONPILOT/Tender/SplashBidNoticeAbstractUI.aspx?menuIndex=3&amp;refID=7149752&amp;Result=3","7149752")</f>
        <v>0</v>
      </c>
      <c r="B13311" t="s">
        <v>1739</v>
      </c>
      <c r="C13311" t="s">
        <v>16268</v>
      </c>
      <c r="D13311" t="s">
        <v>17165</v>
      </c>
      <c r="E13311" t="s">
        <v>28592</v>
      </c>
      <c r="F13311" t="s">
        <v>29372</v>
      </c>
      <c r="G13311" t="s">
        <v>29380</v>
      </c>
      <c r="H13311" t="s">
        <v>11048</v>
      </c>
      <c r="I13311" t="s">
        <v>29417</v>
      </c>
      <c r="J13311" t="s">
        <v>37918</v>
      </c>
      <c r="K13311" t="s">
        <v>38485</v>
      </c>
      <c r="M13311" t="s">
        <v>40604</v>
      </c>
      <c r="N13311" t="s">
        <v>42669</v>
      </c>
      <c r="O13311" t="s">
        <v>42670</v>
      </c>
      <c r="Q13311">
        <v>4</v>
      </c>
      <c r="R13311" t="s">
        <v>42692</v>
      </c>
      <c r="S13311" t="s">
        <v>43808</v>
      </c>
      <c r="T13311" t="s">
        <v>44491</v>
      </c>
      <c r="U13311" t="s">
        <v>55644</v>
      </c>
      <c r="W13311" t="s">
        <v>40604</v>
      </c>
      <c r="X13311" t="s">
        <v>42693</v>
      </c>
    </row>
    <row r="13312" spans="1:24">
      <c r="A13312">
        <f>HYPERLINK("https://www.philgeps.gov.ph/GEPSNONPILOT/Tender/SplashBidNoticeAbstractUI.aspx?menuIndex=3&amp;refID=7150200&amp;Result=3","7150200")</f>
        <v>0</v>
      </c>
      <c r="B13312" t="s">
        <v>3448</v>
      </c>
      <c r="C13312" t="s">
        <v>16269</v>
      </c>
      <c r="D13312" t="s">
        <v>17188</v>
      </c>
      <c r="E13312" t="s">
        <v>23163</v>
      </c>
      <c r="F13312" t="s">
        <v>29372</v>
      </c>
      <c r="G13312" t="s">
        <v>29380</v>
      </c>
      <c r="H13312" t="s">
        <v>11048</v>
      </c>
      <c r="I13312" t="s">
        <v>4709</v>
      </c>
      <c r="J13312" t="s">
        <v>29587</v>
      </c>
      <c r="K13312" t="s">
        <v>38485</v>
      </c>
      <c r="M13312" t="s">
        <v>42561</v>
      </c>
      <c r="N13312" t="s">
        <v>42669</v>
      </c>
      <c r="O13312" t="s">
        <v>42670</v>
      </c>
      <c r="P13312">
        <v>0</v>
      </c>
      <c r="Q13312">
        <v>0</v>
      </c>
      <c r="R13312" t="s">
        <v>42692</v>
      </c>
      <c r="S13312" t="s">
        <v>43798</v>
      </c>
      <c r="T13312" t="s">
        <v>44357</v>
      </c>
      <c r="U13312" t="s">
        <v>46036</v>
      </c>
      <c r="W13312" t="s">
        <v>42561</v>
      </c>
      <c r="X13312" t="s">
        <v>42693</v>
      </c>
    </row>
    <row r="13313" spans="1:24">
      <c r="A13313">
        <f>HYPERLINK("https://www.philgeps.gov.ph/GEPSNONPILOT/Tender/SplashBidNoticeAbstractUI.aspx?menuIndex=3&amp;refID=7149833&amp;Result=3","7149833")</f>
        <v>0</v>
      </c>
      <c r="B13313" t="s">
        <v>1125</v>
      </c>
      <c r="C13313" t="s">
        <v>9887</v>
      </c>
      <c r="D13313" t="s">
        <v>17151</v>
      </c>
      <c r="E13313" t="s">
        <v>28593</v>
      </c>
      <c r="F13313" t="s">
        <v>29372</v>
      </c>
      <c r="G13313" t="s">
        <v>29380</v>
      </c>
      <c r="H13313" t="s">
        <v>11048</v>
      </c>
      <c r="I13313" t="s">
        <v>9642</v>
      </c>
      <c r="J13313" t="s">
        <v>37919</v>
      </c>
      <c r="K13313" t="s">
        <v>38491</v>
      </c>
      <c r="M13313" t="s">
        <v>39935</v>
      </c>
      <c r="N13313" t="s">
        <v>42669</v>
      </c>
      <c r="O13313" t="s">
        <v>42670</v>
      </c>
      <c r="P13313">
        <v>0</v>
      </c>
      <c r="Q13313">
        <v>7</v>
      </c>
      <c r="R13313" t="s">
        <v>42692</v>
      </c>
      <c r="S13313" t="s">
        <v>43798</v>
      </c>
      <c r="T13313" t="s">
        <v>44554</v>
      </c>
      <c r="U13313" t="s">
        <v>50812</v>
      </c>
      <c r="V13313" t="s">
        <v>57896</v>
      </c>
      <c r="W13313" t="s">
        <v>39935</v>
      </c>
      <c r="X13313" t="s">
        <v>42693</v>
      </c>
    </row>
    <row r="13314" spans="1:24">
      <c r="A13314">
        <f>HYPERLINK("https://www.philgeps.gov.ph/GEPSNONPILOT/Tender/SplashBidNoticeAbstractUI.aspx?menuIndex=3&amp;refID=7149796&amp;Result=3","7149796")</f>
        <v>0</v>
      </c>
      <c r="B13314" t="s">
        <v>2942</v>
      </c>
      <c r="C13314" t="s">
        <v>16270</v>
      </c>
      <c r="D13314" t="s">
        <v>17212</v>
      </c>
      <c r="E13314" t="s">
        <v>28594</v>
      </c>
      <c r="F13314" t="s">
        <v>29372</v>
      </c>
      <c r="G13314" t="s">
        <v>29380</v>
      </c>
      <c r="H13314" t="s">
        <v>29389</v>
      </c>
      <c r="I13314" t="s">
        <v>10408</v>
      </c>
      <c r="J13314" t="s">
        <v>37920</v>
      </c>
      <c r="K13314" t="s">
        <v>38592</v>
      </c>
      <c r="M13314" t="s">
        <v>41944</v>
      </c>
      <c r="N13314" t="s">
        <v>42669</v>
      </c>
      <c r="O13314" t="s">
        <v>42670</v>
      </c>
      <c r="P13314">
        <v>0</v>
      </c>
      <c r="Q13314">
        <v>7</v>
      </c>
      <c r="R13314" t="s">
        <v>42692</v>
      </c>
      <c r="S13314" t="s">
        <v>43798</v>
      </c>
      <c r="T13314" t="s">
        <v>44454</v>
      </c>
      <c r="U13314" t="s">
        <v>55645</v>
      </c>
      <c r="W13314" t="s">
        <v>41944</v>
      </c>
      <c r="X13314" t="s">
        <v>42693</v>
      </c>
    </row>
    <row r="13315" spans="1:24">
      <c r="A13315">
        <f>HYPERLINK("https://www.philgeps.gov.ph/GEPSNONPILOT/Tender/SplashBidNoticeAbstractUI.aspx?menuIndex=3&amp;refID=7150366&amp;Result=3","7150366")</f>
        <v>0</v>
      </c>
      <c r="B13315" t="s">
        <v>3081</v>
      </c>
      <c r="C13315" t="s">
        <v>16271</v>
      </c>
      <c r="D13315" t="s">
        <v>17143</v>
      </c>
      <c r="E13315" t="s">
        <v>28595</v>
      </c>
      <c r="F13315" t="s">
        <v>29372</v>
      </c>
      <c r="G13315" t="s">
        <v>29380</v>
      </c>
      <c r="H13315" t="s">
        <v>11048</v>
      </c>
      <c r="I13315" t="s">
        <v>9469</v>
      </c>
      <c r="J13315" t="s">
        <v>29549</v>
      </c>
      <c r="K13315" t="s">
        <v>38485</v>
      </c>
      <c r="M13315" t="s">
        <v>42110</v>
      </c>
      <c r="N13315" t="s">
        <v>42669</v>
      </c>
      <c r="O13315" t="s">
        <v>42670</v>
      </c>
      <c r="P13315">
        <v>0</v>
      </c>
      <c r="Q13315">
        <v>0</v>
      </c>
      <c r="R13315" t="s">
        <v>42692</v>
      </c>
      <c r="S13315" t="s">
        <v>43798</v>
      </c>
      <c r="T13315" t="s">
        <v>44488</v>
      </c>
      <c r="U13315" t="s">
        <v>55646</v>
      </c>
      <c r="W13315" t="s">
        <v>42110</v>
      </c>
      <c r="X13315" t="s">
        <v>42693</v>
      </c>
    </row>
    <row r="13316" spans="1:24">
      <c r="A13316">
        <f>HYPERLINK("https://www.philgeps.gov.ph/GEPSNONPILOT/Tender/SplashBidNoticeAbstractUI.aspx?menuIndex=3&amp;refID=7150338&amp;Result=3","7150338")</f>
        <v>0</v>
      </c>
      <c r="B13316" t="s">
        <v>2354</v>
      </c>
      <c r="C13316" t="s">
        <v>16272</v>
      </c>
      <c r="D13316" t="s">
        <v>17174</v>
      </c>
      <c r="E13316" t="s">
        <v>28596</v>
      </c>
      <c r="F13316" t="s">
        <v>29372</v>
      </c>
      <c r="G13316" t="s">
        <v>29380</v>
      </c>
      <c r="H13316" t="s">
        <v>11048</v>
      </c>
      <c r="I13316" t="s">
        <v>8614</v>
      </c>
      <c r="J13316" t="s">
        <v>37921</v>
      </c>
      <c r="K13316" t="s">
        <v>38503</v>
      </c>
      <c r="M13316" t="s">
        <v>41289</v>
      </c>
      <c r="N13316" t="s">
        <v>42669</v>
      </c>
      <c r="O13316" t="s">
        <v>42670</v>
      </c>
      <c r="P13316">
        <v>0</v>
      </c>
      <c r="Q13316">
        <v>1</v>
      </c>
      <c r="R13316" t="s">
        <v>42692</v>
      </c>
      <c r="S13316" t="s">
        <v>43798</v>
      </c>
      <c r="T13316" t="s">
        <v>44554</v>
      </c>
      <c r="U13316" t="s">
        <v>55647</v>
      </c>
      <c r="V13316" t="s">
        <v>57897</v>
      </c>
      <c r="W13316" t="s">
        <v>41289</v>
      </c>
      <c r="X13316" t="s">
        <v>42693</v>
      </c>
    </row>
    <row r="13317" spans="1:24">
      <c r="A13317">
        <f>HYPERLINK("https://www.philgeps.gov.ph/GEPSNONPILOT/Tender/SplashBidNoticeAbstractUI.aspx?menuIndex=3&amp;refID=7149882&amp;Result=3","7149882")</f>
        <v>0</v>
      </c>
      <c r="B13317" t="s">
        <v>1208</v>
      </c>
      <c r="C13317" t="s">
        <v>16273</v>
      </c>
      <c r="D13317" t="s">
        <v>17213</v>
      </c>
      <c r="E13317" t="s">
        <v>28597</v>
      </c>
      <c r="F13317" t="s">
        <v>29372</v>
      </c>
      <c r="G13317" t="s">
        <v>29380</v>
      </c>
      <c r="H13317" t="s">
        <v>29389</v>
      </c>
      <c r="I13317" t="s">
        <v>10408</v>
      </c>
      <c r="J13317" t="s">
        <v>37922</v>
      </c>
      <c r="K13317" t="s">
        <v>38495</v>
      </c>
      <c r="M13317" t="s">
        <v>40025</v>
      </c>
      <c r="N13317" t="s">
        <v>42669</v>
      </c>
      <c r="O13317" t="s">
        <v>42670</v>
      </c>
      <c r="P13317">
        <v>0</v>
      </c>
      <c r="Q13317">
        <v>2</v>
      </c>
      <c r="R13317" t="s">
        <v>42692</v>
      </c>
      <c r="S13317" t="s">
        <v>43798</v>
      </c>
      <c r="T13317" t="s">
        <v>44399</v>
      </c>
      <c r="U13317" t="s">
        <v>55648</v>
      </c>
      <c r="W13317" t="s">
        <v>40025</v>
      </c>
      <c r="X13317" t="s">
        <v>42693</v>
      </c>
    </row>
    <row r="13318" spans="1:24">
      <c r="A13318">
        <f>HYPERLINK("https://www.philgeps.gov.ph/GEPSNONPILOT/Tender/SplashBidNoticeAbstractUI.aspx?menuIndex=3&amp;refID=7150354&amp;Result=3","7150354")</f>
        <v>0</v>
      </c>
      <c r="B13318" t="s">
        <v>74</v>
      </c>
      <c r="C13318" t="s">
        <v>16274</v>
      </c>
      <c r="D13318" t="s">
        <v>17169</v>
      </c>
      <c r="E13318" t="s">
        <v>28598</v>
      </c>
      <c r="F13318" t="s">
        <v>29372</v>
      </c>
      <c r="G13318" t="s">
        <v>29380</v>
      </c>
      <c r="H13318" t="s">
        <v>29389</v>
      </c>
      <c r="I13318" t="s">
        <v>10408</v>
      </c>
      <c r="J13318" t="s">
        <v>37923</v>
      </c>
      <c r="K13318" t="s">
        <v>38522</v>
      </c>
      <c r="L13318" t="s">
        <v>74</v>
      </c>
      <c r="M13318" t="s">
        <v>38828</v>
      </c>
      <c r="N13318" t="s">
        <v>42669</v>
      </c>
      <c r="O13318" t="s">
        <v>42670</v>
      </c>
      <c r="P13318">
        <v>0</v>
      </c>
      <c r="Q13318">
        <v>15</v>
      </c>
      <c r="R13318" t="s">
        <v>42692</v>
      </c>
      <c r="S13318" t="s">
        <v>43798</v>
      </c>
      <c r="T13318" t="s">
        <v>44548</v>
      </c>
      <c r="U13318" t="s">
        <v>55649</v>
      </c>
      <c r="W13318" t="s">
        <v>38828</v>
      </c>
      <c r="X13318" t="s">
        <v>42693</v>
      </c>
    </row>
    <row r="13319" spans="1:24">
      <c r="A13319">
        <f>HYPERLINK("https://www.philgeps.gov.ph/GEPSNONPILOT/Tender/SplashBidNoticeAbstractUI.aspx?menuIndex=3&amp;refID=7150254&amp;Result=3","7150254")</f>
        <v>0</v>
      </c>
      <c r="B13319" t="s">
        <v>903</v>
      </c>
      <c r="C13319" t="s">
        <v>16275</v>
      </c>
      <c r="D13319" t="s">
        <v>17188</v>
      </c>
      <c r="E13319" t="s">
        <v>25117</v>
      </c>
      <c r="F13319" t="s">
        <v>29372</v>
      </c>
      <c r="G13319" t="s">
        <v>29380</v>
      </c>
      <c r="H13319" t="s">
        <v>11048</v>
      </c>
      <c r="I13319" t="s">
        <v>29415</v>
      </c>
      <c r="J13319" t="s">
        <v>37924</v>
      </c>
      <c r="K13319" t="s">
        <v>38490</v>
      </c>
      <c r="M13319" t="s">
        <v>39696</v>
      </c>
      <c r="N13319" t="s">
        <v>42669</v>
      </c>
      <c r="O13319" t="s">
        <v>42670</v>
      </c>
      <c r="Q13319">
        <v>7</v>
      </c>
      <c r="R13319" t="s">
        <v>42692</v>
      </c>
      <c r="S13319" t="s">
        <v>43809</v>
      </c>
      <c r="T13319" t="s">
        <v>44432</v>
      </c>
      <c r="U13319" t="s">
        <v>55650</v>
      </c>
      <c r="W13319" t="s">
        <v>39696</v>
      </c>
      <c r="X13319" t="s">
        <v>42693</v>
      </c>
    </row>
    <row r="13320" spans="1:24">
      <c r="A13320">
        <f>HYPERLINK("https://www.philgeps.gov.ph/GEPSNONPILOT/Tender/SplashBidNoticeAbstractUI.aspx?menuIndex=3&amp;refID=7150252&amp;Result=3","7150252")</f>
        <v>0</v>
      </c>
      <c r="B13320" t="s">
        <v>74</v>
      </c>
      <c r="C13320" t="s">
        <v>16276</v>
      </c>
      <c r="D13320" t="s">
        <v>17169</v>
      </c>
      <c r="E13320" t="s">
        <v>28599</v>
      </c>
      <c r="F13320" t="s">
        <v>29372</v>
      </c>
      <c r="G13320" t="s">
        <v>29380</v>
      </c>
      <c r="H13320" t="s">
        <v>29389</v>
      </c>
      <c r="I13320" t="s">
        <v>10408</v>
      </c>
      <c r="J13320" t="s">
        <v>37925</v>
      </c>
      <c r="K13320" t="s">
        <v>38602</v>
      </c>
      <c r="L13320" t="s">
        <v>74</v>
      </c>
      <c r="M13320" t="s">
        <v>38828</v>
      </c>
      <c r="N13320" t="s">
        <v>42669</v>
      </c>
      <c r="O13320" t="s">
        <v>42670</v>
      </c>
      <c r="P13320">
        <v>0</v>
      </c>
      <c r="Q13320">
        <v>17</v>
      </c>
      <c r="R13320" t="s">
        <v>42692</v>
      </c>
      <c r="S13320" t="s">
        <v>43798</v>
      </c>
      <c r="T13320" t="s">
        <v>44548</v>
      </c>
      <c r="U13320" t="s">
        <v>55649</v>
      </c>
      <c r="W13320" t="s">
        <v>38828</v>
      </c>
      <c r="X13320" t="s">
        <v>42693</v>
      </c>
    </row>
    <row r="13321" spans="1:24">
      <c r="A13321">
        <f>HYPERLINK("https://www.philgeps.gov.ph/GEPSNONPILOT/Tender/SplashBidNoticeAbstractUI.aspx?menuIndex=3&amp;refID=7150312&amp;Result=3","7150312")</f>
        <v>0</v>
      </c>
      <c r="B13321" t="s">
        <v>2354</v>
      </c>
      <c r="C13321" t="s">
        <v>16277</v>
      </c>
      <c r="D13321" t="s">
        <v>17174</v>
      </c>
      <c r="E13321" t="s">
        <v>28600</v>
      </c>
      <c r="F13321" t="s">
        <v>29372</v>
      </c>
      <c r="G13321" t="s">
        <v>29380</v>
      </c>
      <c r="H13321" t="s">
        <v>11048</v>
      </c>
      <c r="I13321" t="s">
        <v>29485</v>
      </c>
      <c r="J13321" t="s">
        <v>29555</v>
      </c>
      <c r="K13321" t="s">
        <v>38503</v>
      </c>
      <c r="M13321" t="s">
        <v>41289</v>
      </c>
      <c r="N13321" t="s">
        <v>42669</v>
      </c>
      <c r="O13321" t="s">
        <v>42670</v>
      </c>
      <c r="P13321">
        <v>0</v>
      </c>
      <c r="Q13321">
        <v>0</v>
      </c>
      <c r="R13321" t="s">
        <v>42692</v>
      </c>
      <c r="S13321" t="s">
        <v>43798</v>
      </c>
      <c r="T13321" t="s">
        <v>44554</v>
      </c>
      <c r="U13321" t="s">
        <v>55651</v>
      </c>
      <c r="V13321" t="s">
        <v>57898</v>
      </c>
      <c r="W13321" t="s">
        <v>41289</v>
      </c>
      <c r="X13321" t="s">
        <v>42693</v>
      </c>
    </row>
    <row r="13322" spans="1:24">
      <c r="A13322">
        <f>HYPERLINK("https://www.philgeps.gov.ph/GEPSNONPILOT/Tender/SplashBidNoticeAbstractUI.aspx?menuIndex=3&amp;refID=7150236&amp;Result=3","7150236")</f>
        <v>0</v>
      </c>
      <c r="B13322" t="s">
        <v>1418</v>
      </c>
      <c r="C13322" t="s">
        <v>16278</v>
      </c>
      <c r="D13322" t="s">
        <v>17144</v>
      </c>
      <c r="E13322" t="s">
        <v>28601</v>
      </c>
      <c r="F13322" t="s">
        <v>29372</v>
      </c>
      <c r="G13322" t="s">
        <v>29380</v>
      </c>
      <c r="H13322" t="s">
        <v>11048</v>
      </c>
      <c r="I13322" t="s">
        <v>29478</v>
      </c>
      <c r="J13322" t="s">
        <v>31449</v>
      </c>
      <c r="K13322" t="s">
        <v>38488</v>
      </c>
      <c r="M13322" t="s">
        <v>40257</v>
      </c>
      <c r="N13322" t="s">
        <v>42669</v>
      </c>
      <c r="O13322" t="s">
        <v>42670</v>
      </c>
      <c r="P13322">
        <v>0</v>
      </c>
      <c r="Q13322">
        <v>1</v>
      </c>
      <c r="R13322" t="s">
        <v>42692</v>
      </c>
      <c r="S13322" t="s">
        <v>43798</v>
      </c>
      <c r="T13322" t="s">
        <v>44387</v>
      </c>
      <c r="U13322" t="s">
        <v>55652</v>
      </c>
      <c r="W13322" t="s">
        <v>40257</v>
      </c>
      <c r="X13322" t="s">
        <v>42693</v>
      </c>
    </row>
    <row r="13323" spans="1:24">
      <c r="A13323">
        <f>HYPERLINK("https://www.philgeps.gov.ph/GEPSNONPILOT/Tender/SplashBidNoticeAbstractUI.aspx?menuIndex=3&amp;refID=7150485&amp;Result=3","7150485")</f>
        <v>0</v>
      </c>
      <c r="B13323" t="s">
        <v>74</v>
      </c>
      <c r="C13323" t="s">
        <v>16279</v>
      </c>
      <c r="D13323" t="s">
        <v>17169</v>
      </c>
      <c r="E13323" t="s">
        <v>28602</v>
      </c>
      <c r="F13323" t="s">
        <v>29372</v>
      </c>
      <c r="G13323" t="s">
        <v>29380</v>
      </c>
      <c r="H13323" t="s">
        <v>29389</v>
      </c>
      <c r="I13323" t="s">
        <v>10408</v>
      </c>
      <c r="J13323" t="s">
        <v>30845</v>
      </c>
      <c r="K13323" t="s">
        <v>38748</v>
      </c>
      <c r="L13323" t="s">
        <v>74</v>
      </c>
      <c r="M13323" t="s">
        <v>38828</v>
      </c>
      <c r="N13323" t="s">
        <v>42669</v>
      </c>
      <c r="O13323" t="s">
        <v>42670</v>
      </c>
      <c r="Q13323">
        <v>11</v>
      </c>
      <c r="R13323" t="s">
        <v>42692</v>
      </c>
      <c r="S13323" t="s">
        <v>43810</v>
      </c>
      <c r="T13323" t="s">
        <v>44548</v>
      </c>
      <c r="U13323" t="s">
        <v>55649</v>
      </c>
      <c r="W13323" t="s">
        <v>38828</v>
      </c>
      <c r="X13323" t="s">
        <v>42693</v>
      </c>
    </row>
    <row r="13324" spans="1:24">
      <c r="A13324">
        <f>HYPERLINK("https://www.philgeps.gov.ph/GEPSNONPILOT/Tender/SplashBidNoticeAbstractUI.aspx?menuIndex=3&amp;refID=7150458&amp;Result=3","7150458")</f>
        <v>0</v>
      </c>
      <c r="B13324" t="s">
        <v>2354</v>
      </c>
      <c r="C13324" t="s">
        <v>16280</v>
      </c>
      <c r="D13324" t="s">
        <v>17174</v>
      </c>
      <c r="E13324" t="s">
        <v>28603</v>
      </c>
      <c r="F13324" t="s">
        <v>29372</v>
      </c>
      <c r="G13324" t="s">
        <v>29380</v>
      </c>
      <c r="H13324" t="s">
        <v>11048</v>
      </c>
      <c r="I13324" t="s">
        <v>8614</v>
      </c>
      <c r="J13324" t="s">
        <v>37926</v>
      </c>
      <c r="K13324" t="s">
        <v>38503</v>
      </c>
      <c r="M13324" t="s">
        <v>41289</v>
      </c>
      <c r="N13324" t="s">
        <v>42669</v>
      </c>
      <c r="O13324" t="s">
        <v>42670</v>
      </c>
      <c r="Q13324">
        <v>2</v>
      </c>
      <c r="R13324" t="s">
        <v>42692</v>
      </c>
      <c r="S13324" t="s">
        <v>43811</v>
      </c>
      <c r="T13324" t="s">
        <v>44554</v>
      </c>
      <c r="U13324" t="s">
        <v>55653</v>
      </c>
      <c r="V13324" t="s">
        <v>57899</v>
      </c>
      <c r="W13324" t="s">
        <v>41289</v>
      </c>
      <c r="X13324" t="s">
        <v>42693</v>
      </c>
    </row>
    <row r="13325" spans="1:24">
      <c r="A13325">
        <f>HYPERLINK("https://www.philgeps.gov.ph/GEPSNONPILOT/Tender/SplashBidNoticeAbstractUI.aspx?menuIndex=3&amp;refID=7150310&amp;Result=3","7150310")</f>
        <v>0</v>
      </c>
      <c r="B13325" t="s">
        <v>1337</v>
      </c>
      <c r="C13325" t="s">
        <v>16281</v>
      </c>
      <c r="D13325" t="s">
        <v>17148</v>
      </c>
      <c r="E13325" t="s">
        <v>28604</v>
      </c>
      <c r="F13325" t="s">
        <v>29372</v>
      </c>
      <c r="G13325" t="s">
        <v>29380</v>
      </c>
      <c r="H13325" t="s">
        <v>11048</v>
      </c>
      <c r="I13325" t="s">
        <v>3629</v>
      </c>
      <c r="J13325" t="s">
        <v>37927</v>
      </c>
      <c r="K13325" t="s">
        <v>38485</v>
      </c>
      <c r="L13325" t="s">
        <v>1337</v>
      </c>
      <c r="M13325" t="s">
        <v>40173</v>
      </c>
      <c r="N13325" t="s">
        <v>42669</v>
      </c>
      <c r="O13325" t="s">
        <v>42670</v>
      </c>
      <c r="P13325">
        <v>0</v>
      </c>
      <c r="Q13325">
        <v>7</v>
      </c>
      <c r="R13325" t="s">
        <v>42692</v>
      </c>
      <c r="S13325" t="s">
        <v>43798</v>
      </c>
      <c r="T13325" t="s">
        <v>44401</v>
      </c>
      <c r="U13325" t="s">
        <v>55654</v>
      </c>
      <c r="W13325" t="s">
        <v>40173</v>
      </c>
      <c r="X13325" t="s">
        <v>42693</v>
      </c>
    </row>
    <row r="13326" spans="1:24">
      <c r="A13326">
        <f>HYPERLINK("https://www.philgeps.gov.ph/GEPSNONPILOT/Tender/SplashBidNoticeAbstractUI.aspx?menuIndex=3&amp;refID=7150413&amp;Result=3","7150413")</f>
        <v>0</v>
      </c>
      <c r="B13326" t="s">
        <v>2354</v>
      </c>
      <c r="C13326" t="s">
        <v>16282</v>
      </c>
      <c r="D13326" t="s">
        <v>17174</v>
      </c>
      <c r="E13326" t="s">
        <v>28605</v>
      </c>
      <c r="F13326" t="s">
        <v>29372</v>
      </c>
      <c r="G13326" t="s">
        <v>29380</v>
      </c>
      <c r="H13326" t="s">
        <v>11048</v>
      </c>
      <c r="I13326" t="s">
        <v>8614</v>
      </c>
      <c r="J13326" t="s">
        <v>37928</v>
      </c>
      <c r="K13326" t="s">
        <v>38503</v>
      </c>
      <c r="M13326" t="s">
        <v>41289</v>
      </c>
      <c r="N13326" t="s">
        <v>42669</v>
      </c>
      <c r="O13326" t="s">
        <v>42670</v>
      </c>
      <c r="P13326">
        <v>0</v>
      </c>
      <c r="Q13326">
        <v>2</v>
      </c>
      <c r="R13326" t="s">
        <v>42692</v>
      </c>
      <c r="S13326" t="s">
        <v>43798</v>
      </c>
      <c r="T13326" t="s">
        <v>44554</v>
      </c>
      <c r="U13326" t="s">
        <v>55655</v>
      </c>
      <c r="V13326" t="s">
        <v>57900</v>
      </c>
      <c r="W13326" t="s">
        <v>41289</v>
      </c>
      <c r="X13326" t="s">
        <v>42693</v>
      </c>
    </row>
    <row r="13327" spans="1:24">
      <c r="A13327">
        <f>HYPERLINK("https://www.philgeps.gov.ph/GEPSNONPILOT/Tender/SplashBidNoticeAbstractUI.aspx?menuIndex=3&amp;refID=7150374&amp;Result=3","7150374")</f>
        <v>0</v>
      </c>
      <c r="B13327" t="s">
        <v>2354</v>
      </c>
      <c r="C13327" t="s">
        <v>16283</v>
      </c>
      <c r="D13327" t="s">
        <v>17174</v>
      </c>
      <c r="E13327" t="s">
        <v>28606</v>
      </c>
      <c r="F13327" t="s">
        <v>29372</v>
      </c>
      <c r="G13327" t="s">
        <v>29380</v>
      </c>
      <c r="H13327" t="s">
        <v>11048</v>
      </c>
      <c r="I13327" t="s">
        <v>8614</v>
      </c>
      <c r="J13327" t="s">
        <v>29590</v>
      </c>
      <c r="K13327" t="s">
        <v>38503</v>
      </c>
      <c r="M13327" t="s">
        <v>41289</v>
      </c>
      <c r="N13327" t="s">
        <v>42669</v>
      </c>
      <c r="O13327" t="s">
        <v>42670</v>
      </c>
      <c r="P13327">
        <v>0</v>
      </c>
      <c r="Q13327">
        <v>9</v>
      </c>
      <c r="R13327" t="s">
        <v>42692</v>
      </c>
      <c r="S13327" t="s">
        <v>43798</v>
      </c>
      <c r="T13327" t="s">
        <v>44554</v>
      </c>
      <c r="U13327" t="s">
        <v>55656</v>
      </c>
      <c r="V13327" t="s">
        <v>57901</v>
      </c>
      <c r="W13327" t="s">
        <v>41289</v>
      </c>
      <c r="X13327" t="s">
        <v>42693</v>
      </c>
    </row>
    <row r="13328" spans="1:24">
      <c r="A13328">
        <f>HYPERLINK("https://www.philgeps.gov.ph/GEPSNONPILOT/Tender/SplashBidNoticeAbstractUI.aspx?menuIndex=3&amp;refID=7150446&amp;Result=3","7150446")</f>
        <v>0</v>
      </c>
      <c r="B13328" t="s">
        <v>838</v>
      </c>
      <c r="C13328" t="s">
        <v>16284</v>
      </c>
      <c r="E13328" t="s">
        <v>28607</v>
      </c>
      <c r="F13328" t="s">
        <v>29372</v>
      </c>
      <c r="G13328" t="s">
        <v>29380</v>
      </c>
      <c r="H13328" t="s">
        <v>11048</v>
      </c>
      <c r="I13328" t="s">
        <v>29417</v>
      </c>
      <c r="J13328" t="s">
        <v>29724</v>
      </c>
      <c r="K13328" t="s">
        <v>38485</v>
      </c>
      <c r="M13328" t="s">
        <v>39628</v>
      </c>
      <c r="N13328" t="s">
        <v>42669</v>
      </c>
      <c r="O13328" t="s">
        <v>42670</v>
      </c>
      <c r="Q13328">
        <v>7</v>
      </c>
      <c r="R13328" t="s">
        <v>42692</v>
      </c>
      <c r="S13328" t="s">
        <v>43812</v>
      </c>
      <c r="T13328" t="s">
        <v>44579</v>
      </c>
      <c r="U13328" t="s">
        <v>55657</v>
      </c>
      <c r="W13328" t="s">
        <v>58093</v>
      </c>
      <c r="X13328" t="s">
        <v>42693</v>
      </c>
    </row>
    <row r="13329" spans="1:24">
      <c r="A13329">
        <f>HYPERLINK("https://www.philgeps.gov.ph/GEPSNONPILOT/Tender/SplashBidNoticeAbstractUI.aspx?menuIndex=3&amp;refID=7150226&amp;Result=3","7150226")</f>
        <v>0</v>
      </c>
      <c r="B13329" t="s">
        <v>3131</v>
      </c>
      <c r="C13329" t="s">
        <v>16285</v>
      </c>
      <c r="D13329" t="s">
        <v>17205</v>
      </c>
      <c r="E13329" t="s">
        <v>28608</v>
      </c>
      <c r="F13329" t="s">
        <v>29372</v>
      </c>
      <c r="G13329" t="s">
        <v>29380</v>
      </c>
      <c r="H13329" t="s">
        <v>11048</v>
      </c>
      <c r="I13329" t="s">
        <v>4486</v>
      </c>
      <c r="J13329" t="s">
        <v>37929</v>
      </c>
      <c r="K13329" t="s">
        <v>38485</v>
      </c>
      <c r="M13329" t="s">
        <v>42175</v>
      </c>
      <c r="N13329" t="s">
        <v>42669</v>
      </c>
      <c r="O13329" t="s">
        <v>42670</v>
      </c>
      <c r="Q13329">
        <v>16</v>
      </c>
      <c r="R13329" t="s">
        <v>42692</v>
      </c>
      <c r="S13329" t="s">
        <v>43813</v>
      </c>
      <c r="T13329" t="s">
        <v>44446</v>
      </c>
      <c r="U13329" t="s">
        <v>55658</v>
      </c>
      <c r="W13329" t="s">
        <v>42175</v>
      </c>
      <c r="X13329" t="s">
        <v>42693</v>
      </c>
    </row>
    <row r="13330" spans="1:24">
      <c r="A13330">
        <f>HYPERLINK("https://www.philgeps.gov.ph/GEPSNONPILOT/Tender/SplashBidNoticeAbstractUI.aspx?menuIndex=3&amp;refID=7150414&amp;Result=3","7150414")</f>
        <v>0</v>
      </c>
      <c r="B13330" t="s">
        <v>1716</v>
      </c>
      <c r="C13330" t="s">
        <v>16286</v>
      </c>
      <c r="D13330" t="s">
        <v>17174</v>
      </c>
      <c r="E13330" t="s">
        <v>17282</v>
      </c>
      <c r="F13330" t="s">
        <v>29372</v>
      </c>
      <c r="G13330" t="s">
        <v>29380</v>
      </c>
      <c r="H13330" t="s">
        <v>29389</v>
      </c>
      <c r="I13330" t="s">
        <v>10408</v>
      </c>
      <c r="J13330" t="s">
        <v>29788</v>
      </c>
      <c r="K13330" t="s">
        <v>38533</v>
      </c>
      <c r="L13330" t="s">
        <v>1716</v>
      </c>
      <c r="M13330" t="s">
        <v>40579</v>
      </c>
      <c r="N13330" t="s">
        <v>42669</v>
      </c>
      <c r="O13330" t="s">
        <v>42670</v>
      </c>
      <c r="P13330">
        <v>0</v>
      </c>
      <c r="Q13330">
        <v>3</v>
      </c>
      <c r="R13330" t="s">
        <v>42692</v>
      </c>
      <c r="S13330" t="s">
        <v>43798</v>
      </c>
      <c r="T13330" t="s">
        <v>44493</v>
      </c>
      <c r="U13330" t="s">
        <v>55659</v>
      </c>
      <c r="V13330" t="s">
        <v>47944</v>
      </c>
      <c r="W13330" t="s">
        <v>40579</v>
      </c>
      <c r="X13330" t="s">
        <v>42693</v>
      </c>
    </row>
    <row r="13331" spans="1:24">
      <c r="A13331">
        <f>HYPERLINK("https://www.philgeps.gov.ph/GEPSNONPILOT/Tender/SplashBidNoticeAbstractUI.aspx?menuIndex=3&amp;refID=7150285&amp;Result=3","7150285")</f>
        <v>0</v>
      </c>
      <c r="B13331" t="s">
        <v>2354</v>
      </c>
      <c r="C13331" t="s">
        <v>16287</v>
      </c>
      <c r="D13331" t="s">
        <v>17174</v>
      </c>
      <c r="E13331" t="s">
        <v>28609</v>
      </c>
      <c r="F13331" t="s">
        <v>29372</v>
      </c>
      <c r="G13331" t="s">
        <v>29380</v>
      </c>
      <c r="H13331" t="s">
        <v>11048</v>
      </c>
      <c r="I13331" t="s">
        <v>9642</v>
      </c>
      <c r="J13331" t="s">
        <v>29804</v>
      </c>
      <c r="K13331" t="s">
        <v>38503</v>
      </c>
      <c r="M13331" t="s">
        <v>41289</v>
      </c>
      <c r="N13331" t="s">
        <v>42669</v>
      </c>
      <c r="O13331" t="s">
        <v>42670</v>
      </c>
      <c r="Q13331">
        <v>3</v>
      </c>
      <c r="R13331" t="s">
        <v>42692</v>
      </c>
      <c r="S13331" t="s">
        <v>43814</v>
      </c>
      <c r="T13331" t="s">
        <v>44554</v>
      </c>
      <c r="U13331" t="s">
        <v>55660</v>
      </c>
      <c r="V13331" t="s">
        <v>57902</v>
      </c>
      <c r="W13331" t="s">
        <v>41289</v>
      </c>
      <c r="X13331" t="s">
        <v>42693</v>
      </c>
    </row>
    <row r="13332" spans="1:24">
      <c r="A13332">
        <f>HYPERLINK("https://www.philgeps.gov.ph/GEPSNONPILOT/Tender/SplashBidNoticeAbstractUI.aspx?menuIndex=3&amp;refID=7150349&amp;Result=3","7150349")</f>
        <v>0</v>
      </c>
      <c r="B13332" t="s">
        <v>1741</v>
      </c>
      <c r="C13332" t="s">
        <v>16288</v>
      </c>
      <c r="D13332" t="s">
        <v>17150</v>
      </c>
      <c r="E13332" t="s">
        <v>27029</v>
      </c>
      <c r="F13332" t="s">
        <v>29372</v>
      </c>
      <c r="G13332" t="s">
        <v>29380</v>
      </c>
      <c r="H13332" t="s">
        <v>29389</v>
      </c>
      <c r="I13332" t="s">
        <v>10408</v>
      </c>
      <c r="J13332" t="s">
        <v>37930</v>
      </c>
      <c r="K13332" t="s">
        <v>38548</v>
      </c>
      <c r="M13332" t="s">
        <v>40606</v>
      </c>
      <c r="N13332" t="s">
        <v>42669</v>
      </c>
      <c r="O13332" t="s">
        <v>42670</v>
      </c>
      <c r="Q13332">
        <v>7</v>
      </c>
      <c r="R13332" t="s">
        <v>42692</v>
      </c>
      <c r="S13332" t="s">
        <v>43815</v>
      </c>
      <c r="T13332" t="s">
        <v>44491</v>
      </c>
      <c r="U13332" t="s">
        <v>55661</v>
      </c>
      <c r="V13332" t="s">
        <v>57903</v>
      </c>
      <c r="W13332" t="s">
        <v>40606</v>
      </c>
      <c r="X13332" t="s">
        <v>42693</v>
      </c>
    </row>
    <row r="13333" spans="1:24">
      <c r="A13333">
        <f>HYPERLINK("https://www.philgeps.gov.ph/GEPSNONPILOT/Tender/SplashBidNoticeAbstractUI.aspx?menuIndex=3&amp;refID=7150301&amp;Result=3","7150301")</f>
        <v>0</v>
      </c>
      <c r="B13333" t="s">
        <v>74</v>
      </c>
      <c r="C13333" t="s">
        <v>16289</v>
      </c>
      <c r="D13333" t="s">
        <v>17169</v>
      </c>
      <c r="E13333" t="s">
        <v>28610</v>
      </c>
      <c r="F13333" t="s">
        <v>29372</v>
      </c>
      <c r="G13333" t="s">
        <v>29380</v>
      </c>
      <c r="H13333" t="s">
        <v>29389</v>
      </c>
      <c r="I13333" t="s">
        <v>10408</v>
      </c>
      <c r="J13333" t="s">
        <v>37931</v>
      </c>
      <c r="K13333" t="s">
        <v>38714</v>
      </c>
      <c r="L13333" t="s">
        <v>74</v>
      </c>
      <c r="M13333" t="s">
        <v>38828</v>
      </c>
      <c r="N13333" t="s">
        <v>42669</v>
      </c>
      <c r="O13333" t="s">
        <v>42670</v>
      </c>
      <c r="P13333">
        <v>0</v>
      </c>
      <c r="Q13333">
        <v>18</v>
      </c>
      <c r="R13333" t="s">
        <v>42692</v>
      </c>
      <c r="S13333" t="s">
        <v>43798</v>
      </c>
      <c r="T13333" t="s">
        <v>44548</v>
      </c>
      <c r="U13333" t="s">
        <v>55649</v>
      </c>
      <c r="W13333" t="s">
        <v>38828</v>
      </c>
      <c r="X13333" t="s">
        <v>42693</v>
      </c>
    </row>
    <row r="13334" spans="1:24">
      <c r="A13334">
        <f>HYPERLINK("https://www.philgeps.gov.ph/GEPSNONPILOT/Tender/SplashBidNoticeAbstractUI.aspx?menuIndex=3&amp;refID=7150509&amp;Result=3","7150509")</f>
        <v>0</v>
      </c>
      <c r="B13334" t="s">
        <v>3449</v>
      </c>
      <c r="C13334" t="s">
        <v>16290</v>
      </c>
      <c r="D13334" t="s">
        <v>17206</v>
      </c>
      <c r="E13334" t="s">
        <v>28611</v>
      </c>
      <c r="F13334" t="s">
        <v>29372</v>
      </c>
      <c r="G13334" t="s">
        <v>29380</v>
      </c>
      <c r="H13334" t="s">
        <v>29389</v>
      </c>
      <c r="I13334" t="s">
        <v>10408</v>
      </c>
      <c r="J13334" t="s">
        <v>29573</v>
      </c>
      <c r="K13334" t="s">
        <v>38598</v>
      </c>
      <c r="M13334" t="s">
        <v>42562</v>
      </c>
      <c r="N13334" t="s">
        <v>42669</v>
      </c>
      <c r="O13334" t="s">
        <v>42670</v>
      </c>
      <c r="P13334">
        <v>0</v>
      </c>
      <c r="Q13334">
        <v>3</v>
      </c>
      <c r="R13334" t="s">
        <v>42692</v>
      </c>
      <c r="S13334" t="s">
        <v>43798</v>
      </c>
      <c r="T13334" t="s">
        <v>44493</v>
      </c>
      <c r="U13334" t="s">
        <v>55662</v>
      </c>
      <c r="W13334" t="s">
        <v>42562</v>
      </c>
      <c r="X13334" t="s">
        <v>42693</v>
      </c>
    </row>
    <row r="13335" spans="1:24">
      <c r="A13335">
        <f>HYPERLINK("https://www.philgeps.gov.ph/GEPSNONPILOT/Tender/SplashBidNoticeAbstractUI.aspx?menuIndex=3&amp;refID=7150406&amp;Result=3","7150406")</f>
        <v>0</v>
      </c>
      <c r="B13335" t="s">
        <v>74</v>
      </c>
      <c r="C13335" t="s">
        <v>16291</v>
      </c>
      <c r="D13335" t="s">
        <v>17169</v>
      </c>
      <c r="E13335" t="s">
        <v>28612</v>
      </c>
      <c r="F13335" t="s">
        <v>29372</v>
      </c>
      <c r="G13335" t="s">
        <v>29380</v>
      </c>
      <c r="H13335" t="s">
        <v>29389</v>
      </c>
      <c r="I13335" t="s">
        <v>10408</v>
      </c>
      <c r="J13335" t="s">
        <v>37932</v>
      </c>
      <c r="K13335" t="s">
        <v>38522</v>
      </c>
      <c r="L13335" t="s">
        <v>74</v>
      </c>
      <c r="M13335" t="s">
        <v>38828</v>
      </c>
      <c r="N13335" t="s">
        <v>42669</v>
      </c>
      <c r="O13335" t="s">
        <v>42670</v>
      </c>
      <c r="P13335">
        <v>0</v>
      </c>
      <c r="Q13335">
        <v>10</v>
      </c>
      <c r="R13335" t="s">
        <v>42692</v>
      </c>
      <c r="S13335" t="s">
        <v>43798</v>
      </c>
      <c r="T13335" t="s">
        <v>44548</v>
      </c>
      <c r="U13335" t="s">
        <v>55649</v>
      </c>
      <c r="W13335" t="s">
        <v>38828</v>
      </c>
      <c r="X13335" t="s">
        <v>42693</v>
      </c>
    </row>
    <row r="13336" spans="1:24">
      <c r="A13336">
        <f>HYPERLINK("https://www.philgeps.gov.ph/GEPSNONPILOT/Tender/SplashBidNoticeAbstractUI.aspx?menuIndex=3&amp;refID=7150654&amp;Result=3","7150654")</f>
        <v>0</v>
      </c>
      <c r="B13336" t="s">
        <v>3450</v>
      </c>
      <c r="C13336" t="s">
        <v>16292</v>
      </c>
      <c r="D13336" t="s">
        <v>17159</v>
      </c>
      <c r="E13336" t="s">
        <v>28613</v>
      </c>
      <c r="F13336" t="s">
        <v>29372</v>
      </c>
      <c r="G13336" t="s">
        <v>29380</v>
      </c>
      <c r="H13336" t="s">
        <v>29389</v>
      </c>
      <c r="I13336" t="s">
        <v>10408</v>
      </c>
      <c r="J13336" t="s">
        <v>37933</v>
      </c>
      <c r="K13336" t="s">
        <v>38520</v>
      </c>
      <c r="M13336" t="s">
        <v>42563</v>
      </c>
      <c r="N13336" t="s">
        <v>42669</v>
      </c>
      <c r="O13336" t="s">
        <v>42670</v>
      </c>
      <c r="P13336">
        <v>0</v>
      </c>
      <c r="Q13336">
        <v>0</v>
      </c>
      <c r="R13336" t="s">
        <v>42692</v>
      </c>
      <c r="S13336" t="s">
        <v>43798</v>
      </c>
      <c r="T13336" t="s">
        <v>44491</v>
      </c>
      <c r="U13336" t="s">
        <v>55663</v>
      </c>
      <c r="W13336" t="s">
        <v>42563</v>
      </c>
      <c r="X13336" t="s">
        <v>42693</v>
      </c>
    </row>
    <row r="13337" spans="1:24">
      <c r="A13337">
        <f>HYPERLINK("https://www.philgeps.gov.ph/GEPSNONPILOT/Tender/SplashBidNoticeAbstractUI.aspx?menuIndex=3&amp;refID=7150630&amp;Result=3","7150630")</f>
        <v>0</v>
      </c>
      <c r="B13337" t="s">
        <v>955</v>
      </c>
      <c r="C13337" t="s">
        <v>16293</v>
      </c>
      <c r="E13337" t="s">
        <v>28614</v>
      </c>
      <c r="F13337" t="s">
        <v>29372</v>
      </c>
      <c r="G13337" t="s">
        <v>29380</v>
      </c>
      <c r="H13337" t="s">
        <v>29389</v>
      </c>
      <c r="I13337" t="s">
        <v>10408</v>
      </c>
      <c r="J13337" t="s">
        <v>37934</v>
      </c>
      <c r="K13337" t="s">
        <v>38490</v>
      </c>
      <c r="M13337" t="s">
        <v>42564</v>
      </c>
      <c r="N13337" t="s">
        <v>42669</v>
      </c>
      <c r="O13337" t="s">
        <v>42670</v>
      </c>
      <c r="P13337">
        <v>0</v>
      </c>
      <c r="Q13337">
        <v>10</v>
      </c>
      <c r="R13337" t="s">
        <v>42692</v>
      </c>
      <c r="S13337" t="s">
        <v>43798</v>
      </c>
      <c r="T13337" t="s">
        <v>44448</v>
      </c>
      <c r="U13337" t="s">
        <v>55664</v>
      </c>
      <c r="W13337" t="s">
        <v>42564</v>
      </c>
      <c r="X13337" t="s">
        <v>42693</v>
      </c>
    </row>
    <row r="13338" spans="1:24">
      <c r="A13338">
        <f>HYPERLINK("https://www.philgeps.gov.ph/GEPSNONPILOT/Tender/SplashBidNoticeAbstractUI.aspx?menuIndex=3&amp;refID=7150607&amp;Result=3","7150607")</f>
        <v>0</v>
      </c>
      <c r="B13338" t="s">
        <v>2354</v>
      </c>
      <c r="C13338" t="s">
        <v>16294</v>
      </c>
      <c r="D13338" t="s">
        <v>17174</v>
      </c>
      <c r="E13338" t="s">
        <v>28615</v>
      </c>
      <c r="F13338" t="s">
        <v>29372</v>
      </c>
      <c r="G13338" t="s">
        <v>29381</v>
      </c>
      <c r="H13338" t="s">
        <v>11048</v>
      </c>
      <c r="I13338" t="s">
        <v>29433</v>
      </c>
      <c r="J13338" t="s">
        <v>37935</v>
      </c>
      <c r="K13338" t="s">
        <v>38503</v>
      </c>
      <c r="M13338" t="s">
        <v>41289</v>
      </c>
      <c r="N13338" t="s">
        <v>42669</v>
      </c>
      <c r="O13338" t="s">
        <v>42670</v>
      </c>
      <c r="P13338">
        <v>0</v>
      </c>
      <c r="Q13338">
        <v>4</v>
      </c>
      <c r="R13338" t="s">
        <v>42692</v>
      </c>
      <c r="S13338" t="s">
        <v>43798</v>
      </c>
      <c r="T13338" t="s">
        <v>44554</v>
      </c>
      <c r="U13338" t="s">
        <v>55665</v>
      </c>
      <c r="W13338" t="s">
        <v>41289</v>
      </c>
      <c r="X13338" t="s">
        <v>42693</v>
      </c>
    </row>
    <row r="13339" spans="1:24">
      <c r="A13339">
        <f>HYPERLINK("https://www.philgeps.gov.ph/GEPSNONPILOT/Tender/SplashBidNoticeAbstractUI.aspx?menuIndex=3&amp;refID=7150574&amp;Result=3","7150574")</f>
        <v>0</v>
      </c>
      <c r="B13339" t="s">
        <v>74</v>
      </c>
      <c r="C13339" t="s">
        <v>16295</v>
      </c>
      <c r="D13339" t="s">
        <v>17169</v>
      </c>
      <c r="E13339" t="s">
        <v>28616</v>
      </c>
      <c r="F13339" t="s">
        <v>29372</v>
      </c>
      <c r="G13339" t="s">
        <v>29380</v>
      </c>
      <c r="H13339" t="s">
        <v>29389</v>
      </c>
      <c r="I13339" t="s">
        <v>10408</v>
      </c>
      <c r="J13339" t="s">
        <v>34709</v>
      </c>
      <c r="K13339" t="s">
        <v>38533</v>
      </c>
      <c r="L13339" t="s">
        <v>74</v>
      </c>
      <c r="M13339" t="s">
        <v>38828</v>
      </c>
      <c r="N13339" t="s">
        <v>42669</v>
      </c>
      <c r="O13339" t="s">
        <v>42670</v>
      </c>
      <c r="Q13339">
        <v>11</v>
      </c>
      <c r="R13339" t="s">
        <v>42692</v>
      </c>
      <c r="S13339" t="s">
        <v>43816</v>
      </c>
      <c r="T13339" t="s">
        <v>44548</v>
      </c>
      <c r="U13339" t="s">
        <v>55649</v>
      </c>
      <c r="W13339" t="s">
        <v>38828</v>
      </c>
      <c r="X13339" t="s">
        <v>42693</v>
      </c>
    </row>
    <row r="13340" spans="1:24">
      <c r="A13340">
        <f>HYPERLINK("https://www.philgeps.gov.ph/GEPSNONPILOT/Tender/SplashBidNoticeAbstractUI.aspx?menuIndex=3&amp;refID=7150568&amp;Result=3","7150568")</f>
        <v>0</v>
      </c>
      <c r="B13340" t="s">
        <v>2354</v>
      </c>
      <c r="C13340" t="s">
        <v>16296</v>
      </c>
      <c r="D13340" t="s">
        <v>17174</v>
      </c>
      <c r="E13340" t="s">
        <v>28617</v>
      </c>
      <c r="F13340" t="s">
        <v>29372</v>
      </c>
      <c r="G13340" t="s">
        <v>29381</v>
      </c>
      <c r="H13340" t="s">
        <v>11048</v>
      </c>
      <c r="I13340" t="s">
        <v>4486</v>
      </c>
      <c r="J13340" t="s">
        <v>37936</v>
      </c>
      <c r="K13340" t="s">
        <v>38503</v>
      </c>
      <c r="M13340" t="s">
        <v>41289</v>
      </c>
      <c r="N13340" t="s">
        <v>42669</v>
      </c>
      <c r="O13340" t="s">
        <v>42670</v>
      </c>
      <c r="P13340">
        <v>0</v>
      </c>
      <c r="Q13340">
        <v>0</v>
      </c>
      <c r="R13340" t="s">
        <v>42692</v>
      </c>
      <c r="S13340" t="s">
        <v>43798</v>
      </c>
      <c r="T13340" t="s">
        <v>44554</v>
      </c>
      <c r="U13340" t="s">
        <v>55665</v>
      </c>
      <c r="W13340" t="s">
        <v>41289</v>
      </c>
      <c r="X13340" t="s">
        <v>42693</v>
      </c>
    </row>
    <row r="13341" spans="1:24">
      <c r="A13341">
        <f>HYPERLINK("https://www.philgeps.gov.ph/GEPSNONPILOT/Tender/SplashBidNoticeAbstractUI.aspx?menuIndex=3&amp;refID=7150671&amp;Result=3","7150671")</f>
        <v>0</v>
      </c>
      <c r="B13341" t="s">
        <v>2327</v>
      </c>
      <c r="C13341" t="s">
        <v>16297</v>
      </c>
      <c r="D13341" t="s">
        <v>17163</v>
      </c>
      <c r="E13341" t="s">
        <v>28618</v>
      </c>
      <c r="F13341" t="s">
        <v>29372</v>
      </c>
      <c r="G13341" t="s">
        <v>29380</v>
      </c>
      <c r="H13341" t="s">
        <v>11048</v>
      </c>
      <c r="I13341" t="s">
        <v>7828</v>
      </c>
      <c r="J13341" t="s">
        <v>30056</v>
      </c>
      <c r="K13341" t="s">
        <v>38487</v>
      </c>
      <c r="M13341" t="s">
        <v>41985</v>
      </c>
      <c r="N13341" t="s">
        <v>42669</v>
      </c>
      <c r="O13341" t="s">
        <v>42670</v>
      </c>
      <c r="Q13341">
        <v>19</v>
      </c>
      <c r="R13341" t="s">
        <v>42692</v>
      </c>
      <c r="S13341" t="s">
        <v>43817</v>
      </c>
      <c r="T13341" t="s">
        <v>44349</v>
      </c>
      <c r="U13341" t="s">
        <v>55666</v>
      </c>
      <c r="W13341" t="s">
        <v>41985</v>
      </c>
      <c r="X13341" t="s">
        <v>42693</v>
      </c>
    </row>
    <row r="13342" spans="1:24">
      <c r="A13342">
        <f>HYPERLINK("https://www.philgeps.gov.ph/GEPSNONPILOT/Tender/SplashBidNoticeAbstractUI.aspx?menuIndex=3&amp;refID=7150625&amp;Result=3","7150625")</f>
        <v>0</v>
      </c>
      <c r="B13342" t="s">
        <v>1671</v>
      </c>
      <c r="C13342" t="s">
        <v>16298</v>
      </c>
      <c r="E13342" t="s">
        <v>28619</v>
      </c>
      <c r="F13342" t="s">
        <v>29372</v>
      </c>
      <c r="G13342" t="s">
        <v>29380</v>
      </c>
      <c r="H13342" t="s">
        <v>29389</v>
      </c>
      <c r="I13342" t="s">
        <v>10408</v>
      </c>
      <c r="J13342" t="s">
        <v>37540</v>
      </c>
      <c r="K13342" t="s">
        <v>38755</v>
      </c>
      <c r="M13342" t="s">
        <v>42565</v>
      </c>
      <c r="N13342" t="s">
        <v>42669</v>
      </c>
      <c r="O13342" t="s">
        <v>42670</v>
      </c>
      <c r="Q13342">
        <v>11</v>
      </c>
      <c r="R13342" t="s">
        <v>42692</v>
      </c>
      <c r="S13342" t="s">
        <v>43818</v>
      </c>
      <c r="T13342" t="s">
        <v>44470</v>
      </c>
      <c r="U13342" t="s">
        <v>55667</v>
      </c>
      <c r="W13342" t="s">
        <v>42565</v>
      </c>
      <c r="X13342" t="s">
        <v>42693</v>
      </c>
    </row>
    <row r="13343" spans="1:24">
      <c r="A13343">
        <f>HYPERLINK("https://www.philgeps.gov.ph/GEPSNONPILOT/Tender/SplashBidNoticeAbstractUI.aspx?menuIndex=3&amp;refID=7150720&amp;Result=3","7150720")</f>
        <v>0</v>
      </c>
      <c r="B13343" t="s">
        <v>955</v>
      </c>
      <c r="C13343" t="s">
        <v>16299</v>
      </c>
      <c r="E13343" t="s">
        <v>28620</v>
      </c>
      <c r="F13343" t="s">
        <v>29372</v>
      </c>
      <c r="G13343" t="s">
        <v>29380</v>
      </c>
      <c r="H13343" t="s">
        <v>29389</v>
      </c>
      <c r="I13343" t="s">
        <v>10408</v>
      </c>
      <c r="J13343" t="s">
        <v>37937</v>
      </c>
      <c r="K13343" t="s">
        <v>38490</v>
      </c>
      <c r="M13343" t="s">
        <v>42564</v>
      </c>
      <c r="N13343" t="s">
        <v>42669</v>
      </c>
      <c r="O13343" t="s">
        <v>42670</v>
      </c>
      <c r="P13343">
        <v>0</v>
      </c>
      <c r="Q13343">
        <v>3</v>
      </c>
      <c r="R13343" t="s">
        <v>42692</v>
      </c>
      <c r="S13343" t="s">
        <v>43798</v>
      </c>
      <c r="T13343" t="s">
        <v>44448</v>
      </c>
      <c r="U13343" t="s">
        <v>55668</v>
      </c>
      <c r="W13343" t="s">
        <v>42564</v>
      </c>
      <c r="X13343" t="s">
        <v>42693</v>
      </c>
    </row>
    <row r="13344" spans="1:24">
      <c r="A13344">
        <f>HYPERLINK("https://www.philgeps.gov.ph/GEPSNONPILOT/Tender/SplashBidNoticeAbstractUI.aspx?menuIndex=3&amp;refID=7150713&amp;Result=3","7150713")</f>
        <v>0</v>
      </c>
      <c r="B13344" t="s">
        <v>3451</v>
      </c>
      <c r="C13344" t="s">
        <v>16300</v>
      </c>
      <c r="D13344" t="s">
        <v>17141</v>
      </c>
      <c r="E13344" t="s">
        <v>28621</v>
      </c>
      <c r="F13344" t="s">
        <v>29372</v>
      </c>
      <c r="G13344" t="s">
        <v>29379</v>
      </c>
      <c r="H13344" t="s">
        <v>11048</v>
      </c>
      <c r="I13344" t="s">
        <v>3670</v>
      </c>
      <c r="J13344" t="s">
        <v>32218</v>
      </c>
      <c r="K13344" t="s">
        <v>38488</v>
      </c>
      <c r="M13344" t="s">
        <v>42566</v>
      </c>
      <c r="N13344" t="s">
        <v>42669</v>
      </c>
      <c r="O13344" t="s">
        <v>42670</v>
      </c>
      <c r="Q13344">
        <v>0</v>
      </c>
      <c r="R13344" t="s">
        <v>42692</v>
      </c>
      <c r="S13344" t="s">
        <v>42843</v>
      </c>
      <c r="T13344" t="s">
        <v>44585</v>
      </c>
      <c r="U13344" t="s">
        <v>55669</v>
      </c>
      <c r="W13344" t="s">
        <v>42566</v>
      </c>
      <c r="X13344" t="s">
        <v>42693</v>
      </c>
    </row>
    <row r="13345" spans="1:24">
      <c r="A13345">
        <f>HYPERLINK("https://www.philgeps.gov.ph/GEPSNONPILOT/Tender/SplashBidNoticeAbstractUI.aspx?menuIndex=3&amp;refID=7150639&amp;Result=3","7150639")</f>
        <v>0</v>
      </c>
      <c r="B13345" t="s">
        <v>1671</v>
      </c>
      <c r="C13345" t="s">
        <v>16301</v>
      </c>
      <c r="E13345" t="s">
        <v>28622</v>
      </c>
      <c r="F13345" t="s">
        <v>29372</v>
      </c>
      <c r="G13345" t="s">
        <v>29380</v>
      </c>
      <c r="H13345" t="s">
        <v>29389</v>
      </c>
      <c r="I13345" t="s">
        <v>10408</v>
      </c>
      <c r="J13345" t="s">
        <v>37540</v>
      </c>
      <c r="K13345" t="s">
        <v>38755</v>
      </c>
      <c r="M13345" t="s">
        <v>42565</v>
      </c>
      <c r="N13345" t="s">
        <v>42669</v>
      </c>
      <c r="O13345" t="s">
        <v>42670</v>
      </c>
      <c r="Q13345">
        <v>12</v>
      </c>
      <c r="R13345" t="s">
        <v>42692</v>
      </c>
      <c r="S13345" t="s">
        <v>43819</v>
      </c>
      <c r="T13345" t="s">
        <v>44357</v>
      </c>
      <c r="U13345" t="s">
        <v>55670</v>
      </c>
      <c r="W13345" t="s">
        <v>42565</v>
      </c>
      <c r="X13345" t="s">
        <v>42693</v>
      </c>
    </row>
    <row r="13346" spans="1:24">
      <c r="A13346">
        <f>HYPERLINK("https://www.philgeps.gov.ph/GEPSNONPILOT/Tender/SplashBidNoticeAbstractUI.aspx?menuIndex=3&amp;refID=7150702&amp;Result=3","7150702")</f>
        <v>0</v>
      </c>
      <c r="B13346" t="s">
        <v>955</v>
      </c>
      <c r="C13346" t="s">
        <v>16302</v>
      </c>
      <c r="E13346" t="s">
        <v>28623</v>
      </c>
      <c r="F13346" t="s">
        <v>29372</v>
      </c>
      <c r="G13346" t="s">
        <v>29380</v>
      </c>
      <c r="H13346" t="s">
        <v>29389</v>
      </c>
      <c r="I13346" t="s">
        <v>10408</v>
      </c>
      <c r="J13346" t="s">
        <v>33220</v>
      </c>
      <c r="K13346" t="s">
        <v>38490</v>
      </c>
      <c r="M13346" t="s">
        <v>42564</v>
      </c>
      <c r="N13346" t="s">
        <v>42669</v>
      </c>
      <c r="O13346" t="s">
        <v>42670</v>
      </c>
      <c r="P13346">
        <v>0</v>
      </c>
      <c r="Q13346">
        <v>3</v>
      </c>
      <c r="R13346" t="s">
        <v>42692</v>
      </c>
      <c r="S13346" t="s">
        <v>43798</v>
      </c>
      <c r="T13346" t="s">
        <v>44448</v>
      </c>
      <c r="U13346" t="s">
        <v>55671</v>
      </c>
      <c r="W13346" t="s">
        <v>42564</v>
      </c>
      <c r="X13346" t="s">
        <v>42693</v>
      </c>
    </row>
    <row r="13347" spans="1:24">
      <c r="A13347">
        <f>HYPERLINK("https://www.philgeps.gov.ph/GEPSNONPILOT/Tender/SplashBidNoticeAbstractUI.aspx?menuIndex=3&amp;refID=7150695&amp;Result=3","7150695")</f>
        <v>0</v>
      </c>
      <c r="B13347" t="s">
        <v>955</v>
      </c>
      <c r="C13347" t="s">
        <v>16303</v>
      </c>
      <c r="E13347" t="s">
        <v>28624</v>
      </c>
      <c r="F13347" t="s">
        <v>29372</v>
      </c>
      <c r="G13347" t="s">
        <v>29380</v>
      </c>
      <c r="H13347" t="s">
        <v>29389</v>
      </c>
      <c r="I13347" t="s">
        <v>10408</v>
      </c>
      <c r="J13347" t="s">
        <v>37938</v>
      </c>
      <c r="K13347" t="s">
        <v>38490</v>
      </c>
      <c r="M13347" t="s">
        <v>42564</v>
      </c>
      <c r="N13347" t="s">
        <v>42669</v>
      </c>
      <c r="O13347" t="s">
        <v>42670</v>
      </c>
      <c r="P13347">
        <v>0</v>
      </c>
      <c r="Q13347">
        <v>1</v>
      </c>
      <c r="R13347" t="s">
        <v>42692</v>
      </c>
      <c r="S13347" t="s">
        <v>43798</v>
      </c>
      <c r="T13347" t="s">
        <v>44448</v>
      </c>
      <c r="U13347" t="s">
        <v>55672</v>
      </c>
      <c r="W13347" t="s">
        <v>42564</v>
      </c>
      <c r="X13347" t="s">
        <v>42693</v>
      </c>
    </row>
    <row r="13348" spans="1:24">
      <c r="A13348">
        <f>HYPERLINK("https://www.philgeps.gov.ph/GEPSNONPILOT/Tender/SplashBidNoticeAbstractUI.aspx?menuIndex=3&amp;refID=7150527&amp;Result=3","7150527")</f>
        <v>0</v>
      </c>
      <c r="B13348" t="s">
        <v>2354</v>
      </c>
      <c r="C13348" t="s">
        <v>16304</v>
      </c>
      <c r="D13348" t="s">
        <v>17174</v>
      </c>
      <c r="E13348" t="s">
        <v>28625</v>
      </c>
      <c r="F13348" t="s">
        <v>29372</v>
      </c>
      <c r="G13348" t="s">
        <v>29381</v>
      </c>
      <c r="H13348" t="s">
        <v>11048</v>
      </c>
      <c r="I13348" t="s">
        <v>29433</v>
      </c>
      <c r="J13348" t="s">
        <v>37939</v>
      </c>
      <c r="K13348" t="s">
        <v>38503</v>
      </c>
      <c r="M13348" t="s">
        <v>41289</v>
      </c>
      <c r="N13348" t="s">
        <v>42669</v>
      </c>
      <c r="O13348" t="s">
        <v>42670</v>
      </c>
      <c r="P13348">
        <v>0</v>
      </c>
      <c r="Q13348">
        <v>3</v>
      </c>
      <c r="R13348" t="s">
        <v>42692</v>
      </c>
      <c r="S13348" t="s">
        <v>43798</v>
      </c>
      <c r="T13348" t="s">
        <v>44554</v>
      </c>
      <c r="U13348" t="s">
        <v>55673</v>
      </c>
      <c r="W13348" t="s">
        <v>41289</v>
      </c>
      <c r="X13348" t="s">
        <v>42693</v>
      </c>
    </row>
    <row r="13349" spans="1:24">
      <c r="A13349">
        <f>HYPERLINK("https://www.philgeps.gov.ph/GEPSNONPILOT/Tender/SplashBidNoticeAbstractUI.aspx?menuIndex=3&amp;refID=7150682&amp;Result=3","7150682")</f>
        <v>0</v>
      </c>
      <c r="B13349" t="s">
        <v>3452</v>
      </c>
      <c r="C13349" t="s">
        <v>16305</v>
      </c>
      <c r="D13349" t="s">
        <v>17178</v>
      </c>
      <c r="E13349" t="s">
        <v>16305</v>
      </c>
      <c r="F13349" t="s">
        <v>29372</v>
      </c>
      <c r="G13349" t="s">
        <v>29380</v>
      </c>
      <c r="H13349" t="s">
        <v>29389</v>
      </c>
      <c r="I13349" t="s">
        <v>10408</v>
      </c>
      <c r="J13349" t="s">
        <v>30161</v>
      </c>
      <c r="K13349" t="s">
        <v>38726</v>
      </c>
      <c r="M13349" t="s">
        <v>42567</v>
      </c>
      <c r="N13349" t="s">
        <v>42669</v>
      </c>
      <c r="O13349" t="s">
        <v>42670</v>
      </c>
      <c r="Q13349">
        <v>1</v>
      </c>
      <c r="R13349" t="s">
        <v>42692</v>
      </c>
      <c r="S13349" t="s">
        <v>43820</v>
      </c>
      <c r="T13349" t="s">
        <v>44371</v>
      </c>
      <c r="U13349" t="s">
        <v>55674</v>
      </c>
      <c r="W13349" t="s">
        <v>42567</v>
      </c>
      <c r="X13349" t="s">
        <v>42693</v>
      </c>
    </row>
    <row r="13350" spans="1:24">
      <c r="A13350">
        <f>HYPERLINK("https://www.philgeps.gov.ph/GEPSNONPILOT/Tender/SplashBidNoticeAbstractUI.aspx?menuIndex=3&amp;refID=7150679&amp;Result=3","7150679")</f>
        <v>0</v>
      </c>
      <c r="B13350" t="s">
        <v>2354</v>
      </c>
      <c r="C13350" t="s">
        <v>16306</v>
      </c>
      <c r="D13350" t="s">
        <v>17174</v>
      </c>
      <c r="E13350" t="s">
        <v>28626</v>
      </c>
      <c r="F13350" t="s">
        <v>29372</v>
      </c>
      <c r="G13350" t="s">
        <v>29381</v>
      </c>
      <c r="H13350" t="s">
        <v>11048</v>
      </c>
      <c r="I13350" t="s">
        <v>3839</v>
      </c>
      <c r="J13350" t="s">
        <v>37940</v>
      </c>
      <c r="K13350" t="s">
        <v>38503</v>
      </c>
      <c r="M13350" t="s">
        <v>41289</v>
      </c>
      <c r="N13350" t="s">
        <v>42669</v>
      </c>
      <c r="O13350" t="s">
        <v>42670</v>
      </c>
      <c r="P13350">
        <v>0</v>
      </c>
      <c r="Q13350">
        <v>0</v>
      </c>
      <c r="R13350" t="s">
        <v>42692</v>
      </c>
      <c r="S13350" t="s">
        <v>43798</v>
      </c>
      <c r="T13350" t="s">
        <v>44554</v>
      </c>
      <c r="U13350" t="s">
        <v>55665</v>
      </c>
      <c r="W13350" t="s">
        <v>41289</v>
      </c>
      <c r="X13350" t="s">
        <v>42693</v>
      </c>
    </row>
    <row r="13351" spans="1:24">
      <c r="A13351">
        <f>HYPERLINK("https://www.philgeps.gov.ph/GEPSNONPILOT/Tender/SplashBidNoticeAbstractUI.aspx?menuIndex=3&amp;refID=7150668&amp;Result=3","7150668")</f>
        <v>0</v>
      </c>
      <c r="B13351" t="s">
        <v>3453</v>
      </c>
      <c r="C13351" t="s">
        <v>16307</v>
      </c>
      <c r="D13351" t="s">
        <v>17158</v>
      </c>
      <c r="E13351" t="s">
        <v>28627</v>
      </c>
      <c r="F13351" t="s">
        <v>29372</v>
      </c>
      <c r="G13351" t="s">
        <v>29380</v>
      </c>
      <c r="H13351" t="s">
        <v>29389</v>
      </c>
      <c r="I13351" t="s">
        <v>10408</v>
      </c>
      <c r="J13351" t="s">
        <v>37941</v>
      </c>
      <c r="K13351" t="s">
        <v>38548</v>
      </c>
      <c r="M13351" t="s">
        <v>42568</v>
      </c>
      <c r="N13351" t="s">
        <v>42669</v>
      </c>
      <c r="O13351" t="s">
        <v>42670</v>
      </c>
      <c r="P13351">
        <v>0</v>
      </c>
      <c r="Q13351">
        <v>1</v>
      </c>
      <c r="R13351" t="s">
        <v>42692</v>
      </c>
      <c r="S13351" t="s">
        <v>43798</v>
      </c>
      <c r="T13351" t="s">
        <v>44432</v>
      </c>
      <c r="U13351" t="s">
        <v>55675</v>
      </c>
      <c r="W13351" t="s">
        <v>42568</v>
      </c>
      <c r="X13351" t="s">
        <v>42693</v>
      </c>
    </row>
    <row r="13352" spans="1:24">
      <c r="A13352">
        <f>HYPERLINK("https://www.philgeps.gov.ph/GEPSNONPILOT/Tender/SplashBidNoticeAbstractUI.aspx?menuIndex=3&amp;refID=7151082&amp;Result=3","7151082")</f>
        <v>0</v>
      </c>
      <c r="B13352" t="s">
        <v>1858</v>
      </c>
      <c r="C13352" t="s">
        <v>16308</v>
      </c>
      <c r="E13352" t="s">
        <v>28628</v>
      </c>
      <c r="F13352" t="s">
        <v>29372</v>
      </c>
      <c r="G13352" t="s">
        <v>29380</v>
      </c>
      <c r="H13352" t="s">
        <v>11048</v>
      </c>
      <c r="I13352" t="s">
        <v>29394</v>
      </c>
      <c r="J13352" t="s">
        <v>37942</v>
      </c>
      <c r="K13352" t="s">
        <v>38490</v>
      </c>
      <c r="M13352" t="s">
        <v>40731</v>
      </c>
      <c r="N13352" t="s">
        <v>42669</v>
      </c>
      <c r="O13352" t="s">
        <v>42670</v>
      </c>
      <c r="P13352">
        <v>0</v>
      </c>
      <c r="Q13352">
        <v>1</v>
      </c>
      <c r="R13352" t="s">
        <v>42692</v>
      </c>
      <c r="S13352" t="s">
        <v>43798</v>
      </c>
      <c r="T13352" t="s">
        <v>44491</v>
      </c>
      <c r="U13352" t="s">
        <v>55676</v>
      </c>
      <c r="W13352" t="s">
        <v>40731</v>
      </c>
      <c r="X13352" t="s">
        <v>42693</v>
      </c>
    </row>
    <row r="13353" spans="1:24">
      <c r="A13353">
        <f>HYPERLINK("https://www.philgeps.gov.ph/GEPSNONPILOT/Tender/SplashBidNoticeAbstractUI.aspx?menuIndex=3&amp;refID=7150738&amp;Result=3","7150738")</f>
        <v>0</v>
      </c>
      <c r="B13353" t="s">
        <v>955</v>
      </c>
      <c r="C13353" t="s">
        <v>16309</v>
      </c>
      <c r="E13353" t="s">
        <v>28629</v>
      </c>
      <c r="F13353" t="s">
        <v>29372</v>
      </c>
      <c r="G13353" t="s">
        <v>29380</v>
      </c>
      <c r="H13353" t="s">
        <v>29389</v>
      </c>
      <c r="I13353" t="s">
        <v>10408</v>
      </c>
      <c r="J13353" t="s">
        <v>37943</v>
      </c>
      <c r="K13353" t="s">
        <v>38490</v>
      </c>
      <c r="M13353" t="s">
        <v>42564</v>
      </c>
      <c r="N13353" t="s">
        <v>42669</v>
      </c>
      <c r="O13353" t="s">
        <v>42670</v>
      </c>
      <c r="P13353">
        <v>0</v>
      </c>
      <c r="Q13353">
        <v>2</v>
      </c>
      <c r="R13353" t="s">
        <v>42692</v>
      </c>
      <c r="S13353" t="s">
        <v>43798</v>
      </c>
      <c r="T13353" t="s">
        <v>44448</v>
      </c>
      <c r="U13353" t="s">
        <v>55677</v>
      </c>
      <c r="W13353" t="s">
        <v>42564</v>
      </c>
      <c r="X13353" t="s">
        <v>42693</v>
      </c>
    </row>
    <row r="13354" spans="1:24">
      <c r="A13354">
        <f>HYPERLINK("https://www.philgeps.gov.ph/GEPSNONPILOT/Tender/SplashBidNoticeAbstractUI.aspx?menuIndex=3&amp;refID=7151041&amp;Result=3","7151041")</f>
        <v>0</v>
      </c>
      <c r="B13354" t="s">
        <v>173</v>
      </c>
      <c r="C13354" t="s">
        <v>16310</v>
      </c>
      <c r="E13354" t="s">
        <v>28630</v>
      </c>
      <c r="F13354" t="s">
        <v>29372</v>
      </c>
      <c r="G13354" t="s">
        <v>29379</v>
      </c>
      <c r="H13354" t="s">
        <v>11048</v>
      </c>
      <c r="I13354" t="s">
        <v>29407</v>
      </c>
      <c r="J13354" t="s">
        <v>37944</v>
      </c>
      <c r="K13354" t="s">
        <v>38490</v>
      </c>
      <c r="M13354" t="s">
        <v>42569</v>
      </c>
      <c r="N13354" t="s">
        <v>42669</v>
      </c>
      <c r="O13354" t="s">
        <v>42670</v>
      </c>
      <c r="P13354">
        <v>0</v>
      </c>
      <c r="Q13354">
        <v>2</v>
      </c>
      <c r="R13354" t="s">
        <v>42692</v>
      </c>
      <c r="S13354" t="s">
        <v>43798</v>
      </c>
      <c r="T13354" t="s">
        <v>44489</v>
      </c>
      <c r="U13354" t="s">
        <v>55678</v>
      </c>
      <c r="W13354" t="s">
        <v>58003</v>
      </c>
      <c r="X13354" t="s">
        <v>42693</v>
      </c>
    </row>
    <row r="13355" spans="1:24">
      <c r="A13355">
        <f>HYPERLINK("https://www.philgeps.gov.ph/GEPSNONPILOT/Tender/SplashBidNoticeAbstractUI.aspx?menuIndex=3&amp;refID=7150726&amp;Result=3","7150726")</f>
        <v>0</v>
      </c>
      <c r="B13355" t="s">
        <v>586</v>
      </c>
      <c r="C13355" t="s">
        <v>16311</v>
      </c>
      <c r="D13355" t="s">
        <v>17161</v>
      </c>
      <c r="E13355" t="s">
        <v>28631</v>
      </c>
      <c r="F13355" t="s">
        <v>29372</v>
      </c>
      <c r="G13355" t="s">
        <v>29380</v>
      </c>
      <c r="H13355" t="s">
        <v>11048</v>
      </c>
      <c r="I13355" t="s">
        <v>9469</v>
      </c>
      <c r="J13355" t="s">
        <v>30815</v>
      </c>
      <c r="K13355" t="s">
        <v>38490</v>
      </c>
      <c r="M13355" t="s">
        <v>39355</v>
      </c>
      <c r="N13355" t="s">
        <v>42669</v>
      </c>
      <c r="O13355" t="s">
        <v>42670</v>
      </c>
      <c r="P13355">
        <v>0</v>
      </c>
      <c r="Q13355">
        <v>4</v>
      </c>
      <c r="R13355" t="s">
        <v>42692</v>
      </c>
      <c r="S13355" t="s">
        <v>43798</v>
      </c>
      <c r="T13355" t="s">
        <v>44488</v>
      </c>
      <c r="U13355" t="s">
        <v>55679</v>
      </c>
      <c r="W13355" t="s">
        <v>39355</v>
      </c>
      <c r="X13355" t="s">
        <v>42693</v>
      </c>
    </row>
    <row r="13356" spans="1:24">
      <c r="A13356">
        <f>HYPERLINK("https://www.philgeps.gov.ph/GEPSNONPILOT/Tender/SplashBidNoticeAbstractUI.aspx?menuIndex=3&amp;refID=7150513&amp;Result=3","7150513")</f>
        <v>0</v>
      </c>
      <c r="B13356" t="s">
        <v>3454</v>
      </c>
      <c r="C13356" t="s">
        <v>16312</v>
      </c>
      <c r="D13356" t="s">
        <v>17210</v>
      </c>
      <c r="E13356" t="s">
        <v>28632</v>
      </c>
      <c r="F13356" t="s">
        <v>29372</v>
      </c>
      <c r="G13356" t="s">
        <v>29380</v>
      </c>
      <c r="H13356" t="s">
        <v>29389</v>
      </c>
      <c r="I13356" t="s">
        <v>10408</v>
      </c>
      <c r="J13356" t="s">
        <v>37945</v>
      </c>
      <c r="K13356" t="s">
        <v>38502</v>
      </c>
      <c r="M13356" t="s">
        <v>42570</v>
      </c>
      <c r="N13356" t="s">
        <v>42669</v>
      </c>
      <c r="O13356" t="s">
        <v>42670</v>
      </c>
      <c r="P13356">
        <v>0</v>
      </c>
      <c r="Q13356">
        <v>4</v>
      </c>
      <c r="R13356" t="s">
        <v>42692</v>
      </c>
      <c r="S13356" t="s">
        <v>43798</v>
      </c>
      <c r="T13356" t="s">
        <v>44488</v>
      </c>
      <c r="U13356" t="s">
        <v>55680</v>
      </c>
      <c r="W13356" t="s">
        <v>42570</v>
      </c>
      <c r="X13356" t="s">
        <v>42693</v>
      </c>
    </row>
    <row r="13357" spans="1:24">
      <c r="A13357">
        <f>HYPERLINK("https://www.philgeps.gov.ph/GEPSNONPILOT/Tender/SplashBidNoticeAbstractUI.aspx?menuIndex=3&amp;refID=7151026&amp;Result=3","7151026")</f>
        <v>0</v>
      </c>
      <c r="B13357" t="s">
        <v>1676</v>
      </c>
      <c r="C13357" t="s">
        <v>16313</v>
      </c>
      <c r="D13357" t="s">
        <v>17155</v>
      </c>
      <c r="E13357" t="s">
        <v>28633</v>
      </c>
      <c r="F13357" t="s">
        <v>29372</v>
      </c>
      <c r="G13357" t="s">
        <v>29380</v>
      </c>
      <c r="H13357" t="s">
        <v>11048</v>
      </c>
      <c r="I13357" t="s">
        <v>29407</v>
      </c>
      <c r="J13357" t="s">
        <v>37946</v>
      </c>
      <c r="K13357" t="s">
        <v>38488</v>
      </c>
      <c r="M13357" t="s">
        <v>40536</v>
      </c>
      <c r="N13357" t="s">
        <v>42669</v>
      </c>
      <c r="O13357" t="s">
        <v>42670</v>
      </c>
      <c r="P13357">
        <v>0</v>
      </c>
      <c r="Q13357">
        <v>9</v>
      </c>
      <c r="R13357" t="s">
        <v>42692</v>
      </c>
      <c r="S13357" t="s">
        <v>43798</v>
      </c>
      <c r="T13357" t="s">
        <v>44432</v>
      </c>
      <c r="U13357" t="s">
        <v>55681</v>
      </c>
      <c r="W13357" t="s">
        <v>40536</v>
      </c>
      <c r="X13357" t="s">
        <v>42693</v>
      </c>
    </row>
    <row r="13358" spans="1:24">
      <c r="A13358">
        <f>HYPERLINK("https://www.philgeps.gov.ph/GEPSNONPILOT/Tender/SplashBidNoticeAbstractUI.aspx?menuIndex=3&amp;refID=7150998&amp;Result=3","7150998")</f>
        <v>0</v>
      </c>
      <c r="B13358" t="s">
        <v>2392</v>
      </c>
      <c r="C13358" t="s">
        <v>16314</v>
      </c>
      <c r="D13358" t="s">
        <v>17170</v>
      </c>
      <c r="E13358" t="s">
        <v>17279</v>
      </c>
      <c r="F13358" t="s">
        <v>29372</v>
      </c>
      <c r="G13358" t="s">
        <v>29380</v>
      </c>
      <c r="H13358" t="s">
        <v>29389</v>
      </c>
      <c r="I13358" t="s">
        <v>10408</v>
      </c>
      <c r="J13358" t="s">
        <v>37947</v>
      </c>
      <c r="K13358" t="s">
        <v>38533</v>
      </c>
      <c r="M13358" t="s">
        <v>41337</v>
      </c>
      <c r="N13358" t="s">
        <v>42669</v>
      </c>
      <c r="O13358" t="s">
        <v>42670</v>
      </c>
      <c r="P13358">
        <v>0</v>
      </c>
      <c r="Q13358">
        <v>3</v>
      </c>
      <c r="R13358" t="s">
        <v>42692</v>
      </c>
      <c r="S13358" t="s">
        <v>43798</v>
      </c>
      <c r="T13358" t="s">
        <v>44401</v>
      </c>
      <c r="U13358" t="s">
        <v>55682</v>
      </c>
      <c r="W13358" t="s">
        <v>41337</v>
      </c>
      <c r="X13358" t="s">
        <v>42693</v>
      </c>
    </row>
    <row r="13359" spans="1:24">
      <c r="A13359">
        <f>HYPERLINK("https://www.philgeps.gov.ph/GEPSNONPILOT/Tender/SplashBidNoticeAbstractUI.aspx?menuIndex=3&amp;refID=7151031&amp;Result=3","7151031")</f>
        <v>0</v>
      </c>
      <c r="B13359" t="s">
        <v>3453</v>
      </c>
      <c r="C13359" t="s">
        <v>16315</v>
      </c>
      <c r="D13359" t="s">
        <v>17158</v>
      </c>
      <c r="E13359" t="s">
        <v>28634</v>
      </c>
      <c r="F13359" t="s">
        <v>29372</v>
      </c>
      <c r="G13359" t="s">
        <v>29380</v>
      </c>
      <c r="H13359" t="s">
        <v>11048</v>
      </c>
      <c r="I13359" t="s">
        <v>3695</v>
      </c>
      <c r="J13359" t="s">
        <v>37948</v>
      </c>
      <c r="K13359" t="s">
        <v>38488</v>
      </c>
      <c r="M13359" t="s">
        <v>42568</v>
      </c>
      <c r="N13359" t="s">
        <v>42669</v>
      </c>
      <c r="O13359" t="s">
        <v>42670</v>
      </c>
      <c r="P13359">
        <v>0</v>
      </c>
      <c r="Q13359">
        <v>0</v>
      </c>
      <c r="R13359" t="s">
        <v>42692</v>
      </c>
      <c r="S13359" t="s">
        <v>43798</v>
      </c>
      <c r="T13359" t="s">
        <v>44432</v>
      </c>
      <c r="U13359" t="s">
        <v>55683</v>
      </c>
      <c r="W13359" t="s">
        <v>42568</v>
      </c>
      <c r="X13359" t="s">
        <v>42693</v>
      </c>
    </row>
    <row r="13360" spans="1:24">
      <c r="A13360">
        <f>HYPERLINK("https://www.philgeps.gov.ph/GEPSNONPILOT/Tender/SplashBidNoticeAbstractUI.aspx?menuIndex=3&amp;refID=7150902&amp;Result=3","7150902")</f>
        <v>0</v>
      </c>
      <c r="B13360" t="s">
        <v>2987</v>
      </c>
      <c r="C13360" t="s">
        <v>16316</v>
      </c>
      <c r="D13360" t="s">
        <v>17177</v>
      </c>
      <c r="E13360" t="s">
        <v>28635</v>
      </c>
      <c r="F13360" t="s">
        <v>29372</v>
      </c>
      <c r="G13360" t="s">
        <v>29380</v>
      </c>
      <c r="H13360" t="s">
        <v>11048</v>
      </c>
      <c r="I13360" t="s">
        <v>9469</v>
      </c>
      <c r="J13360" t="s">
        <v>37949</v>
      </c>
      <c r="K13360" t="s">
        <v>38485</v>
      </c>
      <c r="M13360" t="s">
        <v>42002</v>
      </c>
      <c r="N13360" t="s">
        <v>42669</v>
      </c>
      <c r="O13360" t="s">
        <v>42670</v>
      </c>
      <c r="P13360">
        <v>0</v>
      </c>
      <c r="Q13360">
        <v>1</v>
      </c>
      <c r="R13360" t="s">
        <v>42692</v>
      </c>
      <c r="S13360" t="s">
        <v>43798</v>
      </c>
      <c r="T13360" t="s">
        <v>44491</v>
      </c>
      <c r="U13360" t="s">
        <v>55684</v>
      </c>
      <c r="W13360" t="s">
        <v>42002</v>
      </c>
      <c r="X13360" t="s">
        <v>42693</v>
      </c>
    </row>
    <row r="13361" spans="1:24">
      <c r="A13361">
        <f>HYPERLINK("https://www.philgeps.gov.ph/GEPSNONPILOT/Tender/SplashBidNoticeAbstractUI.aspx?menuIndex=3&amp;refID=7150836&amp;Result=3","7150836")</f>
        <v>0</v>
      </c>
      <c r="B13361" t="s">
        <v>3453</v>
      </c>
      <c r="C13361" t="s">
        <v>16317</v>
      </c>
      <c r="D13361" t="s">
        <v>17158</v>
      </c>
      <c r="E13361" t="s">
        <v>28636</v>
      </c>
      <c r="F13361" t="s">
        <v>29372</v>
      </c>
      <c r="G13361" t="s">
        <v>29380</v>
      </c>
      <c r="H13361" t="s">
        <v>11048</v>
      </c>
      <c r="I13361" t="s">
        <v>9469</v>
      </c>
      <c r="J13361" t="s">
        <v>31893</v>
      </c>
      <c r="K13361" t="s">
        <v>38485</v>
      </c>
      <c r="M13361" t="s">
        <v>42568</v>
      </c>
      <c r="N13361" t="s">
        <v>42669</v>
      </c>
      <c r="O13361" t="s">
        <v>42670</v>
      </c>
      <c r="P13361">
        <v>0</v>
      </c>
      <c r="Q13361">
        <v>5</v>
      </c>
      <c r="R13361" t="s">
        <v>42692</v>
      </c>
      <c r="S13361" t="s">
        <v>43798</v>
      </c>
      <c r="T13361" t="s">
        <v>44432</v>
      </c>
      <c r="U13361" t="s">
        <v>55685</v>
      </c>
      <c r="W13361" t="s">
        <v>42568</v>
      </c>
      <c r="X13361" t="s">
        <v>42693</v>
      </c>
    </row>
    <row r="13362" spans="1:24">
      <c r="A13362">
        <f>HYPERLINK("https://www.philgeps.gov.ph/GEPSNONPILOT/Tender/SplashBidNoticeAbstractUI.aspx?menuIndex=3&amp;refID=7150821&amp;Result=3","7150821")</f>
        <v>0</v>
      </c>
      <c r="B13362" t="s">
        <v>955</v>
      </c>
      <c r="C13362" t="s">
        <v>16318</v>
      </c>
      <c r="E13362" t="s">
        <v>28637</v>
      </c>
      <c r="F13362" t="s">
        <v>29372</v>
      </c>
      <c r="G13362" t="s">
        <v>29380</v>
      </c>
      <c r="H13362" t="s">
        <v>29389</v>
      </c>
      <c r="I13362" t="s">
        <v>10408</v>
      </c>
      <c r="J13362" t="s">
        <v>29543</v>
      </c>
      <c r="K13362" t="s">
        <v>38490</v>
      </c>
      <c r="M13362" t="s">
        <v>42564</v>
      </c>
      <c r="N13362" t="s">
        <v>42669</v>
      </c>
      <c r="O13362" t="s">
        <v>42670</v>
      </c>
      <c r="P13362">
        <v>0</v>
      </c>
      <c r="Q13362">
        <v>3</v>
      </c>
      <c r="R13362" t="s">
        <v>42692</v>
      </c>
      <c r="S13362" t="s">
        <v>43798</v>
      </c>
      <c r="T13362" t="s">
        <v>44448</v>
      </c>
      <c r="U13362" t="s">
        <v>55686</v>
      </c>
      <c r="W13362" t="s">
        <v>42564</v>
      </c>
      <c r="X13362" t="s">
        <v>42693</v>
      </c>
    </row>
    <row r="13363" spans="1:24">
      <c r="A13363">
        <f>HYPERLINK("https://www.philgeps.gov.ph/GEPSNONPILOT/Tender/SplashBidNoticeAbstractUI.aspx?menuIndex=3&amp;refID=7151163&amp;Result=3","7151163")</f>
        <v>0</v>
      </c>
      <c r="B13363" t="s">
        <v>3455</v>
      </c>
      <c r="C13363" t="s">
        <v>16319</v>
      </c>
      <c r="D13363" t="s">
        <v>17212</v>
      </c>
      <c r="E13363" t="s">
        <v>28638</v>
      </c>
      <c r="F13363" t="s">
        <v>29372</v>
      </c>
      <c r="G13363" t="s">
        <v>29380</v>
      </c>
      <c r="H13363" t="s">
        <v>29389</v>
      </c>
      <c r="I13363" t="s">
        <v>10408</v>
      </c>
      <c r="J13363" t="s">
        <v>29543</v>
      </c>
      <c r="K13363" t="s">
        <v>38495</v>
      </c>
      <c r="M13363" t="s">
        <v>42571</v>
      </c>
      <c r="N13363" t="s">
        <v>42669</v>
      </c>
      <c r="O13363" t="s">
        <v>42670</v>
      </c>
      <c r="P13363">
        <v>0</v>
      </c>
      <c r="Q13363">
        <v>50</v>
      </c>
      <c r="R13363" t="s">
        <v>42692</v>
      </c>
      <c r="S13363" t="s">
        <v>43798</v>
      </c>
      <c r="T13363" t="s">
        <v>44488</v>
      </c>
      <c r="U13363" t="s">
        <v>48472</v>
      </c>
      <c r="W13363" t="s">
        <v>42571</v>
      </c>
      <c r="X13363" t="s">
        <v>42693</v>
      </c>
    </row>
    <row r="13364" spans="1:24">
      <c r="A13364">
        <f>HYPERLINK("https://www.philgeps.gov.ph/GEPSNONPILOT/Tender/SplashBidNoticeAbstractUI.aspx?menuIndex=3&amp;refID=7151075&amp;Result=3","7151075")</f>
        <v>0</v>
      </c>
      <c r="B13364" t="s">
        <v>173</v>
      </c>
      <c r="C13364" t="s">
        <v>16320</v>
      </c>
      <c r="E13364" t="s">
        <v>28639</v>
      </c>
      <c r="F13364" t="s">
        <v>29372</v>
      </c>
      <c r="G13364" t="s">
        <v>29379</v>
      </c>
      <c r="H13364" t="s">
        <v>11048</v>
      </c>
      <c r="I13364" t="s">
        <v>29407</v>
      </c>
      <c r="J13364" t="s">
        <v>32104</v>
      </c>
      <c r="K13364" t="s">
        <v>38490</v>
      </c>
      <c r="M13364" t="s">
        <v>42569</v>
      </c>
      <c r="N13364" t="s">
        <v>42669</v>
      </c>
      <c r="O13364" t="s">
        <v>42670</v>
      </c>
      <c r="P13364">
        <v>0</v>
      </c>
      <c r="Q13364">
        <v>1</v>
      </c>
      <c r="R13364" t="s">
        <v>42692</v>
      </c>
      <c r="S13364" t="s">
        <v>43798</v>
      </c>
      <c r="T13364" t="s">
        <v>44489</v>
      </c>
      <c r="U13364" t="s">
        <v>55687</v>
      </c>
      <c r="W13364" t="s">
        <v>58003</v>
      </c>
      <c r="X13364" t="s">
        <v>42693</v>
      </c>
    </row>
    <row r="13365" spans="1:24">
      <c r="A13365">
        <f>HYPERLINK("https://www.philgeps.gov.ph/GEPSNONPILOT/Tender/SplashBidNoticeAbstractUI.aspx?menuIndex=3&amp;refID=7150732&amp;Result=3","7150732")</f>
        <v>0</v>
      </c>
      <c r="B13365" t="s">
        <v>2178</v>
      </c>
      <c r="C13365" t="s">
        <v>16321</v>
      </c>
      <c r="D13365" t="s">
        <v>17183</v>
      </c>
      <c r="E13365" t="s">
        <v>24579</v>
      </c>
      <c r="F13365" t="s">
        <v>29372</v>
      </c>
      <c r="G13365" t="s">
        <v>29380</v>
      </c>
      <c r="H13365" t="s">
        <v>11048</v>
      </c>
      <c r="I13365" t="s">
        <v>29428</v>
      </c>
      <c r="J13365" t="s">
        <v>37950</v>
      </c>
      <c r="K13365" t="s">
        <v>38488</v>
      </c>
      <c r="M13365" t="s">
        <v>41091</v>
      </c>
      <c r="N13365" t="s">
        <v>42669</v>
      </c>
      <c r="O13365" t="s">
        <v>42670</v>
      </c>
      <c r="P13365">
        <v>0</v>
      </c>
      <c r="Q13365">
        <v>3</v>
      </c>
      <c r="R13365" t="s">
        <v>42692</v>
      </c>
      <c r="S13365" t="s">
        <v>43798</v>
      </c>
      <c r="T13365" t="s">
        <v>44554</v>
      </c>
      <c r="U13365" t="s">
        <v>55688</v>
      </c>
      <c r="V13365" t="s">
        <v>57073</v>
      </c>
      <c r="W13365" t="s">
        <v>41091</v>
      </c>
      <c r="X13365" t="s">
        <v>42693</v>
      </c>
    </row>
    <row r="13366" spans="1:24">
      <c r="A13366">
        <f>HYPERLINK("https://www.philgeps.gov.ph/GEPSNONPILOT/Tender/SplashBidNoticeAbstractUI.aspx?menuIndex=3&amp;refID=7151097&amp;Result=3","7151097")</f>
        <v>0</v>
      </c>
      <c r="B13366" t="s">
        <v>264</v>
      </c>
      <c r="C13366" t="s">
        <v>16322</v>
      </c>
      <c r="E13366" t="s">
        <v>28640</v>
      </c>
      <c r="F13366" t="s">
        <v>29372</v>
      </c>
      <c r="G13366" t="s">
        <v>29380</v>
      </c>
      <c r="H13366" t="s">
        <v>11048</v>
      </c>
      <c r="I13366" t="s">
        <v>3695</v>
      </c>
      <c r="J13366" t="s">
        <v>37951</v>
      </c>
      <c r="K13366" t="s">
        <v>38490</v>
      </c>
      <c r="M13366" t="s">
        <v>42096</v>
      </c>
      <c r="N13366" t="s">
        <v>42669</v>
      </c>
      <c r="O13366" t="s">
        <v>42670</v>
      </c>
      <c r="P13366">
        <v>0</v>
      </c>
      <c r="Q13366">
        <v>3</v>
      </c>
      <c r="R13366" t="s">
        <v>42692</v>
      </c>
      <c r="S13366" t="s">
        <v>43798</v>
      </c>
      <c r="T13366" t="s">
        <v>44491</v>
      </c>
      <c r="U13366" t="s">
        <v>55689</v>
      </c>
      <c r="W13366" t="s">
        <v>42096</v>
      </c>
      <c r="X13366" t="s">
        <v>42693</v>
      </c>
    </row>
    <row r="13367" spans="1:24">
      <c r="A13367">
        <f>HYPERLINK("https://www.philgeps.gov.ph/GEPSNONPILOT/Tender/SplashBidNoticeAbstractUI.aspx?menuIndex=3&amp;refID=7150805&amp;Result=3","7150805")</f>
        <v>0</v>
      </c>
      <c r="B13367" t="s">
        <v>955</v>
      </c>
      <c r="C13367" t="s">
        <v>16323</v>
      </c>
      <c r="E13367" t="s">
        <v>28641</v>
      </c>
      <c r="F13367" t="s">
        <v>29372</v>
      </c>
      <c r="G13367" t="s">
        <v>29380</v>
      </c>
      <c r="H13367" t="s">
        <v>29389</v>
      </c>
      <c r="I13367" t="s">
        <v>10408</v>
      </c>
      <c r="J13367" t="s">
        <v>37952</v>
      </c>
      <c r="K13367" t="s">
        <v>38490</v>
      </c>
      <c r="M13367" t="s">
        <v>42564</v>
      </c>
      <c r="N13367" t="s">
        <v>42669</v>
      </c>
      <c r="O13367" t="s">
        <v>42670</v>
      </c>
      <c r="P13367">
        <v>0</v>
      </c>
      <c r="Q13367">
        <v>4</v>
      </c>
      <c r="R13367" t="s">
        <v>42692</v>
      </c>
      <c r="S13367" t="s">
        <v>43798</v>
      </c>
      <c r="T13367" t="s">
        <v>44448</v>
      </c>
      <c r="U13367" t="s">
        <v>55690</v>
      </c>
      <c r="W13367" t="s">
        <v>42564</v>
      </c>
      <c r="X13367" t="s">
        <v>42693</v>
      </c>
    </row>
    <row r="13368" spans="1:24">
      <c r="A13368">
        <f>HYPERLINK("https://www.philgeps.gov.ph/GEPSNONPILOT/Tender/SplashBidNoticeAbstractUI.aspx?menuIndex=3&amp;refID=7150674&amp;Result=3","7150674")</f>
        <v>0</v>
      </c>
      <c r="B13368" t="s">
        <v>955</v>
      </c>
      <c r="C13368" t="s">
        <v>16324</v>
      </c>
      <c r="E13368" t="s">
        <v>28642</v>
      </c>
      <c r="F13368" t="s">
        <v>29372</v>
      </c>
      <c r="G13368" t="s">
        <v>29380</v>
      </c>
      <c r="H13368" t="s">
        <v>29389</v>
      </c>
      <c r="I13368" t="s">
        <v>10408</v>
      </c>
      <c r="J13368" t="s">
        <v>33026</v>
      </c>
      <c r="K13368" t="s">
        <v>38490</v>
      </c>
      <c r="M13368" t="s">
        <v>42564</v>
      </c>
      <c r="N13368" t="s">
        <v>42669</v>
      </c>
      <c r="O13368" t="s">
        <v>42670</v>
      </c>
      <c r="P13368">
        <v>0</v>
      </c>
      <c r="Q13368">
        <v>5</v>
      </c>
      <c r="R13368" t="s">
        <v>42692</v>
      </c>
      <c r="S13368" t="s">
        <v>43798</v>
      </c>
      <c r="T13368" t="s">
        <v>44448</v>
      </c>
      <c r="U13368" t="s">
        <v>55691</v>
      </c>
      <c r="W13368" t="s">
        <v>42564</v>
      </c>
      <c r="X13368" t="s">
        <v>42693</v>
      </c>
    </row>
    <row r="13369" spans="1:24">
      <c r="A13369">
        <f>HYPERLINK("https://www.philgeps.gov.ph/GEPSNONPILOT/Tender/SplashBidNoticeAbstractUI.aspx?menuIndex=3&amp;refID=7151130&amp;Result=3","7151130")</f>
        <v>0</v>
      </c>
      <c r="B13369" t="s">
        <v>3455</v>
      </c>
      <c r="C13369" t="s">
        <v>16325</v>
      </c>
      <c r="D13369" t="s">
        <v>17212</v>
      </c>
      <c r="E13369" t="s">
        <v>28643</v>
      </c>
      <c r="F13369" t="s">
        <v>29372</v>
      </c>
      <c r="G13369" t="s">
        <v>29380</v>
      </c>
      <c r="H13369" t="s">
        <v>11048</v>
      </c>
      <c r="I13369" t="s">
        <v>29407</v>
      </c>
      <c r="J13369" t="s">
        <v>31429</v>
      </c>
      <c r="K13369" t="s">
        <v>38488</v>
      </c>
      <c r="M13369" t="s">
        <v>42571</v>
      </c>
      <c r="N13369" t="s">
        <v>42669</v>
      </c>
      <c r="O13369" t="s">
        <v>42670</v>
      </c>
      <c r="P13369">
        <v>0</v>
      </c>
      <c r="Q13369">
        <v>14</v>
      </c>
      <c r="R13369" t="s">
        <v>42692</v>
      </c>
      <c r="S13369" t="s">
        <v>43798</v>
      </c>
      <c r="T13369" t="s">
        <v>44488</v>
      </c>
      <c r="U13369" t="s">
        <v>48472</v>
      </c>
      <c r="W13369" t="s">
        <v>42571</v>
      </c>
      <c r="X13369" t="s">
        <v>42693</v>
      </c>
    </row>
    <row r="13370" spans="1:24">
      <c r="A13370">
        <f>HYPERLINK("https://www.philgeps.gov.ph/GEPSNONPILOT/Tender/SplashBidNoticeAbstractUI.aspx?menuIndex=3&amp;refID=7150742&amp;Result=3","7150742")</f>
        <v>0</v>
      </c>
      <c r="B13370" t="s">
        <v>3454</v>
      </c>
      <c r="C13370" t="s">
        <v>16326</v>
      </c>
      <c r="D13370" t="s">
        <v>17177</v>
      </c>
      <c r="E13370" t="s">
        <v>20137</v>
      </c>
      <c r="F13370" t="s">
        <v>29372</v>
      </c>
      <c r="G13370" t="s">
        <v>29380</v>
      </c>
      <c r="H13370" t="s">
        <v>29389</v>
      </c>
      <c r="I13370" t="s">
        <v>10408</v>
      </c>
      <c r="J13370" t="s">
        <v>37953</v>
      </c>
      <c r="K13370" t="s">
        <v>38485</v>
      </c>
      <c r="M13370" t="s">
        <v>42570</v>
      </c>
      <c r="N13370" t="s">
        <v>42669</v>
      </c>
      <c r="O13370" t="s">
        <v>42670</v>
      </c>
      <c r="P13370">
        <v>0</v>
      </c>
      <c r="Q13370">
        <v>1</v>
      </c>
      <c r="R13370" t="s">
        <v>42692</v>
      </c>
      <c r="S13370" t="s">
        <v>43798</v>
      </c>
      <c r="T13370" t="s">
        <v>44488</v>
      </c>
      <c r="U13370" t="s">
        <v>55680</v>
      </c>
      <c r="W13370" t="s">
        <v>42570</v>
      </c>
      <c r="X13370" t="s">
        <v>42693</v>
      </c>
    </row>
    <row r="13371" spans="1:24">
      <c r="A13371">
        <f>HYPERLINK("https://www.philgeps.gov.ph/GEPSNONPILOT/Tender/SplashBidNoticeAbstractUI.aspx?menuIndex=3&amp;refID=7151010&amp;Result=3","7151010")</f>
        <v>0</v>
      </c>
      <c r="B13371" t="s">
        <v>1404</v>
      </c>
      <c r="C13371" t="s">
        <v>16327</v>
      </c>
      <c r="D13371" t="s">
        <v>17189</v>
      </c>
      <c r="E13371" t="s">
        <v>18455</v>
      </c>
      <c r="F13371" t="s">
        <v>29372</v>
      </c>
      <c r="G13371" t="s">
        <v>29380</v>
      </c>
      <c r="H13371" t="s">
        <v>11048</v>
      </c>
      <c r="I13371" t="s">
        <v>9469</v>
      </c>
      <c r="J13371" t="s">
        <v>37954</v>
      </c>
      <c r="K13371" t="s">
        <v>38485</v>
      </c>
      <c r="M13371" t="s">
        <v>40243</v>
      </c>
      <c r="N13371" t="s">
        <v>42669</v>
      </c>
      <c r="O13371" t="s">
        <v>42670</v>
      </c>
      <c r="P13371">
        <v>0</v>
      </c>
      <c r="Q13371">
        <v>3</v>
      </c>
      <c r="R13371" t="s">
        <v>42692</v>
      </c>
      <c r="S13371" t="s">
        <v>43798</v>
      </c>
      <c r="T13371" t="s">
        <v>44481</v>
      </c>
      <c r="U13371" t="s">
        <v>55692</v>
      </c>
      <c r="W13371" t="s">
        <v>40243</v>
      </c>
      <c r="X13371" t="s">
        <v>42693</v>
      </c>
    </row>
    <row r="13372" spans="1:24">
      <c r="A13372">
        <f>HYPERLINK("https://www.philgeps.gov.ph/GEPSNONPILOT/Tender/SplashBidNoticeAbstractUI.aspx?menuIndex=3&amp;refID=7151164&amp;Result=3","7151164")</f>
        <v>0</v>
      </c>
      <c r="B13372" t="s">
        <v>2463</v>
      </c>
      <c r="C13372" t="s">
        <v>16328</v>
      </c>
      <c r="D13372" t="s">
        <v>17141</v>
      </c>
      <c r="E13372" t="s">
        <v>28644</v>
      </c>
      <c r="F13372" t="s">
        <v>29372</v>
      </c>
      <c r="G13372" t="s">
        <v>29380</v>
      </c>
      <c r="H13372" t="s">
        <v>11048</v>
      </c>
      <c r="I13372" t="s">
        <v>8614</v>
      </c>
      <c r="J13372" t="s">
        <v>37955</v>
      </c>
      <c r="K13372" t="s">
        <v>38490</v>
      </c>
      <c r="M13372" t="s">
        <v>41411</v>
      </c>
      <c r="N13372" t="s">
        <v>42669</v>
      </c>
      <c r="O13372" t="s">
        <v>42670</v>
      </c>
      <c r="P13372">
        <v>0</v>
      </c>
      <c r="Q13372">
        <v>30</v>
      </c>
      <c r="R13372" t="s">
        <v>42692</v>
      </c>
      <c r="S13372" t="s">
        <v>43798</v>
      </c>
      <c r="T13372" t="s">
        <v>44512</v>
      </c>
      <c r="U13372" t="s">
        <v>55693</v>
      </c>
      <c r="W13372" t="s">
        <v>41411</v>
      </c>
      <c r="X13372" t="s">
        <v>42693</v>
      </c>
    </row>
    <row r="13373" spans="1:24">
      <c r="A13373">
        <f>HYPERLINK("https://www.philgeps.gov.ph/GEPSNONPILOT/Tender/SplashBidNoticeAbstractUI.aspx?menuIndex=3&amp;refID=7151310&amp;Result=3","7151310")</f>
        <v>0</v>
      </c>
      <c r="B13373" t="s">
        <v>2059</v>
      </c>
      <c r="C13373" t="s">
        <v>16329</v>
      </c>
      <c r="D13373" t="s">
        <v>17197</v>
      </c>
      <c r="E13373" t="s">
        <v>21968</v>
      </c>
      <c r="F13373" t="s">
        <v>29372</v>
      </c>
      <c r="G13373" t="s">
        <v>29380</v>
      </c>
      <c r="H13373" t="s">
        <v>29389</v>
      </c>
      <c r="I13373" t="s">
        <v>10408</v>
      </c>
      <c r="J13373" t="s">
        <v>30943</v>
      </c>
      <c r="K13373" t="s">
        <v>38495</v>
      </c>
      <c r="M13373" t="s">
        <v>40957</v>
      </c>
      <c r="N13373" t="s">
        <v>42669</v>
      </c>
      <c r="O13373" t="s">
        <v>42670</v>
      </c>
      <c r="P13373">
        <v>0</v>
      </c>
      <c r="Q13373">
        <v>0</v>
      </c>
      <c r="R13373" t="s">
        <v>42692</v>
      </c>
      <c r="S13373" t="s">
        <v>43798</v>
      </c>
      <c r="T13373" t="s">
        <v>44491</v>
      </c>
      <c r="U13373" t="s">
        <v>55694</v>
      </c>
      <c r="V13373" t="s">
        <v>57904</v>
      </c>
      <c r="W13373" t="s">
        <v>40957</v>
      </c>
      <c r="X13373" t="s">
        <v>42693</v>
      </c>
    </row>
    <row r="13374" spans="1:24">
      <c r="A13374">
        <f>HYPERLINK("https://www.philgeps.gov.ph/GEPSNONPILOT/Tender/SplashBidNoticeAbstractUI.aspx?menuIndex=3&amp;refID=7151281&amp;Result=3","7151281")</f>
        <v>0</v>
      </c>
      <c r="B13374" t="s">
        <v>781</v>
      </c>
      <c r="C13374" t="s">
        <v>16330</v>
      </c>
      <c r="D13374" t="s">
        <v>17163</v>
      </c>
      <c r="E13374" t="s">
        <v>28645</v>
      </c>
      <c r="F13374" t="s">
        <v>29372</v>
      </c>
      <c r="G13374" t="s">
        <v>29380</v>
      </c>
      <c r="H13374" t="s">
        <v>29389</v>
      </c>
      <c r="I13374" t="s">
        <v>10408</v>
      </c>
      <c r="J13374" t="s">
        <v>29788</v>
      </c>
      <c r="K13374" t="s">
        <v>38509</v>
      </c>
      <c r="M13374" t="s">
        <v>42572</v>
      </c>
      <c r="N13374" t="s">
        <v>42669</v>
      </c>
      <c r="O13374" t="s">
        <v>42670</v>
      </c>
      <c r="P13374">
        <v>0</v>
      </c>
      <c r="Q13374">
        <v>77</v>
      </c>
      <c r="R13374" t="s">
        <v>42692</v>
      </c>
      <c r="S13374" t="s">
        <v>43798</v>
      </c>
      <c r="T13374" t="s">
        <v>44493</v>
      </c>
      <c r="U13374" t="s">
        <v>46453</v>
      </c>
      <c r="V13374" t="s">
        <v>57370</v>
      </c>
      <c r="W13374" t="s">
        <v>58096</v>
      </c>
      <c r="X13374" t="s">
        <v>42693</v>
      </c>
    </row>
    <row r="13375" spans="1:24">
      <c r="A13375">
        <f>HYPERLINK("https://www.philgeps.gov.ph/GEPSNONPILOT/Tender/SplashBidNoticeAbstractUI.aspx?menuIndex=3&amp;refID=7150788&amp;Result=3","7150788")</f>
        <v>0</v>
      </c>
      <c r="B13375" t="s">
        <v>955</v>
      </c>
      <c r="C13375" t="s">
        <v>16331</v>
      </c>
      <c r="E13375" t="s">
        <v>28646</v>
      </c>
      <c r="F13375" t="s">
        <v>29372</v>
      </c>
      <c r="G13375" t="s">
        <v>29380</v>
      </c>
      <c r="H13375" t="s">
        <v>29389</v>
      </c>
      <c r="I13375" t="s">
        <v>10408</v>
      </c>
      <c r="J13375" t="s">
        <v>37956</v>
      </c>
      <c r="K13375" t="s">
        <v>38490</v>
      </c>
      <c r="M13375" t="s">
        <v>42564</v>
      </c>
      <c r="N13375" t="s">
        <v>42669</v>
      </c>
      <c r="O13375" t="s">
        <v>42670</v>
      </c>
      <c r="P13375">
        <v>0</v>
      </c>
      <c r="Q13375">
        <v>4</v>
      </c>
      <c r="R13375" t="s">
        <v>42692</v>
      </c>
      <c r="S13375" t="s">
        <v>43798</v>
      </c>
      <c r="T13375" t="s">
        <v>44448</v>
      </c>
      <c r="U13375" t="s">
        <v>55695</v>
      </c>
      <c r="W13375" t="s">
        <v>42564</v>
      </c>
      <c r="X13375" t="s">
        <v>42693</v>
      </c>
    </row>
    <row r="13376" spans="1:24">
      <c r="A13376">
        <f>HYPERLINK("https://www.philgeps.gov.ph/GEPSNONPILOT/Tender/SplashBidNoticeAbstractUI.aspx?menuIndex=3&amp;refID=7151308&amp;Result=3","7151308")</f>
        <v>0</v>
      </c>
      <c r="B13376" t="s">
        <v>781</v>
      </c>
      <c r="C13376" t="s">
        <v>16332</v>
      </c>
      <c r="D13376" t="s">
        <v>17163</v>
      </c>
      <c r="E13376" t="s">
        <v>28647</v>
      </c>
      <c r="F13376" t="s">
        <v>29372</v>
      </c>
      <c r="G13376" t="s">
        <v>29380</v>
      </c>
      <c r="H13376" t="s">
        <v>29389</v>
      </c>
      <c r="I13376" t="s">
        <v>10408</v>
      </c>
      <c r="J13376" t="s">
        <v>30056</v>
      </c>
      <c r="K13376" t="s">
        <v>38487</v>
      </c>
      <c r="M13376" t="s">
        <v>41736</v>
      </c>
      <c r="N13376" t="s">
        <v>42669</v>
      </c>
      <c r="O13376" t="s">
        <v>42670</v>
      </c>
      <c r="P13376">
        <v>0</v>
      </c>
      <c r="Q13376">
        <v>76</v>
      </c>
      <c r="R13376" t="s">
        <v>42692</v>
      </c>
      <c r="S13376" t="s">
        <v>43798</v>
      </c>
      <c r="T13376" t="s">
        <v>44493</v>
      </c>
      <c r="U13376" t="s">
        <v>46453</v>
      </c>
      <c r="V13376" t="s">
        <v>57370</v>
      </c>
      <c r="W13376" t="s">
        <v>58096</v>
      </c>
      <c r="X13376" t="s">
        <v>42693</v>
      </c>
    </row>
    <row r="13377" spans="1:24">
      <c r="A13377">
        <f>HYPERLINK("https://www.philgeps.gov.ph/GEPSNONPILOT/Tender/SplashBidNoticeAbstractUI.aspx?menuIndex=3&amp;refID=7151352&amp;Result=3","7151352")</f>
        <v>0</v>
      </c>
      <c r="B13377" t="s">
        <v>1190</v>
      </c>
      <c r="C13377" t="s">
        <v>16333</v>
      </c>
      <c r="E13377" t="s">
        <v>28648</v>
      </c>
      <c r="F13377" t="s">
        <v>29372</v>
      </c>
      <c r="G13377" t="s">
        <v>29380</v>
      </c>
      <c r="H13377" t="s">
        <v>11048</v>
      </c>
      <c r="I13377" t="s">
        <v>29400</v>
      </c>
      <c r="J13377" t="s">
        <v>37957</v>
      </c>
      <c r="K13377" t="s">
        <v>38490</v>
      </c>
      <c r="M13377" t="s">
        <v>42224</v>
      </c>
      <c r="N13377" t="s">
        <v>42669</v>
      </c>
      <c r="O13377" t="s">
        <v>42670</v>
      </c>
      <c r="Q13377">
        <v>38</v>
      </c>
      <c r="R13377" t="s">
        <v>42692</v>
      </c>
      <c r="S13377" t="s">
        <v>43050</v>
      </c>
      <c r="T13377" t="s">
        <v>44401</v>
      </c>
      <c r="U13377" t="s">
        <v>55696</v>
      </c>
      <c r="W13377" t="s">
        <v>42224</v>
      </c>
      <c r="X13377" t="s">
        <v>42693</v>
      </c>
    </row>
    <row r="13378" spans="1:24">
      <c r="A13378">
        <f>HYPERLINK("https://www.philgeps.gov.ph/GEPSNONPILOT/Tender/SplashBidNoticeAbstractUI.aspx?menuIndex=3&amp;refID=7151303&amp;Result=3","7151303")</f>
        <v>0</v>
      </c>
      <c r="B13378" t="s">
        <v>1190</v>
      </c>
      <c r="C13378" t="s">
        <v>16334</v>
      </c>
      <c r="E13378" t="s">
        <v>28649</v>
      </c>
      <c r="F13378" t="s">
        <v>29372</v>
      </c>
      <c r="G13378" t="s">
        <v>29380</v>
      </c>
      <c r="H13378" t="s">
        <v>11048</v>
      </c>
      <c r="I13378" t="s">
        <v>29400</v>
      </c>
      <c r="J13378" t="s">
        <v>37958</v>
      </c>
      <c r="K13378" t="s">
        <v>38490</v>
      </c>
      <c r="M13378" t="s">
        <v>42224</v>
      </c>
      <c r="N13378" t="s">
        <v>42669</v>
      </c>
      <c r="O13378" t="s">
        <v>42670</v>
      </c>
      <c r="Q13378">
        <v>31</v>
      </c>
      <c r="R13378" t="s">
        <v>42692</v>
      </c>
      <c r="S13378" t="s">
        <v>43821</v>
      </c>
      <c r="T13378" t="s">
        <v>44401</v>
      </c>
      <c r="U13378" t="s">
        <v>55696</v>
      </c>
      <c r="W13378" t="s">
        <v>42224</v>
      </c>
      <c r="X13378" t="s">
        <v>42693</v>
      </c>
    </row>
    <row r="13379" spans="1:24">
      <c r="A13379">
        <f>HYPERLINK("https://www.philgeps.gov.ph/GEPSNONPILOT/Tender/SplashBidNoticeAbstractUI.aspx?menuIndex=3&amp;refID=7151293&amp;Result=3","7151293")</f>
        <v>0</v>
      </c>
      <c r="B13379" t="s">
        <v>3060</v>
      </c>
      <c r="C13379" t="s">
        <v>16335</v>
      </c>
      <c r="D13379" t="s">
        <v>17141</v>
      </c>
      <c r="E13379" t="s">
        <v>28650</v>
      </c>
      <c r="F13379" t="s">
        <v>29372</v>
      </c>
      <c r="G13379" t="s">
        <v>29380</v>
      </c>
      <c r="H13379" t="s">
        <v>11048</v>
      </c>
      <c r="I13379" t="s">
        <v>29400</v>
      </c>
      <c r="J13379" t="s">
        <v>37959</v>
      </c>
      <c r="K13379" t="s">
        <v>38490</v>
      </c>
      <c r="M13379" t="s">
        <v>42086</v>
      </c>
      <c r="N13379" t="s">
        <v>42669</v>
      </c>
      <c r="O13379" t="s">
        <v>42670</v>
      </c>
      <c r="Q13379">
        <v>28</v>
      </c>
      <c r="R13379" t="s">
        <v>42692</v>
      </c>
      <c r="S13379" t="s">
        <v>43822</v>
      </c>
      <c r="T13379" t="s">
        <v>44493</v>
      </c>
      <c r="U13379" t="s">
        <v>53552</v>
      </c>
      <c r="W13379" t="s">
        <v>42086</v>
      </c>
      <c r="X13379" t="s">
        <v>42693</v>
      </c>
    </row>
    <row r="13380" spans="1:24">
      <c r="A13380">
        <f>HYPERLINK("https://www.philgeps.gov.ph/GEPSNONPILOT/Tender/SplashBidNoticeAbstractUI.aspx?menuIndex=3&amp;refID=7150665&amp;Result=3","7150665")</f>
        <v>0</v>
      </c>
      <c r="B13380" t="s">
        <v>1493</v>
      </c>
      <c r="C13380" t="s">
        <v>16336</v>
      </c>
      <c r="D13380" t="s">
        <v>17183</v>
      </c>
      <c r="E13380" t="s">
        <v>28651</v>
      </c>
      <c r="F13380" t="s">
        <v>29372</v>
      </c>
      <c r="G13380" t="s">
        <v>29380</v>
      </c>
      <c r="H13380" t="s">
        <v>29389</v>
      </c>
      <c r="I13380" t="s">
        <v>10408</v>
      </c>
      <c r="J13380" t="s">
        <v>37960</v>
      </c>
      <c r="K13380" t="s">
        <v>38622</v>
      </c>
      <c r="M13380" t="s">
        <v>40336</v>
      </c>
      <c r="N13380" t="s">
        <v>42669</v>
      </c>
      <c r="O13380" t="s">
        <v>42670</v>
      </c>
      <c r="P13380">
        <v>0</v>
      </c>
      <c r="Q13380">
        <v>1</v>
      </c>
      <c r="R13380" t="s">
        <v>42692</v>
      </c>
      <c r="S13380" t="s">
        <v>43798</v>
      </c>
      <c r="T13380" t="s">
        <v>44401</v>
      </c>
      <c r="U13380" t="s">
        <v>55697</v>
      </c>
      <c r="V13380" t="s">
        <v>57905</v>
      </c>
      <c r="W13380" t="s">
        <v>40336</v>
      </c>
      <c r="X13380" t="s">
        <v>42693</v>
      </c>
    </row>
    <row r="13381" spans="1:24">
      <c r="A13381">
        <f>HYPERLINK("https://www.philgeps.gov.ph/GEPSNONPILOT/Tender/SplashBidNoticeAbstractUI.aspx?menuIndex=3&amp;refID=7151342&amp;Result=3","7151342")</f>
        <v>0</v>
      </c>
      <c r="B13381" t="s">
        <v>1190</v>
      </c>
      <c r="C13381" t="s">
        <v>16337</v>
      </c>
      <c r="E13381" t="s">
        <v>28652</v>
      </c>
      <c r="F13381" t="s">
        <v>29372</v>
      </c>
      <c r="G13381" t="s">
        <v>29380</v>
      </c>
      <c r="H13381" t="s">
        <v>11048</v>
      </c>
      <c r="I13381" t="s">
        <v>29400</v>
      </c>
      <c r="J13381" t="s">
        <v>32496</v>
      </c>
      <c r="K13381" t="s">
        <v>38490</v>
      </c>
      <c r="M13381" t="s">
        <v>42224</v>
      </c>
      <c r="N13381" t="s">
        <v>42669</v>
      </c>
      <c r="O13381" t="s">
        <v>42670</v>
      </c>
      <c r="Q13381">
        <v>36</v>
      </c>
      <c r="R13381" t="s">
        <v>42692</v>
      </c>
      <c r="S13381" t="s">
        <v>43823</v>
      </c>
      <c r="T13381" t="s">
        <v>44401</v>
      </c>
      <c r="U13381" t="s">
        <v>55696</v>
      </c>
      <c r="W13381" t="s">
        <v>42224</v>
      </c>
      <c r="X13381" t="s">
        <v>42693</v>
      </c>
    </row>
    <row r="13382" spans="1:24">
      <c r="A13382">
        <f>HYPERLINK("https://www.philgeps.gov.ph/GEPSNONPILOT/Tender/SplashBidNoticeAbstractUI.aspx?menuIndex=3&amp;refID=7151124&amp;Result=3","7151124")</f>
        <v>0</v>
      </c>
      <c r="B13382" t="s">
        <v>1508</v>
      </c>
      <c r="C13382" t="s">
        <v>16338</v>
      </c>
      <c r="D13382" t="s">
        <v>17194</v>
      </c>
      <c r="E13382" t="s">
        <v>28653</v>
      </c>
      <c r="F13382" t="s">
        <v>29372</v>
      </c>
      <c r="G13382" t="s">
        <v>29379</v>
      </c>
      <c r="H13382" t="s">
        <v>11048</v>
      </c>
      <c r="I13382" t="s">
        <v>29439</v>
      </c>
      <c r="J13382" t="s">
        <v>29526</v>
      </c>
      <c r="K13382" t="s">
        <v>38488</v>
      </c>
      <c r="M13382" t="s">
        <v>40352</v>
      </c>
      <c r="N13382" t="s">
        <v>42669</v>
      </c>
      <c r="O13382" t="s">
        <v>42670</v>
      </c>
      <c r="P13382">
        <v>0</v>
      </c>
      <c r="Q13382">
        <v>2</v>
      </c>
      <c r="R13382" t="s">
        <v>42692</v>
      </c>
      <c r="S13382" t="s">
        <v>43798</v>
      </c>
      <c r="T13382" t="s">
        <v>44371</v>
      </c>
      <c r="U13382" t="s">
        <v>55698</v>
      </c>
      <c r="W13382" t="s">
        <v>40352</v>
      </c>
      <c r="X13382" t="s">
        <v>42693</v>
      </c>
    </row>
    <row r="13383" spans="1:24">
      <c r="A13383">
        <f>HYPERLINK("https://www.philgeps.gov.ph/GEPSNONPILOT/Tender/SplashBidNoticeAbstractUI.aspx?menuIndex=3&amp;refID=7151326&amp;Result=3","7151326")</f>
        <v>0</v>
      </c>
      <c r="B13383" t="s">
        <v>781</v>
      </c>
      <c r="C13383" t="s">
        <v>16339</v>
      </c>
      <c r="D13383" t="s">
        <v>17163</v>
      </c>
      <c r="E13383" t="s">
        <v>28654</v>
      </c>
      <c r="F13383" t="s">
        <v>29372</v>
      </c>
      <c r="G13383" t="s">
        <v>29380</v>
      </c>
      <c r="H13383" t="s">
        <v>29389</v>
      </c>
      <c r="I13383" t="s">
        <v>10408</v>
      </c>
      <c r="J13383" t="s">
        <v>29937</v>
      </c>
      <c r="K13383" t="s">
        <v>38496</v>
      </c>
      <c r="M13383" t="s">
        <v>41975</v>
      </c>
      <c r="N13383" t="s">
        <v>42669</v>
      </c>
      <c r="O13383" t="s">
        <v>42670</v>
      </c>
      <c r="P13383">
        <v>0</v>
      </c>
      <c r="Q13383">
        <v>75</v>
      </c>
      <c r="R13383" t="s">
        <v>42692</v>
      </c>
      <c r="S13383" t="s">
        <v>43798</v>
      </c>
      <c r="T13383" t="s">
        <v>44493</v>
      </c>
      <c r="U13383" t="s">
        <v>46453</v>
      </c>
      <c r="V13383" t="s">
        <v>57370</v>
      </c>
      <c r="W13383" t="s">
        <v>58096</v>
      </c>
      <c r="X13383" t="s">
        <v>42693</v>
      </c>
    </row>
    <row r="13384" spans="1:24">
      <c r="A13384">
        <f>HYPERLINK("https://www.philgeps.gov.ph/GEPSNONPILOT/Tender/SplashBidNoticeAbstractUI.aspx?menuIndex=3&amp;refID=7151314&amp;Result=3","7151314")</f>
        <v>0</v>
      </c>
      <c r="B13384" t="s">
        <v>2371</v>
      </c>
      <c r="C13384" t="s">
        <v>16340</v>
      </c>
      <c r="D13384" t="s">
        <v>17215</v>
      </c>
      <c r="E13384" t="s">
        <v>28655</v>
      </c>
      <c r="F13384" t="s">
        <v>29372</v>
      </c>
      <c r="G13384" t="s">
        <v>29380</v>
      </c>
      <c r="H13384" t="s">
        <v>29390</v>
      </c>
      <c r="I13384" t="s">
        <v>29396</v>
      </c>
      <c r="J13384" t="s">
        <v>37961</v>
      </c>
      <c r="K13384" t="s">
        <v>38488</v>
      </c>
      <c r="M13384" t="s">
        <v>41312</v>
      </c>
      <c r="N13384" t="s">
        <v>42669</v>
      </c>
      <c r="O13384" t="s">
        <v>42670</v>
      </c>
      <c r="Q13384">
        <v>1</v>
      </c>
      <c r="R13384" t="s">
        <v>42692</v>
      </c>
      <c r="S13384" t="s">
        <v>43824</v>
      </c>
      <c r="T13384" t="s">
        <v>44851</v>
      </c>
      <c r="U13384" t="s">
        <v>55699</v>
      </c>
      <c r="W13384" t="s">
        <v>41312</v>
      </c>
      <c r="X13384" t="s">
        <v>42693</v>
      </c>
    </row>
    <row r="13385" spans="1:24">
      <c r="A13385">
        <f>HYPERLINK("https://www.philgeps.gov.ph/GEPSNONPILOT/Tender/SplashBidNoticeAbstractUI.aspx?menuIndex=3&amp;refID=7151243&amp;Result=3","7151243")</f>
        <v>0</v>
      </c>
      <c r="B13385" t="s">
        <v>3453</v>
      </c>
      <c r="C13385" t="s">
        <v>16341</v>
      </c>
      <c r="D13385" t="s">
        <v>17158</v>
      </c>
      <c r="E13385" t="s">
        <v>28656</v>
      </c>
      <c r="F13385" t="s">
        <v>29372</v>
      </c>
      <c r="G13385" t="s">
        <v>29380</v>
      </c>
      <c r="H13385" t="s">
        <v>11048</v>
      </c>
      <c r="I13385" t="s">
        <v>29415</v>
      </c>
      <c r="J13385" t="s">
        <v>29619</v>
      </c>
      <c r="K13385" t="s">
        <v>38485</v>
      </c>
      <c r="M13385" t="s">
        <v>42568</v>
      </c>
      <c r="N13385" t="s">
        <v>42669</v>
      </c>
      <c r="O13385" t="s">
        <v>42670</v>
      </c>
      <c r="P13385">
        <v>0</v>
      </c>
      <c r="Q13385">
        <v>2</v>
      </c>
      <c r="R13385" t="s">
        <v>42692</v>
      </c>
      <c r="S13385" t="s">
        <v>43798</v>
      </c>
      <c r="T13385" t="s">
        <v>44432</v>
      </c>
      <c r="U13385" t="s">
        <v>55700</v>
      </c>
      <c r="W13385" t="s">
        <v>42568</v>
      </c>
      <c r="X13385" t="s">
        <v>42693</v>
      </c>
    </row>
    <row r="13386" spans="1:24">
      <c r="A13386">
        <f>HYPERLINK("https://www.philgeps.gov.ph/GEPSNONPILOT/Tender/SplashBidNoticeAbstractUI.aspx?menuIndex=3&amp;refID=7151227&amp;Result=3","7151227")</f>
        <v>0</v>
      </c>
      <c r="B13386" t="s">
        <v>3455</v>
      </c>
      <c r="C13386" t="s">
        <v>16342</v>
      </c>
      <c r="D13386" t="s">
        <v>17212</v>
      </c>
      <c r="E13386" t="s">
        <v>28657</v>
      </c>
      <c r="F13386" t="s">
        <v>29372</v>
      </c>
      <c r="G13386" t="s">
        <v>29380</v>
      </c>
      <c r="H13386" t="s">
        <v>29389</v>
      </c>
      <c r="I13386" t="s">
        <v>10408</v>
      </c>
      <c r="J13386" t="s">
        <v>37962</v>
      </c>
      <c r="K13386" t="s">
        <v>38525</v>
      </c>
      <c r="M13386" t="s">
        <v>42571</v>
      </c>
      <c r="N13386" t="s">
        <v>42669</v>
      </c>
      <c r="O13386" t="s">
        <v>42670</v>
      </c>
      <c r="P13386">
        <v>0</v>
      </c>
      <c r="Q13386">
        <v>51</v>
      </c>
      <c r="R13386" t="s">
        <v>42692</v>
      </c>
      <c r="S13386" t="s">
        <v>43798</v>
      </c>
      <c r="T13386" t="s">
        <v>44488</v>
      </c>
      <c r="U13386" t="s">
        <v>48472</v>
      </c>
      <c r="W13386" t="s">
        <v>42571</v>
      </c>
      <c r="X13386" t="s">
        <v>42693</v>
      </c>
    </row>
    <row r="13387" spans="1:24">
      <c r="A13387">
        <f>HYPERLINK("https://www.philgeps.gov.ph/GEPSNONPILOT/Tender/SplashBidNoticeAbstractUI.aspx?menuIndex=3&amp;refID=7151223&amp;Result=3","7151223")</f>
        <v>0</v>
      </c>
      <c r="B13387" t="s">
        <v>2354</v>
      </c>
      <c r="C13387" t="s">
        <v>16343</v>
      </c>
      <c r="D13387" t="s">
        <v>17174</v>
      </c>
      <c r="E13387" t="s">
        <v>28658</v>
      </c>
      <c r="F13387" t="s">
        <v>29372</v>
      </c>
      <c r="G13387" t="s">
        <v>29381</v>
      </c>
      <c r="H13387" t="s">
        <v>11048</v>
      </c>
      <c r="I13387" t="s">
        <v>7828</v>
      </c>
      <c r="J13387" t="s">
        <v>31798</v>
      </c>
      <c r="K13387" t="s">
        <v>38503</v>
      </c>
      <c r="M13387" t="s">
        <v>41289</v>
      </c>
      <c r="N13387" t="s">
        <v>42669</v>
      </c>
      <c r="O13387" t="s">
        <v>42670</v>
      </c>
      <c r="P13387">
        <v>0</v>
      </c>
      <c r="Q13387">
        <v>7</v>
      </c>
      <c r="R13387" t="s">
        <v>42692</v>
      </c>
      <c r="S13387" t="s">
        <v>43798</v>
      </c>
      <c r="T13387" t="s">
        <v>44554</v>
      </c>
      <c r="U13387" t="s">
        <v>55665</v>
      </c>
      <c r="W13387" t="s">
        <v>41289</v>
      </c>
      <c r="X13387" t="s">
        <v>42693</v>
      </c>
    </row>
    <row r="13388" spans="1:24">
      <c r="A13388">
        <f>HYPERLINK("https://www.philgeps.gov.ph/GEPSNONPILOT/Tender/SplashBidNoticeAbstractUI.aspx?menuIndex=3&amp;refID=7151195&amp;Result=3","7151195")</f>
        <v>0</v>
      </c>
      <c r="B13388" t="s">
        <v>2463</v>
      </c>
      <c r="C13388" t="s">
        <v>16344</v>
      </c>
      <c r="D13388" t="s">
        <v>17141</v>
      </c>
      <c r="E13388" t="s">
        <v>28659</v>
      </c>
      <c r="F13388" t="s">
        <v>29372</v>
      </c>
      <c r="G13388" t="s">
        <v>29380</v>
      </c>
      <c r="H13388" t="s">
        <v>29389</v>
      </c>
      <c r="I13388" t="s">
        <v>10408</v>
      </c>
      <c r="J13388" t="s">
        <v>37963</v>
      </c>
      <c r="K13388" t="s">
        <v>38490</v>
      </c>
      <c r="M13388" t="s">
        <v>41411</v>
      </c>
      <c r="N13388" t="s">
        <v>42669</v>
      </c>
      <c r="O13388" t="s">
        <v>42670</v>
      </c>
      <c r="P13388">
        <v>0</v>
      </c>
      <c r="Q13388">
        <v>0</v>
      </c>
      <c r="R13388" t="s">
        <v>42692</v>
      </c>
      <c r="S13388" t="s">
        <v>43798</v>
      </c>
      <c r="T13388" t="s">
        <v>44512</v>
      </c>
      <c r="U13388" t="s">
        <v>55701</v>
      </c>
      <c r="W13388" t="s">
        <v>41411</v>
      </c>
      <c r="X13388" t="s">
        <v>42693</v>
      </c>
    </row>
    <row r="13389" spans="1:24">
      <c r="A13389">
        <f>HYPERLINK("https://www.philgeps.gov.ph/GEPSNONPILOT/Tender/SplashBidNoticeAbstractUI.aspx?menuIndex=3&amp;refID=7151189&amp;Result=3","7151189")</f>
        <v>0</v>
      </c>
      <c r="B13389" t="s">
        <v>3455</v>
      </c>
      <c r="C13389" t="s">
        <v>16345</v>
      </c>
      <c r="D13389" t="s">
        <v>17212</v>
      </c>
      <c r="E13389" t="s">
        <v>28660</v>
      </c>
      <c r="F13389" t="s">
        <v>29372</v>
      </c>
      <c r="G13389" t="s">
        <v>29380</v>
      </c>
      <c r="H13389" t="s">
        <v>29389</v>
      </c>
      <c r="I13389" t="s">
        <v>10408</v>
      </c>
      <c r="J13389" t="s">
        <v>29573</v>
      </c>
      <c r="K13389" t="s">
        <v>38756</v>
      </c>
      <c r="M13389" t="s">
        <v>42571</v>
      </c>
      <c r="N13389" t="s">
        <v>42669</v>
      </c>
      <c r="O13389" t="s">
        <v>42670</v>
      </c>
      <c r="P13389">
        <v>0</v>
      </c>
      <c r="Q13389">
        <v>52</v>
      </c>
      <c r="R13389" t="s">
        <v>42692</v>
      </c>
      <c r="S13389" t="s">
        <v>43798</v>
      </c>
      <c r="T13389" t="s">
        <v>44488</v>
      </c>
      <c r="U13389" t="s">
        <v>48472</v>
      </c>
      <c r="W13389" t="s">
        <v>42571</v>
      </c>
      <c r="X13389" t="s">
        <v>42693</v>
      </c>
    </row>
    <row r="13390" spans="1:24">
      <c r="A13390">
        <f>HYPERLINK("https://www.philgeps.gov.ph/GEPSNONPILOT/Tender/SplashBidNoticeAbstractUI.aspx?menuIndex=3&amp;refID=7151263&amp;Result=3","7151263")</f>
        <v>0</v>
      </c>
      <c r="B13390" t="s">
        <v>1965</v>
      </c>
      <c r="C13390" t="s">
        <v>16346</v>
      </c>
      <c r="D13390" t="s">
        <v>17141</v>
      </c>
      <c r="E13390" t="s">
        <v>28661</v>
      </c>
      <c r="F13390" t="s">
        <v>29372</v>
      </c>
      <c r="G13390" t="s">
        <v>29380</v>
      </c>
      <c r="H13390" t="s">
        <v>11048</v>
      </c>
      <c r="I13390" t="s">
        <v>29493</v>
      </c>
      <c r="J13390" t="s">
        <v>37964</v>
      </c>
      <c r="K13390" t="s">
        <v>38490</v>
      </c>
      <c r="M13390" t="s">
        <v>42541</v>
      </c>
      <c r="N13390" t="s">
        <v>42669</v>
      </c>
      <c r="O13390" t="s">
        <v>42670</v>
      </c>
      <c r="Q13390">
        <v>11</v>
      </c>
      <c r="R13390" t="s">
        <v>42692</v>
      </c>
      <c r="S13390" t="s">
        <v>43825</v>
      </c>
      <c r="T13390" t="s">
        <v>44457</v>
      </c>
      <c r="U13390" t="s">
        <v>55702</v>
      </c>
      <c r="V13390" t="s">
        <v>57906</v>
      </c>
      <c r="W13390" t="s">
        <v>42541</v>
      </c>
      <c r="X13390" t="s">
        <v>42693</v>
      </c>
    </row>
    <row r="13391" spans="1:24">
      <c r="A13391">
        <f>HYPERLINK("https://www.philgeps.gov.ph/GEPSNONPILOT/Tender/SplashBidNoticeAbstractUI.aspx?menuIndex=3&amp;refID=7151219&amp;Result=3","7151219")</f>
        <v>0</v>
      </c>
      <c r="B13391" t="s">
        <v>173</v>
      </c>
      <c r="C13391" t="s">
        <v>16347</v>
      </c>
      <c r="E13391" t="s">
        <v>28662</v>
      </c>
      <c r="F13391" t="s">
        <v>29372</v>
      </c>
      <c r="G13391" t="s">
        <v>29379</v>
      </c>
      <c r="H13391" t="s">
        <v>11048</v>
      </c>
      <c r="I13391" t="s">
        <v>29407</v>
      </c>
      <c r="J13391" t="s">
        <v>37965</v>
      </c>
      <c r="K13391" t="s">
        <v>38490</v>
      </c>
      <c r="M13391" t="s">
        <v>42569</v>
      </c>
      <c r="N13391" t="s">
        <v>42669</v>
      </c>
      <c r="O13391" t="s">
        <v>42670</v>
      </c>
      <c r="P13391">
        <v>0</v>
      </c>
      <c r="Q13391">
        <v>4</v>
      </c>
      <c r="R13391" t="s">
        <v>42692</v>
      </c>
      <c r="S13391" t="s">
        <v>43798</v>
      </c>
      <c r="T13391" t="s">
        <v>44489</v>
      </c>
      <c r="U13391" t="s">
        <v>55703</v>
      </c>
      <c r="W13391" t="s">
        <v>58003</v>
      </c>
      <c r="X13391" t="s">
        <v>42693</v>
      </c>
    </row>
    <row r="13392" spans="1:24">
      <c r="A13392">
        <f>HYPERLINK("https://www.philgeps.gov.ph/GEPSNONPILOT/Tender/SplashBidNoticeAbstractUI.aspx?menuIndex=3&amp;refID=7151334&amp;Result=3","7151334")</f>
        <v>0</v>
      </c>
      <c r="B13392" t="s">
        <v>2178</v>
      </c>
      <c r="C13392" t="s">
        <v>16348</v>
      </c>
      <c r="D13392" t="s">
        <v>17183</v>
      </c>
      <c r="E13392" t="s">
        <v>24866</v>
      </c>
      <c r="F13392" t="s">
        <v>29372</v>
      </c>
      <c r="G13392" t="s">
        <v>29380</v>
      </c>
      <c r="H13392" t="s">
        <v>11048</v>
      </c>
      <c r="I13392" t="s">
        <v>29428</v>
      </c>
      <c r="J13392" t="s">
        <v>30056</v>
      </c>
      <c r="K13392" t="s">
        <v>38488</v>
      </c>
      <c r="M13392" t="s">
        <v>41091</v>
      </c>
      <c r="N13392" t="s">
        <v>42669</v>
      </c>
      <c r="O13392" t="s">
        <v>42670</v>
      </c>
      <c r="P13392">
        <v>0</v>
      </c>
      <c r="Q13392">
        <v>2</v>
      </c>
      <c r="R13392" t="s">
        <v>42692</v>
      </c>
      <c r="S13392" t="s">
        <v>43798</v>
      </c>
      <c r="T13392" t="s">
        <v>44554</v>
      </c>
      <c r="U13392" t="s">
        <v>55704</v>
      </c>
      <c r="V13392" t="s">
        <v>57073</v>
      </c>
      <c r="W13392" t="s">
        <v>41091</v>
      </c>
      <c r="X13392" t="s">
        <v>42693</v>
      </c>
    </row>
    <row r="13393" spans="1:24">
      <c r="A13393">
        <f>HYPERLINK("https://www.philgeps.gov.ph/GEPSNONPILOT/Tender/SplashBidNoticeAbstractUI.aspx?menuIndex=3&amp;refID=7151331&amp;Result=3","7151331")</f>
        <v>0</v>
      </c>
      <c r="B13393" t="s">
        <v>867</v>
      </c>
      <c r="C13393" t="s">
        <v>4606</v>
      </c>
      <c r="D13393" t="s">
        <v>17226</v>
      </c>
      <c r="E13393" t="s">
        <v>19663</v>
      </c>
      <c r="F13393" t="s">
        <v>29372</v>
      </c>
      <c r="G13393" t="s">
        <v>29380</v>
      </c>
      <c r="H13393" t="s">
        <v>29389</v>
      </c>
      <c r="I13393" t="s">
        <v>10408</v>
      </c>
      <c r="J13393" t="s">
        <v>37966</v>
      </c>
      <c r="K13393" t="s">
        <v>38527</v>
      </c>
      <c r="L13393" t="s">
        <v>867</v>
      </c>
      <c r="M13393" t="s">
        <v>39659</v>
      </c>
      <c r="N13393" t="s">
        <v>42669</v>
      </c>
      <c r="O13393" t="s">
        <v>42670</v>
      </c>
      <c r="P13393">
        <v>0</v>
      </c>
      <c r="Q13393">
        <v>1</v>
      </c>
      <c r="R13393" t="s">
        <v>42692</v>
      </c>
      <c r="S13393" t="s">
        <v>43798</v>
      </c>
      <c r="T13393" t="s">
        <v>44488</v>
      </c>
      <c r="U13393" t="s">
        <v>55705</v>
      </c>
      <c r="W13393" t="s">
        <v>39659</v>
      </c>
      <c r="X13393" t="s">
        <v>42693</v>
      </c>
    </row>
    <row r="13394" spans="1:24">
      <c r="A13394">
        <f>HYPERLINK("https://www.philgeps.gov.ph/GEPSNONPILOT/Tender/SplashBidNoticeAbstractUI.aspx?menuIndex=3&amp;refID=7151360&amp;Result=3","7151360")</f>
        <v>0</v>
      </c>
      <c r="B13394" t="s">
        <v>459</v>
      </c>
      <c r="C13394" t="s">
        <v>16349</v>
      </c>
      <c r="D13394" t="s">
        <v>17193</v>
      </c>
      <c r="E13394" t="s">
        <v>24351</v>
      </c>
      <c r="F13394" t="s">
        <v>29372</v>
      </c>
      <c r="G13394" t="s">
        <v>29380</v>
      </c>
      <c r="H13394" t="s">
        <v>29389</v>
      </c>
      <c r="I13394" t="s">
        <v>10408</v>
      </c>
      <c r="J13394" t="s">
        <v>37967</v>
      </c>
      <c r="K13394" t="s">
        <v>38649</v>
      </c>
      <c r="M13394" t="s">
        <v>41530</v>
      </c>
      <c r="N13394" t="s">
        <v>42669</v>
      </c>
      <c r="O13394" t="s">
        <v>42670</v>
      </c>
      <c r="P13394">
        <v>0</v>
      </c>
      <c r="Q13394">
        <v>12</v>
      </c>
      <c r="R13394" t="s">
        <v>42692</v>
      </c>
      <c r="S13394" t="s">
        <v>43798</v>
      </c>
      <c r="T13394" t="s">
        <v>44491</v>
      </c>
      <c r="U13394" t="s">
        <v>51564</v>
      </c>
      <c r="W13394" t="s">
        <v>41530</v>
      </c>
      <c r="X13394" t="s">
        <v>42693</v>
      </c>
    </row>
    <row r="13395" spans="1:24">
      <c r="A13395">
        <f>HYPERLINK("https://www.philgeps.gov.ph/GEPSNONPILOT/Tender/SplashBidNoticeAbstractUI.aspx?menuIndex=3&amp;refID=7151388&amp;Result=3","7151388")</f>
        <v>0</v>
      </c>
      <c r="B13395" t="s">
        <v>1190</v>
      </c>
      <c r="C13395" t="s">
        <v>16350</v>
      </c>
      <c r="E13395" t="s">
        <v>28663</v>
      </c>
      <c r="F13395" t="s">
        <v>29372</v>
      </c>
      <c r="G13395" t="s">
        <v>29380</v>
      </c>
      <c r="H13395" t="s">
        <v>11048</v>
      </c>
      <c r="I13395" t="s">
        <v>29400</v>
      </c>
      <c r="J13395" t="s">
        <v>37968</v>
      </c>
      <c r="K13395" t="s">
        <v>38490</v>
      </c>
      <c r="M13395" t="s">
        <v>42224</v>
      </c>
      <c r="N13395" t="s">
        <v>42669</v>
      </c>
      <c r="O13395" t="s">
        <v>42670</v>
      </c>
      <c r="Q13395">
        <v>39</v>
      </c>
      <c r="R13395" t="s">
        <v>42692</v>
      </c>
      <c r="S13395" t="s">
        <v>43826</v>
      </c>
      <c r="T13395" t="s">
        <v>44401</v>
      </c>
      <c r="U13395" t="s">
        <v>55696</v>
      </c>
      <c r="W13395" t="s">
        <v>42224</v>
      </c>
      <c r="X13395" t="s">
        <v>42693</v>
      </c>
    </row>
    <row r="13396" spans="1:24">
      <c r="A13396">
        <f>HYPERLINK("https://www.philgeps.gov.ph/GEPSNONPILOT/Tender/SplashBidNoticeAbstractUI.aspx?menuIndex=3&amp;refID=7151455&amp;Result=3","7151455")</f>
        <v>0</v>
      </c>
      <c r="B13396" t="s">
        <v>3081</v>
      </c>
      <c r="C13396" t="s">
        <v>16351</v>
      </c>
      <c r="D13396" t="s">
        <v>17143</v>
      </c>
      <c r="E13396" t="s">
        <v>28664</v>
      </c>
      <c r="F13396" t="s">
        <v>29372</v>
      </c>
      <c r="G13396" t="s">
        <v>29380</v>
      </c>
      <c r="H13396" t="s">
        <v>11048</v>
      </c>
      <c r="I13396" t="s">
        <v>9469</v>
      </c>
      <c r="J13396" t="s">
        <v>30752</v>
      </c>
      <c r="K13396" t="s">
        <v>38485</v>
      </c>
      <c r="M13396" t="s">
        <v>42110</v>
      </c>
      <c r="N13396" t="s">
        <v>42669</v>
      </c>
      <c r="O13396" t="s">
        <v>42670</v>
      </c>
      <c r="P13396">
        <v>0</v>
      </c>
      <c r="Q13396">
        <v>0</v>
      </c>
      <c r="R13396" t="s">
        <v>42692</v>
      </c>
      <c r="S13396" t="s">
        <v>43798</v>
      </c>
      <c r="T13396" t="s">
        <v>44488</v>
      </c>
      <c r="U13396" t="s">
        <v>55706</v>
      </c>
      <c r="W13396" t="s">
        <v>42110</v>
      </c>
      <c r="X13396" t="s">
        <v>42693</v>
      </c>
    </row>
    <row r="13397" spans="1:24">
      <c r="A13397">
        <f>HYPERLINK("https://www.philgeps.gov.ph/GEPSNONPILOT/Tender/SplashBidNoticeAbstractUI.aspx?menuIndex=3&amp;refID=7151385&amp;Result=3","7151385")</f>
        <v>0</v>
      </c>
      <c r="B13397" t="s">
        <v>2243</v>
      </c>
      <c r="C13397" t="s">
        <v>16352</v>
      </c>
      <c r="D13397" t="s">
        <v>17189</v>
      </c>
      <c r="E13397" t="s">
        <v>28665</v>
      </c>
      <c r="F13397" t="s">
        <v>29372</v>
      </c>
      <c r="G13397" t="s">
        <v>29386</v>
      </c>
      <c r="H13397" t="s">
        <v>29389</v>
      </c>
      <c r="I13397" t="s">
        <v>29462</v>
      </c>
      <c r="J13397" t="s">
        <v>37969</v>
      </c>
      <c r="K13397" t="s">
        <v>38485</v>
      </c>
      <c r="M13397" t="s">
        <v>42573</v>
      </c>
      <c r="N13397" t="s">
        <v>42669</v>
      </c>
      <c r="O13397" t="s">
        <v>42670</v>
      </c>
      <c r="Q13397">
        <v>6</v>
      </c>
      <c r="R13397" t="s">
        <v>42692</v>
      </c>
      <c r="S13397" t="s">
        <v>43382</v>
      </c>
      <c r="T13397" t="s">
        <v>44358</v>
      </c>
      <c r="U13397" t="s">
        <v>55707</v>
      </c>
      <c r="W13397" t="s">
        <v>42573</v>
      </c>
      <c r="X13397" t="s">
        <v>42693</v>
      </c>
    </row>
    <row r="13398" spans="1:24">
      <c r="A13398">
        <f>HYPERLINK("https://www.philgeps.gov.ph/GEPSNONPILOT/Tender/SplashBidNoticeAbstractUI.aspx?menuIndex=3&amp;refID=7151327&amp;Result=3","7151327")</f>
        <v>0</v>
      </c>
      <c r="B13398" t="s">
        <v>1190</v>
      </c>
      <c r="C13398" t="s">
        <v>16353</v>
      </c>
      <c r="E13398" t="s">
        <v>28666</v>
      </c>
      <c r="F13398" t="s">
        <v>29372</v>
      </c>
      <c r="G13398" t="s">
        <v>29380</v>
      </c>
      <c r="H13398" t="s">
        <v>11048</v>
      </c>
      <c r="I13398" t="s">
        <v>29400</v>
      </c>
      <c r="J13398" t="s">
        <v>37970</v>
      </c>
      <c r="K13398" t="s">
        <v>38490</v>
      </c>
      <c r="M13398" t="s">
        <v>42224</v>
      </c>
      <c r="N13398" t="s">
        <v>42669</v>
      </c>
      <c r="O13398" t="s">
        <v>42670</v>
      </c>
      <c r="Q13398">
        <v>34</v>
      </c>
      <c r="R13398" t="s">
        <v>42692</v>
      </c>
      <c r="S13398" t="s">
        <v>43827</v>
      </c>
      <c r="T13398" t="s">
        <v>44401</v>
      </c>
      <c r="U13398" t="s">
        <v>55696</v>
      </c>
      <c r="W13398" t="s">
        <v>42224</v>
      </c>
      <c r="X13398" t="s">
        <v>42693</v>
      </c>
    </row>
    <row r="13399" spans="1:24">
      <c r="A13399">
        <f>HYPERLINK("https://www.philgeps.gov.ph/GEPSNONPILOT/Tender/SplashBidNoticeAbstractUI.aspx?menuIndex=3&amp;refID=7151369&amp;Result=3","7151369")</f>
        <v>0</v>
      </c>
      <c r="B13399" t="s">
        <v>1190</v>
      </c>
      <c r="C13399" t="s">
        <v>16354</v>
      </c>
      <c r="E13399" t="s">
        <v>28667</v>
      </c>
      <c r="F13399" t="s">
        <v>29372</v>
      </c>
      <c r="G13399" t="s">
        <v>29380</v>
      </c>
      <c r="H13399" t="s">
        <v>11048</v>
      </c>
      <c r="I13399" t="s">
        <v>29400</v>
      </c>
      <c r="J13399" t="s">
        <v>37971</v>
      </c>
      <c r="K13399" t="s">
        <v>38490</v>
      </c>
      <c r="M13399" t="s">
        <v>42224</v>
      </c>
      <c r="N13399" t="s">
        <v>42669</v>
      </c>
      <c r="O13399" t="s">
        <v>42670</v>
      </c>
      <c r="Q13399">
        <v>53</v>
      </c>
      <c r="R13399" t="s">
        <v>42692</v>
      </c>
      <c r="S13399" t="s">
        <v>43828</v>
      </c>
      <c r="T13399" t="s">
        <v>44401</v>
      </c>
      <c r="U13399" t="s">
        <v>55696</v>
      </c>
      <c r="W13399" t="s">
        <v>42224</v>
      </c>
      <c r="X13399" t="s">
        <v>42693</v>
      </c>
    </row>
    <row r="13400" spans="1:24">
      <c r="A13400">
        <f>HYPERLINK("https://www.philgeps.gov.ph/GEPSNONPILOT/Tender/SplashBidNoticeAbstractUI.aspx?menuIndex=3&amp;refID=7151362&amp;Result=3","7151362")</f>
        <v>0</v>
      </c>
      <c r="B13400" t="s">
        <v>781</v>
      </c>
      <c r="C13400" t="s">
        <v>16355</v>
      </c>
      <c r="D13400" t="s">
        <v>17163</v>
      </c>
      <c r="E13400" t="s">
        <v>28668</v>
      </c>
      <c r="F13400" t="s">
        <v>29372</v>
      </c>
      <c r="G13400" t="s">
        <v>29380</v>
      </c>
      <c r="H13400" t="s">
        <v>29389</v>
      </c>
      <c r="I13400" t="s">
        <v>10408</v>
      </c>
      <c r="J13400" t="s">
        <v>30056</v>
      </c>
      <c r="K13400" t="s">
        <v>38496</v>
      </c>
      <c r="M13400" t="s">
        <v>41971</v>
      </c>
      <c r="N13400" t="s">
        <v>42669</v>
      </c>
      <c r="O13400" t="s">
        <v>42670</v>
      </c>
      <c r="P13400">
        <v>0</v>
      </c>
      <c r="Q13400">
        <v>76</v>
      </c>
      <c r="R13400" t="s">
        <v>42692</v>
      </c>
      <c r="S13400" t="s">
        <v>43798</v>
      </c>
      <c r="T13400" t="s">
        <v>44493</v>
      </c>
      <c r="U13400" t="s">
        <v>46453</v>
      </c>
      <c r="V13400" t="s">
        <v>57370</v>
      </c>
      <c r="W13400" t="s">
        <v>58096</v>
      </c>
      <c r="X13400" t="s">
        <v>42693</v>
      </c>
    </row>
    <row r="13401" spans="1:24">
      <c r="A13401">
        <f>HYPERLINK("https://www.philgeps.gov.ph/GEPSNONPILOT/Tender/SplashBidNoticeAbstractUI.aspx?menuIndex=3&amp;refID=7151542&amp;Result=3","7151542")</f>
        <v>0</v>
      </c>
      <c r="B13401" t="s">
        <v>1022</v>
      </c>
      <c r="C13401" t="s">
        <v>16356</v>
      </c>
      <c r="D13401" t="s">
        <v>17141</v>
      </c>
      <c r="E13401" t="s">
        <v>28669</v>
      </c>
      <c r="F13401" t="s">
        <v>29372</v>
      </c>
      <c r="G13401" t="s">
        <v>29380</v>
      </c>
      <c r="H13401" t="s">
        <v>11048</v>
      </c>
      <c r="I13401" t="s">
        <v>14920</v>
      </c>
      <c r="J13401" t="s">
        <v>37972</v>
      </c>
      <c r="K13401" t="s">
        <v>38488</v>
      </c>
      <c r="M13401" t="s">
        <v>39842</v>
      </c>
      <c r="N13401" t="s">
        <v>42669</v>
      </c>
      <c r="O13401" t="s">
        <v>42670</v>
      </c>
      <c r="P13401">
        <v>0</v>
      </c>
      <c r="Q13401">
        <v>0</v>
      </c>
      <c r="R13401" t="s">
        <v>42692</v>
      </c>
      <c r="S13401" t="s">
        <v>43798</v>
      </c>
      <c r="T13401" t="s">
        <v>44432</v>
      </c>
      <c r="U13401" t="s">
        <v>47038</v>
      </c>
      <c r="W13401" t="s">
        <v>39842</v>
      </c>
      <c r="X13401" t="s">
        <v>42693</v>
      </c>
    </row>
    <row r="13402" spans="1:24">
      <c r="A13402">
        <f>HYPERLINK("https://www.philgeps.gov.ph/GEPSNONPILOT/Tender/SplashBidNoticeAbstractUI.aspx?menuIndex=3&amp;refID=7151463&amp;Result=3","7151463")</f>
        <v>0</v>
      </c>
      <c r="B13402" t="s">
        <v>669</v>
      </c>
      <c r="C13402" t="s">
        <v>16357</v>
      </c>
      <c r="D13402" t="s">
        <v>17147</v>
      </c>
      <c r="E13402" t="s">
        <v>28670</v>
      </c>
      <c r="F13402" t="s">
        <v>29372</v>
      </c>
      <c r="G13402" t="s">
        <v>29382</v>
      </c>
      <c r="H13402" t="s">
        <v>11048</v>
      </c>
      <c r="I13402" t="s">
        <v>4487</v>
      </c>
      <c r="J13402" t="s">
        <v>37973</v>
      </c>
      <c r="K13402" t="s">
        <v>38488</v>
      </c>
      <c r="M13402" t="s">
        <v>40064</v>
      </c>
      <c r="N13402" t="s">
        <v>42669</v>
      </c>
      <c r="O13402" t="s">
        <v>42670</v>
      </c>
      <c r="Q13402">
        <v>4</v>
      </c>
      <c r="R13402" t="s">
        <v>42692</v>
      </c>
      <c r="S13402" t="s">
        <v>43829</v>
      </c>
      <c r="T13402" t="s">
        <v>44580</v>
      </c>
      <c r="U13402" t="s">
        <v>55708</v>
      </c>
      <c r="W13402" t="s">
        <v>40064</v>
      </c>
      <c r="X13402" t="s">
        <v>42693</v>
      </c>
    </row>
    <row r="13403" spans="1:24">
      <c r="A13403">
        <f>HYPERLINK("https://www.philgeps.gov.ph/GEPSNONPILOT/Tender/SplashBidNoticeAbstractUI.aspx?menuIndex=3&amp;refID=7151520&amp;Result=3","7151520")</f>
        <v>0</v>
      </c>
      <c r="B13403" t="s">
        <v>2036</v>
      </c>
      <c r="C13403" t="s">
        <v>16358</v>
      </c>
      <c r="D13403" t="s">
        <v>17228</v>
      </c>
      <c r="E13403" t="s">
        <v>20064</v>
      </c>
      <c r="F13403" t="s">
        <v>29372</v>
      </c>
      <c r="G13403" t="s">
        <v>29380</v>
      </c>
      <c r="H13403" t="s">
        <v>11048</v>
      </c>
      <c r="I13403" t="s">
        <v>9469</v>
      </c>
      <c r="J13403" t="s">
        <v>31958</v>
      </c>
      <c r="K13403" t="s">
        <v>38534</v>
      </c>
      <c r="M13403" t="s">
        <v>40932</v>
      </c>
      <c r="N13403" t="s">
        <v>42669</v>
      </c>
      <c r="O13403" t="s">
        <v>42670</v>
      </c>
      <c r="P13403">
        <v>0</v>
      </c>
      <c r="Q13403">
        <v>5</v>
      </c>
      <c r="R13403" t="s">
        <v>42692</v>
      </c>
      <c r="S13403" t="s">
        <v>43798</v>
      </c>
      <c r="T13403" t="s">
        <v>44647</v>
      </c>
      <c r="U13403" t="s">
        <v>49673</v>
      </c>
      <c r="W13403" t="s">
        <v>40932</v>
      </c>
      <c r="X13403" t="s">
        <v>42693</v>
      </c>
    </row>
    <row r="13404" spans="1:24">
      <c r="A13404">
        <f>HYPERLINK("https://www.philgeps.gov.ph/GEPSNONPILOT/Tender/SplashBidNoticeAbstractUI.aspx?menuIndex=3&amp;refID=7151405&amp;Result=3","7151405")</f>
        <v>0</v>
      </c>
      <c r="B13404" t="s">
        <v>1190</v>
      </c>
      <c r="C13404" t="s">
        <v>16359</v>
      </c>
      <c r="E13404" t="s">
        <v>28671</v>
      </c>
      <c r="F13404" t="s">
        <v>29372</v>
      </c>
      <c r="G13404" t="s">
        <v>29380</v>
      </c>
      <c r="H13404" t="s">
        <v>11048</v>
      </c>
      <c r="I13404" t="s">
        <v>29400</v>
      </c>
      <c r="J13404" t="s">
        <v>37974</v>
      </c>
      <c r="K13404" t="s">
        <v>38490</v>
      </c>
      <c r="M13404" t="s">
        <v>42224</v>
      </c>
      <c r="N13404" t="s">
        <v>42669</v>
      </c>
      <c r="O13404" t="s">
        <v>42670</v>
      </c>
      <c r="Q13404">
        <v>45</v>
      </c>
      <c r="R13404" t="s">
        <v>42692</v>
      </c>
      <c r="S13404" t="s">
        <v>43826</v>
      </c>
      <c r="T13404" t="s">
        <v>44401</v>
      </c>
      <c r="U13404" t="s">
        <v>55696</v>
      </c>
      <c r="W13404" t="s">
        <v>42224</v>
      </c>
      <c r="X13404" t="s">
        <v>42693</v>
      </c>
    </row>
    <row r="13405" spans="1:24">
      <c r="A13405">
        <f>HYPERLINK("https://www.philgeps.gov.ph/GEPSNONPILOT/Tender/SplashBidNoticeAbstractUI.aspx?menuIndex=3&amp;refID=7151537&amp;Result=3","7151537")</f>
        <v>0</v>
      </c>
      <c r="B13405" t="s">
        <v>3081</v>
      </c>
      <c r="C13405" t="s">
        <v>16360</v>
      </c>
      <c r="D13405" t="s">
        <v>17143</v>
      </c>
      <c r="E13405" t="s">
        <v>28672</v>
      </c>
      <c r="F13405" t="s">
        <v>29372</v>
      </c>
      <c r="G13405" t="s">
        <v>29380</v>
      </c>
      <c r="H13405" t="s">
        <v>11048</v>
      </c>
      <c r="I13405" t="s">
        <v>29439</v>
      </c>
      <c r="J13405" t="s">
        <v>37975</v>
      </c>
      <c r="K13405" t="s">
        <v>38485</v>
      </c>
      <c r="M13405" t="s">
        <v>42110</v>
      </c>
      <c r="N13405" t="s">
        <v>42669</v>
      </c>
      <c r="O13405" t="s">
        <v>42670</v>
      </c>
      <c r="P13405">
        <v>0</v>
      </c>
      <c r="Q13405">
        <v>0</v>
      </c>
      <c r="R13405" t="s">
        <v>42692</v>
      </c>
      <c r="S13405" t="s">
        <v>43798</v>
      </c>
      <c r="T13405" t="s">
        <v>44488</v>
      </c>
      <c r="U13405" t="s">
        <v>55709</v>
      </c>
      <c r="W13405" t="s">
        <v>42110</v>
      </c>
      <c r="X13405" t="s">
        <v>42693</v>
      </c>
    </row>
    <row r="13406" spans="1:24">
      <c r="A13406">
        <f>HYPERLINK("https://www.philgeps.gov.ph/GEPSNONPILOT/Tender/SplashBidNoticeAbstractUI.aspx?menuIndex=3&amp;refID=7151467&amp;Result=3","7151467")</f>
        <v>0</v>
      </c>
      <c r="B13406" t="s">
        <v>3076</v>
      </c>
      <c r="C13406" t="s">
        <v>16361</v>
      </c>
      <c r="D13406" t="s">
        <v>17145</v>
      </c>
      <c r="E13406" t="s">
        <v>28673</v>
      </c>
      <c r="F13406" t="s">
        <v>29372</v>
      </c>
      <c r="G13406" t="s">
        <v>29380</v>
      </c>
      <c r="H13406" t="s">
        <v>11048</v>
      </c>
      <c r="I13406" t="s">
        <v>4487</v>
      </c>
      <c r="J13406" t="s">
        <v>37976</v>
      </c>
      <c r="K13406" t="s">
        <v>38485</v>
      </c>
      <c r="M13406" t="s">
        <v>42105</v>
      </c>
      <c r="N13406" t="s">
        <v>42669</v>
      </c>
      <c r="O13406" t="s">
        <v>42670</v>
      </c>
      <c r="P13406">
        <v>0</v>
      </c>
      <c r="Q13406">
        <v>7</v>
      </c>
      <c r="R13406" t="s">
        <v>42692</v>
      </c>
      <c r="S13406" t="s">
        <v>43798</v>
      </c>
      <c r="T13406" t="s">
        <v>44491</v>
      </c>
      <c r="U13406" t="s">
        <v>55710</v>
      </c>
      <c r="W13406" t="s">
        <v>42105</v>
      </c>
      <c r="X13406" t="s">
        <v>42693</v>
      </c>
    </row>
    <row r="13407" spans="1:24">
      <c r="A13407">
        <f>HYPERLINK("https://www.philgeps.gov.ph/GEPSNONPILOT/Tender/SplashBidNoticeAbstractUI.aspx?menuIndex=3&amp;refID=7151434&amp;Result=3","7151434")</f>
        <v>0</v>
      </c>
      <c r="B13407" t="s">
        <v>1022</v>
      </c>
      <c r="C13407" t="s">
        <v>16362</v>
      </c>
      <c r="D13407" t="s">
        <v>17141</v>
      </c>
      <c r="E13407" t="s">
        <v>28674</v>
      </c>
      <c r="F13407" t="s">
        <v>29372</v>
      </c>
      <c r="G13407" t="s">
        <v>29380</v>
      </c>
      <c r="H13407" t="s">
        <v>11048</v>
      </c>
      <c r="I13407" t="s">
        <v>5383</v>
      </c>
      <c r="J13407" t="s">
        <v>37977</v>
      </c>
      <c r="K13407" t="s">
        <v>38488</v>
      </c>
      <c r="M13407" t="s">
        <v>39842</v>
      </c>
      <c r="N13407" t="s">
        <v>42669</v>
      </c>
      <c r="O13407" t="s">
        <v>42670</v>
      </c>
      <c r="P13407">
        <v>0</v>
      </c>
      <c r="Q13407">
        <v>0</v>
      </c>
      <c r="R13407" t="s">
        <v>42692</v>
      </c>
      <c r="S13407" t="s">
        <v>43798</v>
      </c>
      <c r="T13407" t="s">
        <v>44432</v>
      </c>
      <c r="U13407" t="s">
        <v>46808</v>
      </c>
      <c r="W13407" t="s">
        <v>39842</v>
      </c>
      <c r="X13407" t="s">
        <v>42693</v>
      </c>
    </row>
    <row r="13408" spans="1:24">
      <c r="A13408">
        <f>HYPERLINK("https://www.philgeps.gov.ph/GEPSNONPILOT/Tender/SplashBidNoticeAbstractUI.aspx?menuIndex=3&amp;refID=7151464&amp;Result=3","7151464")</f>
        <v>0</v>
      </c>
      <c r="B13408" t="s">
        <v>1022</v>
      </c>
      <c r="C13408" t="s">
        <v>16363</v>
      </c>
      <c r="D13408" t="s">
        <v>17141</v>
      </c>
      <c r="E13408" t="s">
        <v>28675</v>
      </c>
      <c r="F13408" t="s">
        <v>29372</v>
      </c>
      <c r="G13408" t="s">
        <v>29380</v>
      </c>
      <c r="H13408" t="s">
        <v>11048</v>
      </c>
      <c r="I13408" t="s">
        <v>5383</v>
      </c>
      <c r="J13408" t="s">
        <v>37978</v>
      </c>
      <c r="K13408" t="s">
        <v>38488</v>
      </c>
      <c r="M13408" t="s">
        <v>39842</v>
      </c>
      <c r="N13408" t="s">
        <v>42669</v>
      </c>
      <c r="O13408" t="s">
        <v>42670</v>
      </c>
      <c r="P13408">
        <v>0</v>
      </c>
      <c r="Q13408">
        <v>1</v>
      </c>
      <c r="R13408" t="s">
        <v>42692</v>
      </c>
      <c r="S13408" t="s">
        <v>43798</v>
      </c>
      <c r="T13408" t="s">
        <v>44432</v>
      </c>
      <c r="U13408" t="s">
        <v>46808</v>
      </c>
      <c r="W13408" t="s">
        <v>39842</v>
      </c>
      <c r="X13408" t="s">
        <v>42693</v>
      </c>
    </row>
    <row r="13409" spans="1:24">
      <c r="A13409">
        <f>HYPERLINK("https://www.philgeps.gov.ph/GEPSNONPILOT/Tender/SplashBidNoticeAbstractUI.aspx?menuIndex=3&amp;refID=7151379&amp;Result=3","7151379")</f>
        <v>0</v>
      </c>
      <c r="B13409" t="s">
        <v>1190</v>
      </c>
      <c r="C13409" t="s">
        <v>16364</v>
      </c>
      <c r="E13409" t="s">
        <v>28676</v>
      </c>
      <c r="F13409" t="s">
        <v>29372</v>
      </c>
      <c r="G13409" t="s">
        <v>29380</v>
      </c>
      <c r="H13409" t="s">
        <v>11048</v>
      </c>
      <c r="I13409" t="s">
        <v>29400</v>
      </c>
      <c r="J13409" t="s">
        <v>37979</v>
      </c>
      <c r="K13409" t="s">
        <v>38490</v>
      </c>
      <c r="M13409" t="s">
        <v>42224</v>
      </c>
      <c r="N13409" t="s">
        <v>42669</v>
      </c>
      <c r="O13409" t="s">
        <v>42670</v>
      </c>
      <c r="Q13409">
        <v>38</v>
      </c>
      <c r="R13409" t="s">
        <v>42692</v>
      </c>
      <c r="S13409" t="s">
        <v>43830</v>
      </c>
      <c r="T13409" t="s">
        <v>44401</v>
      </c>
      <c r="U13409" t="s">
        <v>55696</v>
      </c>
      <c r="W13409" t="s">
        <v>42224</v>
      </c>
      <c r="X13409" t="s">
        <v>42693</v>
      </c>
    </row>
    <row r="13410" spans="1:24">
      <c r="A13410">
        <f>HYPERLINK("https://www.philgeps.gov.ph/GEPSNONPILOT/Tender/SplashBidNoticeAbstractUI.aspx?menuIndex=3&amp;refID=7151480&amp;Result=3","7151480")</f>
        <v>0</v>
      </c>
      <c r="B13410" t="s">
        <v>3456</v>
      </c>
      <c r="C13410" t="s">
        <v>16365</v>
      </c>
      <c r="E13410" t="s">
        <v>28677</v>
      </c>
      <c r="F13410" t="s">
        <v>29372</v>
      </c>
      <c r="G13410" t="s">
        <v>29380</v>
      </c>
      <c r="H13410" t="s">
        <v>11048</v>
      </c>
      <c r="I13410" t="s">
        <v>29428</v>
      </c>
      <c r="J13410" t="s">
        <v>37980</v>
      </c>
      <c r="K13410" t="s">
        <v>38485</v>
      </c>
      <c r="M13410" t="s">
        <v>42574</v>
      </c>
      <c r="N13410" t="s">
        <v>42669</v>
      </c>
      <c r="O13410" t="s">
        <v>42670</v>
      </c>
      <c r="Q13410">
        <v>4</v>
      </c>
      <c r="R13410" t="s">
        <v>42692</v>
      </c>
      <c r="S13410" t="s">
        <v>43831</v>
      </c>
      <c r="T13410" t="s">
        <v>44852</v>
      </c>
      <c r="U13410" t="s">
        <v>55711</v>
      </c>
      <c r="V13410" t="s">
        <v>57907</v>
      </c>
      <c r="W13410" t="s">
        <v>42574</v>
      </c>
      <c r="X13410" t="s">
        <v>42693</v>
      </c>
    </row>
    <row r="13411" spans="1:24">
      <c r="A13411">
        <f>HYPERLINK("https://www.philgeps.gov.ph/GEPSNONPILOT/Tender/SplashBidNoticeAbstractUI.aspx?menuIndex=3&amp;refID=7151558&amp;Result=3","7151558")</f>
        <v>0</v>
      </c>
      <c r="B13411" t="s">
        <v>3456</v>
      </c>
      <c r="C13411" t="s">
        <v>16366</v>
      </c>
      <c r="E13411" t="s">
        <v>28678</v>
      </c>
      <c r="F13411" t="s">
        <v>29372</v>
      </c>
      <c r="G13411" t="s">
        <v>29380</v>
      </c>
      <c r="H13411" t="s">
        <v>11048</v>
      </c>
      <c r="I13411" t="s">
        <v>29428</v>
      </c>
      <c r="J13411" t="s">
        <v>37981</v>
      </c>
      <c r="K13411" t="s">
        <v>38485</v>
      </c>
      <c r="M13411" t="s">
        <v>42574</v>
      </c>
      <c r="N13411" t="s">
        <v>42669</v>
      </c>
      <c r="O13411" t="s">
        <v>42670</v>
      </c>
      <c r="Q13411">
        <v>5</v>
      </c>
      <c r="R13411" t="s">
        <v>42692</v>
      </c>
      <c r="S13411" t="s">
        <v>43832</v>
      </c>
      <c r="T13411" t="s">
        <v>44678</v>
      </c>
      <c r="U13411" t="s">
        <v>55712</v>
      </c>
      <c r="V13411" t="s">
        <v>57907</v>
      </c>
      <c r="W13411" t="s">
        <v>42574</v>
      </c>
      <c r="X13411" t="s">
        <v>42693</v>
      </c>
    </row>
    <row r="13412" spans="1:24">
      <c r="A13412">
        <f>HYPERLINK("https://www.philgeps.gov.ph/GEPSNONPILOT/Tender/SplashBidNoticeAbstractUI.aspx?menuIndex=3&amp;refID=7151517&amp;Result=3","7151517")</f>
        <v>0</v>
      </c>
      <c r="B13412" t="s">
        <v>1022</v>
      </c>
      <c r="C13412" t="s">
        <v>16367</v>
      </c>
      <c r="D13412" t="s">
        <v>17141</v>
      </c>
      <c r="E13412" t="s">
        <v>28679</v>
      </c>
      <c r="F13412" t="s">
        <v>29372</v>
      </c>
      <c r="G13412" t="s">
        <v>29380</v>
      </c>
      <c r="H13412" t="s">
        <v>11048</v>
      </c>
      <c r="I13412" t="s">
        <v>14920</v>
      </c>
      <c r="J13412" t="s">
        <v>37982</v>
      </c>
      <c r="K13412" t="s">
        <v>38488</v>
      </c>
      <c r="M13412" t="s">
        <v>39842</v>
      </c>
      <c r="N13412" t="s">
        <v>42669</v>
      </c>
      <c r="O13412" t="s">
        <v>42670</v>
      </c>
      <c r="P13412">
        <v>0</v>
      </c>
      <c r="Q13412">
        <v>0</v>
      </c>
      <c r="R13412" t="s">
        <v>42692</v>
      </c>
      <c r="S13412" t="s">
        <v>43798</v>
      </c>
      <c r="T13412" t="s">
        <v>44432</v>
      </c>
      <c r="U13412" t="s">
        <v>47038</v>
      </c>
      <c r="W13412" t="s">
        <v>39842</v>
      </c>
      <c r="X13412" t="s">
        <v>42693</v>
      </c>
    </row>
    <row r="13413" spans="1:24">
      <c r="A13413">
        <f>HYPERLINK("https://www.philgeps.gov.ph/GEPSNONPILOT/Tender/SplashBidNoticeAbstractUI.aspx?menuIndex=3&amp;refID=7151681&amp;Result=3","7151681")</f>
        <v>0</v>
      </c>
      <c r="B13413" t="s">
        <v>1022</v>
      </c>
      <c r="C13413" t="s">
        <v>16368</v>
      </c>
      <c r="D13413" t="s">
        <v>17141</v>
      </c>
      <c r="E13413" t="s">
        <v>28680</v>
      </c>
      <c r="F13413" t="s">
        <v>29372</v>
      </c>
      <c r="G13413" t="s">
        <v>29380</v>
      </c>
      <c r="H13413" t="s">
        <v>11048</v>
      </c>
      <c r="I13413" t="s">
        <v>3670</v>
      </c>
      <c r="J13413" t="s">
        <v>37983</v>
      </c>
      <c r="K13413" t="s">
        <v>38488</v>
      </c>
      <c r="M13413" t="s">
        <v>39842</v>
      </c>
      <c r="N13413" t="s">
        <v>42669</v>
      </c>
      <c r="O13413" t="s">
        <v>42670</v>
      </c>
      <c r="P13413">
        <v>0</v>
      </c>
      <c r="Q13413">
        <v>1</v>
      </c>
      <c r="R13413" t="s">
        <v>42692</v>
      </c>
      <c r="S13413" t="s">
        <v>43798</v>
      </c>
      <c r="T13413" t="s">
        <v>44432</v>
      </c>
      <c r="U13413" t="s">
        <v>47035</v>
      </c>
      <c r="W13413" t="s">
        <v>39842</v>
      </c>
      <c r="X13413" t="s">
        <v>42693</v>
      </c>
    </row>
    <row r="13414" spans="1:24">
      <c r="A13414">
        <f>HYPERLINK("https://www.philgeps.gov.ph/GEPSNONPILOT/Tender/SplashBidNoticeAbstractUI.aspx?menuIndex=3&amp;refID=7151509&amp;Result=3","7151509")</f>
        <v>0</v>
      </c>
      <c r="B13414" t="s">
        <v>3081</v>
      </c>
      <c r="C13414" t="s">
        <v>16369</v>
      </c>
      <c r="D13414" t="s">
        <v>17143</v>
      </c>
      <c r="E13414" t="s">
        <v>28681</v>
      </c>
      <c r="F13414" t="s">
        <v>29372</v>
      </c>
      <c r="G13414" t="s">
        <v>29380</v>
      </c>
      <c r="H13414" t="s">
        <v>11048</v>
      </c>
      <c r="I13414" t="s">
        <v>29409</v>
      </c>
      <c r="J13414" t="s">
        <v>33657</v>
      </c>
      <c r="K13414" t="s">
        <v>38485</v>
      </c>
      <c r="M13414" t="s">
        <v>42110</v>
      </c>
      <c r="N13414" t="s">
        <v>42669</v>
      </c>
      <c r="O13414" t="s">
        <v>42670</v>
      </c>
      <c r="P13414">
        <v>0</v>
      </c>
      <c r="Q13414">
        <v>7</v>
      </c>
      <c r="R13414" t="s">
        <v>42692</v>
      </c>
      <c r="S13414" t="s">
        <v>43798</v>
      </c>
      <c r="T13414" t="s">
        <v>44488</v>
      </c>
      <c r="U13414" t="s">
        <v>55713</v>
      </c>
      <c r="W13414" t="s">
        <v>42110</v>
      </c>
      <c r="X13414" t="s">
        <v>42693</v>
      </c>
    </row>
    <row r="13415" spans="1:24">
      <c r="A13415">
        <f>HYPERLINK("https://www.philgeps.gov.ph/GEPSNONPILOT/Tender/SplashBidNoticeAbstractUI.aspx?menuIndex=3&amp;refID=7151759&amp;Result=3","7151759")</f>
        <v>0</v>
      </c>
      <c r="B13415" t="s">
        <v>1022</v>
      </c>
      <c r="C13415" t="s">
        <v>16370</v>
      </c>
      <c r="D13415" t="s">
        <v>17141</v>
      </c>
      <c r="E13415" t="s">
        <v>28682</v>
      </c>
      <c r="F13415" t="s">
        <v>29372</v>
      </c>
      <c r="G13415" t="s">
        <v>29380</v>
      </c>
      <c r="H13415" t="s">
        <v>11048</v>
      </c>
      <c r="I13415" t="s">
        <v>3670</v>
      </c>
      <c r="J13415" t="s">
        <v>37984</v>
      </c>
      <c r="K13415" t="s">
        <v>38488</v>
      </c>
      <c r="M13415" t="s">
        <v>39856</v>
      </c>
      <c r="N13415" t="s">
        <v>42669</v>
      </c>
      <c r="O13415" t="s">
        <v>42670</v>
      </c>
      <c r="P13415">
        <v>0</v>
      </c>
      <c r="Q13415">
        <v>0</v>
      </c>
      <c r="R13415" t="s">
        <v>42692</v>
      </c>
      <c r="S13415" t="s">
        <v>43798</v>
      </c>
      <c r="T13415" t="s">
        <v>44432</v>
      </c>
      <c r="U13415" t="s">
        <v>47096</v>
      </c>
      <c r="W13415" t="s">
        <v>39856</v>
      </c>
      <c r="X13415" t="s">
        <v>42693</v>
      </c>
    </row>
    <row r="13416" spans="1:24">
      <c r="A13416">
        <f>HYPERLINK("https://www.philgeps.gov.ph/GEPSNONPILOT/Tender/SplashBidNoticeAbstractUI.aspx?menuIndex=3&amp;refID=7151570&amp;Result=3","7151570")</f>
        <v>0</v>
      </c>
      <c r="B13416" t="s">
        <v>3081</v>
      </c>
      <c r="C13416" t="s">
        <v>16371</v>
      </c>
      <c r="D13416" t="s">
        <v>17143</v>
      </c>
      <c r="E13416" t="s">
        <v>28683</v>
      </c>
      <c r="F13416" t="s">
        <v>29372</v>
      </c>
      <c r="G13416" t="s">
        <v>29380</v>
      </c>
      <c r="H13416" t="s">
        <v>29389</v>
      </c>
      <c r="I13416" t="s">
        <v>10408</v>
      </c>
      <c r="J13416" t="s">
        <v>37985</v>
      </c>
      <c r="K13416" t="s">
        <v>38495</v>
      </c>
      <c r="M13416" t="s">
        <v>42110</v>
      </c>
      <c r="N13416" t="s">
        <v>42669</v>
      </c>
      <c r="O13416" t="s">
        <v>42670</v>
      </c>
      <c r="P13416">
        <v>0</v>
      </c>
      <c r="Q13416">
        <v>2</v>
      </c>
      <c r="R13416" t="s">
        <v>42692</v>
      </c>
      <c r="S13416" t="s">
        <v>43798</v>
      </c>
      <c r="T13416" t="s">
        <v>44488</v>
      </c>
      <c r="U13416" t="s">
        <v>55714</v>
      </c>
      <c r="W13416" t="s">
        <v>42110</v>
      </c>
      <c r="X13416" t="s">
        <v>42693</v>
      </c>
    </row>
    <row r="13417" spans="1:24">
      <c r="A13417">
        <f>HYPERLINK("https://www.philgeps.gov.ph/GEPSNONPILOT/Tender/SplashBidNoticeAbstractUI.aspx?menuIndex=3&amp;refID=7151545&amp;Result=3","7151545")</f>
        <v>0</v>
      </c>
      <c r="B13417" t="s">
        <v>3361</v>
      </c>
      <c r="C13417" t="s">
        <v>16372</v>
      </c>
      <c r="D13417" t="s">
        <v>17177</v>
      </c>
      <c r="E13417" t="s">
        <v>28684</v>
      </c>
      <c r="F13417" t="s">
        <v>29372</v>
      </c>
      <c r="G13417" t="s">
        <v>29380</v>
      </c>
      <c r="H13417" t="s">
        <v>29389</v>
      </c>
      <c r="I13417" t="s">
        <v>10408</v>
      </c>
      <c r="J13417" t="s">
        <v>29708</v>
      </c>
      <c r="K13417" t="s">
        <v>38538</v>
      </c>
      <c r="M13417" t="s">
        <v>42454</v>
      </c>
      <c r="N13417" t="s">
        <v>42669</v>
      </c>
      <c r="O13417" t="s">
        <v>42670</v>
      </c>
      <c r="P13417">
        <v>0</v>
      </c>
      <c r="Q13417">
        <v>0</v>
      </c>
      <c r="R13417" t="s">
        <v>42692</v>
      </c>
      <c r="S13417" t="s">
        <v>43798</v>
      </c>
      <c r="T13417" t="s">
        <v>44491</v>
      </c>
      <c r="U13417" t="s">
        <v>55715</v>
      </c>
      <c r="V13417" t="s">
        <v>57908</v>
      </c>
      <c r="W13417" t="s">
        <v>42454</v>
      </c>
      <c r="X13417" t="s">
        <v>42693</v>
      </c>
    </row>
    <row r="13418" spans="1:24">
      <c r="A13418">
        <f>HYPERLINK("https://www.philgeps.gov.ph/GEPSNONPILOT/Tender/SplashBidNoticeAbstractUI.aspx?menuIndex=3&amp;refID=7151701&amp;Result=3","7151701")</f>
        <v>0</v>
      </c>
      <c r="B13418" t="s">
        <v>1022</v>
      </c>
      <c r="C13418" t="s">
        <v>16373</v>
      </c>
      <c r="D13418" t="s">
        <v>17141</v>
      </c>
      <c r="E13418" t="s">
        <v>28685</v>
      </c>
      <c r="F13418" t="s">
        <v>29372</v>
      </c>
      <c r="G13418" t="s">
        <v>29380</v>
      </c>
      <c r="H13418" t="s">
        <v>11048</v>
      </c>
      <c r="I13418" t="s">
        <v>3670</v>
      </c>
      <c r="J13418" t="s">
        <v>37986</v>
      </c>
      <c r="K13418" t="s">
        <v>38488</v>
      </c>
      <c r="M13418" t="s">
        <v>39842</v>
      </c>
      <c r="N13418" t="s">
        <v>42669</v>
      </c>
      <c r="O13418" t="s">
        <v>42670</v>
      </c>
      <c r="P13418">
        <v>0</v>
      </c>
      <c r="Q13418">
        <v>0</v>
      </c>
      <c r="R13418" t="s">
        <v>42692</v>
      </c>
      <c r="S13418" t="s">
        <v>43798</v>
      </c>
      <c r="T13418" t="s">
        <v>44432</v>
      </c>
      <c r="U13418" t="s">
        <v>47035</v>
      </c>
      <c r="W13418" t="s">
        <v>39842</v>
      </c>
      <c r="X13418" t="s">
        <v>42693</v>
      </c>
    </row>
    <row r="13419" spans="1:24">
      <c r="A13419">
        <f>HYPERLINK("https://www.philgeps.gov.ph/GEPSNONPILOT/Tender/SplashBidNoticeAbstractUI.aspx?menuIndex=3&amp;refID=7151662&amp;Result=3","7151662")</f>
        <v>0</v>
      </c>
      <c r="B13419" t="s">
        <v>91</v>
      </c>
      <c r="C13419" t="s">
        <v>16374</v>
      </c>
      <c r="D13419" t="s">
        <v>17176</v>
      </c>
      <c r="E13419" t="s">
        <v>28686</v>
      </c>
      <c r="F13419" t="s">
        <v>29372</v>
      </c>
      <c r="G13419" t="s">
        <v>29380</v>
      </c>
      <c r="H13419" t="s">
        <v>29389</v>
      </c>
      <c r="I13419" t="s">
        <v>10408</v>
      </c>
      <c r="J13419" t="s">
        <v>37987</v>
      </c>
      <c r="K13419" t="s">
        <v>38702</v>
      </c>
      <c r="M13419" t="s">
        <v>41447</v>
      </c>
      <c r="N13419" t="s">
        <v>42669</v>
      </c>
      <c r="O13419" t="s">
        <v>42670</v>
      </c>
      <c r="P13419">
        <v>0</v>
      </c>
      <c r="Q13419">
        <v>0</v>
      </c>
      <c r="R13419" t="s">
        <v>42692</v>
      </c>
      <c r="S13419" t="s">
        <v>43798</v>
      </c>
      <c r="T13419" t="s">
        <v>44493</v>
      </c>
      <c r="U13419" t="s">
        <v>51387</v>
      </c>
      <c r="W13419" t="s">
        <v>41447</v>
      </c>
      <c r="X13419" t="s">
        <v>42693</v>
      </c>
    </row>
    <row r="13420" spans="1:24">
      <c r="A13420">
        <f>HYPERLINK("https://www.philgeps.gov.ph/GEPSNONPILOT/Tender/SplashBidNoticeAbstractUI.aspx?menuIndex=3&amp;refID=7151428&amp;Result=3","7151428")</f>
        <v>0</v>
      </c>
      <c r="B13420" t="s">
        <v>1190</v>
      </c>
      <c r="C13420" t="s">
        <v>16375</v>
      </c>
      <c r="E13420" t="s">
        <v>28687</v>
      </c>
      <c r="F13420" t="s">
        <v>29372</v>
      </c>
      <c r="G13420" t="s">
        <v>29380</v>
      </c>
      <c r="H13420" t="s">
        <v>11048</v>
      </c>
      <c r="I13420" t="s">
        <v>29400</v>
      </c>
      <c r="J13420" t="s">
        <v>31371</v>
      </c>
      <c r="K13420" t="s">
        <v>38490</v>
      </c>
      <c r="M13420" t="s">
        <v>42224</v>
      </c>
      <c r="N13420" t="s">
        <v>42669</v>
      </c>
      <c r="O13420" t="s">
        <v>42670</v>
      </c>
      <c r="Q13420">
        <v>44</v>
      </c>
      <c r="R13420" t="s">
        <v>42692</v>
      </c>
      <c r="S13420" t="s">
        <v>43052</v>
      </c>
      <c r="T13420" t="s">
        <v>44401</v>
      </c>
      <c r="U13420" t="s">
        <v>55696</v>
      </c>
      <c r="W13420" t="s">
        <v>42224</v>
      </c>
      <c r="X13420" t="s">
        <v>42693</v>
      </c>
    </row>
    <row r="13421" spans="1:24">
      <c r="A13421">
        <f>HYPERLINK("https://www.philgeps.gov.ph/GEPSNONPILOT/Tender/SplashBidNoticeAbstractUI.aspx?menuIndex=3&amp;refID=7151654&amp;Result=3","7151654")</f>
        <v>0</v>
      </c>
      <c r="B13421" t="s">
        <v>3457</v>
      </c>
      <c r="C13421" t="s">
        <v>16376</v>
      </c>
      <c r="D13421" t="s">
        <v>17216</v>
      </c>
      <c r="E13421" t="s">
        <v>28688</v>
      </c>
      <c r="F13421" t="s">
        <v>29372</v>
      </c>
      <c r="G13421" t="s">
        <v>29380</v>
      </c>
      <c r="H13421" t="s">
        <v>11048</v>
      </c>
      <c r="I13421" t="s">
        <v>29414</v>
      </c>
      <c r="J13421" t="s">
        <v>37988</v>
      </c>
      <c r="K13421" t="s">
        <v>38485</v>
      </c>
      <c r="M13421" t="s">
        <v>42575</v>
      </c>
      <c r="N13421" t="s">
        <v>42669</v>
      </c>
      <c r="O13421" t="s">
        <v>42670</v>
      </c>
      <c r="Q13421">
        <v>38</v>
      </c>
      <c r="R13421" t="s">
        <v>42692</v>
      </c>
      <c r="S13421" t="s">
        <v>43833</v>
      </c>
      <c r="T13421" t="s">
        <v>44432</v>
      </c>
      <c r="U13421" t="s">
        <v>55716</v>
      </c>
      <c r="W13421" t="s">
        <v>42575</v>
      </c>
      <c r="X13421" t="s">
        <v>42693</v>
      </c>
    </row>
    <row r="13422" spans="1:24">
      <c r="A13422">
        <f>HYPERLINK("https://www.philgeps.gov.ph/GEPSNONPILOT/Tender/SplashBidNoticeAbstractUI.aspx?menuIndex=3&amp;refID=7151669&amp;Result=3","7151669")</f>
        <v>0</v>
      </c>
      <c r="B13422" t="s">
        <v>747</v>
      </c>
      <c r="C13422" t="s">
        <v>16377</v>
      </c>
      <c r="D13422" t="s">
        <v>17161</v>
      </c>
      <c r="E13422" t="s">
        <v>28689</v>
      </c>
      <c r="F13422" t="s">
        <v>29372</v>
      </c>
      <c r="G13422" t="s">
        <v>29380</v>
      </c>
      <c r="H13422" t="s">
        <v>11048</v>
      </c>
      <c r="I13422" t="s">
        <v>9469</v>
      </c>
      <c r="J13422" t="s">
        <v>29728</v>
      </c>
      <c r="K13422" t="s">
        <v>38496</v>
      </c>
      <c r="M13422" t="s">
        <v>39530</v>
      </c>
      <c r="N13422" t="s">
        <v>42669</v>
      </c>
      <c r="O13422" t="s">
        <v>42670</v>
      </c>
      <c r="Q13422">
        <v>4</v>
      </c>
      <c r="R13422" t="s">
        <v>42692</v>
      </c>
      <c r="S13422" t="s">
        <v>43834</v>
      </c>
      <c r="T13422" t="s">
        <v>44570</v>
      </c>
      <c r="U13422" t="s">
        <v>55717</v>
      </c>
      <c r="W13422" t="s">
        <v>39530</v>
      </c>
      <c r="X13422" t="s">
        <v>42693</v>
      </c>
    </row>
    <row r="13423" spans="1:24">
      <c r="A13423">
        <f>HYPERLINK("https://www.philgeps.gov.ph/GEPSNONPILOT/Tender/SplashBidNoticeAbstractUI.aspx?menuIndex=3&amp;refID=7151445&amp;Result=3","7151445")</f>
        <v>0</v>
      </c>
      <c r="B13423" t="s">
        <v>1022</v>
      </c>
      <c r="C13423" t="s">
        <v>16378</v>
      </c>
      <c r="D13423" t="s">
        <v>17141</v>
      </c>
      <c r="E13423" t="s">
        <v>28690</v>
      </c>
      <c r="F13423" t="s">
        <v>29372</v>
      </c>
      <c r="G13423" t="s">
        <v>29380</v>
      </c>
      <c r="H13423" t="s">
        <v>11048</v>
      </c>
      <c r="I13423" t="s">
        <v>5383</v>
      </c>
      <c r="J13423" t="s">
        <v>37989</v>
      </c>
      <c r="K13423" t="s">
        <v>38488</v>
      </c>
      <c r="M13423" t="s">
        <v>39842</v>
      </c>
      <c r="N13423" t="s">
        <v>42669</v>
      </c>
      <c r="O13423" t="s">
        <v>42670</v>
      </c>
      <c r="P13423">
        <v>0</v>
      </c>
      <c r="Q13423">
        <v>1</v>
      </c>
      <c r="R13423" t="s">
        <v>42692</v>
      </c>
      <c r="S13423" t="s">
        <v>43798</v>
      </c>
      <c r="T13423" t="s">
        <v>44432</v>
      </c>
      <c r="U13423" t="s">
        <v>46808</v>
      </c>
      <c r="W13423" t="s">
        <v>39842</v>
      </c>
      <c r="X13423" t="s">
        <v>42693</v>
      </c>
    </row>
    <row r="13424" spans="1:24">
      <c r="A13424">
        <f>HYPERLINK("https://www.philgeps.gov.ph/GEPSNONPILOT/Tender/SplashBidNoticeAbstractUI.aspx?menuIndex=3&amp;refID=7151739&amp;Result=3","7151739")</f>
        <v>0</v>
      </c>
      <c r="B13424" t="s">
        <v>3458</v>
      </c>
      <c r="C13424" t="s">
        <v>16379</v>
      </c>
      <c r="D13424" t="s">
        <v>17168</v>
      </c>
      <c r="E13424" t="s">
        <v>28691</v>
      </c>
      <c r="F13424" t="s">
        <v>29372</v>
      </c>
      <c r="G13424" t="s">
        <v>29380</v>
      </c>
      <c r="H13424" t="s">
        <v>29389</v>
      </c>
      <c r="I13424" t="s">
        <v>10408</v>
      </c>
      <c r="J13424" t="s">
        <v>30244</v>
      </c>
      <c r="K13424" t="s">
        <v>38525</v>
      </c>
      <c r="M13424" t="s">
        <v>42576</v>
      </c>
      <c r="N13424" t="s">
        <v>42669</v>
      </c>
      <c r="O13424" t="s">
        <v>42670</v>
      </c>
      <c r="P13424">
        <v>0</v>
      </c>
      <c r="Q13424">
        <v>9</v>
      </c>
      <c r="R13424" t="s">
        <v>42692</v>
      </c>
      <c r="S13424" t="s">
        <v>43798</v>
      </c>
      <c r="T13424" t="s">
        <v>44488</v>
      </c>
      <c r="U13424" t="s">
        <v>55718</v>
      </c>
      <c r="W13424" t="s">
        <v>42576</v>
      </c>
      <c r="X13424" t="s">
        <v>42693</v>
      </c>
    </row>
    <row r="13425" spans="1:24">
      <c r="A13425">
        <f>HYPERLINK("https://www.philgeps.gov.ph/GEPSNONPILOT/Tender/SplashBidNoticeAbstractUI.aspx?menuIndex=3&amp;refID=7151627&amp;Result=3","7151627")</f>
        <v>0</v>
      </c>
      <c r="B13425" t="s">
        <v>91</v>
      </c>
      <c r="C13425" t="s">
        <v>16380</v>
      </c>
      <c r="D13425" t="s">
        <v>17176</v>
      </c>
      <c r="E13425" t="s">
        <v>28692</v>
      </c>
      <c r="F13425" t="s">
        <v>29372</v>
      </c>
      <c r="G13425" t="s">
        <v>29380</v>
      </c>
      <c r="H13425" t="s">
        <v>29389</v>
      </c>
      <c r="I13425" t="s">
        <v>10408</v>
      </c>
      <c r="J13425" t="s">
        <v>37990</v>
      </c>
      <c r="K13425" t="s">
        <v>38660</v>
      </c>
      <c r="M13425" t="s">
        <v>41447</v>
      </c>
      <c r="N13425" t="s">
        <v>42669</v>
      </c>
      <c r="O13425" t="s">
        <v>42670</v>
      </c>
      <c r="P13425">
        <v>0</v>
      </c>
      <c r="Q13425">
        <v>0</v>
      </c>
      <c r="R13425" t="s">
        <v>42692</v>
      </c>
      <c r="S13425" t="s">
        <v>43798</v>
      </c>
      <c r="T13425" t="s">
        <v>44493</v>
      </c>
      <c r="U13425" t="s">
        <v>51387</v>
      </c>
      <c r="W13425" t="s">
        <v>41447</v>
      </c>
      <c r="X13425" t="s">
        <v>42693</v>
      </c>
    </row>
    <row r="13426" spans="1:24">
      <c r="A13426">
        <f>HYPERLINK("https://www.philgeps.gov.ph/GEPSNONPILOT/Tender/SplashBidNoticeAbstractUI.aspx?menuIndex=3&amp;refID=7151631&amp;Result=3","7151631")</f>
        <v>0</v>
      </c>
      <c r="B13426" t="s">
        <v>1022</v>
      </c>
      <c r="C13426" t="s">
        <v>16381</v>
      </c>
      <c r="D13426" t="s">
        <v>17141</v>
      </c>
      <c r="E13426" t="s">
        <v>28693</v>
      </c>
      <c r="F13426" t="s">
        <v>29372</v>
      </c>
      <c r="G13426" t="s">
        <v>29380</v>
      </c>
      <c r="H13426" t="s">
        <v>11048</v>
      </c>
      <c r="I13426" t="s">
        <v>3670</v>
      </c>
      <c r="J13426" t="s">
        <v>37991</v>
      </c>
      <c r="K13426" t="s">
        <v>38488</v>
      </c>
      <c r="M13426" t="s">
        <v>39842</v>
      </c>
      <c r="N13426" t="s">
        <v>42669</v>
      </c>
      <c r="O13426" t="s">
        <v>42670</v>
      </c>
      <c r="P13426">
        <v>0</v>
      </c>
      <c r="Q13426">
        <v>0</v>
      </c>
      <c r="R13426" t="s">
        <v>42692</v>
      </c>
      <c r="S13426" t="s">
        <v>43798</v>
      </c>
      <c r="T13426" t="s">
        <v>44432</v>
      </c>
      <c r="U13426" t="s">
        <v>47035</v>
      </c>
      <c r="W13426" t="s">
        <v>39842</v>
      </c>
      <c r="X13426" t="s">
        <v>42693</v>
      </c>
    </row>
    <row r="13427" spans="1:24">
      <c r="A13427">
        <f>HYPERLINK("https://www.philgeps.gov.ph/GEPSNONPILOT/Tender/SplashBidNoticeAbstractUI.aspx?menuIndex=3&amp;refID=7151652&amp;Result=3","7151652")</f>
        <v>0</v>
      </c>
      <c r="B13427" t="s">
        <v>91</v>
      </c>
      <c r="C13427" t="s">
        <v>16382</v>
      </c>
      <c r="D13427" t="s">
        <v>17176</v>
      </c>
      <c r="E13427" t="s">
        <v>28694</v>
      </c>
      <c r="F13427" t="s">
        <v>29372</v>
      </c>
      <c r="G13427" t="s">
        <v>29380</v>
      </c>
      <c r="H13427" t="s">
        <v>29389</v>
      </c>
      <c r="I13427" t="s">
        <v>10408</v>
      </c>
      <c r="J13427" t="s">
        <v>37992</v>
      </c>
      <c r="K13427" t="s">
        <v>38634</v>
      </c>
      <c r="M13427" t="s">
        <v>41447</v>
      </c>
      <c r="N13427" t="s">
        <v>42669</v>
      </c>
      <c r="O13427" t="s">
        <v>42670</v>
      </c>
      <c r="P13427">
        <v>0</v>
      </c>
      <c r="Q13427">
        <v>0</v>
      </c>
      <c r="R13427" t="s">
        <v>42692</v>
      </c>
      <c r="S13427" t="s">
        <v>43798</v>
      </c>
      <c r="T13427" t="s">
        <v>44493</v>
      </c>
      <c r="U13427" t="s">
        <v>51387</v>
      </c>
      <c r="W13427" t="s">
        <v>41447</v>
      </c>
      <c r="X13427" t="s">
        <v>42693</v>
      </c>
    </row>
    <row r="13428" spans="1:24">
      <c r="A13428">
        <f>HYPERLINK("https://www.philgeps.gov.ph/GEPSNONPILOT/Tender/SplashBidNoticeAbstractUI.aspx?menuIndex=3&amp;refID=7151906&amp;Result=3","7151906")</f>
        <v>0</v>
      </c>
      <c r="B13428" t="s">
        <v>3459</v>
      </c>
      <c r="C13428" t="s">
        <v>16383</v>
      </c>
      <c r="D13428" t="s">
        <v>17141</v>
      </c>
      <c r="E13428" t="s">
        <v>20054</v>
      </c>
      <c r="F13428" t="s">
        <v>29372</v>
      </c>
      <c r="G13428" t="s">
        <v>29380</v>
      </c>
      <c r="H13428" t="s">
        <v>11048</v>
      </c>
      <c r="I13428" t="s">
        <v>3670</v>
      </c>
      <c r="J13428" t="s">
        <v>29561</v>
      </c>
      <c r="K13428" t="s">
        <v>38528</v>
      </c>
      <c r="M13428" t="s">
        <v>42577</v>
      </c>
      <c r="N13428" t="s">
        <v>42669</v>
      </c>
      <c r="O13428" t="s">
        <v>42670</v>
      </c>
      <c r="P13428">
        <v>0</v>
      </c>
      <c r="Q13428">
        <v>1</v>
      </c>
      <c r="R13428" t="s">
        <v>42692</v>
      </c>
      <c r="S13428" t="s">
        <v>43798</v>
      </c>
      <c r="T13428" t="s">
        <v>44432</v>
      </c>
      <c r="U13428" t="s">
        <v>55719</v>
      </c>
      <c r="W13428" t="s">
        <v>42577</v>
      </c>
      <c r="X13428" t="s">
        <v>42693</v>
      </c>
    </row>
    <row r="13429" spans="1:24">
      <c r="A13429">
        <f>HYPERLINK("https://www.philgeps.gov.ph/GEPSNONPILOT/Tender/SplashBidNoticeAbstractUI.aspx?menuIndex=3&amp;refID=7151897&amp;Result=3","7151897")</f>
        <v>0</v>
      </c>
      <c r="B13429" t="s">
        <v>3459</v>
      </c>
      <c r="C13429" t="s">
        <v>16384</v>
      </c>
      <c r="D13429" t="s">
        <v>17141</v>
      </c>
      <c r="E13429" t="s">
        <v>20137</v>
      </c>
      <c r="F13429" t="s">
        <v>29372</v>
      </c>
      <c r="G13429" t="s">
        <v>29380</v>
      </c>
      <c r="H13429" t="s">
        <v>11048</v>
      </c>
      <c r="I13429" t="s">
        <v>3670</v>
      </c>
      <c r="J13429" t="s">
        <v>32328</v>
      </c>
      <c r="K13429" t="s">
        <v>38528</v>
      </c>
      <c r="M13429" t="s">
        <v>42577</v>
      </c>
      <c r="N13429" t="s">
        <v>42669</v>
      </c>
      <c r="O13429" t="s">
        <v>42670</v>
      </c>
      <c r="P13429">
        <v>0</v>
      </c>
      <c r="Q13429">
        <v>3</v>
      </c>
      <c r="R13429" t="s">
        <v>42692</v>
      </c>
      <c r="S13429" t="s">
        <v>43798</v>
      </c>
      <c r="T13429" t="s">
        <v>44432</v>
      </c>
      <c r="U13429" t="s">
        <v>55719</v>
      </c>
      <c r="W13429" t="s">
        <v>42577</v>
      </c>
      <c r="X13429" t="s">
        <v>42693</v>
      </c>
    </row>
    <row r="13430" spans="1:24">
      <c r="A13430">
        <f>HYPERLINK("https://www.philgeps.gov.ph/GEPSNONPILOT/Tender/SplashBidNoticeAbstractUI.aspx?menuIndex=3&amp;refID=7151890&amp;Result=3","7151890")</f>
        <v>0</v>
      </c>
      <c r="B13430" t="s">
        <v>3459</v>
      </c>
      <c r="C13430" t="s">
        <v>16385</v>
      </c>
      <c r="D13430" t="s">
        <v>17141</v>
      </c>
      <c r="E13430" t="s">
        <v>17294</v>
      </c>
      <c r="F13430" t="s">
        <v>29372</v>
      </c>
      <c r="G13430" t="s">
        <v>29380</v>
      </c>
      <c r="H13430" t="s">
        <v>11048</v>
      </c>
      <c r="I13430" t="s">
        <v>3670</v>
      </c>
      <c r="J13430" t="s">
        <v>29590</v>
      </c>
      <c r="K13430" t="s">
        <v>38528</v>
      </c>
      <c r="M13430" t="s">
        <v>42577</v>
      </c>
      <c r="N13430" t="s">
        <v>42669</v>
      </c>
      <c r="O13430" t="s">
        <v>42670</v>
      </c>
      <c r="P13430">
        <v>0</v>
      </c>
      <c r="Q13430">
        <v>4</v>
      </c>
      <c r="R13430" t="s">
        <v>42692</v>
      </c>
      <c r="S13430" t="s">
        <v>43798</v>
      </c>
      <c r="T13430" t="s">
        <v>44432</v>
      </c>
      <c r="U13430" t="s">
        <v>55719</v>
      </c>
      <c r="W13430" t="s">
        <v>42577</v>
      </c>
      <c r="X13430" t="s">
        <v>42693</v>
      </c>
    </row>
    <row r="13431" spans="1:24">
      <c r="A13431">
        <f>HYPERLINK("https://www.philgeps.gov.ph/GEPSNONPILOT/Tender/SplashBidNoticeAbstractUI.aspx?menuIndex=3&amp;refID=7151609&amp;Result=3","7151609")</f>
        <v>0</v>
      </c>
      <c r="B13431" t="s">
        <v>3060</v>
      </c>
      <c r="C13431" t="s">
        <v>16386</v>
      </c>
      <c r="D13431" t="s">
        <v>17141</v>
      </c>
      <c r="E13431" t="s">
        <v>28695</v>
      </c>
      <c r="F13431" t="s">
        <v>29372</v>
      </c>
      <c r="G13431" t="s">
        <v>29380</v>
      </c>
      <c r="H13431" t="s">
        <v>11048</v>
      </c>
      <c r="I13431" t="s">
        <v>8614</v>
      </c>
      <c r="J13431" t="s">
        <v>37993</v>
      </c>
      <c r="K13431" t="s">
        <v>38485</v>
      </c>
      <c r="M13431" t="s">
        <v>42086</v>
      </c>
      <c r="N13431" t="s">
        <v>42669</v>
      </c>
      <c r="O13431" t="s">
        <v>42670</v>
      </c>
      <c r="Q13431">
        <v>15</v>
      </c>
      <c r="R13431" t="s">
        <v>42692</v>
      </c>
      <c r="S13431" t="s">
        <v>43835</v>
      </c>
      <c r="T13431" t="s">
        <v>44493</v>
      </c>
      <c r="U13431" t="s">
        <v>53552</v>
      </c>
      <c r="W13431" t="s">
        <v>42086</v>
      </c>
      <c r="X13431" t="s">
        <v>42693</v>
      </c>
    </row>
    <row r="13432" spans="1:24">
      <c r="A13432">
        <f>HYPERLINK("https://www.philgeps.gov.ph/GEPSNONPILOT/Tender/SplashBidNoticeAbstractUI.aspx?menuIndex=3&amp;refID=7151700&amp;Result=3","7151700")</f>
        <v>0</v>
      </c>
      <c r="B13432" t="s">
        <v>3456</v>
      </c>
      <c r="C13432" t="s">
        <v>16387</v>
      </c>
      <c r="E13432" t="s">
        <v>28696</v>
      </c>
      <c r="F13432" t="s">
        <v>29372</v>
      </c>
      <c r="G13432" t="s">
        <v>29380</v>
      </c>
      <c r="H13432" t="s">
        <v>11048</v>
      </c>
      <c r="I13432" t="s">
        <v>29404</v>
      </c>
      <c r="J13432" t="s">
        <v>35914</v>
      </c>
      <c r="K13432" t="s">
        <v>38495</v>
      </c>
      <c r="M13432" t="s">
        <v>42574</v>
      </c>
      <c r="N13432" t="s">
        <v>42669</v>
      </c>
      <c r="O13432" t="s">
        <v>42670</v>
      </c>
      <c r="Q13432">
        <v>3</v>
      </c>
      <c r="R13432" t="s">
        <v>42692</v>
      </c>
      <c r="S13432" t="s">
        <v>43836</v>
      </c>
      <c r="T13432" t="s">
        <v>44853</v>
      </c>
      <c r="U13432" t="s">
        <v>55720</v>
      </c>
      <c r="V13432" t="s">
        <v>57907</v>
      </c>
      <c r="W13432" t="s">
        <v>42574</v>
      </c>
      <c r="X13432" t="s">
        <v>42693</v>
      </c>
    </row>
    <row r="13433" spans="1:24">
      <c r="A13433">
        <f>HYPERLINK("https://www.philgeps.gov.ph/GEPSNONPILOT/Tender/SplashBidNoticeAbstractUI.aspx?menuIndex=3&amp;refID=7151883&amp;Result=3","7151883")</f>
        <v>0</v>
      </c>
      <c r="B13433" t="s">
        <v>398</v>
      </c>
      <c r="C13433" t="s">
        <v>16388</v>
      </c>
      <c r="D13433" t="s">
        <v>17151</v>
      </c>
      <c r="E13433" t="s">
        <v>28697</v>
      </c>
      <c r="F13433" t="s">
        <v>29372</v>
      </c>
      <c r="G13433" t="s">
        <v>29380</v>
      </c>
      <c r="H13433" t="s">
        <v>11048</v>
      </c>
      <c r="I13433" t="s">
        <v>3670</v>
      </c>
      <c r="J13433" t="s">
        <v>37994</v>
      </c>
      <c r="K13433" t="s">
        <v>38538</v>
      </c>
      <c r="M13433" t="s">
        <v>39161</v>
      </c>
      <c r="N13433" t="s">
        <v>42669</v>
      </c>
      <c r="O13433" t="s">
        <v>42670</v>
      </c>
      <c r="Q13433">
        <v>12</v>
      </c>
      <c r="R13433" t="s">
        <v>42692</v>
      </c>
      <c r="S13433" t="s">
        <v>43480</v>
      </c>
      <c r="T13433" t="s">
        <v>44401</v>
      </c>
      <c r="U13433" t="s">
        <v>55721</v>
      </c>
      <c r="V13433" t="s">
        <v>57909</v>
      </c>
      <c r="W13433" t="s">
        <v>39161</v>
      </c>
      <c r="X13433" t="s">
        <v>42693</v>
      </c>
    </row>
    <row r="13434" spans="1:24">
      <c r="A13434">
        <f>HYPERLINK("https://www.philgeps.gov.ph/GEPSNONPILOT/Tender/SplashBidNoticeAbstractUI.aspx?menuIndex=3&amp;refID=7151869&amp;Result=3","7151869")</f>
        <v>0</v>
      </c>
      <c r="B13434" t="s">
        <v>3098</v>
      </c>
      <c r="C13434" t="s">
        <v>16389</v>
      </c>
      <c r="E13434" t="s">
        <v>17399</v>
      </c>
      <c r="F13434" t="s">
        <v>29372</v>
      </c>
      <c r="G13434" t="s">
        <v>29380</v>
      </c>
      <c r="H13434" t="s">
        <v>11048</v>
      </c>
      <c r="I13434" t="s">
        <v>5383</v>
      </c>
      <c r="J13434" t="s">
        <v>37995</v>
      </c>
      <c r="K13434" t="s">
        <v>38490</v>
      </c>
      <c r="M13434" t="s">
        <v>42136</v>
      </c>
      <c r="N13434" t="s">
        <v>42669</v>
      </c>
      <c r="O13434" t="s">
        <v>42670</v>
      </c>
      <c r="Q13434">
        <v>11</v>
      </c>
      <c r="R13434" t="s">
        <v>42692</v>
      </c>
      <c r="S13434" t="s">
        <v>43837</v>
      </c>
      <c r="T13434" t="s">
        <v>44432</v>
      </c>
      <c r="U13434" t="s">
        <v>55722</v>
      </c>
      <c r="W13434" t="s">
        <v>58110</v>
      </c>
      <c r="X13434" t="s">
        <v>42693</v>
      </c>
    </row>
    <row r="13435" spans="1:24">
      <c r="A13435">
        <f>HYPERLINK("https://www.philgeps.gov.ph/GEPSNONPILOT/Tender/SplashBidNoticeAbstractUI.aspx?menuIndex=3&amp;refID=7151611&amp;Result=3","7151611")</f>
        <v>0</v>
      </c>
      <c r="B13435" t="s">
        <v>956</v>
      </c>
      <c r="C13435" t="s">
        <v>16390</v>
      </c>
      <c r="D13435" t="s">
        <v>17141</v>
      </c>
      <c r="E13435" t="s">
        <v>28698</v>
      </c>
      <c r="F13435" t="s">
        <v>29372</v>
      </c>
      <c r="G13435" t="s">
        <v>29380</v>
      </c>
      <c r="H13435" t="s">
        <v>29389</v>
      </c>
      <c r="I13435" t="s">
        <v>10408</v>
      </c>
      <c r="J13435" t="s">
        <v>32182</v>
      </c>
      <c r="K13435" t="s">
        <v>38522</v>
      </c>
      <c r="M13435" t="s">
        <v>41992</v>
      </c>
      <c r="N13435" t="s">
        <v>42669</v>
      </c>
      <c r="O13435" t="s">
        <v>42670</v>
      </c>
      <c r="Q13435">
        <v>4</v>
      </c>
      <c r="R13435" t="s">
        <v>42692</v>
      </c>
      <c r="S13435" t="s">
        <v>43838</v>
      </c>
      <c r="T13435" t="s">
        <v>44433</v>
      </c>
      <c r="U13435" t="s">
        <v>55723</v>
      </c>
      <c r="W13435" t="s">
        <v>41992</v>
      </c>
      <c r="X13435" t="s">
        <v>42693</v>
      </c>
    </row>
    <row r="13436" spans="1:24">
      <c r="A13436">
        <f>HYPERLINK("https://www.philgeps.gov.ph/GEPSNONPILOT/Tender/SplashBidNoticeAbstractUI.aspx?menuIndex=3&amp;refID=7151865&amp;Result=3","7151865")</f>
        <v>0</v>
      </c>
      <c r="B13436" t="s">
        <v>595</v>
      </c>
      <c r="C13436" t="s">
        <v>16391</v>
      </c>
      <c r="D13436" t="s">
        <v>17169</v>
      </c>
      <c r="E13436" t="s">
        <v>18654</v>
      </c>
      <c r="F13436" t="s">
        <v>29372</v>
      </c>
      <c r="G13436" t="s">
        <v>29380</v>
      </c>
      <c r="H13436" t="s">
        <v>29389</v>
      </c>
      <c r="I13436" t="s">
        <v>10408</v>
      </c>
      <c r="J13436" t="s">
        <v>37996</v>
      </c>
      <c r="K13436" t="s">
        <v>38518</v>
      </c>
      <c r="M13436" t="s">
        <v>39366</v>
      </c>
      <c r="N13436" t="s">
        <v>42669</v>
      </c>
      <c r="O13436" t="s">
        <v>42670</v>
      </c>
      <c r="P13436">
        <v>0</v>
      </c>
      <c r="Q13436">
        <v>0</v>
      </c>
      <c r="R13436" t="s">
        <v>42692</v>
      </c>
      <c r="S13436" t="s">
        <v>43798</v>
      </c>
      <c r="T13436" t="s">
        <v>44491</v>
      </c>
      <c r="U13436" t="s">
        <v>55724</v>
      </c>
      <c r="W13436" t="s">
        <v>39366</v>
      </c>
      <c r="X13436" t="s">
        <v>42693</v>
      </c>
    </row>
    <row r="13437" spans="1:24">
      <c r="A13437">
        <f>HYPERLINK("https://www.philgeps.gov.ph/GEPSNONPILOT/Tender/SplashBidNoticeAbstractUI.aspx?menuIndex=3&amp;refID=7151647&amp;Result=3","7151647")</f>
        <v>0</v>
      </c>
      <c r="B13437" t="s">
        <v>747</v>
      </c>
      <c r="C13437" t="s">
        <v>16392</v>
      </c>
      <c r="D13437" t="s">
        <v>17161</v>
      </c>
      <c r="E13437" t="s">
        <v>28699</v>
      </c>
      <c r="F13437" t="s">
        <v>29372</v>
      </c>
      <c r="G13437" t="s">
        <v>29380</v>
      </c>
      <c r="H13437" t="s">
        <v>11048</v>
      </c>
      <c r="I13437" t="s">
        <v>9469</v>
      </c>
      <c r="J13437" t="s">
        <v>31498</v>
      </c>
      <c r="K13437" t="s">
        <v>38496</v>
      </c>
      <c r="M13437" t="s">
        <v>39530</v>
      </c>
      <c r="N13437" t="s">
        <v>42669</v>
      </c>
      <c r="O13437" t="s">
        <v>42670</v>
      </c>
      <c r="Q13437">
        <v>10</v>
      </c>
      <c r="R13437" t="s">
        <v>42692</v>
      </c>
      <c r="S13437" t="s">
        <v>43839</v>
      </c>
      <c r="T13437" t="s">
        <v>44570</v>
      </c>
      <c r="U13437" t="s">
        <v>55725</v>
      </c>
      <c r="W13437" t="s">
        <v>39530</v>
      </c>
      <c r="X13437" t="s">
        <v>42693</v>
      </c>
    </row>
    <row r="13438" spans="1:24">
      <c r="A13438">
        <f>HYPERLINK("https://www.philgeps.gov.ph/GEPSNONPILOT/Tender/SplashBidNoticeAbstractUI.aspx?menuIndex=3&amp;refID=7151862&amp;Result=3","7151862")</f>
        <v>0</v>
      </c>
      <c r="B13438" t="s">
        <v>3081</v>
      </c>
      <c r="C13438" t="s">
        <v>16393</v>
      </c>
      <c r="D13438" t="s">
        <v>17143</v>
      </c>
      <c r="E13438" t="s">
        <v>28700</v>
      </c>
      <c r="F13438" t="s">
        <v>29372</v>
      </c>
      <c r="G13438" t="s">
        <v>29380</v>
      </c>
      <c r="H13438" t="s">
        <v>11048</v>
      </c>
      <c r="I13438" t="s">
        <v>29417</v>
      </c>
      <c r="J13438" t="s">
        <v>29777</v>
      </c>
      <c r="K13438" t="s">
        <v>38496</v>
      </c>
      <c r="M13438" t="s">
        <v>42110</v>
      </c>
      <c r="N13438" t="s">
        <v>42669</v>
      </c>
      <c r="O13438" t="s">
        <v>42670</v>
      </c>
      <c r="Q13438">
        <v>8</v>
      </c>
      <c r="R13438" t="s">
        <v>42692</v>
      </c>
      <c r="S13438" t="s">
        <v>43774</v>
      </c>
      <c r="T13438" t="s">
        <v>44488</v>
      </c>
      <c r="U13438" t="s">
        <v>55726</v>
      </c>
      <c r="W13438" t="s">
        <v>42110</v>
      </c>
      <c r="X13438" t="s">
        <v>42693</v>
      </c>
    </row>
    <row r="13439" spans="1:24">
      <c r="A13439">
        <f>HYPERLINK("https://www.philgeps.gov.ph/GEPSNONPILOT/Tender/SplashBidNoticeAbstractUI.aspx?menuIndex=3&amp;refID=7151854&amp;Result=3","7151854")</f>
        <v>0</v>
      </c>
      <c r="B13439" t="s">
        <v>595</v>
      </c>
      <c r="C13439" t="s">
        <v>16394</v>
      </c>
      <c r="D13439" t="s">
        <v>17169</v>
      </c>
      <c r="E13439" t="s">
        <v>18654</v>
      </c>
      <c r="F13439" t="s">
        <v>29372</v>
      </c>
      <c r="G13439" t="s">
        <v>29380</v>
      </c>
      <c r="H13439" t="s">
        <v>29389</v>
      </c>
      <c r="I13439" t="s">
        <v>10408</v>
      </c>
      <c r="J13439" t="s">
        <v>37997</v>
      </c>
      <c r="K13439" t="s">
        <v>38518</v>
      </c>
      <c r="M13439" t="s">
        <v>39366</v>
      </c>
      <c r="N13439" t="s">
        <v>42669</v>
      </c>
      <c r="O13439" t="s">
        <v>42670</v>
      </c>
      <c r="P13439">
        <v>0</v>
      </c>
      <c r="Q13439">
        <v>0</v>
      </c>
      <c r="R13439" t="s">
        <v>42692</v>
      </c>
      <c r="S13439" t="s">
        <v>43798</v>
      </c>
      <c r="T13439" t="s">
        <v>44491</v>
      </c>
      <c r="U13439" t="s">
        <v>55727</v>
      </c>
      <c r="W13439" t="s">
        <v>39366</v>
      </c>
      <c r="X13439" t="s">
        <v>42693</v>
      </c>
    </row>
    <row r="13440" spans="1:24">
      <c r="A13440">
        <f>HYPERLINK("https://www.philgeps.gov.ph/GEPSNONPILOT/Tender/SplashBidNoticeAbstractUI.aspx?menuIndex=3&amp;refID=7151844&amp;Result=3","7151844")</f>
        <v>0</v>
      </c>
      <c r="B13440" t="s">
        <v>595</v>
      </c>
      <c r="C13440" t="s">
        <v>16395</v>
      </c>
      <c r="D13440" t="s">
        <v>17169</v>
      </c>
      <c r="E13440" t="s">
        <v>18654</v>
      </c>
      <c r="F13440" t="s">
        <v>29372</v>
      </c>
      <c r="G13440" t="s">
        <v>29380</v>
      </c>
      <c r="H13440" t="s">
        <v>29389</v>
      </c>
      <c r="I13440" t="s">
        <v>10408</v>
      </c>
      <c r="J13440" t="s">
        <v>37996</v>
      </c>
      <c r="K13440" t="s">
        <v>38518</v>
      </c>
      <c r="M13440" t="s">
        <v>39366</v>
      </c>
      <c r="N13440" t="s">
        <v>42669</v>
      </c>
      <c r="O13440" t="s">
        <v>42670</v>
      </c>
      <c r="P13440">
        <v>0</v>
      </c>
      <c r="Q13440">
        <v>0</v>
      </c>
      <c r="R13440" t="s">
        <v>42692</v>
      </c>
      <c r="S13440" t="s">
        <v>43798</v>
      </c>
      <c r="T13440" t="s">
        <v>44491</v>
      </c>
      <c r="U13440" t="s">
        <v>55728</v>
      </c>
      <c r="W13440" t="s">
        <v>39366</v>
      </c>
      <c r="X13440" t="s">
        <v>42693</v>
      </c>
    </row>
    <row r="13441" spans="1:24">
      <c r="A13441">
        <f>HYPERLINK("https://www.philgeps.gov.ph/GEPSNONPILOT/Tender/SplashBidNoticeAbstractUI.aspx?menuIndex=3&amp;refID=7151824&amp;Result=3","7151824")</f>
        <v>0</v>
      </c>
      <c r="B13441" t="s">
        <v>1418</v>
      </c>
      <c r="C13441" t="s">
        <v>16396</v>
      </c>
      <c r="D13441" t="s">
        <v>17144</v>
      </c>
      <c r="E13441" t="s">
        <v>28701</v>
      </c>
      <c r="F13441" t="s">
        <v>29372</v>
      </c>
      <c r="G13441" t="s">
        <v>29380</v>
      </c>
      <c r="H13441" t="s">
        <v>29389</v>
      </c>
      <c r="I13441" t="s">
        <v>10408</v>
      </c>
      <c r="J13441" t="s">
        <v>37998</v>
      </c>
      <c r="K13441" t="s">
        <v>38495</v>
      </c>
      <c r="M13441" t="s">
        <v>40257</v>
      </c>
      <c r="N13441" t="s">
        <v>42669</v>
      </c>
      <c r="O13441" t="s">
        <v>42670</v>
      </c>
      <c r="P13441">
        <v>0</v>
      </c>
      <c r="Q13441">
        <v>2</v>
      </c>
      <c r="R13441" t="s">
        <v>42692</v>
      </c>
      <c r="S13441" t="s">
        <v>43798</v>
      </c>
      <c r="T13441" t="s">
        <v>44387</v>
      </c>
      <c r="U13441" t="s">
        <v>55729</v>
      </c>
      <c r="W13441" t="s">
        <v>40257</v>
      </c>
      <c r="X13441" t="s">
        <v>42693</v>
      </c>
    </row>
    <row r="13442" spans="1:24">
      <c r="A13442">
        <f>HYPERLINK("https://www.philgeps.gov.ph/GEPSNONPILOT/Tender/SplashBidNoticeAbstractUI.aspx?menuIndex=3&amp;refID=7151800&amp;Result=3","7151800")</f>
        <v>0</v>
      </c>
      <c r="B13442" t="s">
        <v>3431</v>
      </c>
      <c r="C13442" t="s">
        <v>16397</v>
      </c>
      <c r="D13442" t="s">
        <v>17141</v>
      </c>
      <c r="E13442" t="s">
        <v>28702</v>
      </c>
      <c r="F13442" t="s">
        <v>29372</v>
      </c>
      <c r="G13442" t="s">
        <v>29380</v>
      </c>
      <c r="H13442" t="s">
        <v>11048</v>
      </c>
      <c r="I13442" t="s">
        <v>4486</v>
      </c>
      <c r="J13442" t="s">
        <v>37999</v>
      </c>
      <c r="K13442" t="s">
        <v>38487</v>
      </c>
      <c r="M13442" t="s">
        <v>42536</v>
      </c>
      <c r="N13442" t="s">
        <v>42669</v>
      </c>
      <c r="O13442" t="s">
        <v>42670</v>
      </c>
      <c r="Q13442">
        <v>23</v>
      </c>
      <c r="R13442" t="s">
        <v>42692</v>
      </c>
      <c r="S13442" t="s">
        <v>43127</v>
      </c>
      <c r="T13442" t="s">
        <v>44425</v>
      </c>
      <c r="U13442" t="s">
        <v>55730</v>
      </c>
      <c r="W13442" t="s">
        <v>42536</v>
      </c>
      <c r="X13442" t="s">
        <v>42693</v>
      </c>
    </row>
    <row r="13443" spans="1:24">
      <c r="A13443">
        <f>HYPERLINK("https://www.philgeps.gov.ph/GEPSNONPILOT/Tender/SplashBidNoticeAbstractUI.aspx?menuIndex=3&amp;refID=7151868&amp;Result=3","7151868")</f>
        <v>0</v>
      </c>
      <c r="B13443" t="s">
        <v>3081</v>
      </c>
      <c r="C13443" t="s">
        <v>16398</v>
      </c>
      <c r="D13443" t="s">
        <v>17143</v>
      </c>
      <c r="E13443" t="s">
        <v>28703</v>
      </c>
      <c r="F13443" t="s">
        <v>29372</v>
      </c>
      <c r="G13443" t="s">
        <v>29380</v>
      </c>
      <c r="H13443" t="s">
        <v>29389</v>
      </c>
      <c r="I13443" t="s">
        <v>10408</v>
      </c>
      <c r="J13443" t="s">
        <v>38000</v>
      </c>
      <c r="K13443" t="s">
        <v>38496</v>
      </c>
      <c r="M13443" t="s">
        <v>42110</v>
      </c>
      <c r="N13443" t="s">
        <v>42669</v>
      </c>
      <c r="O13443" t="s">
        <v>42670</v>
      </c>
      <c r="P13443">
        <v>0</v>
      </c>
      <c r="Q13443">
        <v>1</v>
      </c>
      <c r="R13443" t="s">
        <v>42692</v>
      </c>
      <c r="S13443" t="s">
        <v>43798</v>
      </c>
      <c r="T13443" t="s">
        <v>44488</v>
      </c>
      <c r="U13443" t="s">
        <v>55731</v>
      </c>
      <c r="W13443" t="s">
        <v>42110</v>
      </c>
      <c r="X13443" t="s">
        <v>42693</v>
      </c>
    </row>
    <row r="13444" spans="1:24">
      <c r="A13444">
        <f>HYPERLINK("https://www.philgeps.gov.ph/GEPSNONPILOT/Tender/SplashBidNoticeAbstractUI.aspx?menuIndex=3&amp;refID=7151783&amp;Result=3","7151783")</f>
        <v>0</v>
      </c>
      <c r="B13444" t="s">
        <v>3431</v>
      </c>
      <c r="C13444" t="s">
        <v>16399</v>
      </c>
      <c r="D13444" t="s">
        <v>17141</v>
      </c>
      <c r="E13444" t="s">
        <v>28704</v>
      </c>
      <c r="F13444" t="s">
        <v>29372</v>
      </c>
      <c r="G13444" t="s">
        <v>29380</v>
      </c>
      <c r="H13444" t="s">
        <v>11048</v>
      </c>
      <c r="I13444" t="s">
        <v>4486</v>
      </c>
      <c r="J13444" t="s">
        <v>38001</v>
      </c>
      <c r="K13444" t="s">
        <v>38496</v>
      </c>
      <c r="M13444" t="s">
        <v>42536</v>
      </c>
      <c r="N13444" t="s">
        <v>42669</v>
      </c>
      <c r="O13444" t="s">
        <v>42670</v>
      </c>
      <c r="Q13444">
        <v>23</v>
      </c>
      <c r="R13444" t="s">
        <v>42692</v>
      </c>
      <c r="S13444" t="s">
        <v>43840</v>
      </c>
      <c r="T13444" t="s">
        <v>44425</v>
      </c>
      <c r="U13444" t="s">
        <v>55732</v>
      </c>
      <c r="W13444" t="s">
        <v>42536</v>
      </c>
      <c r="X13444" t="s">
        <v>42693</v>
      </c>
    </row>
    <row r="13445" spans="1:24">
      <c r="A13445">
        <f>HYPERLINK("https://www.philgeps.gov.ph/GEPSNONPILOT/Tender/SplashBidNoticeAbstractUI.aspx?menuIndex=3&amp;refID=7151782&amp;Result=3","7151782")</f>
        <v>0</v>
      </c>
      <c r="B13445" t="s">
        <v>1022</v>
      </c>
      <c r="C13445" t="s">
        <v>16400</v>
      </c>
      <c r="D13445" t="s">
        <v>17141</v>
      </c>
      <c r="E13445" t="s">
        <v>28705</v>
      </c>
      <c r="F13445" t="s">
        <v>29372</v>
      </c>
      <c r="G13445" t="s">
        <v>29380</v>
      </c>
      <c r="H13445" t="s">
        <v>11048</v>
      </c>
      <c r="I13445" t="s">
        <v>7828</v>
      </c>
      <c r="J13445" t="s">
        <v>38002</v>
      </c>
      <c r="K13445" t="s">
        <v>38488</v>
      </c>
      <c r="M13445" t="s">
        <v>39856</v>
      </c>
      <c r="N13445" t="s">
        <v>42669</v>
      </c>
      <c r="O13445" t="s">
        <v>42670</v>
      </c>
      <c r="P13445">
        <v>0</v>
      </c>
      <c r="Q13445">
        <v>14</v>
      </c>
      <c r="R13445" t="s">
        <v>42692</v>
      </c>
      <c r="S13445" t="s">
        <v>43798</v>
      </c>
      <c r="T13445" t="s">
        <v>44432</v>
      </c>
      <c r="U13445" t="s">
        <v>55733</v>
      </c>
      <c r="W13445" t="s">
        <v>39856</v>
      </c>
      <c r="X13445" t="s">
        <v>42693</v>
      </c>
    </row>
    <row r="13446" spans="1:24">
      <c r="A13446">
        <f>HYPERLINK("https://www.philgeps.gov.ph/GEPSNONPILOT/Tender/SplashBidNoticeAbstractUI.aspx?menuIndex=3&amp;refID=7151775&amp;Result=3","7151775")</f>
        <v>0</v>
      </c>
      <c r="B13446" t="s">
        <v>1022</v>
      </c>
      <c r="C13446" t="s">
        <v>16401</v>
      </c>
      <c r="D13446" t="s">
        <v>17141</v>
      </c>
      <c r="E13446" t="s">
        <v>28706</v>
      </c>
      <c r="F13446" t="s">
        <v>29372</v>
      </c>
      <c r="G13446" t="s">
        <v>29380</v>
      </c>
      <c r="H13446" t="s">
        <v>11048</v>
      </c>
      <c r="I13446" t="s">
        <v>5383</v>
      </c>
      <c r="J13446" t="s">
        <v>38003</v>
      </c>
      <c r="K13446" t="s">
        <v>38488</v>
      </c>
      <c r="M13446" t="s">
        <v>39856</v>
      </c>
      <c r="N13446" t="s">
        <v>42669</v>
      </c>
      <c r="O13446" t="s">
        <v>42670</v>
      </c>
      <c r="P13446">
        <v>0</v>
      </c>
      <c r="Q13446">
        <v>2</v>
      </c>
      <c r="R13446" t="s">
        <v>42692</v>
      </c>
      <c r="S13446" t="s">
        <v>43798</v>
      </c>
      <c r="T13446" t="s">
        <v>44432</v>
      </c>
      <c r="U13446" t="s">
        <v>46808</v>
      </c>
      <c r="W13446" t="s">
        <v>39856</v>
      </c>
      <c r="X13446" t="s">
        <v>42693</v>
      </c>
    </row>
    <row r="13447" spans="1:24">
      <c r="A13447">
        <f>HYPERLINK("https://www.philgeps.gov.ph/GEPSNONPILOT/Tender/SplashBidNoticeAbstractUI.aspx?menuIndex=3&amp;refID=7151908&amp;Result=3","7151908")</f>
        <v>0</v>
      </c>
      <c r="B13447" t="s">
        <v>3459</v>
      </c>
      <c r="C13447" t="s">
        <v>16402</v>
      </c>
      <c r="D13447" t="s">
        <v>17141</v>
      </c>
      <c r="E13447" t="s">
        <v>20026</v>
      </c>
      <c r="F13447" t="s">
        <v>29372</v>
      </c>
      <c r="G13447" t="s">
        <v>29380</v>
      </c>
      <c r="H13447" t="s">
        <v>11048</v>
      </c>
      <c r="I13447" t="s">
        <v>3670</v>
      </c>
      <c r="J13447" t="s">
        <v>38004</v>
      </c>
      <c r="K13447" t="s">
        <v>38528</v>
      </c>
      <c r="M13447" t="s">
        <v>42577</v>
      </c>
      <c r="N13447" t="s">
        <v>42669</v>
      </c>
      <c r="O13447" t="s">
        <v>42670</v>
      </c>
      <c r="P13447">
        <v>0</v>
      </c>
      <c r="Q13447">
        <v>1</v>
      </c>
      <c r="R13447" t="s">
        <v>42692</v>
      </c>
      <c r="S13447" t="s">
        <v>43798</v>
      </c>
      <c r="T13447" t="s">
        <v>44432</v>
      </c>
      <c r="U13447" t="s">
        <v>55719</v>
      </c>
      <c r="W13447" t="s">
        <v>42577</v>
      </c>
      <c r="X13447" t="s">
        <v>42693</v>
      </c>
    </row>
    <row r="13448" spans="1:24">
      <c r="A13448">
        <f>HYPERLINK("https://www.philgeps.gov.ph/GEPSNONPILOT/Tender/SplashBidNoticeAbstractUI.aspx?menuIndex=3&amp;refID=7151875&amp;Result=3","7151875")</f>
        <v>0</v>
      </c>
      <c r="B13448" t="s">
        <v>3081</v>
      </c>
      <c r="C13448" t="s">
        <v>16403</v>
      </c>
      <c r="D13448" t="s">
        <v>17143</v>
      </c>
      <c r="E13448" t="s">
        <v>28707</v>
      </c>
      <c r="F13448" t="s">
        <v>29372</v>
      </c>
      <c r="G13448" t="s">
        <v>29380</v>
      </c>
      <c r="H13448" t="s">
        <v>29389</v>
      </c>
      <c r="I13448" t="s">
        <v>10408</v>
      </c>
      <c r="J13448" t="s">
        <v>38005</v>
      </c>
      <c r="K13448" t="s">
        <v>38496</v>
      </c>
      <c r="M13448" t="s">
        <v>42110</v>
      </c>
      <c r="N13448" t="s">
        <v>42669</v>
      </c>
      <c r="O13448" t="s">
        <v>42670</v>
      </c>
      <c r="Q13448">
        <v>1</v>
      </c>
      <c r="R13448" t="s">
        <v>42692</v>
      </c>
      <c r="S13448" t="s">
        <v>43841</v>
      </c>
      <c r="T13448" t="s">
        <v>44488</v>
      </c>
      <c r="U13448" t="s">
        <v>55734</v>
      </c>
      <c r="W13448" t="s">
        <v>42110</v>
      </c>
      <c r="X13448" t="s">
        <v>42693</v>
      </c>
    </row>
    <row r="13449" spans="1:24">
      <c r="A13449">
        <f>HYPERLINK("https://www.philgeps.gov.ph/GEPSNONPILOT/Tender/SplashBidNoticeAbstractUI.aspx?menuIndex=3&amp;refID=7151834&amp;Result=3","7151834")</f>
        <v>0</v>
      </c>
      <c r="B13449" t="s">
        <v>2228</v>
      </c>
      <c r="C13449" t="s">
        <v>16404</v>
      </c>
      <c r="D13449" t="s">
        <v>17177</v>
      </c>
      <c r="E13449" t="s">
        <v>28708</v>
      </c>
      <c r="F13449" t="s">
        <v>29372</v>
      </c>
      <c r="G13449" t="s">
        <v>29380</v>
      </c>
      <c r="H13449" t="s">
        <v>29389</v>
      </c>
      <c r="I13449" t="s">
        <v>3952</v>
      </c>
      <c r="J13449" t="s">
        <v>33604</v>
      </c>
      <c r="K13449" t="s">
        <v>38510</v>
      </c>
      <c r="M13449" t="s">
        <v>41146</v>
      </c>
      <c r="N13449" t="s">
        <v>42669</v>
      </c>
      <c r="O13449" t="s">
        <v>42670</v>
      </c>
      <c r="Q13449">
        <v>2</v>
      </c>
      <c r="R13449" t="s">
        <v>42692</v>
      </c>
      <c r="S13449" t="s">
        <v>43842</v>
      </c>
      <c r="T13449" t="s">
        <v>44488</v>
      </c>
      <c r="U13449" t="s">
        <v>45794</v>
      </c>
      <c r="W13449" t="s">
        <v>41146</v>
      </c>
      <c r="X13449" t="s">
        <v>42693</v>
      </c>
    </row>
    <row r="13450" spans="1:24">
      <c r="A13450">
        <f>HYPERLINK("https://www.philgeps.gov.ph/GEPSNONPILOT/Tender/SplashBidNoticeAbstractUI.aspx?menuIndex=3&amp;refID=7151851&amp;Result=3","7151851")</f>
        <v>0</v>
      </c>
      <c r="B13450" t="s">
        <v>1418</v>
      </c>
      <c r="C13450" t="s">
        <v>16405</v>
      </c>
      <c r="D13450" t="s">
        <v>17144</v>
      </c>
      <c r="E13450" t="s">
        <v>28709</v>
      </c>
      <c r="F13450" t="s">
        <v>29372</v>
      </c>
      <c r="G13450" t="s">
        <v>29380</v>
      </c>
      <c r="H13450" t="s">
        <v>29389</v>
      </c>
      <c r="I13450" t="s">
        <v>29408</v>
      </c>
      <c r="J13450" t="s">
        <v>38006</v>
      </c>
      <c r="K13450" t="s">
        <v>38496</v>
      </c>
      <c r="M13450" t="s">
        <v>40257</v>
      </c>
      <c r="N13450" t="s">
        <v>42669</v>
      </c>
      <c r="O13450" t="s">
        <v>42670</v>
      </c>
      <c r="P13450">
        <v>0</v>
      </c>
      <c r="Q13450">
        <v>3</v>
      </c>
      <c r="R13450" t="s">
        <v>42692</v>
      </c>
      <c r="S13450" t="s">
        <v>43798</v>
      </c>
      <c r="T13450" t="s">
        <v>44387</v>
      </c>
      <c r="U13450" t="s">
        <v>55735</v>
      </c>
      <c r="W13450" t="s">
        <v>40257</v>
      </c>
      <c r="X13450" t="s">
        <v>42693</v>
      </c>
    </row>
    <row r="13451" spans="1:24">
      <c r="A13451">
        <f>HYPERLINK("https://www.philgeps.gov.ph/GEPSNONPILOT/Tender/SplashBidNoticeAbstractUI.aspx?menuIndex=3&amp;refID=7151941&amp;Result=3","7151941")</f>
        <v>0</v>
      </c>
      <c r="B13451" t="s">
        <v>3459</v>
      </c>
      <c r="C13451" t="s">
        <v>16406</v>
      </c>
      <c r="D13451" t="s">
        <v>17141</v>
      </c>
      <c r="E13451" t="s">
        <v>20958</v>
      </c>
      <c r="F13451" t="s">
        <v>29372</v>
      </c>
      <c r="G13451" t="s">
        <v>29380</v>
      </c>
      <c r="H13451" t="s">
        <v>11048</v>
      </c>
      <c r="I13451" t="s">
        <v>3670</v>
      </c>
      <c r="J13451" t="s">
        <v>38007</v>
      </c>
      <c r="K13451" t="s">
        <v>38528</v>
      </c>
      <c r="M13451" t="s">
        <v>42577</v>
      </c>
      <c r="N13451" t="s">
        <v>42669</v>
      </c>
      <c r="O13451" t="s">
        <v>42670</v>
      </c>
      <c r="P13451">
        <v>0</v>
      </c>
      <c r="Q13451">
        <v>2</v>
      </c>
      <c r="R13451" t="s">
        <v>42692</v>
      </c>
      <c r="S13451" t="s">
        <v>43798</v>
      </c>
      <c r="T13451" t="s">
        <v>44432</v>
      </c>
      <c r="U13451" t="s">
        <v>55719</v>
      </c>
      <c r="W13451" t="s">
        <v>42577</v>
      </c>
      <c r="X13451" t="s">
        <v>42693</v>
      </c>
    </row>
    <row r="13452" spans="1:24">
      <c r="A13452">
        <f>HYPERLINK("https://www.philgeps.gov.ph/GEPSNONPILOT/Tender/SplashBidNoticeAbstractUI.aspx?menuIndex=3&amp;refID=7151959&amp;Result=3","7151959")</f>
        <v>0</v>
      </c>
      <c r="B13452" t="s">
        <v>3459</v>
      </c>
      <c r="C13452" t="s">
        <v>16407</v>
      </c>
      <c r="D13452" t="s">
        <v>17141</v>
      </c>
      <c r="E13452" t="s">
        <v>22808</v>
      </c>
      <c r="F13452" t="s">
        <v>29372</v>
      </c>
      <c r="G13452" t="s">
        <v>29380</v>
      </c>
      <c r="H13452" t="s">
        <v>11048</v>
      </c>
      <c r="I13452" t="s">
        <v>3670</v>
      </c>
      <c r="J13452" t="s">
        <v>29590</v>
      </c>
      <c r="K13452" t="s">
        <v>38528</v>
      </c>
      <c r="M13452" t="s">
        <v>42577</v>
      </c>
      <c r="N13452" t="s">
        <v>42669</v>
      </c>
      <c r="O13452" t="s">
        <v>42670</v>
      </c>
      <c r="P13452">
        <v>0</v>
      </c>
      <c r="Q13452">
        <v>0</v>
      </c>
      <c r="R13452" t="s">
        <v>42692</v>
      </c>
      <c r="S13452" t="s">
        <v>43798</v>
      </c>
      <c r="T13452" t="s">
        <v>44432</v>
      </c>
      <c r="U13452" t="s">
        <v>55719</v>
      </c>
      <c r="W13452" t="s">
        <v>42577</v>
      </c>
      <c r="X13452" t="s">
        <v>42693</v>
      </c>
    </row>
    <row r="13453" spans="1:24">
      <c r="A13453">
        <f>HYPERLINK("https://www.philgeps.gov.ph/GEPSNONPILOT/Tender/SplashBidNoticeAbstractUI.aspx?menuIndex=3&amp;refID=7151956&amp;Result=3","7151956")</f>
        <v>0</v>
      </c>
      <c r="B13453" t="s">
        <v>3459</v>
      </c>
      <c r="C13453" t="s">
        <v>16408</v>
      </c>
      <c r="D13453" t="s">
        <v>17141</v>
      </c>
      <c r="E13453" t="s">
        <v>22818</v>
      </c>
      <c r="F13453" t="s">
        <v>29372</v>
      </c>
      <c r="G13453" t="s">
        <v>29380</v>
      </c>
      <c r="H13453" t="s">
        <v>11048</v>
      </c>
      <c r="I13453" t="s">
        <v>3670</v>
      </c>
      <c r="J13453" t="s">
        <v>29590</v>
      </c>
      <c r="K13453" t="s">
        <v>38528</v>
      </c>
      <c r="M13453" t="s">
        <v>42577</v>
      </c>
      <c r="N13453" t="s">
        <v>42669</v>
      </c>
      <c r="O13453" t="s">
        <v>42670</v>
      </c>
      <c r="P13453">
        <v>0</v>
      </c>
      <c r="Q13453">
        <v>0</v>
      </c>
      <c r="R13453" t="s">
        <v>42692</v>
      </c>
      <c r="S13453" t="s">
        <v>43798</v>
      </c>
      <c r="T13453" t="s">
        <v>44432</v>
      </c>
      <c r="U13453" t="s">
        <v>55719</v>
      </c>
      <c r="W13453" t="s">
        <v>42577</v>
      </c>
      <c r="X13453" t="s">
        <v>42693</v>
      </c>
    </row>
    <row r="13454" spans="1:24">
      <c r="A13454">
        <f>HYPERLINK("https://www.philgeps.gov.ph/GEPSNONPILOT/Tender/SplashBidNoticeAbstractUI.aspx?menuIndex=3&amp;refID=7151954&amp;Result=3","7151954")</f>
        <v>0</v>
      </c>
      <c r="B13454" t="s">
        <v>3459</v>
      </c>
      <c r="C13454" t="s">
        <v>16409</v>
      </c>
      <c r="D13454" t="s">
        <v>17141</v>
      </c>
      <c r="E13454" t="s">
        <v>24955</v>
      </c>
      <c r="F13454" t="s">
        <v>29372</v>
      </c>
      <c r="G13454" t="s">
        <v>29380</v>
      </c>
      <c r="H13454" t="s">
        <v>11048</v>
      </c>
      <c r="I13454" t="s">
        <v>3670</v>
      </c>
      <c r="J13454" t="s">
        <v>29590</v>
      </c>
      <c r="K13454" t="s">
        <v>38528</v>
      </c>
      <c r="M13454" t="s">
        <v>42577</v>
      </c>
      <c r="N13454" t="s">
        <v>42669</v>
      </c>
      <c r="O13454" t="s">
        <v>42670</v>
      </c>
      <c r="P13454">
        <v>0</v>
      </c>
      <c r="Q13454">
        <v>0</v>
      </c>
      <c r="R13454" t="s">
        <v>42692</v>
      </c>
      <c r="S13454" t="s">
        <v>43798</v>
      </c>
      <c r="T13454" t="s">
        <v>44432</v>
      </c>
      <c r="U13454" t="s">
        <v>55719</v>
      </c>
      <c r="W13454" t="s">
        <v>42577</v>
      </c>
      <c r="X13454" t="s">
        <v>42693</v>
      </c>
    </row>
    <row r="13455" spans="1:24">
      <c r="A13455">
        <f>HYPERLINK("https://www.philgeps.gov.ph/GEPSNONPILOT/Tender/SplashBidNoticeAbstractUI.aspx?menuIndex=3&amp;refID=7151949&amp;Result=3","7151949")</f>
        <v>0</v>
      </c>
      <c r="B13455" t="s">
        <v>3459</v>
      </c>
      <c r="C13455" t="s">
        <v>16410</v>
      </c>
      <c r="D13455" t="s">
        <v>17141</v>
      </c>
      <c r="E13455" t="s">
        <v>21230</v>
      </c>
      <c r="F13455" t="s">
        <v>29372</v>
      </c>
      <c r="G13455" t="s">
        <v>29380</v>
      </c>
      <c r="H13455" t="s">
        <v>11048</v>
      </c>
      <c r="I13455" t="s">
        <v>3670</v>
      </c>
      <c r="J13455" t="s">
        <v>29590</v>
      </c>
      <c r="K13455" t="s">
        <v>38528</v>
      </c>
      <c r="M13455" t="s">
        <v>42577</v>
      </c>
      <c r="N13455" t="s">
        <v>42669</v>
      </c>
      <c r="O13455" t="s">
        <v>42670</v>
      </c>
      <c r="P13455">
        <v>0</v>
      </c>
      <c r="Q13455">
        <v>2</v>
      </c>
      <c r="R13455" t="s">
        <v>42692</v>
      </c>
      <c r="S13455" t="s">
        <v>43798</v>
      </c>
      <c r="T13455" t="s">
        <v>44432</v>
      </c>
      <c r="U13455" t="s">
        <v>55719</v>
      </c>
      <c r="W13455" t="s">
        <v>42577</v>
      </c>
      <c r="X13455" t="s">
        <v>42693</v>
      </c>
    </row>
    <row r="13456" spans="1:24">
      <c r="A13456">
        <f>HYPERLINK("https://www.philgeps.gov.ph/GEPSNONPILOT/Tender/SplashBidNoticeAbstractUI.aspx?menuIndex=3&amp;refID=7151762&amp;Result=3","7151762")</f>
        <v>0</v>
      </c>
      <c r="B13456" t="s">
        <v>388</v>
      </c>
      <c r="C13456" t="s">
        <v>16411</v>
      </c>
      <c r="E13456" t="s">
        <v>28710</v>
      </c>
      <c r="F13456" t="s">
        <v>29372</v>
      </c>
      <c r="G13456" t="s">
        <v>29380</v>
      </c>
      <c r="H13456" t="s">
        <v>11048</v>
      </c>
      <c r="I13456" t="s">
        <v>29409</v>
      </c>
      <c r="J13456" t="s">
        <v>38008</v>
      </c>
      <c r="K13456" t="s">
        <v>38485</v>
      </c>
      <c r="M13456" t="s">
        <v>39150</v>
      </c>
      <c r="N13456" t="s">
        <v>42669</v>
      </c>
      <c r="O13456" t="s">
        <v>42670</v>
      </c>
      <c r="Q13456">
        <v>18</v>
      </c>
      <c r="R13456" t="s">
        <v>42692</v>
      </c>
      <c r="S13456" t="s">
        <v>43843</v>
      </c>
      <c r="T13456" t="s">
        <v>44525</v>
      </c>
      <c r="U13456" t="s">
        <v>55736</v>
      </c>
      <c r="W13456" t="s">
        <v>58012</v>
      </c>
      <c r="X13456" t="s">
        <v>42693</v>
      </c>
    </row>
    <row r="13457" spans="1:24">
      <c r="A13457">
        <f>HYPERLINK("https://www.philgeps.gov.ph/GEPSNONPILOT/Tender/SplashBidNoticeAbstractUI.aspx?menuIndex=3&amp;refID=7151943&amp;Result=3","7151943")</f>
        <v>0</v>
      </c>
      <c r="B13457" t="s">
        <v>3459</v>
      </c>
      <c r="C13457" t="s">
        <v>7246</v>
      </c>
      <c r="D13457" t="s">
        <v>17141</v>
      </c>
      <c r="E13457" t="s">
        <v>18698</v>
      </c>
      <c r="F13457" t="s">
        <v>29372</v>
      </c>
      <c r="G13457" t="s">
        <v>29380</v>
      </c>
      <c r="H13457" t="s">
        <v>11048</v>
      </c>
      <c r="I13457" t="s">
        <v>3670</v>
      </c>
      <c r="J13457" t="s">
        <v>29590</v>
      </c>
      <c r="K13457" t="s">
        <v>38528</v>
      </c>
      <c r="M13457" t="s">
        <v>42577</v>
      </c>
      <c r="N13457" t="s">
        <v>42669</v>
      </c>
      <c r="O13457" t="s">
        <v>42670</v>
      </c>
      <c r="P13457">
        <v>0</v>
      </c>
      <c r="Q13457">
        <v>3</v>
      </c>
      <c r="R13457" t="s">
        <v>42692</v>
      </c>
      <c r="S13457" t="s">
        <v>43798</v>
      </c>
      <c r="T13457" t="s">
        <v>44432</v>
      </c>
      <c r="U13457" t="s">
        <v>55719</v>
      </c>
      <c r="W13457" t="s">
        <v>42577</v>
      </c>
      <c r="X13457" t="s">
        <v>42693</v>
      </c>
    </row>
    <row r="13458" spans="1:24">
      <c r="A13458">
        <f>HYPERLINK("https://www.philgeps.gov.ph/GEPSNONPILOT/Tender/SplashBidNoticeAbstractUI.aspx?menuIndex=3&amp;refID=7151902&amp;Result=3","7151902")</f>
        <v>0</v>
      </c>
      <c r="B13458" t="s">
        <v>3459</v>
      </c>
      <c r="C13458" t="s">
        <v>16412</v>
      </c>
      <c r="D13458" t="s">
        <v>17141</v>
      </c>
      <c r="E13458" t="s">
        <v>18028</v>
      </c>
      <c r="F13458" t="s">
        <v>29372</v>
      </c>
      <c r="G13458" t="s">
        <v>29380</v>
      </c>
      <c r="H13458" t="s">
        <v>11048</v>
      </c>
      <c r="I13458" t="s">
        <v>3670</v>
      </c>
      <c r="J13458" t="s">
        <v>29804</v>
      </c>
      <c r="K13458" t="s">
        <v>38528</v>
      </c>
      <c r="M13458" t="s">
        <v>42577</v>
      </c>
      <c r="N13458" t="s">
        <v>42669</v>
      </c>
      <c r="O13458" t="s">
        <v>42670</v>
      </c>
      <c r="P13458">
        <v>0</v>
      </c>
      <c r="Q13458">
        <v>2</v>
      </c>
      <c r="R13458" t="s">
        <v>42692</v>
      </c>
      <c r="S13458" t="s">
        <v>43798</v>
      </c>
      <c r="T13458" t="s">
        <v>44432</v>
      </c>
      <c r="U13458" t="s">
        <v>55719</v>
      </c>
      <c r="W13458" t="s">
        <v>42577</v>
      </c>
      <c r="X13458" t="s">
        <v>42693</v>
      </c>
    </row>
    <row r="13459" spans="1:24">
      <c r="A13459">
        <f>HYPERLINK("https://www.philgeps.gov.ph/GEPSNONPILOT/Tender/SplashBidNoticeAbstractUI.aspx?menuIndex=3&amp;refID=7151937&amp;Result=3","7151937")</f>
        <v>0</v>
      </c>
      <c r="B13459" t="s">
        <v>338</v>
      </c>
      <c r="C13459" t="s">
        <v>16413</v>
      </c>
      <c r="D13459" t="s">
        <v>17141</v>
      </c>
      <c r="E13459" t="s">
        <v>28711</v>
      </c>
      <c r="F13459" t="s">
        <v>29372</v>
      </c>
      <c r="G13459" t="s">
        <v>29380</v>
      </c>
      <c r="H13459" t="s">
        <v>11048</v>
      </c>
      <c r="I13459" t="s">
        <v>3670</v>
      </c>
      <c r="J13459" t="s">
        <v>29788</v>
      </c>
      <c r="K13459" t="s">
        <v>38487</v>
      </c>
      <c r="M13459" t="s">
        <v>41629</v>
      </c>
      <c r="N13459" t="s">
        <v>42669</v>
      </c>
      <c r="O13459" t="s">
        <v>42670</v>
      </c>
      <c r="Q13459">
        <v>17</v>
      </c>
      <c r="R13459" t="s">
        <v>42692</v>
      </c>
      <c r="S13459" t="s">
        <v>43844</v>
      </c>
      <c r="T13459" t="s">
        <v>44427</v>
      </c>
      <c r="U13459" t="s">
        <v>55737</v>
      </c>
      <c r="W13459" t="s">
        <v>41629</v>
      </c>
      <c r="X13459" t="s">
        <v>42693</v>
      </c>
    </row>
    <row r="13460" spans="1:24">
      <c r="A13460">
        <f>HYPERLINK("https://www.philgeps.gov.ph/GEPSNONPILOT/Tender/SplashBidNoticeAbstractUI.aspx?menuIndex=3&amp;refID=7151930&amp;Result=3","7151930")</f>
        <v>0</v>
      </c>
      <c r="B13460" t="s">
        <v>3459</v>
      </c>
      <c r="C13460" t="s">
        <v>16414</v>
      </c>
      <c r="D13460" t="s">
        <v>17141</v>
      </c>
      <c r="E13460" t="s">
        <v>19453</v>
      </c>
      <c r="F13460" t="s">
        <v>29372</v>
      </c>
      <c r="G13460" t="s">
        <v>29380</v>
      </c>
      <c r="H13460" t="s">
        <v>11048</v>
      </c>
      <c r="I13460" t="s">
        <v>3670</v>
      </c>
      <c r="J13460" t="s">
        <v>29590</v>
      </c>
      <c r="K13460" t="s">
        <v>38528</v>
      </c>
      <c r="M13460" t="s">
        <v>42577</v>
      </c>
      <c r="N13460" t="s">
        <v>42669</v>
      </c>
      <c r="O13460" t="s">
        <v>42670</v>
      </c>
      <c r="P13460">
        <v>0</v>
      </c>
      <c r="Q13460">
        <v>0</v>
      </c>
      <c r="R13460" t="s">
        <v>42692</v>
      </c>
      <c r="S13460" t="s">
        <v>43798</v>
      </c>
      <c r="T13460" t="s">
        <v>44432</v>
      </c>
      <c r="U13460" t="s">
        <v>55719</v>
      </c>
      <c r="W13460" t="s">
        <v>42577</v>
      </c>
      <c r="X13460" t="s">
        <v>42693</v>
      </c>
    </row>
    <row r="13461" spans="1:24">
      <c r="A13461">
        <f>HYPERLINK("https://www.philgeps.gov.ph/GEPSNONPILOT/Tender/SplashBidNoticeAbstractUI.aspx?menuIndex=3&amp;refID=7151925&amp;Result=3","7151925")</f>
        <v>0</v>
      </c>
      <c r="B13461" t="s">
        <v>3459</v>
      </c>
      <c r="C13461" t="s">
        <v>16415</v>
      </c>
      <c r="D13461" t="s">
        <v>17141</v>
      </c>
      <c r="E13461" t="s">
        <v>21478</v>
      </c>
      <c r="F13461" t="s">
        <v>29372</v>
      </c>
      <c r="G13461" t="s">
        <v>29380</v>
      </c>
      <c r="H13461" t="s">
        <v>11048</v>
      </c>
      <c r="I13461" t="s">
        <v>3670</v>
      </c>
      <c r="J13461" t="s">
        <v>29590</v>
      </c>
      <c r="K13461" t="s">
        <v>38528</v>
      </c>
      <c r="M13461" t="s">
        <v>42577</v>
      </c>
      <c r="N13461" t="s">
        <v>42669</v>
      </c>
      <c r="O13461" t="s">
        <v>42670</v>
      </c>
      <c r="P13461">
        <v>0</v>
      </c>
      <c r="Q13461">
        <v>1</v>
      </c>
      <c r="R13461" t="s">
        <v>42692</v>
      </c>
      <c r="S13461" t="s">
        <v>43798</v>
      </c>
      <c r="T13461" t="s">
        <v>44432</v>
      </c>
      <c r="U13461" t="s">
        <v>55719</v>
      </c>
      <c r="W13461" t="s">
        <v>42577</v>
      </c>
      <c r="X13461" t="s">
        <v>42693</v>
      </c>
    </row>
    <row r="13462" spans="1:24">
      <c r="A13462">
        <f>HYPERLINK("https://www.philgeps.gov.ph/GEPSNONPILOT/Tender/SplashBidNoticeAbstractUI.aspx?menuIndex=3&amp;refID=7151963&amp;Result=3","7151963")</f>
        <v>0</v>
      </c>
      <c r="B13462" t="s">
        <v>3459</v>
      </c>
      <c r="C13462" t="s">
        <v>16416</v>
      </c>
      <c r="D13462" t="s">
        <v>17141</v>
      </c>
      <c r="E13462" t="s">
        <v>23899</v>
      </c>
      <c r="F13462" t="s">
        <v>29372</v>
      </c>
      <c r="G13462" t="s">
        <v>29380</v>
      </c>
      <c r="H13462" t="s">
        <v>11048</v>
      </c>
      <c r="I13462" t="s">
        <v>3670</v>
      </c>
      <c r="J13462" t="s">
        <v>29590</v>
      </c>
      <c r="K13462" t="s">
        <v>38528</v>
      </c>
      <c r="M13462" t="s">
        <v>42577</v>
      </c>
      <c r="N13462" t="s">
        <v>42669</v>
      </c>
      <c r="O13462" t="s">
        <v>42670</v>
      </c>
      <c r="P13462">
        <v>0</v>
      </c>
      <c r="Q13462">
        <v>2</v>
      </c>
      <c r="R13462" t="s">
        <v>42692</v>
      </c>
      <c r="S13462" t="s">
        <v>43798</v>
      </c>
      <c r="T13462" t="s">
        <v>44432</v>
      </c>
      <c r="U13462" t="s">
        <v>55719</v>
      </c>
      <c r="W13462" t="s">
        <v>42577</v>
      </c>
      <c r="X13462" t="s">
        <v>42693</v>
      </c>
    </row>
    <row r="13463" spans="1:24">
      <c r="A13463">
        <f>HYPERLINK("https://www.philgeps.gov.ph/GEPSNONPILOT/Tender/SplashBidNoticeAbstractUI.aspx?menuIndex=3&amp;refID=7152074&amp;Result=3","7152074")</f>
        <v>0</v>
      </c>
      <c r="B13463" t="s">
        <v>544</v>
      </c>
      <c r="C13463" t="s">
        <v>16417</v>
      </c>
      <c r="D13463" t="s">
        <v>17218</v>
      </c>
      <c r="E13463" t="s">
        <v>28712</v>
      </c>
      <c r="F13463" t="s">
        <v>29372</v>
      </c>
      <c r="G13463" t="s">
        <v>29380</v>
      </c>
      <c r="H13463" t="s">
        <v>11048</v>
      </c>
      <c r="I13463" t="s">
        <v>14920</v>
      </c>
      <c r="J13463" t="s">
        <v>38009</v>
      </c>
      <c r="K13463" t="s">
        <v>38490</v>
      </c>
      <c r="M13463" t="s">
        <v>42554</v>
      </c>
      <c r="N13463" t="s">
        <v>42669</v>
      </c>
      <c r="O13463" t="s">
        <v>42670</v>
      </c>
      <c r="Q13463">
        <v>3</v>
      </c>
      <c r="R13463" t="s">
        <v>42692</v>
      </c>
      <c r="S13463" t="s">
        <v>43845</v>
      </c>
      <c r="T13463" t="s">
        <v>44469</v>
      </c>
      <c r="U13463" t="s">
        <v>55738</v>
      </c>
      <c r="W13463" t="s">
        <v>42554</v>
      </c>
      <c r="X13463" t="s">
        <v>42693</v>
      </c>
    </row>
    <row r="13464" spans="1:24">
      <c r="A13464">
        <f>HYPERLINK("https://www.philgeps.gov.ph/GEPSNONPILOT/Tender/SplashBidNoticeAbstractUI.aspx?menuIndex=3&amp;refID=7151946&amp;Result=3","7151946")</f>
        <v>0</v>
      </c>
      <c r="B13464" t="s">
        <v>3459</v>
      </c>
      <c r="C13464" t="s">
        <v>16418</v>
      </c>
      <c r="D13464" t="s">
        <v>17141</v>
      </c>
      <c r="E13464" t="s">
        <v>18789</v>
      </c>
      <c r="F13464" t="s">
        <v>29372</v>
      </c>
      <c r="G13464" t="s">
        <v>29380</v>
      </c>
      <c r="H13464" t="s">
        <v>11048</v>
      </c>
      <c r="I13464" t="s">
        <v>3670</v>
      </c>
      <c r="J13464" t="s">
        <v>29590</v>
      </c>
      <c r="K13464" t="s">
        <v>38528</v>
      </c>
      <c r="M13464" t="s">
        <v>42577</v>
      </c>
      <c r="N13464" t="s">
        <v>42669</v>
      </c>
      <c r="O13464" t="s">
        <v>42670</v>
      </c>
      <c r="P13464">
        <v>0</v>
      </c>
      <c r="Q13464">
        <v>2</v>
      </c>
      <c r="R13464" t="s">
        <v>42692</v>
      </c>
      <c r="S13464" t="s">
        <v>43798</v>
      </c>
      <c r="T13464" t="s">
        <v>44432</v>
      </c>
      <c r="U13464" t="s">
        <v>55719</v>
      </c>
      <c r="W13464" t="s">
        <v>42577</v>
      </c>
      <c r="X13464" t="s">
        <v>42693</v>
      </c>
    </row>
    <row r="13465" spans="1:24">
      <c r="A13465">
        <f>HYPERLINK("https://www.philgeps.gov.ph/GEPSNONPILOT/Tender/SplashBidNoticeAbstractUI.aspx?menuIndex=3&amp;refID=7152116&amp;Result=3","7152116")</f>
        <v>0</v>
      </c>
      <c r="B13465" t="s">
        <v>3460</v>
      </c>
      <c r="C13465" t="s">
        <v>16419</v>
      </c>
      <c r="D13465" t="s">
        <v>17141</v>
      </c>
      <c r="E13465" t="s">
        <v>28713</v>
      </c>
      <c r="F13465" t="s">
        <v>29372</v>
      </c>
      <c r="G13465" t="s">
        <v>29380</v>
      </c>
      <c r="H13465" t="s">
        <v>11048</v>
      </c>
      <c r="I13465" t="s">
        <v>4487</v>
      </c>
      <c r="J13465" t="s">
        <v>32013</v>
      </c>
      <c r="K13465" t="s">
        <v>38490</v>
      </c>
      <c r="M13465" t="s">
        <v>42578</v>
      </c>
      <c r="N13465" t="s">
        <v>42669</v>
      </c>
      <c r="O13465" t="s">
        <v>42670</v>
      </c>
      <c r="Q13465">
        <v>14</v>
      </c>
      <c r="R13465" t="s">
        <v>42692</v>
      </c>
      <c r="S13465" t="s">
        <v>42976</v>
      </c>
      <c r="T13465" t="s">
        <v>44651</v>
      </c>
      <c r="U13465" t="s">
        <v>55739</v>
      </c>
      <c r="W13465" t="s">
        <v>42578</v>
      </c>
      <c r="X13465" t="s">
        <v>42693</v>
      </c>
    </row>
    <row r="13466" spans="1:24">
      <c r="A13466">
        <f>HYPERLINK("https://www.philgeps.gov.ph/GEPSNONPILOT/Tender/SplashBidNoticeAbstractUI.aspx?menuIndex=3&amp;refID=7151687&amp;Result=3","7151687")</f>
        <v>0</v>
      </c>
      <c r="B13466" t="s">
        <v>3213</v>
      </c>
      <c r="C13466" t="s">
        <v>16420</v>
      </c>
      <c r="D13466" t="s">
        <v>17141</v>
      </c>
      <c r="E13466" t="s">
        <v>24955</v>
      </c>
      <c r="F13466" t="s">
        <v>29372</v>
      </c>
      <c r="G13466" t="s">
        <v>29380</v>
      </c>
      <c r="H13466" t="s">
        <v>11048</v>
      </c>
      <c r="I13466" t="s">
        <v>8614</v>
      </c>
      <c r="J13466" t="s">
        <v>38010</v>
      </c>
      <c r="K13466" t="s">
        <v>38567</v>
      </c>
      <c r="M13466" t="s">
        <v>42276</v>
      </c>
      <c r="N13466" t="s">
        <v>42669</v>
      </c>
      <c r="O13466" t="s">
        <v>42670</v>
      </c>
      <c r="Q13466">
        <v>23</v>
      </c>
      <c r="R13466" t="s">
        <v>42692</v>
      </c>
      <c r="S13466" t="s">
        <v>43846</v>
      </c>
      <c r="T13466" t="s">
        <v>44610</v>
      </c>
      <c r="U13466" t="s">
        <v>55740</v>
      </c>
      <c r="W13466" t="s">
        <v>42276</v>
      </c>
      <c r="X13466" t="s">
        <v>42693</v>
      </c>
    </row>
    <row r="13467" spans="1:24">
      <c r="A13467">
        <f>HYPERLINK("https://www.philgeps.gov.ph/GEPSNONPILOT/Tender/SplashBidNoticeAbstractUI.aspx?menuIndex=3&amp;refID=7152095&amp;Result=3","7152095")</f>
        <v>0</v>
      </c>
      <c r="B13467" t="s">
        <v>3461</v>
      </c>
      <c r="C13467" t="s">
        <v>16421</v>
      </c>
      <c r="D13467" t="s">
        <v>17150</v>
      </c>
      <c r="E13467" t="s">
        <v>28714</v>
      </c>
      <c r="F13467" t="s">
        <v>29372</v>
      </c>
      <c r="G13467" t="s">
        <v>29380</v>
      </c>
      <c r="H13467" t="s">
        <v>29389</v>
      </c>
      <c r="I13467" t="s">
        <v>10408</v>
      </c>
      <c r="J13467" t="s">
        <v>38011</v>
      </c>
      <c r="K13467" t="s">
        <v>38515</v>
      </c>
      <c r="M13467" t="s">
        <v>42579</v>
      </c>
      <c r="N13467" t="s">
        <v>42669</v>
      </c>
      <c r="O13467" t="s">
        <v>42670</v>
      </c>
      <c r="P13467">
        <v>0</v>
      </c>
      <c r="Q13467">
        <v>3</v>
      </c>
      <c r="R13467" t="s">
        <v>42692</v>
      </c>
      <c r="S13467" t="s">
        <v>43798</v>
      </c>
      <c r="T13467" t="s">
        <v>44548</v>
      </c>
      <c r="U13467" t="s">
        <v>55741</v>
      </c>
      <c r="V13467" t="s">
        <v>57910</v>
      </c>
      <c r="W13467" t="s">
        <v>42579</v>
      </c>
      <c r="X13467" t="s">
        <v>42693</v>
      </c>
    </row>
    <row r="13468" spans="1:24">
      <c r="A13468">
        <f>HYPERLINK("https://www.philgeps.gov.ph/GEPSNONPILOT/Tender/SplashBidNoticeAbstractUI.aspx?menuIndex=3&amp;refID=7152110&amp;Result=3","7152110")</f>
        <v>0</v>
      </c>
      <c r="B13468" t="s">
        <v>544</v>
      </c>
      <c r="C13468" t="s">
        <v>16422</v>
      </c>
      <c r="D13468" t="s">
        <v>17184</v>
      </c>
      <c r="E13468" t="s">
        <v>28715</v>
      </c>
      <c r="F13468" t="s">
        <v>29372</v>
      </c>
      <c r="G13468" t="s">
        <v>29380</v>
      </c>
      <c r="H13468" t="s">
        <v>11048</v>
      </c>
      <c r="I13468" t="s">
        <v>14920</v>
      </c>
      <c r="J13468" t="s">
        <v>38012</v>
      </c>
      <c r="K13468" t="s">
        <v>38490</v>
      </c>
      <c r="M13468" t="s">
        <v>42554</v>
      </c>
      <c r="N13468" t="s">
        <v>42669</v>
      </c>
      <c r="O13468" t="s">
        <v>42670</v>
      </c>
      <c r="Q13468">
        <v>3</v>
      </c>
      <c r="R13468" t="s">
        <v>42692</v>
      </c>
      <c r="S13468" t="s">
        <v>43847</v>
      </c>
      <c r="T13468" t="s">
        <v>44469</v>
      </c>
      <c r="U13468" t="s">
        <v>55742</v>
      </c>
      <c r="W13468" t="s">
        <v>42554</v>
      </c>
      <c r="X13468" t="s">
        <v>42693</v>
      </c>
    </row>
    <row r="13469" spans="1:24">
      <c r="A13469">
        <f>HYPERLINK("https://www.philgeps.gov.ph/GEPSNONPILOT/Tender/SplashBidNoticeAbstractUI.aspx?menuIndex=3&amp;refID=7152108&amp;Result=3","7152108")</f>
        <v>0</v>
      </c>
      <c r="B13469" t="s">
        <v>3460</v>
      </c>
      <c r="C13469" t="s">
        <v>16423</v>
      </c>
      <c r="D13469" t="s">
        <v>17141</v>
      </c>
      <c r="E13469" t="s">
        <v>28716</v>
      </c>
      <c r="F13469" t="s">
        <v>29372</v>
      </c>
      <c r="G13469" t="s">
        <v>29380</v>
      </c>
      <c r="H13469" t="s">
        <v>11048</v>
      </c>
      <c r="I13469" t="s">
        <v>8614</v>
      </c>
      <c r="J13469" t="s">
        <v>30736</v>
      </c>
      <c r="K13469" t="s">
        <v>38490</v>
      </c>
      <c r="M13469" t="s">
        <v>42578</v>
      </c>
      <c r="N13469" t="s">
        <v>42669</v>
      </c>
      <c r="O13469" t="s">
        <v>42670</v>
      </c>
      <c r="Q13469">
        <v>24</v>
      </c>
      <c r="R13469" t="s">
        <v>42692</v>
      </c>
      <c r="S13469" t="s">
        <v>43848</v>
      </c>
      <c r="T13469" t="s">
        <v>44488</v>
      </c>
      <c r="U13469" t="s">
        <v>55739</v>
      </c>
      <c r="W13469" t="s">
        <v>42578</v>
      </c>
      <c r="X13469" t="s">
        <v>42693</v>
      </c>
    </row>
    <row r="13470" spans="1:24">
      <c r="A13470">
        <f>HYPERLINK("https://www.philgeps.gov.ph/GEPSNONPILOT/Tender/SplashBidNoticeAbstractUI.aspx?menuIndex=3&amp;refID=7152073&amp;Result=3","7152073")</f>
        <v>0</v>
      </c>
      <c r="B13470" t="s">
        <v>413</v>
      </c>
      <c r="C13470" t="s">
        <v>16424</v>
      </c>
      <c r="D13470" t="s">
        <v>17141</v>
      </c>
      <c r="E13470" t="s">
        <v>28717</v>
      </c>
      <c r="F13470" t="s">
        <v>29372</v>
      </c>
      <c r="G13470" t="s">
        <v>29382</v>
      </c>
      <c r="H13470" t="s">
        <v>11048</v>
      </c>
      <c r="I13470" t="s">
        <v>29417</v>
      </c>
      <c r="J13470" t="s">
        <v>38013</v>
      </c>
      <c r="K13470" t="s">
        <v>38485</v>
      </c>
      <c r="M13470" t="s">
        <v>39708</v>
      </c>
      <c r="N13470" t="s">
        <v>42669</v>
      </c>
      <c r="O13470" t="s">
        <v>42670</v>
      </c>
      <c r="Q13470">
        <v>14</v>
      </c>
      <c r="R13470" t="s">
        <v>42692</v>
      </c>
      <c r="S13470" t="s">
        <v>43849</v>
      </c>
      <c r="T13470" t="s">
        <v>44491</v>
      </c>
      <c r="U13470" t="s">
        <v>46704</v>
      </c>
      <c r="V13470" t="s">
        <v>57052</v>
      </c>
      <c r="W13470" t="s">
        <v>39708</v>
      </c>
      <c r="X13470" t="s">
        <v>42693</v>
      </c>
    </row>
    <row r="13471" spans="1:24">
      <c r="A13471">
        <f>HYPERLINK("https://www.philgeps.gov.ph/GEPSNONPILOT/Tender/SplashBidNoticeAbstractUI.aspx?menuIndex=3&amp;refID=7151951&amp;Result=3","7151951")</f>
        <v>0</v>
      </c>
      <c r="B13471" t="s">
        <v>3459</v>
      </c>
      <c r="C13471" t="s">
        <v>16410</v>
      </c>
      <c r="D13471" t="s">
        <v>17141</v>
      </c>
      <c r="E13471" t="s">
        <v>22872</v>
      </c>
      <c r="F13471" t="s">
        <v>29372</v>
      </c>
      <c r="G13471" t="s">
        <v>29380</v>
      </c>
      <c r="H13471" t="s">
        <v>11048</v>
      </c>
      <c r="I13471" t="s">
        <v>3670</v>
      </c>
      <c r="J13471" t="s">
        <v>29590</v>
      </c>
      <c r="K13471" t="s">
        <v>38528</v>
      </c>
      <c r="M13471" t="s">
        <v>42577</v>
      </c>
      <c r="N13471" t="s">
        <v>42669</v>
      </c>
      <c r="O13471" t="s">
        <v>42670</v>
      </c>
      <c r="P13471">
        <v>0</v>
      </c>
      <c r="Q13471">
        <v>0</v>
      </c>
      <c r="R13471" t="s">
        <v>42692</v>
      </c>
      <c r="S13471" t="s">
        <v>43798</v>
      </c>
      <c r="T13471" t="s">
        <v>44432</v>
      </c>
      <c r="U13471" t="s">
        <v>55719</v>
      </c>
      <c r="W13471" t="s">
        <v>42577</v>
      </c>
      <c r="X13471" t="s">
        <v>42693</v>
      </c>
    </row>
    <row r="13472" spans="1:24">
      <c r="A13472">
        <f>HYPERLINK("https://www.philgeps.gov.ph/GEPSNONPILOT/Tender/SplashBidNoticeAbstractUI.aspx?menuIndex=3&amp;refID=7152045&amp;Result=3","7152045")</f>
        <v>0</v>
      </c>
      <c r="B13472" t="s">
        <v>544</v>
      </c>
      <c r="C13472" t="s">
        <v>16425</v>
      </c>
      <c r="D13472" t="s">
        <v>17218</v>
      </c>
      <c r="E13472" t="s">
        <v>28718</v>
      </c>
      <c r="F13472" t="s">
        <v>29372</v>
      </c>
      <c r="G13472" t="s">
        <v>29380</v>
      </c>
      <c r="H13472" t="s">
        <v>11048</v>
      </c>
      <c r="I13472" t="s">
        <v>14920</v>
      </c>
      <c r="J13472" t="s">
        <v>38014</v>
      </c>
      <c r="K13472" t="s">
        <v>38490</v>
      </c>
      <c r="M13472" t="s">
        <v>42554</v>
      </c>
      <c r="N13472" t="s">
        <v>42669</v>
      </c>
      <c r="O13472" t="s">
        <v>42670</v>
      </c>
      <c r="Q13472">
        <v>4</v>
      </c>
      <c r="R13472" t="s">
        <v>42692</v>
      </c>
      <c r="S13472" t="s">
        <v>43850</v>
      </c>
      <c r="T13472" t="s">
        <v>44469</v>
      </c>
      <c r="U13472" t="s">
        <v>55743</v>
      </c>
      <c r="W13472" t="s">
        <v>42554</v>
      </c>
      <c r="X13472" t="s">
        <v>42693</v>
      </c>
    </row>
    <row r="13473" spans="1:24">
      <c r="A13473">
        <f>HYPERLINK("https://www.philgeps.gov.ph/GEPSNONPILOT/Tender/SplashBidNoticeAbstractUI.aspx?menuIndex=3&amp;refID=7152042&amp;Result=3","7152042")</f>
        <v>0</v>
      </c>
      <c r="B13473" t="s">
        <v>118</v>
      </c>
      <c r="C13473" t="s">
        <v>16426</v>
      </c>
      <c r="D13473" t="s">
        <v>17141</v>
      </c>
      <c r="E13473" t="s">
        <v>28719</v>
      </c>
      <c r="F13473" t="s">
        <v>29372</v>
      </c>
      <c r="G13473" t="s">
        <v>29380</v>
      </c>
      <c r="H13473" t="s">
        <v>29389</v>
      </c>
      <c r="I13473" t="s">
        <v>10408</v>
      </c>
      <c r="J13473" t="s">
        <v>38015</v>
      </c>
      <c r="K13473" t="s">
        <v>38629</v>
      </c>
      <c r="M13473" t="s">
        <v>42009</v>
      </c>
      <c r="N13473" t="s">
        <v>42669</v>
      </c>
      <c r="O13473" t="s">
        <v>42670</v>
      </c>
      <c r="Q13473">
        <v>37</v>
      </c>
      <c r="R13473" t="s">
        <v>42692</v>
      </c>
      <c r="S13473" t="s">
        <v>43851</v>
      </c>
      <c r="T13473" t="s">
        <v>44432</v>
      </c>
      <c r="U13473" t="s">
        <v>55744</v>
      </c>
      <c r="W13473" t="s">
        <v>42009</v>
      </c>
      <c r="X13473" t="s">
        <v>42693</v>
      </c>
    </row>
    <row r="13474" spans="1:24">
      <c r="A13474">
        <f>HYPERLINK("https://www.philgeps.gov.ph/GEPSNONPILOT/Tender/SplashBidNoticeAbstractUI.aspx?menuIndex=3&amp;refID=7151932&amp;Result=3","7151932")</f>
        <v>0</v>
      </c>
      <c r="B13474" t="s">
        <v>3459</v>
      </c>
      <c r="C13474" t="s">
        <v>16427</v>
      </c>
      <c r="D13474" t="s">
        <v>17141</v>
      </c>
      <c r="E13474" t="s">
        <v>20938</v>
      </c>
      <c r="F13474" t="s">
        <v>29372</v>
      </c>
      <c r="G13474" t="s">
        <v>29380</v>
      </c>
      <c r="H13474" t="s">
        <v>11048</v>
      </c>
      <c r="I13474" t="s">
        <v>3670</v>
      </c>
      <c r="J13474" t="s">
        <v>31317</v>
      </c>
      <c r="K13474" t="s">
        <v>38528</v>
      </c>
      <c r="M13474" t="s">
        <v>42577</v>
      </c>
      <c r="N13474" t="s">
        <v>42669</v>
      </c>
      <c r="O13474" t="s">
        <v>42670</v>
      </c>
      <c r="P13474">
        <v>0</v>
      </c>
      <c r="Q13474">
        <v>0</v>
      </c>
      <c r="R13474" t="s">
        <v>42692</v>
      </c>
      <c r="S13474" t="s">
        <v>43798</v>
      </c>
      <c r="T13474" t="s">
        <v>44432</v>
      </c>
      <c r="U13474" t="s">
        <v>55719</v>
      </c>
      <c r="W13474" t="s">
        <v>42577</v>
      </c>
      <c r="X13474" t="s">
        <v>42693</v>
      </c>
    </row>
    <row r="13475" spans="1:24">
      <c r="A13475">
        <f>HYPERLINK("https://www.philgeps.gov.ph/GEPSNONPILOT/Tender/SplashBidNoticeAbstractUI.aspx?menuIndex=3&amp;refID=7152017&amp;Result=3","7152017")</f>
        <v>0</v>
      </c>
      <c r="B13475" t="s">
        <v>2093</v>
      </c>
      <c r="C13475" t="s">
        <v>16428</v>
      </c>
      <c r="D13475" t="s">
        <v>17141</v>
      </c>
      <c r="E13475" t="s">
        <v>17794</v>
      </c>
      <c r="F13475" t="s">
        <v>29372</v>
      </c>
      <c r="G13475" t="s">
        <v>29380</v>
      </c>
      <c r="H13475" t="s">
        <v>29390</v>
      </c>
      <c r="I13475" t="s">
        <v>29440</v>
      </c>
      <c r="J13475" t="s">
        <v>38016</v>
      </c>
      <c r="K13475" t="s">
        <v>38486</v>
      </c>
      <c r="M13475" t="s">
        <v>40995</v>
      </c>
      <c r="N13475" t="s">
        <v>42669</v>
      </c>
      <c r="O13475" t="s">
        <v>42670</v>
      </c>
      <c r="Q13475">
        <v>3</v>
      </c>
      <c r="R13475" t="s">
        <v>42692</v>
      </c>
      <c r="S13475" t="s">
        <v>43852</v>
      </c>
      <c r="T13475" t="s">
        <v>44555</v>
      </c>
      <c r="U13475" t="s">
        <v>55745</v>
      </c>
      <c r="V13475" t="s">
        <v>56381</v>
      </c>
      <c r="W13475" t="s">
        <v>40995</v>
      </c>
      <c r="X13475" t="s">
        <v>42693</v>
      </c>
    </row>
    <row r="13476" spans="1:24">
      <c r="A13476">
        <f>HYPERLINK("https://www.philgeps.gov.ph/GEPSNONPILOT/Tender/SplashBidNoticeAbstractUI.aspx?menuIndex=3&amp;refID=7152014&amp;Result=3","7152014")</f>
        <v>0</v>
      </c>
      <c r="B13476" t="s">
        <v>118</v>
      </c>
      <c r="C13476" t="s">
        <v>16429</v>
      </c>
      <c r="D13476" t="s">
        <v>17141</v>
      </c>
      <c r="E13476" t="s">
        <v>28720</v>
      </c>
      <c r="F13476" t="s">
        <v>29372</v>
      </c>
      <c r="G13476" t="s">
        <v>29380</v>
      </c>
      <c r="H13476" t="s">
        <v>29389</v>
      </c>
      <c r="I13476" t="s">
        <v>10408</v>
      </c>
      <c r="J13476" t="s">
        <v>38017</v>
      </c>
      <c r="K13476" t="s">
        <v>38533</v>
      </c>
      <c r="M13476" t="s">
        <v>42009</v>
      </c>
      <c r="N13476" t="s">
        <v>42669</v>
      </c>
      <c r="O13476" t="s">
        <v>42670</v>
      </c>
      <c r="P13476">
        <v>0</v>
      </c>
      <c r="Q13476">
        <v>39</v>
      </c>
      <c r="R13476" t="s">
        <v>42692</v>
      </c>
      <c r="S13476" t="s">
        <v>43798</v>
      </c>
      <c r="T13476" t="s">
        <v>44432</v>
      </c>
      <c r="U13476" t="s">
        <v>55746</v>
      </c>
      <c r="W13476" t="s">
        <v>42009</v>
      </c>
      <c r="X13476" t="s">
        <v>42693</v>
      </c>
    </row>
    <row r="13477" spans="1:24">
      <c r="A13477">
        <f>HYPERLINK("https://www.philgeps.gov.ph/GEPSNONPILOT/Tender/SplashBidNoticeAbstractUI.aspx?menuIndex=3&amp;refID=7151926&amp;Result=3","7151926")</f>
        <v>0</v>
      </c>
      <c r="B13477" t="s">
        <v>3459</v>
      </c>
      <c r="C13477" t="s">
        <v>16430</v>
      </c>
      <c r="D13477" t="s">
        <v>17141</v>
      </c>
      <c r="E13477" t="s">
        <v>21533</v>
      </c>
      <c r="F13477" t="s">
        <v>29373</v>
      </c>
      <c r="G13477" t="s">
        <v>29380</v>
      </c>
      <c r="H13477" t="s">
        <v>11048</v>
      </c>
      <c r="I13477" t="s">
        <v>3670</v>
      </c>
      <c r="J13477" t="s">
        <v>32328</v>
      </c>
      <c r="K13477" t="s">
        <v>38528</v>
      </c>
      <c r="M13477" t="s">
        <v>42577</v>
      </c>
      <c r="N13477" t="s">
        <v>42669</v>
      </c>
      <c r="O13477" t="s">
        <v>42670</v>
      </c>
      <c r="P13477">
        <v>0</v>
      </c>
      <c r="Q13477">
        <v>0</v>
      </c>
      <c r="R13477" t="s">
        <v>42692</v>
      </c>
      <c r="S13477" t="s">
        <v>43798</v>
      </c>
      <c r="T13477" t="s">
        <v>44432</v>
      </c>
      <c r="U13477" t="s">
        <v>55719</v>
      </c>
      <c r="W13477" t="s">
        <v>42577</v>
      </c>
      <c r="X13477" t="s">
        <v>42693</v>
      </c>
    </row>
    <row r="13478" spans="1:24">
      <c r="A13478">
        <f>HYPERLINK("https://www.philgeps.gov.ph/GEPSNONPILOT/Tender/SplashBidNoticeAbstractUI.aspx?menuIndex=3&amp;refID=7152109&amp;Result=3","7152109")</f>
        <v>0</v>
      </c>
      <c r="B13478" t="s">
        <v>3461</v>
      </c>
      <c r="C13478" t="s">
        <v>16431</v>
      </c>
      <c r="D13478" t="s">
        <v>17150</v>
      </c>
      <c r="E13478" t="s">
        <v>28721</v>
      </c>
      <c r="F13478" t="s">
        <v>29372</v>
      </c>
      <c r="G13478" t="s">
        <v>29380</v>
      </c>
      <c r="H13478" t="s">
        <v>29389</v>
      </c>
      <c r="I13478" t="s">
        <v>10408</v>
      </c>
      <c r="J13478" t="s">
        <v>38018</v>
      </c>
      <c r="K13478" t="s">
        <v>38525</v>
      </c>
      <c r="M13478" t="s">
        <v>42579</v>
      </c>
      <c r="N13478" t="s">
        <v>42669</v>
      </c>
      <c r="O13478" t="s">
        <v>42670</v>
      </c>
      <c r="P13478">
        <v>0</v>
      </c>
      <c r="Q13478">
        <v>3</v>
      </c>
      <c r="R13478" t="s">
        <v>42692</v>
      </c>
      <c r="S13478" t="s">
        <v>43798</v>
      </c>
      <c r="T13478" t="s">
        <v>44548</v>
      </c>
      <c r="U13478" t="s">
        <v>55747</v>
      </c>
      <c r="V13478" t="s">
        <v>57911</v>
      </c>
      <c r="W13478" t="s">
        <v>42579</v>
      </c>
      <c r="X13478" t="s">
        <v>42693</v>
      </c>
    </row>
    <row r="13479" spans="1:24">
      <c r="A13479">
        <f>HYPERLINK("https://www.philgeps.gov.ph/GEPSNONPILOT/Tender/SplashBidNoticeAbstractUI.aspx?menuIndex=3&amp;refID=7139414&amp;Result=3","7139414")</f>
        <v>0</v>
      </c>
      <c r="B13479" t="s">
        <v>898</v>
      </c>
      <c r="C13479" t="s">
        <v>16432</v>
      </c>
      <c r="D13479" t="s">
        <v>17142</v>
      </c>
      <c r="E13479" t="s">
        <v>28722</v>
      </c>
      <c r="F13479" t="s">
        <v>29372</v>
      </c>
      <c r="G13479" t="s">
        <v>29380</v>
      </c>
      <c r="H13479" t="s">
        <v>11048</v>
      </c>
      <c r="I13479" t="s">
        <v>3695</v>
      </c>
      <c r="J13479" t="s">
        <v>38019</v>
      </c>
      <c r="K13479" t="s">
        <v>38490</v>
      </c>
      <c r="M13479" t="s">
        <v>42465</v>
      </c>
      <c r="N13479" t="s">
        <v>42669</v>
      </c>
      <c r="O13479" t="s">
        <v>42670</v>
      </c>
      <c r="Q13479">
        <v>17</v>
      </c>
      <c r="R13479" t="s">
        <v>42693</v>
      </c>
      <c r="S13479" t="s">
        <v>43853</v>
      </c>
      <c r="T13479" t="s">
        <v>44354</v>
      </c>
      <c r="U13479" t="s">
        <v>55748</v>
      </c>
      <c r="V13479" t="s">
        <v>57116</v>
      </c>
      <c r="W13479" t="s">
        <v>42465</v>
      </c>
      <c r="X13479" t="s">
        <v>42699</v>
      </c>
    </row>
    <row r="13480" spans="1:24">
      <c r="A13480">
        <f>HYPERLINK("https://www.philgeps.gov.ph/GEPSNONPILOT/Tender/SplashBidNoticeAbstractUI.aspx?menuIndex=3&amp;refID=7141846&amp;Result=3","7141846")</f>
        <v>0</v>
      </c>
      <c r="B13480" t="s">
        <v>898</v>
      </c>
      <c r="C13480" t="s">
        <v>16433</v>
      </c>
      <c r="D13480" t="s">
        <v>17142</v>
      </c>
      <c r="E13480" t="s">
        <v>28723</v>
      </c>
      <c r="F13480" t="s">
        <v>29372</v>
      </c>
      <c r="G13480" t="s">
        <v>29380</v>
      </c>
      <c r="H13480" t="s">
        <v>11048</v>
      </c>
      <c r="I13480" t="s">
        <v>29406</v>
      </c>
      <c r="J13480" t="s">
        <v>31893</v>
      </c>
      <c r="K13480" t="s">
        <v>38490</v>
      </c>
      <c r="M13480" t="s">
        <v>42465</v>
      </c>
      <c r="N13480" t="s">
        <v>42669</v>
      </c>
      <c r="O13480" t="s">
        <v>42670</v>
      </c>
      <c r="Q13480">
        <v>12</v>
      </c>
      <c r="R13480" t="s">
        <v>42693</v>
      </c>
      <c r="S13480" t="s">
        <v>43854</v>
      </c>
      <c r="T13480" t="s">
        <v>44354</v>
      </c>
      <c r="U13480" t="s">
        <v>55749</v>
      </c>
      <c r="V13480" t="s">
        <v>57116</v>
      </c>
      <c r="W13480" t="s">
        <v>42465</v>
      </c>
      <c r="X13480" t="s">
        <v>42699</v>
      </c>
    </row>
    <row r="13481" spans="1:24">
      <c r="A13481">
        <f>HYPERLINK("https://www.philgeps.gov.ph/GEPSNONPILOT/Tender/SplashBidNoticeAbstractUI.aspx?menuIndex=3&amp;refID=7152021&amp;Result=3","7152021")</f>
        <v>0</v>
      </c>
      <c r="B13481" t="s">
        <v>544</v>
      </c>
      <c r="C13481" t="s">
        <v>16434</v>
      </c>
      <c r="D13481" t="s">
        <v>17219</v>
      </c>
      <c r="E13481" t="s">
        <v>28724</v>
      </c>
      <c r="F13481" t="s">
        <v>29372</v>
      </c>
      <c r="G13481" t="s">
        <v>29380</v>
      </c>
      <c r="H13481" t="s">
        <v>11048</v>
      </c>
      <c r="I13481" t="s">
        <v>14920</v>
      </c>
      <c r="J13481" t="s">
        <v>38020</v>
      </c>
      <c r="K13481" t="s">
        <v>38490</v>
      </c>
      <c r="M13481" t="s">
        <v>42554</v>
      </c>
      <c r="N13481" t="s">
        <v>42669</v>
      </c>
      <c r="O13481" t="s">
        <v>42670</v>
      </c>
      <c r="Q13481">
        <v>4</v>
      </c>
      <c r="R13481" t="s">
        <v>42692</v>
      </c>
      <c r="S13481" t="s">
        <v>43540</v>
      </c>
      <c r="T13481" t="s">
        <v>44469</v>
      </c>
      <c r="U13481" t="s">
        <v>55750</v>
      </c>
      <c r="W13481" t="s">
        <v>42554</v>
      </c>
      <c r="X13481" t="s">
        <v>42693</v>
      </c>
    </row>
    <row r="13482" spans="1:24">
      <c r="A13482">
        <f>HYPERLINK("https://www.philgeps.gov.ph/GEPSNONPILOT/Tender/SplashBidNoticeAbstractUI.aspx?menuIndex=3&amp;refID=7152094&amp;Result=3","7152094")</f>
        <v>0</v>
      </c>
      <c r="B13482" t="s">
        <v>544</v>
      </c>
      <c r="C13482" t="s">
        <v>16435</v>
      </c>
      <c r="D13482" t="s">
        <v>17219</v>
      </c>
      <c r="E13482" t="s">
        <v>28725</v>
      </c>
      <c r="F13482" t="s">
        <v>29372</v>
      </c>
      <c r="G13482" t="s">
        <v>29380</v>
      </c>
      <c r="H13482" t="s">
        <v>11048</v>
      </c>
      <c r="I13482" t="s">
        <v>14920</v>
      </c>
      <c r="J13482" t="s">
        <v>38021</v>
      </c>
      <c r="K13482" t="s">
        <v>38490</v>
      </c>
      <c r="M13482" t="s">
        <v>42554</v>
      </c>
      <c r="N13482" t="s">
        <v>42669</v>
      </c>
      <c r="O13482" t="s">
        <v>42670</v>
      </c>
      <c r="Q13482">
        <v>3</v>
      </c>
      <c r="R13482" t="s">
        <v>42692</v>
      </c>
      <c r="S13482" t="s">
        <v>43855</v>
      </c>
      <c r="T13482" t="s">
        <v>44469</v>
      </c>
      <c r="U13482" t="s">
        <v>55751</v>
      </c>
      <c r="W13482" t="s">
        <v>42554</v>
      </c>
      <c r="X13482" t="s">
        <v>42693</v>
      </c>
    </row>
    <row r="13483" spans="1:24">
      <c r="A13483">
        <f>HYPERLINK("https://www.philgeps.gov.ph/GEPSNONPILOT/Tender/SplashBidNoticeAbstractUI.aspx?menuIndex=3&amp;refID=7137885&amp;Result=3","7137885")</f>
        <v>0</v>
      </c>
      <c r="B13483" t="s">
        <v>2576</v>
      </c>
      <c r="C13483" t="s">
        <v>16436</v>
      </c>
      <c r="D13483" t="s">
        <v>17169</v>
      </c>
      <c r="E13483" t="s">
        <v>28726</v>
      </c>
      <c r="F13483" t="s">
        <v>29372</v>
      </c>
      <c r="G13483" t="s">
        <v>29380</v>
      </c>
      <c r="H13483" t="s">
        <v>11048</v>
      </c>
      <c r="I13483" t="s">
        <v>29408</v>
      </c>
      <c r="J13483" t="s">
        <v>38022</v>
      </c>
      <c r="K13483" t="s">
        <v>38487</v>
      </c>
      <c r="M13483" t="s">
        <v>41543</v>
      </c>
      <c r="N13483" t="s">
        <v>42669</v>
      </c>
      <c r="O13483" t="s">
        <v>42670</v>
      </c>
      <c r="P13483">
        <v>0</v>
      </c>
      <c r="Q13483">
        <v>1</v>
      </c>
      <c r="R13483" t="s">
        <v>42693</v>
      </c>
      <c r="S13483" t="s">
        <v>43856</v>
      </c>
      <c r="T13483" t="s">
        <v>44394</v>
      </c>
      <c r="U13483" t="s">
        <v>51607</v>
      </c>
      <c r="W13483" t="s">
        <v>41543</v>
      </c>
      <c r="X13483" t="s">
        <v>42700</v>
      </c>
    </row>
    <row r="13484" spans="1:24">
      <c r="A13484">
        <f>HYPERLINK("https://www.philgeps.gov.ph/GEPSNONPILOT/Tender/SplashBidNoticeAbstractUI.aspx?menuIndex=3&amp;refID=7137864&amp;Result=3","7137864")</f>
        <v>0</v>
      </c>
      <c r="B13484" t="s">
        <v>2576</v>
      </c>
      <c r="C13484" t="s">
        <v>16437</v>
      </c>
      <c r="D13484" t="s">
        <v>17169</v>
      </c>
      <c r="E13484" t="s">
        <v>28727</v>
      </c>
      <c r="F13484" t="s">
        <v>29372</v>
      </c>
      <c r="G13484" t="s">
        <v>29380</v>
      </c>
      <c r="H13484" t="s">
        <v>11048</v>
      </c>
      <c r="I13484" t="s">
        <v>29408</v>
      </c>
      <c r="J13484" t="s">
        <v>38023</v>
      </c>
      <c r="K13484" t="s">
        <v>38487</v>
      </c>
      <c r="M13484" t="s">
        <v>41543</v>
      </c>
      <c r="N13484" t="s">
        <v>42669</v>
      </c>
      <c r="O13484" t="s">
        <v>42670</v>
      </c>
      <c r="P13484">
        <v>0</v>
      </c>
      <c r="Q13484">
        <v>2</v>
      </c>
      <c r="R13484" t="s">
        <v>42693</v>
      </c>
      <c r="S13484" t="s">
        <v>43856</v>
      </c>
      <c r="T13484" t="s">
        <v>44394</v>
      </c>
      <c r="U13484" t="s">
        <v>51607</v>
      </c>
      <c r="W13484" t="s">
        <v>41543</v>
      </c>
      <c r="X13484" t="s">
        <v>42700</v>
      </c>
    </row>
    <row r="13485" spans="1:24">
      <c r="A13485">
        <f>HYPERLINK("https://www.philgeps.gov.ph/GEPSNONPILOT/Tender/SplashBidNoticeAbstractUI.aspx?menuIndex=3&amp;refID=7139779&amp;Result=3","7139779")</f>
        <v>0</v>
      </c>
      <c r="B13485" t="s">
        <v>838</v>
      </c>
      <c r="C13485" t="s">
        <v>16438</v>
      </c>
      <c r="E13485" t="s">
        <v>28728</v>
      </c>
      <c r="F13485" t="s">
        <v>29372</v>
      </c>
      <c r="G13485" t="s">
        <v>29380</v>
      </c>
      <c r="H13485" t="s">
        <v>11048</v>
      </c>
      <c r="I13485" t="s">
        <v>29452</v>
      </c>
      <c r="J13485" t="s">
        <v>30308</v>
      </c>
      <c r="K13485" t="s">
        <v>38487</v>
      </c>
      <c r="M13485" t="s">
        <v>39628</v>
      </c>
      <c r="N13485" t="s">
        <v>42669</v>
      </c>
      <c r="O13485" t="s">
        <v>42670</v>
      </c>
      <c r="P13485">
        <v>0</v>
      </c>
      <c r="Q13485">
        <v>3</v>
      </c>
      <c r="R13485" t="s">
        <v>42693</v>
      </c>
      <c r="S13485" t="s">
        <v>43856</v>
      </c>
      <c r="T13485" t="s">
        <v>44579</v>
      </c>
      <c r="U13485" t="s">
        <v>55752</v>
      </c>
      <c r="W13485" t="s">
        <v>58093</v>
      </c>
      <c r="X13485" t="s">
        <v>42699</v>
      </c>
    </row>
    <row r="13486" spans="1:24">
      <c r="A13486">
        <f>HYPERLINK("https://www.philgeps.gov.ph/GEPSNONPILOT/Tender/SplashBidNoticeAbstractUI.aspx?menuIndex=3&amp;refID=7137836&amp;Result=3","7137836")</f>
        <v>0</v>
      </c>
      <c r="B13486" t="s">
        <v>2576</v>
      </c>
      <c r="C13486" t="s">
        <v>16439</v>
      </c>
      <c r="D13486" t="s">
        <v>17169</v>
      </c>
      <c r="E13486" t="s">
        <v>28729</v>
      </c>
      <c r="F13486" t="s">
        <v>29372</v>
      </c>
      <c r="G13486" t="s">
        <v>29380</v>
      </c>
      <c r="H13486" t="s">
        <v>11048</v>
      </c>
      <c r="I13486" t="s">
        <v>29408</v>
      </c>
      <c r="J13486" t="s">
        <v>38024</v>
      </c>
      <c r="K13486" t="s">
        <v>38487</v>
      </c>
      <c r="M13486" t="s">
        <v>41543</v>
      </c>
      <c r="N13486" t="s">
        <v>42669</v>
      </c>
      <c r="O13486" t="s">
        <v>42670</v>
      </c>
      <c r="P13486">
        <v>0</v>
      </c>
      <c r="Q13486">
        <v>3</v>
      </c>
      <c r="R13486" t="s">
        <v>42693</v>
      </c>
      <c r="S13486" t="s">
        <v>43856</v>
      </c>
      <c r="T13486" t="s">
        <v>44394</v>
      </c>
      <c r="U13486" t="s">
        <v>51607</v>
      </c>
      <c r="W13486" t="s">
        <v>41543</v>
      </c>
      <c r="X13486" t="s">
        <v>42700</v>
      </c>
    </row>
    <row r="13487" spans="1:24">
      <c r="A13487">
        <f>HYPERLINK("https://www.philgeps.gov.ph/GEPSNONPILOT/Tender/SplashBidNoticeAbstractUI.aspx?menuIndex=3&amp;refID=7137742&amp;Result=3","7137742")</f>
        <v>0</v>
      </c>
      <c r="B13487" t="s">
        <v>2576</v>
      </c>
      <c r="C13487" t="s">
        <v>16440</v>
      </c>
      <c r="D13487" t="s">
        <v>17169</v>
      </c>
      <c r="E13487" t="s">
        <v>28730</v>
      </c>
      <c r="F13487" t="s">
        <v>29372</v>
      </c>
      <c r="G13487" t="s">
        <v>29380</v>
      </c>
      <c r="H13487" t="s">
        <v>11048</v>
      </c>
      <c r="I13487" t="s">
        <v>29408</v>
      </c>
      <c r="J13487" t="s">
        <v>38025</v>
      </c>
      <c r="K13487" t="s">
        <v>38487</v>
      </c>
      <c r="M13487" t="s">
        <v>41543</v>
      </c>
      <c r="N13487" t="s">
        <v>42669</v>
      </c>
      <c r="O13487" t="s">
        <v>42670</v>
      </c>
      <c r="P13487">
        <v>0</v>
      </c>
      <c r="Q13487">
        <v>1</v>
      </c>
      <c r="R13487" t="s">
        <v>42693</v>
      </c>
      <c r="S13487" t="s">
        <v>43856</v>
      </c>
      <c r="T13487" t="s">
        <v>44394</v>
      </c>
      <c r="U13487" t="s">
        <v>51607</v>
      </c>
      <c r="W13487" t="s">
        <v>41543</v>
      </c>
      <c r="X13487" t="s">
        <v>42700</v>
      </c>
    </row>
    <row r="13488" spans="1:24">
      <c r="A13488">
        <f>HYPERLINK("https://www.philgeps.gov.ph/GEPSNONPILOT/Tender/SplashBidNoticeAbstractUI.aspx?menuIndex=3&amp;refID=7151966&amp;Result=3","7151966")</f>
        <v>0</v>
      </c>
      <c r="B13488" t="s">
        <v>3459</v>
      </c>
      <c r="C13488" t="s">
        <v>16441</v>
      </c>
      <c r="D13488" t="s">
        <v>17141</v>
      </c>
      <c r="E13488" t="s">
        <v>23912</v>
      </c>
      <c r="F13488" t="s">
        <v>29372</v>
      </c>
      <c r="G13488" t="s">
        <v>29380</v>
      </c>
      <c r="H13488" t="s">
        <v>11048</v>
      </c>
      <c r="I13488" t="s">
        <v>3670</v>
      </c>
      <c r="J13488" t="s">
        <v>38026</v>
      </c>
      <c r="K13488" t="s">
        <v>38528</v>
      </c>
      <c r="M13488" t="s">
        <v>42577</v>
      </c>
      <c r="N13488" t="s">
        <v>42669</v>
      </c>
      <c r="O13488" t="s">
        <v>42670</v>
      </c>
      <c r="P13488">
        <v>0</v>
      </c>
      <c r="Q13488">
        <v>1</v>
      </c>
      <c r="R13488" t="s">
        <v>42692</v>
      </c>
      <c r="S13488" t="s">
        <v>43798</v>
      </c>
      <c r="T13488" t="s">
        <v>44432</v>
      </c>
      <c r="U13488" t="s">
        <v>55719</v>
      </c>
      <c r="W13488" t="s">
        <v>42577</v>
      </c>
      <c r="X13488" t="s">
        <v>42693</v>
      </c>
    </row>
    <row r="13489" spans="1:24">
      <c r="A13489">
        <f>HYPERLINK("https://www.philgeps.gov.ph/GEPSNONPILOT/Tender/SplashBidNoticeAbstractUI.aspx?menuIndex=3&amp;refID=7136829&amp;Result=3","7136829")</f>
        <v>0</v>
      </c>
      <c r="B13489" t="s">
        <v>2576</v>
      </c>
      <c r="C13489" t="s">
        <v>16442</v>
      </c>
      <c r="D13489" t="s">
        <v>17169</v>
      </c>
      <c r="E13489" t="s">
        <v>28731</v>
      </c>
      <c r="F13489" t="s">
        <v>29372</v>
      </c>
      <c r="G13489" t="s">
        <v>29380</v>
      </c>
      <c r="H13489" t="s">
        <v>11048</v>
      </c>
      <c r="I13489" t="s">
        <v>29408</v>
      </c>
      <c r="J13489" t="s">
        <v>38027</v>
      </c>
      <c r="K13489" t="s">
        <v>38485</v>
      </c>
      <c r="M13489" t="s">
        <v>41543</v>
      </c>
      <c r="N13489" t="s">
        <v>42669</v>
      </c>
      <c r="O13489" t="s">
        <v>42670</v>
      </c>
      <c r="P13489">
        <v>0</v>
      </c>
      <c r="Q13489">
        <v>1</v>
      </c>
      <c r="R13489" t="s">
        <v>42693</v>
      </c>
      <c r="S13489" t="s">
        <v>43856</v>
      </c>
      <c r="T13489" t="s">
        <v>44394</v>
      </c>
      <c r="U13489" t="s">
        <v>51607</v>
      </c>
      <c r="W13489" t="s">
        <v>41543</v>
      </c>
      <c r="X13489" t="s">
        <v>42700</v>
      </c>
    </row>
    <row r="13490" spans="1:24">
      <c r="A13490">
        <f>HYPERLINK("https://www.philgeps.gov.ph/GEPSNONPILOT/Tender/SplashBidNoticeAbstractUI.aspx?menuIndex=3&amp;refID=7152172&amp;Result=3","7152172")</f>
        <v>0</v>
      </c>
      <c r="B13490" t="s">
        <v>2374</v>
      </c>
      <c r="C13490" t="s">
        <v>16443</v>
      </c>
      <c r="D13490" t="s">
        <v>17163</v>
      </c>
      <c r="E13490" t="s">
        <v>28732</v>
      </c>
      <c r="F13490" t="s">
        <v>29372</v>
      </c>
      <c r="G13490" t="s">
        <v>29380</v>
      </c>
      <c r="H13490" t="s">
        <v>11048</v>
      </c>
      <c r="I13490" t="s">
        <v>29426</v>
      </c>
      <c r="J13490" t="s">
        <v>38028</v>
      </c>
      <c r="K13490" t="s">
        <v>38496</v>
      </c>
      <c r="M13490" t="s">
        <v>42580</v>
      </c>
      <c r="N13490" t="s">
        <v>42669</v>
      </c>
      <c r="O13490" t="s">
        <v>42670</v>
      </c>
      <c r="Q13490">
        <v>11</v>
      </c>
      <c r="R13490" t="s">
        <v>42692</v>
      </c>
      <c r="S13490" t="s">
        <v>43857</v>
      </c>
      <c r="T13490" t="s">
        <v>44375</v>
      </c>
      <c r="U13490" t="s">
        <v>55753</v>
      </c>
      <c r="V13490" t="s">
        <v>57912</v>
      </c>
      <c r="W13490" t="s">
        <v>58085</v>
      </c>
      <c r="X13490" t="s">
        <v>42693</v>
      </c>
    </row>
    <row r="13491" spans="1:24">
      <c r="A13491">
        <f>HYPERLINK("https://www.philgeps.gov.ph/GEPSNONPILOT/Tender/SplashBidNoticeAbstractUI.aspx?menuIndex=3&amp;refID=7139727&amp;Result=3","7139727")</f>
        <v>0</v>
      </c>
      <c r="B13491" t="s">
        <v>3462</v>
      </c>
      <c r="C13491" t="s">
        <v>16444</v>
      </c>
      <c r="D13491" t="s">
        <v>17212</v>
      </c>
      <c r="E13491" t="s">
        <v>28733</v>
      </c>
      <c r="F13491" t="s">
        <v>29372</v>
      </c>
      <c r="G13491" t="s">
        <v>29380</v>
      </c>
      <c r="H13491" t="s">
        <v>29389</v>
      </c>
      <c r="I13491" t="s">
        <v>10408</v>
      </c>
      <c r="J13491" t="s">
        <v>38029</v>
      </c>
      <c r="K13491" t="s">
        <v>38757</v>
      </c>
      <c r="M13491" t="s">
        <v>42581</v>
      </c>
      <c r="N13491" t="s">
        <v>42669</v>
      </c>
      <c r="O13491" t="s">
        <v>42670</v>
      </c>
      <c r="P13491">
        <v>0</v>
      </c>
      <c r="Q13491">
        <v>8</v>
      </c>
      <c r="R13491" t="s">
        <v>42693</v>
      </c>
      <c r="S13491" t="s">
        <v>43856</v>
      </c>
      <c r="T13491" t="s">
        <v>44548</v>
      </c>
      <c r="U13491" t="s">
        <v>55754</v>
      </c>
      <c r="V13491" t="s">
        <v>57913</v>
      </c>
      <c r="W13491" t="s">
        <v>42581</v>
      </c>
      <c r="X13491" t="s">
        <v>42699</v>
      </c>
    </row>
    <row r="13492" spans="1:24">
      <c r="A13492">
        <f>HYPERLINK("https://www.philgeps.gov.ph/GEPSNONPILOT/Tender/SplashBidNoticeAbstractUI.aspx?menuIndex=3&amp;refID=7133464&amp;Result=3","7133464")</f>
        <v>0</v>
      </c>
      <c r="B13492" t="s">
        <v>40</v>
      </c>
      <c r="C13492" t="s">
        <v>16445</v>
      </c>
      <c r="D13492" t="s">
        <v>17151</v>
      </c>
      <c r="E13492" t="s">
        <v>28734</v>
      </c>
      <c r="F13492" t="s">
        <v>29372</v>
      </c>
      <c r="G13492" t="s">
        <v>29380</v>
      </c>
      <c r="H13492" t="s">
        <v>11048</v>
      </c>
      <c r="I13492" t="s">
        <v>9469</v>
      </c>
      <c r="J13492" t="s">
        <v>29788</v>
      </c>
      <c r="K13492" t="s">
        <v>38487</v>
      </c>
      <c r="M13492" t="s">
        <v>38793</v>
      </c>
      <c r="N13492" t="s">
        <v>42669</v>
      </c>
      <c r="O13492" t="s">
        <v>42670</v>
      </c>
      <c r="Q13492">
        <v>5</v>
      </c>
      <c r="R13492" t="s">
        <v>42693</v>
      </c>
      <c r="S13492" t="s">
        <v>43858</v>
      </c>
      <c r="T13492" t="s">
        <v>44548</v>
      </c>
      <c r="U13492" t="s">
        <v>55755</v>
      </c>
      <c r="V13492" t="s">
        <v>56517</v>
      </c>
      <c r="W13492" t="s">
        <v>38793</v>
      </c>
      <c r="X13492" t="s">
        <v>42702</v>
      </c>
    </row>
    <row r="13493" spans="1:24">
      <c r="A13493">
        <f>HYPERLINK("https://www.philgeps.gov.ph/GEPSNONPILOT/Tender/SplashBidNoticeAbstractUI.aspx?menuIndex=3&amp;refID=7141811&amp;Result=3","7141811")</f>
        <v>0</v>
      </c>
      <c r="B13493" t="s">
        <v>898</v>
      </c>
      <c r="C13493" t="s">
        <v>16446</v>
      </c>
      <c r="D13493" t="s">
        <v>17142</v>
      </c>
      <c r="E13493" t="s">
        <v>28735</v>
      </c>
      <c r="F13493" t="s">
        <v>29372</v>
      </c>
      <c r="G13493" t="s">
        <v>29380</v>
      </c>
      <c r="H13493" t="s">
        <v>11048</v>
      </c>
      <c r="I13493" t="s">
        <v>4486</v>
      </c>
      <c r="J13493" t="s">
        <v>38030</v>
      </c>
      <c r="K13493" t="s">
        <v>38490</v>
      </c>
      <c r="M13493" t="s">
        <v>42465</v>
      </c>
      <c r="N13493" t="s">
        <v>42669</v>
      </c>
      <c r="O13493" t="s">
        <v>42670</v>
      </c>
      <c r="Q13493">
        <v>4</v>
      </c>
      <c r="R13493" t="s">
        <v>42693</v>
      </c>
      <c r="S13493" t="s">
        <v>43859</v>
      </c>
      <c r="T13493" t="s">
        <v>44354</v>
      </c>
      <c r="U13493" t="s">
        <v>55756</v>
      </c>
      <c r="V13493" t="s">
        <v>57116</v>
      </c>
      <c r="W13493" t="s">
        <v>42465</v>
      </c>
      <c r="X13493" t="s">
        <v>42699</v>
      </c>
    </row>
    <row r="13494" spans="1:24">
      <c r="A13494">
        <f>HYPERLINK("https://www.philgeps.gov.ph/GEPSNONPILOT/Tender/SplashBidNoticeAbstractUI.aspx?menuIndex=3&amp;refID=7152169&amp;Result=3","7152169")</f>
        <v>0</v>
      </c>
      <c r="B13494" t="s">
        <v>3417</v>
      </c>
      <c r="C13494" t="s">
        <v>16447</v>
      </c>
      <c r="D13494" t="s">
        <v>17188</v>
      </c>
      <c r="E13494" t="s">
        <v>28736</v>
      </c>
      <c r="F13494" t="s">
        <v>29372</v>
      </c>
      <c r="G13494" t="s">
        <v>29380</v>
      </c>
      <c r="H13494" t="s">
        <v>11048</v>
      </c>
      <c r="I13494" t="s">
        <v>29415</v>
      </c>
      <c r="J13494" t="s">
        <v>38031</v>
      </c>
      <c r="K13494" t="s">
        <v>38496</v>
      </c>
      <c r="M13494" t="s">
        <v>42516</v>
      </c>
      <c r="N13494" t="s">
        <v>42669</v>
      </c>
      <c r="O13494" t="s">
        <v>42670</v>
      </c>
      <c r="Q13494">
        <v>6</v>
      </c>
      <c r="R13494" t="s">
        <v>42692</v>
      </c>
      <c r="S13494" t="s">
        <v>43860</v>
      </c>
      <c r="T13494" t="s">
        <v>44580</v>
      </c>
      <c r="U13494" t="s">
        <v>55757</v>
      </c>
      <c r="W13494" t="s">
        <v>42516</v>
      </c>
      <c r="X13494" t="s">
        <v>42693</v>
      </c>
    </row>
    <row r="13495" spans="1:24">
      <c r="A13495">
        <f>HYPERLINK("https://www.philgeps.gov.ph/GEPSNONPILOT/Tender/SplashBidNoticeAbstractUI.aspx?menuIndex=3&amp;refID=7152187&amp;Result=3","7152187")</f>
        <v>0</v>
      </c>
      <c r="B13495" t="s">
        <v>3417</v>
      </c>
      <c r="C13495" t="s">
        <v>16448</v>
      </c>
      <c r="D13495" t="s">
        <v>17188</v>
      </c>
      <c r="E13495" t="s">
        <v>28737</v>
      </c>
      <c r="F13495" t="s">
        <v>29372</v>
      </c>
      <c r="G13495" t="s">
        <v>29380</v>
      </c>
      <c r="H13495" t="s">
        <v>11048</v>
      </c>
      <c r="I13495" t="s">
        <v>8794</v>
      </c>
      <c r="J13495" t="s">
        <v>38032</v>
      </c>
      <c r="K13495" t="s">
        <v>38580</v>
      </c>
      <c r="M13495" t="s">
        <v>42516</v>
      </c>
      <c r="N13495" t="s">
        <v>42669</v>
      </c>
      <c r="O13495" t="s">
        <v>42670</v>
      </c>
      <c r="P13495">
        <v>0</v>
      </c>
      <c r="Q13495">
        <v>2</v>
      </c>
      <c r="R13495" t="s">
        <v>42692</v>
      </c>
      <c r="S13495" t="s">
        <v>43798</v>
      </c>
      <c r="T13495" t="s">
        <v>44580</v>
      </c>
      <c r="U13495" t="s">
        <v>55758</v>
      </c>
      <c r="W13495" t="s">
        <v>42516</v>
      </c>
      <c r="X13495" t="s">
        <v>42693</v>
      </c>
    </row>
    <row r="13496" spans="1:24">
      <c r="A13496">
        <f>HYPERLINK("https://www.philgeps.gov.ph/GEPSNONPILOT/Tender/SplashBidNoticeAbstractUI.aspx?menuIndex=3&amp;refID=7139519&amp;Result=3","7139519")</f>
        <v>0</v>
      </c>
      <c r="B13496" t="s">
        <v>898</v>
      </c>
      <c r="C13496" t="s">
        <v>16449</v>
      </c>
      <c r="D13496" t="s">
        <v>17142</v>
      </c>
      <c r="E13496" t="s">
        <v>28738</v>
      </c>
      <c r="F13496" t="s">
        <v>29372</v>
      </c>
      <c r="G13496" t="s">
        <v>29380</v>
      </c>
      <c r="H13496" t="s">
        <v>11048</v>
      </c>
      <c r="I13496" t="s">
        <v>3695</v>
      </c>
      <c r="J13496" t="s">
        <v>38033</v>
      </c>
      <c r="K13496" t="s">
        <v>38490</v>
      </c>
      <c r="M13496" t="s">
        <v>42465</v>
      </c>
      <c r="N13496" t="s">
        <v>42669</v>
      </c>
      <c r="O13496" t="s">
        <v>42670</v>
      </c>
      <c r="Q13496">
        <v>11</v>
      </c>
      <c r="R13496" t="s">
        <v>42693</v>
      </c>
      <c r="S13496" t="s">
        <v>43861</v>
      </c>
      <c r="T13496" t="s">
        <v>44354</v>
      </c>
      <c r="U13496" t="s">
        <v>55759</v>
      </c>
      <c r="V13496" t="s">
        <v>57116</v>
      </c>
      <c r="W13496" t="s">
        <v>42465</v>
      </c>
      <c r="X13496" t="s">
        <v>42699</v>
      </c>
    </row>
    <row r="13497" spans="1:24">
      <c r="A13497">
        <f>HYPERLINK("https://www.philgeps.gov.ph/GEPSNONPILOT/Tender/SplashBidNoticeAbstractUI.aspx?menuIndex=3&amp;refID=7152023&amp;Result=3","7152023")</f>
        <v>0</v>
      </c>
      <c r="B13497" t="s">
        <v>173</v>
      </c>
      <c r="C13497" t="s">
        <v>16450</v>
      </c>
      <c r="E13497" t="s">
        <v>28739</v>
      </c>
      <c r="F13497" t="s">
        <v>29372</v>
      </c>
      <c r="G13497" t="s">
        <v>29380</v>
      </c>
      <c r="H13497" t="s">
        <v>11048</v>
      </c>
      <c r="I13497" t="s">
        <v>29396</v>
      </c>
      <c r="J13497" t="s">
        <v>38034</v>
      </c>
      <c r="K13497" t="s">
        <v>38490</v>
      </c>
      <c r="M13497" t="s">
        <v>42582</v>
      </c>
      <c r="N13497" t="s">
        <v>42669</v>
      </c>
      <c r="O13497" t="s">
        <v>42670</v>
      </c>
      <c r="Q13497">
        <v>1</v>
      </c>
      <c r="R13497" t="s">
        <v>42692</v>
      </c>
      <c r="S13497" t="s">
        <v>43862</v>
      </c>
      <c r="T13497" t="s">
        <v>44417</v>
      </c>
      <c r="U13497" t="s">
        <v>55760</v>
      </c>
      <c r="W13497" t="s">
        <v>42582</v>
      </c>
      <c r="X13497" t="s">
        <v>42693</v>
      </c>
    </row>
    <row r="13498" spans="1:24">
      <c r="A13498">
        <f>HYPERLINK("https://www.philgeps.gov.ph/GEPSNONPILOT/Tender/SplashBidNoticeAbstractUI.aspx?menuIndex=3&amp;refID=7147323&amp;Result=3","7147323")</f>
        <v>0</v>
      </c>
      <c r="B13498" t="s">
        <v>3462</v>
      </c>
      <c r="C13498" t="s">
        <v>16451</v>
      </c>
      <c r="D13498" t="s">
        <v>17212</v>
      </c>
      <c r="E13498" t="s">
        <v>28740</v>
      </c>
      <c r="F13498" t="s">
        <v>29372</v>
      </c>
      <c r="G13498" t="s">
        <v>29381</v>
      </c>
      <c r="H13498" t="s">
        <v>29389</v>
      </c>
      <c r="I13498" t="s">
        <v>10408</v>
      </c>
      <c r="J13498" t="s">
        <v>38035</v>
      </c>
      <c r="K13498" t="s">
        <v>38533</v>
      </c>
      <c r="M13498" t="s">
        <v>42581</v>
      </c>
      <c r="N13498" t="s">
        <v>42669</v>
      </c>
      <c r="O13498" t="s">
        <v>42670</v>
      </c>
      <c r="P13498">
        <v>0</v>
      </c>
      <c r="Q13498">
        <v>14</v>
      </c>
      <c r="R13498" t="s">
        <v>42693</v>
      </c>
      <c r="S13498" t="s">
        <v>43856</v>
      </c>
      <c r="T13498" t="s">
        <v>44548</v>
      </c>
      <c r="U13498" t="s">
        <v>55761</v>
      </c>
      <c r="V13498" t="s">
        <v>57914</v>
      </c>
      <c r="W13498" t="s">
        <v>42581</v>
      </c>
      <c r="X13498" t="s">
        <v>42697</v>
      </c>
    </row>
    <row r="13499" spans="1:24">
      <c r="A13499">
        <f>HYPERLINK("https://www.philgeps.gov.ph/GEPSNONPILOT/Tender/SplashBidNoticeAbstractUI.aspx?menuIndex=3&amp;refID=7148138&amp;Result=3","7148138")</f>
        <v>0</v>
      </c>
      <c r="B13499" t="s">
        <v>589</v>
      </c>
      <c r="C13499" t="s">
        <v>16452</v>
      </c>
      <c r="D13499" t="s">
        <v>17168</v>
      </c>
      <c r="E13499" t="s">
        <v>28741</v>
      </c>
      <c r="F13499" t="s">
        <v>29372</v>
      </c>
      <c r="G13499" t="s">
        <v>29380</v>
      </c>
      <c r="H13499" t="s">
        <v>11048</v>
      </c>
      <c r="I13499" t="s">
        <v>29393</v>
      </c>
      <c r="J13499" t="s">
        <v>38036</v>
      </c>
      <c r="K13499" t="s">
        <v>38538</v>
      </c>
      <c r="M13499" t="s">
        <v>39485</v>
      </c>
      <c r="N13499" t="s">
        <v>42669</v>
      </c>
      <c r="O13499" t="s">
        <v>42670</v>
      </c>
      <c r="P13499">
        <v>0</v>
      </c>
      <c r="Q13499">
        <v>0</v>
      </c>
      <c r="R13499" t="s">
        <v>42693</v>
      </c>
      <c r="S13499" t="s">
        <v>43856</v>
      </c>
      <c r="T13499" t="s">
        <v>44427</v>
      </c>
      <c r="U13499" t="s">
        <v>55762</v>
      </c>
      <c r="V13499" t="s">
        <v>56701</v>
      </c>
      <c r="W13499" t="s">
        <v>39485</v>
      </c>
      <c r="X13499" t="s">
        <v>42694</v>
      </c>
    </row>
    <row r="13500" spans="1:24">
      <c r="A13500">
        <f>HYPERLINK("https://www.philgeps.gov.ph/GEPSNONPILOT/Tender/SplashBidNoticeAbstractUI.aspx?menuIndex=3&amp;refID=7148468&amp;Result=3","7148468")</f>
        <v>0</v>
      </c>
      <c r="B13500" t="s">
        <v>983</v>
      </c>
      <c r="C13500" t="s">
        <v>16453</v>
      </c>
      <c r="D13500" t="s">
        <v>17189</v>
      </c>
      <c r="E13500" t="s">
        <v>28742</v>
      </c>
      <c r="F13500" t="s">
        <v>29372</v>
      </c>
      <c r="G13500" t="s">
        <v>29380</v>
      </c>
      <c r="H13500" t="s">
        <v>11048</v>
      </c>
      <c r="I13500" t="s">
        <v>8614</v>
      </c>
      <c r="J13500" t="s">
        <v>38037</v>
      </c>
      <c r="K13500" t="s">
        <v>38491</v>
      </c>
      <c r="M13500" t="s">
        <v>39781</v>
      </c>
      <c r="N13500" t="s">
        <v>42669</v>
      </c>
      <c r="O13500" t="s">
        <v>42670</v>
      </c>
      <c r="Q13500">
        <v>12</v>
      </c>
      <c r="R13500" t="s">
        <v>42693</v>
      </c>
      <c r="S13500" t="s">
        <v>43863</v>
      </c>
      <c r="T13500" t="s">
        <v>44854</v>
      </c>
      <c r="U13500" t="s">
        <v>55763</v>
      </c>
      <c r="V13500" t="s">
        <v>57152</v>
      </c>
      <c r="W13500" t="s">
        <v>39781</v>
      </c>
      <c r="X13500" t="s">
        <v>42694</v>
      </c>
    </row>
    <row r="13501" spans="1:24">
      <c r="A13501">
        <f>HYPERLINK("https://www.philgeps.gov.ph/GEPSNONPILOT/Tender/SplashBidNoticeAbstractUI.aspx?menuIndex=3&amp;refID=7145837&amp;Result=3","7145837")</f>
        <v>0</v>
      </c>
      <c r="B13501" t="s">
        <v>3373</v>
      </c>
      <c r="C13501" t="s">
        <v>16454</v>
      </c>
      <c r="D13501" t="s">
        <v>17168</v>
      </c>
      <c r="E13501" t="s">
        <v>28743</v>
      </c>
      <c r="F13501" t="s">
        <v>29372</v>
      </c>
      <c r="G13501" t="s">
        <v>29380</v>
      </c>
      <c r="H13501" t="s">
        <v>11048</v>
      </c>
      <c r="I13501" t="s">
        <v>3839</v>
      </c>
      <c r="J13501" t="s">
        <v>29823</v>
      </c>
      <c r="K13501" t="s">
        <v>38510</v>
      </c>
      <c r="M13501" t="s">
        <v>42468</v>
      </c>
      <c r="N13501" t="s">
        <v>42669</v>
      </c>
      <c r="O13501" t="s">
        <v>42670</v>
      </c>
      <c r="P13501">
        <v>0</v>
      </c>
      <c r="Q13501">
        <v>5</v>
      </c>
      <c r="R13501" t="s">
        <v>42693</v>
      </c>
      <c r="S13501" t="s">
        <v>43856</v>
      </c>
      <c r="T13501" t="s">
        <v>44855</v>
      </c>
      <c r="U13501" t="s">
        <v>55764</v>
      </c>
      <c r="W13501" t="s">
        <v>58128</v>
      </c>
      <c r="X13501" t="s">
        <v>42697</v>
      </c>
    </row>
    <row r="13502" spans="1:24">
      <c r="A13502">
        <f>HYPERLINK("https://www.philgeps.gov.ph/GEPSNONPILOT/Tender/SplashBidNoticeAbstractUI.aspx?menuIndex=3&amp;refID=7145809&amp;Result=3","7145809")</f>
        <v>0</v>
      </c>
      <c r="B13502" t="s">
        <v>3373</v>
      </c>
      <c r="C13502" t="s">
        <v>16455</v>
      </c>
      <c r="D13502" t="s">
        <v>17168</v>
      </c>
      <c r="E13502" t="s">
        <v>28744</v>
      </c>
      <c r="F13502" t="s">
        <v>29372</v>
      </c>
      <c r="G13502" t="s">
        <v>29380</v>
      </c>
      <c r="H13502" t="s">
        <v>29389</v>
      </c>
      <c r="I13502" t="s">
        <v>10408</v>
      </c>
      <c r="J13502" t="s">
        <v>38038</v>
      </c>
      <c r="K13502" t="s">
        <v>38536</v>
      </c>
      <c r="M13502" t="s">
        <v>42468</v>
      </c>
      <c r="N13502" t="s">
        <v>42669</v>
      </c>
      <c r="O13502" t="s">
        <v>42670</v>
      </c>
      <c r="P13502">
        <v>0</v>
      </c>
      <c r="Q13502">
        <v>0</v>
      </c>
      <c r="R13502" t="s">
        <v>42693</v>
      </c>
      <c r="S13502" t="s">
        <v>43856</v>
      </c>
      <c r="T13502" t="s">
        <v>44417</v>
      </c>
      <c r="U13502" t="s">
        <v>55765</v>
      </c>
      <c r="W13502" t="s">
        <v>58128</v>
      </c>
      <c r="X13502" t="s">
        <v>42697</v>
      </c>
    </row>
    <row r="13503" spans="1:24">
      <c r="A13503">
        <f>HYPERLINK("https://www.philgeps.gov.ph/GEPSNONPILOT/Tender/SplashBidNoticeAbstractUI.aspx?menuIndex=3&amp;refID=7148332&amp;Result=3","7148332")</f>
        <v>0</v>
      </c>
      <c r="B13503" t="s">
        <v>983</v>
      </c>
      <c r="C13503" t="s">
        <v>16456</v>
      </c>
      <c r="D13503" t="s">
        <v>17189</v>
      </c>
      <c r="E13503" t="s">
        <v>28745</v>
      </c>
      <c r="F13503" t="s">
        <v>29372</v>
      </c>
      <c r="G13503" t="s">
        <v>29380</v>
      </c>
      <c r="H13503" t="s">
        <v>11048</v>
      </c>
      <c r="I13503" t="s">
        <v>29452</v>
      </c>
      <c r="J13503" t="s">
        <v>30012</v>
      </c>
      <c r="K13503" t="s">
        <v>38522</v>
      </c>
      <c r="M13503" t="s">
        <v>39781</v>
      </c>
      <c r="N13503" t="s">
        <v>42669</v>
      </c>
      <c r="O13503" t="s">
        <v>42670</v>
      </c>
      <c r="Q13503">
        <v>3</v>
      </c>
      <c r="R13503" t="s">
        <v>42693</v>
      </c>
      <c r="S13503" t="s">
        <v>43774</v>
      </c>
      <c r="T13503" t="s">
        <v>44744</v>
      </c>
      <c r="U13503" t="s">
        <v>55766</v>
      </c>
      <c r="V13503" t="s">
        <v>57152</v>
      </c>
      <c r="W13503" t="s">
        <v>39781</v>
      </c>
      <c r="X13503" t="s">
        <v>42694</v>
      </c>
    </row>
    <row r="13504" spans="1:24">
      <c r="A13504">
        <f>HYPERLINK("https://www.philgeps.gov.ph/GEPSNONPILOT/Tender/SplashBidNoticeAbstractUI.aspx?menuIndex=3&amp;refID=7145208&amp;Result=3","7145208")</f>
        <v>0</v>
      </c>
      <c r="B13504" t="s">
        <v>3463</v>
      </c>
      <c r="C13504" t="s">
        <v>16457</v>
      </c>
      <c r="D13504" t="s">
        <v>17144</v>
      </c>
      <c r="E13504" t="s">
        <v>17755</v>
      </c>
      <c r="F13504" t="s">
        <v>29372</v>
      </c>
      <c r="G13504" t="s">
        <v>29380</v>
      </c>
      <c r="H13504" t="s">
        <v>11048</v>
      </c>
      <c r="I13504" t="s">
        <v>4709</v>
      </c>
      <c r="J13504" t="s">
        <v>38039</v>
      </c>
      <c r="K13504" t="s">
        <v>38491</v>
      </c>
      <c r="M13504" t="s">
        <v>42583</v>
      </c>
      <c r="N13504" t="s">
        <v>42669</v>
      </c>
      <c r="O13504" t="s">
        <v>42670</v>
      </c>
      <c r="P13504">
        <v>0</v>
      </c>
      <c r="Q13504">
        <v>0</v>
      </c>
      <c r="R13504" t="s">
        <v>42693</v>
      </c>
      <c r="S13504" t="s">
        <v>43856</v>
      </c>
      <c r="T13504" t="s">
        <v>44583</v>
      </c>
      <c r="U13504" t="s">
        <v>55767</v>
      </c>
      <c r="W13504" t="s">
        <v>42583</v>
      </c>
      <c r="X13504" t="s">
        <v>42697</v>
      </c>
    </row>
    <row r="13505" spans="1:24">
      <c r="A13505">
        <f>HYPERLINK("https://www.philgeps.gov.ph/GEPSNONPILOT/Tender/SplashBidNoticeAbstractUI.aspx?menuIndex=3&amp;refID=7144432&amp;Result=3","7144432")</f>
        <v>0</v>
      </c>
      <c r="B13505" t="s">
        <v>2634</v>
      </c>
      <c r="C13505" t="s">
        <v>16458</v>
      </c>
      <c r="D13505" t="s">
        <v>17141</v>
      </c>
      <c r="E13505" t="s">
        <v>28746</v>
      </c>
      <c r="F13505" t="s">
        <v>29372</v>
      </c>
      <c r="G13505" t="s">
        <v>29380</v>
      </c>
      <c r="H13505" t="s">
        <v>11048</v>
      </c>
      <c r="I13505" t="s">
        <v>8614</v>
      </c>
      <c r="J13505" t="s">
        <v>38040</v>
      </c>
      <c r="K13505" t="s">
        <v>38485</v>
      </c>
      <c r="M13505" t="s">
        <v>41606</v>
      </c>
      <c r="N13505" t="s">
        <v>42669</v>
      </c>
      <c r="O13505" t="s">
        <v>42670</v>
      </c>
      <c r="Q13505">
        <v>16</v>
      </c>
      <c r="R13505" t="s">
        <v>42693</v>
      </c>
      <c r="S13505" t="s">
        <v>43864</v>
      </c>
      <c r="T13505" t="s">
        <v>44493</v>
      </c>
      <c r="U13505" t="s">
        <v>55768</v>
      </c>
      <c r="W13505" t="s">
        <v>41606</v>
      </c>
      <c r="X13505" t="s">
        <v>42698</v>
      </c>
    </row>
    <row r="13506" spans="1:24">
      <c r="A13506">
        <f>HYPERLINK("https://www.philgeps.gov.ph/GEPSNONPILOT/Tender/SplashBidNoticeAbstractUI.aspx?menuIndex=3&amp;refID=7143325&amp;Result=3","7143325")</f>
        <v>0</v>
      </c>
      <c r="B13506" t="s">
        <v>898</v>
      </c>
      <c r="C13506" t="s">
        <v>16459</v>
      </c>
      <c r="D13506" t="s">
        <v>17142</v>
      </c>
      <c r="E13506" t="s">
        <v>28747</v>
      </c>
      <c r="F13506" t="s">
        <v>29372</v>
      </c>
      <c r="G13506" t="s">
        <v>29380</v>
      </c>
      <c r="H13506" t="s">
        <v>11048</v>
      </c>
      <c r="I13506" t="s">
        <v>9469</v>
      </c>
      <c r="J13506" t="s">
        <v>38041</v>
      </c>
      <c r="K13506" t="s">
        <v>38490</v>
      </c>
      <c r="M13506" t="s">
        <v>42465</v>
      </c>
      <c r="N13506" t="s">
        <v>42669</v>
      </c>
      <c r="O13506" t="s">
        <v>42670</v>
      </c>
      <c r="Q13506">
        <v>9</v>
      </c>
      <c r="R13506" t="s">
        <v>42693</v>
      </c>
      <c r="S13506" t="s">
        <v>43865</v>
      </c>
      <c r="T13506" t="s">
        <v>44354</v>
      </c>
      <c r="U13506" t="s">
        <v>55769</v>
      </c>
      <c r="V13506" t="s">
        <v>57116</v>
      </c>
      <c r="W13506" t="s">
        <v>42465</v>
      </c>
      <c r="X13506" t="s">
        <v>42698</v>
      </c>
    </row>
    <row r="13507" spans="1:24">
      <c r="A13507">
        <f>HYPERLINK("https://www.philgeps.gov.ph/GEPSNONPILOT/Tender/SplashBidNoticeAbstractUI.aspx?menuIndex=3&amp;refID=7142857&amp;Result=3","7142857")</f>
        <v>0</v>
      </c>
      <c r="B13507" t="s">
        <v>712</v>
      </c>
      <c r="C13507" t="s">
        <v>16460</v>
      </c>
      <c r="D13507" t="s">
        <v>17175</v>
      </c>
      <c r="E13507" t="s">
        <v>28748</v>
      </c>
      <c r="F13507" t="s">
        <v>29372</v>
      </c>
      <c r="G13507" t="s">
        <v>29380</v>
      </c>
      <c r="H13507" t="s">
        <v>11048</v>
      </c>
      <c r="I13507" t="s">
        <v>4709</v>
      </c>
      <c r="J13507" t="s">
        <v>38042</v>
      </c>
      <c r="K13507" t="s">
        <v>38495</v>
      </c>
      <c r="M13507" t="s">
        <v>39491</v>
      </c>
      <c r="N13507" t="s">
        <v>42669</v>
      </c>
      <c r="O13507" t="s">
        <v>42670</v>
      </c>
      <c r="P13507">
        <v>0</v>
      </c>
      <c r="Q13507">
        <v>2</v>
      </c>
      <c r="R13507" t="s">
        <v>42693</v>
      </c>
      <c r="S13507" t="s">
        <v>43856</v>
      </c>
      <c r="T13507" t="s">
        <v>44488</v>
      </c>
      <c r="U13507" t="s">
        <v>55770</v>
      </c>
      <c r="V13507" t="s">
        <v>56538</v>
      </c>
      <c r="W13507" t="s">
        <v>39491</v>
      </c>
      <c r="X13507" t="s">
        <v>42698</v>
      </c>
    </row>
    <row r="13508" spans="1:24">
      <c r="A13508">
        <f>HYPERLINK("https://www.philgeps.gov.ph/GEPSNONPILOT/Tender/SplashBidNoticeAbstractUI.aspx?menuIndex=3&amp;refID=7148165&amp;Result=3","7148165")</f>
        <v>0</v>
      </c>
      <c r="B13508" t="s">
        <v>3464</v>
      </c>
      <c r="C13508" t="s">
        <v>16461</v>
      </c>
      <c r="D13508" t="s">
        <v>17165</v>
      </c>
      <c r="E13508" t="s">
        <v>28749</v>
      </c>
      <c r="F13508" t="s">
        <v>29372</v>
      </c>
      <c r="G13508" t="s">
        <v>29380</v>
      </c>
      <c r="H13508" t="s">
        <v>29389</v>
      </c>
      <c r="I13508" t="s">
        <v>10408</v>
      </c>
      <c r="J13508" t="s">
        <v>38043</v>
      </c>
      <c r="K13508" t="s">
        <v>38522</v>
      </c>
      <c r="M13508" t="s">
        <v>42584</v>
      </c>
      <c r="N13508" t="s">
        <v>42669</v>
      </c>
      <c r="O13508" t="s">
        <v>42670</v>
      </c>
      <c r="Q13508">
        <v>0</v>
      </c>
      <c r="R13508" t="s">
        <v>42693</v>
      </c>
      <c r="S13508" t="s">
        <v>43866</v>
      </c>
      <c r="T13508" t="s">
        <v>44504</v>
      </c>
      <c r="U13508" t="s">
        <v>55771</v>
      </c>
      <c r="W13508" t="s">
        <v>42584</v>
      </c>
      <c r="X13508" t="s">
        <v>42694</v>
      </c>
    </row>
    <row r="13509" spans="1:24">
      <c r="A13509">
        <f>HYPERLINK("https://www.philgeps.gov.ph/GEPSNONPILOT/Tender/SplashBidNoticeAbstractUI.aspx?menuIndex=3&amp;refID=7149003&amp;Result=3","7149003")</f>
        <v>0</v>
      </c>
      <c r="B13509" t="s">
        <v>1966</v>
      </c>
      <c r="C13509" t="s">
        <v>16462</v>
      </c>
      <c r="D13509" t="s">
        <v>17169</v>
      </c>
      <c r="E13509" t="s">
        <v>28750</v>
      </c>
      <c r="F13509" t="s">
        <v>29372</v>
      </c>
      <c r="G13509" t="s">
        <v>29380</v>
      </c>
      <c r="H13509" t="s">
        <v>11048</v>
      </c>
      <c r="I13509" t="s">
        <v>8614</v>
      </c>
      <c r="J13509" t="s">
        <v>38044</v>
      </c>
      <c r="K13509" t="s">
        <v>38487</v>
      </c>
      <c r="M13509" t="s">
        <v>40851</v>
      </c>
      <c r="N13509" t="s">
        <v>42669</v>
      </c>
      <c r="O13509" t="s">
        <v>42670</v>
      </c>
      <c r="Q13509">
        <v>21</v>
      </c>
      <c r="R13509" t="s">
        <v>42693</v>
      </c>
      <c r="S13509" t="s">
        <v>43867</v>
      </c>
      <c r="T13509" t="s">
        <v>44444</v>
      </c>
      <c r="U13509" t="s">
        <v>55772</v>
      </c>
      <c r="W13509" t="s">
        <v>40851</v>
      </c>
      <c r="X13509" t="s">
        <v>42696</v>
      </c>
    </row>
    <row r="13510" spans="1:24">
      <c r="A13510">
        <f>HYPERLINK("https://www.philgeps.gov.ph/GEPSNONPILOT/Tender/SplashBidNoticeAbstractUI.aspx?menuIndex=3&amp;refID=7149144&amp;Result=3","7149144")</f>
        <v>0</v>
      </c>
      <c r="B13510" t="s">
        <v>1625</v>
      </c>
      <c r="C13510" t="s">
        <v>16463</v>
      </c>
      <c r="D13510" t="s">
        <v>17199</v>
      </c>
      <c r="E13510" t="s">
        <v>20938</v>
      </c>
      <c r="F13510" t="s">
        <v>29372</v>
      </c>
      <c r="G13510" t="s">
        <v>29380</v>
      </c>
      <c r="H13510" t="s">
        <v>29389</v>
      </c>
      <c r="I13510" t="s">
        <v>10408</v>
      </c>
      <c r="J13510" t="s">
        <v>38045</v>
      </c>
      <c r="K13510" t="s">
        <v>38490</v>
      </c>
      <c r="M13510" t="s">
        <v>40479</v>
      </c>
      <c r="N13510" t="s">
        <v>42669</v>
      </c>
      <c r="O13510" t="s">
        <v>42670</v>
      </c>
      <c r="Q13510">
        <v>0</v>
      </c>
      <c r="R13510" t="s">
        <v>42693</v>
      </c>
      <c r="S13510" t="s">
        <v>43868</v>
      </c>
      <c r="T13510" t="s">
        <v>44548</v>
      </c>
      <c r="U13510" t="s">
        <v>55773</v>
      </c>
      <c r="W13510" t="s">
        <v>40479</v>
      </c>
      <c r="X13510" t="s">
        <v>42696</v>
      </c>
    </row>
    <row r="13511" spans="1:24">
      <c r="A13511">
        <f>HYPERLINK("https://www.philgeps.gov.ph/GEPSNONPILOT/Tender/SplashBidNoticeAbstractUI.aspx?menuIndex=3&amp;refID=7149050&amp;Result=3","7149050")</f>
        <v>0</v>
      </c>
      <c r="B13511" t="s">
        <v>1138</v>
      </c>
      <c r="C13511" t="s">
        <v>16464</v>
      </c>
      <c r="D13511" t="s">
        <v>17141</v>
      </c>
      <c r="E13511" t="s">
        <v>19628</v>
      </c>
      <c r="F13511" t="s">
        <v>29372</v>
      </c>
      <c r="G13511" t="s">
        <v>29380</v>
      </c>
      <c r="H13511" t="s">
        <v>11048</v>
      </c>
      <c r="I13511" t="s">
        <v>3670</v>
      </c>
      <c r="J13511" t="s">
        <v>29555</v>
      </c>
      <c r="K13511" t="s">
        <v>38485</v>
      </c>
      <c r="M13511" t="s">
        <v>39950</v>
      </c>
      <c r="N13511" t="s">
        <v>42669</v>
      </c>
      <c r="O13511" t="s">
        <v>42670</v>
      </c>
      <c r="Q13511">
        <v>1</v>
      </c>
      <c r="R13511" t="s">
        <v>42693</v>
      </c>
      <c r="S13511" t="s">
        <v>43869</v>
      </c>
      <c r="T13511" t="s">
        <v>44387</v>
      </c>
      <c r="U13511" t="s">
        <v>55774</v>
      </c>
      <c r="W13511" t="s">
        <v>39950</v>
      </c>
      <c r="X13511" t="s">
        <v>42696</v>
      </c>
    </row>
    <row r="13512" spans="1:24">
      <c r="A13512">
        <f>HYPERLINK("https://www.philgeps.gov.ph/GEPSNONPILOT/Tender/SplashBidNoticeAbstractUI.aspx?menuIndex=3&amp;refID=7149044&amp;Result=3","7149044")</f>
        <v>0</v>
      </c>
      <c r="B13512" t="s">
        <v>1138</v>
      </c>
      <c r="C13512" t="s">
        <v>16465</v>
      </c>
      <c r="D13512" t="s">
        <v>17141</v>
      </c>
      <c r="E13512" t="s">
        <v>20850</v>
      </c>
      <c r="F13512" t="s">
        <v>29372</v>
      </c>
      <c r="G13512" t="s">
        <v>29380</v>
      </c>
      <c r="H13512" t="s">
        <v>11048</v>
      </c>
      <c r="I13512" t="s">
        <v>3670</v>
      </c>
      <c r="J13512" t="s">
        <v>29604</v>
      </c>
      <c r="K13512" t="s">
        <v>38485</v>
      </c>
      <c r="M13512" t="s">
        <v>39950</v>
      </c>
      <c r="N13512" t="s">
        <v>42669</v>
      </c>
      <c r="O13512" t="s">
        <v>42670</v>
      </c>
      <c r="Q13512">
        <v>2</v>
      </c>
      <c r="R13512" t="s">
        <v>42693</v>
      </c>
      <c r="S13512" t="s">
        <v>43870</v>
      </c>
      <c r="T13512" t="s">
        <v>44387</v>
      </c>
      <c r="U13512" t="s">
        <v>55775</v>
      </c>
      <c r="W13512" t="s">
        <v>39950</v>
      </c>
      <c r="X13512" t="s">
        <v>42696</v>
      </c>
    </row>
    <row r="13513" spans="1:24">
      <c r="A13513">
        <f>HYPERLINK("https://www.philgeps.gov.ph/GEPSNONPILOT/Tender/SplashBidNoticeAbstractUI.aspx?menuIndex=3&amp;refID=7149040&amp;Result=3","7149040")</f>
        <v>0</v>
      </c>
      <c r="B13513" t="s">
        <v>1138</v>
      </c>
      <c r="C13513" t="s">
        <v>16466</v>
      </c>
      <c r="D13513" t="s">
        <v>17141</v>
      </c>
      <c r="E13513" t="s">
        <v>19378</v>
      </c>
      <c r="F13513" t="s">
        <v>29372</v>
      </c>
      <c r="G13513" t="s">
        <v>29380</v>
      </c>
      <c r="H13513" t="s">
        <v>11048</v>
      </c>
      <c r="I13513" t="s">
        <v>3670</v>
      </c>
      <c r="J13513" t="s">
        <v>30161</v>
      </c>
      <c r="K13513" t="s">
        <v>38495</v>
      </c>
      <c r="M13513" t="s">
        <v>39950</v>
      </c>
      <c r="N13513" t="s">
        <v>42669</v>
      </c>
      <c r="O13513" t="s">
        <v>42670</v>
      </c>
      <c r="Q13513">
        <v>1</v>
      </c>
      <c r="R13513" t="s">
        <v>42693</v>
      </c>
      <c r="S13513" t="s">
        <v>43871</v>
      </c>
      <c r="T13513" t="s">
        <v>44387</v>
      </c>
      <c r="U13513" t="s">
        <v>55776</v>
      </c>
      <c r="W13513" t="s">
        <v>39950</v>
      </c>
      <c r="X13513" t="s">
        <v>42696</v>
      </c>
    </row>
    <row r="13514" spans="1:24">
      <c r="A13514">
        <f>HYPERLINK("https://www.philgeps.gov.ph/GEPSNONPILOT/Tender/SplashBidNoticeAbstractUI.aspx?menuIndex=3&amp;refID=7149035&amp;Result=3","7149035")</f>
        <v>0</v>
      </c>
      <c r="B13514" t="s">
        <v>1138</v>
      </c>
      <c r="C13514" t="s">
        <v>16467</v>
      </c>
      <c r="D13514" t="s">
        <v>17141</v>
      </c>
      <c r="E13514" t="s">
        <v>23150</v>
      </c>
      <c r="F13514" t="s">
        <v>29372</v>
      </c>
      <c r="G13514" t="s">
        <v>29380</v>
      </c>
      <c r="H13514" t="s">
        <v>11048</v>
      </c>
      <c r="I13514" t="s">
        <v>3670</v>
      </c>
      <c r="J13514" t="s">
        <v>30032</v>
      </c>
      <c r="K13514" t="s">
        <v>38496</v>
      </c>
      <c r="M13514" t="s">
        <v>39950</v>
      </c>
      <c r="N13514" t="s">
        <v>42669</v>
      </c>
      <c r="O13514" t="s">
        <v>42670</v>
      </c>
      <c r="Q13514">
        <v>2</v>
      </c>
      <c r="R13514" t="s">
        <v>42693</v>
      </c>
      <c r="S13514" t="s">
        <v>43872</v>
      </c>
      <c r="T13514" t="s">
        <v>44387</v>
      </c>
      <c r="U13514" t="s">
        <v>55777</v>
      </c>
      <c r="W13514" t="s">
        <v>39950</v>
      </c>
      <c r="X13514" t="s">
        <v>42696</v>
      </c>
    </row>
    <row r="13515" spans="1:24">
      <c r="A13515">
        <f>HYPERLINK("https://www.philgeps.gov.ph/GEPSNONPILOT/Tender/SplashBidNoticeAbstractUI.aspx?menuIndex=3&amp;refID=7148989&amp;Result=3","7148989")</f>
        <v>0</v>
      </c>
      <c r="B13515" t="s">
        <v>983</v>
      </c>
      <c r="C13515" t="s">
        <v>16468</v>
      </c>
      <c r="D13515" t="s">
        <v>17189</v>
      </c>
      <c r="E13515" t="s">
        <v>28751</v>
      </c>
      <c r="F13515" t="s">
        <v>29372</v>
      </c>
      <c r="G13515" t="s">
        <v>29380</v>
      </c>
      <c r="H13515" t="s">
        <v>29389</v>
      </c>
      <c r="I13515" t="s">
        <v>10408</v>
      </c>
      <c r="J13515" t="s">
        <v>38046</v>
      </c>
      <c r="K13515" t="s">
        <v>38505</v>
      </c>
      <c r="M13515" t="s">
        <v>39781</v>
      </c>
      <c r="N13515" t="s">
        <v>42669</v>
      </c>
      <c r="O13515" t="s">
        <v>42670</v>
      </c>
      <c r="P13515">
        <v>0</v>
      </c>
      <c r="Q13515">
        <v>3</v>
      </c>
      <c r="R13515" t="s">
        <v>42693</v>
      </c>
      <c r="S13515" t="s">
        <v>43856</v>
      </c>
      <c r="T13515" t="s">
        <v>44744</v>
      </c>
      <c r="U13515" t="s">
        <v>55778</v>
      </c>
      <c r="V13515" t="s">
        <v>57152</v>
      </c>
      <c r="W13515" t="s">
        <v>39781</v>
      </c>
      <c r="X13515" t="s">
        <v>42696</v>
      </c>
    </row>
    <row r="13516" spans="1:24">
      <c r="A13516">
        <f>HYPERLINK("https://www.philgeps.gov.ph/GEPSNONPILOT/Tender/SplashBidNoticeAbstractUI.aspx?menuIndex=3&amp;refID=7148934&amp;Result=3","7148934")</f>
        <v>0</v>
      </c>
      <c r="B13516" t="s">
        <v>898</v>
      </c>
      <c r="C13516" t="s">
        <v>16469</v>
      </c>
      <c r="D13516" t="s">
        <v>17142</v>
      </c>
      <c r="E13516" t="s">
        <v>27162</v>
      </c>
      <c r="F13516" t="s">
        <v>29372</v>
      </c>
      <c r="G13516" t="s">
        <v>29380</v>
      </c>
      <c r="H13516" t="s">
        <v>29389</v>
      </c>
      <c r="I13516" t="s">
        <v>10408</v>
      </c>
      <c r="J13516" t="s">
        <v>38047</v>
      </c>
      <c r="K13516" t="s">
        <v>38490</v>
      </c>
      <c r="M13516" t="s">
        <v>42291</v>
      </c>
      <c r="N13516" t="s">
        <v>42669</v>
      </c>
      <c r="O13516" t="s">
        <v>42670</v>
      </c>
      <c r="Q13516">
        <v>2</v>
      </c>
      <c r="R13516" t="s">
        <v>42693</v>
      </c>
      <c r="S13516" t="s">
        <v>43873</v>
      </c>
      <c r="T13516" t="s">
        <v>44488</v>
      </c>
      <c r="U13516" t="s">
        <v>55779</v>
      </c>
      <c r="W13516" t="s">
        <v>42291</v>
      </c>
      <c r="X13516" t="s">
        <v>42696</v>
      </c>
    </row>
    <row r="13517" spans="1:24">
      <c r="A13517">
        <f>HYPERLINK("https://www.philgeps.gov.ph/GEPSNONPILOT/Tender/SplashBidNoticeAbstractUI.aspx?menuIndex=3&amp;refID=7149087&amp;Result=3","7149087")</f>
        <v>0</v>
      </c>
      <c r="B13517" t="s">
        <v>2712</v>
      </c>
      <c r="C13517" t="s">
        <v>16031</v>
      </c>
      <c r="D13517" t="s">
        <v>17141</v>
      </c>
      <c r="E13517" t="s">
        <v>17790</v>
      </c>
      <c r="F13517" t="s">
        <v>29373</v>
      </c>
      <c r="G13517" t="s">
        <v>29380</v>
      </c>
      <c r="H13517" t="s">
        <v>29389</v>
      </c>
      <c r="I13517" t="s">
        <v>4709</v>
      </c>
      <c r="J13517" t="s">
        <v>31013</v>
      </c>
      <c r="K13517" t="s">
        <v>38517</v>
      </c>
      <c r="M13517" t="s">
        <v>41692</v>
      </c>
      <c r="N13517" t="s">
        <v>42669</v>
      </c>
      <c r="O13517" t="s">
        <v>42670</v>
      </c>
      <c r="P13517">
        <v>0</v>
      </c>
      <c r="Q13517">
        <v>3</v>
      </c>
      <c r="R13517" t="s">
        <v>42693</v>
      </c>
      <c r="S13517" t="s">
        <v>43856</v>
      </c>
      <c r="T13517" t="s">
        <v>44856</v>
      </c>
      <c r="U13517" t="s">
        <v>55780</v>
      </c>
      <c r="W13517" t="s">
        <v>41692</v>
      </c>
      <c r="X13517" t="s">
        <v>42696</v>
      </c>
    </row>
    <row r="13518" spans="1:24">
      <c r="A13518">
        <f>HYPERLINK("https://www.philgeps.gov.ph/GEPSNONPILOT/Tender/SplashBidNoticeAbstractUI.aspx?menuIndex=3&amp;refID=7148929&amp;Result=3","7148929")</f>
        <v>0</v>
      </c>
      <c r="B13518" t="s">
        <v>898</v>
      </c>
      <c r="C13518" t="s">
        <v>16470</v>
      </c>
      <c r="D13518" t="s">
        <v>17142</v>
      </c>
      <c r="E13518" t="s">
        <v>28752</v>
      </c>
      <c r="F13518" t="s">
        <v>29372</v>
      </c>
      <c r="G13518" t="s">
        <v>29380</v>
      </c>
      <c r="H13518" t="s">
        <v>29389</v>
      </c>
      <c r="I13518" t="s">
        <v>10408</v>
      </c>
      <c r="J13518" t="s">
        <v>38048</v>
      </c>
      <c r="K13518" t="s">
        <v>38490</v>
      </c>
      <c r="M13518" t="s">
        <v>42291</v>
      </c>
      <c r="N13518" t="s">
        <v>42669</v>
      </c>
      <c r="O13518" t="s">
        <v>42670</v>
      </c>
      <c r="Q13518">
        <v>2</v>
      </c>
      <c r="R13518" t="s">
        <v>42693</v>
      </c>
      <c r="S13518" t="s">
        <v>43874</v>
      </c>
      <c r="T13518" t="s">
        <v>44488</v>
      </c>
      <c r="U13518" t="s">
        <v>55781</v>
      </c>
      <c r="W13518" t="s">
        <v>42291</v>
      </c>
      <c r="X13518" t="s">
        <v>42696</v>
      </c>
    </row>
    <row r="13519" spans="1:24">
      <c r="A13519">
        <f>HYPERLINK("https://www.philgeps.gov.ph/GEPSNONPILOT/Tender/SplashBidNoticeAbstractUI.aspx?menuIndex=3&amp;refID=7143511&amp;Result=3","7143511")</f>
        <v>0</v>
      </c>
      <c r="B13519" t="s">
        <v>3465</v>
      </c>
      <c r="C13519" t="s">
        <v>16471</v>
      </c>
      <c r="D13519" t="s">
        <v>17180</v>
      </c>
      <c r="E13519" t="s">
        <v>28753</v>
      </c>
      <c r="F13519" t="s">
        <v>29372</v>
      </c>
      <c r="G13519" t="s">
        <v>29380</v>
      </c>
      <c r="H13519" t="s">
        <v>11048</v>
      </c>
      <c r="I13519" t="s">
        <v>29414</v>
      </c>
      <c r="J13519" t="s">
        <v>30302</v>
      </c>
      <c r="K13519" t="s">
        <v>38485</v>
      </c>
      <c r="M13519" t="s">
        <v>42585</v>
      </c>
      <c r="N13519" t="s">
        <v>42669</v>
      </c>
      <c r="O13519" t="s">
        <v>42670</v>
      </c>
      <c r="Q13519">
        <v>14</v>
      </c>
      <c r="R13519" t="s">
        <v>42693</v>
      </c>
      <c r="S13519" t="s">
        <v>43875</v>
      </c>
      <c r="T13519" t="s">
        <v>44432</v>
      </c>
      <c r="U13519" t="s">
        <v>55782</v>
      </c>
      <c r="W13519" t="s">
        <v>42585</v>
      </c>
      <c r="X13519" t="s">
        <v>42698</v>
      </c>
    </row>
    <row r="13520" spans="1:24">
      <c r="A13520">
        <f>HYPERLINK("https://www.philgeps.gov.ph/GEPSNONPILOT/Tender/SplashBidNoticeAbstractUI.aspx?menuIndex=3&amp;refID=7148922&amp;Result=3","7148922")</f>
        <v>0</v>
      </c>
      <c r="B13520" t="s">
        <v>898</v>
      </c>
      <c r="C13520" t="s">
        <v>16472</v>
      </c>
      <c r="D13520" t="s">
        <v>17142</v>
      </c>
      <c r="E13520" t="s">
        <v>28754</v>
      </c>
      <c r="F13520" t="s">
        <v>29372</v>
      </c>
      <c r="G13520" t="s">
        <v>29380</v>
      </c>
      <c r="H13520" t="s">
        <v>29389</v>
      </c>
      <c r="I13520" t="s">
        <v>10408</v>
      </c>
      <c r="J13520" t="s">
        <v>38049</v>
      </c>
      <c r="K13520" t="s">
        <v>38490</v>
      </c>
      <c r="M13520" t="s">
        <v>42291</v>
      </c>
      <c r="N13520" t="s">
        <v>42669</v>
      </c>
      <c r="O13520" t="s">
        <v>42670</v>
      </c>
      <c r="Q13520">
        <v>0</v>
      </c>
      <c r="R13520" t="s">
        <v>42693</v>
      </c>
      <c r="S13520" t="s">
        <v>43876</v>
      </c>
      <c r="T13520" t="s">
        <v>44488</v>
      </c>
      <c r="U13520" t="s">
        <v>55783</v>
      </c>
      <c r="W13520" t="s">
        <v>42291</v>
      </c>
      <c r="X13520" t="s">
        <v>42696</v>
      </c>
    </row>
    <row r="13521" spans="1:24">
      <c r="A13521">
        <f>HYPERLINK("https://www.philgeps.gov.ph/GEPSNONPILOT/Tender/SplashBidNoticeAbstractUI.aspx?menuIndex=3&amp;refID=7146679&amp;Result=3","7146679")</f>
        <v>0</v>
      </c>
      <c r="B13521" t="s">
        <v>841</v>
      </c>
      <c r="C13521" t="s">
        <v>16473</v>
      </c>
      <c r="D13521" t="s">
        <v>17142</v>
      </c>
      <c r="E13521" t="s">
        <v>28755</v>
      </c>
      <c r="F13521" t="s">
        <v>29372</v>
      </c>
      <c r="G13521" t="s">
        <v>29380</v>
      </c>
      <c r="H13521" t="s">
        <v>29389</v>
      </c>
      <c r="I13521" t="s">
        <v>10408</v>
      </c>
      <c r="J13521" t="s">
        <v>38050</v>
      </c>
      <c r="K13521" t="s">
        <v>38504</v>
      </c>
      <c r="M13521" t="s">
        <v>39631</v>
      </c>
      <c r="N13521" t="s">
        <v>42669</v>
      </c>
      <c r="O13521" t="s">
        <v>42670</v>
      </c>
      <c r="P13521">
        <v>0</v>
      </c>
      <c r="Q13521">
        <v>2</v>
      </c>
      <c r="R13521" t="s">
        <v>42693</v>
      </c>
      <c r="S13521" t="s">
        <v>43856</v>
      </c>
      <c r="T13521" t="s">
        <v>44491</v>
      </c>
      <c r="U13521" t="s">
        <v>53708</v>
      </c>
      <c r="W13521" t="s">
        <v>39631</v>
      </c>
      <c r="X13521" t="s">
        <v>42697</v>
      </c>
    </row>
    <row r="13522" spans="1:24">
      <c r="A13522">
        <f>HYPERLINK("https://www.philgeps.gov.ph/GEPSNONPILOT/Tender/SplashBidNoticeAbstractUI.aspx?menuIndex=3&amp;refID=7137592&amp;Result=3","7137592")</f>
        <v>0</v>
      </c>
      <c r="B13522" t="s">
        <v>2311</v>
      </c>
      <c r="C13522" t="s">
        <v>16474</v>
      </c>
      <c r="D13522" t="s">
        <v>17191</v>
      </c>
      <c r="E13522" t="s">
        <v>28756</v>
      </c>
      <c r="F13522" t="s">
        <v>29372</v>
      </c>
      <c r="G13522" t="s">
        <v>29380</v>
      </c>
      <c r="H13522" t="s">
        <v>29389</v>
      </c>
      <c r="I13522" t="s">
        <v>10408</v>
      </c>
      <c r="J13522" t="s">
        <v>30308</v>
      </c>
      <c r="K13522" t="s">
        <v>38522</v>
      </c>
      <c r="M13522" t="s">
        <v>41242</v>
      </c>
      <c r="N13522" t="s">
        <v>42669</v>
      </c>
      <c r="O13522" t="s">
        <v>42670</v>
      </c>
      <c r="P13522">
        <v>0</v>
      </c>
      <c r="Q13522">
        <v>5</v>
      </c>
      <c r="R13522" t="s">
        <v>42694</v>
      </c>
      <c r="S13522" t="s">
        <v>43877</v>
      </c>
      <c r="T13522" t="s">
        <v>44488</v>
      </c>
      <c r="U13522" t="s">
        <v>55784</v>
      </c>
      <c r="V13522" t="s">
        <v>57915</v>
      </c>
      <c r="W13522" t="s">
        <v>41242</v>
      </c>
      <c r="X13522" t="s">
        <v>42700</v>
      </c>
    </row>
    <row r="13523" spans="1:24">
      <c r="A13523">
        <f>HYPERLINK("https://www.philgeps.gov.ph/GEPSNONPILOT/Tender/SplashBidNoticeAbstractUI.aspx?menuIndex=3&amp;refID=7148948&amp;Result=3","7148948")</f>
        <v>0</v>
      </c>
      <c r="B13523" t="s">
        <v>1263</v>
      </c>
      <c r="C13523" t="s">
        <v>16475</v>
      </c>
      <c r="E13523" t="s">
        <v>28757</v>
      </c>
      <c r="F13523" t="s">
        <v>29372</v>
      </c>
      <c r="G13523" t="s">
        <v>29380</v>
      </c>
      <c r="H13523" t="s">
        <v>11048</v>
      </c>
      <c r="I13523" t="s">
        <v>29394</v>
      </c>
      <c r="J13523" t="s">
        <v>38051</v>
      </c>
      <c r="K13523" t="s">
        <v>38490</v>
      </c>
      <c r="M13523" t="s">
        <v>40090</v>
      </c>
      <c r="N13523" t="s">
        <v>42669</v>
      </c>
      <c r="O13523" t="s">
        <v>42670</v>
      </c>
      <c r="Q13523">
        <v>8</v>
      </c>
      <c r="R13523" t="s">
        <v>42693</v>
      </c>
      <c r="S13523" t="s">
        <v>43796</v>
      </c>
      <c r="T13523" t="s">
        <v>44554</v>
      </c>
      <c r="U13523" t="s">
        <v>55785</v>
      </c>
      <c r="W13523" t="s">
        <v>40090</v>
      </c>
      <c r="X13523" t="s">
        <v>42696</v>
      </c>
    </row>
    <row r="13524" spans="1:24">
      <c r="A13524">
        <f>HYPERLINK("https://www.philgeps.gov.ph/GEPSNONPILOT/Tender/SplashBidNoticeAbstractUI.aspx?menuIndex=3&amp;refID=7145207&amp;Result=3","7145207")</f>
        <v>0</v>
      </c>
      <c r="B13524" t="s">
        <v>3463</v>
      </c>
      <c r="C13524" t="s">
        <v>16476</v>
      </c>
      <c r="D13524" t="s">
        <v>17202</v>
      </c>
      <c r="E13524" t="s">
        <v>17972</v>
      </c>
      <c r="F13524" t="s">
        <v>29372</v>
      </c>
      <c r="G13524" t="s">
        <v>29380</v>
      </c>
      <c r="H13524" t="s">
        <v>11048</v>
      </c>
      <c r="I13524" t="s">
        <v>4709</v>
      </c>
      <c r="J13524" t="s">
        <v>38052</v>
      </c>
      <c r="K13524" t="s">
        <v>38491</v>
      </c>
      <c r="M13524" t="s">
        <v>42583</v>
      </c>
      <c r="N13524" t="s">
        <v>42669</v>
      </c>
      <c r="O13524" t="s">
        <v>42670</v>
      </c>
      <c r="P13524">
        <v>0</v>
      </c>
      <c r="Q13524">
        <v>0</v>
      </c>
      <c r="R13524" t="s">
        <v>42693</v>
      </c>
      <c r="S13524" t="s">
        <v>43856</v>
      </c>
      <c r="T13524" t="s">
        <v>44525</v>
      </c>
      <c r="U13524" t="s">
        <v>55786</v>
      </c>
      <c r="W13524" t="s">
        <v>42583</v>
      </c>
      <c r="X13524" t="s">
        <v>42697</v>
      </c>
    </row>
    <row r="13525" spans="1:24">
      <c r="A13525">
        <f>HYPERLINK("https://www.philgeps.gov.ph/GEPSNONPILOT/Tender/SplashBidNoticeAbstractUI.aspx?menuIndex=3&amp;refID=7139274&amp;Result=3","7139274")</f>
        <v>0</v>
      </c>
      <c r="B13525" t="s">
        <v>2292</v>
      </c>
      <c r="C13525" t="s">
        <v>16477</v>
      </c>
      <c r="D13525" t="s">
        <v>17141</v>
      </c>
      <c r="E13525" t="s">
        <v>28758</v>
      </c>
      <c r="F13525" t="s">
        <v>29372</v>
      </c>
      <c r="G13525" t="s">
        <v>29380</v>
      </c>
      <c r="H13525" t="s">
        <v>11048</v>
      </c>
      <c r="I13525" t="s">
        <v>3695</v>
      </c>
      <c r="J13525" t="s">
        <v>38053</v>
      </c>
      <c r="K13525" t="s">
        <v>38510</v>
      </c>
      <c r="M13525" t="s">
        <v>41219</v>
      </c>
      <c r="N13525" t="s">
        <v>42669</v>
      </c>
      <c r="O13525" t="s">
        <v>42670</v>
      </c>
      <c r="Q13525">
        <v>27</v>
      </c>
      <c r="R13525" t="s">
        <v>42694</v>
      </c>
      <c r="S13525" t="s">
        <v>43878</v>
      </c>
      <c r="T13525" t="s">
        <v>44488</v>
      </c>
      <c r="U13525" t="s">
        <v>55787</v>
      </c>
      <c r="W13525" t="s">
        <v>41219</v>
      </c>
      <c r="X13525" t="s">
        <v>42699</v>
      </c>
    </row>
    <row r="13526" spans="1:24">
      <c r="A13526">
        <f>HYPERLINK("https://www.philgeps.gov.ph/GEPSNONPILOT/Tender/SplashBidNoticeAbstractUI.aspx?menuIndex=3&amp;refID=7149169&amp;Result=3","7149169")</f>
        <v>0</v>
      </c>
      <c r="B13526" t="s">
        <v>365</v>
      </c>
      <c r="C13526" t="s">
        <v>16478</v>
      </c>
      <c r="D13526" t="s">
        <v>17143</v>
      </c>
      <c r="E13526" t="s">
        <v>28759</v>
      </c>
      <c r="F13526" t="s">
        <v>29372</v>
      </c>
      <c r="G13526" t="s">
        <v>29380</v>
      </c>
      <c r="H13526" t="s">
        <v>29389</v>
      </c>
      <c r="I13526" t="s">
        <v>10408</v>
      </c>
      <c r="J13526" t="s">
        <v>38054</v>
      </c>
      <c r="K13526" t="s">
        <v>38494</v>
      </c>
      <c r="M13526" t="s">
        <v>39125</v>
      </c>
      <c r="N13526" t="s">
        <v>42669</v>
      </c>
      <c r="O13526" t="s">
        <v>42670</v>
      </c>
      <c r="P13526">
        <v>0</v>
      </c>
      <c r="Q13526">
        <v>1</v>
      </c>
      <c r="R13526" t="s">
        <v>42693</v>
      </c>
      <c r="S13526" t="s">
        <v>43856</v>
      </c>
      <c r="T13526" t="s">
        <v>44393</v>
      </c>
      <c r="U13526" t="s">
        <v>55788</v>
      </c>
      <c r="W13526" t="s">
        <v>58092</v>
      </c>
      <c r="X13526" t="s">
        <v>42696</v>
      </c>
    </row>
    <row r="13527" spans="1:24">
      <c r="A13527">
        <f>HYPERLINK("https://www.philgeps.gov.ph/GEPSNONPILOT/Tender/SplashBidNoticeAbstractUI.aspx?menuIndex=3&amp;refID=7139199&amp;Result=3","7139199")</f>
        <v>0</v>
      </c>
      <c r="B13527" t="s">
        <v>2292</v>
      </c>
      <c r="C13527" t="s">
        <v>16479</v>
      </c>
      <c r="D13527" t="s">
        <v>17141</v>
      </c>
      <c r="E13527" t="s">
        <v>28760</v>
      </c>
      <c r="F13527" t="s">
        <v>29372</v>
      </c>
      <c r="G13527" t="s">
        <v>29380</v>
      </c>
      <c r="H13527" t="s">
        <v>11048</v>
      </c>
      <c r="I13527" t="s">
        <v>3695</v>
      </c>
      <c r="J13527" t="s">
        <v>38055</v>
      </c>
      <c r="K13527" t="s">
        <v>38510</v>
      </c>
      <c r="M13527" t="s">
        <v>41219</v>
      </c>
      <c r="N13527" t="s">
        <v>42669</v>
      </c>
      <c r="O13527" t="s">
        <v>42670</v>
      </c>
      <c r="Q13527">
        <v>16</v>
      </c>
      <c r="R13527" t="s">
        <v>42694</v>
      </c>
      <c r="S13527" t="s">
        <v>43879</v>
      </c>
      <c r="T13527" t="s">
        <v>44488</v>
      </c>
      <c r="U13527" t="s">
        <v>55789</v>
      </c>
      <c r="W13527" t="s">
        <v>41219</v>
      </c>
      <c r="X13527" t="s">
        <v>42699</v>
      </c>
    </row>
    <row r="13528" spans="1:24">
      <c r="A13528">
        <f>HYPERLINK("https://www.philgeps.gov.ph/GEPSNONPILOT/Tender/SplashBidNoticeAbstractUI.aspx?menuIndex=3&amp;refID=7137874&amp;Result=3","7137874")</f>
        <v>0</v>
      </c>
      <c r="B13528" t="s">
        <v>2311</v>
      </c>
      <c r="C13528" t="s">
        <v>16480</v>
      </c>
      <c r="D13528" t="s">
        <v>17191</v>
      </c>
      <c r="E13528" t="s">
        <v>28761</v>
      </c>
      <c r="F13528" t="s">
        <v>29372</v>
      </c>
      <c r="G13528" t="s">
        <v>29380</v>
      </c>
      <c r="H13528" t="s">
        <v>29389</v>
      </c>
      <c r="I13528" t="s">
        <v>10408</v>
      </c>
      <c r="J13528" t="s">
        <v>30308</v>
      </c>
      <c r="K13528" t="s">
        <v>38522</v>
      </c>
      <c r="M13528" t="s">
        <v>41242</v>
      </c>
      <c r="N13528" t="s">
        <v>42669</v>
      </c>
      <c r="O13528" t="s">
        <v>42670</v>
      </c>
      <c r="P13528">
        <v>0</v>
      </c>
      <c r="Q13528">
        <v>2</v>
      </c>
      <c r="R13528" t="s">
        <v>42694</v>
      </c>
      <c r="S13528" t="s">
        <v>43877</v>
      </c>
      <c r="T13528" t="s">
        <v>44488</v>
      </c>
      <c r="U13528" t="s">
        <v>55784</v>
      </c>
      <c r="V13528" t="s">
        <v>57916</v>
      </c>
      <c r="W13528" t="s">
        <v>41242</v>
      </c>
      <c r="X13528" t="s">
        <v>42700</v>
      </c>
    </row>
    <row r="13529" spans="1:24">
      <c r="A13529">
        <f>HYPERLINK("https://www.philgeps.gov.ph/GEPSNONPILOT/Tender/SplashBidNoticeAbstractUI.aspx?menuIndex=3&amp;refID=7148539&amp;Result=3","7148539")</f>
        <v>0</v>
      </c>
      <c r="B13529" t="s">
        <v>524</v>
      </c>
      <c r="C13529" t="s">
        <v>16481</v>
      </c>
      <c r="D13529" t="s">
        <v>17200</v>
      </c>
      <c r="E13529" t="s">
        <v>28762</v>
      </c>
      <c r="F13529" t="s">
        <v>29372</v>
      </c>
      <c r="G13529" t="s">
        <v>29380</v>
      </c>
      <c r="H13529" t="s">
        <v>29389</v>
      </c>
      <c r="I13529" t="s">
        <v>10408</v>
      </c>
      <c r="J13529" t="s">
        <v>29788</v>
      </c>
      <c r="K13529" t="s">
        <v>38525</v>
      </c>
      <c r="M13529" t="s">
        <v>39291</v>
      </c>
      <c r="N13529" t="s">
        <v>42669</v>
      </c>
      <c r="O13529" t="s">
        <v>42670</v>
      </c>
      <c r="Q13529">
        <v>1</v>
      </c>
      <c r="R13529" t="s">
        <v>42695</v>
      </c>
      <c r="S13529" t="s">
        <v>43880</v>
      </c>
      <c r="T13529" t="s">
        <v>44371</v>
      </c>
      <c r="U13529" t="s">
        <v>55790</v>
      </c>
      <c r="W13529" t="s">
        <v>39291</v>
      </c>
      <c r="X13529" t="s">
        <v>42694</v>
      </c>
    </row>
    <row r="13530" spans="1:24">
      <c r="A13530">
        <f>HYPERLINK("https://www.philgeps.gov.ph/GEPSNONPILOT/Tender/SplashBidNoticeAbstractUI.aspx?menuIndex=3&amp;refID=7147376&amp;Result=3","7147376")</f>
        <v>0</v>
      </c>
      <c r="B13530" t="s">
        <v>2570</v>
      </c>
      <c r="C13530" t="s">
        <v>16482</v>
      </c>
      <c r="D13530" t="s">
        <v>17175</v>
      </c>
      <c r="E13530" t="s">
        <v>28763</v>
      </c>
      <c r="F13530" t="s">
        <v>29372</v>
      </c>
      <c r="G13530" t="s">
        <v>29380</v>
      </c>
      <c r="H13530" t="s">
        <v>11048</v>
      </c>
      <c r="I13530" t="s">
        <v>29407</v>
      </c>
      <c r="J13530" t="s">
        <v>38056</v>
      </c>
      <c r="K13530" t="s">
        <v>38510</v>
      </c>
      <c r="M13530" t="s">
        <v>41537</v>
      </c>
      <c r="N13530" t="s">
        <v>42669</v>
      </c>
      <c r="O13530" t="s">
        <v>42670</v>
      </c>
      <c r="P13530">
        <v>0</v>
      </c>
      <c r="Q13530">
        <v>21</v>
      </c>
      <c r="R13530" t="s">
        <v>42693</v>
      </c>
      <c r="S13530" t="s">
        <v>43856</v>
      </c>
      <c r="T13530" t="s">
        <v>44580</v>
      </c>
      <c r="U13530" t="s">
        <v>55791</v>
      </c>
      <c r="W13530" t="s">
        <v>58091</v>
      </c>
      <c r="X13530" t="s">
        <v>42697</v>
      </c>
    </row>
    <row r="13531" spans="1:24">
      <c r="A13531">
        <f>HYPERLINK("https://www.philgeps.gov.ph/GEPSNONPILOT/Tender/SplashBidNoticeAbstractUI.aspx?menuIndex=3&amp;refID=7148445&amp;Result=3","7148445")</f>
        <v>0</v>
      </c>
      <c r="B13531" t="s">
        <v>3466</v>
      </c>
      <c r="C13531" t="s">
        <v>16483</v>
      </c>
      <c r="E13531" t="s">
        <v>28764</v>
      </c>
      <c r="F13531" t="s">
        <v>29372</v>
      </c>
      <c r="G13531" t="s">
        <v>29380</v>
      </c>
      <c r="H13531" t="s">
        <v>11048</v>
      </c>
      <c r="I13531" t="s">
        <v>29520</v>
      </c>
      <c r="J13531" t="s">
        <v>38057</v>
      </c>
      <c r="K13531" t="s">
        <v>38490</v>
      </c>
      <c r="M13531" t="s">
        <v>42586</v>
      </c>
      <c r="N13531" t="s">
        <v>42669</v>
      </c>
      <c r="O13531" t="s">
        <v>42670</v>
      </c>
      <c r="Q13531">
        <v>4</v>
      </c>
      <c r="R13531" t="s">
        <v>42695</v>
      </c>
      <c r="S13531" t="s">
        <v>43881</v>
      </c>
      <c r="T13531" t="s">
        <v>44432</v>
      </c>
      <c r="U13531" t="s">
        <v>55792</v>
      </c>
      <c r="V13531" t="s">
        <v>57917</v>
      </c>
      <c r="W13531" t="s">
        <v>42586</v>
      </c>
      <c r="X13531" t="s">
        <v>42694</v>
      </c>
    </row>
    <row r="13532" spans="1:24">
      <c r="A13532">
        <f>HYPERLINK("https://www.philgeps.gov.ph/GEPSNONPILOT/Tender/SplashBidNoticeAbstractUI.aspx?menuIndex=3&amp;refID=7148346&amp;Result=3","7148346")</f>
        <v>0</v>
      </c>
      <c r="B13532" t="s">
        <v>3377</v>
      </c>
      <c r="C13532" t="s">
        <v>16484</v>
      </c>
      <c r="D13532" t="s">
        <v>17141</v>
      </c>
      <c r="E13532" t="s">
        <v>28765</v>
      </c>
      <c r="F13532" t="s">
        <v>29372</v>
      </c>
      <c r="G13532" t="s">
        <v>29380</v>
      </c>
      <c r="H13532" t="s">
        <v>29390</v>
      </c>
      <c r="I13532" t="s">
        <v>3629</v>
      </c>
      <c r="J13532" t="s">
        <v>38058</v>
      </c>
      <c r="K13532" t="s">
        <v>38533</v>
      </c>
      <c r="M13532" t="s">
        <v>42472</v>
      </c>
      <c r="N13532" t="s">
        <v>42669</v>
      </c>
      <c r="O13532" t="s">
        <v>42670</v>
      </c>
      <c r="Q13532">
        <v>3</v>
      </c>
      <c r="R13532" t="s">
        <v>42695</v>
      </c>
      <c r="S13532" t="s">
        <v>43882</v>
      </c>
      <c r="T13532" t="s">
        <v>44415</v>
      </c>
      <c r="U13532" t="s">
        <v>55076</v>
      </c>
      <c r="V13532" t="s">
        <v>57820</v>
      </c>
      <c r="W13532" t="s">
        <v>42472</v>
      </c>
      <c r="X13532" t="s">
        <v>42694</v>
      </c>
    </row>
    <row r="13533" spans="1:24">
      <c r="A13533">
        <f>HYPERLINK("https://www.philgeps.gov.ph/GEPSNONPILOT/Tender/SplashBidNoticeAbstractUI.aspx?menuIndex=3&amp;refID=7137711&amp;Result=3","7137711")</f>
        <v>0</v>
      </c>
      <c r="B13533" t="s">
        <v>2311</v>
      </c>
      <c r="C13533" t="s">
        <v>16485</v>
      </c>
      <c r="D13533" t="s">
        <v>17191</v>
      </c>
      <c r="E13533" t="s">
        <v>28766</v>
      </c>
      <c r="F13533" t="s">
        <v>29372</v>
      </c>
      <c r="G13533" t="s">
        <v>29380</v>
      </c>
      <c r="H13533" t="s">
        <v>29389</v>
      </c>
      <c r="I13533" t="s">
        <v>10408</v>
      </c>
      <c r="J13533" t="s">
        <v>30308</v>
      </c>
      <c r="K13533" t="s">
        <v>38522</v>
      </c>
      <c r="M13533" t="s">
        <v>41242</v>
      </c>
      <c r="N13533" t="s">
        <v>42669</v>
      </c>
      <c r="O13533" t="s">
        <v>42670</v>
      </c>
      <c r="P13533">
        <v>0</v>
      </c>
      <c r="Q13533">
        <v>2</v>
      </c>
      <c r="R13533" t="s">
        <v>42694</v>
      </c>
      <c r="S13533" t="s">
        <v>43877</v>
      </c>
      <c r="T13533" t="s">
        <v>44488</v>
      </c>
      <c r="U13533" t="s">
        <v>55784</v>
      </c>
      <c r="V13533" t="s">
        <v>57918</v>
      </c>
      <c r="W13533" t="s">
        <v>41242</v>
      </c>
      <c r="X13533" t="s">
        <v>42700</v>
      </c>
    </row>
    <row r="13534" spans="1:24">
      <c r="A13534">
        <f>HYPERLINK("https://www.philgeps.gov.ph/GEPSNONPILOT/Tender/SplashBidNoticeAbstractUI.aspx?menuIndex=3&amp;refID=7149183&amp;Result=3","7149183")</f>
        <v>0</v>
      </c>
      <c r="B13534" t="s">
        <v>365</v>
      </c>
      <c r="C13534" t="s">
        <v>16486</v>
      </c>
      <c r="D13534" t="s">
        <v>17143</v>
      </c>
      <c r="E13534" t="s">
        <v>28767</v>
      </c>
      <c r="F13534" t="s">
        <v>29372</v>
      </c>
      <c r="G13534" t="s">
        <v>29380</v>
      </c>
      <c r="H13534" t="s">
        <v>29389</v>
      </c>
      <c r="I13534" t="s">
        <v>10408</v>
      </c>
      <c r="J13534" t="s">
        <v>29829</v>
      </c>
      <c r="K13534" t="s">
        <v>38533</v>
      </c>
      <c r="M13534" t="s">
        <v>39125</v>
      </c>
      <c r="N13534" t="s">
        <v>42669</v>
      </c>
      <c r="O13534" t="s">
        <v>42670</v>
      </c>
      <c r="P13534">
        <v>0</v>
      </c>
      <c r="Q13534">
        <v>1</v>
      </c>
      <c r="R13534" t="s">
        <v>42693</v>
      </c>
      <c r="S13534" t="s">
        <v>43856</v>
      </c>
      <c r="T13534" t="s">
        <v>44393</v>
      </c>
      <c r="U13534" t="s">
        <v>55793</v>
      </c>
      <c r="W13534" t="s">
        <v>58092</v>
      </c>
      <c r="X13534" t="s">
        <v>42696</v>
      </c>
    </row>
    <row r="13535" spans="1:24">
      <c r="A13535">
        <f>HYPERLINK("https://www.philgeps.gov.ph/GEPSNONPILOT/Tender/SplashBidNoticeAbstractUI.aspx?menuIndex=3&amp;refID=7136882&amp;Result=3","7136882")</f>
        <v>0</v>
      </c>
      <c r="B13535" t="s">
        <v>2576</v>
      </c>
      <c r="C13535" t="s">
        <v>16487</v>
      </c>
      <c r="D13535" t="s">
        <v>17169</v>
      </c>
      <c r="E13535" t="s">
        <v>28768</v>
      </c>
      <c r="F13535" t="s">
        <v>29372</v>
      </c>
      <c r="G13535" t="s">
        <v>29380</v>
      </c>
      <c r="H13535" t="s">
        <v>11048</v>
      </c>
      <c r="I13535" t="s">
        <v>29408</v>
      </c>
      <c r="J13535" t="s">
        <v>38059</v>
      </c>
      <c r="K13535" t="s">
        <v>38485</v>
      </c>
      <c r="M13535" t="s">
        <v>41543</v>
      </c>
      <c r="N13535" t="s">
        <v>42669</v>
      </c>
      <c r="O13535" t="s">
        <v>42670</v>
      </c>
      <c r="P13535">
        <v>0</v>
      </c>
      <c r="Q13535">
        <v>1</v>
      </c>
      <c r="R13535" t="s">
        <v>42693</v>
      </c>
      <c r="S13535" t="s">
        <v>43856</v>
      </c>
      <c r="T13535" t="s">
        <v>44394</v>
      </c>
      <c r="U13535" t="s">
        <v>51607</v>
      </c>
      <c r="W13535" t="s">
        <v>41543</v>
      </c>
      <c r="X13535" t="s">
        <v>42700</v>
      </c>
    </row>
    <row r="13536" spans="1:24">
      <c r="A13536">
        <f>HYPERLINK("https://www.philgeps.gov.ph/GEPSNONPILOT/Tender/SplashBidNoticeAbstractUI.aspx?menuIndex=3&amp;refID=7149181&amp;Result=3","7149181")</f>
        <v>0</v>
      </c>
      <c r="B13536" t="s">
        <v>2866</v>
      </c>
      <c r="C13536" t="s">
        <v>16488</v>
      </c>
      <c r="D13536" t="s">
        <v>17141</v>
      </c>
      <c r="E13536" t="s">
        <v>28769</v>
      </c>
      <c r="F13536" t="s">
        <v>29372</v>
      </c>
      <c r="G13536" t="s">
        <v>29380</v>
      </c>
      <c r="H13536" t="s">
        <v>11048</v>
      </c>
      <c r="I13536" t="s">
        <v>29468</v>
      </c>
      <c r="J13536" t="s">
        <v>38060</v>
      </c>
      <c r="K13536" t="s">
        <v>38485</v>
      </c>
      <c r="M13536" t="s">
        <v>41861</v>
      </c>
      <c r="N13536" t="s">
        <v>42669</v>
      </c>
      <c r="O13536" t="s">
        <v>42670</v>
      </c>
      <c r="P13536">
        <v>0</v>
      </c>
      <c r="Q13536">
        <v>2</v>
      </c>
      <c r="R13536" t="s">
        <v>42693</v>
      </c>
      <c r="S13536" t="s">
        <v>43856</v>
      </c>
      <c r="T13536" t="s">
        <v>44512</v>
      </c>
      <c r="U13536" t="s">
        <v>55794</v>
      </c>
      <c r="V13536" t="s">
        <v>57429</v>
      </c>
      <c r="W13536" t="s">
        <v>41861</v>
      </c>
      <c r="X13536" t="s">
        <v>42696</v>
      </c>
    </row>
    <row r="13537" spans="1:24">
      <c r="A13537">
        <f>HYPERLINK("https://www.philgeps.gov.ph/GEPSNONPILOT/Tender/SplashBidNoticeAbstractUI.aspx?menuIndex=3&amp;refID=7145847&amp;Result=3","7145847")</f>
        <v>0</v>
      </c>
      <c r="B13537" t="s">
        <v>1391</v>
      </c>
      <c r="C13537" t="s">
        <v>16489</v>
      </c>
      <c r="D13537" t="s">
        <v>17151</v>
      </c>
      <c r="E13537" t="s">
        <v>28770</v>
      </c>
      <c r="F13537" t="s">
        <v>29372</v>
      </c>
      <c r="G13537" t="s">
        <v>29380</v>
      </c>
      <c r="H13537" t="s">
        <v>11048</v>
      </c>
      <c r="I13537" t="s">
        <v>4487</v>
      </c>
      <c r="J13537" t="s">
        <v>38061</v>
      </c>
      <c r="K13537" t="s">
        <v>38485</v>
      </c>
      <c r="M13537" t="s">
        <v>40229</v>
      </c>
      <c r="N13537" t="s">
        <v>42669</v>
      </c>
      <c r="O13537" t="s">
        <v>42670</v>
      </c>
      <c r="Q13537">
        <v>5</v>
      </c>
      <c r="R13537" t="s">
        <v>42694</v>
      </c>
      <c r="S13537" t="s">
        <v>43883</v>
      </c>
      <c r="T13537" t="s">
        <v>44470</v>
      </c>
      <c r="U13537" t="s">
        <v>55795</v>
      </c>
      <c r="V13537" t="s">
        <v>57919</v>
      </c>
      <c r="W13537" t="s">
        <v>40229</v>
      </c>
      <c r="X13537" t="s">
        <v>42697</v>
      </c>
    </row>
    <row r="13538" spans="1:24">
      <c r="A13538">
        <f>HYPERLINK("https://www.philgeps.gov.ph/GEPSNONPILOT/Tender/SplashBidNoticeAbstractUI.aspx?menuIndex=3&amp;refID=7147252&amp;Result=3","7147252")</f>
        <v>0</v>
      </c>
      <c r="B13538" t="s">
        <v>2311</v>
      </c>
      <c r="C13538" t="s">
        <v>16490</v>
      </c>
      <c r="D13538" t="s">
        <v>17191</v>
      </c>
      <c r="E13538" t="s">
        <v>28771</v>
      </c>
      <c r="F13538" t="s">
        <v>29372</v>
      </c>
      <c r="G13538" t="s">
        <v>29380</v>
      </c>
      <c r="H13538" t="s">
        <v>11048</v>
      </c>
      <c r="I13538" t="s">
        <v>4709</v>
      </c>
      <c r="J13538" t="s">
        <v>38062</v>
      </c>
      <c r="K13538" t="s">
        <v>38485</v>
      </c>
      <c r="M13538" t="s">
        <v>41242</v>
      </c>
      <c r="N13538" t="s">
        <v>42669</v>
      </c>
      <c r="O13538" t="s">
        <v>42670</v>
      </c>
      <c r="Q13538">
        <v>0</v>
      </c>
      <c r="R13538" t="s">
        <v>42696</v>
      </c>
      <c r="S13538" t="s">
        <v>43884</v>
      </c>
      <c r="T13538" t="s">
        <v>44488</v>
      </c>
      <c r="U13538" t="s">
        <v>55796</v>
      </c>
      <c r="V13538" t="s">
        <v>57920</v>
      </c>
      <c r="W13538" t="s">
        <v>41242</v>
      </c>
      <c r="X13538" t="s">
        <v>42697</v>
      </c>
    </row>
    <row r="13539" spans="1:24">
      <c r="A13539">
        <f>HYPERLINK("https://www.philgeps.gov.ph/GEPSNONPILOT/Tender/SplashBidNoticeAbstractUI.aspx?menuIndex=3&amp;refID=7149186&amp;Result=3","7149186")</f>
        <v>0</v>
      </c>
      <c r="B13539" t="s">
        <v>2866</v>
      </c>
      <c r="C13539" t="s">
        <v>16491</v>
      </c>
      <c r="D13539" t="s">
        <v>17141</v>
      </c>
      <c r="E13539" t="s">
        <v>28772</v>
      </c>
      <c r="F13539" t="s">
        <v>29372</v>
      </c>
      <c r="G13539" t="s">
        <v>29380</v>
      </c>
      <c r="H13539" t="s">
        <v>11048</v>
      </c>
      <c r="I13539" t="s">
        <v>5383</v>
      </c>
      <c r="J13539" t="s">
        <v>38063</v>
      </c>
      <c r="K13539" t="s">
        <v>38485</v>
      </c>
      <c r="M13539" t="s">
        <v>41861</v>
      </c>
      <c r="N13539" t="s">
        <v>42669</v>
      </c>
      <c r="O13539" t="s">
        <v>42670</v>
      </c>
      <c r="P13539">
        <v>0</v>
      </c>
      <c r="Q13539">
        <v>7</v>
      </c>
      <c r="R13539" t="s">
        <v>42693</v>
      </c>
      <c r="S13539" t="s">
        <v>43856</v>
      </c>
      <c r="T13539" t="s">
        <v>44512</v>
      </c>
      <c r="U13539" t="s">
        <v>52670</v>
      </c>
      <c r="V13539" t="s">
        <v>57429</v>
      </c>
      <c r="W13539" t="s">
        <v>41861</v>
      </c>
      <c r="X13539" t="s">
        <v>42696</v>
      </c>
    </row>
    <row r="13540" spans="1:24">
      <c r="A13540">
        <f>HYPERLINK("https://www.philgeps.gov.ph/GEPSNONPILOT/Tender/SplashBidNoticeAbstractUI.aspx?menuIndex=3&amp;refID=7145816&amp;Result=3","7145816")</f>
        <v>0</v>
      </c>
      <c r="B13540" t="s">
        <v>459</v>
      </c>
      <c r="C13540" t="s">
        <v>16492</v>
      </c>
      <c r="D13540" t="s">
        <v>17193</v>
      </c>
      <c r="E13540" t="s">
        <v>28773</v>
      </c>
      <c r="F13540" t="s">
        <v>29372</v>
      </c>
      <c r="G13540" t="s">
        <v>29380</v>
      </c>
      <c r="H13540" t="s">
        <v>11048</v>
      </c>
      <c r="I13540" t="s">
        <v>3629</v>
      </c>
      <c r="J13540" t="s">
        <v>37823</v>
      </c>
      <c r="K13540" t="s">
        <v>38488</v>
      </c>
      <c r="M13540" t="s">
        <v>40623</v>
      </c>
      <c r="N13540" t="s">
        <v>42669</v>
      </c>
      <c r="O13540" t="s">
        <v>42670</v>
      </c>
      <c r="Q13540">
        <v>7</v>
      </c>
      <c r="R13540" t="s">
        <v>42694</v>
      </c>
      <c r="S13540" t="s">
        <v>43885</v>
      </c>
      <c r="T13540" t="s">
        <v>44480</v>
      </c>
      <c r="U13540" t="s">
        <v>55797</v>
      </c>
      <c r="W13540" t="s">
        <v>40623</v>
      </c>
      <c r="X13540" t="s">
        <v>42697</v>
      </c>
    </row>
    <row r="13541" spans="1:24">
      <c r="A13541">
        <f>HYPERLINK("https://www.philgeps.gov.ph/GEPSNONPILOT/Tender/SplashBidNoticeAbstractUI.aspx?menuIndex=3&amp;refID=7145797&amp;Result=3","7145797")</f>
        <v>0</v>
      </c>
      <c r="B13541" t="s">
        <v>2311</v>
      </c>
      <c r="C13541" t="s">
        <v>16493</v>
      </c>
      <c r="D13541" t="s">
        <v>17191</v>
      </c>
      <c r="E13541" t="s">
        <v>28774</v>
      </c>
      <c r="F13541" t="s">
        <v>29372</v>
      </c>
      <c r="G13541" t="s">
        <v>29380</v>
      </c>
      <c r="H13541" t="s">
        <v>29389</v>
      </c>
      <c r="I13541" t="s">
        <v>10408</v>
      </c>
      <c r="J13541" t="s">
        <v>30308</v>
      </c>
      <c r="K13541" t="s">
        <v>38533</v>
      </c>
      <c r="M13541" t="s">
        <v>41242</v>
      </c>
      <c r="N13541" t="s">
        <v>42669</v>
      </c>
      <c r="O13541" t="s">
        <v>42670</v>
      </c>
      <c r="P13541">
        <v>0</v>
      </c>
      <c r="Q13541">
        <v>2</v>
      </c>
      <c r="R13541" t="s">
        <v>42694</v>
      </c>
      <c r="S13541" t="s">
        <v>43877</v>
      </c>
      <c r="T13541" t="s">
        <v>44488</v>
      </c>
      <c r="U13541" t="s">
        <v>55784</v>
      </c>
      <c r="V13541" t="s">
        <v>57921</v>
      </c>
      <c r="W13541" t="s">
        <v>41242</v>
      </c>
      <c r="X13541" t="s">
        <v>42697</v>
      </c>
    </row>
    <row r="13542" spans="1:24">
      <c r="A13542">
        <f>HYPERLINK("https://www.philgeps.gov.ph/GEPSNONPILOT/Tender/SplashBidNoticeAbstractUI.aspx?menuIndex=3&amp;refID=7145746&amp;Result=3","7145746")</f>
        <v>0</v>
      </c>
      <c r="B13542" t="s">
        <v>2311</v>
      </c>
      <c r="C13542" t="s">
        <v>16494</v>
      </c>
      <c r="D13542" t="s">
        <v>17191</v>
      </c>
      <c r="E13542" t="s">
        <v>28775</v>
      </c>
      <c r="F13542" t="s">
        <v>29372</v>
      </c>
      <c r="G13542" t="s">
        <v>29380</v>
      </c>
      <c r="H13542" t="s">
        <v>29389</v>
      </c>
      <c r="I13542" t="s">
        <v>10408</v>
      </c>
      <c r="J13542" t="s">
        <v>30308</v>
      </c>
      <c r="K13542" t="s">
        <v>38533</v>
      </c>
      <c r="M13542" t="s">
        <v>41242</v>
      </c>
      <c r="N13542" t="s">
        <v>42669</v>
      </c>
      <c r="O13542" t="s">
        <v>42670</v>
      </c>
      <c r="P13542">
        <v>0</v>
      </c>
      <c r="Q13542">
        <v>2</v>
      </c>
      <c r="R13542" t="s">
        <v>42694</v>
      </c>
      <c r="S13542" t="s">
        <v>43877</v>
      </c>
      <c r="T13542" t="s">
        <v>44488</v>
      </c>
      <c r="U13542" t="s">
        <v>55784</v>
      </c>
      <c r="V13542" t="s">
        <v>57922</v>
      </c>
      <c r="W13542" t="s">
        <v>41242</v>
      </c>
      <c r="X13542" t="s">
        <v>42697</v>
      </c>
    </row>
    <row r="13543" spans="1:24">
      <c r="A13543">
        <f>HYPERLINK("https://www.philgeps.gov.ph/GEPSNONPILOT/Tender/SplashBidNoticeAbstractUI.aspx?menuIndex=3&amp;refID=7145724&amp;Result=3","7145724")</f>
        <v>0</v>
      </c>
      <c r="B13543" t="s">
        <v>459</v>
      </c>
      <c r="C13543" t="s">
        <v>16495</v>
      </c>
      <c r="D13543" t="s">
        <v>17193</v>
      </c>
      <c r="E13543" t="s">
        <v>28776</v>
      </c>
      <c r="F13543" t="s">
        <v>29372</v>
      </c>
      <c r="G13543" t="s">
        <v>29380</v>
      </c>
      <c r="H13543" t="s">
        <v>11048</v>
      </c>
      <c r="I13543" t="s">
        <v>4235</v>
      </c>
      <c r="J13543" t="s">
        <v>38064</v>
      </c>
      <c r="K13543" t="s">
        <v>38570</v>
      </c>
      <c r="M13543" t="s">
        <v>40623</v>
      </c>
      <c r="N13543" t="s">
        <v>42669</v>
      </c>
      <c r="O13543" t="s">
        <v>42670</v>
      </c>
      <c r="Q13543">
        <v>4</v>
      </c>
      <c r="R13543" t="s">
        <v>42694</v>
      </c>
      <c r="S13543" t="s">
        <v>43886</v>
      </c>
      <c r="T13543" t="s">
        <v>44480</v>
      </c>
      <c r="U13543" t="s">
        <v>55798</v>
      </c>
      <c r="W13543" t="s">
        <v>40623</v>
      </c>
      <c r="X13543" t="s">
        <v>42697</v>
      </c>
    </row>
    <row r="13544" spans="1:24">
      <c r="A13544">
        <f>HYPERLINK("https://www.philgeps.gov.ph/GEPSNONPILOT/Tender/SplashBidNoticeAbstractUI.aspx?menuIndex=3&amp;refID=7137783&amp;Result=3","7137783")</f>
        <v>0</v>
      </c>
      <c r="B13544" t="s">
        <v>2311</v>
      </c>
      <c r="C13544" t="s">
        <v>16496</v>
      </c>
      <c r="D13544" t="s">
        <v>17191</v>
      </c>
      <c r="E13544" t="s">
        <v>28777</v>
      </c>
      <c r="F13544" t="s">
        <v>29372</v>
      </c>
      <c r="G13544" t="s">
        <v>29380</v>
      </c>
      <c r="H13544" t="s">
        <v>29389</v>
      </c>
      <c r="I13544" t="s">
        <v>10408</v>
      </c>
      <c r="J13544" t="s">
        <v>30308</v>
      </c>
      <c r="K13544" t="s">
        <v>38522</v>
      </c>
      <c r="M13544" t="s">
        <v>41242</v>
      </c>
      <c r="N13544" t="s">
        <v>42669</v>
      </c>
      <c r="O13544" t="s">
        <v>42670</v>
      </c>
      <c r="P13544">
        <v>0</v>
      </c>
      <c r="Q13544">
        <v>2</v>
      </c>
      <c r="R13544" t="s">
        <v>42694</v>
      </c>
      <c r="S13544" t="s">
        <v>43877</v>
      </c>
      <c r="T13544" t="s">
        <v>44488</v>
      </c>
      <c r="U13544" t="s">
        <v>55784</v>
      </c>
      <c r="V13544" t="s">
        <v>57923</v>
      </c>
      <c r="W13544" t="s">
        <v>41242</v>
      </c>
      <c r="X13544" t="s">
        <v>42700</v>
      </c>
    </row>
    <row r="13545" spans="1:24">
      <c r="A13545">
        <f>HYPERLINK("https://www.philgeps.gov.ph/GEPSNONPILOT/Tender/SplashBidNoticeAbstractUI.aspx?menuIndex=3&amp;refID=7149188&amp;Result=3","7149188")</f>
        <v>0</v>
      </c>
      <c r="B13545" t="s">
        <v>2866</v>
      </c>
      <c r="C13545" t="s">
        <v>16497</v>
      </c>
      <c r="D13545" t="s">
        <v>17141</v>
      </c>
      <c r="E13545" t="s">
        <v>28778</v>
      </c>
      <c r="F13545" t="s">
        <v>29372</v>
      </c>
      <c r="G13545" t="s">
        <v>29380</v>
      </c>
      <c r="H13545" t="s">
        <v>11048</v>
      </c>
      <c r="I13545" t="s">
        <v>29468</v>
      </c>
      <c r="J13545" t="s">
        <v>29590</v>
      </c>
      <c r="K13545" t="s">
        <v>38485</v>
      </c>
      <c r="M13545" t="s">
        <v>41861</v>
      </c>
      <c r="N13545" t="s">
        <v>42669</v>
      </c>
      <c r="O13545" t="s">
        <v>42670</v>
      </c>
      <c r="P13545">
        <v>0</v>
      </c>
      <c r="Q13545">
        <v>1</v>
      </c>
      <c r="R13545" t="s">
        <v>42693</v>
      </c>
      <c r="S13545" t="s">
        <v>43856</v>
      </c>
      <c r="T13545" t="s">
        <v>44512</v>
      </c>
      <c r="U13545" t="s">
        <v>55799</v>
      </c>
      <c r="V13545" t="s">
        <v>57429</v>
      </c>
      <c r="W13545" t="s">
        <v>41861</v>
      </c>
      <c r="X13545" t="s">
        <v>42696</v>
      </c>
    </row>
    <row r="13546" spans="1:24">
      <c r="A13546">
        <f>HYPERLINK("https://www.philgeps.gov.ph/GEPSNONPILOT/Tender/SplashBidNoticeAbstractUI.aspx?menuIndex=3&amp;refID=7137819&amp;Result=3","7137819")</f>
        <v>0</v>
      </c>
      <c r="B13546" t="s">
        <v>2311</v>
      </c>
      <c r="C13546" t="s">
        <v>16498</v>
      </c>
      <c r="D13546" t="s">
        <v>17191</v>
      </c>
      <c r="E13546" t="s">
        <v>28779</v>
      </c>
      <c r="F13546" t="s">
        <v>29372</v>
      </c>
      <c r="G13546" t="s">
        <v>29380</v>
      </c>
      <c r="H13546" t="s">
        <v>29389</v>
      </c>
      <c r="I13546" t="s">
        <v>10408</v>
      </c>
      <c r="J13546" t="s">
        <v>30308</v>
      </c>
      <c r="K13546" t="s">
        <v>38522</v>
      </c>
      <c r="M13546" t="s">
        <v>41242</v>
      </c>
      <c r="N13546" t="s">
        <v>42669</v>
      </c>
      <c r="O13546" t="s">
        <v>42670</v>
      </c>
      <c r="P13546">
        <v>0</v>
      </c>
      <c r="Q13546">
        <v>2</v>
      </c>
      <c r="R13546" t="s">
        <v>42694</v>
      </c>
      <c r="S13546" t="s">
        <v>43877</v>
      </c>
      <c r="T13546" t="s">
        <v>44488</v>
      </c>
      <c r="U13546" t="s">
        <v>55784</v>
      </c>
      <c r="V13546" t="s">
        <v>57924</v>
      </c>
      <c r="W13546" t="s">
        <v>41242</v>
      </c>
      <c r="X13546" t="s">
        <v>42700</v>
      </c>
    </row>
    <row r="13547" spans="1:24">
      <c r="A13547">
        <f>HYPERLINK("https://www.philgeps.gov.ph/GEPSNONPILOT/Tender/SplashBidNoticeAbstractUI.aspx?menuIndex=3&amp;refID=7145640&amp;Result=3","7145640")</f>
        <v>0</v>
      </c>
      <c r="B13547" t="s">
        <v>459</v>
      </c>
      <c r="C13547" t="s">
        <v>16499</v>
      </c>
      <c r="D13547" t="s">
        <v>17193</v>
      </c>
      <c r="E13547" t="s">
        <v>28780</v>
      </c>
      <c r="F13547" t="s">
        <v>29372</v>
      </c>
      <c r="G13547" t="s">
        <v>29380</v>
      </c>
      <c r="H13547" t="s">
        <v>11048</v>
      </c>
      <c r="I13547" t="s">
        <v>29394</v>
      </c>
      <c r="J13547" t="s">
        <v>29937</v>
      </c>
      <c r="K13547" t="s">
        <v>38506</v>
      </c>
      <c r="M13547" t="s">
        <v>40623</v>
      </c>
      <c r="N13547" t="s">
        <v>42669</v>
      </c>
      <c r="O13547" t="s">
        <v>42670</v>
      </c>
      <c r="Q13547">
        <v>4</v>
      </c>
      <c r="R13547" t="s">
        <v>42694</v>
      </c>
      <c r="S13547" t="s">
        <v>43887</v>
      </c>
      <c r="T13547" t="s">
        <v>44480</v>
      </c>
      <c r="U13547" t="s">
        <v>55800</v>
      </c>
      <c r="W13547" t="s">
        <v>40623</v>
      </c>
      <c r="X13547" t="s">
        <v>42697</v>
      </c>
    </row>
    <row r="13548" spans="1:24">
      <c r="A13548">
        <f>HYPERLINK("https://www.philgeps.gov.ph/GEPSNONPILOT/Tender/SplashBidNoticeAbstractUI.aspx?menuIndex=3&amp;refID=7145596&amp;Result=3","7145596")</f>
        <v>0</v>
      </c>
      <c r="B13548" t="s">
        <v>3154</v>
      </c>
      <c r="C13548" t="s">
        <v>16500</v>
      </c>
      <c r="D13548" t="s">
        <v>17145</v>
      </c>
      <c r="E13548" t="s">
        <v>28781</v>
      </c>
      <c r="F13548" t="s">
        <v>29374</v>
      </c>
      <c r="G13548" t="s">
        <v>29380</v>
      </c>
      <c r="H13548" t="s">
        <v>11048</v>
      </c>
      <c r="I13548" t="s">
        <v>4709</v>
      </c>
      <c r="J13548" t="s">
        <v>38065</v>
      </c>
      <c r="K13548" t="s">
        <v>38530</v>
      </c>
      <c r="M13548" t="s">
        <v>42202</v>
      </c>
      <c r="N13548" t="s">
        <v>42669</v>
      </c>
      <c r="O13548" t="s">
        <v>42670</v>
      </c>
      <c r="P13548">
        <v>0</v>
      </c>
      <c r="Q13548">
        <v>0</v>
      </c>
      <c r="R13548" t="s">
        <v>42694</v>
      </c>
      <c r="S13548" t="s">
        <v>43877</v>
      </c>
      <c r="T13548" t="s">
        <v>44530</v>
      </c>
      <c r="U13548" t="s">
        <v>55801</v>
      </c>
      <c r="W13548" t="s">
        <v>42202</v>
      </c>
      <c r="X13548" t="s">
        <v>42697</v>
      </c>
    </row>
    <row r="13549" spans="1:24">
      <c r="A13549">
        <f>HYPERLINK("https://www.philgeps.gov.ph/GEPSNONPILOT/Tender/SplashBidNoticeAbstractUI.aspx?menuIndex=3&amp;refID=7145321&amp;Result=3","7145321")</f>
        <v>0</v>
      </c>
      <c r="B13549" t="s">
        <v>1205</v>
      </c>
      <c r="C13549" t="s">
        <v>16501</v>
      </c>
      <c r="D13549" t="s">
        <v>17164</v>
      </c>
      <c r="E13549" t="s">
        <v>28782</v>
      </c>
      <c r="F13549" t="s">
        <v>29372</v>
      </c>
      <c r="G13549" t="s">
        <v>29380</v>
      </c>
      <c r="H13549" t="s">
        <v>29389</v>
      </c>
      <c r="I13549" t="s">
        <v>10408</v>
      </c>
      <c r="J13549" t="s">
        <v>33376</v>
      </c>
      <c r="K13549" t="s">
        <v>38564</v>
      </c>
      <c r="M13549" t="s">
        <v>40022</v>
      </c>
      <c r="N13549" t="s">
        <v>42669</v>
      </c>
      <c r="O13549" t="s">
        <v>42670</v>
      </c>
      <c r="P13549">
        <v>0</v>
      </c>
      <c r="Q13549">
        <v>3</v>
      </c>
      <c r="R13549" t="s">
        <v>42694</v>
      </c>
      <c r="S13549" t="s">
        <v>43877</v>
      </c>
      <c r="T13549" t="s">
        <v>44608</v>
      </c>
      <c r="U13549" t="s">
        <v>55802</v>
      </c>
      <c r="W13549" t="s">
        <v>40022</v>
      </c>
      <c r="X13549" t="s">
        <v>42697</v>
      </c>
    </row>
    <row r="13550" spans="1:24">
      <c r="A13550">
        <f>HYPERLINK("https://www.philgeps.gov.ph/GEPSNONPILOT/Tender/SplashBidNoticeAbstractUI.aspx?menuIndex=3&amp;refID=7145676&amp;Result=3","7145676")</f>
        <v>0</v>
      </c>
      <c r="B13550" t="s">
        <v>2311</v>
      </c>
      <c r="C13550" t="s">
        <v>16502</v>
      </c>
      <c r="D13550" t="s">
        <v>17191</v>
      </c>
      <c r="E13550" t="s">
        <v>28783</v>
      </c>
      <c r="F13550" t="s">
        <v>29372</v>
      </c>
      <c r="G13550" t="s">
        <v>29380</v>
      </c>
      <c r="H13550" t="s">
        <v>29389</v>
      </c>
      <c r="I13550" t="s">
        <v>10408</v>
      </c>
      <c r="J13550" t="s">
        <v>30308</v>
      </c>
      <c r="K13550" t="s">
        <v>38533</v>
      </c>
      <c r="M13550" t="s">
        <v>41242</v>
      </c>
      <c r="N13550" t="s">
        <v>42669</v>
      </c>
      <c r="O13550" t="s">
        <v>42670</v>
      </c>
      <c r="P13550">
        <v>0</v>
      </c>
      <c r="Q13550">
        <v>2</v>
      </c>
      <c r="R13550" t="s">
        <v>42694</v>
      </c>
      <c r="S13550" t="s">
        <v>43877</v>
      </c>
      <c r="T13550" t="s">
        <v>44488</v>
      </c>
      <c r="U13550" t="s">
        <v>55803</v>
      </c>
      <c r="V13550" t="s">
        <v>57925</v>
      </c>
      <c r="W13550" t="s">
        <v>41242</v>
      </c>
      <c r="X13550" t="s">
        <v>42697</v>
      </c>
    </row>
    <row r="13551" spans="1:24">
      <c r="A13551">
        <f>HYPERLINK("https://www.philgeps.gov.ph/GEPSNONPILOT/Tender/SplashBidNoticeAbstractUI.aspx?menuIndex=3&amp;refID=7148925&amp;Result=3","7148925")</f>
        <v>0</v>
      </c>
      <c r="B13551" t="s">
        <v>898</v>
      </c>
      <c r="C13551" t="s">
        <v>16503</v>
      </c>
      <c r="D13551" t="s">
        <v>17142</v>
      </c>
      <c r="E13551" t="s">
        <v>28784</v>
      </c>
      <c r="F13551" t="s">
        <v>29372</v>
      </c>
      <c r="G13551" t="s">
        <v>29380</v>
      </c>
      <c r="H13551" t="s">
        <v>29389</v>
      </c>
      <c r="I13551" t="s">
        <v>10408</v>
      </c>
      <c r="J13551" t="s">
        <v>38066</v>
      </c>
      <c r="K13551" t="s">
        <v>38490</v>
      </c>
      <c r="M13551" t="s">
        <v>42291</v>
      </c>
      <c r="N13551" t="s">
        <v>42669</v>
      </c>
      <c r="O13551" t="s">
        <v>42670</v>
      </c>
      <c r="Q13551">
        <v>0</v>
      </c>
      <c r="R13551" t="s">
        <v>42693</v>
      </c>
      <c r="S13551" t="s">
        <v>43888</v>
      </c>
      <c r="T13551" t="s">
        <v>44488</v>
      </c>
      <c r="U13551" t="s">
        <v>55804</v>
      </c>
      <c r="W13551" t="s">
        <v>42291</v>
      </c>
      <c r="X13551" t="s">
        <v>42696</v>
      </c>
    </row>
    <row r="13552" spans="1:24">
      <c r="A13552">
        <f>HYPERLINK("https://www.philgeps.gov.ph/GEPSNONPILOT/Tender/SplashBidNoticeAbstractUI.aspx?menuIndex=3&amp;refID=7144168&amp;Result=3","7144168")</f>
        <v>0</v>
      </c>
      <c r="B13552" t="s">
        <v>2311</v>
      </c>
      <c r="C13552" t="s">
        <v>16504</v>
      </c>
      <c r="D13552" t="s">
        <v>17191</v>
      </c>
      <c r="E13552" t="s">
        <v>28785</v>
      </c>
      <c r="F13552" t="s">
        <v>29372</v>
      </c>
      <c r="G13552" t="s">
        <v>29380</v>
      </c>
      <c r="H13552" t="s">
        <v>29389</v>
      </c>
      <c r="I13552" t="s">
        <v>10408</v>
      </c>
      <c r="J13552" t="s">
        <v>38067</v>
      </c>
      <c r="K13552" t="s">
        <v>38509</v>
      </c>
      <c r="M13552" t="s">
        <v>41242</v>
      </c>
      <c r="N13552" t="s">
        <v>42669</v>
      </c>
      <c r="O13552" t="s">
        <v>42670</v>
      </c>
      <c r="Q13552">
        <v>6</v>
      </c>
      <c r="R13552" t="s">
        <v>42694</v>
      </c>
      <c r="S13552" t="s">
        <v>43889</v>
      </c>
      <c r="T13552" t="s">
        <v>44488</v>
      </c>
      <c r="U13552" t="s">
        <v>55805</v>
      </c>
      <c r="V13552" t="s">
        <v>57926</v>
      </c>
      <c r="W13552" t="s">
        <v>41242</v>
      </c>
      <c r="X13552" t="s">
        <v>42698</v>
      </c>
    </row>
    <row r="13553" spans="1:24">
      <c r="A13553">
        <f>HYPERLINK("https://www.philgeps.gov.ph/GEPSNONPILOT/Tender/SplashBidNoticeAbstractUI.aspx?menuIndex=3&amp;refID=7145707&amp;Result=3","7145707")</f>
        <v>0</v>
      </c>
      <c r="B13553" t="s">
        <v>1337</v>
      </c>
      <c r="C13553" t="s">
        <v>16505</v>
      </c>
      <c r="D13553" t="s">
        <v>17148</v>
      </c>
      <c r="E13553" t="s">
        <v>28786</v>
      </c>
      <c r="F13553" t="s">
        <v>29372</v>
      </c>
      <c r="G13553" t="s">
        <v>29380</v>
      </c>
      <c r="H13553" t="s">
        <v>11048</v>
      </c>
      <c r="I13553" t="s">
        <v>29403</v>
      </c>
      <c r="J13553" t="s">
        <v>38068</v>
      </c>
      <c r="K13553" t="s">
        <v>38490</v>
      </c>
      <c r="L13553" t="s">
        <v>1337</v>
      </c>
      <c r="M13553" t="s">
        <v>40173</v>
      </c>
      <c r="N13553" t="s">
        <v>42669</v>
      </c>
      <c r="O13553" t="s">
        <v>42670</v>
      </c>
      <c r="Q13553">
        <v>3</v>
      </c>
      <c r="R13553" t="s">
        <v>42694</v>
      </c>
      <c r="S13553" t="s">
        <v>43890</v>
      </c>
      <c r="T13553" t="s">
        <v>44488</v>
      </c>
      <c r="U13553" t="s">
        <v>55806</v>
      </c>
      <c r="W13553" t="s">
        <v>40173</v>
      </c>
      <c r="X13553" t="s">
        <v>42697</v>
      </c>
    </row>
    <row r="13554" spans="1:24">
      <c r="A13554">
        <f>HYPERLINK("https://www.philgeps.gov.ph/GEPSNONPILOT/Tender/SplashBidNoticeAbstractUI.aspx?menuIndex=3&amp;refID=7140919&amp;Result=3","7140919")</f>
        <v>0</v>
      </c>
      <c r="B13554" t="s">
        <v>2311</v>
      </c>
      <c r="C13554" t="s">
        <v>16506</v>
      </c>
      <c r="D13554" t="s">
        <v>17191</v>
      </c>
      <c r="E13554" t="s">
        <v>28787</v>
      </c>
      <c r="F13554" t="s">
        <v>29372</v>
      </c>
      <c r="G13554" t="s">
        <v>29380</v>
      </c>
      <c r="H13554" t="s">
        <v>29389</v>
      </c>
      <c r="I13554" t="s">
        <v>10408</v>
      </c>
      <c r="J13554" t="s">
        <v>30308</v>
      </c>
      <c r="K13554" t="s">
        <v>38522</v>
      </c>
      <c r="M13554" t="s">
        <v>41242</v>
      </c>
      <c r="N13554" t="s">
        <v>42669</v>
      </c>
      <c r="O13554" t="s">
        <v>42670</v>
      </c>
      <c r="P13554">
        <v>0</v>
      </c>
      <c r="Q13554">
        <v>2</v>
      </c>
      <c r="R13554" t="s">
        <v>42694</v>
      </c>
      <c r="S13554" t="s">
        <v>43877</v>
      </c>
      <c r="T13554" t="s">
        <v>44488</v>
      </c>
      <c r="U13554" t="s">
        <v>55784</v>
      </c>
      <c r="V13554" t="s">
        <v>57927</v>
      </c>
      <c r="W13554" t="s">
        <v>41242</v>
      </c>
      <c r="X13554" t="s">
        <v>42699</v>
      </c>
    </row>
    <row r="13555" spans="1:24">
      <c r="A13555">
        <f>HYPERLINK("https://www.philgeps.gov.ph/GEPSNONPILOT/Tender/SplashBidNoticeAbstractUI.aspx?menuIndex=3&amp;refID=7145279&amp;Result=3","7145279")</f>
        <v>0</v>
      </c>
      <c r="B13555" t="s">
        <v>1205</v>
      </c>
      <c r="C13555" t="s">
        <v>16507</v>
      </c>
      <c r="D13555" t="s">
        <v>17164</v>
      </c>
      <c r="E13555" t="s">
        <v>28788</v>
      </c>
      <c r="F13555" t="s">
        <v>29372</v>
      </c>
      <c r="G13555" t="s">
        <v>29380</v>
      </c>
      <c r="H13555" t="s">
        <v>29389</v>
      </c>
      <c r="I13555" t="s">
        <v>10408</v>
      </c>
      <c r="J13555" t="s">
        <v>38069</v>
      </c>
      <c r="K13555" t="s">
        <v>38740</v>
      </c>
      <c r="M13555" t="s">
        <v>40022</v>
      </c>
      <c r="N13555" t="s">
        <v>42669</v>
      </c>
      <c r="O13555" t="s">
        <v>42670</v>
      </c>
      <c r="P13555">
        <v>0</v>
      </c>
      <c r="Q13555">
        <v>2</v>
      </c>
      <c r="R13555" t="s">
        <v>42694</v>
      </c>
      <c r="S13555" t="s">
        <v>43877</v>
      </c>
      <c r="T13555" t="s">
        <v>44608</v>
      </c>
      <c r="U13555" t="s">
        <v>55807</v>
      </c>
      <c r="W13555" t="s">
        <v>40022</v>
      </c>
      <c r="X13555" t="s">
        <v>42697</v>
      </c>
    </row>
    <row r="13556" spans="1:24">
      <c r="A13556">
        <f>HYPERLINK("https://www.philgeps.gov.ph/GEPSNONPILOT/Tender/SplashBidNoticeAbstractUI.aspx?menuIndex=3&amp;refID=7144322&amp;Result=3","7144322")</f>
        <v>0</v>
      </c>
      <c r="B13556" t="s">
        <v>2311</v>
      </c>
      <c r="C13556" t="s">
        <v>16508</v>
      </c>
      <c r="D13556" t="s">
        <v>17191</v>
      </c>
      <c r="E13556" t="s">
        <v>28789</v>
      </c>
      <c r="F13556" t="s">
        <v>29372</v>
      </c>
      <c r="G13556" t="s">
        <v>29380</v>
      </c>
      <c r="H13556" t="s">
        <v>29389</v>
      </c>
      <c r="I13556" t="s">
        <v>10408</v>
      </c>
      <c r="J13556" t="s">
        <v>38070</v>
      </c>
      <c r="K13556" t="s">
        <v>38574</v>
      </c>
      <c r="M13556" t="s">
        <v>41242</v>
      </c>
      <c r="N13556" t="s">
        <v>42669</v>
      </c>
      <c r="O13556" t="s">
        <v>42670</v>
      </c>
      <c r="P13556">
        <v>0</v>
      </c>
      <c r="Q13556">
        <v>4</v>
      </c>
      <c r="R13556" t="s">
        <v>42694</v>
      </c>
      <c r="S13556" t="s">
        <v>43877</v>
      </c>
      <c r="T13556" t="s">
        <v>44488</v>
      </c>
      <c r="U13556" t="s">
        <v>55808</v>
      </c>
      <c r="V13556" t="s">
        <v>57928</v>
      </c>
      <c r="W13556" t="s">
        <v>41242</v>
      </c>
      <c r="X13556" t="s">
        <v>42698</v>
      </c>
    </row>
    <row r="13557" spans="1:24">
      <c r="A13557">
        <f>HYPERLINK("https://www.philgeps.gov.ph/GEPSNONPILOT/Tender/SplashBidNoticeAbstractUI.aspx?menuIndex=3&amp;refID=7149179&amp;Result=3","7149179")</f>
        <v>0</v>
      </c>
      <c r="B13557" t="s">
        <v>365</v>
      </c>
      <c r="C13557" t="s">
        <v>16509</v>
      </c>
      <c r="D13557" t="s">
        <v>17143</v>
      </c>
      <c r="E13557" t="s">
        <v>28790</v>
      </c>
      <c r="F13557" t="s">
        <v>29372</v>
      </c>
      <c r="G13557" t="s">
        <v>29380</v>
      </c>
      <c r="H13557" t="s">
        <v>29389</v>
      </c>
      <c r="I13557" t="s">
        <v>10408</v>
      </c>
      <c r="J13557" t="s">
        <v>30012</v>
      </c>
      <c r="K13557" t="s">
        <v>38533</v>
      </c>
      <c r="M13557" t="s">
        <v>39125</v>
      </c>
      <c r="N13557" t="s">
        <v>42669</v>
      </c>
      <c r="O13557" t="s">
        <v>42670</v>
      </c>
      <c r="P13557">
        <v>0</v>
      </c>
      <c r="Q13557">
        <v>1</v>
      </c>
      <c r="R13557" t="s">
        <v>42693</v>
      </c>
      <c r="S13557" t="s">
        <v>43856</v>
      </c>
      <c r="T13557" t="s">
        <v>44393</v>
      </c>
      <c r="U13557" t="s">
        <v>55809</v>
      </c>
      <c r="W13557" t="s">
        <v>58092</v>
      </c>
      <c r="X13557" t="s">
        <v>42696</v>
      </c>
    </row>
    <row r="13558" spans="1:24">
      <c r="A13558">
        <f>HYPERLINK("https://www.philgeps.gov.ph/GEPSNONPILOT/Tender/SplashBidNoticeAbstractUI.aspx?menuIndex=3&amp;refID=7145026&amp;Result=3","7145026")</f>
        <v>0</v>
      </c>
      <c r="B13558" t="s">
        <v>3467</v>
      </c>
      <c r="C13558" t="s">
        <v>16510</v>
      </c>
      <c r="D13558" t="s">
        <v>17166</v>
      </c>
      <c r="E13558" t="s">
        <v>28791</v>
      </c>
      <c r="F13558" t="s">
        <v>29372</v>
      </c>
      <c r="G13558" t="s">
        <v>29384</v>
      </c>
      <c r="H13558" t="s">
        <v>11048</v>
      </c>
      <c r="I13558" t="s">
        <v>29415</v>
      </c>
      <c r="J13558" t="s">
        <v>32053</v>
      </c>
      <c r="K13558" t="s">
        <v>38487</v>
      </c>
      <c r="M13558" t="s">
        <v>42587</v>
      </c>
      <c r="N13558" t="s">
        <v>42669</v>
      </c>
      <c r="O13558" t="s">
        <v>42670</v>
      </c>
      <c r="Q13558">
        <v>5</v>
      </c>
      <c r="R13558" t="s">
        <v>42694</v>
      </c>
      <c r="S13558" t="s">
        <v>43891</v>
      </c>
      <c r="T13558" t="s">
        <v>44401</v>
      </c>
      <c r="U13558" t="s">
        <v>55810</v>
      </c>
      <c r="W13558" t="s">
        <v>42587</v>
      </c>
      <c r="X13558" t="s">
        <v>42698</v>
      </c>
    </row>
    <row r="13559" spans="1:24">
      <c r="A13559">
        <f>HYPERLINK("https://www.philgeps.gov.ph/GEPSNONPILOT/Tender/SplashBidNoticeAbstractUI.aspx?menuIndex=3&amp;refID=7149177&amp;Result=3","7149177")</f>
        <v>0</v>
      </c>
      <c r="B13559" t="s">
        <v>2866</v>
      </c>
      <c r="C13559" t="s">
        <v>16511</v>
      </c>
      <c r="D13559" t="s">
        <v>17141</v>
      </c>
      <c r="E13559" t="s">
        <v>28792</v>
      </c>
      <c r="F13559" t="s">
        <v>29372</v>
      </c>
      <c r="G13559" t="s">
        <v>29380</v>
      </c>
      <c r="H13559" t="s">
        <v>11048</v>
      </c>
      <c r="I13559" t="s">
        <v>29521</v>
      </c>
      <c r="J13559" t="s">
        <v>29543</v>
      </c>
      <c r="K13559" t="s">
        <v>38485</v>
      </c>
      <c r="M13559" t="s">
        <v>41861</v>
      </c>
      <c r="N13559" t="s">
        <v>42669</v>
      </c>
      <c r="O13559" t="s">
        <v>42670</v>
      </c>
      <c r="P13559">
        <v>0</v>
      </c>
      <c r="Q13559">
        <v>3</v>
      </c>
      <c r="R13559" t="s">
        <v>42693</v>
      </c>
      <c r="S13559" t="s">
        <v>43856</v>
      </c>
      <c r="T13559" t="s">
        <v>44512</v>
      </c>
      <c r="U13559" t="s">
        <v>55811</v>
      </c>
      <c r="V13559" t="s">
        <v>57429</v>
      </c>
      <c r="W13559" t="s">
        <v>41861</v>
      </c>
      <c r="X13559" t="s">
        <v>42696</v>
      </c>
    </row>
    <row r="13560" spans="1:24">
      <c r="A13560">
        <f>HYPERLINK("https://www.philgeps.gov.ph/GEPSNONPILOT/Tender/SplashBidNoticeAbstractUI.aspx?menuIndex=3&amp;refID=7149166&amp;Result=3","7149166")</f>
        <v>0</v>
      </c>
      <c r="B13560" t="s">
        <v>365</v>
      </c>
      <c r="C13560" t="s">
        <v>16512</v>
      </c>
      <c r="D13560" t="s">
        <v>17143</v>
      </c>
      <c r="E13560" t="s">
        <v>28793</v>
      </c>
      <c r="F13560" t="s">
        <v>29372</v>
      </c>
      <c r="G13560" t="s">
        <v>29380</v>
      </c>
      <c r="H13560" t="s">
        <v>29389</v>
      </c>
      <c r="I13560" t="s">
        <v>10408</v>
      </c>
      <c r="J13560" t="s">
        <v>38071</v>
      </c>
      <c r="K13560" t="s">
        <v>38523</v>
      </c>
      <c r="M13560" t="s">
        <v>39125</v>
      </c>
      <c r="N13560" t="s">
        <v>42669</v>
      </c>
      <c r="O13560" t="s">
        <v>42670</v>
      </c>
      <c r="P13560">
        <v>0</v>
      </c>
      <c r="Q13560">
        <v>1</v>
      </c>
      <c r="R13560" t="s">
        <v>42693</v>
      </c>
      <c r="S13560" t="s">
        <v>43856</v>
      </c>
      <c r="T13560" t="s">
        <v>44389</v>
      </c>
      <c r="U13560" t="s">
        <v>55812</v>
      </c>
      <c r="W13560" t="s">
        <v>58092</v>
      </c>
      <c r="X13560" t="s">
        <v>42696</v>
      </c>
    </row>
    <row r="13561" spans="1:24">
      <c r="A13561">
        <f>HYPERLINK("https://www.philgeps.gov.ph/GEPSNONPILOT/Tender/SplashBidNoticeAbstractUI.aspx?menuIndex=3&amp;refID=7147019&amp;Result=3","7147019")</f>
        <v>0</v>
      </c>
      <c r="B13561" t="s">
        <v>2356</v>
      </c>
      <c r="C13561" t="s">
        <v>16513</v>
      </c>
      <c r="D13561" t="s">
        <v>17191</v>
      </c>
      <c r="E13561" t="s">
        <v>28794</v>
      </c>
      <c r="F13561" t="s">
        <v>29372</v>
      </c>
      <c r="G13561" t="s">
        <v>29380</v>
      </c>
      <c r="H13561" t="s">
        <v>29389</v>
      </c>
      <c r="I13561" t="s">
        <v>10408</v>
      </c>
      <c r="J13561" t="s">
        <v>38072</v>
      </c>
      <c r="K13561" t="s">
        <v>38502</v>
      </c>
      <c r="M13561" t="s">
        <v>41291</v>
      </c>
      <c r="N13561" t="s">
        <v>42669</v>
      </c>
      <c r="O13561" t="s">
        <v>42670</v>
      </c>
      <c r="Q13561">
        <v>7</v>
      </c>
      <c r="R13561" t="s">
        <v>42694</v>
      </c>
      <c r="S13561" t="s">
        <v>43169</v>
      </c>
      <c r="T13561" t="s">
        <v>44491</v>
      </c>
      <c r="U13561" t="s">
        <v>55813</v>
      </c>
      <c r="W13561" t="s">
        <v>41291</v>
      </c>
      <c r="X13561" t="s">
        <v>42697</v>
      </c>
    </row>
    <row r="13562" spans="1:24">
      <c r="A13562">
        <f>HYPERLINK("https://www.philgeps.gov.ph/GEPSNONPILOT/Tender/SplashBidNoticeAbstractUI.aspx?menuIndex=3&amp;refID=7146970&amp;Result=3","7146970")</f>
        <v>0</v>
      </c>
      <c r="B13562" t="s">
        <v>1992</v>
      </c>
      <c r="C13562" t="s">
        <v>16514</v>
      </c>
      <c r="D13562" t="s">
        <v>17178</v>
      </c>
      <c r="E13562" t="s">
        <v>28795</v>
      </c>
      <c r="F13562" t="s">
        <v>29372</v>
      </c>
      <c r="G13562" t="s">
        <v>29380</v>
      </c>
      <c r="H13562" t="s">
        <v>11048</v>
      </c>
      <c r="I13562" t="s">
        <v>29393</v>
      </c>
      <c r="J13562" t="s">
        <v>38073</v>
      </c>
      <c r="K13562" t="s">
        <v>38485</v>
      </c>
      <c r="M13562" t="s">
        <v>40882</v>
      </c>
      <c r="N13562" t="s">
        <v>42669</v>
      </c>
      <c r="O13562" t="s">
        <v>42670</v>
      </c>
      <c r="P13562">
        <v>0</v>
      </c>
      <c r="Q13562">
        <v>0</v>
      </c>
      <c r="R13562" t="s">
        <v>42694</v>
      </c>
      <c r="S13562" t="s">
        <v>43877</v>
      </c>
      <c r="T13562" t="s">
        <v>44530</v>
      </c>
      <c r="U13562" t="s">
        <v>55814</v>
      </c>
      <c r="W13562" t="s">
        <v>40882</v>
      </c>
      <c r="X13562" t="s">
        <v>42697</v>
      </c>
    </row>
    <row r="13563" spans="1:24">
      <c r="A13563">
        <f>HYPERLINK("https://www.philgeps.gov.ph/GEPSNONPILOT/Tender/SplashBidNoticeAbstractUI.aspx?menuIndex=3&amp;refID=7140181&amp;Result=3","7140181")</f>
        <v>0</v>
      </c>
      <c r="B13563" t="s">
        <v>1024</v>
      </c>
      <c r="C13563" t="s">
        <v>16515</v>
      </c>
      <c r="D13563" t="s">
        <v>17166</v>
      </c>
      <c r="E13563" t="s">
        <v>28796</v>
      </c>
      <c r="F13563" t="s">
        <v>29372</v>
      </c>
      <c r="G13563" t="s">
        <v>29380</v>
      </c>
      <c r="H13563" t="s">
        <v>29389</v>
      </c>
      <c r="I13563" t="s">
        <v>29408</v>
      </c>
      <c r="J13563" t="s">
        <v>38074</v>
      </c>
      <c r="K13563" t="s">
        <v>38575</v>
      </c>
      <c r="M13563" t="s">
        <v>39824</v>
      </c>
      <c r="N13563" t="s">
        <v>42669</v>
      </c>
      <c r="O13563" t="s">
        <v>42670</v>
      </c>
      <c r="Q13563">
        <v>7</v>
      </c>
      <c r="R13563" t="s">
        <v>42694</v>
      </c>
      <c r="S13563" t="s">
        <v>43892</v>
      </c>
      <c r="T13563" t="s">
        <v>44373</v>
      </c>
      <c r="U13563" t="s">
        <v>55815</v>
      </c>
      <c r="V13563" t="s">
        <v>57929</v>
      </c>
      <c r="W13563" t="s">
        <v>39824</v>
      </c>
      <c r="X13563" t="s">
        <v>42699</v>
      </c>
    </row>
    <row r="13564" spans="1:24">
      <c r="A13564">
        <f>HYPERLINK("https://www.philgeps.gov.ph/GEPSNONPILOT/Tender/SplashBidNoticeAbstractUI.aspx?menuIndex=3&amp;refID=7144240&amp;Result=3","7144240")</f>
        <v>0</v>
      </c>
      <c r="B13564" t="s">
        <v>2311</v>
      </c>
      <c r="C13564" t="s">
        <v>16516</v>
      </c>
      <c r="D13564" t="s">
        <v>17191</v>
      </c>
      <c r="E13564" t="s">
        <v>28797</v>
      </c>
      <c r="F13564" t="s">
        <v>29372</v>
      </c>
      <c r="G13564" t="s">
        <v>29380</v>
      </c>
      <c r="H13564" t="s">
        <v>29389</v>
      </c>
      <c r="I13564" t="s">
        <v>10408</v>
      </c>
      <c r="J13564" t="s">
        <v>38075</v>
      </c>
      <c r="K13564" t="s">
        <v>38574</v>
      </c>
      <c r="M13564" t="s">
        <v>41242</v>
      </c>
      <c r="N13564" t="s">
        <v>42669</v>
      </c>
      <c r="O13564" t="s">
        <v>42670</v>
      </c>
      <c r="P13564">
        <v>0</v>
      </c>
      <c r="Q13564">
        <v>3</v>
      </c>
      <c r="R13564" t="s">
        <v>42694</v>
      </c>
      <c r="S13564" t="s">
        <v>43877</v>
      </c>
      <c r="T13564" t="s">
        <v>44488</v>
      </c>
      <c r="U13564" t="s">
        <v>55816</v>
      </c>
      <c r="V13564" t="s">
        <v>57930</v>
      </c>
      <c r="W13564" t="s">
        <v>41242</v>
      </c>
      <c r="X13564" t="s">
        <v>42698</v>
      </c>
    </row>
    <row r="13565" spans="1:24">
      <c r="A13565">
        <f>HYPERLINK("https://www.philgeps.gov.ph/GEPSNONPILOT/Tender/SplashBidNoticeAbstractUI.aspx?menuIndex=3&amp;refID=7146914&amp;Result=3","7146914")</f>
        <v>0</v>
      </c>
      <c r="B13565" t="s">
        <v>3468</v>
      </c>
      <c r="C13565" t="s">
        <v>16517</v>
      </c>
      <c r="D13565" t="s">
        <v>17189</v>
      </c>
      <c r="E13565" t="s">
        <v>28798</v>
      </c>
      <c r="F13565" t="s">
        <v>29372</v>
      </c>
      <c r="G13565" t="s">
        <v>29380</v>
      </c>
      <c r="H13565" t="s">
        <v>29391</v>
      </c>
      <c r="I13565" t="s">
        <v>29391</v>
      </c>
      <c r="J13565" t="s">
        <v>32431</v>
      </c>
      <c r="K13565" t="s">
        <v>38533</v>
      </c>
      <c r="M13565" t="s">
        <v>42588</v>
      </c>
      <c r="N13565" t="s">
        <v>42669</v>
      </c>
      <c r="O13565" t="s">
        <v>42670</v>
      </c>
      <c r="P13565">
        <v>0</v>
      </c>
      <c r="Q13565">
        <v>5</v>
      </c>
      <c r="R13565" t="s">
        <v>42694</v>
      </c>
      <c r="S13565" t="s">
        <v>43877</v>
      </c>
      <c r="T13565" t="s">
        <v>44450</v>
      </c>
      <c r="U13565" t="s">
        <v>55817</v>
      </c>
      <c r="W13565" t="s">
        <v>42588</v>
      </c>
      <c r="X13565" t="s">
        <v>42697</v>
      </c>
    </row>
    <row r="13566" spans="1:24">
      <c r="A13566">
        <f>HYPERLINK("https://www.philgeps.gov.ph/GEPSNONPILOT/Tender/SplashBidNoticeAbstractUI.aspx?menuIndex=3&amp;refID=7149172&amp;Result=3","7149172")</f>
        <v>0</v>
      </c>
      <c r="B13566" t="s">
        <v>365</v>
      </c>
      <c r="C13566" t="s">
        <v>16518</v>
      </c>
      <c r="D13566" t="s">
        <v>17143</v>
      </c>
      <c r="E13566" t="s">
        <v>28799</v>
      </c>
      <c r="F13566" t="s">
        <v>29372</v>
      </c>
      <c r="G13566" t="s">
        <v>29380</v>
      </c>
      <c r="H13566" t="s">
        <v>29389</v>
      </c>
      <c r="I13566" t="s">
        <v>10408</v>
      </c>
      <c r="J13566" t="s">
        <v>30244</v>
      </c>
      <c r="K13566" t="s">
        <v>38502</v>
      </c>
      <c r="M13566" t="s">
        <v>39125</v>
      </c>
      <c r="N13566" t="s">
        <v>42669</v>
      </c>
      <c r="O13566" t="s">
        <v>42670</v>
      </c>
      <c r="P13566">
        <v>0</v>
      </c>
      <c r="Q13566">
        <v>0</v>
      </c>
      <c r="R13566" t="s">
        <v>42693</v>
      </c>
      <c r="S13566" t="s">
        <v>43856</v>
      </c>
      <c r="T13566" t="s">
        <v>44393</v>
      </c>
      <c r="U13566" t="s">
        <v>55818</v>
      </c>
      <c r="W13566" t="s">
        <v>58092</v>
      </c>
      <c r="X13566" t="s">
        <v>42696</v>
      </c>
    </row>
    <row r="13567" spans="1:24">
      <c r="A13567">
        <f>HYPERLINK("https://www.philgeps.gov.ph/GEPSNONPILOT/Tender/SplashBidNoticeAbstractUI.aspx?menuIndex=3&amp;refID=7146903&amp;Result=3","7146903")</f>
        <v>0</v>
      </c>
      <c r="B13567" t="s">
        <v>3129</v>
      </c>
      <c r="C13567" t="s">
        <v>16519</v>
      </c>
      <c r="E13567" t="s">
        <v>28800</v>
      </c>
      <c r="F13567" t="s">
        <v>29372</v>
      </c>
      <c r="G13567" t="s">
        <v>29380</v>
      </c>
      <c r="H13567" t="s">
        <v>11048</v>
      </c>
      <c r="I13567" t="s">
        <v>9469</v>
      </c>
      <c r="J13567" t="s">
        <v>32053</v>
      </c>
      <c r="K13567" t="s">
        <v>38490</v>
      </c>
      <c r="M13567" t="s">
        <v>42172</v>
      </c>
      <c r="N13567" t="s">
        <v>42669</v>
      </c>
      <c r="O13567" t="s">
        <v>42670</v>
      </c>
      <c r="P13567">
        <v>0</v>
      </c>
      <c r="Q13567">
        <v>3</v>
      </c>
      <c r="R13567" t="s">
        <v>42694</v>
      </c>
      <c r="S13567" t="s">
        <v>43877</v>
      </c>
      <c r="T13567" t="s">
        <v>44432</v>
      </c>
      <c r="U13567" t="s">
        <v>55819</v>
      </c>
      <c r="W13567" t="s">
        <v>42172</v>
      </c>
      <c r="X13567" t="s">
        <v>42697</v>
      </c>
    </row>
    <row r="13568" spans="1:24">
      <c r="A13568">
        <f>HYPERLINK("https://www.philgeps.gov.ph/GEPSNONPILOT/Tender/SplashBidNoticeAbstractUI.aspx?menuIndex=3&amp;refID=7146855&amp;Result=3","7146855")</f>
        <v>0</v>
      </c>
      <c r="B13568" t="s">
        <v>1992</v>
      </c>
      <c r="C13568" t="s">
        <v>16520</v>
      </c>
      <c r="D13568" t="s">
        <v>17178</v>
      </c>
      <c r="E13568" t="s">
        <v>28801</v>
      </c>
      <c r="F13568" t="s">
        <v>29372</v>
      </c>
      <c r="G13568" t="s">
        <v>29380</v>
      </c>
      <c r="H13568" t="s">
        <v>29389</v>
      </c>
      <c r="I13568" t="s">
        <v>10408</v>
      </c>
      <c r="J13568" t="s">
        <v>29708</v>
      </c>
      <c r="K13568" t="s">
        <v>38496</v>
      </c>
      <c r="M13568" t="s">
        <v>40882</v>
      </c>
      <c r="N13568" t="s">
        <v>42669</v>
      </c>
      <c r="O13568" t="s">
        <v>42670</v>
      </c>
      <c r="P13568">
        <v>0</v>
      </c>
      <c r="Q13568">
        <v>0</v>
      </c>
      <c r="R13568" t="s">
        <v>42694</v>
      </c>
      <c r="S13568" t="s">
        <v>43877</v>
      </c>
      <c r="T13568" t="s">
        <v>44530</v>
      </c>
      <c r="U13568" t="s">
        <v>55814</v>
      </c>
      <c r="W13568" t="s">
        <v>40882</v>
      </c>
      <c r="X13568" t="s">
        <v>42697</v>
      </c>
    </row>
    <row r="13569" spans="1:24">
      <c r="A13569">
        <f>HYPERLINK("https://www.philgeps.gov.ph/GEPSNONPILOT/Tender/SplashBidNoticeAbstractUI.aspx?menuIndex=3&amp;refID=7140861&amp;Result=3","7140861")</f>
        <v>0</v>
      </c>
      <c r="B13569" t="s">
        <v>2311</v>
      </c>
      <c r="C13569" t="s">
        <v>16521</v>
      </c>
      <c r="D13569" t="s">
        <v>17191</v>
      </c>
      <c r="E13569" t="s">
        <v>28802</v>
      </c>
      <c r="F13569" t="s">
        <v>29372</v>
      </c>
      <c r="G13569" t="s">
        <v>29380</v>
      </c>
      <c r="H13569" t="s">
        <v>29389</v>
      </c>
      <c r="I13569" t="s">
        <v>10408</v>
      </c>
      <c r="J13569" t="s">
        <v>30308</v>
      </c>
      <c r="K13569" t="s">
        <v>38522</v>
      </c>
      <c r="M13569" t="s">
        <v>41242</v>
      </c>
      <c r="N13569" t="s">
        <v>42669</v>
      </c>
      <c r="O13569" t="s">
        <v>42670</v>
      </c>
      <c r="P13569">
        <v>0</v>
      </c>
      <c r="Q13569">
        <v>2</v>
      </c>
      <c r="R13569" t="s">
        <v>42694</v>
      </c>
      <c r="S13569" t="s">
        <v>43877</v>
      </c>
      <c r="T13569" t="s">
        <v>44488</v>
      </c>
      <c r="U13569" t="s">
        <v>55784</v>
      </c>
      <c r="V13569" t="s">
        <v>57931</v>
      </c>
      <c r="W13569" t="s">
        <v>41242</v>
      </c>
      <c r="X13569" t="s">
        <v>42699</v>
      </c>
    </row>
    <row r="13570" spans="1:24">
      <c r="A13570">
        <f>HYPERLINK("https://www.philgeps.gov.ph/GEPSNONPILOT/Tender/SplashBidNoticeAbstractUI.aspx?menuIndex=3&amp;refID=7146794&amp;Result=3","7146794")</f>
        <v>0</v>
      </c>
      <c r="B13570" t="s">
        <v>2614</v>
      </c>
      <c r="C13570" t="s">
        <v>16522</v>
      </c>
      <c r="D13570" t="s">
        <v>17187</v>
      </c>
      <c r="E13570" t="s">
        <v>28803</v>
      </c>
      <c r="F13570" t="s">
        <v>29372</v>
      </c>
      <c r="G13570" t="s">
        <v>29380</v>
      </c>
      <c r="H13570" t="s">
        <v>11048</v>
      </c>
      <c r="I13570" t="s">
        <v>9469</v>
      </c>
      <c r="J13570" t="s">
        <v>29788</v>
      </c>
      <c r="K13570" t="s">
        <v>38490</v>
      </c>
      <c r="M13570" t="s">
        <v>41584</v>
      </c>
      <c r="N13570" t="s">
        <v>42669</v>
      </c>
      <c r="O13570" t="s">
        <v>42670</v>
      </c>
      <c r="P13570">
        <v>0</v>
      </c>
      <c r="Q13570">
        <v>14</v>
      </c>
      <c r="R13570" t="s">
        <v>42694</v>
      </c>
      <c r="S13570" t="s">
        <v>43877</v>
      </c>
      <c r="T13570" t="s">
        <v>44488</v>
      </c>
      <c r="U13570" t="s">
        <v>55820</v>
      </c>
      <c r="V13570" t="s">
        <v>57932</v>
      </c>
      <c r="W13570" t="s">
        <v>41584</v>
      </c>
      <c r="X13570" t="s">
        <v>42697</v>
      </c>
    </row>
    <row r="13571" spans="1:24">
      <c r="A13571">
        <f>HYPERLINK("https://www.philgeps.gov.ph/GEPSNONPILOT/Tender/SplashBidNoticeAbstractUI.aspx?menuIndex=3&amp;refID=7146484&amp;Result=3","7146484")</f>
        <v>0</v>
      </c>
      <c r="B13571" t="s">
        <v>2464</v>
      </c>
      <c r="C13571" t="s">
        <v>16523</v>
      </c>
      <c r="D13571" t="s">
        <v>17181</v>
      </c>
      <c r="E13571" t="s">
        <v>28804</v>
      </c>
      <c r="F13571" t="s">
        <v>29372</v>
      </c>
      <c r="G13571" t="s">
        <v>29380</v>
      </c>
      <c r="H13571" t="s">
        <v>11048</v>
      </c>
      <c r="I13571" t="s">
        <v>29407</v>
      </c>
      <c r="J13571" t="s">
        <v>38076</v>
      </c>
      <c r="K13571" t="s">
        <v>38485</v>
      </c>
      <c r="M13571" t="s">
        <v>41413</v>
      </c>
      <c r="N13571" t="s">
        <v>42669</v>
      </c>
      <c r="O13571" t="s">
        <v>42670</v>
      </c>
      <c r="P13571">
        <v>0</v>
      </c>
      <c r="Q13571">
        <v>1</v>
      </c>
      <c r="R13571" t="s">
        <v>42694</v>
      </c>
      <c r="S13571" t="s">
        <v>43877</v>
      </c>
      <c r="T13571" t="s">
        <v>44432</v>
      </c>
      <c r="U13571" t="s">
        <v>55821</v>
      </c>
      <c r="W13571" t="s">
        <v>41413</v>
      </c>
      <c r="X13571" t="s">
        <v>42697</v>
      </c>
    </row>
    <row r="13572" spans="1:24">
      <c r="A13572">
        <f>HYPERLINK("https://www.philgeps.gov.ph/GEPSNONPILOT/Tender/SplashBidNoticeAbstractUI.aspx?menuIndex=3&amp;refID=7146741&amp;Result=3","7146741")</f>
        <v>0</v>
      </c>
      <c r="B13572" t="s">
        <v>1992</v>
      </c>
      <c r="C13572" t="s">
        <v>16524</v>
      </c>
      <c r="D13572" t="s">
        <v>17178</v>
      </c>
      <c r="E13572" t="s">
        <v>28805</v>
      </c>
      <c r="F13572" t="s">
        <v>29372</v>
      </c>
      <c r="G13572" t="s">
        <v>29380</v>
      </c>
      <c r="H13572" t="s">
        <v>29389</v>
      </c>
      <c r="I13572" t="s">
        <v>10408</v>
      </c>
      <c r="J13572" t="s">
        <v>29543</v>
      </c>
      <c r="K13572" t="s">
        <v>38522</v>
      </c>
      <c r="M13572" t="s">
        <v>40882</v>
      </c>
      <c r="N13572" t="s">
        <v>42669</v>
      </c>
      <c r="O13572" t="s">
        <v>42670</v>
      </c>
      <c r="P13572">
        <v>0</v>
      </c>
      <c r="Q13572">
        <v>0</v>
      </c>
      <c r="R13572" t="s">
        <v>42694</v>
      </c>
      <c r="S13572" t="s">
        <v>43877</v>
      </c>
      <c r="T13572" t="s">
        <v>44530</v>
      </c>
      <c r="U13572" t="s">
        <v>55814</v>
      </c>
      <c r="W13572" t="s">
        <v>40882</v>
      </c>
      <c r="X13572" t="s">
        <v>42697</v>
      </c>
    </row>
    <row r="13573" spans="1:24">
      <c r="A13573">
        <f>HYPERLINK("https://www.philgeps.gov.ph/GEPSNONPILOT/Tender/SplashBidNoticeAbstractUI.aspx?menuIndex=3&amp;refID=7146656&amp;Result=3","7146656")</f>
        <v>0</v>
      </c>
      <c r="B13573" t="s">
        <v>1024</v>
      </c>
      <c r="C13573" t="s">
        <v>16525</v>
      </c>
      <c r="D13573" t="s">
        <v>17166</v>
      </c>
      <c r="E13573" t="s">
        <v>28806</v>
      </c>
      <c r="F13573" t="s">
        <v>29372</v>
      </c>
      <c r="G13573" t="s">
        <v>29380</v>
      </c>
      <c r="H13573" t="s">
        <v>11048</v>
      </c>
      <c r="I13573" t="s">
        <v>3839</v>
      </c>
      <c r="J13573" t="s">
        <v>38077</v>
      </c>
      <c r="K13573" t="s">
        <v>38517</v>
      </c>
      <c r="M13573" t="s">
        <v>39824</v>
      </c>
      <c r="N13573" t="s">
        <v>42669</v>
      </c>
      <c r="O13573" t="s">
        <v>42670</v>
      </c>
      <c r="Q13573">
        <v>10</v>
      </c>
      <c r="R13573" t="s">
        <v>42694</v>
      </c>
      <c r="S13573" t="s">
        <v>43893</v>
      </c>
      <c r="T13573" t="s">
        <v>44412</v>
      </c>
      <c r="U13573" t="s">
        <v>55822</v>
      </c>
      <c r="V13573" t="s">
        <v>57933</v>
      </c>
      <c r="W13573" t="s">
        <v>39824</v>
      </c>
      <c r="X13573" t="s">
        <v>42697</v>
      </c>
    </row>
    <row r="13574" spans="1:24">
      <c r="A13574">
        <f>HYPERLINK("https://www.philgeps.gov.ph/GEPSNONPILOT/Tender/SplashBidNoticeAbstractUI.aspx?menuIndex=3&amp;refID=7146488&amp;Result=3","7146488")</f>
        <v>0</v>
      </c>
      <c r="B13574" t="s">
        <v>834</v>
      </c>
      <c r="C13574" t="s">
        <v>16526</v>
      </c>
      <c r="D13574" t="s">
        <v>17188</v>
      </c>
      <c r="E13574" t="s">
        <v>28807</v>
      </c>
      <c r="F13574" t="s">
        <v>29372</v>
      </c>
      <c r="G13574" t="s">
        <v>29379</v>
      </c>
      <c r="H13574" t="s">
        <v>11048</v>
      </c>
      <c r="I13574" t="s">
        <v>29397</v>
      </c>
      <c r="J13574" t="s">
        <v>32253</v>
      </c>
      <c r="K13574" t="s">
        <v>38496</v>
      </c>
      <c r="M13574" t="s">
        <v>42589</v>
      </c>
      <c r="N13574" t="s">
        <v>42669</v>
      </c>
      <c r="O13574" t="s">
        <v>42670</v>
      </c>
      <c r="Q13574">
        <v>3</v>
      </c>
      <c r="R13574" t="s">
        <v>42694</v>
      </c>
      <c r="S13574" t="s">
        <v>43491</v>
      </c>
      <c r="T13574" t="s">
        <v>44385</v>
      </c>
      <c r="U13574" t="s">
        <v>49057</v>
      </c>
      <c r="W13574" t="s">
        <v>42589</v>
      </c>
      <c r="X13574" t="s">
        <v>42697</v>
      </c>
    </row>
    <row r="13575" spans="1:24">
      <c r="A13575">
        <f>HYPERLINK("https://www.philgeps.gov.ph/GEPSNONPILOT/Tender/SplashBidNoticeAbstractUI.aspx?menuIndex=3&amp;refID=7146426&amp;Result=3","7146426")</f>
        <v>0</v>
      </c>
      <c r="B13575" t="s">
        <v>1919</v>
      </c>
      <c r="C13575" t="s">
        <v>16527</v>
      </c>
      <c r="D13575" t="s">
        <v>17194</v>
      </c>
      <c r="E13575" t="s">
        <v>28808</v>
      </c>
      <c r="F13575" t="s">
        <v>29372</v>
      </c>
      <c r="G13575" t="s">
        <v>29380</v>
      </c>
      <c r="H13575" t="s">
        <v>11048</v>
      </c>
      <c r="I13575" t="s">
        <v>4709</v>
      </c>
      <c r="J13575" t="s">
        <v>38078</v>
      </c>
      <c r="K13575" t="s">
        <v>38485</v>
      </c>
      <c r="M13575" t="s">
        <v>40820</v>
      </c>
      <c r="N13575" t="s">
        <v>42669</v>
      </c>
      <c r="O13575" t="s">
        <v>42670</v>
      </c>
      <c r="P13575">
        <v>0</v>
      </c>
      <c r="Q13575">
        <v>1</v>
      </c>
      <c r="R13575" t="s">
        <v>42694</v>
      </c>
      <c r="S13575" t="s">
        <v>43877</v>
      </c>
      <c r="T13575" t="s">
        <v>44432</v>
      </c>
      <c r="U13575" t="s">
        <v>49323</v>
      </c>
      <c r="V13575" t="s">
        <v>56972</v>
      </c>
      <c r="W13575" t="s">
        <v>40820</v>
      </c>
      <c r="X13575" t="s">
        <v>42697</v>
      </c>
    </row>
    <row r="13576" spans="1:24">
      <c r="A13576">
        <f>HYPERLINK("https://www.philgeps.gov.ph/GEPSNONPILOT/Tender/SplashBidNoticeAbstractUI.aspx?menuIndex=3&amp;refID=7146439&amp;Result=3","7146439")</f>
        <v>0</v>
      </c>
      <c r="B13576" t="s">
        <v>3469</v>
      </c>
      <c r="C13576" t="s">
        <v>16528</v>
      </c>
      <c r="D13576" t="s">
        <v>17155</v>
      </c>
      <c r="E13576" t="s">
        <v>28809</v>
      </c>
      <c r="F13576" t="s">
        <v>29372</v>
      </c>
      <c r="G13576" t="s">
        <v>29380</v>
      </c>
      <c r="H13576" t="s">
        <v>11048</v>
      </c>
      <c r="I13576" t="s">
        <v>10408</v>
      </c>
      <c r="J13576" t="s">
        <v>29573</v>
      </c>
      <c r="K13576" t="s">
        <v>38758</v>
      </c>
      <c r="M13576" t="s">
        <v>42590</v>
      </c>
      <c r="N13576" t="s">
        <v>42669</v>
      </c>
      <c r="O13576" t="s">
        <v>42670</v>
      </c>
      <c r="Q13576">
        <v>0</v>
      </c>
      <c r="R13576" t="s">
        <v>42694</v>
      </c>
      <c r="S13576" t="s">
        <v>43894</v>
      </c>
      <c r="T13576" t="s">
        <v>44375</v>
      </c>
      <c r="U13576" t="s">
        <v>55823</v>
      </c>
      <c r="W13576" t="s">
        <v>42590</v>
      </c>
      <c r="X13576" t="s">
        <v>42697</v>
      </c>
    </row>
    <row r="13577" spans="1:24">
      <c r="A13577">
        <f>HYPERLINK("https://www.philgeps.gov.ph/GEPSNONPILOT/Tender/SplashBidNoticeAbstractUI.aspx?menuIndex=3&amp;refID=7146321&amp;Result=3","7146321")</f>
        <v>0</v>
      </c>
      <c r="B13577" t="s">
        <v>3470</v>
      </c>
      <c r="C13577" t="s">
        <v>10493</v>
      </c>
      <c r="D13577" t="s">
        <v>17195</v>
      </c>
      <c r="E13577" t="s">
        <v>17404</v>
      </c>
      <c r="F13577" t="s">
        <v>29372</v>
      </c>
      <c r="G13577" t="s">
        <v>29380</v>
      </c>
      <c r="H13577" t="s">
        <v>29389</v>
      </c>
      <c r="I13577" t="s">
        <v>4709</v>
      </c>
      <c r="J13577" t="s">
        <v>38079</v>
      </c>
      <c r="K13577" t="s">
        <v>38485</v>
      </c>
      <c r="M13577" t="s">
        <v>42591</v>
      </c>
      <c r="N13577" t="s">
        <v>42669</v>
      </c>
      <c r="O13577" t="s">
        <v>42670</v>
      </c>
      <c r="P13577">
        <v>0</v>
      </c>
      <c r="Q13577">
        <v>4</v>
      </c>
      <c r="R13577" t="s">
        <v>42694</v>
      </c>
      <c r="S13577" t="s">
        <v>43877</v>
      </c>
      <c r="T13577" t="s">
        <v>44393</v>
      </c>
      <c r="U13577" t="s">
        <v>55824</v>
      </c>
      <c r="W13577" t="s">
        <v>42591</v>
      </c>
      <c r="X13577" t="s">
        <v>42697</v>
      </c>
    </row>
    <row r="13578" spans="1:24">
      <c r="A13578">
        <f>HYPERLINK("https://www.philgeps.gov.ph/GEPSNONPILOT/Tender/SplashBidNoticeAbstractUI.aspx?menuIndex=3&amp;refID=7146255&amp;Result=3","7146255")</f>
        <v>0</v>
      </c>
      <c r="B13578" t="s">
        <v>1512</v>
      </c>
      <c r="C13578" t="s">
        <v>16529</v>
      </c>
      <c r="D13578" t="s">
        <v>17206</v>
      </c>
      <c r="E13578" t="s">
        <v>28810</v>
      </c>
      <c r="F13578" t="s">
        <v>29372</v>
      </c>
      <c r="G13578" t="s">
        <v>29380</v>
      </c>
      <c r="H13578" t="s">
        <v>29391</v>
      </c>
      <c r="I13578" t="s">
        <v>10408</v>
      </c>
      <c r="J13578" t="s">
        <v>29615</v>
      </c>
      <c r="K13578" t="s">
        <v>38490</v>
      </c>
      <c r="M13578" t="s">
        <v>40356</v>
      </c>
      <c r="N13578" t="s">
        <v>42669</v>
      </c>
      <c r="O13578" t="s">
        <v>42670</v>
      </c>
      <c r="P13578">
        <v>0</v>
      </c>
      <c r="Q13578">
        <v>2</v>
      </c>
      <c r="R13578" t="s">
        <v>42694</v>
      </c>
      <c r="S13578" t="s">
        <v>43877</v>
      </c>
      <c r="T13578" t="s">
        <v>44857</v>
      </c>
      <c r="U13578" t="s">
        <v>55480</v>
      </c>
      <c r="V13578" t="s">
        <v>57934</v>
      </c>
      <c r="W13578" t="s">
        <v>40356</v>
      </c>
      <c r="X13578" t="s">
        <v>42697</v>
      </c>
    </row>
    <row r="13579" spans="1:24">
      <c r="A13579">
        <f>HYPERLINK("https://www.philgeps.gov.ph/GEPSNONPILOT/Tender/SplashBidNoticeAbstractUI.aspx?menuIndex=3&amp;refID=7146777&amp;Result=3","7146777")</f>
        <v>0</v>
      </c>
      <c r="B13579" t="s">
        <v>2895</v>
      </c>
      <c r="C13579" t="s">
        <v>16530</v>
      </c>
      <c r="D13579" t="s">
        <v>17182</v>
      </c>
      <c r="E13579" t="s">
        <v>28811</v>
      </c>
      <c r="F13579" t="s">
        <v>29372</v>
      </c>
      <c r="G13579" t="s">
        <v>29380</v>
      </c>
      <c r="H13579" t="s">
        <v>11048</v>
      </c>
      <c r="I13579" t="s">
        <v>8614</v>
      </c>
      <c r="J13579" t="s">
        <v>38080</v>
      </c>
      <c r="K13579" t="s">
        <v>38485</v>
      </c>
      <c r="M13579" t="s">
        <v>41893</v>
      </c>
      <c r="N13579" t="s">
        <v>42669</v>
      </c>
      <c r="O13579" t="s">
        <v>42670</v>
      </c>
      <c r="Q13579">
        <v>11</v>
      </c>
      <c r="R13579" t="s">
        <v>42694</v>
      </c>
      <c r="S13579" t="s">
        <v>43895</v>
      </c>
      <c r="T13579" t="s">
        <v>44653</v>
      </c>
      <c r="U13579" t="s">
        <v>55825</v>
      </c>
      <c r="V13579" t="s">
        <v>57935</v>
      </c>
      <c r="W13579" t="s">
        <v>41893</v>
      </c>
      <c r="X13579" t="s">
        <v>42697</v>
      </c>
    </row>
    <row r="13580" spans="1:24">
      <c r="A13580">
        <f>HYPERLINK("https://www.philgeps.gov.ph/GEPSNONPILOT/Tender/SplashBidNoticeAbstractUI.aspx?menuIndex=3&amp;refID=7145921&amp;Result=3","7145921")</f>
        <v>0</v>
      </c>
      <c r="B13580" t="s">
        <v>3154</v>
      </c>
      <c r="C13580" t="s">
        <v>16531</v>
      </c>
      <c r="D13580" t="s">
        <v>17145</v>
      </c>
      <c r="E13580" t="s">
        <v>28812</v>
      </c>
      <c r="F13580" t="s">
        <v>29372</v>
      </c>
      <c r="G13580" t="s">
        <v>29380</v>
      </c>
      <c r="H13580" t="s">
        <v>11048</v>
      </c>
      <c r="I13580" t="s">
        <v>3839</v>
      </c>
      <c r="J13580" t="s">
        <v>38081</v>
      </c>
      <c r="K13580" t="s">
        <v>38510</v>
      </c>
      <c r="M13580" t="s">
        <v>42202</v>
      </c>
      <c r="N13580" t="s">
        <v>42669</v>
      </c>
      <c r="O13580" t="s">
        <v>42670</v>
      </c>
      <c r="P13580">
        <v>0</v>
      </c>
      <c r="Q13580">
        <v>7</v>
      </c>
      <c r="R13580" t="s">
        <v>42694</v>
      </c>
      <c r="S13580" t="s">
        <v>43877</v>
      </c>
      <c r="T13580" t="s">
        <v>44373</v>
      </c>
      <c r="U13580" t="s">
        <v>55826</v>
      </c>
      <c r="W13580" t="s">
        <v>42202</v>
      </c>
      <c r="X13580" t="s">
        <v>42697</v>
      </c>
    </row>
    <row r="13581" spans="1:24">
      <c r="A13581">
        <f>HYPERLINK("https://www.philgeps.gov.ph/GEPSNONPILOT/Tender/SplashBidNoticeAbstractUI.aspx?menuIndex=3&amp;refID=7144399&amp;Result=3","7144399")</f>
        <v>0</v>
      </c>
      <c r="B13581" t="s">
        <v>3471</v>
      </c>
      <c r="C13581" t="s">
        <v>16532</v>
      </c>
      <c r="D13581" t="s">
        <v>17141</v>
      </c>
      <c r="E13581" t="s">
        <v>28813</v>
      </c>
      <c r="F13581" t="s">
        <v>29372</v>
      </c>
      <c r="G13581" t="s">
        <v>29380</v>
      </c>
      <c r="H13581" t="s">
        <v>11048</v>
      </c>
      <c r="I13581" t="s">
        <v>29439</v>
      </c>
      <c r="J13581" t="s">
        <v>38082</v>
      </c>
      <c r="K13581" t="s">
        <v>38603</v>
      </c>
      <c r="M13581" t="s">
        <v>42592</v>
      </c>
      <c r="N13581" t="s">
        <v>42669</v>
      </c>
      <c r="O13581" t="s">
        <v>42670</v>
      </c>
      <c r="Q13581">
        <v>6</v>
      </c>
      <c r="R13581" t="s">
        <v>42694</v>
      </c>
      <c r="S13581" t="s">
        <v>43896</v>
      </c>
      <c r="T13581" t="s">
        <v>44858</v>
      </c>
      <c r="U13581" t="s">
        <v>55827</v>
      </c>
      <c r="W13581" t="s">
        <v>42592</v>
      </c>
      <c r="X13581" t="s">
        <v>42698</v>
      </c>
    </row>
    <row r="13582" spans="1:24">
      <c r="A13582">
        <f>HYPERLINK("https://www.philgeps.gov.ph/GEPSNONPILOT/Tender/SplashBidNoticeAbstractUI.aspx?menuIndex=3&amp;refID=7145908&amp;Result=3","7145908")</f>
        <v>0</v>
      </c>
      <c r="B13582" t="s">
        <v>1391</v>
      </c>
      <c r="C13582" t="s">
        <v>16533</v>
      </c>
      <c r="D13582" t="s">
        <v>17151</v>
      </c>
      <c r="E13582" t="s">
        <v>28814</v>
      </c>
      <c r="F13582" t="s">
        <v>29372</v>
      </c>
      <c r="G13582" t="s">
        <v>29380</v>
      </c>
      <c r="H13582" t="s">
        <v>11048</v>
      </c>
      <c r="I13582" t="s">
        <v>8614</v>
      </c>
      <c r="J13582" t="s">
        <v>38083</v>
      </c>
      <c r="K13582" t="s">
        <v>38485</v>
      </c>
      <c r="M13582" t="s">
        <v>40229</v>
      </c>
      <c r="N13582" t="s">
        <v>42669</v>
      </c>
      <c r="O13582" t="s">
        <v>42670</v>
      </c>
      <c r="Q13582">
        <v>8</v>
      </c>
      <c r="R13582" t="s">
        <v>42694</v>
      </c>
      <c r="S13582" t="s">
        <v>43897</v>
      </c>
      <c r="T13582" t="s">
        <v>44470</v>
      </c>
      <c r="U13582" t="s">
        <v>55828</v>
      </c>
      <c r="V13582" t="s">
        <v>57919</v>
      </c>
      <c r="W13582" t="s">
        <v>40229</v>
      </c>
      <c r="X13582" t="s">
        <v>42697</v>
      </c>
    </row>
    <row r="13583" spans="1:24">
      <c r="A13583">
        <f>HYPERLINK("https://www.philgeps.gov.ph/GEPSNONPILOT/Tender/SplashBidNoticeAbstractUI.aspx?menuIndex=3&amp;refID=7145769&amp;Result=3","7145769")</f>
        <v>0</v>
      </c>
      <c r="B13583" t="s">
        <v>459</v>
      </c>
      <c r="C13583" t="s">
        <v>16534</v>
      </c>
      <c r="D13583" t="s">
        <v>17193</v>
      </c>
      <c r="E13583" t="s">
        <v>28815</v>
      </c>
      <c r="F13583" t="s">
        <v>29372</v>
      </c>
      <c r="G13583" t="s">
        <v>29380</v>
      </c>
      <c r="H13583" t="s">
        <v>11048</v>
      </c>
      <c r="I13583" t="s">
        <v>3839</v>
      </c>
      <c r="J13583" t="s">
        <v>31839</v>
      </c>
      <c r="K13583" t="s">
        <v>38495</v>
      </c>
      <c r="M13583" t="s">
        <v>40623</v>
      </c>
      <c r="N13583" t="s">
        <v>42669</v>
      </c>
      <c r="O13583" t="s">
        <v>42670</v>
      </c>
      <c r="Q13583">
        <v>6</v>
      </c>
      <c r="R13583" t="s">
        <v>42694</v>
      </c>
      <c r="S13583" t="s">
        <v>43898</v>
      </c>
      <c r="T13583" t="s">
        <v>44480</v>
      </c>
      <c r="U13583" t="s">
        <v>55829</v>
      </c>
      <c r="W13583" t="s">
        <v>40623</v>
      </c>
      <c r="X13583" t="s">
        <v>42697</v>
      </c>
    </row>
    <row r="13584" spans="1:24">
      <c r="A13584">
        <f>HYPERLINK("https://www.philgeps.gov.ph/GEPSNONPILOT/Tender/SplashBidNoticeAbstractUI.aspx?menuIndex=3&amp;refID=7145888&amp;Result=3","7145888")</f>
        <v>0</v>
      </c>
      <c r="B13584" t="s">
        <v>41</v>
      </c>
      <c r="C13584" t="s">
        <v>16535</v>
      </c>
      <c r="D13584" t="s">
        <v>17153</v>
      </c>
      <c r="E13584" t="s">
        <v>28816</v>
      </c>
      <c r="F13584" t="s">
        <v>29372</v>
      </c>
      <c r="G13584" t="s">
        <v>29380</v>
      </c>
      <c r="H13584" t="s">
        <v>11048</v>
      </c>
      <c r="I13584" t="s">
        <v>29393</v>
      </c>
      <c r="J13584" t="s">
        <v>38084</v>
      </c>
      <c r="K13584" t="s">
        <v>38567</v>
      </c>
      <c r="M13584" t="s">
        <v>38794</v>
      </c>
      <c r="N13584" t="s">
        <v>42669</v>
      </c>
      <c r="O13584" t="s">
        <v>42670</v>
      </c>
      <c r="P13584">
        <v>0</v>
      </c>
      <c r="Q13584">
        <v>3</v>
      </c>
      <c r="R13584" t="s">
        <v>42694</v>
      </c>
      <c r="S13584" t="s">
        <v>43877</v>
      </c>
      <c r="T13584" t="s">
        <v>44480</v>
      </c>
      <c r="U13584" t="s">
        <v>55830</v>
      </c>
      <c r="V13584" t="s">
        <v>57936</v>
      </c>
      <c r="W13584" t="s">
        <v>38794</v>
      </c>
      <c r="X13584" t="s">
        <v>42697</v>
      </c>
    </row>
    <row r="13585" spans="1:24">
      <c r="A13585">
        <f>HYPERLINK("https://www.philgeps.gov.ph/GEPSNONPILOT/Tender/SplashBidNoticeAbstractUI.aspx?menuIndex=3&amp;refID=7147447&amp;Result=3","7147447")</f>
        <v>0</v>
      </c>
      <c r="B13585" t="s">
        <v>33</v>
      </c>
      <c r="C13585" t="s">
        <v>16536</v>
      </c>
      <c r="D13585" t="s">
        <v>17147</v>
      </c>
      <c r="E13585" t="s">
        <v>17306</v>
      </c>
      <c r="F13585" t="s">
        <v>29372</v>
      </c>
      <c r="G13585" t="s">
        <v>29380</v>
      </c>
      <c r="H13585" t="s">
        <v>11048</v>
      </c>
      <c r="I13585" t="s">
        <v>4487</v>
      </c>
      <c r="J13585" t="s">
        <v>38085</v>
      </c>
      <c r="K13585" t="s">
        <v>38488</v>
      </c>
      <c r="M13585" t="s">
        <v>38786</v>
      </c>
      <c r="N13585" t="s">
        <v>42669</v>
      </c>
      <c r="O13585" t="s">
        <v>42670</v>
      </c>
      <c r="Q13585">
        <v>5</v>
      </c>
      <c r="R13585" t="s">
        <v>42694</v>
      </c>
      <c r="S13585" t="s">
        <v>43899</v>
      </c>
      <c r="T13585" t="s">
        <v>44488</v>
      </c>
      <c r="U13585" t="s">
        <v>55831</v>
      </c>
      <c r="W13585" t="s">
        <v>38786</v>
      </c>
      <c r="X13585" t="s">
        <v>42697</v>
      </c>
    </row>
    <row r="13586" spans="1:24">
      <c r="A13586">
        <f>HYPERLINK("https://www.philgeps.gov.ph/GEPSNONPILOT/Tender/SplashBidNoticeAbstractUI.aspx?menuIndex=3&amp;refID=7147393&amp;Result=3","7147393")</f>
        <v>0</v>
      </c>
      <c r="B13586" t="s">
        <v>2081</v>
      </c>
      <c r="C13586" t="s">
        <v>16537</v>
      </c>
      <c r="D13586" t="s">
        <v>17179</v>
      </c>
      <c r="E13586" t="s">
        <v>18931</v>
      </c>
      <c r="F13586" t="s">
        <v>29372</v>
      </c>
      <c r="G13586" t="s">
        <v>29380</v>
      </c>
      <c r="H13586" t="s">
        <v>29389</v>
      </c>
      <c r="I13586" t="s">
        <v>10408</v>
      </c>
      <c r="J13586" t="s">
        <v>38086</v>
      </c>
      <c r="K13586" t="s">
        <v>38759</v>
      </c>
      <c r="M13586" t="s">
        <v>42593</v>
      </c>
      <c r="N13586" t="s">
        <v>42669</v>
      </c>
      <c r="O13586" t="s">
        <v>42670</v>
      </c>
      <c r="P13586">
        <v>0</v>
      </c>
      <c r="Q13586">
        <v>6</v>
      </c>
      <c r="R13586" t="s">
        <v>42694</v>
      </c>
      <c r="S13586" t="s">
        <v>43877</v>
      </c>
      <c r="T13586" t="s">
        <v>44470</v>
      </c>
      <c r="U13586" t="s">
        <v>55832</v>
      </c>
      <c r="W13586" t="s">
        <v>42593</v>
      </c>
      <c r="X13586" t="s">
        <v>42697</v>
      </c>
    </row>
    <row r="13587" spans="1:24">
      <c r="A13587">
        <f>HYPERLINK("https://www.philgeps.gov.ph/GEPSNONPILOT/Tender/SplashBidNoticeAbstractUI.aspx?menuIndex=3&amp;refID=7147358&amp;Result=3","7147358")</f>
        <v>0</v>
      </c>
      <c r="B13587" t="s">
        <v>2812</v>
      </c>
      <c r="C13587" t="s">
        <v>16538</v>
      </c>
      <c r="D13587" t="s">
        <v>17195</v>
      </c>
      <c r="E13587" t="s">
        <v>28817</v>
      </c>
      <c r="F13587" t="s">
        <v>29372</v>
      </c>
      <c r="G13587" t="s">
        <v>29380</v>
      </c>
      <c r="H13587" t="s">
        <v>11048</v>
      </c>
      <c r="I13587" t="s">
        <v>9469</v>
      </c>
      <c r="J13587" t="s">
        <v>29543</v>
      </c>
      <c r="K13587" t="s">
        <v>38491</v>
      </c>
      <c r="M13587" t="s">
        <v>41801</v>
      </c>
      <c r="N13587" t="s">
        <v>42669</v>
      </c>
      <c r="O13587" t="s">
        <v>42670</v>
      </c>
      <c r="P13587">
        <v>0</v>
      </c>
      <c r="Q13587">
        <v>3</v>
      </c>
      <c r="R13587" t="s">
        <v>42694</v>
      </c>
      <c r="S13587" t="s">
        <v>43877</v>
      </c>
      <c r="T13587" t="s">
        <v>44859</v>
      </c>
      <c r="U13587" t="s">
        <v>55833</v>
      </c>
      <c r="W13587" t="s">
        <v>41801</v>
      </c>
      <c r="X13587" t="s">
        <v>42697</v>
      </c>
    </row>
    <row r="13588" spans="1:24">
      <c r="A13588">
        <f>HYPERLINK("https://www.philgeps.gov.ph/GEPSNONPILOT/Tender/SplashBidNoticeAbstractUI.aspx?menuIndex=3&amp;refID=7147370&amp;Result=3","7147370")</f>
        <v>0</v>
      </c>
      <c r="B13588" t="s">
        <v>2081</v>
      </c>
      <c r="C13588" t="s">
        <v>16539</v>
      </c>
      <c r="D13588" t="s">
        <v>17215</v>
      </c>
      <c r="E13588" t="s">
        <v>23150</v>
      </c>
      <c r="F13588" t="s">
        <v>29372</v>
      </c>
      <c r="G13588" t="s">
        <v>29380</v>
      </c>
      <c r="H13588" t="s">
        <v>29389</v>
      </c>
      <c r="I13588" t="s">
        <v>10408</v>
      </c>
      <c r="J13588" t="s">
        <v>38087</v>
      </c>
      <c r="K13588" t="s">
        <v>38760</v>
      </c>
      <c r="M13588" t="s">
        <v>42593</v>
      </c>
      <c r="N13588" t="s">
        <v>42669</v>
      </c>
      <c r="O13588" t="s">
        <v>42670</v>
      </c>
      <c r="P13588">
        <v>0</v>
      </c>
      <c r="Q13588">
        <v>6</v>
      </c>
      <c r="R13588" t="s">
        <v>42694</v>
      </c>
      <c r="S13588" t="s">
        <v>43877</v>
      </c>
      <c r="T13588" t="s">
        <v>44470</v>
      </c>
      <c r="U13588" t="s">
        <v>55832</v>
      </c>
      <c r="W13588" t="s">
        <v>42593</v>
      </c>
      <c r="X13588" t="s">
        <v>42697</v>
      </c>
    </row>
    <row r="13589" spans="1:24">
      <c r="A13589">
        <f>HYPERLINK("https://www.philgeps.gov.ph/GEPSNONPILOT/Tender/SplashBidNoticeAbstractUI.aspx?menuIndex=3&amp;refID=7147325&amp;Result=3","7147325")</f>
        <v>0</v>
      </c>
      <c r="B13589" t="s">
        <v>2081</v>
      </c>
      <c r="C13589" t="s">
        <v>16540</v>
      </c>
      <c r="D13589" t="s">
        <v>17177</v>
      </c>
      <c r="E13589" t="s">
        <v>23100</v>
      </c>
      <c r="F13589" t="s">
        <v>29372</v>
      </c>
      <c r="G13589" t="s">
        <v>29380</v>
      </c>
      <c r="H13589" t="s">
        <v>29389</v>
      </c>
      <c r="I13589" t="s">
        <v>10408</v>
      </c>
      <c r="J13589" t="s">
        <v>38088</v>
      </c>
      <c r="K13589" t="s">
        <v>38643</v>
      </c>
      <c r="M13589" t="s">
        <v>42593</v>
      </c>
      <c r="N13589" t="s">
        <v>42669</v>
      </c>
      <c r="O13589" t="s">
        <v>42670</v>
      </c>
      <c r="Q13589">
        <v>4</v>
      </c>
      <c r="R13589" t="s">
        <v>42694</v>
      </c>
      <c r="S13589" t="s">
        <v>43900</v>
      </c>
      <c r="T13589" t="s">
        <v>44470</v>
      </c>
      <c r="U13589" t="s">
        <v>55832</v>
      </c>
      <c r="W13589" t="s">
        <v>42593</v>
      </c>
      <c r="X13589" t="s">
        <v>42697</v>
      </c>
    </row>
    <row r="13590" spans="1:24">
      <c r="A13590">
        <f>HYPERLINK("https://www.philgeps.gov.ph/GEPSNONPILOT/Tender/SplashBidNoticeAbstractUI.aspx?menuIndex=3&amp;refID=7147313&amp;Result=3","7147313")</f>
        <v>0</v>
      </c>
      <c r="B13590" t="s">
        <v>1801</v>
      </c>
      <c r="C13590" t="s">
        <v>16541</v>
      </c>
      <c r="D13590" t="s">
        <v>17193</v>
      </c>
      <c r="E13590" t="s">
        <v>17282</v>
      </c>
      <c r="F13590" t="s">
        <v>29372</v>
      </c>
      <c r="G13590" t="s">
        <v>29379</v>
      </c>
      <c r="H13590" t="s">
        <v>11048</v>
      </c>
      <c r="I13590" t="s">
        <v>29410</v>
      </c>
      <c r="J13590" t="s">
        <v>29767</v>
      </c>
      <c r="K13590" t="s">
        <v>38491</v>
      </c>
      <c r="M13590" t="s">
        <v>40672</v>
      </c>
      <c r="N13590" t="s">
        <v>42669</v>
      </c>
      <c r="O13590" t="s">
        <v>42670</v>
      </c>
      <c r="Q13590">
        <v>3</v>
      </c>
      <c r="R13590" t="s">
        <v>42694</v>
      </c>
      <c r="S13590" t="s">
        <v>43901</v>
      </c>
      <c r="T13590" t="s">
        <v>44788</v>
      </c>
      <c r="U13590" t="s">
        <v>55834</v>
      </c>
      <c r="V13590" t="s">
        <v>57937</v>
      </c>
      <c r="W13590" t="s">
        <v>40672</v>
      </c>
      <c r="X13590" t="s">
        <v>42697</v>
      </c>
    </row>
    <row r="13591" spans="1:24">
      <c r="A13591">
        <f>HYPERLINK("https://www.philgeps.gov.ph/GEPSNONPILOT/Tender/SplashBidNoticeAbstractUI.aspx?menuIndex=3&amp;refID=7147296&amp;Result=3","7147296")</f>
        <v>0</v>
      </c>
      <c r="B13591" t="s">
        <v>2081</v>
      </c>
      <c r="C13591" t="s">
        <v>16542</v>
      </c>
      <c r="D13591" t="s">
        <v>17177</v>
      </c>
      <c r="E13591" t="s">
        <v>20981</v>
      </c>
      <c r="F13591" t="s">
        <v>29372</v>
      </c>
      <c r="G13591" t="s">
        <v>29380</v>
      </c>
      <c r="H13591" t="s">
        <v>29389</v>
      </c>
      <c r="I13591" t="s">
        <v>10408</v>
      </c>
      <c r="J13591" t="s">
        <v>38089</v>
      </c>
      <c r="K13591" t="s">
        <v>38643</v>
      </c>
      <c r="M13591" t="s">
        <v>42593</v>
      </c>
      <c r="N13591" t="s">
        <v>42669</v>
      </c>
      <c r="O13591" t="s">
        <v>42670</v>
      </c>
      <c r="P13591">
        <v>0</v>
      </c>
      <c r="Q13591">
        <v>6</v>
      </c>
      <c r="R13591" t="s">
        <v>42694</v>
      </c>
      <c r="S13591" t="s">
        <v>43877</v>
      </c>
      <c r="T13591" t="s">
        <v>44470</v>
      </c>
      <c r="U13591" t="s">
        <v>55832</v>
      </c>
      <c r="W13591" t="s">
        <v>42593</v>
      </c>
      <c r="X13591" t="s">
        <v>42697</v>
      </c>
    </row>
    <row r="13592" spans="1:24">
      <c r="A13592">
        <f>HYPERLINK("https://www.philgeps.gov.ph/GEPSNONPILOT/Tender/SplashBidNoticeAbstractUI.aspx?menuIndex=3&amp;refID=7147272&amp;Result=3","7147272")</f>
        <v>0</v>
      </c>
      <c r="B13592" t="s">
        <v>2081</v>
      </c>
      <c r="C13592" t="s">
        <v>16543</v>
      </c>
      <c r="D13592" t="s">
        <v>17177</v>
      </c>
      <c r="E13592" t="s">
        <v>20986</v>
      </c>
      <c r="F13592" t="s">
        <v>29372</v>
      </c>
      <c r="G13592" t="s">
        <v>29380</v>
      </c>
      <c r="H13592" t="s">
        <v>29389</v>
      </c>
      <c r="I13592" t="s">
        <v>10408</v>
      </c>
      <c r="J13592" t="s">
        <v>38090</v>
      </c>
      <c r="K13592" t="s">
        <v>38760</v>
      </c>
      <c r="M13592" t="s">
        <v>42593</v>
      </c>
      <c r="N13592" t="s">
        <v>42669</v>
      </c>
      <c r="O13592" t="s">
        <v>42670</v>
      </c>
      <c r="P13592">
        <v>0</v>
      </c>
      <c r="Q13592">
        <v>6</v>
      </c>
      <c r="R13592" t="s">
        <v>42694</v>
      </c>
      <c r="S13592" t="s">
        <v>43877</v>
      </c>
      <c r="T13592" t="s">
        <v>44470</v>
      </c>
      <c r="U13592" t="s">
        <v>55832</v>
      </c>
      <c r="W13592" t="s">
        <v>42593</v>
      </c>
      <c r="X13592" t="s">
        <v>42697</v>
      </c>
    </row>
    <row r="13593" spans="1:24">
      <c r="A13593">
        <f>HYPERLINK("https://www.philgeps.gov.ph/GEPSNONPILOT/Tender/SplashBidNoticeAbstractUI.aspx?menuIndex=3&amp;refID=7147647&amp;Result=3","7147647")</f>
        <v>0</v>
      </c>
      <c r="B13593" t="s">
        <v>2673</v>
      </c>
      <c r="C13593" t="s">
        <v>16544</v>
      </c>
      <c r="D13593" t="s">
        <v>17142</v>
      </c>
      <c r="E13593" t="s">
        <v>26028</v>
      </c>
      <c r="F13593" t="s">
        <v>29372</v>
      </c>
      <c r="G13593" t="s">
        <v>29380</v>
      </c>
      <c r="H13593" t="s">
        <v>29389</v>
      </c>
      <c r="I13593" t="s">
        <v>10408</v>
      </c>
      <c r="J13593" t="s">
        <v>38091</v>
      </c>
      <c r="K13593" t="s">
        <v>38490</v>
      </c>
      <c r="M13593" t="s">
        <v>41653</v>
      </c>
      <c r="N13593" t="s">
        <v>42669</v>
      </c>
      <c r="O13593" t="s">
        <v>42670</v>
      </c>
      <c r="P13593">
        <v>0</v>
      </c>
      <c r="Q13593">
        <v>5</v>
      </c>
      <c r="R13593" t="s">
        <v>42694</v>
      </c>
      <c r="S13593" t="s">
        <v>43877</v>
      </c>
      <c r="T13593" t="s">
        <v>44570</v>
      </c>
      <c r="U13593" t="s">
        <v>55835</v>
      </c>
      <c r="W13593" t="s">
        <v>41653</v>
      </c>
      <c r="X13593" t="s">
        <v>42697</v>
      </c>
    </row>
    <row r="13594" spans="1:24">
      <c r="A13594">
        <f>HYPERLINK("https://www.philgeps.gov.ph/GEPSNONPILOT/Tender/SplashBidNoticeAbstractUI.aspx?menuIndex=3&amp;refID=7147225&amp;Result=3","7147225")</f>
        <v>0</v>
      </c>
      <c r="B13594" t="s">
        <v>1371</v>
      </c>
      <c r="C13594" t="s">
        <v>16545</v>
      </c>
      <c r="D13594" t="s">
        <v>17141</v>
      </c>
      <c r="E13594" t="s">
        <v>28818</v>
      </c>
      <c r="F13594" t="s">
        <v>29372</v>
      </c>
      <c r="G13594" t="s">
        <v>29381</v>
      </c>
      <c r="H13594" t="s">
        <v>11048</v>
      </c>
      <c r="I13594" t="s">
        <v>29522</v>
      </c>
      <c r="J13594" t="s">
        <v>38092</v>
      </c>
      <c r="K13594" t="s">
        <v>38491</v>
      </c>
      <c r="M13594" t="s">
        <v>42153</v>
      </c>
      <c r="N13594" t="s">
        <v>42669</v>
      </c>
      <c r="O13594" t="s">
        <v>42670</v>
      </c>
      <c r="Q13594">
        <v>12</v>
      </c>
      <c r="R13594" t="s">
        <v>42694</v>
      </c>
      <c r="S13594" t="s">
        <v>43902</v>
      </c>
      <c r="T13594" t="s">
        <v>44488</v>
      </c>
      <c r="U13594" t="s">
        <v>55836</v>
      </c>
      <c r="W13594" t="s">
        <v>42153</v>
      </c>
      <c r="X13594" t="s">
        <v>42697</v>
      </c>
    </row>
    <row r="13595" spans="1:24">
      <c r="A13595">
        <f>HYPERLINK("https://www.philgeps.gov.ph/GEPSNONPILOT/Tender/SplashBidNoticeAbstractUI.aspx?menuIndex=3&amp;refID=7147196&amp;Result=3","7147196")</f>
        <v>0</v>
      </c>
      <c r="B13595" t="s">
        <v>2081</v>
      </c>
      <c r="C13595" t="s">
        <v>16546</v>
      </c>
      <c r="D13595" t="s">
        <v>17151</v>
      </c>
      <c r="E13595" t="s">
        <v>19807</v>
      </c>
      <c r="F13595" t="s">
        <v>29372</v>
      </c>
      <c r="G13595" t="s">
        <v>29380</v>
      </c>
      <c r="H13595" t="s">
        <v>29389</v>
      </c>
      <c r="I13595" t="s">
        <v>10408</v>
      </c>
      <c r="J13595" t="s">
        <v>38093</v>
      </c>
      <c r="K13595" t="s">
        <v>38761</v>
      </c>
      <c r="M13595" t="s">
        <v>42593</v>
      </c>
      <c r="N13595" t="s">
        <v>42669</v>
      </c>
      <c r="O13595" t="s">
        <v>42670</v>
      </c>
      <c r="P13595">
        <v>0</v>
      </c>
      <c r="Q13595">
        <v>8</v>
      </c>
      <c r="R13595" t="s">
        <v>42694</v>
      </c>
      <c r="S13595" t="s">
        <v>43877</v>
      </c>
      <c r="T13595" t="s">
        <v>44470</v>
      </c>
      <c r="U13595" t="s">
        <v>55832</v>
      </c>
      <c r="W13595" t="s">
        <v>42593</v>
      </c>
      <c r="X13595" t="s">
        <v>42697</v>
      </c>
    </row>
    <row r="13596" spans="1:24">
      <c r="A13596">
        <f>HYPERLINK("https://www.philgeps.gov.ph/GEPSNONPILOT/Tender/SplashBidNoticeAbstractUI.aspx?menuIndex=3&amp;refID=7147361&amp;Result=3","7147361")</f>
        <v>0</v>
      </c>
      <c r="B13596" t="s">
        <v>1371</v>
      </c>
      <c r="C13596" t="s">
        <v>16547</v>
      </c>
      <c r="D13596" t="s">
        <v>17141</v>
      </c>
      <c r="E13596" t="s">
        <v>28819</v>
      </c>
      <c r="F13596" t="s">
        <v>29372</v>
      </c>
      <c r="G13596" t="s">
        <v>29381</v>
      </c>
      <c r="H13596" t="s">
        <v>11048</v>
      </c>
      <c r="I13596" t="s">
        <v>29407</v>
      </c>
      <c r="J13596" t="s">
        <v>38094</v>
      </c>
      <c r="K13596" t="s">
        <v>38491</v>
      </c>
      <c r="M13596" t="s">
        <v>42153</v>
      </c>
      <c r="N13596" t="s">
        <v>42669</v>
      </c>
      <c r="O13596" t="s">
        <v>42670</v>
      </c>
      <c r="Q13596">
        <v>15</v>
      </c>
      <c r="R13596" t="s">
        <v>42694</v>
      </c>
      <c r="S13596" t="s">
        <v>43903</v>
      </c>
      <c r="T13596" t="s">
        <v>44432</v>
      </c>
      <c r="U13596" t="s">
        <v>55837</v>
      </c>
      <c r="V13596" t="s">
        <v>57938</v>
      </c>
      <c r="W13596" t="s">
        <v>42153</v>
      </c>
      <c r="X13596" t="s">
        <v>42697</v>
      </c>
    </row>
    <row r="13597" spans="1:24">
      <c r="A13597">
        <f>HYPERLINK("https://www.philgeps.gov.ph/GEPSNONPILOT/Tender/SplashBidNoticeAbstractUI.aspx?menuIndex=3&amp;refID=7147147&amp;Result=3","7147147")</f>
        <v>0</v>
      </c>
      <c r="B13597" t="s">
        <v>3070</v>
      </c>
      <c r="C13597" t="s">
        <v>16548</v>
      </c>
      <c r="D13597" t="s">
        <v>17169</v>
      </c>
      <c r="E13597" t="s">
        <v>28820</v>
      </c>
      <c r="F13597" t="s">
        <v>29372</v>
      </c>
      <c r="G13597" t="s">
        <v>29380</v>
      </c>
      <c r="H13597" t="s">
        <v>11048</v>
      </c>
      <c r="I13597" t="s">
        <v>29466</v>
      </c>
      <c r="J13597" t="s">
        <v>38095</v>
      </c>
      <c r="K13597" t="s">
        <v>38490</v>
      </c>
      <c r="M13597" t="s">
        <v>42098</v>
      </c>
      <c r="N13597" t="s">
        <v>42669</v>
      </c>
      <c r="O13597" t="s">
        <v>42670</v>
      </c>
      <c r="Q13597">
        <v>2</v>
      </c>
      <c r="R13597" t="s">
        <v>42694</v>
      </c>
      <c r="S13597" t="s">
        <v>43904</v>
      </c>
      <c r="T13597" t="s">
        <v>44454</v>
      </c>
      <c r="U13597" t="s">
        <v>55838</v>
      </c>
      <c r="W13597" t="s">
        <v>42098</v>
      </c>
      <c r="X13597" t="s">
        <v>42697</v>
      </c>
    </row>
    <row r="13598" spans="1:24">
      <c r="A13598">
        <f>HYPERLINK("https://www.philgeps.gov.ph/GEPSNONPILOT/Tender/SplashBidNoticeAbstractUI.aspx?menuIndex=3&amp;refID=7145858&amp;Result=3","7145858")</f>
        <v>0</v>
      </c>
      <c r="B13598" t="s">
        <v>459</v>
      </c>
      <c r="C13598" t="s">
        <v>16549</v>
      </c>
      <c r="D13598" t="s">
        <v>17193</v>
      </c>
      <c r="E13598" t="s">
        <v>28821</v>
      </c>
      <c r="F13598" t="s">
        <v>29372</v>
      </c>
      <c r="G13598" t="s">
        <v>29380</v>
      </c>
      <c r="H13598" t="s">
        <v>11048</v>
      </c>
      <c r="I13598" t="s">
        <v>9469</v>
      </c>
      <c r="J13598" t="s">
        <v>38096</v>
      </c>
      <c r="K13598" t="s">
        <v>38523</v>
      </c>
      <c r="M13598" t="s">
        <v>40623</v>
      </c>
      <c r="N13598" t="s">
        <v>42669</v>
      </c>
      <c r="O13598" t="s">
        <v>42670</v>
      </c>
      <c r="Q13598">
        <v>17</v>
      </c>
      <c r="R13598" t="s">
        <v>42694</v>
      </c>
      <c r="S13598" t="s">
        <v>43905</v>
      </c>
      <c r="T13598" t="s">
        <v>44480</v>
      </c>
      <c r="U13598" t="s">
        <v>55839</v>
      </c>
      <c r="W13598" t="s">
        <v>40623</v>
      </c>
      <c r="X13598" t="s">
        <v>42697</v>
      </c>
    </row>
    <row r="13599" spans="1:24">
      <c r="A13599">
        <f>HYPERLINK("https://www.philgeps.gov.ph/GEPSNONPILOT/Tender/SplashBidNoticeAbstractUI.aspx?menuIndex=3&amp;refID=7142085&amp;Result=3","7142085")</f>
        <v>0</v>
      </c>
      <c r="B13599" t="s">
        <v>2324</v>
      </c>
      <c r="C13599" t="s">
        <v>16550</v>
      </c>
      <c r="D13599" t="s">
        <v>17226</v>
      </c>
      <c r="E13599" t="s">
        <v>28822</v>
      </c>
      <c r="F13599" t="s">
        <v>29372</v>
      </c>
      <c r="G13599" t="s">
        <v>29380</v>
      </c>
      <c r="H13599" t="s">
        <v>11048</v>
      </c>
      <c r="I13599" t="s">
        <v>3839</v>
      </c>
      <c r="J13599" t="s">
        <v>29980</v>
      </c>
      <c r="K13599" t="s">
        <v>38551</v>
      </c>
      <c r="L13599" t="s">
        <v>2324</v>
      </c>
      <c r="M13599" t="s">
        <v>41256</v>
      </c>
      <c r="N13599" t="s">
        <v>42669</v>
      </c>
      <c r="O13599" t="s">
        <v>42670</v>
      </c>
      <c r="P13599">
        <v>0</v>
      </c>
      <c r="Q13599">
        <v>2</v>
      </c>
      <c r="R13599" t="s">
        <v>42697</v>
      </c>
      <c r="S13599" t="s">
        <v>43906</v>
      </c>
      <c r="T13599" t="s">
        <v>44432</v>
      </c>
      <c r="U13599" t="s">
        <v>55840</v>
      </c>
      <c r="V13599" t="s">
        <v>57157</v>
      </c>
      <c r="W13599" t="s">
        <v>41256</v>
      </c>
      <c r="X13599" t="s">
        <v>42698</v>
      </c>
    </row>
    <row r="13600" spans="1:24">
      <c r="A13600">
        <f>HYPERLINK("https://www.philgeps.gov.ph/GEPSNONPILOT/Tender/SplashBidNoticeAbstractUI.aspx?menuIndex=3&amp;refID=7147245&amp;Result=3","7147245")</f>
        <v>0</v>
      </c>
      <c r="B13600" t="s">
        <v>2081</v>
      </c>
      <c r="C13600" t="s">
        <v>16551</v>
      </c>
      <c r="D13600" t="s">
        <v>17177</v>
      </c>
      <c r="E13600" t="s">
        <v>18589</v>
      </c>
      <c r="F13600" t="s">
        <v>29372</v>
      </c>
      <c r="G13600" t="s">
        <v>29380</v>
      </c>
      <c r="H13600" t="s">
        <v>29389</v>
      </c>
      <c r="I13600" t="s">
        <v>10408</v>
      </c>
      <c r="J13600" t="s">
        <v>38097</v>
      </c>
      <c r="K13600" t="s">
        <v>38762</v>
      </c>
      <c r="M13600" t="s">
        <v>42593</v>
      </c>
      <c r="N13600" t="s">
        <v>42669</v>
      </c>
      <c r="O13600" t="s">
        <v>42670</v>
      </c>
      <c r="P13600">
        <v>0</v>
      </c>
      <c r="Q13600">
        <v>6</v>
      </c>
      <c r="R13600" t="s">
        <v>42694</v>
      </c>
      <c r="S13600" t="s">
        <v>43877</v>
      </c>
      <c r="T13600" t="s">
        <v>44470</v>
      </c>
      <c r="U13600" t="s">
        <v>55832</v>
      </c>
      <c r="W13600" t="s">
        <v>42593</v>
      </c>
      <c r="X13600" t="s">
        <v>42697</v>
      </c>
    </row>
    <row r="13601" spans="1:24">
      <c r="A13601">
        <f>HYPERLINK("https://www.philgeps.gov.ph/GEPSNONPILOT/Tender/SplashBidNoticeAbstractUI.aspx?menuIndex=3&amp;refID=7141179&amp;Result=3","7141179")</f>
        <v>0</v>
      </c>
      <c r="B13601" t="s">
        <v>2010</v>
      </c>
      <c r="C13601" t="s">
        <v>16552</v>
      </c>
      <c r="D13601" t="s">
        <v>17143</v>
      </c>
      <c r="E13601" t="s">
        <v>28823</v>
      </c>
      <c r="F13601" t="s">
        <v>29372</v>
      </c>
      <c r="G13601" t="s">
        <v>29380</v>
      </c>
      <c r="H13601" t="s">
        <v>11048</v>
      </c>
      <c r="I13601" t="s">
        <v>29393</v>
      </c>
      <c r="J13601" t="s">
        <v>38098</v>
      </c>
      <c r="K13601" t="s">
        <v>38515</v>
      </c>
      <c r="M13601" t="s">
        <v>40979</v>
      </c>
      <c r="N13601" t="s">
        <v>42669</v>
      </c>
      <c r="O13601" t="s">
        <v>42670</v>
      </c>
      <c r="P13601">
        <v>0</v>
      </c>
      <c r="Q13601">
        <v>0</v>
      </c>
      <c r="R13601" t="s">
        <v>42697</v>
      </c>
      <c r="S13601" t="s">
        <v>43906</v>
      </c>
      <c r="T13601" t="s">
        <v>44387</v>
      </c>
      <c r="U13601" t="s">
        <v>55841</v>
      </c>
      <c r="V13601" t="s">
        <v>57001</v>
      </c>
      <c r="W13601" t="s">
        <v>40979</v>
      </c>
      <c r="X13601" t="s">
        <v>42699</v>
      </c>
    </row>
    <row r="13602" spans="1:24">
      <c r="A13602">
        <f>HYPERLINK("https://www.philgeps.gov.ph/GEPSNONPILOT/Tender/SplashBidNoticeAbstractUI.aspx?menuIndex=3&amp;refID=7141167&amp;Result=3","7141167")</f>
        <v>0</v>
      </c>
      <c r="B13602" t="s">
        <v>2010</v>
      </c>
      <c r="C13602" t="s">
        <v>16553</v>
      </c>
      <c r="D13602" t="s">
        <v>17143</v>
      </c>
      <c r="E13602" t="s">
        <v>28824</v>
      </c>
      <c r="F13602" t="s">
        <v>29372</v>
      </c>
      <c r="G13602" t="s">
        <v>29380</v>
      </c>
      <c r="H13602" t="s">
        <v>11048</v>
      </c>
      <c r="I13602" t="s">
        <v>29393</v>
      </c>
      <c r="J13602" t="s">
        <v>38099</v>
      </c>
      <c r="K13602" t="s">
        <v>38496</v>
      </c>
      <c r="M13602" t="s">
        <v>40979</v>
      </c>
      <c r="N13602" t="s">
        <v>42669</v>
      </c>
      <c r="O13602" t="s">
        <v>42670</v>
      </c>
      <c r="P13602">
        <v>0</v>
      </c>
      <c r="Q13602">
        <v>0</v>
      </c>
      <c r="R13602" t="s">
        <v>42697</v>
      </c>
      <c r="S13602" t="s">
        <v>43906</v>
      </c>
      <c r="T13602" t="s">
        <v>44387</v>
      </c>
      <c r="U13602" t="s">
        <v>55841</v>
      </c>
      <c r="V13602" t="s">
        <v>57001</v>
      </c>
      <c r="W13602" t="s">
        <v>40979</v>
      </c>
      <c r="X13602" t="s">
        <v>42699</v>
      </c>
    </row>
    <row r="13603" spans="1:24">
      <c r="A13603">
        <f>HYPERLINK("https://www.philgeps.gov.ph/GEPSNONPILOT/Tender/SplashBidNoticeAbstractUI.aspx?menuIndex=3&amp;refID=7142080&amp;Result=3","7142080")</f>
        <v>0</v>
      </c>
      <c r="B13603" t="s">
        <v>2470</v>
      </c>
      <c r="C13603" t="s">
        <v>16554</v>
      </c>
      <c r="D13603" t="s">
        <v>17199</v>
      </c>
      <c r="E13603" t="s">
        <v>28825</v>
      </c>
      <c r="F13603" t="s">
        <v>29372</v>
      </c>
      <c r="G13603" t="s">
        <v>29380</v>
      </c>
      <c r="H13603" t="s">
        <v>11048</v>
      </c>
      <c r="I13603" t="s">
        <v>9642</v>
      </c>
      <c r="J13603" t="s">
        <v>38100</v>
      </c>
      <c r="K13603" t="s">
        <v>38490</v>
      </c>
      <c r="M13603" t="s">
        <v>41419</v>
      </c>
      <c r="N13603" t="s">
        <v>42669</v>
      </c>
      <c r="O13603" t="s">
        <v>42670</v>
      </c>
      <c r="Q13603">
        <v>19</v>
      </c>
      <c r="R13603" t="s">
        <v>42697</v>
      </c>
      <c r="S13603" t="s">
        <v>43907</v>
      </c>
      <c r="T13603" t="s">
        <v>44493</v>
      </c>
      <c r="U13603" t="s">
        <v>55842</v>
      </c>
      <c r="W13603" t="s">
        <v>41419</v>
      </c>
      <c r="X13603" t="s">
        <v>42698</v>
      </c>
    </row>
    <row r="13604" spans="1:24">
      <c r="A13604">
        <f>HYPERLINK("https://www.philgeps.gov.ph/GEPSNONPILOT/Tender/SplashBidNoticeAbstractUI.aspx?menuIndex=3&amp;refID=7147149&amp;Result=3","7147149")</f>
        <v>0</v>
      </c>
      <c r="B13604" t="s">
        <v>2081</v>
      </c>
      <c r="C13604" t="s">
        <v>16555</v>
      </c>
      <c r="D13604" t="s">
        <v>17151</v>
      </c>
      <c r="E13604" t="s">
        <v>17529</v>
      </c>
      <c r="F13604" t="s">
        <v>29372</v>
      </c>
      <c r="G13604" t="s">
        <v>29380</v>
      </c>
      <c r="H13604" t="s">
        <v>29389</v>
      </c>
      <c r="I13604" t="s">
        <v>10408</v>
      </c>
      <c r="J13604" t="s">
        <v>38101</v>
      </c>
      <c r="K13604" t="s">
        <v>38763</v>
      </c>
      <c r="M13604" t="s">
        <v>42593</v>
      </c>
      <c r="N13604" t="s">
        <v>42669</v>
      </c>
      <c r="O13604" t="s">
        <v>42670</v>
      </c>
      <c r="P13604">
        <v>0</v>
      </c>
      <c r="Q13604">
        <v>7</v>
      </c>
      <c r="R13604" t="s">
        <v>42694</v>
      </c>
      <c r="S13604" t="s">
        <v>43877</v>
      </c>
      <c r="T13604" t="s">
        <v>44470</v>
      </c>
      <c r="U13604" t="s">
        <v>55832</v>
      </c>
      <c r="W13604" t="s">
        <v>42593</v>
      </c>
      <c r="X13604" t="s">
        <v>42697</v>
      </c>
    </row>
    <row r="13605" spans="1:24">
      <c r="A13605">
        <f>HYPERLINK("https://www.philgeps.gov.ph/GEPSNONPILOT/Tender/SplashBidNoticeAbstractUI.aspx?menuIndex=3&amp;refID=7147975&amp;Result=3","7147975")</f>
        <v>0</v>
      </c>
      <c r="B13605" t="s">
        <v>3016</v>
      </c>
      <c r="C13605" t="s">
        <v>16556</v>
      </c>
      <c r="D13605" t="s">
        <v>17141</v>
      </c>
      <c r="E13605" t="s">
        <v>28826</v>
      </c>
      <c r="F13605" t="s">
        <v>29372</v>
      </c>
      <c r="G13605" t="s">
        <v>29380</v>
      </c>
      <c r="H13605" t="s">
        <v>11048</v>
      </c>
      <c r="I13605" t="s">
        <v>5383</v>
      </c>
      <c r="J13605" t="s">
        <v>38102</v>
      </c>
      <c r="K13605" t="s">
        <v>38485</v>
      </c>
      <c r="M13605" t="s">
        <v>42036</v>
      </c>
      <c r="N13605" t="s">
        <v>42669</v>
      </c>
      <c r="O13605" t="s">
        <v>42670</v>
      </c>
      <c r="Q13605">
        <v>5</v>
      </c>
      <c r="R13605" t="s">
        <v>42694</v>
      </c>
      <c r="S13605" t="s">
        <v>43908</v>
      </c>
      <c r="T13605" t="s">
        <v>44417</v>
      </c>
      <c r="U13605" t="s">
        <v>55843</v>
      </c>
      <c r="W13605" t="s">
        <v>42036</v>
      </c>
      <c r="X13605" t="s">
        <v>42697</v>
      </c>
    </row>
    <row r="13606" spans="1:24">
      <c r="A13606">
        <f>HYPERLINK("https://www.philgeps.gov.ph/GEPSNONPILOT/Tender/SplashBidNoticeAbstractUI.aspx?menuIndex=3&amp;refID=7148082&amp;Result=3","7148082")</f>
        <v>0</v>
      </c>
      <c r="B13606" t="s">
        <v>1966</v>
      </c>
      <c r="C13606" t="s">
        <v>16557</v>
      </c>
      <c r="D13606" t="s">
        <v>17169</v>
      </c>
      <c r="E13606" t="s">
        <v>28827</v>
      </c>
      <c r="F13606" t="s">
        <v>29372</v>
      </c>
      <c r="G13606" t="s">
        <v>29380</v>
      </c>
      <c r="H13606" t="s">
        <v>11048</v>
      </c>
      <c r="I13606" t="s">
        <v>29392</v>
      </c>
      <c r="J13606" t="s">
        <v>38103</v>
      </c>
      <c r="K13606" t="s">
        <v>38588</v>
      </c>
      <c r="M13606" t="s">
        <v>40851</v>
      </c>
      <c r="N13606" t="s">
        <v>42669</v>
      </c>
      <c r="O13606" t="s">
        <v>42670</v>
      </c>
      <c r="Q13606">
        <v>11</v>
      </c>
      <c r="R13606" t="s">
        <v>42694</v>
      </c>
      <c r="S13606" t="s">
        <v>43909</v>
      </c>
      <c r="T13606" t="s">
        <v>44444</v>
      </c>
      <c r="U13606" t="s">
        <v>55844</v>
      </c>
      <c r="W13606" t="s">
        <v>40851</v>
      </c>
      <c r="X13606" t="s">
        <v>42697</v>
      </c>
    </row>
    <row r="13607" spans="1:24">
      <c r="A13607">
        <f>HYPERLINK("https://www.philgeps.gov.ph/GEPSNONPILOT/Tender/SplashBidNoticeAbstractUI.aspx?menuIndex=3&amp;refID=7147221&amp;Result=3","7147221")</f>
        <v>0</v>
      </c>
      <c r="B13607" t="s">
        <v>3472</v>
      </c>
      <c r="C13607" t="s">
        <v>16558</v>
      </c>
      <c r="D13607" t="s">
        <v>17188</v>
      </c>
      <c r="E13607" t="s">
        <v>21611</v>
      </c>
      <c r="F13607" t="s">
        <v>29372</v>
      </c>
      <c r="G13607" t="s">
        <v>29380</v>
      </c>
      <c r="H13607" t="s">
        <v>11048</v>
      </c>
      <c r="I13607" t="s">
        <v>14920</v>
      </c>
      <c r="J13607" t="s">
        <v>38104</v>
      </c>
      <c r="K13607" t="s">
        <v>38557</v>
      </c>
      <c r="M13607" t="s">
        <v>42594</v>
      </c>
      <c r="N13607" t="s">
        <v>42669</v>
      </c>
      <c r="O13607" t="s">
        <v>42670</v>
      </c>
      <c r="Q13607">
        <v>9</v>
      </c>
      <c r="R13607" t="s">
        <v>42694</v>
      </c>
      <c r="S13607" t="s">
        <v>43910</v>
      </c>
      <c r="T13607" t="s">
        <v>44474</v>
      </c>
      <c r="U13607" t="s">
        <v>55845</v>
      </c>
      <c r="W13607" t="s">
        <v>42594</v>
      </c>
      <c r="X13607" t="s">
        <v>42697</v>
      </c>
    </row>
    <row r="13608" spans="1:24">
      <c r="A13608">
        <f>HYPERLINK("https://www.philgeps.gov.ph/GEPSNONPILOT/Tender/SplashBidNoticeAbstractUI.aspx?menuIndex=3&amp;refID=7141575&amp;Result=3","7141575")</f>
        <v>0</v>
      </c>
      <c r="B13608" t="s">
        <v>1959</v>
      </c>
      <c r="C13608" t="s">
        <v>16559</v>
      </c>
      <c r="D13608" t="s">
        <v>17174</v>
      </c>
      <c r="E13608" t="s">
        <v>28828</v>
      </c>
      <c r="F13608" t="s">
        <v>29372</v>
      </c>
      <c r="G13608" t="s">
        <v>29380</v>
      </c>
      <c r="H13608" t="s">
        <v>29389</v>
      </c>
      <c r="I13608" t="s">
        <v>10408</v>
      </c>
      <c r="J13608" t="s">
        <v>29590</v>
      </c>
      <c r="K13608" t="s">
        <v>38485</v>
      </c>
      <c r="M13608" t="s">
        <v>40843</v>
      </c>
      <c r="N13608" t="s">
        <v>42669</v>
      </c>
      <c r="O13608" t="s">
        <v>42670</v>
      </c>
      <c r="P13608">
        <v>0</v>
      </c>
      <c r="Q13608">
        <v>1</v>
      </c>
      <c r="R13608" t="s">
        <v>42697</v>
      </c>
      <c r="S13608" t="s">
        <v>43906</v>
      </c>
      <c r="T13608" t="s">
        <v>44375</v>
      </c>
      <c r="U13608" t="s">
        <v>55846</v>
      </c>
      <c r="W13608" t="s">
        <v>40843</v>
      </c>
      <c r="X13608" t="s">
        <v>42699</v>
      </c>
    </row>
    <row r="13609" spans="1:24">
      <c r="A13609">
        <f>HYPERLINK("https://www.philgeps.gov.ph/GEPSNONPILOT/Tender/SplashBidNoticeAbstractUI.aspx?menuIndex=3&amp;refID=7137954&amp;Result=3","7137954")</f>
        <v>0</v>
      </c>
      <c r="B13609" t="s">
        <v>2895</v>
      </c>
      <c r="C13609" t="s">
        <v>16560</v>
      </c>
      <c r="D13609" t="s">
        <v>17182</v>
      </c>
      <c r="E13609" t="s">
        <v>28829</v>
      </c>
      <c r="F13609" t="s">
        <v>29372</v>
      </c>
      <c r="G13609" t="s">
        <v>29380</v>
      </c>
      <c r="H13609" t="s">
        <v>29389</v>
      </c>
      <c r="I13609" t="s">
        <v>10408</v>
      </c>
      <c r="J13609" t="s">
        <v>29573</v>
      </c>
      <c r="K13609" t="s">
        <v>38533</v>
      </c>
      <c r="M13609" t="s">
        <v>41893</v>
      </c>
      <c r="N13609" t="s">
        <v>42669</v>
      </c>
      <c r="O13609" t="s">
        <v>42670</v>
      </c>
      <c r="Q13609">
        <v>2</v>
      </c>
      <c r="R13609" t="s">
        <v>42697</v>
      </c>
      <c r="S13609" t="s">
        <v>43911</v>
      </c>
      <c r="T13609" t="s">
        <v>44652</v>
      </c>
      <c r="U13609" t="s">
        <v>55847</v>
      </c>
      <c r="V13609" t="s">
        <v>57450</v>
      </c>
      <c r="W13609" t="s">
        <v>41893</v>
      </c>
      <c r="X13609" t="s">
        <v>42700</v>
      </c>
    </row>
    <row r="13610" spans="1:24">
      <c r="A13610">
        <f>HYPERLINK("https://www.philgeps.gov.ph/GEPSNONPILOT/Tender/SplashBidNoticeAbstractUI.aspx?menuIndex=3&amp;refID=7147871&amp;Result=3","7147871")</f>
        <v>0</v>
      </c>
      <c r="B13610" t="s">
        <v>3377</v>
      </c>
      <c r="C13610" t="s">
        <v>16561</v>
      </c>
      <c r="E13610" t="s">
        <v>28830</v>
      </c>
      <c r="F13610" t="s">
        <v>29372</v>
      </c>
      <c r="G13610" t="s">
        <v>29380</v>
      </c>
      <c r="H13610" t="s">
        <v>29390</v>
      </c>
      <c r="I13610" t="s">
        <v>29467</v>
      </c>
      <c r="J13610" t="s">
        <v>38105</v>
      </c>
      <c r="K13610" t="s">
        <v>38485</v>
      </c>
      <c r="M13610" t="s">
        <v>42472</v>
      </c>
      <c r="N13610" t="s">
        <v>42669</v>
      </c>
      <c r="O13610" t="s">
        <v>42670</v>
      </c>
      <c r="Q13610">
        <v>5</v>
      </c>
      <c r="R13610" t="s">
        <v>42694</v>
      </c>
      <c r="S13610" t="s">
        <v>43912</v>
      </c>
      <c r="T13610" t="s">
        <v>44415</v>
      </c>
      <c r="U13610" t="s">
        <v>55076</v>
      </c>
      <c r="V13610" t="s">
        <v>57817</v>
      </c>
      <c r="W13610" t="s">
        <v>42472</v>
      </c>
      <c r="X13610" t="s">
        <v>42697</v>
      </c>
    </row>
    <row r="13611" spans="1:24">
      <c r="A13611">
        <f>HYPERLINK("https://www.philgeps.gov.ph/GEPSNONPILOT/Tender/SplashBidNoticeAbstractUI.aspx?menuIndex=3&amp;refID=7147826&amp;Result=3","7147826")</f>
        <v>0</v>
      </c>
      <c r="B13611" t="s">
        <v>3377</v>
      </c>
      <c r="C13611" t="s">
        <v>16562</v>
      </c>
      <c r="D13611" t="s">
        <v>17142</v>
      </c>
      <c r="E13611" t="s">
        <v>28831</v>
      </c>
      <c r="F13611" t="s">
        <v>29372</v>
      </c>
      <c r="G13611" t="s">
        <v>29380</v>
      </c>
      <c r="H13611" t="s">
        <v>29390</v>
      </c>
      <c r="I13611" t="s">
        <v>3597</v>
      </c>
      <c r="J13611" t="s">
        <v>38106</v>
      </c>
      <c r="K13611" t="s">
        <v>38485</v>
      </c>
      <c r="M13611" t="s">
        <v>42472</v>
      </c>
      <c r="N13611" t="s">
        <v>42669</v>
      </c>
      <c r="O13611" t="s">
        <v>42670</v>
      </c>
      <c r="Q13611">
        <v>11</v>
      </c>
      <c r="R13611" t="s">
        <v>42694</v>
      </c>
      <c r="S13611" t="s">
        <v>43913</v>
      </c>
      <c r="T13611" t="s">
        <v>44415</v>
      </c>
      <c r="U13611" t="s">
        <v>55076</v>
      </c>
      <c r="V13611" t="s">
        <v>57814</v>
      </c>
      <c r="W13611" t="s">
        <v>42472</v>
      </c>
      <c r="X13611" t="s">
        <v>42697</v>
      </c>
    </row>
    <row r="13612" spans="1:24">
      <c r="A13612">
        <f>HYPERLINK("https://www.philgeps.gov.ph/GEPSNONPILOT/Tender/SplashBidNoticeAbstractUI.aspx?menuIndex=3&amp;refID=7143137&amp;Result=3","7143137")</f>
        <v>0</v>
      </c>
      <c r="B13612" t="s">
        <v>2789</v>
      </c>
      <c r="C13612" t="s">
        <v>16563</v>
      </c>
      <c r="D13612" t="s">
        <v>17161</v>
      </c>
      <c r="E13612" t="s">
        <v>28832</v>
      </c>
      <c r="F13612" t="s">
        <v>29372</v>
      </c>
      <c r="G13612" t="s">
        <v>29380</v>
      </c>
      <c r="H13612" t="s">
        <v>29389</v>
      </c>
      <c r="I13612" t="s">
        <v>10408</v>
      </c>
      <c r="J13612" t="s">
        <v>38107</v>
      </c>
      <c r="K13612" t="s">
        <v>38503</v>
      </c>
      <c r="M13612" t="s">
        <v>41776</v>
      </c>
      <c r="N13612" t="s">
        <v>42669</v>
      </c>
      <c r="O13612" t="s">
        <v>42670</v>
      </c>
      <c r="P13612">
        <v>0</v>
      </c>
      <c r="Q13612">
        <v>0</v>
      </c>
      <c r="R13612" t="s">
        <v>42697</v>
      </c>
      <c r="S13612" t="s">
        <v>43906</v>
      </c>
      <c r="T13612" t="s">
        <v>44491</v>
      </c>
      <c r="U13612" t="s">
        <v>55848</v>
      </c>
      <c r="W13612" t="s">
        <v>41776</v>
      </c>
      <c r="X13612" t="s">
        <v>42698</v>
      </c>
    </row>
    <row r="13613" spans="1:24">
      <c r="A13613">
        <f>HYPERLINK("https://www.philgeps.gov.ph/GEPSNONPILOT/Tender/SplashBidNoticeAbstractUI.aspx?menuIndex=3&amp;refID=7139373&amp;Result=3","7139373")</f>
        <v>0</v>
      </c>
      <c r="B13613" t="s">
        <v>2010</v>
      </c>
      <c r="C13613" t="s">
        <v>16564</v>
      </c>
      <c r="D13613" t="s">
        <v>17143</v>
      </c>
      <c r="E13613" t="s">
        <v>28833</v>
      </c>
      <c r="F13613" t="s">
        <v>29372</v>
      </c>
      <c r="G13613" t="s">
        <v>29380</v>
      </c>
      <c r="H13613" t="s">
        <v>29389</v>
      </c>
      <c r="I13613" t="s">
        <v>10408</v>
      </c>
      <c r="J13613" t="s">
        <v>38108</v>
      </c>
      <c r="K13613" t="s">
        <v>38527</v>
      </c>
      <c r="M13613" t="s">
        <v>41068</v>
      </c>
      <c r="N13613" t="s">
        <v>42669</v>
      </c>
      <c r="O13613" t="s">
        <v>42670</v>
      </c>
      <c r="P13613">
        <v>0</v>
      </c>
      <c r="Q13613">
        <v>1</v>
      </c>
      <c r="R13613" t="s">
        <v>42697</v>
      </c>
      <c r="S13613" t="s">
        <v>43906</v>
      </c>
      <c r="T13613" t="s">
        <v>44387</v>
      </c>
      <c r="U13613" t="s">
        <v>55849</v>
      </c>
      <c r="V13613" t="s">
        <v>57001</v>
      </c>
      <c r="W13613" t="s">
        <v>41068</v>
      </c>
      <c r="X13613" t="s">
        <v>42699</v>
      </c>
    </row>
    <row r="13614" spans="1:24">
      <c r="A13614">
        <f>HYPERLINK("https://www.philgeps.gov.ph/GEPSNONPILOT/Tender/SplashBidNoticeAbstractUI.aspx?menuIndex=3&amp;refID=7147913&amp;Result=3","7147913")</f>
        <v>0</v>
      </c>
      <c r="B13614" t="s">
        <v>717</v>
      </c>
      <c r="C13614" t="s">
        <v>16565</v>
      </c>
      <c r="D13614" t="s">
        <v>17171</v>
      </c>
      <c r="E13614" t="s">
        <v>28834</v>
      </c>
      <c r="F13614" t="s">
        <v>29372</v>
      </c>
      <c r="G13614" t="s">
        <v>29380</v>
      </c>
      <c r="H13614" t="s">
        <v>11048</v>
      </c>
      <c r="I13614" t="s">
        <v>4709</v>
      </c>
      <c r="J13614" t="s">
        <v>38109</v>
      </c>
      <c r="K13614" t="s">
        <v>38490</v>
      </c>
      <c r="M13614" t="s">
        <v>39496</v>
      </c>
      <c r="N13614" t="s">
        <v>42669</v>
      </c>
      <c r="O13614" t="s">
        <v>42670</v>
      </c>
      <c r="P13614">
        <v>0</v>
      </c>
      <c r="Q13614">
        <v>0</v>
      </c>
      <c r="R13614" t="s">
        <v>42694</v>
      </c>
      <c r="S13614" t="s">
        <v>43877</v>
      </c>
      <c r="T13614" t="s">
        <v>44401</v>
      </c>
      <c r="U13614" t="s">
        <v>55034</v>
      </c>
      <c r="W13614" t="s">
        <v>39496</v>
      </c>
      <c r="X13614" t="s">
        <v>42697</v>
      </c>
    </row>
    <row r="13615" spans="1:24">
      <c r="A13615">
        <f>HYPERLINK("https://www.philgeps.gov.ph/GEPSNONPILOT/Tender/SplashBidNoticeAbstractUI.aspx?menuIndex=3&amp;refID=7143081&amp;Result=3","7143081")</f>
        <v>0</v>
      </c>
      <c r="B13615" t="s">
        <v>2797</v>
      </c>
      <c r="C13615" t="s">
        <v>16566</v>
      </c>
      <c r="D13615" t="s">
        <v>17207</v>
      </c>
      <c r="E13615" t="s">
        <v>28835</v>
      </c>
      <c r="F13615" t="s">
        <v>29372</v>
      </c>
      <c r="G13615" t="s">
        <v>29380</v>
      </c>
      <c r="H13615" t="s">
        <v>29389</v>
      </c>
      <c r="I13615" t="s">
        <v>10408</v>
      </c>
      <c r="J13615" t="s">
        <v>38110</v>
      </c>
      <c r="K13615" t="s">
        <v>38488</v>
      </c>
      <c r="M13615" t="s">
        <v>41785</v>
      </c>
      <c r="N13615" t="s">
        <v>42669</v>
      </c>
      <c r="O13615" t="s">
        <v>42670</v>
      </c>
      <c r="P13615">
        <v>0</v>
      </c>
      <c r="Q13615">
        <v>1</v>
      </c>
      <c r="R13615" t="s">
        <v>42697</v>
      </c>
      <c r="S13615" t="s">
        <v>43906</v>
      </c>
      <c r="T13615" t="s">
        <v>44493</v>
      </c>
      <c r="U13615" t="s">
        <v>55850</v>
      </c>
      <c r="W13615" t="s">
        <v>41785</v>
      </c>
      <c r="X13615" t="s">
        <v>42698</v>
      </c>
    </row>
    <row r="13616" spans="1:24">
      <c r="A13616">
        <f>HYPERLINK("https://www.philgeps.gov.ph/GEPSNONPILOT/Tender/SplashBidNoticeAbstractUI.aspx?menuIndex=3&amp;refID=7147367&amp;Result=3","7147367")</f>
        <v>0</v>
      </c>
      <c r="B13616" t="s">
        <v>1292</v>
      </c>
      <c r="C13616" t="s">
        <v>16567</v>
      </c>
      <c r="D13616" t="s">
        <v>17141</v>
      </c>
      <c r="E13616" t="s">
        <v>28836</v>
      </c>
      <c r="F13616" t="s">
        <v>29372</v>
      </c>
      <c r="G13616" t="s">
        <v>29381</v>
      </c>
      <c r="H13616" t="s">
        <v>11048</v>
      </c>
      <c r="I13616" t="s">
        <v>5383</v>
      </c>
      <c r="J13616" t="s">
        <v>38111</v>
      </c>
      <c r="K13616" t="s">
        <v>38491</v>
      </c>
      <c r="M13616" t="s">
        <v>42595</v>
      </c>
      <c r="N13616" t="s">
        <v>42669</v>
      </c>
      <c r="O13616" t="s">
        <v>42670</v>
      </c>
      <c r="Q13616">
        <v>12</v>
      </c>
      <c r="R13616" t="s">
        <v>42694</v>
      </c>
      <c r="S13616" t="s">
        <v>43914</v>
      </c>
      <c r="T13616" t="s">
        <v>44415</v>
      </c>
      <c r="U13616" t="s">
        <v>55851</v>
      </c>
      <c r="V13616" t="s">
        <v>57939</v>
      </c>
      <c r="W13616" t="s">
        <v>42595</v>
      </c>
      <c r="X13616" t="s">
        <v>42697</v>
      </c>
    </row>
    <row r="13617" spans="1:24">
      <c r="A13617">
        <f>HYPERLINK("https://www.philgeps.gov.ph/GEPSNONPILOT/Tender/SplashBidNoticeAbstractUI.aspx?menuIndex=3&amp;refID=7143125&amp;Result=3","7143125")</f>
        <v>0</v>
      </c>
      <c r="B13617" t="s">
        <v>2797</v>
      </c>
      <c r="C13617" t="s">
        <v>16568</v>
      </c>
      <c r="D13617" t="s">
        <v>17207</v>
      </c>
      <c r="E13617" t="s">
        <v>28837</v>
      </c>
      <c r="F13617" t="s">
        <v>29372</v>
      </c>
      <c r="G13617" t="s">
        <v>29380</v>
      </c>
      <c r="H13617" t="s">
        <v>29389</v>
      </c>
      <c r="I13617" t="s">
        <v>10408</v>
      </c>
      <c r="J13617" t="s">
        <v>38112</v>
      </c>
      <c r="K13617" t="s">
        <v>38496</v>
      </c>
      <c r="M13617" t="s">
        <v>41785</v>
      </c>
      <c r="N13617" t="s">
        <v>42669</v>
      </c>
      <c r="O13617" t="s">
        <v>42670</v>
      </c>
      <c r="P13617">
        <v>0</v>
      </c>
      <c r="Q13617">
        <v>1</v>
      </c>
      <c r="R13617" t="s">
        <v>42697</v>
      </c>
      <c r="S13617" t="s">
        <v>43906</v>
      </c>
      <c r="T13617" t="s">
        <v>44493</v>
      </c>
      <c r="U13617" t="s">
        <v>55852</v>
      </c>
      <c r="W13617" t="s">
        <v>41785</v>
      </c>
      <c r="X13617" t="s">
        <v>42698</v>
      </c>
    </row>
    <row r="13618" spans="1:24">
      <c r="A13618">
        <f>HYPERLINK("https://www.philgeps.gov.ph/GEPSNONPILOT/Tender/SplashBidNoticeAbstractUI.aspx?menuIndex=3&amp;refID=7143088&amp;Result=3","7143088")</f>
        <v>0</v>
      </c>
      <c r="B13618" t="s">
        <v>2420</v>
      </c>
      <c r="C13618" t="s">
        <v>16569</v>
      </c>
      <c r="D13618" t="s">
        <v>17172</v>
      </c>
      <c r="E13618" t="s">
        <v>17266</v>
      </c>
      <c r="F13618" t="s">
        <v>29372</v>
      </c>
      <c r="G13618" t="s">
        <v>29380</v>
      </c>
      <c r="H13618" t="s">
        <v>29389</v>
      </c>
      <c r="I13618" t="s">
        <v>10408</v>
      </c>
      <c r="J13618" t="s">
        <v>29543</v>
      </c>
      <c r="K13618" t="s">
        <v>38496</v>
      </c>
      <c r="M13618" t="s">
        <v>41367</v>
      </c>
      <c r="N13618" t="s">
        <v>42669</v>
      </c>
      <c r="O13618" t="s">
        <v>42670</v>
      </c>
      <c r="P13618">
        <v>0</v>
      </c>
      <c r="Q13618">
        <v>1</v>
      </c>
      <c r="R13618" t="s">
        <v>42697</v>
      </c>
      <c r="S13618" t="s">
        <v>43906</v>
      </c>
      <c r="T13618" t="s">
        <v>44399</v>
      </c>
      <c r="U13618" t="s">
        <v>55853</v>
      </c>
      <c r="W13618" t="s">
        <v>41367</v>
      </c>
      <c r="X13618" t="s">
        <v>42698</v>
      </c>
    </row>
    <row r="13619" spans="1:24">
      <c r="A13619">
        <f>HYPERLINK("https://www.philgeps.gov.ph/GEPSNONPILOT/Tender/SplashBidNoticeAbstractUI.aspx?menuIndex=3&amp;refID=7142785&amp;Result=3","7142785")</f>
        <v>0</v>
      </c>
      <c r="B13619" t="s">
        <v>3360</v>
      </c>
      <c r="C13619" t="s">
        <v>16570</v>
      </c>
      <c r="D13619" t="s">
        <v>17204</v>
      </c>
      <c r="E13619" t="s">
        <v>19597</v>
      </c>
      <c r="F13619" t="s">
        <v>29372</v>
      </c>
      <c r="G13619" t="s">
        <v>29380</v>
      </c>
      <c r="H13619" t="s">
        <v>29389</v>
      </c>
      <c r="I13619" t="s">
        <v>10408</v>
      </c>
      <c r="J13619" t="s">
        <v>29829</v>
      </c>
      <c r="K13619" t="s">
        <v>38533</v>
      </c>
      <c r="M13619" t="s">
        <v>42452</v>
      </c>
      <c r="N13619" t="s">
        <v>42669</v>
      </c>
      <c r="O13619" t="s">
        <v>42670</v>
      </c>
      <c r="Q13619">
        <v>5</v>
      </c>
      <c r="R13619" t="s">
        <v>42697</v>
      </c>
      <c r="S13619" t="s">
        <v>43915</v>
      </c>
      <c r="T13619" t="s">
        <v>44532</v>
      </c>
      <c r="U13619" t="s">
        <v>55854</v>
      </c>
      <c r="V13619" t="s">
        <v>57801</v>
      </c>
      <c r="W13619" t="s">
        <v>42452</v>
      </c>
      <c r="X13619" t="s">
        <v>42698</v>
      </c>
    </row>
    <row r="13620" spans="1:24">
      <c r="A13620">
        <f>HYPERLINK("https://www.philgeps.gov.ph/GEPSNONPILOT/Tender/SplashBidNoticeAbstractUI.aspx?menuIndex=3&amp;refID=7147849&amp;Result=3","7147849")</f>
        <v>0</v>
      </c>
      <c r="B13620" t="s">
        <v>3377</v>
      </c>
      <c r="C13620" t="s">
        <v>16571</v>
      </c>
      <c r="D13620" t="s">
        <v>17142</v>
      </c>
      <c r="E13620" t="s">
        <v>28838</v>
      </c>
      <c r="F13620" t="s">
        <v>29372</v>
      </c>
      <c r="G13620" t="s">
        <v>29380</v>
      </c>
      <c r="H13620" t="s">
        <v>29390</v>
      </c>
      <c r="I13620" t="s">
        <v>29467</v>
      </c>
      <c r="J13620" t="s">
        <v>36168</v>
      </c>
      <c r="K13620" t="s">
        <v>38495</v>
      </c>
      <c r="M13620" t="s">
        <v>42472</v>
      </c>
      <c r="N13620" t="s">
        <v>42669</v>
      </c>
      <c r="O13620" t="s">
        <v>42670</v>
      </c>
      <c r="Q13620">
        <v>7</v>
      </c>
      <c r="R13620" t="s">
        <v>42694</v>
      </c>
      <c r="S13620" t="s">
        <v>43916</v>
      </c>
      <c r="T13620" t="s">
        <v>44415</v>
      </c>
      <c r="U13620" t="s">
        <v>55076</v>
      </c>
      <c r="V13620" t="s">
        <v>57817</v>
      </c>
      <c r="W13620" t="s">
        <v>42472</v>
      </c>
      <c r="X13620" t="s">
        <v>42697</v>
      </c>
    </row>
    <row r="13621" spans="1:24">
      <c r="A13621">
        <f>HYPERLINK("https://www.philgeps.gov.ph/GEPSNONPILOT/Tender/SplashBidNoticeAbstractUI.aspx?menuIndex=3&amp;refID=7142760&amp;Result=3","7142760")</f>
        <v>0</v>
      </c>
      <c r="B13621" t="s">
        <v>3360</v>
      </c>
      <c r="C13621" t="s">
        <v>16572</v>
      </c>
      <c r="D13621" t="s">
        <v>17204</v>
      </c>
      <c r="E13621" t="s">
        <v>19582</v>
      </c>
      <c r="F13621" t="s">
        <v>29372</v>
      </c>
      <c r="G13621" t="s">
        <v>29380</v>
      </c>
      <c r="H13621" t="s">
        <v>29389</v>
      </c>
      <c r="I13621" t="s">
        <v>10408</v>
      </c>
      <c r="J13621" t="s">
        <v>32469</v>
      </c>
      <c r="K13621" t="s">
        <v>38533</v>
      </c>
      <c r="M13621" t="s">
        <v>42452</v>
      </c>
      <c r="N13621" t="s">
        <v>42669</v>
      </c>
      <c r="O13621" t="s">
        <v>42670</v>
      </c>
      <c r="Q13621">
        <v>5</v>
      </c>
      <c r="R13621" t="s">
        <v>42697</v>
      </c>
      <c r="S13621" t="s">
        <v>43484</v>
      </c>
      <c r="T13621" t="s">
        <v>44532</v>
      </c>
      <c r="U13621" t="s">
        <v>55855</v>
      </c>
      <c r="V13621" t="s">
        <v>57801</v>
      </c>
      <c r="W13621" t="s">
        <v>42452</v>
      </c>
      <c r="X13621" t="s">
        <v>42698</v>
      </c>
    </row>
    <row r="13622" spans="1:24">
      <c r="A13622">
        <f>HYPERLINK("https://www.philgeps.gov.ph/GEPSNONPILOT/Tender/SplashBidNoticeAbstractUI.aspx?menuIndex=3&amp;refID=7143034&amp;Result=3","7143034")</f>
        <v>0</v>
      </c>
      <c r="B13622" t="s">
        <v>2420</v>
      </c>
      <c r="C13622" t="s">
        <v>16573</v>
      </c>
      <c r="D13622" t="s">
        <v>17172</v>
      </c>
      <c r="E13622" t="s">
        <v>17267</v>
      </c>
      <c r="F13622" t="s">
        <v>29372</v>
      </c>
      <c r="G13622" t="s">
        <v>29380</v>
      </c>
      <c r="H13622" t="s">
        <v>29389</v>
      </c>
      <c r="I13622" t="s">
        <v>10408</v>
      </c>
      <c r="J13622" t="s">
        <v>30161</v>
      </c>
      <c r="K13622" t="s">
        <v>38496</v>
      </c>
      <c r="M13622" t="s">
        <v>41367</v>
      </c>
      <c r="N13622" t="s">
        <v>42669</v>
      </c>
      <c r="O13622" t="s">
        <v>42670</v>
      </c>
      <c r="P13622">
        <v>0</v>
      </c>
      <c r="Q13622">
        <v>0</v>
      </c>
      <c r="R13622" t="s">
        <v>42697</v>
      </c>
      <c r="S13622" t="s">
        <v>43906</v>
      </c>
      <c r="T13622" t="s">
        <v>44399</v>
      </c>
      <c r="U13622" t="s">
        <v>55856</v>
      </c>
      <c r="W13622" t="s">
        <v>41367</v>
      </c>
      <c r="X13622" t="s">
        <v>42698</v>
      </c>
    </row>
    <row r="13623" spans="1:24">
      <c r="A13623">
        <f>HYPERLINK("https://www.philgeps.gov.ph/GEPSNONPILOT/Tender/SplashBidNoticeAbstractUI.aspx?menuIndex=3&amp;refID=7142729&amp;Result=3","7142729")</f>
        <v>0</v>
      </c>
      <c r="B13623" t="s">
        <v>3360</v>
      </c>
      <c r="C13623" t="s">
        <v>16574</v>
      </c>
      <c r="D13623" t="s">
        <v>17204</v>
      </c>
      <c r="E13623" t="s">
        <v>23927</v>
      </c>
      <c r="F13623" t="s">
        <v>29372</v>
      </c>
      <c r="G13623" t="s">
        <v>29380</v>
      </c>
      <c r="H13623" t="s">
        <v>29389</v>
      </c>
      <c r="I13623" t="s">
        <v>10408</v>
      </c>
      <c r="J13623" t="s">
        <v>32431</v>
      </c>
      <c r="K13623" t="s">
        <v>38533</v>
      </c>
      <c r="M13623" t="s">
        <v>42452</v>
      </c>
      <c r="N13623" t="s">
        <v>42669</v>
      </c>
      <c r="O13623" t="s">
        <v>42670</v>
      </c>
      <c r="Q13623">
        <v>5</v>
      </c>
      <c r="R13623" t="s">
        <v>42697</v>
      </c>
      <c r="S13623" t="s">
        <v>43917</v>
      </c>
      <c r="T13623" t="s">
        <v>44532</v>
      </c>
      <c r="U13623" t="s">
        <v>55857</v>
      </c>
      <c r="V13623" t="s">
        <v>57801</v>
      </c>
      <c r="W13623" t="s">
        <v>42452</v>
      </c>
      <c r="X13623" t="s">
        <v>42698</v>
      </c>
    </row>
    <row r="13624" spans="1:24">
      <c r="A13624">
        <f>HYPERLINK("https://www.philgeps.gov.ph/GEPSNONPILOT/Tender/SplashBidNoticeAbstractUI.aspx?menuIndex=3&amp;refID=7142569&amp;Result=3","7142569")</f>
        <v>0</v>
      </c>
      <c r="B13624" t="s">
        <v>2470</v>
      </c>
      <c r="C13624" t="s">
        <v>16575</v>
      </c>
      <c r="D13624" t="s">
        <v>17199</v>
      </c>
      <c r="E13624" t="s">
        <v>28839</v>
      </c>
      <c r="F13624" t="s">
        <v>29372</v>
      </c>
      <c r="G13624" t="s">
        <v>29380</v>
      </c>
      <c r="H13624" t="s">
        <v>11048</v>
      </c>
      <c r="I13624" t="s">
        <v>29399</v>
      </c>
      <c r="J13624" t="s">
        <v>38113</v>
      </c>
      <c r="K13624" t="s">
        <v>38490</v>
      </c>
      <c r="M13624" t="s">
        <v>41419</v>
      </c>
      <c r="N13624" t="s">
        <v>42669</v>
      </c>
      <c r="O13624" t="s">
        <v>42670</v>
      </c>
      <c r="Q13624">
        <v>13</v>
      </c>
      <c r="R13624" t="s">
        <v>42697</v>
      </c>
      <c r="S13624" t="s">
        <v>43918</v>
      </c>
      <c r="T13624" t="s">
        <v>44493</v>
      </c>
      <c r="U13624" t="s">
        <v>55858</v>
      </c>
      <c r="W13624" t="s">
        <v>41419</v>
      </c>
      <c r="X13624" t="s">
        <v>42698</v>
      </c>
    </row>
    <row r="13625" spans="1:24">
      <c r="A13625">
        <f>HYPERLINK("https://www.philgeps.gov.ph/GEPSNONPILOT/Tender/SplashBidNoticeAbstractUI.aspx?menuIndex=3&amp;refID=7142341&amp;Result=3","7142341")</f>
        <v>0</v>
      </c>
      <c r="B13625" t="s">
        <v>589</v>
      </c>
      <c r="C13625" t="s">
        <v>16576</v>
      </c>
      <c r="D13625" t="s">
        <v>17168</v>
      </c>
      <c r="E13625" t="s">
        <v>28840</v>
      </c>
      <c r="F13625" t="s">
        <v>29372</v>
      </c>
      <c r="G13625" t="s">
        <v>29380</v>
      </c>
      <c r="H13625" t="s">
        <v>11048</v>
      </c>
      <c r="I13625" t="s">
        <v>4486</v>
      </c>
      <c r="J13625" t="s">
        <v>38114</v>
      </c>
      <c r="K13625" t="s">
        <v>38538</v>
      </c>
      <c r="M13625" t="s">
        <v>39358</v>
      </c>
      <c r="N13625" t="s">
        <v>42669</v>
      </c>
      <c r="O13625" t="s">
        <v>42670</v>
      </c>
      <c r="Q13625">
        <v>3</v>
      </c>
      <c r="R13625" t="s">
        <v>42697</v>
      </c>
      <c r="S13625" t="s">
        <v>43919</v>
      </c>
      <c r="T13625" t="s">
        <v>44427</v>
      </c>
      <c r="U13625" t="s">
        <v>55859</v>
      </c>
      <c r="V13625" t="s">
        <v>56701</v>
      </c>
      <c r="W13625" t="s">
        <v>39358</v>
      </c>
      <c r="X13625" t="s">
        <v>42698</v>
      </c>
    </row>
    <row r="13626" spans="1:24">
      <c r="A13626">
        <f>HYPERLINK("https://www.philgeps.gov.ph/GEPSNONPILOT/Tender/SplashBidNoticeAbstractUI.aspx?menuIndex=3&amp;refID=7147918&amp;Result=3","7147918")</f>
        <v>0</v>
      </c>
      <c r="B13626" t="s">
        <v>717</v>
      </c>
      <c r="C13626" t="s">
        <v>16577</v>
      </c>
      <c r="D13626" t="s">
        <v>17171</v>
      </c>
      <c r="E13626" t="s">
        <v>28841</v>
      </c>
      <c r="F13626" t="s">
        <v>29372</v>
      </c>
      <c r="G13626" t="s">
        <v>29380</v>
      </c>
      <c r="H13626" t="s">
        <v>11048</v>
      </c>
      <c r="I13626" t="s">
        <v>4709</v>
      </c>
      <c r="J13626" t="s">
        <v>38115</v>
      </c>
      <c r="K13626" t="s">
        <v>38490</v>
      </c>
      <c r="M13626" t="s">
        <v>39496</v>
      </c>
      <c r="N13626" t="s">
        <v>42669</v>
      </c>
      <c r="O13626" t="s">
        <v>42670</v>
      </c>
      <c r="P13626">
        <v>0</v>
      </c>
      <c r="Q13626">
        <v>1</v>
      </c>
      <c r="R13626" t="s">
        <v>42694</v>
      </c>
      <c r="S13626" t="s">
        <v>43877</v>
      </c>
      <c r="T13626" t="s">
        <v>44470</v>
      </c>
      <c r="U13626" t="s">
        <v>55034</v>
      </c>
      <c r="W13626" t="s">
        <v>39496</v>
      </c>
      <c r="X13626" t="s">
        <v>42697</v>
      </c>
    </row>
    <row r="13627" spans="1:24">
      <c r="A13627">
        <f>HYPERLINK("https://www.philgeps.gov.ph/GEPSNONPILOT/Tender/SplashBidNoticeAbstractUI.aspx?menuIndex=3&amp;refID=7142686&amp;Result=3","7142686")</f>
        <v>0</v>
      </c>
      <c r="B13627" t="s">
        <v>3360</v>
      </c>
      <c r="C13627" t="s">
        <v>16578</v>
      </c>
      <c r="D13627" t="s">
        <v>17204</v>
      </c>
      <c r="E13627" t="s">
        <v>22671</v>
      </c>
      <c r="F13627" t="s">
        <v>29372</v>
      </c>
      <c r="G13627" t="s">
        <v>29380</v>
      </c>
      <c r="H13627" t="s">
        <v>29389</v>
      </c>
      <c r="I13627" t="s">
        <v>10408</v>
      </c>
      <c r="J13627" t="s">
        <v>29829</v>
      </c>
      <c r="K13627" t="s">
        <v>38533</v>
      </c>
      <c r="M13627" t="s">
        <v>42452</v>
      </c>
      <c r="N13627" t="s">
        <v>42669</v>
      </c>
      <c r="O13627" t="s">
        <v>42670</v>
      </c>
      <c r="Q13627">
        <v>5</v>
      </c>
      <c r="R13627" t="s">
        <v>42697</v>
      </c>
      <c r="S13627" t="s">
        <v>43920</v>
      </c>
      <c r="T13627" t="s">
        <v>44532</v>
      </c>
      <c r="U13627" t="s">
        <v>55860</v>
      </c>
      <c r="V13627" t="s">
        <v>57801</v>
      </c>
      <c r="W13627" t="s">
        <v>42452</v>
      </c>
      <c r="X13627" t="s">
        <v>42698</v>
      </c>
    </row>
    <row r="13628" spans="1:24">
      <c r="A13628">
        <f>HYPERLINK("https://www.philgeps.gov.ph/GEPSNONPILOT/Tender/SplashBidNoticeAbstractUI.aspx?menuIndex=3&amp;refID=7142093&amp;Result=3","7142093")</f>
        <v>0</v>
      </c>
      <c r="B13628" t="s">
        <v>2324</v>
      </c>
      <c r="C13628" t="s">
        <v>16579</v>
      </c>
      <c r="D13628" t="s">
        <v>17226</v>
      </c>
      <c r="E13628" t="s">
        <v>28842</v>
      </c>
      <c r="F13628" t="s">
        <v>29372</v>
      </c>
      <c r="G13628" t="s">
        <v>29380</v>
      </c>
      <c r="H13628" t="s">
        <v>11048</v>
      </c>
      <c r="I13628" t="s">
        <v>14920</v>
      </c>
      <c r="J13628" t="s">
        <v>30172</v>
      </c>
      <c r="K13628" t="s">
        <v>38551</v>
      </c>
      <c r="L13628" t="s">
        <v>2324</v>
      </c>
      <c r="M13628" t="s">
        <v>41256</v>
      </c>
      <c r="N13628" t="s">
        <v>42669</v>
      </c>
      <c r="O13628" t="s">
        <v>42670</v>
      </c>
      <c r="P13628">
        <v>0</v>
      </c>
      <c r="Q13628">
        <v>1</v>
      </c>
      <c r="R13628" t="s">
        <v>42697</v>
      </c>
      <c r="S13628" t="s">
        <v>43906</v>
      </c>
      <c r="T13628" t="s">
        <v>44432</v>
      </c>
      <c r="U13628" t="s">
        <v>55861</v>
      </c>
      <c r="V13628" t="s">
        <v>57157</v>
      </c>
      <c r="W13628" t="s">
        <v>41256</v>
      </c>
      <c r="X13628" t="s">
        <v>42698</v>
      </c>
    </row>
    <row r="13629" spans="1:24">
      <c r="A13629">
        <f>HYPERLINK("https://www.philgeps.gov.ph/GEPSNONPILOT/Tender/SplashBidNoticeAbstractUI.aspx?menuIndex=3&amp;refID=7143049&amp;Result=3","7143049")</f>
        <v>0</v>
      </c>
      <c r="B13629" t="s">
        <v>2217</v>
      </c>
      <c r="C13629" t="s">
        <v>16580</v>
      </c>
      <c r="D13629" t="s">
        <v>17249</v>
      </c>
      <c r="E13629" t="s">
        <v>28843</v>
      </c>
      <c r="F13629" t="s">
        <v>29372</v>
      </c>
      <c r="G13629" t="s">
        <v>29380</v>
      </c>
      <c r="H13629" t="s">
        <v>11048</v>
      </c>
      <c r="I13629" t="s">
        <v>29404</v>
      </c>
      <c r="J13629" t="s">
        <v>38116</v>
      </c>
      <c r="K13629" t="s">
        <v>38487</v>
      </c>
      <c r="M13629" t="s">
        <v>41587</v>
      </c>
      <c r="N13629" t="s">
        <v>42669</v>
      </c>
      <c r="O13629" t="s">
        <v>42670</v>
      </c>
      <c r="Q13629">
        <v>3</v>
      </c>
      <c r="R13629" t="s">
        <v>42697</v>
      </c>
      <c r="S13629" t="s">
        <v>43921</v>
      </c>
      <c r="T13629" t="s">
        <v>44493</v>
      </c>
      <c r="U13629" t="s">
        <v>55862</v>
      </c>
      <c r="W13629" t="s">
        <v>41587</v>
      </c>
      <c r="X13629" t="s">
        <v>42698</v>
      </c>
    </row>
    <row r="13630" spans="1:24">
      <c r="A13630">
        <f>HYPERLINK("https://www.philgeps.gov.ph/GEPSNONPILOT/Tender/SplashBidNoticeAbstractUI.aspx?menuIndex=3&amp;refID=7142090&amp;Result=3","7142090")</f>
        <v>0</v>
      </c>
      <c r="B13630" t="s">
        <v>2324</v>
      </c>
      <c r="C13630" t="s">
        <v>16581</v>
      </c>
      <c r="D13630" t="s">
        <v>17226</v>
      </c>
      <c r="E13630" t="s">
        <v>28844</v>
      </c>
      <c r="F13630" t="s">
        <v>29372</v>
      </c>
      <c r="G13630" t="s">
        <v>29380</v>
      </c>
      <c r="H13630" t="s">
        <v>11048</v>
      </c>
      <c r="I13630" t="s">
        <v>6417</v>
      </c>
      <c r="J13630" t="s">
        <v>29929</v>
      </c>
      <c r="K13630" t="s">
        <v>38551</v>
      </c>
      <c r="L13630" t="s">
        <v>2324</v>
      </c>
      <c r="M13630" t="s">
        <v>41256</v>
      </c>
      <c r="N13630" t="s">
        <v>42669</v>
      </c>
      <c r="O13630" t="s">
        <v>42670</v>
      </c>
      <c r="P13630">
        <v>0</v>
      </c>
      <c r="Q13630">
        <v>1</v>
      </c>
      <c r="R13630" t="s">
        <v>42697</v>
      </c>
      <c r="S13630" t="s">
        <v>43906</v>
      </c>
      <c r="T13630" t="s">
        <v>44432</v>
      </c>
      <c r="U13630" t="s">
        <v>55863</v>
      </c>
      <c r="V13630" t="s">
        <v>57157</v>
      </c>
      <c r="W13630" t="s">
        <v>41256</v>
      </c>
      <c r="X13630" t="s">
        <v>42698</v>
      </c>
    </row>
    <row r="13631" spans="1:24">
      <c r="A13631">
        <f>HYPERLINK("https://www.philgeps.gov.ph/GEPSNONPILOT/Tender/SplashBidNoticeAbstractUI.aspx?menuIndex=3&amp;refID=7142086&amp;Result=3","7142086")</f>
        <v>0</v>
      </c>
      <c r="B13631" t="s">
        <v>2324</v>
      </c>
      <c r="C13631" t="s">
        <v>16582</v>
      </c>
      <c r="D13631" t="s">
        <v>17226</v>
      </c>
      <c r="E13631" t="s">
        <v>26462</v>
      </c>
      <c r="F13631" t="s">
        <v>29372</v>
      </c>
      <c r="G13631" t="s">
        <v>29380</v>
      </c>
      <c r="H13631" t="s">
        <v>11048</v>
      </c>
      <c r="I13631" t="s">
        <v>29416</v>
      </c>
      <c r="J13631" t="s">
        <v>38117</v>
      </c>
      <c r="K13631" t="s">
        <v>38551</v>
      </c>
      <c r="L13631" t="s">
        <v>2324</v>
      </c>
      <c r="M13631" t="s">
        <v>41256</v>
      </c>
      <c r="N13631" t="s">
        <v>42669</v>
      </c>
      <c r="O13631" t="s">
        <v>42670</v>
      </c>
      <c r="P13631">
        <v>0</v>
      </c>
      <c r="Q13631">
        <v>1</v>
      </c>
      <c r="R13631" t="s">
        <v>42697</v>
      </c>
      <c r="S13631" t="s">
        <v>43906</v>
      </c>
      <c r="T13631" t="s">
        <v>44432</v>
      </c>
      <c r="U13631" t="s">
        <v>55864</v>
      </c>
      <c r="V13631" t="s">
        <v>57157</v>
      </c>
      <c r="W13631" t="s">
        <v>41256</v>
      </c>
      <c r="X13631" t="s">
        <v>42698</v>
      </c>
    </row>
    <row r="13632" spans="1:24">
      <c r="A13632">
        <f>HYPERLINK("https://www.philgeps.gov.ph/GEPSNONPILOT/Tender/SplashBidNoticeAbstractUI.aspx?menuIndex=3&amp;refID=7142383&amp;Result=3","7142383")</f>
        <v>0</v>
      </c>
      <c r="B13632" t="s">
        <v>820</v>
      </c>
      <c r="C13632" t="s">
        <v>16583</v>
      </c>
      <c r="D13632" t="s">
        <v>17165</v>
      </c>
      <c r="E13632" t="s">
        <v>25799</v>
      </c>
      <c r="F13632" t="s">
        <v>29372</v>
      </c>
      <c r="G13632" t="s">
        <v>29380</v>
      </c>
      <c r="H13632" t="s">
        <v>29389</v>
      </c>
      <c r="I13632" t="s">
        <v>10408</v>
      </c>
      <c r="J13632" t="s">
        <v>38118</v>
      </c>
      <c r="K13632" t="s">
        <v>38522</v>
      </c>
      <c r="M13632" t="s">
        <v>40989</v>
      </c>
      <c r="N13632" t="s">
        <v>42669</v>
      </c>
      <c r="O13632" t="s">
        <v>42670</v>
      </c>
      <c r="Q13632">
        <v>2</v>
      </c>
      <c r="R13632" t="s">
        <v>42697</v>
      </c>
      <c r="S13632" t="s">
        <v>43922</v>
      </c>
      <c r="T13632" t="s">
        <v>44432</v>
      </c>
      <c r="U13632" t="s">
        <v>55865</v>
      </c>
      <c r="W13632" t="s">
        <v>40989</v>
      </c>
      <c r="X13632" t="s">
        <v>42698</v>
      </c>
    </row>
    <row r="13633" spans="1:24">
      <c r="A13633">
        <f>HYPERLINK("https://www.philgeps.gov.ph/GEPSNONPILOT/Tender/SplashBidNoticeAbstractUI.aspx?menuIndex=3&amp;refID=7142624&amp;Result=3","7142624")</f>
        <v>0</v>
      </c>
      <c r="B13633" t="s">
        <v>3360</v>
      </c>
      <c r="C13633" t="s">
        <v>16584</v>
      </c>
      <c r="D13633" t="s">
        <v>17204</v>
      </c>
      <c r="E13633" t="s">
        <v>23912</v>
      </c>
      <c r="F13633" t="s">
        <v>29372</v>
      </c>
      <c r="G13633" t="s">
        <v>29380</v>
      </c>
      <c r="H13633" t="s">
        <v>29389</v>
      </c>
      <c r="I13633" t="s">
        <v>10408</v>
      </c>
      <c r="J13633" t="s">
        <v>32469</v>
      </c>
      <c r="K13633" t="s">
        <v>38533</v>
      </c>
      <c r="M13633" t="s">
        <v>42452</v>
      </c>
      <c r="N13633" t="s">
        <v>42669</v>
      </c>
      <c r="O13633" t="s">
        <v>42670</v>
      </c>
      <c r="Q13633">
        <v>6</v>
      </c>
      <c r="R13633" t="s">
        <v>42697</v>
      </c>
      <c r="S13633" t="s">
        <v>43923</v>
      </c>
      <c r="T13633" t="s">
        <v>44532</v>
      </c>
      <c r="U13633" t="s">
        <v>55866</v>
      </c>
      <c r="V13633" t="s">
        <v>57801</v>
      </c>
      <c r="W13633" t="s">
        <v>42452</v>
      </c>
      <c r="X13633" t="s">
        <v>42698</v>
      </c>
    </row>
    <row r="13634" spans="1:24">
      <c r="A13634">
        <f>HYPERLINK("https://www.philgeps.gov.ph/GEPSNONPILOT/Tender/SplashBidNoticeAbstractUI.aspx?menuIndex=3&amp;refID=7142088&amp;Result=3","7142088")</f>
        <v>0</v>
      </c>
      <c r="B13634" t="s">
        <v>2324</v>
      </c>
      <c r="C13634" t="s">
        <v>16585</v>
      </c>
      <c r="D13634" t="s">
        <v>17226</v>
      </c>
      <c r="E13634" t="s">
        <v>28845</v>
      </c>
      <c r="F13634" t="s">
        <v>29372</v>
      </c>
      <c r="G13634" t="s">
        <v>29380</v>
      </c>
      <c r="H13634" t="s">
        <v>11048</v>
      </c>
      <c r="I13634" t="s">
        <v>4487</v>
      </c>
      <c r="J13634" t="s">
        <v>29692</v>
      </c>
      <c r="K13634" t="s">
        <v>38551</v>
      </c>
      <c r="L13634" t="s">
        <v>2324</v>
      </c>
      <c r="M13634" t="s">
        <v>41256</v>
      </c>
      <c r="N13634" t="s">
        <v>42669</v>
      </c>
      <c r="O13634" t="s">
        <v>42670</v>
      </c>
      <c r="P13634">
        <v>0</v>
      </c>
      <c r="Q13634">
        <v>1</v>
      </c>
      <c r="R13634" t="s">
        <v>42697</v>
      </c>
      <c r="S13634" t="s">
        <v>43906</v>
      </c>
      <c r="T13634" t="s">
        <v>44432</v>
      </c>
      <c r="U13634" t="s">
        <v>55867</v>
      </c>
      <c r="V13634" t="s">
        <v>57157</v>
      </c>
      <c r="W13634" t="s">
        <v>41256</v>
      </c>
      <c r="X13634" t="s">
        <v>42698</v>
      </c>
    </row>
    <row r="13635" spans="1:24">
      <c r="A13635">
        <f>HYPERLINK("https://www.philgeps.gov.ph/GEPSNONPILOT/Tender/SplashBidNoticeAbstractUI.aspx?menuIndex=3&amp;refID=7144380&amp;Result=3","7144380")</f>
        <v>0</v>
      </c>
      <c r="B13635" t="s">
        <v>1792</v>
      </c>
      <c r="C13635" t="s">
        <v>16586</v>
      </c>
      <c r="D13635" t="s">
        <v>17141</v>
      </c>
      <c r="E13635" t="s">
        <v>28846</v>
      </c>
      <c r="F13635" t="s">
        <v>29372</v>
      </c>
      <c r="G13635" t="s">
        <v>29380</v>
      </c>
      <c r="H13635" t="s">
        <v>11048</v>
      </c>
      <c r="I13635" t="s">
        <v>9469</v>
      </c>
      <c r="J13635" t="s">
        <v>38119</v>
      </c>
      <c r="K13635" t="s">
        <v>38490</v>
      </c>
      <c r="M13635" t="s">
        <v>40663</v>
      </c>
      <c r="N13635" t="s">
        <v>42669</v>
      </c>
      <c r="O13635" t="s">
        <v>42670</v>
      </c>
      <c r="Q13635">
        <v>6</v>
      </c>
      <c r="R13635" t="s">
        <v>42697</v>
      </c>
      <c r="S13635" t="s">
        <v>43924</v>
      </c>
      <c r="T13635" t="s">
        <v>44419</v>
      </c>
      <c r="U13635" t="s">
        <v>55868</v>
      </c>
      <c r="V13635" t="s">
        <v>56919</v>
      </c>
      <c r="W13635" t="s">
        <v>40663</v>
      </c>
      <c r="X13635" t="s">
        <v>42698</v>
      </c>
    </row>
    <row r="13636" spans="1:24">
      <c r="A13636">
        <f>HYPERLINK("https://www.philgeps.gov.ph/GEPSNONPILOT/Tender/SplashBidNoticeAbstractUI.aspx?menuIndex=3&amp;refID=7146054&amp;Result=3","7146054")</f>
        <v>0</v>
      </c>
      <c r="B13636" t="s">
        <v>2717</v>
      </c>
      <c r="C13636" t="s">
        <v>16587</v>
      </c>
      <c r="E13636" t="s">
        <v>28847</v>
      </c>
      <c r="F13636" t="s">
        <v>29372</v>
      </c>
      <c r="G13636" t="s">
        <v>29380</v>
      </c>
      <c r="H13636" t="s">
        <v>29389</v>
      </c>
      <c r="I13636" t="s">
        <v>29429</v>
      </c>
      <c r="J13636" t="s">
        <v>38120</v>
      </c>
      <c r="K13636" t="s">
        <v>38490</v>
      </c>
      <c r="M13636" t="s">
        <v>41698</v>
      </c>
      <c r="N13636" t="s">
        <v>42669</v>
      </c>
      <c r="O13636" t="s">
        <v>42670</v>
      </c>
      <c r="Q13636">
        <v>14</v>
      </c>
      <c r="R13636" t="s">
        <v>42694</v>
      </c>
      <c r="S13636" t="s">
        <v>43925</v>
      </c>
      <c r="T13636" t="s">
        <v>44375</v>
      </c>
      <c r="U13636" t="s">
        <v>55869</v>
      </c>
      <c r="W13636" t="s">
        <v>58094</v>
      </c>
      <c r="X13636" t="s">
        <v>42697</v>
      </c>
    </row>
    <row r="13637" spans="1:24">
      <c r="A13637">
        <f>HYPERLINK("https://www.philgeps.gov.ph/GEPSNONPILOT/Tender/SplashBidNoticeAbstractUI.aspx?menuIndex=3&amp;refID=7142704&amp;Result=3","7142704")</f>
        <v>0</v>
      </c>
      <c r="B13637" t="s">
        <v>2470</v>
      </c>
      <c r="C13637" t="s">
        <v>16588</v>
      </c>
      <c r="D13637" t="s">
        <v>17199</v>
      </c>
      <c r="E13637" t="s">
        <v>28848</v>
      </c>
      <c r="F13637" t="s">
        <v>29372</v>
      </c>
      <c r="G13637" t="s">
        <v>29380</v>
      </c>
      <c r="H13637" t="s">
        <v>11048</v>
      </c>
      <c r="I13637" t="s">
        <v>29399</v>
      </c>
      <c r="J13637" t="s">
        <v>31110</v>
      </c>
      <c r="K13637" t="s">
        <v>38490</v>
      </c>
      <c r="M13637" t="s">
        <v>41419</v>
      </c>
      <c r="N13637" t="s">
        <v>42669</v>
      </c>
      <c r="O13637" t="s">
        <v>42670</v>
      </c>
      <c r="Q13637">
        <v>17</v>
      </c>
      <c r="R13637" t="s">
        <v>42697</v>
      </c>
      <c r="S13637" t="s">
        <v>43790</v>
      </c>
      <c r="T13637" t="s">
        <v>44493</v>
      </c>
      <c r="U13637" t="s">
        <v>55870</v>
      </c>
      <c r="W13637" t="s">
        <v>41419</v>
      </c>
      <c r="X13637" t="s">
        <v>42698</v>
      </c>
    </row>
    <row r="13638" spans="1:24">
      <c r="A13638">
        <f>HYPERLINK("https://www.philgeps.gov.ph/GEPSNONPILOT/Tender/SplashBidNoticeAbstractUI.aspx?menuIndex=3&amp;refID=7144422&amp;Result=3","7144422")</f>
        <v>0</v>
      </c>
      <c r="B13638" t="s">
        <v>422</v>
      </c>
      <c r="C13638" t="s">
        <v>16589</v>
      </c>
      <c r="E13638" t="s">
        <v>28849</v>
      </c>
      <c r="F13638" t="s">
        <v>29372</v>
      </c>
      <c r="G13638" t="s">
        <v>29383</v>
      </c>
      <c r="H13638" t="s">
        <v>11048</v>
      </c>
      <c r="I13638" t="s">
        <v>8208</v>
      </c>
      <c r="J13638" t="s">
        <v>38121</v>
      </c>
      <c r="K13638" t="s">
        <v>38490</v>
      </c>
      <c r="M13638" t="s">
        <v>39186</v>
      </c>
      <c r="N13638" t="s">
        <v>42669</v>
      </c>
      <c r="O13638" t="s">
        <v>42670</v>
      </c>
      <c r="P13638">
        <v>0</v>
      </c>
      <c r="Q13638">
        <v>3</v>
      </c>
      <c r="R13638" t="s">
        <v>42697</v>
      </c>
      <c r="S13638" t="s">
        <v>43906</v>
      </c>
      <c r="T13638" t="s">
        <v>44409</v>
      </c>
      <c r="U13638" t="s">
        <v>55871</v>
      </c>
      <c r="W13638" t="s">
        <v>39186</v>
      </c>
      <c r="X13638" t="s">
        <v>42698</v>
      </c>
    </row>
    <row r="13639" spans="1:24">
      <c r="A13639">
        <f>HYPERLINK("https://www.philgeps.gov.ph/GEPSNONPILOT/Tender/SplashBidNoticeAbstractUI.aspx?menuIndex=3&amp;refID=7144635&amp;Result=3","7144635")</f>
        <v>0</v>
      </c>
      <c r="B13639" t="s">
        <v>761</v>
      </c>
      <c r="C13639" t="s">
        <v>16590</v>
      </c>
      <c r="D13639" t="s">
        <v>17183</v>
      </c>
      <c r="E13639" t="s">
        <v>28850</v>
      </c>
      <c r="F13639" t="s">
        <v>29372</v>
      </c>
      <c r="G13639" t="s">
        <v>29380</v>
      </c>
      <c r="H13639" t="s">
        <v>11048</v>
      </c>
      <c r="I13639" t="s">
        <v>8614</v>
      </c>
      <c r="J13639" t="s">
        <v>38122</v>
      </c>
      <c r="K13639" t="s">
        <v>38485</v>
      </c>
      <c r="M13639" t="s">
        <v>39544</v>
      </c>
      <c r="N13639" t="s">
        <v>42669</v>
      </c>
      <c r="O13639" t="s">
        <v>42670</v>
      </c>
      <c r="P13639">
        <v>0</v>
      </c>
      <c r="Q13639">
        <v>8</v>
      </c>
      <c r="R13639" t="s">
        <v>42697</v>
      </c>
      <c r="S13639" t="s">
        <v>43906</v>
      </c>
      <c r="T13639" t="s">
        <v>44491</v>
      </c>
      <c r="U13639" t="s">
        <v>55872</v>
      </c>
      <c r="V13639" t="s">
        <v>56460</v>
      </c>
      <c r="W13639" t="s">
        <v>39544</v>
      </c>
      <c r="X13639" t="s">
        <v>42698</v>
      </c>
    </row>
    <row r="13640" spans="1:24">
      <c r="A13640">
        <f>HYPERLINK("https://www.philgeps.gov.ph/GEPSNONPILOT/Tender/SplashBidNoticeAbstractUI.aspx?menuIndex=3&amp;refID=7144195&amp;Result=3","7144195")</f>
        <v>0</v>
      </c>
      <c r="B13640" t="s">
        <v>1792</v>
      </c>
      <c r="C13640" t="s">
        <v>16591</v>
      </c>
      <c r="D13640" t="s">
        <v>17141</v>
      </c>
      <c r="E13640" t="s">
        <v>28851</v>
      </c>
      <c r="F13640" t="s">
        <v>29372</v>
      </c>
      <c r="G13640" t="s">
        <v>29380</v>
      </c>
      <c r="H13640" t="s">
        <v>11048</v>
      </c>
      <c r="I13640" t="s">
        <v>8614</v>
      </c>
      <c r="J13640" t="s">
        <v>38123</v>
      </c>
      <c r="K13640" t="s">
        <v>38490</v>
      </c>
      <c r="M13640" t="s">
        <v>40663</v>
      </c>
      <c r="N13640" t="s">
        <v>42669</v>
      </c>
      <c r="O13640" t="s">
        <v>42670</v>
      </c>
      <c r="Q13640">
        <v>13</v>
      </c>
      <c r="R13640" t="s">
        <v>42697</v>
      </c>
      <c r="S13640" t="s">
        <v>43926</v>
      </c>
      <c r="T13640" t="s">
        <v>44419</v>
      </c>
      <c r="U13640" t="s">
        <v>55873</v>
      </c>
      <c r="V13640" t="s">
        <v>56919</v>
      </c>
      <c r="W13640" t="s">
        <v>40663</v>
      </c>
      <c r="X13640" t="s">
        <v>42698</v>
      </c>
    </row>
    <row r="13641" spans="1:24">
      <c r="A13641">
        <f>HYPERLINK("https://www.philgeps.gov.ph/GEPSNONPILOT/Tender/SplashBidNoticeAbstractUI.aspx?menuIndex=3&amp;refID=7144043&amp;Result=3","7144043")</f>
        <v>0</v>
      </c>
      <c r="B13641" t="s">
        <v>586</v>
      </c>
      <c r="C13641" t="s">
        <v>16592</v>
      </c>
      <c r="D13641" t="s">
        <v>17161</v>
      </c>
      <c r="E13641" t="s">
        <v>28852</v>
      </c>
      <c r="F13641" t="s">
        <v>29372</v>
      </c>
      <c r="G13641" t="s">
        <v>29380</v>
      </c>
      <c r="H13641" t="s">
        <v>11048</v>
      </c>
      <c r="I13641" t="s">
        <v>4709</v>
      </c>
      <c r="J13641" t="s">
        <v>38124</v>
      </c>
      <c r="K13641" t="s">
        <v>38490</v>
      </c>
      <c r="M13641" t="s">
        <v>39355</v>
      </c>
      <c r="N13641" t="s">
        <v>42669</v>
      </c>
      <c r="O13641" t="s">
        <v>42670</v>
      </c>
      <c r="P13641">
        <v>0</v>
      </c>
      <c r="Q13641">
        <v>0</v>
      </c>
      <c r="R13641" t="s">
        <v>42697</v>
      </c>
      <c r="S13641" t="s">
        <v>43906</v>
      </c>
      <c r="T13641" t="s">
        <v>44488</v>
      </c>
      <c r="U13641" t="s">
        <v>55874</v>
      </c>
      <c r="W13641" t="s">
        <v>39355</v>
      </c>
      <c r="X13641" t="s">
        <v>42698</v>
      </c>
    </row>
    <row r="13642" spans="1:24">
      <c r="A13642">
        <f>HYPERLINK("https://www.philgeps.gov.ph/GEPSNONPILOT/Tender/SplashBidNoticeAbstractUI.aspx?menuIndex=3&amp;refID=7142092&amp;Result=3","7142092")</f>
        <v>0</v>
      </c>
      <c r="B13642" t="s">
        <v>2324</v>
      </c>
      <c r="C13642" t="s">
        <v>16593</v>
      </c>
      <c r="D13642" t="s">
        <v>17226</v>
      </c>
      <c r="E13642" t="s">
        <v>28853</v>
      </c>
      <c r="F13642" t="s">
        <v>29372</v>
      </c>
      <c r="G13642" t="s">
        <v>29380</v>
      </c>
      <c r="H13642" t="s">
        <v>11048</v>
      </c>
      <c r="I13642" t="s">
        <v>4487</v>
      </c>
      <c r="J13642" t="s">
        <v>38125</v>
      </c>
      <c r="K13642" t="s">
        <v>38551</v>
      </c>
      <c r="L13642" t="s">
        <v>2324</v>
      </c>
      <c r="M13642" t="s">
        <v>41256</v>
      </c>
      <c r="N13642" t="s">
        <v>42669</v>
      </c>
      <c r="O13642" t="s">
        <v>42670</v>
      </c>
      <c r="P13642">
        <v>0</v>
      </c>
      <c r="Q13642">
        <v>1</v>
      </c>
      <c r="R13642" t="s">
        <v>42697</v>
      </c>
      <c r="S13642" t="s">
        <v>43906</v>
      </c>
      <c r="T13642" t="s">
        <v>44432</v>
      </c>
      <c r="U13642" t="s">
        <v>55875</v>
      </c>
      <c r="V13642" t="s">
        <v>57157</v>
      </c>
      <c r="W13642" t="s">
        <v>41256</v>
      </c>
      <c r="X13642" t="s">
        <v>42698</v>
      </c>
    </row>
    <row r="13643" spans="1:24">
      <c r="A13643">
        <f>HYPERLINK("https://www.philgeps.gov.ph/GEPSNONPILOT/Tender/SplashBidNoticeAbstractUI.aspx?menuIndex=3&amp;refID=7143988&amp;Result=3","7143988")</f>
        <v>0</v>
      </c>
      <c r="B13643" t="s">
        <v>824</v>
      </c>
      <c r="C13643" t="s">
        <v>16594</v>
      </c>
      <c r="D13643" t="s">
        <v>17168</v>
      </c>
      <c r="E13643" t="s">
        <v>28854</v>
      </c>
      <c r="F13643" t="s">
        <v>29372</v>
      </c>
      <c r="G13643" t="s">
        <v>29379</v>
      </c>
      <c r="H13643" t="s">
        <v>29389</v>
      </c>
      <c r="I13643" t="s">
        <v>10408</v>
      </c>
      <c r="J13643" t="s">
        <v>38126</v>
      </c>
      <c r="K13643" t="s">
        <v>38531</v>
      </c>
      <c r="M13643" t="s">
        <v>42596</v>
      </c>
      <c r="N13643" t="s">
        <v>42669</v>
      </c>
      <c r="O13643" t="s">
        <v>42670</v>
      </c>
      <c r="P13643">
        <v>0</v>
      </c>
      <c r="Q13643">
        <v>2</v>
      </c>
      <c r="R13643" t="s">
        <v>42697</v>
      </c>
      <c r="S13643" t="s">
        <v>43906</v>
      </c>
      <c r="T13643" t="s">
        <v>44485</v>
      </c>
      <c r="U13643" t="s">
        <v>55876</v>
      </c>
      <c r="W13643" t="s">
        <v>42596</v>
      </c>
      <c r="X13643" t="s">
        <v>42698</v>
      </c>
    </row>
    <row r="13644" spans="1:24">
      <c r="A13644">
        <f>HYPERLINK("https://www.philgeps.gov.ph/GEPSNONPILOT/Tender/SplashBidNoticeAbstractUI.aspx?menuIndex=3&amp;refID=7144085&amp;Result=3","7144085")</f>
        <v>0</v>
      </c>
      <c r="B13644" t="s">
        <v>3053</v>
      </c>
      <c r="C13644" t="s">
        <v>16595</v>
      </c>
      <c r="D13644" t="s">
        <v>17170</v>
      </c>
      <c r="E13644" t="s">
        <v>28855</v>
      </c>
      <c r="F13644" t="s">
        <v>29372</v>
      </c>
      <c r="G13644" t="s">
        <v>29380</v>
      </c>
      <c r="H13644" t="s">
        <v>29389</v>
      </c>
      <c r="I13644" t="s">
        <v>29398</v>
      </c>
      <c r="J13644" t="s">
        <v>38127</v>
      </c>
      <c r="K13644" t="s">
        <v>38559</v>
      </c>
      <c r="M13644" t="s">
        <v>42078</v>
      </c>
      <c r="N13644" t="s">
        <v>42669</v>
      </c>
      <c r="O13644" t="s">
        <v>42670</v>
      </c>
      <c r="P13644">
        <v>0</v>
      </c>
      <c r="Q13644">
        <v>7</v>
      </c>
      <c r="R13644" t="s">
        <v>42697</v>
      </c>
      <c r="S13644" t="s">
        <v>43906</v>
      </c>
      <c r="T13644" t="s">
        <v>44432</v>
      </c>
      <c r="U13644" t="s">
        <v>55877</v>
      </c>
      <c r="W13644" t="s">
        <v>42078</v>
      </c>
      <c r="X13644" t="s">
        <v>42698</v>
      </c>
    </row>
    <row r="13645" spans="1:24">
      <c r="A13645">
        <f>HYPERLINK("https://www.philgeps.gov.ph/GEPSNONPILOT/Tender/SplashBidNoticeAbstractUI.aspx?menuIndex=3&amp;refID=7143710&amp;Result=3","7143710")</f>
        <v>0</v>
      </c>
      <c r="B13645" t="s">
        <v>39</v>
      </c>
      <c r="C13645" t="s">
        <v>10292</v>
      </c>
      <c r="D13645" t="s">
        <v>17152</v>
      </c>
      <c r="E13645" t="s">
        <v>28856</v>
      </c>
      <c r="F13645" t="s">
        <v>29372</v>
      </c>
      <c r="G13645" t="s">
        <v>29380</v>
      </c>
      <c r="H13645" t="s">
        <v>11048</v>
      </c>
      <c r="I13645" t="s">
        <v>29407</v>
      </c>
      <c r="J13645" t="s">
        <v>38128</v>
      </c>
      <c r="K13645" t="s">
        <v>38491</v>
      </c>
      <c r="M13645" t="s">
        <v>38812</v>
      </c>
      <c r="N13645" t="s">
        <v>42669</v>
      </c>
      <c r="O13645" t="s">
        <v>42670</v>
      </c>
      <c r="P13645">
        <v>0</v>
      </c>
      <c r="Q13645">
        <v>16</v>
      </c>
      <c r="R13645" t="s">
        <v>42697</v>
      </c>
      <c r="S13645" t="s">
        <v>43906</v>
      </c>
      <c r="T13645" t="s">
        <v>44432</v>
      </c>
      <c r="U13645" t="s">
        <v>55878</v>
      </c>
      <c r="W13645" t="s">
        <v>38812</v>
      </c>
      <c r="X13645" t="s">
        <v>42698</v>
      </c>
    </row>
    <row r="13646" spans="1:24">
      <c r="A13646">
        <f>HYPERLINK("https://www.philgeps.gov.ph/GEPSNONPILOT/Tender/SplashBidNoticeAbstractUI.aspx?menuIndex=3&amp;refID=7143680&amp;Result=3","7143680")</f>
        <v>0</v>
      </c>
      <c r="B13646" t="s">
        <v>3093</v>
      </c>
      <c r="C13646" t="s">
        <v>16596</v>
      </c>
      <c r="D13646" t="s">
        <v>17174</v>
      </c>
      <c r="E13646" t="s">
        <v>28857</v>
      </c>
      <c r="F13646" t="s">
        <v>29372</v>
      </c>
      <c r="G13646" t="s">
        <v>29380</v>
      </c>
      <c r="H13646" t="s">
        <v>11048</v>
      </c>
      <c r="I13646" t="s">
        <v>9642</v>
      </c>
      <c r="J13646" t="s">
        <v>38129</v>
      </c>
      <c r="K13646" t="s">
        <v>38485</v>
      </c>
      <c r="M13646" t="s">
        <v>42130</v>
      </c>
      <c r="N13646" t="s">
        <v>42669</v>
      </c>
      <c r="O13646" t="s">
        <v>42670</v>
      </c>
      <c r="P13646">
        <v>0</v>
      </c>
      <c r="Q13646">
        <v>3</v>
      </c>
      <c r="R13646" t="s">
        <v>42697</v>
      </c>
      <c r="S13646" t="s">
        <v>43906</v>
      </c>
      <c r="T13646" t="s">
        <v>44788</v>
      </c>
      <c r="U13646" t="s">
        <v>55879</v>
      </c>
      <c r="W13646" t="s">
        <v>42130</v>
      </c>
      <c r="X13646" t="s">
        <v>42698</v>
      </c>
    </row>
    <row r="13647" spans="1:24">
      <c r="A13647">
        <f>HYPERLINK("https://www.philgeps.gov.ph/GEPSNONPILOT/Tender/SplashBidNoticeAbstractUI.aspx?menuIndex=3&amp;refID=7143757&amp;Result=3","7143757")</f>
        <v>0</v>
      </c>
      <c r="B13647" t="s">
        <v>39</v>
      </c>
      <c r="C13647" t="s">
        <v>6106</v>
      </c>
      <c r="D13647" t="s">
        <v>17152</v>
      </c>
      <c r="E13647" t="s">
        <v>28858</v>
      </c>
      <c r="F13647" t="s">
        <v>29372</v>
      </c>
      <c r="G13647" t="s">
        <v>29380</v>
      </c>
      <c r="H13647" t="s">
        <v>11048</v>
      </c>
      <c r="I13647" t="s">
        <v>3695</v>
      </c>
      <c r="J13647" t="s">
        <v>38130</v>
      </c>
      <c r="K13647" t="s">
        <v>38491</v>
      </c>
      <c r="M13647" t="s">
        <v>38812</v>
      </c>
      <c r="N13647" t="s">
        <v>42669</v>
      </c>
      <c r="O13647" t="s">
        <v>42670</v>
      </c>
      <c r="P13647">
        <v>0</v>
      </c>
      <c r="Q13647">
        <v>5</v>
      </c>
      <c r="R13647" t="s">
        <v>42697</v>
      </c>
      <c r="S13647" t="s">
        <v>43906</v>
      </c>
      <c r="T13647" t="s">
        <v>44432</v>
      </c>
      <c r="U13647" t="s">
        <v>55878</v>
      </c>
      <c r="W13647" t="s">
        <v>38812</v>
      </c>
      <c r="X13647" t="s">
        <v>42698</v>
      </c>
    </row>
    <row r="13648" spans="1:24">
      <c r="A13648">
        <f>HYPERLINK("https://www.philgeps.gov.ph/GEPSNONPILOT/Tender/SplashBidNoticeAbstractUI.aspx?menuIndex=3&amp;refID=7143699&amp;Result=3","7143699")</f>
        <v>0</v>
      </c>
      <c r="B13648" t="s">
        <v>680</v>
      </c>
      <c r="C13648" t="s">
        <v>16597</v>
      </c>
      <c r="D13648" t="s">
        <v>17196</v>
      </c>
      <c r="E13648" t="s">
        <v>28859</v>
      </c>
      <c r="F13648" t="s">
        <v>29372</v>
      </c>
      <c r="G13648" t="s">
        <v>29380</v>
      </c>
      <c r="H13648" t="s">
        <v>29391</v>
      </c>
      <c r="I13648" t="s">
        <v>29391</v>
      </c>
      <c r="J13648" t="s">
        <v>38131</v>
      </c>
      <c r="K13648" t="s">
        <v>38603</v>
      </c>
      <c r="M13648" t="s">
        <v>42597</v>
      </c>
      <c r="N13648" t="s">
        <v>42669</v>
      </c>
      <c r="O13648" t="s">
        <v>42670</v>
      </c>
      <c r="Q13648">
        <v>12</v>
      </c>
      <c r="R13648" t="s">
        <v>42697</v>
      </c>
      <c r="S13648" t="s">
        <v>43927</v>
      </c>
      <c r="T13648" t="s">
        <v>44710</v>
      </c>
      <c r="U13648" t="s">
        <v>55880</v>
      </c>
      <c r="W13648" t="s">
        <v>42597</v>
      </c>
      <c r="X13648" t="s">
        <v>42698</v>
      </c>
    </row>
    <row r="13649" spans="1:24">
      <c r="A13649">
        <f>HYPERLINK("https://www.philgeps.gov.ph/GEPSNONPILOT/Tender/SplashBidNoticeAbstractUI.aspx?menuIndex=3&amp;refID=7144282&amp;Result=3","7144282")</f>
        <v>0</v>
      </c>
      <c r="B13649" t="s">
        <v>3053</v>
      </c>
      <c r="C13649" t="s">
        <v>16598</v>
      </c>
      <c r="D13649" t="s">
        <v>17170</v>
      </c>
      <c r="E13649" t="s">
        <v>28860</v>
      </c>
      <c r="F13649" t="s">
        <v>29372</v>
      </c>
      <c r="G13649" t="s">
        <v>29380</v>
      </c>
      <c r="H13649" t="s">
        <v>29389</v>
      </c>
      <c r="I13649" t="s">
        <v>29398</v>
      </c>
      <c r="J13649" t="s">
        <v>38132</v>
      </c>
      <c r="K13649" t="s">
        <v>38533</v>
      </c>
      <c r="M13649" t="s">
        <v>42078</v>
      </c>
      <c r="N13649" t="s">
        <v>42669</v>
      </c>
      <c r="O13649" t="s">
        <v>42670</v>
      </c>
      <c r="P13649">
        <v>0</v>
      </c>
      <c r="Q13649">
        <v>6</v>
      </c>
      <c r="R13649" t="s">
        <v>42697</v>
      </c>
      <c r="S13649" t="s">
        <v>43906</v>
      </c>
      <c r="T13649" t="s">
        <v>44432</v>
      </c>
      <c r="U13649" t="s">
        <v>55881</v>
      </c>
      <c r="W13649" t="s">
        <v>42078</v>
      </c>
      <c r="X13649" t="s">
        <v>42698</v>
      </c>
    </row>
    <row r="13650" spans="1:24">
      <c r="A13650">
        <f>HYPERLINK("https://www.philgeps.gov.ph/GEPSNONPILOT/Tender/SplashBidNoticeAbstractUI.aspx?menuIndex=3&amp;refID=7144130&amp;Result=3","7144130")</f>
        <v>0</v>
      </c>
      <c r="B13650" t="s">
        <v>703</v>
      </c>
      <c r="C13650" t="s">
        <v>16599</v>
      </c>
      <c r="D13650" t="s">
        <v>17161</v>
      </c>
      <c r="E13650" t="s">
        <v>28861</v>
      </c>
      <c r="F13650" t="s">
        <v>29372</v>
      </c>
      <c r="G13650" t="s">
        <v>29380</v>
      </c>
      <c r="H13650" t="s">
        <v>29389</v>
      </c>
      <c r="I13650" t="s">
        <v>10408</v>
      </c>
      <c r="J13650" t="s">
        <v>38133</v>
      </c>
      <c r="K13650" t="s">
        <v>38564</v>
      </c>
      <c r="M13650" t="s">
        <v>39481</v>
      </c>
      <c r="N13650" t="s">
        <v>42669</v>
      </c>
      <c r="O13650" t="s">
        <v>42670</v>
      </c>
      <c r="P13650">
        <v>0</v>
      </c>
      <c r="Q13650">
        <v>1</v>
      </c>
      <c r="R13650" t="s">
        <v>42697</v>
      </c>
      <c r="S13650" t="s">
        <v>43906</v>
      </c>
      <c r="T13650" t="s">
        <v>44570</v>
      </c>
      <c r="U13650" t="s">
        <v>55882</v>
      </c>
      <c r="W13650" t="s">
        <v>39481</v>
      </c>
      <c r="X13650" t="s">
        <v>42698</v>
      </c>
    </row>
    <row r="13651" spans="1:24">
      <c r="A13651">
        <f>HYPERLINK("https://www.philgeps.gov.ph/GEPSNONPILOT/Tender/SplashBidNoticeAbstractUI.aspx?menuIndex=3&amp;refID=7143715&amp;Result=3","7143715")</f>
        <v>0</v>
      </c>
      <c r="B13651" t="s">
        <v>3473</v>
      </c>
      <c r="C13651" t="s">
        <v>16600</v>
      </c>
      <c r="D13651" t="s">
        <v>17141</v>
      </c>
      <c r="E13651" t="s">
        <v>28862</v>
      </c>
      <c r="F13651" t="s">
        <v>29372</v>
      </c>
      <c r="G13651" t="s">
        <v>29380</v>
      </c>
      <c r="H13651" t="s">
        <v>29390</v>
      </c>
      <c r="I13651" t="s">
        <v>29466</v>
      </c>
      <c r="J13651" t="s">
        <v>36718</v>
      </c>
      <c r="K13651" t="s">
        <v>38580</v>
      </c>
      <c r="M13651" t="s">
        <v>42598</v>
      </c>
      <c r="N13651" t="s">
        <v>42669</v>
      </c>
      <c r="O13651" t="s">
        <v>42670</v>
      </c>
      <c r="Q13651">
        <v>1</v>
      </c>
      <c r="R13651" t="s">
        <v>42697</v>
      </c>
      <c r="S13651" t="s">
        <v>43928</v>
      </c>
      <c r="T13651" t="s">
        <v>44387</v>
      </c>
      <c r="U13651" t="s">
        <v>55883</v>
      </c>
      <c r="W13651" t="s">
        <v>42598</v>
      </c>
      <c r="X13651" t="s">
        <v>42698</v>
      </c>
    </row>
    <row r="13652" spans="1:24">
      <c r="A13652">
        <f>HYPERLINK("https://www.philgeps.gov.ph/GEPSNONPILOT/Tender/SplashBidNoticeAbstractUI.aspx?menuIndex=3&amp;refID=7138112&amp;Result=3","7138112")</f>
        <v>0</v>
      </c>
      <c r="B13652" t="s">
        <v>1752</v>
      </c>
      <c r="C13652" t="s">
        <v>16601</v>
      </c>
      <c r="D13652" t="s">
        <v>17170</v>
      </c>
      <c r="E13652" t="s">
        <v>28863</v>
      </c>
      <c r="F13652" t="s">
        <v>29372</v>
      </c>
      <c r="G13652" t="s">
        <v>29380</v>
      </c>
      <c r="H13652" t="s">
        <v>29389</v>
      </c>
      <c r="I13652" t="s">
        <v>10408</v>
      </c>
      <c r="J13652" t="s">
        <v>38134</v>
      </c>
      <c r="K13652" t="s">
        <v>38564</v>
      </c>
      <c r="M13652" t="s">
        <v>40617</v>
      </c>
      <c r="N13652" t="s">
        <v>42669</v>
      </c>
      <c r="O13652" t="s">
        <v>42670</v>
      </c>
      <c r="Q13652">
        <v>0</v>
      </c>
      <c r="R13652" t="s">
        <v>42698</v>
      </c>
      <c r="S13652" t="s">
        <v>43929</v>
      </c>
      <c r="T13652" t="s">
        <v>44631</v>
      </c>
      <c r="U13652" t="s">
        <v>55884</v>
      </c>
      <c r="W13652" t="s">
        <v>40617</v>
      </c>
      <c r="X13652" t="s">
        <v>42700</v>
      </c>
    </row>
    <row r="13653" spans="1:24">
      <c r="A13653">
        <f>HYPERLINK("https://www.philgeps.gov.ph/GEPSNONPILOT/Tender/SplashBidNoticeAbstractUI.aspx?menuIndex=3&amp;refID=7137971&amp;Result=3","7137971")</f>
        <v>0</v>
      </c>
      <c r="B13653" t="s">
        <v>1752</v>
      </c>
      <c r="C13653" t="s">
        <v>16602</v>
      </c>
      <c r="D13653" t="s">
        <v>17170</v>
      </c>
      <c r="E13653" t="s">
        <v>28864</v>
      </c>
      <c r="F13653" t="s">
        <v>29372</v>
      </c>
      <c r="G13653" t="s">
        <v>29380</v>
      </c>
      <c r="H13653" t="s">
        <v>29389</v>
      </c>
      <c r="I13653" t="s">
        <v>10408</v>
      </c>
      <c r="J13653" t="s">
        <v>38135</v>
      </c>
      <c r="K13653" t="s">
        <v>38622</v>
      </c>
      <c r="M13653" t="s">
        <v>40617</v>
      </c>
      <c r="N13653" t="s">
        <v>42669</v>
      </c>
      <c r="O13653" t="s">
        <v>42670</v>
      </c>
      <c r="Q13653">
        <v>0</v>
      </c>
      <c r="R13653" t="s">
        <v>42698</v>
      </c>
      <c r="S13653" t="s">
        <v>43930</v>
      </c>
      <c r="T13653" t="s">
        <v>44631</v>
      </c>
      <c r="U13653" t="s">
        <v>55885</v>
      </c>
      <c r="W13653" t="s">
        <v>40617</v>
      </c>
      <c r="X13653" t="s">
        <v>42700</v>
      </c>
    </row>
    <row r="13654" spans="1:24">
      <c r="A13654">
        <f>HYPERLINK("https://www.philgeps.gov.ph/GEPSNONPILOT/Tender/SplashBidNoticeAbstractUI.aspx?menuIndex=3&amp;refID=7138076&amp;Result=3","7138076")</f>
        <v>0</v>
      </c>
      <c r="B13654" t="s">
        <v>1752</v>
      </c>
      <c r="C13654" t="s">
        <v>16603</v>
      </c>
      <c r="D13654" t="s">
        <v>17170</v>
      </c>
      <c r="E13654" t="s">
        <v>28865</v>
      </c>
      <c r="F13654" t="s">
        <v>29372</v>
      </c>
      <c r="G13654" t="s">
        <v>29380</v>
      </c>
      <c r="H13654" t="s">
        <v>29389</v>
      </c>
      <c r="I13654" t="s">
        <v>10408</v>
      </c>
      <c r="J13654" t="s">
        <v>38136</v>
      </c>
      <c r="K13654" t="s">
        <v>38522</v>
      </c>
      <c r="M13654" t="s">
        <v>40617</v>
      </c>
      <c r="N13654" t="s">
        <v>42669</v>
      </c>
      <c r="O13654" t="s">
        <v>42670</v>
      </c>
      <c r="Q13654">
        <v>0</v>
      </c>
      <c r="R13654" t="s">
        <v>42698</v>
      </c>
      <c r="S13654" t="s">
        <v>43931</v>
      </c>
      <c r="T13654" t="s">
        <v>44631</v>
      </c>
      <c r="U13654" t="s">
        <v>55886</v>
      </c>
      <c r="W13654" t="s">
        <v>40617</v>
      </c>
      <c r="X13654" t="s">
        <v>42700</v>
      </c>
    </row>
    <row r="13655" spans="1:24">
      <c r="A13655">
        <f>HYPERLINK("https://www.philgeps.gov.ph/GEPSNONPILOT/Tender/SplashBidNoticeAbstractUI.aspx?menuIndex=3&amp;refID=7137021&amp;Result=3","7137021")</f>
        <v>0</v>
      </c>
      <c r="B13655" t="s">
        <v>2572</v>
      </c>
      <c r="C13655" t="s">
        <v>16604</v>
      </c>
      <c r="D13655" t="s">
        <v>17152</v>
      </c>
      <c r="E13655" t="s">
        <v>28866</v>
      </c>
      <c r="F13655" t="s">
        <v>29372</v>
      </c>
      <c r="G13655" t="s">
        <v>29380</v>
      </c>
      <c r="H13655" t="s">
        <v>29389</v>
      </c>
      <c r="I13655" t="s">
        <v>10408</v>
      </c>
      <c r="J13655" t="s">
        <v>29937</v>
      </c>
      <c r="K13655" t="s">
        <v>38622</v>
      </c>
      <c r="M13655" t="s">
        <v>41539</v>
      </c>
      <c r="N13655" t="s">
        <v>42669</v>
      </c>
      <c r="O13655" t="s">
        <v>42670</v>
      </c>
      <c r="P13655">
        <v>0</v>
      </c>
      <c r="Q13655">
        <v>0</v>
      </c>
      <c r="R13655" t="s">
        <v>42698</v>
      </c>
      <c r="S13655" t="s">
        <v>43932</v>
      </c>
      <c r="T13655" t="s">
        <v>44481</v>
      </c>
      <c r="U13655" t="s">
        <v>55887</v>
      </c>
      <c r="V13655" t="s">
        <v>57283</v>
      </c>
      <c r="W13655" t="s">
        <v>41539</v>
      </c>
      <c r="X13655" t="s">
        <v>42700</v>
      </c>
    </row>
    <row r="13656" spans="1:24">
      <c r="A13656">
        <f>HYPERLINK("https://www.philgeps.gov.ph/GEPSNONPILOT/Tender/SplashBidNoticeAbstractUI.aspx?menuIndex=3&amp;refID=7144102&amp;Result=3","7144102")</f>
        <v>0</v>
      </c>
      <c r="B13656" t="s">
        <v>761</v>
      </c>
      <c r="C13656" t="s">
        <v>16605</v>
      </c>
      <c r="D13656" t="s">
        <v>17183</v>
      </c>
      <c r="E13656" t="s">
        <v>28867</v>
      </c>
      <c r="F13656" t="s">
        <v>29372</v>
      </c>
      <c r="G13656" t="s">
        <v>29380</v>
      </c>
      <c r="H13656" t="s">
        <v>11048</v>
      </c>
      <c r="I13656" t="s">
        <v>3695</v>
      </c>
      <c r="J13656" t="s">
        <v>38137</v>
      </c>
      <c r="K13656" t="s">
        <v>38518</v>
      </c>
      <c r="M13656" t="s">
        <v>39544</v>
      </c>
      <c r="N13656" t="s">
        <v>42669</v>
      </c>
      <c r="O13656" t="s">
        <v>42670</v>
      </c>
      <c r="Q13656">
        <v>5</v>
      </c>
      <c r="R13656" t="s">
        <v>42697</v>
      </c>
      <c r="S13656" t="s">
        <v>43933</v>
      </c>
      <c r="T13656" t="s">
        <v>44491</v>
      </c>
      <c r="U13656" t="s">
        <v>55888</v>
      </c>
      <c r="V13656" t="s">
        <v>56460</v>
      </c>
      <c r="W13656" t="s">
        <v>39544</v>
      </c>
      <c r="X13656" t="s">
        <v>42698</v>
      </c>
    </row>
    <row r="13657" spans="1:24">
      <c r="A13657">
        <f>HYPERLINK("https://www.philgeps.gov.ph/GEPSNONPILOT/Tender/SplashBidNoticeAbstractUI.aspx?menuIndex=3&amp;refID=7138403&amp;Result=3","7138403")</f>
        <v>0</v>
      </c>
      <c r="B13657" t="s">
        <v>1752</v>
      </c>
      <c r="C13657" t="s">
        <v>16606</v>
      </c>
      <c r="D13657" t="s">
        <v>17170</v>
      </c>
      <c r="E13657" t="s">
        <v>28868</v>
      </c>
      <c r="F13657" t="s">
        <v>29372</v>
      </c>
      <c r="G13657" t="s">
        <v>29380</v>
      </c>
      <c r="H13657" t="s">
        <v>11048</v>
      </c>
      <c r="I13657" t="s">
        <v>3695</v>
      </c>
      <c r="J13657" t="s">
        <v>38138</v>
      </c>
      <c r="K13657" t="s">
        <v>38510</v>
      </c>
      <c r="M13657" t="s">
        <v>40617</v>
      </c>
      <c r="N13657" t="s">
        <v>42669</v>
      </c>
      <c r="O13657" t="s">
        <v>42670</v>
      </c>
      <c r="Q13657">
        <v>12</v>
      </c>
      <c r="R13657" t="s">
        <v>42698</v>
      </c>
      <c r="S13657" t="s">
        <v>43934</v>
      </c>
      <c r="T13657" t="s">
        <v>44631</v>
      </c>
      <c r="U13657" t="s">
        <v>55889</v>
      </c>
      <c r="W13657" t="s">
        <v>40617</v>
      </c>
      <c r="X13657" t="s">
        <v>42700</v>
      </c>
    </row>
    <row r="13658" spans="1:24">
      <c r="A13658">
        <f>HYPERLINK("https://www.philgeps.gov.ph/GEPSNONPILOT/Tender/SplashBidNoticeAbstractUI.aspx?menuIndex=3&amp;refID=7144989&amp;Result=3","7144989")</f>
        <v>0</v>
      </c>
      <c r="B13658" t="s">
        <v>3474</v>
      </c>
      <c r="C13658" t="s">
        <v>16607</v>
      </c>
      <c r="D13658" t="s">
        <v>17156</v>
      </c>
      <c r="E13658" t="s">
        <v>28869</v>
      </c>
      <c r="F13658" t="s">
        <v>29372</v>
      </c>
      <c r="G13658" t="s">
        <v>29380</v>
      </c>
      <c r="H13658" t="s">
        <v>11048</v>
      </c>
      <c r="I13658" t="s">
        <v>29398</v>
      </c>
      <c r="J13658" t="s">
        <v>31253</v>
      </c>
      <c r="K13658" t="s">
        <v>38487</v>
      </c>
      <c r="M13658" t="s">
        <v>42599</v>
      </c>
      <c r="N13658" t="s">
        <v>42669</v>
      </c>
      <c r="O13658" t="s">
        <v>42670</v>
      </c>
      <c r="Q13658">
        <v>7</v>
      </c>
      <c r="R13658" t="s">
        <v>42697</v>
      </c>
      <c r="S13658" t="s">
        <v>43935</v>
      </c>
      <c r="T13658" t="s">
        <v>44772</v>
      </c>
      <c r="U13658" t="s">
        <v>55890</v>
      </c>
      <c r="W13658" t="s">
        <v>42599</v>
      </c>
      <c r="X13658" t="s">
        <v>42698</v>
      </c>
    </row>
    <row r="13659" spans="1:24">
      <c r="A13659">
        <f>HYPERLINK("https://www.philgeps.gov.ph/GEPSNONPILOT/Tender/SplashBidNoticeAbstractUI.aspx?menuIndex=3&amp;refID=7135859&amp;Result=3","7135859")</f>
        <v>0</v>
      </c>
      <c r="B13659" t="s">
        <v>419</v>
      </c>
      <c r="C13659" t="s">
        <v>16608</v>
      </c>
      <c r="D13659" t="s">
        <v>17153</v>
      </c>
      <c r="E13659" t="s">
        <v>28870</v>
      </c>
      <c r="F13659" t="s">
        <v>29372</v>
      </c>
      <c r="G13659" t="s">
        <v>29380</v>
      </c>
      <c r="H13659" t="s">
        <v>11048</v>
      </c>
      <c r="I13659" t="s">
        <v>29422</v>
      </c>
      <c r="J13659" t="s">
        <v>29829</v>
      </c>
      <c r="K13659" t="s">
        <v>38522</v>
      </c>
      <c r="M13659" t="s">
        <v>39183</v>
      </c>
      <c r="N13659" t="s">
        <v>42669</v>
      </c>
      <c r="O13659" t="s">
        <v>42670</v>
      </c>
      <c r="Q13659">
        <v>12</v>
      </c>
      <c r="R13659" t="s">
        <v>42698</v>
      </c>
      <c r="S13659" t="s">
        <v>43936</v>
      </c>
      <c r="T13659" t="s">
        <v>44371</v>
      </c>
      <c r="U13659" t="s">
        <v>55891</v>
      </c>
      <c r="V13659" t="s">
        <v>57940</v>
      </c>
      <c r="W13659" t="s">
        <v>39183</v>
      </c>
      <c r="X13659" t="s">
        <v>58150</v>
      </c>
    </row>
    <row r="13660" spans="1:24">
      <c r="A13660">
        <f>HYPERLINK("https://www.philgeps.gov.ph/GEPSNONPILOT/Tender/SplashBidNoticeAbstractUI.aspx?menuIndex=3&amp;refID=7137692&amp;Result=3","7137692")</f>
        <v>0</v>
      </c>
      <c r="B13660" t="s">
        <v>58</v>
      </c>
      <c r="C13660" t="s">
        <v>16609</v>
      </c>
      <c r="D13660" t="s">
        <v>17144</v>
      </c>
      <c r="E13660" t="s">
        <v>28871</v>
      </c>
      <c r="F13660" t="s">
        <v>29372</v>
      </c>
      <c r="G13660" t="s">
        <v>29384</v>
      </c>
      <c r="H13660" t="s">
        <v>29391</v>
      </c>
      <c r="I13660" t="s">
        <v>29391</v>
      </c>
      <c r="J13660" t="s">
        <v>38139</v>
      </c>
      <c r="K13660" t="s">
        <v>38490</v>
      </c>
      <c r="L13660" t="s">
        <v>58</v>
      </c>
      <c r="M13660" t="s">
        <v>40154</v>
      </c>
      <c r="N13660" t="s">
        <v>42669</v>
      </c>
      <c r="O13660" t="s">
        <v>42670</v>
      </c>
      <c r="Q13660">
        <v>4</v>
      </c>
      <c r="R13660" t="s">
        <v>42698</v>
      </c>
      <c r="S13660" t="s">
        <v>43849</v>
      </c>
      <c r="T13660" t="s">
        <v>44412</v>
      </c>
      <c r="U13660" t="s">
        <v>55892</v>
      </c>
      <c r="W13660" t="s">
        <v>40154</v>
      </c>
      <c r="X13660" t="s">
        <v>42700</v>
      </c>
    </row>
    <row r="13661" spans="1:24">
      <c r="A13661">
        <f>HYPERLINK("https://www.philgeps.gov.ph/GEPSNONPILOT/Tender/SplashBidNoticeAbstractUI.aspx?menuIndex=3&amp;refID=7144988&amp;Result=3","7144988")</f>
        <v>0</v>
      </c>
      <c r="B13661" t="s">
        <v>1812</v>
      </c>
      <c r="C13661" t="s">
        <v>16610</v>
      </c>
      <c r="D13661" t="s">
        <v>17194</v>
      </c>
      <c r="E13661" t="s">
        <v>28872</v>
      </c>
      <c r="F13661" t="s">
        <v>29372</v>
      </c>
      <c r="G13661" t="s">
        <v>29380</v>
      </c>
      <c r="H13661" t="s">
        <v>11048</v>
      </c>
      <c r="I13661" t="s">
        <v>29395</v>
      </c>
      <c r="J13661" t="s">
        <v>38140</v>
      </c>
      <c r="K13661" t="s">
        <v>38490</v>
      </c>
      <c r="M13661" t="s">
        <v>40683</v>
      </c>
      <c r="N13661" t="s">
        <v>42669</v>
      </c>
      <c r="O13661" t="s">
        <v>42670</v>
      </c>
      <c r="Q13661">
        <v>1</v>
      </c>
      <c r="R13661" t="s">
        <v>42697</v>
      </c>
      <c r="S13661" t="s">
        <v>43937</v>
      </c>
      <c r="T13661" t="s">
        <v>44354</v>
      </c>
      <c r="U13661" t="s">
        <v>55893</v>
      </c>
      <c r="W13661" t="s">
        <v>40683</v>
      </c>
      <c r="X13661" t="s">
        <v>42698</v>
      </c>
    </row>
    <row r="13662" spans="1:24">
      <c r="A13662">
        <f>HYPERLINK("https://www.philgeps.gov.ph/GEPSNONPILOT/Tender/SplashBidNoticeAbstractUI.aspx?menuIndex=3&amp;refID=7145006&amp;Result=3","7145006")</f>
        <v>0</v>
      </c>
      <c r="B13662" t="s">
        <v>1812</v>
      </c>
      <c r="C13662" t="s">
        <v>16611</v>
      </c>
      <c r="D13662" t="s">
        <v>17194</v>
      </c>
      <c r="E13662" t="s">
        <v>28873</v>
      </c>
      <c r="F13662" t="s">
        <v>29372</v>
      </c>
      <c r="G13662" t="s">
        <v>29380</v>
      </c>
      <c r="H13662" t="s">
        <v>11048</v>
      </c>
      <c r="I13662" t="s">
        <v>29447</v>
      </c>
      <c r="J13662" t="s">
        <v>29823</v>
      </c>
      <c r="K13662" t="s">
        <v>38490</v>
      </c>
      <c r="M13662" t="s">
        <v>40683</v>
      </c>
      <c r="N13662" t="s">
        <v>42669</v>
      </c>
      <c r="O13662" t="s">
        <v>42670</v>
      </c>
      <c r="Q13662">
        <v>3</v>
      </c>
      <c r="R13662" t="s">
        <v>42697</v>
      </c>
      <c r="S13662" t="s">
        <v>43938</v>
      </c>
      <c r="T13662" t="s">
        <v>44354</v>
      </c>
      <c r="U13662" t="s">
        <v>55893</v>
      </c>
      <c r="W13662" t="s">
        <v>40683</v>
      </c>
      <c r="X13662" t="s">
        <v>42698</v>
      </c>
    </row>
    <row r="13663" spans="1:24">
      <c r="A13663">
        <f>HYPERLINK("https://www.philgeps.gov.ph/GEPSNONPILOT/Tender/SplashBidNoticeAbstractUI.aspx?menuIndex=3&amp;refID=7141381&amp;Result=3","7141381")</f>
        <v>0</v>
      </c>
      <c r="B13663" t="s">
        <v>933</v>
      </c>
      <c r="C13663" t="s">
        <v>16612</v>
      </c>
      <c r="D13663" t="s">
        <v>17170</v>
      </c>
      <c r="E13663" t="s">
        <v>28874</v>
      </c>
      <c r="F13663" t="s">
        <v>29372</v>
      </c>
      <c r="G13663" t="s">
        <v>29380</v>
      </c>
      <c r="H13663" t="s">
        <v>11048</v>
      </c>
      <c r="I13663" t="s">
        <v>3629</v>
      </c>
      <c r="J13663" t="s">
        <v>38141</v>
      </c>
      <c r="K13663" t="s">
        <v>38490</v>
      </c>
      <c r="M13663" t="s">
        <v>41092</v>
      </c>
      <c r="N13663" t="s">
        <v>42669</v>
      </c>
      <c r="O13663" t="s">
        <v>42670</v>
      </c>
      <c r="Q13663">
        <v>11</v>
      </c>
      <c r="R13663" t="s">
        <v>42698</v>
      </c>
      <c r="S13663" t="s">
        <v>43939</v>
      </c>
      <c r="T13663" t="s">
        <v>44432</v>
      </c>
      <c r="U13663" t="s">
        <v>55894</v>
      </c>
      <c r="V13663" t="s">
        <v>57074</v>
      </c>
      <c r="W13663" t="s">
        <v>41092</v>
      </c>
      <c r="X13663" t="s">
        <v>42699</v>
      </c>
    </row>
    <row r="13664" spans="1:24">
      <c r="A13664">
        <f>HYPERLINK("https://www.philgeps.gov.ph/GEPSNONPILOT/Tender/SplashBidNoticeAbstractUI.aspx?menuIndex=3&amp;refID=7141345&amp;Result=3","7141345")</f>
        <v>0</v>
      </c>
      <c r="B13664" t="s">
        <v>933</v>
      </c>
      <c r="C13664" t="s">
        <v>16613</v>
      </c>
      <c r="D13664" t="s">
        <v>17170</v>
      </c>
      <c r="E13664" t="s">
        <v>28875</v>
      </c>
      <c r="F13664" t="s">
        <v>29372</v>
      </c>
      <c r="G13664" t="s">
        <v>29380</v>
      </c>
      <c r="H13664" t="s">
        <v>11048</v>
      </c>
      <c r="I13664" t="s">
        <v>29405</v>
      </c>
      <c r="J13664" t="s">
        <v>38142</v>
      </c>
      <c r="K13664" t="s">
        <v>38490</v>
      </c>
      <c r="M13664" t="s">
        <v>41092</v>
      </c>
      <c r="N13664" t="s">
        <v>42669</v>
      </c>
      <c r="O13664" t="s">
        <v>42670</v>
      </c>
      <c r="Q13664">
        <v>15</v>
      </c>
      <c r="R13664" t="s">
        <v>42698</v>
      </c>
      <c r="S13664" t="s">
        <v>43940</v>
      </c>
      <c r="T13664" t="s">
        <v>44432</v>
      </c>
      <c r="U13664" t="s">
        <v>55895</v>
      </c>
      <c r="V13664" t="s">
        <v>57074</v>
      </c>
      <c r="W13664" t="s">
        <v>41092</v>
      </c>
      <c r="X13664" t="s">
        <v>42699</v>
      </c>
    </row>
    <row r="13665" spans="1:24">
      <c r="A13665">
        <f>HYPERLINK("https://www.philgeps.gov.ph/GEPSNONPILOT/Tender/SplashBidNoticeAbstractUI.aspx?menuIndex=3&amp;refID=7143597&amp;Result=3","7143597")</f>
        <v>0</v>
      </c>
      <c r="B13665" t="s">
        <v>39</v>
      </c>
      <c r="C13665" t="s">
        <v>16614</v>
      </c>
      <c r="D13665" t="s">
        <v>17152</v>
      </c>
      <c r="E13665" t="s">
        <v>28876</v>
      </c>
      <c r="F13665" t="s">
        <v>29372</v>
      </c>
      <c r="G13665" t="s">
        <v>29380</v>
      </c>
      <c r="H13665" t="s">
        <v>11048</v>
      </c>
      <c r="I13665" t="s">
        <v>9469</v>
      </c>
      <c r="J13665" t="s">
        <v>38143</v>
      </c>
      <c r="K13665" t="s">
        <v>38496</v>
      </c>
      <c r="M13665" t="s">
        <v>38812</v>
      </c>
      <c r="N13665" t="s">
        <v>42669</v>
      </c>
      <c r="O13665" t="s">
        <v>42670</v>
      </c>
      <c r="P13665">
        <v>0</v>
      </c>
      <c r="Q13665">
        <v>14</v>
      </c>
      <c r="R13665" t="s">
        <v>42697</v>
      </c>
      <c r="S13665" t="s">
        <v>43906</v>
      </c>
      <c r="T13665" t="s">
        <v>44432</v>
      </c>
      <c r="U13665" t="s">
        <v>55878</v>
      </c>
      <c r="W13665" t="s">
        <v>38812</v>
      </c>
      <c r="X13665" t="s">
        <v>42698</v>
      </c>
    </row>
    <row r="13666" spans="1:24">
      <c r="A13666">
        <f>HYPERLINK("https://www.philgeps.gov.ph/GEPSNONPILOT/Tender/SplashBidNoticeAbstractUI.aspx?menuIndex=3&amp;refID=7141331&amp;Result=3","7141331")</f>
        <v>0</v>
      </c>
      <c r="B13666" t="s">
        <v>933</v>
      </c>
      <c r="C13666" t="s">
        <v>16615</v>
      </c>
      <c r="D13666" t="s">
        <v>17170</v>
      </c>
      <c r="E13666" t="s">
        <v>28877</v>
      </c>
      <c r="F13666" t="s">
        <v>29372</v>
      </c>
      <c r="G13666" t="s">
        <v>29380</v>
      </c>
      <c r="H13666" t="s">
        <v>11048</v>
      </c>
      <c r="I13666" t="s">
        <v>4709</v>
      </c>
      <c r="J13666" t="s">
        <v>38144</v>
      </c>
      <c r="K13666" t="s">
        <v>38490</v>
      </c>
      <c r="M13666" t="s">
        <v>41092</v>
      </c>
      <c r="N13666" t="s">
        <v>42669</v>
      </c>
      <c r="O13666" t="s">
        <v>42670</v>
      </c>
      <c r="Q13666">
        <v>12</v>
      </c>
      <c r="R13666" t="s">
        <v>42698</v>
      </c>
      <c r="S13666" t="s">
        <v>43941</v>
      </c>
      <c r="T13666" t="s">
        <v>44432</v>
      </c>
      <c r="U13666" t="s">
        <v>55896</v>
      </c>
      <c r="V13666" t="s">
        <v>57074</v>
      </c>
      <c r="W13666" t="s">
        <v>41092</v>
      </c>
      <c r="X13666" t="s">
        <v>42699</v>
      </c>
    </row>
    <row r="13667" spans="1:24">
      <c r="A13667">
        <f>HYPERLINK("https://www.philgeps.gov.ph/GEPSNONPILOT/Tender/SplashBidNoticeAbstractUI.aspx?menuIndex=3&amp;refID=7141311&amp;Result=3","7141311")</f>
        <v>0</v>
      </c>
      <c r="B13667" t="s">
        <v>933</v>
      </c>
      <c r="C13667" t="s">
        <v>16616</v>
      </c>
      <c r="D13667" t="s">
        <v>17170</v>
      </c>
      <c r="E13667" t="s">
        <v>28878</v>
      </c>
      <c r="F13667" t="s">
        <v>29372</v>
      </c>
      <c r="G13667" t="s">
        <v>29380</v>
      </c>
      <c r="H13667" t="s">
        <v>11048</v>
      </c>
      <c r="I13667" t="s">
        <v>4487</v>
      </c>
      <c r="J13667" t="s">
        <v>38145</v>
      </c>
      <c r="K13667" t="s">
        <v>38490</v>
      </c>
      <c r="M13667" t="s">
        <v>41092</v>
      </c>
      <c r="N13667" t="s">
        <v>42669</v>
      </c>
      <c r="O13667" t="s">
        <v>42670</v>
      </c>
      <c r="Q13667">
        <v>15</v>
      </c>
      <c r="R13667" t="s">
        <v>42698</v>
      </c>
      <c r="S13667" t="s">
        <v>43942</v>
      </c>
      <c r="T13667" t="s">
        <v>44375</v>
      </c>
      <c r="U13667" t="s">
        <v>55897</v>
      </c>
      <c r="V13667" t="s">
        <v>57074</v>
      </c>
      <c r="W13667" t="s">
        <v>41092</v>
      </c>
      <c r="X13667" t="s">
        <v>42699</v>
      </c>
    </row>
    <row r="13668" spans="1:24">
      <c r="A13668">
        <f>HYPERLINK("https://www.philgeps.gov.ph/GEPSNONPILOT/Tender/SplashBidNoticeAbstractUI.aspx?menuIndex=3&amp;refID=7141294&amp;Result=3","7141294")</f>
        <v>0</v>
      </c>
      <c r="B13668" t="s">
        <v>933</v>
      </c>
      <c r="C13668" t="s">
        <v>16617</v>
      </c>
      <c r="D13668" t="s">
        <v>17170</v>
      </c>
      <c r="E13668" t="s">
        <v>28879</v>
      </c>
      <c r="F13668" t="s">
        <v>29372</v>
      </c>
      <c r="G13668" t="s">
        <v>29380</v>
      </c>
      <c r="H13668" t="s">
        <v>11048</v>
      </c>
      <c r="I13668" t="s">
        <v>9469</v>
      </c>
      <c r="J13668" t="s">
        <v>29829</v>
      </c>
      <c r="K13668" t="s">
        <v>38490</v>
      </c>
      <c r="M13668" t="s">
        <v>41092</v>
      </c>
      <c r="N13668" t="s">
        <v>42669</v>
      </c>
      <c r="O13668" t="s">
        <v>42670</v>
      </c>
      <c r="Q13668">
        <v>5</v>
      </c>
      <c r="R13668" t="s">
        <v>42698</v>
      </c>
      <c r="S13668" t="s">
        <v>43943</v>
      </c>
      <c r="T13668" t="s">
        <v>44432</v>
      </c>
      <c r="U13668" t="s">
        <v>55898</v>
      </c>
      <c r="V13668" t="s">
        <v>57074</v>
      </c>
      <c r="W13668" t="s">
        <v>41092</v>
      </c>
      <c r="X13668" t="s">
        <v>42699</v>
      </c>
    </row>
    <row r="13669" spans="1:24">
      <c r="A13669">
        <f>HYPERLINK("https://www.philgeps.gov.ph/GEPSNONPILOT/Tender/SplashBidNoticeAbstractUI.aspx?menuIndex=3&amp;refID=7141193&amp;Result=3","7141193")</f>
        <v>0</v>
      </c>
      <c r="B13669" t="s">
        <v>1978</v>
      </c>
      <c r="C13669" t="s">
        <v>16618</v>
      </c>
      <c r="D13669" t="s">
        <v>17164</v>
      </c>
      <c r="E13669" t="s">
        <v>28880</v>
      </c>
      <c r="F13669" t="s">
        <v>29372</v>
      </c>
      <c r="G13669" t="s">
        <v>29380</v>
      </c>
      <c r="H13669" t="s">
        <v>11048</v>
      </c>
      <c r="I13669" t="s">
        <v>9469</v>
      </c>
      <c r="J13669" t="s">
        <v>29540</v>
      </c>
      <c r="K13669" t="s">
        <v>38485</v>
      </c>
      <c r="M13669" t="s">
        <v>40865</v>
      </c>
      <c r="N13669" t="s">
        <v>42669</v>
      </c>
      <c r="O13669" t="s">
        <v>42670</v>
      </c>
      <c r="Q13669">
        <v>8</v>
      </c>
      <c r="R13669" t="s">
        <v>42698</v>
      </c>
      <c r="S13669" t="s">
        <v>43944</v>
      </c>
      <c r="T13669" t="s">
        <v>44491</v>
      </c>
      <c r="U13669" t="s">
        <v>49501</v>
      </c>
      <c r="W13669" t="s">
        <v>40865</v>
      </c>
      <c r="X13669" t="s">
        <v>42699</v>
      </c>
    </row>
    <row r="13670" spans="1:24">
      <c r="A13670">
        <f>HYPERLINK("https://www.philgeps.gov.ph/GEPSNONPILOT/Tender/SplashBidNoticeAbstractUI.aspx?menuIndex=3&amp;refID=7138504&amp;Result=3","7138504")</f>
        <v>0</v>
      </c>
      <c r="B13670" t="s">
        <v>1752</v>
      </c>
      <c r="C13670" t="s">
        <v>16619</v>
      </c>
      <c r="D13670" t="s">
        <v>17170</v>
      </c>
      <c r="E13670" t="s">
        <v>28881</v>
      </c>
      <c r="F13670" t="s">
        <v>29372</v>
      </c>
      <c r="G13670" t="s">
        <v>29380</v>
      </c>
      <c r="H13670" t="s">
        <v>11048</v>
      </c>
      <c r="I13670" t="s">
        <v>3695</v>
      </c>
      <c r="J13670" t="s">
        <v>38146</v>
      </c>
      <c r="K13670" t="s">
        <v>38510</v>
      </c>
      <c r="M13670" t="s">
        <v>40617</v>
      </c>
      <c r="N13670" t="s">
        <v>42669</v>
      </c>
      <c r="O13670" t="s">
        <v>42670</v>
      </c>
      <c r="Q13670">
        <v>9</v>
      </c>
      <c r="R13670" t="s">
        <v>42698</v>
      </c>
      <c r="S13670" t="s">
        <v>43945</v>
      </c>
      <c r="T13670" t="s">
        <v>44631</v>
      </c>
      <c r="U13670" t="s">
        <v>55899</v>
      </c>
      <c r="W13670" t="s">
        <v>40617</v>
      </c>
      <c r="X13670" t="s">
        <v>42700</v>
      </c>
    </row>
    <row r="13671" spans="1:24">
      <c r="A13671">
        <f>HYPERLINK("https://www.philgeps.gov.ph/GEPSNONPILOT/Tender/SplashBidNoticeAbstractUI.aspx?menuIndex=3&amp;refID=7140902&amp;Result=3","7140902")</f>
        <v>0</v>
      </c>
      <c r="B13671" t="s">
        <v>771</v>
      </c>
      <c r="C13671" t="s">
        <v>16620</v>
      </c>
      <c r="D13671" t="s">
        <v>17141</v>
      </c>
      <c r="E13671" t="s">
        <v>28882</v>
      </c>
      <c r="F13671" t="s">
        <v>29372</v>
      </c>
      <c r="G13671" t="s">
        <v>29384</v>
      </c>
      <c r="H13671" t="s">
        <v>11048</v>
      </c>
      <c r="I13671" t="s">
        <v>3952</v>
      </c>
      <c r="J13671" t="s">
        <v>38147</v>
      </c>
      <c r="K13671" t="s">
        <v>38485</v>
      </c>
      <c r="M13671" t="s">
        <v>42453</v>
      </c>
      <c r="N13671" t="s">
        <v>42669</v>
      </c>
      <c r="O13671" t="s">
        <v>42670</v>
      </c>
      <c r="P13671">
        <v>0</v>
      </c>
      <c r="Q13671">
        <v>14</v>
      </c>
      <c r="R13671" t="s">
        <v>42698</v>
      </c>
      <c r="S13671" t="s">
        <v>43932</v>
      </c>
      <c r="T13671" t="s">
        <v>44491</v>
      </c>
      <c r="U13671" t="s">
        <v>55900</v>
      </c>
      <c r="W13671" t="s">
        <v>42453</v>
      </c>
      <c r="X13671" t="s">
        <v>42699</v>
      </c>
    </row>
    <row r="13672" spans="1:24">
      <c r="A13672">
        <f>HYPERLINK("https://www.philgeps.gov.ph/GEPSNONPILOT/Tender/SplashBidNoticeAbstractUI.aspx?menuIndex=3&amp;refID=7141310&amp;Result=3","7141310")</f>
        <v>0</v>
      </c>
      <c r="B13672" t="s">
        <v>278</v>
      </c>
      <c r="C13672" t="s">
        <v>16621</v>
      </c>
      <c r="D13672" t="s">
        <v>17206</v>
      </c>
      <c r="E13672" t="s">
        <v>28883</v>
      </c>
      <c r="F13672" t="s">
        <v>29372</v>
      </c>
      <c r="G13672" t="s">
        <v>29382</v>
      </c>
      <c r="H13672" t="s">
        <v>11048</v>
      </c>
      <c r="I13672" t="s">
        <v>3670</v>
      </c>
      <c r="J13672" t="s">
        <v>38148</v>
      </c>
      <c r="K13672" t="s">
        <v>38485</v>
      </c>
      <c r="M13672" t="s">
        <v>41697</v>
      </c>
      <c r="N13672" t="s">
        <v>42669</v>
      </c>
      <c r="O13672" t="s">
        <v>42670</v>
      </c>
      <c r="Q13672">
        <v>4</v>
      </c>
      <c r="R13672" t="s">
        <v>42698</v>
      </c>
      <c r="S13672" t="s">
        <v>43946</v>
      </c>
      <c r="T13672" t="s">
        <v>44427</v>
      </c>
      <c r="U13672" t="s">
        <v>55901</v>
      </c>
      <c r="W13672" t="s">
        <v>41697</v>
      </c>
      <c r="X13672" t="s">
        <v>42699</v>
      </c>
    </row>
    <row r="13673" spans="1:24">
      <c r="A13673">
        <f>HYPERLINK("https://www.philgeps.gov.ph/GEPSNONPILOT/Tender/SplashBidNoticeAbstractUI.aspx?menuIndex=3&amp;refID=7141157&amp;Result=3","7141157")</f>
        <v>0</v>
      </c>
      <c r="B13673" t="s">
        <v>771</v>
      </c>
      <c r="C13673" t="s">
        <v>16622</v>
      </c>
      <c r="D13673" t="s">
        <v>17141</v>
      </c>
      <c r="E13673" t="s">
        <v>28884</v>
      </c>
      <c r="F13673" t="s">
        <v>29372</v>
      </c>
      <c r="G13673" t="s">
        <v>29384</v>
      </c>
      <c r="H13673" t="s">
        <v>11048</v>
      </c>
      <c r="I13673" t="s">
        <v>3839</v>
      </c>
      <c r="J13673" t="s">
        <v>35777</v>
      </c>
      <c r="K13673" t="s">
        <v>38487</v>
      </c>
      <c r="M13673" t="s">
        <v>42453</v>
      </c>
      <c r="N13673" t="s">
        <v>42669</v>
      </c>
      <c r="O13673" t="s">
        <v>42670</v>
      </c>
      <c r="P13673">
        <v>0</v>
      </c>
      <c r="Q13673">
        <v>5</v>
      </c>
      <c r="R13673" t="s">
        <v>42698</v>
      </c>
      <c r="S13673" t="s">
        <v>43932</v>
      </c>
      <c r="T13673" t="s">
        <v>44371</v>
      </c>
      <c r="U13673" t="s">
        <v>55900</v>
      </c>
      <c r="W13673" t="s">
        <v>42453</v>
      </c>
      <c r="X13673" t="s">
        <v>42699</v>
      </c>
    </row>
    <row r="13674" spans="1:24">
      <c r="A13674">
        <f>HYPERLINK("https://www.philgeps.gov.ph/GEPSNONPILOT/Tender/SplashBidNoticeAbstractUI.aspx?menuIndex=3&amp;refID=7140853&amp;Result=3","7140853")</f>
        <v>0</v>
      </c>
      <c r="B13674" t="s">
        <v>278</v>
      </c>
      <c r="C13674" t="s">
        <v>16623</v>
      </c>
      <c r="D13674" t="s">
        <v>17206</v>
      </c>
      <c r="E13674" t="s">
        <v>28885</v>
      </c>
      <c r="F13674" t="s">
        <v>29372</v>
      </c>
      <c r="G13674" t="s">
        <v>29379</v>
      </c>
      <c r="H13674" t="s">
        <v>11048</v>
      </c>
      <c r="I13674" t="s">
        <v>29396</v>
      </c>
      <c r="J13674" t="s">
        <v>29587</v>
      </c>
      <c r="K13674" t="s">
        <v>38530</v>
      </c>
      <c r="M13674" t="s">
        <v>41697</v>
      </c>
      <c r="N13674" t="s">
        <v>42669</v>
      </c>
      <c r="O13674" t="s">
        <v>42670</v>
      </c>
      <c r="Q13674">
        <v>1</v>
      </c>
      <c r="R13674" t="s">
        <v>42698</v>
      </c>
      <c r="S13674" t="s">
        <v>43947</v>
      </c>
      <c r="T13674" t="s">
        <v>44427</v>
      </c>
      <c r="U13674" t="s">
        <v>55902</v>
      </c>
      <c r="W13674" t="s">
        <v>41697</v>
      </c>
      <c r="X13674" t="s">
        <v>42699</v>
      </c>
    </row>
    <row r="13675" spans="1:24">
      <c r="A13675">
        <f>HYPERLINK("https://www.philgeps.gov.ph/GEPSNONPILOT/Tender/SplashBidNoticeAbstractUI.aspx?menuIndex=3&amp;refID=7140568&amp;Result=3","7140568")</f>
        <v>0</v>
      </c>
      <c r="B13675" t="s">
        <v>771</v>
      </c>
      <c r="C13675" t="s">
        <v>16624</v>
      </c>
      <c r="D13675" t="s">
        <v>17141</v>
      </c>
      <c r="E13675" t="s">
        <v>28886</v>
      </c>
      <c r="F13675" t="s">
        <v>29372</v>
      </c>
      <c r="G13675" t="s">
        <v>29384</v>
      </c>
      <c r="H13675" t="s">
        <v>11048</v>
      </c>
      <c r="I13675" t="s">
        <v>3839</v>
      </c>
      <c r="J13675" t="s">
        <v>29615</v>
      </c>
      <c r="K13675" t="s">
        <v>38487</v>
      </c>
      <c r="M13675" t="s">
        <v>42453</v>
      </c>
      <c r="N13675" t="s">
        <v>42669</v>
      </c>
      <c r="O13675" t="s">
        <v>42670</v>
      </c>
      <c r="P13675">
        <v>0</v>
      </c>
      <c r="Q13675">
        <v>13</v>
      </c>
      <c r="R13675" t="s">
        <v>42698</v>
      </c>
      <c r="S13675" t="s">
        <v>43932</v>
      </c>
      <c r="T13675" t="s">
        <v>44488</v>
      </c>
      <c r="U13675" t="s">
        <v>55900</v>
      </c>
      <c r="W13675" t="s">
        <v>42453</v>
      </c>
      <c r="X13675" t="s">
        <v>42699</v>
      </c>
    </row>
    <row r="13676" spans="1:24">
      <c r="A13676">
        <f>HYPERLINK("https://www.philgeps.gov.ph/GEPSNONPILOT/Tender/SplashBidNoticeAbstractUI.aspx?menuIndex=3&amp;refID=7143655&amp;Result=3","7143655")</f>
        <v>0</v>
      </c>
      <c r="B13676" t="s">
        <v>2470</v>
      </c>
      <c r="C13676" t="s">
        <v>16625</v>
      </c>
      <c r="D13676" t="s">
        <v>17199</v>
      </c>
      <c r="E13676" t="s">
        <v>28887</v>
      </c>
      <c r="F13676" t="s">
        <v>29372</v>
      </c>
      <c r="G13676" t="s">
        <v>29380</v>
      </c>
      <c r="H13676" t="s">
        <v>29389</v>
      </c>
      <c r="I13676" t="s">
        <v>10408</v>
      </c>
      <c r="J13676" t="s">
        <v>36938</v>
      </c>
      <c r="K13676" t="s">
        <v>38509</v>
      </c>
      <c r="M13676" t="s">
        <v>42357</v>
      </c>
      <c r="N13676" t="s">
        <v>42669</v>
      </c>
      <c r="O13676" t="s">
        <v>42670</v>
      </c>
      <c r="P13676">
        <v>0</v>
      </c>
      <c r="Q13676">
        <v>2</v>
      </c>
      <c r="R13676" t="s">
        <v>42697</v>
      </c>
      <c r="S13676" t="s">
        <v>43906</v>
      </c>
      <c r="T13676" t="s">
        <v>44441</v>
      </c>
      <c r="U13676" t="s">
        <v>55903</v>
      </c>
      <c r="V13676" t="s">
        <v>57721</v>
      </c>
      <c r="W13676" t="s">
        <v>58122</v>
      </c>
      <c r="X13676" t="s">
        <v>42698</v>
      </c>
    </row>
    <row r="13677" spans="1:24">
      <c r="A13677">
        <f>HYPERLINK("https://www.philgeps.gov.ph/GEPSNONPILOT/Tender/SplashBidNoticeAbstractUI.aspx?menuIndex=3&amp;refID=7140323&amp;Result=3","7140323")</f>
        <v>0</v>
      </c>
      <c r="B13677" t="s">
        <v>83</v>
      </c>
      <c r="C13677" t="s">
        <v>16626</v>
      </c>
      <c r="D13677" t="s">
        <v>17160</v>
      </c>
      <c r="E13677" t="s">
        <v>28888</v>
      </c>
      <c r="F13677" t="s">
        <v>29372</v>
      </c>
      <c r="G13677" t="s">
        <v>29379</v>
      </c>
      <c r="H13677" t="s">
        <v>11048</v>
      </c>
      <c r="I13677" t="s">
        <v>4709</v>
      </c>
      <c r="J13677" t="s">
        <v>38149</v>
      </c>
      <c r="K13677" t="s">
        <v>38490</v>
      </c>
      <c r="M13677" t="s">
        <v>38837</v>
      </c>
      <c r="N13677" t="s">
        <v>42669</v>
      </c>
      <c r="O13677" t="s">
        <v>42670</v>
      </c>
      <c r="P13677">
        <v>0</v>
      </c>
      <c r="Q13677">
        <v>2</v>
      </c>
      <c r="R13677" t="s">
        <v>42698</v>
      </c>
      <c r="S13677" t="s">
        <v>43932</v>
      </c>
      <c r="T13677" t="s">
        <v>44389</v>
      </c>
      <c r="U13677" t="s">
        <v>55904</v>
      </c>
      <c r="W13677" t="s">
        <v>38837</v>
      </c>
      <c r="X13677" t="s">
        <v>42699</v>
      </c>
    </row>
    <row r="13678" spans="1:24">
      <c r="A13678">
        <f>HYPERLINK("https://www.philgeps.gov.ph/GEPSNONPILOT/Tender/SplashBidNoticeAbstractUI.aspx?menuIndex=3&amp;refID=7140003&amp;Result=3","7140003")</f>
        <v>0</v>
      </c>
      <c r="B13678" t="s">
        <v>3131</v>
      </c>
      <c r="C13678" t="s">
        <v>16627</v>
      </c>
      <c r="D13678" t="s">
        <v>17205</v>
      </c>
      <c r="E13678" t="s">
        <v>28889</v>
      </c>
      <c r="F13678" t="s">
        <v>29372</v>
      </c>
      <c r="G13678" t="s">
        <v>29380</v>
      </c>
      <c r="H13678" t="s">
        <v>11048</v>
      </c>
      <c r="I13678" t="s">
        <v>29407</v>
      </c>
      <c r="J13678" t="s">
        <v>30056</v>
      </c>
      <c r="K13678" t="s">
        <v>38485</v>
      </c>
      <c r="M13678" t="s">
        <v>42175</v>
      </c>
      <c r="N13678" t="s">
        <v>42669</v>
      </c>
      <c r="O13678" t="s">
        <v>42670</v>
      </c>
      <c r="P13678">
        <v>0</v>
      </c>
      <c r="Q13678">
        <v>19</v>
      </c>
      <c r="R13678" t="s">
        <v>42698</v>
      </c>
      <c r="S13678" t="s">
        <v>43932</v>
      </c>
      <c r="T13678" t="s">
        <v>44432</v>
      </c>
      <c r="U13678" t="s">
        <v>55905</v>
      </c>
      <c r="W13678" t="s">
        <v>42175</v>
      </c>
      <c r="X13678" t="s">
        <v>42699</v>
      </c>
    </row>
    <row r="13679" spans="1:24">
      <c r="A13679">
        <f>HYPERLINK("https://www.philgeps.gov.ph/GEPSNONPILOT/Tender/SplashBidNoticeAbstractUI.aspx?menuIndex=3&amp;refID=7139889&amp;Result=3","7139889")</f>
        <v>0</v>
      </c>
      <c r="B13679" t="s">
        <v>2706</v>
      </c>
      <c r="C13679" t="s">
        <v>16628</v>
      </c>
      <c r="D13679" t="s">
        <v>17172</v>
      </c>
      <c r="E13679" t="s">
        <v>19453</v>
      </c>
      <c r="F13679" t="s">
        <v>29372</v>
      </c>
      <c r="G13679" t="s">
        <v>29379</v>
      </c>
      <c r="H13679" t="s">
        <v>11048</v>
      </c>
      <c r="I13679" t="s">
        <v>4709</v>
      </c>
      <c r="J13679" t="s">
        <v>38150</v>
      </c>
      <c r="K13679" t="s">
        <v>38491</v>
      </c>
      <c r="M13679" t="s">
        <v>41686</v>
      </c>
      <c r="N13679" t="s">
        <v>42669</v>
      </c>
      <c r="O13679" t="s">
        <v>42670</v>
      </c>
      <c r="P13679">
        <v>0</v>
      </c>
      <c r="Q13679">
        <v>2</v>
      </c>
      <c r="R13679" t="s">
        <v>42698</v>
      </c>
      <c r="S13679" t="s">
        <v>43932</v>
      </c>
      <c r="T13679" t="s">
        <v>44426</v>
      </c>
      <c r="U13679" t="s">
        <v>55906</v>
      </c>
      <c r="W13679" t="s">
        <v>41686</v>
      </c>
      <c r="X13679" t="s">
        <v>42699</v>
      </c>
    </row>
    <row r="13680" spans="1:24">
      <c r="A13680">
        <f>HYPERLINK("https://www.philgeps.gov.ph/GEPSNONPILOT/Tender/SplashBidNoticeAbstractUI.aspx?menuIndex=3&amp;refID=7139737&amp;Result=3","7139737")</f>
        <v>0</v>
      </c>
      <c r="B13680" t="s">
        <v>3471</v>
      </c>
      <c r="C13680" t="s">
        <v>16629</v>
      </c>
      <c r="D13680" t="s">
        <v>17141</v>
      </c>
      <c r="E13680" t="s">
        <v>28890</v>
      </c>
      <c r="F13680" t="s">
        <v>29372</v>
      </c>
      <c r="G13680" t="s">
        <v>29380</v>
      </c>
      <c r="H13680" t="s">
        <v>29390</v>
      </c>
      <c r="I13680" t="s">
        <v>4486</v>
      </c>
      <c r="J13680" t="s">
        <v>38151</v>
      </c>
      <c r="K13680" t="s">
        <v>38538</v>
      </c>
      <c r="M13680" t="s">
        <v>42592</v>
      </c>
      <c r="N13680" t="s">
        <v>42669</v>
      </c>
      <c r="O13680" t="s">
        <v>42670</v>
      </c>
      <c r="Q13680">
        <v>14</v>
      </c>
      <c r="R13680" t="s">
        <v>42698</v>
      </c>
      <c r="S13680" t="s">
        <v>43948</v>
      </c>
      <c r="T13680" t="s">
        <v>44858</v>
      </c>
      <c r="U13680" t="s">
        <v>55907</v>
      </c>
      <c r="W13680" t="s">
        <v>42592</v>
      </c>
      <c r="X13680" t="s">
        <v>42699</v>
      </c>
    </row>
    <row r="13681" spans="1:24">
      <c r="A13681">
        <f>HYPERLINK("https://www.philgeps.gov.ph/GEPSNONPILOT/Tender/SplashBidNoticeAbstractUI.aspx?menuIndex=3&amp;refID=7139406&amp;Result=3","7139406")</f>
        <v>0</v>
      </c>
      <c r="B13681" t="s">
        <v>3471</v>
      </c>
      <c r="C13681" t="s">
        <v>16630</v>
      </c>
      <c r="D13681" t="s">
        <v>17141</v>
      </c>
      <c r="E13681" t="s">
        <v>28891</v>
      </c>
      <c r="F13681" t="s">
        <v>29372</v>
      </c>
      <c r="G13681" t="s">
        <v>29380</v>
      </c>
      <c r="H13681" t="s">
        <v>11048</v>
      </c>
      <c r="I13681" t="s">
        <v>29439</v>
      </c>
      <c r="J13681" t="s">
        <v>38152</v>
      </c>
      <c r="K13681" t="s">
        <v>38764</v>
      </c>
      <c r="M13681" t="s">
        <v>42592</v>
      </c>
      <c r="N13681" t="s">
        <v>42669</v>
      </c>
      <c r="O13681" t="s">
        <v>42670</v>
      </c>
      <c r="Q13681">
        <v>7</v>
      </c>
      <c r="R13681" t="s">
        <v>42698</v>
      </c>
      <c r="S13681" t="s">
        <v>43949</v>
      </c>
      <c r="T13681" t="s">
        <v>44858</v>
      </c>
      <c r="U13681" t="s">
        <v>55908</v>
      </c>
      <c r="W13681" t="s">
        <v>42592</v>
      </c>
      <c r="X13681" t="s">
        <v>42699</v>
      </c>
    </row>
    <row r="13682" spans="1:24">
      <c r="A13682">
        <f>HYPERLINK("https://www.philgeps.gov.ph/GEPSNONPILOT/Tender/SplashBidNoticeAbstractUI.aspx?menuIndex=3&amp;refID=7139062&amp;Result=3","7139062")</f>
        <v>0</v>
      </c>
      <c r="B13682" t="s">
        <v>761</v>
      </c>
      <c r="C13682" t="s">
        <v>16631</v>
      </c>
      <c r="D13682" t="s">
        <v>17183</v>
      </c>
      <c r="E13682" t="s">
        <v>28892</v>
      </c>
      <c r="F13682" t="s">
        <v>29372</v>
      </c>
      <c r="G13682" t="s">
        <v>29380</v>
      </c>
      <c r="H13682" t="s">
        <v>11048</v>
      </c>
      <c r="I13682" t="s">
        <v>8614</v>
      </c>
      <c r="J13682" t="s">
        <v>38153</v>
      </c>
      <c r="K13682" t="s">
        <v>38485</v>
      </c>
      <c r="M13682" t="s">
        <v>39544</v>
      </c>
      <c r="N13682" t="s">
        <v>42669</v>
      </c>
      <c r="O13682" t="s">
        <v>42670</v>
      </c>
      <c r="P13682">
        <v>0</v>
      </c>
      <c r="Q13682">
        <v>9</v>
      </c>
      <c r="R13682" t="s">
        <v>42698</v>
      </c>
      <c r="S13682" t="s">
        <v>43932</v>
      </c>
      <c r="T13682" t="s">
        <v>44491</v>
      </c>
      <c r="U13682" t="s">
        <v>55909</v>
      </c>
      <c r="V13682" t="s">
        <v>56460</v>
      </c>
      <c r="W13682" t="s">
        <v>39544</v>
      </c>
      <c r="X13682" t="s">
        <v>42699</v>
      </c>
    </row>
    <row r="13683" spans="1:24">
      <c r="A13683">
        <f>HYPERLINK("https://www.philgeps.gov.ph/GEPSNONPILOT/Tender/SplashBidNoticeAbstractUI.aspx?menuIndex=3&amp;refID=7144978&amp;Result=3","7144978")</f>
        <v>0</v>
      </c>
      <c r="B13683" t="s">
        <v>3474</v>
      </c>
      <c r="C13683" t="s">
        <v>16632</v>
      </c>
      <c r="D13683" t="s">
        <v>17156</v>
      </c>
      <c r="E13683" t="s">
        <v>28893</v>
      </c>
      <c r="F13683" t="s">
        <v>29372</v>
      </c>
      <c r="G13683" t="s">
        <v>29380</v>
      </c>
      <c r="H13683" t="s">
        <v>11048</v>
      </c>
      <c r="I13683" t="s">
        <v>29423</v>
      </c>
      <c r="J13683" t="s">
        <v>38154</v>
      </c>
      <c r="K13683" t="s">
        <v>38496</v>
      </c>
      <c r="M13683" t="s">
        <v>42599</v>
      </c>
      <c r="N13683" t="s">
        <v>42669</v>
      </c>
      <c r="O13683" t="s">
        <v>42670</v>
      </c>
      <c r="Q13683">
        <v>16</v>
      </c>
      <c r="R13683" t="s">
        <v>42697</v>
      </c>
      <c r="S13683" t="s">
        <v>43950</v>
      </c>
      <c r="T13683" t="s">
        <v>44860</v>
      </c>
      <c r="U13683" t="s">
        <v>55910</v>
      </c>
      <c r="W13683" t="s">
        <v>42599</v>
      </c>
      <c r="X13683" t="s">
        <v>42698</v>
      </c>
    </row>
    <row r="13684" spans="1:24">
      <c r="A13684">
        <f>HYPERLINK("https://www.philgeps.gov.ph/GEPSNONPILOT/Tender/SplashBidNoticeAbstractUI.aspx?menuIndex=3&amp;refID=7140904&amp;Result=3","7140904")</f>
        <v>0</v>
      </c>
      <c r="B13684" t="s">
        <v>278</v>
      </c>
      <c r="C13684" t="s">
        <v>16633</v>
      </c>
      <c r="D13684" t="s">
        <v>17206</v>
      </c>
      <c r="E13684" t="s">
        <v>28894</v>
      </c>
      <c r="F13684" t="s">
        <v>29372</v>
      </c>
      <c r="G13684" t="s">
        <v>29379</v>
      </c>
      <c r="H13684" t="s">
        <v>11048</v>
      </c>
      <c r="I13684" t="s">
        <v>29396</v>
      </c>
      <c r="J13684" t="s">
        <v>29988</v>
      </c>
      <c r="K13684" t="s">
        <v>38488</v>
      </c>
      <c r="M13684" t="s">
        <v>41697</v>
      </c>
      <c r="N13684" t="s">
        <v>42669</v>
      </c>
      <c r="O13684" t="s">
        <v>42670</v>
      </c>
      <c r="Q13684">
        <v>0</v>
      </c>
      <c r="R13684" t="s">
        <v>42698</v>
      </c>
      <c r="S13684" t="s">
        <v>43946</v>
      </c>
      <c r="T13684" t="s">
        <v>44427</v>
      </c>
      <c r="U13684" t="s">
        <v>53302</v>
      </c>
      <c r="W13684" t="s">
        <v>41697</v>
      </c>
      <c r="X13684" t="s">
        <v>42699</v>
      </c>
    </row>
    <row r="13685" spans="1:24">
      <c r="A13685">
        <f>HYPERLINK("https://www.philgeps.gov.ph/GEPSNONPILOT/Tender/SplashBidNoticeAbstractUI.aspx?menuIndex=3&amp;refID=7144970&amp;Result=3","7144970")</f>
        <v>0</v>
      </c>
      <c r="B13685" t="s">
        <v>3474</v>
      </c>
      <c r="C13685" t="s">
        <v>16634</v>
      </c>
      <c r="D13685" t="s">
        <v>17156</v>
      </c>
      <c r="E13685" t="s">
        <v>28895</v>
      </c>
      <c r="F13685" t="s">
        <v>29372</v>
      </c>
      <c r="G13685" t="s">
        <v>29380</v>
      </c>
      <c r="H13685" t="s">
        <v>11048</v>
      </c>
      <c r="I13685" t="s">
        <v>29423</v>
      </c>
      <c r="J13685" t="s">
        <v>38155</v>
      </c>
      <c r="K13685" t="s">
        <v>38496</v>
      </c>
      <c r="M13685" t="s">
        <v>42599</v>
      </c>
      <c r="N13685" t="s">
        <v>42669</v>
      </c>
      <c r="O13685" t="s">
        <v>42670</v>
      </c>
      <c r="Q13685">
        <v>15</v>
      </c>
      <c r="R13685" t="s">
        <v>42697</v>
      </c>
      <c r="S13685" t="s">
        <v>43951</v>
      </c>
      <c r="T13685" t="s">
        <v>44840</v>
      </c>
      <c r="U13685" t="s">
        <v>55911</v>
      </c>
      <c r="W13685" t="s">
        <v>42599</v>
      </c>
      <c r="X13685" t="s">
        <v>42698</v>
      </c>
    </row>
    <row r="13686" spans="1:24">
      <c r="A13686">
        <f>HYPERLINK("https://www.philgeps.gov.ph/GEPSNONPILOT/Tender/SplashBidNoticeAbstractUI.aspx?menuIndex=3&amp;refID=7144963&amp;Result=3","7144963")</f>
        <v>0</v>
      </c>
      <c r="B13686" t="s">
        <v>3474</v>
      </c>
      <c r="C13686" t="s">
        <v>16635</v>
      </c>
      <c r="D13686" t="s">
        <v>17156</v>
      </c>
      <c r="E13686" t="s">
        <v>28896</v>
      </c>
      <c r="F13686" t="s">
        <v>29372</v>
      </c>
      <c r="G13686" t="s">
        <v>29380</v>
      </c>
      <c r="H13686" t="s">
        <v>11048</v>
      </c>
      <c r="I13686" t="s">
        <v>29423</v>
      </c>
      <c r="J13686" t="s">
        <v>38156</v>
      </c>
      <c r="K13686" t="s">
        <v>38496</v>
      </c>
      <c r="M13686" t="s">
        <v>42599</v>
      </c>
      <c r="N13686" t="s">
        <v>42669</v>
      </c>
      <c r="O13686" t="s">
        <v>42670</v>
      </c>
      <c r="Q13686">
        <v>13</v>
      </c>
      <c r="R13686" t="s">
        <v>42697</v>
      </c>
      <c r="S13686" t="s">
        <v>43952</v>
      </c>
      <c r="T13686" t="s">
        <v>44861</v>
      </c>
      <c r="U13686" t="s">
        <v>55912</v>
      </c>
      <c r="W13686" t="s">
        <v>42599</v>
      </c>
      <c r="X13686" t="s">
        <v>42698</v>
      </c>
    </row>
    <row r="13687" spans="1:24">
      <c r="A13687">
        <f>HYPERLINK("https://www.philgeps.gov.ph/GEPSNONPILOT/Tender/SplashBidNoticeAbstractUI.aspx?menuIndex=3&amp;refID=7144874&amp;Result=3","7144874")</f>
        <v>0</v>
      </c>
      <c r="B13687" t="s">
        <v>3475</v>
      </c>
      <c r="C13687" t="s">
        <v>16636</v>
      </c>
      <c r="D13687" t="s">
        <v>17212</v>
      </c>
      <c r="E13687" t="s">
        <v>28897</v>
      </c>
      <c r="F13687" t="s">
        <v>29372</v>
      </c>
      <c r="G13687" t="s">
        <v>29380</v>
      </c>
      <c r="H13687" t="s">
        <v>11048</v>
      </c>
      <c r="I13687" t="s">
        <v>29469</v>
      </c>
      <c r="J13687" t="s">
        <v>38157</v>
      </c>
      <c r="K13687" t="s">
        <v>38485</v>
      </c>
      <c r="M13687" t="s">
        <v>42600</v>
      </c>
      <c r="N13687" t="s">
        <v>42669</v>
      </c>
      <c r="O13687" t="s">
        <v>42670</v>
      </c>
      <c r="Q13687">
        <v>6</v>
      </c>
      <c r="R13687" t="s">
        <v>42697</v>
      </c>
      <c r="S13687" t="s">
        <v>43953</v>
      </c>
      <c r="T13687" t="s">
        <v>44481</v>
      </c>
      <c r="U13687" t="s">
        <v>55913</v>
      </c>
      <c r="W13687" t="s">
        <v>58133</v>
      </c>
      <c r="X13687" t="s">
        <v>42698</v>
      </c>
    </row>
    <row r="13688" spans="1:24">
      <c r="A13688">
        <f>HYPERLINK("https://www.philgeps.gov.ph/GEPSNONPILOT/Tender/SplashBidNoticeAbstractUI.aspx?menuIndex=3&amp;refID=7144984&amp;Result=3","7144984")</f>
        <v>0</v>
      </c>
      <c r="B13688" t="s">
        <v>3474</v>
      </c>
      <c r="C13688" t="s">
        <v>16637</v>
      </c>
      <c r="D13688" t="s">
        <v>17156</v>
      </c>
      <c r="E13688" t="s">
        <v>28898</v>
      </c>
      <c r="F13688" t="s">
        <v>29372</v>
      </c>
      <c r="G13688" t="s">
        <v>29380</v>
      </c>
      <c r="H13688" t="s">
        <v>11048</v>
      </c>
      <c r="I13688" t="s">
        <v>29398</v>
      </c>
      <c r="J13688" t="s">
        <v>38158</v>
      </c>
      <c r="K13688" t="s">
        <v>38487</v>
      </c>
      <c r="M13688" t="s">
        <v>42599</v>
      </c>
      <c r="N13688" t="s">
        <v>42669</v>
      </c>
      <c r="O13688" t="s">
        <v>42670</v>
      </c>
      <c r="Q13688">
        <v>8</v>
      </c>
      <c r="R13688" t="s">
        <v>42697</v>
      </c>
      <c r="S13688" t="s">
        <v>43954</v>
      </c>
      <c r="T13688" t="s">
        <v>44556</v>
      </c>
      <c r="U13688" t="s">
        <v>55914</v>
      </c>
      <c r="W13688" t="s">
        <v>42599</v>
      </c>
      <c r="X13688" t="s">
        <v>42698</v>
      </c>
    </row>
    <row r="13689" spans="1:24">
      <c r="A13689">
        <f>HYPERLINK("https://www.philgeps.gov.ph/GEPSNONPILOT/Tender/SplashBidNoticeAbstractUI.aspx?menuIndex=3&amp;refID=7139186&amp;Result=3","7139186")</f>
        <v>0</v>
      </c>
      <c r="B13689" t="s">
        <v>2327</v>
      </c>
      <c r="C13689" t="s">
        <v>16638</v>
      </c>
      <c r="D13689" t="s">
        <v>17163</v>
      </c>
      <c r="E13689" t="s">
        <v>28899</v>
      </c>
      <c r="F13689" t="s">
        <v>29372</v>
      </c>
      <c r="G13689" t="s">
        <v>29380</v>
      </c>
      <c r="H13689" t="s">
        <v>29390</v>
      </c>
      <c r="I13689" t="s">
        <v>29396</v>
      </c>
      <c r="J13689" t="s">
        <v>38159</v>
      </c>
      <c r="K13689" t="s">
        <v>38629</v>
      </c>
      <c r="M13689" t="s">
        <v>41985</v>
      </c>
      <c r="N13689" t="s">
        <v>42669</v>
      </c>
      <c r="O13689" t="s">
        <v>42670</v>
      </c>
      <c r="Q13689">
        <v>3</v>
      </c>
      <c r="R13689" t="s">
        <v>42698</v>
      </c>
      <c r="S13689" t="s">
        <v>43955</v>
      </c>
      <c r="T13689" t="s">
        <v>44491</v>
      </c>
      <c r="U13689" t="s">
        <v>55915</v>
      </c>
      <c r="W13689" t="s">
        <v>41985</v>
      </c>
      <c r="X13689" t="s">
        <v>42699</v>
      </c>
    </row>
    <row r="13690" spans="1:24">
      <c r="A13690">
        <f>HYPERLINK("https://www.philgeps.gov.ph/GEPSNONPILOT/Tender/SplashBidNoticeAbstractUI.aspx?menuIndex=3&amp;refID=7140706&amp;Result=3","7140706")</f>
        <v>0</v>
      </c>
      <c r="B13690" t="s">
        <v>3476</v>
      </c>
      <c r="C13690" t="s">
        <v>16639</v>
      </c>
      <c r="D13690" t="s">
        <v>17187</v>
      </c>
      <c r="E13690" t="s">
        <v>24623</v>
      </c>
      <c r="F13690" t="s">
        <v>29372</v>
      </c>
      <c r="G13690" t="s">
        <v>29380</v>
      </c>
      <c r="H13690" t="s">
        <v>29389</v>
      </c>
      <c r="I13690" t="s">
        <v>10408</v>
      </c>
      <c r="J13690" t="s">
        <v>38160</v>
      </c>
      <c r="K13690" t="s">
        <v>38496</v>
      </c>
      <c r="M13690" t="s">
        <v>42601</v>
      </c>
      <c r="N13690" t="s">
        <v>42669</v>
      </c>
      <c r="O13690" t="s">
        <v>42670</v>
      </c>
      <c r="Q13690">
        <v>8</v>
      </c>
      <c r="R13690" t="s">
        <v>42698</v>
      </c>
      <c r="S13690" t="s">
        <v>43956</v>
      </c>
      <c r="T13690" t="s">
        <v>44525</v>
      </c>
      <c r="U13690" t="s">
        <v>55916</v>
      </c>
      <c r="W13690" t="s">
        <v>42601</v>
      </c>
      <c r="X13690" t="s">
        <v>42699</v>
      </c>
    </row>
    <row r="13691" spans="1:24">
      <c r="A13691">
        <f>HYPERLINK("https://www.philgeps.gov.ph/GEPSNONPILOT/Tender/SplashBidNoticeAbstractUI.aspx?menuIndex=3&amp;refID=7137528&amp;Result=3","7137528")</f>
        <v>0</v>
      </c>
      <c r="B13691" t="s">
        <v>58</v>
      </c>
      <c r="C13691" t="s">
        <v>16640</v>
      </c>
      <c r="D13691" t="s">
        <v>17206</v>
      </c>
      <c r="E13691" t="s">
        <v>28900</v>
      </c>
      <c r="F13691" t="s">
        <v>29372</v>
      </c>
      <c r="G13691" t="s">
        <v>29384</v>
      </c>
      <c r="H13691" t="s">
        <v>29391</v>
      </c>
      <c r="I13691" t="s">
        <v>29391</v>
      </c>
      <c r="J13691" t="s">
        <v>38161</v>
      </c>
      <c r="K13691" t="s">
        <v>38490</v>
      </c>
      <c r="L13691" t="s">
        <v>58</v>
      </c>
      <c r="M13691" t="s">
        <v>40154</v>
      </c>
      <c r="N13691" t="s">
        <v>42669</v>
      </c>
      <c r="O13691" t="s">
        <v>42670</v>
      </c>
      <c r="Q13691">
        <v>5</v>
      </c>
      <c r="R13691" t="s">
        <v>42698</v>
      </c>
      <c r="S13691" t="s">
        <v>43478</v>
      </c>
      <c r="T13691" t="s">
        <v>44412</v>
      </c>
      <c r="U13691" t="s">
        <v>55917</v>
      </c>
      <c r="W13691" t="s">
        <v>40154</v>
      </c>
      <c r="X13691" t="s">
        <v>42700</v>
      </c>
    </row>
    <row r="13692" spans="1:24">
      <c r="A13692">
        <f>HYPERLINK("https://www.philgeps.gov.ph/GEPSNONPILOT/Tender/SplashBidNoticeAbstractUI.aspx?menuIndex=3&amp;refID=7136334&amp;Result=3","7136334")</f>
        <v>0</v>
      </c>
      <c r="B13692" t="s">
        <v>413</v>
      </c>
      <c r="C13692" t="s">
        <v>16641</v>
      </c>
      <c r="D13692" t="s">
        <v>17141</v>
      </c>
      <c r="E13692" t="s">
        <v>28901</v>
      </c>
      <c r="F13692" t="s">
        <v>29372</v>
      </c>
      <c r="G13692" t="s">
        <v>29382</v>
      </c>
      <c r="H13692" t="s">
        <v>11048</v>
      </c>
      <c r="I13692" t="s">
        <v>3670</v>
      </c>
      <c r="J13692" t="s">
        <v>38162</v>
      </c>
      <c r="K13692" t="s">
        <v>38488</v>
      </c>
      <c r="M13692" t="s">
        <v>39708</v>
      </c>
      <c r="N13692" t="s">
        <v>42669</v>
      </c>
      <c r="O13692" t="s">
        <v>42670</v>
      </c>
      <c r="Q13692">
        <v>9</v>
      </c>
      <c r="R13692" t="s">
        <v>42699</v>
      </c>
      <c r="S13692" t="s">
        <v>42996</v>
      </c>
      <c r="T13692" t="s">
        <v>44491</v>
      </c>
      <c r="U13692" t="s">
        <v>46704</v>
      </c>
      <c r="V13692" t="s">
        <v>57941</v>
      </c>
      <c r="W13692" t="s">
        <v>39708</v>
      </c>
      <c r="X13692" t="s">
        <v>42700</v>
      </c>
    </row>
    <row r="13693" spans="1:24">
      <c r="A13693">
        <f>HYPERLINK("https://www.philgeps.gov.ph/GEPSNONPILOT/Tender/SplashBidNoticeAbstractUI.aspx?menuIndex=3&amp;refID=7136322&amp;Result=3","7136322")</f>
        <v>0</v>
      </c>
      <c r="B13693" t="s">
        <v>413</v>
      </c>
      <c r="C13693" t="s">
        <v>16642</v>
      </c>
      <c r="D13693" t="s">
        <v>17141</v>
      </c>
      <c r="E13693" t="s">
        <v>28902</v>
      </c>
      <c r="F13693" t="s">
        <v>29372</v>
      </c>
      <c r="G13693" t="s">
        <v>29382</v>
      </c>
      <c r="H13693" t="s">
        <v>11048</v>
      </c>
      <c r="I13693" t="s">
        <v>3839</v>
      </c>
      <c r="J13693" t="s">
        <v>29767</v>
      </c>
      <c r="K13693" t="s">
        <v>38518</v>
      </c>
      <c r="M13693" t="s">
        <v>39708</v>
      </c>
      <c r="N13693" t="s">
        <v>42669</v>
      </c>
      <c r="O13693" t="s">
        <v>42670</v>
      </c>
      <c r="Q13693">
        <v>18</v>
      </c>
      <c r="R13693" t="s">
        <v>42699</v>
      </c>
      <c r="S13693" t="s">
        <v>43957</v>
      </c>
      <c r="T13693" t="s">
        <v>44481</v>
      </c>
      <c r="U13693" t="s">
        <v>46704</v>
      </c>
      <c r="V13693" t="s">
        <v>57643</v>
      </c>
      <c r="W13693" t="s">
        <v>39708</v>
      </c>
      <c r="X13693" t="s">
        <v>42700</v>
      </c>
    </row>
    <row r="13694" spans="1:24">
      <c r="A13694">
        <f>HYPERLINK("https://www.philgeps.gov.ph/GEPSNONPILOT/Tender/SplashBidNoticeAbstractUI.aspx?menuIndex=3&amp;refID=7135841&amp;Result=3","7135841")</f>
        <v>0</v>
      </c>
      <c r="B13694" t="s">
        <v>419</v>
      </c>
      <c r="C13694" t="s">
        <v>16643</v>
      </c>
      <c r="D13694" t="s">
        <v>17153</v>
      </c>
      <c r="E13694" t="s">
        <v>28903</v>
      </c>
      <c r="F13694" t="s">
        <v>29372</v>
      </c>
      <c r="G13694" t="s">
        <v>29380</v>
      </c>
      <c r="H13694" t="s">
        <v>11048</v>
      </c>
      <c r="I13694" t="s">
        <v>29407</v>
      </c>
      <c r="J13694" t="s">
        <v>38163</v>
      </c>
      <c r="K13694" t="s">
        <v>38488</v>
      </c>
      <c r="M13694" t="s">
        <v>39183</v>
      </c>
      <c r="N13694" t="s">
        <v>42669</v>
      </c>
      <c r="O13694" t="s">
        <v>42670</v>
      </c>
      <c r="Q13694">
        <v>1</v>
      </c>
      <c r="R13694" t="s">
        <v>42699</v>
      </c>
      <c r="S13694" t="s">
        <v>43958</v>
      </c>
      <c r="T13694" t="s">
        <v>44401</v>
      </c>
      <c r="U13694" t="s">
        <v>55918</v>
      </c>
      <c r="V13694" t="s">
        <v>57942</v>
      </c>
      <c r="W13694" t="s">
        <v>39183</v>
      </c>
      <c r="X13694" t="s">
        <v>58150</v>
      </c>
    </row>
    <row r="13695" spans="1:24">
      <c r="A13695">
        <f>HYPERLINK("https://www.philgeps.gov.ph/GEPSNONPILOT/Tender/SplashBidNoticeAbstractUI.aspx?menuIndex=3&amp;refID=7144827&amp;Result=3","7144827")</f>
        <v>0</v>
      </c>
      <c r="B13695" t="s">
        <v>1590</v>
      </c>
      <c r="C13695" t="s">
        <v>16644</v>
      </c>
      <c r="D13695" t="s">
        <v>17155</v>
      </c>
      <c r="E13695" t="s">
        <v>28904</v>
      </c>
      <c r="F13695" t="s">
        <v>29372</v>
      </c>
      <c r="G13695" t="s">
        <v>29380</v>
      </c>
      <c r="H13695" t="s">
        <v>11048</v>
      </c>
      <c r="I13695" t="s">
        <v>9469</v>
      </c>
      <c r="J13695" t="s">
        <v>29734</v>
      </c>
      <c r="K13695" t="s">
        <v>38496</v>
      </c>
      <c r="M13695" t="s">
        <v>40441</v>
      </c>
      <c r="N13695" t="s">
        <v>42669</v>
      </c>
      <c r="O13695" t="s">
        <v>42670</v>
      </c>
      <c r="P13695">
        <v>0</v>
      </c>
      <c r="Q13695">
        <v>2</v>
      </c>
      <c r="R13695" t="s">
        <v>42697</v>
      </c>
      <c r="S13695" t="s">
        <v>43906</v>
      </c>
      <c r="T13695" t="s">
        <v>44570</v>
      </c>
      <c r="U13695" t="s">
        <v>55919</v>
      </c>
      <c r="W13695" t="s">
        <v>40441</v>
      </c>
      <c r="X13695" t="s">
        <v>42698</v>
      </c>
    </row>
    <row r="13696" spans="1:24">
      <c r="A13696">
        <f>HYPERLINK("https://www.philgeps.gov.ph/GEPSNONPILOT/Tender/SplashBidNoticeAbstractUI.aspx?menuIndex=3&amp;refID=7135823&amp;Result=3","7135823")</f>
        <v>0</v>
      </c>
      <c r="B13696" t="s">
        <v>419</v>
      </c>
      <c r="C13696" t="s">
        <v>16645</v>
      </c>
      <c r="D13696" t="s">
        <v>17153</v>
      </c>
      <c r="E13696" t="s">
        <v>28905</v>
      </c>
      <c r="F13696" t="s">
        <v>29372</v>
      </c>
      <c r="G13696" t="s">
        <v>29380</v>
      </c>
      <c r="H13696" t="s">
        <v>11048</v>
      </c>
      <c r="I13696" t="s">
        <v>29447</v>
      </c>
      <c r="J13696" t="s">
        <v>30056</v>
      </c>
      <c r="K13696" t="s">
        <v>38488</v>
      </c>
      <c r="M13696" t="s">
        <v>39183</v>
      </c>
      <c r="N13696" t="s">
        <v>42669</v>
      </c>
      <c r="O13696" t="s">
        <v>42670</v>
      </c>
      <c r="Q13696">
        <v>5</v>
      </c>
      <c r="R13696" t="s">
        <v>42699</v>
      </c>
      <c r="S13696" t="s">
        <v>43959</v>
      </c>
      <c r="T13696" t="s">
        <v>44401</v>
      </c>
      <c r="U13696" t="s">
        <v>55920</v>
      </c>
      <c r="V13696" t="s">
        <v>57943</v>
      </c>
      <c r="W13696" t="s">
        <v>39183</v>
      </c>
      <c r="X13696" t="s">
        <v>58150</v>
      </c>
    </row>
    <row r="13697" spans="1:24">
      <c r="A13697">
        <f>HYPERLINK("https://www.philgeps.gov.ph/GEPSNONPILOT/Tender/SplashBidNoticeAbstractUI.aspx?menuIndex=3&amp;refID=7142007&amp;Result=3","7142007")</f>
        <v>0</v>
      </c>
      <c r="B13697" t="s">
        <v>1854</v>
      </c>
      <c r="C13697" t="s">
        <v>16646</v>
      </c>
      <c r="D13697" t="s">
        <v>17141</v>
      </c>
      <c r="E13697" t="s">
        <v>28906</v>
      </c>
      <c r="F13697" t="s">
        <v>29372</v>
      </c>
      <c r="G13697" t="s">
        <v>29380</v>
      </c>
      <c r="H13697" t="s">
        <v>11048</v>
      </c>
      <c r="I13697" t="s">
        <v>29407</v>
      </c>
      <c r="J13697" t="s">
        <v>38164</v>
      </c>
      <c r="K13697" t="s">
        <v>38490</v>
      </c>
      <c r="M13697" t="s">
        <v>42602</v>
      </c>
      <c r="N13697" t="s">
        <v>42669</v>
      </c>
      <c r="O13697" t="s">
        <v>42670</v>
      </c>
      <c r="Q13697">
        <v>68</v>
      </c>
      <c r="R13697" t="s">
        <v>42698</v>
      </c>
      <c r="S13697" t="s">
        <v>43960</v>
      </c>
      <c r="T13697" t="s">
        <v>44412</v>
      </c>
      <c r="U13697" t="s">
        <v>55921</v>
      </c>
      <c r="W13697" t="s">
        <v>42602</v>
      </c>
      <c r="X13697" t="s">
        <v>42699</v>
      </c>
    </row>
    <row r="13698" spans="1:24">
      <c r="A13698">
        <f>HYPERLINK("https://www.philgeps.gov.ph/GEPSNONPILOT/Tender/SplashBidNoticeAbstractUI.aspx?menuIndex=3&amp;refID=7141758&amp;Result=3","7141758")</f>
        <v>0</v>
      </c>
      <c r="B13698" t="s">
        <v>680</v>
      </c>
      <c r="C13698" t="s">
        <v>16647</v>
      </c>
      <c r="D13698" t="s">
        <v>17196</v>
      </c>
      <c r="E13698" t="s">
        <v>28907</v>
      </c>
      <c r="F13698" t="s">
        <v>29372</v>
      </c>
      <c r="G13698" t="s">
        <v>29380</v>
      </c>
      <c r="H13698" t="s">
        <v>29389</v>
      </c>
      <c r="I13698" t="s">
        <v>10408</v>
      </c>
      <c r="J13698" t="s">
        <v>38165</v>
      </c>
      <c r="K13698" t="s">
        <v>38496</v>
      </c>
      <c r="M13698" t="s">
        <v>41303</v>
      </c>
      <c r="N13698" t="s">
        <v>42669</v>
      </c>
      <c r="O13698" t="s">
        <v>42670</v>
      </c>
      <c r="P13698">
        <v>0</v>
      </c>
      <c r="Q13698">
        <v>7</v>
      </c>
      <c r="R13698" t="s">
        <v>42698</v>
      </c>
      <c r="S13698" t="s">
        <v>43932</v>
      </c>
      <c r="T13698" t="s">
        <v>44444</v>
      </c>
      <c r="U13698" t="s">
        <v>55922</v>
      </c>
      <c r="W13698" t="s">
        <v>58059</v>
      </c>
      <c r="X13698" t="s">
        <v>42699</v>
      </c>
    </row>
    <row r="13699" spans="1:24">
      <c r="A13699">
        <f>HYPERLINK("https://www.philgeps.gov.ph/GEPSNONPILOT/Tender/SplashBidNoticeAbstractUI.aspx?menuIndex=3&amp;refID=7141799&amp;Result=3","7141799")</f>
        <v>0</v>
      </c>
      <c r="B13699" t="s">
        <v>680</v>
      </c>
      <c r="C13699" t="s">
        <v>16648</v>
      </c>
      <c r="D13699" t="s">
        <v>17196</v>
      </c>
      <c r="E13699" t="s">
        <v>28908</v>
      </c>
      <c r="F13699" t="s">
        <v>29372</v>
      </c>
      <c r="G13699" t="s">
        <v>29380</v>
      </c>
      <c r="H13699" t="s">
        <v>29389</v>
      </c>
      <c r="I13699" t="s">
        <v>10408</v>
      </c>
      <c r="J13699" t="s">
        <v>38166</v>
      </c>
      <c r="K13699" t="s">
        <v>38564</v>
      </c>
      <c r="M13699" t="s">
        <v>41303</v>
      </c>
      <c r="N13699" t="s">
        <v>42669</v>
      </c>
      <c r="O13699" t="s">
        <v>42670</v>
      </c>
      <c r="P13699">
        <v>0</v>
      </c>
      <c r="Q13699">
        <v>7</v>
      </c>
      <c r="R13699" t="s">
        <v>42698</v>
      </c>
      <c r="S13699" t="s">
        <v>43932</v>
      </c>
      <c r="T13699" t="s">
        <v>44444</v>
      </c>
      <c r="U13699" t="s">
        <v>55923</v>
      </c>
      <c r="W13699" t="s">
        <v>58059</v>
      </c>
      <c r="X13699" t="s">
        <v>42699</v>
      </c>
    </row>
    <row r="13700" spans="1:24">
      <c r="A13700">
        <f>HYPERLINK("https://www.philgeps.gov.ph/GEPSNONPILOT/Tender/SplashBidNoticeAbstractUI.aspx?menuIndex=3&amp;refID=7141742&amp;Result=3","7141742")</f>
        <v>0</v>
      </c>
      <c r="B13700" t="s">
        <v>3477</v>
      </c>
      <c r="C13700" t="s">
        <v>16649</v>
      </c>
      <c r="D13700" t="s">
        <v>17141</v>
      </c>
      <c r="E13700" t="s">
        <v>28909</v>
      </c>
      <c r="F13700" t="s">
        <v>29372</v>
      </c>
      <c r="G13700" t="s">
        <v>29380</v>
      </c>
      <c r="H13700" t="s">
        <v>29391</v>
      </c>
      <c r="I13700" t="s">
        <v>29391</v>
      </c>
      <c r="J13700" t="s">
        <v>29788</v>
      </c>
      <c r="K13700" t="s">
        <v>38586</v>
      </c>
      <c r="M13700" t="s">
        <v>42603</v>
      </c>
      <c r="N13700" t="s">
        <v>42669</v>
      </c>
      <c r="O13700" t="s">
        <v>42670</v>
      </c>
      <c r="Q13700">
        <v>5</v>
      </c>
      <c r="R13700" t="s">
        <v>42698</v>
      </c>
      <c r="S13700" t="s">
        <v>43961</v>
      </c>
      <c r="T13700" t="s">
        <v>44550</v>
      </c>
      <c r="U13700" t="s">
        <v>55924</v>
      </c>
      <c r="W13700" t="s">
        <v>42603</v>
      </c>
      <c r="X13700" t="s">
        <v>42699</v>
      </c>
    </row>
    <row r="13701" spans="1:24">
      <c r="A13701">
        <f>HYPERLINK("https://www.philgeps.gov.ph/GEPSNONPILOT/Tender/SplashBidNoticeAbstractUI.aspx?menuIndex=3&amp;refID=7136097&amp;Result=3","7136097")</f>
        <v>0</v>
      </c>
      <c r="B13701" t="s">
        <v>2639</v>
      </c>
      <c r="C13701" t="s">
        <v>16650</v>
      </c>
      <c r="D13701" t="s">
        <v>17141</v>
      </c>
      <c r="E13701" t="s">
        <v>28910</v>
      </c>
      <c r="F13701" t="s">
        <v>29372</v>
      </c>
      <c r="G13701" t="s">
        <v>29380</v>
      </c>
      <c r="H13701" t="s">
        <v>11048</v>
      </c>
      <c r="I13701" t="s">
        <v>4486</v>
      </c>
      <c r="J13701" t="s">
        <v>32053</v>
      </c>
      <c r="K13701" t="s">
        <v>38485</v>
      </c>
      <c r="M13701" t="s">
        <v>41612</v>
      </c>
      <c r="N13701" t="s">
        <v>42669</v>
      </c>
      <c r="O13701" t="s">
        <v>42670</v>
      </c>
      <c r="Q13701">
        <v>9</v>
      </c>
      <c r="R13701" t="s">
        <v>42699</v>
      </c>
      <c r="S13701" t="s">
        <v>43264</v>
      </c>
      <c r="T13701" t="s">
        <v>44453</v>
      </c>
      <c r="U13701" t="s">
        <v>55925</v>
      </c>
      <c r="W13701" t="s">
        <v>41612</v>
      </c>
      <c r="X13701" t="s">
        <v>42700</v>
      </c>
    </row>
    <row r="13702" spans="1:24">
      <c r="A13702">
        <f>HYPERLINK("https://www.philgeps.gov.ph/GEPSNONPILOT/Tender/SplashBidNoticeAbstractUI.aspx?menuIndex=3&amp;refID=7135844&amp;Result=3","7135844")</f>
        <v>0</v>
      </c>
      <c r="B13702" t="s">
        <v>419</v>
      </c>
      <c r="C13702" t="s">
        <v>16651</v>
      </c>
      <c r="D13702" t="s">
        <v>17153</v>
      </c>
      <c r="E13702" t="s">
        <v>28911</v>
      </c>
      <c r="F13702" t="s">
        <v>29372</v>
      </c>
      <c r="G13702" t="s">
        <v>29380</v>
      </c>
      <c r="H13702" t="s">
        <v>11048</v>
      </c>
      <c r="I13702" t="s">
        <v>3670</v>
      </c>
      <c r="J13702" t="s">
        <v>29619</v>
      </c>
      <c r="K13702" t="s">
        <v>38488</v>
      </c>
      <c r="M13702" t="s">
        <v>39183</v>
      </c>
      <c r="N13702" t="s">
        <v>42669</v>
      </c>
      <c r="O13702" t="s">
        <v>42670</v>
      </c>
      <c r="Q13702">
        <v>5</v>
      </c>
      <c r="R13702" t="s">
        <v>42699</v>
      </c>
      <c r="S13702" t="s">
        <v>43962</v>
      </c>
      <c r="T13702" t="s">
        <v>44401</v>
      </c>
      <c r="U13702" t="s">
        <v>55926</v>
      </c>
      <c r="V13702" t="s">
        <v>57944</v>
      </c>
      <c r="W13702" t="s">
        <v>39183</v>
      </c>
      <c r="X13702" t="s">
        <v>58150</v>
      </c>
    </row>
    <row r="13703" spans="1:24">
      <c r="A13703">
        <f>HYPERLINK("https://www.philgeps.gov.ph/GEPSNONPILOT/Tender/SplashBidNoticeAbstractUI.aspx?menuIndex=3&amp;refID=7141629&amp;Result=3","7141629")</f>
        <v>0</v>
      </c>
      <c r="B13703" t="s">
        <v>3093</v>
      </c>
      <c r="C13703" t="s">
        <v>16652</v>
      </c>
      <c r="D13703" t="s">
        <v>17174</v>
      </c>
      <c r="E13703" t="s">
        <v>28912</v>
      </c>
      <c r="F13703" t="s">
        <v>29372</v>
      </c>
      <c r="G13703" t="s">
        <v>29380</v>
      </c>
      <c r="H13703" t="s">
        <v>11048</v>
      </c>
      <c r="I13703" t="s">
        <v>3839</v>
      </c>
      <c r="J13703" t="s">
        <v>38167</v>
      </c>
      <c r="K13703" t="s">
        <v>38485</v>
      </c>
      <c r="M13703" t="s">
        <v>42130</v>
      </c>
      <c r="N13703" t="s">
        <v>42669</v>
      </c>
      <c r="O13703" t="s">
        <v>42670</v>
      </c>
      <c r="P13703">
        <v>0</v>
      </c>
      <c r="Q13703">
        <v>4</v>
      </c>
      <c r="R13703" t="s">
        <v>42698</v>
      </c>
      <c r="S13703" t="s">
        <v>43932</v>
      </c>
      <c r="T13703" t="s">
        <v>44491</v>
      </c>
      <c r="U13703" t="s">
        <v>55927</v>
      </c>
      <c r="W13703" t="s">
        <v>42130</v>
      </c>
      <c r="X13703" t="s">
        <v>42699</v>
      </c>
    </row>
    <row r="13704" spans="1:24">
      <c r="A13704">
        <f>HYPERLINK("https://www.philgeps.gov.ph/GEPSNONPILOT/Tender/SplashBidNoticeAbstractUI.aspx?menuIndex=3&amp;refID=7141617&amp;Result=3","7141617")</f>
        <v>0</v>
      </c>
      <c r="B13704" t="s">
        <v>3093</v>
      </c>
      <c r="C13704" t="s">
        <v>16653</v>
      </c>
      <c r="D13704" t="s">
        <v>17174</v>
      </c>
      <c r="E13704" t="s">
        <v>28913</v>
      </c>
      <c r="F13704" t="s">
        <v>29372</v>
      </c>
      <c r="G13704" t="s">
        <v>29380</v>
      </c>
      <c r="H13704" t="s">
        <v>11048</v>
      </c>
      <c r="I13704" t="s">
        <v>29426</v>
      </c>
      <c r="J13704" t="s">
        <v>38168</v>
      </c>
      <c r="K13704" t="s">
        <v>38485</v>
      </c>
      <c r="M13704" t="s">
        <v>42130</v>
      </c>
      <c r="N13704" t="s">
        <v>42669</v>
      </c>
      <c r="O13704" t="s">
        <v>42670</v>
      </c>
      <c r="P13704">
        <v>0</v>
      </c>
      <c r="Q13704">
        <v>1</v>
      </c>
      <c r="R13704" t="s">
        <v>42698</v>
      </c>
      <c r="S13704" t="s">
        <v>43932</v>
      </c>
      <c r="T13704" t="s">
        <v>44570</v>
      </c>
      <c r="U13704" t="s">
        <v>55928</v>
      </c>
      <c r="W13704" t="s">
        <v>42130</v>
      </c>
      <c r="X13704" t="s">
        <v>42699</v>
      </c>
    </row>
    <row r="13705" spans="1:24">
      <c r="A13705">
        <f>HYPERLINK("https://www.philgeps.gov.ph/GEPSNONPILOT/Tender/SplashBidNoticeAbstractUI.aspx?menuIndex=3&amp;refID=7143256&amp;Result=3","7143256")</f>
        <v>0</v>
      </c>
      <c r="B13705" t="s">
        <v>654</v>
      </c>
      <c r="C13705" t="s">
        <v>16654</v>
      </c>
      <c r="D13705" t="s">
        <v>17170</v>
      </c>
      <c r="E13705" t="s">
        <v>28914</v>
      </c>
      <c r="F13705" t="s">
        <v>29372</v>
      </c>
      <c r="G13705" t="s">
        <v>29380</v>
      </c>
      <c r="H13705" t="s">
        <v>29389</v>
      </c>
      <c r="I13705" t="s">
        <v>10408</v>
      </c>
      <c r="J13705" t="s">
        <v>38169</v>
      </c>
      <c r="K13705" t="s">
        <v>38533</v>
      </c>
      <c r="M13705" t="s">
        <v>39428</v>
      </c>
      <c r="N13705" t="s">
        <v>42669</v>
      </c>
      <c r="O13705" t="s">
        <v>42670</v>
      </c>
      <c r="P13705">
        <v>0</v>
      </c>
      <c r="Q13705">
        <v>2</v>
      </c>
      <c r="R13705" t="s">
        <v>42697</v>
      </c>
      <c r="S13705" t="s">
        <v>43906</v>
      </c>
      <c r="T13705" t="s">
        <v>44432</v>
      </c>
      <c r="U13705" t="s">
        <v>55929</v>
      </c>
      <c r="V13705" t="s">
        <v>57945</v>
      </c>
      <c r="W13705" t="s">
        <v>39428</v>
      </c>
      <c r="X13705" t="s">
        <v>42698</v>
      </c>
    </row>
    <row r="13706" spans="1:24">
      <c r="A13706">
        <f>HYPERLINK("https://www.philgeps.gov.ph/GEPSNONPILOT/Tender/SplashBidNoticeAbstractUI.aspx?menuIndex=3&amp;refID=7141593&amp;Result=3","7141593")</f>
        <v>0</v>
      </c>
      <c r="B13706" t="s">
        <v>3093</v>
      </c>
      <c r="C13706" t="s">
        <v>16655</v>
      </c>
      <c r="D13706" t="s">
        <v>17174</v>
      </c>
      <c r="E13706" t="s">
        <v>28915</v>
      </c>
      <c r="F13706" t="s">
        <v>29372</v>
      </c>
      <c r="G13706" t="s">
        <v>29380</v>
      </c>
      <c r="H13706" t="s">
        <v>11048</v>
      </c>
      <c r="I13706" t="s">
        <v>3839</v>
      </c>
      <c r="J13706" t="s">
        <v>31960</v>
      </c>
      <c r="K13706" t="s">
        <v>38485</v>
      </c>
      <c r="M13706" t="s">
        <v>42130</v>
      </c>
      <c r="N13706" t="s">
        <v>42669</v>
      </c>
      <c r="O13706" t="s">
        <v>42670</v>
      </c>
      <c r="P13706">
        <v>0</v>
      </c>
      <c r="Q13706">
        <v>1</v>
      </c>
      <c r="R13706" t="s">
        <v>42698</v>
      </c>
      <c r="S13706" t="s">
        <v>43932</v>
      </c>
      <c r="T13706" t="s">
        <v>44493</v>
      </c>
      <c r="U13706" t="s">
        <v>55930</v>
      </c>
      <c r="W13706" t="s">
        <v>42130</v>
      </c>
      <c r="X13706" t="s">
        <v>42699</v>
      </c>
    </row>
    <row r="13707" spans="1:24">
      <c r="A13707">
        <f>HYPERLINK("https://www.philgeps.gov.ph/GEPSNONPILOT/Tender/SplashBidNoticeAbstractUI.aspx?menuIndex=3&amp;refID=7138465&amp;Result=3","7138465")</f>
        <v>0</v>
      </c>
      <c r="B13707" t="s">
        <v>1959</v>
      </c>
      <c r="C13707" t="s">
        <v>16656</v>
      </c>
      <c r="D13707" t="s">
        <v>17174</v>
      </c>
      <c r="E13707" t="s">
        <v>28916</v>
      </c>
      <c r="F13707" t="s">
        <v>29372</v>
      </c>
      <c r="G13707" t="s">
        <v>29380</v>
      </c>
      <c r="H13707" t="s">
        <v>11048</v>
      </c>
      <c r="I13707" t="s">
        <v>29447</v>
      </c>
      <c r="J13707" t="s">
        <v>38170</v>
      </c>
      <c r="K13707" t="s">
        <v>38485</v>
      </c>
      <c r="M13707" t="s">
        <v>40843</v>
      </c>
      <c r="N13707" t="s">
        <v>42669</v>
      </c>
      <c r="O13707" t="s">
        <v>42670</v>
      </c>
      <c r="P13707">
        <v>0</v>
      </c>
      <c r="Q13707">
        <v>3</v>
      </c>
      <c r="R13707" t="s">
        <v>42699</v>
      </c>
      <c r="S13707" t="s">
        <v>43963</v>
      </c>
      <c r="T13707" t="s">
        <v>44778</v>
      </c>
      <c r="U13707" t="s">
        <v>55931</v>
      </c>
      <c r="W13707" t="s">
        <v>40843</v>
      </c>
      <c r="X13707" t="s">
        <v>42700</v>
      </c>
    </row>
    <row r="13708" spans="1:24">
      <c r="A13708">
        <f>HYPERLINK("https://www.philgeps.gov.ph/GEPSNONPILOT/Tender/SplashBidNoticeAbstractUI.aspx?menuIndex=3&amp;refID=7138394&amp;Result=3","7138394")</f>
        <v>0</v>
      </c>
      <c r="B13708" t="s">
        <v>1959</v>
      </c>
      <c r="C13708" t="s">
        <v>16657</v>
      </c>
      <c r="D13708" t="s">
        <v>17174</v>
      </c>
      <c r="E13708" t="s">
        <v>28917</v>
      </c>
      <c r="F13708" t="s">
        <v>29372</v>
      </c>
      <c r="G13708" t="s">
        <v>29380</v>
      </c>
      <c r="H13708" t="s">
        <v>29389</v>
      </c>
      <c r="I13708" t="s">
        <v>29440</v>
      </c>
      <c r="J13708" t="s">
        <v>38171</v>
      </c>
      <c r="K13708" t="s">
        <v>38496</v>
      </c>
      <c r="M13708" t="s">
        <v>40843</v>
      </c>
      <c r="N13708" t="s">
        <v>42669</v>
      </c>
      <c r="O13708" t="s">
        <v>42670</v>
      </c>
      <c r="P13708">
        <v>0</v>
      </c>
      <c r="Q13708">
        <v>4</v>
      </c>
      <c r="R13708" t="s">
        <v>42699</v>
      </c>
      <c r="S13708" t="s">
        <v>43963</v>
      </c>
      <c r="T13708" t="s">
        <v>44666</v>
      </c>
      <c r="U13708" t="s">
        <v>55932</v>
      </c>
      <c r="W13708" t="s">
        <v>40843</v>
      </c>
      <c r="X13708" t="s">
        <v>42700</v>
      </c>
    </row>
    <row r="13709" spans="1:24">
      <c r="A13709">
        <f>HYPERLINK("https://www.philgeps.gov.ph/GEPSNONPILOT/Tender/SplashBidNoticeAbstractUI.aspx?menuIndex=3&amp;refID=7144707&amp;Result=3","7144707")</f>
        <v>0</v>
      </c>
      <c r="B13709" t="s">
        <v>272</v>
      </c>
      <c r="C13709" t="s">
        <v>16658</v>
      </c>
      <c r="D13709" t="s">
        <v>17206</v>
      </c>
      <c r="E13709" t="s">
        <v>28918</v>
      </c>
      <c r="F13709" t="s">
        <v>29372</v>
      </c>
      <c r="G13709" t="s">
        <v>29380</v>
      </c>
      <c r="H13709" t="s">
        <v>11048</v>
      </c>
      <c r="I13709" t="s">
        <v>9469</v>
      </c>
      <c r="J13709" t="s">
        <v>32024</v>
      </c>
      <c r="K13709" t="s">
        <v>38510</v>
      </c>
      <c r="M13709" t="s">
        <v>41448</v>
      </c>
      <c r="N13709" t="s">
        <v>42669</v>
      </c>
      <c r="O13709" t="s">
        <v>42670</v>
      </c>
      <c r="P13709">
        <v>0</v>
      </c>
      <c r="Q13709">
        <v>2</v>
      </c>
      <c r="R13709" t="s">
        <v>42697</v>
      </c>
      <c r="S13709" t="s">
        <v>43906</v>
      </c>
      <c r="T13709" t="s">
        <v>44427</v>
      </c>
      <c r="U13709" t="s">
        <v>55933</v>
      </c>
      <c r="W13709" t="s">
        <v>41448</v>
      </c>
      <c r="X13709" t="s">
        <v>42698</v>
      </c>
    </row>
    <row r="13710" spans="1:24">
      <c r="A13710">
        <f>HYPERLINK("https://www.philgeps.gov.ph/GEPSNONPILOT/Tender/SplashBidNoticeAbstractUI.aspx?menuIndex=3&amp;refID=7142042&amp;Result=3","7142042")</f>
        <v>0</v>
      </c>
      <c r="B13710" t="s">
        <v>1854</v>
      </c>
      <c r="C13710" t="s">
        <v>16659</v>
      </c>
      <c r="D13710" t="s">
        <v>17141</v>
      </c>
      <c r="E13710" t="s">
        <v>28919</v>
      </c>
      <c r="F13710" t="s">
        <v>29372</v>
      </c>
      <c r="G13710" t="s">
        <v>29381</v>
      </c>
      <c r="H13710" t="s">
        <v>11048</v>
      </c>
      <c r="I13710" t="s">
        <v>3695</v>
      </c>
      <c r="J13710" t="s">
        <v>38172</v>
      </c>
      <c r="K13710" t="s">
        <v>38490</v>
      </c>
      <c r="M13710" t="s">
        <v>42602</v>
      </c>
      <c r="N13710" t="s">
        <v>42669</v>
      </c>
      <c r="O13710" t="s">
        <v>42670</v>
      </c>
      <c r="Q13710">
        <v>40</v>
      </c>
      <c r="R13710" t="s">
        <v>42698</v>
      </c>
      <c r="S13710" t="s">
        <v>43964</v>
      </c>
      <c r="T13710" t="s">
        <v>44412</v>
      </c>
      <c r="U13710" t="s">
        <v>55921</v>
      </c>
      <c r="W13710" t="s">
        <v>42602</v>
      </c>
      <c r="X13710" t="s">
        <v>42699</v>
      </c>
    </row>
    <row r="13711" spans="1:24">
      <c r="A13711">
        <f>HYPERLINK("https://www.philgeps.gov.ph/GEPSNONPILOT/Tender/SplashBidNoticeAbstractUI.aspx?menuIndex=3&amp;refID=7141734&amp;Result=3","7141734")</f>
        <v>0</v>
      </c>
      <c r="B13711" t="s">
        <v>1543</v>
      </c>
      <c r="C13711" t="s">
        <v>16660</v>
      </c>
      <c r="E13711" t="s">
        <v>28920</v>
      </c>
      <c r="F13711" t="s">
        <v>29372</v>
      </c>
      <c r="G13711" t="s">
        <v>29380</v>
      </c>
      <c r="H13711" t="s">
        <v>11048</v>
      </c>
      <c r="I13711" t="s">
        <v>8614</v>
      </c>
      <c r="J13711" t="s">
        <v>38173</v>
      </c>
      <c r="K13711" t="s">
        <v>38490</v>
      </c>
      <c r="M13711" t="s">
        <v>40392</v>
      </c>
      <c r="N13711" t="s">
        <v>42669</v>
      </c>
      <c r="O13711" t="s">
        <v>42670</v>
      </c>
      <c r="Q13711">
        <v>13</v>
      </c>
      <c r="R13711" t="s">
        <v>42698</v>
      </c>
      <c r="S13711" t="s">
        <v>43965</v>
      </c>
      <c r="T13711" t="s">
        <v>44401</v>
      </c>
      <c r="U13711" t="s">
        <v>55934</v>
      </c>
      <c r="V13711" t="s">
        <v>57946</v>
      </c>
      <c r="W13711" t="s">
        <v>40392</v>
      </c>
      <c r="X13711" t="s">
        <v>42699</v>
      </c>
    </row>
    <row r="13712" spans="1:24">
      <c r="A13712">
        <f>HYPERLINK("https://www.philgeps.gov.ph/GEPSNONPILOT/Tender/SplashBidNoticeAbstractUI.aspx?menuIndex=3&amp;refID=7137935&amp;Result=3","7137935")</f>
        <v>0</v>
      </c>
      <c r="B13712" t="s">
        <v>1125</v>
      </c>
      <c r="C13712" t="s">
        <v>7519</v>
      </c>
      <c r="D13712" t="s">
        <v>17151</v>
      </c>
      <c r="E13712" t="s">
        <v>28921</v>
      </c>
      <c r="F13712" t="s">
        <v>29372</v>
      </c>
      <c r="G13712" t="s">
        <v>29380</v>
      </c>
      <c r="H13712" t="s">
        <v>11048</v>
      </c>
      <c r="I13712" t="s">
        <v>9469</v>
      </c>
      <c r="J13712" t="s">
        <v>30410</v>
      </c>
      <c r="K13712" t="s">
        <v>38485</v>
      </c>
      <c r="M13712" t="s">
        <v>39935</v>
      </c>
      <c r="N13712" t="s">
        <v>42669</v>
      </c>
      <c r="O13712" t="s">
        <v>42670</v>
      </c>
      <c r="Q13712">
        <v>2</v>
      </c>
      <c r="R13712" t="s">
        <v>42699</v>
      </c>
      <c r="S13712" t="s">
        <v>43966</v>
      </c>
      <c r="T13712" t="s">
        <v>44554</v>
      </c>
      <c r="U13712" t="s">
        <v>50812</v>
      </c>
      <c r="V13712" t="s">
        <v>57947</v>
      </c>
      <c r="W13712" t="s">
        <v>39935</v>
      </c>
      <c r="X13712" t="s">
        <v>42700</v>
      </c>
    </row>
    <row r="13713" spans="1:24">
      <c r="A13713">
        <f>HYPERLINK("https://www.philgeps.gov.ph/GEPSNONPILOT/Tender/SplashBidNoticeAbstractUI.aspx?menuIndex=3&amp;refID=7137791&amp;Result=3","7137791")</f>
        <v>0</v>
      </c>
      <c r="B13713" t="s">
        <v>1125</v>
      </c>
      <c r="C13713" t="s">
        <v>16661</v>
      </c>
      <c r="D13713" t="s">
        <v>17151</v>
      </c>
      <c r="E13713" t="s">
        <v>28922</v>
      </c>
      <c r="F13713" t="s">
        <v>29372</v>
      </c>
      <c r="G13713" t="s">
        <v>29380</v>
      </c>
      <c r="H13713" t="s">
        <v>11048</v>
      </c>
      <c r="I13713" t="s">
        <v>9469</v>
      </c>
      <c r="J13713" t="s">
        <v>38174</v>
      </c>
      <c r="K13713" t="s">
        <v>38485</v>
      </c>
      <c r="M13713" t="s">
        <v>39935</v>
      </c>
      <c r="N13713" t="s">
        <v>42669</v>
      </c>
      <c r="O13713" t="s">
        <v>42670</v>
      </c>
      <c r="Q13713">
        <v>2</v>
      </c>
      <c r="R13713" t="s">
        <v>42699</v>
      </c>
      <c r="S13713" t="s">
        <v>43967</v>
      </c>
      <c r="T13713" t="s">
        <v>44554</v>
      </c>
      <c r="U13713" t="s">
        <v>50812</v>
      </c>
      <c r="V13713" t="s">
        <v>57948</v>
      </c>
      <c r="W13713" t="s">
        <v>39935</v>
      </c>
      <c r="X13713" t="s">
        <v>42700</v>
      </c>
    </row>
    <row r="13714" spans="1:24">
      <c r="A13714">
        <f>HYPERLINK("https://www.philgeps.gov.ph/GEPSNONPILOT/Tender/SplashBidNoticeAbstractUI.aspx?menuIndex=3&amp;refID=7138402&amp;Result=3","7138402")</f>
        <v>0</v>
      </c>
      <c r="B13714" t="s">
        <v>529</v>
      </c>
      <c r="C13714" t="s">
        <v>16662</v>
      </c>
      <c r="D13714" t="s">
        <v>17147</v>
      </c>
      <c r="E13714" t="s">
        <v>28923</v>
      </c>
      <c r="F13714" t="s">
        <v>29372</v>
      </c>
      <c r="G13714" t="s">
        <v>29380</v>
      </c>
      <c r="H13714" t="s">
        <v>29389</v>
      </c>
      <c r="I13714" t="s">
        <v>10408</v>
      </c>
      <c r="J13714" t="s">
        <v>38175</v>
      </c>
      <c r="K13714" t="s">
        <v>38522</v>
      </c>
      <c r="M13714" t="s">
        <v>39296</v>
      </c>
      <c r="N13714" t="s">
        <v>42669</v>
      </c>
      <c r="O13714" t="s">
        <v>42670</v>
      </c>
      <c r="Q13714">
        <v>0</v>
      </c>
      <c r="R13714" t="s">
        <v>42699</v>
      </c>
      <c r="S13714" t="s">
        <v>42982</v>
      </c>
      <c r="T13714" t="s">
        <v>44527</v>
      </c>
      <c r="U13714" t="s">
        <v>55935</v>
      </c>
      <c r="W13714" t="s">
        <v>39296</v>
      </c>
      <c r="X13714" t="s">
        <v>42700</v>
      </c>
    </row>
    <row r="13715" spans="1:24">
      <c r="A13715">
        <f>HYPERLINK("https://www.philgeps.gov.ph/GEPSNONPILOT/Tender/SplashBidNoticeAbstractUI.aspx?menuIndex=3&amp;refID=7138012&amp;Result=3","7138012")</f>
        <v>0</v>
      </c>
      <c r="B13715" t="s">
        <v>956</v>
      </c>
      <c r="C13715" t="s">
        <v>16663</v>
      </c>
      <c r="D13715" t="s">
        <v>17141</v>
      </c>
      <c r="E13715" t="s">
        <v>28924</v>
      </c>
      <c r="F13715" t="s">
        <v>29372</v>
      </c>
      <c r="G13715" t="s">
        <v>29380</v>
      </c>
      <c r="H13715" t="s">
        <v>11048</v>
      </c>
      <c r="I13715" t="s">
        <v>29396</v>
      </c>
      <c r="J13715" t="s">
        <v>38176</v>
      </c>
      <c r="K13715" t="s">
        <v>38495</v>
      </c>
      <c r="M13715" t="s">
        <v>41992</v>
      </c>
      <c r="N13715" t="s">
        <v>42669</v>
      </c>
      <c r="O13715" t="s">
        <v>42670</v>
      </c>
      <c r="Q13715">
        <v>2</v>
      </c>
      <c r="R13715" t="s">
        <v>42699</v>
      </c>
      <c r="S13715" t="s">
        <v>43968</v>
      </c>
      <c r="T13715" t="s">
        <v>44363</v>
      </c>
      <c r="U13715" t="s">
        <v>53173</v>
      </c>
      <c r="W13715" t="s">
        <v>41992</v>
      </c>
      <c r="X13715" t="s">
        <v>42700</v>
      </c>
    </row>
    <row r="13716" spans="1:24">
      <c r="A13716">
        <f>HYPERLINK("https://www.philgeps.gov.ph/GEPSNONPILOT/Tender/SplashBidNoticeAbstractUI.aspx?menuIndex=3&amp;refID=7137533&amp;Result=3","7137533")</f>
        <v>0</v>
      </c>
      <c r="B13716" t="s">
        <v>1125</v>
      </c>
      <c r="C13716" t="s">
        <v>16664</v>
      </c>
      <c r="D13716" t="s">
        <v>17151</v>
      </c>
      <c r="E13716" t="s">
        <v>28925</v>
      </c>
      <c r="F13716" t="s">
        <v>29372</v>
      </c>
      <c r="G13716" t="s">
        <v>29380</v>
      </c>
      <c r="H13716" t="s">
        <v>11048</v>
      </c>
      <c r="I13716" t="s">
        <v>3670</v>
      </c>
      <c r="J13716" t="s">
        <v>38177</v>
      </c>
      <c r="K13716" t="s">
        <v>38491</v>
      </c>
      <c r="M13716" t="s">
        <v>39935</v>
      </c>
      <c r="N13716" t="s">
        <v>42669</v>
      </c>
      <c r="O13716" t="s">
        <v>42670</v>
      </c>
      <c r="Q13716">
        <v>3</v>
      </c>
      <c r="R13716" t="s">
        <v>42699</v>
      </c>
      <c r="S13716" t="s">
        <v>43969</v>
      </c>
      <c r="T13716" t="s">
        <v>44554</v>
      </c>
      <c r="U13716" t="s">
        <v>47278</v>
      </c>
      <c r="V13716" t="s">
        <v>57949</v>
      </c>
      <c r="W13716" t="s">
        <v>39935</v>
      </c>
      <c r="X13716" t="s">
        <v>42700</v>
      </c>
    </row>
    <row r="13717" spans="1:24">
      <c r="A13717">
        <f>HYPERLINK("https://www.philgeps.gov.ph/GEPSNONPILOT/Tender/SplashBidNoticeAbstractUI.aspx?menuIndex=3&amp;refID=7137724&amp;Result=3","7137724")</f>
        <v>0</v>
      </c>
      <c r="B13717" t="s">
        <v>761</v>
      </c>
      <c r="C13717" t="s">
        <v>16665</v>
      </c>
      <c r="D13717" t="s">
        <v>17183</v>
      </c>
      <c r="E13717" t="s">
        <v>28926</v>
      </c>
      <c r="F13717" t="s">
        <v>29372</v>
      </c>
      <c r="G13717" t="s">
        <v>29380</v>
      </c>
      <c r="H13717" t="s">
        <v>11048</v>
      </c>
      <c r="I13717" t="s">
        <v>29433</v>
      </c>
      <c r="J13717" t="s">
        <v>38178</v>
      </c>
      <c r="K13717" t="s">
        <v>38518</v>
      </c>
      <c r="M13717" t="s">
        <v>39544</v>
      </c>
      <c r="N13717" t="s">
        <v>42669</v>
      </c>
      <c r="O13717" t="s">
        <v>42670</v>
      </c>
      <c r="P13717">
        <v>0</v>
      </c>
      <c r="Q13717">
        <v>6</v>
      </c>
      <c r="R13717" t="s">
        <v>42699</v>
      </c>
      <c r="S13717" t="s">
        <v>43963</v>
      </c>
      <c r="T13717" t="s">
        <v>44491</v>
      </c>
      <c r="U13717" t="s">
        <v>55936</v>
      </c>
      <c r="V13717" t="s">
        <v>56460</v>
      </c>
      <c r="W13717" t="s">
        <v>39544</v>
      </c>
      <c r="X13717" t="s">
        <v>42700</v>
      </c>
    </row>
    <row r="13718" spans="1:24">
      <c r="A13718">
        <f>HYPERLINK("https://www.philgeps.gov.ph/GEPSNONPILOT/Tender/SplashBidNoticeAbstractUI.aspx?menuIndex=3&amp;refID=7136879&amp;Result=3","7136879")</f>
        <v>0</v>
      </c>
      <c r="B13718" t="s">
        <v>3478</v>
      </c>
      <c r="C13718" t="s">
        <v>16666</v>
      </c>
      <c r="D13718" t="s">
        <v>17208</v>
      </c>
      <c r="E13718" t="s">
        <v>28927</v>
      </c>
      <c r="F13718" t="s">
        <v>29372</v>
      </c>
      <c r="G13718" t="s">
        <v>29380</v>
      </c>
      <c r="H13718" t="s">
        <v>11048</v>
      </c>
      <c r="I13718" t="s">
        <v>29415</v>
      </c>
      <c r="J13718" t="s">
        <v>38179</v>
      </c>
      <c r="K13718" t="s">
        <v>38496</v>
      </c>
      <c r="M13718" t="s">
        <v>42604</v>
      </c>
      <c r="N13718" t="s">
        <v>42669</v>
      </c>
      <c r="O13718" t="s">
        <v>42670</v>
      </c>
      <c r="Q13718">
        <v>4</v>
      </c>
      <c r="R13718" t="s">
        <v>42699</v>
      </c>
      <c r="S13718" t="s">
        <v>43970</v>
      </c>
      <c r="T13718" t="s">
        <v>44486</v>
      </c>
      <c r="U13718" t="s">
        <v>55937</v>
      </c>
      <c r="W13718" t="s">
        <v>42604</v>
      </c>
      <c r="X13718" t="s">
        <v>42700</v>
      </c>
    </row>
    <row r="13719" spans="1:24">
      <c r="A13719">
        <f>HYPERLINK("https://www.philgeps.gov.ph/GEPSNONPILOT/Tender/SplashBidNoticeAbstractUI.aspx?menuIndex=3&amp;refID=7136931&amp;Result=3","7136931")</f>
        <v>0</v>
      </c>
      <c r="B13719" t="s">
        <v>1025</v>
      </c>
      <c r="C13719" t="s">
        <v>16667</v>
      </c>
      <c r="D13719" t="s">
        <v>17155</v>
      </c>
      <c r="E13719" t="s">
        <v>28928</v>
      </c>
      <c r="F13719" t="s">
        <v>29372</v>
      </c>
      <c r="G13719" t="s">
        <v>29380</v>
      </c>
      <c r="H13719" t="s">
        <v>11048</v>
      </c>
      <c r="I13719" t="s">
        <v>3670</v>
      </c>
      <c r="J13719" t="s">
        <v>30056</v>
      </c>
      <c r="K13719" t="s">
        <v>38485</v>
      </c>
      <c r="M13719" t="s">
        <v>39826</v>
      </c>
      <c r="N13719" t="s">
        <v>42669</v>
      </c>
      <c r="O13719" t="s">
        <v>42670</v>
      </c>
      <c r="P13719">
        <v>0</v>
      </c>
      <c r="Q13719">
        <v>3</v>
      </c>
      <c r="R13719" t="s">
        <v>42699</v>
      </c>
      <c r="S13719" t="s">
        <v>43963</v>
      </c>
      <c r="T13719" t="s">
        <v>44554</v>
      </c>
      <c r="U13719" t="s">
        <v>55938</v>
      </c>
      <c r="W13719" t="s">
        <v>39826</v>
      </c>
      <c r="X13719" t="s">
        <v>42700</v>
      </c>
    </row>
    <row r="13720" spans="1:24">
      <c r="A13720">
        <f>HYPERLINK("https://www.philgeps.gov.ph/GEPSNONPILOT/Tender/SplashBidNoticeAbstractUI.aspx?menuIndex=3&amp;refID=7136854&amp;Result=3","7136854")</f>
        <v>0</v>
      </c>
      <c r="B13720" t="s">
        <v>3479</v>
      </c>
      <c r="C13720" t="s">
        <v>16668</v>
      </c>
      <c r="D13720" t="s">
        <v>17177</v>
      </c>
      <c r="E13720" t="s">
        <v>28929</v>
      </c>
      <c r="F13720" t="s">
        <v>29372</v>
      </c>
      <c r="G13720" t="s">
        <v>29380</v>
      </c>
      <c r="H13720" t="s">
        <v>11048</v>
      </c>
      <c r="I13720" t="s">
        <v>4709</v>
      </c>
      <c r="J13720" t="s">
        <v>38180</v>
      </c>
      <c r="K13720" t="s">
        <v>38510</v>
      </c>
      <c r="M13720" t="s">
        <v>42605</v>
      </c>
      <c r="N13720" t="s">
        <v>42669</v>
      </c>
      <c r="O13720" t="s">
        <v>42670</v>
      </c>
      <c r="P13720">
        <v>0</v>
      </c>
      <c r="Q13720">
        <v>0</v>
      </c>
      <c r="R13720" t="s">
        <v>42699</v>
      </c>
      <c r="S13720" t="s">
        <v>43963</v>
      </c>
      <c r="T13720" t="s">
        <v>44429</v>
      </c>
      <c r="U13720" t="s">
        <v>55939</v>
      </c>
      <c r="W13720" t="s">
        <v>42605</v>
      </c>
      <c r="X13720" t="s">
        <v>42700</v>
      </c>
    </row>
    <row r="13721" spans="1:24">
      <c r="A13721">
        <f>HYPERLINK("https://www.philgeps.gov.ph/GEPSNONPILOT/Tender/SplashBidNoticeAbstractUI.aspx?menuIndex=3&amp;refID=7137573&amp;Result=3","7137573")</f>
        <v>0</v>
      </c>
      <c r="B13721" t="s">
        <v>58</v>
      </c>
      <c r="C13721" t="s">
        <v>16669</v>
      </c>
      <c r="D13721" t="s">
        <v>17144</v>
      </c>
      <c r="E13721" t="s">
        <v>28930</v>
      </c>
      <c r="F13721" t="s">
        <v>29372</v>
      </c>
      <c r="G13721" t="s">
        <v>29384</v>
      </c>
      <c r="H13721" t="s">
        <v>29391</v>
      </c>
      <c r="I13721" t="s">
        <v>29391</v>
      </c>
      <c r="J13721" t="s">
        <v>38181</v>
      </c>
      <c r="K13721" t="s">
        <v>38490</v>
      </c>
      <c r="L13721" t="s">
        <v>58</v>
      </c>
      <c r="M13721" t="s">
        <v>40154</v>
      </c>
      <c r="N13721" t="s">
        <v>42669</v>
      </c>
      <c r="O13721" t="s">
        <v>42670</v>
      </c>
      <c r="Q13721">
        <v>6</v>
      </c>
      <c r="R13721" t="s">
        <v>42699</v>
      </c>
      <c r="S13721" t="s">
        <v>43971</v>
      </c>
      <c r="T13721" t="s">
        <v>44412</v>
      </c>
      <c r="U13721" t="s">
        <v>55940</v>
      </c>
      <c r="W13721" t="s">
        <v>40154</v>
      </c>
      <c r="X13721" t="s">
        <v>42700</v>
      </c>
    </row>
    <row r="13722" spans="1:24">
      <c r="A13722">
        <f>HYPERLINK("https://www.philgeps.gov.ph/GEPSNONPILOT/Tender/SplashBidNoticeAbstractUI.aspx?menuIndex=3&amp;refID=7136837&amp;Result=3","7136837")</f>
        <v>0</v>
      </c>
      <c r="B13722" t="s">
        <v>3478</v>
      </c>
      <c r="C13722" t="s">
        <v>16670</v>
      </c>
      <c r="D13722" t="s">
        <v>17208</v>
      </c>
      <c r="E13722" t="s">
        <v>28931</v>
      </c>
      <c r="F13722" t="s">
        <v>29372</v>
      </c>
      <c r="G13722" t="s">
        <v>29380</v>
      </c>
      <c r="H13722" t="s">
        <v>11048</v>
      </c>
      <c r="I13722" t="s">
        <v>5383</v>
      </c>
      <c r="J13722" t="s">
        <v>38182</v>
      </c>
      <c r="K13722" t="s">
        <v>38496</v>
      </c>
      <c r="M13722" t="s">
        <v>42604</v>
      </c>
      <c r="N13722" t="s">
        <v>42669</v>
      </c>
      <c r="O13722" t="s">
        <v>42670</v>
      </c>
      <c r="Q13722">
        <v>7</v>
      </c>
      <c r="R13722" t="s">
        <v>42699</v>
      </c>
      <c r="S13722" t="s">
        <v>43970</v>
      </c>
      <c r="T13722" t="s">
        <v>44486</v>
      </c>
      <c r="U13722" t="s">
        <v>45549</v>
      </c>
      <c r="W13722" t="s">
        <v>42604</v>
      </c>
      <c r="X13722" t="s">
        <v>42700</v>
      </c>
    </row>
    <row r="13723" spans="1:24">
      <c r="A13723">
        <f>HYPERLINK("https://www.philgeps.gov.ph/GEPSNONPILOT/Tender/SplashBidNoticeAbstractUI.aspx?menuIndex=3&amp;refID=7137339&amp;Result=3","7137339")</f>
        <v>0</v>
      </c>
      <c r="B13723" t="s">
        <v>2497</v>
      </c>
      <c r="C13723" t="s">
        <v>16671</v>
      </c>
      <c r="D13723" t="s">
        <v>17172</v>
      </c>
      <c r="E13723" t="s">
        <v>24056</v>
      </c>
      <c r="F13723" t="s">
        <v>29373</v>
      </c>
      <c r="G13723" t="s">
        <v>29380</v>
      </c>
      <c r="H13723" t="s">
        <v>29389</v>
      </c>
      <c r="I13723" t="s">
        <v>10408</v>
      </c>
      <c r="J13723" t="s">
        <v>31024</v>
      </c>
      <c r="K13723" t="s">
        <v>38664</v>
      </c>
      <c r="L13723" t="s">
        <v>2497</v>
      </c>
      <c r="M13723" t="s">
        <v>41450</v>
      </c>
      <c r="N13723" t="s">
        <v>42669</v>
      </c>
      <c r="O13723" t="s">
        <v>42670</v>
      </c>
      <c r="Q13723">
        <v>0</v>
      </c>
      <c r="R13723" t="s">
        <v>42699</v>
      </c>
      <c r="S13723" t="s">
        <v>43972</v>
      </c>
      <c r="T13723" t="s">
        <v>44363</v>
      </c>
      <c r="U13723" t="s">
        <v>55941</v>
      </c>
      <c r="W13723" t="s">
        <v>41450</v>
      </c>
      <c r="X13723" t="s">
        <v>42700</v>
      </c>
    </row>
    <row r="13724" spans="1:24">
      <c r="A13724">
        <f>HYPERLINK("https://www.philgeps.gov.ph/GEPSNONPILOT/Tender/SplashBidNoticeAbstractUI.aspx?menuIndex=3&amp;refID=7136347&amp;Result=3","7136347")</f>
        <v>0</v>
      </c>
      <c r="B13724" t="s">
        <v>413</v>
      </c>
      <c r="C13724" t="s">
        <v>16672</v>
      </c>
      <c r="D13724" t="s">
        <v>17141</v>
      </c>
      <c r="E13724" t="s">
        <v>28932</v>
      </c>
      <c r="F13724" t="s">
        <v>29372</v>
      </c>
      <c r="G13724" t="s">
        <v>29382</v>
      </c>
      <c r="H13724" t="s">
        <v>11048</v>
      </c>
      <c r="I13724" t="s">
        <v>3670</v>
      </c>
      <c r="J13724" t="s">
        <v>30145</v>
      </c>
      <c r="K13724" t="s">
        <v>38488</v>
      </c>
      <c r="M13724" t="s">
        <v>39708</v>
      </c>
      <c r="N13724" t="s">
        <v>42669</v>
      </c>
      <c r="O13724" t="s">
        <v>42670</v>
      </c>
      <c r="Q13724">
        <v>0</v>
      </c>
      <c r="R13724" t="s">
        <v>42699</v>
      </c>
      <c r="S13724" t="s">
        <v>43973</v>
      </c>
      <c r="T13724" t="s">
        <v>44491</v>
      </c>
      <c r="U13724" t="s">
        <v>46704</v>
      </c>
      <c r="V13724" t="s">
        <v>57941</v>
      </c>
      <c r="W13724" t="s">
        <v>39708</v>
      </c>
      <c r="X13724" t="s">
        <v>42700</v>
      </c>
    </row>
    <row r="13725" spans="1:24">
      <c r="A13725">
        <f>HYPERLINK("https://www.philgeps.gov.ph/GEPSNONPILOT/Tender/SplashBidNoticeAbstractUI.aspx?menuIndex=3&amp;refID=7137612&amp;Result=3","7137612")</f>
        <v>0</v>
      </c>
      <c r="B13725" t="s">
        <v>58</v>
      </c>
      <c r="C13725" t="s">
        <v>16673</v>
      </c>
      <c r="D13725" t="s">
        <v>17189</v>
      </c>
      <c r="E13725" t="s">
        <v>28933</v>
      </c>
      <c r="F13725" t="s">
        <v>29372</v>
      </c>
      <c r="G13725" t="s">
        <v>29384</v>
      </c>
      <c r="H13725" t="s">
        <v>29391</v>
      </c>
      <c r="I13725" t="s">
        <v>29391</v>
      </c>
      <c r="J13725" t="s">
        <v>38183</v>
      </c>
      <c r="K13725" t="s">
        <v>38490</v>
      </c>
      <c r="L13725" t="s">
        <v>58</v>
      </c>
      <c r="M13725" t="s">
        <v>40154</v>
      </c>
      <c r="N13725" t="s">
        <v>42669</v>
      </c>
      <c r="O13725" t="s">
        <v>42670</v>
      </c>
      <c r="Q13725">
        <v>5</v>
      </c>
      <c r="R13725" t="s">
        <v>42699</v>
      </c>
      <c r="S13725" t="s">
        <v>43974</v>
      </c>
      <c r="T13725" t="s">
        <v>44412</v>
      </c>
      <c r="U13725" t="s">
        <v>55942</v>
      </c>
      <c r="W13725" t="s">
        <v>40154</v>
      </c>
      <c r="X13725" t="s">
        <v>42700</v>
      </c>
    </row>
    <row r="13726" spans="1:24">
      <c r="A13726">
        <f>HYPERLINK("https://www.philgeps.gov.ph/GEPSNONPILOT/Tender/SplashBidNoticeAbstractUI.aspx?menuIndex=3&amp;refID=7141571&amp;Result=3","7141571")</f>
        <v>0</v>
      </c>
      <c r="B13726" t="s">
        <v>3093</v>
      </c>
      <c r="C13726" t="s">
        <v>16674</v>
      </c>
      <c r="D13726" t="s">
        <v>17174</v>
      </c>
      <c r="E13726" t="s">
        <v>28934</v>
      </c>
      <c r="F13726" t="s">
        <v>29372</v>
      </c>
      <c r="G13726" t="s">
        <v>29380</v>
      </c>
      <c r="H13726" t="s">
        <v>11048</v>
      </c>
      <c r="I13726" t="s">
        <v>8794</v>
      </c>
      <c r="J13726" t="s">
        <v>38184</v>
      </c>
      <c r="K13726" t="s">
        <v>38485</v>
      </c>
      <c r="M13726" t="s">
        <v>42130</v>
      </c>
      <c r="N13726" t="s">
        <v>42669</v>
      </c>
      <c r="O13726" t="s">
        <v>42670</v>
      </c>
      <c r="P13726">
        <v>0</v>
      </c>
      <c r="Q13726">
        <v>0</v>
      </c>
      <c r="R13726" t="s">
        <v>42698</v>
      </c>
      <c r="S13726" t="s">
        <v>43932</v>
      </c>
      <c r="T13726" t="s">
        <v>44862</v>
      </c>
      <c r="U13726" t="s">
        <v>55943</v>
      </c>
      <c r="W13726" t="s">
        <v>42130</v>
      </c>
      <c r="X13726" t="s">
        <v>42699</v>
      </c>
    </row>
    <row r="13727" spans="1:24">
      <c r="A13727">
        <f>HYPERLINK("https://www.philgeps.gov.ph/GEPSNONPILOT/Tender/SplashBidNoticeAbstractUI.aspx?menuIndex=3&amp;refID=7141541&amp;Result=3","7141541")</f>
        <v>0</v>
      </c>
      <c r="B13727" t="s">
        <v>589</v>
      </c>
      <c r="C13727" t="s">
        <v>16675</v>
      </c>
      <c r="D13727" t="s">
        <v>17168</v>
      </c>
      <c r="E13727" t="s">
        <v>28935</v>
      </c>
      <c r="F13727" t="s">
        <v>29372</v>
      </c>
      <c r="G13727" t="s">
        <v>29380</v>
      </c>
      <c r="H13727" t="s">
        <v>11048</v>
      </c>
      <c r="I13727" t="s">
        <v>29407</v>
      </c>
      <c r="J13727" t="s">
        <v>38185</v>
      </c>
      <c r="K13727" t="s">
        <v>38538</v>
      </c>
      <c r="M13727" t="s">
        <v>39358</v>
      </c>
      <c r="N13727" t="s">
        <v>42669</v>
      </c>
      <c r="O13727" t="s">
        <v>42670</v>
      </c>
      <c r="Q13727">
        <v>6</v>
      </c>
      <c r="R13727" t="s">
        <v>42698</v>
      </c>
      <c r="S13727" t="s">
        <v>43975</v>
      </c>
      <c r="T13727" t="s">
        <v>44457</v>
      </c>
      <c r="U13727" t="s">
        <v>55944</v>
      </c>
      <c r="V13727" t="s">
        <v>56973</v>
      </c>
      <c r="W13727" t="s">
        <v>39358</v>
      </c>
      <c r="X13727" t="s">
        <v>42699</v>
      </c>
    </row>
    <row r="13728" spans="1:24">
      <c r="A13728">
        <f>HYPERLINK("https://www.philgeps.gov.ph/GEPSNONPILOT/Tender/SplashBidNoticeAbstractUI.aspx?menuIndex=3&amp;refID=7141447&amp;Result=3","7141447")</f>
        <v>0</v>
      </c>
      <c r="B13728" t="s">
        <v>231</v>
      </c>
      <c r="C13728" t="s">
        <v>16676</v>
      </c>
      <c r="E13728" t="s">
        <v>28936</v>
      </c>
      <c r="F13728" t="s">
        <v>29372</v>
      </c>
      <c r="G13728" t="s">
        <v>29380</v>
      </c>
      <c r="H13728" t="s">
        <v>11048</v>
      </c>
      <c r="I13728" t="s">
        <v>29440</v>
      </c>
      <c r="J13728" t="s">
        <v>38186</v>
      </c>
      <c r="K13728" t="s">
        <v>38490</v>
      </c>
      <c r="M13728" t="s">
        <v>39927</v>
      </c>
      <c r="N13728" t="s">
        <v>42669</v>
      </c>
      <c r="O13728" t="s">
        <v>42670</v>
      </c>
      <c r="Q13728">
        <v>4</v>
      </c>
      <c r="R13728" t="s">
        <v>42698</v>
      </c>
      <c r="S13728" t="s">
        <v>43976</v>
      </c>
      <c r="T13728" t="s">
        <v>44823</v>
      </c>
      <c r="U13728" t="s">
        <v>55945</v>
      </c>
      <c r="W13728" t="s">
        <v>39927</v>
      </c>
      <c r="X13728" t="s">
        <v>42699</v>
      </c>
    </row>
    <row r="13729" spans="1:24">
      <c r="A13729">
        <f>HYPERLINK("https://www.philgeps.gov.ph/GEPSNONPILOT/Tender/SplashBidNoticeAbstractUI.aspx?menuIndex=3&amp;refID=7141389&amp;Result=3","7141389")</f>
        <v>0</v>
      </c>
      <c r="B13729" t="s">
        <v>231</v>
      </c>
      <c r="C13729" t="s">
        <v>16677</v>
      </c>
      <c r="E13729" t="s">
        <v>28937</v>
      </c>
      <c r="F13729" t="s">
        <v>29372</v>
      </c>
      <c r="G13729" t="s">
        <v>29380</v>
      </c>
      <c r="H13729" t="s">
        <v>11048</v>
      </c>
      <c r="I13729" t="s">
        <v>4486</v>
      </c>
      <c r="J13729" t="s">
        <v>38187</v>
      </c>
      <c r="K13729" t="s">
        <v>38490</v>
      </c>
      <c r="M13729" t="s">
        <v>39927</v>
      </c>
      <c r="N13729" t="s">
        <v>42669</v>
      </c>
      <c r="O13729" t="s">
        <v>42670</v>
      </c>
      <c r="Q13729">
        <v>12</v>
      </c>
      <c r="R13729" t="s">
        <v>42698</v>
      </c>
      <c r="S13729" t="s">
        <v>43977</v>
      </c>
      <c r="T13729" t="s">
        <v>44674</v>
      </c>
      <c r="U13729" t="s">
        <v>55946</v>
      </c>
      <c r="W13729" t="s">
        <v>39927</v>
      </c>
      <c r="X13729" t="s">
        <v>42699</v>
      </c>
    </row>
    <row r="13730" spans="1:24">
      <c r="A13730">
        <f>HYPERLINK("https://www.philgeps.gov.ph/GEPSNONPILOT/Tender/SplashBidNoticeAbstractUI.aspx?menuIndex=3&amp;refID=7136642&amp;Result=3","7136642")</f>
        <v>0</v>
      </c>
      <c r="B13730" t="s">
        <v>3480</v>
      </c>
      <c r="C13730" t="s">
        <v>16678</v>
      </c>
      <c r="D13730" t="s">
        <v>17163</v>
      </c>
      <c r="E13730" t="s">
        <v>19019</v>
      </c>
      <c r="F13730" t="s">
        <v>29373</v>
      </c>
      <c r="G13730" t="s">
        <v>29383</v>
      </c>
      <c r="H13730" t="s">
        <v>11048</v>
      </c>
      <c r="I13730" t="s">
        <v>9469</v>
      </c>
      <c r="J13730" t="s">
        <v>29734</v>
      </c>
      <c r="K13730" t="s">
        <v>38490</v>
      </c>
      <c r="M13730" t="s">
        <v>42606</v>
      </c>
      <c r="N13730" t="s">
        <v>42669</v>
      </c>
      <c r="O13730" t="s">
        <v>42670</v>
      </c>
      <c r="P13730">
        <v>0</v>
      </c>
      <c r="Q13730">
        <v>4</v>
      </c>
      <c r="R13730" t="s">
        <v>42699</v>
      </c>
      <c r="S13730" t="s">
        <v>43963</v>
      </c>
      <c r="T13730" t="s">
        <v>44394</v>
      </c>
      <c r="U13730" t="s">
        <v>55947</v>
      </c>
      <c r="W13730" t="s">
        <v>42606</v>
      </c>
      <c r="X13730" t="s">
        <v>42700</v>
      </c>
    </row>
    <row r="13731" spans="1:24">
      <c r="A13731">
        <f>HYPERLINK("https://www.philgeps.gov.ph/GEPSNONPILOT/Tender/SplashBidNoticeAbstractUI.aspx?menuIndex=3&amp;refID=7143155&amp;Result=3","7143155")</f>
        <v>0</v>
      </c>
      <c r="B13731" t="s">
        <v>2789</v>
      </c>
      <c r="C13731" t="s">
        <v>16679</v>
      </c>
      <c r="D13731" t="s">
        <v>17161</v>
      </c>
      <c r="E13731" t="s">
        <v>28938</v>
      </c>
      <c r="F13731" t="s">
        <v>29372</v>
      </c>
      <c r="G13731" t="s">
        <v>29380</v>
      </c>
      <c r="H13731" t="s">
        <v>11048</v>
      </c>
      <c r="I13731" t="s">
        <v>4709</v>
      </c>
      <c r="J13731" t="s">
        <v>38188</v>
      </c>
      <c r="K13731" t="s">
        <v>38485</v>
      </c>
      <c r="M13731" t="s">
        <v>41776</v>
      </c>
      <c r="N13731" t="s">
        <v>42669</v>
      </c>
      <c r="O13731" t="s">
        <v>42670</v>
      </c>
      <c r="P13731">
        <v>0</v>
      </c>
      <c r="Q13731">
        <v>0</v>
      </c>
      <c r="R13731" t="s">
        <v>42697</v>
      </c>
      <c r="S13731" t="s">
        <v>43906</v>
      </c>
      <c r="T13731" t="s">
        <v>44491</v>
      </c>
      <c r="U13731" t="s">
        <v>55948</v>
      </c>
      <c r="W13731" t="s">
        <v>41776</v>
      </c>
      <c r="X13731" t="s">
        <v>42698</v>
      </c>
    </row>
    <row r="13732" spans="1:24">
      <c r="A13732">
        <f>HYPERLINK("https://www.philgeps.gov.ph/GEPSNONPILOT/Tender/SplashBidNoticeAbstractUI.aspx?menuIndex=3&amp;refID=7147806&amp;Result=3","7147806")</f>
        <v>0</v>
      </c>
      <c r="B13732" t="s">
        <v>1817</v>
      </c>
      <c r="C13732" t="s">
        <v>16680</v>
      </c>
      <c r="D13732" t="s">
        <v>17153</v>
      </c>
      <c r="E13732" t="s">
        <v>28939</v>
      </c>
      <c r="F13732" t="s">
        <v>29372</v>
      </c>
      <c r="G13732" t="s">
        <v>29380</v>
      </c>
      <c r="H13732" t="s">
        <v>11048</v>
      </c>
      <c r="I13732" t="s">
        <v>29425</v>
      </c>
      <c r="J13732" t="s">
        <v>38189</v>
      </c>
      <c r="K13732" t="s">
        <v>38495</v>
      </c>
      <c r="M13732" t="s">
        <v>40688</v>
      </c>
      <c r="N13732" t="s">
        <v>42669</v>
      </c>
      <c r="O13732" t="s">
        <v>42670</v>
      </c>
      <c r="Q13732">
        <v>16</v>
      </c>
      <c r="R13732" t="s">
        <v>42694</v>
      </c>
      <c r="S13732" t="s">
        <v>43978</v>
      </c>
      <c r="T13732" t="s">
        <v>44432</v>
      </c>
      <c r="U13732" t="s">
        <v>51296</v>
      </c>
      <c r="W13732" t="s">
        <v>40688</v>
      </c>
      <c r="X13732" t="s">
        <v>42697</v>
      </c>
    </row>
    <row r="13733" spans="1:24">
      <c r="A13733">
        <f>HYPERLINK("https://www.philgeps.gov.ph/GEPSNONPILOT/Tender/SplashBidNoticeAbstractUI.aspx?menuIndex=3&amp;refID=7141430&amp;Result=3","7141430")</f>
        <v>0</v>
      </c>
      <c r="B13733" t="s">
        <v>231</v>
      </c>
      <c r="C13733" t="s">
        <v>16681</v>
      </c>
      <c r="E13733" t="s">
        <v>28940</v>
      </c>
      <c r="F13733" t="s">
        <v>29372</v>
      </c>
      <c r="G13733" t="s">
        <v>29380</v>
      </c>
      <c r="H13733" t="s">
        <v>11048</v>
      </c>
      <c r="I13733" t="s">
        <v>29458</v>
      </c>
      <c r="J13733" t="s">
        <v>38190</v>
      </c>
      <c r="K13733" t="s">
        <v>38490</v>
      </c>
      <c r="M13733" t="s">
        <v>39927</v>
      </c>
      <c r="N13733" t="s">
        <v>42669</v>
      </c>
      <c r="O13733" t="s">
        <v>42670</v>
      </c>
      <c r="Q13733">
        <v>14</v>
      </c>
      <c r="R13733" t="s">
        <v>42698</v>
      </c>
      <c r="S13733" t="s">
        <v>43979</v>
      </c>
      <c r="T13733" t="s">
        <v>44629</v>
      </c>
      <c r="U13733" t="s">
        <v>55949</v>
      </c>
      <c r="W13733" t="s">
        <v>39927</v>
      </c>
      <c r="X13733" t="s">
        <v>42699</v>
      </c>
    </row>
    <row r="13734" spans="1:24">
      <c r="A13734">
        <f>HYPERLINK("https://www.philgeps.gov.ph/GEPSNONPILOT/Tender/SplashBidNoticeAbstractUI.aspx?menuIndex=3&amp;refID=7143204&amp;Result=3","7143204")</f>
        <v>0</v>
      </c>
      <c r="B13734" t="s">
        <v>654</v>
      </c>
      <c r="C13734" t="s">
        <v>16682</v>
      </c>
      <c r="D13734" t="s">
        <v>17170</v>
      </c>
      <c r="E13734" t="s">
        <v>28941</v>
      </c>
      <c r="F13734" t="s">
        <v>29372</v>
      </c>
      <c r="G13734" t="s">
        <v>29380</v>
      </c>
      <c r="H13734" t="s">
        <v>29389</v>
      </c>
      <c r="I13734" t="s">
        <v>10408</v>
      </c>
      <c r="J13734" t="s">
        <v>38191</v>
      </c>
      <c r="K13734" t="s">
        <v>38522</v>
      </c>
      <c r="M13734" t="s">
        <v>39428</v>
      </c>
      <c r="N13734" t="s">
        <v>42669</v>
      </c>
      <c r="O13734" t="s">
        <v>42670</v>
      </c>
      <c r="P13734">
        <v>0</v>
      </c>
      <c r="Q13734">
        <v>1</v>
      </c>
      <c r="R13734" t="s">
        <v>42697</v>
      </c>
      <c r="S13734" t="s">
        <v>43906</v>
      </c>
      <c r="T13734" t="s">
        <v>44432</v>
      </c>
      <c r="U13734" t="s">
        <v>55950</v>
      </c>
      <c r="V13734" t="s">
        <v>57945</v>
      </c>
      <c r="W13734" t="s">
        <v>39428</v>
      </c>
      <c r="X13734" t="s">
        <v>42698</v>
      </c>
    </row>
    <row r="13735" spans="1:24">
      <c r="A13735">
        <f>HYPERLINK("https://www.philgeps.gov.ph/GEPSNONPILOT/Tender/SplashBidNoticeAbstractUI.aspx?menuIndex=3&amp;refID=7147767&amp;Result=3","7147767")</f>
        <v>0</v>
      </c>
      <c r="B13735" t="s">
        <v>2075</v>
      </c>
      <c r="C13735" t="s">
        <v>16683</v>
      </c>
      <c r="D13735" t="s">
        <v>17204</v>
      </c>
      <c r="E13735" t="s">
        <v>28942</v>
      </c>
      <c r="F13735" t="s">
        <v>29372</v>
      </c>
      <c r="G13735" t="s">
        <v>29380</v>
      </c>
      <c r="H13735" t="s">
        <v>29389</v>
      </c>
      <c r="I13735" t="s">
        <v>10408</v>
      </c>
      <c r="J13735" t="s">
        <v>32642</v>
      </c>
      <c r="K13735" t="s">
        <v>38523</v>
      </c>
      <c r="M13735" t="s">
        <v>40974</v>
      </c>
      <c r="N13735" t="s">
        <v>42669</v>
      </c>
      <c r="O13735" t="s">
        <v>42670</v>
      </c>
      <c r="P13735">
        <v>0</v>
      </c>
      <c r="Q13735">
        <v>3</v>
      </c>
      <c r="R13735" t="s">
        <v>42694</v>
      </c>
      <c r="S13735" t="s">
        <v>43877</v>
      </c>
      <c r="T13735" t="s">
        <v>44401</v>
      </c>
      <c r="U13735" t="s">
        <v>55951</v>
      </c>
      <c r="W13735" t="s">
        <v>40974</v>
      </c>
      <c r="X13735" t="s">
        <v>42697</v>
      </c>
    </row>
    <row r="13736" spans="1:24">
      <c r="A13736">
        <f>HYPERLINK("https://www.philgeps.gov.ph/GEPSNONPILOT/Tender/SplashBidNoticeAbstractUI.aspx?menuIndex=3&amp;refID=7136838&amp;Result=3","7136838")</f>
        <v>0</v>
      </c>
      <c r="B13736" t="s">
        <v>3481</v>
      </c>
      <c r="C13736" t="s">
        <v>16684</v>
      </c>
      <c r="D13736" t="s">
        <v>17168</v>
      </c>
      <c r="E13736" t="s">
        <v>28943</v>
      </c>
      <c r="F13736" t="s">
        <v>29372</v>
      </c>
      <c r="G13736" t="s">
        <v>29380</v>
      </c>
      <c r="H13736" t="s">
        <v>11048</v>
      </c>
      <c r="I13736" t="s">
        <v>4709</v>
      </c>
      <c r="J13736" t="s">
        <v>38192</v>
      </c>
      <c r="K13736" t="s">
        <v>38485</v>
      </c>
      <c r="M13736" t="s">
        <v>42607</v>
      </c>
      <c r="N13736" t="s">
        <v>42669</v>
      </c>
      <c r="O13736" t="s">
        <v>42670</v>
      </c>
      <c r="P13736">
        <v>0</v>
      </c>
      <c r="Q13736">
        <v>2</v>
      </c>
      <c r="R13736" t="s">
        <v>42699</v>
      </c>
      <c r="S13736" t="s">
        <v>43963</v>
      </c>
      <c r="T13736" t="s">
        <v>44417</v>
      </c>
      <c r="U13736" t="s">
        <v>55952</v>
      </c>
      <c r="V13736" t="s">
        <v>57950</v>
      </c>
      <c r="W13736" t="s">
        <v>42607</v>
      </c>
      <c r="X13736" t="s">
        <v>42700</v>
      </c>
    </row>
    <row r="13737" spans="1:24">
      <c r="A13737">
        <f>HYPERLINK("https://www.philgeps.gov.ph/GEPSNONPILOT/Tender/SplashBidNoticeAbstractUI.aspx?menuIndex=3&amp;refID=7147727&amp;Result=3","7147727")</f>
        <v>0</v>
      </c>
      <c r="B13737" t="s">
        <v>2754</v>
      </c>
      <c r="C13737" t="s">
        <v>16685</v>
      </c>
      <c r="D13737" t="s">
        <v>17181</v>
      </c>
      <c r="E13737" t="s">
        <v>28944</v>
      </c>
      <c r="F13737" t="s">
        <v>29372</v>
      </c>
      <c r="G13737" t="s">
        <v>29384</v>
      </c>
      <c r="H13737" t="s">
        <v>29391</v>
      </c>
      <c r="I13737" t="s">
        <v>29396</v>
      </c>
      <c r="J13737" t="s">
        <v>30412</v>
      </c>
      <c r="K13737" t="s">
        <v>38586</v>
      </c>
      <c r="M13737" t="s">
        <v>41739</v>
      </c>
      <c r="N13737" t="s">
        <v>42669</v>
      </c>
      <c r="O13737" t="s">
        <v>42670</v>
      </c>
      <c r="P13737">
        <v>0</v>
      </c>
      <c r="Q13737">
        <v>1</v>
      </c>
      <c r="R13737" t="s">
        <v>42694</v>
      </c>
      <c r="S13737" t="s">
        <v>43877</v>
      </c>
      <c r="T13737" t="s">
        <v>44427</v>
      </c>
      <c r="U13737" t="s">
        <v>55953</v>
      </c>
      <c r="W13737" t="s">
        <v>41739</v>
      </c>
      <c r="X13737" t="s">
        <v>42697</v>
      </c>
    </row>
    <row r="13738" spans="1:24">
      <c r="A13738">
        <f>HYPERLINK("https://www.philgeps.gov.ph/GEPSNONPILOT/Tender/SplashBidNoticeAbstractUI.aspx?menuIndex=3&amp;refID=7147689&amp;Result=3","7147689")</f>
        <v>0</v>
      </c>
      <c r="B13738" t="s">
        <v>2243</v>
      </c>
      <c r="C13738" t="s">
        <v>16686</v>
      </c>
      <c r="D13738" t="s">
        <v>17189</v>
      </c>
      <c r="E13738" t="s">
        <v>28945</v>
      </c>
      <c r="F13738" t="s">
        <v>29372</v>
      </c>
      <c r="G13738" t="s">
        <v>29380</v>
      </c>
      <c r="H13738" t="s">
        <v>29389</v>
      </c>
      <c r="I13738" t="s">
        <v>10408</v>
      </c>
      <c r="J13738" t="s">
        <v>38193</v>
      </c>
      <c r="K13738" t="s">
        <v>38485</v>
      </c>
      <c r="M13738" t="s">
        <v>42573</v>
      </c>
      <c r="N13738" t="s">
        <v>42669</v>
      </c>
      <c r="O13738" t="s">
        <v>42670</v>
      </c>
      <c r="Q13738">
        <v>1</v>
      </c>
      <c r="R13738" t="s">
        <v>42694</v>
      </c>
      <c r="S13738" t="s">
        <v>43980</v>
      </c>
      <c r="T13738" t="s">
        <v>44488</v>
      </c>
      <c r="U13738" t="s">
        <v>55954</v>
      </c>
      <c r="W13738" t="s">
        <v>42573</v>
      </c>
      <c r="X13738" t="s">
        <v>42697</v>
      </c>
    </row>
    <row r="13739" spans="1:24">
      <c r="A13739">
        <f>HYPERLINK("https://www.philgeps.gov.ph/GEPSNONPILOT/Tender/SplashBidNoticeAbstractUI.aspx?menuIndex=3&amp;refID=7147781&amp;Result=3","7147781")</f>
        <v>0</v>
      </c>
      <c r="B13739" t="s">
        <v>2075</v>
      </c>
      <c r="C13739" t="s">
        <v>16687</v>
      </c>
      <c r="D13739" t="s">
        <v>17204</v>
      </c>
      <c r="E13739" t="s">
        <v>28946</v>
      </c>
      <c r="F13739" t="s">
        <v>29372</v>
      </c>
      <c r="G13739" t="s">
        <v>29380</v>
      </c>
      <c r="H13739" t="s">
        <v>11048</v>
      </c>
      <c r="I13739" t="s">
        <v>29523</v>
      </c>
      <c r="J13739" t="s">
        <v>38194</v>
      </c>
      <c r="K13739" t="s">
        <v>38523</v>
      </c>
      <c r="M13739" t="s">
        <v>40974</v>
      </c>
      <c r="N13739" t="s">
        <v>42669</v>
      </c>
      <c r="O13739" t="s">
        <v>42670</v>
      </c>
      <c r="P13739">
        <v>0</v>
      </c>
      <c r="Q13739">
        <v>20</v>
      </c>
      <c r="R13739" t="s">
        <v>42694</v>
      </c>
      <c r="S13739" t="s">
        <v>43877</v>
      </c>
      <c r="T13739" t="s">
        <v>44429</v>
      </c>
      <c r="U13739" t="s">
        <v>55955</v>
      </c>
      <c r="W13739" t="s">
        <v>40974</v>
      </c>
      <c r="X13739" t="s">
        <v>42697</v>
      </c>
    </row>
    <row r="13740" spans="1:24">
      <c r="A13740">
        <f>HYPERLINK("https://www.philgeps.gov.ph/GEPSNONPILOT/Tender/SplashBidNoticeAbstractUI.aspx?menuIndex=3&amp;refID=7147117&amp;Result=3","7147117")</f>
        <v>0</v>
      </c>
      <c r="B13740" t="s">
        <v>1992</v>
      </c>
      <c r="C13740" t="s">
        <v>16688</v>
      </c>
      <c r="D13740" t="s">
        <v>17178</v>
      </c>
      <c r="E13740" t="s">
        <v>28947</v>
      </c>
      <c r="F13740" t="s">
        <v>29372</v>
      </c>
      <c r="G13740" t="s">
        <v>29380</v>
      </c>
      <c r="H13740" t="s">
        <v>11048</v>
      </c>
      <c r="I13740" t="s">
        <v>3695</v>
      </c>
      <c r="J13740" t="s">
        <v>38195</v>
      </c>
      <c r="K13740" t="s">
        <v>38538</v>
      </c>
      <c r="M13740" t="s">
        <v>40882</v>
      </c>
      <c r="N13740" t="s">
        <v>42669</v>
      </c>
      <c r="O13740" t="s">
        <v>42670</v>
      </c>
      <c r="P13740">
        <v>0</v>
      </c>
      <c r="Q13740">
        <v>11</v>
      </c>
      <c r="R13740" t="s">
        <v>42694</v>
      </c>
      <c r="S13740" t="s">
        <v>43877</v>
      </c>
      <c r="T13740" t="s">
        <v>44530</v>
      </c>
      <c r="U13740" t="s">
        <v>55814</v>
      </c>
      <c r="W13740" t="s">
        <v>40882</v>
      </c>
      <c r="X13740" t="s">
        <v>42697</v>
      </c>
    </row>
    <row r="13741" spans="1:24">
      <c r="A13741">
        <f>HYPERLINK("https://www.philgeps.gov.ph/GEPSNONPILOT/Tender/SplashBidNoticeAbstractUI.aspx?menuIndex=3&amp;refID=7147075&amp;Result=3","7147075")</f>
        <v>0</v>
      </c>
      <c r="B13741" t="s">
        <v>2356</v>
      </c>
      <c r="C13741" t="s">
        <v>16689</v>
      </c>
      <c r="D13741" t="s">
        <v>17191</v>
      </c>
      <c r="E13741" t="s">
        <v>28948</v>
      </c>
      <c r="F13741" t="s">
        <v>29372</v>
      </c>
      <c r="G13741" t="s">
        <v>29380</v>
      </c>
      <c r="H13741" t="s">
        <v>29389</v>
      </c>
      <c r="I13741" t="s">
        <v>10408</v>
      </c>
      <c r="J13741" t="s">
        <v>38196</v>
      </c>
      <c r="K13741" t="s">
        <v>38540</v>
      </c>
      <c r="M13741" t="s">
        <v>41291</v>
      </c>
      <c r="N13741" t="s">
        <v>42669</v>
      </c>
      <c r="O13741" t="s">
        <v>42670</v>
      </c>
      <c r="P13741">
        <v>0</v>
      </c>
      <c r="Q13741">
        <v>6</v>
      </c>
      <c r="R13741" t="s">
        <v>42694</v>
      </c>
      <c r="S13741" t="s">
        <v>43877</v>
      </c>
      <c r="T13741" t="s">
        <v>44491</v>
      </c>
      <c r="U13741" t="s">
        <v>55956</v>
      </c>
      <c r="W13741" t="s">
        <v>41291</v>
      </c>
      <c r="X13741" t="s">
        <v>42697</v>
      </c>
    </row>
    <row r="13742" spans="1:24">
      <c r="A13742">
        <f>HYPERLINK("https://www.philgeps.gov.ph/GEPSNONPILOT/Tender/SplashBidNoticeAbstractUI.aspx?menuIndex=3&amp;refID=7148916&amp;Result=3","7148916")</f>
        <v>0</v>
      </c>
      <c r="B13742" t="s">
        <v>898</v>
      </c>
      <c r="C13742" t="s">
        <v>16690</v>
      </c>
      <c r="D13742" t="s">
        <v>17142</v>
      </c>
      <c r="E13742" t="s">
        <v>28754</v>
      </c>
      <c r="F13742" t="s">
        <v>29372</v>
      </c>
      <c r="G13742" t="s">
        <v>29380</v>
      </c>
      <c r="H13742" t="s">
        <v>29389</v>
      </c>
      <c r="I13742" t="s">
        <v>10408</v>
      </c>
      <c r="J13742" t="s">
        <v>38197</v>
      </c>
      <c r="K13742" t="s">
        <v>38490</v>
      </c>
      <c r="M13742" t="s">
        <v>42291</v>
      </c>
      <c r="N13742" t="s">
        <v>42669</v>
      </c>
      <c r="O13742" t="s">
        <v>42670</v>
      </c>
      <c r="Q13742">
        <v>3</v>
      </c>
      <c r="R13742" t="s">
        <v>42693</v>
      </c>
      <c r="S13742" t="s">
        <v>43981</v>
      </c>
      <c r="T13742" t="s">
        <v>44488</v>
      </c>
      <c r="U13742" t="s">
        <v>55957</v>
      </c>
      <c r="W13742" t="s">
        <v>42291</v>
      </c>
      <c r="X13742" t="s">
        <v>42696</v>
      </c>
    </row>
    <row r="13743" spans="1:24">
      <c r="A13743">
        <f>HYPERLINK("https://www.philgeps.gov.ph/GEPSNONPILOT/Tender/SplashBidNoticeAbstractUI.aspx?menuIndex=3&amp;refID=7147114&amp;Result=3","7147114")</f>
        <v>0</v>
      </c>
      <c r="B13743" t="s">
        <v>2017</v>
      </c>
      <c r="C13743" t="s">
        <v>16691</v>
      </c>
      <c r="D13743" t="s">
        <v>17228</v>
      </c>
      <c r="E13743" t="s">
        <v>28949</v>
      </c>
      <c r="F13743" t="s">
        <v>29372</v>
      </c>
      <c r="G13743" t="s">
        <v>29380</v>
      </c>
      <c r="H13743" t="s">
        <v>29391</v>
      </c>
      <c r="I13743" t="s">
        <v>29391</v>
      </c>
      <c r="J13743" t="s">
        <v>38198</v>
      </c>
      <c r="K13743" t="s">
        <v>38622</v>
      </c>
      <c r="M13743" t="s">
        <v>40909</v>
      </c>
      <c r="N13743" t="s">
        <v>42669</v>
      </c>
      <c r="O13743" t="s">
        <v>42670</v>
      </c>
      <c r="P13743">
        <v>0</v>
      </c>
      <c r="Q13743">
        <v>6</v>
      </c>
      <c r="R13743" t="s">
        <v>42694</v>
      </c>
      <c r="S13743" t="s">
        <v>43877</v>
      </c>
      <c r="T13743" t="s">
        <v>44401</v>
      </c>
      <c r="U13743" t="s">
        <v>55958</v>
      </c>
      <c r="W13743" t="s">
        <v>40909</v>
      </c>
      <c r="X13743" t="s">
        <v>42697</v>
      </c>
    </row>
    <row r="13744" spans="1:24">
      <c r="A13744">
        <f>HYPERLINK("https://www.philgeps.gov.ph/GEPSNONPILOT/Tender/SplashBidNoticeAbstractUI.aspx?menuIndex=3&amp;refID=7148913&amp;Result=3","7148913")</f>
        <v>0</v>
      </c>
      <c r="B13744" t="s">
        <v>898</v>
      </c>
      <c r="C13744" t="s">
        <v>16692</v>
      </c>
      <c r="D13744" t="s">
        <v>17142</v>
      </c>
      <c r="E13744" t="s">
        <v>28950</v>
      </c>
      <c r="F13744" t="s">
        <v>29372</v>
      </c>
      <c r="G13744" t="s">
        <v>29380</v>
      </c>
      <c r="H13744" t="s">
        <v>29389</v>
      </c>
      <c r="I13744" t="s">
        <v>10408</v>
      </c>
      <c r="J13744" t="s">
        <v>36417</v>
      </c>
      <c r="K13744" t="s">
        <v>38490</v>
      </c>
      <c r="M13744" t="s">
        <v>42291</v>
      </c>
      <c r="N13744" t="s">
        <v>42669</v>
      </c>
      <c r="O13744" t="s">
        <v>42670</v>
      </c>
      <c r="Q13744">
        <v>0</v>
      </c>
      <c r="R13744" t="s">
        <v>42693</v>
      </c>
      <c r="S13744" t="s">
        <v>43982</v>
      </c>
      <c r="T13744" t="s">
        <v>44488</v>
      </c>
      <c r="U13744" t="s">
        <v>55959</v>
      </c>
      <c r="W13744" t="s">
        <v>42291</v>
      </c>
      <c r="X13744" t="s">
        <v>42696</v>
      </c>
    </row>
    <row r="13745" spans="1:24">
      <c r="A13745">
        <f>HYPERLINK("https://www.philgeps.gov.ph/GEPSNONPILOT/Tender/SplashBidNoticeAbstractUI.aspx?menuIndex=3&amp;refID=7148910&amp;Result=3","7148910")</f>
        <v>0</v>
      </c>
      <c r="B13745" t="s">
        <v>898</v>
      </c>
      <c r="C13745" t="s">
        <v>16693</v>
      </c>
      <c r="D13745" t="s">
        <v>17142</v>
      </c>
      <c r="E13745" t="s">
        <v>28951</v>
      </c>
      <c r="F13745" t="s">
        <v>29372</v>
      </c>
      <c r="G13745" t="s">
        <v>29380</v>
      </c>
      <c r="H13745" t="s">
        <v>29389</v>
      </c>
      <c r="I13745" t="s">
        <v>10408</v>
      </c>
      <c r="J13745" t="s">
        <v>38199</v>
      </c>
      <c r="K13745" t="s">
        <v>38490</v>
      </c>
      <c r="M13745" t="s">
        <v>42291</v>
      </c>
      <c r="N13745" t="s">
        <v>42669</v>
      </c>
      <c r="O13745" t="s">
        <v>42670</v>
      </c>
      <c r="Q13745">
        <v>0</v>
      </c>
      <c r="R13745" t="s">
        <v>42693</v>
      </c>
      <c r="S13745" t="s">
        <v>43983</v>
      </c>
      <c r="T13745" t="s">
        <v>44488</v>
      </c>
      <c r="U13745" t="s">
        <v>55960</v>
      </c>
      <c r="W13745" t="s">
        <v>42291</v>
      </c>
      <c r="X13745" t="s">
        <v>42696</v>
      </c>
    </row>
    <row r="13746" spans="1:24">
      <c r="A13746">
        <f>HYPERLINK("https://www.philgeps.gov.ph/GEPSNONPILOT/Tender/SplashBidNoticeAbstractUI.aspx?menuIndex=3&amp;refID=7147742&amp;Result=3","7147742")</f>
        <v>0</v>
      </c>
      <c r="B13746" t="s">
        <v>1817</v>
      </c>
      <c r="C13746" t="s">
        <v>16694</v>
      </c>
      <c r="D13746" t="s">
        <v>17153</v>
      </c>
      <c r="E13746" t="s">
        <v>28952</v>
      </c>
      <c r="F13746" t="s">
        <v>29372</v>
      </c>
      <c r="G13746" t="s">
        <v>29380</v>
      </c>
      <c r="H13746" t="s">
        <v>11048</v>
      </c>
      <c r="I13746" t="s">
        <v>3597</v>
      </c>
      <c r="J13746" t="s">
        <v>38200</v>
      </c>
      <c r="K13746" t="s">
        <v>38487</v>
      </c>
      <c r="M13746" t="s">
        <v>40688</v>
      </c>
      <c r="N13746" t="s">
        <v>42669</v>
      </c>
      <c r="O13746" t="s">
        <v>42670</v>
      </c>
      <c r="Q13746">
        <v>2</v>
      </c>
      <c r="R13746" t="s">
        <v>42694</v>
      </c>
      <c r="S13746" t="s">
        <v>43984</v>
      </c>
      <c r="T13746" t="s">
        <v>44432</v>
      </c>
      <c r="U13746" t="s">
        <v>51296</v>
      </c>
      <c r="W13746" t="s">
        <v>40688</v>
      </c>
      <c r="X13746" t="s">
        <v>42697</v>
      </c>
    </row>
    <row r="13747" spans="1:24">
      <c r="A13747">
        <f>HYPERLINK("https://www.philgeps.gov.ph/GEPSNONPILOT/Tender/SplashBidNoticeAbstractUI.aspx?menuIndex=3&amp;refID=7148481&amp;Result=3","7148481")</f>
        <v>0</v>
      </c>
      <c r="B13747" t="s">
        <v>173</v>
      </c>
      <c r="C13747" t="s">
        <v>16695</v>
      </c>
      <c r="E13747" t="s">
        <v>28953</v>
      </c>
      <c r="F13747" t="s">
        <v>29372</v>
      </c>
      <c r="G13747" t="s">
        <v>29379</v>
      </c>
      <c r="H13747" t="s">
        <v>11048</v>
      </c>
      <c r="I13747" t="s">
        <v>3839</v>
      </c>
      <c r="J13747" t="s">
        <v>38201</v>
      </c>
      <c r="K13747" t="s">
        <v>38490</v>
      </c>
      <c r="M13747" t="s">
        <v>42608</v>
      </c>
      <c r="N13747" t="s">
        <v>42669</v>
      </c>
      <c r="O13747" t="s">
        <v>42670</v>
      </c>
      <c r="Q13747">
        <v>3</v>
      </c>
      <c r="R13747" t="s">
        <v>42693</v>
      </c>
      <c r="S13747" t="s">
        <v>43985</v>
      </c>
      <c r="T13747" t="s">
        <v>44489</v>
      </c>
      <c r="U13747" t="s">
        <v>55961</v>
      </c>
      <c r="W13747" t="s">
        <v>58003</v>
      </c>
      <c r="X13747" t="s">
        <v>42694</v>
      </c>
    </row>
    <row r="13748" spans="1:24">
      <c r="A13748">
        <f>HYPERLINK("https://www.philgeps.gov.ph/GEPSNONPILOT/Tender/SplashBidNoticeAbstractUI.aspx?menuIndex=3&amp;refID=7136869&amp;Result=3","7136869")</f>
        <v>0</v>
      </c>
      <c r="B13748" t="s">
        <v>119</v>
      </c>
      <c r="C13748" t="s">
        <v>16696</v>
      </c>
      <c r="D13748" t="s">
        <v>17141</v>
      </c>
      <c r="E13748" t="s">
        <v>28954</v>
      </c>
      <c r="F13748" t="s">
        <v>29372</v>
      </c>
      <c r="G13748" t="s">
        <v>29380</v>
      </c>
      <c r="H13748" t="s">
        <v>29391</v>
      </c>
      <c r="I13748" t="s">
        <v>29391</v>
      </c>
      <c r="J13748" t="s">
        <v>38202</v>
      </c>
      <c r="K13748" t="s">
        <v>38629</v>
      </c>
      <c r="M13748" t="s">
        <v>42366</v>
      </c>
      <c r="N13748" t="s">
        <v>42669</v>
      </c>
      <c r="O13748" t="s">
        <v>42670</v>
      </c>
      <c r="Q13748">
        <v>10</v>
      </c>
      <c r="R13748" t="s">
        <v>42699</v>
      </c>
      <c r="S13748" t="s">
        <v>43986</v>
      </c>
      <c r="T13748" t="s">
        <v>44425</v>
      </c>
      <c r="U13748" t="s">
        <v>55962</v>
      </c>
      <c r="W13748" t="s">
        <v>42366</v>
      </c>
      <c r="X13748" t="s">
        <v>42700</v>
      </c>
    </row>
    <row r="13749" spans="1:24">
      <c r="A13749">
        <f>HYPERLINK("https://www.philgeps.gov.ph/GEPSNONPILOT/Tender/SplashBidNoticeAbstractUI.aspx?menuIndex=3&amp;refID=7148903&amp;Result=3","7148903")</f>
        <v>0</v>
      </c>
      <c r="B13749" t="s">
        <v>898</v>
      </c>
      <c r="C13749" t="s">
        <v>16697</v>
      </c>
      <c r="D13749" t="s">
        <v>17142</v>
      </c>
      <c r="E13749" t="s">
        <v>28955</v>
      </c>
      <c r="F13749" t="s">
        <v>29372</v>
      </c>
      <c r="G13749" t="s">
        <v>29380</v>
      </c>
      <c r="H13749" t="s">
        <v>29389</v>
      </c>
      <c r="I13749" t="s">
        <v>10408</v>
      </c>
      <c r="J13749" t="s">
        <v>38203</v>
      </c>
      <c r="K13749" t="s">
        <v>38490</v>
      </c>
      <c r="M13749" t="s">
        <v>42291</v>
      </c>
      <c r="N13749" t="s">
        <v>42669</v>
      </c>
      <c r="O13749" t="s">
        <v>42670</v>
      </c>
      <c r="Q13749">
        <v>3</v>
      </c>
      <c r="R13749" t="s">
        <v>42693</v>
      </c>
      <c r="S13749" t="s">
        <v>43987</v>
      </c>
      <c r="T13749" t="s">
        <v>44488</v>
      </c>
      <c r="U13749" t="s">
        <v>55963</v>
      </c>
      <c r="W13749" t="s">
        <v>42291</v>
      </c>
      <c r="X13749" t="s">
        <v>42696</v>
      </c>
    </row>
    <row r="13750" spans="1:24">
      <c r="A13750">
        <f>HYPERLINK("https://www.philgeps.gov.ph/GEPSNONPILOT/Tender/SplashBidNoticeAbstractUI.aspx?menuIndex=3&amp;refID=7148638&amp;Result=3","7148638")</f>
        <v>0</v>
      </c>
      <c r="B13750" t="s">
        <v>757</v>
      </c>
      <c r="C13750" t="s">
        <v>16698</v>
      </c>
      <c r="D13750" t="s">
        <v>17172</v>
      </c>
      <c r="E13750" t="s">
        <v>28956</v>
      </c>
      <c r="F13750" t="s">
        <v>29372</v>
      </c>
      <c r="G13750" t="s">
        <v>29380</v>
      </c>
      <c r="H13750" t="s">
        <v>29389</v>
      </c>
      <c r="I13750" t="s">
        <v>10408</v>
      </c>
      <c r="J13750" t="s">
        <v>30845</v>
      </c>
      <c r="K13750" t="s">
        <v>38514</v>
      </c>
      <c r="M13750" t="s">
        <v>39540</v>
      </c>
      <c r="N13750" t="s">
        <v>42669</v>
      </c>
      <c r="O13750" t="s">
        <v>42670</v>
      </c>
      <c r="Q13750">
        <v>4</v>
      </c>
      <c r="R13750" t="s">
        <v>42693</v>
      </c>
      <c r="S13750" t="s">
        <v>43988</v>
      </c>
      <c r="T13750" t="s">
        <v>44488</v>
      </c>
      <c r="U13750" t="s">
        <v>55964</v>
      </c>
      <c r="W13750" t="s">
        <v>39540</v>
      </c>
      <c r="X13750" t="s">
        <v>42695</v>
      </c>
    </row>
    <row r="13751" spans="1:24">
      <c r="A13751">
        <f>HYPERLINK("https://www.philgeps.gov.ph/GEPSNONPILOT/Tender/SplashBidNoticeAbstractUI.aspx?menuIndex=3&amp;refID=7142739&amp;Result=3","7142739")</f>
        <v>0</v>
      </c>
      <c r="B13751" t="s">
        <v>712</v>
      </c>
      <c r="C13751" t="s">
        <v>16460</v>
      </c>
      <c r="D13751" t="s">
        <v>17175</v>
      </c>
      <c r="E13751" t="s">
        <v>28957</v>
      </c>
      <c r="F13751" t="s">
        <v>29372</v>
      </c>
      <c r="G13751" t="s">
        <v>29380</v>
      </c>
      <c r="H13751" t="s">
        <v>11048</v>
      </c>
      <c r="I13751" t="s">
        <v>10408</v>
      </c>
      <c r="J13751" t="s">
        <v>38204</v>
      </c>
      <c r="K13751" t="s">
        <v>38522</v>
      </c>
      <c r="M13751" t="s">
        <v>39491</v>
      </c>
      <c r="N13751" t="s">
        <v>42669</v>
      </c>
      <c r="O13751" t="s">
        <v>42670</v>
      </c>
      <c r="P13751">
        <v>0</v>
      </c>
      <c r="Q13751">
        <v>2</v>
      </c>
      <c r="R13751" t="s">
        <v>42693</v>
      </c>
      <c r="S13751" t="s">
        <v>43856</v>
      </c>
      <c r="T13751" t="s">
        <v>44488</v>
      </c>
      <c r="U13751" t="s">
        <v>55965</v>
      </c>
      <c r="V13751" t="s">
        <v>56538</v>
      </c>
      <c r="W13751" t="s">
        <v>39491</v>
      </c>
      <c r="X13751" t="s">
        <v>42698</v>
      </c>
    </row>
    <row r="13752" spans="1:24">
      <c r="A13752">
        <f>HYPERLINK("https://www.philgeps.gov.ph/GEPSNONPILOT/Tender/SplashBidNoticeAbstractUI.aspx?menuIndex=3&amp;refID=7141883&amp;Result=3","7141883")</f>
        <v>0</v>
      </c>
      <c r="B13752" t="s">
        <v>898</v>
      </c>
      <c r="C13752" t="s">
        <v>16699</v>
      </c>
      <c r="D13752" t="s">
        <v>17142</v>
      </c>
      <c r="E13752" t="s">
        <v>28958</v>
      </c>
      <c r="F13752" t="s">
        <v>29372</v>
      </c>
      <c r="G13752" t="s">
        <v>29380</v>
      </c>
      <c r="H13752" t="s">
        <v>11048</v>
      </c>
      <c r="I13752" t="s">
        <v>5383</v>
      </c>
      <c r="J13752" t="s">
        <v>38205</v>
      </c>
      <c r="K13752" t="s">
        <v>38490</v>
      </c>
      <c r="M13752" t="s">
        <v>42465</v>
      </c>
      <c r="N13752" t="s">
        <v>42669</v>
      </c>
      <c r="O13752" t="s">
        <v>42670</v>
      </c>
      <c r="Q13752">
        <v>2</v>
      </c>
      <c r="R13752" t="s">
        <v>42693</v>
      </c>
      <c r="S13752" t="s">
        <v>43989</v>
      </c>
      <c r="T13752" t="s">
        <v>44354</v>
      </c>
      <c r="U13752" t="s">
        <v>55966</v>
      </c>
      <c r="V13752" t="s">
        <v>57116</v>
      </c>
      <c r="W13752" t="s">
        <v>42465</v>
      </c>
      <c r="X13752" t="s">
        <v>42699</v>
      </c>
    </row>
    <row r="13753" spans="1:24">
      <c r="A13753">
        <f>HYPERLINK("https://www.philgeps.gov.ph/GEPSNONPILOT/Tender/SplashBidNoticeAbstractUI.aspx?menuIndex=3&amp;refID=7141855&amp;Result=3","7141855")</f>
        <v>0</v>
      </c>
      <c r="B13753" t="s">
        <v>898</v>
      </c>
      <c r="C13753" t="s">
        <v>16700</v>
      </c>
      <c r="D13753" t="s">
        <v>17142</v>
      </c>
      <c r="E13753" t="s">
        <v>28959</v>
      </c>
      <c r="F13753" t="s">
        <v>29372</v>
      </c>
      <c r="G13753" t="s">
        <v>29380</v>
      </c>
      <c r="H13753" t="s">
        <v>11048</v>
      </c>
      <c r="I13753" t="s">
        <v>9469</v>
      </c>
      <c r="J13753" t="s">
        <v>38206</v>
      </c>
      <c r="K13753" t="s">
        <v>38490</v>
      </c>
      <c r="M13753" t="s">
        <v>42465</v>
      </c>
      <c r="N13753" t="s">
        <v>42669</v>
      </c>
      <c r="O13753" t="s">
        <v>42670</v>
      </c>
      <c r="Q13753">
        <v>2</v>
      </c>
      <c r="R13753" t="s">
        <v>42693</v>
      </c>
      <c r="S13753" t="s">
        <v>43990</v>
      </c>
      <c r="T13753" t="s">
        <v>44354</v>
      </c>
      <c r="U13753" t="s">
        <v>55967</v>
      </c>
      <c r="V13753" t="s">
        <v>57116</v>
      </c>
      <c r="W13753" t="s">
        <v>42465</v>
      </c>
      <c r="X13753" t="s">
        <v>42699</v>
      </c>
    </row>
    <row r="13754" spans="1:24">
      <c r="A13754">
        <f>HYPERLINK("https://www.philgeps.gov.ph/GEPSNONPILOT/Tender/SplashBidNoticeAbstractUI.aspx?menuIndex=3&amp;refID=7138171&amp;Result=3","7138171")</f>
        <v>0</v>
      </c>
      <c r="B13754" t="s">
        <v>1439</v>
      </c>
      <c r="C13754" t="s">
        <v>16701</v>
      </c>
      <c r="D13754" t="s">
        <v>17149</v>
      </c>
      <c r="E13754" t="s">
        <v>28960</v>
      </c>
      <c r="F13754" t="s">
        <v>29372</v>
      </c>
      <c r="G13754" t="s">
        <v>29380</v>
      </c>
      <c r="H13754" t="s">
        <v>11048</v>
      </c>
      <c r="I13754" t="s">
        <v>9469</v>
      </c>
      <c r="J13754" t="s">
        <v>31416</v>
      </c>
      <c r="K13754" t="s">
        <v>38485</v>
      </c>
      <c r="M13754" t="s">
        <v>40280</v>
      </c>
      <c r="N13754" t="s">
        <v>42669</v>
      </c>
      <c r="O13754" t="s">
        <v>42670</v>
      </c>
      <c r="Q13754">
        <v>6</v>
      </c>
      <c r="R13754" t="s">
        <v>42699</v>
      </c>
      <c r="S13754" t="s">
        <v>43991</v>
      </c>
      <c r="T13754" t="s">
        <v>44444</v>
      </c>
      <c r="U13754" t="s">
        <v>55968</v>
      </c>
      <c r="W13754" t="s">
        <v>40280</v>
      </c>
      <c r="X13754" t="s">
        <v>42700</v>
      </c>
    </row>
    <row r="13755" spans="1:24">
      <c r="A13755">
        <f>HYPERLINK("https://www.philgeps.gov.ph/GEPSNONPILOT/Tender/SplashBidNoticeAbstractUI.aspx?menuIndex=3&amp;refID=7152152&amp;Result=3","7152152")</f>
        <v>0</v>
      </c>
      <c r="B13755" t="s">
        <v>2093</v>
      </c>
      <c r="C13755" t="s">
        <v>16702</v>
      </c>
      <c r="D13755" t="s">
        <v>17141</v>
      </c>
      <c r="E13755" t="s">
        <v>18285</v>
      </c>
      <c r="F13755" t="s">
        <v>29372</v>
      </c>
      <c r="G13755" t="s">
        <v>29380</v>
      </c>
      <c r="H13755" t="s">
        <v>29391</v>
      </c>
      <c r="I13755" t="s">
        <v>29391</v>
      </c>
      <c r="J13755" t="s">
        <v>29724</v>
      </c>
      <c r="K13755" t="s">
        <v>38603</v>
      </c>
      <c r="M13755" t="s">
        <v>40995</v>
      </c>
      <c r="N13755" t="s">
        <v>42669</v>
      </c>
      <c r="O13755" t="s">
        <v>42670</v>
      </c>
      <c r="Q13755">
        <v>5</v>
      </c>
      <c r="R13755" t="s">
        <v>42692</v>
      </c>
      <c r="S13755" t="s">
        <v>43992</v>
      </c>
      <c r="T13755" t="s">
        <v>44846</v>
      </c>
      <c r="U13755" t="s">
        <v>55277</v>
      </c>
      <c r="V13755" t="s">
        <v>57035</v>
      </c>
      <c r="W13755" t="s">
        <v>40995</v>
      </c>
      <c r="X13755" t="s">
        <v>42693</v>
      </c>
    </row>
    <row r="13756" spans="1:24">
      <c r="A13756">
        <f>HYPERLINK("https://www.philgeps.gov.ph/GEPSNONPILOT/Tender/SplashBidNoticeAbstractUI.aspx?menuIndex=3&amp;refID=7142666&amp;Result=3","7142666")</f>
        <v>0</v>
      </c>
      <c r="B13756" t="s">
        <v>712</v>
      </c>
      <c r="C13756" t="s">
        <v>16703</v>
      </c>
      <c r="D13756" t="s">
        <v>17175</v>
      </c>
      <c r="E13756" t="s">
        <v>28961</v>
      </c>
      <c r="F13756" t="s">
        <v>29372</v>
      </c>
      <c r="G13756" t="s">
        <v>29380</v>
      </c>
      <c r="H13756" t="s">
        <v>29389</v>
      </c>
      <c r="I13756" t="s">
        <v>10408</v>
      </c>
      <c r="J13756" t="s">
        <v>30161</v>
      </c>
      <c r="K13756" t="s">
        <v>38496</v>
      </c>
      <c r="M13756" t="s">
        <v>39491</v>
      </c>
      <c r="N13756" t="s">
        <v>42669</v>
      </c>
      <c r="O13756" t="s">
        <v>42670</v>
      </c>
      <c r="P13756">
        <v>0</v>
      </c>
      <c r="Q13756">
        <v>1</v>
      </c>
      <c r="R13756" t="s">
        <v>42693</v>
      </c>
      <c r="S13756" t="s">
        <v>43856</v>
      </c>
      <c r="T13756" t="s">
        <v>44488</v>
      </c>
      <c r="U13756" t="s">
        <v>55969</v>
      </c>
      <c r="V13756" t="s">
        <v>57951</v>
      </c>
      <c r="W13756" t="s">
        <v>39491</v>
      </c>
      <c r="X13756" t="s">
        <v>42698</v>
      </c>
    </row>
    <row r="13757" spans="1:24">
      <c r="A13757">
        <f>HYPERLINK("https://www.philgeps.gov.ph/GEPSNONPILOT/Tender/SplashBidNoticeAbstractUI.aspx?menuIndex=3&amp;refID=7152125&amp;Result=3","7152125")</f>
        <v>0</v>
      </c>
      <c r="B13757" t="s">
        <v>118</v>
      </c>
      <c r="C13757" t="s">
        <v>16704</v>
      </c>
      <c r="D13757" t="s">
        <v>17141</v>
      </c>
      <c r="E13757" t="s">
        <v>28962</v>
      </c>
      <c r="F13757" t="s">
        <v>29372</v>
      </c>
      <c r="G13757" t="s">
        <v>29380</v>
      </c>
      <c r="H13757" t="s">
        <v>29389</v>
      </c>
      <c r="I13757" t="s">
        <v>10408</v>
      </c>
      <c r="J13757" t="s">
        <v>38207</v>
      </c>
      <c r="K13757" t="s">
        <v>38487</v>
      </c>
      <c r="M13757" t="s">
        <v>42009</v>
      </c>
      <c r="N13757" t="s">
        <v>42669</v>
      </c>
      <c r="O13757" t="s">
        <v>42670</v>
      </c>
      <c r="P13757">
        <v>0</v>
      </c>
      <c r="Q13757">
        <v>52</v>
      </c>
      <c r="R13757" t="s">
        <v>42692</v>
      </c>
      <c r="S13757" t="s">
        <v>43798</v>
      </c>
      <c r="T13757" t="s">
        <v>44432</v>
      </c>
      <c r="U13757" t="s">
        <v>55970</v>
      </c>
      <c r="W13757" t="s">
        <v>42009</v>
      </c>
      <c r="X13757" t="s">
        <v>42693</v>
      </c>
    </row>
    <row r="13758" spans="1:24">
      <c r="A13758">
        <f>HYPERLINK("https://www.philgeps.gov.ph/GEPSNONPILOT/Tender/SplashBidNoticeAbstractUI.aspx?menuIndex=3&amp;refID=7152142&amp;Result=3","7152142")</f>
        <v>0</v>
      </c>
      <c r="B13758" t="s">
        <v>2093</v>
      </c>
      <c r="C13758" t="s">
        <v>16705</v>
      </c>
      <c r="D13758" t="s">
        <v>17141</v>
      </c>
      <c r="E13758" t="s">
        <v>18038</v>
      </c>
      <c r="F13758" t="s">
        <v>29372</v>
      </c>
      <c r="G13758" t="s">
        <v>29380</v>
      </c>
      <c r="H13758" t="s">
        <v>29391</v>
      </c>
      <c r="I13758" t="s">
        <v>29391</v>
      </c>
      <c r="J13758" t="s">
        <v>35777</v>
      </c>
      <c r="K13758" t="s">
        <v>38586</v>
      </c>
      <c r="M13758" t="s">
        <v>40995</v>
      </c>
      <c r="N13758" t="s">
        <v>42669</v>
      </c>
      <c r="O13758" t="s">
        <v>42670</v>
      </c>
      <c r="Q13758">
        <v>4</v>
      </c>
      <c r="R13758" t="s">
        <v>42692</v>
      </c>
      <c r="S13758" t="s">
        <v>43993</v>
      </c>
      <c r="T13758" t="s">
        <v>44863</v>
      </c>
      <c r="U13758" t="s">
        <v>55971</v>
      </c>
      <c r="V13758" t="s">
        <v>57035</v>
      </c>
      <c r="W13758" t="s">
        <v>40995</v>
      </c>
      <c r="X13758" t="s">
        <v>42693</v>
      </c>
    </row>
    <row r="13759" spans="1:24">
      <c r="A13759">
        <f>HYPERLINK("https://www.philgeps.gov.ph/GEPSNONPILOT/Tender/SplashBidNoticeAbstractUI.aspx?menuIndex=3&amp;refID=7152011&amp;Result=3","7152011")</f>
        <v>0</v>
      </c>
      <c r="B13759" t="s">
        <v>2093</v>
      </c>
      <c r="C13759" t="s">
        <v>16706</v>
      </c>
      <c r="D13759" t="s">
        <v>17141</v>
      </c>
      <c r="E13759" t="s">
        <v>17714</v>
      </c>
      <c r="F13759" t="s">
        <v>29372</v>
      </c>
      <c r="G13759" t="s">
        <v>29380</v>
      </c>
      <c r="H13759" t="s">
        <v>29390</v>
      </c>
      <c r="I13759" t="s">
        <v>29392</v>
      </c>
      <c r="J13759" t="s">
        <v>38208</v>
      </c>
      <c r="K13759" t="s">
        <v>38486</v>
      </c>
      <c r="M13759" t="s">
        <v>40995</v>
      </c>
      <c r="N13759" t="s">
        <v>42669</v>
      </c>
      <c r="O13759" t="s">
        <v>42670</v>
      </c>
      <c r="P13759">
        <v>0</v>
      </c>
      <c r="Q13759">
        <v>4</v>
      </c>
      <c r="R13759" t="s">
        <v>42692</v>
      </c>
      <c r="S13759" t="s">
        <v>43798</v>
      </c>
      <c r="T13759" t="s">
        <v>44414</v>
      </c>
      <c r="U13759" t="s">
        <v>55972</v>
      </c>
      <c r="V13759" t="s">
        <v>56381</v>
      </c>
      <c r="W13759" t="s">
        <v>40995</v>
      </c>
      <c r="X13759" t="s">
        <v>42693</v>
      </c>
    </row>
    <row r="13760" spans="1:24">
      <c r="A13760">
        <f>HYPERLINK("https://www.philgeps.gov.ph/GEPSNONPILOT/Tender/SplashBidNoticeAbstractUI.aspx?menuIndex=3&amp;refID=7141865&amp;Result=3","7141865")</f>
        <v>0</v>
      </c>
      <c r="B13760" t="s">
        <v>898</v>
      </c>
      <c r="C13760" t="s">
        <v>16707</v>
      </c>
      <c r="D13760" t="s">
        <v>17142</v>
      </c>
      <c r="E13760" t="s">
        <v>28963</v>
      </c>
      <c r="F13760" t="s">
        <v>29372</v>
      </c>
      <c r="G13760" t="s">
        <v>29380</v>
      </c>
      <c r="H13760" t="s">
        <v>11048</v>
      </c>
      <c r="I13760" t="s">
        <v>29432</v>
      </c>
      <c r="J13760" t="s">
        <v>38209</v>
      </c>
      <c r="K13760" t="s">
        <v>38490</v>
      </c>
      <c r="M13760" t="s">
        <v>42465</v>
      </c>
      <c r="N13760" t="s">
        <v>42669</v>
      </c>
      <c r="O13760" t="s">
        <v>42670</v>
      </c>
      <c r="Q13760">
        <v>2</v>
      </c>
      <c r="R13760" t="s">
        <v>42693</v>
      </c>
      <c r="S13760" t="s">
        <v>43994</v>
      </c>
      <c r="T13760" t="s">
        <v>44354</v>
      </c>
      <c r="U13760" t="s">
        <v>55973</v>
      </c>
      <c r="V13760" t="s">
        <v>57116</v>
      </c>
      <c r="W13760" t="s">
        <v>42465</v>
      </c>
      <c r="X13760" t="s">
        <v>42699</v>
      </c>
    </row>
    <row r="13761" spans="1:24">
      <c r="A13761">
        <f>HYPERLINK("https://www.philgeps.gov.ph/GEPSNONPILOT/Tender/SplashBidNoticeAbstractUI.aspx?menuIndex=3&amp;refID=7152004&amp;Result=3","7152004")</f>
        <v>0</v>
      </c>
      <c r="B13761" t="s">
        <v>544</v>
      </c>
      <c r="C13761" t="s">
        <v>16708</v>
      </c>
      <c r="D13761" t="s">
        <v>17184</v>
      </c>
      <c r="E13761" t="s">
        <v>28964</v>
      </c>
      <c r="F13761" t="s">
        <v>29372</v>
      </c>
      <c r="G13761" t="s">
        <v>29380</v>
      </c>
      <c r="H13761" t="s">
        <v>11048</v>
      </c>
      <c r="I13761" t="s">
        <v>14920</v>
      </c>
      <c r="J13761" t="s">
        <v>38210</v>
      </c>
      <c r="K13761" t="s">
        <v>38490</v>
      </c>
      <c r="M13761" t="s">
        <v>42554</v>
      </c>
      <c r="N13761" t="s">
        <v>42669</v>
      </c>
      <c r="O13761" t="s">
        <v>42670</v>
      </c>
      <c r="Q13761">
        <v>5</v>
      </c>
      <c r="R13761" t="s">
        <v>42692</v>
      </c>
      <c r="S13761" t="s">
        <v>43995</v>
      </c>
      <c r="T13761" t="s">
        <v>44427</v>
      </c>
      <c r="U13761" t="s">
        <v>55974</v>
      </c>
      <c r="W13761" t="s">
        <v>42554</v>
      </c>
      <c r="X13761" t="s">
        <v>42693</v>
      </c>
    </row>
    <row r="13762" spans="1:24">
      <c r="A13762">
        <f>HYPERLINK("https://www.philgeps.gov.ph/GEPSNONPILOT/Tender/SplashBidNoticeAbstractUI.aspx?menuIndex=3&amp;refID=7152157&amp;Result=3","7152157")</f>
        <v>0</v>
      </c>
      <c r="B13762" t="s">
        <v>40</v>
      </c>
      <c r="C13762" t="s">
        <v>16709</v>
      </c>
      <c r="D13762" t="s">
        <v>17151</v>
      </c>
      <c r="E13762" t="s">
        <v>28965</v>
      </c>
      <c r="F13762" t="s">
        <v>29372</v>
      </c>
      <c r="G13762" t="s">
        <v>29380</v>
      </c>
      <c r="H13762" t="s">
        <v>11048</v>
      </c>
      <c r="I13762" t="s">
        <v>29404</v>
      </c>
      <c r="J13762" t="s">
        <v>38211</v>
      </c>
      <c r="K13762" t="s">
        <v>38496</v>
      </c>
      <c r="M13762" t="s">
        <v>38793</v>
      </c>
      <c r="N13762" t="s">
        <v>42669</v>
      </c>
      <c r="O13762" t="s">
        <v>42670</v>
      </c>
      <c r="Q13762">
        <v>0</v>
      </c>
      <c r="R13762" t="s">
        <v>42692</v>
      </c>
      <c r="S13762" t="s">
        <v>43996</v>
      </c>
      <c r="T13762" t="s">
        <v>44631</v>
      </c>
      <c r="U13762" t="s">
        <v>55975</v>
      </c>
      <c r="V13762" t="s">
        <v>56517</v>
      </c>
      <c r="W13762" t="s">
        <v>38793</v>
      </c>
      <c r="X13762" t="s">
        <v>42693</v>
      </c>
    </row>
    <row r="13763" spans="1:24">
      <c r="A13763">
        <f>HYPERLINK("https://www.philgeps.gov.ph/GEPSNONPILOT/Tender/SplashBidNoticeAbstractUI.aspx?menuIndex=3&amp;refID=7151973&amp;Result=3","7151973")</f>
        <v>0</v>
      </c>
      <c r="B13763" t="s">
        <v>3459</v>
      </c>
      <c r="C13763" t="s">
        <v>16710</v>
      </c>
      <c r="D13763" t="s">
        <v>17141</v>
      </c>
      <c r="E13763" t="s">
        <v>23927</v>
      </c>
      <c r="F13763" t="s">
        <v>29372</v>
      </c>
      <c r="G13763" t="s">
        <v>29380</v>
      </c>
      <c r="H13763" t="s">
        <v>11048</v>
      </c>
      <c r="I13763" t="s">
        <v>3670</v>
      </c>
      <c r="J13763" t="s">
        <v>30056</v>
      </c>
      <c r="K13763" t="s">
        <v>38528</v>
      </c>
      <c r="M13763" t="s">
        <v>42577</v>
      </c>
      <c r="N13763" t="s">
        <v>42669</v>
      </c>
      <c r="O13763" t="s">
        <v>42670</v>
      </c>
      <c r="P13763">
        <v>0</v>
      </c>
      <c r="Q13763">
        <v>0</v>
      </c>
      <c r="R13763" t="s">
        <v>42692</v>
      </c>
      <c r="S13763" t="s">
        <v>43798</v>
      </c>
      <c r="T13763" t="s">
        <v>44432</v>
      </c>
      <c r="U13763" t="s">
        <v>55719</v>
      </c>
      <c r="W13763" t="s">
        <v>42577</v>
      </c>
      <c r="X13763" t="s">
        <v>42693</v>
      </c>
    </row>
    <row r="13764" spans="1:24">
      <c r="A13764">
        <f>HYPERLINK("https://www.philgeps.gov.ph/GEPSNONPILOT/Tender/SplashBidNoticeAbstractUI.aspx?menuIndex=3&amp;refID=7151969&amp;Result=3","7151969")</f>
        <v>0</v>
      </c>
      <c r="B13764" t="s">
        <v>3459</v>
      </c>
      <c r="C13764" t="s">
        <v>16711</v>
      </c>
      <c r="D13764" t="s">
        <v>17141</v>
      </c>
      <c r="E13764" t="s">
        <v>22671</v>
      </c>
      <c r="F13764" t="s">
        <v>29372</v>
      </c>
      <c r="G13764" t="s">
        <v>29380</v>
      </c>
      <c r="H13764" t="s">
        <v>11048</v>
      </c>
      <c r="I13764" t="s">
        <v>3670</v>
      </c>
      <c r="J13764" t="s">
        <v>29543</v>
      </c>
      <c r="K13764" t="s">
        <v>38528</v>
      </c>
      <c r="M13764" t="s">
        <v>42577</v>
      </c>
      <c r="N13764" t="s">
        <v>42669</v>
      </c>
      <c r="O13764" t="s">
        <v>42670</v>
      </c>
      <c r="P13764">
        <v>0</v>
      </c>
      <c r="Q13764">
        <v>1</v>
      </c>
      <c r="R13764" t="s">
        <v>42692</v>
      </c>
      <c r="S13764" t="s">
        <v>43798</v>
      </c>
      <c r="T13764" t="s">
        <v>44432</v>
      </c>
      <c r="U13764" t="s">
        <v>55719</v>
      </c>
      <c r="W13764" t="s">
        <v>42577</v>
      </c>
      <c r="X13764" t="s">
        <v>42693</v>
      </c>
    </row>
    <row r="13765" spans="1:24">
      <c r="A13765">
        <f>HYPERLINK("https://www.philgeps.gov.ph/GEPSNONPILOT/Tender/SplashBidNoticeAbstractUI.aspx?menuIndex=3&amp;refID=7148637&amp;Result=3","7148637")</f>
        <v>0</v>
      </c>
      <c r="B13765" t="s">
        <v>757</v>
      </c>
      <c r="C13765" t="s">
        <v>16712</v>
      </c>
      <c r="D13765" t="s">
        <v>17172</v>
      </c>
      <c r="E13765" t="s">
        <v>28966</v>
      </c>
      <c r="F13765" t="s">
        <v>29372</v>
      </c>
      <c r="G13765" t="s">
        <v>29380</v>
      </c>
      <c r="H13765" t="s">
        <v>29389</v>
      </c>
      <c r="I13765" t="s">
        <v>10408</v>
      </c>
      <c r="J13765" t="s">
        <v>32123</v>
      </c>
      <c r="K13765" t="s">
        <v>38622</v>
      </c>
      <c r="M13765" t="s">
        <v>39540</v>
      </c>
      <c r="N13765" t="s">
        <v>42669</v>
      </c>
      <c r="O13765" t="s">
        <v>42670</v>
      </c>
      <c r="Q13765">
        <v>4</v>
      </c>
      <c r="R13765" t="s">
        <v>42693</v>
      </c>
      <c r="S13765" t="s">
        <v>43997</v>
      </c>
      <c r="T13765" t="s">
        <v>44488</v>
      </c>
      <c r="U13765" t="s">
        <v>55964</v>
      </c>
      <c r="W13765" t="s">
        <v>39540</v>
      </c>
      <c r="X13765" t="s">
        <v>42695</v>
      </c>
    </row>
    <row r="13766" spans="1:24">
      <c r="A13766">
        <f>HYPERLINK("https://www.philgeps.gov.ph/GEPSNONPILOT/Tender/SplashBidNoticeAbstractUI.aspx?menuIndex=3&amp;refID=7144765&amp;Result=3","7144765")</f>
        <v>0</v>
      </c>
      <c r="B13766" t="s">
        <v>52</v>
      </c>
      <c r="C13766" t="s">
        <v>16713</v>
      </c>
      <c r="D13766" t="s">
        <v>17192</v>
      </c>
      <c r="E13766" t="s">
        <v>28967</v>
      </c>
      <c r="F13766" t="s">
        <v>29372</v>
      </c>
      <c r="G13766" t="s">
        <v>29379</v>
      </c>
      <c r="H13766" t="s">
        <v>11048</v>
      </c>
      <c r="I13766" t="s">
        <v>3670</v>
      </c>
      <c r="J13766" t="s">
        <v>32553</v>
      </c>
      <c r="K13766" t="s">
        <v>38530</v>
      </c>
      <c r="L13766" t="s">
        <v>52</v>
      </c>
      <c r="M13766" t="s">
        <v>38921</v>
      </c>
      <c r="N13766" t="s">
        <v>42669</v>
      </c>
      <c r="O13766" t="s">
        <v>42670</v>
      </c>
      <c r="Q13766">
        <v>4</v>
      </c>
      <c r="R13766" t="s">
        <v>42697</v>
      </c>
      <c r="S13766" t="s">
        <v>43998</v>
      </c>
      <c r="T13766" t="s">
        <v>44489</v>
      </c>
      <c r="U13766" t="s">
        <v>45160</v>
      </c>
      <c r="W13766" t="s">
        <v>38921</v>
      </c>
      <c r="X13766" t="s">
        <v>42698</v>
      </c>
    </row>
    <row r="13767" spans="1:24">
      <c r="A13767">
        <f>HYPERLINK("https://www.philgeps.gov.ph/GEPSNONPILOT/Tender/SplashBidNoticeAbstractUI.aspx?menuIndex=3&amp;refID=7151922&amp;Result=3","7151922")</f>
        <v>0</v>
      </c>
      <c r="B13767" t="s">
        <v>3459</v>
      </c>
      <c r="C13767" t="s">
        <v>16714</v>
      </c>
      <c r="D13767" t="s">
        <v>17141</v>
      </c>
      <c r="E13767" t="s">
        <v>21474</v>
      </c>
      <c r="F13767" t="s">
        <v>29372</v>
      </c>
      <c r="G13767" t="s">
        <v>29380</v>
      </c>
      <c r="H13767" t="s">
        <v>11048</v>
      </c>
      <c r="I13767" t="s">
        <v>3670</v>
      </c>
      <c r="J13767" t="s">
        <v>30334</v>
      </c>
      <c r="K13767" t="s">
        <v>38528</v>
      </c>
      <c r="M13767" t="s">
        <v>42577</v>
      </c>
      <c r="N13767" t="s">
        <v>42669</v>
      </c>
      <c r="O13767" t="s">
        <v>42670</v>
      </c>
      <c r="P13767">
        <v>0</v>
      </c>
      <c r="Q13767">
        <v>1</v>
      </c>
      <c r="R13767" t="s">
        <v>42692</v>
      </c>
      <c r="S13767" t="s">
        <v>43798</v>
      </c>
      <c r="T13767" t="s">
        <v>44432</v>
      </c>
      <c r="U13767" t="s">
        <v>55719</v>
      </c>
      <c r="W13767" t="s">
        <v>42577</v>
      </c>
      <c r="X13767" t="s">
        <v>42693</v>
      </c>
    </row>
    <row r="13768" spans="1:24">
      <c r="A13768">
        <f>HYPERLINK("https://www.philgeps.gov.ph/GEPSNONPILOT/Tender/SplashBidNoticeAbstractUI.aspx?menuIndex=3&amp;refID=7151917&amp;Result=3","7151917")</f>
        <v>0</v>
      </c>
      <c r="B13768" t="s">
        <v>3459</v>
      </c>
      <c r="C13768" t="s">
        <v>16715</v>
      </c>
      <c r="D13768" t="s">
        <v>17141</v>
      </c>
      <c r="E13768" t="s">
        <v>21447</v>
      </c>
      <c r="F13768" t="s">
        <v>29372</v>
      </c>
      <c r="G13768" t="s">
        <v>29380</v>
      </c>
      <c r="H13768" t="s">
        <v>11048</v>
      </c>
      <c r="I13768" t="s">
        <v>3670</v>
      </c>
      <c r="J13768" t="s">
        <v>29590</v>
      </c>
      <c r="K13768" t="s">
        <v>38528</v>
      </c>
      <c r="M13768" t="s">
        <v>42577</v>
      </c>
      <c r="N13768" t="s">
        <v>42669</v>
      </c>
      <c r="O13768" t="s">
        <v>42670</v>
      </c>
      <c r="P13768">
        <v>0</v>
      </c>
      <c r="Q13768">
        <v>0</v>
      </c>
      <c r="R13768" t="s">
        <v>42692</v>
      </c>
      <c r="S13768" t="s">
        <v>43798</v>
      </c>
      <c r="T13768" t="s">
        <v>44432</v>
      </c>
      <c r="U13768" t="s">
        <v>55719</v>
      </c>
      <c r="W13768" t="s">
        <v>42577</v>
      </c>
      <c r="X13768" t="s">
        <v>42693</v>
      </c>
    </row>
    <row r="13769" spans="1:24">
      <c r="A13769">
        <f>HYPERLINK("https://www.philgeps.gov.ph/GEPSNONPILOT/Tender/SplashBidNoticeAbstractUI.aspx?menuIndex=3&amp;refID=7151574&amp;Result=3","7151574")</f>
        <v>0</v>
      </c>
      <c r="B13769" t="s">
        <v>1022</v>
      </c>
      <c r="C13769" t="s">
        <v>16716</v>
      </c>
      <c r="D13769" t="s">
        <v>17141</v>
      </c>
      <c r="E13769" t="s">
        <v>28968</v>
      </c>
      <c r="F13769" t="s">
        <v>29372</v>
      </c>
      <c r="G13769" t="s">
        <v>29380</v>
      </c>
      <c r="H13769" t="s">
        <v>11048</v>
      </c>
      <c r="I13769" t="s">
        <v>3670</v>
      </c>
      <c r="J13769" t="s">
        <v>35568</v>
      </c>
      <c r="K13769" t="s">
        <v>38488</v>
      </c>
      <c r="M13769" t="s">
        <v>39842</v>
      </c>
      <c r="N13769" t="s">
        <v>42669</v>
      </c>
      <c r="O13769" t="s">
        <v>42670</v>
      </c>
      <c r="P13769">
        <v>0</v>
      </c>
      <c r="Q13769">
        <v>0</v>
      </c>
      <c r="R13769" t="s">
        <v>42692</v>
      </c>
      <c r="S13769" t="s">
        <v>43798</v>
      </c>
      <c r="T13769" t="s">
        <v>44432</v>
      </c>
      <c r="U13769" t="s">
        <v>47035</v>
      </c>
      <c r="W13769" t="s">
        <v>39842</v>
      </c>
      <c r="X13769" t="s">
        <v>42693</v>
      </c>
    </row>
    <row r="13770" spans="1:24">
      <c r="A13770">
        <f>HYPERLINK("https://www.philgeps.gov.ph/GEPSNONPILOT/Tender/SplashBidNoticeAbstractUI.aspx?menuIndex=3&amp;refID=7138662&amp;Result=3","7138662")</f>
        <v>0</v>
      </c>
      <c r="B13770" t="s">
        <v>2959</v>
      </c>
      <c r="C13770" t="s">
        <v>16717</v>
      </c>
      <c r="D13770" t="s">
        <v>17163</v>
      </c>
      <c r="E13770" t="s">
        <v>28969</v>
      </c>
      <c r="F13770" t="s">
        <v>29372</v>
      </c>
      <c r="G13770" t="s">
        <v>29380</v>
      </c>
      <c r="H13770" t="s">
        <v>29389</v>
      </c>
      <c r="I13770" t="s">
        <v>10408</v>
      </c>
      <c r="J13770" t="s">
        <v>38212</v>
      </c>
      <c r="K13770" t="s">
        <v>38495</v>
      </c>
      <c r="M13770" t="s">
        <v>41968</v>
      </c>
      <c r="N13770" t="s">
        <v>42669</v>
      </c>
      <c r="O13770" t="s">
        <v>42670</v>
      </c>
      <c r="Q13770">
        <v>29</v>
      </c>
      <c r="R13770" t="s">
        <v>42699</v>
      </c>
      <c r="S13770" t="s">
        <v>43999</v>
      </c>
      <c r="T13770" t="s">
        <v>44488</v>
      </c>
      <c r="U13770" t="s">
        <v>55976</v>
      </c>
      <c r="W13770" t="s">
        <v>58104</v>
      </c>
      <c r="X13770" t="s">
        <v>42700</v>
      </c>
    </row>
    <row r="13771" spans="1:24">
      <c r="A13771">
        <f>HYPERLINK("https://www.philgeps.gov.ph/GEPSNONPILOT/Tender/SplashBidNoticeAbstractUI.aspx?menuIndex=3&amp;refID=7138607&amp;Result=3","7138607")</f>
        <v>0</v>
      </c>
      <c r="B13771" t="s">
        <v>547</v>
      </c>
      <c r="C13771" t="s">
        <v>16718</v>
      </c>
      <c r="D13771" t="s">
        <v>17170</v>
      </c>
      <c r="E13771" t="s">
        <v>28970</v>
      </c>
      <c r="F13771" t="s">
        <v>29372</v>
      </c>
      <c r="G13771" t="s">
        <v>29379</v>
      </c>
      <c r="H13771" t="s">
        <v>11048</v>
      </c>
      <c r="I13771" t="s">
        <v>29428</v>
      </c>
      <c r="J13771" t="s">
        <v>38213</v>
      </c>
      <c r="K13771" t="s">
        <v>38485</v>
      </c>
      <c r="M13771" t="s">
        <v>39316</v>
      </c>
      <c r="N13771" t="s">
        <v>42669</v>
      </c>
      <c r="O13771" t="s">
        <v>42670</v>
      </c>
      <c r="Q13771">
        <v>0</v>
      </c>
      <c r="R13771" t="s">
        <v>42699</v>
      </c>
      <c r="S13771" t="s">
        <v>44000</v>
      </c>
      <c r="T13771" t="s">
        <v>44378</v>
      </c>
      <c r="U13771" t="s">
        <v>55977</v>
      </c>
      <c r="W13771" t="s">
        <v>58017</v>
      </c>
      <c r="X13771" t="s">
        <v>42700</v>
      </c>
    </row>
    <row r="13772" spans="1:24">
      <c r="A13772">
        <f>HYPERLINK("https://www.philgeps.gov.ph/GEPSNONPILOT/Tender/SplashBidNoticeAbstractUI.aspx?menuIndex=3&amp;refID=7152010&amp;Result=3","7152010")</f>
        <v>0</v>
      </c>
      <c r="B13772" t="s">
        <v>867</v>
      </c>
      <c r="C13772" t="s">
        <v>16719</v>
      </c>
      <c r="D13772" t="s">
        <v>17226</v>
      </c>
      <c r="E13772" t="s">
        <v>19716</v>
      </c>
      <c r="F13772" t="s">
        <v>29372</v>
      </c>
      <c r="G13772" t="s">
        <v>29380</v>
      </c>
      <c r="H13772" t="s">
        <v>29389</v>
      </c>
      <c r="I13772" t="s">
        <v>10408</v>
      </c>
      <c r="J13772" t="s">
        <v>29724</v>
      </c>
      <c r="K13772" t="s">
        <v>38496</v>
      </c>
      <c r="L13772" t="s">
        <v>867</v>
      </c>
      <c r="M13772" t="s">
        <v>39659</v>
      </c>
      <c r="N13772" t="s">
        <v>42669</v>
      </c>
      <c r="O13772" t="s">
        <v>42670</v>
      </c>
      <c r="P13772">
        <v>0</v>
      </c>
      <c r="Q13772">
        <v>3</v>
      </c>
      <c r="R13772" t="s">
        <v>42692</v>
      </c>
      <c r="S13772" t="s">
        <v>43798</v>
      </c>
      <c r="T13772" t="s">
        <v>44491</v>
      </c>
      <c r="U13772" t="s">
        <v>55978</v>
      </c>
      <c r="W13772" t="s">
        <v>39659</v>
      </c>
      <c r="X13772" t="s">
        <v>42693</v>
      </c>
    </row>
    <row r="13773" spans="1:24">
      <c r="A13773">
        <f>HYPERLINK("https://www.philgeps.gov.ph/GEPSNONPILOT/Tender/SplashBidNoticeAbstractUI.aspx?menuIndex=3&amp;refID=7152000&amp;Result=3","7152000")</f>
        <v>0</v>
      </c>
      <c r="B13773" t="s">
        <v>544</v>
      </c>
      <c r="C13773" t="s">
        <v>16720</v>
      </c>
      <c r="D13773" t="s">
        <v>17218</v>
      </c>
      <c r="E13773" t="s">
        <v>28971</v>
      </c>
      <c r="F13773" t="s">
        <v>29372</v>
      </c>
      <c r="G13773" t="s">
        <v>29380</v>
      </c>
      <c r="H13773" t="s">
        <v>11048</v>
      </c>
      <c r="I13773" t="s">
        <v>14920</v>
      </c>
      <c r="J13773" t="s">
        <v>38214</v>
      </c>
      <c r="K13773" t="s">
        <v>38490</v>
      </c>
      <c r="M13773" t="s">
        <v>42554</v>
      </c>
      <c r="N13773" t="s">
        <v>42669</v>
      </c>
      <c r="O13773" t="s">
        <v>42670</v>
      </c>
      <c r="Q13773">
        <v>3</v>
      </c>
      <c r="R13773" t="s">
        <v>42692</v>
      </c>
      <c r="S13773" t="s">
        <v>44001</v>
      </c>
      <c r="T13773" t="s">
        <v>44427</v>
      </c>
      <c r="U13773" t="s">
        <v>55979</v>
      </c>
      <c r="W13773" t="s">
        <v>42554</v>
      </c>
      <c r="X13773" t="s">
        <v>42693</v>
      </c>
    </row>
    <row r="13774" spans="1:24">
      <c r="A13774">
        <f>HYPERLINK("https://www.philgeps.gov.ph/GEPSNONPILOT/Tender/SplashBidNoticeAbstractUI.aspx?menuIndex=3&amp;refID=7134647&amp;Result=3","7134647")</f>
        <v>0</v>
      </c>
      <c r="B13774" t="s">
        <v>3254</v>
      </c>
      <c r="C13774" t="s">
        <v>16721</v>
      </c>
      <c r="D13774" t="s">
        <v>17206</v>
      </c>
      <c r="E13774" t="s">
        <v>28972</v>
      </c>
      <c r="F13774" t="s">
        <v>29372</v>
      </c>
      <c r="G13774" t="s">
        <v>29380</v>
      </c>
      <c r="H13774" t="s">
        <v>29389</v>
      </c>
      <c r="I13774" t="s">
        <v>10408</v>
      </c>
      <c r="J13774" t="s">
        <v>38215</v>
      </c>
      <c r="K13774" t="s">
        <v>38523</v>
      </c>
      <c r="M13774" t="s">
        <v>42323</v>
      </c>
      <c r="N13774" t="s">
        <v>42669</v>
      </c>
      <c r="O13774" t="s">
        <v>42670</v>
      </c>
      <c r="Q13774">
        <v>2</v>
      </c>
      <c r="R13774" t="s">
        <v>42700</v>
      </c>
      <c r="S13774" t="s">
        <v>44002</v>
      </c>
      <c r="T13774" t="s">
        <v>44371</v>
      </c>
      <c r="U13774" t="s">
        <v>55980</v>
      </c>
      <c r="W13774" t="s">
        <v>42323</v>
      </c>
      <c r="X13774" t="s">
        <v>42702</v>
      </c>
    </row>
    <row r="13775" spans="1:24">
      <c r="A13775">
        <f>HYPERLINK("https://www.philgeps.gov.ph/GEPSNONPILOT/Tender/SplashBidNoticeAbstractUI.aspx?menuIndex=3&amp;refID=7134516&amp;Result=3","7134516")</f>
        <v>0</v>
      </c>
      <c r="B13775" t="s">
        <v>3254</v>
      </c>
      <c r="C13775" t="s">
        <v>16722</v>
      </c>
      <c r="D13775" t="s">
        <v>17206</v>
      </c>
      <c r="E13775" t="s">
        <v>28973</v>
      </c>
      <c r="F13775" t="s">
        <v>29372</v>
      </c>
      <c r="G13775" t="s">
        <v>29380</v>
      </c>
      <c r="H13775" t="s">
        <v>11048</v>
      </c>
      <c r="I13775" t="s">
        <v>3695</v>
      </c>
      <c r="J13775" t="s">
        <v>38216</v>
      </c>
      <c r="K13775" t="s">
        <v>38518</v>
      </c>
      <c r="M13775" t="s">
        <v>42323</v>
      </c>
      <c r="N13775" t="s">
        <v>42669</v>
      </c>
      <c r="O13775" t="s">
        <v>42670</v>
      </c>
      <c r="Q13775">
        <v>7</v>
      </c>
      <c r="R13775" t="s">
        <v>42700</v>
      </c>
      <c r="S13775" t="s">
        <v>44003</v>
      </c>
      <c r="T13775" t="s">
        <v>44371</v>
      </c>
      <c r="U13775" t="s">
        <v>55981</v>
      </c>
      <c r="W13775" t="s">
        <v>42323</v>
      </c>
      <c r="X13775" t="s">
        <v>42702</v>
      </c>
    </row>
    <row r="13776" spans="1:24">
      <c r="A13776">
        <f>HYPERLINK("https://www.philgeps.gov.ph/GEPSNONPILOT/Tender/SplashBidNoticeAbstractUI.aspx?menuIndex=3&amp;refID=7138645&amp;Result=3","7138645")</f>
        <v>0</v>
      </c>
      <c r="B13776" t="s">
        <v>3482</v>
      </c>
      <c r="C13776" t="s">
        <v>16723</v>
      </c>
      <c r="D13776" t="s">
        <v>17156</v>
      </c>
      <c r="E13776" t="s">
        <v>28974</v>
      </c>
      <c r="F13776" t="s">
        <v>29372</v>
      </c>
      <c r="G13776" t="s">
        <v>29380</v>
      </c>
      <c r="H13776" t="s">
        <v>29389</v>
      </c>
      <c r="I13776" t="s">
        <v>10408</v>
      </c>
      <c r="J13776" t="s">
        <v>38217</v>
      </c>
      <c r="K13776" t="s">
        <v>38765</v>
      </c>
      <c r="M13776" t="s">
        <v>42609</v>
      </c>
      <c r="N13776" t="s">
        <v>42669</v>
      </c>
      <c r="O13776" t="s">
        <v>42670</v>
      </c>
      <c r="Q13776">
        <v>8</v>
      </c>
      <c r="R13776" t="s">
        <v>42699</v>
      </c>
      <c r="S13776" t="s">
        <v>44004</v>
      </c>
      <c r="T13776" t="s">
        <v>44488</v>
      </c>
      <c r="U13776" t="s">
        <v>55982</v>
      </c>
      <c r="V13776" t="s">
        <v>57952</v>
      </c>
      <c r="W13776" t="s">
        <v>42609</v>
      </c>
      <c r="X13776" t="s">
        <v>42700</v>
      </c>
    </row>
    <row r="13777" spans="1:24">
      <c r="A13777">
        <f>HYPERLINK("https://www.philgeps.gov.ph/GEPSNONPILOT/Tender/SplashBidNoticeAbstractUI.aspx?menuIndex=3&amp;refID=7136038&amp;Result=3","7136038")</f>
        <v>0</v>
      </c>
      <c r="B13777" t="s">
        <v>2648</v>
      </c>
      <c r="C13777" t="s">
        <v>16724</v>
      </c>
      <c r="D13777" t="s">
        <v>17141</v>
      </c>
      <c r="E13777" t="s">
        <v>28975</v>
      </c>
      <c r="F13777" t="s">
        <v>29372</v>
      </c>
      <c r="G13777" t="s">
        <v>29380</v>
      </c>
      <c r="H13777" t="s">
        <v>11048</v>
      </c>
      <c r="I13777" t="s">
        <v>8614</v>
      </c>
      <c r="J13777" t="s">
        <v>38218</v>
      </c>
      <c r="K13777" t="s">
        <v>38485</v>
      </c>
      <c r="M13777" t="s">
        <v>42610</v>
      </c>
      <c r="N13777" t="s">
        <v>42669</v>
      </c>
      <c r="O13777" t="s">
        <v>42670</v>
      </c>
      <c r="Q13777">
        <v>30</v>
      </c>
      <c r="R13777" t="s">
        <v>42700</v>
      </c>
      <c r="S13777" t="s">
        <v>44005</v>
      </c>
      <c r="T13777" t="s">
        <v>44375</v>
      </c>
      <c r="U13777" t="s">
        <v>55983</v>
      </c>
      <c r="W13777" t="s">
        <v>42610</v>
      </c>
      <c r="X13777" t="s">
        <v>58150</v>
      </c>
    </row>
    <row r="13778" spans="1:24">
      <c r="A13778">
        <f>HYPERLINK("https://www.philgeps.gov.ph/GEPSNONPILOT/Tender/SplashBidNoticeAbstractUI.aspx?menuIndex=3&amp;refID=7132606&amp;Result=3","7132606")</f>
        <v>0</v>
      </c>
      <c r="B13778" t="s">
        <v>3478</v>
      </c>
      <c r="C13778" t="s">
        <v>16725</v>
      </c>
      <c r="D13778" t="s">
        <v>17208</v>
      </c>
      <c r="E13778" t="s">
        <v>28976</v>
      </c>
      <c r="F13778" t="s">
        <v>29372</v>
      </c>
      <c r="G13778" t="s">
        <v>29380</v>
      </c>
      <c r="H13778" t="s">
        <v>11048</v>
      </c>
      <c r="I13778" t="s">
        <v>29411</v>
      </c>
      <c r="J13778" t="s">
        <v>38219</v>
      </c>
      <c r="K13778" t="s">
        <v>38496</v>
      </c>
      <c r="M13778" t="s">
        <v>42604</v>
      </c>
      <c r="N13778" t="s">
        <v>42669</v>
      </c>
      <c r="O13778" t="s">
        <v>42670</v>
      </c>
      <c r="Q13778">
        <v>8</v>
      </c>
      <c r="R13778" t="s">
        <v>42701</v>
      </c>
      <c r="S13778" t="s">
        <v>44006</v>
      </c>
      <c r="T13778" t="s">
        <v>44486</v>
      </c>
      <c r="U13778" t="s">
        <v>55937</v>
      </c>
      <c r="W13778" t="s">
        <v>42604</v>
      </c>
      <c r="X13778" t="s">
        <v>42703</v>
      </c>
    </row>
    <row r="13779" spans="1:24">
      <c r="A13779">
        <f>HYPERLINK("https://www.philgeps.gov.ph/GEPSNONPILOT/Tender/SplashBidNoticeAbstractUI.aspx?menuIndex=3&amp;refID=7136030&amp;Result=3","7136030")</f>
        <v>0</v>
      </c>
      <c r="B13779" t="s">
        <v>2648</v>
      </c>
      <c r="C13779" t="s">
        <v>16726</v>
      </c>
      <c r="D13779" t="s">
        <v>17141</v>
      </c>
      <c r="E13779" t="s">
        <v>28977</v>
      </c>
      <c r="F13779" t="s">
        <v>29372</v>
      </c>
      <c r="G13779" t="s">
        <v>29380</v>
      </c>
      <c r="H13779" t="s">
        <v>29391</v>
      </c>
      <c r="I13779" t="s">
        <v>8614</v>
      </c>
      <c r="J13779" t="s">
        <v>30012</v>
      </c>
      <c r="K13779" t="s">
        <v>38580</v>
      </c>
      <c r="M13779" t="s">
        <v>42610</v>
      </c>
      <c r="N13779" t="s">
        <v>42669</v>
      </c>
      <c r="O13779" t="s">
        <v>42670</v>
      </c>
      <c r="Q13779">
        <v>5</v>
      </c>
      <c r="R13779" t="s">
        <v>42700</v>
      </c>
      <c r="S13779" t="s">
        <v>44007</v>
      </c>
      <c r="T13779" t="s">
        <v>44505</v>
      </c>
      <c r="U13779" t="s">
        <v>55984</v>
      </c>
      <c r="W13779" t="s">
        <v>42610</v>
      </c>
      <c r="X13779" t="s">
        <v>58150</v>
      </c>
    </row>
    <row r="13780" spans="1:24">
      <c r="A13780">
        <f>HYPERLINK("https://www.philgeps.gov.ph/GEPSNONPILOT/Tender/SplashBidNoticeAbstractUI.aspx?menuIndex=3&amp;refID=7135580&amp;Result=3","7135580")</f>
        <v>0</v>
      </c>
      <c r="B13780" t="s">
        <v>231</v>
      </c>
      <c r="C13780" t="s">
        <v>16727</v>
      </c>
      <c r="E13780" t="s">
        <v>28978</v>
      </c>
      <c r="F13780" t="s">
        <v>29372</v>
      </c>
      <c r="G13780" t="s">
        <v>29380</v>
      </c>
      <c r="H13780" t="s">
        <v>29389</v>
      </c>
      <c r="I13780" t="s">
        <v>10408</v>
      </c>
      <c r="J13780" t="s">
        <v>38220</v>
      </c>
      <c r="K13780" t="s">
        <v>38490</v>
      </c>
      <c r="M13780" t="s">
        <v>41645</v>
      </c>
      <c r="N13780" t="s">
        <v>42669</v>
      </c>
      <c r="O13780" t="s">
        <v>42670</v>
      </c>
      <c r="Q13780">
        <v>7</v>
      </c>
      <c r="R13780" t="s">
        <v>42700</v>
      </c>
      <c r="S13780" t="s">
        <v>44008</v>
      </c>
      <c r="T13780" t="s">
        <v>44784</v>
      </c>
      <c r="U13780" t="s">
        <v>55985</v>
      </c>
      <c r="W13780" t="s">
        <v>41645</v>
      </c>
      <c r="X13780" t="s">
        <v>42701</v>
      </c>
    </row>
    <row r="13781" spans="1:24">
      <c r="A13781">
        <f>HYPERLINK("https://www.philgeps.gov.ph/GEPSNONPILOT/Tender/SplashBidNoticeAbstractUI.aspx?menuIndex=3&amp;refID=7134744&amp;Result=3","7134744")</f>
        <v>0</v>
      </c>
      <c r="B13781" t="s">
        <v>3254</v>
      </c>
      <c r="C13781" t="s">
        <v>16728</v>
      </c>
      <c r="D13781" t="s">
        <v>17206</v>
      </c>
      <c r="E13781" t="s">
        <v>28979</v>
      </c>
      <c r="F13781" t="s">
        <v>29372</v>
      </c>
      <c r="G13781" t="s">
        <v>29380</v>
      </c>
      <c r="H13781" t="s">
        <v>29389</v>
      </c>
      <c r="I13781" t="s">
        <v>10408</v>
      </c>
      <c r="J13781" t="s">
        <v>38221</v>
      </c>
      <c r="K13781" t="s">
        <v>38523</v>
      </c>
      <c r="M13781" t="s">
        <v>42323</v>
      </c>
      <c r="N13781" t="s">
        <v>42669</v>
      </c>
      <c r="O13781" t="s">
        <v>42670</v>
      </c>
      <c r="Q13781">
        <v>0</v>
      </c>
      <c r="R13781" t="s">
        <v>42700</v>
      </c>
      <c r="S13781" t="s">
        <v>44002</v>
      </c>
      <c r="T13781" t="s">
        <v>44371</v>
      </c>
      <c r="U13781" t="s">
        <v>55980</v>
      </c>
      <c r="W13781" t="s">
        <v>42323</v>
      </c>
      <c r="X13781" t="s">
        <v>42702</v>
      </c>
    </row>
    <row r="13782" spans="1:24">
      <c r="A13782">
        <f>HYPERLINK("https://www.philgeps.gov.ph/GEPSNONPILOT/Tender/SplashBidNoticeAbstractUI.aspx?menuIndex=3&amp;refID=7134587&amp;Result=3","7134587")</f>
        <v>0</v>
      </c>
      <c r="B13782" t="s">
        <v>3254</v>
      </c>
      <c r="C13782" t="s">
        <v>16729</v>
      </c>
      <c r="D13782" t="s">
        <v>17206</v>
      </c>
      <c r="E13782" t="s">
        <v>28980</v>
      </c>
      <c r="F13782" t="s">
        <v>29372</v>
      </c>
      <c r="G13782" t="s">
        <v>29380</v>
      </c>
      <c r="H13782" t="s">
        <v>11048</v>
      </c>
      <c r="I13782" t="s">
        <v>9469</v>
      </c>
      <c r="J13782" t="s">
        <v>31924</v>
      </c>
      <c r="K13782" t="s">
        <v>38485</v>
      </c>
      <c r="M13782" t="s">
        <v>42323</v>
      </c>
      <c r="N13782" t="s">
        <v>42669</v>
      </c>
      <c r="O13782" t="s">
        <v>42670</v>
      </c>
      <c r="Q13782">
        <v>5</v>
      </c>
      <c r="R13782" t="s">
        <v>42700</v>
      </c>
      <c r="S13782" t="s">
        <v>44009</v>
      </c>
      <c r="T13782" t="s">
        <v>44371</v>
      </c>
      <c r="U13782" t="s">
        <v>55981</v>
      </c>
      <c r="W13782" t="s">
        <v>42323</v>
      </c>
      <c r="X13782" t="s">
        <v>42702</v>
      </c>
    </row>
    <row r="13783" spans="1:24">
      <c r="A13783">
        <f>HYPERLINK("https://www.philgeps.gov.ph/GEPSNONPILOT/Tender/SplashBidNoticeAbstractUI.aspx?menuIndex=3&amp;refID=7151608&amp;Result=3","7151608")</f>
        <v>0</v>
      </c>
      <c r="B13783" t="s">
        <v>1022</v>
      </c>
      <c r="C13783" t="s">
        <v>16730</v>
      </c>
      <c r="D13783" t="s">
        <v>17141</v>
      </c>
      <c r="E13783" t="s">
        <v>28981</v>
      </c>
      <c r="F13783" t="s">
        <v>29372</v>
      </c>
      <c r="G13783" t="s">
        <v>29380</v>
      </c>
      <c r="H13783" t="s">
        <v>11048</v>
      </c>
      <c r="I13783" t="s">
        <v>3670</v>
      </c>
      <c r="J13783" t="s">
        <v>38222</v>
      </c>
      <c r="K13783" t="s">
        <v>38488</v>
      </c>
      <c r="M13783" t="s">
        <v>39842</v>
      </c>
      <c r="N13783" t="s">
        <v>42669</v>
      </c>
      <c r="O13783" t="s">
        <v>42670</v>
      </c>
      <c r="P13783">
        <v>0</v>
      </c>
      <c r="Q13783">
        <v>0</v>
      </c>
      <c r="R13783" t="s">
        <v>42692</v>
      </c>
      <c r="S13783" t="s">
        <v>43798</v>
      </c>
      <c r="T13783" t="s">
        <v>44432</v>
      </c>
      <c r="U13783" t="s">
        <v>47035</v>
      </c>
      <c r="W13783" t="s">
        <v>39842</v>
      </c>
      <c r="X13783" t="s">
        <v>42693</v>
      </c>
    </row>
    <row r="13784" spans="1:24">
      <c r="A13784">
        <f>HYPERLINK("https://www.philgeps.gov.ph/GEPSNONPILOT/Tender/SplashBidNoticeAbstractUI.aspx?menuIndex=3&amp;refID=7134482&amp;Result=3","7134482")</f>
        <v>0</v>
      </c>
      <c r="B13784" t="s">
        <v>3254</v>
      </c>
      <c r="C13784" t="s">
        <v>16731</v>
      </c>
      <c r="D13784" t="s">
        <v>17206</v>
      </c>
      <c r="E13784" t="s">
        <v>28982</v>
      </c>
      <c r="F13784" t="s">
        <v>29372</v>
      </c>
      <c r="G13784" t="s">
        <v>29380</v>
      </c>
      <c r="H13784" t="s">
        <v>11048</v>
      </c>
      <c r="I13784" t="s">
        <v>9469</v>
      </c>
      <c r="J13784" t="s">
        <v>30244</v>
      </c>
      <c r="K13784" t="s">
        <v>38518</v>
      </c>
      <c r="M13784" t="s">
        <v>42323</v>
      </c>
      <c r="N13784" t="s">
        <v>42669</v>
      </c>
      <c r="O13784" t="s">
        <v>42670</v>
      </c>
      <c r="Q13784">
        <v>11</v>
      </c>
      <c r="R13784" t="s">
        <v>42700</v>
      </c>
      <c r="S13784" t="s">
        <v>43145</v>
      </c>
      <c r="T13784" t="s">
        <v>44371</v>
      </c>
      <c r="U13784" t="s">
        <v>55986</v>
      </c>
      <c r="W13784" t="s">
        <v>42323</v>
      </c>
      <c r="X13784" t="s">
        <v>42702</v>
      </c>
    </row>
    <row r="13785" spans="1:24">
      <c r="A13785">
        <f>HYPERLINK("https://www.philgeps.gov.ph/GEPSNONPILOT/Tender/SplashBidNoticeAbstractUI.aspx?menuIndex=3&amp;refID=7135503&amp;Result=3","7135503")</f>
        <v>0</v>
      </c>
      <c r="B13785" t="s">
        <v>34</v>
      </c>
      <c r="C13785" t="s">
        <v>16732</v>
      </c>
      <c r="D13785" t="s">
        <v>17148</v>
      </c>
      <c r="E13785" t="s">
        <v>28983</v>
      </c>
      <c r="F13785" t="s">
        <v>29372</v>
      </c>
      <c r="G13785" t="s">
        <v>29380</v>
      </c>
      <c r="H13785" t="s">
        <v>11048</v>
      </c>
      <c r="I13785" t="s">
        <v>9469</v>
      </c>
      <c r="J13785" t="s">
        <v>38223</v>
      </c>
      <c r="K13785" t="s">
        <v>38485</v>
      </c>
      <c r="M13785" t="s">
        <v>38787</v>
      </c>
      <c r="N13785" t="s">
        <v>42669</v>
      </c>
      <c r="O13785" t="s">
        <v>42670</v>
      </c>
      <c r="Q13785">
        <v>12</v>
      </c>
      <c r="R13785" t="s">
        <v>42700</v>
      </c>
      <c r="S13785" t="s">
        <v>44010</v>
      </c>
      <c r="T13785" t="s">
        <v>44387</v>
      </c>
      <c r="U13785" t="s">
        <v>55987</v>
      </c>
      <c r="V13785" t="s">
        <v>57953</v>
      </c>
      <c r="W13785" t="s">
        <v>38787</v>
      </c>
      <c r="X13785" t="s">
        <v>42701</v>
      </c>
    </row>
    <row r="13786" spans="1:24">
      <c r="A13786">
        <f>HYPERLINK("https://www.philgeps.gov.ph/GEPSNONPILOT/Tender/SplashBidNoticeAbstractUI.aspx?menuIndex=3&amp;refID=7151919&amp;Result=3","7151919")</f>
        <v>0</v>
      </c>
      <c r="B13786" t="s">
        <v>3459</v>
      </c>
      <c r="C13786" t="s">
        <v>16733</v>
      </c>
      <c r="D13786" t="s">
        <v>17141</v>
      </c>
      <c r="E13786" t="s">
        <v>21894</v>
      </c>
      <c r="F13786" t="s">
        <v>29372</v>
      </c>
      <c r="G13786" t="s">
        <v>29380</v>
      </c>
      <c r="H13786" t="s">
        <v>11048</v>
      </c>
      <c r="I13786" t="s">
        <v>3670</v>
      </c>
      <c r="J13786" t="s">
        <v>29619</v>
      </c>
      <c r="K13786" t="s">
        <v>38528</v>
      </c>
      <c r="M13786" t="s">
        <v>42577</v>
      </c>
      <c r="N13786" t="s">
        <v>42669</v>
      </c>
      <c r="O13786" t="s">
        <v>42670</v>
      </c>
      <c r="P13786">
        <v>0</v>
      </c>
      <c r="Q13786">
        <v>1</v>
      </c>
      <c r="R13786" t="s">
        <v>42692</v>
      </c>
      <c r="S13786" t="s">
        <v>43798</v>
      </c>
      <c r="T13786" t="s">
        <v>44432</v>
      </c>
      <c r="U13786" t="s">
        <v>55719</v>
      </c>
      <c r="W13786" t="s">
        <v>42577</v>
      </c>
      <c r="X13786" t="s">
        <v>42693</v>
      </c>
    </row>
    <row r="13787" spans="1:24">
      <c r="A13787">
        <f>HYPERLINK("https://www.philgeps.gov.ph/GEPSNONPILOT/Tender/SplashBidNoticeAbstractUI.aspx?menuIndex=3&amp;refID=7136004&amp;Result=3","7136004")</f>
        <v>0</v>
      </c>
      <c r="B13787" t="s">
        <v>2102</v>
      </c>
      <c r="C13787" t="s">
        <v>16734</v>
      </c>
      <c r="D13787" t="s">
        <v>17153</v>
      </c>
      <c r="E13787" t="s">
        <v>28984</v>
      </c>
      <c r="F13787" t="s">
        <v>29372</v>
      </c>
      <c r="G13787" t="s">
        <v>29380</v>
      </c>
      <c r="H13787" t="s">
        <v>11048</v>
      </c>
      <c r="I13787" t="s">
        <v>29392</v>
      </c>
      <c r="J13787" t="s">
        <v>38224</v>
      </c>
      <c r="K13787" t="s">
        <v>38580</v>
      </c>
      <c r="M13787" t="s">
        <v>41004</v>
      </c>
      <c r="N13787" t="s">
        <v>42669</v>
      </c>
      <c r="O13787" t="s">
        <v>42670</v>
      </c>
      <c r="Q13787">
        <v>4</v>
      </c>
      <c r="R13787" t="s">
        <v>42700</v>
      </c>
      <c r="S13787" t="s">
        <v>44011</v>
      </c>
      <c r="T13787" t="s">
        <v>44864</v>
      </c>
      <c r="U13787" t="s">
        <v>55988</v>
      </c>
      <c r="W13787" t="s">
        <v>41004</v>
      </c>
      <c r="X13787" t="s">
        <v>58150</v>
      </c>
    </row>
    <row r="13788" spans="1:24">
      <c r="A13788">
        <f>HYPERLINK("https://www.philgeps.gov.ph/GEPSNONPILOT/Tender/SplashBidNoticeAbstractUI.aspx?menuIndex=3&amp;refID=7131131&amp;Result=3","7131131")</f>
        <v>0</v>
      </c>
      <c r="B13788" t="s">
        <v>1024</v>
      </c>
      <c r="C13788" t="s">
        <v>16735</v>
      </c>
      <c r="D13788" t="s">
        <v>17166</v>
      </c>
      <c r="E13788" t="s">
        <v>28985</v>
      </c>
      <c r="F13788" t="s">
        <v>29372</v>
      </c>
      <c r="G13788" t="s">
        <v>29380</v>
      </c>
      <c r="H13788" t="s">
        <v>11048</v>
      </c>
      <c r="I13788" t="s">
        <v>29395</v>
      </c>
      <c r="J13788" t="s">
        <v>38225</v>
      </c>
      <c r="K13788" t="s">
        <v>38517</v>
      </c>
      <c r="M13788" t="s">
        <v>39824</v>
      </c>
      <c r="N13788" t="s">
        <v>42669</v>
      </c>
      <c r="O13788" t="s">
        <v>42670</v>
      </c>
      <c r="Q13788">
        <v>8</v>
      </c>
      <c r="R13788" t="s">
        <v>42700</v>
      </c>
      <c r="S13788" t="s">
        <v>44012</v>
      </c>
      <c r="T13788" t="s">
        <v>44493</v>
      </c>
      <c r="U13788" t="s">
        <v>55989</v>
      </c>
      <c r="V13788" t="s">
        <v>57933</v>
      </c>
      <c r="W13788" t="s">
        <v>39824</v>
      </c>
      <c r="X13788" t="s">
        <v>42703</v>
      </c>
    </row>
    <row r="13789" spans="1:24">
      <c r="A13789">
        <f>HYPERLINK("https://www.philgeps.gov.ph/GEPSNONPILOT/Tender/SplashBidNoticeAbstractUI.aspx?menuIndex=3&amp;refID=7135295&amp;Result=3","7135295")</f>
        <v>0</v>
      </c>
      <c r="B13789" t="s">
        <v>2102</v>
      </c>
      <c r="C13789" t="s">
        <v>16736</v>
      </c>
      <c r="D13789" t="s">
        <v>17153</v>
      </c>
      <c r="E13789" t="s">
        <v>28986</v>
      </c>
      <c r="F13789" t="s">
        <v>29372</v>
      </c>
      <c r="G13789" t="s">
        <v>29380</v>
      </c>
      <c r="H13789" t="s">
        <v>11048</v>
      </c>
      <c r="I13789" t="s">
        <v>29407</v>
      </c>
      <c r="J13789" t="s">
        <v>38226</v>
      </c>
      <c r="K13789" t="s">
        <v>38488</v>
      </c>
      <c r="M13789" t="s">
        <v>41004</v>
      </c>
      <c r="N13789" t="s">
        <v>42669</v>
      </c>
      <c r="O13789" t="s">
        <v>42670</v>
      </c>
      <c r="Q13789">
        <v>17</v>
      </c>
      <c r="R13789" t="s">
        <v>42700</v>
      </c>
      <c r="S13789" t="s">
        <v>44013</v>
      </c>
      <c r="T13789" t="s">
        <v>44865</v>
      </c>
      <c r="U13789" t="s">
        <v>55990</v>
      </c>
      <c r="W13789" t="s">
        <v>41004</v>
      </c>
      <c r="X13789" t="s">
        <v>42702</v>
      </c>
    </row>
    <row r="13790" spans="1:24">
      <c r="A13790">
        <f>HYPERLINK("https://www.philgeps.gov.ph/GEPSNONPILOT/Tender/SplashBidNoticeAbstractUI.aspx?menuIndex=3&amp;refID=7151914&amp;Result=3","7151914")</f>
        <v>0</v>
      </c>
      <c r="B13790" t="s">
        <v>3459</v>
      </c>
      <c r="C13790" t="s">
        <v>16737</v>
      </c>
      <c r="D13790" t="s">
        <v>17141</v>
      </c>
      <c r="E13790" t="s">
        <v>21350</v>
      </c>
      <c r="F13790" t="s">
        <v>29372</v>
      </c>
      <c r="G13790" t="s">
        <v>29380</v>
      </c>
      <c r="H13790" t="s">
        <v>11048</v>
      </c>
      <c r="I13790" t="s">
        <v>3670</v>
      </c>
      <c r="J13790" t="s">
        <v>38227</v>
      </c>
      <c r="K13790" t="s">
        <v>38528</v>
      </c>
      <c r="M13790" t="s">
        <v>42577</v>
      </c>
      <c r="N13790" t="s">
        <v>42669</v>
      </c>
      <c r="O13790" t="s">
        <v>42670</v>
      </c>
      <c r="P13790">
        <v>0</v>
      </c>
      <c r="Q13790">
        <v>0</v>
      </c>
      <c r="R13790" t="s">
        <v>42692</v>
      </c>
      <c r="S13790" t="s">
        <v>43798</v>
      </c>
      <c r="T13790" t="s">
        <v>44432</v>
      </c>
      <c r="U13790" t="s">
        <v>55719</v>
      </c>
      <c r="W13790" t="s">
        <v>42577</v>
      </c>
      <c r="X13790" t="s">
        <v>42693</v>
      </c>
    </row>
    <row r="13791" spans="1:24">
      <c r="A13791">
        <f>HYPERLINK("https://www.philgeps.gov.ph/GEPSNONPILOT/Tender/SplashBidNoticeAbstractUI.aspx?menuIndex=3&amp;refID=7130932&amp;Result=3","7130932")</f>
        <v>0</v>
      </c>
      <c r="B13791" t="s">
        <v>3419</v>
      </c>
      <c r="C13791" t="s">
        <v>16738</v>
      </c>
      <c r="D13791" t="s">
        <v>17191</v>
      </c>
      <c r="E13791" t="s">
        <v>28987</v>
      </c>
      <c r="F13791" t="s">
        <v>29372</v>
      </c>
      <c r="G13791" t="s">
        <v>29380</v>
      </c>
      <c r="H13791" t="s">
        <v>11048</v>
      </c>
      <c r="I13791" t="s">
        <v>3952</v>
      </c>
      <c r="J13791" t="s">
        <v>29774</v>
      </c>
      <c r="K13791" t="s">
        <v>38527</v>
      </c>
      <c r="M13791" t="s">
        <v>42519</v>
      </c>
      <c r="N13791" t="s">
        <v>42669</v>
      </c>
      <c r="O13791" t="s">
        <v>42670</v>
      </c>
      <c r="Q13791">
        <v>5</v>
      </c>
      <c r="R13791" t="s">
        <v>42700</v>
      </c>
      <c r="S13791" t="s">
        <v>44014</v>
      </c>
      <c r="T13791" t="s">
        <v>44427</v>
      </c>
      <c r="U13791" t="s">
        <v>55991</v>
      </c>
      <c r="V13791" t="s">
        <v>57954</v>
      </c>
      <c r="W13791" t="s">
        <v>42519</v>
      </c>
      <c r="X13791" t="s">
        <v>42703</v>
      </c>
    </row>
    <row r="13792" spans="1:24">
      <c r="A13792">
        <f>HYPERLINK("https://www.philgeps.gov.ph/GEPSNONPILOT/Tender/SplashBidNoticeAbstractUI.aspx?menuIndex=3&amp;refID=7134745&amp;Result=3","7134745")</f>
        <v>0</v>
      </c>
      <c r="B13792" t="s">
        <v>3478</v>
      </c>
      <c r="C13792" t="s">
        <v>16739</v>
      </c>
      <c r="D13792" t="s">
        <v>17208</v>
      </c>
      <c r="E13792" t="s">
        <v>28988</v>
      </c>
      <c r="F13792" t="s">
        <v>29372</v>
      </c>
      <c r="G13792" t="s">
        <v>29380</v>
      </c>
      <c r="H13792" t="s">
        <v>11048</v>
      </c>
      <c r="I13792" t="s">
        <v>8614</v>
      </c>
      <c r="J13792" t="s">
        <v>38228</v>
      </c>
      <c r="K13792" t="s">
        <v>38496</v>
      </c>
      <c r="M13792" t="s">
        <v>42604</v>
      </c>
      <c r="N13792" t="s">
        <v>42669</v>
      </c>
      <c r="O13792" t="s">
        <v>42670</v>
      </c>
      <c r="Q13792">
        <v>14</v>
      </c>
      <c r="R13792" t="s">
        <v>42701</v>
      </c>
      <c r="S13792" t="s">
        <v>44015</v>
      </c>
      <c r="T13792" t="s">
        <v>44486</v>
      </c>
      <c r="U13792" t="s">
        <v>45549</v>
      </c>
      <c r="W13792" t="s">
        <v>42604</v>
      </c>
      <c r="X13792" t="s">
        <v>42702</v>
      </c>
    </row>
    <row r="13793" spans="1:24">
      <c r="A13793">
        <f>HYPERLINK("https://www.philgeps.gov.ph/GEPSNONPILOT/Tender/SplashBidNoticeAbstractUI.aspx?menuIndex=3&amp;refID=7134599&amp;Result=3","7134599")</f>
        <v>0</v>
      </c>
      <c r="B13793" t="s">
        <v>3478</v>
      </c>
      <c r="C13793" t="s">
        <v>16740</v>
      </c>
      <c r="D13793" t="s">
        <v>17208</v>
      </c>
      <c r="E13793" t="s">
        <v>28989</v>
      </c>
      <c r="F13793" t="s">
        <v>29372</v>
      </c>
      <c r="G13793" t="s">
        <v>29380</v>
      </c>
      <c r="H13793" t="s">
        <v>11048</v>
      </c>
      <c r="I13793" t="s">
        <v>7828</v>
      </c>
      <c r="J13793" t="s">
        <v>38229</v>
      </c>
      <c r="K13793" t="s">
        <v>38496</v>
      </c>
      <c r="M13793" t="s">
        <v>42604</v>
      </c>
      <c r="N13793" t="s">
        <v>42669</v>
      </c>
      <c r="O13793" t="s">
        <v>42670</v>
      </c>
      <c r="Q13793">
        <v>10</v>
      </c>
      <c r="R13793" t="s">
        <v>42701</v>
      </c>
      <c r="S13793" t="s">
        <v>44016</v>
      </c>
      <c r="T13793" t="s">
        <v>44486</v>
      </c>
      <c r="U13793" t="s">
        <v>55937</v>
      </c>
      <c r="W13793" t="s">
        <v>42604</v>
      </c>
      <c r="X13793" t="s">
        <v>42702</v>
      </c>
    </row>
    <row r="13794" spans="1:24">
      <c r="A13794">
        <f>HYPERLINK("https://www.philgeps.gov.ph/GEPSNONPILOT/Tender/SplashBidNoticeAbstractUI.aspx?menuIndex=3&amp;refID=7129910&amp;Result=3","7129910")</f>
        <v>0</v>
      </c>
      <c r="B13794" t="s">
        <v>3483</v>
      </c>
      <c r="C13794" t="s">
        <v>16741</v>
      </c>
      <c r="D13794" t="s">
        <v>17171</v>
      </c>
      <c r="E13794" t="s">
        <v>28990</v>
      </c>
      <c r="F13794" t="s">
        <v>29372</v>
      </c>
      <c r="G13794" t="s">
        <v>29380</v>
      </c>
      <c r="H13794" t="s">
        <v>11048</v>
      </c>
      <c r="I13794" t="s">
        <v>4709</v>
      </c>
      <c r="J13794" t="s">
        <v>38230</v>
      </c>
      <c r="K13794" t="s">
        <v>38485</v>
      </c>
      <c r="M13794" t="s">
        <v>42611</v>
      </c>
      <c r="N13794" t="s">
        <v>42669</v>
      </c>
      <c r="O13794" t="s">
        <v>42670</v>
      </c>
      <c r="Q13794">
        <v>0</v>
      </c>
      <c r="R13794" t="s">
        <v>42702</v>
      </c>
      <c r="S13794" t="s">
        <v>44017</v>
      </c>
      <c r="T13794" t="s">
        <v>44400</v>
      </c>
      <c r="U13794" t="s">
        <v>55992</v>
      </c>
      <c r="W13794" t="s">
        <v>42611</v>
      </c>
      <c r="X13794" t="s">
        <v>42703</v>
      </c>
    </row>
    <row r="13795" spans="1:24">
      <c r="A13795">
        <f>HYPERLINK("https://www.philgeps.gov.ph/GEPSNONPILOT/Tender/SplashBidNoticeAbstractUI.aspx?menuIndex=3&amp;refID=7138783&amp;Result=3","7138783")</f>
        <v>0</v>
      </c>
      <c r="B13795" t="s">
        <v>2639</v>
      </c>
      <c r="C13795" t="s">
        <v>16742</v>
      </c>
      <c r="D13795" t="s">
        <v>17141</v>
      </c>
      <c r="E13795" t="s">
        <v>28991</v>
      </c>
      <c r="F13795" t="s">
        <v>29372</v>
      </c>
      <c r="G13795" t="s">
        <v>29380</v>
      </c>
      <c r="H13795" t="s">
        <v>11048</v>
      </c>
      <c r="I13795" t="s">
        <v>29394</v>
      </c>
      <c r="J13795" t="s">
        <v>38231</v>
      </c>
      <c r="K13795" t="s">
        <v>38488</v>
      </c>
      <c r="M13795" t="s">
        <v>41612</v>
      </c>
      <c r="N13795" t="s">
        <v>42669</v>
      </c>
      <c r="O13795" t="s">
        <v>42670</v>
      </c>
      <c r="Q13795">
        <v>10</v>
      </c>
      <c r="R13795" t="s">
        <v>42699</v>
      </c>
      <c r="S13795" t="s">
        <v>42791</v>
      </c>
      <c r="T13795" t="s">
        <v>44453</v>
      </c>
      <c r="U13795" t="s">
        <v>55993</v>
      </c>
      <c r="W13795" t="s">
        <v>41612</v>
      </c>
      <c r="X13795" t="s">
        <v>42700</v>
      </c>
    </row>
    <row r="13796" spans="1:24">
      <c r="A13796">
        <f>HYPERLINK("https://www.philgeps.gov.ph/GEPSNONPILOT/Tender/SplashBidNoticeAbstractUI.aspx?menuIndex=3&amp;refID=7129844&amp;Result=3","7129844")</f>
        <v>0</v>
      </c>
      <c r="B13796" t="s">
        <v>3483</v>
      </c>
      <c r="C13796" t="s">
        <v>16743</v>
      </c>
      <c r="D13796" t="s">
        <v>17171</v>
      </c>
      <c r="E13796" t="s">
        <v>28992</v>
      </c>
      <c r="F13796" t="s">
        <v>29372</v>
      </c>
      <c r="G13796" t="s">
        <v>29380</v>
      </c>
      <c r="H13796" t="s">
        <v>11048</v>
      </c>
      <c r="I13796" t="s">
        <v>4709</v>
      </c>
      <c r="J13796" t="s">
        <v>38232</v>
      </c>
      <c r="K13796" t="s">
        <v>38485</v>
      </c>
      <c r="M13796" t="s">
        <v>42611</v>
      </c>
      <c r="N13796" t="s">
        <v>42669</v>
      </c>
      <c r="O13796" t="s">
        <v>42670</v>
      </c>
      <c r="Q13796">
        <v>1</v>
      </c>
      <c r="R13796" t="s">
        <v>42702</v>
      </c>
      <c r="S13796" t="s">
        <v>44018</v>
      </c>
      <c r="T13796" t="s">
        <v>44400</v>
      </c>
      <c r="U13796" t="s">
        <v>55994</v>
      </c>
      <c r="W13796" t="s">
        <v>42611</v>
      </c>
      <c r="X13796" t="s">
        <v>42703</v>
      </c>
    </row>
    <row r="13797" spans="1:24">
      <c r="A13797">
        <f>HYPERLINK("https://www.philgeps.gov.ph/GEPSNONPILOT/Tender/SplashBidNoticeAbstractUI.aspx?menuIndex=3&amp;refID=7129867&amp;Result=3","7129867")</f>
        <v>0</v>
      </c>
      <c r="B13797" t="s">
        <v>3483</v>
      </c>
      <c r="C13797" t="s">
        <v>16744</v>
      </c>
      <c r="D13797" t="s">
        <v>17171</v>
      </c>
      <c r="E13797" t="s">
        <v>28993</v>
      </c>
      <c r="F13797" t="s">
        <v>29372</v>
      </c>
      <c r="G13797" t="s">
        <v>29380</v>
      </c>
      <c r="H13797" t="s">
        <v>11048</v>
      </c>
      <c r="I13797" t="s">
        <v>4709</v>
      </c>
      <c r="J13797" t="s">
        <v>38233</v>
      </c>
      <c r="K13797" t="s">
        <v>38485</v>
      </c>
      <c r="M13797" t="s">
        <v>42611</v>
      </c>
      <c r="N13797" t="s">
        <v>42669</v>
      </c>
      <c r="O13797" t="s">
        <v>42670</v>
      </c>
      <c r="Q13797">
        <v>2</v>
      </c>
      <c r="R13797" t="s">
        <v>42702</v>
      </c>
      <c r="S13797" t="s">
        <v>44019</v>
      </c>
      <c r="T13797" t="s">
        <v>44400</v>
      </c>
      <c r="U13797" t="s">
        <v>55995</v>
      </c>
      <c r="W13797" t="s">
        <v>42611</v>
      </c>
      <c r="X13797" t="s">
        <v>42703</v>
      </c>
    </row>
    <row r="13798" spans="1:24">
      <c r="A13798">
        <f>HYPERLINK("https://www.philgeps.gov.ph/GEPSNONPILOT/Tender/SplashBidNoticeAbstractUI.aspx?menuIndex=3&amp;refID=7134654&amp;Result=3","7134654")</f>
        <v>0</v>
      </c>
      <c r="B13798" t="s">
        <v>3478</v>
      </c>
      <c r="C13798" t="s">
        <v>16745</v>
      </c>
      <c r="D13798" t="s">
        <v>17208</v>
      </c>
      <c r="E13798" t="s">
        <v>28994</v>
      </c>
      <c r="F13798" t="s">
        <v>29372</v>
      </c>
      <c r="G13798" t="s">
        <v>29380</v>
      </c>
      <c r="H13798" t="s">
        <v>11048</v>
      </c>
      <c r="I13798" t="s">
        <v>29433</v>
      </c>
      <c r="J13798" t="s">
        <v>38234</v>
      </c>
      <c r="K13798" t="s">
        <v>38496</v>
      </c>
      <c r="M13798" t="s">
        <v>42604</v>
      </c>
      <c r="N13798" t="s">
        <v>42669</v>
      </c>
      <c r="O13798" t="s">
        <v>42670</v>
      </c>
      <c r="Q13798">
        <v>50</v>
      </c>
      <c r="R13798" t="s">
        <v>42701</v>
      </c>
      <c r="S13798" t="s">
        <v>44020</v>
      </c>
      <c r="T13798" t="s">
        <v>44486</v>
      </c>
      <c r="U13798" t="s">
        <v>45549</v>
      </c>
      <c r="W13798" t="s">
        <v>42604</v>
      </c>
      <c r="X13798" t="s">
        <v>42702</v>
      </c>
    </row>
    <row r="13799" spans="1:24">
      <c r="A13799">
        <f>HYPERLINK("https://www.philgeps.gov.ph/GEPSNONPILOT/Tender/SplashBidNoticeAbstractUI.aspx?menuIndex=3&amp;refID=7129809&amp;Result=3","7129809")</f>
        <v>0</v>
      </c>
      <c r="B13799" t="s">
        <v>3483</v>
      </c>
      <c r="C13799" t="s">
        <v>16746</v>
      </c>
      <c r="D13799" t="s">
        <v>17171</v>
      </c>
      <c r="E13799" t="s">
        <v>28995</v>
      </c>
      <c r="F13799" t="s">
        <v>29372</v>
      </c>
      <c r="G13799" t="s">
        <v>29380</v>
      </c>
      <c r="H13799" t="s">
        <v>11048</v>
      </c>
      <c r="I13799" t="s">
        <v>4709</v>
      </c>
      <c r="J13799" t="s">
        <v>38235</v>
      </c>
      <c r="K13799" t="s">
        <v>38485</v>
      </c>
      <c r="M13799" t="s">
        <v>42611</v>
      </c>
      <c r="N13799" t="s">
        <v>42669</v>
      </c>
      <c r="O13799" t="s">
        <v>42670</v>
      </c>
      <c r="Q13799">
        <v>2</v>
      </c>
      <c r="R13799" t="s">
        <v>42702</v>
      </c>
      <c r="S13799" t="s">
        <v>44021</v>
      </c>
      <c r="T13799" t="s">
        <v>44400</v>
      </c>
      <c r="U13799" t="s">
        <v>55996</v>
      </c>
      <c r="W13799" t="s">
        <v>42611</v>
      </c>
      <c r="X13799" t="s">
        <v>42703</v>
      </c>
    </row>
    <row r="13800" spans="1:24">
      <c r="A13800">
        <f>HYPERLINK("https://www.philgeps.gov.ph/GEPSNONPILOT/Tender/SplashBidNoticeAbstractUI.aspx?menuIndex=3&amp;refID=7024682&amp;Result=3","7024682")</f>
        <v>0</v>
      </c>
      <c r="B13800" t="s">
        <v>3484</v>
      </c>
      <c r="C13800" t="s">
        <v>4743</v>
      </c>
      <c r="D13800" t="s">
        <v>17145</v>
      </c>
      <c r="E13800" t="s">
        <v>20432</v>
      </c>
      <c r="F13800" t="s">
        <v>29372</v>
      </c>
      <c r="G13800" t="s">
        <v>29384</v>
      </c>
      <c r="H13800" t="s">
        <v>29389</v>
      </c>
      <c r="I13800" t="s">
        <v>10408</v>
      </c>
      <c r="J13800" t="s">
        <v>38236</v>
      </c>
      <c r="K13800" t="s">
        <v>38672</v>
      </c>
      <c r="L13800" t="s">
        <v>3484</v>
      </c>
      <c r="M13800" t="s">
        <v>42612</v>
      </c>
      <c r="N13800" t="s">
        <v>42669</v>
      </c>
      <c r="O13800" t="s">
        <v>42670</v>
      </c>
      <c r="P13800">
        <v>0</v>
      </c>
      <c r="Q13800">
        <v>4</v>
      </c>
      <c r="R13800" t="s">
        <v>42700</v>
      </c>
      <c r="S13800" t="s">
        <v>44022</v>
      </c>
      <c r="T13800" t="s">
        <v>44530</v>
      </c>
      <c r="U13800" t="s">
        <v>55997</v>
      </c>
      <c r="V13800" t="s">
        <v>57185</v>
      </c>
      <c r="W13800" t="s">
        <v>42612</v>
      </c>
      <c r="X13800" t="s">
        <v>42731</v>
      </c>
    </row>
    <row r="13801" spans="1:24">
      <c r="A13801">
        <f>HYPERLINK("https://www.philgeps.gov.ph/GEPSNONPILOT/Tender/SplashBidNoticeAbstractUI.aspx?menuIndex=3&amp;refID=7129430&amp;Result=3","7129430")</f>
        <v>0</v>
      </c>
      <c r="B13801" t="s">
        <v>757</v>
      </c>
      <c r="C13801" t="s">
        <v>16747</v>
      </c>
      <c r="D13801" t="s">
        <v>17172</v>
      </c>
      <c r="E13801" t="s">
        <v>28996</v>
      </c>
      <c r="F13801" t="s">
        <v>29372</v>
      </c>
      <c r="G13801" t="s">
        <v>29380</v>
      </c>
      <c r="H13801" t="s">
        <v>29389</v>
      </c>
      <c r="I13801" t="s">
        <v>10408</v>
      </c>
      <c r="J13801" t="s">
        <v>38069</v>
      </c>
      <c r="K13801" t="s">
        <v>38750</v>
      </c>
      <c r="M13801" t="s">
        <v>42613</v>
      </c>
      <c r="N13801" t="s">
        <v>42669</v>
      </c>
      <c r="O13801" t="s">
        <v>42670</v>
      </c>
      <c r="Q13801">
        <v>11</v>
      </c>
      <c r="R13801" t="s">
        <v>42702</v>
      </c>
      <c r="S13801" t="s">
        <v>44023</v>
      </c>
      <c r="T13801" t="s">
        <v>44488</v>
      </c>
      <c r="U13801" t="s">
        <v>55964</v>
      </c>
      <c r="W13801" t="s">
        <v>42613</v>
      </c>
      <c r="X13801" t="s">
        <v>42704</v>
      </c>
    </row>
    <row r="13802" spans="1:24">
      <c r="A13802">
        <f>HYPERLINK("https://www.philgeps.gov.ph/GEPSNONPILOT/Tender/SplashBidNoticeAbstractUI.aspx?menuIndex=3&amp;refID=7129337&amp;Result=3","7129337")</f>
        <v>0</v>
      </c>
      <c r="B13802" t="s">
        <v>3166</v>
      </c>
      <c r="C13802" t="s">
        <v>16748</v>
      </c>
      <c r="D13802" t="s">
        <v>17214</v>
      </c>
      <c r="E13802" t="s">
        <v>28997</v>
      </c>
      <c r="F13802" t="s">
        <v>29372</v>
      </c>
      <c r="G13802" t="s">
        <v>29380</v>
      </c>
      <c r="H13802" t="s">
        <v>29390</v>
      </c>
      <c r="I13802" t="s">
        <v>29396</v>
      </c>
      <c r="J13802" t="s">
        <v>30056</v>
      </c>
      <c r="K13802" t="s">
        <v>38651</v>
      </c>
      <c r="M13802" t="s">
        <v>42216</v>
      </c>
      <c r="N13802" t="s">
        <v>42669</v>
      </c>
      <c r="O13802" t="s">
        <v>42670</v>
      </c>
      <c r="Q13802">
        <v>3</v>
      </c>
      <c r="R13802" t="s">
        <v>42702</v>
      </c>
      <c r="S13802" t="s">
        <v>44024</v>
      </c>
      <c r="T13802" t="s">
        <v>44485</v>
      </c>
      <c r="U13802" t="s">
        <v>55998</v>
      </c>
      <c r="W13802" t="s">
        <v>42216</v>
      </c>
      <c r="X13802" t="s">
        <v>42704</v>
      </c>
    </row>
    <row r="13803" spans="1:24">
      <c r="A13803">
        <f>HYPERLINK("https://www.philgeps.gov.ph/GEPSNONPILOT/Tender/SplashBidNoticeAbstractUI.aspx?menuIndex=3&amp;refID=7134787&amp;Result=3","7134787")</f>
        <v>0</v>
      </c>
      <c r="B13803" t="s">
        <v>3485</v>
      </c>
      <c r="C13803" t="s">
        <v>16749</v>
      </c>
      <c r="D13803" t="s">
        <v>17168</v>
      </c>
      <c r="E13803" t="s">
        <v>28998</v>
      </c>
      <c r="F13803" t="s">
        <v>29372</v>
      </c>
      <c r="G13803" t="s">
        <v>29380</v>
      </c>
      <c r="H13803" t="s">
        <v>29389</v>
      </c>
      <c r="I13803" t="s">
        <v>10408</v>
      </c>
      <c r="J13803" t="s">
        <v>30302</v>
      </c>
      <c r="K13803" t="s">
        <v>38533</v>
      </c>
      <c r="M13803" t="s">
        <v>42614</v>
      </c>
      <c r="N13803" t="s">
        <v>42669</v>
      </c>
      <c r="O13803" t="s">
        <v>42670</v>
      </c>
      <c r="P13803">
        <v>0</v>
      </c>
      <c r="Q13803">
        <v>3</v>
      </c>
      <c r="R13803" t="s">
        <v>42701</v>
      </c>
      <c r="S13803" t="s">
        <v>44025</v>
      </c>
      <c r="T13803" t="s">
        <v>44560</v>
      </c>
      <c r="U13803" t="s">
        <v>55999</v>
      </c>
      <c r="V13803" t="s">
        <v>57955</v>
      </c>
      <c r="W13803" t="s">
        <v>42614</v>
      </c>
      <c r="X13803" t="s">
        <v>42702</v>
      </c>
    </row>
    <row r="13804" spans="1:24">
      <c r="A13804">
        <f>HYPERLINK("https://www.philgeps.gov.ph/GEPSNONPILOT/Tender/SplashBidNoticeAbstractUI.aspx?menuIndex=3&amp;refID=7132712&amp;Result=3","7132712")</f>
        <v>0</v>
      </c>
      <c r="B13804" t="s">
        <v>928</v>
      </c>
      <c r="C13804" t="s">
        <v>16750</v>
      </c>
      <c r="D13804" t="s">
        <v>17141</v>
      </c>
      <c r="E13804" t="s">
        <v>28999</v>
      </c>
      <c r="F13804" t="s">
        <v>29372</v>
      </c>
      <c r="G13804" t="s">
        <v>29380</v>
      </c>
      <c r="H13804" t="s">
        <v>11048</v>
      </c>
      <c r="I13804" t="s">
        <v>29405</v>
      </c>
      <c r="J13804" t="s">
        <v>38237</v>
      </c>
      <c r="K13804" t="s">
        <v>38495</v>
      </c>
      <c r="M13804" t="s">
        <v>42615</v>
      </c>
      <c r="N13804" t="s">
        <v>42669</v>
      </c>
      <c r="O13804" t="s">
        <v>42670</v>
      </c>
      <c r="Q13804">
        <v>18</v>
      </c>
      <c r="R13804" t="s">
        <v>42701</v>
      </c>
      <c r="S13804" t="s">
        <v>44026</v>
      </c>
      <c r="T13804" t="s">
        <v>44521</v>
      </c>
      <c r="U13804" t="s">
        <v>56000</v>
      </c>
      <c r="W13804" t="s">
        <v>42615</v>
      </c>
      <c r="X13804" t="s">
        <v>42702</v>
      </c>
    </row>
    <row r="13805" spans="1:24">
      <c r="A13805">
        <f>HYPERLINK("https://www.philgeps.gov.ph/GEPSNONPILOT/Tender/SplashBidNoticeAbstractUI.aspx?menuIndex=3&amp;refID=7133730&amp;Result=3","7133730")</f>
        <v>0</v>
      </c>
      <c r="B13805" t="s">
        <v>616</v>
      </c>
      <c r="C13805" t="s">
        <v>16751</v>
      </c>
      <c r="D13805" t="s">
        <v>17204</v>
      </c>
      <c r="E13805" t="s">
        <v>29000</v>
      </c>
      <c r="F13805" t="s">
        <v>29372</v>
      </c>
      <c r="G13805" t="s">
        <v>29380</v>
      </c>
      <c r="H13805" t="s">
        <v>11048</v>
      </c>
      <c r="I13805" t="s">
        <v>29480</v>
      </c>
      <c r="J13805" t="s">
        <v>29829</v>
      </c>
      <c r="K13805" t="s">
        <v>38603</v>
      </c>
      <c r="M13805" t="s">
        <v>42486</v>
      </c>
      <c r="N13805" t="s">
        <v>42669</v>
      </c>
      <c r="O13805" t="s">
        <v>42670</v>
      </c>
      <c r="Q13805">
        <v>7</v>
      </c>
      <c r="R13805" t="s">
        <v>42701</v>
      </c>
      <c r="S13805" t="s">
        <v>44027</v>
      </c>
      <c r="T13805" t="s">
        <v>44454</v>
      </c>
      <c r="U13805" t="s">
        <v>56001</v>
      </c>
      <c r="V13805" t="s">
        <v>57956</v>
      </c>
      <c r="W13805" t="s">
        <v>42486</v>
      </c>
      <c r="X13805" t="s">
        <v>42702</v>
      </c>
    </row>
    <row r="13806" spans="1:24">
      <c r="A13806">
        <f>HYPERLINK("https://www.philgeps.gov.ph/GEPSNONPILOT/Tender/SplashBidNoticeAbstractUI.aspx?menuIndex=3&amp;refID=7129823&amp;Result=3","7129823")</f>
        <v>0</v>
      </c>
      <c r="B13806" t="s">
        <v>3483</v>
      </c>
      <c r="C13806" t="s">
        <v>16752</v>
      </c>
      <c r="D13806" t="s">
        <v>17171</v>
      </c>
      <c r="E13806" t="s">
        <v>29001</v>
      </c>
      <c r="F13806" t="s">
        <v>29372</v>
      </c>
      <c r="G13806" t="s">
        <v>29380</v>
      </c>
      <c r="H13806" t="s">
        <v>11048</v>
      </c>
      <c r="I13806" t="s">
        <v>4709</v>
      </c>
      <c r="J13806" t="s">
        <v>38238</v>
      </c>
      <c r="K13806" t="s">
        <v>38485</v>
      </c>
      <c r="M13806" t="s">
        <v>42611</v>
      </c>
      <c r="N13806" t="s">
        <v>42669</v>
      </c>
      <c r="O13806" t="s">
        <v>42670</v>
      </c>
      <c r="Q13806">
        <v>2</v>
      </c>
      <c r="R13806" t="s">
        <v>42702</v>
      </c>
      <c r="S13806" t="s">
        <v>44028</v>
      </c>
      <c r="T13806" t="s">
        <v>44400</v>
      </c>
      <c r="U13806" t="s">
        <v>56002</v>
      </c>
      <c r="W13806" t="s">
        <v>42611</v>
      </c>
      <c r="X13806" t="s">
        <v>42703</v>
      </c>
    </row>
    <row r="13807" spans="1:24">
      <c r="A13807">
        <f>HYPERLINK("https://www.philgeps.gov.ph/GEPSNONPILOT/Tender/SplashBidNoticeAbstractUI.aspx?menuIndex=3&amp;refID=7129961&amp;Result=3","7129961")</f>
        <v>0</v>
      </c>
      <c r="B13807" t="s">
        <v>3483</v>
      </c>
      <c r="C13807" t="s">
        <v>16753</v>
      </c>
      <c r="D13807" t="s">
        <v>17171</v>
      </c>
      <c r="E13807" t="s">
        <v>29002</v>
      </c>
      <c r="F13807" t="s">
        <v>29372</v>
      </c>
      <c r="G13807" t="s">
        <v>29380</v>
      </c>
      <c r="H13807" t="s">
        <v>29389</v>
      </c>
      <c r="I13807" t="s">
        <v>10408</v>
      </c>
      <c r="J13807" t="s">
        <v>38239</v>
      </c>
      <c r="K13807" t="s">
        <v>38523</v>
      </c>
      <c r="M13807" t="s">
        <v>42611</v>
      </c>
      <c r="N13807" t="s">
        <v>42669</v>
      </c>
      <c r="O13807" t="s">
        <v>42670</v>
      </c>
      <c r="Q13807">
        <v>8</v>
      </c>
      <c r="R13807" t="s">
        <v>42702</v>
      </c>
      <c r="S13807" t="s">
        <v>44029</v>
      </c>
      <c r="T13807" t="s">
        <v>44400</v>
      </c>
      <c r="U13807" t="s">
        <v>56003</v>
      </c>
      <c r="W13807" t="s">
        <v>42611</v>
      </c>
      <c r="X13807" t="s">
        <v>42703</v>
      </c>
    </row>
    <row r="13808" spans="1:24">
      <c r="A13808">
        <f>HYPERLINK("https://www.philgeps.gov.ph/GEPSNONPILOT/Tender/SplashBidNoticeAbstractUI.aspx?menuIndex=3&amp;refID=7134829&amp;Result=3","7134829")</f>
        <v>0</v>
      </c>
      <c r="B13808" t="s">
        <v>3154</v>
      </c>
      <c r="C13808" t="s">
        <v>16754</v>
      </c>
      <c r="D13808" t="s">
        <v>17145</v>
      </c>
      <c r="E13808" t="s">
        <v>29003</v>
      </c>
      <c r="F13808" t="s">
        <v>29372</v>
      </c>
      <c r="G13808" t="s">
        <v>29380</v>
      </c>
      <c r="H13808" t="s">
        <v>29389</v>
      </c>
      <c r="I13808" t="s">
        <v>10408</v>
      </c>
      <c r="J13808" t="s">
        <v>30161</v>
      </c>
      <c r="K13808" t="s">
        <v>38514</v>
      </c>
      <c r="M13808" t="s">
        <v>42202</v>
      </c>
      <c r="N13808" t="s">
        <v>42669</v>
      </c>
      <c r="O13808" t="s">
        <v>42670</v>
      </c>
      <c r="P13808">
        <v>0</v>
      </c>
      <c r="Q13808">
        <v>2</v>
      </c>
      <c r="R13808" t="s">
        <v>42701</v>
      </c>
      <c r="S13808" t="s">
        <v>44025</v>
      </c>
      <c r="T13808" t="s">
        <v>44493</v>
      </c>
      <c r="U13808" t="s">
        <v>56004</v>
      </c>
      <c r="W13808" t="s">
        <v>42202</v>
      </c>
      <c r="X13808" t="s">
        <v>42702</v>
      </c>
    </row>
    <row r="13809" spans="1:24">
      <c r="A13809">
        <f>HYPERLINK("https://www.philgeps.gov.ph/GEPSNONPILOT/Tender/SplashBidNoticeAbstractUI.aspx?menuIndex=3&amp;refID=7134907&amp;Result=3","7134907")</f>
        <v>0</v>
      </c>
      <c r="B13809" t="s">
        <v>3485</v>
      </c>
      <c r="C13809" t="s">
        <v>16755</v>
      </c>
      <c r="D13809" t="s">
        <v>17168</v>
      </c>
      <c r="E13809" t="s">
        <v>29004</v>
      </c>
      <c r="F13809" t="s">
        <v>29372</v>
      </c>
      <c r="G13809" t="s">
        <v>29380</v>
      </c>
      <c r="H13809" t="s">
        <v>11048</v>
      </c>
      <c r="I13809" t="s">
        <v>29394</v>
      </c>
      <c r="J13809" t="s">
        <v>29780</v>
      </c>
      <c r="K13809" t="s">
        <v>38495</v>
      </c>
      <c r="M13809" t="s">
        <v>42614</v>
      </c>
      <c r="N13809" t="s">
        <v>42669</v>
      </c>
      <c r="O13809" t="s">
        <v>42670</v>
      </c>
      <c r="P13809">
        <v>0</v>
      </c>
      <c r="Q13809">
        <v>5</v>
      </c>
      <c r="R13809" t="s">
        <v>42701</v>
      </c>
      <c r="S13809" t="s">
        <v>44025</v>
      </c>
      <c r="T13809" t="s">
        <v>44434</v>
      </c>
      <c r="U13809" t="s">
        <v>56005</v>
      </c>
      <c r="V13809" t="s">
        <v>57955</v>
      </c>
      <c r="W13809" t="s">
        <v>42614</v>
      </c>
      <c r="X13809" t="s">
        <v>42702</v>
      </c>
    </row>
    <row r="13810" spans="1:24">
      <c r="A13810">
        <f>HYPERLINK("https://www.philgeps.gov.ph/GEPSNONPILOT/Tender/SplashBidNoticeAbstractUI.aspx?menuIndex=3&amp;refID=7132559&amp;Result=3","7132559")</f>
        <v>0</v>
      </c>
      <c r="B13810" t="s">
        <v>985</v>
      </c>
      <c r="C13810" t="s">
        <v>16756</v>
      </c>
      <c r="D13810" t="s">
        <v>17158</v>
      </c>
      <c r="E13810" t="s">
        <v>29005</v>
      </c>
      <c r="F13810" t="s">
        <v>29372</v>
      </c>
      <c r="G13810" t="s">
        <v>29380</v>
      </c>
      <c r="H13810" t="s">
        <v>11048</v>
      </c>
      <c r="I13810" t="s">
        <v>29394</v>
      </c>
      <c r="J13810" t="s">
        <v>38240</v>
      </c>
      <c r="K13810" t="s">
        <v>38485</v>
      </c>
      <c r="M13810" t="s">
        <v>39783</v>
      </c>
      <c r="N13810" t="s">
        <v>42669</v>
      </c>
      <c r="O13810" t="s">
        <v>42670</v>
      </c>
      <c r="Q13810">
        <v>1</v>
      </c>
      <c r="R13810" t="s">
        <v>42702</v>
      </c>
      <c r="S13810" t="s">
        <v>42888</v>
      </c>
      <c r="T13810" t="s">
        <v>44412</v>
      </c>
      <c r="U13810" t="s">
        <v>56006</v>
      </c>
      <c r="W13810" t="s">
        <v>39783</v>
      </c>
      <c r="X13810" t="s">
        <v>42703</v>
      </c>
    </row>
    <row r="13811" spans="1:24">
      <c r="A13811">
        <f>HYPERLINK("https://www.philgeps.gov.ph/GEPSNONPILOT/Tender/SplashBidNoticeAbstractUI.aspx?menuIndex=3&amp;refID=7129856&amp;Result=3","7129856")</f>
        <v>0</v>
      </c>
      <c r="B13811" t="s">
        <v>2060</v>
      </c>
      <c r="C13811" t="s">
        <v>16757</v>
      </c>
      <c r="D13811" t="s">
        <v>17141</v>
      </c>
      <c r="E13811" t="s">
        <v>16757</v>
      </c>
      <c r="F13811" t="s">
        <v>29372</v>
      </c>
      <c r="G13811" t="s">
        <v>29379</v>
      </c>
      <c r="H13811" t="s">
        <v>11048</v>
      </c>
      <c r="I13811" t="s">
        <v>29424</v>
      </c>
      <c r="J13811" t="s">
        <v>38241</v>
      </c>
      <c r="K13811" t="s">
        <v>38496</v>
      </c>
      <c r="M13811" t="s">
        <v>42616</v>
      </c>
      <c r="N13811" t="s">
        <v>42669</v>
      </c>
      <c r="O13811" t="s">
        <v>42670</v>
      </c>
      <c r="Q13811">
        <v>15</v>
      </c>
      <c r="R13811" t="s">
        <v>42702</v>
      </c>
      <c r="S13811" t="s">
        <v>43732</v>
      </c>
      <c r="T13811" t="s">
        <v>44493</v>
      </c>
      <c r="U13811" t="s">
        <v>56007</v>
      </c>
      <c r="W13811" t="s">
        <v>58134</v>
      </c>
      <c r="X13811" t="s">
        <v>42703</v>
      </c>
    </row>
    <row r="13812" spans="1:24">
      <c r="A13812">
        <f>HYPERLINK("https://www.philgeps.gov.ph/GEPSNONPILOT/Tender/SplashBidNoticeAbstractUI.aspx?menuIndex=3&amp;refID=7131847&amp;Result=3","7131847")</f>
        <v>0</v>
      </c>
      <c r="B13812" t="s">
        <v>37</v>
      </c>
      <c r="C13812" t="s">
        <v>16758</v>
      </c>
      <c r="E13812" t="s">
        <v>19270</v>
      </c>
      <c r="F13812" t="s">
        <v>29372</v>
      </c>
      <c r="G13812" t="s">
        <v>29380</v>
      </c>
      <c r="H13812" t="s">
        <v>11048</v>
      </c>
      <c r="I13812" t="s">
        <v>8614</v>
      </c>
      <c r="J13812" t="s">
        <v>29823</v>
      </c>
      <c r="K13812" t="s">
        <v>38490</v>
      </c>
      <c r="M13812" t="s">
        <v>38790</v>
      </c>
      <c r="N13812" t="s">
        <v>42669</v>
      </c>
      <c r="O13812" t="s">
        <v>42670</v>
      </c>
      <c r="Q13812">
        <v>3</v>
      </c>
      <c r="R13812" t="s">
        <v>42702</v>
      </c>
      <c r="S13812" t="s">
        <v>44030</v>
      </c>
      <c r="T13812" t="s">
        <v>44866</v>
      </c>
      <c r="U13812" t="s">
        <v>56008</v>
      </c>
      <c r="W13812" t="s">
        <v>38790</v>
      </c>
      <c r="X13812" t="s">
        <v>42703</v>
      </c>
    </row>
    <row r="13813" spans="1:24">
      <c r="A13813">
        <f>HYPERLINK("https://www.philgeps.gov.ph/GEPSNONPILOT/Tender/SplashBidNoticeAbstractUI.aspx?menuIndex=3&amp;refID=7132331&amp;Result=3","7132331")</f>
        <v>0</v>
      </c>
      <c r="B13813" t="s">
        <v>3486</v>
      </c>
      <c r="C13813" t="s">
        <v>16759</v>
      </c>
      <c r="D13813" t="s">
        <v>17188</v>
      </c>
      <c r="E13813" t="s">
        <v>18026</v>
      </c>
      <c r="F13813" t="s">
        <v>29372</v>
      </c>
      <c r="G13813" t="s">
        <v>29384</v>
      </c>
      <c r="H13813" t="s">
        <v>29389</v>
      </c>
      <c r="I13813" t="s">
        <v>29453</v>
      </c>
      <c r="J13813" t="s">
        <v>38242</v>
      </c>
      <c r="K13813" t="s">
        <v>38487</v>
      </c>
      <c r="M13813" t="s">
        <v>42617</v>
      </c>
      <c r="N13813" t="s">
        <v>42669</v>
      </c>
      <c r="O13813" t="s">
        <v>42670</v>
      </c>
      <c r="P13813">
        <v>0</v>
      </c>
      <c r="Q13813">
        <v>1</v>
      </c>
      <c r="R13813" t="s">
        <v>42702</v>
      </c>
      <c r="S13813" t="s">
        <v>44031</v>
      </c>
      <c r="T13813" t="s">
        <v>44756</v>
      </c>
      <c r="U13813" t="s">
        <v>56009</v>
      </c>
      <c r="V13813" t="s">
        <v>56009</v>
      </c>
      <c r="W13813" t="s">
        <v>42617</v>
      </c>
      <c r="X13813" t="s">
        <v>42703</v>
      </c>
    </row>
    <row r="13814" spans="1:24">
      <c r="A13814">
        <f>HYPERLINK("https://www.philgeps.gov.ph/GEPSNONPILOT/Tender/SplashBidNoticeAbstractUI.aspx?menuIndex=3&amp;refID=7131784&amp;Result=3","7131784")</f>
        <v>0</v>
      </c>
      <c r="B13814" t="s">
        <v>3299</v>
      </c>
      <c r="C13814" t="s">
        <v>16760</v>
      </c>
      <c r="E13814" t="s">
        <v>29006</v>
      </c>
      <c r="F13814" t="s">
        <v>29372</v>
      </c>
      <c r="G13814" t="s">
        <v>29386</v>
      </c>
      <c r="H13814" t="s">
        <v>29391</v>
      </c>
      <c r="I13814" t="s">
        <v>29391</v>
      </c>
      <c r="J13814" t="s">
        <v>38243</v>
      </c>
      <c r="K13814" t="s">
        <v>38490</v>
      </c>
      <c r="M13814" t="s">
        <v>42376</v>
      </c>
      <c r="N13814" t="s">
        <v>42669</v>
      </c>
      <c r="O13814" t="s">
        <v>42670</v>
      </c>
      <c r="Q13814">
        <v>4</v>
      </c>
      <c r="R13814" t="s">
        <v>42702</v>
      </c>
      <c r="S13814" t="s">
        <v>44032</v>
      </c>
      <c r="T13814" t="s">
        <v>44469</v>
      </c>
      <c r="U13814" t="s">
        <v>56010</v>
      </c>
      <c r="V13814" t="s">
        <v>57957</v>
      </c>
      <c r="W13814" t="s">
        <v>42376</v>
      </c>
      <c r="X13814" t="s">
        <v>42703</v>
      </c>
    </row>
    <row r="13815" spans="1:24">
      <c r="A13815">
        <f>HYPERLINK("https://www.philgeps.gov.ph/GEPSNONPILOT/Tender/SplashBidNoticeAbstractUI.aspx?menuIndex=3&amp;refID=7131737&amp;Result=3","7131737")</f>
        <v>0</v>
      </c>
      <c r="B13815" t="s">
        <v>37</v>
      </c>
      <c r="C13815" t="s">
        <v>16761</v>
      </c>
      <c r="E13815" t="s">
        <v>19258</v>
      </c>
      <c r="F13815" t="s">
        <v>29372</v>
      </c>
      <c r="G13815" t="s">
        <v>29380</v>
      </c>
      <c r="H13815" t="s">
        <v>11048</v>
      </c>
      <c r="I13815" t="s">
        <v>9469</v>
      </c>
      <c r="J13815" t="s">
        <v>29774</v>
      </c>
      <c r="K13815" t="s">
        <v>38490</v>
      </c>
      <c r="M13815" t="s">
        <v>38790</v>
      </c>
      <c r="N13815" t="s">
        <v>42669</v>
      </c>
      <c r="O13815" t="s">
        <v>42670</v>
      </c>
      <c r="Q13815">
        <v>4</v>
      </c>
      <c r="R13815" t="s">
        <v>42702</v>
      </c>
      <c r="S13815" t="s">
        <v>43185</v>
      </c>
      <c r="T13815" t="s">
        <v>44866</v>
      </c>
      <c r="U13815" t="s">
        <v>56011</v>
      </c>
      <c r="W13815" t="s">
        <v>38790</v>
      </c>
      <c r="X13815" t="s">
        <v>42703</v>
      </c>
    </row>
    <row r="13816" spans="1:24">
      <c r="A13816">
        <f>HYPERLINK("https://www.philgeps.gov.ph/GEPSNONPILOT/Tender/SplashBidNoticeAbstractUI.aspx?menuIndex=3&amp;refID=7132581&amp;Result=3","7132581")</f>
        <v>0</v>
      </c>
      <c r="B13816" t="s">
        <v>956</v>
      </c>
      <c r="C13816" t="s">
        <v>16762</v>
      </c>
      <c r="D13816" t="s">
        <v>17141</v>
      </c>
      <c r="E13816" t="s">
        <v>29007</v>
      </c>
      <c r="F13816" t="s">
        <v>29372</v>
      </c>
      <c r="G13816" t="s">
        <v>29380</v>
      </c>
      <c r="H13816" t="s">
        <v>11048</v>
      </c>
      <c r="I13816" t="s">
        <v>29426</v>
      </c>
      <c r="J13816" t="s">
        <v>38244</v>
      </c>
      <c r="K13816" t="s">
        <v>38522</v>
      </c>
      <c r="M13816" t="s">
        <v>39833</v>
      </c>
      <c r="N13816" t="s">
        <v>42669</v>
      </c>
      <c r="O13816" t="s">
        <v>42670</v>
      </c>
      <c r="Q13816">
        <v>17</v>
      </c>
      <c r="R13816" t="s">
        <v>42702</v>
      </c>
      <c r="S13816" t="s">
        <v>44033</v>
      </c>
      <c r="T13816" t="s">
        <v>44401</v>
      </c>
      <c r="U13816" t="s">
        <v>56012</v>
      </c>
      <c r="W13816" t="s">
        <v>39833</v>
      </c>
      <c r="X13816" t="s">
        <v>42703</v>
      </c>
    </row>
    <row r="13817" spans="1:24">
      <c r="A13817">
        <f>HYPERLINK("https://www.philgeps.gov.ph/GEPSNONPILOT/Tender/SplashBidNoticeAbstractUI.aspx?menuIndex=3&amp;refID=7134688&amp;Result=3","7134688")</f>
        <v>0</v>
      </c>
      <c r="B13817" t="s">
        <v>3478</v>
      </c>
      <c r="C13817" t="s">
        <v>16763</v>
      </c>
      <c r="D13817" t="s">
        <v>17208</v>
      </c>
      <c r="E13817" t="s">
        <v>29008</v>
      </c>
      <c r="F13817" t="s">
        <v>29372</v>
      </c>
      <c r="G13817" t="s">
        <v>29380</v>
      </c>
      <c r="H13817" t="s">
        <v>11048</v>
      </c>
      <c r="I13817" t="s">
        <v>9642</v>
      </c>
      <c r="J13817" t="s">
        <v>38245</v>
      </c>
      <c r="K13817" t="s">
        <v>38496</v>
      </c>
      <c r="M13817" t="s">
        <v>42604</v>
      </c>
      <c r="N13817" t="s">
        <v>42669</v>
      </c>
      <c r="O13817" t="s">
        <v>42670</v>
      </c>
      <c r="Q13817">
        <v>19</v>
      </c>
      <c r="R13817" t="s">
        <v>42701</v>
      </c>
      <c r="S13817" t="s">
        <v>44034</v>
      </c>
      <c r="T13817" t="s">
        <v>44486</v>
      </c>
      <c r="U13817" t="s">
        <v>45549</v>
      </c>
      <c r="W13817" t="s">
        <v>42604</v>
      </c>
      <c r="X13817" t="s">
        <v>42702</v>
      </c>
    </row>
    <row r="13818" spans="1:24">
      <c r="A13818">
        <f>HYPERLINK("https://www.philgeps.gov.ph/GEPSNONPILOT/Tender/SplashBidNoticeAbstractUI.aspx?menuIndex=3&amp;refID=7131720&amp;Result=3","7131720")</f>
        <v>0</v>
      </c>
      <c r="B13818" t="s">
        <v>37</v>
      </c>
      <c r="C13818" t="s">
        <v>16764</v>
      </c>
      <c r="E13818" t="s">
        <v>20412</v>
      </c>
      <c r="F13818" t="s">
        <v>29372</v>
      </c>
      <c r="G13818" t="s">
        <v>29380</v>
      </c>
      <c r="H13818" t="s">
        <v>11048</v>
      </c>
      <c r="I13818" t="s">
        <v>29395</v>
      </c>
      <c r="J13818" t="s">
        <v>38246</v>
      </c>
      <c r="K13818" t="s">
        <v>38490</v>
      </c>
      <c r="M13818" t="s">
        <v>38790</v>
      </c>
      <c r="N13818" t="s">
        <v>42669</v>
      </c>
      <c r="O13818" t="s">
        <v>42670</v>
      </c>
      <c r="Q13818">
        <v>1</v>
      </c>
      <c r="R13818" t="s">
        <v>42702</v>
      </c>
      <c r="S13818" t="s">
        <v>43374</v>
      </c>
      <c r="T13818" t="s">
        <v>44866</v>
      </c>
      <c r="U13818" t="s">
        <v>56013</v>
      </c>
      <c r="W13818" t="s">
        <v>38790</v>
      </c>
      <c r="X13818" t="s">
        <v>42703</v>
      </c>
    </row>
    <row r="13819" spans="1:24">
      <c r="A13819">
        <f>HYPERLINK("https://www.philgeps.gov.ph/GEPSNONPILOT/Tender/SplashBidNoticeAbstractUI.aspx?menuIndex=3&amp;refID=7131337&amp;Result=3","7131337")</f>
        <v>0</v>
      </c>
      <c r="B13819" t="s">
        <v>1024</v>
      </c>
      <c r="C13819" t="s">
        <v>16765</v>
      </c>
      <c r="D13819" t="s">
        <v>17166</v>
      </c>
      <c r="E13819" t="s">
        <v>29009</v>
      </c>
      <c r="F13819" t="s">
        <v>29372</v>
      </c>
      <c r="G13819" t="s">
        <v>29380</v>
      </c>
      <c r="H13819" t="s">
        <v>11048</v>
      </c>
      <c r="I13819" t="s">
        <v>3952</v>
      </c>
      <c r="J13819" t="s">
        <v>38247</v>
      </c>
      <c r="K13819" t="s">
        <v>38517</v>
      </c>
      <c r="M13819" t="s">
        <v>39824</v>
      </c>
      <c r="N13819" t="s">
        <v>42669</v>
      </c>
      <c r="O13819" t="s">
        <v>42670</v>
      </c>
      <c r="Q13819">
        <v>12</v>
      </c>
      <c r="R13819" t="s">
        <v>42700</v>
      </c>
      <c r="S13819" t="s">
        <v>44035</v>
      </c>
      <c r="T13819" t="s">
        <v>44491</v>
      </c>
      <c r="U13819" t="s">
        <v>56014</v>
      </c>
      <c r="V13819" t="s">
        <v>57958</v>
      </c>
      <c r="W13819" t="s">
        <v>39824</v>
      </c>
      <c r="X13819" t="s">
        <v>42703</v>
      </c>
    </row>
    <row r="13820" spans="1:24">
      <c r="A13820">
        <f>HYPERLINK("https://www.philgeps.gov.ph/GEPSNONPILOT/Tender/SplashBidNoticeAbstractUI.aspx?menuIndex=3&amp;refID=7131880&amp;Result=3","7131880")</f>
        <v>0</v>
      </c>
      <c r="B13820" t="s">
        <v>37</v>
      </c>
      <c r="C13820" t="s">
        <v>16766</v>
      </c>
      <c r="E13820" t="s">
        <v>20907</v>
      </c>
      <c r="F13820" t="s">
        <v>29372</v>
      </c>
      <c r="G13820" t="s">
        <v>29380</v>
      </c>
      <c r="H13820" t="s">
        <v>11048</v>
      </c>
      <c r="I13820" t="s">
        <v>8614</v>
      </c>
      <c r="J13820" t="s">
        <v>38248</v>
      </c>
      <c r="K13820" t="s">
        <v>38490</v>
      </c>
      <c r="M13820" t="s">
        <v>38790</v>
      </c>
      <c r="N13820" t="s">
        <v>42669</v>
      </c>
      <c r="O13820" t="s">
        <v>42670</v>
      </c>
      <c r="Q13820">
        <v>4</v>
      </c>
      <c r="R13820" t="s">
        <v>42702</v>
      </c>
      <c r="S13820" t="s">
        <v>44036</v>
      </c>
      <c r="T13820" t="s">
        <v>44866</v>
      </c>
      <c r="U13820" t="s">
        <v>56015</v>
      </c>
      <c r="W13820" t="s">
        <v>38790</v>
      </c>
      <c r="X13820" t="s">
        <v>42703</v>
      </c>
    </row>
    <row r="13821" spans="1:24">
      <c r="A13821">
        <f>HYPERLINK("https://www.philgeps.gov.ph/GEPSNONPILOT/Tender/SplashBidNoticeAbstractUI.aspx?menuIndex=3&amp;refID=7131159&amp;Result=3","7131159")</f>
        <v>0</v>
      </c>
      <c r="B13821" t="s">
        <v>149</v>
      </c>
      <c r="C13821" t="s">
        <v>16767</v>
      </c>
      <c r="D13821" t="s">
        <v>17190</v>
      </c>
      <c r="E13821" t="s">
        <v>29010</v>
      </c>
      <c r="F13821" t="s">
        <v>29372</v>
      </c>
      <c r="G13821" t="s">
        <v>29384</v>
      </c>
      <c r="H13821" t="s">
        <v>29389</v>
      </c>
      <c r="I13821" t="s">
        <v>10408</v>
      </c>
      <c r="J13821" t="s">
        <v>29785</v>
      </c>
      <c r="K13821" t="s">
        <v>38490</v>
      </c>
      <c r="M13821" t="s">
        <v>38904</v>
      </c>
      <c r="N13821" t="s">
        <v>42669</v>
      </c>
      <c r="O13821" t="s">
        <v>42670</v>
      </c>
      <c r="P13821">
        <v>0</v>
      </c>
      <c r="Q13821">
        <v>3</v>
      </c>
      <c r="R13821" t="s">
        <v>42702</v>
      </c>
      <c r="S13821" t="s">
        <v>44031</v>
      </c>
      <c r="T13821" t="s">
        <v>44488</v>
      </c>
      <c r="U13821" t="s">
        <v>56016</v>
      </c>
      <c r="W13821" t="s">
        <v>38904</v>
      </c>
      <c r="X13821" t="s">
        <v>42703</v>
      </c>
    </row>
    <row r="13822" spans="1:24">
      <c r="A13822">
        <f>HYPERLINK("https://www.philgeps.gov.ph/GEPSNONPILOT/Tender/SplashBidNoticeAbstractUI.aspx?menuIndex=3&amp;refID=7129521&amp;Result=3","7129521")</f>
        <v>0</v>
      </c>
      <c r="B13822" t="s">
        <v>2317</v>
      </c>
      <c r="C13822" t="s">
        <v>16768</v>
      </c>
      <c r="E13822" t="s">
        <v>29011</v>
      </c>
      <c r="F13822" t="s">
        <v>29372</v>
      </c>
      <c r="G13822" t="s">
        <v>29386</v>
      </c>
      <c r="H13822" t="s">
        <v>29391</v>
      </c>
      <c r="I13822" t="s">
        <v>29391</v>
      </c>
      <c r="J13822" t="s">
        <v>29728</v>
      </c>
      <c r="K13822" t="s">
        <v>38496</v>
      </c>
      <c r="M13822" t="s">
        <v>41248</v>
      </c>
      <c r="N13822" t="s">
        <v>42669</v>
      </c>
      <c r="O13822" t="s">
        <v>42670</v>
      </c>
      <c r="Q13822">
        <v>6</v>
      </c>
      <c r="R13822" t="s">
        <v>42703</v>
      </c>
      <c r="S13822" t="s">
        <v>44037</v>
      </c>
      <c r="T13822" t="s">
        <v>44427</v>
      </c>
      <c r="U13822" t="s">
        <v>56017</v>
      </c>
      <c r="V13822" t="s">
        <v>57153</v>
      </c>
      <c r="W13822" t="s">
        <v>41248</v>
      </c>
      <c r="X13822" t="s">
        <v>42704</v>
      </c>
    </row>
    <row r="13823" spans="1:24">
      <c r="A13823">
        <f>HYPERLINK("https://www.philgeps.gov.ph/GEPSNONPILOT/Tender/SplashBidNoticeAbstractUI.aspx?menuIndex=3&amp;refID=7129514&amp;Result=3","7129514")</f>
        <v>0</v>
      </c>
      <c r="B13823" t="s">
        <v>2317</v>
      </c>
      <c r="C13823" t="s">
        <v>16769</v>
      </c>
      <c r="E13823" t="s">
        <v>29012</v>
      </c>
      <c r="F13823" t="s">
        <v>29372</v>
      </c>
      <c r="G13823" t="s">
        <v>29386</v>
      </c>
      <c r="H13823" t="s">
        <v>29391</v>
      </c>
      <c r="I13823" t="s">
        <v>29391</v>
      </c>
      <c r="J13823" t="s">
        <v>38249</v>
      </c>
      <c r="K13823" t="s">
        <v>38522</v>
      </c>
      <c r="M13823" t="s">
        <v>41248</v>
      </c>
      <c r="N13823" t="s">
        <v>42669</v>
      </c>
      <c r="O13823" t="s">
        <v>42670</v>
      </c>
      <c r="Q13823">
        <v>2</v>
      </c>
      <c r="R13823" t="s">
        <v>42703</v>
      </c>
      <c r="S13823" t="s">
        <v>44038</v>
      </c>
      <c r="T13823" t="s">
        <v>44427</v>
      </c>
      <c r="U13823" t="s">
        <v>56018</v>
      </c>
      <c r="V13823" t="s">
        <v>57153</v>
      </c>
      <c r="W13823" t="s">
        <v>41248</v>
      </c>
      <c r="X13823" t="s">
        <v>42704</v>
      </c>
    </row>
    <row r="13824" spans="1:24">
      <c r="A13824">
        <f>HYPERLINK("https://www.philgeps.gov.ph/GEPSNONPILOT/Tender/SplashBidNoticeAbstractUI.aspx?menuIndex=3&amp;refID=7131690&amp;Result=3","7131690")</f>
        <v>0</v>
      </c>
      <c r="B13824" t="s">
        <v>37</v>
      </c>
      <c r="C13824" t="s">
        <v>16770</v>
      </c>
      <c r="E13824" t="s">
        <v>19716</v>
      </c>
      <c r="F13824" t="s">
        <v>29372</v>
      </c>
      <c r="G13824" t="s">
        <v>29380</v>
      </c>
      <c r="H13824" t="s">
        <v>11048</v>
      </c>
      <c r="I13824" t="s">
        <v>29395</v>
      </c>
      <c r="J13824" t="s">
        <v>38250</v>
      </c>
      <c r="K13824" t="s">
        <v>38490</v>
      </c>
      <c r="M13824" t="s">
        <v>38790</v>
      </c>
      <c r="N13824" t="s">
        <v>42669</v>
      </c>
      <c r="O13824" t="s">
        <v>42670</v>
      </c>
      <c r="Q13824">
        <v>1</v>
      </c>
      <c r="R13824" t="s">
        <v>42702</v>
      </c>
      <c r="S13824" t="s">
        <v>44039</v>
      </c>
      <c r="T13824" t="s">
        <v>44866</v>
      </c>
      <c r="U13824" t="s">
        <v>56019</v>
      </c>
      <c r="W13824" t="s">
        <v>38790</v>
      </c>
      <c r="X13824" t="s">
        <v>42703</v>
      </c>
    </row>
    <row r="13825" spans="1:24">
      <c r="A13825">
        <f>HYPERLINK("https://www.philgeps.gov.ph/GEPSNONPILOT/Tender/SplashBidNoticeAbstractUI.aspx?menuIndex=3&amp;refID=7125136&amp;Result=3","7125136")</f>
        <v>0</v>
      </c>
      <c r="B13825" t="s">
        <v>1023</v>
      </c>
      <c r="C13825" t="s">
        <v>16771</v>
      </c>
      <c r="D13825" t="s">
        <v>17197</v>
      </c>
      <c r="E13825" t="s">
        <v>29013</v>
      </c>
      <c r="F13825" t="s">
        <v>29376</v>
      </c>
      <c r="G13825" t="s">
        <v>29384</v>
      </c>
      <c r="H13825" t="s">
        <v>29389</v>
      </c>
      <c r="I13825" t="s">
        <v>10408</v>
      </c>
      <c r="J13825" t="s">
        <v>38251</v>
      </c>
      <c r="K13825" t="s">
        <v>38533</v>
      </c>
      <c r="M13825" t="s">
        <v>39823</v>
      </c>
      <c r="N13825" t="s">
        <v>42669</v>
      </c>
      <c r="O13825" t="s">
        <v>42670</v>
      </c>
      <c r="P13825">
        <v>0</v>
      </c>
      <c r="Q13825">
        <v>2</v>
      </c>
      <c r="R13825" t="s">
        <v>42704</v>
      </c>
      <c r="S13825" t="s">
        <v>44040</v>
      </c>
      <c r="T13825" t="s">
        <v>44488</v>
      </c>
      <c r="U13825" t="s">
        <v>56020</v>
      </c>
      <c r="W13825" t="s">
        <v>39823</v>
      </c>
      <c r="X13825" t="s">
        <v>42705</v>
      </c>
    </row>
    <row r="13826" spans="1:24">
      <c r="A13826">
        <f>HYPERLINK("https://www.philgeps.gov.ph/GEPSNONPILOT/Tender/SplashBidNoticeAbstractUI.aspx?menuIndex=3&amp;refID=7131639&amp;Result=3","7131639")</f>
        <v>0</v>
      </c>
      <c r="B13826" t="s">
        <v>37</v>
      </c>
      <c r="C13826" t="s">
        <v>16772</v>
      </c>
      <c r="D13826" t="s">
        <v>17151</v>
      </c>
      <c r="E13826" t="s">
        <v>18800</v>
      </c>
      <c r="F13826" t="s">
        <v>29372</v>
      </c>
      <c r="G13826" t="s">
        <v>29380</v>
      </c>
      <c r="H13826" t="s">
        <v>11048</v>
      </c>
      <c r="I13826" t="s">
        <v>5383</v>
      </c>
      <c r="J13826" t="s">
        <v>38252</v>
      </c>
      <c r="K13826" t="s">
        <v>38496</v>
      </c>
      <c r="M13826" t="s">
        <v>38790</v>
      </c>
      <c r="N13826" t="s">
        <v>42669</v>
      </c>
      <c r="O13826" t="s">
        <v>42670</v>
      </c>
      <c r="Q13826">
        <v>2</v>
      </c>
      <c r="R13826" t="s">
        <v>42702</v>
      </c>
      <c r="S13826" t="s">
        <v>43135</v>
      </c>
      <c r="T13826" t="s">
        <v>44866</v>
      </c>
      <c r="U13826" t="s">
        <v>56021</v>
      </c>
      <c r="W13826" t="s">
        <v>38790</v>
      </c>
      <c r="X13826" t="s">
        <v>42703</v>
      </c>
    </row>
    <row r="13827" spans="1:24">
      <c r="A13827">
        <f>HYPERLINK("https://www.philgeps.gov.ph/GEPSNONPILOT/Tender/SplashBidNoticeAbstractUI.aspx?menuIndex=3&amp;refID=7124568&amp;Result=3","7124568")</f>
        <v>0</v>
      </c>
      <c r="B13827" t="s">
        <v>105</v>
      </c>
      <c r="C13827" t="s">
        <v>16773</v>
      </c>
      <c r="D13827" t="s">
        <v>17181</v>
      </c>
      <c r="E13827" t="s">
        <v>29014</v>
      </c>
      <c r="F13827" t="s">
        <v>29372</v>
      </c>
      <c r="G13827" t="s">
        <v>29380</v>
      </c>
      <c r="H13827" t="s">
        <v>29389</v>
      </c>
      <c r="I13827" t="s">
        <v>10408</v>
      </c>
      <c r="J13827" t="s">
        <v>38253</v>
      </c>
      <c r="K13827" t="s">
        <v>38639</v>
      </c>
      <c r="M13827" t="s">
        <v>38860</v>
      </c>
      <c r="N13827" t="s">
        <v>42669</v>
      </c>
      <c r="O13827" t="s">
        <v>42670</v>
      </c>
      <c r="Q13827">
        <v>0</v>
      </c>
      <c r="R13827" t="s">
        <v>42704</v>
      </c>
      <c r="S13827" t="s">
        <v>44041</v>
      </c>
      <c r="T13827" t="s">
        <v>44407</v>
      </c>
      <c r="U13827" t="s">
        <v>56022</v>
      </c>
      <c r="W13827" t="s">
        <v>38860</v>
      </c>
      <c r="X13827" t="s">
        <v>42705</v>
      </c>
    </row>
    <row r="13828" spans="1:24">
      <c r="A13828">
        <f>HYPERLINK("https://www.philgeps.gov.ph/GEPSNONPILOT/Tender/SplashBidNoticeAbstractUI.aspx?menuIndex=3&amp;refID=7123980&amp;Result=3","7123980")</f>
        <v>0</v>
      </c>
      <c r="B13828" t="s">
        <v>2793</v>
      </c>
      <c r="C13828" t="s">
        <v>16774</v>
      </c>
      <c r="D13828" t="s">
        <v>17141</v>
      </c>
      <c r="E13828" t="s">
        <v>29015</v>
      </c>
      <c r="F13828" t="s">
        <v>29373</v>
      </c>
      <c r="G13828" t="s">
        <v>29380</v>
      </c>
      <c r="H13828" t="s">
        <v>11048</v>
      </c>
      <c r="I13828" t="s">
        <v>3695</v>
      </c>
      <c r="J13828" t="s">
        <v>30533</v>
      </c>
      <c r="K13828" t="s">
        <v>38488</v>
      </c>
      <c r="M13828" t="s">
        <v>41781</v>
      </c>
      <c r="N13828" t="s">
        <v>42669</v>
      </c>
      <c r="O13828" t="s">
        <v>42670</v>
      </c>
      <c r="Q13828">
        <v>5</v>
      </c>
      <c r="R13828" t="s">
        <v>42704</v>
      </c>
      <c r="S13828" t="s">
        <v>44042</v>
      </c>
      <c r="T13828" t="s">
        <v>44842</v>
      </c>
      <c r="U13828" t="s">
        <v>56023</v>
      </c>
      <c r="W13828" t="s">
        <v>41781</v>
      </c>
      <c r="X13828" t="s">
        <v>42705</v>
      </c>
    </row>
    <row r="13829" spans="1:24">
      <c r="A13829">
        <f>HYPERLINK("https://www.philgeps.gov.ph/GEPSNONPILOT/Tender/SplashBidNoticeAbstractUI.aspx?menuIndex=3&amp;refID=7124047&amp;Result=3","7124047")</f>
        <v>0</v>
      </c>
      <c r="B13829" t="s">
        <v>2354</v>
      </c>
      <c r="C13829" t="s">
        <v>16775</v>
      </c>
      <c r="D13829" t="s">
        <v>17174</v>
      </c>
      <c r="E13829" t="s">
        <v>29016</v>
      </c>
      <c r="F13829" t="s">
        <v>29372</v>
      </c>
      <c r="G13829" t="s">
        <v>29380</v>
      </c>
      <c r="H13829" t="s">
        <v>11048</v>
      </c>
      <c r="I13829" t="s">
        <v>29433</v>
      </c>
      <c r="J13829" t="s">
        <v>38254</v>
      </c>
      <c r="K13829" t="s">
        <v>38495</v>
      </c>
      <c r="M13829" t="s">
        <v>41289</v>
      </c>
      <c r="N13829" t="s">
        <v>42669</v>
      </c>
      <c r="O13829" t="s">
        <v>42670</v>
      </c>
      <c r="Q13829">
        <v>29</v>
      </c>
      <c r="R13829" t="s">
        <v>42704</v>
      </c>
      <c r="S13829" t="s">
        <v>44043</v>
      </c>
      <c r="T13829" t="s">
        <v>44867</v>
      </c>
      <c r="U13829" t="s">
        <v>56024</v>
      </c>
      <c r="V13829" t="s">
        <v>57959</v>
      </c>
      <c r="W13829" t="s">
        <v>41289</v>
      </c>
      <c r="X13829" t="s">
        <v>42705</v>
      </c>
    </row>
    <row r="13830" spans="1:24">
      <c r="A13830">
        <f>HYPERLINK("https://www.philgeps.gov.ph/GEPSNONPILOT/Tender/SplashBidNoticeAbstractUI.aspx?menuIndex=3&amp;refID=7123977&amp;Result=3","7123977")</f>
        <v>0</v>
      </c>
      <c r="B13830" t="s">
        <v>2354</v>
      </c>
      <c r="C13830" t="s">
        <v>16776</v>
      </c>
      <c r="D13830" t="s">
        <v>17174</v>
      </c>
      <c r="E13830" t="s">
        <v>29017</v>
      </c>
      <c r="F13830" t="s">
        <v>29372</v>
      </c>
      <c r="G13830" t="s">
        <v>29380</v>
      </c>
      <c r="H13830" t="s">
        <v>11048</v>
      </c>
      <c r="I13830" t="s">
        <v>29433</v>
      </c>
      <c r="J13830" t="s">
        <v>38255</v>
      </c>
      <c r="K13830" t="s">
        <v>38496</v>
      </c>
      <c r="M13830" t="s">
        <v>41289</v>
      </c>
      <c r="N13830" t="s">
        <v>42669</v>
      </c>
      <c r="O13830" t="s">
        <v>42670</v>
      </c>
      <c r="Q13830">
        <v>13</v>
      </c>
      <c r="R13830" t="s">
        <v>42704</v>
      </c>
      <c r="S13830" t="s">
        <v>44044</v>
      </c>
      <c r="T13830" t="s">
        <v>44778</v>
      </c>
      <c r="U13830" t="s">
        <v>56025</v>
      </c>
      <c r="V13830" t="s">
        <v>57960</v>
      </c>
      <c r="W13830" t="s">
        <v>41289</v>
      </c>
      <c r="X13830" t="s">
        <v>42705</v>
      </c>
    </row>
    <row r="13831" spans="1:24">
      <c r="A13831">
        <f>HYPERLINK("https://www.philgeps.gov.ph/GEPSNONPILOT/Tender/SplashBidNoticeAbstractUI.aspx?menuIndex=3&amp;refID=7123888&amp;Result=3","7123888")</f>
        <v>0</v>
      </c>
      <c r="B13831" t="s">
        <v>2354</v>
      </c>
      <c r="C13831" t="s">
        <v>16777</v>
      </c>
      <c r="D13831" t="s">
        <v>17174</v>
      </c>
      <c r="E13831" t="s">
        <v>29018</v>
      </c>
      <c r="F13831" t="s">
        <v>29372</v>
      </c>
      <c r="G13831" t="s">
        <v>29380</v>
      </c>
      <c r="H13831" t="s">
        <v>11048</v>
      </c>
      <c r="I13831" t="s">
        <v>3839</v>
      </c>
      <c r="J13831" t="s">
        <v>35030</v>
      </c>
      <c r="K13831" t="s">
        <v>38495</v>
      </c>
      <c r="M13831" t="s">
        <v>41289</v>
      </c>
      <c r="N13831" t="s">
        <v>42669</v>
      </c>
      <c r="O13831" t="s">
        <v>42670</v>
      </c>
      <c r="Q13831">
        <v>13</v>
      </c>
      <c r="R13831" t="s">
        <v>42704</v>
      </c>
      <c r="S13831" t="s">
        <v>44045</v>
      </c>
      <c r="T13831" t="s">
        <v>44666</v>
      </c>
      <c r="U13831" t="s">
        <v>56026</v>
      </c>
      <c r="V13831" t="s">
        <v>57961</v>
      </c>
      <c r="W13831" t="s">
        <v>41289</v>
      </c>
      <c r="X13831" t="s">
        <v>42705</v>
      </c>
    </row>
    <row r="13832" spans="1:24">
      <c r="A13832">
        <f>HYPERLINK("https://www.philgeps.gov.ph/GEPSNONPILOT/Tender/SplashBidNoticeAbstractUI.aspx?menuIndex=3&amp;refID=7125112&amp;Result=3","7125112")</f>
        <v>0</v>
      </c>
      <c r="B13832" t="s">
        <v>3487</v>
      </c>
      <c r="C13832" t="s">
        <v>16778</v>
      </c>
      <c r="D13832" t="s">
        <v>17141</v>
      </c>
      <c r="E13832" t="s">
        <v>29019</v>
      </c>
      <c r="F13832" t="s">
        <v>29372</v>
      </c>
      <c r="G13832" t="s">
        <v>29380</v>
      </c>
      <c r="H13832" t="s">
        <v>29391</v>
      </c>
      <c r="I13832" t="s">
        <v>29391</v>
      </c>
      <c r="J13832" t="s">
        <v>38256</v>
      </c>
      <c r="K13832" t="s">
        <v>38522</v>
      </c>
      <c r="M13832" t="s">
        <v>42618</v>
      </c>
      <c r="N13832" t="s">
        <v>42669</v>
      </c>
      <c r="O13832" t="s">
        <v>42670</v>
      </c>
      <c r="Q13832">
        <v>13</v>
      </c>
      <c r="R13832" t="s">
        <v>42704</v>
      </c>
      <c r="S13832" t="s">
        <v>44046</v>
      </c>
      <c r="T13832" t="s">
        <v>44405</v>
      </c>
      <c r="U13832" t="s">
        <v>56027</v>
      </c>
      <c r="W13832" t="s">
        <v>42618</v>
      </c>
      <c r="X13832" t="s">
        <v>42705</v>
      </c>
    </row>
    <row r="13833" spans="1:24">
      <c r="A13833">
        <f>HYPERLINK("https://www.philgeps.gov.ph/GEPSNONPILOT/Tender/SplashBidNoticeAbstractUI.aspx?menuIndex=3&amp;refID=7129543&amp;Result=3","7129543")</f>
        <v>0</v>
      </c>
      <c r="B13833" t="s">
        <v>306</v>
      </c>
      <c r="C13833" t="s">
        <v>16779</v>
      </c>
      <c r="D13833" t="s">
        <v>17141</v>
      </c>
      <c r="E13833" t="s">
        <v>29020</v>
      </c>
      <c r="F13833" t="s">
        <v>29372</v>
      </c>
      <c r="G13833" t="s">
        <v>29380</v>
      </c>
      <c r="H13833" t="s">
        <v>29389</v>
      </c>
      <c r="I13833" t="s">
        <v>10408</v>
      </c>
      <c r="J13833" t="s">
        <v>38257</v>
      </c>
      <c r="K13833" t="s">
        <v>38522</v>
      </c>
      <c r="M13833" t="s">
        <v>39065</v>
      </c>
      <c r="N13833" t="s">
        <v>42669</v>
      </c>
      <c r="O13833" t="s">
        <v>42670</v>
      </c>
      <c r="Q13833">
        <v>13</v>
      </c>
      <c r="R13833" t="s">
        <v>42703</v>
      </c>
      <c r="S13833" t="s">
        <v>44047</v>
      </c>
      <c r="T13833" t="s">
        <v>44491</v>
      </c>
      <c r="U13833" t="s">
        <v>56028</v>
      </c>
      <c r="W13833" t="s">
        <v>39065</v>
      </c>
      <c r="X13833" t="s">
        <v>42704</v>
      </c>
    </row>
    <row r="13834" spans="1:24">
      <c r="A13834">
        <f>HYPERLINK("https://www.philgeps.gov.ph/GEPSNONPILOT/Tender/SplashBidNoticeAbstractUI.aspx?menuIndex=3&amp;refID=7131795&amp;Result=3","7131795")</f>
        <v>0</v>
      </c>
      <c r="B13834" t="s">
        <v>37</v>
      </c>
      <c r="C13834" t="s">
        <v>16780</v>
      </c>
      <c r="E13834" t="s">
        <v>19228</v>
      </c>
      <c r="F13834" t="s">
        <v>29372</v>
      </c>
      <c r="G13834" t="s">
        <v>29380</v>
      </c>
      <c r="H13834" t="s">
        <v>11048</v>
      </c>
      <c r="I13834" t="s">
        <v>8614</v>
      </c>
      <c r="J13834" t="s">
        <v>38258</v>
      </c>
      <c r="K13834" t="s">
        <v>38490</v>
      </c>
      <c r="M13834" t="s">
        <v>38790</v>
      </c>
      <c r="N13834" t="s">
        <v>42669</v>
      </c>
      <c r="O13834" t="s">
        <v>42670</v>
      </c>
      <c r="Q13834">
        <v>2</v>
      </c>
      <c r="R13834" t="s">
        <v>42702</v>
      </c>
      <c r="S13834" t="s">
        <v>44048</v>
      </c>
      <c r="T13834" t="s">
        <v>44866</v>
      </c>
      <c r="U13834" t="s">
        <v>56029</v>
      </c>
      <c r="W13834" t="s">
        <v>38790</v>
      </c>
      <c r="X13834" t="s">
        <v>42703</v>
      </c>
    </row>
    <row r="13835" spans="1:24">
      <c r="A13835">
        <f>HYPERLINK("https://www.philgeps.gov.ph/GEPSNONPILOT/Tender/SplashBidNoticeAbstractUI.aspx?menuIndex=3&amp;refID=6974663&amp;Result=3","6974663")</f>
        <v>0</v>
      </c>
      <c r="B13835" t="s">
        <v>1930</v>
      </c>
      <c r="C13835" t="s">
        <v>8856</v>
      </c>
      <c r="D13835" t="s">
        <v>17185</v>
      </c>
      <c r="E13835" t="s">
        <v>29021</v>
      </c>
      <c r="F13835" t="s">
        <v>29372</v>
      </c>
      <c r="G13835" t="s">
        <v>29380</v>
      </c>
      <c r="H13835" t="s">
        <v>11048</v>
      </c>
      <c r="I13835" t="s">
        <v>3695</v>
      </c>
      <c r="J13835" t="s">
        <v>38259</v>
      </c>
      <c r="K13835" t="s">
        <v>38510</v>
      </c>
      <c r="M13835" t="s">
        <v>40808</v>
      </c>
      <c r="N13835" t="s">
        <v>42669</v>
      </c>
      <c r="O13835" t="s">
        <v>42670</v>
      </c>
      <c r="Q13835">
        <v>28</v>
      </c>
      <c r="R13835" t="s">
        <v>42704</v>
      </c>
      <c r="S13835" t="s">
        <v>44049</v>
      </c>
      <c r="T13835" t="s">
        <v>44548</v>
      </c>
      <c r="U13835" t="s">
        <v>56030</v>
      </c>
      <c r="W13835" t="s">
        <v>40808</v>
      </c>
      <c r="X13835" t="s">
        <v>58151</v>
      </c>
    </row>
    <row r="13836" spans="1:24">
      <c r="A13836">
        <f>HYPERLINK("https://www.philgeps.gov.ph/GEPSNONPILOT/Tender/SplashBidNoticeAbstractUI.aspx?menuIndex=3&amp;refID=7129268&amp;Result=3","7129268")</f>
        <v>0</v>
      </c>
      <c r="B13836" t="s">
        <v>3166</v>
      </c>
      <c r="C13836" t="s">
        <v>16781</v>
      </c>
      <c r="D13836" t="s">
        <v>17214</v>
      </c>
      <c r="E13836" t="s">
        <v>29022</v>
      </c>
      <c r="F13836" t="s">
        <v>29372</v>
      </c>
      <c r="G13836" t="s">
        <v>29380</v>
      </c>
      <c r="H13836" t="s">
        <v>29390</v>
      </c>
      <c r="I13836" t="s">
        <v>29511</v>
      </c>
      <c r="J13836" t="s">
        <v>38260</v>
      </c>
      <c r="K13836" t="s">
        <v>38487</v>
      </c>
      <c r="M13836" t="s">
        <v>42216</v>
      </c>
      <c r="N13836" t="s">
        <v>42669</v>
      </c>
      <c r="O13836" t="s">
        <v>42670</v>
      </c>
      <c r="Q13836">
        <v>47</v>
      </c>
      <c r="R13836" t="s">
        <v>42703</v>
      </c>
      <c r="S13836" t="s">
        <v>44050</v>
      </c>
      <c r="T13836" t="s">
        <v>44485</v>
      </c>
      <c r="U13836" t="s">
        <v>56031</v>
      </c>
      <c r="W13836" t="s">
        <v>42216</v>
      </c>
      <c r="X13836" t="s">
        <v>42704</v>
      </c>
    </row>
    <row r="13837" spans="1:24">
      <c r="A13837">
        <f>HYPERLINK("https://www.philgeps.gov.ph/GEPSNONPILOT/Tender/SplashBidNoticeAbstractUI.aspx?menuIndex=3&amp;refID=7127922&amp;Result=3","7127922")</f>
        <v>0</v>
      </c>
      <c r="B13837" t="s">
        <v>971</v>
      </c>
      <c r="C13837" t="s">
        <v>16782</v>
      </c>
      <c r="D13837" t="s">
        <v>17199</v>
      </c>
      <c r="E13837" t="s">
        <v>29023</v>
      </c>
      <c r="F13837" t="s">
        <v>29372</v>
      </c>
      <c r="G13837" t="s">
        <v>29380</v>
      </c>
      <c r="H13837" t="s">
        <v>29389</v>
      </c>
      <c r="I13837" t="s">
        <v>10408</v>
      </c>
      <c r="J13837" t="s">
        <v>38261</v>
      </c>
      <c r="K13837" t="s">
        <v>38490</v>
      </c>
      <c r="L13837" t="s">
        <v>971</v>
      </c>
      <c r="M13837" t="s">
        <v>42545</v>
      </c>
      <c r="N13837" t="s">
        <v>42669</v>
      </c>
      <c r="O13837" t="s">
        <v>42670</v>
      </c>
      <c r="Q13837">
        <v>2</v>
      </c>
      <c r="R13837" t="s">
        <v>42703</v>
      </c>
      <c r="S13837" t="s">
        <v>42835</v>
      </c>
      <c r="T13837" t="s">
        <v>44668</v>
      </c>
      <c r="U13837" t="s">
        <v>56032</v>
      </c>
      <c r="V13837" t="s">
        <v>57890</v>
      </c>
      <c r="W13837" t="s">
        <v>42545</v>
      </c>
      <c r="X13837" t="s">
        <v>42704</v>
      </c>
    </row>
    <row r="13838" spans="1:24">
      <c r="A13838">
        <f>HYPERLINK("https://www.philgeps.gov.ph/GEPSNONPILOT/Tender/SplashBidNoticeAbstractUI.aspx?menuIndex=3&amp;refID=7131765&amp;Result=3","7131765")</f>
        <v>0</v>
      </c>
      <c r="B13838" t="s">
        <v>37</v>
      </c>
      <c r="C13838" t="s">
        <v>16783</v>
      </c>
      <c r="E13838" t="s">
        <v>18689</v>
      </c>
      <c r="F13838" t="s">
        <v>29372</v>
      </c>
      <c r="G13838" t="s">
        <v>29380</v>
      </c>
      <c r="H13838" t="s">
        <v>11048</v>
      </c>
      <c r="I13838" t="s">
        <v>9469</v>
      </c>
      <c r="J13838" t="s">
        <v>29788</v>
      </c>
      <c r="K13838" t="s">
        <v>38490</v>
      </c>
      <c r="M13838" t="s">
        <v>38790</v>
      </c>
      <c r="N13838" t="s">
        <v>42669</v>
      </c>
      <c r="O13838" t="s">
        <v>42670</v>
      </c>
      <c r="Q13838">
        <v>6</v>
      </c>
      <c r="R13838" t="s">
        <v>42702</v>
      </c>
      <c r="S13838" t="s">
        <v>44051</v>
      </c>
      <c r="T13838" t="s">
        <v>44866</v>
      </c>
      <c r="U13838" t="s">
        <v>56033</v>
      </c>
      <c r="W13838" t="s">
        <v>38790</v>
      </c>
      <c r="X13838" t="s">
        <v>42703</v>
      </c>
    </row>
    <row r="13839" spans="1:24">
      <c r="A13839">
        <f>HYPERLINK("https://www.philgeps.gov.ph/GEPSNONPILOT/Tender/SplashBidNoticeAbstractUI.aspx?menuIndex=3&amp;refID=7124792&amp;Result=3","7124792")</f>
        <v>0</v>
      </c>
      <c r="B13839" t="s">
        <v>2793</v>
      </c>
      <c r="C13839" t="s">
        <v>16784</v>
      </c>
      <c r="D13839" t="s">
        <v>17141</v>
      </c>
      <c r="E13839" t="s">
        <v>29024</v>
      </c>
      <c r="F13839" t="s">
        <v>29373</v>
      </c>
      <c r="G13839" t="s">
        <v>29380</v>
      </c>
      <c r="H13839" t="s">
        <v>11048</v>
      </c>
      <c r="I13839" t="s">
        <v>6417</v>
      </c>
      <c r="J13839" t="s">
        <v>30596</v>
      </c>
      <c r="K13839" t="s">
        <v>38488</v>
      </c>
      <c r="M13839" t="s">
        <v>41781</v>
      </c>
      <c r="N13839" t="s">
        <v>42669</v>
      </c>
      <c r="O13839" t="s">
        <v>42670</v>
      </c>
      <c r="Q13839">
        <v>5</v>
      </c>
      <c r="R13839" t="s">
        <v>42704</v>
      </c>
      <c r="S13839" t="s">
        <v>44052</v>
      </c>
      <c r="T13839" t="s">
        <v>44419</v>
      </c>
      <c r="U13839" t="s">
        <v>56034</v>
      </c>
      <c r="W13839" t="s">
        <v>41781</v>
      </c>
      <c r="X13839" t="s">
        <v>42705</v>
      </c>
    </row>
    <row r="13840" spans="1:24">
      <c r="A13840">
        <f>HYPERLINK("https://www.philgeps.gov.ph/GEPSNONPILOT/Tender/SplashBidNoticeAbstractUI.aspx?menuIndex=3&amp;refID=7123835&amp;Result=3","7123835")</f>
        <v>0</v>
      </c>
      <c r="B13840" t="s">
        <v>3488</v>
      </c>
      <c r="C13840" t="s">
        <v>16785</v>
      </c>
      <c r="D13840" t="s">
        <v>17199</v>
      </c>
      <c r="E13840" t="s">
        <v>29025</v>
      </c>
      <c r="F13840" t="s">
        <v>29372</v>
      </c>
      <c r="G13840" t="s">
        <v>29380</v>
      </c>
      <c r="H13840" t="s">
        <v>29390</v>
      </c>
      <c r="I13840" t="s">
        <v>4235</v>
      </c>
      <c r="J13840" t="s">
        <v>38262</v>
      </c>
      <c r="K13840" t="s">
        <v>38580</v>
      </c>
      <c r="M13840" t="s">
        <v>42619</v>
      </c>
      <c r="N13840" t="s">
        <v>42669</v>
      </c>
      <c r="O13840" t="s">
        <v>42670</v>
      </c>
      <c r="P13840">
        <v>0</v>
      </c>
      <c r="Q13840">
        <v>9</v>
      </c>
      <c r="R13840" t="s">
        <v>42704</v>
      </c>
      <c r="S13840" t="s">
        <v>44040</v>
      </c>
      <c r="T13840" t="s">
        <v>44868</v>
      </c>
      <c r="U13840" t="s">
        <v>56035</v>
      </c>
      <c r="W13840" t="s">
        <v>42619</v>
      </c>
      <c r="X13840" t="s">
        <v>42705</v>
      </c>
    </row>
    <row r="13841" spans="1:24">
      <c r="A13841">
        <f>HYPERLINK("https://www.philgeps.gov.ph/GEPSNONPILOT/Tender/SplashBidNoticeAbstractUI.aspx?menuIndex=3&amp;refID=7126351&amp;Result=3","7126351")</f>
        <v>0</v>
      </c>
      <c r="B13841" t="s">
        <v>1066</v>
      </c>
      <c r="C13841" t="s">
        <v>16786</v>
      </c>
      <c r="D13841" t="s">
        <v>17199</v>
      </c>
      <c r="E13841" t="s">
        <v>29026</v>
      </c>
      <c r="F13841" t="s">
        <v>29372</v>
      </c>
      <c r="G13841" t="s">
        <v>29380</v>
      </c>
      <c r="H13841" t="s">
        <v>29389</v>
      </c>
      <c r="I13841" t="s">
        <v>10408</v>
      </c>
      <c r="J13841" t="s">
        <v>29937</v>
      </c>
      <c r="K13841" t="s">
        <v>38495</v>
      </c>
      <c r="M13841" t="s">
        <v>42620</v>
      </c>
      <c r="N13841" t="s">
        <v>42669</v>
      </c>
      <c r="O13841" t="s">
        <v>42670</v>
      </c>
      <c r="Q13841">
        <v>7</v>
      </c>
      <c r="R13841" t="s">
        <v>42704</v>
      </c>
      <c r="S13841" t="s">
        <v>44053</v>
      </c>
      <c r="T13841" t="s">
        <v>44425</v>
      </c>
      <c r="U13841" t="s">
        <v>56036</v>
      </c>
      <c r="W13841" t="s">
        <v>42620</v>
      </c>
      <c r="X13841" t="s">
        <v>42705</v>
      </c>
    </row>
    <row r="13842" spans="1:24">
      <c r="A13842">
        <f>HYPERLINK("https://www.philgeps.gov.ph/GEPSNONPILOT/Tender/SplashBidNoticeAbstractUI.aspx?menuIndex=3&amp;refID=7126341&amp;Result=3","7126341")</f>
        <v>0</v>
      </c>
      <c r="B13842" t="s">
        <v>1066</v>
      </c>
      <c r="C13842" t="s">
        <v>16787</v>
      </c>
      <c r="D13842" t="s">
        <v>17204</v>
      </c>
      <c r="E13842" t="s">
        <v>29027</v>
      </c>
      <c r="F13842" t="s">
        <v>29372</v>
      </c>
      <c r="G13842" t="s">
        <v>29380</v>
      </c>
      <c r="H13842" t="s">
        <v>29389</v>
      </c>
      <c r="I13842" t="s">
        <v>10408</v>
      </c>
      <c r="J13842" t="s">
        <v>30161</v>
      </c>
      <c r="K13842" t="s">
        <v>38533</v>
      </c>
      <c r="M13842" t="s">
        <v>42620</v>
      </c>
      <c r="N13842" t="s">
        <v>42669</v>
      </c>
      <c r="O13842" t="s">
        <v>42670</v>
      </c>
      <c r="Q13842">
        <v>12</v>
      </c>
      <c r="R13842" t="s">
        <v>42704</v>
      </c>
      <c r="S13842" t="s">
        <v>43579</v>
      </c>
      <c r="T13842" t="s">
        <v>44427</v>
      </c>
      <c r="U13842" t="s">
        <v>56037</v>
      </c>
      <c r="W13842" t="s">
        <v>42620</v>
      </c>
      <c r="X13842" t="s">
        <v>42705</v>
      </c>
    </row>
    <row r="13843" spans="1:24">
      <c r="A13843">
        <f>HYPERLINK("https://www.philgeps.gov.ph/GEPSNONPILOT/Tender/SplashBidNoticeAbstractUI.aspx?menuIndex=3&amp;refID=7126067&amp;Result=3","7126067")</f>
        <v>0</v>
      </c>
      <c r="B13843" t="s">
        <v>3489</v>
      </c>
      <c r="C13843" t="s">
        <v>16788</v>
      </c>
      <c r="D13843" t="s">
        <v>17141</v>
      </c>
      <c r="E13843" t="s">
        <v>29028</v>
      </c>
      <c r="F13843" t="s">
        <v>29372</v>
      </c>
      <c r="G13843" t="s">
        <v>29380</v>
      </c>
      <c r="H13843" t="s">
        <v>11048</v>
      </c>
      <c r="I13843" t="s">
        <v>6417</v>
      </c>
      <c r="J13843" t="s">
        <v>38263</v>
      </c>
      <c r="K13843" t="s">
        <v>38491</v>
      </c>
      <c r="M13843" t="s">
        <v>42621</v>
      </c>
      <c r="N13843" t="s">
        <v>42669</v>
      </c>
      <c r="O13843" t="s">
        <v>42670</v>
      </c>
      <c r="Q13843">
        <v>10</v>
      </c>
      <c r="R13843" t="s">
        <v>42704</v>
      </c>
      <c r="S13843" t="s">
        <v>44054</v>
      </c>
      <c r="T13843" t="s">
        <v>44442</v>
      </c>
      <c r="U13843" t="s">
        <v>56038</v>
      </c>
      <c r="W13843" t="s">
        <v>42621</v>
      </c>
      <c r="X13843" t="s">
        <v>42705</v>
      </c>
    </row>
    <row r="13844" spans="1:24">
      <c r="A13844">
        <f>HYPERLINK("https://www.philgeps.gov.ph/GEPSNONPILOT/Tender/SplashBidNoticeAbstractUI.aspx?menuIndex=3&amp;refID=7126337&amp;Result=3","7126337")</f>
        <v>0</v>
      </c>
      <c r="B13844" t="s">
        <v>1066</v>
      </c>
      <c r="C13844" t="s">
        <v>16789</v>
      </c>
      <c r="D13844" t="s">
        <v>17197</v>
      </c>
      <c r="E13844" t="s">
        <v>29029</v>
      </c>
      <c r="F13844" t="s">
        <v>29372</v>
      </c>
      <c r="G13844" t="s">
        <v>29380</v>
      </c>
      <c r="H13844" t="s">
        <v>29389</v>
      </c>
      <c r="I13844" t="s">
        <v>10408</v>
      </c>
      <c r="J13844" t="s">
        <v>31894</v>
      </c>
      <c r="K13844" t="s">
        <v>38564</v>
      </c>
      <c r="M13844" t="s">
        <v>42620</v>
      </c>
      <c r="N13844" t="s">
        <v>42669</v>
      </c>
      <c r="O13844" t="s">
        <v>42670</v>
      </c>
      <c r="Q13844">
        <v>3</v>
      </c>
      <c r="R13844" t="s">
        <v>42704</v>
      </c>
      <c r="S13844" t="s">
        <v>44055</v>
      </c>
      <c r="T13844" t="s">
        <v>44489</v>
      </c>
      <c r="U13844" t="s">
        <v>56039</v>
      </c>
      <c r="W13844" t="s">
        <v>42620</v>
      </c>
      <c r="X13844" t="s">
        <v>42705</v>
      </c>
    </row>
    <row r="13845" spans="1:24">
      <c r="A13845">
        <f>HYPERLINK("https://www.philgeps.gov.ph/GEPSNONPILOT/Tender/SplashBidNoticeAbstractUI.aspx?menuIndex=3&amp;refID=7128105&amp;Result=3","7128105")</f>
        <v>0</v>
      </c>
      <c r="B13845" t="s">
        <v>1232</v>
      </c>
      <c r="C13845" t="s">
        <v>16790</v>
      </c>
      <c r="D13845" t="s">
        <v>17141</v>
      </c>
      <c r="E13845" t="s">
        <v>29030</v>
      </c>
      <c r="F13845" t="s">
        <v>29372</v>
      </c>
      <c r="G13845" t="s">
        <v>29380</v>
      </c>
      <c r="H13845" t="s">
        <v>11048</v>
      </c>
      <c r="I13845" t="s">
        <v>8614</v>
      </c>
      <c r="J13845" t="s">
        <v>38264</v>
      </c>
      <c r="K13845" t="s">
        <v>38490</v>
      </c>
      <c r="M13845" t="s">
        <v>42622</v>
      </c>
      <c r="N13845" t="s">
        <v>42669</v>
      </c>
      <c r="O13845" t="s">
        <v>42670</v>
      </c>
      <c r="Q13845">
        <v>18</v>
      </c>
      <c r="R13845" t="s">
        <v>42703</v>
      </c>
      <c r="S13845" t="s">
        <v>43740</v>
      </c>
      <c r="T13845" t="s">
        <v>44488</v>
      </c>
      <c r="U13845" t="s">
        <v>56040</v>
      </c>
      <c r="W13845" t="s">
        <v>42622</v>
      </c>
      <c r="X13845" t="s">
        <v>42704</v>
      </c>
    </row>
    <row r="13846" spans="1:24">
      <c r="A13846">
        <f>HYPERLINK("https://www.philgeps.gov.ph/GEPSNONPILOT/Tender/SplashBidNoticeAbstractUI.aspx?menuIndex=3&amp;refID=7125865&amp;Result=3","7125865")</f>
        <v>0</v>
      </c>
      <c r="B13846" t="s">
        <v>566</v>
      </c>
      <c r="C13846" t="s">
        <v>16791</v>
      </c>
      <c r="E13846" t="s">
        <v>29031</v>
      </c>
      <c r="F13846" t="s">
        <v>29372</v>
      </c>
      <c r="G13846" t="s">
        <v>29380</v>
      </c>
      <c r="H13846" t="s">
        <v>11048</v>
      </c>
      <c r="I13846" t="s">
        <v>29400</v>
      </c>
      <c r="J13846" t="s">
        <v>38265</v>
      </c>
      <c r="K13846" t="s">
        <v>38490</v>
      </c>
      <c r="M13846" t="s">
        <v>39335</v>
      </c>
      <c r="N13846" t="s">
        <v>42669</v>
      </c>
      <c r="O13846" t="s">
        <v>42670</v>
      </c>
      <c r="Q13846">
        <v>19</v>
      </c>
      <c r="R13846" t="s">
        <v>42704</v>
      </c>
      <c r="S13846" t="s">
        <v>44056</v>
      </c>
      <c r="T13846" t="s">
        <v>44631</v>
      </c>
      <c r="U13846" t="s">
        <v>56041</v>
      </c>
      <c r="W13846" t="s">
        <v>39335</v>
      </c>
      <c r="X13846" t="s">
        <v>42705</v>
      </c>
    </row>
    <row r="13847" spans="1:24">
      <c r="A13847">
        <f>HYPERLINK("https://www.philgeps.gov.ph/GEPSNONPILOT/Tender/SplashBidNoticeAbstractUI.aspx?menuIndex=3&amp;refID=7125840&amp;Result=3","7125840")</f>
        <v>0</v>
      </c>
      <c r="B13847" t="s">
        <v>566</v>
      </c>
      <c r="C13847" t="s">
        <v>16792</v>
      </c>
      <c r="E13847" t="s">
        <v>29032</v>
      </c>
      <c r="F13847" t="s">
        <v>29372</v>
      </c>
      <c r="G13847" t="s">
        <v>29380</v>
      </c>
      <c r="H13847" t="s">
        <v>11048</v>
      </c>
      <c r="I13847" t="s">
        <v>29400</v>
      </c>
      <c r="J13847" t="s">
        <v>30046</v>
      </c>
      <c r="K13847" t="s">
        <v>38490</v>
      </c>
      <c r="M13847" t="s">
        <v>39335</v>
      </c>
      <c r="N13847" t="s">
        <v>42669</v>
      </c>
      <c r="O13847" t="s">
        <v>42670</v>
      </c>
      <c r="Q13847">
        <v>20</v>
      </c>
      <c r="R13847" t="s">
        <v>42704</v>
      </c>
      <c r="S13847" t="s">
        <v>44057</v>
      </c>
      <c r="T13847" t="s">
        <v>44631</v>
      </c>
      <c r="U13847" t="s">
        <v>56041</v>
      </c>
      <c r="W13847" t="s">
        <v>39335</v>
      </c>
      <c r="X13847" t="s">
        <v>42705</v>
      </c>
    </row>
    <row r="13848" spans="1:24">
      <c r="A13848">
        <f>HYPERLINK("https://www.philgeps.gov.ph/GEPSNONPILOT/Tender/SplashBidNoticeAbstractUI.aspx?menuIndex=3&amp;refID=7125234&amp;Result=3","7125234")</f>
        <v>0</v>
      </c>
      <c r="B13848" t="s">
        <v>3490</v>
      </c>
      <c r="C13848" t="s">
        <v>16793</v>
      </c>
      <c r="D13848" t="s">
        <v>17168</v>
      </c>
      <c r="E13848" t="s">
        <v>29033</v>
      </c>
      <c r="F13848" t="s">
        <v>29372</v>
      </c>
      <c r="G13848" t="s">
        <v>29380</v>
      </c>
      <c r="H13848" t="s">
        <v>11048</v>
      </c>
      <c r="I13848" t="s">
        <v>4709</v>
      </c>
      <c r="J13848" t="s">
        <v>38266</v>
      </c>
      <c r="K13848" t="s">
        <v>38533</v>
      </c>
      <c r="M13848" t="s">
        <v>42623</v>
      </c>
      <c r="N13848" t="s">
        <v>42669</v>
      </c>
      <c r="O13848" t="s">
        <v>42670</v>
      </c>
      <c r="Q13848">
        <v>5</v>
      </c>
      <c r="R13848" t="s">
        <v>42704</v>
      </c>
      <c r="S13848" t="s">
        <v>44058</v>
      </c>
      <c r="T13848" t="s">
        <v>44401</v>
      </c>
      <c r="U13848" t="s">
        <v>56042</v>
      </c>
      <c r="W13848" t="s">
        <v>42623</v>
      </c>
      <c r="X13848" t="s">
        <v>42705</v>
      </c>
    </row>
    <row r="13849" spans="1:24">
      <c r="A13849">
        <f>HYPERLINK("https://www.philgeps.gov.ph/GEPSNONPILOT/Tender/SplashBidNoticeAbstractUI.aspx?menuIndex=3&amp;refID=7126330&amp;Result=3","7126330")</f>
        <v>0</v>
      </c>
      <c r="B13849" t="s">
        <v>1066</v>
      </c>
      <c r="C13849" t="s">
        <v>16794</v>
      </c>
      <c r="D13849" t="s">
        <v>17141</v>
      </c>
      <c r="E13849" t="s">
        <v>29034</v>
      </c>
      <c r="F13849" t="s">
        <v>29372</v>
      </c>
      <c r="G13849" t="s">
        <v>29380</v>
      </c>
      <c r="H13849" t="s">
        <v>29389</v>
      </c>
      <c r="I13849" t="s">
        <v>10408</v>
      </c>
      <c r="J13849" t="s">
        <v>29788</v>
      </c>
      <c r="K13849" t="s">
        <v>38522</v>
      </c>
      <c r="M13849" t="s">
        <v>42620</v>
      </c>
      <c r="N13849" t="s">
        <v>42669</v>
      </c>
      <c r="O13849" t="s">
        <v>42670</v>
      </c>
      <c r="Q13849">
        <v>10</v>
      </c>
      <c r="R13849" t="s">
        <v>42704</v>
      </c>
      <c r="S13849" t="s">
        <v>44059</v>
      </c>
      <c r="T13849" t="s">
        <v>44491</v>
      </c>
      <c r="U13849" t="s">
        <v>56043</v>
      </c>
      <c r="W13849" t="s">
        <v>42620</v>
      </c>
      <c r="X13849" t="s">
        <v>42705</v>
      </c>
    </row>
    <row r="13850" spans="1:24">
      <c r="A13850">
        <f>HYPERLINK("https://www.philgeps.gov.ph/GEPSNONPILOT/Tender/SplashBidNoticeAbstractUI.aspx?menuIndex=3&amp;refID=7125710&amp;Result=3","7125710")</f>
        <v>0</v>
      </c>
      <c r="B13850" t="s">
        <v>824</v>
      </c>
      <c r="C13850" t="s">
        <v>16795</v>
      </c>
      <c r="D13850" t="s">
        <v>17168</v>
      </c>
      <c r="E13850" t="s">
        <v>29035</v>
      </c>
      <c r="F13850" t="s">
        <v>29372</v>
      </c>
      <c r="G13850" t="s">
        <v>29380</v>
      </c>
      <c r="H13850" t="s">
        <v>29389</v>
      </c>
      <c r="I13850" t="s">
        <v>10408</v>
      </c>
      <c r="J13850" t="s">
        <v>38267</v>
      </c>
      <c r="K13850" t="s">
        <v>38719</v>
      </c>
      <c r="M13850" t="s">
        <v>42596</v>
      </c>
      <c r="N13850" t="s">
        <v>42669</v>
      </c>
      <c r="O13850" t="s">
        <v>42670</v>
      </c>
      <c r="Q13850">
        <v>10</v>
      </c>
      <c r="R13850" t="s">
        <v>42704</v>
      </c>
      <c r="S13850" t="s">
        <v>44060</v>
      </c>
      <c r="T13850" t="s">
        <v>44421</v>
      </c>
      <c r="U13850" t="s">
        <v>56044</v>
      </c>
      <c r="W13850" t="s">
        <v>42596</v>
      </c>
      <c r="X13850" t="s">
        <v>42705</v>
      </c>
    </row>
    <row r="13851" spans="1:24">
      <c r="A13851">
        <f>HYPERLINK("https://www.philgeps.gov.ph/GEPSNONPILOT/Tender/SplashBidNoticeAbstractUI.aspx?menuIndex=3&amp;refID=7125614&amp;Result=3","7125614")</f>
        <v>0</v>
      </c>
      <c r="B13851" t="s">
        <v>566</v>
      </c>
      <c r="C13851" t="s">
        <v>16796</v>
      </c>
      <c r="E13851" t="s">
        <v>29036</v>
      </c>
      <c r="F13851" t="s">
        <v>29372</v>
      </c>
      <c r="G13851" t="s">
        <v>29380</v>
      </c>
      <c r="H13851" t="s">
        <v>11048</v>
      </c>
      <c r="I13851" t="s">
        <v>29400</v>
      </c>
      <c r="J13851" t="s">
        <v>29924</v>
      </c>
      <c r="K13851" t="s">
        <v>38490</v>
      </c>
      <c r="M13851" t="s">
        <v>39335</v>
      </c>
      <c r="N13851" t="s">
        <v>42669</v>
      </c>
      <c r="O13851" t="s">
        <v>42670</v>
      </c>
      <c r="Q13851">
        <v>18</v>
      </c>
      <c r="R13851" t="s">
        <v>42704</v>
      </c>
      <c r="S13851" t="s">
        <v>44061</v>
      </c>
      <c r="T13851" t="s">
        <v>44631</v>
      </c>
      <c r="U13851" t="s">
        <v>56041</v>
      </c>
      <c r="W13851" t="s">
        <v>39335</v>
      </c>
      <c r="X13851" t="s">
        <v>42705</v>
      </c>
    </row>
    <row r="13852" spans="1:24">
      <c r="A13852">
        <f>HYPERLINK("https://www.philgeps.gov.ph/GEPSNONPILOT/Tender/SplashBidNoticeAbstractUI.aspx?menuIndex=3&amp;refID=7125588&amp;Result=3","7125588")</f>
        <v>0</v>
      </c>
      <c r="B13852" t="s">
        <v>119</v>
      </c>
      <c r="C13852" t="s">
        <v>16797</v>
      </c>
      <c r="E13852" t="s">
        <v>29037</v>
      </c>
      <c r="F13852" t="s">
        <v>29372</v>
      </c>
      <c r="G13852" t="s">
        <v>29380</v>
      </c>
      <c r="H13852" t="s">
        <v>29389</v>
      </c>
      <c r="I13852" t="s">
        <v>10408</v>
      </c>
      <c r="J13852" t="s">
        <v>36375</v>
      </c>
      <c r="K13852" t="s">
        <v>38490</v>
      </c>
      <c r="M13852" t="s">
        <v>42624</v>
      </c>
      <c r="N13852" t="s">
        <v>42669</v>
      </c>
      <c r="O13852" t="s">
        <v>42670</v>
      </c>
      <c r="Q13852">
        <v>6</v>
      </c>
      <c r="R13852" t="s">
        <v>42704</v>
      </c>
      <c r="S13852" t="s">
        <v>44062</v>
      </c>
      <c r="T13852" t="s">
        <v>44532</v>
      </c>
      <c r="U13852" t="s">
        <v>56045</v>
      </c>
      <c r="W13852" t="s">
        <v>42624</v>
      </c>
      <c r="X13852" t="s">
        <v>42705</v>
      </c>
    </row>
    <row r="13853" spans="1:24">
      <c r="A13853">
        <f>HYPERLINK("https://www.philgeps.gov.ph/GEPSNONPILOT/Tender/SplashBidNoticeAbstractUI.aspx?menuIndex=3&amp;refID=7120060&amp;Result=3","7120060")</f>
        <v>0</v>
      </c>
      <c r="B13853" t="s">
        <v>1966</v>
      </c>
      <c r="C13853" t="s">
        <v>16798</v>
      </c>
      <c r="D13853" t="s">
        <v>17169</v>
      </c>
      <c r="E13853" t="s">
        <v>29038</v>
      </c>
      <c r="F13853" t="s">
        <v>29372</v>
      </c>
      <c r="G13853" t="s">
        <v>29380</v>
      </c>
      <c r="H13853" t="s">
        <v>29389</v>
      </c>
      <c r="I13853" t="s">
        <v>10408</v>
      </c>
      <c r="J13853" t="s">
        <v>38268</v>
      </c>
      <c r="K13853" t="s">
        <v>38496</v>
      </c>
      <c r="M13853" t="s">
        <v>40851</v>
      </c>
      <c r="N13853" t="s">
        <v>42669</v>
      </c>
      <c r="O13853" t="s">
        <v>42670</v>
      </c>
      <c r="Q13853">
        <v>6</v>
      </c>
      <c r="R13853" t="s">
        <v>42705</v>
      </c>
      <c r="S13853" t="s">
        <v>43219</v>
      </c>
      <c r="T13853" t="s">
        <v>44399</v>
      </c>
      <c r="U13853" t="s">
        <v>56046</v>
      </c>
      <c r="W13853" t="s">
        <v>40851</v>
      </c>
      <c r="X13853" t="s">
        <v>42706</v>
      </c>
    </row>
    <row r="13854" spans="1:24">
      <c r="A13854">
        <f>HYPERLINK("https://www.philgeps.gov.ph/GEPSNONPILOT/Tender/SplashBidNoticeAbstractUI.aspx?menuIndex=3&amp;refID=7126321&amp;Result=3","7126321")</f>
        <v>0</v>
      </c>
      <c r="B13854" t="s">
        <v>1066</v>
      </c>
      <c r="C13854" t="s">
        <v>16799</v>
      </c>
      <c r="D13854" t="s">
        <v>17166</v>
      </c>
      <c r="E13854" t="s">
        <v>29039</v>
      </c>
      <c r="F13854" t="s">
        <v>29372</v>
      </c>
      <c r="G13854" t="s">
        <v>29380</v>
      </c>
      <c r="H13854" t="s">
        <v>29389</v>
      </c>
      <c r="I13854" t="s">
        <v>10408</v>
      </c>
      <c r="J13854" t="s">
        <v>29540</v>
      </c>
      <c r="K13854" t="s">
        <v>38495</v>
      </c>
      <c r="M13854" t="s">
        <v>42620</v>
      </c>
      <c r="N13854" t="s">
        <v>42669</v>
      </c>
      <c r="O13854" t="s">
        <v>42670</v>
      </c>
      <c r="Q13854">
        <v>8</v>
      </c>
      <c r="R13854" t="s">
        <v>42704</v>
      </c>
      <c r="S13854" t="s">
        <v>44063</v>
      </c>
      <c r="T13854" t="s">
        <v>44493</v>
      </c>
      <c r="U13854" t="s">
        <v>56047</v>
      </c>
      <c r="W13854" t="s">
        <v>42620</v>
      </c>
      <c r="X13854" t="s">
        <v>42705</v>
      </c>
    </row>
    <row r="13855" spans="1:24">
      <c r="A13855">
        <f>HYPERLINK("https://www.philgeps.gov.ph/GEPSNONPILOT/Tender/SplashBidNoticeAbstractUI.aspx?menuIndex=3&amp;refID=7116742&amp;Result=3","7116742")</f>
        <v>0</v>
      </c>
      <c r="B13855" t="s">
        <v>1183</v>
      </c>
      <c r="C13855" t="s">
        <v>16800</v>
      </c>
      <c r="D13855" t="s">
        <v>17171</v>
      </c>
      <c r="E13855" t="s">
        <v>29040</v>
      </c>
      <c r="F13855" t="s">
        <v>29372</v>
      </c>
      <c r="G13855" t="s">
        <v>29380</v>
      </c>
      <c r="H13855" t="s">
        <v>11048</v>
      </c>
      <c r="I13855" t="s">
        <v>14920</v>
      </c>
      <c r="J13855" t="s">
        <v>38269</v>
      </c>
      <c r="K13855" t="s">
        <v>38603</v>
      </c>
      <c r="M13855" t="s">
        <v>42625</v>
      </c>
      <c r="N13855" t="s">
        <v>42669</v>
      </c>
      <c r="O13855" t="s">
        <v>42670</v>
      </c>
      <c r="Q13855">
        <v>3</v>
      </c>
      <c r="R13855" t="s">
        <v>42706</v>
      </c>
      <c r="S13855" t="s">
        <v>44064</v>
      </c>
      <c r="T13855" t="s">
        <v>44505</v>
      </c>
      <c r="U13855" t="s">
        <v>56048</v>
      </c>
      <c r="V13855" t="s">
        <v>57962</v>
      </c>
      <c r="W13855" t="s">
        <v>42625</v>
      </c>
      <c r="X13855" t="s">
        <v>42707</v>
      </c>
    </row>
    <row r="13856" spans="1:24">
      <c r="A13856">
        <f>HYPERLINK("https://www.philgeps.gov.ph/GEPSNONPILOT/Tender/SplashBidNoticeAbstractUI.aspx?menuIndex=3&amp;refID=7125574&amp;Result=3","7125574")</f>
        <v>0</v>
      </c>
      <c r="B13856" t="s">
        <v>824</v>
      </c>
      <c r="C13856" t="s">
        <v>16801</v>
      </c>
      <c r="D13856" t="s">
        <v>17168</v>
      </c>
      <c r="E13856" t="s">
        <v>27553</v>
      </c>
      <c r="F13856" t="s">
        <v>29372</v>
      </c>
      <c r="G13856" t="s">
        <v>29380</v>
      </c>
      <c r="H13856" t="s">
        <v>29389</v>
      </c>
      <c r="I13856" t="s">
        <v>10408</v>
      </c>
      <c r="J13856" t="s">
        <v>31307</v>
      </c>
      <c r="K13856" t="s">
        <v>38566</v>
      </c>
      <c r="M13856" t="s">
        <v>42596</v>
      </c>
      <c r="N13856" t="s">
        <v>42669</v>
      </c>
      <c r="O13856" t="s">
        <v>42670</v>
      </c>
      <c r="Q13856">
        <v>20</v>
      </c>
      <c r="R13856" t="s">
        <v>42704</v>
      </c>
      <c r="S13856" t="s">
        <v>44065</v>
      </c>
      <c r="T13856" t="s">
        <v>44778</v>
      </c>
      <c r="U13856" t="s">
        <v>56049</v>
      </c>
      <c r="W13856" t="s">
        <v>42596</v>
      </c>
      <c r="X13856" t="s">
        <v>42705</v>
      </c>
    </row>
    <row r="13857" spans="1:24">
      <c r="A13857">
        <f>HYPERLINK("https://www.philgeps.gov.ph/GEPSNONPILOT/Tender/SplashBidNoticeAbstractUI.aspx?menuIndex=3&amp;refID=7122937&amp;Result=3","7122937")</f>
        <v>0</v>
      </c>
      <c r="B13857" t="s">
        <v>3491</v>
      </c>
      <c r="C13857" t="s">
        <v>16802</v>
      </c>
      <c r="D13857" t="s">
        <v>17165</v>
      </c>
      <c r="E13857" t="s">
        <v>29041</v>
      </c>
      <c r="F13857" t="s">
        <v>29372</v>
      </c>
      <c r="G13857" t="s">
        <v>29380</v>
      </c>
      <c r="H13857" t="s">
        <v>29389</v>
      </c>
      <c r="I13857" t="s">
        <v>10408</v>
      </c>
      <c r="J13857" t="s">
        <v>38270</v>
      </c>
      <c r="K13857" t="s">
        <v>38526</v>
      </c>
      <c r="M13857" t="s">
        <v>42626</v>
      </c>
      <c r="N13857" t="s">
        <v>42669</v>
      </c>
      <c r="O13857" t="s">
        <v>42670</v>
      </c>
      <c r="Q13857">
        <v>8</v>
      </c>
      <c r="R13857" t="s">
        <v>42705</v>
      </c>
      <c r="S13857" t="s">
        <v>44066</v>
      </c>
      <c r="T13857" t="s">
        <v>44398</v>
      </c>
      <c r="U13857" t="s">
        <v>56050</v>
      </c>
      <c r="W13857" t="s">
        <v>42626</v>
      </c>
      <c r="X13857" t="s">
        <v>42706</v>
      </c>
    </row>
    <row r="13858" spans="1:24">
      <c r="A13858">
        <f>HYPERLINK("https://www.philgeps.gov.ph/GEPSNONPILOT/Tender/SplashBidNoticeAbstractUI.aspx?menuIndex=3&amp;refID=7122821&amp;Result=3","7122821")</f>
        <v>0</v>
      </c>
      <c r="B13858" t="s">
        <v>3215</v>
      </c>
      <c r="C13858" t="s">
        <v>16803</v>
      </c>
      <c r="E13858" t="s">
        <v>29042</v>
      </c>
      <c r="F13858" t="s">
        <v>29372</v>
      </c>
      <c r="G13858" t="s">
        <v>29380</v>
      </c>
      <c r="H13858" t="s">
        <v>29389</v>
      </c>
      <c r="I13858" t="s">
        <v>10408</v>
      </c>
      <c r="J13858" t="s">
        <v>38271</v>
      </c>
      <c r="K13858" t="s">
        <v>38490</v>
      </c>
      <c r="M13858" t="s">
        <v>42627</v>
      </c>
      <c r="N13858" t="s">
        <v>42669</v>
      </c>
      <c r="O13858" t="s">
        <v>42670</v>
      </c>
      <c r="Q13858">
        <v>61</v>
      </c>
      <c r="R13858" t="s">
        <v>42705</v>
      </c>
      <c r="S13858" t="s">
        <v>44067</v>
      </c>
      <c r="T13858" t="s">
        <v>44401</v>
      </c>
      <c r="U13858" t="s">
        <v>56051</v>
      </c>
      <c r="W13858" t="s">
        <v>42627</v>
      </c>
      <c r="X13858" t="s">
        <v>42706</v>
      </c>
    </row>
    <row r="13859" spans="1:24">
      <c r="A13859">
        <f>HYPERLINK("https://www.philgeps.gov.ph/GEPSNONPILOT/Tender/SplashBidNoticeAbstractUI.aspx?menuIndex=3&amp;refID=7122700&amp;Result=3","7122700")</f>
        <v>0</v>
      </c>
      <c r="B13859" t="s">
        <v>3492</v>
      </c>
      <c r="C13859" t="s">
        <v>16804</v>
      </c>
      <c r="D13859" t="s">
        <v>17141</v>
      </c>
      <c r="E13859" t="s">
        <v>29043</v>
      </c>
      <c r="F13859" t="s">
        <v>29372</v>
      </c>
      <c r="G13859" t="s">
        <v>29380</v>
      </c>
      <c r="H13859" t="s">
        <v>11048</v>
      </c>
      <c r="I13859" t="s">
        <v>4487</v>
      </c>
      <c r="J13859" t="s">
        <v>38272</v>
      </c>
      <c r="K13859" t="s">
        <v>38485</v>
      </c>
      <c r="M13859" t="s">
        <v>42628</v>
      </c>
      <c r="N13859" t="s">
        <v>42669</v>
      </c>
      <c r="O13859" t="s">
        <v>42670</v>
      </c>
      <c r="Q13859">
        <v>12</v>
      </c>
      <c r="R13859" t="s">
        <v>42705</v>
      </c>
      <c r="S13859" t="s">
        <v>44068</v>
      </c>
      <c r="T13859" t="s">
        <v>44467</v>
      </c>
      <c r="U13859" t="s">
        <v>56052</v>
      </c>
      <c r="V13859" t="s">
        <v>57963</v>
      </c>
      <c r="W13859" t="s">
        <v>42628</v>
      </c>
      <c r="X13859" t="s">
        <v>42706</v>
      </c>
    </row>
    <row r="13860" spans="1:24">
      <c r="A13860">
        <f>HYPERLINK("https://www.philgeps.gov.ph/GEPSNONPILOT/Tender/SplashBidNoticeAbstractUI.aspx?menuIndex=3&amp;refID=6571698&amp;Result=3","6571698")</f>
        <v>0</v>
      </c>
      <c r="B13860" t="s">
        <v>3493</v>
      </c>
      <c r="C13860" t="s">
        <v>16805</v>
      </c>
      <c r="D13860" t="s">
        <v>17168</v>
      </c>
      <c r="E13860" t="s">
        <v>29044</v>
      </c>
      <c r="F13860" t="s">
        <v>29372</v>
      </c>
      <c r="G13860" t="s">
        <v>29380</v>
      </c>
      <c r="H13860" t="s">
        <v>29389</v>
      </c>
      <c r="I13860" t="s">
        <v>10408</v>
      </c>
      <c r="J13860" t="s">
        <v>29587</v>
      </c>
      <c r="K13860" t="s">
        <v>38488</v>
      </c>
      <c r="L13860" t="s">
        <v>3493</v>
      </c>
      <c r="M13860" t="s">
        <v>42629</v>
      </c>
      <c r="N13860" t="s">
        <v>42669</v>
      </c>
      <c r="O13860" t="s">
        <v>42670</v>
      </c>
      <c r="P13860">
        <v>0</v>
      </c>
      <c r="Q13860">
        <v>2</v>
      </c>
      <c r="R13860" t="s">
        <v>42706</v>
      </c>
      <c r="S13860" t="s">
        <v>44069</v>
      </c>
      <c r="T13860" t="s">
        <v>44454</v>
      </c>
      <c r="U13860" t="s">
        <v>56053</v>
      </c>
      <c r="W13860" t="s">
        <v>42629</v>
      </c>
      <c r="X13860" t="s">
        <v>58152</v>
      </c>
    </row>
    <row r="13861" spans="1:24">
      <c r="A13861">
        <f>HYPERLINK("https://www.philgeps.gov.ph/GEPSNONPILOT/Tender/SplashBidNoticeAbstractUI.aspx?menuIndex=3&amp;refID=7122668&amp;Result=3","7122668")</f>
        <v>0</v>
      </c>
      <c r="B13861" t="s">
        <v>3492</v>
      </c>
      <c r="C13861" t="s">
        <v>16806</v>
      </c>
      <c r="D13861" t="s">
        <v>17141</v>
      </c>
      <c r="E13861" t="s">
        <v>29045</v>
      </c>
      <c r="F13861" t="s">
        <v>29372</v>
      </c>
      <c r="G13861" t="s">
        <v>29380</v>
      </c>
      <c r="H13861" t="s">
        <v>11048</v>
      </c>
      <c r="I13861" t="s">
        <v>8614</v>
      </c>
      <c r="J13861" t="s">
        <v>38273</v>
      </c>
      <c r="K13861" t="s">
        <v>38485</v>
      </c>
      <c r="M13861" t="s">
        <v>42628</v>
      </c>
      <c r="N13861" t="s">
        <v>42669</v>
      </c>
      <c r="O13861" t="s">
        <v>42670</v>
      </c>
      <c r="Q13861">
        <v>18</v>
      </c>
      <c r="R13861" t="s">
        <v>42705</v>
      </c>
      <c r="S13861" t="s">
        <v>42791</v>
      </c>
      <c r="T13861" t="s">
        <v>44467</v>
      </c>
      <c r="U13861" t="s">
        <v>56054</v>
      </c>
      <c r="V13861" t="s">
        <v>57964</v>
      </c>
      <c r="W13861" t="s">
        <v>42628</v>
      </c>
      <c r="X13861" t="s">
        <v>42706</v>
      </c>
    </row>
    <row r="13862" spans="1:24">
      <c r="A13862">
        <f>HYPERLINK("https://www.philgeps.gov.ph/GEPSNONPILOT/Tender/SplashBidNoticeAbstractUI.aspx?menuIndex=3&amp;refID=7119822&amp;Result=3","7119822")</f>
        <v>0</v>
      </c>
      <c r="B13862" t="s">
        <v>1406</v>
      </c>
      <c r="C13862" t="s">
        <v>16807</v>
      </c>
      <c r="D13862" t="s">
        <v>17173</v>
      </c>
      <c r="E13862" t="s">
        <v>29046</v>
      </c>
      <c r="F13862" t="s">
        <v>29372</v>
      </c>
      <c r="G13862" t="s">
        <v>29380</v>
      </c>
      <c r="H13862" t="s">
        <v>29389</v>
      </c>
      <c r="I13862" t="s">
        <v>10408</v>
      </c>
      <c r="J13862" t="s">
        <v>31850</v>
      </c>
      <c r="K13862" t="s">
        <v>38766</v>
      </c>
      <c r="M13862" t="s">
        <v>40245</v>
      </c>
      <c r="N13862" t="s">
        <v>42669</v>
      </c>
      <c r="O13862" t="s">
        <v>42670</v>
      </c>
      <c r="Q13862">
        <v>0</v>
      </c>
      <c r="R13862" t="s">
        <v>42703</v>
      </c>
      <c r="S13862" t="s">
        <v>44070</v>
      </c>
      <c r="T13862" t="s">
        <v>44480</v>
      </c>
      <c r="U13862" t="s">
        <v>56055</v>
      </c>
      <c r="V13862" t="s">
        <v>57965</v>
      </c>
      <c r="W13862" t="s">
        <v>40245</v>
      </c>
      <c r="X13862" t="s">
        <v>42709</v>
      </c>
    </row>
    <row r="13863" spans="1:24">
      <c r="A13863">
        <f>HYPERLINK("https://www.philgeps.gov.ph/GEPSNONPILOT/Tender/SplashBidNoticeAbstractUI.aspx?menuIndex=3&amp;refID=7122567&amp;Result=3","7122567")</f>
        <v>0</v>
      </c>
      <c r="B13863" t="s">
        <v>1472</v>
      </c>
      <c r="C13863" t="s">
        <v>16808</v>
      </c>
      <c r="D13863" t="s">
        <v>17170</v>
      </c>
      <c r="E13863" t="s">
        <v>29047</v>
      </c>
      <c r="F13863" t="s">
        <v>29372</v>
      </c>
      <c r="G13863" t="s">
        <v>29380</v>
      </c>
      <c r="H13863" t="s">
        <v>29389</v>
      </c>
      <c r="I13863" t="s">
        <v>10408</v>
      </c>
      <c r="J13863" t="s">
        <v>29543</v>
      </c>
      <c r="K13863" t="s">
        <v>38496</v>
      </c>
      <c r="M13863" t="s">
        <v>40315</v>
      </c>
      <c r="N13863" t="s">
        <v>42669</v>
      </c>
      <c r="O13863" t="s">
        <v>42670</v>
      </c>
      <c r="P13863">
        <v>0</v>
      </c>
      <c r="Q13863">
        <v>0</v>
      </c>
      <c r="R13863" t="s">
        <v>42705</v>
      </c>
      <c r="S13863" t="s">
        <v>44071</v>
      </c>
      <c r="T13863" t="s">
        <v>44432</v>
      </c>
      <c r="U13863" t="s">
        <v>56056</v>
      </c>
      <c r="W13863" t="s">
        <v>40315</v>
      </c>
      <c r="X13863" t="s">
        <v>42706</v>
      </c>
    </row>
    <row r="13864" spans="1:24">
      <c r="A13864">
        <f>HYPERLINK("https://www.philgeps.gov.ph/GEPSNONPILOT/Tender/SplashBidNoticeAbstractUI.aspx?menuIndex=3&amp;refID=7122554&amp;Result=3","7122554")</f>
        <v>0</v>
      </c>
      <c r="B13864" t="s">
        <v>1472</v>
      </c>
      <c r="C13864" t="s">
        <v>16809</v>
      </c>
      <c r="D13864" t="s">
        <v>17170</v>
      </c>
      <c r="E13864" t="s">
        <v>29048</v>
      </c>
      <c r="F13864" t="s">
        <v>29372</v>
      </c>
      <c r="G13864" t="s">
        <v>29380</v>
      </c>
      <c r="H13864" t="s">
        <v>29389</v>
      </c>
      <c r="I13864" t="s">
        <v>10408</v>
      </c>
      <c r="J13864" t="s">
        <v>38274</v>
      </c>
      <c r="K13864" t="s">
        <v>38487</v>
      </c>
      <c r="M13864" t="s">
        <v>40315</v>
      </c>
      <c r="N13864" t="s">
        <v>42669</v>
      </c>
      <c r="O13864" t="s">
        <v>42670</v>
      </c>
      <c r="P13864">
        <v>0</v>
      </c>
      <c r="Q13864">
        <v>1</v>
      </c>
      <c r="R13864" t="s">
        <v>42705</v>
      </c>
      <c r="S13864" t="s">
        <v>44071</v>
      </c>
      <c r="T13864" t="s">
        <v>44432</v>
      </c>
      <c r="U13864" t="s">
        <v>56057</v>
      </c>
      <c r="W13864" t="s">
        <v>40315</v>
      </c>
      <c r="X13864" t="s">
        <v>42706</v>
      </c>
    </row>
    <row r="13865" spans="1:24">
      <c r="A13865">
        <f>HYPERLINK("https://www.philgeps.gov.ph/GEPSNONPILOT/Tender/SplashBidNoticeAbstractUI.aspx?menuIndex=3&amp;refID=7122506&amp;Result=3","7122506")</f>
        <v>0</v>
      </c>
      <c r="B13865" t="s">
        <v>1472</v>
      </c>
      <c r="C13865" t="s">
        <v>16810</v>
      </c>
      <c r="D13865" t="s">
        <v>17170</v>
      </c>
      <c r="E13865" t="s">
        <v>29049</v>
      </c>
      <c r="F13865" t="s">
        <v>29372</v>
      </c>
      <c r="G13865" t="s">
        <v>29380</v>
      </c>
      <c r="H13865" t="s">
        <v>29389</v>
      </c>
      <c r="I13865" t="s">
        <v>10408</v>
      </c>
      <c r="J13865" t="s">
        <v>29543</v>
      </c>
      <c r="K13865" t="s">
        <v>38496</v>
      </c>
      <c r="M13865" t="s">
        <v>40315</v>
      </c>
      <c r="N13865" t="s">
        <v>42669</v>
      </c>
      <c r="O13865" t="s">
        <v>42670</v>
      </c>
      <c r="P13865">
        <v>0</v>
      </c>
      <c r="Q13865">
        <v>0</v>
      </c>
      <c r="R13865" t="s">
        <v>42705</v>
      </c>
      <c r="S13865" t="s">
        <v>44071</v>
      </c>
      <c r="T13865" t="s">
        <v>44432</v>
      </c>
      <c r="U13865" t="s">
        <v>56058</v>
      </c>
      <c r="W13865" t="s">
        <v>40315</v>
      </c>
      <c r="X13865" t="s">
        <v>42706</v>
      </c>
    </row>
    <row r="13866" spans="1:24">
      <c r="A13866">
        <f>HYPERLINK("https://www.philgeps.gov.ph/GEPSNONPILOT/Tender/SplashBidNoticeAbstractUI.aspx?menuIndex=3&amp;refID=7122358&amp;Result=3","7122358")</f>
        <v>0</v>
      </c>
      <c r="B13866" t="s">
        <v>1812</v>
      </c>
      <c r="C13866" t="s">
        <v>16811</v>
      </c>
      <c r="D13866" t="s">
        <v>17194</v>
      </c>
      <c r="E13866" t="s">
        <v>29050</v>
      </c>
      <c r="F13866" t="s">
        <v>29372</v>
      </c>
      <c r="G13866" t="s">
        <v>29380</v>
      </c>
      <c r="H13866" t="s">
        <v>11048</v>
      </c>
      <c r="I13866" t="s">
        <v>29395</v>
      </c>
      <c r="J13866" t="s">
        <v>29555</v>
      </c>
      <c r="K13866" t="s">
        <v>38490</v>
      </c>
      <c r="M13866" t="s">
        <v>40683</v>
      </c>
      <c r="N13866" t="s">
        <v>42669</v>
      </c>
      <c r="O13866" t="s">
        <v>42670</v>
      </c>
      <c r="Q13866">
        <v>1</v>
      </c>
      <c r="R13866" t="s">
        <v>42705</v>
      </c>
      <c r="S13866" t="s">
        <v>44072</v>
      </c>
      <c r="T13866" t="s">
        <v>44354</v>
      </c>
      <c r="U13866" t="s">
        <v>56059</v>
      </c>
      <c r="W13866" t="s">
        <v>40683</v>
      </c>
      <c r="X13866" t="s">
        <v>42706</v>
      </c>
    </row>
    <row r="13867" spans="1:24">
      <c r="A13867">
        <f>HYPERLINK("https://www.philgeps.gov.ph/GEPSNONPILOT/Tender/SplashBidNoticeAbstractUI.aspx?menuIndex=3&amp;refID=7122300&amp;Result=3","7122300")</f>
        <v>0</v>
      </c>
      <c r="B13867" t="s">
        <v>2243</v>
      </c>
      <c r="C13867" t="s">
        <v>16812</v>
      </c>
      <c r="D13867" t="s">
        <v>17189</v>
      </c>
      <c r="E13867" t="s">
        <v>29051</v>
      </c>
      <c r="F13867" t="s">
        <v>29372</v>
      </c>
      <c r="G13867" t="s">
        <v>29380</v>
      </c>
      <c r="H13867" t="s">
        <v>29389</v>
      </c>
      <c r="I13867" t="s">
        <v>10408</v>
      </c>
      <c r="J13867" t="s">
        <v>38275</v>
      </c>
      <c r="K13867" t="s">
        <v>38520</v>
      </c>
      <c r="M13867" t="s">
        <v>42573</v>
      </c>
      <c r="N13867" t="s">
        <v>42669</v>
      </c>
      <c r="O13867" t="s">
        <v>42670</v>
      </c>
      <c r="Q13867">
        <v>4</v>
      </c>
      <c r="R13867" t="s">
        <v>42705</v>
      </c>
      <c r="S13867" t="s">
        <v>44073</v>
      </c>
      <c r="T13867" t="s">
        <v>44510</v>
      </c>
      <c r="U13867" t="s">
        <v>56060</v>
      </c>
      <c r="W13867" t="s">
        <v>42573</v>
      </c>
      <c r="X13867" t="s">
        <v>42706</v>
      </c>
    </row>
    <row r="13868" spans="1:24">
      <c r="A13868">
        <f>HYPERLINK("https://www.philgeps.gov.ph/GEPSNONPILOT/Tender/SplashBidNoticeAbstractUI.aspx?menuIndex=3&amp;refID=7122736&amp;Result=3","7122736")</f>
        <v>0</v>
      </c>
      <c r="B13868" t="s">
        <v>3492</v>
      </c>
      <c r="C13868" t="s">
        <v>16813</v>
      </c>
      <c r="D13868" t="s">
        <v>17141</v>
      </c>
      <c r="E13868" t="s">
        <v>29052</v>
      </c>
      <c r="F13868" t="s">
        <v>29372</v>
      </c>
      <c r="G13868" t="s">
        <v>29380</v>
      </c>
      <c r="H13868" t="s">
        <v>11048</v>
      </c>
      <c r="I13868" t="s">
        <v>4487</v>
      </c>
      <c r="J13868" t="s">
        <v>38276</v>
      </c>
      <c r="K13868" t="s">
        <v>38490</v>
      </c>
      <c r="M13868" t="s">
        <v>42628</v>
      </c>
      <c r="N13868" t="s">
        <v>42669</v>
      </c>
      <c r="O13868" t="s">
        <v>42670</v>
      </c>
      <c r="Q13868">
        <v>8</v>
      </c>
      <c r="R13868" t="s">
        <v>42705</v>
      </c>
      <c r="S13868" t="s">
        <v>44074</v>
      </c>
      <c r="T13868" t="s">
        <v>44467</v>
      </c>
      <c r="U13868" t="s">
        <v>56061</v>
      </c>
      <c r="V13868" t="s">
        <v>57963</v>
      </c>
      <c r="W13868" t="s">
        <v>42628</v>
      </c>
      <c r="X13868" t="s">
        <v>42706</v>
      </c>
    </row>
    <row r="13869" spans="1:24">
      <c r="A13869">
        <f>HYPERLINK("https://www.philgeps.gov.ph/GEPSNONPILOT/Tender/SplashBidNoticeAbstractUI.aspx?menuIndex=3&amp;refID=7131759&amp;Result=3","7131759")</f>
        <v>0</v>
      </c>
      <c r="B13869" t="s">
        <v>3299</v>
      </c>
      <c r="C13869" t="s">
        <v>16814</v>
      </c>
      <c r="E13869" t="s">
        <v>29053</v>
      </c>
      <c r="F13869" t="s">
        <v>29372</v>
      </c>
      <c r="G13869" t="s">
        <v>29386</v>
      </c>
      <c r="H13869" t="s">
        <v>29391</v>
      </c>
      <c r="I13869" t="s">
        <v>29391</v>
      </c>
      <c r="J13869" t="s">
        <v>38277</v>
      </c>
      <c r="K13869" t="s">
        <v>38490</v>
      </c>
      <c r="M13869" t="s">
        <v>42376</v>
      </c>
      <c r="N13869" t="s">
        <v>42669</v>
      </c>
      <c r="O13869" t="s">
        <v>42670</v>
      </c>
      <c r="Q13869">
        <v>4</v>
      </c>
      <c r="R13869" t="s">
        <v>42702</v>
      </c>
      <c r="S13869" t="s">
        <v>44075</v>
      </c>
      <c r="T13869" t="s">
        <v>44469</v>
      </c>
      <c r="U13869" t="s">
        <v>56010</v>
      </c>
      <c r="V13869" t="s">
        <v>57957</v>
      </c>
      <c r="W13869" t="s">
        <v>42376</v>
      </c>
      <c r="X13869" t="s">
        <v>42703</v>
      </c>
    </row>
    <row r="13870" spans="1:24">
      <c r="A13870">
        <f>HYPERLINK("https://www.philgeps.gov.ph/GEPSNONPILOT/Tender/SplashBidNoticeAbstractUI.aspx?menuIndex=3&amp;refID=7118465&amp;Result=3","7118465")</f>
        <v>0</v>
      </c>
      <c r="B13870" t="s">
        <v>1183</v>
      </c>
      <c r="C13870" t="s">
        <v>16815</v>
      </c>
      <c r="D13870" t="s">
        <v>17171</v>
      </c>
      <c r="E13870" t="s">
        <v>29054</v>
      </c>
      <c r="F13870" t="s">
        <v>29372</v>
      </c>
      <c r="G13870" t="s">
        <v>29380</v>
      </c>
      <c r="H13870" t="s">
        <v>11048</v>
      </c>
      <c r="I13870" t="s">
        <v>29407</v>
      </c>
      <c r="J13870" t="s">
        <v>38278</v>
      </c>
      <c r="K13870" t="s">
        <v>38510</v>
      </c>
      <c r="M13870" t="s">
        <v>42625</v>
      </c>
      <c r="N13870" t="s">
        <v>42669</v>
      </c>
      <c r="O13870" t="s">
        <v>42670</v>
      </c>
      <c r="Q13870">
        <v>4</v>
      </c>
      <c r="R13870" t="s">
        <v>42706</v>
      </c>
      <c r="S13870" t="s">
        <v>44076</v>
      </c>
      <c r="T13870" t="s">
        <v>44505</v>
      </c>
      <c r="U13870" t="s">
        <v>56062</v>
      </c>
      <c r="V13870" t="s">
        <v>57962</v>
      </c>
      <c r="W13870" t="s">
        <v>42625</v>
      </c>
      <c r="X13870" t="s">
        <v>42707</v>
      </c>
    </row>
    <row r="13871" spans="1:24">
      <c r="A13871">
        <f>HYPERLINK("https://www.philgeps.gov.ph/GEPSNONPILOT/Tender/SplashBidNoticeAbstractUI.aspx?menuIndex=3&amp;refID=7122685&amp;Result=3","7122685")</f>
        <v>0</v>
      </c>
      <c r="B13871" t="s">
        <v>3492</v>
      </c>
      <c r="C13871" t="s">
        <v>16816</v>
      </c>
      <c r="D13871" t="s">
        <v>17141</v>
      </c>
      <c r="E13871" t="s">
        <v>29055</v>
      </c>
      <c r="F13871" t="s">
        <v>29372</v>
      </c>
      <c r="G13871" t="s">
        <v>29380</v>
      </c>
      <c r="H13871" t="s">
        <v>11048</v>
      </c>
      <c r="I13871" t="s">
        <v>8614</v>
      </c>
      <c r="J13871" t="s">
        <v>38279</v>
      </c>
      <c r="K13871" t="s">
        <v>38485</v>
      </c>
      <c r="M13871" t="s">
        <v>42628</v>
      </c>
      <c r="N13871" t="s">
        <v>42669</v>
      </c>
      <c r="O13871" t="s">
        <v>42670</v>
      </c>
      <c r="Q13871">
        <v>24</v>
      </c>
      <c r="R13871" t="s">
        <v>42705</v>
      </c>
      <c r="S13871" t="s">
        <v>43235</v>
      </c>
      <c r="T13871" t="s">
        <v>44467</v>
      </c>
      <c r="U13871" t="s">
        <v>56063</v>
      </c>
      <c r="V13871" t="s">
        <v>57963</v>
      </c>
      <c r="W13871" t="s">
        <v>42628</v>
      </c>
      <c r="X13871" t="s">
        <v>42706</v>
      </c>
    </row>
    <row r="13872" spans="1:24">
      <c r="A13872">
        <f>HYPERLINK("https://www.philgeps.gov.ph/GEPSNONPILOT/Tender/SplashBidNoticeAbstractUI.aspx?menuIndex=3&amp;refID=7118416&amp;Result=3","7118416")</f>
        <v>0</v>
      </c>
      <c r="B13872" t="s">
        <v>1183</v>
      </c>
      <c r="C13872" t="s">
        <v>16817</v>
      </c>
      <c r="D13872" t="s">
        <v>17171</v>
      </c>
      <c r="E13872" t="s">
        <v>29056</v>
      </c>
      <c r="F13872" t="s">
        <v>29372</v>
      </c>
      <c r="G13872" t="s">
        <v>29380</v>
      </c>
      <c r="H13872" t="s">
        <v>11048</v>
      </c>
      <c r="I13872" t="s">
        <v>29407</v>
      </c>
      <c r="J13872" t="s">
        <v>38280</v>
      </c>
      <c r="K13872" t="s">
        <v>38510</v>
      </c>
      <c r="M13872" t="s">
        <v>42625</v>
      </c>
      <c r="N13872" t="s">
        <v>42669</v>
      </c>
      <c r="O13872" t="s">
        <v>42670</v>
      </c>
      <c r="Q13872">
        <v>14</v>
      </c>
      <c r="R13872" t="s">
        <v>42706</v>
      </c>
      <c r="S13872" t="s">
        <v>44077</v>
      </c>
      <c r="T13872" t="s">
        <v>44505</v>
      </c>
      <c r="U13872" t="s">
        <v>56064</v>
      </c>
      <c r="V13872" t="s">
        <v>57962</v>
      </c>
      <c r="W13872" t="s">
        <v>42625</v>
      </c>
      <c r="X13872" t="s">
        <v>42707</v>
      </c>
    </row>
    <row r="13873" spans="1:24">
      <c r="A13873">
        <f>HYPERLINK("https://www.philgeps.gov.ph/GEPSNONPILOT/Tender/SplashBidNoticeAbstractUI.aspx?menuIndex=3&amp;refID=7118381&amp;Result=3","7118381")</f>
        <v>0</v>
      </c>
      <c r="B13873" t="s">
        <v>1183</v>
      </c>
      <c r="C13873" t="s">
        <v>16818</v>
      </c>
      <c r="D13873" t="s">
        <v>17171</v>
      </c>
      <c r="E13873" t="s">
        <v>29057</v>
      </c>
      <c r="F13873" t="s">
        <v>29372</v>
      </c>
      <c r="G13873" t="s">
        <v>29380</v>
      </c>
      <c r="H13873" t="s">
        <v>11048</v>
      </c>
      <c r="I13873" t="s">
        <v>29407</v>
      </c>
      <c r="J13873" t="s">
        <v>38281</v>
      </c>
      <c r="K13873" t="s">
        <v>38510</v>
      </c>
      <c r="M13873" t="s">
        <v>42625</v>
      </c>
      <c r="N13873" t="s">
        <v>42669</v>
      </c>
      <c r="O13873" t="s">
        <v>42670</v>
      </c>
      <c r="Q13873">
        <v>7</v>
      </c>
      <c r="R13873" t="s">
        <v>42706</v>
      </c>
      <c r="S13873" t="s">
        <v>44078</v>
      </c>
      <c r="T13873" t="s">
        <v>44505</v>
      </c>
      <c r="U13873" t="s">
        <v>56065</v>
      </c>
      <c r="V13873" t="s">
        <v>57962</v>
      </c>
      <c r="W13873" t="s">
        <v>42625</v>
      </c>
      <c r="X13873" t="s">
        <v>42707</v>
      </c>
    </row>
    <row r="13874" spans="1:24">
      <c r="A13874">
        <f>HYPERLINK("https://www.philgeps.gov.ph/GEPSNONPILOT/Tender/SplashBidNoticeAbstractUI.aspx?menuIndex=3&amp;refID=7118112&amp;Result=3","7118112")</f>
        <v>0</v>
      </c>
      <c r="B13874" t="s">
        <v>1183</v>
      </c>
      <c r="C13874" t="s">
        <v>16819</v>
      </c>
      <c r="D13874" t="s">
        <v>17171</v>
      </c>
      <c r="E13874" t="s">
        <v>29058</v>
      </c>
      <c r="F13874" t="s">
        <v>29372</v>
      </c>
      <c r="G13874" t="s">
        <v>29380</v>
      </c>
      <c r="H13874" t="s">
        <v>11048</v>
      </c>
      <c r="I13874" t="s">
        <v>29407</v>
      </c>
      <c r="J13874" t="s">
        <v>38282</v>
      </c>
      <c r="K13874" t="s">
        <v>38510</v>
      </c>
      <c r="M13874" t="s">
        <v>42625</v>
      </c>
      <c r="N13874" t="s">
        <v>42669</v>
      </c>
      <c r="O13874" t="s">
        <v>42670</v>
      </c>
      <c r="Q13874">
        <v>10</v>
      </c>
      <c r="R13874" t="s">
        <v>42706</v>
      </c>
      <c r="S13874" t="s">
        <v>44079</v>
      </c>
      <c r="T13874" t="s">
        <v>44505</v>
      </c>
      <c r="U13874" t="s">
        <v>56066</v>
      </c>
      <c r="V13874" t="s">
        <v>57962</v>
      </c>
      <c r="W13874" t="s">
        <v>42625</v>
      </c>
      <c r="X13874" t="s">
        <v>42707</v>
      </c>
    </row>
    <row r="13875" spans="1:24">
      <c r="A13875">
        <f>HYPERLINK("https://www.philgeps.gov.ph/GEPSNONPILOT/Tender/SplashBidNoticeAbstractUI.aspx?menuIndex=3&amp;refID=7115998&amp;Result=3","7115998")</f>
        <v>0</v>
      </c>
      <c r="B13875" t="s">
        <v>2597</v>
      </c>
      <c r="C13875" t="s">
        <v>16820</v>
      </c>
      <c r="D13875" t="s">
        <v>17141</v>
      </c>
      <c r="E13875" t="s">
        <v>17401</v>
      </c>
      <c r="F13875" t="s">
        <v>29372</v>
      </c>
      <c r="G13875" t="s">
        <v>29380</v>
      </c>
      <c r="H13875" t="s">
        <v>29391</v>
      </c>
      <c r="I13875" t="s">
        <v>29391</v>
      </c>
      <c r="J13875" t="s">
        <v>30310</v>
      </c>
      <c r="K13875" t="s">
        <v>38490</v>
      </c>
      <c r="M13875" t="s">
        <v>41564</v>
      </c>
      <c r="N13875" t="s">
        <v>42669</v>
      </c>
      <c r="O13875" t="s">
        <v>42670</v>
      </c>
      <c r="Q13875">
        <v>17</v>
      </c>
      <c r="R13875" t="s">
        <v>42706</v>
      </c>
      <c r="S13875" t="s">
        <v>44080</v>
      </c>
      <c r="T13875" t="s">
        <v>44869</v>
      </c>
      <c r="U13875" t="s">
        <v>56067</v>
      </c>
      <c r="W13875" t="s">
        <v>41564</v>
      </c>
      <c r="X13875" t="s">
        <v>42715</v>
      </c>
    </row>
    <row r="13876" spans="1:24">
      <c r="A13876">
        <f>HYPERLINK("https://www.philgeps.gov.ph/GEPSNONPILOT/Tender/SplashBidNoticeAbstractUI.aspx?menuIndex=3&amp;refID=7118088&amp;Result=3","7118088")</f>
        <v>0</v>
      </c>
      <c r="B13876" t="s">
        <v>1183</v>
      </c>
      <c r="C13876" t="s">
        <v>16821</v>
      </c>
      <c r="D13876" t="s">
        <v>17171</v>
      </c>
      <c r="E13876" t="s">
        <v>29059</v>
      </c>
      <c r="F13876" t="s">
        <v>29372</v>
      </c>
      <c r="G13876" t="s">
        <v>29380</v>
      </c>
      <c r="H13876" t="s">
        <v>11048</v>
      </c>
      <c r="I13876" t="s">
        <v>29407</v>
      </c>
      <c r="J13876" t="s">
        <v>38283</v>
      </c>
      <c r="K13876" t="s">
        <v>38510</v>
      </c>
      <c r="M13876" t="s">
        <v>42625</v>
      </c>
      <c r="N13876" t="s">
        <v>42669</v>
      </c>
      <c r="O13876" t="s">
        <v>42670</v>
      </c>
      <c r="Q13876">
        <v>8</v>
      </c>
      <c r="R13876" t="s">
        <v>42706</v>
      </c>
      <c r="S13876" t="s">
        <v>44081</v>
      </c>
      <c r="T13876" t="s">
        <v>44505</v>
      </c>
      <c r="U13876" t="s">
        <v>56068</v>
      </c>
      <c r="V13876" t="s">
        <v>57962</v>
      </c>
      <c r="W13876" t="s">
        <v>42625</v>
      </c>
      <c r="X13876" t="s">
        <v>42707</v>
      </c>
    </row>
    <row r="13877" spans="1:24">
      <c r="A13877">
        <f>HYPERLINK("https://www.philgeps.gov.ph/GEPSNONPILOT/Tender/SplashBidNoticeAbstractUI.aspx?menuIndex=3&amp;refID=7125510&amp;Result=3","7125510")</f>
        <v>0</v>
      </c>
      <c r="B13877" t="s">
        <v>824</v>
      </c>
      <c r="C13877" t="s">
        <v>16822</v>
      </c>
      <c r="D13877" t="s">
        <v>17168</v>
      </c>
      <c r="E13877" t="s">
        <v>29060</v>
      </c>
      <c r="F13877" t="s">
        <v>29372</v>
      </c>
      <c r="G13877" t="s">
        <v>29380</v>
      </c>
      <c r="H13877" t="s">
        <v>29390</v>
      </c>
      <c r="I13877" t="s">
        <v>29392</v>
      </c>
      <c r="J13877" t="s">
        <v>38284</v>
      </c>
      <c r="K13877" t="s">
        <v>38580</v>
      </c>
      <c r="M13877" t="s">
        <v>42596</v>
      </c>
      <c r="N13877" t="s">
        <v>42669</v>
      </c>
      <c r="O13877" t="s">
        <v>42670</v>
      </c>
      <c r="Q13877">
        <v>8</v>
      </c>
      <c r="R13877" t="s">
        <v>42704</v>
      </c>
      <c r="S13877" t="s">
        <v>44082</v>
      </c>
      <c r="T13877" t="s">
        <v>44666</v>
      </c>
      <c r="U13877" t="s">
        <v>56049</v>
      </c>
      <c r="W13877" t="s">
        <v>42596</v>
      </c>
      <c r="X13877" t="s">
        <v>42705</v>
      </c>
    </row>
    <row r="13878" spans="1:24">
      <c r="A13878">
        <f>HYPERLINK("https://www.philgeps.gov.ph/GEPSNONPILOT/Tender/SplashBidNoticeAbstractUI.aspx?menuIndex=3&amp;refID=7118466&amp;Result=3","7118466")</f>
        <v>0</v>
      </c>
      <c r="B13878" t="s">
        <v>2217</v>
      </c>
      <c r="C13878" t="s">
        <v>9864</v>
      </c>
      <c r="D13878" t="s">
        <v>17168</v>
      </c>
      <c r="E13878" t="s">
        <v>29061</v>
      </c>
      <c r="F13878" t="s">
        <v>29372</v>
      </c>
      <c r="G13878" t="s">
        <v>29379</v>
      </c>
      <c r="H13878" t="s">
        <v>11048</v>
      </c>
      <c r="I13878" t="s">
        <v>4487</v>
      </c>
      <c r="J13878" t="s">
        <v>31293</v>
      </c>
      <c r="K13878" t="s">
        <v>38488</v>
      </c>
      <c r="M13878" t="s">
        <v>41134</v>
      </c>
      <c r="N13878" t="s">
        <v>42669</v>
      </c>
      <c r="O13878" t="s">
        <v>42670</v>
      </c>
      <c r="Q13878">
        <v>9</v>
      </c>
      <c r="R13878" t="s">
        <v>42706</v>
      </c>
      <c r="S13878" t="s">
        <v>44083</v>
      </c>
      <c r="T13878" t="s">
        <v>44441</v>
      </c>
      <c r="U13878" t="s">
        <v>56069</v>
      </c>
      <c r="W13878" t="s">
        <v>41134</v>
      </c>
      <c r="X13878" t="s">
        <v>42707</v>
      </c>
    </row>
    <row r="13879" spans="1:24">
      <c r="A13879">
        <f>HYPERLINK("https://www.philgeps.gov.ph/GEPSNONPILOT/Tender/SplashBidNoticeAbstractUI.aspx?menuIndex=3&amp;refID=7118059&amp;Result=3","7118059")</f>
        <v>0</v>
      </c>
      <c r="B13879" t="s">
        <v>1183</v>
      </c>
      <c r="C13879" t="s">
        <v>16823</v>
      </c>
      <c r="D13879" t="s">
        <v>17171</v>
      </c>
      <c r="E13879" t="s">
        <v>29062</v>
      </c>
      <c r="F13879" t="s">
        <v>29372</v>
      </c>
      <c r="G13879" t="s">
        <v>29380</v>
      </c>
      <c r="H13879" t="s">
        <v>11048</v>
      </c>
      <c r="I13879" t="s">
        <v>5383</v>
      </c>
      <c r="J13879" t="s">
        <v>38285</v>
      </c>
      <c r="K13879" t="s">
        <v>38510</v>
      </c>
      <c r="M13879" t="s">
        <v>42625</v>
      </c>
      <c r="N13879" t="s">
        <v>42669</v>
      </c>
      <c r="O13879" t="s">
        <v>42670</v>
      </c>
      <c r="Q13879">
        <v>4</v>
      </c>
      <c r="R13879" t="s">
        <v>42706</v>
      </c>
      <c r="S13879" t="s">
        <v>44084</v>
      </c>
      <c r="T13879" t="s">
        <v>44505</v>
      </c>
      <c r="U13879" t="s">
        <v>56070</v>
      </c>
      <c r="V13879" t="s">
        <v>57962</v>
      </c>
      <c r="W13879" t="s">
        <v>42625</v>
      </c>
      <c r="X13879" t="s">
        <v>42707</v>
      </c>
    </row>
    <row r="13880" spans="1:24">
      <c r="A13880">
        <f>HYPERLINK("https://www.philgeps.gov.ph/GEPSNONPILOT/Tender/SplashBidNoticeAbstractUI.aspx?menuIndex=3&amp;refID=7117985&amp;Result=3","7117985")</f>
        <v>0</v>
      </c>
      <c r="B13880" t="s">
        <v>1183</v>
      </c>
      <c r="C13880" t="s">
        <v>16824</v>
      </c>
      <c r="D13880" t="s">
        <v>17171</v>
      </c>
      <c r="E13880" t="s">
        <v>29063</v>
      </c>
      <c r="F13880" t="s">
        <v>29372</v>
      </c>
      <c r="G13880" t="s">
        <v>29380</v>
      </c>
      <c r="H13880" t="s">
        <v>11048</v>
      </c>
      <c r="I13880" t="s">
        <v>29407</v>
      </c>
      <c r="J13880" t="s">
        <v>38286</v>
      </c>
      <c r="K13880" t="s">
        <v>38603</v>
      </c>
      <c r="M13880" t="s">
        <v>42625</v>
      </c>
      <c r="N13880" t="s">
        <v>42669</v>
      </c>
      <c r="O13880" t="s">
        <v>42670</v>
      </c>
      <c r="Q13880">
        <v>2</v>
      </c>
      <c r="R13880" t="s">
        <v>42706</v>
      </c>
      <c r="S13880" t="s">
        <v>44085</v>
      </c>
      <c r="T13880" t="s">
        <v>44505</v>
      </c>
      <c r="U13880" t="s">
        <v>56071</v>
      </c>
      <c r="V13880" t="s">
        <v>57962</v>
      </c>
      <c r="W13880" t="s">
        <v>42625</v>
      </c>
      <c r="X13880" t="s">
        <v>42707</v>
      </c>
    </row>
    <row r="13881" spans="1:24">
      <c r="A13881">
        <f>HYPERLINK("https://www.philgeps.gov.ph/GEPSNONPILOT/Tender/SplashBidNoticeAbstractUI.aspx?menuIndex=3&amp;refID=7117897&amp;Result=3","7117897")</f>
        <v>0</v>
      </c>
      <c r="B13881" t="s">
        <v>1183</v>
      </c>
      <c r="C13881" t="s">
        <v>16825</v>
      </c>
      <c r="D13881" t="s">
        <v>17171</v>
      </c>
      <c r="E13881" t="s">
        <v>29064</v>
      </c>
      <c r="F13881" t="s">
        <v>29372</v>
      </c>
      <c r="G13881" t="s">
        <v>29380</v>
      </c>
      <c r="H13881" t="s">
        <v>11048</v>
      </c>
      <c r="I13881" t="s">
        <v>29414</v>
      </c>
      <c r="J13881" t="s">
        <v>30070</v>
      </c>
      <c r="K13881" t="s">
        <v>38522</v>
      </c>
      <c r="M13881" t="s">
        <v>42625</v>
      </c>
      <c r="N13881" t="s">
        <v>42669</v>
      </c>
      <c r="O13881" t="s">
        <v>42670</v>
      </c>
      <c r="Q13881">
        <v>30</v>
      </c>
      <c r="R13881" t="s">
        <v>42706</v>
      </c>
      <c r="S13881" t="s">
        <v>44086</v>
      </c>
      <c r="T13881" t="s">
        <v>44505</v>
      </c>
      <c r="U13881" t="s">
        <v>56072</v>
      </c>
      <c r="V13881" t="s">
        <v>57962</v>
      </c>
      <c r="W13881" t="s">
        <v>42625</v>
      </c>
      <c r="X13881" t="s">
        <v>42707</v>
      </c>
    </row>
    <row r="13882" spans="1:24">
      <c r="A13882">
        <f>HYPERLINK("https://www.philgeps.gov.ph/GEPSNONPILOT/Tender/SplashBidNoticeAbstractUI.aspx?menuIndex=3&amp;refID=7117263&amp;Result=3","7117263")</f>
        <v>0</v>
      </c>
      <c r="B13882" t="s">
        <v>1183</v>
      </c>
      <c r="C13882" t="s">
        <v>16826</v>
      </c>
      <c r="D13882" t="s">
        <v>17171</v>
      </c>
      <c r="E13882" t="s">
        <v>29065</v>
      </c>
      <c r="F13882" t="s">
        <v>29372</v>
      </c>
      <c r="G13882" t="s">
        <v>29380</v>
      </c>
      <c r="H13882" t="s">
        <v>29390</v>
      </c>
      <c r="I13882" t="s">
        <v>29396</v>
      </c>
      <c r="J13882" t="s">
        <v>38165</v>
      </c>
      <c r="K13882" t="s">
        <v>38580</v>
      </c>
      <c r="M13882" t="s">
        <v>42625</v>
      </c>
      <c r="N13882" t="s">
        <v>42669</v>
      </c>
      <c r="O13882" t="s">
        <v>42670</v>
      </c>
      <c r="Q13882">
        <v>0</v>
      </c>
      <c r="R13882" t="s">
        <v>42706</v>
      </c>
      <c r="S13882" t="s">
        <v>44087</v>
      </c>
      <c r="T13882" t="s">
        <v>44505</v>
      </c>
      <c r="U13882" t="s">
        <v>56073</v>
      </c>
      <c r="V13882" t="s">
        <v>57962</v>
      </c>
      <c r="W13882" t="s">
        <v>42625</v>
      </c>
      <c r="X13882" t="s">
        <v>42707</v>
      </c>
    </row>
    <row r="13883" spans="1:24">
      <c r="A13883">
        <f>HYPERLINK("https://www.philgeps.gov.ph/GEPSNONPILOT/Tender/SplashBidNoticeAbstractUI.aspx?menuIndex=3&amp;refID=7118155&amp;Result=3","7118155")</f>
        <v>0</v>
      </c>
      <c r="B13883" t="s">
        <v>1183</v>
      </c>
      <c r="C13883" t="s">
        <v>16827</v>
      </c>
      <c r="D13883" t="s">
        <v>17171</v>
      </c>
      <c r="E13883" t="s">
        <v>29066</v>
      </c>
      <c r="F13883" t="s">
        <v>29372</v>
      </c>
      <c r="G13883" t="s">
        <v>29380</v>
      </c>
      <c r="H13883" t="s">
        <v>11048</v>
      </c>
      <c r="I13883" t="s">
        <v>29407</v>
      </c>
      <c r="J13883" t="s">
        <v>38287</v>
      </c>
      <c r="K13883" t="s">
        <v>38510</v>
      </c>
      <c r="M13883" t="s">
        <v>42625</v>
      </c>
      <c r="N13883" t="s">
        <v>42669</v>
      </c>
      <c r="O13883" t="s">
        <v>42670</v>
      </c>
      <c r="Q13883">
        <v>9</v>
      </c>
      <c r="R13883" t="s">
        <v>42706</v>
      </c>
      <c r="S13883" t="s">
        <v>44079</v>
      </c>
      <c r="T13883" t="s">
        <v>44505</v>
      </c>
      <c r="U13883" t="s">
        <v>56074</v>
      </c>
      <c r="V13883" t="s">
        <v>57962</v>
      </c>
      <c r="W13883" t="s">
        <v>42625</v>
      </c>
      <c r="X13883" t="s">
        <v>42707</v>
      </c>
    </row>
    <row r="13884" spans="1:24">
      <c r="A13884">
        <f>HYPERLINK("https://www.philgeps.gov.ph/GEPSNONPILOT/Tender/SplashBidNoticeAbstractUI.aspx?menuIndex=3&amp;refID=7117042&amp;Result=3","7117042")</f>
        <v>0</v>
      </c>
      <c r="B13884" t="s">
        <v>2217</v>
      </c>
      <c r="C13884" t="s">
        <v>16828</v>
      </c>
      <c r="D13884" t="s">
        <v>17168</v>
      </c>
      <c r="E13884" t="s">
        <v>29067</v>
      </c>
      <c r="F13884" t="s">
        <v>29372</v>
      </c>
      <c r="G13884" t="s">
        <v>29379</v>
      </c>
      <c r="H13884" t="s">
        <v>11048</v>
      </c>
      <c r="I13884" t="s">
        <v>29415</v>
      </c>
      <c r="J13884" t="s">
        <v>38288</v>
      </c>
      <c r="K13884" t="s">
        <v>38488</v>
      </c>
      <c r="M13884" t="s">
        <v>41134</v>
      </c>
      <c r="N13884" t="s">
        <v>42669</v>
      </c>
      <c r="O13884" t="s">
        <v>42670</v>
      </c>
      <c r="Q13884">
        <v>3</v>
      </c>
      <c r="R13884" t="s">
        <v>42706</v>
      </c>
      <c r="S13884" t="s">
        <v>44088</v>
      </c>
      <c r="T13884" t="s">
        <v>44397</v>
      </c>
      <c r="U13884" t="s">
        <v>56075</v>
      </c>
      <c r="W13884" t="s">
        <v>41134</v>
      </c>
      <c r="X13884" t="s">
        <v>42707</v>
      </c>
    </row>
    <row r="13885" spans="1:24">
      <c r="A13885">
        <f>HYPERLINK("https://www.philgeps.gov.ph/GEPSNONPILOT/Tender/SplashBidNoticeAbstractUI.aspx?menuIndex=3&amp;refID=7116854&amp;Result=3","7116854")</f>
        <v>0</v>
      </c>
      <c r="B13885" t="s">
        <v>1466</v>
      </c>
      <c r="C13885" t="s">
        <v>16829</v>
      </c>
      <c r="E13885" t="s">
        <v>29068</v>
      </c>
      <c r="F13885" t="s">
        <v>29372</v>
      </c>
      <c r="G13885" t="s">
        <v>29380</v>
      </c>
      <c r="H13885" t="s">
        <v>11048</v>
      </c>
      <c r="I13885" t="s">
        <v>29433</v>
      </c>
      <c r="J13885" t="s">
        <v>38289</v>
      </c>
      <c r="K13885" t="s">
        <v>38490</v>
      </c>
      <c r="M13885" t="s">
        <v>41524</v>
      </c>
      <c r="N13885" t="s">
        <v>42669</v>
      </c>
      <c r="O13885" t="s">
        <v>42670</v>
      </c>
      <c r="Q13885">
        <v>38</v>
      </c>
      <c r="R13885" t="s">
        <v>42706</v>
      </c>
      <c r="S13885" t="s">
        <v>44089</v>
      </c>
      <c r="T13885" t="s">
        <v>44432</v>
      </c>
      <c r="U13885" t="s">
        <v>56076</v>
      </c>
      <c r="W13885" t="s">
        <v>41524</v>
      </c>
      <c r="X13885" t="s">
        <v>42707</v>
      </c>
    </row>
    <row r="13886" spans="1:24">
      <c r="A13886">
        <f>HYPERLINK("https://www.philgeps.gov.ph/GEPSNONPILOT/Tender/SplashBidNoticeAbstractUI.aspx?menuIndex=3&amp;refID=7118025&amp;Result=3","7118025")</f>
        <v>0</v>
      </c>
      <c r="B13886" t="s">
        <v>1183</v>
      </c>
      <c r="C13886" t="s">
        <v>16830</v>
      </c>
      <c r="D13886" t="s">
        <v>17171</v>
      </c>
      <c r="E13886" t="s">
        <v>29069</v>
      </c>
      <c r="F13886" t="s">
        <v>29372</v>
      </c>
      <c r="G13886" t="s">
        <v>29380</v>
      </c>
      <c r="H13886" t="s">
        <v>11048</v>
      </c>
      <c r="I13886" t="s">
        <v>29432</v>
      </c>
      <c r="J13886" t="s">
        <v>38290</v>
      </c>
      <c r="K13886" t="s">
        <v>38510</v>
      </c>
      <c r="M13886" t="s">
        <v>42625</v>
      </c>
      <c r="N13886" t="s">
        <v>42669</v>
      </c>
      <c r="O13886" t="s">
        <v>42670</v>
      </c>
      <c r="Q13886">
        <v>1</v>
      </c>
      <c r="R13886" t="s">
        <v>42706</v>
      </c>
      <c r="S13886" t="s">
        <v>44090</v>
      </c>
      <c r="T13886" t="s">
        <v>44505</v>
      </c>
      <c r="U13886" t="s">
        <v>56077</v>
      </c>
      <c r="V13886" t="s">
        <v>57962</v>
      </c>
      <c r="W13886" t="s">
        <v>42625</v>
      </c>
      <c r="X13886" t="s">
        <v>42707</v>
      </c>
    </row>
    <row r="13887" spans="1:24">
      <c r="A13887">
        <f>HYPERLINK("https://www.philgeps.gov.ph/GEPSNONPILOT/Tender/SplashBidNoticeAbstractUI.aspx?menuIndex=3&amp;refID=7118009&amp;Result=3","7118009")</f>
        <v>0</v>
      </c>
      <c r="B13887" t="s">
        <v>1183</v>
      </c>
      <c r="C13887" t="s">
        <v>16831</v>
      </c>
      <c r="D13887" t="s">
        <v>17171</v>
      </c>
      <c r="E13887" t="s">
        <v>29070</v>
      </c>
      <c r="F13887" t="s">
        <v>29372</v>
      </c>
      <c r="G13887" t="s">
        <v>29380</v>
      </c>
      <c r="H13887" t="s">
        <v>11048</v>
      </c>
      <c r="I13887" t="s">
        <v>29432</v>
      </c>
      <c r="J13887" t="s">
        <v>38291</v>
      </c>
      <c r="K13887" t="s">
        <v>38510</v>
      </c>
      <c r="M13887" t="s">
        <v>42625</v>
      </c>
      <c r="N13887" t="s">
        <v>42669</v>
      </c>
      <c r="O13887" t="s">
        <v>42670</v>
      </c>
      <c r="Q13887">
        <v>3</v>
      </c>
      <c r="R13887" t="s">
        <v>42706</v>
      </c>
      <c r="S13887" t="s">
        <v>44090</v>
      </c>
      <c r="T13887" t="s">
        <v>44505</v>
      </c>
      <c r="U13887" t="s">
        <v>56078</v>
      </c>
      <c r="V13887" t="s">
        <v>57962</v>
      </c>
      <c r="W13887" t="s">
        <v>42625</v>
      </c>
      <c r="X13887" t="s">
        <v>42707</v>
      </c>
    </row>
    <row r="13888" spans="1:24">
      <c r="A13888">
        <f>HYPERLINK("https://www.philgeps.gov.ph/GEPSNONPILOT/Tender/SplashBidNoticeAbstractUI.aspx?menuIndex=3&amp;refID=7118290&amp;Result=3","7118290")</f>
        <v>0</v>
      </c>
      <c r="B13888" t="s">
        <v>1183</v>
      </c>
      <c r="C13888" t="s">
        <v>16832</v>
      </c>
      <c r="D13888" t="s">
        <v>17171</v>
      </c>
      <c r="E13888" t="s">
        <v>29071</v>
      </c>
      <c r="F13888" t="s">
        <v>29372</v>
      </c>
      <c r="G13888" t="s">
        <v>29380</v>
      </c>
      <c r="H13888" t="s">
        <v>11048</v>
      </c>
      <c r="I13888" t="s">
        <v>29407</v>
      </c>
      <c r="J13888" t="s">
        <v>38292</v>
      </c>
      <c r="K13888" t="s">
        <v>38510</v>
      </c>
      <c r="M13888" t="s">
        <v>42625</v>
      </c>
      <c r="N13888" t="s">
        <v>42669</v>
      </c>
      <c r="O13888" t="s">
        <v>42670</v>
      </c>
      <c r="Q13888">
        <v>9</v>
      </c>
      <c r="R13888" t="s">
        <v>42706</v>
      </c>
      <c r="S13888" t="s">
        <v>44091</v>
      </c>
      <c r="T13888" t="s">
        <v>44505</v>
      </c>
      <c r="U13888" t="s">
        <v>56079</v>
      </c>
      <c r="V13888" t="s">
        <v>57962</v>
      </c>
      <c r="W13888" t="s">
        <v>42625</v>
      </c>
      <c r="X13888" t="s">
        <v>42707</v>
      </c>
    </row>
    <row r="13889" spans="1:24">
      <c r="A13889">
        <f>HYPERLINK("https://www.philgeps.gov.ph/GEPSNONPILOT/Tender/SplashBidNoticeAbstractUI.aspx?menuIndex=3&amp;refID=7116795&amp;Result=3","7116795")</f>
        <v>0</v>
      </c>
      <c r="B13889" t="s">
        <v>1183</v>
      </c>
      <c r="C13889" t="s">
        <v>16833</v>
      </c>
      <c r="D13889" t="s">
        <v>17171</v>
      </c>
      <c r="E13889" t="s">
        <v>29072</v>
      </c>
      <c r="F13889" t="s">
        <v>29372</v>
      </c>
      <c r="G13889" t="s">
        <v>29380</v>
      </c>
      <c r="H13889" t="s">
        <v>11048</v>
      </c>
      <c r="I13889" t="s">
        <v>29433</v>
      </c>
      <c r="J13889" t="s">
        <v>38293</v>
      </c>
      <c r="K13889" t="s">
        <v>38510</v>
      </c>
      <c r="M13889" t="s">
        <v>42625</v>
      </c>
      <c r="N13889" t="s">
        <v>42669</v>
      </c>
      <c r="O13889" t="s">
        <v>42670</v>
      </c>
      <c r="Q13889">
        <v>10</v>
      </c>
      <c r="R13889" t="s">
        <v>42706</v>
      </c>
      <c r="S13889" t="s">
        <v>44092</v>
      </c>
      <c r="T13889" t="s">
        <v>44505</v>
      </c>
      <c r="U13889" t="s">
        <v>56080</v>
      </c>
      <c r="V13889" t="s">
        <v>57962</v>
      </c>
      <c r="W13889" t="s">
        <v>42625</v>
      </c>
      <c r="X13889" t="s">
        <v>42707</v>
      </c>
    </row>
    <row r="13890" spans="1:24">
      <c r="A13890">
        <f>HYPERLINK("https://www.philgeps.gov.ph/GEPSNONPILOT/Tender/SplashBidNoticeAbstractUI.aspx?menuIndex=3&amp;refID=7122283&amp;Result=3","7122283")</f>
        <v>0</v>
      </c>
      <c r="B13890" t="s">
        <v>970</v>
      </c>
      <c r="C13890" t="s">
        <v>16834</v>
      </c>
      <c r="D13890" t="s">
        <v>17141</v>
      </c>
      <c r="E13890" t="s">
        <v>29073</v>
      </c>
      <c r="F13890" t="s">
        <v>29372</v>
      </c>
      <c r="G13890" t="s">
        <v>29380</v>
      </c>
      <c r="H13890" t="s">
        <v>11048</v>
      </c>
      <c r="I13890" t="s">
        <v>3839</v>
      </c>
      <c r="J13890" t="s">
        <v>38294</v>
      </c>
      <c r="K13890" t="s">
        <v>38496</v>
      </c>
      <c r="M13890" t="s">
        <v>39766</v>
      </c>
      <c r="N13890" t="s">
        <v>42669</v>
      </c>
      <c r="O13890" t="s">
        <v>42670</v>
      </c>
      <c r="Q13890">
        <v>14</v>
      </c>
      <c r="R13890" t="s">
        <v>42705</v>
      </c>
      <c r="S13890" t="s">
        <v>44093</v>
      </c>
      <c r="T13890" t="s">
        <v>44400</v>
      </c>
      <c r="U13890" t="s">
        <v>56081</v>
      </c>
      <c r="W13890" t="s">
        <v>39766</v>
      </c>
      <c r="X13890" t="s">
        <v>42706</v>
      </c>
    </row>
    <row r="13891" spans="1:24">
      <c r="A13891">
        <f>HYPERLINK("https://www.philgeps.gov.ph/GEPSNONPILOT/Tender/SplashBidNoticeAbstractUI.aspx?menuIndex=3&amp;refID=7117617&amp;Result=3","7117617")</f>
        <v>0</v>
      </c>
      <c r="B13891" t="s">
        <v>1183</v>
      </c>
      <c r="C13891" t="s">
        <v>16835</v>
      </c>
      <c r="D13891" t="s">
        <v>17171</v>
      </c>
      <c r="E13891" t="s">
        <v>29074</v>
      </c>
      <c r="F13891" t="s">
        <v>29372</v>
      </c>
      <c r="G13891" t="s">
        <v>29380</v>
      </c>
      <c r="H13891" t="s">
        <v>29390</v>
      </c>
      <c r="I13891" t="s">
        <v>29414</v>
      </c>
      <c r="J13891" t="s">
        <v>30012</v>
      </c>
      <c r="K13891" t="s">
        <v>38495</v>
      </c>
      <c r="M13891" t="s">
        <v>42625</v>
      </c>
      <c r="N13891" t="s">
        <v>42669</v>
      </c>
      <c r="O13891" t="s">
        <v>42670</v>
      </c>
      <c r="Q13891">
        <v>21</v>
      </c>
      <c r="R13891" t="s">
        <v>42706</v>
      </c>
      <c r="S13891" t="s">
        <v>44094</v>
      </c>
      <c r="T13891" t="s">
        <v>44505</v>
      </c>
      <c r="U13891" t="s">
        <v>56082</v>
      </c>
      <c r="V13891" t="s">
        <v>57962</v>
      </c>
      <c r="W13891" t="s">
        <v>42625</v>
      </c>
      <c r="X13891" t="s">
        <v>42707</v>
      </c>
    </row>
    <row r="13892" spans="1:24">
      <c r="A13892">
        <f>HYPERLINK("https://www.philgeps.gov.ph/GEPSNONPILOT/Tender/SplashBidNoticeAbstractUI.aspx?menuIndex=3&amp;refID=7121570&amp;Result=3","7121570")</f>
        <v>0</v>
      </c>
      <c r="B13892" t="s">
        <v>2497</v>
      </c>
      <c r="C13892" t="s">
        <v>16836</v>
      </c>
      <c r="D13892" t="s">
        <v>17172</v>
      </c>
      <c r="E13892" t="s">
        <v>24056</v>
      </c>
      <c r="F13892" t="s">
        <v>29373</v>
      </c>
      <c r="G13892" t="s">
        <v>29380</v>
      </c>
      <c r="H13892" t="s">
        <v>29389</v>
      </c>
      <c r="I13892" t="s">
        <v>10408</v>
      </c>
      <c r="J13892" t="s">
        <v>38295</v>
      </c>
      <c r="K13892" t="s">
        <v>38572</v>
      </c>
      <c r="L13892" t="s">
        <v>2497</v>
      </c>
      <c r="M13892" t="s">
        <v>41450</v>
      </c>
      <c r="N13892" t="s">
        <v>42669</v>
      </c>
      <c r="O13892" t="s">
        <v>42670</v>
      </c>
      <c r="Q13892">
        <v>0</v>
      </c>
      <c r="R13892" t="s">
        <v>42705</v>
      </c>
      <c r="S13892" t="s">
        <v>44095</v>
      </c>
      <c r="T13892" t="s">
        <v>44355</v>
      </c>
      <c r="U13892" t="s">
        <v>56083</v>
      </c>
      <c r="W13892" t="s">
        <v>41450</v>
      </c>
      <c r="X13892" t="s">
        <v>42706</v>
      </c>
    </row>
    <row r="13893" spans="1:24">
      <c r="A13893">
        <f>HYPERLINK("https://www.philgeps.gov.ph/GEPSNONPILOT/Tender/SplashBidNoticeAbstractUI.aspx?menuIndex=3&amp;refID=7116919&amp;Result=3","7116919")</f>
        <v>0</v>
      </c>
      <c r="B13893" t="s">
        <v>1183</v>
      </c>
      <c r="C13893" t="s">
        <v>16837</v>
      </c>
      <c r="D13893" t="s">
        <v>17171</v>
      </c>
      <c r="E13893" t="s">
        <v>29075</v>
      </c>
      <c r="F13893" t="s">
        <v>29372</v>
      </c>
      <c r="G13893" t="s">
        <v>29380</v>
      </c>
      <c r="H13893" t="s">
        <v>29390</v>
      </c>
      <c r="I13893" t="s">
        <v>29396</v>
      </c>
      <c r="J13893" t="s">
        <v>38296</v>
      </c>
      <c r="K13893" t="s">
        <v>38603</v>
      </c>
      <c r="M13893" t="s">
        <v>42625</v>
      </c>
      <c r="N13893" t="s">
        <v>42669</v>
      </c>
      <c r="O13893" t="s">
        <v>42670</v>
      </c>
      <c r="Q13893">
        <v>8</v>
      </c>
      <c r="R13893" t="s">
        <v>42706</v>
      </c>
      <c r="S13893" t="s">
        <v>43575</v>
      </c>
      <c r="T13893" t="s">
        <v>44505</v>
      </c>
      <c r="U13893" t="s">
        <v>56084</v>
      </c>
      <c r="V13893" t="s">
        <v>57962</v>
      </c>
      <c r="W13893" t="s">
        <v>42625</v>
      </c>
      <c r="X13893" t="s">
        <v>42707</v>
      </c>
    </row>
    <row r="13894" spans="1:24">
      <c r="A13894">
        <f>HYPERLINK("https://www.philgeps.gov.ph/GEPSNONPILOT/Tender/SplashBidNoticeAbstractUI.aspx?menuIndex=3&amp;refID=7118893&amp;Result=3","7118893")</f>
        <v>0</v>
      </c>
      <c r="B13894" t="s">
        <v>1183</v>
      </c>
      <c r="C13894" t="s">
        <v>16838</v>
      </c>
      <c r="D13894" t="s">
        <v>17171</v>
      </c>
      <c r="E13894" t="s">
        <v>29076</v>
      </c>
      <c r="F13894" t="s">
        <v>29372</v>
      </c>
      <c r="G13894" t="s">
        <v>29380</v>
      </c>
      <c r="H13894" t="s">
        <v>11048</v>
      </c>
      <c r="I13894" t="s">
        <v>29407</v>
      </c>
      <c r="J13894" t="s">
        <v>38297</v>
      </c>
      <c r="K13894" t="s">
        <v>38495</v>
      </c>
      <c r="M13894" t="s">
        <v>42625</v>
      </c>
      <c r="N13894" t="s">
        <v>42669</v>
      </c>
      <c r="O13894" t="s">
        <v>42670</v>
      </c>
      <c r="Q13894">
        <v>8</v>
      </c>
      <c r="R13894" t="s">
        <v>42706</v>
      </c>
      <c r="S13894" t="s">
        <v>42954</v>
      </c>
      <c r="T13894" t="s">
        <v>44870</v>
      </c>
      <c r="U13894" t="s">
        <v>56085</v>
      </c>
      <c r="V13894" t="s">
        <v>57962</v>
      </c>
      <c r="W13894" t="s">
        <v>42625</v>
      </c>
      <c r="X13894" t="s">
        <v>42707</v>
      </c>
    </row>
    <row r="13895" spans="1:24">
      <c r="A13895">
        <f>HYPERLINK("https://www.philgeps.gov.ph/GEPSNONPILOT/Tender/SplashBidNoticeAbstractUI.aspx?menuIndex=3&amp;refID=7118989&amp;Result=3","7118989")</f>
        <v>0</v>
      </c>
      <c r="B13895" t="s">
        <v>1183</v>
      </c>
      <c r="C13895" t="s">
        <v>16839</v>
      </c>
      <c r="D13895" t="s">
        <v>17171</v>
      </c>
      <c r="E13895" t="s">
        <v>29077</v>
      </c>
      <c r="F13895" t="s">
        <v>29372</v>
      </c>
      <c r="G13895" t="s">
        <v>29380</v>
      </c>
      <c r="H13895" t="s">
        <v>11048</v>
      </c>
      <c r="I13895" t="s">
        <v>29433</v>
      </c>
      <c r="J13895" t="s">
        <v>38298</v>
      </c>
      <c r="K13895" t="s">
        <v>38510</v>
      </c>
      <c r="M13895" t="s">
        <v>42625</v>
      </c>
      <c r="N13895" t="s">
        <v>42669</v>
      </c>
      <c r="O13895" t="s">
        <v>42670</v>
      </c>
      <c r="Q13895">
        <v>4</v>
      </c>
      <c r="R13895" t="s">
        <v>42706</v>
      </c>
      <c r="S13895" t="s">
        <v>42860</v>
      </c>
      <c r="T13895" t="s">
        <v>44870</v>
      </c>
      <c r="U13895" t="s">
        <v>56086</v>
      </c>
      <c r="V13895" t="s">
        <v>57962</v>
      </c>
      <c r="W13895" t="s">
        <v>42625</v>
      </c>
      <c r="X13895" t="s">
        <v>42707</v>
      </c>
    </row>
    <row r="13896" spans="1:24">
      <c r="A13896">
        <f>HYPERLINK("https://www.philgeps.gov.ph/GEPSNONPILOT/Tender/SplashBidNoticeAbstractUI.aspx?menuIndex=3&amp;refID=7118997&amp;Result=3","7118997")</f>
        <v>0</v>
      </c>
      <c r="B13896" t="s">
        <v>1183</v>
      </c>
      <c r="C13896" t="s">
        <v>16840</v>
      </c>
      <c r="D13896" t="s">
        <v>17171</v>
      </c>
      <c r="E13896" t="s">
        <v>29078</v>
      </c>
      <c r="F13896" t="s">
        <v>29372</v>
      </c>
      <c r="G13896" t="s">
        <v>29380</v>
      </c>
      <c r="H13896" t="s">
        <v>11048</v>
      </c>
      <c r="I13896" t="s">
        <v>29433</v>
      </c>
      <c r="J13896" t="s">
        <v>31642</v>
      </c>
      <c r="K13896" t="s">
        <v>38510</v>
      </c>
      <c r="M13896" t="s">
        <v>42625</v>
      </c>
      <c r="N13896" t="s">
        <v>42669</v>
      </c>
      <c r="O13896" t="s">
        <v>42670</v>
      </c>
      <c r="Q13896">
        <v>3</v>
      </c>
      <c r="R13896" t="s">
        <v>42706</v>
      </c>
      <c r="S13896" t="s">
        <v>44096</v>
      </c>
      <c r="T13896" t="s">
        <v>44870</v>
      </c>
      <c r="U13896" t="s">
        <v>56087</v>
      </c>
      <c r="V13896" t="s">
        <v>57962</v>
      </c>
      <c r="W13896" t="s">
        <v>42625</v>
      </c>
      <c r="X13896" t="s">
        <v>42707</v>
      </c>
    </row>
    <row r="13897" spans="1:24">
      <c r="A13897">
        <f>HYPERLINK("https://www.philgeps.gov.ph/GEPSNONPILOT/Tender/SplashBidNoticeAbstractUI.aspx?menuIndex=3&amp;refID=7118972&amp;Result=3","7118972")</f>
        <v>0</v>
      </c>
      <c r="B13897" t="s">
        <v>1183</v>
      </c>
      <c r="C13897" t="s">
        <v>16841</v>
      </c>
      <c r="D13897" t="s">
        <v>17171</v>
      </c>
      <c r="E13897" t="s">
        <v>29079</v>
      </c>
      <c r="F13897" t="s">
        <v>29372</v>
      </c>
      <c r="G13897" t="s">
        <v>29380</v>
      </c>
      <c r="H13897" t="s">
        <v>11048</v>
      </c>
      <c r="I13897" t="s">
        <v>29433</v>
      </c>
      <c r="J13897" t="s">
        <v>38299</v>
      </c>
      <c r="K13897" t="s">
        <v>38510</v>
      </c>
      <c r="M13897" t="s">
        <v>42625</v>
      </c>
      <c r="N13897" t="s">
        <v>42669</v>
      </c>
      <c r="O13897" t="s">
        <v>42670</v>
      </c>
      <c r="Q13897">
        <v>9</v>
      </c>
      <c r="R13897" t="s">
        <v>42706</v>
      </c>
      <c r="S13897" t="s">
        <v>44097</v>
      </c>
      <c r="T13897" t="s">
        <v>44870</v>
      </c>
      <c r="U13897" t="s">
        <v>56088</v>
      </c>
      <c r="V13897" t="s">
        <v>57962</v>
      </c>
      <c r="W13897" t="s">
        <v>42625</v>
      </c>
      <c r="X13897" t="s">
        <v>42707</v>
      </c>
    </row>
    <row r="13898" spans="1:24">
      <c r="A13898">
        <f>HYPERLINK("https://www.philgeps.gov.ph/GEPSNONPILOT/Tender/SplashBidNoticeAbstractUI.aspx?menuIndex=3&amp;refID=7118949&amp;Result=3","7118949")</f>
        <v>0</v>
      </c>
      <c r="B13898" t="s">
        <v>1183</v>
      </c>
      <c r="C13898" t="s">
        <v>16842</v>
      </c>
      <c r="D13898" t="s">
        <v>17171</v>
      </c>
      <c r="E13898" t="s">
        <v>29080</v>
      </c>
      <c r="F13898" t="s">
        <v>29372</v>
      </c>
      <c r="G13898" t="s">
        <v>29380</v>
      </c>
      <c r="H13898" t="s">
        <v>11048</v>
      </c>
      <c r="I13898" t="s">
        <v>29433</v>
      </c>
      <c r="J13898" t="s">
        <v>33025</v>
      </c>
      <c r="K13898" t="s">
        <v>38510</v>
      </c>
      <c r="M13898" t="s">
        <v>42625</v>
      </c>
      <c r="N13898" t="s">
        <v>42669</v>
      </c>
      <c r="O13898" t="s">
        <v>42670</v>
      </c>
      <c r="Q13898">
        <v>5</v>
      </c>
      <c r="R13898" t="s">
        <v>42706</v>
      </c>
      <c r="S13898" t="s">
        <v>44098</v>
      </c>
      <c r="T13898" t="s">
        <v>44870</v>
      </c>
      <c r="U13898" t="s">
        <v>56089</v>
      </c>
      <c r="V13898" t="s">
        <v>57962</v>
      </c>
      <c r="W13898" t="s">
        <v>42625</v>
      </c>
      <c r="X13898" t="s">
        <v>42707</v>
      </c>
    </row>
    <row r="13899" spans="1:24">
      <c r="A13899">
        <f>HYPERLINK("https://www.philgeps.gov.ph/GEPSNONPILOT/Tender/SplashBidNoticeAbstractUI.aspx?menuIndex=3&amp;refID=7118932&amp;Result=3","7118932")</f>
        <v>0</v>
      </c>
      <c r="B13899" t="s">
        <v>1183</v>
      </c>
      <c r="C13899" t="s">
        <v>16843</v>
      </c>
      <c r="D13899" t="s">
        <v>17171</v>
      </c>
      <c r="E13899" t="s">
        <v>29081</v>
      </c>
      <c r="F13899" t="s">
        <v>29372</v>
      </c>
      <c r="G13899" t="s">
        <v>29380</v>
      </c>
      <c r="H13899" t="s">
        <v>11048</v>
      </c>
      <c r="I13899" t="s">
        <v>29414</v>
      </c>
      <c r="J13899" t="s">
        <v>29573</v>
      </c>
      <c r="K13899" t="s">
        <v>38485</v>
      </c>
      <c r="M13899" t="s">
        <v>42625</v>
      </c>
      <c r="N13899" t="s">
        <v>42669</v>
      </c>
      <c r="O13899" t="s">
        <v>42670</v>
      </c>
      <c r="Q13899">
        <v>17</v>
      </c>
      <c r="R13899" t="s">
        <v>42706</v>
      </c>
      <c r="S13899" t="s">
        <v>42953</v>
      </c>
      <c r="T13899" t="s">
        <v>44870</v>
      </c>
      <c r="U13899" t="s">
        <v>56090</v>
      </c>
      <c r="V13899" t="s">
        <v>57962</v>
      </c>
      <c r="W13899" t="s">
        <v>42625</v>
      </c>
      <c r="X13899" t="s">
        <v>42707</v>
      </c>
    </row>
    <row r="13900" spans="1:24">
      <c r="A13900">
        <f>HYPERLINK("https://www.philgeps.gov.ph/GEPSNONPILOT/Tender/SplashBidNoticeAbstractUI.aspx?menuIndex=3&amp;refID=7118985&amp;Result=3","7118985")</f>
        <v>0</v>
      </c>
      <c r="B13900" t="s">
        <v>1183</v>
      </c>
      <c r="C13900" t="s">
        <v>16844</v>
      </c>
      <c r="D13900" t="s">
        <v>17171</v>
      </c>
      <c r="E13900" t="s">
        <v>29082</v>
      </c>
      <c r="F13900" t="s">
        <v>29372</v>
      </c>
      <c r="G13900" t="s">
        <v>29380</v>
      </c>
      <c r="H13900" t="s">
        <v>11048</v>
      </c>
      <c r="I13900" t="s">
        <v>29433</v>
      </c>
      <c r="J13900" t="s">
        <v>38300</v>
      </c>
      <c r="K13900" t="s">
        <v>38510</v>
      </c>
      <c r="M13900" t="s">
        <v>42625</v>
      </c>
      <c r="N13900" t="s">
        <v>42669</v>
      </c>
      <c r="O13900" t="s">
        <v>42670</v>
      </c>
      <c r="Q13900">
        <v>3</v>
      </c>
      <c r="R13900" t="s">
        <v>42706</v>
      </c>
      <c r="S13900" t="s">
        <v>44099</v>
      </c>
      <c r="T13900" t="s">
        <v>44870</v>
      </c>
      <c r="U13900" t="s">
        <v>56091</v>
      </c>
      <c r="V13900" t="s">
        <v>57962</v>
      </c>
      <c r="W13900" t="s">
        <v>42625</v>
      </c>
      <c r="X13900" t="s">
        <v>42707</v>
      </c>
    </row>
    <row r="13901" spans="1:24">
      <c r="A13901">
        <f>HYPERLINK("https://www.philgeps.gov.ph/GEPSNONPILOT/Tender/SplashBidNoticeAbstractUI.aspx?menuIndex=3&amp;refID=7118860&amp;Result=3","7118860")</f>
        <v>0</v>
      </c>
      <c r="B13901" t="s">
        <v>1183</v>
      </c>
      <c r="C13901" t="s">
        <v>16845</v>
      </c>
      <c r="D13901" t="s">
        <v>17171</v>
      </c>
      <c r="E13901" t="s">
        <v>29083</v>
      </c>
      <c r="F13901" t="s">
        <v>29372</v>
      </c>
      <c r="G13901" t="s">
        <v>29380</v>
      </c>
      <c r="H13901" t="s">
        <v>11048</v>
      </c>
      <c r="I13901" t="s">
        <v>29414</v>
      </c>
      <c r="J13901" t="s">
        <v>33662</v>
      </c>
      <c r="K13901" t="s">
        <v>38485</v>
      </c>
      <c r="M13901" t="s">
        <v>42625</v>
      </c>
      <c r="N13901" t="s">
        <v>42669</v>
      </c>
      <c r="O13901" t="s">
        <v>42670</v>
      </c>
      <c r="Q13901">
        <v>22</v>
      </c>
      <c r="R13901" t="s">
        <v>42706</v>
      </c>
      <c r="S13901" t="s">
        <v>43323</v>
      </c>
      <c r="T13901" t="s">
        <v>44870</v>
      </c>
      <c r="U13901" t="s">
        <v>56092</v>
      </c>
      <c r="V13901" t="s">
        <v>57962</v>
      </c>
      <c r="W13901" t="s">
        <v>42625</v>
      </c>
      <c r="X13901" t="s">
        <v>42707</v>
      </c>
    </row>
    <row r="13902" spans="1:24">
      <c r="A13902">
        <f>HYPERLINK("https://www.philgeps.gov.ph/GEPSNONPILOT/Tender/SplashBidNoticeAbstractUI.aspx?menuIndex=3&amp;refID=7118809&amp;Result=3","7118809")</f>
        <v>0</v>
      </c>
      <c r="B13902" t="s">
        <v>1183</v>
      </c>
      <c r="C13902" t="s">
        <v>16846</v>
      </c>
      <c r="D13902" t="s">
        <v>17171</v>
      </c>
      <c r="E13902" t="s">
        <v>29084</v>
      </c>
      <c r="F13902" t="s">
        <v>29372</v>
      </c>
      <c r="G13902" t="s">
        <v>29380</v>
      </c>
      <c r="H13902" t="s">
        <v>11048</v>
      </c>
      <c r="I13902" t="s">
        <v>29407</v>
      </c>
      <c r="J13902" t="s">
        <v>38301</v>
      </c>
      <c r="K13902" t="s">
        <v>38510</v>
      </c>
      <c r="M13902" t="s">
        <v>42625</v>
      </c>
      <c r="N13902" t="s">
        <v>42669</v>
      </c>
      <c r="O13902" t="s">
        <v>42670</v>
      </c>
      <c r="Q13902">
        <v>3</v>
      </c>
      <c r="R13902" t="s">
        <v>42706</v>
      </c>
      <c r="S13902" t="s">
        <v>44100</v>
      </c>
      <c r="T13902" t="s">
        <v>44505</v>
      </c>
      <c r="U13902" t="s">
        <v>56093</v>
      </c>
      <c r="V13902" t="s">
        <v>57962</v>
      </c>
      <c r="W13902" t="s">
        <v>42625</v>
      </c>
      <c r="X13902" t="s">
        <v>42707</v>
      </c>
    </row>
    <row r="13903" spans="1:24">
      <c r="A13903">
        <f>HYPERLINK("https://www.philgeps.gov.ph/GEPSNONPILOT/Tender/SplashBidNoticeAbstractUI.aspx?menuIndex=3&amp;refID=7118778&amp;Result=3","7118778")</f>
        <v>0</v>
      </c>
      <c r="B13903" t="s">
        <v>1183</v>
      </c>
      <c r="C13903" t="s">
        <v>16847</v>
      </c>
      <c r="D13903" t="s">
        <v>17171</v>
      </c>
      <c r="E13903" t="s">
        <v>29085</v>
      </c>
      <c r="F13903" t="s">
        <v>29372</v>
      </c>
      <c r="G13903" t="s">
        <v>29380</v>
      </c>
      <c r="H13903" t="s">
        <v>11048</v>
      </c>
      <c r="I13903" t="s">
        <v>29407</v>
      </c>
      <c r="J13903" t="s">
        <v>38302</v>
      </c>
      <c r="K13903" t="s">
        <v>38510</v>
      </c>
      <c r="M13903" t="s">
        <v>42625</v>
      </c>
      <c r="N13903" t="s">
        <v>42669</v>
      </c>
      <c r="O13903" t="s">
        <v>42670</v>
      </c>
      <c r="Q13903">
        <v>6</v>
      </c>
      <c r="R13903" t="s">
        <v>42706</v>
      </c>
      <c r="S13903" t="s">
        <v>44101</v>
      </c>
      <c r="T13903" t="s">
        <v>44505</v>
      </c>
      <c r="U13903" t="s">
        <v>56094</v>
      </c>
      <c r="V13903" t="s">
        <v>57962</v>
      </c>
      <c r="W13903" t="s">
        <v>42625</v>
      </c>
      <c r="X13903" t="s">
        <v>42707</v>
      </c>
    </row>
    <row r="13904" spans="1:24">
      <c r="A13904">
        <f>HYPERLINK("https://www.philgeps.gov.ph/GEPSNONPILOT/Tender/SplashBidNoticeAbstractUI.aspx?menuIndex=3&amp;refID=7118741&amp;Result=3","7118741")</f>
        <v>0</v>
      </c>
      <c r="B13904" t="s">
        <v>1183</v>
      </c>
      <c r="C13904" t="s">
        <v>16848</v>
      </c>
      <c r="D13904" t="s">
        <v>17171</v>
      </c>
      <c r="E13904" t="s">
        <v>29086</v>
      </c>
      <c r="F13904" t="s">
        <v>29372</v>
      </c>
      <c r="G13904" t="s">
        <v>29380</v>
      </c>
      <c r="H13904" t="s">
        <v>11048</v>
      </c>
      <c r="I13904" t="s">
        <v>29407</v>
      </c>
      <c r="J13904" t="s">
        <v>38303</v>
      </c>
      <c r="K13904" t="s">
        <v>38510</v>
      </c>
      <c r="M13904" t="s">
        <v>42625</v>
      </c>
      <c r="N13904" t="s">
        <v>42669</v>
      </c>
      <c r="O13904" t="s">
        <v>42670</v>
      </c>
      <c r="Q13904">
        <v>7</v>
      </c>
      <c r="R13904" t="s">
        <v>42706</v>
      </c>
      <c r="S13904" t="s">
        <v>44102</v>
      </c>
      <c r="T13904" t="s">
        <v>44505</v>
      </c>
      <c r="U13904" t="s">
        <v>56095</v>
      </c>
      <c r="V13904" t="s">
        <v>57962</v>
      </c>
      <c r="W13904" t="s">
        <v>42625</v>
      </c>
      <c r="X13904" t="s">
        <v>42707</v>
      </c>
    </row>
    <row r="13905" spans="1:24">
      <c r="A13905">
        <f>HYPERLINK("https://www.philgeps.gov.ph/GEPSNONPILOT/Tender/SplashBidNoticeAbstractUI.aspx?menuIndex=3&amp;refID=7118704&amp;Result=3","7118704")</f>
        <v>0</v>
      </c>
      <c r="B13905" t="s">
        <v>1183</v>
      </c>
      <c r="C13905" t="s">
        <v>16849</v>
      </c>
      <c r="D13905" t="s">
        <v>17171</v>
      </c>
      <c r="E13905" t="s">
        <v>29087</v>
      </c>
      <c r="F13905" t="s">
        <v>29372</v>
      </c>
      <c r="G13905" t="s">
        <v>29380</v>
      </c>
      <c r="H13905" t="s">
        <v>11048</v>
      </c>
      <c r="I13905" t="s">
        <v>29407</v>
      </c>
      <c r="J13905" t="s">
        <v>38304</v>
      </c>
      <c r="K13905" t="s">
        <v>38510</v>
      </c>
      <c r="M13905" t="s">
        <v>42625</v>
      </c>
      <c r="N13905" t="s">
        <v>42669</v>
      </c>
      <c r="O13905" t="s">
        <v>42670</v>
      </c>
      <c r="Q13905">
        <v>7</v>
      </c>
      <c r="R13905" t="s">
        <v>42706</v>
      </c>
      <c r="S13905" t="s">
        <v>44103</v>
      </c>
      <c r="T13905" t="s">
        <v>44505</v>
      </c>
      <c r="U13905" t="s">
        <v>56096</v>
      </c>
      <c r="V13905" t="s">
        <v>57962</v>
      </c>
      <c r="W13905" t="s">
        <v>42625</v>
      </c>
      <c r="X13905" t="s">
        <v>42707</v>
      </c>
    </row>
    <row r="13906" spans="1:24">
      <c r="A13906">
        <f>HYPERLINK("https://www.philgeps.gov.ph/GEPSNONPILOT/Tender/SplashBidNoticeAbstractUI.aspx?menuIndex=3&amp;refID=7118670&amp;Result=3","7118670")</f>
        <v>0</v>
      </c>
      <c r="B13906" t="s">
        <v>1183</v>
      </c>
      <c r="C13906" t="s">
        <v>16850</v>
      </c>
      <c r="D13906" t="s">
        <v>17171</v>
      </c>
      <c r="E13906" t="s">
        <v>29088</v>
      </c>
      <c r="F13906" t="s">
        <v>29372</v>
      </c>
      <c r="G13906" t="s">
        <v>29380</v>
      </c>
      <c r="H13906" t="s">
        <v>11048</v>
      </c>
      <c r="I13906" t="s">
        <v>29407</v>
      </c>
      <c r="J13906" t="s">
        <v>33158</v>
      </c>
      <c r="K13906" t="s">
        <v>38510</v>
      </c>
      <c r="M13906" t="s">
        <v>42625</v>
      </c>
      <c r="N13906" t="s">
        <v>42669</v>
      </c>
      <c r="O13906" t="s">
        <v>42670</v>
      </c>
      <c r="Q13906">
        <v>7</v>
      </c>
      <c r="R13906" t="s">
        <v>42706</v>
      </c>
      <c r="S13906" t="s">
        <v>44104</v>
      </c>
      <c r="T13906" t="s">
        <v>44505</v>
      </c>
      <c r="U13906" t="s">
        <v>56097</v>
      </c>
      <c r="V13906" t="s">
        <v>57962</v>
      </c>
      <c r="W13906" t="s">
        <v>42625</v>
      </c>
      <c r="X13906" t="s">
        <v>42707</v>
      </c>
    </row>
    <row r="13907" spans="1:24">
      <c r="A13907">
        <f>HYPERLINK("https://www.philgeps.gov.ph/GEPSNONPILOT/Tender/SplashBidNoticeAbstractUI.aspx?menuIndex=3&amp;refID=7118872&amp;Result=3","7118872")</f>
        <v>0</v>
      </c>
      <c r="B13907" t="s">
        <v>1183</v>
      </c>
      <c r="C13907" t="s">
        <v>16851</v>
      </c>
      <c r="D13907" t="s">
        <v>17171</v>
      </c>
      <c r="E13907" t="s">
        <v>29089</v>
      </c>
      <c r="F13907" t="s">
        <v>29372</v>
      </c>
      <c r="G13907" t="s">
        <v>29380</v>
      </c>
      <c r="H13907" t="s">
        <v>11048</v>
      </c>
      <c r="I13907" t="s">
        <v>29407</v>
      </c>
      <c r="J13907" t="s">
        <v>38305</v>
      </c>
      <c r="K13907" t="s">
        <v>38495</v>
      </c>
      <c r="M13907" t="s">
        <v>42625</v>
      </c>
      <c r="N13907" t="s">
        <v>42669</v>
      </c>
      <c r="O13907" t="s">
        <v>42670</v>
      </c>
      <c r="Q13907">
        <v>13</v>
      </c>
      <c r="R13907" t="s">
        <v>42706</v>
      </c>
      <c r="S13907" t="s">
        <v>42955</v>
      </c>
      <c r="T13907" t="s">
        <v>44870</v>
      </c>
      <c r="U13907" t="s">
        <v>56098</v>
      </c>
      <c r="V13907" t="s">
        <v>57962</v>
      </c>
      <c r="W13907" t="s">
        <v>42625</v>
      </c>
      <c r="X13907" t="s">
        <v>42707</v>
      </c>
    </row>
    <row r="13908" spans="1:24">
      <c r="A13908">
        <f>HYPERLINK("https://www.philgeps.gov.ph/GEPSNONPILOT/Tender/SplashBidNoticeAbstractUI.aspx?menuIndex=3&amp;refID=7117843&amp;Result=3","7117843")</f>
        <v>0</v>
      </c>
      <c r="B13908" t="s">
        <v>1183</v>
      </c>
      <c r="C13908" t="s">
        <v>16852</v>
      </c>
      <c r="D13908" t="s">
        <v>17171</v>
      </c>
      <c r="E13908" t="s">
        <v>29090</v>
      </c>
      <c r="F13908" t="s">
        <v>29372</v>
      </c>
      <c r="G13908" t="s">
        <v>29380</v>
      </c>
      <c r="H13908" t="s">
        <v>29390</v>
      </c>
      <c r="I13908" t="s">
        <v>8614</v>
      </c>
      <c r="J13908" t="s">
        <v>35262</v>
      </c>
      <c r="K13908" t="s">
        <v>38495</v>
      </c>
      <c r="M13908" t="s">
        <v>42625</v>
      </c>
      <c r="N13908" t="s">
        <v>42669</v>
      </c>
      <c r="O13908" t="s">
        <v>42670</v>
      </c>
      <c r="Q13908">
        <v>24</v>
      </c>
      <c r="R13908" t="s">
        <v>42706</v>
      </c>
      <c r="S13908" t="s">
        <v>44105</v>
      </c>
      <c r="T13908" t="s">
        <v>44505</v>
      </c>
      <c r="U13908" t="s">
        <v>56099</v>
      </c>
      <c r="V13908" t="s">
        <v>57962</v>
      </c>
      <c r="W13908" t="s">
        <v>42625</v>
      </c>
      <c r="X13908" t="s">
        <v>42707</v>
      </c>
    </row>
    <row r="13909" spans="1:24">
      <c r="A13909">
        <f>HYPERLINK("https://www.philgeps.gov.ph/GEPSNONPILOT/Tender/SplashBidNoticeAbstractUI.aspx?menuIndex=3&amp;refID=7118980&amp;Result=3","7118980")</f>
        <v>0</v>
      </c>
      <c r="B13909" t="s">
        <v>1183</v>
      </c>
      <c r="C13909" t="s">
        <v>16853</v>
      </c>
      <c r="D13909" t="s">
        <v>17171</v>
      </c>
      <c r="E13909" t="s">
        <v>29091</v>
      </c>
      <c r="F13909" t="s">
        <v>29372</v>
      </c>
      <c r="G13909" t="s">
        <v>29380</v>
      </c>
      <c r="H13909" t="s">
        <v>11048</v>
      </c>
      <c r="I13909" t="s">
        <v>29433</v>
      </c>
      <c r="J13909" t="s">
        <v>38306</v>
      </c>
      <c r="K13909" t="s">
        <v>38510</v>
      </c>
      <c r="M13909" t="s">
        <v>42625</v>
      </c>
      <c r="N13909" t="s">
        <v>42669</v>
      </c>
      <c r="O13909" t="s">
        <v>42670</v>
      </c>
      <c r="Q13909">
        <v>5</v>
      </c>
      <c r="R13909" t="s">
        <v>42706</v>
      </c>
      <c r="S13909" t="s">
        <v>44106</v>
      </c>
      <c r="T13909" t="s">
        <v>44870</v>
      </c>
      <c r="U13909" t="s">
        <v>56100</v>
      </c>
      <c r="V13909" t="s">
        <v>57962</v>
      </c>
      <c r="W13909" t="s">
        <v>42625</v>
      </c>
      <c r="X13909" t="s">
        <v>42707</v>
      </c>
    </row>
    <row r="13910" spans="1:24">
      <c r="A13910">
        <f>HYPERLINK("https://www.philgeps.gov.ph/GEPSNONPILOT/Tender/SplashBidNoticeAbstractUI.aspx?menuIndex=3&amp;refID=7119051&amp;Result=3","7119051")</f>
        <v>0</v>
      </c>
      <c r="B13910" t="s">
        <v>1183</v>
      </c>
      <c r="C13910" t="s">
        <v>16854</v>
      </c>
      <c r="D13910" t="s">
        <v>17171</v>
      </c>
      <c r="E13910" t="s">
        <v>29092</v>
      </c>
      <c r="F13910" t="s">
        <v>29372</v>
      </c>
      <c r="G13910" t="s">
        <v>29380</v>
      </c>
      <c r="H13910" t="s">
        <v>11048</v>
      </c>
      <c r="I13910" t="s">
        <v>29433</v>
      </c>
      <c r="J13910" t="s">
        <v>38307</v>
      </c>
      <c r="K13910" t="s">
        <v>38510</v>
      </c>
      <c r="M13910" t="s">
        <v>42625</v>
      </c>
      <c r="N13910" t="s">
        <v>42669</v>
      </c>
      <c r="O13910" t="s">
        <v>42670</v>
      </c>
      <c r="Q13910">
        <v>4</v>
      </c>
      <c r="R13910" t="s">
        <v>42706</v>
      </c>
      <c r="S13910" t="s">
        <v>43245</v>
      </c>
      <c r="T13910" t="s">
        <v>44870</v>
      </c>
      <c r="U13910" t="s">
        <v>56101</v>
      </c>
      <c r="V13910" t="s">
        <v>57962</v>
      </c>
      <c r="W13910" t="s">
        <v>42625</v>
      </c>
      <c r="X13910" t="s">
        <v>42707</v>
      </c>
    </row>
    <row r="13911" spans="1:24">
      <c r="A13911">
        <f>HYPERLINK("https://www.philgeps.gov.ph/GEPSNONPILOT/Tender/SplashBidNoticeAbstractUI.aspx?menuIndex=3&amp;refID=7118757&amp;Result=3","7118757")</f>
        <v>0</v>
      </c>
      <c r="B13911" t="s">
        <v>1183</v>
      </c>
      <c r="C13911" t="s">
        <v>16855</v>
      </c>
      <c r="D13911" t="s">
        <v>17171</v>
      </c>
      <c r="E13911" t="s">
        <v>29093</v>
      </c>
      <c r="F13911" t="s">
        <v>29372</v>
      </c>
      <c r="G13911" t="s">
        <v>29380</v>
      </c>
      <c r="H13911" t="s">
        <v>11048</v>
      </c>
      <c r="I13911" t="s">
        <v>29407</v>
      </c>
      <c r="J13911" t="s">
        <v>36563</v>
      </c>
      <c r="K13911" t="s">
        <v>38510</v>
      </c>
      <c r="M13911" t="s">
        <v>42625</v>
      </c>
      <c r="N13911" t="s">
        <v>42669</v>
      </c>
      <c r="O13911" t="s">
        <v>42670</v>
      </c>
      <c r="Q13911">
        <v>5</v>
      </c>
      <c r="R13911" t="s">
        <v>42706</v>
      </c>
      <c r="S13911" t="s">
        <v>44107</v>
      </c>
      <c r="T13911" t="s">
        <v>44505</v>
      </c>
      <c r="U13911" t="s">
        <v>56102</v>
      </c>
      <c r="V13911" t="s">
        <v>57962</v>
      </c>
      <c r="W13911" t="s">
        <v>42625</v>
      </c>
      <c r="X13911" t="s">
        <v>42707</v>
      </c>
    </row>
    <row r="13912" spans="1:24">
      <c r="A13912">
        <f>HYPERLINK("https://www.philgeps.gov.ph/GEPSNONPILOT/Tender/SplashBidNoticeAbstractUI.aspx?menuIndex=3&amp;refID=7119914&amp;Result=3","7119914")</f>
        <v>0</v>
      </c>
      <c r="B13912" t="s">
        <v>3494</v>
      </c>
      <c r="C13912" t="s">
        <v>16856</v>
      </c>
      <c r="E13912" t="s">
        <v>29094</v>
      </c>
      <c r="F13912" t="s">
        <v>29372</v>
      </c>
      <c r="G13912" t="s">
        <v>29380</v>
      </c>
      <c r="H13912" t="s">
        <v>11048</v>
      </c>
      <c r="I13912" t="s">
        <v>4486</v>
      </c>
      <c r="J13912" t="s">
        <v>38308</v>
      </c>
      <c r="K13912" t="s">
        <v>38485</v>
      </c>
      <c r="M13912" t="s">
        <v>42630</v>
      </c>
      <c r="N13912" t="s">
        <v>42669</v>
      </c>
      <c r="O13912" t="s">
        <v>42670</v>
      </c>
      <c r="Q13912">
        <v>23</v>
      </c>
      <c r="R13912" t="s">
        <v>42706</v>
      </c>
      <c r="S13912" t="s">
        <v>44108</v>
      </c>
      <c r="T13912" t="s">
        <v>44598</v>
      </c>
      <c r="U13912" t="s">
        <v>56103</v>
      </c>
      <c r="V13912" t="s">
        <v>57966</v>
      </c>
      <c r="W13912" t="s">
        <v>42630</v>
      </c>
      <c r="X13912" t="s">
        <v>42709</v>
      </c>
    </row>
    <row r="13913" spans="1:24">
      <c r="A13913">
        <f>HYPERLINK("https://www.philgeps.gov.ph/GEPSNONPILOT/Tender/SplashBidNoticeAbstractUI.aspx?menuIndex=3&amp;refID=7119052&amp;Result=3","7119052")</f>
        <v>0</v>
      </c>
      <c r="B13913" t="s">
        <v>1183</v>
      </c>
      <c r="C13913" t="s">
        <v>16857</v>
      </c>
      <c r="D13913" t="s">
        <v>17171</v>
      </c>
      <c r="E13913" t="s">
        <v>29095</v>
      </c>
      <c r="F13913" t="s">
        <v>29372</v>
      </c>
      <c r="G13913" t="s">
        <v>29380</v>
      </c>
      <c r="H13913" t="s">
        <v>11048</v>
      </c>
      <c r="I13913" t="s">
        <v>3695</v>
      </c>
      <c r="J13913" t="s">
        <v>38309</v>
      </c>
      <c r="K13913" t="s">
        <v>38510</v>
      </c>
      <c r="M13913" t="s">
        <v>42631</v>
      </c>
      <c r="N13913" t="s">
        <v>42669</v>
      </c>
      <c r="O13913" t="s">
        <v>42670</v>
      </c>
      <c r="Q13913">
        <v>9</v>
      </c>
      <c r="R13913" t="s">
        <v>42706</v>
      </c>
      <c r="S13913" t="s">
        <v>44109</v>
      </c>
      <c r="T13913" t="s">
        <v>44408</v>
      </c>
      <c r="U13913" t="s">
        <v>56104</v>
      </c>
      <c r="V13913" t="s">
        <v>57962</v>
      </c>
      <c r="W13913" t="s">
        <v>42631</v>
      </c>
      <c r="X13913" t="s">
        <v>42707</v>
      </c>
    </row>
    <row r="13914" spans="1:24">
      <c r="A13914">
        <f>HYPERLINK("https://www.philgeps.gov.ph/GEPSNONPILOT/Tender/SplashBidNoticeAbstractUI.aspx?menuIndex=3&amp;refID=7125650&amp;Result=3","7125650")</f>
        <v>0</v>
      </c>
      <c r="B13914" t="s">
        <v>824</v>
      </c>
      <c r="C13914" t="s">
        <v>16858</v>
      </c>
      <c r="D13914" t="s">
        <v>17168</v>
      </c>
      <c r="E13914" t="s">
        <v>26496</v>
      </c>
      <c r="F13914" t="s">
        <v>29372</v>
      </c>
      <c r="G13914" t="s">
        <v>29380</v>
      </c>
      <c r="H13914" t="s">
        <v>11048</v>
      </c>
      <c r="I13914" t="s">
        <v>9642</v>
      </c>
      <c r="J13914" t="s">
        <v>38310</v>
      </c>
      <c r="K13914" t="s">
        <v>38485</v>
      </c>
      <c r="M13914" t="s">
        <v>42596</v>
      </c>
      <c r="N13914" t="s">
        <v>42669</v>
      </c>
      <c r="O13914" t="s">
        <v>42670</v>
      </c>
      <c r="Q13914">
        <v>24</v>
      </c>
      <c r="R13914" t="s">
        <v>42704</v>
      </c>
      <c r="S13914" t="s">
        <v>44110</v>
      </c>
      <c r="T13914" t="s">
        <v>44444</v>
      </c>
      <c r="U13914" t="s">
        <v>56105</v>
      </c>
      <c r="W13914" t="s">
        <v>42596</v>
      </c>
      <c r="X13914" t="s">
        <v>42705</v>
      </c>
    </row>
    <row r="13915" spans="1:24">
      <c r="A13915">
        <f>HYPERLINK("https://www.philgeps.gov.ph/GEPSNONPILOT/Tender/SplashBidNoticeAbstractUI.aspx?menuIndex=3&amp;refID=7119041&amp;Result=3","7119041")</f>
        <v>0</v>
      </c>
      <c r="B13915" t="s">
        <v>1183</v>
      </c>
      <c r="C13915" t="s">
        <v>16859</v>
      </c>
      <c r="D13915" t="s">
        <v>17171</v>
      </c>
      <c r="E13915" t="s">
        <v>29096</v>
      </c>
      <c r="F13915" t="s">
        <v>29372</v>
      </c>
      <c r="G13915" t="s">
        <v>29380</v>
      </c>
      <c r="H13915" t="s">
        <v>11048</v>
      </c>
      <c r="I13915" t="s">
        <v>3695</v>
      </c>
      <c r="J13915" t="s">
        <v>38311</v>
      </c>
      <c r="K13915" t="s">
        <v>38510</v>
      </c>
      <c r="M13915" t="s">
        <v>42631</v>
      </c>
      <c r="N13915" t="s">
        <v>42669</v>
      </c>
      <c r="O13915" t="s">
        <v>42670</v>
      </c>
      <c r="Q13915">
        <v>11</v>
      </c>
      <c r="R13915" t="s">
        <v>42706</v>
      </c>
      <c r="S13915" t="s">
        <v>44111</v>
      </c>
      <c r="T13915" t="s">
        <v>44408</v>
      </c>
      <c r="U13915" t="s">
        <v>56106</v>
      </c>
      <c r="V13915" t="s">
        <v>57962</v>
      </c>
      <c r="W13915" t="s">
        <v>42631</v>
      </c>
      <c r="X13915" t="s">
        <v>42707</v>
      </c>
    </row>
    <row r="13916" spans="1:24">
      <c r="A13916">
        <f>HYPERLINK("https://www.philgeps.gov.ph/GEPSNONPILOT/Tender/SplashBidNoticeAbstractUI.aspx?menuIndex=3&amp;refID=7119038&amp;Result=3","7119038")</f>
        <v>0</v>
      </c>
      <c r="B13916" t="s">
        <v>1183</v>
      </c>
      <c r="C13916" t="s">
        <v>16860</v>
      </c>
      <c r="D13916" t="s">
        <v>17171</v>
      </c>
      <c r="E13916" t="s">
        <v>29097</v>
      </c>
      <c r="F13916" t="s">
        <v>29372</v>
      </c>
      <c r="G13916" t="s">
        <v>29380</v>
      </c>
      <c r="H13916" t="s">
        <v>11048</v>
      </c>
      <c r="I13916" t="s">
        <v>29433</v>
      </c>
      <c r="J13916" t="s">
        <v>38312</v>
      </c>
      <c r="K13916" t="s">
        <v>38510</v>
      </c>
      <c r="M13916" t="s">
        <v>42625</v>
      </c>
      <c r="N13916" t="s">
        <v>42669</v>
      </c>
      <c r="O13916" t="s">
        <v>42670</v>
      </c>
      <c r="Q13916">
        <v>4</v>
      </c>
      <c r="R13916" t="s">
        <v>42706</v>
      </c>
      <c r="S13916" t="s">
        <v>43617</v>
      </c>
      <c r="T13916" t="s">
        <v>44870</v>
      </c>
      <c r="U13916" t="s">
        <v>56107</v>
      </c>
      <c r="V13916" t="s">
        <v>57962</v>
      </c>
      <c r="W13916" t="s">
        <v>42625</v>
      </c>
      <c r="X13916" t="s">
        <v>42707</v>
      </c>
    </row>
    <row r="13917" spans="1:24">
      <c r="A13917">
        <f>HYPERLINK("https://www.philgeps.gov.ph/GEPSNONPILOT/Tender/SplashBidNoticeAbstractUI.aspx?menuIndex=3&amp;refID=7119034&amp;Result=3","7119034")</f>
        <v>0</v>
      </c>
      <c r="B13917" t="s">
        <v>1183</v>
      </c>
      <c r="C13917" t="s">
        <v>16861</v>
      </c>
      <c r="D13917" t="s">
        <v>17171</v>
      </c>
      <c r="E13917" t="s">
        <v>29098</v>
      </c>
      <c r="F13917" t="s">
        <v>29372</v>
      </c>
      <c r="G13917" t="s">
        <v>29380</v>
      </c>
      <c r="H13917" t="s">
        <v>11048</v>
      </c>
      <c r="I13917" t="s">
        <v>29433</v>
      </c>
      <c r="J13917" t="s">
        <v>38313</v>
      </c>
      <c r="K13917" t="s">
        <v>38510</v>
      </c>
      <c r="M13917" t="s">
        <v>42625</v>
      </c>
      <c r="N13917" t="s">
        <v>42669</v>
      </c>
      <c r="O13917" t="s">
        <v>42670</v>
      </c>
      <c r="Q13917">
        <v>7</v>
      </c>
      <c r="R13917" t="s">
        <v>42706</v>
      </c>
      <c r="S13917" t="s">
        <v>43617</v>
      </c>
      <c r="T13917" t="s">
        <v>44870</v>
      </c>
      <c r="U13917" t="s">
        <v>56108</v>
      </c>
      <c r="V13917" t="s">
        <v>57962</v>
      </c>
      <c r="W13917" t="s">
        <v>42625</v>
      </c>
      <c r="X13917" t="s">
        <v>42707</v>
      </c>
    </row>
    <row r="13918" spans="1:24">
      <c r="A13918">
        <f>HYPERLINK("https://www.philgeps.gov.ph/GEPSNONPILOT/Tender/SplashBidNoticeAbstractUI.aspx?menuIndex=3&amp;refID=7119048&amp;Result=3","7119048")</f>
        <v>0</v>
      </c>
      <c r="B13918" t="s">
        <v>1183</v>
      </c>
      <c r="C13918" t="s">
        <v>16862</v>
      </c>
      <c r="D13918" t="s">
        <v>17171</v>
      </c>
      <c r="E13918" t="s">
        <v>29099</v>
      </c>
      <c r="F13918" t="s">
        <v>29372</v>
      </c>
      <c r="G13918" t="s">
        <v>29380</v>
      </c>
      <c r="H13918" t="s">
        <v>11048</v>
      </c>
      <c r="I13918" t="s">
        <v>3695</v>
      </c>
      <c r="J13918" t="s">
        <v>38314</v>
      </c>
      <c r="K13918" t="s">
        <v>38510</v>
      </c>
      <c r="M13918" t="s">
        <v>42631</v>
      </c>
      <c r="N13918" t="s">
        <v>42669</v>
      </c>
      <c r="O13918" t="s">
        <v>42670</v>
      </c>
      <c r="Q13918">
        <v>7</v>
      </c>
      <c r="R13918" t="s">
        <v>42706</v>
      </c>
      <c r="S13918" t="s">
        <v>42932</v>
      </c>
      <c r="T13918" t="s">
        <v>44408</v>
      </c>
      <c r="U13918" t="s">
        <v>56109</v>
      </c>
      <c r="V13918" t="s">
        <v>57962</v>
      </c>
      <c r="W13918" t="s">
        <v>42631</v>
      </c>
      <c r="X13918" t="s">
        <v>42707</v>
      </c>
    </row>
    <row r="13919" spans="1:24">
      <c r="A13919">
        <f>HYPERLINK("https://www.philgeps.gov.ph/GEPSNONPILOT/Tender/SplashBidNoticeAbstractUI.aspx?menuIndex=3&amp;refID=7119028&amp;Result=3","7119028")</f>
        <v>0</v>
      </c>
      <c r="B13919" t="s">
        <v>1183</v>
      </c>
      <c r="C13919" t="s">
        <v>16863</v>
      </c>
      <c r="D13919" t="s">
        <v>17171</v>
      </c>
      <c r="E13919" t="s">
        <v>29100</v>
      </c>
      <c r="F13919" t="s">
        <v>29372</v>
      </c>
      <c r="G13919" t="s">
        <v>29380</v>
      </c>
      <c r="H13919" t="s">
        <v>11048</v>
      </c>
      <c r="I13919" t="s">
        <v>3695</v>
      </c>
      <c r="J13919" t="s">
        <v>38315</v>
      </c>
      <c r="K13919" t="s">
        <v>38510</v>
      </c>
      <c r="M13919" t="s">
        <v>42631</v>
      </c>
      <c r="N13919" t="s">
        <v>42669</v>
      </c>
      <c r="O13919" t="s">
        <v>42670</v>
      </c>
      <c r="Q13919">
        <v>7</v>
      </c>
      <c r="R13919" t="s">
        <v>42706</v>
      </c>
      <c r="S13919" t="s">
        <v>44112</v>
      </c>
      <c r="T13919" t="s">
        <v>44408</v>
      </c>
      <c r="U13919" t="s">
        <v>56110</v>
      </c>
      <c r="V13919" t="s">
        <v>57962</v>
      </c>
      <c r="W13919" t="s">
        <v>42631</v>
      </c>
      <c r="X13919" t="s">
        <v>42707</v>
      </c>
    </row>
    <row r="13920" spans="1:24">
      <c r="A13920">
        <f>HYPERLINK("https://www.philgeps.gov.ph/GEPSNONPILOT/Tender/SplashBidNoticeAbstractUI.aspx?menuIndex=3&amp;refID=7119026&amp;Result=3","7119026")</f>
        <v>0</v>
      </c>
      <c r="B13920" t="s">
        <v>1183</v>
      </c>
      <c r="C13920" t="s">
        <v>16864</v>
      </c>
      <c r="D13920" t="s">
        <v>17171</v>
      </c>
      <c r="E13920" t="s">
        <v>29101</v>
      </c>
      <c r="F13920" t="s">
        <v>29372</v>
      </c>
      <c r="G13920" t="s">
        <v>29380</v>
      </c>
      <c r="H13920" t="s">
        <v>11048</v>
      </c>
      <c r="I13920" t="s">
        <v>29433</v>
      </c>
      <c r="J13920" t="s">
        <v>29543</v>
      </c>
      <c r="K13920" t="s">
        <v>38510</v>
      </c>
      <c r="M13920" t="s">
        <v>42625</v>
      </c>
      <c r="N13920" t="s">
        <v>42669</v>
      </c>
      <c r="O13920" t="s">
        <v>42670</v>
      </c>
      <c r="Q13920">
        <v>5</v>
      </c>
      <c r="R13920" t="s">
        <v>42706</v>
      </c>
      <c r="S13920" t="s">
        <v>44113</v>
      </c>
      <c r="T13920" t="s">
        <v>44870</v>
      </c>
      <c r="U13920" t="s">
        <v>56111</v>
      </c>
      <c r="V13920" t="s">
        <v>57962</v>
      </c>
      <c r="W13920" t="s">
        <v>42625</v>
      </c>
      <c r="X13920" t="s">
        <v>42707</v>
      </c>
    </row>
    <row r="13921" spans="1:24">
      <c r="A13921">
        <f>HYPERLINK("https://www.philgeps.gov.ph/GEPSNONPILOT/Tender/SplashBidNoticeAbstractUI.aspx?menuIndex=3&amp;refID=7119024&amp;Result=3","7119024")</f>
        <v>0</v>
      </c>
      <c r="B13921" t="s">
        <v>1183</v>
      </c>
      <c r="C13921" t="s">
        <v>16865</v>
      </c>
      <c r="D13921" t="s">
        <v>17171</v>
      </c>
      <c r="E13921" t="s">
        <v>29102</v>
      </c>
      <c r="F13921" t="s">
        <v>29372</v>
      </c>
      <c r="G13921" t="s">
        <v>29380</v>
      </c>
      <c r="H13921" t="s">
        <v>11048</v>
      </c>
      <c r="I13921" t="s">
        <v>29433</v>
      </c>
      <c r="J13921" t="s">
        <v>29774</v>
      </c>
      <c r="K13921" t="s">
        <v>38510</v>
      </c>
      <c r="M13921" t="s">
        <v>42625</v>
      </c>
      <c r="N13921" t="s">
        <v>42669</v>
      </c>
      <c r="O13921" t="s">
        <v>42670</v>
      </c>
      <c r="Q13921">
        <v>6</v>
      </c>
      <c r="R13921" t="s">
        <v>42706</v>
      </c>
      <c r="S13921" t="s">
        <v>43105</v>
      </c>
      <c r="T13921" t="s">
        <v>44870</v>
      </c>
      <c r="U13921" t="s">
        <v>56112</v>
      </c>
      <c r="V13921" t="s">
        <v>57962</v>
      </c>
      <c r="W13921" t="s">
        <v>42625</v>
      </c>
      <c r="X13921" t="s">
        <v>42707</v>
      </c>
    </row>
    <row r="13922" spans="1:24">
      <c r="A13922">
        <f>HYPERLINK("https://www.philgeps.gov.ph/GEPSNONPILOT/Tender/SplashBidNoticeAbstractUI.aspx?menuIndex=3&amp;refID=7116033&amp;Result=3","7116033")</f>
        <v>0</v>
      </c>
      <c r="B13922" t="s">
        <v>3495</v>
      </c>
      <c r="C13922" t="s">
        <v>16866</v>
      </c>
      <c r="D13922" t="s">
        <v>17169</v>
      </c>
      <c r="E13922" t="s">
        <v>29103</v>
      </c>
      <c r="F13922" t="s">
        <v>29372</v>
      </c>
      <c r="G13922" t="s">
        <v>29380</v>
      </c>
      <c r="H13922" t="s">
        <v>11048</v>
      </c>
      <c r="I13922" t="s">
        <v>29419</v>
      </c>
      <c r="J13922" t="s">
        <v>38316</v>
      </c>
      <c r="K13922" t="s">
        <v>38485</v>
      </c>
      <c r="M13922" t="s">
        <v>42632</v>
      </c>
      <c r="N13922" t="s">
        <v>42669</v>
      </c>
      <c r="O13922" t="s">
        <v>42670</v>
      </c>
      <c r="Q13922">
        <v>4</v>
      </c>
      <c r="R13922" t="s">
        <v>42707</v>
      </c>
      <c r="S13922" t="s">
        <v>44114</v>
      </c>
      <c r="T13922" t="s">
        <v>44651</v>
      </c>
      <c r="U13922" t="s">
        <v>56113</v>
      </c>
      <c r="W13922" t="s">
        <v>42632</v>
      </c>
      <c r="X13922" t="s">
        <v>42715</v>
      </c>
    </row>
    <row r="13923" spans="1:24">
      <c r="A13923">
        <f>HYPERLINK("https://www.philgeps.gov.ph/GEPSNONPILOT/Tender/SplashBidNoticeAbstractUI.aspx?menuIndex=3&amp;refID=7115972&amp;Result=3","7115972")</f>
        <v>0</v>
      </c>
      <c r="B13923" t="s">
        <v>3495</v>
      </c>
      <c r="C13923" t="s">
        <v>16867</v>
      </c>
      <c r="D13923" t="s">
        <v>17169</v>
      </c>
      <c r="E13923" t="s">
        <v>29104</v>
      </c>
      <c r="F13923" t="s">
        <v>29372</v>
      </c>
      <c r="G13923" t="s">
        <v>29380</v>
      </c>
      <c r="H13923" t="s">
        <v>11048</v>
      </c>
      <c r="I13923" t="s">
        <v>29419</v>
      </c>
      <c r="J13923" t="s">
        <v>29541</v>
      </c>
      <c r="K13923" t="s">
        <v>38485</v>
      </c>
      <c r="M13923" t="s">
        <v>42632</v>
      </c>
      <c r="N13923" t="s">
        <v>42669</v>
      </c>
      <c r="O13923" t="s">
        <v>42670</v>
      </c>
      <c r="Q13923">
        <v>5</v>
      </c>
      <c r="R13923" t="s">
        <v>42707</v>
      </c>
      <c r="S13923" t="s">
        <v>44115</v>
      </c>
      <c r="T13923" t="s">
        <v>44401</v>
      </c>
      <c r="U13923" t="s">
        <v>56114</v>
      </c>
      <c r="W13923" t="s">
        <v>42632</v>
      </c>
      <c r="X13923" t="s">
        <v>42715</v>
      </c>
    </row>
    <row r="13924" spans="1:24">
      <c r="A13924">
        <f>HYPERLINK("https://www.philgeps.gov.ph/GEPSNONPILOT/Tender/SplashBidNoticeAbstractUI.aspx?menuIndex=3&amp;refID=7115667&amp;Result=3","7115667")</f>
        <v>0</v>
      </c>
      <c r="B13924" t="s">
        <v>1233</v>
      </c>
      <c r="C13924" t="s">
        <v>16868</v>
      </c>
      <c r="E13924" t="s">
        <v>29105</v>
      </c>
      <c r="F13924" t="s">
        <v>29372</v>
      </c>
      <c r="G13924" t="s">
        <v>29380</v>
      </c>
      <c r="H13924" t="s">
        <v>29391</v>
      </c>
      <c r="I13924" t="s">
        <v>29391</v>
      </c>
      <c r="J13924" t="s">
        <v>38317</v>
      </c>
      <c r="K13924" t="s">
        <v>38490</v>
      </c>
      <c r="M13924" t="s">
        <v>40054</v>
      </c>
      <c r="N13924" t="s">
        <v>42669</v>
      </c>
      <c r="O13924" t="s">
        <v>42670</v>
      </c>
      <c r="Q13924">
        <v>9</v>
      </c>
      <c r="R13924" t="s">
        <v>42707</v>
      </c>
      <c r="S13924" t="s">
        <v>44116</v>
      </c>
      <c r="T13924" t="s">
        <v>44357</v>
      </c>
      <c r="U13924" t="s">
        <v>56115</v>
      </c>
      <c r="W13924" t="s">
        <v>58041</v>
      </c>
      <c r="X13924" t="s">
        <v>42715</v>
      </c>
    </row>
    <row r="13925" spans="1:24">
      <c r="A13925">
        <f>HYPERLINK("https://www.philgeps.gov.ph/GEPSNONPILOT/Tender/SplashBidNoticeAbstractUI.aspx?menuIndex=3&amp;refID=7119036&amp;Result=3","7119036")</f>
        <v>0</v>
      </c>
      <c r="B13925" t="s">
        <v>1183</v>
      </c>
      <c r="C13925" t="s">
        <v>16869</v>
      </c>
      <c r="D13925" t="s">
        <v>17171</v>
      </c>
      <c r="E13925" t="s">
        <v>29106</v>
      </c>
      <c r="F13925" t="s">
        <v>29372</v>
      </c>
      <c r="G13925" t="s">
        <v>29380</v>
      </c>
      <c r="H13925" t="s">
        <v>11048</v>
      </c>
      <c r="I13925" t="s">
        <v>3695</v>
      </c>
      <c r="J13925" t="s">
        <v>38318</v>
      </c>
      <c r="K13925" t="s">
        <v>38510</v>
      </c>
      <c r="M13925" t="s">
        <v>42631</v>
      </c>
      <c r="N13925" t="s">
        <v>42669</v>
      </c>
      <c r="O13925" t="s">
        <v>42670</v>
      </c>
      <c r="Q13925">
        <v>11</v>
      </c>
      <c r="R13925" t="s">
        <v>42706</v>
      </c>
      <c r="S13925" t="s">
        <v>44117</v>
      </c>
      <c r="T13925" t="s">
        <v>44408</v>
      </c>
      <c r="U13925" t="s">
        <v>56116</v>
      </c>
      <c r="V13925" t="s">
        <v>57962</v>
      </c>
      <c r="W13925" t="s">
        <v>42631</v>
      </c>
      <c r="X13925" t="s">
        <v>42707</v>
      </c>
    </row>
    <row r="13926" spans="1:24">
      <c r="A13926">
        <f>HYPERLINK("https://www.philgeps.gov.ph/GEPSNONPILOT/Tender/SplashBidNoticeAbstractUI.aspx?menuIndex=3&amp;refID=7119046&amp;Result=3","7119046")</f>
        <v>0</v>
      </c>
      <c r="B13926" t="s">
        <v>1183</v>
      </c>
      <c r="C13926" t="s">
        <v>16870</v>
      </c>
      <c r="D13926" t="s">
        <v>17171</v>
      </c>
      <c r="E13926" t="s">
        <v>29107</v>
      </c>
      <c r="F13926" t="s">
        <v>29372</v>
      </c>
      <c r="G13926" t="s">
        <v>29380</v>
      </c>
      <c r="H13926" t="s">
        <v>11048</v>
      </c>
      <c r="I13926" t="s">
        <v>29433</v>
      </c>
      <c r="J13926" t="s">
        <v>38319</v>
      </c>
      <c r="K13926" t="s">
        <v>38510</v>
      </c>
      <c r="M13926" t="s">
        <v>42625</v>
      </c>
      <c r="N13926" t="s">
        <v>42669</v>
      </c>
      <c r="O13926" t="s">
        <v>42670</v>
      </c>
      <c r="Q13926">
        <v>9</v>
      </c>
      <c r="R13926" t="s">
        <v>42706</v>
      </c>
      <c r="S13926" t="s">
        <v>44118</v>
      </c>
      <c r="T13926" t="s">
        <v>44870</v>
      </c>
      <c r="U13926" t="s">
        <v>56117</v>
      </c>
      <c r="V13926" t="s">
        <v>57962</v>
      </c>
      <c r="W13926" t="s">
        <v>42625</v>
      </c>
      <c r="X13926" t="s">
        <v>42707</v>
      </c>
    </row>
    <row r="13927" spans="1:24">
      <c r="A13927">
        <f>HYPERLINK("https://www.philgeps.gov.ph/GEPSNONPILOT/Tender/SplashBidNoticeAbstractUI.aspx?menuIndex=3&amp;refID=7119055&amp;Result=3","7119055")</f>
        <v>0</v>
      </c>
      <c r="B13927" t="s">
        <v>1183</v>
      </c>
      <c r="C13927" t="s">
        <v>16871</v>
      </c>
      <c r="D13927" t="s">
        <v>17171</v>
      </c>
      <c r="E13927" t="s">
        <v>29108</v>
      </c>
      <c r="F13927" t="s">
        <v>29372</v>
      </c>
      <c r="G13927" t="s">
        <v>29380</v>
      </c>
      <c r="H13927" t="s">
        <v>11048</v>
      </c>
      <c r="I13927" t="s">
        <v>3695</v>
      </c>
      <c r="J13927" t="s">
        <v>38320</v>
      </c>
      <c r="K13927" t="s">
        <v>38510</v>
      </c>
      <c r="M13927" t="s">
        <v>42631</v>
      </c>
      <c r="N13927" t="s">
        <v>42669</v>
      </c>
      <c r="O13927" t="s">
        <v>42670</v>
      </c>
      <c r="Q13927">
        <v>7</v>
      </c>
      <c r="R13927" t="s">
        <v>42706</v>
      </c>
      <c r="S13927" t="s">
        <v>44119</v>
      </c>
      <c r="T13927" t="s">
        <v>44408</v>
      </c>
      <c r="U13927" t="s">
        <v>56118</v>
      </c>
      <c r="V13927" t="s">
        <v>57962</v>
      </c>
      <c r="W13927" t="s">
        <v>42631</v>
      </c>
      <c r="X13927" t="s">
        <v>42707</v>
      </c>
    </row>
    <row r="13928" spans="1:24">
      <c r="A13928">
        <f>HYPERLINK("https://www.philgeps.gov.ph/GEPSNONPILOT/Tender/SplashBidNoticeAbstractUI.aspx?menuIndex=3&amp;refID=7115535&amp;Result=3","7115535")</f>
        <v>0</v>
      </c>
      <c r="B13928" t="s">
        <v>2536</v>
      </c>
      <c r="C13928" t="s">
        <v>16872</v>
      </c>
      <c r="D13928" t="s">
        <v>17187</v>
      </c>
      <c r="E13928" t="s">
        <v>29109</v>
      </c>
      <c r="F13928" t="s">
        <v>29372</v>
      </c>
      <c r="G13928" t="s">
        <v>29386</v>
      </c>
      <c r="H13928" t="s">
        <v>29391</v>
      </c>
      <c r="I13928" t="s">
        <v>29391</v>
      </c>
      <c r="J13928" t="s">
        <v>38321</v>
      </c>
      <c r="K13928" t="s">
        <v>38493</v>
      </c>
      <c r="M13928" t="s">
        <v>42633</v>
      </c>
      <c r="N13928" t="s">
        <v>42669</v>
      </c>
      <c r="O13928" t="s">
        <v>42670</v>
      </c>
      <c r="Q13928">
        <v>7</v>
      </c>
      <c r="R13928" t="s">
        <v>42707</v>
      </c>
      <c r="S13928" t="s">
        <v>44120</v>
      </c>
      <c r="T13928" t="s">
        <v>44488</v>
      </c>
      <c r="U13928" t="s">
        <v>56119</v>
      </c>
      <c r="W13928" t="s">
        <v>42633</v>
      </c>
      <c r="X13928" t="s">
        <v>42715</v>
      </c>
    </row>
    <row r="13929" spans="1:24">
      <c r="A13929">
        <f>HYPERLINK("https://www.philgeps.gov.ph/GEPSNONPILOT/Tender/SplashBidNoticeAbstractUI.aspx?menuIndex=3&amp;refID=7113299&amp;Result=3","7113299")</f>
        <v>0</v>
      </c>
      <c r="B13929" t="s">
        <v>772</v>
      </c>
      <c r="C13929" t="s">
        <v>16873</v>
      </c>
      <c r="D13929" t="s">
        <v>17187</v>
      </c>
      <c r="E13929" t="s">
        <v>29110</v>
      </c>
      <c r="F13929" t="s">
        <v>29372</v>
      </c>
      <c r="G13929" t="s">
        <v>29380</v>
      </c>
      <c r="H13929" t="s">
        <v>11048</v>
      </c>
      <c r="I13929" t="s">
        <v>29400</v>
      </c>
      <c r="J13929" t="s">
        <v>38322</v>
      </c>
      <c r="K13929" t="s">
        <v>38491</v>
      </c>
      <c r="M13929" t="s">
        <v>42634</v>
      </c>
      <c r="N13929" t="s">
        <v>42669</v>
      </c>
      <c r="O13929" t="s">
        <v>42670</v>
      </c>
      <c r="Q13929">
        <v>7</v>
      </c>
      <c r="R13929" t="s">
        <v>42707</v>
      </c>
      <c r="S13929" t="s">
        <v>44121</v>
      </c>
      <c r="T13929" t="s">
        <v>44401</v>
      </c>
      <c r="U13929" t="s">
        <v>54023</v>
      </c>
      <c r="W13929" t="s">
        <v>42634</v>
      </c>
      <c r="X13929" t="s">
        <v>42715</v>
      </c>
    </row>
    <row r="13930" spans="1:24">
      <c r="A13930">
        <f>HYPERLINK("https://www.philgeps.gov.ph/GEPSNONPILOT/Tender/SplashBidNoticeAbstractUI.aspx?menuIndex=3&amp;refID=7108850&amp;Result=3","7108850")</f>
        <v>0</v>
      </c>
      <c r="B13930" t="s">
        <v>1066</v>
      </c>
      <c r="C13930" t="s">
        <v>16874</v>
      </c>
      <c r="E13930" t="s">
        <v>29111</v>
      </c>
      <c r="F13930" t="s">
        <v>29372</v>
      </c>
      <c r="G13930" t="s">
        <v>29380</v>
      </c>
      <c r="H13930" t="s">
        <v>11048</v>
      </c>
      <c r="I13930" t="s">
        <v>29426</v>
      </c>
      <c r="J13930" t="s">
        <v>33981</v>
      </c>
      <c r="K13930" t="s">
        <v>38487</v>
      </c>
      <c r="M13930" t="s">
        <v>42620</v>
      </c>
      <c r="N13930" t="s">
        <v>42669</v>
      </c>
      <c r="O13930" t="s">
        <v>42670</v>
      </c>
      <c r="Q13930">
        <v>21</v>
      </c>
      <c r="R13930" t="s">
        <v>42707</v>
      </c>
      <c r="S13930" t="s">
        <v>44122</v>
      </c>
      <c r="T13930" t="s">
        <v>44488</v>
      </c>
      <c r="U13930" t="s">
        <v>56120</v>
      </c>
      <c r="W13930" t="s">
        <v>42620</v>
      </c>
      <c r="X13930" t="s">
        <v>42711</v>
      </c>
    </row>
    <row r="13931" spans="1:24">
      <c r="A13931">
        <f>HYPERLINK("https://www.philgeps.gov.ph/GEPSNONPILOT/Tender/SplashBidNoticeAbstractUI.aspx?menuIndex=3&amp;refID=7113225&amp;Result=3","7113225")</f>
        <v>0</v>
      </c>
      <c r="B13931" t="s">
        <v>1466</v>
      </c>
      <c r="C13931" t="s">
        <v>16875</v>
      </c>
      <c r="E13931" t="s">
        <v>29112</v>
      </c>
      <c r="F13931" t="s">
        <v>29372</v>
      </c>
      <c r="G13931" t="s">
        <v>29380</v>
      </c>
      <c r="H13931" t="s">
        <v>11048</v>
      </c>
      <c r="I13931" t="s">
        <v>29406</v>
      </c>
      <c r="J13931" t="s">
        <v>38323</v>
      </c>
      <c r="K13931" t="s">
        <v>38490</v>
      </c>
      <c r="M13931" t="s">
        <v>41524</v>
      </c>
      <c r="N13931" t="s">
        <v>42669</v>
      </c>
      <c r="O13931" t="s">
        <v>42670</v>
      </c>
      <c r="Q13931">
        <v>31</v>
      </c>
      <c r="R13931" t="s">
        <v>42707</v>
      </c>
      <c r="S13931" t="s">
        <v>44123</v>
      </c>
      <c r="T13931" t="s">
        <v>44432</v>
      </c>
      <c r="U13931" t="s">
        <v>56121</v>
      </c>
      <c r="W13931" t="s">
        <v>41524</v>
      </c>
      <c r="X13931" t="s">
        <v>42715</v>
      </c>
    </row>
    <row r="13932" spans="1:24">
      <c r="A13932">
        <f>HYPERLINK("https://www.philgeps.gov.ph/GEPSNONPILOT/Tender/SplashBidNoticeAbstractUI.aspx?menuIndex=3&amp;refID=7115646&amp;Result=3","7115646")</f>
        <v>0</v>
      </c>
      <c r="B13932" t="s">
        <v>1233</v>
      </c>
      <c r="C13932" t="s">
        <v>16876</v>
      </c>
      <c r="E13932" t="s">
        <v>29113</v>
      </c>
      <c r="F13932" t="s">
        <v>29372</v>
      </c>
      <c r="G13932" t="s">
        <v>29380</v>
      </c>
      <c r="H13932" t="s">
        <v>29391</v>
      </c>
      <c r="I13932" t="s">
        <v>29391</v>
      </c>
      <c r="J13932" t="s">
        <v>38324</v>
      </c>
      <c r="K13932" t="s">
        <v>38490</v>
      </c>
      <c r="M13932" t="s">
        <v>40054</v>
      </c>
      <c r="N13932" t="s">
        <v>42669</v>
      </c>
      <c r="O13932" t="s">
        <v>42670</v>
      </c>
      <c r="Q13932">
        <v>11</v>
      </c>
      <c r="R13932" t="s">
        <v>42707</v>
      </c>
      <c r="S13932" t="s">
        <v>44124</v>
      </c>
      <c r="T13932" t="s">
        <v>44357</v>
      </c>
      <c r="U13932" t="s">
        <v>56122</v>
      </c>
      <c r="W13932" t="s">
        <v>58041</v>
      </c>
      <c r="X13932" t="s">
        <v>42715</v>
      </c>
    </row>
    <row r="13933" spans="1:24">
      <c r="A13933">
        <f>HYPERLINK("https://www.philgeps.gov.ph/GEPSNONPILOT/Tender/SplashBidNoticeAbstractUI.aspx?menuIndex=3&amp;refID=7108768&amp;Result=3","7108768")</f>
        <v>0</v>
      </c>
      <c r="B13933" t="s">
        <v>1066</v>
      </c>
      <c r="C13933" t="s">
        <v>16877</v>
      </c>
      <c r="D13933" t="s">
        <v>17141</v>
      </c>
      <c r="E13933" t="s">
        <v>29114</v>
      </c>
      <c r="F13933" t="s">
        <v>29372</v>
      </c>
      <c r="G13933" t="s">
        <v>29380</v>
      </c>
      <c r="H13933" t="s">
        <v>11048</v>
      </c>
      <c r="I13933" t="s">
        <v>29433</v>
      </c>
      <c r="J13933" t="s">
        <v>29540</v>
      </c>
      <c r="K13933" t="s">
        <v>38487</v>
      </c>
      <c r="M13933" t="s">
        <v>42620</v>
      </c>
      <c r="N13933" t="s">
        <v>42669</v>
      </c>
      <c r="O13933" t="s">
        <v>42670</v>
      </c>
      <c r="Q13933">
        <v>24</v>
      </c>
      <c r="R13933" t="s">
        <v>42707</v>
      </c>
      <c r="S13933" t="s">
        <v>44125</v>
      </c>
      <c r="T13933" t="s">
        <v>44432</v>
      </c>
      <c r="U13933" t="s">
        <v>56120</v>
      </c>
      <c r="W13933" t="s">
        <v>42620</v>
      </c>
      <c r="X13933" t="s">
        <v>42711</v>
      </c>
    </row>
    <row r="13934" spans="1:24">
      <c r="A13934">
        <f>HYPERLINK("https://www.philgeps.gov.ph/GEPSNONPILOT/Tender/SplashBidNoticeAbstractUI.aspx?menuIndex=3&amp;refID=7117479&amp;Result=3","7117479")</f>
        <v>0</v>
      </c>
      <c r="B13934" t="s">
        <v>3300</v>
      </c>
      <c r="C13934" t="s">
        <v>16878</v>
      </c>
      <c r="D13934" t="s">
        <v>17141</v>
      </c>
      <c r="E13934" t="s">
        <v>29115</v>
      </c>
      <c r="F13934" t="s">
        <v>29372</v>
      </c>
      <c r="G13934" t="s">
        <v>29380</v>
      </c>
      <c r="H13934" t="s">
        <v>11048</v>
      </c>
      <c r="I13934" t="s">
        <v>29417</v>
      </c>
      <c r="J13934" t="s">
        <v>30056</v>
      </c>
      <c r="K13934" t="s">
        <v>38487</v>
      </c>
      <c r="M13934" t="s">
        <v>42378</v>
      </c>
      <c r="N13934" t="s">
        <v>42669</v>
      </c>
      <c r="O13934" t="s">
        <v>42670</v>
      </c>
      <c r="Q13934">
        <v>13</v>
      </c>
      <c r="R13934" t="s">
        <v>42708</v>
      </c>
      <c r="S13934" t="s">
        <v>44126</v>
      </c>
      <c r="T13934" t="s">
        <v>44481</v>
      </c>
      <c r="U13934" t="s">
        <v>56123</v>
      </c>
      <c r="W13934" t="s">
        <v>42378</v>
      </c>
      <c r="X13934" t="s">
        <v>42707</v>
      </c>
    </row>
    <row r="13935" spans="1:24">
      <c r="A13935">
        <f>HYPERLINK("https://www.philgeps.gov.ph/GEPSNONPILOT/Tender/SplashBidNoticeAbstractUI.aspx?menuIndex=3&amp;refID=7119042&amp;Result=3","7119042")</f>
        <v>0</v>
      </c>
      <c r="B13935" t="s">
        <v>1183</v>
      </c>
      <c r="C13935" t="s">
        <v>16879</v>
      </c>
      <c r="D13935" t="s">
        <v>17171</v>
      </c>
      <c r="E13935" t="s">
        <v>29116</v>
      </c>
      <c r="F13935" t="s">
        <v>29372</v>
      </c>
      <c r="G13935" t="s">
        <v>29380</v>
      </c>
      <c r="H13935" t="s">
        <v>11048</v>
      </c>
      <c r="I13935" t="s">
        <v>29433</v>
      </c>
      <c r="J13935" t="s">
        <v>30127</v>
      </c>
      <c r="K13935" t="s">
        <v>38510</v>
      </c>
      <c r="M13935" t="s">
        <v>42625</v>
      </c>
      <c r="N13935" t="s">
        <v>42669</v>
      </c>
      <c r="O13935" t="s">
        <v>42670</v>
      </c>
      <c r="Q13935">
        <v>5</v>
      </c>
      <c r="R13935" t="s">
        <v>42706</v>
      </c>
      <c r="S13935" t="s">
        <v>44127</v>
      </c>
      <c r="T13935" t="s">
        <v>44870</v>
      </c>
      <c r="U13935" t="s">
        <v>56124</v>
      </c>
      <c r="V13935" t="s">
        <v>57962</v>
      </c>
      <c r="W13935" t="s">
        <v>42625</v>
      </c>
      <c r="X13935" t="s">
        <v>42707</v>
      </c>
    </row>
    <row r="13936" spans="1:24">
      <c r="A13936">
        <f>HYPERLINK("https://www.philgeps.gov.ph/GEPSNONPILOT/Tender/SplashBidNoticeAbstractUI.aspx?menuIndex=3&amp;refID=7113169&amp;Result=3","7113169")</f>
        <v>0</v>
      </c>
      <c r="B13936" t="s">
        <v>1466</v>
      </c>
      <c r="C13936" t="s">
        <v>16880</v>
      </c>
      <c r="E13936" t="s">
        <v>29117</v>
      </c>
      <c r="F13936" t="s">
        <v>29372</v>
      </c>
      <c r="G13936" t="s">
        <v>29380</v>
      </c>
      <c r="H13936" t="s">
        <v>11048</v>
      </c>
      <c r="I13936" t="s">
        <v>29406</v>
      </c>
      <c r="J13936" t="s">
        <v>38325</v>
      </c>
      <c r="K13936" t="s">
        <v>38490</v>
      </c>
      <c r="M13936" t="s">
        <v>41524</v>
      </c>
      <c r="N13936" t="s">
        <v>42669</v>
      </c>
      <c r="O13936" t="s">
        <v>42670</v>
      </c>
      <c r="Q13936">
        <v>36</v>
      </c>
      <c r="R13936" t="s">
        <v>42707</v>
      </c>
      <c r="S13936" t="s">
        <v>43998</v>
      </c>
      <c r="T13936" t="s">
        <v>44432</v>
      </c>
      <c r="U13936" t="s">
        <v>56125</v>
      </c>
      <c r="W13936" t="s">
        <v>41524</v>
      </c>
      <c r="X13936" t="s">
        <v>42715</v>
      </c>
    </row>
    <row r="13937" spans="1:24">
      <c r="A13937">
        <f>HYPERLINK("https://www.philgeps.gov.ph/GEPSNONPILOT/Tender/SplashBidNoticeAbstractUI.aspx?menuIndex=3&amp;refID=7116782&amp;Result=3","7116782")</f>
        <v>0</v>
      </c>
      <c r="B13937" t="s">
        <v>2468</v>
      </c>
      <c r="C13937" t="s">
        <v>16881</v>
      </c>
      <c r="E13937" t="s">
        <v>29118</v>
      </c>
      <c r="F13937" t="s">
        <v>29372</v>
      </c>
      <c r="G13937" t="s">
        <v>29380</v>
      </c>
      <c r="H13937" t="s">
        <v>11048</v>
      </c>
      <c r="I13937" t="s">
        <v>3670</v>
      </c>
      <c r="J13937" t="s">
        <v>29555</v>
      </c>
      <c r="K13937" t="s">
        <v>38490</v>
      </c>
      <c r="M13937" t="s">
        <v>41417</v>
      </c>
      <c r="N13937" t="s">
        <v>42669</v>
      </c>
      <c r="O13937" t="s">
        <v>42670</v>
      </c>
      <c r="Q13937">
        <v>2</v>
      </c>
      <c r="R13937" t="s">
        <v>42709</v>
      </c>
      <c r="S13937" t="s">
        <v>44128</v>
      </c>
      <c r="T13937" t="s">
        <v>44554</v>
      </c>
      <c r="U13937" t="s">
        <v>56126</v>
      </c>
      <c r="V13937" t="s">
        <v>57967</v>
      </c>
      <c r="W13937" t="s">
        <v>41417</v>
      </c>
      <c r="X13937" t="s">
        <v>42707</v>
      </c>
    </row>
    <row r="13938" spans="1:24">
      <c r="A13938">
        <f>HYPERLINK("https://www.philgeps.gov.ph/GEPSNONPILOT/Tender/SplashBidNoticeAbstractUI.aspx?menuIndex=3&amp;refID=7108765&amp;Result=3","7108765")</f>
        <v>0</v>
      </c>
      <c r="B13938" t="s">
        <v>3451</v>
      </c>
      <c r="C13938" t="s">
        <v>16882</v>
      </c>
      <c r="D13938" t="s">
        <v>17141</v>
      </c>
      <c r="E13938" t="s">
        <v>29119</v>
      </c>
      <c r="F13938" t="s">
        <v>29372</v>
      </c>
      <c r="G13938" t="s">
        <v>29379</v>
      </c>
      <c r="H13938" t="s">
        <v>11048</v>
      </c>
      <c r="I13938" t="s">
        <v>3670</v>
      </c>
      <c r="J13938" t="s">
        <v>32133</v>
      </c>
      <c r="K13938" t="s">
        <v>38491</v>
      </c>
      <c r="M13938" t="s">
        <v>42566</v>
      </c>
      <c r="N13938" t="s">
        <v>42669</v>
      </c>
      <c r="O13938" t="s">
        <v>42670</v>
      </c>
      <c r="Q13938">
        <v>8</v>
      </c>
      <c r="R13938" t="s">
        <v>42707</v>
      </c>
      <c r="S13938" t="s">
        <v>44129</v>
      </c>
      <c r="T13938" t="s">
        <v>44585</v>
      </c>
      <c r="U13938" t="s">
        <v>56127</v>
      </c>
      <c r="W13938" t="s">
        <v>42566</v>
      </c>
      <c r="X13938" t="s">
        <v>42711</v>
      </c>
    </row>
    <row r="13939" spans="1:24">
      <c r="A13939">
        <f>HYPERLINK("https://www.philgeps.gov.ph/GEPSNONPILOT/Tender/SplashBidNoticeAbstractUI.aspx?menuIndex=3&amp;refID=7120057&amp;Result=3","7120057")</f>
        <v>0</v>
      </c>
      <c r="B13939" t="s">
        <v>1966</v>
      </c>
      <c r="C13939" t="s">
        <v>16883</v>
      </c>
      <c r="D13939" t="s">
        <v>17169</v>
      </c>
      <c r="E13939" t="s">
        <v>29120</v>
      </c>
      <c r="F13939" t="s">
        <v>29372</v>
      </c>
      <c r="G13939" t="s">
        <v>29380</v>
      </c>
      <c r="H13939" t="s">
        <v>29389</v>
      </c>
      <c r="I13939" t="s">
        <v>10408</v>
      </c>
      <c r="J13939" t="s">
        <v>38326</v>
      </c>
      <c r="K13939" t="s">
        <v>38587</v>
      </c>
      <c r="M13939" t="s">
        <v>40851</v>
      </c>
      <c r="N13939" t="s">
        <v>42669</v>
      </c>
      <c r="O13939" t="s">
        <v>42670</v>
      </c>
      <c r="Q13939">
        <v>26</v>
      </c>
      <c r="R13939" t="s">
        <v>42706</v>
      </c>
      <c r="S13939" t="s">
        <v>44130</v>
      </c>
      <c r="T13939" t="s">
        <v>44412</v>
      </c>
      <c r="U13939" t="s">
        <v>56128</v>
      </c>
      <c r="W13939" t="s">
        <v>40851</v>
      </c>
      <c r="X13939" t="s">
        <v>42709</v>
      </c>
    </row>
    <row r="13940" spans="1:24">
      <c r="A13940">
        <f>HYPERLINK("https://www.philgeps.gov.ph/GEPSNONPILOT/Tender/SplashBidNoticeAbstractUI.aspx?menuIndex=3&amp;refID=7118357&amp;Result=3","7118357")</f>
        <v>0</v>
      </c>
      <c r="B13940" t="s">
        <v>357</v>
      </c>
      <c r="C13940" t="s">
        <v>16884</v>
      </c>
      <c r="D13940" t="s">
        <v>17205</v>
      </c>
      <c r="E13940" t="s">
        <v>29121</v>
      </c>
      <c r="F13940" t="s">
        <v>29373</v>
      </c>
      <c r="G13940" t="s">
        <v>29379</v>
      </c>
      <c r="H13940" t="s">
        <v>11048</v>
      </c>
      <c r="I13940" t="s">
        <v>8794</v>
      </c>
      <c r="J13940" t="s">
        <v>30100</v>
      </c>
      <c r="K13940" t="s">
        <v>38485</v>
      </c>
      <c r="M13940" t="s">
        <v>39116</v>
      </c>
      <c r="N13940" t="s">
        <v>42669</v>
      </c>
      <c r="O13940" t="s">
        <v>42670</v>
      </c>
      <c r="Q13940">
        <v>0</v>
      </c>
      <c r="R13940" t="s">
        <v>42708</v>
      </c>
      <c r="S13940" t="s">
        <v>44131</v>
      </c>
      <c r="T13940" t="s">
        <v>44432</v>
      </c>
      <c r="U13940" t="s">
        <v>56129</v>
      </c>
      <c r="W13940" t="s">
        <v>39116</v>
      </c>
      <c r="X13940" t="s">
        <v>42707</v>
      </c>
    </row>
    <row r="13941" spans="1:24">
      <c r="A13941">
        <f>HYPERLINK("https://www.philgeps.gov.ph/GEPSNONPILOT/Tender/SplashBidNoticeAbstractUI.aspx?menuIndex=3&amp;refID=7119670&amp;Result=3","7119670")</f>
        <v>0</v>
      </c>
      <c r="B13941" t="s">
        <v>3225</v>
      </c>
      <c r="C13941" t="s">
        <v>16885</v>
      </c>
      <c r="E13941" t="s">
        <v>29122</v>
      </c>
      <c r="F13941" t="s">
        <v>29372</v>
      </c>
      <c r="G13941" t="s">
        <v>29380</v>
      </c>
      <c r="H13941" t="s">
        <v>29389</v>
      </c>
      <c r="I13941" t="s">
        <v>10408</v>
      </c>
      <c r="J13941" t="s">
        <v>38327</v>
      </c>
      <c r="K13941" t="s">
        <v>38564</v>
      </c>
      <c r="M13941" t="s">
        <v>42290</v>
      </c>
      <c r="N13941" t="s">
        <v>42669</v>
      </c>
      <c r="O13941" t="s">
        <v>42670</v>
      </c>
      <c r="Q13941">
        <v>8</v>
      </c>
      <c r="R13941" t="s">
        <v>42709</v>
      </c>
      <c r="S13941" t="s">
        <v>44132</v>
      </c>
      <c r="T13941" t="s">
        <v>44399</v>
      </c>
      <c r="U13941" t="s">
        <v>56130</v>
      </c>
      <c r="W13941" t="s">
        <v>42290</v>
      </c>
      <c r="X13941" t="s">
        <v>42708</v>
      </c>
    </row>
    <row r="13942" spans="1:24">
      <c r="A13942">
        <f>HYPERLINK("https://www.philgeps.gov.ph/GEPSNONPILOT/Tender/SplashBidNoticeAbstractUI.aspx?menuIndex=3&amp;refID=7116946&amp;Result=3","7116946")</f>
        <v>0</v>
      </c>
      <c r="B13942" t="s">
        <v>235</v>
      </c>
      <c r="C13942" t="s">
        <v>16886</v>
      </c>
      <c r="D13942" t="s">
        <v>17185</v>
      </c>
      <c r="E13942" t="s">
        <v>29123</v>
      </c>
      <c r="F13942" t="s">
        <v>29372</v>
      </c>
      <c r="G13942" t="s">
        <v>29380</v>
      </c>
      <c r="H13942" t="s">
        <v>11048</v>
      </c>
      <c r="I13942" t="s">
        <v>29393</v>
      </c>
      <c r="J13942" t="s">
        <v>38328</v>
      </c>
      <c r="K13942" t="s">
        <v>38510</v>
      </c>
      <c r="M13942" t="s">
        <v>41769</v>
      </c>
      <c r="N13942" t="s">
        <v>42669</v>
      </c>
      <c r="O13942" t="s">
        <v>42670</v>
      </c>
      <c r="P13942">
        <v>0</v>
      </c>
      <c r="Q13942">
        <v>0</v>
      </c>
      <c r="R13942" t="s">
        <v>42708</v>
      </c>
      <c r="S13942" t="s">
        <v>44133</v>
      </c>
      <c r="T13942" t="s">
        <v>44371</v>
      </c>
      <c r="U13942" t="s">
        <v>54791</v>
      </c>
      <c r="V13942" t="s">
        <v>57389</v>
      </c>
      <c r="W13942" t="s">
        <v>58098</v>
      </c>
      <c r="X13942" t="s">
        <v>42707</v>
      </c>
    </row>
    <row r="13943" spans="1:24">
      <c r="A13943">
        <f>HYPERLINK("https://www.philgeps.gov.ph/GEPSNONPILOT/Tender/SplashBidNoticeAbstractUI.aspx?menuIndex=3&amp;refID=7116302&amp;Result=3","7116302")</f>
        <v>0</v>
      </c>
      <c r="B13943" t="s">
        <v>1246</v>
      </c>
      <c r="C13943" t="s">
        <v>16887</v>
      </c>
      <c r="D13943" t="s">
        <v>17205</v>
      </c>
      <c r="E13943" t="s">
        <v>29124</v>
      </c>
      <c r="F13943" t="s">
        <v>29372</v>
      </c>
      <c r="G13943" t="s">
        <v>29379</v>
      </c>
      <c r="H13943" t="s">
        <v>11048</v>
      </c>
      <c r="I13943" t="s">
        <v>29391</v>
      </c>
      <c r="J13943" t="s">
        <v>38329</v>
      </c>
      <c r="K13943" t="s">
        <v>38485</v>
      </c>
      <c r="M13943" t="s">
        <v>40071</v>
      </c>
      <c r="N13943" t="s">
        <v>42669</v>
      </c>
      <c r="O13943" t="s">
        <v>42670</v>
      </c>
      <c r="Q13943">
        <v>1</v>
      </c>
      <c r="R13943" t="s">
        <v>42707</v>
      </c>
      <c r="S13943" t="s">
        <v>44134</v>
      </c>
      <c r="T13943" t="s">
        <v>44427</v>
      </c>
      <c r="U13943" t="s">
        <v>56131</v>
      </c>
      <c r="W13943" t="s">
        <v>40071</v>
      </c>
      <c r="X13943" t="s">
        <v>42715</v>
      </c>
    </row>
    <row r="13944" spans="1:24">
      <c r="A13944">
        <f>HYPERLINK("https://www.philgeps.gov.ph/GEPSNONPILOT/Tender/SplashBidNoticeAbstractUI.aspx?menuIndex=3&amp;refID=7095482&amp;Result=3","7095482")</f>
        <v>0</v>
      </c>
      <c r="B13944" t="s">
        <v>542</v>
      </c>
      <c r="C13944" t="s">
        <v>16888</v>
      </c>
      <c r="D13944" t="s">
        <v>17141</v>
      </c>
      <c r="E13944" t="s">
        <v>29125</v>
      </c>
      <c r="F13944" t="s">
        <v>29372</v>
      </c>
      <c r="G13944" t="s">
        <v>29380</v>
      </c>
      <c r="H13944" t="s">
        <v>11048</v>
      </c>
      <c r="I13944" t="s">
        <v>8614</v>
      </c>
      <c r="J13944" t="s">
        <v>38330</v>
      </c>
      <c r="K13944" t="s">
        <v>38490</v>
      </c>
      <c r="M13944" t="s">
        <v>42635</v>
      </c>
      <c r="N13944" t="s">
        <v>42669</v>
      </c>
      <c r="O13944" t="s">
        <v>42670</v>
      </c>
      <c r="Q13944">
        <v>24</v>
      </c>
      <c r="R13944" t="s">
        <v>42710</v>
      </c>
      <c r="S13944" t="s">
        <v>44135</v>
      </c>
      <c r="T13944" t="s">
        <v>44401</v>
      </c>
      <c r="U13944" t="s">
        <v>56132</v>
      </c>
      <c r="W13944" t="s">
        <v>42635</v>
      </c>
      <c r="X13944" t="s">
        <v>42717</v>
      </c>
    </row>
    <row r="13945" spans="1:24">
      <c r="A13945">
        <f>HYPERLINK("https://www.philgeps.gov.ph/GEPSNONPILOT/Tender/SplashBidNoticeAbstractUI.aspx?menuIndex=3&amp;refID=7103352&amp;Result=3","7103352")</f>
        <v>0</v>
      </c>
      <c r="B13945" t="s">
        <v>1091</v>
      </c>
      <c r="C13945" t="s">
        <v>16889</v>
      </c>
      <c r="D13945" t="s">
        <v>17141</v>
      </c>
      <c r="E13945" t="s">
        <v>29126</v>
      </c>
      <c r="F13945" t="s">
        <v>29372</v>
      </c>
      <c r="G13945" t="s">
        <v>29380</v>
      </c>
      <c r="H13945" t="s">
        <v>11048</v>
      </c>
      <c r="I13945" t="s">
        <v>29458</v>
      </c>
      <c r="J13945" t="s">
        <v>33981</v>
      </c>
      <c r="K13945" t="s">
        <v>38491</v>
      </c>
      <c r="M13945" t="s">
        <v>39898</v>
      </c>
      <c r="N13945" t="s">
        <v>42669</v>
      </c>
      <c r="O13945" t="s">
        <v>42670</v>
      </c>
      <c r="Q13945">
        <v>14</v>
      </c>
      <c r="R13945" t="s">
        <v>42711</v>
      </c>
      <c r="S13945" t="s">
        <v>44136</v>
      </c>
      <c r="T13945" t="s">
        <v>44557</v>
      </c>
      <c r="U13945" t="s">
        <v>56133</v>
      </c>
      <c r="W13945" t="s">
        <v>39898</v>
      </c>
      <c r="X13945" t="s">
        <v>42712</v>
      </c>
    </row>
    <row r="13946" spans="1:24">
      <c r="A13946">
        <f>HYPERLINK("https://www.philgeps.gov.ph/GEPSNONPILOT/Tender/SplashBidNoticeAbstractUI.aspx?menuIndex=3&amp;refID=7101707&amp;Result=3","7101707")</f>
        <v>0</v>
      </c>
      <c r="B13946" t="s">
        <v>3377</v>
      </c>
      <c r="C13946" t="s">
        <v>16890</v>
      </c>
      <c r="D13946" t="s">
        <v>17141</v>
      </c>
      <c r="E13946" t="s">
        <v>29127</v>
      </c>
      <c r="F13946" t="s">
        <v>29372</v>
      </c>
      <c r="G13946" t="s">
        <v>29380</v>
      </c>
      <c r="H13946" t="s">
        <v>29390</v>
      </c>
      <c r="I13946" t="s">
        <v>29407</v>
      </c>
      <c r="J13946" t="s">
        <v>38331</v>
      </c>
      <c r="K13946" t="s">
        <v>38487</v>
      </c>
      <c r="M13946" t="s">
        <v>42472</v>
      </c>
      <c r="N13946" t="s">
        <v>42669</v>
      </c>
      <c r="O13946" t="s">
        <v>42670</v>
      </c>
      <c r="Q13946">
        <v>23</v>
      </c>
      <c r="R13946" t="s">
        <v>42712</v>
      </c>
      <c r="S13946" t="s">
        <v>43238</v>
      </c>
      <c r="T13946" t="s">
        <v>44415</v>
      </c>
      <c r="U13946" t="s">
        <v>55076</v>
      </c>
      <c r="V13946" t="s">
        <v>57817</v>
      </c>
      <c r="W13946" t="s">
        <v>42472</v>
      </c>
      <c r="X13946" t="s">
        <v>42710</v>
      </c>
    </row>
    <row r="13947" spans="1:24">
      <c r="A13947">
        <f>HYPERLINK("https://www.philgeps.gov.ph/GEPSNONPILOT/Tender/SplashBidNoticeAbstractUI.aspx?menuIndex=3&amp;refID=7100878&amp;Result=3","7100878")</f>
        <v>0</v>
      </c>
      <c r="B13947" t="s">
        <v>542</v>
      </c>
      <c r="C13947" t="s">
        <v>3744</v>
      </c>
      <c r="E13947" t="s">
        <v>29128</v>
      </c>
      <c r="F13947" t="s">
        <v>29372</v>
      </c>
      <c r="G13947" t="s">
        <v>29383</v>
      </c>
      <c r="H13947" t="s">
        <v>11048</v>
      </c>
      <c r="I13947" t="s">
        <v>29424</v>
      </c>
      <c r="J13947" t="s">
        <v>30525</v>
      </c>
      <c r="K13947" t="s">
        <v>38485</v>
      </c>
      <c r="M13947" t="s">
        <v>42635</v>
      </c>
      <c r="N13947" t="s">
        <v>42669</v>
      </c>
      <c r="O13947" t="s">
        <v>42670</v>
      </c>
      <c r="Q13947">
        <v>9</v>
      </c>
      <c r="R13947" t="s">
        <v>42712</v>
      </c>
      <c r="S13947" t="s">
        <v>44137</v>
      </c>
      <c r="T13947" t="s">
        <v>44427</v>
      </c>
      <c r="U13947" t="s">
        <v>56134</v>
      </c>
      <c r="W13947" t="s">
        <v>42635</v>
      </c>
      <c r="X13947" t="s">
        <v>42710</v>
      </c>
    </row>
    <row r="13948" spans="1:24">
      <c r="A13948">
        <f>HYPERLINK("https://www.philgeps.gov.ph/GEPSNONPILOT/Tender/SplashBidNoticeAbstractUI.aspx?menuIndex=3&amp;refID=7103347&amp;Result=3","7103347")</f>
        <v>0</v>
      </c>
      <c r="B13948" t="s">
        <v>1091</v>
      </c>
      <c r="C13948" t="s">
        <v>16891</v>
      </c>
      <c r="D13948" t="s">
        <v>17141</v>
      </c>
      <c r="E13948" t="s">
        <v>29129</v>
      </c>
      <c r="F13948" t="s">
        <v>29372</v>
      </c>
      <c r="G13948" t="s">
        <v>29380</v>
      </c>
      <c r="H13948" t="s">
        <v>11048</v>
      </c>
      <c r="I13948" t="s">
        <v>29458</v>
      </c>
      <c r="J13948" t="s">
        <v>38332</v>
      </c>
      <c r="K13948" t="s">
        <v>38491</v>
      </c>
      <c r="M13948" t="s">
        <v>39898</v>
      </c>
      <c r="N13948" t="s">
        <v>42669</v>
      </c>
      <c r="O13948" t="s">
        <v>42670</v>
      </c>
      <c r="Q13948">
        <v>15</v>
      </c>
      <c r="R13948" t="s">
        <v>42713</v>
      </c>
      <c r="S13948" t="s">
        <v>44138</v>
      </c>
      <c r="T13948" t="s">
        <v>44557</v>
      </c>
      <c r="U13948" t="s">
        <v>47189</v>
      </c>
      <c r="W13948" t="s">
        <v>39898</v>
      </c>
      <c r="X13948" t="s">
        <v>42712</v>
      </c>
    </row>
    <row r="13949" spans="1:24">
      <c r="A13949">
        <f>HYPERLINK("https://www.philgeps.gov.ph/GEPSNONPILOT/Tender/SplashBidNoticeAbstractUI.aspx?menuIndex=3&amp;refID=7102568&amp;Result=3","7102568")</f>
        <v>0</v>
      </c>
      <c r="B13949" t="s">
        <v>3377</v>
      </c>
      <c r="C13949" t="s">
        <v>16892</v>
      </c>
      <c r="D13949" t="s">
        <v>17170</v>
      </c>
      <c r="E13949" t="s">
        <v>29130</v>
      </c>
      <c r="F13949" t="s">
        <v>29372</v>
      </c>
      <c r="G13949" t="s">
        <v>29381</v>
      </c>
      <c r="H13949" t="s">
        <v>29390</v>
      </c>
      <c r="I13949" t="s">
        <v>4235</v>
      </c>
      <c r="J13949" t="s">
        <v>30056</v>
      </c>
      <c r="K13949" t="s">
        <v>38578</v>
      </c>
      <c r="M13949" t="s">
        <v>42472</v>
      </c>
      <c r="N13949" t="s">
        <v>42669</v>
      </c>
      <c r="O13949" t="s">
        <v>42670</v>
      </c>
      <c r="Q13949">
        <v>1</v>
      </c>
      <c r="R13949" t="s">
        <v>42712</v>
      </c>
      <c r="S13949" t="s">
        <v>44139</v>
      </c>
      <c r="T13949" t="s">
        <v>44415</v>
      </c>
      <c r="U13949" t="s">
        <v>55076</v>
      </c>
      <c r="V13949" t="s">
        <v>57817</v>
      </c>
      <c r="W13949" t="s">
        <v>42472</v>
      </c>
      <c r="X13949" t="s">
        <v>42710</v>
      </c>
    </row>
    <row r="13950" spans="1:24">
      <c r="A13950">
        <f>HYPERLINK("https://www.philgeps.gov.ph/GEPSNONPILOT/Tender/SplashBidNoticeAbstractUI.aspx?menuIndex=3&amp;refID=7108484&amp;Result=3","7108484")</f>
        <v>0</v>
      </c>
      <c r="B13950" t="s">
        <v>3496</v>
      </c>
      <c r="C13950" t="s">
        <v>16893</v>
      </c>
      <c r="D13950" t="s">
        <v>17141</v>
      </c>
      <c r="E13950" t="s">
        <v>29131</v>
      </c>
      <c r="F13950" t="s">
        <v>29372</v>
      </c>
      <c r="G13950" t="s">
        <v>29380</v>
      </c>
      <c r="H13950" t="s">
        <v>11048</v>
      </c>
      <c r="I13950" t="s">
        <v>4486</v>
      </c>
      <c r="J13950" t="s">
        <v>38333</v>
      </c>
      <c r="K13950" t="s">
        <v>38496</v>
      </c>
      <c r="M13950" t="s">
        <v>42636</v>
      </c>
      <c r="N13950" t="s">
        <v>42669</v>
      </c>
      <c r="O13950" t="s">
        <v>42670</v>
      </c>
      <c r="Q13950">
        <v>26</v>
      </c>
      <c r="R13950" t="s">
        <v>42714</v>
      </c>
      <c r="S13950" t="s">
        <v>42889</v>
      </c>
      <c r="T13950" t="s">
        <v>44662</v>
      </c>
      <c r="U13950" t="s">
        <v>56135</v>
      </c>
      <c r="W13950" t="s">
        <v>42636</v>
      </c>
      <c r="X13950" t="s">
        <v>42711</v>
      </c>
    </row>
    <row r="13951" spans="1:24">
      <c r="A13951">
        <f>HYPERLINK("https://www.philgeps.gov.ph/GEPSNONPILOT/Tender/SplashBidNoticeAbstractUI.aspx?menuIndex=3&amp;refID=7108915&amp;Result=3","7108915")</f>
        <v>0</v>
      </c>
      <c r="B13951" t="s">
        <v>1066</v>
      </c>
      <c r="C13951" t="s">
        <v>16894</v>
      </c>
      <c r="D13951" t="s">
        <v>17193</v>
      </c>
      <c r="E13951" t="s">
        <v>29132</v>
      </c>
      <c r="F13951" t="s">
        <v>29372</v>
      </c>
      <c r="G13951" t="s">
        <v>29380</v>
      </c>
      <c r="H13951" t="s">
        <v>29389</v>
      </c>
      <c r="I13951" t="s">
        <v>10408</v>
      </c>
      <c r="J13951" t="s">
        <v>30815</v>
      </c>
      <c r="K13951" t="s">
        <v>38639</v>
      </c>
      <c r="M13951" t="s">
        <v>42620</v>
      </c>
      <c r="N13951" t="s">
        <v>42669</v>
      </c>
      <c r="O13951" t="s">
        <v>42670</v>
      </c>
      <c r="Q13951">
        <v>18</v>
      </c>
      <c r="R13951" t="s">
        <v>42707</v>
      </c>
      <c r="S13951" t="s">
        <v>44140</v>
      </c>
      <c r="T13951" t="s">
        <v>44401</v>
      </c>
      <c r="U13951" t="s">
        <v>56120</v>
      </c>
      <c r="W13951" t="s">
        <v>42620</v>
      </c>
      <c r="X13951" t="s">
        <v>42711</v>
      </c>
    </row>
    <row r="13952" spans="1:24">
      <c r="A13952">
        <f>HYPERLINK("https://www.philgeps.gov.ph/GEPSNONPILOT/Tender/SplashBidNoticeAbstractUI.aspx?menuIndex=3&amp;refID=7108192&amp;Result=3","7108192")</f>
        <v>0</v>
      </c>
      <c r="B13952" t="s">
        <v>3496</v>
      </c>
      <c r="C13952" t="s">
        <v>16895</v>
      </c>
      <c r="D13952" t="s">
        <v>17141</v>
      </c>
      <c r="E13952" t="s">
        <v>29133</v>
      </c>
      <c r="F13952" t="s">
        <v>29372</v>
      </c>
      <c r="G13952" t="s">
        <v>29380</v>
      </c>
      <c r="H13952" t="s">
        <v>29390</v>
      </c>
      <c r="I13952" t="s">
        <v>29459</v>
      </c>
      <c r="J13952" t="s">
        <v>31086</v>
      </c>
      <c r="K13952" t="s">
        <v>38485</v>
      </c>
      <c r="M13952" t="s">
        <v>42636</v>
      </c>
      <c r="N13952" t="s">
        <v>42669</v>
      </c>
      <c r="O13952" t="s">
        <v>42670</v>
      </c>
      <c r="Q13952">
        <v>5</v>
      </c>
      <c r="R13952" t="s">
        <v>42714</v>
      </c>
      <c r="S13952" t="s">
        <v>44141</v>
      </c>
      <c r="T13952" t="s">
        <v>44355</v>
      </c>
      <c r="U13952" t="s">
        <v>56136</v>
      </c>
      <c r="W13952" t="s">
        <v>42636</v>
      </c>
      <c r="X13952" t="s">
        <v>42711</v>
      </c>
    </row>
    <row r="13953" spans="1:24">
      <c r="A13953">
        <f>HYPERLINK("https://www.philgeps.gov.ph/GEPSNONPILOT/Tender/SplashBidNoticeAbstractUI.aspx?menuIndex=3&amp;refID=7115627&amp;Result=3","7115627")</f>
        <v>0</v>
      </c>
      <c r="B13953" t="s">
        <v>1233</v>
      </c>
      <c r="C13953" t="s">
        <v>16896</v>
      </c>
      <c r="E13953" t="s">
        <v>29134</v>
      </c>
      <c r="F13953" t="s">
        <v>29372</v>
      </c>
      <c r="G13953" t="s">
        <v>29380</v>
      </c>
      <c r="H13953" t="s">
        <v>29391</v>
      </c>
      <c r="I13953" t="s">
        <v>29391</v>
      </c>
      <c r="J13953" t="s">
        <v>38334</v>
      </c>
      <c r="K13953" t="s">
        <v>38490</v>
      </c>
      <c r="M13953" t="s">
        <v>40054</v>
      </c>
      <c r="N13953" t="s">
        <v>42669</v>
      </c>
      <c r="O13953" t="s">
        <v>42670</v>
      </c>
      <c r="Q13953">
        <v>15</v>
      </c>
      <c r="R13953" t="s">
        <v>42707</v>
      </c>
      <c r="S13953" t="s">
        <v>44142</v>
      </c>
      <c r="T13953" t="s">
        <v>44357</v>
      </c>
      <c r="U13953" t="s">
        <v>56137</v>
      </c>
      <c r="W13953" t="s">
        <v>58041</v>
      </c>
      <c r="X13953" t="s">
        <v>42715</v>
      </c>
    </row>
    <row r="13954" spans="1:24">
      <c r="A13954">
        <f>HYPERLINK("https://www.philgeps.gov.ph/GEPSNONPILOT/Tender/SplashBidNoticeAbstractUI.aspx?menuIndex=3&amp;refID=7101687&amp;Result=3","7101687")</f>
        <v>0</v>
      </c>
      <c r="B13954" t="s">
        <v>3377</v>
      </c>
      <c r="C13954" t="s">
        <v>16897</v>
      </c>
      <c r="D13954" t="s">
        <v>17141</v>
      </c>
      <c r="E13954" t="s">
        <v>29135</v>
      </c>
      <c r="F13954" t="s">
        <v>29372</v>
      </c>
      <c r="G13954" t="s">
        <v>29380</v>
      </c>
      <c r="H13954" t="s">
        <v>29390</v>
      </c>
      <c r="I13954" t="s">
        <v>3695</v>
      </c>
      <c r="J13954" t="s">
        <v>38335</v>
      </c>
      <c r="K13954" t="s">
        <v>38487</v>
      </c>
      <c r="M13954" t="s">
        <v>42472</v>
      </c>
      <c r="N13954" t="s">
        <v>42669</v>
      </c>
      <c r="O13954" t="s">
        <v>42670</v>
      </c>
      <c r="Q13954">
        <v>16</v>
      </c>
      <c r="R13954" t="s">
        <v>42712</v>
      </c>
      <c r="S13954" t="s">
        <v>43199</v>
      </c>
      <c r="T13954" t="s">
        <v>44415</v>
      </c>
      <c r="U13954" t="s">
        <v>55076</v>
      </c>
      <c r="V13954" t="s">
        <v>57817</v>
      </c>
      <c r="W13954" t="s">
        <v>42472</v>
      </c>
      <c r="X13954" t="s">
        <v>42710</v>
      </c>
    </row>
    <row r="13955" spans="1:24">
      <c r="A13955">
        <f>HYPERLINK("https://www.philgeps.gov.ph/GEPSNONPILOT/Tender/SplashBidNoticeAbstractUI.aspx?menuIndex=3&amp;refID=7112650&amp;Result=3","7112650")</f>
        <v>0</v>
      </c>
      <c r="B13955" t="s">
        <v>1091</v>
      </c>
      <c r="C13955" t="s">
        <v>16898</v>
      </c>
      <c r="D13955" t="s">
        <v>17141</v>
      </c>
      <c r="E13955" t="s">
        <v>29136</v>
      </c>
      <c r="F13955" t="s">
        <v>29372</v>
      </c>
      <c r="G13955" t="s">
        <v>29380</v>
      </c>
      <c r="H13955" t="s">
        <v>11048</v>
      </c>
      <c r="I13955" t="s">
        <v>29414</v>
      </c>
      <c r="J13955" t="s">
        <v>30335</v>
      </c>
      <c r="K13955" t="s">
        <v>38495</v>
      </c>
      <c r="M13955" t="s">
        <v>39898</v>
      </c>
      <c r="N13955" t="s">
        <v>42669</v>
      </c>
      <c r="O13955" t="s">
        <v>42670</v>
      </c>
      <c r="Q13955">
        <v>24</v>
      </c>
      <c r="R13955" t="s">
        <v>42715</v>
      </c>
      <c r="S13955" t="s">
        <v>44143</v>
      </c>
      <c r="T13955" t="s">
        <v>44557</v>
      </c>
      <c r="U13955" t="s">
        <v>47189</v>
      </c>
      <c r="W13955" t="s">
        <v>39898</v>
      </c>
      <c r="X13955" t="s">
        <v>42714</v>
      </c>
    </row>
    <row r="13956" spans="1:24">
      <c r="A13956">
        <f>HYPERLINK("https://www.philgeps.gov.ph/GEPSNONPILOT/Tender/SplashBidNoticeAbstractUI.aspx?menuIndex=3&amp;refID=7108056&amp;Result=3","7108056")</f>
        <v>0</v>
      </c>
      <c r="B13956" t="s">
        <v>3299</v>
      </c>
      <c r="C13956" t="s">
        <v>16899</v>
      </c>
      <c r="E13956" t="s">
        <v>29137</v>
      </c>
      <c r="F13956" t="s">
        <v>29372</v>
      </c>
      <c r="G13956" t="s">
        <v>29380</v>
      </c>
      <c r="H13956" t="s">
        <v>29389</v>
      </c>
      <c r="I13956" t="s">
        <v>10408</v>
      </c>
      <c r="J13956" t="s">
        <v>38336</v>
      </c>
      <c r="K13956" t="s">
        <v>38490</v>
      </c>
      <c r="M13956" t="s">
        <v>42376</v>
      </c>
      <c r="N13956" t="s">
        <v>42669</v>
      </c>
      <c r="O13956" t="s">
        <v>42670</v>
      </c>
      <c r="Q13956">
        <v>43</v>
      </c>
      <c r="R13956" t="s">
        <v>42714</v>
      </c>
      <c r="S13956" t="s">
        <v>44144</v>
      </c>
      <c r="T13956" t="s">
        <v>44378</v>
      </c>
      <c r="U13956" t="s">
        <v>56138</v>
      </c>
      <c r="V13956" t="s">
        <v>57968</v>
      </c>
      <c r="W13956" t="s">
        <v>42376</v>
      </c>
      <c r="X13956" t="s">
        <v>42711</v>
      </c>
    </row>
    <row r="13957" spans="1:24">
      <c r="A13957">
        <f>HYPERLINK("https://www.philgeps.gov.ph/GEPSNONPILOT/Tender/SplashBidNoticeAbstractUI.aspx?menuIndex=3&amp;refID=7103075&amp;Result=3","7103075")</f>
        <v>0</v>
      </c>
      <c r="B13957" t="s">
        <v>542</v>
      </c>
      <c r="C13957" t="s">
        <v>16900</v>
      </c>
      <c r="D13957" t="s">
        <v>17210</v>
      </c>
      <c r="E13957" t="s">
        <v>29138</v>
      </c>
      <c r="F13957" t="s">
        <v>29372</v>
      </c>
      <c r="G13957" t="s">
        <v>29380</v>
      </c>
      <c r="H13957" t="s">
        <v>29389</v>
      </c>
      <c r="I13957" t="s">
        <v>10408</v>
      </c>
      <c r="J13957" t="s">
        <v>38337</v>
      </c>
      <c r="K13957" t="s">
        <v>38767</v>
      </c>
      <c r="M13957" t="s">
        <v>42637</v>
      </c>
      <c r="N13957" t="s">
        <v>42669</v>
      </c>
      <c r="O13957" t="s">
        <v>42670</v>
      </c>
      <c r="Q13957">
        <v>8</v>
      </c>
      <c r="R13957" t="s">
        <v>42712</v>
      </c>
      <c r="S13957" t="s">
        <v>44145</v>
      </c>
      <c r="T13957" t="s">
        <v>44488</v>
      </c>
      <c r="U13957" t="s">
        <v>56139</v>
      </c>
      <c r="V13957" t="s">
        <v>49680</v>
      </c>
      <c r="W13957" t="s">
        <v>42637</v>
      </c>
      <c r="X13957" t="s">
        <v>42710</v>
      </c>
    </row>
    <row r="13958" spans="1:24">
      <c r="A13958">
        <f>HYPERLINK("https://www.philgeps.gov.ph/GEPSNONPILOT/Tender/SplashBidNoticeAbstractUI.aspx?menuIndex=3&amp;refID=7112606&amp;Result=3","7112606")</f>
        <v>0</v>
      </c>
      <c r="B13958" t="s">
        <v>1091</v>
      </c>
      <c r="C13958" t="s">
        <v>16901</v>
      </c>
      <c r="D13958" t="s">
        <v>17141</v>
      </c>
      <c r="E13958" t="s">
        <v>29139</v>
      </c>
      <c r="F13958" t="s">
        <v>29372</v>
      </c>
      <c r="G13958" t="s">
        <v>29380</v>
      </c>
      <c r="H13958" t="s">
        <v>11048</v>
      </c>
      <c r="I13958" t="s">
        <v>29414</v>
      </c>
      <c r="J13958" t="s">
        <v>30012</v>
      </c>
      <c r="K13958" t="s">
        <v>38491</v>
      </c>
      <c r="M13958" t="s">
        <v>39898</v>
      </c>
      <c r="N13958" t="s">
        <v>42669</v>
      </c>
      <c r="O13958" t="s">
        <v>42670</v>
      </c>
      <c r="Q13958">
        <v>16</v>
      </c>
      <c r="R13958" t="s">
        <v>42715</v>
      </c>
      <c r="S13958" t="s">
        <v>44146</v>
      </c>
      <c r="T13958" t="s">
        <v>44557</v>
      </c>
      <c r="U13958" t="s">
        <v>56133</v>
      </c>
      <c r="W13958" t="s">
        <v>39898</v>
      </c>
      <c r="X13958" t="s">
        <v>42714</v>
      </c>
    </row>
    <row r="13959" spans="1:24">
      <c r="A13959">
        <f>HYPERLINK("https://www.philgeps.gov.ph/GEPSNONPILOT/Tender/SplashBidNoticeAbstractUI.aspx?menuIndex=3&amp;refID=7112020&amp;Result=3","7112020")</f>
        <v>0</v>
      </c>
      <c r="B13959" t="s">
        <v>413</v>
      </c>
      <c r="C13959" t="s">
        <v>16902</v>
      </c>
      <c r="D13959" t="s">
        <v>17141</v>
      </c>
      <c r="E13959" t="s">
        <v>29140</v>
      </c>
      <c r="F13959" t="s">
        <v>29372</v>
      </c>
      <c r="G13959" t="s">
        <v>29382</v>
      </c>
      <c r="H13959" t="s">
        <v>11048</v>
      </c>
      <c r="I13959" t="s">
        <v>3670</v>
      </c>
      <c r="J13959" t="s">
        <v>30871</v>
      </c>
      <c r="K13959" t="s">
        <v>38488</v>
      </c>
      <c r="M13959" t="s">
        <v>39708</v>
      </c>
      <c r="N13959" t="s">
        <v>42669</v>
      </c>
      <c r="O13959" t="s">
        <v>42670</v>
      </c>
      <c r="Q13959">
        <v>4</v>
      </c>
      <c r="R13959" t="s">
        <v>42715</v>
      </c>
      <c r="S13959" t="s">
        <v>44147</v>
      </c>
      <c r="T13959" t="s">
        <v>44491</v>
      </c>
      <c r="U13959" t="s">
        <v>46704</v>
      </c>
      <c r="V13959" t="s">
        <v>57969</v>
      </c>
      <c r="W13959" t="s">
        <v>39708</v>
      </c>
      <c r="X13959" t="s">
        <v>42714</v>
      </c>
    </row>
    <row r="13960" spans="1:24">
      <c r="A13960">
        <f>HYPERLINK("https://www.philgeps.gov.ph/GEPSNONPILOT/Tender/SplashBidNoticeAbstractUI.aspx?menuIndex=3&amp;refID=7120050&amp;Result=3","7120050")</f>
        <v>0</v>
      </c>
      <c r="B13960" t="s">
        <v>1966</v>
      </c>
      <c r="C13960" t="s">
        <v>16903</v>
      </c>
      <c r="D13960" t="s">
        <v>17169</v>
      </c>
      <c r="E13960" t="s">
        <v>29141</v>
      </c>
      <c r="F13960" t="s">
        <v>29372</v>
      </c>
      <c r="G13960" t="s">
        <v>29380</v>
      </c>
      <c r="H13960" t="s">
        <v>29389</v>
      </c>
      <c r="I13960" t="s">
        <v>10408</v>
      </c>
      <c r="J13960" t="s">
        <v>38338</v>
      </c>
      <c r="K13960" t="s">
        <v>38760</v>
      </c>
      <c r="M13960" t="s">
        <v>40851</v>
      </c>
      <c r="N13960" t="s">
        <v>42669</v>
      </c>
      <c r="O13960" t="s">
        <v>42670</v>
      </c>
      <c r="Q13960">
        <v>28</v>
      </c>
      <c r="R13960" t="s">
        <v>42706</v>
      </c>
      <c r="S13960" t="s">
        <v>44148</v>
      </c>
      <c r="T13960" t="s">
        <v>44412</v>
      </c>
      <c r="U13960" t="s">
        <v>56140</v>
      </c>
      <c r="W13960" t="s">
        <v>40851</v>
      </c>
      <c r="X13960" t="s">
        <v>42709</v>
      </c>
    </row>
    <row r="13961" spans="1:24">
      <c r="A13961">
        <f>HYPERLINK("https://www.philgeps.gov.ph/GEPSNONPILOT/Tender/SplashBidNoticeAbstractUI.aspx?menuIndex=3&amp;refID=7119020&amp;Result=3","7119020")</f>
        <v>0</v>
      </c>
      <c r="B13961" t="s">
        <v>1183</v>
      </c>
      <c r="C13961" t="s">
        <v>16904</v>
      </c>
      <c r="D13961" t="s">
        <v>17171</v>
      </c>
      <c r="E13961" t="s">
        <v>29142</v>
      </c>
      <c r="F13961" t="s">
        <v>29372</v>
      </c>
      <c r="G13961" t="s">
        <v>29380</v>
      </c>
      <c r="H13961" t="s">
        <v>11048</v>
      </c>
      <c r="I13961" t="s">
        <v>3695</v>
      </c>
      <c r="J13961" t="s">
        <v>38339</v>
      </c>
      <c r="K13961" t="s">
        <v>38510</v>
      </c>
      <c r="M13961" t="s">
        <v>42631</v>
      </c>
      <c r="N13961" t="s">
        <v>42669</v>
      </c>
      <c r="O13961" t="s">
        <v>42670</v>
      </c>
      <c r="Q13961">
        <v>7</v>
      </c>
      <c r="R13961" t="s">
        <v>42706</v>
      </c>
      <c r="S13961" t="s">
        <v>44149</v>
      </c>
      <c r="T13961" t="s">
        <v>44408</v>
      </c>
      <c r="U13961" t="s">
        <v>56141</v>
      </c>
      <c r="V13961" t="s">
        <v>57962</v>
      </c>
      <c r="W13961" t="s">
        <v>42631</v>
      </c>
      <c r="X13961" t="s">
        <v>42707</v>
      </c>
    </row>
    <row r="13962" spans="1:24">
      <c r="A13962">
        <f>HYPERLINK("https://www.philgeps.gov.ph/GEPSNONPILOT/Tender/SplashBidNoticeAbstractUI.aspx?menuIndex=3&amp;refID=7119018&amp;Result=3","7119018")</f>
        <v>0</v>
      </c>
      <c r="B13962" t="s">
        <v>1183</v>
      </c>
      <c r="C13962" t="s">
        <v>16905</v>
      </c>
      <c r="D13962" t="s">
        <v>17171</v>
      </c>
      <c r="E13962" t="s">
        <v>29143</v>
      </c>
      <c r="F13962" t="s">
        <v>29372</v>
      </c>
      <c r="G13962" t="s">
        <v>29380</v>
      </c>
      <c r="H13962" t="s">
        <v>11048</v>
      </c>
      <c r="I13962" t="s">
        <v>29433</v>
      </c>
      <c r="J13962" t="s">
        <v>38340</v>
      </c>
      <c r="K13962" t="s">
        <v>38510</v>
      </c>
      <c r="M13962" t="s">
        <v>42625</v>
      </c>
      <c r="N13962" t="s">
        <v>42669</v>
      </c>
      <c r="O13962" t="s">
        <v>42670</v>
      </c>
      <c r="Q13962">
        <v>5</v>
      </c>
      <c r="R13962" t="s">
        <v>42706</v>
      </c>
      <c r="S13962" t="s">
        <v>44150</v>
      </c>
      <c r="T13962" t="s">
        <v>44870</v>
      </c>
      <c r="U13962" t="s">
        <v>56142</v>
      </c>
      <c r="V13962" t="s">
        <v>57962</v>
      </c>
      <c r="W13962" t="s">
        <v>42625</v>
      </c>
      <c r="X13962" t="s">
        <v>42707</v>
      </c>
    </row>
    <row r="13963" spans="1:24">
      <c r="A13963">
        <f>HYPERLINK("https://www.philgeps.gov.ph/GEPSNONPILOT/Tender/SplashBidNoticeAbstractUI.aspx?menuIndex=3&amp;refID=7119010&amp;Result=3","7119010")</f>
        <v>0</v>
      </c>
      <c r="B13963" t="s">
        <v>1183</v>
      </c>
      <c r="C13963" t="s">
        <v>16906</v>
      </c>
      <c r="D13963" t="s">
        <v>17171</v>
      </c>
      <c r="E13963" t="s">
        <v>29144</v>
      </c>
      <c r="F13963" t="s">
        <v>29372</v>
      </c>
      <c r="G13963" t="s">
        <v>29380</v>
      </c>
      <c r="H13963" t="s">
        <v>11048</v>
      </c>
      <c r="I13963" t="s">
        <v>29433</v>
      </c>
      <c r="J13963" t="s">
        <v>38341</v>
      </c>
      <c r="K13963" t="s">
        <v>38510</v>
      </c>
      <c r="M13963" t="s">
        <v>42625</v>
      </c>
      <c r="N13963" t="s">
        <v>42669</v>
      </c>
      <c r="O13963" t="s">
        <v>42670</v>
      </c>
      <c r="Q13963">
        <v>4</v>
      </c>
      <c r="R13963" t="s">
        <v>42706</v>
      </c>
      <c r="S13963" t="s">
        <v>44151</v>
      </c>
      <c r="T13963" t="s">
        <v>44870</v>
      </c>
      <c r="U13963" t="s">
        <v>56143</v>
      </c>
      <c r="V13963" t="s">
        <v>57962</v>
      </c>
      <c r="W13963" t="s">
        <v>42625</v>
      </c>
      <c r="X13963" t="s">
        <v>42707</v>
      </c>
    </row>
    <row r="13964" spans="1:24">
      <c r="A13964">
        <f>HYPERLINK("https://www.philgeps.gov.ph/GEPSNONPILOT/Tender/SplashBidNoticeAbstractUI.aspx?menuIndex=3&amp;refID=7112642&amp;Result=3","7112642")</f>
        <v>0</v>
      </c>
      <c r="B13964" t="s">
        <v>1091</v>
      </c>
      <c r="C13964" t="s">
        <v>16907</v>
      </c>
      <c r="D13964" t="s">
        <v>17141</v>
      </c>
      <c r="E13964" t="s">
        <v>29145</v>
      </c>
      <c r="F13964" t="s">
        <v>29372</v>
      </c>
      <c r="G13964" t="s">
        <v>29380</v>
      </c>
      <c r="H13964" t="s">
        <v>11048</v>
      </c>
      <c r="I13964" t="s">
        <v>3670</v>
      </c>
      <c r="J13964" t="s">
        <v>38342</v>
      </c>
      <c r="K13964" t="s">
        <v>38495</v>
      </c>
      <c r="M13964" t="s">
        <v>39898</v>
      </c>
      <c r="N13964" t="s">
        <v>42669</v>
      </c>
      <c r="O13964" t="s">
        <v>42670</v>
      </c>
      <c r="Q13964">
        <v>6</v>
      </c>
      <c r="R13964" t="s">
        <v>42715</v>
      </c>
      <c r="S13964" t="s">
        <v>44152</v>
      </c>
      <c r="T13964" t="s">
        <v>44557</v>
      </c>
      <c r="U13964" t="s">
        <v>47189</v>
      </c>
      <c r="W13964" t="s">
        <v>39898</v>
      </c>
      <c r="X13964" t="s">
        <v>42714</v>
      </c>
    </row>
    <row r="13965" spans="1:24">
      <c r="A13965">
        <f>HYPERLINK("https://www.philgeps.gov.ph/GEPSNONPILOT/Tender/SplashBidNoticeAbstractUI.aspx?menuIndex=3&amp;refID=7094934&amp;Result=3","7094934")</f>
        <v>0</v>
      </c>
      <c r="B13965" t="s">
        <v>3497</v>
      </c>
      <c r="C13965" t="s">
        <v>16908</v>
      </c>
      <c r="E13965" t="s">
        <v>29146</v>
      </c>
      <c r="F13965" t="s">
        <v>29372</v>
      </c>
      <c r="G13965" t="s">
        <v>29379</v>
      </c>
      <c r="H13965" t="s">
        <v>11048</v>
      </c>
      <c r="I13965" t="s">
        <v>29407</v>
      </c>
      <c r="J13965" t="s">
        <v>38343</v>
      </c>
      <c r="K13965" t="s">
        <v>38490</v>
      </c>
      <c r="M13965" t="s">
        <v>42638</v>
      </c>
      <c r="N13965" t="s">
        <v>42669</v>
      </c>
      <c r="O13965" t="s">
        <v>42670</v>
      </c>
      <c r="Q13965">
        <v>4</v>
      </c>
      <c r="R13965" t="s">
        <v>42716</v>
      </c>
      <c r="S13965" t="s">
        <v>43656</v>
      </c>
      <c r="T13965" t="s">
        <v>44512</v>
      </c>
      <c r="U13965" t="s">
        <v>56144</v>
      </c>
      <c r="W13965" t="s">
        <v>42638</v>
      </c>
      <c r="X13965" t="s">
        <v>42717</v>
      </c>
    </row>
    <row r="13966" spans="1:24">
      <c r="A13966">
        <f>HYPERLINK("https://www.philgeps.gov.ph/GEPSNONPILOT/Tender/SplashBidNoticeAbstractUI.aspx?menuIndex=3&amp;refID=7110298&amp;Result=3","7110298")</f>
        <v>0</v>
      </c>
      <c r="B13966" t="s">
        <v>1562</v>
      </c>
      <c r="C13966" t="s">
        <v>16909</v>
      </c>
      <c r="D13966" t="s">
        <v>17167</v>
      </c>
      <c r="E13966" t="s">
        <v>29147</v>
      </c>
      <c r="F13966" t="s">
        <v>29372</v>
      </c>
      <c r="G13966" t="s">
        <v>29380</v>
      </c>
      <c r="H13966" t="s">
        <v>29389</v>
      </c>
      <c r="I13966" t="s">
        <v>10408</v>
      </c>
      <c r="J13966" t="s">
        <v>32614</v>
      </c>
      <c r="K13966" t="s">
        <v>38496</v>
      </c>
      <c r="M13966" t="s">
        <v>40412</v>
      </c>
      <c r="N13966" t="s">
        <v>42669</v>
      </c>
      <c r="O13966" t="s">
        <v>42670</v>
      </c>
      <c r="P13966">
        <v>0</v>
      </c>
      <c r="Q13966">
        <v>3</v>
      </c>
      <c r="R13966" t="s">
        <v>42715</v>
      </c>
      <c r="S13966" t="s">
        <v>44153</v>
      </c>
      <c r="T13966" t="s">
        <v>44437</v>
      </c>
      <c r="U13966" t="s">
        <v>56145</v>
      </c>
      <c r="W13966" t="s">
        <v>40412</v>
      </c>
      <c r="X13966" t="s">
        <v>42714</v>
      </c>
    </row>
    <row r="13967" spans="1:24">
      <c r="A13967">
        <f>HYPERLINK("https://www.philgeps.gov.ph/GEPSNONPILOT/Tender/SplashBidNoticeAbstractUI.aspx?menuIndex=3&amp;refID=7109822&amp;Result=3","7109822")</f>
        <v>0</v>
      </c>
      <c r="B13967" t="s">
        <v>539</v>
      </c>
      <c r="C13967" t="s">
        <v>16910</v>
      </c>
      <c r="D13967" t="s">
        <v>17142</v>
      </c>
      <c r="E13967" t="s">
        <v>29148</v>
      </c>
      <c r="F13967" t="s">
        <v>29372</v>
      </c>
      <c r="G13967" t="s">
        <v>29381</v>
      </c>
      <c r="H13967" t="s">
        <v>11048</v>
      </c>
      <c r="I13967" t="s">
        <v>29396</v>
      </c>
      <c r="J13967" t="s">
        <v>38344</v>
      </c>
      <c r="K13967" t="s">
        <v>38496</v>
      </c>
      <c r="M13967" t="s">
        <v>42639</v>
      </c>
      <c r="N13967" t="s">
        <v>42669</v>
      </c>
      <c r="O13967" t="s">
        <v>42670</v>
      </c>
      <c r="Q13967">
        <v>4</v>
      </c>
      <c r="R13967" t="s">
        <v>42714</v>
      </c>
      <c r="S13967" t="s">
        <v>43706</v>
      </c>
      <c r="T13967" t="s">
        <v>44401</v>
      </c>
      <c r="U13967" t="s">
        <v>56146</v>
      </c>
      <c r="W13967" t="s">
        <v>42639</v>
      </c>
      <c r="X13967" t="s">
        <v>42711</v>
      </c>
    </row>
    <row r="13968" spans="1:24">
      <c r="A13968">
        <f>HYPERLINK("https://www.philgeps.gov.ph/GEPSNONPILOT/Tender/SplashBidNoticeAbstractUI.aspx?menuIndex=3&amp;refID=7093457&amp;Result=3","7093457")</f>
        <v>0</v>
      </c>
      <c r="B13968" t="s">
        <v>278</v>
      </c>
      <c r="C13968" t="s">
        <v>16911</v>
      </c>
      <c r="D13968" t="s">
        <v>17206</v>
      </c>
      <c r="E13968" t="s">
        <v>29149</v>
      </c>
      <c r="F13968" t="s">
        <v>29372</v>
      </c>
      <c r="G13968" t="s">
        <v>29382</v>
      </c>
      <c r="H13968" t="s">
        <v>11048</v>
      </c>
      <c r="I13968" t="s">
        <v>3952</v>
      </c>
      <c r="J13968" t="s">
        <v>29708</v>
      </c>
      <c r="K13968" t="s">
        <v>38485</v>
      </c>
      <c r="M13968" t="s">
        <v>41697</v>
      </c>
      <c r="N13968" t="s">
        <v>42669</v>
      </c>
      <c r="O13968" t="s">
        <v>42670</v>
      </c>
      <c r="Q13968">
        <v>1</v>
      </c>
      <c r="R13968" t="s">
        <v>42717</v>
      </c>
      <c r="S13968" t="s">
        <v>43829</v>
      </c>
      <c r="T13968" t="s">
        <v>44427</v>
      </c>
      <c r="U13968" t="s">
        <v>56147</v>
      </c>
      <c r="W13968" t="s">
        <v>41697</v>
      </c>
      <c r="X13968" t="s">
        <v>42729</v>
      </c>
    </row>
    <row r="13969" spans="1:24">
      <c r="A13969">
        <f>HYPERLINK("https://www.philgeps.gov.ph/GEPSNONPILOT/Tender/SplashBidNoticeAbstractUI.aspx?menuIndex=3&amp;refID=7107966&amp;Result=3","7107966")</f>
        <v>0</v>
      </c>
      <c r="B13969" t="s">
        <v>3496</v>
      </c>
      <c r="C13969" t="s">
        <v>16912</v>
      </c>
      <c r="D13969" t="s">
        <v>17141</v>
      </c>
      <c r="E13969" t="s">
        <v>29150</v>
      </c>
      <c r="F13969" t="s">
        <v>29372</v>
      </c>
      <c r="G13969" t="s">
        <v>29380</v>
      </c>
      <c r="H13969" t="s">
        <v>29390</v>
      </c>
      <c r="I13969" t="s">
        <v>10408</v>
      </c>
      <c r="J13969" t="s">
        <v>38345</v>
      </c>
      <c r="K13969" t="s">
        <v>38485</v>
      </c>
      <c r="M13969" t="s">
        <v>42636</v>
      </c>
      <c r="N13969" t="s">
        <v>42669</v>
      </c>
      <c r="O13969" t="s">
        <v>42670</v>
      </c>
      <c r="Q13969">
        <v>5</v>
      </c>
      <c r="R13969" t="s">
        <v>42714</v>
      </c>
      <c r="S13969" t="s">
        <v>44154</v>
      </c>
      <c r="T13969" t="s">
        <v>44361</v>
      </c>
      <c r="U13969" t="s">
        <v>56148</v>
      </c>
      <c r="W13969" t="s">
        <v>42636</v>
      </c>
      <c r="X13969" t="s">
        <v>42711</v>
      </c>
    </row>
    <row r="13970" spans="1:24">
      <c r="A13970">
        <f>HYPERLINK("https://www.philgeps.gov.ph/GEPSNONPILOT/Tender/SplashBidNoticeAbstractUI.aspx?menuIndex=3&amp;refID=7092937&amp;Result=3","7092937")</f>
        <v>0</v>
      </c>
      <c r="B13970" t="s">
        <v>2242</v>
      </c>
      <c r="C13970" t="s">
        <v>16913</v>
      </c>
      <c r="D13970" t="s">
        <v>17141</v>
      </c>
      <c r="E13970" t="s">
        <v>29151</v>
      </c>
      <c r="F13970" t="s">
        <v>29372</v>
      </c>
      <c r="G13970" t="s">
        <v>29380</v>
      </c>
      <c r="H13970" t="s">
        <v>11048</v>
      </c>
      <c r="I13970" t="s">
        <v>29392</v>
      </c>
      <c r="J13970" t="s">
        <v>38346</v>
      </c>
      <c r="K13970" t="s">
        <v>38485</v>
      </c>
      <c r="M13970" t="s">
        <v>42640</v>
      </c>
      <c r="N13970" t="s">
        <v>42669</v>
      </c>
      <c r="O13970" t="s">
        <v>42670</v>
      </c>
      <c r="Q13970">
        <v>12</v>
      </c>
      <c r="R13970" t="s">
        <v>42717</v>
      </c>
      <c r="S13970" t="s">
        <v>42826</v>
      </c>
      <c r="T13970" t="s">
        <v>44448</v>
      </c>
      <c r="U13970" t="s">
        <v>56149</v>
      </c>
      <c r="W13970" t="s">
        <v>42640</v>
      </c>
      <c r="X13970" t="s">
        <v>42729</v>
      </c>
    </row>
    <row r="13971" spans="1:24">
      <c r="A13971">
        <f>HYPERLINK("https://www.philgeps.gov.ph/GEPSNONPILOT/Tender/SplashBidNoticeAbstractUI.aspx?menuIndex=3&amp;refID=7092707&amp;Result=3","7092707")</f>
        <v>0</v>
      </c>
      <c r="B13971" t="s">
        <v>2217</v>
      </c>
      <c r="C13971" t="s">
        <v>16914</v>
      </c>
      <c r="D13971" t="s">
        <v>17179</v>
      </c>
      <c r="E13971" t="s">
        <v>29152</v>
      </c>
      <c r="F13971" t="s">
        <v>29372</v>
      </c>
      <c r="G13971" t="s">
        <v>29379</v>
      </c>
      <c r="H13971" t="s">
        <v>11048</v>
      </c>
      <c r="I13971" t="s">
        <v>29404</v>
      </c>
      <c r="J13971" t="s">
        <v>31219</v>
      </c>
      <c r="K13971" t="s">
        <v>38487</v>
      </c>
      <c r="M13971" t="s">
        <v>41134</v>
      </c>
      <c r="N13971" t="s">
        <v>42669</v>
      </c>
      <c r="O13971" t="s">
        <v>42670</v>
      </c>
      <c r="Q13971">
        <v>2</v>
      </c>
      <c r="R13971" t="s">
        <v>42717</v>
      </c>
      <c r="S13971" t="s">
        <v>44155</v>
      </c>
      <c r="T13971" t="s">
        <v>44496</v>
      </c>
      <c r="U13971" t="s">
        <v>56150</v>
      </c>
      <c r="W13971" t="s">
        <v>41134</v>
      </c>
      <c r="X13971" t="s">
        <v>42729</v>
      </c>
    </row>
    <row r="13972" spans="1:24">
      <c r="A13972">
        <f>HYPERLINK("https://www.philgeps.gov.ph/GEPSNONPILOT/Tender/SplashBidNoticeAbstractUI.aspx?menuIndex=3&amp;refID=7118807&amp;Result=3","7118807")</f>
        <v>0</v>
      </c>
      <c r="B13972" t="s">
        <v>2217</v>
      </c>
      <c r="C13972" t="s">
        <v>16915</v>
      </c>
      <c r="D13972" t="s">
        <v>17168</v>
      </c>
      <c r="E13972" t="s">
        <v>29153</v>
      </c>
      <c r="F13972" t="s">
        <v>29372</v>
      </c>
      <c r="G13972" t="s">
        <v>29379</v>
      </c>
      <c r="H13972" t="s">
        <v>11048</v>
      </c>
      <c r="I13972" t="s">
        <v>29433</v>
      </c>
      <c r="J13972" t="s">
        <v>38347</v>
      </c>
      <c r="K13972" t="s">
        <v>38488</v>
      </c>
      <c r="M13972" t="s">
        <v>41134</v>
      </c>
      <c r="N13972" t="s">
        <v>42669</v>
      </c>
      <c r="O13972" t="s">
        <v>42670</v>
      </c>
      <c r="Q13972">
        <v>10</v>
      </c>
      <c r="R13972" t="s">
        <v>42706</v>
      </c>
      <c r="S13972" t="s">
        <v>44156</v>
      </c>
      <c r="T13972" t="s">
        <v>44441</v>
      </c>
      <c r="U13972" t="s">
        <v>56151</v>
      </c>
      <c r="W13972" t="s">
        <v>41134</v>
      </c>
      <c r="X13972" t="s">
        <v>42707</v>
      </c>
    </row>
    <row r="13973" spans="1:24">
      <c r="A13973">
        <f>HYPERLINK("https://www.philgeps.gov.ph/GEPSNONPILOT/Tender/SplashBidNoticeAbstractUI.aspx?menuIndex=3&amp;refID=7095439&amp;Result=3","7095439")</f>
        <v>0</v>
      </c>
      <c r="B13973" t="s">
        <v>3495</v>
      </c>
      <c r="C13973" t="s">
        <v>16916</v>
      </c>
      <c r="D13973" t="s">
        <v>17169</v>
      </c>
      <c r="E13973" t="s">
        <v>29154</v>
      </c>
      <c r="F13973" t="s">
        <v>29372</v>
      </c>
      <c r="G13973" t="s">
        <v>29380</v>
      </c>
      <c r="H13973" t="s">
        <v>11048</v>
      </c>
      <c r="I13973" t="s">
        <v>9469</v>
      </c>
      <c r="J13973" t="s">
        <v>29728</v>
      </c>
      <c r="K13973" t="s">
        <v>38495</v>
      </c>
      <c r="M13973" t="s">
        <v>42632</v>
      </c>
      <c r="N13973" t="s">
        <v>42669</v>
      </c>
      <c r="O13973" t="s">
        <v>42670</v>
      </c>
      <c r="Q13973">
        <v>6</v>
      </c>
      <c r="R13973" t="s">
        <v>42716</v>
      </c>
      <c r="S13973" t="s">
        <v>44157</v>
      </c>
      <c r="T13973" t="s">
        <v>44386</v>
      </c>
      <c r="U13973" t="s">
        <v>56152</v>
      </c>
      <c r="W13973" t="s">
        <v>42632</v>
      </c>
      <c r="X13973" t="s">
        <v>42717</v>
      </c>
    </row>
    <row r="13974" spans="1:24">
      <c r="A13974">
        <f>HYPERLINK("https://www.philgeps.gov.ph/GEPSNONPILOT/Tender/SplashBidNoticeAbstractUI.aspx?menuIndex=3&amp;refID=7095618&amp;Result=3","7095618")</f>
        <v>0</v>
      </c>
      <c r="B13974" t="s">
        <v>542</v>
      </c>
      <c r="C13974" t="s">
        <v>16917</v>
      </c>
      <c r="D13974" t="s">
        <v>17141</v>
      </c>
      <c r="E13974" t="s">
        <v>29155</v>
      </c>
      <c r="F13974" t="s">
        <v>29372</v>
      </c>
      <c r="G13974" t="s">
        <v>29380</v>
      </c>
      <c r="H13974" t="s">
        <v>11048</v>
      </c>
      <c r="I13974" t="s">
        <v>29476</v>
      </c>
      <c r="J13974" t="s">
        <v>38348</v>
      </c>
      <c r="K13974" t="s">
        <v>38490</v>
      </c>
      <c r="M13974" t="s">
        <v>42635</v>
      </c>
      <c r="N13974" t="s">
        <v>42669</v>
      </c>
      <c r="O13974" t="s">
        <v>42670</v>
      </c>
      <c r="Q13974">
        <v>18</v>
      </c>
      <c r="R13974" t="s">
        <v>42710</v>
      </c>
      <c r="S13974" t="s">
        <v>44158</v>
      </c>
      <c r="T13974" t="s">
        <v>44527</v>
      </c>
      <c r="U13974" t="s">
        <v>56153</v>
      </c>
      <c r="W13974" t="s">
        <v>42635</v>
      </c>
      <c r="X13974" t="s">
        <v>42717</v>
      </c>
    </row>
    <row r="13975" spans="1:24">
      <c r="A13975">
        <f>HYPERLINK("https://www.philgeps.gov.ph/GEPSNONPILOT/Tender/SplashBidNoticeAbstractUI.aspx?menuIndex=3&amp;refID=7094339&amp;Result=3","7094339")</f>
        <v>0</v>
      </c>
      <c r="B13975" t="s">
        <v>3377</v>
      </c>
      <c r="C13975" t="s">
        <v>16918</v>
      </c>
      <c r="D13975" t="s">
        <v>17142</v>
      </c>
      <c r="E13975" t="s">
        <v>29156</v>
      </c>
      <c r="F13975" t="s">
        <v>29372</v>
      </c>
      <c r="G13975" t="s">
        <v>29380</v>
      </c>
      <c r="H13975" t="s">
        <v>29390</v>
      </c>
      <c r="I13975" t="s">
        <v>29467</v>
      </c>
      <c r="J13975" t="s">
        <v>38349</v>
      </c>
      <c r="K13975" t="s">
        <v>38496</v>
      </c>
      <c r="M13975" t="s">
        <v>42472</v>
      </c>
      <c r="N13975" t="s">
        <v>42669</v>
      </c>
      <c r="O13975" t="s">
        <v>42670</v>
      </c>
      <c r="Q13975">
        <v>8</v>
      </c>
      <c r="R13975" t="s">
        <v>42716</v>
      </c>
      <c r="S13975" t="s">
        <v>44159</v>
      </c>
      <c r="T13975" t="s">
        <v>44415</v>
      </c>
      <c r="U13975" t="s">
        <v>55076</v>
      </c>
      <c r="V13975" t="s">
        <v>57831</v>
      </c>
      <c r="W13975" t="s">
        <v>42472</v>
      </c>
      <c r="X13975" t="s">
        <v>42717</v>
      </c>
    </row>
    <row r="13976" spans="1:24">
      <c r="A13976">
        <f>HYPERLINK("https://www.philgeps.gov.ph/GEPSNONPILOT/Tender/SplashBidNoticeAbstractUI.aspx?menuIndex=3&amp;refID=7094867&amp;Result=3","7094867")</f>
        <v>0</v>
      </c>
      <c r="B13976" t="s">
        <v>3497</v>
      </c>
      <c r="C13976" t="s">
        <v>16919</v>
      </c>
      <c r="E13976" t="s">
        <v>29157</v>
      </c>
      <c r="F13976" t="s">
        <v>29372</v>
      </c>
      <c r="G13976" t="s">
        <v>29379</v>
      </c>
      <c r="H13976" t="s">
        <v>11048</v>
      </c>
      <c r="I13976" t="s">
        <v>29407</v>
      </c>
      <c r="J13976" t="s">
        <v>38350</v>
      </c>
      <c r="K13976" t="s">
        <v>38490</v>
      </c>
      <c r="M13976" t="s">
        <v>42638</v>
      </c>
      <c r="N13976" t="s">
        <v>42669</v>
      </c>
      <c r="O13976" t="s">
        <v>42670</v>
      </c>
      <c r="Q13976">
        <v>6</v>
      </c>
      <c r="R13976" t="s">
        <v>42716</v>
      </c>
      <c r="S13976" t="s">
        <v>44160</v>
      </c>
      <c r="T13976" t="s">
        <v>44512</v>
      </c>
      <c r="U13976" t="s">
        <v>56154</v>
      </c>
      <c r="W13976" t="s">
        <v>42638</v>
      </c>
      <c r="X13976" t="s">
        <v>42717</v>
      </c>
    </row>
    <row r="13977" spans="1:24">
      <c r="A13977">
        <f>HYPERLINK("https://www.philgeps.gov.ph/GEPSNONPILOT/Tender/SplashBidNoticeAbstractUI.aspx?menuIndex=3&amp;refID=7094062&amp;Result=3","7094062")</f>
        <v>0</v>
      </c>
      <c r="B13977" t="s">
        <v>3498</v>
      </c>
      <c r="C13977" t="s">
        <v>16920</v>
      </c>
      <c r="D13977" t="s">
        <v>17141</v>
      </c>
      <c r="E13977" t="s">
        <v>29158</v>
      </c>
      <c r="F13977" t="s">
        <v>29372</v>
      </c>
      <c r="G13977" t="s">
        <v>29380</v>
      </c>
      <c r="H13977" t="s">
        <v>29390</v>
      </c>
      <c r="I13977" t="s">
        <v>4235</v>
      </c>
      <c r="J13977" t="s">
        <v>38351</v>
      </c>
      <c r="K13977" t="s">
        <v>38575</v>
      </c>
      <c r="M13977" t="s">
        <v>42641</v>
      </c>
      <c r="N13977" t="s">
        <v>42669</v>
      </c>
      <c r="O13977" t="s">
        <v>42670</v>
      </c>
      <c r="Q13977">
        <v>9</v>
      </c>
      <c r="R13977" t="s">
        <v>42716</v>
      </c>
      <c r="S13977" t="s">
        <v>44161</v>
      </c>
      <c r="T13977" t="s">
        <v>44871</v>
      </c>
      <c r="U13977" t="s">
        <v>56155</v>
      </c>
      <c r="W13977" t="s">
        <v>42641</v>
      </c>
      <c r="X13977" t="s">
        <v>42729</v>
      </c>
    </row>
    <row r="13978" spans="1:24">
      <c r="A13978">
        <f>HYPERLINK("https://www.philgeps.gov.ph/GEPSNONPILOT/Tender/SplashBidNoticeAbstractUI.aspx?menuIndex=3&amp;refID=7099868&amp;Result=3","7099868")</f>
        <v>0</v>
      </c>
      <c r="B13978" t="s">
        <v>834</v>
      </c>
      <c r="C13978" t="s">
        <v>16921</v>
      </c>
      <c r="D13978" t="s">
        <v>17150</v>
      </c>
      <c r="E13978" t="s">
        <v>29159</v>
      </c>
      <c r="F13978" t="s">
        <v>29372</v>
      </c>
      <c r="G13978" t="s">
        <v>29382</v>
      </c>
      <c r="H13978" t="s">
        <v>11048</v>
      </c>
      <c r="I13978" t="s">
        <v>3670</v>
      </c>
      <c r="J13978" t="s">
        <v>30100</v>
      </c>
      <c r="K13978" t="s">
        <v>38485</v>
      </c>
      <c r="M13978" t="s">
        <v>41454</v>
      </c>
      <c r="N13978" t="s">
        <v>42669</v>
      </c>
      <c r="O13978" t="s">
        <v>42670</v>
      </c>
      <c r="Q13978">
        <v>14</v>
      </c>
      <c r="R13978" t="s">
        <v>42710</v>
      </c>
      <c r="S13978" t="s">
        <v>44162</v>
      </c>
      <c r="T13978" t="s">
        <v>44491</v>
      </c>
      <c r="U13978" t="s">
        <v>51303</v>
      </c>
      <c r="W13978" t="s">
        <v>41454</v>
      </c>
      <c r="X13978" t="s">
        <v>42716</v>
      </c>
    </row>
    <row r="13979" spans="1:24">
      <c r="A13979">
        <f>HYPERLINK("https://www.philgeps.gov.ph/GEPSNONPILOT/Tender/SplashBidNoticeAbstractUI.aspx?menuIndex=3&amp;refID=7119013&amp;Result=3","7119013")</f>
        <v>0</v>
      </c>
      <c r="B13979" t="s">
        <v>1183</v>
      </c>
      <c r="C13979" t="s">
        <v>16922</v>
      </c>
      <c r="D13979" t="s">
        <v>17171</v>
      </c>
      <c r="E13979" t="s">
        <v>29160</v>
      </c>
      <c r="F13979" t="s">
        <v>29372</v>
      </c>
      <c r="G13979" t="s">
        <v>29380</v>
      </c>
      <c r="H13979" t="s">
        <v>11048</v>
      </c>
      <c r="I13979" t="s">
        <v>29433</v>
      </c>
      <c r="J13979" t="s">
        <v>38352</v>
      </c>
      <c r="K13979" t="s">
        <v>38510</v>
      </c>
      <c r="M13979" t="s">
        <v>42625</v>
      </c>
      <c r="N13979" t="s">
        <v>42669</v>
      </c>
      <c r="O13979" t="s">
        <v>42670</v>
      </c>
      <c r="Q13979">
        <v>10</v>
      </c>
      <c r="R13979" t="s">
        <v>42706</v>
      </c>
      <c r="S13979" t="s">
        <v>44163</v>
      </c>
      <c r="T13979" t="s">
        <v>44870</v>
      </c>
      <c r="U13979" t="s">
        <v>56156</v>
      </c>
      <c r="V13979" t="s">
        <v>57962</v>
      </c>
      <c r="W13979" t="s">
        <v>42625</v>
      </c>
      <c r="X13979" t="s">
        <v>42707</v>
      </c>
    </row>
    <row r="13980" spans="1:24">
      <c r="A13980">
        <f>HYPERLINK("https://www.philgeps.gov.ph/GEPSNONPILOT/Tender/SplashBidNoticeAbstractUI.aspx?menuIndex=3&amp;refID=7099823&amp;Result=3","7099823")</f>
        <v>0</v>
      </c>
      <c r="B13980" t="s">
        <v>834</v>
      </c>
      <c r="C13980" t="s">
        <v>16923</v>
      </c>
      <c r="D13980" t="s">
        <v>17159</v>
      </c>
      <c r="E13980" t="s">
        <v>29161</v>
      </c>
      <c r="F13980" t="s">
        <v>29372</v>
      </c>
      <c r="G13980" t="s">
        <v>29382</v>
      </c>
      <c r="H13980" t="s">
        <v>11048</v>
      </c>
      <c r="I13980" t="s">
        <v>3670</v>
      </c>
      <c r="J13980" t="s">
        <v>38353</v>
      </c>
      <c r="K13980" t="s">
        <v>38485</v>
      </c>
      <c r="M13980" t="s">
        <v>41454</v>
      </c>
      <c r="N13980" t="s">
        <v>42669</v>
      </c>
      <c r="O13980" t="s">
        <v>42670</v>
      </c>
      <c r="Q13980">
        <v>9</v>
      </c>
      <c r="R13980" t="s">
        <v>42710</v>
      </c>
      <c r="S13980" t="s">
        <v>44164</v>
      </c>
      <c r="T13980" t="s">
        <v>44399</v>
      </c>
      <c r="U13980" t="s">
        <v>51303</v>
      </c>
      <c r="W13980" t="s">
        <v>41454</v>
      </c>
      <c r="X13980" t="s">
        <v>42716</v>
      </c>
    </row>
    <row r="13981" spans="1:24">
      <c r="A13981">
        <f>HYPERLINK("https://www.philgeps.gov.ph/GEPSNONPILOT/Tender/SplashBidNoticeAbstractUI.aspx?menuIndex=3&amp;refID=7099778&amp;Result=3","7099778")</f>
        <v>0</v>
      </c>
      <c r="B13981" t="s">
        <v>834</v>
      </c>
      <c r="C13981" t="s">
        <v>16924</v>
      </c>
      <c r="D13981" t="s">
        <v>17159</v>
      </c>
      <c r="E13981" t="s">
        <v>29162</v>
      </c>
      <c r="F13981" t="s">
        <v>29372</v>
      </c>
      <c r="G13981" t="s">
        <v>29382</v>
      </c>
      <c r="H13981" t="s">
        <v>11048</v>
      </c>
      <c r="I13981" t="s">
        <v>3670</v>
      </c>
      <c r="J13981" t="s">
        <v>38354</v>
      </c>
      <c r="K13981" t="s">
        <v>38495</v>
      </c>
      <c r="M13981" t="s">
        <v>41454</v>
      </c>
      <c r="N13981" t="s">
        <v>42669</v>
      </c>
      <c r="O13981" t="s">
        <v>42670</v>
      </c>
      <c r="Q13981">
        <v>9</v>
      </c>
      <c r="R13981" t="s">
        <v>42710</v>
      </c>
      <c r="S13981" t="s">
        <v>43415</v>
      </c>
      <c r="T13981" t="s">
        <v>44399</v>
      </c>
      <c r="U13981" t="s">
        <v>51303</v>
      </c>
      <c r="W13981" t="s">
        <v>41454</v>
      </c>
      <c r="X13981" t="s">
        <v>42716</v>
      </c>
    </row>
    <row r="13982" spans="1:24">
      <c r="A13982">
        <f>HYPERLINK("https://www.philgeps.gov.ph/GEPSNONPILOT/Tender/SplashBidNoticeAbstractUI.aspx?menuIndex=3&amp;refID=7077963&amp;Result=3","7077963")</f>
        <v>0</v>
      </c>
      <c r="B13982" t="s">
        <v>1543</v>
      </c>
      <c r="C13982" t="s">
        <v>16925</v>
      </c>
      <c r="E13982" t="s">
        <v>29163</v>
      </c>
      <c r="F13982" t="s">
        <v>29372</v>
      </c>
      <c r="G13982" t="s">
        <v>29380</v>
      </c>
      <c r="H13982" t="s">
        <v>11048</v>
      </c>
      <c r="I13982" t="s">
        <v>8614</v>
      </c>
      <c r="J13982" t="s">
        <v>38355</v>
      </c>
      <c r="K13982" t="s">
        <v>38490</v>
      </c>
      <c r="M13982" t="s">
        <v>42642</v>
      </c>
      <c r="N13982" t="s">
        <v>42669</v>
      </c>
      <c r="O13982" t="s">
        <v>42670</v>
      </c>
      <c r="Q13982">
        <v>8</v>
      </c>
      <c r="R13982" t="s">
        <v>42718</v>
      </c>
      <c r="S13982" t="s">
        <v>44165</v>
      </c>
      <c r="T13982" t="s">
        <v>44401</v>
      </c>
      <c r="U13982" t="s">
        <v>56157</v>
      </c>
      <c r="V13982" t="s">
        <v>57970</v>
      </c>
      <c r="W13982" t="s">
        <v>58135</v>
      </c>
      <c r="X13982" t="s">
        <v>42724</v>
      </c>
    </row>
    <row r="13983" spans="1:24">
      <c r="A13983">
        <f>HYPERLINK("https://www.philgeps.gov.ph/GEPSNONPILOT/Tender/SplashBidNoticeAbstractUI.aspx?menuIndex=3&amp;refID=7077668&amp;Result=3","7077668")</f>
        <v>0</v>
      </c>
      <c r="B13983" t="s">
        <v>3499</v>
      </c>
      <c r="C13983" t="s">
        <v>16926</v>
      </c>
      <c r="D13983" t="s">
        <v>17141</v>
      </c>
      <c r="E13983" t="s">
        <v>29164</v>
      </c>
      <c r="F13983" t="s">
        <v>29372</v>
      </c>
      <c r="G13983" t="s">
        <v>29380</v>
      </c>
      <c r="H13983" t="s">
        <v>11048</v>
      </c>
      <c r="I13983" t="s">
        <v>29440</v>
      </c>
      <c r="J13983" t="s">
        <v>30787</v>
      </c>
      <c r="K13983" t="s">
        <v>38580</v>
      </c>
      <c r="M13983" t="s">
        <v>42643</v>
      </c>
      <c r="N13983" t="s">
        <v>42669</v>
      </c>
      <c r="O13983" t="s">
        <v>42670</v>
      </c>
      <c r="Q13983">
        <v>7</v>
      </c>
      <c r="R13983" t="s">
        <v>42718</v>
      </c>
      <c r="S13983" t="s">
        <v>43697</v>
      </c>
      <c r="T13983" t="s">
        <v>44371</v>
      </c>
      <c r="U13983" t="s">
        <v>56158</v>
      </c>
      <c r="W13983" t="s">
        <v>42643</v>
      </c>
      <c r="X13983" t="s">
        <v>42724</v>
      </c>
    </row>
    <row r="13984" spans="1:24">
      <c r="A13984">
        <f>HYPERLINK("https://www.philgeps.gov.ph/GEPSNONPILOT/Tender/SplashBidNoticeAbstractUI.aspx?menuIndex=3&amp;refID=7077469&amp;Result=3","7077469")</f>
        <v>0</v>
      </c>
      <c r="B13984" t="s">
        <v>3499</v>
      </c>
      <c r="C13984" t="s">
        <v>16927</v>
      </c>
      <c r="D13984" t="s">
        <v>17141</v>
      </c>
      <c r="E13984" t="s">
        <v>29165</v>
      </c>
      <c r="F13984" t="s">
        <v>29372</v>
      </c>
      <c r="G13984" t="s">
        <v>29380</v>
      </c>
      <c r="H13984" t="s">
        <v>11048</v>
      </c>
      <c r="I13984" t="s">
        <v>4486</v>
      </c>
      <c r="J13984" t="s">
        <v>38356</v>
      </c>
      <c r="K13984" t="s">
        <v>38487</v>
      </c>
      <c r="M13984" t="s">
        <v>42643</v>
      </c>
      <c r="N13984" t="s">
        <v>42669</v>
      </c>
      <c r="O13984" t="s">
        <v>42670</v>
      </c>
      <c r="Q13984">
        <v>23</v>
      </c>
      <c r="R13984" t="s">
        <v>42718</v>
      </c>
      <c r="S13984" t="s">
        <v>44166</v>
      </c>
      <c r="T13984" t="s">
        <v>44371</v>
      </c>
      <c r="U13984" t="s">
        <v>56159</v>
      </c>
      <c r="W13984" t="s">
        <v>42643</v>
      </c>
      <c r="X13984" t="s">
        <v>42724</v>
      </c>
    </row>
    <row r="13985" spans="1:24">
      <c r="A13985">
        <f>HYPERLINK("https://www.philgeps.gov.ph/GEPSNONPILOT/Tender/SplashBidNoticeAbstractUI.aspx?menuIndex=3&amp;refID=7077606&amp;Result=3","7077606")</f>
        <v>0</v>
      </c>
      <c r="B13985" t="s">
        <v>3499</v>
      </c>
      <c r="C13985" t="s">
        <v>16928</v>
      </c>
      <c r="D13985" t="s">
        <v>17141</v>
      </c>
      <c r="E13985" t="s">
        <v>29166</v>
      </c>
      <c r="F13985" t="s">
        <v>29372</v>
      </c>
      <c r="G13985" t="s">
        <v>29380</v>
      </c>
      <c r="H13985" t="s">
        <v>11048</v>
      </c>
      <c r="I13985" t="s">
        <v>8614</v>
      </c>
      <c r="J13985" t="s">
        <v>30056</v>
      </c>
      <c r="K13985" t="s">
        <v>38485</v>
      </c>
      <c r="M13985" t="s">
        <v>42643</v>
      </c>
      <c r="N13985" t="s">
        <v>42669</v>
      </c>
      <c r="O13985" t="s">
        <v>42670</v>
      </c>
      <c r="Q13985">
        <v>17</v>
      </c>
      <c r="R13985" t="s">
        <v>42718</v>
      </c>
      <c r="S13985" t="s">
        <v>44167</v>
      </c>
      <c r="T13985" t="s">
        <v>44371</v>
      </c>
      <c r="U13985" t="s">
        <v>56160</v>
      </c>
      <c r="W13985" t="s">
        <v>42643</v>
      </c>
      <c r="X13985" t="s">
        <v>42724</v>
      </c>
    </row>
    <row r="13986" spans="1:24">
      <c r="A13986">
        <f>HYPERLINK("https://www.philgeps.gov.ph/GEPSNONPILOT/Tender/SplashBidNoticeAbstractUI.aspx?menuIndex=3&amp;refID=7096956&amp;Result=3","7096956")</f>
        <v>0</v>
      </c>
      <c r="B13986" t="s">
        <v>2253</v>
      </c>
      <c r="C13986" t="s">
        <v>16929</v>
      </c>
      <c r="D13986" t="s">
        <v>17181</v>
      </c>
      <c r="E13986" t="s">
        <v>29167</v>
      </c>
      <c r="F13986" t="s">
        <v>29372</v>
      </c>
      <c r="G13986" t="s">
        <v>29380</v>
      </c>
      <c r="H13986" t="s">
        <v>29391</v>
      </c>
      <c r="I13986" t="s">
        <v>29391</v>
      </c>
      <c r="J13986" t="s">
        <v>38357</v>
      </c>
      <c r="K13986" t="s">
        <v>38629</v>
      </c>
      <c r="M13986" t="s">
        <v>41174</v>
      </c>
      <c r="N13986" t="s">
        <v>42669</v>
      </c>
      <c r="O13986" t="s">
        <v>42670</v>
      </c>
      <c r="Q13986">
        <v>14</v>
      </c>
      <c r="R13986" t="s">
        <v>42716</v>
      </c>
      <c r="S13986" t="s">
        <v>44168</v>
      </c>
      <c r="T13986" t="s">
        <v>44368</v>
      </c>
      <c r="U13986" t="s">
        <v>56161</v>
      </c>
      <c r="W13986" t="s">
        <v>41174</v>
      </c>
      <c r="X13986" t="s">
        <v>42717</v>
      </c>
    </row>
    <row r="13987" spans="1:24">
      <c r="A13987">
        <f>HYPERLINK("https://www.philgeps.gov.ph/GEPSNONPILOT/Tender/SplashBidNoticeAbstractUI.aspx?menuIndex=3&amp;refID=7095890&amp;Result=3","7095890")</f>
        <v>0</v>
      </c>
      <c r="B13987" t="s">
        <v>3500</v>
      </c>
      <c r="C13987" t="s">
        <v>16930</v>
      </c>
      <c r="D13987" t="s">
        <v>17189</v>
      </c>
      <c r="E13987" t="s">
        <v>29168</v>
      </c>
      <c r="F13987" t="s">
        <v>29372</v>
      </c>
      <c r="G13987" t="s">
        <v>29380</v>
      </c>
      <c r="H13987" t="s">
        <v>11048</v>
      </c>
      <c r="I13987" t="s">
        <v>4709</v>
      </c>
      <c r="J13987" t="s">
        <v>29937</v>
      </c>
      <c r="K13987" t="s">
        <v>38510</v>
      </c>
      <c r="M13987" t="s">
        <v>42644</v>
      </c>
      <c r="N13987" t="s">
        <v>42669</v>
      </c>
      <c r="O13987" t="s">
        <v>42670</v>
      </c>
      <c r="P13987">
        <v>0</v>
      </c>
      <c r="Q13987">
        <v>5</v>
      </c>
      <c r="R13987" t="s">
        <v>42716</v>
      </c>
      <c r="S13987" t="s">
        <v>44169</v>
      </c>
      <c r="T13987" t="s">
        <v>44468</v>
      </c>
      <c r="U13987" t="s">
        <v>56162</v>
      </c>
      <c r="W13987" t="s">
        <v>42644</v>
      </c>
      <c r="X13987" t="s">
        <v>42717</v>
      </c>
    </row>
    <row r="13988" spans="1:24">
      <c r="A13988">
        <f>HYPERLINK("https://www.philgeps.gov.ph/GEPSNONPILOT/Tender/SplashBidNoticeAbstractUI.aspx?menuIndex=3&amp;refID=7079847&amp;Result=3","7079847")</f>
        <v>0</v>
      </c>
      <c r="B13988" t="s">
        <v>275</v>
      </c>
      <c r="C13988" t="s">
        <v>16931</v>
      </c>
      <c r="D13988" t="s">
        <v>17180</v>
      </c>
      <c r="E13988" t="s">
        <v>29169</v>
      </c>
      <c r="F13988" t="s">
        <v>29372</v>
      </c>
      <c r="G13988" t="s">
        <v>29380</v>
      </c>
      <c r="H13988" t="s">
        <v>29389</v>
      </c>
      <c r="I13988" t="s">
        <v>10408</v>
      </c>
      <c r="J13988" t="s">
        <v>38358</v>
      </c>
      <c r="K13988" t="s">
        <v>38533</v>
      </c>
      <c r="M13988" t="s">
        <v>41239</v>
      </c>
      <c r="N13988" t="s">
        <v>42669</v>
      </c>
      <c r="O13988" t="s">
        <v>42670</v>
      </c>
      <c r="Q13988">
        <v>37</v>
      </c>
      <c r="R13988" t="s">
        <v>42719</v>
      </c>
      <c r="S13988" t="s">
        <v>44170</v>
      </c>
      <c r="T13988" t="s">
        <v>44503</v>
      </c>
      <c r="U13988" t="s">
        <v>56163</v>
      </c>
      <c r="V13988" t="s">
        <v>57145</v>
      </c>
      <c r="W13988" t="s">
        <v>41239</v>
      </c>
      <c r="X13988" t="s">
        <v>42718</v>
      </c>
    </row>
    <row r="13989" spans="1:24">
      <c r="A13989">
        <f>HYPERLINK("https://www.philgeps.gov.ph/GEPSNONPILOT/Tender/SplashBidNoticeAbstractUI.aspx?menuIndex=3&amp;refID=7084137&amp;Result=3","7084137")</f>
        <v>0</v>
      </c>
      <c r="B13989" t="s">
        <v>3501</v>
      </c>
      <c r="C13989" t="s">
        <v>16932</v>
      </c>
      <c r="D13989" t="s">
        <v>17141</v>
      </c>
      <c r="E13989" t="s">
        <v>29170</v>
      </c>
      <c r="F13989" t="s">
        <v>29372</v>
      </c>
      <c r="G13989" t="s">
        <v>29384</v>
      </c>
      <c r="H13989" t="s">
        <v>29391</v>
      </c>
      <c r="I13989" t="s">
        <v>29391</v>
      </c>
      <c r="J13989" t="s">
        <v>38359</v>
      </c>
      <c r="K13989" t="s">
        <v>38570</v>
      </c>
      <c r="M13989" t="s">
        <v>42645</v>
      </c>
      <c r="N13989" t="s">
        <v>42669</v>
      </c>
      <c r="O13989" t="s">
        <v>42670</v>
      </c>
      <c r="Q13989">
        <v>3</v>
      </c>
      <c r="R13989" t="s">
        <v>42720</v>
      </c>
      <c r="S13989" t="s">
        <v>44171</v>
      </c>
      <c r="T13989" t="s">
        <v>44368</v>
      </c>
      <c r="U13989" t="s">
        <v>56164</v>
      </c>
      <c r="V13989" t="s">
        <v>57971</v>
      </c>
      <c r="W13989" t="s">
        <v>58136</v>
      </c>
      <c r="X13989" t="s">
        <v>42719</v>
      </c>
    </row>
    <row r="13990" spans="1:24">
      <c r="A13990">
        <f>HYPERLINK("https://www.philgeps.gov.ph/GEPSNONPILOT/Tender/SplashBidNoticeAbstractUI.aspx?menuIndex=3&amp;refID=7083927&amp;Result=3","7083927")</f>
        <v>0</v>
      </c>
      <c r="B13990" t="s">
        <v>2648</v>
      </c>
      <c r="C13990" t="s">
        <v>16933</v>
      </c>
      <c r="D13990" t="s">
        <v>17141</v>
      </c>
      <c r="E13990" t="s">
        <v>29171</v>
      </c>
      <c r="F13990" t="s">
        <v>29372</v>
      </c>
      <c r="G13990" t="s">
        <v>29380</v>
      </c>
      <c r="H13990" t="s">
        <v>11048</v>
      </c>
      <c r="I13990" t="s">
        <v>9469</v>
      </c>
      <c r="J13990" t="s">
        <v>38360</v>
      </c>
      <c r="K13990" t="s">
        <v>38485</v>
      </c>
      <c r="M13990" t="s">
        <v>41621</v>
      </c>
      <c r="N13990" t="s">
        <v>42669</v>
      </c>
      <c r="O13990" t="s">
        <v>42670</v>
      </c>
      <c r="Q13990">
        <v>11</v>
      </c>
      <c r="R13990" t="s">
        <v>42720</v>
      </c>
      <c r="S13990" t="s">
        <v>44172</v>
      </c>
      <c r="T13990" t="s">
        <v>44415</v>
      </c>
      <c r="U13990" t="s">
        <v>56165</v>
      </c>
      <c r="V13990" t="s">
        <v>57972</v>
      </c>
      <c r="W13990" t="s">
        <v>41621</v>
      </c>
      <c r="X13990" t="s">
        <v>42719</v>
      </c>
    </row>
    <row r="13991" spans="1:24">
      <c r="A13991">
        <f>HYPERLINK("https://www.philgeps.gov.ph/GEPSNONPILOT/Tender/SplashBidNoticeAbstractUI.aspx?menuIndex=3&amp;refID=7097233&amp;Result=3","7097233")</f>
        <v>0</v>
      </c>
      <c r="B13991" t="s">
        <v>119</v>
      </c>
      <c r="C13991" t="s">
        <v>16934</v>
      </c>
      <c r="D13991" t="s">
        <v>17141</v>
      </c>
      <c r="E13991" t="s">
        <v>29172</v>
      </c>
      <c r="F13991" t="s">
        <v>29372</v>
      </c>
      <c r="G13991" t="s">
        <v>29380</v>
      </c>
      <c r="H13991" t="s">
        <v>29391</v>
      </c>
      <c r="I13991" t="s">
        <v>29391</v>
      </c>
      <c r="J13991" t="s">
        <v>38361</v>
      </c>
      <c r="K13991" t="s">
        <v>38768</v>
      </c>
      <c r="M13991" t="s">
        <v>40761</v>
      </c>
      <c r="N13991" t="s">
        <v>42669</v>
      </c>
      <c r="O13991" t="s">
        <v>42670</v>
      </c>
      <c r="Q13991">
        <v>18</v>
      </c>
      <c r="R13991" t="s">
        <v>42716</v>
      </c>
      <c r="S13991" t="s">
        <v>44173</v>
      </c>
      <c r="T13991" t="s">
        <v>44872</v>
      </c>
      <c r="U13991" t="s">
        <v>56166</v>
      </c>
      <c r="W13991" t="s">
        <v>40761</v>
      </c>
      <c r="X13991" t="s">
        <v>42717</v>
      </c>
    </row>
    <row r="13992" spans="1:24">
      <c r="A13992">
        <f>HYPERLINK("https://www.philgeps.gov.ph/GEPSNONPILOT/Tender/SplashBidNoticeAbstractUI.aspx?menuIndex=3&amp;refID=7084243&amp;Result=3","7084243")</f>
        <v>0</v>
      </c>
      <c r="B13992" t="s">
        <v>566</v>
      </c>
      <c r="C13992" t="s">
        <v>16935</v>
      </c>
      <c r="E13992" t="s">
        <v>29173</v>
      </c>
      <c r="F13992" t="s">
        <v>29372</v>
      </c>
      <c r="G13992" t="s">
        <v>29380</v>
      </c>
      <c r="H13992" t="s">
        <v>11048</v>
      </c>
      <c r="I13992" t="s">
        <v>10408</v>
      </c>
      <c r="J13992" t="s">
        <v>38362</v>
      </c>
      <c r="K13992" t="s">
        <v>38490</v>
      </c>
      <c r="M13992" t="s">
        <v>39335</v>
      </c>
      <c r="N13992" t="s">
        <v>42669</v>
      </c>
      <c r="O13992" t="s">
        <v>42670</v>
      </c>
      <c r="Q13992">
        <v>24</v>
      </c>
      <c r="R13992" t="s">
        <v>42720</v>
      </c>
      <c r="S13992" t="s">
        <v>43653</v>
      </c>
      <c r="T13992" t="s">
        <v>44556</v>
      </c>
      <c r="U13992" t="s">
        <v>56167</v>
      </c>
      <c r="W13992" t="s">
        <v>39335</v>
      </c>
      <c r="X13992" t="s">
        <v>42719</v>
      </c>
    </row>
    <row r="13993" spans="1:24">
      <c r="A13993">
        <f>HYPERLINK("https://www.philgeps.gov.ph/GEPSNONPILOT/Tender/SplashBidNoticeAbstractUI.aspx?menuIndex=3&amp;refID=7080021&amp;Result=3","7080021")</f>
        <v>0</v>
      </c>
      <c r="B13993" t="s">
        <v>542</v>
      </c>
      <c r="C13993" t="s">
        <v>16936</v>
      </c>
      <c r="D13993" t="s">
        <v>17141</v>
      </c>
      <c r="E13993" t="s">
        <v>29174</v>
      </c>
      <c r="F13993" t="s">
        <v>29372</v>
      </c>
      <c r="G13993" t="s">
        <v>29380</v>
      </c>
      <c r="H13993" t="s">
        <v>11048</v>
      </c>
      <c r="I13993" t="s">
        <v>29476</v>
      </c>
      <c r="J13993" t="s">
        <v>38363</v>
      </c>
      <c r="K13993" t="s">
        <v>38490</v>
      </c>
      <c r="M13993" t="s">
        <v>42635</v>
      </c>
      <c r="N13993" t="s">
        <v>42669</v>
      </c>
      <c r="O13993" t="s">
        <v>42670</v>
      </c>
      <c r="Q13993">
        <v>25</v>
      </c>
      <c r="R13993" t="s">
        <v>42720</v>
      </c>
      <c r="S13993" t="s">
        <v>43599</v>
      </c>
      <c r="T13993" t="s">
        <v>44401</v>
      </c>
      <c r="U13993" t="s">
        <v>56168</v>
      </c>
      <c r="W13993" t="s">
        <v>42635</v>
      </c>
      <c r="X13993" t="s">
        <v>42718</v>
      </c>
    </row>
    <row r="13994" spans="1:24">
      <c r="A13994">
        <f>HYPERLINK("https://www.philgeps.gov.ph/GEPSNONPILOT/Tender/SplashBidNoticeAbstractUI.aspx?menuIndex=3&amp;refID=7084087&amp;Result=3","7084087")</f>
        <v>0</v>
      </c>
      <c r="B13994" t="s">
        <v>1792</v>
      </c>
      <c r="C13994" t="s">
        <v>16937</v>
      </c>
      <c r="D13994" t="s">
        <v>17141</v>
      </c>
      <c r="E13994" t="s">
        <v>29175</v>
      </c>
      <c r="F13994" t="s">
        <v>29372</v>
      </c>
      <c r="G13994" t="s">
        <v>29382</v>
      </c>
      <c r="H13994" t="s">
        <v>11048</v>
      </c>
      <c r="I13994" t="s">
        <v>4709</v>
      </c>
      <c r="J13994" t="s">
        <v>38364</v>
      </c>
      <c r="K13994" t="s">
        <v>38488</v>
      </c>
      <c r="M13994" t="s">
        <v>42646</v>
      </c>
      <c r="N13994" t="s">
        <v>42669</v>
      </c>
      <c r="O13994" t="s">
        <v>42670</v>
      </c>
      <c r="Q13994">
        <v>6</v>
      </c>
      <c r="R13994" t="s">
        <v>42720</v>
      </c>
      <c r="S13994" t="s">
        <v>42789</v>
      </c>
      <c r="T13994" t="s">
        <v>44466</v>
      </c>
      <c r="U13994" t="s">
        <v>56169</v>
      </c>
      <c r="W13994" t="s">
        <v>42646</v>
      </c>
      <c r="X13994" t="s">
        <v>42719</v>
      </c>
    </row>
    <row r="13995" spans="1:24">
      <c r="A13995">
        <f>HYPERLINK("https://www.philgeps.gov.ph/GEPSNONPILOT/Tender/SplashBidNoticeAbstractUI.aspx?menuIndex=3&amp;refID=7081126&amp;Result=3","7081126")</f>
        <v>0</v>
      </c>
      <c r="B13995" t="s">
        <v>1355</v>
      </c>
      <c r="C13995" t="s">
        <v>16938</v>
      </c>
      <c r="D13995" t="s">
        <v>17160</v>
      </c>
      <c r="E13995" t="s">
        <v>29176</v>
      </c>
      <c r="F13995" t="s">
        <v>29372</v>
      </c>
      <c r="G13995" t="s">
        <v>29379</v>
      </c>
      <c r="H13995" t="s">
        <v>11048</v>
      </c>
      <c r="I13995" t="s">
        <v>29407</v>
      </c>
      <c r="J13995" t="s">
        <v>38365</v>
      </c>
      <c r="K13995" t="s">
        <v>38485</v>
      </c>
      <c r="M13995" t="s">
        <v>42197</v>
      </c>
      <c r="N13995" t="s">
        <v>42669</v>
      </c>
      <c r="O13995" t="s">
        <v>42670</v>
      </c>
      <c r="Q13995">
        <v>3</v>
      </c>
      <c r="R13995" t="s">
        <v>42719</v>
      </c>
      <c r="S13995" t="s">
        <v>44174</v>
      </c>
      <c r="T13995" t="s">
        <v>44371</v>
      </c>
      <c r="U13995" t="s">
        <v>56170</v>
      </c>
      <c r="V13995" t="s">
        <v>57973</v>
      </c>
      <c r="W13995" t="s">
        <v>42197</v>
      </c>
      <c r="X13995" t="s">
        <v>42718</v>
      </c>
    </row>
    <row r="13996" spans="1:24">
      <c r="A13996">
        <f>HYPERLINK("https://www.philgeps.gov.ph/GEPSNONPILOT/Tender/SplashBidNoticeAbstractUI.aspx?menuIndex=3&amp;refID=7112789&amp;Result=3","7112789")</f>
        <v>0</v>
      </c>
      <c r="B13996" t="s">
        <v>3502</v>
      </c>
      <c r="C13996" t="s">
        <v>16939</v>
      </c>
      <c r="D13996" t="s">
        <v>17141</v>
      </c>
      <c r="E13996" t="s">
        <v>29177</v>
      </c>
      <c r="F13996" t="s">
        <v>29372</v>
      </c>
      <c r="G13996" t="s">
        <v>29380</v>
      </c>
      <c r="H13996" t="s">
        <v>11048</v>
      </c>
      <c r="I13996" t="s">
        <v>9469</v>
      </c>
      <c r="J13996" t="s">
        <v>38366</v>
      </c>
      <c r="K13996" t="s">
        <v>38485</v>
      </c>
      <c r="M13996" t="s">
        <v>42647</v>
      </c>
      <c r="N13996" t="s">
        <v>42669</v>
      </c>
      <c r="O13996" t="s">
        <v>42670</v>
      </c>
      <c r="Q13996">
        <v>14</v>
      </c>
      <c r="R13996" t="s">
        <v>42715</v>
      </c>
      <c r="S13996" t="s">
        <v>44175</v>
      </c>
      <c r="T13996" t="s">
        <v>44629</v>
      </c>
      <c r="U13996" t="s">
        <v>46442</v>
      </c>
      <c r="V13996" t="s">
        <v>57974</v>
      </c>
      <c r="W13996" t="s">
        <v>42647</v>
      </c>
      <c r="X13996" t="s">
        <v>42714</v>
      </c>
    </row>
    <row r="13997" spans="1:24">
      <c r="A13997">
        <f>HYPERLINK("https://www.philgeps.gov.ph/GEPSNONPILOT/Tender/SplashBidNoticeAbstractUI.aspx?menuIndex=3&amp;refID=7083608&amp;Result=3","7083608")</f>
        <v>0</v>
      </c>
      <c r="B13997" t="s">
        <v>1543</v>
      </c>
      <c r="C13997" t="s">
        <v>16940</v>
      </c>
      <c r="E13997" t="s">
        <v>29178</v>
      </c>
      <c r="F13997" t="s">
        <v>29372</v>
      </c>
      <c r="G13997" t="s">
        <v>29380</v>
      </c>
      <c r="H13997" t="s">
        <v>11048</v>
      </c>
      <c r="I13997" t="s">
        <v>9642</v>
      </c>
      <c r="J13997" t="s">
        <v>38367</v>
      </c>
      <c r="K13997" t="s">
        <v>38490</v>
      </c>
      <c r="M13997" t="s">
        <v>40392</v>
      </c>
      <c r="N13997" t="s">
        <v>42669</v>
      </c>
      <c r="O13997" t="s">
        <v>42670</v>
      </c>
      <c r="Q13997">
        <v>26</v>
      </c>
      <c r="R13997" t="s">
        <v>42720</v>
      </c>
      <c r="S13997" t="s">
        <v>44176</v>
      </c>
      <c r="T13997" t="s">
        <v>44401</v>
      </c>
      <c r="U13997" t="s">
        <v>56171</v>
      </c>
      <c r="V13997" t="s">
        <v>57975</v>
      </c>
      <c r="W13997" t="s">
        <v>40392</v>
      </c>
      <c r="X13997" t="s">
        <v>42719</v>
      </c>
    </row>
    <row r="13998" spans="1:24">
      <c r="A13998">
        <f>HYPERLINK("https://www.philgeps.gov.ph/GEPSNONPILOT/Tender/SplashBidNoticeAbstractUI.aspx?menuIndex=3&amp;refID=7071854&amp;Result=3","7071854")</f>
        <v>0</v>
      </c>
      <c r="B13998" t="s">
        <v>1812</v>
      </c>
      <c r="C13998" t="s">
        <v>16941</v>
      </c>
      <c r="D13998" t="s">
        <v>17194</v>
      </c>
      <c r="E13998" t="s">
        <v>29179</v>
      </c>
      <c r="F13998" t="s">
        <v>29372</v>
      </c>
      <c r="G13998" t="s">
        <v>29380</v>
      </c>
      <c r="H13998" t="s">
        <v>11048</v>
      </c>
      <c r="I13998" t="s">
        <v>29407</v>
      </c>
      <c r="J13998" t="s">
        <v>38368</v>
      </c>
      <c r="K13998" t="s">
        <v>38490</v>
      </c>
      <c r="M13998" t="s">
        <v>40683</v>
      </c>
      <c r="N13998" t="s">
        <v>42669</v>
      </c>
      <c r="O13998" t="s">
        <v>42670</v>
      </c>
      <c r="Q13998">
        <v>1</v>
      </c>
      <c r="R13998" t="s">
        <v>42721</v>
      </c>
      <c r="S13998" t="s">
        <v>44177</v>
      </c>
      <c r="T13998" t="s">
        <v>44354</v>
      </c>
      <c r="U13998" t="s">
        <v>56172</v>
      </c>
      <c r="W13998" t="s">
        <v>40683</v>
      </c>
      <c r="X13998" t="s">
        <v>42728</v>
      </c>
    </row>
    <row r="13999" spans="1:24">
      <c r="A13999">
        <f>HYPERLINK("https://www.philgeps.gov.ph/GEPSNONPILOT/Tender/SplashBidNoticeAbstractUI.aspx?menuIndex=3&amp;refID=7076091&amp;Result=3","7076091")</f>
        <v>0</v>
      </c>
      <c r="B13999" t="s">
        <v>275</v>
      </c>
      <c r="C13999" t="s">
        <v>16942</v>
      </c>
      <c r="D13999" t="s">
        <v>17180</v>
      </c>
      <c r="E13999" t="s">
        <v>29180</v>
      </c>
      <c r="F13999" t="s">
        <v>29372</v>
      </c>
      <c r="G13999" t="s">
        <v>29380</v>
      </c>
      <c r="H13999" t="s">
        <v>29389</v>
      </c>
      <c r="I13999" t="s">
        <v>10408</v>
      </c>
      <c r="J13999" t="s">
        <v>38369</v>
      </c>
      <c r="K13999" t="s">
        <v>38671</v>
      </c>
      <c r="M13999" t="s">
        <v>41239</v>
      </c>
      <c r="N13999" t="s">
        <v>42669</v>
      </c>
      <c r="O13999" t="s">
        <v>42670</v>
      </c>
      <c r="Q13999">
        <v>29</v>
      </c>
      <c r="R13999" t="s">
        <v>42718</v>
      </c>
      <c r="S13999" t="s">
        <v>44178</v>
      </c>
      <c r="T13999" t="s">
        <v>44542</v>
      </c>
      <c r="U13999" t="s">
        <v>56173</v>
      </c>
      <c r="V13999" t="s">
        <v>57145</v>
      </c>
      <c r="W13999" t="s">
        <v>41239</v>
      </c>
      <c r="X13999" t="s">
        <v>42724</v>
      </c>
    </row>
    <row r="14000" spans="1:24">
      <c r="A14000">
        <f>HYPERLINK("https://www.philgeps.gov.ph/GEPSNONPILOT/Tender/SplashBidNoticeAbstractUI.aspx?menuIndex=3&amp;refID=7070765&amp;Result=3","7070765")</f>
        <v>0</v>
      </c>
      <c r="B14000" t="s">
        <v>2217</v>
      </c>
      <c r="C14000" t="s">
        <v>16943</v>
      </c>
      <c r="D14000" t="s">
        <v>17168</v>
      </c>
      <c r="E14000" t="s">
        <v>29181</v>
      </c>
      <c r="F14000" t="s">
        <v>29372</v>
      </c>
      <c r="G14000" t="s">
        <v>29379</v>
      </c>
      <c r="H14000" t="s">
        <v>11048</v>
      </c>
      <c r="I14000" t="s">
        <v>4487</v>
      </c>
      <c r="J14000" t="s">
        <v>38370</v>
      </c>
      <c r="K14000" t="s">
        <v>38488</v>
      </c>
      <c r="M14000" t="s">
        <v>41134</v>
      </c>
      <c r="N14000" t="s">
        <v>42669</v>
      </c>
      <c r="O14000" t="s">
        <v>42670</v>
      </c>
      <c r="Q14000">
        <v>6</v>
      </c>
      <c r="R14000" t="s">
        <v>42722</v>
      </c>
      <c r="S14000" t="s">
        <v>42793</v>
      </c>
      <c r="T14000" t="s">
        <v>44397</v>
      </c>
      <c r="U14000" t="s">
        <v>56174</v>
      </c>
      <c r="W14000" t="s">
        <v>41134</v>
      </c>
      <c r="X14000" t="s">
        <v>42728</v>
      </c>
    </row>
    <row r="14001" spans="1:24">
      <c r="A14001">
        <f>HYPERLINK("https://www.philgeps.gov.ph/GEPSNONPILOT/Tender/SplashBidNoticeAbstractUI.aspx?menuIndex=3&amp;refID=7071765&amp;Result=3","7071765")</f>
        <v>0</v>
      </c>
      <c r="B14001" t="s">
        <v>3083</v>
      </c>
      <c r="C14001" t="s">
        <v>16944</v>
      </c>
      <c r="D14001" t="s">
        <v>17142</v>
      </c>
      <c r="E14001" t="s">
        <v>29182</v>
      </c>
      <c r="F14001" t="s">
        <v>29372</v>
      </c>
      <c r="G14001" t="s">
        <v>29380</v>
      </c>
      <c r="H14001" t="s">
        <v>29389</v>
      </c>
      <c r="I14001" t="s">
        <v>10408</v>
      </c>
      <c r="J14001" t="s">
        <v>38371</v>
      </c>
      <c r="K14001" t="s">
        <v>38690</v>
      </c>
      <c r="M14001" t="s">
        <v>42331</v>
      </c>
      <c r="N14001" t="s">
        <v>42669</v>
      </c>
      <c r="O14001" t="s">
        <v>42670</v>
      </c>
      <c r="Q14001">
        <v>60</v>
      </c>
      <c r="R14001" t="s">
        <v>42723</v>
      </c>
      <c r="S14001" t="s">
        <v>44179</v>
      </c>
      <c r="T14001" t="s">
        <v>44470</v>
      </c>
      <c r="U14001" t="s">
        <v>56175</v>
      </c>
      <c r="V14001" t="s">
        <v>57145</v>
      </c>
      <c r="W14001" t="s">
        <v>42331</v>
      </c>
      <c r="X14001" t="s">
        <v>42728</v>
      </c>
    </row>
    <row r="14002" spans="1:24">
      <c r="A14002">
        <f>HYPERLINK("https://www.philgeps.gov.ph/GEPSNONPILOT/Tender/SplashBidNoticeAbstractUI.aspx?menuIndex=3&amp;refID=7075757&amp;Result=3","7075757")</f>
        <v>0</v>
      </c>
      <c r="B14002" t="s">
        <v>971</v>
      </c>
      <c r="C14002" t="s">
        <v>16945</v>
      </c>
      <c r="D14002" t="s">
        <v>17199</v>
      </c>
      <c r="E14002" t="s">
        <v>29183</v>
      </c>
      <c r="F14002" t="s">
        <v>29372</v>
      </c>
      <c r="G14002" t="s">
        <v>29380</v>
      </c>
      <c r="H14002" t="s">
        <v>29389</v>
      </c>
      <c r="I14002" t="s">
        <v>10408</v>
      </c>
      <c r="J14002" t="s">
        <v>34528</v>
      </c>
      <c r="K14002" t="s">
        <v>38490</v>
      </c>
      <c r="L14002" t="s">
        <v>971</v>
      </c>
      <c r="M14002" t="s">
        <v>42545</v>
      </c>
      <c r="N14002" t="s">
        <v>42669</v>
      </c>
      <c r="O14002" t="s">
        <v>42670</v>
      </c>
      <c r="Q14002">
        <v>1</v>
      </c>
      <c r="R14002" t="s">
        <v>42724</v>
      </c>
      <c r="S14002" t="s">
        <v>43181</v>
      </c>
      <c r="T14002" t="s">
        <v>44668</v>
      </c>
      <c r="U14002" t="s">
        <v>56176</v>
      </c>
      <c r="V14002" t="s">
        <v>57890</v>
      </c>
      <c r="W14002" t="s">
        <v>42545</v>
      </c>
      <c r="X14002" t="s">
        <v>42722</v>
      </c>
    </row>
    <row r="14003" spans="1:24">
      <c r="A14003">
        <f>HYPERLINK("https://www.philgeps.gov.ph/GEPSNONPILOT/Tender/SplashBidNoticeAbstractUI.aspx?menuIndex=3&amp;refID=7075619&amp;Result=3","7075619")</f>
        <v>0</v>
      </c>
      <c r="B14003" t="s">
        <v>834</v>
      </c>
      <c r="C14003" t="s">
        <v>16946</v>
      </c>
      <c r="D14003" t="s">
        <v>17159</v>
      </c>
      <c r="E14003" t="s">
        <v>29184</v>
      </c>
      <c r="F14003" t="s">
        <v>29372</v>
      </c>
      <c r="G14003" t="s">
        <v>29382</v>
      </c>
      <c r="H14003" t="s">
        <v>11048</v>
      </c>
      <c r="I14003" t="s">
        <v>3670</v>
      </c>
      <c r="J14003" t="s">
        <v>33783</v>
      </c>
      <c r="K14003" t="s">
        <v>38496</v>
      </c>
      <c r="M14003" t="s">
        <v>41454</v>
      </c>
      <c r="N14003" t="s">
        <v>42669</v>
      </c>
      <c r="O14003" t="s">
        <v>42670</v>
      </c>
      <c r="Q14003">
        <v>5</v>
      </c>
      <c r="R14003" t="s">
        <v>42724</v>
      </c>
      <c r="S14003" t="s">
        <v>44180</v>
      </c>
      <c r="T14003" t="s">
        <v>44399</v>
      </c>
      <c r="U14003" t="s">
        <v>51303</v>
      </c>
      <c r="W14003" t="s">
        <v>41454</v>
      </c>
      <c r="X14003" t="s">
        <v>42722</v>
      </c>
    </row>
    <row r="14004" spans="1:24">
      <c r="A14004">
        <f>HYPERLINK("https://www.philgeps.gov.ph/GEPSNONPILOT/Tender/SplashBidNoticeAbstractUI.aspx?menuIndex=3&amp;refID=7099913&amp;Result=3","7099913")</f>
        <v>0</v>
      </c>
      <c r="B14004" t="s">
        <v>834</v>
      </c>
      <c r="C14004" t="s">
        <v>16947</v>
      </c>
      <c r="D14004" t="s">
        <v>17187</v>
      </c>
      <c r="E14004" t="s">
        <v>29185</v>
      </c>
      <c r="F14004" t="s">
        <v>29372</v>
      </c>
      <c r="G14004" t="s">
        <v>29379</v>
      </c>
      <c r="H14004" t="s">
        <v>11048</v>
      </c>
      <c r="I14004" t="s">
        <v>3670</v>
      </c>
      <c r="J14004" t="s">
        <v>30083</v>
      </c>
      <c r="K14004" t="s">
        <v>38487</v>
      </c>
      <c r="M14004" t="s">
        <v>41454</v>
      </c>
      <c r="N14004" t="s">
        <v>42669</v>
      </c>
      <c r="O14004" t="s">
        <v>42670</v>
      </c>
      <c r="Q14004">
        <v>8</v>
      </c>
      <c r="R14004" t="s">
        <v>42710</v>
      </c>
      <c r="S14004" t="s">
        <v>44181</v>
      </c>
      <c r="T14004" t="s">
        <v>44491</v>
      </c>
      <c r="U14004" t="s">
        <v>51303</v>
      </c>
      <c r="W14004" t="s">
        <v>41454</v>
      </c>
      <c r="X14004" t="s">
        <v>42716</v>
      </c>
    </row>
    <row r="14005" spans="1:24">
      <c r="A14005">
        <f>HYPERLINK("https://www.philgeps.gov.ph/GEPSNONPILOT/Tender/SplashBidNoticeAbstractUI.aspx?menuIndex=3&amp;refID=7074052&amp;Result=3","7074052")</f>
        <v>0</v>
      </c>
      <c r="B14005" t="s">
        <v>2248</v>
      </c>
      <c r="C14005" t="s">
        <v>16948</v>
      </c>
      <c r="D14005" t="s">
        <v>17154</v>
      </c>
      <c r="E14005" t="s">
        <v>29186</v>
      </c>
      <c r="F14005" t="s">
        <v>29372</v>
      </c>
      <c r="G14005" t="s">
        <v>29380</v>
      </c>
      <c r="H14005" t="s">
        <v>29389</v>
      </c>
      <c r="I14005" t="s">
        <v>10408</v>
      </c>
      <c r="J14005" t="s">
        <v>33376</v>
      </c>
      <c r="K14005" t="s">
        <v>38533</v>
      </c>
      <c r="M14005" t="s">
        <v>41166</v>
      </c>
      <c r="N14005" t="s">
        <v>42669</v>
      </c>
      <c r="O14005" t="s">
        <v>42670</v>
      </c>
      <c r="Q14005">
        <v>5</v>
      </c>
      <c r="R14005" t="s">
        <v>42724</v>
      </c>
      <c r="S14005" t="s">
        <v>44182</v>
      </c>
      <c r="T14005" t="s">
        <v>44357</v>
      </c>
      <c r="U14005" t="s">
        <v>56177</v>
      </c>
      <c r="W14005" t="s">
        <v>41166</v>
      </c>
      <c r="X14005" t="s">
        <v>42722</v>
      </c>
    </row>
    <row r="14006" spans="1:24">
      <c r="A14006">
        <f>HYPERLINK("https://www.philgeps.gov.ph/GEPSNONPILOT/Tender/SplashBidNoticeAbstractUI.aspx?menuIndex=3&amp;refID=7073524&amp;Result=3","7073524")</f>
        <v>0</v>
      </c>
      <c r="B14006" t="s">
        <v>2248</v>
      </c>
      <c r="C14006" t="s">
        <v>16949</v>
      </c>
      <c r="D14006" t="s">
        <v>17154</v>
      </c>
      <c r="E14006" t="s">
        <v>29187</v>
      </c>
      <c r="F14006" t="s">
        <v>29372</v>
      </c>
      <c r="G14006" t="s">
        <v>29380</v>
      </c>
      <c r="H14006" t="s">
        <v>29389</v>
      </c>
      <c r="I14006" t="s">
        <v>10408</v>
      </c>
      <c r="J14006" t="s">
        <v>36986</v>
      </c>
      <c r="K14006" t="s">
        <v>38564</v>
      </c>
      <c r="M14006" t="s">
        <v>41166</v>
      </c>
      <c r="N14006" t="s">
        <v>42669</v>
      </c>
      <c r="O14006" t="s">
        <v>42670</v>
      </c>
      <c r="Q14006">
        <v>7</v>
      </c>
      <c r="R14006" t="s">
        <v>42724</v>
      </c>
      <c r="S14006" t="s">
        <v>44183</v>
      </c>
      <c r="T14006" t="s">
        <v>44357</v>
      </c>
      <c r="U14006" t="s">
        <v>56178</v>
      </c>
      <c r="W14006" t="s">
        <v>41166</v>
      </c>
      <c r="X14006" t="s">
        <v>42722</v>
      </c>
    </row>
    <row r="14007" spans="1:24">
      <c r="A14007">
        <f>HYPERLINK("https://www.philgeps.gov.ph/GEPSNONPILOT/Tender/SplashBidNoticeAbstractUI.aspx?menuIndex=3&amp;refID=7075685&amp;Result=3","7075685")</f>
        <v>0</v>
      </c>
      <c r="B14007" t="s">
        <v>2981</v>
      </c>
      <c r="C14007" t="s">
        <v>16950</v>
      </c>
      <c r="D14007" t="s">
        <v>17167</v>
      </c>
      <c r="E14007" t="s">
        <v>29188</v>
      </c>
      <c r="F14007" t="s">
        <v>29372</v>
      </c>
      <c r="G14007" t="s">
        <v>29380</v>
      </c>
      <c r="H14007" t="s">
        <v>29389</v>
      </c>
      <c r="I14007" t="s">
        <v>10408</v>
      </c>
      <c r="J14007" t="s">
        <v>38372</v>
      </c>
      <c r="K14007" t="s">
        <v>38523</v>
      </c>
      <c r="L14007" t="s">
        <v>2981</v>
      </c>
      <c r="M14007" t="s">
        <v>41996</v>
      </c>
      <c r="N14007" t="s">
        <v>42669</v>
      </c>
      <c r="O14007" t="s">
        <v>42670</v>
      </c>
      <c r="Q14007">
        <v>1</v>
      </c>
      <c r="R14007" t="s">
        <v>42724</v>
      </c>
      <c r="S14007" t="s">
        <v>44184</v>
      </c>
      <c r="T14007" t="s">
        <v>44419</v>
      </c>
      <c r="U14007" t="s">
        <v>56179</v>
      </c>
      <c r="V14007" t="s">
        <v>57976</v>
      </c>
      <c r="W14007" t="s">
        <v>41996</v>
      </c>
      <c r="X14007" t="s">
        <v>42722</v>
      </c>
    </row>
    <row r="14008" spans="1:24">
      <c r="A14008">
        <f>HYPERLINK("https://www.philgeps.gov.ph/GEPSNONPILOT/Tender/SplashBidNoticeAbstractUI.aspx?menuIndex=3&amp;refID=7073448&amp;Result=3","7073448")</f>
        <v>0</v>
      </c>
      <c r="B14008" t="s">
        <v>2248</v>
      </c>
      <c r="C14008" t="s">
        <v>16951</v>
      </c>
      <c r="D14008" t="s">
        <v>17154</v>
      </c>
      <c r="E14008" t="s">
        <v>29189</v>
      </c>
      <c r="F14008" t="s">
        <v>29372</v>
      </c>
      <c r="G14008" t="s">
        <v>29380</v>
      </c>
      <c r="H14008" t="s">
        <v>29389</v>
      </c>
      <c r="I14008" t="s">
        <v>10408</v>
      </c>
      <c r="J14008" t="s">
        <v>33376</v>
      </c>
      <c r="K14008" t="s">
        <v>38522</v>
      </c>
      <c r="M14008" t="s">
        <v>41166</v>
      </c>
      <c r="N14008" t="s">
        <v>42669</v>
      </c>
      <c r="O14008" t="s">
        <v>42670</v>
      </c>
      <c r="Q14008">
        <v>8</v>
      </c>
      <c r="R14008" t="s">
        <v>42724</v>
      </c>
      <c r="S14008" t="s">
        <v>44185</v>
      </c>
      <c r="T14008" t="s">
        <v>44357</v>
      </c>
      <c r="U14008" t="s">
        <v>56180</v>
      </c>
      <c r="W14008" t="s">
        <v>41166</v>
      </c>
      <c r="X14008" t="s">
        <v>42722</v>
      </c>
    </row>
    <row r="14009" spans="1:24">
      <c r="A14009">
        <f>HYPERLINK("https://www.philgeps.gov.ph/GEPSNONPILOT/Tender/SplashBidNoticeAbstractUI.aspx?menuIndex=3&amp;refID=7074127&amp;Result=3","7074127")</f>
        <v>0</v>
      </c>
      <c r="B14009" t="s">
        <v>2248</v>
      </c>
      <c r="C14009" t="s">
        <v>16952</v>
      </c>
      <c r="D14009" t="s">
        <v>17154</v>
      </c>
      <c r="E14009" t="s">
        <v>29190</v>
      </c>
      <c r="F14009" t="s">
        <v>29372</v>
      </c>
      <c r="G14009" t="s">
        <v>29380</v>
      </c>
      <c r="H14009" t="s">
        <v>29389</v>
      </c>
      <c r="I14009" t="s">
        <v>10408</v>
      </c>
      <c r="J14009" t="s">
        <v>38373</v>
      </c>
      <c r="K14009" t="s">
        <v>38533</v>
      </c>
      <c r="M14009" t="s">
        <v>41166</v>
      </c>
      <c r="N14009" t="s">
        <v>42669</v>
      </c>
      <c r="O14009" t="s">
        <v>42670</v>
      </c>
      <c r="Q14009">
        <v>15</v>
      </c>
      <c r="R14009" t="s">
        <v>42724</v>
      </c>
      <c r="S14009" t="s">
        <v>44186</v>
      </c>
      <c r="T14009" t="s">
        <v>44357</v>
      </c>
      <c r="U14009" t="s">
        <v>56181</v>
      </c>
      <c r="W14009" t="s">
        <v>41166</v>
      </c>
      <c r="X14009" t="s">
        <v>42722</v>
      </c>
    </row>
    <row r="14010" spans="1:24">
      <c r="A14010">
        <f>HYPERLINK("https://www.philgeps.gov.ph/GEPSNONPILOT/Tender/SplashBidNoticeAbstractUI.aspx?menuIndex=3&amp;refID=7073382&amp;Result=3","7073382")</f>
        <v>0</v>
      </c>
      <c r="B14010" t="s">
        <v>278</v>
      </c>
      <c r="C14010" t="s">
        <v>16953</v>
      </c>
      <c r="D14010" t="s">
        <v>17206</v>
      </c>
      <c r="E14010" t="s">
        <v>29191</v>
      </c>
      <c r="F14010" t="s">
        <v>29372</v>
      </c>
      <c r="G14010" t="s">
        <v>29380</v>
      </c>
      <c r="H14010" t="s">
        <v>11048</v>
      </c>
      <c r="I14010" t="s">
        <v>29423</v>
      </c>
      <c r="J14010" t="s">
        <v>30056</v>
      </c>
      <c r="K14010" t="s">
        <v>38495</v>
      </c>
      <c r="M14010" t="s">
        <v>39138</v>
      </c>
      <c r="N14010" t="s">
        <v>42669</v>
      </c>
      <c r="O14010" t="s">
        <v>42670</v>
      </c>
      <c r="Q14010">
        <v>14</v>
      </c>
      <c r="R14010" t="s">
        <v>42724</v>
      </c>
      <c r="S14010" t="s">
        <v>44095</v>
      </c>
      <c r="T14010" t="s">
        <v>44554</v>
      </c>
      <c r="U14010" t="s">
        <v>56182</v>
      </c>
      <c r="W14010" t="s">
        <v>39138</v>
      </c>
      <c r="X14010" t="s">
        <v>42722</v>
      </c>
    </row>
    <row r="14011" spans="1:24">
      <c r="A14011">
        <f>HYPERLINK("https://www.philgeps.gov.ph/GEPSNONPILOT/Tender/SplashBidNoticeAbstractUI.aspx?menuIndex=3&amp;refID=7073304&amp;Result=3","7073304")</f>
        <v>0</v>
      </c>
      <c r="B14011" t="s">
        <v>2248</v>
      </c>
      <c r="C14011" t="s">
        <v>16954</v>
      </c>
      <c r="D14011" t="s">
        <v>17154</v>
      </c>
      <c r="E14011" t="s">
        <v>29192</v>
      </c>
      <c r="F14011" t="s">
        <v>29372</v>
      </c>
      <c r="G14011" t="s">
        <v>29380</v>
      </c>
      <c r="H14011" t="s">
        <v>29389</v>
      </c>
      <c r="I14011" t="s">
        <v>10408</v>
      </c>
      <c r="J14011" t="s">
        <v>38374</v>
      </c>
      <c r="K14011" t="s">
        <v>38526</v>
      </c>
      <c r="M14011" t="s">
        <v>41166</v>
      </c>
      <c r="N14011" t="s">
        <v>42669</v>
      </c>
      <c r="O14011" t="s">
        <v>42670</v>
      </c>
      <c r="Q14011">
        <v>24</v>
      </c>
      <c r="R14011" t="s">
        <v>42724</v>
      </c>
      <c r="S14011" t="s">
        <v>44187</v>
      </c>
      <c r="T14011" t="s">
        <v>44357</v>
      </c>
      <c r="U14011" t="s">
        <v>56183</v>
      </c>
      <c r="W14011" t="s">
        <v>41166</v>
      </c>
      <c r="X14011" t="s">
        <v>42722</v>
      </c>
    </row>
    <row r="14012" spans="1:24">
      <c r="A14012">
        <f>HYPERLINK("https://www.philgeps.gov.ph/GEPSNONPILOT/Tender/SplashBidNoticeAbstractUI.aspx?menuIndex=3&amp;refID=7073934&amp;Result=3","7073934")</f>
        <v>0</v>
      </c>
      <c r="B14012" t="s">
        <v>2248</v>
      </c>
      <c r="C14012" t="s">
        <v>16955</v>
      </c>
      <c r="D14012" t="s">
        <v>17154</v>
      </c>
      <c r="E14012" t="s">
        <v>29193</v>
      </c>
      <c r="F14012" t="s">
        <v>29372</v>
      </c>
      <c r="G14012" t="s">
        <v>29380</v>
      </c>
      <c r="H14012" t="s">
        <v>29389</v>
      </c>
      <c r="I14012" t="s">
        <v>10408</v>
      </c>
      <c r="J14012" t="s">
        <v>38375</v>
      </c>
      <c r="K14012" t="s">
        <v>38598</v>
      </c>
      <c r="M14012" t="s">
        <v>41166</v>
      </c>
      <c r="N14012" t="s">
        <v>42669</v>
      </c>
      <c r="O14012" t="s">
        <v>42670</v>
      </c>
      <c r="Q14012">
        <v>14</v>
      </c>
      <c r="R14012" t="s">
        <v>42724</v>
      </c>
      <c r="S14012" t="s">
        <v>44188</v>
      </c>
      <c r="T14012" t="s">
        <v>44357</v>
      </c>
      <c r="U14012" t="s">
        <v>56184</v>
      </c>
      <c r="W14012" t="s">
        <v>41166</v>
      </c>
      <c r="X14012" t="s">
        <v>42722</v>
      </c>
    </row>
    <row r="14013" spans="1:24">
      <c r="A14013">
        <f>HYPERLINK("https://www.philgeps.gov.ph/GEPSNONPILOT/Tender/SplashBidNoticeAbstractUI.aspx?menuIndex=3&amp;refID=7073478&amp;Result=3","7073478")</f>
        <v>0</v>
      </c>
      <c r="B14013" t="s">
        <v>2248</v>
      </c>
      <c r="C14013" t="s">
        <v>16956</v>
      </c>
      <c r="D14013" t="s">
        <v>17154</v>
      </c>
      <c r="E14013" t="s">
        <v>29194</v>
      </c>
      <c r="F14013" t="s">
        <v>29372</v>
      </c>
      <c r="G14013" t="s">
        <v>29380</v>
      </c>
      <c r="H14013" t="s">
        <v>29389</v>
      </c>
      <c r="I14013" t="s">
        <v>10408</v>
      </c>
      <c r="J14013" t="s">
        <v>38376</v>
      </c>
      <c r="K14013" t="s">
        <v>38564</v>
      </c>
      <c r="M14013" t="s">
        <v>41166</v>
      </c>
      <c r="N14013" t="s">
        <v>42669</v>
      </c>
      <c r="O14013" t="s">
        <v>42670</v>
      </c>
      <c r="Q14013">
        <v>6</v>
      </c>
      <c r="R14013" t="s">
        <v>42724</v>
      </c>
      <c r="S14013" t="s">
        <v>44189</v>
      </c>
      <c r="T14013" t="s">
        <v>44357</v>
      </c>
      <c r="U14013" t="s">
        <v>56180</v>
      </c>
      <c r="W14013" t="s">
        <v>41166</v>
      </c>
      <c r="X14013" t="s">
        <v>42722</v>
      </c>
    </row>
    <row r="14014" spans="1:24">
      <c r="A14014">
        <f>HYPERLINK("https://www.philgeps.gov.ph/GEPSNONPILOT/Tender/SplashBidNoticeAbstractUI.aspx?menuIndex=3&amp;refID=7074205&amp;Result=3","7074205")</f>
        <v>0</v>
      </c>
      <c r="B14014" t="s">
        <v>2248</v>
      </c>
      <c r="C14014" t="s">
        <v>16957</v>
      </c>
      <c r="D14014" t="s">
        <v>17154</v>
      </c>
      <c r="E14014" t="s">
        <v>29195</v>
      </c>
      <c r="F14014" t="s">
        <v>29372</v>
      </c>
      <c r="G14014" t="s">
        <v>29380</v>
      </c>
      <c r="H14014" t="s">
        <v>29389</v>
      </c>
      <c r="I14014" t="s">
        <v>10408</v>
      </c>
      <c r="J14014" t="s">
        <v>38377</v>
      </c>
      <c r="K14014" t="s">
        <v>38526</v>
      </c>
      <c r="M14014" t="s">
        <v>41166</v>
      </c>
      <c r="N14014" t="s">
        <v>42669</v>
      </c>
      <c r="O14014" t="s">
        <v>42670</v>
      </c>
      <c r="Q14014">
        <v>11</v>
      </c>
      <c r="R14014" t="s">
        <v>42724</v>
      </c>
      <c r="S14014" t="s">
        <v>44190</v>
      </c>
      <c r="T14014" t="s">
        <v>44357</v>
      </c>
      <c r="U14014" t="s">
        <v>56184</v>
      </c>
      <c r="W14014" t="s">
        <v>41166</v>
      </c>
      <c r="X14014" t="s">
        <v>42722</v>
      </c>
    </row>
    <row r="14015" spans="1:24">
      <c r="A14015">
        <f>HYPERLINK("https://www.philgeps.gov.ph/GEPSNONPILOT/Tender/SplashBidNoticeAbstractUI.aspx?menuIndex=3&amp;refID=7050833&amp;Result=3","7050833")</f>
        <v>0</v>
      </c>
      <c r="B14015" t="s">
        <v>2468</v>
      </c>
      <c r="C14015" t="s">
        <v>16958</v>
      </c>
      <c r="E14015" t="s">
        <v>29196</v>
      </c>
      <c r="F14015" t="s">
        <v>29372</v>
      </c>
      <c r="G14015" t="s">
        <v>29380</v>
      </c>
      <c r="H14015" t="s">
        <v>11048</v>
      </c>
      <c r="I14015" t="s">
        <v>3952</v>
      </c>
      <c r="J14015" t="s">
        <v>29823</v>
      </c>
      <c r="K14015" t="s">
        <v>38490</v>
      </c>
      <c r="M14015" t="s">
        <v>41417</v>
      </c>
      <c r="N14015" t="s">
        <v>42669</v>
      </c>
      <c r="O14015" t="s">
        <v>42670</v>
      </c>
      <c r="Q14015">
        <v>3</v>
      </c>
      <c r="R14015" t="s">
        <v>42720</v>
      </c>
      <c r="S14015" t="s">
        <v>44191</v>
      </c>
      <c r="T14015" t="s">
        <v>44554</v>
      </c>
      <c r="U14015" t="s">
        <v>56185</v>
      </c>
      <c r="V14015" t="s">
        <v>57977</v>
      </c>
      <c r="W14015" t="s">
        <v>41417</v>
      </c>
      <c r="X14015" t="s">
        <v>42738</v>
      </c>
    </row>
    <row r="14016" spans="1:24">
      <c r="A14016">
        <f>HYPERLINK("https://www.philgeps.gov.ph/GEPSNONPILOT/Tender/SplashBidNoticeAbstractUI.aspx?menuIndex=3&amp;refID=7074093&amp;Result=3","7074093")</f>
        <v>0</v>
      </c>
      <c r="B14016" t="s">
        <v>2248</v>
      </c>
      <c r="C14016" t="s">
        <v>16959</v>
      </c>
      <c r="D14016" t="s">
        <v>17154</v>
      </c>
      <c r="E14016" t="s">
        <v>29197</v>
      </c>
      <c r="F14016" t="s">
        <v>29372</v>
      </c>
      <c r="G14016" t="s">
        <v>29380</v>
      </c>
      <c r="H14016" t="s">
        <v>29389</v>
      </c>
      <c r="I14016" t="s">
        <v>10408</v>
      </c>
      <c r="J14016" t="s">
        <v>38378</v>
      </c>
      <c r="K14016" t="s">
        <v>38523</v>
      </c>
      <c r="M14016" t="s">
        <v>41166</v>
      </c>
      <c r="N14016" t="s">
        <v>42669</v>
      </c>
      <c r="O14016" t="s">
        <v>42670</v>
      </c>
      <c r="Q14016">
        <v>8</v>
      </c>
      <c r="R14016" t="s">
        <v>42724</v>
      </c>
      <c r="S14016" t="s">
        <v>44192</v>
      </c>
      <c r="T14016" t="s">
        <v>44357</v>
      </c>
      <c r="U14016" t="s">
        <v>56183</v>
      </c>
      <c r="W14016" t="s">
        <v>41166</v>
      </c>
      <c r="X14016" t="s">
        <v>42722</v>
      </c>
    </row>
    <row r="14017" spans="1:24">
      <c r="A14017">
        <f>HYPERLINK("https://www.philgeps.gov.ph/GEPSNONPILOT/Tender/SplashBidNoticeAbstractUI.aspx?menuIndex=3&amp;refID=7060291&amp;Result=3","7060291")</f>
        <v>0</v>
      </c>
      <c r="B14017" t="s">
        <v>1091</v>
      </c>
      <c r="C14017" t="s">
        <v>16960</v>
      </c>
      <c r="D14017" t="s">
        <v>17141</v>
      </c>
      <c r="E14017" t="s">
        <v>29198</v>
      </c>
      <c r="F14017" t="s">
        <v>29372</v>
      </c>
      <c r="G14017" t="s">
        <v>29380</v>
      </c>
      <c r="H14017" t="s">
        <v>11048</v>
      </c>
      <c r="I14017" t="s">
        <v>29395</v>
      </c>
      <c r="J14017" t="s">
        <v>38379</v>
      </c>
      <c r="K14017" t="s">
        <v>38488</v>
      </c>
      <c r="M14017" t="s">
        <v>39898</v>
      </c>
      <c r="N14017" t="s">
        <v>42669</v>
      </c>
      <c r="O14017" t="s">
        <v>42670</v>
      </c>
      <c r="Q14017">
        <v>16</v>
      </c>
      <c r="R14017" t="s">
        <v>42725</v>
      </c>
      <c r="S14017" t="s">
        <v>44193</v>
      </c>
      <c r="T14017" t="s">
        <v>44480</v>
      </c>
      <c r="U14017" t="s">
        <v>56186</v>
      </c>
      <c r="W14017" t="s">
        <v>39898</v>
      </c>
      <c r="X14017" t="s">
        <v>58153</v>
      </c>
    </row>
    <row r="14018" spans="1:24">
      <c r="A14018">
        <f>HYPERLINK("https://www.philgeps.gov.ph/GEPSNONPILOT/Tender/SplashBidNoticeAbstractUI.aspx?menuIndex=3&amp;refID=7078338&amp;Result=3","7078338")</f>
        <v>0</v>
      </c>
      <c r="B14018" t="s">
        <v>928</v>
      </c>
      <c r="C14018" t="s">
        <v>16961</v>
      </c>
      <c r="D14018" t="s">
        <v>17141</v>
      </c>
      <c r="E14018" t="s">
        <v>29199</v>
      </c>
      <c r="F14018" t="s">
        <v>29372</v>
      </c>
      <c r="G14018" t="s">
        <v>29380</v>
      </c>
      <c r="H14018" t="s">
        <v>29389</v>
      </c>
      <c r="I14018" t="s">
        <v>29450</v>
      </c>
      <c r="J14018" t="s">
        <v>38380</v>
      </c>
      <c r="K14018" t="s">
        <v>38564</v>
      </c>
      <c r="M14018" t="s">
        <v>42648</v>
      </c>
      <c r="N14018" t="s">
        <v>42669</v>
      </c>
      <c r="O14018" t="s">
        <v>42670</v>
      </c>
      <c r="Q14018">
        <v>15</v>
      </c>
      <c r="R14018" t="s">
        <v>42718</v>
      </c>
      <c r="S14018" t="s">
        <v>44194</v>
      </c>
      <c r="T14018" t="s">
        <v>44496</v>
      </c>
      <c r="U14018" t="s">
        <v>56187</v>
      </c>
      <c r="W14018" t="s">
        <v>42648</v>
      </c>
      <c r="X14018" t="s">
        <v>42724</v>
      </c>
    </row>
    <row r="14019" spans="1:24">
      <c r="A14019">
        <f>HYPERLINK("https://www.philgeps.gov.ph/GEPSNONPILOT/Tender/SplashBidNoticeAbstractUI.aspx?menuIndex=3&amp;refID=7062707&amp;Result=3","7062707")</f>
        <v>0</v>
      </c>
      <c r="B14019" t="s">
        <v>2017</v>
      </c>
      <c r="C14019" t="s">
        <v>16962</v>
      </c>
      <c r="D14019" t="s">
        <v>17228</v>
      </c>
      <c r="E14019" t="s">
        <v>29200</v>
      </c>
      <c r="F14019" t="s">
        <v>29372</v>
      </c>
      <c r="G14019" t="s">
        <v>29380</v>
      </c>
      <c r="H14019" t="s">
        <v>29389</v>
      </c>
      <c r="I14019" t="s">
        <v>10408</v>
      </c>
      <c r="J14019" t="s">
        <v>37239</v>
      </c>
      <c r="K14019" t="s">
        <v>38741</v>
      </c>
      <c r="M14019" t="s">
        <v>40909</v>
      </c>
      <c r="N14019" t="s">
        <v>42669</v>
      </c>
      <c r="O14019" t="s">
        <v>42670</v>
      </c>
      <c r="Q14019">
        <v>16</v>
      </c>
      <c r="R14019" t="s">
        <v>42726</v>
      </c>
      <c r="S14019" t="s">
        <v>44195</v>
      </c>
      <c r="T14019" t="s">
        <v>44470</v>
      </c>
      <c r="U14019" t="s">
        <v>56188</v>
      </c>
      <c r="W14019" t="s">
        <v>40909</v>
      </c>
      <c r="X14019" t="s">
        <v>42725</v>
      </c>
    </row>
    <row r="14020" spans="1:24">
      <c r="A14020">
        <f>HYPERLINK("https://www.philgeps.gov.ph/GEPSNONPILOT/Tender/SplashBidNoticeAbstractUI.aspx?menuIndex=3&amp;refID=7062699&amp;Result=3","7062699")</f>
        <v>0</v>
      </c>
      <c r="B14020" t="s">
        <v>2017</v>
      </c>
      <c r="C14020" t="s">
        <v>16963</v>
      </c>
      <c r="D14020" t="s">
        <v>17228</v>
      </c>
      <c r="E14020" t="s">
        <v>29201</v>
      </c>
      <c r="F14020" t="s">
        <v>29372</v>
      </c>
      <c r="G14020" t="s">
        <v>29380</v>
      </c>
      <c r="H14020" t="s">
        <v>29389</v>
      </c>
      <c r="I14020" t="s">
        <v>10408</v>
      </c>
      <c r="J14020" t="s">
        <v>37239</v>
      </c>
      <c r="K14020" t="s">
        <v>38741</v>
      </c>
      <c r="M14020" t="s">
        <v>40909</v>
      </c>
      <c r="N14020" t="s">
        <v>42669</v>
      </c>
      <c r="O14020" t="s">
        <v>42670</v>
      </c>
      <c r="Q14020">
        <v>17</v>
      </c>
      <c r="R14020" t="s">
        <v>42726</v>
      </c>
      <c r="S14020" t="s">
        <v>44196</v>
      </c>
      <c r="T14020" t="s">
        <v>44401</v>
      </c>
      <c r="U14020" t="s">
        <v>56189</v>
      </c>
      <c r="W14020" t="s">
        <v>40909</v>
      </c>
      <c r="X14020" t="s">
        <v>42725</v>
      </c>
    </row>
    <row r="14021" spans="1:24">
      <c r="A14021">
        <f>HYPERLINK("https://www.philgeps.gov.ph/GEPSNONPILOT/Tender/SplashBidNoticeAbstractUI.aspx?menuIndex=3&amp;refID=7084957&amp;Result=3","7084957")</f>
        <v>0</v>
      </c>
      <c r="B14021" t="s">
        <v>808</v>
      </c>
      <c r="C14021" t="s">
        <v>16964</v>
      </c>
      <c r="E14021" t="s">
        <v>29202</v>
      </c>
      <c r="F14021" t="s">
        <v>29372</v>
      </c>
      <c r="G14021" t="s">
        <v>29379</v>
      </c>
      <c r="H14021" t="s">
        <v>11048</v>
      </c>
      <c r="I14021" t="s">
        <v>3839</v>
      </c>
      <c r="J14021" t="s">
        <v>29526</v>
      </c>
      <c r="K14021" t="s">
        <v>38488</v>
      </c>
      <c r="M14021" t="s">
        <v>39594</v>
      </c>
      <c r="N14021" t="s">
        <v>42669</v>
      </c>
      <c r="O14021" t="s">
        <v>42670</v>
      </c>
      <c r="Q14021">
        <v>11</v>
      </c>
      <c r="R14021" t="s">
        <v>42727</v>
      </c>
      <c r="S14021" t="s">
        <v>44197</v>
      </c>
      <c r="T14021" t="s">
        <v>44470</v>
      </c>
      <c r="U14021" t="s">
        <v>56190</v>
      </c>
      <c r="V14021" t="s">
        <v>57978</v>
      </c>
      <c r="W14021" t="s">
        <v>39594</v>
      </c>
      <c r="X14021" t="s">
        <v>42720</v>
      </c>
    </row>
    <row r="14022" spans="1:24">
      <c r="A14022">
        <f>HYPERLINK("https://www.philgeps.gov.ph/GEPSNONPILOT/Tender/SplashBidNoticeAbstractUI.aspx?menuIndex=3&amp;refID=7062694&amp;Result=3","7062694")</f>
        <v>0</v>
      </c>
      <c r="B14022" t="s">
        <v>2017</v>
      </c>
      <c r="C14022" t="s">
        <v>16965</v>
      </c>
      <c r="D14022" t="s">
        <v>17228</v>
      </c>
      <c r="E14022" t="s">
        <v>29203</v>
      </c>
      <c r="F14022" t="s">
        <v>29372</v>
      </c>
      <c r="G14022" t="s">
        <v>29380</v>
      </c>
      <c r="H14022" t="s">
        <v>29389</v>
      </c>
      <c r="I14022" t="s">
        <v>10408</v>
      </c>
      <c r="J14022" t="s">
        <v>38381</v>
      </c>
      <c r="K14022" t="s">
        <v>38769</v>
      </c>
      <c r="M14022" t="s">
        <v>40909</v>
      </c>
      <c r="N14022" t="s">
        <v>42669</v>
      </c>
      <c r="O14022" t="s">
        <v>42670</v>
      </c>
      <c r="Q14022">
        <v>15</v>
      </c>
      <c r="R14022" t="s">
        <v>42726</v>
      </c>
      <c r="S14022" t="s">
        <v>44198</v>
      </c>
      <c r="T14022" t="s">
        <v>44470</v>
      </c>
      <c r="U14022" t="s">
        <v>56191</v>
      </c>
      <c r="W14022" t="s">
        <v>40909</v>
      </c>
      <c r="X14022" t="s">
        <v>42725</v>
      </c>
    </row>
    <row r="14023" spans="1:24">
      <c r="A14023">
        <f>HYPERLINK("https://www.philgeps.gov.ph/GEPSNONPILOT/Tender/SplashBidNoticeAbstractUI.aspx?menuIndex=3&amp;refID=7078388&amp;Result=3","7078388")</f>
        <v>0</v>
      </c>
      <c r="B14023" t="s">
        <v>928</v>
      </c>
      <c r="C14023" t="s">
        <v>16966</v>
      </c>
      <c r="D14023" t="s">
        <v>17141</v>
      </c>
      <c r="E14023" t="s">
        <v>29204</v>
      </c>
      <c r="F14023" t="s">
        <v>29372</v>
      </c>
      <c r="G14023" t="s">
        <v>29380</v>
      </c>
      <c r="H14023" t="s">
        <v>29389</v>
      </c>
      <c r="I14023" t="s">
        <v>10408</v>
      </c>
      <c r="J14023" t="s">
        <v>38382</v>
      </c>
      <c r="K14023" t="s">
        <v>38522</v>
      </c>
      <c r="M14023" t="s">
        <v>42648</v>
      </c>
      <c r="N14023" t="s">
        <v>42669</v>
      </c>
      <c r="O14023" t="s">
        <v>42670</v>
      </c>
      <c r="Q14023">
        <v>18</v>
      </c>
      <c r="R14023" t="s">
        <v>42718</v>
      </c>
      <c r="S14023" t="s">
        <v>44199</v>
      </c>
      <c r="T14023" t="s">
        <v>44496</v>
      </c>
      <c r="U14023" t="s">
        <v>56187</v>
      </c>
      <c r="W14023" t="s">
        <v>42648</v>
      </c>
      <c r="X14023" t="s">
        <v>42724</v>
      </c>
    </row>
    <row r="14024" spans="1:24">
      <c r="A14024">
        <f>HYPERLINK("https://www.philgeps.gov.ph/GEPSNONPILOT/Tender/SplashBidNoticeAbstractUI.aspx?menuIndex=3&amp;refID=7078741&amp;Result=3","7078741")</f>
        <v>0</v>
      </c>
      <c r="B14024" t="s">
        <v>1246</v>
      </c>
      <c r="C14024" t="s">
        <v>16967</v>
      </c>
      <c r="D14024" t="s">
        <v>17141</v>
      </c>
      <c r="E14024" t="s">
        <v>29205</v>
      </c>
      <c r="F14024" t="s">
        <v>29372</v>
      </c>
      <c r="G14024" t="s">
        <v>29379</v>
      </c>
      <c r="H14024" t="s">
        <v>11048</v>
      </c>
      <c r="I14024" t="s">
        <v>29462</v>
      </c>
      <c r="J14024" t="s">
        <v>34503</v>
      </c>
      <c r="K14024" t="s">
        <v>38485</v>
      </c>
      <c r="M14024" t="s">
        <v>40071</v>
      </c>
      <c r="N14024" t="s">
        <v>42669</v>
      </c>
      <c r="O14024" t="s">
        <v>42670</v>
      </c>
      <c r="Q14024">
        <v>2</v>
      </c>
      <c r="R14024" t="s">
        <v>42718</v>
      </c>
      <c r="S14024" t="s">
        <v>44200</v>
      </c>
      <c r="T14024" t="s">
        <v>44427</v>
      </c>
      <c r="U14024" t="s">
        <v>56192</v>
      </c>
      <c r="W14024" t="s">
        <v>40071</v>
      </c>
      <c r="X14024" t="s">
        <v>42724</v>
      </c>
    </row>
    <row r="14025" spans="1:24">
      <c r="A14025">
        <f>HYPERLINK("https://www.philgeps.gov.ph/GEPSNONPILOT/Tender/SplashBidNoticeAbstractUI.aspx?menuIndex=3&amp;refID=7060123&amp;Result=3","7060123")</f>
        <v>0</v>
      </c>
      <c r="B14025" t="s">
        <v>1965</v>
      </c>
      <c r="C14025" t="s">
        <v>16968</v>
      </c>
      <c r="D14025" t="s">
        <v>17141</v>
      </c>
      <c r="E14025" t="s">
        <v>29206</v>
      </c>
      <c r="F14025" t="s">
        <v>29372</v>
      </c>
      <c r="G14025" t="s">
        <v>29380</v>
      </c>
      <c r="H14025" t="s">
        <v>11048</v>
      </c>
      <c r="I14025" t="s">
        <v>8614</v>
      </c>
      <c r="J14025" t="s">
        <v>29801</v>
      </c>
      <c r="K14025" t="s">
        <v>38490</v>
      </c>
      <c r="M14025" t="s">
        <v>42308</v>
      </c>
      <c r="N14025" t="s">
        <v>42669</v>
      </c>
      <c r="O14025" t="s">
        <v>42670</v>
      </c>
      <c r="Q14025">
        <v>21</v>
      </c>
      <c r="R14025" t="s">
        <v>42725</v>
      </c>
      <c r="S14025" t="s">
        <v>44201</v>
      </c>
      <c r="T14025" t="s">
        <v>44427</v>
      </c>
      <c r="U14025" t="s">
        <v>56193</v>
      </c>
      <c r="W14025" t="s">
        <v>42308</v>
      </c>
      <c r="X14025" t="s">
        <v>58153</v>
      </c>
    </row>
    <row r="14026" spans="1:24">
      <c r="A14026">
        <f>HYPERLINK("https://www.philgeps.gov.ph/GEPSNONPILOT/Tender/SplashBidNoticeAbstractUI.aspx?menuIndex=3&amp;refID=7062721&amp;Result=3","7062721")</f>
        <v>0</v>
      </c>
      <c r="B14026" t="s">
        <v>2017</v>
      </c>
      <c r="C14026" t="s">
        <v>16969</v>
      </c>
      <c r="D14026" t="s">
        <v>17228</v>
      </c>
      <c r="E14026" t="s">
        <v>29207</v>
      </c>
      <c r="F14026" t="s">
        <v>29372</v>
      </c>
      <c r="G14026" t="s">
        <v>29380</v>
      </c>
      <c r="H14026" t="s">
        <v>29389</v>
      </c>
      <c r="I14026" t="s">
        <v>10408</v>
      </c>
      <c r="J14026" t="s">
        <v>37239</v>
      </c>
      <c r="K14026" t="s">
        <v>38741</v>
      </c>
      <c r="M14026" t="s">
        <v>40909</v>
      </c>
      <c r="N14026" t="s">
        <v>42669</v>
      </c>
      <c r="O14026" t="s">
        <v>42670</v>
      </c>
      <c r="Q14026">
        <v>15</v>
      </c>
      <c r="R14026" t="s">
        <v>42726</v>
      </c>
      <c r="S14026" t="s">
        <v>44202</v>
      </c>
      <c r="T14026" t="s">
        <v>44470</v>
      </c>
      <c r="U14026" t="s">
        <v>56194</v>
      </c>
      <c r="W14026" t="s">
        <v>40909</v>
      </c>
      <c r="X14026" t="s">
        <v>42725</v>
      </c>
    </row>
    <row r="14027" spans="1:24">
      <c r="A14027">
        <f>HYPERLINK("https://www.philgeps.gov.ph/GEPSNONPILOT/Tender/SplashBidNoticeAbstractUI.aspx?menuIndex=3&amp;refID=7062607&amp;Result=3","7062607")</f>
        <v>0</v>
      </c>
      <c r="B14027" t="s">
        <v>2017</v>
      </c>
      <c r="C14027" t="s">
        <v>16970</v>
      </c>
      <c r="D14027" t="s">
        <v>17228</v>
      </c>
      <c r="E14027" t="s">
        <v>29208</v>
      </c>
      <c r="F14027" t="s">
        <v>29372</v>
      </c>
      <c r="G14027" t="s">
        <v>29380</v>
      </c>
      <c r="H14027" t="s">
        <v>29389</v>
      </c>
      <c r="I14027" t="s">
        <v>10408</v>
      </c>
      <c r="J14027" t="s">
        <v>31872</v>
      </c>
      <c r="K14027" t="s">
        <v>38770</v>
      </c>
      <c r="M14027" t="s">
        <v>40909</v>
      </c>
      <c r="N14027" t="s">
        <v>42669</v>
      </c>
      <c r="O14027" t="s">
        <v>42670</v>
      </c>
      <c r="Q14027">
        <v>11</v>
      </c>
      <c r="R14027" t="s">
        <v>42726</v>
      </c>
      <c r="S14027" t="s">
        <v>44203</v>
      </c>
      <c r="T14027" t="s">
        <v>44470</v>
      </c>
      <c r="U14027" t="s">
        <v>56195</v>
      </c>
      <c r="W14027" t="s">
        <v>40909</v>
      </c>
      <c r="X14027" t="s">
        <v>42725</v>
      </c>
    </row>
    <row r="14028" spans="1:24">
      <c r="A14028">
        <f>HYPERLINK("https://www.philgeps.gov.ph/GEPSNONPILOT/Tender/SplashBidNoticeAbstractUI.aspx?menuIndex=3&amp;refID=7062617&amp;Result=3","7062617")</f>
        <v>0</v>
      </c>
      <c r="B14028" t="s">
        <v>2017</v>
      </c>
      <c r="C14028" t="s">
        <v>16971</v>
      </c>
      <c r="D14028" t="s">
        <v>17228</v>
      </c>
      <c r="E14028" t="s">
        <v>29209</v>
      </c>
      <c r="F14028" t="s">
        <v>29372</v>
      </c>
      <c r="G14028" t="s">
        <v>29380</v>
      </c>
      <c r="H14028" t="s">
        <v>29389</v>
      </c>
      <c r="I14028" t="s">
        <v>10408</v>
      </c>
      <c r="J14028" t="s">
        <v>38069</v>
      </c>
      <c r="K14028" t="s">
        <v>38709</v>
      </c>
      <c r="M14028" t="s">
        <v>40909</v>
      </c>
      <c r="N14028" t="s">
        <v>42669</v>
      </c>
      <c r="O14028" t="s">
        <v>42670</v>
      </c>
      <c r="Q14028">
        <v>14</v>
      </c>
      <c r="R14028" t="s">
        <v>42726</v>
      </c>
      <c r="S14028" t="s">
        <v>44010</v>
      </c>
      <c r="T14028" t="s">
        <v>44470</v>
      </c>
      <c r="U14028" t="s">
        <v>56196</v>
      </c>
      <c r="V14028" t="s">
        <v>57979</v>
      </c>
      <c r="W14028" t="s">
        <v>40909</v>
      </c>
      <c r="X14028" t="s">
        <v>42725</v>
      </c>
    </row>
    <row r="14029" spans="1:24">
      <c r="A14029">
        <f>HYPERLINK("https://www.philgeps.gov.ph/GEPSNONPILOT/Tender/SplashBidNoticeAbstractUI.aspx?menuIndex=3&amp;refID=7062407&amp;Result=3","7062407")</f>
        <v>0</v>
      </c>
      <c r="B14029" t="s">
        <v>2017</v>
      </c>
      <c r="C14029" t="s">
        <v>16972</v>
      </c>
      <c r="D14029" t="s">
        <v>17228</v>
      </c>
      <c r="E14029" t="s">
        <v>29210</v>
      </c>
      <c r="F14029" t="s">
        <v>29372</v>
      </c>
      <c r="G14029" t="s">
        <v>29380</v>
      </c>
      <c r="H14029" t="s">
        <v>29389</v>
      </c>
      <c r="I14029" t="s">
        <v>10408</v>
      </c>
      <c r="J14029" t="s">
        <v>38069</v>
      </c>
      <c r="K14029" t="s">
        <v>38709</v>
      </c>
      <c r="M14029" t="s">
        <v>40909</v>
      </c>
      <c r="N14029" t="s">
        <v>42669</v>
      </c>
      <c r="O14029" t="s">
        <v>42670</v>
      </c>
      <c r="Q14029">
        <v>12</v>
      </c>
      <c r="R14029" t="s">
        <v>42726</v>
      </c>
      <c r="S14029" t="s">
        <v>44204</v>
      </c>
      <c r="T14029" t="s">
        <v>44401</v>
      </c>
      <c r="U14029" t="s">
        <v>56197</v>
      </c>
      <c r="W14029" t="s">
        <v>40909</v>
      </c>
      <c r="X14029" t="s">
        <v>42725</v>
      </c>
    </row>
    <row r="14030" spans="1:24">
      <c r="A14030">
        <f>HYPERLINK("https://www.philgeps.gov.ph/GEPSNONPILOT/Tender/SplashBidNoticeAbstractUI.aspx?menuIndex=3&amp;refID=7062352&amp;Result=3","7062352")</f>
        <v>0</v>
      </c>
      <c r="B14030" t="s">
        <v>2017</v>
      </c>
      <c r="C14030" t="s">
        <v>16973</v>
      </c>
      <c r="D14030" t="s">
        <v>17228</v>
      </c>
      <c r="E14030" t="s">
        <v>29211</v>
      </c>
      <c r="F14030" t="s">
        <v>29372</v>
      </c>
      <c r="G14030" t="s">
        <v>29380</v>
      </c>
      <c r="H14030" t="s">
        <v>29389</v>
      </c>
      <c r="I14030" t="s">
        <v>10408</v>
      </c>
      <c r="J14030" t="s">
        <v>38069</v>
      </c>
      <c r="K14030" t="s">
        <v>38709</v>
      </c>
      <c r="M14030" t="s">
        <v>40909</v>
      </c>
      <c r="N14030" t="s">
        <v>42669</v>
      </c>
      <c r="O14030" t="s">
        <v>42670</v>
      </c>
      <c r="Q14030">
        <v>13</v>
      </c>
      <c r="R14030" t="s">
        <v>42726</v>
      </c>
      <c r="S14030" t="s">
        <v>44205</v>
      </c>
      <c r="T14030" t="s">
        <v>44401</v>
      </c>
      <c r="U14030" t="s">
        <v>56198</v>
      </c>
      <c r="W14030" t="s">
        <v>40909</v>
      </c>
      <c r="X14030" t="s">
        <v>42725</v>
      </c>
    </row>
    <row r="14031" spans="1:24">
      <c r="A14031">
        <f>HYPERLINK("https://www.philgeps.gov.ph/GEPSNONPILOT/Tender/SplashBidNoticeAbstractUI.aspx?menuIndex=3&amp;refID=7061990&amp;Result=3","7061990")</f>
        <v>0</v>
      </c>
      <c r="B14031" t="s">
        <v>413</v>
      </c>
      <c r="C14031" t="s">
        <v>16974</v>
      </c>
      <c r="D14031" t="s">
        <v>17141</v>
      </c>
      <c r="E14031" t="s">
        <v>29212</v>
      </c>
      <c r="F14031" t="s">
        <v>29372</v>
      </c>
      <c r="G14031" t="s">
        <v>29382</v>
      </c>
      <c r="H14031" t="s">
        <v>11048</v>
      </c>
      <c r="I14031" t="s">
        <v>29436</v>
      </c>
      <c r="J14031" t="s">
        <v>38383</v>
      </c>
      <c r="K14031" t="s">
        <v>38488</v>
      </c>
      <c r="M14031" t="s">
        <v>39708</v>
      </c>
      <c r="N14031" t="s">
        <v>42669</v>
      </c>
      <c r="O14031" t="s">
        <v>42670</v>
      </c>
      <c r="Q14031">
        <v>2</v>
      </c>
      <c r="R14031" t="s">
        <v>42726</v>
      </c>
      <c r="S14031" t="s">
        <v>44206</v>
      </c>
      <c r="T14031" t="s">
        <v>44491</v>
      </c>
      <c r="U14031" t="s">
        <v>46704</v>
      </c>
      <c r="V14031" t="s">
        <v>57052</v>
      </c>
      <c r="W14031" t="s">
        <v>39708</v>
      </c>
      <c r="X14031" t="s">
        <v>42725</v>
      </c>
    </row>
    <row r="14032" spans="1:24">
      <c r="A14032">
        <f>HYPERLINK("https://www.philgeps.gov.ph/GEPSNONPILOT/Tender/SplashBidNoticeAbstractUI.aspx?menuIndex=3&amp;refID=7062688&amp;Result=3","7062688")</f>
        <v>0</v>
      </c>
      <c r="B14032" t="s">
        <v>2017</v>
      </c>
      <c r="C14032" t="s">
        <v>16975</v>
      </c>
      <c r="D14032" t="s">
        <v>17228</v>
      </c>
      <c r="E14032" t="s">
        <v>29213</v>
      </c>
      <c r="F14032" t="s">
        <v>29372</v>
      </c>
      <c r="G14032" t="s">
        <v>29380</v>
      </c>
      <c r="H14032" t="s">
        <v>29389</v>
      </c>
      <c r="I14032" t="s">
        <v>10408</v>
      </c>
      <c r="J14032" t="s">
        <v>38069</v>
      </c>
      <c r="K14032" t="s">
        <v>38709</v>
      </c>
      <c r="M14032" t="s">
        <v>40909</v>
      </c>
      <c r="N14032" t="s">
        <v>42669</v>
      </c>
      <c r="O14032" t="s">
        <v>42670</v>
      </c>
      <c r="Q14032">
        <v>14</v>
      </c>
      <c r="R14032" t="s">
        <v>42726</v>
      </c>
      <c r="S14032" t="s">
        <v>44207</v>
      </c>
      <c r="T14032" t="s">
        <v>44470</v>
      </c>
      <c r="U14032" t="s">
        <v>56199</v>
      </c>
      <c r="W14032" t="s">
        <v>40909</v>
      </c>
      <c r="X14032" t="s">
        <v>42725</v>
      </c>
    </row>
    <row r="14033" spans="1:24">
      <c r="A14033">
        <f>HYPERLINK("https://www.philgeps.gov.ph/GEPSNONPILOT/Tender/SplashBidNoticeAbstractUI.aspx?menuIndex=3&amp;refID=7062591&amp;Result=3","7062591")</f>
        <v>0</v>
      </c>
      <c r="B14033" t="s">
        <v>2017</v>
      </c>
      <c r="C14033" t="s">
        <v>16976</v>
      </c>
      <c r="D14033" t="s">
        <v>17228</v>
      </c>
      <c r="E14033" t="s">
        <v>29214</v>
      </c>
      <c r="F14033" t="s">
        <v>29372</v>
      </c>
      <c r="G14033" t="s">
        <v>29380</v>
      </c>
      <c r="H14033" t="s">
        <v>29389</v>
      </c>
      <c r="I14033" t="s">
        <v>10408</v>
      </c>
      <c r="J14033" t="s">
        <v>38069</v>
      </c>
      <c r="K14033" t="s">
        <v>38709</v>
      </c>
      <c r="M14033" t="s">
        <v>40909</v>
      </c>
      <c r="N14033" t="s">
        <v>42669</v>
      </c>
      <c r="O14033" t="s">
        <v>42670</v>
      </c>
      <c r="Q14033">
        <v>11</v>
      </c>
      <c r="R14033" t="s">
        <v>42726</v>
      </c>
      <c r="S14033" t="s">
        <v>44208</v>
      </c>
      <c r="T14033" t="s">
        <v>44401</v>
      </c>
      <c r="U14033" t="s">
        <v>56200</v>
      </c>
      <c r="W14033" t="s">
        <v>40909</v>
      </c>
      <c r="X14033" t="s">
        <v>42725</v>
      </c>
    </row>
    <row r="14034" spans="1:24">
      <c r="A14034">
        <f>HYPERLINK("https://www.philgeps.gov.ph/GEPSNONPILOT/Tender/SplashBidNoticeAbstractUI.aspx?menuIndex=3&amp;refID=7062424&amp;Result=3","7062424")</f>
        <v>0</v>
      </c>
      <c r="B14034" t="s">
        <v>2017</v>
      </c>
      <c r="C14034" t="s">
        <v>16977</v>
      </c>
      <c r="D14034" t="s">
        <v>17228</v>
      </c>
      <c r="E14034" t="s">
        <v>29215</v>
      </c>
      <c r="F14034" t="s">
        <v>29372</v>
      </c>
      <c r="G14034" t="s">
        <v>29380</v>
      </c>
      <c r="H14034" t="s">
        <v>29389</v>
      </c>
      <c r="I14034" t="s">
        <v>10408</v>
      </c>
      <c r="J14034" t="s">
        <v>38069</v>
      </c>
      <c r="K14034" t="s">
        <v>38709</v>
      </c>
      <c r="M14034" t="s">
        <v>40909</v>
      </c>
      <c r="N14034" t="s">
        <v>42669</v>
      </c>
      <c r="O14034" t="s">
        <v>42670</v>
      </c>
      <c r="Q14034">
        <v>16</v>
      </c>
      <c r="R14034" t="s">
        <v>42726</v>
      </c>
      <c r="S14034" t="s">
        <v>44209</v>
      </c>
      <c r="T14034" t="s">
        <v>44401</v>
      </c>
      <c r="U14034" t="s">
        <v>56201</v>
      </c>
      <c r="W14034" t="s">
        <v>40909</v>
      </c>
      <c r="X14034" t="s">
        <v>42725</v>
      </c>
    </row>
    <row r="14035" spans="1:24">
      <c r="A14035">
        <f>HYPERLINK("https://www.philgeps.gov.ph/GEPSNONPILOT/Tender/SplashBidNoticeAbstractUI.aspx?menuIndex=3&amp;refID=7067435&amp;Result=3","7067435")</f>
        <v>0</v>
      </c>
      <c r="B14035" t="s">
        <v>3300</v>
      </c>
      <c r="C14035" t="s">
        <v>16978</v>
      </c>
      <c r="D14035" t="s">
        <v>17141</v>
      </c>
      <c r="E14035" t="s">
        <v>29216</v>
      </c>
      <c r="F14035" t="s">
        <v>29372</v>
      </c>
      <c r="G14035" t="s">
        <v>29380</v>
      </c>
      <c r="H14035" t="s">
        <v>11048</v>
      </c>
      <c r="I14035" t="s">
        <v>8614</v>
      </c>
      <c r="J14035" t="s">
        <v>38384</v>
      </c>
      <c r="K14035" t="s">
        <v>38506</v>
      </c>
      <c r="M14035" t="s">
        <v>42378</v>
      </c>
      <c r="N14035" t="s">
        <v>42669</v>
      </c>
      <c r="O14035" t="s">
        <v>42670</v>
      </c>
      <c r="Q14035">
        <v>24</v>
      </c>
      <c r="R14035" t="s">
        <v>42728</v>
      </c>
      <c r="S14035" t="s">
        <v>44210</v>
      </c>
      <c r="T14035" t="s">
        <v>44481</v>
      </c>
      <c r="U14035" t="s">
        <v>56202</v>
      </c>
      <c r="W14035" t="s">
        <v>42378</v>
      </c>
      <c r="X14035" t="s">
        <v>42733</v>
      </c>
    </row>
    <row r="14036" spans="1:24">
      <c r="A14036">
        <f>HYPERLINK("https://www.philgeps.gov.ph/GEPSNONPILOT/Tender/SplashBidNoticeAbstractUI.aspx?menuIndex=3&amp;refID=7071954&amp;Result=3","7071954")</f>
        <v>0</v>
      </c>
      <c r="B14036" t="s">
        <v>3083</v>
      </c>
      <c r="C14036" t="s">
        <v>16979</v>
      </c>
      <c r="D14036" t="s">
        <v>17142</v>
      </c>
      <c r="E14036" t="s">
        <v>29217</v>
      </c>
      <c r="F14036" t="s">
        <v>29372</v>
      </c>
      <c r="G14036" t="s">
        <v>29380</v>
      </c>
      <c r="H14036" t="s">
        <v>29389</v>
      </c>
      <c r="I14036" t="s">
        <v>10408</v>
      </c>
      <c r="J14036" t="s">
        <v>38385</v>
      </c>
      <c r="K14036" t="s">
        <v>38771</v>
      </c>
      <c r="M14036" t="s">
        <v>42331</v>
      </c>
      <c r="N14036" t="s">
        <v>42669</v>
      </c>
      <c r="O14036" t="s">
        <v>42670</v>
      </c>
      <c r="Q14036">
        <v>43</v>
      </c>
      <c r="R14036" t="s">
        <v>42723</v>
      </c>
      <c r="S14036" t="s">
        <v>44211</v>
      </c>
      <c r="T14036" t="s">
        <v>44470</v>
      </c>
      <c r="U14036" t="s">
        <v>56203</v>
      </c>
      <c r="V14036" t="s">
        <v>57145</v>
      </c>
      <c r="W14036" t="s">
        <v>42331</v>
      </c>
      <c r="X14036" t="s">
        <v>42728</v>
      </c>
    </row>
    <row r="14037" spans="1:24">
      <c r="A14037">
        <f>HYPERLINK("https://www.philgeps.gov.ph/GEPSNONPILOT/Tender/SplashBidNoticeAbstractUI.aspx?menuIndex=3&amp;refID=7090510&amp;Result=3","7090510")</f>
        <v>0</v>
      </c>
      <c r="B14037" t="s">
        <v>1543</v>
      </c>
      <c r="C14037" t="s">
        <v>16980</v>
      </c>
      <c r="E14037" t="s">
        <v>29218</v>
      </c>
      <c r="F14037" t="s">
        <v>29372</v>
      </c>
      <c r="G14037" t="s">
        <v>29380</v>
      </c>
      <c r="H14037" t="s">
        <v>11048</v>
      </c>
      <c r="I14037" t="s">
        <v>8614</v>
      </c>
      <c r="J14037" t="s">
        <v>38386</v>
      </c>
      <c r="K14037" t="s">
        <v>38490</v>
      </c>
      <c r="M14037" t="s">
        <v>40392</v>
      </c>
      <c r="N14037" t="s">
        <v>42669</v>
      </c>
      <c r="O14037" t="s">
        <v>42670</v>
      </c>
      <c r="Q14037">
        <v>10</v>
      </c>
      <c r="R14037" t="s">
        <v>42729</v>
      </c>
      <c r="S14037" t="s">
        <v>44212</v>
      </c>
      <c r="T14037" t="s">
        <v>44401</v>
      </c>
      <c r="U14037" t="s">
        <v>56204</v>
      </c>
      <c r="V14037" t="s">
        <v>57980</v>
      </c>
      <c r="W14037" t="s">
        <v>40392</v>
      </c>
      <c r="X14037" t="s">
        <v>42727</v>
      </c>
    </row>
    <row r="14038" spans="1:24">
      <c r="A14038">
        <f>HYPERLINK("https://www.philgeps.gov.ph/GEPSNONPILOT/Tender/SplashBidNoticeAbstractUI.aspx?menuIndex=3&amp;refID=7072485&amp;Result=3","7072485")</f>
        <v>0</v>
      </c>
      <c r="B14038" t="s">
        <v>1812</v>
      </c>
      <c r="C14038" t="s">
        <v>16981</v>
      </c>
      <c r="D14038" t="s">
        <v>17194</v>
      </c>
      <c r="E14038" t="s">
        <v>29219</v>
      </c>
      <c r="F14038" t="s">
        <v>29372</v>
      </c>
      <c r="G14038" t="s">
        <v>29380</v>
      </c>
      <c r="H14038" t="s">
        <v>11048</v>
      </c>
      <c r="I14038" t="s">
        <v>3670</v>
      </c>
      <c r="J14038" t="s">
        <v>29526</v>
      </c>
      <c r="K14038" t="s">
        <v>38490</v>
      </c>
      <c r="M14038" t="s">
        <v>40683</v>
      </c>
      <c r="N14038" t="s">
        <v>42669</v>
      </c>
      <c r="O14038" t="s">
        <v>42670</v>
      </c>
      <c r="Q14038">
        <v>2</v>
      </c>
      <c r="R14038" t="s">
        <v>42721</v>
      </c>
      <c r="S14038" t="s">
        <v>44213</v>
      </c>
      <c r="T14038" t="s">
        <v>44354</v>
      </c>
      <c r="U14038" t="s">
        <v>56205</v>
      </c>
      <c r="W14038" t="s">
        <v>40683</v>
      </c>
      <c r="X14038" t="s">
        <v>42723</v>
      </c>
    </row>
    <row r="14039" spans="1:24">
      <c r="A14039">
        <f>HYPERLINK("https://www.philgeps.gov.ph/GEPSNONPILOT/Tender/SplashBidNoticeAbstractUI.aspx?menuIndex=3&amp;refID=7058406&amp;Result=3","7058406")</f>
        <v>0</v>
      </c>
      <c r="B14039" t="s">
        <v>2248</v>
      </c>
      <c r="C14039" t="s">
        <v>16982</v>
      </c>
      <c r="D14039" t="s">
        <v>17154</v>
      </c>
      <c r="E14039" t="s">
        <v>29220</v>
      </c>
      <c r="F14039" t="s">
        <v>29372</v>
      </c>
      <c r="G14039" t="s">
        <v>29380</v>
      </c>
      <c r="H14039" t="s">
        <v>29389</v>
      </c>
      <c r="I14039" t="s">
        <v>10408</v>
      </c>
      <c r="J14039" t="s">
        <v>38387</v>
      </c>
      <c r="K14039" t="s">
        <v>38496</v>
      </c>
      <c r="M14039" t="s">
        <v>41166</v>
      </c>
      <c r="N14039" t="s">
        <v>42669</v>
      </c>
      <c r="O14039" t="s">
        <v>42670</v>
      </c>
      <c r="Q14039">
        <v>2</v>
      </c>
      <c r="R14039" t="s">
        <v>42730</v>
      </c>
      <c r="S14039" t="s">
        <v>44214</v>
      </c>
      <c r="T14039" t="s">
        <v>44419</v>
      </c>
      <c r="U14039" t="s">
        <v>56178</v>
      </c>
      <c r="W14039" t="s">
        <v>41166</v>
      </c>
      <c r="X14039" t="s">
        <v>42739</v>
      </c>
    </row>
    <row r="14040" spans="1:24">
      <c r="A14040">
        <f>HYPERLINK("https://www.philgeps.gov.ph/GEPSNONPILOT/Tender/SplashBidNoticeAbstractUI.aspx?menuIndex=3&amp;refID=7058405&amp;Result=3","7058405")</f>
        <v>0</v>
      </c>
      <c r="B14040" t="s">
        <v>2248</v>
      </c>
      <c r="C14040" t="s">
        <v>16983</v>
      </c>
      <c r="D14040" t="s">
        <v>17154</v>
      </c>
      <c r="E14040" t="s">
        <v>29221</v>
      </c>
      <c r="F14040" t="s">
        <v>29372</v>
      </c>
      <c r="G14040" t="s">
        <v>29380</v>
      </c>
      <c r="H14040" t="s">
        <v>29389</v>
      </c>
      <c r="I14040" t="s">
        <v>10408</v>
      </c>
      <c r="J14040" t="s">
        <v>38374</v>
      </c>
      <c r="K14040" t="s">
        <v>38526</v>
      </c>
      <c r="M14040" t="s">
        <v>41166</v>
      </c>
      <c r="N14040" t="s">
        <v>42669</v>
      </c>
      <c r="O14040" t="s">
        <v>42670</v>
      </c>
      <c r="Q14040">
        <v>6</v>
      </c>
      <c r="R14040" t="s">
        <v>42730</v>
      </c>
      <c r="S14040" t="s">
        <v>44215</v>
      </c>
      <c r="T14040" t="s">
        <v>44419</v>
      </c>
      <c r="U14040" t="s">
        <v>56183</v>
      </c>
      <c r="W14040" t="s">
        <v>41166</v>
      </c>
      <c r="X14040" t="s">
        <v>42739</v>
      </c>
    </row>
    <row r="14041" spans="1:24">
      <c r="A14041">
        <f>HYPERLINK("https://www.philgeps.gov.ph/GEPSNONPILOT/Tender/SplashBidNoticeAbstractUI.aspx?menuIndex=3&amp;refID=7061533&amp;Result=3","7061533")</f>
        <v>0</v>
      </c>
      <c r="B14041" t="s">
        <v>1091</v>
      </c>
      <c r="C14041" t="s">
        <v>16984</v>
      </c>
      <c r="D14041" t="s">
        <v>17141</v>
      </c>
      <c r="E14041" t="s">
        <v>29222</v>
      </c>
      <c r="F14041" t="s">
        <v>29372</v>
      </c>
      <c r="G14041" t="s">
        <v>29380</v>
      </c>
      <c r="H14041" t="s">
        <v>11048</v>
      </c>
      <c r="I14041" t="s">
        <v>29395</v>
      </c>
      <c r="J14041" t="s">
        <v>38388</v>
      </c>
      <c r="K14041" t="s">
        <v>38488</v>
      </c>
      <c r="M14041" t="s">
        <v>39898</v>
      </c>
      <c r="N14041" t="s">
        <v>42669</v>
      </c>
      <c r="O14041" t="s">
        <v>42670</v>
      </c>
      <c r="Q14041">
        <v>1</v>
      </c>
      <c r="R14041" t="s">
        <v>42725</v>
      </c>
      <c r="S14041" t="s">
        <v>44216</v>
      </c>
      <c r="T14041" t="s">
        <v>44480</v>
      </c>
      <c r="U14041" t="s">
        <v>47189</v>
      </c>
      <c r="W14041" t="s">
        <v>39898</v>
      </c>
      <c r="X14041" t="s">
        <v>58153</v>
      </c>
    </row>
    <row r="14042" spans="1:24">
      <c r="A14042">
        <f>HYPERLINK("https://www.philgeps.gov.ph/GEPSNONPILOT/Tender/SplashBidNoticeAbstractUI.aspx?menuIndex=3&amp;refID=7058401&amp;Result=3","7058401")</f>
        <v>0</v>
      </c>
      <c r="B14042" t="s">
        <v>2248</v>
      </c>
      <c r="C14042" t="s">
        <v>16985</v>
      </c>
      <c r="D14042" t="s">
        <v>17154</v>
      </c>
      <c r="E14042" t="s">
        <v>29223</v>
      </c>
      <c r="F14042" t="s">
        <v>29372</v>
      </c>
      <c r="G14042" t="s">
        <v>29380</v>
      </c>
      <c r="H14042" t="s">
        <v>29389</v>
      </c>
      <c r="I14042" t="s">
        <v>10408</v>
      </c>
      <c r="J14042" t="s">
        <v>38374</v>
      </c>
      <c r="K14042" t="s">
        <v>38533</v>
      </c>
      <c r="M14042" t="s">
        <v>41166</v>
      </c>
      <c r="N14042" t="s">
        <v>42669</v>
      </c>
      <c r="O14042" t="s">
        <v>42670</v>
      </c>
      <c r="Q14042">
        <v>7</v>
      </c>
      <c r="R14042" t="s">
        <v>42730</v>
      </c>
      <c r="S14042" t="s">
        <v>43235</v>
      </c>
      <c r="T14042" t="s">
        <v>44419</v>
      </c>
      <c r="U14042" t="s">
        <v>56183</v>
      </c>
      <c r="W14042" t="s">
        <v>41166</v>
      </c>
      <c r="X14042" t="s">
        <v>42739</v>
      </c>
    </row>
    <row r="14043" spans="1:24">
      <c r="A14043">
        <f>HYPERLINK("https://www.philgeps.gov.ph/GEPSNONPILOT/Tender/SplashBidNoticeAbstractUI.aspx?menuIndex=3&amp;refID=7058414&amp;Result=3","7058414")</f>
        <v>0</v>
      </c>
      <c r="B14043" t="s">
        <v>2248</v>
      </c>
      <c r="C14043" t="s">
        <v>16986</v>
      </c>
      <c r="D14043" t="s">
        <v>17154</v>
      </c>
      <c r="E14043" t="s">
        <v>29224</v>
      </c>
      <c r="F14043" t="s">
        <v>29372</v>
      </c>
      <c r="G14043" t="s">
        <v>29380</v>
      </c>
      <c r="H14043" t="s">
        <v>29389</v>
      </c>
      <c r="I14043" t="s">
        <v>10408</v>
      </c>
      <c r="J14043" t="s">
        <v>38374</v>
      </c>
      <c r="K14043" t="s">
        <v>38526</v>
      </c>
      <c r="M14043" t="s">
        <v>41166</v>
      </c>
      <c r="N14043" t="s">
        <v>42669</v>
      </c>
      <c r="O14043" t="s">
        <v>42670</v>
      </c>
      <c r="Q14043">
        <v>8</v>
      </c>
      <c r="R14043" t="s">
        <v>42730</v>
      </c>
      <c r="S14043" t="s">
        <v>44217</v>
      </c>
      <c r="T14043" t="s">
        <v>44419</v>
      </c>
      <c r="U14043" t="s">
        <v>56183</v>
      </c>
      <c r="W14043" t="s">
        <v>41166</v>
      </c>
      <c r="X14043" t="s">
        <v>42739</v>
      </c>
    </row>
    <row r="14044" spans="1:24">
      <c r="A14044">
        <f>HYPERLINK("https://www.philgeps.gov.ph/GEPSNONPILOT/Tender/SplashBidNoticeAbstractUI.aspx?menuIndex=3&amp;refID=7058277&amp;Result=3","7058277")</f>
        <v>0</v>
      </c>
      <c r="B14044" t="s">
        <v>2248</v>
      </c>
      <c r="C14044" t="s">
        <v>16987</v>
      </c>
      <c r="D14044" t="s">
        <v>17154</v>
      </c>
      <c r="E14044" t="s">
        <v>29225</v>
      </c>
      <c r="F14044" t="s">
        <v>29372</v>
      </c>
      <c r="G14044" t="s">
        <v>29380</v>
      </c>
      <c r="H14044" t="s">
        <v>29389</v>
      </c>
      <c r="I14044" t="s">
        <v>10408</v>
      </c>
      <c r="J14044" t="s">
        <v>38389</v>
      </c>
      <c r="K14044" t="s">
        <v>38564</v>
      </c>
      <c r="M14044" t="s">
        <v>41166</v>
      </c>
      <c r="N14044" t="s">
        <v>42669</v>
      </c>
      <c r="O14044" t="s">
        <v>42670</v>
      </c>
      <c r="Q14044">
        <v>9</v>
      </c>
      <c r="R14044" t="s">
        <v>42730</v>
      </c>
      <c r="S14044" t="s">
        <v>44218</v>
      </c>
      <c r="T14044" t="s">
        <v>44419</v>
      </c>
      <c r="U14044" t="s">
        <v>56180</v>
      </c>
      <c r="W14044" t="s">
        <v>41166</v>
      </c>
      <c r="X14044" t="s">
        <v>42739</v>
      </c>
    </row>
    <row r="14045" spans="1:24">
      <c r="A14045">
        <f>HYPERLINK("https://www.philgeps.gov.ph/GEPSNONPILOT/Tender/SplashBidNoticeAbstractUI.aspx?menuIndex=3&amp;refID=7058275&amp;Result=3","7058275")</f>
        <v>0</v>
      </c>
      <c r="B14045" t="s">
        <v>2248</v>
      </c>
      <c r="C14045" t="s">
        <v>16988</v>
      </c>
      <c r="D14045" t="s">
        <v>17154</v>
      </c>
      <c r="E14045" t="s">
        <v>29226</v>
      </c>
      <c r="F14045" t="s">
        <v>29372</v>
      </c>
      <c r="G14045" t="s">
        <v>29380</v>
      </c>
      <c r="H14045" t="s">
        <v>29389</v>
      </c>
      <c r="I14045" t="s">
        <v>10408</v>
      </c>
      <c r="J14045" t="s">
        <v>38390</v>
      </c>
      <c r="K14045" t="s">
        <v>38520</v>
      </c>
      <c r="M14045" t="s">
        <v>41166</v>
      </c>
      <c r="N14045" t="s">
        <v>42669</v>
      </c>
      <c r="O14045" t="s">
        <v>42670</v>
      </c>
      <c r="Q14045">
        <v>12</v>
      </c>
      <c r="R14045" t="s">
        <v>42730</v>
      </c>
      <c r="S14045" t="s">
        <v>43694</v>
      </c>
      <c r="T14045" t="s">
        <v>44419</v>
      </c>
      <c r="U14045" t="s">
        <v>56177</v>
      </c>
      <c r="W14045" t="s">
        <v>41166</v>
      </c>
      <c r="X14045" t="s">
        <v>42739</v>
      </c>
    </row>
    <row r="14046" spans="1:24">
      <c r="A14046">
        <f>HYPERLINK("https://www.philgeps.gov.ph/GEPSNONPILOT/Tender/SplashBidNoticeAbstractUI.aspx?menuIndex=3&amp;refID=7062379&amp;Result=3","7062379")</f>
        <v>0</v>
      </c>
      <c r="B14046" t="s">
        <v>2017</v>
      </c>
      <c r="C14046" t="s">
        <v>16989</v>
      </c>
      <c r="D14046" t="s">
        <v>17228</v>
      </c>
      <c r="E14046" t="s">
        <v>29227</v>
      </c>
      <c r="F14046" t="s">
        <v>29372</v>
      </c>
      <c r="G14046" t="s">
        <v>29380</v>
      </c>
      <c r="H14046" t="s">
        <v>29389</v>
      </c>
      <c r="I14046" t="s">
        <v>10408</v>
      </c>
      <c r="J14046" t="s">
        <v>38069</v>
      </c>
      <c r="K14046" t="s">
        <v>38709</v>
      </c>
      <c r="M14046" t="s">
        <v>40909</v>
      </c>
      <c r="N14046" t="s">
        <v>42669</v>
      </c>
      <c r="O14046" t="s">
        <v>42670</v>
      </c>
      <c r="Q14046">
        <v>12</v>
      </c>
      <c r="R14046" t="s">
        <v>42726</v>
      </c>
      <c r="S14046" t="s">
        <v>44219</v>
      </c>
      <c r="T14046" t="s">
        <v>44401</v>
      </c>
      <c r="U14046" t="s">
        <v>56206</v>
      </c>
      <c r="W14046" t="s">
        <v>40909</v>
      </c>
      <c r="X14046" t="s">
        <v>42725</v>
      </c>
    </row>
    <row r="14047" spans="1:24">
      <c r="A14047">
        <f>HYPERLINK("https://www.philgeps.gov.ph/GEPSNONPILOT/Tender/SplashBidNoticeAbstractUI.aspx?menuIndex=3&amp;refID=7058246&amp;Result=3","7058246")</f>
        <v>0</v>
      </c>
      <c r="B14047" t="s">
        <v>2248</v>
      </c>
      <c r="C14047" t="s">
        <v>16990</v>
      </c>
      <c r="D14047" t="s">
        <v>17154</v>
      </c>
      <c r="E14047" t="s">
        <v>29228</v>
      </c>
      <c r="F14047" t="s">
        <v>29372</v>
      </c>
      <c r="G14047" t="s">
        <v>29380</v>
      </c>
      <c r="H14047" t="s">
        <v>29389</v>
      </c>
      <c r="I14047" t="s">
        <v>10408</v>
      </c>
      <c r="J14047" t="s">
        <v>33376</v>
      </c>
      <c r="K14047" t="s">
        <v>38564</v>
      </c>
      <c r="M14047" t="s">
        <v>41166</v>
      </c>
      <c r="N14047" t="s">
        <v>42669</v>
      </c>
      <c r="O14047" t="s">
        <v>42670</v>
      </c>
      <c r="Q14047">
        <v>6</v>
      </c>
      <c r="R14047" t="s">
        <v>42730</v>
      </c>
      <c r="S14047" t="s">
        <v>44220</v>
      </c>
      <c r="T14047" t="s">
        <v>44419</v>
      </c>
      <c r="U14047" t="s">
        <v>56180</v>
      </c>
      <c r="W14047" t="s">
        <v>41166</v>
      </c>
      <c r="X14047" t="s">
        <v>42739</v>
      </c>
    </row>
    <row r="14048" spans="1:24">
      <c r="A14048">
        <f>HYPERLINK("https://www.philgeps.gov.ph/GEPSNONPILOT/Tender/SplashBidNoticeAbstractUI.aspx?menuIndex=3&amp;refID=7058399&amp;Result=3","7058399")</f>
        <v>0</v>
      </c>
      <c r="B14048" t="s">
        <v>2248</v>
      </c>
      <c r="C14048" t="s">
        <v>16991</v>
      </c>
      <c r="D14048" t="s">
        <v>17154</v>
      </c>
      <c r="E14048" t="s">
        <v>29229</v>
      </c>
      <c r="F14048" t="s">
        <v>29372</v>
      </c>
      <c r="G14048" t="s">
        <v>29380</v>
      </c>
      <c r="H14048" t="s">
        <v>29389</v>
      </c>
      <c r="I14048" t="s">
        <v>10408</v>
      </c>
      <c r="J14048" t="s">
        <v>34709</v>
      </c>
      <c r="K14048" t="s">
        <v>38522</v>
      </c>
      <c r="M14048" t="s">
        <v>41166</v>
      </c>
      <c r="N14048" t="s">
        <v>42669</v>
      </c>
      <c r="O14048" t="s">
        <v>42670</v>
      </c>
      <c r="Q14048">
        <v>5</v>
      </c>
      <c r="R14048" t="s">
        <v>42730</v>
      </c>
      <c r="S14048" t="s">
        <v>43077</v>
      </c>
      <c r="T14048" t="s">
        <v>44419</v>
      </c>
      <c r="U14048" t="s">
        <v>56180</v>
      </c>
      <c r="W14048" t="s">
        <v>41166</v>
      </c>
      <c r="X14048" t="s">
        <v>42739</v>
      </c>
    </row>
    <row r="14049" spans="1:24">
      <c r="A14049">
        <f>HYPERLINK("https://www.philgeps.gov.ph/GEPSNONPILOT/Tender/SplashBidNoticeAbstractUI.aspx?menuIndex=3&amp;refID=7058396&amp;Result=3","7058396")</f>
        <v>0</v>
      </c>
      <c r="B14049" t="s">
        <v>2248</v>
      </c>
      <c r="C14049" t="s">
        <v>16992</v>
      </c>
      <c r="D14049" t="s">
        <v>17154</v>
      </c>
      <c r="E14049" t="s">
        <v>29230</v>
      </c>
      <c r="F14049" t="s">
        <v>29372</v>
      </c>
      <c r="G14049" t="s">
        <v>29380</v>
      </c>
      <c r="H14049" t="s">
        <v>29389</v>
      </c>
      <c r="I14049" t="s">
        <v>10408</v>
      </c>
      <c r="J14049" t="s">
        <v>34709</v>
      </c>
      <c r="K14049" t="s">
        <v>38522</v>
      </c>
      <c r="M14049" t="s">
        <v>41166</v>
      </c>
      <c r="N14049" t="s">
        <v>42669</v>
      </c>
      <c r="O14049" t="s">
        <v>42670</v>
      </c>
      <c r="Q14049">
        <v>4</v>
      </c>
      <c r="R14049" t="s">
        <v>42730</v>
      </c>
      <c r="S14049" t="s">
        <v>43264</v>
      </c>
      <c r="T14049" t="s">
        <v>44419</v>
      </c>
      <c r="U14049" t="s">
        <v>56207</v>
      </c>
      <c r="W14049" t="s">
        <v>41166</v>
      </c>
      <c r="X14049" t="s">
        <v>42739</v>
      </c>
    </row>
    <row r="14050" spans="1:24">
      <c r="A14050">
        <f>HYPERLINK("https://www.philgeps.gov.ph/GEPSNONPILOT/Tender/SplashBidNoticeAbstractUI.aspx?menuIndex=3&amp;refID=7061516&amp;Result=3","7061516")</f>
        <v>0</v>
      </c>
      <c r="B14050" t="s">
        <v>1091</v>
      </c>
      <c r="C14050" t="s">
        <v>16993</v>
      </c>
      <c r="D14050" t="s">
        <v>17141</v>
      </c>
      <c r="E14050" t="s">
        <v>29231</v>
      </c>
      <c r="F14050" t="s">
        <v>29372</v>
      </c>
      <c r="G14050" t="s">
        <v>29380</v>
      </c>
      <c r="H14050" t="s">
        <v>11048</v>
      </c>
      <c r="I14050" t="s">
        <v>29395</v>
      </c>
      <c r="J14050" t="s">
        <v>38391</v>
      </c>
      <c r="K14050" t="s">
        <v>38488</v>
      </c>
      <c r="M14050" t="s">
        <v>39898</v>
      </c>
      <c r="N14050" t="s">
        <v>42669</v>
      </c>
      <c r="O14050" t="s">
        <v>42670</v>
      </c>
      <c r="Q14050">
        <v>2</v>
      </c>
      <c r="R14050" t="s">
        <v>42725</v>
      </c>
      <c r="S14050" t="s">
        <v>44221</v>
      </c>
      <c r="T14050" t="s">
        <v>44480</v>
      </c>
      <c r="U14050" t="s">
        <v>47189</v>
      </c>
      <c r="W14050" t="s">
        <v>39898</v>
      </c>
      <c r="X14050" t="s">
        <v>58153</v>
      </c>
    </row>
    <row r="14051" spans="1:24">
      <c r="A14051">
        <f>HYPERLINK("https://www.philgeps.gov.ph/GEPSNONPILOT/Tender/SplashBidNoticeAbstractUI.aspx?menuIndex=3&amp;refID=7061476&amp;Result=3","7061476")</f>
        <v>0</v>
      </c>
      <c r="B14051" t="s">
        <v>1091</v>
      </c>
      <c r="C14051" t="s">
        <v>16994</v>
      </c>
      <c r="D14051" t="s">
        <v>17141</v>
      </c>
      <c r="E14051" t="s">
        <v>29232</v>
      </c>
      <c r="F14051" t="s">
        <v>29372</v>
      </c>
      <c r="G14051" t="s">
        <v>29380</v>
      </c>
      <c r="H14051" t="s">
        <v>11048</v>
      </c>
      <c r="I14051" t="s">
        <v>29395</v>
      </c>
      <c r="J14051" t="s">
        <v>38392</v>
      </c>
      <c r="K14051" t="s">
        <v>38488</v>
      </c>
      <c r="M14051" t="s">
        <v>39898</v>
      </c>
      <c r="N14051" t="s">
        <v>42669</v>
      </c>
      <c r="O14051" t="s">
        <v>42670</v>
      </c>
      <c r="Q14051">
        <v>10</v>
      </c>
      <c r="R14051" t="s">
        <v>42725</v>
      </c>
      <c r="S14051" t="s">
        <v>43792</v>
      </c>
      <c r="T14051" t="s">
        <v>44480</v>
      </c>
      <c r="U14051" t="s">
        <v>47189</v>
      </c>
      <c r="W14051" t="s">
        <v>39898</v>
      </c>
      <c r="X14051" t="s">
        <v>58153</v>
      </c>
    </row>
    <row r="14052" spans="1:24">
      <c r="A14052">
        <f>HYPERLINK("https://www.philgeps.gov.ph/GEPSNONPILOT/Tender/SplashBidNoticeAbstractUI.aspx?menuIndex=3&amp;refID=7061467&amp;Result=3","7061467")</f>
        <v>0</v>
      </c>
      <c r="B14052" t="s">
        <v>1091</v>
      </c>
      <c r="C14052" t="s">
        <v>16995</v>
      </c>
      <c r="D14052" t="s">
        <v>17141</v>
      </c>
      <c r="E14052" t="s">
        <v>29233</v>
      </c>
      <c r="F14052" t="s">
        <v>29372</v>
      </c>
      <c r="G14052" t="s">
        <v>29380</v>
      </c>
      <c r="H14052" t="s">
        <v>11048</v>
      </c>
      <c r="I14052" t="s">
        <v>29395</v>
      </c>
      <c r="J14052" t="s">
        <v>38393</v>
      </c>
      <c r="K14052" t="s">
        <v>38488</v>
      </c>
      <c r="M14052" t="s">
        <v>39898</v>
      </c>
      <c r="N14052" t="s">
        <v>42669</v>
      </c>
      <c r="O14052" t="s">
        <v>42670</v>
      </c>
      <c r="Q14052">
        <v>13</v>
      </c>
      <c r="R14052" t="s">
        <v>42725</v>
      </c>
      <c r="S14052" t="s">
        <v>44222</v>
      </c>
      <c r="T14052" t="s">
        <v>44480</v>
      </c>
      <c r="U14052" t="s">
        <v>47189</v>
      </c>
      <c r="W14052" t="s">
        <v>39898</v>
      </c>
      <c r="X14052" t="s">
        <v>58153</v>
      </c>
    </row>
    <row r="14053" spans="1:24">
      <c r="A14053">
        <f>HYPERLINK("https://www.philgeps.gov.ph/GEPSNONPILOT/Tender/SplashBidNoticeAbstractUI.aspx?menuIndex=3&amp;refID=7058270&amp;Result=3","7058270")</f>
        <v>0</v>
      </c>
      <c r="B14053" t="s">
        <v>2248</v>
      </c>
      <c r="C14053" t="s">
        <v>16996</v>
      </c>
      <c r="D14053" t="s">
        <v>17154</v>
      </c>
      <c r="E14053" t="s">
        <v>29234</v>
      </c>
      <c r="F14053" t="s">
        <v>29372</v>
      </c>
      <c r="G14053" t="s">
        <v>29380</v>
      </c>
      <c r="H14053" t="s">
        <v>29389</v>
      </c>
      <c r="I14053" t="s">
        <v>10408</v>
      </c>
      <c r="J14053" t="s">
        <v>38394</v>
      </c>
      <c r="K14053" t="s">
        <v>38522</v>
      </c>
      <c r="M14053" t="s">
        <v>41166</v>
      </c>
      <c r="N14053" t="s">
        <v>42669</v>
      </c>
      <c r="O14053" t="s">
        <v>42670</v>
      </c>
      <c r="Q14053">
        <v>6</v>
      </c>
      <c r="R14053" t="s">
        <v>42730</v>
      </c>
      <c r="S14053" t="s">
        <v>44223</v>
      </c>
      <c r="T14053" t="s">
        <v>44419</v>
      </c>
      <c r="U14053" t="s">
        <v>56208</v>
      </c>
      <c r="W14053" t="s">
        <v>41166</v>
      </c>
      <c r="X14053" t="s">
        <v>42739</v>
      </c>
    </row>
    <row r="14054" spans="1:24">
      <c r="A14054">
        <f>HYPERLINK("https://www.philgeps.gov.ph/GEPSNONPILOT/Tender/SplashBidNoticeAbstractUI.aspx?menuIndex=3&amp;refID=7022864&amp;Result=3","7022864")</f>
        <v>0</v>
      </c>
      <c r="B14054" t="s">
        <v>1543</v>
      </c>
      <c r="C14054" t="s">
        <v>16997</v>
      </c>
      <c r="E14054" t="s">
        <v>29235</v>
      </c>
      <c r="F14054" t="s">
        <v>29372</v>
      </c>
      <c r="G14054" t="s">
        <v>29380</v>
      </c>
      <c r="H14054" t="s">
        <v>11048</v>
      </c>
      <c r="I14054" t="s">
        <v>9642</v>
      </c>
      <c r="J14054" t="s">
        <v>38395</v>
      </c>
      <c r="K14054" t="s">
        <v>38490</v>
      </c>
      <c r="M14054" t="s">
        <v>40392</v>
      </c>
      <c r="N14054" t="s">
        <v>42669</v>
      </c>
      <c r="O14054" t="s">
        <v>42670</v>
      </c>
      <c r="Q14054">
        <v>20</v>
      </c>
      <c r="R14054" t="s">
        <v>42731</v>
      </c>
      <c r="S14054" t="s">
        <v>44224</v>
      </c>
      <c r="T14054" t="s">
        <v>44470</v>
      </c>
      <c r="U14054" t="s">
        <v>56209</v>
      </c>
      <c r="V14054" t="s">
        <v>57981</v>
      </c>
      <c r="W14054" t="s">
        <v>58137</v>
      </c>
      <c r="X14054" t="s">
        <v>42734</v>
      </c>
    </row>
    <row r="14055" spans="1:24">
      <c r="A14055">
        <f>HYPERLINK("https://www.philgeps.gov.ph/GEPSNONPILOT/Tender/SplashBidNoticeAbstractUI.aspx?menuIndex=3&amp;refID=7058241&amp;Result=3","7058241")</f>
        <v>0</v>
      </c>
      <c r="B14055" t="s">
        <v>2248</v>
      </c>
      <c r="C14055" t="s">
        <v>16998</v>
      </c>
      <c r="D14055" t="s">
        <v>17154</v>
      </c>
      <c r="E14055" t="s">
        <v>29236</v>
      </c>
      <c r="F14055" t="s">
        <v>29372</v>
      </c>
      <c r="G14055" t="s">
        <v>29380</v>
      </c>
      <c r="H14055" t="s">
        <v>29389</v>
      </c>
      <c r="I14055" t="s">
        <v>10408</v>
      </c>
      <c r="J14055" t="s">
        <v>33376</v>
      </c>
      <c r="K14055" t="s">
        <v>38522</v>
      </c>
      <c r="M14055" t="s">
        <v>41166</v>
      </c>
      <c r="N14055" t="s">
        <v>42669</v>
      </c>
      <c r="O14055" t="s">
        <v>42670</v>
      </c>
      <c r="Q14055">
        <v>7</v>
      </c>
      <c r="R14055" t="s">
        <v>42730</v>
      </c>
      <c r="S14055" t="s">
        <v>43655</v>
      </c>
      <c r="T14055" t="s">
        <v>44419</v>
      </c>
      <c r="U14055" t="s">
        <v>56180</v>
      </c>
      <c r="W14055" t="s">
        <v>41166</v>
      </c>
      <c r="X14055" t="s">
        <v>42739</v>
      </c>
    </row>
    <row r="14056" spans="1:24">
      <c r="A14056">
        <f>HYPERLINK("https://www.philgeps.gov.ph/GEPSNONPILOT/Tender/SplashBidNoticeAbstractUI.aspx?menuIndex=3&amp;refID=7026934&amp;Result=3","7026934")</f>
        <v>0</v>
      </c>
      <c r="B14056" t="s">
        <v>1281</v>
      </c>
      <c r="C14056" t="s">
        <v>16999</v>
      </c>
      <c r="D14056" t="s">
        <v>17205</v>
      </c>
      <c r="E14056" t="s">
        <v>29237</v>
      </c>
      <c r="F14056" t="s">
        <v>29372</v>
      </c>
      <c r="G14056" t="s">
        <v>29380</v>
      </c>
      <c r="H14056" t="s">
        <v>29389</v>
      </c>
      <c r="I14056" t="s">
        <v>10408</v>
      </c>
      <c r="J14056" t="s">
        <v>31850</v>
      </c>
      <c r="K14056" t="s">
        <v>38673</v>
      </c>
      <c r="M14056" t="s">
        <v>40109</v>
      </c>
      <c r="N14056" t="s">
        <v>42669</v>
      </c>
      <c r="O14056" t="s">
        <v>42670</v>
      </c>
      <c r="Q14056">
        <v>61</v>
      </c>
      <c r="R14056" t="s">
        <v>42732</v>
      </c>
      <c r="S14056" t="s">
        <v>44225</v>
      </c>
      <c r="T14056" t="s">
        <v>44429</v>
      </c>
      <c r="U14056" t="s">
        <v>47678</v>
      </c>
      <c r="W14056" t="s">
        <v>40109</v>
      </c>
      <c r="X14056" t="s">
        <v>42731</v>
      </c>
    </row>
    <row r="14057" spans="1:24">
      <c r="A14057">
        <f>HYPERLINK("https://www.philgeps.gov.ph/GEPSNONPILOT/Tender/SplashBidNoticeAbstractUI.aspx?menuIndex=3&amp;refID=7066890&amp;Result=3","7066890")</f>
        <v>0</v>
      </c>
      <c r="B14057" t="s">
        <v>3503</v>
      </c>
      <c r="C14057" t="s">
        <v>17000</v>
      </c>
      <c r="D14057" t="s">
        <v>17141</v>
      </c>
      <c r="E14057" t="s">
        <v>29238</v>
      </c>
      <c r="F14057" t="s">
        <v>29372</v>
      </c>
      <c r="G14057" t="s">
        <v>29380</v>
      </c>
      <c r="H14057" t="s">
        <v>11048</v>
      </c>
      <c r="I14057" t="s">
        <v>8614</v>
      </c>
      <c r="J14057" t="s">
        <v>38396</v>
      </c>
      <c r="K14057" t="s">
        <v>38522</v>
      </c>
      <c r="M14057" t="s">
        <v>42649</v>
      </c>
      <c r="N14057" t="s">
        <v>42669</v>
      </c>
      <c r="O14057" t="s">
        <v>42670</v>
      </c>
      <c r="Q14057">
        <v>35</v>
      </c>
      <c r="R14057" t="s">
        <v>42733</v>
      </c>
      <c r="S14057" t="s">
        <v>44226</v>
      </c>
      <c r="T14057" t="s">
        <v>44668</v>
      </c>
      <c r="U14057" t="s">
        <v>56210</v>
      </c>
      <c r="W14057" t="s">
        <v>42649</v>
      </c>
      <c r="X14057" t="s">
        <v>42726</v>
      </c>
    </row>
    <row r="14058" spans="1:24">
      <c r="A14058">
        <f>HYPERLINK("https://www.philgeps.gov.ph/GEPSNONPILOT/Tender/SplashBidNoticeAbstractUI.aspx?menuIndex=3&amp;refID=7018242&amp;Result=3","7018242")</f>
        <v>0</v>
      </c>
      <c r="B14058" t="s">
        <v>2243</v>
      </c>
      <c r="C14058" t="s">
        <v>17001</v>
      </c>
      <c r="D14058" t="s">
        <v>17189</v>
      </c>
      <c r="E14058" t="s">
        <v>29239</v>
      </c>
      <c r="F14058" t="s">
        <v>29372</v>
      </c>
      <c r="G14058" t="s">
        <v>29380</v>
      </c>
      <c r="H14058" t="s">
        <v>29389</v>
      </c>
      <c r="I14058" t="s">
        <v>10408</v>
      </c>
      <c r="J14058" t="s">
        <v>38397</v>
      </c>
      <c r="K14058" t="s">
        <v>38714</v>
      </c>
      <c r="M14058" t="s">
        <v>42573</v>
      </c>
      <c r="N14058" t="s">
        <v>42669</v>
      </c>
      <c r="O14058" t="s">
        <v>42670</v>
      </c>
      <c r="Q14058">
        <v>17</v>
      </c>
      <c r="R14058" t="s">
        <v>42734</v>
      </c>
      <c r="S14058" t="s">
        <v>44227</v>
      </c>
      <c r="T14058" t="s">
        <v>44470</v>
      </c>
      <c r="U14058" t="s">
        <v>56211</v>
      </c>
      <c r="W14058" t="s">
        <v>42573</v>
      </c>
      <c r="X14058" t="s">
        <v>42747</v>
      </c>
    </row>
    <row r="14059" spans="1:24">
      <c r="A14059">
        <f>HYPERLINK("https://www.philgeps.gov.ph/GEPSNONPILOT/Tender/SplashBidNoticeAbstractUI.aspx?menuIndex=3&amp;refID=7026795&amp;Result=3","7026795")</f>
        <v>0</v>
      </c>
      <c r="B14059" t="s">
        <v>1281</v>
      </c>
      <c r="C14059" t="s">
        <v>17002</v>
      </c>
      <c r="D14059" t="s">
        <v>17205</v>
      </c>
      <c r="E14059" t="s">
        <v>29240</v>
      </c>
      <c r="F14059" t="s">
        <v>29372</v>
      </c>
      <c r="G14059" t="s">
        <v>29380</v>
      </c>
      <c r="H14059" t="s">
        <v>29389</v>
      </c>
      <c r="I14059" t="s">
        <v>10408</v>
      </c>
      <c r="J14059" t="s">
        <v>34528</v>
      </c>
      <c r="K14059" t="s">
        <v>38635</v>
      </c>
      <c r="M14059" t="s">
        <v>40109</v>
      </c>
      <c r="N14059" t="s">
        <v>42669</v>
      </c>
      <c r="O14059" t="s">
        <v>42670</v>
      </c>
      <c r="Q14059">
        <v>57</v>
      </c>
      <c r="R14059" t="s">
        <v>42732</v>
      </c>
      <c r="S14059" t="s">
        <v>44228</v>
      </c>
      <c r="T14059" t="s">
        <v>44429</v>
      </c>
      <c r="U14059" t="s">
        <v>47678</v>
      </c>
      <c r="W14059" t="s">
        <v>40109</v>
      </c>
      <c r="X14059" t="s">
        <v>42731</v>
      </c>
    </row>
    <row r="14060" spans="1:24">
      <c r="A14060">
        <f>HYPERLINK("https://www.philgeps.gov.ph/GEPSNONPILOT/Tender/SplashBidNoticeAbstractUI.aspx?menuIndex=3&amp;refID=7022290&amp;Result=3","7022290")</f>
        <v>0</v>
      </c>
      <c r="B14060" t="s">
        <v>834</v>
      </c>
      <c r="C14060" t="s">
        <v>17003</v>
      </c>
      <c r="D14060" t="s">
        <v>17187</v>
      </c>
      <c r="E14060" t="s">
        <v>29241</v>
      </c>
      <c r="F14060" t="s">
        <v>29372</v>
      </c>
      <c r="G14060" t="s">
        <v>29382</v>
      </c>
      <c r="H14060" t="s">
        <v>11048</v>
      </c>
      <c r="I14060" t="s">
        <v>3670</v>
      </c>
      <c r="J14060" t="s">
        <v>29811</v>
      </c>
      <c r="K14060" t="s">
        <v>38487</v>
      </c>
      <c r="M14060" t="s">
        <v>41454</v>
      </c>
      <c r="N14060" t="s">
        <v>42669</v>
      </c>
      <c r="O14060" t="s">
        <v>42670</v>
      </c>
      <c r="Q14060">
        <v>15</v>
      </c>
      <c r="R14060" t="s">
        <v>42731</v>
      </c>
      <c r="S14060" t="s">
        <v>44229</v>
      </c>
      <c r="T14060" t="s">
        <v>44491</v>
      </c>
      <c r="U14060" t="s">
        <v>51303</v>
      </c>
      <c r="W14060" t="s">
        <v>41454</v>
      </c>
      <c r="X14060" t="s">
        <v>42734</v>
      </c>
    </row>
    <row r="14061" spans="1:24">
      <c r="A14061">
        <f>HYPERLINK("https://www.philgeps.gov.ph/GEPSNONPILOT/Tender/SplashBidNoticeAbstractUI.aspx?menuIndex=3&amp;refID=7030740&amp;Result=3","7030740")</f>
        <v>0</v>
      </c>
      <c r="B14061" t="s">
        <v>3053</v>
      </c>
      <c r="C14061" t="s">
        <v>17004</v>
      </c>
      <c r="D14061" t="s">
        <v>17170</v>
      </c>
      <c r="E14061" t="s">
        <v>29242</v>
      </c>
      <c r="F14061" t="s">
        <v>29372</v>
      </c>
      <c r="G14061" t="s">
        <v>29380</v>
      </c>
      <c r="H14061" t="s">
        <v>11048</v>
      </c>
      <c r="I14061" t="s">
        <v>29405</v>
      </c>
      <c r="J14061" t="s">
        <v>38398</v>
      </c>
      <c r="K14061" t="s">
        <v>38495</v>
      </c>
      <c r="M14061" t="s">
        <v>42078</v>
      </c>
      <c r="N14061" t="s">
        <v>42669</v>
      </c>
      <c r="O14061" t="s">
        <v>42670</v>
      </c>
      <c r="Q14061">
        <v>11</v>
      </c>
      <c r="R14061" t="s">
        <v>42735</v>
      </c>
      <c r="S14061" t="s">
        <v>44230</v>
      </c>
      <c r="T14061" t="s">
        <v>44387</v>
      </c>
      <c r="U14061" t="s">
        <v>56212</v>
      </c>
      <c r="W14061" t="s">
        <v>42078</v>
      </c>
      <c r="X14061" t="s">
        <v>58154</v>
      </c>
    </row>
    <row r="14062" spans="1:24">
      <c r="A14062">
        <f>HYPERLINK("https://www.philgeps.gov.ph/GEPSNONPILOT/Tender/SplashBidNoticeAbstractUI.aspx?menuIndex=3&amp;refID=7030732&amp;Result=3","7030732")</f>
        <v>0</v>
      </c>
      <c r="B14062" t="s">
        <v>3053</v>
      </c>
      <c r="C14062" t="s">
        <v>17005</v>
      </c>
      <c r="D14062" t="s">
        <v>17170</v>
      </c>
      <c r="E14062" t="s">
        <v>29243</v>
      </c>
      <c r="F14062" t="s">
        <v>29372</v>
      </c>
      <c r="G14062" t="s">
        <v>29380</v>
      </c>
      <c r="H14062" t="s">
        <v>11048</v>
      </c>
      <c r="I14062" t="s">
        <v>29469</v>
      </c>
      <c r="J14062" t="s">
        <v>38399</v>
      </c>
      <c r="K14062" t="s">
        <v>38496</v>
      </c>
      <c r="M14062" t="s">
        <v>42078</v>
      </c>
      <c r="N14062" t="s">
        <v>42669</v>
      </c>
      <c r="O14062" t="s">
        <v>42670</v>
      </c>
      <c r="Q14062">
        <v>14</v>
      </c>
      <c r="R14062" t="s">
        <v>42735</v>
      </c>
      <c r="S14062" t="s">
        <v>44231</v>
      </c>
      <c r="T14062" t="s">
        <v>44387</v>
      </c>
      <c r="U14062" t="s">
        <v>56213</v>
      </c>
      <c r="W14062" t="s">
        <v>42078</v>
      </c>
      <c r="X14062" t="s">
        <v>58154</v>
      </c>
    </row>
    <row r="14063" spans="1:24">
      <c r="A14063">
        <f>HYPERLINK("https://www.philgeps.gov.ph/GEPSNONPILOT/Tender/SplashBidNoticeAbstractUI.aspx?menuIndex=3&amp;refID=7031859&amp;Result=3","7031859")</f>
        <v>0</v>
      </c>
      <c r="B14063" t="s">
        <v>1281</v>
      </c>
      <c r="C14063" t="s">
        <v>17006</v>
      </c>
      <c r="D14063" t="s">
        <v>17205</v>
      </c>
      <c r="E14063" t="s">
        <v>29244</v>
      </c>
      <c r="F14063" t="s">
        <v>29372</v>
      </c>
      <c r="G14063" t="s">
        <v>29380</v>
      </c>
      <c r="H14063" t="s">
        <v>29389</v>
      </c>
      <c r="I14063" t="s">
        <v>10408</v>
      </c>
      <c r="J14063" t="s">
        <v>31850</v>
      </c>
      <c r="K14063" t="s">
        <v>38635</v>
      </c>
      <c r="M14063" t="s">
        <v>40109</v>
      </c>
      <c r="N14063" t="s">
        <v>42669</v>
      </c>
      <c r="O14063" t="s">
        <v>42670</v>
      </c>
      <c r="Q14063">
        <v>57</v>
      </c>
      <c r="R14063" t="s">
        <v>42735</v>
      </c>
      <c r="S14063" t="s">
        <v>44232</v>
      </c>
      <c r="T14063" t="s">
        <v>44429</v>
      </c>
      <c r="U14063" t="s">
        <v>56214</v>
      </c>
      <c r="W14063" t="s">
        <v>40109</v>
      </c>
      <c r="X14063" t="s">
        <v>58154</v>
      </c>
    </row>
    <row r="14064" spans="1:24">
      <c r="A14064">
        <f>HYPERLINK("https://www.philgeps.gov.ph/GEPSNONPILOT/Tender/SplashBidNoticeAbstractUI.aspx?menuIndex=3&amp;refID=7030752&amp;Result=3","7030752")</f>
        <v>0</v>
      </c>
      <c r="B14064" t="s">
        <v>3053</v>
      </c>
      <c r="C14064" t="s">
        <v>17007</v>
      </c>
      <c r="D14064" t="s">
        <v>17170</v>
      </c>
      <c r="E14064" t="s">
        <v>29245</v>
      </c>
      <c r="F14064" t="s">
        <v>29372</v>
      </c>
      <c r="G14064" t="s">
        <v>29380</v>
      </c>
      <c r="H14064" t="s">
        <v>11048</v>
      </c>
      <c r="I14064" t="s">
        <v>29469</v>
      </c>
      <c r="J14064" t="s">
        <v>29965</v>
      </c>
      <c r="K14064" t="s">
        <v>38485</v>
      </c>
      <c r="M14064" t="s">
        <v>42078</v>
      </c>
      <c r="N14064" t="s">
        <v>42669</v>
      </c>
      <c r="O14064" t="s">
        <v>42670</v>
      </c>
      <c r="Q14064">
        <v>9</v>
      </c>
      <c r="R14064" t="s">
        <v>42735</v>
      </c>
      <c r="S14064" t="s">
        <v>44233</v>
      </c>
      <c r="T14064" t="s">
        <v>44387</v>
      </c>
      <c r="U14064" t="s">
        <v>56215</v>
      </c>
      <c r="W14064" t="s">
        <v>42078</v>
      </c>
      <c r="X14064" t="s">
        <v>58154</v>
      </c>
    </row>
    <row r="14065" spans="1:24">
      <c r="A14065">
        <f>HYPERLINK("https://www.philgeps.gov.ph/GEPSNONPILOT/Tender/SplashBidNoticeAbstractUI.aspx?menuIndex=3&amp;refID=7040695&amp;Result=3","7040695")</f>
        <v>0</v>
      </c>
      <c r="B14065" t="s">
        <v>287</v>
      </c>
      <c r="C14065" t="s">
        <v>17008</v>
      </c>
      <c r="D14065" t="s">
        <v>17141</v>
      </c>
      <c r="E14065" t="s">
        <v>29246</v>
      </c>
      <c r="F14065" t="s">
        <v>29372</v>
      </c>
      <c r="G14065" t="s">
        <v>29380</v>
      </c>
      <c r="H14065" t="s">
        <v>29391</v>
      </c>
      <c r="I14065" t="s">
        <v>29391</v>
      </c>
      <c r="J14065" t="s">
        <v>29788</v>
      </c>
      <c r="K14065" t="s">
        <v>38601</v>
      </c>
      <c r="M14065" t="s">
        <v>42650</v>
      </c>
      <c r="N14065" t="s">
        <v>42669</v>
      </c>
      <c r="O14065" t="s">
        <v>42670</v>
      </c>
      <c r="Q14065">
        <v>9</v>
      </c>
      <c r="R14065" t="s">
        <v>42736</v>
      </c>
      <c r="S14065" t="s">
        <v>44234</v>
      </c>
      <c r="T14065" t="s">
        <v>44453</v>
      </c>
      <c r="U14065" t="s">
        <v>56216</v>
      </c>
      <c r="W14065" t="s">
        <v>42650</v>
      </c>
      <c r="X14065" t="s">
        <v>42740</v>
      </c>
    </row>
    <row r="14066" spans="1:24">
      <c r="A14066">
        <f>HYPERLINK("https://www.philgeps.gov.ph/GEPSNONPILOT/Tender/SplashBidNoticeAbstractUI.aspx?menuIndex=3&amp;refID=7042641&amp;Result=3","7042641")</f>
        <v>0</v>
      </c>
      <c r="B14066" t="s">
        <v>1281</v>
      </c>
      <c r="C14066" t="s">
        <v>17009</v>
      </c>
      <c r="D14066" t="s">
        <v>17205</v>
      </c>
      <c r="E14066" t="s">
        <v>29247</v>
      </c>
      <c r="F14066" t="s">
        <v>29372</v>
      </c>
      <c r="G14066" t="s">
        <v>29380</v>
      </c>
      <c r="H14066" t="s">
        <v>29389</v>
      </c>
      <c r="I14066" t="s">
        <v>10408</v>
      </c>
      <c r="J14066" t="s">
        <v>34528</v>
      </c>
      <c r="K14066" t="s">
        <v>38564</v>
      </c>
      <c r="M14066" t="s">
        <v>40109</v>
      </c>
      <c r="N14066" t="s">
        <v>42669</v>
      </c>
      <c r="O14066" t="s">
        <v>42670</v>
      </c>
      <c r="Q14066">
        <v>55</v>
      </c>
      <c r="R14066" t="s">
        <v>42737</v>
      </c>
      <c r="S14066" t="s">
        <v>44235</v>
      </c>
      <c r="T14066" t="s">
        <v>44429</v>
      </c>
      <c r="U14066" t="s">
        <v>56217</v>
      </c>
      <c r="W14066" t="s">
        <v>40109</v>
      </c>
      <c r="X14066" t="s">
        <v>42736</v>
      </c>
    </row>
    <row r="14067" spans="1:24">
      <c r="A14067">
        <f>HYPERLINK("https://www.philgeps.gov.ph/GEPSNONPILOT/Tender/SplashBidNoticeAbstractUI.aspx?menuIndex=3&amp;refID=7042597&amp;Result=3","7042597")</f>
        <v>0</v>
      </c>
      <c r="B14067" t="s">
        <v>1281</v>
      </c>
      <c r="C14067" t="s">
        <v>17010</v>
      </c>
      <c r="D14067" t="s">
        <v>17205</v>
      </c>
      <c r="E14067" t="s">
        <v>29248</v>
      </c>
      <c r="F14067" t="s">
        <v>29372</v>
      </c>
      <c r="G14067" t="s">
        <v>29380</v>
      </c>
      <c r="H14067" t="s">
        <v>29389</v>
      </c>
      <c r="I14067" t="s">
        <v>10408</v>
      </c>
      <c r="J14067" t="s">
        <v>34709</v>
      </c>
      <c r="K14067" t="s">
        <v>38547</v>
      </c>
      <c r="M14067" t="s">
        <v>40109</v>
      </c>
      <c r="N14067" t="s">
        <v>42669</v>
      </c>
      <c r="O14067" t="s">
        <v>42670</v>
      </c>
      <c r="Q14067">
        <v>55</v>
      </c>
      <c r="R14067" t="s">
        <v>42737</v>
      </c>
      <c r="S14067" t="s">
        <v>44236</v>
      </c>
      <c r="T14067" t="s">
        <v>44429</v>
      </c>
      <c r="U14067" t="s">
        <v>56217</v>
      </c>
      <c r="W14067" t="s">
        <v>40109</v>
      </c>
      <c r="X14067" t="s">
        <v>42736</v>
      </c>
    </row>
    <row r="14068" spans="1:24">
      <c r="A14068">
        <f>HYPERLINK("https://www.philgeps.gov.ph/GEPSNONPILOT/Tender/SplashBidNoticeAbstractUI.aspx?menuIndex=3&amp;refID=7022536&amp;Result=3","7022536")</f>
        <v>0</v>
      </c>
      <c r="B14068" t="s">
        <v>834</v>
      </c>
      <c r="C14068" t="s">
        <v>17011</v>
      </c>
      <c r="D14068" t="s">
        <v>17159</v>
      </c>
      <c r="E14068" t="s">
        <v>29249</v>
      </c>
      <c r="F14068" t="s">
        <v>29372</v>
      </c>
      <c r="G14068" t="s">
        <v>29379</v>
      </c>
      <c r="H14068" t="s">
        <v>11048</v>
      </c>
      <c r="I14068" t="s">
        <v>3670</v>
      </c>
      <c r="J14068" t="s">
        <v>29604</v>
      </c>
      <c r="K14068" t="s">
        <v>38485</v>
      </c>
      <c r="M14068" t="s">
        <v>41454</v>
      </c>
      <c r="N14068" t="s">
        <v>42669</v>
      </c>
      <c r="O14068" t="s">
        <v>42670</v>
      </c>
      <c r="Q14068">
        <v>6</v>
      </c>
      <c r="R14068" t="s">
        <v>42731</v>
      </c>
      <c r="S14068" t="s">
        <v>44237</v>
      </c>
      <c r="T14068" t="s">
        <v>44491</v>
      </c>
      <c r="U14068" t="s">
        <v>51303</v>
      </c>
      <c r="W14068" t="s">
        <v>41454</v>
      </c>
      <c r="X14068" t="s">
        <v>42734</v>
      </c>
    </row>
    <row r="14069" spans="1:24">
      <c r="A14069">
        <f>HYPERLINK("https://www.philgeps.gov.ph/GEPSNONPILOT/Tender/SplashBidNoticeAbstractUI.aspx?menuIndex=3&amp;refID=7030722&amp;Result=3","7030722")</f>
        <v>0</v>
      </c>
      <c r="B14069" t="s">
        <v>3053</v>
      </c>
      <c r="C14069" t="s">
        <v>17012</v>
      </c>
      <c r="D14069" t="s">
        <v>17170</v>
      </c>
      <c r="E14069" t="s">
        <v>29250</v>
      </c>
      <c r="F14069" t="s">
        <v>29372</v>
      </c>
      <c r="G14069" t="s">
        <v>29380</v>
      </c>
      <c r="H14069" t="s">
        <v>11048</v>
      </c>
      <c r="I14069" t="s">
        <v>29469</v>
      </c>
      <c r="J14069" t="s">
        <v>38400</v>
      </c>
      <c r="K14069" t="s">
        <v>38485</v>
      </c>
      <c r="M14069" t="s">
        <v>42078</v>
      </c>
      <c r="N14069" t="s">
        <v>42669</v>
      </c>
      <c r="O14069" t="s">
        <v>42670</v>
      </c>
      <c r="Q14069">
        <v>12</v>
      </c>
      <c r="R14069" t="s">
        <v>42735</v>
      </c>
      <c r="S14069" t="s">
        <v>44238</v>
      </c>
      <c r="T14069" t="s">
        <v>44387</v>
      </c>
      <c r="U14069" t="s">
        <v>56218</v>
      </c>
      <c r="W14069" t="s">
        <v>42078</v>
      </c>
      <c r="X14069" t="s">
        <v>58154</v>
      </c>
    </row>
    <row r="14070" spans="1:24">
      <c r="A14070">
        <f>HYPERLINK("https://www.philgeps.gov.ph/GEPSNONPILOT/Tender/SplashBidNoticeAbstractUI.aspx?menuIndex=3&amp;refID=7049001&amp;Result=3","7049001")</f>
        <v>0</v>
      </c>
      <c r="B14070" t="s">
        <v>3504</v>
      </c>
      <c r="C14070" t="s">
        <v>17013</v>
      </c>
      <c r="D14070" t="s">
        <v>17189</v>
      </c>
      <c r="E14070" t="s">
        <v>29251</v>
      </c>
      <c r="F14070" t="s">
        <v>29372</v>
      </c>
      <c r="G14070" t="s">
        <v>29380</v>
      </c>
      <c r="H14070" t="s">
        <v>29389</v>
      </c>
      <c r="I14070" t="s">
        <v>10408</v>
      </c>
      <c r="J14070" t="s">
        <v>34528</v>
      </c>
      <c r="K14070" t="s">
        <v>38680</v>
      </c>
      <c r="M14070" t="s">
        <v>42651</v>
      </c>
      <c r="N14070" t="s">
        <v>42669</v>
      </c>
      <c r="O14070" t="s">
        <v>42670</v>
      </c>
      <c r="Q14070">
        <v>5</v>
      </c>
      <c r="R14070" t="s">
        <v>42738</v>
      </c>
      <c r="S14070" t="s">
        <v>43817</v>
      </c>
      <c r="T14070" t="s">
        <v>44371</v>
      </c>
      <c r="U14070" t="s">
        <v>56219</v>
      </c>
      <c r="W14070" t="s">
        <v>42651</v>
      </c>
      <c r="X14070" t="s">
        <v>58155</v>
      </c>
    </row>
    <row r="14071" spans="1:24">
      <c r="A14071">
        <f>HYPERLINK("https://www.philgeps.gov.ph/GEPSNONPILOT/Tender/SplashBidNoticeAbstractUI.aspx?menuIndex=3&amp;refID=7049029&amp;Result=3","7049029")</f>
        <v>0</v>
      </c>
      <c r="B14071" t="s">
        <v>3504</v>
      </c>
      <c r="C14071" t="s">
        <v>17014</v>
      </c>
      <c r="D14071" t="s">
        <v>17189</v>
      </c>
      <c r="E14071" t="s">
        <v>29252</v>
      </c>
      <c r="F14071" t="s">
        <v>29372</v>
      </c>
      <c r="G14071" t="s">
        <v>29380</v>
      </c>
      <c r="H14071" t="s">
        <v>29389</v>
      </c>
      <c r="I14071" t="s">
        <v>10408</v>
      </c>
      <c r="J14071" t="s">
        <v>31850</v>
      </c>
      <c r="K14071" t="s">
        <v>38520</v>
      </c>
      <c r="M14071" t="s">
        <v>42651</v>
      </c>
      <c r="N14071" t="s">
        <v>42669</v>
      </c>
      <c r="O14071" t="s">
        <v>42670</v>
      </c>
      <c r="Q14071">
        <v>6</v>
      </c>
      <c r="R14071" t="s">
        <v>42738</v>
      </c>
      <c r="S14071" t="s">
        <v>44239</v>
      </c>
      <c r="T14071" t="s">
        <v>44371</v>
      </c>
      <c r="U14071" t="s">
        <v>56219</v>
      </c>
      <c r="W14071" t="s">
        <v>42651</v>
      </c>
      <c r="X14071" t="s">
        <v>58155</v>
      </c>
    </row>
    <row r="14072" spans="1:24">
      <c r="A14072">
        <f>HYPERLINK("https://www.philgeps.gov.ph/GEPSNONPILOT/Tender/SplashBidNoticeAbstractUI.aspx?menuIndex=3&amp;refID=7041076&amp;Result=3","7041076")</f>
        <v>0</v>
      </c>
      <c r="B14072" t="s">
        <v>58</v>
      </c>
      <c r="C14072" t="s">
        <v>17015</v>
      </c>
      <c r="D14072" t="s">
        <v>17144</v>
      </c>
      <c r="E14072" t="s">
        <v>29253</v>
      </c>
      <c r="F14072" t="s">
        <v>29372</v>
      </c>
      <c r="G14072" t="s">
        <v>29384</v>
      </c>
      <c r="H14072" t="s">
        <v>29391</v>
      </c>
      <c r="I14072" t="s">
        <v>29391</v>
      </c>
      <c r="J14072" t="s">
        <v>38401</v>
      </c>
      <c r="K14072" t="s">
        <v>38490</v>
      </c>
      <c r="L14072" t="s">
        <v>58</v>
      </c>
      <c r="M14072" t="s">
        <v>40154</v>
      </c>
      <c r="N14072" t="s">
        <v>42669</v>
      </c>
      <c r="O14072" t="s">
        <v>42670</v>
      </c>
      <c r="Q14072">
        <v>7</v>
      </c>
      <c r="R14072" t="s">
        <v>42738</v>
      </c>
      <c r="S14072" t="s">
        <v>44240</v>
      </c>
      <c r="T14072" t="s">
        <v>44444</v>
      </c>
      <c r="U14072" t="s">
        <v>56220</v>
      </c>
      <c r="W14072" t="s">
        <v>40154</v>
      </c>
      <c r="X14072" t="s">
        <v>42736</v>
      </c>
    </row>
    <row r="14073" spans="1:24">
      <c r="A14073">
        <f>HYPERLINK("https://www.philgeps.gov.ph/GEPSNONPILOT/Tender/SplashBidNoticeAbstractUI.aspx?menuIndex=3&amp;refID=7061438&amp;Result=3","7061438")</f>
        <v>0</v>
      </c>
      <c r="B14073" t="s">
        <v>1091</v>
      </c>
      <c r="C14073" t="s">
        <v>17016</v>
      </c>
      <c r="D14073" t="s">
        <v>17141</v>
      </c>
      <c r="E14073" t="s">
        <v>29254</v>
      </c>
      <c r="F14073" t="s">
        <v>29372</v>
      </c>
      <c r="G14073" t="s">
        <v>29380</v>
      </c>
      <c r="H14073" t="s">
        <v>11048</v>
      </c>
      <c r="I14073" t="s">
        <v>29395</v>
      </c>
      <c r="J14073" t="s">
        <v>38402</v>
      </c>
      <c r="K14073" t="s">
        <v>38488</v>
      </c>
      <c r="M14073" t="s">
        <v>39898</v>
      </c>
      <c r="N14073" t="s">
        <v>42669</v>
      </c>
      <c r="O14073" t="s">
        <v>42670</v>
      </c>
      <c r="Q14073">
        <v>9</v>
      </c>
      <c r="R14073" t="s">
        <v>42725</v>
      </c>
      <c r="S14073" t="s">
        <v>44241</v>
      </c>
      <c r="T14073" t="s">
        <v>44480</v>
      </c>
      <c r="U14073" t="s">
        <v>47189</v>
      </c>
      <c r="W14073" t="s">
        <v>39898</v>
      </c>
      <c r="X14073" t="s">
        <v>58153</v>
      </c>
    </row>
    <row r="14074" spans="1:24">
      <c r="A14074">
        <f>HYPERLINK("https://www.philgeps.gov.ph/GEPSNONPILOT/Tender/SplashBidNoticeAbstractUI.aspx?menuIndex=3&amp;refID=7060720&amp;Result=3","7060720")</f>
        <v>0</v>
      </c>
      <c r="B14074" t="s">
        <v>1091</v>
      </c>
      <c r="C14074" t="s">
        <v>17017</v>
      </c>
      <c r="D14074" t="s">
        <v>17141</v>
      </c>
      <c r="E14074" t="s">
        <v>29255</v>
      </c>
      <c r="F14074" t="s">
        <v>29372</v>
      </c>
      <c r="G14074" t="s">
        <v>29380</v>
      </c>
      <c r="H14074" t="s">
        <v>11048</v>
      </c>
      <c r="I14074" t="s">
        <v>29395</v>
      </c>
      <c r="J14074" t="s">
        <v>38403</v>
      </c>
      <c r="K14074" t="s">
        <v>38488</v>
      </c>
      <c r="M14074" t="s">
        <v>39898</v>
      </c>
      <c r="N14074" t="s">
        <v>42669</v>
      </c>
      <c r="O14074" t="s">
        <v>42670</v>
      </c>
      <c r="Q14074">
        <v>8</v>
      </c>
      <c r="R14074" t="s">
        <v>42725</v>
      </c>
      <c r="S14074" t="s">
        <v>44242</v>
      </c>
      <c r="T14074" t="s">
        <v>44480</v>
      </c>
      <c r="U14074" t="s">
        <v>56221</v>
      </c>
      <c r="W14074" t="s">
        <v>39898</v>
      </c>
      <c r="X14074" t="s">
        <v>58153</v>
      </c>
    </row>
    <row r="14075" spans="1:24">
      <c r="A14075">
        <f>HYPERLINK("https://www.philgeps.gov.ph/GEPSNONPILOT/Tender/SplashBidNoticeAbstractUI.aspx?menuIndex=3&amp;refID=7060614&amp;Result=3","7060614")</f>
        <v>0</v>
      </c>
      <c r="B14075" t="s">
        <v>808</v>
      </c>
      <c r="C14075" t="s">
        <v>17018</v>
      </c>
      <c r="E14075" t="s">
        <v>29256</v>
      </c>
      <c r="F14075" t="s">
        <v>29372</v>
      </c>
      <c r="G14075" t="s">
        <v>29379</v>
      </c>
      <c r="H14075" t="s">
        <v>11048</v>
      </c>
      <c r="I14075" t="s">
        <v>29415</v>
      </c>
      <c r="J14075" t="s">
        <v>29590</v>
      </c>
      <c r="K14075" t="s">
        <v>38488</v>
      </c>
      <c r="M14075" t="s">
        <v>39594</v>
      </c>
      <c r="N14075" t="s">
        <v>42669</v>
      </c>
      <c r="O14075" t="s">
        <v>42670</v>
      </c>
      <c r="Q14075">
        <v>14</v>
      </c>
      <c r="R14075" t="s">
        <v>42725</v>
      </c>
      <c r="S14075" t="s">
        <v>44243</v>
      </c>
      <c r="T14075" t="s">
        <v>44470</v>
      </c>
      <c r="U14075" t="s">
        <v>56222</v>
      </c>
      <c r="W14075" t="s">
        <v>39594</v>
      </c>
      <c r="X14075" t="s">
        <v>58153</v>
      </c>
    </row>
    <row r="14076" spans="1:24">
      <c r="A14076">
        <f>HYPERLINK("https://www.philgeps.gov.ph/GEPSNONPILOT/Tender/SplashBidNoticeAbstractUI.aspx?menuIndex=3&amp;refID=7060595&amp;Result=3","7060595")</f>
        <v>0</v>
      </c>
      <c r="B14076" t="s">
        <v>1091</v>
      </c>
      <c r="C14076" t="s">
        <v>17019</v>
      </c>
      <c r="D14076" t="s">
        <v>17141</v>
      </c>
      <c r="E14076" t="s">
        <v>29257</v>
      </c>
      <c r="F14076" t="s">
        <v>29372</v>
      </c>
      <c r="G14076" t="s">
        <v>29380</v>
      </c>
      <c r="H14076" t="s">
        <v>11048</v>
      </c>
      <c r="I14076" t="s">
        <v>29395</v>
      </c>
      <c r="J14076" t="s">
        <v>38404</v>
      </c>
      <c r="K14076" t="s">
        <v>38488</v>
      </c>
      <c r="M14076" t="s">
        <v>39898</v>
      </c>
      <c r="N14076" t="s">
        <v>42669</v>
      </c>
      <c r="O14076" t="s">
        <v>42670</v>
      </c>
      <c r="Q14076">
        <v>10</v>
      </c>
      <c r="R14076" t="s">
        <v>42725</v>
      </c>
      <c r="S14076" t="s">
        <v>44244</v>
      </c>
      <c r="T14076" t="s">
        <v>44480</v>
      </c>
      <c r="U14076" t="s">
        <v>56223</v>
      </c>
      <c r="W14076" t="s">
        <v>39898</v>
      </c>
      <c r="X14076" t="s">
        <v>58153</v>
      </c>
    </row>
    <row r="14077" spans="1:24">
      <c r="A14077">
        <f>HYPERLINK("https://www.philgeps.gov.ph/GEPSNONPILOT/Tender/SplashBidNoticeAbstractUI.aspx?menuIndex=3&amp;refID=7087953&amp;Result=3","7087953")</f>
        <v>0</v>
      </c>
      <c r="B14077" t="s">
        <v>3377</v>
      </c>
      <c r="C14077" t="s">
        <v>17020</v>
      </c>
      <c r="D14077" t="s">
        <v>17219</v>
      </c>
      <c r="E14077" t="s">
        <v>29258</v>
      </c>
      <c r="F14077" t="s">
        <v>29372</v>
      </c>
      <c r="G14077" t="s">
        <v>29380</v>
      </c>
      <c r="H14077" t="s">
        <v>29389</v>
      </c>
      <c r="I14077" t="s">
        <v>4709</v>
      </c>
      <c r="J14077" t="s">
        <v>38405</v>
      </c>
      <c r="K14077" t="s">
        <v>38525</v>
      </c>
      <c r="M14077" t="s">
        <v>42472</v>
      </c>
      <c r="N14077" t="s">
        <v>42669</v>
      </c>
      <c r="O14077" t="s">
        <v>42670</v>
      </c>
      <c r="Q14077">
        <v>3</v>
      </c>
      <c r="R14077" t="s">
        <v>42729</v>
      </c>
      <c r="S14077" t="s">
        <v>43363</v>
      </c>
      <c r="T14077" t="s">
        <v>44415</v>
      </c>
      <c r="U14077" t="s">
        <v>55076</v>
      </c>
      <c r="V14077" t="s">
        <v>57831</v>
      </c>
      <c r="W14077" t="s">
        <v>42472</v>
      </c>
      <c r="X14077" t="s">
        <v>42727</v>
      </c>
    </row>
    <row r="14078" spans="1:24">
      <c r="A14078">
        <f>HYPERLINK("https://www.philgeps.gov.ph/GEPSNONPILOT/Tender/SplashBidNoticeAbstractUI.aspx?menuIndex=3&amp;refID=7087944&amp;Result=3","7087944")</f>
        <v>0</v>
      </c>
      <c r="B14078" t="s">
        <v>3377</v>
      </c>
      <c r="C14078" t="s">
        <v>17021</v>
      </c>
      <c r="D14078" t="s">
        <v>17199</v>
      </c>
      <c r="E14078" t="s">
        <v>29259</v>
      </c>
      <c r="F14078" t="s">
        <v>29372</v>
      </c>
      <c r="G14078" t="s">
        <v>29380</v>
      </c>
      <c r="H14078" t="s">
        <v>29389</v>
      </c>
      <c r="I14078" t="s">
        <v>4709</v>
      </c>
      <c r="J14078" t="s">
        <v>38405</v>
      </c>
      <c r="K14078" t="s">
        <v>38525</v>
      </c>
      <c r="M14078" t="s">
        <v>42472</v>
      </c>
      <c r="N14078" t="s">
        <v>42669</v>
      </c>
      <c r="O14078" t="s">
        <v>42670</v>
      </c>
      <c r="Q14078">
        <v>5</v>
      </c>
      <c r="R14078" t="s">
        <v>42729</v>
      </c>
      <c r="S14078" t="s">
        <v>43234</v>
      </c>
      <c r="T14078" t="s">
        <v>44415</v>
      </c>
      <c r="U14078" t="s">
        <v>55076</v>
      </c>
      <c r="V14078" t="s">
        <v>57831</v>
      </c>
      <c r="W14078" t="s">
        <v>42472</v>
      </c>
      <c r="X14078" t="s">
        <v>42727</v>
      </c>
    </row>
    <row r="14079" spans="1:24">
      <c r="A14079">
        <f>HYPERLINK("https://www.philgeps.gov.ph/GEPSNONPILOT/Tender/SplashBidNoticeAbstractUI.aspx?menuIndex=3&amp;refID=7050791&amp;Result=3","7050791")</f>
        <v>0</v>
      </c>
      <c r="B14079" t="s">
        <v>2468</v>
      </c>
      <c r="C14079" t="s">
        <v>17022</v>
      </c>
      <c r="E14079" t="s">
        <v>29260</v>
      </c>
      <c r="F14079" t="s">
        <v>29372</v>
      </c>
      <c r="G14079" t="s">
        <v>29380</v>
      </c>
      <c r="H14079" t="s">
        <v>11048</v>
      </c>
      <c r="I14079" t="s">
        <v>9469</v>
      </c>
      <c r="J14079" t="s">
        <v>38406</v>
      </c>
      <c r="K14079" t="s">
        <v>38490</v>
      </c>
      <c r="M14079" t="s">
        <v>41417</v>
      </c>
      <c r="N14079" t="s">
        <v>42669</v>
      </c>
      <c r="O14079" t="s">
        <v>42670</v>
      </c>
      <c r="Q14079">
        <v>2</v>
      </c>
      <c r="R14079" t="s">
        <v>42739</v>
      </c>
      <c r="S14079" t="s">
        <v>44245</v>
      </c>
      <c r="T14079" t="s">
        <v>44554</v>
      </c>
      <c r="U14079" t="s">
        <v>56224</v>
      </c>
      <c r="V14079" t="s">
        <v>57982</v>
      </c>
      <c r="W14079" t="s">
        <v>41417</v>
      </c>
      <c r="X14079" t="s">
        <v>42738</v>
      </c>
    </row>
    <row r="14080" spans="1:24">
      <c r="A14080">
        <f>HYPERLINK("https://www.philgeps.gov.ph/GEPSNONPILOT/Tender/SplashBidNoticeAbstractUI.aspx?menuIndex=3&amp;refID=7060433&amp;Result=3","7060433")</f>
        <v>0</v>
      </c>
      <c r="B14080" t="s">
        <v>1091</v>
      </c>
      <c r="C14080" t="s">
        <v>17023</v>
      </c>
      <c r="D14080" t="s">
        <v>17141</v>
      </c>
      <c r="E14080" t="s">
        <v>29261</v>
      </c>
      <c r="F14080" t="s">
        <v>29372</v>
      </c>
      <c r="G14080" t="s">
        <v>29380</v>
      </c>
      <c r="H14080" t="s">
        <v>11048</v>
      </c>
      <c r="I14080" t="s">
        <v>29395</v>
      </c>
      <c r="J14080" t="s">
        <v>38407</v>
      </c>
      <c r="K14080" t="s">
        <v>38488</v>
      </c>
      <c r="M14080" t="s">
        <v>39898</v>
      </c>
      <c r="N14080" t="s">
        <v>42669</v>
      </c>
      <c r="O14080" t="s">
        <v>42670</v>
      </c>
      <c r="Q14080">
        <v>10</v>
      </c>
      <c r="R14080" t="s">
        <v>42725</v>
      </c>
      <c r="S14080" t="s">
        <v>44246</v>
      </c>
      <c r="T14080" t="s">
        <v>44480</v>
      </c>
      <c r="U14080" t="s">
        <v>56225</v>
      </c>
      <c r="W14080" t="s">
        <v>39898</v>
      </c>
      <c r="X14080" t="s">
        <v>58153</v>
      </c>
    </row>
    <row r="14081" spans="1:24">
      <c r="A14081">
        <f>HYPERLINK("https://www.philgeps.gov.ph/GEPSNONPILOT/Tender/SplashBidNoticeAbstractUI.aspx?menuIndex=3&amp;refID=7097858&amp;Result=3","7097858")</f>
        <v>0</v>
      </c>
      <c r="B14081" t="s">
        <v>3505</v>
      </c>
      <c r="C14081" t="s">
        <v>17024</v>
      </c>
      <c r="D14081" t="s">
        <v>17142</v>
      </c>
      <c r="E14081" t="s">
        <v>29262</v>
      </c>
      <c r="F14081" t="s">
        <v>29372</v>
      </c>
      <c r="G14081" t="s">
        <v>29380</v>
      </c>
      <c r="H14081" t="s">
        <v>11048</v>
      </c>
      <c r="I14081" t="s">
        <v>29505</v>
      </c>
      <c r="J14081" t="s">
        <v>29937</v>
      </c>
      <c r="K14081" t="s">
        <v>38495</v>
      </c>
      <c r="M14081" t="s">
        <v>42652</v>
      </c>
      <c r="N14081" t="s">
        <v>42669</v>
      </c>
      <c r="O14081" t="s">
        <v>42670</v>
      </c>
      <c r="P14081">
        <v>0</v>
      </c>
      <c r="Q14081">
        <v>10</v>
      </c>
      <c r="R14081" t="s">
        <v>42710</v>
      </c>
      <c r="S14081" t="s">
        <v>44247</v>
      </c>
      <c r="T14081" t="s">
        <v>44525</v>
      </c>
      <c r="U14081" t="s">
        <v>56226</v>
      </c>
      <c r="W14081" t="s">
        <v>42652</v>
      </c>
      <c r="X14081" t="s">
        <v>42716</v>
      </c>
    </row>
    <row r="14082" spans="1:24">
      <c r="A14082">
        <f>HYPERLINK("https://www.philgeps.gov.ph/GEPSNONPILOT/Tender/SplashBidNoticeAbstractUI.aspx?menuIndex=3&amp;refID=7087939&amp;Result=3","7087939")</f>
        <v>0</v>
      </c>
      <c r="B14082" t="s">
        <v>3377</v>
      </c>
      <c r="C14082" t="s">
        <v>17025</v>
      </c>
      <c r="D14082" t="s">
        <v>17142</v>
      </c>
      <c r="E14082" t="s">
        <v>29263</v>
      </c>
      <c r="F14082" t="s">
        <v>29372</v>
      </c>
      <c r="G14082" t="s">
        <v>29380</v>
      </c>
      <c r="H14082" t="s">
        <v>29389</v>
      </c>
      <c r="I14082" t="s">
        <v>4709</v>
      </c>
      <c r="J14082" t="s">
        <v>38408</v>
      </c>
      <c r="K14082" t="s">
        <v>38496</v>
      </c>
      <c r="M14082" t="s">
        <v>42472</v>
      </c>
      <c r="N14082" t="s">
        <v>42669</v>
      </c>
      <c r="O14082" t="s">
        <v>42670</v>
      </c>
      <c r="Q14082">
        <v>7</v>
      </c>
      <c r="R14082" t="s">
        <v>42729</v>
      </c>
      <c r="S14082" t="s">
        <v>42863</v>
      </c>
      <c r="T14082" t="s">
        <v>44415</v>
      </c>
      <c r="U14082" t="s">
        <v>55076</v>
      </c>
      <c r="V14082" t="s">
        <v>57831</v>
      </c>
      <c r="W14082" t="s">
        <v>42472</v>
      </c>
      <c r="X14082" t="s">
        <v>42727</v>
      </c>
    </row>
    <row r="14083" spans="1:24">
      <c r="A14083">
        <f>HYPERLINK("https://www.philgeps.gov.ph/GEPSNONPILOT/Tender/SplashBidNoticeAbstractUI.aspx?menuIndex=3&amp;refID=7095733&amp;Result=3","7095733")</f>
        <v>0</v>
      </c>
      <c r="B14083" t="s">
        <v>542</v>
      </c>
      <c r="C14083" t="s">
        <v>17026</v>
      </c>
      <c r="D14083" t="s">
        <v>17141</v>
      </c>
      <c r="E14083" t="s">
        <v>29264</v>
      </c>
      <c r="F14083" t="s">
        <v>29372</v>
      </c>
      <c r="G14083" t="s">
        <v>29380</v>
      </c>
      <c r="H14083" t="s">
        <v>11048</v>
      </c>
      <c r="I14083" t="s">
        <v>29476</v>
      </c>
      <c r="J14083" t="s">
        <v>38409</v>
      </c>
      <c r="K14083" t="s">
        <v>38490</v>
      </c>
      <c r="M14083" t="s">
        <v>42635</v>
      </c>
      <c r="N14083" t="s">
        <v>42669</v>
      </c>
      <c r="O14083" t="s">
        <v>42670</v>
      </c>
      <c r="Q14083">
        <v>11</v>
      </c>
      <c r="R14083" t="s">
        <v>42710</v>
      </c>
      <c r="S14083" t="s">
        <v>43396</v>
      </c>
      <c r="T14083" t="s">
        <v>44527</v>
      </c>
      <c r="U14083" t="s">
        <v>56227</v>
      </c>
      <c r="W14083" t="s">
        <v>42635</v>
      </c>
      <c r="X14083" t="s">
        <v>42717</v>
      </c>
    </row>
    <row r="14084" spans="1:24">
      <c r="A14084">
        <f>HYPERLINK("https://www.philgeps.gov.ph/GEPSNONPILOT/Tender/SplashBidNoticeAbstractUI.aspx?menuIndex=3&amp;refID=7037190&amp;Result=3","7037190")</f>
        <v>0</v>
      </c>
      <c r="B14084" t="s">
        <v>1543</v>
      </c>
      <c r="C14084" t="s">
        <v>17027</v>
      </c>
      <c r="E14084" t="s">
        <v>29265</v>
      </c>
      <c r="F14084" t="s">
        <v>29372</v>
      </c>
      <c r="G14084" t="s">
        <v>29380</v>
      </c>
      <c r="H14084" t="s">
        <v>11048</v>
      </c>
      <c r="I14084" t="s">
        <v>5383</v>
      </c>
      <c r="J14084" t="s">
        <v>38410</v>
      </c>
      <c r="K14084" t="s">
        <v>38490</v>
      </c>
      <c r="M14084" t="s">
        <v>40392</v>
      </c>
      <c r="N14084" t="s">
        <v>42669</v>
      </c>
      <c r="O14084" t="s">
        <v>42670</v>
      </c>
      <c r="Q14084">
        <v>8</v>
      </c>
      <c r="R14084" t="s">
        <v>42740</v>
      </c>
      <c r="S14084" t="s">
        <v>44248</v>
      </c>
      <c r="T14084" t="s">
        <v>44470</v>
      </c>
      <c r="U14084" t="s">
        <v>56228</v>
      </c>
      <c r="W14084" t="s">
        <v>40392</v>
      </c>
      <c r="X14084" t="s">
        <v>58140</v>
      </c>
    </row>
    <row r="14085" spans="1:24">
      <c r="A14085">
        <f>HYPERLINK("https://www.philgeps.gov.ph/GEPSNONPILOT/Tender/SplashBidNoticeAbstractUI.aspx?menuIndex=3&amp;refID=7098536&amp;Result=3","7098536")</f>
        <v>0</v>
      </c>
      <c r="B14085" t="s">
        <v>808</v>
      </c>
      <c r="C14085" t="s">
        <v>17028</v>
      </c>
      <c r="D14085" t="s">
        <v>17173</v>
      </c>
      <c r="E14085" t="s">
        <v>29266</v>
      </c>
      <c r="F14085" t="s">
        <v>29372</v>
      </c>
      <c r="G14085" t="s">
        <v>29379</v>
      </c>
      <c r="H14085" t="s">
        <v>11048</v>
      </c>
      <c r="I14085" t="s">
        <v>29415</v>
      </c>
      <c r="J14085" t="s">
        <v>29590</v>
      </c>
      <c r="K14085" t="s">
        <v>38488</v>
      </c>
      <c r="M14085" t="s">
        <v>39594</v>
      </c>
      <c r="N14085" t="s">
        <v>42669</v>
      </c>
      <c r="O14085" t="s">
        <v>42670</v>
      </c>
      <c r="Q14085">
        <v>4</v>
      </c>
      <c r="R14085" t="s">
        <v>42710</v>
      </c>
      <c r="S14085" t="s">
        <v>44249</v>
      </c>
      <c r="T14085" t="s">
        <v>44470</v>
      </c>
      <c r="U14085" t="s">
        <v>56229</v>
      </c>
      <c r="V14085" t="s">
        <v>57983</v>
      </c>
      <c r="W14085" t="s">
        <v>39594</v>
      </c>
      <c r="X14085" t="s">
        <v>42716</v>
      </c>
    </row>
    <row r="14086" spans="1:24">
      <c r="A14086">
        <f>HYPERLINK("https://www.philgeps.gov.ph/GEPSNONPILOT/Tender/SplashBidNoticeAbstractUI.aspx?menuIndex=3&amp;refID=7119008&amp;Result=3","7119008")</f>
        <v>0</v>
      </c>
      <c r="B14086" t="s">
        <v>1183</v>
      </c>
      <c r="C14086" t="s">
        <v>17029</v>
      </c>
      <c r="D14086" t="s">
        <v>17171</v>
      </c>
      <c r="E14086" t="s">
        <v>29267</v>
      </c>
      <c r="F14086" t="s">
        <v>29372</v>
      </c>
      <c r="G14086" t="s">
        <v>29380</v>
      </c>
      <c r="H14086" t="s">
        <v>11048</v>
      </c>
      <c r="I14086" t="s">
        <v>3695</v>
      </c>
      <c r="J14086" t="s">
        <v>38411</v>
      </c>
      <c r="K14086" t="s">
        <v>38510</v>
      </c>
      <c r="M14086" t="s">
        <v>42631</v>
      </c>
      <c r="N14086" t="s">
        <v>42669</v>
      </c>
      <c r="O14086" t="s">
        <v>42670</v>
      </c>
      <c r="Q14086">
        <v>12</v>
      </c>
      <c r="R14086" t="s">
        <v>42706</v>
      </c>
      <c r="S14086" t="s">
        <v>44250</v>
      </c>
      <c r="T14086" t="s">
        <v>44873</v>
      </c>
      <c r="U14086" t="s">
        <v>56230</v>
      </c>
      <c r="V14086" t="s">
        <v>57962</v>
      </c>
      <c r="W14086" t="s">
        <v>42631</v>
      </c>
      <c r="X14086" t="s">
        <v>42707</v>
      </c>
    </row>
    <row r="14087" spans="1:24">
      <c r="A14087">
        <f>HYPERLINK("https://www.philgeps.gov.ph/GEPSNONPILOT/Tender/SplashBidNoticeAbstractUI.aspx?menuIndex=3&amp;refID=7118643&amp;Result=3","7118643")</f>
        <v>0</v>
      </c>
      <c r="B14087" t="s">
        <v>1183</v>
      </c>
      <c r="C14087" t="s">
        <v>17030</v>
      </c>
      <c r="D14087" t="s">
        <v>17171</v>
      </c>
      <c r="E14087" t="s">
        <v>29268</v>
      </c>
      <c r="F14087" t="s">
        <v>29372</v>
      </c>
      <c r="G14087" t="s">
        <v>29380</v>
      </c>
      <c r="H14087" t="s">
        <v>11048</v>
      </c>
      <c r="I14087" t="s">
        <v>29407</v>
      </c>
      <c r="J14087" t="s">
        <v>38412</v>
      </c>
      <c r="K14087" t="s">
        <v>38510</v>
      </c>
      <c r="M14087" t="s">
        <v>42625</v>
      </c>
      <c r="N14087" t="s">
        <v>42669</v>
      </c>
      <c r="O14087" t="s">
        <v>42670</v>
      </c>
      <c r="Q14087">
        <v>8</v>
      </c>
      <c r="R14087" t="s">
        <v>42706</v>
      </c>
      <c r="S14087" t="s">
        <v>44251</v>
      </c>
      <c r="T14087" t="s">
        <v>44505</v>
      </c>
      <c r="U14087" t="s">
        <v>56231</v>
      </c>
      <c r="V14087" t="s">
        <v>57962</v>
      </c>
      <c r="W14087" t="s">
        <v>42625</v>
      </c>
      <c r="X14087" t="s">
        <v>42707</v>
      </c>
    </row>
    <row r="14088" spans="1:24">
      <c r="A14088">
        <f>HYPERLINK("https://www.philgeps.gov.ph/GEPSNONPILOT/Tender/SplashBidNoticeAbstractUI.aspx?menuIndex=3&amp;refID=7118609&amp;Result=3","7118609")</f>
        <v>0</v>
      </c>
      <c r="B14088" t="s">
        <v>1183</v>
      </c>
      <c r="C14088" t="s">
        <v>17031</v>
      </c>
      <c r="D14088" t="s">
        <v>17171</v>
      </c>
      <c r="E14088" t="s">
        <v>29269</v>
      </c>
      <c r="F14088" t="s">
        <v>29372</v>
      </c>
      <c r="G14088" t="s">
        <v>29380</v>
      </c>
      <c r="H14088" t="s">
        <v>11048</v>
      </c>
      <c r="I14088" t="s">
        <v>29407</v>
      </c>
      <c r="J14088" t="s">
        <v>38413</v>
      </c>
      <c r="K14088" t="s">
        <v>38510</v>
      </c>
      <c r="M14088" t="s">
        <v>42625</v>
      </c>
      <c r="N14088" t="s">
        <v>42669</v>
      </c>
      <c r="O14088" t="s">
        <v>42670</v>
      </c>
      <c r="Q14088">
        <v>7</v>
      </c>
      <c r="R14088" t="s">
        <v>42706</v>
      </c>
      <c r="S14088" t="s">
        <v>44252</v>
      </c>
      <c r="T14088" t="s">
        <v>44505</v>
      </c>
      <c r="U14088" t="s">
        <v>56232</v>
      </c>
      <c r="V14088" t="s">
        <v>57962</v>
      </c>
      <c r="W14088" t="s">
        <v>42625</v>
      </c>
      <c r="X14088" t="s">
        <v>42707</v>
      </c>
    </row>
    <row r="14089" spans="1:24">
      <c r="A14089">
        <f>HYPERLINK("https://www.philgeps.gov.ph/GEPSNONPILOT/Tender/SplashBidNoticeAbstractUI.aspx?menuIndex=3&amp;refID=7118500&amp;Result=3","7118500")</f>
        <v>0</v>
      </c>
      <c r="B14089" t="s">
        <v>1183</v>
      </c>
      <c r="C14089" t="s">
        <v>17032</v>
      </c>
      <c r="D14089" t="s">
        <v>17171</v>
      </c>
      <c r="E14089" t="s">
        <v>29270</v>
      </c>
      <c r="F14089" t="s">
        <v>29372</v>
      </c>
      <c r="G14089" t="s">
        <v>29380</v>
      </c>
      <c r="H14089" t="s">
        <v>11048</v>
      </c>
      <c r="I14089" t="s">
        <v>29407</v>
      </c>
      <c r="J14089" t="s">
        <v>38414</v>
      </c>
      <c r="K14089" t="s">
        <v>38510</v>
      </c>
      <c r="M14089" t="s">
        <v>42625</v>
      </c>
      <c r="N14089" t="s">
        <v>42669</v>
      </c>
      <c r="O14089" t="s">
        <v>42670</v>
      </c>
      <c r="Q14089">
        <v>4</v>
      </c>
      <c r="R14089" t="s">
        <v>42706</v>
      </c>
      <c r="S14089" t="s">
        <v>44253</v>
      </c>
      <c r="T14089" t="s">
        <v>44505</v>
      </c>
      <c r="U14089" t="s">
        <v>56233</v>
      </c>
      <c r="V14089" t="s">
        <v>57962</v>
      </c>
      <c r="W14089" t="s">
        <v>42625</v>
      </c>
      <c r="X14089" t="s">
        <v>42707</v>
      </c>
    </row>
    <row r="14090" spans="1:24">
      <c r="A14090">
        <f>HYPERLINK("https://www.philgeps.gov.ph/GEPSNONPILOT/Tender/SplashBidNoticeAbstractUI.aspx?menuIndex=3&amp;refID=7121152&amp;Result=3","7121152")</f>
        <v>0</v>
      </c>
      <c r="B14090" t="s">
        <v>946</v>
      </c>
      <c r="C14090" t="s">
        <v>17033</v>
      </c>
      <c r="D14090" t="s">
        <v>17141</v>
      </c>
      <c r="E14090" t="s">
        <v>29271</v>
      </c>
      <c r="F14090" t="s">
        <v>29372</v>
      </c>
      <c r="G14090" t="s">
        <v>29383</v>
      </c>
      <c r="H14090" t="s">
        <v>11048</v>
      </c>
      <c r="I14090" t="s">
        <v>29433</v>
      </c>
      <c r="J14090" t="s">
        <v>38415</v>
      </c>
      <c r="K14090" t="s">
        <v>38490</v>
      </c>
      <c r="M14090" t="s">
        <v>39742</v>
      </c>
      <c r="N14090" t="s">
        <v>42669</v>
      </c>
      <c r="O14090" t="s">
        <v>42670</v>
      </c>
      <c r="Q14090">
        <v>12</v>
      </c>
      <c r="R14090" t="s">
        <v>42705</v>
      </c>
      <c r="S14090" t="s">
        <v>44254</v>
      </c>
      <c r="T14090" t="s">
        <v>44417</v>
      </c>
      <c r="U14090" t="s">
        <v>56234</v>
      </c>
      <c r="V14090" t="s">
        <v>56592</v>
      </c>
      <c r="W14090" t="s">
        <v>39742</v>
      </c>
      <c r="X14090" t="s">
        <v>42706</v>
      </c>
    </row>
    <row r="14091" spans="1:24">
      <c r="A14091">
        <f>HYPERLINK("https://www.philgeps.gov.ph/GEPSNONPILOT/Tender/SplashBidNoticeAbstractUI.aspx?menuIndex=3&amp;refID=6986391&amp;Result=3","6986391")</f>
        <v>0</v>
      </c>
      <c r="B14091" t="s">
        <v>3506</v>
      </c>
      <c r="C14091" t="s">
        <v>17034</v>
      </c>
      <c r="D14091" t="s">
        <v>17164</v>
      </c>
      <c r="E14091" t="s">
        <v>29272</v>
      </c>
      <c r="F14091" t="s">
        <v>29372</v>
      </c>
      <c r="G14091" t="s">
        <v>29380</v>
      </c>
      <c r="H14091" t="s">
        <v>29389</v>
      </c>
      <c r="I14091" t="s">
        <v>29413</v>
      </c>
      <c r="J14091" t="s">
        <v>31893</v>
      </c>
      <c r="K14091" t="s">
        <v>38522</v>
      </c>
      <c r="M14091" t="s">
        <v>42653</v>
      </c>
      <c r="N14091" t="s">
        <v>42669</v>
      </c>
      <c r="O14091" t="s">
        <v>42670</v>
      </c>
      <c r="Q14091">
        <v>15</v>
      </c>
      <c r="R14091" t="s">
        <v>42741</v>
      </c>
      <c r="S14091" t="s">
        <v>44255</v>
      </c>
      <c r="T14091" t="s">
        <v>44874</v>
      </c>
      <c r="U14091" t="s">
        <v>56235</v>
      </c>
      <c r="W14091" t="s">
        <v>42653</v>
      </c>
      <c r="X14091" t="s">
        <v>58148</v>
      </c>
    </row>
    <row r="14092" spans="1:24">
      <c r="A14092">
        <f>HYPERLINK("https://www.philgeps.gov.ph/GEPSNONPILOT/Tender/SplashBidNoticeAbstractUI.aspx?menuIndex=3&amp;refID=7049194&amp;Result=3","7049194")</f>
        <v>0</v>
      </c>
      <c r="B14092" t="s">
        <v>3504</v>
      </c>
      <c r="C14092" t="s">
        <v>17035</v>
      </c>
      <c r="D14092" t="s">
        <v>17189</v>
      </c>
      <c r="E14092" t="s">
        <v>29273</v>
      </c>
      <c r="F14092" t="s">
        <v>29372</v>
      </c>
      <c r="G14092" t="s">
        <v>29380</v>
      </c>
      <c r="H14092" t="s">
        <v>29389</v>
      </c>
      <c r="I14092" t="s">
        <v>10408</v>
      </c>
      <c r="J14092" t="s">
        <v>38253</v>
      </c>
      <c r="K14092" t="s">
        <v>38732</v>
      </c>
      <c r="M14092" t="s">
        <v>42651</v>
      </c>
      <c r="N14092" t="s">
        <v>42669</v>
      </c>
      <c r="O14092" t="s">
        <v>42670</v>
      </c>
      <c r="Q14092">
        <v>4</v>
      </c>
      <c r="R14092" t="s">
        <v>42738</v>
      </c>
      <c r="S14092" t="s">
        <v>44256</v>
      </c>
      <c r="T14092" t="s">
        <v>44371</v>
      </c>
      <c r="U14092" t="s">
        <v>56219</v>
      </c>
      <c r="W14092" t="s">
        <v>42651</v>
      </c>
      <c r="X14092" t="s">
        <v>58155</v>
      </c>
    </row>
    <row r="14093" spans="1:24">
      <c r="A14093">
        <f>HYPERLINK("https://www.philgeps.gov.ph/GEPSNONPILOT/Tender/SplashBidNoticeAbstractUI.aspx?menuIndex=3&amp;refID=6976974&amp;Result=3","6976974")</f>
        <v>0</v>
      </c>
      <c r="B14093" t="s">
        <v>3507</v>
      </c>
      <c r="C14093" t="s">
        <v>17036</v>
      </c>
      <c r="D14093" t="s">
        <v>17166</v>
      </c>
      <c r="E14093" t="s">
        <v>29274</v>
      </c>
      <c r="F14093" t="s">
        <v>29372</v>
      </c>
      <c r="G14093" t="s">
        <v>29380</v>
      </c>
      <c r="H14093" t="s">
        <v>11048</v>
      </c>
      <c r="I14093" t="s">
        <v>10408</v>
      </c>
      <c r="J14093" t="s">
        <v>38416</v>
      </c>
      <c r="K14093" t="s">
        <v>38522</v>
      </c>
      <c r="M14093" t="s">
        <v>42654</v>
      </c>
      <c r="N14093" t="s">
        <v>42669</v>
      </c>
      <c r="O14093" t="s">
        <v>42670</v>
      </c>
      <c r="Q14093">
        <v>10</v>
      </c>
      <c r="R14093" t="s">
        <v>42742</v>
      </c>
      <c r="S14093" t="s">
        <v>44257</v>
      </c>
      <c r="T14093" t="s">
        <v>44875</v>
      </c>
      <c r="U14093" t="s">
        <v>56236</v>
      </c>
      <c r="W14093" t="s">
        <v>42654</v>
      </c>
      <c r="X14093" t="s">
        <v>42776</v>
      </c>
    </row>
    <row r="14094" spans="1:24">
      <c r="A14094">
        <f>HYPERLINK("https://www.philgeps.gov.ph/GEPSNONPILOT/Tender/SplashBidNoticeAbstractUI.aspx?menuIndex=3&amp;refID=7097851&amp;Result=3","7097851")</f>
        <v>0</v>
      </c>
      <c r="B14094" t="s">
        <v>413</v>
      </c>
      <c r="C14094" t="s">
        <v>17037</v>
      </c>
      <c r="D14094" t="s">
        <v>17141</v>
      </c>
      <c r="E14094" t="s">
        <v>29275</v>
      </c>
      <c r="F14094" t="s">
        <v>29372</v>
      </c>
      <c r="G14094" t="s">
        <v>29382</v>
      </c>
      <c r="H14094" t="s">
        <v>11048</v>
      </c>
      <c r="I14094" t="s">
        <v>3670</v>
      </c>
      <c r="J14094" t="s">
        <v>38417</v>
      </c>
      <c r="K14094" t="s">
        <v>38488</v>
      </c>
      <c r="M14094" t="s">
        <v>39708</v>
      </c>
      <c r="N14094" t="s">
        <v>42669</v>
      </c>
      <c r="O14094" t="s">
        <v>42670</v>
      </c>
      <c r="Q14094">
        <v>4</v>
      </c>
      <c r="R14094" t="s">
        <v>42710</v>
      </c>
      <c r="S14094" t="s">
        <v>44258</v>
      </c>
      <c r="T14094" t="s">
        <v>44525</v>
      </c>
      <c r="U14094" t="s">
        <v>46704</v>
      </c>
      <c r="V14094" t="s">
        <v>57984</v>
      </c>
      <c r="W14094" t="s">
        <v>39708</v>
      </c>
      <c r="X14094" t="s">
        <v>42716</v>
      </c>
    </row>
    <row r="14095" spans="1:24">
      <c r="A14095">
        <f>HYPERLINK("https://www.philgeps.gov.ph/GEPSNONPILOT/Tender/SplashBidNoticeAbstractUI.aspx?menuIndex=3&amp;refID=6976799&amp;Result=3","6976799")</f>
        <v>0</v>
      </c>
      <c r="B14095" t="s">
        <v>3507</v>
      </c>
      <c r="C14095" t="s">
        <v>17038</v>
      </c>
      <c r="D14095" t="s">
        <v>17166</v>
      </c>
      <c r="E14095" t="s">
        <v>29276</v>
      </c>
      <c r="F14095" t="s">
        <v>29372</v>
      </c>
      <c r="G14095" t="s">
        <v>29380</v>
      </c>
      <c r="H14095" t="s">
        <v>29389</v>
      </c>
      <c r="I14095" t="s">
        <v>10408</v>
      </c>
      <c r="J14095" t="s">
        <v>38418</v>
      </c>
      <c r="K14095" t="s">
        <v>38522</v>
      </c>
      <c r="M14095" t="s">
        <v>42654</v>
      </c>
      <c r="N14095" t="s">
        <v>42669</v>
      </c>
      <c r="O14095" t="s">
        <v>42670</v>
      </c>
      <c r="Q14095">
        <v>6</v>
      </c>
      <c r="R14095" t="s">
        <v>42742</v>
      </c>
      <c r="S14095" t="s">
        <v>44259</v>
      </c>
      <c r="T14095" t="s">
        <v>44875</v>
      </c>
      <c r="U14095" t="s">
        <v>56237</v>
      </c>
      <c r="W14095" t="s">
        <v>42654</v>
      </c>
      <c r="X14095" t="s">
        <v>42776</v>
      </c>
    </row>
    <row r="14096" spans="1:24">
      <c r="A14096">
        <f>HYPERLINK("https://www.philgeps.gov.ph/GEPSNONPILOT/Tender/SplashBidNoticeAbstractUI.aspx?menuIndex=3&amp;refID=6986257&amp;Result=3","6986257")</f>
        <v>0</v>
      </c>
      <c r="B14096" t="s">
        <v>1233</v>
      </c>
      <c r="C14096" t="s">
        <v>17039</v>
      </c>
      <c r="E14096" t="s">
        <v>29277</v>
      </c>
      <c r="F14096" t="s">
        <v>29372</v>
      </c>
      <c r="G14096" t="s">
        <v>29380</v>
      </c>
      <c r="H14096" t="s">
        <v>29389</v>
      </c>
      <c r="I14096" t="s">
        <v>10408</v>
      </c>
      <c r="J14096" t="s">
        <v>38419</v>
      </c>
      <c r="K14096" t="s">
        <v>38490</v>
      </c>
      <c r="M14096" t="s">
        <v>40054</v>
      </c>
      <c r="N14096" t="s">
        <v>42669</v>
      </c>
      <c r="O14096" t="s">
        <v>42670</v>
      </c>
      <c r="Q14096">
        <v>33</v>
      </c>
      <c r="R14096" t="s">
        <v>42741</v>
      </c>
      <c r="S14096" t="s">
        <v>44260</v>
      </c>
      <c r="T14096" t="s">
        <v>44527</v>
      </c>
      <c r="U14096" t="s">
        <v>56238</v>
      </c>
      <c r="W14096" t="s">
        <v>58041</v>
      </c>
      <c r="X14096" t="s">
        <v>58148</v>
      </c>
    </row>
    <row r="14097" spans="1:24">
      <c r="A14097">
        <f>HYPERLINK("https://www.philgeps.gov.ph/GEPSNONPILOT/Tender/SplashBidNoticeAbstractUI.aspx?menuIndex=3&amp;refID=7006586&amp;Result=3","7006586")</f>
        <v>0</v>
      </c>
      <c r="B14097" t="s">
        <v>1792</v>
      </c>
      <c r="C14097" t="s">
        <v>17040</v>
      </c>
      <c r="D14097" t="s">
        <v>17141</v>
      </c>
      <c r="E14097" t="s">
        <v>29278</v>
      </c>
      <c r="F14097" t="s">
        <v>29372</v>
      </c>
      <c r="G14097" t="s">
        <v>29379</v>
      </c>
      <c r="H14097" t="s">
        <v>11048</v>
      </c>
      <c r="I14097" t="s">
        <v>3629</v>
      </c>
      <c r="J14097" t="s">
        <v>38420</v>
      </c>
      <c r="K14097" t="s">
        <v>38490</v>
      </c>
      <c r="M14097" t="s">
        <v>40944</v>
      </c>
      <c r="N14097" t="s">
        <v>42669</v>
      </c>
      <c r="O14097" t="s">
        <v>42670</v>
      </c>
      <c r="Q14097">
        <v>6</v>
      </c>
      <c r="R14097" t="s">
        <v>42743</v>
      </c>
      <c r="S14097" t="s">
        <v>44261</v>
      </c>
      <c r="T14097" t="s">
        <v>44417</v>
      </c>
      <c r="U14097" t="s">
        <v>56239</v>
      </c>
      <c r="W14097" t="s">
        <v>40944</v>
      </c>
      <c r="X14097" t="s">
        <v>58156</v>
      </c>
    </row>
    <row r="14098" spans="1:24">
      <c r="A14098">
        <f>HYPERLINK("https://www.philgeps.gov.ph/GEPSNONPILOT/Tender/SplashBidNoticeAbstractUI.aspx?menuIndex=3&amp;refID=6979366&amp;Result=3","6979366")</f>
        <v>0</v>
      </c>
      <c r="B14098" t="s">
        <v>3508</v>
      </c>
      <c r="C14098" t="s">
        <v>17041</v>
      </c>
      <c r="D14098" t="s">
        <v>17141</v>
      </c>
      <c r="E14098" t="s">
        <v>29279</v>
      </c>
      <c r="F14098" t="s">
        <v>29372</v>
      </c>
      <c r="G14098" t="s">
        <v>29380</v>
      </c>
      <c r="H14098" t="s">
        <v>11048</v>
      </c>
      <c r="I14098" t="s">
        <v>8614</v>
      </c>
      <c r="J14098" t="s">
        <v>38421</v>
      </c>
      <c r="K14098" t="s">
        <v>38485</v>
      </c>
      <c r="M14098" t="s">
        <v>42655</v>
      </c>
      <c r="N14098" t="s">
        <v>42669</v>
      </c>
      <c r="O14098" t="s">
        <v>42670</v>
      </c>
      <c r="Q14098">
        <v>35</v>
      </c>
      <c r="R14098" t="s">
        <v>42744</v>
      </c>
      <c r="S14098" t="s">
        <v>44262</v>
      </c>
      <c r="T14098" t="s">
        <v>44506</v>
      </c>
      <c r="U14098" t="s">
        <v>56240</v>
      </c>
      <c r="W14098" t="s">
        <v>42655</v>
      </c>
      <c r="X14098" t="s">
        <v>58157</v>
      </c>
    </row>
    <row r="14099" spans="1:24">
      <c r="A14099">
        <f>HYPERLINK("https://www.philgeps.gov.ph/GEPSNONPILOT/Tender/SplashBidNoticeAbstractUI.aspx?menuIndex=3&amp;refID=6976656&amp;Result=3","6976656")</f>
        <v>0</v>
      </c>
      <c r="B14099" t="s">
        <v>3507</v>
      </c>
      <c r="C14099" t="s">
        <v>17042</v>
      </c>
      <c r="D14099" t="s">
        <v>17166</v>
      </c>
      <c r="E14099" t="s">
        <v>29280</v>
      </c>
      <c r="F14099" t="s">
        <v>29372</v>
      </c>
      <c r="G14099" t="s">
        <v>29380</v>
      </c>
      <c r="H14099" t="s">
        <v>29389</v>
      </c>
      <c r="I14099" t="s">
        <v>10408</v>
      </c>
      <c r="J14099" t="s">
        <v>38422</v>
      </c>
      <c r="K14099" t="s">
        <v>38522</v>
      </c>
      <c r="M14099" t="s">
        <v>42654</v>
      </c>
      <c r="N14099" t="s">
        <v>42669</v>
      </c>
      <c r="O14099" t="s">
        <v>42670</v>
      </c>
      <c r="Q14099">
        <v>13</v>
      </c>
      <c r="R14099" t="s">
        <v>42742</v>
      </c>
      <c r="S14099" t="s">
        <v>44263</v>
      </c>
      <c r="T14099" t="s">
        <v>44875</v>
      </c>
      <c r="U14099" t="s">
        <v>56241</v>
      </c>
      <c r="W14099" t="s">
        <v>42654</v>
      </c>
      <c r="X14099" t="s">
        <v>42776</v>
      </c>
    </row>
    <row r="14100" spans="1:24">
      <c r="A14100">
        <f>HYPERLINK("https://www.philgeps.gov.ph/GEPSNONPILOT/Tender/SplashBidNoticeAbstractUI.aspx?menuIndex=3&amp;refID=7013780&amp;Result=3","7013780")</f>
        <v>0</v>
      </c>
      <c r="B14100" t="s">
        <v>1233</v>
      </c>
      <c r="C14100" t="s">
        <v>17043</v>
      </c>
      <c r="E14100" t="s">
        <v>29281</v>
      </c>
      <c r="F14100" t="s">
        <v>29372</v>
      </c>
      <c r="G14100" t="s">
        <v>29380</v>
      </c>
      <c r="H14100" t="s">
        <v>29389</v>
      </c>
      <c r="I14100" t="s">
        <v>10408</v>
      </c>
      <c r="J14100" t="s">
        <v>38423</v>
      </c>
      <c r="K14100" t="s">
        <v>38490</v>
      </c>
      <c r="M14100" t="s">
        <v>40054</v>
      </c>
      <c r="N14100" t="s">
        <v>42669</v>
      </c>
      <c r="O14100" t="s">
        <v>42670</v>
      </c>
      <c r="Q14100">
        <v>6</v>
      </c>
      <c r="R14100" t="s">
        <v>42745</v>
      </c>
      <c r="S14100" t="s">
        <v>44264</v>
      </c>
      <c r="T14100" t="s">
        <v>44527</v>
      </c>
      <c r="U14100" t="s">
        <v>56242</v>
      </c>
      <c r="W14100" t="s">
        <v>58041</v>
      </c>
      <c r="X14100" t="s">
        <v>58158</v>
      </c>
    </row>
    <row r="14101" spans="1:24">
      <c r="A14101">
        <f>HYPERLINK("https://www.philgeps.gov.ph/GEPSNONPILOT/Tender/SplashBidNoticeAbstractUI.aspx?menuIndex=3&amp;refID=7018226&amp;Result=3","7018226")</f>
        <v>0</v>
      </c>
      <c r="B14101" t="s">
        <v>2243</v>
      </c>
      <c r="C14101" t="s">
        <v>17044</v>
      </c>
      <c r="D14101" t="s">
        <v>17189</v>
      </c>
      <c r="E14101" t="s">
        <v>29282</v>
      </c>
      <c r="F14101" t="s">
        <v>29372</v>
      </c>
      <c r="G14101" t="s">
        <v>29380</v>
      </c>
      <c r="H14101" t="s">
        <v>29389</v>
      </c>
      <c r="I14101" t="s">
        <v>10408</v>
      </c>
      <c r="J14101" t="s">
        <v>38424</v>
      </c>
      <c r="K14101" t="s">
        <v>38564</v>
      </c>
      <c r="M14101" t="s">
        <v>42573</v>
      </c>
      <c r="N14101" t="s">
        <v>42669</v>
      </c>
      <c r="O14101" t="s">
        <v>42670</v>
      </c>
      <c r="Q14101">
        <v>14</v>
      </c>
      <c r="R14101" t="s">
        <v>42746</v>
      </c>
      <c r="S14101" t="s">
        <v>44265</v>
      </c>
      <c r="T14101" t="s">
        <v>44470</v>
      </c>
      <c r="U14101" t="s">
        <v>56243</v>
      </c>
      <c r="W14101" t="s">
        <v>42573</v>
      </c>
      <c r="X14101" t="s">
        <v>42747</v>
      </c>
    </row>
    <row r="14102" spans="1:24">
      <c r="A14102">
        <f>HYPERLINK("https://www.philgeps.gov.ph/GEPSNONPILOT/Tender/SplashBidNoticeAbstractUI.aspx?menuIndex=3&amp;refID=7018218&amp;Result=3","7018218")</f>
        <v>0</v>
      </c>
      <c r="B14102" t="s">
        <v>2243</v>
      </c>
      <c r="C14102" t="s">
        <v>17045</v>
      </c>
      <c r="D14102" t="s">
        <v>17189</v>
      </c>
      <c r="E14102" t="s">
        <v>29283</v>
      </c>
      <c r="F14102" t="s">
        <v>29372</v>
      </c>
      <c r="G14102" t="s">
        <v>29380</v>
      </c>
      <c r="H14102" t="s">
        <v>29389</v>
      </c>
      <c r="I14102" t="s">
        <v>10408</v>
      </c>
      <c r="J14102" t="s">
        <v>38425</v>
      </c>
      <c r="K14102" t="s">
        <v>38564</v>
      </c>
      <c r="M14102" t="s">
        <v>42573</v>
      </c>
      <c r="N14102" t="s">
        <v>42669</v>
      </c>
      <c r="O14102" t="s">
        <v>42670</v>
      </c>
      <c r="Q14102">
        <v>17</v>
      </c>
      <c r="R14102" t="s">
        <v>42746</v>
      </c>
      <c r="S14102" t="s">
        <v>44266</v>
      </c>
      <c r="T14102" t="s">
        <v>44470</v>
      </c>
      <c r="U14102" t="s">
        <v>56244</v>
      </c>
      <c r="W14102" t="s">
        <v>42573</v>
      </c>
      <c r="X14102" t="s">
        <v>42747</v>
      </c>
    </row>
    <row r="14103" spans="1:24">
      <c r="A14103">
        <f>HYPERLINK("https://www.philgeps.gov.ph/GEPSNONPILOT/Tender/SplashBidNoticeAbstractUI.aspx?menuIndex=3&amp;refID=6976716&amp;Result=3","6976716")</f>
        <v>0</v>
      </c>
      <c r="B14103" t="s">
        <v>3507</v>
      </c>
      <c r="C14103" t="s">
        <v>17046</v>
      </c>
      <c r="D14103" t="s">
        <v>17166</v>
      </c>
      <c r="E14103" t="s">
        <v>29284</v>
      </c>
      <c r="F14103" t="s">
        <v>29372</v>
      </c>
      <c r="G14103" t="s">
        <v>29380</v>
      </c>
      <c r="H14103" t="s">
        <v>29389</v>
      </c>
      <c r="I14103" t="s">
        <v>10408</v>
      </c>
      <c r="J14103" t="s">
        <v>38426</v>
      </c>
      <c r="K14103" t="s">
        <v>38522</v>
      </c>
      <c r="M14103" t="s">
        <v>42654</v>
      </c>
      <c r="N14103" t="s">
        <v>42669</v>
      </c>
      <c r="O14103" t="s">
        <v>42670</v>
      </c>
      <c r="Q14103">
        <v>8</v>
      </c>
      <c r="R14103" t="s">
        <v>42742</v>
      </c>
      <c r="S14103" t="s">
        <v>44267</v>
      </c>
      <c r="T14103" t="s">
        <v>44875</v>
      </c>
      <c r="U14103" t="s">
        <v>56245</v>
      </c>
      <c r="W14103" t="s">
        <v>42654</v>
      </c>
      <c r="X14103" t="s">
        <v>42776</v>
      </c>
    </row>
    <row r="14104" spans="1:24">
      <c r="A14104">
        <f>HYPERLINK("https://www.philgeps.gov.ph/GEPSNONPILOT/Tender/SplashBidNoticeAbstractUI.aspx?menuIndex=3&amp;refID=7093886&amp;Result=3","7093886")</f>
        <v>0</v>
      </c>
      <c r="B14104" t="s">
        <v>173</v>
      </c>
      <c r="C14104" t="s">
        <v>17047</v>
      </c>
      <c r="D14104" t="s">
        <v>17141</v>
      </c>
      <c r="E14104" t="s">
        <v>29285</v>
      </c>
      <c r="F14104" t="s">
        <v>29372</v>
      </c>
      <c r="G14104" t="s">
        <v>29380</v>
      </c>
      <c r="H14104" t="s">
        <v>11048</v>
      </c>
      <c r="I14104" t="s">
        <v>29520</v>
      </c>
      <c r="J14104" t="s">
        <v>29728</v>
      </c>
      <c r="K14104" t="s">
        <v>38485</v>
      </c>
      <c r="M14104" t="s">
        <v>42656</v>
      </c>
      <c r="N14104" t="s">
        <v>42669</v>
      </c>
      <c r="O14104" t="s">
        <v>42670</v>
      </c>
      <c r="Q14104">
        <v>3</v>
      </c>
      <c r="R14104" t="s">
        <v>42717</v>
      </c>
      <c r="S14104" t="s">
        <v>43242</v>
      </c>
      <c r="T14104" t="s">
        <v>44382</v>
      </c>
      <c r="U14104" t="s">
        <v>56246</v>
      </c>
      <c r="W14104" t="s">
        <v>42656</v>
      </c>
      <c r="X14104" t="s">
        <v>42729</v>
      </c>
    </row>
    <row r="14105" spans="1:24">
      <c r="A14105">
        <f>HYPERLINK("https://www.philgeps.gov.ph/GEPSNONPILOT/Tender/SplashBidNoticeAbstractUI.aspx?menuIndex=3&amp;refID=7062476&amp;Result=3","7062476")</f>
        <v>0</v>
      </c>
      <c r="B14105" t="s">
        <v>2017</v>
      </c>
      <c r="C14105" t="s">
        <v>17048</v>
      </c>
      <c r="D14105" t="s">
        <v>17228</v>
      </c>
      <c r="E14105" t="s">
        <v>29286</v>
      </c>
      <c r="F14105" t="s">
        <v>29372</v>
      </c>
      <c r="G14105" t="s">
        <v>29380</v>
      </c>
      <c r="H14105" t="s">
        <v>29389</v>
      </c>
      <c r="I14105" t="s">
        <v>10408</v>
      </c>
      <c r="J14105" t="s">
        <v>38069</v>
      </c>
      <c r="K14105" t="s">
        <v>38709</v>
      </c>
      <c r="M14105" t="s">
        <v>40909</v>
      </c>
      <c r="N14105" t="s">
        <v>42669</v>
      </c>
      <c r="O14105" t="s">
        <v>42670</v>
      </c>
      <c r="Q14105">
        <v>14</v>
      </c>
      <c r="R14105" t="s">
        <v>42726</v>
      </c>
      <c r="S14105" t="s">
        <v>44268</v>
      </c>
      <c r="T14105" t="s">
        <v>44401</v>
      </c>
      <c r="U14105" t="s">
        <v>56247</v>
      </c>
      <c r="W14105" t="s">
        <v>40909</v>
      </c>
      <c r="X14105" t="s">
        <v>42725</v>
      </c>
    </row>
    <row r="14106" spans="1:24">
      <c r="A14106">
        <f>HYPERLINK("https://www.philgeps.gov.ph/GEPSNONPILOT/Tender/SplashBidNoticeAbstractUI.aspx?menuIndex=3&amp;refID=7016421&amp;Result=3","7016421")</f>
        <v>0</v>
      </c>
      <c r="B14106" t="s">
        <v>1297</v>
      </c>
      <c r="C14106" t="s">
        <v>17049</v>
      </c>
      <c r="D14106" t="s">
        <v>17154</v>
      </c>
      <c r="E14106" t="s">
        <v>29287</v>
      </c>
      <c r="F14106" t="s">
        <v>29372</v>
      </c>
      <c r="G14106" t="s">
        <v>29380</v>
      </c>
      <c r="H14106" t="s">
        <v>29389</v>
      </c>
      <c r="I14106" t="s">
        <v>10408</v>
      </c>
      <c r="J14106" t="s">
        <v>38390</v>
      </c>
      <c r="K14106" t="s">
        <v>38772</v>
      </c>
      <c r="M14106" t="s">
        <v>40126</v>
      </c>
      <c r="N14106" t="s">
        <v>42669</v>
      </c>
      <c r="O14106" t="s">
        <v>42670</v>
      </c>
      <c r="Q14106">
        <v>51</v>
      </c>
      <c r="R14106" t="s">
        <v>42747</v>
      </c>
      <c r="S14106" t="s">
        <v>44269</v>
      </c>
      <c r="T14106" t="s">
        <v>44426</v>
      </c>
      <c r="U14106" t="s">
        <v>56248</v>
      </c>
      <c r="V14106" t="s">
        <v>57985</v>
      </c>
      <c r="W14106" t="s">
        <v>40126</v>
      </c>
      <c r="X14106" t="s">
        <v>42745</v>
      </c>
    </row>
    <row r="14107" spans="1:24">
      <c r="A14107">
        <f>HYPERLINK("https://www.philgeps.gov.ph/GEPSNONPILOT/Tender/SplashBidNoticeAbstractUI.aspx?menuIndex=3&amp;refID=7062662&amp;Result=3","7062662")</f>
        <v>0</v>
      </c>
      <c r="B14107" t="s">
        <v>2017</v>
      </c>
      <c r="C14107" t="s">
        <v>17050</v>
      </c>
      <c r="D14107" t="s">
        <v>17228</v>
      </c>
      <c r="E14107" t="s">
        <v>29288</v>
      </c>
      <c r="F14107" t="s">
        <v>29372</v>
      </c>
      <c r="G14107" t="s">
        <v>29380</v>
      </c>
      <c r="H14107" t="s">
        <v>29389</v>
      </c>
      <c r="I14107" t="s">
        <v>10408</v>
      </c>
      <c r="J14107" t="s">
        <v>38069</v>
      </c>
      <c r="K14107" t="s">
        <v>38709</v>
      </c>
      <c r="M14107" t="s">
        <v>40909</v>
      </c>
      <c r="N14107" t="s">
        <v>42669</v>
      </c>
      <c r="O14107" t="s">
        <v>42670</v>
      </c>
      <c r="Q14107">
        <v>11</v>
      </c>
      <c r="R14107" t="s">
        <v>42726</v>
      </c>
      <c r="S14107" t="s">
        <v>44270</v>
      </c>
      <c r="T14107" t="s">
        <v>44470</v>
      </c>
      <c r="U14107" t="s">
        <v>56249</v>
      </c>
      <c r="W14107" t="s">
        <v>40909</v>
      </c>
      <c r="X14107" t="s">
        <v>42725</v>
      </c>
    </row>
    <row r="14108" spans="1:24">
      <c r="A14108">
        <f>HYPERLINK("https://www.philgeps.gov.ph/GEPSNONPILOT/Tender/SplashBidNoticeAbstractUI.aspx?menuIndex=3&amp;refID=7018186&amp;Result=3","7018186")</f>
        <v>0</v>
      </c>
      <c r="B14108" t="s">
        <v>2243</v>
      </c>
      <c r="C14108" t="s">
        <v>17051</v>
      </c>
      <c r="D14108" t="s">
        <v>17189</v>
      </c>
      <c r="E14108" t="s">
        <v>29289</v>
      </c>
      <c r="F14108" t="s">
        <v>29372</v>
      </c>
      <c r="G14108" t="s">
        <v>29380</v>
      </c>
      <c r="H14108" t="s">
        <v>29389</v>
      </c>
      <c r="I14108" t="s">
        <v>10408</v>
      </c>
      <c r="J14108" t="s">
        <v>38427</v>
      </c>
      <c r="K14108" t="s">
        <v>38602</v>
      </c>
      <c r="M14108" t="s">
        <v>42573</v>
      </c>
      <c r="N14108" t="s">
        <v>42669</v>
      </c>
      <c r="O14108" t="s">
        <v>42670</v>
      </c>
      <c r="Q14108">
        <v>15</v>
      </c>
      <c r="R14108" t="s">
        <v>42746</v>
      </c>
      <c r="S14108" t="s">
        <v>44271</v>
      </c>
      <c r="T14108" t="s">
        <v>44409</v>
      </c>
      <c r="U14108" t="s">
        <v>56250</v>
      </c>
      <c r="W14108" t="s">
        <v>42573</v>
      </c>
      <c r="X14108" t="s">
        <v>42747</v>
      </c>
    </row>
    <row r="14109" spans="1:24">
      <c r="A14109">
        <f>HYPERLINK("https://www.philgeps.gov.ph/GEPSNONPILOT/Tender/SplashBidNoticeAbstractUI.aspx?menuIndex=3&amp;refID=6942354&amp;Result=3","6942354")</f>
        <v>0</v>
      </c>
      <c r="B14109" t="s">
        <v>3509</v>
      </c>
      <c r="C14109" t="s">
        <v>17052</v>
      </c>
      <c r="D14109" t="s">
        <v>17160</v>
      </c>
      <c r="E14109" t="s">
        <v>29290</v>
      </c>
      <c r="F14109" t="s">
        <v>29372</v>
      </c>
      <c r="G14109" t="s">
        <v>29380</v>
      </c>
      <c r="H14109" t="s">
        <v>29389</v>
      </c>
      <c r="I14109" t="s">
        <v>10408</v>
      </c>
      <c r="J14109" t="s">
        <v>31487</v>
      </c>
      <c r="K14109" t="s">
        <v>38526</v>
      </c>
      <c r="M14109" t="s">
        <v>42657</v>
      </c>
      <c r="N14109" t="s">
        <v>42669</v>
      </c>
      <c r="O14109" t="s">
        <v>42670</v>
      </c>
      <c r="Q14109">
        <v>7</v>
      </c>
      <c r="R14109" t="s">
        <v>42748</v>
      </c>
      <c r="S14109" t="s">
        <v>43366</v>
      </c>
      <c r="T14109" t="s">
        <v>44375</v>
      </c>
      <c r="U14109" t="s">
        <v>56251</v>
      </c>
      <c r="W14109" t="s">
        <v>42657</v>
      </c>
      <c r="X14109" t="s">
        <v>42749</v>
      </c>
    </row>
    <row r="14110" spans="1:24">
      <c r="A14110">
        <f>HYPERLINK("https://www.philgeps.gov.ph/GEPSNONPILOT/Tender/SplashBidNoticeAbstractUI.aspx?menuIndex=3&amp;refID=7018207&amp;Result=3","7018207")</f>
        <v>0</v>
      </c>
      <c r="B14110" t="s">
        <v>2243</v>
      </c>
      <c r="C14110" t="s">
        <v>17053</v>
      </c>
      <c r="D14110" t="s">
        <v>17189</v>
      </c>
      <c r="E14110" t="s">
        <v>29291</v>
      </c>
      <c r="F14110" t="s">
        <v>29372</v>
      </c>
      <c r="G14110" t="s">
        <v>29380</v>
      </c>
      <c r="H14110" t="s">
        <v>29389</v>
      </c>
      <c r="I14110" t="s">
        <v>10408</v>
      </c>
      <c r="J14110" t="s">
        <v>31645</v>
      </c>
      <c r="K14110" t="s">
        <v>38495</v>
      </c>
      <c r="M14110" t="s">
        <v>42573</v>
      </c>
      <c r="N14110" t="s">
        <v>42669</v>
      </c>
      <c r="O14110" t="s">
        <v>42670</v>
      </c>
      <c r="Q14110">
        <v>13</v>
      </c>
      <c r="R14110" t="s">
        <v>42746</v>
      </c>
      <c r="S14110" t="s">
        <v>44272</v>
      </c>
      <c r="T14110" t="s">
        <v>44470</v>
      </c>
      <c r="U14110" t="s">
        <v>56252</v>
      </c>
      <c r="W14110" t="s">
        <v>42573</v>
      </c>
      <c r="X14110" t="s">
        <v>42747</v>
      </c>
    </row>
    <row r="14111" spans="1:24">
      <c r="A14111">
        <f>HYPERLINK("https://www.philgeps.gov.ph/GEPSNONPILOT/Tender/SplashBidNoticeAbstractUI.aspx?menuIndex=3&amp;refID=6935605&amp;Result=3","6935605")</f>
        <v>0</v>
      </c>
      <c r="B14111" t="s">
        <v>1088</v>
      </c>
      <c r="C14111" t="s">
        <v>17054</v>
      </c>
      <c r="D14111" t="s">
        <v>17141</v>
      </c>
      <c r="E14111" t="s">
        <v>29292</v>
      </c>
      <c r="F14111" t="s">
        <v>29372</v>
      </c>
      <c r="G14111" t="s">
        <v>29380</v>
      </c>
      <c r="H14111" t="s">
        <v>11048</v>
      </c>
      <c r="I14111" t="s">
        <v>29467</v>
      </c>
      <c r="J14111" t="s">
        <v>38428</v>
      </c>
      <c r="K14111" t="s">
        <v>38564</v>
      </c>
      <c r="M14111" t="s">
        <v>39895</v>
      </c>
      <c r="N14111" t="s">
        <v>42669</v>
      </c>
      <c r="O14111" t="s">
        <v>42670</v>
      </c>
      <c r="Q14111">
        <v>17</v>
      </c>
      <c r="R14111" t="s">
        <v>42749</v>
      </c>
      <c r="S14111" t="s">
        <v>44273</v>
      </c>
      <c r="T14111" t="s">
        <v>44564</v>
      </c>
      <c r="U14111" t="s">
        <v>56253</v>
      </c>
      <c r="W14111" t="s">
        <v>39895</v>
      </c>
      <c r="X14111" t="s">
        <v>42775</v>
      </c>
    </row>
    <row r="14112" spans="1:24">
      <c r="A14112">
        <f>HYPERLINK("https://www.philgeps.gov.ph/GEPSNONPILOT/Tender/SplashBidNoticeAbstractUI.aspx?menuIndex=3&amp;refID=6935391&amp;Result=3","6935391")</f>
        <v>0</v>
      </c>
      <c r="B14112" t="s">
        <v>1088</v>
      </c>
      <c r="C14112" t="s">
        <v>17055</v>
      </c>
      <c r="D14112" t="s">
        <v>17141</v>
      </c>
      <c r="E14112" t="s">
        <v>29293</v>
      </c>
      <c r="F14112" t="s">
        <v>29372</v>
      </c>
      <c r="G14112" t="s">
        <v>29380</v>
      </c>
      <c r="H14112" t="s">
        <v>11048</v>
      </c>
      <c r="I14112" t="s">
        <v>29467</v>
      </c>
      <c r="J14112" t="s">
        <v>38429</v>
      </c>
      <c r="K14112" t="s">
        <v>38495</v>
      </c>
      <c r="M14112" t="s">
        <v>39895</v>
      </c>
      <c r="N14112" t="s">
        <v>42669</v>
      </c>
      <c r="O14112" t="s">
        <v>42670</v>
      </c>
      <c r="Q14112">
        <v>21</v>
      </c>
      <c r="R14112" t="s">
        <v>42750</v>
      </c>
      <c r="S14112" t="s">
        <v>44274</v>
      </c>
      <c r="T14112" t="s">
        <v>44568</v>
      </c>
      <c r="U14112" t="s">
        <v>56254</v>
      </c>
      <c r="W14112" t="s">
        <v>39895</v>
      </c>
      <c r="X14112" t="s">
        <v>42775</v>
      </c>
    </row>
    <row r="14113" spans="1:24">
      <c r="A14113">
        <f>HYPERLINK("https://www.philgeps.gov.ph/GEPSNONPILOT/Tender/SplashBidNoticeAbstractUI.aspx?menuIndex=3&amp;refID=7119004&amp;Result=3","7119004")</f>
        <v>0</v>
      </c>
      <c r="B14113" t="s">
        <v>1183</v>
      </c>
      <c r="C14113" t="s">
        <v>17056</v>
      </c>
      <c r="D14113" t="s">
        <v>17171</v>
      </c>
      <c r="E14113" t="s">
        <v>29294</v>
      </c>
      <c r="F14113" t="s">
        <v>29372</v>
      </c>
      <c r="G14113" t="s">
        <v>29380</v>
      </c>
      <c r="H14113" t="s">
        <v>11048</v>
      </c>
      <c r="I14113" t="s">
        <v>29433</v>
      </c>
      <c r="J14113" t="s">
        <v>38430</v>
      </c>
      <c r="K14113" t="s">
        <v>38510</v>
      </c>
      <c r="M14113" t="s">
        <v>42625</v>
      </c>
      <c r="N14113" t="s">
        <v>42669</v>
      </c>
      <c r="O14113" t="s">
        <v>42670</v>
      </c>
      <c r="Q14113">
        <v>3</v>
      </c>
      <c r="R14113" t="s">
        <v>42706</v>
      </c>
      <c r="S14113" t="s">
        <v>44275</v>
      </c>
      <c r="T14113" t="s">
        <v>44870</v>
      </c>
      <c r="U14113" t="s">
        <v>56255</v>
      </c>
      <c r="V14113" t="s">
        <v>57962</v>
      </c>
      <c r="W14113" t="s">
        <v>42625</v>
      </c>
      <c r="X14113" t="s">
        <v>42707</v>
      </c>
    </row>
    <row r="14114" spans="1:24">
      <c r="A14114">
        <f>HYPERLINK("https://www.philgeps.gov.ph/GEPSNONPILOT/Tender/SplashBidNoticeAbstractUI.aspx?menuIndex=3&amp;refID=6938760&amp;Result=3","6938760")</f>
        <v>0</v>
      </c>
      <c r="B14114" t="s">
        <v>1088</v>
      </c>
      <c r="C14114" t="s">
        <v>17057</v>
      </c>
      <c r="D14114" t="s">
        <v>17141</v>
      </c>
      <c r="E14114" t="s">
        <v>29295</v>
      </c>
      <c r="F14114" t="s">
        <v>29372</v>
      </c>
      <c r="G14114" t="s">
        <v>29380</v>
      </c>
      <c r="H14114" t="s">
        <v>11048</v>
      </c>
      <c r="I14114" t="s">
        <v>29407</v>
      </c>
      <c r="J14114" t="s">
        <v>38431</v>
      </c>
      <c r="K14114" t="s">
        <v>38495</v>
      </c>
      <c r="M14114" t="s">
        <v>39895</v>
      </c>
      <c r="N14114" t="s">
        <v>42669</v>
      </c>
      <c r="O14114" t="s">
        <v>42670</v>
      </c>
      <c r="Q14114">
        <v>29</v>
      </c>
      <c r="R14114" t="s">
        <v>42748</v>
      </c>
      <c r="S14114" t="s">
        <v>44276</v>
      </c>
      <c r="T14114" t="s">
        <v>44393</v>
      </c>
      <c r="U14114" t="s">
        <v>56256</v>
      </c>
      <c r="W14114" t="s">
        <v>39895</v>
      </c>
      <c r="X14114" t="s">
        <v>42750</v>
      </c>
    </row>
    <row r="14115" spans="1:24">
      <c r="A14115">
        <f>HYPERLINK("https://www.philgeps.gov.ph/GEPSNONPILOT/Tender/SplashBidNoticeAbstractUI.aspx?menuIndex=3&amp;refID=6927535&amp;Result=3","6927535")</f>
        <v>0</v>
      </c>
      <c r="B14115" t="s">
        <v>1088</v>
      </c>
      <c r="C14115" t="s">
        <v>17058</v>
      </c>
      <c r="D14115" t="s">
        <v>17183</v>
      </c>
      <c r="E14115" t="s">
        <v>29296</v>
      </c>
      <c r="F14115" t="s">
        <v>29372</v>
      </c>
      <c r="G14115" t="s">
        <v>29381</v>
      </c>
      <c r="H14115" t="s">
        <v>29389</v>
      </c>
      <c r="I14115" t="s">
        <v>29453</v>
      </c>
      <c r="J14115" t="s">
        <v>38432</v>
      </c>
      <c r="K14115" t="s">
        <v>38564</v>
      </c>
      <c r="M14115" t="s">
        <v>39895</v>
      </c>
      <c r="N14115" t="s">
        <v>42669</v>
      </c>
      <c r="O14115" t="s">
        <v>42670</v>
      </c>
      <c r="Q14115">
        <v>5</v>
      </c>
      <c r="R14115" t="s">
        <v>42748</v>
      </c>
      <c r="S14115" t="s">
        <v>44277</v>
      </c>
      <c r="T14115" t="s">
        <v>44439</v>
      </c>
      <c r="U14115" t="s">
        <v>56257</v>
      </c>
      <c r="W14115" t="s">
        <v>39895</v>
      </c>
      <c r="X14115" t="s">
        <v>42771</v>
      </c>
    </row>
    <row r="14116" spans="1:24">
      <c r="A14116">
        <f>HYPERLINK("https://www.philgeps.gov.ph/GEPSNONPILOT/Tender/SplashBidNoticeAbstractUI.aspx?menuIndex=3&amp;refID=6935920&amp;Result=3","6935920")</f>
        <v>0</v>
      </c>
      <c r="B14116" t="s">
        <v>1088</v>
      </c>
      <c r="C14116" t="s">
        <v>17059</v>
      </c>
      <c r="E14116" t="s">
        <v>29297</v>
      </c>
      <c r="F14116" t="s">
        <v>29372</v>
      </c>
      <c r="G14116" t="s">
        <v>29380</v>
      </c>
      <c r="H14116" t="s">
        <v>29389</v>
      </c>
      <c r="I14116" t="s">
        <v>29453</v>
      </c>
      <c r="J14116" t="s">
        <v>38433</v>
      </c>
      <c r="K14116" t="s">
        <v>38490</v>
      </c>
      <c r="M14116" t="s">
        <v>39895</v>
      </c>
      <c r="N14116" t="s">
        <v>42669</v>
      </c>
      <c r="O14116" t="s">
        <v>42670</v>
      </c>
      <c r="Q14116">
        <v>5</v>
      </c>
      <c r="R14116" t="s">
        <v>42751</v>
      </c>
      <c r="S14116" t="s">
        <v>44278</v>
      </c>
      <c r="T14116" t="s">
        <v>44876</v>
      </c>
      <c r="U14116" t="s">
        <v>56258</v>
      </c>
      <c r="W14116" t="s">
        <v>39895</v>
      </c>
      <c r="X14116" t="s">
        <v>42775</v>
      </c>
    </row>
    <row r="14117" spans="1:24">
      <c r="A14117">
        <f>HYPERLINK("https://www.philgeps.gov.ph/GEPSNONPILOT/Tender/SplashBidNoticeAbstractUI.aspx?menuIndex=3&amp;refID=6932647&amp;Result=3","6932647")</f>
        <v>0</v>
      </c>
      <c r="B14117" t="s">
        <v>1300</v>
      </c>
      <c r="C14117" t="s">
        <v>17060</v>
      </c>
      <c r="D14117" t="s">
        <v>17141</v>
      </c>
      <c r="E14117" t="s">
        <v>17060</v>
      </c>
      <c r="F14117" t="s">
        <v>29372</v>
      </c>
      <c r="G14117" t="s">
        <v>29379</v>
      </c>
      <c r="H14117" t="s">
        <v>11048</v>
      </c>
      <c r="I14117" t="s">
        <v>9642</v>
      </c>
      <c r="J14117" t="s">
        <v>29799</v>
      </c>
      <c r="K14117" t="s">
        <v>38490</v>
      </c>
      <c r="M14117" t="s">
        <v>40130</v>
      </c>
      <c r="N14117" t="s">
        <v>42669</v>
      </c>
      <c r="O14117" t="s">
        <v>42670</v>
      </c>
      <c r="Q14117">
        <v>9</v>
      </c>
      <c r="R14117" t="s">
        <v>42750</v>
      </c>
      <c r="S14117" t="s">
        <v>44279</v>
      </c>
      <c r="T14117" t="s">
        <v>44417</v>
      </c>
      <c r="U14117" t="s">
        <v>56259</v>
      </c>
      <c r="W14117" t="s">
        <v>40130</v>
      </c>
      <c r="X14117" t="s">
        <v>42775</v>
      </c>
    </row>
    <row r="14118" spans="1:24">
      <c r="A14118">
        <f>HYPERLINK("https://www.philgeps.gov.ph/GEPSNONPILOT/Tender/SplashBidNoticeAbstractUI.aspx?menuIndex=3&amp;refID=6935839&amp;Result=3","6935839")</f>
        <v>0</v>
      </c>
      <c r="B14118" t="s">
        <v>1088</v>
      </c>
      <c r="C14118" t="s">
        <v>17061</v>
      </c>
      <c r="D14118" t="s">
        <v>17141</v>
      </c>
      <c r="E14118" t="s">
        <v>29298</v>
      </c>
      <c r="F14118" t="s">
        <v>29372</v>
      </c>
      <c r="G14118" t="s">
        <v>29380</v>
      </c>
      <c r="H14118" t="s">
        <v>11048</v>
      </c>
      <c r="I14118" t="s">
        <v>29400</v>
      </c>
      <c r="J14118" t="s">
        <v>38434</v>
      </c>
      <c r="K14118" t="s">
        <v>38495</v>
      </c>
      <c r="M14118" t="s">
        <v>39895</v>
      </c>
      <c r="N14118" t="s">
        <v>42669</v>
      </c>
      <c r="O14118" t="s">
        <v>42670</v>
      </c>
      <c r="Q14118">
        <v>17</v>
      </c>
      <c r="R14118" t="s">
        <v>42750</v>
      </c>
      <c r="S14118" t="s">
        <v>44280</v>
      </c>
      <c r="T14118" t="s">
        <v>44510</v>
      </c>
      <c r="U14118" t="s">
        <v>56260</v>
      </c>
      <c r="W14118" t="s">
        <v>39895</v>
      </c>
      <c r="X14118" t="s">
        <v>42775</v>
      </c>
    </row>
    <row r="14119" spans="1:24">
      <c r="A14119">
        <f>HYPERLINK("https://www.philgeps.gov.ph/GEPSNONPILOT/Tender/SplashBidNoticeAbstractUI.aspx?menuIndex=3&amp;refID=6957098&amp;Result=3","6957098")</f>
        <v>0</v>
      </c>
      <c r="B14119" t="s">
        <v>1543</v>
      </c>
      <c r="C14119" t="s">
        <v>17062</v>
      </c>
      <c r="E14119" t="s">
        <v>29299</v>
      </c>
      <c r="F14119" t="s">
        <v>29372</v>
      </c>
      <c r="G14119" t="s">
        <v>29380</v>
      </c>
      <c r="H14119" t="s">
        <v>11048</v>
      </c>
      <c r="I14119" t="s">
        <v>8614</v>
      </c>
      <c r="J14119" t="s">
        <v>38435</v>
      </c>
      <c r="K14119" t="s">
        <v>38490</v>
      </c>
      <c r="M14119" t="s">
        <v>42642</v>
      </c>
      <c r="N14119" t="s">
        <v>42669</v>
      </c>
      <c r="O14119" t="s">
        <v>42670</v>
      </c>
      <c r="Q14119">
        <v>10</v>
      </c>
      <c r="R14119" t="s">
        <v>42752</v>
      </c>
      <c r="S14119" t="s">
        <v>44142</v>
      </c>
      <c r="T14119" t="s">
        <v>44401</v>
      </c>
      <c r="U14119" t="s">
        <v>56261</v>
      </c>
      <c r="W14119" t="s">
        <v>58135</v>
      </c>
      <c r="X14119" t="s">
        <v>58159</v>
      </c>
    </row>
    <row r="14120" spans="1:24">
      <c r="A14120">
        <f>HYPERLINK("https://www.philgeps.gov.ph/GEPSNONPILOT/Tender/SplashBidNoticeAbstractUI.aspx?menuIndex=3&amp;refID=6934606&amp;Result=3","6934606")</f>
        <v>0</v>
      </c>
      <c r="B14120" t="s">
        <v>278</v>
      </c>
      <c r="C14120" t="s">
        <v>17063</v>
      </c>
      <c r="D14120" t="s">
        <v>17208</v>
      </c>
      <c r="E14120" t="s">
        <v>29300</v>
      </c>
      <c r="F14120" t="s">
        <v>29372</v>
      </c>
      <c r="G14120" t="s">
        <v>29380</v>
      </c>
      <c r="H14120" t="s">
        <v>11048</v>
      </c>
      <c r="I14120" t="s">
        <v>29423</v>
      </c>
      <c r="J14120" t="s">
        <v>31916</v>
      </c>
      <c r="K14120" t="s">
        <v>38522</v>
      </c>
      <c r="M14120" t="s">
        <v>39138</v>
      </c>
      <c r="N14120" t="s">
        <v>42669</v>
      </c>
      <c r="O14120" t="s">
        <v>42670</v>
      </c>
      <c r="Q14120">
        <v>21</v>
      </c>
      <c r="R14120" t="s">
        <v>42750</v>
      </c>
      <c r="S14120" t="s">
        <v>43739</v>
      </c>
      <c r="T14120" t="s">
        <v>44664</v>
      </c>
      <c r="U14120" t="s">
        <v>56262</v>
      </c>
      <c r="W14120" t="s">
        <v>39138</v>
      </c>
      <c r="X14120" t="s">
        <v>42775</v>
      </c>
    </row>
    <row r="14121" spans="1:24">
      <c r="A14121">
        <f>HYPERLINK("https://www.philgeps.gov.ph/GEPSNONPILOT/Tender/SplashBidNoticeAbstractUI.aspx?menuIndex=3&amp;refID=6968422&amp;Result=3","6968422")</f>
        <v>0</v>
      </c>
      <c r="B14121" t="s">
        <v>1543</v>
      </c>
      <c r="C14121" t="s">
        <v>17064</v>
      </c>
      <c r="E14121" t="s">
        <v>29301</v>
      </c>
      <c r="F14121" t="s">
        <v>29372</v>
      </c>
      <c r="G14121" t="s">
        <v>29380</v>
      </c>
      <c r="H14121" t="s">
        <v>11048</v>
      </c>
      <c r="I14121" t="s">
        <v>29426</v>
      </c>
      <c r="J14121" t="s">
        <v>38436</v>
      </c>
      <c r="K14121" t="s">
        <v>38490</v>
      </c>
      <c r="M14121" t="s">
        <v>42642</v>
      </c>
      <c r="N14121" t="s">
        <v>42669</v>
      </c>
      <c r="O14121" t="s">
        <v>42670</v>
      </c>
      <c r="Q14121">
        <v>21</v>
      </c>
      <c r="R14121" t="s">
        <v>42753</v>
      </c>
      <c r="S14121" t="s">
        <v>44281</v>
      </c>
      <c r="T14121" t="s">
        <v>44401</v>
      </c>
      <c r="U14121" t="s">
        <v>56263</v>
      </c>
      <c r="W14121" t="s">
        <v>58135</v>
      </c>
      <c r="X14121" t="s">
        <v>58160</v>
      </c>
    </row>
    <row r="14122" spans="1:24">
      <c r="A14122">
        <f>HYPERLINK("https://www.philgeps.gov.ph/GEPSNONPILOT/Tender/SplashBidNoticeAbstractUI.aspx?menuIndex=3&amp;refID=6942382&amp;Result=3","6942382")</f>
        <v>0</v>
      </c>
      <c r="B14122" t="s">
        <v>3509</v>
      </c>
      <c r="C14122" t="s">
        <v>17065</v>
      </c>
      <c r="D14122" t="s">
        <v>17160</v>
      </c>
      <c r="E14122" t="s">
        <v>29302</v>
      </c>
      <c r="F14122" t="s">
        <v>29372</v>
      </c>
      <c r="G14122" t="s">
        <v>29380</v>
      </c>
      <c r="H14122" t="s">
        <v>29389</v>
      </c>
      <c r="I14122" t="s">
        <v>10408</v>
      </c>
      <c r="J14122" t="s">
        <v>38437</v>
      </c>
      <c r="K14122" t="s">
        <v>38520</v>
      </c>
      <c r="M14122" t="s">
        <v>42657</v>
      </c>
      <c r="N14122" t="s">
        <v>42669</v>
      </c>
      <c r="O14122" t="s">
        <v>42670</v>
      </c>
      <c r="Q14122">
        <v>12</v>
      </c>
      <c r="R14122" t="s">
        <v>42748</v>
      </c>
      <c r="S14122" t="s">
        <v>44282</v>
      </c>
      <c r="T14122" t="s">
        <v>44475</v>
      </c>
      <c r="U14122" t="s">
        <v>56264</v>
      </c>
      <c r="W14122" t="s">
        <v>42657</v>
      </c>
      <c r="X14122" t="s">
        <v>42749</v>
      </c>
    </row>
    <row r="14123" spans="1:24">
      <c r="A14123">
        <f>HYPERLINK("https://www.philgeps.gov.ph/GEPSNONPILOT/Tender/SplashBidNoticeAbstractUI.aspx?menuIndex=3&amp;refID=6954272&amp;Result=3","6954272")</f>
        <v>0</v>
      </c>
      <c r="B14123" t="s">
        <v>3510</v>
      </c>
      <c r="C14123" t="s">
        <v>17066</v>
      </c>
      <c r="E14123" t="s">
        <v>18212</v>
      </c>
      <c r="F14123" t="s">
        <v>29373</v>
      </c>
      <c r="G14123" t="s">
        <v>29379</v>
      </c>
      <c r="H14123" t="s">
        <v>11048</v>
      </c>
      <c r="I14123" t="s">
        <v>29392</v>
      </c>
      <c r="J14123" t="s">
        <v>29680</v>
      </c>
      <c r="K14123" t="s">
        <v>38490</v>
      </c>
      <c r="M14123" t="s">
        <v>42658</v>
      </c>
      <c r="N14123" t="s">
        <v>42669</v>
      </c>
      <c r="O14123" t="s">
        <v>42670</v>
      </c>
      <c r="P14123">
        <v>0</v>
      </c>
      <c r="Q14123">
        <v>5</v>
      </c>
      <c r="R14123" t="s">
        <v>42754</v>
      </c>
      <c r="S14123" t="s">
        <v>44283</v>
      </c>
      <c r="T14123" t="s">
        <v>44877</v>
      </c>
      <c r="U14123" t="s">
        <v>56265</v>
      </c>
      <c r="W14123" t="s">
        <v>42658</v>
      </c>
      <c r="X14123" t="s">
        <v>58161</v>
      </c>
    </row>
    <row r="14124" spans="1:24">
      <c r="A14124">
        <f>HYPERLINK("https://www.philgeps.gov.ph/GEPSNONPILOT/Tender/SplashBidNoticeAbstractUI.aspx?menuIndex=3&amp;refID=6902157&amp;Result=3","6902157")</f>
        <v>0</v>
      </c>
      <c r="B14124" t="s">
        <v>2758</v>
      </c>
      <c r="C14124" t="s">
        <v>17067</v>
      </c>
      <c r="D14124" t="s">
        <v>17144</v>
      </c>
      <c r="E14124" t="s">
        <v>29303</v>
      </c>
      <c r="F14124" t="s">
        <v>29372</v>
      </c>
      <c r="G14124" t="s">
        <v>29380</v>
      </c>
      <c r="H14124" t="s">
        <v>29389</v>
      </c>
      <c r="I14124" t="s">
        <v>10408</v>
      </c>
      <c r="J14124" t="s">
        <v>38438</v>
      </c>
      <c r="K14124" t="s">
        <v>38533</v>
      </c>
      <c r="M14124" t="s">
        <v>41743</v>
      </c>
      <c r="N14124" t="s">
        <v>42669</v>
      </c>
      <c r="O14124" t="s">
        <v>42670</v>
      </c>
      <c r="Q14124">
        <v>12</v>
      </c>
      <c r="R14124" t="s">
        <v>42755</v>
      </c>
      <c r="S14124" t="s">
        <v>44284</v>
      </c>
      <c r="T14124" t="s">
        <v>44527</v>
      </c>
      <c r="U14124" t="s">
        <v>56266</v>
      </c>
      <c r="V14124" t="s">
        <v>57986</v>
      </c>
      <c r="W14124" t="s">
        <v>41743</v>
      </c>
      <c r="X14124" t="s">
        <v>58162</v>
      </c>
    </row>
    <row r="14125" spans="1:24">
      <c r="A14125">
        <f>HYPERLINK("https://www.philgeps.gov.ph/GEPSNONPILOT/Tender/SplashBidNoticeAbstractUI.aspx?menuIndex=3&amp;refID=7018196&amp;Result=3","7018196")</f>
        <v>0</v>
      </c>
      <c r="B14125" t="s">
        <v>2243</v>
      </c>
      <c r="C14125" t="s">
        <v>17068</v>
      </c>
      <c r="D14125" t="s">
        <v>17189</v>
      </c>
      <c r="E14125" t="s">
        <v>29304</v>
      </c>
      <c r="F14125" t="s">
        <v>29372</v>
      </c>
      <c r="G14125" t="s">
        <v>29380</v>
      </c>
      <c r="H14125" t="s">
        <v>29389</v>
      </c>
      <c r="I14125" t="s">
        <v>10408</v>
      </c>
      <c r="J14125" t="s">
        <v>30899</v>
      </c>
      <c r="K14125" t="s">
        <v>38522</v>
      </c>
      <c r="M14125" t="s">
        <v>42573</v>
      </c>
      <c r="N14125" t="s">
        <v>42669</v>
      </c>
      <c r="O14125" t="s">
        <v>42670</v>
      </c>
      <c r="Q14125">
        <v>11</v>
      </c>
      <c r="R14125" t="s">
        <v>42746</v>
      </c>
      <c r="S14125" t="s">
        <v>44285</v>
      </c>
      <c r="T14125" t="s">
        <v>44409</v>
      </c>
      <c r="U14125" t="s">
        <v>56267</v>
      </c>
      <c r="W14125" t="s">
        <v>42573</v>
      </c>
      <c r="X14125" t="s">
        <v>42747</v>
      </c>
    </row>
    <row r="14126" spans="1:24">
      <c r="A14126">
        <f>HYPERLINK("https://www.philgeps.gov.ph/GEPSNONPILOT/Tender/SplashBidNoticeAbstractUI.aspx?menuIndex=3&amp;refID=6901648&amp;Result=3","6901648")</f>
        <v>0</v>
      </c>
      <c r="B14126" t="s">
        <v>275</v>
      </c>
      <c r="C14126" t="s">
        <v>17069</v>
      </c>
      <c r="D14126" t="s">
        <v>17180</v>
      </c>
      <c r="E14126" t="s">
        <v>29305</v>
      </c>
      <c r="F14126" t="s">
        <v>29372</v>
      </c>
      <c r="G14126" t="s">
        <v>29380</v>
      </c>
      <c r="H14126" t="s">
        <v>29389</v>
      </c>
      <c r="I14126" t="s">
        <v>10408</v>
      </c>
      <c r="J14126" t="s">
        <v>38439</v>
      </c>
      <c r="K14126" t="s">
        <v>38773</v>
      </c>
      <c r="M14126" t="s">
        <v>41239</v>
      </c>
      <c r="N14126" t="s">
        <v>42669</v>
      </c>
      <c r="O14126" t="s">
        <v>42670</v>
      </c>
      <c r="Q14126">
        <v>74</v>
      </c>
      <c r="R14126" t="s">
        <v>42755</v>
      </c>
      <c r="S14126" t="s">
        <v>44286</v>
      </c>
      <c r="T14126" t="s">
        <v>44542</v>
      </c>
      <c r="U14126" t="s">
        <v>56268</v>
      </c>
      <c r="V14126" t="s">
        <v>57145</v>
      </c>
      <c r="W14126" t="s">
        <v>41239</v>
      </c>
      <c r="X14126" t="s">
        <v>58162</v>
      </c>
    </row>
    <row r="14127" spans="1:24">
      <c r="A14127">
        <f>HYPERLINK("https://www.philgeps.gov.ph/GEPSNONPILOT/Tender/SplashBidNoticeAbstractUI.aspx?menuIndex=3&amp;refID=6905855&amp;Result=3","6905855")</f>
        <v>0</v>
      </c>
      <c r="B14127" t="s">
        <v>1607</v>
      </c>
      <c r="C14127" t="s">
        <v>17070</v>
      </c>
      <c r="D14127" t="s">
        <v>17160</v>
      </c>
      <c r="E14127" t="s">
        <v>21124</v>
      </c>
      <c r="F14127" t="s">
        <v>29372</v>
      </c>
      <c r="G14127" t="s">
        <v>29380</v>
      </c>
      <c r="H14127" t="s">
        <v>29389</v>
      </c>
      <c r="I14127" t="s">
        <v>10408</v>
      </c>
      <c r="J14127" t="s">
        <v>38440</v>
      </c>
      <c r="K14127" t="s">
        <v>38596</v>
      </c>
      <c r="M14127" t="s">
        <v>40460</v>
      </c>
      <c r="N14127" t="s">
        <v>42669</v>
      </c>
      <c r="O14127" t="s">
        <v>42670</v>
      </c>
      <c r="Q14127">
        <v>4</v>
      </c>
      <c r="R14127" t="s">
        <v>42756</v>
      </c>
      <c r="S14127" t="s">
        <v>44287</v>
      </c>
      <c r="T14127" t="s">
        <v>44878</v>
      </c>
      <c r="U14127" t="s">
        <v>56269</v>
      </c>
      <c r="W14127" t="s">
        <v>40460</v>
      </c>
      <c r="X14127" t="s">
        <v>42755</v>
      </c>
    </row>
    <row r="14128" spans="1:24">
      <c r="A14128">
        <f>HYPERLINK("https://www.philgeps.gov.ph/GEPSNONPILOT/Tender/SplashBidNoticeAbstractUI.aspx?menuIndex=3&amp;refID=6902883&amp;Result=3","6902883")</f>
        <v>0</v>
      </c>
      <c r="B14128" t="s">
        <v>1088</v>
      </c>
      <c r="C14128" t="s">
        <v>17071</v>
      </c>
      <c r="D14128" t="s">
        <v>17166</v>
      </c>
      <c r="E14128" t="s">
        <v>29306</v>
      </c>
      <c r="F14128" t="s">
        <v>29372</v>
      </c>
      <c r="G14128" t="s">
        <v>29380</v>
      </c>
      <c r="H14128" t="s">
        <v>29389</v>
      </c>
      <c r="I14128" t="s">
        <v>29453</v>
      </c>
      <c r="J14128" t="s">
        <v>38441</v>
      </c>
      <c r="K14128" t="s">
        <v>38523</v>
      </c>
      <c r="M14128" t="s">
        <v>39895</v>
      </c>
      <c r="N14128" t="s">
        <v>42669</v>
      </c>
      <c r="O14128" t="s">
        <v>42670</v>
      </c>
      <c r="Q14128">
        <v>11</v>
      </c>
      <c r="R14128" t="s">
        <v>42755</v>
      </c>
      <c r="S14128" t="s">
        <v>44288</v>
      </c>
      <c r="T14128" t="s">
        <v>44532</v>
      </c>
      <c r="U14128" t="s">
        <v>56270</v>
      </c>
      <c r="W14128" t="s">
        <v>39895</v>
      </c>
      <c r="X14128" t="s">
        <v>58162</v>
      </c>
    </row>
    <row r="14129" spans="1:24">
      <c r="A14129">
        <f>HYPERLINK("https://www.philgeps.gov.ph/GEPSNONPILOT/Tender/SplashBidNoticeAbstractUI.aspx?menuIndex=3&amp;refID=6905733&amp;Result=3","6905733")</f>
        <v>0</v>
      </c>
      <c r="B14129" t="s">
        <v>1607</v>
      </c>
      <c r="C14129" t="s">
        <v>17072</v>
      </c>
      <c r="D14129" t="s">
        <v>17160</v>
      </c>
      <c r="E14129" t="s">
        <v>21124</v>
      </c>
      <c r="F14129" t="s">
        <v>29372</v>
      </c>
      <c r="G14129" t="s">
        <v>29380</v>
      </c>
      <c r="H14129" t="s">
        <v>29389</v>
      </c>
      <c r="I14129" t="s">
        <v>10408</v>
      </c>
      <c r="J14129" t="s">
        <v>29573</v>
      </c>
      <c r="K14129" t="s">
        <v>38748</v>
      </c>
      <c r="M14129" t="s">
        <v>40460</v>
      </c>
      <c r="N14129" t="s">
        <v>42669</v>
      </c>
      <c r="O14129" t="s">
        <v>42670</v>
      </c>
      <c r="Q14129">
        <v>3</v>
      </c>
      <c r="R14129" t="s">
        <v>42756</v>
      </c>
      <c r="S14129" t="s">
        <v>44289</v>
      </c>
      <c r="T14129" t="s">
        <v>44878</v>
      </c>
      <c r="U14129" t="s">
        <v>56271</v>
      </c>
      <c r="W14129" t="s">
        <v>40460</v>
      </c>
      <c r="X14129" t="s">
        <v>42755</v>
      </c>
    </row>
    <row r="14130" spans="1:24">
      <c r="A14130">
        <f>HYPERLINK("https://www.philgeps.gov.ph/GEPSNONPILOT/Tender/SplashBidNoticeAbstractUI.aspx?menuIndex=3&amp;refID=6901664&amp;Result=3","6901664")</f>
        <v>0</v>
      </c>
      <c r="B14130" t="s">
        <v>275</v>
      </c>
      <c r="C14130" t="s">
        <v>17073</v>
      </c>
      <c r="D14130" t="s">
        <v>17180</v>
      </c>
      <c r="E14130" t="s">
        <v>29307</v>
      </c>
      <c r="F14130" t="s">
        <v>29372</v>
      </c>
      <c r="G14130" t="s">
        <v>29380</v>
      </c>
      <c r="H14130" t="s">
        <v>29389</v>
      </c>
      <c r="I14130" t="s">
        <v>10408</v>
      </c>
      <c r="J14130" t="s">
        <v>38442</v>
      </c>
      <c r="K14130" t="s">
        <v>38494</v>
      </c>
      <c r="M14130" t="s">
        <v>41239</v>
      </c>
      <c r="N14130" t="s">
        <v>42669</v>
      </c>
      <c r="O14130" t="s">
        <v>42670</v>
      </c>
      <c r="Q14130">
        <v>74</v>
      </c>
      <c r="R14130" t="s">
        <v>42755</v>
      </c>
      <c r="S14130" t="s">
        <v>44290</v>
      </c>
      <c r="T14130" t="s">
        <v>44368</v>
      </c>
      <c r="U14130" t="s">
        <v>56272</v>
      </c>
      <c r="V14130" t="s">
        <v>57145</v>
      </c>
      <c r="W14130" t="s">
        <v>41239</v>
      </c>
      <c r="X14130" t="s">
        <v>58162</v>
      </c>
    </row>
    <row r="14131" spans="1:24">
      <c r="A14131">
        <f>HYPERLINK("https://www.philgeps.gov.ph/GEPSNONPILOT/Tender/SplashBidNoticeAbstractUI.aspx?menuIndex=3&amp;refID=6905816&amp;Result=3","6905816")</f>
        <v>0</v>
      </c>
      <c r="B14131" t="s">
        <v>1088</v>
      </c>
      <c r="C14131" t="s">
        <v>17074</v>
      </c>
      <c r="D14131" t="s">
        <v>17141</v>
      </c>
      <c r="E14131" t="s">
        <v>29308</v>
      </c>
      <c r="F14131" t="s">
        <v>29372</v>
      </c>
      <c r="G14131" t="s">
        <v>29380</v>
      </c>
      <c r="H14131" t="s">
        <v>29389</v>
      </c>
      <c r="I14131" t="s">
        <v>29453</v>
      </c>
      <c r="J14131" t="s">
        <v>38443</v>
      </c>
      <c r="K14131" t="s">
        <v>38533</v>
      </c>
      <c r="M14131" t="s">
        <v>39895</v>
      </c>
      <c r="N14131" t="s">
        <v>42669</v>
      </c>
      <c r="O14131" t="s">
        <v>42670</v>
      </c>
      <c r="Q14131">
        <v>11</v>
      </c>
      <c r="R14131" t="s">
        <v>42757</v>
      </c>
      <c r="S14131" t="s">
        <v>44291</v>
      </c>
      <c r="T14131" t="s">
        <v>44876</v>
      </c>
      <c r="U14131" t="s">
        <v>56273</v>
      </c>
      <c r="W14131" t="s">
        <v>39895</v>
      </c>
      <c r="X14131" t="s">
        <v>42755</v>
      </c>
    </row>
    <row r="14132" spans="1:24">
      <c r="A14132">
        <f>HYPERLINK("https://www.philgeps.gov.ph/GEPSNONPILOT/Tender/SplashBidNoticeAbstractUI.aspx?menuIndex=3&amp;refID=6957124&amp;Result=3","6957124")</f>
        <v>0</v>
      </c>
      <c r="B14132" t="s">
        <v>1543</v>
      </c>
      <c r="C14132" t="s">
        <v>17075</v>
      </c>
      <c r="E14132" t="s">
        <v>29309</v>
      </c>
      <c r="F14132" t="s">
        <v>29372</v>
      </c>
      <c r="G14132" t="s">
        <v>29380</v>
      </c>
      <c r="H14132" t="s">
        <v>11048</v>
      </c>
      <c r="I14132" t="s">
        <v>3839</v>
      </c>
      <c r="J14132" t="s">
        <v>32079</v>
      </c>
      <c r="K14132" t="s">
        <v>38490</v>
      </c>
      <c r="M14132" t="s">
        <v>40392</v>
      </c>
      <c r="N14132" t="s">
        <v>42669</v>
      </c>
      <c r="O14132" t="s">
        <v>42670</v>
      </c>
      <c r="Q14132">
        <v>17</v>
      </c>
      <c r="R14132" t="s">
        <v>42752</v>
      </c>
      <c r="S14132" t="s">
        <v>44292</v>
      </c>
      <c r="T14132" t="s">
        <v>44401</v>
      </c>
      <c r="U14132" t="s">
        <v>56274</v>
      </c>
      <c r="V14132" t="s">
        <v>57987</v>
      </c>
      <c r="W14132" t="s">
        <v>58135</v>
      </c>
      <c r="X14132" t="s">
        <v>58159</v>
      </c>
    </row>
    <row r="14133" spans="1:24">
      <c r="A14133">
        <f>HYPERLINK("https://www.philgeps.gov.ph/GEPSNONPILOT/Tender/SplashBidNoticeAbstractUI.aspx?menuIndex=3&amp;refID=6905957&amp;Result=3","6905957")</f>
        <v>0</v>
      </c>
      <c r="B14133" t="s">
        <v>1607</v>
      </c>
      <c r="C14133" t="s">
        <v>17076</v>
      </c>
      <c r="D14133" t="s">
        <v>17160</v>
      </c>
      <c r="E14133" t="s">
        <v>21124</v>
      </c>
      <c r="F14133" t="s">
        <v>29372</v>
      </c>
      <c r="G14133" t="s">
        <v>29380</v>
      </c>
      <c r="H14133" t="s">
        <v>29389</v>
      </c>
      <c r="I14133" t="s">
        <v>10408</v>
      </c>
      <c r="J14133" t="s">
        <v>38444</v>
      </c>
      <c r="K14133" t="s">
        <v>38548</v>
      </c>
      <c r="M14133" t="s">
        <v>40460</v>
      </c>
      <c r="N14133" t="s">
        <v>42669</v>
      </c>
      <c r="O14133" t="s">
        <v>42670</v>
      </c>
      <c r="Q14133">
        <v>6</v>
      </c>
      <c r="R14133" t="s">
        <v>42756</v>
      </c>
      <c r="S14133" t="s">
        <v>44293</v>
      </c>
      <c r="T14133" t="s">
        <v>44878</v>
      </c>
      <c r="U14133" t="s">
        <v>56275</v>
      </c>
      <c r="W14133" t="s">
        <v>40460</v>
      </c>
      <c r="X14133" t="s">
        <v>42755</v>
      </c>
    </row>
    <row r="14134" spans="1:24">
      <c r="A14134">
        <f>HYPERLINK("https://www.philgeps.gov.ph/GEPSNONPILOT/Tender/SplashBidNoticeAbstractUI.aspx?menuIndex=3&amp;refID=6914098&amp;Result=3","6914098")</f>
        <v>0</v>
      </c>
      <c r="B14134" t="s">
        <v>547</v>
      </c>
      <c r="C14134" t="s">
        <v>17077</v>
      </c>
      <c r="D14134" t="s">
        <v>17170</v>
      </c>
      <c r="E14134" t="s">
        <v>29310</v>
      </c>
      <c r="F14134" t="s">
        <v>29372</v>
      </c>
      <c r="G14134" t="s">
        <v>29379</v>
      </c>
      <c r="H14134" t="s">
        <v>11048</v>
      </c>
      <c r="I14134" t="s">
        <v>29417</v>
      </c>
      <c r="J14134" t="s">
        <v>29587</v>
      </c>
      <c r="K14134" t="s">
        <v>38485</v>
      </c>
      <c r="M14134" t="s">
        <v>39316</v>
      </c>
      <c r="N14134" t="s">
        <v>42669</v>
      </c>
      <c r="O14134" t="s">
        <v>42670</v>
      </c>
      <c r="Q14134">
        <v>3</v>
      </c>
      <c r="R14134" t="s">
        <v>42758</v>
      </c>
      <c r="S14134" t="s">
        <v>44294</v>
      </c>
      <c r="T14134" t="s">
        <v>44378</v>
      </c>
      <c r="U14134" t="s">
        <v>56276</v>
      </c>
      <c r="W14134" t="s">
        <v>58017</v>
      </c>
      <c r="X14134" t="s">
        <v>42757</v>
      </c>
    </row>
    <row r="14135" spans="1:24">
      <c r="A14135">
        <f>HYPERLINK("https://www.philgeps.gov.ph/GEPSNONPILOT/Tender/SplashBidNoticeAbstractUI.aspx?menuIndex=3&amp;refID=6826145&amp;Result=3","6826145")</f>
        <v>0</v>
      </c>
      <c r="B14135" t="s">
        <v>2509</v>
      </c>
      <c r="C14135" t="s">
        <v>17078</v>
      </c>
      <c r="E14135" t="s">
        <v>29311</v>
      </c>
      <c r="F14135" t="s">
        <v>29372</v>
      </c>
      <c r="G14135" t="s">
        <v>29380</v>
      </c>
      <c r="H14135" t="s">
        <v>29389</v>
      </c>
      <c r="I14135" t="s">
        <v>10408</v>
      </c>
      <c r="J14135" t="s">
        <v>35599</v>
      </c>
      <c r="K14135" t="s">
        <v>38503</v>
      </c>
      <c r="N14135" t="s">
        <v>42669</v>
      </c>
      <c r="O14135" t="s">
        <v>42670</v>
      </c>
      <c r="Q14135">
        <v>1</v>
      </c>
      <c r="R14135" t="s">
        <v>42759</v>
      </c>
      <c r="S14135" t="s">
        <v>44295</v>
      </c>
      <c r="T14135" t="s">
        <v>44470</v>
      </c>
      <c r="U14135" t="s">
        <v>45288</v>
      </c>
      <c r="W14135" t="s">
        <v>41468</v>
      </c>
      <c r="X14135" t="s">
        <v>58163</v>
      </c>
    </row>
    <row r="14136" spans="1:24">
      <c r="A14136">
        <f>HYPERLINK("https://www.philgeps.gov.ph/GEPSNONPILOT/Tender/SplashBidNoticeAbstractUI.aspx?menuIndex=3&amp;refID=6826117&amp;Result=3","6826117")</f>
        <v>0</v>
      </c>
      <c r="B14136" t="s">
        <v>2509</v>
      </c>
      <c r="C14136" t="s">
        <v>17079</v>
      </c>
      <c r="D14136" t="s">
        <v>17170</v>
      </c>
      <c r="E14136" t="s">
        <v>29312</v>
      </c>
      <c r="F14136" t="s">
        <v>29372</v>
      </c>
      <c r="G14136" t="s">
        <v>29380</v>
      </c>
      <c r="H14136" t="s">
        <v>29389</v>
      </c>
      <c r="I14136" t="s">
        <v>10408</v>
      </c>
      <c r="J14136" t="s">
        <v>35599</v>
      </c>
      <c r="K14136" t="s">
        <v>38503</v>
      </c>
      <c r="M14136" t="s">
        <v>41468</v>
      </c>
      <c r="N14136" t="s">
        <v>42669</v>
      </c>
      <c r="O14136" t="s">
        <v>42670</v>
      </c>
      <c r="Q14136">
        <v>1</v>
      </c>
      <c r="R14136" t="s">
        <v>42759</v>
      </c>
      <c r="S14136" t="s">
        <v>44296</v>
      </c>
      <c r="T14136" t="s">
        <v>44470</v>
      </c>
      <c r="U14136" t="s">
        <v>56277</v>
      </c>
      <c r="W14136" t="s">
        <v>41468</v>
      </c>
      <c r="X14136" t="s">
        <v>58163</v>
      </c>
    </row>
    <row r="14137" spans="1:24">
      <c r="A14137">
        <f>HYPERLINK("https://www.philgeps.gov.ph/GEPSNONPILOT/Tender/SplashBidNoticeAbstractUI.aspx?menuIndex=3&amp;refID=6835461&amp;Result=3","6835461")</f>
        <v>0</v>
      </c>
      <c r="B14137" t="s">
        <v>1573</v>
      </c>
      <c r="C14137" t="s">
        <v>17080</v>
      </c>
      <c r="D14137" t="s">
        <v>17194</v>
      </c>
      <c r="E14137" t="s">
        <v>29313</v>
      </c>
      <c r="F14137" t="s">
        <v>29372</v>
      </c>
      <c r="G14137" t="s">
        <v>29380</v>
      </c>
      <c r="H14137" t="s">
        <v>29389</v>
      </c>
      <c r="I14137" t="s">
        <v>10408</v>
      </c>
      <c r="J14137" t="s">
        <v>31157</v>
      </c>
      <c r="K14137" t="s">
        <v>38540</v>
      </c>
      <c r="M14137" t="s">
        <v>40919</v>
      </c>
      <c r="N14137" t="s">
        <v>42669</v>
      </c>
      <c r="O14137" t="s">
        <v>42670</v>
      </c>
      <c r="Q14137">
        <v>5</v>
      </c>
      <c r="R14137" t="s">
        <v>42760</v>
      </c>
      <c r="S14137" t="s">
        <v>44297</v>
      </c>
      <c r="T14137" t="s">
        <v>44488</v>
      </c>
      <c r="U14137" t="s">
        <v>56278</v>
      </c>
      <c r="V14137" t="s">
        <v>57623</v>
      </c>
      <c r="W14137" t="s">
        <v>40919</v>
      </c>
      <c r="X14137" t="s">
        <v>58144</v>
      </c>
    </row>
    <row r="14138" spans="1:24">
      <c r="A14138">
        <f>HYPERLINK("https://www.philgeps.gov.ph/GEPSNONPILOT/Tender/SplashBidNoticeAbstractUI.aspx?menuIndex=3&amp;refID=6841147&amp;Result=3","6841147")</f>
        <v>0</v>
      </c>
      <c r="B14138" t="s">
        <v>1855</v>
      </c>
      <c r="C14138" t="s">
        <v>17081</v>
      </c>
      <c r="D14138" t="s">
        <v>17141</v>
      </c>
      <c r="E14138" t="s">
        <v>29314</v>
      </c>
      <c r="F14138" t="s">
        <v>29372</v>
      </c>
      <c r="G14138" t="s">
        <v>29380</v>
      </c>
      <c r="H14138" t="s">
        <v>29389</v>
      </c>
      <c r="I14138" t="s">
        <v>10408</v>
      </c>
      <c r="J14138" t="s">
        <v>38445</v>
      </c>
      <c r="K14138" t="s">
        <v>38523</v>
      </c>
      <c r="M14138" t="s">
        <v>40728</v>
      </c>
      <c r="N14138" t="s">
        <v>42669</v>
      </c>
      <c r="O14138" t="s">
        <v>42670</v>
      </c>
      <c r="Q14138">
        <v>127</v>
      </c>
      <c r="R14138" t="s">
        <v>42761</v>
      </c>
      <c r="S14138" t="s">
        <v>44298</v>
      </c>
      <c r="T14138" t="s">
        <v>44527</v>
      </c>
      <c r="U14138" t="s">
        <v>56279</v>
      </c>
      <c r="W14138" t="s">
        <v>40728</v>
      </c>
      <c r="X14138" t="s">
        <v>42760</v>
      </c>
    </row>
    <row r="14139" spans="1:24">
      <c r="A14139">
        <f>HYPERLINK("https://www.philgeps.gov.ph/GEPSNONPILOT/Tender/SplashBidNoticeAbstractUI.aspx?menuIndex=3&amp;refID=6856050&amp;Result=3","6856050")</f>
        <v>0</v>
      </c>
      <c r="B14139" t="s">
        <v>1523</v>
      </c>
      <c r="C14139" t="s">
        <v>17082</v>
      </c>
      <c r="D14139" t="s">
        <v>17153</v>
      </c>
      <c r="E14139" t="s">
        <v>29315</v>
      </c>
      <c r="F14139" t="s">
        <v>29372</v>
      </c>
      <c r="G14139" t="s">
        <v>29380</v>
      </c>
      <c r="H14139" t="s">
        <v>29389</v>
      </c>
      <c r="I14139" t="s">
        <v>10408</v>
      </c>
      <c r="J14139" t="s">
        <v>35599</v>
      </c>
      <c r="K14139" t="s">
        <v>38525</v>
      </c>
      <c r="M14139" t="s">
        <v>42659</v>
      </c>
      <c r="N14139" t="s">
        <v>42669</v>
      </c>
      <c r="O14139" t="s">
        <v>42670</v>
      </c>
      <c r="Q14139">
        <v>3</v>
      </c>
      <c r="R14139" t="s">
        <v>42762</v>
      </c>
      <c r="S14139" t="s">
        <v>44299</v>
      </c>
      <c r="T14139" t="s">
        <v>44357</v>
      </c>
      <c r="U14139" t="s">
        <v>56280</v>
      </c>
      <c r="W14139" t="s">
        <v>42659</v>
      </c>
      <c r="X14139" t="s">
        <v>58138</v>
      </c>
    </row>
    <row r="14140" spans="1:24">
      <c r="A14140">
        <f>HYPERLINK("https://www.philgeps.gov.ph/GEPSNONPILOT/Tender/SplashBidNoticeAbstractUI.aspx?menuIndex=3&amp;refID=6901682&amp;Result=3","6901682")</f>
        <v>0</v>
      </c>
      <c r="B14140" t="s">
        <v>2037</v>
      </c>
      <c r="C14140" t="s">
        <v>17083</v>
      </c>
      <c r="D14140" t="s">
        <v>17142</v>
      </c>
      <c r="E14140" t="s">
        <v>27562</v>
      </c>
      <c r="F14140" t="s">
        <v>29372</v>
      </c>
      <c r="G14140" t="s">
        <v>29380</v>
      </c>
      <c r="H14140" t="s">
        <v>29389</v>
      </c>
      <c r="I14140" t="s">
        <v>10408</v>
      </c>
      <c r="J14140" t="s">
        <v>38446</v>
      </c>
      <c r="K14140" t="s">
        <v>38533</v>
      </c>
      <c r="M14140" t="s">
        <v>40933</v>
      </c>
      <c r="N14140" t="s">
        <v>42669</v>
      </c>
      <c r="O14140" t="s">
        <v>42670</v>
      </c>
      <c r="Q14140">
        <v>4</v>
      </c>
      <c r="R14140" t="s">
        <v>42757</v>
      </c>
      <c r="S14140" t="s">
        <v>43091</v>
      </c>
      <c r="T14140" t="s">
        <v>44375</v>
      </c>
      <c r="U14140" t="s">
        <v>56281</v>
      </c>
      <c r="W14140" t="s">
        <v>40933</v>
      </c>
      <c r="X14140" t="s">
        <v>58162</v>
      </c>
    </row>
    <row r="14141" spans="1:24">
      <c r="A14141">
        <f>HYPERLINK("https://www.philgeps.gov.ph/GEPSNONPILOT/Tender/SplashBidNoticeAbstractUI.aspx?menuIndex=3&amp;refID=6826106&amp;Result=3","6826106")</f>
        <v>0</v>
      </c>
      <c r="B14141" t="s">
        <v>2509</v>
      </c>
      <c r="C14141" t="s">
        <v>17084</v>
      </c>
      <c r="D14141" t="s">
        <v>17170</v>
      </c>
      <c r="E14141" t="s">
        <v>29316</v>
      </c>
      <c r="F14141" t="s">
        <v>29372</v>
      </c>
      <c r="G14141" t="s">
        <v>29380</v>
      </c>
      <c r="H14141" t="s">
        <v>29389</v>
      </c>
      <c r="I14141" t="s">
        <v>10408</v>
      </c>
      <c r="J14141" t="s">
        <v>31157</v>
      </c>
      <c r="K14141" t="s">
        <v>38496</v>
      </c>
      <c r="M14141" t="s">
        <v>41468</v>
      </c>
      <c r="N14141" t="s">
        <v>42669</v>
      </c>
      <c r="O14141" t="s">
        <v>42670</v>
      </c>
      <c r="Q14141">
        <v>2</v>
      </c>
      <c r="R14141" t="s">
        <v>42759</v>
      </c>
      <c r="S14141" t="s">
        <v>44300</v>
      </c>
      <c r="T14141" t="s">
        <v>44470</v>
      </c>
      <c r="U14141" t="s">
        <v>56277</v>
      </c>
      <c r="W14141" t="s">
        <v>41468</v>
      </c>
      <c r="X14141" t="s">
        <v>58163</v>
      </c>
    </row>
    <row r="14142" spans="1:24">
      <c r="A14142">
        <f>HYPERLINK("https://www.philgeps.gov.ph/GEPSNONPILOT/Tender/SplashBidNoticeAbstractUI.aspx?menuIndex=3&amp;refID=6901193&amp;Result=3","6901193")</f>
        <v>0</v>
      </c>
      <c r="B14142" t="s">
        <v>462</v>
      </c>
      <c r="C14142" t="s">
        <v>17085</v>
      </c>
      <c r="D14142" t="s">
        <v>17180</v>
      </c>
      <c r="E14142" t="s">
        <v>29317</v>
      </c>
      <c r="F14142" t="s">
        <v>29372</v>
      </c>
      <c r="G14142" t="s">
        <v>29383</v>
      </c>
      <c r="H14142" t="s">
        <v>11048</v>
      </c>
      <c r="I14142" t="s">
        <v>8614</v>
      </c>
      <c r="J14142" t="s">
        <v>38447</v>
      </c>
      <c r="K14142" t="s">
        <v>38485</v>
      </c>
      <c r="M14142" t="s">
        <v>39226</v>
      </c>
      <c r="N14142" t="s">
        <v>42669</v>
      </c>
      <c r="O14142" t="s">
        <v>42670</v>
      </c>
      <c r="Q14142">
        <v>5</v>
      </c>
      <c r="R14142" t="s">
        <v>42755</v>
      </c>
      <c r="S14142" t="s">
        <v>44301</v>
      </c>
      <c r="T14142" t="s">
        <v>44512</v>
      </c>
      <c r="U14142" t="s">
        <v>56282</v>
      </c>
      <c r="W14142" t="s">
        <v>39226</v>
      </c>
      <c r="X14142" t="s">
        <v>58162</v>
      </c>
    </row>
    <row r="14143" spans="1:24">
      <c r="A14143">
        <f>HYPERLINK("https://www.philgeps.gov.ph/GEPSNONPILOT/Tender/SplashBidNoticeAbstractUI.aspx?menuIndex=3&amp;refID=6854658&amp;Result=3","6854658")</f>
        <v>0</v>
      </c>
      <c r="B14143" t="s">
        <v>1523</v>
      </c>
      <c r="C14143" t="s">
        <v>17086</v>
      </c>
      <c r="D14143" t="s">
        <v>17153</v>
      </c>
      <c r="E14143" t="s">
        <v>29318</v>
      </c>
      <c r="F14143" t="s">
        <v>29372</v>
      </c>
      <c r="G14143" t="s">
        <v>29380</v>
      </c>
      <c r="H14143" t="s">
        <v>29389</v>
      </c>
      <c r="I14143" t="s">
        <v>10408</v>
      </c>
      <c r="J14143" t="s">
        <v>33376</v>
      </c>
      <c r="K14143" t="s">
        <v>38522</v>
      </c>
      <c r="M14143" t="s">
        <v>42659</v>
      </c>
      <c r="N14143" t="s">
        <v>42669</v>
      </c>
      <c r="O14143" t="s">
        <v>42670</v>
      </c>
      <c r="Q14143">
        <v>4</v>
      </c>
      <c r="R14143" t="s">
        <v>42762</v>
      </c>
      <c r="S14143" t="s">
        <v>44302</v>
      </c>
      <c r="T14143" t="s">
        <v>44357</v>
      </c>
      <c r="U14143" t="s">
        <v>56280</v>
      </c>
      <c r="W14143" t="s">
        <v>42659</v>
      </c>
      <c r="X14143" t="s">
        <v>58138</v>
      </c>
    </row>
    <row r="14144" spans="1:24">
      <c r="A14144">
        <f>HYPERLINK("https://www.philgeps.gov.ph/GEPSNONPILOT/Tender/SplashBidNoticeAbstractUI.aspx?menuIndex=3&amp;refID=6853872&amp;Result=3","6853872")</f>
        <v>0</v>
      </c>
      <c r="B14144" t="s">
        <v>1523</v>
      </c>
      <c r="C14144" t="s">
        <v>17087</v>
      </c>
      <c r="D14144" t="s">
        <v>17153</v>
      </c>
      <c r="E14144" t="s">
        <v>29319</v>
      </c>
      <c r="F14144" t="s">
        <v>29372</v>
      </c>
      <c r="G14144" t="s">
        <v>29380</v>
      </c>
      <c r="H14144" t="s">
        <v>29389</v>
      </c>
      <c r="I14144" t="s">
        <v>10408</v>
      </c>
      <c r="J14144" t="s">
        <v>33431</v>
      </c>
      <c r="K14144" t="s">
        <v>38522</v>
      </c>
      <c r="M14144" t="s">
        <v>42659</v>
      </c>
      <c r="N14144" t="s">
        <v>42669</v>
      </c>
      <c r="O14144" t="s">
        <v>42670</v>
      </c>
      <c r="Q14144">
        <v>3</v>
      </c>
      <c r="R14144" t="s">
        <v>42762</v>
      </c>
      <c r="S14144" t="s">
        <v>44303</v>
      </c>
      <c r="T14144" t="s">
        <v>44357</v>
      </c>
      <c r="U14144" t="s">
        <v>56280</v>
      </c>
      <c r="W14144" t="s">
        <v>42659</v>
      </c>
      <c r="X14144" t="s">
        <v>58138</v>
      </c>
    </row>
    <row r="14145" spans="1:24">
      <c r="A14145">
        <f>HYPERLINK("https://www.philgeps.gov.ph/GEPSNONPILOT/Tender/SplashBidNoticeAbstractUI.aspx?menuIndex=3&amp;refID=6906186&amp;Result=3","6906186")</f>
        <v>0</v>
      </c>
      <c r="B14145" t="s">
        <v>1607</v>
      </c>
      <c r="C14145" t="s">
        <v>17088</v>
      </c>
      <c r="D14145" t="s">
        <v>17160</v>
      </c>
      <c r="E14145" t="s">
        <v>21124</v>
      </c>
      <c r="F14145" t="s">
        <v>29372</v>
      </c>
      <c r="G14145" t="s">
        <v>29380</v>
      </c>
      <c r="H14145" t="s">
        <v>29389</v>
      </c>
      <c r="I14145" t="s">
        <v>10408</v>
      </c>
      <c r="J14145" t="s">
        <v>38448</v>
      </c>
      <c r="K14145" t="s">
        <v>38604</v>
      </c>
      <c r="M14145" t="s">
        <v>40460</v>
      </c>
      <c r="N14145" t="s">
        <v>42669</v>
      </c>
      <c r="O14145" t="s">
        <v>42670</v>
      </c>
      <c r="Q14145">
        <v>4</v>
      </c>
      <c r="R14145" t="s">
        <v>42756</v>
      </c>
      <c r="S14145" t="s">
        <v>44304</v>
      </c>
      <c r="T14145" t="s">
        <v>44878</v>
      </c>
      <c r="U14145" t="s">
        <v>56283</v>
      </c>
      <c r="W14145" t="s">
        <v>40460</v>
      </c>
      <c r="X14145" t="s">
        <v>42755</v>
      </c>
    </row>
    <row r="14146" spans="1:24">
      <c r="A14146">
        <f>HYPERLINK("https://www.philgeps.gov.ph/GEPSNONPILOT/Tender/SplashBidNoticeAbstractUI.aspx?menuIndex=3&amp;refID=6862314&amp;Result=3","6862314")</f>
        <v>0</v>
      </c>
      <c r="B14146" t="s">
        <v>1855</v>
      </c>
      <c r="C14146" t="s">
        <v>17089</v>
      </c>
      <c r="D14146" t="s">
        <v>17141</v>
      </c>
      <c r="E14146" t="s">
        <v>29320</v>
      </c>
      <c r="F14146" t="s">
        <v>29372</v>
      </c>
      <c r="G14146" t="s">
        <v>29380</v>
      </c>
      <c r="H14146" t="s">
        <v>29389</v>
      </c>
      <c r="I14146" t="s">
        <v>10408</v>
      </c>
      <c r="J14146" t="s">
        <v>38449</v>
      </c>
      <c r="K14146" t="s">
        <v>38523</v>
      </c>
      <c r="M14146" t="s">
        <v>40728</v>
      </c>
      <c r="N14146" t="s">
        <v>42669</v>
      </c>
      <c r="O14146" t="s">
        <v>42670</v>
      </c>
      <c r="Q14146">
        <v>132</v>
      </c>
      <c r="R14146" t="s">
        <v>42763</v>
      </c>
      <c r="S14146" t="s">
        <v>44305</v>
      </c>
      <c r="T14146" t="s">
        <v>44527</v>
      </c>
      <c r="U14146" t="s">
        <v>56284</v>
      </c>
      <c r="W14146" t="s">
        <v>40728</v>
      </c>
      <c r="X14146" t="s">
        <v>58164</v>
      </c>
    </row>
    <row r="14147" spans="1:24">
      <c r="A14147">
        <f>HYPERLINK("https://www.philgeps.gov.ph/GEPSNONPILOT/Tender/SplashBidNoticeAbstractUI.aspx?menuIndex=3&amp;refID=6771902&amp;Result=3","6771902")</f>
        <v>0</v>
      </c>
      <c r="B14147" t="s">
        <v>3215</v>
      </c>
      <c r="C14147" t="s">
        <v>17090</v>
      </c>
      <c r="E14147" t="s">
        <v>29321</v>
      </c>
      <c r="F14147" t="s">
        <v>29372</v>
      </c>
      <c r="G14147" t="s">
        <v>29380</v>
      </c>
      <c r="H14147" t="s">
        <v>29389</v>
      </c>
      <c r="I14147" t="s">
        <v>10408</v>
      </c>
      <c r="J14147" t="s">
        <v>38450</v>
      </c>
      <c r="K14147" t="s">
        <v>38490</v>
      </c>
      <c r="M14147" t="s">
        <v>42660</v>
      </c>
      <c r="N14147" t="s">
        <v>42669</v>
      </c>
      <c r="O14147" t="s">
        <v>42670</v>
      </c>
      <c r="Q14147">
        <v>67</v>
      </c>
      <c r="R14147" t="s">
        <v>42764</v>
      </c>
      <c r="S14147" t="s">
        <v>44306</v>
      </c>
      <c r="T14147" t="s">
        <v>44510</v>
      </c>
      <c r="U14147" t="s">
        <v>56285</v>
      </c>
      <c r="W14147" t="s">
        <v>42660</v>
      </c>
      <c r="X14147" t="s">
        <v>58165</v>
      </c>
    </row>
    <row r="14148" spans="1:24">
      <c r="A14148">
        <f>HYPERLINK("https://www.philgeps.gov.ph/GEPSNONPILOT/Tender/SplashBidNoticeAbstractUI.aspx?menuIndex=3&amp;refID=6814607&amp;Result=3","6814607")</f>
        <v>0</v>
      </c>
      <c r="B14148" t="s">
        <v>1400</v>
      </c>
      <c r="C14148" t="s">
        <v>17091</v>
      </c>
      <c r="D14148" t="s">
        <v>17141</v>
      </c>
      <c r="E14148" t="s">
        <v>29322</v>
      </c>
      <c r="F14148" t="s">
        <v>29372</v>
      </c>
      <c r="G14148" t="s">
        <v>29380</v>
      </c>
      <c r="H14148" t="s">
        <v>29389</v>
      </c>
      <c r="I14148" t="s">
        <v>10408</v>
      </c>
      <c r="J14148" t="s">
        <v>38451</v>
      </c>
      <c r="K14148" t="s">
        <v>38566</v>
      </c>
      <c r="M14148" t="s">
        <v>41534</v>
      </c>
      <c r="N14148" t="s">
        <v>42669</v>
      </c>
      <c r="O14148" t="s">
        <v>42670</v>
      </c>
      <c r="Q14148">
        <v>96</v>
      </c>
      <c r="R14148" t="s">
        <v>42765</v>
      </c>
      <c r="S14148" t="s">
        <v>44307</v>
      </c>
      <c r="T14148" t="s">
        <v>44430</v>
      </c>
      <c r="U14148" t="s">
        <v>51584</v>
      </c>
      <c r="V14148" t="s">
        <v>57988</v>
      </c>
      <c r="W14148" t="s">
        <v>41534</v>
      </c>
      <c r="X14148" t="s">
        <v>58166</v>
      </c>
    </row>
    <row r="14149" spans="1:24">
      <c r="A14149">
        <f>HYPERLINK("https://www.philgeps.gov.ph/GEPSNONPILOT/Tender/SplashBidNoticeAbstractUI.aspx?menuIndex=3&amp;refID=6814601&amp;Result=3","6814601")</f>
        <v>0</v>
      </c>
      <c r="B14149" t="s">
        <v>1400</v>
      </c>
      <c r="C14149" t="s">
        <v>17092</v>
      </c>
      <c r="D14149" t="s">
        <v>17141</v>
      </c>
      <c r="E14149" t="s">
        <v>29323</v>
      </c>
      <c r="F14149" t="s">
        <v>29372</v>
      </c>
      <c r="G14149" t="s">
        <v>29380</v>
      </c>
      <c r="H14149" t="s">
        <v>29389</v>
      </c>
      <c r="I14149" t="s">
        <v>10408</v>
      </c>
      <c r="J14149" t="s">
        <v>38452</v>
      </c>
      <c r="K14149" t="s">
        <v>38566</v>
      </c>
      <c r="M14149" t="s">
        <v>41534</v>
      </c>
      <c r="N14149" t="s">
        <v>42669</v>
      </c>
      <c r="O14149" t="s">
        <v>42670</v>
      </c>
      <c r="Q14149">
        <v>98</v>
      </c>
      <c r="R14149" t="s">
        <v>42765</v>
      </c>
      <c r="S14149" t="s">
        <v>44308</v>
      </c>
      <c r="T14149" t="s">
        <v>44430</v>
      </c>
      <c r="U14149" t="s">
        <v>51584</v>
      </c>
      <c r="V14149" t="s">
        <v>57989</v>
      </c>
      <c r="W14149" t="s">
        <v>41534</v>
      </c>
      <c r="X14149" t="s">
        <v>58166</v>
      </c>
    </row>
    <row r="14150" spans="1:24">
      <c r="A14150">
        <f>HYPERLINK("https://www.philgeps.gov.ph/GEPSNONPILOT/Tender/SplashBidNoticeAbstractUI.aspx?menuIndex=3&amp;refID=6854364&amp;Result=3","6854364")</f>
        <v>0</v>
      </c>
      <c r="B14150" t="s">
        <v>1523</v>
      </c>
      <c r="C14150" t="s">
        <v>17093</v>
      </c>
      <c r="D14150" t="s">
        <v>17153</v>
      </c>
      <c r="E14150" t="s">
        <v>29324</v>
      </c>
      <c r="F14150" t="s">
        <v>29372</v>
      </c>
      <c r="G14150" t="s">
        <v>29380</v>
      </c>
      <c r="H14150" t="s">
        <v>29389</v>
      </c>
      <c r="I14150" t="s">
        <v>10408</v>
      </c>
      <c r="J14150" t="s">
        <v>34709</v>
      </c>
      <c r="K14150" t="s">
        <v>38522</v>
      </c>
      <c r="M14150" t="s">
        <v>42659</v>
      </c>
      <c r="N14150" t="s">
        <v>42669</v>
      </c>
      <c r="O14150" t="s">
        <v>42670</v>
      </c>
      <c r="Q14150">
        <v>5</v>
      </c>
      <c r="R14150" t="s">
        <v>42762</v>
      </c>
      <c r="S14150" t="s">
        <v>44309</v>
      </c>
      <c r="T14150" t="s">
        <v>44357</v>
      </c>
      <c r="U14150" t="s">
        <v>56280</v>
      </c>
      <c r="W14150" t="s">
        <v>42659</v>
      </c>
      <c r="X14150" t="s">
        <v>58138</v>
      </c>
    </row>
    <row r="14151" spans="1:24">
      <c r="A14151">
        <f>HYPERLINK("https://www.philgeps.gov.ph/GEPSNONPILOT/Tender/SplashBidNoticeAbstractUI.aspx?menuIndex=3&amp;refID=6872742&amp;Result=3","6872742")</f>
        <v>0</v>
      </c>
      <c r="B14151" t="s">
        <v>1088</v>
      </c>
      <c r="C14151" t="s">
        <v>17094</v>
      </c>
      <c r="E14151" t="s">
        <v>29325</v>
      </c>
      <c r="F14151" t="s">
        <v>29372</v>
      </c>
      <c r="G14151" t="s">
        <v>29380</v>
      </c>
      <c r="H14151" t="s">
        <v>11048</v>
      </c>
      <c r="I14151" t="s">
        <v>29414</v>
      </c>
      <c r="J14151" t="s">
        <v>38453</v>
      </c>
      <c r="K14151" t="s">
        <v>38490</v>
      </c>
      <c r="M14151" t="s">
        <v>40660</v>
      </c>
      <c r="N14151" t="s">
        <v>42669</v>
      </c>
      <c r="O14151" t="s">
        <v>42670</v>
      </c>
      <c r="Q14151">
        <v>21</v>
      </c>
      <c r="R14151" t="s">
        <v>42766</v>
      </c>
      <c r="S14151" t="s">
        <v>44310</v>
      </c>
      <c r="T14151" t="s">
        <v>44380</v>
      </c>
      <c r="U14151" t="s">
        <v>56286</v>
      </c>
      <c r="W14151" t="s">
        <v>41517</v>
      </c>
      <c r="X14151" t="s">
        <v>58167</v>
      </c>
    </row>
    <row r="14152" spans="1:24">
      <c r="A14152">
        <f>HYPERLINK("https://www.philgeps.gov.ph/GEPSNONPILOT/Tender/SplashBidNoticeAbstractUI.aspx?menuIndex=3&amp;refID=6879518&amp;Result=3","6879518")</f>
        <v>0</v>
      </c>
      <c r="B14152" t="s">
        <v>1088</v>
      </c>
      <c r="C14152" t="s">
        <v>17095</v>
      </c>
      <c r="D14152" t="s">
        <v>17141</v>
      </c>
      <c r="E14152" t="s">
        <v>29326</v>
      </c>
      <c r="F14152" t="s">
        <v>29372</v>
      </c>
      <c r="G14152" t="s">
        <v>29380</v>
      </c>
      <c r="H14152" t="s">
        <v>11048</v>
      </c>
      <c r="I14152" t="s">
        <v>29467</v>
      </c>
      <c r="J14152" t="s">
        <v>38454</v>
      </c>
      <c r="K14152" t="s">
        <v>38564</v>
      </c>
      <c r="M14152" t="s">
        <v>39895</v>
      </c>
      <c r="N14152" t="s">
        <v>42669</v>
      </c>
      <c r="O14152" t="s">
        <v>42670</v>
      </c>
      <c r="Q14152">
        <v>8</v>
      </c>
      <c r="R14152" t="s">
        <v>42767</v>
      </c>
      <c r="S14152" t="s">
        <v>44311</v>
      </c>
      <c r="T14152" t="s">
        <v>44431</v>
      </c>
      <c r="U14152" t="s">
        <v>56287</v>
      </c>
      <c r="W14152" t="s">
        <v>39895</v>
      </c>
      <c r="X14152" t="s">
        <v>42766</v>
      </c>
    </row>
    <row r="14153" spans="1:24">
      <c r="A14153">
        <f>HYPERLINK("https://www.philgeps.gov.ph/GEPSNONPILOT/Tender/SplashBidNoticeAbstractUI.aspx?menuIndex=3&amp;refID=6889205&amp;Result=3","6889205")</f>
        <v>0</v>
      </c>
      <c r="B14153" t="s">
        <v>2217</v>
      </c>
      <c r="C14153" t="s">
        <v>17096</v>
      </c>
      <c r="D14153" t="s">
        <v>17168</v>
      </c>
      <c r="E14153" t="s">
        <v>29327</v>
      </c>
      <c r="F14153" t="s">
        <v>29372</v>
      </c>
      <c r="G14153" t="s">
        <v>29379</v>
      </c>
      <c r="H14153" t="s">
        <v>11048</v>
      </c>
      <c r="I14153" t="s">
        <v>29415</v>
      </c>
      <c r="J14153" t="s">
        <v>29625</v>
      </c>
      <c r="K14153" t="s">
        <v>38488</v>
      </c>
      <c r="M14153" t="s">
        <v>41134</v>
      </c>
      <c r="N14153" t="s">
        <v>42669</v>
      </c>
      <c r="O14153" t="s">
        <v>42670</v>
      </c>
      <c r="Q14153">
        <v>1</v>
      </c>
      <c r="R14153" t="s">
        <v>42768</v>
      </c>
      <c r="S14153" t="s">
        <v>44312</v>
      </c>
      <c r="T14153" t="s">
        <v>44496</v>
      </c>
      <c r="U14153" t="s">
        <v>56288</v>
      </c>
      <c r="W14153" t="s">
        <v>41134</v>
      </c>
      <c r="X14153" t="s">
        <v>58168</v>
      </c>
    </row>
    <row r="14154" spans="1:24">
      <c r="A14154">
        <f>HYPERLINK("https://www.philgeps.gov.ph/GEPSNONPILOT/Tender/SplashBidNoticeAbstractUI.aspx?menuIndex=3&amp;refID=6856036&amp;Result=3","6856036")</f>
        <v>0</v>
      </c>
      <c r="B14154" t="s">
        <v>1523</v>
      </c>
      <c r="C14154" t="s">
        <v>17097</v>
      </c>
      <c r="D14154" t="s">
        <v>17153</v>
      </c>
      <c r="E14154" t="s">
        <v>29328</v>
      </c>
      <c r="F14154" t="s">
        <v>29372</v>
      </c>
      <c r="G14154" t="s">
        <v>29380</v>
      </c>
      <c r="H14154" t="s">
        <v>29389</v>
      </c>
      <c r="I14154" t="s">
        <v>10408</v>
      </c>
      <c r="J14154" t="s">
        <v>34709</v>
      </c>
      <c r="K14154" t="s">
        <v>38564</v>
      </c>
      <c r="M14154" t="s">
        <v>42659</v>
      </c>
      <c r="N14154" t="s">
        <v>42669</v>
      </c>
      <c r="O14154" t="s">
        <v>42670</v>
      </c>
      <c r="Q14154">
        <v>6</v>
      </c>
      <c r="R14154" t="s">
        <v>42762</v>
      </c>
      <c r="S14154" t="s">
        <v>42862</v>
      </c>
      <c r="T14154" t="s">
        <v>44357</v>
      </c>
      <c r="U14154" t="s">
        <v>56280</v>
      </c>
      <c r="W14154" t="s">
        <v>42659</v>
      </c>
      <c r="X14154" t="s">
        <v>58138</v>
      </c>
    </row>
    <row r="14155" spans="1:24">
      <c r="A14155">
        <f>HYPERLINK("https://www.philgeps.gov.ph/GEPSNONPILOT/Tender/SplashBidNoticeAbstractUI.aspx?menuIndex=3&amp;refID=6897990&amp;Result=3","6897990")</f>
        <v>0</v>
      </c>
      <c r="B14155" t="s">
        <v>1281</v>
      </c>
      <c r="C14155" t="s">
        <v>17098</v>
      </c>
      <c r="D14155" t="s">
        <v>17205</v>
      </c>
      <c r="E14155" t="s">
        <v>29329</v>
      </c>
      <c r="F14155" t="s">
        <v>29372</v>
      </c>
      <c r="G14155" t="s">
        <v>29380</v>
      </c>
      <c r="H14155" t="s">
        <v>29389</v>
      </c>
      <c r="I14155" t="s">
        <v>10408</v>
      </c>
      <c r="J14155" t="s">
        <v>34528</v>
      </c>
      <c r="K14155" t="s">
        <v>38660</v>
      </c>
      <c r="M14155" t="s">
        <v>40109</v>
      </c>
      <c r="N14155" t="s">
        <v>42669</v>
      </c>
      <c r="O14155" t="s">
        <v>42670</v>
      </c>
      <c r="Q14155">
        <v>65</v>
      </c>
      <c r="R14155" t="s">
        <v>42769</v>
      </c>
      <c r="S14155" t="s">
        <v>43206</v>
      </c>
      <c r="T14155" t="s">
        <v>44429</v>
      </c>
      <c r="U14155" t="s">
        <v>56214</v>
      </c>
      <c r="W14155" t="s">
        <v>40109</v>
      </c>
      <c r="X14155" t="s">
        <v>42774</v>
      </c>
    </row>
    <row r="14156" spans="1:24">
      <c r="A14156">
        <f>HYPERLINK("https://www.philgeps.gov.ph/GEPSNONPILOT/Tender/SplashBidNoticeAbstractUI.aspx?menuIndex=3&amp;refID=6903240&amp;Result=3","6903240")</f>
        <v>0</v>
      </c>
      <c r="B14156" t="s">
        <v>501</v>
      </c>
      <c r="C14156" t="s">
        <v>17099</v>
      </c>
      <c r="D14156" t="s">
        <v>17206</v>
      </c>
      <c r="E14156" t="s">
        <v>29330</v>
      </c>
      <c r="F14156" t="s">
        <v>29372</v>
      </c>
      <c r="G14156" t="s">
        <v>29380</v>
      </c>
      <c r="H14156" t="s">
        <v>29389</v>
      </c>
      <c r="I14156" t="s">
        <v>10408</v>
      </c>
      <c r="J14156" t="s">
        <v>38455</v>
      </c>
      <c r="K14156" t="s">
        <v>38495</v>
      </c>
      <c r="M14156" t="s">
        <v>39266</v>
      </c>
      <c r="N14156" t="s">
        <v>42669</v>
      </c>
      <c r="O14156" t="s">
        <v>42670</v>
      </c>
      <c r="Q14156">
        <v>24</v>
      </c>
      <c r="R14156" t="s">
        <v>42755</v>
      </c>
      <c r="S14156" t="s">
        <v>44313</v>
      </c>
      <c r="T14156" t="s">
        <v>44470</v>
      </c>
      <c r="U14156" t="s">
        <v>56289</v>
      </c>
      <c r="V14156" t="s">
        <v>57990</v>
      </c>
      <c r="W14156" t="s">
        <v>39266</v>
      </c>
      <c r="X14156" t="s">
        <v>58162</v>
      </c>
    </row>
    <row r="14157" spans="1:24">
      <c r="A14157">
        <f>HYPERLINK("https://www.philgeps.gov.ph/GEPSNONPILOT/Tender/SplashBidNoticeAbstractUI.aspx?menuIndex=3&amp;refID=6840310&amp;Result=3","6840310")</f>
        <v>0</v>
      </c>
      <c r="B14157" t="s">
        <v>275</v>
      </c>
      <c r="C14157" t="s">
        <v>17100</v>
      </c>
      <c r="D14157" t="s">
        <v>17180</v>
      </c>
      <c r="E14157" t="s">
        <v>29331</v>
      </c>
      <c r="F14157" t="s">
        <v>29372</v>
      </c>
      <c r="G14157" t="s">
        <v>29380</v>
      </c>
      <c r="H14157" t="s">
        <v>29389</v>
      </c>
      <c r="I14157" t="s">
        <v>10408</v>
      </c>
      <c r="J14157" t="s">
        <v>38456</v>
      </c>
      <c r="K14157" t="s">
        <v>38774</v>
      </c>
      <c r="M14157" t="s">
        <v>41239</v>
      </c>
      <c r="N14157" t="s">
        <v>42669</v>
      </c>
      <c r="O14157" t="s">
        <v>42670</v>
      </c>
      <c r="Q14157">
        <v>48</v>
      </c>
      <c r="R14157" t="s">
        <v>42761</v>
      </c>
      <c r="S14157" t="s">
        <v>44314</v>
      </c>
      <c r="T14157" t="s">
        <v>44503</v>
      </c>
      <c r="U14157" t="s">
        <v>56290</v>
      </c>
      <c r="V14157" t="s">
        <v>57991</v>
      </c>
      <c r="W14157" t="s">
        <v>41239</v>
      </c>
      <c r="X14157" t="s">
        <v>42760</v>
      </c>
    </row>
    <row r="14158" spans="1:24">
      <c r="A14158">
        <f>HYPERLINK("https://www.philgeps.gov.ph/GEPSNONPILOT/Tender/SplashBidNoticeAbstractUI.aspx?menuIndex=3&amp;refID=6916653&amp;Result=3","6916653")</f>
        <v>0</v>
      </c>
      <c r="B14158" t="s">
        <v>1281</v>
      </c>
      <c r="C14158" t="s">
        <v>17101</v>
      </c>
      <c r="D14158" t="s">
        <v>17205</v>
      </c>
      <c r="E14158" t="s">
        <v>29332</v>
      </c>
      <c r="F14158" t="s">
        <v>29372</v>
      </c>
      <c r="G14158" t="s">
        <v>29380</v>
      </c>
      <c r="H14158" t="s">
        <v>29389</v>
      </c>
      <c r="I14158" t="s">
        <v>10408</v>
      </c>
      <c r="J14158" t="s">
        <v>34528</v>
      </c>
      <c r="K14158" t="s">
        <v>38775</v>
      </c>
      <c r="M14158" t="s">
        <v>40109</v>
      </c>
      <c r="N14158" t="s">
        <v>42669</v>
      </c>
      <c r="O14158" t="s">
        <v>42670</v>
      </c>
      <c r="Q14158">
        <v>56</v>
      </c>
      <c r="R14158" t="s">
        <v>42770</v>
      </c>
      <c r="S14158" t="s">
        <v>44315</v>
      </c>
      <c r="T14158" t="s">
        <v>44429</v>
      </c>
      <c r="U14158" t="s">
        <v>56214</v>
      </c>
      <c r="W14158" t="s">
        <v>40109</v>
      </c>
      <c r="X14158" t="s">
        <v>42757</v>
      </c>
    </row>
    <row r="14159" spans="1:24">
      <c r="A14159">
        <f>HYPERLINK("https://www.philgeps.gov.ph/GEPSNONPILOT/Tender/SplashBidNoticeAbstractUI.aspx?menuIndex=3&amp;refID=6923450&amp;Result=3","6923450")</f>
        <v>0</v>
      </c>
      <c r="B14159" t="s">
        <v>1855</v>
      </c>
      <c r="C14159" t="s">
        <v>17102</v>
      </c>
      <c r="D14159" t="s">
        <v>17141</v>
      </c>
      <c r="E14159" t="s">
        <v>29333</v>
      </c>
      <c r="F14159" t="s">
        <v>29372</v>
      </c>
      <c r="G14159" t="s">
        <v>29380</v>
      </c>
      <c r="H14159" t="s">
        <v>29389</v>
      </c>
      <c r="I14159" t="s">
        <v>10408</v>
      </c>
      <c r="J14159" t="s">
        <v>38457</v>
      </c>
      <c r="K14159" t="s">
        <v>38523</v>
      </c>
      <c r="M14159" t="s">
        <v>40728</v>
      </c>
      <c r="N14159" t="s">
        <v>42669</v>
      </c>
      <c r="O14159" t="s">
        <v>42670</v>
      </c>
      <c r="Q14159">
        <v>62</v>
      </c>
      <c r="R14159" t="s">
        <v>42771</v>
      </c>
      <c r="S14159" t="s">
        <v>44316</v>
      </c>
      <c r="T14159" t="s">
        <v>44527</v>
      </c>
      <c r="U14159" t="s">
        <v>56291</v>
      </c>
      <c r="W14159" t="s">
        <v>40728</v>
      </c>
      <c r="X14159" t="s">
        <v>58169</v>
      </c>
    </row>
    <row r="14160" spans="1:24">
      <c r="A14160">
        <f>HYPERLINK("https://www.philgeps.gov.ph/GEPSNONPILOT/Tender/SplashBidNoticeAbstractUI.aspx?menuIndex=3&amp;refID=6935705&amp;Result=3","6935705")</f>
        <v>0</v>
      </c>
      <c r="B14160" t="s">
        <v>1088</v>
      </c>
      <c r="C14160" t="s">
        <v>17103</v>
      </c>
      <c r="D14160" t="s">
        <v>17186</v>
      </c>
      <c r="E14160" t="s">
        <v>29334</v>
      </c>
      <c r="F14160" t="s">
        <v>29372</v>
      </c>
      <c r="G14160" t="s">
        <v>29380</v>
      </c>
      <c r="H14160" t="s">
        <v>11048</v>
      </c>
      <c r="I14160" t="s">
        <v>3629</v>
      </c>
      <c r="J14160" t="s">
        <v>38458</v>
      </c>
      <c r="K14160" t="s">
        <v>38495</v>
      </c>
      <c r="M14160" t="s">
        <v>39895</v>
      </c>
      <c r="N14160" t="s">
        <v>42669</v>
      </c>
      <c r="O14160" t="s">
        <v>42670</v>
      </c>
      <c r="Q14160">
        <v>10</v>
      </c>
      <c r="R14160" t="s">
        <v>42772</v>
      </c>
      <c r="S14160" t="s">
        <v>44317</v>
      </c>
      <c r="T14160" t="s">
        <v>44527</v>
      </c>
      <c r="U14160" t="s">
        <v>56292</v>
      </c>
      <c r="W14160" t="s">
        <v>39895</v>
      </c>
      <c r="X14160" t="s">
        <v>42775</v>
      </c>
    </row>
    <row r="14161" spans="1:24">
      <c r="A14161">
        <f>HYPERLINK("https://www.philgeps.gov.ph/GEPSNONPILOT/Tender/SplashBidNoticeAbstractUI.aspx?menuIndex=3&amp;refID=6901255&amp;Result=3","6901255")</f>
        <v>0</v>
      </c>
      <c r="B14161" t="s">
        <v>1088</v>
      </c>
      <c r="C14161" t="s">
        <v>17104</v>
      </c>
      <c r="E14161" t="s">
        <v>29335</v>
      </c>
      <c r="F14161" t="s">
        <v>29372</v>
      </c>
      <c r="G14161" t="s">
        <v>29380</v>
      </c>
      <c r="H14161" t="s">
        <v>11048</v>
      </c>
      <c r="I14161" t="s">
        <v>29426</v>
      </c>
      <c r="J14161" t="s">
        <v>38459</v>
      </c>
      <c r="K14161" t="s">
        <v>38495</v>
      </c>
      <c r="M14161" t="s">
        <v>40660</v>
      </c>
      <c r="N14161" t="s">
        <v>42669</v>
      </c>
      <c r="O14161" t="s">
        <v>42670</v>
      </c>
      <c r="Q14161">
        <v>16</v>
      </c>
      <c r="R14161" t="s">
        <v>42771</v>
      </c>
      <c r="S14161" t="s">
        <v>44318</v>
      </c>
      <c r="T14161" t="s">
        <v>44419</v>
      </c>
      <c r="U14161" t="s">
        <v>56293</v>
      </c>
      <c r="W14161" t="s">
        <v>41517</v>
      </c>
      <c r="X14161" t="s">
        <v>58162</v>
      </c>
    </row>
    <row r="14162" spans="1:24">
      <c r="A14162">
        <f>HYPERLINK("https://www.philgeps.gov.ph/GEPSNONPILOT/Tender/SplashBidNoticeAbstractUI.aspx?menuIndex=3&amp;refID=6928363&amp;Result=3","6928363")</f>
        <v>0</v>
      </c>
      <c r="B14162" t="s">
        <v>2232</v>
      </c>
      <c r="C14162" t="s">
        <v>17105</v>
      </c>
      <c r="D14162" t="s">
        <v>17144</v>
      </c>
      <c r="E14162" t="s">
        <v>29336</v>
      </c>
      <c r="F14162" t="s">
        <v>29372</v>
      </c>
      <c r="G14162" t="s">
        <v>29380</v>
      </c>
      <c r="H14162" t="s">
        <v>11048</v>
      </c>
      <c r="I14162" t="s">
        <v>8614</v>
      </c>
      <c r="J14162" t="s">
        <v>32508</v>
      </c>
      <c r="K14162" t="s">
        <v>38495</v>
      </c>
      <c r="M14162" t="s">
        <v>41150</v>
      </c>
      <c r="N14162" t="s">
        <v>42669</v>
      </c>
      <c r="O14162" t="s">
        <v>42670</v>
      </c>
      <c r="Q14162">
        <v>13</v>
      </c>
      <c r="R14162" t="s">
        <v>42773</v>
      </c>
      <c r="S14162" t="s">
        <v>43380</v>
      </c>
      <c r="T14162" t="s">
        <v>44489</v>
      </c>
      <c r="U14162" t="s">
        <v>56294</v>
      </c>
      <c r="W14162" t="s">
        <v>41150</v>
      </c>
      <c r="X14162" t="s">
        <v>42771</v>
      </c>
    </row>
    <row r="14163" spans="1:24">
      <c r="A14163">
        <f>HYPERLINK("https://www.philgeps.gov.ph/GEPSNONPILOT/Tender/SplashBidNoticeAbstractUI.aspx?menuIndex=3&amp;refID=6910808&amp;Result=3","6910808")</f>
        <v>0</v>
      </c>
      <c r="B14163" t="s">
        <v>275</v>
      </c>
      <c r="C14163" t="s">
        <v>17106</v>
      </c>
      <c r="D14163" t="s">
        <v>17180</v>
      </c>
      <c r="E14163" t="s">
        <v>29337</v>
      </c>
      <c r="F14163" t="s">
        <v>29372</v>
      </c>
      <c r="G14163" t="s">
        <v>29380</v>
      </c>
      <c r="H14163" t="s">
        <v>29389</v>
      </c>
      <c r="I14163" t="s">
        <v>10408</v>
      </c>
      <c r="J14163" t="s">
        <v>38460</v>
      </c>
      <c r="K14163" t="s">
        <v>38776</v>
      </c>
      <c r="M14163" t="s">
        <v>41239</v>
      </c>
      <c r="N14163" t="s">
        <v>42669</v>
      </c>
      <c r="O14163" t="s">
        <v>42670</v>
      </c>
      <c r="Q14163">
        <v>76</v>
      </c>
      <c r="R14163" t="s">
        <v>42757</v>
      </c>
      <c r="S14163" t="s">
        <v>44319</v>
      </c>
      <c r="T14163" t="s">
        <v>44368</v>
      </c>
      <c r="U14163" t="s">
        <v>56295</v>
      </c>
      <c r="V14163" t="s">
        <v>57145</v>
      </c>
      <c r="W14163" t="s">
        <v>41239</v>
      </c>
      <c r="X14163" t="s">
        <v>42756</v>
      </c>
    </row>
    <row r="14164" spans="1:24">
      <c r="A14164">
        <f>HYPERLINK("https://www.philgeps.gov.ph/GEPSNONPILOT/Tender/SplashBidNoticeAbstractUI.aspx?menuIndex=3&amp;refID=6872956&amp;Result=3","6872956")</f>
        <v>0</v>
      </c>
      <c r="B14164" t="s">
        <v>1088</v>
      </c>
      <c r="C14164" t="s">
        <v>17107</v>
      </c>
      <c r="D14164" t="s">
        <v>17142</v>
      </c>
      <c r="E14164" t="s">
        <v>29338</v>
      </c>
      <c r="F14164" t="s">
        <v>29372</v>
      </c>
      <c r="G14164" t="s">
        <v>29380</v>
      </c>
      <c r="H14164" t="s">
        <v>11048</v>
      </c>
      <c r="I14164" t="s">
        <v>3629</v>
      </c>
      <c r="J14164" t="s">
        <v>38461</v>
      </c>
      <c r="K14164" t="s">
        <v>38502</v>
      </c>
      <c r="M14164" t="s">
        <v>39895</v>
      </c>
      <c r="N14164" t="s">
        <v>42669</v>
      </c>
      <c r="O14164" t="s">
        <v>42670</v>
      </c>
      <c r="Q14164">
        <v>12</v>
      </c>
      <c r="R14164" t="s">
        <v>42774</v>
      </c>
      <c r="S14164" t="s">
        <v>44320</v>
      </c>
      <c r="T14164" t="s">
        <v>44530</v>
      </c>
      <c r="U14164" t="s">
        <v>56296</v>
      </c>
      <c r="W14164" t="s">
        <v>39895</v>
      </c>
      <c r="X14164" t="s">
        <v>58167</v>
      </c>
    </row>
    <row r="14165" spans="1:24">
      <c r="A14165">
        <f>HYPERLINK("https://www.philgeps.gov.ph/GEPSNONPILOT/Tender/SplashBidNoticeAbstractUI.aspx?menuIndex=3&amp;refID=6928194&amp;Result=3","6928194")</f>
        <v>0</v>
      </c>
      <c r="B14165" t="s">
        <v>2327</v>
      </c>
      <c r="C14165" t="s">
        <v>17108</v>
      </c>
      <c r="D14165" t="s">
        <v>17163</v>
      </c>
      <c r="E14165" t="s">
        <v>29339</v>
      </c>
      <c r="F14165" t="s">
        <v>29372</v>
      </c>
      <c r="G14165" t="s">
        <v>29380</v>
      </c>
      <c r="H14165" t="s">
        <v>11048</v>
      </c>
      <c r="I14165" t="s">
        <v>29435</v>
      </c>
      <c r="J14165" t="s">
        <v>38462</v>
      </c>
      <c r="K14165" t="s">
        <v>38603</v>
      </c>
      <c r="M14165" t="s">
        <v>42661</v>
      </c>
      <c r="N14165" t="s">
        <v>42669</v>
      </c>
      <c r="O14165" t="s">
        <v>42670</v>
      </c>
      <c r="Q14165">
        <v>17</v>
      </c>
      <c r="R14165" t="s">
        <v>42773</v>
      </c>
      <c r="S14165" t="s">
        <v>44321</v>
      </c>
      <c r="T14165" t="s">
        <v>44512</v>
      </c>
      <c r="U14165" t="s">
        <v>56297</v>
      </c>
      <c r="W14165" t="s">
        <v>42661</v>
      </c>
      <c r="X14165" t="s">
        <v>42771</v>
      </c>
    </row>
    <row r="14166" spans="1:24">
      <c r="A14166">
        <f>HYPERLINK("https://www.philgeps.gov.ph/GEPSNONPILOT/Tender/SplashBidNoticeAbstractUI.aspx?menuIndex=3&amp;refID=6932514&amp;Result=3","6932514")</f>
        <v>0</v>
      </c>
      <c r="B14166" t="s">
        <v>1088</v>
      </c>
      <c r="C14166" t="s">
        <v>17109</v>
      </c>
      <c r="E14166" t="s">
        <v>29340</v>
      </c>
      <c r="F14166" t="s">
        <v>29372</v>
      </c>
      <c r="G14166" t="s">
        <v>29380</v>
      </c>
      <c r="H14166" t="s">
        <v>11048</v>
      </c>
      <c r="I14166" t="s">
        <v>29467</v>
      </c>
      <c r="J14166" t="s">
        <v>38463</v>
      </c>
      <c r="K14166" t="s">
        <v>38522</v>
      </c>
      <c r="M14166" t="s">
        <v>39895</v>
      </c>
      <c r="N14166" t="s">
        <v>42669</v>
      </c>
      <c r="O14166" t="s">
        <v>42670</v>
      </c>
      <c r="Q14166">
        <v>26</v>
      </c>
      <c r="R14166" t="s">
        <v>42775</v>
      </c>
      <c r="S14166" t="s">
        <v>44322</v>
      </c>
      <c r="T14166" t="s">
        <v>44470</v>
      </c>
      <c r="U14166" t="s">
        <v>56298</v>
      </c>
      <c r="W14166" t="s">
        <v>39895</v>
      </c>
      <c r="X14166" t="s">
        <v>42773</v>
      </c>
    </row>
    <row r="14167" spans="1:24">
      <c r="A14167">
        <f>HYPERLINK("https://www.philgeps.gov.ph/GEPSNONPILOT/Tender/SplashBidNoticeAbstractUI.aspx?menuIndex=3&amp;refID=6924439&amp;Result=3","6924439")</f>
        <v>0</v>
      </c>
      <c r="B14167" t="s">
        <v>275</v>
      </c>
      <c r="C14167" t="s">
        <v>17110</v>
      </c>
      <c r="D14167" t="s">
        <v>17180</v>
      </c>
      <c r="E14167" t="s">
        <v>29341</v>
      </c>
      <c r="F14167" t="s">
        <v>29372</v>
      </c>
      <c r="G14167" t="s">
        <v>29380</v>
      </c>
      <c r="H14167" t="s">
        <v>29389</v>
      </c>
      <c r="I14167" t="s">
        <v>10408</v>
      </c>
      <c r="J14167" t="s">
        <v>38464</v>
      </c>
      <c r="K14167" t="s">
        <v>38616</v>
      </c>
      <c r="M14167" t="s">
        <v>41239</v>
      </c>
      <c r="N14167" t="s">
        <v>42669</v>
      </c>
      <c r="O14167" t="s">
        <v>42670</v>
      </c>
      <c r="Q14167">
        <v>47</v>
      </c>
      <c r="R14167" t="s">
        <v>42771</v>
      </c>
      <c r="S14167" t="s">
        <v>44323</v>
      </c>
      <c r="T14167" t="s">
        <v>44368</v>
      </c>
      <c r="U14167" t="s">
        <v>56299</v>
      </c>
      <c r="V14167" t="s">
        <v>57145</v>
      </c>
      <c r="W14167" t="s">
        <v>41239</v>
      </c>
      <c r="X14167" t="s">
        <v>58169</v>
      </c>
    </row>
    <row r="14168" spans="1:24">
      <c r="A14168">
        <f>HYPERLINK("https://www.philgeps.gov.ph/GEPSNONPILOT/Tender/SplashBidNoticeAbstractUI.aspx?menuIndex=3&amp;refID=6977331&amp;Result=3","6977331")</f>
        <v>0</v>
      </c>
      <c r="B14168" t="s">
        <v>3507</v>
      </c>
      <c r="C14168" t="s">
        <v>17111</v>
      </c>
      <c r="D14168" t="s">
        <v>17166</v>
      </c>
      <c r="E14168" t="s">
        <v>29342</v>
      </c>
      <c r="F14168" t="s">
        <v>29372</v>
      </c>
      <c r="G14168" t="s">
        <v>29380</v>
      </c>
      <c r="H14168" t="s">
        <v>29389</v>
      </c>
      <c r="I14168" t="s">
        <v>29417</v>
      </c>
      <c r="J14168" t="s">
        <v>38465</v>
      </c>
      <c r="K14168" t="s">
        <v>38495</v>
      </c>
      <c r="M14168" t="s">
        <v>42654</v>
      </c>
      <c r="N14168" t="s">
        <v>42669</v>
      </c>
      <c r="O14168" t="s">
        <v>42670</v>
      </c>
      <c r="Q14168">
        <v>9</v>
      </c>
      <c r="R14168" t="s">
        <v>42742</v>
      </c>
      <c r="S14168" t="s">
        <v>44324</v>
      </c>
      <c r="T14168" t="s">
        <v>44875</v>
      </c>
      <c r="U14168" t="s">
        <v>56300</v>
      </c>
      <c r="W14168" t="s">
        <v>42654</v>
      </c>
      <c r="X14168" t="s">
        <v>42776</v>
      </c>
    </row>
    <row r="14169" spans="1:24">
      <c r="A14169">
        <f>HYPERLINK("https://www.philgeps.gov.ph/GEPSNONPILOT/Tender/SplashBidNoticeAbstractUI.aspx?menuIndex=3&amp;refID=6968335&amp;Result=3","6968335")</f>
        <v>0</v>
      </c>
      <c r="B14169" t="s">
        <v>1543</v>
      </c>
      <c r="C14169" t="s">
        <v>17112</v>
      </c>
      <c r="E14169" t="s">
        <v>29343</v>
      </c>
      <c r="F14169" t="s">
        <v>29372</v>
      </c>
      <c r="G14169" t="s">
        <v>29380</v>
      </c>
      <c r="H14169" t="s">
        <v>11048</v>
      </c>
      <c r="I14169" t="s">
        <v>4487</v>
      </c>
      <c r="J14169" t="s">
        <v>38466</v>
      </c>
      <c r="K14169" t="s">
        <v>38490</v>
      </c>
      <c r="M14169" t="s">
        <v>40392</v>
      </c>
      <c r="N14169" t="s">
        <v>42669</v>
      </c>
      <c r="O14169" t="s">
        <v>42670</v>
      </c>
      <c r="Q14169">
        <v>12</v>
      </c>
      <c r="R14169" t="s">
        <v>42753</v>
      </c>
      <c r="S14169" t="s">
        <v>44325</v>
      </c>
      <c r="T14169" t="s">
        <v>44401</v>
      </c>
      <c r="U14169" t="s">
        <v>56301</v>
      </c>
      <c r="V14169" t="s">
        <v>57992</v>
      </c>
      <c r="W14169" t="s">
        <v>58135</v>
      </c>
      <c r="X14169" t="s">
        <v>58160</v>
      </c>
    </row>
    <row r="14170" spans="1:24">
      <c r="A14170">
        <f>HYPERLINK("https://www.philgeps.gov.ph/GEPSNONPILOT/Tender/SplashBidNoticeAbstractUI.aspx?menuIndex=3&amp;refID=6977068&amp;Result=3","6977068")</f>
        <v>0</v>
      </c>
      <c r="B14170" t="s">
        <v>3507</v>
      </c>
      <c r="C14170" t="s">
        <v>17113</v>
      </c>
      <c r="D14170" t="s">
        <v>17166</v>
      </c>
      <c r="E14170" t="s">
        <v>29344</v>
      </c>
      <c r="F14170" t="s">
        <v>29372</v>
      </c>
      <c r="G14170" t="s">
        <v>29380</v>
      </c>
      <c r="H14170" t="s">
        <v>29389</v>
      </c>
      <c r="I14170" t="s">
        <v>10408</v>
      </c>
      <c r="J14170" t="s">
        <v>38467</v>
      </c>
      <c r="K14170" t="s">
        <v>38522</v>
      </c>
      <c r="M14170" t="s">
        <v>42654</v>
      </c>
      <c r="N14170" t="s">
        <v>42669</v>
      </c>
      <c r="O14170" t="s">
        <v>42670</v>
      </c>
      <c r="Q14170">
        <v>6</v>
      </c>
      <c r="R14170" t="s">
        <v>42742</v>
      </c>
      <c r="S14170" t="s">
        <v>44326</v>
      </c>
      <c r="T14170" t="s">
        <v>44875</v>
      </c>
      <c r="U14170" t="s">
        <v>56302</v>
      </c>
      <c r="W14170" t="s">
        <v>42654</v>
      </c>
      <c r="X14170" t="s">
        <v>42776</v>
      </c>
    </row>
    <row r="14171" spans="1:24">
      <c r="A14171">
        <f>HYPERLINK("https://www.philgeps.gov.ph/GEPSNONPILOT/Tender/SplashBidNoticeAbstractUI.aspx?menuIndex=3&amp;refID=7017229&amp;Result=3","7017229")</f>
        <v>0</v>
      </c>
      <c r="B14171" t="s">
        <v>278</v>
      </c>
      <c r="C14171" t="s">
        <v>17114</v>
      </c>
      <c r="D14171" t="s">
        <v>17206</v>
      </c>
      <c r="E14171" t="s">
        <v>29345</v>
      </c>
      <c r="F14171" t="s">
        <v>29372</v>
      </c>
      <c r="G14171" t="s">
        <v>29379</v>
      </c>
      <c r="H14171" t="s">
        <v>11048</v>
      </c>
      <c r="I14171" t="s">
        <v>29396</v>
      </c>
      <c r="J14171" t="s">
        <v>29625</v>
      </c>
      <c r="K14171" t="s">
        <v>38518</v>
      </c>
      <c r="M14171" t="s">
        <v>41697</v>
      </c>
      <c r="N14171" t="s">
        <v>42669</v>
      </c>
      <c r="O14171" t="s">
        <v>42670</v>
      </c>
      <c r="Q14171">
        <v>3</v>
      </c>
      <c r="R14171" t="s">
        <v>42746</v>
      </c>
      <c r="S14171" t="s">
        <v>44327</v>
      </c>
      <c r="T14171" t="s">
        <v>44427</v>
      </c>
      <c r="U14171" t="s">
        <v>56303</v>
      </c>
      <c r="W14171" t="s">
        <v>41697</v>
      </c>
      <c r="X14171" t="s">
        <v>42747</v>
      </c>
    </row>
    <row r="14172" spans="1:24">
      <c r="A14172">
        <f>HYPERLINK("https://www.philgeps.gov.ph/GEPSNONPILOT/Tender/SplashBidNoticeAbstractUI.aspx?menuIndex=3&amp;refID=7021086&amp;Result=3","7021086")</f>
        <v>0</v>
      </c>
      <c r="B14172" t="s">
        <v>1543</v>
      </c>
      <c r="C14172" t="s">
        <v>17115</v>
      </c>
      <c r="E14172" t="s">
        <v>29346</v>
      </c>
      <c r="F14172" t="s">
        <v>29372</v>
      </c>
      <c r="G14172" t="s">
        <v>29380</v>
      </c>
      <c r="H14172" t="s">
        <v>11048</v>
      </c>
      <c r="I14172" t="s">
        <v>8614</v>
      </c>
      <c r="J14172" t="s">
        <v>29937</v>
      </c>
      <c r="K14172" t="s">
        <v>38490</v>
      </c>
      <c r="M14172" t="s">
        <v>42642</v>
      </c>
      <c r="N14172" t="s">
        <v>42669</v>
      </c>
      <c r="O14172" t="s">
        <v>42670</v>
      </c>
      <c r="Q14172">
        <v>23</v>
      </c>
      <c r="R14172" t="s">
        <v>42734</v>
      </c>
      <c r="S14172" t="s">
        <v>43159</v>
      </c>
      <c r="T14172" t="s">
        <v>44439</v>
      </c>
      <c r="U14172" t="s">
        <v>56304</v>
      </c>
      <c r="V14172" t="s">
        <v>57993</v>
      </c>
      <c r="W14172" t="s">
        <v>58137</v>
      </c>
      <c r="X14172" t="s">
        <v>58170</v>
      </c>
    </row>
    <row r="14173" spans="1:24">
      <c r="A14173">
        <f>HYPERLINK("https://www.philgeps.gov.ph/GEPSNONPILOT/Tender/SplashBidNoticeAbstractUI.aspx?menuIndex=3&amp;refID=6977130&amp;Result=3","6977130")</f>
        <v>0</v>
      </c>
      <c r="B14173" t="s">
        <v>3507</v>
      </c>
      <c r="C14173" t="s">
        <v>17116</v>
      </c>
      <c r="D14173" t="s">
        <v>17166</v>
      </c>
      <c r="E14173" t="s">
        <v>29347</v>
      </c>
      <c r="F14173" t="s">
        <v>29372</v>
      </c>
      <c r="G14173" t="s">
        <v>29380</v>
      </c>
      <c r="H14173" t="s">
        <v>29389</v>
      </c>
      <c r="I14173" t="s">
        <v>29417</v>
      </c>
      <c r="J14173" t="s">
        <v>38468</v>
      </c>
      <c r="K14173" t="s">
        <v>38495</v>
      </c>
      <c r="M14173" t="s">
        <v>42654</v>
      </c>
      <c r="N14173" t="s">
        <v>42669</v>
      </c>
      <c r="O14173" t="s">
        <v>42670</v>
      </c>
      <c r="Q14173">
        <v>10</v>
      </c>
      <c r="R14173" t="s">
        <v>42742</v>
      </c>
      <c r="S14173" t="s">
        <v>44328</v>
      </c>
      <c r="T14173" t="s">
        <v>44875</v>
      </c>
      <c r="U14173" t="s">
        <v>56305</v>
      </c>
      <c r="W14173" t="s">
        <v>42654</v>
      </c>
      <c r="X14173" t="s">
        <v>42776</v>
      </c>
    </row>
    <row r="14174" spans="1:24">
      <c r="A14174">
        <f>HYPERLINK("https://www.philgeps.gov.ph/GEPSNONPILOT/Tender/SplashBidNoticeAbstractUI.aspx?menuIndex=3&amp;refID=7120660&amp;Result=3","7120660")</f>
        <v>0</v>
      </c>
      <c r="B14174" t="s">
        <v>3511</v>
      </c>
      <c r="C14174" t="s">
        <v>17117</v>
      </c>
      <c r="D14174" t="s">
        <v>17188</v>
      </c>
      <c r="E14174" t="s">
        <v>29348</v>
      </c>
      <c r="F14174" t="s">
        <v>29372</v>
      </c>
      <c r="G14174" t="s">
        <v>29380</v>
      </c>
      <c r="H14174" t="s">
        <v>11048</v>
      </c>
      <c r="I14174" t="s">
        <v>29496</v>
      </c>
      <c r="J14174" t="s">
        <v>38469</v>
      </c>
      <c r="K14174" t="s">
        <v>38487</v>
      </c>
      <c r="M14174" t="s">
        <v>42662</v>
      </c>
      <c r="N14174" t="s">
        <v>42669</v>
      </c>
      <c r="O14174" t="s">
        <v>42670</v>
      </c>
      <c r="Q14174">
        <v>15</v>
      </c>
      <c r="R14174" t="s">
        <v>42705</v>
      </c>
      <c r="S14174" t="s">
        <v>44329</v>
      </c>
      <c r="T14174" t="s">
        <v>44375</v>
      </c>
      <c r="U14174" t="s">
        <v>56306</v>
      </c>
      <c r="W14174" t="s">
        <v>42662</v>
      </c>
      <c r="X14174" t="s">
        <v>42706</v>
      </c>
    </row>
    <row r="14175" spans="1:24">
      <c r="A14175">
        <f>HYPERLINK("https://www.philgeps.gov.ph/GEPSNONPILOT/Tender/SplashBidNoticeAbstractUI.aspx?menuIndex=3&amp;refID=7120529&amp;Result=3","7120529")</f>
        <v>0</v>
      </c>
      <c r="B14175" t="s">
        <v>3511</v>
      </c>
      <c r="C14175" t="s">
        <v>17118</v>
      </c>
      <c r="D14175" t="s">
        <v>17188</v>
      </c>
      <c r="E14175" t="s">
        <v>29349</v>
      </c>
      <c r="F14175" t="s">
        <v>29372</v>
      </c>
      <c r="G14175" t="s">
        <v>29380</v>
      </c>
      <c r="H14175" t="s">
        <v>11048</v>
      </c>
      <c r="I14175" t="s">
        <v>29496</v>
      </c>
      <c r="J14175" t="s">
        <v>38470</v>
      </c>
      <c r="K14175" t="s">
        <v>38496</v>
      </c>
      <c r="M14175" t="s">
        <v>42662</v>
      </c>
      <c r="N14175" t="s">
        <v>42669</v>
      </c>
      <c r="O14175" t="s">
        <v>42670</v>
      </c>
      <c r="Q14175">
        <v>13</v>
      </c>
      <c r="R14175" t="s">
        <v>42705</v>
      </c>
      <c r="S14175" t="s">
        <v>43447</v>
      </c>
      <c r="T14175" t="s">
        <v>44375</v>
      </c>
      <c r="U14175" t="s">
        <v>56307</v>
      </c>
      <c r="W14175" t="s">
        <v>42662</v>
      </c>
      <c r="X14175" t="s">
        <v>42706</v>
      </c>
    </row>
    <row r="14176" spans="1:24">
      <c r="A14176">
        <f>HYPERLINK("https://www.philgeps.gov.ph/GEPSNONPILOT/Tender/SplashBidNoticeAbstractUI.aspx?menuIndex=3&amp;refID=6975651&amp;Result=3","6975651")</f>
        <v>0</v>
      </c>
      <c r="B14176" t="s">
        <v>170</v>
      </c>
      <c r="C14176" t="s">
        <v>17119</v>
      </c>
      <c r="D14176" t="s">
        <v>17195</v>
      </c>
      <c r="E14176" t="s">
        <v>29350</v>
      </c>
      <c r="F14176" t="s">
        <v>29372</v>
      </c>
      <c r="G14176" t="s">
        <v>29379</v>
      </c>
      <c r="H14176" t="s">
        <v>11048</v>
      </c>
      <c r="I14176" t="s">
        <v>3839</v>
      </c>
      <c r="J14176" t="s">
        <v>30026</v>
      </c>
      <c r="K14176" t="s">
        <v>38495</v>
      </c>
      <c r="M14176" t="s">
        <v>38927</v>
      </c>
      <c r="N14176" t="s">
        <v>42669</v>
      </c>
      <c r="O14176" t="s">
        <v>42670</v>
      </c>
      <c r="P14176">
        <v>0</v>
      </c>
      <c r="Q14176">
        <v>1</v>
      </c>
      <c r="R14176" t="s">
        <v>42776</v>
      </c>
      <c r="S14176" t="s">
        <v>44330</v>
      </c>
      <c r="T14176" t="s">
        <v>44879</v>
      </c>
      <c r="U14176" t="s">
        <v>47920</v>
      </c>
      <c r="W14176" t="s">
        <v>38927</v>
      </c>
      <c r="X14176" t="s">
        <v>58171</v>
      </c>
    </row>
    <row r="14177" spans="1:24">
      <c r="A14177">
        <f>HYPERLINK("https://www.philgeps.gov.ph/GEPSNONPILOT/Tender/SplashBidNoticeAbstractUI.aspx?menuIndex=3&amp;refID=7125500&amp;Result=3","7125500")</f>
        <v>0</v>
      </c>
      <c r="B14177" t="s">
        <v>105</v>
      </c>
      <c r="C14177" t="s">
        <v>17120</v>
      </c>
      <c r="D14177" t="s">
        <v>17181</v>
      </c>
      <c r="E14177" t="s">
        <v>29351</v>
      </c>
      <c r="F14177" t="s">
        <v>29372</v>
      </c>
      <c r="G14177" t="s">
        <v>29380</v>
      </c>
      <c r="H14177" t="s">
        <v>29389</v>
      </c>
      <c r="I14177" t="s">
        <v>10408</v>
      </c>
      <c r="J14177" t="s">
        <v>34528</v>
      </c>
      <c r="K14177" t="s">
        <v>38540</v>
      </c>
      <c r="M14177" t="s">
        <v>38860</v>
      </c>
      <c r="N14177" t="s">
        <v>42669</v>
      </c>
      <c r="O14177" t="s">
        <v>42670</v>
      </c>
      <c r="Q14177">
        <v>0</v>
      </c>
      <c r="R14177" t="s">
        <v>42704</v>
      </c>
      <c r="S14177" t="s">
        <v>43100</v>
      </c>
      <c r="T14177" t="s">
        <v>44407</v>
      </c>
      <c r="U14177" t="s">
        <v>56022</v>
      </c>
      <c r="V14177" t="s">
        <v>57994</v>
      </c>
      <c r="W14177" t="s">
        <v>38860</v>
      </c>
      <c r="X14177" t="s">
        <v>42705</v>
      </c>
    </row>
    <row r="14178" spans="1:24">
      <c r="A14178">
        <f>HYPERLINK("https://www.philgeps.gov.ph/GEPSNONPILOT/Tender/SplashBidNoticeAbstractUI.aspx?menuIndex=3&amp;refID=7125417&amp;Result=3","7125417")</f>
        <v>0</v>
      </c>
      <c r="B14178" t="s">
        <v>566</v>
      </c>
      <c r="C14178" t="s">
        <v>17121</v>
      </c>
      <c r="E14178" t="s">
        <v>29352</v>
      </c>
      <c r="F14178" t="s">
        <v>29372</v>
      </c>
      <c r="G14178" t="s">
        <v>29380</v>
      </c>
      <c r="H14178" t="s">
        <v>11048</v>
      </c>
      <c r="I14178" t="s">
        <v>29400</v>
      </c>
      <c r="J14178" t="s">
        <v>38471</v>
      </c>
      <c r="K14178" t="s">
        <v>38490</v>
      </c>
      <c r="M14178" t="s">
        <v>42663</v>
      </c>
      <c r="N14178" t="s">
        <v>42669</v>
      </c>
      <c r="O14178" t="s">
        <v>42670</v>
      </c>
      <c r="Q14178">
        <v>27</v>
      </c>
      <c r="R14178" t="s">
        <v>42704</v>
      </c>
      <c r="S14178" t="s">
        <v>44331</v>
      </c>
      <c r="T14178" t="s">
        <v>44880</v>
      </c>
      <c r="U14178" t="s">
        <v>56041</v>
      </c>
      <c r="W14178" t="s">
        <v>42663</v>
      </c>
      <c r="X14178" t="s">
        <v>42705</v>
      </c>
    </row>
    <row r="14179" spans="1:24">
      <c r="A14179">
        <f>HYPERLINK("https://www.philgeps.gov.ph/GEPSNONPILOT/Tender/SplashBidNoticeAbstractUI.aspx?menuIndex=3&amp;refID=7125383&amp;Result=3","7125383")</f>
        <v>0</v>
      </c>
      <c r="B14179" t="s">
        <v>566</v>
      </c>
      <c r="C14179" t="s">
        <v>17122</v>
      </c>
      <c r="E14179" t="s">
        <v>29353</v>
      </c>
      <c r="F14179" t="s">
        <v>29372</v>
      </c>
      <c r="G14179" t="s">
        <v>29380</v>
      </c>
      <c r="H14179" t="s">
        <v>11048</v>
      </c>
      <c r="I14179" t="s">
        <v>29400</v>
      </c>
      <c r="J14179" t="s">
        <v>29788</v>
      </c>
      <c r="K14179" t="s">
        <v>38490</v>
      </c>
      <c r="M14179" t="s">
        <v>42663</v>
      </c>
      <c r="N14179" t="s">
        <v>42669</v>
      </c>
      <c r="O14179" t="s">
        <v>42670</v>
      </c>
      <c r="Q14179">
        <v>26</v>
      </c>
      <c r="R14179" t="s">
        <v>42704</v>
      </c>
      <c r="S14179" t="s">
        <v>44332</v>
      </c>
      <c r="T14179" t="s">
        <v>44631</v>
      </c>
      <c r="U14179" t="s">
        <v>56041</v>
      </c>
      <c r="W14179" t="s">
        <v>42663</v>
      </c>
      <c r="X14179" t="s">
        <v>42705</v>
      </c>
    </row>
    <row r="14180" spans="1:24">
      <c r="A14180">
        <f>HYPERLINK("https://www.philgeps.gov.ph/GEPSNONPILOT/Tender/SplashBidNoticeAbstractUI.aspx?menuIndex=3&amp;refID=7018161&amp;Result=3","7018161")</f>
        <v>0</v>
      </c>
      <c r="B14180" t="s">
        <v>2243</v>
      </c>
      <c r="C14180" t="s">
        <v>17123</v>
      </c>
      <c r="D14180" t="s">
        <v>17189</v>
      </c>
      <c r="E14180" t="s">
        <v>29354</v>
      </c>
      <c r="F14180" t="s">
        <v>29372</v>
      </c>
      <c r="G14180" t="s">
        <v>29380</v>
      </c>
      <c r="H14180" t="s">
        <v>29389</v>
      </c>
      <c r="I14180" t="s">
        <v>10408</v>
      </c>
      <c r="J14180" t="s">
        <v>38472</v>
      </c>
      <c r="K14180" t="s">
        <v>38522</v>
      </c>
      <c r="M14180" t="s">
        <v>42573</v>
      </c>
      <c r="N14180" t="s">
        <v>42669</v>
      </c>
      <c r="O14180" t="s">
        <v>42670</v>
      </c>
      <c r="Q14180">
        <v>18</v>
      </c>
      <c r="R14180" t="s">
        <v>42746</v>
      </c>
      <c r="S14180" t="s">
        <v>44333</v>
      </c>
      <c r="T14180" t="s">
        <v>44409</v>
      </c>
      <c r="U14180" t="s">
        <v>56308</v>
      </c>
      <c r="W14180" t="s">
        <v>42573</v>
      </c>
      <c r="X14180" t="s">
        <v>42747</v>
      </c>
    </row>
    <row r="14181" spans="1:24">
      <c r="A14181">
        <f>HYPERLINK("https://www.philgeps.gov.ph/GEPSNONPILOT/Tender/SplashBidNoticeAbstractUI.aspx?menuIndex=3&amp;refID=7021128&amp;Result=3","7021128")</f>
        <v>0</v>
      </c>
      <c r="B14181" t="s">
        <v>1543</v>
      </c>
      <c r="C14181" t="s">
        <v>17124</v>
      </c>
      <c r="E14181" t="s">
        <v>29355</v>
      </c>
      <c r="F14181" t="s">
        <v>29372</v>
      </c>
      <c r="G14181" t="s">
        <v>29380</v>
      </c>
      <c r="H14181" t="s">
        <v>11048</v>
      </c>
      <c r="I14181" t="s">
        <v>8614</v>
      </c>
      <c r="J14181" t="s">
        <v>38473</v>
      </c>
      <c r="K14181" t="s">
        <v>38490</v>
      </c>
      <c r="M14181" t="s">
        <v>40392</v>
      </c>
      <c r="N14181" t="s">
        <v>42669</v>
      </c>
      <c r="O14181" t="s">
        <v>42670</v>
      </c>
      <c r="Q14181">
        <v>23</v>
      </c>
      <c r="R14181" t="s">
        <v>42734</v>
      </c>
      <c r="S14181" t="s">
        <v>44334</v>
      </c>
      <c r="T14181" t="s">
        <v>44439</v>
      </c>
      <c r="U14181" t="s">
        <v>56309</v>
      </c>
      <c r="V14181" t="s">
        <v>57995</v>
      </c>
      <c r="W14181" t="s">
        <v>58137</v>
      </c>
      <c r="X14181" t="s">
        <v>58170</v>
      </c>
    </row>
    <row r="14182" spans="1:24">
      <c r="A14182">
        <f>HYPERLINK("https://www.philgeps.gov.ph/GEPSNONPILOT/Tender/SplashBidNoticeAbstractUI.aspx?menuIndex=3&amp;refID=6863861&amp;Result=3","6863861")</f>
        <v>0</v>
      </c>
      <c r="B14182" t="s">
        <v>3512</v>
      </c>
      <c r="C14182" t="s">
        <v>17125</v>
      </c>
      <c r="D14182" t="s">
        <v>17179</v>
      </c>
      <c r="E14182" t="s">
        <v>29356</v>
      </c>
      <c r="F14182" t="s">
        <v>29372</v>
      </c>
      <c r="G14182" t="s">
        <v>29380</v>
      </c>
      <c r="H14182" t="s">
        <v>29389</v>
      </c>
      <c r="I14182" t="s">
        <v>10408</v>
      </c>
      <c r="J14182" t="s">
        <v>38474</v>
      </c>
      <c r="K14182" t="s">
        <v>38522</v>
      </c>
      <c r="M14182" t="s">
        <v>42664</v>
      </c>
      <c r="N14182" t="s">
        <v>42669</v>
      </c>
      <c r="O14182" t="s">
        <v>42670</v>
      </c>
      <c r="Q14182">
        <v>6</v>
      </c>
      <c r="R14182" t="s">
        <v>42777</v>
      </c>
      <c r="S14182" t="s">
        <v>44335</v>
      </c>
      <c r="T14182" t="s">
        <v>44375</v>
      </c>
      <c r="U14182" t="s">
        <v>56310</v>
      </c>
      <c r="W14182" t="s">
        <v>42664</v>
      </c>
      <c r="X14182" t="s">
        <v>42763</v>
      </c>
    </row>
    <row r="14183" spans="1:24">
      <c r="A14183">
        <f>HYPERLINK("https://www.philgeps.gov.ph/GEPSNONPILOT/Tender/SplashBidNoticeAbstractUI.aspx?menuIndex=3&amp;refID=7127254&amp;Result=3","7127254")</f>
        <v>0</v>
      </c>
      <c r="B14183" t="s">
        <v>119</v>
      </c>
      <c r="C14183" t="s">
        <v>17126</v>
      </c>
      <c r="D14183" t="s">
        <v>17141</v>
      </c>
      <c r="E14183" t="s">
        <v>29357</v>
      </c>
      <c r="F14183" t="s">
        <v>29372</v>
      </c>
      <c r="G14183" t="s">
        <v>29380</v>
      </c>
      <c r="H14183" t="s">
        <v>11048</v>
      </c>
      <c r="I14183" t="s">
        <v>29409</v>
      </c>
      <c r="J14183" t="s">
        <v>38475</v>
      </c>
      <c r="K14183" t="s">
        <v>38530</v>
      </c>
      <c r="M14183" t="s">
        <v>42665</v>
      </c>
      <c r="N14183" t="s">
        <v>42669</v>
      </c>
      <c r="O14183" t="s">
        <v>42670</v>
      </c>
      <c r="Q14183">
        <v>22</v>
      </c>
      <c r="R14183" t="s">
        <v>42703</v>
      </c>
      <c r="S14183" t="s">
        <v>44336</v>
      </c>
      <c r="T14183" t="s">
        <v>44425</v>
      </c>
      <c r="U14183" t="s">
        <v>56311</v>
      </c>
      <c r="W14183" t="s">
        <v>42665</v>
      </c>
      <c r="X14183" t="s">
        <v>42704</v>
      </c>
    </row>
    <row r="14184" spans="1:24">
      <c r="A14184">
        <f>HYPERLINK("https://www.philgeps.gov.ph/GEPSNONPILOT/Tender/SplashBidNoticeAbstractUI.aspx?menuIndex=3&amp;refID=7125776&amp;Result=3","7125776")</f>
        <v>0</v>
      </c>
      <c r="B14184" t="s">
        <v>3513</v>
      </c>
      <c r="C14184" t="s">
        <v>17127</v>
      </c>
      <c r="E14184" t="s">
        <v>29358</v>
      </c>
      <c r="F14184" t="s">
        <v>29372</v>
      </c>
      <c r="G14184" t="s">
        <v>29380</v>
      </c>
      <c r="H14184" t="s">
        <v>11048</v>
      </c>
      <c r="I14184" t="s">
        <v>29415</v>
      </c>
      <c r="J14184" t="s">
        <v>38476</v>
      </c>
      <c r="K14184" t="s">
        <v>38533</v>
      </c>
      <c r="M14184" t="s">
        <v>42666</v>
      </c>
      <c r="N14184" t="s">
        <v>42669</v>
      </c>
      <c r="O14184" t="s">
        <v>42670</v>
      </c>
      <c r="Q14184">
        <v>27</v>
      </c>
      <c r="R14184" t="s">
        <v>42703</v>
      </c>
      <c r="S14184" t="s">
        <v>44337</v>
      </c>
      <c r="T14184" t="s">
        <v>44412</v>
      </c>
      <c r="U14184" t="s">
        <v>56312</v>
      </c>
      <c r="W14184" t="s">
        <v>42666</v>
      </c>
      <c r="X14184" t="s">
        <v>42705</v>
      </c>
    </row>
    <row r="14185" spans="1:24">
      <c r="A14185">
        <f>HYPERLINK("https://www.philgeps.gov.ph/GEPSNONPILOT/Tender/SplashBidNoticeAbstractUI.aspx?menuIndex=3&amp;refID=7130956&amp;Result=3","7130956")</f>
        <v>0</v>
      </c>
      <c r="B14185" t="s">
        <v>3299</v>
      </c>
      <c r="C14185" t="s">
        <v>17128</v>
      </c>
      <c r="E14185" t="s">
        <v>29359</v>
      </c>
      <c r="F14185" t="s">
        <v>29372</v>
      </c>
      <c r="G14185" t="s">
        <v>29386</v>
      </c>
      <c r="H14185" t="s">
        <v>29391</v>
      </c>
      <c r="I14185" t="s">
        <v>29391</v>
      </c>
      <c r="J14185" t="s">
        <v>38477</v>
      </c>
      <c r="K14185" t="s">
        <v>38490</v>
      </c>
      <c r="M14185" t="s">
        <v>42376</v>
      </c>
      <c r="N14185" t="s">
        <v>42669</v>
      </c>
      <c r="O14185" t="s">
        <v>42670</v>
      </c>
      <c r="Q14185">
        <v>6</v>
      </c>
      <c r="R14185" t="s">
        <v>42702</v>
      </c>
      <c r="S14185" t="s">
        <v>44338</v>
      </c>
      <c r="T14185" t="s">
        <v>44469</v>
      </c>
      <c r="U14185" t="s">
        <v>56313</v>
      </c>
      <c r="V14185" t="s">
        <v>57996</v>
      </c>
      <c r="W14185" t="s">
        <v>42376</v>
      </c>
      <c r="X14185" t="s">
        <v>42703</v>
      </c>
    </row>
    <row r="14186" spans="1:24">
      <c r="A14186">
        <f>HYPERLINK("https://www.philgeps.gov.ph/GEPSNONPILOT/Tender/SplashBidNoticeAbstractUI.aspx?menuIndex=3&amp;refID=7018114&amp;Result=3","7018114")</f>
        <v>0</v>
      </c>
      <c r="B14186" t="s">
        <v>2243</v>
      </c>
      <c r="C14186" t="s">
        <v>17129</v>
      </c>
      <c r="D14186" t="s">
        <v>17189</v>
      </c>
      <c r="E14186" t="s">
        <v>29360</v>
      </c>
      <c r="F14186" t="s">
        <v>29372</v>
      </c>
      <c r="G14186" t="s">
        <v>29380</v>
      </c>
      <c r="H14186" t="s">
        <v>29389</v>
      </c>
      <c r="I14186" t="s">
        <v>10408</v>
      </c>
      <c r="J14186" t="s">
        <v>38377</v>
      </c>
      <c r="K14186" t="s">
        <v>38615</v>
      </c>
      <c r="M14186" t="s">
        <v>42573</v>
      </c>
      <c r="N14186" t="s">
        <v>42669</v>
      </c>
      <c r="O14186" t="s">
        <v>42670</v>
      </c>
      <c r="Q14186">
        <v>10</v>
      </c>
      <c r="R14186" t="s">
        <v>42746</v>
      </c>
      <c r="S14186" t="s">
        <v>44339</v>
      </c>
      <c r="T14186" t="s">
        <v>44409</v>
      </c>
      <c r="U14186" t="s">
        <v>56314</v>
      </c>
      <c r="W14186" t="s">
        <v>42573</v>
      </c>
      <c r="X14186" t="s">
        <v>42747</v>
      </c>
    </row>
    <row r="14187" spans="1:24">
      <c r="A14187">
        <f>HYPERLINK("https://www.philgeps.gov.ph/GEPSNONPILOT/Tender/SplashBidNoticeAbstractUI.aspx?menuIndex=3&amp;refID=7130230&amp;Result=3","7130230")</f>
        <v>0</v>
      </c>
      <c r="B14187" t="s">
        <v>946</v>
      </c>
      <c r="C14187" t="s">
        <v>17130</v>
      </c>
      <c r="D14187" t="s">
        <v>17141</v>
      </c>
      <c r="E14187" t="s">
        <v>29361</v>
      </c>
      <c r="F14187" t="s">
        <v>29372</v>
      </c>
      <c r="G14187" t="s">
        <v>29383</v>
      </c>
      <c r="H14187" t="s">
        <v>11048</v>
      </c>
      <c r="I14187" t="s">
        <v>29433</v>
      </c>
      <c r="J14187" t="s">
        <v>38478</v>
      </c>
      <c r="K14187" t="s">
        <v>38490</v>
      </c>
      <c r="M14187" t="s">
        <v>39742</v>
      </c>
      <c r="N14187" t="s">
        <v>42669</v>
      </c>
      <c r="O14187" t="s">
        <v>42670</v>
      </c>
      <c r="Q14187">
        <v>11</v>
      </c>
      <c r="R14187" t="s">
        <v>42702</v>
      </c>
      <c r="S14187" t="s">
        <v>44254</v>
      </c>
      <c r="T14187" t="s">
        <v>44417</v>
      </c>
      <c r="U14187" t="s">
        <v>56315</v>
      </c>
      <c r="V14187" t="s">
        <v>57997</v>
      </c>
      <c r="W14187" t="s">
        <v>39742</v>
      </c>
      <c r="X14187" t="s">
        <v>42703</v>
      </c>
    </row>
    <row r="14188" spans="1:24">
      <c r="A14188">
        <f>HYPERLINK("https://www.philgeps.gov.ph/GEPSNONPILOT/Tender/SplashBidNoticeAbstractUI.aspx?menuIndex=3&amp;refID=7125378&amp;Result=3","7125378")</f>
        <v>0</v>
      </c>
      <c r="B14188" t="s">
        <v>1439</v>
      </c>
      <c r="C14188" t="s">
        <v>17131</v>
      </c>
      <c r="D14188" t="s">
        <v>17149</v>
      </c>
      <c r="E14188" t="s">
        <v>29362</v>
      </c>
      <c r="F14188" t="s">
        <v>29372</v>
      </c>
      <c r="G14188" t="s">
        <v>29380</v>
      </c>
      <c r="H14188" t="s">
        <v>11048</v>
      </c>
      <c r="I14188" t="s">
        <v>29425</v>
      </c>
      <c r="J14188" t="s">
        <v>34837</v>
      </c>
      <c r="K14188" t="s">
        <v>38485</v>
      </c>
      <c r="M14188" t="s">
        <v>40280</v>
      </c>
      <c r="N14188" t="s">
        <v>42669</v>
      </c>
      <c r="O14188" t="s">
        <v>42670</v>
      </c>
      <c r="Q14188">
        <v>14</v>
      </c>
      <c r="R14188" t="s">
        <v>42704</v>
      </c>
      <c r="S14188" t="s">
        <v>44340</v>
      </c>
      <c r="T14188" t="s">
        <v>44412</v>
      </c>
      <c r="U14188" t="s">
        <v>56316</v>
      </c>
      <c r="W14188" t="s">
        <v>40280</v>
      </c>
      <c r="X14188" t="s">
        <v>42705</v>
      </c>
    </row>
    <row r="14189" spans="1:24">
      <c r="A14189">
        <f>HYPERLINK("https://www.philgeps.gov.ph/GEPSNONPILOT/Tender/SplashBidNoticeAbstractUI.aspx?menuIndex=3&amp;refID=7130180&amp;Result=3","7130180")</f>
        <v>0</v>
      </c>
      <c r="B14189" t="s">
        <v>3483</v>
      </c>
      <c r="C14189" t="s">
        <v>17132</v>
      </c>
      <c r="D14189" t="s">
        <v>17171</v>
      </c>
      <c r="E14189" t="s">
        <v>29363</v>
      </c>
      <c r="F14189" t="s">
        <v>29372</v>
      </c>
      <c r="G14189" t="s">
        <v>29380</v>
      </c>
      <c r="H14189" t="s">
        <v>29389</v>
      </c>
      <c r="I14189" t="s">
        <v>10408</v>
      </c>
      <c r="J14189" t="s">
        <v>38479</v>
      </c>
      <c r="K14189" t="s">
        <v>38564</v>
      </c>
      <c r="M14189" t="s">
        <v>42611</v>
      </c>
      <c r="N14189" t="s">
        <v>42669</v>
      </c>
      <c r="O14189" t="s">
        <v>42670</v>
      </c>
      <c r="Q14189">
        <v>12</v>
      </c>
      <c r="R14189" t="s">
        <v>42702</v>
      </c>
      <c r="S14189" t="s">
        <v>44341</v>
      </c>
      <c r="T14189" t="s">
        <v>44400</v>
      </c>
      <c r="U14189" t="s">
        <v>56317</v>
      </c>
      <c r="W14189" t="s">
        <v>42611</v>
      </c>
      <c r="X14189" t="s">
        <v>42703</v>
      </c>
    </row>
    <row r="14190" spans="1:24">
      <c r="A14190">
        <f>HYPERLINK("https://www.philgeps.gov.ph/GEPSNONPILOT/Tender/SplashBidNoticeAbstractUI.aspx?menuIndex=3&amp;refID=7130149&amp;Result=3","7130149")</f>
        <v>0</v>
      </c>
      <c r="B14190" t="s">
        <v>3483</v>
      </c>
      <c r="C14190" t="s">
        <v>17133</v>
      </c>
      <c r="D14190" t="s">
        <v>17171</v>
      </c>
      <c r="E14190" t="s">
        <v>29364</v>
      </c>
      <c r="F14190" t="s">
        <v>29372</v>
      </c>
      <c r="G14190" t="s">
        <v>29380</v>
      </c>
      <c r="H14190" t="s">
        <v>29389</v>
      </c>
      <c r="I14190" t="s">
        <v>10408</v>
      </c>
      <c r="J14190" t="s">
        <v>38480</v>
      </c>
      <c r="K14190" t="s">
        <v>38563</v>
      </c>
      <c r="M14190" t="s">
        <v>42611</v>
      </c>
      <c r="N14190" t="s">
        <v>42669</v>
      </c>
      <c r="O14190" t="s">
        <v>42670</v>
      </c>
      <c r="Q14190">
        <v>14</v>
      </c>
      <c r="R14190" t="s">
        <v>42702</v>
      </c>
      <c r="S14190" t="s">
        <v>44342</v>
      </c>
      <c r="T14190" t="s">
        <v>44400</v>
      </c>
      <c r="U14190" t="s">
        <v>56318</v>
      </c>
      <c r="W14190" t="s">
        <v>42611</v>
      </c>
      <c r="X14190" t="s">
        <v>42703</v>
      </c>
    </row>
    <row r="14191" spans="1:24">
      <c r="A14191">
        <f>HYPERLINK("https://www.philgeps.gov.ph/GEPSNONPILOT/Tender/SplashBidNoticeAbstractUI.aspx?menuIndex=3&amp;refID=7133664&amp;Result=3","7133664")</f>
        <v>0</v>
      </c>
      <c r="B14191" t="s">
        <v>616</v>
      </c>
      <c r="C14191" t="s">
        <v>17134</v>
      </c>
      <c r="D14191" t="s">
        <v>17204</v>
      </c>
      <c r="E14191" t="s">
        <v>29365</v>
      </c>
      <c r="F14191" t="s">
        <v>29372</v>
      </c>
      <c r="G14191" t="s">
        <v>29380</v>
      </c>
      <c r="H14191" t="s">
        <v>11048</v>
      </c>
      <c r="I14191" t="s">
        <v>29480</v>
      </c>
      <c r="J14191" t="s">
        <v>30161</v>
      </c>
      <c r="K14191" t="s">
        <v>38603</v>
      </c>
      <c r="M14191" t="s">
        <v>42486</v>
      </c>
      <c r="N14191" t="s">
        <v>42669</v>
      </c>
      <c r="O14191" t="s">
        <v>42670</v>
      </c>
      <c r="Q14191">
        <v>11</v>
      </c>
      <c r="R14191" t="s">
        <v>42701</v>
      </c>
      <c r="S14191" t="s">
        <v>44343</v>
      </c>
      <c r="T14191" t="s">
        <v>44454</v>
      </c>
      <c r="U14191" t="s">
        <v>56319</v>
      </c>
      <c r="V14191" t="s">
        <v>57998</v>
      </c>
      <c r="W14191" t="s">
        <v>42486</v>
      </c>
      <c r="X14191" t="s">
        <v>42702</v>
      </c>
    </row>
    <row r="14192" spans="1:24">
      <c r="A14192">
        <f>HYPERLINK("https://www.philgeps.gov.ph/GEPSNONPILOT/Tender/SplashBidNoticeAbstractUI.aspx?menuIndex=3&amp;refID=7132716&amp;Result=3","7132716")</f>
        <v>0</v>
      </c>
      <c r="B14192" t="s">
        <v>928</v>
      </c>
      <c r="C14192" t="s">
        <v>17135</v>
      </c>
      <c r="D14192" t="s">
        <v>17141</v>
      </c>
      <c r="E14192" t="s">
        <v>29366</v>
      </c>
      <c r="F14192" t="s">
        <v>29372</v>
      </c>
      <c r="G14192" t="s">
        <v>29380</v>
      </c>
      <c r="H14192" t="s">
        <v>11048</v>
      </c>
      <c r="I14192" t="s">
        <v>29417</v>
      </c>
      <c r="J14192" t="s">
        <v>38481</v>
      </c>
      <c r="K14192" t="s">
        <v>38496</v>
      </c>
      <c r="M14192" t="s">
        <v>42615</v>
      </c>
      <c r="N14192" t="s">
        <v>42669</v>
      </c>
      <c r="O14192" t="s">
        <v>42670</v>
      </c>
      <c r="Q14192">
        <v>33</v>
      </c>
      <c r="R14192" t="s">
        <v>42701</v>
      </c>
      <c r="S14192" t="s">
        <v>44344</v>
      </c>
      <c r="T14192" t="s">
        <v>44521</v>
      </c>
      <c r="U14192" t="s">
        <v>56000</v>
      </c>
      <c r="W14192" t="s">
        <v>42615</v>
      </c>
      <c r="X14192" t="s">
        <v>42702</v>
      </c>
    </row>
    <row r="14193" spans="1:24">
      <c r="A14193">
        <f>HYPERLINK("https://www.philgeps.gov.ph/GEPSNONPILOT/Tender/SplashBidNoticeAbstractUI.aspx?menuIndex=3&amp;refID=7131027&amp;Result=3","7131027")</f>
        <v>0</v>
      </c>
      <c r="B14193" t="s">
        <v>3514</v>
      </c>
      <c r="C14193" t="s">
        <v>17136</v>
      </c>
      <c r="D14193" t="s">
        <v>17169</v>
      </c>
      <c r="E14193" t="s">
        <v>29367</v>
      </c>
      <c r="F14193" t="s">
        <v>29372</v>
      </c>
      <c r="G14193" t="s">
        <v>29380</v>
      </c>
      <c r="H14193" t="s">
        <v>11048</v>
      </c>
      <c r="I14193" t="s">
        <v>29395</v>
      </c>
      <c r="J14193" t="s">
        <v>29708</v>
      </c>
      <c r="K14193" t="s">
        <v>38490</v>
      </c>
      <c r="M14193" t="s">
        <v>42667</v>
      </c>
      <c r="N14193" t="s">
        <v>42669</v>
      </c>
      <c r="O14193" t="s">
        <v>42670</v>
      </c>
      <c r="P14193">
        <v>0</v>
      </c>
      <c r="Q14193">
        <v>0</v>
      </c>
      <c r="R14193" t="s">
        <v>42702</v>
      </c>
      <c r="S14193" t="s">
        <v>44031</v>
      </c>
      <c r="T14193" t="s">
        <v>44389</v>
      </c>
      <c r="U14193" t="s">
        <v>56320</v>
      </c>
      <c r="W14193" t="s">
        <v>42667</v>
      </c>
      <c r="X14193" t="s">
        <v>42703</v>
      </c>
    </row>
    <row r="14194" spans="1:24">
      <c r="A14194">
        <f>HYPERLINK("https://www.philgeps.gov.ph/GEPSNONPILOT/Tender/SplashBidNoticeAbstractUI.aspx?menuIndex=3&amp;refID=7125200&amp;Result=3","7125200")</f>
        <v>0</v>
      </c>
      <c r="B14194" t="s">
        <v>413</v>
      </c>
      <c r="C14194" t="s">
        <v>17137</v>
      </c>
      <c r="D14194" t="s">
        <v>17214</v>
      </c>
      <c r="E14194" t="s">
        <v>29368</v>
      </c>
      <c r="F14194" t="s">
        <v>29372</v>
      </c>
      <c r="G14194" t="s">
        <v>29380</v>
      </c>
      <c r="H14194" t="s">
        <v>11048</v>
      </c>
      <c r="I14194" t="s">
        <v>29393</v>
      </c>
      <c r="J14194" t="s">
        <v>38482</v>
      </c>
      <c r="K14194" t="s">
        <v>38603</v>
      </c>
      <c r="M14194" t="s">
        <v>39177</v>
      </c>
      <c r="N14194" t="s">
        <v>42669</v>
      </c>
      <c r="O14194" t="s">
        <v>42670</v>
      </c>
      <c r="Q14194">
        <v>6</v>
      </c>
      <c r="R14194" t="s">
        <v>42704</v>
      </c>
      <c r="S14194" t="s">
        <v>44177</v>
      </c>
      <c r="T14194" t="s">
        <v>44548</v>
      </c>
      <c r="U14194" t="s">
        <v>56321</v>
      </c>
      <c r="V14194" t="s">
        <v>57999</v>
      </c>
      <c r="W14194" t="s">
        <v>39177</v>
      </c>
      <c r="X14194" t="s">
        <v>42705</v>
      </c>
    </row>
    <row r="14195" spans="1:24">
      <c r="A14195">
        <f>HYPERLINK("https://www.philgeps.gov.ph/GEPSNONPILOT/Tender/SplashBidNoticeAbstractUI.aspx?menuIndex=3&amp;refID=7133714&amp;Result=3","7133714")</f>
        <v>0</v>
      </c>
      <c r="B14195" t="s">
        <v>616</v>
      </c>
      <c r="C14195" t="s">
        <v>17138</v>
      </c>
      <c r="D14195" t="s">
        <v>17204</v>
      </c>
      <c r="E14195" t="s">
        <v>29369</v>
      </c>
      <c r="F14195" t="s">
        <v>29372</v>
      </c>
      <c r="G14195" t="s">
        <v>29380</v>
      </c>
      <c r="H14195" t="s">
        <v>11048</v>
      </c>
      <c r="I14195" t="s">
        <v>29480</v>
      </c>
      <c r="J14195" t="s">
        <v>38483</v>
      </c>
      <c r="K14195" t="s">
        <v>38603</v>
      </c>
      <c r="M14195" t="s">
        <v>42486</v>
      </c>
      <c r="N14195" t="s">
        <v>42669</v>
      </c>
      <c r="O14195" t="s">
        <v>42670</v>
      </c>
      <c r="Q14195">
        <v>8</v>
      </c>
      <c r="R14195" t="s">
        <v>42701</v>
      </c>
      <c r="S14195" t="s">
        <v>44345</v>
      </c>
      <c r="T14195" t="s">
        <v>44454</v>
      </c>
      <c r="U14195" t="s">
        <v>56322</v>
      </c>
      <c r="V14195" t="s">
        <v>58000</v>
      </c>
      <c r="W14195" t="s">
        <v>42486</v>
      </c>
      <c r="X14195" t="s">
        <v>42702</v>
      </c>
    </row>
    <row r="14196" spans="1:24">
      <c r="A14196">
        <f>HYPERLINK("https://www.philgeps.gov.ph/GEPSNONPILOT/Tender/SplashBidNoticeAbstractUI.aspx?menuIndex=3&amp;refID=7119977&amp;Result=3","7119977")</f>
        <v>0</v>
      </c>
      <c r="B14196" t="s">
        <v>3515</v>
      </c>
      <c r="C14196" t="s">
        <v>17139</v>
      </c>
      <c r="D14196" t="s">
        <v>17212</v>
      </c>
      <c r="E14196" t="s">
        <v>29370</v>
      </c>
      <c r="F14196" t="s">
        <v>29372</v>
      </c>
      <c r="G14196" t="s">
        <v>29380</v>
      </c>
      <c r="H14196" t="s">
        <v>29389</v>
      </c>
      <c r="I14196" t="s">
        <v>10408</v>
      </c>
      <c r="J14196" t="s">
        <v>36959</v>
      </c>
      <c r="K14196" t="s">
        <v>38495</v>
      </c>
      <c r="M14196" t="s">
        <v>42668</v>
      </c>
      <c r="N14196" t="s">
        <v>42669</v>
      </c>
      <c r="O14196" t="s">
        <v>42670</v>
      </c>
      <c r="P14196">
        <v>0</v>
      </c>
      <c r="Q14196">
        <v>11</v>
      </c>
      <c r="R14196" t="s">
        <v>42703</v>
      </c>
      <c r="S14196" t="s">
        <v>44346</v>
      </c>
      <c r="T14196" t="s">
        <v>44432</v>
      </c>
      <c r="U14196" t="s">
        <v>56323</v>
      </c>
      <c r="W14196" t="s">
        <v>42668</v>
      </c>
      <c r="X14196" t="s">
        <v>42709</v>
      </c>
    </row>
    <row r="14197" spans="1:24">
      <c r="A14197">
        <f>HYPERLINK("https://www.philgeps.gov.ph/GEPSNONPILOT/Tender/SplashBidNoticeAbstractUI.aspx?menuIndex=3&amp;refID=6890206&amp;Result=3","6890206")</f>
        <v>0</v>
      </c>
      <c r="B14197" t="s">
        <v>2158</v>
      </c>
      <c r="C14197" t="s">
        <v>17140</v>
      </c>
      <c r="D14197" t="s">
        <v>17141</v>
      </c>
      <c r="E14197" t="s">
        <v>29371</v>
      </c>
      <c r="F14197" t="s">
        <v>29372</v>
      </c>
      <c r="G14197" t="s">
        <v>29380</v>
      </c>
      <c r="H14197" t="s">
        <v>29389</v>
      </c>
      <c r="I14197" t="s">
        <v>10408</v>
      </c>
      <c r="J14197" t="s">
        <v>38484</v>
      </c>
      <c r="K14197" t="s">
        <v>38638</v>
      </c>
      <c r="M14197" t="s">
        <v>41069</v>
      </c>
      <c r="N14197" t="s">
        <v>42669</v>
      </c>
      <c r="O14197" t="s">
        <v>42670</v>
      </c>
      <c r="Q14197">
        <v>31</v>
      </c>
      <c r="R14197" t="s">
        <v>42778</v>
      </c>
      <c r="S14197" t="s">
        <v>44347</v>
      </c>
      <c r="T14197" t="s">
        <v>44393</v>
      </c>
      <c r="U14197" t="s">
        <v>56324</v>
      </c>
      <c r="W14197" t="s">
        <v>41069</v>
      </c>
      <c r="X14197" t="s">
        <v>42768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2020-08-24T19:04:16Z</dcterms:created>
  <dcterms:modified xsi:type="dcterms:W3CDTF">2020-08-24T19:04:16Z</dcterms:modified>
</cp:coreProperties>
</file>